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defaultThemeVersion="124226"/>
  <bookViews>
    <workbookView xWindow="14268" yWindow="1476" windowWidth="16056" windowHeight="12696" tabRatio="862" activeTab="6"/>
  </bookViews>
  <sheets>
    <sheet name="File LOG" sheetId="51" r:id="rId1"/>
    <sheet name="Chart4" sheetId="38" r:id="rId2"/>
    <sheet name="Chart5" sheetId="48" r:id="rId3"/>
    <sheet name="Chart6" sheetId="47" r:id="rId4"/>
    <sheet name="Summary" sheetId="45" r:id="rId5"/>
    <sheet name="Tacoma-Report Page" sheetId="34" r:id="rId6"/>
    <sheet name="RWS-Report Page " sheetId="35" r:id="rId7"/>
    <sheet name="Annual Consumption Report" sheetId="44" r:id="rId8"/>
    <sheet name="Sheet1" sheetId="32" r:id="rId9"/>
    <sheet name="Monthly Consumption Report" sheetId="22" r:id="rId10"/>
    <sheet name="Calculation" sheetId="43" r:id="rId11"/>
    <sheet name="Calculations II" sheetId="24" r:id="rId12"/>
    <sheet name="HH Capacity Table" sheetId="29" r:id="rId13"/>
    <sheet name="Accounting-Delivery" sheetId="30" r:id="rId14"/>
    <sheet name="Diversion Rights" sheetId="16" r:id="rId15"/>
    <sheet name="Lookup" sheetId="23" r:id="rId16"/>
    <sheet name="Conversions" sheetId="42" r:id="rId17"/>
    <sheet name="System Flows" sheetId="49" r:id="rId18"/>
  </sheets>
  <externalReferences>
    <externalReference r:id="rId19"/>
  </externalReferences>
  <definedNames>
    <definedName name="_A66000">#REF!</definedName>
    <definedName name="_A80000">#REF!</definedName>
    <definedName name="A">#REF!</definedName>
    <definedName name="AFtoCFS">Conversions!$C$6</definedName>
    <definedName name="AFtoMG">Conversions!$C$7</definedName>
    <definedName name="CFStoMGD">Conversions!$C$8</definedName>
    <definedName name="CHECK">#REF!</definedName>
    <definedName name="CHECK2">#REF!</definedName>
    <definedName name="D">#REF!</definedName>
    <definedName name="DATA">#REF!</definedName>
    <definedName name="ddddddddddd">'[1]HHD Capacity Table'!$G$3:$J$1792</definedName>
    <definedName name="E">#REF!</definedName>
    <definedName name="EDIT1">#REF!</definedName>
    <definedName name="EDIT2">#REF!</definedName>
    <definedName name="GPMtoMGD">Conversions!$C$9</definedName>
    <definedName name="hhdcap_wcm">'HH Capacity Table'!$G$3:$J$1792</definedName>
    <definedName name="hhdelev_wcm">'HH Capacity Table'!$B$3:$E$1793</definedName>
    <definedName name="MAXI">#REF!</definedName>
    <definedName name="MGDtoCFS">Conversions!$C$4</definedName>
    <definedName name="MGtoAF">Conversions!$C$5</definedName>
    <definedName name="MINI">#REF!</definedName>
    <definedName name="NET">#REF!</definedName>
    <definedName name="Oct92Con">#REF!</definedName>
    <definedName name="Partner_1_Share">#REF!</definedName>
    <definedName name="Partner_2_Share">#REF!</definedName>
    <definedName name="Partner_3_Share">#REF!</definedName>
    <definedName name="Partner_4_Share">#REF!</definedName>
    <definedName name="_xlnm.Print_Area" localSheetId="7">'Annual Consumption Report'!$A$2:$V$35</definedName>
    <definedName name="_xlnm.Print_Area" localSheetId="9">'Monthly Consumption Report'!$A$2:$R$54</definedName>
    <definedName name="_xlnm.Print_Area" localSheetId="6">'RWS-Report Page '!$B$1:$L$109</definedName>
    <definedName name="_xlnm.Print_Area" localSheetId="8">Sheet1!$B$1:$CA$7</definedName>
    <definedName name="_xlnm.Print_Area" localSheetId="5">'Tacoma-Report Page'!$A$1:$K$74</definedName>
    <definedName name="_xlnm.Print_Titles" localSheetId="13">'Accounting-Delivery'!$1:$7</definedName>
    <definedName name="_xlnm.Print_Titles" localSheetId="6">'RWS-Report Page '!$1:$4</definedName>
    <definedName name="_xlnm.Print_Titles" localSheetId="4">Summary!$1:$3</definedName>
    <definedName name="_xlnm.Print_Titles" localSheetId="5">'Tacoma-Report Page'!$1:$7</definedName>
    <definedName name="solver_cvg" localSheetId="4" hidden="1">0.0001</definedName>
    <definedName name="solver_drv" localSheetId="4" hidden="1">1</definedName>
    <definedName name="solver_est" localSheetId="4" hidden="1">1</definedName>
    <definedName name="solver_itr" localSheetId="4" hidden="1">100</definedName>
    <definedName name="solver_lin" localSheetId="4" hidden="1">2</definedName>
    <definedName name="solver_neg" localSheetId="4" hidden="1">2</definedName>
    <definedName name="solver_num" localSheetId="4" hidden="1">0</definedName>
    <definedName name="solver_nwt" localSheetId="4" hidden="1">1</definedName>
    <definedName name="solver_opt" localSheetId="4" hidden="1">Summary!#REF!</definedName>
    <definedName name="solver_pre" localSheetId="4" hidden="1">0.000001</definedName>
    <definedName name="solver_scl" localSheetId="4" hidden="1">2</definedName>
    <definedName name="solver_sho" localSheetId="4" hidden="1">2</definedName>
    <definedName name="solver_tim" localSheetId="4" hidden="1">100</definedName>
    <definedName name="solver_tol" localSheetId="4" hidden="1">0.05</definedName>
    <definedName name="solver_typ" localSheetId="4" hidden="1">1</definedName>
    <definedName name="solver_val" localSheetId="4" hidden="1">0</definedName>
    <definedName name="Z">#REF!</definedName>
    <definedName name="Z_BB2BAFA4_4BB9_41E9_9F62_A062B88CB317_.wvu.Cols" localSheetId="4" hidden="1">Summary!$P:$P,Summary!$R:$S,Summary!$AC:$AC,Summary!$AF:$AF,Summary!#REF!</definedName>
    <definedName name="Z_BB2BAFA4_4BB9_41E9_9F62_A062B88CB317_.wvu.PrintTitles" localSheetId="4" hidden="1">Summary!$1:$3</definedName>
    <definedName name="Z_BB2BAFA4_4BB9_41E9_9F62_A062B88CB317_.wvu.Rows" localSheetId="4" hidden="1">Summary!$4:$4</definedName>
  </definedNames>
  <calcPr calcId="145621"/>
</workbook>
</file>

<file path=xl/calcChain.xml><?xml version="1.0" encoding="utf-8"?>
<calcChain xmlns="http://schemas.openxmlformats.org/spreadsheetml/2006/main">
  <c r="EG378" i="32" l="1"/>
  <c r="DK378" i="32"/>
  <c r="DJ378" i="32" s="1"/>
  <c r="DI378" i="32"/>
  <c r="DG378" i="32"/>
  <c r="DF378" i="32"/>
  <c r="DH378" i="32" s="1"/>
  <c r="DE378" i="32"/>
  <c r="DD378" i="32"/>
  <c r="AG378" i="32"/>
  <c r="AD378" i="32"/>
  <c r="AE378" i="32" s="1"/>
  <c r="AC378" i="32"/>
  <c r="EG377" i="32"/>
  <c r="DK377" i="32"/>
  <c r="DJ377" i="32"/>
  <c r="DI377" i="32"/>
  <c r="DG377" i="32"/>
  <c r="DH377" i="32" s="1"/>
  <c r="DF377" i="32"/>
  <c r="DE377" i="32"/>
  <c r="DD377" i="32"/>
  <c r="AG377" i="32"/>
  <c r="AC377" i="32"/>
  <c r="AD377" i="32" s="1"/>
  <c r="AE377" i="32" s="1"/>
  <c r="EG376" i="32"/>
  <c r="DK376" i="32"/>
  <c r="DJ376" i="32" s="1"/>
  <c r="DI376" i="32"/>
  <c r="DG376" i="32"/>
  <c r="DH376" i="32" s="1"/>
  <c r="DF376" i="32"/>
  <c r="DE376" i="32"/>
  <c r="DD376" i="32"/>
  <c r="AG376" i="32"/>
  <c r="AC376" i="32"/>
  <c r="AD376" i="32" s="1"/>
  <c r="AE376" i="32" s="1"/>
  <c r="EG372" i="32" l="1"/>
  <c r="EG373" i="32"/>
  <c r="EG374" i="32"/>
  <c r="EG375" i="32"/>
  <c r="EG365" i="32" l="1"/>
  <c r="EG366" i="32"/>
  <c r="EG367" i="32"/>
  <c r="EG368" i="32"/>
  <c r="EG369" i="32"/>
  <c r="EG370" i="32"/>
  <c r="EG371" i="32"/>
  <c r="EG358" i="32" l="1"/>
  <c r="EG359" i="32"/>
  <c r="EG360" i="32"/>
  <c r="EG361" i="32"/>
  <c r="EG362" i="32"/>
  <c r="EG363" i="32"/>
  <c r="EG364" i="32"/>
  <c r="EG351" i="32" l="1"/>
  <c r="EG352" i="32"/>
  <c r="EG353" i="32"/>
  <c r="EG354" i="32"/>
  <c r="EG355" i="32"/>
  <c r="EG356" i="32"/>
  <c r="EG357" i="32"/>
  <c r="EG345" i="32" l="1"/>
  <c r="EG346" i="32"/>
  <c r="EG347" i="32"/>
  <c r="EG348" i="32"/>
  <c r="EG349" i="32"/>
  <c r="EG350" i="32"/>
  <c r="EG344" i="32"/>
  <c r="EG337" i="32" l="1"/>
  <c r="EG338" i="32"/>
  <c r="EG339" i="32"/>
  <c r="EG340" i="32"/>
  <c r="EG341" i="32"/>
  <c r="EG342" i="32"/>
  <c r="EG343" i="32"/>
  <c r="EG331" i="32" l="1"/>
  <c r="EG332" i="32"/>
  <c r="EG333" i="32"/>
  <c r="EG334" i="32"/>
  <c r="EG335" i="32"/>
  <c r="EG336" i="32"/>
  <c r="EG330" i="32"/>
  <c r="S319" i="43" l="1"/>
  <c r="S320" i="43"/>
  <c r="S321" i="43"/>
  <c r="S322" i="43"/>
  <c r="S323" i="43"/>
  <c r="S194" i="43"/>
  <c r="S195" i="43"/>
  <c r="S196" i="43"/>
  <c r="S197" i="43"/>
  <c r="H194" i="43"/>
  <c r="H195" i="43"/>
  <c r="H196" i="43"/>
  <c r="H197" i="43"/>
  <c r="IH12" i="43"/>
  <c r="IH13" i="43"/>
  <c r="IH14" i="43"/>
  <c r="IH15" i="43"/>
  <c r="IH16" i="43"/>
  <c r="IH17" i="43"/>
  <c r="IH18" i="43"/>
  <c r="IH19" i="43"/>
  <c r="IH20" i="43"/>
  <c r="IH21" i="43"/>
  <c r="IH22" i="43"/>
  <c r="IH23" i="43"/>
  <c r="IH24" i="43"/>
  <c r="IH25" i="43"/>
  <c r="IH26" i="43"/>
  <c r="IH27" i="43"/>
  <c r="IH28" i="43"/>
  <c r="IH29" i="43"/>
  <c r="IH30" i="43"/>
  <c r="IH31" i="43"/>
  <c r="IH32" i="43"/>
  <c r="IH33" i="43"/>
  <c r="IH34" i="43"/>
  <c r="IH35" i="43"/>
  <c r="IH36" i="43"/>
  <c r="IH37" i="43"/>
  <c r="IH38" i="43"/>
  <c r="IH39" i="43"/>
  <c r="IH40" i="43"/>
  <c r="IH41" i="43"/>
  <c r="IH42" i="43"/>
  <c r="IH43" i="43"/>
  <c r="IH44" i="43"/>
  <c r="IH45" i="43"/>
  <c r="IH46" i="43"/>
  <c r="IH47" i="43"/>
  <c r="IH48" i="43"/>
  <c r="IH49" i="43"/>
  <c r="IH50" i="43"/>
  <c r="IH51" i="43"/>
  <c r="IH52" i="43"/>
  <c r="IH53" i="43"/>
  <c r="IH54" i="43"/>
  <c r="IH55" i="43"/>
  <c r="IH56" i="43"/>
  <c r="IH57" i="43"/>
  <c r="IH58" i="43"/>
  <c r="IH59" i="43"/>
  <c r="IH60" i="43"/>
  <c r="IH61" i="43"/>
  <c r="IH62" i="43"/>
  <c r="IH63" i="43"/>
  <c r="IH64" i="43"/>
  <c r="IH65" i="43"/>
  <c r="IH66" i="43"/>
  <c r="IH67" i="43"/>
  <c r="IH68" i="43"/>
  <c r="IH69" i="43"/>
  <c r="IH70" i="43"/>
  <c r="IH71" i="43"/>
  <c r="IH72" i="43"/>
  <c r="IH73" i="43"/>
  <c r="IH74" i="43"/>
  <c r="IH75" i="43"/>
  <c r="IH76" i="43"/>
  <c r="IH77" i="43"/>
  <c r="IH78" i="43"/>
  <c r="IH79" i="43"/>
  <c r="IH80" i="43"/>
  <c r="IH81" i="43"/>
  <c r="IH82" i="43"/>
  <c r="IH83" i="43"/>
  <c r="IH84" i="43"/>
  <c r="IH85" i="43"/>
  <c r="IH86" i="43"/>
  <c r="IH87" i="43"/>
  <c r="IH88" i="43"/>
  <c r="IH89" i="43"/>
  <c r="IH90" i="43"/>
  <c r="IH91" i="43"/>
  <c r="IH92" i="43"/>
  <c r="IH93" i="43"/>
  <c r="IH94" i="43"/>
  <c r="IH95" i="43"/>
  <c r="IH96" i="43"/>
  <c r="IH97" i="43"/>
  <c r="IH98" i="43"/>
  <c r="IH99" i="43"/>
  <c r="IH100" i="43"/>
  <c r="IH101" i="43"/>
  <c r="IH102" i="43"/>
  <c r="IH103" i="43"/>
  <c r="IH104" i="43"/>
  <c r="IH105" i="43"/>
  <c r="IH106" i="43"/>
  <c r="IH107" i="43"/>
  <c r="IH108" i="43"/>
  <c r="IH109" i="43"/>
  <c r="IH110" i="43"/>
  <c r="IH111" i="43"/>
  <c r="IH112" i="43"/>
  <c r="IH113" i="43"/>
  <c r="IH114" i="43"/>
  <c r="IH115" i="43"/>
  <c r="IH116" i="43"/>
  <c r="IH117" i="43"/>
  <c r="IH118" i="43"/>
  <c r="IH119" i="43"/>
  <c r="IH120" i="43"/>
  <c r="IH121" i="43"/>
  <c r="IH122" i="43"/>
  <c r="IH123" i="43"/>
  <c r="IH124" i="43"/>
  <c r="IH125" i="43"/>
  <c r="IH126" i="43"/>
  <c r="IH127" i="43"/>
  <c r="IH128" i="43"/>
  <c r="IH129" i="43"/>
  <c r="IH130" i="43"/>
  <c r="IH131" i="43"/>
  <c r="IH132" i="43"/>
  <c r="IH133" i="43"/>
  <c r="IH134" i="43"/>
  <c r="IH135" i="43"/>
  <c r="IH136" i="43"/>
  <c r="IH137" i="43"/>
  <c r="IH138" i="43"/>
  <c r="IH139" i="43"/>
  <c r="IH140" i="43"/>
  <c r="IH141" i="43"/>
  <c r="IH142" i="43"/>
  <c r="IH143" i="43"/>
  <c r="IH144" i="43"/>
  <c r="IH145" i="43"/>
  <c r="IH146" i="43"/>
  <c r="IH147" i="43"/>
  <c r="IH148" i="43"/>
  <c r="IH149" i="43"/>
  <c r="IH150" i="43"/>
  <c r="IH151" i="43"/>
  <c r="IH152" i="43"/>
  <c r="IH153" i="43"/>
  <c r="IH154" i="43"/>
  <c r="IH155" i="43"/>
  <c r="IH156" i="43"/>
  <c r="IH157" i="43"/>
  <c r="IH158" i="43"/>
  <c r="IH159" i="43"/>
  <c r="IH160" i="43"/>
  <c r="IH161" i="43"/>
  <c r="IH162" i="43"/>
  <c r="IH163" i="43"/>
  <c r="IH164" i="43"/>
  <c r="IH165" i="43"/>
  <c r="IH166" i="43"/>
  <c r="IH167" i="43"/>
  <c r="IH168" i="43"/>
  <c r="IH169" i="43"/>
  <c r="IH170" i="43"/>
  <c r="IH171" i="43"/>
  <c r="IH172" i="43"/>
  <c r="IH173" i="43"/>
  <c r="IH174" i="43"/>
  <c r="IH175" i="43"/>
  <c r="IH176" i="43"/>
  <c r="IH177" i="43"/>
  <c r="IH178" i="43"/>
  <c r="IH179" i="43"/>
  <c r="IH180" i="43"/>
  <c r="IH181" i="43"/>
  <c r="IH182" i="43"/>
  <c r="IH183" i="43"/>
  <c r="IH184" i="43"/>
  <c r="IH185" i="43"/>
  <c r="IH186" i="43"/>
  <c r="IH187" i="43"/>
  <c r="IH188" i="43"/>
  <c r="IH189" i="43"/>
  <c r="IH190" i="43"/>
  <c r="IH191" i="43"/>
  <c r="IH192" i="43"/>
  <c r="IH193" i="43"/>
  <c r="IH194" i="43"/>
  <c r="IH195" i="43"/>
  <c r="IH196" i="43"/>
  <c r="IH197" i="43"/>
  <c r="IH198" i="43"/>
  <c r="IH199" i="43"/>
  <c r="IH200" i="43"/>
  <c r="IH201" i="43"/>
  <c r="IH202" i="43"/>
  <c r="IH203" i="43"/>
  <c r="IH204" i="43"/>
  <c r="IH205" i="43"/>
  <c r="IH206" i="43"/>
  <c r="IH207" i="43"/>
  <c r="IH208" i="43"/>
  <c r="IH209" i="43"/>
  <c r="IH210" i="43"/>
  <c r="IH211" i="43"/>
  <c r="IH212" i="43"/>
  <c r="IH213" i="43"/>
  <c r="IH214" i="43"/>
  <c r="IH215" i="43"/>
  <c r="IH216" i="43"/>
  <c r="IH217" i="43"/>
  <c r="IH218" i="43"/>
  <c r="IH219" i="43"/>
  <c r="IH220" i="43"/>
  <c r="IH221" i="43"/>
  <c r="IH222" i="43"/>
  <c r="IH223" i="43"/>
  <c r="IH224" i="43"/>
  <c r="IH225" i="43"/>
  <c r="IH226" i="43"/>
  <c r="IH227" i="43"/>
  <c r="IH228" i="43"/>
  <c r="IH229" i="43"/>
  <c r="IH230" i="43"/>
  <c r="IH231" i="43"/>
  <c r="IH232" i="43"/>
  <c r="IH233" i="43"/>
  <c r="IH234" i="43"/>
  <c r="IH235" i="43"/>
  <c r="IH236" i="43"/>
  <c r="IH237" i="43"/>
  <c r="IH238" i="43"/>
  <c r="IH239" i="43"/>
  <c r="IH240" i="43"/>
  <c r="IH241" i="43"/>
  <c r="IH242" i="43"/>
  <c r="IH243" i="43"/>
  <c r="IH244" i="43"/>
  <c r="IH245" i="43"/>
  <c r="IH246" i="43"/>
  <c r="IH247" i="43"/>
  <c r="IH248" i="43"/>
  <c r="IH249" i="43"/>
  <c r="IH250" i="43"/>
  <c r="IH251" i="43"/>
  <c r="IH252" i="43"/>
  <c r="IH253" i="43"/>
  <c r="IH254" i="43"/>
  <c r="IH255" i="43"/>
  <c r="IH256" i="43"/>
  <c r="IH257" i="43"/>
  <c r="IH258" i="43"/>
  <c r="IH259" i="43"/>
  <c r="IH260" i="43"/>
  <c r="IH261" i="43"/>
  <c r="IH262" i="43"/>
  <c r="IH263" i="43"/>
  <c r="IH264" i="43"/>
  <c r="IH265" i="43"/>
  <c r="IH266" i="43"/>
  <c r="IH267" i="43"/>
  <c r="IH268" i="43"/>
  <c r="IH269" i="43"/>
  <c r="IH270" i="43"/>
  <c r="IH271" i="43"/>
  <c r="IH272" i="43"/>
  <c r="IH273" i="43"/>
  <c r="IH274" i="43"/>
  <c r="IH275" i="43"/>
  <c r="IH276" i="43"/>
  <c r="IH277" i="43"/>
  <c r="IH278" i="43"/>
  <c r="IH279" i="43"/>
  <c r="IH280" i="43"/>
  <c r="IH281" i="43"/>
  <c r="IH282" i="43"/>
  <c r="IH283" i="43"/>
  <c r="IH284" i="43"/>
  <c r="IH285" i="43"/>
  <c r="IH286" i="43"/>
  <c r="IH287" i="43"/>
  <c r="IH288" i="43"/>
  <c r="IH289" i="43"/>
  <c r="IH290" i="43"/>
  <c r="IH291" i="43"/>
  <c r="IH292" i="43"/>
  <c r="IH293" i="43"/>
  <c r="IH294" i="43"/>
  <c r="IH295" i="43"/>
  <c r="IH296" i="43"/>
  <c r="IH297" i="43"/>
  <c r="IH298" i="43"/>
  <c r="IH299" i="43"/>
  <c r="IH300" i="43"/>
  <c r="IH301" i="43"/>
  <c r="IH302" i="43"/>
  <c r="IH303" i="43"/>
  <c r="IH304" i="43"/>
  <c r="IH305" i="43"/>
  <c r="IH306" i="43"/>
  <c r="IH307" i="43"/>
  <c r="IH308" i="43"/>
  <c r="IH309" i="43"/>
  <c r="IH310" i="43"/>
  <c r="IH311" i="43"/>
  <c r="IH312" i="43"/>
  <c r="IH313" i="43"/>
  <c r="IH314" i="43"/>
  <c r="IH315" i="43"/>
  <c r="IH316" i="43"/>
  <c r="IH317" i="43"/>
  <c r="IH318" i="43"/>
  <c r="IH319" i="43"/>
  <c r="IH320" i="43"/>
  <c r="IH321" i="43"/>
  <c r="IH322" i="43"/>
  <c r="IH323" i="43"/>
  <c r="IH324" i="43"/>
  <c r="IH325" i="43"/>
  <c r="IH326" i="43"/>
  <c r="IH327" i="43"/>
  <c r="IH328" i="43"/>
  <c r="IH329" i="43"/>
  <c r="IH11" i="43"/>
  <c r="II12" i="43" l="1"/>
  <c r="II13" i="43"/>
  <c r="II14" i="43"/>
  <c r="II15" i="43"/>
  <c r="II16" i="43"/>
  <c r="II17" i="43"/>
  <c r="II18" i="43"/>
  <c r="II19" i="43"/>
  <c r="II20" i="43"/>
  <c r="II21" i="43"/>
  <c r="II22" i="43"/>
  <c r="II23" i="43"/>
  <c r="II24" i="43"/>
  <c r="II25" i="43"/>
  <c r="II26" i="43"/>
  <c r="II27" i="43"/>
  <c r="II28" i="43"/>
  <c r="II29" i="43"/>
  <c r="II30" i="43"/>
  <c r="II31" i="43"/>
  <c r="II32" i="43"/>
  <c r="II33" i="43"/>
  <c r="II34" i="43"/>
  <c r="II35" i="43"/>
  <c r="II36" i="43"/>
  <c r="II37" i="43"/>
  <c r="II38" i="43"/>
  <c r="II39" i="43"/>
  <c r="II40" i="43"/>
  <c r="II41" i="43"/>
  <c r="II42" i="43"/>
  <c r="II43" i="43"/>
  <c r="II44" i="43"/>
  <c r="II45" i="43"/>
  <c r="II46" i="43"/>
  <c r="II47" i="43"/>
  <c r="II48" i="43"/>
  <c r="II49" i="43"/>
  <c r="II50" i="43"/>
  <c r="II51" i="43"/>
  <c r="II52" i="43"/>
  <c r="II53" i="43"/>
  <c r="II54" i="43"/>
  <c r="II55" i="43"/>
  <c r="II56" i="43"/>
  <c r="II57" i="43"/>
  <c r="II58" i="43"/>
  <c r="II59" i="43"/>
  <c r="II60" i="43"/>
  <c r="II61" i="43"/>
  <c r="II62" i="43"/>
  <c r="II63" i="43"/>
  <c r="II64" i="43"/>
  <c r="II65" i="43"/>
  <c r="II66" i="43"/>
  <c r="II67" i="43"/>
  <c r="II68" i="43"/>
  <c r="II69" i="43"/>
  <c r="II70" i="43"/>
  <c r="II71" i="43"/>
  <c r="II72" i="43"/>
  <c r="II73" i="43"/>
  <c r="II74" i="43"/>
  <c r="II75" i="43"/>
  <c r="II76" i="43"/>
  <c r="II77" i="43"/>
  <c r="II78" i="43"/>
  <c r="II79" i="43"/>
  <c r="II80" i="43"/>
  <c r="II81" i="43"/>
  <c r="II82" i="43"/>
  <c r="II83" i="43"/>
  <c r="II84" i="43"/>
  <c r="II85" i="43"/>
  <c r="II86" i="43"/>
  <c r="II87" i="43"/>
  <c r="II88" i="43"/>
  <c r="II89" i="43"/>
  <c r="II90" i="43"/>
  <c r="II91" i="43"/>
  <c r="II92" i="43"/>
  <c r="II93" i="43"/>
  <c r="II94" i="43"/>
  <c r="II95" i="43"/>
  <c r="II96" i="43"/>
  <c r="II97" i="43"/>
  <c r="II98" i="43"/>
  <c r="II99" i="43"/>
  <c r="II100" i="43"/>
  <c r="II101" i="43"/>
  <c r="II102" i="43"/>
  <c r="II103" i="43"/>
  <c r="II104" i="43"/>
  <c r="II105" i="43"/>
  <c r="II106" i="43"/>
  <c r="II107" i="43"/>
  <c r="II108" i="43"/>
  <c r="II109" i="43"/>
  <c r="II110" i="43"/>
  <c r="II111" i="43"/>
  <c r="II112" i="43"/>
  <c r="II113" i="43"/>
  <c r="II114" i="43"/>
  <c r="II115" i="43"/>
  <c r="II116" i="43"/>
  <c r="II117" i="43"/>
  <c r="II118" i="43"/>
  <c r="II119" i="43"/>
  <c r="II120" i="43"/>
  <c r="II121" i="43"/>
  <c r="II122" i="43"/>
  <c r="II123" i="43"/>
  <c r="II124" i="43"/>
  <c r="II125" i="43"/>
  <c r="II126" i="43"/>
  <c r="II127" i="43"/>
  <c r="II128" i="43"/>
  <c r="II129" i="43"/>
  <c r="II130" i="43"/>
  <c r="II131" i="43"/>
  <c r="II132" i="43"/>
  <c r="II133" i="43"/>
  <c r="II134" i="43"/>
  <c r="II135" i="43"/>
  <c r="II136" i="43"/>
  <c r="II137" i="43"/>
  <c r="II138" i="43"/>
  <c r="II139" i="43"/>
  <c r="II140" i="43"/>
  <c r="II141" i="43"/>
  <c r="II142" i="43"/>
  <c r="II143" i="43"/>
  <c r="II144" i="43"/>
  <c r="II145" i="43"/>
  <c r="II146" i="43"/>
  <c r="II147" i="43"/>
  <c r="II148" i="43"/>
  <c r="II149" i="43"/>
  <c r="II150" i="43"/>
  <c r="II151" i="43"/>
  <c r="II152" i="43"/>
  <c r="II153" i="43"/>
  <c r="II154" i="43"/>
  <c r="II155" i="43"/>
  <c r="II156" i="43"/>
  <c r="II157" i="43"/>
  <c r="II158" i="43"/>
  <c r="II159" i="43"/>
  <c r="II160" i="43"/>
  <c r="II161" i="43"/>
  <c r="II162" i="43"/>
  <c r="II163" i="43"/>
  <c r="II164" i="43"/>
  <c r="II165" i="43"/>
  <c r="II166" i="43"/>
  <c r="II167" i="43"/>
  <c r="II168" i="43"/>
  <c r="II169" i="43"/>
  <c r="II170" i="43"/>
  <c r="II171" i="43"/>
  <c r="II172" i="43"/>
  <c r="II173" i="43"/>
  <c r="II174" i="43"/>
  <c r="II175" i="43"/>
  <c r="II176" i="43"/>
  <c r="II177" i="43"/>
  <c r="II178" i="43"/>
  <c r="II179" i="43"/>
  <c r="II180" i="43"/>
  <c r="II181" i="43"/>
  <c r="II182" i="43"/>
  <c r="II183" i="43"/>
  <c r="II184" i="43"/>
  <c r="II185" i="43"/>
  <c r="II186" i="43"/>
  <c r="II187" i="43"/>
  <c r="II188" i="43"/>
  <c r="II189" i="43"/>
  <c r="II190" i="43"/>
  <c r="II191" i="43"/>
  <c r="II192" i="43"/>
  <c r="II193" i="43"/>
  <c r="II194" i="43"/>
  <c r="II195" i="43"/>
  <c r="II196" i="43"/>
  <c r="II197" i="43"/>
  <c r="II198" i="43"/>
  <c r="II199" i="43"/>
  <c r="II200" i="43"/>
  <c r="II201" i="43"/>
  <c r="II202" i="43"/>
  <c r="II203" i="43"/>
  <c r="II204" i="43"/>
  <c r="II205" i="43"/>
  <c r="II206" i="43"/>
  <c r="II207" i="43"/>
  <c r="II208" i="43"/>
  <c r="II209" i="43"/>
  <c r="II210" i="43"/>
  <c r="II211" i="43"/>
  <c r="II212" i="43"/>
  <c r="II213" i="43"/>
  <c r="II214" i="43"/>
  <c r="II215" i="43"/>
  <c r="II216" i="43"/>
  <c r="II217" i="43"/>
  <c r="II218" i="43"/>
  <c r="II219" i="43"/>
  <c r="II220" i="43"/>
  <c r="II221" i="43"/>
  <c r="II222" i="43"/>
  <c r="II223" i="43"/>
  <c r="II224" i="43"/>
  <c r="II225" i="43"/>
  <c r="II226" i="43"/>
  <c r="II227" i="43"/>
  <c r="II228" i="43"/>
  <c r="II229" i="43"/>
  <c r="II230" i="43"/>
  <c r="II231" i="43"/>
  <c r="II232" i="43"/>
  <c r="II233" i="43"/>
  <c r="II234" i="43"/>
  <c r="II235" i="43"/>
  <c r="II236" i="43"/>
  <c r="II237" i="43"/>
  <c r="II238" i="43"/>
  <c r="II239" i="43"/>
  <c r="II240" i="43"/>
  <c r="II241" i="43"/>
  <c r="II242" i="43"/>
  <c r="II243" i="43"/>
  <c r="II244" i="43"/>
  <c r="II245" i="43"/>
  <c r="II246" i="43"/>
  <c r="II247" i="43"/>
  <c r="II248" i="43"/>
  <c r="II249" i="43"/>
  <c r="II250" i="43"/>
  <c r="II251" i="43"/>
  <c r="II252" i="43"/>
  <c r="II253" i="43"/>
  <c r="II254" i="43"/>
  <c r="II255" i="43"/>
  <c r="II256" i="43"/>
  <c r="II257" i="43"/>
  <c r="II258" i="43"/>
  <c r="II259" i="43"/>
  <c r="II260" i="43"/>
  <c r="II261" i="43"/>
  <c r="II262" i="43"/>
  <c r="II263" i="43"/>
  <c r="II264" i="43"/>
  <c r="II265" i="43"/>
  <c r="II266" i="43"/>
  <c r="II267" i="43"/>
  <c r="II268" i="43"/>
  <c r="II269" i="43"/>
  <c r="II270" i="43"/>
  <c r="II271" i="43"/>
  <c r="II272" i="43"/>
  <c r="II273" i="43"/>
  <c r="II274" i="43"/>
  <c r="II275" i="43"/>
  <c r="II276" i="43"/>
  <c r="II277" i="43"/>
  <c r="II278" i="43"/>
  <c r="II279" i="43"/>
  <c r="II280" i="43"/>
  <c r="II281" i="43"/>
  <c r="II282" i="43"/>
  <c r="II283" i="43"/>
  <c r="II284" i="43"/>
  <c r="II285" i="43"/>
  <c r="II286" i="43"/>
  <c r="II287" i="43"/>
  <c r="II288" i="43"/>
  <c r="II289" i="43"/>
  <c r="II290" i="43"/>
  <c r="II291" i="43"/>
  <c r="II292" i="43"/>
  <c r="II293" i="43"/>
  <c r="II294" i="43"/>
  <c r="II295" i="43"/>
  <c r="II296" i="43"/>
  <c r="II297" i="43"/>
  <c r="II298" i="43"/>
  <c r="II299" i="43"/>
  <c r="II300" i="43"/>
  <c r="II301" i="43"/>
  <c r="II302" i="43"/>
  <c r="II303" i="43"/>
  <c r="II304" i="43"/>
  <c r="II305" i="43"/>
  <c r="II306" i="43"/>
  <c r="II307" i="43"/>
  <c r="II308" i="43"/>
  <c r="II309" i="43"/>
  <c r="II310" i="43"/>
  <c r="II311" i="43"/>
  <c r="II312" i="43"/>
  <c r="II313" i="43"/>
  <c r="II314" i="43"/>
  <c r="II315" i="43"/>
  <c r="II316" i="43"/>
  <c r="II317" i="43"/>
  <c r="II318" i="43"/>
  <c r="II319" i="43"/>
  <c r="II320" i="43"/>
  <c r="II321" i="43"/>
  <c r="II322" i="43"/>
  <c r="II323" i="43"/>
  <c r="II324" i="43"/>
  <c r="II325" i="43"/>
  <c r="II326" i="43"/>
  <c r="II327" i="43"/>
  <c r="II328" i="43"/>
  <c r="II329" i="43"/>
  <c r="II11" i="43"/>
  <c r="H178" i="43" l="1"/>
  <c r="H179" i="43"/>
  <c r="H180" i="43"/>
  <c r="H181" i="43"/>
  <c r="H182" i="43"/>
  <c r="H183" i="43"/>
  <c r="H184" i="43"/>
  <c r="H185" i="43"/>
  <c r="H186" i="43"/>
  <c r="H187" i="43"/>
  <c r="H188" i="43"/>
  <c r="H189" i="43"/>
  <c r="H190" i="43"/>
  <c r="H191" i="43"/>
  <c r="H192" i="43"/>
  <c r="H193" i="43"/>
  <c r="H177" i="43"/>
  <c r="H198" i="43"/>
  <c r="H199" i="43"/>
  <c r="H200" i="43"/>
  <c r="H201" i="43"/>
  <c r="H202" i="43"/>
  <c r="H203" i="43"/>
  <c r="H204" i="43"/>
  <c r="H205" i="43"/>
  <c r="H324" i="43"/>
  <c r="H325" i="43"/>
  <c r="H326" i="43"/>
  <c r="H327" i="43"/>
  <c r="H328" i="43"/>
  <c r="H322" i="43"/>
  <c r="H323" i="43"/>
  <c r="H207" i="43"/>
  <c r="H208" i="43"/>
  <c r="H209" i="43"/>
  <c r="H210" i="43"/>
  <c r="H211" i="43"/>
  <c r="H212" i="43"/>
  <c r="H213" i="43"/>
  <c r="H214" i="43"/>
  <c r="H215" i="43"/>
  <c r="H216" i="43"/>
  <c r="H217" i="43"/>
  <c r="H218" i="43"/>
  <c r="H219" i="43"/>
  <c r="H220" i="43"/>
  <c r="H221" i="43"/>
  <c r="H222" i="43"/>
  <c r="H223" i="43"/>
  <c r="H224" i="43"/>
  <c r="H225" i="43"/>
  <c r="H226" i="43"/>
  <c r="H227" i="43"/>
  <c r="H228" i="43"/>
  <c r="H229" i="43"/>
  <c r="H230" i="43"/>
  <c r="H231" i="43"/>
  <c r="H232" i="43"/>
  <c r="H233" i="43"/>
  <c r="H234" i="43"/>
  <c r="H235" i="43"/>
  <c r="H236" i="43"/>
  <c r="H237" i="43"/>
  <c r="H238" i="43"/>
  <c r="H239" i="43"/>
  <c r="H240" i="43"/>
  <c r="H241" i="43"/>
  <c r="H242" i="43"/>
  <c r="H243" i="43"/>
  <c r="H244" i="43"/>
  <c r="H245" i="43"/>
  <c r="H246" i="43"/>
  <c r="H247" i="43"/>
  <c r="H248" i="43"/>
  <c r="H249" i="43"/>
  <c r="H250" i="43"/>
  <c r="H251" i="43"/>
  <c r="H252" i="43"/>
  <c r="H253" i="43"/>
  <c r="H254" i="43"/>
  <c r="H255" i="43"/>
  <c r="H256" i="43"/>
  <c r="H257" i="43"/>
  <c r="H258" i="43"/>
  <c r="H259" i="43"/>
  <c r="H260" i="43"/>
  <c r="H261" i="43"/>
  <c r="H262" i="43"/>
  <c r="H263" i="43"/>
  <c r="H264" i="43"/>
  <c r="H265" i="43"/>
  <c r="H266" i="43"/>
  <c r="H267" i="43"/>
  <c r="H268" i="43"/>
  <c r="H269" i="43"/>
  <c r="H270" i="43"/>
  <c r="H271" i="43"/>
  <c r="H272" i="43"/>
  <c r="H273" i="43"/>
  <c r="H274" i="43"/>
  <c r="H275" i="43"/>
  <c r="H276" i="43"/>
  <c r="H277" i="43"/>
  <c r="H278" i="43"/>
  <c r="H279" i="43"/>
  <c r="H280" i="43"/>
  <c r="H281" i="43"/>
  <c r="H282" i="43"/>
  <c r="H283" i="43"/>
  <c r="H284" i="43"/>
  <c r="H285" i="43"/>
  <c r="H286" i="43"/>
  <c r="H287" i="43"/>
  <c r="H288" i="43"/>
  <c r="H289" i="43"/>
  <c r="H290" i="43"/>
  <c r="H291" i="43"/>
  <c r="H292" i="43"/>
  <c r="H293" i="43"/>
  <c r="H294" i="43"/>
  <c r="H295" i="43"/>
  <c r="H296" i="43"/>
  <c r="H297" i="43"/>
  <c r="H298" i="43"/>
  <c r="H299" i="43"/>
  <c r="H300" i="43"/>
  <c r="H301" i="43"/>
  <c r="H302" i="43"/>
  <c r="H303" i="43"/>
  <c r="H304" i="43"/>
  <c r="H305" i="43"/>
  <c r="H306" i="43"/>
  <c r="H307" i="43"/>
  <c r="H308" i="43"/>
  <c r="H309" i="43"/>
  <c r="H310" i="43"/>
  <c r="H311" i="43"/>
  <c r="H312" i="43"/>
  <c r="H313" i="43"/>
  <c r="H314" i="43"/>
  <c r="H315" i="43"/>
  <c r="H316" i="43"/>
  <c r="H317" i="43"/>
  <c r="H318" i="43"/>
  <c r="H319" i="43"/>
  <c r="H320" i="43"/>
  <c r="H321" i="43"/>
  <c r="H206" i="43"/>
  <c r="H29" i="43" l="1"/>
  <c r="H30" i="43"/>
  <c r="H31" i="43"/>
  <c r="H32" i="43"/>
  <c r="H33" i="43"/>
  <c r="H34" i="43"/>
  <c r="H35" i="43"/>
  <c r="H36" i="43"/>
  <c r="H37" i="43"/>
  <c r="H38" i="43"/>
  <c r="H39" i="43"/>
  <c r="H40" i="43"/>
  <c r="H41" i="43"/>
  <c r="H42" i="43"/>
  <c r="H43" i="43"/>
  <c r="H44" i="43"/>
  <c r="H45" i="43"/>
  <c r="H46" i="43"/>
  <c r="H47" i="43"/>
  <c r="H48" i="43"/>
  <c r="H49" i="43"/>
  <c r="H50" i="43"/>
  <c r="H51" i="43"/>
  <c r="H52" i="43"/>
  <c r="H53" i="43"/>
  <c r="H54" i="43"/>
  <c r="H55" i="43"/>
  <c r="H56" i="43"/>
  <c r="H57" i="43"/>
  <c r="H58" i="43"/>
  <c r="H59" i="43"/>
  <c r="H60" i="43"/>
  <c r="H61" i="43"/>
  <c r="H62" i="43"/>
  <c r="H63" i="43"/>
  <c r="H64" i="43"/>
  <c r="H65" i="43"/>
  <c r="H66" i="43"/>
  <c r="H67" i="43"/>
  <c r="H68" i="43"/>
  <c r="H69" i="43"/>
  <c r="H70" i="43"/>
  <c r="H71" i="43"/>
  <c r="H72" i="43"/>
  <c r="H73" i="43"/>
  <c r="H74" i="43"/>
  <c r="H75" i="43"/>
  <c r="H76" i="43"/>
  <c r="H77" i="43"/>
  <c r="H78" i="43"/>
  <c r="H79" i="43"/>
  <c r="H80" i="43"/>
  <c r="H81" i="43"/>
  <c r="H82" i="43"/>
  <c r="H83" i="43"/>
  <c r="H84" i="43"/>
  <c r="H85" i="43"/>
  <c r="H86" i="43"/>
  <c r="H87" i="43"/>
  <c r="H88" i="43"/>
  <c r="H89" i="43"/>
  <c r="H90" i="43"/>
  <c r="H91" i="43"/>
  <c r="H92" i="43"/>
  <c r="H93" i="43"/>
  <c r="H94" i="43"/>
  <c r="H95" i="43"/>
  <c r="H96" i="43"/>
  <c r="H97" i="43"/>
  <c r="H98" i="43"/>
  <c r="H99" i="43"/>
  <c r="H100" i="43"/>
  <c r="H101" i="43"/>
  <c r="H102" i="43"/>
  <c r="H103" i="43"/>
  <c r="H104" i="43"/>
  <c r="H105" i="43"/>
  <c r="H106" i="43"/>
  <c r="H107" i="43"/>
  <c r="H108" i="43"/>
  <c r="H109" i="43"/>
  <c r="H110" i="43"/>
  <c r="H111" i="43"/>
  <c r="H112" i="43"/>
  <c r="H113" i="43"/>
  <c r="H114" i="43"/>
  <c r="H115" i="43"/>
  <c r="H116" i="43"/>
  <c r="H117" i="43"/>
  <c r="H118" i="43"/>
  <c r="H119" i="43"/>
  <c r="H120" i="43"/>
  <c r="H121" i="43"/>
  <c r="H122" i="43"/>
  <c r="H123" i="43"/>
  <c r="H124" i="43"/>
  <c r="H125" i="43"/>
  <c r="H126" i="43"/>
  <c r="H127" i="43"/>
  <c r="H128" i="43"/>
  <c r="H129" i="43"/>
  <c r="H130" i="43"/>
  <c r="H131" i="43"/>
  <c r="H132" i="43"/>
  <c r="H133" i="43"/>
  <c r="H134" i="43"/>
  <c r="H135" i="43"/>
  <c r="H136" i="43"/>
  <c r="H137" i="43"/>
  <c r="H138" i="43"/>
  <c r="H139" i="43"/>
  <c r="H140" i="43"/>
  <c r="H141" i="43"/>
  <c r="H142" i="43"/>
  <c r="H143" i="43"/>
  <c r="H144" i="43"/>
  <c r="H145" i="43"/>
  <c r="H146" i="43"/>
  <c r="H147" i="43"/>
  <c r="H148" i="43"/>
  <c r="H149" i="43"/>
  <c r="H150" i="43"/>
  <c r="H151" i="43"/>
  <c r="H152" i="43"/>
  <c r="H153" i="43"/>
  <c r="H154" i="43"/>
  <c r="H155" i="43"/>
  <c r="H156" i="43"/>
  <c r="H157" i="43"/>
  <c r="H158" i="43"/>
  <c r="H159" i="43"/>
  <c r="H160" i="43"/>
  <c r="H161" i="43"/>
  <c r="H162" i="43"/>
  <c r="H163" i="43"/>
  <c r="H164" i="43"/>
  <c r="H165" i="43"/>
  <c r="H166" i="43"/>
  <c r="H167" i="43"/>
  <c r="H168" i="43"/>
  <c r="H169" i="43"/>
  <c r="H170" i="43"/>
  <c r="H171" i="43"/>
  <c r="H172" i="43"/>
  <c r="H173" i="43"/>
  <c r="H174" i="43"/>
  <c r="H175" i="43"/>
  <c r="H176" i="43"/>
  <c r="H27" i="43"/>
  <c r="H28" i="43"/>
  <c r="H26" i="43"/>
  <c r="H14" i="43"/>
  <c r="H15" i="43"/>
  <c r="H16" i="43"/>
  <c r="H17" i="43"/>
  <c r="H18" i="43"/>
  <c r="H19" i="43"/>
  <c r="H20" i="43"/>
  <c r="H21" i="43"/>
  <c r="H22" i="43"/>
  <c r="H23" i="43"/>
  <c r="H24" i="43"/>
  <c r="H25" i="43"/>
  <c r="H13" i="43"/>
  <c r="J13" i="43"/>
  <c r="I13" i="43"/>
  <c r="BG322" i="43" l="1"/>
  <c r="BI322" i="43"/>
  <c r="BM322" i="43"/>
  <c r="BO322" i="43"/>
  <c r="BQ322" i="43"/>
  <c r="BZ322" i="43"/>
  <c r="CB322" i="43"/>
  <c r="CG322" i="43"/>
  <c r="CH322" i="43"/>
  <c r="CJ322" i="43"/>
  <c r="CL322" i="43"/>
  <c r="CU322" i="43"/>
  <c r="CW322" i="43"/>
  <c r="DA322" i="43"/>
  <c r="CS322" i="43" s="1"/>
  <c r="DC322" i="43"/>
  <c r="BG323" i="43"/>
  <c r="BI323" i="43"/>
  <c r="BM323" i="43"/>
  <c r="BO323" i="43"/>
  <c r="BQ323" i="43"/>
  <c r="BZ323" i="43"/>
  <c r="CB323" i="43"/>
  <c r="CG323" i="43"/>
  <c r="CH323" i="43"/>
  <c r="CJ323" i="43"/>
  <c r="CL323" i="43"/>
  <c r="CU323" i="43"/>
  <c r="CW323" i="43"/>
  <c r="DA323" i="43"/>
  <c r="CS323" i="43" s="1"/>
  <c r="DC323" i="43"/>
  <c r="BX323" i="43" l="1"/>
  <c r="CE323" i="43" s="1"/>
  <c r="CD323" i="43"/>
  <c r="BX322" i="43"/>
  <c r="CE322" i="43" s="1"/>
  <c r="CD322" i="43"/>
  <c r="CY322" i="43"/>
  <c r="CY323" i="43"/>
  <c r="EG323" i="32"/>
  <c r="EG324" i="32"/>
  <c r="EG325" i="32"/>
  <c r="EG326" i="32"/>
  <c r="EG327" i="32"/>
  <c r="EG328" i="32"/>
  <c r="EG329" i="32"/>
  <c r="EG318" i="32" l="1"/>
  <c r="EG319" i="32"/>
  <c r="EG320" i="32"/>
  <c r="EG321" i="32"/>
  <c r="EG322" i="32"/>
  <c r="EG317" i="32"/>
  <c r="EG310" i="32"/>
  <c r="EG311" i="32"/>
  <c r="EG312" i="32"/>
  <c r="EG313" i="32"/>
  <c r="EG314" i="32"/>
  <c r="EG315" i="32"/>
  <c r="EG316" i="32"/>
  <c r="EG303" i="32" l="1"/>
  <c r="EG304" i="32"/>
  <c r="EG305" i="32"/>
  <c r="EG306" i="32"/>
  <c r="EG307" i="32"/>
  <c r="EG308" i="32"/>
  <c r="EG309" i="32"/>
  <c r="EG302" i="32"/>
  <c r="EG295" i="32" l="1"/>
  <c r="EG296" i="32"/>
  <c r="EG297" i="32"/>
  <c r="EG298" i="32"/>
  <c r="EG299" i="32"/>
  <c r="EG300" i="32"/>
  <c r="EG301" i="32"/>
  <c r="EG288" i="32" l="1"/>
  <c r="EG289" i="32"/>
  <c r="EG290" i="32"/>
  <c r="EG291" i="32"/>
  <c r="EG292" i="32"/>
  <c r="EG293" i="32"/>
  <c r="EG294" i="32"/>
  <c r="EG287" i="32" l="1"/>
  <c r="EG281" i="32" l="1"/>
  <c r="EG282" i="32"/>
  <c r="EG283" i="32"/>
  <c r="EG284" i="32"/>
  <c r="EG285" i="32"/>
  <c r="EG286" i="32"/>
  <c r="AI379" i="45" l="1"/>
  <c r="AI380" i="45"/>
  <c r="AI381" i="45"/>
  <c r="AI382" i="45"/>
  <c r="AI383" i="45"/>
  <c r="AI384" i="45"/>
  <c r="EG274" i="32" l="1"/>
  <c r="EG275" i="32"/>
  <c r="EG276" i="32"/>
  <c r="EG277" i="32"/>
  <c r="EG278" i="32"/>
  <c r="EG279" i="32"/>
  <c r="EG280" i="32"/>
  <c r="EG273" i="32" l="1"/>
  <c r="EG272" i="32"/>
  <c r="EG271" i="32"/>
  <c r="EG270" i="32"/>
  <c r="EG269" i="32"/>
  <c r="EG268" i="32"/>
  <c r="EG267" i="32"/>
  <c r="EG261" i="32" l="1"/>
  <c r="EG262" i="32"/>
  <c r="EG263" i="32"/>
  <c r="EG264" i="32"/>
  <c r="EG265" i="32"/>
  <c r="EG266" i="32"/>
  <c r="EG260" i="32"/>
  <c r="G253" i="43" l="1"/>
  <c r="EG253" i="32"/>
  <c r="EG254" i="32"/>
  <c r="EG255" i="32"/>
  <c r="EG256" i="32"/>
  <c r="EG257" i="32"/>
  <c r="EG258" i="32"/>
  <c r="EG259" i="32"/>
  <c r="EG247" i="32" l="1"/>
  <c r="EG248" i="32"/>
  <c r="EG249" i="32"/>
  <c r="EG250" i="32"/>
  <c r="EG251" i="32"/>
  <c r="EG252" i="32"/>
  <c r="EG246" i="32"/>
  <c r="EG239" i="32" l="1"/>
  <c r="EG240" i="32"/>
  <c r="EG241" i="32"/>
  <c r="EG242" i="32"/>
  <c r="EG243" i="32"/>
  <c r="EG244" i="32"/>
  <c r="EG245" i="32"/>
  <c r="EG233" i="32" l="1"/>
  <c r="EG234" i="32"/>
  <c r="EG235" i="32"/>
  <c r="EG236" i="32"/>
  <c r="EG237" i="32"/>
  <c r="EG238" i="32"/>
  <c r="EG232" i="32"/>
  <c r="EG229" i="32" l="1"/>
  <c r="EG230" i="32"/>
  <c r="EG231" i="32"/>
  <c r="EG228" i="32"/>
  <c r="EG227" i="32"/>
  <c r="EG226" i="32"/>
  <c r="EG225" i="32"/>
  <c r="EV9" i="32" l="1"/>
  <c r="EV10" i="32"/>
  <c r="EV11" i="32"/>
  <c r="EV12" i="32"/>
  <c r="EV13" i="32"/>
  <c r="EV14" i="32"/>
  <c r="EV15" i="32"/>
  <c r="EV16" i="32"/>
  <c r="EV17" i="32"/>
  <c r="EV18" i="32"/>
  <c r="EV19" i="32"/>
  <c r="EV20" i="32"/>
  <c r="EV21" i="32"/>
  <c r="EV22" i="32"/>
  <c r="EV23" i="32"/>
  <c r="EV24" i="32"/>
  <c r="EV25" i="32"/>
  <c r="EV26" i="32"/>
  <c r="EV27" i="32"/>
  <c r="EV28" i="32"/>
  <c r="EV29" i="32"/>
  <c r="EV30" i="32"/>
  <c r="EV31" i="32"/>
  <c r="EV32" i="32"/>
  <c r="EV33" i="32"/>
  <c r="EV34" i="32"/>
  <c r="EV35" i="32"/>
  <c r="EV36" i="32"/>
  <c r="EV37" i="32"/>
  <c r="EV38" i="32"/>
  <c r="EV39" i="32"/>
  <c r="EV40" i="32"/>
  <c r="EV41" i="32"/>
  <c r="EV42" i="32"/>
  <c r="EV43" i="32"/>
  <c r="EV44" i="32"/>
  <c r="EV45" i="32"/>
  <c r="EV46" i="32"/>
  <c r="EV47" i="32"/>
  <c r="EV48" i="32"/>
  <c r="EV49" i="32"/>
  <c r="EV50" i="32"/>
  <c r="EV51" i="32"/>
  <c r="EV52" i="32"/>
  <c r="EV53" i="32"/>
  <c r="EV54" i="32"/>
  <c r="EV55" i="32"/>
  <c r="EV56" i="32"/>
  <c r="EV57" i="32"/>
  <c r="EV58" i="32"/>
  <c r="EV59" i="32"/>
  <c r="EV60" i="32"/>
  <c r="EV61" i="32"/>
  <c r="EV62" i="32"/>
  <c r="EV63" i="32"/>
  <c r="EV64" i="32"/>
  <c r="EV65" i="32"/>
  <c r="EV66" i="32"/>
  <c r="EV67" i="32"/>
  <c r="EV68" i="32"/>
  <c r="EV69" i="32"/>
  <c r="EV70" i="32"/>
  <c r="EV71" i="32"/>
  <c r="EV72" i="32"/>
  <c r="EV73" i="32"/>
  <c r="EV74" i="32"/>
  <c r="EV75" i="32"/>
  <c r="EV76" i="32"/>
  <c r="EV77" i="32"/>
  <c r="EV78" i="32"/>
  <c r="EV79" i="32"/>
  <c r="EV80" i="32"/>
  <c r="EV81" i="32"/>
  <c r="EV82" i="32"/>
  <c r="EV83" i="32"/>
  <c r="EV84" i="32"/>
  <c r="EV85" i="32"/>
  <c r="EV86" i="32"/>
  <c r="EV87" i="32"/>
  <c r="EV88" i="32"/>
  <c r="EV89" i="32"/>
  <c r="EV90" i="32"/>
  <c r="EV91" i="32"/>
  <c r="EV92" i="32"/>
  <c r="EV93" i="32"/>
  <c r="EV94" i="32"/>
  <c r="EV95" i="32"/>
  <c r="EV96" i="32"/>
  <c r="EV97" i="32"/>
  <c r="EV98" i="32"/>
  <c r="EV99" i="32"/>
  <c r="EV100" i="32"/>
  <c r="EV101" i="32"/>
  <c r="EV102" i="32"/>
  <c r="EV103" i="32"/>
  <c r="EV104" i="32"/>
  <c r="EV105" i="32"/>
  <c r="EV106" i="32"/>
  <c r="EV107" i="32"/>
  <c r="EV108" i="32"/>
  <c r="EV109" i="32"/>
  <c r="EV110" i="32"/>
  <c r="EV111" i="32"/>
  <c r="EV112" i="32"/>
  <c r="EV113" i="32"/>
  <c r="EV114" i="32"/>
  <c r="EV115" i="32"/>
  <c r="EV116" i="32"/>
  <c r="EV117" i="32"/>
  <c r="EV118" i="32"/>
  <c r="EV119" i="32"/>
  <c r="EV120" i="32"/>
  <c r="EV121" i="32"/>
  <c r="EV122" i="32"/>
  <c r="EV123" i="32"/>
  <c r="EV124" i="32"/>
  <c r="EV125" i="32"/>
  <c r="EV126" i="32"/>
  <c r="EV127" i="32"/>
  <c r="EV128" i="32"/>
  <c r="EV129" i="32"/>
  <c r="EV130" i="32"/>
  <c r="EV131" i="32"/>
  <c r="EV132" i="32"/>
  <c r="EV133" i="32"/>
  <c r="EV134" i="32"/>
  <c r="EV135" i="32"/>
  <c r="EV136" i="32"/>
  <c r="EV137" i="32"/>
  <c r="EV138" i="32"/>
  <c r="EV139" i="32"/>
  <c r="EV140" i="32"/>
  <c r="EV141" i="32"/>
  <c r="EV142" i="32"/>
  <c r="EV143" i="32"/>
  <c r="EV144" i="32"/>
  <c r="EV145" i="32"/>
  <c r="EV146" i="32"/>
  <c r="EV147" i="32"/>
  <c r="EV148" i="32"/>
  <c r="EV149" i="32"/>
  <c r="EV150" i="32"/>
  <c r="EV151" i="32"/>
  <c r="EV152" i="32"/>
  <c r="EV153" i="32"/>
  <c r="EV154" i="32"/>
  <c r="EV155" i="32"/>
  <c r="EV156" i="32"/>
  <c r="EV157" i="32"/>
  <c r="EV158" i="32"/>
  <c r="EV159" i="32"/>
  <c r="EV160" i="32"/>
  <c r="EV161" i="32"/>
  <c r="EV162" i="32"/>
  <c r="EV163" i="32"/>
  <c r="EV164" i="32"/>
  <c r="EV165" i="32"/>
  <c r="EV166" i="32"/>
  <c r="EV167" i="32"/>
  <c r="EV168" i="32"/>
  <c r="EV169" i="32"/>
  <c r="EV170" i="32"/>
  <c r="EV171" i="32"/>
  <c r="EV172" i="32"/>
  <c r="EV173" i="32"/>
  <c r="EV174" i="32"/>
  <c r="EV175" i="32"/>
  <c r="EV176" i="32"/>
  <c r="EV177" i="32"/>
  <c r="EV178" i="32"/>
  <c r="EV179" i="32"/>
  <c r="EV180" i="32"/>
  <c r="EV181" i="32"/>
  <c r="EV182" i="32"/>
  <c r="EV183" i="32"/>
  <c r="EV184" i="32"/>
  <c r="EV185" i="32"/>
  <c r="EV186" i="32"/>
  <c r="EV187" i="32"/>
  <c r="EV188" i="32"/>
  <c r="EV189" i="32"/>
  <c r="EV190" i="32"/>
  <c r="EV191" i="32"/>
  <c r="EV192" i="32"/>
  <c r="EV193" i="32"/>
  <c r="EV194" i="32"/>
  <c r="EV195" i="32"/>
  <c r="EV196" i="32"/>
  <c r="EV197" i="32"/>
  <c r="EV198" i="32"/>
  <c r="EV199" i="32"/>
  <c r="EV200" i="32"/>
  <c r="EV201" i="32"/>
  <c r="EV202" i="32"/>
  <c r="EV203" i="32"/>
  <c r="EV204" i="32"/>
  <c r="EV205" i="32"/>
  <c r="EV206" i="32"/>
  <c r="EV207" i="32"/>
  <c r="EV208" i="32"/>
  <c r="EV209" i="32"/>
  <c r="EV210" i="32"/>
  <c r="EV211" i="32"/>
  <c r="EV212" i="32"/>
  <c r="EV213" i="32"/>
  <c r="EV214" i="32"/>
  <c r="EV215" i="32"/>
  <c r="EV216" i="32"/>
  <c r="EV217" i="32"/>
  <c r="EV218" i="32"/>
  <c r="EV219" i="32"/>
  <c r="EV220" i="32"/>
  <c r="EV221" i="32"/>
  <c r="EV222" i="32"/>
  <c r="EV223" i="32"/>
  <c r="EV224" i="32"/>
  <c r="EV225" i="32"/>
  <c r="EV226" i="32"/>
  <c r="EV227" i="32"/>
  <c r="EV228" i="32"/>
  <c r="EV229" i="32"/>
  <c r="EV230" i="32"/>
  <c r="EV231" i="32"/>
  <c r="EV232" i="32"/>
  <c r="EV233" i="32"/>
  <c r="EV234" i="32"/>
  <c r="EV235" i="32"/>
  <c r="EV236" i="32"/>
  <c r="EV237" i="32"/>
  <c r="EV238" i="32"/>
  <c r="EV239" i="32"/>
  <c r="EV240" i="32"/>
  <c r="EV241" i="32"/>
  <c r="EV242" i="32"/>
  <c r="EV243" i="32"/>
  <c r="EV244" i="32"/>
  <c r="EV245" i="32"/>
  <c r="EV246" i="32"/>
  <c r="EV247" i="32"/>
  <c r="EV248" i="32"/>
  <c r="EV249" i="32"/>
  <c r="EV250" i="32"/>
  <c r="EV251" i="32"/>
  <c r="EV252" i="32"/>
  <c r="EV253" i="32"/>
  <c r="EV254" i="32"/>
  <c r="EV255" i="32"/>
  <c r="EV256" i="32"/>
  <c r="EV257" i="32"/>
  <c r="EV258" i="32"/>
  <c r="EV259" i="32"/>
  <c r="EV260" i="32"/>
  <c r="EV261" i="32"/>
  <c r="EV262" i="32"/>
  <c r="EV263" i="32"/>
  <c r="EV264" i="32"/>
  <c r="EV265" i="32"/>
  <c r="EV266" i="32"/>
  <c r="EV267" i="32"/>
  <c r="EV268" i="32"/>
  <c r="EV269" i="32"/>
  <c r="EV270" i="32"/>
  <c r="EV271" i="32"/>
  <c r="EV272" i="32"/>
  <c r="EV273" i="32"/>
  <c r="EV274" i="32"/>
  <c r="EV275" i="32"/>
  <c r="EV276" i="32"/>
  <c r="EV277" i="32"/>
  <c r="EV278" i="32"/>
  <c r="EV279" i="32"/>
  <c r="EV280" i="32"/>
  <c r="EV281" i="32"/>
  <c r="EV282" i="32"/>
  <c r="EV283" i="32"/>
  <c r="EV284" i="32"/>
  <c r="EV285" i="32"/>
  <c r="EV286" i="32"/>
  <c r="EV287" i="32"/>
  <c r="EV288" i="32"/>
  <c r="EV289" i="32"/>
  <c r="EV290" i="32"/>
  <c r="EV291" i="32"/>
  <c r="EV292" i="32"/>
  <c r="EV293" i="32"/>
  <c r="EV294" i="32"/>
  <c r="EV295" i="32"/>
  <c r="EV296" i="32"/>
  <c r="EV297" i="32"/>
  <c r="EV298" i="32"/>
  <c r="EV299" i="32"/>
  <c r="EV300" i="32"/>
  <c r="EV301" i="32"/>
  <c r="EV302" i="32"/>
  <c r="EV303" i="32"/>
  <c r="EV304" i="32"/>
  <c r="EV305" i="32"/>
  <c r="EV306" i="32"/>
  <c r="EV307" i="32"/>
  <c r="EV308" i="32"/>
  <c r="EV309" i="32"/>
  <c r="EV310" i="32"/>
  <c r="EV311" i="32"/>
  <c r="EV312" i="32"/>
  <c r="EV313" i="32"/>
  <c r="EV314" i="32"/>
  <c r="EV315" i="32"/>
  <c r="EV316" i="32"/>
  <c r="EV317" i="32"/>
  <c r="EV318" i="32"/>
  <c r="EV319" i="32"/>
  <c r="EV320" i="32"/>
  <c r="EV321" i="32"/>
  <c r="EV322" i="32"/>
  <c r="EV323" i="32"/>
  <c r="EV324" i="32"/>
  <c r="EV325" i="32"/>
  <c r="EV326" i="32"/>
  <c r="EV327" i="32"/>
  <c r="EV328" i="32"/>
  <c r="EV329" i="32"/>
  <c r="EV330" i="32"/>
  <c r="EV331" i="32"/>
  <c r="EV332" i="32"/>
  <c r="EV333" i="32"/>
  <c r="EV334" i="32"/>
  <c r="EV335" i="32"/>
  <c r="EV336" i="32"/>
  <c r="EV337" i="32"/>
  <c r="EV338" i="32"/>
  <c r="EV339" i="32"/>
  <c r="EV340" i="32"/>
  <c r="EV341" i="32"/>
  <c r="EV342" i="32"/>
  <c r="EV343" i="32"/>
  <c r="EV344" i="32"/>
  <c r="EV345" i="32"/>
  <c r="EV346" i="32"/>
  <c r="EV347" i="32"/>
  <c r="EV348" i="32"/>
  <c r="EV349" i="32"/>
  <c r="EV350" i="32"/>
  <c r="EV351" i="32"/>
  <c r="EV352" i="32"/>
  <c r="EV353" i="32"/>
  <c r="EV354" i="32"/>
  <c r="EV355" i="32"/>
  <c r="EV356" i="32"/>
  <c r="EV357" i="32"/>
  <c r="EV358" i="32"/>
  <c r="EV359" i="32"/>
  <c r="EV360" i="32"/>
  <c r="EV361" i="32"/>
  <c r="EV362" i="32"/>
  <c r="EV363" i="32"/>
  <c r="EV364" i="32"/>
  <c r="EV365" i="32"/>
  <c r="EV366" i="32"/>
  <c r="EV367" i="32"/>
  <c r="EV368" i="32"/>
  <c r="EV369" i="32"/>
  <c r="EV370" i="32"/>
  <c r="EV371" i="32"/>
  <c r="EV372" i="32"/>
  <c r="EV373" i="32"/>
  <c r="EV374" i="32"/>
  <c r="EV375" i="32"/>
  <c r="EV376" i="32"/>
  <c r="EV377" i="32"/>
  <c r="EV378" i="32"/>
  <c r="EV379" i="32"/>
  <c r="EV380" i="32"/>
  <c r="EV381" i="32"/>
  <c r="EV8" i="32"/>
  <c r="EG218" i="32" l="1"/>
  <c r="EG219" i="32"/>
  <c r="EG220" i="32"/>
  <c r="EG221" i="32"/>
  <c r="EG222" i="32"/>
  <c r="EG223" i="32"/>
  <c r="EG224" i="32"/>
  <c r="EG212" i="32" l="1"/>
  <c r="EG213" i="32"/>
  <c r="EG214" i="32"/>
  <c r="EG215" i="32"/>
  <c r="EG216" i="32"/>
  <c r="EG217" i="32"/>
  <c r="EG211" i="32"/>
  <c r="EG205" i="32" l="1"/>
  <c r="EG206" i="32"/>
  <c r="EG207" i="32"/>
  <c r="EG208" i="32"/>
  <c r="EG209" i="32"/>
  <c r="EG210" i="32"/>
  <c r="EG204" i="32"/>
  <c r="K187" i="43" l="1"/>
  <c r="AI184" i="45" s="1"/>
  <c r="I187" i="43"/>
  <c r="J187" i="43"/>
  <c r="M187" i="43"/>
  <c r="O187" i="43"/>
  <c r="EG197" i="32" l="1"/>
  <c r="EG198" i="32"/>
  <c r="EG199" i="32"/>
  <c r="EG200" i="32"/>
  <c r="EG201" i="32"/>
  <c r="EG202" i="32"/>
  <c r="EG203" i="32"/>
  <c r="AC189" i="45" l="1"/>
  <c r="EG190" i="32" l="1"/>
  <c r="EG191" i="32"/>
  <c r="EG192" i="32"/>
  <c r="EG193" i="32"/>
  <c r="EG194" i="32"/>
  <c r="EG195" i="32"/>
  <c r="EG196" i="32"/>
  <c r="EG183" i="32" l="1"/>
  <c r="EG184" i="32"/>
  <c r="EG185" i="32"/>
  <c r="EG186" i="32"/>
  <c r="EG187" i="32"/>
  <c r="EG188" i="32"/>
  <c r="EG189" i="32"/>
  <c r="F3" i="34" l="1"/>
  <c r="EG176" i="32" l="1"/>
  <c r="EG177" i="32"/>
  <c r="EG178" i="32"/>
  <c r="EG179" i="32"/>
  <c r="EG180" i="32"/>
  <c r="EG181" i="32"/>
  <c r="EG182" i="32"/>
  <c r="K52" i="42" l="1"/>
  <c r="K53" i="42"/>
  <c r="K54" i="42"/>
  <c r="K55" i="42"/>
  <c r="K56" i="42"/>
  <c r="K57" i="42"/>
  <c r="K58" i="42"/>
  <c r="K59" i="42"/>
  <c r="K60" i="42"/>
  <c r="K61" i="42"/>
  <c r="K62" i="42"/>
  <c r="K51" i="42"/>
  <c r="EG169" i="32" l="1"/>
  <c r="EG170" i="32"/>
  <c r="EG171" i="32"/>
  <c r="EG172" i="32"/>
  <c r="EG173" i="32"/>
  <c r="EG174" i="32"/>
  <c r="EG175" i="32"/>
  <c r="EG162" i="32" l="1"/>
  <c r="EG163" i="32"/>
  <c r="EG164" i="32"/>
  <c r="EG165" i="32"/>
  <c r="EG166" i="32"/>
  <c r="EG167" i="32"/>
  <c r="EG168" i="32"/>
  <c r="EG156" i="32" l="1"/>
  <c r="EG157" i="32"/>
  <c r="EG158" i="32"/>
  <c r="EG159" i="32"/>
  <c r="EG160" i="32"/>
  <c r="EG161" i="32"/>
  <c r="EG155" i="32"/>
  <c r="EG148" i="32" l="1"/>
  <c r="EG149" i="32"/>
  <c r="EG150" i="32"/>
  <c r="EG151" i="32"/>
  <c r="EG152" i="32"/>
  <c r="EG153" i="32"/>
  <c r="EG154" i="32"/>
  <c r="EG141" i="32" l="1"/>
  <c r="EG142" i="32"/>
  <c r="EG143" i="32"/>
  <c r="EG144" i="32"/>
  <c r="EG145" i="32"/>
  <c r="EG146" i="32"/>
  <c r="EG147" i="32"/>
  <c r="O139" i="32" l="1"/>
  <c r="CD136" i="32" l="1"/>
  <c r="CD135" i="32"/>
  <c r="CD134" i="32"/>
  <c r="CD133" i="32" l="1"/>
  <c r="EG134" i="32" l="1"/>
  <c r="EG135" i="32"/>
  <c r="EG136" i="32"/>
  <c r="EG137" i="32"/>
  <c r="EG138" i="32"/>
  <c r="EG139" i="32"/>
  <c r="EG140" i="32"/>
  <c r="EG133" i="32" l="1"/>
  <c r="EG126" i="32" l="1"/>
  <c r="EG127" i="32"/>
  <c r="EG128" i="32"/>
  <c r="EG129" i="32"/>
  <c r="EG130" i="32"/>
  <c r="EG131" i="32"/>
  <c r="EG132" i="32"/>
  <c r="DX122" i="32" l="1"/>
  <c r="DX123" i="32"/>
  <c r="DX121" i="32"/>
  <c r="DX120" i="32"/>
  <c r="EG120" i="32" l="1"/>
  <c r="EG121" i="32"/>
  <c r="EG122" i="32"/>
  <c r="EG123" i="32"/>
  <c r="EG124" i="32"/>
  <c r="EG125" i="32"/>
  <c r="EG113" i="32" l="1"/>
  <c r="EG114" i="32"/>
  <c r="EG115" i="32"/>
  <c r="EG116" i="32"/>
  <c r="EG117" i="32"/>
  <c r="EG118" i="32"/>
  <c r="EG119" i="32"/>
  <c r="DX111" i="32" l="1"/>
  <c r="DX110" i="32" l="1"/>
  <c r="DX109" i="32"/>
  <c r="ET111" i="43" l="1"/>
  <c r="EG104" i="32" l="1"/>
  <c r="EG105" i="32"/>
  <c r="EG106" i="32"/>
  <c r="EG107" i="32"/>
  <c r="EG108" i="32"/>
  <c r="EG109" i="32"/>
  <c r="EG110" i="32"/>
  <c r="EG111" i="32"/>
  <c r="EG112" i="32"/>
  <c r="EG103" i="32" l="1"/>
  <c r="EG102" i="32"/>
  <c r="EG101" i="32"/>
  <c r="EG100" i="32"/>
  <c r="EG99" i="32"/>
  <c r="EG92" i="32" l="1"/>
  <c r="EG93" i="32"/>
  <c r="EG94" i="32"/>
  <c r="EG95" i="32"/>
  <c r="EG96" i="32"/>
  <c r="EG97" i="32"/>
  <c r="EG98" i="32"/>
  <c r="EG85" i="32" l="1"/>
  <c r="EG86" i="32"/>
  <c r="EG87" i="32"/>
  <c r="EG88" i="32"/>
  <c r="EG89" i="32"/>
  <c r="EG90" i="32"/>
  <c r="EG91" i="32"/>
  <c r="EG84" i="32" l="1"/>
  <c r="EG78" i="32"/>
  <c r="EG79" i="32"/>
  <c r="EG80" i="32"/>
  <c r="EG81" i="32"/>
  <c r="EG82" i="32"/>
  <c r="EG83" i="32"/>
  <c r="EG77" i="32" l="1"/>
  <c r="EG71" i="32"/>
  <c r="EG72" i="32"/>
  <c r="EG73" i="32"/>
  <c r="EG74" i="32"/>
  <c r="EG75" i="32"/>
  <c r="EG76" i="32"/>
  <c r="E72" i="43" l="1"/>
  <c r="D72" i="43"/>
  <c r="EG64" i="32" l="1"/>
  <c r="EG65" i="32"/>
  <c r="EG66" i="32"/>
  <c r="EG67" i="32"/>
  <c r="EG68" i="32"/>
  <c r="EG69" i="32"/>
  <c r="EG70" i="32"/>
  <c r="EG57" i="32" l="1"/>
  <c r="EG58" i="32"/>
  <c r="EG59" i="32"/>
  <c r="EG60" i="32"/>
  <c r="EG61" i="32"/>
  <c r="EG62" i="32"/>
  <c r="EG63" i="32"/>
  <c r="EG50" i="32" l="1"/>
  <c r="EG51" i="32"/>
  <c r="EG52" i="32"/>
  <c r="EG53" i="32"/>
  <c r="EG54" i="32"/>
  <c r="EG55" i="32"/>
  <c r="EG56" i="32"/>
  <c r="EG43" i="32" l="1"/>
  <c r="EG44" i="32"/>
  <c r="EG45" i="32"/>
  <c r="EG46" i="32"/>
  <c r="EG47" i="32"/>
  <c r="EG48" i="32"/>
  <c r="EG49" i="32"/>
  <c r="W34" i="32" l="1"/>
  <c r="EG36" i="32" l="1"/>
  <c r="EG37" i="32"/>
  <c r="EG38" i="32"/>
  <c r="EG39" i="32"/>
  <c r="EG40" i="32"/>
  <c r="EG41" i="32"/>
  <c r="EG42" i="32"/>
  <c r="O4" i="29" l="1"/>
  <c r="O5" i="29"/>
  <c r="O6" i="29"/>
  <c r="O7" i="29"/>
  <c r="O8" i="29"/>
  <c r="O9" i="29"/>
  <c r="O10" i="29"/>
  <c r="O11" i="29"/>
  <c r="O12" i="29"/>
  <c r="O13" i="29"/>
  <c r="O14" i="29"/>
  <c r="O3" i="29"/>
  <c r="Q4" i="29"/>
  <c r="Q5" i="29"/>
  <c r="Q6" i="29"/>
  <c r="Q7" i="29"/>
  <c r="Q8" i="29"/>
  <c r="Q9" i="29"/>
  <c r="Q10" i="29"/>
  <c r="Q11" i="29"/>
  <c r="Q12" i="29"/>
  <c r="Q13" i="29"/>
  <c r="Q14" i="29"/>
  <c r="Q3" i="29"/>
  <c r="E12" i="43" l="1"/>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D12" i="43"/>
  <c r="D13" i="43"/>
  <c r="D14" i="43"/>
  <c r="D15" i="43"/>
  <c r="D16" i="43"/>
  <c r="D17" i="43"/>
  <c r="D18" i="43"/>
  <c r="D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45" i="43"/>
  <c r="D46" i="43"/>
  <c r="D47" i="43"/>
  <c r="D48" i="43"/>
  <c r="D49" i="43"/>
  <c r="D50" i="43"/>
  <c r="D51" i="43"/>
  <c r="D52" i="43"/>
  <c r="D53" i="43"/>
  <c r="D54" i="43"/>
  <c r="D55" i="43"/>
  <c r="D56" i="43"/>
  <c r="D57" i="43"/>
  <c r="D58" i="43"/>
  <c r="D59" i="43"/>
  <c r="D60" i="43"/>
  <c r="D61" i="43"/>
  <c r="D62" i="43"/>
  <c r="D63" i="43"/>
  <c r="D64" i="43"/>
  <c r="D65" i="43"/>
  <c r="D66" i="43"/>
  <c r="D67" i="43"/>
  <c r="D68" i="43"/>
  <c r="D69" i="43"/>
  <c r="D70" i="43"/>
  <c r="D71" i="43"/>
  <c r="D73" i="43"/>
  <c r="D74" i="43"/>
  <c r="D75" i="43"/>
  <c r="D76" i="43"/>
  <c r="D77" i="43"/>
  <c r="D78" i="43"/>
  <c r="D79" i="43"/>
  <c r="D80" i="43"/>
  <c r="D81" i="43"/>
  <c r="D82" i="43"/>
  <c r="D83" i="43"/>
  <c r="D84" i="43"/>
  <c r="D85" i="43"/>
  <c r="D86" i="43"/>
  <c r="D87" i="43"/>
  <c r="D88" i="43"/>
  <c r="D89" i="43"/>
  <c r="D90" i="43"/>
  <c r="D91" i="43"/>
  <c r="D92" i="43"/>
  <c r="D93" i="43"/>
  <c r="D94" i="43"/>
  <c r="D95" i="43"/>
  <c r="D96" i="43"/>
  <c r="D97" i="43"/>
  <c r="D98" i="43"/>
  <c r="D99" i="43"/>
  <c r="D100" i="43"/>
  <c r="D101" i="43"/>
  <c r="D102" i="43"/>
  <c r="D103" i="43"/>
  <c r="D104" i="43"/>
  <c r="D105" i="43"/>
  <c r="D106" i="43"/>
  <c r="D107" i="43"/>
  <c r="D108" i="43"/>
  <c r="D109" i="43"/>
  <c r="D110" i="43"/>
  <c r="D111" i="43"/>
  <c r="D112" i="43"/>
  <c r="D113" i="43"/>
  <c r="D114" i="43"/>
  <c r="D115" i="43"/>
  <c r="D116" i="43"/>
  <c r="D117" i="43"/>
  <c r="D118" i="43"/>
  <c r="D119" i="43"/>
  <c r="D120" i="43"/>
  <c r="D121" i="43"/>
  <c r="D122" i="43"/>
  <c r="D123" i="43"/>
  <c r="D124" i="43"/>
  <c r="D125" i="43"/>
  <c r="D126" i="43"/>
  <c r="D127" i="43"/>
  <c r="D128" i="43"/>
  <c r="D129" i="43"/>
  <c r="D130" i="43"/>
  <c r="D131" i="43"/>
  <c r="D132" i="43"/>
  <c r="D133" i="43"/>
  <c r="D134" i="43"/>
  <c r="D135" i="43"/>
  <c r="D136" i="43"/>
  <c r="D137" i="43"/>
  <c r="D138" i="43"/>
  <c r="D139" i="43"/>
  <c r="D140" i="43"/>
  <c r="D141" i="43"/>
  <c r="D142" i="43"/>
  <c r="D143" i="43"/>
  <c r="D144" i="43"/>
  <c r="D145" i="43"/>
  <c r="D146" i="43"/>
  <c r="D147" i="43"/>
  <c r="D148" i="43"/>
  <c r="D149" i="43"/>
  <c r="D150" i="43"/>
  <c r="D151" i="43"/>
  <c r="D152" i="43"/>
  <c r="D153" i="43"/>
  <c r="D154" i="43"/>
  <c r="D155" i="43"/>
  <c r="D156" i="43"/>
  <c r="D157" i="43"/>
  <c r="D158" i="43"/>
  <c r="D159" i="43"/>
  <c r="D160" i="43"/>
  <c r="D161" i="43"/>
  <c r="D162" i="43"/>
  <c r="D163" i="43"/>
  <c r="D164" i="43"/>
  <c r="D165" i="43"/>
  <c r="D166" i="43"/>
  <c r="D167" i="43"/>
  <c r="D168" i="43"/>
  <c r="D169" i="43"/>
  <c r="D170" i="43"/>
  <c r="D171" i="43"/>
  <c r="D172" i="43"/>
  <c r="D173" i="43"/>
  <c r="D174" i="43"/>
  <c r="D175" i="43"/>
  <c r="D176" i="43"/>
  <c r="D177" i="43"/>
  <c r="D178" i="43"/>
  <c r="D179" i="43"/>
  <c r="D180" i="43"/>
  <c r="D181" i="43"/>
  <c r="D182" i="43"/>
  <c r="D183" i="43"/>
  <c r="D184" i="43"/>
  <c r="D185" i="43"/>
  <c r="D186" i="43"/>
  <c r="D187" i="43"/>
  <c r="D188" i="43"/>
  <c r="D189" i="43"/>
  <c r="D190" i="43"/>
  <c r="D191" i="43"/>
  <c r="D192" i="43"/>
  <c r="D193" i="43"/>
  <c r="D194" i="43"/>
  <c r="D195" i="43"/>
  <c r="D196" i="43"/>
  <c r="D197" i="43"/>
  <c r="D198" i="43"/>
  <c r="D199" i="43"/>
  <c r="D200" i="43"/>
  <c r="D201" i="43"/>
  <c r="D202" i="43"/>
  <c r="D203" i="43"/>
  <c r="D204" i="43"/>
  <c r="D205" i="43"/>
  <c r="D206" i="43"/>
  <c r="D207" i="43"/>
  <c r="D208" i="43"/>
  <c r="D209" i="43"/>
  <c r="D210" i="43"/>
  <c r="D211" i="43"/>
  <c r="D212" i="43"/>
  <c r="D213" i="43"/>
  <c r="D214" i="43"/>
  <c r="D215" i="43"/>
  <c r="D216" i="43"/>
  <c r="D217" i="43"/>
  <c r="D218" i="43"/>
  <c r="D219" i="43"/>
  <c r="D220" i="43"/>
  <c r="D221" i="43"/>
  <c r="D222" i="43"/>
  <c r="D223" i="43"/>
  <c r="D224" i="43"/>
  <c r="D225" i="43"/>
  <c r="D226" i="43"/>
  <c r="D227" i="43"/>
  <c r="D228" i="43"/>
  <c r="D229" i="43"/>
  <c r="D230" i="43"/>
  <c r="D231" i="43"/>
  <c r="D232" i="43"/>
  <c r="D233" i="43"/>
  <c r="D234" i="43"/>
  <c r="D235" i="43"/>
  <c r="D236" i="43"/>
  <c r="D237" i="43"/>
  <c r="D238" i="43"/>
  <c r="D239" i="43"/>
  <c r="D240" i="43"/>
  <c r="D241" i="43"/>
  <c r="D242" i="43"/>
  <c r="D243" i="43"/>
  <c r="D244" i="43"/>
  <c r="D245" i="43"/>
  <c r="D246" i="43"/>
  <c r="D247" i="43"/>
  <c r="D248" i="43"/>
  <c r="D249" i="43"/>
  <c r="D250" i="43"/>
  <c r="D251" i="43"/>
  <c r="D252" i="43"/>
  <c r="D253" i="43"/>
  <c r="D254" i="43"/>
  <c r="D255" i="43"/>
  <c r="D256" i="43"/>
  <c r="D257" i="43"/>
  <c r="D258" i="43"/>
  <c r="D259" i="43"/>
  <c r="D260" i="43"/>
  <c r="D261" i="43"/>
  <c r="D262" i="43"/>
  <c r="D263" i="43"/>
  <c r="D264" i="43"/>
  <c r="D265" i="43"/>
  <c r="D266" i="43"/>
  <c r="D267" i="43"/>
  <c r="D268" i="43"/>
  <c r="D269" i="43"/>
  <c r="D270" i="43"/>
  <c r="D271" i="43"/>
  <c r="D272" i="43"/>
  <c r="D273" i="43"/>
  <c r="D274" i="43"/>
  <c r="D275" i="43"/>
  <c r="D276" i="43"/>
  <c r="D277" i="43"/>
  <c r="D278" i="43"/>
  <c r="D279" i="43"/>
  <c r="D280" i="43"/>
  <c r="D281" i="43"/>
  <c r="D282" i="43"/>
  <c r="D283" i="43"/>
  <c r="D284" i="43"/>
  <c r="D285" i="43"/>
  <c r="D286" i="43"/>
  <c r="D287" i="43"/>
  <c r="D288" i="43"/>
  <c r="D289" i="43"/>
  <c r="D290" i="43"/>
  <c r="D291" i="43"/>
  <c r="D292" i="43"/>
  <c r="D293" i="43"/>
  <c r="D294" i="43"/>
  <c r="D295" i="43"/>
  <c r="D296" i="43"/>
  <c r="D297" i="43"/>
  <c r="D298" i="43"/>
  <c r="D299" i="43"/>
  <c r="D300" i="43"/>
  <c r="D301" i="43"/>
  <c r="D302" i="43"/>
  <c r="D303" i="43"/>
  <c r="D304" i="43"/>
  <c r="D305" i="43"/>
  <c r="D306" i="43"/>
  <c r="D307" i="43"/>
  <c r="D308" i="43"/>
  <c r="D309" i="43"/>
  <c r="D310" i="43"/>
  <c r="D311" i="43"/>
  <c r="D312" i="43"/>
  <c r="D313" i="43"/>
  <c r="D314" i="43"/>
  <c r="D315" i="43"/>
  <c r="D316" i="43"/>
  <c r="D317" i="43"/>
  <c r="D318" i="43"/>
  <c r="D319" i="43"/>
  <c r="D320" i="43"/>
  <c r="D321" i="43"/>
  <c r="D322" i="43"/>
  <c r="D323" i="43"/>
  <c r="D324" i="43"/>
  <c r="D325" i="43"/>
  <c r="D326" i="43"/>
  <c r="D327" i="43"/>
  <c r="D328" i="43"/>
  <c r="D329" i="43"/>
  <c r="D330" i="43"/>
  <c r="D331" i="43"/>
  <c r="D332" i="43"/>
  <c r="D333" i="43"/>
  <c r="D334" i="43"/>
  <c r="D335" i="43"/>
  <c r="D336" i="43"/>
  <c r="D337" i="43"/>
  <c r="D338" i="43"/>
  <c r="D339" i="43"/>
  <c r="D340" i="43"/>
  <c r="D341" i="43"/>
  <c r="D342" i="43"/>
  <c r="D343" i="43"/>
  <c r="D344" i="43"/>
  <c r="D345" i="43"/>
  <c r="D346" i="43"/>
  <c r="D347" i="43"/>
  <c r="D348" i="43"/>
  <c r="D349" i="43"/>
  <c r="D350" i="43"/>
  <c r="D351" i="43"/>
  <c r="D352" i="43"/>
  <c r="D353" i="43"/>
  <c r="D354" i="43"/>
  <c r="D355" i="43"/>
  <c r="D356" i="43"/>
  <c r="D357" i="43"/>
  <c r="D358" i="43"/>
  <c r="D359" i="43"/>
  <c r="D360" i="43"/>
  <c r="D361" i="43"/>
  <c r="D362" i="43"/>
  <c r="D363" i="43"/>
  <c r="D364" i="43"/>
  <c r="D365" i="43"/>
  <c r="D366" i="43"/>
  <c r="D367" i="43"/>
  <c r="D368" i="43"/>
  <c r="D369" i="43"/>
  <c r="D370" i="43"/>
  <c r="D371" i="43"/>
  <c r="D372" i="43"/>
  <c r="D373" i="43"/>
  <c r="D374" i="43"/>
  <c r="D375" i="43"/>
  <c r="D376" i="43"/>
  <c r="D377" i="43"/>
  <c r="D378" i="43"/>
  <c r="D379" i="43"/>
  <c r="D380" i="43"/>
  <c r="D381" i="43"/>
  <c r="EG29" i="32" l="1"/>
  <c r="EG30" i="32"/>
  <c r="EG31" i="32"/>
  <c r="EG32" i="32"/>
  <c r="EG33" i="32"/>
  <c r="EG34" i="32"/>
  <c r="EG35" i="32"/>
  <c r="EG22" i="32" l="1"/>
  <c r="EG23" i="32"/>
  <c r="EG24" i="32"/>
  <c r="EG25" i="32"/>
  <c r="EG26" i="32"/>
  <c r="EG27" i="32"/>
  <c r="EG28" i="32"/>
  <c r="BM16" i="43" l="1"/>
  <c r="AG14" i="32" l="1"/>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9" i="32"/>
  <c r="AG380" i="32"/>
  <c r="AG381" i="32"/>
  <c r="AG13" i="32"/>
  <c r="EG21" i="32"/>
  <c r="EG15" i="32"/>
  <c r="EG16" i="32"/>
  <c r="EG17" i="32"/>
  <c r="EG18" i="32"/>
  <c r="EG19" i="32"/>
  <c r="EG20" i="32"/>
  <c r="AG12" i="32" l="1"/>
  <c r="AC12" i="32"/>
  <c r="AD12" i="32"/>
  <c r="AE12" i="32" s="1"/>
  <c r="AC13" i="32"/>
  <c r="AD13" i="32" s="1"/>
  <c r="AE13" i="32"/>
  <c r="AC14" i="32"/>
  <c r="AD14" i="32" s="1"/>
  <c r="AE14" i="32" s="1"/>
  <c r="AC15" i="32"/>
  <c r="AD15" i="32" s="1"/>
  <c r="AE15" i="32" s="1"/>
  <c r="AC16" i="32"/>
  <c r="AD16" i="32"/>
  <c r="AE16" i="32" s="1"/>
  <c r="AC17" i="32"/>
  <c r="AD17" i="32" s="1"/>
  <c r="AE17" i="32" s="1"/>
  <c r="AC18" i="32"/>
  <c r="AD18" i="32" s="1"/>
  <c r="AE18" i="32" s="1"/>
  <c r="AC19" i="32"/>
  <c r="AD19" i="32" s="1"/>
  <c r="AE19" i="32" s="1"/>
  <c r="AC20" i="32"/>
  <c r="AD20" i="32" s="1"/>
  <c r="AE20" i="32" s="1"/>
  <c r="AC21" i="32"/>
  <c r="AD21" i="32" s="1"/>
  <c r="AE21" i="32" s="1"/>
  <c r="AC22" i="32"/>
  <c r="AD22" i="32" s="1"/>
  <c r="AE22" i="32" s="1"/>
  <c r="AC23" i="32"/>
  <c r="AD23" i="32" s="1"/>
  <c r="AE23" i="32" s="1"/>
  <c r="AC24" i="32"/>
  <c r="AD24" i="32" s="1"/>
  <c r="AE24" i="32" s="1"/>
  <c r="AC25" i="32"/>
  <c r="AD25" i="32" s="1"/>
  <c r="AE25" i="32" s="1"/>
  <c r="AC26" i="32"/>
  <c r="AD26" i="32" s="1"/>
  <c r="AE26" i="32" s="1"/>
  <c r="AC27" i="32"/>
  <c r="AD27" i="32" s="1"/>
  <c r="AE27" i="32" s="1"/>
  <c r="AC28" i="32"/>
  <c r="AD28" i="32"/>
  <c r="AE28" i="32" s="1"/>
  <c r="AC29" i="32"/>
  <c r="AD29" i="32" s="1"/>
  <c r="AE29" i="32"/>
  <c r="AC30" i="32"/>
  <c r="AD30" i="32"/>
  <c r="AE30" i="32" s="1"/>
  <c r="AC31" i="32"/>
  <c r="AD31" i="32" s="1"/>
  <c r="AE31" i="32" s="1"/>
  <c r="AC32" i="32"/>
  <c r="AD32" i="32" s="1"/>
  <c r="AE32" i="32" s="1"/>
  <c r="AC33" i="32"/>
  <c r="AD33" i="32" s="1"/>
  <c r="AE33" i="32" s="1"/>
  <c r="AC34" i="32"/>
  <c r="AD34" i="32" s="1"/>
  <c r="AE34" i="32" s="1"/>
  <c r="AC35" i="32"/>
  <c r="AD35" i="32" s="1"/>
  <c r="AE35" i="32" s="1"/>
  <c r="AC36" i="32"/>
  <c r="AD36" i="32" s="1"/>
  <c r="AE36" i="32" s="1"/>
  <c r="AC37" i="32"/>
  <c r="AD37" i="32" s="1"/>
  <c r="AE37" i="32" s="1"/>
  <c r="AC38" i="32"/>
  <c r="AD38" i="32" s="1"/>
  <c r="AE38" i="32" s="1"/>
  <c r="AC39" i="32"/>
  <c r="AD39" i="32" s="1"/>
  <c r="AE39" i="32" s="1"/>
  <c r="AC40" i="32"/>
  <c r="AD40" i="32" s="1"/>
  <c r="AE40" i="32" s="1"/>
  <c r="AC41" i="32"/>
  <c r="AD41" i="32" s="1"/>
  <c r="AE41" i="32" s="1"/>
  <c r="AC42" i="32"/>
  <c r="AD42" i="32" s="1"/>
  <c r="AE42" i="32" s="1"/>
  <c r="AC43" i="32"/>
  <c r="AD43" i="32" s="1"/>
  <c r="AE43" i="32" s="1"/>
  <c r="AC44" i="32"/>
  <c r="AD44" i="32" s="1"/>
  <c r="AE44" i="32" s="1"/>
  <c r="AC45" i="32"/>
  <c r="AD45" i="32" s="1"/>
  <c r="AE45" i="32" s="1"/>
  <c r="AC46" i="32"/>
  <c r="AD46" i="32" s="1"/>
  <c r="AE46" i="32" s="1"/>
  <c r="AC47" i="32"/>
  <c r="AD47" i="32" s="1"/>
  <c r="AE47" i="32" s="1"/>
  <c r="AC48" i="32"/>
  <c r="AD48" i="32"/>
  <c r="AE48" i="32" s="1"/>
  <c r="AC49" i="32"/>
  <c r="AD49" i="32" s="1"/>
  <c r="AE49" i="32" s="1"/>
  <c r="AC50" i="32"/>
  <c r="AD50" i="32" s="1"/>
  <c r="AE50" i="32" s="1"/>
  <c r="AC51" i="32"/>
  <c r="AD51" i="32" s="1"/>
  <c r="AE51" i="32" s="1"/>
  <c r="AC52" i="32"/>
  <c r="AD52" i="32" s="1"/>
  <c r="AE52" i="32" s="1"/>
  <c r="AC53" i="32"/>
  <c r="AD53" i="32" s="1"/>
  <c r="AE53" i="32" s="1"/>
  <c r="AC54" i="32"/>
  <c r="AD54" i="32" s="1"/>
  <c r="AE54" i="32" s="1"/>
  <c r="AC55" i="32"/>
  <c r="AD55" i="32" s="1"/>
  <c r="AE55" i="32" s="1"/>
  <c r="AC56" i="32"/>
  <c r="AD56" i="32" s="1"/>
  <c r="AE56" i="32" s="1"/>
  <c r="AC57" i="32"/>
  <c r="AD57" i="32" s="1"/>
  <c r="AE57" i="32" s="1"/>
  <c r="AC58" i="32"/>
  <c r="AD58" i="32"/>
  <c r="AE58" i="32" s="1"/>
  <c r="AC59" i="32"/>
  <c r="AD59" i="32" s="1"/>
  <c r="AE59" i="32" s="1"/>
  <c r="AC60" i="32"/>
  <c r="AD60" i="32" s="1"/>
  <c r="AE60" i="32" s="1"/>
  <c r="AC61" i="32"/>
  <c r="AD61" i="32" s="1"/>
  <c r="AE61" i="32"/>
  <c r="AC62" i="32"/>
  <c r="AD62" i="32" s="1"/>
  <c r="AE62" i="32" s="1"/>
  <c r="AC63" i="32"/>
  <c r="AD63" i="32" s="1"/>
  <c r="AE63" i="32" s="1"/>
  <c r="AC64" i="32"/>
  <c r="AD64" i="32"/>
  <c r="AE64" i="32" s="1"/>
  <c r="AC65" i="32"/>
  <c r="AD65" i="32" s="1"/>
  <c r="AE65" i="32" s="1"/>
  <c r="AC66" i="32"/>
  <c r="AD66" i="32" s="1"/>
  <c r="AE66" i="32" s="1"/>
  <c r="AC67" i="32"/>
  <c r="AD67" i="32" s="1"/>
  <c r="AE67" i="32" s="1"/>
  <c r="AC68" i="32"/>
  <c r="AD68" i="32"/>
  <c r="AE68" i="32" s="1"/>
  <c r="AC69" i="32"/>
  <c r="AD69" i="32" s="1"/>
  <c r="AE69" i="32" s="1"/>
  <c r="AC70" i="32"/>
  <c r="AD70" i="32"/>
  <c r="AE70" i="32" s="1"/>
  <c r="AC71" i="32"/>
  <c r="AD71" i="32" s="1"/>
  <c r="AE71" i="32" s="1"/>
  <c r="AC72" i="32"/>
  <c r="AD72" i="32" s="1"/>
  <c r="AE72" i="32" s="1"/>
  <c r="AC73" i="32"/>
  <c r="AD73" i="32" s="1"/>
  <c r="AE73" i="32" s="1"/>
  <c r="AC74" i="32"/>
  <c r="AD74" i="32"/>
  <c r="AE74" i="32" s="1"/>
  <c r="AC75" i="32"/>
  <c r="AD75" i="32" s="1"/>
  <c r="AE75" i="32"/>
  <c r="AC76" i="32"/>
  <c r="AD76" i="32" s="1"/>
  <c r="AE76" i="32" s="1"/>
  <c r="AC77" i="32"/>
  <c r="AD77" i="32" s="1"/>
  <c r="AE77" i="32" s="1"/>
  <c r="AC78" i="32"/>
  <c r="AD78" i="32" s="1"/>
  <c r="AE78" i="32" s="1"/>
  <c r="AC79" i="32"/>
  <c r="AD79" i="32" s="1"/>
  <c r="AE79" i="32" s="1"/>
  <c r="AC80" i="32"/>
  <c r="AD80" i="32"/>
  <c r="AE80" i="32" s="1"/>
  <c r="AC81" i="32"/>
  <c r="AD81" i="32" s="1"/>
  <c r="AE81" i="32" s="1"/>
  <c r="AC82" i="32"/>
  <c r="AD82" i="32" s="1"/>
  <c r="AE82" i="32" s="1"/>
  <c r="AC83" i="32"/>
  <c r="AD83" i="32" s="1"/>
  <c r="AE83" i="32" s="1"/>
  <c r="AC84" i="32"/>
  <c r="AD84" i="32" s="1"/>
  <c r="AE84" i="32" s="1"/>
  <c r="AC85" i="32"/>
  <c r="AD85" i="32" s="1"/>
  <c r="AE85" i="32" s="1"/>
  <c r="AC86" i="32"/>
  <c r="AD86" i="32" s="1"/>
  <c r="AE86" i="32" s="1"/>
  <c r="AC87" i="32"/>
  <c r="AD87" i="32" s="1"/>
  <c r="AE87" i="32"/>
  <c r="AC88" i="32"/>
  <c r="AD88" i="32" s="1"/>
  <c r="AE88" i="32" s="1"/>
  <c r="AC89" i="32"/>
  <c r="AD89" i="32" s="1"/>
  <c r="AE89" i="32" s="1"/>
  <c r="AC90" i="32"/>
  <c r="AD90" i="32"/>
  <c r="AE90" i="32" s="1"/>
  <c r="AC91" i="32"/>
  <c r="AD91" i="32" s="1"/>
  <c r="AE91" i="32" s="1"/>
  <c r="AC92" i="32"/>
  <c r="AD92" i="32" s="1"/>
  <c r="AE92" i="32" s="1"/>
  <c r="AC93" i="32"/>
  <c r="AD93" i="32" s="1"/>
  <c r="AE93" i="32" s="1"/>
  <c r="AC94" i="32"/>
  <c r="AD94" i="32" s="1"/>
  <c r="AE94" i="32" s="1"/>
  <c r="AC95" i="32"/>
  <c r="AD95" i="32" s="1"/>
  <c r="AE95" i="32" s="1"/>
  <c r="AC96" i="32"/>
  <c r="AD96" i="32" s="1"/>
  <c r="AE96" i="32" s="1"/>
  <c r="AC97" i="32"/>
  <c r="AD97" i="32" s="1"/>
  <c r="AE97" i="32"/>
  <c r="AC98" i="32"/>
  <c r="AD98" i="32" s="1"/>
  <c r="AE98" i="32" s="1"/>
  <c r="AC99" i="32"/>
  <c r="AD99" i="32" s="1"/>
  <c r="AE99" i="32" s="1"/>
  <c r="AC100" i="32"/>
  <c r="AD100" i="32" s="1"/>
  <c r="AE100" i="32" s="1"/>
  <c r="AC101" i="32"/>
  <c r="AD101" i="32" s="1"/>
  <c r="AE101" i="32" s="1"/>
  <c r="AC102" i="32"/>
  <c r="AD102" i="32" s="1"/>
  <c r="AE102" i="32" s="1"/>
  <c r="AC103" i="32"/>
  <c r="AD103" i="32" s="1"/>
  <c r="AE103" i="32" s="1"/>
  <c r="AC104" i="32"/>
  <c r="AD104" i="32" s="1"/>
  <c r="AE104" i="32" s="1"/>
  <c r="AC105" i="32"/>
  <c r="AD105" i="32" s="1"/>
  <c r="AE105" i="32" s="1"/>
  <c r="AC106" i="32"/>
  <c r="AD106" i="32" s="1"/>
  <c r="AE106" i="32" s="1"/>
  <c r="AC107" i="32"/>
  <c r="AD107" i="32" s="1"/>
  <c r="AE107" i="32" s="1"/>
  <c r="AC108" i="32"/>
  <c r="AD108" i="32" s="1"/>
  <c r="AE108" i="32" s="1"/>
  <c r="AC109" i="32"/>
  <c r="AD109" i="32" s="1"/>
  <c r="AE109" i="32" s="1"/>
  <c r="AC110" i="32"/>
  <c r="AD110" i="32" s="1"/>
  <c r="AE110" i="32" s="1"/>
  <c r="AC111" i="32"/>
  <c r="AD111" i="32" s="1"/>
  <c r="AE111" i="32" s="1"/>
  <c r="AC112" i="32"/>
  <c r="AD112" i="32"/>
  <c r="AE112" i="32" s="1"/>
  <c r="AC113" i="32"/>
  <c r="AD113" i="32" s="1"/>
  <c r="AE113" i="32" s="1"/>
  <c r="AC114" i="32"/>
  <c r="AD114" i="32" s="1"/>
  <c r="AE114" i="32" s="1"/>
  <c r="AC115" i="32"/>
  <c r="AD115" i="32" s="1"/>
  <c r="AE115" i="32" s="1"/>
  <c r="AC116" i="32"/>
  <c r="AD116" i="32" s="1"/>
  <c r="AE116" i="32" s="1"/>
  <c r="AC117" i="32"/>
  <c r="AD117" i="32" s="1"/>
  <c r="AE117" i="32" s="1"/>
  <c r="AC118" i="32"/>
  <c r="AD118" i="32"/>
  <c r="AE118" i="32" s="1"/>
  <c r="AC119" i="32"/>
  <c r="AD119" i="32" s="1"/>
  <c r="AE119" i="32" s="1"/>
  <c r="AC120" i="32"/>
  <c r="AD120" i="32" s="1"/>
  <c r="AE120" i="32" s="1"/>
  <c r="AC121" i="32"/>
  <c r="AD121" i="32" s="1"/>
  <c r="AE121" i="32" s="1"/>
  <c r="AC122" i="32"/>
  <c r="AD122" i="32" s="1"/>
  <c r="AE122" i="32" s="1"/>
  <c r="AC123" i="32"/>
  <c r="AD123" i="32" s="1"/>
  <c r="AE123" i="32"/>
  <c r="AC124" i="32"/>
  <c r="AD124" i="32" s="1"/>
  <c r="AE124" i="32" s="1"/>
  <c r="AC125" i="32"/>
  <c r="AD125" i="32" s="1"/>
  <c r="AE125" i="32" s="1"/>
  <c r="AC126" i="32"/>
  <c r="AD126" i="32" s="1"/>
  <c r="AE126" i="32" s="1"/>
  <c r="AC127" i="32"/>
  <c r="AD127" i="32" s="1"/>
  <c r="AE127" i="32" s="1"/>
  <c r="AC128" i="32"/>
  <c r="AD128" i="32" s="1"/>
  <c r="AE128" i="32" s="1"/>
  <c r="AC129" i="32"/>
  <c r="AD129" i="32" s="1"/>
  <c r="AE129" i="32" s="1"/>
  <c r="AC130" i="32"/>
  <c r="AD130" i="32"/>
  <c r="AE130" i="32" s="1"/>
  <c r="AC131" i="32"/>
  <c r="AD131" i="32" s="1"/>
  <c r="AE131" i="32"/>
  <c r="AC132" i="32"/>
  <c r="AD132" i="32" s="1"/>
  <c r="AE132" i="32" s="1"/>
  <c r="AC133" i="32"/>
  <c r="AD133" i="32" s="1"/>
  <c r="AE133" i="32" s="1"/>
  <c r="AC134" i="32"/>
  <c r="AD134" i="32" s="1"/>
  <c r="AE134" i="32" s="1"/>
  <c r="AC135" i="32"/>
  <c r="AD135" i="32" s="1"/>
  <c r="AE135" i="32" s="1"/>
  <c r="AC136" i="32"/>
  <c r="AD136" i="32" s="1"/>
  <c r="AE136" i="32" s="1"/>
  <c r="AC137" i="32"/>
  <c r="AD137" i="32" s="1"/>
  <c r="AE137" i="32" s="1"/>
  <c r="AC138" i="32"/>
  <c r="AD138" i="32" s="1"/>
  <c r="AE138" i="32" s="1"/>
  <c r="AC139" i="32"/>
  <c r="AD139" i="32" s="1"/>
  <c r="AE139" i="32" s="1"/>
  <c r="AC140" i="32"/>
  <c r="AD140" i="32" s="1"/>
  <c r="AE140" i="32" s="1"/>
  <c r="AC141" i="32"/>
  <c r="AD141" i="32" s="1"/>
  <c r="AE141" i="32" s="1"/>
  <c r="AC142" i="32"/>
  <c r="AD142" i="32" s="1"/>
  <c r="AE142" i="32" s="1"/>
  <c r="AC143" i="32"/>
  <c r="AD143" i="32" s="1"/>
  <c r="AE143" i="32" s="1"/>
  <c r="AC144" i="32"/>
  <c r="AD144" i="32" s="1"/>
  <c r="AE144" i="32" s="1"/>
  <c r="AC145" i="32"/>
  <c r="AD145" i="32" s="1"/>
  <c r="AE145" i="32" s="1"/>
  <c r="AC146" i="32"/>
  <c r="AD146" i="32" s="1"/>
  <c r="AE146" i="32" s="1"/>
  <c r="AC147" i="32"/>
  <c r="AD147" i="32" s="1"/>
  <c r="AE147" i="32" s="1"/>
  <c r="AC148" i="32"/>
  <c r="AD148" i="32"/>
  <c r="AE148" i="32" s="1"/>
  <c r="AC149" i="32"/>
  <c r="AD149" i="32" s="1"/>
  <c r="AE149" i="32" s="1"/>
  <c r="AC150" i="32"/>
  <c r="AD150" i="32" s="1"/>
  <c r="AE150" i="32" s="1"/>
  <c r="AC151" i="32"/>
  <c r="AD151" i="32" s="1"/>
  <c r="AE151" i="32"/>
  <c r="AC152" i="32"/>
  <c r="AD152" i="32" s="1"/>
  <c r="AE152" i="32" s="1"/>
  <c r="AC153" i="32"/>
  <c r="AD153" i="32" s="1"/>
  <c r="AE153" i="32" s="1"/>
  <c r="AC154" i="32"/>
  <c r="AD154" i="32"/>
  <c r="AE154" i="32" s="1"/>
  <c r="AC155" i="32"/>
  <c r="AD155" i="32" s="1"/>
  <c r="AE155" i="32" s="1"/>
  <c r="AC156" i="32"/>
  <c r="AD156" i="32" s="1"/>
  <c r="AE156" i="32" s="1"/>
  <c r="AC157" i="32"/>
  <c r="AD157" i="32" s="1"/>
  <c r="AE157" i="32" s="1"/>
  <c r="AC158" i="32"/>
  <c r="AD158" i="32"/>
  <c r="AE158" i="32" s="1"/>
  <c r="AC159" i="32"/>
  <c r="AD159" i="32" s="1"/>
  <c r="AE159" i="32" s="1"/>
  <c r="AC160" i="32"/>
  <c r="AD160" i="32"/>
  <c r="AE160" i="32" s="1"/>
  <c r="AC161" i="32"/>
  <c r="AD161" i="32" s="1"/>
  <c r="AE161" i="32" s="1"/>
  <c r="AC162" i="32"/>
  <c r="AD162" i="32" s="1"/>
  <c r="AE162" i="32" s="1"/>
  <c r="AC163" i="32"/>
  <c r="AD163" i="32" s="1"/>
  <c r="AE163" i="32" s="1"/>
  <c r="AC164" i="32"/>
  <c r="AD164" i="32" s="1"/>
  <c r="AE164" i="32" s="1"/>
  <c r="AC165" i="32"/>
  <c r="AD165" i="32" s="1"/>
  <c r="AE165" i="32" s="1"/>
  <c r="AC166" i="32"/>
  <c r="AD166" i="32" s="1"/>
  <c r="AE166" i="32" s="1"/>
  <c r="AC167" i="32"/>
  <c r="AD167" i="32" s="1"/>
  <c r="AE167" i="32" s="1"/>
  <c r="AC168" i="32"/>
  <c r="AD168" i="32" s="1"/>
  <c r="AE168" i="32" s="1"/>
  <c r="AC169" i="32"/>
  <c r="AD169" i="32" s="1"/>
  <c r="AE169" i="32" s="1"/>
  <c r="AC170" i="32"/>
  <c r="AD170" i="32" s="1"/>
  <c r="AE170" i="32" s="1"/>
  <c r="AC171" i="32"/>
  <c r="AD171" i="32" s="1"/>
  <c r="AE171" i="32" s="1"/>
  <c r="AC172" i="32"/>
  <c r="AD172" i="32" s="1"/>
  <c r="AE172" i="32" s="1"/>
  <c r="AC173" i="32"/>
  <c r="AD173" i="32" s="1"/>
  <c r="AE173" i="32" s="1"/>
  <c r="AC174" i="32"/>
  <c r="AD174" i="32" s="1"/>
  <c r="AE174" i="32" s="1"/>
  <c r="AC175" i="32"/>
  <c r="AD175" i="32" s="1"/>
  <c r="AE175" i="32" s="1"/>
  <c r="AC176" i="32"/>
  <c r="AD176" i="32" s="1"/>
  <c r="AE176" i="32" s="1"/>
  <c r="AC177" i="32"/>
  <c r="AD177" i="32" s="1"/>
  <c r="AE177" i="32" s="1"/>
  <c r="AC178" i="32"/>
  <c r="AD178" i="32" s="1"/>
  <c r="AE178" i="32" s="1"/>
  <c r="AC179" i="32"/>
  <c r="AD179" i="32" s="1"/>
  <c r="AE179" i="32" s="1"/>
  <c r="AC180" i="32"/>
  <c r="AD180" i="32" s="1"/>
  <c r="AE180" i="32" s="1"/>
  <c r="AC181" i="32"/>
  <c r="AD181" i="32" s="1"/>
  <c r="AE181" i="32" s="1"/>
  <c r="AC182" i="32"/>
  <c r="AD182" i="32" s="1"/>
  <c r="AE182" i="32"/>
  <c r="AC183" i="32"/>
  <c r="AD183" i="32" s="1"/>
  <c r="AE183" i="32" s="1"/>
  <c r="AC184" i="32"/>
  <c r="AD184" i="32" s="1"/>
  <c r="AE184" i="32" s="1"/>
  <c r="AC185" i="32"/>
  <c r="AD185" i="32" s="1"/>
  <c r="AE185" i="32" s="1"/>
  <c r="AC186" i="32"/>
  <c r="AD186" i="32" s="1"/>
  <c r="AE186" i="32" s="1"/>
  <c r="AC187" i="32"/>
  <c r="AD187" i="32" s="1"/>
  <c r="AE187" i="32" s="1"/>
  <c r="AC188" i="32"/>
  <c r="AD188" i="32" s="1"/>
  <c r="AE188" i="32" s="1"/>
  <c r="AC189" i="32"/>
  <c r="AD189" i="32" s="1"/>
  <c r="AE189" i="32" s="1"/>
  <c r="AC190" i="32"/>
  <c r="AD190" i="32" s="1"/>
  <c r="AE190" i="32" s="1"/>
  <c r="AC191" i="32"/>
  <c r="AD191" i="32" s="1"/>
  <c r="AE191" i="32" s="1"/>
  <c r="AC192" i="32"/>
  <c r="AD192" i="32" s="1"/>
  <c r="AE192" i="32"/>
  <c r="AC193" i="32"/>
  <c r="AD193" i="32" s="1"/>
  <c r="AE193" i="32" s="1"/>
  <c r="AC194" i="32"/>
  <c r="AD194" i="32" s="1"/>
  <c r="AE194" i="32" s="1"/>
  <c r="AC195" i="32"/>
  <c r="AD195" i="32" s="1"/>
  <c r="AE195" i="32" s="1"/>
  <c r="AC196" i="32"/>
  <c r="AD196" i="32" s="1"/>
  <c r="AE196" i="32" s="1"/>
  <c r="AC197" i="32"/>
  <c r="AD197" i="32"/>
  <c r="AE197" i="32" s="1"/>
  <c r="AC198" i="32"/>
  <c r="AD198" i="32" s="1"/>
  <c r="AE198" i="32" s="1"/>
  <c r="AC199" i="32"/>
  <c r="AD199" i="32"/>
  <c r="AE199" i="32" s="1"/>
  <c r="AC200" i="32"/>
  <c r="AD200" i="32" s="1"/>
  <c r="AE200" i="32" s="1"/>
  <c r="AC201" i="32"/>
  <c r="AD201" i="32" s="1"/>
  <c r="AE201" i="32" s="1"/>
  <c r="AC202" i="32"/>
  <c r="AD202" i="32" s="1"/>
  <c r="AE202" i="32" s="1"/>
  <c r="AC203" i="32"/>
  <c r="AD203" i="32" s="1"/>
  <c r="AE203" i="32" s="1"/>
  <c r="AC204" i="32"/>
  <c r="AD204" i="32" s="1"/>
  <c r="AE204" i="32"/>
  <c r="AC205" i="32"/>
  <c r="AD205" i="32" s="1"/>
  <c r="AE205" i="32" s="1"/>
  <c r="AC206" i="32"/>
  <c r="AD206" i="32" s="1"/>
  <c r="AE206" i="32" s="1"/>
  <c r="AC207" i="32"/>
  <c r="AD207" i="32" s="1"/>
  <c r="AE207" i="32" s="1"/>
  <c r="AC208" i="32"/>
  <c r="AD208" i="32" s="1"/>
  <c r="AE208" i="32" s="1"/>
  <c r="AC209" i="32"/>
  <c r="AD209" i="32" s="1"/>
  <c r="AE209" i="32" s="1"/>
  <c r="AC210" i="32"/>
  <c r="AD210" i="32"/>
  <c r="AE210" i="32" s="1"/>
  <c r="AC211" i="32"/>
  <c r="AD211" i="32" s="1"/>
  <c r="AE211" i="32" s="1"/>
  <c r="AC212" i="32"/>
  <c r="AD212" i="32" s="1"/>
  <c r="AE212" i="32" s="1"/>
  <c r="AC213" i="32"/>
  <c r="AD213" i="32" s="1"/>
  <c r="AE213" i="32" s="1"/>
  <c r="AC214" i="32"/>
  <c r="AD214" i="32" s="1"/>
  <c r="AE214" i="32" s="1"/>
  <c r="AC215" i="32"/>
  <c r="AD215" i="32" s="1"/>
  <c r="AE215" i="32" s="1"/>
  <c r="AC216" i="32"/>
  <c r="AD216" i="32" s="1"/>
  <c r="AE216" i="32" s="1"/>
  <c r="AC217" i="32"/>
  <c r="AD217" i="32" s="1"/>
  <c r="AE217" i="32" s="1"/>
  <c r="AC218" i="32"/>
  <c r="AD218" i="32" s="1"/>
  <c r="AE218" i="32" s="1"/>
  <c r="AC219" i="32"/>
  <c r="AD219" i="32" s="1"/>
  <c r="AE219" i="32" s="1"/>
  <c r="AC220" i="32"/>
  <c r="AD220" i="32" s="1"/>
  <c r="AE220" i="32" s="1"/>
  <c r="AC221" i="32"/>
  <c r="AD221" i="32" s="1"/>
  <c r="AE221" i="32" s="1"/>
  <c r="AC222" i="32"/>
  <c r="AD222" i="32" s="1"/>
  <c r="AE222" i="32" s="1"/>
  <c r="AC223" i="32"/>
  <c r="AD223" i="32" s="1"/>
  <c r="AE223" i="32" s="1"/>
  <c r="AC224" i="32"/>
  <c r="AD224" i="32" s="1"/>
  <c r="AE224" i="32" s="1"/>
  <c r="AC225" i="32"/>
  <c r="AD225" i="32" s="1"/>
  <c r="AE225" i="32" s="1"/>
  <c r="AC226" i="32"/>
  <c r="AD226" i="32" s="1"/>
  <c r="AE226" i="32" s="1"/>
  <c r="AC227" i="32"/>
  <c r="AD227" i="32" s="1"/>
  <c r="AE227" i="32" s="1"/>
  <c r="AC228" i="32"/>
  <c r="AD228" i="32" s="1"/>
  <c r="AE228" i="32" s="1"/>
  <c r="AC229" i="32"/>
  <c r="AD229" i="32"/>
  <c r="AE229" i="32" s="1"/>
  <c r="AC230" i="32"/>
  <c r="AD230" i="32" s="1"/>
  <c r="AE230" i="32" s="1"/>
  <c r="AC231" i="32"/>
  <c r="AD231" i="32" s="1"/>
  <c r="AE231" i="32" s="1"/>
  <c r="AC232" i="32"/>
  <c r="AD232" i="32" s="1"/>
  <c r="AE232" i="32"/>
  <c r="AC233" i="32"/>
  <c r="AD233" i="32" s="1"/>
  <c r="AE233" i="32" s="1"/>
  <c r="AC234" i="32"/>
  <c r="AD234" i="32" s="1"/>
  <c r="AE234" i="32" s="1"/>
  <c r="AC235" i="32"/>
  <c r="AD235" i="32" s="1"/>
  <c r="AE235" i="32" s="1"/>
  <c r="AC236" i="32"/>
  <c r="AD236" i="32" s="1"/>
  <c r="AE236" i="32" s="1"/>
  <c r="AC237" i="32"/>
  <c r="AD237" i="32" s="1"/>
  <c r="AE237" i="32" s="1"/>
  <c r="AC238" i="32"/>
  <c r="AD238" i="32" s="1"/>
  <c r="AE238" i="32" s="1"/>
  <c r="AC239" i="32"/>
  <c r="AD239" i="32" s="1"/>
  <c r="AE239" i="32" s="1"/>
  <c r="AC240" i="32"/>
  <c r="AD240" i="32" s="1"/>
  <c r="AE240" i="32" s="1"/>
  <c r="AC241" i="32"/>
  <c r="AD241" i="32"/>
  <c r="AE241" i="32" s="1"/>
  <c r="AC242" i="32"/>
  <c r="AD242" i="32" s="1"/>
  <c r="AE242" i="32" s="1"/>
  <c r="AC243" i="32"/>
  <c r="AD243" i="32" s="1"/>
  <c r="AE243" i="32" s="1"/>
  <c r="AC244" i="32"/>
  <c r="AD244" i="32" s="1"/>
  <c r="AE244" i="32" s="1"/>
  <c r="AC245" i="32"/>
  <c r="AD245" i="32" s="1"/>
  <c r="AE245" i="32" s="1"/>
  <c r="AC246" i="32"/>
  <c r="AD246" i="32" s="1"/>
  <c r="AE246" i="32" s="1"/>
  <c r="AC247" i="32"/>
  <c r="AD247" i="32" s="1"/>
  <c r="AE247" i="32" s="1"/>
  <c r="AC248" i="32"/>
  <c r="AD248" i="32" s="1"/>
  <c r="AE248" i="32" s="1"/>
  <c r="AC249" i="32"/>
  <c r="AD249" i="32" s="1"/>
  <c r="AE249" i="32" s="1"/>
  <c r="AC250" i="32"/>
  <c r="AD250" i="32" s="1"/>
  <c r="AE250" i="32" s="1"/>
  <c r="AC251" i="32"/>
  <c r="AD251" i="32" s="1"/>
  <c r="AE251" i="32" s="1"/>
  <c r="AC252" i="32"/>
  <c r="AD252" i="32" s="1"/>
  <c r="AE252" i="32" s="1"/>
  <c r="AC253" i="32"/>
  <c r="AD253" i="32" s="1"/>
  <c r="AE253" i="32" s="1"/>
  <c r="AC254" i="32"/>
  <c r="AD254" i="32"/>
  <c r="AE254" i="32" s="1"/>
  <c r="AC255" i="32"/>
  <c r="AD255" i="32" s="1"/>
  <c r="AE255" i="32" s="1"/>
  <c r="AC256" i="32"/>
  <c r="AD256" i="32" s="1"/>
  <c r="AE256" i="32" s="1"/>
  <c r="AC257" i="32"/>
  <c r="AD257" i="32" s="1"/>
  <c r="AE257" i="32" s="1"/>
  <c r="AC258" i="32"/>
  <c r="AD258" i="32" s="1"/>
  <c r="AE258" i="32" s="1"/>
  <c r="AC259" i="32"/>
  <c r="AD259" i="32" s="1"/>
  <c r="AE259" i="32" s="1"/>
  <c r="AC260" i="32"/>
  <c r="AD260" i="32" s="1"/>
  <c r="AE260" i="32" s="1"/>
  <c r="AC261" i="32"/>
  <c r="AD261" i="32" s="1"/>
  <c r="AE261" i="32" s="1"/>
  <c r="AC262" i="32"/>
  <c r="AD262" i="32" s="1"/>
  <c r="AE262" i="32" s="1"/>
  <c r="AC263" i="32"/>
  <c r="AD263" i="32"/>
  <c r="AE263" i="32" s="1"/>
  <c r="AC264" i="32"/>
  <c r="AD264" i="32" s="1"/>
  <c r="AE264" i="32" s="1"/>
  <c r="AC265" i="32"/>
  <c r="AD265" i="32" s="1"/>
  <c r="AE265" i="32" s="1"/>
  <c r="AC266" i="32"/>
  <c r="AD266" i="32" s="1"/>
  <c r="AE266" i="32" s="1"/>
  <c r="AC267" i="32"/>
  <c r="AD267" i="32" s="1"/>
  <c r="AE267" i="32" s="1"/>
  <c r="AC268" i="32"/>
  <c r="AD268" i="32" s="1"/>
  <c r="AE268" i="32" s="1"/>
  <c r="AC269" i="32"/>
  <c r="AD269" i="32" s="1"/>
  <c r="AE269" i="32" s="1"/>
  <c r="AC270" i="32"/>
  <c r="AD270" i="32" s="1"/>
  <c r="AE270" i="32" s="1"/>
  <c r="AC271" i="32"/>
  <c r="AD271" i="32" s="1"/>
  <c r="AE271" i="32" s="1"/>
  <c r="AC272" i="32"/>
  <c r="AD272" i="32" s="1"/>
  <c r="AE272" i="32"/>
  <c r="AC273" i="32"/>
  <c r="AD273" i="32" s="1"/>
  <c r="AE273" i="32" s="1"/>
  <c r="AC274" i="32"/>
  <c r="AD274" i="32" s="1"/>
  <c r="AE274" i="32" s="1"/>
  <c r="AC275" i="32"/>
  <c r="AD275" i="32"/>
  <c r="AE275" i="32" s="1"/>
  <c r="AC276" i="32"/>
  <c r="AD276" i="32" s="1"/>
  <c r="AE276" i="32" s="1"/>
  <c r="AC277" i="32"/>
  <c r="AD277" i="32" s="1"/>
  <c r="AE277" i="32" s="1"/>
  <c r="AC278" i="32"/>
  <c r="AD278" i="32" s="1"/>
  <c r="AE278" i="32" s="1"/>
  <c r="AC279" i="32"/>
  <c r="AD279" i="32" s="1"/>
  <c r="AE279" i="32" s="1"/>
  <c r="AC280" i="32"/>
  <c r="AD280" i="32" s="1"/>
  <c r="AE280" i="32" s="1"/>
  <c r="AC281" i="32"/>
  <c r="AD281" i="32" s="1"/>
  <c r="AE281" i="32" s="1"/>
  <c r="AC282" i="32"/>
  <c r="AD282" i="32" s="1"/>
  <c r="AE282" i="32" s="1"/>
  <c r="AC283" i="32"/>
  <c r="AD283" i="32" s="1"/>
  <c r="AE283" i="32" s="1"/>
  <c r="AC284" i="32"/>
  <c r="AD284" i="32" s="1"/>
  <c r="AE284" i="32" s="1"/>
  <c r="AC285" i="32"/>
  <c r="AD285" i="32" s="1"/>
  <c r="AE285" i="32" s="1"/>
  <c r="AC286" i="32"/>
  <c r="AD286" i="32" s="1"/>
  <c r="AE286" i="32" s="1"/>
  <c r="AC287" i="32"/>
  <c r="AD287" i="32"/>
  <c r="AE287" i="32" s="1"/>
  <c r="AC288" i="32"/>
  <c r="AD288" i="32" s="1"/>
  <c r="AE288" i="32" s="1"/>
  <c r="AC289" i="32"/>
  <c r="AD289" i="32"/>
  <c r="AE289" i="32" s="1"/>
  <c r="AC290" i="32"/>
  <c r="AD290" i="32" s="1"/>
  <c r="AE290" i="32" s="1"/>
  <c r="AC291" i="32"/>
  <c r="AD291" i="32"/>
  <c r="AE291" i="32" s="1"/>
  <c r="AC292" i="32"/>
  <c r="AD292" i="32" s="1"/>
  <c r="AE292" i="32" s="1"/>
  <c r="AC293" i="32"/>
  <c r="AD293" i="32" s="1"/>
  <c r="AE293" i="32" s="1"/>
  <c r="AC294" i="32"/>
  <c r="AD294" i="32" s="1"/>
  <c r="AE294" i="32" s="1"/>
  <c r="AC295" i="32"/>
  <c r="AD295" i="32" s="1"/>
  <c r="AE295" i="32" s="1"/>
  <c r="AC296" i="32"/>
  <c r="AD296" i="32" s="1"/>
  <c r="AE296" i="32" s="1"/>
  <c r="AC297" i="32"/>
  <c r="AD297" i="32" s="1"/>
  <c r="AE297" i="32" s="1"/>
  <c r="AC298" i="32"/>
  <c r="AD298" i="32" s="1"/>
  <c r="AE298" i="32" s="1"/>
  <c r="AC299" i="32"/>
  <c r="AD299" i="32" s="1"/>
  <c r="AE299" i="32" s="1"/>
  <c r="AC300" i="32"/>
  <c r="AD300" i="32" s="1"/>
  <c r="AE300" i="32" s="1"/>
  <c r="AC301" i="32"/>
  <c r="AD301" i="32" s="1"/>
  <c r="AE301" i="32" s="1"/>
  <c r="AC302" i="32"/>
  <c r="AD302" i="32" s="1"/>
  <c r="AE302" i="32" s="1"/>
  <c r="AC303" i="32"/>
  <c r="AD303" i="32" s="1"/>
  <c r="AE303" i="32" s="1"/>
  <c r="AC304" i="32"/>
  <c r="AD304" i="32" s="1"/>
  <c r="AE304" i="32" s="1"/>
  <c r="AC305" i="32"/>
  <c r="AD305" i="32" s="1"/>
  <c r="AE305" i="32" s="1"/>
  <c r="AC306" i="32"/>
  <c r="AD306" i="32" s="1"/>
  <c r="AE306" i="32" s="1"/>
  <c r="AC307" i="32"/>
  <c r="AD307" i="32" s="1"/>
  <c r="AE307" i="32" s="1"/>
  <c r="AC308" i="32"/>
  <c r="AD308" i="32" s="1"/>
  <c r="AE308" i="32" s="1"/>
  <c r="AC309" i="32"/>
  <c r="AD309" i="32"/>
  <c r="AE309" i="32" s="1"/>
  <c r="AC310" i="32"/>
  <c r="AD310" i="32" s="1"/>
  <c r="AE310" i="32" s="1"/>
  <c r="AC311" i="32"/>
  <c r="AD311" i="32" s="1"/>
  <c r="AE311" i="32" s="1"/>
  <c r="AC312" i="32"/>
  <c r="AD312" i="32" s="1"/>
  <c r="AE312" i="32" s="1"/>
  <c r="AC313" i="32"/>
  <c r="AD313" i="32" s="1"/>
  <c r="AE313" i="32" s="1"/>
  <c r="AC314" i="32"/>
  <c r="AD314" i="32"/>
  <c r="AE314" i="32" s="1"/>
  <c r="AC315" i="32"/>
  <c r="AD315" i="32" s="1"/>
  <c r="AE315" i="32" s="1"/>
  <c r="AC316" i="32"/>
  <c r="AD316" i="32" s="1"/>
  <c r="AE316" i="32" s="1"/>
  <c r="AC317" i="32"/>
  <c r="AD317" i="32"/>
  <c r="AE317" i="32" s="1"/>
  <c r="AC318" i="32"/>
  <c r="AD318" i="32" s="1"/>
  <c r="AE318" i="32" s="1"/>
  <c r="AC319" i="32"/>
  <c r="AD319" i="32" s="1"/>
  <c r="AE319" i="32" s="1"/>
  <c r="AC320" i="32"/>
  <c r="AD320" i="32" s="1"/>
  <c r="AE320" i="32" s="1"/>
  <c r="AC321" i="32"/>
  <c r="AD321" i="32" s="1"/>
  <c r="AE321" i="32" s="1"/>
  <c r="AC322" i="32"/>
  <c r="AD322" i="32" s="1"/>
  <c r="AE322" i="32" s="1"/>
  <c r="AC323" i="32"/>
  <c r="AD323" i="32" s="1"/>
  <c r="AE323" i="32" s="1"/>
  <c r="AC324" i="32"/>
  <c r="AD324" i="32" s="1"/>
  <c r="AE324" i="32" s="1"/>
  <c r="AC325" i="32"/>
  <c r="AD325" i="32" s="1"/>
  <c r="AE325" i="32" s="1"/>
  <c r="AC326" i="32"/>
  <c r="AD326" i="32" s="1"/>
  <c r="AE326" i="32" s="1"/>
  <c r="AC327" i="32"/>
  <c r="AD327" i="32" s="1"/>
  <c r="AE327" i="32" s="1"/>
  <c r="AC328" i="32"/>
  <c r="AD328" i="32" s="1"/>
  <c r="AE328" i="32"/>
  <c r="AC329" i="32"/>
  <c r="AD329" i="32" s="1"/>
  <c r="AE329" i="32" s="1"/>
  <c r="AC330" i="32"/>
  <c r="AD330" i="32" s="1"/>
  <c r="AE330" i="32" s="1"/>
  <c r="AC331" i="32"/>
  <c r="AD331" i="32"/>
  <c r="AE331" i="32" s="1"/>
  <c r="AC332" i="32"/>
  <c r="AD332" i="32" s="1"/>
  <c r="AE332" i="32" s="1"/>
  <c r="AC333" i="32"/>
  <c r="AD333" i="32" s="1"/>
  <c r="AE333" i="32" s="1"/>
  <c r="AC334" i="32"/>
  <c r="AD334" i="32" s="1"/>
  <c r="AE334" i="32" s="1"/>
  <c r="AC335" i="32"/>
  <c r="AD335" i="32" s="1"/>
  <c r="AE335" i="32" s="1"/>
  <c r="AC336" i="32"/>
  <c r="AD336" i="32" s="1"/>
  <c r="AE336" i="32" s="1"/>
  <c r="AC337" i="32"/>
  <c r="AD337" i="32" s="1"/>
  <c r="AE337" i="32" s="1"/>
  <c r="AC338" i="32"/>
  <c r="AD338" i="32"/>
  <c r="AE338" i="32" s="1"/>
  <c r="AC339" i="32"/>
  <c r="AD339" i="32" s="1"/>
  <c r="AE339" i="32" s="1"/>
  <c r="AC340" i="32"/>
  <c r="AD340" i="32" s="1"/>
  <c r="AE340" i="32" s="1"/>
  <c r="AC341" i="32"/>
  <c r="AD341" i="32" s="1"/>
  <c r="AE341" i="32" s="1"/>
  <c r="AC342" i="32"/>
  <c r="AD342" i="32" s="1"/>
  <c r="AE342" i="32" s="1"/>
  <c r="AC343" i="32"/>
  <c r="AD343" i="32" s="1"/>
  <c r="AE343" i="32" s="1"/>
  <c r="AC344" i="32"/>
  <c r="AD344" i="32" s="1"/>
  <c r="AE344" i="32" s="1"/>
  <c r="AC345" i="32"/>
  <c r="AD345" i="32" s="1"/>
  <c r="AE345" i="32" s="1"/>
  <c r="AC346" i="32"/>
  <c r="AD346" i="32" s="1"/>
  <c r="AE346" i="32" s="1"/>
  <c r="AC347" i="32"/>
  <c r="AD347" i="32" s="1"/>
  <c r="AE347" i="32" s="1"/>
  <c r="AC348" i="32"/>
  <c r="AD348" i="32" s="1"/>
  <c r="AE348" i="32" s="1"/>
  <c r="AC349" i="32"/>
  <c r="AD349" i="32" s="1"/>
  <c r="AE349" i="32" s="1"/>
  <c r="AC350" i="32"/>
  <c r="AD350" i="32" s="1"/>
  <c r="AE350" i="32" s="1"/>
  <c r="AC351" i="32"/>
  <c r="AD351" i="32" s="1"/>
  <c r="AE351" i="32" s="1"/>
  <c r="AC352" i="32"/>
  <c r="AD352" i="32" s="1"/>
  <c r="AE352" i="32" s="1"/>
  <c r="AC353" i="32"/>
  <c r="AD353" i="32" s="1"/>
  <c r="AE353" i="32" s="1"/>
  <c r="AC354" i="32"/>
  <c r="AD354" i="32" s="1"/>
  <c r="AE354" i="32" s="1"/>
  <c r="AC355" i="32"/>
  <c r="AD355" i="32" s="1"/>
  <c r="AE355" i="32" s="1"/>
  <c r="AC356" i="32"/>
  <c r="AD356" i="32" s="1"/>
  <c r="AE356" i="32" s="1"/>
  <c r="AC357" i="32"/>
  <c r="AD357" i="32" s="1"/>
  <c r="AE357" i="32" s="1"/>
  <c r="AC358" i="32"/>
  <c r="AD358" i="32" s="1"/>
  <c r="AE358" i="32" s="1"/>
  <c r="AC359" i="32"/>
  <c r="AD359" i="32" s="1"/>
  <c r="AE359" i="32" s="1"/>
  <c r="AC360" i="32"/>
  <c r="AD360" i="32" s="1"/>
  <c r="AE360" i="32" s="1"/>
  <c r="AC361" i="32"/>
  <c r="AD361" i="32" s="1"/>
  <c r="AE361" i="32" s="1"/>
  <c r="AC362" i="32"/>
  <c r="AD362" i="32" s="1"/>
  <c r="AE362" i="32" s="1"/>
  <c r="AC363" i="32"/>
  <c r="AD363" i="32" s="1"/>
  <c r="AE363" i="32" s="1"/>
  <c r="AC364" i="32"/>
  <c r="AD364" i="32" s="1"/>
  <c r="AE364" i="32" s="1"/>
  <c r="AC365" i="32"/>
  <c r="AD365" i="32" s="1"/>
  <c r="AE365" i="32" s="1"/>
  <c r="AC366" i="32"/>
  <c r="AD366" i="32"/>
  <c r="AE366" i="32" s="1"/>
  <c r="AC367" i="32"/>
  <c r="AD367" i="32" s="1"/>
  <c r="AE367" i="32" s="1"/>
  <c r="AC368" i="32"/>
  <c r="AD368" i="32" s="1"/>
  <c r="AE368" i="32" s="1"/>
  <c r="AC369" i="32"/>
  <c r="AD369" i="32" s="1"/>
  <c r="AE369" i="32" s="1"/>
  <c r="AC370" i="32"/>
  <c r="AD370" i="32" s="1"/>
  <c r="AE370" i="32" s="1"/>
  <c r="AC371" i="32"/>
  <c r="AD371" i="32" s="1"/>
  <c r="AE371" i="32" s="1"/>
  <c r="AC372" i="32"/>
  <c r="AD372" i="32" s="1"/>
  <c r="AE372" i="32" s="1"/>
  <c r="AC373" i="32"/>
  <c r="AD373" i="32" s="1"/>
  <c r="AE373" i="32" s="1"/>
  <c r="AC374" i="32"/>
  <c r="AD374" i="32" s="1"/>
  <c r="AE374" i="32" s="1"/>
  <c r="AC375" i="32"/>
  <c r="AD375" i="32" s="1"/>
  <c r="AE375" i="32" s="1"/>
  <c r="AC379" i="32"/>
  <c r="AD379" i="32" s="1"/>
  <c r="AE379" i="32" s="1"/>
  <c r="AC380" i="32"/>
  <c r="AD380" i="32"/>
  <c r="AE380" i="32" s="1"/>
  <c r="AC381" i="32"/>
  <c r="AD381" i="32" s="1"/>
  <c r="AE381" i="32" s="1"/>
  <c r="EG14" i="32"/>
  <c r="EG12" i="32"/>
  <c r="EG13" i="32"/>
  <c r="DD13" i="32"/>
  <c r="DE13" i="32"/>
  <c r="DF13" i="32"/>
  <c r="DG13" i="32"/>
  <c r="DI13" i="32"/>
  <c r="DK13" i="32"/>
  <c r="DJ13" i="32" s="1"/>
  <c r="DD14" i="32"/>
  <c r="DE14" i="32"/>
  <c r="DF14" i="32"/>
  <c r="DG14" i="32"/>
  <c r="DI14" i="32"/>
  <c r="DK14" i="32"/>
  <c r="DJ14" i="32" s="1"/>
  <c r="DD15" i="32"/>
  <c r="DE15" i="32"/>
  <c r="DF15" i="32"/>
  <c r="DG15" i="32"/>
  <c r="DH15" i="32" s="1"/>
  <c r="DI15" i="32"/>
  <c r="DK15" i="32"/>
  <c r="DJ15" i="32" s="1"/>
  <c r="DD16" i="32"/>
  <c r="DE16" i="32"/>
  <c r="DF16" i="32"/>
  <c r="DG16" i="32"/>
  <c r="DH16" i="32" s="1"/>
  <c r="DI16" i="32"/>
  <c r="DK16" i="32"/>
  <c r="DJ16" i="32" s="1"/>
  <c r="DD17" i="32"/>
  <c r="DE17" i="32"/>
  <c r="DF17" i="32"/>
  <c r="DG17" i="32"/>
  <c r="DH17" i="32" s="1"/>
  <c r="DI17" i="32"/>
  <c r="DK17" i="32"/>
  <c r="DJ17" i="32" s="1"/>
  <c r="DD18" i="32"/>
  <c r="DE18" i="32"/>
  <c r="DF18" i="32"/>
  <c r="DG18" i="32"/>
  <c r="DI18" i="32"/>
  <c r="DK18" i="32"/>
  <c r="DJ18" i="32" s="1"/>
  <c r="DD19" i="32"/>
  <c r="DE19" i="32"/>
  <c r="DF19" i="32"/>
  <c r="DG19" i="32"/>
  <c r="DI19" i="32"/>
  <c r="DK19" i="32"/>
  <c r="DJ19" i="32" s="1"/>
  <c r="DD20" i="32"/>
  <c r="DE20" i="32"/>
  <c r="DF20" i="32"/>
  <c r="DG20" i="32"/>
  <c r="DH20" i="32" s="1"/>
  <c r="DI20" i="32"/>
  <c r="DK20" i="32"/>
  <c r="DJ20" i="32" s="1"/>
  <c r="DD21" i="32"/>
  <c r="DE21" i="32"/>
  <c r="DF21" i="32"/>
  <c r="DG21" i="32"/>
  <c r="DI21" i="32"/>
  <c r="DK21" i="32"/>
  <c r="DJ21" i="32" s="1"/>
  <c r="DD22" i="32"/>
  <c r="DE22" i="32"/>
  <c r="DF22" i="32"/>
  <c r="DG22" i="32"/>
  <c r="DI22" i="32"/>
  <c r="DK22" i="32"/>
  <c r="DJ22" i="32" s="1"/>
  <c r="DD23" i="32"/>
  <c r="DE23" i="32"/>
  <c r="DF23" i="32"/>
  <c r="DG23" i="32"/>
  <c r="DI23" i="32"/>
  <c r="DK23" i="32"/>
  <c r="DJ23" i="32" s="1"/>
  <c r="DD24" i="32"/>
  <c r="DE24" i="32"/>
  <c r="DF24" i="32"/>
  <c r="DG24" i="32"/>
  <c r="DH24" i="32" s="1"/>
  <c r="DI24" i="32"/>
  <c r="DK24" i="32"/>
  <c r="DJ24" i="32" s="1"/>
  <c r="DD25" i="32"/>
  <c r="DE25" i="32"/>
  <c r="DF25" i="32"/>
  <c r="DG25" i="32"/>
  <c r="DH25" i="32" s="1"/>
  <c r="DI25" i="32"/>
  <c r="DK25" i="32"/>
  <c r="DJ25" i="32" s="1"/>
  <c r="DD26" i="32"/>
  <c r="DE26" i="32"/>
  <c r="DF26" i="32"/>
  <c r="DG26" i="32"/>
  <c r="DI26" i="32"/>
  <c r="DK26" i="32"/>
  <c r="DJ26" i="32" s="1"/>
  <c r="DD27" i="32"/>
  <c r="DE27" i="32"/>
  <c r="DF27" i="32"/>
  <c r="DG27" i="32"/>
  <c r="DH27" i="32" s="1"/>
  <c r="DI27" i="32"/>
  <c r="DK27" i="32"/>
  <c r="DJ27" i="32" s="1"/>
  <c r="DD28" i="32"/>
  <c r="DE28" i="32"/>
  <c r="DF28" i="32"/>
  <c r="DG28" i="32"/>
  <c r="DH28" i="32" s="1"/>
  <c r="DI28" i="32"/>
  <c r="DK28" i="32"/>
  <c r="DJ28" i="32" s="1"/>
  <c r="DD29" i="32"/>
  <c r="DE29" i="32"/>
  <c r="DF29" i="32"/>
  <c r="DG29" i="32"/>
  <c r="DI29" i="32"/>
  <c r="DK29" i="32"/>
  <c r="DJ29" i="32" s="1"/>
  <c r="DD30" i="32"/>
  <c r="DE30" i="32"/>
  <c r="DF30" i="32"/>
  <c r="DG30" i="32"/>
  <c r="DH30" i="32" s="1"/>
  <c r="DI30" i="32"/>
  <c r="DK30" i="32"/>
  <c r="DJ30" i="32" s="1"/>
  <c r="DD31" i="32"/>
  <c r="DE31" i="32"/>
  <c r="DF31" i="32"/>
  <c r="DG31" i="32"/>
  <c r="DH31" i="32" s="1"/>
  <c r="DI31" i="32"/>
  <c r="DK31" i="32"/>
  <c r="DJ31" i="32" s="1"/>
  <c r="DD32" i="32"/>
  <c r="DE32" i="32"/>
  <c r="DF32" i="32"/>
  <c r="DG32" i="32"/>
  <c r="DI32" i="32"/>
  <c r="DK32" i="32"/>
  <c r="DJ32" i="32" s="1"/>
  <c r="DD33" i="32"/>
  <c r="DE33" i="32"/>
  <c r="DF33" i="32"/>
  <c r="DG33" i="32"/>
  <c r="DI33" i="32"/>
  <c r="DK33" i="32"/>
  <c r="DJ33" i="32" s="1"/>
  <c r="DD34" i="32"/>
  <c r="DE34" i="32"/>
  <c r="DF34" i="32"/>
  <c r="DG34" i="32"/>
  <c r="DH34" i="32" s="1"/>
  <c r="DI34" i="32"/>
  <c r="DK34" i="32"/>
  <c r="DJ34" i="32" s="1"/>
  <c r="DD35" i="32"/>
  <c r="DE35" i="32"/>
  <c r="DF35" i="32"/>
  <c r="DG35" i="32"/>
  <c r="DI35" i="32"/>
  <c r="DK35" i="32"/>
  <c r="DJ35" i="32" s="1"/>
  <c r="DD36" i="32"/>
  <c r="DE36" i="32"/>
  <c r="DF36" i="32"/>
  <c r="DG36" i="32"/>
  <c r="DH36" i="32" s="1"/>
  <c r="DI36" i="32"/>
  <c r="DK36" i="32"/>
  <c r="DJ36" i="32" s="1"/>
  <c r="DD37" i="32"/>
  <c r="DE37" i="32"/>
  <c r="DF37" i="32"/>
  <c r="DG37" i="32"/>
  <c r="DI37" i="32"/>
  <c r="DK37" i="32"/>
  <c r="DJ37" i="32" s="1"/>
  <c r="DD38" i="32"/>
  <c r="DE38" i="32"/>
  <c r="DF38" i="32"/>
  <c r="DG38" i="32"/>
  <c r="DH38" i="32" s="1"/>
  <c r="DI38" i="32"/>
  <c r="DK38" i="32"/>
  <c r="DJ38" i="32" s="1"/>
  <c r="DD39" i="32"/>
  <c r="DE39" i="32"/>
  <c r="DF39" i="32"/>
  <c r="DG39" i="32"/>
  <c r="DH39" i="32" s="1"/>
  <c r="DI39" i="32"/>
  <c r="DK39" i="32"/>
  <c r="DJ39" i="32" s="1"/>
  <c r="DD40" i="32"/>
  <c r="DE40" i="32"/>
  <c r="DF40" i="32"/>
  <c r="DG40" i="32"/>
  <c r="DH40" i="32" s="1"/>
  <c r="DI40" i="32"/>
  <c r="DK40" i="32"/>
  <c r="DJ40" i="32" s="1"/>
  <c r="DD41" i="32"/>
  <c r="DE41" i="32"/>
  <c r="DF41" i="32"/>
  <c r="DG41" i="32"/>
  <c r="DH41" i="32" s="1"/>
  <c r="DI41" i="32"/>
  <c r="DK41" i="32"/>
  <c r="DJ41" i="32" s="1"/>
  <c r="DD42" i="32"/>
  <c r="DE42" i="32"/>
  <c r="DF42" i="32"/>
  <c r="DG42" i="32"/>
  <c r="DH42" i="32" s="1"/>
  <c r="DI42" i="32"/>
  <c r="DK42" i="32"/>
  <c r="DJ42" i="32" s="1"/>
  <c r="DD43" i="32"/>
  <c r="DE43" i="32"/>
  <c r="DF43" i="32"/>
  <c r="DG43" i="32"/>
  <c r="DH43" i="32" s="1"/>
  <c r="DI43" i="32"/>
  <c r="DK43" i="32"/>
  <c r="DJ43" i="32" s="1"/>
  <c r="DD44" i="32"/>
  <c r="DE44" i="32"/>
  <c r="DF44" i="32"/>
  <c r="DG44" i="32"/>
  <c r="DI44" i="32"/>
  <c r="DK44" i="32"/>
  <c r="DJ44" i="32" s="1"/>
  <c r="DD45" i="32"/>
  <c r="DE45" i="32"/>
  <c r="DF45" i="32"/>
  <c r="DG45" i="32"/>
  <c r="DH45" i="32" s="1"/>
  <c r="DI45" i="32"/>
  <c r="DK45" i="32"/>
  <c r="DJ45" i="32" s="1"/>
  <c r="DD46" i="32"/>
  <c r="DE46" i="32"/>
  <c r="DF46" i="32"/>
  <c r="DG46" i="32"/>
  <c r="DI46" i="32"/>
  <c r="DK46" i="32"/>
  <c r="DJ46" i="32" s="1"/>
  <c r="DD47" i="32"/>
  <c r="DE47" i="32"/>
  <c r="DF47" i="32"/>
  <c r="DG47" i="32"/>
  <c r="DH47" i="32" s="1"/>
  <c r="DI47" i="32"/>
  <c r="DK47" i="32"/>
  <c r="DJ47" i="32" s="1"/>
  <c r="DD48" i="32"/>
  <c r="DE48" i="32"/>
  <c r="DF48" i="32"/>
  <c r="DG48" i="32"/>
  <c r="DH48" i="32" s="1"/>
  <c r="DI48" i="32"/>
  <c r="DK48" i="32"/>
  <c r="DJ48" i="32" s="1"/>
  <c r="DD49" i="32"/>
  <c r="DE49" i="32"/>
  <c r="DF49" i="32"/>
  <c r="DG49" i="32"/>
  <c r="DH49" i="32" s="1"/>
  <c r="DI49" i="32"/>
  <c r="DK49" i="32"/>
  <c r="DJ49" i="32" s="1"/>
  <c r="DD50" i="32"/>
  <c r="DE50" i="32"/>
  <c r="DF50" i="32"/>
  <c r="DG50" i="32"/>
  <c r="DI50" i="32"/>
  <c r="DK50" i="32"/>
  <c r="DJ50" i="32" s="1"/>
  <c r="DD51" i="32"/>
  <c r="DE51" i="32"/>
  <c r="DF51" i="32"/>
  <c r="DG51" i="32"/>
  <c r="DH51" i="32" s="1"/>
  <c r="DI51" i="32"/>
  <c r="DK51" i="32"/>
  <c r="DJ51" i="32" s="1"/>
  <c r="DD52" i="32"/>
  <c r="DE52" i="32"/>
  <c r="DF52" i="32"/>
  <c r="DG52" i="32"/>
  <c r="DH52" i="32" s="1"/>
  <c r="DI52" i="32"/>
  <c r="DK52" i="32"/>
  <c r="DJ52" i="32" s="1"/>
  <c r="DD53" i="32"/>
  <c r="DE53" i="32"/>
  <c r="DF53" i="32"/>
  <c r="DG53" i="32"/>
  <c r="DH53" i="32" s="1"/>
  <c r="DI53" i="32"/>
  <c r="DK53" i="32"/>
  <c r="DJ53" i="32" s="1"/>
  <c r="DD54" i="32"/>
  <c r="DE54" i="32"/>
  <c r="DF54" i="32"/>
  <c r="DG54" i="32"/>
  <c r="DH54" i="32" s="1"/>
  <c r="DI54" i="32"/>
  <c r="DK54" i="32"/>
  <c r="DJ54" i="32" s="1"/>
  <c r="DD55" i="32"/>
  <c r="DE55" i="32"/>
  <c r="DF55" i="32"/>
  <c r="DG55" i="32"/>
  <c r="DH55" i="32" s="1"/>
  <c r="DI55" i="32"/>
  <c r="DK55" i="32"/>
  <c r="DJ55" i="32" s="1"/>
  <c r="DD56" i="32"/>
  <c r="DE56" i="32"/>
  <c r="DF56" i="32"/>
  <c r="DG56" i="32"/>
  <c r="DH56" i="32" s="1"/>
  <c r="DI56" i="32"/>
  <c r="DK56" i="32"/>
  <c r="DJ56" i="32" s="1"/>
  <c r="DD57" i="32"/>
  <c r="DE57" i="32"/>
  <c r="DF57" i="32"/>
  <c r="DG57" i="32"/>
  <c r="DH57" i="32" s="1"/>
  <c r="DI57" i="32"/>
  <c r="DK57" i="32"/>
  <c r="DJ57" i="32" s="1"/>
  <c r="DD58" i="32"/>
  <c r="DE58" i="32"/>
  <c r="DF58" i="32"/>
  <c r="DG58" i="32"/>
  <c r="DI58" i="32"/>
  <c r="DK58" i="32"/>
  <c r="DJ58" i="32" s="1"/>
  <c r="DD59" i="32"/>
  <c r="DE59" i="32"/>
  <c r="DF59" i="32"/>
  <c r="DG59" i="32"/>
  <c r="DH59" i="32" s="1"/>
  <c r="DI59" i="32"/>
  <c r="DK59" i="32"/>
  <c r="DJ59" i="32" s="1"/>
  <c r="DD60" i="32"/>
  <c r="DE60" i="32"/>
  <c r="DF60" i="32"/>
  <c r="DG60" i="32"/>
  <c r="DH60" i="32" s="1"/>
  <c r="DI60" i="32"/>
  <c r="DK60" i="32"/>
  <c r="DJ60" i="32" s="1"/>
  <c r="DD61" i="32"/>
  <c r="DE61" i="32"/>
  <c r="DF61" i="32"/>
  <c r="DG61" i="32"/>
  <c r="DH61" i="32" s="1"/>
  <c r="DI61" i="32"/>
  <c r="DK61" i="32"/>
  <c r="DJ61" i="32" s="1"/>
  <c r="DD62" i="32"/>
  <c r="DE62" i="32"/>
  <c r="DF62" i="32"/>
  <c r="DG62" i="32"/>
  <c r="DI62" i="32"/>
  <c r="DK62" i="32"/>
  <c r="DJ62" i="32" s="1"/>
  <c r="DD63" i="32"/>
  <c r="DE63" i="32"/>
  <c r="DF63" i="32"/>
  <c r="DG63" i="32"/>
  <c r="DI63" i="32"/>
  <c r="DK63" i="32"/>
  <c r="DJ63" i="32" s="1"/>
  <c r="DD64" i="32"/>
  <c r="DE64" i="32"/>
  <c r="DF64" i="32"/>
  <c r="DG64" i="32"/>
  <c r="DI64" i="32"/>
  <c r="DK64" i="32"/>
  <c r="DJ64" i="32" s="1"/>
  <c r="DD65" i="32"/>
  <c r="DE65" i="32"/>
  <c r="DF65" i="32"/>
  <c r="DG65" i="32"/>
  <c r="DH65" i="32" s="1"/>
  <c r="DI65" i="32"/>
  <c r="DK65" i="32"/>
  <c r="DJ65" i="32" s="1"/>
  <c r="DD66" i="32"/>
  <c r="DE66" i="32"/>
  <c r="DF66" i="32"/>
  <c r="DG66" i="32"/>
  <c r="DI66" i="32"/>
  <c r="DK66" i="32"/>
  <c r="DJ66" i="32" s="1"/>
  <c r="DD67" i="32"/>
  <c r="DE67" i="32"/>
  <c r="DF67" i="32"/>
  <c r="DG67" i="32"/>
  <c r="DH67" i="32" s="1"/>
  <c r="DI67" i="32"/>
  <c r="DK67" i="32"/>
  <c r="DJ67" i="32" s="1"/>
  <c r="DD68" i="32"/>
  <c r="DE68" i="32"/>
  <c r="DF68" i="32"/>
  <c r="DG68" i="32"/>
  <c r="DH68" i="32" s="1"/>
  <c r="DI68" i="32"/>
  <c r="DK68" i="32"/>
  <c r="DJ68" i="32" s="1"/>
  <c r="DD69" i="32"/>
  <c r="DE69" i="32"/>
  <c r="DF69" i="32"/>
  <c r="DG69" i="32"/>
  <c r="DH69" i="32" s="1"/>
  <c r="DI69" i="32"/>
  <c r="DK69" i="32"/>
  <c r="DJ69" i="32" s="1"/>
  <c r="DD70" i="32"/>
  <c r="DE70" i="32"/>
  <c r="DF70" i="32"/>
  <c r="DG70" i="32"/>
  <c r="DH70" i="32" s="1"/>
  <c r="DI70" i="32"/>
  <c r="DK70" i="32"/>
  <c r="DJ70" i="32" s="1"/>
  <c r="DD71" i="32"/>
  <c r="DE71" i="32"/>
  <c r="DF71" i="32"/>
  <c r="DG71" i="32"/>
  <c r="DH71" i="32" s="1"/>
  <c r="DI71" i="32"/>
  <c r="DK71" i="32"/>
  <c r="DJ71" i="32" s="1"/>
  <c r="DD72" i="32"/>
  <c r="DE72" i="32"/>
  <c r="DF72" i="32"/>
  <c r="DG72" i="32"/>
  <c r="DH72" i="32" s="1"/>
  <c r="DI72" i="32"/>
  <c r="DK72" i="32"/>
  <c r="DJ72" i="32" s="1"/>
  <c r="DD73" i="32"/>
  <c r="DE73" i="32"/>
  <c r="DF73" i="32"/>
  <c r="DG73" i="32"/>
  <c r="DI73" i="32"/>
  <c r="DK73" i="32"/>
  <c r="DJ73" i="32" s="1"/>
  <c r="DD74" i="32"/>
  <c r="DE74" i="32"/>
  <c r="DF74" i="32"/>
  <c r="DG74" i="32"/>
  <c r="DI74" i="32"/>
  <c r="DK74" i="32"/>
  <c r="DJ74" i="32" s="1"/>
  <c r="DD75" i="32"/>
  <c r="DE75" i="32"/>
  <c r="DF75" i="32"/>
  <c r="DG75" i="32"/>
  <c r="DI75" i="32"/>
  <c r="DK75" i="32"/>
  <c r="DJ75" i="32" s="1"/>
  <c r="DD76" i="32"/>
  <c r="DE76" i="32"/>
  <c r="DF76" i="32"/>
  <c r="DG76" i="32"/>
  <c r="DH76" i="32"/>
  <c r="DI76" i="32"/>
  <c r="DK76" i="32"/>
  <c r="DJ76" i="32" s="1"/>
  <c r="DD77" i="32"/>
  <c r="DE77" i="32"/>
  <c r="DF77" i="32"/>
  <c r="DG77" i="32"/>
  <c r="DI77" i="32"/>
  <c r="DK77" i="32"/>
  <c r="DJ77" i="32" s="1"/>
  <c r="DD78" i="32"/>
  <c r="DE78" i="32"/>
  <c r="DF78" i="32"/>
  <c r="DG78" i="32"/>
  <c r="DH78" i="32"/>
  <c r="DI78" i="32"/>
  <c r="DK78" i="32"/>
  <c r="DJ78" i="32" s="1"/>
  <c r="DD79" i="32"/>
  <c r="DE79" i="32"/>
  <c r="DF79" i="32"/>
  <c r="DG79" i="32"/>
  <c r="DH79" i="32" s="1"/>
  <c r="DI79" i="32"/>
  <c r="DK79" i="32"/>
  <c r="DJ79" i="32" s="1"/>
  <c r="DD80" i="32"/>
  <c r="DE80" i="32"/>
  <c r="DF80" i="32"/>
  <c r="DG80" i="32"/>
  <c r="DH80" i="32" s="1"/>
  <c r="DI80" i="32"/>
  <c r="DK80" i="32"/>
  <c r="DJ80" i="32" s="1"/>
  <c r="DD81" i="32"/>
  <c r="DE81" i="32"/>
  <c r="DF81" i="32"/>
  <c r="DG81" i="32"/>
  <c r="DI81" i="32"/>
  <c r="DK81" i="32"/>
  <c r="DJ81" i="32" s="1"/>
  <c r="DD82" i="32"/>
  <c r="DE82" i="32"/>
  <c r="DF82" i="32"/>
  <c r="DG82" i="32"/>
  <c r="DH82" i="32" s="1"/>
  <c r="DI82" i="32"/>
  <c r="DK82" i="32"/>
  <c r="DJ82" i="32" s="1"/>
  <c r="DD83" i="32"/>
  <c r="DE83" i="32"/>
  <c r="DF83" i="32"/>
  <c r="DG83" i="32"/>
  <c r="DI83" i="32"/>
  <c r="DK83" i="32"/>
  <c r="DJ83" i="32" s="1"/>
  <c r="DD84" i="32"/>
  <c r="DE84" i="32"/>
  <c r="DF84" i="32"/>
  <c r="DG84" i="32"/>
  <c r="DH84" i="32"/>
  <c r="DI84" i="32"/>
  <c r="DK84" i="32"/>
  <c r="DJ84" i="32" s="1"/>
  <c r="DD85" i="32"/>
  <c r="DE85" i="32"/>
  <c r="DF85" i="32"/>
  <c r="DG85" i="32"/>
  <c r="DI85" i="32"/>
  <c r="DK85" i="32"/>
  <c r="DJ85" i="32" s="1"/>
  <c r="DD86" i="32"/>
  <c r="DE86" i="32"/>
  <c r="DF86" i="32"/>
  <c r="DG86" i="32"/>
  <c r="DI86" i="32"/>
  <c r="DK86" i="32"/>
  <c r="DJ86" i="32" s="1"/>
  <c r="DD87" i="32"/>
  <c r="DE87" i="32"/>
  <c r="DF87" i="32"/>
  <c r="DG87" i="32"/>
  <c r="DI87" i="32"/>
  <c r="DK87" i="32"/>
  <c r="DJ87" i="32" s="1"/>
  <c r="DD88" i="32"/>
  <c r="DE88" i="32"/>
  <c r="DF88" i="32"/>
  <c r="DG88" i="32"/>
  <c r="DH88" i="32" s="1"/>
  <c r="DI88" i="32"/>
  <c r="DK88" i="32"/>
  <c r="DJ88" i="32" s="1"/>
  <c r="DD89" i="32"/>
  <c r="DE89" i="32"/>
  <c r="DF89" i="32"/>
  <c r="DG89" i="32"/>
  <c r="DH89" i="32" s="1"/>
  <c r="DI89" i="32"/>
  <c r="DK89" i="32"/>
  <c r="DJ89" i="32" s="1"/>
  <c r="DD90" i="32"/>
  <c r="DE90" i="32"/>
  <c r="DF90" i="32"/>
  <c r="DG90" i="32"/>
  <c r="DH90" i="32" s="1"/>
  <c r="DI90" i="32"/>
  <c r="DK90" i="32"/>
  <c r="DJ90" i="32" s="1"/>
  <c r="DD91" i="32"/>
  <c r="DE91" i="32"/>
  <c r="DF91" i="32"/>
  <c r="DG91" i="32"/>
  <c r="DI91" i="32"/>
  <c r="DK91" i="32"/>
  <c r="DJ91" i="32" s="1"/>
  <c r="DD92" i="32"/>
  <c r="DE92" i="32"/>
  <c r="DF92" i="32"/>
  <c r="DG92" i="32"/>
  <c r="DH92" i="32"/>
  <c r="DI92" i="32"/>
  <c r="DK92" i="32"/>
  <c r="DJ92" i="32" s="1"/>
  <c r="DD93" i="32"/>
  <c r="DE93" i="32"/>
  <c r="DF93" i="32"/>
  <c r="DG93" i="32"/>
  <c r="DH93" i="32" s="1"/>
  <c r="DI93" i="32"/>
  <c r="DK93" i="32"/>
  <c r="DJ93" i="32" s="1"/>
  <c r="DD94" i="32"/>
  <c r="DE94" i="32"/>
  <c r="DF94" i="32"/>
  <c r="DG94" i="32"/>
  <c r="DH94" i="32"/>
  <c r="DI94" i="32"/>
  <c r="DK94" i="32"/>
  <c r="DJ94" i="32" s="1"/>
  <c r="DD95" i="32"/>
  <c r="DE95" i="32"/>
  <c r="DF95" i="32"/>
  <c r="DG95" i="32"/>
  <c r="DI95" i="32"/>
  <c r="DK95" i="32"/>
  <c r="DJ95" i="32" s="1"/>
  <c r="DD96" i="32"/>
  <c r="DE96" i="32"/>
  <c r="DF96" i="32"/>
  <c r="DG96" i="32"/>
  <c r="DH96" i="32" s="1"/>
  <c r="DI96" i="32"/>
  <c r="DK96" i="32"/>
  <c r="DJ96" i="32" s="1"/>
  <c r="DD97" i="32"/>
  <c r="DE97" i="32"/>
  <c r="DF97" i="32"/>
  <c r="DG97" i="32"/>
  <c r="DH97" i="32" s="1"/>
  <c r="DI97" i="32"/>
  <c r="DK97" i="32"/>
  <c r="DJ97" i="32" s="1"/>
  <c r="DD98" i="32"/>
  <c r="DE98" i="32"/>
  <c r="DF98" i="32"/>
  <c r="DH98" i="32" s="1"/>
  <c r="DG98" i="32"/>
  <c r="DI98" i="32"/>
  <c r="DK98" i="32"/>
  <c r="DJ98" i="32" s="1"/>
  <c r="DD99" i="32"/>
  <c r="DE99" i="32"/>
  <c r="DF99" i="32"/>
  <c r="DG99" i="32"/>
  <c r="DH99" i="32" s="1"/>
  <c r="DI99" i="32"/>
  <c r="DK99" i="32"/>
  <c r="DJ99" i="32" s="1"/>
  <c r="DD100" i="32"/>
  <c r="DE100" i="32"/>
  <c r="DF100" i="32"/>
  <c r="DG100" i="32"/>
  <c r="DI100" i="32"/>
  <c r="DK100" i="32"/>
  <c r="DJ100" i="32" s="1"/>
  <c r="DD101" i="32"/>
  <c r="DE101" i="32"/>
  <c r="DF101" i="32"/>
  <c r="DG101" i="32"/>
  <c r="DH101" i="32"/>
  <c r="DI101" i="32"/>
  <c r="DK101" i="32"/>
  <c r="DJ101" i="32" s="1"/>
  <c r="DD102" i="32"/>
  <c r="DE102" i="32"/>
  <c r="DF102" i="32"/>
  <c r="DG102" i="32"/>
  <c r="DH102" i="32" s="1"/>
  <c r="DI102" i="32"/>
  <c r="DK102" i="32"/>
  <c r="DJ102" i="32" s="1"/>
  <c r="DD103" i="32"/>
  <c r="DE103" i="32"/>
  <c r="DF103" i="32"/>
  <c r="DG103" i="32"/>
  <c r="DH103" i="32"/>
  <c r="DI103" i="32"/>
  <c r="DK103" i="32"/>
  <c r="DJ103" i="32" s="1"/>
  <c r="DD104" i="32"/>
  <c r="DE104" i="32"/>
  <c r="DF104" i="32"/>
  <c r="DH104" i="32" s="1"/>
  <c r="DG104" i="32"/>
  <c r="DI104" i="32"/>
  <c r="DK104" i="32"/>
  <c r="DJ104" i="32" s="1"/>
  <c r="DD105" i="32"/>
  <c r="DE105" i="32"/>
  <c r="DF105" i="32"/>
  <c r="DG105" i="32"/>
  <c r="DH105" i="32" s="1"/>
  <c r="DI105" i="32"/>
  <c r="DK105" i="32"/>
  <c r="DJ105" i="32" s="1"/>
  <c r="DD106" i="32"/>
  <c r="DE106" i="32"/>
  <c r="DF106" i="32"/>
  <c r="DH106" i="32" s="1"/>
  <c r="DG106" i="32"/>
  <c r="DI106" i="32"/>
  <c r="DK106" i="32"/>
  <c r="DJ106" i="32" s="1"/>
  <c r="DD107" i="32"/>
  <c r="DE107" i="32"/>
  <c r="DF107" i="32"/>
  <c r="DG107" i="32"/>
  <c r="DH107" i="32"/>
  <c r="DI107" i="32"/>
  <c r="DK107" i="32"/>
  <c r="DJ107" i="32" s="1"/>
  <c r="DD108" i="32"/>
  <c r="DE108" i="32"/>
  <c r="DF108" i="32"/>
  <c r="DH108" i="32" s="1"/>
  <c r="DG108" i="32"/>
  <c r="DI108" i="32"/>
  <c r="DK108" i="32"/>
  <c r="DJ108" i="32" s="1"/>
  <c r="DD109" i="32"/>
  <c r="DE109" i="32"/>
  <c r="DF109" i="32"/>
  <c r="DG109" i="32"/>
  <c r="DH109" i="32" s="1"/>
  <c r="DI109" i="32"/>
  <c r="DK109" i="32"/>
  <c r="DJ109" i="32" s="1"/>
  <c r="DD110" i="32"/>
  <c r="DE110" i="32"/>
  <c r="DF110" i="32"/>
  <c r="DG110" i="32"/>
  <c r="DH110" i="32" s="1"/>
  <c r="DI110" i="32"/>
  <c r="DJ110" i="32"/>
  <c r="DK110" i="32"/>
  <c r="DD111" i="32"/>
  <c r="DE111" i="32"/>
  <c r="DF111" i="32"/>
  <c r="DG111" i="32"/>
  <c r="DI111" i="32"/>
  <c r="DK111" i="32"/>
  <c r="DJ111" i="32" s="1"/>
  <c r="DD112" i="32"/>
  <c r="DE112" i="32"/>
  <c r="DF112" i="32"/>
  <c r="DG112" i="32"/>
  <c r="DH112" i="32" s="1"/>
  <c r="DI112" i="32"/>
  <c r="DK112" i="32"/>
  <c r="DJ112" i="32" s="1"/>
  <c r="DD113" i="32"/>
  <c r="DE113" i="32"/>
  <c r="DF113" i="32"/>
  <c r="DG113" i="32"/>
  <c r="DH113" i="32"/>
  <c r="DI113" i="32"/>
  <c r="DJ113" i="32"/>
  <c r="DK113" i="32"/>
  <c r="DD114" i="32"/>
  <c r="DE114" i="32"/>
  <c r="DF114" i="32"/>
  <c r="DH114" i="32" s="1"/>
  <c r="DG114" i="32"/>
  <c r="DI114" i="32"/>
  <c r="DK114" i="32"/>
  <c r="DJ114" i="32" s="1"/>
  <c r="DD115" i="32"/>
  <c r="DE115" i="32"/>
  <c r="DF115" i="32"/>
  <c r="DG115" i="32"/>
  <c r="DH115" i="32"/>
  <c r="DI115" i="32"/>
  <c r="DK115" i="32"/>
  <c r="DJ115" i="32" s="1"/>
  <c r="DD116" i="32"/>
  <c r="DE116" i="32"/>
  <c r="DF116" i="32"/>
  <c r="DG116" i="32"/>
  <c r="DH116" i="32"/>
  <c r="DI116" i="32"/>
  <c r="DK116" i="32"/>
  <c r="DJ116" i="32" s="1"/>
  <c r="DD117" i="32"/>
  <c r="DE117" i="32"/>
  <c r="DF117" i="32"/>
  <c r="DH117" i="32" s="1"/>
  <c r="DG117" i="32"/>
  <c r="DI117" i="32"/>
  <c r="DK117" i="32"/>
  <c r="DJ117" i="32" s="1"/>
  <c r="DD118" i="32"/>
  <c r="DE118" i="32"/>
  <c r="DF118" i="32"/>
  <c r="DH118" i="32" s="1"/>
  <c r="DG118" i="32"/>
  <c r="DI118" i="32"/>
  <c r="DK118" i="32"/>
  <c r="DJ118" i="32" s="1"/>
  <c r="DD119" i="32"/>
  <c r="DE119" i="32"/>
  <c r="DF119" i="32"/>
  <c r="DG119" i="32"/>
  <c r="DH119" i="32"/>
  <c r="DI119" i="32"/>
  <c r="DK119" i="32"/>
  <c r="DJ119" i="32" s="1"/>
  <c r="DD120" i="32"/>
  <c r="DE120" i="32"/>
  <c r="DF120" i="32"/>
  <c r="DG120" i="32"/>
  <c r="DH120" i="32" s="1"/>
  <c r="DI120" i="32"/>
  <c r="DK120" i="32"/>
  <c r="DJ120" i="32" s="1"/>
  <c r="DD121" i="32"/>
  <c r="DE121" i="32"/>
  <c r="DF121" i="32"/>
  <c r="DG121" i="32"/>
  <c r="DH121" i="32"/>
  <c r="DI121" i="32"/>
  <c r="DK121" i="32"/>
  <c r="DJ121" i="32" s="1"/>
  <c r="DD122" i="32"/>
  <c r="DE122" i="32"/>
  <c r="DF122" i="32"/>
  <c r="DG122" i="32"/>
  <c r="DH122" i="32" s="1"/>
  <c r="DI122" i="32"/>
  <c r="DK122" i="32"/>
  <c r="DJ122" i="32" s="1"/>
  <c r="DD123" i="32"/>
  <c r="DE123" i="32"/>
  <c r="DF123" i="32"/>
  <c r="DH123" i="32" s="1"/>
  <c r="DG123" i="32"/>
  <c r="DI123" i="32"/>
  <c r="DK123" i="32"/>
  <c r="DJ123" i="32" s="1"/>
  <c r="DD124" i="32"/>
  <c r="DE124" i="32"/>
  <c r="DF124" i="32"/>
  <c r="DH124" i="32" s="1"/>
  <c r="DG124" i="32"/>
  <c r="DI124" i="32"/>
  <c r="DK124" i="32"/>
  <c r="DJ124" i="32" s="1"/>
  <c r="DD125" i="32"/>
  <c r="DE125" i="32"/>
  <c r="DF125" i="32"/>
  <c r="DG125" i="32"/>
  <c r="DH125" i="32"/>
  <c r="DI125" i="32"/>
  <c r="DK125" i="32"/>
  <c r="DJ125" i="32" s="1"/>
  <c r="DD126" i="32"/>
  <c r="DE126" i="32"/>
  <c r="DF126" i="32"/>
  <c r="DG126" i="32"/>
  <c r="DH126" i="32" s="1"/>
  <c r="DI126" i="32"/>
  <c r="DK126" i="32"/>
  <c r="DJ126" i="32" s="1"/>
  <c r="DD127" i="32"/>
  <c r="DE127" i="32"/>
  <c r="DF127" i="32"/>
  <c r="DG127" i="32"/>
  <c r="DH127" i="32"/>
  <c r="DI127" i="32"/>
  <c r="DK127" i="32"/>
  <c r="DJ127" i="32" s="1"/>
  <c r="DD128" i="32"/>
  <c r="DE128" i="32"/>
  <c r="DF128" i="32"/>
  <c r="DG128" i="32"/>
  <c r="DH128" i="32" s="1"/>
  <c r="DI128" i="32"/>
  <c r="DK128" i="32"/>
  <c r="DJ128" i="32" s="1"/>
  <c r="DD129" i="32"/>
  <c r="DE129" i="32"/>
  <c r="DF129" i="32"/>
  <c r="DG129" i="32"/>
  <c r="DH129" i="32" s="1"/>
  <c r="DI129" i="32"/>
  <c r="DK129" i="32"/>
  <c r="DJ129" i="32" s="1"/>
  <c r="DD130" i="32"/>
  <c r="DE130" i="32"/>
  <c r="DF130" i="32"/>
  <c r="DG130" i="32"/>
  <c r="DH130" i="32"/>
  <c r="DI130" i="32"/>
  <c r="DK130" i="32"/>
  <c r="DJ130" i="32" s="1"/>
  <c r="DD131" i="32"/>
  <c r="DE131" i="32"/>
  <c r="DF131" i="32"/>
  <c r="DG131" i="32"/>
  <c r="DI131" i="32"/>
  <c r="DK131" i="32"/>
  <c r="DJ131" i="32" s="1"/>
  <c r="DD132" i="32"/>
  <c r="DE132" i="32"/>
  <c r="DF132" i="32"/>
  <c r="DH132" i="32" s="1"/>
  <c r="DG132" i="32"/>
  <c r="DI132" i="32"/>
  <c r="DK132" i="32"/>
  <c r="DJ132" i="32" s="1"/>
  <c r="DD133" i="32"/>
  <c r="DE133" i="32"/>
  <c r="DF133" i="32"/>
  <c r="DG133" i="32"/>
  <c r="DH133" i="32"/>
  <c r="DI133" i="32"/>
  <c r="DK133" i="32"/>
  <c r="DJ133" i="32" s="1"/>
  <c r="DD134" i="32"/>
  <c r="DE134" i="32"/>
  <c r="DF134" i="32"/>
  <c r="DH134" i="32" s="1"/>
  <c r="DG134" i="32"/>
  <c r="DI134" i="32"/>
  <c r="DK134" i="32"/>
  <c r="DJ134" i="32" s="1"/>
  <c r="DD135" i="32"/>
  <c r="DE135" i="32"/>
  <c r="DF135" i="32"/>
  <c r="DG135" i="32"/>
  <c r="DH135" i="32"/>
  <c r="DI135" i="32"/>
  <c r="DK135" i="32"/>
  <c r="DJ135" i="32" s="1"/>
  <c r="DD136" i="32"/>
  <c r="DE136" i="32"/>
  <c r="DF136" i="32"/>
  <c r="DG136" i="32"/>
  <c r="DH136" i="32"/>
  <c r="DI136" i="32"/>
  <c r="DK136" i="32"/>
  <c r="DJ136" i="32" s="1"/>
  <c r="DD137" i="32"/>
  <c r="DE137" i="32"/>
  <c r="DF137" i="32"/>
  <c r="DG137" i="32"/>
  <c r="DH137" i="32"/>
  <c r="DI137" i="32"/>
  <c r="DK137" i="32"/>
  <c r="DJ137" i="32" s="1"/>
  <c r="DD138" i="32"/>
  <c r="DE138" i="32"/>
  <c r="DF138" i="32"/>
  <c r="DH138" i="32" s="1"/>
  <c r="DG138" i="32"/>
  <c r="DI138" i="32"/>
  <c r="DK138" i="32"/>
  <c r="DJ138" i="32" s="1"/>
  <c r="DD139" i="32"/>
  <c r="DE139" i="32"/>
  <c r="DF139" i="32"/>
  <c r="DG139" i="32"/>
  <c r="DH139" i="32"/>
  <c r="DI139" i="32"/>
  <c r="DK139" i="32"/>
  <c r="DJ139" i="32" s="1"/>
  <c r="DD140" i="32"/>
  <c r="DE140" i="32"/>
  <c r="DF140" i="32"/>
  <c r="DG140" i="32"/>
  <c r="DH140" i="32"/>
  <c r="DI140" i="32"/>
  <c r="DK140" i="32"/>
  <c r="DJ140" i="32" s="1"/>
  <c r="DD141" i="32"/>
  <c r="DE141" i="32"/>
  <c r="DF141" i="32"/>
  <c r="DG141" i="32"/>
  <c r="DH141" i="32" s="1"/>
  <c r="DI141" i="32"/>
  <c r="DK141" i="32"/>
  <c r="DJ141" i="32" s="1"/>
  <c r="DD142" i="32"/>
  <c r="DE142" i="32"/>
  <c r="DF142" i="32"/>
  <c r="DH142" i="32" s="1"/>
  <c r="DG142" i="32"/>
  <c r="DI142" i="32"/>
  <c r="DK142" i="32"/>
  <c r="DJ142" i="32" s="1"/>
  <c r="DD143" i="32"/>
  <c r="DE143" i="32"/>
  <c r="DF143" i="32"/>
  <c r="DH143" i="32" s="1"/>
  <c r="DG143" i="32"/>
  <c r="DI143" i="32"/>
  <c r="DK143" i="32"/>
  <c r="DJ143" i="32" s="1"/>
  <c r="DD144" i="32"/>
  <c r="DE144" i="32"/>
  <c r="DF144" i="32"/>
  <c r="DG144" i="32"/>
  <c r="DH144" i="32" s="1"/>
  <c r="DI144" i="32"/>
  <c r="DK144" i="32"/>
  <c r="DJ144" i="32" s="1"/>
  <c r="DD145" i="32"/>
  <c r="DE145" i="32"/>
  <c r="DF145" i="32"/>
  <c r="DG145" i="32"/>
  <c r="DI145" i="32"/>
  <c r="DK145" i="32"/>
  <c r="DJ145" i="32" s="1"/>
  <c r="DD146" i="32"/>
  <c r="DE146" i="32"/>
  <c r="DF146" i="32"/>
  <c r="DG146" i="32"/>
  <c r="DH146" i="32"/>
  <c r="DI146" i="32"/>
  <c r="DK146" i="32"/>
  <c r="DJ146" i="32" s="1"/>
  <c r="DD147" i="32"/>
  <c r="DE147" i="32"/>
  <c r="DF147" i="32"/>
  <c r="DG147" i="32"/>
  <c r="DH147" i="32"/>
  <c r="DI147" i="32"/>
  <c r="DJ147" i="32"/>
  <c r="DK147" i="32"/>
  <c r="DD148" i="32"/>
  <c r="DE148" i="32"/>
  <c r="DF148" i="32"/>
  <c r="DG148" i="32"/>
  <c r="DH148" i="32" s="1"/>
  <c r="DI148" i="32"/>
  <c r="DK148" i="32"/>
  <c r="DJ148" i="32" s="1"/>
  <c r="DD149" i="32"/>
  <c r="DE149" i="32"/>
  <c r="DF149" i="32"/>
  <c r="DG149" i="32"/>
  <c r="DH149" i="32"/>
  <c r="DI149" i="32"/>
  <c r="DK149" i="32"/>
  <c r="DJ149" i="32" s="1"/>
  <c r="DD150" i="32"/>
  <c r="DE150" i="32"/>
  <c r="DF150" i="32"/>
  <c r="DG150" i="32"/>
  <c r="DH150" i="32"/>
  <c r="DI150" i="32"/>
  <c r="DK150" i="32"/>
  <c r="DJ150" i="32" s="1"/>
  <c r="DD151" i="32"/>
  <c r="DE151" i="32"/>
  <c r="DF151" i="32"/>
  <c r="DG151" i="32"/>
  <c r="DH151" i="32" s="1"/>
  <c r="DI151" i="32"/>
  <c r="DK151" i="32"/>
  <c r="DJ151" i="32" s="1"/>
  <c r="DD152" i="32"/>
  <c r="DE152" i="32"/>
  <c r="DF152" i="32"/>
  <c r="DG152" i="32"/>
  <c r="DH152" i="32"/>
  <c r="DI152" i="32"/>
  <c r="DK152" i="32"/>
  <c r="DJ152" i="32" s="1"/>
  <c r="DD153" i="32"/>
  <c r="DE153" i="32"/>
  <c r="DF153" i="32"/>
  <c r="DG153" i="32"/>
  <c r="DH153" i="32"/>
  <c r="DI153" i="32"/>
  <c r="DK153" i="32"/>
  <c r="DJ153" i="32" s="1"/>
  <c r="DD154" i="32"/>
  <c r="DE154" i="32"/>
  <c r="DF154" i="32"/>
  <c r="DH154" i="32" s="1"/>
  <c r="DG154" i="32"/>
  <c r="DI154" i="32"/>
  <c r="DK154" i="32"/>
  <c r="DJ154" i="32" s="1"/>
  <c r="DD155" i="32"/>
  <c r="DE155" i="32"/>
  <c r="DF155" i="32"/>
  <c r="DG155" i="32"/>
  <c r="DH155" i="32" s="1"/>
  <c r="DI155" i="32"/>
  <c r="DK155" i="32"/>
  <c r="DJ155" i="32" s="1"/>
  <c r="DD156" i="32"/>
  <c r="DE156" i="32"/>
  <c r="DF156" i="32"/>
  <c r="DG156" i="32"/>
  <c r="DH156" i="32"/>
  <c r="DI156" i="32"/>
  <c r="DK156" i="32"/>
  <c r="DJ156" i="32" s="1"/>
  <c r="DD157" i="32"/>
  <c r="DE157" i="32"/>
  <c r="DF157" i="32"/>
  <c r="DG157" i="32"/>
  <c r="DI157" i="32"/>
  <c r="DK157" i="32"/>
  <c r="DJ157" i="32" s="1"/>
  <c r="DD158" i="32"/>
  <c r="DE158" i="32"/>
  <c r="DF158" i="32"/>
  <c r="DG158" i="32"/>
  <c r="DI158" i="32"/>
  <c r="DK158" i="32"/>
  <c r="DJ158" i="32" s="1"/>
  <c r="DD159" i="32"/>
  <c r="DE159" i="32"/>
  <c r="DF159" i="32"/>
  <c r="DG159" i="32"/>
  <c r="DH159" i="32" s="1"/>
  <c r="DI159" i="32"/>
  <c r="DK159" i="32"/>
  <c r="DJ159" i="32" s="1"/>
  <c r="DD160" i="32"/>
  <c r="DE160" i="32"/>
  <c r="DF160" i="32"/>
  <c r="DG160" i="32"/>
  <c r="DH160" i="32" s="1"/>
  <c r="DI160" i="32"/>
  <c r="DK160" i="32"/>
  <c r="DJ160" i="32" s="1"/>
  <c r="DD161" i="32"/>
  <c r="DE161" i="32"/>
  <c r="DF161" i="32"/>
  <c r="DG161" i="32"/>
  <c r="DH161" i="32" s="1"/>
  <c r="DI161" i="32"/>
  <c r="DJ161" i="32"/>
  <c r="DK161" i="32"/>
  <c r="DD162" i="32"/>
  <c r="DE162" i="32"/>
  <c r="DF162" i="32"/>
  <c r="DG162" i="32"/>
  <c r="DI162" i="32"/>
  <c r="DK162" i="32"/>
  <c r="DJ162" i="32" s="1"/>
  <c r="DD163" i="32"/>
  <c r="DE163" i="32"/>
  <c r="DF163" i="32"/>
  <c r="DG163" i="32"/>
  <c r="DH163" i="32"/>
  <c r="DI163" i="32"/>
  <c r="DK163" i="32"/>
  <c r="DJ163" i="32" s="1"/>
  <c r="DD164" i="32"/>
  <c r="DE164" i="32"/>
  <c r="DF164" i="32"/>
  <c r="DG164" i="32"/>
  <c r="DH164" i="32" s="1"/>
  <c r="DI164" i="32"/>
  <c r="DK164" i="32"/>
  <c r="DJ164" i="32" s="1"/>
  <c r="DD165" i="32"/>
  <c r="DE165" i="32"/>
  <c r="DF165" i="32"/>
  <c r="DH165" i="32" s="1"/>
  <c r="DG165" i="32"/>
  <c r="DI165" i="32"/>
  <c r="DK165" i="32"/>
  <c r="DJ165" i="32" s="1"/>
  <c r="DD166" i="32"/>
  <c r="DE166" i="32"/>
  <c r="DF166" i="32"/>
  <c r="DH166" i="32" s="1"/>
  <c r="DG166" i="32"/>
  <c r="DI166" i="32"/>
  <c r="DK166" i="32"/>
  <c r="DJ166" i="32" s="1"/>
  <c r="DD167" i="32"/>
  <c r="DE167" i="32"/>
  <c r="DF167" i="32"/>
  <c r="DH167" i="32" s="1"/>
  <c r="DG167" i="32"/>
  <c r="DI167" i="32"/>
  <c r="DK167" i="32"/>
  <c r="DJ167" i="32" s="1"/>
  <c r="DD168" i="32"/>
  <c r="DE168" i="32"/>
  <c r="DF168" i="32"/>
  <c r="DG168" i="32"/>
  <c r="DH168" i="32" s="1"/>
  <c r="DI168" i="32"/>
  <c r="DK168" i="32"/>
  <c r="DJ168" i="32" s="1"/>
  <c r="DD169" i="32"/>
  <c r="DE169" i="32"/>
  <c r="DF169" i="32"/>
  <c r="DH169" i="32" s="1"/>
  <c r="DG169" i="32"/>
  <c r="DI169" i="32"/>
  <c r="DJ169" i="32"/>
  <c r="DK169" i="32"/>
  <c r="DD170" i="32"/>
  <c r="DE170" i="32"/>
  <c r="DF170" i="32"/>
  <c r="DG170" i="32"/>
  <c r="DI170" i="32"/>
  <c r="DK170" i="32"/>
  <c r="DJ170" i="32" s="1"/>
  <c r="DD171" i="32"/>
  <c r="DE171" i="32"/>
  <c r="DF171" i="32"/>
  <c r="DG171" i="32"/>
  <c r="DH171" i="32"/>
  <c r="DI171" i="32"/>
  <c r="DK171" i="32"/>
  <c r="DJ171" i="32" s="1"/>
  <c r="DD172" i="32"/>
  <c r="DE172" i="32"/>
  <c r="DF172" i="32"/>
  <c r="DG172" i="32"/>
  <c r="DH172" i="32"/>
  <c r="DI172" i="32"/>
  <c r="DK172" i="32"/>
  <c r="DJ172" i="32" s="1"/>
  <c r="DD173" i="32"/>
  <c r="DE173" i="32"/>
  <c r="DF173" i="32"/>
  <c r="DG173" i="32"/>
  <c r="DI173" i="32"/>
  <c r="DK173" i="32"/>
  <c r="DJ173" i="32" s="1"/>
  <c r="DD174" i="32"/>
  <c r="DE174" i="32"/>
  <c r="DF174" i="32"/>
  <c r="DG174" i="32"/>
  <c r="DI174" i="32"/>
  <c r="DK174" i="32"/>
  <c r="DJ174" i="32" s="1"/>
  <c r="DD175" i="32"/>
  <c r="DE175" i="32"/>
  <c r="DF175" i="32"/>
  <c r="DG175" i="32"/>
  <c r="DH175" i="32" s="1"/>
  <c r="DI175" i="32"/>
  <c r="DK175" i="32"/>
  <c r="DJ175" i="32" s="1"/>
  <c r="DD176" i="32"/>
  <c r="DE176" i="32"/>
  <c r="DF176" i="32"/>
  <c r="DG176" i="32"/>
  <c r="DH176" i="32" s="1"/>
  <c r="DI176" i="32"/>
  <c r="DK176" i="32"/>
  <c r="DJ176" i="32" s="1"/>
  <c r="DD177" i="32"/>
  <c r="DE177" i="32"/>
  <c r="DF177" i="32"/>
  <c r="DG177" i="32"/>
  <c r="DH177" i="32"/>
  <c r="DI177" i="32"/>
  <c r="DK177" i="32"/>
  <c r="DJ177" i="32" s="1"/>
  <c r="DD178" i="32"/>
  <c r="DE178" i="32"/>
  <c r="DF178" i="32"/>
  <c r="DH178" i="32" s="1"/>
  <c r="DG178" i="32"/>
  <c r="DI178" i="32"/>
  <c r="DK178" i="32"/>
  <c r="DJ178" i="32" s="1"/>
  <c r="DD179" i="32"/>
  <c r="DE179" i="32"/>
  <c r="DF179" i="32"/>
  <c r="DG179" i="32"/>
  <c r="DH179" i="32" s="1"/>
  <c r="DI179" i="32"/>
  <c r="DK179" i="32"/>
  <c r="DJ179" i="32" s="1"/>
  <c r="DD180" i="32"/>
  <c r="DE180" i="32"/>
  <c r="DF180" i="32"/>
  <c r="DG180" i="32"/>
  <c r="DH180" i="32"/>
  <c r="DI180" i="32"/>
  <c r="DK180" i="32"/>
  <c r="DJ180" i="32" s="1"/>
  <c r="DD181" i="32"/>
  <c r="DE181" i="32"/>
  <c r="DF181" i="32"/>
  <c r="DG181" i="32"/>
  <c r="DH181" i="32" s="1"/>
  <c r="DI181" i="32"/>
  <c r="DK181" i="32"/>
  <c r="DJ181" i="32" s="1"/>
  <c r="DD182" i="32"/>
  <c r="DE182" i="32"/>
  <c r="DF182" i="32"/>
  <c r="DG182" i="32"/>
  <c r="DH182" i="32"/>
  <c r="DI182" i="32"/>
  <c r="DK182" i="32"/>
  <c r="DJ182" i="32" s="1"/>
  <c r="DD183" i="32"/>
  <c r="DE183" i="32"/>
  <c r="DF183" i="32"/>
  <c r="DH183" i="32" s="1"/>
  <c r="DG183" i="32"/>
  <c r="DI183" i="32"/>
  <c r="DK183" i="32"/>
  <c r="DJ183" i="32" s="1"/>
  <c r="DD184" i="32"/>
  <c r="DE184" i="32"/>
  <c r="DF184" i="32"/>
  <c r="DG184" i="32"/>
  <c r="DI184" i="32"/>
  <c r="DK184" i="32"/>
  <c r="DJ184" i="32" s="1"/>
  <c r="DD185" i="32"/>
  <c r="DE185" i="32"/>
  <c r="DF185" i="32"/>
  <c r="DG185" i="32"/>
  <c r="DH185" i="32" s="1"/>
  <c r="DI185" i="32"/>
  <c r="DK185" i="32"/>
  <c r="DJ185" i="32" s="1"/>
  <c r="DD186" i="32"/>
  <c r="DE186" i="32"/>
  <c r="DF186" i="32"/>
  <c r="DH186" i="32" s="1"/>
  <c r="DG186" i="32"/>
  <c r="DI186" i="32"/>
  <c r="DK186" i="32"/>
  <c r="DJ186" i="32" s="1"/>
  <c r="DD187" i="32"/>
  <c r="DE187" i="32"/>
  <c r="DF187" i="32"/>
  <c r="DG187" i="32"/>
  <c r="DH187" i="32" s="1"/>
  <c r="DI187" i="32"/>
  <c r="DK187" i="32"/>
  <c r="DJ187" i="32" s="1"/>
  <c r="DD188" i="32"/>
  <c r="DE188" i="32"/>
  <c r="DF188" i="32"/>
  <c r="DG188" i="32"/>
  <c r="DH188" i="32"/>
  <c r="DI188" i="32"/>
  <c r="DK188" i="32"/>
  <c r="DJ188" i="32" s="1"/>
  <c r="DD189" i="32"/>
  <c r="DE189" i="32"/>
  <c r="DF189" i="32"/>
  <c r="DG189" i="32"/>
  <c r="DH189" i="32" s="1"/>
  <c r="DI189" i="32"/>
  <c r="DK189" i="32"/>
  <c r="DJ189" i="32" s="1"/>
  <c r="DD190" i="32"/>
  <c r="DE190" i="32"/>
  <c r="DF190" i="32"/>
  <c r="DH190" i="32" s="1"/>
  <c r="DG190" i="32"/>
  <c r="DI190" i="32"/>
  <c r="DK190" i="32"/>
  <c r="DJ190" i="32" s="1"/>
  <c r="DD191" i="32"/>
  <c r="DE191" i="32"/>
  <c r="DF191" i="32"/>
  <c r="DH191" i="32" s="1"/>
  <c r="DG191" i="32"/>
  <c r="DI191" i="32"/>
  <c r="DJ191" i="32"/>
  <c r="DK191" i="32"/>
  <c r="DD192" i="32"/>
  <c r="DE192" i="32"/>
  <c r="DF192" i="32"/>
  <c r="DG192" i="32"/>
  <c r="DH192" i="32"/>
  <c r="DI192" i="32"/>
  <c r="DK192" i="32"/>
  <c r="DJ192" i="32" s="1"/>
  <c r="DD193" i="32"/>
  <c r="DE193" i="32"/>
  <c r="DF193" i="32"/>
  <c r="DG193" i="32"/>
  <c r="DH193" i="32"/>
  <c r="DI193" i="32"/>
  <c r="DK193" i="32"/>
  <c r="DJ193" i="32" s="1"/>
  <c r="DD194" i="32"/>
  <c r="DE194" i="32"/>
  <c r="DF194" i="32"/>
  <c r="DG194" i="32"/>
  <c r="DH194" i="32" s="1"/>
  <c r="DI194" i="32"/>
  <c r="DK194" i="32"/>
  <c r="DJ194" i="32" s="1"/>
  <c r="DD195" i="32"/>
  <c r="DE195" i="32"/>
  <c r="DF195" i="32"/>
  <c r="DG195" i="32"/>
  <c r="DH195" i="32" s="1"/>
  <c r="DI195" i="32"/>
  <c r="DK195" i="32"/>
  <c r="DJ195" i="32" s="1"/>
  <c r="DD196" i="32"/>
  <c r="DE196" i="32"/>
  <c r="DF196" i="32"/>
  <c r="DG196" i="32"/>
  <c r="DH196" i="32" s="1"/>
  <c r="DI196" i="32"/>
  <c r="DK196" i="32"/>
  <c r="DJ196" i="32" s="1"/>
  <c r="DD197" i="32"/>
  <c r="DE197" i="32"/>
  <c r="DF197" i="32"/>
  <c r="DG197" i="32"/>
  <c r="DI197" i="32"/>
  <c r="DK197" i="32"/>
  <c r="DJ197" i="32" s="1"/>
  <c r="DD198" i="32"/>
  <c r="DE198" i="32"/>
  <c r="DF198" i="32"/>
  <c r="DH198" i="32" s="1"/>
  <c r="DG198" i="32"/>
  <c r="DI198" i="32"/>
  <c r="DK198" i="32"/>
  <c r="DJ198" i="32" s="1"/>
  <c r="DD199" i="32"/>
  <c r="DE199" i="32"/>
  <c r="DF199" i="32"/>
  <c r="DG199" i="32"/>
  <c r="DH199" i="32"/>
  <c r="DI199" i="32"/>
  <c r="DK199" i="32"/>
  <c r="DJ199" i="32" s="1"/>
  <c r="DD200" i="32"/>
  <c r="DE200" i="32"/>
  <c r="DF200" i="32"/>
  <c r="DG200" i="32"/>
  <c r="DH200" i="32"/>
  <c r="DI200" i="32"/>
  <c r="DJ200" i="32"/>
  <c r="DK200" i="32"/>
  <c r="DD201" i="32"/>
  <c r="DE201" i="32"/>
  <c r="DF201" i="32"/>
  <c r="DG201" i="32"/>
  <c r="DH201" i="32"/>
  <c r="DI201" i="32"/>
  <c r="DK201" i="32"/>
  <c r="DJ201" i="32" s="1"/>
  <c r="DD202" i="32"/>
  <c r="DE202" i="32"/>
  <c r="DF202" i="32"/>
  <c r="DG202" i="32"/>
  <c r="DH202" i="32" s="1"/>
  <c r="DI202" i="32"/>
  <c r="DK202" i="32"/>
  <c r="DJ202" i="32" s="1"/>
  <c r="DD203" i="32"/>
  <c r="DE203" i="32"/>
  <c r="DF203" i="32"/>
  <c r="DG203" i="32"/>
  <c r="DH203" i="32" s="1"/>
  <c r="DI203" i="32"/>
  <c r="DK203" i="32"/>
  <c r="DJ203" i="32" s="1"/>
  <c r="DD204" i="32"/>
  <c r="DE204" i="32"/>
  <c r="DF204" i="32"/>
  <c r="DG204" i="32"/>
  <c r="DH204" i="32"/>
  <c r="DI204" i="32"/>
  <c r="DK204" i="32"/>
  <c r="DJ204" i="32" s="1"/>
  <c r="DD205" i="32"/>
  <c r="DE205" i="32"/>
  <c r="DF205" i="32"/>
  <c r="DG205" i="32"/>
  <c r="DH205" i="32"/>
  <c r="DI205" i="32"/>
  <c r="DJ205" i="32"/>
  <c r="DK205" i="32"/>
  <c r="DD206" i="32"/>
  <c r="DE206" i="32"/>
  <c r="DF206" i="32"/>
  <c r="DG206" i="32"/>
  <c r="DH206" i="32" s="1"/>
  <c r="DI206" i="32"/>
  <c r="DK206" i="32"/>
  <c r="DJ206" i="32" s="1"/>
  <c r="DD207" i="32"/>
  <c r="DE207" i="32"/>
  <c r="DF207" i="32"/>
  <c r="DH207" i="32" s="1"/>
  <c r="DG207" i="32"/>
  <c r="DI207" i="32"/>
  <c r="DK207" i="32"/>
  <c r="DJ207" i="32" s="1"/>
  <c r="DD208" i="32"/>
  <c r="DE208" i="32"/>
  <c r="DF208" i="32"/>
  <c r="DG208" i="32"/>
  <c r="DH208" i="32"/>
  <c r="DI208" i="32"/>
  <c r="DK208" i="32"/>
  <c r="DJ208" i="32" s="1"/>
  <c r="DD209" i="32"/>
  <c r="DE209" i="32"/>
  <c r="DF209" i="32"/>
  <c r="DG209" i="32"/>
  <c r="DH209" i="32"/>
  <c r="DI209" i="32"/>
  <c r="DK209" i="32"/>
  <c r="DJ209" i="32" s="1"/>
  <c r="DD210" i="32"/>
  <c r="DE210" i="32"/>
  <c r="DF210" i="32"/>
  <c r="DH210" i="32" s="1"/>
  <c r="DG210" i="32"/>
  <c r="DI210" i="32"/>
  <c r="DK210" i="32"/>
  <c r="DJ210" i="32" s="1"/>
  <c r="DD211" i="32"/>
  <c r="DE211" i="32"/>
  <c r="DF211" i="32"/>
  <c r="DG211" i="32"/>
  <c r="DH211" i="32" s="1"/>
  <c r="DI211" i="32"/>
  <c r="DK211" i="32"/>
  <c r="DJ211" i="32" s="1"/>
  <c r="DD212" i="32"/>
  <c r="DE212" i="32"/>
  <c r="DF212" i="32"/>
  <c r="DH212" i="32" s="1"/>
  <c r="DG212" i="32"/>
  <c r="DI212" i="32"/>
  <c r="DK212" i="32"/>
  <c r="DJ212" i="32" s="1"/>
  <c r="DD213" i="32"/>
  <c r="DE213" i="32"/>
  <c r="DF213" i="32"/>
  <c r="DH213" i="32" s="1"/>
  <c r="DG213" i="32"/>
  <c r="DI213" i="32"/>
  <c r="DK213" i="32"/>
  <c r="DJ213" i="32" s="1"/>
  <c r="DD214" i="32"/>
  <c r="DE214" i="32"/>
  <c r="DF214" i="32"/>
  <c r="DG214" i="32"/>
  <c r="DH214" i="32" s="1"/>
  <c r="DI214" i="32"/>
  <c r="DK214" i="32"/>
  <c r="DJ214" i="32" s="1"/>
  <c r="DD215" i="32"/>
  <c r="DE215" i="32"/>
  <c r="DF215" i="32"/>
  <c r="DG215" i="32"/>
  <c r="DI215" i="32"/>
  <c r="DJ215" i="32"/>
  <c r="DK215" i="32"/>
  <c r="DD216" i="32"/>
  <c r="DE216" i="32"/>
  <c r="DF216" i="32"/>
  <c r="DG216" i="32"/>
  <c r="DH216" i="32"/>
  <c r="DI216" i="32"/>
  <c r="DK216" i="32"/>
  <c r="DJ216" i="32" s="1"/>
  <c r="DD217" i="32"/>
  <c r="DE217" i="32"/>
  <c r="DF217" i="32"/>
  <c r="DG217" i="32"/>
  <c r="DH217" i="32" s="1"/>
  <c r="DI217" i="32"/>
  <c r="DJ217" i="32"/>
  <c r="DK217" i="32"/>
  <c r="DD218" i="32"/>
  <c r="DE218" i="32"/>
  <c r="DF218" i="32"/>
  <c r="DG218" i="32"/>
  <c r="DH218" i="32"/>
  <c r="DI218" i="32"/>
  <c r="DK218" i="32"/>
  <c r="DJ218" i="32" s="1"/>
  <c r="DD219" i="32"/>
  <c r="DE219" i="32"/>
  <c r="DF219" i="32"/>
  <c r="DG219" i="32"/>
  <c r="DH219" i="32"/>
  <c r="DI219" i="32"/>
  <c r="DK219" i="32"/>
  <c r="DJ219" i="32" s="1"/>
  <c r="DD220" i="32"/>
  <c r="DE220" i="32"/>
  <c r="DF220" i="32"/>
  <c r="DH220" i="32" s="1"/>
  <c r="DG220" i="32"/>
  <c r="DI220" i="32"/>
  <c r="DK220" i="32"/>
  <c r="DJ220" i="32" s="1"/>
  <c r="DD221" i="32"/>
  <c r="DE221" i="32"/>
  <c r="DF221" i="32"/>
  <c r="DH221" i="32" s="1"/>
  <c r="DG221" i="32"/>
  <c r="DI221" i="32"/>
  <c r="DK221" i="32"/>
  <c r="DJ221" i="32" s="1"/>
  <c r="DD222" i="32"/>
  <c r="DE222" i="32"/>
  <c r="DF222" i="32"/>
  <c r="DG222" i="32"/>
  <c r="DH222" i="32"/>
  <c r="DI222" i="32"/>
  <c r="DJ222" i="32"/>
  <c r="DK222" i="32"/>
  <c r="DD223" i="32"/>
  <c r="DE223" i="32"/>
  <c r="DF223" i="32"/>
  <c r="DG223" i="32"/>
  <c r="DH223" i="32" s="1"/>
  <c r="DI223" i="32"/>
  <c r="DK223" i="32"/>
  <c r="DJ223" i="32" s="1"/>
  <c r="DD224" i="32"/>
  <c r="DE224" i="32"/>
  <c r="DF224" i="32"/>
  <c r="DG224" i="32"/>
  <c r="DH224" i="32"/>
  <c r="DI224" i="32"/>
  <c r="DK224" i="32"/>
  <c r="DJ224" i="32" s="1"/>
  <c r="DD225" i="32"/>
  <c r="DE225" i="32"/>
  <c r="DF225" i="32"/>
  <c r="DG225" i="32"/>
  <c r="DI225" i="32"/>
  <c r="DK225" i="32"/>
  <c r="DJ225" i="32" s="1"/>
  <c r="DD226" i="32"/>
  <c r="DE226" i="32"/>
  <c r="DF226" i="32"/>
  <c r="DG226" i="32"/>
  <c r="DH226" i="32" s="1"/>
  <c r="DI226" i="32"/>
  <c r="DK226" i="32"/>
  <c r="DJ226" i="32" s="1"/>
  <c r="DD227" i="32"/>
  <c r="DE227" i="32"/>
  <c r="DF227" i="32"/>
  <c r="DH227" i="32" s="1"/>
  <c r="DG227" i="32"/>
  <c r="DI227" i="32"/>
  <c r="DK227" i="32"/>
  <c r="DJ227" i="32" s="1"/>
  <c r="DD228" i="32"/>
  <c r="DE228" i="32"/>
  <c r="DF228" i="32"/>
  <c r="DG228" i="32"/>
  <c r="DH228" i="32"/>
  <c r="DI228" i="32"/>
  <c r="DK228" i="32"/>
  <c r="DJ228" i="32" s="1"/>
  <c r="DD229" i="32"/>
  <c r="DE229" i="32"/>
  <c r="DF229" i="32"/>
  <c r="DG229" i="32"/>
  <c r="DI229" i="32"/>
  <c r="DK229" i="32"/>
  <c r="DJ229" i="32" s="1"/>
  <c r="DD230" i="32"/>
  <c r="DE230" i="32"/>
  <c r="DF230" i="32"/>
  <c r="DG230" i="32"/>
  <c r="DH230" i="32"/>
  <c r="DI230" i="32"/>
  <c r="DK230" i="32"/>
  <c r="DJ230" i="32" s="1"/>
  <c r="DD231" i="32"/>
  <c r="DE231" i="32"/>
  <c r="DF231" i="32"/>
  <c r="DH231" i="32" s="1"/>
  <c r="DG231" i="32"/>
  <c r="DI231" i="32"/>
  <c r="DK231" i="32"/>
  <c r="DJ231" i="32" s="1"/>
  <c r="DD232" i="32"/>
  <c r="DE232" i="32"/>
  <c r="DF232" i="32"/>
  <c r="DG232" i="32"/>
  <c r="DH232" i="32" s="1"/>
  <c r="DI232" i="32"/>
  <c r="DK232" i="32"/>
  <c r="DJ232" i="32" s="1"/>
  <c r="DD233" i="32"/>
  <c r="DE233" i="32"/>
  <c r="DF233" i="32"/>
  <c r="DG233" i="32"/>
  <c r="DH233" i="32"/>
  <c r="DI233" i="32"/>
  <c r="DJ233" i="32"/>
  <c r="DK233" i="32"/>
  <c r="DD234" i="32"/>
  <c r="DE234" i="32"/>
  <c r="DF234" i="32"/>
  <c r="DG234" i="32"/>
  <c r="DH234" i="32"/>
  <c r="DI234" i="32"/>
  <c r="DK234" i="32"/>
  <c r="DJ234" i="32" s="1"/>
  <c r="DD235" i="32"/>
  <c r="DE235" i="32"/>
  <c r="DF235" i="32"/>
  <c r="DG235" i="32"/>
  <c r="DH235" i="32"/>
  <c r="DI235" i="32"/>
  <c r="DK235" i="32"/>
  <c r="DJ235" i="32" s="1"/>
  <c r="DD236" i="32"/>
  <c r="DE236" i="32"/>
  <c r="DF236" i="32"/>
  <c r="DH236" i="32" s="1"/>
  <c r="DG236" i="32"/>
  <c r="DI236" i="32"/>
  <c r="DK236" i="32"/>
  <c r="DJ236" i="32" s="1"/>
  <c r="DD237" i="32"/>
  <c r="DE237" i="32"/>
  <c r="DF237" i="32"/>
  <c r="DG237" i="32"/>
  <c r="DH237" i="32"/>
  <c r="DI237" i="32"/>
  <c r="DK237" i="32"/>
  <c r="DJ237" i="32" s="1"/>
  <c r="DD238" i="32"/>
  <c r="DE238" i="32"/>
  <c r="DF238" i="32"/>
  <c r="DG238" i="32"/>
  <c r="DH238" i="32"/>
  <c r="DI238" i="32"/>
  <c r="DK238" i="32"/>
  <c r="DJ238" i="32" s="1"/>
  <c r="DD239" i="32"/>
  <c r="DE239" i="32"/>
  <c r="DF239" i="32"/>
  <c r="DG239" i="32"/>
  <c r="DH239" i="32"/>
  <c r="DI239" i="32"/>
  <c r="DK239" i="32"/>
  <c r="DJ239" i="32" s="1"/>
  <c r="DD240" i="32"/>
  <c r="DE240" i="32"/>
  <c r="DF240" i="32"/>
  <c r="DG240" i="32"/>
  <c r="DH240" i="32"/>
  <c r="DI240" i="32"/>
  <c r="DK240" i="32"/>
  <c r="DJ240" i="32" s="1"/>
  <c r="DD241" i="32"/>
  <c r="DE241" i="32"/>
  <c r="DF241" i="32"/>
  <c r="DG241" i="32"/>
  <c r="DI241" i="32"/>
  <c r="DK241" i="32"/>
  <c r="DJ241" i="32" s="1"/>
  <c r="DD242" i="32"/>
  <c r="DE242" i="32"/>
  <c r="DF242" i="32"/>
  <c r="DG242" i="32"/>
  <c r="DH242" i="32" s="1"/>
  <c r="DI242" i="32"/>
  <c r="DK242" i="32"/>
  <c r="DJ242" i="32" s="1"/>
  <c r="DD243" i="32"/>
  <c r="DE243" i="32"/>
  <c r="DF243" i="32"/>
  <c r="DG243" i="32"/>
  <c r="DH243" i="32" s="1"/>
  <c r="DI243" i="32"/>
  <c r="DK243" i="32"/>
  <c r="DJ243" i="32" s="1"/>
  <c r="DD244" i="32"/>
  <c r="DE244" i="32"/>
  <c r="DF244" i="32"/>
  <c r="DG244" i="32"/>
  <c r="DH244" i="32"/>
  <c r="DI244" i="32"/>
  <c r="DK244" i="32"/>
  <c r="DJ244" i="32" s="1"/>
  <c r="DD245" i="32"/>
  <c r="DE245" i="32"/>
  <c r="DF245" i="32"/>
  <c r="DG245" i="32"/>
  <c r="DH245" i="32" s="1"/>
  <c r="DI245" i="32"/>
  <c r="DK245" i="32"/>
  <c r="DJ245" i="32" s="1"/>
  <c r="DD246" i="32"/>
  <c r="DE246" i="32"/>
  <c r="DF246" i="32"/>
  <c r="DG246" i="32"/>
  <c r="DH246" i="32" s="1"/>
  <c r="DI246" i="32"/>
  <c r="DK246" i="32"/>
  <c r="DJ246" i="32" s="1"/>
  <c r="DD247" i="32"/>
  <c r="DE247" i="32"/>
  <c r="DF247" i="32"/>
  <c r="DH247" i="32" s="1"/>
  <c r="DG247" i="32"/>
  <c r="DI247" i="32"/>
  <c r="DK247" i="32"/>
  <c r="DJ247" i="32" s="1"/>
  <c r="DD248" i="32"/>
  <c r="DE248" i="32"/>
  <c r="DF248" i="32"/>
  <c r="DG248" i="32"/>
  <c r="DH248" i="32" s="1"/>
  <c r="DI248" i="32"/>
  <c r="DK248" i="32"/>
  <c r="DJ248" i="32" s="1"/>
  <c r="DD249" i="32"/>
  <c r="DE249" i="32"/>
  <c r="DF249" i="32"/>
  <c r="DG249" i="32"/>
  <c r="DH249" i="32"/>
  <c r="DI249" i="32"/>
  <c r="DK249" i="32"/>
  <c r="DJ249" i="32" s="1"/>
  <c r="DD250" i="32"/>
  <c r="DE250" i="32"/>
  <c r="DF250" i="32"/>
  <c r="DG250" i="32"/>
  <c r="DH250" i="32"/>
  <c r="DI250" i="32"/>
  <c r="DK250" i="32"/>
  <c r="DJ250" i="32" s="1"/>
  <c r="DD251" i="32"/>
  <c r="DE251" i="32"/>
  <c r="DF251" i="32"/>
  <c r="DG251" i="32"/>
  <c r="DH251" i="32"/>
  <c r="DI251" i="32"/>
  <c r="DK251" i="32"/>
  <c r="DJ251" i="32" s="1"/>
  <c r="DD252" i="32"/>
  <c r="DE252" i="32"/>
  <c r="DF252" i="32"/>
  <c r="DH252" i="32" s="1"/>
  <c r="DG252" i="32"/>
  <c r="DI252" i="32"/>
  <c r="DK252" i="32"/>
  <c r="DJ252" i="32" s="1"/>
  <c r="DD253" i="32"/>
  <c r="DE253" i="32"/>
  <c r="DF253" i="32"/>
  <c r="DH253" i="32" s="1"/>
  <c r="DG253" i="32"/>
  <c r="DI253" i="32"/>
  <c r="DK253" i="32"/>
  <c r="DJ253" i="32" s="1"/>
  <c r="DD254" i="32"/>
  <c r="DE254" i="32"/>
  <c r="DF254" i="32"/>
  <c r="DH254" i="32" s="1"/>
  <c r="DG254" i="32"/>
  <c r="DI254" i="32"/>
  <c r="DK254" i="32"/>
  <c r="DJ254" i="32" s="1"/>
  <c r="DD255" i="32"/>
  <c r="DE255" i="32"/>
  <c r="DF255" i="32"/>
  <c r="DG255" i="32"/>
  <c r="DI255" i="32"/>
  <c r="DK255" i="32"/>
  <c r="DJ255" i="32" s="1"/>
  <c r="DD256" i="32"/>
  <c r="DE256" i="32"/>
  <c r="DF256" i="32"/>
  <c r="DG256" i="32"/>
  <c r="DI256" i="32"/>
  <c r="DK256" i="32"/>
  <c r="DJ256" i="32" s="1"/>
  <c r="DD257" i="32"/>
  <c r="DE257" i="32"/>
  <c r="DF257" i="32"/>
  <c r="DG257" i="32"/>
  <c r="DH257" i="32"/>
  <c r="DI257" i="32"/>
  <c r="DK257" i="32"/>
  <c r="DJ257" i="32" s="1"/>
  <c r="DD258" i="32"/>
  <c r="DE258" i="32"/>
  <c r="DF258" i="32"/>
  <c r="DG258" i="32"/>
  <c r="DH258" i="32" s="1"/>
  <c r="DI258" i="32"/>
  <c r="DK258" i="32"/>
  <c r="DJ258" i="32" s="1"/>
  <c r="DD259" i="32"/>
  <c r="DE259" i="32"/>
  <c r="DF259" i="32"/>
  <c r="DG259" i="32"/>
  <c r="DH259" i="32" s="1"/>
  <c r="DI259" i="32"/>
  <c r="DK259" i="32"/>
  <c r="DJ259" i="32" s="1"/>
  <c r="DD260" i="32"/>
  <c r="DE260" i="32"/>
  <c r="DF260" i="32"/>
  <c r="DG260" i="32"/>
  <c r="DH260" i="32"/>
  <c r="DI260" i="32"/>
  <c r="DK260" i="32"/>
  <c r="DJ260" i="32" s="1"/>
  <c r="DD261" i="32"/>
  <c r="DE261" i="32"/>
  <c r="DF261" i="32"/>
  <c r="DG261" i="32"/>
  <c r="DH261" i="32"/>
  <c r="DI261" i="32"/>
  <c r="DK261" i="32"/>
  <c r="DJ261" i="32" s="1"/>
  <c r="DD262" i="32"/>
  <c r="DE262" i="32"/>
  <c r="DF262" i="32"/>
  <c r="DG262" i="32"/>
  <c r="DH262" i="32"/>
  <c r="DI262" i="32"/>
  <c r="DK262" i="32"/>
  <c r="DJ262" i="32" s="1"/>
  <c r="DD263" i="32"/>
  <c r="DE263" i="32"/>
  <c r="DF263" i="32"/>
  <c r="DG263" i="32"/>
  <c r="DH263" i="32" s="1"/>
  <c r="DI263" i="32"/>
  <c r="DK263" i="32"/>
  <c r="DJ263" i="32" s="1"/>
  <c r="DD264" i="32"/>
  <c r="DE264" i="32"/>
  <c r="DF264" i="32"/>
  <c r="DG264" i="32"/>
  <c r="DH264" i="32" s="1"/>
  <c r="DI264" i="32"/>
  <c r="DK264" i="32"/>
  <c r="DJ264" i="32" s="1"/>
  <c r="DD265" i="32"/>
  <c r="DE265" i="32"/>
  <c r="DF265" i="32"/>
  <c r="DG265" i="32"/>
  <c r="DH265" i="32"/>
  <c r="DI265" i="32"/>
  <c r="DK265" i="32"/>
  <c r="DJ265" i="32" s="1"/>
  <c r="DD266" i="32"/>
  <c r="DE266" i="32"/>
  <c r="DF266" i="32"/>
  <c r="DH266" i="32" s="1"/>
  <c r="DG266" i="32"/>
  <c r="DI266" i="32"/>
  <c r="DK266" i="32"/>
  <c r="DJ266" i="32" s="1"/>
  <c r="DD267" i="32"/>
  <c r="DE267" i="32"/>
  <c r="DF267" i="32"/>
  <c r="DG267" i="32"/>
  <c r="DH267" i="32"/>
  <c r="DI267" i="32"/>
  <c r="DK267" i="32"/>
  <c r="DJ267" i="32" s="1"/>
  <c r="DD268" i="32"/>
  <c r="DE268" i="32"/>
  <c r="DF268" i="32"/>
  <c r="DG268" i="32"/>
  <c r="DH268" i="32" s="1"/>
  <c r="DI268" i="32"/>
  <c r="DJ268" i="32"/>
  <c r="DK268" i="32"/>
  <c r="DD269" i="32"/>
  <c r="DE269" i="32"/>
  <c r="DF269" i="32"/>
  <c r="DG269" i="32"/>
  <c r="DI269" i="32"/>
  <c r="DK269" i="32"/>
  <c r="DJ269" i="32" s="1"/>
  <c r="DD270" i="32"/>
  <c r="DE270" i="32"/>
  <c r="DF270" i="32"/>
  <c r="DG270" i="32"/>
  <c r="DH270" i="32" s="1"/>
  <c r="DI270" i="32"/>
  <c r="DK270" i="32"/>
  <c r="DJ270" i="32" s="1"/>
  <c r="DD271" i="32"/>
  <c r="DE271" i="32"/>
  <c r="DF271" i="32"/>
  <c r="DG271" i="32"/>
  <c r="DH271" i="32" s="1"/>
  <c r="DI271" i="32"/>
  <c r="DK271" i="32"/>
  <c r="DJ271" i="32" s="1"/>
  <c r="DD272" i="32"/>
  <c r="DE272" i="32"/>
  <c r="DF272" i="32"/>
  <c r="DG272" i="32"/>
  <c r="DH272" i="32"/>
  <c r="DI272" i="32"/>
  <c r="DK272" i="32"/>
  <c r="DJ272" i="32" s="1"/>
  <c r="DD273" i="32"/>
  <c r="DE273" i="32"/>
  <c r="DF273" i="32"/>
  <c r="DG273" i="32"/>
  <c r="DH273" i="32"/>
  <c r="DI273" i="32"/>
  <c r="DK273" i="32"/>
  <c r="DJ273" i="32" s="1"/>
  <c r="DD274" i="32"/>
  <c r="DE274" i="32"/>
  <c r="DF274" i="32"/>
  <c r="DG274" i="32"/>
  <c r="DH274" i="32"/>
  <c r="DI274" i="32"/>
  <c r="DK274" i="32"/>
  <c r="DJ274" i="32" s="1"/>
  <c r="DD275" i="32"/>
  <c r="DE275" i="32"/>
  <c r="DF275" i="32"/>
  <c r="DG275" i="32"/>
  <c r="DH275" i="32"/>
  <c r="DI275" i="32"/>
  <c r="DK275" i="32"/>
  <c r="DJ275" i="32" s="1"/>
  <c r="DD276" i="32"/>
  <c r="DE276" i="32"/>
  <c r="DF276" i="32"/>
  <c r="DG276" i="32"/>
  <c r="DH276" i="32"/>
  <c r="DI276" i="32"/>
  <c r="DK276" i="32"/>
  <c r="DJ276" i="32" s="1"/>
  <c r="DD277" i="32"/>
  <c r="DE277" i="32"/>
  <c r="DF277" i="32"/>
  <c r="DG277" i="32"/>
  <c r="DH277" i="32" s="1"/>
  <c r="DI277" i="32"/>
  <c r="DK277" i="32"/>
  <c r="DJ277" i="32" s="1"/>
  <c r="DD278" i="32"/>
  <c r="DE278" i="32"/>
  <c r="DF278" i="32"/>
  <c r="DH278" i="32" s="1"/>
  <c r="DG278" i="32"/>
  <c r="DI278" i="32"/>
  <c r="DK278" i="32"/>
  <c r="DJ278" i="32" s="1"/>
  <c r="DD279" i="32"/>
  <c r="DE279" i="32"/>
  <c r="DF279" i="32"/>
  <c r="DG279" i="32"/>
  <c r="DH279" i="32" s="1"/>
  <c r="DI279" i="32"/>
  <c r="DK279" i="32"/>
  <c r="DJ279" i="32" s="1"/>
  <c r="DD280" i="32"/>
  <c r="DE280" i="32"/>
  <c r="DF280" i="32"/>
  <c r="DG280" i="32"/>
  <c r="DH280" i="32" s="1"/>
  <c r="DI280" i="32"/>
  <c r="DK280" i="32"/>
  <c r="DJ280" i="32" s="1"/>
  <c r="DD281" i="32"/>
  <c r="DE281" i="32"/>
  <c r="DF281" i="32"/>
  <c r="DG281" i="32"/>
  <c r="DH281" i="32" s="1"/>
  <c r="DI281" i="32"/>
  <c r="DK281" i="32"/>
  <c r="DJ281" i="32" s="1"/>
  <c r="DD282" i="32"/>
  <c r="DE282" i="32"/>
  <c r="DF282" i="32"/>
  <c r="DG282" i="32"/>
  <c r="DH282" i="32"/>
  <c r="DI282" i="32"/>
  <c r="DK282" i="32"/>
  <c r="DJ282" i="32" s="1"/>
  <c r="DD283" i="32"/>
  <c r="DE283" i="32"/>
  <c r="DF283" i="32"/>
  <c r="DH283" i="32" s="1"/>
  <c r="DG283" i="32"/>
  <c r="DI283" i="32"/>
  <c r="DK283" i="32"/>
  <c r="DJ283" i="32" s="1"/>
  <c r="DD284" i="32"/>
  <c r="DE284" i="32"/>
  <c r="DF284" i="32"/>
  <c r="DH284" i="32" s="1"/>
  <c r="DG284" i="32"/>
  <c r="DI284" i="32"/>
  <c r="DK284" i="32"/>
  <c r="DJ284" i="32" s="1"/>
  <c r="DD285" i="32"/>
  <c r="DE285" i="32"/>
  <c r="DF285" i="32"/>
  <c r="DG285" i="32"/>
  <c r="DH285" i="32"/>
  <c r="DI285" i="32"/>
  <c r="DK285" i="32"/>
  <c r="DJ285" i="32" s="1"/>
  <c r="DD286" i="32"/>
  <c r="DE286" i="32"/>
  <c r="DF286" i="32"/>
  <c r="DH286" i="32" s="1"/>
  <c r="DG286" i="32"/>
  <c r="DI286" i="32"/>
  <c r="DK286" i="32"/>
  <c r="DJ286" i="32" s="1"/>
  <c r="DD287" i="32"/>
  <c r="DE287" i="32"/>
  <c r="DF287" i="32"/>
  <c r="DG287" i="32"/>
  <c r="DH287" i="32"/>
  <c r="DI287" i="32"/>
  <c r="DK287" i="32"/>
  <c r="DJ287" i="32" s="1"/>
  <c r="DD288" i="32"/>
  <c r="DE288" i="32"/>
  <c r="DF288" i="32"/>
  <c r="DG288" i="32"/>
  <c r="DH288" i="32"/>
  <c r="DI288" i="32"/>
  <c r="DK288" i="32"/>
  <c r="DJ288" i="32" s="1"/>
  <c r="DD289" i="32"/>
  <c r="DE289" i="32"/>
  <c r="DF289" i="32"/>
  <c r="DG289" i="32"/>
  <c r="DH289" i="32"/>
  <c r="DI289" i="32"/>
  <c r="DK289" i="32"/>
  <c r="DJ289" i="32" s="1"/>
  <c r="DD290" i="32"/>
  <c r="DE290" i="32"/>
  <c r="DF290" i="32"/>
  <c r="DH290" i="32" s="1"/>
  <c r="DG290" i="32"/>
  <c r="DI290" i="32"/>
  <c r="DK290" i="32"/>
  <c r="DJ290" i="32" s="1"/>
  <c r="DD291" i="32"/>
  <c r="DE291" i="32"/>
  <c r="DF291" i="32"/>
  <c r="DG291" i="32"/>
  <c r="DH291" i="32"/>
  <c r="DI291" i="32"/>
  <c r="DK291" i="32"/>
  <c r="DJ291" i="32" s="1"/>
  <c r="DD292" i="32"/>
  <c r="DE292" i="32"/>
  <c r="DF292" i="32"/>
  <c r="DG292" i="32"/>
  <c r="DI292" i="32"/>
  <c r="DK292" i="32"/>
  <c r="DJ292" i="32" s="1"/>
  <c r="DD293" i="32"/>
  <c r="DE293" i="32"/>
  <c r="DF293" i="32"/>
  <c r="DG293" i="32"/>
  <c r="DH293" i="32"/>
  <c r="DI293" i="32"/>
  <c r="DK293" i="32"/>
  <c r="DJ293" i="32" s="1"/>
  <c r="DD294" i="32"/>
  <c r="DE294" i="32"/>
  <c r="DF294" i="32"/>
  <c r="DH294" i="32" s="1"/>
  <c r="DG294" i="32"/>
  <c r="DI294" i="32"/>
  <c r="DK294" i="32"/>
  <c r="DJ294" i="32" s="1"/>
  <c r="DD295" i="32"/>
  <c r="DE295" i="32"/>
  <c r="DF295" i="32"/>
  <c r="DH295" i="32" s="1"/>
  <c r="DG295" i="32"/>
  <c r="DI295" i="32"/>
  <c r="DK295" i="32"/>
  <c r="DJ295" i="32" s="1"/>
  <c r="DD296" i="32"/>
  <c r="DE296" i="32"/>
  <c r="DF296" i="32"/>
  <c r="DG296" i="32"/>
  <c r="DH296" i="32" s="1"/>
  <c r="DI296" i="32"/>
  <c r="DK296" i="32"/>
  <c r="DJ296" i="32" s="1"/>
  <c r="DD297" i="32"/>
  <c r="DE297" i="32"/>
  <c r="DF297" i="32"/>
  <c r="DG297" i="32"/>
  <c r="DH297" i="32"/>
  <c r="DI297" i="32"/>
  <c r="DK297" i="32"/>
  <c r="DJ297" i="32" s="1"/>
  <c r="DD298" i="32"/>
  <c r="DE298" i="32"/>
  <c r="DF298" i="32"/>
  <c r="DG298" i="32"/>
  <c r="DH298" i="32" s="1"/>
  <c r="DI298" i="32"/>
  <c r="DK298" i="32"/>
  <c r="DJ298" i="32" s="1"/>
  <c r="DD299" i="32"/>
  <c r="DE299" i="32"/>
  <c r="DF299" i="32"/>
  <c r="DH299" i="32" s="1"/>
  <c r="DG299" i="32"/>
  <c r="DI299" i="32"/>
  <c r="DK299" i="32"/>
  <c r="DJ299" i="32" s="1"/>
  <c r="DD300" i="32"/>
  <c r="DE300" i="32"/>
  <c r="DF300" i="32"/>
  <c r="DG300" i="32"/>
  <c r="DI300" i="32"/>
  <c r="DK300" i="32"/>
  <c r="DJ300" i="32" s="1"/>
  <c r="DD301" i="32"/>
  <c r="DE301" i="32"/>
  <c r="DF301" i="32"/>
  <c r="DG301" i="32"/>
  <c r="DH301" i="32"/>
  <c r="DI301" i="32"/>
  <c r="DK301" i="32"/>
  <c r="DJ301" i="32" s="1"/>
  <c r="DD302" i="32"/>
  <c r="DE302" i="32"/>
  <c r="DF302" i="32"/>
  <c r="DG302" i="32"/>
  <c r="DI302" i="32"/>
  <c r="DK302" i="32"/>
  <c r="DJ302" i="32" s="1"/>
  <c r="DD303" i="32"/>
  <c r="DE303" i="32"/>
  <c r="DF303" i="32"/>
  <c r="DG303" i="32"/>
  <c r="DH303" i="32"/>
  <c r="DI303" i="32"/>
  <c r="DK303" i="32"/>
  <c r="DJ303" i="32" s="1"/>
  <c r="DD304" i="32"/>
  <c r="DE304" i="32"/>
  <c r="DF304" i="32"/>
  <c r="DG304" i="32"/>
  <c r="DH304" i="32" s="1"/>
  <c r="DI304" i="32"/>
  <c r="DK304" i="32"/>
  <c r="DJ304" i="32" s="1"/>
  <c r="DD305" i="32"/>
  <c r="DE305" i="32"/>
  <c r="DF305" i="32"/>
  <c r="DG305" i="32"/>
  <c r="DH305" i="32" s="1"/>
  <c r="DI305" i="32"/>
  <c r="DK305" i="32"/>
  <c r="DJ305" i="32" s="1"/>
  <c r="DD306" i="32"/>
  <c r="DE306" i="32"/>
  <c r="DF306" i="32"/>
  <c r="DG306" i="32"/>
  <c r="DH306" i="32"/>
  <c r="DI306" i="32"/>
  <c r="DK306" i="32"/>
  <c r="DJ306" i="32" s="1"/>
  <c r="DD307" i="32"/>
  <c r="DE307" i="32"/>
  <c r="DF307" i="32"/>
  <c r="DG307" i="32"/>
  <c r="DH307" i="32" s="1"/>
  <c r="DI307" i="32"/>
  <c r="DK307" i="32"/>
  <c r="DJ307" i="32" s="1"/>
  <c r="DD308" i="32"/>
  <c r="DE308" i="32"/>
  <c r="DF308" i="32"/>
  <c r="DH308" i="32" s="1"/>
  <c r="DG308" i="32"/>
  <c r="DI308" i="32"/>
  <c r="DK308" i="32"/>
  <c r="DJ308" i="32" s="1"/>
  <c r="DD309" i="32"/>
  <c r="DE309" i="32"/>
  <c r="DF309" i="32"/>
  <c r="DG309" i="32"/>
  <c r="DH309" i="32" s="1"/>
  <c r="DI309" i="32"/>
  <c r="DK309" i="32"/>
  <c r="DJ309" i="32" s="1"/>
  <c r="DD310" i="32"/>
  <c r="DE310" i="32"/>
  <c r="DF310" i="32"/>
  <c r="DG310" i="32"/>
  <c r="DH310" i="32"/>
  <c r="DI310" i="32"/>
  <c r="DK310" i="32"/>
  <c r="DJ310" i="32" s="1"/>
  <c r="DD311" i="32"/>
  <c r="DE311" i="32"/>
  <c r="DF311" i="32"/>
  <c r="DG311" i="32"/>
  <c r="DH311" i="32" s="1"/>
  <c r="DI311" i="32"/>
  <c r="DK311" i="32"/>
  <c r="DJ311" i="32" s="1"/>
  <c r="DD312" i="32"/>
  <c r="DE312" i="32"/>
  <c r="DF312" i="32"/>
  <c r="DH312" i="32" s="1"/>
  <c r="DG312" i="32"/>
  <c r="DI312" i="32"/>
  <c r="DK312" i="32"/>
  <c r="DJ312" i="32" s="1"/>
  <c r="DD313" i="32"/>
  <c r="DE313" i="32"/>
  <c r="DF313" i="32"/>
  <c r="DG313" i="32"/>
  <c r="DH313" i="32" s="1"/>
  <c r="DI313" i="32"/>
  <c r="DK313" i="32"/>
  <c r="DJ313" i="32" s="1"/>
  <c r="DD314" i="32"/>
  <c r="DE314" i="32"/>
  <c r="DF314" i="32"/>
  <c r="DG314" i="32"/>
  <c r="DH314" i="32"/>
  <c r="DI314" i="32"/>
  <c r="DK314" i="32"/>
  <c r="DJ314" i="32" s="1"/>
  <c r="DD315" i="32"/>
  <c r="DE315" i="32"/>
  <c r="DF315" i="32"/>
  <c r="DG315" i="32"/>
  <c r="DH315" i="32"/>
  <c r="DI315" i="32"/>
  <c r="DK315" i="32"/>
  <c r="DJ315" i="32" s="1"/>
  <c r="DD316" i="32"/>
  <c r="DE316" i="32"/>
  <c r="DF316" i="32"/>
  <c r="DG316" i="32"/>
  <c r="DH316" i="32"/>
  <c r="DI316" i="32"/>
  <c r="DK316" i="32"/>
  <c r="DJ316" i="32" s="1"/>
  <c r="DD317" i="32"/>
  <c r="DE317" i="32"/>
  <c r="DF317" i="32"/>
  <c r="DG317" i="32"/>
  <c r="DH317" i="32"/>
  <c r="DI317" i="32"/>
  <c r="DK317" i="32"/>
  <c r="DJ317" i="32" s="1"/>
  <c r="DD318" i="32"/>
  <c r="DE318" i="32"/>
  <c r="DF318" i="32"/>
  <c r="DH318" i="32" s="1"/>
  <c r="DG318" i="32"/>
  <c r="DI318" i="32"/>
  <c r="DK318" i="32"/>
  <c r="DJ318" i="32" s="1"/>
  <c r="DD319" i="32"/>
  <c r="DE319" i="32"/>
  <c r="DF319" i="32"/>
  <c r="DG319" i="32"/>
  <c r="DH319" i="32"/>
  <c r="DI319" i="32"/>
  <c r="DK319" i="32"/>
  <c r="DJ319" i="32" s="1"/>
  <c r="DD320" i="32"/>
  <c r="DE320" i="32"/>
  <c r="DF320" i="32"/>
  <c r="DG320" i="32"/>
  <c r="DH320" i="32"/>
  <c r="DI320" i="32"/>
  <c r="DK320" i="32"/>
  <c r="DJ320" i="32" s="1"/>
  <c r="DD321" i="32"/>
  <c r="DE321" i="32"/>
  <c r="DF321" i="32"/>
  <c r="DH321" i="32" s="1"/>
  <c r="DG321" i="32"/>
  <c r="DI321" i="32"/>
  <c r="DK321" i="32"/>
  <c r="DJ321" i="32" s="1"/>
  <c r="DD322" i="32"/>
  <c r="DE322" i="32"/>
  <c r="DF322" i="32"/>
  <c r="DG322" i="32"/>
  <c r="DH322" i="32"/>
  <c r="DI322" i="32"/>
  <c r="DK322" i="32"/>
  <c r="DJ322" i="32" s="1"/>
  <c r="DD323" i="32"/>
  <c r="DE323" i="32"/>
  <c r="DF323" i="32"/>
  <c r="DG323" i="32"/>
  <c r="DH323" i="32"/>
  <c r="DI323" i="32"/>
  <c r="DK323" i="32"/>
  <c r="DJ323" i="32" s="1"/>
  <c r="DD324" i="32"/>
  <c r="DE324" i="32"/>
  <c r="DF324" i="32"/>
  <c r="DG324" i="32"/>
  <c r="DH324" i="32" s="1"/>
  <c r="DI324" i="32"/>
  <c r="DK324" i="32"/>
  <c r="DJ324" i="32" s="1"/>
  <c r="DD325" i="32"/>
  <c r="DE325" i="32"/>
  <c r="DF325" i="32"/>
  <c r="DG325" i="32"/>
  <c r="DH325" i="32"/>
  <c r="DI325" i="32"/>
  <c r="DK325" i="32"/>
  <c r="DJ325" i="32" s="1"/>
  <c r="DD326" i="32"/>
  <c r="DE326" i="32"/>
  <c r="DF326" i="32"/>
  <c r="DG326" i="32"/>
  <c r="DH326" i="32" s="1"/>
  <c r="DI326" i="32"/>
  <c r="DK326" i="32"/>
  <c r="DJ326" i="32" s="1"/>
  <c r="DD327" i="32"/>
  <c r="DE327" i="32"/>
  <c r="DF327" i="32"/>
  <c r="DG327" i="32"/>
  <c r="DH327" i="32" s="1"/>
  <c r="DI327" i="32"/>
  <c r="DK327" i="32"/>
  <c r="DJ327" i="32" s="1"/>
  <c r="DD328" i="32"/>
  <c r="DE328" i="32"/>
  <c r="DF328" i="32"/>
  <c r="DG328" i="32"/>
  <c r="DI328" i="32"/>
  <c r="DK328" i="32"/>
  <c r="DJ328" i="32" s="1"/>
  <c r="DD329" i="32"/>
  <c r="DE329" i="32"/>
  <c r="DF329" i="32"/>
  <c r="DG329" i="32"/>
  <c r="DH329" i="32"/>
  <c r="DI329" i="32"/>
  <c r="DK329" i="32"/>
  <c r="DJ329" i="32" s="1"/>
  <c r="DD330" i="32"/>
  <c r="DE330" i="32"/>
  <c r="DF330" i="32"/>
  <c r="DG330" i="32"/>
  <c r="DH330" i="32"/>
  <c r="DI330" i="32"/>
  <c r="DK330" i="32"/>
  <c r="DJ330" i="32" s="1"/>
  <c r="DD331" i="32"/>
  <c r="DE331" i="32"/>
  <c r="DF331" i="32"/>
  <c r="DG331" i="32"/>
  <c r="DH331" i="32"/>
  <c r="DI331" i="32"/>
  <c r="DK331" i="32"/>
  <c r="DJ331" i="32" s="1"/>
  <c r="DD332" i="32"/>
  <c r="DE332" i="32"/>
  <c r="DF332" i="32"/>
  <c r="DG332" i="32"/>
  <c r="DH332" i="32"/>
  <c r="DI332" i="32"/>
  <c r="DJ332" i="32"/>
  <c r="DK332" i="32"/>
  <c r="DD333" i="32"/>
  <c r="DE333" i="32"/>
  <c r="DF333" i="32"/>
  <c r="DG333" i="32"/>
  <c r="DH333" i="32" s="1"/>
  <c r="DI333" i="32"/>
  <c r="DJ333" i="32"/>
  <c r="DK333" i="32"/>
  <c r="DD334" i="32"/>
  <c r="DE334" i="32"/>
  <c r="DF334" i="32"/>
  <c r="DG334" i="32"/>
  <c r="DH334" i="32"/>
  <c r="DI334" i="32"/>
  <c r="DK334" i="32"/>
  <c r="DJ334" i="32" s="1"/>
  <c r="DD335" i="32"/>
  <c r="DE335" i="32"/>
  <c r="DF335" i="32"/>
  <c r="DG335" i="32"/>
  <c r="DH335" i="32" s="1"/>
  <c r="DI335" i="32"/>
  <c r="DK335" i="32"/>
  <c r="DJ335" i="32" s="1"/>
  <c r="DD336" i="32"/>
  <c r="DE336" i="32"/>
  <c r="DF336" i="32"/>
  <c r="DG336" i="32"/>
  <c r="DH336" i="32"/>
  <c r="DI336" i="32"/>
  <c r="DK336" i="32"/>
  <c r="DJ336" i="32" s="1"/>
  <c r="DD337" i="32"/>
  <c r="DE337" i="32"/>
  <c r="DF337" i="32"/>
  <c r="DH337" i="32" s="1"/>
  <c r="DG337" i="32"/>
  <c r="DI337" i="32"/>
  <c r="DK337" i="32"/>
  <c r="DJ337" i="32" s="1"/>
  <c r="DD338" i="32"/>
  <c r="DE338" i="32"/>
  <c r="DF338" i="32"/>
  <c r="DG338" i="32"/>
  <c r="DH338" i="32"/>
  <c r="DI338" i="32"/>
  <c r="DJ338" i="32"/>
  <c r="DK338" i="32"/>
  <c r="DD339" i="32"/>
  <c r="DE339" i="32"/>
  <c r="DF339" i="32"/>
  <c r="DG339" i="32"/>
  <c r="DH339" i="32"/>
  <c r="DI339" i="32"/>
  <c r="DK339" i="32"/>
  <c r="DJ339" i="32" s="1"/>
  <c r="DD340" i="32"/>
  <c r="DE340" i="32"/>
  <c r="DF340" i="32"/>
  <c r="DH340" i="32" s="1"/>
  <c r="DG340" i="32"/>
  <c r="DI340" i="32"/>
  <c r="DK340" i="32"/>
  <c r="DJ340" i="32" s="1"/>
  <c r="DD341" i="32"/>
  <c r="DE341" i="32"/>
  <c r="DF341" i="32"/>
  <c r="DG341" i="32"/>
  <c r="DH341" i="32"/>
  <c r="DI341" i="32"/>
  <c r="DK341" i="32"/>
  <c r="DJ341" i="32" s="1"/>
  <c r="DD342" i="32"/>
  <c r="DE342" i="32"/>
  <c r="DF342" i="32"/>
  <c r="DG342" i="32"/>
  <c r="DI342" i="32"/>
  <c r="DK342" i="32"/>
  <c r="DJ342" i="32" s="1"/>
  <c r="DD343" i="32"/>
  <c r="DE343" i="32"/>
  <c r="DF343" i="32"/>
  <c r="DG343" i="32"/>
  <c r="DH343" i="32"/>
  <c r="DI343" i="32"/>
  <c r="DK343" i="32"/>
  <c r="DJ343" i="32" s="1"/>
  <c r="DD344" i="32"/>
  <c r="DE344" i="32"/>
  <c r="DF344" i="32"/>
  <c r="DH344" i="32" s="1"/>
  <c r="DG344" i="32"/>
  <c r="DI344" i="32"/>
  <c r="DK344" i="32"/>
  <c r="DJ344" i="32" s="1"/>
  <c r="DD345" i="32"/>
  <c r="DE345" i="32"/>
  <c r="DF345" i="32"/>
  <c r="DG345" i="32"/>
  <c r="DH345" i="32"/>
  <c r="DI345" i="32"/>
  <c r="DK345" i="32"/>
  <c r="DJ345" i="32" s="1"/>
  <c r="DD346" i="32"/>
  <c r="DE346" i="32"/>
  <c r="DF346" i="32"/>
  <c r="DH346" i="32" s="1"/>
  <c r="DG346" i="32"/>
  <c r="DI346" i="32"/>
  <c r="DK346" i="32"/>
  <c r="DJ346" i="32" s="1"/>
  <c r="DD347" i="32"/>
  <c r="DE347" i="32"/>
  <c r="DF347" i="32"/>
  <c r="DG347" i="32"/>
  <c r="DH347" i="32" s="1"/>
  <c r="DI347" i="32"/>
  <c r="DK347" i="32"/>
  <c r="DJ347" i="32" s="1"/>
  <c r="DD348" i="32"/>
  <c r="DE348" i="32"/>
  <c r="DF348" i="32"/>
  <c r="DH348" i="32" s="1"/>
  <c r="DG348" i="32"/>
  <c r="DI348" i="32"/>
  <c r="DK348" i="32"/>
  <c r="DJ348" i="32" s="1"/>
  <c r="DD349" i="32"/>
  <c r="DE349" i="32"/>
  <c r="DF349" i="32"/>
  <c r="DG349" i="32"/>
  <c r="DH349" i="32"/>
  <c r="DI349" i="32"/>
  <c r="DK349" i="32"/>
  <c r="DJ349" i="32" s="1"/>
  <c r="DD350" i="32"/>
  <c r="DE350" i="32"/>
  <c r="DF350" i="32"/>
  <c r="DG350" i="32"/>
  <c r="DH350" i="32" s="1"/>
  <c r="DI350" i="32"/>
  <c r="DK350" i="32"/>
  <c r="DJ350" i="32" s="1"/>
  <c r="DD351" i="32"/>
  <c r="DE351" i="32"/>
  <c r="DF351" i="32"/>
  <c r="DG351" i="32"/>
  <c r="DI351" i="32"/>
  <c r="DK351" i="32"/>
  <c r="DJ351" i="32" s="1"/>
  <c r="DD352" i="32"/>
  <c r="DE352" i="32"/>
  <c r="DF352" i="32"/>
  <c r="DG352" i="32"/>
  <c r="DH352" i="32" s="1"/>
  <c r="DI352" i="32"/>
  <c r="DK352" i="32"/>
  <c r="DJ352" i="32" s="1"/>
  <c r="DD353" i="32"/>
  <c r="DE353" i="32"/>
  <c r="DF353" i="32"/>
  <c r="DH353" i="32" s="1"/>
  <c r="DG353" i="32"/>
  <c r="DI353" i="32"/>
  <c r="DK353" i="32"/>
  <c r="DJ353" i="32" s="1"/>
  <c r="DD354" i="32"/>
  <c r="DE354" i="32"/>
  <c r="DF354" i="32"/>
  <c r="DH354" i="32" s="1"/>
  <c r="DG354" i="32"/>
  <c r="DI354" i="32"/>
  <c r="DK354" i="32"/>
  <c r="DJ354" i="32" s="1"/>
  <c r="DD355" i="32"/>
  <c r="DE355" i="32"/>
  <c r="DF355" i="32"/>
  <c r="DG355" i="32"/>
  <c r="DH355" i="32" s="1"/>
  <c r="DI355" i="32"/>
  <c r="DK355" i="32"/>
  <c r="DJ355" i="32" s="1"/>
  <c r="DD356" i="32"/>
  <c r="DE356" i="32"/>
  <c r="DF356" i="32"/>
  <c r="DG356" i="32"/>
  <c r="DI356" i="32"/>
  <c r="DK356" i="32"/>
  <c r="DJ356" i="32" s="1"/>
  <c r="DD357" i="32"/>
  <c r="DE357" i="32"/>
  <c r="DF357" i="32"/>
  <c r="DH357" i="32" s="1"/>
  <c r="DG357" i="32"/>
  <c r="DI357" i="32"/>
  <c r="DK357" i="32"/>
  <c r="DJ357" i="32" s="1"/>
  <c r="DD358" i="32"/>
  <c r="DE358" i="32"/>
  <c r="DF358" i="32"/>
  <c r="DG358" i="32"/>
  <c r="DH358" i="32"/>
  <c r="DI358" i="32"/>
  <c r="DK358" i="32"/>
  <c r="DJ358" i="32" s="1"/>
  <c r="DD359" i="32"/>
  <c r="DE359" i="32"/>
  <c r="DF359" i="32"/>
  <c r="DG359" i="32"/>
  <c r="DH359" i="32"/>
  <c r="DI359" i="32"/>
  <c r="DK359" i="32"/>
  <c r="DJ359" i="32" s="1"/>
  <c r="DD360" i="32"/>
  <c r="DE360" i="32"/>
  <c r="DF360" i="32"/>
  <c r="DG360" i="32"/>
  <c r="DH360" i="32" s="1"/>
  <c r="DI360" i="32"/>
  <c r="DK360" i="32"/>
  <c r="DJ360" i="32" s="1"/>
  <c r="DD361" i="32"/>
  <c r="DE361" i="32"/>
  <c r="DF361" i="32"/>
  <c r="DG361" i="32"/>
  <c r="DH361" i="32"/>
  <c r="DI361" i="32"/>
  <c r="DK361" i="32"/>
  <c r="DJ361" i="32" s="1"/>
  <c r="DD362" i="32"/>
  <c r="DE362" i="32"/>
  <c r="DF362" i="32"/>
  <c r="DG362" i="32"/>
  <c r="DH362" i="32"/>
  <c r="DI362" i="32"/>
  <c r="DK362" i="32"/>
  <c r="DJ362" i="32" s="1"/>
  <c r="DD363" i="32"/>
  <c r="DE363" i="32"/>
  <c r="DF363" i="32"/>
  <c r="DG363" i="32"/>
  <c r="DH363" i="32"/>
  <c r="DI363" i="32"/>
  <c r="DK363" i="32"/>
  <c r="DJ363" i="32" s="1"/>
  <c r="DD364" i="32"/>
  <c r="DE364" i="32"/>
  <c r="DF364" i="32"/>
  <c r="DG364" i="32"/>
  <c r="DH364" i="32"/>
  <c r="DI364" i="32"/>
  <c r="DK364" i="32"/>
  <c r="DJ364" i="32" s="1"/>
  <c r="DD365" i="32"/>
  <c r="DE365" i="32"/>
  <c r="DF365" i="32"/>
  <c r="DG365" i="32"/>
  <c r="DH365" i="32" s="1"/>
  <c r="DI365" i="32"/>
  <c r="DK365" i="32"/>
  <c r="DJ365" i="32" s="1"/>
  <c r="DD366" i="32"/>
  <c r="DE366" i="32"/>
  <c r="DF366" i="32"/>
  <c r="DH366" i="32" s="1"/>
  <c r="DG366" i="32"/>
  <c r="DI366" i="32"/>
  <c r="DK366" i="32"/>
  <c r="DJ366" i="32" s="1"/>
  <c r="DD367" i="32"/>
  <c r="DE367" i="32"/>
  <c r="DF367" i="32"/>
  <c r="DG367" i="32"/>
  <c r="DI367" i="32"/>
  <c r="DK367" i="32"/>
  <c r="DJ367" i="32" s="1"/>
  <c r="DD368" i="32"/>
  <c r="DE368" i="32"/>
  <c r="DF368" i="32"/>
  <c r="DG368" i="32"/>
  <c r="DH368" i="32"/>
  <c r="DI368" i="32"/>
  <c r="DK368" i="32"/>
  <c r="DJ368" i="32" s="1"/>
  <c r="DD369" i="32"/>
  <c r="DE369" i="32"/>
  <c r="DF369" i="32"/>
  <c r="DG369" i="32"/>
  <c r="DH369" i="32"/>
  <c r="DI369" i="32"/>
  <c r="DK369" i="32"/>
  <c r="DJ369" i="32" s="1"/>
  <c r="DD370" i="32"/>
  <c r="DE370" i="32"/>
  <c r="DF370" i="32"/>
  <c r="DG370" i="32"/>
  <c r="DH370" i="32" s="1"/>
  <c r="DI370" i="32"/>
  <c r="DK370" i="32"/>
  <c r="DJ370" i="32" s="1"/>
  <c r="DD371" i="32"/>
  <c r="DE371" i="32"/>
  <c r="DF371" i="32"/>
  <c r="DH371" i="32" s="1"/>
  <c r="DG371" i="32"/>
  <c r="DI371" i="32"/>
  <c r="DK371" i="32"/>
  <c r="DJ371" i="32" s="1"/>
  <c r="DD372" i="32"/>
  <c r="DE372" i="32"/>
  <c r="DF372" i="32"/>
  <c r="DG372" i="32"/>
  <c r="DH372" i="32" s="1"/>
  <c r="DI372" i="32"/>
  <c r="DK372" i="32"/>
  <c r="DJ372" i="32" s="1"/>
  <c r="DD373" i="32"/>
  <c r="DE373" i="32"/>
  <c r="DF373" i="32"/>
  <c r="DG373" i="32"/>
  <c r="DH373" i="32"/>
  <c r="DI373" i="32"/>
  <c r="DK373" i="32"/>
  <c r="DJ373" i="32" s="1"/>
  <c r="DD374" i="32"/>
  <c r="DE374" i="32"/>
  <c r="DF374" i="32"/>
  <c r="DG374" i="32"/>
  <c r="DH374" i="32"/>
  <c r="DI374" i="32"/>
  <c r="DK374" i="32"/>
  <c r="DJ374" i="32" s="1"/>
  <c r="DD375" i="32"/>
  <c r="DE375" i="32"/>
  <c r="DF375" i="32"/>
  <c r="DH375" i="32" s="1"/>
  <c r="DG375" i="32"/>
  <c r="DI375" i="32"/>
  <c r="DK375" i="32"/>
  <c r="DJ375" i="32" s="1"/>
  <c r="DD379" i="32"/>
  <c r="DE379" i="32"/>
  <c r="DF379" i="32"/>
  <c r="DG379" i="32"/>
  <c r="DH379" i="32"/>
  <c r="DI379" i="32"/>
  <c r="DJ379" i="32"/>
  <c r="DK379" i="32"/>
  <c r="DD380" i="32"/>
  <c r="DE380" i="32"/>
  <c r="DF380" i="32"/>
  <c r="DG380" i="32"/>
  <c r="DH380" i="32"/>
  <c r="DI380" i="32"/>
  <c r="DJ380" i="32"/>
  <c r="DK380" i="32"/>
  <c r="DD381" i="32"/>
  <c r="DE381" i="32"/>
  <c r="DF381" i="32"/>
  <c r="DG381" i="32"/>
  <c r="DH381" i="32"/>
  <c r="DI381" i="32"/>
  <c r="DJ381" i="32"/>
  <c r="DK381" i="32"/>
  <c r="DD12" i="32"/>
  <c r="DE12" i="32"/>
  <c r="DF12" i="32"/>
  <c r="DG12" i="32"/>
  <c r="DH12" i="32"/>
  <c r="DI12" i="32"/>
  <c r="DK12" i="32"/>
  <c r="DJ12" i="32" s="1"/>
  <c r="DH367" i="32" l="1"/>
  <c r="DH356" i="32"/>
  <c r="DH351" i="32"/>
  <c r="DH342" i="32"/>
  <c r="DH328" i="32"/>
  <c r="DH302" i="32"/>
  <c r="DH300" i="32"/>
  <c r="DH292" i="32"/>
  <c r="DH269" i="32"/>
  <c r="DH255" i="32"/>
  <c r="DH256" i="32"/>
  <c r="DH241" i="32"/>
  <c r="DH229" i="32"/>
  <c r="DH225" i="32"/>
  <c r="DH215" i="32"/>
  <c r="DH197" i="32"/>
  <c r="DH184" i="32"/>
  <c r="DH174" i="32"/>
  <c r="DH173" i="32"/>
  <c r="DH170" i="32"/>
  <c r="DH162" i="32"/>
  <c r="DH157" i="32"/>
  <c r="DH158" i="32"/>
  <c r="DH145" i="32"/>
  <c r="DH131" i="32"/>
  <c r="DH111" i="32"/>
  <c r="DH100" i="32"/>
  <c r="DH95" i="32"/>
  <c r="DH91" i="32"/>
  <c r="DH86" i="32"/>
  <c r="DH87" i="32"/>
  <c r="DH85" i="32"/>
  <c r="DH83" i="32"/>
  <c r="DH81" i="32"/>
  <c r="DH77" i="32"/>
  <c r="DH75" i="32"/>
  <c r="DH74" i="32"/>
  <c r="DH73" i="32"/>
  <c r="DH64" i="32"/>
  <c r="DH66" i="32"/>
  <c r="DH63" i="32"/>
  <c r="DH62" i="32"/>
  <c r="DH58" i="32"/>
  <c r="DH50" i="32"/>
  <c r="DH46" i="32"/>
  <c r="DH44" i="32"/>
  <c r="DH37" i="32"/>
  <c r="DH35" i="32"/>
  <c r="DH33" i="32"/>
  <c r="DH32" i="32"/>
  <c r="DH29" i="32"/>
  <c r="DH26" i="32"/>
  <c r="DH23" i="32"/>
  <c r="DH22" i="32"/>
  <c r="DH21" i="32"/>
  <c r="DH19" i="32"/>
  <c r="DH18" i="32"/>
  <c r="DH14" i="32"/>
  <c r="DH13" i="32"/>
  <c r="EG11" i="32"/>
  <c r="DK11" i="32"/>
  <c r="DJ11" i="32"/>
  <c r="DI11" i="32"/>
  <c r="DH11" i="32"/>
  <c r="DG11" i="32"/>
  <c r="DF11" i="32"/>
  <c r="DE11" i="32"/>
  <c r="DD11" i="32"/>
  <c r="AG11" i="32"/>
  <c r="AC11" i="32"/>
  <c r="AD11" i="32" s="1"/>
  <c r="AE11" i="32" s="1"/>
  <c r="EG10" i="32"/>
  <c r="DK10" i="32"/>
  <c r="DJ10" i="32"/>
  <c r="DI10" i="32"/>
  <c r="DG10" i="32"/>
  <c r="DH10" i="32" s="1"/>
  <c r="DF10" i="32"/>
  <c r="DE10" i="32"/>
  <c r="DD10" i="32"/>
  <c r="AG10" i="32"/>
  <c r="AC10" i="32"/>
  <c r="AD10" i="32" s="1"/>
  <c r="AE10" i="32" s="1"/>
  <c r="EG9" i="32"/>
  <c r="DK9" i="32"/>
  <c r="DJ9" i="32"/>
  <c r="DI9" i="32"/>
  <c r="DH9" i="32"/>
  <c r="DG9" i="32"/>
  <c r="DF9" i="32"/>
  <c r="DE9" i="32"/>
  <c r="DD9" i="32"/>
  <c r="AG9" i="32"/>
  <c r="AC9" i="32"/>
  <c r="AD9" i="32" s="1"/>
  <c r="AE9" i="32" s="1"/>
  <c r="EG8" i="32"/>
  <c r="DK8" i="32"/>
  <c r="DJ8" i="32"/>
  <c r="DI8" i="32"/>
  <c r="DG8" i="32"/>
  <c r="DH8" i="32" s="1"/>
  <c r="DF8" i="32"/>
  <c r="DE8" i="32"/>
  <c r="DD8" i="32"/>
  <c r="AG8" i="32"/>
  <c r="AC8" i="32"/>
  <c r="AD8" i="32" s="1"/>
  <c r="AE8" i="32" s="1"/>
  <c r="AA385" i="45" l="1"/>
  <c r="AA386" i="45"/>
  <c r="AA388" i="45"/>
  <c r="AA390" i="45"/>
  <c r="AA391" i="45"/>
  <c r="AA392" i="45"/>
  <c r="AA393" i="45"/>
  <c r="AA394" i="45"/>
  <c r="AA395" i="45"/>
  <c r="AA396" i="45"/>
  <c r="O2" i="29" l="1"/>
  <c r="H299" i="45" l="1"/>
  <c r="I299" i="45"/>
  <c r="J299" i="45"/>
  <c r="K299" i="45"/>
  <c r="L299" i="45"/>
  <c r="O299" i="45"/>
  <c r="AH299" i="45"/>
  <c r="H300" i="45"/>
  <c r="I300" i="45"/>
  <c r="J300" i="45"/>
  <c r="K300" i="45"/>
  <c r="L300" i="45"/>
  <c r="O300" i="45"/>
  <c r="H301" i="45"/>
  <c r="I301" i="45"/>
  <c r="J301" i="45"/>
  <c r="K301" i="45"/>
  <c r="L301" i="45"/>
  <c r="O301" i="45"/>
  <c r="H302" i="45"/>
  <c r="I302" i="45"/>
  <c r="AH302" i="45" s="1"/>
  <c r="J302" i="45"/>
  <c r="K302" i="45"/>
  <c r="L302" i="45"/>
  <c r="O302" i="45"/>
  <c r="H303" i="45"/>
  <c r="I303" i="45"/>
  <c r="J303" i="45"/>
  <c r="K303" i="45"/>
  <c r="L303" i="45"/>
  <c r="O303" i="45"/>
  <c r="AH303" i="45" l="1"/>
  <c r="AH301" i="45"/>
  <c r="AH300" i="45"/>
  <c r="H296" i="45"/>
  <c r="I296" i="45"/>
  <c r="J296" i="45"/>
  <c r="K296" i="45"/>
  <c r="L296" i="45"/>
  <c r="O296" i="45"/>
  <c r="H297" i="45"/>
  <c r="I297" i="45"/>
  <c r="J297" i="45"/>
  <c r="K297" i="45"/>
  <c r="L297" i="45"/>
  <c r="O297" i="45"/>
  <c r="H298" i="45"/>
  <c r="I298" i="45"/>
  <c r="AH298" i="45" s="1"/>
  <c r="J298" i="45"/>
  <c r="K298" i="45"/>
  <c r="L298" i="45"/>
  <c r="O298" i="45"/>
  <c r="AH297" i="45" l="1"/>
  <c r="AH296" i="45"/>
  <c r="H295" i="45"/>
  <c r="I295" i="45"/>
  <c r="J295" i="45"/>
  <c r="K295" i="45"/>
  <c r="L295" i="45"/>
  <c r="O295" i="45"/>
  <c r="H293" i="45" l="1"/>
  <c r="I293" i="45"/>
  <c r="AH293" i="45" s="1"/>
  <c r="J293" i="45"/>
  <c r="K293" i="45"/>
  <c r="L293" i="45"/>
  <c r="O293" i="45"/>
  <c r="H294" i="45"/>
  <c r="I294" i="45"/>
  <c r="J294" i="45"/>
  <c r="K294" i="45"/>
  <c r="L294" i="45"/>
  <c r="O294" i="45"/>
  <c r="AH294" i="45" l="1"/>
  <c r="H292" i="45"/>
  <c r="I292" i="45"/>
  <c r="J292" i="45"/>
  <c r="K292" i="45"/>
  <c r="L292" i="45"/>
  <c r="O292" i="45"/>
  <c r="AH292" i="45"/>
  <c r="HY11" i="43" l="1"/>
  <c r="IE11" i="43"/>
  <c r="IF11" i="43"/>
  <c r="N381" i="43" l="1"/>
  <c r="I207" i="43"/>
  <c r="I208" i="43"/>
  <c r="J208" i="43"/>
  <c r="I209" i="43"/>
  <c r="J209" i="43"/>
  <c r="I210" i="43"/>
  <c r="J210" i="43"/>
  <c r="I211" i="43"/>
  <c r="J211" i="43"/>
  <c r="I212" i="43"/>
  <c r="J212" i="43"/>
  <c r="I213" i="43"/>
  <c r="J213" i="43"/>
  <c r="I214" i="43"/>
  <c r="J214" i="43"/>
  <c r="I215" i="43"/>
  <c r="J215" i="43"/>
  <c r="I216" i="43"/>
  <c r="J216" i="43"/>
  <c r="I217" i="43"/>
  <c r="J217" i="43"/>
  <c r="I218" i="43"/>
  <c r="J218" i="43"/>
  <c r="I219" i="43"/>
  <c r="J219" i="43"/>
  <c r="I220" i="43"/>
  <c r="J220" i="43"/>
  <c r="I221" i="43"/>
  <c r="J221" i="43"/>
  <c r="I222" i="43"/>
  <c r="J222" i="43"/>
  <c r="I223" i="43"/>
  <c r="J223" i="43"/>
  <c r="I224" i="43"/>
  <c r="J224" i="43"/>
  <c r="I225" i="43"/>
  <c r="J225" i="43"/>
  <c r="I226" i="43"/>
  <c r="I227" i="43"/>
  <c r="J227" i="43"/>
  <c r="I228" i="43"/>
  <c r="J228" i="43"/>
  <c r="I229" i="43"/>
  <c r="J229" i="43"/>
  <c r="I230" i="43"/>
  <c r="J230" i="43"/>
  <c r="I231" i="43"/>
  <c r="J231" i="43"/>
  <c r="I232" i="43"/>
  <c r="J232" i="43"/>
  <c r="I233" i="43"/>
  <c r="J233" i="43"/>
  <c r="I234" i="43"/>
  <c r="J234" i="43"/>
  <c r="I235" i="43"/>
  <c r="J235" i="43"/>
  <c r="I236" i="43"/>
  <c r="J236" i="43"/>
  <c r="I237" i="43"/>
  <c r="J237" i="43"/>
  <c r="I238" i="43"/>
  <c r="J238" i="43"/>
  <c r="I239" i="43"/>
  <c r="J239" i="43"/>
  <c r="I240" i="43"/>
  <c r="J240" i="43"/>
  <c r="I241" i="43"/>
  <c r="J241" i="43"/>
  <c r="I242" i="43"/>
  <c r="J242" i="43"/>
  <c r="I243" i="43"/>
  <c r="J243" i="43"/>
  <c r="I244" i="43"/>
  <c r="J244" i="43"/>
  <c r="I245" i="43"/>
  <c r="J245" i="43"/>
  <c r="I246" i="43"/>
  <c r="J246" i="43"/>
  <c r="I247" i="43"/>
  <c r="J247" i="43"/>
  <c r="I248" i="43"/>
  <c r="J248" i="43"/>
  <c r="I249" i="43"/>
  <c r="J249" i="43"/>
  <c r="I250" i="43"/>
  <c r="J250" i="43"/>
  <c r="I251" i="43"/>
  <c r="J251" i="43"/>
  <c r="I252" i="43"/>
  <c r="J252" i="43"/>
  <c r="I253" i="43"/>
  <c r="J253" i="43"/>
  <c r="I254" i="43"/>
  <c r="J254" i="43"/>
  <c r="I255" i="43"/>
  <c r="J255" i="43"/>
  <c r="I256" i="43"/>
  <c r="J256" i="43"/>
  <c r="I257" i="43"/>
  <c r="J257" i="43"/>
  <c r="I258" i="43"/>
  <c r="J258" i="43"/>
  <c r="I259" i="43"/>
  <c r="J259" i="43"/>
  <c r="I260" i="43"/>
  <c r="J260" i="43"/>
  <c r="I261" i="43"/>
  <c r="J261" i="43"/>
  <c r="I262" i="43"/>
  <c r="J262" i="43"/>
  <c r="I263" i="43"/>
  <c r="J263" i="43"/>
  <c r="I264" i="43"/>
  <c r="J264" i="43"/>
  <c r="I265" i="43"/>
  <c r="J265" i="43"/>
  <c r="I266" i="43"/>
  <c r="J266" i="43"/>
  <c r="I267" i="43"/>
  <c r="J267" i="43"/>
  <c r="I268" i="43"/>
  <c r="J268" i="43"/>
  <c r="I269" i="43"/>
  <c r="J269" i="43"/>
  <c r="EF256" i="43" l="1"/>
  <c r="EF257" i="43"/>
  <c r="EF258" i="43"/>
  <c r="EF259" i="43"/>
  <c r="EF260" i="43"/>
  <c r="EF261" i="43"/>
  <c r="EF262" i="43"/>
  <c r="EF263" i="43"/>
  <c r="EF264" i="43"/>
  <c r="EF265" i="43"/>
  <c r="EF266" i="43"/>
  <c r="EF267" i="43"/>
  <c r="EF268" i="43"/>
  <c r="EF269" i="43"/>
  <c r="EF270" i="43"/>
  <c r="EF271" i="43"/>
  <c r="EF272" i="43"/>
  <c r="EF273" i="43"/>
  <c r="EF274" i="43"/>
  <c r="EF275" i="43"/>
  <c r="EF276" i="43"/>
  <c r="EF277" i="43"/>
  <c r="EF278" i="43"/>
  <c r="EF279" i="43"/>
  <c r="EF280" i="43"/>
  <c r="EF281" i="43"/>
  <c r="EF282" i="43"/>
  <c r="EF283" i="43"/>
  <c r="EF284" i="43"/>
  <c r="EF285" i="43"/>
  <c r="EF286" i="43"/>
  <c r="EF287" i="43"/>
  <c r="EF288" i="43"/>
  <c r="EF289" i="43"/>
  <c r="EF290" i="43"/>
  <c r="EF291" i="43"/>
  <c r="EF292" i="43"/>
  <c r="EF293" i="43"/>
  <c r="EF294" i="43"/>
  <c r="EF295" i="43"/>
  <c r="EF296" i="43"/>
  <c r="EF297" i="43"/>
  <c r="EF298" i="43"/>
  <c r="EF299" i="43"/>
  <c r="EF300" i="43"/>
  <c r="EF301" i="43"/>
  <c r="EF302" i="43"/>
  <c r="EF303" i="43"/>
  <c r="EF304" i="43"/>
  <c r="EF305" i="43"/>
  <c r="EF306" i="43"/>
  <c r="EF307" i="43"/>
  <c r="EF308" i="43"/>
  <c r="EF309" i="43"/>
  <c r="EF310" i="43"/>
  <c r="EF311" i="43"/>
  <c r="EF312" i="43"/>
  <c r="EF313" i="43"/>
  <c r="EF314" i="43"/>
  <c r="EF315" i="43"/>
  <c r="EF316" i="43"/>
  <c r="EF317" i="43"/>
  <c r="EF318" i="43"/>
  <c r="EF319" i="43"/>
  <c r="EF320" i="43"/>
  <c r="EF321" i="43"/>
  <c r="EF322" i="43"/>
  <c r="EF323" i="43"/>
  <c r="EF324" i="43"/>
  <c r="EF325" i="43"/>
  <c r="EF326" i="43"/>
  <c r="EF327" i="43"/>
  <c r="EF328" i="43"/>
  <c r="EF329" i="43"/>
  <c r="EF330" i="43"/>
  <c r="EF331" i="43"/>
  <c r="EF332" i="43"/>
  <c r="EF333" i="43"/>
  <c r="EF334" i="43"/>
  <c r="EF335" i="43"/>
  <c r="EF336" i="43"/>
  <c r="EF337" i="43"/>
  <c r="EF338" i="43"/>
  <c r="EF339" i="43"/>
  <c r="EF340" i="43"/>
  <c r="EF341" i="43"/>
  <c r="EF342" i="43"/>
  <c r="EF343" i="43"/>
  <c r="EF344" i="43"/>
  <c r="EF345" i="43"/>
  <c r="EF346" i="43"/>
  <c r="EF347" i="43"/>
  <c r="EF348" i="43"/>
  <c r="EF349" i="43"/>
  <c r="EF350" i="43"/>
  <c r="EF351" i="43"/>
  <c r="EF352" i="43"/>
  <c r="EF353" i="43"/>
  <c r="EF354" i="43"/>
  <c r="EF355" i="43"/>
  <c r="EF356" i="43"/>
  <c r="EF357" i="43"/>
  <c r="EF358" i="43"/>
  <c r="EF359" i="43"/>
  <c r="EF360" i="43"/>
  <c r="EF361" i="43"/>
  <c r="EF362" i="43"/>
  <c r="EF363" i="43"/>
  <c r="EF364" i="43"/>
  <c r="EF365" i="43"/>
  <c r="EF366" i="43"/>
  <c r="EF367" i="43"/>
  <c r="EF368" i="43"/>
  <c r="EF369" i="43"/>
  <c r="EF370" i="43"/>
  <c r="EF371" i="43"/>
  <c r="EF372" i="43"/>
  <c r="EF373" i="43"/>
  <c r="EF374" i="43"/>
  <c r="EF375" i="43"/>
  <c r="EF376" i="43"/>
  <c r="EF377" i="43"/>
  <c r="EF378" i="43"/>
  <c r="EF379" i="43"/>
  <c r="EF380" i="43"/>
  <c r="EF381" i="43"/>
  <c r="P5" i="29" l="1"/>
  <c r="Q2" i="29"/>
  <c r="R4" i="29" l="1"/>
  <c r="R5" i="29"/>
  <c r="P6" i="29"/>
  <c r="R6" i="29" l="1"/>
  <c r="P7" i="29"/>
  <c r="P8" i="29" l="1"/>
  <c r="R7" i="29"/>
  <c r="P9" i="29" l="1"/>
  <c r="R8" i="29"/>
  <c r="P10" i="29" l="1"/>
  <c r="R9" i="29"/>
  <c r="P11" i="29" l="1"/>
  <c r="R10" i="29"/>
  <c r="P12" i="29" l="1"/>
  <c r="R11" i="29"/>
  <c r="P13" i="29" l="1"/>
  <c r="R12" i="29"/>
  <c r="R13" i="29" l="1"/>
  <c r="P14" i="29"/>
  <c r="R14" i="29" l="1"/>
  <c r="HY207" i="43" l="1"/>
  <c r="GG4" i="43" l="1"/>
  <c r="GE4" i="43"/>
  <c r="GE16" i="43" s="1"/>
  <c r="GE13" i="43"/>
  <c r="GE14" i="43"/>
  <c r="GE18" i="43"/>
  <c r="GE19" i="43"/>
  <c r="GE20" i="43"/>
  <c r="GE21" i="43"/>
  <c r="GE22" i="43"/>
  <c r="GE23" i="43"/>
  <c r="GE27" i="43"/>
  <c r="GE28" i="43"/>
  <c r="GE29" i="43"/>
  <c r="GE30" i="43"/>
  <c r="GE31" i="43"/>
  <c r="GE32" i="43"/>
  <c r="GE35" i="43"/>
  <c r="GE36" i="43"/>
  <c r="GE37" i="43"/>
  <c r="GE38" i="43"/>
  <c r="GE39" i="43"/>
  <c r="GE40" i="43"/>
  <c r="GE43" i="43"/>
  <c r="GE44" i="43"/>
  <c r="GE45" i="43"/>
  <c r="GE46" i="43"/>
  <c r="GE47" i="43"/>
  <c r="GE48" i="43"/>
  <c r="GE51" i="43"/>
  <c r="GE52" i="43"/>
  <c r="GE53" i="43"/>
  <c r="GE54" i="43"/>
  <c r="GE55" i="43"/>
  <c r="GE56" i="43"/>
  <c r="GE59" i="43"/>
  <c r="GE60" i="43"/>
  <c r="GE61" i="43"/>
  <c r="GE62" i="43"/>
  <c r="GE63" i="43"/>
  <c r="GE64" i="43"/>
  <c r="GE67" i="43"/>
  <c r="GE68" i="43"/>
  <c r="GE69" i="43"/>
  <c r="GE70" i="43"/>
  <c r="GE71" i="43"/>
  <c r="GE72" i="43"/>
  <c r="GE75" i="43"/>
  <c r="GE76" i="43"/>
  <c r="GE77" i="43"/>
  <c r="GE78" i="43"/>
  <c r="GE79" i="43"/>
  <c r="GE80" i="43"/>
  <c r="GE83" i="43"/>
  <c r="GE84" i="43"/>
  <c r="GE85" i="43"/>
  <c r="GE86" i="43"/>
  <c r="GE87" i="43"/>
  <c r="GE88" i="43"/>
  <c r="GE91" i="43"/>
  <c r="GE92" i="43"/>
  <c r="GE93" i="43"/>
  <c r="GE94" i="43"/>
  <c r="GE95" i="43"/>
  <c r="GE96" i="43"/>
  <c r="GE99" i="43"/>
  <c r="GE100" i="43"/>
  <c r="GE101" i="43"/>
  <c r="GE102" i="43"/>
  <c r="GE103" i="43"/>
  <c r="GE104" i="43"/>
  <c r="GE107" i="43"/>
  <c r="GE108" i="43"/>
  <c r="GE109" i="43"/>
  <c r="GE110" i="43"/>
  <c r="GE111" i="43"/>
  <c r="GE112" i="43"/>
  <c r="GE115" i="43"/>
  <c r="GE116" i="43"/>
  <c r="GE117" i="43"/>
  <c r="GE118" i="43"/>
  <c r="GE119" i="43"/>
  <c r="GE120" i="43"/>
  <c r="GE123" i="43"/>
  <c r="GE124" i="43"/>
  <c r="GE125" i="43"/>
  <c r="GE126" i="43"/>
  <c r="GE127" i="43"/>
  <c r="GE128" i="43"/>
  <c r="GE131" i="43"/>
  <c r="GE132" i="43"/>
  <c r="GE133" i="43"/>
  <c r="GE134" i="43"/>
  <c r="GE135" i="43"/>
  <c r="GE136" i="43"/>
  <c r="GE139" i="43"/>
  <c r="GE140" i="43"/>
  <c r="GE141" i="43"/>
  <c r="GE142" i="43"/>
  <c r="GE143" i="43"/>
  <c r="GE144" i="43"/>
  <c r="GE147" i="43"/>
  <c r="GE148" i="43"/>
  <c r="GE149" i="43"/>
  <c r="GE150" i="43"/>
  <c r="GE151" i="43"/>
  <c r="GE152" i="43"/>
  <c r="GE155" i="43"/>
  <c r="GE156" i="43"/>
  <c r="GE157" i="43"/>
  <c r="GE158" i="43"/>
  <c r="GE159" i="43"/>
  <c r="GE160" i="43"/>
  <c r="GE163" i="43"/>
  <c r="GE164" i="43"/>
  <c r="GE165" i="43"/>
  <c r="GE166" i="43"/>
  <c r="GE167" i="43"/>
  <c r="GE168" i="43"/>
  <c r="GE171" i="43"/>
  <c r="GE172" i="43"/>
  <c r="GE173" i="43"/>
  <c r="GE174" i="43"/>
  <c r="GE175" i="43"/>
  <c r="GE176" i="43"/>
  <c r="GE179" i="43"/>
  <c r="GE180" i="43"/>
  <c r="GE181" i="43"/>
  <c r="GE182" i="43"/>
  <c r="GE183" i="43"/>
  <c r="GE184" i="43"/>
  <c r="GE187" i="43"/>
  <c r="GE188" i="43"/>
  <c r="GE189" i="43"/>
  <c r="GE190" i="43"/>
  <c r="GE191" i="43"/>
  <c r="GE192" i="43"/>
  <c r="GE195" i="43"/>
  <c r="GE196" i="43"/>
  <c r="GE197" i="43"/>
  <c r="GE198" i="43"/>
  <c r="GE199" i="43"/>
  <c r="GE200" i="43"/>
  <c r="GE203" i="43"/>
  <c r="GE204" i="43"/>
  <c r="GE205" i="43"/>
  <c r="GE206" i="43"/>
  <c r="GE207" i="43"/>
  <c r="GE208" i="43"/>
  <c r="GE211" i="43"/>
  <c r="GE212" i="43"/>
  <c r="GE213" i="43"/>
  <c r="GE214" i="43"/>
  <c r="GE215" i="43"/>
  <c r="GE216" i="43"/>
  <c r="GE219" i="43"/>
  <c r="GE220" i="43"/>
  <c r="GE221" i="43"/>
  <c r="GE222" i="43"/>
  <c r="GE223" i="43"/>
  <c r="GE224" i="43"/>
  <c r="GE227" i="43"/>
  <c r="GE228" i="43"/>
  <c r="GE229" i="43"/>
  <c r="GE230" i="43"/>
  <c r="GE231" i="43"/>
  <c r="GE232" i="43"/>
  <c r="GE235" i="43"/>
  <c r="GE236" i="43"/>
  <c r="GE237" i="43"/>
  <c r="GE238" i="43"/>
  <c r="GE239" i="43"/>
  <c r="GE240" i="43"/>
  <c r="GE243" i="43"/>
  <c r="GE244" i="43"/>
  <c r="GE245" i="43"/>
  <c r="GE246" i="43"/>
  <c r="GE247" i="43"/>
  <c r="GE248" i="43"/>
  <c r="GE251" i="43"/>
  <c r="GE252" i="43"/>
  <c r="GE253" i="43"/>
  <c r="GE254" i="43"/>
  <c r="GE255" i="43"/>
  <c r="GE256" i="43"/>
  <c r="GE259" i="43"/>
  <c r="GE260" i="43"/>
  <c r="GE261" i="43"/>
  <c r="GE262" i="43"/>
  <c r="GE263" i="43"/>
  <c r="GE264" i="43"/>
  <c r="GE267" i="43"/>
  <c r="GE268" i="43"/>
  <c r="GE269" i="43"/>
  <c r="GE270" i="43"/>
  <c r="GE271" i="43"/>
  <c r="GE272" i="43"/>
  <c r="GE275" i="43"/>
  <c r="GE276" i="43"/>
  <c r="GE277" i="43"/>
  <c r="GE278" i="43"/>
  <c r="GE279" i="43"/>
  <c r="GE280" i="43"/>
  <c r="GE283" i="43"/>
  <c r="GE284" i="43"/>
  <c r="GE285" i="43"/>
  <c r="GE286" i="43"/>
  <c r="GE287" i="43"/>
  <c r="GE288" i="43"/>
  <c r="GE291" i="43"/>
  <c r="GE292" i="43"/>
  <c r="GE293" i="43"/>
  <c r="GE294" i="43"/>
  <c r="GE295" i="43"/>
  <c r="GE296" i="43"/>
  <c r="GE299" i="43"/>
  <c r="GE300" i="43"/>
  <c r="GE301" i="43"/>
  <c r="GE302" i="43"/>
  <c r="GE303" i="43"/>
  <c r="GE304" i="43"/>
  <c r="GE307" i="43"/>
  <c r="GE308" i="43"/>
  <c r="GE309" i="43"/>
  <c r="GE310" i="43"/>
  <c r="GE311" i="43"/>
  <c r="GE312" i="43"/>
  <c r="GE315" i="43"/>
  <c r="GE316" i="43"/>
  <c r="GE317" i="43"/>
  <c r="GE318" i="43"/>
  <c r="GE319" i="43"/>
  <c r="GE320" i="43"/>
  <c r="GE323" i="43"/>
  <c r="GE324" i="43"/>
  <c r="GE325" i="43"/>
  <c r="GE326" i="43"/>
  <c r="GE327" i="43"/>
  <c r="GE328" i="43"/>
  <c r="GE330" i="43"/>
  <c r="GE331" i="43"/>
  <c r="GE332" i="43"/>
  <c r="GE333" i="43"/>
  <c r="GE334" i="43"/>
  <c r="GE335" i="43"/>
  <c r="GE336" i="43"/>
  <c r="GE338" i="43"/>
  <c r="GE339" i="43"/>
  <c r="GE340" i="43"/>
  <c r="GE341" i="43"/>
  <c r="GE342" i="43"/>
  <c r="GE343" i="43"/>
  <c r="GE344" i="43"/>
  <c r="GE346" i="43"/>
  <c r="GE347" i="43"/>
  <c r="GE348" i="43"/>
  <c r="GE349" i="43"/>
  <c r="GE350" i="43"/>
  <c r="GE351" i="43"/>
  <c r="GE352" i="43"/>
  <c r="GE354" i="43"/>
  <c r="GE355" i="43"/>
  <c r="GE356" i="43"/>
  <c r="GE357" i="43"/>
  <c r="GE358" i="43"/>
  <c r="GE359" i="43"/>
  <c r="GE360" i="43"/>
  <c r="GE362" i="43"/>
  <c r="GE363" i="43"/>
  <c r="GE364" i="43"/>
  <c r="GE365" i="43"/>
  <c r="GE366" i="43"/>
  <c r="GE367" i="43"/>
  <c r="GE368" i="43"/>
  <c r="GE370" i="43"/>
  <c r="GE371" i="43"/>
  <c r="GE372" i="43"/>
  <c r="GE373" i="43"/>
  <c r="GE374" i="43"/>
  <c r="GE375" i="43"/>
  <c r="GE376" i="43"/>
  <c r="GE378" i="43"/>
  <c r="GE379" i="43"/>
  <c r="GE380" i="43"/>
  <c r="GE381" i="43"/>
  <c r="GE11" i="43"/>
  <c r="GG11" i="43"/>
  <c r="GG8" i="43"/>
  <c r="GG9" i="43" s="1"/>
  <c r="GG10" i="43" s="1"/>
  <c r="GE322" i="43" l="1"/>
  <c r="GE314" i="43"/>
  <c r="GE306" i="43"/>
  <c r="GE298" i="43"/>
  <c r="GE290" i="43"/>
  <c r="GE282" i="43"/>
  <c r="GE274" i="43"/>
  <c r="GE266" i="43"/>
  <c r="GE258" i="43"/>
  <c r="GE250" i="43"/>
  <c r="GE242" i="43"/>
  <c r="GE234" i="43"/>
  <c r="GE226" i="43"/>
  <c r="GE218" i="43"/>
  <c r="GE210" i="43"/>
  <c r="GE202" i="43"/>
  <c r="GE194" i="43"/>
  <c r="GE186" i="43"/>
  <c r="GE178" i="43"/>
  <c r="GE170" i="43"/>
  <c r="GE162" i="43"/>
  <c r="GE154" i="43"/>
  <c r="GE146" i="43"/>
  <c r="GE138" i="43"/>
  <c r="GE130" i="43"/>
  <c r="GE122" i="43"/>
  <c r="GE114" i="43"/>
  <c r="GE106" i="43"/>
  <c r="GE98" i="43"/>
  <c r="GE90" i="43"/>
  <c r="GE82" i="43"/>
  <c r="GE74" i="43"/>
  <c r="GE66" i="43"/>
  <c r="GE58" i="43"/>
  <c r="GE50" i="43"/>
  <c r="GE42" i="43"/>
  <c r="GE34" i="43"/>
  <c r="GE26" i="43"/>
  <c r="GE17" i="43"/>
  <c r="GE377" i="43"/>
  <c r="GE369" i="43"/>
  <c r="GE361" i="43"/>
  <c r="GE353" i="43"/>
  <c r="GE345" i="43"/>
  <c r="GE337" i="43"/>
  <c r="GE329" i="43"/>
  <c r="GE321" i="43"/>
  <c r="GE313" i="43"/>
  <c r="GE305" i="43"/>
  <c r="GE297" i="43"/>
  <c r="GE289" i="43"/>
  <c r="GE281" i="43"/>
  <c r="GE273" i="43"/>
  <c r="GE265" i="43"/>
  <c r="GE257" i="43"/>
  <c r="GE249" i="43"/>
  <c r="GE241" i="43"/>
  <c r="GE233" i="43"/>
  <c r="GE225" i="43"/>
  <c r="GE217" i="43"/>
  <c r="GE209" i="43"/>
  <c r="GE201" i="43"/>
  <c r="GE193" i="43"/>
  <c r="GE185" i="43"/>
  <c r="GE177" i="43"/>
  <c r="GE169" i="43"/>
  <c r="GE161" i="43"/>
  <c r="GE153" i="43"/>
  <c r="GE145" i="43"/>
  <c r="GE137" i="43"/>
  <c r="GE129" i="43"/>
  <c r="GE121" i="43"/>
  <c r="GE113" i="43"/>
  <c r="GE105" i="43"/>
  <c r="GE97" i="43"/>
  <c r="GE89" i="43"/>
  <c r="GE81" i="43"/>
  <c r="GE73" i="43"/>
  <c r="GE65" i="43"/>
  <c r="GE57" i="43"/>
  <c r="GE49" i="43"/>
  <c r="GE41" i="43"/>
  <c r="GE33" i="43"/>
  <c r="GE25" i="43"/>
  <c r="GE15" i="43"/>
  <c r="GE12" i="43"/>
  <c r="GE24" i="43"/>
  <c r="J207" i="43" l="1"/>
  <c r="O155" i="45" l="1"/>
  <c r="O156" i="45"/>
  <c r="D8" i="43" l="1"/>
  <c r="H8" i="43" s="1"/>
  <c r="E8" i="43"/>
  <c r="I8" i="43" s="1"/>
  <c r="L8" i="43"/>
  <c r="M8" i="43"/>
  <c r="N8" i="43"/>
  <c r="O8" i="43"/>
  <c r="Z8" i="43" s="1"/>
  <c r="AC8" i="43"/>
  <c r="AD8" i="43"/>
  <c r="AE8" i="43"/>
  <c r="AF8" i="43"/>
  <c r="AG8" i="43"/>
  <c r="AI8" i="43"/>
  <c r="AK8" i="43"/>
  <c r="AL8" i="43"/>
  <c r="AT8" i="43"/>
  <c r="BA8" i="43"/>
  <c r="BG8" i="43"/>
  <c r="BI8" i="43"/>
  <c r="BM8" i="43"/>
  <c r="BE8" i="43" s="1"/>
  <c r="BQ8" i="43"/>
  <c r="BX8" i="43"/>
  <c r="CE8" i="43" s="1"/>
  <c r="CM8" i="43" s="1"/>
  <c r="BZ8" i="43"/>
  <c r="CB8" i="43"/>
  <c r="CD8" i="43"/>
  <c r="AR8" i="43" s="1"/>
  <c r="CG8" i="43"/>
  <c r="CH8" i="43"/>
  <c r="CL8" i="43"/>
  <c r="CU8" i="43"/>
  <c r="CW8" i="43"/>
  <c r="DA8" i="43"/>
  <c r="CS8" i="43" s="1"/>
  <c r="CY8" i="43" s="1"/>
  <c r="DE8" i="43"/>
  <c r="DP8" i="43"/>
  <c r="DQ8" i="43" s="1"/>
  <c r="DR8" i="43" s="1"/>
  <c r="DS8" i="43"/>
  <c r="DW8" i="43" s="1"/>
  <c r="DX8" i="43" s="1"/>
  <c r="DT8" i="43"/>
  <c r="DU8" i="43"/>
  <c r="DV8" i="43"/>
  <c r="EF8" i="43"/>
  <c r="EI8" i="43"/>
  <c r="EJ8" i="43"/>
  <c r="EM8" i="43"/>
  <c r="EN8" i="43"/>
  <c r="ES8" i="43"/>
  <c r="ET8" i="43"/>
  <c r="EU8" i="43"/>
  <c r="FD8" i="43"/>
  <c r="FO8" i="43"/>
  <c r="FQ8" i="43"/>
  <c r="FV8" i="43"/>
  <c r="FW8" i="43"/>
  <c r="GB8" i="43"/>
  <c r="GC8" i="43"/>
  <c r="GD8" i="43"/>
  <c r="GF8" i="43"/>
  <c r="GH8" i="43"/>
  <c r="D9" i="43"/>
  <c r="E9" i="43"/>
  <c r="I9" i="43" s="1"/>
  <c r="L9" i="43"/>
  <c r="N9" i="43"/>
  <c r="O9" i="43"/>
  <c r="AC9" i="43"/>
  <c r="AD9" i="43"/>
  <c r="AE9" i="43"/>
  <c r="AF9" i="43"/>
  <c r="AG9" i="43"/>
  <c r="AL9" i="43"/>
  <c r="AT9" i="43"/>
  <c r="BA9" i="43"/>
  <c r="BE9" i="43"/>
  <c r="BK9" i="43" s="1"/>
  <c r="BR9" i="43" s="1"/>
  <c r="BG9" i="43"/>
  <c r="BI9" i="43"/>
  <c r="BM9" i="43"/>
  <c r="BQ9" i="43"/>
  <c r="BX9" i="43"/>
  <c r="CE9" i="43" s="1"/>
  <c r="CM9" i="43" s="1"/>
  <c r="BZ9" i="43"/>
  <c r="CB9" i="43"/>
  <c r="CG9" i="43"/>
  <c r="CD9" i="43" s="1"/>
  <c r="AP9" i="43" s="1"/>
  <c r="CH9" i="43"/>
  <c r="CU9" i="43"/>
  <c r="CW9" i="43"/>
  <c r="DA9" i="43"/>
  <c r="CS9" i="43" s="1"/>
  <c r="CY9" i="43" s="1"/>
  <c r="DF9" i="43" s="1"/>
  <c r="DP9" i="43"/>
  <c r="DQ9" i="43" s="1"/>
  <c r="DR9" i="43" s="1"/>
  <c r="G9" i="43" s="1"/>
  <c r="DS9" i="43"/>
  <c r="DW9" i="43" s="1"/>
  <c r="DX9" i="43" s="1"/>
  <c r="DT9" i="43"/>
  <c r="DU9" i="43"/>
  <c r="DV9" i="43"/>
  <c r="EF9" i="43"/>
  <c r="EI9" i="43"/>
  <c r="EJ9" i="43"/>
  <c r="EM9" i="43"/>
  <c r="ES9" i="43"/>
  <c r="ET9" i="43"/>
  <c r="EU9" i="43"/>
  <c r="FD9" i="43"/>
  <c r="FE9" i="43"/>
  <c r="FE10" i="43" s="1"/>
  <c r="FQ9" i="43"/>
  <c r="FV9" i="43"/>
  <c r="FW9" i="43"/>
  <c r="GB9" i="43"/>
  <c r="GC9" i="43"/>
  <c r="GD9" i="43"/>
  <c r="GF9" i="43"/>
  <c r="GH9" i="43"/>
  <c r="D10" i="43"/>
  <c r="E10" i="43"/>
  <c r="L10" i="43"/>
  <c r="O10" i="43"/>
  <c r="BQ10" i="43" s="1"/>
  <c r="AC10" i="43"/>
  <c r="AD10" i="43"/>
  <c r="AE10" i="43"/>
  <c r="AF10" i="43"/>
  <c r="AG10" i="43"/>
  <c r="AL10" i="43"/>
  <c r="AM10" i="43" s="1"/>
  <c r="AT10" i="43"/>
  <c r="BA10" i="43"/>
  <c r="BG10" i="43"/>
  <c r="BI10" i="43"/>
  <c r="BM10" i="43"/>
  <c r="BE10" i="43" s="1"/>
  <c r="BZ10" i="43"/>
  <c r="CB10" i="43"/>
  <c r="CG10" i="43"/>
  <c r="CD10" i="43" s="1"/>
  <c r="CH10" i="43"/>
  <c r="CU10" i="43"/>
  <c r="CW10" i="43"/>
  <c r="DA10" i="43"/>
  <c r="CS10" i="43" s="1"/>
  <c r="DP10" i="43"/>
  <c r="DS10" i="43"/>
  <c r="DT10" i="43"/>
  <c r="DU10" i="43"/>
  <c r="DV10" i="43"/>
  <c r="EF10" i="43"/>
  <c r="EM10" i="43"/>
  <c r="ET10" i="43"/>
  <c r="ES10" i="43" s="1"/>
  <c r="EU10" i="43"/>
  <c r="FD10" i="43"/>
  <c r="FO10" i="43"/>
  <c r="FQ10" i="43"/>
  <c r="FV10" i="43"/>
  <c r="FW10" i="43"/>
  <c r="GB10" i="43"/>
  <c r="GC10" i="43"/>
  <c r="CJ10" i="43" s="1"/>
  <c r="GD10" i="43"/>
  <c r="GF10" i="43"/>
  <c r="GH10" i="43"/>
  <c r="F8" i="24"/>
  <c r="G8" i="24"/>
  <c r="H8" i="24"/>
  <c r="I8" i="24"/>
  <c r="K8" i="24"/>
  <c r="M8" i="24"/>
  <c r="N8" i="24"/>
  <c r="Q8" i="24"/>
  <c r="R8" i="24"/>
  <c r="S8" i="24"/>
  <c r="T8" i="24"/>
  <c r="V8" i="24" s="1"/>
  <c r="U8" i="24"/>
  <c r="W8" i="24"/>
  <c r="X8" i="24"/>
  <c r="AC8" i="24"/>
  <c r="AM8" i="24"/>
  <c r="AT8" i="24"/>
  <c r="AU8" i="24"/>
  <c r="AV8" i="24"/>
  <c r="AW8" i="24"/>
  <c r="AX8" i="24"/>
  <c r="AY8" i="24"/>
  <c r="AZ8" i="24"/>
  <c r="BA8" i="24"/>
  <c r="BB8" i="24"/>
  <c r="BI8" i="24" s="1"/>
  <c r="BC8" i="24"/>
  <c r="BD8" i="24"/>
  <c r="BE8" i="24"/>
  <c r="BF8" i="24"/>
  <c r="BG8" i="24"/>
  <c r="BH8" i="24"/>
  <c r="BK8" i="24"/>
  <c r="BM8" i="24"/>
  <c r="BN8" i="24"/>
  <c r="BP8" i="24"/>
  <c r="D9" i="24"/>
  <c r="E9" i="24"/>
  <c r="F9" i="24"/>
  <c r="G9" i="24"/>
  <c r="H9" i="24"/>
  <c r="I9" i="24"/>
  <c r="K9" i="24"/>
  <c r="M9" i="24"/>
  <c r="N9" i="24"/>
  <c r="Q9" i="24"/>
  <c r="R9" i="24"/>
  <c r="S9" i="24"/>
  <c r="T9" i="24"/>
  <c r="V9" i="24" s="1"/>
  <c r="U9" i="24"/>
  <c r="W9" i="24"/>
  <c r="X9" i="24"/>
  <c r="AC9" i="24"/>
  <c r="AM9" i="24"/>
  <c r="AN9" i="24"/>
  <c r="AO9" i="24"/>
  <c r="AP9" i="24"/>
  <c r="AS9" i="24" s="1"/>
  <c r="AT9" i="24"/>
  <c r="AU9" i="24"/>
  <c r="AV9" i="24"/>
  <c r="AW9" i="24"/>
  <c r="AX9" i="24"/>
  <c r="AY9" i="24"/>
  <c r="AZ9" i="24"/>
  <c r="BA9" i="24"/>
  <c r="BB9" i="24"/>
  <c r="BI9" i="24" s="1"/>
  <c r="BC9" i="24"/>
  <c r="BD9" i="24"/>
  <c r="BE9" i="24"/>
  <c r="BF9" i="24"/>
  <c r="BG9" i="24"/>
  <c r="BH9" i="24"/>
  <c r="BK9" i="24"/>
  <c r="BM9" i="24"/>
  <c r="BN9" i="24"/>
  <c r="BP9" i="24"/>
  <c r="D10" i="24"/>
  <c r="E10" i="24"/>
  <c r="F10" i="24"/>
  <c r="G10" i="24"/>
  <c r="H10" i="24"/>
  <c r="I10" i="24"/>
  <c r="K10" i="24"/>
  <c r="M10" i="24"/>
  <c r="N10" i="24"/>
  <c r="Q10" i="24"/>
  <c r="R10" i="24"/>
  <c r="S10" i="24"/>
  <c r="U10" i="24"/>
  <c r="W10" i="24"/>
  <c r="BP10" i="24" s="1"/>
  <c r="X10" i="24"/>
  <c r="AM10" i="24"/>
  <c r="AN10" i="24"/>
  <c r="AO10" i="24"/>
  <c r="AT10" i="24"/>
  <c r="AU10" i="24"/>
  <c r="AV10" i="24"/>
  <c r="AW10" i="24"/>
  <c r="AX10" i="24"/>
  <c r="AY10" i="24"/>
  <c r="AZ10" i="24"/>
  <c r="BA10" i="24"/>
  <c r="BB10" i="24"/>
  <c r="BC10" i="24"/>
  <c r="AC10" i="24" s="1"/>
  <c r="BD10" i="24"/>
  <c r="BE10" i="24"/>
  <c r="BF10" i="24"/>
  <c r="BG10" i="24"/>
  <c r="BH10" i="24"/>
  <c r="BM10" i="24"/>
  <c r="BN10" i="24"/>
  <c r="EJ10" i="43" l="1"/>
  <c r="AP10" i="24"/>
  <c r="AQ10" i="24" s="1"/>
  <c r="S9" i="43"/>
  <c r="AM9" i="43"/>
  <c r="U10" i="43"/>
  <c r="HL8" i="43"/>
  <c r="HK8" i="43" s="1"/>
  <c r="HG8" i="43" s="1"/>
  <c r="J10" i="43"/>
  <c r="AV8" i="43"/>
  <c r="CJ8" i="43"/>
  <c r="DC8" i="43"/>
  <c r="U9" i="43"/>
  <c r="EO8" i="43"/>
  <c r="BI10" i="24"/>
  <c r="T10" i="24"/>
  <c r="V10" i="24" s="1"/>
  <c r="DW10" i="43"/>
  <c r="DX10" i="43" s="1"/>
  <c r="AR9" i="24"/>
  <c r="AQ9" i="24"/>
  <c r="AR9" i="43"/>
  <c r="CY10" i="43"/>
  <c r="DF10" i="43" s="1"/>
  <c r="BX10" i="43"/>
  <c r="CE10" i="43" s="1"/>
  <c r="CM10" i="43" s="1"/>
  <c r="K8" i="43"/>
  <c r="Y8" i="43" s="1"/>
  <c r="Q8" i="43" s="1"/>
  <c r="H9" i="43"/>
  <c r="K9" i="43" s="1"/>
  <c r="Y9" i="43" s="1"/>
  <c r="Q9" i="43" s="1"/>
  <c r="M9" i="43"/>
  <c r="DQ10" i="43"/>
  <c r="DR10" i="43" s="1"/>
  <c r="G10" i="43" s="1"/>
  <c r="DC10" i="43"/>
  <c r="DH9" i="43"/>
  <c r="AJ10" i="43"/>
  <c r="T10" i="43"/>
  <c r="BO10" i="43"/>
  <c r="AV10" i="43"/>
  <c r="DC9" i="43"/>
  <c r="CJ9" i="43"/>
  <c r="AV9" i="43"/>
  <c r="BK10" i="43"/>
  <c r="Z10" i="43"/>
  <c r="CL10" i="43"/>
  <c r="DE10" i="43"/>
  <c r="Z9" i="43"/>
  <c r="CL9" i="43"/>
  <c r="DE9" i="43"/>
  <c r="FO9" i="43"/>
  <c r="U8" i="43"/>
  <c r="DF8" i="43"/>
  <c r="BK8" i="43"/>
  <c r="DL8" i="43" s="1"/>
  <c r="I10" i="43"/>
  <c r="P10" i="43"/>
  <c r="AS9" i="43"/>
  <c r="P9" i="43"/>
  <c r="P8" i="43"/>
  <c r="J9" i="43"/>
  <c r="BO9" i="43"/>
  <c r="DL9" i="43"/>
  <c r="DM9" i="43" s="1"/>
  <c r="GQ8" i="43"/>
  <c r="GP8" i="43" s="1"/>
  <c r="BO8" i="43"/>
  <c r="HE8" i="43"/>
  <c r="HD8" i="43" s="1"/>
  <c r="T8" i="43"/>
  <c r="AR10" i="43"/>
  <c r="AS10" i="43"/>
  <c r="AP10" i="43"/>
  <c r="EI10" i="43" s="1"/>
  <c r="AJ9" i="43"/>
  <c r="T9" i="43"/>
  <c r="GX8" i="43"/>
  <c r="GW8" i="43" s="1"/>
  <c r="S8" i="43"/>
  <c r="O9" i="24"/>
  <c r="AP8" i="43"/>
  <c r="AS8" i="43"/>
  <c r="O10" i="24"/>
  <c r="P10" i="24" s="1"/>
  <c r="O8" i="24"/>
  <c r="Y8" i="24" s="1"/>
  <c r="AR10" i="24"/>
  <c r="AS10" i="24"/>
  <c r="BK10" i="24" s="1"/>
  <c r="X9" i="43" l="1"/>
  <c r="Y9" i="24"/>
  <c r="Z9" i="24" s="1"/>
  <c r="AA9" i="43"/>
  <c r="AB9" i="43" s="1"/>
  <c r="DM8" i="43"/>
  <c r="DN8" i="43" s="1"/>
  <c r="DL10" i="43"/>
  <c r="DM10" i="43" s="1"/>
  <c r="DN10" i="43" s="1"/>
  <c r="DO10" i="43" s="1"/>
  <c r="P9" i="24"/>
  <c r="AG9" i="24" s="1"/>
  <c r="GZ8" i="43"/>
  <c r="DH8" i="43"/>
  <c r="BR8" i="43"/>
  <c r="GS8" i="43"/>
  <c r="DN9" i="43"/>
  <c r="DO9" i="43"/>
  <c r="M10" i="43"/>
  <c r="N10" i="43" s="1"/>
  <c r="H10" i="43"/>
  <c r="K10" i="43" s="1"/>
  <c r="AA8" i="43"/>
  <c r="AB8" i="43" s="1"/>
  <c r="AK10" i="43"/>
  <c r="BR10" i="43"/>
  <c r="DH10" i="43"/>
  <c r="DO8" i="43"/>
  <c r="GL8" i="43"/>
  <c r="X8" i="43"/>
  <c r="AK9" i="43"/>
  <c r="P8" i="24"/>
  <c r="AH10" i="24"/>
  <c r="AG10" i="24"/>
  <c r="Z8" i="24"/>
  <c r="AH9" i="24" l="1"/>
  <c r="BH10" i="43"/>
  <c r="CT10" i="43"/>
  <c r="CX10" i="43"/>
  <c r="AQ10" i="43"/>
  <c r="FP10" i="43" s="1"/>
  <c r="BY10" i="43"/>
  <c r="CC10" i="43"/>
  <c r="BJ10" i="43"/>
  <c r="CV10" i="43"/>
  <c r="BF10" i="43"/>
  <c r="CA10" i="43"/>
  <c r="S10" i="43"/>
  <c r="X10" i="43" s="1"/>
  <c r="Y10" i="43"/>
  <c r="Q10" i="43" s="1"/>
  <c r="AG8" i="24"/>
  <c r="AQ9" i="43"/>
  <c r="FP9" i="43" s="1"/>
  <c r="BH9" i="43"/>
  <c r="CA9" i="43"/>
  <c r="BY9" i="43"/>
  <c r="CF9" i="43" s="1"/>
  <c r="BF9" i="43"/>
  <c r="CT9" i="43"/>
  <c r="CC9" i="43"/>
  <c r="BJ9" i="43"/>
  <c r="CX9" i="43"/>
  <c r="CV9" i="43"/>
  <c r="BH8" i="43"/>
  <c r="CA8" i="43"/>
  <c r="CX8" i="43"/>
  <c r="AQ8" i="43"/>
  <c r="FP8" i="43" s="1"/>
  <c r="BF8" i="43"/>
  <c r="CT8" i="43"/>
  <c r="CC8" i="43"/>
  <c r="BY8" i="43"/>
  <c r="CF8" i="43" s="1"/>
  <c r="CV8" i="43"/>
  <c r="BJ8" i="43"/>
  <c r="GJ8" i="43"/>
  <c r="AH8" i="24"/>
  <c r="CF10" i="43" l="1"/>
  <c r="CI10" i="43" s="1"/>
  <c r="CK10" i="43" s="1"/>
  <c r="AA10" i="43"/>
  <c r="AB10" i="43" s="1"/>
  <c r="HH8" i="43"/>
  <c r="HJ8" i="43" s="1"/>
  <c r="DI8" i="43" s="1"/>
  <c r="HL9" i="43" s="1"/>
  <c r="HK9" i="43" s="1"/>
  <c r="HG9" i="43" s="1"/>
  <c r="HA8" i="43"/>
  <c r="HC8" i="43" s="1"/>
  <c r="CP8" i="43" s="1"/>
  <c r="HE9" i="43" s="1"/>
  <c r="HD9" i="43" s="1"/>
  <c r="GZ9" i="43" s="1"/>
  <c r="GM8" i="43"/>
  <c r="GT8" i="43"/>
  <c r="GV8" i="43" s="1"/>
  <c r="BU8" i="43" s="1"/>
  <c r="GX9" i="43" s="1"/>
  <c r="GW9" i="43" s="1"/>
  <c r="GS9" i="43" s="1"/>
  <c r="CZ8" i="43"/>
  <c r="ED8" i="43"/>
  <c r="DB8" i="43"/>
  <c r="BL9" i="43"/>
  <c r="BN9" i="43"/>
  <c r="EB9" i="43"/>
  <c r="CI9" i="43"/>
  <c r="CK9" i="43" s="1"/>
  <c r="CI8" i="43"/>
  <c r="CK8" i="43" s="1"/>
  <c r="EB8" i="43"/>
  <c r="BL8" i="43"/>
  <c r="BN8" i="43"/>
  <c r="CZ10" i="43"/>
  <c r="DB10" i="43"/>
  <c r="ED10" i="43"/>
  <c r="ED9" i="43"/>
  <c r="CZ9" i="43"/>
  <c r="DB9" i="43"/>
  <c r="BN10" i="43"/>
  <c r="EB10" i="43"/>
  <c r="BL10" i="43"/>
  <c r="DD8" i="43" l="1"/>
  <c r="DD9" i="43"/>
  <c r="BP10" i="43"/>
  <c r="DJ10" i="43"/>
  <c r="AU10" i="43"/>
  <c r="AH10" i="43" s="1"/>
  <c r="R10" i="43"/>
  <c r="DJ8" i="43"/>
  <c r="BP8" i="43"/>
  <c r="DJ9" i="43"/>
  <c r="BP9" i="43"/>
  <c r="EH9" i="43" s="1"/>
  <c r="AU8" i="43"/>
  <c r="GO8" i="43"/>
  <c r="BB8" i="43" s="1"/>
  <c r="GK8" i="43"/>
  <c r="AU9" i="43"/>
  <c r="AH9" i="43" s="1"/>
  <c r="R9" i="43"/>
  <c r="DD10" i="43"/>
  <c r="AN8" i="43" l="1"/>
  <c r="GQ9" i="43"/>
  <c r="GP9" i="43" s="1"/>
  <c r="EH8" i="43"/>
  <c r="EH10" i="43"/>
  <c r="AA9" i="24"/>
  <c r="AI10" i="24"/>
  <c r="AD10" i="24"/>
  <c r="AE10" i="24"/>
  <c r="AF10" i="24"/>
  <c r="W10" i="43"/>
  <c r="AI9" i="43"/>
  <c r="EO9" i="43" s="1"/>
  <c r="EN9" i="43"/>
  <c r="AI10" i="43"/>
  <c r="EO10" i="43" s="1"/>
  <c r="EN10" i="43"/>
  <c r="W8" i="43"/>
  <c r="AD8" i="24"/>
  <c r="AI8" i="24"/>
  <c r="AE8" i="24"/>
  <c r="AF8" i="24"/>
  <c r="AE9" i="24"/>
  <c r="W9" i="43"/>
  <c r="AI9" i="24"/>
  <c r="AA8" i="24"/>
  <c r="AD9" i="24"/>
  <c r="AF9" i="24"/>
  <c r="HI8" i="43"/>
  <c r="GU8" i="43"/>
  <c r="GN8" i="43"/>
  <c r="HB8" i="43"/>
  <c r="GL9" i="43" l="1"/>
  <c r="GJ9" i="43" s="1"/>
  <c r="DY8" i="43"/>
  <c r="DZ8" i="43" s="1"/>
  <c r="AO8" i="43"/>
  <c r="FF8" i="43" s="1"/>
  <c r="HH9" i="43" l="1"/>
  <c r="HJ9" i="43" s="1"/>
  <c r="DI9" i="43" s="1"/>
  <c r="HL10" i="43" s="1"/>
  <c r="HK10" i="43" s="1"/>
  <c r="HA9" i="43"/>
  <c r="HC9" i="43" s="1"/>
  <c r="CP9" i="43" s="1"/>
  <c r="HE10" i="43" s="1"/>
  <c r="HD10" i="43" s="1"/>
  <c r="GT9" i="43"/>
  <c r="GV9" i="43" s="1"/>
  <c r="BU9" i="43" s="1"/>
  <c r="GX10" i="43" s="1"/>
  <c r="GW10" i="43" s="1"/>
  <c r="GM9" i="43"/>
  <c r="GS10" i="43" l="1"/>
  <c r="GZ10" i="43"/>
  <c r="GK9" i="43"/>
  <c r="GO9" i="43"/>
  <c r="BB9" i="43" s="1"/>
  <c r="HG10" i="43"/>
  <c r="AS297" i="45"/>
  <c r="AS298" i="45"/>
  <c r="AS299" i="45"/>
  <c r="AS300" i="45"/>
  <c r="AS296" i="45"/>
  <c r="HB9" i="43" l="1"/>
  <c r="GU9" i="43"/>
  <c r="HI9" i="43"/>
  <c r="GN9" i="43"/>
  <c r="GQ10" i="43"/>
  <c r="GP10" i="43" s="1"/>
  <c r="GL10" i="43" s="1"/>
  <c r="GJ10" i="43" s="1"/>
  <c r="AN9" i="43"/>
  <c r="AS294" i="45"/>
  <c r="AS295" i="45"/>
  <c r="AO9" i="43" l="1"/>
  <c r="FF9" i="43" s="1"/>
  <c r="DY9" i="43"/>
  <c r="DZ9" i="43" s="1"/>
  <c r="GM10" i="43"/>
  <c r="GT10" i="43"/>
  <c r="GV10" i="43" s="1"/>
  <c r="BU10" i="43" s="1"/>
  <c r="HA10" i="43"/>
  <c r="HC10" i="43" s="1"/>
  <c r="CP10" i="43" s="1"/>
  <c r="HH10" i="43"/>
  <c r="HJ10" i="43" s="1"/>
  <c r="DI10" i="43" s="1"/>
  <c r="AR278" i="45"/>
  <c r="AR279" i="45" s="1"/>
  <c r="AR280" i="45" s="1"/>
  <c r="AR281" i="45" s="1"/>
  <c r="AR282" i="45" s="1"/>
  <c r="AR283" i="45" s="1"/>
  <c r="AR284" i="45" s="1"/>
  <c r="AR285" i="45" s="1"/>
  <c r="AR286" i="45" s="1"/>
  <c r="AR287" i="45" s="1"/>
  <c r="AR288" i="45" s="1"/>
  <c r="AR289" i="45" s="1"/>
  <c r="AR290" i="45" s="1"/>
  <c r="AR291" i="45" s="1"/>
  <c r="AR292" i="45" s="1"/>
  <c r="AR293" i="45" s="1"/>
  <c r="AS278" i="45"/>
  <c r="AS279" i="45"/>
  <c r="AS280" i="45"/>
  <c r="AS281" i="45"/>
  <c r="AS282" i="45"/>
  <c r="AS283" i="45"/>
  <c r="AS284" i="45"/>
  <c r="AS285" i="45"/>
  <c r="AS286" i="45"/>
  <c r="AS287" i="45"/>
  <c r="AS288" i="45"/>
  <c r="AS289" i="45"/>
  <c r="AS290" i="45"/>
  <c r="AS291" i="45"/>
  <c r="AS292" i="45"/>
  <c r="AS293" i="45"/>
  <c r="AS277" i="45"/>
  <c r="GO10" i="43" l="1"/>
  <c r="BB10" i="43" s="1"/>
  <c r="AN10" i="43" s="1"/>
  <c r="GK10" i="43"/>
  <c r="HB10" i="43" l="1"/>
  <c r="GU10" i="43"/>
  <c r="GN10" i="43"/>
  <c r="HI10" i="43"/>
  <c r="AO10" i="43"/>
  <c r="FF10" i="43" s="1"/>
  <c r="DY10" i="43"/>
  <c r="DZ10" i="43" s="1"/>
  <c r="DS256" i="43"/>
  <c r="DV256" i="43"/>
  <c r="DV257" i="43"/>
  <c r="DV258" i="43"/>
  <c r="DV259" i="43"/>
  <c r="DV260" i="43"/>
  <c r="DV261" i="43"/>
  <c r="DV262" i="43"/>
  <c r="DV263" i="43"/>
  <c r="DV264" i="43"/>
  <c r="DV265" i="43"/>
  <c r="DV266" i="43"/>
  <c r="DV267" i="43"/>
  <c r="DV268" i="43"/>
  <c r="DV269" i="43"/>
  <c r="DV270" i="43"/>
  <c r="DV271" i="43"/>
  <c r="DV272" i="43"/>
  <c r="DV273" i="43"/>
  <c r="DV274" i="43"/>
  <c r="DV275" i="43"/>
  <c r="DV276" i="43"/>
  <c r="DV277" i="43"/>
  <c r="DV278" i="43"/>
  <c r="DV279" i="43"/>
  <c r="DV280" i="43"/>
  <c r="DV281" i="43"/>
  <c r="DV282" i="43"/>
  <c r="DV283" i="43"/>
  <c r="DV284" i="43"/>
  <c r="DV285" i="43"/>
  <c r="DV286" i="43"/>
  <c r="DV287" i="43"/>
  <c r="DV288" i="43"/>
  <c r="DV289" i="43"/>
  <c r="DV290" i="43"/>
  <c r="DV291" i="43"/>
  <c r="DV292" i="43"/>
  <c r="DV293" i="43"/>
  <c r="DV294" i="43"/>
  <c r="DV295" i="43"/>
  <c r="DV296" i="43"/>
  <c r="DV297" i="43"/>
  <c r="DV298" i="43"/>
  <c r="DV299" i="43"/>
  <c r="DV300" i="43"/>
  <c r="DV301" i="43"/>
  <c r="DV302" i="43"/>
  <c r="DV303" i="43"/>
  <c r="DV304" i="43"/>
  <c r="DV305" i="43"/>
  <c r="DV306" i="43"/>
  <c r="DV307" i="43"/>
  <c r="DV308" i="43"/>
  <c r="DV309" i="43"/>
  <c r="DV310" i="43"/>
  <c r="DV311" i="43"/>
  <c r="DV312" i="43"/>
  <c r="DV313" i="43"/>
  <c r="DV314" i="43"/>
  <c r="DV315" i="43"/>
  <c r="DV316" i="43"/>
  <c r="DV317" i="43"/>
  <c r="DV318" i="43"/>
  <c r="DV319" i="43"/>
  <c r="DV320" i="43"/>
  <c r="DV321" i="43"/>
  <c r="DV322" i="43"/>
  <c r="DV323" i="43"/>
  <c r="DV324" i="43"/>
  <c r="DV325" i="43"/>
  <c r="DV326" i="43"/>
  <c r="DV327" i="43"/>
  <c r="DV328" i="43"/>
  <c r="DV329" i="43"/>
  <c r="DV330" i="43"/>
  <c r="DV331" i="43"/>
  <c r="DV332" i="43"/>
  <c r="DV333" i="43"/>
  <c r="DV334" i="43"/>
  <c r="DV335" i="43"/>
  <c r="DV336" i="43"/>
  <c r="DV337" i="43"/>
  <c r="DV338" i="43"/>
  <c r="DV339" i="43"/>
  <c r="DV340" i="43"/>
  <c r="DV341" i="43"/>
  <c r="DV342" i="43"/>
  <c r="DV343" i="43"/>
  <c r="DV344" i="43"/>
  <c r="DV345" i="43"/>
  <c r="DV346" i="43"/>
  <c r="DV347" i="43"/>
  <c r="DV348" i="43"/>
  <c r="DV349" i="43"/>
  <c r="DV350" i="43"/>
  <c r="DV351" i="43"/>
  <c r="DV352" i="43"/>
  <c r="DV353" i="43"/>
  <c r="DV354" i="43"/>
  <c r="DV355" i="43"/>
  <c r="DV356" i="43"/>
  <c r="DV357" i="43"/>
  <c r="DV358" i="43"/>
  <c r="DV359" i="43"/>
  <c r="DV360" i="43"/>
  <c r="DV361" i="43"/>
  <c r="DV362" i="43"/>
  <c r="DV363" i="43"/>
  <c r="DV364" i="43"/>
  <c r="DV365" i="43"/>
  <c r="DV366" i="43"/>
  <c r="DV367" i="43"/>
  <c r="DV368" i="43"/>
  <c r="DV369" i="43"/>
  <c r="DV370" i="43"/>
  <c r="DV371" i="43"/>
  <c r="DV372" i="43"/>
  <c r="DV373" i="43"/>
  <c r="DV374" i="43"/>
  <c r="DV375" i="43"/>
  <c r="DV376" i="43"/>
  <c r="DV377" i="43"/>
  <c r="DV378" i="43"/>
  <c r="DV379" i="43"/>
  <c r="DV380" i="43"/>
  <c r="DV381" i="43"/>
  <c r="CE378" i="24" l="1"/>
  <c r="CD378" i="24"/>
  <c r="V374" i="45" l="1"/>
  <c r="V375" i="45"/>
  <c r="V376" i="45"/>
  <c r="V377" i="45"/>
  <c r="V378" i="45"/>
  <c r="V379" i="45"/>
  <c r="V380" i="45"/>
  <c r="V381" i="45"/>
  <c r="V382" i="45"/>
  <c r="V383" i="45"/>
  <c r="V384" i="45"/>
  <c r="AZ377" i="43"/>
  <c r="AZ378" i="43"/>
  <c r="AZ379" i="43"/>
  <c r="AZ380" i="43"/>
  <c r="AZ381" i="43"/>
  <c r="BA377" i="43"/>
  <c r="BA378" i="43"/>
  <c r="BA379" i="43"/>
  <c r="BA380" i="43"/>
  <c r="BA381" i="43"/>
  <c r="HV7" i="43" l="1"/>
  <c r="HQ7" i="43"/>
  <c r="IF13" i="43" l="1"/>
  <c r="IF14" i="43"/>
  <c r="IF15" i="43"/>
  <c r="IF16" i="43"/>
  <c r="IF17" i="43"/>
  <c r="IF18" i="43"/>
  <c r="IF19" i="43"/>
  <c r="IF20" i="43"/>
  <c r="IF21" i="43"/>
  <c r="IF22" i="43"/>
  <c r="IF23" i="43"/>
  <c r="IF24" i="43"/>
  <c r="IF25" i="43"/>
  <c r="IF26" i="43"/>
  <c r="IF27" i="43"/>
  <c r="IF28" i="43"/>
  <c r="IF29" i="43"/>
  <c r="IF30" i="43"/>
  <c r="IF31" i="43"/>
  <c r="IF32" i="43"/>
  <c r="IF33" i="43"/>
  <c r="IF34" i="43"/>
  <c r="IF35" i="43"/>
  <c r="IF36" i="43"/>
  <c r="IF37" i="43"/>
  <c r="IF38" i="43"/>
  <c r="IF39" i="43"/>
  <c r="IF40" i="43"/>
  <c r="IF41" i="43"/>
  <c r="IF42" i="43"/>
  <c r="IF43" i="43"/>
  <c r="IF44" i="43"/>
  <c r="IF45" i="43"/>
  <c r="IF46" i="43"/>
  <c r="IF47" i="43"/>
  <c r="IF48" i="43"/>
  <c r="IF49" i="43"/>
  <c r="IF50" i="43"/>
  <c r="IF51" i="43"/>
  <c r="IF52" i="43"/>
  <c r="IF53" i="43"/>
  <c r="IF54" i="43"/>
  <c r="IF55" i="43"/>
  <c r="IF56" i="43"/>
  <c r="IF57" i="43"/>
  <c r="IF58" i="43"/>
  <c r="IF59" i="43"/>
  <c r="IF60" i="43"/>
  <c r="IF61" i="43"/>
  <c r="IF62" i="43"/>
  <c r="IF63" i="43"/>
  <c r="IF64" i="43"/>
  <c r="IF65" i="43"/>
  <c r="IF66" i="43"/>
  <c r="IF67" i="43"/>
  <c r="IF68" i="43"/>
  <c r="IF69" i="43"/>
  <c r="IF70" i="43"/>
  <c r="IF71" i="43"/>
  <c r="IF72" i="43"/>
  <c r="IF73" i="43"/>
  <c r="IF74" i="43"/>
  <c r="IF75" i="43"/>
  <c r="IF76" i="43"/>
  <c r="IF77" i="43"/>
  <c r="IF78" i="43"/>
  <c r="IF79" i="43"/>
  <c r="IF80" i="43"/>
  <c r="IF81" i="43"/>
  <c r="IF82" i="43"/>
  <c r="IF83" i="43"/>
  <c r="IF84" i="43"/>
  <c r="IF85" i="43"/>
  <c r="IF86" i="43"/>
  <c r="IF87" i="43"/>
  <c r="IF88" i="43"/>
  <c r="IF89" i="43"/>
  <c r="IF90" i="43"/>
  <c r="IF91" i="43"/>
  <c r="IF92" i="43"/>
  <c r="IF93" i="43"/>
  <c r="IF94" i="43"/>
  <c r="IF95" i="43"/>
  <c r="IF96" i="43"/>
  <c r="IF97" i="43"/>
  <c r="IF98" i="43"/>
  <c r="IF99" i="43"/>
  <c r="IF100" i="43"/>
  <c r="IF101" i="43"/>
  <c r="IF102" i="43"/>
  <c r="IF103" i="43"/>
  <c r="IF104" i="43"/>
  <c r="IF105" i="43"/>
  <c r="IF106" i="43"/>
  <c r="IF107" i="43"/>
  <c r="IF108" i="43"/>
  <c r="IF109" i="43"/>
  <c r="IF110" i="43"/>
  <c r="IF111" i="43"/>
  <c r="IF112" i="43"/>
  <c r="IF113" i="43"/>
  <c r="IF114" i="43"/>
  <c r="IF115" i="43"/>
  <c r="IF116" i="43"/>
  <c r="IF117" i="43"/>
  <c r="IF118" i="43"/>
  <c r="IF119" i="43"/>
  <c r="IF120" i="43"/>
  <c r="IF121" i="43"/>
  <c r="IF122" i="43"/>
  <c r="IF123" i="43"/>
  <c r="IF124" i="43"/>
  <c r="IF125" i="43"/>
  <c r="IF126" i="43"/>
  <c r="IF127" i="43"/>
  <c r="IF128" i="43"/>
  <c r="IF129" i="43"/>
  <c r="IF130" i="43"/>
  <c r="IF131" i="43"/>
  <c r="IF132" i="43"/>
  <c r="IF133" i="43"/>
  <c r="IF134" i="43"/>
  <c r="IF135" i="43"/>
  <c r="IF136" i="43"/>
  <c r="IF137" i="43"/>
  <c r="IF138" i="43"/>
  <c r="IF139" i="43"/>
  <c r="IF140" i="43"/>
  <c r="IF141" i="43"/>
  <c r="IF142" i="43"/>
  <c r="IF143" i="43"/>
  <c r="IF144" i="43"/>
  <c r="IF145" i="43"/>
  <c r="IF146" i="43"/>
  <c r="IF147" i="43"/>
  <c r="IF148" i="43"/>
  <c r="IF149" i="43"/>
  <c r="IF150" i="43"/>
  <c r="IF151" i="43"/>
  <c r="IF152" i="43"/>
  <c r="IF153" i="43"/>
  <c r="IF154" i="43"/>
  <c r="IF155" i="43"/>
  <c r="IF156" i="43"/>
  <c r="IF157" i="43"/>
  <c r="IF158" i="43"/>
  <c r="IF159" i="43"/>
  <c r="IF160" i="43"/>
  <c r="IF161" i="43"/>
  <c r="IF162" i="43"/>
  <c r="IF163" i="43"/>
  <c r="IF164" i="43"/>
  <c r="IF165" i="43"/>
  <c r="IF166" i="43"/>
  <c r="IF167" i="43"/>
  <c r="IF168" i="43"/>
  <c r="IF169" i="43"/>
  <c r="IF170" i="43"/>
  <c r="IF171" i="43"/>
  <c r="IF172" i="43"/>
  <c r="IF173" i="43"/>
  <c r="IF174" i="43"/>
  <c r="IF175" i="43"/>
  <c r="IF176" i="43"/>
  <c r="IF177" i="43"/>
  <c r="IF178" i="43"/>
  <c r="IF179" i="43"/>
  <c r="IF180" i="43"/>
  <c r="IF181" i="43"/>
  <c r="IF182" i="43"/>
  <c r="IF183" i="43"/>
  <c r="IF184" i="43"/>
  <c r="IF185" i="43"/>
  <c r="IF186" i="43"/>
  <c r="IF187" i="43"/>
  <c r="IF188" i="43"/>
  <c r="IF189" i="43"/>
  <c r="IF190" i="43"/>
  <c r="IF191" i="43"/>
  <c r="IF192" i="43"/>
  <c r="IF193" i="43"/>
  <c r="IF194" i="43"/>
  <c r="IF195" i="43"/>
  <c r="IF196" i="43"/>
  <c r="IF197" i="43"/>
  <c r="IF198" i="43"/>
  <c r="IF199" i="43"/>
  <c r="IF200" i="43"/>
  <c r="IF201" i="43"/>
  <c r="IF202" i="43"/>
  <c r="IF203" i="43"/>
  <c r="IF204" i="43"/>
  <c r="IF205" i="43"/>
  <c r="IF206" i="43"/>
  <c r="IF207" i="43"/>
  <c r="IF208" i="43"/>
  <c r="IF209" i="43"/>
  <c r="IF210" i="43"/>
  <c r="IF211" i="43"/>
  <c r="IF212" i="43"/>
  <c r="IF213" i="43"/>
  <c r="IF214" i="43"/>
  <c r="IF215" i="43"/>
  <c r="IF216" i="43"/>
  <c r="IF217" i="43"/>
  <c r="IF218" i="43"/>
  <c r="IF219" i="43"/>
  <c r="IF220" i="43"/>
  <c r="IF221" i="43"/>
  <c r="IF222" i="43"/>
  <c r="IF223" i="43"/>
  <c r="IF224" i="43"/>
  <c r="IF225" i="43"/>
  <c r="IF226" i="43"/>
  <c r="IF227" i="43"/>
  <c r="IF228" i="43"/>
  <c r="IF229" i="43"/>
  <c r="IF230" i="43"/>
  <c r="IF231" i="43"/>
  <c r="IF232" i="43"/>
  <c r="IF233" i="43"/>
  <c r="IF234" i="43"/>
  <c r="IF235" i="43"/>
  <c r="IF236" i="43"/>
  <c r="IF237" i="43"/>
  <c r="IF238" i="43"/>
  <c r="IF239" i="43"/>
  <c r="IF240" i="43"/>
  <c r="IF241" i="43"/>
  <c r="IF242" i="43"/>
  <c r="IF243" i="43"/>
  <c r="IF244" i="43"/>
  <c r="IF245" i="43"/>
  <c r="IF246" i="43"/>
  <c r="IF247" i="43"/>
  <c r="IF248" i="43"/>
  <c r="IF249" i="43"/>
  <c r="IF250" i="43"/>
  <c r="IF251" i="43"/>
  <c r="IF252" i="43"/>
  <c r="IF253" i="43"/>
  <c r="IF254" i="43"/>
  <c r="IF255" i="43"/>
  <c r="IF256" i="43"/>
  <c r="IF257" i="43"/>
  <c r="IF258" i="43"/>
  <c r="IF259" i="43"/>
  <c r="IF260" i="43"/>
  <c r="IF261" i="43"/>
  <c r="IF262" i="43"/>
  <c r="IF263" i="43"/>
  <c r="IF264" i="43"/>
  <c r="IF265" i="43"/>
  <c r="IF266" i="43"/>
  <c r="IF267" i="43"/>
  <c r="IF268" i="43"/>
  <c r="IF269" i="43"/>
  <c r="IF270" i="43"/>
  <c r="IF271" i="43"/>
  <c r="IF272" i="43"/>
  <c r="IF273" i="43"/>
  <c r="IF274" i="43"/>
  <c r="IF275" i="43"/>
  <c r="IF276" i="43"/>
  <c r="IF277" i="43"/>
  <c r="IF278" i="43"/>
  <c r="IF279" i="43"/>
  <c r="IF280" i="43"/>
  <c r="IF281" i="43"/>
  <c r="IF282" i="43"/>
  <c r="IF283" i="43"/>
  <c r="IF284" i="43"/>
  <c r="IF285" i="43"/>
  <c r="IF286" i="43"/>
  <c r="IF287" i="43"/>
  <c r="IF288" i="43"/>
  <c r="IF289" i="43"/>
  <c r="IF290" i="43"/>
  <c r="IF291" i="43"/>
  <c r="IF292" i="43"/>
  <c r="IF293" i="43"/>
  <c r="IF294" i="43"/>
  <c r="IF295" i="43"/>
  <c r="IF296" i="43"/>
  <c r="IF297" i="43"/>
  <c r="IF298" i="43"/>
  <c r="IF299" i="43"/>
  <c r="IF300" i="43"/>
  <c r="IF301" i="43"/>
  <c r="IF302" i="43"/>
  <c r="IF303" i="43"/>
  <c r="IF304" i="43"/>
  <c r="IF305" i="43"/>
  <c r="IF306" i="43"/>
  <c r="IF307" i="43"/>
  <c r="IF308" i="43"/>
  <c r="IF309" i="43"/>
  <c r="IF310" i="43"/>
  <c r="IF311" i="43"/>
  <c r="IF312" i="43"/>
  <c r="IF313" i="43"/>
  <c r="IF314" i="43"/>
  <c r="IF315" i="43"/>
  <c r="IF316" i="43"/>
  <c r="IF317" i="43"/>
  <c r="IF318" i="43"/>
  <c r="IF319" i="43"/>
  <c r="IF320" i="43"/>
  <c r="IF321" i="43"/>
  <c r="IF322" i="43"/>
  <c r="IF323" i="43"/>
  <c r="IF324" i="43"/>
  <c r="IF325" i="43"/>
  <c r="IF326" i="43"/>
  <c r="IF327" i="43"/>
  <c r="IF328" i="43"/>
  <c r="IF329" i="43"/>
  <c r="IF330" i="43"/>
  <c r="IF331" i="43"/>
  <c r="IF332" i="43"/>
  <c r="IF333" i="43"/>
  <c r="IF334" i="43"/>
  <c r="IF335" i="43"/>
  <c r="IF336" i="43"/>
  <c r="IF337" i="43"/>
  <c r="IF338" i="43"/>
  <c r="IF339" i="43"/>
  <c r="IF340" i="43"/>
  <c r="IF341" i="43"/>
  <c r="IF342" i="43"/>
  <c r="IF343" i="43"/>
  <c r="IF344" i="43"/>
  <c r="IF345" i="43"/>
  <c r="IF346" i="43"/>
  <c r="IF347" i="43"/>
  <c r="IF348" i="43"/>
  <c r="IF349" i="43"/>
  <c r="IF350" i="43"/>
  <c r="IF351" i="43"/>
  <c r="IF352" i="43"/>
  <c r="IF353" i="43"/>
  <c r="IF354" i="43"/>
  <c r="IF355" i="43"/>
  <c r="IF356" i="43"/>
  <c r="IF357" i="43"/>
  <c r="IF358" i="43"/>
  <c r="IF359" i="43"/>
  <c r="IF360" i="43"/>
  <c r="IF361" i="43"/>
  <c r="IF362" i="43"/>
  <c r="IF363" i="43"/>
  <c r="IF364" i="43"/>
  <c r="IF365" i="43"/>
  <c r="IF366" i="43"/>
  <c r="IF367" i="43"/>
  <c r="IF368" i="43"/>
  <c r="IF369" i="43"/>
  <c r="IF370" i="43"/>
  <c r="IF371" i="43"/>
  <c r="IF372" i="43"/>
  <c r="IF373" i="43"/>
  <c r="IF374" i="43"/>
  <c r="IF375" i="43"/>
  <c r="IF376" i="43"/>
  <c r="IF12" i="43"/>
  <c r="IE132" i="43"/>
  <c r="IE133" i="43"/>
  <c r="IE134" i="43"/>
  <c r="IE135" i="43"/>
  <c r="IE136" i="43"/>
  <c r="IE137" i="43"/>
  <c r="IE138" i="43"/>
  <c r="IE139" i="43"/>
  <c r="IE140" i="43"/>
  <c r="IE141" i="43"/>
  <c r="IE142" i="43"/>
  <c r="IE143" i="43"/>
  <c r="IE144" i="43"/>
  <c r="IE145" i="43"/>
  <c r="IE146" i="43"/>
  <c r="IE147" i="43"/>
  <c r="IE148" i="43"/>
  <c r="IE149" i="43"/>
  <c r="IE150" i="43"/>
  <c r="IE151" i="43"/>
  <c r="IE152" i="43"/>
  <c r="IE153" i="43"/>
  <c r="IE154" i="43"/>
  <c r="IE155" i="43"/>
  <c r="IE156" i="43"/>
  <c r="IE157" i="43"/>
  <c r="IE158" i="43"/>
  <c r="IE159" i="43"/>
  <c r="IE160" i="43"/>
  <c r="IE161" i="43"/>
  <c r="IE162" i="43"/>
  <c r="IE163" i="43"/>
  <c r="IE164" i="43"/>
  <c r="IE165" i="43"/>
  <c r="IE166" i="43"/>
  <c r="IE167" i="43"/>
  <c r="IE168" i="43"/>
  <c r="IE169" i="43"/>
  <c r="IE170" i="43"/>
  <c r="IE171" i="43"/>
  <c r="IE172" i="43"/>
  <c r="IE173" i="43"/>
  <c r="IE174" i="43"/>
  <c r="IE175" i="43"/>
  <c r="IE176" i="43"/>
  <c r="IE177" i="43"/>
  <c r="IE178" i="43"/>
  <c r="IE179" i="43"/>
  <c r="IE180" i="43"/>
  <c r="IE181" i="43"/>
  <c r="IE182" i="43"/>
  <c r="IE183" i="43"/>
  <c r="IE184" i="43"/>
  <c r="IE185" i="43"/>
  <c r="IE186" i="43"/>
  <c r="IE187" i="43"/>
  <c r="IE188" i="43"/>
  <c r="IE189" i="43"/>
  <c r="IE190" i="43"/>
  <c r="IE191" i="43"/>
  <c r="IE192" i="43"/>
  <c r="IE193" i="43"/>
  <c r="IE194" i="43"/>
  <c r="IE195" i="43"/>
  <c r="IE196" i="43"/>
  <c r="IE197" i="43"/>
  <c r="IE198" i="43"/>
  <c r="IE199" i="43"/>
  <c r="IE200" i="43"/>
  <c r="IE201" i="43"/>
  <c r="IE202" i="43"/>
  <c r="IE203" i="43"/>
  <c r="IE204" i="43"/>
  <c r="IE205" i="43"/>
  <c r="IE206" i="43"/>
  <c r="IE207" i="43"/>
  <c r="IE208" i="43"/>
  <c r="IE209" i="43"/>
  <c r="IE210" i="43"/>
  <c r="IE211" i="43"/>
  <c r="IE212" i="43"/>
  <c r="IE213" i="43"/>
  <c r="IE214" i="43"/>
  <c r="IE215" i="43"/>
  <c r="IE216" i="43"/>
  <c r="IE217" i="43"/>
  <c r="IE218" i="43"/>
  <c r="IE219" i="43"/>
  <c r="IE220" i="43"/>
  <c r="IE221" i="43"/>
  <c r="IE222" i="43"/>
  <c r="IE223" i="43"/>
  <c r="IE224" i="43"/>
  <c r="IE225" i="43"/>
  <c r="IE226" i="43"/>
  <c r="IE227" i="43"/>
  <c r="IE228" i="43"/>
  <c r="IE229" i="43"/>
  <c r="IE230" i="43"/>
  <c r="IE231" i="43"/>
  <c r="IE232" i="43"/>
  <c r="IE233" i="43"/>
  <c r="IE234" i="43"/>
  <c r="IE235" i="43"/>
  <c r="IE236" i="43"/>
  <c r="IE237" i="43"/>
  <c r="IE238" i="43"/>
  <c r="IE239" i="43"/>
  <c r="IE240" i="43"/>
  <c r="IE241" i="43"/>
  <c r="IE242" i="43"/>
  <c r="IE243" i="43"/>
  <c r="IE244" i="43"/>
  <c r="IE245" i="43"/>
  <c r="IE246" i="43"/>
  <c r="IE247" i="43"/>
  <c r="IE248" i="43"/>
  <c r="IE249" i="43"/>
  <c r="IE250" i="43"/>
  <c r="IE251" i="43"/>
  <c r="IE252" i="43"/>
  <c r="IE253" i="43"/>
  <c r="IE254" i="43"/>
  <c r="IE255" i="43"/>
  <c r="IE256" i="43"/>
  <c r="IE257" i="43"/>
  <c r="IE258" i="43"/>
  <c r="IE259" i="43"/>
  <c r="IE260" i="43"/>
  <c r="IE261" i="43"/>
  <c r="IE262" i="43"/>
  <c r="IE263" i="43"/>
  <c r="IE264" i="43"/>
  <c r="IE265" i="43"/>
  <c r="IE266" i="43"/>
  <c r="IE267" i="43"/>
  <c r="IE268" i="43"/>
  <c r="IE269" i="43"/>
  <c r="IE270" i="43"/>
  <c r="IE271" i="43"/>
  <c r="IE272" i="43"/>
  <c r="IE273" i="43"/>
  <c r="IE274" i="43"/>
  <c r="IE275" i="43"/>
  <c r="IE276" i="43"/>
  <c r="IE277" i="43"/>
  <c r="IE278" i="43"/>
  <c r="IE279" i="43"/>
  <c r="IE280" i="43"/>
  <c r="IE281" i="43"/>
  <c r="IE282" i="43"/>
  <c r="IE283" i="43"/>
  <c r="IE284" i="43"/>
  <c r="IE285" i="43"/>
  <c r="IE286" i="43"/>
  <c r="IE287" i="43"/>
  <c r="IE288" i="43"/>
  <c r="IE289" i="43"/>
  <c r="IE290" i="43"/>
  <c r="IE291" i="43"/>
  <c r="IE292" i="43"/>
  <c r="IE293" i="43"/>
  <c r="IE294" i="43"/>
  <c r="IE295" i="43"/>
  <c r="IE296" i="43"/>
  <c r="IE297" i="43"/>
  <c r="IE298" i="43"/>
  <c r="IE299" i="43"/>
  <c r="IE300" i="43"/>
  <c r="IE301" i="43"/>
  <c r="IE302" i="43"/>
  <c r="IE303" i="43"/>
  <c r="IE304" i="43"/>
  <c r="IE305" i="43"/>
  <c r="IE306" i="43"/>
  <c r="IE307" i="43"/>
  <c r="IE308" i="43"/>
  <c r="IE309" i="43"/>
  <c r="IE310" i="43"/>
  <c r="IE311" i="43"/>
  <c r="IE312" i="43"/>
  <c r="IE313" i="43"/>
  <c r="IE314" i="43"/>
  <c r="IE315" i="43"/>
  <c r="IE316" i="43"/>
  <c r="IE317" i="43"/>
  <c r="IE318" i="43"/>
  <c r="IE319" i="43"/>
  <c r="IE320" i="43"/>
  <c r="IE321" i="43"/>
  <c r="IE322" i="43"/>
  <c r="IE323" i="43"/>
  <c r="IE324" i="43"/>
  <c r="IE325" i="43"/>
  <c r="IE326" i="43"/>
  <c r="IE327" i="43"/>
  <c r="IE328" i="43"/>
  <c r="IE329" i="43"/>
  <c r="IE330" i="43"/>
  <c r="IE331" i="43"/>
  <c r="IE332" i="43"/>
  <c r="IE333" i="43"/>
  <c r="IE334" i="43"/>
  <c r="IE335" i="43"/>
  <c r="IE336" i="43"/>
  <c r="IE337" i="43"/>
  <c r="IE338" i="43"/>
  <c r="IE339" i="43"/>
  <c r="IE340" i="43"/>
  <c r="IE341" i="43"/>
  <c r="IE342" i="43"/>
  <c r="IE343" i="43"/>
  <c r="IE344" i="43"/>
  <c r="IE345" i="43"/>
  <c r="IE346" i="43"/>
  <c r="IE347" i="43"/>
  <c r="IE348" i="43"/>
  <c r="IE349" i="43"/>
  <c r="IE350" i="43"/>
  <c r="IE351" i="43"/>
  <c r="IE352" i="43"/>
  <c r="IE353" i="43"/>
  <c r="IE354" i="43"/>
  <c r="IE355" i="43"/>
  <c r="IE356" i="43"/>
  <c r="IE357" i="43"/>
  <c r="IE358" i="43"/>
  <c r="IE359" i="43"/>
  <c r="IE360" i="43"/>
  <c r="IE361" i="43"/>
  <c r="IE362" i="43"/>
  <c r="IE363" i="43"/>
  <c r="IE364" i="43"/>
  <c r="IE365" i="43"/>
  <c r="IE366" i="43"/>
  <c r="IE367" i="43"/>
  <c r="IE368" i="43"/>
  <c r="IE369" i="43"/>
  <c r="IE370" i="43"/>
  <c r="IE371" i="43"/>
  <c r="IE372" i="43"/>
  <c r="IE373" i="43"/>
  <c r="IE374" i="43"/>
  <c r="IE375" i="43"/>
  <c r="IE376" i="43"/>
  <c r="IA12" i="43" l="1"/>
  <c r="HY13" i="43"/>
  <c r="HY14" i="43"/>
  <c r="HY15" i="43"/>
  <c r="HY16" i="43"/>
  <c r="HY17" i="43"/>
  <c r="HY18" i="43"/>
  <c r="HY19" i="43"/>
  <c r="HY20" i="43"/>
  <c r="HY21" i="43"/>
  <c r="HY22" i="43"/>
  <c r="HY23" i="43"/>
  <c r="HY24" i="43"/>
  <c r="HY25" i="43"/>
  <c r="HY26" i="43"/>
  <c r="HY27" i="43"/>
  <c r="HY28" i="43"/>
  <c r="HY29" i="43"/>
  <c r="HY30" i="43"/>
  <c r="HY31" i="43"/>
  <c r="HY32" i="43"/>
  <c r="HY33" i="43"/>
  <c r="HY34" i="43"/>
  <c r="HY35" i="43"/>
  <c r="HY36" i="43"/>
  <c r="HY37" i="43"/>
  <c r="HY38" i="43"/>
  <c r="HY39" i="43"/>
  <c r="HY40" i="43"/>
  <c r="HY41" i="43"/>
  <c r="HY42" i="43"/>
  <c r="HY43" i="43"/>
  <c r="HY44" i="43"/>
  <c r="HY45" i="43"/>
  <c r="HY46" i="43"/>
  <c r="HY47" i="43"/>
  <c r="HY48" i="43"/>
  <c r="HY49" i="43"/>
  <c r="HY50" i="43"/>
  <c r="HY51" i="43"/>
  <c r="HY52" i="43"/>
  <c r="HY53" i="43"/>
  <c r="HY54" i="43"/>
  <c r="HY55" i="43"/>
  <c r="HY56" i="43"/>
  <c r="HY57" i="43"/>
  <c r="HY58" i="43"/>
  <c r="HY59" i="43"/>
  <c r="HY60" i="43"/>
  <c r="HY61" i="43"/>
  <c r="HY62" i="43"/>
  <c r="HY63" i="43"/>
  <c r="HY64" i="43"/>
  <c r="HY65" i="43"/>
  <c r="HY66" i="43"/>
  <c r="HY67" i="43"/>
  <c r="HY68" i="43"/>
  <c r="HY69" i="43"/>
  <c r="HY70" i="43"/>
  <c r="HY71" i="43"/>
  <c r="HY72" i="43"/>
  <c r="HY73" i="43"/>
  <c r="HY74" i="43"/>
  <c r="HY75" i="43"/>
  <c r="HY76" i="43"/>
  <c r="HY77" i="43"/>
  <c r="HY78" i="43"/>
  <c r="HY79" i="43"/>
  <c r="HY80" i="43"/>
  <c r="HY81" i="43"/>
  <c r="HY82" i="43"/>
  <c r="HY83" i="43"/>
  <c r="HY84" i="43"/>
  <c r="HY85" i="43"/>
  <c r="HY86" i="43"/>
  <c r="HY87" i="43"/>
  <c r="HY88" i="43"/>
  <c r="HY89" i="43"/>
  <c r="HY90" i="43"/>
  <c r="HY91" i="43"/>
  <c r="HY92" i="43"/>
  <c r="HY93" i="43"/>
  <c r="HY94" i="43"/>
  <c r="HY95" i="43"/>
  <c r="HY96" i="43"/>
  <c r="HY97" i="43"/>
  <c r="HY98" i="43"/>
  <c r="HY99" i="43"/>
  <c r="HY100" i="43"/>
  <c r="HY101" i="43"/>
  <c r="HY102" i="43"/>
  <c r="HY103" i="43"/>
  <c r="HY104" i="43"/>
  <c r="HY105" i="43"/>
  <c r="HY106" i="43"/>
  <c r="HY107" i="43"/>
  <c r="HY108" i="43"/>
  <c r="HY109" i="43"/>
  <c r="HY110" i="43"/>
  <c r="HY111" i="43"/>
  <c r="HY112" i="43"/>
  <c r="HY113" i="43"/>
  <c r="HY114" i="43"/>
  <c r="HY115" i="43"/>
  <c r="HY116" i="43"/>
  <c r="HY117" i="43"/>
  <c r="HY118" i="43"/>
  <c r="HY119" i="43"/>
  <c r="HY120" i="43"/>
  <c r="HY121" i="43"/>
  <c r="HY122" i="43"/>
  <c r="HY123" i="43"/>
  <c r="HY124" i="43"/>
  <c r="HY125" i="43"/>
  <c r="HY126" i="43"/>
  <c r="HY127" i="43"/>
  <c r="HY128" i="43"/>
  <c r="HY129" i="43"/>
  <c r="HY130" i="43"/>
  <c r="HY131" i="43"/>
  <c r="HY132" i="43"/>
  <c r="HY133" i="43"/>
  <c r="HY134" i="43"/>
  <c r="HY135" i="43"/>
  <c r="HY136" i="43"/>
  <c r="HY137" i="43"/>
  <c r="HY138" i="43"/>
  <c r="HY139" i="43"/>
  <c r="HY140" i="43"/>
  <c r="HY141" i="43"/>
  <c r="HY142" i="43"/>
  <c r="HY143" i="43"/>
  <c r="HY144" i="43"/>
  <c r="HY145" i="43"/>
  <c r="HY146" i="43"/>
  <c r="HY147" i="43"/>
  <c r="HY148" i="43"/>
  <c r="HY149" i="43"/>
  <c r="HY150" i="43"/>
  <c r="HY151" i="43"/>
  <c r="HY152" i="43"/>
  <c r="HY153" i="43"/>
  <c r="HY154" i="43"/>
  <c r="HY155" i="43"/>
  <c r="HY156" i="43"/>
  <c r="HY157" i="43"/>
  <c r="HY158" i="43"/>
  <c r="HY159" i="43"/>
  <c r="HY160" i="43"/>
  <c r="HY161" i="43"/>
  <c r="HY162" i="43"/>
  <c r="HY163" i="43"/>
  <c r="HY164" i="43"/>
  <c r="HY165" i="43"/>
  <c r="HY166" i="43"/>
  <c r="HY167" i="43"/>
  <c r="HY168" i="43"/>
  <c r="HY169" i="43"/>
  <c r="HY170" i="43"/>
  <c r="HY171" i="43"/>
  <c r="HY172" i="43"/>
  <c r="HY173" i="43"/>
  <c r="HY174" i="43"/>
  <c r="HY175" i="43"/>
  <c r="HY176" i="43"/>
  <c r="HY177" i="43"/>
  <c r="HY178" i="43"/>
  <c r="HY179" i="43"/>
  <c r="HY180" i="43"/>
  <c r="HY181" i="43"/>
  <c r="HY182" i="43"/>
  <c r="HY183" i="43"/>
  <c r="HY184" i="43"/>
  <c r="HY185" i="43"/>
  <c r="HY186" i="43"/>
  <c r="HY187" i="43"/>
  <c r="HY188" i="43"/>
  <c r="HY189" i="43"/>
  <c r="HY190" i="43"/>
  <c r="HY191" i="43"/>
  <c r="HY192" i="43"/>
  <c r="HY193" i="43"/>
  <c r="HY194" i="43"/>
  <c r="HY195" i="43"/>
  <c r="HY196" i="43"/>
  <c r="HY197" i="43"/>
  <c r="HY198" i="43"/>
  <c r="HY199" i="43"/>
  <c r="HY200" i="43"/>
  <c r="HY201" i="43"/>
  <c r="HY202" i="43"/>
  <c r="HY203" i="43"/>
  <c r="HY204" i="43"/>
  <c r="HY205" i="43"/>
  <c r="HY206" i="43"/>
  <c r="HY208" i="43"/>
  <c r="HY209" i="43"/>
  <c r="HY210" i="43"/>
  <c r="HY211" i="43"/>
  <c r="HY212" i="43"/>
  <c r="HY213" i="43"/>
  <c r="HY214" i="43"/>
  <c r="HY215" i="43"/>
  <c r="HY216" i="43"/>
  <c r="HY217" i="43"/>
  <c r="HY218" i="43"/>
  <c r="HY219" i="43"/>
  <c r="HY220" i="43"/>
  <c r="HY221" i="43"/>
  <c r="HY222" i="43"/>
  <c r="HY223" i="43"/>
  <c r="HY224" i="43"/>
  <c r="HY225" i="43"/>
  <c r="HY226" i="43"/>
  <c r="HY227" i="43"/>
  <c r="HY228" i="43"/>
  <c r="HY229" i="43"/>
  <c r="HY230" i="43"/>
  <c r="HY231" i="43"/>
  <c r="HY232" i="43"/>
  <c r="HY233" i="43"/>
  <c r="HY234" i="43"/>
  <c r="HY235" i="43"/>
  <c r="HY236" i="43"/>
  <c r="HY237" i="43"/>
  <c r="HY238" i="43"/>
  <c r="HY239" i="43"/>
  <c r="HY240" i="43"/>
  <c r="HY241" i="43"/>
  <c r="HY242" i="43"/>
  <c r="HY243" i="43"/>
  <c r="HY244" i="43"/>
  <c r="HY245" i="43"/>
  <c r="HY246" i="43"/>
  <c r="HY247" i="43"/>
  <c r="HY248" i="43"/>
  <c r="HY249" i="43"/>
  <c r="HY250" i="43"/>
  <c r="HY251" i="43"/>
  <c r="HY252" i="43"/>
  <c r="HY253" i="43"/>
  <c r="HY254" i="43"/>
  <c r="HY255" i="43"/>
  <c r="HY256" i="43"/>
  <c r="HY257" i="43"/>
  <c r="HY258" i="43"/>
  <c r="HY259" i="43"/>
  <c r="HY260" i="43"/>
  <c r="HY261" i="43"/>
  <c r="HY262" i="43"/>
  <c r="HY263" i="43"/>
  <c r="HY264" i="43"/>
  <c r="HY265" i="43"/>
  <c r="HY266" i="43"/>
  <c r="HY267" i="43"/>
  <c r="HY268" i="43"/>
  <c r="HY269" i="43"/>
  <c r="HY270" i="43"/>
  <c r="HY271" i="43"/>
  <c r="HY272" i="43"/>
  <c r="HY273" i="43"/>
  <c r="HY274" i="43"/>
  <c r="HY275" i="43"/>
  <c r="HY276" i="43"/>
  <c r="HY277" i="43"/>
  <c r="HY278" i="43"/>
  <c r="HY279" i="43"/>
  <c r="HY280" i="43"/>
  <c r="HY281" i="43"/>
  <c r="HY282" i="43"/>
  <c r="HY283" i="43"/>
  <c r="HY284" i="43"/>
  <c r="HY285" i="43"/>
  <c r="HY286" i="43"/>
  <c r="HY287" i="43"/>
  <c r="HY288" i="43"/>
  <c r="HY289" i="43"/>
  <c r="HY290" i="43"/>
  <c r="HY291" i="43"/>
  <c r="HY292" i="43"/>
  <c r="HY293" i="43"/>
  <c r="HY294" i="43"/>
  <c r="HY295" i="43"/>
  <c r="HY296" i="43"/>
  <c r="HY297" i="43"/>
  <c r="HY298" i="43"/>
  <c r="HY299" i="43"/>
  <c r="HY300" i="43"/>
  <c r="HY301" i="43"/>
  <c r="HY302" i="43"/>
  <c r="HY303" i="43"/>
  <c r="HY304" i="43"/>
  <c r="HY305" i="43"/>
  <c r="HY306" i="43"/>
  <c r="HY307" i="43"/>
  <c r="HY308" i="43"/>
  <c r="HY309" i="43"/>
  <c r="HY310" i="43"/>
  <c r="HY311" i="43"/>
  <c r="HY312" i="43"/>
  <c r="HY313" i="43"/>
  <c r="HY314" i="43"/>
  <c r="HY315" i="43"/>
  <c r="HY316" i="43"/>
  <c r="HY317" i="43"/>
  <c r="HY318" i="43"/>
  <c r="HY319" i="43"/>
  <c r="HY320" i="43"/>
  <c r="HY321" i="43"/>
  <c r="HY322" i="43"/>
  <c r="HY323" i="43"/>
  <c r="HY324" i="43"/>
  <c r="HY325" i="43"/>
  <c r="HY326" i="43"/>
  <c r="HY327" i="43"/>
  <c r="HY328" i="43"/>
  <c r="HY329" i="43"/>
  <c r="HY330" i="43"/>
  <c r="HY331" i="43"/>
  <c r="HY332" i="43"/>
  <c r="HY333" i="43"/>
  <c r="HY334" i="43"/>
  <c r="HY335" i="43"/>
  <c r="HY336" i="43"/>
  <c r="HY337" i="43"/>
  <c r="HY338" i="43"/>
  <c r="HY339" i="43"/>
  <c r="HY340" i="43"/>
  <c r="HY341" i="43"/>
  <c r="HY342" i="43"/>
  <c r="HY343" i="43"/>
  <c r="HY344" i="43"/>
  <c r="HY345" i="43"/>
  <c r="HY346" i="43"/>
  <c r="HY347" i="43"/>
  <c r="HY348" i="43"/>
  <c r="HY349" i="43"/>
  <c r="HY350" i="43"/>
  <c r="HY351" i="43"/>
  <c r="HY352" i="43"/>
  <c r="HY353" i="43"/>
  <c r="HY354" i="43"/>
  <c r="HY355" i="43"/>
  <c r="HY356" i="43"/>
  <c r="HY357" i="43"/>
  <c r="HY358" i="43"/>
  <c r="HY359" i="43"/>
  <c r="HY360" i="43"/>
  <c r="HY361" i="43"/>
  <c r="HY362" i="43"/>
  <c r="HY363" i="43"/>
  <c r="HY364" i="43"/>
  <c r="HY365" i="43"/>
  <c r="HY366" i="43"/>
  <c r="HY367" i="43"/>
  <c r="HY368" i="43"/>
  <c r="HY369" i="43"/>
  <c r="HY370" i="43"/>
  <c r="HY371" i="43"/>
  <c r="HY372" i="43"/>
  <c r="HY373" i="43"/>
  <c r="HY374" i="43"/>
  <c r="HY375" i="43"/>
  <c r="HY376" i="43"/>
  <c r="HY12" i="43"/>
  <c r="HT12" i="43"/>
  <c r="DS280" i="43" l="1"/>
  <c r="CB378" i="24" l="1"/>
  <c r="CC378" i="24" l="1"/>
  <c r="BR13" i="24" l="1"/>
  <c r="BS13" i="24"/>
  <c r="BU13" i="24"/>
  <c r="BV13" i="24"/>
  <c r="BX13" i="24"/>
  <c r="BR14" i="24"/>
  <c r="BS14" i="24"/>
  <c r="BU14" i="24"/>
  <c r="BV14" i="24"/>
  <c r="BX14" i="24"/>
  <c r="BR15" i="24"/>
  <c r="BS15" i="24"/>
  <c r="BU15" i="24"/>
  <c r="BV15" i="24"/>
  <c r="BX15" i="24"/>
  <c r="BR16" i="24"/>
  <c r="BS16" i="24"/>
  <c r="BU16" i="24"/>
  <c r="BV16" i="24"/>
  <c r="BX16" i="24"/>
  <c r="BR17" i="24"/>
  <c r="BS17" i="24"/>
  <c r="BU17" i="24"/>
  <c r="BV17" i="24"/>
  <c r="BX17" i="24"/>
  <c r="BR18" i="24"/>
  <c r="BS18" i="24"/>
  <c r="BU18" i="24"/>
  <c r="BV18" i="24"/>
  <c r="BX18" i="24"/>
  <c r="BR19" i="24"/>
  <c r="BS19" i="24"/>
  <c r="BU19" i="24"/>
  <c r="BV19" i="24"/>
  <c r="BX19" i="24"/>
  <c r="BR20" i="24"/>
  <c r="BS20" i="24"/>
  <c r="BU20" i="24"/>
  <c r="BV20" i="24"/>
  <c r="BX20" i="24"/>
  <c r="BR21" i="24"/>
  <c r="BS21" i="24"/>
  <c r="BU21" i="24"/>
  <c r="BV21" i="24"/>
  <c r="BX21" i="24"/>
  <c r="BR22" i="24"/>
  <c r="BS22" i="24"/>
  <c r="BU22" i="24"/>
  <c r="BV22" i="24"/>
  <c r="BX22" i="24"/>
  <c r="BR23" i="24"/>
  <c r="BS23" i="24"/>
  <c r="BU23" i="24"/>
  <c r="BV23" i="24"/>
  <c r="BX23" i="24"/>
  <c r="BR24" i="24"/>
  <c r="BS24" i="24"/>
  <c r="BU24" i="24"/>
  <c r="BV24" i="24"/>
  <c r="BX24" i="24"/>
  <c r="BR25" i="24"/>
  <c r="BS25" i="24"/>
  <c r="BU25" i="24"/>
  <c r="BV25" i="24"/>
  <c r="BX25" i="24"/>
  <c r="BR26" i="24"/>
  <c r="BS26" i="24"/>
  <c r="BU26" i="24"/>
  <c r="BV26" i="24"/>
  <c r="BX26" i="24"/>
  <c r="BR27" i="24"/>
  <c r="BS27" i="24"/>
  <c r="BU27" i="24"/>
  <c r="BV27" i="24"/>
  <c r="BX27" i="24"/>
  <c r="BR28" i="24"/>
  <c r="BS28" i="24"/>
  <c r="BU28" i="24"/>
  <c r="BV28" i="24"/>
  <c r="BX28" i="24"/>
  <c r="BR29" i="24"/>
  <c r="BS29" i="24"/>
  <c r="BU29" i="24"/>
  <c r="BV29" i="24"/>
  <c r="BX29" i="24"/>
  <c r="BR30" i="24"/>
  <c r="BS30" i="24"/>
  <c r="BU30" i="24"/>
  <c r="BV30" i="24"/>
  <c r="BX30" i="24"/>
  <c r="BR31" i="24"/>
  <c r="BS31" i="24"/>
  <c r="BU31" i="24"/>
  <c r="BV31" i="24"/>
  <c r="BX31" i="24"/>
  <c r="BR32" i="24"/>
  <c r="BS32" i="24"/>
  <c r="BU32" i="24"/>
  <c r="BV32" i="24"/>
  <c r="BX32" i="24"/>
  <c r="BR33" i="24"/>
  <c r="BS33" i="24"/>
  <c r="BU33" i="24"/>
  <c r="BV33" i="24"/>
  <c r="BX33" i="24"/>
  <c r="BR34" i="24"/>
  <c r="BS34" i="24"/>
  <c r="BU34" i="24"/>
  <c r="BV34" i="24"/>
  <c r="BX34" i="24"/>
  <c r="BR35" i="24"/>
  <c r="BS35" i="24"/>
  <c r="BU35" i="24"/>
  <c r="BV35" i="24"/>
  <c r="BX35" i="24"/>
  <c r="BR36" i="24"/>
  <c r="BS36" i="24"/>
  <c r="BU36" i="24"/>
  <c r="BV36" i="24"/>
  <c r="BX36" i="24"/>
  <c r="BR37" i="24"/>
  <c r="BS37" i="24"/>
  <c r="BU37" i="24"/>
  <c r="BV37" i="24"/>
  <c r="BX37" i="24"/>
  <c r="BR38" i="24"/>
  <c r="BS38" i="24"/>
  <c r="BU38" i="24"/>
  <c r="BV38" i="24"/>
  <c r="BX38" i="24"/>
  <c r="BR39" i="24"/>
  <c r="BS39" i="24"/>
  <c r="BU39" i="24"/>
  <c r="BV39" i="24"/>
  <c r="BX39" i="24"/>
  <c r="BR40" i="24"/>
  <c r="BS40" i="24"/>
  <c r="BU40" i="24"/>
  <c r="BV40" i="24"/>
  <c r="BX40" i="24"/>
  <c r="BR41" i="24"/>
  <c r="BS41" i="24"/>
  <c r="BU41" i="24"/>
  <c r="BV41" i="24"/>
  <c r="BX41" i="24"/>
  <c r="BR42" i="24"/>
  <c r="BS42" i="24"/>
  <c r="BU42" i="24"/>
  <c r="BV42" i="24"/>
  <c r="BX42" i="24"/>
  <c r="BR43" i="24"/>
  <c r="BS43" i="24"/>
  <c r="BU43" i="24"/>
  <c r="BV43" i="24"/>
  <c r="BX43" i="24"/>
  <c r="BR44" i="24"/>
  <c r="BS44" i="24"/>
  <c r="BU44" i="24"/>
  <c r="BV44" i="24"/>
  <c r="BX44" i="24"/>
  <c r="BR45" i="24"/>
  <c r="BS45" i="24"/>
  <c r="BU45" i="24"/>
  <c r="BV45" i="24"/>
  <c r="BX45" i="24"/>
  <c r="BR46" i="24"/>
  <c r="BS46" i="24"/>
  <c r="BU46" i="24"/>
  <c r="BV46" i="24"/>
  <c r="BX46" i="24"/>
  <c r="BR47" i="24"/>
  <c r="BS47" i="24"/>
  <c r="BU47" i="24"/>
  <c r="BV47" i="24"/>
  <c r="BX47" i="24"/>
  <c r="BR48" i="24"/>
  <c r="BS48" i="24"/>
  <c r="BU48" i="24"/>
  <c r="BV48" i="24"/>
  <c r="BX48" i="24"/>
  <c r="BR49" i="24"/>
  <c r="BS49" i="24"/>
  <c r="BU49" i="24"/>
  <c r="BV49" i="24"/>
  <c r="BX49" i="24"/>
  <c r="BR50" i="24"/>
  <c r="BS50" i="24"/>
  <c r="BU50" i="24"/>
  <c r="BV50" i="24"/>
  <c r="BX50" i="24"/>
  <c r="BR51" i="24"/>
  <c r="BS51" i="24"/>
  <c r="BU51" i="24"/>
  <c r="BV51" i="24"/>
  <c r="BX51" i="24"/>
  <c r="BR52" i="24"/>
  <c r="BS52" i="24"/>
  <c r="BU52" i="24"/>
  <c r="BV52" i="24"/>
  <c r="BX52" i="24"/>
  <c r="BR53" i="24"/>
  <c r="BS53" i="24"/>
  <c r="BU53" i="24"/>
  <c r="BV53" i="24"/>
  <c r="BX53" i="24"/>
  <c r="BR54" i="24"/>
  <c r="BS54" i="24"/>
  <c r="BU54" i="24"/>
  <c r="BV54" i="24"/>
  <c r="BX54" i="24"/>
  <c r="BR55" i="24"/>
  <c r="BS55" i="24"/>
  <c r="BU55" i="24"/>
  <c r="BV55" i="24"/>
  <c r="BX55" i="24"/>
  <c r="BR56" i="24"/>
  <c r="BS56" i="24"/>
  <c r="BU56" i="24"/>
  <c r="BV56" i="24"/>
  <c r="BX56" i="24"/>
  <c r="BR57" i="24"/>
  <c r="BS57" i="24"/>
  <c r="BU57" i="24"/>
  <c r="BV57" i="24"/>
  <c r="BX57" i="24"/>
  <c r="BR58" i="24"/>
  <c r="BS58" i="24"/>
  <c r="BU58" i="24"/>
  <c r="BV58" i="24"/>
  <c r="BX58" i="24"/>
  <c r="BR59" i="24"/>
  <c r="BS59" i="24"/>
  <c r="BU59" i="24"/>
  <c r="BV59" i="24"/>
  <c r="BX59" i="24"/>
  <c r="BR60" i="24"/>
  <c r="BS60" i="24"/>
  <c r="BU60" i="24"/>
  <c r="BV60" i="24"/>
  <c r="BX60" i="24"/>
  <c r="BR61" i="24"/>
  <c r="BS61" i="24"/>
  <c r="BU61" i="24"/>
  <c r="BV61" i="24"/>
  <c r="BX61" i="24"/>
  <c r="BR62" i="24"/>
  <c r="BS62" i="24"/>
  <c r="BU62" i="24"/>
  <c r="BV62" i="24"/>
  <c r="BX62" i="24"/>
  <c r="BR63" i="24"/>
  <c r="BS63" i="24"/>
  <c r="BU63" i="24"/>
  <c r="BV63" i="24"/>
  <c r="BX63" i="24"/>
  <c r="BR64" i="24"/>
  <c r="BS64" i="24"/>
  <c r="BU64" i="24"/>
  <c r="BV64" i="24"/>
  <c r="BX64" i="24"/>
  <c r="BR65" i="24"/>
  <c r="BS65" i="24"/>
  <c r="BU65" i="24"/>
  <c r="BV65" i="24"/>
  <c r="BX65" i="24"/>
  <c r="BR66" i="24"/>
  <c r="BS66" i="24"/>
  <c r="BU66" i="24"/>
  <c r="BV66" i="24"/>
  <c r="BX66" i="24"/>
  <c r="BR67" i="24"/>
  <c r="BS67" i="24"/>
  <c r="BU67" i="24"/>
  <c r="BV67" i="24"/>
  <c r="BX67" i="24"/>
  <c r="BR68" i="24"/>
  <c r="BS68" i="24"/>
  <c r="BU68" i="24"/>
  <c r="BV68" i="24"/>
  <c r="BX68" i="24"/>
  <c r="BR69" i="24"/>
  <c r="BS69" i="24"/>
  <c r="BU69" i="24"/>
  <c r="BV69" i="24"/>
  <c r="BX69" i="24"/>
  <c r="BR70" i="24"/>
  <c r="BS70" i="24"/>
  <c r="BU70" i="24"/>
  <c r="BV70" i="24"/>
  <c r="BX70" i="24"/>
  <c r="BR71" i="24"/>
  <c r="BS71" i="24"/>
  <c r="BU71" i="24"/>
  <c r="BV71" i="24"/>
  <c r="BX71" i="24"/>
  <c r="BR72" i="24"/>
  <c r="BS72" i="24"/>
  <c r="BU72" i="24"/>
  <c r="BV72" i="24"/>
  <c r="BX72" i="24"/>
  <c r="BR73" i="24"/>
  <c r="BS73" i="24"/>
  <c r="BU73" i="24"/>
  <c r="BV73" i="24"/>
  <c r="BX73" i="24"/>
  <c r="BR74" i="24"/>
  <c r="BS74" i="24"/>
  <c r="BU74" i="24"/>
  <c r="BV74" i="24"/>
  <c r="BX74" i="24"/>
  <c r="BR75" i="24"/>
  <c r="BS75" i="24"/>
  <c r="BU75" i="24"/>
  <c r="BV75" i="24"/>
  <c r="BX75" i="24"/>
  <c r="BR76" i="24"/>
  <c r="BS76" i="24"/>
  <c r="BU76" i="24"/>
  <c r="BV76" i="24"/>
  <c r="BX76" i="24"/>
  <c r="BR77" i="24"/>
  <c r="BS77" i="24"/>
  <c r="BU77" i="24"/>
  <c r="BV77" i="24"/>
  <c r="BX77" i="24"/>
  <c r="BR78" i="24"/>
  <c r="BS78" i="24"/>
  <c r="BU78" i="24"/>
  <c r="BV78" i="24"/>
  <c r="BX78" i="24"/>
  <c r="BR79" i="24"/>
  <c r="BS79" i="24"/>
  <c r="BU79" i="24"/>
  <c r="BV79" i="24"/>
  <c r="BX79" i="24"/>
  <c r="BR80" i="24"/>
  <c r="BS80" i="24"/>
  <c r="BU80" i="24"/>
  <c r="BV80" i="24"/>
  <c r="BX80" i="24"/>
  <c r="BR81" i="24"/>
  <c r="BS81" i="24"/>
  <c r="BU81" i="24"/>
  <c r="BV81" i="24"/>
  <c r="BX81" i="24"/>
  <c r="BR82" i="24"/>
  <c r="BS82" i="24"/>
  <c r="BU82" i="24"/>
  <c r="BV82" i="24"/>
  <c r="BX82" i="24"/>
  <c r="BR83" i="24"/>
  <c r="BS83" i="24"/>
  <c r="BU83" i="24"/>
  <c r="BV83" i="24"/>
  <c r="BX83" i="24"/>
  <c r="BR84" i="24"/>
  <c r="BS84" i="24"/>
  <c r="BU84" i="24"/>
  <c r="BV84" i="24"/>
  <c r="BX84" i="24"/>
  <c r="BR85" i="24"/>
  <c r="BS85" i="24"/>
  <c r="BU85" i="24"/>
  <c r="BV85" i="24"/>
  <c r="BX85" i="24"/>
  <c r="BR86" i="24"/>
  <c r="BS86" i="24"/>
  <c r="BU86" i="24"/>
  <c r="BV86" i="24"/>
  <c r="BX86" i="24"/>
  <c r="BR87" i="24"/>
  <c r="BS87" i="24"/>
  <c r="BU87" i="24"/>
  <c r="BV87" i="24"/>
  <c r="BX87" i="24"/>
  <c r="BR88" i="24"/>
  <c r="BS88" i="24"/>
  <c r="BU88" i="24"/>
  <c r="BV88" i="24"/>
  <c r="BX88" i="24"/>
  <c r="BR89" i="24"/>
  <c r="BS89" i="24"/>
  <c r="BU89" i="24"/>
  <c r="BV89" i="24"/>
  <c r="BX89" i="24"/>
  <c r="BR90" i="24"/>
  <c r="BS90" i="24"/>
  <c r="BU90" i="24"/>
  <c r="BV90" i="24"/>
  <c r="BX90" i="24"/>
  <c r="BR91" i="24"/>
  <c r="BS91" i="24"/>
  <c r="BU91" i="24"/>
  <c r="BV91" i="24"/>
  <c r="BX91" i="24"/>
  <c r="BR92" i="24"/>
  <c r="BS92" i="24"/>
  <c r="BU92" i="24"/>
  <c r="BV92" i="24"/>
  <c r="BX92" i="24"/>
  <c r="BR93" i="24"/>
  <c r="BS93" i="24"/>
  <c r="BU93" i="24"/>
  <c r="BV93" i="24"/>
  <c r="BX93" i="24"/>
  <c r="BR94" i="24"/>
  <c r="BS94" i="24"/>
  <c r="BU94" i="24"/>
  <c r="BV94" i="24"/>
  <c r="BX94" i="24"/>
  <c r="BR95" i="24"/>
  <c r="BS95" i="24"/>
  <c r="BU95" i="24"/>
  <c r="BV95" i="24"/>
  <c r="BX95" i="24"/>
  <c r="BR96" i="24"/>
  <c r="BS96" i="24"/>
  <c r="BU96" i="24"/>
  <c r="BV96" i="24"/>
  <c r="BX96" i="24"/>
  <c r="BR97" i="24"/>
  <c r="BS97" i="24"/>
  <c r="BU97" i="24"/>
  <c r="BV97" i="24"/>
  <c r="BX97" i="24"/>
  <c r="BR98" i="24"/>
  <c r="BS98" i="24"/>
  <c r="BU98" i="24"/>
  <c r="BV98" i="24"/>
  <c r="BX98" i="24"/>
  <c r="BR99" i="24"/>
  <c r="BS99" i="24"/>
  <c r="BU99" i="24"/>
  <c r="BV99" i="24"/>
  <c r="BX99" i="24"/>
  <c r="BR100" i="24"/>
  <c r="BS100" i="24"/>
  <c r="BU100" i="24"/>
  <c r="BV100" i="24"/>
  <c r="BX100" i="24"/>
  <c r="BR101" i="24"/>
  <c r="BS101" i="24"/>
  <c r="BU101" i="24"/>
  <c r="BV101" i="24"/>
  <c r="BX101" i="24"/>
  <c r="BR102" i="24"/>
  <c r="BS102" i="24"/>
  <c r="BU102" i="24"/>
  <c r="BV102" i="24"/>
  <c r="BX102" i="24"/>
  <c r="BR103" i="24"/>
  <c r="BS103" i="24"/>
  <c r="BU103" i="24"/>
  <c r="BV103" i="24"/>
  <c r="BX103" i="24"/>
  <c r="BR104" i="24"/>
  <c r="BS104" i="24"/>
  <c r="BU104" i="24"/>
  <c r="BV104" i="24"/>
  <c r="BX104" i="24"/>
  <c r="BR105" i="24"/>
  <c r="BS105" i="24"/>
  <c r="BU105" i="24"/>
  <c r="BV105" i="24"/>
  <c r="BX105" i="24"/>
  <c r="BR106" i="24"/>
  <c r="BS106" i="24"/>
  <c r="BU106" i="24"/>
  <c r="BV106" i="24"/>
  <c r="BX106" i="24"/>
  <c r="BR107" i="24"/>
  <c r="BS107" i="24"/>
  <c r="BU107" i="24"/>
  <c r="BV107" i="24"/>
  <c r="BX107" i="24"/>
  <c r="BR108" i="24"/>
  <c r="BS108" i="24"/>
  <c r="BU108" i="24"/>
  <c r="BV108" i="24"/>
  <c r="BX108" i="24"/>
  <c r="BR109" i="24"/>
  <c r="BS109" i="24"/>
  <c r="BU109" i="24"/>
  <c r="BV109" i="24"/>
  <c r="BX109" i="24"/>
  <c r="BR110" i="24"/>
  <c r="BS110" i="24"/>
  <c r="BU110" i="24"/>
  <c r="BV110" i="24"/>
  <c r="BX110" i="24"/>
  <c r="BR111" i="24"/>
  <c r="BS111" i="24"/>
  <c r="BU111" i="24"/>
  <c r="BV111" i="24"/>
  <c r="BX111" i="24"/>
  <c r="BR112" i="24"/>
  <c r="BS112" i="24"/>
  <c r="BU112" i="24"/>
  <c r="BV112" i="24"/>
  <c r="BX112" i="24"/>
  <c r="BR113" i="24"/>
  <c r="BS113" i="24"/>
  <c r="BU113" i="24"/>
  <c r="BV113" i="24"/>
  <c r="BX113" i="24"/>
  <c r="BR114" i="24"/>
  <c r="BS114" i="24"/>
  <c r="BU114" i="24"/>
  <c r="BV114" i="24"/>
  <c r="BX114" i="24"/>
  <c r="BR115" i="24"/>
  <c r="BS115" i="24"/>
  <c r="BU115" i="24"/>
  <c r="BV115" i="24"/>
  <c r="BX115" i="24"/>
  <c r="BR116" i="24"/>
  <c r="BS116" i="24"/>
  <c r="BU116" i="24"/>
  <c r="BV116" i="24"/>
  <c r="BX116" i="24"/>
  <c r="BR117" i="24"/>
  <c r="BS117" i="24"/>
  <c r="BU117" i="24"/>
  <c r="BV117" i="24"/>
  <c r="BX117" i="24"/>
  <c r="BR118" i="24"/>
  <c r="BS118" i="24"/>
  <c r="BU118" i="24"/>
  <c r="BV118" i="24"/>
  <c r="BX118" i="24"/>
  <c r="BR119" i="24"/>
  <c r="BS119" i="24"/>
  <c r="BU119" i="24"/>
  <c r="BV119" i="24"/>
  <c r="BX119" i="24"/>
  <c r="BR120" i="24"/>
  <c r="BS120" i="24"/>
  <c r="BU120" i="24"/>
  <c r="BV120" i="24"/>
  <c r="BX120" i="24"/>
  <c r="BR121" i="24"/>
  <c r="BS121" i="24"/>
  <c r="BU121" i="24"/>
  <c r="BV121" i="24"/>
  <c r="BX121" i="24"/>
  <c r="BR122" i="24"/>
  <c r="BS122" i="24"/>
  <c r="BU122" i="24"/>
  <c r="BV122" i="24"/>
  <c r="BX122" i="24"/>
  <c r="BR123" i="24"/>
  <c r="BS123" i="24"/>
  <c r="BU123" i="24"/>
  <c r="BV123" i="24"/>
  <c r="BX123" i="24"/>
  <c r="BR124" i="24"/>
  <c r="BS124" i="24"/>
  <c r="BU124" i="24"/>
  <c r="BV124" i="24"/>
  <c r="BX124" i="24"/>
  <c r="BR125" i="24"/>
  <c r="BS125" i="24"/>
  <c r="BU125" i="24"/>
  <c r="BV125" i="24"/>
  <c r="BX125" i="24"/>
  <c r="BR126" i="24"/>
  <c r="BS126" i="24"/>
  <c r="BU126" i="24"/>
  <c r="BV126" i="24"/>
  <c r="BX126" i="24"/>
  <c r="BR127" i="24"/>
  <c r="BS127" i="24"/>
  <c r="BU127" i="24"/>
  <c r="BV127" i="24"/>
  <c r="BX127" i="24"/>
  <c r="BR128" i="24"/>
  <c r="BS128" i="24"/>
  <c r="BU128" i="24"/>
  <c r="BV128" i="24"/>
  <c r="BX128" i="24"/>
  <c r="BR129" i="24"/>
  <c r="BS129" i="24"/>
  <c r="BU129" i="24"/>
  <c r="BV129" i="24"/>
  <c r="BX129" i="24"/>
  <c r="BR130" i="24"/>
  <c r="BS130" i="24"/>
  <c r="BU130" i="24"/>
  <c r="BV130" i="24"/>
  <c r="BX130" i="24"/>
  <c r="BR131" i="24"/>
  <c r="BS131" i="24"/>
  <c r="BU131" i="24"/>
  <c r="BV131" i="24"/>
  <c r="BX131" i="24"/>
  <c r="BR132" i="24"/>
  <c r="BS132" i="24"/>
  <c r="BU132" i="24"/>
  <c r="BV132" i="24"/>
  <c r="BX132" i="24"/>
  <c r="BR133" i="24"/>
  <c r="BS133" i="24"/>
  <c r="BU133" i="24"/>
  <c r="BV133" i="24"/>
  <c r="BX133" i="24"/>
  <c r="BR134" i="24"/>
  <c r="BS134" i="24"/>
  <c r="BU134" i="24"/>
  <c r="BV134" i="24"/>
  <c r="BX134" i="24"/>
  <c r="BR135" i="24"/>
  <c r="BS135" i="24"/>
  <c r="BU135" i="24"/>
  <c r="BV135" i="24"/>
  <c r="BX135" i="24"/>
  <c r="BR136" i="24"/>
  <c r="BS136" i="24"/>
  <c r="BU136" i="24"/>
  <c r="BV136" i="24"/>
  <c r="BX136" i="24"/>
  <c r="BR137" i="24"/>
  <c r="BS137" i="24"/>
  <c r="BU137" i="24"/>
  <c r="BV137" i="24"/>
  <c r="BX137" i="24"/>
  <c r="BR138" i="24"/>
  <c r="BS138" i="24"/>
  <c r="BU138" i="24"/>
  <c r="BV138" i="24"/>
  <c r="BX138" i="24"/>
  <c r="BR139" i="24"/>
  <c r="BS139" i="24"/>
  <c r="BU139" i="24"/>
  <c r="BV139" i="24"/>
  <c r="BX139" i="24"/>
  <c r="BR140" i="24"/>
  <c r="BS140" i="24"/>
  <c r="BU140" i="24"/>
  <c r="BV140" i="24"/>
  <c r="BX140" i="24"/>
  <c r="BR141" i="24"/>
  <c r="BS141" i="24"/>
  <c r="BU141" i="24"/>
  <c r="BV141" i="24"/>
  <c r="BX141" i="24"/>
  <c r="BR142" i="24"/>
  <c r="BS142" i="24"/>
  <c r="BU142" i="24"/>
  <c r="BV142" i="24"/>
  <c r="BX142" i="24"/>
  <c r="BR143" i="24"/>
  <c r="BS143" i="24"/>
  <c r="BU143" i="24"/>
  <c r="BV143" i="24"/>
  <c r="BX143" i="24"/>
  <c r="BR144" i="24"/>
  <c r="BS144" i="24"/>
  <c r="BU144" i="24"/>
  <c r="BV144" i="24"/>
  <c r="BX144" i="24"/>
  <c r="BR145" i="24"/>
  <c r="BS145" i="24"/>
  <c r="BU145" i="24"/>
  <c r="BV145" i="24"/>
  <c r="BX145" i="24"/>
  <c r="BR146" i="24"/>
  <c r="BS146" i="24"/>
  <c r="BU146" i="24"/>
  <c r="BV146" i="24"/>
  <c r="BX146" i="24"/>
  <c r="BR147" i="24"/>
  <c r="BS147" i="24"/>
  <c r="BU147" i="24"/>
  <c r="BV147" i="24"/>
  <c r="BX147" i="24"/>
  <c r="BR148" i="24"/>
  <c r="BS148" i="24"/>
  <c r="BU148" i="24"/>
  <c r="BV148" i="24"/>
  <c r="BX148" i="24"/>
  <c r="BR149" i="24"/>
  <c r="BS149" i="24"/>
  <c r="BU149" i="24"/>
  <c r="BV149" i="24"/>
  <c r="BX149" i="24"/>
  <c r="BR150" i="24"/>
  <c r="BS150" i="24"/>
  <c r="BU150" i="24"/>
  <c r="BV150" i="24"/>
  <c r="BX150" i="24"/>
  <c r="BR151" i="24"/>
  <c r="BS151" i="24"/>
  <c r="BU151" i="24"/>
  <c r="BV151" i="24"/>
  <c r="BX151" i="24"/>
  <c r="BR152" i="24"/>
  <c r="BS152" i="24"/>
  <c r="BU152" i="24"/>
  <c r="BV152" i="24"/>
  <c r="BX152" i="24"/>
  <c r="BR153" i="24"/>
  <c r="BS153" i="24"/>
  <c r="BU153" i="24"/>
  <c r="BV153" i="24"/>
  <c r="BX153" i="24"/>
  <c r="BR154" i="24"/>
  <c r="BS154" i="24"/>
  <c r="BU154" i="24"/>
  <c r="BV154" i="24"/>
  <c r="BX154" i="24"/>
  <c r="BR155" i="24"/>
  <c r="BS155" i="24"/>
  <c r="BU155" i="24"/>
  <c r="BV155" i="24"/>
  <c r="BX155" i="24"/>
  <c r="BR156" i="24"/>
  <c r="BS156" i="24"/>
  <c r="BU156" i="24"/>
  <c r="BV156" i="24"/>
  <c r="BX156" i="24"/>
  <c r="BR157" i="24"/>
  <c r="BS157" i="24"/>
  <c r="BU157" i="24"/>
  <c r="BV157" i="24"/>
  <c r="BX157" i="24"/>
  <c r="BR158" i="24"/>
  <c r="BS158" i="24"/>
  <c r="BU158" i="24"/>
  <c r="BV158" i="24"/>
  <c r="BX158" i="24"/>
  <c r="BR159" i="24"/>
  <c r="BS159" i="24"/>
  <c r="BU159" i="24"/>
  <c r="BV159" i="24"/>
  <c r="BX159" i="24"/>
  <c r="BR160" i="24"/>
  <c r="BS160" i="24"/>
  <c r="BU160" i="24"/>
  <c r="BV160" i="24"/>
  <c r="BX160" i="24"/>
  <c r="BR161" i="24"/>
  <c r="BS161" i="24"/>
  <c r="BU161" i="24"/>
  <c r="BV161" i="24"/>
  <c r="BX161" i="24"/>
  <c r="BR162" i="24"/>
  <c r="BS162" i="24"/>
  <c r="BU162" i="24"/>
  <c r="BV162" i="24"/>
  <c r="BX162" i="24"/>
  <c r="BR163" i="24"/>
  <c r="BS163" i="24"/>
  <c r="BU163" i="24"/>
  <c r="BV163" i="24"/>
  <c r="BX163" i="24"/>
  <c r="BR164" i="24"/>
  <c r="BS164" i="24"/>
  <c r="BU164" i="24"/>
  <c r="BV164" i="24"/>
  <c r="BX164" i="24"/>
  <c r="BR165" i="24"/>
  <c r="BS165" i="24"/>
  <c r="BU165" i="24"/>
  <c r="BV165" i="24"/>
  <c r="BX165" i="24"/>
  <c r="BR166" i="24"/>
  <c r="BS166" i="24"/>
  <c r="BU166" i="24"/>
  <c r="BV166" i="24"/>
  <c r="BX166" i="24"/>
  <c r="BR167" i="24"/>
  <c r="BS167" i="24"/>
  <c r="BU167" i="24"/>
  <c r="BV167" i="24"/>
  <c r="BX167" i="24"/>
  <c r="BR168" i="24"/>
  <c r="BS168" i="24"/>
  <c r="BU168" i="24"/>
  <c r="BV168" i="24"/>
  <c r="BX168" i="24"/>
  <c r="BR169" i="24"/>
  <c r="BS169" i="24"/>
  <c r="BU169" i="24"/>
  <c r="BV169" i="24"/>
  <c r="BX169" i="24"/>
  <c r="BR170" i="24"/>
  <c r="BS170" i="24"/>
  <c r="BU170" i="24"/>
  <c r="BV170" i="24"/>
  <c r="BX170" i="24"/>
  <c r="BR171" i="24"/>
  <c r="BS171" i="24"/>
  <c r="BU171" i="24"/>
  <c r="BV171" i="24"/>
  <c r="BX171" i="24"/>
  <c r="BR172" i="24"/>
  <c r="BS172" i="24"/>
  <c r="BU172" i="24"/>
  <c r="BV172" i="24"/>
  <c r="BX172" i="24"/>
  <c r="BR173" i="24"/>
  <c r="BS173" i="24"/>
  <c r="BU173" i="24"/>
  <c r="BV173" i="24"/>
  <c r="BX173" i="24"/>
  <c r="BR174" i="24"/>
  <c r="BS174" i="24"/>
  <c r="BU174" i="24"/>
  <c r="BV174" i="24"/>
  <c r="BX174" i="24"/>
  <c r="BR175" i="24"/>
  <c r="BS175" i="24"/>
  <c r="BU175" i="24"/>
  <c r="BV175" i="24"/>
  <c r="BX175" i="24"/>
  <c r="BR176" i="24"/>
  <c r="BS176" i="24"/>
  <c r="BU176" i="24"/>
  <c r="BV176" i="24"/>
  <c r="BX176" i="24"/>
  <c r="BR177" i="24"/>
  <c r="BS177" i="24"/>
  <c r="BU177" i="24"/>
  <c r="BV177" i="24"/>
  <c r="BX177" i="24"/>
  <c r="BR178" i="24"/>
  <c r="BS178" i="24"/>
  <c r="BU178" i="24"/>
  <c r="BV178" i="24"/>
  <c r="BX178" i="24"/>
  <c r="BR179" i="24"/>
  <c r="BS179" i="24"/>
  <c r="BU179" i="24"/>
  <c r="BV179" i="24"/>
  <c r="BX179" i="24"/>
  <c r="BR180" i="24"/>
  <c r="BS180" i="24"/>
  <c r="BU180" i="24"/>
  <c r="BV180" i="24"/>
  <c r="BX180" i="24"/>
  <c r="BR181" i="24"/>
  <c r="BS181" i="24"/>
  <c r="BU181" i="24"/>
  <c r="BV181" i="24"/>
  <c r="BX181" i="24"/>
  <c r="BR182" i="24"/>
  <c r="BS182" i="24"/>
  <c r="BU182" i="24"/>
  <c r="BV182" i="24"/>
  <c r="BX182" i="24"/>
  <c r="BR183" i="24"/>
  <c r="BS183" i="24"/>
  <c r="BU183" i="24"/>
  <c r="BV183" i="24"/>
  <c r="BX183" i="24"/>
  <c r="BR184" i="24"/>
  <c r="BS184" i="24"/>
  <c r="BU184" i="24"/>
  <c r="BV184" i="24"/>
  <c r="BX184" i="24"/>
  <c r="BR185" i="24"/>
  <c r="BS185" i="24"/>
  <c r="BU185" i="24"/>
  <c r="BV185" i="24"/>
  <c r="BX185" i="24"/>
  <c r="BR186" i="24"/>
  <c r="BS186" i="24"/>
  <c r="BU186" i="24"/>
  <c r="BV186" i="24"/>
  <c r="BX186" i="24"/>
  <c r="BR187" i="24"/>
  <c r="BS187" i="24"/>
  <c r="BU187" i="24"/>
  <c r="BV187" i="24"/>
  <c r="BX187" i="24"/>
  <c r="BR188" i="24"/>
  <c r="BS188" i="24"/>
  <c r="BU188" i="24"/>
  <c r="BV188" i="24"/>
  <c r="BX188" i="24"/>
  <c r="BR189" i="24"/>
  <c r="BS189" i="24"/>
  <c r="BU189" i="24"/>
  <c r="BV189" i="24"/>
  <c r="BX189" i="24"/>
  <c r="BR190" i="24"/>
  <c r="BS190" i="24"/>
  <c r="BU190" i="24"/>
  <c r="BV190" i="24"/>
  <c r="BX190" i="24"/>
  <c r="BR191" i="24"/>
  <c r="BS191" i="24"/>
  <c r="BU191" i="24"/>
  <c r="BV191" i="24"/>
  <c r="BX191" i="24"/>
  <c r="BR192" i="24"/>
  <c r="BS192" i="24"/>
  <c r="BU192" i="24"/>
  <c r="BV192" i="24"/>
  <c r="BX192" i="24"/>
  <c r="BR193" i="24"/>
  <c r="BS193" i="24"/>
  <c r="BU193" i="24"/>
  <c r="BV193" i="24"/>
  <c r="BX193" i="24"/>
  <c r="BR194" i="24"/>
  <c r="BS194" i="24"/>
  <c r="BU194" i="24"/>
  <c r="BV194" i="24"/>
  <c r="BX194" i="24"/>
  <c r="BR195" i="24"/>
  <c r="BS195" i="24"/>
  <c r="BU195" i="24"/>
  <c r="BV195" i="24"/>
  <c r="BX195" i="24"/>
  <c r="BR196" i="24"/>
  <c r="BS196" i="24"/>
  <c r="BU196" i="24"/>
  <c r="BV196" i="24"/>
  <c r="BX196" i="24"/>
  <c r="BR197" i="24"/>
  <c r="BS197" i="24"/>
  <c r="BU197" i="24"/>
  <c r="BV197" i="24"/>
  <c r="BX197" i="24"/>
  <c r="BR198" i="24"/>
  <c r="BS198" i="24"/>
  <c r="BU198" i="24"/>
  <c r="BV198" i="24"/>
  <c r="BX198" i="24"/>
  <c r="BR199" i="24"/>
  <c r="BS199" i="24"/>
  <c r="BU199" i="24"/>
  <c r="BV199" i="24"/>
  <c r="BX199" i="24"/>
  <c r="BR200" i="24"/>
  <c r="BS200" i="24"/>
  <c r="BU200" i="24"/>
  <c r="BV200" i="24"/>
  <c r="BX200" i="24"/>
  <c r="BR201" i="24"/>
  <c r="BS201" i="24"/>
  <c r="BU201" i="24"/>
  <c r="BV201" i="24"/>
  <c r="BX201" i="24"/>
  <c r="BR202" i="24"/>
  <c r="BS202" i="24"/>
  <c r="BU202" i="24"/>
  <c r="BV202" i="24"/>
  <c r="BX202" i="24"/>
  <c r="BR203" i="24"/>
  <c r="BS203" i="24"/>
  <c r="BU203" i="24"/>
  <c r="BV203" i="24"/>
  <c r="BX203" i="24"/>
  <c r="BR204" i="24"/>
  <c r="BS204" i="24"/>
  <c r="BU204" i="24"/>
  <c r="BV204" i="24"/>
  <c r="BX204" i="24"/>
  <c r="BR205" i="24"/>
  <c r="BS205" i="24"/>
  <c r="BU205" i="24"/>
  <c r="BV205" i="24"/>
  <c r="BX205" i="24"/>
  <c r="BR206" i="24"/>
  <c r="BS206" i="24"/>
  <c r="BU206" i="24"/>
  <c r="BV206" i="24"/>
  <c r="BX206" i="24"/>
  <c r="BR207" i="24"/>
  <c r="BS207" i="24"/>
  <c r="BU207" i="24"/>
  <c r="BV207" i="24"/>
  <c r="BX207" i="24"/>
  <c r="BR208" i="24"/>
  <c r="BS208" i="24"/>
  <c r="BU208" i="24"/>
  <c r="BV208" i="24"/>
  <c r="BX208" i="24"/>
  <c r="BR209" i="24"/>
  <c r="BS209" i="24"/>
  <c r="BU209" i="24"/>
  <c r="BV209" i="24"/>
  <c r="BX209" i="24"/>
  <c r="BR210" i="24"/>
  <c r="BS210" i="24"/>
  <c r="BU210" i="24"/>
  <c r="BV210" i="24"/>
  <c r="BX210" i="24"/>
  <c r="BR211" i="24"/>
  <c r="BS211" i="24"/>
  <c r="BU211" i="24"/>
  <c r="BV211" i="24"/>
  <c r="BX211" i="24"/>
  <c r="BR212" i="24"/>
  <c r="BS212" i="24"/>
  <c r="BU212" i="24"/>
  <c r="BV212" i="24"/>
  <c r="BX212" i="24"/>
  <c r="BR213" i="24"/>
  <c r="BS213" i="24"/>
  <c r="BU213" i="24"/>
  <c r="BV213" i="24"/>
  <c r="BX213" i="24"/>
  <c r="BR214" i="24"/>
  <c r="BS214" i="24"/>
  <c r="BU214" i="24"/>
  <c r="BV214" i="24"/>
  <c r="BX214" i="24"/>
  <c r="BR215" i="24"/>
  <c r="BS215" i="24"/>
  <c r="BU215" i="24"/>
  <c r="BV215" i="24"/>
  <c r="BX215" i="24"/>
  <c r="BR216" i="24"/>
  <c r="BS216" i="24"/>
  <c r="BU216" i="24"/>
  <c r="BV216" i="24"/>
  <c r="BX216" i="24"/>
  <c r="BR217" i="24"/>
  <c r="BS217" i="24"/>
  <c r="BU217" i="24"/>
  <c r="BV217" i="24"/>
  <c r="BX217" i="24"/>
  <c r="BR218" i="24"/>
  <c r="BS218" i="24"/>
  <c r="BU218" i="24"/>
  <c r="BV218" i="24"/>
  <c r="BX218" i="24"/>
  <c r="BR219" i="24"/>
  <c r="BS219" i="24"/>
  <c r="BU219" i="24"/>
  <c r="BV219" i="24"/>
  <c r="BX219" i="24"/>
  <c r="BR220" i="24"/>
  <c r="BS220" i="24"/>
  <c r="BU220" i="24"/>
  <c r="BV220" i="24"/>
  <c r="BX220" i="24"/>
  <c r="BR221" i="24"/>
  <c r="BS221" i="24"/>
  <c r="BU221" i="24"/>
  <c r="BV221" i="24"/>
  <c r="BX221" i="24"/>
  <c r="BR222" i="24"/>
  <c r="BS222" i="24"/>
  <c r="BU222" i="24"/>
  <c r="BV222" i="24"/>
  <c r="BX222" i="24"/>
  <c r="BR223" i="24"/>
  <c r="BS223" i="24"/>
  <c r="BU223" i="24"/>
  <c r="BV223" i="24"/>
  <c r="BX223" i="24"/>
  <c r="BR224" i="24"/>
  <c r="BS224" i="24"/>
  <c r="BU224" i="24"/>
  <c r="BV224" i="24"/>
  <c r="BX224" i="24"/>
  <c r="BR225" i="24"/>
  <c r="BS225" i="24"/>
  <c r="BU225" i="24"/>
  <c r="BV225" i="24"/>
  <c r="BX225" i="24"/>
  <c r="BR226" i="24"/>
  <c r="BS226" i="24"/>
  <c r="BU226" i="24"/>
  <c r="BV226" i="24"/>
  <c r="BX226" i="24"/>
  <c r="BR227" i="24"/>
  <c r="BS227" i="24"/>
  <c r="BU227" i="24"/>
  <c r="BV227" i="24"/>
  <c r="BX227" i="24"/>
  <c r="BR228" i="24"/>
  <c r="BS228" i="24"/>
  <c r="BU228" i="24"/>
  <c r="BV228" i="24"/>
  <c r="BX228" i="24"/>
  <c r="BR229" i="24"/>
  <c r="BS229" i="24"/>
  <c r="BU229" i="24"/>
  <c r="BV229" i="24"/>
  <c r="BX229" i="24"/>
  <c r="BR230" i="24"/>
  <c r="BS230" i="24"/>
  <c r="BU230" i="24"/>
  <c r="BV230" i="24"/>
  <c r="BX230" i="24"/>
  <c r="BR231" i="24"/>
  <c r="BS231" i="24"/>
  <c r="BU231" i="24"/>
  <c r="BV231" i="24"/>
  <c r="BX231" i="24"/>
  <c r="BR232" i="24"/>
  <c r="BS232" i="24"/>
  <c r="BU232" i="24"/>
  <c r="BV232" i="24"/>
  <c r="BX232" i="24"/>
  <c r="BR233" i="24"/>
  <c r="BS233" i="24"/>
  <c r="BU233" i="24"/>
  <c r="BV233" i="24"/>
  <c r="BX233" i="24"/>
  <c r="BR234" i="24"/>
  <c r="BS234" i="24"/>
  <c r="BU234" i="24"/>
  <c r="BV234" i="24"/>
  <c r="BX234" i="24"/>
  <c r="BR235" i="24"/>
  <c r="BS235" i="24"/>
  <c r="BU235" i="24"/>
  <c r="BV235" i="24"/>
  <c r="BX235" i="24"/>
  <c r="BR236" i="24"/>
  <c r="BS236" i="24"/>
  <c r="BU236" i="24"/>
  <c r="BV236" i="24"/>
  <c r="BX236" i="24"/>
  <c r="BR237" i="24"/>
  <c r="BS237" i="24"/>
  <c r="BU237" i="24"/>
  <c r="BV237" i="24"/>
  <c r="BX237" i="24"/>
  <c r="BR238" i="24"/>
  <c r="BS238" i="24"/>
  <c r="BU238" i="24"/>
  <c r="BV238" i="24"/>
  <c r="BX238" i="24"/>
  <c r="BR239" i="24"/>
  <c r="BS239" i="24"/>
  <c r="BU239" i="24"/>
  <c r="BV239" i="24"/>
  <c r="BX239" i="24"/>
  <c r="BR240" i="24"/>
  <c r="BS240" i="24"/>
  <c r="BU240" i="24"/>
  <c r="BV240" i="24"/>
  <c r="BX240" i="24"/>
  <c r="BR241" i="24"/>
  <c r="BS241" i="24"/>
  <c r="BU241" i="24"/>
  <c r="BV241" i="24"/>
  <c r="BX241" i="24"/>
  <c r="BR242" i="24"/>
  <c r="BS242" i="24"/>
  <c r="BU242" i="24"/>
  <c r="BV242" i="24"/>
  <c r="BX242" i="24"/>
  <c r="BR243" i="24"/>
  <c r="BS243" i="24"/>
  <c r="BU243" i="24"/>
  <c r="BV243" i="24"/>
  <c r="BX243" i="24"/>
  <c r="BR244" i="24"/>
  <c r="BS244" i="24"/>
  <c r="BU244" i="24"/>
  <c r="BV244" i="24"/>
  <c r="BX244" i="24"/>
  <c r="BR245" i="24"/>
  <c r="BS245" i="24"/>
  <c r="BU245" i="24"/>
  <c r="BV245" i="24"/>
  <c r="BX245" i="24"/>
  <c r="BR246" i="24"/>
  <c r="BS246" i="24"/>
  <c r="BU246" i="24"/>
  <c r="BV246" i="24"/>
  <c r="BX246" i="24"/>
  <c r="BR247" i="24"/>
  <c r="BS247" i="24"/>
  <c r="BU247" i="24"/>
  <c r="BV247" i="24"/>
  <c r="BX247" i="24"/>
  <c r="BR248" i="24"/>
  <c r="BS248" i="24"/>
  <c r="BU248" i="24"/>
  <c r="BV248" i="24"/>
  <c r="BX248" i="24"/>
  <c r="BR249" i="24"/>
  <c r="BS249" i="24"/>
  <c r="BU249" i="24"/>
  <c r="BV249" i="24"/>
  <c r="BX249" i="24"/>
  <c r="BR250" i="24"/>
  <c r="BS250" i="24"/>
  <c r="BU250" i="24"/>
  <c r="BV250" i="24"/>
  <c r="BX250" i="24"/>
  <c r="BR251" i="24"/>
  <c r="BS251" i="24"/>
  <c r="BU251" i="24"/>
  <c r="BV251" i="24"/>
  <c r="BX251" i="24"/>
  <c r="BR252" i="24"/>
  <c r="BS252" i="24"/>
  <c r="BU252" i="24"/>
  <c r="BV252" i="24"/>
  <c r="BX252" i="24"/>
  <c r="BR253" i="24"/>
  <c r="BS253" i="24"/>
  <c r="BU253" i="24"/>
  <c r="BV253" i="24"/>
  <c r="BX253" i="24"/>
  <c r="BR254" i="24"/>
  <c r="BS254" i="24"/>
  <c r="BU254" i="24"/>
  <c r="BV254" i="24"/>
  <c r="BX254" i="24"/>
  <c r="BR255" i="24"/>
  <c r="BS255" i="24"/>
  <c r="BU255" i="24"/>
  <c r="BV255" i="24"/>
  <c r="BX255" i="24"/>
  <c r="BR256" i="24"/>
  <c r="BS256" i="24"/>
  <c r="BU256" i="24"/>
  <c r="BV256" i="24"/>
  <c r="BX256" i="24"/>
  <c r="BR257" i="24"/>
  <c r="BS257" i="24"/>
  <c r="BU257" i="24"/>
  <c r="BV257" i="24"/>
  <c r="BX257" i="24"/>
  <c r="BR258" i="24"/>
  <c r="BS258" i="24"/>
  <c r="BU258" i="24"/>
  <c r="BV258" i="24"/>
  <c r="BX258" i="24"/>
  <c r="BR259" i="24"/>
  <c r="BS259" i="24"/>
  <c r="BU259" i="24"/>
  <c r="BV259" i="24"/>
  <c r="BX259" i="24"/>
  <c r="BR260" i="24"/>
  <c r="BS260" i="24"/>
  <c r="BU260" i="24"/>
  <c r="BV260" i="24"/>
  <c r="BX260" i="24"/>
  <c r="BR261" i="24"/>
  <c r="BS261" i="24"/>
  <c r="BU261" i="24"/>
  <c r="BV261" i="24"/>
  <c r="BX261" i="24"/>
  <c r="BR262" i="24"/>
  <c r="BS262" i="24"/>
  <c r="BU262" i="24"/>
  <c r="BV262" i="24"/>
  <c r="BX262" i="24"/>
  <c r="BR263" i="24"/>
  <c r="BS263" i="24"/>
  <c r="BU263" i="24"/>
  <c r="BV263" i="24"/>
  <c r="BX263" i="24"/>
  <c r="BR264" i="24"/>
  <c r="BS264" i="24"/>
  <c r="BU264" i="24"/>
  <c r="BV264" i="24"/>
  <c r="BX264" i="24"/>
  <c r="BR265" i="24"/>
  <c r="BS265" i="24"/>
  <c r="BU265" i="24"/>
  <c r="BV265" i="24"/>
  <c r="BX265" i="24"/>
  <c r="BR266" i="24"/>
  <c r="BS266" i="24"/>
  <c r="BU266" i="24"/>
  <c r="BV266" i="24"/>
  <c r="BX266" i="24"/>
  <c r="BR267" i="24"/>
  <c r="BS267" i="24"/>
  <c r="BU267" i="24"/>
  <c r="BV267" i="24"/>
  <c r="BX267" i="24"/>
  <c r="BR268" i="24"/>
  <c r="BS268" i="24"/>
  <c r="BU268" i="24"/>
  <c r="BV268" i="24"/>
  <c r="BX268" i="24"/>
  <c r="BR269" i="24"/>
  <c r="BS269" i="24"/>
  <c r="BU269" i="24"/>
  <c r="BV269" i="24"/>
  <c r="BX269" i="24"/>
  <c r="BR270" i="24"/>
  <c r="BS270" i="24"/>
  <c r="BU270" i="24"/>
  <c r="BV270" i="24"/>
  <c r="BX270" i="24"/>
  <c r="BR271" i="24"/>
  <c r="BS271" i="24"/>
  <c r="BU271" i="24"/>
  <c r="BV271" i="24"/>
  <c r="BX271" i="24"/>
  <c r="BR272" i="24"/>
  <c r="BS272" i="24"/>
  <c r="BU272" i="24"/>
  <c r="BV272" i="24"/>
  <c r="BX272" i="24"/>
  <c r="BR273" i="24"/>
  <c r="BS273" i="24"/>
  <c r="BU273" i="24"/>
  <c r="BV273" i="24"/>
  <c r="BX273" i="24"/>
  <c r="BR274" i="24"/>
  <c r="BS274" i="24"/>
  <c r="BU274" i="24"/>
  <c r="BV274" i="24"/>
  <c r="BX274" i="24"/>
  <c r="BR275" i="24"/>
  <c r="BS275" i="24"/>
  <c r="BU275" i="24"/>
  <c r="BV275" i="24"/>
  <c r="BX275" i="24"/>
  <c r="BR276" i="24"/>
  <c r="BS276" i="24"/>
  <c r="BU276" i="24"/>
  <c r="BV276" i="24"/>
  <c r="BX276" i="24"/>
  <c r="BR277" i="24"/>
  <c r="BS277" i="24"/>
  <c r="BU277" i="24"/>
  <c r="BV277" i="24"/>
  <c r="BX277" i="24"/>
  <c r="BR278" i="24"/>
  <c r="BS278" i="24"/>
  <c r="BU278" i="24"/>
  <c r="BV278" i="24"/>
  <c r="BX278" i="24"/>
  <c r="BR279" i="24"/>
  <c r="BS279" i="24"/>
  <c r="BU279" i="24"/>
  <c r="BV279" i="24"/>
  <c r="BX279" i="24"/>
  <c r="BR280" i="24"/>
  <c r="BS280" i="24"/>
  <c r="BU280" i="24"/>
  <c r="BV280" i="24"/>
  <c r="BX280" i="24"/>
  <c r="BR281" i="24"/>
  <c r="BS281" i="24"/>
  <c r="BU281" i="24"/>
  <c r="BV281" i="24"/>
  <c r="BX281" i="24"/>
  <c r="BR282" i="24"/>
  <c r="BS282" i="24"/>
  <c r="BU282" i="24"/>
  <c r="BV282" i="24"/>
  <c r="BX282" i="24"/>
  <c r="BR283" i="24"/>
  <c r="BS283" i="24"/>
  <c r="BU283" i="24"/>
  <c r="BV283" i="24"/>
  <c r="BX283" i="24"/>
  <c r="BR284" i="24"/>
  <c r="BS284" i="24"/>
  <c r="BU284" i="24"/>
  <c r="BV284" i="24"/>
  <c r="BX284" i="24"/>
  <c r="BR285" i="24"/>
  <c r="BS285" i="24"/>
  <c r="BU285" i="24"/>
  <c r="BV285" i="24"/>
  <c r="BX285" i="24"/>
  <c r="BR286" i="24"/>
  <c r="BS286" i="24"/>
  <c r="BU286" i="24"/>
  <c r="BV286" i="24"/>
  <c r="BX286" i="24"/>
  <c r="BR287" i="24"/>
  <c r="BS287" i="24"/>
  <c r="BU287" i="24"/>
  <c r="BV287" i="24"/>
  <c r="BX287" i="24"/>
  <c r="BR288" i="24"/>
  <c r="BS288" i="24"/>
  <c r="BU288" i="24"/>
  <c r="BV288" i="24"/>
  <c r="BX288" i="24"/>
  <c r="BR289" i="24"/>
  <c r="BS289" i="24"/>
  <c r="BU289" i="24"/>
  <c r="BV289" i="24"/>
  <c r="BX289" i="24"/>
  <c r="BR290" i="24"/>
  <c r="BS290" i="24"/>
  <c r="BU290" i="24"/>
  <c r="BV290" i="24"/>
  <c r="BX290" i="24"/>
  <c r="BR291" i="24"/>
  <c r="BS291" i="24"/>
  <c r="BU291" i="24"/>
  <c r="BV291" i="24"/>
  <c r="BX291" i="24"/>
  <c r="BR292" i="24"/>
  <c r="BS292" i="24"/>
  <c r="BU292" i="24"/>
  <c r="BV292" i="24"/>
  <c r="BX292" i="24"/>
  <c r="BR293" i="24"/>
  <c r="BS293" i="24"/>
  <c r="BU293" i="24"/>
  <c r="BV293" i="24"/>
  <c r="BX293" i="24"/>
  <c r="BR294" i="24"/>
  <c r="BS294" i="24"/>
  <c r="BU294" i="24"/>
  <c r="BV294" i="24"/>
  <c r="BX294" i="24"/>
  <c r="BR295" i="24"/>
  <c r="BS295" i="24"/>
  <c r="BU295" i="24"/>
  <c r="BV295" i="24"/>
  <c r="BX295" i="24"/>
  <c r="BR296" i="24"/>
  <c r="BS296" i="24"/>
  <c r="BU296" i="24"/>
  <c r="BV296" i="24"/>
  <c r="BX296" i="24"/>
  <c r="BR297" i="24"/>
  <c r="BS297" i="24"/>
  <c r="BU297" i="24"/>
  <c r="BV297" i="24"/>
  <c r="BX297" i="24"/>
  <c r="BR298" i="24"/>
  <c r="BS298" i="24"/>
  <c r="BU298" i="24"/>
  <c r="BV298" i="24"/>
  <c r="BX298" i="24"/>
  <c r="BR299" i="24"/>
  <c r="BS299" i="24"/>
  <c r="BU299" i="24"/>
  <c r="BV299" i="24"/>
  <c r="BX299" i="24"/>
  <c r="BR300" i="24"/>
  <c r="BS300" i="24"/>
  <c r="BU300" i="24"/>
  <c r="BV300" i="24"/>
  <c r="BX300" i="24"/>
  <c r="BR301" i="24"/>
  <c r="BS301" i="24"/>
  <c r="BU301" i="24"/>
  <c r="BV301" i="24"/>
  <c r="BX301" i="24"/>
  <c r="BR302" i="24"/>
  <c r="BS302" i="24"/>
  <c r="BU302" i="24"/>
  <c r="BV302" i="24"/>
  <c r="BX302" i="24"/>
  <c r="BR303" i="24"/>
  <c r="BS303" i="24"/>
  <c r="BU303" i="24"/>
  <c r="BV303" i="24"/>
  <c r="BX303" i="24"/>
  <c r="BR304" i="24"/>
  <c r="BS304" i="24"/>
  <c r="BU304" i="24"/>
  <c r="BV304" i="24"/>
  <c r="BX304" i="24"/>
  <c r="BR305" i="24"/>
  <c r="BS305" i="24"/>
  <c r="BU305" i="24"/>
  <c r="BV305" i="24"/>
  <c r="BX305" i="24"/>
  <c r="BR306" i="24"/>
  <c r="BS306" i="24"/>
  <c r="BU306" i="24"/>
  <c r="BV306" i="24"/>
  <c r="BX306" i="24"/>
  <c r="BR307" i="24"/>
  <c r="BS307" i="24"/>
  <c r="BU307" i="24"/>
  <c r="BV307" i="24"/>
  <c r="BX307" i="24"/>
  <c r="BR308" i="24"/>
  <c r="BS308" i="24"/>
  <c r="BU308" i="24"/>
  <c r="BV308" i="24"/>
  <c r="BX308" i="24"/>
  <c r="BR309" i="24"/>
  <c r="BS309" i="24"/>
  <c r="BU309" i="24"/>
  <c r="BV309" i="24"/>
  <c r="BX309" i="24"/>
  <c r="BR310" i="24"/>
  <c r="BS310" i="24"/>
  <c r="BU310" i="24"/>
  <c r="BV310" i="24"/>
  <c r="BX310" i="24"/>
  <c r="BR311" i="24"/>
  <c r="BS311" i="24"/>
  <c r="BU311" i="24"/>
  <c r="BV311" i="24"/>
  <c r="BX311" i="24"/>
  <c r="BR312" i="24"/>
  <c r="BS312" i="24"/>
  <c r="BU312" i="24"/>
  <c r="BV312" i="24"/>
  <c r="BX312" i="24"/>
  <c r="BR313" i="24"/>
  <c r="BS313" i="24"/>
  <c r="BU313" i="24"/>
  <c r="BV313" i="24"/>
  <c r="BX313" i="24"/>
  <c r="BR314" i="24"/>
  <c r="BS314" i="24"/>
  <c r="BU314" i="24"/>
  <c r="BV314" i="24"/>
  <c r="BX314" i="24"/>
  <c r="BR315" i="24"/>
  <c r="BS315" i="24"/>
  <c r="BU315" i="24"/>
  <c r="BV315" i="24"/>
  <c r="BX315" i="24"/>
  <c r="BR316" i="24"/>
  <c r="BS316" i="24"/>
  <c r="BU316" i="24"/>
  <c r="BV316" i="24"/>
  <c r="BX316" i="24"/>
  <c r="BR317" i="24"/>
  <c r="BS317" i="24"/>
  <c r="BU317" i="24"/>
  <c r="BV317" i="24"/>
  <c r="BX317" i="24"/>
  <c r="BR318" i="24"/>
  <c r="BS318" i="24"/>
  <c r="BU318" i="24"/>
  <c r="BV318" i="24"/>
  <c r="BX318" i="24"/>
  <c r="BR319" i="24"/>
  <c r="BS319" i="24"/>
  <c r="BU319" i="24"/>
  <c r="BV319" i="24"/>
  <c r="BX319" i="24"/>
  <c r="BR320" i="24"/>
  <c r="BS320" i="24"/>
  <c r="BU320" i="24"/>
  <c r="BV320" i="24"/>
  <c r="BX320" i="24"/>
  <c r="BR321" i="24"/>
  <c r="BS321" i="24"/>
  <c r="BU321" i="24"/>
  <c r="BV321" i="24"/>
  <c r="BX321" i="24"/>
  <c r="BR322" i="24"/>
  <c r="BS322" i="24"/>
  <c r="BU322" i="24"/>
  <c r="BV322" i="24"/>
  <c r="BX322" i="24"/>
  <c r="BR323" i="24"/>
  <c r="BS323" i="24"/>
  <c r="BU323" i="24"/>
  <c r="BV323" i="24"/>
  <c r="BX323" i="24"/>
  <c r="BR324" i="24"/>
  <c r="BS324" i="24"/>
  <c r="BU324" i="24"/>
  <c r="BV324" i="24"/>
  <c r="BX324" i="24"/>
  <c r="BR325" i="24"/>
  <c r="BS325" i="24"/>
  <c r="BU325" i="24"/>
  <c r="BV325" i="24"/>
  <c r="BX325" i="24"/>
  <c r="BR326" i="24"/>
  <c r="BS326" i="24"/>
  <c r="BU326" i="24"/>
  <c r="BV326" i="24"/>
  <c r="BX326" i="24"/>
  <c r="BR327" i="24"/>
  <c r="BS327" i="24"/>
  <c r="BU327" i="24"/>
  <c r="BV327" i="24"/>
  <c r="BX327" i="24"/>
  <c r="BR328" i="24"/>
  <c r="BS328" i="24"/>
  <c r="BU328" i="24"/>
  <c r="BV328" i="24"/>
  <c r="BX328" i="24"/>
  <c r="BR329" i="24"/>
  <c r="BS329" i="24"/>
  <c r="BU329" i="24"/>
  <c r="BV329" i="24"/>
  <c r="BX329" i="24"/>
  <c r="BR330" i="24"/>
  <c r="BS330" i="24"/>
  <c r="BU330" i="24"/>
  <c r="BV330" i="24"/>
  <c r="BX330" i="24"/>
  <c r="BR331" i="24"/>
  <c r="BS331" i="24"/>
  <c r="BU331" i="24"/>
  <c r="BV331" i="24"/>
  <c r="BX331" i="24"/>
  <c r="BR332" i="24"/>
  <c r="BS332" i="24"/>
  <c r="BU332" i="24"/>
  <c r="BV332" i="24"/>
  <c r="BX332" i="24"/>
  <c r="BR333" i="24"/>
  <c r="BS333" i="24"/>
  <c r="BU333" i="24"/>
  <c r="BV333" i="24"/>
  <c r="BX333" i="24"/>
  <c r="BR334" i="24"/>
  <c r="BS334" i="24"/>
  <c r="BU334" i="24"/>
  <c r="BV334" i="24"/>
  <c r="BX334" i="24"/>
  <c r="BR335" i="24"/>
  <c r="BS335" i="24"/>
  <c r="BU335" i="24"/>
  <c r="BV335" i="24"/>
  <c r="BX335" i="24"/>
  <c r="BR336" i="24"/>
  <c r="BS336" i="24"/>
  <c r="BU336" i="24"/>
  <c r="BV336" i="24"/>
  <c r="BX336" i="24"/>
  <c r="BR337" i="24"/>
  <c r="BS337" i="24"/>
  <c r="BU337" i="24"/>
  <c r="BV337" i="24"/>
  <c r="BX337" i="24"/>
  <c r="BR338" i="24"/>
  <c r="BS338" i="24"/>
  <c r="BU338" i="24"/>
  <c r="BV338" i="24"/>
  <c r="BX338" i="24"/>
  <c r="BR339" i="24"/>
  <c r="BS339" i="24"/>
  <c r="BU339" i="24"/>
  <c r="BV339" i="24"/>
  <c r="BX339" i="24"/>
  <c r="BR340" i="24"/>
  <c r="BS340" i="24"/>
  <c r="BU340" i="24"/>
  <c r="BV340" i="24"/>
  <c r="BX340" i="24"/>
  <c r="BR341" i="24"/>
  <c r="BS341" i="24"/>
  <c r="BU341" i="24"/>
  <c r="BV341" i="24"/>
  <c r="BX341" i="24"/>
  <c r="BR342" i="24"/>
  <c r="BS342" i="24"/>
  <c r="BU342" i="24"/>
  <c r="BV342" i="24"/>
  <c r="BX342" i="24"/>
  <c r="BR343" i="24"/>
  <c r="BS343" i="24"/>
  <c r="BU343" i="24"/>
  <c r="BV343" i="24"/>
  <c r="BX343" i="24"/>
  <c r="BR344" i="24"/>
  <c r="BS344" i="24"/>
  <c r="BU344" i="24"/>
  <c r="BV344" i="24"/>
  <c r="BX344" i="24"/>
  <c r="BR345" i="24"/>
  <c r="BS345" i="24"/>
  <c r="BU345" i="24"/>
  <c r="BV345" i="24"/>
  <c r="BX345" i="24"/>
  <c r="BR346" i="24"/>
  <c r="BS346" i="24"/>
  <c r="BU346" i="24"/>
  <c r="BV346" i="24"/>
  <c r="BX346" i="24"/>
  <c r="BR347" i="24"/>
  <c r="BS347" i="24"/>
  <c r="BU347" i="24"/>
  <c r="BV347" i="24"/>
  <c r="BX347" i="24"/>
  <c r="BR348" i="24"/>
  <c r="BS348" i="24"/>
  <c r="BU348" i="24"/>
  <c r="BV348" i="24"/>
  <c r="BX348" i="24"/>
  <c r="BR349" i="24"/>
  <c r="BS349" i="24"/>
  <c r="BU349" i="24"/>
  <c r="BV349" i="24"/>
  <c r="BX349" i="24"/>
  <c r="BR350" i="24"/>
  <c r="BS350" i="24"/>
  <c r="BU350" i="24"/>
  <c r="BV350" i="24"/>
  <c r="BX350" i="24"/>
  <c r="BR351" i="24"/>
  <c r="BS351" i="24"/>
  <c r="BU351" i="24"/>
  <c r="BV351" i="24"/>
  <c r="BX351" i="24"/>
  <c r="BR352" i="24"/>
  <c r="BS352" i="24"/>
  <c r="BU352" i="24"/>
  <c r="BV352" i="24"/>
  <c r="BX352" i="24"/>
  <c r="BR353" i="24"/>
  <c r="BS353" i="24"/>
  <c r="BU353" i="24"/>
  <c r="BV353" i="24"/>
  <c r="BX353" i="24"/>
  <c r="BR354" i="24"/>
  <c r="BS354" i="24"/>
  <c r="BU354" i="24"/>
  <c r="BV354" i="24"/>
  <c r="BX354" i="24"/>
  <c r="BR355" i="24"/>
  <c r="BS355" i="24"/>
  <c r="BU355" i="24"/>
  <c r="BV355" i="24"/>
  <c r="BX355" i="24"/>
  <c r="BR356" i="24"/>
  <c r="BS356" i="24"/>
  <c r="BU356" i="24"/>
  <c r="BV356" i="24"/>
  <c r="BX356" i="24"/>
  <c r="BR357" i="24"/>
  <c r="BS357" i="24"/>
  <c r="BU357" i="24"/>
  <c r="BV357" i="24"/>
  <c r="BX357" i="24"/>
  <c r="BR358" i="24"/>
  <c r="BS358" i="24"/>
  <c r="BU358" i="24"/>
  <c r="BV358" i="24"/>
  <c r="BX358" i="24"/>
  <c r="BR359" i="24"/>
  <c r="BS359" i="24"/>
  <c r="BU359" i="24"/>
  <c r="BV359" i="24"/>
  <c r="BX359" i="24"/>
  <c r="BR360" i="24"/>
  <c r="BS360" i="24"/>
  <c r="BU360" i="24"/>
  <c r="BV360" i="24"/>
  <c r="BX360" i="24"/>
  <c r="BR361" i="24"/>
  <c r="BS361" i="24"/>
  <c r="BU361" i="24"/>
  <c r="BV361" i="24"/>
  <c r="BX361" i="24"/>
  <c r="BR362" i="24"/>
  <c r="BS362" i="24"/>
  <c r="BU362" i="24"/>
  <c r="BV362" i="24"/>
  <c r="BX362" i="24"/>
  <c r="BR363" i="24"/>
  <c r="BS363" i="24"/>
  <c r="BU363" i="24"/>
  <c r="BV363" i="24"/>
  <c r="BX363" i="24"/>
  <c r="BR364" i="24"/>
  <c r="BS364" i="24"/>
  <c r="BU364" i="24"/>
  <c r="BV364" i="24"/>
  <c r="BX364" i="24"/>
  <c r="BR365" i="24"/>
  <c r="BS365" i="24"/>
  <c r="BU365" i="24"/>
  <c r="BV365" i="24"/>
  <c r="BX365" i="24"/>
  <c r="BR366" i="24"/>
  <c r="BS366" i="24"/>
  <c r="BU366" i="24"/>
  <c r="BV366" i="24"/>
  <c r="BX366" i="24"/>
  <c r="BR367" i="24"/>
  <c r="BS367" i="24"/>
  <c r="BU367" i="24"/>
  <c r="BV367" i="24"/>
  <c r="BX367" i="24"/>
  <c r="BR368" i="24"/>
  <c r="BS368" i="24"/>
  <c r="BU368" i="24"/>
  <c r="BV368" i="24"/>
  <c r="BX368" i="24"/>
  <c r="BR369" i="24"/>
  <c r="BS369" i="24"/>
  <c r="BU369" i="24"/>
  <c r="BV369" i="24"/>
  <c r="BX369" i="24"/>
  <c r="BR370" i="24"/>
  <c r="BS370" i="24"/>
  <c r="BU370" i="24"/>
  <c r="BV370" i="24"/>
  <c r="BX370" i="24"/>
  <c r="BR371" i="24"/>
  <c r="BS371" i="24"/>
  <c r="BU371" i="24"/>
  <c r="BV371" i="24"/>
  <c r="BX371" i="24"/>
  <c r="BR372" i="24"/>
  <c r="BS372" i="24"/>
  <c r="BU372" i="24"/>
  <c r="BV372" i="24"/>
  <c r="BX372" i="24"/>
  <c r="BR373" i="24"/>
  <c r="BS373" i="24"/>
  <c r="BU373" i="24"/>
  <c r="BV373" i="24"/>
  <c r="BX373" i="24"/>
  <c r="BR374" i="24"/>
  <c r="BS374" i="24"/>
  <c r="BU374" i="24"/>
  <c r="BV374" i="24"/>
  <c r="BX374" i="24"/>
  <c r="BR375" i="24"/>
  <c r="BS375" i="24"/>
  <c r="BU375" i="24"/>
  <c r="BV375" i="24"/>
  <c r="BX375" i="24"/>
  <c r="BR376" i="24"/>
  <c r="BS376" i="24"/>
  <c r="BU376" i="24"/>
  <c r="BV376" i="24"/>
  <c r="BX376" i="24"/>
  <c r="BR377" i="24"/>
  <c r="BS377" i="24"/>
  <c r="BU377" i="24"/>
  <c r="BV377" i="24"/>
  <c r="BX377" i="24"/>
  <c r="BX12" i="24"/>
  <c r="BV12" i="24"/>
  <c r="BU12" i="24"/>
  <c r="BS12" i="24"/>
  <c r="BR12" i="24"/>
  <c r="CC342" i="24" l="1"/>
  <c r="CC334" i="24"/>
  <c r="CC310" i="24"/>
  <c r="CC278" i="24"/>
  <c r="CC182" i="24"/>
  <c r="CC158" i="24"/>
  <c r="CC94" i="24"/>
  <c r="CC366" i="24"/>
  <c r="CC358" i="24"/>
  <c r="CC350" i="24"/>
  <c r="CC326" i="24"/>
  <c r="CC302" i="24"/>
  <c r="CC286" i="24"/>
  <c r="CC262" i="24"/>
  <c r="CC254" i="24"/>
  <c r="CC238" i="24"/>
  <c r="CC214" i="24"/>
  <c r="CC190" i="24"/>
  <c r="CC110" i="24"/>
  <c r="CC70" i="24"/>
  <c r="CC90" i="24"/>
  <c r="CC170" i="24"/>
  <c r="CC82" i="24"/>
  <c r="CC66" i="24"/>
  <c r="CC362" i="24"/>
  <c r="CC354" i="24"/>
  <c r="CC346" i="24"/>
  <c r="CC338" i="24"/>
  <c r="CC322" i="24"/>
  <c r="CC314" i="24"/>
  <c r="CC290" i="24"/>
  <c r="CC274" i="24"/>
  <c r="CC266" i="24"/>
  <c r="CC258" i="24"/>
  <c r="CC242" i="24"/>
  <c r="CC210" i="24"/>
  <c r="CC186" i="24"/>
  <c r="CC178" i="24"/>
  <c r="CC154" i="24"/>
  <c r="CC146" i="24"/>
  <c r="CC130" i="24"/>
  <c r="CC122" i="24"/>
  <c r="CC318" i="24"/>
  <c r="CC150" i="24"/>
  <c r="CC62" i="24"/>
  <c r="CC58" i="24"/>
  <c r="CC54" i="24"/>
  <c r="CC50" i="24"/>
  <c r="CC46" i="24"/>
  <c r="CC365" i="24"/>
  <c r="CC377" i="24"/>
  <c r="CC373" i="24"/>
  <c r="CC369" i="24"/>
  <c r="CC361" i="24"/>
  <c r="CC357" i="24"/>
  <c r="CC353" i="24"/>
  <c r="CC349" i="24"/>
  <c r="CC345" i="24"/>
  <c r="CC341" i="24"/>
  <c r="CC337" i="24"/>
  <c r="CC333" i="24"/>
  <c r="CC329" i="24"/>
  <c r="CC325" i="24"/>
  <c r="CC321" i="24"/>
  <c r="CC317" i="24"/>
  <c r="CC313" i="24"/>
  <c r="CC309" i="24"/>
  <c r="CC305" i="24"/>
  <c r="CC301" i="24"/>
  <c r="CC297" i="24"/>
  <c r="CC293" i="24"/>
  <c r="CC289" i="24"/>
  <c r="CC285" i="24"/>
  <c r="CC281" i="24"/>
  <c r="CC277" i="24"/>
  <c r="CC273" i="24"/>
  <c r="CC269" i="24"/>
  <c r="CC257" i="24"/>
  <c r="CC253" i="24"/>
  <c r="CC249" i="24"/>
  <c r="CC245" i="24"/>
  <c r="CC241" i="24"/>
  <c r="CC237" i="24"/>
  <c r="CC233" i="24"/>
  <c r="CC229" i="24"/>
  <c r="CC221" i="24"/>
  <c r="CC217" i="24"/>
  <c r="CC213" i="24"/>
  <c r="CC209" i="24"/>
  <c r="CC205" i="24"/>
  <c r="CC201" i="24"/>
  <c r="CC197" i="24"/>
  <c r="CC193" i="24"/>
  <c r="CC189" i="24"/>
  <c r="CC185" i="24"/>
  <c r="CC181" i="24"/>
  <c r="CC177" i="24"/>
  <c r="CC173" i="24"/>
  <c r="CC169" i="24"/>
  <c r="CC165" i="24"/>
  <c r="CC161" i="24"/>
  <c r="CC157" i="24"/>
  <c r="CC153" i="24"/>
  <c r="CC149" i="24"/>
  <c r="CC145" i="24"/>
  <c r="CC141" i="24"/>
  <c r="CC137" i="24"/>
  <c r="CC133" i="24"/>
  <c r="CC129" i="24"/>
  <c r="CC125" i="24"/>
  <c r="CC121" i="24"/>
  <c r="CC117" i="24"/>
  <c r="CC113" i="24"/>
  <c r="CC109" i="24"/>
  <c r="CC105" i="24"/>
  <c r="CC101" i="24"/>
  <c r="CC97" i="24"/>
  <c r="CC93" i="24"/>
  <c r="CC89" i="24"/>
  <c r="CC85" i="24"/>
  <c r="CC81" i="24"/>
  <c r="CC77" i="24"/>
  <c r="CC73" i="24"/>
  <c r="CC69" i="24"/>
  <c r="CC65" i="24"/>
  <c r="CC61" i="24"/>
  <c r="CC57" i="24"/>
  <c r="CC53" i="24"/>
  <c r="CC49" i="24"/>
  <c r="CC45" i="24"/>
  <c r="CC41" i="24"/>
  <c r="CC37" i="24"/>
  <c r="CC33" i="24"/>
  <c r="CC29" i="24"/>
  <c r="CC25" i="24"/>
  <c r="CC21" i="24"/>
  <c r="CC17" i="24"/>
  <c r="CC13" i="24"/>
  <c r="CC376" i="24"/>
  <c r="CC368" i="24"/>
  <c r="CC364" i="24"/>
  <c r="CC356" i="24"/>
  <c r="CC348" i="24"/>
  <c r="CC344" i="24"/>
  <c r="CC340" i="24"/>
  <c r="CC332" i="24"/>
  <c r="CC324" i="24"/>
  <c r="CC312" i="24"/>
  <c r="CC296" i="24"/>
  <c r="CC292" i="24"/>
  <c r="CC284" i="24"/>
  <c r="CC276" i="24"/>
  <c r="CC264" i="24"/>
  <c r="CC256" i="24"/>
  <c r="CC248" i="24"/>
  <c r="CC240" i="24"/>
  <c r="CC232" i="24"/>
  <c r="CC224" i="24"/>
  <c r="CC220" i="24"/>
  <c r="CC212" i="24"/>
  <c r="CC204" i="24"/>
  <c r="CC196" i="24"/>
  <c r="CC192" i="24"/>
  <c r="CC184" i="24"/>
  <c r="CC172" i="24"/>
  <c r="CC160" i="24"/>
  <c r="CC152" i="24"/>
  <c r="CC148" i="24"/>
  <c r="CC140" i="24"/>
  <c r="CC136" i="24"/>
  <c r="CC132" i="24"/>
  <c r="CC120" i="24"/>
  <c r="CC104" i="24"/>
  <c r="CC92" i="24"/>
  <c r="CC88" i="24"/>
  <c r="CC76" i="24"/>
  <c r="CC56" i="24"/>
  <c r="CC52" i="24"/>
  <c r="CC44" i="24"/>
  <c r="CC32" i="24"/>
  <c r="CC28" i="24"/>
  <c r="CC20" i="24"/>
  <c r="CC16" i="24"/>
  <c r="CC12" i="24"/>
  <c r="CC374" i="24"/>
  <c r="CC370" i="24"/>
  <c r="CC330" i="24"/>
  <c r="CC306" i="24"/>
  <c r="CC298" i="24"/>
  <c r="CC294" i="24"/>
  <c r="CC282" i="24"/>
  <c r="CC270" i="24"/>
  <c r="CC250" i="24"/>
  <c r="CC246" i="24"/>
  <c r="CC206" i="24"/>
  <c r="CC202" i="24"/>
  <c r="CC198" i="24"/>
  <c r="CC194" i="24"/>
  <c r="CC174" i="24"/>
  <c r="CC166" i="24"/>
  <c r="CC162" i="24"/>
  <c r="CC142" i="24"/>
  <c r="CC138" i="24"/>
  <c r="CC134" i="24"/>
  <c r="CC126" i="24"/>
  <c r="CC118" i="24"/>
  <c r="CC114" i="24"/>
  <c r="CC106" i="24"/>
  <c r="CC102" i="24"/>
  <c r="CC98" i="24"/>
  <c r="CC86" i="24"/>
  <c r="CC78" i="24"/>
  <c r="CC74" i="24"/>
  <c r="CC42" i="24"/>
  <c r="CC38" i="24"/>
  <c r="CC34" i="24"/>
  <c r="CC30" i="24"/>
  <c r="CC26" i="24"/>
  <c r="CC22" i="24"/>
  <c r="CC18" i="24"/>
  <c r="CC14" i="24"/>
  <c r="CC372" i="24"/>
  <c r="CC360" i="24"/>
  <c r="CC352" i="24"/>
  <c r="CC336" i="24"/>
  <c r="CC328" i="24"/>
  <c r="CC320" i="24"/>
  <c r="CC316" i="24"/>
  <c r="CC308" i="24"/>
  <c r="CC304" i="24"/>
  <c r="CC300" i="24"/>
  <c r="CC288" i="24"/>
  <c r="CC280" i="24"/>
  <c r="CC272" i="24"/>
  <c r="CC252" i="24"/>
  <c r="CC244" i="24"/>
  <c r="CC236" i="24"/>
  <c r="CC228" i="24"/>
  <c r="CC216" i="24"/>
  <c r="CC208" i="24"/>
  <c r="CC200" i="24"/>
  <c r="CC188" i="24"/>
  <c r="CC180" i="24"/>
  <c r="CC176" i="24"/>
  <c r="CC168" i="24"/>
  <c r="CC164" i="24"/>
  <c r="CC156" i="24"/>
  <c r="CC144" i="24"/>
  <c r="CC128" i="24"/>
  <c r="CC124" i="24"/>
  <c r="CC116" i="24"/>
  <c r="CC112" i="24"/>
  <c r="CC108" i="24"/>
  <c r="CC100" i="24"/>
  <c r="CC96" i="24"/>
  <c r="CC84" i="24"/>
  <c r="CC80" i="24"/>
  <c r="CC72" i="24"/>
  <c r="CC68" i="24"/>
  <c r="CC64" i="24"/>
  <c r="CC60" i="24"/>
  <c r="CC48" i="24"/>
  <c r="CC40" i="24"/>
  <c r="CC36" i="24"/>
  <c r="CC24" i="24"/>
  <c r="CC375" i="24"/>
  <c r="CC371" i="24"/>
  <c r="CC367" i="24"/>
  <c r="CC363" i="24"/>
  <c r="CC359" i="24"/>
  <c r="CC355" i="24"/>
  <c r="CC351" i="24"/>
  <c r="CC347" i="24"/>
  <c r="CC343" i="24"/>
  <c r="CC339" i="24"/>
  <c r="CC335" i="24"/>
  <c r="CC331" i="24"/>
  <c r="CC327" i="24"/>
  <c r="CC323" i="24"/>
  <c r="CC319" i="24"/>
  <c r="CC315" i="24"/>
  <c r="CC311" i="24"/>
  <c r="CC307" i="24"/>
  <c r="CC303" i="24"/>
  <c r="CC299" i="24"/>
  <c r="CC295" i="24"/>
  <c r="CC291" i="24"/>
  <c r="CC287" i="24"/>
  <c r="CC283" i="24"/>
  <c r="CC279" i="24"/>
  <c r="CC275" i="24"/>
  <c r="CC271" i="24"/>
  <c r="CC247" i="24"/>
  <c r="CC243" i="24"/>
  <c r="CC235" i="24"/>
  <c r="CC231" i="24"/>
  <c r="CC227" i="24"/>
  <c r="CC223" i="24"/>
  <c r="CC215" i="24"/>
  <c r="CC211" i="24"/>
  <c r="CC207" i="24"/>
  <c r="CC203" i="24"/>
  <c r="CC199" i="24"/>
  <c r="CC195" i="24"/>
  <c r="CC191" i="24"/>
  <c r="CC187" i="24"/>
  <c r="CC183" i="24"/>
  <c r="CC179" i="24"/>
  <c r="CC175" i="24"/>
  <c r="CC171" i="24"/>
  <c r="CC167" i="24"/>
  <c r="CC163" i="24"/>
  <c r="CC159" i="24"/>
  <c r="CC155" i="24"/>
  <c r="CC151" i="24"/>
  <c r="CC147" i="24"/>
  <c r="CC143" i="24"/>
  <c r="CC139" i="24"/>
  <c r="CC135" i="24"/>
  <c r="CC131" i="24"/>
  <c r="CC127" i="24"/>
  <c r="CC123" i="24"/>
  <c r="CC119" i="24"/>
  <c r="CC115" i="24"/>
  <c r="CC111" i="24"/>
  <c r="CC107" i="24"/>
  <c r="CC103" i="24"/>
  <c r="CC99" i="24"/>
  <c r="CC95" i="24"/>
  <c r="CC91" i="24"/>
  <c r="CC87" i="24"/>
  <c r="CC83" i="24"/>
  <c r="CC79" i="24"/>
  <c r="CC75" i="24"/>
  <c r="CC71" i="24"/>
  <c r="CC67" i="24"/>
  <c r="CC63" i="24"/>
  <c r="CC59" i="24"/>
  <c r="CC55" i="24"/>
  <c r="CC51" i="24"/>
  <c r="CC47" i="24"/>
  <c r="CC43" i="24"/>
  <c r="CC39" i="24"/>
  <c r="CC35" i="24"/>
  <c r="CC31" i="24"/>
  <c r="CC27" i="24"/>
  <c r="CC23" i="24"/>
  <c r="CC19" i="24"/>
  <c r="CC15" i="24"/>
  <c r="CC268" i="24"/>
  <c r="CC267" i="24"/>
  <c r="CC265" i="24"/>
  <c r="CC263" i="24"/>
  <c r="CC261" i="24"/>
  <c r="CC259" i="24"/>
  <c r="CC260" i="24"/>
  <c r="CC255" i="24"/>
  <c r="CC251" i="24"/>
  <c r="CC239" i="24"/>
  <c r="CC234" i="24"/>
  <c r="CC230" i="24"/>
  <c r="CC226" i="24"/>
  <c r="CC225" i="24"/>
  <c r="CC222" i="24"/>
  <c r="CC219" i="24"/>
  <c r="CC218" i="24"/>
  <c r="L4" i="35" l="1"/>
  <c r="X13" i="49" l="1"/>
  <c r="W13" i="49"/>
  <c r="V13" i="49"/>
  <c r="X12" i="49"/>
  <c r="W12" i="49"/>
  <c r="V12" i="49"/>
  <c r="X11" i="49"/>
  <c r="W11" i="49"/>
  <c r="V11" i="49"/>
  <c r="X10" i="49"/>
  <c r="W10" i="49"/>
  <c r="V10" i="49"/>
  <c r="X9" i="49"/>
  <c r="W9" i="49"/>
  <c r="V9" i="49"/>
  <c r="X8" i="49"/>
  <c r="W8" i="49"/>
  <c r="V8" i="49"/>
  <c r="A8" i="49"/>
  <c r="C25" i="49" s="1"/>
  <c r="O62" i="42"/>
  <c r="N62" i="42"/>
  <c r="M62" i="42"/>
  <c r="L62" i="42"/>
  <c r="D20" i="44" s="1"/>
  <c r="O61" i="42"/>
  <c r="N61" i="42"/>
  <c r="M61" i="42"/>
  <c r="L61" i="42"/>
  <c r="I19" i="44" s="1"/>
  <c r="O60" i="42"/>
  <c r="N60" i="42"/>
  <c r="M60" i="42"/>
  <c r="L60" i="42"/>
  <c r="M18" i="44" s="1"/>
  <c r="O59" i="42"/>
  <c r="N59" i="42"/>
  <c r="M59" i="42"/>
  <c r="L59" i="42"/>
  <c r="M17" i="44" s="1"/>
  <c r="O58" i="42"/>
  <c r="N58" i="42"/>
  <c r="M58" i="42"/>
  <c r="L58" i="42"/>
  <c r="L16" i="44" s="1"/>
  <c r="O57" i="42"/>
  <c r="N57" i="42"/>
  <c r="M57" i="42"/>
  <c r="L57" i="42"/>
  <c r="J15" i="44" s="1"/>
  <c r="O56" i="42"/>
  <c r="N56" i="42"/>
  <c r="M56" i="42"/>
  <c r="L56" i="42"/>
  <c r="I14" i="44" s="1"/>
  <c r="O55" i="42"/>
  <c r="N55" i="42"/>
  <c r="M55" i="42"/>
  <c r="L55" i="42"/>
  <c r="M13" i="44" s="1"/>
  <c r="O54" i="42"/>
  <c r="N54" i="42"/>
  <c r="M54" i="42"/>
  <c r="L54" i="42"/>
  <c r="D12" i="44" s="1"/>
  <c r="O53" i="42"/>
  <c r="N53" i="42"/>
  <c r="M53" i="42"/>
  <c r="L53" i="42"/>
  <c r="L11" i="44" s="1"/>
  <c r="O52" i="42"/>
  <c r="N52" i="42"/>
  <c r="M52" i="42"/>
  <c r="L52" i="42"/>
  <c r="M10" i="44" s="1"/>
  <c r="O51" i="42"/>
  <c r="N51" i="42"/>
  <c r="M51" i="42"/>
  <c r="L51" i="42"/>
  <c r="J9" i="44" s="1"/>
  <c r="C9" i="42"/>
  <c r="I8" i="42"/>
  <c r="F8" i="42"/>
  <c r="E8" i="42"/>
  <c r="C8" i="42"/>
  <c r="C7" i="42"/>
  <c r="C6" i="42"/>
  <c r="F233" i="23"/>
  <c r="F232" i="23"/>
  <c r="F231" i="23"/>
  <c r="F230" i="23"/>
  <c r="F229" i="23"/>
  <c r="F228" i="23"/>
  <c r="F227" i="23"/>
  <c r="F226" i="23"/>
  <c r="F225" i="23"/>
  <c r="F224" i="23"/>
  <c r="F223" i="23"/>
  <c r="G222" i="23"/>
  <c r="F222" i="23"/>
  <c r="G221" i="23"/>
  <c r="F221" i="23"/>
  <c r="G220"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N18" i="23"/>
  <c r="M18" i="23"/>
  <c r="F18" i="23"/>
  <c r="N17" i="23"/>
  <c r="M17" i="23"/>
  <c r="F17" i="23"/>
  <c r="N16" i="23"/>
  <c r="M16" i="23"/>
  <c r="F16" i="23"/>
  <c r="M15" i="23"/>
  <c r="F15" i="23"/>
  <c r="N14" i="23"/>
  <c r="F14" i="23"/>
  <c r="N13" i="23"/>
  <c r="F13" i="23"/>
  <c r="N12" i="23"/>
  <c r="F12" i="23"/>
  <c r="F11" i="23"/>
  <c r="N10" i="23"/>
  <c r="M10" i="23"/>
  <c r="F10" i="23"/>
  <c r="M9" i="23"/>
  <c r="F9" i="23"/>
  <c r="F8" i="23"/>
  <c r="F7" i="23"/>
  <c r="F6" i="23"/>
  <c r="F5" i="23"/>
  <c r="F4" i="23"/>
  <c r="C7" i="30"/>
  <c r="C21" i="30" s="1"/>
  <c r="M6" i="29"/>
  <c r="M2" i="29"/>
  <c r="M3" i="29" s="1"/>
  <c r="BP381" i="24"/>
  <c r="BN381" i="24"/>
  <c r="BM381" i="24"/>
  <c r="BH381" i="24"/>
  <c r="BG381" i="24"/>
  <c r="BF381" i="24"/>
  <c r="BE381" i="24"/>
  <c r="BD381" i="24"/>
  <c r="BC381" i="24"/>
  <c r="AC381" i="24" s="1"/>
  <c r="BB381" i="24"/>
  <c r="BA381" i="24"/>
  <c r="AZ381" i="24"/>
  <c r="AY381" i="24"/>
  <c r="AX381" i="24"/>
  <c r="AW381" i="24"/>
  <c r="AV381" i="24"/>
  <c r="AU381" i="24"/>
  <c r="AT381" i="24"/>
  <c r="AO381" i="24"/>
  <c r="AN381" i="24"/>
  <c r="AM381" i="24"/>
  <c r="X381" i="24"/>
  <c r="W381" i="24"/>
  <c r="U381" i="24"/>
  <c r="S381" i="24"/>
  <c r="R381" i="24"/>
  <c r="Q381" i="24"/>
  <c r="N381" i="24"/>
  <c r="M381" i="24"/>
  <c r="K381" i="24"/>
  <c r="I381" i="24"/>
  <c r="H381" i="24"/>
  <c r="G381" i="24"/>
  <c r="F381" i="24"/>
  <c r="E381" i="24"/>
  <c r="D381" i="24"/>
  <c r="BP380" i="24"/>
  <c r="BN380" i="24"/>
  <c r="BM380" i="24"/>
  <c r="BH380" i="24"/>
  <c r="BG380" i="24"/>
  <c r="BF380" i="24"/>
  <c r="BE380" i="24"/>
  <c r="BD380" i="24"/>
  <c r="BC380" i="24"/>
  <c r="AC380" i="24" s="1"/>
  <c r="BB380" i="24"/>
  <c r="BA380" i="24"/>
  <c r="AZ380" i="24"/>
  <c r="AY380" i="24"/>
  <c r="AX380" i="24"/>
  <c r="AW380" i="24"/>
  <c r="AV380" i="24"/>
  <c r="AU380" i="24"/>
  <c r="AT380" i="24"/>
  <c r="AO380" i="24"/>
  <c r="AN380" i="24"/>
  <c r="AM380" i="24"/>
  <c r="X380" i="24"/>
  <c r="W380" i="24"/>
  <c r="U380" i="24"/>
  <c r="S380" i="24"/>
  <c r="R380" i="24"/>
  <c r="Q380" i="24"/>
  <c r="N380" i="24"/>
  <c r="M380" i="24"/>
  <c r="K380" i="24"/>
  <c r="I380" i="24"/>
  <c r="H380" i="24"/>
  <c r="G380" i="24"/>
  <c r="F380" i="24"/>
  <c r="E380" i="24"/>
  <c r="D380" i="24"/>
  <c r="BP379" i="24"/>
  <c r="BN379" i="24"/>
  <c r="BM379" i="24"/>
  <c r="BH379" i="24"/>
  <c r="BG379" i="24"/>
  <c r="BF379" i="24"/>
  <c r="BE379" i="24"/>
  <c r="BD379" i="24"/>
  <c r="BC379" i="24"/>
  <c r="AC379" i="24" s="1"/>
  <c r="BB379" i="24"/>
  <c r="BA379" i="24"/>
  <c r="AZ379" i="24"/>
  <c r="AY379" i="24"/>
  <c r="AX379" i="24"/>
  <c r="AW379" i="24"/>
  <c r="AV379" i="24"/>
  <c r="AU379" i="24"/>
  <c r="AT379" i="24"/>
  <c r="AO379" i="24"/>
  <c r="AN379" i="24"/>
  <c r="AM379" i="24"/>
  <c r="X379" i="24"/>
  <c r="W379" i="24"/>
  <c r="U379" i="24"/>
  <c r="S379" i="24"/>
  <c r="R379" i="24"/>
  <c r="Q379" i="24"/>
  <c r="N379" i="24"/>
  <c r="M379" i="24"/>
  <c r="K379" i="24"/>
  <c r="I379" i="24"/>
  <c r="H379" i="24"/>
  <c r="G379" i="24"/>
  <c r="F379" i="24"/>
  <c r="E379" i="24"/>
  <c r="D379" i="24"/>
  <c r="BP378" i="24"/>
  <c r="BN378" i="24"/>
  <c r="BM378" i="24"/>
  <c r="BH378" i="24"/>
  <c r="BG378" i="24"/>
  <c r="BF378" i="24"/>
  <c r="BE378" i="24"/>
  <c r="BD378" i="24"/>
  <c r="BC378" i="24"/>
  <c r="AC378" i="24" s="1"/>
  <c r="BB378" i="24"/>
  <c r="BA378" i="24"/>
  <c r="AZ378" i="24"/>
  <c r="AY378" i="24"/>
  <c r="AX378" i="24"/>
  <c r="AW378" i="24"/>
  <c r="AV378" i="24"/>
  <c r="AU378" i="24"/>
  <c r="AT378" i="24"/>
  <c r="AO378" i="24"/>
  <c r="AN378" i="24"/>
  <c r="AM378" i="24"/>
  <c r="X378" i="24"/>
  <c r="W378" i="24"/>
  <c r="U378" i="24"/>
  <c r="S378" i="24"/>
  <c r="R378" i="24"/>
  <c r="Q378" i="24"/>
  <c r="N378" i="24"/>
  <c r="M378" i="24"/>
  <c r="K378" i="24"/>
  <c r="I378" i="24"/>
  <c r="H378" i="24"/>
  <c r="G378" i="24"/>
  <c r="F378" i="24"/>
  <c r="E378" i="24"/>
  <c r="D378" i="24"/>
  <c r="BP377" i="24"/>
  <c r="BN377" i="24"/>
  <c r="BM377" i="24"/>
  <c r="BH377" i="24"/>
  <c r="BG377" i="24"/>
  <c r="BF377" i="24"/>
  <c r="BE377" i="24"/>
  <c r="BD377" i="24"/>
  <c r="BC377" i="24"/>
  <c r="AC377" i="24" s="1"/>
  <c r="BB377" i="24"/>
  <c r="BA377" i="24"/>
  <c r="AZ377" i="24"/>
  <c r="AY377" i="24"/>
  <c r="AX377" i="24"/>
  <c r="AW377" i="24"/>
  <c r="AV377" i="24"/>
  <c r="AU377" i="24"/>
  <c r="AT377" i="24"/>
  <c r="AO377" i="24"/>
  <c r="AN377" i="24"/>
  <c r="AM377" i="24"/>
  <c r="X377" i="24"/>
  <c r="W377" i="24"/>
  <c r="U377" i="24"/>
  <c r="S377" i="24"/>
  <c r="R377" i="24"/>
  <c r="Q377" i="24"/>
  <c r="N377" i="24"/>
  <c r="M377" i="24"/>
  <c r="K377" i="24"/>
  <c r="I377" i="24"/>
  <c r="H377" i="24"/>
  <c r="G377" i="24"/>
  <c r="F377" i="24"/>
  <c r="E377" i="24"/>
  <c r="D377" i="24"/>
  <c r="BP376" i="24"/>
  <c r="BN376" i="24"/>
  <c r="BM376" i="24"/>
  <c r="BH376" i="24"/>
  <c r="BG376" i="24"/>
  <c r="BF376" i="24"/>
  <c r="BE376" i="24"/>
  <c r="BD376" i="24"/>
  <c r="BC376" i="24"/>
  <c r="AC376" i="24" s="1"/>
  <c r="BB376" i="24"/>
  <c r="BA376" i="24"/>
  <c r="AZ376" i="24"/>
  <c r="AY376" i="24"/>
  <c r="AX376" i="24"/>
  <c r="AW376" i="24"/>
  <c r="AV376" i="24"/>
  <c r="AU376" i="24"/>
  <c r="AT376" i="24"/>
  <c r="AO376" i="24"/>
  <c r="AN376" i="24"/>
  <c r="AM376" i="24"/>
  <c r="X376" i="24"/>
  <c r="W376" i="24"/>
  <c r="U376" i="24"/>
  <c r="S376" i="24"/>
  <c r="R376" i="24"/>
  <c r="Q376" i="24"/>
  <c r="N376" i="24"/>
  <c r="M376" i="24"/>
  <c r="K376" i="24"/>
  <c r="I376" i="24"/>
  <c r="H376" i="24"/>
  <c r="G376" i="24"/>
  <c r="F376" i="24"/>
  <c r="E376" i="24"/>
  <c r="D376" i="24"/>
  <c r="BP375" i="24"/>
  <c r="BN375" i="24"/>
  <c r="BM375" i="24"/>
  <c r="BH375" i="24"/>
  <c r="BG375" i="24"/>
  <c r="BF375" i="24"/>
  <c r="BE375" i="24"/>
  <c r="BD375" i="24"/>
  <c r="BC375" i="24"/>
  <c r="AC375" i="24" s="1"/>
  <c r="BB375" i="24"/>
  <c r="BA375" i="24"/>
  <c r="AZ375" i="24"/>
  <c r="AY375" i="24"/>
  <c r="AX375" i="24"/>
  <c r="AW375" i="24"/>
  <c r="AV375" i="24"/>
  <c r="AU375" i="24"/>
  <c r="AT375" i="24"/>
  <c r="AO375" i="24"/>
  <c r="AN375" i="24"/>
  <c r="AM375" i="24"/>
  <c r="X375" i="24"/>
  <c r="W375" i="24"/>
  <c r="U375" i="24"/>
  <c r="S375" i="24"/>
  <c r="R375" i="24"/>
  <c r="Q375" i="24"/>
  <c r="N375" i="24"/>
  <c r="M375" i="24"/>
  <c r="K375" i="24"/>
  <c r="I375" i="24"/>
  <c r="H375" i="24"/>
  <c r="G375" i="24"/>
  <c r="F375" i="24"/>
  <c r="E375" i="24"/>
  <c r="D375" i="24"/>
  <c r="BP374" i="24"/>
  <c r="BN374" i="24"/>
  <c r="BM374" i="24"/>
  <c r="BH374" i="24"/>
  <c r="BG374" i="24"/>
  <c r="BF374" i="24"/>
  <c r="BE374" i="24"/>
  <c r="BD374" i="24"/>
  <c r="BC374" i="24"/>
  <c r="AC374" i="24" s="1"/>
  <c r="BB374" i="24"/>
  <c r="BA374" i="24"/>
  <c r="AZ374" i="24"/>
  <c r="AY374" i="24"/>
  <c r="AX374" i="24"/>
  <c r="AW374" i="24"/>
  <c r="AV374" i="24"/>
  <c r="AU374" i="24"/>
  <c r="AT374" i="24"/>
  <c r="AO374" i="24"/>
  <c r="AN374" i="24"/>
  <c r="AM374" i="24"/>
  <c r="X374" i="24"/>
  <c r="W374" i="24"/>
  <c r="U374" i="24"/>
  <c r="S374" i="24"/>
  <c r="R374" i="24"/>
  <c r="Q374" i="24"/>
  <c r="N374" i="24"/>
  <c r="M374" i="24"/>
  <c r="K374" i="24"/>
  <c r="I374" i="24"/>
  <c r="H374" i="24"/>
  <c r="G374" i="24"/>
  <c r="F374" i="24"/>
  <c r="E374" i="24"/>
  <c r="D374" i="24"/>
  <c r="BP373" i="24"/>
  <c r="BN373" i="24"/>
  <c r="BM373" i="24"/>
  <c r="BH373" i="24"/>
  <c r="BG373" i="24"/>
  <c r="BF373" i="24"/>
  <c r="BE373" i="24"/>
  <c r="BD373" i="24"/>
  <c r="BC373" i="24"/>
  <c r="AC373" i="24" s="1"/>
  <c r="BB373" i="24"/>
  <c r="BA373" i="24"/>
  <c r="AZ373" i="24"/>
  <c r="AY373" i="24"/>
  <c r="AX373" i="24"/>
  <c r="AW373" i="24"/>
  <c r="AV373" i="24"/>
  <c r="AU373" i="24"/>
  <c r="AT373" i="24"/>
  <c r="AO373" i="24"/>
  <c r="AN373" i="24"/>
  <c r="AM373" i="24"/>
  <c r="X373" i="24"/>
  <c r="W373" i="24"/>
  <c r="U373" i="24"/>
  <c r="S373" i="24"/>
  <c r="R373" i="24"/>
  <c r="Q373" i="24"/>
  <c r="N373" i="24"/>
  <c r="M373" i="24"/>
  <c r="K373" i="24"/>
  <c r="I373" i="24"/>
  <c r="H373" i="24"/>
  <c r="G373" i="24"/>
  <c r="F373" i="24"/>
  <c r="E373" i="24"/>
  <c r="D373" i="24"/>
  <c r="BP372" i="24"/>
  <c r="BN372" i="24"/>
  <c r="BM372" i="24"/>
  <c r="BH372" i="24"/>
  <c r="BG372" i="24"/>
  <c r="BF372" i="24"/>
  <c r="BE372" i="24"/>
  <c r="BD372" i="24"/>
  <c r="BC372" i="24"/>
  <c r="AC372" i="24" s="1"/>
  <c r="BB372" i="24"/>
  <c r="BA372" i="24"/>
  <c r="AZ372" i="24"/>
  <c r="AY372" i="24"/>
  <c r="AX372" i="24"/>
  <c r="AW372" i="24"/>
  <c r="AV372" i="24"/>
  <c r="AU372" i="24"/>
  <c r="AT372" i="24"/>
  <c r="AO372" i="24"/>
  <c r="AN372" i="24"/>
  <c r="AM372" i="24"/>
  <c r="X372" i="24"/>
  <c r="W372" i="24"/>
  <c r="U372" i="24"/>
  <c r="S372" i="24"/>
  <c r="R372" i="24"/>
  <c r="Q372" i="24"/>
  <c r="N372" i="24"/>
  <c r="M372" i="24"/>
  <c r="K372" i="24"/>
  <c r="I372" i="24"/>
  <c r="H372" i="24"/>
  <c r="G372" i="24"/>
  <c r="F372" i="24"/>
  <c r="E372" i="24"/>
  <c r="D372" i="24"/>
  <c r="BP371" i="24"/>
  <c r="BN371" i="24"/>
  <c r="BM371" i="24"/>
  <c r="BH371" i="24"/>
  <c r="BG371" i="24"/>
  <c r="BF371" i="24"/>
  <c r="BE371" i="24"/>
  <c r="BD371" i="24"/>
  <c r="BC371" i="24"/>
  <c r="AC371" i="24" s="1"/>
  <c r="BB371" i="24"/>
  <c r="BA371" i="24"/>
  <c r="AZ371" i="24"/>
  <c r="AY371" i="24"/>
  <c r="AX371" i="24"/>
  <c r="AW371" i="24"/>
  <c r="AV371" i="24"/>
  <c r="AU371" i="24"/>
  <c r="AT371" i="24"/>
  <c r="AO371" i="24"/>
  <c r="AN371" i="24"/>
  <c r="AM371" i="24"/>
  <c r="X371" i="24"/>
  <c r="W371" i="24"/>
  <c r="U371" i="24"/>
  <c r="S371" i="24"/>
  <c r="R371" i="24"/>
  <c r="Q371" i="24"/>
  <c r="N371" i="24"/>
  <c r="M371" i="24"/>
  <c r="K371" i="24"/>
  <c r="I371" i="24"/>
  <c r="H371" i="24"/>
  <c r="G371" i="24"/>
  <c r="F371" i="24"/>
  <c r="E371" i="24"/>
  <c r="D371" i="24"/>
  <c r="BP370" i="24"/>
  <c r="BN370" i="24"/>
  <c r="BM370" i="24"/>
  <c r="BH370" i="24"/>
  <c r="BG370" i="24"/>
  <c r="BF370" i="24"/>
  <c r="BE370" i="24"/>
  <c r="BD370" i="24"/>
  <c r="BC370" i="24"/>
  <c r="AC370" i="24" s="1"/>
  <c r="BB370" i="24"/>
  <c r="BA370" i="24"/>
  <c r="AZ370" i="24"/>
  <c r="AY370" i="24"/>
  <c r="AX370" i="24"/>
  <c r="AW370" i="24"/>
  <c r="AV370" i="24"/>
  <c r="AU370" i="24"/>
  <c r="AT370" i="24"/>
  <c r="AO370" i="24"/>
  <c r="AN370" i="24"/>
  <c r="AM370" i="24"/>
  <c r="X370" i="24"/>
  <c r="W370" i="24"/>
  <c r="U370" i="24"/>
  <c r="S370" i="24"/>
  <c r="R370" i="24"/>
  <c r="Q370" i="24"/>
  <c r="N370" i="24"/>
  <c r="M370" i="24"/>
  <c r="K370" i="24"/>
  <c r="I370" i="24"/>
  <c r="H370" i="24"/>
  <c r="G370" i="24"/>
  <c r="F370" i="24"/>
  <c r="E370" i="24"/>
  <c r="D370" i="24"/>
  <c r="BP369" i="24"/>
  <c r="BN369" i="24"/>
  <c r="BM369" i="24"/>
  <c r="BH369" i="24"/>
  <c r="BG369" i="24"/>
  <c r="BF369" i="24"/>
  <c r="BE369" i="24"/>
  <c r="BD369" i="24"/>
  <c r="BC369" i="24"/>
  <c r="AC369" i="24" s="1"/>
  <c r="BB369" i="24"/>
  <c r="BA369" i="24"/>
  <c r="AZ369" i="24"/>
  <c r="AY369" i="24"/>
  <c r="AX369" i="24"/>
  <c r="AW369" i="24"/>
  <c r="AV369" i="24"/>
  <c r="AU369" i="24"/>
  <c r="AT369" i="24"/>
  <c r="AO369" i="24"/>
  <c r="AN369" i="24"/>
  <c r="AM369" i="24"/>
  <c r="X369" i="24"/>
  <c r="W369" i="24"/>
  <c r="U369" i="24"/>
  <c r="S369" i="24"/>
  <c r="R369" i="24"/>
  <c r="Q369" i="24"/>
  <c r="N369" i="24"/>
  <c r="M369" i="24"/>
  <c r="K369" i="24"/>
  <c r="I369" i="24"/>
  <c r="H369" i="24"/>
  <c r="G369" i="24"/>
  <c r="F369" i="24"/>
  <c r="E369" i="24"/>
  <c r="D369" i="24"/>
  <c r="BP368" i="24"/>
  <c r="BN368" i="24"/>
  <c r="BM368" i="24"/>
  <c r="BH368" i="24"/>
  <c r="BG368" i="24"/>
  <c r="BF368" i="24"/>
  <c r="BE368" i="24"/>
  <c r="BD368" i="24"/>
  <c r="BC368" i="24"/>
  <c r="AC368" i="24" s="1"/>
  <c r="BB368" i="24"/>
  <c r="BA368" i="24"/>
  <c r="AZ368" i="24"/>
  <c r="AY368" i="24"/>
  <c r="AX368" i="24"/>
  <c r="AW368" i="24"/>
  <c r="AV368" i="24"/>
  <c r="AU368" i="24"/>
  <c r="AT368" i="24"/>
  <c r="AO368" i="24"/>
  <c r="AN368" i="24"/>
  <c r="AM368" i="24"/>
  <c r="X368" i="24"/>
  <c r="W368" i="24"/>
  <c r="U368" i="24"/>
  <c r="S368" i="24"/>
  <c r="R368" i="24"/>
  <c r="Q368" i="24"/>
  <c r="N368" i="24"/>
  <c r="M368" i="24"/>
  <c r="K368" i="24"/>
  <c r="I368" i="24"/>
  <c r="H368" i="24"/>
  <c r="G368" i="24"/>
  <c r="F368" i="24"/>
  <c r="E368" i="24"/>
  <c r="D368" i="24"/>
  <c r="BP367" i="24"/>
  <c r="BN367" i="24"/>
  <c r="BM367" i="24"/>
  <c r="BH367" i="24"/>
  <c r="BG367" i="24"/>
  <c r="BF367" i="24"/>
  <c r="BE367" i="24"/>
  <c r="BD367" i="24"/>
  <c r="BC367" i="24"/>
  <c r="AC367" i="24" s="1"/>
  <c r="BB367" i="24"/>
  <c r="BA367" i="24"/>
  <c r="AZ367" i="24"/>
  <c r="AY367" i="24"/>
  <c r="AX367" i="24"/>
  <c r="AW367" i="24"/>
  <c r="AV367" i="24"/>
  <c r="AU367" i="24"/>
  <c r="AT367" i="24"/>
  <c r="AO367" i="24"/>
  <c r="AN367" i="24"/>
  <c r="AM367" i="24"/>
  <c r="X367" i="24"/>
  <c r="W367" i="24"/>
  <c r="U367" i="24"/>
  <c r="S367" i="24"/>
  <c r="R367" i="24"/>
  <c r="Q367" i="24"/>
  <c r="N367" i="24"/>
  <c r="M367" i="24"/>
  <c r="K367" i="24"/>
  <c r="I367" i="24"/>
  <c r="H367" i="24"/>
  <c r="G367" i="24"/>
  <c r="F367" i="24"/>
  <c r="E367" i="24"/>
  <c r="D367" i="24"/>
  <c r="BP366" i="24"/>
  <c r="BN366" i="24"/>
  <c r="BM366" i="24"/>
  <c r="BH366" i="24"/>
  <c r="BG366" i="24"/>
  <c r="BF366" i="24"/>
  <c r="BE366" i="24"/>
  <c r="BD366" i="24"/>
  <c r="BC366" i="24"/>
  <c r="AC366" i="24" s="1"/>
  <c r="BB366" i="24"/>
  <c r="BA366" i="24"/>
  <c r="AZ366" i="24"/>
  <c r="AY366" i="24"/>
  <c r="AX366" i="24"/>
  <c r="AW366" i="24"/>
  <c r="AV366" i="24"/>
  <c r="AU366" i="24"/>
  <c r="AT366" i="24"/>
  <c r="AO366" i="24"/>
  <c r="AN366" i="24"/>
  <c r="AM366" i="24"/>
  <c r="X366" i="24"/>
  <c r="W366" i="24"/>
  <c r="U366" i="24"/>
  <c r="S366" i="24"/>
  <c r="R366" i="24"/>
  <c r="Q366" i="24"/>
  <c r="N366" i="24"/>
  <c r="M366" i="24"/>
  <c r="K366" i="24"/>
  <c r="I366" i="24"/>
  <c r="H366" i="24"/>
  <c r="G366" i="24"/>
  <c r="F366" i="24"/>
  <c r="E366" i="24"/>
  <c r="D366" i="24"/>
  <c r="BP365" i="24"/>
  <c r="BN365" i="24"/>
  <c r="BM365" i="24"/>
  <c r="BH365" i="24"/>
  <c r="BG365" i="24"/>
  <c r="BF365" i="24"/>
  <c r="BE365" i="24"/>
  <c r="BD365" i="24"/>
  <c r="BC365" i="24"/>
  <c r="AC365" i="24" s="1"/>
  <c r="BB365" i="24"/>
  <c r="BA365" i="24"/>
  <c r="AZ365" i="24"/>
  <c r="AY365" i="24"/>
  <c r="AX365" i="24"/>
  <c r="AW365" i="24"/>
  <c r="AV365" i="24"/>
  <c r="AU365" i="24"/>
  <c r="AT365" i="24"/>
  <c r="AO365" i="24"/>
  <c r="AN365" i="24"/>
  <c r="AM365" i="24"/>
  <c r="X365" i="24"/>
  <c r="W365" i="24"/>
  <c r="U365" i="24"/>
  <c r="S365" i="24"/>
  <c r="R365" i="24"/>
  <c r="Q365" i="24"/>
  <c r="N365" i="24"/>
  <c r="M365" i="24"/>
  <c r="K365" i="24"/>
  <c r="I365" i="24"/>
  <c r="H365" i="24"/>
  <c r="G365" i="24"/>
  <c r="F365" i="24"/>
  <c r="E365" i="24"/>
  <c r="D365" i="24"/>
  <c r="BP364" i="24"/>
  <c r="BN364" i="24"/>
  <c r="BM364" i="24"/>
  <c r="BH364" i="24"/>
  <c r="BG364" i="24"/>
  <c r="BF364" i="24"/>
  <c r="BE364" i="24"/>
  <c r="BD364" i="24"/>
  <c r="BC364" i="24"/>
  <c r="AC364" i="24" s="1"/>
  <c r="BB364" i="24"/>
  <c r="BA364" i="24"/>
  <c r="AZ364" i="24"/>
  <c r="AY364" i="24"/>
  <c r="AX364" i="24"/>
  <c r="AW364" i="24"/>
  <c r="AV364" i="24"/>
  <c r="AU364" i="24"/>
  <c r="AT364" i="24"/>
  <c r="AO364" i="24"/>
  <c r="AN364" i="24"/>
  <c r="AM364" i="24"/>
  <c r="X364" i="24"/>
  <c r="W364" i="24"/>
  <c r="U364" i="24"/>
  <c r="S364" i="24"/>
  <c r="R364" i="24"/>
  <c r="Q364" i="24"/>
  <c r="N364" i="24"/>
  <c r="M364" i="24"/>
  <c r="K364" i="24"/>
  <c r="I364" i="24"/>
  <c r="H364" i="24"/>
  <c r="G364" i="24"/>
  <c r="F364" i="24"/>
  <c r="E364" i="24"/>
  <c r="D364" i="24"/>
  <c r="BP363" i="24"/>
  <c r="BN363" i="24"/>
  <c r="BM363" i="24"/>
  <c r="BH363" i="24"/>
  <c r="BG363" i="24"/>
  <c r="BF363" i="24"/>
  <c r="BE363" i="24"/>
  <c r="BD363" i="24"/>
  <c r="BC363" i="24"/>
  <c r="AC363" i="24" s="1"/>
  <c r="BB363" i="24"/>
  <c r="BA363" i="24"/>
  <c r="AZ363" i="24"/>
  <c r="AY363" i="24"/>
  <c r="AX363" i="24"/>
  <c r="AW363" i="24"/>
  <c r="AV363" i="24"/>
  <c r="AU363" i="24"/>
  <c r="AT363" i="24"/>
  <c r="AO363" i="24"/>
  <c r="AN363" i="24"/>
  <c r="AM363" i="24"/>
  <c r="X363" i="24"/>
  <c r="W363" i="24"/>
  <c r="U363" i="24"/>
  <c r="S363" i="24"/>
  <c r="R363" i="24"/>
  <c r="Q363" i="24"/>
  <c r="N363" i="24"/>
  <c r="M363" i="24"/>
  <c r="K363" i="24"/>
  <c r="I363" i="24"/>
  <c r="H363" i="24"/>
  <c r="G363" i="24"/>
  <c r="F363" i="24"/>
  <c r="E363" i="24"/>
  <c r="D363" i="24"/>
  <c r="BP362" i="24"/>
  <c r="BN362" i="24"/>
  <c r="BM362" i="24"/>
  <c r="BH362" i="24"/>
  <c r="BG362" i="24"/>
  <c r="BF362" i="24"/>
  <c r="BE362" i="24"/>
  <c r="BD362" i="24"/>
  <c r="BC362" i="24"/>
  <c r="AC362" i="24" s="1"/>
  <c r="BB362" i="24"/>
  <c r="BA362" i="24"/>
  <c r="AZ362" i="24"/>
  <c r="AY362" i="24"/>
  <c r="AX362" i="24"/>
  <c r="AW362" i="24"/>
  <c r="AV362" i="24"/>
  <c r="AU362" i="24"/>
  <c r="AT362" i="24"/>
  <c r="AO362" i="24"/>
  <c r="AN362" i="24"/>
  <c r="AM362" i="24"/>
  <c r="X362" i="24"/>
  <c r="W362" i="24"/>
  <c r="U362" i="24"/>
  <c r="S362" i="24"/>
  <c r="R362" i="24"/>
  <c r="Q362" i="24"/>
  <c r="N362" i="24"/>
  <c r="M362" i="24"/>
  <c r="K362" i="24"/>
  <c r="I362" i="24"/>
  <c r="H362" i="24"/>
  <c r="G362" i="24"/>
  <c r="F362" i="24"/>
  <c r="E362" i="24"/>
  <c r="D362" i="24"/>
  <c r="BP361" i="24"/>
  <c r="BN361" i="24"/>
  <c r="BM361" i="24"/>
  <c r="BH361" i="24"/>
  <c r="BG361" i="24"/>
  <c r="BF361" i="24"/>
  <c r="BE361" i="24"/>
  <c r="BD361" i="24"/>
  <c r="BC361" i="24"/>
  <c r="AC361" i="24" s="1"/>
  <c r="BB361" i="24"/>
  <c r="BA361" i="24"/>
  <c r="AZ361" i="24"/>
  <c r="AY361" i="24"/>
  <c r="AX361" i="24"/>
  <c r="AW361" i="24"/>
  <c r="AV361" i="24"/>
  <c r="AU361" i="24"/>
  <c r="AT361" i="24"/>
  <c r="AO361" i="24"/>
  <c r="AN361" i="24"/>
  <c r="AM361" i="24"/>
  <c r="X361" i="24"/>
  <c r="W361" i="24"/>
  <c r="U361" i="24"/>
  <c r="S361" i="24"/>
  <c r="R361" i="24"/>
  <c r="Q361" i="24"/>
  <c r="N361" i="24"/>
  <c r="M361" i="24"/>
  <c r="K361" i="24"/>
  <c r="I361" i="24"/>
  <c r="H361" i="24"/>
  <c r="G361" i="24"/>
  <c r="F361" i="24"/>
  <c r="E361" i="24"/>
  <c r="D361" i="24"/>
  <c r="BP360" i="24"/>
  <c r="BN360" i="24"/>
  <c r="BM360" i="24"/>
  <c r="BH360" i="24"/>
  <c r="BG360" i="24"/>
  <c r="BF360" i="24"/>
  <c r="BE360" i="24"/>
  <c r="BD360" i="24"/>
  <c r="BC360" i="24"/>
  <c r="AC360" i="24" s="1"/>
  <c r="BB360" i="24"/>
  <c r="BA360" i="24"/>
  <c r="AZ360" i="24"/>
  <c r="AY360" i="24"/>
  <c r="AX360" i="24"/>
  <c r="AW360" i="24"/>
  <c r="AV360" i="24"/>
  <c r="AU360" i="24"/>
  <c r="AT360" i="24"/>
  <c r="AO360" i="24"/>
  <c r="AN360" i="24"/>
  <c r="AM360" i="24"/>
  <c r="X360" i="24"/>
  <c r="W360" i="24"/>
  <c r="U360" i="24"/>
  <c r="S360" i="24"/>
  <c r="R360" i="24"/>
  <c r="Q360" i="24"/>
  <c r="N360" i="24"/>
  <c r="M360" i="24"/>
  <c r="K360" i="24"/>
  <c r="I360" i="24"/>
  <c r="H360" i="24"/>
  <c r="G360" i="24"/>
  <c r="F360" i="24"/>
  <c r="E360" i="24"/>
  <c r="D360" i="24"/>
  <c r="BP359" i="24"/>
  <c r="BN359" i="24"/>
  <c r="BM359" i="24"/>
  <c r="BH359" i="24"/>
  <c r="BG359" i="24"/>
  <c r="BF359" i="24"/>
  <c r="BE359" i="24"/>
  <c r="BD359" i="24"/>
  <c r="BC359" i="24"/>
  <c r="AC359" i="24" s="1"/>
  <c r="BB359" i="24"/>
  <c r="BA359" i="24"/>
  <c r="AZ359" i="24"/>
  <c r="AY359" i="24"/>
  <c r="AX359" i="24"/>
  <c r="AW359" i="24"/>
  <c r="AV359" i="24"/>
  <c r="AU359" i="24"/>
  <c r="AT359" i="24"/>
  <c r="AO359" i="24"/>
  <c r="AN359" i="24"/>
  <c r="AM359" i="24"/>
  <c r="X359" i="24"/>
  <c r="W359" i="24"/>
  <c r="U359" i="24"/>
  <c r="S359" i="24"/>
  <c r="R359" i="24"/>
  <c r="Q359" i="24"/>
  <c r="N359" i="24"/>
  <c r="M359" i="24"/>
  <c r="K359" i="24"/>
  <c r="I359" i="24"/>
  <c r="H359" i="24"/>
  <c r="G359" i="24"/>
  <c r="F359" i="24"/>
  <c r="E359" i="24"/>
  <c r="D359" i="24"/>
  <c r="BP358" i="24"/>
  <c r="BN358" i="24"/>
  <c r="BM358" i="24"/>
  <c r="BH358" i="24"/>
  <c r="BG358" i="24"/>
  <c r="BF358" i="24"/>
  <c r="BE358" i="24"/>
  <c r="BD358" i="24"/>
  <c r="BC358" i="24"/>
  <c r="AC358" i="24" s="1"/>
  <c r="BB358" i="24"/>
  <c r="BA358" i="24"/>
  <c r="AZ358" i="24"/>
  <c r="AY358" i="24"/>
  <c r="AX358" i="24"/>
  <c r="AW358" i="24"/>
  <c r="AV358" i="24"/>
  <c r="AU358" i="24"/>
  <c r="AT358" i="24"/>
  <c r="AO358" i="24"/>
  <c r="AN358" i="24"/>
  <c r="AM358" i="24"/>
  <c r="X358" i="24"/>
  <c r="W358" i="24"/>
  <c r="U358" i="24"/>
  <c r="S358" i="24"/>
  <c r="R358" i="24"/>
  <c r="Q358" i="24"/>
  <c r="N358" i="24"/>
  <c r="M358" i="24"/>
  <c r="K358" i="24"/>
  <c r="I358" i="24"/>
  <c r="H358" i="24"/>
  <c r="G358" i="24"/>
  <c r="F358" i="24"/>
  <c r="E358" i="24"/>
  <c r="D358" i="24"/>
  <c r="BP357" i="24"/>
  <c r="BN357" i="24"/>
  <c r="BM357" i="24"/>
  <c r="BH357" i="24"/>
  <c r="BG357" i="24"/>
  <c r="BF357" i="24"/>
  <c r="BE357" i="24"/>
  <c r="BD357" i="24"/>
  <c r="BC357" i="24"/>
  <c r="AC357" i="24" s="1"/>
  <c r="BB357" i="24"/>
  <c r="BA357" i="24"/>
  <c r="AZ357" i="24"/>
  <c r="AY357" i="24"/>
  <c r="AX357" i="24"/>
  <c r="AW357" i="24"/>
  <c r="AV357" i="24"/>
  <c r="AU357" i="24"/>
  <c r="AT357" i="24"/>
  <c r="AO357" i="24"/>
  <c r="AN357" i="24"/>
  <c r="AM357" i="24"/>
  <c r="X357" i="24"/>
  <c r="W357" i="24"/>
  <c r="U357" i="24"/>
  <c r="S357" i="24"/>
  <c r="R357" i="24"/>
  <c r="Q357" i="24"/>
  <c r="N357" i="24"/>
  <c r="M357" i="24"/>
  <c r="K357" i="24"/>
  <c r="I357" i="24"/>
  <c r="H357" i="24"/>
  <c r="G357" i="24"/>
  <c r="F357" i="24"/>
  <c r="E357" i="24"/>
  <c r="D357" i="24"/>
  <c r="BP356" i="24"/>
  <c r="BN356" i="24"/>
  <c r="BM356" i="24"/>
  <c r="BH356" i="24"/>
  <c r="BG356" i="24"/>
  <c r="BF356" i="24"/>
  <c r="BE356" i="24"/>
  <c r="BD356" i="24"/>
  <c r="BC356" i="24"/>
  <c r="AC356" i="24" s="1"/>
  <c r="BB356" i="24"/>
  <c r="BA356" i="24"/>
  <c r="AZ356" i="24"/>
  <c r="AY356" i="24"/>
  <c r="AX356" i="24"/>
  <c r="AW356" i="24"/>
  <c r="AV356" i="24"/>
  <c r="AU356" i="24"/>
  <c r="AT356" i="24"/>
  <c r="AO356" i="24"/>
  <c r="AN356" i="24"/>
  <c r="AM356" i="24"/>
  <c r="X356" i="24"/>
  <c r="W356" i="24"/>
  <c r="U356" i="24"/>
  <c r="S356" i="24"/>
  <c r="R356" i="24"/>
  <c r="Q356" i="24"/>
  <c r="N356" i="24"/>
  <c r="M356" i="24"/>
  <c r="K356" i="24"/>
  <c r="I356" i="24"/>
  <c r="H356" i="24"/>
  <c r="G356" i="24"/>
  <c r="F356" i="24"/>
  <c r="E356" i="24"/>
  <c r="D356" i="24"/>
  <c r="BP355" i="24"/>
  <c r="BN355" i="24"/>
  <c r="BM355" i="24"/>
  <c r="BH355" i="24"/>
  <c r="BG355" i="24"/>
  <c r="BF355" i="24"/>
  <c r="BE355" i="24"/>
  <c r="BD355" i="24"/>
  <c r="BC355" i="24"/>
  <c r="AC355" i="24" s="1"/>
  <c r="BB355" i="24"/>
  <c r="BA355" i="24"/>
  <c r="AZ355" i="24"/>
  <c r="AY355" i="24"/>
  <c r="AX355" i="24"/>
  <c r="AW355" i="24"/>
  <c r="AV355" i="24"/>
  <c r="AU355" i="24"/>
  <c r="AT355" i="24"/>
  <c r="AO355" i="24"/>
  <c r="AN355" i="24"/>
  <c r="AM355" i="24"/>
  <c r="X355" i="24"/>
  <c r="W355" i="24"/>
  <c r="U355" i="24"/>
  <c r="S355" i="24"/>
  <c r="R355" i="24"/>
  <c r="Q355" i="24"/>
  <c r="N355" i="24"/>
  <c r="M355" i="24"/>
  <c r="K355" i="24"/>
  <c r="I355" i="24"/>
  <c r="H355" i="24"/>
  <c r="G355" i="24"/>
  <c r="F355" i="24"/>
  <c r="E355" i="24"/>
  <c r="D355" i="24"/>
  <c r="BP354" i="24"/>
  <c r="BN354" i="24"/>
  <c r="BM354" i="24"/>
  <c r="BH354" i="24"/>
  <c r="BG354" i="24"/>
  <c r="BF354" i="24"/>
  <c r="BE354" i="24"/>
  <c r="BD354" i="24"/>
  <c r="BC354" i="24"/>
  <c r="AC354" i="24" s="1"/>
  <c r="BB354" i="24"/>
  <c r="BA354" i="24"/>
  <c r="AZ354" i="24"/>
  <c r="AY354" i="24"/>
  <c r="AX354" i="24"/>
  <c r="AW354" i="24"/>
  <c r="AV354" i="24"/>
  <c r="AU354" i="24"/>
  <c r="AT354" i="24"/>
  <c r="AO354" i="24"/>
  <c r="AN354" i="24"/>
  <c r="AM354" i="24"/>
  <c r="X354" i="24"/>
  <c r="W354" i="24"/>
  <c r="U354" i="24"/>
  <c r="S354" i="24"/>
  <c r="R354" i="24"/>
  <c r="Q354" i="24"/>
  <c r="N354" i="24"/>
  <c r="M354" i="24"/>
  <c r="K354" i="24"/>
  <c r="I354" i="24"/>
  <c r="H354" i="24"/>
  <c r="G354" i="24"/>
  <c r="F354" i="24"/>
  <c r="E354" i="24"/>
  <c r="D354" i="24"/>
  <c r="BP353" i="24"/>
  <c r="BN353" i="24"/>
  <c r="BM353" i="24"/>
  <c r="BH353" i="24"/>
  <c r="BG353" i="24"/>
  <c r="BF353" i="24"/>
  <c r="BE353" i="24"/>
  <c r="BD353" i="24"/>
  <c r="BC353" i="24"/>
  <c r="AC353" i="24" s="1"/>
  <c r="BB353" i="24"/>
  <c r="BA353" i="24"/>
  <c r="AZ353" i="24"/>
  <c r="AY353" i="24"/>
  <c r="AX353" i="24"/>
  <c r="AW353" i="24"/>
  <c r="AV353" i="24"/>
  <c r="AU353" i="24"/>
  <c r="AT353" i="24"/>
  <c r="AO353" i="24"/>
  <c r="AN353" i="24"/>
  <c r="AM353" i="24"/>
  <c r="X353" i="24"/>
  <c r="W353" i="24"/>
  <c r="U353" i="24"/>
  <c r="S353" i="24"/>
  <c r="R353" i="24"/>
  <c r="Q353" i="24"/>
  <c r="N353" i="24"/>
  <c r="M353" i="24"/>
  <c r="K353" i="24"/>
  <c r="I353" i="24"/>
  <c r="H353" i="24"/>
  <c r="G353" i="24"/>
  <c r="F353" i="24"/>
  <c r="E353" i="24"/>
  <c r="D353" i="24"/>
  <c r="BP352" i="24"/>
  <c r="BN352" i="24"/>
  <c r="BM352" i="24"/>
  <c r="BH352" i="24"/>
  <c r="BG352" i="24"/>
  <c r="BF352" i="24"/>
  <c r="BE352" i="24"/>
  <c r="BD352" i="24"/>
  <c r="BC352" i="24"/>
  <c r="AC352" i="24" s="1"/>
  <c r="BB352" i="24"/>
  <c r="BA352" i="24"/>
  <c r="AZ352" i="24"/>
  <c r="AY352" i="24"/>
  <c r="AX352" i="24"/>
  <c r="AW352" i="24"/>
  <c r="AV352" i="24"/>
  <c r="AU352" i="24"/>
  <c r="AT352" i="24"/>
  <c r="AO352" i="24"/>
  <c r="AN352" i="24"/>
  <c r="AM352" i="24"/>
  <c r="X352" i="24"/>
  <c r="W352" i="24"/>
  <c r="U352" i="24"/>
  <c r="S352" i="24"/>
  <c r="R352" i="24"/>
  <c r="Q352" i="24"/>
  <c r="N352" i="24"/>
  <c r="M352" i="24"/>
  <c r="K352" i="24"/>
  <c r="I352" i="24"/>
  <c r="H352" i="24"/>
  <c r="G352" i="24"/>
  <c r="F352" i="24"/>
  <c r="E352" i="24"/>
  <c r="D352" i="24"/>
  <c r="BP351" i="24"/>
  <c r="BN351" i="24"/>
  <c r="BM351" i="24"/>
  <c r="BH351" i="24"/>
  <c r="BG351" i="24"/>
  <c r="BF351" i="24"/>
  <c r="BE351" i="24"/>
  <c r="BD351" i="24"/>
  <c r="BC351" i="24"/>
  <c r="AC351" i="24" s="1"/>
  <c r="BB351" i="24"/>
  <c r="BA351" i="24"/>
  <c r="AZ351" i="24"/>
  <c r="AY351" i="24"/>
  <c r="AX351" i="24"/>
  <c r="AW351" i="24"/>
  <c r="AV351" i="24"/>
  <c r="AU351" i="24"/>
  <c r="AT351" i="24"/>
  <c r="AO351" i="24"/>
  <c r="AN351" i="24"/>
  <c r="AM351" i="24"/>
  <c r="X351" i="24"/>
  <c r="W351" i="24"/>
  <c r="U351" i="24"/>
  <c r="S351" i="24"/>
  <c r="R351" i="24"/>
  <c r="Q351" i="24"/>
  <c r="N351" i="24"/>
  <c r="M351" i="24"/>
  <c r="K351" i="24"/>
  <c r="I351" i="24"/>
  <c r="H351" i="24"/>
  <c r="G351" i="24"/>
  <c r="F351" i="24"/>
  <c r="E351" i="24"/>
  <c r="D351" i="24"/>
  <c r="BP350" i="24"/>
  <c r="BN350" i="24"/>
  <c r="BM350" i="24"/>
  <c r="BH350" i="24"/>
  <c r="BG350" i="24"/>
  <c r="BF350" i="24"/>
  <c r="BE350" i="24"/>
  <c r="BD350" i="24"/>
  <c r="BC350" i="24"/>
  <c r="AC350" i="24" s="1"/>
  <c r="BB350" i="24"/>
  <c r="BA350" i="24"/>
  <c r="AZ350" i="24"/>
  <c r="AY350" i="24"/>
  <c r="AX350" i="24"/>
  <c r="AW350" i="24"/>
  <c r="AV350" i="24"/>
  <c r="AU350" i="24"/>
  <c r="AT350" i="24"/>
  <c r="AO350" i="24"/>
  <c r="AN350" i="24"/>
  <c r="AM350" i="24"/>
  <c r="X350" i="24"/>
  <c r="W350" i="24"/>
  <c r="U350" i="24"/>
  <c r="S350" i="24"/>
  <c r="R350" i="24"/>
  <c r="Q350" i="24"/>
  <c r="N350" i="24"/>
  <c r="M350" i="24"/>
  <c r="K350" i="24"/>
  <c r="I350" i="24"/>
  <c r="H350" i="24"/>
  <c r="G350" i="24"/>
  <c r="F350" i="24"/>
  <c r="E350" i="24"/>
  <c r="D350" i="24"/>
  <c r="BP349" i="24"/>
  <c r="BN349" i="24"/>
  <c r="BM349" i="24"/>
  <c r="BH349" i="24"/>
  <c r="BG349" i="24"/>
  <c r="BF349" i="24"/>
  <c r="BE349" i="24"/>
  <c r="BD349" i="24"/>
  <c r="BC349" i="24"/>
  <c r="AC349" i="24" s="1"/>
  <c r="BB349" i="24"/>
  <c r="BA349" i="24"/>
  <c r="AZ349" i="24"/>
  <c r="AY349" i="24"/>
  <c r="AX349" i="24"/>
  <c r="AW349" i="24"/>
  <c r="AV349" i="24"/>
  <c r="AU349" i="24"/>
  <c r="AT349" i="24"/>
  <c r="AO349" i="24"/>
  <c r="AN349" i="24"/>
  <c r="AM349" i="24"/>
  <c r="X349" i="24"/>
  <c r="W349" i="24"/>
  <c r="U349" i="24"/>
  <c r="S349" i="24"/>
  <c r="R349" i="24"/>
  <c r="Q349" i="24"/>
  <c r="N349" i="24"/>
  <c r="M349" i="24"/>
  <c r="K349" i="24"/>
  <c r="I349" i="24"/>
  <c r="H349" i="24"/>
  <c r="G349" i="24"/>
  <c r="F349" i="24"/>
  <c r="E349" i="24"/>
  <c r="D349" i="24"/>
  <c r="BP348" i="24"/>
  <c r="BN348" i="24"/>
  <c r="BM348" i="24"/>
  <c r="BH348" i="24"/>
  <c r="BG348" i="24"/>
  <c r="BF348" i="24"/>
  <c r="BE348" i="24"/>
  <c r="BD348" i="24"/>
  <c r="BC348" i="24"/>
  <c r="AC348" i="24" s="1"/>
  <c r="BB348" i="24"/>
  <c r="BA348" i="24"/>
  <c r="AZ348" i="24"/>
  <c r="AY348" i="24"/>
  <c r="AX348" i="24"/>
  <c r="AW348" i="24"/>
  <c r="AV348" i="24"/>
  <c r="AU348" i="24"/>
  <c r="AT348" i="24"/>
  <c r="AO348" i="24"/>
  <c r="AN348" i="24"/>
  <c r="AM348" i="24"/>
  <c r="X348" i="24"/>
  <c r="W348" i="24"/>
  <c r="U348" i="24"/>
  <c r="S348" i="24"/>
  <c r="R348" i="24"/>
  <c r="Q348" i="24"/>
  <c r="N348" i="24"/>
  <c r="M348" i="24"/>
  <c r="K348" i="24"/>
  <c r="I348" i="24"/>
  <c r="H348" i="24"/>
  <c r="G348" i="24"/>
  <c r="F348" i="24"/>
  <c r="E348" i="24"/>
  <c r="D348" i="24"/>
  <c r="BP347" i="24"/>
  <c r="BN347" i="24"/>
  <c r="BM347" i="24"/>
  <c r="BH347" i="24"/>
  <c r="BG347" i="24"/>
  <c r="BF347" i="24"/>
  <c r="BE347" i="24"/>
  <c r="BD347" i="24"/>
  <c r="BC347" i="24"/>
  <c r="AC347" i="24" s="1"/>
  <c r="BB347" i="24"/>
  <c r="BA347" i="24"/>
  <c r="AZ347" i="24"/>
  <c r="AY347" i="24"/>
  <c r="AX347" i="24"/>
  <c r="AW347" i="24"/>
  <c r="AV347" i="24"/>
  <c r="AU347" i="24"/>
  <c r="AT347" i="24"/>
  <c r="AO347" i="24"/>
  <c r="AN347" i="24"/>
  <c r="AM347" i="24"/>
  <c r="X347" i="24"/>
  <c r="W347" i="24"/>
  <c r="U347" i="24"/>
  <c r="S347" i="24"/>
  <c r="R347" i="24"/>
  <c r="Q347" i="24"/>
  <c r="N347" i="24"/>
  <c r="M347" i="24"/>
  <c r="K347" i="24"/>
  <c r="I347" i="24"/>
  <c r="H347" i="24"/>
  <c r="G347" i="24"/>
  <c r="F347" i="24"/>
  <c r="E347" i="24"/>
  <c r="D347" i="24"/>
  <c r="BP346" i="24"/>
  <c r="BN346" i="24"/>
  <c r="BM346" i="24"/>
  <c r="BH346" i="24"/>
  <c r="BG346" i="24"/>
  <c r="BF346" i="24"/>
  <c r="BE346" i="24"/>
  <c r="BD346" i="24"/>
  <c r="BC346" i="24"/>
  <c r="AC346" i="24" s="1"/>
  <c r="BB346" i="24"/>
  <c r="BA346" i="24"/>
  <c r="AZ346" i="24"/>
  <c r="AY346" i="24"/>
  <c r="AX346" i="24"/>
  <c r="AW346" i="24"/>
  <c r="AV346" i="24"/>
  <c r="AU346" i="24"/>
  <c r="AT346" i="24"/>
  <c r="AO346" i="24"/>
  <c r="AN346" i="24"/>
  <c r="AM346" i="24"/>
  <c r="X346" i="24"/>
  <c r="W346" i="24"/>
  <c r="U346" i="24"/>
  <c r="S346" i="24"/>
  <c r="R346" i="24"/>
  <c r="Q346" i="24"/>
  <c r="N346" i="24"/>
  <c r="M346" i="24"/>
  <c r="K346" i="24"/>
  <c r="I346" i="24"/>
  <c r="H346" i="24"/>
  <c r="G346" i="24"/>
  <c r="F346" i="24"/>
  <c r="E346" i="24"/>
  <c r="D346" i="24"/>
  <c r="BP345" i="24"/>
  <c r="BN345" i="24"/>
  <c r="BM345" i="24"/>
  <c r="BH345" i="24"/>
  <c r="BG345" i="24"/>
  <c r="BF345" i="24"/>
  <c r="BE345" i="24"/>
  <c r="BD345" i="24"/>
  <c r="BC345" i="24"/>
  <c r="AC345" i="24" s="1"/>
  <c r="BB345" i="24"/>
  <c r="BA345" i="24"/>
  <c r="AZ345" i="24"/>
  <c r="AY345" i="24"/>
  <c r="AX345" i="24"/>
  <c r="AW345" i="24"/>
  <c r="AV345" i="24"/>
  <c r="AU345" i="24"/>
  <c r="AT345" i="24"/>
  <c r="AO345" i="24"/>
  <c r="AN345" i="24"/>
  <c r="AM345" i="24"/>
  <c r="X345" i="24"/>
  <c r="W345" i="24"/>
  <c r="U345" i="24"/>
  <c r="S345" i="24"/>
  <c r="R345" i="24"/>
  <c r="Q345" i="24"/>
  <c r="N345" i="24"/>
  <c r="M345" i="24"/>
  <c r="K345" i="24"/>
  <c r="I345" i="24"/>
  <c r="H345" i="24"/>
  <c r="G345" i="24"/>
  <c r="F345" i="24"/>
  <c r="E345" i="24"/>
  <c r="D345" i="24"/>
  <c r="BP344" i="24"/>
  <c r="BN344" i="24"/>
  <c r="BM344" i="24"/>
  <c r="BH344" i="24"/>
  <c r="BG344" i="24"/>
  <c r="BF344" i="24"/>
  <c r="BE344" i="24"/>
  <c r="BD344" i="24"/>
  <c r="BC344" i="24"/>
  <c r="AC344" i="24" s="1"/>
  <c r="BB344" i="24"/>
  <c r="BA344" i="24"/>
  <c r="AZ344" i="24"/>
  <c r="AY344" i="24"/>
  <c r="AX344" i="24"/>
  <c r="AW344" i="24"/>
  <c r="AV344" i="24"/>
  <c r="AU344" i="24"/>
  <c r="AT344" i="24"/>
  <c r="AO344" i="24"/>
  <c r="AN344" i="24"/>
  <c r="AM344" i="24"/>
  <c r="X344" i="24"/>
  <c r="W344" i="24"/>
  <c r="U344" i="24"/>
  <c r="S344" i="24"/>
  <c r="R344" i="24"/>
  <c r="Q344" i="24"/>
  <c r="N344" i="24"/>
  <c r="M344" i="24"/>
  <c r="K344" i="24"/>
  <c r="I344" i="24"/>
  <c r="H344" i="24"/>
  <c r="G344" i="24"/>
  <c r="F344" i="24"/>
  <c r="E344" i="24"/>
  <c r="D344" i="24"/>
  <c r="BP343" i="24"/>
  <c r="BN343" i="24"/>
  <c r="BM343" i="24"/>
  <c r="BH343" i="24"/>
  <c r="BG343" i="24"/>
  <c r="BF343" i="24"/>
  <c r="BE343" i="24"/>
  <c r="BD343" i="24"/>
  <c r="BC343" i="24"/>
  <c r="AC343" i="24" s="1"/>
  <c r="BB343" i="24"/>
  <c r="BA343" i="24"/>
  <c r="AZ343" i="24"/>
  <c r="AY343" i="24"/>
  <c r="AX343" i="24"/>
  <c r="AW343" i="24"/>
  <c r="AV343" i="24"/>
  <c r="AU343" i="24"/>
  <c r="AT343" i="24"/>
  <c r="AO343" i="24"/>
  <c r="AN343" i="24"/>
  <c r="AM343" i="24"/>
  <c r="X343" i="24"/>
  <c r="W343" i="24"/>
  <c r="U343" i="24"/>
  <c r="S343" i="24"/>
  <c r="R343" i="24"/>
  <c r="Q343" i="24"/>
  <c r="N343" i="24"/>
  <c r="M343" i="24"/>
  <c r="K343" i="24"/>
  <c r="I343" i="24"/>
  <c r="H343" i="24"/>
  <c r="G343" i="24"/>
  <c r="F343" i="24"/>
  <c r="E343" i="24"/>
  <c r="D343" i="24"/>
  <c r="BP342" i="24"/>
  <c r="BN342" i="24"/>
  <c r="BM342" i="24"/>
  <c r="BH342" i="24"/>
  <c r="BG342" i="24"/>
  <c r="BF342" i="24"/>
  <c r="BE342" i="24"/>
  <c r="BD342" i="24"/>
  <c r="BC342" i="24"/>
  <c r="AC342" i="24" s="1"/>
  <c r="BB342" i="24"/>
  <c r="BA342" i="24"/>
  <c r="AZ342" i="24"/>
  <c r="AY342" i="24"/>
  <c r="AX342" i="24"/>
  <c r="AW342" i="24"/>
  <c r="AV342" i="24"/>
  <c r="AU342" i="24"/>
  <c r="AT342" i="24"/>
  <c r="AO342" i="24"/>
  <c r="AN342" i="24"/>
  <c r="AM342" i="24"/>
  <c r="X342" i="24"/>
  <c r="W342" i="24"/>
  <c r="U342" i="24"/>
  <c r="S342" i="24"/>
  <c r="R342" i="24"/>
  <c r="Q342" i="24"/>
  <c r="N342" i="24"/>
  <c r="M342" i="24"/>
  <c r="K342" i="24"/>
  <c r="I342" i="24"/>
  <c r="H342" i="24"/>
  <c r="G342" i="24"/>
  <c r="F342" i="24"/>
  <c r="E342" i="24"/>
  <c r="D342" i="24"/>
  <c r="BP341" i="24"/>
  <c r="BN341" i="24"/>
  <c r="BM341" i="24"/>
  <c r="BH341" i="24"/>
  <c r="BG341" i="24"/>
  <c r="BF341" i="24"/>
  <c r="BE341" i="24"/>
  <c r="BD341" i="24"/>
  <c r="BC341" i="24"/>
  <c r="AC341" i="24" s="1"/>
  <c r="BB341" i="24"/>
  <c r="BA341" i="24"/>
  <c r="AZ341" i="24"/>
  <c r="AY341" i="24"/>
  <c r="AX341" i="24"/>
  <c r="AW341" i="24"/>
  <c r="AV341" i="24"/>
  <c r="AU341" i="24"/>
  <c r="AT341" i="24"/>
  <c r="AO341" i="24"/>
  <c r="AN341" i="24"/>
  <c r="AM341" i="24"/>
  <c r="X341" i="24"/>
  <c r="W341" i="24"/>
  <c r="U341" i="24"/>
  <c r="S341" i="24"/>
  <c r="R341" i="24"/>
  <c r="Q341" i="24"/>
  <c r="N341" i="24"/>
  <c r="M341" i="24"/>
  <c r="K341" i="24"/>
  <c r="I341" i="24"/>
  <c r="H341" i="24"/>
  <c r="G341" i="24"/>
  <c r="F341" i="24"/>
  <c r="E341" i="24"/>
  <c r="D341" i="24"/>
  <c r="BP340" i="24"/>
  <c r="BN340" i="24"/>
  <c r="BM340" i="24"/>
  <c r="BH340" i="24"/>
  <c r="BG340" i="24"/>
  <c r="BF340" i="24"/>
  <c r="BE340" i="24"/>
  <c r="BD340" i="24"/>
  <c r="BC340" i="24"/>
  <c r="AC340" i="24" s="1"/>
  <c r="BB340" i="24"/>
  <c r="BA340" i="24"/>
  <c r="AZ340" i="24"/>
  <c r="AY340" i="24"/>
  <c r="AX340" i="24"/>
  <c r="AW340" i="24"/>
  <c r="AV340" i="24"/>
  <c r="AU340" i="24"/>
  <c r="AT340" i="24"/>
  <c r="AO340" i="24"/>
  <c r="AN340" i="24"/>
  <c r="AM340" i="24"/>
  <c r="X340" i="24"/>
  <c r="W340" i="24"/>
  <c r="U340" i="24"/>
  <c r="S340" i="24"/>
  <c r="R340" i="24"/>
  <c r="Q340" i="24"/>
  <c r="N340" i="24"/>
  <c r="M340" i="24"/>
  <c r="K340" i="24"/>
  <c r="I340" i="24"/>
  <c r="H340" i="24"/>
  <c r="G340" i="24"/>
  <c r="F340" i="24"/>
  <c r="E340" i="24"/>
  <c r="D340" i="24"/>
  <c r="BP339" i="24"/>
  <c r="BN339" i="24"/>
  <c r="BM339" i="24"/>
  <c r="BH339" i="24"/>
  <c r="BG339" i="24"/>
  <c r="BF339" i="24"/>
  <c r="BE339" i="24"/>
  <c r="BD339" i="24"/>
  <c r="BC339" i="24"/>
  <c r="AC339" i="24" s="1"/>
  <c r="BB339" i="24"/>
  <c r="BA339" i="24"/>
  <c r="AZ339" i="24"/>
  <c r="AY339" i="24"/>
  <c r="AX339" i="24"/>
  <c r="AW339" i="24"/>
  <c r="AV339" i="24"/>
  <c r="AU339" i="24"/>
  <c r="AT339" i="24"/>
  <c r="AO339" i="24"/>
  <c r="AN339" i="24"/>
  <c r="AM339" i="24"/>
  <c r="X339" i="24"/>
  <c r="W339" i="24"/>
  <c r="U339" i="24"/>
  <c r="S339" i="24"/>
  <c r="R339" i="24"/>
  <c r="Q339" i="24"/>
  <c r="N339" i="24"/>
  <c r="M339" i="24"/>
  <c r="K339" i="24"/>
  <c r="I339" i="24"/>
  <c r="H339" i="24"/>
  <c r="G339" i="24"/>
  <c r="F339" i="24"/>
  <c r="E339" i="24"/>
  <c r="D339" i="24"/>
  <c r="BP338" i="24"/>
  <c r="BN338" i="24"/>
  <c r="BM338" i="24"/>
  <c r="BH338" i="24"/>
  <c r="BG338" i="24"/>
  <c r="BF338" i="24"/>
  <c r="BE338" i="24"/>
  <c r="BD338" i="24"/>
  <c r="BC338" i="24"/>
  <c r="AC338" i="24" s="1"/>
  <c r="BB338" i="24"/>
  <c r="BA338" i="24"/>
  <c r="AZ338" i="24"/>
  <c r="AY338" i="24"/>
  <c r="AX338" i="24"/>
  <c r="AW338" i="24"/>
  <c r="AV338" i="24"/>
  <c r="AU338" i="24"/>
  <c r="AT338" i="24"/>
  <c r="AO338" i="24"/>
  <c r="AN338" i="24"/>
  <c r="AM338" i="24"/>
  <c r="X338" i="24"/>
  <c r="W338" i="24"/>
  <c r="U338" i="24"/>
  <c r="S338" i="24"/>
  <c r="R338" i="24"/>
  <c r="Q338" i="24"/>
  <c r="N338" i="24"/>
  <c r="M338" i="24"/>
  <c r="K338" i="24"/>
  <c r="I338" i="24"/>
  <c r="H338" i="24"/>
  <c r="G338" i="24"/>
  <c r="F338" i="24"/>
  <c r="E338" i="24"/>
  <c r="D338" i="24"/>
  <c r="BP337" i="24"/>
  <c r="BN337" i="24"/>
  <c r="BM337" i="24"/>
  <c r="BH337" i="24"/>
  <c r="BG337" i="24"/>
  <c r="BF337" i="24"/>
  <c r="BE337" i="24"/>
  <c r="BD337" i="24"/>
  <c r="BC337" i="24"/>
  <c r="AC337" i="24" s="1"/>
  <c r="BB337" i="24"/>
  <c r="BA337" i="24"/>
  <c r="AZ337" i="24"/>
  <c r="AY337" i="24"/>
  <c r="AX337" i="24"/>
  <c r="AW337" i="24"/>
  <c r="AV337" i="24"/>
  <c r="AU337" i="24"/>
  <c r="AT337" i="24"/>
  <c r="AO337" i="24"/>
  <c r="AN337" i="24"/>
  <c r="AM337" i="24"/>
  <c r="X337" i="24"/>
  <c r="W337" i="24"/>
  <c r="U337" i="24"/>
  <c r="S337" i="24"/>
  <c r="R337" i="24"/>
  <c r="Q337" i="24"/>
  <c r="N337" i="24"/>
  <c r="M337" i="24"/>
  <c r="K337" i="24"/>
  <c r="I337" i="24"/>
  <c r="H337" i="24"/>
  <c r="G337" i="24"/>
  <c r="F337" i="24"/>
  <c r="E337" i="24"/>
  <c r="D337" i="24"/>
  <c r="BP336" i="24"/>
  <c r="BN336" i="24"/>
  <c r="BM336" i="24"/>
  <c r="BH336" i="24"/>
  <c r="BG336" i="24"/>
  <c r="BF336" i="24"/>
  <c r="BE336" i="24"/>
  <c r="BD336" i="24"/>
  <c r="BC336" i="24"/>
  <c r="AC336" i="24" s="1"/>
  <c r="BB336" i="24"/>
  <c r="BA336" i="24"/>
  <c r="AZ336" i="24"/>
  <c r="AY336" i="24"/>
  <c r="AX336" i="24"/>
  <c r="AW336" i="24"/>
  <c r="AV336" i="24"/>
  <c r="AU336" i="24"/>
  <c r="AT336" i="24"/>
  <c r="AO336" i="24"/>
  <c r="AN336" i="24"/>
  <c r="AM336" i="24"/>
  <c r="X336" i="24"/>
  <c r="W336" i="24"/>
  <c r="U336" i="24"/>
  <c r="S336" i="24"/>
  <c r="R336" i="24"/>
  <c r="Q336" i="24"/>
  <c r="N336" i="24"/>
  <c r="M336" i="24"/>
  <c r="K336" i="24"/>
  <c r="I336" i="24"/>
  <c r="H336" i="24"/>
  <c r="G336" i="24"/>
  <c r="F336" i="24"/>
  <c r="E336" i="24"/>
  <c r="D336" i="24"/>
  <c r="BP335" i="24"/>
  <c r="BN335" i="24"/>
  <c r="BM335" i="24"/>
  <c r="BH335" i="24"/>
  <c r="BG335" i="24"/>
  <c r="BF335" i="24"/>
  <c r="BE335" i="24"/>
  <c r="BD335" i="24"/>
  <c r="BC335" i="24"/>
  <c r="AC335" i="24" s="1"/>
  <c r="BB335" i="24"/>
  <c r="BA335" i="24"/>
  <c r="AZ335" i="24"/>
  <c r="AY335" i="24"/>
  <c r="AX335" i="24"/>
  <c r="AW335" i="24"/>
  <c r="AV335" i="24"/>
  <c r="AU335" i="24"/>
  <c r="AT335" i="24"/>
  <c r="AO335" i="24"/>
  <c r="AN335" i="24"/>
  <c r="AM335" i="24"/>
  <c r="X335" i="24"/>
  <c r="W335" i="24"/>
  <c r="U335" i="24"/>
  <c r="S335" i="24"/>
  <c r="R335" i="24"/>
  <c r="Q335" i="24"/>
  <c r="N335" i="24"/>
  <c r="M335" i="24"/>
  <c r="K335" i="24"/>
  <c r="I335" i="24"/>
  <c r="H335" i="24"/>
  <c r="G335" i="24"/>
  <c r="E335" i="24"/>
  <c r="D335" i="24"/>
  <c r="BP334" i="24"/>
  <c r="BN334" i="24"/>
  <c r="BM334" i="24"/>
  <c r="BH334" i="24"/>
  <c r="BG334" i="24"/>
  <c r="BF334" i="24"/>
  <c r="BE334" i="24"/>
  <c r="BD334" i="24"/>
  <c r="BC334" i="24"/>
  <c r="AC334" i="24" s="1"/>
  <c r="BB334" i="24"/>
  <c r="BA334" i="24"/>
  <c r="AZ334" i="24"/>
  <c r="AY334" i="24"/>
  <c r="AX334" i="24"/>
  <c r="AW334" i="24"/>
  <c r="AV334" i="24"/>
  <c r="AU334" i="24"/>
  <c r="AT334" i="24"/>
  <c r="AO334" i="24"/>
  <c r="AN334" i="24"/>
  <c r="AM334" i="24"/>
  <c r="X334" i="24"/>
  <c r="W334" i="24"/>
  <c r="U334" i="24"/>
  <c r="S334" i="24"/>
  <c r="R334" i="24"/>
  <c r="Q334" i="24"/>
  <c r="N334" i="24"/>
  <c r="M334" i="24"/>
  <c r="K334" i="24"/>
  <c r="I334" i="24"/>
  <c r="H334" i="24"/>
  <c r="G334" i="24"/>
  <c r="F334" i="24"/>
  <c r="E334" i="24"/>
  <c r="D334" i="24"/>
  <c r="BP333" i="24"/>
  <c r="BN333" i="24"/>
  <c r="BM333" i="24"/>
  <c r="BH333" i="24"/>
  <c r="BG333" i="24"/>
  <c r="BF333" i="24"/>
  <c r="BE333" i="24"/>
  <c r="BD333" i="24"/>
  <c r="BC333" i="24"/>
  <c r="AC333" i="24" s="1"/>
  <c r="BB333" i="24"/>
  <c r="BA333" i="24"/>
  <c r="AZ333" i="24"/>
  <c r="AY333" i="24"/>
  <c r="AX333" i="24"/>
  <c r="AW333" i="24"/>
  <c r="AV333" i="24"/>
  <c r="AU333" i="24"/>
  <c r="AT333" i="24"/>
  <c r="AO333" i="24"/>
  <c r="AN333" i="24"/>
  <c r="AM333" i="24"/>
  <c r="X333" i="24"/>
  <c r="W333" i="24"/>
  <c r="U333" i="24"/>
  <c r="S333" i="24"/>
  <c r="R333" i="24"/>
  <c r="Q333" i="24"/>
  <c r="N333" i="24"/>
  <c r="M333" i="24"/>
  <c r="K333" i="24"/>
  <c r="I333" i="24"/>
  <c r="H333" i="24"/>
  <c r="G333" i="24"/>
  <c r="F333" i="24"/>
  <c r="E333" i="24"/>
  <c r="D333" i="24"/>
  <c r="BP332" i="24"/>
  <c r="BN332" i="24"/>
  <c r="BM332" i="24"/>
  <c r="BH332" i="24"/>
  <c r="BG332" i="24"/>
  <c r="BF332" i="24"/>
  <c r="BE332" i="24"/>
  <c r="BD332" i="24"/>
  <c r="BC332" i="24"/>
  <c r="AC332" i="24" s="1"/>
  <c r="BB332" i="24"/>
  <c r="BA332" i="24"/>
  <c r="AZ332" i="24"/>
  <c r="AY332" i="24"/>
  <c r="AX332" i="24"/>
  <c r="AW332" i="24"/>
  <c r="AV332" i="24"/>
  <c r="AU332" i="24"/>
  <c r="AT332" i="24"/>
  <c r="AO332" i="24"/>
  <c r="AN332" i="24"/>
  <c r="AM332" i="24"/>
  <c r="X332" i="24"/>
  <c r="W332" i="24"/>
  <c r="U332" i="24"/>
  <c r="S332" i="24"/>
  <c r="R332" i="24"/>
  <c r="Q332" i="24"/>
  <c r="N332" i="24"/>
  <c r="M332" i="24"/>
  <c r="K332" i="24"/>
  <c r="I332" i="24"/>
  <c r="H332" i="24"/>
  <c r="G332" i="24"/>
  <c r="F332" i="24"/>
  <c r="E332" i="24"/>
  <c r="D332" i="24"/>
  <c r="BP331" i="24"/>
  <c r="BN331" i="24"/>
  <c r="BM331" i="24"/>
  <c r="BH331" i="24"/>
  <c r="BG331" i="24"/>
  <c r="BF331" i="24"/>
  <c r="BE331" i="24"/>
  <c r="BD331" i="24"/>
  <c r="BC331" i="24"/>
  <c r="AC331" i="24" s="1"/>
  <c r="BB331" i="24"/>
  <c r="BA331" i="24"/>
  <c r="AZ331" i="24"/>
  <c r="AY331" i="24"/>
  <c r="AX331" i="24"/>
  <c r="AW331" i="24"/>
  <c r="AV331" i="24"/>
  <c r="AU331" i="24"/>
  <c r="AT331" i="24"/>
  <c r="AO331" i="24"/>
  <c r="AN331" i="24"/>
  <c r="AM331" i="24"/>
  <c r="X331" i="24"/>
  <c r="W331" i="24"/>
  <c r="U331" i="24"/>
  <c r="S331" i="24"/>
  <c r="R331" i="24"/>
  <c r="Q331" i="24"/>
  <c r="N331" i="24"/>
  <c r="M331" i="24"/>
  <c r="K331" i="24"/>
  <c r="I331" i="24"/>
  <c r="H331" i="24"/>
  <c r="G331" i="24"/>
  <c r="F331" i="24"/>
  <c r="E331" i="24"/>
  <c r="D331" i="24"/>
  <c r="BP330" i="24"/>
  <c r="BN330" i="24"/>
  <c r="BM330" i="24"/>
  <c r="BH330" i="24"/>
  <c r="BG330" i="24"/>
  <c r="BF330" i="24"/>
  <c r="BE330" i="24"/>
  <c r="BD330" i="24"/>
  <c r="BC330" i="24"/>
  <c r="AC330" i="24" s="1"/>
  <c r="BB330" i="24"/>
  <c r="BA330" i="24"/>
  <c r="AZ330" i="24"/>
  <c r="AY330" i="24"/>
  <c r="AX330" i="24"/>
  <c r="AW330" i="24"/>
  <c r="AV330" i="24"/>
  <c r="AU330" i="24"/>
  <c r="AT330" i="24"/>
  <c r="AO330" i="24"/>
  <c r="AN330" i="24"/>
  <c r="AM330" i="24"/>
  <c r="X330" i="24"/>
  <c r="W330" i="24"/>
  <c r="U330" i="24"/>
  <c r="S330" i="24"/>
  <c r="R330" i="24"/>
  <c r="Q330" i="24"/>
  <c r="N330" i="24"/>
  <c r="M330" i="24"/>
  <c r="K330" i="24"/>
  <c r="I330" i="24"/>
  <c r="H330" i="24"/>
  <c r="G330" i="24"/>
  <c r="F330" i="24"/>
  <c r="E330" i="24"/>
  <c r="D330" i="24"/>
  <c r="BP329" i="24"/>
  <c r="BN329" i="24"/>
  <c r="BM329" i="24"/>
  <c r="BH329" i="24"/>
  <c r="BG329" i="24"/>
  <c r="BF329" i="24"/>
  <c r="BE329" i="24"/>
  <c r="BD329" i="24"/>
  <c r="BC329" i="24"/>
  <c r="AC329" i="24" s="1"/>
  <c r="BB329" i="24"/>
  <c r="BA329" i="24"/>
  <c r="AZ329" i="24"/>
  <c r="AY329" i="24"/>
  <c r="AX329" i="24"/>
  <c r="AW329" i="24"/>
  <c r="AV329" i="24"/>
  <c r="AU329" i="24"/>
  <c r="AT329" i="24"/>
  <c r="AO329" i="24"/>
  <c r="AN329" i="24"/>
  <c r="AM329" i="24"/>
  <c r="X329" i="24"/>
  <c r="W329" i="24"/>
  <c r="U329" i="24"/>
  <c r="S329" i="24"/>
  <c r="R329" i="24"/>
  <c r="Q329" i="24"/>
  <c r="N329" i="24"/>
  <c r="M329" i="24"/>
  <c r="K329" i="24"/>
  <c r="I329" i="24"/>
  <c r="H329" i="24"/>
  <c r="G329" i="24"/>
  <c r="F329" i="24"/>
  <c r="E329" i="24"/>
  <c r="D329" i="24"/>
  <c r="BP328" i="24"/>
  <c r="BN328" i="24"/>
  <c r="BM328" i="24"/>
  <c r="BH328" i="24"/>
  <c r="BG328" i="24"/>
  <c r="BF328" i="24"/>
  <c r="BE328" i="24"/>
  <c r="BD328" i="24"/>
  <c r="BC328" i="24"/>
  <c r="AC328" i="24" s="1"/>
  <c r="BB328" i="24"/>
  <c r="BA328" i="24"/>
  <c r="AZ328" i="24"/>
  <c r="AY328" i="24"/>
  <c r="AX328" i="24"/>
  <c r="AW328" i="24"/>
  <c r="AV328" i="24"/>
  <c r="AU328" i="24"/>
  <c r="AT328" i="24"/>
  <c r="AO328" i="24"/>
  <c r="AN328" i="24"/>
  <c r="AM328" i="24"/>
  <c r="X328" i="24"/>
  <c r="W328" i="24"/>
  <c r="U328" i="24"/>
  <c r="S328" i="24"/>
  <c r="R328" i="24"/>
  <c r="Q328" i="24"/>
  <c r="N328" i="24"/>
  <c r="M328" i="24"/>
  <c r="K328" i="24"/>
  <c r="I328" i="24"/>
  <c r="H328" i="24"/>
  <c r="G328" i="24"/>
  <c r="F328" i="24"/>
  <c r="E328" i="24"/>
  <c r="D328" i="24"/>
  <c r="BP327" i="24"/>
  <c r="BN327" i="24"/>
  <c r="BM327" i="24"/>
  <c r="BH327" i="24"/>
  <c r="BG327" i="24"/>
  <c r="BF327" i="24"/>
  <c r="BE327" i="24"/>
  <c r="BD327" i="24"/>
  <c r="BC327" i="24"/>
  <c r="AC327" i="24" s="1"/>
  <c r="BB327" i="24"/>
  <c r="BA327" i="24"/>
  <c r="AZ327" i="24"/>
  <c r="AY327" i="24"/>
  <c r="AX327" i="24"/>
  <c r="AW327" i="24"/>
  <c r="AV327" i="24"/>
  <c r="AU327" i="24"/>
  <c r="AT327" i="24"/>
  <c r="AO327" i="24"/>
  <c r="AN327" i="24"/>
  <c r="AM327" i="24"/>
  <c r="X327" i="24"/>
  <c r="W327" i="24"/>
  <c r="U327" i="24"/>
  <c r="S327" i="24"/>
  <c r="R327" i="24"/>
  <c r="Q327" i="24"/>
  <c r="N327" i="24"/>
  <c r="M327" i="24"/>
  <c r="K327" i="24"/>
  <c r="I327" i="24"/>
  <c r="H327" i="24"/>
  <c r="G327" i="24"/>
  <c r="F327" i="24"/>
  <c r="E327" i="24"/>
  <c r="D327" i="24"/>
  <c r="BP326" i="24"/>
  <c r="BN326" i="24"/>
  <c r="BM326" i="24"/>
  <c r="BH326" i="24"/>
  <c r="BG326" i="24"/>
  <c r="BF326" i="24"/>
  <c r="BE326" i="24"/>
  <c r="BD326" i="24"/>
  <c r="BC326" i="24"/>
  <c r="AC326" i="24" s="1"/>
  <c r="BB326" i="24"/>
  <c r="BA326" i="24"/>
  <c r="AZ326" i="24"/>
  <c r="AY326" i="24"/>
  <c r="AX326" i="24"/>
  <c r="AW326" i="24"/>
  <c r="AV326" i="24"/>
  <c r="AU326" i="24"/>
  <c r="AT326" i="24"/>
  <c r="AO326" i="24"/>
  <c r="AN326" i="24"/>
  <c r="AM326" i="24"/>
  <c r="X326" i="24"/>
  <c r="W326" i="24"/>
  <c r="U326" i="24"/>
  <c r="S326" i="24"/>
  <c r="R326" i="24"/>
  <c r="Q326" i="24"/>
  <c r="N326" i="24"/>
  <c r="M326" i="24"/>
  <c r="K326" i="24"/>
  <c r="I326" i="24"/>
  <c r="H326" i="24"/>
  <c r="G326" i="24"/>
  <c r="F326" i="24"/>
  <c r="E326" i="24"/>
  <c r="D326" i="24"/>
  <c r="BP325" i="24"/>
  <c r="BN325" i="24"/>
  <c r="BM325" i="24"/>
  <c r="BH325" i="24"/>
  <c r="BG325" i="24"/>
  <c r="BF325" i="24"/>
  <c r="BE325" i="24"/>
  <c r="BD325" i="24"/>
  <c r="BC325" i="24"/>
  <c r="AC325" i="24" s="1"/>
  <c r="BB325" i="24"/>
  <c r="BA325" i="24"/>
  <c r="AZ325" i="24"/>
  <c r="AY325" i="24"/>
  <c r="AX325" i="24"/>
  <c r="AW325" i="24"/>
  <c r="AV325" i="24"/>
  <c r="AU325" i="24"/>
  <c r="AT325" i="24"/>
  <c r="AO325" i="24"/>
  <c r="AN325" i="24"/>
  <c r="AM325" i="24"/>
  <c r="X325" i="24"/>
  <c r="W325" i="24"/>
  <c r="U325" i="24"/>
  <c r="S325" i="24"/>
  <c r="R325" i="24"/>
  <c r="Q325" i="24"/>
  <c r="N325" i="24"/>
  <c r="M325" i="24"/>
  <c r="K325" i="24"/>
  <c r="I325" i="24"/>
  <c r="H325" i="24"/>
  <c r="G325" i="24"/>
  <c r="F325" i="24"/>
  <c r="E325" i="24"/>
  <c r="D325" i="24"/>
  <c r="BP324" i="24"/>
  <c r="BN324" i="24"/>
  <c r="BM324" i="24"/>
  <c r="BH324" i="24"/>
  <c r="BG324" i="24"/>
  <c r="BF324" i="24"/>
  <c r="BE324" i="24"/>
  <c r="BD324" i="24"/>
  <c r="BC324" i="24"/>
  <c r="AC324" i="24" s="1"/>
  <c r="BB324" i="24"/>
  <c r="BA324" i="24"/>
  <c r="AZ324" i="24"/>
  <c r="AY324" i="24"/>
  <c r="AX324" i="24"/>
  <c r="AW324" i="24"/>
  <c r="AV324" i="24"/>
  <c r="AU324" i="24"/>
  <c r="AT324" i="24"/>
  <c r="AO324" i="24"/>
  <c r="AN324" i="24"/>
  <c r="AM324" i="24"/>
  <c r="X324" i="24"/>
  <c r="W324" i="24"/>
  <c r="U324" i="24"/>
  <c r="S324" i="24"/>
  <c r="R324" i="24"/>
  <c r="Q324" i="24"/>
  <c r="N324" i="24"/>
  <c r="M324" i="24"/>
  <c r="K324" i="24"/>
  <c r="I324" i="24"/>
  <c r="H324" i="24"/>
  <c r="G324" i="24"/>
  <c r="F324" i="24"/>
  <c r="E324" i="24"/>
  <c r="D324" i="24"/>
  <c r="BP323" i="24"/>
  <c r="BN323" i="24"/>
  <c r="BM323" i="24"/>
  <c r="BH323" i="24"/>
  <c r="BG323" i="24"/>
  <c r="BF323" i="24"/>
  <c r="BE323" i="24"/>
  <c r="BD323" i="24"/>
  <c r="BC323" i="24"/>
  <c r="AC323" i="24" s="1"/>
  <c r="BB323" i="24"/>
  <c r="BA323" i="24"/>
  <c r="AZ323" i="24"/>
  <c r="AY323" i="24"/>
  <c r="AX323" i="24"/>
  <c r="AW323" i="24"/>
  <c r="AV323" i="24"/>
  <c r="AU323" i="24"/>
  <c r="AT323" i="24"/>
  <c r="AO323" i="24"/>
  <c r="AN323" i="24"/>
  <c r="AM323" i="24"/>
  <c r="X323" i="24"/>
  <c r="W323" i="24"/>
  <c r="U323" i="24"/>
  <c r="S323" i="24"/>
  <c r="R323" i="24"/>
  <c r="Q323" i="24"/>
  <c r="N323" i="24"/>
  <c r="M323" i="24"/>
  <c r="K323" i="24"/>
  <c r="I323" i="24"/>
  <c r="H323" i="24"/>
  <c r="G323" i="24"/>
  <c r="F323" i="24"/>
  <c r="E323" i="24"/>
  <c r="D323" i="24"/>
  <c r="BP322" i="24"/>
  <c r="BN322" i="24"/>
  <c r="BM322" i="24"/>
  <c r="BH322" i="24"/>
  <c r="BG322" i="24"/>
  <c r="BF322" i="24"/>
  <c r="BE322" i="24"/>
  <c r="BD322" i="24"/>
  <c r="BC322" i="24"/>
  <c r="AC322" i="24" s="1"/>
  <c r="BB322" i="24"/>
  <c r="BA322" i="24"/>
  <c r="AZ322" i="24"/>
  <c r="AY322" i="24"/>
  <c r="AX322" i="24"/>
  <c r="AW322" i="24"/>
  <c r="AV322" i="24"/>
  <c r="AU322" i="24"/>
  <c r="AT322" i="24"/>
  <c r="AO322" i="24"/>
  <c r="AN322" i="24"/>
  <c r="AM322" i="24"/>
  <c r="X322" i="24"/>
  <c r="W322" i="24"/>
  <c r="U322" i="24"/>
  <c r="S322" i="24"/>
  <c r="R322" i="24"/>
  <c r="Q322" i="24"/>
  <c r="N322" i="24"/>
  <c r="M322" i="24"/>
  <c r="K322" i="24"/>
  <c r="I322" i="24"/>
  <c r="H322" i="24"/>
  <c r="G322" i="24"/>
  <c r="F322" i="24"/>
  <c r="E322" i="24"/>
  <c r="D322" i="24"/>
  <c r="BP321" i="24"/>
  <c r="BN321" i="24"/>
  <c r="BM321" i="24"/>
  <c r="BH321" i="24"/>
  <c r="BG321" i="24"/>
  <c r="BF321" i="24"/>
  <c r="BE321" i="24"/>
  <c r="BD321" i="24"/>
  <c r="BC321" i="24"/>
  <c r="BB321" i="24"/>
  <c r="BA321" i="24"/>
  <c r="AZ321" i="24"/>
  <c r="AY321" i="24"/>
  <c r="AX321" i="24"/>
  <c r="AW321" i="24"/>
  <c r="AV321" i="24"/>
  <c r="AU321" i="24"/>
  <c r="AT321" i="24"/>
  <c r="AO321" i="24"/>
  <c r="AN321" i="24"/>
  <c r="AM321" i="24"/>
  <c r="X321" i="24"/>
  <c r="W321" i="24"/>
  <c r="U321" i="24"/>
  <c r="S321" i="24"/>
  <c r="R321" i="24"/>
  <c r="Q321" i="24"/>
  <c r="N321" i="24"/>
  <c r="M321" i="24"/>
  <c r="K321" i="24"/>
  <c r="I321" i="24"/>
  <c r="H321" i="24"/>
  <c r="G321" i="24"/>
  <c r="F321" i="24"/>
  <c r="E321" i="24"/>
  <c r="D321" i="24"/>
  <c r="BP320" i="24"/>
  <c r="BN320" i="24"/>
  <c r="BM320" i="24"/>
  <c r="BH320" i="24"/>
  <c r="BG320" i="24"/>
  <c r="BF320" i="24"/>
  <c r="BE320" i="24"/>
  <c r="BD320" i="24"/>
  <c r="BC320" i="24"/>
  <c r="AC320" i="24" s="1"/>
  <c r="BB320" i="24"/>
  <c r="BA320" i="24"/>
  <c r="AZ320" i="24"/>
  <c r="AY320" i="24"/>
  <c r="AX320" i="24"/>
  <c r="AW320" i="24"/>
  <c r="AV320" i="24"/>
  <c r="AU320" i="24"/>
  <c r="AT320" i="24"/>
  <c r="AO320" i="24"/>
  <c r="AN320" i="24"/>
  <c r="AM320" i="24"/>
  <c r="X320" i="24"/>
  <c r="W320" i="24"/>
  <c r="U320" i="24"/>
  <c r="S320" i="24"/>
  <c r="R320" i="24"/>
  <c r="Q320" i="24"/>
  <c r="N320" i="24"/>
  <c r="M320" i="24"/>
  <c r="K320" i="24"/>
  <c r="I320" i="24"/>
  <c r="H320" i="24"/>
  <c r="G320" i="24"/>
  <c r="F320" i="24"/>
  <c r="E320" i="24"/>
  <c r="D320" i="24"/>
  <c r="BP319" i="24"/>
  <c r="BN319" i="24"/>
  <c r="BM319" i="24"/>
  <c r="BH319" i="24"/>
  <c r="BG319" i="24"/>
  <c r="BF319" i="24"/>
  <c r="BE319" i="24"/>
  <c r="BD319" i="24"/>
  <c r="BC319" i="24"/>
  <c r="AC319" i="24" s="1"/>
  <c r="BB319" i="24"/>
  <c r="BA319" i="24"/>
  <c r="AZ319" i="24"/>
  <c r="AY319" i="24"/>
  <c r="AX319" i="24"/>
  <c r="AW319" i="24"/>
  <c r="AV319" i="24"/>
  <c r="AU319" i="24"/>
  <c r="AT319" i="24"/>
  <c r="AO319" i="24"/>
  <c r="AN319" i="24"/>
  <c r="AM319" i="24"/>
  <c r="X319" i="24"/>
  <c r="W319" i="24"/>
  <c r="U319" i="24"/>
  <c r="S319" i="24"/>
  <c r="R319" i="24"/>
  <c r="Q319" i="24"/>
  <c r="N319" i="24"/>
  <c r="M319" i="24"/>
  <c r="K319" i="24"/>
  <c r="I319" i="24"/>
  <c r="H319" i="24"/>
  <c r="G319" i="24"/>
  <c r="F319" i="24"/>
  <c r="E319" i="24"/>
  <c r="D319" i="24"/>
  <c r="BP318" i="24"/>
  <c r="BN318" i="24"/>
  <c r="BM318" i="24"/>
  <c r="BH318" i="24"/>
  <c r="BG318" i="24"/>
  <c r="BF318" i="24"/>
  <c r="BE318" i="24"/>
  <c r="BD318" i="24"/>
  <c r="BC318" i="24"/>
  <c r="AC318" i="24" s="1"/>
  <c r="BB318" i="24"/>
  <c r="BA318" i="24"/>
  <c r="AZ318" i="24"/>
  <c r="AY318" i="24"/>
  <c r="AX318" i="24"/>
  <c r="AW318" i="24"/>
  <c r="AV318" i="24"/>
  <c r="AU318" i="24"/>
  <c r="AT318" i="24"/>
  <c r="AO318" i="24"/>
  <c r="AN318" i="24"/>
  <c r="AM318" i="24"/>
  <c r="X318" i="24"/>
  <c r="W318" i="24"/>
  <c r="U318" i="24"/>
  <c r="S318" i="24"/>
  <c r="R318" i="24"/>
  <c r="Q318" i="24"/>
  <c r="N318" i="24"/>
  <c r="M318" i="24"/>
  <c r="K318" i="24"/>
  <c r="I318" i="24"/>
  <c r="H318" i="24"/>
  <c r="G318" i="24"/>
  <c r="F318" i="24"/>
  <c r="E318" i="24"/>
  <c r="D318" i="24"/>
  <c r="BP317" i="24"/>
  <c r="BN317" i="24"/>
  <c r="BM317" i="24"/>
  <c r="BH317" i="24"/>
  <c r="BG317" i="24"/>
  <c r="BF317" i="24"/>
  <c r="BE317" i="24"/>
  <c r="BD317" i="24"/>
  <c r="BC317" i="24"/>
  <c r="AC317" i="24" s="1"/>
  <c r="BB317" i="24"/>
  <c r="BA317" i="24"/>
  <c r="AZ317" i="24"/>
  <c r="AY317" i="24"/>
  <c r="AX317" i="24"/>
  <c r="AW317" i="24"/>
  <c r="AV317" i="24"/>
  <c r="AU317" i="24"/>
  <c r="AT317" i="24"/>
  <c r="AO317" i="24"/>
  <c r="AM317" i="24"/>
  <c r="X317" i="24"/>
  <c r="W317" i="24"/>
  <c r="U317" i="24"/>
  <c r="S317" i="24"/>
  <c r="R317" i="24"/>
  <c r="Q317" i="24"/>
  <c r="N317" i="24"/>
  <c r="M317" i="24"/>
  <c r="K317" i="24"/>
  <c r="I317" i="24"/>
  <c r="H317" i="24"/>
  <c r="G317" i="24"/>
  <c r="F317" i="24"/>
  <c r="E317" i="24"/>
  <c r="D317" i="24"/>
  <c r="BP316" i="24"/>
  <c r="BN316" i="24"/>
  <c r="BM316" i="24"/>
  <c r="BH316" i="24"/>
  <c r="BG316" i="24"/>
  <c r="BF316" i="24"/>
  <c r="BE316" i="24"/>
  <c r="BD316" i="24"/>
  <c r="BC316" i="24"/>
  <c r="AC316" i="24" s="1"/>
  <c r="BB316" i="24"/>
  <c r="BA316" i="24"/>
  <c r="AZ316" i="24"/>
  <c r="AY316" i="24"/>
  <c r="AX316" i="24"/>
  <c r="AW316" i="24"/>
  <c r="AV316" i="24"/>
  <c r="AU316" i="24"/>
  <c r="AT316" i="24"/>
  <c r="AO316" i="24"/>
  <c r="AM316" i="24"/>
  <c r="X316" i="24"/>
  <c r="W316" i="24"/>
  <c r="U316" i="24"/>
  <c r="S316" i="24"/>
  <c r="R316" i="24"/>
  <c r="Q316" i="24"/>
  <c r="N316" i="24"/>
  <c r="M316" i="24"/>
  <c r="K316" i="24"/>
  <c r="I316" i="24"/>
  <c r="H316" i="24"/>
  <c r="G316" i="24"/>
  <c r="F316" i="24"/>
  <c r="E316" i="24"/>
  <c r="D316" i="24"/>
  <c r="BP315" i="24"/>
  <c r="BN315" i="24"/>
  <c r="BM315" i="24"/>
  <c r="BH315" i="24"/>
  <c r="BG315" i="24"/>
  <c r="BF315" i="24"/>
  <c r="BE315" i="24"/>
  <c r="BD315" i="24"/>
  <c r="BC315" i="24"/>
  <c r="AC315" i="24" s="1"/>
  <c r="BB315" i="24"/>
  <c r="BA315" i="24"/>
  <c r="AZ315" i="24"/>
  <c r="AY315" i="24"/>
  <c r="AX315" i="24"/>
  <c r="AW315" i="24"/>
  <c r="AV315" i="24"/>
  <c r="AU315" i="24"/>
  <c r="AT315" i="24"/>
  <c r="AO315" i="24"/>
  <c r="AM315" i="24"/>
  <c r="X315" i="24"/>
  <c r="W315" i="24"/>
  <c r="U315" i="24"/>
  <c r="S315" i="24"/>
  <c r="R315" i="24"/>
  <c r="Q315" i="24"/>
  <c r="N315" i="24"/>
  <c r="M315" i="24"/>
  <c r="K315" i="24"/>
  <c r="I315" i="24"/>
  <c r="H315" i="24"/>
  <c r="G315" i="24"/>
  <c r="F315" i="24"/>
  <c r="E315" i="24"/>
  <c r="D315" i="24"/>
  <c r="BP314" i="24"/>
  <c r="BN314" i="24"/>
  <c r="BM314" i="24"/>
  <c r="BH314" i="24"/>
  <c r="BG314" i="24"/>
  <c r="BF314" i="24"/>
  <c r="BE314" i="24"/>
  <c r="BD314" i="24"/>
  <c r="BC314" i="24"/>
  <c r="AC314" i="24" s="1"/>
  <c r="BB314" i="24"/>
  <c r="BA314" i="24"/>
  <c r="AZ314" i="24"/>
  <c r="AY314" i="24"/>
  <c r="AX314" i="24"/>
  <c r="AW314" i="24"/>
  <c r="AV314" i="24"/>
  <c r="AU314" i="24"/>
  <c r="AT314" i="24"/>
  <c r="AO314" i="24"/>
  <c r="AN314" i="24"/>
  <c r="AM314" i="24"/>
  <c r="X314" i="24"/>
  <c r="W314" i="24"/>
  <c r="U314" i="24"/>
  <c r="S314" i="24"/>
  <c r="R314" i="24"/>
  <c r="Q314" i="24"/>
  <c r="N314" i="24"/>
  <c r="M314" i="24"/>
  <c r="K314" i="24"/>
  <c r="I314" i="24"/>
  <c r="H314" i="24"/>
  <c r="G314" i="24"/>
  <c r="F314" i="24"/>
  <c r="E314" i="24"/>
  <c r="D314" i="24"/>
  <c r="BP313" i="24"/>
  <c r="BN313" i="24"/>
  <c r="BM313" i="24"/>
  <c r="BH313" i="24"/>
  <c r="BG313" i="24"/>
  <c r="BF313" i="24"/>
  <c r="BE313" i="24"/>
  <c r="BD313" i="24"/>
  <c r="BC313" i="24"/>
  <c r="AC313" i="24" s="1"/>
  <c r="BB313" i="24"/>
  <c r="BA313" i="24"/>
  <c r="AZ313" i="24"/>
  <c r="AY313" i="24"/>
  <c r="AX313" i="24"/>
  <c r="AW313" i="24"/>
  <c r="AV313" i="24"/>
  <c r="AU313" i="24"/>
  <c r="AT313" i="24"/>
  <c r="AO313" i="24"/>
  <c r="AN313" i="24"/>
  <c r="AM313" i="24"/>
  <c r="X313" i="24"/>
  <c r="W313" i="24"/>
  <c r="U313" i="24"/>
  <c r="S313" i="24"/>
  <c r="R313" i="24"/>
  <c r="Q313" i="24"/>
  <c r="N313" i="24"/>
  <c r="M313" i="24"/>
  <c r="K313" i="24"/>
  <c r="I313" i="24"/>
  <c r="H313" i="24"/>
  <c r="G313" i="24"/>
  <c r="F313" i="24"/>
  <c r="E313" i="24"/>
  <c r="D313" i="24"/>
  <c r="BP312" i="24"/>
  <c r="BN312" i="24"/>
  <c r="BM312" i="24"/>
  <c r="BH312" i="24"/>
  <c r="BG312" i="24"/>
  <c r="BF312" i="24"/>
  <c r="BE312" i="24"/>
  <c r="BD312" i="24"/>
  <c r="BC312" i="24"/>
  <c r="AC312" i="24" s="1"/>
  <c r="BB312" i="24"/>
  <c r="BA312" i="24"/>
  <c r="AZ312" i="24"/>
  <c r="AY312" i="24"/>
  <c r="AX312" i="24"/>
  <c r="AW312" i="24"/>
  <c r="AV312" i="24"/>
  <c r="AU312" i="24"/>
  <c r="AT312" i="24"/>
  <c r="AO312" i="24"/>
  <c r="AN312" i="24"/>
  <c r="AM312" i="24"/>
  <c r="X312" i="24"/>
  <c r="W312" i="24"/>
  <c r="U312" i="24"/>
  <c r="S312" i="24"/>
  <c r="R312" i="24"/>
  <c r="Q312" i="24"/>
  <c r="N312" i="24"/>
  <c r="M312" i="24"/>
  <c r="K312" i="24"/>
  <c r="I312" i="24"/>
  <c r="H312" i="24"/>
  <c r="G312" i="24"/>
  <c r="F312" i="24"/>
  <c r="E312" i="24"/>
  <c r="D312" i="24"/>
  <c r="BP311" i="24"/>
  <c r="BN311" i="24"/>
  <c r="BM311" i="24"/>
  <c r="BH311" i="24"/>
  <c r="BG311" i="24"/>
  <c r="BF311" i="24"/>
  <c r="BE311" i="24"/>
  <c r="BD311" i="24"/>
  <c r="BC311" i="24"/>
  <c r="AC311" i="24" s="1"/>
  <c r="BB311" i="24"/>
  <c r="BA311" i="24"/>
  <c r="AZ311" i="24"/>
  <c r="AY311" i="24"/>
  <c r="AX311" i="24"/>
  <c r="AW311" i="24"/>
  <c r="AV311" i="24"/>
  <c r="AU311" i="24"/>
  <c r="AT311" i="24"/>
  <c r="AO311" i="24"/>
  <c r="AN311" i="24"/>
  <c r="AM311" i="24"/>
  <c r="X311" i="24"/>
  <c r="W311" i="24"/>
  <c r="U311" i="24"/>
  <c r="S311" i="24"/>
  <c r="R311" i="24"/>
  <c r="Q311" i="24"/>
  <c r="N311" i="24"/>
  <c r="M311" i="24"/>
  <c r="K311" i="24"/>
  <c r="I311" i="24"/>
  <c r="H311" i="24"/>
  <c r="G311" i="24"/>
  <c r="F311" i="24"/>
  <c r="E311" i="24"/>
  <c r="D311" i="24"/>
  <c r="BP310" i="24"/>
  <c r="BN310" i="24"/>
  <c r="BM310" i="24"/>
  <c r="BH310" i="24"/>
  <c r="BG310" i="24"/>
  <c r="BF310" i="24"/>
  <c r="BE310" i="24"/>
  <c r="BD310" i="24"/>
  <c r="BC310" i="24"/>
  <c r="AC310" i="24" s="1"/>
  <c r="BB310" i="24"/>
  <c r="BA310" i="24"/>
  <c r="AZ310" i="24"/>
  <c r="AY310" i="24"/>
  <c r="AX310" i="24"/>
  <c r="AW310" i="24"/>
  <c r="AV310" i="24"/>
  <c r="AU310" i="24"/>
  <c r="AT310" i="24"/>
  <c r="AO310" i="24"/>
  <c r="AN310" i="24"/>
  <c r="AM310" i="24"/>
  <c r="X310" i="24"/>
  <c r="W310" i="24"/>
  <c r="U310" i="24"/>
  <c r="S310" i="24"/>
  <c r="R310" i="24"/>
  <c r="Q310" i="24"/>
  <c r="N310" i="24"/>
  <c r="M310" i="24"/>
  <c r="K310" i="24"/>
  <c r="I310" i="24"/>
  <c r="H310" i="24"/>
  <c r="G310" i="24"/>
  <c r="F310" i="24"/>
  <c r="E310" i="24"/>
  <c r="D310" i="24"/>
  <c r="BP309" i="24"/>
  <c r="BN309" i="24"/>
  <c r="BM309" i="24"/>
  <c r="BH309" i="24"/>
  <c r="BG309" i="24"/>
  <c r="BF309" i="24"/>
  <c r="BE309" i="24"/>
  <c r="BD309" i="24"/>
  <c r="BC309" i="24"/>
  <c r="AC309" i="24" s="1"/>
  <c r="BB309" i="24"/>
  <c r="BA309" i="24"/>
  <c r="AZ309" i="24"/>
  <c r="AY309" i="24"/>
  <c r="AX309" i="24"/>
  <c r="AW309" i="24"/>
  <c r="AV309" i="24"/>
  <c r="AU309" i="24"/>
  <c r="AT309" i="24"/>
  <c r="AO309" i="24"/>
  <c r="AN309" i="24"/>
  <c r="AM309" i="24"/>
  <c r="X309" i="24"/>
  <c r="W309" i="24"/>
  <c r="U309" i="24"/>
  <c r="S309" i="24"/>
  <c r="R309" i="24"/>
  <c r="Q309" i="24"/>
  <c r="N309" i="24"/>
  <c r="M309" i="24"/>
  <c r="K309" i="24"/>
  <c r="I309" i="24"/>
  <c r="H309" i="24"/>
  <c r="G309" i="24"/>
  <c r="F309" i="24"/>
  <c r="E309" i="24"/>
  <c r="D309" i="24"/>
  <c r="BP308" i="24"/>
  <c r="BN308" i="24"/>
  <c r="BM308" i="24"/>
  <c r="BH308" i="24"/>
  <c r="BG308" i="24"/>
  <c r="BF308" i="24"/>
  <c r="BE308" i="24"/>
  <c r="BD308" i="24"/>
  <c r="BC308" i="24"/>
  <c r="AC308" i="24" s="1"/>
  <c r="BB308" i="24"/>
  <c r="BA308" i="24"/>
  <c r="AZ308" i="24"/>
  <c r="AY308" i="24"/>
  <c r="AX308" i="24"/>
  <c r="AW308" i="24"/>
  <c r="AV308" i="24"/>
  <c r="AU308" i="24"/>
  <c r="AT308" i="24"/>
  <c r="AO308" i="24"/>
  <c r="AN308" i="24"/>
  <c r="AM308" i="24"/>
  <c r="X308" i="24"/>
  <c r="W308" i="24"/>
  <c r="U308" i="24"/>
  <c r="S308" i="24"/>
  <c r="R308" i="24"/>
  <c r="Q308" i="24"/>
  <c r="N308" i="24"/>
  <c r="M308" i="24"/>
  <c r="K308" i="24"/>
  <c r="I308" i="24"/>
  <c r="H308" i="24"/>
  <c r="G308" i="24"/>
  <c r="F308" i="24"/>
  <c r="E308" i="24"/>
  <c r="D308" i="24"/>
  <c r="BP307" i="24"/>
  <c r="BN307" i="24"/>
  <c r="BM307" i="24"/>
  <c r="BH307" i="24"/>
  <c r="BG307" i="24"/>
  <c r="BF307" i="24"/>
  <c r="BE307" i="24"/>
  <c r="BD307" i="24"/>
  <c r="BC307" i="24"/>
  <c r="AC307" i="24" s="1"/>
  <c r="BB307" i="24"/>
  <c r="BA307" i="24"/>
  <c r="AZ307" i="24"/>
  <c r="AY307" i="24"/>
  <c r="AX307" i="24"/>
  <c r="AW307" i="24"/>
  <c r="AV307" i="24"/>
  <c r="AU307" i="24"/>
  <c r="AT307" i="24"/>
  <c r="AO307" i="24"/>
  <c r="AN307" i="24"/>
  <c r="AM307" i="24"/>
  <c r="X307" i="24"/>
  <c r="W307" i="24"/>
  <c r="U307" i="24"/>
  <c r="S307" i="24"/>
  <c r="R307" i="24"/>
  <c r="Q307" i="24"/>
  <c r="N307" i="24"/>
  <c r="M307" i="24"/>
  <c r="K307" i="24"/>
  <c r="I307" i="24"/>
  <c r="H307" i="24"/>
  <c r="G307" i="24"/>
  <c r="F307" i="24"/>
  <c r="E307" i="24"/>
  <c r="D307" i="24"/>
  <c r="BP306" i="24"/>
  <c r="BN306" i="24"/>
  <c r="BM306" i="24"/>
  <c r="BH306" i="24"/>
  <c r="BG306" i="24"/>
  <c r="BF306" i="24"/>
  <c r="BE306" i="24"/>
  <c r="BD306" i="24"/>
  <c r="BC306" i="24"/>
  <c r="AC306" i="24" s="1"/>
  <c r="BB306" i="24"/>
  <c r="BA306" i="24"/>
  <c r="AZ306" i="24"/>
  <c r="AY306" i="24"/>
  <c r="AX306" i="24"/>
  <c r="AW306" i="24"/>
  <c r="AV306" i="24"/>
  <c r="AU306" i="24"/>
  <c r="AT306" i="24"/>
  <c r="AO306" i="24"/>
  <c r="AN306" i="24"/>
  <c r="AM306" i="24"/>
  <c r="X306" i="24"/>
  <c r="W306" i="24"/>
  <c r="U306" i="24"/>
  <c r="S306" i="24"/>
  <c r="R306" i="24"/>
  <c r="Q306" i="24"/>
  <c r="N306" i="24"/>
  <c r="M306" i="24"/>
  <c r="K306" i="24"/>
  <c r="I306" i="24"/>
  <c r="H306" i="24"/>
  <c r="G306" i="24"/>
  <c r="F306" i="24"/>
  <c r="E306" i="24"/>
  <c r="D306" i="24"/>
  <c r="BP305" i="24"/>
  <c r="BN305" i="24"/>
  <c r="BM305" i="24"/>
  <c r="BH305" i="24"/>
  <c r="BG305" i="24"/>
  <c r="BF305" i="24"/>
  <c r="BE305" i="24"/>
  <c r="BD305" i="24"/>
  <c r="BC305" i="24"/>
  <c r="AC305" i="24" s="1"/>
  <c r="BB305" i="24"/>
  <c r="BA305" i="24"/>
  <c r="AZ305" i="24"/>
  <c r="AY305" i="24"/>
  <c r="AX305" i="24"/>
  <c r="AW305" i="24"/>
  <c r="AV305" i="24"/>
  <c r="AU305" i="24"/>
  <c r="AT305" i="24"/>
  <c r="AO305" i="24"/>
  <c r="AN305" i="24"/>
  <c r="AM305" i="24"/>
  <c r="X305" i="24"/>
  <c r="W305" i="24"/>
  <c r="U305" i="24"/>
  <c r="S305" i="24"/>
  <c r="R305" i="24"/>
  <c r="Q305" i="24"/>
  <c r="N305" i="24"/>
  <c r="M305" i="24"/>
  <c r="K305" i="24"/>
  <c r="I305" i="24"/>
  <c r="H305" i="24"/>
  <c r="G305" i="24"/>
  <c r="F305" i="24"/>
  <c r="E305" i="24"/>
  <c r="D305" i="24"/>
  <c r="BP304" i="24"/>
  <c r="BN304" i="24"/>
  <c r="BM304" i="24"/>
  <c r="BH304" i="24"/>
  <c r="BG304" i="24"/>
  <c r="BF304" i="24"/>
  <c r="BE304" i="24"/>
  <c r="BD304" i="24"/>
  <c r="BC304" i="24"/>
  <c r="AC304" i="24" s="1"/>
  <c r="BB304" i="24"/>
  <c r="BA304" i="24"/>
  <c r="AZ304" i="24"/>
  <c r="AY304" i="24"/>
  <c r="AX304" i="24"/>
  <c r="AW304" i="24"/>
  <c r="AV304" i="24"/>
  <c r="AU304" i="24"/>
  <c r="AT304" i="24"/>
  <c r="AO304" i="24"/>
  <c r="AN304" i="24"/>
  <c r="AM304" i="24"/>
  <c r="X304" i="24"/>
  <c r="W304" i="24"/>
  <c r="U304" i="24"/>
  <c r="S304" i="24"/>
  <c r="R304" i="24"/>
  <c r="Q304" i="24"/>
  <c r="N304" i="24"/>
  <c r="M304" i="24"/>
  <c r="K304" i="24"/>
  <c r="I304" i="24"/>
  <c r="H304" i="24"/>
  <c r="G304" i="24"/>
  <c r="F304" i="24"/>
  <c r="E304" i="24"/>
  <c r="D304" i="24"/>
  <c r="BP303" i="24"/>
  <c r="BN303" i="24"/>
  <c r="BM303" i="24"/>
  <c r="BH303" i="24"/>
  <c r="BG303" i="24"/>
  <c r="BF303" i="24"/>
  <c r="BE303" i="24"/>
  <c r="BD303" i="24"/>
  <c r="BC303" i="24"/>
  <c r="AC303" i="24" s="1"/>
  <c r="BB303" i="24"/>
  <c r="BA303" i="24"/>
  <c r="AZ303" i="24"/>
  <c r="AY303" i="24"/>
  <c r="AX303" i="24"/>
  <c r="AW303" i="24"/>
  <c r="AV303" i="24"/>
  <c r="AU303" i="24"/>
  <c r="AT303" i="24"/>
  <c r="AO303" i="24"/>
  <c r="AN303" i="24"/>
  <c r="AM303" i="24"/>
  <c r="X303" i="24"/>
  <c r="W303" i="24"/>
  <c r="U303" i="24"/>
  <c r="S303" i="24"/>
  <c r="R303" i="24"/>
  <c r="Q303" i="24"/>
  <c r="N303" i="24"/>
  <c r="M303" i="24"/>
  <c r="K303" i="24"/>
  <c r="I303" i="24"/>
  <c r="H303" i="24"/>
  <c r="G303" i="24"/>
  <c r="F303" i="24"/>
  <c r="E303" i="24"/>
  <c r="D303" i="24"/>
  <c r="BP302" i="24"/>
  <c r="BN302" i="24"/>
  <c r="BM302" i="24"/>
  <c r="BH302" i="24"/>
  <c r="BG302" i="24"/>
  <c r="BF302" i="24"/>
  <c r="BE302" i="24"/>
  <c r="BD302" i="24"/>
  <c r="BC302" i="24"/>
  <c r="AC302" i="24" s="1"/>
  <c r="BB302" i="24"/>
  <c r="BA302" i="24"/>
  <c r="AZ302" i="24"/>
  <c r="AY302" i="24"/>
  <c r="AX302" i="24"/>
  <c r="AW302" i="24"/>
  <c r="AV302" i="24"/>
  <c r="AU302" i="24"/>
  <c r="AT302" i="24"/>
  <c r="AO302" i="24"/>
  <c r="AN302" i="24"/>
  <c r="AM302" i="24"/>
  <c r="X302" i="24"/>
  <c r="W302" i="24"/>
  <c r="U302" i="24"/>
  <c r="S302" i="24"/>
  <c r="R302" i="24"/>
  <c r="Q302" i="24"/>
  <c r="N302" i="24"/>
  <c r="M302" i="24"/>
  <c r="K302" i="24"/>
  <c r="I302" i="24"/>
  <c r="H302" i="24"/>
  <c r="G302" i="24"/>
  <c r="F302" i="24"/>
  <c r="E302" i="24"/>
  <c r="D302" i="24"/>
  <c r="BP301" i="24"/>
  <c r="BN301" i="24"/>
  <c r="BM301" i="24"/>
  <c r="BH301" i="24"/>
  <c r="BG301" i="24"/>
  <c r="BF301" i="24"/>
  <c r="BE301" i="24"/>
  <c r="BD301" i="24"/>
  <c r="BC301" i="24"/>
  <c r="AC301" i="24" s="1"/>
  <c r="BB301" i="24"/>
  <c r="BA301" i="24"/>
  <c r="AZ301" i="24"/>
  <c r="AY301" i="24"/>
  <c r="AX301" i="24"/>
  <c r="AW301" i="24"/>
  <c r="AV301" i="24"/>
  <c r="AU301" i="24"/>
  <c r="AT301" i="24"/>
  <c r="AO301" i="24"/>
  <c r="AN301" i="24"/>
  <c r="AM301" i="24"/>
  <c r="X301" i="24"/>
  <c r="W301" i="24"/>
  <c r="U301" i="24"/>
  <c r="S301" i="24"/>
  <c r="R301" i="24"/>
  <c r="Q301" i="24"/>
  <c r="N301" i="24"/>
  <c r="M301" i="24"/>
  <c r="K301" i="24"/>
  <c r="I301" i="24"/>
  <c r="H301" i="24"/>
  <c r="G301" i="24"/>
  <c r="F301" i="24"/>
  <c r="E301" i="24"/>
  <c r="D301" i="24"/>
  <c r="BP300" i="24"/>
  <c r="BN300" i="24"/>
  <c r="BM300" i="24"/>
  <c r="BH300" i="24"/>
  <c r="BG300" i="24"/>
  <c r="BF300" i="24"/>
  <c r="BE300" i="24"/>
  <c r="BD300" i="24"/>
  <c r="BC300" i="24"/>
  <c r="AC300" i="24" s="1"/>
  <c r="BB300" i="24"/>
  <c r="BA300" i="24"/>
  <c r="AZ300" i="24"/>
  <c r="AY300" i="24"/>
  <c r="AX300" i="24"/>
  <c r="AW300" i="24"/>
  <c r="AV300" i="24"/>
  <c r="AU300" i="24"/>
  <c r="AT300" i="24"/>
  <c r="AO300" i="24"/>
  <c r="AN300" i="24"/>
  <c r="AM300" i="24"/>
  <c r="X300" i="24"/>
  <c r="W300" i="24"/>
  <c r="U300" i="24"/>
  <c r="S300" i="24"/>
  <c r="R300" i="24"/>
  <c r="Q300" i="24"/>
  <c r="N300" i="24"/>
  <c r="M300" i="24"/>
  <c r="K300" i="24"/>
  <c r="I300" i="24"/>
  <c r="H300" i="24"/>
  <c r="G300" i="24"/>
  <c r="F300" i="24"/>
  <c r="E300" i="24"/>
  <c r="D300" i="24"/>
  <c r="BP299" i="24"/>
  <c r="BN299" i="24"/>
  <c r="BM299" i="24"/>
  <c r="BH299" i="24"/>
  <c r="BG299" i="24"/>
  <c r="BF299" i="24"/>
  <c r="BE299" i="24"/>
  <c r="BD299" i="24"/>
  <c r="BC299" i="24"/>
  <c r="BB299" i="24"/>
  <c r="BA299" i="24"/>
  <c r="AZ299" i="24"/>
  <c r="AY299" i="24"/>
  <c r="AX299" i="24"/>
  <c r="AW299" i="24"/>
  <c r="AV299" i="24"/>
  <c r="AU299" i="24"/>
  <c r="AT299" i="24"/>
  <c r="AO299" i="24"/>
  <c r="AN299" i="24"/>
  <c r="AM299" i="24"/>
  <c r="AC299" i="24"/>
  <c r="X299" i="24"/>
  <c r="W299" i="24"/>
  <c r="U299" i="24"/>
  <c r="S299" i="24"/>
  <c r="R299" i="24"/>
  <c r="Q299" i="24"/>
  <c r="N299" i="24"/>
  <c r="M299" i="24"/>
  <c r="K299" i="24"/>
  <c r="I299" i="24"/>
  <c r="H299" i="24"/>
  <c r="G299" i="24"/>
  <c r="F299" i="24"/>
  <c r="E299" i="24"/>
  <c r="D299" i="24"/>
  <c r="BP298" i="24"/>
  <c r="BN298" i="24"/>
  <c r="BM298" i="24"/>
  <c r="BH298" i="24"/>
  <c r="BG298" i="24"/>
  <c r="BF298" i="24"/>
  <c r="BE298" i="24"/>
  <c r="BD298" i="24"/>
  <c r="BC298" i="24"/>
  <c r="AC298" i="24" s="1"/>
  <c r="BB298" i="24"/>
  <c r="BA298" i="24"/>
  <c r="AZ298" i="24"/>
  <c r="AY298" i="24"/>
  <c r="AX298" i="24"/>
  <c r="AW298" i="24"/>
  <c r="AV298" i="24"/>
  <c r="AU298" i="24"/>
  <c r="AT298" i="24"/>
  <c r="AO298" i="24"/>
  <c r="AN298" i="24"/>
  <c r="AM298" i="24"/>
  <c r="X298" i="24"/>
  <c r="W298" i="24"/>
  <c r="U298" i="24"/>
  <c r="S298" i="24"/>
  <c r="R298" i="24"/>
  <c r="Q298" i="24"/>
  <c r="N298" i="24"/>
  <c r="M298" i="24"/>
  <c r="K298" i="24"/>
  <c r="I298" i="24"/>
  <c r="H298" i="24"/>
  <c r="G298" i="24"/>
  <c r="F298" i="24"/>
  <c r="E298" i="24"/>
  <c r="D298" i="24"/>
  <c r="BP297" i="24"/>
  <c r="BN297" i="24"/>
  <c r="BM297" i="24"/>
  <c r="BH297" i="24"/>
  <c r="BG297" i="24"/>
  <c r="BF297" i="24"/>
  <c r="BE297" i="24"/>
  <c r="BD297" i="24"/>
  <c r="BC297" i="24"/>
  <c r="AC297" i="24" s="1"/>
  <c r="BB297" i="24"/>
  <c r="BA297" i="24"/>
  <c r="AZ297" i="24"/>
  <c r="AY297" i="24"/>
  <c r="AX297" i="24"/>
  <c r="AW297" i="24"/>
  <c r="AV297" i="24"/>
  <c r="AU297" i="24"/>
  <c r="AT297" i="24"/>
  <c r="AO297" i="24"/>
  <c r="AN297" i="24"/>
  <c r="AM297" i="24"/>
  <c r="X297" i="24"/>
  <c r="W297" i="24"/>
  <c r="U297" i="24"/>
  <c r="S297" i="24"/>
  <c r="R297" i="24"/>
  <c r="Q297" i="24"/>
  <c r="N297" i="24"/>
  <c r="M297" i="24"/>
  <c r="K297" i="24"/>
  <c r="I297" i="24"/>
  <c r="H297" i="24"/>
  <c r="G297" i="24"/>
  <c r="F297" i="24"/>
  <c r="E297" i="24"/>
  <c r="D297" i="24"/>
  <c r="BP296" i="24"/>
  <c r="BN296" i="24"/>
  <c r="BM296" i="24"/>
  <c r="BH296" i="24"/>
  <c r="BG296" i="24"/>
  <c r="BF296" i="24"/>
  <c r="BE296" i="24"/>
  <c r="BD296" i="24"/>
  <c r="BC296" i="24"/>
  <c r="AC296" i="24" s="1"/>
  <c r="BB296" i="24"/>
  <c r="BA296" i="24"/>
  <c r="AZ296" i="24"/>
  <c r="AY296" i="24"/>
  <c r="AX296" i="24"/>
  <c r="AW296" i="24"/>
  <c r="AV296" i="24"/>
  <c r="AU296" i="24"/>
  <c r="AT296" i="24"/>
  <c r="AO296" i="24"/>
  <c r="AN296" i="24"/>
  <c r="AM296" i="24"/>
  <c r="X296" i="24"/>
  <c r="W296" i="24"/>
  <c r="U296" i="24"/>
  <c r="S296" i="24"/>
  <c r="R296" i="24"/>
  <c r="Q296" i="24"/>
  <c r="N296" i="24"/>
  <c r="M296" i="24"/>
  <c r="K296" i="24"/>
  <c r="I296" i="24"/>
  <c r="H296" i="24"/>
  <c r="G296" i="24"/>
  <c r="F296" i="24"/>
  <c r="E296" i="24"/>
  <c r="D296" i="24"/>
  <c r="BP295" i="24"/>
  <c r="BN295" i="24"/>
  <c r="BM295" i="24"/>
  <c r="BH295" i="24"/>
  <c r="BG295" i="24"/>
  <c r="BF295" i="24"/>
  <c r="BE295" i="24"/>
  <c r="BD295" i="24"/>
  <c r="BC295" i="24"/>
  <c r="AC295" i="24" s="1"/>
  <c r="BB295" i="24"/>
  <c r="BA295" i="24"/>
  <c r="AZ295" i="24"/>
  <c r="AY295" i="24"/>
  <c r="AX295" i="24"/>
  <c r="AW295" i="24"/>
  <c r="AV295" i="24"/>
  <c r="AU295" i="24"/>
  <c r="AT295" i="24"/>
  <c r="AO295" i="24"/>
  <c r="AN295" i="24"/>
  <c r="AM295" i="24"/>
  <c r="X295" i="24"/>
  <c r="W295" i="24"/>
  <c r="U295" i="24"/>
  <c r="S295" i="24"/>
  <c r="R295" i="24"/>
  <c r="Q295" i="24"/>
  <c r="N295" i="24"/>
  <c r="M295" i="24"/>
  <c r="K295" i="24"/>
  <c r="I295" i="24"/>
  <c r="H295" i="24"/>
  <c r="G295" i="24"/>
  <c r="F295" i="24"/>
  <c r="E295" i="24"/>
  <c r="D295" i="24"/>
  <c r="BP294" i="24"/>
  <c r="BN294" i="24"/>
  <c r="BM294" i="24"/>
  <c r="BH294" i="24"/>
  <c r="BG294" i="24"/>
  <c r="BF294" i="24"/>
  <c r="BE294" i="24"/>
  <c r="BD294" i="24"/>
  <c r="BC294" i="24"/>
  <c r="AC294" i="24" s="1"/>
  <c r="BB294" i="24"/>
  <c r="BA294" i="24"/>
  <c r="AZ294" i="24"/>
  <c r="AY294" i="24"/>
  <c r="AX294" i="24"/>
  <c r="AW294" i="24"/>
  <c r="AV294" i="24"/>
  <c r="AU294" i="24"/>
  <c r="AT294" i="24"/>
  <c r="AO294" i="24"/>
  <c r="AN294" i="24"/>
  <c r="AM294" i="24"/>
  <c r="X294" i="24"/>
  <c r="W294" i="24"/>
  <c r="U294" i="24"/>
  <c r="S294" i="24"/>
  <c r="R294" i="24"/>
  <c r="Q294" i="24"/>
  <c r="N294" i="24"/>
  <c r="M294" i="24"/>
  <c r="K294" i="24"/>
  <c r="I294" i="24"/>
  <c r="H294" i="24"/>
  <c r="G294" i="24"/>
  <c r="F294" i="24"/>
  <c r="E294" i="24"/>
  <c r="D294" i="24"/>
  <c r="BP293" i="24"/>
  <c r="BN293" i="24"/>
  <c r="BM293" i="24"/>
  <c r="BH293" i="24"/>
  <c r="BG293" i="24"/>
  <c r="BF293" i="24"/>
  <c r="BE293" i="24"/>
  <c r="BD293" i="24"/>
  <c r="BC293" i="24"/>
  <c r="AC293" i="24" s="1"/>
  <c r="BB293" i="24"/>
  <c r="BA293" i="24"/>
  <c r="AZ293" i="24"/>
  <c r="AY293" i="24"/>
  <c r="AX293" i="24"/>
  <c r="AW293" i="24"/>
  <c r="AV293" i="24"/>
  <c r="AU293" i="24"/>
  <c r="AT293" i="24"/>
  <c r="AO293" i="24"/>
  <c r="AN293" i="24"/>
  <c r="AM293" i="24"/>
  <c r="X293" i="24"/>
  <c r="W293" i="24"/>
  <c r="U293" i="24"/>
  <c r="S293" i="24"/>
  <c r="R293" i="24"/>
  <c r="Q293" i="24"/>
  <c r="N293" i="24"/>
  <c r="M293" i="24"/>
  <c r="K293" i="24"/>
  <c r="I293" i="24"/>
  <c r="H293" i="24"/>
  <c r="G293" i="24"/>
  <c r="F293" i="24"/>
  <c r="E293" i="24"/>
  <c r="D293" i="24"/>
  <c r="BP292" i="24"/>
  <c r="BN292" i="24"/>
  <c r="BM292" i="24"/>
  <c r="BH292" i="24"/>
  <c r="BG292" i="24"/>
  <c r="BF292" i="24"/>
  <c r="BE292" i="24"/>
  <c r="BD292" i="24"/>
  <c r="BC292" i="24"/>
  <c r="AC292" i="24" s="1"/>
  <c r="BB292" i="24"/>
  <c r="BA292" i="24"/>
  <c r="AZ292" i="24"/>
  <c r="AY292" i="24"/>
  <c r="AX292" i="24"/>
  <c r="AW292" i="24"/>
  <c r="AV292" i="24"/>
  <c r="AU292" i="24"/>
  <c r="AT292" i="24"/>
  <c r="AO292" i="24"/>
  <c r="AN292" i="24"/>
  <c r="AM292" i="24"/>
  <c r="X292" i="24"/>
  <c r="W292" i="24"/>
  <c r="U292" i="24"/>
  <c r="S292" i="24"/>
  <c r="R292" i="24"/>
  <c r="Q292" i="24"/>
  <c r="N292" i="24"/>
  <c r="M292" i="24"/>
  <c r="K292" i="24"/>
  <c r="I292" i="24"/>
  <c r="H292" i="24"/>
  <c r="G292" i="24"/>
  <c r="F292" i="24"/>
  <c r="E292" i="24"/>
  <c r="D292" i="24"/>
  <c r="BP291" i="24"/>
  <c r="BN291" i="24"/>
  <c r="BM291" i="24"/>
  <c r="BH291" i="24"/>
  <c r="BG291" i="24"/>
  <c r="BF291" i="24"/>
  <c r="BE291" i="24"/>
  <c r="BD291" i="24"/>
  <c r="BC291" i="24"/>
  <c r="AC291" i="24" s="1"/>
  <c r="BB291" i="24"/>
  <c r="BA291" i="24"/>
  <c r="AZ291" i="24"/>
  <c r="AY291" i="24"/>
  <c r="AX291" i="24"/>
  <c r="AW291" i="24"/>
  <c r="AV291" i="24"/>
  <c r="AU291" i="24"/>
  <c r="AT291" i="24"/>
  <c r="AO291" i="24"/>
  <c r="AN291" i="24"/>
  <c r="AM291" i="24"/>
  <c r="X291" i="24"/>
  <c r="W291" i="24"/>
  <c r="U291" i="24"/>
  <c r="S291" i="24"/>
  <c r="R291" i="24"/>
  <c r="Q291" i="24"/>
  <c r="N291" i="24"/>
  <c r="M291" i="24"/>
  <c r="K291" i="24"/>
  <c r="I291" i="24"/>
  <c r="H291" i="24"/>
  <c r="G291" i="24"/>
  <c r="F291" i="24"/>
  <c r="E291" i="24"/>
  <c r="D291" i="24"/>
  <c r="BP290" i="24"/>
  <c r="BN290" i="24"/>
  <c r="BM290" i="24"/>
  <c r="BH290" i="24"/>
  <c r="BG290" i="24"/>
  <c r="BF290" i="24"/>
  <c r="BE290" i="24"/>
  <c r="BD290" i="24"/>
  <c r="BC290" i="24"/>
  <c r="AC290" i="24" s="1"/>
  <c r="BB290" i="24"/>
  <c r="BA290" i="24"/>
  <c r="AZ290" i="24"/>
  <c r="AY290" i="24"/>
  <c r="AX290" i="24"/>
  <c r="AW290" i="24"/>
  <c r="AV290" i="24"/>
  <c r="AU290" i="24"/>
  <c r="AT290" i="24"/>
  <c r="AO290" i="24"/>
  <c r="AN290" i="24"/>
  <c r="AM290" i="24"/>
  <c r="X290" i="24"/>
  <c r="W290" i="24"/>
  <c r="U290" i="24"/>
  <c r="S290" i="24"/>
  <c r="R290" i="24"/>
  <c r="Q290" i="24"/>
  <c r="N290" i="24"/>
  <c r="M290" i="24"/>
  <c r="K290" i="24"/>
  <c r="I290" i="24"/>
  <c r="H290" i="24"/>
  <c r="G290" i="24"/>
  <c r="F290" i="24"/>
  <c r="E290" i="24"/>
  <c r="D290" i="24"/>
  <c r="BP289" i="24"/>
  <c r="BN289" i="24"/>
  <c r="BM289" i="24"/>
  <c r="BH289" i="24"/>
  <c r="BG289" i="24"/>
  <c r="BF289" i="24"/>
  <c r="BE289" i="24"/>
  <c r="BD289" i="24"/>
  <c r="BC289" i="24"/>
  <c r="AC289" i="24" s="1"/>
  <c r="BB289" i="24"/>
  <c r="BA289" i="24"/>
  <c r="AZ289" i="24"/>
  <c r="AY289" i="24"/>
  <c r="AX289" i="24"/>
  <c r="AW289" i="24"/>
  <c r="AV289" i="24"/>
  <c r="AU289" i="24"/>
  <c r="AT289" i="24"/>
  <c r="AO289" i="24"/>
  <c r="AN289" i="24"/>
  <c r="AM289" i="24"/>
  <c r="X289" i="24"/>
  <c r="W289" i="24"/>
  <c r="U289" i="24"/>
  <c r="S289" i="24"/>
  <c r="R289" i="24"/>
  <c r="Q289" i="24"/>
  <c r="N289" i="24"/>
  <c r="M289" i="24"/>
  <c r="K289" i="24"/>
  <c r="I289" i="24"/>
  <c r="H289" i="24"/>
  <c r="G289" i="24"/>
  <c r="F289" i="24"/>
  <c r="E289" i="24"/>
  <c r="D289" i="24"/>
  <c r="BP288" i="24"/>
  <c r="BN288" i="24"/>
  <c r="BM288" i="24"/>
  <c r="BH288" i="24"/>
  <c r="BG288" i="24"/>
  <c r="BF288" i="24"/>
  <c r="BE288" i="24"/>
  <c r="BD288" i="24"/>
  <c r="BC288" i="24"/>
  <c r="AC288" i="24" s="1"/>
  <c r="BB288" i="24"/>
  <c r="BA288" i="24"/>
  <c r="AZ288" i="24"/>
  <c r="AY288" i="24"/>
  <c r="AX288" i="24"/>
  <c r="AW288" i="24"/>
  <c r="AV288" i="24"/>
  <c r="AU288" i="24"/>
  <c r="AT288" i="24"/>
  <c r="AO288" i="24"/>
  <c r="AN288" i="24"/>
  <c r="AM288" i="24"/>
  <c r="X288" i="24"/>
  <c r="W288" i="24"/>
  <c r="U288" i="24"/>
  <c r="S288" i="24"/>
  <c r="R288" i="24"/>
  <c r="Q288" i="24"/>
  <c r="N288" i="24"/>
  <c r="M288" i="24"/>
  <c r="K288" i="24"/>
  <c r="I288" i="24"/>
  <c r="H288" i="24"/>
  <c r="G288" i="24"/>
  <c r="F288" i="24"/>
  <c r="E288" i="24"/>
  <c r="D288" i="24"/>
  <c r="BP287" i="24"/>
  <c r="BN287" i="24"/>
  <c r="BM287" i="24"/>
  <c r="BH287" i="24"/>
  <c r="BG287" i="24"/>
  <c r="BF287" i="24"/>
  <c r="BE287" i="24"/>
  <c r="BD287" i="24"/>
  <c r="BC287" i="24"/>
  <c r="AC287" i="24" s="1"/>
  <c r="BB287" i="24"/>
  <c r="BA287" i="24"/>
  <c r="AZ287" i="24"/>
  <c r="AY287" i="24"/>
  <c r="AX287" i="24"/>
  <c r="AW287" i="24"/>
  <c r="AV287" i="24"/>
  <c r="AU287" i="24"/>
  <c r="AT287" i="24"/>
  <c r="AO287" i="24"/>
  <c r="AN287" i="24"/>
  <c r="AM287" i="24"/>
  <c r="X287" i="24"/>
  <c r="W287" i="24"/>
  <c r="U287" i="24"/>
  <c r="S287" i="24"/>
  <c r="R287" i="24"/>
  <c r="Q287" i="24"/>
  <c r="N287" i="24"/>
  <c r="M287" i="24"/>
  <c r="K287" i="24"/>
  <c r="I287" i="24"/>
  <c r="H287" i="24"/>
  <c r="G287" i="24"/>
  <c r="F287" i="24"/>
  <c r="E287" i="24"/>
  <c r="D287" i="24"/>
  <c r="BP286" i="24"/>
  <c r="BN286" i="24"/>
  <c r="BM286" i="24"/>
  <c r="BH286" i="24"/>
  <c r="BG286" i="24"/>
  <c r="BF286" i="24"/>
  <c r="BE286" i="24"/>
  <c r="BD286" i="24"/>
  <c r="BC286" i="24"/>
  <c r="AC286" i="24" s="1"/>
  <c r="BB286" i="24"/>
  <c r="BA286" i="24"/>
  <c r="AZ286" i="24"/>
  <c r="AY286" i="24"/>
  <c r="AX286" i="24"/>
  <c r="AW286" i="24"/>
  <c r="AV286" i="24"/>
  <c r="AU286" i="24"/>
  <c r="AT286" i="24"/>
  <c r="AO286" i="24"/>
  <c r="AN286" i="24"/>
  <c r="AM286" i="24"/>
  <c r="X286" i="24"/>
  <c r="W286" i="24"/>
  <c r="U286" i="24"/>
  <c r="S286" i="24"/>
  <c r="R286" i="24"/>
  <c r="Q286" i="24"/>
  <c r="N286" i="24"/>
  <c r="M286" i="24"/>
  <c r="K286" i="24"/>
  <c r="I286" i="24"/>
  <c r="H286" i="24"/>
  <c r="G286" i="24"/>
  <c r="F286" i="24"/>
  <c r="E286" i="24"/>
  <c r="D286" i="24"/>
  <c r="BP285" i="24"/>
  <c r="BN285" i="24"/>
  <c r="BM285" i="24"/>
  <c r="BH285" i="24"/>
  <c r="BG285" i="24"/>
  <c r="BF285" i="24"/>
  <c r="BE285" i="24"/>
  <c r="BD285" i="24"/>
  <c r="BC285" i="24"/>
  <c r="AC285" i="24" s="1"/>
  <c r="BB285" i="24"/>
  <c r="BA285" i="24"/>
  <c r="AZ285" i="24"/>
  <c r="AY285" i="24"/>
  <c r="AX285" i="24"/>
  <c r="AW285" i="24"/>
  <c r="AV285" i="24"/>
  <c r="AU285" i="24"/>
  <c r="AT285" i="24"/>
  <c r="AO285" i="24"/>
  <c r="AN285" i="24"/>
  <c r="AM285" i="24"/>
  <c r="X285" i="24"/>
  <c r="W285" i="24"/>
  <c r="U285" i="24"/>
  <c r="S285" i="24"/>
  <c r="R285" i="24"/>
  <c r="Q285" i="24"/>
  <c r="N285" i="24"/>
  <c r="M285" i="24"/>
  <c r="K285" i="24"/>
  <c r="I285" i="24"/>
  <c r="H285" i="24"/>
  <c r="G285" i="24"/>
  <c r="F285" i="24"/>
  <c r="E285" i="24"/>
  <c r="D285" i="24"/>
  <c r="BP284" i="24"/>
  <c r="BN284" i="24"/>
  <c r="BM284" i="24"/>
  <c r="BH284" i="24"/>
  <c r="BG284" i="24"/>
  <c r="BF284" i="24"/>
  <c r="BE284" i="24"/>
  <c r="BD284" i="24"/>
  <c r="BC284" i="24"/>
  <c r="AC284" i="24" s="1"/>
  <c r="BB284" i="24"/>
  <c r="BA284" i="24"/>
  <c r="AZ284" i="24"/>
  <c r="AY284" i="24"/>
  <c r="AX284" i="24"/>
  <c r="AW284" i="24"/>
  <c r="AV284" i="24"/>
  <c r="AU284" i="24"/>
  <c r="AT284" i="24"/>
  <c r="AO284" i="24"/>
  <c r="AN284" i="24"/>
  <c r="AM284" i="24"/>
  <c r="X284" i="24"/>
  <c r="W284" i="24"/>
  <c r="U284" i="24"/>
  <c r="S284" i="24"/>
  <c r="R284" i="24"/>
  <c r="Q284" i="24"/>
  <c r="N284" i="24"/>
  <c r="M284" i="24"/>
  <c r="K284" i="24"/>
  <c r="I284" i="24"/>
  <c r="H284" i="24"/>
  <c r="G284" i="24"/>
  <c r="F284" i="24"/>
  <c r="E284" i="24"/>
  <c r="D284" i="24"/>
  <c r="BP283" i="24"/>
  <c r="BN283" i="24"/>
  <c r="BM283" i="24"/>
  <c r="BH283" i="24"/>
  <c r="BG283" i="24"/>
  <c r="BF283" i="24"/>
  <c r="BE283" i="24"/>
  <c r="BD283" i="24"/>
  <c r="BC283" i="24"/>
  <c r="AC283" i="24" s="1"/>
  <c r="BB283" i="24"/>
  <c r="BA283" i="24"/>
  <c r="AZ283" i="24"/>
  <c r="AY283" i="24"/>
  <c r="AX283" i="24"/>
  <c r="AW283" i="24"/>
  <c r="AV283" i="24"/>
  <c r="AU283" i="24"/>
  <c r="AT283" i="24"/>
  <c r="AO283" i="24"/>
  <c r="AN283" i="24"/>
  <c r="AM283" i="24"/>
  <c r="X283" i="24"/>
  <c r="W283" i="24"/>
  <c r="U283" i="24"/>
  <c r="S283" i="24"/>
  <c r="R283" i="24"/>
  <c r="Q283" i="24"/>
  <c r="N283" i="24"/>
  <c r="M283" i="24"/>
  <c r="K283" i="24"/>
  <c r="I283" i="24"/>
  <c r="H283" i="24"/>
  <c r="G283" i="24"/>
  <c r="F283" i="24"/>
  <c r="E283" i="24"/>
  <c r="D283" i="24"/>
  <c r="BP282" i="24"/>
  <c r="BN282" i="24"/>
  <c r="BM282" i="24"/>
  <c r="BH282" i="24"/>
  <c r="BG282" i="24"/>
  <c r="BF282" i="24"/>
  <c r="BE282" i="24"/>
  <c r="BD282" i="24"/>
  <c r="BC282" i="24"/>
  <c r="AC282" i="24" s="1"/>
  <c r="BB282" i="24"/>
  <c r="BA282" i="24"/>
  <c r="AZ282" i="24"/>
  <c r="AY282" i="24"/>
  <c r="AX282" i="24"/>
  <c r="AW282" i="24"/>
  <c r="AV282" i="24"/>
  <c r="AU282" i="24"/>
  <c r="AT282" i="24"/>
  <c r="AO282" i="24"/>
  <c r="AN282" i="24"/>
  <c r="AM282" i="24"/>
  <c r="X282" i="24"/>
  <c r="W282" i="24"/>
  <c r="U282" i="24"/>
  <c r="S282" i="24"/>
  <c r="R282" i="24"/>
  <c r="Q282" i="24"/>
  <c r="N282" i="24"/>
  <c r="M282" i="24"/>
  <c r="K282" i="24"/>
  <c r="I282" i="24"/>
  <c r="H282" i="24"/>
  <c r="G282" i="24"/>
  <c r="F282" i="24"/>
  <c r="E282" i="24"/>
  <c r="D282" i="24"/>
  <c r="BP281" i="24"/>
  <c r="BN281" i="24"/>
  <c r="BM281" i="24"/>
  <c r="BH281" i="24"/>
  <c r="BG281" i="24"/>
  <c r="BF281" i="24"/>
  <c r="BE281" i="24"/>
  <c r="BD281" i="24"/>
  <c r="BC281" i="24"/>
  <c r="AC281" i="24" s="1"/>
  <c r="BB281" i="24"/>
  <c r="BA281" i="24"/>
  <c r="AZ281" i="24"/>
  <c r="AY281" i="24"/>
  <c r="AX281" i="24"/>
  <c r="AW281" i="24"/>
  <c r="AV281" i="24"/>
  <c r="AU281" i="24"/>
  <c r="AT281" i="24"/>
  <c r="AO281" i="24"/>
  <c r="AN281" i="24"/>
  <c r="AM281" i="24"/>
  <c r="X281" i="24"/>
  <c r="W281" i="24"/>
  <c r="U281" i="24"/>
  <c r="S281" i="24"/>
  <c r="R281" i="24"/>
  <c r="Q281" i="24"/>
  <c r="N281" i="24"/>
  <c r="M281" i="24"/>
  <c r="K281" i="24"/>
  <c r="I281" i="24"/>
  <c r="H281" i="24"/>
  <c r="G281" i="24"/>
  <c r="F281" i="24"/>
  <c r="E281" i="24"/>
  <c r="D281" i="24"/>
  <c r="BP280" i="24"/>
  <c r="BN280" i="24"/>
  <c r="BM280" i="24"/>
  <c r="BH280" i="24"/>
  <c r="BG280" i="24"/>
  <c r="BF280" i="24"/>
  <c r="BE280" i="24"/>
  <c r="BD280" i="24"/>
  <c r="BC280" i="24"/>
  <c r="AC280" i="24" s="1"/>
  <c r="BB280" i="24"/>
  <c r="BA280" i="24"/>
  <c r="AZ280" i="24"/>
  <c r="AY280" i="24"/>
  <c r="AX280" i="24"/>
  <c r="AW280" i="24"/>
  <c r="AV280" i="24"/>
  <c r="AU280" i="24"/>
  <c r="AT280" i="24"/>
  <c r="AO280" i="24"/>
  <c r="AN280" i="24"/>
  <c r="AM280" i="24"/>
  <c r="X280" i="24"/>
  <c r="W280" i="24"/>
  <c r="U280" i="24"/>
  <c r="S280" i="24"/>
  <c r="R280" i="24"/>
  <c r="Q280" i="24"/>
  <c r="N280" i="24"/>
  <c r="M280" i="24"/>
  <c r="K280" i="24"/>
  <c r="I280" i="24"/>
  <c r="H280" i="24"/>
  <c r="G280" i="24"/>
  <c r="F280" i="24"/>
  <c r="E280" i="24"/>
  <c r="D280" i="24"/>
  <c r="BP279" i="24"/>
  <c r="BN279" i="24"/>
  <c r="BM279" i="24"/>
  <c r="BH279" i="24"/>
  <c r="BG279" i="24"/>
  <c r="BF279" i="24"/>
  <c r="BE279" i="24"/>
  <c r="BD279" i="24"/>
  <c r="BC279" i="24"/>
  <c r="AC279" i="24" s="1"/>
  <c r="BB279" i="24"/>
  <c r="BA279" i="24"/>
  <c r="AZ279" i="24"/>
  <c r="AY279" i="24"/>
  <c r="AX279" i="24"/>
  <c r="AW279" i="24"/>
  <c r="AV279" i="24"/>
  <c r="AU279" i="24"/>
  <c r="AT279" i="24"/>
  <c r="AO279" i="24"/>
  <c r="AN279" i="24"/>
  <c r="AM279" i="24"/>
  <c r="X279" i="24"/>
  <c r="W279" i="24"/>
  <c r="U279" i="24"/>
  <c r="S279" i="24"/>
  <c r="R279" i="24"/>
  <c r="Q279" i="24"/>
  <c r="N279" i="24"/>
  <c r="M279" i="24"/>
  <c r="K279" i="24"/>
  <c r="I279" i="24"/>
  <c r="H279" i="24"/>
  <c r="G279" i="24"/>
  <c r="F279" i="24"/>
  <c r="E279" i="24"/>
  <c r="D279" i="24"/>
  <c r="BP278" i="24"/>
  <c r="BN278" i="24"/>
  <c r="BM278" i="24"/>
  <c r="BH278" i="24"/>
  <c r="BG278" i="24"/>
  <c r="BF278" i="24"/>
  <c r="BE278" i="24"/>
  <c r="BD278" i="24"/>
  <c r="BC278" i="24"/>
  <c r="AC278" i="24" s="1"/>
  <c r="BB278" i="24"/>
  <c r="BA278" i="24"/>
  <c r="AZ278" i="24"/>
  <c r="AY278" i="24"/>
  <c r="AX278" i="24"/>
  <c r="AW278" i="24"/>
  <c r="AV278" i="24"/>
  <c r="AU278" i="24"/>
  <c r="AT278" i="24"/>
  <c r="AO278" i="24"/>
  <c r="AN278" i="24"/>
  <c r="AM278" i="24"/>
  <c r="X278" i="24"/>
  <c r="W278" i="24"/>
  <c r="U278" i="24"/>
  <c r="S278" i="24"/>
  <c r="R278" i="24"/>
  <c r="Q278" i="24"/>
  <c r="N278" i="24"/>
  <c r="M278" i="24"/>
  <c r="K278" i="24"/>
  <c r="I278" i="24"/>
  <c r="H278" i="24"/>
  <c r="G278" i="24"/>
  <c r="F278" i="24"/>
  <c r="E278" i="24"/>
  <c r="D278" i="24"/>
  <c r="BP277" i="24"/>
  <c r="BN277" i="24"/>
  <c r="BM277" i="24"/>
  <c r="BH277" i="24"/>
  <c r="BG277" i="24"/>
  <c r="BF277" i="24"/>
  <c r="BE277" i="24"/>
  <c r="BD277" i="24"/>
  <c r="BC277" i="24"/>
  <c r="AC277" i="24" s="1"/>
  <c r="BB277" i="24"/>
  <c r="BA277" i="24"/>
  <c r="AZ277" i="24"/>
  <c r="AY277" i="24"/>
  <c r="AX277" i="24"/>
  <c r="AW277" i="24"/>
  <c r="AV277" i="24"/>
  <c r="AU277" i="24"/>
  <c r="AT277" i="24"/>
  <c r="AO277" i="24"/>
  <c r="AN277" i="24"/>
  <c r="AM277" i="24"/>
  <c r="X277" i="24"/>
  <c r="W277" i="24"/>
  <c r="U277" i="24"/>
  <c r="S277" i="24"/>
  <c r="R277" i="24"/>
  <c r="Q277" i="24"/>
  <c r="N277" i="24"/>
  <c r="M277" i="24"/>
  <c r="K277" i="24"/>
  <c r="I277" i="24"/>
  <c r="H277" i="24"/>
  <c r="G277" i="24"/>
  <c r="F277" i="24"/>
  <c r="E277" i="24"/>
  <c r="D277" i="24"/>
  <c r="BP276" i="24"/>
  <c r="BN276" i="24"/>
  <c r="BM276" i="24"/>
  <c r="BH276" i="24"/>
  <c r="BG276" i="24"/>
  <c r="BF276" i="24"/>
  <c r="BE276" i="24"/>
  <c r="BD276" i="24"/>
  <c r="BC276" i="24"/>
  <c r="AC276" i="24" s="1"/>
  <c r="BB276" i="24"/>
  <c r="BA276" i="24"/>
  <c r="AZ276" i="24"/>
  <c r="AY276" i="24"/>
  <c r="AX276" i="24"/>
  <c r="AW276" i="24"/>
  <c r="AV276" i="24"/>
  <c r="AU276" i="24"/>
  <c r="AT276" i="24"/>
  <c r="AO276" i="24"/>
  <c r="AN276" i="24"/>
  <c r="AM276" i="24"/>
  <c r="X276" i="24"/>
  <c r="W276" i="24"/>
  <c r="U276" i="24"/>
  <c r="S276" i="24"/>
  <c r="R276" i="24"/>
  <c r="Q276" i="24"/>
  <c r="N276" i="24"/>
  <c r="M276" i="24"/>
  <c r="K276" i="24"/>
  <c r="I276" i="24"/>
  <c r="H276" i="24"/>
  <c r="G276" i="24"/>
  <c r="F276" i="24"/>
  <c r="E276" i="24"/>
  <c r="D276" i="24"/>
  <c r="BP275" i="24"/>
  <c r="BN275" i="24"/>
  <c r="BM275" i="24"/>
  <c r="BH275" i="24"/>
  <c r="BG275" i="24"/>
  <c r="BF275" i="24"/>
  <c r="BE275" i="24"/>
  <c r="BD275" i="24"/>
  <c r="BC275" i="24"/>
  <c r="AC275" i="24" s="1"/>
  <c r="BB275" i="24"/>
  <c r="BA275" i="24"/>
  <c r="AZ275" i="24"/>
  <c r="AY275" i="24"/>
  <c r="AX275" i="24"/>
  <c r="AW275" i="24"/>
  <c r="AV275" i="24"/>
  <c r="AU275" i="24"/>
  <c r="AT275" i="24"/>
  <c r="AO275" i="24"/>
  <c r="AN275" i="24"/>
  <c r="AM275" i="24"/>
  <c r="X275" i="24"/>
  <c r="W275" i="24"/>
  <c r="U275" i="24"/>
  <c r="S275" i="24"/>
  <c r="R275" i="24"/>
  <c r="Q275" i="24"/>
  <c r="N275" i="24"/>
  <c r="M275" i="24"/>
  <c r="K275" i="24"/>
  <c r="I275" i="24"/>
  <c r="H275" i="24"/>
  <c r="G275" i="24"/>
  <c r="F275" i="24"/>
  <c r="E275" i="24"/>
  <c r="D275" i="24"/>
  <c r="BP274" i="24"/>
  <c r="BN274" i="24"/>
  <c r="BM274" i="24"/>
  <c r="BH274" i="24"/>
  <c r="BG274" i="24"/>
  <c r="BF274" i="24"/>
  <c r="BE274" i="24"/>
  <c r="BD274" i="24"/>
  <c r="BC274" i="24"/>
  <c r="AC274" i="24" s="1"/>
  <c r="BB274" i="24"/>
  <c r="BA274" i="24"/>
  <c r="AZ274" i="24"/>
  <c r="AY274" i="24"/>
  <c r="AX274" i="24"/>
  <c r="AW274" i="24"/>
  <c r="AV274" i="24"/>
  <c r="AU274" i="24"/>
  <c r="AT274" i="24"/>
  <c r="AO274" i="24"/>
  <c r="AN274" i="24"/>
  <c r="AM274" i="24"/>
  <c r="X274" i="24"/>
  <c r="W274" i="24"/>
  <c r="U274" i="24"/>
  <c r="S274" i="24"/>
  <c r="R274" i="24"/>
  <c r="Q274" i="24"/>
  <c r="N274" i="24"/>
  <c r="M274" i="24"/>
  <c r="K274" i="24"/>
  <c r="I274" i="24"/>
  <c r="H274" i="24"/>
  <c r="G274" i="24"/>
  <c r="F274" i="24"/>
  <c r="E274" i="24"/>
  <c r="D274" i="24"/>
  <c r="BP273" i="24"/>
  <c r="BN273" i="24"/>
  <c r="BM273" i="24"/>
  <c r="BH273" i="24"/>
  <c r="BG273" i="24"/>
  <c r="BF273" i="24"/>
  <c r="BE273" i="24"/>
  <c r="BD273" i="24"/>
  <c r="BC273" i="24"/>
  <c r="AC273" i="24" s="1"/>
  <c r="BB273" i="24"/>
  <c r="BA273" i="24"/>
  <c r="AZ273" i="24"/>
  <c r="AY273" i="24"/>
  <c r="AX273" i="24"/>
  <c r="AW273" i="24"/>
  <c r="AV273" i="24"/>
  <c r="AU273" i="24"/>
  <c r="AT273" i="24"/>
  <c r="AO273" i="24"/>
  <c r="AN273" i="24"/>
  <c r="AM273" i="24"/>
  <c r="X273" i="24"/>
  <c r="W273" i="24"/>
  <c r="U273" i="24"/>
  <c r="S273" i="24"/>
  <c r="R273" i="24"/>
  <c r="Q273" i="24"/>
  <c r="N273" i="24"/>
  <c r="M273" i="24"/>
  <c r="K273" i="24"/>
  <c r="I273" i="24"/>
  <c r="H273" i="24"/>
  <c r="G273" i="24"/>
  <c r="F273" i="24"/>
  <c r="E273" i="24"/>
  <c r="D273" i="24"/>
  <c r="BP272" i="24"/>
  <c r="BN272" i="24"/>
  <c r="BM272" i="24"/>
  <c r="BH272" i="24"/>
  <c r="BG272" i="24"/>
  <c r="BF272" i="24"/>
  <c r="BE272" i="24"/>
  <c r="BD272" i="24"/>
  <c r="BC272" i="24"/>
  <c r="AC272" i="24" s="1"/>
  <c r="BB272" i="24"/>
  <c r="BA272" i="24"/>
  <c r="AZ272" i="24"/>
  <c r="AY272" i="24"/>
  <c r="AX272" i="24"/>
  <c r="AW272" i="24"/>
  <c r="AV272" i="24"/>
  <c r="AU272" i="24"/>
  <c r="AT272" i="24"/>
  <c r="AO272" i="24"/>
  <c r="AN272" i="24"/>
  <c r="AM272" i="24"/>
  <c r="X272" i="24"/>
  <c r="W272" i="24"/>
  <c r="U272" i="24"/>
  <c r="S272" i="24"/>
  <c r="R272" i="24"/>
  <c r="Q272" i="24"/>
  <c r="N272" i="24"/>
  <c r="M272" i="24"/>
  <c r="K272" i="24"/>
  <c r="I272" i="24"/>
  <c r="H272" i="24"/>
  <c r="G272" i="24"/>
  <c r="F272" i="24"/>
  <c r="E272" i="24"/>
  <c r="D272" i="24"/>
  <c r="BP271" i="24"/>
  <c r="BN271" i="24"/>
  <c r="BM271" i="24"/>
  <c r="BH271" i="24"/>
  <c r="BG271" i="24"/>
  <c r="BF271" i="24"/>
  <c r="BE271" i="24"/>
  <c r="BD271" i="24"/>
  <c r="BC271" i="24"/>
  <c r="AC271" i="24" s="1"/>
  <c r="BB271" i="24"/>
  <c r="BA271" i="24"/>
  <c r="AZ271" i="24"/>
  <c r="AY271" i="24"/>
  <c r="AX271" i="24"/>
  <c r="AW271" i="24"/>
  <c r="AV271" i="24"/>
  <c r="AU271" i="24"/>
  <c r="AT271" i="24"/>
  <c r="AO271" i="24"/>
  <c r="AN271" i="24"/>
  <c r="AM271" i="24"/>
  <c r="X271" i="24"/>
  <c r="W271" i="24"/>
  <c r="U271" i="24"/>
  <c r="S271" i="24"/>
  <c r="R271" i="24"/>
  <c r="Q271" i="24"/>
  <c r="N271" i="24"/>
  <c r="M271" i="24"/>
  <c r="K271" i="24"/>
  <c r="I271" i="24"/>
  <c r="H271" i="24"/>
  <c r="G271" i="24"/>
  <c r="F271" i="24"/>
  <c r="E271" i="24"/>
  <c r="D271" i="24"/>
  <c r="BP270" i="24"/>
  <c r="BN270" i="24"/>
  <c r="BM270" i="24"/>
  <c r="BH270" i="24"/>
  <c r="BG270" i="24"/>
  <c r="BF270" i="24"/>
  <c r="BE270" i="24"/>
  <c r="BD270" i="24"/>
  <c r="BC270" i="24"/>
  <c r="AC270" i="24" s="1"/>
  <c r="BB270" i="24"/>
  <c r="BA270" i="24"/>
  <c r="AZ270" i="24"/>
  <c r="AY270" i="24"/>
  <c r="AX270" i="24"/>
  <c r="AW270" i="24"/>
  <c r="AV270" i="24"/>
  <c r="AU270" i="24"/>
  <c r="AT270" i="24"/>
  <c r="AO270" i="24"/>
  <c r="AN270" i="24"/>
  <c r="AM270" i="24"/>
  <c r="X270" i="24"/>
  <c r="W270" i="24"/>
  <c r="U270" i="24"/>
  <c r="S270" i="24"/>
  <c r="R270" i="24"/>
  <c r="Q270" i="24"/>
  <c r="N270" i="24"/>
  <c r="M270" i="24"/>
  <c r="K270" i="24"/>
  <c r="I270" i="24"/>
  <c r="H270" i="24"/>
  <c r="G270" i="24"/>
  <c r="F270" i="24"/>
  <c r="E270" i="24"/>
  <c r="D270" i="24"/>
  <c r="BP269" i="24"/>
  <c r="BN269" i="24"/>
  <c r="BM269" i="24"/>
  <c r="BH269" i="24"/>
  <c r="BG269" i="24"/>
  <c r="BF269" i="24"/>
  <c r="BE269" i="24"/>
  <c r="BD269" i="24"/>
  <c r="BC269" i="24"/>
  <c r="AC269" i="24" s="1"/>
  <c r="BB269" i="24"/>
  <c r="BA269" i="24"/>
  <c r="AZ269" i="24"/>
  <c r="AY269" i="24"/>
  <c r="AX269" i="24"/>
  <c r="AW269" i="24"/>
  <c r="AV269" i="24"/>
  <c r="AU269" i="24"/>
  <c r="AT269" i="24"/>
  <c r="AO269" i="24"/>
  <c r="AN269" i="24"/>
  <c r="AM269" i="24"/>
  <c r="X269" i="24"/>
  <c r="W269" i="24"/>
  <c r="U269" i="24"/>
  <c r="S269" i="24"/>
  <c r="R269" i="24"/>
  <c r="Q269" i="24"/>
  <c r="N269" i="24"/>
  <c r="M269" i="24"/>
  <c r="K269" i="24"/>
  <c r="I269" i="24"/>
  <c r="H269" i="24"/>
  <c r="G269" i="24"/>
  <c r="F269" i="24"/>
  <c r="E269" i="24"/>
  <c r="D269" i="24"/>
  <c r="BP268" i="24"/>
  <c r="BN268" i="24"/>
  <c r="BM268" i="24"/>
  <c r="BH268" i="24"/>
  <c r="BG268" i="24"/>
  <c r="BF268" i="24"/>
  <c r="BE268" i="24"/>
  <c r="BD268" i="24"/>
  <c r="BC268" i="24"/>
  <c r="AC268" i="24" s="1"/>
  <c r="BB268" i="24"/>
  <c r="BA268" i="24"/>
  <c r="AZ268" i="24"/>
  <c r="AY268" i="24"/>
  <c r="AX268" i="24"/>
  <c r="AW268" i="24"/>
  <c r="AV268" i="24"/>
  <c r="AU268" i="24"/>
  <c r="AT268" i="24"/>
  <c r="AO268" i="24"/>
  <c r="AN268" i="24"/>
  <c r="AM268" i="24"/>
  <c r="X268" i="24"/>
  <c r="W268" i="24"/>
  <c r="U268" i="24"/>
  <c r="S268" i="24"/>
  <c r="R268" i="24"/>
  <c r="Q268" i="24"/>
  <c r="N268" i="24"/>
  <c r="M268" i="24"/>
  <c r="K268" i="24"/>
  <c r="I268" i="24"/>
  <c r="H268" i="24"/>
  <c r="G268" i="24"/>
  <c r="F268" i="24"/>
  <c r="E268" i="24"/>
  <c r="D268" i="24"/>
  <c r="BP267" i="24"/>
  <c r="BN267" i="24"/>
  <c r="BM267" i="24"/>
  <c r="BH267" i="24"/>
  <c r="BG267" i="24"/>
  <c r="BF267" i="24"/>
  <c r="BE267" i="24"/>
  <c r="BD267" i="24"/>
  <c r="BC267" i="24"/>
  <c r="AC267" i="24" s="1"/>
  <c r="BB267" i="24"/>
  <c r="BA267" i="24"/>
  <c r="AZ267" i="24"/>
  <c r="AY267" i="24"/>
  <c r="AX267" i="24"/>
  <c r="AW267" i="24"/>
  <c r="AV267" i="24"/>
  <c r="AU267" i="24"/>
  <c r="AT267" i="24"/>
  <c r="AO267" i="24"/>
  <c r="AN267" i="24"/>
  <c r="AM267" i="24"/>
  <c r="X267" i="24"/>
  <c r="W267" i="24"/>
  <c r="U267" i="24"/>
  <c r="S267" i="24"/>
  <c r="R267" i="24"/>
  <c r="Q267" i="24"/>
  <c r="N267" i="24"/>
  <c r="M267" i="24"/>
  <c r="K267" i="24"/>
  <c r="I267" i="24"/>
  <c r="H267" i="24"/>
  <c r="G267" i="24"/>
  <c r="F267" i="24"/>
  <c r="E267" i="24"/>
  <c r="D267" i="24"/>
  <c r="BP266" i="24"/>
  <c r="BN266" i="24"/>
  <c r="BM266" i="24"/>
  <c r="BH266" i="24"/>
  <c r="BG266" i="24"/>
  <c r="BF266" i="24"/>
  <c r="BE266" i="24"/>
  <c r="BD266" i="24"/>
  <c r="BC266" i="24"/>
  <c r="AC266" i="24" s="1"/>
  <c r="BB266" i="24"/>
  <c r="BA266" i="24"/>
  <c r="AZ266" i="24"/>
  <c r="AY266" i="24"/>
  <c r="AX266" i="24"/>
  <c r="AW266" i="24"/>
  <c r="AV266" i="24"/>
  <c r="AU266" i="24"/>
  <c r="AT266" i="24"/>
  <c r="AO266" i="24"/>
  <c r="AN266" i="24"/>
  <c r="AM266" i="24"/>
  <c r="X266" i="24"/>
  <c r="W266" i="24"/>
  <c r="U266" i="24"/>
  <c r="S266" i="24"/>
  <c r="R266" i="24"/>
  <c r="Q266" i="24"/>
  <c r="N266" i="24"/>
  <c r="M266" i="24"/>
  <c r="K266" i="24"/>
  <c r="I266" i="24"/>
  <c r="H266" i="24"/>
  <c r="G266" i="24"/>
  <c r="F266" i="24"/>
  <c r="E266" i="24"/>
  <c r="D266" i="24"/>
  <c r="BP265" i="24"/>
  <c r="BN265" i="24"/>
  <c r="BM265" i="24"/>
  <c r="BH265" i="24"/>
  <c r="BG265" i="24"/>
  <c r="BF265" i="24"/>
  <c r="BE265" i="24"/>
  <c r="BD265" i="24"/>
  <c r="BC265" i="24"/>
  <c r="AC265" i="24" s="1"/>
  <c r="BB265" i="24"/>
  <c r="BA265" i="24"/>
  <c r="AZ265" i="24"/>
  <c r="AY265" i="24"/>
  <c r="AX265" i="24"/>
  <c r="AW265" i="24"/>
  <c r="AV265" i="24"/>
  <c r="AU265" i="24"/>
  <c r="AT265" i="24"/>
  <c r="AO265" i="24"/>
  <c r="AN265" i="24"/>
  <c r="AM265" i="24"/>
  <c r="X265" i="24"/>
  <c r="W265" i="24"/>
  <c r="U265" i="24"/>
  <c r="S265" i="24"/>
  <c r="R265" i="24"/>
  <c r="Q265" i="24"/>
  <c r="N265" i="24"/>
  <c r="M265" i="24"/>
  <c r="K265" i="24"/>
  <c r="I265" i="24"/>
  <c r="H265" i="24"/>
  <c r="G265" i="24"/>
  <c r="F265" i="24"/>
  <c r="E265" i="24"/>
  <c r="D265" i="24"/>
  <c r="BP264" i="24"/>
  <c r="BN264" i="24"/>
  <c r="BM264" i="24"/>
  <c r="BH264" i="24"/>
  <c r="BG264" i="24"/>
  <c r="BF264" i="24"/>
  <c r="BE264" i="24"/>
  <c r="BD264" i="24"/>
  <c r="BC264" i="24"/>
  <c r="AC264" i="24" s="1"/>
  <c r="BB264" i="24"/>
  <c r="BA264" i="24"/>
  <c r="AZ264" i="24"/>
  <c r="AY264" i="24"/>
  <c r="AX264" i="24"/>
  <c r="AW264" i="24"/>
  <c r="AV264" i="24"/>
  <c r="AU264" i="24"/>
  <c r="AT264" i="24"/>
  <c r="AO264" i="24"/>
  <c r="AN264" i="24"/>
  <c r="AM264" i="24"/>
  <c r="X264" i="24"/>
  <c r="W264" i="24"/>
  <c r="U264" i="24"/>
  <c r="S264" i="24"/>
  <c r="R264" i="24"/>
  <c r="Q264" i="24"/>
  <c r="N264" i="24"/>
  <c r="M264" i="24"/>
  <c r="K264" i="24"/>
  <c r="I264" i="24"/>
  <c r="H264" i="24"/>
  <c r="G264" i="24"/>
  <c r="F264" i="24"/>
  <c r="E264" i="24"/>
  <c r="D264" i="24"/>
  <c r="BP263" i="24"/>
  <c r="BN263" i="24"/>
  <c r="BM263" i="24"/>
  <c r="BH263" i="24"/>
  <c r="BG263" i="24"/>
  <c r="BF263" i="24"/>
  <c r="BE263" i="24"/>
  <c r="BD263" i="24"/>
  <c r="BC263" i="24"/>
  <c r="AC263" i="24" s="1"/>
  <c r="BB263" i="24"/>
  <c r="BA263" i="24"/>
  <c r="AZ263" i="24"/>
  <c r="AY263" i="24"/>
  <c r="AX263" i="24"/>
  <c r="AW263" i="24"/>
  <c r="AV263" i="24"/>
  <c r="AU263" i="24"/>
  <c r="AT263" i="24"/>
  <c r="AO263" i="24"/>
  <c r="AN263" i="24"/>
  <c r="AM263" i="24"/>
  <c r="X263" i="24"/>
  <c r="W263" i="24"/>
  <c r="U263" i="24"/>
  <c r="S263" i="24"/>
  <c r="R263" i="24"/>
  <c r="Q263" i="24"/>
  <c r="N263" i="24"/>
  <c r="M263" i="24"/>
  <c r="K263" i="24"/>
  <c r="I263" i="24"/>
  <c r="H263" i="24"/>
  <c r="G263" i="24"/>
  <c r="F263" i="24"/>
  <c r="E263" i="24"/>
  <c r="D263" i="24"/>
  <c r="BP262" i="24"/>
  <c r="BN262" i="24"/>
  <c r="BM262" i="24"/>
  <c r="BH262" i="24"/>
  <c r="BG262" i="24"/>
  <c r="BF262" i="24"/>
  <c r="BE262" i="24"/>
  <c r="BD262" i="24"/>
  <c r="BC262" i="24"/>
  <c r="AC262" i="24" s="1"/>
  <c r="BB262" i="24"/>
  <c r="BA262" i="24"/>
  <c r="AZ262" i="24"/>
  <c r="AY262" i="24"/>
  <c r="AX262" i="24"/>
  <c r="AW262" i="24"/>
  <c r="AV262" i="24"/>
  <c r="AU262" i="24"/>
  <c r="AT262" i="24"/>
  <c r="AO262" i="24"/>
  <c r="AN262" i="24"/>
  <c r="AM262" i="24"/>
  <c r="X262" i="24"/>
  <c r="W262" i="24"/>
  <c r="U262" i="24"/>
  <c r="S262" i="24"/>
  <c r="R262" i="24"/>
  <c r="Q262" i="24"/>
  <c r="N262" i="24"/>
  <c r="M262" i="24"/>
  <c r="K262" i="24"/>
  <c r="I262" i="24"/>
  <c r="H262" i="24"/>
  <c r="G262" i="24"/>
  <c r="F262" i="24"/>
  <c r="E262" i="24"/>
  <c r="D262" i="24"/>
  <c r="BP261" i="24"/>
  <c r="BN261" i="24"/>
  <c r="BM261" i="24"/>
  <c r="BH261" i="24"/>
  <c r="BG261" i="24"/>
  <c r="BF261" i="24"/>
  <c r="BE261" i="24"/>
  <c r="BD261" i="24"/>
  <c r="BC261" i="24"/>
  <c r="AC261" i="24" s="1"/>
  <c r="BB261" i="24"/>
  <c r="BA261" i="24"/>
  <c r="AZ261" i="24"/>
  <c r="AY261" i="24"/>
  <c r="AX261" i="24"/>
  <c r="AW261" i="24"/>
  <c r="AV261" i="24"/>
  <c r="AU261" i="24"/>
  <c r="AT261" i="24"/>
  <c r="AO261" i="24"/>
  <c r="AN261" i="24"/>
  <c r="AM261" i="24"/>
  <c r="X261" i="24"/>
  <c r="W261" i="24"/>
  <c r="U261" i="24"/>
  <c r="S261" i="24"/>
  <c r="R261" i="24"/>
  <c r="Q261" i="24"/>
  <c r="N261" i="24"/>
  <c r="M261" i="24"/>
  <c r="K261" i="24"/>
  <c r="I261" i="24"/>
  <c r="H261" i="24"/>
  <c r="G261" i="24"/>
  <c r="F261" i="24"/>
  <c r="E261" i="24"/>
  <c r="D261" i="24"/>
  <c r="BP260" i="24"/>
  <c r="BN260" i="24"/>
  <c r="BM260" i="24"/>
  <c r="BH260" i="24"/>
  <c r="BG260" i="24"/>
  <c r="BF260" i="24"/>
  <c r="BE260" i="24"/>
  <c r="BD260" i="24"/>
  <c r="BC260" i="24"/>
  <c r="AC260" i="24" s="1"/>
  <c r="BB260" i="24"/>
  <c r="BA260" i="24"/>
  <c r="AZ260" i="24"/>
  <c r="AY260" i="24"/>
  <c r="AX260" i="24"/>
  <c r="AW260" i="24"/>
  <c r="AV260" i="24"/>
  <c r="AU260" i="24"/>
  <c r="AT260" i="24"/>
  <c r="AO260" i="24"/>
  <c r="AN260" i="24"/>
  <c r="AM260" i="24"/>
  <c r="X260" i="24"/>
  <c r="W260" i="24"/>
  <c r="U260" i="24"/>
  <c r="S260" i="24"/>
  <c r="R260" i="24"/>
  <c r="Q260" i="24"/>
  <c r="N260" i="24"/>
  <c r="M260" i="24"/>
  <c r="K260" i="24"/>
  <c r="I260" i="24"/>
  <c r="H260" i="24"/>
  <c r="G260" i="24"/>
  <c r="F260" i="24"/>
  <c r="E260" i="24"/>
  <c r="D260" i="24"/>
  <c r="BP259" i="24"/>
  <c r="BN259" i="24"/>
  <c r="BM259" i="24"/>
  <c r="BH259" i="24"/>
  <c r="BG259" i="24"/>
  <c r="BF259" i="24"/>
  <c r="BE259" i="24"/>
  <c r="BD259" i="24"/>
  <c r="BC259" i="24"/>
  <c r="AC259" i="24" s="1"/>
  <c r="BB259" i="24"/>
  <c r="BA259" i="24"/>
  <c r="AZ259" i="24"/>
  <c r="AY259" i="24"/>
  <c r="AX259" i="24"/>
  <c r="AW259" i="24"/>
  <c r="AV259" i="24"/>
  <c r="AU259" i="24"/>
  <c r="AT259" i="24"/>
  <c r="AO259" i="24"/>
  <c r="AN259" i="24"/>
  <c r="AM259" i="24"/>
  <c r="X259" i="24"/>
  <c r="W259" i="24"/>
  <c r="U259" i="24"/>
  <c r="S259" i="24"/>
  <c r="R259" i="24"/>
  <c r="Q259" i="24"/>
  <c r="N259" i="24"/>
  <c r="M259" i="24"/>
  <c r="K259" i="24"/>
  <c r="I259" i="24"/>
  <c r="H259" i="24"/>
  <c r="G259" i="24"/>
  <c r="F259" i="24"/>
  <c r="E259" i="24"/>
  <c r="D259" i="24"/>
  <c r="BP258" i="24"/>
  <c r="BN258" i="24"/>
  <c r="BM258" i="24"/>
  <c r="BH258" i="24"/>
  <c r="BG258" i="24"/>
  <c r="BF258" i="24"/>
  <c r="BE258" i="24"/>
  <c r="BD258" i="24"/>
  <c r="BC258" i="24"/>
  <c r="AC258" i="24" s="1"/>
  <c r="BB258" i="24"/>
  <c r="BA258" i="24"/>
  <c r="AZ258" i="24"/>
  <c r="AY258" i="24"/>
  <c r="AX258" i="24"/>
  <c r="AW258" i="24"/>
  <c r="AV258" i="24"/>
  <c r="AU258" i="24"/>
  <c r="AT258" i="24"/>
  <c r="AO258" i="24"/>
  <c r="AN258" i="24"/>
  <c r="AM258" i="24"/>
  <c r="X258" i="24"/>
  <c r="W258" i="24"/>
  <c r="U258" i="24"/>
  <c r="S258" i="24"/>
  <c r="R258" i="24"/>
  <c r="Q258" i="24"/>
  <c r="N258" i="24"/>
  <c r="M258" i="24"/>
  <c r="K258" i="24"/>
  <c r="I258" i="24"/>
  <c r="H258" i="24"/>
  <c r="G258" i="24"/>
  <c r="F258" i="24"/>
  <c r="E258" i="24"/>
  <c r="D258" i="24"/>
  <c r="BP257" i="24"/>
  <c r="BN257" i="24"/>
  <c r="BM257" i="24"/>
  <c r="BH257" i="24"/>
  <c r="BG257" i="24"/>
  <c r="BF257" i="24"/>
  <c r="BE257" i="24"/>
  <c r="BD257" i="24"/>
  <c r="BC257" i="24"/>
  <c r="AC257" i="24" s="1"/>
  <c r="BB257" i="24"/>
  <c r="BA257" i="24"/>
  <c r="AZ257" i="24"/>
  <c r="AY257" i="24"/>
  <c r="AX257" i="24"/>
  <c r="AW257" i="24"/>
  <c r="AV257" i="24"/>
  <c r="AU257" i="24"/>
  <c r="AT257" i="24"/>
  <c r="AO257" i="24"/>
  <c r="AN257" i="24"/>
  <c r="AM257" i="24"/>
  <c r="X257" i="24"/>
  <c r="W257" i="24"/>
  <c r="U257" i="24"/>
  <c r="S257" i="24"/>
  <c r="R257" i="24"/>
  <c r="Q257" i="24"/>
  <c r="N257" i="24"/>
  <c r="M257" i="24"/>
  <c r="K257" i="24"/>
  <c r="I257" i="24"/>
  <c r="H257" i="24"/>
  <c r="G257" i="24"/>
  <c r="F257" i="24"/>
  <c r="E257" i="24"/>
  <c r="D257" i="24"/>
  <c r="BP256" i="24"/>
  <c r="BN256" i="24"/>
  <c r="BM256" i="24"/>
  <c r="BH256" i="24"/>
  <c r="BG256" i="24"/>
  <c r="BF256" i="24"/>
  <c r="BE256" i="24"/>
  <c r="BD256" i="24"/>
  <c r="BC256" i="24"/>
  <c r="AC256" i="24" s="1"/>
  <c r="BB256" i="24"/>
  <c r="BA256" i="24"/>
  <c r="AZ256" i="24"/>
  <c r="AY256" i="24"/>
  <c r="AX256" i="24"/>
  <c r="AW256" i="24"/>
  <c r="AV256" i="24"/>
  <c r="AU256" i="24"/>
  <c r="AT256" i="24"/>
  <c r="AO256" i="24"/>
  <c r="AN256" i="24"/>
  <c r="AM256" i="24"/>
  <c r="X256" i="24"/>
  <c r="W256" i="24"/>
  <c r="U256" i="24"/>
  <c r="S256" i="24"/>
  <c r="R256" i="24"/>
  <c r="Q256" i="24"/>
  <c r="N256" i="24"/>
  <c r="M256" i="24"/>
  <c r="K256" i="24"/>
  <c r="I256" i="24"/>
  <c r="H256" i="24"/>
  <c r="G256" i="24"/>
  <c r="F256" i="24"/>
  <c r="E256" i="24"/>
  <c r="D256" i="24"/>
  <c r="BP255" i="24"/>
  <c r="BN255" i="24"/>
  <c r="BM255" i="24"/>
  <c r="BH255" i="24"/>
  <c r="BG255" i="24"/>
  <c r="BF255" i="24"/>
  <c r="BE255" i="24"/>
  <c r="BD255" i="24"/>
  <c r="BC255" i="24"/>
  <c r="AC255" i="24" s="1"/>
  <c r="BB255" i="24"/>
  <c r="BA255" i="24"/>
  <c r="AZ255" i="24"/>
  <c r="AY255" i="24"/>
  <c r="AX255" i="24"/>
  <c r="AW255" i="24"/>
  <c r="AV255" i="24"/>
  <c r="AU255" i="24"/>
  <c r="AT255" i="24"/>
  <c r="AO255" i="24"/>
  <c r="AN255" i="24"/>
  <c r="AM255" i="24"/>
  <c r="X255" i="24"/>
  <c r="W255" i="24"/>
  <c r="U255" i="24"/>
  <c r="S255" i="24"/>
  <c r="R255" i="24"/>
  <c r="Q255" i="24"/>
  <c r="N255" i="24"/>
  <c r="M255" i="24"/>
  <c r="K255" i="24"/>
  <c r="I255" i="24"/>
  <c r="H255" i="24"/>
  <c r="G255" i="24"/>
  <c r="F255" i="24"/>
  <c r="E255" i="24"/>
  <c r="D255" i="24"/>
  <c r="BP254" i="24"/>
  <c r="BN254" i="24"/>
  <c r="BM254" i="24"/>
  <c r="BH254" i="24"/>
  <c r="BG254" i="24"/>
  <c r="BF254" i="24"/>
  <c r="BE254" i="24"/>
  <c r="BD254" i="24"/>
  <c r="BC254" i="24"/>
  <c r="AC254" i="24" s="1"/>
  <c r="BB254" i="24"/>
  <c r="BA254" i="24"/>
  <c r="AZ254" i="24"/>
  <c r="AY254" i="24"/>
  <c r="AX254" i="24"/>
  <c r="AW254" i="24"/>
  <c r="AV254" i="24"/>
  <c r="AU254" i="24"/>
  <c r="AT254" i="24"/>
  <c r="AO254" i="24"/>
  <c r="AN254" i="24"/>
  <c r="AM254" i="24"/>
  <c r="X254" i="24"/>
  <c r="W254" i="24"/>
  <c r="U254" i="24"/>
  <c r="S254" i="24"/>
  <c r="R254" i="24"/>
  <c r="Q254" i="24"/>
  <c r="N254" i="24"/>
  <c r="M254" i="24"/>
  <c r="K254" i="24"/>
  <c r="I254" i="24"/>
  <c r="H254" i="24"/>
  <c r="G254" i="24"/>
  <c r="F254" i="24"/>
  <c r="E254" i="24"/>
  <c r="D254" i="24"/>
  <c r="BP253" i="24"/>
  <c r="BN253" i="24"/>
  <c r="BM253" i="24"/>
  <c r="BH253" i="24"/>
  <c r="BG253" i="24"/>
  <c r="BF253" i="24"/>
  <c r="BE253" i="24"/>
  <c r="BD253" i="24"/>
  <c r="BC253" i="24"/>
  <c r="AC253" i="24" s="1"/>
  <c r="BB253" i="24"/>
  <c r="BA253" i="24"/>
  <c r="AZ253" i="24"/>
  <c r="AY253" i="24"/>
  <c r="AX253" i="24"/>
  <c r="AW253" i="24"/>
  <c r="AV253" i="24"/>
  <c r="AU253" i="24"/>
  <c r="AT253" i="24"/>
  <c r="AO253" i="24"/>
  <c r="AN253" i="24"/>
  <c r="AM253" i="24"/>
  <c r="X253" i="24"/>
  <c r="W253" i="24"/>
  <c r="U253" i="24"/>
  <c r="S253" i="24"/>
  <c r="R253" i="24"/>
  <c r="Q253" i="24"/>
  <c r="N253" i="24"/>
  <c r="M253" i="24"/>
  <c r="K253" i="24"/>
  <c r="I253" i="24"/>
  <c r="H253" i="24"/>
  <c r="G253" i="24"/>
  <c r="F253" i="24"/>
  <c r="E253" i="24"/>
  <c r="D253" i="24"/>
  <c r="BP252" i="24"/>
  <c r="BN252" i="24"/>
  <c r="BM252" i="24"/>
  <c r="BH252" i="24"/>
  <c r="BG252" i="24"/>
  <c r="BF252" i="24"/>
  <c r="BE252" i="24"/>
  <c r="BD252" i="24"/>
  <c r="BC252" i="24"/>
  <c r="AC252" i="24" s="1"/>
  <c r="BB252" i="24"/>
  <c r="BA252" i="24"/>
  <c r="AZ252" i="24"/>
  <c r="AY252" i="24"/>
  <c r="AX252" i="24"/>
  <c r="AW252" i="24"/>
  <c r="AV252" i="24"/>
  <c r="AU252" i="24"/>
  <c r="AT252" i="24"/>
  <c r="AO252" i="24"/>
  <c r="AN252" i="24"/>
  <c r="AM252" i="24"/>
  <c r="X252" i="24"/>
  <c r="W252" i="24"/>
  <c r="U252" i="24"/>
  <c r="S252" i="24"/>
  <c r="R252" i="24"/>
  <c r="Q252" i="24"/>
  <c r="N252" i="24"/>
  <c r="M252" i="24"/>
  <c r="K252" i="24"/>
  <c r="I252" i="24"/>
  <c r="H252" i="24"/>
  <c r="G252" i="24"/>
  <c r="F252" i="24"/>
  <c r="E252" i="24"/>
  <c r="D252" i="24"/>
  <c r="BP251" i="24"/>
  <c r="BN251" i="24"/>
  <c r="BM251" i="24"/>
  <c r="BH251" i="24"/>
  <c r="BG251" i="24"/>
  <c r="BF251" i="24"/>
  <c r="BE251" i="24"/>
  <c r="BD251" i="24"/>
  <c r="BC251" i="24"/>
  <c r="AC251" i="24" s="1"/>
  <c r="BB251" i="24"/>
  <c r="BA251" i="24"/>
  <c r="AZ251" i="24"/>
  <c r="AY251" i="24"/>
  <c r="AX251" i="24"/>
  <c r="AW251" i="24"/>
  <c r="AV251" i="24"/>
  <c r="AU251" i="24"/>
  <c r="AT251" i="24"/>
  <c r="AO251" i="24"/>
  <c r="AN251" i="24"/>
  <c r="AM251" i="24"/>
  <c r="X251" i="24"/>
  <c r="W251" i="24"/>
  <c r="U251" i="24"/>
  <c r="S251" i="24"/>
  <c r="R251" i="24"/>
  <c r="Q251" i="24"/>
  <c r="N251" i="24"/>
  <c r="M251" i="24"/>
  <c r="K251" i="24"/>
  <c r="I251" i="24"/>
  <c r="H251" i="24"/>
  <c r="G251" i="24"/>
  <c r="F251" i="24"/>
  <c r="E251" i="24"/>
  <c r="D251" i="24"/>
  <c r="BP250" i="24"/>
  <c r="BN250" i="24"/>
  <c r="BM250" i="24"/>
  <c r="BH250" i="24"/>
  <c r="BG250" i="24"/>
  <c r="BF250" i="24"/>
  <c r="BE250" i="24"/>
  <c r="BD250" i="24"/>
  <c r="BC250" i="24"/>
  <c r="AC250" i="24" s="1"/>
  <c r="BB250" i="24"/>
  <c r="BA250" i="24"/>
  <c r="AZ250" i="24"/>
  <c r="AY250" i="24"/>
  <c r="AX250" i="24"/>
  <c r="AW250" i="24"/>
  <c r="AV250" i="24"/>
  <c r="AU250" i="24"/>
  <c r="AT250" i="24"/>
  <c r="AO250" i="24"/>
  <c r="AN250" i="24"/>
  <c r="AM250" i="24"/>
  <c r="X250" i="24"/>
  <c r="W250" i="24"/>
  <c r="U250" i="24"/>
  <c r="S250" i="24"/>
  <c r="R250" i="24"/>
  <c r="Q250" i="24"/>
  <c r="N250" i="24"/>
  <c r="M250" i="24"/>
  <c r="K250" i="24"/>
  <c r="I250" i="24"/>
  <c r="H250" i="24"/>
  <c r="G250" i="24"/>
  <c r="F250" i="24"/>
  <c r="E250" i="24"/>
  <c r="D250" i="24"/>
  <c r="BP249" i="24"/>
  <c r="BN249" i="24"/>
  <c r="BM249" i="24"/>
  <c r="BH249" i="24"/>
  <c r="BG249" i="24"/>
  <c r="BF249" i="24"/>
  <c r="BE249" i="24"/>
  <c r="BD249" i="24"/>
  <c r="BC249" i="24"/>
  <c r="AC249" i="24" s="1"/>
  <c r="BB249" i="24"/>
  <c r="BA249" i="24"/>
  <c r="AZ249" i="24"/>
  <c r="AY249" i="24"/>
  <c r="AX249" i="24"/>
  <c r="AW249" i="24"/>
  <c r="AV249" i="24"/>
  <c r="AU249" i="24"/>
  <c r="AT249" i="24"/>
  <c r="AO249" i="24"/>
  <c r="AN249" i="24"/>
  <c r="AM249" i="24"/>
  <c r="X249" i="24"/>
  <c r="W249" i="24"/>
  <c r="U249" i="24"/>
  <c r="S249" i="24"/>
  <c r="R249" i="24"/>
  <c r="Q249" i="24"/>
  <c r="N249" i="24"/>
  <c r="M249" i="24"/>
  <c r="K249" i="24"/>
  <c r="I249" i="24"/>
  <c r="H249" i="24"/>
  <c r="G249" i="24"/>
  <c r="F249" i="24"/>
  <c r="E249" i="24"/>
  <c r="D249" i="24"/>
  <c r="BP248" i="24"/>
  <c r="BN248" i="24"/>
  <c r="BM248" i="24"/>
  <c r="BH248" i="24"/>
  <c r="BG248" i="24"/>
  <c r="BF248" i="24"/>
  <c r="BE248" i="24"/>
  <c r="BD248" i="24"/>
  <c r="BC248" i="24"/>
  <c r="AC248" i="24" s="1"/>
  <c r="BB248" i="24"/>
  <c r="BA248" i="24"/>
  <c r="AZ248" i="24"/>
  <c r="AY248" i="24"/>
  <c r="AX248" i="24"/>
  <c r="AW248" i="24"/>
  <c r="AV248" i="24"/>
  <c r="AU248" i="24"/>
  <c r="AT248" i="24"/>
  <c r="AO248" i="24"/>
  <c r="AN248" i="24"/>
  <c r="AM248" i="24"/>
  <c r="X248" i="24"/>
  <c r="W248" i="24"/>
  <c r="U248" i="24"/>
  <c r="S248" i="24"/>
  <c r="R248" i="24"/>
  <c r="Q248" i="24"/>
  <c r="N248" i="24"/>
  <c r="M248" i="24"/>
  <c r="K248" i="24"/>
  <c r="I248" i="24"/>
  <c r="H248" i="24"/>
  <c r="G248" i="24"/>
  <c r="F248" i="24"/>
  <c r="E248" i="24"/>
  <c r="D248" i="24"/>
  <c r="BP247" i="24"/>
  <c r="BN247" i="24"/>
  <c r="BM247" i="24"/>
  <c r="BH247" i="24"/>
  <c r="BG247" i="24"/>
  <c r="BF247" i="24"/>
  <c r="BE247" i="24"/>
  <c r="BD247" i="24"/>
  <c r="BC247" i="24"/>
  <c r="AC247" i="24" s="1"/>
  <c r="BB247" i="24"/>
  <c r="BA247" i="24"/>
  <c r="AZ247" i="24"/>
  <c r="AY247" i="24"/>
  <c r="AX247" i="24"/>
  <c r="AW247" i="24"/>
  <c r="AV247" i="24"/>
  <c r="AU247" i="24"/>
  <c r="AT247" i="24"/>
  <c r="AO247" i="24"/>
  <c r="AN247" i="24"/>
  <c r="AM247" i="24"/>
  <c r="X247" i="24"/>
  <c r="W247" i="24"/>
  <c r="U247" i="24"/>
  <c r="S247" i="24"/>
  <c r="R247" i="24"/>
  <c r="Q247" i="24"/>
  <c r="N247" i="24"/>
  <c r="M247" i="24"/>
  <c r="K247" i="24"/>
  <c r="I247" i="24"/>
  <c r="H247" i="24"/>
  <c r="G247" i="24"/>
  <c r="F247" i="24"/>
  <c r="E247" i="24"/>
  <c r="D247" i="24"/>
  <c r="BP246" i="24"/>
  <c r="BN246" i="24"/>
  <c r="BM246" i="24"/>
  <c r="BH246" i="24"/>
  <c r="BG246" i="24"/>
  <c r="BF246" i="24"/>
  <c r="BE246" i="24"/>
  <c r="BD246" i="24"/>
  <c r="BC246" i="24"/>
  <c r="AC246" i="24" s="1"/>
  <c r="BB246" i="24"/>
  <c r="BA246" i="24"/>
  <c r="AZ246" i="24"/>
  <c r="AY246" i="24"/>
  <c r="AX246" i="24"/>
  <c r="AW246" i="24"/>
  <c r="AV246" i="24"/>
  <c r="AU246" i="24"/>
  <c r="AT246" i="24"/>
  <c r="AO246" i="24"/>
  <c r="AN246" i="24"/>
  <c r="AM246" i="24"/>
  <c r="X246" i="24"/>
  <c r="W246" i="24"/>
  <c r="U246" i="24"/>
  <c r="S246" i="24"/>
  <c r="R246" i="24"/>
  <c r="Q246" i="24"/>
  <c r="N246" i="24"/>
  <c r="M246" i="24"/>
  <c r="K246" i="24"/>
  <c r="I246" i="24"/>
  <c r="H246" i="24"/>
  <c r="G246" i="24"/>
  <c r="F246" i="24"/>
  <c r="E246" i="24"/>
  <c r="D246" i="24"/>
  <c r="BP245" i="24"/>
  <c r="BN245" i="24"/>
  <c r="BM245" i="24"/>
  <c r="BH245" i="24"/>
  <c r="BG245" i="24"/>
  <c r="BF245" i="24"/>
  <c r="BE245" i="24"/>
  <c r="BD245" i="24"/>
  <c r="BC245" i="24"/>
  <c r="AC245" i="24" s="1"/>
  <c r="BB245" i="24"/>
  <c r="BA245" i="24"/>
  <c r="AZ245" i="24"/>
  <c r="AY245" i="24"/>
  <c r="AX245" i="24"/>
  <c r="AW245" i="24"/>
  <c r="AV245" i="24"/>
  <c r="AU245" i="24"/>
  <c r="AT245" i="24"/>
  <c r="AO245" i="24"/>
  <c r="AN245" i="24"/>
  <c r="AM245" i="24"/>
  <c r="X245" i="24"/>
  <c r="W245" i="24"/>
  <c r="U245" i="24"/>
  <c r="S245" i="24"/>
  <c r="R245" i="24"/>
  <c r="Q245" i="24"/>
  <c r="N245" i="24"/>
  <c r="M245" i="24"/>
  <c r="K245" i="24"/>
  <c r="I245" i="24"/>
  <c r="H245" i="24"/>
  <c r="G245" i="24"/>
  <c r="F245" i="24"/>
  <c r="E245" i="24"/>
  <c r="D245" i="24"/>
  <c r="BP244" i="24"/>
  <c r="BN244" i="24"/>
  <c r="BM244" i="24"/>
  <c r="BH244" i="24"/>
  <c r="BG244" i="24"/>
  <c r="BF244" i="24"/>
  <c r="BE244" i="24"/>
  <c r="BD244" i="24"/>
  <c r="BC244" i="24"/>
  <c r="AC244" i="24" s="1"/>
  <c r="BB244" i="24"/>
  <c r="BA244" i="24"/>
  <c r="AZ244" i="24"/>
  <c r="AY244" i="24"/>
  <c r="AX244" i="24"/>
  <c r="AW244" i="24"/>
  <c r="AV244" i="24"/>
  <c r="AU244" i="24"/>
  <c r="AT244" i="24"/>
  <c r="AO244" i="24"/>
  <c r="AN244" i="24"/>
  <c r="AM244" i="24"/>
  <c r="X244" i="24"/>
  <c r="W244" i="24"/>
  <c r="U244" i="24"/>
  <c r="S244" i="24"/>
  <c r="R244" i="24"/>
  <c r="Q244" i="24"/>
  <c r="N244" i="24"/>
  <c r="M244" i="24"/>
  <c r="K244" i="24"/>
  <c r="I244" i="24"/>
  <c r="H244" i="24"/>
  <c r="G244" i="24"/>
  <c r="F244" i="24"/>
  <c r="E244" i="24"/>
  <c r="D244" i="24"/>
  <c r="BP243" i="24"/>
  <c r="BN243" i="24"/>
  <c r="BM243" i="24"/>
  <c r="BH243" i="24"/>
  <c r="BG243" i="24"/>
  <c r="BF243" i="24"/>
  <c r="BE243" i="24"/>
  <c r="BD243" i="24"/>
  <c r="BC243" i="24"/>
  <c r="AC243" i="24" s="1"/>
  <c r="BB243" i="24"/>
  <c r="BA243" i="24"/>
  <c r="AZ243" i="24"/>
  <c r="AY243" i="24"/>
  <c r="AX243" i="24"/>
  <c r="AW243" i="24"/>
  <c r="AV243" i="24"/>
  <c r="AU243" i="24"/>
  <c r="AT243" i="24"/>
  <c r="AO243" i="24"/>
  <c r="AN243" i="24"/>
  <c r="AM243" i="24"/>
  <c r="X243" i="24"/>
  <c r="W243" i="24"/>
  <c r="U243" i="24"/>
  <c r="S243" i="24"/>
  <c r="R243" i="24"/>
  <c r="Q243" i="24"/>
  <c r="N243" i="24"/>
  <c r="M243" i="24"/>
  <c r="K243" i="24"/>
  <c r="I243" i="24"/>
  <c r="H243" i="24"/>
  <c r="G243" i="24"/>
  <c r="F243" i="24"/>
  <c r="E243" i="24"/>
  <c r="D243" i="24"/>
  <c r="BP242" i="24"/>
  <c r="BN242" i="24"/>
  <c r="BM242" i="24"/>
  <c r="BH242" i="24"/>
  <c r="BG242" i="24"/>
  <c r="BF242" i="24"/>
  <c r="BE242" i="24"/>
  <c r="BD242" i="24"/>
  <c r="BC242" i="24"/>
  <c r="AC242" i="24" s="1"/>
  <c r="BB242" i="24"/>
  <c r="BA242" i="24"/>
  <c r="AZ242" i="24"/>
  <c r="AY242" i="24"/>
  <c r="AX242" i="24"/>
  <c r="AW242" i="24"/>
  <c r="AV242" i="24"/>
  <c r="AU242" i="24"/>
  <c r="AT242" i="24"/>
  <c r="AO242" i="24"/>
  <c r="AN242" i="24"/>
  <c r="AM242" i="24"/>
  <c r="X242" i="24"/>
  <c r="W242" i="24"/>
  <c r="U242" i="24"/>
  <c r="S242" i="24"/>
  <c r="R242" i="24"/>
  <c r="Q242" i="24"/>
  <c r="N242" i="24"/>
  <c r="M242" i="24"/>
  <c r="K242" i="24"/>
  <c r="I242" i="24"/>
  <c r="H242" i="24"/>
  <c r="G242" i="24"/>
  <c r="F242" i="24"/>
  <c r="E242" i="24"/>
  <c r="D242" i="24"/>
  <c r="BP241" i="24"/>
  <c r="BN241" i="24"/>
  <c r="BM241" i="24"/>
  <c r="BH241" i="24"/>
  <c r="BG241" i="24"/>
  <c r="BF241" i="24"/>
  <c r="BE241" i="24"/>
  <c r="BD241" i="24"/>
  <c r="BC241" i="24"/>
  <c r="AC241" i="24" s="1"/>
  <c r="BB241" i="24"/>
  <c r="BA241" i="24"/>
  <c r="AZ241" i="24"/>
  <c r="AY241" i="24"/>
  <c r="AX241" i="24"/>
  <c r="AW241" i="24"/>
  <c r="AV241" i="24"/>
  <c r="AU241" i="24"/>
  <c r="AT241" i="24"/>
  <c r="AO241" i="24"/>
  <c r="AN241" i="24"/>
  <c r="AM241" i="24"/>
  <c r="X241" i="24"/>
  <c r="W241" i="24"/>
  <c r="U241" i="24"/>
  <c r="S241" i="24"/>
  <c r="R241" i="24"/>
  <c r="Q241" i="24"/>
  <c r="N241" i="24"/>
  <c r="M241" i="24"/>
  <c r="K241" i="24"/>
  <c r="I241" i="24"/>
  <c r="H241" i="24"/>
  <c r="G241" i="24"/>
  <c r="F241" i="24"/>
  <c r="E241" i="24"/>
  <c r="D241" i="24"/>
  <c r="BP240" i="24"/>
  <c r="BN240" i="24"/>
  <c r="BM240" i="24"/>
  <c r="BH240" i="24"/>
  <c r="BG240" i="24"/>
  <c r="BF240" i="24"/>
  <c r="BE240" i="24"/>
  <c r="BD240" i="24"/>
  <c r="BC240" i="24"/>
  <c r="AC240" i="24" s="1"/>
  <c r="BB240" i="24"/>
  <c r="BA240" i="24"/>
  <c r="AZ240" i="24"/>
  <c r="AY240" i="24"/>
  <c r="AX240" i="24"/>
  <c r="AW240" i="24"/>
  <c r="AV240" i="24"/>
  <c r="AU240" i="24"/>
  <c r="AT240" i="24"/>
  <c r="AO240" i="24"/>
  <c r="AN240" i="24"/>
  <c r="AM240" i="24"/>
  <c r="X240" i="24"/>
  <c r="W240" i="24"/>
  <c r="U240" i="24"/>
  <c r="S240" i="24"/>
  <c r="R240" i="24"/>
  <c r="Q240" i="24"/>
  <c r="N240" i="24"/>
  <c r="M240" i="24"/>
  <c r="K240" i="24"/>
  <c r="I240" i="24"/>
  <c r="H240" i="24"/>
  <c r="G240" i="24"/>
  <c r="F240" i="24"/>
  <c r="E240" i="24"/>
  <c r="D240" i="24"/>
  <c r="BP239" i="24"/>
  <c r="BN239" i="24"/>
  <c r="BM239" i="24"/>
  <c r="BH239" i="24"/>
  <c r="BG239" i="24"/>
  <c r="BF239" i="24"/>
  <c r="BE239" i="24"/>
  <c r="BD239" i="24"/>
  <c r="BC239" i="24"/>
  <c r="AC239" i="24" s="1"/>
  <c r="BB239" i="24"/>
  <c r="BA239" i="24"/>
  <c r="AZ239" i="24"/>
  <c r="AY239" i="24"/>
  <c r="AX239" i="24"/>
  <c r="AW239" i="24"/>
  <c r="AV239" i="24"/>
  <c r="AU239" i="24"/>
  <c r="AT239" i="24"/>
  <c r="AO239" i="24"/>
  <c r="AN239" i="24"/>
  <c r="AM239" i="24"/>
  <c r="X239" i="24"/>
  <c r="W239" i="24"/>
  <c r="U239" i="24"/>
  <c r="S239" i="24"/>
  <c r="R239" i="24"/>
  <c r="Q239" i="24"/>
  <c r="N239" i="24"/>
  <c r="M239" i="24"/>
  <c r="K239" i="24"/>
  <c r="I239" i="24"/>
  <c r="H239" i="24"/>
  <c r="G239" i="24"/>
  <c r="F239" i="24"/>
  <c r="E239" i="24"/>
  <c r="D239" i="24"/>
  <c r="BP238" i="24"/>
  <c r="BN238" i="24"/>
  <c r="BM238" i="24"/>
  <c r="BH238" i="24"/>
  <c r="BG238" i="24"/>
  <c r="BF238" i="24"/>
  <c r="BE238" i="24"/>
  <c r="BD238" i="24"/>
  <c r="BC238" i="24"/>
  <c r="AC238" i="24" s="1"/>
  <c r="BB238" i="24"/>
  <c r="BA238" i="24"/>
  <c r="AZ238" i="24"/>
  <c r="AY238" i="24"/>
  <c r="AX238" i="24"/>
  <c r="AW238" i="24"/>
  <c r="AV238" i="24"/>
  <c r="AU238" i="24"/>
  <c r="AT238" i="24"/>
  <c r="AO238" i="24"/>
  <c r="AN238" i="24"/>
  <c r="AM238" i="24"/>
  <c r="X238" i="24"/>
  <c r="W238" i="24"/>
  <c r="U238" i="24"/>
  <c r="S238" i="24"/>
  <c r="R238" i="24"/>
  <c r="Q238" i="24"/>
  <c r="N238" i="24"/>
  <c r="M238" i="24"/>
  <c r="K238" i="24"/>
  <c r="I238" i="24"/>
  <c r="H238" i="24"/>
  <c r="G238" i="24"/>
  <c r="F238" i="24"/>
  <c r="E238" i="24"/>
  <c r="D238" i="24"/>
  <c r="BP237" i="24"/>
  <c r="BN237" i="24"/>
  <c r="BM237" i="24"/>
  <c r="BH237" i="24"/>
  <c r="BG237" i="24"/>
  <c r="BF237" i="24"/>
  <c r="BE237" i="24"/>
  <c r="BD237" i="24"/>
  <c r="BC237" i="24"/>
  <c r="AC237" i="24" s="1"/>
  <c r="BB237" i="24"/>
  <c r="BA237" i="24"/>
  <c r="AZ237" i="24"/>
  <c r="AY237" i="24"/>
  <c r="AX237" i="24"/>
  <c r="AW237" i="24"/>
  <c r="AV237" i="24"/>
  <c r="AU237" i="24"/>
  <c r="AT237" i="24"/>
  <c r="AO237" i="24"/>
  <c r="AN237" i="24"/>
  <c r="AM237" i="24"/>
  <c r="X237" i="24"/>
  <c r="W237" i="24"/>
  <c r="U237" i="24"/>
  <c r="S237" i="24"/>
  <c r="R237" i="24"/>
  <c r="Q237" i="24"/>
  <c r="N237" i="24"/>
  <c r="M237" i="24"/>
  <c r="K237" i="24"/>
  <c r="I237" i="24"/>
  <c r="H237" i="24"/>
  <c r="G237" i="24"/>
  <c r="F237" i="24"/>
  <c r="E237" i="24"/>
  <c r="D237" i="24"/>
  <c r="BP236" i="24"/>
  <c r="BN236" i="24"/>
  <c r="BM236" i="24"/>
  <c r="BH236" i="24"/>
  <c r="BG236" i="24"/>
  <c r="BF236" i="24"/>
  <c r="BE236" i="24"/>
  <c r="BD236" i="24"/>
  <c r="BC236" i="24"/>
  <c r="AC236" i="24" s="1"/>
  <c r="BB236" i="24"/>
  <c r="BA236" i="24"/>
  <c r="AZ236" i="24"/>
  <c r="AY236" i="24"/>
  <c r="AX236" i="24"/>
  <c r="AW236" i="24"/>
  <c r="AV236" i="24"/>
  <c r="AU236" i="24"/>
  <c r="AT236" i="24"/>
  <c r="AO236" i="24"/>
  <c r="AN236" i="24"/>
  <c r="AM236" i="24"/>
  <c r="X236" i="24"/>
  <c r="W236" i="24"/>
  <c r="U236" i="24"/>
  <c r="S236" i="24"/>
  <c r="R236" i="24"/>
  <c r="Q236" i="24"/>
  <c r="N236" i="24"/>
  <c r="M236" i="24"/>
  <c r="K236" i="24"/>
  <c r="I236" i="24"/>
  <c r="H236" i="24"/>
  <c r="G236" i="24"/>
  <c r="F236" i="24"/>
  <c r="E236" i="24"/>
  <c r="D236" i="24"/>
  <c r="BP235" i="24"/>
  <c r="BN235" i="24"/>
  <c r="BM235" i="24"/>
  <c r="BH235" i="24"/>
  <c r="BG235" i="24"/>
  <c r="BF235" i="24"/>
  <c r="BE235" i="24"/>
  <c r="BD235" i="24"/>
  <c r="BC235" i="24"/>
  <c r="AC235" i="24" s="1"/>
  <c r="BB235" i="24"/>
  <c r="BA235" i="24"/>
  <c r="AZ235" i="24"/>
  <c r="AY235" i="24"/>
  <c r="AX235" i="24"/>
  <c r="AW235" i="24"/>
  <c r="AV235" i="24"/>
  <c r="AU235" i="24"/>
  <c r="AT235" i="24"/>
  <c r="AO235" i="24"/>
  <c r="AN235" i="24"/>
  <c r="AM235" i="24"/>
  <c r="X235" i="24"/>
  <c r="W235" i="24"/>
  <c r="U235" i="24"/>
  <c r="S235" i="24"/>
  <c r="R235" i="24"/>
  <c r="Q235" i="24"/>
  <c r="N235" i="24"/>
  <c r="M235" i="24"/>
  <c r="K235" i="24"/>
  <c r="I235" i="24"/>
  <c r="H235" i="24"/>
  <c r="G235" i="24"/>
  <c r="F235" i="24"/>
  <c r="E235" i="24"/>
  <c r="D235" i="24"/>
  <c r="BP234" i="24"/>
  <c r="BN234" i="24"/>
  <c r="BM234" i="24"/>
  <c r="BH234" i="24"/>
  <c r="BG234" i="24"/>
  <c r="BF234" i="24"/>
  <c r="BE234" i="24"/>
  <c r="BD234" i="24"/>
  <c r="BC234" i="24"/>
  <c r="AC234" i="24" s="1"/>
  <c r="BB234" i="24"/>
  <c r="BA234" i="24"/>
  <c r="AZ234" i="24"/>
  <c r="AY234" i="24"/>
  <c r="AX234" i="24"/>
  <c r="AW234" i="24"/>
  <c r="AV234" i="24"/>
  <c r="AU234" i="24"/>
  <c r="AT234" i="24"/>
  <c r="AO234" i="24"/>
  <c r="AN234" i="24"/>
  <c r="AM234" i="24"/>
  <c r="X234" i="24"/>
  <c r="W234" i="24"/>
  <c r="U234" i="24"/>
  <c r="S234" i="24"/>
  <c r="R234" i="24"/>
  <c r="Q234" i="24"/>
  <c r="N234" i="24"/>
  <c r="M234" i="24"/>
  <c r="K234" i="24"/>
  <c r="I234" i="24"/>
  <c r="H234" i="24"/>
  <c r="G234" i="24"/>
  <c r="F234" i="24"/>
  <c r="E234" i="24"/>
  <c r="D234" i="24"/>
  <c r="BP233" i="24"/>
  <c r="BN233" i="24"/>
  <c r="BM233" i="24"/>
  <c r="BH233" i="24"/>
  <c r="BG233" i="24"/>
  <c r="BF233" i="24"/>
  <c r="BE233" i="24"/>
  <c r="BD233" i="24"/>
  <c r="BC233" i="24"/>
  <c r="AC233" i="24" s="1"/>
  <c r="BB233" i="24"/>
  <c r="BA233" i="24"/>
  <c r="AZ233" i="24"/>
  <c r="AY233" i="24"/>
  <c r="AX233" i="24"/>
  <c r="AW233" i="24"/>
  <c r="AV233" i="24"/>
  <c r="AU233" i="24"/>
  <c r="AT233" i="24"/>
  <c r="AO233" i="24"/>
  <c r="AN233" i="24"/>
  <c r="AM233" i="24"/>
  <c r="X233" i="24"/>
  <c r="W233" i="24"/>
  <c r="U233" i="24"/>
  <c r="S233" i="24"/>
  <c r="R233" i="24"/>
  <c r="Q233" i="24"/>
  <c r="N233" i="24"/>
  <c r="M233" i="24"/>
  <c r="K233" i="24"/>
  <c r="I233" i="24"/>
  <c r="H233" i="24"/>
  <c r="G233" i="24"/>
  <c r="F233" i="24"/>
  <c r="E233" i="24"/>
  <c r="D233" i="24"/>
  <c r="BP232" i="24"/>
  <c r="BN232" i="24"/>
  <c r="BM232" i="24"/>
  <c r="BH232" i="24"/>
  <c r="BG232" i="24"/>
  <c r="BF232" i="24"/>
  <c r="BE232" i="24"/>
  <c r="BD232" i="24"/>
  <c r="BC232" i="24"/>
  <c r="AC232" i="24" s="1"/>
  <c r="BB232" i="24"/>
  <c r="BA232" i="24"/>
  <c r="AZ232" i="24"/>
  <c r="AY232" i="24"/>
  <c r="AX232" i="24"/>
  <c r="AW232" i="24"/>
  <c r="AV232" i="24"/>
  <c r="AU232" i="24"/>
  <c r="AT232" i="24"/>
  <c r="AO232" i="24"/>
  <c r="AN232" i="24"/>
  <c r="AM232" i="24"/>
  <c r="X232" i="24"/>
  <c r="W232" i="24"/>
  <c r="U232" i="24"/>
  <c r="S232" i="24"/>
  <c r="R232" i="24"/>
  <c r="Q232" i="24"/>
  <c r="N232" i="24"/>
  <c r="M232" i="24"/>
  <c r="K232" i="24"/>
  <c r="I232" i="24"/>
  <c r="H232" i="24"/>
  <c r="G232" i="24"/>
  <c r="F232" i="24"/>
  <c r="E232" i="24"/>
  <c r="D232" i="24"/>
  <c r="BP231" i="24"/>
  <c r="BN231" i="24"/>
  <c r="BM231" i="24"/>
  <c r="BH231" i="24"/>
  <c r="BG231" i="24"/>
  <c r="BF231" i="24"/>
  <c r="BE231" i="24"/>
  <c r="BD231" i="24"/>
  <c r="BC231" i="24"/>
  <c r="AC231" i="24" s="1"/>
  <c r="BB231" i="24"/>
  <c r="BA231" i="24"/>
  <c r="AZ231" i="24"/>
  <c r="AY231" i="24"/>
  <c r="AX231" i="24"/>
  <c r="AW231" i="24"/>
  <c r="AV231" i="24"/>
  <c r="AU231" i="24"/>
  <c r="AT231" i="24"/>
  <c r="AO231" i="24"/>
  <c r="AN231" i="24"/>
  <c r="AM231" i="24"/>
  <c r="X231" i="24"/>
  <c r="W231" i="24"/>
  <c r="U231" i="24"/>
  <c r="S231" i="24"/>
  <c r="R231" i="24"/>
  <c r="Q231" i="24"/>
  <c r="N231" i="24"/>
  <c r="M231" i="24"/>
  <c r="K231" i="24"/>
  <c r="I231" i="24"/>
  <c r="H231" i="24"/>
  <c r="G231" i="24"/>
  <c r="F231" i="24"/>
  <c r="E231" i="24"/>
  <c r="D231" i="24"/>
  <c r="BP230" i="24"/>
  <c r="BN230" i="24"/>
  <c r="BM230" i="24"/>
  <c r="BH230" i="24"/>
  <c r="BG230" i="24"/>
  <c r="BF230" i="24"/>
  <c r="BE230" i="24"/>
  <c r="BD230" i="24"/>
  <c r="BC230" i="24"/>
  <c r="AC230" i="24" s="1"/>
  <c r="BB230" i="24"/>
  <c r="BA230" i="24"/>
  <c r="AZ230" i="24"/>
  <c r="AY230" i="24"/>
  <c r="AX230" i="24"/>
  <c r="AW230" i="24"/>
  <c r="AV230" i="24"/>
  <c r="AU230" i="24"/>
  <c r="AT230" i="24"/>
  <c r="AO230" i="24"/>
  <c r="AN230" i="24"/>
  <c r="AM230" i="24"/>
  <c r="X230" i="24"/>
  <c r="W230" i="24"/>
  <c r="U230" i="24"/>
  <c r="S230" i="24"/>
  <c r="R230" i="24"/>
  <c r="Q230" i="24"/>
  <c r="N230" i="24"/>
  <c r="M230" i="24"/>
  <c r="K230" i="24"/>
  <c r="I230" i="24"/>
  <c r="H230" i="24"/>
  <c r="G230" i="24"/>
  <c r="F230" i="24"/>
  <c r="E230" i="24"/>
  <c r="D230" i="24"/>
  <c r="BP229" i="24"/>
  <c r="BN229" i="24"/>
  <c r="BM229" i="24"/>
  <c r="BH229" i="24"/>
  <c r="BG229" i="24"/>
  <c r="BF229" i="24"/>
  <c r="BE229" i="24"/>
  <c r="BD229" i="24"/>
  <c r="BC229" i="24"/>
  <c r="AC229" i="24" s="1"/>
  <c r="BB229" i="24"/>
  <c r="BA229" i="24"/>
  <c r="AZ229" i="24"/>
  <c r="AY229" i="24"/>
  <c r="AX229" i="24"/>
  <c r="AW229" i="24"/>
  <c r="AV229" i="24"/>
  <c r="AU229" i="24"/>
  <c r="AT229" i="24"/>
  <c r="AO229" i="24"/>
  <c r="AN229" i="24"/>
  <c r="AM229" i="24"/>
  <c r="X229" i="24"/>
  <c r="W229" i="24"/>
  <c r="U229" i="24"/>
  <c r="S229" i="24"/>
  <c r="R229" i="24"/>
  <c r="Q229" i="24"/>
  <c r="N229" i="24"/>
  <c r="M229" i="24"/>
  <c r="K229" i="24"/>
  <c r="I229" i="24"/>
  <c r="H229" i="24"/>
  <c r="G229" i="24"/>
  <c r="F229" i="24"/>
  <c r="E229" i="24"/>
  <c r="D229" i="24"/>
  <c r="BP228" i="24"/>
  <c r="BN228" i="24"/>
  <c r="BM228" i="24"/>
  <c r="BH228" i="24"/>
  <c r="BG228" i="24"/>
  <c r="BF228" i="24"/>
  <c r="BE228" i="24"/>
  <c r="BD228" i="24"/>
  <c r="BC228" i="24"/>
  <c r="AC228" i="24" s="1"/>
  <c r="BB228" i="24"/>
  <c r="BA228" i="24"/>
  <c r="AZ228" i="24"/>
  <c r="AY228" i="24"/>
  <c r="AX228" i="24"/>
  <c r="AW228" i="24"/>
  <c r="AV228" i="24"/>
  <c r="AU228" i="24"/>
  <c r="AT228" i="24"/>
  <c r="AO228" i="24"/>
  <c r="AN228" i="24"/>
  <c r="AM228" i="24"/>
  <c r="X228" i="24"/>
  <c r="W228" i="24"/>
  <c r="U228" i="24"/>
  <c r="S228" i="24"/>
  <c r="R228" i="24"/>
  <c r="Q228" i="24"/>
  <c r="N228" i="24"/>
  <c r="M228" i="24"/>
  <c r="K228" i="24"/>
  <c r="I228" i="24"/>
  <c r="H228" i="24"/>
  <c r="G228" i="24"/>
  <c r="F228" i="24"/>
  <c r="E228" i="24"/>
  <c r="D228" i="24"/>
  <c r="BP227" i="24"/>
  <c r="BN227" i="24"/>
  <c r="BM227" i="24"/>
  <c r="BH227" i="24"/>
  <c r="BG227" i="24"/>
  <c r="BF227" i="24"/>
  <c r="BE227" i="24"/>
  <c r="BD227" i="24"/>
  <c r="BC227" i="24"/>
  <c r="AC227" i="24" s="1"/>
  <c r="BB227" i="24"/>
  <c r="BA227" i="24"/>
  <c r="AZ227" i="24"/>
  <c r="AY227" i="24"/>
  <c r="AX227" i="24"/>
  <c r="AW227" i="24"/>
  <c r="AV227" i="24"/>
  <c r="AU227" i="24"/>
  <c r="AT227" i="24"/>
  <c r="AO227" i="24"/>
  <c r="AN227" i="24"/>
  <c r="AM227" i="24"/>
  <c r="X227" i="24"/>
  <c r="W227" i="24"/>
  <c r="U227" i="24"/>
  <c r="S227" i="24"/>
  <c r="R227" i="24"/>
  <c r="Q227" i="24"/>
  <c r="N227" i="24"/>
  <c r="M227" i="24"/>
  <c r="K227" i="24"/>
  <c r="I227" i="24"/>
  <c r="H227" i="24"/>
  <c r="G227" i="24"/>
  <c r="F227" i="24"/>
  <c r="E227" i="24"/>
  <c r="D227" i="24"/>
  <c r="BP226" i="24"/>
  <c r="BN226" i="24"/>
  <c r="BM226" i="24"/>
  <c r="BH226" i="24"/>
  <c r="BG226" i="24"/>
  <c r="BF226" i="24"/>
  <c r="BE226" i="24"/>
  <c r="BD226" i="24"/>
  <c r="BC226" i="24"/>
  <c r="AC226" i="24" s="1"/>
  <c r="BB226" i="24"/>
  <c r="BA226" i="24"/>
  <c r="AZ226" i="24"/>
  <c r="AY226" i="24"/>
  <c r="AX226" i="24"/>
  <c r="AW226" i="24"/>
  <c r="AV226" i="24"/>
  <c r="AU226" i="24"/>
  <c r="AT226" i="24"/>
  <c r="AO226" i="24"/>
  <c r="AN226" i="24"/>
  <c r="AM226" i="24"/>
  <c r="X226" i="24"/>
  <c r="W226" i="24"/>
  <c r="U226" i="24"/>
  <c r="S226" i="24"/>
  <c r="R226" i="24"/>
  <c r="Q226" i="24"/>
  <c r="N226" i="24"/>
  <c r="M226" i="24"/>
  <c r="K226" i="24"/>
  <c r="I226" i="24"/>
  <c r="H226" i="24"/>
  <c r="G226" i="24"/>
  <c r="F226" i="24"/>
  <c r="E226" i="24"/>
  <c r="D226" i="24"/>
  <c r="BP225" i="24"/>
  <c r="BN225" i="24"/>
  <c r="BM225" i="24"/>
  <c r="BH225" i="24"/>
  <c r="BG225" i="24"/>
  <c r="BF225" i="24"/>
  <c r="BE225" i="24"/>
  <c r="BD225" i="24"/>
  <c r="BC225" i="24"/>
  <c r="AC225" i="24" s="1"/>
  <c r="BB225" i="24"/>
  <c r="BA225" i="24"/>
  <c r="AZ225" i="24"/>
  <c r="AY225" i="24"/>
  <c r="AX225" i="24"/>
  <c r="AW225" i="24"/>
  <c r="AV225" i="24"/>
  <c r="AU225" i="24"/>
  <c r="AT225" i="24"/>
  <c r="AO225" i="24"/>
  <c r="AN225" i="24"/>
  <c r="AM225" i="24"/>
  <c r="X225" i="24"/>
  <c r="W225" i="24"/>
  <c r="U225" i="24"/>
  <c r="S225" i="24"/>
  <c r="R225" i="24"/>
  <c r="Q225" i="24"/>
  <c r="N225" i="24"/>
  <c r="M225" i="24"/>
  <c r="K225" i="24"/>
  <c r="I225" i="24"/>
  <c r="H225" i="24"/>
  <c r="G225" i="24"/>
  <c r="F225" i="24"/>
  <c r="E225" i="24"/>
  <c r="D225" i="24"/>
  <c r="BP224" i="24"/>
  <c r="BN224" i="24"/>
  <c r="BM224" i="24"/>
  <c r="BH224" i="24"/>
  <c r="BG224" i="24"/>
  <c r="BF224" i="24"/>
  <c r="BE224" i="24"/>
  <c r="BD224" i="24"/>
  <c r="BC224" i="24"/>
  <c r="AC224" i="24" s="1"/>
  <c r="BB224" i="24"/>
  <c r="BA224" i="24"/>
  <c r="AZ224" i="24"/>
  <c r="AY224" i="24"/>
  <c r="AX224" i="24"/>
  <c r="AW224" i="24"/>
  <c r="AV224" i="24"/>
  <c r="AU224" i="24"/>
  <c r="AT224" i="24"/>
  <c r="AO224" i="24"/>
  <c r="AN224" i="24"/>
  <c r="AM224" i="24"/>
  <c r="X224" i="24"/>
  <c r="W224" i="24"/>
  <c r="U224" i="24"/>
  <c r="S224" i="24"/>
  <c r="R224" i="24"/>
  <c r="Q224" i="24"/>
  <c r="N224" i="24"/>
  <c r="M224" i="24"/>
  <c r="K224" i="24"/>
  <c r="I224" i="24"/>
  <c r="H224" i="24"/>
  <c r="G224" i="24"/>
  <c r="F224" i="24"/>
  <c r="E224" i="24"/>
  <c r="D224" i="24"/>
  <c r="BP223" i="24"/>
  <c r="BN223" i="24"/>
  <c r="BM223" i="24"/>
  <c r="BH223" i="24"/>
  <c r="BG223" i="24"/>
  <c r="BF223" i="24"/>
  <c r="BE223" i="24"/>
  <c r="BD223" i="24"/>
  <c r="BC223" i="24"/>
  <c r="AC223" i="24" s="1"/>
  <c r="BB223" i="24"/>
  <c r="BA223" i="24"/>
  <c r="AZ223" i="24"/>
  <c r="AY223" i="24"/>
  <c r="AX223" i="24"/>
  <c r="AW223" i="24"/>
  <c r="AV223" i="24"/>
  <c r="AU223" i="24"/>
  <c r="AT223" i="24"/>
  <c r="AO223" i="24"/>
  <c r="AN223" i="24"/>
  <c r="AM223" i="24"/>
  <c r="X223" i="24"/>
  <c r="W223" i="24"/>
  <c r="U223" i="24"/>
  <c r="S223" i="24"/>
  <c r="R223" i="24"/>
  <c r="Q223" i="24"/>
  <c r="N223" i="24"/>
  <c r="M223" i="24"/>
  <c r="K223" i="24"/>
  <c r="I223" i="24"/>
  <c r="H223" i="24"/>
  <c r="G223" i="24"/>
  <c r="F223" i="24"/>
  <c r="E223" i="24"/>
  <c r="D223" i="24"/>
  <c r="BP222" i="24"/>
  <c r="BN222" i="24"/>
  <c r="BM222" i="24"/>
  <c r="BH222" i="24"/>
  <c r="BG222" i="24"/>
  <c r="BF222" i="24"/>
  <c r="BE222" i="24"/>
  <c r="BD222" i="24"/>
  <c r="BC222" i="24"/>
  <c r="AC222" i="24" s="1"/>
  <c r="BB222" i="24"/>
  <c r="BA222" i="24"/>
  <c r="AZ222" i="24"/>
  <c r="AY222" i="24"/>
  <c r="AX222" i="24"/>
  <c r="AW222" i="24"/>
  <c r="AV222" i="24"/>
  <c r="AU222" i="24"/>
  <c r="AT222" i="24"/>
  <c r="AO222" i="24"/>
  <c r="AN222" i="24"/>
  <c r="AM222" i="24"/>
  <c r="X222" i="24"/>
  <c r="W222" i="24"/>
  <c r="U222" i="24"/>
  <c r="S222" i="24"/>
  <c r="R222" i="24"/>
  <c r="Q222" i="24"/>
  <c r="N222" i="24"/>
  <c r="M222" i="24"/>
  <c r="K222" i="24"/>
  <c r="I222" i="24"/>
  <c r="H222" i="24"/>
  <c r="G222" i="24"/>
  <c r="F222" i="24"/>
  <c r="E222" i="24"/>
  <c r="D222" i="24"/>
  <c r="BP221" i="24"/>
  <c r="BN221" i="24"/>
  <c r="BM221" i="24"/>
  <c r="BH221" i="24"/>
  <c r="BG221" i="24"/>
  <c r="BF221" i="24"/>
  <c r="BE221" i="24"/>
  <c r="BD221" i="24"/>
  <c r="BC221" i="24"/>
  <c r="AC221" i="24" s="1"/>
  <c r="BB221" i="24"/>
  <c r="BA221" i="24"/>
  <c r="AZ221" i="24"/>
  <c r="AY221" i="24"/>
  <c r="AX221" i="24"/>
  <c r="AW221" i="24"/>
  <c r="AV221" i="24"/>
  <c r="AU221" i="24"/>
  <c r="AT221" i="24"/>
  <c r="AO221" i="24"/>
  <c r="AN221" i="24"/>
  <c r="AM221" i="24"/>
  <c r="X221" i="24"/>
  <c r="W221" i="24"/>
  <c r="U221" i="24"/>
  <c r="S221" i="24"/>
  <c r="R221" i="24"/>
  <c r="Q221" i="24"/>
  <c r="N221" i="24"/>
  <c r="M221" i="24"/>
  <c r="K221" i="24"/>
  <c r="I221" i="24"/>
  <c r="H221" i="24"/>
  <c r="G221" i="24"/>
  <c r="F221" i="24"/>
  <c r="E221" i="24"/>
  <c r="D221" i="24"/>
  <c r="BP220" i="24"/>
  <c r="BN220" i="24"/>
  <c r="BM220" i="24"/>
  <c r="BH220" i="24"/>
  <c r="BG220" i="24"/>
  <c r="BF220" i="24"/>
  <c r="BE220" i="24"/>
  <c r="BD220" i="24"/>
  <c r="BC220" i="24"/>
  <c r="AC220" i="24" s="1"/>
  <c r="BB220" i="24"/>
  <c r="BA220" i="24"/>
  <c r="AZ220" i="24"/>
  <c r="AY220" i="24"/>
  <c r="AX220" i="24"/>
  <c r="AW220" i="24"/>
  <c r="AV220" i="24"/>
  <c r="AU220" i="24"/>
  <c r="AT220" i="24"/>
  <c r="AO220" i="24"/>
  <c r="AN220" i="24"/>
  <c r="AM220" i="24"/>
  <c r="X220" i="24"/>
  <c r="W220" i="24"/>
  <c r="U220" i="24"/>
  <c r="S220" i="24"/>
  <c r="R220" i="24"/>
  <c r="Q220" i="24"/>
  <c r="N220" i="24"/>
  <c r="M220" i="24"/>
  <c r="K220" i="24"/>
  <c r="I220" i="24"/>
  <c r="H220" i="24"/>
  <c r="G220" i="24"/>
  <c r="F220" i="24"/>
  <c r="E220" i="24"/>
  <c r="D220" i="24"/>
  <c r="BP219" i="24"/>
  <c r="BN219" i="24"/>
  <c r="BM219" i="24"/>
  <c r="BH219" i="24"/>
  <c r="BG219" i="24"/>
  <c r="BF219" i="24"/>
  <c r="BE219" i="24"/>
  <c r="BD219" i="24"/>
  <c r="BC219" i="24"/>
  <c r="AC219" i="24" s="1"/>
  <c r="BB219" i="24"/>
  <c r="BA219" i="24"/>
  <c r="AZ219" i="24"/>
  <c r="AY219" i="24"/>
  <c r="AX219" i="24"/>
  <c r="AW219" i="24"/>
  <c r="AV219" i="24"/>
  <c r="AU219" i="24"/>
  <c r="AT219" i="24"/>
  <c r="AO219" i="24"/>
  <c r="AN219" i="24"/>
  <c r="AM219" i="24"/>
  <c r="X219" i="24"/>
  <c r="W219" i="24"/>
  <c r="U219" i="24"/>
  <c r="S219" i="24"/>
  <c r="R219" i="24"/>
  <c r="Q219" i="24"/>
  <c r="N219" i="24"/>
  <c r="M219" i="24"/>
  <c r="K219" i="24"/>
  <c r="I219" i="24"/>
  <c r="H219" i="24"/>
  <c r="G219" i="24"/>
  <c r="F219" i="24"/>
  <c r="E219" i="24"/>
  <c r="D219" i="24"/>
  <c r="BP218" i="24"/>
  <c r="BN218" i="24"/>
  <c r="BM218" i="24"/>
  <c r="BH218" i="24"/>
  <c r="BG218" i="24"/>
  <c r="BF218" i="24"/>
  <c r="BE218" i="24"/>
  <c r="BD218" i="24"/>
  <c r="BC218" i="24"/>
  <c r="AC218" i="24" s="1"/>
  <c r="BB218" i="24"/>
  <c r="BA218" i="24"/>
  <c r="AZ218" i="24"/>
  <c r="AY218" i="24"/>
  <c r="AX218" i="24"/>
  <c r="AW218" i="24"/>
  <c r="AV218" i="24"/>
  <c r="AU218" i="24"/>
  <c r="AT218" i="24"/>
  <c r="AO218" i="24"/>
  <c r="AN218" i="24"/>
  <c r="AM218" i="24"/>
  <c r="X218" i="24"/>
  <c r="W218" i="24"/>
  <c r="U218" i="24"/>
  <c r="S218" i="24"/>
  <c r="R218" i="24"/>
  <c r="Q218" i="24"/>
  <c r="N218" i="24"/>
  <c r="M218" i="24"/>
  <c r="K218" i="24"/>
  <c r="I218" i="24"/>
  <c r="H218" i="24"/>
  <c r="G218" i="24"/>
  <c r="F218" i="24"/>
  <c r="E218" i="24"/>
  <c r="D218" i="24"/>
  <c r="BP217" i="24"/>
  <c r="BN217" i="24"/>
  <c r="BM217" i="24"/>
  <c r="BH217" i="24"/>
  <c r="BG217" i="24"/>
  <c r="BF217" i="24"/>
  <c r="BE217" i="24"/>
  <c r="BD217" i="24"/>
  <c r="BC217" i="24"/>
  <c r="AC217" i="24" s="1"/>
  <c r="BB217" i="24"/>
  <c r="BA217" i="24"/>
  <c r="AZ217" i="24"/>
  <c r="AY217" i="24"/>
  <c r="AX217" i="24"/>
  <c r="AW217" i="24"/>
  <c r="AV217" i="24"/>
  <c r="AU217" i="24"/>
  <c r="AT217" i="24"/>
  <c r="AO217" i="24"/>
  <c r="AN217" i="24"/>
  <c r="AM217" i="24"/>
  <c r="X217" i="24"/>
  <c r="W217" i="24"/>
  <c r="U217" i="24"/>
  <c r="S217" i="24"/>
  <c r="R217" i="24"/>
  <c r="Q217" i="24"/>
  <c r="N217" i="24"/>
  <c r="M217" i="24"/>
  <c r="K217" i="24"/>
  <c r="I217" i="24"/>
  <c r="H217" i="24"/>
  <c r="G217" i="24"/>
  <c r="F217" i="24"/>
  <c r="E217" i="24"/>
  <c r="D217" i="24"/>
  <c r="BP216" i="24"/>
  <c r="BN216" i="24"/>
  <c r="BM216" i="24"/>
  <c r="BH216" i="24"/>
  <c r="BG216" i="24"/>
  <c r="BF216" i="24"/>
  <c r="BE216" i="24"/>
  <c r="BD216" i="24"/>
  <c r="BC216" i="24"/>
  <c r="AC216" i="24" s="1"/>
  <c r="BB216" i="24"/>
  <c r="BA216" i="24"/>
  <c r="AZ216" i="24"/>
  <c r="AY216" i="24"/>
  <c r="AX216" i="24"/>
  <c r="AW216" i="24"/>
  <c r="AV216" i="24"/>
  <c r="AU216" i="24"/>
  <c r="AT216" i="24"/>
  <c r="AO216" i="24"/>
  <c r="AN216" i="24"/>
  <c r="AM216" i="24"/>
  <c r="X216" i="24"/>
  <c r="W216" i="24"/>
  <c r="U216" i="24"/>
  <c r="S216" i="24"/>
  <c r="R216" i="24"/>
  <c r="Q216" i="24"/>
  <c r="N216" i="24"/>
  <c r="M216" i="24"/>
  <c r="K216" i="24"/>
  <c r="I216" i="24"/>
  <c r="H216" i="24"/>
  <c r="G216" i="24"/>
  <c r="F216" i="24"/>
  <c r="E216" i="24"/>
  <c r="D216" i="24"/>
  <c r="BP215" i="24"/>
  <c r="BN215" i="24"/>
  <c r="BM215" i="24"/>
  <c r="BH215" i="24"/>
  <c r="BG215" i="24"/>
  <c r="BF215" i="24"/>
  <c r="BE215" i="24"/>
  <c r="BD215" i="24"/>
  <c r="BC215" i="24"/>
  <c r="AC215" i="24" s="1"/>
  <c r="BB215" i="24"/>
  <c r="BA215" i="24"/>
  <c r="AZ215" i="24"/>
  <c r="AY215" i="24"/>
  <c r="AX215" i="24"/>
  <c r="AW215" i="24"/>
  <c r="AV215" i="24"/>
  <c r="AU215" i="24"/>
  <c r="AT215" i="24"/>
  <c r="AO215" i="24"/>
  <c r="AN215" i="24"/>
  <c r="AM215" i="24"/>
  <c r="X215" i="24"/>
  <c r="W215" i="24"/>
  <c r="U215" i="24"/>
  <c r="S215" i="24"/>
  <c r="R215" i="24"/>
  <c r="Q215" i="24"/>
  <c r="N215" i="24"/>
  <c r="M215" i="24"/>
  <c r="K215" i="24"/>
  <c r="I215" i="24"/>
  <c r="H215" i="24"/>
  <c r="G215" i="24"/>
  <c r="F215" i="24"/>
  <c r="E215" i="24"/>
  <c r="D215" i="24"/>
  <c r="BP214" i="24"/>
  <c r="BN214" i="24"/>
  <c r="BM214" i="24"/>
  <c r="BH214" i="24"/>
  <c r="BG214" i="24"/>
  <c r="BF214" i="24"/>
  <c r="BE214" i="24"/>
  <c r="BD214" i="24"/>
  <c r="BC214" i="24"/>
  <c r="AC214" i="24" s="1"/>
  <c r="BB214" i="24"/>
  <c r="BA214" i="24"/>
  <c r="AZ214" i="24"/>
  <c r="AY214" i="24"/>
  <c r="AX214" i="24"/>
  <c r="AW214" i="24"/>
  <c r="AV214" i="24"/>
  <c r="AU214" i="24"/>
  <c r="AT214" i="24"/>
  <c r="AO214" i="24"/>
  <c r="AN214" i="24"/>
  <c r="AM214" i="24"/>
  <c r="X214" i="24"/>
  <c r="W214" i="24"/>
  <c r="U214" i="24"/>
  <c r="S214" i="24"/>
  <c r="R214" i="24"/>
  <c r="Q214" i="24"/>
  <c r="N214" i="24"/>
  <c r="M214" i="24"/>
  <c r="K214" i="24"/>
  <c r="I214" i="24"/>
  <c r="H214" i="24"/>
  <c r="G214" i="24"/>
  <c r="F214" i="24"/>
  <c r="E214" i="24"/>
  <c r="D214" i="24"/>
  <c r="BP213" i="24"/>
  <c r="BN213" i="24"/>
  <c r="BM213" i="24"/>
  <c r="BH213" i="24"/>
  <c r="BG213" i="24"/>
  <c r="BF213" i="24"/>
  <c r="BE213" i="24"/>
  <c r="BD213" i="24"/>
  <c r="BC213" i="24"/>
  <c r="AC213" i="24" s="1"/>
  <c r="BB213" i="24"/>
  <c r="BA213" i="24"/>
  <c r="AZ213" i="24"/>
  <c r="AY213" i="24"/>
  <c r="AX213" i="24"/>
  <c r="AW213" i="24"/>
  <c r="AV213" i="24"/>
  <c r="AU213" i="24"/>
  <c r="AT213" i="24"/>
  <c r="AO213" i="24"/>
  <c r="AN213" i="24"/>
  <c r="AM213" i="24"/>
  <c r="X213" i="24"/>
  <c r="W213" i="24"/>
  <c r="U213" i="24"/>
  <c r="S213" i="24"/>
  <c r="R213" i="24"/>
  <c r="Q213" i="24"/>
  <c r="N213" i="24"/>
  <c r="M213" i="24"/>
  <c r="K213" i="24"/>
  <c r="I213" i="24"/>
  <c r="H213" i="24"/>
  <c r="G213" i="24"/>
  <c r="F213" i="24"/>
  <c r="E213" i="24"/>
  <c r="D213" i="24"/>
  <c r="BP212" i="24"/>
  <c r="BN212" i="24"/>
  <c r="BM212" i="24"/>
  <c r="BH212" i="24"/>
  <c r="BG212" i="24"/>
  <c r="BF212" i="24"/>
  <c r="BE212" i="24"/>
  <c r="BD212" i="24"/>
  <c r="BC212" i="24"/>
  <c r="AC212" i="24" s="1"/>
  <c r="BB212" i="24"/>
  <c r="BA212" i="24"/>
  <c r="AZ212" i="24"/>
  <c r="AY212" i="24"/>
  <c r="AX212" i="24"/>
  <c r="AW212" i="24"/>
  <c r="AV212" i="24"/>
  <c r="AU212" i="24"/>
  <c r="AT212" i="24"/>
  <c r="AO212" i="24"/>
  <c r="AN212" i="24"/>
  <c r="AM212" i="24"/>
  <c r="X212" i="24"/>
  <c r="W212" i="24"/>
  <c r="U212" i="24"/>
  <c r="S212" i="24"/>
  <c r="R212" i="24"/>
  <c r="Q212" i="24"/>
  <c r="N212" i="24"/>
  <c r="M212" i="24"/>
  <c r="K212" i="24"/>
  <c r="I212" i="24"/>
  <c r="H212" i="24"/>
  <c r="G212" i="24"/>
  <c r="F212" i="24"/>
  <c r="E212" i="24"/>
  <c r="D212" i="24"/>
  <c r="BP211" i="24"/>
  <c r="BN211" i="24"/>
  <c r="BM211" i="24"/>
  <c r="BH211" i="24"/>
  <c r="BG211" i="24"/>
  <c r="BF211" i="24"/>
  <c r="BE211" i="24"/>
  <c r="BD211" i="24"/>
  <c r="BC211" i="24"/>
  <c r="AC211" i="24" s="1"/>
  <c r="BB211" i="24"/>
  <c r="BA211" i="24"/>
  <c r="AZ211" i="24"/>
  <c r="AY211" i="24"/>
  <c r="AX211" i="24"/>
  <c r="AW211" i="24"/>
  <c r="AV211" i="24"/>
  <c r="AU211" i="24"/>
  <c r="AT211" i="24"/>
  <c r="AO211" i="24"/>
  <c r="AN211" i="24"/>
  <c r="AM211" i="24"/>
  <c r="X211" i="24"/>
  <c r="W211" i="24"/>
  <c r="U211" i="24"/>
  <c r="S211" i="24"/>
  <c r="R211" i="24"/>
  <c r="Q211" i="24"/>
  <c r="N211" i="24"/>
  <c r="M211" i="24"/>
  <c r="K211" i="24"/>
  <c r="I211" i="24"/>
  <c r="H211" i="24"/>
  <c r="G211" i="24"/>
  <c r="F211" i="24"/>
  <c r="E211" i="24"/>
  <c r="D211" i="24"/>
  <c r="BP210" i="24"/>
  <c r="BN210" i="24"/>
  <c r="BM210" i="24"/>
  <c r="BH210" i="24"/>
  <c r="BG210" i="24"/>
  <c r="BF210" i="24"/>
  <c r="BE210" i="24"/>
  <c r="BD210" i="24"/>
  <c r="BC210" i="24"/>
  <c r="AC210" i="24" s="1"/>
  <c r="BB210" i="24"/>
  <c r="BA210" i="24"/>
  <c r="AZ210" i="24"/>
  <c r="AY210" i="24"/>
  <c r="AX210" i="24"/>
  <c r="AW210" i="24"/>
  <c r="AV210" i="24"/>
  <c r="AU210" i="24"/>
  <c r="AT210" i="24"/>
  <c r="AO210" i="24"/>
  <c r="AN210" i="24"/>
  <c r="AM210" i="24"/>
  <c r="X210" i="24"/>
  <c r="W210" i="24"/>
  <c r="U210" i="24"/>
  <c r="S210" i="24"/>
  <c r="R210" i="24"/>
  <c r="Q210" i="24"/>
  <c r="N210" i="24"/>
  <c r="M210" i="24"/>
  <c r="K210" i="24"/>
  <c r="I210" i="24"/>
  <c r="H210" i="24"/>
  <c r="G210" i="24"/>
  <c r="F210" i="24"/>
  <c r="E210" i="24"/>
  <c r="D210" i="24"/>
  <c r="BP209" i="24"/>
  <c r="BN209" i="24"/>
  <c r="BM209" i="24"/>
  <c r="BH209" i="24"/>
  <c r="BG209" i="24"/>
  <c r="BF209" i="24"/>
  <c r="BE209" i="24"/>
  <c r="BD209" i="24"/>
  <c r="BC209" i="24"/>
  <c r="AC209" i="24" s="1"/>
  <c r="BB209" i="24"/>
  <c r="BA209" i="24"/>
  <c r="AZ209" i="24"/>
  <c r="AY209" i="24"/>
  <c r="AX209" i="24"/>
  <c r="AW209" i="24"/>
  <c r="AV209" i="24"/>
  <c r="AU209" i="24"/>
  <c r="AT209" i="24"/>
  <c r="AO209" i="24"/>
  <c r="AN209" i="24"/>
  <c r="AM209" i="24"/>
  <c r="X209" i="24"/>
  <c r="W209" i="24"/>
  <c r="U209" i="24"/>
  <c r="S209" i="24"/>
  <c r="R209" i="24"/>
  <c r="Q209" i="24"/>
  <c r="N209" i="24"/>
  <c r="M209" i="24"/>
  <c r="K209" i="24"/>
  <c r="I209" i="24"/>
  <c r="H209" i="24"/>
  <c r="G209" i="24"/>
  <c r="F209" i="24"/>
  <c r="E209" i="24"/>
  <c r="D209" i="24"/>
  <c r="BP208" i="24"/>
  <c r="BN208" i="24"/>
  <c r="BM208" i="24"/>
  <c r="BH208" i="24"/>
  <c r="BG208" i="24"/>
  <c r="BF208" i="24"/>
  <c r="BE208" i="24"/>
  <c r="BD208" i="24"/>
  <c r="BC208" i="24"/>
  <c r="AC208" i="24" s="1"/>
  <c r="BB208" i="24"/>
  <c r="BA208" i="24"/>
  <c r="AZ208" i="24"/>
  <c r="AY208" i="24"/>
  <c r="AX208" i="24"/>
  <c r="AW208" i="24"/>
  <c r="AV208" i="24"/>
  <c r="AU208" i="24"/>
  <c r="AT208" i="24"/>
  <c r="AO208" i="24"/>
  <c r="AN208" i="24"/>
  <c r="AM208" i="24"/>
  <c r="X208" i="24"/>
  <c r="W208" i="24"/>
  <c r="U208" i="24"/>
  <c r="S208" i="24"/>
  <c r="R208" i="24"/>
  <c r="Q208" i="24"/>
  <c r="N208" i="24"/>
  <c r="M208" i="24"/>
  <c r="K208" i="24"/>
  <c r="I208" i="24"/>
  <c r="H208" i="24"/>
  <c r="G208" i="24"/>
  <c r="F208" i="24"/>
  <c r="E208" i="24"/>
  <c r="D208" i="24"/>
  <c r="BP207" i="24"/>
  <c r="BN207" i="24"/>
  <c r="BM207" i="24"/>
  <c r="BH207" i="24"/>
  <c r="BG207" i="24"/>
  <c r="BF207" i="24"/>
  <c r="BE207" i="24"/>
  <c r="BD207" i="24"/>
  <c r="BC207" i="24"/>
  <c r="AC207" i="24" s="1"/>
  <c r="BB207" i="24"/>
  <c r="BA207" i="24"/>
  <c r="AZ207" i="24"/>
  <c r="AY207" i="24"/>
  <c r="AX207" i="24"/>
  <c r="AW207" i="24"/>
  <c r="AV207" i="24"/>
  <c r="AU207" i="24"/>
  <c r="AT207" i="24"/>
  <c r="AO207" i="24"/>
  <c r="AN207" i="24"/>
  <c r="AM207" i="24"/>
  <c r="X207" i="24"/>
  <c r="W207" i="24"/>
  <c r="U207" i="24"/>
  <c r="S207" i="24"/>
  <c r="R207" i="24"/>
  <c r="Q207" i="24"/>
  <c r="N207" i="24"/>
  <c r="M207" i="24"/>
  <c r="K207" i="24"/>
  <c r="I207" i="24"/>
  <c r="H207" i="24"/>
  <c r="G207" i="24"/>
  <c r="F207" i="24"/>
  <c r="E207" i="24"/>
  <c r="D207" i="24"/>
  <c r="BP206" i="24"/>
  <c r="BN206" i="24"/>
  <c r="BM206" i="24"/>
  <c r="BH206" i="24"/>
  <c r="BG206" i="24"/>
  <c r="BF206" i="24"/>
  <c r="BE206" i="24"/>
  <c r="BD206" i="24"/>
  <c r="BC206" i="24"/>
  <c r="AC206" i="24" s="1"/>
  <c r="BB206" i="24"/>
  <c r="BA206" i="24"/>
  <c r="AZ206" i="24"/>
  <c r="AY206" i="24"/>
  <c r="AX206" i="24"/>
  <c r="AW206" i="24"/>
  <c r="AV206" i="24"/>
  <c r="AU206" i="24"/>
  <c r="AT206" i="24"/>
  <c r="AO206" i="24"/>
  <c r="AN206" i="24"/>
  <c r="AM206" i="24"/>
  <c r="X206" i="24"/>
  <c r="W206" i="24"/>
  <c r="U206" i="24"/>
  <c r="S206" i="24"/>
  <c r="R206" i="24"/>
  <c r="Q206" i="24"/>
  <c r="N206" i="24"/>
  <c r="M206" i="24"/>
  <c r="K206" i="24"/>
  <c r="I206" i="24"/>
  <c r="H206" i="24"/>
  <c r="G206" i="24"/>
  <c r="F206" i="24"/>
  <c r="E206" i="24"/>
  <c r="D206" i="24"/>
  <c r="BP205" i="24"/>
  <c r="BN205" i="24"/>
  <c r="BM205" i="24"/>
  <c r="BH205" i="24"/>
  <c r="BG205" i="24"/>
  <c r="BF205" i="24"/>
  <c r="BE205" i="24"/>
  <c r="BD205" i="24"/>
  <c r="BC205" i="24"/>
  <c r="AC205" i="24" s="1"/>
  <c r="BB205" i="24"/>
  <c r="BA205" i="24"/>
  <c r="AZ205" i="24"/>
  <c r="AY205" i="24"/>
  <c r="AX205" i="24"/>
  <c r="AW205" i="24"/>
  <c r="AV205" i="24"/>
  <c r="AU205" i="24"/>
  <c r="AT205" i="24"/>
  <c r="AO205" i="24"/>
  <c r="AN205" i="24"/>
  <c r="AM205" i="24"/>
  <c r="X205" i="24"/>
  <c r="W205" i="24"/>
  <c r="U205" i="24"/>
  <c r="S205" i="24"/>
  <c r="R205" i="24"/>
  <c r="Q205" i="24"/>
  <c r="N205" i="24"/>
  <c r="M205" i="24"/>
  <c r="K205" i="24"/>
  <c r="I205" i="24"/>
  <c r="H205" i="24"/>
  <c r="G205" i="24"/>
  <c r="F205" i="24"/>
  <c r="E205" i="24"/>
  <c r="D205" i="24"/>
  <c r="BP204" i="24"/>
  <c r="BN204" i="24"/>
  <c r="BM204" i="24"/>
  <c r="BH204" i="24"/>
  <c r="BG204" i="24"/>
  <c r="BF204" i="24"/>
  <c r="BE204" i="24"/>
  <c r="BD204" i="24"/>
  <c r="BC204" i="24"/>
  <c r="AC204" i="24" s="1"/>
  <c r="BB204" i="24"/>
  <c r="BA204" i="24"/>
  <c r="AZ204" i="24"/>
  <c r="AY204" i="24"/>
  <c r="AX204" i="24"/>
  <c r="AW204" i="24"/>
  <c r="AV204" i="24"/>
  <c r="AU204" i="24"/>
  <c r="AT204" i="24"/>
  <c r="AO204" i="24"/>
  <c r="AN204" i="24"/>
  <c r="AM204" i="24"/>
  <c r="X204" i="24"/>
  <c r="W204" i="24"/>
  <c r="U204" i="24"/>
  <c r="S204" i="24"/>
  <c r="R204" i="24"/>
  <c r="Q204" i="24"/>
  <c r="N204" i="24"/>
  <c r="M204" i="24"/>
  <c r="K204" i="24"/>
  <c r="I204" i="24"/>
  <c r="H204" i="24"/>
  <c r="G204" i="24"/>
  <c r="F204" i="24"/>
  <c r="E204" i="24"/>
  <c r="D204" i="24"/>
  <c r="BP203" i="24"/>
  <c r="BN203" i="24"/>
  <c r="BM203" i="24"/>
  <c r="BH203" i="24"/>
  <c r="BG203" i="24"/>
  <c r="BF203" i="24"/>
  <c r="BE203" i="24"/>
  <c r="BD203" i="24"/>
  <c r="BC203" i="24"/>
  <c r="AC203" i="24" s="1"/>
  <c r="BB203" i="24"/>
  <c r="BA203" i="24"/>
  <c r="AZ203" i="24"/>
  <c r="AY203" i="24"/>
  <c r="AX203" i="24"/>
  <c r="AW203" i="24"/>
  <c r="AV203" i="24"/>
  <c r="AU203" i="24"/>
  <c r="AT203" i="24"/>
  <c r="AO203" i="24"/>
  <c r="AN203" i="24"/>
  <c r="AM203" i="24"/>
  <c r="X203" i="24"/>
  <c r="W203" i="24"/>
  <c r="U203" i="24"/>
  <c r="S203" i="24"/>
  <c r="R203" i="24"/>
  <c r="Q203" i="24"/>
  <c r="N203" i="24"/>
  <c r="M203" i="24"/>
  <c r="K203" i="24"/>
  <c r="I203" i="24"/>
  <c r="H203" i="24"/>
  <c r="G203" i="24"/>
  <c r="F203" i="24"/>
  <c r="E203" i="24"/>
  <c r="D203" i="24"/>
  <c r="BP202" i="24"/>
  <c r="BN202" i="24"/>
  <c r="BM202" i="24"/>
  <c r="BH202" i="24"/>
  <c r="BG202" i="24"/>
  <c r="BF202" i="24"/>
  <c r="BE202" i="24"/>
  <c r="BD202" i="24"/>
  <c r="BC202" i="24"/>
  <c r="AC202" i="24" s="1"/>
  <c r="BB202" i="24"/>
  <c r="BA202" i="24"/>
  <c r="AZ202" i="24"/>
  <c r="AY202" i="24"/>
  <c r="AX202" i="24"/>
  <c r="AW202" i="24"/>
  <c r="AV202" i="24"/>
  <c r="AU202" i="24"/>
  <c r="AT202" i="24"/>
  <c r="AO202" i="24"/>
  <c r="AN202" i="24"/>
  <c r="AM202" i="24"/>
  <c r="X202" i="24"/>
  <c r="W202" i="24"/>
  <c r="U202" i="24"/>
  <c r="S202" i="24"/>
  <c r="R202" i="24"/>
  <c r="Q202" i="24"/>
  <c r="N202" i="24"/>
  <c r="M202" i="24"/>
  <c r="K202" i="24"/>
  <c r="I202" i="24"/>
  <c r="H202" i="24"/>
  <c r="G202" i="24"/>
  <c r="F202" i="24"/>
  <c r="E202" i="24"/>
  <c r="D202" i="24"/>
  <c r="BP201" i="24"/>
  <c r="BN201" i="24"/>
  <c r="BM201" i="24"/>
  <c r="BH201" i="24"/>
  <c r="BG201" i="24"/>
  <c r="BF201" i="24"/>
  <c r="BE201" i="24"/>
  <c r="BD201" i="24"/>
  <c r="BC201" i="24"/>
  <c r="AC201" i="24" s="1"/>
  <c r="BB201" i="24"/>
  <c r="BA201" i="24"/>
  <c r="AZ201" i="24"/>
  <c r="AY201" i="24"/>
  <c r="AX201" i="24"/>
  <c r="AW201" i="24"/>
  <c r="AV201" i="24"/>
  <c r="AU201" i="24"/>
  <c r="AT201" i="24"/>
  <c r="AO201" i="24"/>
  <c r="AN201" i="24"/>
  <c r="AM201" i="24"/>
  <c r="X201" i="24"/>
  <c r="W201" i="24"/>
  <c r="U201" i="24"/>
  <c r="S201" i="24"/>
  <c r="R201" i="24"/>
  <c r="Q201" i="24"/>
  <c r="N201" i="24"/>
  <c r="M201" i="24"/>
  <c r="K201" i="24"/>
  <c r="I201" i="24"/>
  <c r="H201" i="24"/>
  <c r="G201" i="24"/>
  <c r="F201" i="24"/>
  <c r="E201" i="24"/>
  <c r="D201" i="24"/>
  <c r="BP200" i="24"/>
  <c r="BN200" i="24"/>
  <c r="BM200" i="24"/>
  <c r="BH200" i="24"/>
  <c r="BG200" i="24"/>
  <c r="BF200" i="24"/>
  <c r="BE200" i="24"/>
  <c r="BD200" i="24"/>
  <c r="BC200" i="24"/>
  <c r="AC200" i="24" s="1"/>
  <c r="BB200" i="24"/>
  <c r="BA200" i="24"/>
  <c r="AZ200" i="24"/>
  <c r="AY200" i="24"/>
  <c r="AX200" i="24"/>
  <c r="AW200" i="24"/>
  <c r="AV200" i="24"/>
  <c r="AU200" i="24"/>
  <c r="AT200" i="24"/>
  <c r="AO200" i="24"/>
  <c r="AN200" i="24"/>
  <c r="AM200" i="24"/>
  <c r="X200" i="24"/>
  <c r="W200" i="24"/>
  <c r="U200" i="24"/>
  <c r="S200" i="24"/>
  <c r="R200" i="24"/>
  <c r="Q200" i="24"/>
  <c r="N200" i="24"/>
  <c r="M200" i="24"/>
  <c r="K200" i="24"/>
  <c r="I200" i="24"/>
  <c r="H200" i="24"/>
  <c r="G200" i="24"/>
  <c r="F200" i="24"/>
  <c r="E200" i="24"/>
  <c r="D200" i="24"/>
  <c r="BP199" i="24"/>
  <c r="BN199" i="24"/>
  <c r="BM199" i="24"/>
  <c r="BH199" i="24"/>
  <c r="BG199" i="24"/>
  <c r="BF199" i="24"/>
  <c r="BE199" i="24"/>
  <c r="BD199" i="24"/>
  <c r="BC199" i="24"/>
  <c r="AC199" i="24" s="1"/>
  <c r="BB199" i="24"/>
  <c r="BA199" i="24"/>
  <c r="AZ199" i="24"/>
  <c r="AY199" i="24"/>
  <c r="AX199" i="24"/>
  <c r="AW199" i="24"/>
  <c r="AV199" i="24"/>
  <c r="AU199" i="24"/>
  <c r="AT199" i="24"/>
  <c r="AO199" i="24"/>
  <c r="AN199" i="24"/>
  <c r="AM199" i="24"/>
  <c r="X199" i="24"/>
  <c r="W199" i="24"/>
  <c r="U199" i="24"/>
  <c r="S199" i="24"/>
  <c r="R199" i="24"/>
  <c r="Q199" i="24"/>
  <c r="N199" i="24"/>
  <c r="M199" i="24"/>
  <c r="K199" i="24"/>
  <c r="I199" i="24"/>
  <c r="H199" i="24"/>
  <c r="G199" i="24"/>
  <c r="F199" i="24"/>
  <c r="E199" i="24"/>
  <c r="D199" i="24"/>
  <c r="BP198" i="24"/>
  <c r="BN198" i="24"/>
  <c r="BM198" i="24"/>
  <c r="BH198" i="24"/>
  <c r="BG198" i="24"/>
  <c r="BF198" i="24"/>
  <c r="BE198" i="24"/>
  <c r="BD198" i="24"/>
  <c r="BC198" i="24"/>
  <c r="AC198" i="24" s="1"/>
  <c r="BB198" i="24"/>
  <c r="BA198" i="24"/>
  <c r="AZ198" i="24"/>
  <c r="AY198" i="24"/>
  <c r="AX198" i="24"/>
  <c r="AW198" i="24"/>
  <c r="AV198" i="24"/>
  <c r="AU198" i="24"/>
  <c r="AT198" i="24"/>
  <c r="AO198" i="24"/>
  <c r="AN198" i="24"/>
  <c r="AM198" i="24"/>
  <c r="X198" i="24"/>
  <c r="W198" i="24"/>
  <c r="U198" i="24"/>
  <c r="S198" i="24"/>
  <c r="R198" i="24"/>
  <c r="Q198" i="24"/>
  <c r="N198" i="24"/>
  <c r="M198" i="24"/>
  <c r="K198" i="24"/>
  <c r="I198" i="24"/>
  <c r="H198" i="24"/>
  <c r="G198" i="24"/>
  <c r="F198" i="24"/>
  <c r="E198" i="24"/>
  <c r="D198" i="24"/>
  <c r="BP197" i="24"/>
  <c r="BN197" i="24"/>
  <c r="BM197" i="24"/>
  <c r="BH197" i="24"/>
  <c r="BG197" i="24"/>
  <c r="BF197" i="24"/>
  <c r="BE197" i="24"/>
  <c r="BD197" i="24"/>
  <c r="BC197" i="24"/>
  <c r="AC197" i="24" s="1"/>
  <c r="BB197" i="24"/>
  <c r="BA197" i="24"/>
  <c r="AZ197" i="24"/>
  <c r="AY197" i="24"/>
  <c r="AX197" i="24"/>
  <c r="AW197" i="24"/>
  <c r="AV197" i="24"/>
  <c r="AU197" i="24"/>
  <c r="AT197" i="24"/>
  <c r="AO197" i="24"/>
  <c r="AN197" i="24"/>
  <c r="AM197" i="24"/>
  <c r="X197" i="24"/>
  <c r="W197" i="24"/>
  <c r="U197" i="24"/>
  <c r="S197" i="24"/>
  <c r="R197" i="24"/>
  <c r="Q197" i="24"/>
  <c r="N197" i="24"/>
  <c r="M197" i="24"/>
  <c r="K197" i="24"/>
  <c r="I197" i="24"/>
  <c r="H197" i="24"/>
  <c r="G197" i="24"/>
  <c r="F197" i="24"/>
  <c r="E197" i="24"/>
  <c r="D197" i="24"/>
  <c r="BP196" i="24"/>
  <c r="BN196" i="24"/>
  <c r="BM196" i="24"/>
  <c r="BH196" i="24"/>
  <c r="BG196" i="24"/>
  <c r="BF196" i="24"/>
  <c r="BE196" i="24"/>
  <c r="BD196" i="24"/>
  <c r="BC196" i="24"/>
  <c r="AC196" i="24" s="1"/>
  <c r="BB196" i="24"/>
  <c r="BA196" i="24"/>
  <c r="AZ196" i="24"/>
  <c r="AY196" i="24"/>
  <c r="AX196" i="24"/>
  <c r="AW196" i="24"/>
  <c r="AV196" i="24"/>
  <c r="AU196" i="24"/>
  <c r="AT196" i="24"/>
  <c r="AO196" i="24"/>
  <c r="AN196" i="24"/>
  <c r="AM196" i="24"/>
  <c r="X196" i="24"/>
  <c r="W196" i="24"/>
  <c r="U196" i="24"/>
  <c r="S196" i="24"/>
  <c r="R196" i="24"/>
  <c r="Q196" i="24"/>
  <c r="N196" i="24"/>
  <c r="M196" i="24"/>
  <c r="K196" i="24"/>
  <c r="I196" i="24"/>
  <c r="H196" i="24"/>
  <c r="G196" i="24"/>
  <c r="F196" i="24"/>
  <c r="E196" i="24"/>
  <c r="D196" i="24"/>
  <c r="BP195" i="24"/>
  <c r="BN195" i="24"/>
  <c r="BM195" i="24"/>
  <c r="BH195" i="24"/>
  <c r="BG195" i="24"/>
  <c r="BF195" i="24"/>
  <c r="BE195" i="24"/>
  <c r="BD195" i="24"/>
  <c r="BC195" i="24"/>
  <c r="AC195" i="24" s="1"/>
  <c r="BB195" i="24"/>
  <c r="BA195" i="24"/>
  <c r="AZ195" i="24"/>
  <c r="AY195" i="24"/>
  <c r="AX195" i="24"/>
  <c r="AW195" i="24"/>
  <c r="AV195" i="24"/>
  <c r="AU195" i="24"/>
  <c r="AT195" i="24"/>
  <c r="AO195" i="24"/>
  <c r="AN195" i="24"/>
  <c r="AM195" i="24"/>
  <c r="X195" i="24"/>
  <c r="W195" i="24"/>
  <c r="U195" i="24"/>
  <c r="S195" i="24"/>
  <c r="R195" i="24"/>
  <c r="Q195" i="24"/>
  <c r="N195" i="24"/>
  <c r="M195" i="24"/>
  <c r="K195" i="24"/>
  <c r="I195" i="24"/>
  <c r="H195" i="24"/>
  <c r="G195" i="24"/>
  <c r="F195" i="24"/>
  <c r="E195" i="24"/>
  <c r="D195" i="24"/>
  <c r="BP194" i="24"/>
  <c r="BN194" i="24"/>
  <c r="BM194" i="24"/>
  <c r="BH194" i="24"/>
  <c r="BG194" i="24"/>
  <c r="BF194" i="24"/>
  <c r="BE194" i="24"/>
  <c r="BD194" i="24"/>
  <c r="BC194" i="24"/>
  <c r="AC194" i="24" s="1"/>
  <c r="BB194" i="24"/>
  <c r="BA194" i="24"/>
  <c r="AZ194" i="24"/>
  <c r="AY194" i="24"/>
  <c r="AX194" i="24"/>
  <c r="AW194" i="24"/>
  <c r="AV194" i="24"/>
  <c r="AU194" i="24"/>
  <c r="AT194" i="24"/>
  <c r="AO194" i="24"/>
  <c r="AN194" i="24"/>
  <c r="AM194" i="24"/>
  <c r="X194" i="24"/>
  <c r="W194" i="24"/>
  <c r="U194" i="24"/>
  <c r="S194" i="24"/>
  <c r="R194" i="24"/>
  <c r="Q194" i="24"/>
  <c r="N194" i="24"/>
  <c r="M194" i="24"/>
  <c r="K194" i="24"/>
  <c r="I194" i="24"/>
  <c r="H194" i="24"/>
  <c r="G194" i="24"/>
  <c r="F194" i="24"/>
  <c r="E194" i="24"/>
  <c r="D194" i="24"/>
  <c r="BP193" i="24"/>
  <c r="BN193" i="24"/>
  <c r="BM193" i="24"/>
  <c r="BH193" i="24"/>
  <c r="BG193" i="24"/>
  <c r="BF193" i="24"/>
  <c r="BE193" i="24"/>
  <c r="BD193" i="24"/>
  <c r="BC193" i="24"/>
  <c r="AC193" i="24" s="1"/>
  <c r="BB193" i="24"/>
  <c r="BA193" i="24"/>
  <c r="AZ193" i="24"/>
  <c r="AY193" i="24"/>
  <c r="AX193" i="24"/>
  <c r="AW193" i="24"/>
  <c r="AV193" i="24"/>
  <c r="AU193" i="24"/>
  <c r="AT193" i="24"/>
  <c r="AO193" i="24"/>
  <c r="AN193" i="24"/>
  <c r="AM193" i="24"/>
  <c r="X193" i="24"/>
  <c r="W193" i="24"/>
  <c r="U193" i="24"/>
  <c r="S193" i="24"/>
  <c r="R193" i="24"/>
  <c r="Q193" i="24"/>
  <c r="N193" i="24"/>
  <c r="M193" i="24"/>
  <c r="K193" i="24"/>
  <c r="I193" i="24"/>
  <c r="H193" i="24"/>
  <c r="G193" i="24"/>
  <c r="F193" i="24"/>
  <c r="E193" i="24"/>
  <c r="D193" i="24"/>
  <c r="BP192" i="24"/>
  <c r="BN192" i="24"/>
  <c r="BM192" i="24"/>
  <c r="BH192" i="24"/>
  <c r="BG192" i="24"/>
  <c r="BF192" i="24"/>
  <c r="BE192" i="24"/>
  <c r="BD192" i="24"/>
  <c r="BC192" i="24"/>
  <c r="AC192" i="24" s="1"/>
  <c r="BB192" i="24"/>
  <c r="BA192" i="24"/>
  <c r="AZ192" i="24"/>
  <c r="AY192" i="24"/>
  <c r="AX192" i="24"/>
  <c r="AW192" i="24"/>
  <c r="AV192" i="24"/>
  <c r="AU192" i="24"/>
  <c r="AT192" i="24"/>
  <c r="AO192" i="24"/>
  <c r="AN192" i="24"/>
  <c r="AM192" i="24"/>
  <c r="X192" i="24"/>
  <c r="W192" i="24"/>
  <c r="U192" i="24"/>
  <c r="S192" i="24"/>
  <c r="R192" i="24"/>
  <c r="Q192" i="24"/>
  <c r="N192" i="24"/>
  <c r="M192" i="24"/>
  <c r="K192" i="24"/>
  <c r="I192" i="24"/>
  <c r="H192" i="24"/>
  <c r="G192" i="24"/>
  <c r="F192" i="24"/>
  <c r="E192" i="24"/>
  <c r="D192" i="24"/>
  <c r="BP191" i="24"/>
  <c r="BN191" i="24"/>
  <c r="BM191" i="24"/>
  <c r="BH191" i="24"/>
  <c r="BG191" i="24"/>
  <c r="BF191" i="24"/>
  <c r="BE191" i="24"/>
  <c r="BD191" i="24"/>
  <c r="BC191" i="24"/>
  <c r="AC191" i="24" s="1"/>
  <c r="BB191" i="24"/>
  <c r="BA191" i="24"/>
  <c r="AZ191" i="24"/>
  <c r="AY191" i="24"/>
  <c r="AX191" i="24"/>
  <c r="AW191" i="24"/>
  <c r="AV191" i="24"/>
  <c r="AU191" i="24"/>
  <c r="AT191" i="24"/>
  <c r="AO191" i="24"/>
  <c r="AN191" i="24"/>
  <c r="AM191" i="24"/>
  <c r="X191" i="24"/>
  <c r="W191" i="24"/>
  <c r="U191" i="24"/>
  <c r="S191" i="24"/>
  <c r="R191" i="24"/>
  <c r="Q191" i="24"/>
  <c r="N191" i="24"/>
  <c r="M191" i="24"/>
  <c r="K191" i="24"/>
  <c r="I191" i="24"/>
  <c r="H191" i="24"/>
  <c r="G191" i="24"/>
  <c r="F191" i="24"/>
  <c r="E191" i="24"/>
  <c r="D191" i="24"/>
  <c r="BP190" i="24"/>
  <c r="BN190" i="24"/>
  <c r="BM190" i="24"/>
  <c r="BH190" i="24"/>
  <c r="BG190" i="24"/>
  <c r="BF190" i="24"/>
  <c r="BE190" i="24"/>
  <c r="BD190" i="24"/>
  <c r="BC190" i="24"/>
  <c r="AC190" i="24" s="1"/>
  <c r="BB190" i="24"/>
  <c r="BA190" i="24"/>
  <c r="AZ190" i="24"/>
  <c r="AY190" i="24"/>
  <c r="AX190" i="24"/>
  <c r="AW190" i="24"/>
  <c r="AV190" i="24"/>
  <c r="AU190" i="24"/>
  <c r="AT190" i="24"/>
  <c r="AO190" i="24"/>
  <c r="AN190" i="24"/>
  <c r="AM190" i="24"/>
  <c r="X190" i="24"/>
  <c r="W190" i="24"/>
  <c r="U190" i="24"/>
  <c r="S190" i="24"/>
  <c r="R190" i="24"/>
  <c r="Q190" i="24"/>
  <c r="N190" i="24"/>
  <c r="M190" i="24"/>
  <c r="K190" i="24"/>
  <c r="I190" i="24"/>
  <c r="H190" i="24"/>
  <c r="G190" i="24"/>
  <c r="F190" i="24"/>
  <c r="E190" i="24"/>
  <c r="D190" i="24"/>
  <c r="BP189" i="24"/>
  <c r="BN189" i="24"/>
  <c r="BM189" i="24"/>
  <c r="BH189" i="24"/>
  <c r="BG189" i="24"/>
  <c r="BF189" i="24"/>
  <c r="BE189" i="24"/>
  <c r="BD189" i="24"/>
  <c r="BC189" i="24"/>
  <c r="AC189" i="24" s="1"/>
  <c r="BB189" i="24"/>
  <c r="BA189" i="24"/>
  <c r="AZ189" i="24"/>
  <c r="AY189" i="24"/>
  <c r="AX189" i="24"/>
  <c r="AW189" i="24"/>
  <c r="AV189" i="24"/>
  <c r="AU189" i="24"/>
  <c r="AT189" i="24"/>
  <c r="AO189" i="24"/>
  <c r="AN189" i="24"/>
  <c r="AM189" i="24"/>
  <c r="X189" i="24"/>
  <c r="W189" i="24"/>
  <c r="U189" i="24"/>
  <c r="S189" i="24"/>
  <c r="R189" i="24"/>
  <c r="Q189" i="24"/>
  <c r="N189" i="24"/>
  <c r="M189" i="24"/>
  <c r="K189" i="24"/>
  <c r="I189" i="24"/>
  <c r="H189" i="24"/>
  <c r="G189" i="24"/>
  <c r="F189" i="24"/>
  <c r="E189" i="24"/>
  <c r="D189" i="24"/>
  <c r="BP188" i="24"/>
  <c r="BN188" i="24"/>
  <c r="BM188" i="24"/>
  <c r="BH188" i="24"/>
  <c r="BG188" i="24"/>
  <c r="BF188" i="24"/>
  <c r="BE188" i="24"/>
  <c r="BD188" i="24"/>
  <c r="BC188" i="24"/>
  <c r="AC188" i="24" s="1"/>
  <c r="BB188" i="24"/>
  <c r="BA188" i="24"/>
  <c r="AZ188" i="24"/>
  <c r="AY188" i="24"/>
  <c r="AX188" i="24"/>
  <c r="AW188" i="24"/>
  <c r="AV188" i="24"/>
  <c r="AU188" i="24"/>
  <c r="AT188" i="24"/>
  <c r="AO188" i="24"/>
  <c r="AN188" i="24"/>
  <c r="AM188" i="24"/>
  <c r="X188" i="24"/>
  <c r="W188" i="24"/>
  <c r="U188" i="24"/>
  <c r="S188" i="24"/>
  <c r="R188" i="24"/>
  <c r="Q188" i="24"/>
  <c r="N188" i="24"/>
  <c r="M188" i="24"/>
  <c r="K188" i="24"/>
  <c r="I188" i="24"/>
  <c r="H188" i="24"/>
  <c r="G188" i="24"/>
  <c r="F188" i="24"/>
  <c r="E188" i="24"/>
  <c r="D188" i="24"/>
  <c r="BP187" i="24"/>
  <c r="BN187" i="24"/>
  <c r="BM187" i="24"/>
  <c r="BH187" i="24"/>
  <c r="BG187" i="24"/>
  <c r="BF187" i="24"/>
  <c r="BE187" i="24"/>
  <c r="BD187" i="24"/>
  <c r="BC187" i="24"/>
  <c r="AC187" i="24" s="1"/>
  <c r="BB187" i="24"/>
  <c r="BA187" i="24"/>
  <c r="AZ187" i="24"/>
  <c r="AY187" i="24"/>
  <c r="AX187" i="24"/>
  <c r="AW187" i="24"/>
  <c r="AV187" i="24"/>
  <c r="AU187" i="24"/>
  <c r="AT187" i="24"/>
  <c r="AO187" i="24"/>
  <c r="AN187" i="24"/>
  <c r="AM187" i="24"/>
  <c r="X187" i="24"/>
  <c r="W187" i="24"/>
  <c r="U187" i="24"/>
  <c r="S187" i="24"/>
  <c r="R187" i="24"/>
  <c r="Q187" i="24"/>
  <c r="N187" i="24"/>
  <c r="M187" i="24"/>
  <c r="K187" i="24"/>
  <c r="I187" i="24"/>
  <c r="H187" i="24"/>
  <c r="G187" i="24"/>
  <c r="F187" i="24"/>
  <c r="E187" i="24"/>
  <c r="D187" i="24"/>
  <c r="BP186" i="24"/>
  <c r="BN186" i="24"/>
  <c r="BM186" i="24"/>
  <c r="BH186" i="24"/>
  <c r="BG186" i="24"/>
  <c r="BF186" i="24"/>
  <c r="BE186" i="24"/>
  <c r="BD186" i="24"/>
  <c r="BC186" i="24"/>
  <c r="AC186" i="24" s="1"/>
  <c r="BB186" i="24"/>
  <c r="BA186" i="24"/>
  <c r="AZ186" i="24"/>
  <c r="AY186" i="24"/>
  <c r="AX186" i="24"/>
  <c r="AW186" i="24"/>
  <c r="AV186" i="24"/>
  <c r="AU186" i="24"/>
  <c r="AT186" i="24"/>
  <c r="AO186" i="24"/>
  <c r="AN186" i="24"/>
  <c r="AM186" i="24"/>
  <c r="X186" i="24"/>
  <c r="W186" i="24"/>
  <c r="U186" i="24"/>
  <c r="S186" i="24"/>
  <c r="R186" i="24"/>
  <c r="Q186" i="24"/>
  <c r="N186" i="24"/>
  <c r="M186" i="24"/>
  <c r="K186" i="24"/>
  <c r="I186" i="24"/>
  <c r="H186" i="24"/>
  <c r="G186" i="24"/>
  <c r="F186" i="24"/>
  <c r="E186" i="24"/>
  <c r="D186" i="24"/>
  <c r="BP185" i="24"/>
  <c r="BN185" i="24"/>
  <c r="BM185" i="24"/>
  <c r="BH185" i="24"/>
  <c r="BG185" i="24"/>
  <c r="BF185" i="24"/>
  <c r="BE185" i="24"/>
  <c r="BD185" i="24"/>
  <c r="BC185" i="24"/>
  <c r="AC185" i="24" s="1"/>
  <c r="BB185" i="24"/>
  <c r="BA185" i="24"/>
  <c r="AZ185" i="24"/>
  <c r="AY185" i="24"/>
  <c r="AX185" i="24"/>
  <c r="AW185" i="24"/>
  <c r="AV185" i="24"/>
  <c r="AU185" i="24"/>
  <c r="AT185" i="24"/>
  <c r="AO185" i="24"/>
  <c r="AN185" i="24"/>
  <c r="AM185" i="24"/>
  <c r="X185" i="24"/>
  <c r="W185" i="24"/>
  <c r="U185" i="24"/>
  <c r="S185" i="24"/>
  <c r="R185" i="24"/>
  <c r="Q185" i="24"/>
  <c r="N185" i="24"/>
  <c r="M185" i="24"/>
  <c r="K185" i="24"/>
  <c r="I185" i="24"/>
  <c r="H185" i="24"/>
  <c r="G185" i="24"/>
  <c r="F185" i="24"/>
  <c r="E185" i="24"/>
  <c r="D185" i="24"/>
  <c r="BP184" i="24"/>
  <c r="BN184" i="24"/>
  <c r="BM184" i="24"/>
  <c r="BH184" i="24"/>
  <c r="BG184" i="24"/>
  <c r="BF184" i="24"/>
  <c r="BE184" i="24"/>
  <c r="BD184" i="24"/>
  <c r="BC184" i="24"/>
  <c r="AC184" i="24" s="1"/>
  <c r="BB184" i="24"/>
  <c r="BA184" i="24"/>
  <c r="AZ184" i="24"/>
  <c r="AY184" i="24"/>
  <c r="AX184" i="24"/>
  <c r="AW184" i="24"/>
  <c r="AV184" i="24"/>
  <c r="AU184" i="24"/>
  <c r="AT184" i="24"/>
  <c r="AO184" i="24"/>
  <c r="AN184" i="24"/>
  <c r="AM184" i="24"/>
  <c r="X184" i="24"/>
  <c r="W184" i="24"/>
  <c r="U184" i="24"/>
  <c r="S184" i="24"/>
  <c r="R184" i="24"/>
  <c r="Q184" i="24"/>
  <c r="N184" i="24"/>
  <c r="M184" i="24"/>
  <c r="K184" i="24"/>
  <c r="I184" i="24"/>
  <c r="H184" i="24"/>
  <c r="G184" i="24"/>
  <c r="F184" i="24"/>
  <c r="E184" i="24"/>
  <c r="D184" i="24"/>
  <c r="BP183" i="24"/>
  <c r="BN183" i="24"/>
  <c r="BM183" i="24"/>
  <c r="BH183" i="24"/>
  <c r="BG183" i="24"/>
  <c r="BF183" i="24"/>
  <c r="BE183" i="24"/>
  <c r="BD183" i="24"/>
  <c r="BC183" i="24"/>
  <c r="AC183" i="24" s="1"/>
  <c r="BB183" i="24"/>
  <c r="BA183" i="24"/>
  <c r="AZ183" i="24"/>
  <c r="AY183" i="24"/>
  <c r="AX183" i="24"/>
  <c r="AW183" i="24"/>
  <c r="AV183" i="24"/>
  <c r="AU183" i="24"/>
  <c r="AT183" i="24"/>
  <c r="AO183" i="24"/>
  <c r="AN183" i="24"/>
  <c r="AM183" i="24"/>
  <c r="X183" i="24"/>
  <c r="W183" i="24"/>
  <c r="U183" i="24"/>
  <c r="S183" i="24"/>
  <c r="R183" i="24"/>
  <c r="Q183" i="24"/>
  <c r="N183" i="24"/>
  <c r="M183" i="24"/>
  <c r="K183" i="24"/>
  <c r="I183" i="24"/>
  <c r="H183" i="24"/>
  <c r="G183" i="24"/>
  <c r="F183" i="24"/>
  <c r="E183" i="24"/>
  <c r="D183" i="24"/>
  <c r="BP182" i="24"/>
  <c r="BN182" i="24"/>
  <c r="BM182" i="24"/>
  <c r="BH182" i="24"/>
  <c r="BG182" i="24"/>
  <c r="BF182" i="24"/>
  <c r="BE182" i="24"/>
  <c r="BD182" i="24"/>
  <c r="BC182" i="24"/>
  <c r="AC182" i="24" s="1"/>
  <c r="BB182" i="24"/>
  <c r="BA182" i="24"/>
  <c r="AZ182" i="24"/>
  <c r="AY182" i="24"/>
  <c r="AX182" i="24"/>
  <c r="AW182" i="24"/>
  <c r="AV182" i="24"/>
  <c r="AU182" i="24"/>
  <c r="AT182" i="24"/>
  <c r="AO182" i="24"/>
  <c r="AN182" i="24"/>
  <c r="AM182" i="24"/>
  <c r="X182" i="24"/>
  <c r="W182" i="24"/>
  <c r="U182" i="24"/>
  <c r="S182" i="24"/>
  <c r="R182" i="24"/>
  <c r="Q182" i="24"/>
  <c r="N182" i="24"/>
  <c r="M182" i="24"/>
  <c r="K182" i="24"/>
  <c r="I182" i="24"/>
  <c r="H182" i="24"/>
  <c r="G182" i="24"/>
  <c r="F182" i="24"/>
  <c r="E182" i="24"/>
  <c r="D182" i="24"/>
  <c r="BP181" i="24"/>
  <c r="BN181" i="24"/>
  <c r="BM181" i="24"/>
  <c r="BH181" i="24"/>
  <c r="BG181" i="24"/>
  <c r="BF181" i="24"/>
  <c r="BE181" i="24"/>
  <c r="BD181" i="24"/>
  <c r="BC181" i="24"/>
  <c r="AC181" i="24" s="1"/>
  <c r="BB181" i="24"/>
  <c r="BA181" i="24"/>
  <c r="AZ181" i="24"/>
  <c r="AY181" i="24"/>
  <c r="AX181" i="24"/>
  <c r="AW181" i="24"/>
  <c r="AV181" i="24"/>
  <c r="AU181" i="24"/>
  <c r="AT181" i="24"/>
  <c r="AO181" i="24"/>
  <c r="AN181" i="24"/>
  <c r="AM181" i="24"/>
  <c r="X181" i="24"/>
  <c r="W181" i="24"/>
  <c r="U181" i="24"/>
  <c r="S181" i="24"/>
  <c r="R181" i="24"/>
  <c r="Q181" i="24"/>
  <c r="N181" i="24"/>
  <c r="M181" i="24"/>
  <c r="K181" i="24"/>
  <c r="I181" i="24"/>
  <c r="H181" i="24"/>
  <c r="G181" i="24"/>
  <c r="F181" i="24"/>
  <c r="E181" i="24"/>
  <c r="D181" i="24"/>
  <c r="BP180" i="24"/>
  <c r="BN180" i="24"/>
  <c r="BM180" i="24"/>
  <c r="BH180" i="24"/>
  <c r="BG180" i="24"/>
  <c r="BF180" i="24"/>
  <c r="BE180" i="24"/>
  <c r="BD180" i="24"/>
  <c r="BC180" i="24"/>
  <c r="AC180" i="24" s="1"/>
  <c r="BB180" i="24"/>
  <c r="BA180" i="24"/>
  <c r="AZ180" i="24"/>
  <c r="AY180" i="24"/>
  <c r="AX180" i="24"/>
  <c r="AW180" i="24"/>
  <c r="AV180" i="24"/>
  <c r="AU180" i="24"/>
  <c r="AT180" i="24"/>
  <c r="AO180" i="24"/>
  <c r="AN180" i="24"/>
  <c r="AM180" i="24"/>
  <c r="X180" i="24"/>
  <c r="W180" i="24"/>
  <c r="U180" i="24"/>
  <c r="S180" i="24"/>
  <c r="R180" i="24"/>
  <c r="Q180" i="24"/>
  <c r="N180" i="24"/>
  <c r="M180" i="24"/>
  <c r="K180" i="24"/>
  <c r="I180" i="24"/>
  <c r="H180" i="24"/>
  <c r="G180" i="24"/>
  <c r="F180" i="24"/>
  <c r="E180" i="24"/>
  <c r="D180" i="24"/>
  <c r="BP179" i="24"/>
  <c r="BN179" i="24"/>
  <c r="BM179" i="24"/>
  <c r="BH179" i="24"/>
  <c r="BG179" i="24"/>
  <c r="BF179" i="24"/>
  <c r="BE179" i="24"/>
  <c r="BD179" i="24"/>
  <c r="BC179" i="24"/>
  <c r="AC179" i="24" s="1"/>
  <c r="BB179" i="24"/>
  <c r="BA179" i="24"/>
  <c r="AZ179" i="24"/>
  <c r="AY179" i="24"/>
  <c r="AX179" i="24"/>
  <c r="AW179" i="24"/>
  <c r="AV179" i="24"/>
  <c r="AU179" i="24"/>
  <c r="AT179" i="24"/>
  <c r="AO179" i="24"/>
  <c r="AN179" i="24"/>
  <c r="AM179" i="24"/>
  <c r="X179" i="24"/>
  <c r="W179" i="24"/>
  <c r="U179" i="24"/>
  <c r="S179" i="24"/>
  <c r="R179" i="24"/>
  <c r="Q179" i="24"/>
  <c r="N179" i="24"/>
  <c r="M179" i="24"/>
  <c r="K179" i="24"/>
  <c r="I179" i="24"/>
  <c r="H179" i="24"/>
  <c r="G179" i="24"/>
  <c r="F179" i="24"/>
  <c r="E179" i="24"/>
  <c r="D179" i="24"/>
  <c r="BP178" i="24"/>
  <c r="BN178" i="24"/>
  <c r="BM178" i="24"/>
  <c r="BH178" i="24"/>
  <c r="BG178" i="24"/>
  <c r="BF178" i="24"/>
  <c r="BE178" i="24"/>
  <c r="BD178" i="24"/>
  <c r="BC178" i="24"/>
  <c r="AC178" i="24" s="1"/>
  <c r="BB178" i="24"/>
  <c r="BA178" i="24"/>
  <c r="AZ178" i="24"/>
  <c r="AY178" i="24"/>
  <c r="AX178" i="24"/>
  <c r="AW178" i="24"/>
  <c r="AV178" i="24"/>
  <c r="AU178" i="24"/>
  <c r="AT178" i="24"/>
  <c r="AO178" i="24"/>
  <c r="AN178" i="24"/>
  <c r="AM178" i="24"/>
  <c r="X178" i="24"/>
  <c r="W178" i="24"/>
  <c r="U178" i="24"/>
  <c r="S178" i="24"/>
  <c r="R178" i="24"/>
  <c r="Q178" i="24"/>
  <c r="N178" i="24"/>
  <c r="M178" i="24"/>
  <c r="K178" i="24"/>
  <c r="I178" i="24"/>
  <c r="H178" i="24"/>
  <c r="G178" i="24"/>
  <c r="F178" i="24"/>
  <c r="E178" i="24"/>
  <c r="D178" i="24"/>
  <c r="BP177" i="24"/>
  <c r="BN177" i="24"/>
  <c r="BM177" i="24"/>
  <c r="BH177" i="24"/>
  <c r="BG177" i="24"/>
  <c r="BF177" i="24"/>
  <c r="BE177" i="24"/>
  <c r="BD177" i="24"/>
  <c r="BC177" i="24"/>
  <c r="AC177" i="24" s="1"/>
  <c r="BB177" i="24"/>
  <c r="BA177" i="24"/>
  <c r="AZ177" i="24"/>
  <c r="AY177" i="24"/>
  <c r="AX177" i="24"/>
  <c r="AW177" i="24"/>
  <c r="AV177" i="24"/>
  <c r="AU177" i="24"/>
  <c r="AT177" i="24"/>
  <c r="AO177" i="24"/>
  <c r="AN177" i="24"/>
  <c r="AM177" i="24"/>
  <c r="X177" i="24"/>
  <c r="W177" i="24"/>
  <c r="U177" i="24"/>
  <c r="S177" i="24"/>
  <c r="R177" i="24"/>
  <c r="Q177" i="24"/>
  <c r="N177" i="24"/>
  <c r="M177" i="24"/>
  <c r="K177" i="24"/>
  <c r="I177" i="24"/>
  <c r="H177" i="24"/>
  <c r="G177" i="24"/>
  <c r="F177" i="24"/>
  <c r="E177" i="24"/>
  <c r="D177" i="24"/>
  <c r="BP176" i="24"/>
  <c r="BN176" i="24"/>
  <c r="BM176" i="24"/>
  <c r="BH176" i="24"/>
  <c r="BG176" i="24"/>
  <c r="BF176" i="24"/>
  <c r="BE176" i="24"/>
  <c r="BD176" i="24"/>
  <c r="BC176" i="24"/>
  <c r="AC176" i="24" s="1"/>
  <c r="BB176" i="24"/>
  <c r="BA176" i="24"/>
  <c r="AZ176" i="24"/>
  <c r="AY176" i="24"/>
  <c r="AX176" i="24"/>
  <c r="AW176" i="24"/>
  <c r="AV176" i="24"/>
  <c r="AU176" i="24"/>
  <c r="AT176" i="24"/>
  <c r="AO176" i="24"/>
  <c r="AN176" i="24"/>
  <c r="AM176" i="24"/>
  <c r="X176" i="24"/>
  <c r="W176" i="24"/>
  <c r="U176" i="24"/>
  <c r="S176" i="24"/>
  <c r="R176" i="24"/>
  <c r="Q176" i="24"/>
  <c r="N176" i="24"/>
  <c r="M176" i="24"/>
  <c r="K176" i="24"/>
  <c r="I176" i="24"/>
  <c r="H176" i="24"/>
  <c r="G176" i="24"/>
  <c r="F176" i="24"/>
  <c r="E176" i="24"/>
  <c r="D176" i="24"/>
  <c r="BP175" i="24"/>
  <c r="BN175" i="24"/>
  <c r="BM175" i="24"/>
  <c r="BH175" i="24"/>
  <c r="BG175" i="24"/>
  <c r="BF175" i="24"/>
  <c r="BE175" i="24"/>
  <c r="BD175" i="24"/>
  <c r="BC175" i="24"/>
  <c r="AC175" i="24" s="1"/>
  <c r="BB175" i="24"/>
  <c r="BA175" i="24"/>
  <c r="AZ175" i="24"/>
  <c r="AY175" i="24"/>
  <c r="AX175" i="24"/>
  <c r="AW175" i="24"/>
  <c r="AV175" i="24"/>
  <c r="AU175" i="24"/>
  <c r="AT175" i="24"/>
  <c r="AO175" i="24"/>
  <c r="AN175" i="24"/>
  <c r="AM175" i="24"/>
  <c r="X175" i="24"/>
  <c r="W175" i="24"/>
  <c r="U175" i="24"/>
  <c r="S175" i="24"/>
  <c r="R175" i="24"/>
  <c r="Q175" i="24"/>
  <c r="N175" i="24"/>
  <c r="M175" i="24"/>
  <c r="K175" i="24"/>
  <c r="I175" i="24"/>
  <c r="H175" i="24"/>
  <c r="G175" i="24"/>
  <c r="F175" i="24"/>
  <c r="E175" i="24"/>
  <c r="D175" i="24"/>
  <c r="BP174" i="24"/>
  <c r="BN174" i="24"/>
  <c r="BM174" i="24"/>
  <c r="BH174" i="24"/>
  <c r="BG174" i="24"/>
  <c r="BF174" i="24"/>
  <c r="BE174" i="24"/>
  <c r="BD174" i="24"/>
  <c r="BC174" i="24"/>
  <c r="AC174" i="24" s="1"/>
  <c r="BB174" i="24"/>
  <c r="BA174" i="24"/>
  <c r="AZ174" i="24"/>
  <c r="AY174" i="24"/>
  <c r="AX174" i="24"/>
  <c r="AW174" i="24"/>
  <c r="AV174" i="24"/>
  <c r="AU174" i="24"/>
  <c r="AT174" i="24"/>
  <c r="AO174" i="24"/>
  <c r="AN174" i="24"/>
  <c r="AM174" i="24"/>
  <c r="X174" i="24"/>
  <c r="W174" i="24"/>
  <c r="U174" i="24"/>
  <c r="S174" i="24"/>
  <c r="R174" i="24"/>
  <c r="Q174" i="24"/>
  <c r="N174" i="24"/>
  <c r="M174" i="24"/>
  <c r="K174" i="24"/>
  <c r="I174" i="24"/>
  <c r="H174" i="24"/>
  <c r="G174" i="24"/>
  <c r="F174" i="24"/>
  <c r="E174" i="24"/>
  <c r="D174" i="24"/>
  <c r="BP173" i="24"/>
  <c r="BN173" i="24"/>
  <c r="BM173" i="24"/>
  <c r="BH173" i="24"/>
  <c r="BG173" i="24"/>
  <c r="BF173" i="24"/>
  <c r="BE173" i="24"/>
  <c r="BD173" i="24"/>
  <c r="BC173" i="24"/>
  <c r="AC173" i="24" s="1"/>
  <c r="BB173" i="24"/>
  <c r="BA173" i="24"/>
  <c r="AZ173" i="24"/>
  <c r="AY173" i="24"/>
  <c r="AX173" i="24"/>
  <c r="AW173" i="24"/>
  <c r="AV173" i="24"/>
  <c r="AU173" i="24"/>
  <c r="AT173" i="24"/>
  <c r="AO173" i="24"/>
  <c r="AN173" i="24"/>
  <c r="AM173" i="24"/>
  <c r="X173" i="24"/>
  <c r="W173" i="24"/>
  <c r="U173" i="24"/>
  <c r="S173" i="24"/>
  <c r="R173" i="24"/>
  <c r="Q173" i="24"/>
  <c r="N173" i="24"/>
  <c r="M173" i="24"/>
  <c r="K173" i="24"/>
  <c r="I173" i="24"/>
  <c r="H173" i="24"/>
  <c r="G173" i="24"/>
  <c r="F173" i="24"/>
  <c r="E173" i="24"/>
  <c r="D173" i="24"/>
  <c r="BP172" i="24"/>
  <c r="BN172" i="24"/>
  <c r="BM172" i="24"/>
  <c r="BH172" i="24"/>
  <c r="BG172" i="24"/>
  <c r="BF172" i="24"/>
  <c r="BE172" i="24"/>
  <c r="BD172" i="24"/>
  <c r="BC172" i="24"/>
  <c r="AC172" i="24" s="1"/>
  <c r="BB172" i="24"/>
  <c r="BA172" i="24"/>
  <c r="AZ172" i="24"/>
  <c r="AY172" i="24"/>
  <c r="AX172" i="24"/>
  <c r="AW172" i="24"/>
  <c r="AV172" i="24"/>
  <c r="AU172" i="24"/>
  <c r="AT172" i="24"/>
  <c r="AO172" i="24"/>
  <c r="AN172" i="24"/>
  <c r="AM172" i="24"/>
  <c r="X172" i="24"/>
  <c r="W172" i="24"/>
  <c r="U172" i="24"/>
  <c r="S172" i="24"/>
  <c r="R172" i="24"/>
  <c r="Q172" i="24"/>
  <c r="N172" i="24"/>
  <c r="M172" i="24"/>
  <c r="K172" i="24"/>
  <c r="I172" i="24"/>
  <c r="H172" i="24"/>
  <c r="G172" i="24"/>
  <c r="F172" i="24"/>
  <c r="E172" i="24"/>
  <c r="D172" i="24"/>
  <c r="BP171" i="24"/>
  <c r="BN171" i="24"/>
  <c r="BM171" i="24"/>
  <c r="BH171" i="24"/>
  <c r="BG171" i="24"/>
  <c r="BF171" i="24"/>
  <c r="BE171" i="24"/>
  <c r="BD171" i="24"/>
  <c r="BC171" i="24"/>
  <c r="AC171" i="24" s="1"/>
  <c r="BB171" i="24"/>
  <c r="BA171" i="24"/>
  <c r="AZ171" i="24"/>
  <c r="AY171" i="24"/>
  <c r="AX171" i="24"/>
  <c r="AW171" i="24"/>
  <c r="AV171" i="24"/>
  <c r="AU171" i="24"/>
  <c r="AT171" i="24"/>
  <c r="AO171" i="24"/>
  <c r="AN171" i="24"/>
  <c r="AM171" i="24"/>
  <c r="X171" i="24"/>
  <c r="W171" i="24"/>
  <c r="U171" i="24"/>
  <c r="S171" i="24"/>
  <c r="R171" i="24"/>
  <c r="Q171" i="24"/>
  <c r="N171" i="24"/>
  <c r="M171" i="24"/>
  <c r="K171" i="24"/>
  <c r="I171" i="24"/>
  <c r="H171" i="24"/>
  <c r="G171" i="24"/>
  <c r="F171" i="24"/>
  <c r="E171" i="24"/>
  <c r="D171" i="24"/>
  <c r="BP170" i="24"/>
  <c r="BN170" i="24"/>
  <c r="BM170" i="24"/>
  <c r="BH170" i="24"/>
  <c r="BG170" i="24"/>
  <c r="BF170" i="24"/>
  <c r="BE170" i="24"/>
  <c r="BD170" i="24"/>
  <c r="BC170" i="24"/>
  <c r="AC170" i="24" s="1"/>
  <c r="BB170" i="24"/>
  <c r="BA170" i="24"/>
  <c r="AZ170" i="24"/>
  <c r="AY170" i="24"/>
  <c r="AX170" i="24"/>
  <c r="AW170" i="24"/>
  <c r="AV170" i="24"/>
  <c r="AU170" i="24"/>
  <c r="AT170" i="24"/>
  <c r="AO170" i="24"/>
  <c r="AN170" i="24"/>
  <c r="AM170" i="24"/>
  <c r="X170" i="24"/>
  <c r="W170" i="24"/>
  <c r="U170" i="24"/>
  <c r="S170" i="24"/>
  <c r="R170" i="24"/>
  <c r="Q170" i="24"/>
  <c r="N170" i="24"/>
  <c r="M170" i="24"/>
  <c r="K170" i="24"/>
  <c r="I170" i="24"/>
  <c r="H170" i="24"/>
  <c r="G170" i="24"/>
  <c r="F170" i="24"/>
  <c r="E170" i="24"/>
  <c r="D170" i="24"/>
  <c r="BP169" i="24"/>
  <c r="BN169" i="24"/>
  <c r="BM169" i="24"/>
  <c r="BH169" i="24"/>
  <c r="BG169" i="24"/>
  <c r="BF169" i="24"/>
  <c r="BE169" i="24"/>
  <c r="BD169" i="24"/>
  <c r="BC169" i="24"/>
  <c r="AC169" i="24" s="1"/>
  <c r="BB169" i="24"/>
  <c r="BA169" i="24"/>
  <c r="AZ169" i="24"/>
  <c r="AY169" i="24"/>
  <c r="AX169" i="24"/>
  <c r="AW169" i="24"/>
  <c r="AV169" i="24"/>
  <c r="AU169" i="24"/>
  <c r="AT169" i="24"/>
  <c r="AO169" i="24"/>
  <c r="AN169" i="24"/>
  <c r="AM169" i="24"/>
  <c r="X169" i="24"/>
  <c r="W169" i="24"/>
  <c r="U169" i="24"/>
  <c r="S169" i="24"/>
  <c r="R169" i="24"/>
  <c r="Q169" i="24"/>
  <c r="N169" i="24"/>
  <c r="M169" i="24"/>
  <c r="K169" i="24"/>
  <c r="I169" i="24"/>
  <c r="H169" i="24"/>
  <c r="G169" i="24"/>
  <c r="F169" i="24"/>
  <c r="E169" i="24"/>
  <c r="D169" i="24"/>
  <c r="BP168" i="24"/>
  <c r="BN168" i="24"/>
  <c r="BM168" i="24"/>
  <c r="BH168" i="24"/>
  <c r="BG168" i="24"/>
  <c r="BF168" i="24"/>
  <c r="BE168" i="24"/>
  <c r="BD168" i="24"/>
  <c r="BC168" i="24"/>
  <c r="AC168" i="24" s="1"/>
  <c r="BB168" i="24"/>
  <c r="BA168" i="24"/>
  <c r="AZ168" i="24"/>
  <c r="AY168" i="24"/>
  <c r="AX168" i="24"/>
  <c r="AW168" i="24"/>
  <c r="AV168" i="24"/>
  <c r="AU168" i="24"/>
  <c r="AT168" i="24"/>
  <c r="AO168" i="24"/>
  <c r="AN168" i="24"/>
  <c r="AM168" i="24"/>
  <c r="X168" i="24"/>
  <c r="W168" i="24"/>
  <c r="U168" i="24"/>
  <c r="S168" i="24"/>
  <c r="R168" i="24"/>
  <c r="Q168" i="24"/>
  <c r="N168" i="24"/>
  <c r="M168" i="24"/>
  <c r="K168" i="24"/>
  <c r="I168" i="24"/>
  <c r="H168" i="24"/>
  <c r="G168" i="24"/>
  <c r="F168" i="24"/>
  <c r="E168" i="24"/>
  <c r="D168" i="24"/>
  <c r="BP167" i="24"/>
  <c r="BN167" i="24"/>
  <c r="BM167" i="24"/>
  <c r="BH167" i="24"/>
  <c r="BG167" i="24"/>
  <c r="BF167" i="24"/>
  <c r="BE167" i="24"/>
  <c r="BD167" i="24"/>
  <c r="BC167" i="24"/>
  <c r="AC167" i="24" s="1"/>
  <c r="BB167" i="24"/>
  <c r="BA167" i="24"/>
  <c r="AZ167" i="24"/>
  <c r="AY167" i="24"/>
  <c r="AX167" i="24"/>
  <c r="AW167" i="24"/>
  <c r="AV167" i="24"/>
  <c r="AU167" i="24"/>
  <c r="AT167" i="24"/>
  <c r="AO167" i="24"/>
  <c r="AN167" i="24"/>
  <c r="AM167" i="24"/>
  <c r="X167" i="24"/>
  <c r="W167" i="24"/>
  <c r="U167" i="24"/>
  <c r="S167" i="24"/>
  <c r="R167" i="24"/>
  <c r="Q167" i="24"/>
  <c r="N167" i="24"/>
  <c r="M167" i="24"/>
  <c r="K167" i="24"/>
  <c r="I167" i="24"/>
  <c r="H167" i="24"/>
  <c r="G167" i="24"/>
  <c r="F167" i="24"/>
  <c r="E167" i="24"/>
  <c r="D167" i="24"/>
  <c r="BP166" i="24"/>
  <c r="BN166" i="24"/>
  <c r="BM166" i="24"/>
  <c r="BH166" i="24"/>
  <c r="BG166" i="24"/>
  <c r="BF166" i="24"/>
  <c r="BE166" i="24"/>
  <c r="BD166" i="24"/>
  <c r="BC166" i="24"/>
  <c r="AC166" i="24" s="1"/>
  <c r="BB166" i="24"/>
  <c r="BA166" i="24"/>
  <c r="AZ166" i="24"/>
  <c r="AY166" i="24"/>
  <c r="AX166" i="24"/>
  <c r="AW166" i="24"/>
  <c r="AV166" i="24"/>
  <c r="AU166" i="24"/>
  <c r="AT166" i="24"/>
  <c r="AO166" i="24"/>
  <c r="AN166" i="24"/>
  <c r="AM166" i="24"/>
  <c r="X166" i="24"/>
  <c r="W166" i="24"/>
  <c r="U166" i="24"/>
  <c r="S166" i="24"/>
  <c r="R166" i="24"/>
  <c r="Q166" i="24"/>
  <c r="N166" i="24"/>
  <c r="M166" i="24"/>
  <c r="K166" i="24"/>
  <c r="I166" i="24"/>
  <c r="H166" i="24"/>
  <c r="G166" i="24"/>
  <c r="F166" i="24"/>
  <c r="E166" i="24"/>
  <c r="D166" i="24"/>
  <c r="BP165" i="24"/>
  <c r="BN165" i="24"/>
  <c r="BM165" i="24"/>
  <c r="BH165" i="24"/>
  <c r="BG165" i="24"/>
  <c r="BF165" i="24"/>
  <c r="BE165" i="24"/>
  <c r="BD165" i="24"/>
  <c r="BC165" i="24"/>
  <c r="AC165" i="24" s="1"/>
  <c r="BB165" i="24"/>
  <c r="BA165" i="24"/>
  <c r="AZ165" i="24"/>
  <c r="AY165" i="24"/>
  <c r="AX165" i="24"/>
  <c r="AW165" i="24"/>
  <c r="AV165" i="24"/>
  <c r="AU165" i="24"/>
  <c r="AT165" i="24"/>
  <c r="AO165" i="24"/>
  <c r="AN165" i="24"/>
  <c r="AM165" i="24"/>
  <c r="X165" i="24"/>
  <c r="W165" i="24"/>
  <c r="U165" i="24"/>
  <c r="S165" i="24"/>
  <c r="R165" i="24"/>
  <c r="Q165" i="24"/>
  <c r="N165" i="24"/>
  <c r="M165" i="24"/>
  <c r="K165" i="24"/>
  <c r="I165" i="24"/>
  <c r="H165" i="24"/>
  <c r="G165" i="24"/>
  <c r="F165" i="24"/>
  <c r="E165" i="24"/>
  <c r="D165" i="24"/>
  <c r="BP164" i="24"/>
  <c r="BN164" i="24"/>
  <c r="BM164" i="24"/>
  <c r="BH164" i="24"/>
  <c r="BG164" i="24"/>
  <c r="BF164" i="24"/>
  <c r="BE164" i="24"/>
  <c r="BD164" i="24"/>
  <c r="BC164" i="24"/>
  <c r="AC164" i="24" s="1"/>
  <c r="BB164" i="24"/>
  <c r="BA164" i="24"/>
  <c r="AZ164" i="24"/>
  <c r="AY164" i="24"/>
  <c r="AX164" i="24"/>
  <c r="AW164" i="24"/>
  <c r="AV164" i="24"/>
  <c r="AU164" i="24"/>
  <c r="AT164" i="24"/>
  <c r="AO164" i="24"/>
  <c r="AN164" i="24"/>
  <c r="AM164" i="24"/>
  <c r="X164" i="24"/>
  <c r="W164" i="24"/>
  <c r="U164" i="24"/>
  <c r="S164" i="24"/>
  <c r="R164" i="24"/>
  <c r="Q164" i="24"/>
  <c r="N164" i="24"/>
  <c r="M164" i="24"/>
  <c r="K164" i="24"/>
  <c r="I164" i="24"/>
  <c r="H164" i="24"/>
  <c r="G164" i="24"/>
  <c r="F164" i="24"/>
  <c r="E164" i="24"/>
  <c r="D164" i="24"/>
  <c r="BP163" i="24"/>
  <c r="BN163" i="24"/>
  <c r="BM163" i="24"/>
  <c r="BH163" i="24"/>
  <c r="BG163" i="24"/>
  <c r="BF163" i="24"/>
  <c r="BE163" i="24"/>
  <c r="BD163" i="24"/>
  <c r="BC163" i="24"/>
  <c r="AC163" i="24" s="1"/>
  <c r="BB163" i="24"/>
  <c r="BA163" i="24"/>
  <c r="AZ163" i="24"/>
  <c r="AY163" i="24"/>
  <c r="AX163" i="24"/>
  <c r="AW163" i="24"/>
  <c r="AV163" i="24"/>
  <c r="AU163" i="24"/>
  <c r="AT163" i="24"/>
  <c r="AO163" i="24"/>
  <c r="AN163" i="24"/>
  <c r="AM163" i="24"/>
  <c r="X163" i="24"/>
  <c r="W163" i="24"/>
  <c r="U163" i="24"/>
  <c r="S163" i="24"/>
  <c r="R163" i="24"/>
  <c r="Q163" i="24"/>
  <c r="N163" i="24"/>
  <c r="M163" i="24"/>
  <c r="K163" i="24"/>
  <c r="I163" i="24"/>
  <c r="H163" i="24"/>
  <c r="G163" i="24"/>
  <c r="F163" i="24"/>
  <c r="E163" i="24"/>
  <c r="D163" i="24"/>
  <c r="BP162" i="24"/>
  <c r="BN162" i="24"/>
  <c r="BM162" i="24"/>
  <c r="BH162" i="24"/>
  <c r="BG162" i="24"/>
  <c r="BF162" i="24"/>
  <c r="BE162" i="24"/>
  <c r="BD162" i="24"/>
  <c r="BC162" i="24"/>
  <c r="AC162" i="24" s="1"/>
  <c r="BB162" i="24"/>
  <c r="BA162" i="24"/>
  <c r="AZ162" i="24"/>
  <c r="AY162" i="24"/>
  <c r="AX162" i="24"/>
  <c r="AW162" i="24"/>
  <c r="AV162" i="24"/>
  <c r="AU162" i="24"/>
  <c r="AT162" i="24"/>
  <c r="AO162" i="24"/>
  <c r="AN162" i="24"/>
  <c r="AM162" i="24"/>
  <c r="X162" i="24"/>
  <c r="W162" i="24"/>
  <c r="U162" i="24"/>
  <c r="S162" i="24"/>
  <c r="R162" i="24"/>
  <c r="Q162" i="24"/>
  <c r="N162" i="24"/>
  <c r="M162" i="24"/>
  <c r="K162" i="24"/>
  <c r="I162" i="24"/>
  <c r="H162" i="24"/>
  <c r="G162" i="24"/>
  <c r="F162" i="24"/>
  <c r="E162" i="24"/>
  <c r="D162" i="24"/>
  <c r="BP161" i="24"/>
  <c r="BN161" i="24"/>
  <c r="BM161" i="24"/>
  <c r="BH161" i="24"/>
  <c r="BG161" i="24"/>
  <c r="BF161" i="24"/>
  <c r="BE161" i="24"/>
  <c r="BD161" i="24"/>
  <c r="BC161" i="24"/>
  <c r="AC161" i="24" s="1"/>
  <c r="BB161" i="24"/>
  <c r="BA161" i="24"/>
  <c r="AZ161" i="24"/>
  <c r="AY161" i="24"/>
  <c r="AX161" i="24"/>
  <c r="AW161" i="24"/>
  <c r="AV161" i="24"/>
  <c r="AU161" i="24"/>
  <c r="AT161" i="24"/>
  <c r="AO161" i="24"/>
  <c r="AN161" i="24"/>
  <c r="AM161" i="24"/>
  <c r="X161" i="24"/>
  <c r="W161" i="24"/>
  <c r="U161" i="24"/>
  <c r="S161" i="24"/>
  <c r="R161" i="24"/>
  <c r="Q161" i="24"/>
  <c r="N161" i="24"/>
  <c r="M161" i="24"/>
  <c r="K161" i="24"/>
  <c r="I161" i="24"/>
  <c r="H161" i="24"/>
  <c r="G161" i="24"/>
  <c r="F161" i="24"/>
  <c r="E161" i="24"/>
  <c r="D161" i="24"/>
  <c r="BP160" i="24"/>
  <c r="BN160" i="24"/>
  <c r="BM160" i="24"/>
  <c r="BH160" i="24"/>
  <c r="BG160" i="24"/>
  <c r="BF160" i="24"/>
  <c r="BE160" i="24"/>
  <c r="BD160" i="24"/>
  <c r="BC160" i="24"/>
  <c r="AC160" i="24" s="1"/>
  <c r="BB160" i="24"/>
  <c r="BA160" i="24"/>
  <c r="AZ160" i="24"/>
  <c r="AY160" i="24"/>
  <c r="AX160" i="24"/>
  <c r="AW160" i="24"/>
  <c r="AV160" i="24"/>
  <c r="AU160" i="24"/>
  <c r="AT160" i="24"/>
  <c r="AO160" i="24"/>
  <c r="AN160" i="24"/>
  <c r="AM160" i="24"/>
  <c r="X160" i="24"/>
  <c r="W160" i="24"/>
  <c r="U160" i="24"/>
  <c r="S160" i="24"/>
  <c r="R160" i="24"/>
  <c r="Q160" i="24"/>
  <c r="N160" i="24"/>
  <c r="M160" i="24"/>
  <c r="K160" i="24"/>
  <c r="I160" i="24"/>
  <c r="H160" i="24"/>
  <c r="G160" i="24"/>
  <c r="F160" i="24"/>
  <c r="E160" i="24"/>
  <c r="D160" i="24"/>
  <c r="BP159" i="24"/>
  <c r="BN159" i="24"/>
  <c r="BM159" i="24"/>
  <c r="BH159" i="24"/>
  <c r="BG159" i="24"/>
  <c r="BF159" i="24"/>
  <c r="BE159" i="24"/>
  <c r="BD159" i="24"/>
  <c r="BC159" i="24"/>
  <c r="AC159" i="24" s="1"/>
  <c r="BB159" i="24"/>
  <c r="BA159" i="24"/>
  <c r="AZ159" i="24"/>
  <c r="AY159" i="24"/>
  <c r="AX159" i="24"/>
  <c r="AW159" i="24"/>
  <c r="AV159" i="24"/>
  <c r="AU159" i="24"/>
  <c r="AT159" i="24"/>
  <c r="AO159" i="24"/>
  <c r="AN159" i="24"/>
  <c r="AM159" i="24"/>
  <c r="X159" i="24"/>
  <c r="W159" i="24"/>
  <c r="U159" i="24"/>
  <c r="S159" i="24"/>
  <c r="R159" i="24"/>
  <c r="Q159" i="24"/>
  <c r="N159" i="24"/>
  <c r="M159" i="24"/>
  <c r="K159" i="24"/>
  <c r="I159" i="24"/>
  <c r="H159" i="24"/>
  <c r="G159" i="24"/>
  <c r="F159" i="24"/>
  <c r="E159" i="24"/>
  <c r="D159" i="24"/>
  <c r="BP158" i="24"/>
  <c r="BN158" i="24"/>
  <c r="BM158" i="24"/>
  <c r="BH158" i="24"/>
  <c r="BG158" i="24"/>
  <c r="BF158" i="24"/>
  <c r="BE158" i="24"/>
  <c r="BD158" i="24"/>
  <c r="BC158" i="24"/>
  <c r="AC158" i="24" s="1"/>
  <c r="BB158" i="24"/>
  <c r="BA158" i="24"/>
  <c r="AZ158" i="24"/>
  <c r="AY158" i="24"/>
  <c r="AX158" i="24"/>
  <c r="AW158" i="24"/>
  <c r="AV158" i="24"/>
  <c r="AU158" i="24"/>
  <c r="AT158" i="24"/>
  <c r="AO158" i="24"/>
  <c r="AN158" i="24"/>
  <c r="AM158" i="24"/>
  <c r="X158" i="24"/>
  <c r="W158" i="24"/>
  <c r="U158" i="24"/>
  <c r="S158" i="24"/>
  <c r="R158" i="24"/>
  <c r="Q158" i="24"/>
  <c r="N158" i="24"/>
  <c r="M158" i="24"/>
  <c r="K158" i="24"/>
  <c r="I158" i="24"/>
  <c r="H158" i="24"/>
  <c r="G158" i="24"/>
  <c r="F158" i="24"/>
  <c r="E158" i="24"/>
  <c r="D158" i="24"/>
  <c r="BP157" i="24"/>
  <c r="BN157" i="24"/>
  <c r="BM157" i="24"/>
  <c r="BH157" i="24"/>
  <c r="BG157" i="24"/>
  <c r="BF157" i="24"/>
  <c r="BE157" i="24"/>
  <c r="BD157" i="24"/>
  <c r="BC157" i="24"/>
  <c r="AC157" i="24" s="1"/>
  <c r="BB157" i="24"/>
  <c r="BA157" i="24"/>
  <c r="AZ157" i="24"/>
  <c r="AY157" i="24"/>
  <c r="AX157" i="24"/>
  <c r="AW157" i="24"/>
  <c r="AV157" i="24"/>
  <c r="AU157" i="24"/>
  <c r="AT157" i="24"/>
  <c r="AO157" i="24"/>
  <c r="AN157" i="24"/>
  <c r="AM157" i="24"/>
  <c r="X157" i="24"/>
  <c r="W157" i="24"/>
  <c r="U157" i="24"/>
  <c r="S157" i="24"/>
  <c r="R157" i="24"/>
  <c r="Q157" i="24"/>
  <c r="N157" i="24"/>
  <c r="M157" i="24"/>
  <c r="K157" i="24"/>
  <c r="I157" i="24"/>
  <c r="H157" i="24"/>
  <c r="G157" i="24"/>
  <c r="F157" i="24"/>
  <c r="E157" i="24"/>
  <c r="D157" i="24"/>
  <c r="BP156" i="24"/>
  <c r="BN156" i="24"/>
  <c r="BM156" i="24"/>
  <c r="BH156" i="24"/>
  <c r="BG156" i="24"/>
  <c r="BF156" i="24"/>
  <c r="BE156" i="24"/>
  <c r="BD156" i="24"/>
  <c r="BC156" i="24"/>
  <c r="AC156" i="24" s="1"/>
  <c r="BB156" i="24"/>
  <c r="BA156" i="24"/>
  <c r="AZ156" i="24"/>
  <c r="AY156" i="24"/>
  <c r="AX156" i="24"/>
  <c r="AW156" i="24"/>
  <c r="AV156" i="24"/>
  <c r="AU156" i="24"/>
  <c r="AT156" i="24"/>
  <c r="AO156" i="24"/>
  <c r="AN156" i="24"/>
  <c r="AM156" i="24"/>
  <c r="X156" i="24"/>
  <c r="W156" i="24"/>
  <c r="U156" i="24"/>
  <c r="S156" i="24"/>
  <c r="R156" i="24"/>
  <c r="Q156" i="24"/>
  <c r="N156" i="24"/>
  <c r="M156" i="24"/>
  <c r="K156" i="24"/>
  <c r="I156" i="24"/>
  <c r="H156" i="24"/>
  <c r="G156" i="24"/>
  <c r="F156" i="24"/>
  <c r="E156" i="24"/>
  <c r="D156" i="24"/>
  <c r="BP155" i="24"/>
  <c r="BN155" i="24"/>
  <c r="BM155" i="24"/>
  <c r="BH155" i="24"/>
  <c r="BG155" i="24"/>
  <c r="BF155" i="24"/>
  <c r="BE155" i="24"/>
  <c r="BD155" i="24"/>
  <c r="BC155" i="24"/>
  <c r="AC155" i="24" s="1"/>
  <c r="BB155" i="24"/>
  <c r="BA155" i="24"/>
  <c r="AZ155" i="24"/>
  <c r="AY155" i="24"/>
  <c r="AX155" i="24"/>
  <c r="AW155" i="24"/>
  <c r="AV155" i="24"/>
  <c r="AU155" i="24"/>
  <c r="AT155" i="24"/>
  <c r="AO155" i="24"/>
  <c r="AN155" i="24"/>
  <c r="AM155" i="24"/>
  <c r="X155" i="24"/>
  <c r="W155" i="24"/>
  <c r="U155" i="24"/>
  <c r="S155" i="24"/>
  <c r="R155" i="24"/>
  <c r="Q155" i="24"/>
  <c r="N155" i="24"/>
  <c r="M155" i="24"/>
  <c r="K155" i="24"/>
  <c r="I155" i="24"/>
  <c r="H155" i="24"/>
  <c r="G155" i="24"/>
  <c r="F155" i="24"/>
  <c r="E155" i="24"/>
  <c r="D155" i="24"/>
  <c r="BP154" i="24"/>
  <c r="BN154" i="24"/>
  <c r="BM154" i="24"/>
  <c r="BH154" i="24"/>
  <c r="BG154" i="24"/>
  <c r="BF154" i="24"/>
  <c r="BE154" i="24"/>
  <c r="BD154" i="24"/>
  <c r="BC154" i="24"/>
  <c r="AC154" i="24" s="1"/>
  <c r="BB154" i="24"/>
  <c r="BA154" i="24"/>
  <c r="AZ154" i="24"/>
  <c r="AY154" i="24"/>
  <c r="AX154" i="24"/>
  <c r="AW154" i="24"/>
  <c r="AV154" i="24"/>
  <c r="AU154" i="24"/>
  <c r="AT154" i="24"/>
  <c r="AO154" i="24"/>
  <c r="AN154" i="24"/>
  <c r="AM154" i="24"/>
  <c r="X154" i="24"/>
  <c r="W154" i="24"/>
  <c r="U154" i="24"/>
  <c r="S154" i="24"/>
  <c r="R154" i="24"/>
  <c r="Q154" i="24"/>
  <c r="N154" i="24"/>
  <c r="M154" i="24"/>
  <c r="K154" i="24"/>
  <c r="I154" i="24"/>
  <c r="H154" i="24"/>
  <c r="G154" i="24"/>
  <c r="F154" i="24"/>
  <c r="E154" i="24"/>
  <c r="D154" i="24"/>
  <c r="BP153" i="24"/>
  <c r="BN153" i="24"/>
  <c r="BM153" i="24"/>
  <c r="BH153" i="24"/>
  <c r="BG153" i="24"/>
  <c r="BF153" i="24"/>
  <c r="BE153" i="24"/>
  <c r="BD153" i="24"/>
  <c r="BC153" i="24"/>
  <c r="AC153" i="24" s="1"/>
  <c r="BB153" i="24"/>
  <c r="BA153" i="24"/>
  <c r="AZ153" i="24"/>
  <c r="AY153" i="24"/>
  <c r="AX153" i="24"/>
  <c r="AW153" i="24"/>
  <c r="AV153" i="24"/>
  <c r="AU153" i="24"/>
  <c r="AT153" i="24"/>
  <c r="AO153" i="24"/>
  <c r="AN153" i="24"/>
  <c r="AM153" i="24"/>
  <c r="X153" i="24"/>
  <c r="W153" i="24"/>
  <c r="U153" i="24"/>
  <c r="S153" i="24"/>
  <c r="R153" i="24"/>
  <c r="Q153" i="24"/>
  <c r="N153" i="24"/>
  <c r="M153" i="24"/>
  <c r="K153" i="24"/>
  <c r="I153" i="24"/>
  <c r="H153" i="24"/>
  <c r="G153" i="24"/>
  <c r="F153" i="24"/>
  <c r="E153" i="24"/>
  <c r="D153" i="24"/>
  <c r="BP152" i="24"/>
  <c r="BN152" i="24"/>
  <c r="BM152" i="24"/>
  <c r="BH152" i="24"/>
  <c r="BG152" i="24"/>
  <c r="BF152" i="24"/>
  <c r="BE152" i="24"/>
  <c r="BD152" i="24"/>
  <c r="BC152" i="24"/>
  <c r="AC152" i="24" s="1"/>
  <c r="BB152" i="24"/>
  <c r="BA152" i="24"/>
  <c r="AZ152" i="24"/>
  <c r="AY152" i="24"/>
  <c r="AX152" i="24"/>
  <c r="AW152" i="24"/>
  <c r="AV152" i="24"/>
  <c r="AU152" i="24"/>
  <c r="AT152" i="24"/>
  <c r="AO152" i="24"/>
  <c r="AN152" i="24"/>
  <c r="AM152" i="24"/>
  <c r="X152" i="24"/>
  <c r="W152" i="24"/>
  <c r="U152" i="24"/>
  <c r="S152" i="24"/>
  <c r="R152" i="24"/>
  <c r="Q152" i="24"/>
  <c r="N152" i="24"/>
  <c r="M152" i="24"/>
  <c r="K152" i="24"/>
  <c r="I152" i="24"/>
  <c r="H152" i="24"/>
  <c r="G152" i="24"/>
  <c r="F152" i="24"/>
  <c r="E152" i="24"/>
  <c r="D152" i="24"/>
  <c r="BP151" i="24"/>
  <c r="BN151" i="24"/>
  <c r="BM151" i="24"/>
  <c r="BH151" i="24"/>
  <c r="BG151" i="24"/>
  <c r="BF151" i="24"/>
  <c r="BE151" i="24"/>
  <c r="BD151" i="24"/>
  <c r="BC151" i="24"/>
  <c r="AC151" i="24" s="1"/>
  <c r="BB151" i="24"/>
  <c r="BA151" i="24"/>
  <c r="AZ151" i="24"/>
  <c r="AY151" i="24"/>
  <c r="AX151" i="24"/>
  <c r="AW151" i="24"/>
  <c r="AV151" i="24"/>
  <c r="AU151" i="24"/>
  <c r="AT151" i="24"/>
  <c r="AO151" i="24"/>
  <c r="AN151" i="24"/>
  <c r="AM151" i="24"/>
  <c r="X151" i="24"/>
  <c r="W151" i="24"/>
  <c r="U151" i="24"/>
  <c r="S151" i="24"/>
  <c r="R151" i="24"/>
  <c r="Q151" i="24"/>
  <c r="N151" i="24"/>
  <c r="M151" i="24"/>
  <c r="K151" i="24"/>
  <c r="I151" i="24"/>
  <c r="H151" i="24"/>
  <c r="G151" i="24"/>
  <c r="F151" i="24"/>
  <c r="E151" i="24"/>
  <c r="D151" i="24"/>
  <c r="BP150" i="24"/>
  <c r="BN150" i="24"/>
  <c r="BM150" i="24"/>
  <c r="BH150" i="24"/>
  <c r="BG150" i="24"/>
  <c r="BF150" i="24"/>
  <c r="BE150" i="24"/>
  <c r="BD150" i="24"/>
  <c r="BC150" i="24"/>
  <c r="AC150" i="24" s="1"/>
  <c r="BB150" i="24"/>
  <c r="BA150" i="24"/>
  <c r="AZ150" i="24"/>
  <c r="AY150" i="24"/>
  <c r="AX150" i="24"/>
  <c r="AW150" i="24"/>
  <c r="AV150" i="24"/>
  <c r="AU150" i="24"/>
  <c r="AT150" i="24"/>
  <c r="AO150" i="24"/>
  <c r="AN150" i="24"/>
  <c r="AM150" i="24"/>
  <c r="X150" i="24"/>
  <c r="W150" i="24"/>
  <c r="U150" i="24"/>
  <c r="S150" i="24"/>
  <c r="R150" i="24"/>
  <c r="Q150" i="24"/>
  <c r="N150" i="24"/>
  <c r="M150" i="24"/>
  <c r="K150" i="24"/>
  <c r="I150" i="24"/>
  <c r="H150" i="24"/>
  <c r="G150" i="24"/>
  <c r="F150" i="24"/>
  <c r="E150" i="24"/>
  <c r="D150" i="24"/>
  <c r="BP149" i="24"/>
  <c r="BN149" i="24"/>
  <c r="BM149" i="24"/>
  <c r="BH149" i="24"/>
  <c r="BG149" i="24"/>
  <c r="BF149" i="24"/>
  <c r="BE149" i="24"/>
  <c r="BD149" i="24"/>
  <c r="BC149" i="24"/>
  <c r="AC149" i="24" s="1"/>
  <c r="BB149" i="24"/>
  <c r="BA149" i="24"/>
  <c r="AZ149" i="24"/>
  <c r="AY149" i="24"/>
  <c r="AX149" i="24"/>
  <c r="AW149" i="24"/>
  <c r="AV149" i="24"/>
  <c r="AU149" i="24"/>
  <c r="AT149" i="24"/>
  <c r="AO149" i="24"/>
  <c r="AN149" i="24"/>
  <c r="AM149" i="24"/>
  <c r="X149" i="24"/>
  <c r="W149" i="24"/>
  <c r="U149" i="24"/>
  <c r="S149" i="24"/>
  <c r="R149" i="24"/>
  <c r="Q149" i="24"/>
  <c r="N149" i="24"/>
  <c r="M149" i="24"/>
  <c r="K149" i="24"/>
  <c r="I149" i="24"/>
  <c r="H149" i="24"/>
  <c r="G149" i="24"/>
  <c r="F149" i="24"/>
  <c r="E149" i="24"/>
  <c r="D149" i="24"/>
  <c r="BP148" i="24"/>
  <c r="BN148" i="24"/>
  <c r="BM148" i="24"/>
  <c r="BH148" i="24"/>
  <c r="BG148" i="24"/>
  <c r="BF148" i="24"/>
  <c r="BE148" i="24"/>
  <c r="BD148" i="24"/>
  <c r="BC148" i="24"/>
  <c r="AC148" i="24" s="1"/>
  <c r="BB148" i="24"/>
  <c r="BA148" i="24"/>
  <c r="AZ148" i="24"/>
  <c r="AY148" i="24"/>
  <c r="AX148" i="24"/>
  <c r="AW148" i="24"/>
  <c r="AV148" i="24"/>
  <c r="AU148" i="24"/>
  <c r="AT148" i="24"/>
  <c r="AO148" i="24"/>
  <c r="AN148" i="24"/>
  <c r="AM148" i="24"/>
  <c r="X148" i="24"/>
  <c r="W148" i="24"/>
  <c r="U148" i="24"/>
  <c r="S148" i="24"/>
  <c r="R148" i="24"/>
  <c r="Q148" i="24"/>
  <c r="N148" i="24"/>
  <c r="M148" i="24"/>
  <c r="K148" i="24"/>
  <c r="I148" i="24"/>
  <c r="H148" i="24"/>
  <c r="G148" i="24"/>
  <c r="F148" i="24"/>
  <c r="E148" i="24"/>
  <c r="D148" i="24"/>
  <c r="BP147" i="24"/>
  <c r="BN147" i="24"/>
  <c r="BM147" i="24"/>
  <c r="BH147" i="24"/>
  <c r="BG147" i="24"/>
  <c r="BF147" i="24"/>
  <c r="BE147" i="24"/>
  <c r="BD147" i="24"/>
  <c r="BC147" i="24"/>
  <c r="AC147" i="24" s="1"/>
  <c r="BB147" i="24"/>
  <c r="BA147" i="24"/>
  <c r="AZ147" i="24"/>
  <c r="AY147" i="24"/>
  <c r="AX147" i="24"/>
  <c r="AW147" i="24"/>
  <c r="AV147" i="24"/>
  <c r="AU147" i="24"/>
  <c r="AT147" i="24"/>
  <c r="AO147" i="24"/>
  <c r="AN147" i="24"/>
  <c r="AM147" i="24"/>
  <c r="X147" i="24"/>
  <c r="W147" i="24"/>
  <c r="U147" i="24"/>
  <c r="S147" i="24"/>
  <c r="R147" i="24"/>
  <c r="Q147" i="24"/>
  <c r="N147" i="24"/>
  <c r="M147" i="24"/>
  <c r="K147" i="24"/>
  <c r="I147" i="24"/>
  <c r="H147" i="24"/>
  <c r="G147" i="24"/>
  <c r="F147" i="24"/>
  <c r="E147" i="24"/>
  <c r="D147" i="24"/>
  <c r="BP146" i="24"/>
  <c r="BN146" i="24"/>
  <c r="BM146" i="24"/>
  <c r="BH146" i="24"/>
  <c r="BG146" i="24"/>
  <c r="BF146" i="24"/>
  <c r="BE146" i="24"/>
  <c r="BD146" i="24"/>
  <c r="BC146" i="24"/>
  <c r="AC146" i="24" s="1"/>
  <c r="BB146" i="24"/>
  <c r="BA146" i="24"/>
  <c r="AZ146" i="24"/>
  <c r="AY146" i="24"/>
  <c r="AX146" i="24"/>
  <c r="AW146" i="24"/>
  <c r="AV146" i="24"/>
  <c r="AU146" i="24"/>
  <c r="AT146" i="24"/>
  <c r="AO146" i="24"/>
  <c r="AN146" i="24"/>
  <c r="AM146" i="24"/>
  <c r="X146" i="24"/>
  <c r="W146" i="24"/>
  <c r="U146" i="24"/>
  <c r="S146" i="24"/>
  <c r="R146" i="24"/>
  <c r="Q146" i="24"/>
  <c r="N146" i="24"/>
  <c r="M146" i="24"/>
  <c r="K146" i="24"/>
  <c r="I146" i="24"/>
  <c r="H146" i="24"/>
  <c r="G146" i="24"/>
  <c r="F146" i="24"/>
  <c r="E146" i="24"/>
  <c r="D146" i="24"/>
  <c r="BP145" i="24"/>
  <c r="BN145" i="24"/>
  <c r="BM145" i="24"/>
  <c r="BH145" i="24"/>
  <c r="BG145" i="24"/>
  <c r="BF145" i="24"/>
  <c r="BE145" i="24"/>
  <c r="BD145" i="24"/>
  <c r="BC145" i="24"/>
  <c r="AC145" i="24" s="1"/>
  <c r="BB145" i="24"/>
  <c r="BA145" i="24"/>
  <c r="AZ145" i="24"/>
  <c r="AY145" i="24"/>
  <c r="AX145" i="24"/>
  <c r="AW145" i="24"/>
  <c r="AV145" i="24"/>
  <c r="AU145" i="24"/>
  <c r="AT145" i="24"/>
  <c r="AO145" i="24"/>
  <c r="AN145" i="24"/>
  <c r="AM145" i="24"/>
  <c r="X145" i="24"/>
  <c r="W145" i="24"/>
  <c r="U145" i="24"/>
  <c r="S145" i="24"/>
  <c r="R145" i="24"/>
  <c r="Q145" i="24"/>
  <c r="N145" i="24"/>
  <c r="M145" i="24"/>
  <c r="K145" i="24"/>
  <c r="I145" i="24"/>
  <c r="H145" i="24"/>
  <c r="G145" i="24"/>
  <c r="F145" i="24"/>
  <c r="E145" i="24"/>
  <c r="D145" i="24"/>
  <c r="BP144" i="24"/>
  <c r="BN144" i="24"/>
  <c r="BM144" i="24"/>
  <c r="BH144" i="24"/>
  <c r="BG144" i="24"/>
  <c r="BF144" i="24"/>
  <c r="BE144" i="24"/>
  <c r="BD144" i="24"/>
  <c r="BC144" i="24"/>
  <c r="AC144" i="24" s="1"/>
  <c r="BB144" i="24"/>
  <c r="BA144" i="24"/>
  <c r="AZ144" i="24"/>
  <c r="AY144" i="24"/>
  <c r="AX144" i="24"/>
  <c r="AW144" i="24"/>
  <c r="AV144" i="24"/>
  <c r="AU144" i="24"/>
  <c r="AT144" i="24"/>
  <c r="AO144" i="24"/>
  <c r="AN144" i="24"/>
  <c r="AM144" i="24"/>
  <c r="X144" i="24"/>
  <c r="W144" i="24"/>
  <c r="U144" i="24"/>
  <c r="S144" i="24"/>
  <c r="R144" i="24"/>
  <c r="Q144" i="24"/>
  <c r="N144" i="24"/>
  <c r="M144" i="24"/>
  <c r="K144" i="24"/>
  <c r="I144" i="24"/>
  <c r="H144" i="24"/>
  <c r="G144" i="24"/>
  <c r="F144" i="24"/>
  <c r="E144" i="24"/>
  <c r="D144" i="24"/>
  <c r="BP143" i="24"/>
  <c r="BN143" i="24"/>
  <c r="BM143" i="24"/>
  <c r="BH143" i="24"/>
  <c r="BG143" i="24"/>
  <c r="BF143" i="24"/>
  <c r="BE143" i="24"/>
  <c r="BD143" i="24"/>
  <c r="BC143" i="24"/>
  <c r="AC143" i="24" s="1"/>
  <c r="BB143" i="24"/>
  <c r="BA143" i="24"/>
  <c r="AZ143" i="24"/>
  <c r="AY143" i="24"/>
  <c r="AX143" i="24"/>
  <c r="AW143" i="24"/>
  <c r="AV143" i="24"/>
  <c r="AU143" i="24"/>
  <c r="AT143" i="24"/>
  <c r="AO143" i="24"/>
  <c r="AN143" i="24"/>
  <c r="AM143" i="24"/>
  <c r="X143" i="24"/>
  <c r="W143" i="24"/>
  <c r="U143" i="24"/>
  <c r="S143" i="24"/>
  <c r="R143" i="24"/>
  <c r="Q143" i="24"/>
  <c r="N143" i="24"/>
  <c r="M143" i="24"/>
  <c r="K143" i="24"/>
  <c r="I143" i="24"/>
  <c r="H143" i="24"/>
  <c r="G143" i="24"/>
  <c r="F143" i="24"/>
  <c r="E143" i="24"/>
  <c r="D143" i="24"/>
  <c r="BP142" i="24"/>
  <c r="BN142" i="24"/>
  <c r="BM142" i="24"/>
  <c r="BH142" i="24"/>
  <c r="BG142" i="24"/>
  <c r="BF142" i="24"/>
  <c r="BE142" i="24"/>
  <c r="BD142" i="24"/>
  <c r="BC142" i="24"/>
  <c r="AC142" i="24" s="1"/>
  <c r="BB142" i="24"/>
  <c r="BA142" i="24"/>
  <c r="AZ142" i="24"/>
  <c r="AY142" i="24"/>
  <c r="AX142" i="24"/>
  <c r="AW142" i="24"/>
  <c r="AV142" i="24"/>
  <c r="AU142" i="24"/>
  <c r="AT142" i="24"/>
  <c r="AO142" i="24"/>
  <c r="AN142" i="24"/>
  <c r="AM142" i="24"/>
  <c r="X142" i="24"/>
  <c r="W142" i="24"/>
  <c r="U142" i="24"/>
  <c r="S142" i="24"/>
  <c r="R142" i="24"/>
  <c r="Q142" i="24"/>
  <c r="N142" i="24"/>
  <c r="M142" i="24"/>
  <c r="K142" i="24"/>
  <c r="I142" i="24"/>
  <c r="H142" i="24"/>
  <c r="G142" i="24"/>
  <c r="F142" i="24"/>
  <c r="E142" i="24"/>
  <c r="D142" i="24"/>
  <c r="BP141" i="24"/>
  <c r="BN141" i="24"/>
  <c r="BM141" i="24"/>
  <c r="BH141" i="24"/>
  <c r="BG141" i="24"/>
  <c r="BF141" i="24"/>
  <c r="BE141" i="24"/>
  <c r="BD141" i="24"/>
  <c r="BC141" i="24"/>
  <c r="AC141" i="24" s="1"/>
  <c r="BB141" i="24"/>
  <c r="BA141" i="24"/>
  <c r="AZ141" i="24"/>
  <c r="AY141" i="24"/>
  <c r="AX141" i="24"/>
  <c r="AW141" i="24"/>
  <c r="AV141" i="24"/>
  <c r="AU141" i="24"/>
  <c r="AT141" i="24"/>
  <c r="AO141" i="24"/>
  <c r="AN141" i="24"/>
  <c r="AM141" i="24"/>
  <c r="X141" i="24"/>
  <c r="W141" i="24"/>
  <c r="U141" i="24"/>
  <c r="S141" i="24"/>
  <c r="R141" i="24"/>
  <c r="Q141" i="24"/>
  <c r="N141" i="24"/>
  <c r="M141" i="24"/>
  <c r="K141" i="24"/>
  <c r="I141" i="24"/>
  <c r="H141" i="24"/>
  <c r="G141" i="24"/>
  <c r="F141" i="24"/>
  <c r="E141" i="24"/>
  <c r="D141" i="24"/>
  <c r="BP140" i="24"/>
  <c r="BN140" i="24"/>
  <c r="BM140" i="24"/>
  <c r="BH140" i="24"/>
  <c r="BG140" i="24"/>
  <c r="BF140" i="24"/>
  <c r="BE140" i="24"/>
  <c r="BD140" i="24"/>
  <c r="BC140" i="24"/>
  <c r="AC140" i="24" s="1"/>
  <c r="BB140" i="24"/>
  <c r="BA140" i="24"/>
  <c r="AZ140" i="24"/>
  <c r="AY140" i="24"/>
  <c r="AX140" i="24"/>
  <c r="AW140" i="24"/>
  <c r="AV140" i="24"/>
  <c r="AU140" i="24"/>
  <c r="AT140" i="24"/>
  <c r="AO140" i="24"/>
  <c r="AN140" i="24"/>
  <c r="AM140" i="24"/>
  <c r="X140" i="24"/>
  <c r="W140" i="24"/>
  <c r="U140" i="24"/>
  <c r="S140" i="24"/>
  <c r="R140" i="24"/>
  <c r="Q140" i="24"/>
  <c r="N140" i="24"/>
  <c r="M140" i="24"/>
  <c r="K140" i="24"/>
  <c r="I140" i="24"/>
  <c r="H140" i="24"/>
  <c r="G140" i="24"/>
  <c r="F140" i="24"/>
  <c r="E140" i="24"/>
  <c r="D140" i="24"/>
  <c r="BP139" i="24"/>
  <c r="BN139" i="24"/>
  <c r="BM139" i="24"/>
  <c r="BH139" i="24"/>
  <c r="BG139" i="24"/>
  <c r="BF139" i="24"/>
  <c r="BE139" i="24"/>
  <c r="BD139" i="24"/>
  <c r="BC139" i="24"/>
  <c r="AC139" i="24" s="1"/>
  <c r="BB139" i="24"/>
  <c r="BA139" i="24"/>
  <c r="AZ139" i="24"/>
  <c r="AY139" i="24"/>
  <c r="AX139" i="24"/>
  <c r="AW139" i="24"/>
  <c r="AV139" i="24"/>
  <c r="AU139" i="24"/>
  <c r="AT139" i="24"/>
  <c r="AO139" i="24"/>
  <c r="AN139" i="24"/>
  <c r="AM139" i="24"/>
  <c r="X139" i="24"/>
  <c r="W139" i="24"/>
  <c r="U139" i="24"/>
  <c r="S139" i="24"/>
  <c r="R139" i="24"/>
  <c r="Q139" i="24"/>
  <c r="N139" i="24"/>
  <c r="M139" i="24"/>
  <c r="K139" i="24"/>
  <c r="I139" i="24"/>
  <c r="H139" i="24"/>
  <c r="G139" i="24"/>
  <c r="F139" i="24"/>
  <c r="E139" i="24"/>
  <c r="D139" i="24"/>
  <c r="BP138" i="24"/>
  <c r="BN138" i="24"/>
  <c r="BM138" i="24"/>
  <c r="BH138" i="24"/>
  <c r="BG138" i="24"/>
  <c r="BF138" i="24"/>
  <c r="BE138" i="24"/>
  <c r="BD138" i="24"/>
  <c r="BC138" i="24"/>
  <c r="AC138" i="24" s="1"/>
  <c r="BB138" i="24"/>
  <c r="BA138" i="24"/>
  <c r="AZ138" i="24"/>
  <c r="AY138" i="24"/>
  <c r="AX138" i="24"/>
  <c r="AW138" i="24"/>
  <c r="AV138" i="24"/>
  <c r="AU138" i="24"/>
  <c r="AT138" i="24"/>
  <c r="AO138" i="24"/>
  <c r="AN138" i="24"/>
  <c r="AM138" i="24"/>
  <c r="X138" i="24"/>
  <c r="W138" i="24"/>
  <c r="U138" i="24"/>
  <c r="S138" i="24"/>
  <c r="R138" i="24"/>
  <c r="Q138" i="24"/>
  <c r="N138" i="24"/>
  <c r="M138" i="24"/>
  <c r="K138" i="24"/>
  <c r="I138" i="24"/>
  <c r="H138" i="24"/>
  <c r="G138" i="24"/>
  <c r="F138" i="24"/>
  <c r="E138" i="24"/>
  <c r="D138" i="24"/>
  <c r="BP137" i="24"/>
  <c r="BN137" i="24"/>
  <c r="BM137" i="24"/>
  <c r="BH137" i="24"/>
  <c r="BG137" i="24"/>
  <c r="BF137" i="24"/>
  <c r="BE137" i="24"/>
  <c r="BD137" i="24"/>
  <c r="BC137" i="24"/>
  <c r="AC137" i="24" s="1"/>
  <c r="BB137" i="24"/>
  <c r="BA137" i="24"/>
  <c r="AZ137" i="24"/>
  <c r="AY137" i="24"/>
  <c r="AX137" i="24"/>
  <c r="AW137" i="24"/>
  <c r="AV137" i="24"/>
  <c r="AU137" i="24"/>
  <c r="AT137" i="24"/>
  <c r="AO137" i="24"/>
  <c r="AN137" i="24"/>
  <c r="AM137" i="24"/>
  <c r="X137" i="24"/>
  <c r="W137" i="24"/>
  <c r="U137" i="24"/>
  <c r="S137" i="24"/>
  <c r="R137" i="24"/>
  <c r="Q137" i="24"/>
  <c r="N137" i="24"/>
  <c r="M137" i="24"/>
  <c r="K137" i="24"/>
  <c r="I137" i="24"/>
  <c r="H137" i="24"/>
  <c r="G137" i="24"/>
  <c r="F137" i="24"/>
  <c r="E137" i="24"/>
  <c r="D137" i="24"/>
  <c r="BP136" i="24"/>
  <c r="BN136" i="24"/>
  <c r="BM136" i="24"/>
  <c r="BH136" i="24"/>
  <c r="BG136" i="24"/>
  <c r="BF136" i="24"/>
  <c r="BE136" i="24"/>
  <c r="BD136" i="24"/>
  <c r="BC136" i="24"/>
  <c r="AC136" i="24" s="1"/>
  <c r="BB136" i="24"/>
  <c r="BA136" i="24"/>
  <c r="AZ136" i="24"/>
  <c r="AY136" i="24"/>
  <c r="AX136" i="24"/>
  <c r="AW136" i="24"/>
  <c r="AV136" i="24"/>
  <c r="AU136" i="24"/>
  <c r="AT136" i="24"/>
  <c r="AO136" i="24"/>
  <c r="AN136" i="24"/>
  <c r="AM136" i="24"/>
  <c r="X136" i="24"/>
  <c r="W136" i="24"/>
  <c r="U136" i="24"/>
  <c r="S136" i="24"/>
  <c r="R136" i="24"/>
  <c r="Q136" i="24"/>
  <c r="N136" i="24"/>
  <c r="M136" i="24"/>
  <c r="K136" i="24"/>
  <c r="I136" i="24"/>
  <c r="H136" i="24"/>
  <c r="G136" i="24"/>
  <c r="F136" i="24"/>
  <c r="E136" i="24"/>
  <c r="D136" i="24"/>
  <c r="BP135" i="24"/>
  <c r="BN135" i="24"/>
  <c r="BM135" i="24"/>
  <c r="BH135" i="24"/>
  <c r="BG135" i="24"/>
  <c r="BF135" i="24"/>
  <c r="BE135" i="24"/>
  <c r="BD135" i="24"/>
  <c r="BC135" i="24"/>
  <c r="AC135" i="24" s="1"/>
  <c r="BB135" i="24"/>
  <c r="BA135" i="24"/>
  <c r="AZ135" i="24"/>
  <c r="AY135" i="24"/>
  <c r="AX135" i="24"/>
  <c r="AW135" i="24"/>
  <c r="AV135" i="24"/>
  <c r="AU135" i="24"/>
  <c r="AT135" i="24"/>
  <c r="AO135" i="24"/>
  <c r="AN135" i="24"/>
  <c r="AM135" i="24"/>
  <c r="X135" i="24"/>
  <c r="W135" i="24"/>
  <c r="U135" i="24"/>
  <c r="S135" i="24"/>
  <c r="R135" i="24"/>
  <c r="Q135" i="24"/>
  <c r="N135" i="24"/>
  <c r="M135" i="24"/>
  <c r="K135" i="24"/>
  <c r="I135" i="24"/>
  <c r="H135" i="24"/>
  <c r="G135" i="24"/>
  <c r="F135" i="24"/>
  <c r="E135" i="24"/>
  <c r="D135" i="24"/>
  <c r="BP134" i="24"/>
  <c r="BN134" i="24"/>
  <c r="BM134" i="24"/>
  <c r="BH134" i="24"/>
  <c r="BG134" i="24"/>
  <c r="BF134" i="24"/>
  <c r="BE134" i="24"/>
  <c r="BD134" i="24"/>
  <c r="BC134" i="24"/>
  <c r="AC134" i="24" s="1"/>
  <c r="BB134" i="24"/>
  <c r="BA134" i="24"/>
  <c r="AZ134" i="24"/>
  <c r="AY134" i="24"/>
  <c r="AX134" i="24"/>
  <c r="AW134" i="24"/>
  <c r="AV134" i="24"/>
  <c r="AU134" i="24"/>
  <c r="AT134" i="24"/>
  <c r="AO134" i="24"/>
  <c r="AN134" i="24"/>
  <c r="AM134" i="24"/>
  <c r="X134" i="24"/>
  <c r="W134" i="24"/>
  <c r="U134" i="24"/>
  <c r="S134" i="24"/>
  <c r="R134" i="24"/>
  <c r="Q134" i="24"/>
  <c r="N134" i="24"/>
  <c r="M134" i="24"/>
  <c r="K134" i="24"/>
  <c r="I134" i="24"/>
  <c r="H134" i="24"/>
  <c r="G134" i="24"/>
  <c r="F134" i="24"/>
  <c r="E134" i="24"/>
  <c r="D134" i="24"/>
  <c r="BP133" i="24"/>
  <c r="BN133" i="24"/>
  <c r="BM133" i="24"/>
  <c r="BH133" i="24"/>
  <c r="BG133" i="24"/>
  <c r="BF133" i="24"/>
  <c r="BE133" i="24"/>
  <c r="BD133" i="24"/>
  <c r="BC133" i="24"/>
  <c r="AC133" i="24" s="1"/>
  <c r="BB133" i="24"/>
  <c r="BA133" i="24"/>
  <c r="AZ133" i="24"/>
  <c r="AY133" i="24"/>
  <c r="AX133" i="24"/>
  <c r="AW133" i="24"/>
  <c r="AV133" i="24"/>
  <c r="AU133" i="24"/>
  <c r="AT133" i="24"/>
  <c r="AO133" i="24"/>
  <c r="AN133" i="24"/>
  <c r="AM133" i="24"/>
  <c r="X133" i="24"/>
  <c r="W133" i="24"/>
  <c r="U133" i="24"/>
  <c r="S133" i="24"/>
  <c r="R133" i="24"/>
  <c r="Q133" i="24"/>
  <c r="N133" i="24"/>
  <c r="M133" i="24"/>
  <c r="K133" i="24"/>
  <c r="I133" i="24"/>
  <c r="H133" i="24"/>
  <c r="G133" i="24"/>
  <c r="F133" i="24"/>
  <c r="E133" i="24"/>
  <c r="D133" i="24"/>
  <c r="BP132" i="24"/>
  <c r="BN132" i="24"/>
  <c r="BM132" i="24"/>
  <c r="BH132" i="24"/>
  <c r="BG132" i="24"/>
  <c r="BF132" i="24"/>
  <c r="BE132" i="24"/>
  <c r="BD132" i="24"/>
  <c r="BC132" i="24"/>
  <c r="AC132" i="24" s="1"/>
  <c r="BB132" i="24"/>
  <c r="BA132" i="24"/>
  <c r="AZ132" i="24"/>
  <c r="AY132" i="24"/>
  <c r="AX132" i="24"/>
  <c r="AW132" i="24"/>
  <c r="AV132" i="24"/>
  <c r="AU132" i="24"/>
  <c r="AT132" i="24"/>
  <c r="AO132" i="24"/>
  <c r="AN132" i="24"/>
  <c r="AM132" i="24"/>
  <c r="X132" i="24"/>
  <c r="W132" i="24"/>
  <c r="U132" i="24"/>
  <c r="S132" i="24"/>
  <c r="R132" i="24"/>
  <c r="Q132" i="24"/>
  <c r="N132" i="24"/>
  <c r="M132" i="24"/>
  <c r="K132" i="24"/>
  <c r="I132" i="24"/>
  <c r="H132" i="24"/>
  <c r="G132" i="24"/>
  <c r="F132" i="24"/>
  <c r="E132" i="24"/>
  <c r="D132" i="24"/>
  <c r="BP131" i="24"/>
  <c r="BN131" i="24"/>
  <c r="BM131" i="24"/>
  <c r="BH131" i="24"/>
  <c r="BG131" i="24"/>
  <c r="BF131" i="24"/>
  <c r="BE131" i="24"/>
  <c r="BD131" i="24"/>
  <c r="BC131" i="24"/>
  <c r="AC131" i="24" s="1"/>
  <c r="BB131" i="24"/>
  <c r="BA131" i="24"/>
  <c r="AZ131" i="24"/>
  <c r="AY131" i="24"/>
  <c r="AX131" i="24"/>
  <c r="AW131" i="24"/>
  <c r="AV131" i="24"/>
  <c r="AU131" i="24"/>
  <c r="AT131" i="24"/>
  <c r="AO131" i="24"/>
  <c r="AN131" i="24"/>
  <c r="AM131" i="24"/>
  <c r="X131" i="24"/>
  <c r="W131" i="24"/>
  <c r="U131" i="24"/>
  <c r="S131" i="24"/>
  <c r="R131" i="24"/>
  <c r="Q131" i="24"/>
  <c r="N131" i="24"/>
  <c r="M131" i="24"/>
  <c r="K131" i="24"/>
  <c r="I131" i="24"/>
  <c r="H131" i="24"/>
  <c r="G131" i="24"/>
  <c r="F131" i="24"/>
  <c r="E131" i="24"/>
  <c r="D131" i="24"/>
  <c r="BP130" i="24"/>
  <c r="BN130" i="24"/>
  <c r="BM130" i="24"/>
  <c r="BH130" i="24"/>
  <c r="BG130" i="24"/>
  <c r="BF130" i="24"/>
  <c r="BE130" i="24"/>
  <c r="BD130" i="24"/>
  <c r="BC130" i="24"/>
  <c r="AC130" i="24" s="1"/>
  <c r="BB130" i="24"/>
  <c r="BA130" i="24"/>
  <c r="AZ130" i="24"/>
  <c r="AY130" i="24"/>
  <c r="AX130" i="24"/>
  <c r="AW130" i="24"/>
  <c r="AV130" i="24"/>
  <c r="AU130" i="24"/>
  <c r="AT130" i="24"/>
  <c r="AO130" i="24"/>
  <c r="AN130" i="24"/>
  <c r="AM130" i="24"/>
  <c r="X130" i="24"/>
  <c r="W130" i="24"/>
  <c r="U130" i="24"/>
  <c r="S130" i="24"/>
  <c r="R130" i="24"/>
  <c r="Q130" i="24"/>
  <c r="N130" i="24"/>
  <c r="M130" i="24"/>
  <c r="K130" i="24"/>
  <c r="I130" i="24"/>
  <c r="H130" i="24"/>
  <c r="G130" i="24"/>
  <c r="F130" i="24"/>
  <c r="E130" i="24"/>
  <c r="D130" i="24"/>
  <c r="BP129" i="24"/>
  <c r="BN129" i="24"/>
  <c r="BM129" i="24"/>
  <c r="BH129" i="24"/>
  <c r="BG129" i="24"/>
  <c r="BF129" i="24"/>
  <c r="BE129" i="24"/>
  <c r="BD129" i="24"/>
  <c r="BC129" i="24"/>
  <c r="AC129" i="24" s="1"/>
  <c r="BB129" i="24"/>
  <c r="BA129" i="24"/>
  <c r="AZ129" i="24"/>
  <c r="AY129" i="24"/>
  <c r="AX129" i="24"/>
  <c r="AW129" i="24"/>
  <c r="AV129" i="24"/>
  <c r="AU129" i="24"/>
  <c r="AT129" i="24"/>
  <c r="AO129" i="24"/>
  <c r="AN129" i="24"/>
  <c r="AM129" i="24"/>
  <c r="X129" i="24"/>
  <c r="W129" i="24"/>
  <c r="U129" i="24"/>
  <c r="S129" i="24"/>
  <c r="R129" i="24"/>
  <c r="Q129" i="24"/>
  <c r="N129" i="24"/>
  <c r="M129" i="24"/>
  <c r="K129" i="24"/>
  <c r="I129" i="24"/>
  <c r="H129" i="24"/>
  <c r="G129" i="24"/>
  <c r="F129" i="24"/>
  <c r="E129" i="24"/>
  <c r="D129" i="24"/>
  <c r="BP128" i="24"/>
  <c r="BN128" i="24"/>
  <c r="BM128" i="24"/>
  <c r="BH128" i="24"/>
  <c r="BG128" i="24"/>
  <c r="BF128" i="24"/>
  <c r="BE128" i="24"/>
  <c r="BD128" i="24"/>
  <c r="BC128" i="24"/>
  <c r="AC128" i="24" s="1"/>
  <c r="BB128" i="24"/>
  <c r="BA128" i="24"/>
  <c r="AZ128" i="24"/>
  <c r="AY128" i="24"/>
  <c r="AX128" i="24"/>
  <c r="AW128" i="24"/>
  <c r="AV128" i="24"/>
  <c r="AU128" i="24"/>
  <c r="AT128" i="24"/>
  <c r="AO128" i="24"/>
  <c r="AN128" i="24"/>
  <c r="AM128" i="24"/>
  <c r="X128" i="24"/>
  <c r="W128" i="24"/>
  <c r="U128" i="24"/>
  <c r="S128" i="24"/>
  <c r="R128" i="24"/>
  <c r="Q128" i="24"/>
  <c r="N128" i="24"/>
  <c r="M128" i="24"/>
  <c r="K128" i="24"/>
  <c r="I128" i="24"/>
  <c r="H128" i="24"/>
  <c r="G128" i="24"/>
  <c r="F128" i="24"/>
  <c r="E128" i="24"/>
  <c r="D128" i="24"/>
  <c r="BP127" i="24"/>
  <c r="BN127" i="24"/>
  <c r="BM127" i="24"/>
  <c r="BH127" i="24"/>
  <c r="BG127" i="24"/>
  <c r="BF127" i="24"/>
  <c r="BE127" i="24"/>
  <c r="BD127" i="24"/>
  <c r="BC127" i="24"/>
  <c r="AC127" i="24" s="1"/>
  <c r="BB127" i="24"/>
  <c r="BA127" i="24"/>
  <c r="AZ127" i="24"/>
  <c r="AY127" i="24"/>
  <c r="AX127" i="24"/>
  <c r="AW127" i="24"/>
  <c r="AV127" i="24"/>
  <c r="AU127" i="24"/>
  <c r="AT127" i="24"/>
  <c r="AO127" i="24"/>
  <c r="AN127" i="24"/>
  <c r="AM127" i="24"/>
  <c r="X127" i="24"/>
  <c r="W127" i="24"/>
  <c r="U127" i="24"/>
  <c r="S127" i="24"/>
  <c r="R127" i="24"/>
  <c r="Q127" i="24"/>
  <c r="N127" i="24"/>
  <c r="M127" i="24"/>
  <c r="K127" i="24"/>
  <c r="I127" i="24"/>
  <c r="H127" i="24"/>
  <c r="G127" i="24"/>
  <c r="F127" i="24"/>
  <c r="E127" i="24"/>
  <c r="D127" i="24"/>
  <c r="BP126" i="24"/>
  <c r="BN126" i="24"/>
  <c r="BM126" i="24"/>
  <c r="BH126" i="24"/>
  <c r="BG126" i="24"/>
  <c r="BF126" i="24"/>
  <c r="BE126" i="24"/>
  <c r="BD126" i="24"/>
  <c r="BC126" i="24"/>
  <c r="AC126" i="24" s="1"/>
  <c r="BB126" i="24"/>
  <c r="BA126" i="24"/>
  <c r="AZ126" i="24"/>
  <c r="AY126" i="24"/>
  <c r="AX126" i="24"/>
  <c r="AW126" i="24"/>
  <c r="AV126" i="24"/>
  <c r="AU126" i="24"/>
  <c r="AT126" i="24"/>
  <c r="AO126" i="24"/>
  <c r="AN126" i="24"/>
  <c r="AM126" i="24"/>
  <c r="X126" i="24"/>
  <c r="W126" i="24"/>
  <c r="U126" i="24"/>
  <c r="S126" i="24"/>
  <c r="R126" i="24"/>
  <c r="Q126" i="24"/>
  <c r="N126" i="24"/>
  <c r="M126" i="24"/>
  <c r="K126" i="24"/>
  <c r="I126" i="24"/>
  <c r="H126" i="24"/>
  <c r="G126" i="24"/>
  <c r="F126" i="24"/>
  <c r="E126" i="24"/>
  <c r="D126" i="24"/>
  <c r="BP125" i="24"/>
  <c r="BN125" i="24"/>
  <c r="BM125" i="24"/>
  <c r="BH125" i="24"/>
  <c r="BG125" i="24"/>
  <c r="BF125" i="24"/>
  <c r="BE125" i="24"/>
  <c r="BD125" i="24"/>
  <c r="BC125" i="24"/>
  <c r="AC125" i="24" s="1"/>
  <c r="BB125" i="24"/>
  <c r="BA125" i="24"/>
  <c r="AZ125" i="24"/>
  <c r="AY125" i="24"/>
  <c r="AX125" i="24"/>
  <c r="AW125" i="24"/>
  <c r="AV125" i="24"/>
  <c r="AU125" i="24"/>
  <c r="AT125" i="24"/>
  <c r="AO125" i="24"/>
  <c r="AN125" i="24"/>
  <c r="AM125" i="24"/>
  <c r="X125" i="24"/>
  <c r="W125" i="24"/>
  <c r="U125" i="24"/>
  <c r="S125" i="24"/>
  <c r="R125" i="24"/>
  <c r="Q125" i="24"/>
  <c r="N125" i="24"/>
  <c r="M125" i="24"/>
  <c r="K125" i="24"/>
  <c r="I125" i="24"/>
  <c r="H125" i="24"/>
  <c r="G125" i="24"/>
  <c r="F125" i="24"/>
  <c r="E125" i="24"/>
  <c r="D125" i="24"/>
  <c r="BP124" i="24"/>
  <c r="BN124" i="24"/>
  <c r="BM124" i="24"/>
  <c r="BH124" i="24"/>
  <c r="BG124" i="24"/>
  <c r="BF124" i="24"/>
  <c r="BE124" i="24"/>
  <c r="BD124" i="24"/>
  <c r="BC124" i="24"/>
  <c r="AC124" i="24" s="1"/>
  <c r="BB124" i="24"/>
  <c r="BA124" i="24"/>
  <c r="AZ124" i="24"/>
  <c r="AY124" i="24"/>
  <c r="AX124" i="24"/>
  <c r="AW124" i="24"/>
  <c r="AV124" i="24"/>
  <c r="AU124" i="24"/>
  <c r="AT124" i="24"/>
  <c r="AO124" i="24"/>
  <c r="AN124" i="24"/>
  <c r="AM124" i="24"/>
  <c r="X124" i="24"/>
  <c r="W124" i="24"/>
  <c r="U124" i="24"/>
  <c r="S124" i="24"/>
  <c r="R124" i="24"/>
  <c r="Q124" i="24"/>
  <c r="N124" i="24"/>
  <c r="M124" i="24"/>
  <c r="K124" i="24"/>
  <c r="I124" i="24"/>
  <c r="H124" i="24"/>
  <c r="G124" i="24"/>
  <c r="F124" i="24"/>
  <c r="E124" i="24"/>
  <c r="D124" i="24"/>
  <c r="BP123" i="24"/>
  <c r="BN123" i="24"/>
  <c r="BM123" i="24"/>
  <c r="BH123" i="24"/>
  <c r="BG123" i="24"/>
  <c r="BF123" i="24"/>
  <c r="BE123" i="24"/>
  <c r="BD123" i="24"/>
  <c r="BC123" i="24"/>
  <c r="AC123" i="24" s="1"/>
  <c r="BB123" i="24"/>
  <c r="BA123" i="24"/>
  <c r="AZ123" i="24"/>
  <c r="AY123" i="24"/>
  <c r="AX123" i="24"/>
  <c r="AW123" i="24"/>
  <c r="AV123" i="24"/>
  <c r="AU123" i="24"/>
  <c r="AT123" i="24"/>
  <c r="AO123" i="24"/>
  <c r="AN123" i="24"/>
  <c r="AM123" i="24"/>
  <c r="X123" i="24"/>
  <c r="W123" i="24"/>
  <c r="U123" i="24"/>
  <c r="S123" i="24"/>
  <c r="R123" i="24"/>
  <c r="Q123" i="24"/>
  <c r="N123" i="24"/>
  <c r="M123" i="24"/>
  <c r="K123" i="24"/>
  <c r="I123" i="24"/>
  <c r="H123" i="24"/>
  <c r="G123" i="24"/>
  <c r="F123" i="24"/>
  <c r="E123" i="24"/>
  <c r="D123" i="24"/>
  <c r="BP122" i="24"/>
  <c r="BN122" i="24"/>
  <c r="BM122" i="24"/>
  <c r="BH122" i="24"/>
  <c r="BG122" i="24"/>
  <c r="BF122" i="24"/>
  <c r="BE122" i="24"/>
  <c r="BD122" i="24"/>
  <c r="BC122" i="24"/>
  <c r="AC122" i="24" s="1"/>
  <c r="BB122" i="24"/>
  <c r="BA122" i="24"/>
  <c r="AZ122" i="24"/>
  <c r="AY122" i="24"/>
  <c r="AX122" i="24"/>
  <c r="AW122" i="24"/>
  <c r="AV122" i="24"/>
  <c r="AU122" i="24"/>
  <c r="AT122" i="24"/>
  <c r="AO122" i="24"/>
  <c r="AN122" i="24"/>
  <c r="AM122" i="24"/>
  <c r="X122" i="24"/>
  <c r="W122" i="24"/>
  <c r="U122" i="24"/>
  <c r="S122" i="24"/>
  <c r="R122" i="24"/>
  <c r="Q122" i="24"/>
  <c r="N122" i="24"/>
  <c r="M122" i="24"/>
  <c r="K122" i="24"/>
  <c r="I122" i="24"/>
  <c r="H122" i="24"/>
  <c r="G122" i="24"/>
  <c r="F122" i="24"/>
  <c r="E122" i="24"/>
  <c r="D122" i="24"/>
  <c r="BP121" i="24"/>
  <c r="BN121" i="24"/>
  <c r="BM121" i="24"/>
  <c r="BH121" i="24"/>
  <c r="BG121" i="24"/>
  <c r="BF121" i="24"/>
  <c r="BE121" i="24"/>
  <c r="BD121" i="24"/>
  <c r="BC121" i="24"/>
  <c r="AC121" i="24" s="1"/>
  <c r="BB121" i="24"/>
  <c r="BA121" i="24"/>
  <c r="AZ121" i="24"/>
  <c r="AY121" i="24"/>
  <c r="AX121" i="24"/>
  <c r="AW121" i="24"/>
  <c r="AV121" i="24"/>
  <c r="AU121" i="24"/>
  <c r="AT121" i="24"/>
  <c r="AO121" i="24"/>
  <c r="AN121" i="24"/>
  <c r="AM121" i="24"/>
  <c r="X121" i="24"/>
  <c r="W121" i="24"/>
  <c r="U121" i="24"/>
  <c r="S121" i="24"/>
  <c r="R121" i="24"/>
  <c r="Q121" i="24"/>
  <c r="N121" i="24"/>
  <c r="M121" i="24"/>
  <c r="K121" i="24"/>
  <c r="I121" i="24"/>
  <c r="H121" i="24"/>
  <c r="G121" i="24"/>
  <c r="F121" i="24"/>
  <c r="E121" i="24"/>
  <c r="D121" i="24"/>
  <c r="BP120" i="24"/>
  <c r="BN120" i="24"/>
  <c r="BM120" i="24"/>
  <c r="BH120" i="24"/>
  <c r="BG120" i="24"/>
  <c r="BF120" i="24"/>
  <c r="BE120" i="24"/>
  <c r="BD120" i="24"/>
  <c r="BC120" i="24"/>
  <c r="AC120" i="24" s="1"/>
  <c r="BB120" i="24"/>
  <c r="BA120" i="24"/>
  <c r="AZ120" i="24"/>
  <c r="AY120" i="24"/>
  <c r="AX120" i="24"/>
  <c r="AW120" i="24"/>
  <c r="AV120" i="24"/>
  <c r="AU120" i="24"/>
  <c r="AT120" i="24"/>
  <c r="AO120" i="24"/>
  <c r="AN120" i="24"/>
  <c r="AM120" i="24"/>
  <c r="X120" i="24"/>
  <c r="W120" i="24"/>
  <c r="U120" i="24"/>
  <c r="S120" i="24"/>
  <c r="R120" i="24"/>
  <c r="Q120" i="24"/>
  <c r="N120" i="24"/>
  <c r="M120" i="24"/>
  <c r="K120" i="24"/>
  <c r="I120" i="24"/>
  <c r="H120" i="24"/>
  <c r="G120" i="24"/>
  <c r="F120" i="24"/>
  <c r="E120" i="24"/>
  <c r="D120" i="24"/>
  <c r="BP119" i="24"/>
  <c r="BN119" i="24"/>
  <c r="BM119" i="24"/>
  <c r="BH119" i="24"/>
  <c r="BG119" i="24"/>
  <c r="BF119" i="24"/>
  <c r="BE119" i="24"/>
  <c r="BD119" i="24"/>
  <c r="BC119" i="24"/>
  <c r="AC119" i="24" s="1"/>
  <c r="BB119" i="24"/>
  <c r="BA119" i="24"/>
  <c r="AZ119" i="24"/>
  <c r="AY119" i="24"/>
  <c r="AX119" i="24"/>
  <c r="AW119" i="24"/>
  <c r="AV119" i="24"/>
  <c r="AU119" i="24"/>
  <c r="AT119" i="24"/>
  <c r="AO119" i="24"/>
  <c r="AN119" i="24"/>
  <c r="AM119" i="24"/>
  <c r="X119" i="24"/>
  <c r="W119" i="24"/>
  <c r="U119" i="24"/>
  <c r="S119" i="24"/>
  <c r="R119" i="24"/>
  <c r="Q119" i="24"/>
  <c r="N119" i="24"/>
  <c r="M119" i="24"/>
  <c r="K119" i="24"/>
  <c r="I119" i="24"/>
  <c r="H119" i="24"/>
  <c r="G119" i="24"/>
  <c r="F119" i="24"/>
  <c r="E119" i="24"/>
  <c r="D119" i="24"/>
  <c r="BP118" i="24"/>
  <c r="BN118" i="24"/>
  <c r="BM118" i="24"/>
  <c r="BH118" i="24"/>
  <c r="BG118" i="24"/>
  <c r="BF118" i="24"/>
  <c r="BE118" i="24"/>
  <c r="BD118" i="24"/>
  <c r="BC118" i="24"/>
  <c r="AC118" i="24" s="1"/>
  <c r="BB118" i="24"/>
  <c r="BA118" i="24"/>
  <c r="AZ118" i="24"/>
  <c r="AY118" i="24"/>
  <c r="AX118" i="24"/>
  <c r="AW118" i="24"/>
  <c r="AV118" i="24"/>
  <c r="AU118" i="24"/>
  <c r="AT118" i="24"/>
  <c r="AO118" i="24"/>
  <c r="AN118" i="24"/>
  <c r="AM118" i="24"/>
  <c r="X118" i="24"/>
  <c r="W118" i="24"/>
  <c r="U118" i="24"/>
  <c r="S118" i="24"/>
  <c r="R118" i="24"/>
  <c r="Q118" i="24"/>
  <c r="N118" i="24"/>
  <c r="M118" i="24"/>
  <c r="K118" i="24"/>
  <c r="I118" i="24"/>
  <c r="H118" i="24"/>
  <c r="G118" i="24"/>
  <c r="F118" i="24"/>
  <c r="E118" i="24"/>
  <c r="D118" i="24"/>
  <c r="BP117" i="24"/>
  <c r="BN117" i="24"/>
  <c r="BM117" i="24"/>
  <c r="BH117" i="24"/>
  <c r="BG117" i="24"/>
  <c r="BF117" i="24"/>
  <c r="BE117" i="24"/>
  <c r="BD117" i="24"/>
  <c r="BC117" i="24"/>
  <c r="AC117" i="24" s="1"/>
  <c r="BB117" i="24"/>
  <c r="BA117" i="24"/>
  <c r="AZ117" i="24"/>
  <c r="AY117" i="24"/>
  <c r="AX117" i="24"/>
  <c r="AW117" i="24"/>
  <c r="AV117" i="24"/>
  <c r="AU117" i="24"/>
  <c r="AT117" i="24"/>
  <c r="AO117" i="24"/>
  <c r="AN117" i="24"/>
  <c r="AM117" i="24"/>
  <c r="X117" i="24"/>
  <c r="W117" i="24"/>
  <c r="U117" i="24"/>
  <c r="S117" i="24"/>
  <c r="R117" i="24"/>
  <c r="Q117" i="24"/>
  <c r="N117" i="24"/>
  <c r="M117" i="24"/>
  <c r="K117" i="24"/>
  <c r="I117" i="24"/>
  <c r="H117" i="24"/>
  <c r="G117" i="24"/>
  <c r="F117" i="24"/>
  <c r="E117" i="24"/>
  <c r="D117" i="24"/>
  <c r="BP116" i="24"/>
  <c r="BN116" i="24"/>
  <c r="BM116" i="24"/>
  <c r="BH116" i="24"/>
  <c r="BG116" i="24"/>
  <c r="BF116" i="24"/>
  <c r="BE116" i="24"/>
  <c r="BD116" i="24"/>
  <c r="BC116" i="24"/>
  <c r="AC116" i="24" s="1"/>
  <c r="BB116" i="24"/>
  <c r="BA116" i="24"/>
  <c r="AZ116" i="24"/>
  <c r="AY116" i="24"/>
  <c r="AX116" i="24"/>
  <c r="AW116" i="24"/>
  <c r="AV116" i="24"/>
  <c r="AU116" i="24"/>
  <c r="AT116" i="24"/>
  <c r="AO116" i="24"/>
  <c r="AN116" i="24"/>
  <c r="AM116" i="24"/>
  <c r="X116" i="24"/>
  <c r="W116" i="24"/>
  <c r="U116" i="24"/>
  <c r="S116" i="24"/>
  <c r="R116" i="24"/>
  <c r="Q116" i="24"/>
  <c r="N116" i="24"/>
  <c r="M116" i="24"/>
  <c r="K116" i="24"/>
  <c r="I116" i="24"/>
  <c r="H116" i="24"/>
  <c r="G116" i="24"/>
  <c r="F116" i="24"/>
  <c r="E116" i="24"/>
  <c r="D116" i="24"/>
  <c r="BP115" i="24"/>
  <c r="BN115" i="24"/>
  <c r="BM115" i="24"/>
  <c r="BH115" i="24"/>
  <c r="BG115" i="24"/>
  <c r="BF115" i="24"/>
  <c r="BE115" i="24"/>
  <c r="BD115" i="24"/>
  <c r="BC115" i="24"/>
  <c r="AC115" i="24" s="1"/>
  <c r="BB115" i="24"/>
  <c r="BA115" i="24"/>
  <c r="AZ115" i="24"/>
  <c r="AY115" i="24"/>
  <c r="AX115" i="24"/>
  <c r="AW115" i="24"/>
  <c r="AV115" i="24"/>
  <c r="AU115" i="24"/>
  <c r="AT115" i="24"/>
  <c r="AO115" i="24"/>
  <c r="AN115" i="24"/>
  <c r="AM115" i="24"/>
  <c r="X115" i="24"/>
  <c r="W115" i="24"/>
  <c r="U115" i="24"/>
  <c r="S115" i="24"/>
  <c r="R115" i="24"/>
  <c r="Q115" i="24"/>
  <c r="N115" i="24"/>
  <c r="M115" i="24"/>
  <c r="K115" i="24"/>
  <c r="I115" i="24"/>
  <c r="H115" i="24"/>
  <c r="G115" i="24"/>
  <c r="F115" i="24"/>
  <c r="E115" i="24"/>
  <c r="D115" i="24"/>
  <c r="BP114" i="24"/>
  <c r="BN114" i="24"/>
  <c r="BM114" i="24"/>
  <c r="BH114" i="24"/>
  <c r="BG114" i="24"/>
  <c r="BF114" i="24"/>
  <c r="BE114" i="24"/>
  <c r="BD114" i="24"/>
  <c r="BC114" i="24"/>
  <c r="AC114" i="24" s="1"/>
  <c r="BB114" i="24"/>
  <c r="BA114" i="24"/>
  <c r="AZ114" i="24"/>
  <c r="AY114" i="24"/>
  <c r="AX114" i="24"/>
  <c r="AW114" i="24"/>
  <c r="AV114" i="24"/>
  <c r="AU114" i="24"/>
  <c r="AT114" i="24"/>
  <c r="AO114" i="24"/>
  <c r="AN114" i="24"/>
  <c r="AM114" i="24"/>
  <c r="X114" i="24"/>
  <c r="W114" i="24"/>
  <c r="U114" i="24"/>
  <c r="S114" i="24"/>
  <c r="R114" i="24"/>
  <c r="Q114" i="24"/>
  <c r="N114" i="24"/>
  <c r="M114" i="24"/>
  <c r="K114" i="24"/>
  <c r="I114" i="24"/>
  <c r="H114" i="24"/>
  <c r="G114" i="24"/>
  <c r="F114" i="24"/>
  <c r="E114" i="24"/>
  <c r="D114" i="24"/>
  <c r="BP113" i="24"/>
  <c r="BN113" i="24"/>
  <c r="BM113" i="24"/>
  <c r="BH113" i="24"/>
  <c r="BG113" i="24"/>
  <c r="BF113" i="24"/>
  <c r="BE113" i="24"/>
  <c r="BD113" i="24"/>
  <c r="BC113" i="24"/>
  <c r="AC113" i="24" s="1"/>
  <c r="BB113" i="24"/>
  <c r="BA113" i="24"/>
  <c r="AZ113" i="24"/>
  <c r="AY113" i="24"/>
  <c r="AX113" i="24"/>
  <c r="AW113" i="24"/>
  <c r="AV113" i="24"/>
  <c r="AU113" i="24"/>
  <c r="AT113" i="24"/>
  <c r="AO113" i="24"/>
  <c r="AN113" i="24"/>
  <c r="AM113" i="24"/>
  <c r="X113" i="24"/>
  <c r="W113" i="24"/>
  <c r="U113" i="24"/>
  <c r="S113" i="24"/>
  <c r="R113" i="24"/>
  <c r="Q113" i="24"/>
  <c r="N113" i="24"/>
  <c r="M113" i="24"/>
  <c r="K113" i="24"/>
  <c r="I113" i="24"/>
  <c r="H113" i="24"/>
  <c r="G113" i="24"/>
  <c r="F113" i="24"/>
  <c r="E113" i="24"/>
  <c r="D113" i="24"/>
  <c r="BP112" i="24"/>
  <c r="BN112" i="24"/>
  <c r="BM112" i="24"/>
  <c r="BH112" i="24"/>
  <c r="BG112" i="24"/>
  <c r="BF112" i="24"/>
  <c r="BE112" i="24"/>
  <c r="BD112" i="24"/>
  <c r="BC112" i="24"/>
  <c r="AC112" i="24" s="1"/>
  <c r="BB112" i="24"/>
  <c r="BA112" i="24"/>
  <c r="AZ112" i="24"/>
  <c r="AY112" i="24"/>
  <c r="AX112" i="24"/>
  <c r="AW112" i="24"/>
  <c r="AV112" i="24"/>
  <c r="AU112" i="24"/>
  <c r="AT112" i="24"/>
  <c r="AO112" i="24"/>
  <c r="AN112" i="24"/>
  <c r="AM112" i="24"/>
  <c r="X112" i="24"/>
  <c r="W112" i="24"/>
  <c r="U112" i="24"/>
  <c r="S112" i="24"/>
  <c r="R112" i="24"/>
  <c r="Q112" i="24"/>
  <c r="N112" i="24"/>
  <c r="M112" i="24"/>
  <c r="K112" i="24"/>
  <c r="I112" i="24"/>
  <c r="H112" i="24"/>
  <c r="G112" i="24"/>
  <c r="F112" i="24"/>
  <c r="E112" i="24"/>
  <c r="D112" i="24"/>
  <c r="BP111" i="24"/>
  <c r="BN111" i="24"/>
  <c r="BM111" i="24"/>
  <c r="BH111" i="24"/>
  <c r="BG111" i="24"/>
  <c r="BF111" i="24"/>
  <c r="BE111" i="24"/>
  <c r="BD111" i="24"/>
  <c r="BC111" i="24"/>
  <c r="AC111" i="24" s="1"/>
  <c r="BB111" i="24"/>
  <c r="BA111" i="24"/>
  <c r="AZ111" i="24"/>
  <c r="AY111" i="24"/>
  <c r="AX111" i="24"/>
  <c r="AW111" i="24"/>
  <c r="AV111" i="24"/>
  <c r="AU111" i="24"/>
  <c r="AT111" i="24"/>
  <c r="AO111" i="24"/>
  <c r="AN111" i="24"/>
  <c r="AM111" i="24"/>
  <c r="X111" i="24"/>
  <c r="W111" i="24"/>
  <c r="U111" i="24"/>
  <c r="S111" i="24"/>
  <c r="R111" i="24"/>
  <c r="Q111" i="24"/>
  <c r="N111" i="24"/>
  <c r="M111" i="24"/>
  <c r="K111" i="24"/>
  <c r="I111" i="24"/>
  <c r="H111" i="24"/>
  <c r="G111" i="24"/>
  <c r="F111" i="24"/>
  <c r="E111" i="24"/>
  <c r="D111" i="24"/>
  <c r="BP110" i="24"/>
  <c r="BN110" i="24"/>
  <c r="BM110" i="24"/>
  <c r="BH110" i="24"/>
  <c r="BG110" i="24"/>
  <c r="BF110" i="24"/>
  <c r="BE110" i="24"/>
  <c r="BD110" i="24"/>
  <c r="BC110" i="24"/>
  <c r="AC110" i="24" s="1"/>
  <c r="BB110" i="24"/>
  <c r="BA110" i="24"/>
  <c r="AZ110" i="24"/>
  <c r="AY110" i="24"/>
  <c r="AX110" i="24"/>
  <c r="AW110" i="24"/>
  <c r="AV110" i="24"/>
  <c r="AU110" i="24"/>
  <c r="AT110" i="24"/>
  <c r="AO110" i="24"/>
  <c r="AN110" i="24"/>
  <c r="AM110" i="24"/>
  <c r="X110" i="24"/>
  <c r="W110" i="24"/>
  <c r="U110" i="24"/>
  <c r="S110" i="24"/>
  <c r="R110" i="24"/>
  <c r="Q110" i="24"/>
  <c r="N110" i="24"/>
  <c r="M110" i="24"/>
  <c r="K110" i="24"/>
  <c r="I110" i="24"/>
  <c r="H110" i="24"/>
  <c r="G110" i="24"/>
  <c r="F110" i="24"/>
  <c r="E110" i="24"/>
  <c r="D110" i="24"/>
  <c r="BP109" i="24"/>
  <c r="BN109" i="24"/>
  <c r="BM109" i="24"/>
  <c r="BH109" i="24"/>
  <c r="BG109" i="24"/>
  <c r="BF109" i="24"/>
  <c r="BE109" i="24"/>
  <c r="BD109" i="24"/>
  <c r="BC109" i="24"/>
  <c r="AC109" i="24" s="1"/>
  <c r="BB109" i="24"/>
  <c r="BA109" i="24"/>
  <c r="AZ109" i="24"/>
  <c r="AY109" i="24"/>
  <c r="AX109" i="24"/>
  <c r="AW109" i="24"/>
  <c r="AV109" i="24"/>
  <c r="AU109" i="24"/>
  <c r="AT109" i="24"/>
  <c r="AO109" i="24"/>
  <c r="AN109" i="24"/>
  <c r="AM109" i="24"/>
  <c r="X109" i="24"/>
  <c r="W109" i="24"/>
  <c r="U109" i="24"/>
  <c r="S109" i="24"/>
  <c r="R109" i="24"/>
  <c r="Q109" i="24"/>
  <c r="N109" i="24"/>
  <c r="M109" i="24"/>
  <c r="K109" i="24"/>
  <c r="I109" i="24"/>
  <c r="H109" i="24"/>
  <c r="G109" i="24"/>
  <c r="F109" i="24"/>
  <c r="E109" i="24"/>
  <c r="D109" i="24"/>
  <c r="BP108" i="24"/>
  <c r="BN108" i="24"/>
  <c r="BM108" i="24"/>
  <c r="BH108" i="24"/>
  <c r="BG108" i="24"/>
  <c r="BF108" i="24"/>
  <c r="BE108" i="24"/>
  <c r="BD108" i="24"/>
  <c r="BC108" i="24"/>
  <c r="AC108" i="24" s="1"/>
  <c r="BB108" i="24"/>
  <c r="BA108" i="24"/>
  <c r="AZ108" i="24"/>
  <c r="AY108" i="24"/>
  <c r="AX108" i="24"/>
  <c r="AW108" i="24"/>
  <c r="AV108" i="24"/>
  <c r="AU108" i="24"/>
  <c r="AT108" i="24"/>
  <c r="AO108" i="24"/>
  <c r="AN108" i="24"/>
  <c r="AM108" i="24"/>
  <c r="X108" i="24"/>
  <c r="W108" i="24"/>
  <c r="U108" i="24"/>
  <c r="S108" i="24"/>
  <c r="R108" i="24"/>
  <c r="Q108" i="24"/>
  <c r="N108" i="24"/>
  <c r="M108" i="24"/>
  <c r="K108" i="24"/>
  <c r="I108" i="24"/>
  <c r="H108" i="24"/>
  <c r="G108" i="24"/>
  <c r="F108" i="24"/>
  <c r="E108" i="24"/>
  <c r="D108" i="24"/>
  <c r="BP107" i="24"/>
  <c r="BN107" i="24"/>
  <c r="BM107" i="24"/>
  <c r="BH107" i="24"/>
  <c r="BG107" i="24"/>
  <c r="BF107" i="24"/>
  <c r="BE107" i="24"/>
  <c r="BD107" i="24"/>
  <c r="BC107" i="24"/>
  <c r="AC107" i="24" s="1"/>
  <c r="BB107" i="24"/>
  <c r="BA107" i="24"/>
  <c r="AZ107" i="24"/>
  <c r="AY107" i="24"/>
  <c r="AX107" i="24"/>
  <c r="AW107" i="24"/>
  <c r="AV107" i="24"/>
  <c r="AU107" i="24"/>
  <c r="AT107" i="24"/>
  <c r="AO107" i="24"/>
  <c r="AN107" i="24"/>
  <c r="AM107" i="24"/>
  <c r="X107" i="24"/>
  <c r="W107" i="24"/>
  <c r="U107" i="24"/>
  <c r="S107" i="24"/>
  <c r="R107" i="24"/>
  <c r="Q107" i="24"/>
  <c r="N107" i="24"/>
  <c r="M107" i="24"/>
  <c r="K107" i="24"/>
  <c r="I107" i="24"/>
  <c r="H107" i="24"/>
  <c r="G107" i="24"/>
  <c r="F107" i="24"/>
  <c r="E107" i="24"/>
  <c r="D107" i="24"/>
  <c r="BP106" i="24"/>
  <c r="BN106" i="24"/>
  <c r="BM106" i="24"/>
  <c r="BH106" i="24"/>
  <c r="BG106" i="24"/>
  <c r="BF106" i="24"/>
  <c r="BE106" i="24"/>
  <c r="BD106" i="24"/>
  <c r="BC106" i="24"/>
  <c r="AC106" i="24" s="1"/>
  <c r="BB106" i="24"/>
  <c r="BA106" i="24"/>
  <c r="AZ106" i="24"/>
  <c r="AY106" i="24"/>
  <c r="AX106" i="24"/>
  <c r="AW106" i="24"/>
  <c r="AV106" i="24"/>
  <c r="AU106" i="24"/>
  <c r="AT106" i="24"/>
  <c r="AO106" i="24"/>
  <c r="AN106" i="24"/>
  <c r="AM106" i="24"/>
  <c r="X106" i="24"/>
  <c r="W106" i="24"/>
  <c r="U106" i="24"/>
  <c r="S106" i="24"/>
  <c r="R106" i="24"/>
  <c r="Q106" i="24"/>
  <c r="N106" i="24"/>
  <c r="M106" i="24"/>
  <c r="K106" i="24"/>
  <c r="I106" i="24"/>
  <c r="H106" i="24"/>
  <c r="G106" i="24"/>
  <c r="F106" i="24"/>
  <c r="E106" i="24"/>
  <c r="D106" i="24"/>
  <c r="BP105" i="24"/>
  <c r="BN105" i="24"/>
  <c r="BM105" i="24"/>
  <c r="BH105" i="24"/>
  <c r="BG105" i="24"/>
  <c r="BF105" i="24"/>
  <c r="BE105" i="24"/>
  <c r="BD105" i="24"/>
  <c r="BC105" i="24"/>
  <c r="AC105" i="24" s="1"/>
  <c r="BB105" i="24"/>
  <c r="BA105" i="24"/>
  <c r="AZ105" i="24"/>
  <c r="AY105" i="24"/>
  <c r="AX105" i="24"/>
  <c r="AW105" i="24"/>
  <c r="AV105" i="24"/>
  <c r="AU105" i="24"/>
  <c r="AT105" i="24"/>
  <c r="AO105" i="24"/>
  <c r="AN105" i="24"/>
  <c r="AM105" i="24"/>
  <c r="X105" i="24"/>
  <c r="W105" i="24"/>
  <c r="U105" i="24"/>
  <c r="S105" i="24"/>
  <c r="R105" i="24"/>
  <c r="Q105" i="24"/>
  <c r="N105" i="24"/>
  <c r="M105" i="24"/>
  <c r="K105" i="24"/>
  <c r="I105" i="24"/>
  <c r="H105" i="24"/>
  <c r="G105" i="24"/>
  <c r="F105" i="24"/>
  <c r="E105" i="24"/>
  <c r="D105" i="24"/>
  <c r="BP104" i="24"/>
  <c r="BN104" i="24"/>
  <c r="BM104" i="24"/>
  <c r="BH104" i="24"/>
  <c r="BG104" i="24"/>
  <c r="BF104" i="24"/>
  <c r="BE104" i="24"/>
  <c r="BD104" i="24"/>
  <c r="BC104" i="24"/>
  <c r="AC104" i="24" s="1"/>
  <c r="BB104" i="24"/>
  <c r="BA104" i="24"/>
  <c r="AZ104" i="24"/>
  <c r="AY104" i="24"/>
  <c r="AX104" i="24"/>
  <c r="AW104" i="24"/>
  <c r="AV104" i="24"/>
  <c r="AU104" i="24"/>
  <c r="AT104" i="24"/>
  <c r="AO104" i="24"/>
  <c r="AN104" i="24"/>
  <c r="AM104" i="24"/>
  <c r="X104" i="24"/>
  <c r="W104" i="24"/>
  <c r="U104" i="24"/>
  <c r="S104" i="24"/>
  <c r="R104" i="24"/>
  <c r="Q104" i="24"/>
  <c r="N104" i="24"/>
  <c r="M104" i="24"/>
  <c r="K104" i="24"/>
  <c r="I104" i="24"/>
  <c r="H104" i="24"/>
  <c r="G104" i="24"/>
  <c r="F104" i="24"/>
  <c r="E104" i="24"/>
  <c r="D104" i="24"/>
  <c r="BP103" i="24"/>
  <c r="BN103" i="24"/>
  <c r="BM103" i="24"/>
  <c r="BH103" i="24"/>
  <c r="BG103" i="24"/>
  <c r="BF103" i="24"/>
  <c r="BE103" i="24"/>
  <c r="BD103" i="24"/>
  <c r="BC103" i="24"/>
  <c r="AC103" i="24" s="1"/>
  <c r="BB103" i="24"/>
  <c r="BA103" i="24"/>
  <c r="AZ103" i="24"/>
  <c r="AY103" i="24"/>
  <c r="AX103" i="24"/>
  <c r="AW103" i="24"/>
  <c r="AV103" i="24"/>
  <c r="AU103" i="24"/>
  <c r="AT103" i="24"/>
  <c r="AO103" i="24"/>
  <c r="AN103" i="24"/>
  <c r="AM103" i="24"/>
  <c r="X103" i="24"/>
  <c r="W103" i="24"/>
  <c r="U103" i="24"/>
  <c r="S103" i="24"/>
  <c r="R103" i="24"/>
  <c r="Q103" i="24"/>
  <c r="N103" i="24"/>
  <c r="M103" i="24"/>
  <c r="K103" i="24"/>
  <c r="I103" i="24"/>
  <c r="H103" i="24"/>
  <c r="G103" i="24"/>
  <c r="F103" i="24"/>
  <c r="E103" i="24"/>
  <c r="D103" i="24"/>
  <c r="BP102" i="24"/>
  <c r="BN102" i="24"/>
  <c r="BM102" i="24"/>
  <c r="BH102" i="24"/>
  <c r="BG102" i="24"/>
  <c r="BF102" i="24"/>
  <c r="BE102" i="24"/>
  <c r="BD102" i="24"/>
  <c r="BC102" i="24"/>
  <c r="AC102" i="24" s="1"/>
  <c r="BB102" i="24"/>
  <c r="BA102" i="24"/>
  <c r="AZ102" i="24"/>
  <c r="AY102" i="24"/>
  <c r="AX102" i="24"/>
  <c r="AW102" i="24"/>
  <c r="AV102" i="24"/>
  <c r="AU102" i="24"/>
  <c r="AT102" i="24"/>
  <c r="AO102" i="24"/>
  <c r="AN102" i="24"/>
  <c r="AM102" i="24"/>
  <c r="X102" i="24"/>
  <c r="W102" i="24"/>
  <c r="U102" i="24"/>
  <c r="S102" i="24"/>
  <c r="R102" i="24"/>
  <c r="Q102" i="24"/>
  <c r="N102" i="24"/>
  <c r="M102" i="24"/>
  <c r="K102" i="24"/>
  <c r="I102" i="24"/>
  <c r="H102" i="24"/>
  <c r="G102" i="24"/>
  <c r="F102" i="24"/>
  <c r="E102" i="24"/>
  <c r="D102" i="24"/>
  <c r="BP101" i="24"/>
  <c r="BN101" i="24"/>
  <c r="BM101" i="24"/>
  <c r="BH101" i="24"/>
  <c r="BG101" i="24"/>
  <c r="BF101" i="24"/>
  <c r="BE101" i="24"/>
  <c r="BD101" i="24"/>
  <c r="BC101" i="24"/>
  <c r="AC101" i="24" s="1"/>
  <c r="BB101" i="24"/>
  <c r="BA101" i="24"/>
  <c r="AZ101" i="24"/>
  <c r="AY101" i="24"/>
  <c r="AX101" i="24"/>
  <c r="AW101" i="24"/>
  <c r="AV101" i="24"/>
  <c r="AU101" i="24"/>
  <c r="AT101" i="24"/>
  <c r="AO101" i="24"/>
  <c r="AN101" i="24"/>
  <c r="AM101" i="24"/>
  <c r="X101" i="24"/>
  <c r="W101" i="24"/>
  <c r="U101" i="24"/>
  <c r="S101" i="24"/>
  <c r="R101" i="24"/>
  <c r="Q101" i="24"/>
  <c r="N101" i="24"/>
  <c r="M101" i="24"/>
  <c r="K101" i="24"/>
  <c r="I101" i="24"/>
  <c r="H101" i="24"/>
  <c r="G101" i="24"/>
  <c r="F101" i="24"/>
  <c r="E101" i="24"/>
  <c r="D101" i="24"/>
  <c r="BP100" i="24"/>
  <c r="BN100" i="24"/>
  <c r="BM100" i="24"/>
  <c r="BH100" i="24"/>
  <c r="BG100" i="24"/>
  <c r="BF100" i="24"/>
  <c r="BE100" i="24"/>
  <c r="BD100" i="24"/>
  <c r="BC100" i="24"/>
  <c r="AC100" i="24" s="1"/>
  <c r="BB100" i="24"/>
  <c r="BA100" i="24"/>
  <c r="AZ100" i="24"/>
  <c r="AY100" i="24"/>
  <c r="AX100" i="24"/>
  <c r="AW100" i="24"/>
  <c r="AV100" i="24"/>
  <c r="AU100" i="24"/>
  <c r="AT100" i="24"/>
  <c r="AO100" i="24"/>
  <c r="AN100" i="24"/>
  <c r="AM100" i="24"/>
  <c r="X100" i="24"/>
  <c r="W100" i="24"/>
  <c r="U100" i="24"/>
  <c r="S100" i="24"/>
  <c r="R100" i="24"/>
  <c r="Q100" i="24"/>
  <c r="N100" i="24"/>
  <c r="M100" i="24"/>
  <c r="K100" i="24"/>
  <c r="I100" i="24"/>
  <c r="H100" i="24"/>
  <c r="G100" i="24"/>
  <c r="F100" i="24"/>
  <c r="E100" i="24"/>
  <c r="D100" i="24"/>
  <c r="BP99" i="24"/>
  <c r="BN99" i="24"/>
  <c r="BM99" i="24"/>
  <c r="BH99" i="24"/>
  <c r="BG99" i="24"/>
  <c r="BF99" i="24"/>
  <c r="BE99" i="24"/>
  <c r="BD99" i="24"/>
  <c r="BC99" i="24"/>
  <c r="AC99" i="24" s="1"/>
  <c r="BB99" i="24"/>
  <c r="BA99" i="24"/>
  <c r="AZ99" i="24"/>
  <c r="AY99" i="24"/>
  <c r="AX99" i="24"/>
  <c r="AW99" i="24"/>
  <c r="AV99" i="24"/>
  <c r="AU99" i="24"/>
  <c r="AT99" i="24"/>
  <c r="AO99" i="24"/>
  <c r="AN99" i="24"/>
  <c r="AM99" i="24"/>
  <c r="X99" i="24"/>
  <c r="W99" i="24"/>
  <c r="U99" i="24"/>
  <c r="S99" i="24"/>
  <c r="R99" i="24"/>
  <c r="Q99" i="24"/>
  <c r="N99" i="24"/>
  <c r="M99" i="24"/>
  <c r="K99" i="24"/>
  <c r="I99" i="24"/>
  <c r="H99" i="24"/>
  <c r="G99" i="24"/>
  <c r="F99" i="24"/>
  <c r="E99" i="24"/>
  <c r="D99" i="24"/>
  <c r="BP98" i="24"/>
  <c r="BN98" i="24"/>
  <c r="BM98" i="24"/>
  <c r="BH98" i="24"/>
  <c r="BG98" i="24"/>
  <c r="BF98" i="24"/>
  <c r="BE98" i="24"/>
  <c r="BD98" i="24"/>
  <c r="BC98" i="24"/>
  <c r="AC98" i="24" s="1"/>
  <c r="BB98" i="24"/>
  <c r="BA98" i="24"/>
  <c r="AZ98" i="24"/>
  <c r="AY98" i="24"/>
  <c r="AX98" i="24"/>
  <c r="AW98" i="24"/>
  <c r="AV98" i="24"/>
  <c r="AU98" i="24"/>
  <c r="AT98" i="24"/>
  <c r="AO98" i="24"/>
  <c r="AN98" i="24"/>
  <c r="AM98" i="24"/>
  <c r="X98" i="24"/>
  <c r="W98" i="24"/>
  <c r="U98" i="24"/>
  <c r="S98" i="24"/>
  <c r="R98" i="24"/>
  <c r="Q98" i="24"/>
  <c r="N98" i="24"/>
  <c r="M98" i="24"/>
  <c r="K98" i="24"/>
  <c r="I98" i="24"/>
  <c r="H98" i="24"/>
  <c r="G98" i="24"/>
  <c r="F98" i="24"/>
  <c r="E98" i="24"/>
  <c r="D98" i="24"/>
  <c r="BP97" i="24"/>
  <c r="BN97" i="24"/>
  <c r="BM97" i="24"/>
  <c r="BH97" i="24"/>
  <c r="BG97" i="24"/>
  <c r="BF97" i="24"/>
  <c r="BE97" i="24"/>
  <c r="BD97" i="24"/>
  <c r="BC97" i="24"/>
  <c r="AC97" i="24" s="1"/>
  <c r="BB97" i="24"/>
  <c r="BA97" i="24"/>
  <c r="AZ97" i="24"/>
  <c r="AY97" i="24"/>
  <c r="AX97" i="24"/>
  <c r="AW97" i="24"/>
  <c r="AV97" i="24"/>
  <c r="AU97" i="24"/>
  <c r="AT97" i="24"/>
  <c r="AO97" i="24"/>
  <c r="AN97" i="24"/>
  <c r="AM97" i="24"/>
  <c r="X97" i="24"/>
  <c r="W97" i="24"/>
  <c r="U97" i="24"/>
  <c r="S97" i="24"/>
  <c r="R97" i="24"/>
  <c r="Q97" i="24"/>
  <c r="N97" i="24"/>
  <c r="M97" i="24"/>
  <c r="K97" i="24"/>
  <c r="I97" i="24"/>
  <c r="H97" i="24"/>
  <c r="G97" i="24"/>
  <c r="F97" i="24"/>
  <c r="E97" i="24"/>
  <c r="D97" i="24"/>
  <c r="BP96" i="24"/>
  <c r="BN96" i="24"/>
  <c r="BM96" i="24"/>
  <c r="BH96" i="24"/>
  <c r="BG96" i="24"/>
  <c r="BF96" i="24"/>
  <c r="BE96" i="24"/>
  <c r="BD96" i="24"/>
  <c r="BC96" i="24"/>
  <c r="AC96" i="24" s="1"/>
  <c r="BB96" i="24"/>
  <c r="BA96" i="24"/>
  <c r="AZ96" i="24"/>
  <c r="AY96" i="24"/>
  <c r="AX96" i="24"/>
  <c r="AW96" i="24"/>
  <c r="AV96" i="24"/>
  <c r="AU96" i="24"/>
  <c r="AT96" i="24"/>
  <c r="AO96" i="24"/>
  <c r="AN96" i="24"/>
  <c r="AM96" i="24"/>
  <c r="X96" i="24"/>
  <c r="W96" i="24"/>
  <c r="U96" i="24"/>
  <c r="S96" i="24"/>
  <c r="R96" i="24"/>
  <c r="Q96" i="24"/>
  <c r="N96" i="24"/>
  <c r="M96" i="24"/>
  <c r="K96" i="24"/>
  <c r="I96" i="24"/>
  <c r="H96" i="24"/>
  <c r="G96" i="24"/>
  <c r="F96" i="24"/>
  <c r="E96" i="24"/>
  <c r="D96" i="24"/>
  <c r="BP95" i="24"/>
  <c r="BN95" i="24"/>
  <c r="BM95" i="24"/>
  <c r="BH95" i="24"/>
  <c r="BG95" i="24"/>
  <c r="BF95" i="24"/>
  <c r="BE95" i="24"/>
  <c r="BD95" i="24"/>
  <c r="BC95" i="24"/>
  <c r="AC95" i="24" s="1"/>
  <c r="BB95" i="24"/>
  <c r="BA95" i="24"/>
  <c r="AY95" i="24"/>
  <c r="AX95" i="24"/>
  <c r="AW95" i="24"/>
  <c r="AV95" i="24"/>
  <c r="AU95" i="24"/>
  <c r="AT95" i="24"/>
  <c r="AO95" i="24"/>
  <c r="AN95" i="24"/>
  <c r="AM95" i="24"/>
  <c r="X95" i="24"/>
  <c r="W95" i="24"/>
  <c r="U95" i="24"/>
  <c r="S95" i="24"/>
  <c r="R95" i="24"/>
  <c r="Q95" i="24"/>
  <c r="N95" i="24"/>
  <c r="M95" i="24"/>
  <c r="K95" i="24"/>
  <c r="I95" i="24"/>
  <c r="H95" i="24"/>
  <c r="G95" i="24"/>
  <c r="F95" i="24"/>
  <c r="E95" i="24"/>
  <c r="D95" i="24"/>
  <c r="BP94" i="24"/>
  <c r="BN94" i="24"/>
  <c r="BM94" i="24"/>
  <c r="BH94" i="24"/>
  <c r="BG94" i="24"/>
  <c r="BF94" i="24"/>
  <c r="BE94" i="24"/>
  <c r="BD94" i="24"/>
  <c r="BC94" i="24"/>
  <c r="AC94" i="24" s="1"/>
  <c r="BB94" i="24"/>
  <c r="BA94" i="24"/>
  <c r="AZ94" i="24"/>
  <c r="AY94" i="24"/>
  <c r="AX94" i="24"/>
  <c r="AW94" i="24"/>
  <c r="AV94" i="24"/>
  <c r="AU94" i="24"/>
  <c r="AT94" i="24"/>
  <c r="AO94" i="24"/>
  <c r="AN94" i="24"/>
  <c r="AM94" i="24"/>
  <c r="X94" i="24"/>
  <c r="W94" i="24"/>
  <c r="U94" i="24"/>
  <c r="S94" i="24"/>
  <c r="R94" i="24"/>
  <c r="Q94" i="24"/>
  <c r="N94" i="24"/>
  <c r="M94" i="24"/>
  <c r="K94" i="24"/>
  <c r="I94" i="24"/>
  <c r="H94" i="24"/>
  <c r="G94" i="24"/>
  <c r="F94" i="24"/>
  <c r="E94" i="24"/>
  <c r="D94" i="24"/>
  <c r="BP93" i="24"/>
  <c r="BN93" i="24"/>
  <c r="BM93" i="24"/>
  <c r="BH93" i="24"/>
  <c r="BG93" i="24"/>
  <c r="BF93" i="24"/>
  <c r="BE93" i="24"/>
  <c r="BD93" i="24"/>
  <c r="BC93" i="24"/>
  <c r="AC93" i="24" s="1"/>
  <c r="BB93" i="24"/>
  <c r="BA93" i="24"/>
  <c r="AZ93" i="24"/>
  <c r="AY93" i="24"/>
  <c r="AX93" i="24"/>
  <c r="AW93" i="24"/>
  <c r="AV93" i="24"/>
  <c r="AU93" i="24"/>
  <c r="AT93" i="24"/>
  <c r="AO93" i="24"/>
  <c r="AN93" i="24"/>
  <c r="AM93" i="24"/>
  <c r="X93" i="24"/>
  <c r="W93" i="24"/>
  <c r="U93" i="24"/>
  <c r="S93" i="24"/>
  <c r="R93" i="24"/>
  <c r="Q93" i="24"/>
  <c r="N93" i="24"/>
  <c r="M93" i="24"/>
  <c r="K93" i="24"/>
  <c r="I93" i="24"/>
  <c r="H93" i="24"/>
  <c r="G93" i="24"/>
  <c r="F93" i="24"/>
  <c r="E93" i="24"/>
  <c r="D93" i="24"/>
  <c r="BP92" i="24"/>
  <c r="BN92" i="24"/>
  <c r="BM92" i="24"/>
  <c r="BH92" i="24"/>
  <c r="BG92" i="24"/>
  <c r="BF92" i="24"/>
  <c r="BE92" i="24"/>
  <c r="BD92" i="24"/>
  <c r="BC92" i="24"/>
  <c r="AC92" i="24" s="1"/>
  <c r="BB92" i="24"/>
  <c r="BA92" i="24"/>
  <c r="AZ92" i="24"/>
  <c r="AY92" i="24"/>
  <c r="AX92" i="24"/>
  <c r="AW92" i="24"/>
  <c r="AV92" i="24"/>
  <c r="AU92" i="24"/>
  <c r="AT92" i="24"/>
  <c r="AO92" i="24"/>
  <c r="AN92" i="24"/>
  <c r="AM92" i="24"/>
  <c r="X92" i="24"/>
  <c r="W92" i="24"/>
  <c r="U92" i="24"/>
  <c r="S92" i="24"/>
  <c r="R92" i="24"/>
  <c r="Q92" i="24"/>
  <c r="N92" i="24"/>
  <c r="M92" i="24"/>
  <c r="K92" i="24"/>
  <c r="I92" i="24"/>
  <c r="H92" i="24"/>
  <c r="G92" i="24"/>
  <c r="F92" i="24"/>
  <c r="E92" i="24"/>
  <c r="D92" i="24"/>
  <c r="BP91" i="24"/>
  <c r="BN91" i="24"/>
  <c r="BM91" i="24"/>
  <c r="BH91" i="24"/>
  <c r="BG91" i="24"/>
  <c r="BF91" i="24"/>
  <c r="BE91" i="24"/>
  <c r="BD91" i="24"/>
  <c r="BC91" i="24"/>
  <c r="AC91" i="24" s="1"/>
  <c r="BB91" i="24"/>
  <c r="BA91" i="24"/>
  <c r="AZ91" i="24"/>
  <c r="AY91" i="24"/>
  <c r="AX91" i="24"/>
  <c r="AW91" i="24"/>
  <c r="AV91" i="24"/>
  <c r="AU91" i="24"/>
  <c r="AT91" i="24"/>
  <c r="AO91" i="24"/>
  <c r="AN91" i="24"/>
  <c r="AM91" i="24"/>
  <c r="X91" i="24"/>
  <c r="W91" i="24"/>
  <c r="U91" i="24"/>
  <c r="S91" i="24"/>
  <c r="R91" i="24"/>
  <c r="Q91" i="24"/>
  <c r="N91" i="24"/>
  <c r="M91" i="24"/>
  <c r="K91" i="24"/>
  <c r="I91" i="24"/>
  <c r="H91" i="24"/>
  <c r="G91" i="24"/>
  <c r="F91" i="24"/>
  <c r="E91" i="24"/>
  <c r="D91" i="24"/>
  <c r="BP90" i="24"/>
  <c r="BN90" i="24"/>
  <c r="BM90" i="24"/>
  <c r="BH90" i="24"/>
  <c r="BG90" i="24"/>
  <c r="BF90" i="24"/>
  <c r="BE90" i="24"/>
  <c r="BD90" i="24"/>
  <c r="BC90" i="24"/>
  <c r="AC90" i="24" s="1"/>
  <c r="BB90" i="24"/>
  <c r="BA90" i="24"/>
  <c r="AZ90" i="24"/>
  <c r="AY90" i="24"/>
  <c r="AX90" i="24"/>
  <c r="AW90" i="24"/>
  <c r="AV90" i="24"/>
  <c r="AU90" i="24"/>
  <c r="AT90" i="24"/>
  <c r="AO90" i="24"/>
  <c r="AN90" i="24"/>
  <c r="AM90" i="24"/>
  <c r="X90" i="24"/>
  <c r="W90" i="24"/>
  <c r="U90" i="24"/>
  <c r="S90" i="24"/>
  <c r="R90" i="24"/>
  <c r="Q90" i="24"/>
  <c r="N90" i="24"/>
  <c r="M90" i="24"/>
  <c r="K90" i="24"/>
  <c r="I90" i="24"/>
  <c r="H90" i="24"/>
  <c r="G90" i="24"/>
  <c r="F90" i="24"/>
  <c r="E90" i="24"/>
  <c r="D90" i="24"/>
  <c r="BP89" i="24"/>
  <c r="BN89" i="24"/>
  <c r="BM89" i="24"/>
  <c r="BH89" i="24"/>
  <c r="BG89" i="24"/>
  <c r="BF89" i="24"/>
  <c r="BE89" i="24"/>
  <c r="BD89" i="24"/>
  <c r="BC89" i="24"/>
  <c r="AC89" i="24" s="1"/>
  <c r="BB89" i="24"/>
  <c r="BA89" i="24"/>
  <c r="AZ89" i="24"/>
  <c r="AY89" i="24"/>
  <c r="AX89" i="24"/>
  <c r="AW89" i="24"/>
  <c r="AV89" i="24"/>
  <c r="AU89" i="24"/>
  <c r="AT89" i="24"/>
  <c r="AO89" i="24"/>
  <c r="AN89" i="24"/>
  <c r="AM89" i="24"/>
  <c r="X89" i="24"/>
  <c r="W89" i="24"/>
  <c r="U89" i="24"/>
  <c r="S89" i="24"/>
  <c r="R89" i="24"/>
  <c r="Q89" i="24"/>
  <c r="N89" i="24"/>
  <c r="M89" i="24"/>
  <c r="K89" i="24"/>
  <c r="I89" i="24"/>
  <c r="H89" i="24"/>
  <c r="G89" i="24"/>
  <c r="F89" i="24"/>
  <c r="E89" i="24"/>
  <c r="D89" i="24"/>
  <c r="BP88" i="24"/>
  <c r="BN88" i="24"/>
  <c r="BM88" i="24"/>
  <c r="BH88" i="24"/>
  <c r="BG88" i="24"/>
  <c r="BF88" i="24"/>
  <c r="BE88" i="24"/>
  <c r="BD88" i="24"/>
  <c r="BC88" i="24"/>
  <c r="AC88" i="24" s="1"/>
  <c r="BB88" i="24"/>
  <c r="BA88" i="24"/>
  <c r="AZ88" i="24"/>
  <c r="AY88" i="24"/>
  <c r="AX88" i="24"/>
  <c r="AW88" i="24"/>
  <c r="AV88" i="24"/>
  <c r="AU88" i="24"/>
  <c r="AT88" i="24"/>
  <c r="AO88" i="24"/>
  <c r="AN88" i="24"/>
  <c r="AM88" i="24"/>
  <c r="X88" i="24"/>
  <c r="W88" i="24"/>
  <c r="U88" i="24"/>
  <c r="S88" i="24"/>
  <c r="R88" i="24"/>
  <c r="Q88" i="24"/>
  <c r="N88" i="24"/>
  <c r="M88" i="24"/>
  <c r="K88" i="24"/>
  <c r="I88" i="24"/>
  <c r="H88" i="24"/>
  <c r="G88" i="24"/>
  <c r="F88" i="24"/>
  <c r="E88" i="24"/>
  <c r="D88" i="24"/>
  <c r="BP87" i="24"/>
  <c r="BN87" i="24"/>
  <c r="BM87" i="24"/>
  <c r="BH87" i="24"/>
  <c r="BG87" i="24"/>
  <c r="BF87" i="24"/>
  <c r="BE87" i="24"/>
  <c r="BD87" i="24"/>
  <c r="BC87" i="24"/>
  <c r="AC87" i="24" s="1"/>
  <c r="BB87" i="24"/>
  <c r="BA87" i="24"/>
  <c r="AZ87" i="24"/>
  <c r="AY87" i="24"/>
  <c r="AX87" i="24"/>
  <c r="AW87" i="24"/>
  <c r="AV87" i="24"/>
  <c r="AU87" i="24"/>
  <c r="AT87" i="24"/>
  <c r="AO87" i="24"/>
  <c r="AN87" i="24"/>
  <c r="AM87" i="24"/>
  <c r="X87" i="24"/>
  <c r="W87" i="24"/>
  <c r="U87" i="24"/>
  <c r="S87" i="24"/>
  <c r="R87" i="24"/>
  <c r="Q87" i="24"/>
  <c r="N87" i="24"/>
  <c r="M87" i="24"/>
  <c r="K87" i="24"/>
  <c r="I87" i="24"/>
  <c r="H87" i="24"/>
  <c r="G87" i="24"/>
  <c r="F87" i="24"/>
  <c r="E87" i="24"/>
  <c r="D87" i="24"/>
  <c r="BP86" i="24"/>
  <c r="BN86" i="24"/>
  <c r="BM86" i="24"/>
  <c r="BH86" i="24"/>
  <c r="BG86" i="24"/>
  <c r="BF86" i="24"/>
  <c r="BE86" i="24"/>
  <c r="BD86" i="24"/>
  <c r="BC86" i="24"/>
  <c r="AC86" i="24" s="1"/>
  <c r="BB86" i="24"/>
  <c r="BA86" i="24"/>
  <c r="AZ86" i="24"/>
  <c r="AY86" i="24"/>
  <c r="AX86" i="24"/>
  <c r="AW86" i="24"/>
  <c r="AV86" i="24"/>
  <c r="AU86" i="24"/>
  <c r="AT86" i="24"/>
  <c r="AO86" i="24"/>
  <c r="AN86" i="24"/>
  <c r="AM86" i="24"/>
  <c r="X86" i="24"/>
  <c r="W86" i="24"/>
  <c r="U86" i="24"/>
  <c r="S86" i="24"/>
  <c r="R86" i="24"/>
  <c r="Q86" i="24"/>
  <c r="N86" i="24"/>
  <c r="M86" i="24"/>
  <c r="K86" i="24"/>
  <c r="I86" i="24"/>
  <c r="H86" i="24"/>
  <c r="G86" i="24"/>
  <c r="F86" i="24"/>
  <c r="E86" i="24"/>
  <c r="D86" i="24"/>
  <c r="BP85" i="24"/>
  <c r="BN85" i="24"/>
  <c r="BM85" i="24"/>
  <c r="BH85" i="24"/>
  <c r="BG85" i="24"/>
  <c r="BF85" i="24"/>
  <c r="BE85" i="24"/>
  <c r="BD85" i="24"/>
  <c r="BC85" i="24"/>
  <c r="AC85" i="24" s="1"/>
  <c r="BB85" i="24"/>
  <c r="BA85" i="24"/>
  <c r="AZ85" i="24"/>
  <c r="AY85" i="24"/>
  <c r="AX85" i="24"/>
  <c r="AW85" i="24"/>
  <c r="AV85" i="24"/>
  <c r="AU85" i="24"/>
  <c r="AT85" i="24"/>
  <c r="AO85" i="24"/>
  <c r="AN85" i="24"/>
  <c r="AM85" i="24"/>
  <c r="X85" i="24"/>
  <c r="W85" i="24"/>
  <c r="U85" i="24"/>
  <c r="S85" i="24"/>
  <c r="R85" i="24"/>
  <c r="Q85" i="24"/>
  <c r="N85" i="24"/>
  <c r="M85" i="24"/>
  <c r="K85" i="24"/>
  <c r="I85" i="24"/>
  <c r="H85" i="24"/>
  <c r="G85" i="24"/>
  <c r="F85" i="24"/>
  <c r="E85" i="24"/>
  <c r="D85" i="24"/>
  <c r="BP84" i="24"/>
  <c r="BN84" i="24"/>
  <c r="BM84" i="24"/>
  <c r="BH84" i="24"/>
  <c r="BG84" i="24"/>
  <c r="BF84" i="24"/>
  <c r="BE84" i="24"/>
  <c r="BD84" i="24"/>
  <c r="BC84" i="24"/>
  <c r="AC84" i="24" s="1"/>
  <c r="BB84" i="24"/>
  <c r="BA84" i="24"/>
  <c r="AZ84" i="24"/>
  <c r="AY84" i="24"/>
  <c r="AX84" i="24"/>
  <c r="AW84" i="24"/>
  <c r="AV84" i="24"/>
  <c r="AU84" i="24"/>
  <c r="AT84" i="24"/>
  <c r="AO84" i="24"/>
  <c r="AN84" i="24"/>
  <c r="AM84" i="24"/>
  <c r="X84" i="24"/>
  <c r="W84" i="24"/>
  <c r="U84" i="24"/>
  <c r="S84" i="24"/>
  <c r="R84" i="24"/>
  <c r="Q84" i="24"/>
  <c r="N84" i="24"/>
  <c r="M84" i="24"/>
  <c r="K84" i="24"/>
  <c r="I84" i="24"/>
  <c r="H84" i="24"/>
  <c r="G84" i="24"/>
  <c r="F84" i="24"/>
  <c r="E84" i="24"/>
  <c r="D84" i="24"/>
  <c r="BP83" i="24"/>
  <c r="BN83" i="24"/>
  <c r="BM83" i="24"/>
  <c r="BH83" i="24"/>
  <c r="BG83" i="24"/>
  <c r="BF83" i="24"/>
  <c r="BE83" i="24"/>
  <c r="BD83" i="24"/>
  <c r="BC83" i="24"/>
  <c r="AC83" i="24" s="1"/>
  <c r="BB83" i="24"/>
  <c r="BA83" i="24"/>
  <c r="AZ83" i="24"/>
  <c r="AY83" i="24"/>
  <c r="AX83" i="24"/>
  <c r="AW83" i="24"/>
  <c r="AV83" i="24"/>
  <c r="AU83" i="24"/>
  <c r="AT83" i="24"/>
  <c r="AO83" i="24"/>
  <c r="AN83" i="24"/>
  <c r="AM83" i="24"/>
  <c r="X83" i="24"/>
  <c r="W83" i="24"/>
  <c r="U83" i="24"/>
  <c r="S83" i="24"/>
  <c r="R83" i="24"/>
  <c r="Q83" i="24"/>
  <c r="N83" i="24"/>
  <c r="M83" i="24"/>
  <c r="K83" i="24"/>
  <c r="I83" i="24"/>
  <c r="H83" i="24"/>
  <c r="G83" i="24"/>
  <c r="F83" i="24"/>
  <c r="E83" i="24"/>
  <c r="D83" i="24"/>
  <c r="BP82" i="24"/>
  <c r="BN82" i="24"/>
  <c r="BM82" i="24"/>
  <c r="BH82" i="24"/>
  <c r="BG82" i="24"/>
  <c r="BF82" i="24"/>
  <c r="BE82" i="24"/>
  <c r="BD82" i="24"/>
  <c r="BC82" i="24"/>
  <c r="AC82" i="24" s="1"/>
  <c r="BB82" i="24"/>
  <c r="BA82" i="24"/>
  <c r="AZ82" i="24"/>
  <c r="AY82" i="24"/>
  <c r="AX82" i="24"/>
  <c r="AW82" i="24"/>
  <c r="AV82" i="24"/>
  <c r="AU82" i="24"/>
  <c r="AT82" i="24"/>
  <c r="AO82" i="24"/>
  <c r="AN82" i="24"/>
  <c r="AM82" i="24"/>
  <c r="X82" i="24"/>
  <c r="W82" i="24"/>
  <c r="U82" i="24"/>
  <c r="S82" i="24"/>
  <c r="R82" i="24"/>
  <c r="Q82" i="24"/>
  <c r="N82" i="24"/>
  <c r="M82" i="24"/>
  <c r="K82" i="24"/>
  <c r="I82" i="24"/>
  <c r="H82" i="24"/>
  <c r="G82" i="24"/>
  <c r="F82" i="24"/>
  <c r="E82" i="24"/>
  <c r="D82" i="24"/>
  <c r="BP81" i="24"/>
  <c r="BN81" i="24"/>
  <c r="BM81" i="24"/>
  <c r="BH81" i="24"/>
  <c r="BG81" i="24"/>
  <c r="BF81" i="24"/>
  <c r="BE81" i="24"/>
  <c r="BD81" i="24"/>
  <c r="BC81" i="24"/>
  <c r="AC81" i="24" s="1"/>
  <c r="BB81" i="24"/>
  <c r="BA81" i="24"/>
  <c r="AZ81" i="24"/>
  <c r="AY81" i="24"/>
  <c r="AX81" i="24"/>
  <c r="AW81" i="24"/>
  <c r="AV81" i="24"/>
  <c r="AU81" i="24"/>
  <c r="AT81" i="24"/>
  <c r="AO81" i="24"/>
  <c r="AN81" i="24"/>
  <c r="AM81" i="24"/>
  <c r="X81" i="24"/>
  <c r="W81" i="24"/>
  <c r="U81" i="24"/>
  <c r="S81" i="24"/>
  <c r="R81" i="24"/>
  <c r="Q81" i="24"/>
  <c r="N81" i="24"/>
  <c r="M81" i="24"/>
  <c r="K81" i="24"/>
  <c r="I81" i="24"/>
  <c r="H81" i="24"/>
  <c r="G81" i="24"/>
  <c r="F81" i="24"/>
  <c r="E81" i="24"/>
  <c r="D81" i="24"/>
  <c r="BP80" i="24"/>
  <c r="BN80" i="24"/>
  <c r="BM80" i="24"/>
  <c r="BH80" i="24"/>
  <c r="BG80" i="24"/>
  <c r="BF80" i="24"/>
  <c r="BE80" i="24"/>
  <c r="BD80" i="24"/>
  <c r="BC80" i="24"/>
  <c r="AC80" i="24" s="1"/>
  <c r="BB80" i="24"/>
  <c r="BA80" i="24"/>
  <c r="AZ80" i="24"/>
  <c r="AY80" i="24"/>
  <c r="AX80" i="24"/>
  <c r="AW80" i="24"/>
  <c r="AV80" i="24"/>
  <c r="AU80" i="24"/>
  <c r="AT80" i="24"/>
  <c r="AO80" i="24"/>
  <c r="AN80" i="24"/>
  <c r="AM80" i="24"/>
  <c r="X80" i="24"/>
  <c r="W80" i="24"/>
  <c r="U80" i="24"/>
  <c r="S80" i="24"/>
  <c r="R80" i="24"/>
  <c r="Q80" i="24"/>
  <c r="N80" i="24"/>
  <c r="M80" i="24"/>
  <c r="K80" i="24"/>
  <c r="I80" i="24"/>
  <c r="H80" i="24"/>
  <c r="G80" i="24"/>
  <c r="F80" i="24"/>
  <c r="E80" i="24"/>
  <c r="D80" i="24"/>
  <c r="BP79" i="24"/>
  <c r="BN79" i="24"/>
  <c r="BM79" i="24"/>
  <c r="BH79" i="24"/>
  <c r="BG79" i="24"/>
  <c r="BF79" i="24"/>
  <c r="BE79" i="24"/>
  <c r="BD79" i="24"/>
  <c r="BC79" i="24"/>
  <c r="AC79" i="24" s="1"/>
  <c r="BB79" i="24"/>
  <c r="BA79" i="24"/>
  <c r="AZ79" i="24"/>
  <c r="AY79" i="24"/>
  <c r="AX79" i="24"/>
  <c r="AW79" i="24"/>
  <c r="AV79" i="24"/>
  <c r="AU79" i="24"/>
  <c r="AT79" i="24"/>
  <c r="AO79" i="24"/>
  <c r="AN79" i="24"/>
  <c r="AM79" i="24"/>
  <c r="X79" i="24"/>
  <c r="W79" i="24"/>
  <c r="U79" i="24"/>
  <c r="S79" i="24"/>
  <c r="R79" i="24"/>
  <c r="Q79" i="24"/>
  <c r="N79" i="24"/>
  <c r="M79" i="24"/>
  <c r="K79" i="24"/>
  <c r="I79" i="24"/>
  <c r="H79" i="24"/>
  <c r="G79" i="24"/>
  <c r="F79" i="24"/>
  <c r="E79" i="24"/>
  <c r="D79" i="24"/>
  <c r="BP78" i="24"/>
  <c r="BN78" i="24"/>
  <c r="BM78" i="24"/>
  <c r="BH78" i="24"/>
  <c r="BG78" i="24"/>
  <c r="BF78" i="24"/>
  <c r="BE78" i="24"/>
  <c r="BD78" i="24"/>
  <c r="BC78" i="24"/>
  <c r="AC78" i="24" s="1"/>
  <c r="BB78" i="24"/>
  <c r="BA78" i="24"/>
  <c r="AZ78" i="24"/>
  <c r="AY78" i="24"/>
  <c r="AX78" i="24"/>
  <c r="AW78" i="24"/>
  <c r="AV78" i="24"/>
  <c r="AU78" i="24"/>
  <c r="AT78" i="24"/>
  <c r="AO78" i="24"/>
  <c r="AN78" i="24"/>
  <c r="AM78" i="24"/>
  <c r="X78" i="24"/>
  <c r="W78" i="24"/>
  <c r="U78" i="24"/>
  <c r="S78" i="24"/>
  <c r="R78" i="24"/>
  <c r="Q78" i="24"/>
  <c r="N78" i="24"/>
  <c r="M78" i="24"/>
  <c r="K78" i="24"/>
  <c r="I78" i="24"/>
  <c r="H78" i="24"/>
  <c r="G78" i="24"/>
  <c r="F78" i="24"/>
  <c r="E78" i="24"/>
  <c r="D78" i="24"/>
  <c r="BP77" i="24"/>
  <c r="BN77" i="24"/>
  <c r="BM77" i="24"/>
  <c r="BH77" i="24"/>
  <c r="BG77" i="24"/>
  <c r="BF77" i="24"/>
  <c r="BE77" i="24"/>
  <c r="BD77" i="24"/>
  <c r="BC77" i="24"/>
  <c r="AC77" i="24" s="1"/>
  <c r="BB77" i="24"/>
  <c r="BA77" i="24"/>
  <c r="AZ77" i="24"/>
  <c r="AY77" i="24"/>
  <c r="AX77" i="24"/>
  <c r="AW77" i="24"/>
  <c r="AV77" i="24"/>
  <c r="AU77" i="24"/>
  <c r="AT77" i="24"/>
  <c r="AO77" i="24"/>
  <c r="AN77" i="24"/>
  <c r="AM77" i="24"/>
  <c r="X77" i="24"/>
  <c r="W77" i="24"/>
  <c r="U77" i="24"/>
  <c r="S77" i="24"/>
  <c r="R77" i="24"/>
  <c r="Q77" i="24"/>
  <c r="N77" i="24"/>
  <c r="M77" i="24"/>
  <c r="K77" i="24"/>
  <c r="I77" i="24"/>
  <c r="H77" i="24"/>
  <c r="G77" i="24"/>
  <c r="F77" i="24"/>
  <c r="E77" i="24"/>
  <c r="D77" i="24"/>
  <c r="BP76" i="24"/>
  <c r="BN76" i="24"/>
  <c r="BM76" i="24"/>
  <c r="BH76" i="24"/>
  <c r="BG76" i="24"/>
  <c r="BF76" i="24"/>
  <c r="BE76" i="24"/>
  <c r="BD76" i="24"/>
  <c r="BC76" i="24"/>
  <c r="AC76" i="24" s="1"/>
  <c r="BB76" i="24"/>
  <c r="BA76" i="24"/>
  <c r="AZ76" i="24"/>
  <c r="AY76" i="24"/>
  <c r="AX76" i="24"/>
  <c r="AW76" i="24"/>
  <c r="AV76" i="24"/>
  <c r="AU76" i="24"/>
  <c r="AT76" i="24"/>
  <c r="AO76" i="24"/>
  <c r="AN76" i="24"/>
  <c r="AM76" i="24"/>
  <c r="X76" i="24"/>
  <c r="W76" i="24"/>
  <c r="U76" i="24"/>
  <c r="S76" i="24"/>
  <c r="R76" i="24"/>
  <c r="Q76" i="24"/>
  <c r="N76" i="24"/>
  <c r="M76" i="24"/>
  <c r="K76" i="24"/>
  <c r="I76" i="24"/>
  <c r="H76" i="24"/>
  <c r="G76" i="24"/>
  <c r="F76" i="24"/>
  <c r="E76" i="24"/>
  <c r="D76" i="24"/>
  <c r="BP75" i="24"/>
  <c r="BN75" i="24"/>
  <c r="BM75" i="24"/>
  <c r="BH75" i="24"/>
  <c r="BG75" i="24"/>
  <c r="BF75" i="24"/>
  <c r="BE75" i="24"/>
  <c r="BD75" i="24"/>
  <c r="BC75" i="24"/>
  <c r="AC75" i="24" s="1"/>
  <c r="BB75" i="24"/>
  <c r="BA75" i="24"/>
  <c r="AZ75" i="24"/>
  <c r="AY75" i="24"/>
  <c r="AX75" i="24"/>
  <c r="AW75" i="24"/>
  <c r="AV75" i="24"/>
  <c r="AU75" i="24"/>
  <c r="AT75" i="24"/>
  <c r="AO75" i="24"/>
  <c r="AN75" i="24"/>
  <c r="AM75" i="24"/>
  <c r="X75" i="24"/>
  <c r="W75" i="24"/>
  <c r="U75" i="24"/>
  <c r="S75" i="24"/>
  <c r="R75" i="24"/>
  <c r="Q75" i="24"/>
  <c r="N75" i="24"/>
  <c r="M75" i="24"/>
  <c r="K75" i="24"/>
  <c r="I75" i="24"/>
  <c r="H75" i="24"/>
  <c r="G75" i="24"/>
  <c r="F75" i="24"/>
  <c r="E75" i="24"/>
  <c r="D75" i="24"/>
  <c r="BP74" i="24"/>
  <c r="BN74" i="24"/>
  <c r="BM74" i="24"/>
  <c r="BH74" i="24"/>
  <c r="BG74" i="24"/>
  <c r="BF74" i="24"/>
  <c r="BE74" i="24"/>
  <c r="BD74" i="24"/>
  <c r="BC74" i="24"/>
  <c r="AC74" i="24" s="1"/>
  <c r="BB74" i="24"/>
  <c r="BA74" i="24"/>
  <c r="AZ74" i="24"/>
  <c r="AY74" i="24"/>
  <c r="AX74" i="24"/>
  <c r="AW74" i="24"/>
  <c r="AV74" i="24"/>
  <c r="AU74" i="24"/>
  <c r="AT74" i="24"/>
  <c r="AO74" i="24"/>
  <c r="AN74" i="24"/>
  <c r="AM74" i="24"/>
  <c r="X74" i="24"/>
  <c r="W74" i="24"/>
  <c r="U74" i="24"/>
  <c r="S74" i="24"/>
  <c r="R74" i="24"/>
  <c r="Q74" i="24"/>
  <c r="N74" i="24"/>
  <c r="M74" i="24"/>
  <c r="K74" i="24"/>
  <c r="I74" i="24"/>
  <c r="H74" i="24"/>
  <c r="G74" i="24"/>
  <c r="F74" i="24"/>
  <c r="E74" i="24"/>
  <c r="D74" i="24"/>
  <c r="BP73" i="24"/>
  <c r="BN73" i="24"/>
  <c r="BM73" i="24"/>
  <c r="BH73" i="24"/>
  <c r="BG73" i="24"/>
  <c r="BF73" i="24"/>
  <c r="BE73" i="24"/>
  <c r="BD73" i="24"/>
  <c r="BC73" i="24"/>
  <c r="AC73" i="24" s="1"/>
  <c r="BB73" i="24"/>
  <c r="BA73" i="24"/>
  <c r="AZ73" i="24"/>
  <c r="AY73" i="24"/>
  <c r="AX73" i="24"/>
  <c r="AW73" i="24"/>
  <c r="AV73" i="24"/>
  <c r="AU73" i="24"/>
  <c r="AT73" i="24"/>
  <c r="AO73" i="24"/>
  <c r="AN73" i="24"/>
  <c r="AM73" i="24"/>
  <c r="X73" i="24"/>
  <c r="W73" i="24"/>
  <c r="U73" i="24"/>
  <c r="S73" i="24"/>
  <c r="R73" i="24"/>
  <c r="Q73" i="24"/>
  <c r="N73" i="24"/>
  <c r="M73" i="24"/>
  <c r="K73" i="24"/>
  <c r="I73" i="24"/>
  <c r="H73" i="24"/>
  <c r="G73" i="24"/>
  <c r="F73" i="24"/>
  <c r="E73" i="24"/>
  <c r="D73" i="24"/>
  <c r="BP72" i="24"/>
  <c r="BN72" i="24"/>
  <c r="BM72" i="24"/>
  <c r="BH72" i="24"/>
  <c r="BG72" i="24"/>
  <c r="BF72" i="24"/>
  <c r="BE72" i="24"/>
  <c r="BD72" i="24"/>
  <c r="BC72" i="24"/>
  <c r="AC72" i="24" s="1"/>
  <c r="BB72" i="24"/>
  <c r="BA72" i="24"/>
  <c r="AZ72" i="24"/>
  <c r="AY72" i="24"/>
  <c r="AX72" i="24"/>
  <c r="AW72" i="24"/>
  <c r="AV72" i="24"/>
  <c r="AU72" i="24"/>
  <c r="AT72" i="24"/>
  <c r="AO72" i="24"/>
  <c r="AN72" i="24"/>
  <c r="AM72" i="24"/>
  <c r="X72" i="24"/>
  <c r="W72" i="24"/>
  <c r="U72" i="24"/>
  <c r="S72" i="24"/>
  <c r="R72" i="24"/>
  <c r="Q72" i="24"/>
  <c r="N72" i="24"/>
  <c r="M72" i="24"/>
  <c r="K72" i="24"/>
  <c r="I72" i="24"/>
  <c r="H72" i="24"/>
  <c r="G72" i="24"/>
  <c r="F72" i="24"/>
  <c r="E72" i="24"/>
  <c r="D72" i="24"/>
  <c r="BP71" i="24"/>
  <c r="BN71" i="24"/>
  <c r="BM71" i="24"/>
  <c r="BH71" i="24"/>
  <c r="BG71" i="24"/>
  <c r="BF71" i="24"/>
  <c r="BE71" i="24"/>
  <c r="BD71" i="24"/>
  <c r="BC71" i="24"/>
  <c r="AC71" i="24" s="1"/>
  <c r="BB71" i="24"/>
  <c r="BA71" i="24"/>
  <c r="AZ71" i="24"/>
  <c r="AY71" i="24"/>
  <c r="AX71" i="24"/>
  <c r="AW71" i="24"/>
  <c r="AV71" i="24"/>
  <c r="AU71" i="24"/>
  <c r="AT71" i="24"/>
  <c r="AO71" i="24"/>
  <c r="AN71" i="24"/>
  <c r="AM71" i="24"/>
  <c r="X71" i="24"/>
  <c r="W71" i="24"/>
  <c r="U71" i="24"/>
  <c r="S71" i="24"/>
  <c r="R71" i="24"/>
  <c r="Q71" i="24"/>
  <c r="N71" i="24"/>
  <c r="M71" i="24"/>
  <c r="K71" i="24"/>
  <c r="I71" i="24"/>
  <c r="H71" i="24"/>
  <c r="G71" i="24"/>
  <c r="F71" i="24"/>
  <c r="E71" i="24"/>
  <c r="D71" i="24"/>
  <c r="BP70" i="24"/>
  <c r="BN70" i="24"/>
  <c r="BM70" i="24"/>
  <c r="BH70" i="24"/>
  <c r="BG70" i="24"/>
  <c r="BF70" i="24"/>
  <c r="BE70" i="24"/>
  <c r="BD70" i="24"/>
  <c r="BC70" i="24"/>
  <c r="AC70" i="24" s="1"/>
  <c r="BB70" i="24"/>
  <c r="BA70" i="24"/>
  <c r="AZ70" i="24"/>
  <c r="AY70" i="24"/>
  <c r="AX70" i="24"/>
  <c r="AW70" i="24"/>
  <c r="AV70" i="24"/>
  <c r="AU70" i="24"/>
  <c r="AT70" i="24"/>
  <c r="AO70" i="24"/>
  <c r="AN70" i="24"/>
  <c r="AM70" i="24"/>
  <c r="X70" i="24"/>
  <c r="W70" i="24"/>
  <c r="U70" i="24"/>
  <c r="S70" i="24"/>
  <c r="R70" i="24"/>
  <c r="Q70" i="24"/>
  <c r="N70" i="24"/>
  <c r="M70" i="24"/>
  <c r="K70" i="24"/>
  <c r="I70" i="24"/>
  <c r="H70" i="24"/>
  <c r="G70" i="24"/>
  <c r="F70" i="24"/>
  <c r="E70" i="24"/>
  <c r="D70" i="24"/>
  <c r="BP69" i="24"/>
  <c r="BN69" i="24"/>
  <c r="BM69" i="24"/>
  <c r="BH69" i="24"/>
  <c r="BG69" i="24"/>
  <c r="BF69" i="24"/>
  <c r="BE69" i="24"/>
  <c r="BD69" i="24"/>
  <c r="BC69" i="24"/>
  <c r="AC69" i="24" s="1"/>
  <c r="BB69" i="24"/>
  <c r="BA69" i="24"/>
  <c r="AZ69" i="24"/>
  <c r="AY69" i="24"/>
  <c r="AX69" i="24"/>
  <c r="AW69" i="24"/>
  <c r="AV69" i="24"/>
  <c r="AU69" i="24"/>
  <c r="AT69" i="24"/>
  <c r="AO69" i="24"/>
  <c r="AN69" i="24"/>
  <c r="AM69" i="24"/>
  <c r="X69" i="24"/>
  <c r="W69" i="24"/>
  <c r="U69" i="24"/>
  <c r="S69" i="24"/>
  <c r="R69" i="24"/>
  <c r="Q69" i="24"/>
  <c r="N69" i="24"/>
  <c r="M69" i="24"/>
  <c r="K69" i="24"/>
  <c r="I69" i="24"/>
  <c r="H69" i="24"/>
  <c r="G69" i="24"/>
  <c r="F69" i="24"/>
  <c r="E69" i="24"/>
  <c r="D69" i="24"/>
  <c r="BP68" i="24"/>
  <c r="BN68" i="24"/>
  <c r="BM68" i="24"/>
  <c r="BH68" i="24"/>
  <c r="BG68" i="24"/>
  <c r="BF68" i="24"/>
  <c r="BE68" i="24"/>
  <c r="BD68" i="24"/>
  <c r="BC68" i="24"/>
  <c r="AC68" i="24" s="1"/>
  <c r="BB68" i="24"/>
  <c r="BA68" i="24"/>
  <c r="AZ68" i="24"/>
  <c r="AY68" i="24"/>
  <c r="AX68" i="24"/>
  <c r="AW68" i="24"/>
  <c r="AV68" i="24"/>
  <c r="AU68" i="24"/>
  <c r="AT68" i="24"/>
  <c r="AO68" i="24"/>
  <c r="AN68" i="24"/>
  <c r="AM68" i="24"/>
  <c r="X68" i="24"/>
  <c r="W68" i="24"/>
  <c r="U68" i="24"/>
  <c r="S68" i="24"/>
  <c r="R68" i="24"/>
  <c r="Q68" i="24"/>
  <c r="N68" i="24"/>
  <c r="M68" i="24"/>
  <c r="K68" i="24"/>
  <c r="I68" i="24"/>
  <c r="H68" i="24"/>
  <c r="G68" i="24"/>
  <c r="F68" i="24"/>
  <c r="E68" i="24"/>
  <c r="D68" i="24"/>
  <c r="BP67" i="24"/>
  <c r="BN67" i="24"/>
  <c r="BM67" i="24"/>
  <c r="BH67" i="24"/>
  <c r="BG67" i="24"/>
  <c r="BF67" i="24"/>
  <c r="BE67" i="24"/>
  <c r="BD67" i="24"/>
  <c r="BC67" i="24"/>
  <c r="AC67" i="24" s="1"/>
  <c r="BB67" i="24"/>
  <c r="BA67" i="24"/>
  <c r="AZ67" i="24"/>
  <c r="AY67" i="24"/>
  <c r="AX67" i="24"/>
  <c r="AW67" i="24"/>
  <c r="AV67" i="24"/>
  <c r="AU67" i="24"/>
  <c r="AT67" i="24"/>
  <c r="AO67" i="24"/>
  <c r="AN67" i="24"/>
  <c r="AM67" i="24"/>
  <c r="X67" i="24"/>
  <c r="W67" i="24"/>
  <c r="U67" i="24"/>
  <c r="S67" i="24"/>
  <c r="R67" i="24"/>
  <c r="Q67" i="24"/>
  <c r="N67" i="24"/>
  <c r="M67" i="24"/>
  <c r="K67" i="24"/>
  <c r="I67" i="24"/>
  <c r="H67" i="24"/>
  <c r="G67" i="24"/>
  <c r="F67" i="24"/>
  <c r="E67" i="24"/>
  <c r="D67" i="24"/>
  <c r="BP66" i="24"/>
  <c r="BN66" i="24"/>
  <c r="BM66" i="24"/>
  <c r="BH66" i="24"/>
  <c r="BG66" i="24"/>
  <c r="BF66" i="24"/>
  <c r="BE66" i="24"/>
  <c r="BD66" i="24"/>
  <c r="BC66" i="24"/>
  <c r="AC66" i="24" s="1"/>
  <c r="BB66" i="24"/>
  <c r="BA66" i="24"/>
  <c r="AZ66" i="24"/>
  <c r="AY66" i="24"/>
  <c r="AX66" i="24"/>
  <c r="AW66" i="24"/>
  <c r="AV66" i="24"/>
  <c r="AU66" i="24"/>
  <c r="AT66" i="24"/>
  <c r="AO66" i="24"/>
  <c r="AN66" i="24"/>
  <c r="AM66" i="24"/>
  <c r="X66" i="24"/>
  <c r="W66" i="24"/>
  <c r="U66" i="24"/>
  <c r="S66" i="24"/>
  <c r="R66" i="24"/>
  <c r="Q66" i="24"/>
  <c r="N66" i="24"/>
  <c r="M66" i="24"/>
  <c r="K66" i="24"/>
  <c r="I66" i="24"/>
  <c r="H66" i="24"/>
  <c r="G66" i="24"/>
  <c r="F66" i="24"/>
  <c r="E66" i="24"/>
  <c r="D66" i="24"/>
  <c r="BP65" i="24"/>
  <c r="BN65" i="24"/>
  <c r="BM65" i="24"/>
  <c r="BH65" i="24"/>
  <c r="BG65" i="24"/>
  <c r="BF65" i="24"/>
  <c r="BE65" i="24"/>
  <c r="BD65" i="24"/>
  <c r="BC65" i="24"/>
  <c r="AC65" i="24" s="1"/>
  <c r="BB65" i="24"/>
  <c r="BA65" i="24"/>
  <c r="AZ65" i="24"/>
  <c r="AY65" i="24"/>
  <c r="AX65" i="24"/>
  <c r="AW65" i="24"/>
  <c r="AV65" i="24"/>
  <c r="AU65" i="24"/>
  <c r="AT65" i="24"/>
  <c r="AO65" i="24"/>
  <c r="AN65" i="24"/>
  <c r="AM65" i="24"/>
  <c r="X65" i="24"/>
  <c r="W65" i="24"/>
  <c r="U65" i="24"/>
  <c r="S65" i="24"/>
  <c r="R65" i="24"/>
  <c r="Q65" i="24"/>
  <c r="N65" i="24"/>
  <c r="M65" i="24"/>
  <c r="K65" i="24"/>
  <c r="I65" i="24"/>
  <c r="H65" i="24"/>
  <c r="G65" i="24"/>
  <c r="F65" i="24"/>
  <c r="E65" i="24"/>
  <c r="D65" i="24"/>
  <c r="BP64" i="24"/>
  <c r="BN64" i="24"/>
  <c r="BM64" i="24"/>
  <c r="BH64" i="24"/>
  <c r="BG64" i="24"/>
  <c r="BF64" i="24"/>
  <c r="BE64" i="24"/>
  <c r="BD64" i="24"/>
  <c r="BC64" i="24"/>
  <c r="AC64" i="24" s="1"/>
  <c r="BB64" i="24"/>
  <c r="BA64" i="24"/>
  <c r="AZ64" i="24"/>
  <c r="AY64" i="24"/>
  <c r="AX64" i="24"/>
  <c r="AW64" i="24"/>
  <c r="AV64" i="24"/>
  <c r="AU64" i="24"/>
  <c r="AT64" i="24"/>
  <c r="AO64" i="24"/>
  <c r="AN64" i="24"/>
  <c r="AM64" i="24"/>
  <c r="X64" i="24"/>
  <c r="W64" i="24"/>
  <c r="U64" i="24"/>
  <c r="S64" i="24"/>
  <c r="R64" i="24"/>
  <c r="Q64" i="24"/>
  <c r="N64" i="24"/>
  <c r="M64" i="24"/>
  <c r="K64" i="24"/>
  <c r="I64" i="24"/>
  <c r="H64" i="24"/>
  <c r="G64" i="24"/>
  <c r="F64" i="24"/>
  <c r="E64" i="24"/>
  <c r="D64" i="24"/>
  <c r="BP63" i="24"/>
  <c r="BN63" i="24"/>
  <c r="BM63" i="24"/>
  <c r="BH63" i="24"/>
  <c r="BG63" i="24"/>
  <c r="BF63" i="24"/>
  <c r="BE63" i="24"/>
  <c r="BD63" i="24"/>
  <c r="BC63" i="24"/>
  <c r="AC63" i="24" s="1"/>
  <c r="BB63" i="24"/>
  <c r="BA63" i="24"/>
  <c r="AZ63" i="24"/>
  <c r="AY63" i="24"/>
  <c r="AX63" i="24"/>
  <c r="AW63" i="24"/>
  <c r="AV63" i="24"/>
  <c r="AU63" i="24"/>
  <c r="AT63" i="24"/>
  <c r="AO63" i="24"/>
  <c r="AN63" i="24"/>
  <c r="AM63" i="24"/>
  <c r="X63" i="24"/>
  <c r="W63" i="24"/>
  <c r="U63" i="24"/>
  <c r="S63" i="24"/>
  <c r="R63" i="24"/>
  <c r="Q63" i="24"/>
  <c r="N63" i="24"/>
  <c r="M63" i="24"/>
  <c r="K63" i="24"/>
  <c r="I63" i="24"/>
  <c r="H63" i="24"/>
  <c r="G63" i="24"/>
  <c r="F63" i="24"/>
  <c r="E63" i="24"/>
  <c r="D63" i="24"/>
  <c r="BP62" i="24"/>
  <c r="BN62" i="24"/>
  <c r="BM62" i="24"/>
  <c r="BH62" i="24"/>
  <c r="BG62" i="24"/>
  <c r="BF62" i="24"/>
  <c r="BE62" i="24"/>
  <c r="BD62" i="24"/>
  <c r="BC62" i="24"/>
  <c r="AC62" i="24" s="1"/>
  <c r="BB62" i="24"/>
  <c r="BA62" i="24"/>
  <c r="AZ62" i="24"/>
  <c r="AY62" i="24"/>
  <c r="AX62" i="24"/>
  <c r="AW62" i="24"/>
  <c r="AV62" i="24"/>
  <c r="AU62" i="24"/>
  <c r="AT62" i="24"/>
  <c r="AO62" i="24"/>
  <c r="AN62" i="24"/>
  <c r="AM62" i="24"/>
  <c r="X62" i="24"/>
  <c r="W62" i="24"/>
  <c r="U62" i="24"/>
  <c r="S62" i="24"/>
  <c r="R62" i="24"/>
  <c r="Q62" i="24"/>
  <c r="N62" i="24"/>
  <c r="M62" i="24"/>
  <c r="K62" i="24"/>
  <c r="I62" i="24"/>
  <c r="H62" i="24"/>
  <c r="G62" i="24"/>
  <c r="F62" i="24"/>
  <c r="E62" i="24"/>
  <c r="D62" i="24"/>
  <c r="BP61" i="24"/>
  <c r="BN61" i="24"/>
  <c r="BM61" i="24"/>
  <c r="BH61" i="24"/>
  <c r="BG61" i="24"/>
  <c r="BF61" i="24"/>
  <c r="BE61" i="24"/>
  <c r="BD61" i="24"/>
  <c r="BC61" i="24"/>
  <c r="AC61" i="24" s="1"/>
  <c r="BB61" i="24"/>
  <c r="BA61" i="24"/>
  <c r="AZ61" i="24"/>
  <c r="AY61" i="24"/>
  <c r="AX61" i="24"/>
  <c r="AW61" i="24"/>
  <c r="AV61" i="24"/>
  <c r="AU61" i="24"/>
  <c r="AT61" i="24"/>
  <c r="AO61" i="24"/>
  <c r="AN61" i="24"/>
  <c r="AM61" i="24"/>
  <c r="X61" i="24"/>
  <c r="W61" i="24"/>
  <c r="U61" i="24"/>
  <c r="S61" i="24"/>
  <c r="R61" i="24"/>
  <c r="Q61" i="24"/>
  <c r="N61" i="24"/>
  <c r="M61" i="24"/>
  <c r="K61" i="24"/>
  <c r="I61" i="24"/>
  <c r="H61" i="24"/>
  <c r="G61" i="24"/>
  <c r="F61" i="24"/>
  <c r="E61" i="24"/>
  <c r="D61" i="24"/>
  <c r="BP60" i="24"/>
  <c r="BN60" i="24"/>
  <c r="BM60" i="24"/>
  <c r="BH60" i="24"/>
  <c r="BG60" i="24"/>
  <c r="BF60" i="24"/>
  <c r="BE60" i="24"/>
  <c r="BD60" i="24"/>
  <c r="BC60" i="24"/>
  <c r="BB60" i="24"/>
  <c r="BA60" i="24"/>
  <c r="AZ60" i="24"/>
  <c r="AY60" i="24"/>
  <c r="AX60" i="24"/>
  <c r="AW60" i="24"/>
  <c r="AV60" i="24"/>
  <c r="AU60" i="24"/>
  <c r="AT60" i="24"/>
  <c r="AO60" i="24"/>
  <c r="AN60" i="24"/>
  <c r="AM60" i="24"/>
  <c r="AC60" i="24"/>
  <c r="X60" i="24"/>
  <c r="W60" i="24"/>
  <c r="U60" i="24"/>
  <c r="S60" i="24"/>
  <c r="R60" i="24"/>
  <c r="Q60" i="24"/>
  <c r="N60" i="24"/>
  <c r="M60" i="24"/>
  <c r="K60" i="24"/>
  <c r="I60" i="24"/>
  <c r="H60" i="24"/>
  <c r="G60" i="24"/>
  <c r="F60" i="24"/>
  <c r="E60" i="24"/>
  <c r="D60" i="24"/>
  <c r="BP59" i="24"/>
  <c r="BN59" i="24"/>
  <c r="BM59" i="24"/>
  <c r="BH59" i="24"/>
  <c r="BG59" i="24"/>
  <c r="BF59" i="24"/>
  <c r="BE59" i="24"/>
  <c r="BD59" i="24"/>
  <c r="BC59" i="24"/>
  <c r="AC59" i="24" s="1"/>
  <c r="BB59" i="24"/>
  <c r="BA59" i="24"/>
  <c r="AZ59" i="24"/>
  <c r="AY59" i="24"/>
  <c r="AX59" i="24"/>
  <c r="AW59" i="24"/>
  <c r="AV59" i="24"/>
  <c r="AU59" i="24"/>
  <c r="AT59" i="24"/>
  <c r="AO59" i="24"/>
  <c r="AN59" i="24"/>
  <c r="AM59" i="24"/>
  <c r="X59" i="24"/>
  <c r="W59" i="24"/>
  <c r="U59" i="24"/>
  <c r="S59" i="24"/>
  <c r="R59" i="24"/>
  <c r="Q59" i="24"/>
  <c r="N59" i="24"/>
  <c r="M59" i="24"/>
  <c r="K59" i="24"/>
  <c r="I59" i="24"/>
  <c r="H59" i="24"/>
  <c r="G59" i="24"/>
  <c r="F59" i="24"/>
  <c r="E59" i="24"/>
  <c r="D59" i="24"/>
  <c r="BP58" i="24"/>
  <c r="BN58" i="24"/>
  <c r="BM58" i="24"/>
  <c r="BH58" i="24"/>
  <c r="BG58" i="24"/>
  <c r="BF58" i="24"/>
  <c r="BE58" i="24"/>
  <c r="BD58" i="24"/>
  <c r="BC58" i="24"/>
  <c r="AC58" i="24" s="1"/>
  <c r="BB58" i="24"/>
  <c r="BA58" i="24"/>
  <c r="AZ58" i="24"/>
  <c r="AY58" i="24"/>
  <c r="AX58" i="24"/>
  <c r="AW58" i="24"/>
  <c r="AV58" i="24"/>
  <c r="AU58" i="24"/>
  <c r="AT58" i="24"/>
  <c r="AO58" i="24"/>
  <c r="AN58" i="24"/>
  <c r="AM58" i="24"/>
  <c r="X58" i="24"/>
  <c r="W58" i="24"/>
  <c r="U58" i="24"/>
  <c r="S58" i="24"/>
  <c r="R58" i="24"/>
  <c r="Q58" i="24"/>
  <c r="N58" i="24"/>
  <c r="M58" i="24"/>
  <c r="K58" i="24"/>
  <c r="I58" i="24"/>
  <c r="H58" i="24"/>
  <c r="G58" i="24"/>
  <c r="F58" i="24"/>
  <c r="E58" i="24"/>
  <c r="D58" i="24"/>
  <c r="BP57" i="24"/>
  <c r="BN57" i="24"/>
  <c r="BM57" i="24"/>
  <c r="BH57" i="24"/>
  <c r="BG57" i="24"/>
  <c r="BF57" i="24"/>
  <c r="BE57" i="24"/>
  <c r="BD57" i="24"/>
  <c r="BC57" i="24"/>
  <c r="AC57" i="24" s="1"/>
  <c r="BB57" i="24"/>
  <c r="BA57" i="24"/>
  <c r="AZ57" i="24"/>
  <c r="AY57" i="24"/>
  <c r="AX57" i="24"/>
  <c r="AW57" i="24"/>
  <c r="AV57" i="24"/>
  <c r="AU57" i="24"/>
  <c r="AT57" i="24"/>
  <c r="AO57" i="24"/>
  <c r="AN57" i="24"/>
  <c r="AM57" i="24"/>
  <c r="X57" i="24"/>
  <c r="W57" i="24"/>
  <c r="U57" i="24"/>
  <c r="S57" i="24"/>
  <c r="R57" i="24"/>
  <c r="Q57" i="24"/>
  <c r="N57" i="24"/>
  <c r="M57" i="24"/>
  <c r="K57" i="24"/>
  <c r="I57" i="24"/>
  <c r="H57" i="24"/>
  <c r="G57" i="24"/>
  <c r="F57" i="24"/>
  <c r="E57" i="24"/>
  <c r="D57" i="24"/>
  <c r="BP56" i="24"/>
  <c r="BN56" i="24"/>
  <c r="BM56" i="24"/>
  <c r="BH56" i="24"/>
  <c r="BG56" i="24"/>
  <c r="BF56" i="24"/>
  <c r="BE56" i="24"/>
  <c r="BD56" i="24"/>
  <c r="BC56" i="24"/>
  <c r="AC56" i="24" s="1"/>
  <c r="BB56" i="24"/>
  <c r="BA56" i="24"/>
  <c r="AZ56" i="24"/>
  <c r="AY56" i="24"/>
  <c r="AX56" i="24"/>
  <c r="AW56" i="24"/>
  <c r="AV56" i="24"/>
  <c r="AU56" i="24"/>
  <c r="AT56" i="24"/>
  <c r="AO56" i="24"/>
  <c r="AN56" i="24"/>
  <c r="AM56" i="24"/>
  <c r="X56" i="24"/>
  <c r="W56" i="24"/>
  <c r="U56" i="24"/>
  <c r="S56" i="24"/>
  <c r="R56" i="24"/>
  <c r="Q56" i="24"/>
  <c r="N56" i="24"/>
  <c r="M56" i="24"/>
  <c r="K56" i="24"/>
  <c r="I56" i="24"/>
  <c r="H56" i="24"/>
  <c r="G56" i="24"/>
  <c r="F56" i="24"/>
  <c r="E56" i="24"/>
  <c r="D56" i="24"/>
  <c r="BP55" i="24"/>
  <c r="BN55" i="24"/>
  <c r="BM55" i="24"/>
  <c r="BH55" i="24"/>
  <c r="BG55" i="24"/>
  <c r="BF55" i="24"/>
  <c r="BE55" i="24"/>
  <c r="BD55" i="24"/>
  <c r="BC55" i="24"/>
  <c r="AC55" i="24" s="1"/>
  <c r="BB55" i="24"/>
  <c r="BA55" i="24"/>
  <c r="AZ55" i="24"/>
  <c r="AY55" i="24"/>
  <c r="AX55" i="24"/>
  <c r="AW55" i="24"/>
  <c r="AV55" i="24"/>
  <c r="AU55" i="24"/>
  <c r="AT55" i="24"/>
  <c r="AO55" i="24"/>
  <c r="AN55" i="24"/>
  <c r="AM55" i="24"/>
  <c r="X55" i="24"/>
  <c r="W55" i="24"/>
  <c r="U55" i="24"/>
  <c r="S55" i="24"/>
  <c r="R55" i="24"/>
  <c r="Q55" i="24"/>
  <c r="N55" i="24"/>
  <c r="M55" i="24"/>
  <c r="K55" i="24"/>
  <c r="I55" i="24"/>
  <c r="H55" i="24"/>
  <c r="G55" i="24"/>
  <c r="F55" i="24"/>
  <c r="E55" i="24"/>
  <c r="D55" i="24"/>
  <c r="BP54" i="24"/>
  <c r="BN54" i="24"/>
  <c r="BM54" i="24"/>
  <c r="BH54" i="24"/>
  <c r="BG54" i="24"/>
  <c r="BF54" i="24"/>
  <c r="BE54" i="24"/>
  <c r="BD54" i="24"/>
  <c r="BC54" i="24"/>
  <c r="AC54" i="24" s="1"/>
  <c r="BB54" i="24"/>
  <c r="BA54" i="24"/>
  <c r="AZ54" i="24"/>
  <c r="AY54" i="24"/>
  <c r="AX54" i="24"/>
  <c r="AW54" i="24"/>
  <c r="AV54" i="24"/>
  <c r="AU54" i="24"/>
  <c r="AT54" i="24"/>
  <c r="AO54" i="24"/>
  <c r="AN54" i="24"/>
  <c r="AM54" i="24"/>
  <c r="X54" i="24"/>
  <c r="W54" i="24"/>
  <c r="U54" i="24"/>
  <c r="S54" i="24"/>
  <c r="R54" i="24"/>
  <c r="Q54" i="24"/>
  <c r="N54" i="24"/>
  <c r="M54" i="24"/>
  <c r="K54" i="24"/>
  <c r="I54" i="24"/>
  <c r="H54" i="24"/>
  <c r="G54" i="24"/>
  <c r="F54" i="24"/>
  <c r="E54" i="24"/>
  <c r="D54" i="24"/>
  <c r="BP53" i="24"/>
  <c r="BN53" i="24"/>
  <c r="BM53" i="24"/>
  <c r="BH53" i="24"/>
  <c r="BG53" i="24"/>
  <c r="BF53" i="24"/>
  <c r="BE53" i="24"/>
  <c r="BD53" i="24"/>
  <c r="BC53" i="24"/>
  <c r="AC53" i="24" s="1"/>
  <c r="BB53" i="24"/>
  <c r="BA53" i="24"/>
  <c r="AZ53" i="24"/>
  <c r="AY53" i="24"/>
  <c r="AX53" i="24"/>
  <c r="AW53" i="24"/>
  <c r="AV53" i="24"/>
  <c r="AU53" i="24"/>
  <c r="AT53" i="24"/>
  <c r="AO53" i="24"/>
  <c r="AN53" i="24"/>
  <c r="AM53" i="24"/>
  <c r="X53" i="24"/>
  <c r="W53" i="24"/>
  <c r="U53" i="24"/>
  <c r="S53" i="24"/>
  <c r="R53" i="24"/>
  <c r="Q53" i="24"/>
  <c r="N53" i="24"/>
  <c r="M53" i="24"/>
  <c r="K53" i="24"/>
  <c r="I53" i="24"/>
  <c r="H53" i="24"/>
  <c r="G53" i="24"/>
  <c r="F53" i="24"/>
  <c r="E53" i="24"/>
  <c r="D53" i="24"/>
  <c r="BP52" i="24"/>
  <c r="BN52" i="24"/>
  <c r="BM52" i="24"/>
  <c r="BH52" i="24"/>
  <c r="BG52" i="24"/>
  <c r="BF52" i="24"/>
  <c r="BE52" i="24"/>
  <c r="BD52" i="24"/>
  <c r="BC52" i="24"/>
  <c r="AC52" i="24" s="1"/>
  <c r="BB52" i="24"/>
  <c r="BA52" i="24"/>
  <c r="AZ52" i="24"/>
  <c r="AY52" i="24"/>
  <c r="AX52" i="24"/>
  <c r="AW52" i="24"/>
  <c r="AV52" i="24"/>
  <c r="AU52" i="24"/>
  <c r="AT52" i="24"/>
  <c r="AO52" i="24"/>
  <c r="AN52" i="24"/>
  <c r="AM52" i="24"/>
  <c r="X52" i="24"/>
  <c r="W52" i="24"/>
  <c r="U52" i="24"/>
  <c r="S52" i="24"/>
  <c r="R52" i="24"/>
  <c r="Q52" i="24"/>
  <c r="N52" i="24"/>
  <c r="M52" i="24"/>
  <c r="K52" i="24"/>
  <c r="I52" i="24"/>
  <c r="H52" i="24"/>
  <c r="G52" i="24"/>
  <c r="F52" i="24"/>
  <c r="E52" i="24"/>
  <c r="D52" i="24"/>
  <c r="BP51" i="24"/>
  <c r="BN51" i="24"/>
  <c r="BM51" i="24"/>
  <c r="BH51" i="24"/>
  <c r="BG51" i="24"/>
  <c r="BF51" i="24"/>
  <c r="BE51" i="24"/>
  <c r="BD51" i="24"/>
  <c r="BC51" i="24"/>
  <c r="AC51" i="24" s="1"/>
  <c r="BB51" i="24"/>
  <c r="BA51" i="24"/>
  <c r="AZ51" i="24"/>
  <c r="AY51" i="24"/>
  <c r="AX51" i="24"/>
  <c r="AW51" i="24"/>
  <c r="AV51" i="24"/>
  <c r="AU51" i="24"/>
  <c r="AT51" i="24"/>
  <c r="AO51" i="24"/>
  <c r="AN51" i="24"/>
  <c r="AM51" i="24"/>
  <c r="X51" i="24"/>
  <c r="W51" i="24"/>
  <c r="U51" i="24"/>
  <c r="S51" i="24"/>
  <c r="R51" i="24"/>
  <c r="Q51" i="24"/>
  <c r="N51" i="24"/>
  <c r="M51" i="24"/>
  <c r="K51" i="24"/>
  <c r="I51" i="24"/>
  <c r="H51" i="24"/>
  <c r="G51" i="24"/>
  <c r="F51" i="24"/>
  <c r="E51" i="24"/>
  <c r="D51" i="24"/>
  <c r="BP50" i="24"/>
  <c r="BN50" i="24"/>
  <c r="BM50" i="24"/>
  <c r="BH50" i="24"/>
  <c r="BG50" i="24"/>
  <c r="BF50" i="24"/>
  <c r="BE50" i="24"/>
  <c r="BD50" i="24"/>
  <c r="BC50" i="24"/>
  <c r="AC50" i="24" s="1"/>
  <c r="BB50" i="24"/>
  <c r="BA50" i="24"/>
  <c r="AZ50" i="24"/>
  <c r="AY50" i="24"/>
  <c r="AX50" i="24"/>
  <c r="AW50" i="24"/>
  <c r="AV50" i="24"/>
  <c r="AU50" i="24"/>
  <c r="AT50" i="24"/>
  <c r="AO50" i="24"/>
  <c r="AN50" i="24"/>
  <c r="AM50" i="24"/>
  <c r="X50" i="24"/>
  <c r="W50" i="24"/>
  <c r="U50" i="24"/>
  <c r="S50" i="24"/>
  <c r="R50" i="24"/>
  <c r="Q50" i="24"/>
  <c r="N50" i="24"/>
  <c r="M50" i="24"/>
  <c r="K50" i="24"/>
  <c r="I50" i="24"/>
  <c r="H50" i="24"/>
  <c r="G50" i="24"/>
  <c r="F50" i="24"/>
  <c r="E50" i="24"/>
  <c r="D50" i="24"/>
  <c r="BP49" i="24"/>
  <c r="BN49" i="24"/>
  <c r="BM49" i="24"/>
  <c r="BH49" i="24"/>
  <c r="BG49" i="24"/>
  <c r="BF49" i="24"/>
  <c r="BE49" i="24"/>
  <c r="BD49" i="24"/>
  <c r="BC49" i="24"/>
  <c r="AC49" i="24" s="1"/>
  <c r="BB49" i="24"/>
  <c r="BA49" i="24"/>
  <c r="AZ49" i="24"/>
  <c r="AY49" i="24"/>
  <c r="AX49" i="24"/>
  <c r="AW49" i="24"/>
  <c r="AV49" i="24"/>
  <c r="AU49" i="24"/>
  <c r="AT49" i="24"/>
  <c r="AO49" i="24"/>
  <c r="AN49" i="24"/>
  <c r="AM49" i="24"/>
  <c r="X49" i="24"/>
  <c r="W49" i="24"/>
  <c r="U49" i="24"/>
  <c r="S49" i="24"/>
  <c r="R49" i="24"/>
  <c r="Q49" i="24"/>
  <c r="N49" i="24"/>
  <c r="M49" i="24"/>
  <c r="K49" i="24"/>
  <c r="I49" i="24"/>
  <c r="H49" i="24"/>
  <c r="G49" i="24"/>
  <c r="F49" i="24"/>
  <c r="E49" i="24"/>
  <c r="D49" i="24"/>
  <c r="BP48" i="24"/>
  <c r="BN48" i="24"/>
  <c r="BM48" i="24"/>
  <c r="BH48" i="24"/>
  <c r="BG48" i="24"/>
  <c r="BF48" i="24"/>
  <c r="BE48" i="24"/>
  <c r="BD48" i="24"/>
  <c r="BC48" i="24"/>
  <c r="AC48" i="24" s="1"/>
  <c r="BB48" i="24"/>
  <c r="BA48" i="24"/>
  <c r="AZ48" i="24"/>
  <c r="AY48" i="24"/>
  <c r="AX48" i="24"/>
  <c r="AW48" i="24"/>
  <c r="AV48" i="24"/>
  <c r="AU48" i="24"/>
  <c r="AT48" i="24"/>
  <c r="AO48" i="24"/>
  <c r="AN48" i="24"/>
  <c r="AM48" i="24"/>
  <c r="X48" i="24"/>
  <c r="W48" i="24"/>
  <c r="U48" i="24"/>
  <c r="S48" i="24"/>
  <c r="R48" i="24"/>
  <c r="Q48" i="24"/>
  <c r="N48" i="24"/>
  <c r="M48" i="24"/>
  <c r="K48" i="24"/>
  <c r="I48" i="24"/>
  <c r="H48" i="24"/>
  <c r="G48" i="24"/>
  <c r="F48" i="24"/>
  <c r="E48" i="24"/>
  <c r="D48" i="24"/>
  <c r="BP47" i="24"/>
  <c r="BN47" i="24"/>
  <c r="BM47" i="24"/>
  <c r="BH47" i="24"/>
  <c r="BG47" i="24"/>
  <c r="BF47" i="24"/>
  <c r="BE47" i="24"/>
  <c r="BD47" i="24"/>
  <c r="BC47" i="24"/>
  <c r="AC47" i="24" s="1"/>
  <c r="BB47" i="24"/>
  <c r="BA47" i="24"/>
  <c r="AZ47" i="24"/>
  <c r="AY47" i="24"/>
  <c r="AX47" i="24"/>
  <c r="AW47" i="24"/>
  <c r="AV47" i="24"/>
  <c r="AU47" i="24"/>
  <c r="AT47" i="24"/>
  <c r="AO47" i="24"/>
  <c r="AN47" i="24"/>
  <c r="AM47" i="24"/>
  <c r="X47" i="24"/>
  <c r="W47" i="24"/>
  <c r="U47" i="24"/>
  <c r="S47" i="24"/>
  <c r="R47" i="24"/>
  <c r="Q47" i="24"/>
  <c r="N47" i="24"/>
  <c r="M47" i="24"/>
  <c r="K47" i="24"/>
  <c r="I47" i="24"/>
  <c r="H47" i="24"/>
  <c r="G47" i="24"/>
  <c r="F47" i="24"/>
  <c r="E47" i="24"/>
  <c r="D47" i="24"/>
  <c r="BP46" i="24"/>
  <c r="BN46" i="24"/>
  <c r="BM46" i="24"/>
  <c r="BH46" i="24"/>
  <c r="BG46" i="24"/>
  <c r="BF46" i="24"/>
  <c r="BE46" i="24"/>
  <c r="BD46" i="24"/>
  <c r="BC46" i="24"/>
  <c r="AC46" i="24" s="1"/>
  <c r="BB46" i="24"/>
  <c r="BA46" i="24"/>
  <c r="AZ46" i="24"/>
  <c r="AY46" i="24"/>
  <c r="AX46" i="24"/>
  <c r="AW46" i="24"/>
  <c r="AV46" i="24"/>
  <c r="AU46" i="24"/>
  <c r="AT46" i="24"/>
  <c r="AO46" i="24"/>
  <c r="AN46" i="24"/>
  <c r="AM46" i="24"/>
  <c r="X46" i="24"/>
  <c r="W46" i="24"/>
  <c r="U46" i="24"/>
  <c r="S46" i="24"/>
  <c r="R46" i="24"/>
  <c r="Q46" i="24"/>
  <c r="N46" i="24"/>
  <c r="M46" i="24"/>
  <c r="K46" i="24"/>
  <c r="I46" i="24"/>
  <c r="H46" i="24"/>
  <c r="G46" i="24"/>
  <c r="F46" i="24"/>
  <c r="E46" i="24"/>
  <c r="D46" i="24"/>
  <c r="BP45" i="24"/>
  <c r="BN45" i="24"/>
  <c r="BM45" i="24"/>
  <c r="BH45" i="24"/>
  <c r="BG45" i="24"/>
  <c r="BF45" i="24"/>
  <c r="BE45" i="24"/>
  <c r="BD45" i="24"/>
  <c r="BC45" i="24"/>
  <c r="AC45" i="24" s="1"/>
  <c r="BB45" i="24"/>
  <c r="BA45" i="24"/>
  <c r="AZ45" i="24"/>
  <c r="AY45" i="24"/>
  <c r="AX45" i="24"/>
  <c r="AW45" i="24"/>
  <c r="AV45" i="24"/>
  <c r="AU45" i="24"/>
  <c r="AT45" i="24"/>
  <c r="AO45" i="24"/>
  <c r="AN45" i="24"/>
  <c r="AM45" i="24"/>
  <c r="X45" i="24"/>
  <c r="W45" i="24"/>
  <c r="U45" i="24"/>
  <c r="S45" i="24"/>
  <c r="R45" i="24"/>
  <c r="Q45" i="24"/>
  <c r="N45" i="24"/>
  <c r="M45" i="24"/>
  <c r="K45" i="24"/>
  <c r="I45" i="24"/>
  <c r="H45" i="24"/>
  <c r="G45" i="24"/>
  <c r="F45" i="24"/>
  <c r="E45" i="24"/>
  <c r="D45" i="24"/>
  <c r="BP44" i="24"/>
  <c r="BN44" i="24"/>
  <c r="BM44" i="24"/>
  <c r="BH44" i="24"/>
  <c r="BG44" i="24"/>
  <c r="BF44" i="24"/>
  <c r="BE44" i="24"/>
  <c r="BD44" i="24"/>
  <c r="BC44" i="24"/>
  <c r="AC44" i="24" s="1"/>
  <c r="BB44" i="24"/>
  <c r="BA44" i="24"/>
  <c r="AZ44" i="24"/>
  <c r="AY44" i="24"/>
  <c r="AX44" i="24"/>
  <c r="AW44" i="24"/>
  <c r="AV44" i="24"/>
  <c r="AU44" i="24"/>
  <c r="AT44" i="24"/>
  <c r="AO44" i="24"/>
  <c r="AN44" i="24"/>
  <c r="AM44" i="24"/>
  <c r="X44" i="24"/>
  <c r="W44" i="24"/>
  <c r="U44" i="24"/>
  <c r="S44" i="24"/>
  <c r="R44" i="24"/>
  <c r="Q44" i="24"/>
  <c r="N44" i="24"/>
  <c r="M44" i="24"/>
  <c r="K44" i="24"/>
  <c r="I44" i="24"/>
  <c r="H44" i="24"/>
  <c r="G44" i="24"/>
  <c r="F44" i="24"/>
  <c r="E44" i="24"/>
  <c r="D44" i="24"/>
  <c r="BP43" i="24"/>
  <c r="BN43" i="24"/>
  <c r="BM43" i="24"/>
  <c r="BH43" i="24"/>
  <c r="BG43" i="24"/>
  <c r="BF43" i="24"/>
  <c r="BE43" i="24"/>
  <c r="BD43" i="24"/>
  <c r="BC43" i="24"/>
  <c r="AC43" i="24" s="1"/>
  <c r="BB43" i="24"/>
  <c r="BA43" i="24"/>
  <c r="AZ43" i="24"/>
  <c r="AY43" i="24"/>
  <c r="AX43" i="24"/>
  <c r="AW43" i="24"/>
  <c r="AV43" i="24"/>
  <c r="AU43" i="24"/>
  <c r="AT43" i="24"/>
  <c r="AO43" i="24"/>
  <c r="AN43" i="24"/>
  <c r="AM43" i="24"/>
  <c r="X43" i="24"/>
  <c r="W43" i="24"/>
  <c r="U43" i="24"/>
  <c r="S43" i="24"/>
  <c r="R43" i="24"/>
  <c r="Q43" i="24"/>
  <c r="N43" i="24"/>
  <c r="M43" i="24"/>
  <c r="K43" i="24"/>
  <c r="I43" i="24"/>
  <c r="H43" i="24"/>
  <c r="G43" i="24"/>
  <c r="F43" i="24"/>
  <c r="E43" i="24"/>
  <c r="D43" i="24"/>
  <c r="BP42" i="24"/>
  <c r="BN42" i="24"/>
  <c r="BM42" i="24"/>
  <c r="BH42" i="24"/>
  <c r="BG42" i="24"/>
  <c r="BF42" i="24"/>
  <c r="BE42" i="24"/>
  <c r="BD42" i="24"/>
  <c r="BC42" i="24"/>
  <c r="AC42" i="24" s="1"/>
  <c r="BB42" i="24"/>
  <c r="BA42" i="24"/>
  <c r="AZ42" i="24"/>
  <c r="AY42" i="24"/>
  <c r="AX42" i="24"/>
  <c r="AW42" i="24"/>
  <c r="AV42" i="24"/>
  <c r="AU42" i="24"/>
  <c r="AT42" i="24"/>
  <c r="AO42" i="24"/>
  <c r="AN42" i="24"/>
  <c r="AM42" i="24"/>
  <c r="X42" i="24"/>
  <c r="W42" i="24"/>
  <c r="U42" i="24"/>
  <c r="S42" i="24"/>
  <c r="R42" i="24"/>
  <c r="Q42" i="24"/>
  <c r="N42" i="24"/>
  <c r="M42" i="24"/>
  <c r="K42" i="24"/>
  <c r="I42" i="24"/>
  <c r="H42" i="24"/>
  <c r="G42" i="24"/>
  <c r="F42" i="24"/>
  <c r="E42" i="24"/>
  <c r="D42" i="24"/>
  <c r="BP41" i="24"/>
  <c r="BN41" i="24"/>
  <c r="BM41" i="24"/>
  <c r="BH41" i="24"/>
  <c r="BG41" i="24"/>
  <c r="BF41" i="24"/>
  <c r="BE41" i="24"/>
  <c r="BD41" i="24"/>
  <c r="BC41" i="24"/>
  <c r="AC41" i="24" s="1"/>
  <c r="BB41" i="24"/>
  <c r="BA41" i="24"/>
  <c r="AZ41" i="24"/>
  <c r="AY41" i="24"/>
  <c r="AX41" i="24"/>
  <c r="AW41" i="24"/>
  <c r="AV41" i="24"/>
  <c r="AU41" i="24"/>
  <c r="AT41" i="24"/>
  <c r="AO41" i="24"/>
  <c r="AN41" i="24"/>
  <c r="AM41" i="24"/>
  <c r="X41" i="24"/>
  <c r="W41" i="24"/>
  <c r="U41" i="24"/>
  <c r="S41" i="24"/>
  <c r="R41" i="24"/>
  <c r="Q41" i="24"/>
  <c r="N41" i="24"/>
  <c r="M41" i="24"/>
  <c r="K41" i="24"/>
  <c r="I41" i="24"/>
  <c r="H41" i="24"/>
  <c r="G41" i="24"/>
  <c r="F41" i="24"/>
  <c r="E41" i="24"/>
  <c r="D41" i="24"/>
  <c r="BP40" i="24"/>
  <c r="BN40" i="24"/>
  <c r="BM40" i="24"/>
  <c r="BH40" i="24"/>
  <c r="BG40" i="24"/>
  <c r="BF40" i="24"/>
  <c r="BE40" i="24"/>
  <c r="BD40" i="24"/>
  <c r="BC40" i="24"/>
  <c r="AC40" i="24" s="1"/>
  <c r="BB40" i="24"/>
  <c r="BA40" i="24"/>
  <c r="AZ40" i="24"/>
  <c r="AY40" i="24"/>
  <c r="AX40" i="24"/>
  <c r="AW40" i="24"/>
  <c r="AV40" i="24"/>
  <c r="AU40" i="24"/>
  <c r="AT40" i="24"/>
  <c r="AO40" i="24"/>
  <c r="AN40" i="24"/>
  <c r="AM40" i="24"/>
  <c r="X40" i="24"/>
  <c r="W40" i="24"/>
  <c r="U40" i="24"/>
  <c r="S40" i="24"/>
  <c r="R40" i="24"/>
  <c r="Q40" i="24"/>
  <c r="N40" i="24"/>
  <c r="M40" i="24"/>
  <c r="K40" i="24"/>
  <c r="I40" i="24"/>
  <c r="H40" i="24"/>
  <c r="G40" i="24"/>
  <c r="F40" i="24"/>
  <c r="E40" i="24"/>
  <c r="D40" i="24"/>
  <c r="BP39" i="24"/>
  <c r="BN39" i="24"/>
  <c r="BM39" i="24"/>
  <c r="BH39" i="24"/>
  <c r="BG39" i="24"/>
  <c r="BF39" i="24"/>
  <c r="BE39" i="24"/>
  <c r="BD39" i="24"/>
  <c r="BC39" i="24"/>
  <c r="AC39" i="24" s="1"/>
  <c r="BB39" i="24"/>
  <c r="BA39" i="24"/>
  <c r="AZ39" i="24"/>
  <c r="AY39" i="24"/>
  <c r="AX39" i="24"/>
  <c r="AW39" i="24"/>
  <c r="AV39" i="24"/>
  <c r="AU39" i="24"/>
  <c r="AT39" i="24"/>
  <c r="AO39" i="24"/>
  <c r="AN39" i="24"/>
  <c r="AM39" i="24"/>
  <c r="X39" i="24"/>
  <c r="W39" i="24"/>
  <c r="U39" i="24"/>
  <c r="S39" i="24"/>
  <c r="R39" i="24"/>
  <c r="Q39" i="24"/>
  <c r="N39" i="24"/>
  <c r="M39" i="24"/>
  <c r="K39" i="24"/>
  <c r="I39" i="24"/>
  <c r="H39" i="24"/>
  <c r="G39" i="24"/>
  <c r="F39" i="24"/>
  <c r="E39" i="24"/>
  <c r="D39" i="24"/>
  <c r="BP38" i="24"/>
  <c r="BN38" i="24"/>
  <c r="BM38" i="24"/>
  <c r="BH38" i="24"/>
  <c r="BG38" i="24"/>
  <c r="BF38" i="24"/>
  <c r="BE38" i="24"/>
  <c r="BD38" i="24"/>
  <c r="BC38" i="24"/>
  <c r="AC38" i="24" s="1"/>
  <c r="BB38" i="24"/>
  <c r="BA38" i="24"/>
  <c r="AZ38" i="24"/>
  <c r="AY38" i="24"/>
  <c r="AX38" i="24"/>
  <c r="AW38" i="24"/>
  <c r="AV38" i="24"/>
  <c r="AU38" i="24"/>
  <c r="AT38" i="24"/>
  <c r="AO38" i="24"/>
  <c r="AN38" i="24"/>
  <c r="AM38" i="24"/>
  <c r="X38" i="24"/>
  <c r="W38" i="24"/>
  <c r="U38" i="24"/>
  <c r="S38" i="24"/>
  <c r="R38" i="24"/>
  <c r="Q38" i="24"/>
  <c r="N38" i="24"/>
  <c r="M38" i="24"/>
  <c r="K38" i="24"/>
  <c r="I38" i="24"/>
  <c r="H38" i="24"/>
  <c r="G38" i="24"/>
  <c r="F38" i="24"/>
  <c r="E38" i="24"/>
  <c r="D38" i="24"/>
  <c r="BP37" i="24"/>
  <c r="BN37" i="24"/>
  <c r="BM37" i="24"/>
  <c r="BH37" i="24"/>
  <c r="BG37" i="24"/>
  <c r="BF37" i="24"/>
  <c r="BE37" i="24"/>
  <c r="BD37" i="24"/>
  <c r="BC37" i="24"/>
  <c r="AC37" i="24" s="1"/>
  <c r="BB37" i="24"/>
  <c r="BA37" i="24"/>
  <c r="AZ37" i="24"/>
  <c r="AY37" i="24"/>
  <c r="AX37" i="24"/>
  <c r="AW37" i="24"/>
  <c r="AV37" i="24"/>
  <c r="AU37" i="24"/>
  <c r="AT37" i="24"/>
  <c r="AO37" i="24"/>
  <c r="AN37" i="24"/>
  <c r="AM37" i="24"/>
  <c r="X37" i="24"/>
  <c r="W37" i="24"/>
  <c r="U37" i="24"/>
  <c r="S37" i="24"/>
  <c r="R37" i="24"/>
  <c r="Q37" i="24"/>
  <c r="N37" i="24"/>
  <c r="M37" i="24"/>
  <c r="K37" i="24"/>
  <c r="I37" i="24"/>
  <c r="H37" i="24"/>
  <c r="G37" i="24"/>
  <c r="F37" i="24"/>
  <c r="E37" i="24"/>
  <c r="D37" i="24"/>
  <c r="BP36" i="24"/>
  <c r="BN36" i="24"/>
  <c r="BM36" i="24"/>
  <c r="BH36" i="24"/>
  <c r="BG36" i="24"/>
  <c r="BF36" i="24"/>
  <c r="BE36" i="24"/>
  <c r="BD36" i="24"/>
  <c r="BC36" i="24"/>
  <c r="AC36" i="24" s="1"/>
  <c r="BB36" i="24"/>
  <c r="BA36" i="24"/>
  <c r="AZ36" i="24"/>
  <c r="AY36" i="24"/>
  <c r="AX36" i="24"/>
  <c r="AW36" i="24"/>
  <c r="AV36" i="24"/>
  <c r="AU36" i="24"/>
  <c r="AT36" i="24"/>
  <c r="AO36" i="24"/>
  <c r="AN36" i="24"/>
  <c r="AM36" i="24"/>
  <c r="X36" i="24"/>
  <c r="W36" i="24"/>
  <c r="U36" i="24"/>
  <c r="S36" i="24"/>
  <c r="R36" i="24"/>
  <c r="Q36" i="24"/>
  <c r="N36" i="24"/>
  <c r="M36" i="24"/>
  <c r="K36" i="24"/>
  <c r="I36" i="24"/>
  <c r="H36" i="24"/>
  <c r="G36" i="24"/>
  <c r="F36" i="24"/>
  <c r="E36" i="24"/>
  <c r="D36" i="24"/>
  <c r="BP35" i="24"/>
  <c r="BN35" i="24"/>
  <c r="BM35" i="24"/>
  <c r="BH35" i="24"/>
  <c r="BG35" i="24"/>
  <c r="BF35" i="24"/>
  <c r="BE35" i="24"/>
  <c r="BD35" i="24"/>
  <c r="BC35" i="24"/>
  <c r="AC35" i="24" s="1"/>
  <c r="BB35" i="24"/>
  <c r="BA35" i="24"/>
  <c r="AZ35" i="24"/>
  <c r="AY35" i="24"/>
  <c r="AX35" i="24"/>
  <c r="AW35" i="24"/>
  <c r="AV35" i="24"/>
  <c r="AU35" i="24"/>
  <c r="AT35" i="24"/>
  <c r="AO35" i="24"/>
  <c r="AN35" i="24"/>
  <c r="AM35" i="24"/>
  <c r="X35" i="24"/>
  <c r="W35" i="24"/>
  <c r="U35" i="24"/>
  <c r="S35" i="24"/>
  <c r="R35" i="24"/>
  <c r="Q35" i="24"/>
  <c r="N35" i="24"/>
  <c r="M35" i="24"/>
  <c r="K35" i="24"/>
  <c r="I35" i="24"/>
  <c r="H35" i="24"/>
  <c r="G35" i="24"/>
  <c r="F35" i="24"/>
  <c r="E35" i="24"/>
  <c r="D35" i="24"/>
  <c r="BP34" i="24"/>
  <c r="BN34" i="24"/>
  <c r="BM34" i="24"/>
  <c r="BH34" i="24"/>
  <c r="BG34" i="24"/>
  <c r="BF34" i="24"/>
  <c r="BE34" i="24"/>
  <c r="BD34" i="24"/>
  <c r="BC34" i="24"/>
  <c r="AC34" i="24" s="1"/>
  <c r="BB34" i="24"/>
  <c r="BA34" i="24"/>
  <c r="AZ34" i="24"/>
  <c r="AY34" i="24"/>
  <c r="AX34" i="24"/>
  <c r="AW34" i="24"/>
  <c r="AV34" i="24"/>
  <c r="AU34" i="24"/>
  <c r="AT34" i="24"/>
  <c r="AO34" i="24"/>
  <c r="AN34" i="24"/>
  <c r="AM34" i="24"/>
  <c r="X34" i="24"/>
  <c r="W34" i="24"/>
  <c r="U34" i="24"/>
  <c r="S34" i="24"/>
  <c r="R34" i="24"/>
  <c r="Q34" i="24"/>
  <c r="N34" i="24"/>
  <c r="M34" i="24"/>
  <c r="K34" i="24"/>
  <c r="I34" i="24"/>
  <c r="H34" i="24"/>
  <c r="G34" i="24"/>
  <c r="F34" i="24"/>
  <c r="E34" i="24"/>
  <c r="D34" i="24"/>
  <c r="BP33" i="24"/>
  <c r="BN33" i="24"/>
  <c r="BM33" i="24"/>
  <c r="BH33" i="24"/>
  <c r="BG33" i="24"/>
  <c r="BF33" i="24"/>
  <c r="BE33" i="24"/>
  <c r="BD33" i="24"/>
  <c r="BC33" i="24"/>
  <c r="AC33" i="24" s="1"/>
  <c r="BB33" i="24"/>
  <c r="BA33" i="24"/>
  <c r="AZ33" i="24"/>
  <c r="AY33" i="24"/>
  <c r="AX33" i="24"/>
  <c r="AW33" i="24"/>
  <c r="AV33" i="24"/>
  <c r="AU33" i="24"/>
  <c r="AT33" i="24"/>
  <c r="AO33" i="24"/>
  <c r="AN33" i="24"/>
  <c r="AM33" i="24"/>
  <c r="X33" i="24"/>
  <c r="W33" i="24"/>
  <c r="U33" i="24"/>
  <c r="S33" i="24"/>
  <c r="R33" i="24"/>
  <c r="Q33" i="24"/>
  <c r="N33" i="24"/>
  <c r="M33" i="24"/>
  <c r="K33" i="24"/>
  <c r="I33" i="24"/>
  <c r="H33" i="24"/>
  <c r="G33" i="24"/>
  <c r="F33" i="24"/>
  <c r="E33" i="24"/>
  <c r="D33" i="24"/>
  <c r="BP32" i="24"/>
  <c r="BN32" i="24"/>
  <c r="BM32" i="24"/>
  <c r="BH32" i="24"/>
  <c r="BG32" i="24"/>
  <c r="BF32" i="24"/>
  <c r="BE32" i="24"/>
  <c r="BD32" i="24"/>
  <c r="BC32" i="24"/>
  <c r="AC32" i="24" s="1"/>
  <c r="BB32" i="24"/>
  <c r="BA32" i="24"/>
  <c r="AZ32" i="24"/>
  <c r="AY32" i="24"/>
  <c r="AX32" i="24"/>
  <c r="AW32" i="24"/>
  <c r="AV32" i="24"/>
  <c r="AU32" i="24"/>
  <c r="AT32" i="24"/>
  <c r="AO32" i="24"/>
  <c r="AN32" i="24"/>
  <c r="AM32" i="24"/>
  <c r="X32" i="24"/>
  <c r="W32" i="24"/>
  <c r="U32" i="24"/>
  <c r="S32" i="24"/>
  <c r="R32" i="24"/>
  <c r="Q32" i="24"/>
  <c r="N32" i="24"/>
  <c r="M32" i="24"/>
  <c r="K32" i="24"/>
  <c r="I32" i="24"/>
  <c r="H32" i="24"/>
  <c r="G32" i="24"/>
  <c r="F32" i="24"/>
  <c r="E32" i="24"/>
  <c r="D32" i="24"/>
  <c r="BP31" i="24"/>
  <c r="BN31" i="24"/>
  <c r="BM31" i="24"/>
  <c r="BH31" i="24"/>
  <c r="BG31" i="24"/>
  <c r="BF31" i="24"/>
  <c r="BE31" i="24"/>
  <c r="BD31" i="24"/>
  <c r="BC31" i="24"/>
  <c r="AC31" i="24" s="1"/>
  <c r="BB31" i="24"/>
  <c r="BA31" i="24"/>
  <c r="AZ31" i="24"/>
  <c r="AY31" i="24"/>
  <c r="AX31" i="24"/>
  <c r="AW31" i="24"/>
  <c r="AV31" i="24"/>
  <c r="AU31" i="24"/>
  <c r="AT31" i="24"/>
  <c r="AO31" i="24"/>
  <c r="AN31" i="24"/>
  <c r="AM31" i="24"/>
  <c r="X31" i="24"/>
  <c r="W31" i="24"/>
  <c r="U31" i="24"/>
  <c r="S31" i="24"/>
  <c r="R31" i="24"/>
  <c r="Q31" i="24"/>
  <c r="N31" i="24"/>
  <c r="M31" i="24"/>
  <c r="K31" i="24"/>
  <c r="I31" i="24"/>
  <c r="H31" i="24"/>
  <c r="G31" i="24"/>
  <c r="F31" i="24"/>
  <c r="E31" i="24"/>
  <c r="D31" i="24"/>
  <c r="BP30" i="24"/>
  <c r="BN30" i="24"/>
  <c r="BM30" i="24"/>
  <c r="BH30" i="24"/>
  <c r="BG30" i="24"/>
  <c r="BF30" i="24"/>
  <c r="BE30" i="24"/>
  <c r="BD30" i="24"/>
  <c r="BC30" i="24"/>
  <c r="AC30" i="24" s="1"/>
  <c r="BB30" i="24"/>
  <c r="BA30" i="24"/>
  <c r="AZ30" i="24"/>
  <c r="AY30" i="24"/>
  <c r="AX30" i="24"/>
  <c r="AW30" i="24"/>
  <c r="AV30" i="24"/>
  <c r="AU30" i="24"/>
  <c r="AT30" i="24"/>
  <c r="AO30" i="24"/>
  <c r="AN30" i="24"/>
  <c r="AM30" i="24"/>
  <c r="X30" i="24"/>
  <c r="W30" i="24"/>
  <c r="U30" i="24"/>
  <c r="S30" i="24"/>
  <c r="R30" i="24"/>
  <c r="Q30" i="24"/>
  <c r="N30" i="24"/>
  <c r="M30" i="24"/>
  <c r="K30" i="24"/>
  <c r="I30" i="24"/>
  <c r="H30" i="24"/>
  <c r="G30" i="24"/>
  <c r="F30" i="24"/>
  <c r="E30" i="24"/>
  <c r="D30" i="24"/>
  <c r="BP29" i="24"/>
  <c r="BN29" i="24"/>
  <c r="BM29" i="24"/>
  <c r="BH29" i="24"/>
  <c r="BG29" i="24"/>
  <c r="BF29" i="24"/>
  <c r="BE29" i="24"/>
  <c r="BD29" i="24"/>
  <c r="BC29" i="24"/>
  <c r="AC29" i="24" s="1"/>
  <c r="BB29" i="24"/>
  <c r="BA29" i="24"/>
  <c r="AZ29" i="24"/>
  <c r="AY29" i="24"/>
  <c r="AX29" i="24"/>
  <c r="AW29" i="24"/>
  <c r="AV29" i="24"/>
  <c r="AU29" i="24"/>
  <c r="AT29" i="24"/>
  <c r="AO29" i="24"/>
  <c r="AN29" i="24"/>
  <c r="AM29" i="24"/>
  <c r="X29" i="24"/>
  <c r="W29" i="24"/>
  <c r="U29" i="24"/>
  <c r="S29" i="24"/>
  <c r="R29" i="24"/>
  <c r="Q29" i="24"/>
  <c r="N29" i="24"/>
  <c r="M29" i="24"/>
  <c r="K29" i="24"/>
  <c r="I29" i="24"/>
  <c r="H29" i="24"/>
  <c r="G29" i="24"/>
  <c r="F29" i="24"/>
  <c r="E29" i="24"/>
  <c r="D29" i="24"/>
  <c r="BP28" i="24"/>
  <c r="BN28" i="24"/>
  <c r="BM28" i="24"/>
  <c r="BH28" i="24"/>
  <c r="BG28" i="24"/>
  <c r="BF28" i="24"/>
  <c r="BE28" i="24"/>
  <c r="BD28" i="24"/>
  <c r="BC28" i="24"/>
  <c r="AC28" i="24" s="1"/>
  <c r="BB28" i="24"/>
  <c r="BA28" i="24"/>
  <c r="AZ28" i="24"/>
  <c r="AY28" i="24"/>
  <c r="AX28" i="24"/>
  <c r="AW28" i="24"/>
  <c r="AV28" i="24"/>
  <c r="AU28" i="24"/>
  <c r="AT28" i="24"/>
  <c r="AO28" i="24"/>
  <c r="AN28" i="24"/>
  <c r="AM28" i="24"/>
  <c r="X28" i="24"/>
  <c r="W28" i="24"/>
  <c r="U28" i="24"/>
  <c r="S28" i="24"/>
  <c r="R28" i="24"/>
  <c r="Q28" i="24"/>
  <c r="N28" i="24"/>
  <c r="M28" i="24"/>
  <c r="K28" i="24"/>
  <c r="I28" i="24"/>
  <c r="H28" i="24"/>
  <c r="G28" i="24"/>
  <c r="F28" i="24"/>
  <c r="E28" i="24"/>
  <c r="D28" i="24"/>
  <c r="BP27" i="24"/>
  <c r="BN27" i="24"/>
  <c r="BM27" i="24"/>
  <c r="BH27" i="24"/>
  <c r="BG27" i="24"/>
  <c r="BF27" i="24"/>
  <c r="BE27" i="24"/>
  <c r="BD27" i="24"/>
  <c r="BC27" i="24"/>
  <c r="AC27" i="24" s="1"/>
  <c r="BB27" i="24"/>
  <c r="BA27" i="24"/>
  <c r="AZ27" i="24"/>
  <c r="AY27" i="24"/>
  <c r="AX27" i="24"/>
  <c r="AW27" i="24"/>
  <c r="AV27" i="24"/>
  <c r="AU27" i="24"/>
  <c r="AT27" i="24"/>
  <c r="AO27" i="24"/>
  <c r="AN27" i="24"/>
  <c r="AM27" i="24"/>
  <c r="X27" i="24"/>
  <c r="W27" i="24"/>
  <c r="U27" i="24"/>
  <c r="S27" i="24"/>
  <c r="R27" i="24"/>
  <c r="Q27" i="24"/>
  <c r="N27" i="24"/>
  <c r="M27" i="24"/>
  <c r="K27" i="24"/>
  <c r="I27" i="24"/>
  <c r="H27" i="24"/>
  <c r="G27" i="24"/>
  <c r="F27" i="24"/>
  <c r="E27" i="24"/>
  <c r="D27" i="24"/>
  <c r="BP26" i="24"/>
  <c r="BN26" i="24"/>
  <c r="BM26" i="24"/>
  <c r="BH26" i="24"/>
  <c r="BG26" i="24"/>
  <c r="BF26" i="24"/>
  <c r="BE26" i="24"/>
  <c r="BD26" i="24"/>
  <c r="BC26" i="24"/>
  <c r="AC26" i="24" s="1"/>
  <c r="BB26" i="24"/>
  <c r="BA26" i="24"/>
  <c r="AZ26" i="24"/>
  <c r="AY26" i="24"/>
  <c r="AX26" i="24"/>
  <c r="AW26" i="24"/>
  <c r="AV26" i="24"/>
  <c r="AU26" i="24"/>
  <c r="AT26" i="24"/>
  <c r="AO26" i="24"/>
  <c r="AN26" i="24"/>
  <c r="AM26" i="24"/>
  <c r="X26" i="24"/>
  <c r="W26" i="24"/>
  <c r="U26" i="24"/>
  <c r="S26" i="24"/>
  <c r="R26" i="24"/>
  <c r="Q26" i="24"/>
  <c r="N26" i="24"/>
  <c r="M26" i="24"/>
  <c r="K26" i="24"/>
  <c r="I26" i="24"/>
  <c r="H26" i="24"/>
  <c r="G26" i="24"/>
  <c r="F26" i="24"/>
  <c r="E26" i="24"/>
  <c r="D26" i="24"/>
  <c r="BP25" i="24"/>
  <c r="BN25" i="24"/>
  <c r="BM25" i="24"/>
  <c r="BH25" i="24"/>
  <c r="BG25" i="24"/>
  <c r="BF25" i="24"/>
  <c r="BE25" i="24"/>
  <c r="BD25" i="24"/>
  <c r="BC25" i="24"/>
  <c r="AC25" i="24" s="1"/>
  <c r="BB25" i="24"/>
  <c r="BA25" i="24"/>
  <c r="AZ25" i="24"/>
  <c r="AY25" i="24"/>
  <c r="AX25" i="24"/>
  <c r="AW25" i="24"/>
  <c r="AV25" i="24"/>
  <c r="AU25" i="24"/>
  <c r="AT25" i="24"/>
  <c r="AO25" i="24"/>
  <c r="AN25" i="24"/>
  <c r="AM25" i="24"/>
  <c r="X25" i="24"/>
  <c r="W25" i="24"/>
  <c r="U25" i="24"/>
  <c r="S25" i="24"/>
  <c r="R25" i="24"/>
  <c r="Q25" i="24"/>
  <c r="N25" i="24"/>
  <c r="M25" i="24"/>
  <c r="K25" i="24"/>
  <c r="I25" i="24"/>
  <c r="H25" i="24"/>
  <c r="G25" i="24"/>
  <c r="F25" i="24"/>
  <c r="E25" i="24"/>
  <c r="D25" i="24"/>
  <c r="BP24" i="24"/>
  <c r="BN24" i="24"/>
  <c r="BM24" i="24"/>
  <c r="BH24" i="24"/>
  <c r="BG24" i="24"/>
  <c r="BF24" i="24"/>
  <c r="BE24" i="24"/>
  <c r="BD24" i="24"/>
  <c r="BC24" i="24"/>
  <c r="AC24" i="24" s="1"/>
  <c r="BB24" i="24"/>
  <c r="BA24" i="24"/>
  <c r="AZ24" i="24"/>
  <c r="AY24" i="24"/>
  <c r="AX24" i="24"/>
  <c r="AW24" i="24"/>
  <c r="AV24" i="24"/>
  <c r="AU24" i="24"/>
  <c r="AT24" i="24"/>
  <c r="AO24" i="24"/>
  <c r="AN24" i="24"/>
  <c r="AM24" i="24"/>
  <c r="X24" i="24"/>
  <c r="W24" i="24"/>
  <c r="U24" i="24"/>
  <c r="S24" i="24"/>
  <c r="R24" i="24"/>
  <c r="Q24" i="24"/>
  <c r="N24" i="24"/>
  <c r="M24" i="24"/>
  <c r="K24" i="24"/>
  <c r="I24" i="24"/>
  <c r="H24" i="24"/>
  <c r="G24" i="24"/>
  <c r="F24" i="24"/>
  <c r="E24" i="24"/>
  <c r="D24" i="24"/>
  <c r="BP23" i="24"/>
  <c r="BN23" i="24"/>
  <c r="BM23" i="24"/>
  <c r="BH23" i="24"/>
  <c r="BG23" i="24"/>
  <c r="BF23" i="24"/>
  <c r="BE23" i="24"/>
  <c r="BD23" i="24"/>
  <c r="BC23" i="24"/>
  <c r="AC23" i="24" s="1"/>
  <c r="BB23" i="24"/>
  <c r="BA23" i="24"/>
  <c r="AZ23" i="24"/>
  <c r="AY23" i="24"/>
  <c r="AX23" i="24"/>
  <c r="AW23" i="24"/>
  <c r="AV23" i="24"/>
  <c r="AU23" i="24"/>
  <c r="AT23" i="24"/>
  <c r="AO23" i="24"/>
  <c r="AN23" i="24"/>
  <c r="AM23" i="24"/>
  <c r="X23" i="24"/>
  <c r="W23" i="24"/>
  <c r="U23" i="24"/>
  <c r="S23" i="24"/>
  <c r="R23" i="24"/>
  <c r="Q23" i="24"/>
  <c r="N23" i="24"/>
  <c r="M23" i="24"/>
  <c r="K23" i="24"/>
  <c r="I23" i="24"/>
  <c r="H23" i="24"/>
  <c r="G23" i="24"/>
  <c r="F23" i="24"/>
  <c r="E23" i="24"/>
  <c r="D23" i="24"/>
  <c r="BP22" i="24"/>
  <c r="BN22" i="24"/>
  <c r="BM22" i="24"/>
  <c r="BH22" i="24"/>
  <c r="BG22" i="24"/>
  <c r="BF22" i="24"/>
  <c r="BE22" i="24"/>
  <c r="BD22" i="24"/>
  <c r="BC22" i="24"/>
  <c r="AC22" i="24" s="1"/>
  <c r="BB22" i="24"/>
  <c r="BA22" i="24"/>
  <c r="AZ22" i="24"/>
  <c r="AY22" i="24"/>
  <c r="AX22" i="24"/>
  <c r="AW22" i="24"/>
  <c r="AV22" i="24"/>
  <c r="AU22" i="24"/>
  <c r="AT22" i="24"/>
  <c r="AO22" i="24"/>
  <c r="AN22" i="24"/>
  <c r="AM22" i="24"/>
  <c r="X22" i="24"/>
  <c r="W22" i="24"/>
  <c r="U22" i="24"/>
  <c r="S22" i="24"/>
  <c r="R22" i="24"/>
  <c r="Q22" i="24"/>
  <c r="N22" i="24"/>
  <c r="M22" i="24"/>
  <c r="K22" i="24"/>
  <c r="I22" i="24"/>
  <c r="H22" i="24"/>
  <c r="G22" i="24"/>
  <c r="F22" i="24"/>
  <c r="E22" i="24"/>
  <c r="D22" i="24"/>
  <c r="BP21" i="24"/>
  <c r="BN21" i="24"/>
  <c r="BM21" i="24"/>
  <c r="BH21" i="24"/>
  <c r="BG21" i="24"/>
  <c r="BF21" i="24"/>
  <c r="BE21" i="24"/>
  <c r="BD21" i="24"/>
  <c r="BC21" i="24"/>
  <c r="AC21" i="24" s="1"/>
  <c r="BB21" i="24"/>
  <c r="BA21" i="24"/>
  <c r="AZ21" i="24"/>
  <c r="AY21" i="24"/>
  <c r="AX21" i="24"/>
  <c r="AW21" i="24"/>
  <c r="AV21" i="24"/>
  <c r="AU21" i="24"/>
  <c r="AT21" i="24"/>
  <c r="AO21" i="24"/>
  <c r="AN21" i="24"/>
  <c r="AM21" i="24"/>
  <c r="X21" i="24"/>
  <c r="W21" i="24"/>
  <c r="U21" i="24"/>
  <c r="S21" i="24"/>
  <c r="R21" i="24"/>
  <c r="Q21" i="24"/>
  <c r="N21" i="24"/>
  <c r="M21" i="24"/>
  <c r="K21" i="24"/>
  <c r="I21" i="24"/>
  <c r="H21" i="24"/>
  <c r="G21" i="24"/>
  <c r="F21" i="24"/>
  <c r="E21" i="24"/>
  <c r="D21" i="24"/>
  <c r="BP20" i="24"/>
  <c r="BN20" i="24"/>
  <c r="BM20" i="24"/>
  <c r="BH20" i="24"/>
  <c r="BG20" i="24"/>
  <c r="BF20" i="24"/>
  <c r="BE20" i="24"/>
  <c r="BD20" i="24"/>
  <c r="BC20" i="24"/>
  <c r="AC20" i="24" s="1"/>
  <c r="BB20" i="24"/>
  <c r="BA20" i="24"/>
  <c r="AZ20" i="24"/>
  <c r="AY20" i="24"/>
  <c r="AX20" i="24"/>
  <c r="AW20" i="24"/>
  <c r="AV20" i="24"/>
  <c r="AU20" i="24"/>
  <c r="AT20" i="24"/>
  <c r="AO20" i="24"/>
  <c r="AN20" i="24"/>
  <c r="AM20" i="24"/>
  <c r="X20" i="24"/>
  <c r="W20" i="24"/>
  <c r="U20" i="24"/>
  <c r="S20" i="24"/>
  <c r="R20" i="24"/>
  <c r="Q20" i="24"/>
  <c r="N20" i="24"/>
  <c r="M20" i="24"/>
  <c r="K20" i="24"/>
  <c r="I20" i="24"/>
  <c r="H20" i="24"/>
  <c r="G20" i="24"/>
  <c r="F20" i="24"/>
  <c r="E20" i="24"/>
  <c r="D20" i="24"/>
  <c r="BP19" i="24"/>
  <c r="BN19" i="24"/>
  <c r="BM19" i="24"/>
  <c r="BH19" i="24"/>
  <c r="BG19" i="24"/>
  <c r="BF19" i="24"/>
  <c r="BE19" i="24"/>
  <c r="BD19" i="24"/>
  <c r="BC19" i="24"/>
  <c r="AC19" i="24" s="1"/>
  <c r="BB19" i="24"/>
  <c r="BA19" i="24"/>
  <c r="AZ19" i="24"/>
  <c r="AY19" i="24"/>
  <c r="AX19" i="24"/>
  <c r="AW19" i="24"/>
  <c r="AV19" i="24"/>
  <c r="AU19" i="24"/>
  <c r="AT19" i="24"/>
  <c r="AO19" i="24"/>
  <c r="AN19" i="24"/>
  <c r="AM19" i="24"/>
  <c r="X19" i="24"/>
  <c r="W19" i="24"/>
  <c r="U19" i="24"/>
  <c r="S19" i="24"/>
  <c r="R19" i="24"/>
  <c r="Q19" i="24"/>
  <c r="N19" i="24"/>
  <c r="M19" i="24"/>
  <c r="K19" i="24"/>
  <c r="I19" i="24"/>
  <c r="H19" i="24"/>
  <c r="G19" i="24"/>
  <c r="F19" i="24"/>
  <c r="E19" i="24"/>
  <c r="D19" i="24"/>
  <c r="BP18" i="24"/>
  <c r="BN18" i="24"/>
  <c r="BM18" i="24"/>
  <c r="BH18" i="24"/>
  <c r="BG18" i="24"/>
  <c r="BF18" i="24"/>
  <c r="BE18" i="24"/>
  <c r="BD18" i="24"/>
  <c r="BC18" i="24"/>
  <c r="AC18" i="24" s="1"/>
  <c r="BB18" i="24"/>
  <c r="BA18" i="24"/>
  <c r="AZ18" i="24"/>
  <c r="AY18" i="24"/>
  <c r="AX18" i="24"/>
  <c r="AW18" i="24"/>
  <c r="AV18" i="24"/>
  <c r="AU18" i="24"/>
  <c r="AT18" i="24"/>
  <c r="AO18" i="24"/>
  <c r="AN18" i="24"/>
  <c r="AM18" i="24"/>
  <c r="X18" i="24"/>
  <c r="W18" i="24"/>
  <c r="U18" i="24"/>
  <c r="S18" i="24"/>
  <c r="R18" i="24"/>
  <c r="Q18" i="24"/>
  <c r="N18" i="24"/>
  <c r="M18" i="24"/>
  <c r="K18" i="24"/>
  <c r="I18" i="24"/>
  <c r="H18" i="24"/>
  <c r="G18" i="24"/>
  <c r="F18" i="24"/>
  <c r="E18" i="24"/>
  <c r="D18" i="24"/>
  <c r="BP17" i="24"/>
  <c r="BN17" i="24"/>
  <c r="BM17" i="24"/>
  <c r="BH17" i="24"/>
  <c r="BG17" i="24"/>
  <c r="BF17" i="24"/>
  <c r="BE17" i="24"/>
  <c r="BD17" i="24"/>
  <c r="BC17" i="24"/>
  <c r="AC17" i="24" s="1"/>
  <c r="BB17" i="24"/>
  <c r="BA17" i="24"/>
  <c r="AZ17" i="24"/>
  <c r="AY17" i="24"/>
  <c r="AX17" i="24"/>
  <c r="AW17" i="24"/>
  <c r="AV17" i="24"/>
  <c r="AU17" i="24"/>
  <c r="AT17" i="24"/>
  <c r="AO17" i="24"/>
  <c r="AN17" i="24"/>
  <c r="AM17" i="24"/>
  <c r="X17" i="24"/>
  <c r="W17" i="24"/>
  <c r="U17" i="24"/>
  <c r="S17" i="24"/>
  <c r="R17" i="24"/>
  <c r="Q17" i="24"/>
  <c r="N17" i="24"/>
  <c r="M17" i="24"/>
  <c r="K17" i="24"/>
  <c r="I17" i="24"/>
  <c r="H17" i="24"/>
  <c r="G17" i="24"/>
  <c r="F17" i="24"/>
  <c r="E17" i="24"/>
  <c r="D17" i="24"/>
  <c r="BP16" i="24"/>
  <c r="BN16" i="24"/>
  <c r="BM16" i="24"/>
  <c r="BH16" i="24"/>
  <c r="BG16" i="24"/>
  <c r="BF16" i="24"/>
  <c r="BE16" i="24"/>
  <c r="BD16" i="24"/>
  <c r="BC16" i="24"/>
  <c r="AC16" i="24" s="1"/>
  <c r="BB16" i="24"/>
  <c r="BA16" i="24"/>
  <c r="AZ16" i="24"/>
  <c r="AY16" i="24"/>
  <c r="AX16" i="24"/>
  <c r="AW16" i="24"/>
  <c r="AV16" i="24"/>
  <c r="AU16" i="24"/>
  <c r="AT16" i="24"/>
  <c r="AO16" i="24"/>
  <c r="AN16" i="24"/>
  <c r="AM16" i="24"/>
  <c r="X16" i="24"/>
  <c r="W16" i="24"/>
  <c r="U16" i="24"/>
  <c r="S16" i="24"/>
  <c r="R16" i="24"/>
  <c r="Q16" i="24"/>
  <c r="N16" i="24"/>
  <c r="M16" i="24"/>
  <c r="K16" i="24"/>
  <c r="I16" i="24"/>
  <c r="H16" i="24"/>
  <c r="G16" i="24"/>
  <c r="F16" i="24"/>
  <c r="E16" i="24"/>
  <c r="D16" i="24"/>
  <c r="BP15" i="24"/>
  <c r="BN15" i="24"/>
  <c r="BM15" i="24"/>
  <c r="BH15" i="24"/>
  <c r="BG15" i="24"/>
  <c r="BF15" i="24"/>
  <c r="BE15" i="24"/>
  <c r="BD15" i="24"/>
  <c r="BC15" i="24"/>
  <c r="AC15" i="24" s="1"/>
  <c r="BB15" i="24"/>
  <c r="BA15" i="24"/>
  <c r="AZ15" i="24"/>
  <c r="AY15" i="24"/>
  <c r="AX15" i="24"/>
  <c r="AW15" i="24"/>
  <c r="AV15" i="24"/>
  <c r="AU15" i="24"/>
  <c r="AT15" i="24"/>
  <c r="AO15" i="24"/>
  <c r="AN15" i="24"/>
  <c r="AM15" i="24"/>
  <c r="X15" i="24"/>
  <c r="W15" i="24"/>
  <c r="U15" i="24"/>
  <c r="S15" i="24"/>
  <c r="R15" i="24"/>
  <c r="Q15" i="24"/>
  <c r="N15" i="24"/>
  <c r="M15" i="24"/>
  <c r="K15" i="24"/>
  <c r="I15" i="24"/>
  <c r="H15" i="24"/>
  <c r="G15" i="24"/>
  <c r="F15" i="24"/>
  <c r="E15" i="24"/>
  <c r="D15" i="24"/>
  <c r="BP14" i="24"/>
  <c r="BN14" i="24"/>
  <c r="BM14" i="24"/>
  <c r="BH14" i="24"/>
  <c r="BG14" i="24"/>
  <c r="BF14" i="24"/>
  <c r="BE14" i="24"/>
  <c r="BD14" i="24"/>
  <c r="BC14" i="24"/>
  <c r="AC14" i="24" s="1"/>
  <c r="BB14" i="24"/>
  <c r="BA14" i="24"/>
  <c r="AZ14" i="24"/>
  <c r="AY14" i="24"/>
  <c r="AX14" i="24"/>
  <c r="AW14" i="24"/>
  <c r="AV14" i="24"/>
  <c r="AU14" i="24"/>
  <c r="AT14" i="24"/>
  <c r="AO14" i="24"/>
  <c r="AN14" i="24"/>
  <c r="AM14" i="24"/>
  <c r="X14" i="24"/>
  <c r="W14" i="24"/>
  <c r="U14" i="24"/>
  <c r="S14" i="24"/>
  <c r="R14" i="24"/>
  <c r="Q14" i="24"/>
  <c r="N14" i="24"/>
  <c r="M14" i="24"/>
  <c r="K14" i="24"/>
  <c r="I14" i="24"/>
  <c r="H14" i="24"/>
  <c r="G14" i="24"/>
  <c r="F14" i="24"/>
  <c r="E14" i="24"/>
  <c r="D14" i="24"/>
  <c r="BP13" i="24"/>
  <c r="BN13" i="24"/>
  <c r="BM13" i="24"/>
  <c r="BH13" i="24"/>
  <c r="BG13" i="24"/>
  <c r="BF13" i="24"/>
  <c r="BE13" i="24"/>
  <c r="BD13" i="24"/>
  <c r="BC13" i="24"/>
  <c r="AC13" i="24" s="1"/>
  <c r="BB13" i="24"/>
  <c r="BA13" i="24"/>
  <c r="AZ13" i="24"/>
  <c r="AY13" i="24"/>
  <c r="AX13" i="24"/>
  <c r="AW13" i="24"/>
  <c r="AV13" i="24"/>
  <c r="AU13" i="24"/>
  <c r="AT13" i="24"/>
  <c r="AO13" i="24"/>
  <c r="AN13" i="24"/>
  <c r="AM13" i="24"/>
  <c r="X13" i="24"/>
  <c r="W13" i="24"/>
  <c r="U13" i="24"/>
  <c r="S13" i="24"/>
  <c r="R13" i="24"/>
  <c r="Q13" i="24"/>
  <c r="N13" i="24"/>
  <c r="M13" i="24"/>
  <c r="K13" i="24"/>
  <c r="I13" i="24"/>
  <c r="H13" i="24"/>
  <c r="G13" i="24"/>
  <c r="F13" i="24"/>
  <c r="E13" i="24"/>
  <c r="D13" i="24"/>
  <c r="BP12" i="24"/>
  <c r="BN12" i="24"/>
  <c r="BM12" i="24"/>
  <c r="BH12" i="24"/>
  <c r="BG12" i="24"/>
  <c r="BF12" i="24"/>
  <c r="BE12" i="24"/>
  <c r="BD12" i="24"/>
  <c r="BC12" i="24"/>
  <c r="AC12" i="24" s="1"/>
  <c r="BB12" i="24"/>
  <c r="BA12" i="24"/>
  <c r="AZ12" i="24"/>
  <c r="AY12" i="24"/>
  <c r="AX12" i="24"/>
  <c r="AW12" i="24"/>
  <c r="AV12" i="24"/>
  <c r="AU12" i="24"/>
  <c r="AT12" i="24"/>
  <c r="AO12" i="24"/>
  <c r="AN12" i="24"/>
  <c r="AM12" i="24"/>
  <c r="X12" i="24"/>
  <c r="W12" i="24"/>
  <c r="U12" i="24"/>
  <c r="S12" i="24"/>
  <c r="R12" i="24"/>
  <c r="Q12" i="24"/>
  <c r="N12" i="24"/>
  <c r="M12" i="24"/>
  <c r="K12" i="24"/>
  <c r="I12" i="24"/>
  <c r="H12" i="24"/>
  <c r="G12" i="24"/>
  <c r="F12" i="24"/>
  <c r="E12" i="24"/>
  <c r="D12" i="24"/>
  <c r="BP11" i="24"/>
  <c r="BN11" i="24"/>
  <c r="BM11" i="24"/>
  <c r="BH11" i="24"/>
  <c r="BG11" i="24"/>
  <c r="BF11" i="24"/>
  <c r="BE11" i="24"/>
  <c r="BD11" i="24"/>
  <c r="BC11" i="24"/>
  <c r="AC11" i="24" s="1"/>
  <c r="BB11" i="24"/>
  <c r="BA11" i="24"/>
  <c r="AZ11" i="24"/>
  <c r="AY11" i="24"/>
  <c r="AX11" i="24"/>
  <c r="AW11" i="24"/>
  <c r="AV11" i="24"/>
  <c r="AU11" i="24"/>
  <c r="AT11" i="24"/>
  <c r="AO11" i="24"/>
  <c r="AN11" i="24"/>
  <c r="AM11" i="24"/>
  <c r="X11" i="24"/>
  <c r="W11" i="24"/>
  <c r="U11" i="24"/>
  <c r="S11" i="24"/>
  <c r="R11" i="24"/>
  <c r="Q11" i="24"/>
  <c r="N11" i="24"/>
  <c r="M11" i="24"/>
  <c r="K11" i="24"/>
  <c r="I11" i="24"/>
  <c r="H11" i="24"/>
  <c r="G11" i="24"/>
  <c r="F11" i="24"/>
  <c r="E11" i="24"/>
  <c r="D11" i="24"/>
  <c r="N6" i="24"/>
  <c r="M6" i="24"/>
  <c r="K6" i="24"/>
  <c r="I6" i="24"/>
  <c r="H6" i="24"/>
  <c r="G6" i="24"/>
  <c r="F6" i="24"/>
  <c r="GH381" i="43"/>
  <c r="GF381" i="43"/>
  <c r="GD381" i="43"/>
  <c r="GC381" i="43"/>
  <c r="GB381" i="43"/>
  <c r="FW381" i="43"/>
  <c r="FV381" i="43"/>
  <c r="U381" i="43" s="1"/>
  <c r="FQ381" i="43"/>
  <c r="FL381" i="43"/>
  <c r="FD381" i="43"/>
  <c r="P378" i="45" s="1"/>
  <c r="EU381" i="43"/>
  <c r="ET381" i="43"/>
  <c r="EM381" i="43"/>
  <c r="EG381" i="43"/>
  <c r="DU381" i="43"/>
  <c r="DT381" i="43"/>
  <c r="DS381" i="43"/>
  <c r="DP381" i="43"/>
  <c r="Q378" i="45" s="1"/>
  <c r="R378" i="45" s="1"/>
  <c r="DA381" i="43"/>
  <c r="CS381" i="43" s="1"/>
  <c r="CW381" i="43"/>
  <c r="CU381" i="43"/>
  <c r="CH381" i="43"/>
  <c r="CG381" i="43"/>
  <c r="CB381" i="43"/>
  <c r="BZ381" i="43"/>
  <c r="BM381" i="43"/>
  <c r="BE381" i="43" s="1"/>
  <c r="BI381" i="43"/>
  <c r="BG381" i="43"/>
  <c r="AT381" i="43"/>
  <c r="AL381" i="43"/>
  <c r="AG381" i="43"/>
  <c r="AF381" i="43"/>
  <c r="F378" i="45" s="1"/>
  <c r="AE381" i="43"/>
  <c r="E378" i="45" s="1"/>
  <c r="B378" i="45" s="1"/>
  <c r="AD381" i="43"/>
  <c r="AC381" i="43"/>
  <c r="O381" i="43"/>
  <c r="BQ381" i="43" s="1"/>
  <c r="I381" i="43"/>
  <c r="J381" i="43"/>
  <c r="GH380" i="43"/>
  <c r="GF380" i="43"/>
  <c r="GD380" i="43"/>
  <c r="AJ380" i="43" s="1"/>
  <c r="AK380" i="43" s="1"/>
  <c r="C377" i="45" s="1"/>
  <c r="GC380" i="43"/>
  <c r="GB380" i="43"/>
  <c r="FW380" i="43"/>
  <c r="FV380" i="43"/>
  <c r="U380" i="43" s="1"/>
  <c r="FQ380" i="43"/>
  <c r="FL380" i="43"/>
  <c r="FD380" i="43"/>
  <c r="P377" i="45" s="1"/>
  <c r="EU380" i="43"/>
  <c r="ET380" i="43"/>
  <c r="EM380" i="43"/>
  <c r="EG380" i="43"/>
  <c r="DU380" i="43"/>
  <c r="DT380" i="43"/>
  <c r="DS380" i="43"/>
  <c r="DP380" i="43"/>
  <c r="Q377" i="45" s="1"/>
  <c r="R377" i="45" s="1"/>
  <c r="DA380" i="43"/>
  <c r="CS380" i="43" s="1"/>
  <c r="CW380" i="43"/>
  <c r="CU380" i="43"/>
  <c r="CH380" i="43"/>
  <c r="CG380" i="43"/>
  <c r="CD380" i="43" s="1"/>
  <c r="CB380" i="43"/>
  <c r="BZ380" i="43"/>
  <c r="BM380" i="43"/>
  <c r="BE380" i="43" s="1"/>
  <c r="BI380" i="43"/>
  <c r="BG380" i="43"/>
  <c r="AT380" i="43"/>
  <c r="AL380" i="43"/>
  <c r="AG380" i="43"/>
  <c r="G377" i="45" s="1"/>
  <c r="AF380" i="43"/>
  <c r="F377" i="45" s="1"/>
  <c r="AE380" i="43"/>
  <c r="E377" i="45" s="1"/>
  <c r="AD380" i="43"/>
  <c r="AC380" i="43"/>
  <c r="O380" i="43"/>
  <c r="GH379" i="43"/>
  <c r="GF379" i="43"/>
  <c r="GD379" i="43"/>
  <c r="GC379" i="43"/>
  <c r="CJ379" i="43" s="1"/>
  <c r="GB379" i="43"/>
  <c r="FW379" i="43"/>
  <c r="FV379" i="43"/>
  <c r="U379" i="43" s="1"/>
  <c r="FQ379" i="43"/>
  <c r="FL379" i="43"/>
  <c r="FD379" i="43"/>
  <c r="P376" i="45" s="1"/>
  <c r="EU379" i="43"/>
  <c r="ET379" i="43"/>
  <c r="EM379" i="43"/>
  <c r="EG379" i="43"/>
  <c r="DU379" i="43"/>
  <c r="DT379" i="43"/>
  <c r="DS379" i="43"/>
  <c r="DP379" i="43"/>
  <c r="Q376" i="45" s="1"/>
  <c r="R376" i="45" s="1"/>
  <c r="DA379" i="43"/>
  <c r="CS379" i="43" s="1"/>
  <c r="CW379" i="43"/>
  <c r="CU379" i="43"/>
  <c r="CH379" i="43"/>
  <c r="CG379" i="43"/>
  <c r="CD379" i="43" s="1"/>
  <c r="CB379" i="43"/>
  <c r="BZ379" i="43"/>
  <c r="BM379" i="43"/>
  <c r="BE379" i="43" s="1"/>
  <c r="BI379" i="43"/>
  <c r="BG379" i="43"/>
  <c r="AT379" i="43"/>
  <c r="AL379" i="43"/>
  <c r="AG379" i="43"/>
  <c r="G376" i="45" s="1"/>
  <c r="AF379" i="43"/>
  <c r="F376" i="45" s="1"/>
  <c r="AE379" i="43"/>
  <c r="E376" i="45" s="1"/>
  <c r="AD379" i="43"/>
  <c r="AC379" i="43"/>
  <c r="O379" i="43"/>
  <c r="GH378" i="43"/>
  <c r="GF378" i="43"/>
  <c r="GD378" i="43"/>
  <c r="GC378" i="43"/>
  <c r="GB378" i="43"/>
  <c r="FW378" i="43"/>
  <c r="FV378" i="43"/>
  <c r="U378" i="43" s="1"/>
  <c r="FQ378" i="43"/>
  <c r="FL378" i="43"/>
  <c r="FD378" i="43"/>
  <c r="P375" i="45" s="1"/>
  <c r="EU378" i="43"/>
  <c r="ET378" i="43"/>
  <c r="EM378" i="43"/>
  <c r="EG378" i="43"/>
  <c r="DU378" i="43"/>
  <c r="DT378" i="43"/>
  <c r="DS378" i="43"/>
  <c r="DP378" i="43"/>
  <c r="Q375" i="45" s="1"/>
  <c r="R375" i="45" s="1"/>
  <c r="DA378" i="43"/>
  <c r="CS378" i="43" s="1"/>
  <c r="CW378" i="43"/>
  <c r="CU378" i="43"/>
  <c r="CH378" i="43"/>
  <c r="CG378" i="43"/>
  <c r="CB378" i="43"/>
  <c r="BZ378" i="43"/>
  <c r="BM378" i="43"/>
  <c r="BE378" i="43" s="1"/>
  <c r="BI378" i="43"/>
  <c r="BG378" i="43"/>
  <c r="AT378" i="43"/>
  <c r="AL378" i="43"/>
  <c r="AG378" i="43"/>
  <c r="G375" i="45" s="1"/>
  <c r="AF378" i="43"/>
  <c r="F375" i="45" s="1"/>
  <c r="AE378" i="43"/>
  <c r="AD378" i="43"/>
  <c r="AC378" i="43"/>
  <c r="O378" i="43"/>
  <c r="GH377" i="43"/>
  <c r="GF377" i="43"/>
  <c r="GD377" i="43"/>
  <c r="GC377" i="43"/>
  <c r="GB377" i="43"/>
  <c r="FW377" i="43"/>
  <c r="FV377" i="43"/>
  <c r="U377" i="43" s="1"/>
  <c r="FQ377" i="43"/>
  <c r="FL377" i="43"/>
  <c r="FD377" i="43"/>
  <c r="P374" i="45" s="1"/>
  <c r="EU377" i="43"/>
  <c r="ET377" i="43"/>
  <c r="EM377" i="43"/>
  <c r="EG377" i="43"/>
  <c r="DU377" i="43"/>
  <c r="DT377" i="43"/>
  <c r="DS377" i="43"/>
  <c r="DP377" i="43"/>
  <c r="Q374" i="45" s="1"/>
  <c r="R374" i="45" s="1"/>
  <c r="DA377" i="43"/>
  <c r="CS377" i="43" s="1"/>
  <c r="CW377" i="43"/>
  <c r="CU377" i="43"/>
  <c r="CH377" i="43"/>
  <c r="CG377" i="43"/>
  <c r="CB377" i="43"/>
  <c r="BZ377" i="43"/>
  <c r="BM377" i="43"/>
  <c r="BE377" i="43" s="1"/>
  <c r="BI377" i="43"/>
  <c r="BG377" i="43"/>
  <c r="AT377" i="43"/>
  <c r="AL377" i="43"/>
  <c r="AG377" i="43"/>
  <c r="G374" i="45" s="1"/>
  <c r="AF377" i="43"/>
  <c r="F374" i="45" s="1"/>
  <c r="AE377" i="43"/>
  <c r="AD377" i="43"/>
  <c r="AC377" i="43"/>
  <c r="O377" i="43"/>
  <c r="Z377" i="43" s="1"/>
  <c r="I377" i="43"/>
  <c r="GH376" i="43"/>
  <c r="GF376" i="43"/>
  <c r="GD376" i="43"/>
  <c r="GC376" i="43"/>
  <c r="GB376" i="43"/>
  <c r="FW376" i="43"/>
  <c r="FV376" i="43"/>
  <c r="U376" i="43" s="1"/>
  <c r="FQ376" i="43"/>
  <c r="FL376" i="43"/>
  <c r="FD376" i="43"/>
  <c r="EU376" i="43"/>
  <c r="ET376" i="43"/>
  <c r="EM376" i="43"/>
  <c r="EG376" i="43"/>
  <c r="DU376" i="43"/>
  <c r="DT376" i="43"/>
  <c r="DS376" i="43"/>
  <c r="DP376" i="43"/>
  <c r="DA376" i="43"/>
  <c r="CS376" i="43" s="1"/>
  <c r="CW376" i="43"/>
  <c r="CU376" i="43"/>
  <c r="CH376" i="43"/>
  <c r="CG376" i="43"/>
  <c r="CD376" i="43" s="1"/>
  <c r="CB376" i="43"/>
  <c r="BZ376" i="43"/>
  <c r="BM376" i="43"/>
  <c r="BE376" i="43" s="1"/>
  <c r="BI376" i="43"/>
  <c r="BG376" i="43"/>
  <c r="AT376" i="43"/>
  <c r="AL376" i="43"/>
  <c r="AG376" i="43"/>
  <c r="G373" i="45" s="1"/>
  <c r="AF376" i="43"/>
  <c r="AE376" i="43"/>
  <c r="E373" i="45" s="1"/>
  <c r="AD376" i="43"/>
  <c r="AC376" i="43"/>
  <c r="O376" i="43"/>
  <c r="FO376" i="43" s="1"/>
  <c r="J376" i="43"/>
  <c r="GH375" i="43"/>
  <c r="GF375" i="43"/>
  <c r="GD375" i="43"/>
  <c r="GC375" i="43"/>
  <c r="GB375" i="43"/>
  <c r="FW375" i="43"/>
  <c r="FV375" i="43"/>
  <c r="U375" i="43" s="1"/>
  <c r="FQ375" i="43"/>
  <c r="FL375" i="43"/>
  <c r="FD375" i="43"/>
  <c r="P372" i="45" s="1"/>
  <c r="EU375" i="43"/>
  <c r="ET375" i="43"/>
  <c r="EM375" i="43"/>
  <c r="EG375" i="43"/>
  <c r="DU375" i="43"/>
  <c r="DT375" i="43"/>
  <c r="DS375" i="43"/>
  <c r="DP375" i="43"/>
  <c r="Q372" i="45" s="1"/>
  <c r="R372" i="45" s="1"/>
  <c r="DA375" i="43"/>
  <c r="CS375" i="43" s="1"/>
  <c r="CW375" i="43"/>
  <c r="CU375" i="43"/>
  <c r="CH375" i="43"/>
  <c r="CG375" i="43"/>
  <c r="CB375" i="43"/>
  <c r="BZ375" i="43"/>
  <c r="BM375" i="43"/>
  <c r="BE375" i="43" s="1"/>
  <c r="BI375" i="43"/>
  <c r="BG375" i="43"/>
  <c r="AT375" i="43"/>
  <c r="AL375" i="43"/>
  <c r="AG375" i="43"/>
  <c r="AF375" i="43"/>
  <c r="AE375" i="43"/>
  <c r="E372" i="45" s="1"/>
  <c r="AD375" i="43"/>
  <c r="AC375" i="43"/>
  <c r="O375" i="43"/>
  <c r="Z375" i="43" s="1"/>
  <c r="J375" i="43"/>
  <c r="GH374" i="43"/>
  <c r="GF374" i="43"/>
  <c r="GD374" i="43"/>
  <c r="GC374" i="43"/>
  <c r="GB374" i="43"/>
  <c r="FW374" i="43"/>
  <c r="FV374" i="43"/>
  <c r="U374" i="43" s="1"/>
  <c r="FQ374" i="43"/>
  <c r="FL374" i="43"/>
  <c r="FD374" i="43"/>
  <c r="P371" i="45" s="1"/>
  <c r="EU374" i="43"/>
  <c r="ET374" i="43"/>
  <c r="EM374" i="43"/>
  <c r="EG374" i="43"/>
  <c r="DU374" i="43"/>
  <c r="DT374" i="43"/>
  <c r="DS374" i="43"/>
  <c r="DP374" i="43"/>
  <c r="Q371" i="45" s="1"/>
  <c r="R371" i="45" s="1"/>
  <c r="DA374" i="43"/>
  <c r="CS374" i="43" s="1"/>
  <c r="CW374" i="43"/>
  <c r="CU374" i="43"/>
  <c r="CH374" i="43"/>
  <c r="CG374" i="43"/>
  <c r="CD374" i="43" s="1"/>
  <c r="CB374" i="43"/>
  <c r="BZ374" i="43"/>
  <c r="BM374" i="43"/>
  <c r="BE374" i="43" s="1"/>
  <c r="BI374" i="43"/>
  <c r="BG374" i="43"/>
  <c r="AT374" i="43"/>
  <c r="AL374" i="43"/>
  <c r="AG374" i="43"/>
  <c r="G371" i="45" s="1"/>
  <c r="AF374" i="43"/>
  <c r="F371" i="45" s="1"/>
  <c r="AE374" i="43"/>
  <c r="AD374" i="43"/>
  <c r="AC374" i="43"/>
  <c r="O374" i="43"/>
  <c r="FO374" i="43" s="1"/>
  <c r="GH373" i="43"/>
  <c r="GF373" i="43"/>
  <c r="GD373" i="43"/>
  <c r="GC373" i="43"/>
  <c r="GB373" i="43"/>
  <c r="FW373" i="43"/>
  <c r="FV373" i="43"/>
  <c r="U373" i="43" s="1"/>
  <c r="FQ373" i="43"/>
  <c r="FL373" i="43"/>
  <c r="FD373" i="43"/>
  <c r="P370" i="45" s="1"/>
  <c r="EU373" i="43"/>
  <c r="ET373" i="43"/>
  <c r="EM373" i="43"/>
  <c r="EG373" i="43"/>
  <c r="DU373" i="43"/>
  <c r="DT373" i="43"/>
  <c r="DS373" i="43"/>
  <c r="DP373" i="43"/>
  <c r="DA373" i="43"/>
  <c r="CS373" i="43" s="1"/>
  <c r="CW373" i="43"/>
  <c r="CU373" i="43"/>
  <c r="CH373" i="43"/>
  <c r="CG373" i="43"/>
  <c r="CB373" i="43"/>
  <c r="BZ373" i="43"/>
  <c r="BM373" i="43"/>
  <c r="BE373" i="43" s="1"/>
  <c r="BI373" i="43"/>
  <c r="BG373" i="43"/>
  <c r="AT373" i="43"/>
  <c r="AL373" i="43"/>
  <c r="AG373" i="43"/>
  <c r="G370" i="45" s="1"/>
  <c r="AF373" i="43"/>
  <c r="F370" i="45" s="1"/>
  <c r="AE373" i="43"/>
  <c r="E370" i="45" s="1"/>
  <c r="AD373" i="43"/>
  <c r="AC373" i="43"/>
  <c r="O373" i="43"/>
  <c r="CL373" i="43" s="1"/>
  <c r="GH372" i="43"/>
  <c r="GF372" i="43"/>
  <c r="GD372" i="43"/>
  <c r="GC372" i="43"/>
  <c r="GB372" i="43"/>
  <c r="FW372" i="43"/>
  <c r="FV372" i="43"/>
  <c r="U372" i="43" s="1"/>
  <c r="FQ372" i="43"/>
  <c r="FL372" i="43"/>
  <c r="FD372" i="43"/>
  <c r="P369" i="45" s="1"/>
  <c r="EU372" i="43"/>
  <c r="ET372" i="43"/>
  <c r="EM372" i="43"/>
  <c r="EG372" i="43"/>
  <c r="DU372" i="43"/>
  <c r="DT372" i="43"/>
  <c r="DS372" i="43"/>
  <c r="DP372" i="43"/>
  <c r="Q369" i="45" s="1"/>
  <c r="R369" i="45" s="1"/>
  <c r="DA372" i="43"/>
  <c r="CS372" i="43" s="1"/>
  <c r="CW372" i="43"/>
  <c r="CU372" i="43"/>
  <c r="CH372" i="43"/>
  <c r="CG372" i="43"/>
  <c r="CD372" i="43" s="1"/>
  <c r="AR372" i="43" s="1"/>
  <c r="CB372" i="43"/>
  <c r="BZ372" i="43"/>
  <c r="BM372" i="43"/>
  <c r="BE372" i="43" s="1"/>
  <c r="BI372" i="43"/>
  <c r="BG372" i="43"/>
  <c r="AT372" i="43"/>
  <c r="AL372" i="43"/>
  <c r="AG372" i="43"/>
  <c r="G369" i="45" s="1"/>
  <c r="AF372" i="43"/>
  <c r="F369" i="45" s="1"/>
  <c r="AE372" i="43"/>
  <c r="E369" i="45" s="1"/>
  <c r="AD372" i="43"/>
  <c r="AC372" i="43"/>
  <c r="O372" i="43"/>
  <c r="CL372" i="43" s="1"/>
  <c r="GH371" i="43"/>
  <c r="GF371" i="43"/>
  <c r="GD371" i="43"/>
  <c r="GC371" i="43"/>
  <c r="GB371" i="43"/>
  <c r="FW371" i="43"/>
  <c r="FV371" i="43"/>
  <c r="U371" i="43" s="1"/>
  <c r="FQ371" i="43"/>
  <c r="FL371" i="43"/>
  <c r="FD371" i="43"/>
  <c r="P368" i="45" s="1"/>
  <c r="EU371" i="43"/>
  <c r="ET371" i="43"/>
  <c r="EM371" i="43"/>
  <c r="EG371" i="43"/>
  <c r="DU371" i="43"/>
  <c r="DT371" i="43"/>
  <c r="DS371" i="43"/>
  <c r="DP371" i="43"/>
  <c r="Q368" i="45" s="1"/>
  <c r="R368" i="45" s="1"/>
  <c r="DA371" i="43"/>
  <c r="CS371" i="43" s="1"/>
  <c r="CW371" i="43"/>
  <c r="CU371" i="43"/>
  <c r="CH371" i="43"/>
  <c r="CG371" i="43"/>
  <c r="CD371" i="43" s="1"/>
  <c r="CB371" i="43"/>
  <c r="BZ371" i="43"/>
  <c r="BM371" i="43"/>
  <c r="BE371" i="43" s="1"/>
  <c r="BI371" i="43"/>
  <c r="BG371" i="43"/>
  <c r="AT371" i="43"/>
  <c r="AL371" i="43"/>
  <c r="AG371" i="43"/>
  <c r="G368" i="45" s="1"/>
  <c r="AF371" i="43"/>
  <c r="F368" i="45" s="1"/>
  <c r="AE371" i="43"/>
  <c r="AD371" i="43"/>
  <c r="AC371" i="43"/>
  <c r="O371" i="43"/>
  <c r="GH370" i="43"/>
  <c r="GF370" i="43"/>
  <c r="GD370" i="43"/>
  <c r="GC370" i="43"/>
  <c r="GB370" i="43"/>
  <c r="FW370" i="43"/>
  <c r="FV370" i="43"/>
  <c r="U370" i="43" s="1"/>
  <c r="FQ370" i="43"/>
  <c r="FL370" i="43"/>
  <c r="FD370" i="43"/>
  <c r="P367" i="45" s="1"/>
  <c r="EU370" i="43"/>
  <c r="ET370" i="43"/>
  <c r="EM370" i="43"/>
  <c r="EG370" i="43"/>
  <c r="DU370" i="43"/>
  <c r="DT370" i="43"/>
  <c r="DS370" i="43"/>
  <c r="DP370" i="43"/>
  <c r="Q367" i="45" s="1"/>
  <c r="R367" i="45" s="1"/>
  <c r="DA370" i="43"/>
  <c r="CS370" i="43" s="1"/>
  <c r="CW370" i="43"/>
  <c r="CU370" i="43"/>
  <c r="CH370" i="43"/>
  <c r="CG370" i="43"/>
  <c r="CD370" i="43" s="1"/>
  <c r="CB370" i="43"/>
  <c r="BZ370" i="43"/>
  <c r="BM370" i="43"/>
  <c r="BE370" i="43" s="1"/>
  <c r="BI370" i="43"/>
  <c r="BG370" i="43"/>
  <c r="AT370" i="43"/>
  <c r="AL370" i="43"/>
  <c r="AG370" i="43"/>
  <c r="AF370" i="43"/>
  <c r="F367" i="45" s="1"/>
  <c r="AE370" i="43"/>
  <c r="E367" i="45" s="1"/>
  <c r="AD370" i="43"/>
  <c r="AC370" i="43"/>
  <c r="O370" i="43"/>
  <c r="GH369" i="43"/>
  <c r="GF369" i="43"/>
  <c r="GD369" i="43"/>
  <c r="GC369" i="43"/>
  <c r="GB369" i="43"/>
  <c r="FW369" i="43"/>
  <c r="FV369" i="43"/>
  <c r="U369" i="43" s="1"/>
  <c r="FQ369" i="43"/>
  <c r="FL369" i="43"/>
  <c r="FD369" i="43"/>
  <c r="P366" i="45" s="1"/>
  <c r="EU369" i="43"/>
  <c r="ET369" i="43"/>
  <c r="EM369" i="43"/>
  <c r="EG369" i="43"/>
  <c r="DU369" i="43"/>
  <c r="DT369" i="43"/>
  <c r="DS369" i="43"/>
  <c r="DP369" i="43"/>
  <c r="Q366" i="45" s="1"/>
  <c r="R366" i="45" s="1"/>
  <c r="DA369" i="43"/>
  <c r="CS369" i="43" s="1"/>
  <c r="CW369" i="43"/>
  <c r="CU369" i="43"/>
  <c r="CH369" i="43"/>
  <c r="CG369" i="43"/>
  <c r="CD369" i="43" s="1"/>
  <c r="CB369" i="43"/>
  <c r="BZ369" i="43"/>
  <c r="BM369" i="43"/>
  <c r="BE369" i="43" s="1"/>
  <c r="BI369" i="43"/>
  <c r="BG369" i="43"/>
  <c r="AT369" i="43"/>
  <c r="AL369" i="43"/>
  <c r="AG369" i="43"/>
  <c r="G366" i="45" s="1"/>
  <c r="AF369" i="43"/>
  <c r="F366" i="45" s="1"/>
  <c r="AE369" i="43"/>
  <c r="E366" i="45" s="1"/>
  <c r="AD369" i="43"/>
  <c r="AC369" i="43"/>
  <c r="O369" i="43"/>
  <c r="CL369" i="43" s="1"/>
  <c r="GH368" i="43"/>
  <c r="GF368" i="43"/>
  <c r="GD368" i="43"/>
  <c r="GC368" i="43"/>
  <c r="GB368" i="43"/>
  <c r="FW368" i="43"/>
  <c r="FV368" i="43"/>
  <c r="U368" i="43" s="1"/>
  <c r="FQ368" i="43"/>
  <c r="FL368" i="43"/>
  <c r="FD368" i="43"/>
  <c r="P365" i="45" s="1"/>
  <c r="EU368" i="43"/>
  <c r="ET368" i="43"/>
  <c r="EM368" i="43"/>
  <c r="EG368" i="43"/>
  <c r="DU368" i="43"/>
  <c r="DT368" i="43"/>
  <c r="DS368" i="43"/>
  <c r="DP368" i="43"/>
  <c r="Q365" i="45" s="1"/>
  <c r="R365" i="45" s="1"/>
  <c r="DA368" i="43"/>
  <c r="CS368" i="43" s="1"/>
  <c r="CW368" i="43"/>
  <c r="CU368" i="43"/>
  <c r="CH368" i="43"/>
  <c r="CG368" i="43"/>
  <c r="CD368" i="43" s="1"/>
  <c r="AR368" i="43" s="1"/>
  <c r="CB368" i="43"/>
  <c r="BZ368" i="43"/>
  <c r="BM368" i="43"/>
  <c r="BE368" i="43" s="1"/>
  <c r="BI368" i="43"/>
  <c r="BG368" i="43"/>
  <c r="AT368" i="43"/>
  <c r="AL368" i="43"/>
  <c r="AG368" i="43"/>
  <c r="G365" i="45" s="1"/>
  <c r="AF368" i="43"/>
  <c r="F365" i="45" s="1"/>
  <c r="AE368" i="43"/>
  <c r="E365" i="45" s="1"/>
  <c r="AD368" i="43"/>
  <c r="AC368" i="43"/>
  <c r="O368" i="43"/>
  <c r="Z368" i="43" s="1"/>
  <c r="I368" i="43"/>
  <c r="J368" i="43"/>
  <c r="GH367" i="43"/>
  <c r="GF367" i="43"/>
  <c r="GD367" i="43"/>
  <c r="GC367" i="43"/>
  <c r="GB367" i="43"/>
  <c r="FW367" i="43"/>
  <c r="FV367" i="43"/>
  <c r="U367" i="43" s="1"/>
  <c r="FQ367" i="43"/>
  <c r="FL367" i="43"/>
  <c r="FD367" i="43"/>
  <c r="P364" i="45" s="1"/>
  <c r="EU367" i="43"/>
  <c r="ET367" i="43"/>
  <c r="EM367" i="43"/>
  <c r="EG367" i="43"/>
  <c r="DU367" i="43"/>
  <c r="DT367" i="43"/>
  <c r="DS367" i="43"/>
  <c r="DP367" i="43"/>
  <c r="Q364" i="45" s="1"/>
  <c r="R364" i="45" s="1"/>
  <c r="DA367" i="43"/>
  <c r="CS367" i="43" s="1"/>
  <c r="CW367" i="43"/>
  <c r="CU367" i="43"/>
  <c r="CH367" i="43"/>
  <c r="CG367" i="43"/>
  <c r="CD367" i="43" s="1"/>
  <c r="CB367" i="43"/>
  <c r="BZ367" i="43"/>
  <c r="BM367" i="43"/>
  <c r="BE367" i="43" s="1"/>
  <c r="BI367" i="43"/>
  <c r="BG367" i="43"/>
  <c r="AT367" i="43"/>
  <c r="AL367" i="43"/>
  <c r="AG367" i="43"/>
  <c r="G364" i="45" s="1"/>
  <c r="AF367" i="43"/>
  <c r="F364" i="45" s="1"/>
  <c r="AE367" i="43"/>
  <c r="E364" i="45" s="1"/>
  <c r="AD367" i="43"/>
  <c r="AC367" i="43"/>
  <c r="O367" i="43"/>
  <c r="I367" i="43"/>
  <c r="J367" i="43"/>
  <c r="GH366" i="43"/>
  <c r="GF366" i="43"/>
  <c r="GD366" i="43"/>
  <c r="GC366" i="43"/>
  <c r="GB366" i="43"/>
  <c r="FW366" i="43"/>
  <c r="FV366" i="43"/>
  <c r="U366" i="43" s="1"/>
  <c r="FQ366" i="43"/>
  <c r="FL366" i="43"/>
  <c r="FD366" i="43"/>
  <c r="EU366" i="43"/>
  <c r="ET366" i="43"/>
  <c r="EM366" i="43"/>
  <c r="EG366" i="43"/>
  <c r="DU366" i="43"/>
  <c r="DT366" i="43"/>
  <c r="DS366" i="43"/>
  <c r="DP366" i="43"/>
  <c r="Q363" i="45" s="1"/>
  <c r="R363" i="45" s="1"/>
  <c r="DA366" i="43"/>
  <c r="CS366" i="43" s="1"/>
  <c r="CW366" i="43"/>
  <c r="CU366" i="43"/>
  <c r="CH366" i="43"/>
  <c r="CG366" i="43"/>
  <c r="CD366" i="43" s="1"/>
  <c r="AR366" i="43" s="1"/>
  <c r="CB366" i="43"/>
  <c r="BZ366" i="43"/>
  <c r="BM366" i="43"/>
  <c r="BE366" i="43" s="1"/>
  <c r="BI366" i="43"/>
  <c r="BG366" i="43"/>
  <c r="AT366" i="43"/>
  <c r="AL366" i="43"/>
  <c r="AG366" i="43"/>
  <c r="AF366" i="43"/>
  <c r="F363" i="45" s="1"/>
  <c r="AE366" i="43"/>
  <c r="E363" i="45" s="1"/>
  <c r="AD366" i="43"/>
  <c r="AC366" i="43"/>
  <c r="O366" i="43"/>
  <c r="I366" i="43"/>
  <c r="GH365" i="43"/>
  <c r="GF365" i="43"/>
  <c r="GD365" i="43"/>
  <c r="GC365" i="43"/>
  <c r="GB365" i="43"/>
  <c r="FW365" i="43"/>
  <c r="FV365" i="43"/>
  <c r="U365" i="43" s="1"/>
  <c r="FQ365" i="43"/>
  <c r="FL365" i="43"/>
  <c r="FD365" i="43"/>
  <c r="P362" i="45" s="1"/>
  <c r="EU365" i="43"/>
  <c r="ET365" i="43"/>
  <c r="EM365" i="43"/>
  <c r="EG365" i="43"/>
  <c r="DU365" i="43"/>
  <c r="DT365" i="43"/>
  <c r="DS365" i="43"/>
  <c r="DP365" i="43"/>
  <c r="Q362" i="45" s="1"/>
  <c r="R362" i="45" s="1"/>
  <c r="DA365" i="43"/>
  <c r="CS365" i="43" s="1"/>
  <c r="CW365" i="43"/>
  <c r="CU365" i="43"/>
  <c r="CH365" i="43"/>
  <c r="CG365" i="43"/>
  <c r="CD365" i="43" s="1"/>
  <c r="CB365" i="43"/>
  <c r="BZ365" i="43"/>
  <c r="BM365" i="43"/>
  <c r="BE365" i="43" s="1"/>
  <c r="BI365" i="43"/>
  <c r="BG365" i="43"/>
  <c r="AT365" i="43"/>
  <c r="AL365" i="43"/>
  <c r="AG365" i="43"/>
  <c r="G362" i="45" s="1"/>
  <c r="AF365" i="43"/>
  <c r="F362" i="45" s="1"/>
  <c r="AE365" i="43"/>
  <c r="AD365" i="43"/>
  <c r="AC365" i="43"/>
  <c r="O365" i="43"/>
  <c r="GH364" i="43"/>
  <c r="GF364" i="43"/>
  <c r="GD364" i="43"/>
  <c r="GC364" i="43"/>
  <c r="GB364" i="43"/>
  <c r="FW364" i="43"/>
  <c r="FV364" i="43"/>
  <c r="U364" i="43" s="1"/>
  <c r="FQ364" i="43"/>
  <c r="FL364" i="43"/>
  <c r="FD364" i="43"/>
  <c r="P361" i="45" s="1"/>
  <c r="EU364" i="43"/>
  <c r="ET364" i="43"/>
  <c r="EM364" i="43"/>
  <c r="EG364" i="43"/>
  <c r="DU364" i="43"/>
  <c r="DT364" i="43"/>
  <c r="DS364" i="43"/>
  <c r="DP364" i="43"/>
  <c r="Q361" i="45" s="1"/>
  <c r="R361" i="45" s="1"/>
  <c r="DA364" i="43"/>
  <c r="CS364" i="43" s="1"/>
  <c r="CW364" i="43"/>
  <c r="CU364" i="43"/>
  <c r="CH364" i="43"/>
  <c r="CG364" i="43"/>
  <c r="CD364" i="43" s="1"/>
  <c r="CB364" i="43"/>
  <c r="BZ364" i="43"/>
  <c r="BM364" i="43"/>
  <c r="BE364" i="43" s="1"/>
  <c r="BI364" i="43"/>
  <c r="BG364" i="43"/>
  <c r="AT364" i="43"/>
  <c r="AL364" i="43"/>
  <c r="AG364" i="43"/>
  <c r="G361" i="45" s="1"/>
  <c r="AF364" i="43"/>
  <c r="F361" i="45" s="1"/>
  <c r="AE364" i="43"/>
  <c r="AD364" i="43"/>
  <c r="AC364" i="43"/>
  <c r="O364" i="43"/>
  <c r="BQ364" i="43" s="1"/>
  <c r="I364" i="43"/>
  <c r="GH363" i="43"/>
  <c r="GF363" i="43"/>
  <c r="GD363" i="43"/>
  <c r="GC363" i="43"/>
  <c r="GB363" i="43"/>
  <c r="FW363" i="43"/>
  <c r="FV363" i="43"/>
  <c r="U363" i="43" s="1"/>
  <c r="FQ363" i="43"/>
  <c r="FL363" i="43"/>
  <c r="FD363" i="43"/>
  <c r="P360" i="45" s="1"/>
  <c r="EU363" i="43"/>
  <c r="ET363" i="43"/>
  <c r="EM363" i="43"/>
  <c r="EG363" i="43"/>
  <c r="DU363" i="43"/>
  <c r="DT363" i="43"/>
  <c r="DS363" i="43"/>
  <c r="DP363" i="43"/>
  <c r="Q360" i="45" s="1"/>
  <c r="R360" i="45" s="1"/>
  <c r="DA363" i="43"/>
  <c r="CS363" i="43" s="1"/>
  <c r="CW363" i="43"/>
  <c r="CU363" i="43"/>
  <c r="CH363" i="43"/>
  <c r="CG363" i="43"/>
  <c r="CB363" i="43"/>
  <c r="BZ363" i="43"/>
  <c r="BM363" i="43"/>
  <c r="BE363" i="43" s="1"/>
  <c r="BI363" i="43"/>
  <c r="BG363" i="43"/>
  <c r="AT363" i="43"/>
  <c r="AL363" i="43"/>
  <c r="AG363" i="43"/>
  <c r="G360" i="45" s="1"/>
  <c r="AF363" i="43"/>
  <c r="F360" i="45" s="1"/>
  <c r="AE363" i="43"/>
  <c r="E360" i="45" s="1"/>
  <c r="AD363" i="43"/>
  <c r="AC363" i="43"/>
  <c r="O363" i="43"/>
  <c r="I363" i="43"/>
  <c r="GH362" i="43"/>
  <c r="GF362" i="43"/>
  <c r="GD362" i="43"/>
  <c r="GC362" i="43"/>
  <c r="GB362" i="43"/>
  <c r="FW362" i="43"/>
  <c r="FV362" i="43"/>
  <c r="U362" i="43" s="1"/>
  <c r="FQ362" i="43"/>
  <c r="FL362" i="43"/>
  <c r="FD362" i="43"/>
  <c r="P359" i="45" s="1"/>
  <c r="EU362" i="43"/>
  <c r="ET362" i="43"/>
  <c r="EM362" i="43"/>
  <c r="EG362" i="43"/>
  <c r="DU362" i="43"/>
  <c r="DT362" i="43"/>
  <c r="DS362" i="43"/>
  <c r="DP362" i="43"/>
  <c r="Q359" i="45" s="1"/>
  <c r="R359" i="45" s="1"/>
  <c r="DA362" i="43"/>
  <c r="CS362" i="43" s="1"/>
  <c r="CW362" i="43"/>
  <c r="CU362" i="43"/>
  <c r="CH362" i="43"/>
  <c r="CG362" i="43"/>
  <c r="CD362" i="43" s="1"/>
  <c r="CB362" i="43"/>
  <c r="BZ362" i="43"/>
  <c r="BM362" i="43"/>
  <c r="BE362" i="43" s="1"/>
  <c r="BI362" i="43"/>
  <c r="BG362" i="43"/>
  <c r="AT362" i="43"/>
  <c r="AL362" i="43"/>
  <c r="AG362" i="43"/>
  <c r="AF362" i="43"/>
  <c r="F359" i="45" s="1"/>
  <c r="AE362" i="43"/>
  <c r="E359" i="45" s="1"/>
  <c r="AD362" i="43"/>
  <c r="AC362" i="43"/>
  <c r="O362" i="43"/>
  <c r="J362" i="43"/>
  <c r="GH361" i="43"/>
  <c r="GF361" i="43"/>
  <c r="GD361" i="43"/>
  <c r="GC361" i="43"/>
  <c r="GB361" i="43"/>
  <c r="FW361" i="43"/>
  <c r="FV361" i="43"/>
  <c r="U361" i="43" s="1"/>
  <c r="FQ361" i="43"/>
  <c r="FL361" i="43"/>
  <c r="FD361" i="43"/>
  <c r="P358" i="45" s="1"/>
  <c r="EU361" i="43"/>
  <c r="ET361" i="43"/>
  <c r="EM361" i="43"/>
  <c r="EG361" i="43"/>
  <c r="DU361" i="43"/>
  <c r="DT361" i="43"/>
  <c r="DS361" i="43"/>
  <c r="DP361" i="43"/>
  <c r="Q358" i="45" s="1"/>
  <c r="R358" i="45" s="1"/>
  <c r="DA361" i="43"/>
  <c r="CS361" i="43" s="1"/>
  <c r="CW361" i="43"/>
  <c r="CU361" i="43"/>
  <c r="CH361" i="43"/>
  <c r="CG361" i="43"/>
  <c r="CD361" i="43" s="1"/>
  <c r="AR361" i="43" s="1"/>
  <c r="CB361" i="43"/>
  <c r="BZ361" i="43"/>
  <c r="BM361" i="43"/>
  <c r="BE361" i="43" s="1"/>
  <c r="BI361" i="43"/>
  <c r="BG361" i="43"/>
  <c r="AT361" i="43"/>
  <c r="AL361" i="43"/>
  <c r="AG361" i="43"/>
  <c r="G358" i="45" s="1"/>
  <c r="AF361" i="43"/>
  <c r="F358" i="45" s="1"/>
  <c r="AE361" i="43"/>
  <c r="E358" i="45" s="1"/>
  <c r="AD361" i="43"/>
  <c r="AC361" i="43"/>
  <c r="O361" i="43"/>
  <c r="GH360" i="43"/>
  <c r="GF360" i="43"/>
  <c r="GD360" i="43"/>
  <c r="GC360" i="43"/>
  <c r="GB360" i="43"/>
  <c r="FW360" i="43"/>
  <c r="FV360" i="43"/>
  <c r="U360" i="43" s="1"/>
  <c r="FQ360" i="43"/>
  <c r="FL360" i="43"/>
  <c r="FD360" i="43"/>
  <c r="P357" i="45" s="1"/>
  <c r="EU360" i="43"/>
  <c r="ET360" i="43"/>
  <c r="EM360" i="43"/>
  <c r="EG360" i="43"/>
  <c r="DU360" i="43"/>
  <c r="DT360" i="43"/>
  <c r="DS360" i="43"/>
  <c r="DP360" i="43"/>
  <c r="Q357" i="45" s="1"/>
  <c r="R357" i="45" s="1"/>
  <c r="DA360" i="43"/>
  <c r="CS360" i="43" s="1"/>
  <c r="CW360" i="43"/>
  <c r="CU360" i="43"/>
  <c r="CH360" i="43"/>
  <c r="CG360" i="43"/>
  <c r="CD360" i="43" s="1"/>
  <c r="AS360" i="43" s="1"/>
  <c r="CB360" i="43"/>
  <c r="BZ360" i="43"/>
  <c r="BM360" i="43"/>
  <c r="BE360" i="43" s="1"/>
  <c r="BI360" i="43"/>
  <c r="BG360" i="43"/>
  <c r="AT360" i="43"/>
  <c r="AL360" i="43"/>
  <c r="AG360" i="43"/>
  <c r="G357" i="45" s="1"/>
  <c r="AF360" i="43"/>
  <c r="F357" i="45" s="1"/>
  <c r="AE360" i="43"/>
  <c r="E357" i="45" s="1"/>
  <c r="AD360" i="43"/>
  <c r="AC360" i="43"/>
  <c r="O360" i="43"/>
  <c r="I360" i="43"/>
  <c r="GH359" i="43"/>
  <c r="GF359" i="43"/>
  <c r="GD359" i="43"/>
  <c r="GC359" i="43"/>
  <c r="GB359" i="43"/>
  <c r="FW359" i="43"/>
  <c r="FV359" i="43"/>
  <c r="U359" i="43" s="1"/>
  <c r="FQ359" i="43"/>
  <c r="FL359" i="43"/>
  <c r="FD359" i="43"/>
  <c r="P356" i="45" s="1"/>
  <c r="EU359" i="43"/>
  <c r="ET359" i="43"/>
  <c r="EM359" i="43"/>
  <c r="EG359" i="43"/>
  <c r="DU359" i="43"/>
  <c r="DT359" i="43"/>
  <c r="DS359" i="43"/>
  <c r="DP359" i="43"/>
  <c r="Q356" i="45" s="1"/>
  <c r="R356" i="45" s="1"/>
  <c r="DA359" i="43"/>
  <c r="CS359" i="43" s="1"/>
  <c r="CW359" i="43"/>
  <c r="CU359" i="43"/>
  <c r="CH359" i="43"/>
  <c r="CG359" i="43"/>
  <c r="CD359" i="43" s="1"/>
  <c r="CB359" i="43"/>
  <c r="BZ359" i="43"/>
  <c r="BM359" i="43"/>
  <c r="BE359" i="43" s="1"/>
  <c r="BI359" i="43"/>
  <c r="BG359" i="43"/>
  <c r="AT359" i="43"/>
  <c r="AL359" i="43"/>
  <c r="AG359" i="43"/>
  <c r="G356" i="45" s="1"/>
  <c r="AF359" i="43"/>
  <c r="F356" i="45" s="1"/>
  <c r="AE359" i="43"/>
  <c r="E356" i="45" s="1"/>
  <c r="AD359" i="43"/>
  <c r="AC359" i="43"/>
  <c r="O359" i="43"/>
  <c r="Z359" i="43" s="1"/>
  <c r="GH358" i="43"/>
  <c r="GF358" i="43"/>
  <c r="GD358" i="43"/>
  <c r="GC358" i="43"/>
  <c r="GB358" i="43"/>
  <c r="FW358" i="43"/>
  <c r="FV358" i="43"/>
  <c r="U358" i="43" s="1"/>
  <c r="FQ358" i="43"/>
  <c r="FL358" i="43"/>
  <c r="FD358" i="43"/>
  <c r="P355" i="45" s="1"/>
  <c r="EU358" i="43"/>
  <c r="ET358" i="43"/>
  <c r="EM358" i="43"/>
  <c r="EG358" i="43"/>
  <c r="DU358" i="43"/>
  <c r="DT358" i="43"/>
  <c r="DS358" i="43"/>
  <c r="DP358" i="43"/>
  <c r="DA358" i="43"/>
  <c r="CS358" i="43" s="1"/>
  <c r="CW358" i="43"/>
  <c r="CU358" i="43"/>
  <c r="CH358" i="43"/>
  <c r="CG358" i="43"/>
  <c r="CD358" i="43" s="1"/>
  <c r="AP358" i="43" s="1"/>
  <c r="CB358" i="43"/>
  <c r="BZ358" i="43"/>
  <c r="BM358" i="43"/>
  <c r="BE358" i="43" s="1"/>
  <c r="BI358" i="43"/>
  <c r="BG358" i="43"/>
  <c r="AT358" i="43"/>
  <c r="AL358" i="43"/>
  <c r="AG358" i="43"/>
  <c r="G355" i="45" s="1"/>
  <c r="AF358" i="43"/>
  <c r="F355" i="45" s="1"/>
  <c r="AE358" i="43"/>
  <c r="E355" i="45" s="1"/>
  <c r="AD358" i="43"/>
  <c r="AC358" i="43"/>
  <c r="O358" i="43"/>
  <c r="Z358" i="43" s="1"/>
  <c r="I358" i="43"/>
  <c r="GH357" i="43"/>
  <c r="GF357" i="43"/>
  <c r="GD357" i="43"/>
  <c r="GC357" i="43"/>
  <c r="GB357" i="43"/>
  <c r="FW357" i="43"/>
  <c r="FV357" i="43"/>
  <c r="U357" i="43" s="1"/>
  <c r="FQ357" i="43"/>
  <c r="FL357" i="43"/>
  <c r="FD357" i="43"/>
  <c r="EU357" i="43"/>
  <c r="ET357" i="43"/>
  <c r="EM357" i="43"/>
  <c r="EG357" i="43"/>
  <c r="DU357" i="43"/>
  <c r="DT357" i="43"/>
  <c r="DS357" i="43"/>
  <c r="DP357" i="43"/>
  <c r="Q354" i="45" s="1"/>
  <c r="R354" i="45" s="1"/>
  <c r="DA357" i="43"/>
  <c r="CS357" i="43" s="1"/>
  <c r="CW357" i="43"/>
  <c r="CU357" i="43"/>
  <c r="CH357" i="43"/>
  <c r="CG357" i="43"/>
  <c r="CD357" i="43" s="1"/>
  <c r="CB357" i="43"/>
  <c r="BZ357" i="43"/>
  <c r="BM357" i="43"/>
  <c r="BE357" i="43" s="1"/>
  <c r="BI357" i="43"/>
  <c r="BG357" i="43"/>
  <c r="AT357" i="43"/>
  <c r="AL357" i="43"/>
  <c r="AG357" i="43"/>
  <c r="G354" i="45" s="1"/>
  <c r="AF357" i="43"/>
  <c r="F354" i="45" s="1"/>
  <c r="AE357" i="43"/>
  <c r="AD357" i="43"/>
  <c r="AC357" i="43"/>
  <c r="O357" i="43"/>
  <c r="GH356" i="43"/>
  <c r="GF356" i="43"/>
  <c r="GD356" i="43"/>
  <c r="GC356" i="43"/>
  <c r="GB356" i="43"/>
  <c r="FW356" i="43"/>
  <c r="FV356" i="43"/>
  <c r="U356" i="43" s="1"/>
  <c r="FQ356" i="43"/>
  <c r="FL356" i="43"/>
  <c r="FD356" i="43"/>
  <c r="P353" i="45" s="1"/>
  <c r="EU356" i="43"/>
  <c r="ET356" i="43"/>
  <c r="EM356" i="43"/>
  <c r="EG356" i="43"/>
  <c r="DU356" i="43"/>
  <c r="DT356" i="43"/>
  <c r="DS356" i="43"/>
  <c r="DP356" i="43"/>
  <c r="Q353" i="45" s="1"/>
  <c r="R353" i="45" s="1"/>
  <c r="DA356" i="43"/>
  <c r="CS356" i="43" s="1"/>
  <c r="CW356" i="43"/>
  <c r="CU356" i="43"/>
  <c r="CH356" i="43"/>
  <c r="CG356" i="43"/>
  <c r="CD356" i="43" s="1"/>
  <c r="AP356" i="43" s="1"/>
  <c r="CB356" i="43"/>
  <c r="BZ356" i="43"/>
  <c r="BM356" i="43"/>
  <c r="BE356" i="43" s="1"/>
  <c r="BI356" i="43"/>
  <c r="BG356" i="43"/>
  <c r="AT356" i="43"/>
  <c r="AL356" i="43"/>
  <c r="AG356" i="43"/>
  <c r="G353" i="45" s="1"/>
  <c r="AF356" i="43"/>
  <c r="AE356" i="43"/>
  <c r="E353" i="45" s="1"/>
  <c r="AD356" i="43"/>
  <c r="AC356" i="43"/>
  <c r="O356" i="43"/>
  <c r="CL356" i="43" s="1"/>
  <c r="GH355" i="43"/>
  <c r="GF355" i="43"/>
  <c r="GD355" i="43"/>
  <c r="GC355" i="43"/>
  <c r="GB355" i="43"/>
  <c r="FW355" i="43"/>
  <c r="FV355" i="43"/>
  <c r="U355" i="43" s="1"/>
  <c r="FQ355" i="43"/>
  <c r="FL355" i="43"/>
  <c r="FD355" i="43"/>
  <c r="P352" i="45" s="1"/>
  <c r="EU355" i="43"/>
  <c r="ET355" i="43"/>
  <c r="EM355" i="43"/>
  <c r="EG355" i="43"/>
  <c r="DU355" i="43"/>
  <c r="DT355" i="43"/>
  <c r="DS355" i="43"/>
  <c r="DP355" i="43"/>
  <c r="Q352" i="45" s="1"/>
  <c r="R352" i="45" s="1"/>
  <c r="DA355" i="43"/>
  <c r="CS355" i="43" s="1"/>
  <c r="CW355" i="43"/>
  <c r="CU355" i="43"/>
  <c r="CH355" i="43"/>
  <c r="CG355" i="43"/>
  <c r="CD355" i="43" s="1"/>
  <c r="CB355" i="43"/>
  <c r="BZ355" i="43"/>
  <c r="BM355" i="43"/>
  <c r="BE355" i="43" s="1"/>
  <c r="BI355" i="43"/>
  <c r="BG355" i="43"/>
  <c r="AT355" i="43"/>
  <c r="AL355" i="43"/>
  <c r="AG355" i="43"/>
  <c r="G352" i="45" s="1"/>
  <c r="AF355" i="43"/>
  <c r="F352" i="45" s="1"/>
  <c r="AE355" i="43"/>
  <c r="E352" i="45" s="1"/>
  <c r="AD355" i="43"/>
  <c r="AC355" i="43"/>
  <c r="O355" i="43"/>
  <c r="I355" i="43"/>
  <c r="J355" i="43"/>
  <c r="GH354" i="43"/>
  <c r="GF354" i="43"/>
  <c r="GD354" i="43"/>
  <c r="GC354" i="43"/>
  <c r="GB354" i="43"/>
  <c r="FW354" i="43"/>
  <c r="FV354" i="43"/>
  <c r="U354" i="43" s="1"/>
  <c r="FQ354" i="43"/>
  <c r="FL354" i="43"/>
  <c r="FD354" i="43"/>
  <c r="P351" i="45" s="1"/>
  <c r="EU354" i="43"/>
  <c r="ET354" i="43"/>
  <c r="EM354" i="43"/>
  <c r="EG354" i="43"/>
  <c r="DU354" i="43"/>
  <c r="DT354" i="43"/>
  <c r="DS354" i="43"/>
  <c r="DP354" i="43"/>
  <c r="Q351" i="45" s="1"/>
  <c r="R351" i="45" s="1"/>
  <c r="DA354" i="43"/>
  <c r="CS354" i="43" s="1"/>
  <c r="CW354" i="43"/>
  <c r="CU354" i="43"/>
  <c r="CH354" i="43"/>
  <c r="CG354" i="43"/>
  <c r="CD354" i="43" s="1"/>
  <c r="AP354" i="43" s="1"/>
  <c r="CB354" i="43"/>
  <c r="BZ354" i="43"/>
  <c r="BM354" i="43"/>
  <c r="BE354" i="43" s="1"/>
  <c r="BI354" i="43"/>
  <c r="BG354" i="43"/>
  <c r="AT354" i="43"/>
  <c r="AL354" i="43"/>
  <c r="AG354" i="43"/>
  <c r="G351" i="45" s="1"/>
  <c r="AF354" i="43"/>
  <c r="F351" i="45" s="1"/>
  <c r="AE354" i="43"/>
  <c r="E351" i="45" s="1"/>
  <c r="AD354" i="43"/>
  <c r="AC354" i="43"/>
  <c r="O354" i="43"/>
  <c r="I354" i="43"/>
  <c r="GH353" i="43"/>
  <c r="GF353" i="43"/>
  <c r="GD353" i="43"/>
  <c r="GC353" i="43"/>
  <c r="GB353" i="43"/>
  <c r="FW353" i="43"/>
  <c r="FV353" i="43"/>
  <c r="U353" i="43" s="1"/>
  <c r="FQ353" i="43"/>
  <c r="FL353" i="43"/>
  <c r="FD353" i="43"/>
  <c r="P350" i="45" s="1"/>
  <c r="EU353" i="43"/>
  <c r="ET353" i="43"/>
  <c r="EM353" i="43"/>
  <c r="EG353" i="43"/>
  <c r="DU353" i="43"/>
  <c r="DT353" i="43"/>
  <c r="DS353" i="43"/>
  <c r="DP353" i="43"/>
  <c r="Q350" i="45" s="1"/>
  <c r="R350" i="45" s="1"/>
  <c r="DA353" i="43"/>
  <c r="CS353" i="43" s="1"/>
  <c r="CW353" i="43"/>
  <c r="CU353" i="43"/>
  <c r="CH353" i="43"/>
  <c r="CG353" i="43"/>
  <c r="CD353" i="43" s="1"/>
  <c r="CB353" i="43"/>
  <c r="BZ353" i="43"/>
  <c r="BM353" i="43"/>
  <c r="BE353" i="43" s="1"/>
  <c r="BI353" i="43"/>
  <c r="BG353" i="43"/>
  <c r="AT353" i="43"/>
  <c r="AL353" i="43"/>
  <c r="AG353" i="43"/>
  <c r="G350" i="45" s="1"/>
  <c r="AF353" i="43"/>
  <c r="F350" i="45" s="1"/>
  <c r="AE353" i="43"/>
  <c r="E350" i="45" s="1"/>
  <c r="AD353" i="43"/>
  <c r="AC353" i="43"/>
  <c r="O353" i="43"/>
  <c r="I353" i="43"/>
  <c r="J353" i="43"/>
  <c r="GH352" i="43"/>
  <c r="GF352" i="43"/>
  <c r="GD352" i="43"/>
  <c r="GC352" i="43"/>
  <c r="GB352" i="43"/>
  <c r="FW352" i="43"/>
  <c r="FV352" i="43"/>
  <c r="U352" i="43" s="1"/>
  <c r="FQ352" i="43"/>
  <c r="FL352" i="43"/>
  <c r="FD352" i="43"/>
  <c r="P349" i="45" s="1"/>
  <c r="EU352" i="43"/>
  <c r="ET352" i="43"/>
  <c r="EM352" i="43"/>
  <c r="EG352" i="43"/>
  <c r="DU352" i="43"/>
  <c r="DT352" i="43"/>
  <c r="DS352" i="43"/>
  <c r="DP352" i="43"/>
  <c r="Q349" i="45" s="1"/>
  <c r="R349" i="45" s="1"/>
  <c r="DA352" i="43"/>
  <c r="CS352" i="43" s="1"/>
  <c r="CW352" i="43"/>
  <c r="CU352" i="43"/>
  <c r="CH352" i="43"/>
  <c r="CG352" i="43"/>
  <c r="CB352" i="43"/>
  <c r="BZ352" i="43"/>
  <c r="BM352" i="43"/>
  <c r="BE352" i="43" s="1"/>
  <c r="BI352" i="43"/>
  <c r="BG352" i="43"/>
  <c r="AT352" i="43"/>
  <c r="AL352" i="43"/>
  <c r="AG352" i="43"/>
  <c r="G349" i="45" s="1"/>
  <c r="AF352" i="43"/>
  <c r="F349" i="45" s="1"/>
  <c r="AE352" i="43"/>
  <c r="AD352" i="43"/>
  <c r="AC352" i="43"/>
  <c r="O352" i="43"/>
  <c r="BQ352" i="43" s="1"/>
  <c r="GH351" i="43"/>
  <c r="GF351" i="43"/>
  <c r="GD351" i="43"/>
  <c r="GC351" i="43"/>
  <c r="GB351" i="43"/>
  <c r="FW351" i="43"/>
  <c r="FV351" i="43"/>
  <c r="U351" i="43" s="1"/>
  <c r="FQ351" i="43"/>
  <c r="FL351" i="43"/>
  <c r="FD351" i="43"/>
  <c r="P348" i="45" s="1"/>
  <c r="EU351" i="43"/>
  <c r="ET351" i="43"/>
  <c r="EM351" i="43"/>
  <c r="EG351" i="43"/>
  <c r="DU351" i="43"/>
  <c r="DT351" i="43"/>
  <c r="DS351" i="43"/>
  <c r="DP351" i="43"/>
  <c r="DA351" i="43"/>
  <c r="CS351" i="43" s="1"/>
  <c r="CW351" i="43"/>
  <c r="CU351" i="43"/>
  <c r="CH351" i="43"/>
  <c r="CG351" i="43"/>
  <c r="CD351" i="43" s="1"/>
  <c r="AP351" i="43" s="1"/>
  <c r="CB351" i="43"/>
  <c r="BZ351" i="43"/>
  <c r="BM351" i="43"/>
  <c r="BE351" i="43" s="1"/>
  <c r="BI351" i="43"/>
  <c r="BG351" i="43"/>
  <c r="AT351" i="43"/>
  <c r="AL351" i="43"/>
  <c r="AG351" i="43"/>
  <c r="G348" i="45" s="1"/>
  <c r="AF351" i="43"/>
  <c r="F348" i="45" s="1"/>
  <c r="AE351" i="43"/>
  <c r="AD351" i="43"/>
  <c r="AC351" i="43"/>
  <c r="O351" i="43"/>
  <c r="GH350" i="43"/>
  <c r="GF350" i="43"/>
  <c r="GD350" i="43"/>
  <c r="GC350" i="43"/>
  <c r="GB350" i="43"/>
  <c r="FW350" i="43"/>
  <c r="FV350" i="43"/>
  <c r="U350" i="43" s="1"/>
  <c r="FQ350" i="43"/>
  <c r="FL350" i="43"/>
  <c r="FD350" i="43"/>
  <c r="P347" i="45" s="1"/>
  <c r="EU350" i="43"/>
  <c r="ET350" i="43"/>
  <c r="EM350" i="43"/>
  <c r="EG350" i="43"/>
  <c r="DU350" i="43"/>
  <c r="DT350" i="43"/>
  <c r="DS350" i="43"/>
  <c r="DP350" i="43"/>
  <c r="Q347" i="45" s="1"/>
  <c r="R347" i="45" s="1"/>
  <c r="DA350" i="43"/>
  <c r="CS350" i="43" s="1"/>
  <c r="CW350" i="43"/>
  <c r="CU350" i="43"/>
  <c r="CH350" i="43"/>
  <c r="CG350" i="43"/>
  <c r="CD350" i="43" s="1"/>
  <c r="AP350" i="43" s="1"/>
  <c r="CB350" i="43"/>
  <c r="BZ350" i="43"/>
  <c r="BM350" i="43"/>
  <c r="BE350" i="43" s="1"/>
  <c r="BI350" i="43"/>
  <c r="BG350" i="43"/>
  <c r="AT350" i="43"/>
  <c r="AL350" i="43"/>
  <c r="AG350" i="43"/>
  <c r="AF350" i="43"/>
  <c r="F347" i="45" s="1"/>
  <c r="AE350" i="43"/>
  <c r="E347" i="45" s="1"/>
  <c r="AD350" i="43"/>
  <c r="AC350" i="43"/>
  <c r="O350" i="43"/>
  <c r="BQ350" i="43" s="1"/>
  <c r="GH349" i="43"/>
  <c r="GF349" i="43"/>
  <c r="GD349" i="43"/>
  <c r="GC349" i="43"/>
  <c r="GB349" i="43"/>
  <c r="FW349" i="43"/>
  <c r="FV349" i="43"/>
  <c r="U349" i="43" s="1"/>
  <c r="FQ349" i="43"/>
  <c r="FL349" i="43"/>
  <c r="FD349" i="43"/>
  <c r="P346" i="45" s="1"/>
  <c r="EU349" i="43"/>
  <c r="ET349" i="43"/>
  <c r="EM349" i="43"/>
  <c r="EG349" i="43"/>
  <c r="DU349" i="43"/>
  <c r="DT349" i="43"/>
  <c r="DS349" i="43"/>
  <c r="DP349" i="43"/>
  <c r="Q346" i="45" s="1"/>
  <c r="R346" i="45" s="1"/>
  <c r="DA349" i="43"/>
  <c r="CS349" i="43" s="1"/>
  <c r="CW349" i="43"/>
  <c r="CU349" i="43"/>
  <c r="CH349" i="43"/>
  <c r="CG349" i="43"/>
  <c r="CD349" i="43" s="1"/>
  <c r="AP349" i="43" s="1"/>
  <c r="CB349" i="43"/>
  <c r="BZ349" i="43"/>
  <c r="BM349" i="43"/>
  <c r="BE349" i="43" s="1"/>
  <c r="BI349" i="43"/>
  <c r="BG349" i="43"/>
  <c r="AT349" i="43"/>
  <c r="AL349" i="43"/>
  <c r="AG349" i="43"/>
  <c r="G346" i="45" s="1"/>
  <c r="AF349" i="43"/>
  <c r="F346" i="45" s="1"/>
  <c r="AE349" i="43"/>
  <c r="E346" i="45" s="1"/>
  <c r="AD349" i="43"/>
  <c r="AC349" i="43"/>
  <c r="O349" i="43"/>
  <c r="J349" i="43"/>
  <c r="GH348" i="43"/>
  <c r="GF348" i="43"/>
  <c r="GD348" i="43"/>
  <c r="GC348" i="43"/>
  <c r="GB348" i="43"/>
  <c r="FW348" i="43"/>
  <c r="FV348" i="43"/>
  <c r="U348" i="43" s="1"/>
  <c r="FQ348" i="43"/>
  <c r="FL348" i="43"/>
  <c r="FD348" i="43"/>
  <c r="EU348" i="43"/>
  <c r="ET348" i="43"/>
  <c r="EM348" i="43"/>
  <c r="EG348" i="43"/>
  <c r="DU348" i="43"/>
  <c r="DT348" i="43"/>
  <c r="DS348" i="43"/>
  <c r="DP348" i="43"/>
  <c r="Q345" i="45" s="1"/>
  <c r="R345" i="45" s="1"/>
  <c r="DA348" i="43"/>
  <c r="CS348" i="43" s="1"/>
  <c r="CW348" i="43"/>
  <c r="CU348" i="43"/>
  <c r="CH348" i="43"/>
  <c r="CG348" i="43"/>
  <c r="CD348" i="43" s="1"/>
  <c r="AP348" i="43" s="1"/>
  <c r="CB348" i="43"/>
  <c r="BZ348" i="43"/>
  <c r="BM348" i="43"/>
  <c r="BE348" i="43" s="1"/>
  <c r="BI348" i="43"/>
  <c r="BG348" i="43"/>
  <c r="AT348" i="43"/>
  <c r="AL348" i="43"/>
  <c r="AG348" i="43"/>
  <c r="G345" i="45" s="1"/>
  <c r="AF348" i="43"/>
  <c r="F345" i="45" s="1"/>
  <c r="AE348" i="43"/>
  <c r="AD348" i="43"/>
  <c r="AC348" i="43"/>
  <c r="O348" i="43"/>
  <c r="BQ348" i="43" s="1"/>
  <c r="M345" i="45"/>
  <c r="GH347" i="43"/>
  <c r="GF347" i="43"/>
  <c r="GD347" i="43"/>
  <c r="GC347" i="43"/>
  <c r="GB347" i="43"/>
  <c r="FW347" i="43"/>
  <c r="FV347" i="43"/>
  <c r="U347" i="43" s="1"/>
  <c r="FQ347" i="43"/>
  <c r="FL347" i="43"/>
  <c r="FD347" i="43"/>
  <c r="EU347" i="43"/>
  <c r="ET347" i="43"/>
  <c r="EM347" i="43"/>
  <c r="EG347" i="43"/>
  <c r="DU347" i="43"/>
  <c r="DT347" i="43"/>
  <c r="DS347" i="43"/>
  <c r="DP347" i="43"/>
  <c r="Q344" i="45" s="1"/>
  <c r="R344" i="45" s="1"/>
  <c r="DA347" i="43"/>
  <c r="CS347" i="43" s="1"/>
  <c r="CW347" i="43"/>
  <c r="CU347" i="43"/>
  <c r="CH347" i="43"/>
  <c r="CG347" i="43"/>
  <c r="CD347" i="43" s="1"/>
  <c r="CB347" i="43"/>
  <c r="BZ347" i="43"/>
  <c r="BM347" i="43"/>
  <c r="BE347" i="43" s="1"/>
  <c r="BI347" i="43"/>
  <c r="BG347" i="43"/>
  <c r="AT347" i="43"/>
  <c r="AL347" i="43"/>
  <c r="AG347" i="43"/>
  <c r="G344" i="45" s="1"/>
  <c r="AF347" i="43"/>
  <c r="F344" i="45" s="1"/>
  <c r="AE347" i="43"/>
  <c r="E344" i="45" s="1"/>
  <c r="AD347" i="43"/>
  <c r="AC347" i="43"/>
  <c r="O347" i="43"/>
  <c r="J347" i="43"/>
  <c r="GH346" i="43"/>
  <c r="GF346" i="43"/>
  <c r="GD346" i="43"/>
  <c r="GC346" i="43"/>
  <c r="GB346" i="43"/>
  <c r="FW346" i="43"/>
  <c r="FV346" i="43"/>
  <c r="U346" i="43" s="1"/>
  <c r="FQ346" i="43"/>
  <c r="FL346" i="43"/>
  <c r="FD346" i="43"/>
  <c r="P343" i="45" s="1"/>
  <c r="EU346" i="43"/>
  <c r="ET346" i="43"/>
  <c r="EM346" i="43"/>
  <c r="EG346" i="43"/>
  <c r="DU346" i="43"/>
  <c r="DT346" i="43"/>
  <c r="DS346" i="43"/>
  <c r="DP346" i="43"/>
  <c r="Q343" i="45" s="1"/>
  <c r="R343" i="45" s="1"/>
  <c r="DA346" i="43"/>
  <c r="CS346" i="43" s="1"/>
  <c r="CW346" i="43"/>
  <c r="CU346" i="43"/>
  <c r="CH346" i="43"/>
  <c r="CG346" i="43"/>
  <c r="CD346" i="43" s="1"/>
  <c r="CB346" i="43"/>
  <c r="BZ346" i="43"/>
  <c r="BM346" i="43"/>
  <c r="BE346" i="43" s="1"/>
  <c r="BI346" i="43"/>
  <c r="BG346" i="43"/>
  <c r="AT346" i="43"/>
  <c r="AL346" i="43"/>
  <c r="AG346" i="43"/>
  <c r="G343" i="45" s="1"/>
  <c r="AF346" i="43"/>
  <c r="AE346" i="43"/>
  <c r="E343" i="45" s="1"/>
  <c r="AD346" i="43"/>
  <c r="AC346" i="43"/>
  <c r="O346" i="43"/>
  <c r="M343" i="45"/>
  <c r="N343" i="45"/>
  <c r="GH345" i="43"/>
  <c r="GF345" i="43"/>
  <c r="GD345" i="43"/>
  <c r="GC345" i="43"/>
  <c r="GB345" i="43"/>
  <c r="FW345" i="43"/>
  <c r="FV345" i="43"/>
  <c r="U345" i="43" s="1"/>
  <c r="FQ345" i="43"/>
  <c r="FL345" i="43"/>
  <c r="FD345" i="43"/>
  <c r="P342" i="45" s="1"/>
  <c r="EU345" i="43"/>
  <c r="ET345" i="43"/>
  <c r="EM345" i="43"/>
  <c r="EG345" i="43"/>
  <c r="DU345" i="43"/>
  <c r="DT345" i="43"/>
  <c r="DS345" i="43"/>
  <c r="DP345" i="43"/>
  <c r="Q342" i="45" s="1"/>
  <c r="R342" i="45" s="1"/>
  <c r="DA345" i="43"/>
  <c r="CS345" i="43" s="1"/>
  <c r="CW345" i="43"/>
  <c r="CU345" i="43"/>
  <c r="CH345" i="43"/>
  <c r="CG345" i="43"/>
  <c r="CD345" i="43" s="1"/>
  <c r="CB345" i="43"/>
  <c r="BZ345" i="43"/>
  <c r="BM345" i="43"/>
  <c r="BE345" i="43" s="1"/>
  <c r="BI345" i="43"/>
  <c r="BG345" i="43"/>
  <c r="AT345" i="43"/>
  <c r="AL345" i="43"/>
  <c r="AG345" i="43"/>
  <c r="G342" i="45" s="1"/>
  <c r="AF345" i="43"/>
  <c r="F342" i="45" s="1"/>
  <c r="AE345" i="43"/>
  <c r="E342" i="45" s="1"/>
  <c r="AD345" i="43"/>
  <c r="AC345" i="43"/>
  <c r="O345" i="43"/>
  <c r="I345" i="43"/>
  <c r="GH344" i="43"/>
  <c r="GF344" i="43"/>
  <c r="GD344" i="43"/>
  <c r="GC344" i="43"/>
  <c r="GB344" i="43"/>
  <c r="FW344" i="43"/>
  <c r="FV344" i="43"/>
  <c r="U344" i="43" s="1"/>
  <c r="FQ344" i="43"/>
  <c r="FL344" i="43"/>
  <c r="FD344" i="43"/>
  <c r="P341" i="45" s="1"/>
  <c r="EU344" i="43"/>
  <c r="ET344" i="43"/>
  <c r="EM344" i="43"/>
  <c r="EG344" i="43"/>
  <c r="DU344" i="43"/>
  <c r="DT344" i="43"/>
  <c r="DS344" i="43"/>
  <c r="DP344" i="43"/>
  <c r="Q341" i="45" s="1"/>
  <c r="R341" i="45" s="1"/>
  <c r="DA344" i="43"/>
  <c r="CS344" i="43" s="1"/>
  <c r="CW344" i="43"/>
  <c r="CU344" i="43"/>
  <c r="CH344" i="43"/>
  <c r="CG344" i="43"/>
  <c r="CD344" i="43" s="1"/>
  <c r="CB344" i="43"/>
  <c r="BZ344" i="43"/>
  <c r="BM344" i="43"/>
  <c r="BE344" i="43" s="1"/>
  <c r="BI344" i="43"/>
  <c r="BG344" i="43"/>
  <c r="AT344" i="43"/>
  <c r="AL344" i="43"/>
  <c r="AG344" i="43"/>
  <c r="G341" i="45" s="1"/>
  <c r="AF344" i="43"/>
  <c r="AE344" i="43"/>
  <c r="E341" i="45" s="1"/>
  <c r="AD344" i="43"/>
  <c r="AC344" i="43"/>
  <c r="O344" i="43"/>
  <c r="CL344" i="43" s="1"/>
  <c r="I344" i="43"/>
  <c r="GH343" i="43"/>
  <c r="GF343" i="43"/>
  <c r="GD343" i="43"/>
  <c r="GC343" i="43"/>
  <c r="GB343" i="43"/>
  <c r="FW343" i="43"/>
  <c r="FV343" i="43"/>
  <c r="U343" i="43" s="1"/>
  <c r="FQ343" i="43"/>
  <c r="FL343" i="43"/>
  <c r="FD343" i="43"/>
  <c r="P340" i="45" s="1"/>
  <c r="EU343" i="43"/>
  <c r="ET343" i="43"/>
  <c r="EM343" i="43"/>
  <c r="EG343" i="43"/>
  <c r="DU343" i="43"/>
  <c r="DT343" i="43"/>
  <c r="DS343" i="43"/>
  <c r="DP343" i="43"/>
  <c r="Q340" i="45" s="1"/>
  <c r="R340" i="45" s="1"/>
  <c r="DA343" i="43"/>
  <c r="CS343" i="43" s="1"/>
  <c r="CW343" i="43"/>
  <c r="CU343" i="43"/>
  <c r="CH343" i="43"/>
  <c r="CG343" i="43"/>
  <c r="CD343" i="43" s="1"/>
  <c r="CB343" i="43"/>
  <c r="BZ343" i="43"/>
  <c r="BM343" i="43"/>
  <c r="BE343" i="43" s="1"/>
  <c r="BI343" i="43"/>
  <c r="BG343" i="43"/>
  <c r="AT343" i="43"/>
  <c r="AL343" i="43"/>
  <c r="AG343" i="43"/>
  <c r="G340" i="45" s="1"/>
  <c r="AF343" i="43"/>
  <c r="F340" i="45" s="1"/>
  <c r="AE343" i="43"/>
  <c r="E340" i="45" s="1"/>
  <c r="AD343" i="43"/>
  <c r="AC343" i="43"/>
  <c r="O343" i="43"/>
  <c r="GH342" i="43"/>
  <c r="GF342" i="43"/>
  <c r="GD342" i="43"/>
  <c r="GC342" i="43"/>
  <c r="GB342" i="43"/>
  <c r="FW342" i="43"/>
  <c r="FV342" i="43"/>
  <c r="U342" i="43" s="1"/>
  <c r="FQ342" i="43"/>
  <c r="FL342" i="43"/>
  <c r="FD342" i="43"/>
  <c r="P339" i="45" s="1"/>
  <c r="EU342" i="43"/>
  <c r="ET342" i="43"/>
  <c r="EM342" i="43"/>
  <c r="EG342" i="43"/>
  <c r="DU342" i="43"/>
  <c r="DT342" i="43"/>
  <c r="DS342" i="43"/>
  <c r="DP342" i="43"/>
  <c r="Q339" i="45" s="1"/>
  <c r="R339" i="45" s="1"/>
  <c r="DA342" i="43"/>
  <c r="CS342" i="43" s="1"/>
  <c r="CW342" i="43"/>
  <c r="CU342" i="43"/>
  <c r="CH342" i="43"/>
  <c r="CG342" i="43"/>
  <c r="CD342" i="43" s="1"/>
  <c r="CB342" i="43"/>
  <c r="BZ342" i="43"/>
  <c r="BM342" i="43"/>
  <c r="BE342" i="43" s="1"/>
  <c r="BI342" i="43"/>
  <c r="BG342" i="43"/>
  <c r="AT342" i="43"/>
  <c r="AL342" i="43"/>
  <c r="AG342" i="43"/>
  <c r="AF342" i="43"/>
  <c r="F339" i="45" s="1"/>
  <c r="AE342" i="43"/>
  <c r="E339" i="45" s="1"/>
  <c r="AD342" i="43"/>
  <c r="AC342" i="43"/>
  <c r="O342" i="43"/>
  <c r="CL342" i="43" s="1"/>
  <c r="GH341" i="43"/>
  <c r="GF341" i="43"/>
  <c r="GD341" i="43"/>
  <c r="GC341" i="43"/>
  <c r="GB341" i="43"/>
  <c r="FW341" i="43"/>
  <c r="FV341" i="43"/>
  <c r="U341" i="43" s="1"/>
  <c r="FQ341" i="43"/>
  <c r="FL341" i="43"/>
  <c r="FD341" i="43"/>
  <c r="P338" i="45" s="1"/>
  <c r="EU341" i="43"/>
  <c r="ET341" i="43"/>
  <c r="EM341" i="43"/>
  <c r="EG341" i="43"/>
  <c r="DU341" i="43"/>
  <c r="DT341" i="43"/>
  <c r="DS341" i="43"/>
  <c r="DP341" i="43"/>
  <c r="Q338" i="45" s="1"/>
  <c r="R338" i="45" s="1"/>
  <c r="DA341" i="43"/>
  <c r="CS341" i="43" s="1"/>
  <c r="CW341" i="43"/>
  <c r="CU341" i="43"/>
  <c r="CH341" i="43"/>
  <c r="CG341" i="43"/>
  <c r="CD341" i="43" s="1"/>
  <c r="CB341" i="43"/>
  <c r="BZ341" i="43"/>
  <c r="BM341" i="43"/>
  <c r="BE341" i="43" s="1"/>
  <c r="BI341" i="43"/>
  <c r="BG341" i="43"/>
  <c r="AT341" i="43"/>
  <c r="AL341" i="43"/>
  <c r="AG341" i="43"/>
  <c r="G338" i="45" s="1"/>
  <c r="AF341" i="43"/>
  <c r="F338" i="45" s="1"/>
  <c r="AE341" i="43"/>
  <c r="E338" i="45" s="1"/>
  <c r="AD341" i="43"/>
  <c r="AC341" i="43"/>
  <c r="O341" i="43"/>
  <c r="GH340" i="43"/>
  <c r="GF340" i="43"/>
  <c r="GD340" i="43"/>
  <c r="GC340" i="43"/>
  <c r="GB340" i="43"/>
  <c r="FW340" i="43"/>
  <c r="FV340" i="43"/>
  <c r="U340" i="43" s="1"/>
  <c r="FQ340" i="43"/>
  <c r="FL340" i="43"/>
  <c r="FD340" i="43"/>
  <c r="P337" i="45" s="1"/>
  <c r="EU340" i="43"/>
  <c r="ET340" i="43"/>
  <c r="EM340" i="43"/>
  <c r="EG340" i="43"/>
  <c r="DU340" i="43"/>
  <c r="DT340" i="43"/>
  <c r="DS340" i="43"/>
  <c r="DP340" i="43"/>
  <c r="Q337" i="45" s="1"/>
  <c r="R337" i="45" s="1"/>
  <c r="DA340" i="43"/>
  <c r="CS340" i="43" s="1"/>
  <c r="CW340" i="43"/>
  <c r="CU340" i="43"/>
  <c r="CH340" i="43"/>
  <c r="CG340" i="43"/>
  <c r="CD340" i="43" s="1"/>
  <c r="CB340" i="43"/>
  <c r="BZ340" i="43"/>
  <c r="BM340" i="43"/>
  <c r="BE340" i="43" s="1"/>
  <c r="BI340" i="43"/>
  <c r="BG340" i="43"/>
  <c r="AT340" i="43"/>
  <c r="AL340" i="43"/>
  <c r="AG340" i="43"/>
  <c r="G337" i="45" s="1"/>
  <c r="AF340" i="43"/>
  <c r="AE340" i="43"/>
  <c r="AD340" i="43"/>
  <c r="AC340" i="43"/>
  <c r="O340" i="43"/>
  <c r="CL340" i="43" s="1"/>
  <c r="I340" i="43"/>
  <c r="GH339" i="43"/>
  <c r="GF339" i="43"/>
  <c r="GD339" i="43"/>
  <c r="GC339" i="43"/>
  <c r="GB339" i="43"/>
  <c r="FW339" i="43"/>
  <c r="FV339" i="43"/>
  <c r="U339" i="43" s="1"/>
  <c r="FQ339" i="43"/>
  <c r="FL339" i="43"/>
  <c r="FD339" i="43"/>
  <c r="EU339" i="43"/>
  <c r="ET339" i="43"/>
  <c r="EM339" i="43"/>
  <c r="EG339" i="43"/>
  <c r="DU339" i="43"/>
  <c r="DT339" i="43"/>
  <c r="DS339" i="43"/>
  <c r="DP339" i="43"/>
  <c r="Q336" i="45" s="1"/>
  <c r="R336" i="45" s="1"/>
  <c r="DA339" i="43"/>
  <c r="CS339" i="43" s="1"/>
  <c r="CW339" i="43"/>
  <c r="CU339" i="43"/>
  <c r="CH339" i="43"/>
  <c r="CG339" i="43"/>
  <c r="CD339" i="43" s="1"/>
  <c r="CB339" i="43"/>
  <c r="BZ339" i="43"/>
  <c r="BM339" i="43"/>
  <c r="BE339" i="43" s="1"/>
  <c r="BI339" i="43"/>
  <c r="BG339" i="43"/>
  <c r="AT339" i="43"/>
  <c r="AL339" i="43"/>
  <c r="AG339" i="43"/>
  <c r="G336" i="45" s="1"/>
  <c r="AF339" i="43"/>
  <c r="F336" i="45" s="1"/>
  <c r="AE339" i="43"/>
  <c r="AD339" i="43"/>
  <c r="AC339" i="43"/>
  <c r="O339" i="43"/>
  <c r="M336" i="45"/>
  <c r="GH338" i="43"/>
  <c r="GF338" i="43"/>
  <c r="GD338" i="43"/>
  <c r="GC338" i="43"/>
  <c r="GB338" i="43"/>
  <c r="FW338" i="43"/>
  <c r="FV338" i="43"/>
  <c r="U338" i="43" s="1"/>
  <c r="FQ338" i="43"/>
  <c r="FL338" i="43"/>
  <c r="FD338" i="43"/>
  <c r="P335" i="45" s="1"/>
  <c r="EU338" i="43"/>
  <c r="ET338" i="43"/>
  <c r="EM338" i="43"/>
  <c r="EG338" i="43"/>
  <c r="DU338" i="43"/>
  <c r="DT338" i="43"/>
  <c r="DS338" i="43"/>
  <c r="DP338" i="43"/>
  <c r="Q335" i="45" s="1"/>
  <c r="R335" i="45" s="1"/>
  <c r="DA338" i="43"/>
  <c r="CS338" i="43" s="1"/>
  <c r="CW338" i="43"/>
  <c r="CU338" i="43"/>
  <c r="CH338" i="43"/>
  <c r="CG338" i="43"/>
  <c r="CD338" i="43" s="1"/>
  <c r="CB338" i="43"/>
  <c r="BZ338" i="43"/>
  <c r="BM338" i="43"/>
  <c r="BE338" i="43" s="1"/>
  <c r="BI338" i="43"/>
  <c r="BG338" i="43"/>
  <c r="AT338" i="43"/>
  <c r="AL338" i="43"/>
  <c r="AG338" i="43"/>
  <c r="G335" i="45" s="1"/>
  <c r="AF338" i="43"/>
  <c r="F335" i="45" s="1"/>
  <c r="AE338" i="43"/>
  <c r="E335" i="45" s="1"/>
  <c r="AD338" i="43"/>
  <c r="AC338" i="43"/>
  <c r="O338" i="43"/>
  <c r="GH337" i="43"/>
  <c r="GF337" i="43"/>
  <c r="GD337" i="43"/>
  <c r="GC337" i="43"/>
  <c r="GB337" i="43"/>
  <c r="FW337" i="43"/>
  <c r="FV337" i="43"/>
  <c r="U337" i="43" s="1"/>
  <c r="FQ337" i="43"/>
  <c r="FL337" i="43"/>
  <c r="FD337" i="43"/>
  <c r="P334" i="45" s="1"/>
  <c r="EU337" i="43"/>
  <c r="ET337" i="43"/>
  <c r="EM337" i="43"/>
  <c r="EG337" i="43"/>
  <c r="DU337" i="43"/>
  <c r="DT337" i="43"/>
  <c r="DS337" i="43"/>
  <c r="DP337" i="43"/>
  <c r="Q334" i="45" s="1"/>
  <c r="R334" i="45" s="1"/>
  <c r="DA337" i="43"/>
  <c r="CS337" i="43" s="1"/>
  <c r="CW337" i="43"/>
  <c r="CU337" i="43"/>
  <c r="CH337" i="43"/>
  <c r="CG337" i="43"/>
  <c r="CD337" i="43" s="1"/>
  <c r="CB337" i="43"/>
  <c r="BZ337" i="43"/>
  <c r="BM337" i="43"/>
  <c r="BE337" i="43" s="1"/>
  <c r="BI337" i="43"/>
  <c r="BG337" i="43"/>
  <c r="AT337" i="43"/>
  <c r="AL337" i="43"/>
  <c r="AG337" i="43"/>
  <c r="AF337" i="43"/>
  <c r="F334" i="45" s="1"/>
  <c r="AE337" i="43"/>
  <c r="E334" i="45" s="1"/>
  <c r="AD337" i="43"/>
  <c r="AC337" i="43"/>
  <c r="O337" i="43"/>
  <c r="J337" i="43"/>
  <c r="GH336" i="43"/>
  <c r="GF336" i="43"/>
  <c r="GD336" i="43"/>
  <c r="GC336" i="43"/>
  <c r="GB336" i="43"/>
  <c r="FW336" i="43"/>
  <c r="FV336" i="43"/>
  <c r="U336" i="43" s="1"/>
  <c r="FQ336" i="43"/>
  <c r="FL336" i="43"/>
  <c r="FD336" i="43"/>
  <c r="P333" i="45" s="1"/>
  <c r="EU336" i="43"/>
  <c r="ET336" i="43"/>
  <c r="EM336" i="43"/>
  <c r="EG336" i="43"/>
  <c r="DU336" i="43"/>
  <c r="DT336" i="43"/>
  <c r="DS336" i="43"/>
  <c r="DP336" i="43"/>
  <c r="Q333" i="45" s="1"/>
  <c r="R333" i="45" s="1"/>
  <c r="DA336" i="43"/>
  <c r="CS336" i="43" s="1"/>
  <c r="CW336" i="43"/>
  <c r="CU336" i="43"/>
  <c r="CH336" i="43"/>
  <c r="CG336" i="43"/>
  <c r="CD336" i="43" s="1"/>
  <c r="CB336" i="43"/>
  <c r="BZ336" i="43"/>
  <c r="BM336" i="43"/>
  <c r="BE336" i="43" s="1"/>
  <c r="BI336" i="43"/>
  <c r="BG336" i="43"/>
  <c r="AT336" i="43"/>
  <c r="AL336" i="43"/>
  <c r="AG336" i="43"/>
  <c r="G333" i="45" s="1"/>
  <c r="AF336" i="43"/>
  <c r="F333" i="45" s="1"/>
  <c r="AE336" i="43"/>
  <c r="E333" i="45" s="1"/>
  <c r="AD336" i="43"/>
  <c r="AC336" i="43"/>
  <c r="O336" i="43"/>
  <c r="I336" i="43"/>
  <c r="J336" i="43"/>
  <c r="GH335" i="43"/>
  <c r="GF335" i="43"/>
  <c r="GD335" i="43"/>
  <c r="GC335" i="43"/>
  <c r="GB335" i="43"/>
  <c r="FW335" i="43"/>
  <c r="FV335" i="43"/>
  <c r="U335" i="43" s="1"/>
  <c r="FQ335" i="43"/>
  <c r="FL335" i="43"/>
  <c r="FD335" i="43"/>
  <c r="EU335" i="43"/>
  <c r="ET335" i="43"/>
  <c r="EM335" i="43"/>
  <c r="EG335" i="43"/>
  <c r="DU335" i="43"/>
  <c r="DT335" i="43"/>
  <c r="DS335" i="43"/>
  <c r="DP335" i="43"/>
  <c r="Q332" i="45" s="1"/>
  <c r="R332" i="45" s="1"/>
  <c r="DA335" i="43"/>
  <c r="CS335" i="43" s="1"/>
  <c r="CW335" i="43"/>
  <c r="CU335" i="43"/>
  <c r="CH335" i="43"/>
  <c r="CG335" i="43"/>
  <c r="CD335" i="43" s="1"/>
  <c r="CB335" i="43"/>
  <c r="BZ335" i="43"/>
  <c r="BM335" i="43"/>
  <c r="BE335" i="43" s="1"/>
  <c r="BI335" i="43"/>
  <c r="BG335" i="43"/>
  <c r="AT335" i="43"/>
  <c r="AL335" i="43"/>
  <c r="AG335" i="43"/>
  <c r="G332" i="45" s="1"/>
  <c r="AF335" i="43"/>
  <c r="F332" i="45" s="1"/>
  <c r="AE335" i="43"/>
  <c r="E332" i="45" s="1"/>
  <c r="AD335" i="43"/>
  <c r="AC335" i="43"/>
  <c r="O335" i="43"/>
  <c r="J335" i="43"/>
  <c r="GH334" i="43"/>
  <c r="GF334" i="43"/>
  <c r="GD334" i="43"/>
  <c r="GC334" i="43"/>
  <c r="GB334" i="43"/>
  <c r="FW334" i="43"/>
  <c r="FV334" i="43"/>
  <c r="U334" i="43" s="1"/>
  <c r="FQ334" i="43"/>
  <c r="FL334" i="43"/>
  <c r="FD334" i="43"/>
  <c r="P331" i="45" s="1"/>
  <c r="EU334" i="43"/>
  <c r="ET334" i="43"/>
  <c r="EM334" i="43"/>
  <c r="EG334" i="43"/>
  <c r="DU334" i="43"/>
  <c r="DT334" i="43"/>
  <c r="DS334" i="43"/>
  <c r="DP334" i="43"/>
  <c r="Q331" i="45" s="1"/>
  <c r="R331" i="45" s="1"/>
  <c r="DA334" i="43"/>
  <c r="CS334" i="43" s="1"/>
  <c r="CW334" i="43"/>
  <c r="CU334" i="43"/>
  <c r="CH334" i="43"/>
  <c r="CG334" i="43"/>
  <c r="CB334" i="43"/>
  <c r="BZ334" i="43"/>
  <c r="BM334" i="43"/>
  <c r="BE334" i="43" s="1"/>
  <c r="BI334" i="43"/>
  <c r="BG334" i="43"/>
  <c r="AT334" i="43"/>
  <c r="AL334" i="43"/>
  <c r="AG334" i="43"/>
  <c r="AF334" i="43"/>
  <c r="F331" i="45" s="1"/>
  <c r="AE334" i="43"/>
  <c r="E331" i="45" s="1"/>
  <c r="AD334" i="43"/>
  <c r="AC334" i="43"/>
  <c r="O334" i="43"/>
  <c r="GH333" i="43"/>
  <c r="GF333" i="43"/>
  <c r="GD333" i="43"/>
  <c r="GC333" i="43"/>
  <c r="GB333" i="43"/>
  <c r="FW333" i="43"/>
  <c r="FV333" i="43"/>
  <c r="U333" i="43" s="1"/>
  <c r="FQ333" i="43"/>
  <c r="FL333" i="43"/>
  <c r="FD333" i="43"/>
  <c r="P330" i="45" s="1"/>
  <c r="EU333" i="43"/>
  <c r="ET333" i="43"/>
  <c r="EM333" i="43"/>
  <c r="EG333" i="43"/>
  <c r="DU333" i="43"/>
  <c r="DT333" i="43"/>
  <c r="DS333" i="43"/>
  <c r="DP333" i="43"/>
  <c r="Q330" i="45" s="1"/>
  <c r="R330" i="45" s="1"/>
  <c r="DA333" i="43"/>
  <c r="CS333" i="43" s="1"/>
  <c r="CW333" i="43"/>
  <c r="CU333" i="43"/>
  <c r="CH333" i="43"/>
  <c r="CG333" i="43"/>
  <c r="CD333" i="43" s="1"/>
  <c r="CB333" i="43"/>
  <c r="BZ333" i="43"/>
  <c r="BM333" i="43"/>
  <c r="BE333" i="43" s="1"/>
  <c r="BI333" i="43"/>
  <c r="BG333" i="43"/>
  <c r="AT333" i="43"/>
  <c r="AL333" i="43"/>
  <c r="AG333" i="43"/>
  <c r="G330" i="45" s="1"/>
  <c r="AF333" i="43"/>
  <c r="F330" i="45" s="1"/>
  <c r="AE333" i="43"/>
  <c r="AD333" i="43"/>
  <c r="AC333" i="43"/>
  <c r="O333" i="43"/>
  <c r="Z333" i="43" s="1"/>
  <c r="GH332" i="43"/>
  <c r="GF332" i="43"/>
  <c r="GD332" i="43"/>
  <c r="GC332" i="43"/>
  <c r="GB332" i="43"/>
  <c r="FW332" i="43"/>
  <c r="FV332" i="43"/>
  <c r="U332" i="43" s="1"/>
  <c r="FQ332" i="43"/>
  <c r="FL332" i="43"/>
  <c r="FD332" i="43"/>
  <c r="P329" i="45" s="1"/>
  <c r="EU332" i="43"/>
  <c r="ET332" i="43"/>
  <c r="EM332" i="43"/>
  <c r="EG332" i="43"/>
  <c r="DU332" i="43"/>
  <c r="DT332" i="43"/>
  <c r="DS332" i="43"/>
  <c r="DP332" i="43"/>
  <c r="Q329" i="45" s="1"/>
  <c r="R329" i="45" s="1"/>
  <c r="DA332" i="43"/>
  <c r="CS332" i="43" s="1"/>
  <c r="CW332" i="43"/>
  <c r="CU332" i="43"/>
  <c r="CH332" i="43"/>
  <c r="CG332" i="43"/>
  <c r="CB332" i="43"/>
  <c r="BZ332" i="43"/>
  <c r="BM332" i="43"/>
  <c r="BE332" i="43" s="1"/>
  <c r="BI332" i="43"/>
  <c r="BG332" i="43"/>
  <c r="AT332" i="43"/>
  <c r="AL332" i="43"/>
  <c r="AG332" i="43"/>
  <c r="G329" i="45" s="1"/>
  <c r="AF332" i="43"/>
  <c r="F329" i="45" s="1"/>
  <c r="AE332" i="43"/>
  <c r="AD332" i="43"/>
  <c r="AC332" i="43"/>
  <c r="O332" i="43"/>
  <c r="CL332" i="43" s="1"/>
  <c r="GH331" i="43"/>
  <c r="GF331" i="43"/>
  <c r="GD331" i="43"/>
  <c r="GC331" i="43"/>
  <c r="GB331" i="43"/>
  <c r="FW331" i="43"/>
  <c r="FV331" i="43"/>
  <c r="U331" i="43" s="1"/>
  <c r="FQ331" i="43"/>
  <c r="FL331" i="43"/>
  <c r="FD331" i="43"/>
  <c r="EU331" i="43"/>
  <c r="ET331" i="43"/>
  <c r="EM331" i="43"/>
  <c r="EG331" i="43"/>
  <c r="DU331" i="43"/>
  <c r="DT331" i="43"/>
  <c r="DS331" i="43"/>
  <c r="DP331" i="43"/>
  <c r="Q328" i="45" s="1"/>
  <c r="R328" i="45" s="1"/>
  <c r="DA331" i="43"/>
  <c r="CS331" i="43" s="1"/>
  <c r="CW331" i="43"/>
  <c r="CU331" i="43"/>
  <c r="CH331" i="43"/>
  <c r="CG331" i="43"/>
  <c r="CB331" i="43"/>
  <c r="BZ331" i="43"/>
  <c r="BM331" i="43"/>
  <c r="BE331" i="43" s="1"/>
  <c r="BI331" i="43"/>
  <c r="BG331" i="43"/>
  <c r="AT331" i="43"/>
  <c r="AL331" i="43"/>
  <c r="AG331" i="43"/>
  <c r="G328" i="45" s="1"/>
  <c r="AF331" i="43"/>
  <c r="F328" i="45" s="1"/>
  <c r="AE331" i="43"/>
  <c r="E328" i="45" s="1"/>
  <c r="AD331" i="43"/>
  <c r="AC331" i="43"/>
  <c r="O331" i="43"/>
  <c r="Z331" i="43" s="1"/>
  <c r="GH330" i="43"/>
  <c r="GF330" i="43"/>
  <c r="GD330" i="43"/>
  <c r="GC330" i="43"/>
  <c r="GB330" i="43"/>
  <c r="FW330" i="43"/>
  <c r="FV330" i="43"/>
  <c r="U330" i="43" s="1"/>
  <c r="FQ330" i="43"/>
  <c r="FL330" i="43"/>
  <c r="FD330" i="43"/>
  <c r="P327" i="45" s="1"/>
  <c r="EU330" i="43"/>
  <c r="ET330" i="43"/>
  <c r="EM330" i="43"/>
  <c r="EG330" i="43"/>
  <c r="DU330" i="43"/>
  <c r="DT330" i="43"/>
  <c r="DS330" i="43"/>
  <c r="DP330" i="43"/>
  <c r="Q327" i="45" s="1"/>
  <c r="R327" i="45" s="1"/>
  <c r="DA330" i="43"/>
  <c r="CS330" i="43" s="1"/>
  <c r="CW330" i="43"/>
  <c r="CU330" i="43"/>
  <c r="CH330" i="43"/>
  <c r="CG330" i="43"/>
  <c r="CD330" i="43" s="1"/>
  <c r="CB330" i="43"/>
  <c r="BZ330" i="43"/>
  <c r="BM330" i="43"/>
  <c r="BE330" i="43" s="1"/>
  <c r="BI330" i="43"/>
  <c r="BG330" i="43"/>
  <c r="AT330" i="43"/>
  <c r="AL330" i="43"/>
  <c r="AG330" i="43"/>
  <c r="G327" i="45" s="1"/>
  <c r="AF330" i="43"/>
  <c r="F327" i="45" s="1"/>
  <c r="AE330" i="43"/>
  <c r="E327" i="45" s="1"/>
  <c r="AD330" i="43"/>
  <c r="AC330" i="43"/>
  <c r="O330" i="43"/>
  <c r="I330" i="43"/>
  <c r="GH329" i="43"/>
  <c r="GF329" i="43"/>
  <c r="GD329" i="43"/>
  <c r="GC329" i="43"/>
  <c r="GB329" i="43"/>
  <c r="FW329" i="43"/>
  <c r="FV329" i="43"/>
  <c r="U329" i="43" s="1"/>
  <c r="FQ329" i="43"/>
  <c r="FL329" i="43"/>
  <c r="FD329" i="43"/>
  <c r="P326" i="45" s="1"/>
  <c r="EU329" i="43"/>
  <c r="ET329" i="43"/>
  <c r="EM329" i="43"/>
  <c r="EG329" i="43"/>
  <c r="DU329" i="43"/>
  <c r="DT329" i="43"/>
  <c r="DS329" i="43"/>
  <c r="DP329" i="43"/>
  <c r="Q326" i="45" s="1"/>
  <c r="R326" i="45" s="1"/>
  <c r="DA329" i="43"/>
  <c r="CS329" i="43" s="1"/>
  <c r="CW329" i="43"/>
  <c r="CU329" i="43"/>
  <c r="CH329" i="43"/>
  <c r="CG329" i="43"/>
  <c r="CD329" i="43" s="1"/>
  <c r="AR329" i="43" s="1"/>
  <c r="CB329" i="43"/>
  <c r="BZ329" i="43"/>
  <c r="BM329" i="43"/>
  <c r="BE329" i="43" s="1"/>
  <c r="BI329" i="43"/>
  <c r="BG329" i="43"/>
  <c r="AT329" i="43"/>
  <c r="AL329" i="43"/>
  <c r="AG329" i="43"/>
  <c r="G326" i="45" s="1"/>
  <c r="AF329" i="43"/>
  <c r="F326" i="45" s="1"/>
  <c r="AE329" i="43"/>
  <c r="E326" i="45" s="1"/>
  <c r="AD329" i="43"/>
  <c r="AC329" i="43"/>
  <c r="O329" i="43"/>
  <c r="I329" i="43"/>
  <c r="GH328" i="43"/>
  <c r="GF328" i="43"/>
  <c r="GD328" i="43"/>
  <c r="GC328" i="43"/>
  <c r="GB328" i="43"/>
  <c r="FW328" i="43"/>
  <c r="FV328" i="43"/>
  <c r="U328" i="43" s="1"/>
  <c r="FQ328" i="43"/>
  <c r="FL328" i="43"/>
  <c r="FD328" i="43"/>
  <c r="P325" i="45" s="1"/>
  <c r="EU328" i="43"/>
  <c r="ET328" i="43"/>
  <c r="EM328" i="43"/>
  <c r="EG328" i="43"/>
  <c r="DU328" i="43"/>
  <c r="DT328" i="43"/>
  <c r="DS328" i="43"/>
  <c r="DP328" i="43"/>
  <c r="DA328" i="43"/>
  <c r="CS328" i="43" s="1"/>
  <c r="CW328" i="43"/>
  <c r="CU328" i="43"/>
  <c r="CH328" i="43"/>
  <c r="CG328" i="43"/>
  <c r="CB328" i="43"/>
  <c r="BZ328" i="43"/>
  <c r="BM328" i="43"/>
  <c r="BE328" i="43" s="1"/>
  <c r="BI328" i="43"/>
  <c r="BG328" i="43"/>
  <c r="AT328" i="43"/>
  <c r="AL328" i="43"/>
  <c r="AG328" i="43"/>
  <c r="G325" i="45" s="1"/>
  <c r="AF328" i="43"/>
  <c r="F325" i="45" s="1"/>
  <c r="AE328" i="43"/>
  <c r="AD328" i="43"/>
  <c r="AC328" i="43"/>
  <c r="O328" i="43"/>
  <c r="CL328" i="43" s="1"/>
  <c r="I328" i="43"/>
  <c r="GH327" i="43"/>
  <c r="GF327" i="43"/>
  <c r="GD327" i="43"/>
  <c r="GC327" i="43"/>
  <c r="GB327" i="43"/>
  <c r="FW327" i="43"/>
  <c r="FV327" i="43"/>
  <c r="U327" i="43" s="1"/>
  <c r="FQ327" i="43"/>
  <c r="FL327" i="43"/>
  <c r="FD327" i="43"/>
  <c r="P324" i="45" s="1"/>
  <c r="EU327" i="43"/>
  <c r="ET327" i="43"/>
  <c r="EM327" i="43"/>
  <c r="EG327" i="43"/>
  <c r="DU327" i="43"/>
  <c r="DT327" i="43"/>
  <c r="DS327" i="43"/>
  <c r="DP327" i="43"/>
  <c r="Q324" i="45" s="1"/>
  <c r="R324" i="45" s="1"/>
  <c r="DA327" i="43"/>
  <c r="CS327" i="43" s="1"/>
  <c r="CW327" i="43"/>
  <c r="CU327" i="43"/>
  <c r="CH327" i="43"/>
  <c r="CG327" i="43"/>
  <c r="CD327" i="43" s="1"/>
  <c r="CB327" i="43"/>
  <c r="BZ327" i="43"/>
  <c r="BM327" i="43"/>
  <c r="BE327" i="43" s="1"/>
  <c r="BI327" i="43"/>
  <c r="BG327" i="43"/>
  <c r="AT327" i="43"/>
  <c r="AL327" i="43"/>
  <c r="AG327" i="43"/>
  <c r="G324" i="45" s="1"/>
  <c r="AF327" i="43"/>
  <c r="F324" i="45" s="1"/>
  <c r="AE327" i="43"/>
  <c r="E324" i="45" s="1"/>
  <c r="AD327" i="43"/>
  <c r="AC327" i="43"/>
  <c r="O327" i="43"/>
  <c r="I327" i="43"/>
  <c r="J327" i="43"/>
  <c r="GH326" i="43"/>
  <c r="GF326" i="43"/>
  <c r="GD326" i="43"/>
  <c r="GC326" i="43"/>
  <c r="GB326" i="43"/>
  <c r="FW326" i="43"/>
  <c r="FV326" i="43"/>
  <c r="U326" i="43" s="1"/>
  <c r="FQ326" i="43"/>
  <c r="FL326" i="43"/>
  <c r="FD326" i="43"/>
  <c r="P323" i="45" s="1"/>
  <c r="EU326" i="43"/>
  <c r="ET326" i="43"/>
  <c r="EM326" i="43"/>
  <c r="EG326" i="43"/>
  <c r="DU326" i="43"/>
  <c r="DT326" i="43"/>
  <c r="DS326" i="43"/>
  <c r="DP326" i="43"/>
  <c r="Q323" i="45" s="1"/>
  <c r="R323" i="45" s="1"/>
  <c r="DA326" i="43"/>
  <c r="CS326" i="43" s="1"/>
  <c r="CW326" i="43"/>
  <c r="CU326" i="43"/>
  <c r="CH326" i="43"/>
  <c r="CG326" i="43"/>
  <c r="CD326" i="43" s="1"/>
  <c r="CB326" i="43"/>
  <c r="BZ326" i="43"/>
  <c r="BM326" i="43"/>
  <c r="BE326" i="43" s="1"/>
  <c r="BI326" i="43"/>
  <c r="BG326" i="43"/>
  <c r="AT326" i="43"/>
  <c r="AL326" i="43"/>
  <c r="AG326" i="43"/>
  <c r="G323" i="45" s="1"/>
  <c r="AF326" i="43"/>
  <c r="F323" i="45" s="1"/>
  <c r="AE326" i="43"/>
  <c r="E323" i="45" s="1"/>
  <c r="AD326" i="43"/>
  <c r="AC326" i="43"/>
  <c r="O326" i="43"/>
  <c r="CL326" i="43" s="1"/>
  <c r="I326" i="43"/>
  <c r="J326" i="43"/>
  <c r="GH325" i="43"/>
  <c r="GF325" i="43"/>
  <c r="GD325" i="43"/>
  <c r="GC325" i="43"/>
  <c r="GB325" i="43"/>
  <c r="FW325" i="43"/>
  <c r="FV325" i="43"/>
  <c r="U325" i="43" s="1"/>
  <c r="FQ325" i="43"/>
  <c r="FL325" i="43"/>
  <c r="FD325" i="43"/>
  <c r="P322" i="45" s="1"/>
  <c r="EU325" i="43"/>
  <c r="ET325" i="43"/>
  <c r="EM325" i="43"/>
  <c r="EG325" i="43"/>
  <c r="DU325" i="43"/>
  <c r="DT325" i="43"/>
  <c r="DS325" i="43"/>
  <c r="DP325" i="43"/>
  <c r="Q322" i="45" s="1"/>
  <c r="R322" i="45" s="1"/>
  <c r="DA325" i="43"/>
  <c r="CS325" i="43" s="1"/>
  <c r="CW325" i="43"/>
  <c r="CU325" i="43"/>
  <c r="CH325" i="43"/>
  <c r="CG325" i="43"/>
  <c r="CD325" i="43" s="1"/>
  <c r="CB325" i="43"/>
  <c r="BZ325" i="43"/>
  <c r="BM325" i="43"/>
  <c r="BE325" i="43" s="1"/>
  <c r="BI325" i="43"/>
  <c r="BG325" i="43"/>
  <c r="AT325" i="43"/>
  <c r="AL325" i="43"/>
  <c r="AG325" i="43"/>
  <c r="G322" i="45" s="1"/>
  <c r="AF325" i="43"/>
  <c r="F322" i="45" s="1"/>
  <c r="AE325" i="43"/>
  <c r="E322" i="45" s="1"/>
  <c r="AD325" i="43"/>
  <c r="AC325" i="43"/>
  <c r="O325" i="43"/>
  <c r="M322" i="45"/>
  <c r="GH324" i="43"/>
  <c r="GF324" i="43"/>
  <c r="GD324" i="43"/>
  <c r="GC324" i="43"/>
  <c r="GB324" i="43"/>
  <c r="FW324" i="43"/>
  <c r="FV324" i="43"/>
  <c r="U324" i="43" s="1"/>
  <c r="FQ324" i="43"/>
  <c r="FL324" i="43"/>
  <c r="FD324" i="43"/>
  <c r="P321" i="45" s="1"/>
  <c r="EU324" i="43"/>
  <c r="ET324" i="43"/>
  <c r="EM324" i="43"/>
  <c r="EG324" i="43"/>
  <c r="DU324" i="43"/>
  <c r="DT324" i="43"/>
  <c r="DS324" i="43"/>
  <c r="DP324" i="43"/>
  <c r="Q321" i="45" s="1"/>
  <c r="R321" i="45" s="1"/>
  <c r="DA324" i="43"/>
  <c r="CS324" i="43" s="1"/>
  <c r="CW324" i="43"/>
  <c r="CU324" i="43"/>
  <c r="CH324" i="43"/>
  <c r="CG324" i="43"/>
  <c r="CD324" i="43" s="1"/>
  <c r="AP324" i="43" s="1"/>
  <c r="CB324" i="43"/>
  <c r="BZ324" i="43"/>
  <c r="BM324" i="43"/>
  <c r="BE324" i="43" s="1"/>
  <c r="BI324" i="43"/>
  <c r="BG324" i="43"/>
  <c r="AT324" i="43"/>
  <c r="AL324" i="43"/>
  <c r="AG324" i="43"/>
  <c r="G321" i="45" s="1"/>
  <c r="AF324" i="43"/>
  <c r="F321" i="45" s="1"/>
  <c r="AE324" i="43"/>
  <c r="AD324" i="43"/>
  <c r="AC324" i="43"/>
  <c r="O324" i="43"/>
  <c r="CL324" i="43" s="1"/>
  <c r="I324" i="43"/>
  <c r="J324" i="43"/>
  <c r="GH323" i="43"/>
  <c r="GF323" i="43"/>
  <c r="GD323" i="43"/>
  <c r="GC323" i="43"/>
  <c r="GB323" i="43"/>
  <c r="FW323" i="43"/>
  <c r="FV323" i="43"/>
  <c r="U323" i="43" s="1"/>
  <c r="FQ323" i="43"/>
  <c r="FL323" i="43"/>
  <c r="FD323" i="43"/>
  <c r="P320" i="45" s="1"/>
  <c r="EU323" i="43"/>
  <c r="ET323" i="43"/>
  <c r="EM323" i="43"/>
  <c r="EG323" i="43"/>
  <c r="DU323" i="43"/>
  <c r="DT323" i="43"/>
  <c r="DS323" i="43"/>
  <c r="DP323" i="43"/>
  <c r="Q320" i="45" s="1"/>
  <c r="R320" i="45" s="1"/>
  <c r="BE323" i="43"/>
  <c r="BK323" i="43" s="1"/>
  <c r="AT323" i="43"/>
  <c r="AL323" i="43"/>
  <c r="AG323" i="43"/>
  <c r="G320" i="45" s="1"/>
  <c r="AF323" i="43"/>
  <c r="F320" i="45" s="1"/>
  <c r="AE323" i="43"/>
  <c r="E320" i="45" s="1"/>
  <c r="AD323" i="43"/>
  <c r="AC323" i="43"/>
  <c r="O323" i="43"/>
  <c r="M320" i="45"/>
  <c r="N320" i="45"/>
  <c r="GH322" i="43"/>
  <c r="GF322" i="43"/>
  <c r="GD322" i="43"/>
  <c r="GC322" i="43"/>
  <c r="GB322" i="43"/>
  <c r="FW322" i="43"/>
  <c r="FV322" i="43"/>
  <c r="U322" i="43" s="1"/>
  <c r="FQ322" i="43"/>
  <c r="FL322" i="43"/>
  <c r="FD322" i="43"/>
  <c r="P319" i="45" s="1"/>
  <c r="EU322" i="43"/>
  <c r="ET322" i="43"/>
  <c r="EM322" i="43"/>
  <c r="EG322" i="43"/>
  <c r="DU322" i="43"/>
  <c r="DT322" i="43"/>
  <c r="DS322" i="43"/>
  <c r="DP322" i="43"/>
  <c r="Q319" i="45" s="1"/>
  <c r="R319" i="45" s="1"/>
  <c r="BE322" i="43"/>
  <c r="BK322" i="43" s="1"/>
  <c r="AT322" i="43"/>
  <c r="AL322" i="43"/>
  <c r="AG322" i="43"/>
  <c r="G319" i="45" s="1"/>
  <c r="AF322" i="43"/>
  <c r="F319" i="45" s="1"/>
  <c r="AE322" i="43"/>
  <c r="E319" i="45" s="1"/>
  <c r="AD322" i="43"/>
  <c r="AC322" i="43"/>
  <c r="O322" i="43"/>
  <c r="M319" i="45"/>
  <c r="N319" i="45"/>
  <c r="GH321" i="43"/>
  <c r="GF321" i="43"/>
  <c r="GD321" i="43"/>
  <c r="GC321" i="43"/>
  <c r="GB321" i="43"/>
  <c r="FW321" i="43"/>
  <c r="FV321" i="43"/>
  <c r="U321" i="43" s="1"/>
  <c r="FQ321" i="43"/>
  <c r="FL321" i="43"/>
  <c r="FD321" i="43"/>
  <c r="P318" i="45" s="1"/>
  <c r="EU321" i="43"/>
  <c r="ET321" i="43"/>
  <c r="EM321" i="43"/>
  <c r="EG321" i="43"/>
  <c r="DU321" i="43"/>
  <c r="DT321" i="43"/>
  <c r="DS321" i="43"/>
  <c r="DP321" i="43"/>
  <c r="Q318" i="45" s="1"/>
  <c r="R318" i="45" s="1"/>
  <c r="DA321" i="43"/>
  <c r="CS321" i="43" s="1"/>
  <c r="CW321" i="43"/>
  <c r="CU321" i="43"/>
  <c r="CH321" i="43"/>
  <c r="CG321" i="43"/>
  <c r="CD321" i="43" s="1"/>
  <c r="CB321" i="43"/>
  <c r="BZ321" i="43"/>
  <c r="BM321" i="43"/>
  <c r="BE321" i="43" s="1"/>
  <c r="BI321" i="43"/>
  <c r="BG321" i="43"/>
  <c r="AT321" i="43"/>
  <c r="AL321" i="43"/>
  <c r="AG321" i="43"/>
  <c r="G318" i="45" s="1"/>
  <c r="AF321" i="43"/>
  <c r="F318" i="45" s="1"/>
  <c r="AE321" i="43"/>
  <c r="E318" i="45" s="1"/>
  <c r="AD321" i="43"/>
  <c r="AC321" i="43"/>
  <c r="O321" i="43"/>
  <c r="GH320" i="43"/>
  <c r="GF320" i="43"/>
  <c r="GD320" i="43"/>
  <c r="GC320" i="43"/>
  <c r="GB320" i="43"/>
  <c r="FW320" i="43"/>
  <c r="FV320" i="43"/>
  <c r="U320" i="43" s="1"/>
  <c r="FQ320" i="43"/>
  <c r="FL320" i="43"/>
  <c r="FD320" i="43"/>
  <c r="P317" i="45" s="1"/>
  <c r="EU320" i="43"/>
  <c r="ET320" i="43"/>
  <c r="EM320" i="43"/>
  <c r="EG320" i="43"/>
  <c r="DU320" i="43"/>
  <c r="DT320" i="43"/>
  <c r="DS320" i="43"/>
  <c r="DP320" i="43"/>
  <c r="DA320" i="43"/>
  <c r="CS320" i="43" s="1"/>
  <c r="CW320" i="43"/>
  <c r="CU320" i="43"/>
  <c r="CH320" i="43"/>
  <c r="CG320" i="43"/>
  <c r="CD320" i="43" s="1"/>
  <c r="AP320" i="43" s="1"/>
  <c r="CB320" i="43"/>
  <c r="BZ320" i="43"/>
  <c r="BM320" i="43"/>
  <c r="BE320" i="43" s="1"/>
  <c r="BI320" i="43"/>
  <c r="BG320" i="43"/>
  <c r="AT320" i="43"/>
  <c r="AL320" i="43"/>
  <c r="AG320" i="43"/>
  <c r="G317" i="45" s="1"/>
  <c r="AF320" i="43"/>
  <c r="F317" i="45" s="1"/>
  <c r="AE320" i="43"/>
  <c r="AD320" i="43"/>
  <c r="AC320" i="43"/>
  <c r="O320" i="43"/>
  <c r="CL320" i="43" s="1"/>
  <c r="I320" i="43"/>
  <c r="J320" i="43"/>
  <c r="GH319" i="43"/>
  <c r="GF319" i="43"/>
  <c r="GD319" i="43"/>
  <c r="GC319" i="43"/>
  <c r="GB319" i="43"/>
  <c r="FW319" i="43"/>
  <c r="FV319" i="43"/>
  <c r="U319" i="43" s="1"/>
  <c r="FQ319" i="43"/>
  <c r="FL319" i="43"/>
  <c r="FD319" i="43"/>
  <c r="P316" i="45" s="1"/>
  <c r="EU319" i="43"/>
  <c r="ET319" i="43"/>
  <c r="EM319" i="43"/>
  <c r="EG319" i="43"/>
  <c r="DU319" i="43"/>
  <c r="DT319" i="43"/>
  <c r="DS319" i="43"/>
  <c r="DP319" i="43"/>
  <c r="Q316" i="45" s="1"/>
  <c r="R316" i="45" s="1"/>
  <c r="DA319" i="43"/>
  <c r="CS319" i="43" s="1"/>
  <c r="CW319" i="43"/>
  <c r="CU319" i="43"/>
  <c r="CH319" i="43"/>
  <c r="CG319" i="43"/>
  <c r="CD319" i="43" s="1"/>
  <c r="CB319" i="43"/>
  <c r="BZ319" i="43"/>
  <c r="BM319" i="43"/>
  <c r="BE319" i="43" s="1"/>
  <c r="BI319" i="43"/>
  <c r="BG319" i="43"/>
  <c r="AT319" i="43"/>
  <c r="AL319" i="43"/>
  <c r="AG319" i="43"/>
  <c r="G316" i="45" s="1"/>
  <c r="AF319" i="43"/>
  <c r="F316" i="45" s="1"/>
  <c r="AE319" i="43"/>
  <c r="E316" i="45" s="1"/>
  <c r="AD319" i="43"/>
  <c r="AC319" i="43"/>
  <c r="O319" i="43"/>
  <c r="I319" i="43"/>
  <c r="J319" i="43"/>
  <c r="GH318" i="43"/>
  <c r="GF318" i="43"/>
  <c r="GD318" i="43"/>
  <c r="GC318" i="43"/>
  <c r="GB318" i="43"/>
  <c r="FW318" i="43"/>
  <c r="FV318" i="43"/>
  <c r="U318" i="43" s="1"/>
  <c r="FQ318" i="43"/>
  <c r="FL318" i="43"/>
  <c r="FD318" i="43"/>
  <c r="P315" i="45" s="1"/>
  <c r="EU318" i="43"/>
  <c r="ET318" i="43"/>
  <c r="EM318" i="43"/>
  <c r="EG318" i="43"/>
  <c r="DU318" i="43"/>
  <c r="DT318" i="43"/>
  <c r="DS318" i="43"/>
  <c r="DP318" i="43"/>
  <c r="Q315" i="45" s="1"/>
  <c r="R315" i="45" s="1"/>
  <c r="DA318" i="43"/>
  <c r="CS318" i="43" s="1"/>
  <c r="CW318" i="43"/>
  <c r="CU318" i="43"/>
  <c r="CH318" i="43"/>
  <c r="CG318" i="43"/>
  <c r="CD318" i="43" s="1"/>
  <c r="AP318" i="43" s="1"/>
  <c r="CB318" i="43"/>
  <c r="BZ318" i="43"/>
  <c r="BM318" i="43"/>
  <c r="BE318" i="43" s="1"/>
  <c r="BI318" i="43"/>
  <c r="BG318" i="43"/>
  <c r="AT318" i="43"/>
  <c r="AL318" i="43"/>
  <c r="AG318" i="43"/>
  <c r="G315" i="45" s="1"/>
  <c r="AF318" i="43"/>
  <c r="F315" i="45" s="1"/>
  <c r="AE318" i="43"/>
  <c r="E315" i="45" s="1"/>
  <c r="AD318" i="43"/>
  <c r="AC318" i="43"/>
  <c r="O318" i="43"/>
  <c r="I318" i="43"/>
  <c r="GH317" i="43"/>
  <c r="GF317" i="43"/>
  <c r="GD317" i="43"/>
  <c r="GC317" i="43"/>
  <c r="GB317" i="43"/>
  <c r="FW317" i="43"/>
  <c r="FV317" i="43"/>
  <c r="U317" i="43" s="1"/>
  <c r="FQ317" i="43"/>
  <c r="FL317" i="43"/>
  <c r="FD317" i="43"/>
  <c r="P314" i="45" s="1"/>
  <c r="EU317" i="43"/>
  <c r="ET317" i="43"/>
  <c r="EM317" i="43"/>
  <c r="EG317" i="43"/>
  <c r="DU317" i="43"/>
  <c r="DT317" i="43"/>
  <c r="DS317" i="43"/>
  <c r="DP317" i="43"/>
  <c r="Q314" i="45" s="1"/>
  <c r="R314" i="45" s="1"/>
  <c r="DA317" i="43"/>
  <c r="CS317" i="43" s="1"/>
  <c r="CW317" i="43"/>
  <c r="CU317" i="43"/>
  <c r="CH317" i="43"/>
  <c r="CG317" i="43"/>
  <c r="CD317" i="43" s="1"/>
  <c r="CB317" i="43"/>
  <c r="BZ317" i="43"/>
  <c r="BM317" i="43"/>
  <c r="BE317" i="43" s="1"/>
  <c r="BI317" i="43"/>
  <c r="BG317" i="43"/>
  <c r="AT317" i="43"/>
  <c r="AL317" i="43"/>
  <c r="AG317" i="43"/>
  <c r="G314" i="45" s="1"/>
  <c r="AF317" i="43"/>
  <c r="F314" i="45" s="1"/>
  <c r="AE317" i="43"/>
  <c r="AD317" i="43"/>
  <c r="AC317" i="43"/>
  <c r="O317" i="43"/>
  <c r="GH316" i="43"/>
  <c r="GF316" i="43"/>
  <c r="GD316" i="43"/>
  <c r="GC316" i="43"/>
  <c r="GB316" i="43"/>
  <c r="FW316" i="43"/>
  <c r="FV316" i="43"/>
  <c r="U316" i="43" s="1"/>
  <c r="FQ316" i="43"/>
  <c r="FL316" i="43"/>
  <c r="FD316" i="43"/>
  <c r="EU316" i="43"/>
  <c r="ET316" i="43"/>
  <c r="EM316" i="43"/>
  <c r="EG316" i="43"/>
  <c r="DU316" i="43"/>
  <c r="DT316" i="43"/>
  <c r="DS316" i="43"/>
  <c r="DP316" i="43"/>
  <c r="DA316" i="43"/>
  <c r="CS316" i="43" s="1"/>
  <c r="CW316" i="43"/>
  <c r="CU316" i="43"/>
  <c r="CH316" i="43"/>
  <c r="CG316" i="43"/>
  <c r="CD316" i="43" s="1"/>
  <c r="CB316" i="43"/>
  <c r="BZ316" i="43"/>
  <c r="BM316" i="43"/>
  <c r="BE316" i="43" s="1"/>
  <c r="BI316" i="43"/>
  <c r="BG316" i="43"/>
  <c r="AT316" i="43"/>
  <c r="AL316" i="43"/>
  <c r="AG316" i="43"/>
  <c r="G313" i="45" s="1"/>
  <c r="AF316" i="43"/>
  <c r="F313" i="45" s="1"/>
  <c r="AE316" i="43"/>
  <c r="E313" i="45" s="1"/>
  <c r="AD316" i="43"/>
  <c r="AC316" i="43"/>
  <c r="O316" i="43"/>
  <c r="GH315" i="43"/>
  <c r="GF315" i="43"/>
  <c r="GD315" i="43"/>
  <c r="GC315" i="43"/>
  <c r="GB315" i="43"/>
  <c r="FW315" i="43"/>
  <c r="FV315" i="43"/>
  <c r="U315" i="43" s="1"/>
  <c r="FQ315" i="43"/>
  <c r="FL315" i="43"/>
  <c r="FD315" i="43"/>
  <c r="P312" i="45" s="1"/>
  <c r="EU315" i="43"/>
  <c r="ET315" i="43"/>
  <c r="EM315" i="43"/>
  <c r="EG315" i="43"/>
  <c r="DU315" i="43"/>
  <c r="DT315" i="43"/>
  <c r="DS315" i="43"/>
  <c r="DP315" i="43"/>
  <c r="Q312" i="45" s="1"/>
  <c r="R312" i="45" s="1"/>
  <c r="DA315" i="43"/>
  <c r="CS315" i="43" s="1"/>
  <c r="CW315" i="43"/>
  <c r="CU315" i="43"/>
  <c r="CH315" i="43"/>
  <c r="CG315" i="43"/>
  <c r="CD315" i="43" s="1"/>
  <c r="CB315" i="43"/>
  <c r="BZ315" i="43"/>
  <c r="BM315" i="43"/>
  <c r="BE315" i="43" s="1"/>
  <c r="BI315" i="43"/>
  <c r="BG315" i="43"/>
  <c r="AT315" i="43"/>
  <c r="AL315" i="43"/>
  <c r="AG315" i="43"/>
  <c r="G312" i="45" s="1"/>
  <c r="AF315" i="43"/>
  <c r="F312" i="45" s="1"/>
  <c r="AE315" i="43"/>
  <c r="AD315" i="43"/>
  <c r="AC315" i="43"/>
  <c r="O315" i="43"/>
  <c r="GH314" i="43"/>
  <c r="GF314" i="43"/>
  <c r="GD314" i="43"/>
  <c r="GC314" i="43"/>
  <c r="GB314" i="43"/>
  <c r="FW314" i="43"/>
  <c r="FV314" i="43"/>
  <c r="U314" i="43" s="1"/>
  <c r="FQ314" i="43"/>
  <c r="FL314" i="43"/>
  <c r="FD314" i="43"/>
  <c r="EU314" i="43"/>
  <c r="ET314" i="43"/>
  <c r="EM314" i="43"/>
  <c r="EG314" i="43"/>
  <c r="DU314" i="43"/>
  <c r="DT314" i="43"/>
  <c r="DS314" i="43"/>
  <c r="DP314" i="43"/>
  <c r="Q311" i="45" s="1"/>
  <c r="R311" i="45" s="1"/>
  <c r="DA314" i="43"/>
  <c r="CS314" i="43" s="1"/>
  <c r="CW314" i="43"/>
  <c r="CU314" i="43"/>
  <c r="CH314" i="43"/>
  <c r="CG314" i="43"/>
  <c r="CD314" i="43" s="1"/>
  <c r="CB314" i="43"/>
  <c r="BZ314" i="43"/>
  <c r="BM314" i="43"/>
  <c r="BE314" i="43" s="1"/>
  <c r="BI314" i="43"/>
  <c r="BG314" i="43"/>
  <c r="AT314" i="43"/>
  <c r="AL314" i="43"/>
  <c r="AG314" i="43"/>
  <c r="G311" i="45" s="1"/>
  <c r="AF314" i="43"/>
  <c r="F311" i="45" s="1"/>
  <c r="AE314" i="43"/>
  <c r="E311" i="45" s="1"/>
  <c r="AD314" i="43"/>
  <c r="AC314" i="43"/>
  <c r="O314" i="43"/>
  <c r="GH313" i="43"/>
  <c r="GF313" i="43"/>
  <c r="GD313" i="43"/>
  <c r="GC313" i="43"/>
  <c r="GB313" i="43"/>
  <c r="FW313" i="43"/>
  <c r="FV313" i="43"/>
  <c r="U313" i="43" s="1"/>
  <c r="FQ313" i="43"/>
  <c r="FL313" i="43"/>
  <c r="FD313" i="43"/>
  <c r="P310" i="45" s="1"/>
  <c r="EU313" i="43"/>
  <c r="ET313" i="43"/>
  <c r="EM313" i="43"/>
  <c r="EG313" i="43"/>
  <c r="DU313" i="43"/>
  <c r="DT313" i="43"/>
  <c r="DS313" i="43"/>
  <c r="DP313" i="43"/>
  <c r="Q310" i="45" s="1"/>
  <c r="R310" i="45" s="1"/>
  <c r="DA313" i="43"/>
  <c r="CS313" i="43" s="1"/>
  <c r="CW313" i="43"/>
  <c r="CU313" i="43"/>
  <c r="CH313" i="43"/>
  <c r="CG313" i="43"/>
  <c r="CD313" i="43" s="1"/>
  <c r="CB313" i="43"/>
  <c r="BZ313" i="43"/>
  <c r="BM313" i="43"/>
  <c r="BE313" i="43" s="1"/>
  <c r="BI313" i="43"/>
  <c r="BG313" i="43"/>
  <c r="AT313" i="43"/>
  <c r="AL313" i="43"/>
  <c r="AG313" i="43"/>
  <c r="G310" i="45" s="1"/>
  <c r="AF313" i="43"/>
  <c r="F310" i="45" s="1"/>
  <c r="AE313" i="43"/>
  <c r="AD313" i="43"/>
  <c r="AC313" i="43"/>
  <c r="O313" i="43"/>
  <c r="J313" i="43"/>
  <c r="GH312" i="43"/>
  <c r="GF312" i="43"/>
  <c r="GD312" i="43"/>
  <c r="GC312" i="43"/>
  <c r="GB312" i="43"/>
  <c r="FW312" i="43"/>
  <c r="FV312" i="43"/>
  <c r="U312" i="43" s="1"/>
  <c r="FQ312" i="43"/>
  <c r="FL312" i="43"/>
  <c r="FD312" i="43"/>
  <c r="EU312" i="43"/>
  <c r="ET312" i="43"/>
  <c r="EM312" i="43"/>
  <c r="EG312" i="43"/>
  <c r="DU312" i="43"/>
  <c r="DT312" i="43"/>
  <c r="DS312" i="43"/>
  <c r="DP312" i="43"/>
  <c r="Q309" i="45" s="1"/>
  <c r="R309" i="45" s="1"/>
  <c r="DA312" i="43"/>
  <c r="CS312" i="43" s="1"/>
  <c r="CW312" i="43"/>
  <c r="CU312" i="43"/>
  <c r="CH312" i="43"/>
  <c r="CG312" i="43"/>
  <c r="CB312" i="43"/>
  <c r="BZ312" i="43"/>
  <c r="BM312" i="43"/>
  <c r="BE312" i="43" s="1"/>
  <c r="BI312" i="43"/>
  <c r="BG312" i="43"/>
  <c r="AT312" i="43"/>
  <c r="AL312" i="43"/>
  <c r="AG312" i="43"/>
  <c r="AF312" i="43"/>
  <c r="AE312" i="43"/>
  <c r="E309" i="45" s="1"/>
  <c r="AD312" i="43"/>
  <c r="AC312" i="43"/>
  <c r="O312" i="43"/>
  <c r="BQ312" i="43" s="1"/>
  <c r="M309" i="45"/>
  <c r="N309" i="45"/>
  <c r="GH311" i="43"/>
  <c r="GF311" i="43"/>
  <c r="GD311" i="43"/>
  <c r="GC311" i="43"/>
  <c r="GB311" i="43"/>
  <c r="FW311" i="43"/>
  <c r="FV311" i="43"/>
  <c r="U311" i="43" s="1"/>
  <c r="FQ311" i="43"/>
  <c r="FL311" i="43"/>
  <c r="FD311" i="43"/>
  <c r="P308" i="45" s="1"/>
  <c r="EU311" i="43"/>
  <c r="ET311" i="43"/>
  <c r="EM311" i="43"/>
  <c r="EG311" i="43"/>
  <c r="DU311" i="43"/>
  <c r="DT311" i="43"/>
  <c r="DS311" i="43"/>
  <c r="DP311" i="43"/>
  <c r="Q308" i="45" s="1"/>
  <c r="R308" i="45" s="1"/>
  <c r="DA311" i="43"/>
  <c r="CS311" i="43" s="1"/>
  <c r="CW311" i="43"/>
  <c r="CU311" i="43"/>
  <c r="CH311" i="43"/>
  <c r="CG311" i="43"/>
  <c r="CD311" i="43" s="1"/>
  <c r="CB311" i="43"/>
  <c r="BZ311" i="43"/>
  <c r="BM311" i="43"/>
  <c r="BE311" i="43" s="1"/>
  <c r="BI311" i="43"/>
  <c r="BG311" i="43"/>
  <c r="AT311" i="43"/>
  <c r="AL311" i="43"/>
  <c r="AG311" i="43"/>
  <c r="G308" i="45" s="1"/>
  <c r="AF311" i="43"/>
  <c r="F308" i="45" s="1"/>
  <c r="AE311" i="43"/>
  <c r="E308" i="45" s="1"/>
  <c r="AD311" i="43"/>
  <c r="AC311" i="43"/>
  <c r="O311" i="43"/>
  <c r="I311" i="43"/>
  <c r="GH310" i="43"/>
  <c r="GF310" i="43"/>
  <c r="GD310" i="43"/>
  <c r="GC310" i="43"/>
  <c r="GB310" i="43"/>
  <c r="FW310" i="43"/>
  <c r="FV310" i="43"/>
  <c r="U310" i="43" s="1"/>
  <c r="FQ310" i="43"/>
  <c r="FL310" i="43"/>
  <c r="FD310" i="43"/>
  <c r="P307" i="45" s="1"/>
  <c r="EU310" i="43"/>
  <c r="ET310" i="43"/>
  <c r="EM310" i="43"/>
  <c r="EG310" i="43"/>
  <c r="DU310" i="43"/>
  <c r="DT310" i="43"/>
  <c r="DS310" i="43"/>
  <c r="DP310" i="43"/>
  <c r="Q307" i="45" s="1"/>
  <c r="R307" i="45" s="1"/>
  <c r="DA310" i="43"/>
  <c r="CS310" i="43" s="1"/>
  <c r="CW310" i="43"/>
  <c r="CU310" i="43"/>
  <c r="CH310" i="43"/>
  <c r="CG310" i="43"/>
  <c r="CD310" i="43" s="1"/>
  <c r="AP310" i="43" s="1"/>
  <c r="CB310" i="43"/>
  <c r="BZ310" i="43"/>
  <c r="BM310" i="43"/>
  <c r="BE310" i="43" s="1"/>
  <c r="BI310" i="43"/>
  <c r="BG310" i="43"/>
  <c r="AT310" i="43"/>
  <c r="AL310" i="43"/>
  <c r="AG310" i="43"/>
  <c r="AF310" i="43"/>
  <c r="AE310" i="43"/>
  <c r="E307" i="45" s="1"/>
  <c r="AD310" i="43"/>
  <c r="AC310" i="43"/>
  <c r="O310" i="43"/>
  <c r="GH309" i="43"/>
  <c r="GF309" i="43"/>
  <c r="GD309" i="43"/>
  <c r="GC309" i="43"/>
  <c r="GB309" i="43"/>
  <c r="FW309" i="43"/>
  <c r="FV309" i="43"/>
  <c r="U309" i="43" s="1"/>
  <c r="FQ309" i="43"/>
  <c r="FL309" i="43"/>
  <c r="FD309" i="43"/>
  <c r="P306" i="45" s="1"/>
  <c r="EU309" i="43"/>
  <c r="ET309" i="43"/>
  <c r="EM309" i="43"/>
  <c r="EG309" i="43"/>
  <c r="DU309" i="43"/>
  <c r="DT309" i="43"/>
  <c r="DS309" i="43"/>
  <c r="DP309" i="43"/>
  <c r="Q306" i="45" s="1"/>
  <c r="R306" i="45" s="1"/>
  <c r="DA309" i="43"/>
  <c r="CS309" i="43" s="1"/>
  <c r="CW309" i="43"/>
  <c r="CU309" i="43"/>
  <c r="CH309" i="43"/>
  <c r="CG309" i="43"/>
  <c r="CD309" i="43" s="1"/>
  <c r="AR309" i="43" s="1"/>
  <c r="CB309" i="43"/>
  <c r="BZ309" i="43"/>
  <c r="BM309" i="43"/>
  <c r="BE309" i="43" s="1"/>
  <c r="BI309" i="43"/>
  <c r="BG309" i="43"/>
  <c r="AT309" i="43"/>
  <c r="AL309" i="43"/>
  <c r="AG309" i="43"/>
  <c r="G306" i="45" s="1"/>
  <c r="AF309" i="43"/>
  <c r="F306" i="45" s="1"/>
  <c r="AE309" i="43"/>
  <c r="E306" i="45" s="1"/>
  <c r="AD309" i="43"/>
  <c r="AC309" i="43"/>
  <c r="O309" i="43"/>
  <c r="I309" i="43"/>
  <c r="J309" i="43"/>
  <c r="GH308" i="43"/>
  <c r="GF308" i="43"/>
  <c r="GD308" i="43"/>
  <c r="GC308" i="43"/>
  <c r="GB308" i="43"/>
  <c r="FW308" i="43"/>
  <c r="FV308" i="43"/>
  <c r="U308" i="43" s="1"/>
  <c r="FQ308" i="43"/>
  <c r="FL308" i="43"/>
  <c r="FD308" i="43"/>
  <c r="P305" i="45" s="1"/>
  <c r="EU308" i="43"/>
  <c r="ET308" i="43"/>
  <c r="EM308" i="43"/>
  <c r="EG308" i="43"/>
  <c r="DU308" i="43"/>
  <c r="DT308" i="43"/>
  <c r="DS308" i="43"/>
  <c r="DP308" i="43"/>
  <c r="DA308" i="43"/>
  <c r="CS308" i="43" s="1"/>
  <c r="CW308" i="43"/>
  <c r="CU308" i="43"/>
  <c r="CH308" i="43"/>
  <c r="CG308" i="43"/>
  <c r="CB308" i="43"/>
  <c r="BZ308" i="43"/>
  <c r="BM308" i="43"/>
  <c r="BE308" i="43" s="1"/>
  <c r="BI308" i="43"/>
  <c r="BG308" i="43"/>
  <c r="AT308" i="43"/>
  <c r="AL308" i="43"/>
  <c r="AG308" i="43"/>
  <c r="G305" i="45" s="1"/>
  <c r="AF308" i="43"/>
  <c r="F305" i="45" s="1"/>
  <c r="AE308" i="43"/>
  <c r="E305" i="45" s="1"/>
  <c r="AD308" i="43"/>
  <c r="AC308" i="43"/>
  <c r="O308" i="43"/>
  <c r="I308" i="43"/>
  <c r="J308" i="43"/>
  <c r="GH307" i="43"/>
  <c r="GF307" i="43"/>
  <c r="GD307" i="43"/>
  <c r="GC307" i="43"/>
  <c r="GB307" i="43"/>
  <c r="FW307" i="43"/>
  <c r="FV307" i="43"/>
  <c r="U307" i="43" s="1"/>
  <c r="FQ307" i="43"/>
  <c r="FL307" i="43"/>
  <c r="FD307" i="43"/>
  <c r="P304" i="45" s="1"/>
  <c r="EU307" i="43"/>
  <c r="ET307" i="43"/>
  <c r="EM307" i="43"/>
  <c r="EG307" i="43"/>
  <c r="DU307" i="43"/>
  <c r="DT307" i="43"/>
  <c r="DS307" i="43"/>
  <c r="DP307" i="43"/>
  <c r="Q304" i="45" s="1"/>
  <c r="R304" i="45" s="1"/>
  <c r="DA307" i="43"/>
  <c r="CS307" i="43" s="1"/>
  <c r="CW307" i="43"/>
  <c r="CU307" i="43"/>
  <c r="CH307" i="43"/>
  <c r="CG307" i="43"/>
  <c r="CD307" i="43" s="1"/>
  <c r="AR307" i="43" s="1"/>
  <c r="CB307" i="43"/>
  <c r="BZ307" i="43"/>
  <c r="BM307" i="43"/>
  <c r="BE307" i="43" s="1"/>
  <c r="BI307" i="43"/>
  <c r="BG307" i="43"/>
  <c r="AT307" i="43"/>
  <c r="AL307" i="43"/>
  <c r="AG307" i="43"/>
  <c r="G304" i="45" s="1"/>
  <c r="AF307" i="43"/>
  <c r="F304" i="45" s="1"/>
  <c r="AE307" i="43"/>
  <c r="E304" i="45" s="1"/>
  <c r="AD307" i="43"/>
  <c r="AC307" i="43"/>
  <c r="O307" i="43"/>
  <c r="FO307" i="43" s="1"/>
  <c r="GH306" i="43"/>
  <c r="GF306" i="43"/>
  <c r="GD306" i="43"/>
  <c r="GC306" i="43"/>
  <c r="GB306" i="43"/>
  <c r="FW306" i="43"/>
  <c r="FV306" i="43"/>
  <c r="U306" i="43" s="1"/>
  <c r="FQ306" i="43"/>
  <c r="FL306" i="43"/>
  <c r="FD306" i="43"/>
  <c r="P303" i="45" s="1"/>
  <c r="EU306" i="43"/>
  <c r="ET306" i="43"/>
  <c r="EM306" i="43"/>
  <c r="EG306" i="43"/>
  <c r="DU306" i="43"/>
  <c r="DT306" i="43"/>
  <c r="DS306" i="43"/>
  <c r="DP306" i="43"/>
  <c r="Q303" i="45" s="1"/>
  <c r="R303" i="45" s="1"/>
  <c r="DA306" i="43"/>
  <c r="CS306" i="43" s="1"/>
  <c r="CW306" i="43"/>
  <c r="CU306" i="43"/>
  <c r="CH306" i="43"/>
  <c r="CG306" i="43"/>
  <c r="CB306" i="43"/>
  <c r="BZ306" i="43"/>
  <c r="BM306" i="43"/>
  <c r="BE306" i="43" s="1"/>
  <c r="BI306" i="43"/>
  <c r="BG306" i="43"/>
  <c r="AT306" i="43"/>
  <c r="AL306" i="43"/>
  <c r="AG306" i="43"/>
  <c r="G303" i="45" s="1"/>
  <c r="AF306" i="43"/>
  <c r="F303" i="45" s="1"/>
  <c r="AE306" i="43"/>
  <c r="E303" i="45" s="1"/>
  <c r="AD306" i="43"/>
  <c r="AC306" i="43"/>
  <c r="O306" i="43"/>
  <c r="CL306" i="43" s="1"/>
  <c r="GH305" i="43"/>
  <c r="GF305" i="43"/>
  <c r="GD305" i="43"/>
  <c r="GC305" i="43"/>
  <c r="GB305" i="43"/>
  <c r="FW305" i="43"/>
  <c r="FV305" i="43"/>
  <c r="U305" i="43" s="1"/>
  <c r="FQ305" i="43"/>
  <c r="FL305" i="43"/>
  <c r="FD305" i="43"/>
  <c r="P302" i="45" s="1"/>
  <c r="EU305" i="43"/>
  <c r="ET305" i="43"/>
  <c r="EM305" i="43"/>
  <c r="EG305" i="43"/>
  <c r="DU305" i="43"/>
  <c r="DT305" i="43"/>
  <c r="DS305" i="43"/>
  <c r="DP305" i="43"/>
  <c r="Q302" i="45" s="1"/>
  <c r="R302" i="45" s="1"/>
  <c r="DA305" i="43"/>
  <c r="CS305" i="43" s="1"/>
  <c r="CW305" i="43"/>
  <c r="CU305" i="43"/>
  <c r="CH305" i="43"/>
  <c r="CG305" i="43"/>
  <c r="CD305" i="43" s="1"/>
  <c r="CB305" i="43"/>
  <c r="BZ305" i="43"/>
  <c r="BM305" i="43"/>
  <c r="BE305" i="43" s="1"/>
  <c r="BI305" i="43"/>
  <c r="BG305" i="43"/>
  <c r="AT305" i="43"/>
  <c r="AL305" i="43"/>
  <c r="AG305" i="43"/>
  <c r="G302" i="45" s="1"/>
  <c r="AF305" i="43"/>
  <c r="F302" i="45" s="1"/>
  <c r="AE305" i="43"/>
  <c r="E302" i="45" s="1"/>
  <c r="AD305" i="43"/>
  <c r="AC305" i="43"/>
  <c r="O305" i="43"/>
  <c r="FO305" i="43" s="1"/>
  <c r="M302" i="45"/>
  <c r="N302" i="45"/>
  <c r="GH304" i="43"/>
  <c r="GF304" i="43"/>
  <c r="GD304" i="43"/>
  <c r="GC304" i="43"/>
  <c r="GB304" i="43"/>
  <c r="FW304" i="43"/>
  <c r="FV304" i="43"/>
  <c r="U304" i="43" s="1"/>
  <c r="FQ304" i="43"/>
  <c r="FL304" i="43"/>
  <c r="FD304" i="43"/>
  <c r="P301" i="45" s="1"/>
  <c r="EU304" i="43"/>
  <c r="ET304" i="43"/>
  <c r="EM304" i="43"/>
  <c r="EG304" i="43"/>
  <c r="DU304" i="43"/>
  <c r="DT304" i="43"/>
  <c r="DS304" i="43"/>
  <c r="DP304" i="43"/>
  <c r="Q301" i="45" s="1"/>
  <c r="R301" i="45" s="1"/>
  <c r="DA304" i="43"/>
  <c r="CS304" i="43" s="1"/>
  <c r="CW304" i="43"/>
  <c r="CU304" i="43"/>
  <c r="CH304" i="43"/>
  <c r="CG304" i="43"/>
  <c r="CD304" i="43" s="1"/>
  <c r="CB304" i="43"/>
  <c r="BZ304" i="43"/>
  <c r="BM304" i="43"/>
  <c r="BE304" i="43" s="1"/>
  <c r="BI304" i="43"/>
  <c r="BG304" i="43"/>
  <c r="AT304" i="43"/>
  <c r="AL304" i="43"/>
  <c r="AG304" i="43"/>
  <c r="G301" i="45" s="1"/>
  <c r="AF304" i="43"/>
  <c r="F301" i="45" s="1"/>
  <c r="AE304" i="43"/>
  <c r="E301" i="45" s="1"/>
  <c r="AD304" i="43"/>
  <c r="AC304" i="43"/>
  <c r="O304" i="43"/>
  <c r="FO304" i="43" s="1"/>
  <c r="GH303" i="43"/>
  <c r="GF303" i="43"/>
  <c r="GD303" i="43"/>
  <c r="GC303" i="43"/>
  <c r="GB303" i="43"/>
  <c r="FW303" i="43"/>
  <c r="FV303" i="43"/>
  <c r="FQ303" i="43"/>
  <c r="FL303" i="43"/>
  <c r="FD303" i="43"/>
  <c r="P300" i="45" s="1"/>
  <c r="EU303" i="43"/>
  <c r="ET303" i="43"/>
  <c r="EM303" i="43"/>
  <c r="EG303" i="43"/>
  <c r="DU303" i="43"/>
  <c r="DT303" i="43"/>
  <c r="DS303" i="43"/>
  <c r="DP303" i="43"/>
  <c r="Q300" i="45" s="1"/>
  <c r="R300" i="45" s="1"/>
  <c r="DA303" i="43"/>
  <c r="CS303" i="43" s="1"/>
  <c r="CW303" i="43"/>
  <c r="CU303" i="43"/>
  <c r="CH303" i="43"/>
  <c r="CG303" i="43"/>
  <c r="CD303" i="43" s="1"/>
  <c r="CB303" i="43"/>
  <c r="BZ303" i="43"/>
  <c r="BM303" i="43"/>
  <c r="BE303" i="43" s="1"/>
  <c r="BI303" i="43"/>
  <c r="BG303" i="43"/>
  <c r="AT303" i="43"/>
  <c r="AL303" i="43"/>
  <c r="AG303" i="43"/>
  <c r="G300" i="45" s="1"/>
  <c r="AF303" i="43"/>
  <c r="F300" i="45" s="1"/>
  <c r="AE303" i="43"/>
  <c r="E300" i="45" s="1"/>
  <c r="AD303" i="43"/>
  <c r="AC303" i="43"/>
  <c r="O303" i="43"/>
  <c r="FO303" i="43" s="1"/>
  <c r="GH302" i="43"/>
  <c r="GF302" i="43"/>
  <c r="GD302" i="43"/>
  <c r="GC302" i="43"/>
  <c r="GB302" i="43"/>
  <c r="FW302" i="43"/>
  <c r="FV302" i="43"/>
  <c r="FQ302" i="43"/>
  <c r="FL302" i="43"/>
  <c r="FD302" i="43"/>
  <c r="P299" i="45" s="1"/>
  <c r="EU302" i="43"/>
  <c r="ET302" i="43"/>
  <c r="EM302" i="43"/>
  <c r="EG302" i="43"/>
  <c r="DU302" i="43"/>
  <c r="DT302" i="43"/>
  <c r="DS302" i="43"/>
  <c r="DP302" i="43"/>
  <c r="Q299" i="45" s="1"/>
  <c r="R299" i="45" s="1"/>
  <c r="DA302" i="43"/>
  <c r="CS302" i="43" s="1"/>
  <c r="CW302" i="43"/>
  <c r="CU302" i="43"/>
  <c r="CH302" i="43"/>
  <c r="CG302" i="43"/>
  <c r="CD302" i="43" s="1"/>
  <c r="CB302" i="43"/>
  <c r="BZ302" i="43"/>
  <c r="BM302" i="43"/>
  <c r="BE302" i="43" s="1"/>
  <c r="BI302" i="43"/>
  <c r="BG302" i="43"/>
  <c r="AT302" i="43"/>
  <c r="AL302" i="43"/>
  <c r="AG302" i="43"/>
  <c r="G299" i="45" s="1"/>
  <c r="AF302" i="43"/>
  <c r="F299" i="45" s="1"/>
  <c r="AE302" i="43"/>
  <c r="E299" i="45" s="1"/>
  <c r="AD302" i="43"/>
  <c r="AC302" i="43"/>
  <c r="O302" i="43"/>
  <c r="FO302" i="43" s="1"/>
  <c r="M299" i="45"/>
  <c r="N299" i="45"/>
  <c r="GH301" i="43"/>
  <c r="GF301" i="43"/>
  <c r="GD301" i="43"/>
  <c r="GC301" i="43"/>
  <c r="GB301" i="43"/>
  <c r="FW301" i="43"/>
  <c r="FV301" i="43"/>
  <c r="FQ301" i="43"/>
  <c r="FL301" i="43"/>
  <c r="FD301" i="43"/>
  <c r="P298" i="45" s="1"/>
  <c r="EU301" i="43"/>
  <c r="ET301" i="43"/>
  <c r="EM301" i="43"/>
  <c r="EG301" i="43"/>
  <c r="DU301" i="43"/>
  <c r="DT301" i="43"/>
  <c r="DS301" i="43"/>
  <c r="DP301" i="43"/>
  <c r="Q298" i="45" s="1"/>
  <c r="R298" i="45" s="1"/>
  <c r="DA301" i="43"/>
  <c r="CS301" i="43" s="1"/>
  <c r="CW301" i="43"/>
  <c r="CU301" i="43"/>
  <c r="CH301" i="43"/>
  <c r="CG301" i="43"/>
  <c r="CD301" i="43" s="1"/>
  <c r="CB301" i="43"/>
  <c r="BZ301" i="43"/>
  <c r="BM301" i="43"/>
  <c r="BE301" i="43" s="1"/>
  <c r="BI301" i="43"/>
  <c r="BG301" i="43"/>
  <c r="AT301" i="43"/>
  <c r="AL301" i="43"/>
  <c r="AG301" i="43"/>
  <c r="G298" i="45" s="1"/>
  <c r="AF301" i="43"/>
  <c r="F298" i="45" s="1"/>
  <c r="AE301" i="43"/>
  <c r="E298" i="45" s="1"/>
  <c r="AD301" i="43"/>
  <c r="AC301" i="43"/>
  <c r="O301" i="43"/>
  <c r="GH300" i="43"/>
  <c r="GF300" i="43"/>
  <c r="GD300" i="43"/>
  <c r="GC300" i="43"/>
  <c r="GB300" i="43"/>
  <c r="FW300" i="43"/>
  <c r="FV300" i="43"/>
  <c r="FQ300" i="43"/>
  <c r="FL300" i="43"/>
  <c r="FD300" i="43"/>
  <c r="P297" i="45" s="1"/>
  <c r="EU300" i="43"/>
  <c r="ET300" i="43"/>
  <c r="EM300" i="43"/>
  <c r="EG300" i="43"/>
  <c r="DU300" i="43"/>
  <c r="DT300" i="43"/>
  <c r="DS300" i="43"/>
  <c r="DP300" i="43"/>
  <c r="Q297" i="45" s="1"/>
  <c r="R297" i="45" s="1"/>
  <c r="DA300" i="43"/>
  <c r="CS300" i="43" s="1"/>
  <c r="CW300" i="43"/>
  <c r="CU300" i="43"/>
  <c r="CH300" i="43"/>
  <c r="CG300" i="43"/>
  <c r="CB300" i="43"/>
  <c r="BZ300" i="43"/>
  <c r="BM300" i="43"/>
  <c r="BE300" i="43" s="1"/>
  <c r="BI300" i="43"/>
  <c r="BG300" i="43"/>
  <c r="AT300" i="43"/>
  <c r="AL300" i="43"/>
  <c r="AG300" i="43"/>
  <c r="G297" i="45" s="1"/>
  <c r="AF300" i="43"/>
  <c r="F297" i="45" s="1"/>
  <c r="AE300" i="43"/>
  <c r="E297" i="45" s="1"/>
  <c r="AD300" i="43"/>
  <c r="AC300" i="43"/>
  <c r="O300" i="43"/>
  <c r="FO300" i="43" s="1"/>
  <c r="GH299" i="43"/>
  <c r="GF299" i="43"/>
  <c r="GD299" i="43"/>
  <c r="GC299" i="43"/>
  <c r="GB299" i="43"/>
  <c r="FW299" i="43"/>
  <c r="FV299" i="43"/>
  <c r="FQ299" i="43"/>
  <c r="FL299" i="43"/>
  <c r="FD299" i="43"/>
  <c r="P296" i="45" s="1"/>
  <c r="EU299" i="43"/>
  <c r="ET299" i="43"/>
  <c r="EM299" i="43"/>
  <c r="EG299" i="43"/>
  <c r="DU299" i="43"/>
  <c r="DT299" i="43"/>
  <c r="DS299" i="43"/>
  <c r="DP299" i="43"/>
  <c r="DA299" i="43"/>
  <c r="CS299" i="43" s="1"/>
  <c r="CW299" i="43"/>
  <c r="CU299" i="43"/>
  <c r="CH299" i="43"/>
  <c r="CG299" i="43"/>
  <c r="CD299" i="43" s="1"/>
  <c r="CB299" i="43"/>
  <c r="BZ299" i="43"/>
  <c r="BM299" i="43"/>
  <c r="BE299" i="43" s="1"/>
  <c r="BI299" i="43"/>
  <c r="BG299" i="43"/>
  <c r="AT299" i="43"/>
  <c r="AL299" i="43"/>
  <c r="AG299" i="43"/>
  <c r="G296" i="45" s="1"/>
  <c r="AF299" i="43"/>
  <c r="F296" i="45" s="1"/>
  <c r="AE299" i="43"/>
  <c r="AD299" i="43"/>
  <c r="AC299" i="43"/>
  <c r="O299" i="43"/>
  <c r="GH298" i="43"/>
  <c r="GF298" i="43"/>
  <c r="GD298" i="43"/>
  <c r="GC298" i="43"/>
  <c r="GB298" i="43"/>
  <c r="FW298" i="43"/>
  <c r="FV298" i="43"/>
  <c r="FQ298" i="43"/>
  <c r="FL298" i="43"/>
  <c r="FD298" i="43"/>
  <c r="P295" i="45" s="1"/>
  <c r="EU298" i="43"/>
  <c r="ET298" i="43"/>
  <c r="EM298" i="43"/>
  <c r="EG298" i="43"/>
  <c r="DU298" i="43"/>
  <c r="DT298" i="43"/>
  <c r="DS298" i="43"/>
  <c r="DP298" i="43"/>
  <c r="Q295" i="45" s="1"/>
  <c r="R295" i="45" s="1"/>
  <c r="DA298" i="43"/>
  <c r="CS298" i="43" s="1"/>
  <c r="CW298" i="43"/>
  <c r="CU298" i="43"/>
  <c r="CH298" i="43"/>
  <c r="CG298" i="43"/>
  <c r="CB298" i="43"/>
  <c r="BZ298" i="43"/>
  <c r="BM298" i="43"/>
  <c r="BE298" i="43" s="1"/>
  <c r="BI298" i="43"/>
  <c r="BG298" i="43"/>
  <c r="AT298" i="43"/>
  <c r="AL298" i="43"/>
  <c r="AG298" i="43"/>
  <c r="G295" i="45" s="1"/>
  <c r="AF298" i="43"/>
  <c r="F295" i="45" s="1"/>
  <c r="AE298" i="43"/>
  <c r="E295" i="45" s="1"/>
  <c r="AD298" i="43"/>
  <c r="AC298" i="43"/>
  <c r="O298" i="43"/>
  <c r="BQ298" i="43" s="1"/>
  <c r="GH297" i="43"/>
  <c r="GF297" i="43"/>
  <c r="GD297" i="43"/>
  <c r="GC297" i="43"/>
  <c r="GB297" i="43"/>
  <c r="FW297" i="43"/>
  <c r="FV297" i="43"/>
  <c r="FQ297" i="43"/>
  <c r="FL297" i="43"/>
  <c r="FD297" i="43"/>
  <c r="P294" i="45" s="1"/>
  <c r="EU297" i="43"/>
  <c r="ET297" i="43"/>
  <c r="EM297" i="43"/>
  <c r="EG297" i="43"/>
  <c r="DU297" i="43"/>
  <c r="DT297" i="43"/>
  <c r="DS297" i="43"/>
  <c r="DP297" i="43"/>
  <c r="Q294" i="45" s="1"/>
  <c r="R294" i="45" s="1"/>
  <c r="DA297" i="43"/>
  <c r="CS297" i="43" s="1"/>
  <c r="CW297" i="43"/>
  <c r="CU297" i="43"/>
  <c r="CH297" i="43"/>
  <c r="CG297" i="43"/>
  <c r="CD297" i="43" s="1"/>
  <c r="CB297" i="43"/>
  <c r="BZ297" i="43"/>
  <c r="BM297" i="43"/>
  <c r="BE297" i="43" s="1"/>
  <c r="BI297" i="43"/>
  <c r="BG297" i="43"/>
  <c r="AT297" i="43"/>
  <c r="AL297" i="43"/>
  <c r="AG297" i="43"/>
  <c r="G294" i="45" s="1"/>
  <c r="AF297" i="43"/>
  <c r="F294" i="45" s="1"/>
  <c r="AE297" i="43"/>
  <c r="E294" i="45" s="1"/>
  <c r="AD297" i="43"/>
  <c r="AC297" i="43"/>
  <c r="O297" i="43"/>
  <c r="FO297" i="43" s="1"/>
  <c r="GH296" i="43"/>
  <c r="GF296" i="43"/>
  <c r="GD296" i="43"/>
  <c r="GC296" i="43"/>
  <c r="GB296" i="43"/>
  <c r="FW296" i="43"/>
  <c r="FV296" i="43"/>
  <c r="FQ296" i="43"/>
  <c r="FL296" i="43"/>
  <c r="FD296" i="43"/>
  <c r="P293" i="45" s="1"/>
  <c r="EU296" i="43"/>
  <c r="ET296" i="43"/>
  <c r="EM296" i="43"/>
  <c r="EG296" i="43"/>
  <c r="DU296" i="43"/>
  <c r="DT296" i="43"/>
  <c r="DS296" i="43"/>
  <c r="DP296" i="43"/>
  <c r="Q293" i="45" s="1"/>
  <c r="R293" i="45" s="1"/>
  <c r="DA296" i="43"/>
  <c r="CS296" i="43" s="1"/>
  <c r="CW296" i="43"/>
  <c r="CU296" i="43"/>
  <c r="CH296" i="43"/>
  <c r="CG296" i="43"/>
  <c r="CB296" i="43"/>
  <c r="BZ296" i="43"/>
  <c r="BM296" i="43"/>
  <c r="BE296" i="43" s="1"/>
  <c r="BI296" i="43"/>
  <c r="BG296" i="43"/>
  <c r="AT296" i="43"/>
  <c r="AL296" i="43"/>
  <c r="AG296" i="43"/>
  <c r="G293" i="45" s="1"/>
  <c r="AF296" i="43"/>
  <c r="F293" i="45" s="1"/>
  <c r="AE296" i="43"/>
  <c r="E293" i="45" s="1"/>
  <c r="AD296" i="43"/>
  <c r="AC296" i="43"/>
  <c r="O296" i="43"/>
  <c r="BQ296" i="43" s="1"/>
  <c r="M293" i="45"/>
  <c r="N293" i="45"/>
  <c r="GH295" i="43"/>
  <c r="GF295" i="43"/>
  <c r="GD295" i="43"/>
  <c r="GC295" i="43"/>
  <c r="GB295" i="43"/>
  <c r="FW295" i="43"/>
  <c r="FV295" i="43"/>
  <c r="FQ295" i="43"/>
  <c r="FL295" i="43"/>
  <c r="FD295" i="43"/>
  <c r="P292" i="45" s="1"/>
  <c r="EU295" i="43"/>
  <c r="ET295" i="43"/>
  <c r="EM295" i="43"/>
  <c r="EG295" i="43"/>
  <c r="DU295" i="43"/>
  <c r="DT295" i="43"/>
  <c r="DS295" i="43"/>
  <c r="DP295" i="43"/>
  <c r="Q292" i="45" s="1"/>
  <c r="R292" i="45" s="1"/>
  <c r="DA295" i="43"/>
  <c r="CS295" i="43" s="1"/>
  <c r="CW295" i="43"/>
  <c r="CU295" i="43"/>
  <c r="CH295" i="43"/>
  <c r="CG295" i="43"/>
  <c r="CD295" i="43" s="1"/>
  <c r="CB295" i="43"/>
  <c r="BZ295" i="43"/>
  <c r="BM295" i="43"/>
  <c r="BE295" i="43" s="1"/>
  <c r="BI295" i="43"/>
  <c r="BG295" i="43"/>
  <c r="AT295" i="43"/>
  <c r="AL295" i="43"/>
  <c r="AG295" i="43"/>
  <c r="G292" i="45" s="1"/>
  <c r="AF295" i="43"/>
  <c r="F292" i="45" s="1"/>
  <c r="B292" i="45" s="1"/>
  <c r="AE295" i="43"/>
  <c r="E292" i="45" s="1"/>
  <c r="AD295" i="43"/>
  <c r="AC295" i="43"/>
  <c r="O295" i="43"/>
  <c r="M292" i="45"/>
  <c r="N292" i="45"/>
  <c r="GH294" i="43"/>
  <c r="GF294" i="43"/>
  <c r="GD294" i="43"/>
  <c r="GC294" i="43"/>
  <c r="GB294" i="43"/>
  <c r="FW294" i="43"/>
  <c r="FV294" i="43"/>
  <c r="FQ294" i="43"/>
  <c r="FL294" i="43"/>
  <c r="FD294" i="43"/>
  <c r="EU294" i="43"/>
  <c r="ET294" i="43"/>
  <c r="EM294" i="43"/>
  <c r="EG294" i="43"/>
  <c r="DU294" i="43"/>
  <c r="DT294" i="43"/>
  <c r="DS294" i="43"/>
  <c r="DP294" i="43"/>
  <c r="DA294" i="43"/>
  <c r="CS294" i="43" s="1"/>
  <c r="CW294" i="43"/>
  <c r="CU294" i="43"/>
  <c r="CH294" i="43"/>
  <c r="CG294" i="43"/>
  <c r="CB294" i="43"/>
  <c r="BZ294" i="43"/>
  <c r="BM294" i="43"/>
  <c r="BE294" i="43" s="1"/>
  <c r="BI294" i="43"/>
  <c r="BG294" i="43"/>
  <c r="AT294" i="43"/>
  <c r="AL294" i="43"/>
  <c r="AG294" i="43"/>
  <c r="G291" i="45" s="1"/>
  <c r="AF294" i="43"/>
  <c r="F291" i="45" s="1"/>
  <c r="AE294" i="43"/>
  <c r="AD294" i="43"/>
  <c r="AC294" i="43"/>
  <c r="O294" i="43"/>
  <c r="BQ294" i="43" s="1"/>
  <c r="M291" i="45"/>
  <c r="N291" i="45"/>
  <c r="GH293" i="43"/>
  <c r="GF293" i="43"/>
  <c r="GD293" i="43"/>
  <c r="GC293" i="43"/>
  <c r="GB293" i="43"/>
  <c r="FW293" i="43"/>
  <c r="FV293" i="43"/>
  <c r="FQ293" i="43"/>
  <c r="FL293" i="43"/>
  <c r="FD293" i="43"/>
  <c r="P290" i="45" s="1"/>
  <c r="EU293" i="43"/>
  <c r="ET293" i="43"/>
  <c r="EM293" i="43"/>
  <c r="EG293" i="43"/>
  <c r="DU293" i="43"/>
  <c r="DT293" i="43"/>
  <c r="DS293" i="43"/>
  <c r="DP293" i="43"/>
  <c r="Q290" i="45" s="1"/>
  <c r="R290" i="45" s="1"/>
  <c r="DA293" i="43"/>
  <c r="CS293" i="43" s="1"/>
  <c r="CW293" i="43"/>
  <c r="CU293" i="43"/>
  <c r="CH293" i="43"/>
  <c r="CG293" i="43"/>
  <c r="CD293" i="43" s="1"/>
  <c r="CB293" i="43"/>
  <c r="BZ293" i="43"/>
  <c r="BM293" i="43"/>
  <c r="BE293" i="43" s="1"/>
  <c r="BI293" i="43"/>
  <c r="BG293" i="43"/>
  <c r="AT293" i="43"/>
  <c r="AL293" i="43"/>
  <c r="AG293" i="43"/>
  <c r="G290" i="45" s="1"/>
  <c r="AF293" i="43"/>
  <c r="AE293" i="43"/>
  <c r="E290" i="45" s="1"/>
  <c r="AD293" i="43"/>
  <c r="AC293" i="43"/>
  <c r="O293" i="43"/>
  <c r="FO293" i="43" s="1"/>
  <c r="GH292" i="43"/>
  <c r="GF292" i="43"/>
  <c r="GD292" i="43"/>
  <c r="GC292" i="43"/>
  <c r="GB292" i="43"/>
  <c r="FW292" i="43"/>
  <c r="FV292" i="43"/>
  <c r="FQ292" i="43"/>
  <c r="FL292" i="43"/>
  <c r="FD292" i="43"/>
  <c r="EU292" i="43"/>
  <c r="ET292" i="43"/>
  <c r="EM292" i="43"/>
  <c r="EG292" i="43"/>
  <c r="DU292" i="43"/>
  <c r="DT292" i="43"/>
  <c r="DS292" i="43"/>
  <c r="DP292" i="43"/>
  <c r="Q289" i="45" s="1"/>
  <c r="R289" i="45" s="1"/>
  <c r="DA292" i="43"/>
  <c r="CS292" i="43" s="1"/>
  <c r="CW292" i="43"/>
  <c r="CU292" i="43"/>
  <c r="CH292" i="43"/>
  <c r="CG292" i="43"/>
  <c r="CB292" i="43"/>
  <c r="BZ292" i="43"/>
  <c r="BM292" i="43"/>
  <c r="BE292" i="43" s="1"/>
  <c r="BI292" i="43"/>
  <c r="BG292" i="43"/>
  <c r="AT292" i="43"/>
  <c r="AL292" i="43"/>
  <c r="AG292" i="43"/>
  <c r="AF292" i="43"/>
  <c r="F289" i="45" s="1"/>
  <c r="AE292" i="43"/>
  <c r="E289" i="45" s="1"/>
  <c r="AD292" i="43"/>
  <c r="AC292" i="43"/>
  <c r="O292" i="43"/>
  <c r="BQ292" i="43" s="1"/>
  <c r="M289" i="45"/>
  <c r="GH291" i="43"/>
  <c r="GF291" i="43"/>
  <c r="GD291" i="43"/>
  <c r="GC291" i="43"/>
  <c r="GB291" i="43"/>
  <c r="FW291" i="43"/>
  <c r="FV291" i="43"/>
  <c r="FQ291" i="43"/>
  <c r="FL291" i="43"/>
  <c r="FD291" i="43"/>
  <c r="P288" i="45" s="1"/>
  <c r="EU291" i="43"/>
  <c r="ET291" i="43"/>
  <c r="EM291" i="43"/>
  <c r="EG291" i="43"/>
  <c r="DU291" i="43"/>
  <c r="DT291" i="43"/>
  <c r="DS291" i="43"/>
  <c r="DP291" i="43"/>
  <c r="DA291" i="43"/>
  <c r="CS291" i="43" s="1"/>
  <c r="CW291" i="43"/>
  <c r="CU291" i="43"/>
  <c r="CH291" i="43"/>
  <c r="CG291" i="43"/>
  <c r="CD291" i="43" s="1"/>
  <c r="CB291" i="43"/>
  <c r="BZ291" i="43"/>
  <c r="BM291" i="43"/>
  <c r="BE291" i="43" s="1"/>
  <c r="BI291" i="43"/>
  <c r="BG291" i="43"/>
  <c r="AT291" i="43"/>
  <c r="AL291" i="43"/>
  <c r="AG291" i="43"/>
  <c r="G288" i="45" s="1"/>
  <c r="AF291" i="43"/>
  <c r="F288" i="45" s="1"/>
  <c r="AE291" i="43"/>
  <c r="AD291" i="43"/>
  <c r="AC291" i="43"/>
  <c r="O291" i="43"/>
  <c r="M288" i="45"/>
  <c r="GH290" i="43"/>
  <c r="GF290" i="43"/>
  <c r="GD290" i="43"/>
  <c r="GC290" i="43"/>
  <c r="GB290" i="43"/>
  <c r="FW290" i="43"/>
  <c r="FV290" i="43"/>
  <c r="FQ290" i="43"/>
  <c r="FL290" i="43"/>
  <c r="FD290" i="43"/>
  <c r="P287" i="45" s="1"/>
  <c r="EU290" i="43"/>
  <c r="ET290" i="43"/>
  <c r="EM290" i="43"/>
  <c r="EG290" i="43"/>
  <c r="DU290" i="43"/>
  <c r="DT290" i="43"/>
  <c r="DS290" i="43"/>
  <c r="DP290" i="43"/>
  <c r="Q287" i="45" s="1"/>
  <c r="R287" i="45" s="1"/>
  <c r="DA290" i="43"/>
  <c r="CS290" i="43" s="1"/>
  <c r="CW290" i="43"/>
  <c r="CU290" i="43"/>
  <c r="CH290" i="43"/>
  <c r="CG290" i="43"/>
  <c r="CB290" i="43"/>
  <c r="BZ290" i="43"/>
  <c r="BM290" i="43"/>
  <c r="BE290" i="43" s="1"/>
  <c r="BI290" i="43"/>
  <c r="BG290" i="43"/>
  <c r="AT290" i="43"/>
  <c r="AL290" i="43"/>
  <c r="AG290" i="43"/>
  <c r="G287" i="45" s="1"/>
  <c r="AF290" i="43"/>
  <c r="F287" i="45" s="1"/>
  <c r="AE290" i="43"/>
  <c r="E287" i="45" s="1"/>
  <c r="AD290" i="43"/>
  <c r="AC290" i="43"/>
  <c r="O290" i="43"/>
  <c r="DE290" i="43" s="1"/>
  <c r="M287" i="45"/>
  <c r="GH289" i="43"/>
  <c r="GF289" i="43"/>
  <c r="GD289" i="43"/>
  <c r="GC289" i="43"/>
  <c r="GB289" i="43"/>
  <c r="FW289" i="43"/>
  <c r="FV289" i="43"/>
  <c r="FQ289" i="43"/>
  <c r="FL289" i="43"/>
  <c r="FD289" i="43"/>
  <c r="P286" i="45" s="1"/>
  <c r="EU289" i="43"/>
  <c r="ET289" i="43"/>
  <c r="EM289" i="43"/>
  <c r="EG289" i="43"/>
  <c r="DU289" i="43"/>
  <c r="DT289" i="43"/>
  <c r="DS289" i="43"/>
  <c r="DP289" i="43"/>
  <c r="Q286" i="45" s="1"/>
  <c r="R286" i="45" s="1"/>
  <c r="DA289" i="43"/>
  <c r="CS289" i="43" s="1"/>
  <c r="CW289" i="43"/>
  <c r="CU289" i="43"/>
  <c r="CH289" i="43"/>
  <c r="CG289" i="43"/>
  <c r="CD289" i="43" s="1"/>
  <c r="CB289" i="43"/>
  <c r="BZ289" i="43"/>
  <c r="BM289" i="43"/>
  <c r="BE289" i="43" s="1"/>
  <c r="BI289" i="43"/>
  <c r="BG289" i="43"/>
  <c r="AT289" i="43"/>
  <c r="AL289" i="43"/>
  <c r="AG289" i="43"/>
  <c r="G286" i="45" s="1"/>
  <c r="AF289" i="43"/>
  <c r="F286" i="45" s="1"/>
  <c r="AE289" i="43"/>
  <c r="E286" i="45" s="1"/>
  <c r="AD289" i="43"/>
  <c r="AC289" i="43"/>
  <c r="O289" i="43"/>
  <c r="BQ289" i="43" s="1"/>
  <c r="M286" i="45"/>
  <c r="N286" i="45"/>
  <c r="GH288" i="43"/>
  <c r="GF288" i="43"/>
  <c r="GD288" i="43"/>
  <c r="GC288" i="43"/>
  <c r="GB288" i="43"/>
  <c r="FW288" i="43"/>
  <c r="FV288" i="43"/>
  <c r="FQ288" i="43"/>
  <c r="FL288" i="43"/>
  <c r="FD288" i="43"/>
  <c r="P285" i="45" s="1"/>
  <c r="EU288" i="43"/>
  <c r="ET288" i="43"/>
  <c r="EM288" i="43"/>
  <c r="EG288" i="43"/>
  <c r="DU288" i="43"/>
  <c r="DT288" i="43"/>
  <c r="DS288" i="43"/>
  <c r="DP288" i="43"/>
  <c r="Q285" i="45" s="1"/>
  <c r="R285" i="45" s="1"/>
  <c r="DA288" i="43"/>
  <c r="CS288" i="43" s="1"/>
  <c r="CW288" i="43"/>
  <c r="CU288" i="43"/>
  <c r="CH288" i="43"/>
  <c r="CG288" i="43"/>
  <c r="CB288" i="43"/>
  <c r="BZ288" i="43"/>
  <c r="BM288" i="43"/>
  <c r="BE288" i="43" s="1"/>
  <c r="BI288" i="43"/>
  <c r="BG288" i="43"/>
  <c r="AT288" i="43"/>
  <c r="AL288" i="43"/>
  <c r="AG288" i="43"/>
  <c r="G285" i="45" s="1"/>
  <c r="AF288" i="43"/>
  <c r="F285" i="45" s="1"/>
  <c r="AE288" i="43"/>
  <c r="E285" i="45" s="1"/>
  <c r="AD288" i="43"/>
  <c r="AC288" i="43"/>
  <c r="O288" i="43"/>
  <c r="GH287" i="43"/>
  <c r="GF287" i="43"/>
  <c r="GD287" i="43"/>
  <c r="GC287" i="43"/>
  <c r="GB287" i="43"/>
  <c r="FW287" i="43"/>
  <c r="FV287" i="43"/>
  <c r="FQ287" i="43"/>
  <c r="FL287" i="43"/>
  <c r="FD287" i="43"/>
  <c r="P284" i="45" s="1"/>
  <c r="EU287" i="43"/>
  <c r="ET287" i="43"/>
  <c r="EM287" i="43"/>
  <c r="EG287" i="43"/>
  <c r="DU287" i="43"/>
  <c r="DT287" i="43"/>
  <c r="DS287" i="43"/>
  <c r="DP287" i="43"/>
  <c r="Q284" i="45" s="1"/>
  <c r="R284" i="45" s="1"/>
  <c r="DA287" i="43"/>
  <c r="CS287" i="43" s="1"/>
  <c r="CW287" i="43"/>
  <c r="CU287" i="43"/>
  <c r="CH287" i="43"/>
  <c r="CG287" i="43"/>
  <c r="CD287" i="43" s="1"/>
  <c r="CB287" i="43"/>
  <c r="BZ287" i="43"/>
  <c r="BM287" i="43"/>
  <c r="BE287" i="43" s="1"/>
  <c r="BI287" i="43"/>
  <c r="BG287" i="43"/>
  <c r="AT287" i="43"/>
  <c r="AL287" i="43"/>
  <c r="AG287" i="43"/>
  <c r="G284" i="45" s="1"/>
  <c r="AF287" i="43"/>
  <c r="F284" i="45" s="1"/>
  <c r="AE287" i="43"/>
  <c r="E284" i="45" s="1"/>
  <c r="AD287" i="43"/>
  <c r="AC287" i="43"/>
  <c r="O287" i="43"/>
  <c r="BQ287" i="43" s="1"/>
  <c r="J287" i="43"/>
  <c r="GH286" i="43"/>
  <c r="GF286" i="43"/>
  <c r="GD286" i="43"/>
  <c r="GC286" i="43"/>
  <c r="GB286" i="43"/>
  <c r="FW286" i="43"/>
  <c r="FV286" i="43"/>
  <c r="FQ286" i="43"/>
  <c r="FL286" i="43"/>
  <c r="FD286" i="43"/>
  <c r="P283" i="45" s="1"/>
  <c r="EU286" i="43"/>
  <c r="ET286" i="43"/>
  <c r="EM286" i="43"/>
  <c r="EG286" i="43"/>
  <c r="DU286" i="43"/>
  <c r="DT286" i="43"/>
  <c r="DS286" i="43"/>
  <c r="DP286" i="43"/>
  <c r="Q283" i="45" s="1"/>
  <c r="R283" i="45" s="1"/>
  <c r="DA286" i="43"/>
  <c r="CS286" i="43" s="1"/>
  <c r="CW286" i="43"/>
  <c r="CU286" i="43"/>
  <c r="CH286" i="43"/>
  <c r="CG286" i="43"/>
  <c r="CB286" i="43"/>
  <c r="BZ286" i="43"/>
  <c r="BM286" i="43"/>
  <c r="BE286" i="43" s="1"/>
  <c r="BI286" i="43"/>
  <c r="BG286" i="43"/>
  <c r="AT286" i="43"/>
  <c r="AL286" i="43"/>
  <c r="AG286" i="43"/>
  <c r="G283" i="45" s="1"/>
  <c r="AF286" i="43"/>
  <c r="AE286" i="43"/>
  <c r="AD286" i="43"/>
  <c r="AC286" i="43"/>
  <c r="O286" i="43"/>
  <c r="I286" i="43"/>
  <c r="GH285" i="43"/>
  <c r="GF285" i="43"/>
  <c r="GD285" i="43"/>
  <c r="GC285" i="43"/>
  <c r="GB285" i="43"/>
  <c r="FW285" i="43"/>
  <c r="FV285" i="43"/>
  <c r="FQ285" i="43"/>
  <c r="FL285" i="43"/>
  <c r="FD285" i="43"/>
  <c r="EU285" i="43"/>
  <c r="ET285" i="43"/>
  <c r="EM285" i="43"/>
  <c r="EG285" i="43"/>
  <c r="DU285" i="43"/>
  <c r="DT285" i="43"/>
  <c r="DS285" i="43"/>
  <c r="DP285" i="43"/>
  <c r="DA285" i="43"/>
  <c r="CS285" i="43" s="1"/>
  <c r="CW285" i="43"/>
  <c r="CU285" i="43"/>
  <c r="CH285" i="43"/>
  <c r="CG285" i="43"/>
  <c r="CD285" i="43" s="1"/>
  <c r="CB285" i="43"/>
  <c r="BZ285" i="43"/>
  <c r="BM285" i="43"/>
  <c r="BE285" i="43" s="1"/>
  <c r="BI285" i="43"/>
  <c r="BG285" i="43"/>
  <c r="AT285" i="43"/>
  <c r="AL285" i="43"/>
  <c r="AG285" i="43"/>
  <c r="G282" i="45" s="1"/>
  <c r="AF285" i="43"/>
  <c r="F282" i="45" s="1"/>
  <c r="AE285" i="43"/>
  <c r="AD285" i="43"/>
  <c r="AC285" i="43"/>
  <c r="O285" i="43"/>
  <c r="BQ285" i="43" s="1"/>
  <c r="GH284" i="43"/>
  <c r="GF284" i="43"/>
  <c r="GD284" i="43"/>
  <c r="GC284" i="43"/>
  <c r="GB284" i="43"/>
  <c r="FW284" i="43"/>
  <c r="FV284" i="43"/>
  <c r="FQ284" i="43"/>
  <c r="FL284" i="43"/>
  <c r="FD284" i="43"/>
  <c r="EU284" i="43"/>
  <c r="ET284" i="43"/>
  <c r="EM284" i="43"/>
  <c r="EG284" i="43"/>
  <c r="DU284" i="43"/>
  <c r="DT284" i="43"/>
  <c r="DS284" i="43"/>
  <c r="DP284" i="43"/>
  <c r="Q281" i="45" s="1"/>
  <c r="DA284" i="43"/>
  <c r="CS284" i="43" s="1"/>
  <c r="CW284" i="43"/>
  <c r="CU284" i="43"/>
  <c r="CH284" i="43"/>
  <c r="CG284" i="43"/>
  <c r="CB284" i="43"/>
  <c r="BZ284" i="43"/>
  <c r="BM284" i="43"/>
  <c r="BE284" i="43" s="1"/>
  <c r="BI284" i="43"/>
  <c r="BG284" i="43"/>
  <c r="AT284" i="43"/>
  <c r="AL284" i="43"/>
  <c r="AG284" i="43"/>
  <c r="G281" i="45" s="1"/>
  <c r="AF284" i="43"/>
  <c r="F281" i="45" s="1"/>
  <c r="AE284" i="43"/>
  <c r="AD284" i="43"/>
  <c r="AC284" i="43"/>
  <c r="O284" i="43"/>
  <c r="GH283" i="43"/>
  <c r="GF283" i="43"/>
  <c r="GD283" i="43"/>
  <c r="GC283" i="43"/>
  <c r="GB283" i="43"/>
  <c r="FW283" i="43"/>
  <c r="FV283" i="43"/>
  <c r="FQ283" i="43"/>
  <c r="FL283" i="43"/>
  <c r="FD283" i="43"/>
  <c r="P280" i="45" s="1"/>
  <c r="EU283" i="43"/>
  <c r="ET283" i="43"/>
  <c r="EM283" i="43"/>
  <c r="EG283" i="43"/>
  <c r="DU283" i="43"/>
  <c r="DT283" i="43"/>
  <c r="DS283" i="43"/>
  <c r="DP283" i="43"/>
  <c r="Q280" i="45" s="1"/>
  <c r="R280" i="45" s="1"/>
  <c r="DA283" i="43"/>
  <c r="CS283" i="43" s="1"/>
  <c r="CW283" i="43"/>
  <c r="CU283" i="43"/>
  <c r="CH283" i="43"/>
  <c r="CG283" i="43"/>
  <c r="CD283" i="43" s="1"/>
  <c r="CB283" i="43"/>
  <c r="BZ283" i="43"/>
  <c r="BM283" i="43"/>
  <c r="BE283" i="43" s="1"/>
  <c r="BI283" i="43"/>
  <c r="BG283" i="43"/>
  <c r="AT283" i="43"/>
  <c r="AL283" i="43"/>
  <c r="AG283" i="43"/>
  <c r="G280" i="45" s="1"/>
  <c r="AF283" i="43"/>
  <c r="F280" i="45" s="1"/>
  <c r="AE283" i="43"/>
  <c r="E280" i="45" s="1"/>
  <c r="AD283" i="43"/>
  <c r="AC283" i="43"/>
  <c r="O283" i="43"/>
  <c r="BQ283" i="43" s="1"/>
  <c r="J283" i="43"/>
  <c r="GH282" i="43"/>
  <c r="GF282" i="43"/>
  <c r="GD282" i="43"/>
  <c r="GC282" i="43"/>
  <c r="GB282" i="43"/>
  <c r="FW282" i="43"/>
  <c r="FV282" i="43"/>
  <c r="FQ282" i="43"/>
  <c r="FL282" i="43"/>
  <c r="FD282" i="43"/>
  <c r="P279" i="45" s="1"/>
  <c r="EU282" i="43"/>
  <c r="ET282" i="43"/>
  <c r="EM282" i="43"/>
  <c r="EG282" i="43"/>
  <c r="DU282" i="43"/>
  <c r="DT282" i="43"/>
  <c r="DS282" i="43"/>
  <c r="DP282" i="43"/>
  <c r="Q279" i="45" s="1"/>
  <c r="R279" i="45" s="1"/>
  <c r="DA282" i="43"/>
  <c r="CS282" i="43" s="1"/>
  <c r="CW282" i="43"/>
  <c r="CU282" i="43"/>
  <c r="CH282" i="43"/>
  <c r="CG282" i="43"/>
  <c r="CB282" i="43"/>
  <c r="BZ282" i="43"/>
  <c r="BM282" i="43"/>
  <c r="BE282" i="43" s="1"/>
  <c r="BI282" i="43"/>
  <c r="BG282" i="43"/>
  <c r="AT282" i="43"/>
  <c r="AL282" i="43"/>
  <c r="AG282" i="43"/>
  <c r="G279" i="45" s="1"/>
  <c r="AF282" i="43"/>
  <c r="F279" i="45" s="1"/>
  <c r="AE282" i="43"/>
  <c r="AD282" i="43"/>
  <c r="AC282" i="43"/>
  <c r="O282" i="43"/>
  <c r="J282" i="43"/>
  <c r="GH281" i="43"/>
  <c r="GF281" i="43"/>
  <c r="GD281" i="43"/>
  <c r="GC281" i="43"/>
  <c r="GB281" i="43"/>
  <c r="FW281" i="43"/>
  <c r="FV281" i="43"/>
  <c r="FQ281" i="43"/>
  <c r="FL281" i="43"/>
  <c r="FD281" i="43"/>
  <c r="EU281" i="43"/>
  <c r="ET281" i="43"/>
  <c r="EM281" i="43"/>
  <c r="EG281" i="43"/>
  <c r="DU281" i="43"/>
  <c r="DT281" i="43"/>
  <c r="DS281" i="43"/>
  <c r="DP281" i="43"/>
  <c r="Q278" i="45" s="1"/>
  <c r="R278" i="45" s="1"/>
  <c r="DA281" i="43"/>
  <c r="CS281" i="43" s="1"/>
  <c r="CW281" i="43"/>
  <c r="CU281" i="43"/>
  <c r="CH281" i="43"/>
  <c r="CG281" i="43"/>
  <c r="CD281" i="43" s="1"/>
  <c r="CB281" i="43"/>
  <c r="BZ281" i="43"/>
  <c r="BM281" i="43"/>
  <c r="BE281" i="43" s="1"/>
  <c r="BI281" i="43"/>
  <c r="BG281" i="43"/>
  <c r="AT281" i="43"/>
  <c r="AL281" i="43"/>
  <c r="AG281" i="43"/>
  <c r="AF281" i="43"/>
  <c r="F278" i="45" s="1"/>
  <c r="AE281" i="43"/>
  <c r="E278" i="45" s="1"/>
  <c r="AD281" i="43"/>
  <c r="AC281" i="43"/>
  <c r="O281" i="43"/>
  <c r="BQ281" i="43" s="1"/>
  <c r="J281" i="43"/>
  <c r="GH280" i="43"/>
  <c r="GF280" i="43"/>
  <c r="GD280" i="43"/>
  <c r="GC280" i="43"/>
  <c r="GB280" i="43"/>
  <c r="FW280" i="43"/>
  <c r="FV280" i="43"/>
  <c r="FQ280" i="43"/>
  <c r="FL280" i="43"/>
  <c r="FD280" i="43"/>
  <c r="P277" i="45" s="1"/>
  <c r="EU280" i="43"/>
  <c r="ET280" i="43"/>
  <c r="EM280" i="43"/>
  <c r="EG280" i="43"/>
  <c r="DU280" i="43"/>
  <c r="DT280" i="43"/>
  <c r="DP280" i="43"/>
  <c r="Q277" i="45" s="1"/>
  <c r="R277" i="45" s="1"/>
  <c r="DA280" i="43"/>
  <c r="CS280" i="43" s="1"/>
  <c r="CW280" i="43"/>
  <c r="CU280" i="43"/>
  <c r="CH280" i="43"/>
  <c r="CG280" i="43"/>
  <c r="CB280" i="43"/>
  <c r="BZ280" i="43"/>
  <c r="BM280" i="43"/>
  <c r="BE280" i="43" s="1"/>
  <c r="BI280" i="43"/>
  <c r="BG280" i="43"/>
  <c r="AT280" i="43"/>
  <c r="AL280" i="43"/>
  <c r="AG280" i="43"/>
  <c r="G277" i="45" s="1"/>
  <c r="AF280" i="43"/>
  <c r="AE280" i="43"/>
  <c r="AD280" i="43"/>
  <c r="AC280" i="43"/>
  <c r="O280" i="43"/>
  <c r="FO280" i="43" s="1"/>
  <c r="GH279" i="43"/>
  <c r="GF279" i="43"/>
  <c r="GD279" i="43"/>
  <c r="GC279" i="43"/>
  <c r="GB279" i="43"/>
  <c r="FW279" i="43"/>
  <c r="FV279" i="43"/>
  <c r="FQ279" i="43"/>
  <c r="FL279" i="43"/>
  <c r="FD279" i="43"/>
  <c r="P276" i="45" s="1"/>
  <c r="EU279" i="43"/>
  <c r="ET279" i="43"/>
  <c r="EM279" i="43"/>
  <c r="EG279" i="43"/>
  <c r="DU279" i="43"/>
  <c r="DT279" i="43"/>
  <c r="DS279" i="43"/>
  <c r="DP279" i="43"/>
  <c r="Q276" i="45" s="1"/>
  <c r="R276" i="45" s="1"/>
  <c r="DA279" i="43"/>
  <c r="CS279" i="43" s="1"/>
  <c r="CW279" i="43"/>
  <c r="CU279" i="43"/>
  <c r="CH279" i="43"/>
  <c r="CG279" i="43"/>
  <c r="CB279" i="43"/>
  <c r="BZ279" i="43"/>
  <c r="BM279" i="43"/>
  <c r="BE279" i="43" s="1"/>
  <c r="BI279" i="43"/>
  <c r="BG279" i="43"/>
  <c r="AT279" i="43"/>
  <c r="AL279" i="43"/>
  <c r="AG279" i="43"/>
  <c r="G276" i="45" s="1"/>
  <c r="AF279" i="43"/>
  <c r="F276" i="45" s="1"/>
  <c r="AE279" i="43"/>
  <c r="AD279" i="43"/>
  <c r="AC279" i="43"/>
  <c r="O279" i="43"/>
  <c r="BQ279" i="43" s="1"/>
  <c r="GH278" i="43"/>
  <c r="GF278" i="43"/>
  <c r="GD278" i="43"/>
  <c r="GC278" i="43"/>
  <c r="GB278" i="43"/>
  <c r="FW278" i="43"/>
  <c r="FV278" i="43"/>
  <c r="FQ278" i="43"/>
  <c r="FL278" i="43"/>
  <c r="FD278" i="43"/>
  <c r="P275" i="45" s="1"/>
  <c r="EU278" i="43"/>
  <c r="ET278" i="43"/>
  <c r="EM278" i="43"/>
  <c r="EG278" i="43"/>
  <c r="DU278" i="43"/>
  <c r="DT278" i="43"/>
  <c r="DS278" i="43"/>
  <c r="DP278" i="43"/>
  <c r="Q275" i="45" s="1"/>
  <c r="R275" i="45" s="1"/>
  <c r="DA278" i="43"/>
  <c r="CS278" i="43" s="1"/>
  <c r="CW278" i="43"/>
  <c r="CU278" i="43"/>
  <c r="CH278" i="43"/>
  <c r="CG278" i="43"/>
  <c r="CB278" i="43"/>
  <c r="BZ278" i="43"/>
  <c r="BM278" i="43"/>
  <c r="BE278" i="43" s="1"/>
  <c r="BI278" i="43"/>
  <c r="BG278" i="43"/>
  <c r="AT278" i="43"/>
  <c r="AL278" i="43"/>
  <c r="AG278" i="43"/>
  <c r="G275" i="45" s="1"/>
  <c r="AF278" i="43"/>
  <c r="F275" i="45" s="1"/>
  <c r="AE278" i="43"/>
  <c r="E275" i="45" s="1"/>
  <c r="AD278" i="43"/>
  <c r="AC278" i="43"/>
  <c r="O278" i="43"/>
  <c r="FO278" i="43" s="1"/>
  <c r="GH277" i="43"/>
  <c r="GF277" i="43"/>
  <c r="GD277" i="43"/>
  <c r="GC277" i="43"/>
  <c r="GB277" i="43"/>
  <c r="FW277" i="43"/>
  <c r="FV277" i="43"/>
  <c r="FQ277" i="43"/>
  <c r="FL277" i="43"/>
  <c r="FD277" i="43"/>
  <c r="P274" i="45" s="1"/>
  <c r="EU277" i="43"/>
  <c r="ET277" i="43"/>
  <c r="EM277" i="43"/>
  <c r="EG277" i="43"/>
  <c r="DU277" i="43"/>
  <c r="DT277" i="43"/>
  <c r="DS277" i="43"/>
  <c r="DP277" i="43"/>
  <c r="Q274" i="45" s="1"/>
  <c r="R274" i="45" s="1"/>
  <c r="DA277" i="43"/>
  <c r="CS277" i="43" s="1"/>
  <c r="CW277" i="43"/>
  <c r="CU277" i="43"/>
  <c r="CH277" i="43"/>
  <c r="CG277" i="43"/>
  <c r="CB277" i="43"/>
  <c r="BZ277" i="43"/>
  <c r="BM277" i="43"/>
  <c r="BE277" i="43" s="1"/>
  <c r="BI277" i="43"/>
  <c r="BG277" i="43"/>
  <c r="AT277" i="43"/>
  <c r="AL277" i="43"/>
  <c r="AG277" i="43"/>
  <c r="AF277" i="43"/>
  <c r="F274" i="45" s="1"/>
  <c r="AE277" i="43"/>
  <c r="E274" i="45" s="1"/>
  <c r="B274" i="45" s="1"/>
  <c r="AD277" i="43"/>
  <c r="AC277" i="43"/>
  <c r="O277" i="43"/>
  <c r="BQ277" i="43" s="1"/>
  <c r="I277" i="43"/>
  <c r="GH276" i="43"/>
  <c r="GF276" i="43"/>
  <c r="GD276" i="43"/>
  <c r="GC276" i="43"/>
  <c r="GB276" i="43"/>
  <c r="FW276" i="43"/>
  <c r="FV276" i="43"/>
  <c r="FQ276" i="43"/>
  <c r="FL276" i="43"/>
  <c r="FD276" i="43"/>
  <c r="EU276" i="43"/>
  <c r="ET276" i="43"/>
  <c r="EM276" i="43"/>
  <c r="EG276" i="43"/>
  <c r="DU276" i="43"/>
  <c r="DT276" i="43"/>
  <c r="DS276" i="43"/>
  <c r="DP276" i="43"/>
  <c r="Q273" i="45" s="1"/>
  <c r="R273" i="45" s="1"/>
  <c r="DA276" i="43"/>
  <c r="CS276" i="43" s="1"/>
  <c r="CW276" i="43"/>
  <c r="CU276" i="43"/>
  <c r="CH276" i="43"/>
  <c r="CG276" i="43"/>
  <c r="CB276" i="43"/>
  <c r="BZ276" i="43"/>
  <c r="BM276" i="43"/>
  <c r="BE276" i="43" s="1"/>
  <c r="BI276" i="43"/>
  <c r="BG276" i="43"/>
  <c r="AT276" i="43"/>
  <c r="AL276" i="43"/>
  <c r="AG276" i="43"/>
  <c r="G273" i="45" s="1"/>
  <c r="AF276" i="43"/>
  <c r="AE276" i="43"/>
  <c r="AD276" i="43"/>
  <c r="AC276" i="43"/>
  <c r="O276" i="43"/>
  <c r="FO276" i="43" s="1"/>
  <c r="GH275" i="43"/>
  <c r="GF275" i="43"/>
  <c r="GD275" i="43"/>
  <c r="GC275" i="43"/>
  <c r="GB275" i="43"/>
  <c r="FW275" i="43"/>
  <c r="FV275" i="43"/>
  <c r="FQ275" i="43"/>
  <c r="FL275" i="43"/>
  <c r="FD275" i="43"/>
  <c r="P272" i="45" s="1"/>
  <c r="EU275" i="43"/>
  <c r="ET275" i="43"/>
  <c r="EM275" i="43"/>
  <c r="EG275" i="43"/>
  <c r="DU275" i="43"/>
  <c r="DT275" i="43"/>
  <c r="DS275" i="43"/>
  <c r="DP275" i="43"/>
  <c r="DA275" i="43"/>
  <c r="CS275" i="43" s="1"/>
  <c r="CW275" i="43"/>
  <c r="CU275" i="43"/>
  <c r="CH275" i="43"/>
  <c r="CG275" i="43"/>
  <c r="CB275" i="43"/>
  <c r="BZ275" i="43"/>
  <c r="BM275" i="43"/>
  <c r="BE275" i="43" s="1"/>
  <c r="BI275" i="43"/>
  <c r="BG275" i="43"/>
  <c r="AT275" i="43"/>
  <c r="AL275" i="43"/>
  <c r="AG275" i="43"/>
  <c r="G272" i="45" s="1"/>
  <c r="AF275" i="43"/>
  <c r="F272" i="45" s="1"/>
  <c r="AE275" i="43"/>
  <c r="E272" i="45" s="1"/>
  <c r="AD275" i="43"/>
  <c r="AC275" i="43"/>
  <c r="O275" i="43"/>
  <c r="J275" i="43"/>
  <c r="GH274" i="43"/>
  <c r="GF274" i="43"/>
  <c r="GD274" i="43"/>
  <c r="GC274" i="43"/>
  <c r="GB274" i="43"/>
  <c r="FW274" i="43"/>
  <c r="FV274" i="43"/>
  <c r="FQ274" i="43"/>
  <c r="FL274" i="43"/>
  <c r="FD274" i="43"/>
  <c r="EU274" i="43"/>
  <c r="ET274" i="43"/>
  <c r="EM274" i="43"/>
  <c r="EG274" i="43"/>
  <c r="DU274" i="43"/>
  <c r="DT274" i="43"/>
  <c r="DS274" i="43"/>
  <c r="DP274" i="43"/>
  <c r="Q271" i="45" s="1"/>
  <c r="R271" i="45" s="1"/>
  <c r="DA274" i="43"/>
  <c r="CS274" i="43" s="1"/>
  <c r="CW274" i="43"/>
  <c r="CU274" i="43"/>
  <c r="CH274" i="43"/>
  <c r="CG274" i="43"/>
  <c r="CD274" i="43" s="1"/>
  <c r="CB274" i="43"/>
  <c r="BZ274" i="43"/>
  <c r="BM274" i="43"/>
  <c r="BE274" i="43" s="1"/>
  <c r="BI274" i="43"/>
  <c r="BG274" i="43"/>
  <c r="AT274" i="43"/>
  <c r="AL274" i="43"/>
  <c r="AG274" i="43"/>
  <c r="G271" i="45" s="1"/>
  <c r="AF274" i="43"/>
  <c r="F271" i="45" s="1"/>
  <c r="AE274" i="43"/>
  <c r="AD274" i="43"/>
  <c r="AC274" i="43"/>
  <c r="O274" i="43"/>
  <c r="CL274" i="43" s="1"/>
  <c r="I274" i="43"/>
  <c r="GH273" i="43"/>
  <c r="GF273" i="43"/>
  <c r="GD273" i="43"/>
  <c r="GC273" i="43"/>
  <c r="GB273" i="43"/>
  <c r="FW273" i="43"/>
  <c r="FV273" i="43"/>
  <c r="FQ273" i="43"/>
  <c r="FL273" i="43"/>
  <c r="FD273" i="43"/>
  <c r="P270" i="45" s="1"/>
  <c r="EU273" i="43"/>
  <c r="ET273" i="43"/>
  <c r="EM273" i="43"/>
  <c r="EG273" i="43"/>
  <c r="DU273" i="43"/>
  <c r="DT273" i="43"/>
  <c r="DS273" i="43"/>
  <c r="DP273" i="43"/>
  <c r="Q270" i="45" s="1"/>
  <c r="R270" i="45" s="1"/>
  <c r="DA273" i="43"/>
  <c r="CS273" i="43" s="1"/>
  <c r="CW273" i="43"/>
  <c r="CU273" i="43"/>
  <c r="CH273" i="43"/>
  <c r="CG273" i="43"/>
  <c r="CD273" i="43" s="1"/>
  <c r="CB273" i="43"/>
  <c r="BZ273" i="43"/>
  <c r="BM273" i="43"/>
  <c r="BE273" i="43" s="1"/>
  <c r="BI273" i="43"/>
  <c r="BG273" i="43"/>
  <c r="AT273" i="43"/>
  <c r="AL273" i="43"/>
  <c r="AG273" i="43"/>
  <c r="G270" i="45" s="1"/>
  <c r="AF273" i="43"/>
  <c r="F270" i="45" s="1"/>
  <c r="AE273" i="43"/>
  <c r="E270" i="45" s="1"/>
  <c r="AD273" i="43"/>
  <c r="AC273" i="43"/>
  <c r="O273" i="43"/>
  <c r="DE273" i="43" s="1"/>
  <c r="J273" i="43"/>
  <c r="GH272" i="43"/>
  <c r="GF272" i="43"/>
  <c r="GD272" i="43"/>
  <c r="GC272" i="43"/>
  <c r="GB272" i="43"/>
  <c r="FW272" i="43"/>
  <c r="FV272" i="43"/>
  <c r="FQ272" i="43"/>
  <c r="FL272" i="43"/>
  <c r="FD272" i="43"/>
  <c r="P269" i="45" s="1"/>
  <c r="EU272" i="43"/>
  <c r="ET272" i="43"/>
  <c r="EM272" i="43"/>
  <c r="EG272" i="43"/>
  <c r="DU272" i="43"/>
  <c r="DT272" i="43"/>
  <c r="DS272" i="43"/>
  <c r="DP272" i="43"/>
  <c r="DA272" i="43"/>
  <c r="CS272" i="43" s="1"/>
  <c r="CW272" i="43"/>
  <c r="CU272" i="43"/>
  <c r="CH272" i="43"/>
  <c r="CG272" i="43"/>
  <c r="CD272" i="43" s="1"/>
  <c r="CB272" i="43"/>
  <c r="BZ272" i="43"/>
  <c r="BM272" i="43"/>
  <c r="BE272" i="43" s="1"/>
  <c r="BI272" i="43"/>
  <c r="BG272" i="43"/>
  <c r="AT272" i="43"/>
  <c r="AL272" i="43"/>
  <c r="AG272" i="43"/>
  <c r="G269" i="45" s="1"/>
  <c r="AF272" i="43"/>
  <c r="F269" i="45" s="1"/>
  <c r="AE272" i="43"/>
  <c r="AD272" i="43"/>
  <c r="AC272" i="43"/>
  <c r="O272" i="43"/>
  <c r="FO272" i="43" s="1"/>
  <c r="I272" i="43"/>
  <c r="J272" i="43"/>
  <c r="GH271" i="43"/>
  <c r="GF271" i="43"/>
  <c r="GD271" i="43"/>
  <c r="GC271" i="43"/>
  <c r="GB271" i="43"/>
  <c r="FW271" i="43"/>
  <c r="FV271" i="43"/>
  <c r="FQ271" i="43"/>
  <c r="FL271" i="43"/>
  <c r="FD271" i="43"/>
  <c r="EU271" i="43"/>
  <c r="ET271" i="43"/>
  <c r="EM271" i="43"/>
  <c r="EG271" i="43"/>
  <c r="DU271" i="43"/>
  <c r="DT271" i="43"/>
  <c r="DS271" i="43"/>
  <c r="DP271" i="43"/>
  <c r="Q268" i="45" s="1"/>
  <c r="R268" i="45" s="1"/>
  <c r="DA271" i="43"/>
  <c r="CS271" i="43" s="1"/>
  <c r="CW271" i="43"/>
  <c r="CU271" i="43"/>
  <c r="CH271" i="43"/>
  <c r="CG271" i="43"/>
  <c r="CD271" i="43" s="1"/>
  <c r="CB271" i="43"/>
  <c r="BZ271" i="43"/>
  <c r="BM271" i="43"/>
  <c r="BE271" i="43" s="1"/>
  <c r="BI271" i="43"/>
  <c r="BG271" i="43"/>
  <c r="AT271" i="43"/>
  <c r="AL271" i="43"/>
  <c r="AG271" i="43"/>
  <c r="AF271" i="43"/>
  <c r="F268" i="45" s="1"/>
  <c r="AE271" i="43"/>
  <c r="E268" i="45" s="1"/>
  <c r="AD271" i="43"/>
  <c r="AC271" i="43"/>
  <c r="O271" i="43"/>
  <c r="BQ271" i="43" s="1"/>
  <c r="GH270" i="43"/>
  <c r="GF270" i="43"/>
  <c r="GD270" i="43"/>
  <c r="GC270" i="43"/>
  <c r="GB270" i="43"/>
  <c r="FW270" i="43"/>
  <c r="FV270" i="43"/>
  <c r="FQ270" i="43"/>
  <c r="FL270" i="43"/>
  <c r="FD270" i="43"/>
  <c r="EU270" i="43"/>
  <c r="ET270" i="43"/>
  <c r="EM270" i="43"/>
  <c r="EG270" i="43"/>
  <c r="DU270" i="43"/>
  <c r="DT270" i="43"/>
  <c r="DS270" i="43"/>
  <c r="DP270" i="43"/>
  <c r="Q267" i="45" s="1"/>
  <c r="R267" i="45" s="1"/>
  <c r="DA270" i="43"/>
  <c r="CS270" i="43" s="1"/>
  <c r="CW270" i="43"/>
  <c r="CU270" i="43"/>
  <c r="CH270" i="43"/>
  <c r="CG270" i="43"/>
  <c r="CD270" i="43" s="1"/>
  <c r="CB270" i="43"/>
  <c r="BZ270" i="43"/>
  <c r="BM270" i="43"/>
  <c r="BE270" i="43" s="1"/>
  <c r="BI270" i="43"/>
  <c r="BG270" i="43"/>
  <c r="AT270" i="43"/>
  <c r="AL270" i="43"/>
  <c r="AG270" i="43"/>
  <c r="G267" i="45" s="1"/>
  <c r="AF270" i="43"/>
  <c r="F267" i="45" s="1"/>
  <c r="AE270" i="43"/>
  <c r="E267" i="45" s="1"/>
  <c r="AD270" i="43"/>
  <c r="AC270" i="43"/>
  <c r="O270" i="43"/>
  <c r="FO270" i="43" s="1"/>
  <c r="GH269" i="43"/>
  <c r="GF269" i="43"/>
  <c r="GD269" i="43"/>
  <c r="GC269" i="43"/>
  <c r="GB269" i="43"/>
  <c r="FW269" i="43"/>
  <c r="FV269" i="43"/>
  <c r="FQ269" i="43"/>
  <c r="FL269" i="43"/>
  <c r="FD269" i="43"/>
  <c r="P266" i="45" s="1"/>
  <c r="EU269" i="43"/>
  <c r="ET269" i="43"/>
  <c r="EM269" i="43"/>
  <c r="EG269" i="43"/>
  <c r="DU269" i="43"/>
  <c r="DT269" i="43"/>
  <c r="DS269" i="43"/>
  <c r="DP269" i="43"/>
  <c r="Q266" i="45" s="1"/>
  <c r="R266" i="45" s="1"/>
  <c r="DA269" i="43"/>
  <c r="CS269" i="43" s="1"/>
  <c r="CW269" i="43"/>
  <c r="CU269" i="43"/>
  <c r="CH269" i="43"/>
  <c r="CG269" i="43"/>
  <c r="CD269" i="43" s="1"/>
  <c r="CB269" i="43"/>
  <c r="BZ269" i="43"/>
  <c r="BM269" i="43"/>
  <c r="BE269" i="43" s="1"/>
  <c r="BI269" i="43"/>
  <c r="BG269" i="43"/>
  <c r="AT269" i="43"/>
  <c r="AL269" i="43"/>
  <c r="AG269" i="43"/>
  <c r="AF269" i="43"/>
  <c r="F266" i="45" s="1"/>
  <c r="AE269" i="43"/>
  <c r="E266" i="45" s="1"/>
  <c r="AD269" i="43"/>
  <c r="AC269" i="43"/>
  <c r="O269" i="43"/>
  <c r="BQ269" i="43" s="1"/>
  <c r="GH268" i="43"/>
  <c r="GF268" i="43"/>
  <c r="GD268" i="43"/>
  <c r="GC268" i="43"/>
  <c r="GB268" i="43"/>
  <c r="FW268" i="43"/>
  <c r="FV268" i="43"/>
  <c r="FQ268" i="43"/>
  <c r="FL268" i="43"/>
  <c r="FD268" i="43"/>
  <c r="EU268" i="43"/>
  <c r="ET268" i="43"/>
  <c r="EM268" i="43"/>
  <c r="EG268" i="43"/>
  <c r="DU268" i="43"/>
  <c r="DT268" i="43"/>
  <c r="DS268" i="43"/>
  <c r="DP268" i="43"/>
  <c r="Q265" i="45" s="1"/>
  <c r="R265" i="45" s="1"/>
  <c r="DA268" i="43"/>
  <c r="CS268" i="43" s="1"/>
  <c r="CW268" i="43"/>
  <c r="CU268" i="43"/>
  <c r="CH268" i="43"/>
  <c r="CG268" i="43"/>
  <c r="CD268" i="43" s="1"/>
  <c r="CB268" i="43"/>
  <c r="BZ268" i="43"/>
  <c r="BM268" i="43"/>
  <c r="BE268" i="43" s="1"/>
  <c r="BI268" i="43"/>
  <c r="BG268" i="43"/>
  <c r="AT268" i="43"/>
  <c r="AL268" i="43"/>
  <c r="AG268" i="43"/>
  <c r="G265" i="45" s="1"/>
  <c r="AF268" i="43"/>
  <c r="AE268" i="43"/>
  <c r="E265" i="45" s="1"/>
  <c r="AD268" i="43"/>
  <c r="AC268" i="43"/>
  <c r="O268" i="43"/>
  <c r="FO268" i="43" s="1"/>
  <c r="GH267" i="43"/>
  <c r="GF267" i="43"/>
  <c r="GD267" i="43"/>
  <c r="GC267" i="43"/>
  <c r="GB267" i="43"/>
  <c r="FW267" i="43"/>
  <c r="FV267" i="43"/>
  <c r="FQ267" i="43"/>
  <c r="FL267" i="43"/>
  <c r="FD267" i="43"/>
  <c r="P264" i="45" s="1"/>
  <c r="EU267" i="43"/>
  <c r="ET267" i="43"/>
  <c r="EM267" i="43"/>
  <c r="EG267" i="43"/>
  <c r="DU267" i="43"/>
  <c r="DT267" i="43"/>
  <c r="DS267" i="43"/>
  <c r="DP267" i="43"/>
  <c r="Q264" i="45" s="1"/>
  <c r="R264" i="45" s="1"/>
  <c r="DA267" i="43"/>
  <c r="CS267" i="43" s="1"/>
  <c r="CW267" i="43"/>
  <c r="CU267" i="43"/>
  <c r="CH267" i="43"/>
  <c r="CG267" i="43"/>
  <c r="CD267" i="43" s="1"/>
  <c r="CB267" i="43"/>
  <c r="BZ267" i="43"/>
  <c r="BM267" i="43"/>
  <c r="BE267" i="43" s="1"/>
  <c r="BI267" i="43"/>
  <c r="BG267" i="43"/>
  <c r="AT267" i="43"/>
  <c r="AL267" i="43"/>
  <c r="AG267" i="43"/>
  <c r="AF267" i="43"/>
  <c r="F264" i="45" s="1"/>
  <c r="AE267" i="43"/>
  <c r="E264" i="45" s="1"/>
  <c r="AD267" i="43"/>
  <c r="AC267" i="43"/>
  <c r="O267" i="43"/>
  <c r="BQ267" i="43" s="1"/>
  <c r="GH266" i="43"/>
  <c r="GF266" i="43"/>
  <c r="GD266" i="43"/>
  <c r="GC266" i="43"/>
  <c r="GB266" i="43"/>
  <c r="FW266" i="43"/>
  <c r="FV266" i="43"/>
  <c r="FQ266" i="43"/>
  <c r="FL266" i="43"/>
  <c r="FD266" i="43"/>
  <c r="EU266" i="43"/>
  <c r="ET266" i="43"/>
  <c r="EM266" i="43"/>
  <c r="EG266" i="43"/>
  <c r="DU266" i="43"/>
  <c r="DT266" i="43"/>
  <c r="DS266" i="43"/>
  <c r="DP266" i="43"/>
  <c r="Q263" i="45" s="1"/>
  <c r="R263" i="45" s="1"/>
  <c r="DA266" i="43"/>
  <c r="CS266" i="43" s="1"/>
  <c r="CW266" i="43"/>
  <c r="CU266" i="43"/>
  <c r="CH266" i="43"/>
  <c r="CG266" i="43"/>
  <c r="CD266" i="43" s="1"/>
  <c r="CB266" i="43"/>
  <c r="BZ266" i="43"/>
  <c r="BM266" i="43"/>
  <c r="BE266" i="43" s="1"/>
  <c r="BI266" i="43"/>
  <c r="BG266" i="43"/>
  <c r="AT266" i="43"/>
  <c r="AL266" i="43"/>
  <c r="AG266" i="43"/>
  <c r="AF266" i="43"/>
  <c r="F263" i="45" s="1"/>
  <c r="AE266" i="43"/>
  <c r="E263" i="45" s="1"/>
  <c r="AD266" i="43"/>
  <c r="AC266" i="43"/>
  <c r="O266" i="43"/>
  <c r="BQ266" i="43" s="1"/>
  <c r="GH265" i="43"/>
  <c r="GF265" i="43"/>
  <c r="GD265" i="43"/>
  <c r="GC265" i="43"/>
  <c r="GB265" i="43"/>
  <c r="FW265" i="43"/>
  <c r="FV265" i="43"/>
  <c r="FQ265" i="43"/>
  <c r="FL265" i="43"/>
  <c r="FD265" i="43"/>
  <c r="EU265" i="43"/>
  <c r="ET265" i="43"/>
  <c r="EM265" i="43"/>
  <c r="EG265" i="43"/>
  <c r="DU265" i="43"/>
  <c r="DT265" i="43"/>
  <c r="DS265" i="43"/>
  <c r="DP265" i="43"/>
  <c r="Q262" i="45" s="1"/>
  <c r="R262" i="45" s="1"/>
  <c r="DA265" i="43"/>
  <c r="CS265" i="43" s="1"/>
  <c r="CW265" i="43"/>
  <c r="CU265" i="43"/>
  <c r="CH265" i="43"/>
  <c r="CG265" i="43"/>
  <c r="CD265" i="43" s="1"/>
  <c r="CB265" i="43"/>
  <c r="BZ265" i="43"/>
  <c r="BM265" i="43"/>
  <c r="BE265" i="43" s="1"/>
  <c r="BI265" i="43"/>
  <c r="BG265" i="43"/>
  <c r="AT265" i="43"/>
  <c r="AL265" i="43"/>
  <c r="AG265" i="43"/>
  <c r="G262" i="45" s="1"/>
  <c r="AF265" i="43"/>
  <c r="F262" i="45" s="1"/>
  <c r="AE265" i="43"/>
  <c r="E262" i="45" s="1"/>
  <c r="AD265" i="43"/>
  <c r="AC265" i="43"/>
  <c r="O265" i="43"/>
  <c r="BQ265" i="43" s="1"/>
  <c r="GH264" i="43"/>
  <c r="GF264" i="43"/>
  <c r="GD264" i="43"/>
  <c r="GC264" i="43"/>
  <c r="GB264" i="43"/>
  <c r="FW264" i="43"/>
  <c r="FV264" i="43"/>
  <c r="FQ264" i="43"/>
  <c r="FL264" i="43"/>
  <c r="FD264" i="43"/>
  <c r="P261" i="45" s="1"/>
  <c r="EU264" i="43"/>
  <c r="ET264" i="43"/>
  <c r="EM264" i="43"/>
  <c r="EG264" i="43"/>
  <c r="DU264" i="43"/>
  <c r="DT264" i="43"/>
  <c r="DS264" i="43"/>
  <c r="DP264" i="43"/>
  <c r="Q261" i="45" s="1"/>
  <c r="R261" i="45" s="1"/>
  <c r="DA264" i="43"/>
  <c r="CS264" i="43" s="1"/>
  <c r="CW264" i="43"/>
  <c r="CU264" i="43"/>
  <c r="CH264" i="43"/>
  <c r="CG264" i="43"/>
  <c r="CD264" i="43" s="1"/>
  <c r="CB264" i="43"/>
  <c r="BZ264" i="43"/>
  <c r="BM264" i="43"/>
  <c r="BE264" i="43" s="1"/>
  <c r="BI264" i="43"/>
  <c r="BG264" i="43"/>
  <c r="AT264" i="43"/>
  <c r="AL264" i="43"/>
  <c r="AG264" i="43"/>
  <c r="G261" i="45" s="1"/>
  <c r="AF264" i="43"/>
  <c r="F261" i="45" s="1"/>
  <c r="AE264" i="43"/>
  <c r="E261" i="45" s="1"/>
  <c r="AD264" i="43"/>
  <c r="AC264" i="43"/>
  <c r="O264" i="43"/>
  <c r="BQ264" i="43" s="1"/>
  <c r="GH263" i="43"/>
  <c r="GF263" i="43"/>
  <c r="GD263" i="43"/>
  <c r="GC263" i="43"/>
  <c r="GB263" i="43"/>
  <c r="FW263" i="43"/>
  <c r="FV263" i="43"/>
  <c r="FQ263" i="43"/>
  <c r="FL263" i="43"/>
  <c r="FD263" i="43"/>
  <c r="EU263" i="43"/>
  <c r="ET263" i="43"/>
  <c r="EM263" i="43"/>
  <c r="EG263" i="43"/>
  <c r="DU263" i="43"/>
  <c r="DT263" i="43"/>
  <c r="DS263" i="43"/>
  <c r="DP263" i="43"/>
  <c r="Q260" i="45" s="1"/>
  <c r="R260" i="45" s="1"/>
  <c r="DA263" i="43"/>
  <c r="CS263" i="43" s="1"/>
  <c r="CW263" i="43"/>
  <c r="CU263" i="43"/>
  <c r="CH263" i="43"/>
  <c r="CG263" i="43"/>
  <c r="CD263" i="43" s="1"/>
  <c r="CB263" i="43"/>
  <c r="BZ263" i="43"/>
  <c r="BM263" i="43"/>
  <c r="BE263" i="43" s="1"/>
  <c r="BI263" i="43"/>
  <c r="BG263" i="43"/>
  <c r="AT263" i="43"/>
  <c r="AL263" i="43"/>
  <c r="AG263" i="43"/>
  <c r="AF263" i="43"/>
  <c r="F260" i="45" s="1"/>
  <c r="AE263" i="43"/>
  <c r="E260" i="45" s="1"/>
  <c r="AD263" i="43"/>
  <c r="AC263" i="43"/>
  <c r="O263" i="43"/>
  <c r="BQ263" i="43" s="1"/>
  <c r="GH262" i="43"/>
  <c r="GF262" i="43"/>
  <c r="GD262" i="43"/>
  <c r="GC262" i="43"/>
  <c r="GB262" i="43"/>
  <c r="FW262" i="43"/>
  <c r="FV262" i="43"/>
  <c r="FQ262" i="43"/>
  <c r="FL262" i="43"/>
  <c r="FD262" i="43"/>
  <c r="P259" i="45" s="1"/>
  <c r="EU262" i="43"/>
  <c r="ET262" i="43"/>
  <c r="EM262" i="43"/>
  <c r="EG262" i="43"/>
  <c r="DU262" i="43"/>
  <c r="DT262" i="43"/>
  <c r="DS262" i="43"/>
  <c r="DP262" i="43"/>
  <c r="Q259" i="45" s="1"/>
  <c r="R259" i="45" s="1"/>
  <c r="DA262" i="43"/>
  <c r="CS262" i="43" s="1"/>
  <c r="CW262" i="43"/>
  <c r="CU262" i="43"/>
  <c r="CH262" i="43"/>
  <c r="CG262" i="43"/>
  <c r="CD262" i="43" s="1"/>
  <c r="CB262" i="43"/>
  <c r="BZ262" i="43"/>
  <c r="BM262" i="43"/>
  <c r="BE262" i="43" s="1"/>
  <c r="BI262" i="43"/>
  <c r="BG262" i="43"/>
  <c r="AT262" i="43"/>
  <c r="AL262" i="43"/>
  <c r="AG262" i="43"/>
  <c r="G259" i="45" s="1"/>
  <c r="AF262" i="43"/>
  <c r="F259" i="45" s="1"/>
  <c r="AE262" i="43"/>
  <c r="AD262" i="43"/>
  <c r="AC262" i="43"/>
  <c r="O262" i="43"/>
  <c r="CL262" i="43" s="1"/>
  <c r="GH261" i="43"/>
  <c r="GF261" i="43"/>
  <c r="GD261" i="43"/>
  <c r="GC261" i="43"/>
  <c r="GB261" i="43"/>
  <c r="FW261" i="43"/>
  <c r="FV261" i="43"/>
  <c r="FQ261" i="43"/>
  <c r="FL261" i="43"/>
  <c r="FD261" i="43"/>
  <c r="EU261" i="43"/>
  <c r="ET261" i="43"/>
  <c r="EM261" i="43"/>
  <c r="EG261" i="43"/>
  <c r="DU261" i="43"/>
  <c r="DT261" i="43"/>
  <c r="DS261" i="43"/>
  <c r="DP261" i="43"/>
  <c r="Q258" i="45" s="1"/>
  <c r="R258" i="45" s="1"/>
  <c r="DA261" i="43"/>
  <c r="CS261" i="43" s="1"/>
  <c r="CW261" i="43"/>
  <c r="CU261" i="43"/>
  <c r="CH261" i="43"/>
  <c r="CG261" i="43"/>
  <c r="CD261" i="43" s="1"/>
  <c r="CB261" i="43"/>
  <c r="BZ261" i="43"/>
  <c r="BM261" i="43"/>
  <c r="BE261" i="43" s="1"/>
  <c r="BI261" i="43"/>
  <c r="BG261" i="43"/>
  <c r="AT261" i="43"/>
  <c r="AL261" i="43"/>
  <c r="AG261" i="43"/>
  <c r="G258" i="45" s="1"/>
  <c r="AF261" i="43"/>
  <c r="F258" i="45" s="1"/>
  <c r="AE261" i="43"/>
  <c r="E258" i="45" s="1"/>
  <c r="AD261" i="43"/>
  <c r="AC261" i="43"/>
  <c r="O261" i="43"/>
  <c r="BQ261" i="43" s="1"/>
  <c r="GH260" i="43"/>
  <c r="GF260" i="43"/>
  <c r="GD260" i="43"/>
  <c r="GC260" i="43"/>
  <c r="GB260" i="43"/>
  <c r="FW260" i="43"/>
  <c r="FV260" i="43"/>
  <c r="FQ260" i="43"/>
  <c r="FL260" i="43"/>
  <c r="FD260" i="43"/>
  <c r="P257" i="45" s="1"/>
  <c r="EU260" i="43"/>
  <c r="ET260" i="43"/>
  <c r="EM260" i="43"/>
  <c r="EG260" i="43"/>
  <c r="DU260" i="43"/>
  <c r="DT260" i="43"/>
  <c r="DS260" i="43"/>
  <c r="DP260" i="43"/>
  <c r="Q257" i="45" s="1"/>
  <c r="R257" i="45" s="1"/>
  <c r="DA260" i="43"/>
  <c r="CS260" i="43" s="1"/>
  <c r="CW260" i="43"/>
  <c r="CU260" i="43"/>
  <c r="CH260" i="43"/>
  <c r="CG260" i="43"/>
  <c r="CD260" i="43" s="1"/>
  <c r="CB260" i="43"/>
  <c r="BZ260" i="43"/>
  <c r="BM260" i="43"/>
  <c r="BE260" i="43" s="1"/>
  <c r="BI260" i="43"/>
  <c r="BG260" i="43"/>
  <c r="AT260" i="43"/>
  <c r="AL260" i="43"/>
  <c r="AG260" i="43"/>
  <c r="G257" i="45" s="1"/>
  <c r="AF260" i="43"/>
  <c r="F257" i="45" s="1"/>
  <c r="AE260" i="43"/>
  <c r="E257" i="45" s="1"/>
  <c r="AD260" i="43"/>
  <c r="AC260" i="43"/>
  <c r="O260" i="43"/>
  <c r="FO260" i="43" s="1"/>
  <c r="GH259" i="43"/>
  <c r="GF259" i="43"/>
  <c r="GD259" i="43"/>
  <c r="GC259" i="43"/>
  <c r="GB259" i="43"/>
  <c r="FW259" i="43"/>
  <c r="FV259" i="43"/>
  <c r="FQ259" i="43"/>
  <c r="FL259" i="43"/>
  <c r="FD259" i="43"/>
  <c r="EU259" i="43"/>
  <c r="ET259" i="43"/>
  <c r="EM259" i="43"/>
  <c r="EG259" i="43"/>
  <c r="DU259" i="43"/>
  <c r="DT259" i="43"/>
  <c r="DS259" i="43"/>
  <c r="DP259" i="43"/>
  <c r="Q256" i="45" s="1"/>
  <c r="R256" i="45" s="1"/>
  <c r="DA259" i="43"/>
  <c r="CS259" i="43" s="1"/>
  <c r="CW259" i="43"/>
  <c r="CU259" i="43"/>
  <c r="CH259" i="43"/>
  <c r="CG259" i="43"/>
  <c r="CD259" i="43" s="1"/>
  <c r="CB259" i="43"/>
  <c r="BZ259" i="43"/>
  <c r="BM259" i="43"/>
  <c r="BE259" i="43" s="1"/>
  <c r="BI259" i="43"/>
  <c r="BG259" i="43"/>
  <c r="AT259" i="43"/>
  <c r="AL259" i="43"/>
  <c r="AG259" i="43"/>
  <c r="AF259" i="43"/>
  <c r="F256" i="45" s="1"/>
  <c r="AE259" i="43"/>
  <c r="E256" i="45" s="1"/>
  <c r="AD259" i="43"/>
  <c r="AC259" i="43"/>
  <c r="O259" i="43"/>
  <c r="FO259" i="43" s="1"/>
  <c r="GH258" i="43"/>
  <c r="GF258" i="43"/>
  <c r="GD258" i="43"/>
  <c r="GC258" i="43"/>
  <c r="GB258" i="43"/>
  <c r="FW258" i="43"/>
  <c r="FV258" i="43"/>
  <c r="FQ258" i="43"/>
  <c r="FL258" i="43"/>
  <c r="FD258" i="43"/>
  <c r="EU258" i="43"/>
  <c r="ET258" i="43"/>
  <c r="EM258" i="43"/>
  <c r="EG258" i="43"/>
  <c r="DU258" i="43"/>
  <c r="DT258" i="43"/>
  <c r="DS258" i="43"/>
  <c r="DP258" i="43"/>
  <c r="Q255" i="45" s="1"/>
  <c r="R255" i="45" s="1"/>
  <c r="DA258" i="43"/>
  <c r="CS258" i="43" s="1"/>
  <c r="CW258" i="43"/>
  <c r="CU258" i="43"/>
  <c r="CH258" i="43"/>
  <c r="CG258" i="43"/>
  <c r="CD258" i="43" s="1"/>
  <c r="CB258" i="43"/>
  <c r="BZ258" i="43"/>
  <c r="BM258" i="43"/>
  <c r="BE258" i="43" s="1"/>
  <c r="BI258" i="43"/>
  <c r="BG258" i="43"/>
  <c r="AT258" i="43"/>
  <c r="AL258" i="43"/>
  <c r="AG258" i="43"/>
  <c r="G255" i="45" s="1"/>
  <c r="AF258" i="43"/>
  <c r="F255" i="45" s="1"/>
  <c r="AE258" i="43"/>
  <c r="E255" i="45" s="1"/>
  <c r="AD258" i="43"/>
  <c r="AC258" i="43"/>
  <c r="O258" i="43"/>
  <c r="FO258" i="43" s="1"/>
  <c r="GH257" i="43"/>
  <c r="GF257" i="43"/>
  <c r="GD257" i="43"/>
  <c r="GC257" i="43"/>
  <c r="GB257" i="43"/>
  <c r="FW257" i="43"/>
  <c r="FV257" i="43"/>
  <c r="FQ257" i="43"/>
  <c r="FL257" i="43"/>
  <c r="FD257" i="43"/>
  <c r="EU257" i="43"/>
  <c r="ET257" i="43"/>
  <c r="EM257" i="43"/>
  <c r="EG257" i="43"/>
  <c r="DU257" i="43"/>
  <c r="DT257" i="43"/>
  <c r="DS257" i="43"/>
  <c r="DP257" i="43"/>
  <c r="DA257" i="43"/>
  <c r="CS257" i="43" s="1"/>
  <c r="CW257" i="43"/>
  <c r="CU257" i="43"/>
  <c r="CH257" i="43"/>
  <c r="CG257" i="43"/>
  <c r="CD257" i="43" s="1"/>
  <c r="CB257" i="43"/>
  <c r="BZ257" i="43"/>
  <c r="BM257" i="43"/>
  <c r="BE257" i="43" s="1"/>
  <c r="BI257" i="43"/>
  <c r="BG257" i="43"/>
  <c r="AT257" i="43"/>
  <c r="AL257" i="43"/>
  <c r="AG257" i="43"/>
  <c r="G254" i="45" s="1"/>
  <c r="AF257" i="43"/>
  <c r="F254" i="45" s="1"/>
  <c r="AE257" i="43"/>
  <c r="E254" i="45" s="1"/>
  <c r="AD257" i="43"/>
  <c r="AC257" i="43"/>
  <c r="O257" i="43"/>
  <c r="FO257" i="43" s="1"/>
  <c r="GH256" i="43"/>
  <c r="GF256" i="43"/>
  <c r="GD256" i="43"/>
  <c r="GC256" i="43"/>
  <c r="GB256" i="43"/>
  <c r="FW256" i="43"/>
  <c r="FV256" i="43"/>
  <c r="FQ256" i="43"/>
  <c r="FL256" i="43"/>
  <c r="FD256" i="43"/>
  <c r="P253" i="45" s="1"/>
  <c r="EU256" i="43"/>
  <c r="ET256" i="43"/>
  <c r="EM256" i="43"/>
  <c r="EG256" i="43"/>
  <c r="DU256" i="43"/>
  <c r="DT256" i="43"/>
  <c r="DP256" i="43"/>
  <c r="Q253" i="45" s="1"/>
  <c r="R253" i="45" s="1"/>
  <c r="DA256" i="43"/>
  <c r="CS256" i="43" s="1"/>
  <c r="CW256" i="43"/>
  <c r="CU256" i="43"/>
  <c r="CH256" i="43"/>
  <c r="CG256" i="43"/>
  <c r="CD256" i="43" s="1"/>
  <c r="CB256" i="43"/>
  <c r="BZ256" i="43"/>
  <c r="BM256" i="43"/>
  <c r="BE256" i="43" s="1"/>
  <c r="BI256" i="43"/>
  <c r="BG256" i="43"/>
  <c r="AT256" i="43"/>
  <c r="AL256" i="43"/>
  <c r="AG256" i="43"/>
  <c r="G253" i="45" s="1"/>
  <c r="AF256" i="43"/>
  <c r="F253" i="45" s="1"/>
  <c r="AE256" i="43"/>
  <c r="E253" i="45" s="1"/>
  <c r="AD256" i="43"/>
  <c r="AC256" i="43"/>
  <c r="O256" i="43"/>
  <c r="FO256" i="43" s="1"/>
  <c r="GH255" i="43"/>
  <c r="GF255" i="43"/>
  <c r="GD255" i="43"/>
  <c r="GC255" i="43"/>
  <c r="GB255" i="43"/>
  <c r="FW255" i="43"/>
  <c r="FV255" i="43"/>
  <c r="FQ255" i="43"/>
  <c r="FL255" i="43"/>
  <c r="FD255" i="43"/>
  <c r="P252" i="45" s="1"/>
  <c r="EU255" i="43"/>
  <c r="ET255" i="43"/>
  <c r="EM255" i="43"/>
  <c r="EF255" i="43"/>
  <c r="EG255" i="43" s="1"/>
  <c r="DV255" i="43"/>
  <c r="DU255" i="43"/>
  <c r="DT255" i="43"/>
  <c r="DS255" i="43"/>
  <c r="DP255" i="43"/>
  <c r="Q252" i="45" s="1"/>
  <c r="R252" i="45" s="1"/>
  <c r="DA255" i="43"/>
  <c r="CS255" i="43" s="1"/>
  <c r="CW255" i="43"/>
  <c r="CU255" i="43"/>
  <c r="CH255" i="43"/>
  <c r="CG255" i="43"/>
  <c r="CD255" i="43" s="1"/>
  <c r="CB255" i="43"/>
  <c r="BZ255" i="43"/>
  <c r="BM255" i="43"/>
  <c r="BE255" i="43" s="1"/>
  <c r="BI255" i="43"/>
  <c r="BG255" i="43"/>
  <c r="AT255" i="43"/>
  <c r="AL255" i="43"/>
  <c r="AG255" i="43"/>
  <c r="G252" i="45" s="1"/>
  <c r="AF255" i="43"/>
  <c r="F252" i="45" s="1"/>
  <c r="AE255" i="43"/>
  <c r="E252" i="45" s="1"/>
  <c r="AD255" i="43"/>
  <c r="AC255" i="43"/>
  <c r="O255" i="43"/>
  <c r="FO255" i="43" s="1"/>
  <c r="GH254" i="43"/>
  <c r="GF254" i="43"/>
  <c r="GD254" i="43"/>
  <c r="GC254" i="43"/>
  <c r="GB254" i="43"/>
  <c r="FW254" i="43"/>
  <c r="FV254" i="43"/>
  <c r="FQ254" i="43"/>
  <c r="FL254" i="43"/>
  <c r="FD254" i="43"/>
  <c r="P251" i="45" s="1"/>
  <c r="EU254" i="43"/>
  <c r="ET254" i="43"/>
  <c r="EM254" i="43"/>
  <c r="EF254" i="43"/>
  <c r="EG254" i="43" s="1"/>
  <c r="DV254" i="43"/>
  <c r="DU254" i="43"/>
  <c r="DT254" i="43"/>
  <c r="DS254" i="43"/>
  <c r="DP254" i="43"/>
  <c r="Q251" i="45" s="1"/>
  <c r="R251" i="45" s="1"/>
  <c r="DA254" i="43"/>
  <c r="CS254" i="43" s="1"/>
  <c r="CW254" i="43"/>
  <c r="CU254" i="43"/>
  <c r="CH254" i="43"/>
  <c r="CG254" i="43"/>
  <c r="CD254" i="43" s="1"/>
  <c r="CB254" i="43"/>
  <c r="BZ254" i="43"/>
  <c r="BM254" i="43"/>
  <c r="BE254" i="43" s="1"/>
  <c r="BI254" i="43"/>
  <c r="BG254" i="43"/>
  <c r="AT254" i="43"/>
  <c r="AL254" i="43"/>
  <c r="AG254" i="43"/>
  <c r="G251" i="45" s="1"/>
  <c r="AF254" i="43"/>
  <c r="F251" i="45" s="1"/>
  <c r="AE254" i="43"/>
  <c r="E251" i="45" s="1"/>
  <c r="AD254" i="43"/>
  <c r="AC254" i="43"/>
  <c r="O254" i="43"/>
  <c r="FO254" i="43" s="1"/>
  <c r="GH253" i="43"/>
  <c r="GF253" i="43"/>
  <c r="GD253" i="43"/>
  <c r="GC253" i="43"/>
  <c r="GB253" i="43"/>
  <c r="FW253" i="43"/>
  <c r="FV253" i="43"/>
  <c r="FQ253" i="43"/>
  <c r="FL253" i="43"/>
  <c r="FD253" i="43"/>
  <c r="P250" i="45" s="1"/>
  <c r="EU253" i="43"/>
  <c r="ET253" i="43"/>
  <c r="EM253" i="43"/>
  <c r="EF253" i="43"/>
  <c r="EG253" i="43" s="1"/>
  <c r="DV253" i="43"/>
  <c r="DU253" i="43"/>
  <c r="DT253" i="43"/>
  <c r="DS253" i="43"/>
  <c r="DP253" i="43"/>
  <c r="Q250" i="45" s="1"/>
  <c r="R250" i="45" s="1"/>
  <c r="DA253" i="43"/>
  <c r="CS253" i="43" s="1"/>
  <c r="CW253" i="43"/>
  <c r="CU253" i="43"/>
  <c r="CH253" i="43"/>
  <c r="CG253" i="43"/>
  <c r="CD253" i="43" s="1"/>
  <c r="CB253" i="43"/>
  <c r="BZ253" i="43"/>
  <c r="BM253" i="43"/>
  <c r="BE253" i="43" s="1"/>
  <c r="BI253" i="43"/>
  <c r="BG253" i="43"/>
  <c r="AT253" i="43"/>
  <c r="AL253" i="43"/>
  <c r="AG253" i="43"/>
  <c r="G250" i="45" s="1"/>
  <c r="AF253" i="43"/>
  <c r="F250" i="45" s="1"/>
  <c r="AE253" i="43"/>
  <c r="E250" i="45" s="1"/>
  <c r="AD253" i="43"/>
  <c r="AC253" i="43"/>
  <c r="O253" i="43"/>
  <c r="FO253" i="43" s="1"/>
  <c r="GH252" i="43"/>
  <c r="GF252" i="43"/>
  <c r="GD252" i="43"/>
  <c r="GC252" i="43"/>
  <c r="GB252" i="43"/>
  <c r="FW252" i="43"/>
  <c r="FV252" i="43"/>
  <c r="FQ252" i="43"/>
  <c r="FL252" i="43"/>
  <c r="FD252" i="43"/>
  <c r="P249" i="45" s="1"/>
  <c r="EU252" i="43"/>
  <c r="ET252" i="43"/>
  <c r="EM252" i="43"/>
  <c r="EF252" i="43"/>
  <c r="EG252" i="43" s="1"/>
  <c r="DV252" i="43"/>
  <c r="DU252" i="43"/>
  <c r="DT252" i="43"/>
  <c r="DS252" i="43"/>
  <c r="DP252" i="43"/>
  <c r="Q249" i="45" s="1"/>
  <c r="R249" i="45" s="1"/>
  <c r="DA252" i="43"/>
  <c r="CS252" i="43" s="1"/>
  <c r="CW252" i="43"/>
  <c r="CU252" i="43"/>
  <c r="CH252" i="43"/>
  <c r="CG252" i="43"/>
  <c r="CD252" i="43" s="1"/>
  <c r="CB252" i="43"/>
  <c r="BZ252" i="43"/>
  <c r="BM252" i="43"/>
  <c r="BE252" i="43" s="1"/>
  <c r="BI252" i="43"/>
  <c r="BG252" i="43"/>
  <c r="AT252" i="43"/>
  <c r="AL252" i="43"/>
  <c r="AG252" i="43"/>
  <c r="AF252" i="43"/>
  <c r="F249" i="45" s="1"/>
  <c r="AE252" i="43"/>
  <c r="AD252" i="43"/>
  <c r="AC252" i="43"/>
  <c r="O252" i="43"/>
  <c r="FO252" i="43" s="1"/>
  <c r="GH251" i="43"/>
  <c r="GF251" i="43"/>
  <c r="GD251" i="43"/>
  <c r="GC251" i="43"/>
  <c r="GB251" i="43"/>
  <c r="FW251" i="43"/>
  <c r="FV251" i="43"/>
  <c r="FQ251" i="43"/>
  <c r="FL251" i="43"/>
  <c r="FD251" i="43"/>
  <c r="EU251" i="43"/>
  <c r="ET251" i="43"/>
  <c r="EM251" i="43"/>
  <c r="EF251" i="43"/>
  <c r="EG251" i="43" s="1"/>
  <c r="DV251" i="43"/>
  <c r="DU251" i="43"/>
  <c r="DT251" i="43"/>
  <c r="DS251" i="43"/>
  <c r="DP251" i="43"/>
  <c r="Q248" i="45" s="1"/>
  <c r="R248" i="45" s="1"/>
  <c r="DA251" i="43"/>
  <c r="CS251" i="43" s="1"/>
  <c r="CW251" i="43"/>
  <c r="CU251" i="43"/>
  <c r="CH251" i="43"/>
  <c r="CG251" i="43"/>
  <c r="CD251" i="43" s="1"/>
  <c r="CB251" i="43"/>
  <c r="BZ251" i="43"/>
  <c r="BM251" i="43"/>
  <c r="BE251" i="43" s="1"/>
  <c r="BI251" i="43"/>
  <c r="BG251" i="43"/>
  <c r="AT251" i="43"/>
  <c r="AL251" i="43"/>
  <c r="AG251" i="43"/>
  <c r="G248" i="45" s="1"/>
  <c r="AF251" i="43"/>
  <c r="F248" i="45" s="1"/>
  <c r="AE251" i="43"/>
  <c r="E248" i="45" s="1"/>
  <c r="AD251" i="43"/>
  <c r="AC251" i="43"/>
  <c r="O251" i="43"/>
  <c r="FO251" i="43" s="1"/>
  <c r="GH250" i="43"/>
  <c r="GF250" i="43"/>
  <c r="GD250" i="43"/>
  <c r="GC250" i="43"/>
  <c r="GB250" i="43"/>
  <c r="FW250" i="43"/>
  <c r="FV250" i="43"/>
  <c r="FQ250" i="43"/>
  <c r="FL250" i="43"/>
  <c r="FD250" i="43"/>
  <c r="EU250" i="43"/>
  <c r="ET250" i="43"/>
  <c r="EM250" i="43"/>
  <c r="EF250" i="43"/>
  <c r="EG250" i="43" s="1"/>
  <c r="DV250" i="43"/>
  <c r="DU250" i="43"/>
  <c r="DT250" i="43"/>
  <c r="DS250" i="43"/>
  <c r="DP250" i="43"/>
  <c r="Q247" i="45" s="1"/>
  <c r="R247" i="45" s="1"/>
  <c r="DA250" i="43"/>
  <c r="CS250" i="43" s="1"/>
  <c r="CW250" i="43"/>
  <c r="CU250" i="43"/>
  <c r="CH250" i="43"/>
  <c r="CG250" i="43"/>
  <c r="CD250" i="43" s="1"/>
  <c r="CB250" i="43"/>
  <c r="BZ250" i="43"/>
  <c r="BM250" i="43"/>
  <c r="BE250" i="43" s="1"/>
  <c r="BI250" i="43"/>
  <c r="BG250" i="43"/>
  <c r="AT250" i="43"/>
  <c r="AL250" i="43"/>
  <c r="AG250" i="43"/>
  <c r="G247" i="45" s="1"/>
  <c r="AF250" i="43"/>
  <c r="F247" i="45" s="1"/>
  <c r="AE250" i="43"/>
  <c r="E247" i="45" s="1"/>
  <c r="AD250" i="43"/>
  <c r="AC250" i="43"/>
  <c r="O250" i="43"/>
  <c r="FO250" i="43" s="1"/>
  <c r="GH249" i="43"/>
  <c r="GF249" i="43"/>
  <c r="GD249" i="43"/>
  <c r="GC249" i="43"/>
  <c r="GB249" i="43"/>
  <c r="FW249" i="43"/>
  <c r="FV249" i="43"/>
  <c r="FQ249" i="43"/>
  <c r="FL249" i="43"/>
  <c r="FD249" i="43"/>
  <c r="P246" i="45" s="1"/>
  <c r="EU249" i="43"/>
  <c r="ET249" i="43"/>
  <c r="EM249" i="43"/>
  <c r="EF249" i="43"/>
  <c r="EG249" i="43" s="1"/>
  <c r="DV249" i="43"/>
  <c r="DU249" i="43"/>
  <c r="DT249" i="43"/>
  <c r="DS249" i="43"/>
  <c r="DP249" i="43"/>
  <c r="DA249" i="43"/>
  <c r="CS249" i="43" s="1"/>
  <c r="CW249" i="43"/>
  <c r="CU249" i="43"/>
  <c r="CH249" i="43"/>
  <c r="CG249" i="43"/>
  <c r="CD249" i="43" s="1"/>
  <c r="CB249" i="43"/>
  <c r="BZ249" i="43"/>
  <c r="BM249" i="43"/>
  <c r="BE249" i="43" s="1"/>
  <c r="BI249" i="43"/>
  <c r="BG249" i="43"/>
  <c r="AT249" i="43"/>
  <c r="AL249" i="43"/>
  <c r="AG249" i="43"/>
  <c r="G246" i="45" s="1"/>
  <c r="AF249" i="43"/>
  <c r="F246" i="45" s="1"/>
  <c r="AE249" i="43"/>
  <c r="E246" i="45" s="1"/>
  <c r="AD249" i="43"/>
  <c r="AC249" i="43"/>
  <c r="O249" i="43"/>
  <c r="FO249" i="43" s="1"/>
  <c r="GH248" i="43"/>
  <c r="GF248" i="43"/>
  <c r="GD248" i="43"/>
  <c r="GC248" i="43"/>
  <c r="GB248" i="43"/>
  <c r="FW248" i="43"/>
  <c r="FV248" i="43"/>
  <c r="FQ248" i="43"/>
  <c r="FL248" i="43"/>
  <c r="FD248" i="43"/>
  <c r="P245" i="45" s="1"/>
  <c r="EU248" i="43"/>
  <c r="ET248" i="43"/>
  <c r="EM248" i="43"/>
  <c r="EF248" i="43"/>
  <c r="EG248" i="43" s="1"/>
  <c r="DV248" i="43"/>
  <c r="DU248" i="43"/>
  <c r="DT248" i="43"/>
  <c r="DS248" i="43"/>
  <c r="DP248" i="43"/>
  <c r="Q245" i="45" s="1"/>
  <c r="R245" i="45" s="1"/>
  <c r="DA248" i="43"/>
  <c r="CS248" i="43" s="1"/>
  <c r="CW248" i="43"/>
  <c r="CU248" i="43"/>
  <c r="CH248" i="43"/>
  <c r="CG248" i="43"/>
  <c r="CD248" i="43" s="1"/>
  <c r="CB248" i="43"/>
  <c r="BZ248" i="43"/>
  <c r="BM248" i="43"/>
  <c r="BE248" i="43" s="1"/>
  <c r="BI248" i="43"/>
  <c r="BG248" i="43"/>
  <c r="AT248" i="43"/>
  <c r="AL248" i="43"/>
  <c r="AG248" i="43"/>
  <c r="AF248" i="43"/>
  <c r="F245" i="45" s="1"/>
  <c r="AE248" i="43"/>
  <c r="E245" i="45" s="1"/>
  <c r="AD248" i="43"/>
  <c r="AC248" i="43"/>
  <c r="O248" i="43"/>
  <c r="FO248" i="43" s="1"/>
  <c r="GH247" i="43"/>
  <c r="GF247" i="43"/>
  <c r="GD247" i="43"/>
  <c r="GC247" i="43"/>
  <c r="GB247" i="43"/>
  <c r="FW247" i="43"/>
  <c r="FV247" i="43"/>
  <c r="FQ247" i="43"/>
  <c r="FL247" i="43"/>
  <c r="FD247" i="43"/>
  <c r="P244" i="45" s="1"/>
  <c r="EU247" i="43"/>
  <c r="ET247" i="43"/>
  <c r="EM247" i="43"/>
  <c r="EF247" i="43"/>
  <c r="EG247" i="43" s="1"/>
  <c r="DV247" i="43"/>
  <c r="DU247" i="43"/>
  <c r="DT247" i="43"/>
  <c r="DS247" i="43"/>
  <c r="DP247" i="43"/>
  <c r="Q244" i="45" s="1"/>
  <c r="R244" i="45" s="1"/>
  <c r="DA247" i="43"/>
  <c r="CS247" i="43" s="1"/>
  <c r="CW247" i="43"/>
  <c r="CU247" i="43"/>
  <c r="CH247" i="43"/>
  <c r="CG247" i="43"/>
  <c r="CD247" i="43" s="1"/>
  <c r="CB247" i="43"/>
  <c r="BZ247" i="43"/>
  <c r="BM247" i="43"/>
  <c r="BE247" i="43" s="1"/>
  <c r="BI247" i="43"/>
  <c r="BG247" i="43"/>
  <c r="AT247" i="43"/>
  <c r="AL247" i="43"/>
  <c r="AG247" i="43"/>
  <c r="G244" i="45" s="1"/>
  <c r="AF247" i="43"/>
  <c r="F244" i="45" s="1"/>
  <c r="AE247" i="43"/>
  <c r="E244" i="45" s="1"/>
  <c r="AD247" i="43"/>
  <c r="AC247" i="43"/>
  <c r="O247" i="43"/>
  <c r="FO247" i="43" s="1"/>
  <c r="GH246" i="43"/>
  <c r="GF246" i="43"/>
  <c r="GD246" i="43"/>
  <c r="GC246" i="43"/>
  <c r="GB246" i="43"/>
  <c r="FW246" i="43"/>
  <c r="FV246" i="43"/>
  <c r="FQ246" i="43"/>
  <c r="FL246" i="43"/>
  <c r="FD246" i="43"/>
  <c r="EU246" i="43"/>
  <c r="ET246" i="43"/>
  <c r="EM246" i="43"/>
  <c r="EF246" i="43"/>
  <c r="EG246" i="43" s="1"/>
  <c r="DV246" i="43"/>
  <c r="DU246" i="43"/>
  <c r="DT246" i="43"/>
  <c r="DS246" i="43"/>
  <c r="DP246" i="43"/>
  <c r="Q243" i="45" s="1"/>
  <c r="R243" i="45" s="1"/>
  <c r="DA246" i="43"/>
  <c r="CS246" i="43" s="1"/>
  <c r="CW246" i="43"/>
  <c r="CU246" i="43"/>
  <c r="CH246" i="43"/>
  <c r="CG246" i="43"/>
  <c r="CD246" i="43" s="1"/>
  <c r="CB246" i="43"/>
  <c r="BZ246" i="43"/>
  <c r="BM246" i="43"/>
  <c r="BE246" i="43" s="1"/>
  <c r="BI246" i="43"/>
  <c r="BG246" i="43"/>
  <c r="AT246" i="43"/>
  <c r="AL246" i="43"/>
  <c r="AG246" i="43"/>
  <c r="G243" i="45" s="1"/>
  <c r="AF246" i="43"/>
  <c r="F243" i="45" s="1"/>
  <c r="AE246" i="43"/>
  <c r="AD246" i="43"/>
  <c r="AC246" i="43"/>
  <c r="O246" i="43"/>
  <c r="FO246" i="43" s="1"/>
  <c r="GH245" i="43"/>
  <c r="GF245" i="43"/>
  <c r="GD245" i="43"/>
  <c r="GC245" i="43"/>
  <c r="GB245" i="43"/>
  <c r="FW245" i="43"/>
  <c r="FV245" i="43"/>
  <c r="FQ245" i="43"/>
  <c r="FL245" i="43"/>
  <c r="FD245" i="43"/>
  <c r="P242" i="45" s="1"/>
  <c r="EU245" i="43"/>
  <c r="ET245" i="43"/>
  <c r="EM245" i="43"/>
  <c r="EF245" i="43"/>
  <c r="EG245" i="43" s="1"/>
  <c r="DV245" i="43"/>
  <c r="DU245" i="43"/>
  <c r="DT245" i="43"/>
  <c r="DS245" i="43"/>
  <c r="DP245" i="43"/>
  <c r="Q242" i="45" s="1"/>
  <c r="R242" i="45" s="1"/>
  <c r="DA245" i="43"/>
  <c r="CS245" i="43" s="1"/>
  <c r="CW245" i="43"/>
  <c r="CU245" i="43"/>
  <c r="CH245" i="43"/>
  <c r="CG245" i="43"/>
  <c r="CD245" i="43" s="1"/>
  <c r="AP245" i="43" s="1"/>
  <c r="CB245" i="43"/>
  <c r="BZ245" i="43"/>
  <c r="BM245" i="43"/>
  <c r="BE245" i="43" s="1"/>
  <c r="BI245" i="43"/>
  <c r="BG245" i="43"/>
  <c r="AT245" i="43"/>
  <c r="AL245" i="43"/>
  <c r="AG245" i="43"/>
  <c r="G242" i="45" s="1"/>
  <c r="AF245" i="43"/>
  <c r="F242" i="45" s="1"/>
  <c r="AE245" i="43"/>
  <c r="AD245" i="43"/>
  <c r="AC245" i="43"/>
  <c r="O245" i="43"/>
  <c r="BQ245" i="43" s="1"/>
  <c r="GH244" i="43"/>
  <c r="GF244" i="43"/>
  <c r="GD244" i="43"/>
  <c r="GC244" i="43"/>
  <c r="GB244" i="43"/>
  <c r="FW244" i="43"/>
  <c r="FV244" i="43"/>
  <c r="FQ244" i="43"/>
  <c r="FL244" i="43"/>
  <c r="FD244" i="43"/>
  <c r="EU244" i="43"/>
  <c r="ET244" i="43"/>
  <c r="EM244" i="43"/>
  <c r="EF244" i="43"/>
  <c r="EG244" i="43" s="1"/>
  <c r="DV244" i="43"/>
  <c r="DU244" i="43"/>
  <c r="DT244" i="43"/>
  <c r="DS244" i="43"/>
  <c r="DP244" i="43"/>
  <c r="Q241" i="45" s="1"/>
  <c r="R241" i="45" s="1"/>
  <c r="DA244" i="43"/>
  <c r="CS244" i="43" s="1"/>
  <c r="CW244" i="43"/>
  <c r="CU244" i="43"/>
  <c r="CH244" i="43"/>
  <c r="CG244" i="43"/>
  <c r="CD244" i="43" s="1"/>
  <c r="CB244" i="43"/>
  <c r="BZ244" i="43"/>
  <c r="BM244" i="43"/>
  <c r="BE244" i="43" s="1"/>
  <c r="BI244" i="43"/>
  <c r="BG244" i="43"/>
  <c r="AT244" i="43"/>
  <c r="AL244" i="43"/>
  <c r="AG244" i="43"/>
  <c r="AF244" i="43"/>
  <c r="F241" i="45" s="1"/>
  <c r="AE244" i="43"/>
  <c r="E241" i="45" s="1"/>
  <c r="AD244" i="43"/>
  <c r="AC244" i="43"/>
  <c r="O244" i="43"/>
  <c r="GH243" i="43"/>
  <c r="GF243" i="43"/>
  <c r="GD243" i="43"/>
  <c r="GC243" i="43"/>
  <c r="GB243" i="43"/>
  <c r="FW243" i="43"/>
  <c r="FV243" i="43"/>
  <c r="FQ243" i="43"/>
  <c r="FL243" i="43"/>
  <c r="FD243" i="43"/>
  <c r="P240" i="45" s="1"/>
  <c r="EU243" i="43"/>
  <c r="ET243" i="43"/>
  <c r="EM243" i="43"/>
  <c r="EF243" i="43"/>
  <c r="EG243" i="43" s="1"/>
  <c r="DV243" i="43"/>
  <c r="DU243" i="43"/>
  <c r="DT243" i="43"/>
  <c r="DS243" i="43"/>
  <c r="DP243" i="43"/>
  <c r="DA243" i="43"/>
  <c r="CS243" i="43" s="1"/>
  <c r="CW243" i="43"/>
  <c r="CU243" i="43"/>
  <c r="CH243" i="43"/>
  <c r="CG243" i="43"/>
  <c r="CD243" i="43" s="1"/>
  <c r="CB243" i="43"/>
  <c r="BZ243" i="43"/>
  <c r="BM243" i="43"/>
  <c r="BE243" i="43" s="1"/>
  <c r="BI243" i="43"/>
  <c r="BG243" i="43"/>
  <c r="AT243" i="43"/>
  <c r="AL243" i="43"/>
  <c r="AG243" i="43"/>
  <c r="G240" i="45" s="1"/>
  <c r="AF243" i="43"/>
  <c r="F240" i="45" s="1"/>
  <c r="AE243" i="43"/>
  <c r="E240" i="45" s="1"/>
  <c r="AD243" i="43"/>
  <c r="AC243" i="43"/>
  <c r="O243" i="43"/>
  <c r="BQ243" i="43" s="1"/>
  <c r="GH242" i="43"/>
  <c r="GF242" i="43"/>
  <c r="GD242" i="43"/>
  <c r="GC242" i="43"/>
  <c r="GB242" i="43"/>
  <c r="FW242" i="43"/>
  <c r="FV242" i="43"/>
  <c r="FQ242" i="43"/>
  <c r="FL242" i="43"/>
  <c r="FD242" i="43"/>
  <c r="EU242" i="43"/>
  <c r="ET242" i="43"/>
  <c r="EM242" i="43"/>
  <c r="EF242" i="43"/>
  <c r="EG242" i="43" s="1"/>
  <c r="DV242" i="43"/>
  <c r="DU242" i="43"/>
  <c r="DT242" i="43"/>
  <c r="DS242" i="43"/>
  <c r="DP242" i="43"/>
  <c r="Q239" i="45" s="1"/>
  <c r="R239" i="45" s="1"/>
  <c r="DA242" i="43"/>
  <c r="CS242" i="43" s="1"/>
  <c r="CW242" i="43"/>
  <c r="CU242" i="43"/>
  <c r="CH242" i="43"/>
  <c r="CG242" i="43"/>
  <c r="CD242" i="43" s="1"/>
  <c r="CB242" i="43"/>
  <c r="BZ242" i="43"/>
  <c r="BM242" i="43"/>
  <c r="BE242" i="43" s="1"/>
  <c r="BI242" i="43"/>
  <c r="BG242" i="43"/>
  <c r="AT242" i="43"/>
  <c r="AL242" i="43"/>
  <c r="AG242" i="43"/>
  <c r="G239" i="45" s="1"/>
  <c r="AF242" i="43"/>
  <c r="F239" i="45" s="1"/>
  <c r="AE242" i="43"/>
  <c r="AD242" i="43"/>
  <c r="AC242" i="43"/>
  <c r="O242" i="43"/>
  <c r="BQ242" i="43" s="1"/>
  <c r="GH241" i="43"/>
  <c r="GF241" i="43"/>
  <c r="GD241" i="43"/>
  <c r="GC241" i="43"/>
  <c r="GB241" i="43"/>
  <c r="FW241" i="43"/>
  <c r="FV241" i="43"/>
  <c r="FQ241" i="43"/>
  <c r="FL241" i="43"/>
  <c r="FD241" i="43"/>
  <c r="EU241" i="43"/>
  <c r="ET241" i="43"/>
  <c r="EM241" i="43"/>
  <c r="EF241" i="43"/>
  <c r="EG241" i="43" s="1"/>
  <c r="DV241" i="43"/>
  <c r="DU241" i="43"/>
  <c r="DT241" i="43"/>
  <c r="DS241" i="43"/>
  <c r="DP241" i="43"/>
  <c r="Q238" i="45" s="1"/>
  <c r="R238" i="45" s="1"/>
  <c r="DA241" i="43"/>
  <c r="CS241" i="43" s="1"/>
  <c r="CW241" i="43"/>
  <c r="CU241" i="43"/>
  <c r="CH241" i="43"/>
  <c r="CG241" i="43"/>
  <c r="CB241" i="43"/>
  <c r="BZ241" i="43"/>
  <c r="BM241" i="43"/>
  <c r="BE241" i="43" s="1"/>
  <c r="BI241" i="43"/>
  <c r="BG241" i="43"/>
  <c r="AT241" i="43"/>
  <c r="AL241" i="43"/>
  <c r="AG241" i="43"/>
  <c r="G238" i="45" s="1"/>
  <c r="AF241" i="43"/>
  <c r="F238" i="45" s="1"/>
  <c r="AE241" i="43"/>
  <c r="AD241" i="43"/>
  <c r="AC241" i="43"/>
  <c r="O241" i="43"/>
  <c r="BQ241" i="43" s="1"/>
  <c r="GH240" i="43"/>
  <c r="GF240" i="43"/>
  <c r="GD240" i="43"/>
  <c r="GC240" i="43"/>
  <c r="GB240" i="43"/>
  <c r="FW240" i="43"/>
  <c r="FV240" i="43"/>
  <c r="FQ240" i="43"/>
  <c r="FL240" i="43"/>
  <c r="FD240" i="43"/>
  <c r="P237" i="45" s="1"/>
  <c r="EU240" i="43"/>
  <c r="ET240" i="43"/>
  <c r="EM240" i="43"/>
  <c r="EF240" i="43"/>
  <c r="EG240" i="43" s="1"/>
  <c r="DV240" i="43"/>
  <c r="DU240" i="43"/>
  <c r="DT240" i="43"/>
  <c r="DS240" i="43"/>
  <c r="DP240" i="43"/>
  <c r="Q237" i="45" s="1"/>
  <c r="R237" i="45" s="1"/>
  <c r="DA240" i="43"/>
  <c r="CS240" i="43" s="1"/>
  <c r="CW240" i="43"/>
  <c r="CU240" i="43"/>
  <c r="CH240" i="43"/>
  <c r="CG240" i="43"/>
  <c r="CD240" i="43" s="1"/>
  <c r="AR240" i="43" s="1"/>
  <c r="CB240" i="43"/>
  <c r="BZ240" i="43"/>
  <c r="BM240" i="43"/>
  <c r="BE240" i="43" s="1"/>
  <c r="BI240" i="43"/>
  <c r="BG240" i="43"/>
  <c r="AT240" i="43"/>
  <c r="AL240" i="43"/>
  <c r="AG240" i="43"/>
  <c r="G237" i="45" s="1"/>
  <c r="AF240" i="43"/>
  <c r="F237" i="45" s="1"/>
  <c r="AE240" i="43"/>
  <c r="E237" i="45" s="1"/>
  <c r="AD240" i="43"/>
  <c r="AC240" i="43"/>
  <c r="O240" i="43"/>
  <c r="GH239" i="43"/>
  <c r="GF239" i="43"/>
  <c r="GD239" i="43"/>
  <c r="GC239" i="43"/>
  <c r="T239" i="43" s="1"/>
  <c r="GB239" i="43"/>
  <c r="FW239" i="43"/>
  <c r="FV239" i="43"/>
  <c r="FQ239" i="43"/>
  <c r="FL239" i="43"/>
  <c r="FD239" i="43"/>
  <c r="P236" i="45" s="1"/>
  <c r="EU239" i="43"/>
  <c r="ET239" i="43"/>
  <c r="EM239" i="43"/>
  <c r="EF239" i="43"/>
  <c r="EG239" i="43" s="1"/>
  <c r="DV239" i="43"/>
  <c r="DU239" i="43"/>
  <c r="DT239" i="43"/>
  <c r="DS239" i="43"/>
  <c r="DP239" i="43"/>
  <c r="DC239" i="43"/>
  <c r="DA239" i="43"/>
  <c r="CS239" i="43" s="1"/>
  <c r="CW239" i="43"/>
  <c r="CU239" i="43"/>
  <c r="CH239" i="43"/>
  <c r="CG239" i="43"/>
  <c r="CB239" i="43"/>
  <c r="BZ239" i="43"/>
  <c r="BM239" i="43"/>
  <c r="BE239" i="43" s="1"/>
  <c r="BI239" i="43"/>
  <c r="BG239" i="43"/>
  <c r="AT239" i="43"/>
  <c r="AL239" i="43"/>
  <c r="AG239" i="43"/>
  <c r="G236" i="45" s="1"/>
  <c r="AF239" i="43"/>
  <c r="F236" i="45" s="1"/>
  <c r="AE239" i="43"/>
  <c r="AD239" i="43"/>
  <c r="AC239" i="43"/>
  <c r="O239" i="43"/>
  <c r="GH238" i="43"/>
  <c r="GF238" i="43"/>
  <c r="GD238" i="43"/>
  <c r="GC238" i="43"/>
  <c r="GB238" i="43"/>
  <c r="FW238" i="43"/>
  <c r="FV238" i="43"/>
  <c r="FQ238" i="43"/>
  <c r="FL238" i="43"/>
  <c r="FD238" i="43"/>
  <c r="P235" i="45" s="1"/>
  <c r="EU238" i="43"/>
  <c r="ET238" i="43"/>
  <c r="EM238" i="43"/>
  <c r="EF238" i="43"/>
  <c r="EG238" i="43" s="1"/>
  <c r="DV238" i="43"/>
  <c r="DU238" i="43"/>
  <c r="DT238" i="43"/>
  <c r="DS238" i="43"/>
  <c r="DP238" i="43"/>
  <c r="Q235" i="45" s="1"/>
  <c r="R235" i="45" s="1"/>
  <c r="DA238" i="43"/>
  <c r="CS238" i="43" s="1"/>
  <c r="CW238" i="43"/>
  <c r="CU238" i="43"/>
  <c r="CH238" i="43"/>
  <c r="CG238" i="43"/>
  <c r="CD238" i="43" s="1"/>
  <c r="AR238" i="43" s="1"/>
  <c r="CB238" i="43"/>
  <c r="BZ238" i="43"/>
  <c r="BM238" i="43"/>
  <c r="BE238" i="43" s="1"/>
  <c r="BI238" i="43"/>
  <c r="BG238" i="43"/>
  <c r="AT238" i="43"/>
  <c r="AL238" i="43"/>
  <c r="AG238" i="43"/>
  <c r="G235" i="45" s="1"/>
  <c r="AF238" i="43"/>
  <c r="F235" i="45" s="1"/>
  <c r="AE238" i="43"/>
  <c r="E235" i="45" s="1"/>
  <c r="AD238" i="43"/>
  <c r="AC238" i="43"/>
  <c r="O238" i="43"/>
  <c r="GH237" i="43"/>
  <c r="GF237" i="43"/>
  <c r="GD237" i="43"/>
  <c r="GC237" i="43"/>
  <c r="GB237" i="43"/>
  <c r="FW237" i="43"/>
  <c r="FV237" i="43"/>
  <c r="FQ237" i="43"/>
  <c r="FL237" i="43"/>
  <c r="FD237" i="43"/>
  <c r="P234" i="45" s="1"/>
  <c r="EU237" i="43"/>
  <c r="ET237" i="43"/>
  <c r="EM237" i="43"/>
  <c r="EF237" i="43"/>
  <c r="EG237" i="43" s="1"/>
  <c r="DV237" i="43"/>
  <c r="DU237" i="43"/>
  <c r="DT237" i="43"/>
  <c r="DS237" i="43"/>
  <c r="DP237" i="43"/>
  <c r="Q234" i="45" s="1"/>
  <c r="R234" i="45" s="1"/>
  <c r="DA237" i="43"/>
  <c r="CS237" i="43" s="1"/>
  <c r="CW237" i="43"/>
  <c r="CU237" i="43"/>
  <c r="CH237" i="43"/>
  <c r="CG237" i="43"/>
  <c r="CB237" i="43"/>
  <c r="BZ237" i="43"/>
  <c r="BM237" i="43"/>
  <c r="BE237" i="43" s="1"/>
  <c r="BI237" i="43"/>
  <c r="BG237" i="43"/>
  <c r="AT237" i="43"/>
  <c r="AL237" i="43"/>
  <c r="AG237" i="43"/>
  <c r="G234" i="45" s="1"/>
  <c r="AF237" i="43"/>
  <c r="F234" i="45" s="1"/>
  <c r="AE237" i="43"/>
  <c r="E234" i="45" s="1"/>
  <c r="AD237" i="43"/>
  <c r="AC237" i="43"/>
  <c r="O237" i="43"/>
  <c r="GH236" i="43"/>
  <c r="GF236" i="43"/>
  <c r="GD236" i="43"/>
  <c r="GC236" i="43"/>
  <c r="GB236" i="43"/>
  <c r="FW236" i="43"/>
  <c r="FV236" i="43"/>
  <c r="FQ236" i="43"/>
  <c r="FL236" i="43"/>
  <c r="FD236" i="43"/>
  <c r="EU236" i="43"/>
  <c r="ET236" i="43"/>
  <c r="EM236" i="43"/>
  <c r="EF236" i="43"/>
  <c r="EG236" i="43" s="1"/>
  <c r="DV236" i="43"/>
  <c r="DU236" i="43"/>
  <c r="DT236" i="43"/>
  <c r="DS236" i="43"/>
  <c r="DP236" i="43"/>
  <c r="Q233" i="45" s="1"/>
  <c r="R233" i="45" s="1"/>
  <c r="DA236" i="43"/>
  <c r="CS236" i="43" s="1"/>
  <c r="CW236" i="43"/>
  <c r="CU236" i="43"/>
  <c r="CH236" i="43"/>
  <c r="CG236" i="43"/>
  <c r="CD236" i="43" s="1"/>
  <c r="CB236" i="43"/>
  <c r="BZ236" i="43"/>
  <c r="BM236" i="43"/>
  <c r="BE236" i="43" s="1"/>
  <c r="BI236" i="43"/>
  <c r="BG236" i="43"/>
  <c r="AT236" i="43"/>
  <c r="AL236" i="43"/>
  <c r="AG236" i="43"/>
  <c r="G233" i="45" s="1"/>
  <c r="AF236" i="43"/>
  <c r="F233" i="45" s="1"/>
  <c r="AE236" i="43"/>
  <c r="E233" i="45" s="1"/>
  <c r="AD236" i="43"/>
  <c r="AC236" i="43"/>
  <c r="O236" i="43"/>
  <c r="FO236" i="43" s="1"/>
  <c r="GH235" i="43"/>
  <c r="GF235" i="43"/>
  <c r="GD235" i="43"/>
  <c r="GC235" i="43"/>
  <c r="GB235" i="43"/>
  <c r="FW235" i="43"/>
  <c r="FV235" i="43"/>
  <c r="FQ235" i="43"/>
  <c r="FL235" i="43"/>
  <c r="FD235" i="43"/>
  <c r="P232" i="45" s="1"/>
  <c r="EU235" i="43"/>
  <c r="ET235" i="43"/>
  <c r="EM235" i="43"/>
  <c r="EF235" i="43"/>
  <c r="EG235" i="43" s="1"/>
  <c r="DV235" i="43"/>
  <c r="DU235" i="43"/>
  <c r="DT235" i="43"/>
  <c r="DS235" i="43"/>
  <c r="DP235" i="43"/>
  <c r="Q232" i="45" s="1"/>
  <c r="R232" i="45" s="1"/>
  <c r="DA235" i="43"/>
  <c r="CS235" i="43" s="1"/>
  <c r="CW235" i="43"/>
  <c r="CU235" i="43"/>
  <c r="CH235" i="43"/>
  <c r="CG235" i="43"/>
  <c r="CD235" i="43" s="1"/>
  <c r="CB235" i="43"/>
  <c r="BZ235" i="43"/>
  <c r="BM235" i="43"/>
  <c r="BE235" i="43" s="1"/>
  <c r="BI235" i="43"/>
  <c r="BG235" i="43"/>
  <c r="AT235" i="43"/>
  <c r="AL235" i="43"/>
  <c r="AG235" i="43"/>
  <c r="AF235" i="43"/>
  <c r="F232" i="45" s="1"/>
  <c r="AE235" i="43"/>
  <c r="AD235" i="43"/>
  <c r="AC235" i="43"/>
  <c r="O235" i="43"/>
  <c r="BQ235" i="43" s="1"/>
  <c r="GH234" i="43"/>
  <c r="GF234" i="43"/>
  <c r="GD234" i="43"/>
  <c r="GC234" i="43"/>
  <c r="GB234" i="43"/>
  <c r="FW234" i="43"/>
  <c r="FV234" i="43"/>
  <c r="FQ234" i="43"/>
  <c r="FL234" i="43"/>
  <c r="FD234" i="43"/>
  <c r="P231" i="45" s="1"/>
  <c r="EU234" i="43"/>
  <c r="ET234" i="43"/>
  <c r="EM234" i="43"/>
  <c r="EF234" i="43"/>
  <c r="EG234" i="43" s="1"/>
  <c r="DV234" i="43"/>
  <c r="DU234" i="43"/>
  <c r="DT234" i="43"/>
  <c r="DS234" i="43"/>
  <c r="DP234" i="43"/>
  <c r="Q231" i="45" s="1"/>
  <c r="R231" i="45" s="1"/>
  <c r="DA234" i="43"/>
  <c r="CS234" i="43" s="1"/>
  <c r="CW234" i="43"/>
  <c r="CU234" i="43"/>
  <c r="CH234" i="43"/>
  <c r="CG234" i="43"/>
  <c r="CD234" i="43" s="1"/>
  <c r="CB234" i="43"/>
  <c r="BZ234" i="43"/>
  <c r="BM234" i="43"/>
  <c r="BE234" i="43" s="1"/>
  <c r="BI234" i="43"/>
  <c r="BG234" i="43"/>
  <c r="AT234" i="43"/>
  <c r="AL234" i="43"/>
  <c r="AG234" i="43"/>
  <c r="G231" i="45" s="1"/>
  <c r="AF234" i="43"/>
  <c r="F231" i="45" s="1"/>
  <c r="AE234" i="43"/>
  <c r="E231" i="45" s="1"/>
  <c r="AD234" i="43"/>
  <c r="AC234" i="43"/>
  <c r="O234" i="43"/>
  <c r="BQ234" i="43" s="1"/>
  <c r="GH233" i="43"/>
  <c r="GF233" i="43"/>
  <c r="GD233" i="43"/>
  <c r="GC233" i="43"/>
  <c r="GB233" i="43"/>
  <c r="FW233" i="43"/>
  <c r="FV233" i="43"/>
  <c r="FQ233" i="43"/>
  <c r="FL233" i="43"/>
  <c r="FD233" i="43"/>
  <c r="P230" i="45" s="1"/>
  <c r="EU233" i="43"/>
  <c r="ET233" i="43"/>
  <c r="EM233" i="43"/>
  <c r="EF233" i="43"/>
  <c r="EG233" i="43" s="1"/>
  <c r="DV233" i="43"/>
  <c r="DU233" i="43"/>
  <c r="DT233" i="43"/>
  <c r="DS233" i="43"/>
  <c r="DP233" i="43"/>
  <c r="Q230" i="45" s="1"/>
  <c r="R230" i="45" s="1"/>
  <c r="DA233" i="43"/>
  <c r="CS233" i="43" s="1"/>
  <c r="CW233" i="43"/>
  <c r="CU233" i="43"/>
  <c r="CH233" i="43"/>
  <c r="CG233" i="43"/>
  <c r="CD233" i="43" s="1"/>
  <c r="CB233" i="43"/>
  <c r="BZ233" i="43"/>
  <c r="BM233" i="43"/>
  <c r="BE233" i="43" s="1"/>
  <c r="BI233" i="43"/>
  <c r="BG233" i="43"/>
  <c r="AT233" i="43"/>
  <c r="AL233" i="43"/>
  <c r="AG233" i="43"/>
  <c r="G230" i="45" s="1"/>
  <c r="AF233" i="43"/>
  <c r="F230" i="45" s="1"/>
  <c r="AE233" i="43"/>
  <c r="E230" i="45" s="1"/>
  <c r="AD233" i="43"/>
  <c r="AC233" i="43"/>
  <c r="O233" i="43"/>
  <c r="BQ233" i="43" s="1"/>
  <c r="GH232" i="43"/>
  <c r="GF232" i="43"/>
  <c r="GD232" i="43"/>
  <c r="GC232" i="43"/>
  <c r="GB232" i="43"/>
  <c r="FW232" i="43"/>
  <c r="FV232" i="43"/>
  <c r="FQ232" i="43"/>
  <c r="FL232" i="43"/>
  <c r="FD232" i="43"/>
  <c r="EU232" i="43"/>
  <c r="ET232" i="43"/>
  <c r="EM232" i="43"/>
  <c r="EF232" i="43"/>
  <c r="EG232" i="43" s="1"/>
  <c r="DV232" i="43"/>
  <c r="DU232" i="43"/>
  <c r="DT232" i="43"/>
  <c r="DS232" i="43"/>
  <c r="DP232" i="43"/>
  <c r="Q229" i="45" s="1"/>
  <c r="R229" i="45" s="1"/>
  <c r="DA232" i="43"/>
  <c r="CS232" i="43" s="1"/>
  <c r="CW232" i="43"/>
  <c r="CU232" i="43"/>
  <c r="CH232" i="43"/>
  <c r="CG232" i="43"/>
  <c r="CD232" i="43" s="1"/>
  <c r="CB232" i="43"/>
  <c r="BZ232" i="43"/>
  <c r="BM232" i="43"/>
  <c r="BE232" i="43" s="1"/>
  <c r="BI232" i="43"/>
  <c r="BG232" i="43"/>
  <c r="AT232" i="43"/>
  <c r="AL232" i="43"/>
  <c r="AG232" i="43"/>
  <c r="G229" i="45" s="1"/>
  <c r="AF232" i="43"/>
  <c r="F229" i="45" s="1"/>
  <c r="AE232" i="43"/>
  <c r="E229" i="45" s="1"/>
  <c r="AD232" i="43"/>
  <c r="AC232" i="43"/>
  <c r="O232" i="43"/>
  <c r="BQ232" i="43" s="1"/>
  <c r="GH231" i="43"/>
  <c r="GF231" i="43"/>
  <c r="GD231" i="43"/>
  <c r="GC231" i="43"/>
  <c r="GB231" i="43"/>
  <c r="FW231" i="43"/>
  <c r="FV231" i="43"/>
  <c r="FQ231" i="43"/>
  <c r="FL231" i="43"/>
  <c r="FD231" i="43"/>
  <c r="EU231" i="43"/>
  <c r="ET231" i="43"/>
  <c r="EM231" i="43"/>
  <c r="EF231" i="43"/>
  <c r="EG231" i="43" s="1"/>
  <c r="DV231" i="43"/>
  <c r="DU231" i="43"/>
  <c r="DT231" i="43"/>
  <c r="DS231" i="43"/>
  <c r="DP231" i="43"/>
  <c r="Q228" i="45" s="1"/>
  <c r="R228" i="45" s="1"/>
  <c r="DA231" i="43"/>
  <c r="CS231" i="43" s="1"/>
  <c r="CW231" i="43"/>
  <c r="CU231" i="43"/>
  <c r="CH231" i="43"/>
  <c r="CG231" i="43"/>
  <c r="CD231" i="43" s="1"/>
  <c r="CB231" i="43"/>
  <c r="BZ231" i="43"/>
  <c r="BM231" i="43"/>
  <c r="BE231" i="43" s="1"/>
  <c r="BI231" i="43"/>
  <c r="BG231" i="43"/>
  <c r="AT231" i="43"/>
  <c r="AL231" i="43"/>
  <c r="AG231" i="43"/>
  <c r="AF231" i="43"/>
  <c r="F228" i="45" s="1"/>
  <c r="AE231" i="43"/>
  <c r="AD231" i="43"/>
  <c r="AC231" i="43"/>
  <c r="O231" i="43"/>
  <c r="GH230" i="43"/>
  <c r="GF230" i="43"/>
  <c r="GD230" i="43"/>
  <c r="GC230" i="43"/>
  <c r="GB230" i="43"/>
  <c r="FW230" i="43"/>
  <c r="FV230" i="43"/>
  <c r="FQ230" i="43"/>
  <c r="FL230" i="43"/>
  <c r="FD230" i="43"/>
  <c r="P227" i="45" s="1"/>
  <c r="EU230" i="43"/>
  <c r="ET230" i="43"/>
  <c r="EM230" i="43"/>
  <c r="EF230" i="43"/>
  <c r="EG230" i="43" s="1"/>
  <c r="DV230" i="43"/>
  <c r="DU230" i="43"/>
  <c r="DT230" i="43"/>
  <c r="DS230" i="43"/>
  <c r="DP230" i="43"/>
  <c r="Q227" i="45" s="1"/>
  <c r="R227" i="45" s="1"/>
  <c r="DA230" i="43"/>
  <c r="CS230" i="43" s="1"/>
  <c r="CW230" i="43"/>
  <c r="CU230" i="43"/>
  <c r="CH230" i="43"/>
  <c r="CG230" i="43"/>
  <c r="CD230" i="43" s="1"/>
  <c r="CB230" i="43"/>
  <c r="BZ230" i="43"/>
  <c r="BM230" i="43"/>
  <c r="BE230" i="43" s="1"/>
  <c r="BI230" i="43"/>
  <c r="BG230" i="43"/>
  <c r="AT230" i="43"/>
  <c r="AL230" i="43"/>
  <c r="AG230" i="43"/>
  <c r="G227" i="45" s="1"/>
  <c r="AF230" i="43"/>
  <c r="F227" i="45" s="1"/>
  <c r="AE230" i="43"/>
  <c r="E227" i="45" s="1"/>
  <c r="AD230" i="43"/>
  <c r="AC230" i="43"/>
  <c r="O230" i="43"/>
  <c r="BQ230" i="43" s="1"/>
  <c r="GH229" i="43"/>
  <c r="GF229" i="43"/>
  <c r="GD229" i="43"/>
  <c r="GC229" i="43"/>
  <c r="GB229" i="43"/>
  <c r="FW229" i="43"/>
  <c r="FV229" i="43"/>
  <c r="FQ229" i="43"/>
  <c r="FL229" i="43"/>
  <c r="FD229" i="43"/>
  <c r="P226" i="45" s="1"/>
  <c r="EU229" i="43"/>
  <c r="ET229" i="43"/>
  <c r="EM229" i="43"/>
  <c r="EF229" i="43"/>
  <c r="EG229" i="43" s="1"/>
  <c r="DV229" i="43"/>
  <c r="DU229" i="43"/>
  <c r="DT229" i="43"/>
  <c r="DS229" i="43"/>
  <c r="DP229" i="43"/>
  <c r="Q226" i="45" s="1"/>
  <c r="R226" i="45" s="1"/>
  <c r="DA229" i="43"/>
  <c r="CS229" i="43" s="1"/>
  <c r="CW229" i="43"/>
  <c r="CU229" i="43"/>
  <c r="CH229" i="43"/>
  <c r="CG229" i="43"/>
  <c r="CD229" i="43" s="1"/>
  <c r="CB229" i="43"/>
  <c r="BZ229" i="43"/>
  <c r="BM229" i="43"/>
  <c r="BE229" i="43" s="1"/>
  <c r="BI229" i="43"/>
  <c r="BG229" i="43"/>
  <c r="AT229" i="43"/>
  <c r="AL229" i="43"/>
  <c r="AG229" i="43"/>
  <c r="G226" i="45" s="1"/>
  <c r="AF229" i="43"/>
  <c r="F226" i="45" s="1"/>
  <c r="AE229" i="43"/>
  <c r="E226" i="45" s="1"/>
  <c r="AD229" i="43"/>
  <c r="AC229" i="43"/>
  <c r="O229" i="43"/>
  <c r="BQ229" i="43" s="1"/>
  <c r="GH228" i="43"/>
  <c r="GF228" i="43"/>
  <c r="GD228" i="43"/>
  <c r="GC228" i="43"/>
  <c r="GB228" i="43"/>
  <c r="FW228" i="43"/>
  <c r="FV228" i="43"/>
  <c r="FQ228" i="43"/>
  <c r="FL228" i="43"/>
  <c r="FD228" i="43"/>
  <c r="EU228" i="43"/>
  <c r="ET228" i="43"/>
  <c r="EM228" i="43"/>
  <c r="EF228" i="43"/>
  <c r="EG228" i="43" s="1"/>
  <c r="DV228" i="43"/>
  <c r="DU228" i="43"/>
  <c r="DT228" i="43"/>
  <c r="DS228" i="43"/>
  <c r="DP228" i="43"/>
  <c r="Q225" i="45" s="1"/>
  <c r="R225" i="45" s="1"/>
  <c r="DA228" i="43"/>
  <c r="CS228" i="43" s="1"/>
  <c r="CW228" i="43"/>
  <c r="CU228" i="43"/>
  <c r="CH228" i="43"/>
  <c r="CG228" i="43"/>
  <c r="CD228" i="43" s="1"/>
  <c r="CB228" i="43"/>
  <c r="BZ228" i="43"/>
  <c r="BM228" i="43"/>
  <c r="BE228" i="43" s="1"/>
  <c r="BI228" i="43"/>
  <c r="BG228" i="43"/>
  <c r="AT228" i="43"/>
  <c r="AL228" i="43"/>
  <c r="AG228" i="43"/>
  <c r="G225" i="45" s="1"/>
  <c r="AF228" i="43"/>
  <c r="F225" i="45" s="1"/>
  <c r="AE228" i="43"/>
  <c r="E225" i="45" s="1"/>
  <c r="AD228" i="43"/>
  <c r="AC228" i="43"/>
  <c r="O228" i="43"/>
  <c r="BQ228" i="43" s="1"/>
  <c r="GH227" i="43"/>
  <c r="GF227" i="43"/>
  <c r="GD227" i="43"/>
  <c r="GC227" i="43"/>
  <c r="GB227" i="43"/>
  <c r="FW227" i="43"/>
  <c r="FV227" i="43"/>
  <c r="FQ227" i="43"/>
  <c r="FL227" i="43"/>
  <c r="FD227" i="43"/>
  <c r="EU227" i="43"/>
  <c r="ET227" i="43"/>
  <c r="EM227" i="43"/>
  <c r="EF227" i="43"/>
  <c r="EG227" i="43" s="1"/>
  <c r="DV227" i="43"/>
  <c r="DU227" i="43"/>
  <c r="DT227" i="43"/>
  <c r="DS227" i="43"/>
  <c r="DP227" i="43"/>
  <c r="Q224" i="45" s="1"/>
  <c r="R224" i="45" s="1"/>
  <c r="DA227" i="43"/>
  <c r="CS227" i="43" s="1"/>
  <c r="CW227" i="43"/>
  <c r="CU227" i="43"/>
  <c r="CH227" i="43"/>
  <c r="CG227" i="43"/>
  <c r="CD227" i="43" s="1"/>
  <c r="CB227" i="43"/>
  <c r="BZ227" i="43"/>
  <c r="BM227" i="43"/>
  <c r="BE227" i="43" s="1"/>
  <c r="BI227" i="43"/>
  <c r="BG227" i="43"/>
  <c r="AT227" i="43"/>
  <c r="AL227" i="43"/>
  <c r="AG227" i="43"/>
  <c r="AF227" i="43"/>
  <c r="AE227" i="43"/>
  <c r="AD227" i="43"/>
  <c r="AC227" i="43"/>
  <c r="O227" i="43"/>
  <c r="GH226" i="43"/>
  <c r="GF226" i="43"/>
  <c r="GD226" i="43"/>
  <c r="GC226" i="43"/>
  <c r="GB226" i="43"/>
  <c r="FW226" i="43"/>
  <c r="FV226" i="43"/>
  <c r="FQ226" i="43"/>
  <c r="FL226" i="43"/>
  <c r="FD226" i="43"/>
  <c r="P223" i="45" s="1"/>
  <c r="EU226" i="43"/>
  <c r="ET226" i="43"/>
  <c r="EM226" i="43"/>
  <c r="EF226" i="43"/>
  <c r="EG226" i="43" s="1"/>
  <c r="DV226" i="43"/>
  <c r="DU226" i="43"/>
  <c r="DT226" i="43"/>
  <c r="DS226" i="43"/>
  <c r="DP226" i="43"/>
  <c r="Q223" i="45" s="1"/>
  <c r="R223" i="45" s="1"/>
  <c r="DA226" i="43"/>
  <c r="CS226" i="43" s="1"/>
  <c r="CW226" i="43"/>
  <c r="CU226" i="43"/>
  <c r="CH226" i="43"/>
  <c r="CG226" i="43"/>
  <c r="CD226" i="43" s="1"/>
  <c r="CB226" i="43"/>
  <c r="BZ226" i="43"/>
  <c r="BM226" i="43"/>
  <c r="BE226" i="43" s="1"/>
  <c r="BI226" i="43"/>
  <c r="BG226" i="43"/>
  <c r="AT226" i="43"/>
  <c r="AL226" i="43"/>
  <c r="AG226" i="43"/>
  <c r="G223" i="45" s="1"/>
  <c r="AF226" i="43"/>
  <c r="F223" i="45" s="1"/>
  <c r="AE226" i="43"/>
  <c r="E223" i="45" s="1"/>
  <c r="AD226" i="43"/>
  <c r="AC226" i="43"/>
  <c r="O226" i="43"/>
  <c r="BQ226" i="43" s="1"/>
  <c r="GH225" i="43"/>
  <c r="GF225" i="43"/>
  <c r="GD225" i="43"/>
  <c r="GC225" i="43"/>
  <c r="GB225" i="43"/>
  <c r="FW225" i="43"/>
  <c r="FV225" i="43"/>
  <c r="FQ225" i="43"/>
  <c r="FL225" i="43"/>
  <c r="FD225" i="43"/>
  <c r="P222" i="45" s="1"/>
  <c r="EU225" i="43"/>
  <c r="ET225" i="43"/>
  <c r="EM225" i="43"/>
  <c r="EF225" i="43"/>
  <c r="EG225" i="43" s="1"/>
  <c r="DV225" i="43"/>
  <c r="DU225" i="43"/>
  <c r="DT225" i="43"/>
  <c r="DS225" i="43"/>
  <c r="DP225" i="43"/>
  <c r="Q222" i="45" s="1"/>
  <c r="R222" i="45" s="1"/>
  <c r="DA225" i="43"/>
  <c r="CS225" i="43" s="1"/>
  <c r="CW225" i="43"/>
  <c r="CU225" i="43"/>
  <c r="CH225" i="43"/>
  <c r="CG225" i="43"/>
  <c r="CD225" i="43" s="1"/>
  <c r="CB225" i="43"/>
  <c r="BZ225" i="43"/>
  <c r="BM225" i="43"/>
  <c r="BE225" i="43" s="1"/>
  <c r="BI225" i="43"/>
  <c r="BG225" i="43"/>
  <c r="AT225" i="43"/>
  <c r="AL225" i="43"/>
  <c r="AG225" i="43"/>
  <c r="G222" i="45" s="1"/>
  <c r="AF225" i="43"/>
  <c r="F222" i="45" s="1"/>
  <c r="AE225" i="43"/>
  <c r="AD225" i="43"/>
  <c r="AC225" i="43"/>
  <c r="O225" i="43"/>
  <c r="GH224" i="43"/>
  <c r="GF224" i="43"/>
  <c r="GD224" i="43"/>
  <c r="GC224" i="43"/>
  <c r="GB224" i="43"/>
  <c r="FW224" i="43"/>
  <c r="FV224" i="43"/>
  <c r="FQ224" i="43"/>
  <c r="FL224" i="43"/>
  <c r="FD224" i="43"/>
  <c r="EU224" i="43"/>
  <c r="ET224" i="43"/>
  <c r="EM224" i="43"/>
  <c r="EF224" i="43"/>
  <c r="EG224" i="43" s="1"/>
  <c r="DV224" i="43"/>
  <c r="DU224" i="43"/>
  <c r="DT224" i="43"/>
  <c r="DS224" i="43"/>
  <c r="DP224" i="43"/>
  <c r="Q221" i="45" s="1"/>
  <c r="R221" i="45" s="1"/>
  <c r="DA224" i="43"/>
  <c r="CS224" i="43" s="1"/>
  <c r="CW224" i="43"/>
  <c r="CU224" i="43"/>
  <c r="CH224" i="43"/>
  <c r="CG224" i="43"/>
  <c r="CD224" i="43" s="1"/>
  <c r="CB224" i="43"/>
  <c r="BZ224" i="43"/>
  <c r="BM224" i="43"/>
  <c r="BE224" i="43" s="1"/>
  <c r="BI224" i="43"/>
  <c r="BG224" i="43"/>
  <c r="AT224" i="43"/>
  <c r="AL224" i="43"/>
  <c r="AG224" i="43"/>
  <c r="G221" i="45" s="1"/>
  <c r="AF224" i="43"/>
  <c r="F221" i="45" s="1"/>
  <c r="AE224" i="43"/>
  <c r="E221" i="45" s="1"/>
  <c r="AD224" i="43"/>
  <c r="AC224" i="43"/>
  <c r="O224" i="43"/>
  <c r="BQ224" i="43" s="1"/>
  <c r="GH223" i="43"/>
  <c r="GF223" i="43"/>
  <c r="GD223" i="43"/>
  <c r="GC223" i="43"/>
  <c r="GB223" i="43"/>
  <c r="FW223" i="43"/>
  <c r="FV223" i="43"/>
  <c r="FQ223" i="43"/>
  <c r="FL223" i="43"/>
  <c r="FD223" i="43"/>
  <c r="EU223" i="43"/>
  <c r="ET223" i="43"/>
  <c r="EM223" i="43"/>
  <c r="EF223" i="43"/>
  <c r="EG223" i="43" s="1"/>
  <c r="DV223" i="43"/>
  <c r="DU223" i="43"/>
  <c r="DT223" i="43"/>
  <c r="DS223" i="43"/>
  <c r="DP223" i="43"/>
  <c r="DA223" i="43"/>
  <c r="CS223" i="43" s="1"/>
  <c r="CW223" i="43"/>
  <c r="CU223" i="43"/>
  <c r="CH223" i="43"/>
  <c r="CG223" i="43"/>
  <c r="CD223" i="43" s="1"/>
  <c r="CB223" i="43"/>
  <c r="BZ223" i="43"/>
  <c r="BM223" i="43"/>
  <c r="BE223" i="43" s="1"/>
  <c r="BI223" i="43"/>
  <c r="BG223" i="43"/>
  <c r="AT223" i="43"/>
  <c r="AL223" i="43"/>
  <c r="AG223" i="43"/>
  <c r="G220" i="45" s="1"/>
  <c r="AF223" i="43"/>
  <c r="F220" i="45" s="1"/>
  <c r="AE223" i="43"/>
  <c r="E220" i="45" s="1"/>
  <c r="AD223" i="43"/>
  <c r="AC223" i="43"/>
  <c r="O223" i="43"/>
  <c r="GH222" i="43"/>
  <c r="GF222" i="43"/>
  <c r="GD222" i="43"/>
  <c r="GC222" i="43"/>
  <c r="GB222" i="43"/>
  <c r="FW222" i="43"/>
  <c r="FV222" i="43"/>
  <c r="FQ222" i="43"/>
  <c r="FL222" i="43"/>
  <c r="FD222" i="43"/>
  <c r="P219" i="45" s="1"/>
  <c r="EU222" i="43"/>
  <c r="ET222" i="43"/>
  <c r="EM222" i="43"/>
  <c r="EF222" i="43"/>
  <c r="EG222" i="43" s="1"/>
  <c r="DV222" i="43"/>
  <c r="DU222" i="43"/>
  <c r="DT222" i="43"/>
  <c r="DS222" i="43"/>
  <c r="DP222" i="43"/>
  <c r="Q219" i="45" s="1"/>
  <c r="R219" i="45" s="1"/>
  <c r="DA222" i="43"/>
  <c r="CS222" i="43" s="1"/>
  <c r="CW222" i="43"/>
  <c r="CU222" i="43"/>
  <c r="CH222" i="43"/>
  <c r="CG222" i="43"/>
  <c r="CD222" i="43" s="1"/>
  <c r="CB222" i="43"/>
  <c r="BZ222" i="43"/>
  <c r="BM222" i="43"/>
  <c r="BE222" i="43" s="1"/>
  <c r="BI222" i="43"/>
  <c r="BG222" i="43"/>
  <c r="AT222" i="43"/>
  <c r="AL222" i="43"/>
  <c r="AG222" i="43"/>
  <c r="G219" i="45" s="1"/>
  <c r="AF222" i="43"/>
  <c r="F219" i="45" s="1"/>
  <c r="AE222" i="43"/>
  <c r="E219" i="45" s="1"/>
  <c r="AD222" i="43"/>
  <c r="AC222" i="43"/>
  <c r="O222" i="43"/>
  <c r="GH221" i="43"/>
  <c r="GF221" i="43"/>
  <c r="GD221" i="43"/>
  <c r="GC221" i="43"/>
  <c r="GB221" i="43"/>
  <c r="FW221" i="43"/>
  <c r="FV221" i="43"/>
  <c r="FQ221" i="43"/>
  <c r="FL221" i="43"/>
  <c r="FD221" i="43"/>
  <c r="EU221" i="43"/>
  <c r="ET221" i="43"/>
  <c r="EM221" i="43"/>
  <c r="EF221" i="43"/>
  <c r="EG221" i="43" s="1"/>
  <c r="DV221" i="43"/>
  <c r="DU221" i="43"/>
  <c r="DT221" i="43"/>
  <c r="DS221" i="43"/>
  <c r="DP221" i="43"/>
  <c r="Q218" i="45" s="1"/>
  <c r="R218" i="45" s="1"/>
  <c r="DA221" i="43"/>
  <c r="CS221" i="43" s="1"/>
  <c r="CW221" i="43"/>
  <c r="CU221" i="43"/>
  <c r="CH221" i="43"/>
  <c r="CG221" i="43"/>
  <c r="CD221" i="43" s="1"/>
  <c r="CB221" i="43"/>
  <c r="BZ221" i="43"/>
  <c r="BM221" i="43"/>
  <c r="BE221" i="43" s="1"/>
  <c r="BI221" i="43"/>
  <c r="BG221" i="43"/>
  <c r="AT221" i="43"/>
  <c r="AL221" i="43"/>
  <c r="AG221" i="43"/>
  <c r="G218" i="45" s="1"/>
  <c r="AF221" i="43"/>
  <c r="F218" i="45" s="1"/>
  <c r="AE221" i="43"/>
  <c r="AD221" i="43"/>
  <c r="AC221" i="43"/>
  <c r="O221" i="43"/>
  <c r="GH220" i="43"/>
  <c r="GF220" i="43"/>
  <c r="GD220" i="43"/>
  <c r="GC220" i="43"/>
  <c r="GB220" i="43"/>
  <c r="FW220" i="43"/>
  <c r="FV220" i="43"/>
  <c r="FQ220" i="43"/>
  <c r="FL220" i="43"/>
  <c r="FD220" i="43"/>
  <c r="EU220" i="43"/>
  <c r="ET220" i="43"/>
  <c r="EM220" i="43"/>
  <c r="EF220" i="43"/>
  <c r="EG220" i="43" s="1"/>
  <c r="DV220" i="43"/>
  <c r="DU220" i="43"/>
  <c r="DT220" i="43"/>
  <c r="DS220" i="43"/>
  <c r="DP220" i="43"/>
  <c r="DA220" i="43"/>
  <c r="CS220" i="43" s="1"/>
  <c r="CW220" i="43"/>
  <c r="CU220" i="43"/>
  <c r="CH220" i="43"/>
  <c r="CG220" i="43"/>
  <c r="CD220" i="43" s="1"/>
  <c r="CB220" i="43"/>
  <c r="BZ220" i="43"/>
  <c r="BM220" i="43"/>
  <c r="BE220" i="43" s="1"/>
  <c r="BI220" i="43"/>
  <c r="BG220" i="43"/>
  <c r="AT220" i="43"/>
  <c r="AL220" i="43"/>
  <c r="AG220" i="43"/>
  <c r="G217" i="45" s="1"/>
  <c r="AF220" i="43"/>
  <c r="F217" i="45" s="1"/>
  <c r="AE220" i="43"/>
  <c r="AD220" i="43"/>
  <c r="AC220" i="43"/>
  <c r="O220" i="43"/>
  <c r="BQ220" i="43" s="1"/>
  <c r="GH219" i="43"/>
  <c r="GF219" i="43"/>
  <c r="GD219" i="43"/>
  <c r="GC219" i="43"/>
  <c r="GB219" i="43"/>
  <c r="FW219" i="43"/>
  <c r="FV219" i="43"/>
  <c r="FQ219" i="43"/>
  <c r="FL219" i="43"/>
  <c r="FD219" i="43"/>
  <c r="P216" i="45" s="1"/>
  <c r="EU219" i="43"/>
  <c r="ET219" i="43"/>
  <c r="EM219" i="43"/>
  <c r="EF219" i="43"/>
  <c r="EG219" i="43" s="1"/>
  <c r="DV219" i="43"/>
  <c r="DU219" i="43"/>
  <c r="DT219" i="43"/>
  <c r="DS219" i="43"/>
  <c r="DP219" i="43"/>
  <c r="Q216" i="45" s="1"/>
  <c r="R216" i="45" s="1"/>
  <c r="DA219" i="43"/>
  <c r="CS219" i="43" s="1"/>
  <c r="CW219" i="43"/>
  <c r="CU219" i="43"/>
  <c r="CH219" i="43"/>
  <c r="CG219" i="43"/>
  <c r="CD219" i="43" s="1"/>
  <c r="CB219" i="43"/>
  <c r="BZ219" i="43"/>
  <c r="BM219" i="43"/>
  <c r="BE219" i="43" s="1"/>
  <c r="BI219" i="43"/>
  <c r="BG219" i="43"/>
  <c r="AT219" i="43"/>
  <c r="AL219" i="43"/>
  <c r="AG219" i="43"/>
  <c r="G216" i="45" s="1"/>
  <c r="AF219" i="43"/>
  <c r="F216" i="45" s="1"/>
  <c r="AE219" i="43"/>
  <c r="AD219" i="43"/>
  <c r="AC219" i="43"/>
  <c r="O219" i="43"/>
  <c r="GH218" i="43"/>
  <c r="GF218" i="43"/>
  <c r="GD218" i="43"/>
  <c r="GC218" i="43"/>
  <c r="GB218" i="43"/>
  <c r="FW218" i="43"/>
  <c r="FV218" i="43"/>
  <c r="FQ218" i="43"/>
  <c r="FL218" i="43"/>
  <c r="FD218" i="43"/>
  <c r="EU218" i="43"/>
  <c r="ET218" i="43"/>
  <c r="EM218" i="43"/>
  <c r="EF218" i="43"/>
  <c r="EG218" i="43" s="1"/>
  <c r="DV218" i="43"/>
  <c r="DU218" i="43"/>
  <c r="DT218" i="43"/>
  <c r="DS218" i="43"/>
  <c r="DP218" i="43"/>
  <c r="Q215" i="45" s="1"/>
  <c r="R215" i="45" s="1"/>
  <c r="DA218" i="43"/>
  <c r="CS218" i="43" s="1"/>
  <c r="CW218" i="43"/>
  <c r="CU218" i="43"/>
  <c r="CH218" i="43"/>
  <c r="CG218" i="43"/>
  <c r="CB218" i="43"/>
  <c r="BZ218" i="43"/>
  <c r="BM218" i="43"/>
  <c r="BE218" i="43" s="1"/>
  <c r="BI218" i="43"/>
  <c r="BG218" i="43"/>
  <c r="AT218" i="43"/>
  <c r="AL218" i="43"/>
  <c r="AG218" i="43"/>
  <c r="G215" i="45" s="1"/>
  <c r="AF218" i="43"/>
  <c r="F215" i="45" s="1"/>
  <c r="AE218" i="43"/>
  <c r="E215" i="45" s="1"/>
  <c r="AD218" i="43"/>
  <c r="AC218" i="43"/>
  <c r="O218" i="43"/>
  <c r="BQ218" i="43" s="1"/>
  <c r="GH217" i="43"/>
  <c r="GF217" i="43"/>
  <c r="GD217" i="43"/>
  <c r="DC217" i="43" s="1"/>
  <c r="GC217" i="43"/>
  <c r="GB217" i="43"/>
  <c r="FW217" i="43"/>
  <c r="FV217" i="43"/>
  <c r="FQ217" i="43"/>
  <c r="FL217" i="43"/>
  <c r="FD217" i="43"/>
  <c r="P214" i="45" s="1"/>
  <c r="EU217" i="43"/>
  <c r="ET217" i="43"/>
  <c r="EM217" i="43"/>
  <c r="EF217" i="43"/>
  <c r="EG217" i="43" s="1"/>
  <c r="DV217" i="43"/>
  <c r="DU217" i="43"/>
  <c r="DT217" i="43"/>
  <c r="DS217" i="43"/>
  <c r="DP217" i="43"/>
  <c r="DA217" i="43"/>
  <c r="CS217" i="43" s="1"/>
  <c r="CW217" i="43"/>
  <c r="CU217" i="43"/>
  <c r="CH217" i="43"/>
  <c r="CG217" i="43"/>
  <c r="CB217" i="43"/>
  <c r="BZ217" i="43"/>
  <c r="BM217" i="43"/>
  <c r="BE217" i="43" s="1"/>
  <c r="BI217" i="43"/>
  <c r="BG217" i="43"/>
  <c r="AT217" i="43"/>
  <c r="AL217" i="43"/>
  <c r="AG217" i="43"/>
  <c r="G214" i="45" s="1"/>
  <c r="AF217" i="43"/>
  <c r="F214" i="45" s="1"/>
  <c r="AE217" i="43"/>
  <c r="E214" i="45" s="1"/>
  <c r="AD217" i="43"/>
  <c r="AC217" i="43"/>
  <c r="O217" i="43"/>
  <c r="GH216" i="43"/>
  <c r="GF216" i="43"/>
  <c r="GD216" i="43"/>
  <c r="GC216" i="43"/>
  <c r="GB216" i="43"/>
  <c r="FW216" i="43"/>
  <c r="FV216" i="43"/>
  <c r="FQ216" i="43"/>
  <c r="FL216" i="43"/>
  <c r="FD216" i="43"/>
  <c r="P213" i="45" s="1"/>
  <c r="EU216" i="43"/>
  <c r="ET216" i="43"/>
  <c r="EM216" i="43"/>
  <c r="EF216" i="43"/>
  <c r="EG216" i="43" s="1"/>
  <c r="DV216" i="43"/>
  <c r="DU216" i="43"/>
  <c r="DT216" i="43"/>
  <c r="DS216" i="43"/>
  <c r="DP216" i="43"/>
  <c r="Q213" i="45" s="1"/>
  <c r="R213" i="45" s="1"/>
  <c r="DA216" i="43"/>
  <c r="CS216" i="43" s="1"/>
  <c r="CW216" i="43"/>
  <c r="CU216" i="43"/>
  <c r="CH216" i="43"/>
  <c r="CG216" i="43"/>
  <c r="CB216" i="43"/>
  <c r="BZ216" i="43"/>
  <c r="BM216" i="43"/>
  <c r="BE216" i="43" s="1"/>
  <c r="BI216" i="43"/>
  <c r="BG216" i="43"/>
  <c r="AT216" i="43"/>
  <c r="AL216" i="43"/>
  <c r="AG216" i="43"/>
  <c r="AF216" i="43"/>
  <c r="F213" i="45" s="1"/>
  <c r="AE216" i="43"/>
  <c r="E213" i="45" s="1"/>
  <c r="AD216" i="43"/>
  <c r="AC216" i="43"/>
  <c r="O216" i="43"/>
  <c r="BQ216" i="43" s="1"/>
  <c r="GH215" i="43"/>
  <c r="GF215" i="43"/>
  <c r="GD215" i="43"/>
  <c r="GC215" i="43"/>
  <c r="GB215" i="43"/>
  <c r="FW215" i="43"/>
  <c r="FV215" i="43"/>
  <c r="FQ215" i="43"/>
  <c r="FL215" i="43"/>
  <c r="FD215" i="43"/>
  <c r="EU215" i="43"/>
  <c r="ET215" i="43"/>
  <c r="EM215" i="43"/>
  <c r="EF215" i="43"/>
  <c r="EG215" i="43" s="1"/>
  <c r="DV215" i="43"/>
  <c r="DU215" i="43"/>
  <c r="DT215" i="43"/>
  <c r="DS215" i="43"/>
  <c r="DP215" i="43"/>
  <c r="Q212" i="45" s="1"/>
  <c r="R212" i="45" s="1"/>
  <c r="DA215" i="43"/>
  <c r="CS215" i="43" s="1"/>
  <c r="CW215" i="43"/>
  <c r="CU215" i="43"/>
  <c r="CH215" i="43"/>
  <c r="CG215" i="43"/>
  <c r="CB215" i="43"/>
  <c r="BZ215" i="43"/>
  <c r="BM215" i="43"/>
  <c r="BE215" i="43" s="1"/>
  <c r="BI215" i="43"/>
  <c r="BG215" i="43"/>
  <c r="AT215" i="43"/>
  <c r="AL215" i="43"/>
  <c r="AG215" i="43"/>
  <c r="G212" i="45" s="1"/>
  <c r="AF215" i="43"/>
  <c r="F212" i="45" s="1"/>
  <c r="AE215" i="43"/>
  <c r="AD215" i="43"/>
  <c r="AC215" i="43"/>
  <c r="O215" i="43"/>
  <c r="GH214" i="43"/>
  <c r="GF214" i="43"/>
  <c r="GD214" i="43"/>
  <c r="GC214" i="43"/>
  <c r="GB214" i="43"/>
  <c r="FW214" i="43"/>
  <c r="FV214" i="43"/>
  <c r="FQ214" i="43"/>
  <c r="FL214" i="43"/>
  <c r="FD214" i="43"/>
  <c r="P211" i="45" s="1"/>
  <c r="EU214" i="43"/>
  <c r="ET214" i="43"/>
  <c r="EM214" i="43"/>
  <c r="EF214" i="43"/>
  <c r="EG214" i="43" s="1"/>
  <c r="DV214" i="43"/>
  <c r="DU214" i="43"/>
  <c r="DT214" i="43"/>
  <c r="DS214" i="43"/>
  <c r="DP214" i="43"/>
  <c r="Q211" i="45" s="1"/>
  <c r="R211" i="45" s="1"/>
  <c r="DA214" i="43"/>
  <c r="CS214" i="43" s="1"/>
  <c r="CW214" i="43"/>
  <c r="CU214" i="43"/>
  <c r="CH214" i="43"/>
  <c r="CG214" i="43"/>
  <c r="CD214" i="43" s="1"/>
  <c r="AS214" i="43" s="1"/>
  <c r="CB214" i="43"/>
  <c r="BZ214" i="43"/>
  <c r="BM214" i="43"/>
  <c r="BE214" i="43" s="1"/>
  <c r="BI214" i="43"/>
  <c r="BG214" i="43"/>
  <c r="AT214" i="43"/>
  <c r="AL214" i="43"/>
  <c r="AG214" i="43"/>
  <c r="G211" i="45" s="1"/>
  <c r="AF214" i="43"/>
  <c r="F211" i="45" s="1"/>
  <c r="AE214" i="43"/>
  <c r="AD214" i="43"/>
  <c r="AC214" i="43"/>
  <c r="O214" i="43"/>
  <c r="GH213" i="43"/>
  <c r="GF213" i="43"/>
  <c r="GD213" i="43"/>
  <c r="GC213" i="43"/>
  <c r="GB213" i="43"/>
  <c r="FW213" i="43"/>
  <c r="FV213" i="43"/>
  <c r="FQ213" i="43"/>
  <c r="FL213" i="43"/>
  <c r="FD213" i="43"/>
  <c r="P210" i="45" s="1"/>
  <c r="EU213" i="43"/>
  <c r="ET213" i="43"/>
  <c r="EM213" i="43"/>
  <c r="EF213" i="43"/>
  <c r="EG213" i="43" s="1"/>
  <c r="DV213" i="43"/>
  <c r="DU213" i="43"/>
  <c r="DT213" i="43"/>
  <c r="DS213" i="43"/>
  <c r="DP213" i="43"/>
  <c r="Q210" i="45" s="1"/>
  <c r="R210" i="45" s="1"/>
  <c r="DA213" i="43"/>
  <c r="CS213" i="43" s="1"/>
  <c r="CW213" i="43"/>
  <c r="CU213" i="43"/>
  <c r="CH213" i="43"/>
  <c r="CG213" i="43"/>
  <c r="CD213" i="43" s="1"/>
  <c r="AR213" i="43" s="1"/>
  <c r="CB213" i="43"/>
  <c r="BZ213" i="43"/>
  <c r="BM213" i="43"/>
  <c r="BE213" i="43" s="1"/>
  <c r="BI213" i="43"/>
  <c r="BG213" i="43"/>
  <c r="AT213" i="43"/>
  <c r="AL213" i="43"/>
  <c r="AG213" i="43"/>
  <c r="AF213" i="43"/>
  <c r="F210" i="45" s="1"/>
  <c r="AE213" i="43"/>
  <c r="E210" i="45" s="1"/>
  <c r="AD213" i="43"/>
  <c r="AC213" i="43"/>
  <c r="O213" i="43"/>
  <c r="Z213" i="43" s="1"/>
  <c r="GH212" i="43"/>
  <c r="GF212" i="43"/>
  <c r="GD212" i="43"/>
  <c r="GC212" i="43"/>
  <c r="GB212" i="43"/>
  <c r="FW212" i="43"/>
  <c r="FV212" i="43"/>
  <c r="FQ212" i="43"/>
  <c r="FL212" i="43"/>
  <c r="FD212" i="43"/>
  <c r="EU212" i="43"/>
  <c r="ET212" i="43"/>
  <c r="EM212" i="43"/>
  <c r="EF212" i="43"/>
  <c r="EG212" i="43" s="1"/>
  <c r="DV212" i="43"/>
  <c r="DU212" i="43"/>
  <c r="DT212" i="43"/>
  <c r="DS212" i="43"/>
  <c r="DP212" i="43"/>
  <c r="Q209" i="45" s="1"/>
  <c r="R209" i="45" s="1"/>
  <c r="DA212" i="43"/>
  <c r="CS212" i="43" s="1"/>
  <c r="CW212" i="43"/>
  <c r="CU212" i="43"/>
  <c r="CH212" i="43"/>
  <c r="CG212" i="43"/>
  <c r="CD212" i="43" s="1"/>
  <c r="AR212" i="43" s="1"/>
  <c r="CB212" i="43"/>
  <c r="BZ212" i="43"/>
  <c r="BM212" i="43"/>
  <c r="BE212" i="43" s="1"/>
  <c r="BI212" i="43"/>
  <c r="BG212" i="43"/>
  <c r="AT212" i="43"/>
  <c r="AL212" i="43"/>
  <c r="AG212" i="43"/>
  <c r="G209" i="45" s="1"/>
  <c r="AF212" i="43"/>
  <c r="F209" i="45" s="1"/>
  <c r="AE212" i="43"/>
  <c r="E209" i="45" s="1"/>
  <c r="AD212" i="43"/>
  <c r="AC212" i="43"/>
  <c r="O212" i="43"/>
  <c r="FO212" i="43" s="1"/>
  <c r="GH211" i="43"/>
  <c r="GF211" i="43"/>
  <c r="GD211" i="43"/>
  <c r="GC211" i="43"/>
  <c r="GB211" i="43"/>
  <c r="FW211" i="43"/>
  <c r="FV211" i="43"/>
  <c r="FQ211" i="43"/>
  <c r="FL211" i="43"/>
  <c r="FD211" i="43"/>
  <c r="EU211" i="43"/>
  <c r="ET211" i="43"/>
  <c r="EM211" i="43"/>
  <c r="EF211" i="43"/>
  <c r="EG211" i="43" s="1"/>
  <c r="DV211" i="43"/>
  <c r="DU211" i="43"/>
  <c r="DT211" i="43"/>
  <c r="DS211" i="43"/>
  <c r="DP211" i="43"/>
  <c r="Q208" i="45" s="1"/>
  <c r="R208" i="45" s="1"/>
  <c r="DA211" i="43"/>
  <c r="CS211" i="43" s="1"/>
  <c r="CW211" i="43"/>
  <c r="CU211" i="43"/>
  <c r="CH211" i="43"/>
  <c r="CG211" i="43"/>
  <c r="CB211" i="43"/>
  <c r="BZ211" i="43"/>
  <c r="BM211" i="43"/>
  <c r="BE211" i="43" s="1"/>
  <c r="BI211" i="43"/>
  <c r="BG211" i="43"/>
  <c r="AT211" i="43"/>
  <c r="AL211" i="43"/>
  <c r="AG211" i="43"/>
  <c r="AF211" i="43"/>
  <c r="AE211" i="43"/>
  <c r="AD211" i="43"/>
  <c r="AC211" i="43"/>
  <c r="O211" i="43"/>
  <c r="FO211" i="43" s="1"/>
  <c r="GH210" i="43"/>
  <c r="GF210" i="43"/>
  <c r="GD210" i="43"/>
  <c r="GC210" i="43"/>
  <c r="GB210" i="43"/>
  <c r="FW210" i="43"/>
  <c r="FV210" i="43"/>
  <c r="FQ210" i="43"/>
  <c r="FL210" i="43"/>
  <c r="FD210" i="43"/>
  <c r="P207" i="45" s="1"/>
  <c r="EU210" i="43"/>
  <c r="ET210" i="43"/>
  <c r="EM210" i="43"/>
  <c r="EF210" i="43"/>
  <c r="EG210" i="43" s="1"/>
  <c r="DV210" i="43"/>
  <c r="DU210" i="43"/>
  <c r="DT210" i="43"/>
  <c r="DS210" i="43"/>
  <c r="DP210" i="43"/>
  <c r="Q207" i="45" s="1"/>
  <c r="R207" i="45" s="1"/>
  <c r="DA210" i="43"/>
  <c r="CS210" i="43" s="1"/>
  <c r="CW210" i="43"/>
  <c r="CU210" i="43"/>
  <c r="CH210" i="43"/>
  <c r="CG210" i="43"/>
  <c r="CD210" i="43" s="1"/>
  <c r="CB210" i="43"/>
  <c r="BZ210" i="43"/>
  <c r="BM210" i="43"/>
  <c r="BE210" i="43" s="1"/>
  <c r="BI210" i="43"/>
  <c r="BG210" i="43"/>
  <c r="AT210" i="43"/>
  <c r="AL210" i="43"/>
  <c r="AG210" i="43"/>
  <c r="G207" i="45" s="1"/>
  <c r="AF210" i="43"/>
  <c r="F207" i="45" s="1"/>
  <c r="AE210" i="43"/>
  <c r="AD210" i="43"/>
  <c r="AC210" i="43"/>
  <c r="O210" i="43"/>
  <c r="FO210" i="43" s="1"/>
  <c r="GH209" i="43"/>
  <c r="GF209" i="43"/>
  <c r="GD209" i="43"/>
  <c r="GC209" i="43"/>
  <c r="GB209" i="43"/>
  <c r="FW209" i="43"/>
  <c r="FV209" i="43"/>
  <c r="FQ209" i="43"/>
  <c r="FL209" i="43"/>
  <c r="FD209" i="43"/>
  <c r="P206" i="45" s="1"/>
  <c r="EU209" i="43"/>
  <c r="ET209" i="43"/>
  <c r="EM209" i="43"/>
  <c r="EF209" i="43"/>
  <c r="EG209" i="43" s="1"/>
  <c r="DV209" i="43"/>
  <c r="DU209" i="43"/>
  <c r="DT209" i="43"/>
  <c r="DS209" i="43"/>
  <c r="DP209" i="43"/>
  <c r="Q206" i="45" s="1"/>
  <c r="R206" i="45" s="1"/>
  <c r="DA209" i="43"/>
  <c r="CS209" i="43" s="1"/>
  <c r="CW209" i="43"/>
  <c r="CU209" i="43"/>
  <c r="CH209" i="43"/>
  <c r="CG209" i="43"/>
  <c r="CD209" i="43" s="1"/>
  <c r="CB209" i="43"/>
  <c r="BZ209" i="43"/>
  <c r="BM209" i="43"/>
  <c r="BE209" i="43" s="1"/>
  <c r="BI209" i="43"/>
  <c r="BG209" i="43"/>
  <c r="AT209" i="43"/>
  <c r="AL209" i="43"/>
  <c r="AG209" i="43"/>
  <c r="AF209" i="43"/>
  <c r="F206" i="45" s="1"/>
  <c r="AE209" i="43"/>
  <c r="E206" i="45" s="1"/>
  <c r="AD209" i="43"/>
  <c r="AC209" i="43"/>
  <c r="O209" i="43"/>
  <c r="Z209" i="43" s="1"/>
  <c r="GH208" i="43"/>
  <c r="GF208" i="43"/>
  <c r="GD208" i="43"/>
  <c r="GC208" i="43"/>
  <c r="GB208" i="43"/>
  <c r="FW208" i="43"/>
  <c r="FV208" i="43"/>
  <c r="FQ208" i="43"/>
  <c r="FL208" i="43"/>
  <c r="FD208" i="43"/>
  <c r="P205" i="45" s="1"/>
  <c r="EU208" i="43"/>
  <c r="ET208" i="43"/>
  <c r="EM208" i="43"/>
  <c r="EF208" i="43"/>
  <c r="EG208" i="43" s="1"/>
  <c r="DV208" i="43"/>
  <c r="DU208" i="43"/>
  <c r="DT208" i="43"/>
  <c r="DS208" i="43"/>
  <c r="DP208" i="43"/>
  <c r="DA208" i="43"/>
  <c r="CS208" i="43" s="1"/>
  <c r="CW208" i="43"/>
  <c r="CU208" i="43"/>
  <c r="CH208" i="43"/>
  <c r="CG208" i="43"/>
  <c r="CD208" i="43" s="1"/>
  <c r="AR208" i="43" s="1"/>
  <c r="CB208" i="43"/>
  <c r="BZ208" i="43"/>
  <c r="BM208" i="43"/>
  <c r="BE208" i="43" s="1"/>
  <c r="BI208" i="43"/>
  <c r="BG208" i="43"/>
  <c r="AT208" i="43"/>
  <c r="AL208" i="43"/>
  <c r="AG208" i="43"/>
  <c r="G205" i="45" s="1"/>
  <c r="AF208" i="43"/>
  <c r="F205" i="45" s="1"/>
  <c r="AE208" i="43"/>
  <c r="E205" i="45" s="1"/>
  <c r="AD208" i="43"/>
  <c r="AC208" i="43"/>
  <c r="O208" i="43"/>
  <c r="DE208" i="43" s="1"/>
  <c r="GH207" i="43"/>
  <c r="GF207" i="43"/>
  <c r="GD207" i="43"/>
  <c r="GC207" i="43"/>
  <c r="GB207" i="43"/>
  <c r="FW207" i="43"/>
  <c r="FV207" i="43"/>
  <c r="FQ207" i="43"/>
  <c r="FL207" i="43"/>
  <c r="FD207" i="43"/>
  <c r="EU207" i="43"/>
  <c r="ET207" i="43"/>
  <c r="EM207" i="43"/>
  <c r="EF207" i="43"/>
  <c r="EG207" i="43" s="1"/>
  <c r="DV207" i="43"/>
  <c r="DU207" i="43"/>
  <c r="DT207" i="43"/>
  <c r="DS207" i="43"/>
  <c r="DP207" i="43"/>
  <c r="Q204" i="45" s="1"/>
  <c r="R204" i="45" s="1"/>
  <c r="DA207" i="43"/>
  <c r="CS207" i="43" s="1"/>
  <c r="CW207" i="43"/>
  <c r="CU207" i="43"/>
  <c r="CH207" i="43"/>
  <c r="CG207" i="43"/>
  <c r="CB207" i="43"/>
  <c r="BZ207" i="43"/>
  <c r="BM207" i="43"/>
  <c r="BE207" i="43" s="1"/>
  <c r="BI207" i="43"/>
  <c r="BG207" i="43"/>
  <c r="AT207" i="43"/>
  <c r="AL207" i="43"/>
  <c r="AG207" i="43"/>
  <c r="AF207" i="43"/>
  <c r="AE207" i="43"/>
  <c r="E204" i="45" s="1"/>
  <c r="AD207" i="43"/>
  <c r="AC207" i="43"/>
  <c r="O207" i="43"/>
  <c r="BQ207" i="43" s="1"/>
  <c r="GH206" i="43"/>
  <c r="GF206" i="43"/>
  <c r="GD206" i="43"/>
  <c r="GC206" i="43"/>
  <c r="GB206" i="43"/>
  <c r="FW206" i="43"/>
  <c r="FV206" i="43"/>
  <c r="FQ206" i="43"/>
  <c r="FL206" i="43"/>
  <c r="FD206" i="43"/>
  <c r="P203" i="45" s="1"/>
  <c r="EU206" i="43"/>
  <c r="ET206" i="43"/>
  <c r="EM206" i="43"/>
  <c r="EF206" i="43"/>
  <c r="EG206" i="43" s="1"/>
  <c r="DV206" i="43"/>
  <c r="DU206" i="43"/>
  <c r="DT206" i="43"/>
  <c r="DS206" i="43"/>
  <c r="DP206" i="43"/>
  <c r="Q203" i="45" s="1"/>
  <c r="R203" i="45" s="1"/>
  <c r="DA206" i="43"/>
  <c r="CS206" i="43" s="1"/>
  <c r="CW206" i="43"/>
  <c r="CU206" i="43"/>
  <c r="CH206" i="43"/>
  <c r="CG206" i="43"/>
  <c r="CD206" i="43" s="1"/>
  <c r="CB206" i="43"/>
  <c r="BZ206" i="43"/>
  <c r="BM206" i="43"/>
  <c r="BE206" i="43" s="1"/>
  <c r="BI206" i="43"/>
  <c r="BG206" i="43"/>
  <c r="AT206" i="43"/>
  <c r="AL206" i="43"/>
  <c r="AG206" i="43"/>
  <c r="G203" i="45" s="1"/>
  <c r="AF206" i="43"/>
  <c r="F203" i="45" s="1"/>
  <c r="AE206" i="43"/>
  <c r="E203" i="45" s="1"/>
  <c r="AD206" i="43"/>
  <c r="AC206" i="43"/>
  <c r="O206" i="43"/>
  <c r="Z206" i="43" s="1"/>
  <c r="I206" i="43"/>
  <c r="GH205" i="43"/>
  <c r="GF205" i="43"/>
  <c r="GD205" i="43"/>
  <c r="GC205" i="43"/>
  <c r="GB205" i="43"/>
  <c r="FW205" i="43"/>
  <c r="FV205" i="43"/>
  <c r="FQ205" i="43"/>
  <c r="FL205" i="43"/>
  <c r="FD205" i="43"/>
  <c r="P202" i="45" s="1"/>
  <c r="EU205" i="43"/>
  <c r="ET205" i="43"/>
  <c r="EM205" i="43"/>
  <c r="EF205" i="43"/>
  <c r="EG205" i="43" s="1"/>
  <c r="DV205" i="43"/>
  <c r="DU205" i="43"/>
  <c r="DT205" i="43"/>
  <c r="DS205" i="43"/>
  <c r="DP205" i="43"/>
  <c r="Q202" i="45" s="1"/>
  <c r="R202" i="45" s="1"/>
  <c r="DA205" i="43"/>
  <c r="CS205" i="43" s="1"/>
  <c r="CW205" i="43"/>
  <c r="CU205" i="43"/>
  <c r="CH205" i="43"/>
  <c r="CG205" i="43"/>
  <c r="CB205" i="43"/>
  <c r="BZ205" i="43"/>
  <c r="BM205" i="43"/>
  <c r="BE205" i="43" s="1"/>
  <c r="BI205" i="43"/>
  <c r="BG205" i="43"/>
  <c r="AT205" i="43"/>
  <c r="AL205" i="43"/>
  <c r="AG205" i="43"/>
  <c r="G202" i="45" s="1"/>
  <c r="AF205" i="43"/>
  <c r="F202" i="45" s="1"/>
  <c r="AE205" i="43"/>
  <c r="AD205" i="43"/>
  <c r="AC205" i="43"/>
  <c r="O205" i="43"/>
  <c r="Z205" i="43" s="1"/>
  <c r="J205" i="43"/>
  <c r="GH204" i="43"/>
  <c r="GF204" i="43"/>
  <c r="GD204" i="43"/>
  <c r="GC204" i="43"/>
  <c r="GB204" i="43"/>
  <c r="FW204" i="43"/>
  <c r="FV204" i="43"/>
  <c r="FQ204" i="43"/>
  <c r="FL204" i="43"/>
  <c r="FD204" i="43"/>
  <c r="P201" i="45" s="1"/>
  <c r="EU204" i="43"/>
  <c r="ET204" i="43"/>
  <c r="EM204" i="43"/>
  <c r="EF204" i="43"/>
  <c r="EG204" i="43" s="1"/>
  <c r="DV204" i="43"/>
  <c r="DU204" i="43"/>
  <c r="DT204" i="43"/>
  <c r="DS204" i="43"/>
  <c r="DP204" i="43"/>
  <c r="Q201" i="45" s="1"/>
  <c r="R201" i="45" s="1"/>
  <c r="DA204" i="43"/>
  <c r="CS204" i="43" s="1"/>
  <c r="CW204" i="43"/>
  <c r="CU204" i="43"/>
  <c r="CH204" i="43"/>
  <c r="CG204" i="43"/>
  <c r="CD204" i="43" s="1"/>
  <c r="CB204" i="43"/>
  <c r="BZ204" i="43"/>
  <c r="BM204" i="43"/>
  <c r="BE204" i="43" s="1"/>
  <c r="BI204" i="43"/>
  <c r="BG204" i="43"/>
  <c r="AT204" i="43"/>
  <c r="AL204" i="43"/>
  <c r="AG204" i="43"/>
  <c r="AF204" i="43"/>
  <c r="F201" i="45" s="1"/>
  <c r="AE204" i="43"/>
  <c r="E201" i="45" s="1"/>
  <c r="AD204" i="43"/>
  <c r="AC204" i="43"/>
  <c r="O204" i="43"/>
  <c r="Z204" i="43" s="1"/>
  <c r="J204" i="43"/>
  <c r="GH203" i="43"/>
  <c r="GF203" i="43"/>
  <c r="GD203" i="43"/>
  <c r="GC203" i="43"/>
  <c r="GB203" i="43"/>
  <c r="FW203" i="43"/>
  <c r="FV203" i="43"/>
  <c r="FQ203" i="43"/>
  <c r="FL203" i="43"/>
  <c r="FD203" i="43"/>
  <c r="EU203" i="43"/>
  <c r="ET203" i="43"/>
  <c r="EM203" i="43"/>
  <c r="EF203" i="43"/>
  <c r="EG203" i="43" s="1"/>
  <c r="DV203" i="43"/>
  <c r="DU203" i="43"/>
  <c r="DT203" i="43"/>
  <c r="DS203" i="43"/>
  <c r="DP203" i="43"/>
  <c r="Q200" i="45" s="1"/>
  <c r="R200" i="45" s="1"/>
  <c r="DA203" i="43"/>
  <c r="CS203" i="43" s="1"/>
  <c r="CW203" i="43"/>
  <c r="CU203" i="43"/>
  <c r="CH203" i="43"/>
  <c r="CG203" i="43"/>
  <c r="CB203" i="43"/>
  <c r="BZ203" i="43"/>
  <c r="BM203" i="43"/>
  <c r="BE203" i="43" s="1"/>
  <c r="BI203" i="43"/>
  <c r="BG203" i="43"/>
  <c r="AT203" i="43"/>
  <c r="AL203" i="43"/>
  <c r="AG203" i="43"/>
  <c r="G200" i="45" s="1"/>
  <c r="AF203" i="43"/>
  <c r="AE203" i="43"/>
  <c r="AD203" i="43"/>
  <c r="AC203" i="43"/>
  <c r="O203" i="43"/>
  <c r="Z203" i="43" s="1"/>
  <c r="GH202" i="43"/>
  <c r="GF202" i="43"/>
  <c r="GD202" i="43"/>
  <c r="GC202" i="43"/>
  <c r="GB202" i="43"/>
  <c r="FW202" i="43"/>
  <c r="FV202" i="43"/>
  <c r="FQ202" i="43"/>
  <c r="FL202" i="43"/>
  <c r="FD202" i="43"/>
  <c r="P199" i="45" s="1"/>
  <c r="EU202" i="43"/>
  <c r="ET202" i="43"/>
  <c r="EM202" i="43"/>
  <c r="EF202" i="43"/>
  <c r="EG202" i="43" s="1"/>
  <c r="DV202" i="43"/>
  <c r="DU202" i="43"/>
  <c r="DT202" i="43"/>
  <c r="DS202" i="43"/>
  <c r="DP202" i="43"/>
  <c r="Q199" i="45" s="1"/>
  <c r="R199" i="45" s="1"/>
  <c r="DA202" i="43"/>
  <c r="CS202" i="43" s="1"/>
  <c r="CW202" i="43"/>
  <c r="CU202" i="43"/>
  <c r="CH202" i="43"/>
  <c r="CG202" i="43"/>
  <c r="CD202" i="43" s="1"/>
  <c r="AR202" i="43" s="1"/>
  <c r="CB202" i="43"/>
  <c r="BZ202" i="43"/>
  <c r="BM202" i="43"/>
  <c r="BE202" i="43" s="1"/>
  <c r="BI202" i="43"/>
  <c r="BG202" i="43"/>
  <c r="AT202" i="43"/>
  <c r="AL202" i="43"/>
  <c r="AG202" i="43"/>
  <c r="G199" i="45" s="1"/>
  <c r="AF202" i="43"/>
  <c r="F199" i="45" s="1"/>
  <c r="AE202" i="43"/>
  <c r="AD202" i="43"/>
  <c r="AC202" i="43"/>
  <c r="O202" i="43"/>
  <c r="Z202" i="43" s="1"/>
  <c r="I202" i="43"/>
  <c r="GH201" i="43"/>
  <c r="GF201" i="43"/>
  <c r="GD201" i="43"/>
  <c r="GC201" i="43"/>
  <c r="GB201" i="43"/>
  <c r="FW201" i="43"/>
  <c r="FV201" i="43"/>
  <c r="FQ201" i="43"/>
  <c r="FL201" i="43"/>
  <c r="FD201" i="43"/>
  <c r="P198" i="45" s="1"/>
  <c r="EU201" i="43"/>
  <c r="ET201" i="43"/>
  <c r="EM201" i="43"/>
  <c r="EF201" i="43"/>
  <c r="EG201" i="43" s="1"/>
  <c r="DV201" i="43"/>
  <c r="DU201" i="43"/>
  <c r="DT201" i="43"/>
  <c r="DS201" i="43"/>
  <c r="DP201" i="43"/>
  <c r="Q198" i="45" s="1"/>
  <c r="R198" i="45" s="1"/>
  <c r="DA201" i="43"/>
  <c r="CS201" i="43" s="1"/>
  <c r="CW201" i="43"/>
  <c r="CU201" i="43"/>
  <c r="CH201" i="43"/>
  <c r="CG201" i="43"/>
  <c r="CD201" i="43" s="1"/>
  <c r="AR201" i="43" s="1"/>
  <c r="CB201" i="43"/>
  <c r="BZ201" i="43"/>
  <c r="BM201" i="43"/>
  <c r="BE201" i="43" s="1"/>
  <c r="BI201" i="43"/>
  <c r="BG201" i="43"/>
  <c r="AT201" i="43"/>
  <c r="AL201" i="43"/>
  <c r="AG201" i="43"/>
  <c r="G198" i="45" s="1"/>
  <c r="AF201" i="43"/>
  <c r="F198" i="45" s="1"/>
  <c r="AE201" i="43"/>
  <c r="AD201" i="43"/>
  <c r="AC201" i="43"/>
  <c r="O201" i="43"/>
  <c r="Z201" i="43" s="1"/>
  <c r="GH200" i="43"/>
  <c r="GF200" i="43"/>
  <c r="GD200" i="43"/>
  <c r="GC200" i="43"/>
  <c r="GB200" i="43"/>
  <c r="FW200" i="43"/>
  <c r="FV200" i="43"/>
  <c r="FQ200" i="43"/>
  <c r="FL200" i="43"/>
  <c r="FD200" i="43"/>
  <c r="P197" i="45" s="1"/>
  <c r="EU200" i="43"/>
  <c r="ET200" i="43"/>
  <c r="EM200" i="43"/>
  <c r="EF200" i="43"/>
  <c r="EG200" i="43" s="1"/>
  <c r="DV200" i="43"/>
  <c r="DU200" i="43"/>
  <c r="DT200" i="43"/>
  <c r="DS200" i="43"/>
  <c r="DP200" i="43"/>
  <c r="Q197" i="45" s="1"/>
  <c r="R197" i="45" s="1"/>
  <c r="DA200" i="43"/>
  <c r="CS200" i="43" s="1"/>
  <c r="CW200" i="43"/>
  <c r="CU200" i="43"/>
  <c r="CH200" i="43"/>
  <c r="CG200" i="43"/>
  <c r="CD200" i="43" s="1"/>
  <c r="AR200" i="43" s="1"/>
  <c r="CB200" i="43"/>
  <c r="BZ200" i="43"/>
  <c r="BM200" i="43"/>
  <c r="BE200" i="43" s="1"/>
  <c r="BI200" i="43"/>
  <c r="BG200" i="43"/>
  <c r="AT200" i="43"/>
  <c r="AL200" i="43"/>
  <c r="AG200" i="43"/>
  <c r="AF200" i="43"/>
  <c r="F197" i="45" s="1"/>
  <c r="AE200" i="43"/>
  <c r="E197" i="45" s="1"/>
  <c r="AD200" i="43"/>
  <c r="AC200" i="43"/>
  <c r="O200" i="43"/>
  <c r="Z200" i="43" s="1"/>
  <c r="GH199" i="43"/>
  <c r="GF199" i="43"/>
  <c r="GD199" i="43"/>
  <c r="GC199" i="43"/>
  <c r="GB199" i="43"/>
  <c r="FW199" i="43"/>
  <c r="FV199" i="43"/>
  <c r="FQ199" i="43"/>
  <c r="FL199" i="43"/>
  <c r="FD199" i="43"/>
  <c r="EU199" i="43"/>
  <c r="ET199" i="43"/>
  <c r="EM199" i="43"/>
  <c r="EF199" i="43"/>
  <c r="EG199" i="43" s="1"/>
  <c r="DV199" i="43"/>
  <c r="DU199" i="43"/>
  <c r="DT199" i="43"/>
  <c r="DS199" i="43"/>
  <c r="DP199" i="43"/>
  <c r="Q196" i="45" s="1"/>
  <c r="R196" i="45" s="1"/>
  <c r="DA199" i="43"/>
  <c r="CS199" i="43" s="1"/>
  <c r="CW199" i="43"/>
  <c r="CU199" i="43"/>
  <c r="CH199" i="43"/>
  <c r="CG199" i="43"/>
  <c r="CD199" i="43" s="1"/>
  <c r="CB199" i="43"/>
  <c r="BZ199" i="43"/>
  <c r="BM199" i="43"/>
  <c r="BE199" i="43" s="1"/>
  <c r="BI199" i="43"/>
  <c r="BG199" i="43"/>
  <c r="AL199" i="43"/>
  <c r="AG199" i="43"/>
  <c r="G196" i="45" s="1"/>
  <c r="AF199" i="43"/>
  <c r="F196" i="45" s="1"/>
  <c r="AE199" i="43"/>
  <c r="E196" i="45" s="1"/>
  <c r="AD199" i="43"/>
  <c r="AC199" i="43"/>
  <c r="O199" i="43"/>
  <c r="DE199" i="43" s="1"/>
  <c r="GH198" i="43"/>
  <c r="GF198" i="43"/>
  <c r="GD198" i="43"/>
  <c r="GC198" i="43"/>
  <c r="GB198" i="43"/>
  <c r="FW198" i="43"/>
  <c r="FV198" i="43"/>
  <c r="FQ198" i="43"/>
  <c r="FL198" i="43"/>
  <c r="FD198" i="43"/>
  <c r="EU198" i="43"/>
  <c r="ET198" i="43"/>
  <c r="EM198" i="43"/>
  <c r="EF198" i="43"/>
  <c r="EG198" i="43" s="1"/>
  <c r="DV198" i="43"/>
  <c r="DU198" i="43"/>
  <c r="DT198" i="43"/>
  <c r="DS198" i="43"/>
  <c r="DP198" i="43"/>
  <c r="Q195" i="45" s="1"/>
  <c r="R195" i="45" s="1"/>
  <c r="DA198" i="43"/>
  <c r="CS198" i="43" s="1"/>
  <c r="CW198" i="43"/>
  <c r="CU198" i="43"/>
  <c r="CH198" i="43"/>
  <c r="CG198" i="43"/>
  <c r="CD198" i="43" s="1"/>
  <c r="AR198" i="43" s="1"/>
  <c r="CB198" i="43"/>
  <c r="BZ198" i="43"/>
  <c r="BM198" i="43"/>
  <c r="BE198" i="43" s="1"/>
  <c r="BI198" i="43"/>
  <c r="BG198" i="43"/>
  <c r="AT198" i="43"/>
  <c r="AL198" i="43"/>
  <c r="AG198" i="43"/>
  <c r="G195" i="45" s="1"/>
  <c r="AF198" i="43"/>
  <c r="F195" i="45" s="1"/>
  <c r="AE198" i="43"/>
  <c r="AD198" i="43"/>
  <c r="AC198" i="43"/>
  <c r="O198" i="43"/>
  <c r="J198" i="43"/>
  <c r="GH197" i="43"/>
  <c r="GF197" i="43"/>
  <c r="GD197" i="43"/>
  <c r="DC197" i="43" s="1"/>
  <c r="GC197" i="43"/>
  <c r="GB197" i="43"/>
  <c r="FW197" i="43"/>
  <c r="FV197" i="43"/>
  <c r="FQ197" i="43"/>
  <c r="FL197" i="43"/>
  <c r="FD197" i="43"/>
  <c r="P194" i="45" s="1"/>
  <c r="EU197" i="43"/>
  <c r="ET197" i="43"/>
  <c r="EM197" i="43"/>
  <c r="EF197" i="43"/>
  <c r="EG197" i="43" s="1"/>
  <c r="DV197" i="43"/>
  <c r="DU197" i="43"/>
  <c r="DT197" i="43"/>
  <c r="DS197" i="43"/>
  <c r="DP197" i="43"/>
  <c r="Q194" i="45" s="1"/>
  <c r="R194" i="45" s="1"/>
  <c r="DA197" i="43"/>
  <c r="CS197" i="43" s="1"/>
  <c r="CW197" i="43"/>
  <c r="CU197" i="43"/>
  <c r="CH197" i="43"/>
  <c r="CG197" i="43"/>
  <c r="CB197" i="43"/>
  <c r="BZ197" i="43"/>
  <c r="BM197" i="43"/>
  <c r="BE197" i="43" s="1"/>
  <c r="BI197" i="43"/>
  <c r="BG197" i="43"/>
  <c r="AT197" i="43"/>
  <c r="AL197" i="43"/>
  <c r="AG197" i="43"/>
  <c r="G194" i="45" s="1"/>
  <c r="AF197" i="43"/>
  <c r="F194" i="45" s="1"/>
  <c r="AE197" i="43"/>
  <c r="E194" i="45" s="1"/>
  <c r="AD197" i="43"/>
  <c r="AC197" i="43"/>
  <c r="O197" i="43"/>
  <c r="FO197" i="43" s="1"/>
  <c r="J197" i="43"/>
  <c r="GH196" i="43"/>
  <c r="GF196" i="43"/>
  <c r="GD196" i="43"/>
  <c r="GC196" i="43"/>
  <c r="GB196" i="43"/>
  <c r="FW196" i="43"/>
  <c r="FV196" i="43"/>
  <c r="FQ196" i="43"/>
  <c r="FL196" i="43"/>
  <c r="FD196" i="43"/>
  <c r="EU196" i="43"/>
  <c r="ET196" i="43"/>
  <c r="EM196" i="43"/>
  <c r="EF196" i="43"/>
  <c r="EG196" i="43" s="1"/>
  <c r="DV196" i="43"/>
  <c r="DU196" i="43"/>
  <c r="DT196" i="43"/>
  <c r="DS196" i="43"/>
  <c r="DP196" i="43"/>
  <c r="Q193" i="45" s="1"/>
  <c r="R193" i="45" s="1"/>
  <c r="DA196" i="43"/>
  <c r="CS196" i="43" s="1"/>
  <c r="CW196" i="43"/>
  <c r="CU196" i="43"/>
  <c r="CH196" i="43"/>
  <c r="CG196" i="43"/>
  <c r="CB196" i="43"/>
  <c r="BZ196" i="43"/>
  <c r="BM196" i="43"/>
  <c r="BE196" i="43" s="1"/>
  <c r="BI196" i="43"/>
  <c r="BG196" i="43"/>
  <c r="AT196" i="43"/>
  <c r="AL196" i="43"/>
  <c r="AG196" i="43"/>
  <c r="AF196" i="43"/>
  <c r="F193" i="45" s="1"/>
  <c r="AE196" i="43"/>
  <c r="E193" i="45" s="1"/>
  <c r="AD196" i="43"/>
  <c r="AC196" i="43"/>
  <c r="O196" i="43"/>
  <c r="GH195" i="43"/>
  <c r="GF195" i="43"/>
  <c r="GD195" i="43"/>
  <c r="GC195" i="43"/>
  <c r="GB195" i="43"/>
  <c r="FW195" i="43"/>
  <c r="FV195" i="43"/>
  <c r="FQ195" i="43"/>
  <c r="FL195" i="43"/>
  <c r="FD195" i="43"/>
  <c r="P192" i="45" s="1"/>
  <c r="EU195" i="43"/>
  <c r="ET195" i="43"/>
  <c r="EM195" i="43"/>
  <c r="EF195" i="43"/>
  <c r="EG195" i="43" s="1"/>
  <c r="DV195" i="43"/>
  <c r="DU195" i="43"/>
  <c r="DT195" i="43"/>
  <c r="DS195" i="43"/>
  <c r="DP195" i="43"/>
  <c r="Q192" i="45" s="1"/>
  <c r="R192" i="45" s="1"/>
  <c r="DA195" i="43"/>
  <c r="CS195" i="43" s="1"/>
  <c r="CW195" i="43"/>
  <c r="CU195" i="43"/>
  <c r="CH195" i="43"/>
  <c r="CG195" i="43"/>
  <c r="CD195" i="43" s="1"/>
  <c r="AR195" i="43" s="1"/>
  <c r="CB195" i="43"/>
  <c r="BZ195" i="43"/>
  <c r="BM195" i="43"/>
  <c r="BE195" i="43" s="1"/>
  <c r="BI195" i="43"/>
  <c r="BG195" i="43"/>
  <c r="AT195" i="43"/>
  <c r="AL195" i="43"/>
  <c r="AG195" i="43"/>
  <c r="G192" i="45" s="1"/>
  <c r="AF195" i="43"/>
  <c r="F192" i="45" s="1"/>
  <c r="AE195" i="43"/>
  <c r="E192" i="45" s="1"/>
  <c r="AD195" i="43"/>
  <c r="AC195" i="43"/>
  <c r="O195" i="43"/>
  <c r="FO195" i="43" s="1"/>
  <c r="I195" i="43"/>
  <c r="J195" i="43"/>
  <c r="GH194" i="43"/>
  <c r="GF194" i="43"/>
  <c r="GD194" i="43"/>
  <c r="GC194" i="43"/>
  <c r="GB194" i="43"/>
  <c r="FW194" i="43"/>
  <c r="FV194" i="43"/>
  <c r="FQ194" i="43"/>
  <c r="FL194" i="43"/>
  <c r="FD194" i="43"/>
  <c r="EU194" i="43"/>
  <c r="ET194" i="43"/>
  <c r="EM194" i="43"/>
  <c r="EF194" i="43"/>
  <c r="EG194" i="43" s="1"/>
  <c r="DV194" i="43"/>
  <c r="DU194" i="43"/>
  <c r="DT194" i="43"/>
  <c r="DS194" i="43"/>
  <c r="DP194" i="43"/>
  <c r="Q191" i="45" s="1"/>
  <c r="R191" i="45" s="1"/>
  <c r="DA194" i="43"/>
  <c r="CS194" i="43" s="1"/>
  <c r="CW194" i="43"/>
  <c r="CU194" i="43"/>
  <c r="CH194" i="43"/>
  <c r="CG194" i="43"/>
  <c r="CD194" i="43" s="1"/>
  <c r="AR194" i="43" s="1"/>
  <c r="CB194" i="43"/>
  <c r="BZ194" i="43"/>
  <c r="BM194" i="43"/>
  <c r="BE194" i="43" s="1"/>
  <c r="BI194" i="43"/>
  <c r="BG194" i="43"/>
  <c r="AT194" i="43"/>
  <c r="AL194" i="43"/>
  <c r="AG194" i="43"/>
  <c r="G191" i="45" s="1"/>
  <c r="AF194" i="43"/>
  <c r="F191" i="45" s="1"/>
  <c r="AE194" i="43"/>
  <c r="E191" i="45" s="1"/>
  <c r="AD194" i="43"/>
  <c r="AC194" i="43"/>
  <c r="O194" i="43"/>
  <c r="FO194" i="43" s="1"/>
  <c r="I194" i="43"/>
  <c r="GH193" i="43"/>
  <c r="GF193" i="43"/>
  <c r="GD193" i="43"/>
  <c r="GC193" i="43"/>
  <c r="GB193" i="43"/>
  <c r="FW193" i="43"/>
  <c r="FV193" i="43"/>
  <c r="FQ193" i="43"/>
  <c r="FD193" i="43"/>
  <c r="EU193" i="43"/>
  <c r="ET193" i="43"/>
  <c r="EM193" i="43"/>
  <c r="EF193" i="43"/>
  <c r="EG193" i="43" s="1"/>
  <c r="DV193" i="43"/>
  <c r="DU193" i="43"/>
  <c r="DT193" i="43"/>
  <c r="DS193" i="43"/>
  <c r="DP193" i="43"/>
  <c r="Q190" i="45" s="1"/>
  <c r="R190" i="45" s="1"/>
  <c r="DA193" i="43"/>
  <c r="CS193" i="43" s="1"/>
  <c r="CW193" i="43"/>
  <c r="CU193" i="43"/>
  <c r="CH193" i="43"/>
  <c r="CG193" i="43"/>
  <c r="CB193" i="43"/>
  <c r="BZ193" i="43"/>
  <c r="BM193" i="43"/>
  <c r="BE193" i="43" s="1"/>
  <c r="BI193" i="43"/>
  <c r="BG193" i="43"/>
  <c r="AT193" i="43"/>
  <c r="AL193" i="43"/>
  <c r="AG193" i="43"/>
  <c r="G190" i="45" s="1"/>
  <c r="AF193" i="43"/>
  <c r="AE193" i="43"/>
  <c r="AD193" i="43"/>
  <c r="AC193" i="43"/>
  <c r="O193" i="43"/>
  <c r="GH192" i="43"/>
  <c r="GF192" i="43"/>
  <c r="GD192" i="43"/>
  <c r="GC192" i="43"/>
  <c r="GB192" i="43"/>
  <c r="FW192" i="43"/>
  <c r="FV192" i="43"/>
  <c r="FQ192" i="43"/>
  <c r="FD192" i="43"/>
  <c r="EU192" i="43"/>
  <c r="ET192" i="43"/>
  <c r="EM192" i="43"/>
  <c r="EF192" i="43"/>
  <c r="EG192" i="43" s="1"/>
  <c r="DV192" i="43"/>
  <c r="DU192" i="43"/>
  <c r="DT192" i="43"/>
  <c r="DS192" i="43"/>
  <c r="DP192" i="43"/>
  <c r="Q189" i="45" s="1"/>
  <c r="R189" i="45" s="1"/>
  <c r="DA192" i="43"/>
  <c r="CS192" i="43" s="1"/>
  <c r="CW192" i="43"/>
  <c r="CU192" i="43"/>
  <c r="CH192" i="43"/>
  <c r="CG192" i="43"/>
  <c r="CD192" i="43" s="1"/>
  <c r="CB192" i="43"/>
  <c r="BZ192" i="43"/>
  <c r="BM192" i="43"/>
  <c r="BE192" i="43" s="1"/>
  <c r="BI192" i="43"/>
  <c r="BG192" i="43"/>
  <c r="AT192" i="43"/>
  <c r="AL192" i="43"/>
  <c r="AG192" i="43"/>
  <c r="G189" i="45" s="1"/>
  <c r="AF192" i="43"/>
  <c r="F189" i="45" s="1"/>
  <c r="AE192" i="43"/>
  <c r="AD192" i="43"/>
  <c r="AC192" i="43"/>
  <c r="O192" i="43"/>
  <c r="GH191" i="43"/>
  <c r="GF191" i="43"/>
  <c r="GD191" i="43"/>
  <c r="GC191" i="43"/>
  <c r="GB191" i="43"/>
  <c r="FW191" i="43"/>
  <c r="FV191" i="43"/>
  <c r="FQ191" i="43"/>
  <c r="FD191" i="43"/>
  <c r="EU191" i="43"/>
  <c r="ET191" i="43"/>
  <c r="EM191" i="43"/>
  <c r="EF191" i="43"/>
  <c r="EG191" i="43" s="1"/>
  <c r="DV191" i="43"/>
  <c r="DU191" i="43"/>
  <c r="DT191" i="43"/>
  <c r="DS191" i="43"/>
  <c r="DP191" i="43"/>
  <c r="Q188" i="45" s="1"/>
  <c r="R188" i="45" s="1"/>
  <c r="DA191" i="43"/>
  <c r="CS191" i="43" s="1"/>
  <c r="CW191" i="43"/>
  <c r="CU191" i="43"/>
  <c r="CH191" i="43"/>
  <c r="CG191" i="43"/>
  <c r="CB191" i="43"/>
  <c r="BZ191" i="43"/>
  <c r="BM191" i="43"/>
  <c r="BE191" i="43" s="1"/>
  <c r="BI191" i="43"/>
  <c r="BG191" i="43"/>
  <c r="AT191" i="43"/>
  <c r="AL191" i="43"/>
  <c r="AG191" i="43"/>
  <c r="G188" i="45" s="1"/>
  <c r="AF191" i="43"/>
  <c r="F188" i="45" s="1"/>
  <c r="AE191" i="43"/>
  <c r="E188" i="45" s="1"/>
  <c r="AD191" i="43"/>
  <c r="AC191" i="43"/>
  <c r="O191" i="43"/>
  <c r="I191" i="43"/>
  <c r="GH190" i="43"/>
  <c r="GF190" i="43"/>
  <c r="GD190" i="43"/>
  <c r="GC190" i="43"/>
  <c r="GB190" i="43"/>
  <c r="FW190" i="43"/>
  <c r="FV190" i="43"/>
  <c r="FQ190" i="43"/>
  <c r="FD190" i="43"/>
  <c r="P187" i="45" s="1"/>
  <c r="EU190" i="43"/>
  <c r="ET190" i="43"/>
  <c r="EM190" i="43"/>
  <c r="EF190" i="43"/>
  <c r="EG190" i="43" s="1"/>
  <c r="DV190" i="43"/>
  <c r="DU190" i="43"/>
  <c r="DT190" i="43"/>
  <c r="DS190" i="43"/>
  <c r="DP190" i="43"/>
  <c r="Q187" i="45" s="1"/>
  <c r="R187" i="45" s="1"/>
  <c r="DA190" i="43"/>
  <c r="CS190" i="43" s="1"/>
  <c r="CW190" i="43"/>
  <c r="CU190" i="43"/>
  <c r="CH190" i="43"/>
  <c r="CG190" i="43"/>
  <c r="CD190" i="43" s="1"/>
  <c r="CB190" i="43"/>
  <c r="BZ190" i="43"/>
  <c r="BM190" i="43"/>
  <c r="BE190" i="43" s="1"/>
  <c r="BI190" i="43"/>
  <c r="BG190" i="43"/>
  <c r="AT190" i="43"/>
  <c r="AL190" i="43"/>
  <c r="AG190" i="43"/>
  <c r="G187" i="45" s="1"/>
  <c r="AF190" i="43"/>
  <c r="F187" i="45" s="1"/>
  <c r="AE190" i="43"/>
  <c r="E187" i="45" s="1"/>
  <c r="AD190" i="43"/>
  <c r="AC190" i="43"/>
  <c r="O190" i="43"/>
  <c r="J190" i="43"/>
  <c r="GH189" i="43"/>
  <c r="GF189" i="43"/>
  <c r="GD189" i="43"/>
  <c r="GC189" i="43"/>
  <c r="GB189" i="43"/>
  <c r="FW189" i="43"/>
  <c r="FV189" i="43"/>
  <c r="FQ189" i="43"/>
  <c r="FD189" i="43"/>
  <c r="EU189" i="43"/>
  <c r="ET189" i="43"/>
  <c r="EM189" i="43"/>
  <c r="EF189" i="43"/>
  <c r="EG189" i="43" s="1"/>
  <c r="DV189" i="43"/>
  <c r="DU189" i="43"/>
  <c r="DT189" i="43"/>
  <c r="DS189" i="43"/>
  <c r="DP189" i="43"/>
  <c r="Q186" i="45" s="1"/>
  <c r="R186" i="45" s="1"/>
  <c r="DA189" i="43"/>
  <c r="CS189" i="43" s="1"/>
  <c r="CW189" i="43"/>
  <c r="CU189" i="43"/>
  <c r="CH189" i="43"/>
  <c r="CG189" i="43"/>
  <c r="CD189" i="43" s="1"/>
  <c r="AP189" i="43" s="1"/>
  <c r="CB189" i="43"/>
  <c r="BZ189" i="43"/>
  <c r="BM189" i="43"/>
  <c r="BE189" i="43" s="1"/>
  <c r="BI189" i="43"/>
  <c r="BG189" i="43"/>
  <c r="AT189" i="43"/>
  <c r="AL189" i="43"/>
  <c r="AG189" i="43"/>
  <c r="G186" i="45" s="1"/>
  <c r="AF189" i="43"/>
  <c r="F186" i="45" s="1"/>
  <c r="AE189" i="43"/>
  <c r="AD189" i="43"/>
  <c r="AC189" i="43"/>
  <c r="O189" i="43"/>
  <c r="GH188" i="43"/>
  <c r="GF188" i="43"/>
  <c r="GD188" i="43"/>
  <c r="GC188" i="43"/>
  <c r="GB188" i="43"/>
  <c r="FW188" i="43"/>
  <c r="FV188" i="43"/>
  <c r="FQ188" i="43"/>
  <c r="FD188" i="43"/>
  <c r="P185" i="45" s="1"/>
  <c r="EU188" i="43"/>
  <c r="ET188" i="43"/>
  <c r="EM188" i="43"/>
  <c r="EF188" i="43"/>
  <c r="EG188" i="43" s="1"/>
  <c r="DV188" i="43"/>
  <c r="DU188" i="43"/>
  <c r="DT188" i="43"/>
  <c r="DS188" i="43"/>
  <c r="DP188" i="43"/>
  <c r="Q185" i="45" s="1"/>
  <c r="R185" i="45" s="1"/>
  <c r="DA188" i="43"/>
  <c r="CS188" i="43" s="1"/>
  <c r="CW188" i="43"/>
  <c r="CU188" i="43"/>
  <c r="CH188" i="43"/>
  <c r="CG188" i="43"/>
  <c r="CD188" i="43" s="1"/>
  <c r="CB188" i="43"/>
  <c r="BZ188" i="43"/>
  <c r="BM188" i="43"/>
  <c r="BE188" i="43" s="1"/>
  <c r="BI188" i="43"/>
  <c r="BG188" i="43"/>
  <c r="AT188" i="43"/>
  <c r="AL188" i="43"/>
  <c r="AG188" i="43"/>
  <c r="G185" i="45" s="1"/>
  <c r="AF188" i="43"/>
  <c r="F185" i="45" s="1"/>
  <c r="AE188" i="43"/>
  <c r="E185" i="45" s="1"/>
  <c r="AD188" i="43"/>
  <c r="AC188" i="43"/>
  <c r="O188" i="43"/>
  <c r="GH187" i="43"/>
  <c r="GF187" i="43"/>
  <c r="GD187" i="43"/>
  <c r="GC187" i="43"/>
  <c r="GB187" i="43"/>
  <c r="FW187" i="43"/>
  <c r="FV187" i="43"/>
  <c r="FQ187" i="43"/>
  <c r="FD187" i="43"/>
  <c r="EU187" i="43"/>
  <c r="ET187" i="43"/>
  <c r="EM187" i="43"/>
  <c r="EF187" i="43"/>
  <c r="EG187" i="43" s="1"/>
  <c r="DV187" i="43"/>
  <c r="DU187" i="43"/>
  <c r="DT187" i="43"/>
  <c r="DS187" i="43"/>
  <c r="DP187" i="43"/>
  <c r="Q184" i="45" s="1"/>
  <c r="R184" i="45" s="1"/>
  <c r="DA187" i="43"/>
  <c r="CS187" i="43" s="1"/>
  <c r="CW187" i="43"/>
  <c r="CU187" i="43"/>
  <c r="CH187" i="43"/>
  <c r="CG187" i="43"/>
  <c r="CD187" i="43" s="1"/>
  <c r="CB187" i="43"/>
  <c r="BZ187" i="43"/>
  <c r="BM187" i="43"/>
  <c r="BE187" i="43" s="1"/>
  <c r="BI187" i="43"/>
  <c r="BG187" i="43"/>
  <c r="AT187" i="43"/>
  <c r="AL187" i="43"/>
  <c r="AG187" i="43"/>
  <c r="G184" i="45" s="1"/>
  <c r="AF187" i="43"/>
  <c r="F184" i="45" s="1"/>
  <c r="AE187" i="43"/>
  <c r="E184" i="45" s="1"/>
  <c r="AD187" i="43"/>
  <c r="AC187" i="43"/>
  <c r="GH186" i="43"/>
  <c r="GF186" i="43"/>
  <c r="GD186" i="43"/>
  <c r="GC186" i="43"/>
  <c r="GB186" i="43"/>
  <c r="FW186" i="43"/>
  <c r="FV186" i="43"/>
  <c r="FQ186" i="43"/>
  <c r="FD186" i="43"/>
  <c r="EU186" i="43"/>
  <c r="ET186" i="43"/>
  <c r="EM186" i="43"/>
  <c r="EF186" i="43"/>
  <c r="EG186" i="43" s="1"/>
  <c r="DV186" i="43"/>
  <c r="DU186" i="43"/>
  <c r="DT186" i="43"/>
  <c r="DS186" i="43"/>
  <c r="DP186" i="43"/>
  <c r="Q183" i="45" s="1"/>
  <c r="R183" i="45" s="1"/>
  <c r="DA186" i="43"/>
  <c r="CS186" i="43" s="1"/>
  <c r="CW186" i="43"/>
  <c r="CU186" i="43"/>
  <c r="CH186" i="43"/>
  <c r="CG186" i="43"/>
  <c r="CD186" i="43" s="1"/>
  <c r="CB186" i="43"/>
  <c r="BZ186" i="43"/>
  <c r="BM186" i="43"/>
  <c r="BE186" i="43" s="1"/>
  <c r="BI186" i="43"/>
  <c r="BG186" i="43"/>
  <c r="AT186" i="43"/>
  <c r="AL186" i="43"/>
  <c r="AG186" i="43"/>
  <c r="AF186" i="43"/>
  <c r="F183" i="45" s="1"/>
  <c r="AE186" i="43"/>
  <c r="E183" i="45" s="1"/>
  <c r="AD186" i="43"/>
  <c r="AC186" i="43"/>
  <c r="O186" i="43"/>
  <c r="GH185" i="43"/>
  <c r="GF185" i="43"/>
  <c r="GD185" i="43"/>
  <c r="GC185" i="43"/>
  <c r="GB185" i="43"/>
  <c r="FW185" i="43"/>
  <c r="FV185" i="43"/>
  <c r="FQ185" i="43"/>
  <c r="FD185" i="43"/>
  <c r="EU185" i="43"/>
  <c r="ET185" i="43"/>
  <c r="EM185" i="43"/>
  <c r="EF185" i="43"/>
  <c r="EG185" i="43" s="1"/>
  <c r="DV185" i="43"/>
  <c r="DU185" i="43"/>
  <c r="DT185" i="43"/>
  <c r="DS185" i="43"/>
  <c r="DP185" i="43"/>
  <c r="Q182" i="45" s="1"/>
  <c r="R182" i="45" s="1"/>
  <c r="DA185" i="43"/>
  <c r="CS185" i="43" s="1"/>
  <c r="CW185" i="43"/>
  <c r="CU185" i="43"/>
  <c r="CH185" i="43"/>
  <c r="CG185" i="43"/>
  <c r="CD185" i="43" s="1"/>
  <c r="AP185" i="43" s="1"/>
  <c r="CB185" i="43"/>
  <c r="BZ185" i="43"/>
  <c r="BM185" i="43"/>
  <c r="BE185" i="43" s="1"/>
  <c r="BI185" i="43"/>
  <c r="BG185" i="43"/>
  <c r="AT185" i="43"/>
  <c r="AL185" i="43"/>
  <c r="AG185" i="43"/>
  <c r="G182" i="45" s="1"/>
  <c r="AF185" i="43"/>
  <c r="F182" i="45" s="1"/>
  <c r="AE185" i="43"/>
  <c r="E182" i="45" s="1"/>
  <c r="AD185" i="43"/>
  <c r="AC185" i="43"/>
  <c r="O185" i="43"/>
  <c r="J185" i="43"/>
  <c r="GH184" i="43"/>
  <c r="GF184" i="43"/>
  <c r="GD184" i="43"/>
  <c r="GC184" i="43"/>
  <c r="GB184" i="43"/>
  <c r="FW184" i="43"/>
  <c r="FV184" i="43"/>
  <c r="FQ184" i="43"/>
  <c r="FD184" i="43"/>
  <c r="P181" i="45" s="1"/>
  <c r="EU184" i="43"/>
  <c r="ET184" i="43"/>
  <c r="EM184" i="43"/>
  <c r="EF184" i="43"/>
  <c r="EG184" i="43" s="1"/>
  <c r="DV184" i="43"/>
  <c r="DU184" i="43"/>
  <c r="DT184" i="43"/>
  <c r="DS184" i="43"/>
  <c r="DP184" i="43"/>
  <c r="DA184" i="43"/>
  <c r="CS184" i="43" s="1"/>
  <c r="CW184" i="43"/>
  <c r="CU184" i="43"/>
  <c r="CH184" i="43"/>
  <c r="CG184" i="43"/>
  <c r="CD184" i="43" s="1"/>
  <c r="CB184" i="43"/>
  <c r="BZ184" i="43"/>
  <c r="BM184" i="43"/>
  <c r="BE184" i="43" s="1"/>
  <c r="BI184" i="43"/>
  <c r="BG184" i="43"/>
  <c r="AT184" i="43"/>
  <c r="AL184" i="43"/>
  <c r="AG184" i="43"/>
  <c r="G181" i="45" s="1"/>
  <c r="AF184" i="43"/>
  <c r="F181" i="45" s="1"/>
  <c r="AE184" i="43"/>
  <c r="AD184" i="43"/>
  <c r="AC184" i="43"/>
  <c r="O184" i="43"/>
  <c r="FO184" i="43" s="1"/>
  <c r="J184" i="43"/>
  <c r="GH183" i="43"/>
  <c r="GF183" i="43"/>
  <c r="GD183" i="43"/>
  <c r="GC183" i="43"/>
  <c r="GB183" i="43"/>
  <c r="FW183" i="43"/>
  <c r="FV183" i="43"/>
  <c r="FQ183" i="43"/>
  <c r="FD183" i="43"/>
  <c r="P180" i="45" s="1"/>
  <c r="EU183" i="43"/>
  <c r="ET183" i="43"/>
  <c r="EM183" i="43"/>
  <c r="EF183" i="43"/>
  <c r="EG183" i="43" s="1"/>
  <c r="DV183" i="43"/>
  <c r="DU183" i="43"/>
  <c r="DT183" i="43"/>
  <c r="DS183" i="43"/>
  <c r="DP183" i="43"/>
  <c r="Q180" i="45" s="1"/>
  <c r="R180" i="45" s="1"/>
  <c r="DA183" i="43"/>
  <c r="CS183" i="43" s="1"/>
  <c r="CW183" i="43"/>
  <c r="CU183" i="43"/>
  <c r="CH183" i="43"/>
  <c r="CG183" i="43"/>
  <c r="CD183" i="43" s="1"/>
  <c r="CB183" i="43"/>
  <c r="BZ183" i="43"/>
  <c r="BM183" i="43"/>
  <c r="BE183" i="43" s="1"/>
  <c r="BI183" i="43"/>
  <c r="BG183" i="43"/>
  <c r="AT183" i="43"/>
  <c r="AL183" i="43"/>
  <c r="AG183" i="43"/>
  <c r="AF183" i="43"/>
  <c r="F180" i="45" s="1"/>
  <c r="AE183" i="43"/>
  <c r="AD183" i="43"/>
  <c r="AC183" i="43"/>
  <c r="O183" i="43"/>
  <c r="I183" i="43"/>
  <c r="GH182" i="43"/>
  <c r="GF182" i="43"/>
  <c r="GD182" i="43"/>
  <c r="GC182" i="43"/>
  <c r="GB182" i="43"/>
  <c r="FW182" i="43"/>
  <c r="FV182" i="43"/>
  <c r="FQ182" i="43"/>
  <c r="FD182" i="43"/>
  <c r="EU182" i="43"/>
  <c r="ET182" i="43"/>
  <c r="EM182" i="43"/>
  <c r="EF182" i="43"/>
  <c r="EG182" i="43" s="1"/>
  <c r="DV182" i="43"/>
  <c r="DU182" i="43"/>
  <c r="DT182" i="43"/>
  <c r="DS182" i="43"/>
  <c r="DP182" i="43"/>
  <c r="Q179" i="45" s="1"/>
  <c r="R179" i="45" s="1"/>
  <c r="DA182" i="43"/>
  <c r="CS182" i="43" s="1"/>
  <c r="CW182" i="43"/>
  <c r="CU182" i="43"/>
  <c r="CH182" i="43"/>
  <c r="CG182" i="43"/>
  <c r="CD182" i="43" s="1"/>
  <c r="CB182" i="43"/>
  <c r="BZ182" i="43"/>
  <c r="BM182" i="43"/>
  <c r="BE182" i="43" s="1"/>
  <c r="BI182" i="43"/>
  <c r="BG182" i="43"/>
  <c r="AT182" i="43"/>
  <c r="AL182" i="43"/>
  <c r="AG182" i="43"/>
  <c r="AF182" i="43"/>
  <c r="F179" i="45" s="1"/>
  <c r="AE182" i="43"/>
  <c r="E179" i="45" s="1"/>
  <c r="AD182" i="43"/>
  <c r="AC182" i="43"/>
  <c r="O182" i="43"/>
  <c r="J182" i="43"/>
  <c r="GH181" i="43"/>
  <c r="GF181" i="43"/>
  <c r="GD181" i="43"/>
  <c r="GC181" i="43"/>
  <c r="GB181" i="43"/>
  <c r="FW181" i="43"/>
  <c r="FV181" i="43"/>
  <c r="FQ181" i="43"/>
  <c r="FD181" i="43"/>
  <c r="EU181" i="43"/>
  <c r="ET181" i="43"/>
  <c r="EM181" i="43"/>
  <c r="EF181" i="43"/>
  <c r="EG181" i="43" s="1"/>
  <c r="DV181" i="43"/>
  <c r="DU181" i="43"/>
  <c r="DT181" i="43"/>
  <c r="DS181" i="43"/>
  <c r="DP181" i="43"/>
  <c r="Q178" i="45" s="1"/>
  <c r="R178" i="45" s="1"/>
  <c r="DA181" i="43"/>
  <c r="CS181" i="43" s="1"/>
  <c r="CW181" i="43"/>
  <c r="CU181" i="43"/>
  <c r="CH181" i="43"/>
  <c r="CG181" i="43"/>
  <c r="CD181" i="43" s="1"/>
  <c r="AP181" i="43" s="1"/>
  <c r="CB181" i="43"/>
  <c r="BZ181" i="43"/>
  <c r="BM181" i="43"/>
  <c r="BE181" i="43" s="1"/>
  <c r="BI181" i="43"/>
  <c r="BG181" i="43"/>
  <c r="AT181" i="43"/>
  <c r="AL181" i="43"/>
  <c r="AG181" i="43"/>
  <c r="G178" i="45" s="1"/>
  <c r="AF181" i="43"/>
  <c r="F178" i="45" s="1"/>
  <c r="AE181" i="43"/>
  <c r="AD181" i="43"/>
  <c r="AC181" i="43"/>
  <c r="O181" i="43"/>
  <c r="GH180" i="43"/>
  <c r="GF180" i="43"/>
  <c r="GD180" i="43"/>
  <c r="GC180" i="43"/>
  <c r="GB180" i="43"/>
  <c r="FW180" i="43"/>
  <c r="FV180" i="43"/>
  <c r="FQ180" i="43"/>
  <c r="FD180" i="43"/>
  <c r="P177" i="45" s="1"/>
  <c r="EU180" i="43"/>
  <c r="ET180" i="43"/>
  <c r="EM180" i="43"/>
  <c r="EF180" i="43"/>
  <c r="EG180" i="43" s="1"/>
  <c r="DV180" i="43"/>
  <c r="DU180" i="43"/>
  <c r="DT180" i="43"/>
  <c r="DS180" i="43"/>
  <c r="DP180" i="43"/>
  <c r="DA180" i="43"/>
  <c r="CS180" i="43" s="1"/>
  <c r="CW180" i="43"/>
  <c r="CU180" i="43"/>
  <c r="CH180" i="43"/>
  <c r="CG180" i="43"/>
  <c r="CD180" i="43" s="1"/>
  <c r="CB180" i="43"/>
  <c r="BZ180" i="43"/>
  <c r="BM180" i="43"/>
  <c r="BE180" i="43" s="1"/>
  <c r="BI180" i="43"/>
  <c r="BG180" i="43"/>
  <c r="AT180" i="43"/>
  <c r="AL180" i="43"/>
  <c r="AG180" i="43"/>
  <c r="G177" i="45" s="1"/>
  <c r="AF180" i="43"/>
  <c r="F177" i="45" s="1"/>
  <c r="AE180" i="43"/>
  <c r="E177" i="45" s="1"/>
  <c r="AD180" i="43"/>
  <c r="AC180" i="43"/>
  <c r="O180" i="43"/>
  <c r="FO180" i="43" s="1"/>
  <c r="GH179" i="43"/>
  <c r="GF179" i="43"/>
  <c r="GD179" i="43"/>
  <c r="GC179" i="43"/>
  <c r="GB179" i="43"/>
  <c r="FW179" i="43"/>
  <c r="FV179" i="43"/>
  <c r="FQ179" i="43"/>
  <c r="FD179" i="43"/>
  <c r="EU179" i="43"/>
  <c r="ET179" i="43"/>
  <c r="EM179" i="43"/>
  <c r="EF179" i="43"/>
  <c r="EG179" i="43" s="1"/>
  <c r="DV179" i="43"/>
  <c r="DU179" i="43"/>
  <c r="DT179" i="43"/>
  <c r="DS179" i="43"/>
  <c r="DP179" i="43"/>
  <c r="Q176" i="45" s="1"/>
  <c r="R176" i="45" s="1"/>
  <c r="DA179" i="43"/>
  <c r="CS179" i="43" s="1"/>
  <c r="CW179" i="43"/>
  <c r="CU179" i="43"/>
  <c r="CH179" i="43"/>
  <c r="CG179" i="43"/>
  <c r="CB179" i="43"/>
  <c r="BZ179" i="43"/>
  <c r="BM179" i="43"/>
  <c r="BE179" i="43" s="1"/>
  <c r="BI179" i="43"/>
  <c r="BG179" i="43"/>
  <c r="AT179" i="43"/>
  <c r="AL179" i="43"/>
  <c r="AG179" i="43"/>
  <c r="G176" i="45" s="1"/>
  <c r="AF179" i="43"/>
  <c r="F176" i="45" s="1"/>
  <c r="AE179" i="43"/>
  <c r="AD179" i="43"/>
  <c r="AC179" i="43"/>
  <c r="O179" i="43"/>
  <c r="J179" i="43"/>
  <c r="GH178" i="43"/>
  <c r="GF178" i="43"/>
  <c r="GD178" i="43"/>
  <c r="GC178" i="43"/>
  <c r="GB178" i="43"/>
  <c r="FW178" i="43"/>
  <c r="FV178" i="43"/>
  <c r="FQ178" i="43"/>
  <c r="FD178" i="43"/>
  <c r="P175" i="45" s="1"/>
  <c r="EU178" i="43"/>
  <c r="ET178" i="43"/>
  <c r="EM178" i="43"/>
  <c r="EF178" i="43"/>
  <c r="EG178" i="43" s="1"/>
  <c r="DV178" i="43"/>
  <c r="DU178" i="43"/>
  <c r="DT178" i="43"/>
  <c r="DS178" i="43"/>
  <c r="DP178" i="43"/>
  <c r="Q175" i="45" s="1"/>
  <c r="R175" i="45" s="1"/>
  <c r="DA178" i="43"/>
  <c r="CS178" i="43" s="1"/>
  <c r="CW178" i="43"/>
  <c r="CU178" i="43"/>
  <c r="CH178" i="43"/>
  <c r="CG178" i="43"/>
  <c r="CD178" i="43" s="1"/>
  <c r="CB178" i="43"/>
  <c r="BZ178" i="43"/>
  <c r="BM178" i="43"/>
  <c r="BE178" i="43" s="1"/>
  <c r="BI178" i="43"/>
  <c r="BG178" i="43"/>
  <c r="AT178" i="43"/>
  <c r="AL178" i="43"/>
  <c r="AG178" i="43"/>
  <c r="G175" i="45" s="1"/>
  <c r="AF178" i="43"/>
  <c r="F175" i="45" s="1"/>
  <c r="AE178" i="43"/>
  <c r="E175" i="45" s="1"/>
  <c r="AD178" i="43"/>
  <c r="AC178" i="43"/>
  <c r="O178" i="43"/>
  <c r="GH177" i="43"/>
  <c r="GF177" i="43"/>
  <c r="GD177" i="43"/>
  <c r="GC177" i="43"/>
  <c r="GB177" i="43"/>
  <c r="FW177" i="43"/>
  <c r="FV177" i="43"/>
  <c r="FQ177" i="43"/>
  <c r="FD177" i="43"/>
  <c r="EU177" i="43"/>
  <c r="ET177" i="43"/>
  <c r="EM177" i="43"/>
  <c r="EF177" i="43"/>
  <c r="EG177" i="43" s="1"/>
  <c r="DV177" i="43"/>
  <c r="DU177" i="43"/>
  <c r="DT177" i="43"/>
  <c r="DS177" i="43"/>
  <c r="DP177" i="43"/>
  <c r="Q174" i="45" s="1"/>
  <c r="R174" i="45" s="1"/>
  <c r="DA177" i="43"/>
  <c r="CS177" i="43" s="1"/>
  <c r="CW177" i="43"/>
  <c r="CU177" i="43"/>
  <c r="CH177" i="43"/>
  <c r="CG177" i="43"/>
  <c r="CB177" i="43"/>
  <c r="BZ177" i="43"/>
  <c r="BM177" i="43"/>
  <c r="BE177" i="43" s="1"/>
  <c r="BI177" i="43"/>
  <c r="BG177" i="43"/>
  <c r="AT177" i="43"/>
  <c r="AL177" i="43"/>
  <c r="AG177" i="43"/>
  <c r="G174" i="45" s="1"/>
  <c r="AF177" i="43"/>
  <c r="F174" i="45" s="1"/>
  <c r="AE177" i="43"/>
  <c r="E174" i="45" s="1"/>
  <c r="AD177" i="43"/>
  <c r="AC177" i="43"/>
  <c r="O177" i="43"/>
  <c r="DE177" i="43" s="1"/>
  <c r="GH176" i="43"/>
  <c r="GF176" i="43"/>
  <c r="GD176" i="43"/>
  <c r="GC176" i="43"/>
  <c r="GB176" i="43"/>
  <c r="FW176" i="43"/>
  <c r="FV176" i="43"/>
  <c r="FQ176" i="43"/>
  <c r="FD176" i="43"/>
  <c r="P173" i="45" s="1"/>
  <c r="EU176" i="43"/>
  <c r="ET176" i="43"/>
  <c r="EM176" i="43"/>
  <c r="EF176" i="43"/>
  <c r="EG176" i="43" s="1"/>
  <c r="DV176" i="43"/>
  <c r="DU176" i="43"/>
  <c r="DT176" i="43"/>
  <c r="DS176" i="43"/>
  <c r="DP176" i="43"/>
  <c r="Q173" i="45" s="1"/>
  <c r="R173" i="45" s="1"/>
  <c r="DA176" i="43"/>
  <c r="CS176" i="43" s="1"/>
  <c r="CW176" i="43"/>
  <c r="CU176" i="43"/>
  <c r="CH176" i="43"/>
  <c r="CG176" i="43"/>
  <c r="CD176" i="43" s="1"/>
  <c r="CB176" i="43"/>
  <c r="BZ176" i="43"/>
  <c r="BM176" i="43"/>
  <c r="BE176" i="43" s="1"/>
  <c r="BI176" i="43"/>
  <c r="BG176" i="43"/>
  <c r="AT176" i="43"/>
  <c r="AL176" i="43"/>
  <c r="AG176" i="43"/>
  <c r="G173" i="45" s="1"/>
  <c r="AF176" i="43"/>
  <c r="AE176" i="43"/>
  <c r="E173" i="45" s="1"/>
  <c r="AD176" i="43"/>
  <c r="AC176" i="43"/>
  <c r="O176" i="43"/>
  <c r="FO176" i="43" s="1"/>
  <c r="GH175" i="43"/>
  <c r="GF175" i="43"/>
  <c r="GD175" i="43"/>
  <c r="GC175" i="43"/>
  <c r="GB175" i="43"/>
  <c r="FW175" i="43"/>
  <c r="FV175" i="43"/>
  <c r="FQ175" i="43"/>
  <c r="FD175" i="43"/>
  <c r="P172" i="45" s="1"/>
  <c r="EU175" i="43"/>
  <c r="ET175" i="43"/>
  <c r="EM175" i="43"/>
  <c r="EF175" i="43"/>
  <c r="EG175" i="43" s="1"/>
  <c r="DV175" i="43"/>
  <c r="DU175" i="43"/>
  <c r="DT175" i="43"/>
  <c r="DS175" i="43"/>
  <c r="DP175" i="43"/>
  <c r="Q172" i="45" s="1"/>
  <c r="R172" i="45" s="1"/>
  <c r="DA175" i="43"/>
  <c r="CS175" i="43" s="1"/>
  <c r="CW175" i="43"/>
  <c r="CU175" i="43"/>
  <c r="CH175" i="43"/>
  <c r="CG175" i="43"/>
  <c r="CD175" i="43" s="1"/>
  <c r="CB175" i="43"/>
  <c r="BZ175" i="43"/>
  <c r="BM175" i="43"/>
  <c r="BE175" i="43" s="1"/>
  <c r="BI175" i="43"/>
  <c r="BG175" i="43"/>
  <c r="AT175" i="43"/>
  <c r="AL175" i="43"/>
  <c r="AG175" i="43"/>
  <c r="G172" i="45" s="1"/>
  <c r="AF175" i="43"/>
  <c r="F172" i="45" s="1"/>
  <c r="AE175" i="43"/>
  <c r="E172" i="45" s="1"/>
  <c r="AD175" i="43"/>
  <c r="AC175" i="43"/>
  <c r="O175" i="43"/>
  <c r="CL175" i="43" s="1"/>
  <c r="J175" i="43"/>
  <c r="GH174" i="43"/>
  <c r="GF174" i="43"/>
  <c r="GD174" i="43"/>
  <c r="GC174" i="43"/>
  <c r="GB174" i="43"/>
  <c r="FW174" i="43"/>
  <c r="FV174" i="43"/>
  <c r="FQ174" i="43"/>
  <c r="FD174" i="43"/>
  <c r="P171" i="45" s="1"/>
  <c r="EU174" i="43"/>
  <c r="ET174" i="43"/>
  <c r="EM174" i="43"/>
  <c r="EF174" i="43"/>
  <c r="EG174" i="43" s="1"/>
  <c r="DV174" i="43"/>
  <c r="DU174" i="43"/>
  <c r="DT174" i="43"/>
  <c r="DS174" i="43"/>
  <c r="DP174" i="43"/>
  <c r="Q171" i="45" s="1"/>
  <c r="R171" i="45" s="1"/>
  <c r="DA174" i="43"/>
  <c r="CS174" i="43" s="1"/>
  <c r="CW174" i="43"/>
  <c r="CU174" i="43"/>
  <c r="CH174" i="43"/>
  <c r="CG174" i="43"/>
  <c r="CD174" i="43" s="1"/>
  <c r="CB174" i="43"/>
  <c r="BZ174" i="43"/>
  <c r="BM174" i="43"/>
  <c r="BE174" i="43" s="1"/>
  <c r="BI174" i="43"/>
  <c r="BG174" i="43"/>
  <c r="AT174" i="43"/>
  <c r="AL174" i="43"/>
  <c r="AG174" i="43"/>
  <c r="G171" i="45" s="1"/>
  <c r="AF174" i="43"/>
  <c r="F171" i="45" s="1"/>
  <c r="AE174" i="43"/>
  <c r="E171" i="45" s="1"/>
  <c r="AD174" i="43"/>
  <c r="AC174" i="43"/>
  <c r="O174" i="43"/>
  <c r="GH173" i="43"/>
  <c r="GF173" i="43"/>
  <c r="GD173" i="43"/>
  <c r="GC173" i="43"/>
  <c r="GB173" i="43"/>
  <c r="FW173" i="43"/>
  <c r="FV173" i="43"/>
  <c r="FQ173" i="43"/>
  <c r="FD173" i="43"/>
  <c r="P170" i="45" s="1"/>
  <c r="EU173" i="43"/>
  <c r="ET173" i="43"/>
  <c r="EM173" i="43"/>
  <c r="EF173" i="43"/>
  <c r="EG173" i="43" s="1"/>
  <c r="DV173" i="43"/>
  <c r="DU173" i="43"/>
  <c r="DT173" i="43"/>
  <c r="DS173" i="43"/>
  <c r="DP173" i="43"/>
  <c r="Q170" i="45" s="1"/>
  <c r="R170" i="45" s="1"/>
  <c r="DA173" i="43"/>
  <c r="CS173" i="43" s="1"/>
  <c r="CW173" i="43"/>
  <c r="CU173" i="43"/>
  <c r="CH173" i="43"/>
  <c r="CG173" i="43"/>
  <c r="CD173" i="43" s="1"/>
  <c r="AP173" i="43" s="1"/>
  <c r="CB173" i="43"/>
  <c r="BZ173" i="43"/>
  <c r="BM173" i="43"/>
  <c r="BE173" i="43" s="1"/>
  <c r="BI173" i="43"/>
  <c r="BG173" i="43"/>
  <c r="AT173" i="43"/>
  <c r="AL173" i="43"/>
  <c r="AG173" i="43"/>
  <c r="G170" i="45" s="1"/>
  <c r="AF173" i="43"/>
  <c r="F170" i="45" s="1"/>
  <c r="AE173" i="43"/>
  <c r="E170" i="45" s="1"/>
  <c r="AD173" i="43"/>
  <c r="AC173" i="43"/>
  <c r="O173" i="43"/>
  <c r="GH172" i="43"/>
  <c r="GF172" i="43"/>
  <c r="GD172" i="43"/>
  <c r="GC172" i="43"/>
  <c r="GB172" i="43"/>
  <c r="FW172" i="43"/>
  <c r="FV172" i="43"/>
  <c r="FQ172" i="43"/>
  <c r="FD172" i="43"/>
  <c r="P169" i="45" s="1"/>
  <c r="EU172" i="43"/>
  <c r="ET172" i="43"/>
  <c r="EM172" i="43"/>
  <c r="EF172" i="43"/>
  <c r="EG172" i="43" s="1"/>
  <c r="DV172" i="43"/>
  <c r="DU172" i="43"/>
  <c r="DT172" i="43"/>
  <c r="DS172" i="43"/>
  <c r="DP172" i="43"/>
  <c r="Q169" i="45" s="1"/>
  <c r="R169" i="45" s="1"/>
  <c r="DA172" i="43"/>
  <c r="CS172" i="43" s="1"/>
  <c r="CW172" i="43"/>
  <c r="CU172" i="43"/>
  <c r="CH172" i="43"/>
  <c r="CG172" i="43"/>
  <c r="CD172" i="43" s="1"/>
  <c r="CB172" i="43"/>
  <c r="BZ172" i="43"/>
  <c r="BM172" i="43"/>
  <c r="BE172" i="43" s="1"/>
  <c r="BI172" i="43"/>
  <c r="BG172" i="43"/>
  <c r="AT172" i="43"/>
  <c r="AL172" i="43"/>
  <c r="AG172" i="43"/>
  <c r="AF172" i="43"/>
  <c r="F169" i="45" s="1"/>
  <c r="AE172" i="43"/>
  <c r="E169" i="45" s="1"/>
  <c r="AD172" i="43"/>
  <c r="AC172" i="43"/>
  <c r="O172" i="43"/>
  <c r="FO172" i="43" s="1"/>
  <c r="GH171" i="43"/>
  <c r="GF171" i="43"/>
  <c r="GD171" i="43"/>
  <c r="GC171" i="43"/>
  <c r="GB171" i="43"/>
  <c r="FW171" i="43"/>
  <c r="FV171" i="43"/>
  <c r="FQ171" i="43"/>
  <c r="FD171" i="43"/>
  <c r="P168" i="45" s="1"/>
  <c r="EU171" i="43"/>
  <c r="ET171" i="43"/>
  <c r="EM171" i="43"/>
  <c r="EF171" i="43"/>
  <c r="EG171" i="43" s="1"/>
  <c r="DV171" i="43"/>
  <c r="DU171" i="43"/>
  <c r="DT171" i="43"/>
  <c r="DS171" i="43"/>
  <c r="DP171" i="43"/>
  <c r="Q168" i="45" s="1"/>
  <c r="R168" i="45" s="1"/>
  <c r="DA171" i="43"/>
  <c r="CS171" i="43" s="1"/>
  <c r="CW171" i="43"/>
  <c r="CU171" i="43"/>
  <c r="CH171" i="43"/>
  <c r="CG171" i="43"/>
  <c r="CD171" i="43" s="1"/>
  <c r="CB171" i="43"/>
  <c r="BZ171" i="43"/>
  <c r="BM171" i="43"/>
  <c r="BE171" i="43" s="1"/>
  <c r="BI171" i="43"/>
  <c r="BG171" i="43"/>
  <c r="AT171" i="43"/>
  <c r="AL171" i="43"/>
  <c r="AG171" i="43"/>
  <c r="AF171" i="43"/>
  <c r="F168" i="45" s="1"/>
  <c r="AE171" i="43"/>
  <c r="E168" i="45" s="1"/>
  <c r="AD171" i="43"/>
  <c r="AC171" i="43"/>
  <c r="O171" i="43"/>
  <c r="CL171" i="43" s="1"/>
  <c r="GH170" i="43"/>
  <c r="GF170" i="43"/>
  <c r="GD170" i="43"/>
  <c r="GC170" i="43"/>
  <c r="GB170" i="43"/>
  <c r="FW170" i="43"/>
  <c r="FV170" i="43"/>
  <c r="FQ170" i="43"/>
  <c r="FD170" i="43"/>
  <c r="P167" i="45" s="1"/>
  <c r="EU170" i="43"/>
  <c r="ET170" i="43"/>
  <c r="EM170" i="43"/>
  <c r="EF170" i="43"/>
  <c r="EG170" i="43" s="1"/>
  <c r="DV170" i="43"/>
  <c r="DU170" i="43"/>
  <c r="DT170" i="43"/>
  <c r="DS170" i="43"/>
  <c r="DP170" i="43"/>
  <c r="DA170" i="43"/>
  <c r="CS170" i="43" s="1"/>
  <c r="CW170" i="43"/>
  <c r="CU170" i="43"/>
  <c r="CH170" i="43"/>
  <c r="CG170" i="43"/>
  <c r="CD170" i="43" s="1"/>
  <c r="CB170" i="43"/>
  <c r="BZ170" i="43"/>
  <c r="BM170" i="43"/>
  <c r="BE170" i="43" s="1"/>
  <c r="BI170" i="43"/>
  <c r="BG170" i="43"/>
  <c r="AT170" i="43"/>
  <c r="AL170" i="43"/>
  <c r="AG170" i="43"/>
  <c r="G167" i="45" s="1"/>
  <c r="AF170" i="43"/>
  <c r="F167" i="45" s="1"/>
  <c r="AE170" i="43"/>
  <c r="E167" i="45" s="1"/>
  <c r="AD170" i="43"/>
  <c r="AC170" i="43"/>
  <c r="O170" i="43"/>
  <c r="CL170" i="43" s="1"/>
  <c r="GH169" i="43"/>
  <c r="GF169" i="43"/>
  <c r="GD169" i="43"/>
  <c r="GC169" i="43"/>
  <c r="GB169" i="43"/>
  <c r="FW169" i="43"/>
  <c r="FV169" i="43"/>
  <c r="FQ169" i="43"/>
  <c r="FD169" i="43"/>
  <c r="P166" i="45" s="1"/>
  <c r="EU169" i="43"/>
  <c r="ET169" i="43"/>
  <c r="EM169" i="43"/>
  <c r="EF169" i="43"/>
  <c r="EG169" i="43" s="1"/>
  <c r="DV169" i="43"/>
  <c r="DU169" i="43"/>
  <c r="DT169" i="43"/>
  <c r="DS169" i="43"/>
  <c r="DP169" i="43"/>
  <c r="Q166" i="45" s="1"/>
  <c r="R166" i="45" s="1"/>
  <c r="DA169" i="43"/>
  <c r="CS169" i="43" s="1"/>
  <c r="CW169" i="43"/>
  <c r="CU169" i="43"/>
  <c r="CH169" i="43"/>
  <c r="CG169" i="43"/>
  <c r="CB169" i="43"/>
  <c r="BZ169" i="43"/>
  <c r="BM169" i="43"/>
  <c r="BE169" i="43" s="1"/>
  <c r="BI169" i="43"/>
  <c r="BG169" i="43"/>
  <c r="AT169" i="43"/>
  <c r="AL169" i="43"/>
  <c r="AG169" i="43"/>
  <c r="G166" i="45" s="1"/>
  <c r="AF169" i="43"/>
  <c r="F166" i="45" s="1"/>
  <c r="AE169" i="43"/>
  <c r="E166" i="45" s="1"/>
  <c r="AD169" i="43"/>
  <c r="AC169" i="43"/>
  <c r="O169" i="43"/>
  <c r="GH168" i="43"/>
  <c r="GF168" i="43"/>
  <c r="GD168" i="43"/>
  <c r="GC168" i="43"/>
  <c r="GB168" i="43"/>
  <c r="FW168" i="43"/>
  <c r="FV168" i="43"/>
  <c r="FQ168" i="43"/>
  <c r="FD168" i="43"/>
  <c r="EU168" i="43"/>
  <c r="ET168" i="43"/>
  <c r="EM168" i="43"/>
  <c r="EF168" i="43"/>
  <c r="EG168" i="43" s="1"/>
  <c r="DV168" i="43"/>
  <c r="DU168" i="43"/>
  <c r="DT168" i="43"/>
  <c r="DS168" i="43"/>
  <c r="DP168" i="43"/>
  <c r="DA168" i="43"/>
  <c r="CS168" i="43" s="1"/>
  <c r="CW168" i="43"/>
  <c r="CU168" i="43"/>
  <c r="CH168" i="43"/>
  <c r="CG168" i="43"/>
  <c r="CB168" i="43"/>
  <c r="BZ168" i="43"/>
  <c r="BM168" i="43"/>
  <c r="BE168" i="43" s="1"/>
  <c r="BI168" i="43"/>
  <c r="BG168" i="43"/>
  <c r="AT168" i="43"/>
  <c r="AL168" i="43"/>
  <c r="AG168" i="43"/>
  <c r="G165" i="45" s="1"/>
  <c r="AF168" i="43"/>
  <c r="F165" i="45" s="1"/>
  <c r="AE168" i="43"/>
  <c r="E165" i="45" s="1"/>
  <c r="AD168" i="43"/>
  <c r="AC168" i="43"/>
  <c r="O168" i="43"/>
  <c r="CL168" i="43" s="1"/>
  <c r="GH167" i="43"/>
  <c r="GF167" i="43"/>
  <c r="GD167" i="43"/>
  <c r="GC167" i="43"/>
  <c r="GB167" i="43"/>
  <c r="FW167" i="43"/>
  <c r="FV167" i="43"/>
  <c r="FQ167" i="43"/>
  <c r="FD167" i="43"/>
  <c r="P164" i="45" s="1"/>
  <c r="EU167" i="43"/>
  <c r="ET167" i="43"/>
  <c r="EM167" i="43"/>
  <c r="EF167" i="43"/>
  <c r="EG167" i="43" s="1"/>
  <c r="DV167" i="43"/>
  <c r="DU167" i="43"/>
  <c r="DT167" i="43"/>
  <c r="DS167" i="43"/>
  <c r="DP167" i="43"/>
  <c r="Q164" i="45" s="1"/>
  <c r="R164" i="45" s="1"/>
  <c r="DA167" i="43"/>
  <c r="CS167" i="43" s="1"/>
  <c r="CW167" i="43"/>
  <c r="CU167" i="43"/>
  <c r="CH167" i="43"/>
  <c r="CG167" i="43"/>
  <c r="CD167" i="43" s="1"/>
  <c r="CB167" i="43"/>
  <c r="BZ167" i="43"/>
  <c r="BM167" i="43"/>
  <c r="BE167" i="43" s="1"/>
  <c r="BI167" i="43"/>
  <c r="BG167" i="43"/>
  <c r="AT167" i="43"/>
  <c r="AL167" i="43"/>
  <c r="AG167" i="43"/>
  <c r="G164" i="45" s="1"/>
  <c r="AF167" i="43"/>
  <c r="F164" i="45" s="1"/>
  <c r="AE167" i="43"/>
  <c r="AD167" i="43"/>
  <c r="AC167" i="43"/>
  <c r="O167" i="43"/>
  <c r="GH166" i="43"/>
  <c r="GF166" i="43"/>
  <c r="GD166" i="43"/>
  <c r="GC166" i="43"/>
  <c r="GB166" i="43"/>
  <c r="FW166" i="43"/>
  <c r="FV166" i="43"/>
  <c r="FQ166" i="43"/>
  <c r="FD166" i="43"/>
  <c r="EU166" i="43"/>
  <c r="ET166" i="43"/>
  <c r="EM166" i="43"/>
  <c r="EF166" i="43"/>
  <c r="EG166" i="43" s="1"/>
  <c r="DV166" i="43"/>
  <c r="DU166" i="43"/>
  <c r="DT166" i="43"/>
  <c r="DS166" i="43"/>
  <c r="DP166" i="43"/>
  <c r="Q163" i="45" s="1"/>
  <c r="R163" i="45" s="1"/>
  <c r="DA166" i="43"/>
  <c r="CS166" i="43" s="1"/>
  <c r="CW166" i="43"/>
  <c r="CU166" i="43"/>
  <c r="CH166" i="43"/>
  <c r="CG166" i="43"/>
  <c r="CD166" i="43" s="1"/>
  <c r="CB166" i="43"/>
  <c r="BZ166" i="43"/>
  <c r="BM166" i="43"/>
  <c r="BE166" i="43" s="1"/>
  <c r="BI166" i="43"/>
  <c r="BG166" i="43"/>
  <c r="AT166" i="43"/>
  <c r="AL166" i="43"/>
  <c r="AG166" i="43"/>
  <c r="G163" i="45" s="1"/>
  <c r="AF166" i="43"/>
  <c r="AE166" i="43"/>
  <c r="E163" i="45" s="1"/>
  <c r="AD166" i="43"/>
  <c r="AC166" i="43"/>
  <c r="O166" i="43"/>
  <c r="Z166" i="43" s="1"/>
  <c r="GH165" i="43"/>
  <c r="GF165" i="43"/>
  <c r="GD165" i="43"/>
  <c r="GC165" i="43"/>
  <c r="GB165" i="43"/>
  <c r="FW165" i="43"/>
  <c r="FV165" i="43"/>
  <c r="FQ165" i="43"/>
  <c r="FD165" i="43"/>
  <c r="EU165" i="43"/>
  <c r="ET165" i="43"/>
  <c r="EM165" i="43"/>
  <c r="EF165" i="43"/>
  <c r="EG165" i="43" s="1"/>
  <c r="DV165" i="43"/>
  <c r="DU165" i="43"/>
  <c r="DT165" i="43"/>
  <c r="DS165" i="43"/>
  <c r="DP165" i="43"/>
  <c r="DA165" i="43"/>
  <c r="CS165" i="43" s="1"/>
  <c r="CW165" i="43"/>
  <c r="CU165" i="43"/>
  <c r="CH165" i="43"/>
  <c r="CG165" i="43"/>
  <c r="CD165" i="43" s="1"/>
  <c r="AP165" i="43" s="1"/>
  <c r="CB165" i="43"/>
  <c r="BZ165" i="43"/>
  <c r="BM165" i="43"/>
  <c r="BE165" i="43" s="1"/>
  <c r="BI165" i="43"/>
  <c r="BG165" i="43"/>
  <c r="AT165" i="43"/>
  <c r="AL165" i="43"/>
  <c r="AG165" i="43"/>
  <c r="AF165" i="43"/>
  <c r="AE165" i="43"/>
  <c r="AD165" i="43"/>
  <c r="AC165" i="43"/>
  <c r="O165" i="43"/>
  <c r="CL165" i="43" s="1"/>
  <c r="GH164" i="43"/>
  <c r="GF164" i="43"/>
  <c r="GD164" i="43"/>
  <c r="GC164" i="43"/>
  <c r="GB164" i="43"/>
  <c r="FW164" i="43"/>
  <c r="FV164" i="43"/>
  <c r="FQ164" i="43"/>
  <c r="FD164" i="43"/>
  <c r="P161" i="45" s="1"/>
  <c r="EU164" i="43"/>
  <c r="ET164" i="43"/>
  <c r="EM164" i="43"/>
  <c r="EF164" i="43"/>
  <c r="EG164" i="43" s="1"/>
  <c r="DV164" i="43"/>
  <c r="DU164" i="43"/>
  <c r="DT164" i="43"/>
  <c r="DS164" i="43"/>
  <c r="DP164" i="43"/>
  <c r="Q161" i="45" s="1"/>
  <c r="R161" i="45" s="1"/>
  <c r="DA164" i="43"/>
  <c r="CS164" i="43" s="1"/>
  <c r="CW164" i="43"/>
  <c r="CU164" i="43"/>
  <c r="CH164" i="43"/>
  <c r="CG164" i="43"/>
  <c r="CD164" i="43" s="1"/>
  <c r="CB164" i="43"/>
  <c r="BZ164" i="43"/>
  <c r="BM164" i="43"/>
  <c r="BE164" i="43" s="1"/>
  <c r="BI164" i="43"/>
  <c r="BG164" i="43"/>
  <c r="AT164" i="43"/>
  <c r="AL164" i="43"/>
  <c r="AG164" i="43"/>
  <c r="AF164" i="43"/>
  <c r="F161" i="45" s="1"/>
  <c r="AE164" i="43"/>
  <c r="AD164" i="43"/>
  <c r="AC164" i="43"/>
  <c r="O164" i="43"/>
  <c r="GH163" i="43"/>
  <c r="GF163" i="43"/>
  <c r="GD163" i="43"/>
  <c r="GC163" i="43"/>
  <c r="GB163" i="43"/>
  <c r="FW163" i="43"/>
  <c r="FV163" i="43"/>
  <c r="FQ163" i="43"/>
  <c r="FD163" i="43"/>
  <c r="EU163" i="43"/>
  <c r="ET163" i="43"/>
  <c r="EM163" i="43"/>
  <c r="EF163" i="43"/>
  <c r="EG163" i="43" s="1"/>
  <c r="DV163" i="43"/>
  <c r="DU163" i="43"/>
  <c r="DT163" i="43"/>
  <c r="DS163" i="43"/>
  <c r="DP163" i="43"/>
  <c r="Q160" i="45" s="1"/>
  <c r="R160" i="45" s="1"/>
  <c r="DA163" i="43"/>
  <c r="CS163" i="43" s="1"/>
  <c r="CW163" i="43"/>
  <c r="CU163" i="43"/>
  <c r="CH163" i="43"/>
  <c r="CG163" i="43"/>
  <c r="CD163" i="43" s="1"/>
  <c r="CB163" i="43"/>
  <c r="BZ163" i="43"/>
  <c r="BM163" i="43"/>
  <c r="BE163" i="43" s="1"/>
  <c r="BI163" i="43"/>
  <c r="BG163" i="43"/>
  <c r="AT163" i="43"/>
  <c r="AL163" i="43"/>
  <c r="AG163" i="43"/>
  <c r="AF163" i="43"/>
  <c r="F160" i="45" s="1"/>
  <c r="AE163" i="43"/>
  <c r="E160" i="45" s="1"/>
  <c r="AD163" i="43"/>
  <c r="AC163" i="43"/>
  <c r="O163" i="43"/>
  <c r="GH162" i="43"/>
  <c r="GF162" i="43"/>
  <c r="GD162" i="43"/>
  <c r="GC162" i="43"/>
  <c r="GB162" i="43"/>
  <c r="FW162" i="43"/>
  <c r="FV162" i="43"/>
  <c r="FQ162" i="43"/>
  <c r="FD162" i="43"/>
  <c r="P159" i="45" s="1"/>
  <c r="EU162" i="43"/>
  <c r="ET162" i="43"/>
  <c r="EM162" i="43"/>
  <c r="EF162" i="43"/>
  <c r="EG162" i="43" s="1"/>
  <c r="DV162" i="43"/>
  <c r="DU162" i="43"/>
  <c r="DT162" i="43"/>
  <c r="DS162" i="43"/>
  <c r="DP162" i="43"/>
  <c r="Q159" i="45" s="1"/>
  <c r="R159" i="45" s="1"/>
  <c r="DA162" i="43"/>
  <c r="CS162" i="43" s="1"/>
  <c r="CW162" i="43"/>
  <c r="CU162" i="43"/>
  <c r="CH162" i="43"/>
  <c r="CG162" i="43"/>
  <c r="CD162" i="43" s="1"/>
  <c r="CB162" i="43"/>
  <c r="BZ162" i="43"/>
  <c r="BM162" i="43"/>
  <c r="BE162" i="43" s="1"/>
  <c r="BI162" i="43"/>
  <c r="BG162" i="43"/>
  <c r="AT162" i="43"/>
  <c r="AL162" i="43"/>
  <c r="AG162" i="43"/>
  <c r="G159" i="45" s="1"/>
  <c r="AF162" i="43"/>
  <c r="AE162" i="43"/>
  <c r="E159" i="45" s="1"/>
  <c r="AD162" i="43"/>
  <c r="AC162" i="43"/>
  <c r="O162" i="43"/>
  <c r="GH161" i="43"/>
  <c r="GF161" i="43"/>
  <c r="GD161" i="43"/>
  <c r="GC161" i="43"/>
  <c r="GB161" i="43"/>
  <c r="FW161" i="43"/>
  <c r="FV161" i="43"/>
  <c r="FQ161" i="43"/>
  <c r="FD161" i="43"/>
  <c r="EU161" i="43"/>
  <c r="ET161" i="43"/>
  <c r="EM161" i="43"/>
  <c r="EF161" i="43"/>
  <c r="EG161" i="43" s="1"/>
  <c r="DV161" i="43"/>
  <c r="DU161" i="43"/>
  <c r="DT161" i="43"/>
  <c r="DS161" i="43"/>
  <c r="DP161" i="43"/>
  <c r="Q158" i="45" s="1"/>
  <c r="R158" i="45" s="1"/>
  <c r="DA161" i="43"/>
  <c r="CS161" i="43" s="1"/>
  <c r="CW161" i="43"/>
  <c r="CU161" i="43"/>
  <c r="CH161" i="43"/>
  <c r="CG161" i="43"/>
  <c r="CD161" i="43" s="1"/>
  <c r="CB161" i="43"/>
  <c r="BZ161" i="43"/>
  <c r="BM161" i="43"/>
  <c r="BE161" i="43" s="1"/>
  <c r="BI161" i="43"/>
  <c r="BG161" i="43"/>
  <c r="AT161" i="43"/>
  <c r="AL161" i="43"/>
  <c r="AG161" i="43"/>
  <c r="G158" i="45" s="1"/>
  <c r="AF161" i="43"/>
  <c r="F158" i="45" s="1"/>
  <c r="AE161" i="43"/>
  <c r="E158" i="45" s="1"/>
  <c r="AD161" i="43"/>
  <c r="AC161" i="43"/>
  <c r="O161" i="43"/>
  <c r="CL161" i="43" s="1"/>
  <c r="GH160" i="43"/>
  <c r="GF160" i="43"/>
  <c r="GD160" i="43"/>
  <c r="GC160" i="43"/>
  <c r="GB160" i="43"/>
  <c r="FW160" i="43"/>
  <c r="FV160" i="43"/>
  <c r="FQ160" i="43"/>
  <c r="FD160" i="43"/>
  <c r="P157" i="45" s="1"/>
  <c r="EU160" i="43"/>
  <c r="ET160" i="43"/>
  <c r="EM160" i="43"/>
  <c r="EF160" i="43"/>
  <c r="EG160" i="43" s="1"/>
  <c r="DV160" i="43"/>
  <c r="DU160" i="43"/>
  <c r="DT160" i="43"/>
  <c r="DS160" i="43"/>
  <c r="DP160" i="43"/>
  <c r="Q157" i="45" s="1"/>
  <c r="R157" i="45" s="1"/>
  <c r="DA160" i="43"/>
  <c r="CS160" i="43" s="1"/>
  <c r="CW160" i="43"/>
  <c r="CU160" i="43"/>
  <c r="CH160" i="43"/>
  <c r="CG160" i="43"/>
  <c r="CD160" i="43" s="1"/>
  <c r="CB160" i="43"/>
  <c r="BZ160" i="43"/>
  <c r="BM160" i="43"/>
  <c r="BE160" i="43" s="1"/>
  <c r="BI160" i="43"/>
  <c r="BG160" i="43"/>
  <c r="AT160" i="43"/>
  <c r="AL160" i="43"/>
  <c r="AG160" i="43"/>
  <c r="AF160" i="43"/>
  <c r="F157" i="45" s="1"/>
  <c r="AE160" i="43"/>
  <c r="AD160" i="43"/>
  <c r="AC160" i="43"/>
  <c r="O160" i="43"/>
  <c r="GH159" i="43"/>
  <c r="GF159" i="43"/>
  <c r="GD159" i="43"/>
  <c r="GC159" i="43"/>
  <c r="GB159" i="43"/>
  <c r="FW159" i="43"/>
  <c r="FV159" i="43"/>
  <c r="FQ159" i="43"/>
  <c r="FD159" i="43"/>
  <c r="EU159" i="43"/>
  <c r="ET159" i="43"/>
  <c r="EM159" i="43"/>
  <c r="EF159" i="43"/>
  <c r="EG159" i="43" s="1"/>
  <c r="DV159" i="43"/>
  <c r="DU159" i="43"/>
  <c r="DT159" i="43"/>
  <c r="DS159" i="43"/>
  <c r="DP159" i="43"/>
  <c r="Q156" i="45" s="1"/>
  <c r="R156" i="45" s="1"/>
  <c r="DA159" i="43"/>
  <c r="CS159" i="43" s="1"/>
  <c r="CW159" i="43"/>
  <c r="CU159" i="43"/>
  <c r="CH159" i="43"/>
  <c r="CG159" i="43"/>
  <c r="CD159" i="43" s="1"/>
  <c r="AR159" i="43" s="1"/>
  <c r="CB159" i="43"/>
  <c r="BZ159" i="43"/>
  <c r="BM159" i="43"/>
  <c r="BE159" i="43" s="1"/>
  <c r="BI159" i="43"/>
  <c r="BG159" i="43"/>
  <c r="AT159" i="43"/>
  <c r="AL159" i="43"/>
  <c r="AG159" i="43"/>
  <c r="G156" i="45" s="1"/>
  <c r="AF159" i="43"/>
  <c r="F156" i="45" s="1"/>
  <c r="AE159" i="43"/>
  <c r="AD159" i="43"/>
  <c r="AC159" i="43"/>
  <c r="O159" i="43"/>
  <c r="GH158" i="43"/>
  <c r="GF158" i="43"/>
  <c r="GD158" i="43"/>
  <c r="GC158" i="43"/>
  <c r="GB158" i="43"/>
  <c r="FW158" i="43"/>
  <c r="FV158" i="43"/>
  <c r="FQ158" i="43"/>
  <c r="FD158" i="43"/>
  <c r="P155" i="45" s="1"/>
  <c r="EU158" i="43"/>
  <c r="ET158" i="43"/>
  <c r="EM158" i="43"/>
  <c r="EF158" i="43"/>
  <c r="EG158" i="43" s="1"/>
  <c r="DV158" i="43"/>
  <c r="DU158" i="43"/>
  <c r="DT158" i="43"/>
  <c r="DS158" i="43"/>
  <c r="DP158" i="43"/>
  <c r="DA158" i="43"/>
  <c r="CS158" i="43" s="1"/>
  <c r="CW158" i="43"/>
  <c r="CU158" i="43"/>
  <c r="CH158" i="43"/>
  <c r="CG158" i="43"/>
  <c r="CD158" i="43" s="1"/>
  <c r="AP158" i="43" s="1"/>
  <c r="CB158" i="43"/>
  <c r="BZ158" i="43"/>
  <c r="BM158" i="43"/>
  <c r="BE158" i="43" s="1"/>
  <c r="BI158" i="43"/>
  <c r="BG158" i="43"/>
  <c r="AT158" i="43"/>
  <c r="AL158" i="43"/>
  <c r="AG158" i="43"/>
  <c r="G155" i="45" s="1"/>
  <c r="AF158" i="43"/>
  <c r="F155" i="45" s="1"/>
  <c r="AE158" i="43"/>
  <c r="E155" i="45" s="1"/>
  <c r="AD158" i="43"/>
  <c r="AC158" i="43"/>
  <c r="O158" i="43"/>
  <c r="FO158" i="43" s="1"/>
  <c r="I158" i="43"/>
  <c r="GH157" i="43"/>
  <c r="GF157" i="43"/>
  <c r="GD157" i="43"/>
  <c r="GC157" i="43"/>
  <c r="GB157" i="43"/>
  <c r="FW157" i="43"/>
  <c r="FV157" i="43"/>
  <c r="FQ157" i="43"/>
  <c r="FD157" i="43"/>
  <c r="P154" i="45" s="1"/>
  <c r="EU157" i="43"/>
  <c r="ET157" i="43"/>
  <c r="EM157" i="43"/>
  <c r="EF157" i="43"/>
  <c r="EG157" i="43" s="1"/>
  <c r="DV157" i="43"/>
  <c r="DU157" i="43"/>
  <c r="DT157" i="43"/>
  <c r="DS157" i="43"/>
  <c r="DP157" i="43"/>
  <c r="DA157" i="43"/>
  <c r="CS157" i="43" s="1"/>
  <c r="CW157" i="43"/>
  <c r="CU157" i="43"/>
  <c r="CH157" i="43"/>
  <c r="CG157" i="43"/>
  <c r="CD157" i="43" s="1"/>
  <c r="AR157" i="43" s="1"/>
  <c r="CB157" i="43"/>
  <c r="BZ157" i="43"/>
  <c r="BM157" i="43"/>
  <c r="BE157" i="43" s="1"/>
  <c r="BI157" i="43"/>
  <c r="BG157" i="43"/>
  <c r="AT157" i="43"/>
  <c r="AL157" i="43"/>
  <c r="AG157" i="43"/>
  <c r="G154" i="45" s="1"/>
  <c r="AF157" i="43"/>
  <c r="F154" i="45" s="1"/>
  <c r="AE157" i="43"/>
  <c r="AD157" i="43"/>
  <c r="AC157" i="43"/>
  <c r="O157" i="43"/>
  <c r="BQ157" i="43" s="1"/>
  <c r="J157" i="43"/>
  <c r="GH156" i="43"/>
  <c r="GF156" i="43"/>
  <c r="GD156" i="43"/>
  <c r="GC156" i="43"/>
  <c r="GB156" i="43"/>
  <c r="FW156" i="43"/>
  <c r="FV156" i="43"/>
  <c r="FQ156" i="43"/>
  <c r="FD156" i="43"/>
  <c r="P153" i="45" s="1"/>
  <c r="EU156" i="43"/>
  <c r="ET156" i="43"/>
  <c r="EM156" i="43"/>
  <c r="EF156" i="43"/>
  <c r="EG156" i="43" s="1"/>
  <c r="DV156" i="43"/>
  <c r="DU156" i="43"/>
  <c r="DT156" i="43"/>
  <c r="DS156" i="43"/>
  <c r="DP156" i="43"/>
  <c r="Q153" i="45" s="1"/>
  <c r="R153" i="45" s="1"/>
  <c r="DA156" i="43"/>
  <c r="CS156" i="43" s="1"/>
  <c r="CW156" i="43"/>
  <c r="CU156" i="43"/>
  <c r="CH156" i="43"/>
  <c r="CG156" i="43"/>
  <c r="CD156" i="43" s="1"/>
  <c r="CB156" i="43"/>
  <c r="BZ156" i="43"/>
  <c r="BM156" i="43"/>
  <c r="BE156" i="43" s="1"/>
  <c r="BI156" i="43"/>
  <c r="BG156" i="43"/>
  <c r="AT156" i="43"/>
  <c r="AL156" i="43"/>
  <c r="AG156" i="43"/>
  <c r="G153" i="45" s="1"/>
  <c r="AF156" i="43"/>
  <c r="F153" i="45" s="1"/>
  <c r="AE156" i="43"/>
  <c r="E153" i="45" s="1"/>
  <c r="AD156" i="43"/>
  <c r="AC156" i="43"/>
  <c r="O156" i="43"/>
  <c r="BQ156" i="43" s="1"/>
  <c r="GH155" i="43"/>
  <c r="GF155" i="43"/>
  <c r="GD155" i="43"/>
  <c r="GC155" i="43"/>
  <c r="GB155" i="43"/>
  <c r="FW155" i="43"/>
  <c r="FV155" i="43"/>
  <c r="FQ155" i="43"/>
  <c r="FD155" i="43"/>
  <c r="EU155" i="43"/>
  <c r="ET155" i="43"/>
  <c r="EM155" i="43"/>
  <c r="EF155" i="43"/>
  <c r="EG155" i="43" s="1"/>
  <c r="DV155" i="43"/>
  <c r="DU155" i="43"/>
  <c r="DT155" i="43"/>
  <c r="DS155" i="43"/>
  <c r="DP155" i="43"/>
  <c r="Q152" i="45" s="1"/>
  <c r="R152" i="45" s="1"/>
  <c r="DA155" i="43"/>
  <c r="CS155" i="43" s="1"/>
  <c r="CW155" i="43"/>
  <c r="CU155" i="43"/>
  <c r="CH155" i="43"/>
  <c r="CG155" i="43"/>
  <c r="CD155" i="43" s="1"/>
  <c r="AR155" i="43" s="1"/>
  <c r="CB155" i="43"/>
  <c r="BZ155" i="43"/>
  <c r="BM155" i="43"/>
  <c r="BE155" i="43" s="1"/>
  <c r="BI155" i="43"/>
  <c r="BG155" i="43"/>
  <c r="AT155" i="43"/>
  <c r="AL155" i="43"/>
  <c r="AG155" i="43"/>
  <c r="G152" i="45" s="1"/>
  <c r="AF155" i="43"/>
  <c r="F152" i="45" s="1"/>
  <c r="AE155" i="43"/>
  <c r="AD155" i="43"/>
  <c r="AC155" i="43"/>
  <c r="O155" i="43"/>
  <c r="BQ155" i="43" s="1"/>
  <c r="GH154" i="43"/>
  <c r="GF154" i="43"/>
  <c r="GD154" i="43"/>
  <c r="GC154" i="43"/>
  <c r="GB154" i="43"/>
  <c r="FW154" i="43"/>
  <c r="FV154" i="43"/>
  <c r="FQ154" i="43"/>
  <c r="FD154" i="43"/>
  <c r="P151" i="45" s="1"/>
  <c r="EU154" i="43"/>
  <c r="ET154" i="43"/>
  <c r="EM154" i="43"/>
  <c r="EF154" i="43"/>
  <c r="EG154" i="43" s="1"/>
  <c r="DV154" i="43"/>
  <c r="DU154" i="43"/>
  <c r="DT154" i="43"/>
  <c r="DS154" i="43"/>
  <c r="DP154" i="43"/>
  <c r="Q151" i="45" s="1"/>
  <c r="R151" i="45" s="1"/>
  <c r="DA154" i="43"/>
  <c r="CS154" i="43" s="1"/>
  <c r="CW154" i="43"/>
  <c r="CU154" i="43"/>
  <c r="CH154" i="43"/>
  <c r="CG154" i="43"/>
  <c r="CB154" i="43"/>
  <c r="BZ154" i="43"/>
  <c r="BM154" i="43"/>
  <c r="BE154" i="43" s="1"/>
  <c r="BI154" i="43"/>
  <c r="BG154" i="43"/>
  <c r="AT154" i="43"/>
  <c r="AL154" i="43"/>
  <c r="AG154" i="43"/>
  <c r="G151" i="45" s="1"/>
  <c r="AF154" i="43"/>
  <c r="F151" i="45" s="1"/>
  <c r="AE154" i="43"/>
  <c r="AD154" i="43"/>
  <c r="AC154" i="43"/>
  <c r="O154" i="43"/>
  <c r="BQ154" i="43" s="1"/>
  <c r="J154" i="43"/>
  <c r="GH153" i="43"/>
  <c r="GF153" i="43"/>
  <c r="GD153" i="43"/>
  <c r="GC153" i="43"/>
  <c r="GB153" i="43"/>
  <c r="FW153" i="43"/>
  <c r="FV153" i="43"/>
  <c r="FQ153" i="43"/>
  <c r="FD153" i="43"/>
  <c r="EU153" i="43"/>
  <c r="ET153" i="43"/>
  <c r="EM153" i="43"/>
  <c r="EF153" i="43"/>
  <c r="EG153" i="43" s="1"/>
  <c r="DV153" i="43"/>
  <c r="DU153" i="43"/>
  <c r="DT153" i="43"/>
  <c r="DS153" i="43"/>
  <c r="DP153" i="43"/>
  <c r="Q150" i="45" s="1"/>
  <c r="R150" i="45" s="1"/>
  <c r="DA153" i="43"/>
  <c r="CS153" i="43" s="1"/>
  <c r="CW153" i="43"/>
  <c r="CU153" i="43"/>
  <c r="CH153" i="43"/>
  <c r="CG153" i="43"/>
  <c r="CD153" i="43" s="1"/>
  <c r="CB153" i="43"/>
  <c r="BZ153" i="43"/>
  <c r="BM153" i="43"/>
  <c r="BE153" i="43" s="1"/>
  <c r="BI153" i="43"/>
  <c r="BG153" i="43"/>
  <c r="AT153" i="43"/>
  <c r="AL153" i="43"/>
  <c r="AG153" i="43"/>
  <c r="G150" i="45" s="1"/>
  <c r="AF153" i="43"/>
  <c r="F150" i="45" s="1"/>
  <c r="AE153" i="43"/>
  <c r="AD153" i="43"/>
  <c r="AC153" i="43"/>
  <c r="O153" i="43"/>
  <c r="BQ153" i="43" s="1"/>
  <c r="I153" i="43"/>
  <c r="GH152" i="43"/>
  <c r="GF152" i="43"/>
  <c r="GD152" i="43"/>
  <c r="GC152" i="43"/>
  <c r="GB152" i="43"/>
  <c r="FW152" i="43"/>
  <c r="FV152" i="43"/>
  <c r="FQ152" i="43"/>
  <c r="FD152" i="43"/>
  <c r="EU152" i="43"/>
  <c r="ET152" i="43"/>
  <c r="EM152" i="43"/>
  <c r="EF152" i="43"/>
  <c r="EG152" i="43" s="1"/>
  <c r="DV152" i="43"/>
  <c r="DU152" i="43"/>
  <c r="DT152" i="43"/>
  <c r="DS152" i="43"/>
  <c r="DP152" i="43"/>
  <c r="DA152" i="43"/>
  <c r="CS152" i="43" s="1"/>
  <c r="CW152" i="43"/>
  <c r="CU152" i="43"/>
  <c r="CH152" i="43"/>
  <c r="CG152" i="43"/>
  <c r="CB152" i="43"/>
  <c r="BZ152" i="43"/>
  <c r="BM152" i="43"/>
  <c r="BE152" i="43" s="1"/>
  <c r="BI152" i="43"/>
  <c r="BG152" i="43"/>
  <c r="AT152" i="43"/>
  <c r="AL152" i="43"/>
  <c r="AG152" i="43"/>
  <c r="AF152" i="43"/>
  <c r="F149" i="45" s="1"/>
  <c r="AE152" i="43"/>
  <c r="E149" i="45" s="1"/>
  <c r="AD152" i="43"/>
  <c r="AC152" i="43"/>
  <c r="O152" i="43"/>
  <c r="BQ152" i="43" s="1"/>
  <c r="GH151" i="43"/>
  <c r="GF151" i="43"/>
  <c r="GD151" i="43"/>
  <c r="GC151" i="43"/>
  <c r="GB151" i="43"/>
  <c r="FW151" i="43"/>
  <c r="FV151" i="43"/>
  <c r="FQ151" i="43"/>
  <c r="FD151" i="43"/>
  <c r="EU151" i="43"/>
  <c r="ET151" i="43"/>
  <c r="EM151" i="43"/>
  <c r="EF151" i="43"/>
  <c r="EG151" i="43" s="1"/>
  <c r="DV151" i="43"/>
  <c r="DU151" i="43"/>
  <c r="DT151" i="43"/>
  <c r="DS151" i="43"/>
  <c r="DP151" i="43"/>
  <c r="Q148" i="45" s="1"/>
  <c r="R148" i="45" s="1"/>
  <c r="DA151" i="43"/>
  <c r="CS151" i="43" s="1"/>
  <c r="CW151" i="43"/>
  <c r="CU151" i="43"/>
  <c r="CH151" i="43"/>
  <c r="CG151" i="43"/>
  <c r="CD151" i="43" s="1"/>
  <c r="CB151" i="43"/>
  <c r="BZ151" i="43"/>
  <c r="BM151" i="43"/>
  <c r="BE151" i="43" s="1"/>
  <c r="BI151" i="43"/>
  <c r="BG151" i="43"/>
  <c r="AT151" i="43"/>
  <c r="AL151" i="43"/>
  <c r="AG151" i="43"/>
  <c r="AF151" i="43"/>
  <c r="F148" i="45" s="1"/>
  <c r="AE151" i="43"/>
  <c r="AD151" i="43"/>
  <c r="AC151" i="43"/>
  <c r="O151" i="43"/>
  <c r="BQ151" i="43" s="1"/>
  <c r="GH150" i="43"/>
  <c r="GF150" i="43"/>
  <c r="GD150" i="43"/>
  <c r="GC150" i="43"/>
  <c r="GB150" i="43"/>
  <c r="FW150" i="43"/>
  <c r="FV150" i="43"/>
  <c r="FQ150" i="43"/>
  <c r="FD150" i="43"/>
  <c r="EU150" i="43"/>
  <c r="ET150" i="43"/>
  <c r="EM150" i="43"/>
  <c r="EF150" i="43"/>
  <c r="EG150" i="43" s="1"/>
  <c r="DV150" i="43"/>
  <c r="DU150" i="43"/>
  <c r="DT150" i="43"/>
  <c r="DS150" i="43"/>
  <c r="DP150" i="43"/>
  <c r="DA150" i="43"/>
  <c r="CS150" i="43" s="1"/>
  <c r="CW150" i="43"/>
  <c r="CU150" i="43"/>
  <c r="CH150" i="43"/>
  <c r="CG150" i="43"/>
  <c r="CD150" i="43" s="1"/>
  <c r="CB150" i="43"/>
  <c r="BZ150" i="43"/>
  <c r="BM150" i="43"/>
  <c r="BE150" i="43" s="1"/>
  <c r="BI150" i="43"/>
  <c r="BG150" i="43"/>
  <c r="AT150" i="43"/>
  <c r="AL150" i="43"/>
  <c r="AG150" i="43"/>
  <c r="G147" i="45" s="1"/>
  <c r="AF150" i="43"/>
  <c r="F147" i="45" s="1"/>
  <c r="AE150" i="43"/>
  <c r="AD150" i="43"/>
  <c r="AC150" i="43"/>
  <c r="O150" i="43"/>
  <c r="BQ150" i="43" s="1"/>
  <c r="GH149" i="43"/>
  <c r="GF149" i="43"/>
  <c r="GD149" i="43"/>
  <c r="GC149" i="43"/>
  <c r="GB149" i="43"/>
  <c r="FW149" i="43"/>
  <c r="FV149" i="43"/>
  <c r="FQ149" i="43"/>
  <c r="FD149" i="43"/>
  <c r="P146" i="45" s="1"/>
  <c r="EU149" i="43"/>
  <c r="ET149" i="43"/>
  <c r="EM149" i="43"/>
  <c r="EF149" i="43"/>
  <c r="EG149" i="43" s="1"/>
  <c r="DV149" i="43"/>
  <c r="DU149" i="43"/>
  <c r="DT149" i="43"/>
  <c r="DS149" i="43"/>
  <c r="DP149" i="43"/>
  <c r="Q146" i="45" s="1"/>
  <c r="R146" i="45" s="1"/>
  <c r="DA149" i="43"/>
  <c r="CS149" i="43" s="1"/>
  <c r="CW149" i="43"/>
  <c r="CU149" i="43"/>
  <c r="CH149" i="43"/>
  <c r="CG149" i="43"/>
  <c r="CD149" i="43" s="1"/>
  <c r="CB149" i="43"/>
  <c r="BZ149" i="43"/>
  <c r="BM149" i="43"/>
  <c r="BE149" i="43" s="1"/>
  <c r="BI149" i="43"/>
  <c r="BG149" i="43"/>
  <c r="AT149" i="43"/>
  <c r="AL149" i="43"/>
  <c r="AG149" i="43"/>
  <c r="G146" i="45" s="1"/>
  <c r="AF149" i="43"/>
  <c r="F146" i="45" s="1"/>
  <c r="AE149" i="43"/>
  <c r="AD149" i="43"/>
  <c r="AC149" i="43"/>
  <c r="O149" i="43"/>
  <c r="BQ149" i="43" s="1"/>
  <c r="I149" i="43"/>
  <c r="GH148" i="43"/>
  <c r="GF148" i="43"/>
  <c r="GD148" i="43"/>
  <c r="GC148" i="43"/>
  <c r="GB148" i="43"/>
  <c r="FW148" i="43"/>
  <c r="FV148" i="43"/>
  <c r="FQ148" i="43"/>
  <c r="FD148" i="43"/>
  <c r="P145" i="45" s="1"/>
  <c r="EU148" i="43"/>
  <c r="ET148" i="43"/>
  <c r="EM148" i="43"/>
  <c r="EF148" i="43"/>
  <c r="EG148" i="43" s="1"/>
  <c r="DV148" i="43"/>
  <c r="DU148" i="43"/>
  <c r="DT148" i="43"/>
  <c r="DS148" i="43"/>
  <c r="DP148" i="43"/>
  <c r="Q145" i="45" s="1"/>
  <c r="R145" i="45" s="1"/>
  <c r="DA148" i="43"/>
  <c r="CS148" i="43" s="1"/>
  <c r="CW148" i="43"/>
  <c r="CU148" i="43"/>
  <c r="CH148" i="43"/>
  <c r="CG148" i="43"/>
  <c r="CB148" i="43"/>
  <c r="BZ148" i="43"/>
  <c r="BM148" i="43"/>
  <c r="BE148" i="43" s="1"/>
  <c r="BI148" i="43"/>
  <c r="BG148" i="43"/>
  <c r="AT148" i="43"/>
  <c r="AL148" i="43"/>
  <c r="AG148" i="43"/>
  <c r="G145" i="45" s="1"/>
  <c r="AF148" i="43"/>
  <c r="F145" i="45" s="1"/>
  <c r="AE148" i="43"/>
  <c r="E145" i="45" s="1"/>
  <c r="AD148" i="43"/>
  <c r="AC148" i="43"/>
  <c r="O148" i="43"/>
  <c r="BQ148" i="43" s="1"/>
  <c r="GH147" i="43"/>
  <c r="GF147" i="43"/>
  <c r="GD147" i="43"/>
  <c r="GC147" i="43"/>
  <c r="GB147" i="43"/>
  <c r="FW147" i="43"/>
  <c r="FV147" i="43"/>
  <c r="FQ147" i="43"/>
  <c r="FD147" i="43"/>
  <c r="EU147" i="43"/>
  <c r="ET147" i="43"/>
  <c r="EM147" i="43"/>
  <c r="EF147" i="43"/>
  <c r="EG147" i="43" s="1"/>
  <c r="DV147" i="43"/>
  <c r="DU147" i="43"/>
  <c r="DT147" i="43"/>
  <c r="DS147" i="43"/>
  <c r="DP147" i="43"/>
  <c r="Q144" i="45" s="1"/>
  <c r="R144" i="45" s="1"/>
  <c r="DA147" i="43"/>
  <c r="CS147" i="43" s="1"/>
  <c r="CW147" i="43"/>
  <c r="CU147" i="43"/>
  <c r="CH147" i="43"/>
  <c r="CG147" i="43"/>
  <c r="CD147" i="43" s="1"/>
  <c r="AR147" i="43" s="1"/>
  <c r="CB147" i="43"/>
  <c r="BZ147" i="43"/>
  <c r="BM147" i="43"/>
  <c r="BE147" i="43" s="1"/>
  <c r="BI147" i="43"/>
  <c r="BG147" i="43"/>
  <c r="AT147" i="43"/>
  <c r="AL147" i="43"/>
  <c r="AG147" i="43"/>
  <c r="G144" i="45" s="1"/>
  <c r="AF147" i="43"/>
  <c r="F144" i="45" s="1"/>
  <c r="AE147" i="43"/>
  <c r="AD147" i="43"/>
  <c r="AC147" i="43"/>
  <c r="O147" i="43"/>
  <c r="BQ147" i="43" s="1"/>
  <c r="GH146" i="43"/>
  <c r="GF146" i="43"/>
  <c r="GD146" i="43"/>
  <c r="GC146" i="43"/>
  <c r="GB146" i="43"/>
  <c r="FW146" i="43"/>
  <c r="FV146" i="43"/>
  <c r="FQ146" i="43"/>
  <c r="FD146" i="43"/>
  <c r="EU146" i="43"/>
  <c r="ET146" i="43"/>
  <c r="EM146" i="43"/>
  <c r="EF146" i="43"/>
  <c r="EG146" i="43" s="1"/>
  <c r="DV146" i="43"/>
  <c r="DU146" i="43"/>
  <c r="DT146" i="43"/>
  <c r="DS146" i="43"/>
  <c r="DP146" i="43"/>
  <c r="Q143" i="45" s="1"/>
  <c r="R143" i="45" s="1"/>
  <c r="DA146" i="43"/>
  <c r="CS146" i="43" s="1"/>
  <c r="CW146" i="43"/>
  <c r="CU146" i="43"/>
  <c r="CH146" i="43"/>
  <c r="CG146" i="43"/>
  <c r="CD146" i="43" s="1"/>
  <c r="CB146" i="43"/>
  <c r="BZ146" i="43"/>
  <c r="BM146" i="43"/>
  <c r="BE146" i="43" s="1"/>
  <c r="BI146" i="43"/>
  <c r="BG146" i="43"/>
  <c r="AT146" i="43"/>
  <c r="AL146" i="43"/>
  <c r="AG146" i="43"/>
  <c r="G143" i="45" s="1"/>
  <c r="AF146" i="43"/>
  <c r="F143" i="45" s="1"/>
  <c r="AE146" i="43"/>
  <c r="AD146" i="43"/>
  <c r="AC146" i="43"/>
  <c r="O146" i="43"/>
  <c r="BQ146" i="43" s="1"/>
  <c r="J146" i="43"/>
  <c r="GH145" i="43"/>
  <c r="GF145" i="43"/>
  <c r="GD145" i="43"/>
  <c r="GC145" i="43"/>
  <c r="GB145" i="43"/>
  <c r="FW145" i="43"/>
  <c r="FV145" i="43"/>
  <c r="FQ145" i="43"/>
  <c r="FD145" i="43"/>
  <c r="EU145" i="43"/>
  <c r="ET145" i="43"/>
  <c r="EM145" i="43"/>
  <c r="EF145" i="43"/>
  <c r="EG145" i="43" s="1"/>
  <c r="DV145" i="43"/>
  <c r="DU145" i="43"/>
  <c r="DT145" i="43"/>
  <c r="DS145" i="43"/>
  <c r="DP145" i="43"/>
  <c r="Q142" i="45" s="1"/>
  <c r="R142" i="45" s="1"/>
  <c r="DA145" i="43"/>
  <c r="CS145" i="43" s="1"/>
  <c r="CW145" i="43"/>
  <c r="CU145" i="43"/>
  <c r="CH145" i="43"/>
  <c r="CG145" i="43"/>
  <c r="CD145" i="43" s="1"/>
  <c r="AP145" i="43" s="1"/>
  <c r="CB145" i="43"/>
  <c r="BZ145" i="43"/>
  <c r="BM145" i="43"/>
  <c r="BE145" i="43" s="1"/>
  <c r="BI145" i="43"/>
  <c r="BG145" i="43"/>
  <c r="AT145" i="43"/>
  <c r="AL145" i="43"/>
  <c r="AG145" i="43"/>
  <c r="G142" i="45" s="1"/>
  <c r="AF145" i="43"/>
  <c r="F142" i="45" s="1"/>
  <c r="AE145" i="43"/>
  <c r="AD145" i="43"/>
  <c r="AC145" i="43"/>
  <c r="O145" i="43"/>
  <c r="BQ145" i="43" s="1"/>
  <c r="GH144" i="43"/>
  <c r="GF144" i="43"/>
  <c r="GD144" i="43"/>
  <c r="GC144" i="43"/>
  <c r="GB144" i="43"/>
  <c r="FW144" i="43"/>
  <c r="FV144" i="43"/>
  <c r="FQ144" i="43"/>
  <c r="FD144" i="43"/>
  <c r="P141" i="45" s="1"/>
  <c r="EU144" i="43"/>
  <c r="ET144" i="43"/>
  <c r="EM144" i="43"/>
  <c r="EF144" i="43"/>
  <c r="EG144" i="43" s="1"/>
  <c r="DV144" i="43"/>
  <c r="DU144" i="43"/>
  <c r="DT144" i="43"/>
  <c r="DS144" i="43"/>
  <c r="DP144" i="43"/>
  <c r="DA144" i="43"/>
  <c r="CS144" i="43" s="1"/>
  <c r="CW144" i="43"/>
  <c r="CU144" i="43"/>
  <c r="CH144" i="43"/>
  <c r="CG144" i="43"/>
  <c r="CB144" i="43"/>
  <c r="BZ144" i="43"/>
  <c r="BM144" i="43"/>
  <c r="BE144" i="43" s="1"/>
  <c r="BI144" i="43"/>
  <c r="BG144" i="43"/>
  <c r="AT144" i="43"/>
  <c r="AL144" i="43"/>
  <c r="AG144" i="43"/>
  <c r="G141" i="45" s="1"/>
  <c r="AF144" i="43"/>
  <c r="F141" i="45" s="1"/>
  <c r="AE144" i="43"/>
  <c r="AD144" i="43"/>
  <c r="AC144" i="43"/>
  <c r="O144" i="43"/>
  <c r="BQ144" i="43" s="1"/>
  <c r="GH143" i="43"/>
  <c r="GF143" i="43"/>
  <c r="GD143" i="43"/>
  <c r="GC143" i="43"/>
  <c r="GB143" i="43"/>
  <c r="FW143" i="43"/>
  <c r="FV143" i="43"/>
  <c r="FQ143" i="43"/>
  <c r="FD143" i="43"/>
  <c r="P140" i="45" s="1"/>
  <c r="EU143" i="43"/>
  <c r="ET143" i="43"/>
  <c r="EM143" i="43"/>
  <c r="EF143" i="43"/>
  <c r="EG143" i="43" s="1"/>
  <c r="DV143" i="43"/>
  <c r="DU143" i="43"/>
  <c r="DT143" i="43"/>
  <c r="DS143" i="43"/>
  <c r="DP143" i="43"/>
  <c r="Q140" i="45" s="1"/>
  <c r="R140" i="45" s="1"/>
  <c r="DA143" i="43"/>
  <c r="CS143" i="43" s="1"/>
  <c r="CW143" i="43"/>
  <c r="CU143" i="43"/>
  <c r="CH143" i="43"/>
  <c r="CG143" i="43"/>
  <c r="CD143" i="43" s="1"/>
  <c r="CB143" i="43"/>
  <c r="BZ143" i="43"/>
  <c r="BM143" i="43"/>
  <c r="BE143" i="43" s="1"/>
  <c r="BI143" i="43"/>
  <c r="BG143" i="43"/>
  <c r="AT143" i="43"/>
  <c r="AL143" i="43"/>
  <c r="AG143" i="43"/>
  <c r="G140" i="45" s="1"/>
  <c r="AF143" i="43"/>
  <c r="F140" i="45" s="1"/>
  <c r="AE143" i="43"/>
  <c r="E140" i="45" s="1"/>
  <c r="AD143" i="43"/>
  <c r="AC143" i="43"/>
  <c r="O143" i="43"/>
  <c r="BQ143" i="43" s="1"/>
  <c r="GH142" i="43"/>
  <c r="GF142" i="43"/>
  <c r="GD142" i="43"/>
  <c r="GC142" i="43"/>
  <c r="GB142" i="43"/>
  <c r="FW142" i="43"/>
  <c r="FV142" i="43"/>
  <c r="FQ142" i="43"/>
  <c r="FD142" i="43"/>
  <c r="P139" i="45" s="1"/>
  <c r="EU142" i="43"/>
  <c r="ET142" i="43"/>
  <c r="EM142" i="43"/>
  <c r="EF142" i="43"/>
  <c r="EG142" i="43" s="1"/>
  <c r="DV142" i="43"/>
  <c r="DU142" i="43"/>
  <c r="DT142" i="43"/>
  <c r="DS142" i="43"/>
  <c r="DP142" i="43"/>
  <c r="Q139" i="45" s="1"/>
  <c r="R139" i="45" s="1"/>
  <c r="DA142" i="43"/>
  <c r="CS142" i="43" s="1"/>
  <c r="CW142" i="43"/>
  <c r="CU142" i="43"/>
  <c r="CH142" i="43"/>
  <c r="CG142" i="43"/>
  <c r="CD142" i="43" s="1"/>
  <c r="CB142" i="43"/>
  <c r="BZ142" i="43"/>
  <c r="BM142" i="43"/>
  <c r="BE142" i="43" s="1"/>
  <c r="BI142" i="43"/>
  <c r="BG142" i="43"/>
  <c r="AT142" i="43"/>
  <c r="AL142" i="43"/>
  <c r="AG142" i="43"/>
  <c r="G139" i="45" s="1"/>
  <c r="AF142" i="43"/>
  <c r="F139" i="45" s="1"/>
  <c r="AE142" i="43"/>
  <c r="E139" i="45" s="1"/>
  <c r="AD142" i="43"/>
  <c r="AC142" i="43"/>
  <c r="O142" i="43"/>
  <c r="BQ142" i="43" s="1"/>
  <c r="GH141" i="43"/>
  <c r="GF141" i="43"/>
  <c r="GD141" i="43"/>
  <c r="GC141" i="43"/>
  <c r="GB141" i="43"/>
  <c r="FW141" i="43"/>
  <c r="FV141" i="43"/>
  <c r="FQ141" i="43"/>
  <c r="FD141" i="43"/>
  <c r="EU141" i="43"/>
  <c r="ET141" i="43"/>
  <c r="EM141" i="43"/>
  <c r="EF141" i="43"/>
  <c r="EG141" i="43" s="1"/>
  <c r="DV141" i="43"/>
  <c r="DU141" i="43"/>
  <c r="DT141" i="43"/>
  <c r="DS141" i="43"/>
  <c r="DP141" i="43"/>
  <c r="Q138" i="45" s="1"/>
  <c r="R138" i="45" s="1"/>
  <c r="DA141" i="43"/>
  <c r="CS141" i="43" s="1"/>
  <c r="CW141" i="43"/>
  <c r="CU141" i="43"/>
  <c r="CH141" i="43"/>
  <c r="CG141" i="43"/>
  <c r="CD141" i="43" s="1"/>
  <c r="CB141" i="43"/>
  <c r="BZ141" i="43"/>
  <c r="BM141" i="43"/>
  <c r="BE141" i="43" s="1"/>
  <c r="BI141" i="43"/>
  <c r="BG141" i="43"/>
  <c r="AT141" i="43"/>
  <c r="AL141" i="43"/>
  <c r="AG141" i="43"/>
  <c r="G138" i="45" s="1"/>
  <c r="AF141" i="43"/>
  <c r="F138" i="45" s="1"/>
  <c r="AE141" i="43"/>
  <c r="E138" i="45" s="1"/>
  <c r="AD141" i="43"/>
  <c r="AC141" i="43"/>
  <c r="O141" i="43"/>
  <c r="BQ141" i="43" s="1"/>
  <c r="GH140" i="43"/>
  <c r="GF140" i="43"/>
  <c r="GD140" i="43"/>
  <c r="GC140" i="43"/>
  <c r="GB140" i="43"/>
  <c r="FW140" i="43"/>
  <c r="FV140" i="43"/>
  <c r="FQ140" i="43"/>
  <c r="FD140" i="43"/>
  <c r="EU140" i="43"/>
  <c r="ET140" i="43"/>
  <c r="EM140" i="43"/>
  <c r="EF140" i="43"/>
  <c r="EG140" i="43" s="1"/>
  <c r="DV140" i="43"/>
  <c r="DU140" i="43"/>
  <c r="DT140" i="43"/>
  <c r="DS140" i="43"/>
  <c r="DP140" i="43"/>
  <c r="Q137" i="45" s="1"/>
  <c r="R137" i="45" s="1"/>
  <c r="DA140" i="43"/>
  <c r="CS140" i="43" s="1"/>
  <c r="CW140" i="43"/>
  <c r="CU140" i="43"/>
  <c r="CH140" i="43"/>
  <c r="CG140" i="43"/>
  <c r="CB140" i="43"/>
  <c r="BZ140" i="43"/>
  <c r="BM140" i="43"/>
  <c r="BE140" i="43" s="1"/>
  <c r="BI140" i="43"/>
  <c r="BG140" i="43"/>
  <c r="AT140" i="43"/>
  <c r="AL140" i="43"/>
  <c r="AG140" i="43"/>
  <c r="G137" i="45" s="1"/>
  <c r="AF140" i="43"/>
  <c r="F137" i="45" s="1"/>
  <c r="AE140" i="43"/>
  <c r="E137" i="45" s="1"/>
  <c r="AD140" i="43"/>
  <c r="AC140" i="43"/>
  <c r="O140" i="43"/>
  <c r="BQ140" i="43" s="1"/>
  <c r="GH139" i="43"/>
  <c r="GF139" i="43"/>
  <c r="GD139" i="43"/>
  <c r="GC139" i="43"/>
  <c r="GB139" i="43"/>
  <c r="FW139" i="43"/>
  <c r="FV139" i="43"/>
  <c r="FQ139" i="43"/>
  <c r="FD139" i="43"/>
  <c r="EU139" i="43"/>
  <c r="ET139" i="43"/>
  <c r="EM139" i="43"/>
  <c r="EF139" i="43"/>
  <c r="EG139" i="43" s="1"/>
  <c r="DV139" i="43"/>
  <c r="DU139" i="43"/>
  <c r="DT139" i="43"/>
  <c r="DS139" i="43"/>
  <c r="DP139" i="43"/>
  <c r="DA139" i="43"/>
  <c r="CS139" i="43" s="1"/>
  <c r="CW139" i="43"/>
  <c r="CU139" i="43"/>
  <c r="CH139" i="43"/>
  <c r="CG139" i="43"/>
  <c r="CD139" i="43" s="1"/>
  <c r="AR139" i="43" s="1"/>
  <c r="CB139" i="43"/>
  <c r="BZ139" i="43"/>
  <c r="BM139" i="43"/>
  <c r="BE139" i="43" s="1"/>
  <c r="BI139" i="43"/>
  <c r="BG139" i="43"/>
  <c r="AT139" i="43"/>
  <c r="AL139" i="43"/>
  <c r="AG139" i="43"/>
  <c r="G136" i="45" s="1"/>
  <c r="AF139" i="43"/>
  <c r="AE139" i="43"/>
  <c r="AD139" i="43"/>
  <c r="AC139" i="43"/>
  <c r="O139" i="43"/>
  <c r="GH138" i="43"/>
  <c r="GF138" i="43"/>
  <c r="GD138" i="43"/>
  <c r="GC138" i="43"/>
  <c r="GB138" i="43"/>
  <c r="FW138" i="43"/>
  <c r="FV138" i="43"/>
  <c r="FQ138" i="43"/>
  <c r="FD138" i="43"/>
  <c r="P135" i="45" s="1"/>
  <c r="EU138" i="43"/>
  <c r="ET138" i="43"/>
  <c r="EM138" i="43"/>
  <c r="EF138" i="43"/>
  <c r="EG138" i="43" s="1"/>
  <c r="DV138" i="43"/>
  <c r="DU138" i="43"/>
  <c r="DT138" i="43"/>
  <c r="DS138" i="43"/>
  <c r="DP138" i="43"/>
  <c r="Q135" i="45" s="1"/>
  <c r="R135" i="45" s="1"/>
  <c r="DA138" i="43"/>
  <c r="CS138" i="43" s="1"/>
  <c r="CW138" i="43"/>
  <c r="CU138" i="43"/>
  <c r="CH138" i="43"/>
  <c r="CG138" i="43"/>
  <c r="CD138" i="43" s="1"/>
  <c r="CB138" i="43"/>
  <c r="BZ138" i="43"/>
  <c r="BM138" i="43"/>
  <c r="BE138" i="43" s="1"/>
  <c r="BI138" i="43"/>
  <c r="BG138" i="43"/>
  <c r="AT138" i="43"/>
  <c r="AL138" i="43"/>
  <c r="AG138" i="43"/>
  <c r="G135" i="45" s="1"/>
  <c r="AF138" i="43"/>
  <c r="F135" i="45" s="1"/>
  <c r="AE138" i="43"/>
  <c r="AD138" i="43"/>
  <c r="AC138" i="43"/>
  <c r="O138" i="43"/>
  <c r="BQ138" i="43" s="1"/>
  <c r="GH137" i="43"/>
  <c r="GF137" i="43"/>
  <c r="GD137" i="43"/>
  <c r="GC137" i="43"/>
  <c r="GB137" i="43"/>
  <c r="FW137" i="43"/>
  <c r="FV137" i="43"/>
  <c r="FQ137" i="43"/>
  <c r="FD137" i="43"/>
  <c r="EU137" i="43"/>
  <c r="ET137" i="43"/>
  <c r="EM137" i="43"/>
  <c r="EF137" i="43"/>
  <c r="EG137" i="43" s="1"/>
  <c r="DV137" i="43"/>
  <c r="DU137" i="43"/>
  <c r="DT137" i="43"/>
  <c r="DS137" i="43"/>
  <c r="DP137" i="43"/>
  <c r="Q134" i="45" s="1"/>
  <c r="R134" i="45" s="1"/>
  <c r="DA137" i="43"/>
  <c r="CS137" i="43" s="1"/>
  <c r="CW137" i="43"/>
  <c r="CU137" i="43"/>
  <c r="CH137" i="43"/>
  <c r="CG137" i="43"/>
  <c r="CD137" i="43" s="1"/>
  <c r="AP137" i="43" s="1"/>
  <c r="CB137" i="43"/>
  <c r="BZ137" i="43"/>
  <c r="BM137" i="43"/>
  <c r="BE137" i="43" s="1"/>
  <c r="BI137" i="43"/>
  <c r="BG137" i="43"/>
  <c r="AT137" i="43"/>
  <c r="AL137" i="43"/>
  <c r="AG137" i="43"/>
  <c r="AF137" i="43"/>
  <c r="F134" i="45" s="1"/>
  <c r="AE137" i="43"/>
  <c r="E134" i="45" s="1"/>
  <c r="AD137" i="43"/>
  <c r="AC137" i="43"/>
  <c r="O137" i="43"/>
  <c r="J137" i="43"/>
  <c r="GH136" i="43"/>
  <c r="GF136" i="43"/>
  <c r="GD136" i="43"/>
  <c r="GC136" i="43"/>
  <c r="GB136" i="43"/>
  <c r="FW136" i="43"/>
  <c r="FV136" i="43"/>
  <c r="FQ136" i="43"/>
  <c r="FD136" i="43"/>
  <c r="P133" i="45" s="1"/>
  <c r="EU136" i="43"/>
  <c r="ET136" i="43"/>
  <c r="EM136" i="43"/>
  <c r="EF136" i="43"/>
  <c r="EG136" i="43" s="1"/>
  <c r="DV136" i="43"/>
  <c r="DU136" i="43"/>
  <c r="DT136" i="43"/>
  <c r="DS136" i="43"/>
  <c r="DP136" i="43"/>
  <c r="Q133" i="45" s="1"/>
  <c r="R133" i="45" s="1"/>
  <c r="DA136" i="43"/>
  <c r="CS136" i="43" s="1"/>
  <c r="CW136" i="43"/>
  <c r="CU136" i="43"/>
  <c r="CH136" i="43"/>
  <c r="CG136" i="43"/>
  <c r="CB136" i="43"/>
  <c r="BZ136" i="43"/>
  <c r="BM136" i="43"/>
  <c r="BE136" i="43" s="1"/>
  <c r="BI136" i="43"/>
  <c r="BG136" i="43"/>
  <c r="AT136" i="43"/>
  <c r="AL136" i="43"/>
  <c r="AG136" i="43"/>
  <c r="G133" i="45" s="1"/>
  <c r="AF136" i="43"/>
  <c r="F133" i="45" s="1"/>
  <c r="AE136" i="43"/>
  <c r="E133" i="45" s="1"/>
  <c r="AD136" i="43"/>
  <c r="AC136" i="43"/>
  <c r="O136" i="43"/>
  <c r="I136" i="43"/>
  <c r="GH135" i="43"/>
  <c r="GF135" i="43"/>
  <c r="GD135" i="43"/>
  <c r="GC135" i="43"/>
  <c r="GB135" i="43"/>
  <c r="FW135" i="43"/>
  <c r="FV135" i="43"/>
  <c r="FQ135" i="43"/>
  <c r="FD135" i="43"/>
  <c r="P132" i="45" s="1"/>
  <c r="EU135" i="43"/>
  <c r="ET135" i="43"/>
  <c r="EM135" i="43"/>
  <c r="EF135" i="43"/>
  <c r="EG135" i="43" s="1"/>
  <c r="DV135" i="43"/>
  <c r="DU135" i="43"/>
  <c r="DT135" i="43"/>
  <c r="DS135" i="43"/>
  <c r="DP135" i="43"/>
  <c r="DA135" i="43"/>
  <c r="CS135" i="43" s="1"/>
  <c r="CW135" i="43"/>
  <c r="CU135" i="43"/>
  <c r="CH135" i="43"/>
  <c r="CG135" i="43"/>
  <c r="CD135" i="43" s="1"/>
  <c r="CB135" i="43"/>
  <c r="BZ135" i="43"/>
  <c r="BM135" i="43"/>
  <c r="BE135" i="43" s="1"/>
  <c r="BI135" i="43"/>
  <c r="BG135" i="43"/>
  <c r="AT135" i="43"/>
  <c r="AL135" i="43"/>
  <c r="AG135" i="43"/>
  <c r="G132" i="45" s="1"/>
  <c r="AF135" i="43"/>
  <c r="AE135" i="43"/>
  <c r="AD135" i="43"/>
  <c r="AC135" i="43"/>
  <c r="O135" i="43"/>
  <c r="BQ135" i="43" s="1"/>
  <c r="GH134" i="43"/>
  <c r="GF134" i="43"/>
  <c r="GD134" i="43"/>
  <c r="GC134" i="43"/>
  <c r="GB134" i="43"/>
  <c r="FW134" i="43"/>
  <c r="FV134" i="43"/>
  <c r="FQ134" i="43"/>
  <c r="FD134" i="43"/>
  <c r="P131" i="45" s="1"/>
  <c r="EU134" i="43"/>
  <c r="ET134" i="43"/>
  <c r="EM134" i="43"/>
  <c r="EF134" i="43"/>
  <c r="EG134" i="43" s="1"/>
  <c r="DV134" i="43"/>
  <c r="DU134" i="43"/>
  <c r="DT134" i="43"/>
  <c r="DS134" i="43"/>
  <c r="DP134" i="43"/>
  <c r="Q131" i="45" s="1"/>
  <c r="R131" i="45" s="1"/>
  <c r="DA134" i="43"/>
  <c r="CS134" i="43" s="1"/>
  <c r="CW134" i="43"/>
  <c r="CU134" i="43"/>
  <c r="CH134" i="43"/>
  <c r="CG134" i="43"/>
  <c r="CD134" i="43" s="1"/>
  <c r="CB134" i="43"/>
  <c r="BZ134" i="43"/>
  <c r="BM134" i="43"/>
  <c r="BE134" i="43" s="1"/>
  <c r="BI134" i="43"/>
  <c r="BG134" i="43"/>
  <c r="AT134" i="43"/>
  <c r="AL134" i="43"/>
  <c r="AG134" i="43"/>
  <c r="G131" i="45" s="1"/>
  <c r="AF134" i="43"/>
  <c r="F131" i="45" s="1"/>
  <c r="AE134" i="43"/>
  <c r="AD134" i="43"/>
  <c r="AC134" i="43"/>
  <c r="O134" i="43"/>
  <c r="GH133" i="43"/>
  <c r="GF133" i="43"/>
  <c r="GD133" i="43"/>
  <c r="GC133" i="43"/>
  <c r="GB133" i="43"/>
  <c r="FW133" i="43"/>
  <c r="FV133" i="43"/>
  <c r="FQ133" i="43"/>
  <c r="FD133" i="43"/>
  <c r="EU133" i="43"/>
  <c r="ET133" i="43"/>
  <c r="EM133" i="43"/>
  <c r="EF133" i="43"/>
  <c r="EG133" i="43" s="1"/>
  <c r="DV133" i="43"/>
  <c r="DU133" i="43"/>
  <c r="DT133" i="43"/>
  <c r="DS133" i="43"/>
  <c r="DP133" i="43"/>
  <c r="Q130" i="45" s="1"/>
  <c r="R130" i="45" s="1"/>
  <c r="DA133" i="43"/>
  <c r="CS133" i="43" s="1"/>
  <c r="CW133" i="43"/>
  <c r="CU133" i="43"/>
  <c r="CH133" i="43"/>
  <c r="CG133" i="43"/>
  <c r="CD133" i="43" s="1"/>
  <c r="CB133" i="43"/>
  <c r="BZ133" i="43"/>
  <c r="BM133" i="43"/>
  <c r="BE133" i="43" s="1"/>
  <c r="BI133" i="43"/>
  <c r="BG133" i="43"/>
  <c r="AT133" i="43"/>
  <c r="AL133" i="43"/>
  <c r="AG133" i="43"/>
  <c r="G130" i="45" s="1"/>
  <c r="AF133" i="43"/>
  <c r="AE133" i="43"/>
  <c r="E130" i="45" s="1"/>
  <c r="AD133" i="43"/>
  <c r="AC133" i="43"/>
  <c r="O133" i="43"/>
  <c r="BQ133" i="43" s="1"/>
  <c r="J133" i="43"/>
  <c r="GH132" i="43"/>
  <c r="GF132" i="43"/>
  <c r="GD132" i="43"/>
  <c r="GC132" i="43"/>
  <c r="GB132" i="43"/>
  <c r="FW132" i="43"/>
  <c r="FV132" i="43"/>
  <c r="FQ132" i="43"/>
  <c r="FD132" i="43"/>
  <c r="P129" i="45" s="1"/>
  <c r="EU132" i="43"/>
  <c r="ET132" i="43"/>
  <c r="EM132" i="43"/>
  <c r="EF132" i="43"/>
  <c r="EG132" i="43" s="1"/>
  <c r="DV132" i="43"/>
  <c r="DU132" i="43"/>
  <c r="DT132" i="43"/>
  <c r="DS132" i="43"/>
  <c r="DP132" i="43"/>
  <c r="Q129" i="45" s="1"/>
  <c r="R129" i="45" s="1"/>
  <c r="DA132" i="43"/>
  <c r="CS132" i="43" s="1"/>
  <c r="CW132" i="43"/>
  <c r="CU132" i="43"/>
  <c r="CH132" i="43"/>
  <c r="CG132" i="43"/>
  <c r="CB132" i="43"/>
  <c r="BZ132" i="43"/>
  <c r="BM132" i="43"/>
  <c r="BE132" i="43" s="1"/>
  <c r="BI132" i="43"/>
  <c r="BG132" i="43"/>
  <c r="AT132" i="43"/>
  <c r="AL132" i="43"/>
  <c r="AG132" i="43"/>
  <c r="G129" i="45" s="1"/>
  <c r="AF132" i="43"/>
  <c r="F129" i="45" s="1"/>
  <c r="AE132" i="43"/>
  <c r="E129" i="45" s="1"/>
  <c r="AD132" i="43"/>
  <c r="AC132" i="43"/>
  <c r="O132" i="43"/>
  <c r="FO132" i="43" s="1"/>
  <c r="I132" i="43"/>
  <c r="J132" i="43"/>
  <c r="GH131" i="43"/>
  <c r="GF131" i="43"/>
  <c r="GD131" i="43"/>
  <c r="GC131" i="43"/>
  <c r="GB131" i="43"/>
  <c r="FW131" i="43"/>
  <c r="FV131" i="43"/>
  <c r="FQ131" i="43"/>
  <c r="FD131" i="43"/>
  <c r="EU131" i="43"/>
  <c r="ET131" i="43"/>
  <c r="EM131" i="43"/>
  <c r="EF131" i="43"/>
  <c r="EG131" i="43" s="1"/>
  <c r="DV131" i="43"/>
  <c r="DU131" i="43"/>
  <c r="DT131" i="43"/>
  <c r="DS131" i="43"/>
  <c r="DP131" i="43"/>
  <c r="Q128" i="45" s="1"/>
  <c r="R128" i="45" s="1"/>
  <c r="DA131" i="43"/>
  <c r="CS131" i="43" s="1"/>
  <c r="CW131" i="43"/>
  <c r="CU131" i="43"/>
  <c r="CH131" i="43"/>
  <c r="CG131" i="43"/>
  <c r="CD131" i="43" s="1"/>
  <c r="AR131" i="43" s="1"/>
  <c r="CB131" i="43"/>
  <c r="BZ131" i="43"/>
  <c r="BM131" i="43"/>
  <c r="BE131" i="43" s="1"/>
  <c r="BI131" i="43"/>
  <c r="BG131" i="43"/>
  <c r="AT131" i="43"/>
  <c r="AL131" i="43"/>
  <c r="AG131" i="43"/>
  <c r="G128" i="45" s="1"/>
  <c r="AF131" i="43"/>
  <c r="AE131" i="43"/>
  <c r="E128" i="45" s="1"/>
  <c r="AD131" i="43"/>
  <c r="AC131" i="43"/>
  <c r="O131" i="43"/>
  <c r="BQ131" i="43" s="1"/>
  <c r="I131" i="43"/>
  <c r="GH130" i="43"/>
  <c r="GF130" i="43"/>
  <c r="GD130" i="43"/>
  <c r="GC130" i="43"/>
  <c r="GB130" i="43"/>
  <c r="FW130" i="43"/>
  <c r="FV130" i="43"/>
  <c r="FQ130" i="43"/>
  <c r="FD130" i="43"/>
  <c r="EU130" i="43"/>
  <c r="ET130" i="43"/>
  <c r="EM130" i="43"/>
  <c r="EF130" i="43"/>
  <c r="EG130" i="43" s="1"/>
  <c r="DV130" i="43"/>
  <c r="DU130" i="43"/>
  <c r="DT130" i="43"/>
  <c r="DS130" i="43"/>
  <c r="DP130" i="43"/>
  <c r="DA130" i="43"/>
  <c r="CS130" i="43" s="1"/>
  <c r="CW130" i="43"/>
  <c r="CU130" i="43"/>
  <c r="CH130" i="43"/>
  <c r="CG130" i="43"/>
  <c r="CD130" i="43" s="1"/>
  <c r="CB130" i="43"/>
  <c r="BZ130" i="43"/>
  <c r="BM130" i="43"/>
  <c r="BE130" i="43" s="1"/>
  <c r="BI130" i="43"/>
  <c r="BG130" i="43"/>
  <c r="AT130" i="43"/>
  <c r="AL130" i="43"/>
  <c r="AG130" i="43"/>
  <c r="G127" i="45" s="1"/>
  <c r="AF130" i="43"/>
  <c r="F127" i="45" s="1"/>
  <c r="AE130" i="43"/>
  <c r="AD130" i="43"/>
  <c r="AC130" i="43"/>
  <c r="O130" i="43"/>
  <c r="BQ130" i="43" s="1"/>
  <c r="GH129" i="43"/>
  <c r="GF129" i="43"/>
  <c r="GD129" i="43"/>
  <c r="GC129" i="43"/>
  <c r="GB129" i="43"/>
  <c r="FW129" i="43"/>
  <c r="FV129" i="43"/>
  <c r="FQ129" i="43"/>
  <c r="FD129" i="43"/>
  <c r="P126" i="45" s="1"/>
  <c r="EU129" i="43"/>
  <c r="ET129" i="43"/>
  <c r="EM129" i="43"/>
  <c r="EF129" i="43"/>
  <c r="EG129" i="43" s="1"/>
  <c r="DV129" i="43"/>
  <c r="DU129" i="43"/>
  <c r="DT129" i="43"/>
  <c r="DS129" i="43"/>
  <c r="DP129" i="43"/>
  <c r="Q126" i="45" s="1"/>
  <c r="R126" i="45" s="1"/>
  <c r="DA129" i="43"/>
  <c r="CS129" i="43" s="1"/>
  <c r="CW129" i="43"/>
  <c r="CU129" i="43"/>
  <c r="CH129" i="43"/>
  <c r="CG129" i="43"/>
  <c r="CD129" i="43" s="1"/>
  <c r="CB129" i="43"/>
  <c r="BZ129" i="43"/>
  <c r="BM129" i="43"/>
  <c r="BE129" i="43" s="1"/>
  <c r="BI129" i="43"/>
  <c r="BG129" i="43"/>
  <c r="AT129" i="43"/>
  <c r="AL129" i="43"/>
  <c r="AG129" i="43"/>
  <c r="G126" i="45" s="1"/>
  <c r="AF129" i="43"/>
  <c r="AE129" i="43"/>
  <c r="E126" i="45" s="1"/>
  <c r="AD129" i="43"/>
  <c r="AC129" i="43"/>
  <c r="O129" i="43"/>
  <c r="BQ129" i="43" s="1"/>
  <c r="I129" i="43"/>
  <c r="J129" i="43"/>
  <c r="GH128" i="43"/>
  <c r="GF128" i="43"/>
  <c r="GD128" i="43"/>
  <c r="GC128" i="43"/>
  <c r="GB128" i="43"/>
  <c r="FW128" i="43"/>
  <c r="FV128" i="43"/>
  <c r="FQ128" i="43"/>
  <c r="FD128" i="43"/>
  <c r="EU128" i="43"/>
  <c r="ET128" i="43"/>
  <c r="EM128" i="43"/>
  <c r="EF128" i="43"/>
  <c r="EG128" i="43" s="1"/>
  <c r="DV128" i="43"/>
  <c r="DU128" i="43"/>
  <c r="DT128" i="43"/>
  <c r="DS128" i="43"/>
  <c r="DP128" i="43"/>
  <c r="DA128" i="43"/>
  <c r="CS128" i="43" s="1"/>
  <c r="CW128" i="43"/>
  <c r="CU128" i="43"/>
  <c r="CH128" i="43"/>
  <c r="CG128" i="43"/>
  <c r="CB128" i="43"/>
  <c r="BZ128" i="43"/>
  <c r="BM128" i="43"/>
  <c r="BE128" i="43" s="1"/>
  <c r="BI128" i="43"/>
  <c r="BG128" i="43"/>
  <c r="AT128" i="43"/>
  <c r="AL128" i="43"/>
  <c r="AG128" i="43"/>
  <c r="G125" i="45" s="1"/>
  <c r="AF128" i="43"/>
  <c r="F125" i="45" s="1"/>
  <c r="AE128" i="43"/>
  <c r="E125" i="45" s="1"/>
  <c r="AD128" i="43"/>
  <c r="AC128" i="43"/>
  <c r="O128" i="43"/>
  <c r="I128" i="43"/>
  <c r="GH127" i="43"/>
  <c r="GF127" i="43"/>
  <c r="GD127" i="43"/>
  <c r="GC127" i="43"/>
  <c r="GB127" i="43"/>
  <c r="FW127" i="43"/>
  <c r="FV127" i="43"/>
  <c r="FQ127" i="43"/>
  <c r="FD127" i="43"/>
  <c r="P124" i="45" s="1"/>
  <c r="EU127" i="43"/>
  <c r="ET127" i="43"/>
  <c r="EM127" i="43"/>
  <c r="EF127" i="43"/>
  <c r="EG127" i="43" s="1"/>
  <c r="DV127" i="43"/>
  <c r="DU127" i="43"/>
  <c r="DT127" i="43"/>
  <c r="DS127" i="43"/>
  <c r="DP127" i="43"/>
  <c r="DA127" i="43"/>
  <c r="CS127" i="43" s="1"/>
  <c r="CW127" i="43"/>
  <c r="CU127" i="43"/>
  <c r="CH127" i="43"/>
  <c r="CG127" i="43"/>
  <c r="CD127" i="43" s="1"/>
  <c r="CB127" i="43"/>
  <c r="BZ127" i="43"/>
  <c r="BM127" i="43"/>
  <c r="BE127" i="43" s="1"/>
  <c r="BI127" i="43"/>
  <c r="BG127" i="43"/>
  <c r="AT127" i="43"/>
  <c r="AL127" i="43"/>
  <c r="AG127" i="43"/>
  <c r="G124" i="45" s="1"/>
  <c r="AF127" i="43"/>
  <c r="AE127" i="43"/>
  <c r="E124" i="45" s="1"/>
  <c r="AD127" i="43"/>
  <c r="AC127" i="43"/>
  <c r="O127" i="43"/>
  <c r="FO127" i="43" s="1"/>
  <c r="GH126" i="43"/>
  <c r="GF126" i="43"/>
  <c r="GD126" i="43"/>
  <c r="GC126" i="43"/>
  <c r="GB126" i="43"/>
  <c r="FW126" i="43"/>
  <c r="FV126" i="43"/>
  <c r="FQ126" i="43"/>
  <c r="FD126" i="43"/>
  <c r="P123" i="45" s="1"/>
  <c r="EU126" i="43"/>
  <c r="ET126" i="43"/>
  <c r="EM126" i="43"/>
  <c r="EF126" i="43"/>
  <c r="EG126" i="43" s="1"/>
  <c r="DV126" i="43"/>
  <c r="DU126" i="43"/>
  <c r="DT126" i="43"/>
  <c r="DS126" i="43"/>
  <c r="DP126" i="43"/>
  <c r="Q123" i="45" s="1"/>
  <c r="R123" i="45" s="1"/>
  <c r="DA126" i="43"/>
  <c r="CS126" i="43" s="1"/>
  <c r="CW126" i="43"/>
  <c r="CU126" i="43"/>
  <c r="CH126" i="43"/>
  <c r="CG126" i="43"/>
  <c r="CD126" i="43" s="1"/>
  <c r="CB126" i="43"/>
  <c r="BZ126" i="43"/>
  <c r="BM126" i="43"/>
  <c r="BE126" i="43" s="1"/>
  <c r="BI126" i="43"/>
  <c r="BG126" i="43"/>
  <c r="AT126" i="43"/>
  <c r="AL126" i="43"/>
  <c r="AG126" i="43"/>
  <c r="G123" i="45" s="1"/>
  <c r="AF126" i="43"/>
  <c r="F123" i="45" s="1"/>
  <c r="AE126" i="43"/>
  <c r="E123" i="45" s="1"/>
  <c r="AD126" i="43"/>
  <c r="AC126" i="43"/>
  <c r="O126" i="43"/>
  <c r="BQ126" i="43" s="1"/>
  <c r="I126" i="43"/>
  <c r="GH125" i="43"/>
  <c r="GF125" i="43"/>
  <c r="GD125" i="43"/>
  <c r="GC125" i="43"/>
  <c r="GB125" i="43"/>
  <c r="FW125" i="43"/>
  <c r="FV125" i="43"/>
  <c r="FQ125" i="43"/>
  <c r="FD125" i="43"/>
  <c r="P122" i="45" s="1"/>
  <c r="EU125" i="43"/>
  <c r="ET125" i="43"/>
  <c r="EM125" i="43"/>
  <c r="EF125" i="43"/>
  <c r="EG125" i="43" s="1"/>
  <c r="DV125" i="43"/>
  <c r="DU125" i="43"/>
  <c r="DT125" i="43"/>
  <c r="DS125" i="43"/>
  <c r="DP125" i="43"/>
  <c r="Q122" i="45" s="1"/>
  <c r="R122" i="45" s="1"/>
  <c r="DA125" i="43"/>
  <c r="CS125" i="43" s="1"/>
  <c r="CW125" i="43"/>
  <c r="CU125" i="43"/>
  <c r="CH125" i="43"/>
  <c r="CG125" i="43"/>
  <c r="CD125" i="43" s="1"/>
  <c r="AP125" i="43" s="1"/>
  <c r="CB125" i="43"/>
  <c r="BZ125" i="43"/>
  <c r="BM125" i="43"/>
  <c r="BE125" i="43" s="1"/>
  <c r="BI125" i="43"/>
  <c r="BG125" i="43"/>
  <c r="AT125" i="43"/>
  <c r="AL125" i="43"/>
  <c r="AG125" i="43"/>
  <c r="G122" i="45" s="1"/>
  <c r="AF125" i="43"/>
  <c r="F122" i="45" s="1"/>
  <c r="AE125" i="43"/>
  <c r="AD125" i="43"/>
  <c r="AC125" i="43"/>
  <c r="O125" i="43"/>
  <c r="I125" i="43"/>
  <c r="GH124" i="43"/>
  <c r="GF124" i="43"/>
  <c r="GD124" i="43"/>
  <c r="GC124" i="43"/>
  <c r="GB124" i="43"/>
  <c r="FW124" i="43"/>
  <c r="FV124" i="43"/>
  <c r="FQ124" i="43"/>
  <c r="FD124" i="43"/>
  <c r="EU124" i="43"/>
  <c r="ET124" i="43"/>
  <c r="EM124" i="43"/>
  <c r="EF124" i="43"/>
  <c r="EG124" i="43" s="1"/>
  <c r="DV124" i="43"/>
  <c r="DU124" i="43"/>
  <c r="DT124" i="43"/>
  <c r="DS124" i="43"/>
  <c r="DP124" i="43"/>
  <c r="DA124" i="43"/>
  <c r="CS124" i="43" s="1"/>
  <c r="CW124" i="43"/>
  <c r="CU124" i="43"/>
  <c r="CH124" i="43"/>
  <c r="CG124" i="43"/>
  <c r="CB124" i="43"/>
  <c r="BZ124" i="43"/>
  <c r="BM124" i="43"/>
  <c r="BE124" i="43" s="1"/>
  <c r="BI124" i="43"/>
  <c r="BG124" i="43"/>
  <c r="AT124" i="43"/>
  <c r="AL124" i="43"/>
  <c r="AG124" i="43"/>
  <c r="G121" i="45" s="1"/>
  <c r="AF124" i="43"/>
  <c r="F121" i="45" s="1"/>
  <c r="AE124" i="43"/>
  <c r="E121" i="45" s="1"/>
  <c r="AD124" i="43"/>
  <c r="AC124" i="43"/>
  <c r="O124" i="43"/>
  <c r="BQ124" i="43" s="1"/>
  <c r="I124" i="43"/>
  <c r="GH123" i="43"/>
  <c r="GF123" i="43"/>
  <c r="GD123" i="43"/>
  <c r="GC123" i="43"/>
  <c r="GB123" i="43"/>
  <c r="FW123" i="43"/>
  <c r="FV123" i="43"/>
  <c r="FQ123" i="43"/>
  <c r="FD123" i="43"/>
  <c r="EU123" i="43"/>
  <c r="ET123" i="43"/>
  <c r="EM123" i="43"/>
  <c r="EF123" i="43"/>
  <c r="EG123" i="43" s="1"/>
  <c r="DV123" i="43"/>
  <c r="DU123" i="43"/>
  <c r="DT123" i="43"/>
  <c r="DS123" i="43"/>
  <c r="DP123" i="43"/>
  <c r="Q120" i="45" s="1"/>
  <c r="R120" i="45" s="1"/>
  <c r="DA123" i="43"/>
  <c r="CS123" i="43" s="1"/>
  <c r="CW123" i="43"/>
  <c r="CU123" i="43"/>
  <c r="CH123" i="43"/>
  <c r="CG123" i="43"/>
  <c r="CD123" i="43" s="1"/>
  <c r="CB123" i="43"/>
  <c r="BZ123" i="43"/>
  <c r="BM123" i="43"/>
  <c r="BE123" i="43" s="1"/>
  <c r="BI123" i="43"/>
  <c r="BG123" i="43"/>
  <c r="AT123" i="43"/>
  <c r="AL123" i="43"/>
  <c r="AG123" i="43"/>
  <c r="G120" i="45" s="1"/>
  <c r="AF123" i="43"/>
  <c r="F120" i="45" s="1"/>
  <c r="AE123" i="43"/>
  <c r="E120" i="45" s="1"/>
  <c r="AD123" i="43"/>
  <c r="AC123" i="43"/>
  <c r="O123" i="43"/>
  <c r="BQ123" i="43" s="1"/>
  <c r="GH122" i="43"/>
  <c r="GF122" i="43"/>
  <c r="GD122" i="43"/>
  <c r="GC122" i="43"/>
  <c r="GB122" i="43"/>
  <c r="FW122" i="43"/>
  <c r="FV122" i="43"/>
  <c r="FQ122" i="43"/>
  <c r="FD122" i="43"/>
  <c r="P119" i="45" s="1"/>
  <c r="EU122" i="43"/>
  <c r="ET122" i="43"/>
  <c r="EM122" i="43"/>
  <c r="EF122" i="43"/>
  <c r="EG122" i="43" s="1"/>
  <c r="DV122" i="43"/>
  <c r="DU122" i="43"/>
  <c r="DT122" i="43"/>
  <c r="DS122" i="43"/>
  <c r="DP122" i="43"/>
  <c r="Q119" i="45" s="1"/>
  <c r="R119" i="45" s="1"/>
  <c r="DA122" i="43"/>
  <c r="CS122" i="43" s="1"/>
  <c r="CW122" i="43"/>
  <c r="CU122" i="43"/>
  <c r="CH122" i="43"/>
  <c r="CG122" i="43"/>
  <c r="CD122" i="43" s="1"/>
  <c r="CB122" i="43"/>
  <c r="BZ122" i="43"/>
  <c r="BM122" i="43"/>
  <c r="BE122" i="43" s="1"/>
  <c r="BI122" i="43"/>
  <c r="BG122" i="43"/>
  <c r="AT122" i="43"/>
  <c r="AL122" i="43"/>
  <c r="AG122" i="43"/>
  <c r="G119" i="45" s="1"/>
  <c r="AF122" i="43"/>
  <c r="F119" i="45" s="1"/>
  <c r="AE122" i="43"/>
  <c r="AD122" i="43"/>
  <c r="AC122" i="43"/>
  <c r="O122" i="43"/>
  <c r="GH121" i="43"/>
  <c r="GF121" i="43"/>
  <c r="GD121" i="43"/>
  <c r="GC121" i="43"/>
  <c r="GB121" i="43"/>
  <c r="FW121" i="43"/>
  <c r="FV121" i="43"/>
  <c r="FQ121" i="43"/>
  <c r="FD121" i="43"/>
  <c r="P118" i="45" s="1"/>
  <c r="EU121" i="43"/>
  <c r="ET121" i="43"/>
  <c r="EM121" i="43"/>
  <c r="EF121" i="43"/>
  <c r="EG121" i="43" s="1"/>
  <c r="DV121" i="43"/>
  <c r="DU121" i="43"/>
  <c r="DT121" i="43"/>
  <c r="DS121" i="43"/>
  <c r="DP121" i="43"/>
  <c r="Q118" i="45" s="1"/>
  <c r="R118" i="45" s="1"/>
  <c r="DA121" i="43"/>
  <c r="CS121" i="43" s="1"/>
  <c r="CW121" i="43"/>
  <c r="CU121" i="43"/>
  <c r="CH121" i="43"/>
  <c r="CG121" i="43"/>
  <c r="CD121" i="43" s="1"/>
  <c r="CB121" i="43"/>
  <c r="BZ121" i="43"/>
  <c r="BM121" i="43"/>
  <c r="BE121" i="43" s="1"/>
  <c r="BI121" i="43"/>
  <c r="BG121" i="43"/>
  <c r="AT121" i="43"/>
  <c r="AL121" i="43"/>
  <c r="AG121" i="43"/>
  <c r="G118" i="45" s="1"/>
  <c r="AF121" i="43"/>
  <c r="F118" i="45" s="1"/>
  <c r="AE121" i="43"/>
  <c r="E118" i="45" s="1"/>
  <c r="AD121" i="43"/>
  <c r="AC121" i="43"/>
  <c r="O121" i="43"/>
  <c r="BQ121" i="43" s="1"/>
  <c r="I121" i="43"/>
  <c r="GH120" i="43"/>
  <c r="GF120" i="43"/>
  <c r="GD120" i="43"/>
  <c r="GC120" i="43"/>
  <c r="GB120" i="43"/>
  <c r="FW120" i="43"/>
  <c r="FV120" i="43"/>
  <c r="FQ120" i="43"/>
  <c r="FD120" i="43"/>
  <c r="P117" i="45" s="1"/>
  <c r="EU120" i="43"/>
  <c r="ET120" i="43"/>
  <c r="EM120" i="43"/>
  <c r="EF120" i="43"/>
  <c r="EG120" i="43" s="1"/>
  <c r="DV120" i="43"/>
  <c r="DU120" i="43"/>
  <c r="DT120" i="43"/>
  <c r="DS120" i="43"/>
  <c r="DP120" i="43"/>
  <c r="DA120" i="43"/>
  <c r="CS120" i="43" s="1"/>
  <c r="CW120" i="43"/>
  <c r="CU120" i="43"/>
  <c r="CH120" i="43"/>
  <c r="CG120" i="43"/>
  <c r="CB120" i="43"/>
  <c r="BZ120" i="43"/>
  <c r="BM120" i="43"/>
  <c r="BE120" i="43" s="1"/>
  <c r="BI120" i="43"/>
  <c r="BG120" i="43"/>
  <c r="AT120" i="43"/>
  <c r="AL120" i="43"/>
  <c r="AG120" i="43"/>
  <c r="G117" i="45" s="1"/>
  <c r="AF120" i="43"/>
  <c r="F117" i="45" s="1"/>
  <c r="AE120" i="43"/>
  <c r="E117" i="45" s="1"/>
  <c r="AD120" i="43"/>
  <c r="AC120" i="43"/>
  <c r="O120" i="43"/>
  <c r="BQ120" i="43" s="1"/>
  <c r="J120" i="43"/>
  <c r="GH119" i="43"/>
  <c r="GF119" i="43"/>
  <c r="GD119" i="43"/>
  <c r="GC119" i="43"/>
  <c r="GB119" i="43"/>
  <c r="FW119" i="43"/>
  <c r="FV119" i="43"/>
  <c r="FQ119" i="43"/>
  <c r="FD119" i="43"/>
  <c r="EU119" i="43"/>
  <c r="ET119" i="43"/>
  <c r="EM119" i="43"/>
  <c r="EF119" i="43"/>
  <c r="EG119" i="43" s="1"/>
  <c r="DV119" i="43"/>
  <c r="DU119" i="43"/>
  <c r="DT119" i="43"/>
  <c r="DS119" i="43"/>
  <c r="DP119" i="43"/>
  <c r="DA119" i="43"/>
  <c r="CS119" i="43" s="1"/>
  <c r="CW119" i="43"/>
  <c r="CU119" i="43"/>
  <c r="CH119" i="43"/>
  <c r="CG119" i="43"/>
  <c r="CD119" i="43" s="1"/>
  <c r="CB119" i="43"/>
  <c r="BZ119" i="43"/>
  <c r="BM119" i="43"/>
  <c r="BE119" i="43" s="1"/>
  <c r="BI119" i="43"/>
  <c r="BG119" i="43"/>
  <c r="AT119" i="43"/>
  <c r="AL119" i="43"/>
  <c r="AG119" i="43"/>
  <c r="G116" i="45" s="1"/>
  <c r="AF119" i="43"/>
  <c r="F116" i="45" s="1"/>
  <c r="AE119" i="43"/>
  <c r="E116" i="45" s="1"/>
  <c r="AD119" i="43"/>
  <c r="AC119" i="43"/>
  <c r="O119" i="43"/>
  <c r="BQ119" i="43" s="1"/>
  <c r="J119" i="43"/>
  <c r="GH118" i="43"/>
  <c r="GF118" i="43"/>
  <c r="GD118" i="43"/>
  <c r="GC118" i="43"/>
  <c r="GB118" i="43"/>
  <c r="FW118" i="43"/>
  <c r="FV118" i="43"/>
  <c r="FQ118" i="43"/>
  <c r="FD118" i="43"/>
  <c r="EU118" i="43"/>
  <c r="ET118" i="43"/>
  <c r="EM118" i="43"/>
  <c r="EF118" i="43"/>
  <c r="EG118" i="43" s="1"/>
  <c r="DV118" i="43"/>
  <c r="DU118" i="43"/>
  <c r="DT118" i="43"/>
  <c r="DS118" i="43"/>
  <c r="DP118" i="43"/>
  <c r="Q115" i="45" s="1"/>
  <c r="R115" i="45" s="1"/>
  <c r="DA118" i="43"/>
  <c r="CS118" i="43" s="1"/>
  <c r="CW118" i="43"/>
  <c r="CU118" i="43"/>
  <c r="CH118" i="43"/>
  <c r="CG118" i="43"/>
  <c r="CD118" i="43" s="1"/>
  <c r="CB118" i="43"/>
  <c r="BZ118" i="43"/>
  <c r="BM118" i="43"/>
  <c r="BE118" i="43" s="1"/>
  <c r="BI118" i="43"/>
  <c r="BG118" i="43"/>
  <c r="AT118" i="43"/>
  <c r="AL118" i="43"/>
  <c r="AG118" i="43"/>
  <c r="G115" i="45" s="1"/>
  <c r="AF118" i="43"/>
  <c r="F115" i="45" s="1"/>
  <c r="AE118" i="43"/>
  <c r="AD118" i="43"/>
  <c r="AC118" i="43"/>
  <c r="O118" i="43"/>
  <c r="BQ118" i="43" s="1"/>
  <c r="GH117" i="43"/>
  <c r="GF117" i="43"/>
  <c r="GD117" i="43"/>
  <c r="GC117" i="43"/>
  <c r="GB117" i="43"/>
  <c r="FW117" i="43"/>
  <c r="FV117" i="43"/>
  <c r="FQ117" i="43"/>
  <c r="FD117" i="43"/>
  <c r="EU117" i="43"/>
  <c r="ET117" i="43"/>
  <c r="EM117" i="43"/>
  <c r="EF117" i="43"/>
  <c r="EG117" i="43" s="1"/>
  <c r="DV117" i="43"/>
  <c r="DU117" i="43"/>
  <c r="DT117" i="43"/>
  <c r="DS117" i="43"/>
  <c r="DP117" i="43"/>
  <c r="Q114" i="45" s="1"/>
  <c r="R114" i="45" s="1"/>
  <c r="DA117" i="43"/>
  <c r="CS117" i="43" s="1"/>
  <c r="CW117" i="43"/>
  <c r="CU117" i="43"/>
  <c r="CH117" i="43"/>
  <c r="CG117" i="43"/>
  <c r="CD117" i="43" s="1"/>
  <c r="AP117" i="43" s="1"/>
  <c r="CB117" i="43"/>
  <c r="BZ117" i="43"/>
  <c r="BM117" i="43"/>
  <c r="BE117" i="43" s="1"/>
  <c r="BI117" i="43"/>
  <c r="BG117" i="43"/>
  <c r="AT117" i="43"/>
  <c r="AL117" i="43"/>
  <c r="AG117" i="43"/>
  <c r="G114" i="45" s="1"/>
  <c r="AF117" i="43"/>
  <c r="F114" i="45" s="1"/>
  <c r="AE117" i="43"/>
  <c r="AD117" i="43"/>
  <c r="AC117" i="43"/>
  <c r="O117" i="43"/>
  <c r="BQ117" i="43" s="1"/>
  <c r="GH116" i="43"/>
  <c r="GF116" i="43"/>
  <c r="GD116" i="43"/>
  <c r="GC116" i="43"/>
  <c r="GB116" i="43"/>
  <c r="FW116" i="43"/>
  <c r="FV116" i="43"/>
  <c r="FQ116" i="43"/>
  <c r="FD116" i="43"/>
  <c r="P113" i="45" s="1"/>
  <c r="EU116" i="43"/>
  <c r="ET116" i="43"/>
  <c r="EM116" i="43"/>
  <c r="EF116" i="43"/>
  <c r="EG116" i="43" s="1"/>
  <c r="DV116" i="43"/>
  <c r="DU116" i="43"/>
  <c r="DT116" i="43"/>
  <c r="DS116" i="43"/>
  <c r="DP116" i="43"/>
  <c r="Q113" i="45" s="1"/>
  <c r="R113" i="45" s="1"/>
  <c r="DA116" i="43"/>
  <c r="CS116" i="43" s="1"/>
  <c r="CW116" i="43"/>
  <c r="CU116" i="43"/>
  <c r="CH116" i="43"/>
  <c r="CG116" i="43"/>
  <c r="CB116" i="43"/>
  <c r="BZ116" i="43"/>
  <c r="BM116" i="43"/>
  <c r="BE116" i="43" s="1"/>
  <c r="BI116" i="43"/>
  <c r="BG116" i="43"/>
  <c r="AT116" i="43"/>
  <c r="AL116" i="43"/>
  <c r="AG116" i="43"/>
  <c r="G113" i="45" s="1"/>
  <c r="AF116" i="43"/>
  <c r="F113" i="45" s="1"/>
  <c r="AE116" i="43"/>
  <c r="AD116" i="43"/>
  <c r="AC116" i="43"/>
  <c r="O116" i="43"/>
  <c r="CL116" i="43" s="1"/>
  <c r="I116" i="43"/>
  <c r="GH115" i="43"/>
  <c r="GF115" i="43"/>
  <c r="GD115" i="43"/>
  <c r="GC115" i="43"/>
  <c r="GB115" i="43"/>
  <c r="FW115" i="43"/>
  <c r="FV115" i="43"/>
  <c r="FQ115" i="43"/>
  <c r="FD115" i="43"/>
  <c r="EU115" i="43"/>
  <c r="ET115" i="43"/>
  <c r="EM115" i="43"/>
  <c r="EF115" i="43"/>
  <c r="EG115" i="43" s="1"/>
  <c r="DV115" i="43"/>
  <c r="DU115" i="43"/>
  <c r="DT115" i="43"/>
  <c r="DS115" i="43"/>
  <c r="DP115" i="43"/>
  <c r="DA115" i="43"/>
  <c r="CS115" i="43" s="1"/>
  <c r="CW115" i="43"/>
  <c r="CU115" i="43"/>
  <c r="CH115" i="43"/>
  <c r="CG115" i="43"/>
  <c r="CD115" i="43" s="1"/>
  <c r="AR115" i="43" s="1"/>
  <c r="CB115" i="43"/>
  <c r="BZ115" i="43"/>
  <c r="BM115" i="43"/>
  <c r="BE115" i="43" s="1"/>
  <c r="BI115" i="43"/>
  <c r="BG115" i="43"/>
  <c r="AT115" i="43"/>
  <c r="AL115" i="43"/>
  <c r="AG115" i="43"/>
  <c r="G112" i="45" s="1"/>
  <c r="AF115" i="43"/>
  <c r="F112" i="45" s="1"/>
  <c r="AE115" i="43"/>
  <c r="AD115" i="43"/>
  <c r="AC115" i="43"/>
  <c r="O115" i="43"/>
  <c r="J115" i="43"/>
  <c r="GH114" i="43"/>
  <c r="GF114" i="43"/>
  <c r="GD114" i="43"/>
  <c r="GC114" i="43"/>
  <c r="GB114" i="43"/>
  <c r="FW114" i="43"/>
  <c r="FV114" i="43"/>
  <c r="FQ114" i="43"/>
  <c r="FD114" i="43"/>
  <c r="P111" i="45" s="1"/>
  <c r="EU114" i="43"/>
  <c r="ET114" i="43"/>
  <c r="EM114" i="43"/>
  <c r="EF114" i="43"/>
  <c r="EG114" i="43" s="1"/>
  <c r="DV114" i="43"/>
  <c r="DU114" i="43"/>
  <c r="DT114" i="43"/>
  <c r="DS114" i="43"/>
  <c r="DP114" i="43"/>
  <c r="Q111" i="45" s="1"/>
  <c r="R111" i="45" s="1"/>
  <c r="DA114" i="43"/>
  <c r="CS114" i="43" s="1"/>
  <c r="CW114" i="43"/>
  <c r="CU114" i="43"/>
  <c r="CH114" i="43"/>
  <c r="CG114" i="43"/>
  <c r="CD114" i="43" s="1"/>
  <c r="CB114" i="43"/>
  <c r="BZ114" i="43"/>
  <c r="BM114" i="43"/>
  <c r="BE114" i="43" s="1"/>
  <c r="BI114" i="43"/>
  <c r="BG114" i="43"/>
  <c r="AT114" i="43"/>
  <c r="AL114" i="43"/>
  <c r="AG114" i="43"/>
  <c r="G111" i="45" s="1"/>
  <c r="AF114" i="43"/>
  <c r="F111" i="45" s="1"/>
  <c r="AE114" i="43"/>
  <c r="E111" i="45" s="1"/>
  <c r="AD114" i="43"/>
  <c r="AC114" i="43"/>
  <c r="O114" i="43"/>
  <c r="J114" i="43"/>
  <c r="GH113" i="43"/>
  <c r="GF113" i="43"/>
  <c r="GD113" i="43"/>
  <c r="GC113" i="43"/>
  <c r="GB113" i="43"/>
  <c r="FW113" i="43"/>
  <c r="FV113" i="43"/>
  <c r="FQ113" i="43"/>
  <c r="FD113" i="43"/>
  <c r="EU113" i="43"/>
  <c r="ET113" i="43"/>
  <c r="EM113" i="43"/>
  <c r="EF113" i="43"/>
  <c r="EG113" i="43" s="1"/>
  <c r="DV113" i="43"/>
  <c r="DU113" i="43"/>
  <c r="DT113" i="43"/>
  <c r="DS113" i="43"/>
  <c r="DP113" i="43"/>
  <c r="Q110" i="45" s="1"/>
  <c r="R110" i="45" s="1"/>
  <c r="DA113" i="43"/>
  <c r="CS113" i="43" s="1"/>
  <c r="CW113" i="43"/>
  <c r="CU113" i="43"/>
  <c r="CH113" i="43"/>
  <c r="CG113" i="43"/>
  <c r="CD113" i="43" s="1"/>
  <c r="CB113" i="43"/>
  <c r="BZ113" i="43"/>
  <c r="BM113" i="43"/>
  <c r="BE113" i="43" s="1"/>
  <c r="BI113" i="43"/>
  <c r="BG113" i="43"/>
  <c r="AT113" i="43"/>
  <c r="AL113" i="43"/>
  <c r="AG113" i="43"/>
  <c r="G110" i="45" s="1"/>
  <c r="AF113" i="43"/>
  <c r="F110" i="45" s="1"/>
  <c r="AE113" i="43"/>
  <c r="E110" i="45" s="1"/>
  <c r="AD113" i="43"/>
  <c r="AC113" i="43"/>
  <c r="O113" i="43"/>
  <c r="J113" i="43"/>
  <c r="GH112" i="43"/>
  <c r="GF112" i="43"/>
  <c r="GD112" i="43"/>
  <c r="GC112" i="43"/>
  <c r="GB112" i="43"/>
  <c r="FW112" i="43"/>
  <c r="FV112" i="43"/>
  <c r="FQ112" i="43"/>
  <c r="FD112" i="43"/>
  <c r="EU112" i="43"/>
  <c r="ET112" i="43"/>
  <c r="EM112" i="43"/>
  <c r="EF112" i="43"/>
  <c r="EG112" i="43" s="1"/>
  <c r="DV112" i="43"/>
  <c r="DU112" i="43"/>
  <c r="DT112" i="43"/>
  <c r="DS112" i="43"/>
  <c r="DP112" i="43"/>
  <c r="DA112" i="43"/>
  <c r="CS112" i="43" s="1"/>
  <c r="CW112" i="43"/>
  <c r="CU112" i="43"/>
  <c r="CH112" i="43"/>
  <c r="CG112" i="43"/>
  <c r="CB112" i="43"/>
  <c r="BZ112" i="43"/>
  <c r="BM112" i="43"/>
  <c r="BE112" i="43" s="1"/>
  <c r="BI112" i="43"/>
  <c r="BG112" i="43"/>
  <c r="AT112" i="43"/>
  <c r="AL112" i="43"/>
  <c r="AG112" i="43"/>
  <c r="G109" i="45" s="1"/>
  <c r="AF112" i="43"/>
  <c r="F109" i="45" s="1"/>
  <c r="AE112" i="43"/>
  <c r="AD112" i="43"/>
  <c r="AC112" i="43"/>
  <c r="O112" i="43"/>
  <c r="BQ112" i="43" s="1"/>
  <c r="I112" i="43"/>
  <c r="GH111" i="43"/>
  <c r="GF111" i="43"/>
  <c r="GD111" i="43"/>
  <c r="GC111" i="43"/>
  <c r="GB111" i="43"/>
  <c r="FW111" i="43"/>
  <c r="FV111" i="43"/>
  <c r="FQ111" i="43"/>
  <c r="FD111" i="43"/>
  <c r="P108" i="45" s="1"/>
  <c r="EU111" i="43"/>
  <c r="EM111" i="43"/>
  <c r="EF111" i="43"/>
  <c r="EG111" i="43" s="1"/>
  <c r="DV111" i="43"/>
  <c r="DU111" i="43"/>
  <c r="DT111" i="43"/>
  <c r="DS111" i="43"/>
  <c r="DP111" i="43"/>
  <c r="DA111" i="43"/>
  <c r="CS111" i="43" s="1"/>
  <c r="CW111" i="43"/>
  <c r="CU111" i="43"/>
  <c r="CH111" i="43"/>
  <c r="CG111" i="43"/>
  <c r="CD111" i="43" s="1"/>
  <c r="AR111" i="43" s="1"/>
  <c r="CB111" i="43"/>
  <c r="BZ111" i="43"/>
  <c r="BM111" i="43"/>
  <c r="BE111" i="43" s="1"/>
  <c r="BI111" i="43"/>
  <c r="BG111" i="43"/>
  <c r="AT111" i="43"/>
  <c r="AL111" i="43"/>
  <c r="AG111" i="43"/>
  <c r="G108" i="45" s="1"/>
  <c r="AF111" i="43"/>
  <c r="F108" i="45" s="1"/>
  <c r="AE111" i="43"/>
  <c r="AD111" i="43"/>
  <c r="AC111" i="43"/>
  <c r="O111" i="43"/>
  <c r="DE111" i="43" s="1"/>
  <c r="GH110" i="43"/>
  <c r="GF110" i="43"/>
  <c r="GD110" i="43"/>
  <c r="GC110" i="43"/>
  <c r="GB110" i="43"/>
  <c r="FW110" i="43"/>
  <c r="FV110" i="43"/>
  <c r="FQ110" i="43"/>
  <c r="FD110" i="43"/>
  <c r="EU110" i="43"/>
  <c r="ET110" i="43"/>
  <c r="EM110" i="43"/>
  <c r="EF110" i="43"/>
  <c r="EG110" i="43" s="1"/>
  <c r="DV110" i="43"/>
  <c r="DU110" i="43"/>
  <c r="DT110" i="43"/>
  <c r="DS110" i="43"/>
  <c r="DP110" i="43"/>
  <c r="Q107" i="45" s="1"/>
  <c r="R107" i="45" s="1"/>
  <c r="DA110" i="43"/>
  <c r="CS110" i="43" s="1"/>
  <c r="CW110" i="43"/>
  <c r="CU110" i="43"/>
  <c r="CH110" i="43"/>
  <c r="CG110" i="43"/>
  <c r="CB110" i="43"/>
  <c r="BZ110" i="43"/>
  <c r="BM110" i="43"/>
  <c r="BE110" i="43" s="1"/>
  <c r="BI110" i="43"/>
  <c r="BG110" i="43"/>
  <c r="AT110" i="43"/>
  <c r="AL110" i="43"/>
  <c r="AG110" i="43"/>
  <c r="G107" i="45" s="1"/>
  <c r="AF110" i="43"/>
  <c r="F107" i="45" s="1"/>
  <c r="AE110" i="43"/>
  <c r="E107" i="45" s="1"/>
  <c r="AD110" i="43"/>
  <c r="AC110" i="43"/>
  <c r="O110" i="43"/>
  <c r="GH109" i="43"/>
  <c r="GF109" i="43"/>
  <c r="GD109" i="43"/>
  <c r="GC109" i="43"/>
  <c r="GB109" i="43"/>
  <c r="FW109" i="43"/>
  <c r="FV109" i="43"/>
  <c r="FQ109" i="43"/>
  <c r="FD109" i="43"/>
  <c r="EU109" i="43"/>
  <c r="ET109" i="43"/>
  <c r="EM109" i="43"/>
  <c r="EF109" i="43"/>
  <c r="EG109" i="43" s="1"/>
  <c r="DV109" i="43"/>
  <c r="DU109" i="43"/>
  <c r="DT109" i="43"/>
  <c r="DS109" i="43"/>
  <c r="DP109" i="43"/>
  <c r="DA109" i="43"/>
  <c r="CS109" i="43" s="1"/>
  <c r="CW109" i="43"/>
  <c r="CU109" i="43"/>
  <c r="CH109" i="43"/>
  <c r="CG109" i="43"/>
  <c r="CD109" i="43" s="1"/>
  <c r="AS109" i="43" s="1"/>
  <c r="CB109" i="43"/>
  <c r="BZ109" i="43"/>
  <c r="BM109" i="43"/>
  <c r="BE109" i="43" s="1"/>
  <c r="BI109" i="43"/>
  <c r="BG109" i="43"/>
  <c r="AT109" i="43"/>
  <c r="AL109" i="43"/>
  <c r="AG109" i="43"/>
  <c r="G106" i="45" s="1"/>
  <c r="AF109" i="43"/>
  <c r="F106" i="45" s="1"/>
  <c r="AE109" i="43"/>
  <c r="E106" i="45" s="1"/>
  <c r="B106" i="45" s="1"/>
  <c r="AD109" i="43"/>
  <c r="AC109" i="43"/>
  <c r="O109" i="43"/>
  <c r="DE109" i="43" s="1"/>
  <c r="GH108" i="43"/>
  <c r="GF108" i="43"/>
  <c r="GD108" i="43"/>
  <c r="GC108" i="43"/>
  <c r="GB108" i="43"/>
  <c r="FW108" i="43"/>
  <c r="FV108" i="43"/>
  <c r="FQ108" i="43"/>
  <c r="FD108" i="43"/>
  <c r="EU108" i="43"/>
  <c r="ET108" i="43"/>
  <c r="EM108" i="43"/>
  <c r="EF108" i="43"/>
  <c r="EG108" i="43" s="1"/>
  <c r="DV108" i="43"/>
  <c r="DU108" i="43"/>
  <c r="DT108" i="43"/>
  <c r="DS108" i="43"/>
  <c r="DP108" i="43"/>
  <c r="Q105" i="45" s="1"/>
  <c r="R105" i="45" s="1"/>
  <c r="DA108" i="43"/>
  <c r="CS108" i="43" s="1"/>
  <c r="CW108" i="43"/>
  <c r="CU108" i="43"/>
  <c r="CH108" i="43"/>
  <c r="CG108" i="43"/>
  <c r="CB108" i="43"/>
  <c r="BZ108" i="43"/>
  <c r="BM108" i="43"/>
  <c r="BE108" i="43" s="1"/>
  <c r="BI108" i="43"/>
  <c r="BG108" i="43"/>
  <c r="AT108" i="43"/>
  <c r="AL108" i="43"/>
  <c r="AG108" i="43"/>
  <c r="G105" i="45" s="1"/>
  <c r="AF108" i="43"/>
  <c r="F105" i="45" s="1"/>
  <c r="AE108" i="43"/>
  <c r="AD108" i="43"/>
  <c r="AC108" i="43"/>
  <c r="O108" i="43"/>
  <c r="DE108" i="43" s="1"/>
  <c r="I108" i="43"/>
  <c r="GH107" i="43"/>
  <c r="GF107" i="43"/>
  <c r="GD107" i="43"/>
  <c r="GC107" i="43"/>
  <c r="GB107" i="43"/>
  <c r="FY107" i="43"/>
  <c r="FW107" i="43"/>
  <c r="FV107" i="43"/>
  <c r="FQ107" i="43"/>
  <c r="FD107" i="43"/>
  <c r="P104" i="45" s="1"/>
  <c r="EU107" i="43"/>
  <c r="ET107" i="43"/>
  <c r="EM107" i="43"/>
  <c r="EF107" i="43"/>
  <c r="EG107" i="43" s="1"/>
  <c r="DV107" i="43"/>
  <c r="DU107" i="43"/>
  <c r="DT107" i="43"/>
  <c r="DS107" i="43"/>
  <c r="DP107" i="43"/>
  <c r="Q104" i="45" s="1"/>
  <c r="R104" i="45" s="1"/>
  <c r="DA107" i="43"/>
  <c r="CS107" i="43" s="1"/>
  <c r="CW107" i="43"/>
  <c r="CU107" i="43"/>
  <c r="CH107" i="43"/>
  <c r="CG107" i="43"/>
  <c r="CD107" i="43" s="1"/>
  <c r="CB107" i="43"/>
  <c r="BZ107" i="43"/>
  <c r="BM107" i="43"/>
  <c r="BE107" i="43" s="1"/>
  <c r="BI107" i="43"/>
  <c r="BG107" i="43"/>
  <c r="AT107" i="43"/>
  <c r="AL107" i="43"/>
  <c r="AG107" i="43"/>
  <c r="AF107" i="43"/>
  <c r="F104" i="45" s="1"/>
  <c r="AE107" i="43"/>
  <c r="E104" i="45" s="1"/>
  <c r="AD107" i="43"/>
  <c r="AC107" i="43"/>
  <c r="O107" i="43"/>
  <c r="DE107" i="43" s="1"/>
  <c r="GH106" i="43"/>
  <c r="GF106" i="43"/>
  <c r="GD106" i="43"/>
  <c r="GC106" i="43"/>
  <c r="GB106" i="43"/>
  <c r="FW106" i="43"/>
  <c r="FV106" i="43"/>
  <c r="FQ106" i="43"/>
  <c r="FD106" i="43"/>
  <c r="P103" i="45" s="1"/>
  <c r="EU106" i="43"/>
  <c r="ET106" i="43"/>
  <c r="EM106" i="43"/>
  <c r="EF106" i="43"/>
  <c r="EG106" i="43" s="1"/>
  <c r="DV106" i="43"/>
  <c r="DU106" i="43"/>
  <c r="DT106" i="43"/>
  <c r="DS106" i="43"/>
  <c r="DP106" i="43"/>
  <c r="DA106" i="43"/>
  <c r="CS106" i="43" s="1"/>
  <c r="CW106" i="43"/>
  <c r="CU106" i="43"/>
  <c r="CH106" i="43"/>
  <c r="CG106" i="43"/>
  <c r="CD106" i="43" s="1"/>
  <c r="AS106" i="43" s="1"/>
  <c r="CB106" i="43"/>
  <c r="BZ106" i="43"/>
  <c r="BM106" i="43"/>
  <c r="BE106" i="43" s="1"/>
  <c r="BI106" i="43"/>
  <c r="BG106" i="43"/>
  <c r="AT106" i="43"/>
  <c r="AL106" i="43"/>
  <c r="AG106" i="43"/>
  <c r="G103" i="45" s="1"/>
  <c r="AF106" i="43"/>
  <c r="F103" i="45" s="1"/>
  <c r="AE106" i="43"/>
  <c r="E103" i="45" s="1"/>
  <c r="AD106" i="43"/>
  <c r="AC106" i="43"/>
  <c r="O106" i="43"/>
  <c r="DE106" i="43" s="1"/>
  <c r="I106" i="43"/>
  <c r="J106" i="43"/>
  <c r="GH105" i="43"/>
  <c r="GF105" i="43"/>
  <c r="GD105" i="43"/>
  <c r="GC105" i="43"/>
  <c r="GB105" i="43"/>
  <c r="FW105" i="43"/>
  <c r="FV105" i="43"/>
  <c r="FQ105" i="43"/>
  <c r="FD105" i="43"/>
  <c r="P102" i="45" s="1"/>
  <c r="EU105" i="43"/>
  <c r="ET105" i="43"/>
  <c r="EM105" i="43"/>
  <c r="EF105" i="43"/>
  <c r="EG105" i="43" s="1"/>
  <c r="DV105" i="43"/>
  <c r="DU105" i="43"/>
  <c r="DT105" i="43"/>
  <c r="DS105" i="43"/>
  <c r="DP105" i="43"/>
  <c r="Q102" i="45" s="1"/>
  <c r="R102" i="45" s="1"/>
  <c r="DA105" i="43"/>
  <c r="CS105" i="43" s="1"/>
  <c r="CW105" i="43"/>
  <c r="CU105" i="43"/>
  <c r="CH105" i="43"/>
  <c r="CG105" i="43"/>
  <c r="CD105" i="43" s="1"/>
  <c r="AP105" i="43" s="1"/>
  <c r="CB105" i="43"/>
  <c r="BZ105" i="43"/>
  <c r="BM105" i="43"/>
  <c r="BE105" i="43" s="1"/>
  <c r="BI105" i="43"/>
  <c r="BG105" i="43"/>
  <c r="AT105" i="43"/>
  <c r="AL105" i="43"/>
  <c r="AG105" i="43"/>
  <c r="G102" i="45" s="1"/>
  <c r="AF105" i="43"/>
  <c r="F102" i="45" s="1"/>
  <c r="AE105" i="43"/>
  <c r="E102" i="45" s="1"/>
  <c r="AD105" i="43"/>
  <c r="AC105" i="43"/>
  <c r="O105" i="43"/>
  <c r="GH104" i="43"/>
  <c r="GF104" i="43"/>
  <c r="GD104" i="43"/>
  <c r="GC104" i="43"/>
  <c r="GB104" i="43"/>
  <c r="FW104" i="43"/>
  <c r="FV104" i="43"/>
  <c r="FQ104" i="43"/>
  <c r="FD104" i="43"/>
  <c r="P101" i="45" s="1"/>
  <c r="EU104" i="43"/>
  <c r="ET104" i="43"/>
  <c r="EM104" i="43"/>
  <c r="EF104" i="43"/>
  <c r="EG104" i="43" s="1"/>
  <c r="DV104" i="43"/>
  <c r="DU104" i="43"/>
  <c r="DT104" i="43"/>
  <c r="DS104" i="43"/>
  <c r="DP104" i="43"/>
  <c r="DA104" i="43"/>
  <c r="CS104" i="43" s="1"/>
  <c r="CW104" i="43"/>
  <c r="CU104" i="43"/>
  <c r="CH104" i="43"/>
  <c r="CG104" i="43"/>
  <c r="CD104" i="43" s="1"/>
  <c r="CB104" i="43"/>
  <c r="BZ104" i="43"/>
  <c r="BM104" i="43"/>
  <c r="BE104" i="43" s="1"/>
  <c r="BI104" i="43"/>
  <c r="BG104" i="43"/>
  <c r="AT104" i="43"/>
  <c r="AL104" i="43"/>
  <c r="AG104" i="43"/>
  <c r="G101" i="45" s="1"/>
  <c r="AF104" i="43"/>
  <c r="F101" i="45" s="1"/>
  <c r="AE104" i="43"/>
  <c r="E101" i="45" s="1"/>
  <c r="AD104" i="43"/>
  <c r="AC104" i="43"/>
  <c r="O104" i="43"/>
  <c r="DE104" i="43" s="1"/>
  <c r="GH103" i="43"/>
  <c r="GF103" i="43"/>
  <c r="GD103" i="43"/>
  <c r="GC103" i="43"/>
  <c r="GB103" i="43"/>
  <c r="FW103" i="43"/>
  <c r="FV103" i="43"/>
  <c r="FQ103" i="43"/>
  <c r="FD103" i="43"/>
  <c r="P100" i="45" s="1"/>
  <c r="EU103" i="43"/>
  <c r="ET103" i="43"/>
  <c r="EM103" i="43"/>
  <c r="EF103" i="43"/>
  <c r="EG103" i="43" s="1"/>
  <c r="DV103" i="43"/>
  <c r="DU103" i="43"/>
  <c r="DT103" i="43"/>
  <c r="DS103" i="43"/>
  <c r="DP103" i="43"/>
  <c r="DA103" i="43"/>
  <c r="CS103" i="43" s="1"/>
  <c r="CW103" i="43"/>
  <c r="CU103" i="43"/>
  <c r="CH103" i="43"/>
  <c r="CG103" i="43"/>
  <c r="CD103" i="43" s="1"/>
  <c r="CB103" i="43"/>
  <c r="BZ103" i="43"/>
  <c r="BM103" i="43"/>
  <c r="BE103" i="43" s="1"/>
  <c r="BI103" i="43"/>
  <c r="BG103" i="43"/>
  <c r="AT103" i="43"/>
  <c r="AL103" i="43"/>
  <c r="AG103" i="43"/>
  <c r="G100" i="45" s="1"/>
  <c r="AF103" i="43"/>
  <c r="F100" i="45" s="1"/>
  <c r="AE103" i="43"/>
  <c r="AD103" i="43"/>
  <c r="AC103" i="43"/>
  <c r="O103" i="43"/>
  <c r="DE103" i="43" s="1"/>
  <c r="GH102" i="43"/>
  <c r="GF102" i="43"/>
  <c r="GD102" i="43"/>
  <c r="GC102" i="43"/>
  <c r="GB102" i="43"/>
  <c r="FW102" i="43"/>
  <c r="FV102" i="43"/>
  <c r="FQ102" i="43"/>
  <c r="FD102" i="43"/>
  <c r="P99" i="45" s="1"/>
  <c r="EU102" i="43"/>
  <c r="ET102" i="43"/>
  <c r="EM102" i="43"/>
  <c r="EF102" i="43"/>
  <c r="EG102" i="43" s="1"/>
  <c r="DV102" i="43"/>
  <c r="DU102" i="43"/>
  <c r="DT102" i="43"/>
  <c r="DS102" i="43"/>
  <c r="DP102" i="43"/>
  <c r="Q99" i="45" s="1"/>
  <c r="R99" i="45" s="1"/>
  <c r="DA102" i="43"/>
  <c r="CS102" i="43" s="1"/>
  <c r="CW102" i="43"/>
  <c r="CU102" i="43"/>
  <c r="CH102" i="43"/>
  <c r="CG102" i="43"/>
  <c r="CD102" i="43" s="1"/>
  <c r="CB102" i="43"/>
  <c r="BZ102" i="43"/>
  <c r="BM102" i="43"/>
  <c r="BE102" i="43" s="1"/>
  <c r="BI102" i="43"/>
  <c r="BG102" i="43"/>
  <c r="AT102" i="43"/>
  <c r="AL102" i="43"/>
  <c r="AG102" i="43"/>
  <c r="G99" i="45" s="1"/>
  <c r="AF102" i="43"/>
  <c r="F99" i="45" s="1"/>
  <c r="AE102" i="43"/>
  <c r="E99" i="45" s="1"/>
  <c r="AD102" i="43"/>
  <c r="AC102" i="43"/>
  <c r="O102" i="43"/>
  <c r="I102" i="43"/>
  <c r="GH101" i="43"/>
  <c r="GF101" i="43"/>
  <c r="GD101" i="43"/>
  <c r="GC101" i="43"/>
  <c r="GB101" i="43"/>
  <c r="FW101" i="43"/>
  <c r="FV101" i="43"/>
  <c r="FQ101" i="43"/>
  <c r="FD101" i="43"/>
  <c r="EU101" i="43"/>
  <c r="ET101" i="43"/>
  <c r="EM101" i="43"/>
  <c r="EF101" i="43"/>
  <c r="EG101" i="43" s="1"/>
  <c r="DV101" i="43"/>
  <c r="DU101" i="43"/>
  <c r="DT101" i="43"/>
  <c r="DS101" i="43"/>
  <c r="DP101" i="43"/>
  <c r="Q98" i="45" s="1"/>
  <c r="R98" i="45" s="1"/>
  <c r="DA101" i="43"/>
  <c r="CS101" i="43" s="1"/>
  <c r="CW101" i="43"/>
  <c r="CU101" i="43"/>
  <c r="CH101" i="43"/>
  <c r="CG101" i="43"/>
  <c r="CD101" i="43" s="1"/>
  <c r="AP101" i="43" s="1"/>
  <c r="CB101" i="43"/>
  <c r="BZ101" i="43"/>
  <c r="BM101" i="43"/>
  <c r="BE101" i="43" s="1"/>
  <c r="BI101" i="43"/>
  <c r="BG101" i="43"/>
  <c r="AT101" i="43"/>
  <c r="AL101" i="43"/>
  <c r="AG101" i="43"/>
  <c r="AF101" i="43"/>
  <c r="F98" i="45" s="1"/>
  <c r="AE101" i="43"/>
  <c r="E98" i="45" s="1"/>
  <c r="AD101" i="43"/>
  <c r="AC101" i="43"/>
  <c r="O101" i="43"/>
  <c r="Z101" i="43" s="1"/>
  <c r="GH100" i="43"/>
  <c r="GF100" i="43"/>
  <c r="GD100" i="43"/>
  <c r="GC100" i="43"/>
  <c r="GB100" i="43"/>
  <c r="FW100" i="43"/>
  <c r="FV100" i="43"/>
  <c r="FQ100" i="43"/>
  <c r="FD100" i="43"/>
  <c r="P97" i="45" s="1"/>
  <c r="EU100" i="43"/>
  <c r="ET100" i="43"/>
  <c r="EM100" i="43"/>
  <c r="EF100" i="43"/>
  <c r="EG100" i="43" s="1"/>
  <c r="DV100" i="43"/>
  <c r="DU100" i="43"/>
  <c r="DT100" i="43"/>
  <c r="DS100" i="43"/>
  <c r="DP100" i="43"/>
  <c r="Q97" i="45" s="1"/>
  <c r="R97" i="45" s="1"/>
  <c r="DA100" i="43"/>
  <c r="CS100" i="43" s="1"/>
  <c r="CW100" i="43"/>
  <c r="CU100" i="43"/>
  <c r="CH100" i="43"/>
  <c r="CG100" i="43"/>
  <c r="CD100" i="43" s="1"/>
  <c r="AR100" i="43" s="1"/>
  <c r="CB100" i="43"/>
  <c r="BZ100" i="43"/>
  <c r="BM100" i="43"/>
  <c r="BE100" i="43" s="1"/>
  <c r="BI100" i="43"/>
  <c r="BG100" i="43"/>
  <c r="AT100" i="43"/>
  <c r="AL100" i="43"/>
  <c r="AG100" i="43"/>
  <c r="G97" i="45" s="1"/>
  <c r="AF100" i="43"/>
  <c r="F97" i="45" s="1"/>
  <c r="AE100" i="43"/>
  <c r="AD100" i="43"/>
  <c r="AC100" i="43"/>
  <c r="O100" i="43"/>
  <c r="DE100" i="43" s="1"/>
  <c r="GH99" i="43"/>
  <c r="GF99" i="43"/>
  <c r="GD99" i="43"/>
  <c r="GC99" i="43"/>
  <c r="GB99" i="43"/>
  <c r="FW99" i="43"/>
  <c r="FV99" i="43"/>
  <c r="FQ99" i="43"/>
  <c r="FD99" i="43"/>
  <c r="P96" i="45" s="1"/>
  <c r="EU99" i="43"/>
  <c r="ET99" i="43"/>
  <c r="EM99" i="43"/>
  <c r="EF99" i="43"/>
  <c r="EG99" i="43" s="1"/>
  <c r="DV99" i="43"/>
  <c r="DU99" i="43"/>
  <c r="DT99" i="43"/>
  <c r="DS99" i="43"/>
  <c r="DP99" i="43"/>
  <c r="Q96" i="45" s="1"/>
  <c r="R96" i="45" s="1"/>
  <c r="DA99" i="43"/>
  <c r="CS99" i="43" s="1"/>
  <c r="CW99" i="43"/>
  <c r="CU99" i="43"/>
  <c r="CH99" i="43"/>
  <c r="CG99" i="43"/>
  <c r="CD99" i="43" s="1"/>
  <c r="CB99" i="43"/>
  <c r="BZ99" i="43"/>
  <c r="BM99" i="43"/>
  <c r="BE99" i="43" s="1"/>
  <c r="BI99" i="43"/>
  <c r="BG99" i="43"/>
  <c r="AT99" i="43"/>
  <c r="AL99" i="43"/>
  <c r="AG99" i="43"/>
  <c r="G96" i="45" s="1"/>
  <c r="AF99" i="43"/>
  <c r="F96" i="45" s="1"/>
  <c r="AE99" i="43"/>
  <c r="E96" i="45" s="1"/>
  <c r="AD99" i="43"/>
  <c r="AC99" i="43"/>
  <c r="O99" i="43"/>
  <c r="DE99" i="43" s="1"/>
  <c r="I99" i="43"/>
  <c r="J99" i="43"/>
  <c r="GH98" i="43"/>
  <c r="GF98" i="43"/>
  <c r="GD98" i="43"/>
  <c r="GC98" i="43"/>
  <c r="GB98" i="43"/>
  <c r="FW98" i="43"/>
  <c r="FV98" i="43"/>
  <c r="FQ98" i="43"/>
  <c r="FD98" i="43"/>
  <c r="EU98" i="43"/>
  <c r="ET98" i="43"/>
  <c r="EM98" i="43"/>
  <c r="EF98" i="43"/>
  <c r="EG98" i="43" s="1"/>
  <c r="DV98" i="43"/>
  <c r="DU98" i="43"/>
  <c r="DT98" i="43"/>
  <c r="DS98" i="43"/>
  <c r="DP98" i="43"/>
  <c r="DA98" i="43"/>
  <c r="CS98" i="43" s="1"/>
  <c r="CW98" i="43"/>
  <c r="CU98" i="43"/>
  <c r="CH98" i="43"/>
  <c r="CG98" i="43"/>
  <c r="CD98" i="43" s="1"/>
  <c r="CB98" i="43"/>
  <c r="BZ98" i="43"/>
  <c r="BM98" i="43"/>
  <c r="BE98" i="43" s="1"/>
  <c r="BI98" i="43"/>
  <c r="BG98" i="43"/>
  <c r="AT98" i="43"/>
  <c r="AL98" i="43"/>
  <c r="AG98" i="43"/>
  <c r="G95" i="45" s="1"/>
  <c r="AF98" i="43"/>
  <c r="F95" i="45" s="1"/>
  <c r="AE98" i="43"/>
  <c r="E95" i="45" s="1"/>
  <c r="AD98" i="43"/>
  <c r="AC98" i="43"/>
  <c r="O98" i="43"/>
  <c r="I98" i="43"/>
  <c r="J98" i="43"/>
  <c r="GH97" i="43"/>
  <c r="GF97" i="43"/>
  <c r="GD97" i="43"/>
  <c r="GC97" i="43"/>
  <c r="GB97" i="43"/>
  <c r="FW97" i="43"/>
  <c r="FV97" i="43"/>
  <c r="FQ97" i="43"/>
  <c r="FD97" i="43"/>
  <c r="P94" i="45" s="1"/>
  <c r="EU97" i="43"/>
  <c r="ET97" i="43"/>
  <c r="EM97" i="43"/>
  <c r="EF97" i="43"/>
  <c r="EG97" i="43" s="1"/>
  <c r="DV97" i="43"/>
  <c r="DU97" i="43"/>
  <c r="DT97" i="43"/>
  <c r="DS97" i="43"/>
  <c r="DP97" i="43"/>
  <c r="Q94" i="45" s="1"/>
  <c r="R94" i="45" s="1"/>
  <c r="DA97" i="43"/>
  <c r="CS97" i="43" s="1"/>
  <c r="CW97" i="43"/>
  <c r="CU97" i="43"/>
  <c r="CH97" i="43"/>
  <c r="CG97" i="43"/>
  <c r="CB97" i="43"/>
  <c r="BZ97" i="43"/>
  <c r="BM97" i="43"/>
  <c r="BE97" i="43" s="1"/>
  <c r="BI97" i="43"/>
  <c r="BG97" i="43"/>
  <c r="AT97" i="43"/>
  <c r="AL97" i="43"/>
  <c r="AG97" i="43"/>
  <c r="AF97" i="43"/>
  <c r="F94" i="45" s="1"/>
  <c r="AE97" i="43"/>
  <c r="E94" i="45" s="1"/>
  <c r="AD97" i="43"/>
  <c r="AC97" i="43"/>
  <c r="O97" i="43"/>
  <c r="GH96" i="43"/>
  <c r="GF96" i="43"/>
  <c r="GD96" i="43"/>
  <c r="GC96" i="43"/>
  <c r="GB96" i="43"/>
  <c r="FW96" i="43"/>
  <c r="FV96" i="43"/>
  <c r="FQ96" i="43"/>
  <c r="FD96" i="43"/>
  <c r="P93" i="45" s="1"/>
  <c r="EU96" i="43"/>
  <c r="ET96" i="43"/>
  <c r="EM96" i="43"/>
  <c r="EF96" i="43"/>
  <c r="EG96" i="43" s="1"/>
  <c r="DV96" i="43"/>
  <c r="DU96" i="43"/>
  <c r="DT96" i="43"/>
  <c r="DS96" i="43"/>
  <c r="DP96" i="43"/>
  <c r="Q93" i="45" s="1"/>
  <c r="R93" i="45" s="1"/>
  <c r="DA96" i="43"/>
  <c r="CS96" i="43" s="1"/>
  <c r="CW96" i="43"/>
  <c r="CU96" i="43"/>
  <c r="CH96" i="43"/>
  <c r="CG96" i="43"/>
  <c r="CD96" i="43" s="1"/>
  <c r="CB96" i="43"/>
  <c r="BZ96" i="43"/>
  <c r="BM96" i="43"/>
  <c r="BE96" i="43" s="1"/>
  <c r="BI96" i="43"/>
  <c r="BG96" i="43"/>
  <c r="AT96" i="43"/>
  <c r="AL96" i="43"/>
  <c r="AG96" i="43"/>
  <c r="G93" i="45" s="1"/>
  <c r="AF96" i="43"/>
  <c r="AE96" i="43"/>
  <c r="AD96" i="43"/>
  <c r="AC96" i="43"/>
  <c r="O96" i="43"/>
  <c r="DE96" i="43" s="1"/>
  <c r="I96" i="43"/>
  <c r="GH95" i="43"/>
  <c r="GF95" i="43"/>
  <c r="GD95" i="43"/>
  <c r="GC95" i="43"/>
  <c r="GB95" i="43"/>
  <c r="FW95" i="43"/>
  <c r="FV95" i="43"/>
  <c r="FQ95" i="43"/>
  <c r="FD95" i="43"/>
  <c r="P92" i="45" s="1"/>
  <c r="EU95" i="43"/>
  <c r="ET95" i="43"/>
  <c r="EM95" i="43"/>
  <c r="EF95" i="43"/>
  <c r="EG95" i="43" s="1"/>
  <c r="DV95" i="43"/>
  <c r="DU95" i="43"/>
  <c r="DT95" i="43"/>
  <c r="DS95" i="43"/>
  <c r="DP95" i="43"/>
  <c r="Q92" i="45" s="1"/>
  <c r="R92" i="45" s="1"/>
  <c r="DA95" i="43"/>
  <c r="CS95" i="43" s="1"/>
  <c r="CW95" i="43"/>
  <c r="CU95" i="43"/>
  <c r="CH95" i="43"/>
  <c r="CG95" i="43"/>
  <c r="CD95" i="43" s="1"/>
  <c r="CB95" i="43"/>
  <c r="BZ95" i="43"/>
  <c r="BM95" i="43"/>
  <c r="BE95" i="43" s="1"/>
  <c r="BI95" i="43"/>
  <c r="BG95" i="43"/>
  <c r="AT95" i="43"/>
  <c r="AL95" i="43"/>
  <c r="AG95" i="43"/>
  <c r="AF95" i="43"/>
  <c r="F92" i="45" s="1"/>
  <c r="AE95" i="43"/>
  <c r="E92" i="45" s="1"/>
  <c r="AD95" i="43"/>
  <c r="AC95" i="43"/>
  <c r="O95" i="43"/>
  <c r="DE95" i="43" s="1"/>
  <c r="J95" i="43"/>
  <c r="GH94" i="43"/>
  <c r="GF94" i="43"/>
  <c r="GD94" i="43"/>
  <c r="GC94" i="43"/>
  <c r="GB94" i="43"/>
  <c r="FW94" i="43"/>
  <c r="FV94" i="43"/>
  <c r="FQ94" i="43"/>
  <c r="FD94" i="43"/>
  <c r="P91" i="45" s="1"/>
  <c r="EU94" i="43"/>
  <c r="ET94" i="43"/>
  <c r="EM94" i="43"/>
  <c r="EF94" i="43"/>
  <c r="EG94" i="43" s="1"/>
  <c r="DV94" i="43"/>
  <c r="DU94" i="43"/>
  <c r="DT94" i="43"/>
  <c r="DS94" i="43"/>
  <c r="DP94" i="43"/>
  <c r="Q91" i="45" s="1"/>
  <c r="R91" i="45" s="1"/>
  <c r="DA94" i="43"/>
  <c r="CS94" i="43" s="1"/>
  <c r="CW94" i="43"/>
  <c r="CU94" i="43"/>
  <c r="CH94" i="43"/>
  <c r="CG94" i="43"/>
  <c r="CD94" i="43" s="1"/>
  <c r="CB94" i="43"/>
  <c r="BZ94" i="43"/>
  <c r="BM94" i="43"/>
  <c r="BE94" i="43" s="1"/>
  <c r="BI94" i="43"/>
  <c r="BG94" i="43"/>
  <c r="AT94" i="43"/>
  <c r="AL94" i="43"/>
  <c r="AG94" i="43"/>
  <c r="G91" i="45" s="1"/>
  <c r="AF94" i="43"/>
  <c r="F91" i="45" s="1"/>
  <c r="AE94" i="43"/>
  <c r="E91" i="45" s="1"/>
  <c r="AD94" i="43"/>
  <c r="AC94" i="43"/>
  <c r="O94" i="43"/>
  <c r="DE94" i="43" s="1"/>
  <c r="I94" i="43"/>
  <c r="J94" i="43"/>
  <c r="GH93" i="43"/>
  <c r="GF93" i="43"/>
  <c r="GD93" i="43"/>
  <c r="GC93" i="43"/>
  <c r="GB93" i="43"/>
  <c r="FW93" i="43"/>
  <c r="FV93" i="43"/>
  <c r="FQ93" i="43"/>
  <c r="FD93" i="43"/>
  <c r="P90" i="45" s="1"/>
  <c r="EU93" i="43"/>
  <c r="ET93" i="43"/>
  <c r="EM93" i="43"/>
  <c r="EF93" i="43"/>
  <c r="EG93" i="43" s="1"/>
  <c r="DV93" i="43"/>
  <c r="DU93" i="43"/>
  <c r="DT93" i="43"/>
  <c r="DS93" i="43"/>
  <c r="DP93" i="43"/>
  <c r="Q90" i="45" s="1"/>
  <c r="R90" i="45" s="1"/>
  <c r="DA93" i="43"/>
  <c r="CS93" i="43" s="1"/>
  <c r="CW93" i="43"/>
  <c r="CU93" i="43"/>
  <c r="CH93" i="43"/>
  <c r="CG93" i="43"/>
  <c r="CB93" i="43"/>
  <c r="BZ93" i="43"/>
  <c r="BM93" i="43"/>
  <c r="BE93" i="43" s="1"/>
  <c r="BI93" i="43"/>
  <c r="BG93" i="43"/>
  <c r="AT93" i="43"/>
  <c r="AL93" i="43"/>
  <c r="AG93" i="43"/>
  <c r="AF93" i="43"/>
  <c r="F90" i="45" s="1"/>
  <c r="AE93" i="43"/>
  <c r="E90" i="45" s="1"/>
  <c r="AD93" i="43"/>
  <c r="AC93" i="43"/>
  <c r="O93" i="43"/>
  <c r="Z93" i="43" s="1"/>
  <c r="GH92" i="43"/>
  <c r="GF92" i="43"/>
  <c r="GD92" i="43"/>
  <c r="GC92" i="43"/>
  <c r="GB92" i="43"/>
  <c r="FW92" i="43"/>
  <c r="FV92" i="43"/>
  <c r="FQ92" i="43"/>
  <c r="FD92" i="43"/>
  <c r="P89" i="45" s="1"/>
  <c r="EU92" i="43"/>
  <c r="ET92" i="43"/>
  <c r="EM92" i="43"/>
  <c r="EF92" i="43"/>
  <c r="EG92" i="43" s="1"/>
  <c r="DV92" i="43"/>
  <c r="DU92" i="43"/>
  <c r="DT92" i="43"/>
  <c r="DS92" i="43"/>
  <c r="DP92" i="43"/>
  <c r="Q89" i="45" s="1"/>
  <c r="R89" i="45" s="1"/>
  <c r="DA92" i="43"/>
  <c r="CS92" i="43" s="1"/>
  <c r="CW92" i="43"/>
  <c r="CU92" i="43"/>
  <c r="CH92" i="43"/>
  <c r="CG92" i="43"/>
  <c r="CD92" i="43" s="1"/>
  <c r="CB92" i="43"/>
  <c r="BZ92" i="43"/>
  <c r="BM92" i="43"/>
  <c r="BE92" i="43" s="1"/>
  <c r="BI92" i="43"/>
  <c r="BG92" i="43"/>
  <c r="AT92" i="43"/>
  <c r="AL92" i="43"/>
  <c r="AG92" i="43"/>
  <c r="G89" i="45" s="1"/>
  <c r="AF92" i="43"/>
  <c r="F89" i="45" s="1"/>
  <c r="AE92" i="43"/>
  <c r="AD92" i="43"/>
  <c r="AC92" i="43"/>
  <c r="O92" i="43"/>
  <c r="DE92" i="43" s="1"/>
  <c r="GH91" i="43"/>
  <c r="GF91" i="43"/>
  <c r="GD91" i="43"/>
  <c r="GC91" i="43"/>
  <c r="GB91" i="43"/>
  <c r="FW91" i="43"/>
  <c r="FV91" i="43"/>
  <c r="FQ91" i="43"/>
  <c r="FD91" i="43"/>
  <c r="EU91" i="43"/>
  <c r="ET91" i="43"/>
  <c r="EM91" i="43"/>
  <c r="EF91" i="43"/>
  <c r="EG91" i="43" s="1"/>
  <c r="DV91" i="43"/>
  <c r="DU91" i="43"/>
  <c r="DT91" i="43"/>
  <c r="DS91" i="43"/>
  <c r="DP91" i="43"/>
  <c r="Q88" i="45" s="1"/>
  <c r="R88" i="45" s="1"/>
  <c r="DA91" i="43"/>
  <c r="CS91" i="43" s="1"/>
  <c r="CW91" i="43"/>
  <c r="CU91" i="43"/>
  <c r="CH91" i="43"/>
  <c r="CG91" i="43"/>
  <c r="CD91" i="43" s="1"/>
  <c r="CB91" i="43"/>
  <c r="BZ91" i="43"/>
  <c r="BM91" i="43"/>
  <c r="BE91" i="43" s="1"/>
  <c r="BI91" i="43"/>
  <c r="BG91" i="43"/>
  <c r="AT91" i="43"/>
  <c r="AL91" i="43"/>
  <c r="AG91" i="43"/>
  <c r="G88" i="45" s="1"/>
  <c r="AF91" i="43"/>
  <c r="F88" i="45" s="1"/>
  <c r="AE91" i="43"/>
  <c r="E88" i="45" s="1"/>
  <c r="AD91" i="43"/>
  <c r="AC91" i="43"/>
  <c r="O91" i="43"/>
  <c r="DE91" i="43" s="1"/>
  <c r="GH90" i="43"/>
  <c r="GF90" i="43"/>
  <c r="GD90" i="43"/>
  <c r="GC90" i="43"/>
  <c r="GB90" i="43"/>
  <c r="FW90" i="43"/>
  <c r="FV90" i="43"/>
  <c r="FQ90" i="43"/>
  <c r="FD90" i="43"/>
  <c r="P87" i="45" s="1"/>
  <c r="EU90" i="43"/>
  <c r="ET90" i="43"/>
  <c r="EM90" i="43"/>
  <c r="EF90" i="43"/>
  <c r="EG90" i="43" s="1"/>
  <c r="DV90" i="43"/>
  <c r="DU90" i="43"/>
  <c r="DT90" i="43"/>
  <c r="DS90" i="43"/>
  <c r="DP90" i="43"/>
  <c r="DA90" i="43"/>
  <c r="CS90" i="43" s="1"/>
  <c r="CW90" i="43"/>
  <c r="CU90" i="43"/>
  <c r="CH90" i="43"/>
  <c r="CG90" i="43"/>
  <c r="CD90" i="43" s="1"/>
  <c r="CB90" i="43"/>
  <c r="BZ90" i="43"/>
  <c r="BM90" i="43"/>
  <c r="BE90" i="43" s="1"/>
  <c r="BI90" i="43"/>
  <c r="BG90" i="43"/>
  <c r="AT90" i="43"/>
  <c r="AL90" i="43"/>
  <c r="AG90" i="43"/>
  <c r="G87" i="45" s="1"/>
  <c r="AF90" i="43"/>
  <c r="F87" i="45" s="1"/>
  <c r="AE90" i="43"/>
  <c r="E87" i="45" s="1"/>
  <c r="AD90" i="43"/>
  <c r="AC90" i="43"/>
  <c r="O90" i="43"/>
  <c r="I90" i="43"/>
  <c r="GH89" i="43"/>
  <c r="GF89" i="43"/>
  <c r="GD89" i="43"/>
  <c r="GC89" i="43"/>
  <c r="GB89" i="43"/>
  <c r="FW89" i="43"/>
  <c r="FV89" i="43"/>
  <c r="FQ89" i="43"/>
  <c r="FD89" i="43"/>
  <c r="P86" i="45" s="1"/>
  <c r="EU89" i="43"/>
  <c r="ET89" i="43"/>
  <c r="EM89" i="43"/>
  <c r="EF89" i="43"/>
  <c r="EG89" i="43" s="1"/>
  <c r="DV89" i="43"/>
  <c r="DU89" i="43"/>
  <c r="DT89" i="43"/>
  <c r="DS89" i="43"/>
  <c r="DP89" i="43"/>
  <c r="DA89" i="43"/>
  <c r="CS89" i="43" s="1"/>
  <c r="CW89" i="43"/>
  <c r="CU89" i="43"/>
  <c r="CH89" i="43"/>
  <c r="CG89" i="43"/>
  <c r="CB89" i="43"/>
  <c r="BZ89" i="43"/>
  <c r="BM89" i="43"/>
  <c r="BE89" i="43" s="1"/>
  <c r="BI89" i="43"/>
  <c r="BG89" i="43"/>
  <c r="AT89" i="43"/>
  <c r="AL89" i="43"/>
  <c r="AG89" i="43"/>
  <c r="AF89" i="43"/>
  <c r="F86" i="45" s="1"/>
  <c r="AE89" i="43"/>
  <c r="E86" i="45" s="1"/>
  <c r="AD89" i="43"/>
  <c r="AC89" i="43"/>
  <c r="O89" i="43"/>
  <c r="GH88" i="43"/>
  <c r="GF88" i="43"/>
  <c r="GD88" i="43"/>
  <c r="GC88" i="43"/>
  <c r="GB88" i="43"/>
  <c r="FW88" i="43"/>
  <c r="FV88" i="43"/>
  <c r="FQ88" i="43"/>
  <c r="FD88" i="43"/>
  <c r="P85" i="45" s="1"/>
  <c r="EU88" i="43"/>
  <c r="ET88" i="43"/>
  <c r="EM88" i="43"/>
  <c r="EF88" i="43"/>
  <c r="EG88" i="43" s="1"/>
  <c r="DV88" i="43"/>
  <c r="DU88" i="43"/>
  <c r="DT88" i="43"/>
  <c r="DS88" i="43"/>
  <c r="DP88" i="43"/>
  <c r="Q85" i="45" s="1"/>
  <c r="R85" i="45" s="1"/>
  <c r="DA88" i="43"/>
  <c r="CS88" i="43" s="1"/>
  <c r="CW88" i="43"/>
  <c r="CU88" i="43"/>
  <c r="CH88" i="43"/>
  <c r="CG88" i="43"/>
  <c r="CD88" i="43" s="1"/>
  <c r="AR88" i="43" s="1"/>
  <c r="CB88" i="43"/>
  <c r="BZ88" i="43"/>
  <c r="BM88" i="43"/>
  <c r="BE88" i="43" s="1"/>
  <c r="BI88" i="43"/>
  <c r="BG88" i="43"/>
  <c r="AT88" i="43"/>
  <c r="AL88" i="43"/>
  <c r="AG88" i="43"/>
  <c r="G85" i="45" s="1"/>
  <c r="AF88" i="43"/>
  <c r="F85" i="45" s="1"/>
  <c r="AE88" i="43"/>
  <c r="E85" i="45" s="1"/>
  <c r="AD88" i="43"/>
  <c r="AC88" i="43"/>
  <c r="O88" i="43"/>
  <c r="FO88" i="43" s="1"/>
  <c r="GH87" i="43"/>
  <c r="GF87" i="43"/>
  <c r="GD87" i="43"/>
  <c r="GC87" i="43"/>
  <c r="GB87" i="43"/>
  <c r="FW87" i="43"/>
  <c r="FV87" i="43"/>
  <c r="FQ87" i="43"/>
  <c r="FD87" i="43"/>
  <c r="P84" i="45" s="1"/>
  <c r="EU87" i="43"/>
  <c r="ET87" i="43"/>
  <c r="EM87" i="43"/>
  <c r="EF87" i="43"/>
  <c r="EG87" i="43" s="1"/>
  <c r="DV87" i="43"/>
  <c r="DU87" i="43"/>
  <c r="DT87" i="43"/>
  <c r="DS87" i="43"/>
  <c r="DP87" i="43"/>
  <c r="Q84" i="45" s="1"/>
  <c r="R84" i="45" s="1"/>
  <c r="DA87" i="43"/>
  <c r="CS87" i="43" s="1"/>
  <c r="CW87" i="43"/>
  <c r="CU87" i="43"/>
  <c r="CH87" i="43"/>
  <c r="CG87" i="43"/>
  <c r="CD87" i="43" s="1"/>
  <c r="CB87" i="43"/>
  <c r="BZ87" i="43"/>
  <c r="BM87" i="43"/>
  <c r="BE87" i="43" s="1"/>
  <c r="BI87" i="43"/>
  <c r="BG87" i="43"/>
  <c r="AT87" i="43"/>
  <c r="AL87" i="43"/>
  <c r="AG87" i="43"/>
  <c r="G84" i="45" s="1"/>
  <c r="AF87" i="43"/>
  <c r="F84" i="45" s="1"/>
  <c r="AE87" i="43"/>
  <c r="E84" i="45" s="1"/>
  <c r="AD87" i="43"/>
  <c r="AC87" i="43"/>
  <c r="O87" i="43"/>
  <c r="FO87" i="43" s="1"/>
  <c r="J87" i="43"/>
  <c r="GH86" i="43"/>
  <c r="GF86" i="43"/>
  <c r="GD86" i="43"/>
  <c r="GC86" i="43"/>
  <c r="GB86" i="43"/>
  <c r="FW86" i="43"/>
  <c r="FV86" i="43"/>
  <c r="FQ86" i="43"/>
  <c r="FD86" i="43"/>
  <c r="P83" i="45" s="1"/>
  <c r="EU86" i="43"/>
  <c r="ET86" i="43"/>
  <c r="EM86" i="43"/>
  <c r="EF86" i="43"/>
  <c r="EG86" i="43" s="1"/>
  <c r="DV86" i="43"/>
  <c r="DU86" i="43"/>
  <c r="DT86" i="43"/>
  <c r="DS86" i="43"/>
  <c r="DP86" i="43"/>
  <c r="Q83" i="45" s="1"/>
  <c r="R83" i="45" s="1"/>
  <c r="DA86" i="43"/>
  <c r="CS86" i="43" s="1"/>
  <c r="CW86" i="43"/>
  <c r="CU86" i="43"/>
  <c r="CH86" i="43"/>
  <c r="CG86" i="43"/>
  <c r="CD86" i="43" s="1"/>
  <c r="CB86" i="43"/>
  <c r="BZ86" i="43"/>
  <c r="BM86" i="43"/>
  <c r="BE86" i="43" s="1"/>
  <c r="BI86" i="43"/>
  <c r="BG86" i="43"/>
  <c r="AT86" i="43"/>
  <c r="AL86" i="43"/>
  <c r="AG86" i="43"/>
  <c r="G83" i="45" s="1"/>
  <c r="AF86" i="43"/>
  <c r="F83" i="45" s="1"/>
  <c r="AE86" i="43"/>
  <c r="E83" i="45" s="1"/>
  <c r="AD86" i="43"/>
  <c r="AC86" i="43"/>
  <c r="O86" i="43"/>
  <c r="FO86" i="43" s="1"/>
  <c r="GH85" i="43"/>
  <c r="GF85" i="43"/>
  <c r="GD85" i="43"/>
  <c r="GC85" i="43"/>
  <c r="GB85" i="43"/>
  <c r="FW85" i="43"/>
  <c r="FV85" i="43"/>
  <c r="FQ85" i="43"/>
  <c r="FD85" i="43"/>
  <c r="P82" i="45" s="1"/>
  <c r="EU85" i="43"/>
  <c r="ET85" i="43"/>
  <c r="EM85" i="43"/>
  <c r="EF85" i="43"/>
  <c r="EG85" i="43" s="1"/>
  <c r="DV85" i="43"/>
  <c r="DU85" i="43"/>
  <c r="DT85" i="43"/>
  <c r="DS85" i="43"/>
  <c r="DP85" i="43"/>
  <c r="Q82" i="45" s="1"/>
  <c r="R82" i="45" s="1"/>
  <c r="DA85" i="43"/>
  <c r="CS85" i="43" s="1"/>
  <c r="CW85" i="43"/>
  <c r="CU85" i="43"/>
  <c r="CH85" i="43"/>
  <c r="CG85" i="43"/>
  <c r="CB85" i="43"/>
  <c r="BZ85" i="43"/>
  <c r="BM85" i="43"/>
  <c r="BE85" i="43" s="1"/>
  <c r="BI85" i="43"/>
  <c r="BG85" i="43"/>
  <c r="AT85" i="43"/>
  <c r="AL85" i="43"/>
  <c r="AG85" i="43"/>
  <c r="G82" i="45" s="1"/>
  <c r="AF85" i="43"/>
  <c r="F82" i="45" s="1"/>
  <c r="AE85" i="43"/>
  <c r="E82" i="45" s="1"/>
  <c r="AD85" i="43"/>
  <c r="AC85" i="43"/>
  <c r="O85" i="43"/>
  <c r="Z85" i="43" s="1"/>
  <c r="J85" i="43"/>
  <c r="GH84" i="43"/>
  <c r="GF84" i="43"/>
  <c r="GD84" i="43"/>
  <c r="GC84" i="43"/>
  <c r="GB84" i="43"/>
  <c r="FW84" i="43"/>
  <c r="FV84" i="43"/>
  <c r="FQ84" i="43"/>
  <c r="FD84" i="43"/>
  <c r="P81" i="45" s="1"/>
  <c r="EU84" i="43"/>
  <c r="ET84" i="43"/>
  <c r="EM84" i="43"/>
  <c r="EF84" i="43"/>
  <c r="EG84" i="43" s="1"/>
  <c r="DV84" i="43"/>
  <c r="DU84" i="43"/>
  <c r="DT84" i="43"/>
  <c r="DS84" i="43"/>
  <c r="DP84" i="43"/>
  <c r="DA84" i="43"/>
  <c r="CS84" i="43" s="1"/>
  <c r="CW84" i="43"/>
  <c r="CU84" i="43"/>
  <c r="CH84" i="43"/>
  <c r="CG84" i="43"/>
  <c r="CD84" i="43" s="1"/>
  <c r="CB84" i="43"/>
  <c r="BZ84" i="43"/>
  <c r="BM84" i="43"/>
  <c r="BE84" i="43" s="1"/>
  <c r="BI84" i="43"/>
  <c r="BG84" i="43"/>
  <c r="AT84" i="43"/>
  <c r="AL84" i="43"/>
  <c r="AG84" i="43"/>
  <c r="G81" i="45" s="1"/>
  <c r="AF84" i="43"/>
  <c r="F81" i="45" s="1"/>
  <c r="AE84" i="43"/>
  <c r="E81" i="45" s="1"/>
  <c r="AD84" i="43"/>
  <c r="AC84" i="43"/>
  <c r="O84" i="43"/>
  <c r="GH83" i="43"/>
  <c r="GF83" i="43"/>
  <c r="GD83" i="43"/>
  <c r="GC83" i="43"/>
  <c r="GB83" i="43"/>
  <c r="FW83" i="43"/>
  <c r="FV83" i="43"/>
  <c r="FQ83" i="43"/>
  <c r="FD83" i="43"/>
  <c r="P80" i="45" s="1"/>
  <c r="EU83" i="43"/>
  <c r="ET83" i="43"/>
  <c r="EM83" i="43"/>
  <c r="EF83" i="43"/>
  <c r="EG83" i="43" s="1"/>
  <c r="DV83" i="43"/>
  <c r="DU83" i="43"/>
  <c r="DT83" i="43"/>
  <c r="DS83" i="43"/>
  <c r="DP83" i="43"/>
  <c r="DA83" i="43"/>
  <c r="CS83" i="43" s="1"/>
  <c r="CW83" i="43"/>
  <c r="CU83" i="43"/>
  <c r="CH83" i="43"/>
  <c r="CG83" i="43"/>
  <c r="CD83" i="43" s="1"/>
  <c r="CB83" i="43"/>
  <c r="BZ83" i="43"/>
  <c r="BM83" i="43"/>
  <c r="BE83" i="43" s="1"/>
  <c r="BI83" i="43"/>
  <c r="BG83" i="43"/>
  <c r="AT83" i="43"/>
  <c r="AL83" i="43"/>
  <c r="AG83" i="43"/>
  <c r="G80" i="45" s="1"/>
  <c r="AF83" i="43"/>
  <c r="F80" i="45" s="1"/>
  <c r="AE83" i="43"/>
  <c r="AD83" i="43"/>
  <c r="AC83" i="43"/>
  <c r="O83" i="43"/>
  <c r="FO83" i="43" s="1"/>
  <c r="GH82" i="43"/>
  <c r="GF82" i="43"/>
  <c r="GD82" i="43"/>
  <c r="GC82" i="43"/>
  <c r="GB82" i="43"/>
  <c r="FW82" i="43"/>
  <c r="FV82" i="43"/>
  <c r="FQ82" i="43"/>
  <c r="FD82" i="43"/>
  <c r="P79" i="45" s="1"/>
  <c r="EU82" i="43"/>
  <c r="ET82" i="43"/>
  <c r="EM82" i="43"/>
  <c r="EF82" i="43"/>
  <c r="EG82" i="43" s="1"/>
  <c r="DV82" i="43"/>
  <c r="DU82" i="43"/>
  <c r="DT82" i="43"/>
  <c r="DS82" i="43"/>
  <c r="DP82" i="43"/>
  <c r="DA82" i="43"/>
  <c r="CS82" i="43" s="1"/>
  <c r="CW82" i="43"/>
  <c r="CU82" i="43"/>
  <c r="CH82" i="43"/>
  <c r="CG82" i="43"/>
  <c r="CD82" i="43" s="1"/>
  <c r="CB82" i="43"/>
  <c r="BZ82" i="43"/>
  <c r="BM82" i="43"/>
  <c r="BE82" i="43" s="1"/>
  <c r="BI82" i="43"/>
  <c r="BG82" i="43"/>
  <c r="AT82" i="43"/>
  <c r="AL82" i="43"/>
  <c r="AG82" i="43"/>
  <c r="G79" i="45" s="1"/>
  <c r="AF82" i="43"/>
  <c r="F79" i="45" s="1"/>
  <c r="AE82" i="43"/>
  <c r="E79" i="45" s="1"/>
  <c r="AD82" i="43"/>
  <c r="AC82" i="43"/>
  <c r="O82" i="43"/>
  <c r="FO82" i="43" s="1"/>
  <c r="J82" i="43"/>
  <c r="GH81" i="43"/>
  <c r="GF81" i="43"/>
  <c r="GD81" i="43"/>
  <c r="GC81" i="43"/>
  <c r="GB81" i="43"/>
  <c r="FW81" i="43"/>
  <c r="FV81" i="43"/>
  <c r="FQ81" i="43"/>
  <c r="FD81" i="43"/>
  <c r="P78" i="45" s="1"/>
  <c r="EU81" i="43"/>
  <c r="ET81" i="43"/>
  <c r="EM81" i="43"/>
  <c r="EF81" i="43"/>
  <c r="EG81" i="43" s="1"/>
  <c r="DV81" i="43"/>
  <c r="DU81" i="43"/>
  <c r="DT81" i="43"/>
  <c r="DS81" i="43"/>
  <c r="DP81" i="43"/>
  <c r="Q78" i="45" s="1"/>
  <c r="R78" i="45" s="1"/>
  <c r="DA81" i="43"/>
  <c r="CS81" i="43" s="1"/>
  <c r="CW81" i="43"/>
  <c r="CU81" i="43"/>
  <c r="CH81" i="43"/>
  <c r="CG81" i="43"/>
  <c r="CB81" i="43"/>
  <c r="BZ81" i="43"/>
  <c r="BM81" i="43"/>
  <c r="BE81" i="43" s="1"/>
  <c r="BI81" i="43"/>
  <c r="BG81" i="43"/>
  <c r="AT81" i="43"/>
  <c r="AL81" i="43"/>
  <c r="AG81" i="43"/>
  <c r="G78" i="45" s="1"/>
  <c r="AF81" i="43"/>
  <c r="F78" i="45" s="1"/>
  <c r="AE81" i="43"/>
  <c r="E78" i="45" s="1"/>
  <c r="AD81" i="43"/>
  <c r="AC81" i="43"/>
  <c r="O81" i="43"/>
  <c r="Z81" i="43" s="1"/>
  <c r="GH80" i="43"/>
  <c r="GF80" i="43"/>
  <c r="GD80" i="43"/>
  <c r="GC80" i="43"/>
  <c r="GB80" i="43"/>
  <c r="FW80" i="43"/>
  <c r="FV80" i="43"/>
  <c r="FQ80" i="43"/>
  <c r="FD80" i="43"/>
  <c r="P77" i="45" s="1"/>
  <c r="EU80" i="43"/>
  <c r="ET80" i="43"/>
  <c r="EM80" i="43"/>
  <c r="EF80" i="43"/>
  <c r="EG80" i="43" s="1"/>
  <c r="DV80" i="43"/>
  <c r="DU80" i="43"/>
  <c r="DT80" i="43"/>
  <c r="DS80" i="43"/>
  <c r="DP80" i="43"/>
  <c r="DA80" i="43"/>
  <c r="CS80" i="43" s="1"/>
  <c r="CW80" i="43"/>
  <c r="CU80" i="43"/>
  <c r="CH80" i="43"/>
  <c r="CG80" i="43"/>
  <c r="CD80" i="43" s="1"/>
  <c r="AR80" i="43" s="1"/>
  <c r="CB80" i="43"/>
  <c r="BZ80" i="43"/>
  <c r="BM80" i="43"/>
  <c r="BE80" i="43" s="1"/>
  <c r="BI80" i="43"/>
  <c r="BG80" i="43"/>
  <c r="AT80" i="43"/>
  <c r="AL80" i="43"/>
  <c r="AG80" i="43"/>
  <c r="G77" i="45" s="1"/>
  <c r="AF80" i="43"/>
  <c r="F77" i="45" s="1"/>
  <c r="AE80" i="43"/>
  <c r="AD80" i="43"/>
  <c r="AC80" i="43"/>
  <c r="O80" i="43"/>
  <c r="GH79" i="43"/>
  <c r="GF79" i="43"/>
  <c r="GD79" i="43"/>
  <c r="GC79" i="43"/>
  <c r="GB79" i="43"/>
  <c r="FW79" i="43"/>
  <c r="FV79" i="43"/>
  <c r="FQ79" i="43"/>
  <c r="FD79" i="43"/>
  <c r="EU79" i="43"/>
  <c r="ET79" i="43"/>
  <c r="EM79" i="43"/>
  <c r="EF79" i="43"/>
  <c r="EG79" i="43" s="1"/>
  <c r="DV79" i="43"/>
  <c r="DU79" i="43"/>
  <c r="DT79" i="43"/>
  <c r="DS79" i="43"/>
  <c r="DP79" i="43"/>
  <c r="Q76" i="45" s="1"/>
  <c r="R76" i="45" s="1"/>
  <c r="DA79" i="43"/>
  <c r="CS79" i="43" s="1"/>
  <c r="CW79" i="43"/>
  <c r="CU79" i="43"/>
  <c r="CH79" i="43"/>
  <c r="CG79" i="43"/>
  <c r="CB79" i="43"/>
  <c r="BZ79" i="43"/>
  <c r="BM79" i="43"/>
  <c r="BE79" i="43" s="1"/>
  <c r="BI79" i="43"/>
  <c r="BG79" i="43"/>
  <c r="AT79" i="43"/>
  <c r="AL79" i="43"/>
  <c r="AG79" i="43"/>
  <c r="G76" i="45" s="1"/>
  <c r="AF79" i="43"/>
  <c r="F76" i="45" s="1"/>
  <c r="AE79" i="43"/>
  <c r="E76" i="45" s="1"/>
  <c r="AD79" i="43"/>
  <c r="AC79" i="43"/>
  <c r="O79" i="43"/>
  <c r="FO79" i="43" s="1"/>
  <c r="GH78" i="43"/>
  <c r="GF78" i="43"/>
  <c r="GD78" i="43"/>
  <c r="GC78" i="43"/>
  <c r="GB78" i="43"/>
  <c r="FW78" i="43"/>
  <c r="FV78" i="43"/>
  <c r="FQ78" i="43"/>
  <c r="FD78" i="43"/>
  <c r="P75" i="45" s="1"/>
  <c r="EU78" i="43"/>
  <c r="ET78" i="43"/>
  <c r="EM78" i="43"/>
  <c r="EF78" i="43"/>
  <c r="EG78" i="43" s="1"/>
  <c r="DV78" i="43"/>
  <c r="DU78" i="43"/>
  <c r="DT78" i="43"/>
  <c r="DS78" i="43"/>
  <c r="DP78" i="43"/>
  <c r="Q75" i="45" s="1"/>
  <c r="R75" i="45" s="1"/>
  <c r="DA78" i="43"/>
  <c r="CS78" i="43" s="1"/>
  <c r="CW78" i="43"/>
  <c r="CU78" i="43"/>
  <c r="CH78" i="43"/>
  <c r="CG78" i="43"/>
  <c r="CD78" i="43" s="1"/>
  <c r="AS78" i="43" s="1"/>
  <c r="CB78" i="43"/>
  <c r="BZ78" i="43"/>
  <c r="BM78" i="43"/>
  <c r="BE78" i="43" s="1"/>
  <c r="BI78" i="43"/>
  <c r="BG78" i="43"/>
  <c r="AT78" i="43"/>
  <c r="AL78" i="43"/>
  <c r="AG78" i="43"/>
  <c r="G75" i="45" s="1"/>
  <c r="AF78" i="43"/>
  <c r="F75" i="45" s="1"/>
  <c r="AE78" i="43"/>
  <c r="E75" i="45" s="1"/>
  <c r="AD78" i="43"/>
  <c r="AC78" i="43"/>
  <c r="O78" i="43"/>
  <c r="FO78" i="43" s="1"/>
  <c r="J78" i="43"/>
  <c r="GH77" i="43"/>
  <c r="GF77" i="43"/>
  <c r="GD77" i="43"/>
  <c r="GC77" i="43"/>
  <c r="GB77" i="43"/>
  <c r="FW77" i="43"/>
  <c r="FV77" i="43"/>
  <c r="FQ77" i="43"/>
  <c r="FD77" i="43"/>
  <c r="P74" i="45" s="1"/>
  <c r="EU77" i="43"/>
  <c r="ET77" i="43"/>
  <c r="EM77" i="43"/>
  <c r="EF77" i="43"/>
  <c r="EG77" i="43" s="1"/>
  <c r="DV77" i="43"/>
  <c r="DU77" i="43"/>
  <c r="DT77" i="43"/>
  <c r="DS77" i="43"/>
  <c r="DP77" i="43"/>
  <c r="Q74" i="45" s="1"/>
  <c r="R74" i="45" s="1"/>
  <c r="DA77" i="43"/>
  <c r="CS77" i="43" s="1"/>
  <c r="CW77" i="43"/>
  <c r="CU77" i="43"/>
  <c r="CH77" i="43"/>
  <c r="CG77" i="43"/>
  <c r="CB77" i="43"/>
  <c r="BZ77" i="43"/>
  <c r="BM77" i="43"/>
  <c r="BE77" i="43" s="1"/>
  <c r="BI77" i="43"/>
  <c r="BG77" i="43"/>
  <c r="AT77" i="43"/>
  <c r="AL77" i="43"/>
  <c r="AG77" i="43"/>
  <c r="G74" i="45" s="1"/>
  <c r="AF77" i="43"/>
  <c r="F74" i="45" s="1"/>
  <c r="AE77" i="43"/>
  <c r="E74" i="45" s="1"/>
  <c r="AD77" i="43"/>
  <c r="AC77" i="43"/>
  <c r="O77" i="43"/>
  <c r="I77" i="43"/>
  <c r="J77" i="43"/>
  <c r="GH76" i="43"/>
  <c r="GF76" i="43"/>
  <c r="GD76" i="43"/>
  <c r="GC76" i="43"/>
  <c r="GB76" i="43"/>
  <c r="FW76" i="43"/>
  <c r="FV76" i="43"/>
  <c r="FQ76" i="43"/>
  <c r="FD76" i="43"/>
  <c r="P73" i="45" s="1"/>
  <c r="EU76" i="43"/>
  <c r="ET76" i="43"/>
  <c r="EM76" i="43"/>
  <c r="EF76" i="43"/>
  <c r="EG76" i="43" s="1"/>
  <c r="DV76" i="43"/>
  <c r="DU76" i="43"/>
  <c r="DT76" i="43"/>
  <c r="DS76" i="43"/>
  <c r="DP76" i="43"/>
  <c r="DA76" i="43"/>
  <c r="CS76" i="43" s="1"/>
  <c r="CW76" i="43"/>
  <c r="CU76" i="43"/>
  <c r="CH76" i="43"/>
  <c r="CG76" i="43"/>
  <c r="CD76" i="43" s="1"/>
  <c r="CB76" i="43"/>
  <c r="BZ76" i="43"/>
  <c r="BM76" i="43"/>
  <c r="BE76" i="43" s="1"/>
  <c r="BI76" i="43"/>
  <c r="BG76" i="43"/>
  <c r="AT76" i="43"/>
  <c r="AL76" i="43"/>
  <c r="AG76" i="43"/>
  <c r="G73" i="45" s="1"/>
  <c r="AF76" i="43"/>
  <c r="F73" i="45" s="1"/>
  <c r="AE76" i="43"/>
  <c r="E73" i="45" s="1"/>
  <c r="AD76" i="43"/>
  <c r="AC76" i="43"/>
  <c r="O76" i="43"/>
  <c r="FO76" i="43" s="1"/>
  <c r="GH75" i="43"/>
  <c r="GF75" i="43"/>
  <c r="GD75" i="43"/>
  <c r="GC75" i="43"/>
  <c r="GB75" i="43"/>
  <c r="FW75" i="43"/>
  <c r="FV75" i="43"/>
  <c r="FQ75" i="43"/>
  <c r="FD75" i="43"/>
  <c r="EU75" i="43"/>
  <c r="ET75" i="43"/>
  <c r="EM75" i="43"/>
  <c r="EF75" i="43"/>
  <c r="EG75" i="43" s="1"/>
  <c r="DV75" i="43"/>
  <c r="DU75" i="43"/>
  <c r="DT75" i="43"/>
  <c r="DS75" i="43"/>
  <c r="DP75" i="43"/>
  <c r="Q72" i="45" s="1"/>
  <c r="R72" i="45" s="1"/>
  <c r="DA75" i="43"/>
  <c r="CS75" i="43" s="1"/>
  <c r="CW75" i="43"/>
  <c r="CU75" i="43"/>
  <c r="CH75" i="43"/>
  <c r="CG75" i="43"/>
  <c r="CB75" i="43"/>
  <c r="BZ75" i="43"/>
  <c r="BM75" i="43"/>
  <c r="BE75" i="43" s="1"/>
  <c r="BI75" i="43"/>
  <c r="BG75" i="43"/>
  <c r="AT75" i="43"/>
  <c r="AL75" i="43"/>
  <c r="AG75" i="43"/>
  <c r="G72" i="45" s="1"/>
  <c r="AF75" i="43"/>
  <c r="F72" i="45" s="1"/>
  <c r="AE75" i="43"/>
  <c r="AD75" i="43"/>
  <c r="AC75" i="43"/>
  <c r="O75" i="43"/>
  <c r="FO75" i="43" s="1"/>
  <c r="GH74" i="43"/>
  <c r="GF74" i="43"/>
  <c r="GD74" i="43"/>
  <c r="GC74" i="43"/>
  <c r="GB74" i="43"/>
  <c r="FW74" i="43"/>
  <c r="FV74" i="43"/>
  <c r="FQ74" i="43"/>
  <c r="FD74" i="43"/>
  <c r="P71" i="45" s="1"/>
  <c r="EU74" i="43"/>
  <c r="ET74" i="43"/>
  <c r="EM74" i="43"/>
  <c r="EF74" i="43"/>
  <c r="EG74" i="43" s="1"/>
  <c r="DV74" i="43"/>
  <c r="DU74" i="43"/>
  <c r="DT74" i="43"/>
  <c r="DS74" i="43"/>
  <c r="DP74" i="43"/>
  <c r="Q71" i="45" s="1"/>
  <c r="R71" i="45" s="1"/>
  <c r="DA74" i="43"/>
  <c r="CS74" i="43" s="1"/>
  <c r="CW74" i="43"/>
  <c r="CU74" i="43"/>
  <c r="CH74" i="43"/>
  <c r="CG74" i="43"/>
  <c r="CD74" i="43" s="1"/>
  <c r="AS74" i="43" s="1"/>
  <c r="CB74" i="43"/>
  <c r="BZ74" i="43"/>
  <c r="BM74" i="43"/>
  <c r="BE74" i="43" s="1"/>
  <c r="BI74" i="43"/>
  <c r="BG74" i="43"/>
  <c r="AT74" i="43"/>
  <c r="AL74" i="43"/>
  <c r="AG74" i="43"/>
  <c r="G71" i="45" s="1"/>
  <c r="AF74" i="43"/>
  <c r="F71" i="45" s="1"/>
  <c r="AE74" i="43"/>
  <c r="E71" i="45" s="1"/>
  <c r="AD74" i="43"/>
  <c r="AC74" i="43"/>
  <c r="O74" i="43"/>
  <c r="I74" i="43"/>
  <c r="J74" i="43"/>
  <c r="GH73" i="43"/>
  <c r="GF73" i="43"/>
  <c r="GD73" i="43"/>
  <c r="GC73" i="43"/>
  <c r="GB73" i="43"/>
  <c r="FW73" i="43"/>
  <c r="FV73" i="43"/>
  <c r="FQ73" i="43"/>
  <c r="FD73" i="43"/>
  <c r="P70" i="45" s="1"/>
  <c r="EU73" i="43"/>
  <c r="ET73" i="43"/>
  <c r="EM73" i="43"/>
  <c r="EF73" i="43"/>
  <c r="EG73" i="43" s="1"/>
  <c r="DV73" i="43"/>
  <c r="DU73" i="43"/>
  <c r="DT73" i="43"/>
  <c r="DS73" i="43"/>
  <c r="DP73" i="43"/>
  <c r="DA73" i="43"/>
  <c r="CS73" i="43" s="1"/>
  <c r="CW73" i="43"/>
  <c r="CU73" i="43"/>
  <c r="CH73" i="43"/>
  <c r="CG73" i="43"/>
  <c r="CB73" i="43"/>
  <c r="BZ73" i="43"/>
  <c r="BM73" i="43"/>
  <c r="BE73" i="43" s="1"/>
  <c r="BI73" i="43"/>
  <c r="BG73" i="43"/>
  <c r="AT73" i="43"/>
  <c r="AL73" i="43"/>
  <c r="AG73" i="43"/>
  <c r="G70" i="45" s="1"/>
  <c r="AF73" i="43"/>
  <c r="F70" i="45" s="1"/>
  <c r="AE73" i="43"/>
  <c r="E70" i="45" s="1"/>
  <c r="AD73" i="43"/>
  <c r="AC73" i="43"/>
  <c r="O73" i="43"/>
  <c r="I73" i="43"/>
  <c r="J73" i="43"/>
  <c r="GH72" i="43"/>
  <c r="GF72" i="43"/>
  <c r="GD72" i="43"/>
  <c r="GC72" i="43"/>
  <c r="GB72" i="43"/>
  <c r="FW72" i="43"/>
  <c r="FV72" i="43"/>
  <c r="FQ72" i="43"/>
  <c r="FD72" i="43"/>
  <c r="P69" i="45" s="1"/>
  <c r="EU72" i="43"/>
  <c r="ET72" i="43"/>
  <c r="EM72" i="43"/>
  <c r="EF72" i="43"/>
  <c r="EG72" i="43" s="1"/>
  <c r="DV72" i="43"/>
  <c r="DU72" i="43"/>
  <c r="DT72" i="43"/>
  <c r="DS72" i="43"/>
  <c r="DP72" i="43"/>
  <c r="Q69" i="45" s="1"/>
  <c r="R69" i="45" s="1"/>
  <c r="DA72" i="43"/>
  <c r="CS72" i="43" s="1"/>
  <c r="CW72" i="43"/>
  <c r="CU72" i="43"/>
  <c r="CH72" i="43"/>
  <c r="CG72" i="43"/>
  <c r="CD72" i="43" s="1"/>
  <c r="AR72" i="43" s="1"/>
  <c r="CB72" i="43"/>
  <c r="BZ72" i="43"/>
  <c r="BM72" i="43"/>
  <c r="BE72" i="43" s="1"/>
  <c r="BI72" i="43"/>
  <c r="BG72" i="43"/>
  <c r="AT72" i="43"/>
  <c r="AL72" i="43"/>
  <c r="AG72" i="43"/>
  <c r="G69" i="45" s="1"/>
  <c r="AF72" i="43"/>
  <c r="F69" i="45" s="1"/>
  <c r="AE72" i="43"/>
  <c r="E69" i="45" s="1"/>
  <c r="AD72" i="43"/>
  <c r="AC72" i="43"/>
  <c r="O72" i="43"/>
  <c r="GH71" i="43"/>
  <c r="GF71" i="43"/>
  <c r="GD71" i="43"/>
  <c r="GC71" i="43"/>
  <c r="GB71" i="43"/>
  <c r="FW71" i="43"/>
  <c r="FV71" i="43"/>
  <c r="FQ71" i="43"/>
  <c r="FD71" i="43"/>
  <c r="EU71" i="43"/>
  <c r="ET71" i="43"/>
  <c r="EM71" i="43"/>
  <c r="EF71" i="43"/>
  <c r="EG71" i="43" s="1"/>
  <c r="DV71" i="43"/>
  <c r="DU71" i="43"/>
  <c r="DT71" i="43"/>
  <c r="DS71" i="43"/>
  <c r="DP71" i="43"/>
  <c r="Q68" i="45" s="1"/>
  <c r="R68" i="45" s="1"/>
  <c r="DA71" i="43"/>
  <c r="CS71" i="43" s="1"/>
  <c r="CW71" i="43"/>
  <c r="CU71" i="43"/>
  <c r="CH71" i="43"/>
  <c r="CG71" i="43"/>
  <c r="CB71" i="43"/>
  <c r="BZ71" i="43"/>
  <c r="BM71" i="43"/>
  <c r="BE71" i="43" s="1"/>
  <c r="BI71" i="43"/>
  <c r="BG71" i="43"/>
  <c r="AT71" i="43"/>
  <c r="AL71" i="43"/>
  <c r="AG71" i="43"/>
  <c r="G68" i="45" s="1"/>
  <c r="AF71" i="43"/>
  <c r="F68" i="45" s="1"/>
  <c r="AE71" i="43"/>
  <c r="E68" i="45" s="1"/>
  <c r="AD71" i="43"/>
  <c r="AC71" i="43"/>
  <c r="O71" i="43"/>
  <c r="GH70" i="43"/>
  <c r="GF70" i="43"/>
  <c r="GD70" i="43"/>
  <c r="GC70" i="43"/>
  <c r="GB70" i="43"/>
  <c r="FW70" i="43"/>
  <c r="FV70" i="43"/>
  <c r="FQ70" i="43"/>
  <c r="FD70" i="43"/>
  <c r="P67" i="45" s="1"/>
  <c r="EU70" i="43"/>
  <c r="ET70" i="43"/>
  <c r="EM70" i="43"/>
  <c r="EF70" i="43"/>
  <c r="EG70" i="43" s="1"/>
  <c r="DV70" i="43"/>
  <c r="DU70" i="43"/>
  <c r="DT70" i="43"/>
  <c r="DS70" i="43"/>
  <c r="DP70" i="43"/>
  <c r="DA70" i="43"/>
  <c r="CS70" i="43" s="1"/>
  <c r="CW70" i="43"/>
  <c r="CU70" i="43"/>
  <c r="CH70" i="43"/>
  <c r="CG70" i="43"/>
  <c r="CD70" i="43" s="1"/>
  <c r="AS70" i="43" s="1"/>
  <c r="CB70" i="43"/>
  <c r="BZ70" i="43"/>
  <c r="BM70" i="43"/>
  <c r="BE70" i="43" s="1"/>
  <c r="BI70" i="43"/>
  <c r="BG70" i="43"/>
  <c r="AT70" i="43"/>
  <c r="AL70" i="43"/>
  <c r="AG70" i="43"/>
  <c r="G67" i="45" s="1"/>
  <c r="AF70" i="43"/>
  <c r="F67" i="45" s="1"/>
  <c r="AE70" i="43"/>
  <c r="E67" i="45" s="1"/>
  <c r="AD70" i="43"/>
  <c r="AC70" i="43"/>
  <c r="O70" i="43"/>
  <c r="J70" i="43"/>
  <c r="GH69" i="43"/>
  <c r="GF69" i="43"/>
  <c r="GD69" i="43"/>
  <c r="GC69" i="43"/>
  <c r="GB69" i="43"/>
  <c r="FW69" i="43"/>
  <c r="FV69" i="43"/>
  <c r="FQ69" i="43"/>
  <c r="FD69" i="43"/>
  <c r="P66" i="45" s="1"/>
  <c r="EU69" i="43"/>
  <c r="ET69" i="43"/>
  <c r="EM69" i="43"/>
  <c r="EF69" i="43"/>
  <c r="EG69" i="43" s="1"/>
  <c r="DV69" i="43"/>
  <c r="DU69" i="43"/>
  <c r="DT69" i="43"/>
  <c r="DS69" i="43"/>
  <c r="DP69" i="43"/>
  <c r="DA69" i="43"/>
  <c r="CS69" i="43" s="1"/>
  <c r="CW69" i="43"/>
  <c r="CU69" i="43"/>
  <c r="CH69" i="43"/>
  <c r="CG69" i="43"/>
  <c r="CB69" i="43"/>
  <c r="BZ69" i="43"/>
  <c r="BM69" i="43"/>
  <c r="BE69" i="43" s="1"/>
  <c r="BI69" i="43"/>
  <c r="BG69" i="43"/>
  <c r="AT69" i="43"/>
  <c r="AL69" i="43"/>
  <c r="AG69" i="43"/>
  <c r="G66" i="45" s="1"/>
  <c r="AF69" i="43"/>
  <c r="F66" i="45" s="1"/>
  <c r="AE69" i="43"/>
  <c r="E66" i="45" s="1"/>
  <c r="AD69" i="43"/>
  <c r="AC69" i="43"/>
  <c r="O69" i="43"/>
  <c r="GH68" i="43"/>
  <c r="GF68" i="43"/>
  <c r="GD68" i="43"/>
  <c r="GC68" i="43"/>
  <c r="GB68" i="43"/>
  <c r="FW68" i="43"/>
  <c r="FV68" i="43"/>
  <c r="FQ68" i="43"/>
  <c r="FD68" i="43"/>
  <c r="P65" i="45" s="1"/>
  <c r="EU68" i="43"/>
  <c r="ET68" i="43"/>
  <c r="EM68" i="43"/>
  <c r="EF68" i="43"/>
  <c r="EG68" i="43" s="1"/>
  <c r="DV68" i="43"/>
  <c r="DU68" i="43"/>
  <c r="DT68" i="43"/>
  <c r="DS68" i="43"/>
  <c r="DP68" i="43"/>
  <c r="DA68" i="43"/>
  <c r="CS68" i="43" s="1"/>
  <c r="CW68" i="43"/>
  <c r="CU68" i="43"/>
  <c r="CH68" i="43"/>
  <c r="CG68" i="43"/>
  <c r="CD68" i="43" s="1"/>
  <c r="CB68" i="43"/>
  <c r="BZ68" i="43"/>
  <c r="BM68" i="43"/>
  <c r="BE68" i="43" s="1"/>
  <c r="BI68" i="43"/>
  <c r="BG68" i="43"/>
  <c r="AT68" i="43"/>
  <c r="AL68" i="43"/>
  <c r="AG68" i="43"/>
  <c r="G65" i="45" s="1"/>
  <c r="AF68" i="43"/>
  <c r="F65" i="45" s="1"/>
  <c r="AE68" i="43"/>
  <c r="E65" i="45" s="1"/>
  <c r="AD68" i="43"/>
  <c r="AC68" i="43"/>
  <c r="O68" i="43"/>
  <c r="GH67" i="43"/>
  <c r="GF67" i="43"/>
  <c r="GD67" i="43"/>
  <c r="GC67" i="43"/>
  <c r="GB67" i="43"/>
  <c r="FW67" i="43"/>
  <c r="FV67" i="43"/>
  <c r="FQ67" i="43"/>
  <c r="FD67" i="43"/>
  <c r="EU67" i="43"/>
  <c r="ET67" i="43"/>
  <c r="EM67" i="43"/>
  <c r="EF67" i="43"/>
  <c r="EG67" i="43" s="1"/>
  <c r="DV67" i="43"/>
  <c r="DU67" i="43"/>
  <c r="DT67" i="43"/>
  <c r="DS67" i="43"/>
  <c r="DP67" i="43"/>
  <c r="Q64" i="45" s="1"/>
  <c r="R64" i="45" s="1"/>
  <c r="DA67" i="43"/>
  <c r="CS67" i="43" s="1"/>
  <c r="CW67" i="43"/>
  <c r="CU67" i="43"/>
  <c r="CH67" i="43"/>
  <c r="CG67" i="43"/>
  <c r="CB67" i="43"/>
  <c r="BZ67" i="43"/>
  <c r="BM67" i="43"/>
  <c r="BE67" i="43" s="1"/>
  <c r="BI67" i="43"/>
  <c r="BG67" i="43"/>
  <c r="AT67" i="43"/>
  <c r="AL67" i="43"/>
  <c r="AG67" i="43"/>
  <c r="AF67" i="43"/>
  <c r="F64" i="45" s="1"/>
  <c r="AE67" i="43"/>
  <c r="E64" i="45" s="1"/>
  <c r="AD67" i="43"/>
  <c r="AC67" i="43"/>
  <c r="O67" i="43"/>
  <c r="GH66" i="43"/>
  <c r="GF66" i="43"/>
  <c r="GD66" i="43"/>
  <c r="GC66" i="43"/>
  <c r="GB66" i="43"/>
  <c r="FW66" i="43"/>
  <c r="FV66" i="43"/>
  <c r="FQ66" i="43"/>
  <c r="FD66" i="43"/>
  <c r="EU66" i="43"/>
  <c r="ET66" i="43"/>
  <c r="EM66" i="43"/>
  <c r="EF66" i="43"/>
  <c r="EG66" i="43" s="1"/>
  <c r="DV66" i="43"/>
  <c r="DU66" i="43"/>
  <c r="DT66" i="43"/>
  <c r="DS66" i="43"/>
  <c r="DP66" i="43"/>
  <c r="Q63" i="45" s="1"/>
  <c r="R63" i="45" s="1"/>
  <c r="DA66" i="43"/>
  <c r="CS66" i="43" s="1"/>
  <c r="CW66" i="43"/>
  <c r="CU66" i="43"/>
  <c r="CH66" i="43"/>
  <c r="CG66" i="43"/>
  <c r="CD66" i="43" s="1"/>
  <c r="AS66" i="43" s="1"/>
  <c r="CB66" i="43"/>
  <c r="BZ66" i="43"/>
  <c r="BM66" i="43"/>
  <c r="BE66" i="43" s="1"/>
  <c r="BI66" i="43"/>
  <c r="BG66" i="43"/>
  <c r="AT66" i="43"/>
  <c r="AL66" i="43"/>
  <c r="AG66" i="43"/>
  <c r="G63" i="45" s="1"/>
  <c r="AF66" i="43"/>
  <c r="F63" i="45" s="1"/>
  <c r="AE66" i="43"/>
  <c r="E63" i="45" s="1"/>
  <c r="AD66" i="43"/>
  <c r="AC66" i="43"/>
  <c r="O66" i="43"/>
  <c r="J66" i="43"/>
  <c r="GH65" i="43"/>
  <c r="GF65" i="43"/>
  <c r="GD65" i="43"/>
  <c r="GC65" i="43"/>
  <c r="GB65" i="43"/>
  <c r="FW65" i="43"/>
  <c r="FV65" i="43"/>
  <c r="FQ65" i="43"/>
  <c r="FD65" i="43"/>
  <c r="EU65" i="43"/>
  <c r="ET65" i="43"/>
  <c r="EM65" i="43"/>
  <c r="EF65" i="43"/>
  <c r="EG65" i="43" s="1"/>
  <c r="DV65" i="43"/>
  <c r="DU65" i="43"/>
  <c r="DT65" i="43"/>
  <c r="DS65" i="43"/>
  <c r="DP65" i="43"/>
  <c r="Q62" i="45" s="1"/>
  <c r="R62" i="45" s="1"/>
  <c r="DA65" i="43"/>
  <c r="CS65" i="43" s="1"/>
  <c r="CW65" i="43"/>
  <c r="CU65" i="43"/>
  <c r="CH65" i="43"/>
  <c r="CG65" i="43"/>
  <c r="CB65" i="43"/>
  <c r="BZ65" i="43"/>
  <c r="BM65" i="43"/>
  <c r="BE65" i="43" s="1"/>
  <c r="BI65" i="43"/>
  <c r="BG65" i="43"/>
  <c r="AT65" i="43"/>
  <c r="AL65" i="43"/>
  <c r="AG65" i="43"/>
  <c r="G62" i="45" s="1"/>
  <c r="AF65" i="43"/>
  <c r="F62" i="45" s="1"/>
  <c r="AE65" i="43"/>
  <c r="E62" i="45" s="1"/>
  <c r="AD65" i="43"/>
  <c r="AC65" i="43"/>
  <c r="O65" i="43"/>
  <c r="I65" i="43"/>
  <c r="GH64" i="43"/>
  <c r="GF64" i="43"/>
  <c r="GD64" i="43"/>
  <c r="GC64" i="43"/>
  <c r="GB64" i="43"/>
  <c r="FW64" i="43"/>
  <c r="FV64" i="43"/>
  <c r="FQ64" i="43"/>
  <c r="FD64" i="43"/>
  <c r="P61" i="45" s="1"/>
  <c r="EU64" i="43"/>
  <c r="ET64" i="43"/>
  <c r="EM64" i="43"/>
  <c r="EF64" i="43"/>
  <c r="EG64" i="43" s="1"/>
  <c r="DV64" i="43"/>
  <c r="DU64" i="43"/>
  <c r="DT64" i="43"/>
  <c r="DS64" i="43"/>
  <c r="DP64" i="43"/>
  <c r="Q61" i="45" s="1"/>
  <c r="R61" i="45" s="1"/>
  <c r="DA64" i="43"/>
  <c r="CS64" i="43" s="1"/>
  <c r="CW64" i="43"/>
  <c r="CU64" i="43"/>
  <c r="CH64" i="43"/>
  <c r="CG64" i="43"/>
  <c r="CD64" i="43" s="1"/>
  <c r="CB64" i="43"/>
  <c r="BZ64" i="43"/>
  <c r="BM64" i="43"/>
  <c r="BE64" i="43" s="1"/>
  <c r="BI64" i="43"/>
  <c r="BG64" i="43"/>
  <c r="AT64" i="43"/>
  <c r="AL64" i="43"/>
  <c r="AG64" i="43"/>
  <c r="G61" i="45" s="1"/>
  <c r="AF64" i="43"/>
  <c r="F61" i="45" s="1"/>
  <c r="AE64" i="43"/>
  <c r="E61" i="45" s="1"/>
  <c r="AD64" i="43"/>
  <c r="AC64" i="43"/>
  <c r="O64" i="43"/>
  <c r="BQ64" i="43" s="1"/>
  <c r="GH63" i="43"/>
  <c r="GF63" i="43"/>
  <c r="GD63" i="43"/>
  <c r="GC63" i="43"/>
  <c r="GB63" i="43"/>
  <c r="FW63" i="43"/>
  <c r="FV63" i="43"/>
  <c r="FQ63" i="43"/>
  <c r="FD63" i="43"/>
  <c r="EU63" i="43"/>
  <c r="ET63" i="43"/>
  <c r="EM63" i="43"/>
  <c r="EF63" i="43"/>
  <c r="EG63" i="43" s="1"/>
  <c r="DV63" i="43"/>
  <c r="DU63" i="43"/>
  <c r="DT63" i="43"/>
  <c r="DS63" i="43"/>
  <c r="DP63" i="43"/>
  <c r="Q60" i="45" s="1"/>
  <c r="R60" i="45" s="1"/>
  <c r="DA63" i="43"/>
  <c r="CS63" i="43" s="1"/>
  <c r="CW63" i="43"/>
  <c r="CU63" i="43"/>
  <c r="CH63" i="43"/>
  <c r="CG63" i="43"/>
  <c r="CB63" i="43"/>
  <c r="BZ63" i="43"/>
  <c r="BM63" i="43"/>
  <c r="BE63" i="43" s="1"/>
  <c r="BI63" i="43"/>
  <c r="BG63" i="43"/>
  <c r="AT63" i="43"/>
  <c r="AL63" i="43"/>
  <c r="AG63" i="43"/>
  <c r="G60" i="45" s="1"/>
  <c r="AF63" i="43"/>
  <c r="F60" i="45" s="1"/>
  <c r="AE63" i="43"/>
  <c r="E60" i="45" s="1"/>
  <c r="AD63" i="43"/>
  <c r="AC63" i="43"/>
  <c r="O63" i="43"/>
  <c r="GH62" i="43"/>
  <c r="GF62" i="43"/>
  <c r="GD62" i="43"/>
  <c r="GC62" i="43"/>
  <c r="GB62" i="43"/>
  <c r="FW62" i="43"/>
  <c r="FV62" i="43"/>
  <c r="FQ62" i="43"/>
  <c r="FD62" i="43"/>
  <c r="P59" i="45" s="1"/>
  <c r="EU62" i="43"/>
  <c r="ET62" i="43"/>
  <c r="EM62" i="43"/>
  <c r="EF62" i="43"/>
  <c r="EG62" i="43" s="1"/>
  <c r="DV62" i="43"/>
  <c r="DU62" i="43"/>
  <c r="DT62" i="43"/>
  <c r="DS62" i="43"/>
  <c r="DP62" i="43"/>
  <c r="DA62" i="43"/>
  <c r="CS62" i="43" s="1"/>
  <c r="CW62" i="43"/>
  <c r="CU62" i="43"/>
  <c r="CH62" i="43"/>
  <c r="CG62" i="43"/>
  <c r="CD62" i="43" s="1"/>
  <c r="AS62" i="43" s="1"/>
  <c r="CB62" i="43"/>
  <c r="BZ62" i="43"/>
  <c r="BM62" i="43"/>
  <c r="BE62" i="43" s="1"/>
  <c r="BI62" i="43"/>
  <c r="BG62" i="43"/>
  <c r="AT62" i="43"/>
  <c r="AL62" i="43"/>
  <c r="AG62" i="43"/>
  <c r="G59" i="45" s="1"/>
  <c r="AF62" i="43"/>
  <c r="F59" i="45" s="1"/>
  <c r="AE62" i="43"/>
  <c r="E59" i="45" s="1"/>
  <c r="AD62" i="43"/>
  <c r="AC62" i="43"/>
  <c r="O62" i="43"/>
  <c r="GH61" i="43"/>
  <c r="GF61" i="43"/>
  <c r="GD61" i="43"/>
  <c r="GC61" i="43"/>
  <c r="GB61" i="43"/>
  <c r="FW61" i="43"/>
  <c r="FV61" i="43"/>
  <c r="FQ61" i="43"/>
  <c r="FD61" i="43"/>
  <c r="P58" i="45" s="1"/>
  <c r="EU61" i="43"/>
  <c r="ET61" i="43"/>
  <c r="EM61" i="43"/>
  <c r="EF61" i="43"/>
  <c r="EG61" i="43" s="1"/>
  <c r="DV61" i="43"/>
  <c r="DU61" i="43"/>
  <c r="DT61" i="43"/>
  <c r="DS61" i="43"/>
  <c r="DP61" i="43"/>
  <c r="Q58" i="45" s="1"/>
  <c r="R58" i="45" s="1"/>
  <c r="DA61" i="43"/>
  <c r="CS61" i="43" s="1"/>
  <c r="CW61" i="43"/>
  <c r="CU61" i="43"/>
  <c r="CH61" i="43"/>
  <c r="CG61" i="43"/>
  <c r="CB61" i="43"/>
  <c r="BZ61" i="43"/>
  <c r="BM61" i="43"/>
  <c r="BE61" i="43" s="1"/>
  <c r="BI61" i="43"/>
  <c r="BG61" i="43"/>
  <c r="AT61" i="43"/>
  <c r="AL61" i="43"/>
  <c r="AG61" i="43"/>
  <c r="G58" i="45" s="1"/>
  <c r="AF61" i="43"/>
  <c r="F58" i="45" s="1"/>
  <c r="AE61" i="43"/>
  <c r="AD61" i="43"/>
  <c r="AC61" i="43"/>
  <c r="O61" i="43"/>
  <c r="DE61" i="43" s="1"/>
  <c r="J61" i="43"/>
  <c r="GH60" i="43"/>
  <c r="GF60" i="43"/>
  <c r="GD60" i="43"/>
  <c r="GC60" i="43"/>
  <c r="GB60" i="43"/>
  <c r="FW60" i="43"/>
  <c r="FV60" i="43"/>
  <c r="FQ60" i="43"/>
  <c r="FD60" i="43"/>
  <c r="EU60" i="43"/>
  <c r="ET60" i="43"/>
  <c r="EM60" i="43"/>
  <c r="EF60" i="43"/>
  <c r="EG60" i="43" s="1"/>
  <c r="DV60" i="43"/>
  <c r="DU60" i="43"/>
  <c r="DT60" i="43"/>
  <c r="DS60" i="43"/>
  <c r="DP60" i="43"/>
  <c r="Q57" i="45" s="1"/>
  <c r="R57" i="45" s="1"/>
  <c r="DA60" i="43"/>
  <c r="CS60" i="43" s="1"/>
  <c r="CW60" i="43"/>
  <c r="CU60" i="43"/>
  <c r="CH60" i="43"/>
  <c r="CG60" i="43"/>
  <c r="CD60" i="43" s="1"/>
  <c r="CB60" i="43"/>
  <c r="BZ60" i="43"/>
  <c r="BM60" i="43"/>
  <c r="BE60" i="43" s="1"/>
  <c r="BI60" i="43"/>
  <c r="BG60" i="43"/>
  <c r="AT60" i="43"/>
  <c r="AL60" i="43"/>
  <c r="AG60" i="43"/>
  <c r="G57" i="45" s="1"/>
  <c r="AF60" i="43"/>
  <c r="AE60" i="43"/>
  <c r="E57" i="45" s="1"/>
  <c r="AD60" i="43"/>
  <c r="AC60" i="43"/>
  <c r="O60" i="43"/>
  <c r="J60" i="43"/>
  <c r="GH59" i="43"/>
  <c r="GF59" i="43"/>
  <c r="GD59" i="43"/>
  <c r="GC59" i="43"/>
  <c r="GB59" i="43"/>
  <c r="FW59" i="43"/>
  <c r="FV59" i="43"/>
  <c r="FQ59" i="43"/>
  <c r="FD59" i="43"/>
  <c r="P56" i="45" s="1"/>
  <c r="EU59" i="43"/>
  <c r="ET59" i="43"/>
  <c r="EM59" i="43"/>
  <c r="EF59" i="43"/>
  <c r="EG59" i="43" s="1"/>
  <c r="DV59" i="43"/>
  <c r="DU59" i="43"/>
  <c r="DT59" i="43"/>
  <c r="DS59" i="43"/>
  <c r="DP59" i="43"/>
  <c r="Q56" i="45" s="1"/>
  <c r="R56" i="45" s="1"/>
  <c r="DA59" i="43"/>
  <c r="CS59" i="43" s="1"/>
  <c r="CW59" i="43"/>
  <c r="CU59" i="43"/>
  <c r="CH59" i="43"/>
  <c r="CG59" i="43"/>
  <c r="CB59" i="43"/>
  <c r="BZ59" i="43"/>
  <c r="BM59" i="43"/>
  <c r="BE59" i="43" s="1"/>
  <c r="BI59" i="43"/>
  <c r="BG59" i="43"/>
  <c r="AT59" i="43"/>
  <c r="AL59" i="43"/>
  <c r="AG59" i="43"/>
  <c r="G56" i="45" s="1"/>
  <c r="AF59" i="43"/>
  <c r="AE59" i="43"/>
  <c r="E56" i="45" s="1"/>
  <c r="AD59" i="43"/>
  <c r="AC59" i="43"/>
  <c r="O59" i="43"/>
  <c r="FO59" i="43" s="1"/>
  <c r="GH58" i="43"/>
  <c r="GF58" i="43"/>
  <c r="GD58" i="43"/>
  <c r="GC58" i="43"/>
  <c r="GB58" i="43"/>
  <c r="FW58" i="43"/>
  <c r="FV58" i="43"/>
  <c r="FQ58" i="43"/>
  <c r="FD58" i="43"/>
  <c r="P55" i="45" s="1"/>
  <c r="EU58" i="43"/>
  <c r="ET58" i="43"/>
  <c r="EM58" i="43"/>
  <c r="EF58" i="43"/>
  <c r="EG58" i="43" s="1"/>
  <c r="DV58" i="43"/>
  <c r="DU58" i="43"/>
  <c r="DT58" i="43"/>
  <c r="DS58" i="43"/>
  <c r="DP58" i="43"/>
  <c r="Q55" i="45" s="1"/>
  <c r="R55" i="45" s="1"/>
  <c r="DA58" i="43"/>
  <c r="CS58" i="43" s="1"/>
  <c r="CW58" i="43"/>
  <c r="CU58" i="43"/>
  <c r="CH58" i="43"/>
  <c r="CG58" i="43"/>
  <c r="CD58" i="43" s="1"/>
  <c r="AS58" i="43" s="1"/>
  <c r="CB58" i="43"/>
  <c r="BZ58" i="43"/>
  <c r="BM58" i="43"/>
  <c r="BE58" i="43" s="1"/>
  <c r="BI58" i="43"/>
  <c r="BG58" i="43"/>
  <c r="AT58" i="43"/>
  <c r="AL58" i="43"/>
  <c r="AG58" i="43"/>
  <c r="G55" i="45" s="1"/>
  <c r="AF58" i="43"/>
  <c r="F55" i="45" s="1"/>
  <c r="AE58" i="43"/>
  <c r="AD58" i="43"/>
  <c r="AC58" i="43"/>
  <c r="O58" i="43"/>
  <c r="FO58" i="43" s="1"/>
  <c r="I58" i="43"/>
  <c r="GH57" i="43"/>
  <c r="GF57" i="43"/>
  <c r="GD57" i="43"/>
  <c r="GC57" i="43"/>
  <c r="GB57" i="43"/>
  <c r="FW57" i="43"/>
  <c r="FV57" i="43"/>
  <c r="FQ57" i="43"/>
  <c r="FD57" i="43"/>
  <c r="P54" i="45" s="1"/>
  <c r="EU57" i="43"/>
  <c r="ET57" i="43"/>
  <c r="EM57" i="43"/>
  <c r="EF57" i="43"/>
  <c r="EG57" i="43" s="1"/>
  <c r="DV57" i="43"/>
  <c r="DU57" i="43"/>
  <c r="DT57" i="43"/>
  <c r="DS57" i="43"/>
  <c r="DP57" i="43"/>
  <c r="DA57" i="43"/>
  <c r="CS57" i="43" s="1"/>
  <c r="CW57" i="43"/>
  <c r="CU57" i="43"/>
  <c r="CH57" i="43"/>
  <c r="CG57" i="43"/>
  <c r="CB57" i="43"/>
  <c r="BZ57" i="43"/>
  <c r="BM57" i="43"/>
  <c r="BE57" i="43" s="1"/>
  <c r="BI57" i="43"/>
  <c r="BG57" i="43"/>
  <c r="AT57" i="43"/>
  <c r="AL57" i="43"/>
  <c r="AG57" i="43"/>
  <c r="G54" i="45" s="1"/>
  <c r="AF57" i="43"/>
  <c r="F54" i="45" s="1"/>
  <c r="AE57" i="43"/>
  <c r="E54" i="45" s="1"/>
  <c r="AD57" i="43"/>
  <c r="AC57" i="43"/>
  <c r="O57" i="43"/>
  <c r="I57" i="43"/>
  <c r="GH56" i="43"/>
  <c r="GF56" i="43"/>
  <c r="GD56" i="43"/>
  <c r="GC56" i="43"/>
  <c r="BO56" i="43" s="1"/>
  <c r="GB56" i="43"/>
  <c r="FW56" i="43"/>
  <c r="FV56" i="43"/>
  <c r="FQ56" i="43"/>
  <c r="FD56" i="43"/>
  <c r="P53" i="45" s="1"/>
  <c r="EU56" i="43"/>
  <c r="ET56" i="43"/>
  <c r="EM56" i="43"/>
  <c r="EF56" i="43"/>
  <c r="EG56" i="43" s="1"/>
  <c r="DV56" i="43"/>
  <c r="DU56" i="43"/>
  <c r="DT56" i="43"/>
  <c r="DS56" i="43"/>
  <c r="DP56" i="43"/>
  <c r="Q53" i="45" s="1"/>
  <c r="R53" i="45" s="1"/>
  <c r="DA56" i="43"/>
  <c r="CS56" i="43" s="1"/>
  <c r="CW56" i="43"/>
  <c r="CU56" i="43"/>
  <c r="CH56" i="43"/>
  <c r="CG56" i="43"/>
  <c r="CD56" i="43" s="1"/>
  <c r="AS56" i="43" s="1"/>
  <c r="CB56" i="43"/>
  <c r="BZ56" i="43"/>
  <c r="BM56" i="43"/>
  <c r="BE56" i="43" s="1"/>
  <c r="BI56" i="43"/>
  <c r="BG56" i="43"/>
  <c r="AT56" i="43"/>
  <c r="AL56" i="43"/>
  <c r="AG56" i="43"/>
  <c r="G53" i="45" s="1"/>
  <c r="AF56" i="43"/>
  <c r="F53" i="45" s="1"/>
  <c r="AE56" i="43"/>
  <c r="E53" i="45" s="1"/>
  <c r="AD56" i="43"/>
  <c r="AC56" i="43"/>
  <c r="O56" i="43"/>
  <c r="DE56" i="43" s="1"/>
  <c r="GH55" i="43"/>
  <c r="GF55" i="43"/>
  <c r="GD55" i="43"/>
  <c r="GC55" i="43"/>
  <c r="GB55" i="43"/>
  <c r="FW55" i="43"/>
  <c r="FV55" i="43"/>
  <c r="FQ55" i="43"/>
  <c r="FD55" i="43"/>
  <c r="P52" i="45" s="1"/>
  <c r="EU55" i="43"/>
  <c r="ET55" i="43"/>
  <c r="EM55" i="43"/>
  <c r="EF55" i="43"/>
  <c r="EG55" i="43" s="1"/>
  <c r="DV55" i="43"/>
  <c r="DU55" i="43"/>
  <c r="DT55" i="43"/>
  <c r="DS55" i="43"/>
  <c r="DP55" i="43"/>
  <c r="DA55" i="43"/>
  <c r="CS55" i="43" s="1"/>
  <c r="CW55" i="43"/>
  <c r="CU55" i="43"/>
  <c r="CH55" i="43"/>
  <c r="CG55" i="43"/>
  <c r="CB55" i="43"/>
  <c r="BZ55" i="43"/>
  <c r="BM55" i="43"/>
  <c r="BE55" i="43" s="1"/>
  <c r="BI55" i="43"/>
  <c r="BG55" i="43"/>
  <c r="AT55" i="43"/>
  <c r="AL55" i="43"/>
  <c r="AG55" i="43"/>
  <c r="G52" i="45" s="1"/>
  <c r="AF55" i="43"/>
  <c r="F52" i="45" s="1"/>
  <c r="AE55" i="43"/>
  <c r="E52" i="45" s="1"/>
  <c r="AD55" i="43"/>
  <c r="AC55" i="43"/>
  <c r="O55" i="43"/>
  <c r="FO55" i="43" s="1"/>
  <c r="I55" i="43"/>
  <c r="GH54" i="43"/>
  <c r="GF54" i="43"/>
  <c r="GD54" i="43"/>
  <c r="GC54" i="43"/>
  <c r="BO54" i="43" s="1"/>
  <c r="GB54" i="43"/>
  <c r="FW54" i="43"/>
  <c r="FV54" i="43"/>
  <c r="FQ54" i="43"/>
  <c r="FD54" i="43"/>
  <c r="P51" i="45" s="1"/>
  <c r="EU54" i="43"/>
  <c r="ET54" i="43"/>
  <c r="EM54" i="43"/>
  <c r="EF54" i="43"/>
  <c r="EG54" i="43" s="1"/>
  <c r="DV54" i="43"/>
  <c r="DU54" i="43"/>
  <c r="DT54" i="43"/>
  <c r="DS54" i="43"/>
  <c r="DP54" i="43"/>
  <c r="Q51" i="45" s="1"/>
  <c r="R51" i="45" s="1"/>
  <c r="DA54" i="43"/>
  <c r="CS54" i="43" s="1"/>
  <c r="CW54" i="43"/>
  <c r="CU54" i="43"/>
  <c r="CH54" i="43"/>
  <c r="CG54" i="43"/>
  <c r="CD54" i="43" s="1"/>
  <c r="AS54" i="43" s="1"/>
  <c r="CB54" i="43"/>
  <c r="BZ54" i="43"/>
  <c r="BM54" i="43"/>
  <c r="BE54" i="43" s="1"/>
  <c r="BI54" i="43"/>
  <c r="BG54" i="43"/>
  <c r="AT54" i="43"/>
  <c r="AL54" i="43"/>
  <c r="AG54" i="43"/>
  <c r="G51" i="45" s="1"/>
  <c r="AF54" i="43"/>
  <c r="F51" i="45" s="1"/>
  <c r="AE54" i="43"/>
  <c r="AD54" i="43"/>
  <c r="AC54" i="43"/>
  <c r="O54" i="43"/>
  <c r="GH53" i="43"/>
  <c r="GF53" i="43"/>
  <c r="GD53" i="43"/>
  <c r="GC53" i="43"/>
  <c r="BO53" i="43" s="1"/>
  <c r="GB53" i="43"/>
  <c r="FW53" i="43"/>
  <c r="FV53" i="43"/>
  <c r="FQ53" i="43"/>
  <c r="FD53" i="43"/>
  <c r="P50" i="45" s="1"/>
  <c r="EU53" i="43"/>
  <c r="ET53" i="43"/>
  <c r="EM53" i="43"/>
  <c r="EF53" i="43"/>
  <c r="EG53" i="43" s="1"/>
  <c r="DV53" i="43"/>
  <c r="DU53" i="43"/>
  <c r="DT53" i="43"/>
  <c r="DS53" i="43"/>
  <c r="DP53" i="43"/>
  <c r="DA53" i="43"/>
  <c r="CS53" i="43" s="1"/>
  <c r="CW53" i="43"/>
  <c r="CU53" i="43"/>
  <c r="CH53" i="43"/>
  <c r="CG53" i="43"/>
  <c r="CB53" i="43"/>
  <c r="BZ53" i="43"/>
  <c r="BM53" i="43"/>
  <c r="BE53" i="43" s="1"/>
  <c r="BI53" i="43"/>
  <c r="BG53" i="43"/>
  <c r="AT53" i="43"/>
  <c r="AL53" i="43"/>
  <c r="AG53" i="43"/>
  <c r="G50" i="45" s="1"/>
  <c r="AF53" i="43"/>
  <c r="F50" i="45" s="1"/>
  <c r="AE53" i="43"/>
  <c r="E50" i="45" s="1"/>
  <c r="AD53" i="43"/>
  <c r="AC53" i="43"/>
  <c r="O53" i="43"/>
  <c r="DE53" i="43" s="1"/>
  <c r="GH52" i="43"/>
  <c r="GF52" i="43"/>
  <c r="GD52" i="43"/>
  <c r="GC52" i="43"/>
  <c r="BO52" i="43" s="1"/>
  <c r="GB52" i="43"/>
  <c r="FW52" i="43"/>
  <c r="FV52" i="43"/>
  <c r="FQ52" i="43"/>
  <c r="FD52" i="43"/>
  <c r="P49" i="45" s="1"/>
  <c r="EU52" i="43"/>
  <c r="ET52" i="43"/>
  <c r="EM52" i="43"/>
  <c r="EF52" i="43"/>
  <c r="EG52" i="43" s="1"/>
  <c r="DV52" i="43"/>
  <c r="DU52" i="43"/>
  <c r="DT52" i="43"/>
  <c r="DS52" i="43"/>
  <c r="DP52" i="43"/>
  <c r="DA52" i="43"/>
  <c r="CS52" i="43" s="1"/>
  <c r="CW52" i="43"/>
  <c r="CU52" i="43"/>
  <c r="CH52" i="43"/>
  <c r="CG52" i="43"/>
  <c r="CD52" i="43" s="1"/>
  <c r="CB52" i="43"/>
  <c r="BZ52" i="43"/>
  <c r="BM52" i="43"/>
  <c r="BE52" i="43" s="1"/>
  <c r="BI52" i="43"/>
  <c r="BG52" i="43"/>
  <c r="AT52" i="43"/>
  <c r="AL52" i="43"/>
  <c r="AG52" i="43"/>
  <c r="G49" i="45" s="1"/>
  <c r="AF52" i="43"/>
  <c r="AE52" i="43"/>
  <c r="E49" i="45" s="1"/>
  <c r="AD52" i="43"/>
  <c r="AC52" i="43"/>
  <c r="O52" i="43"/>
  <c r="DE52" i="43" s="1"/>
  <c r="GH51" i="43"/>
  <c r="GF51" i="43"/>
  <c r="GD51" i="43"/>
  <c r="GC51" i="43"/>
  <c r="GB51" i="43"/>
  <c r="FW51" i="43"/>
  <c r="FV51" i="43"/>
  <c r="FQ51" i="43"/>
  <c r="FD51" i="43"/>
  <c r="P48" i="45" s="1"/>
  <c r="EU51" i="43"/>
  <c r="ET51" i="43"/>
  <c r="EM51" i="43"/>
  <c r="EF51" i="43"/>
  <c r="EG51" i="43" s="1"/>
  <c r="DV51" i="43"/>
  <c r="DU51" i="43"/>
  <c r="DT51" i="43"/>
  <c r="DS51" i="43"/>
  <c r="DP51" i="43"/>
  <c r="Q48" i="45" s="1"/>
  <c r="R48" i="45" s="1"/>
  <c r="DA51" i="43"/>
  <c r="CS51" i="43" s="1"/>
  <c r="CW51" i="43"/>
  <c r="CU51" i="43"/>
  <c r="CH51" i="43"/>
  <c r="CG51" i="43"/>
  <c r="CB51" i="43"/>
  <c r="BZ51" i="43"/>
  <c r="BM51" i="43"/>
  <c r="BE51" i="43" s="1"/>
  <c r="BI51" i="43"/>
  <c r="BG51" i="43"/>
  <c r="AT51" i="43"/>
  <c r="AL51" i="43"/>
  <c r="AG51" i="43"/>
  <c r="G48" i="45" s="1"/>
  <c r="AF51" i="43"/>
  <c r="F48" i="45" s="1"/>
  <c r="AE51" i="43"/>
  <c r="E48" i="45" s="1"/>
  <c r="AD51" i="43"/>
  <c r="AC51" i="43"/>
  <c r="O51" i="43"/>
  <c r="DE51" i="43" s="1"/>
  <c r="I51" i="43"/>
  <c r="J51" i="43"/>
  <c r="GH50" i="43"/>
  <c r="GF50" i="43"/>
  <c r="GD50" i="43"/>
  <c r="GC50" i="43"/>
  <c r="BO50" i="43" s="1"/>
  <c r="GB50" i="43"/>
  <c r="FW50" i="43"/>
  <c r="FV50" i="43"/>
  <c r="FQ50" i="43"/>
  <c r="FD50" i="43"/>
  <c r="P47" i="45" s="1"/>
  <c r="EU50" i="43"/>
  <c r="ET50" i="43"/>
  <c r="EM50" i="43"/>
  <c r="EF50" i="43"/>
  <c r="EG50" i="43" s="1"/>
  <c r="DV50" i="43"/>
  <c r="DU50" i="43"/>
  <c r="DT50" i="43"/>
  <c r="DS50" i="43"/>
  <c r="DP50" i="43"/>
  <c r="DA50" i="43"/>
  <c r="CS50" i="43" s="1"/>
  <c r="CW50" i="43"/>
  <c r="CU50" i="43"/>
  <c r="CH50" i="43"/>
  <c r="CG50" i="43"/>
  <c r="CD50" i="43" s="1"/>
  <c r="AP50" i="43" s="1"/>
  <c r="CB50" i="43"/>
  <c r="BZ50" i="43"/>
  <c r="BM50" i="43"/>
  <c r="BE50" i="43" s="1"/>
  <c r="BI50" i="43"/>
  <c r="BG50" i="43"/>
  <c r="AT50" i="43"/>
  <c r="AL50" i="43"/>
  <c r="AG50" i="43"/>
  <c r="AF50" i="43"/>
  <c r="F47" i="45" s="1"/>
  <c r="AE50" i="43"/>
  <c r="E47" i="45" s="1"/>
  <c r="AD50" i="43"/>
  <c r="AC50" i="43"/>
  <c r="O50" i="43"/>
  <c r="GH49" i="43"/>
  <c r="GF49" i="43"/>
  <c r="GD49" i="43"/>
  <c r="GC49" i="43"/>
  <c r="BO49" i="43" s="1"/>
  <c r="GB49" i="43"/>
  <c r="FW49" i="43"/>
  <c r="FV49" i="43"/>
  <c r="FQ49" i="43"/>
  <c r="FD49" i="43"/>
  <c r="EU49" i="43"/>
  <c r="ET49" i="43"/>
  <c r="EM49" i="43"/>
  <c r="EF49" i="43"/>
  <c r="EG49" i="43" s="1"/>
  <c r="DV49" i="43"/>
  <c r="DU49" i="43"/>
  <c r="DT49" i="43"/>
  <c r="DS49" i="43"/>
  <c r="DP49" i="43"/>
  <c r="DA49" i="43"/>
  <c r="CS49" i="43" s="1"/>
  <c r="CW49" i="43"/>
  <c r="CU49" i="43"/>
  <c r="CH49" i="43"/>
  <c r="CG49" i="43"/>
  <c r="CD49" i="43" s="1"/>
  <c r="AR49" i="43" s="1"/>
  <c r="CB49" i="43"/>
  <c r="BZ49" i="43"/>
  <c r="BM49" i="43"/>
  <c r="BE49" i="43" s="1"/>
  <c r="BI49" i="43"/>
  <c r="BG49" i="43"/>
  <c r="AT49" i="43"/>
  <c r="AL49" i="43"/>
  <c r="AG49" i="43"/>
  <c r="G46" i="45" s="1"/>
  <c r="AF49" i="43"/>
  <c r="F46" i="45" s="1"/>
  <c r="AE49" i="43"/>
  <c r="E46" i="45" s="1"/>
  <c r="AD49" i="43"/>
  <c r="AC49" i="43"/>
  <c r="O49" i="43"/>
  <c r="DE49" i="43" s="1"/>
  <c r="I49" i="43"/>
  <c r="J49" i="43"/>
  <c r="GH48" i="43"/>
  <c r="GF48" i="43"/>
  <c r="GD48" i="43"/>
  <c r="GC48" i="43"/>
  <c r="BO48" i="43" s="1"/>
  <c r="GB48" i="43"/>
  <c r="FW48" i="43"/>
  <c r="FV48" i="43"/>
  <c r="FQ48" i="43"/>
  <c r="FD48" i="43"/>
  <c r="P45" i="45" s="1"/>
  <c r="EU48" i="43"/>
  <c r="ET48" i="43"/>
  <c r="EM48" i="43"/>
  <c r="EF48" i="43"/>
  <c r="EG48" i="43" s="1"/>
  <c r="DV48" i="43"/>
  <c r="DU48" i="43"/>
  <c r="DT48" i="43"/>
  <c r="DS48" i="43"/>
  <c r="DP48" i="43"/>
  <c r="Q45" i="45" s="1"/>
  <c r="R45" i="45" s="1"/>
  <c r="DA48" i="43"/>
  <c r="CS48" i="43" s="1"/>
  <c r="CW48" i="43"/>
  <c r="CU48" i="43"/>
  <c r="CH48" i="43"/>
  <c r="CG48" i="43"/>
  <c r="CD48" i="43" s="1"/>
  <c r="CB48" i="43"/>
  <c r="BZ48" i="43"/>
  <c r="BM48" i="43"/>
  <c r="BE48" i="43" s="1"/>
  <c r="BI48" i="43"/>
  <c r="BG48" i="43"/>
  <c r="AT48" i="43"/>
  <c r="AL48" i="43"/>
  <c r="AG48" i="43"/>
  <c r="G45" i="45" s="1"/>
  <c r="AF48" i="43"/>
  <c r="F45" i="45" s="1"/>
  <c r="AE48" i="43"/>
  <c r="E45" i="45" s="1"/>
  <c r="AD48" i="43"/>
  <c r="AC48" i="43"/>
  <c r="O48" i="43"/>
  <c r="DE48" i="43" s="1"/>
  <c r="GH47" i="43"/>
  <c r="GF47" i="43"/>
  <c r="GD47" i="43"/>
  <c r="GC47" i="43"/>
  <c r="GB47" i="43"/>
  <c r="FW47" i="43"/>
  <c r="FV47" i="43"/>
  <c r="FQ47" i="43"/>
  <c r="FD47" i="43"/>
  <c r="P44" i="45" s="1"/>
  <c r="EU47" i="43"/>
  <c r="ET47" i="43"/>
  <c r="EM47" i="43"/>
  <c r="EF47" i="43"/>
  <c r="EG47" i="43" s="1"/>
  <c r="DV47" i="43"/>
  <c r="DU47" i="43"/>
  <c r="DT47" i="43"/>
  <c r="DS47" i="43"/>
  <c r="DP47" i="43"/>
  <c r="Q44" i="45" s="1"/>
  <c r="R44" i="45" s="1"/>
  <c r="DA47" i="43"/>
  <c r="CS47" i="43" s="1"/>
  <c r="CW47" i="43"/>
  <c r="CU47" i="43"/>
  <c r="CH47" i="43"/>
  <c r="CG47" i="43"/>
  <c r="CD47" i="43" s="1"/>
  <c r="CB47" i="43"/>
  <c r="BZ47" i="43"/>
  <c r="BM47" i="43"/>
  <c r="BE47" i="43" s="1"/>
  <c r="BI47" i="43"/>
  <c r="BG47" i="43"/>
  <c r="AT47" i="43"/>
  <c r="AL47" i="43"/>
  <c r="AG47" i="43"/>
  <c r="G44" i="45" s="1"/>
  <c r="AF47" i="43"/>
  <c r="F44" i="45" s="1"/>
  <c r="AE47" i="43"/>
  <c r="E44" i="45" s="1"/>
  <c r="AD47" i="43"/>
  <c r="AC47" i="43"/>
  <c r="O47" i="43"/>
  <c r="FO47" i="43" s="1"/>
  <c r="J47" i="43"/>
  <c r="GH46" i="43"/>
  <c r="GF46" i="43"/>
  <c r="GD46" i="43"/>
  <c r="GC46" i="43"/>
  <c r="BO46" i="43" s="1"/>
  <c r="GB46" i="43"/>
  <c r="FW46" i="43"/>
  <c r="FV46" i="43"/>
  <c r="FQ46" i="43"/>
  <c r="FD46" i="43"/>
  <c r="EU46" i="43"/>
  <c r="ET46" i="43"/>
  <c r="EM46" i="43"/>
  <c r="EF46" i="43"/>
  <c r="EG46" i="43" s="1"/>
  <c r="DV46" i="43"/>
  <c r="DU46" i="43"/>
  <c r="DT46" i="43"/>
  <c r="DS46" i="43"/>
  <c r="DP46" i="43"/>
  <c r="Q43" i="45" s="1"/>
  <c r="R43" i="45" s="1"/>
  <c r="DA46" i="43"/>
  <c r="CS46" i="43" s="1"/>
  <c r="CW46" i="43"/>
  <c r="CU46" i="43"/>
  <c r="CH46" i="43"/>
  <c r="CG46" i="43"/>
  <c r="CD46" i="43" s="1"/>
  <c r="CB46" i="43"/>
  <c r="BZ46" i="43"/>
  <c r="BM46" i="43"/>
  <c r="BE46" i="43" s="1"/>
  <c r="BI46" i="43"/>
  <c r="BG46" i="43"/>
  <c r="AT46" i="43"/>
  <c r="AL46" i="43"/>
  <c r="AG46" i="43"/>
  <c r="G43" i="45" s="1"/>
  <c r="AF46" i="43"/>
  <c r="F43" i="45" s="1"/>
  <c r="AE46" i="43"/>
  <c r="E43" i="45" s="1"/>
  <c r="AD46" i="43"/>
  <c r="AC46" i="43"/>
  <c r="O46" i="43"/>
  <c r="DE46" i="43" s="1"/>
  <c r="GH45" i="43"/>
  <c r="GF45" i="43"/>
  <c r="GD45" i="43"/>
  <c r="GC45" i="43"/>
  <c r="GB45" i="43"/>
  <c r="FW45" i="43"/>
  <c r="FV45" i="43"/>
  <c r="FQ45" i="43"/>
  <c r="FD45" i="43"/>
  <c r="EU45" i="43"/>
  <c r="ET45" i="43"/>
  <c r="EM45" i="43"/>
  <c r="EF45" i="43"/>
  <c r="EG45" i="43" s="1"/>
  <c r="DV45" i="43"/>
  <c r="DU45" i="43"/>
  <c r="DT45" i="43"/>
  <c r="DS45" i="43"/>
  <c r="DP45" i="43"/>
  <c r="DA45" i="43"/>
  <c r="CS45" i="43" s="1"/>
  <c r="CW45" i="43"/>
  <c r="CU45" i="43"/>
  <c r="CH45" i="43"/>
  <c r="CG45" i="43"/>
  <c r="CD45" i="43" s="1"/>
  <c r="CB45" i="43"/>
  <c r="BZ45" i="43"/>
  <c r="BM45" i="43"/>
  <c r="BE45" i="43" s="1"/>
  <c r="BI45" i="43"/>
  <c r="BG45" i="43"/>
  <c r="AT45" i="43"/>
  <c r="AL45" i="43"/>
  <c r="AG45" i="43"/>
  <c r="AF45" i="43"/>
  <c r="F42" i="45" s="1"/>
  <c r="AE45" i="43"/>
  <c r="E42" i="45" s="1"/>
  <c r="AD45" i="43"/>
  <c r="AC45" i="43"/>
  <c r="O45" i="43"/>
  <c r="DE45" i="43" s="1"/>
  <c r="J45" i="43"/>
  <c r="GH44" i="43"/>
  <c r="GF44" i="43"/>
  <c r="GD44" i="43"/>
  <c r="GC44" i="43"/>
  <c r="GB44" i="43"/>
  <c r="FW44" i="43"/>
  <c r="FV44" i="43"/>
  <c r="FQ44" i="43"/>
  <c r="FD44" i="43"/>
  <c r="P41" i="45" s="1"/>
  <c r="EU44" i="43"/>
  <c r="ET44" i="43"/>
  <c r="EM44" i="43"/>
  <c r="EF44" i="43"/>
  <c r="EG44" i="43" s="1"/>
  <c r="DV44" i="43"/>
  <c r="DU44" i="43"/>
  <c r="DT44" i="43"/>
  <c r="DS44" i="43"/>
  <c r="DP44" i="43"/>
  <c r="Q41" i="45" s="1"/>
  <c r="R41" i="45" s="1"/>
  <c r="DA44" i="43"/>
  <c r="CS44" i="43" s="1"/>
  <c r="CW44" i="43"/>
  <c r="CU44" i="43"/>
  <c r="CH44" i="43"/>
  <c r="CG44" i="43"/>
  <c r="CD44" i="43" s="1"/>
  <c r="CB44" i="43"/>
  <c r="BZ44" i="43"/>
  <c r="BM44" i="43"/>
  <c r="BE44" i="43" s="1"/>
  <c r="BI44" i="43"/>
  <c r="BG44" i="43"/>
  <c r="AT44" i="43"/>
  <c r="AL44" i="43"/>
  <c r="AG44" i="43"/>
  <c r="G41" i="45" s="1"/>
  <c r="AF44" i="43"/>
  <c r="F41" i="45" s="1"/>
  <c r="AE44" i="43"/>
  <c r="AD44" i="43"/>
  <c r="AC44" i="43"/>
  <c r="O44" i="43"/>
  <c r="GH43" i="43"/>
  <c r="GF43" i="43"/>
  <c r="GD43" i="43"/>
  <c r="GC43" i="43"/>
  <c r="DC43" i="43" s="1"/>
  <c r="GB43" i="43"/>
  <c r="FW43" i="43"/>
  <c r="FV43" i="43"/>
  <c r="FQ43" i="43"/>
  <c r="FD43" i="43"/>
  <c r="P40" i="45" s="1"/>
  <c r="EU43" i="43"/>
  <c r="ET43" i="43"/>
  <c r="EM43" i="43"/>
  <c r="EF43" i="43"/>
  <c r="EG43" i="43" s="1"/>
  <c r="DV43" i="43"/>
  <c r="DU43" i="43"/>
  <c r="DT43" i="43"/>
  <c r="DS43" i="43"/>
  <c r="DP43" i="43"/>
  <c r="DA43" i="43"/>
  <c r="CS43" i="43" s="1"/>
  <c r="CW43" i="43"/>
  <c r="CU43" i="43"/>
  <c r="CH43" i="43"/>
  <c r="CG43" i="43"/>
  <c r="CD43" i="43" s="1"/>
  <c r="CB43" i="43"/>
  <c r="BZ43" i="43"/>
  <c r="BM43" i="43"/>
  <c r="BE43" i="43" s="1"/>
  <c r="BI43" i="43"/>
  <c r="BG43" i="43"/>
  <c r="AT43" i="43"/>
  <c r="AL43" i="43"/>
  <c r="AG43" i="43"/>
  <c r="G40" i="45" s="1"/>
  <c r="AF43" i="43"/>
  <c r="F40" i="45" s="1"/>
  <c r="AE43" i="43"/>
  <c r="E40" i="45" s="1"/>
  <c r="AD43" i="43"/>
  <c r="AC43" i="43"/>
  <c r="O43" i="43"/>
  <c r="DE43" i="43" s="1"/>
  <c r="GH42" i="43"/>
  <c r="GF42" i="43"/>
  <c r="GD42" i="43"/>
  <c r="GC42" i="43"/>
  <c r="GB42" i="43"/>
  <c r="FW42" i="43"/>
  <c r="FV42" i="43"/>
  <c r="FQ42" i="43"/>
  <c r="FD42" i="43"/>
  <c r="P39" i="45" s="1"/>
  <c r="EU42" i="43"/>
  <c r="ET42" i="43"/>
  <c r="EM42" i="43"/>
  <c r="EF42" i="43"/>
  <c r="EG42" i="43" s="1"/>
  <c r="DV42" i="43"/>
  <c r="DU42" i="43"/>
  <c r="DT42" i="43"/>
  <c r="DS42" i="43"/>
  <c r="DP42" i="43"/>
  <c r="Q39" i="45" s="1"/>
  <c r="R39" i="45" s="1"/>
  <c r="DA42" i="43"/>
  <c r="CS42" i="43" s="1"/>
  <c r="CW42" i="43"/>
  <c r="CU42" i="43"/>
  <c r="CH42" i="43"/>
  <c r="CG42" i="43"/>
  <c r="CD42" i="43" s="1"/>
  <c r="AP42" i="43" s="1"/>
  <c r="CB42" i="43"/>
  <c r="BZ42" i="43"/>
  <c r="BM42" i="43"/>
  <c r="BE42" i="43" s="1"/>
  <c r="BI42" i="43"/>
  <c r="BG42" i="43"/>
  <c r="AT42" i="43"/>
  <c r="AL42" i="43"/>
  <c r="AG42" i="43"/>
  <c r="G39" i="45" s="1"/>
  <c r="AF42" i="43"/>
  <c r="F39" i="45" s="1"/>
  <c r="AE42" i="43"/>
  <c r="E39" i="45" s="1"/>
  <c r="AD42" i="43"/>
  <c r="AC42" i="43"/>
  <c r="O42" i="43"/>
  <c r="DE42" i="43" s="1"/>
  <c r="I42" i="43"/>
  <c r="GH41" i="43"/>
  <c r="GF41" i="43"/>
  <c r="GD41" i="43"/>
  <c r="GC41" i="43"/>
  <c r="DC41" i="43" s="1"/>
  <c r="GB41" i="43"/>
  <c r="FW41" i="43"/>
  <c r="FV41" i="43"/>
  <c r="FQ41" i="43"/>
  <c r="FD41" i="43"/>
  <c r="EU41" i="43"/>
  <c r="ET41" i="43"/>
  <c r="EM41" i="43"/>
  <c r="EF41" i="43"/>
  <c r="EG41" i="43" s="1"/>
  <c r="DV41" i="43"/>
  <c r="DU41" i="43"/>
  <c r="DT41" i="43"/>
  <c r="DS41" i="43"/>
  <c r="DP41" i="43"/>
  <c r="Q38" i="45" s="1"/>
  <c r="R38" i="45" s="1"/>
  <c r="DA41" i="43"/>
  <c r="CS41" i="43" s="1"/>
  <c r="CW41" i="43"/>
  <c r="CU41" i="43"/>
  <c r="CH41" i="43"/>
  <c r="CG41" i="43"/>
  <c r="CB41" i="43"/>
  <c r="BZ41" i="43"/>
  <c r="BM41" i="43"/>
  <c r="BE41" i="43" s="1"/>
  <c r="BI41" i="43"/>
  <c r="BG41" i="43"/>
  <c r="AT41" i="43"/>
  <c r="AL41" i="43"/>
  <c r="AG41" i="43"/>
  <c r="AF41" i="43"/>
  <c r="F38" i="45" s="1"/>
  <c r="AE41" i="43"/>
  <c r="E38" i="45" s="1"/>
  <c r="AD41" i="43"/>
  <c r="AC41" i="43"/>
  <c r="O41" i="43"/>
  <c r="FO41" i="43" s="1"/>
  <c r="I41" i="43"/>
  <c r="GH40" i="43"/>
  <c r="GF40" i="43"/>
  <c r="GD40" i="43"/>
  <c r="GC40" i="43"/>
  <c r="GB40" i="43"/>
  <c r="FW40" i="43"/>
  <c r="FV40" i="43"/>
  <c r="FQ40" i="43"/>
  <c r="FD40" i="43"/>
  <c r="P37" i="45" s="1"/>
  <c r="EU40" i="43"/>
  <c r="ET40" i="43"/>
  <c r="EM40" i="43"/>
  <c r="EF40" i="43"/>
  <c r="EG40" i="43" s="1"/>
  <c r="DV40" i="43"/>
  <c r="DU40" i="43"/>
  <c r="DT40" i="43"/>
  <c r="DS40" i="43"/>
  <c r="DP40" i="43"/>
  <c r="DA40" i="43"/>
  <c r="CS40" i="43" s="1"/>
  <c r="CW40" i="43"/>
  <c r="CU40" i="43"/>
  <c r="CH40" i="43"/>
  <c r="CG40" i="43"/>
  <c r="CD40" i="43" s="1"/>
  <c r="CB40" i="43"/>
  <c r="BZ40" i="43"/>
  <c r="BM40" i="43"/>
  <c r="BE40" i="43" s="1"/>
  <c r="BI40" i="43"/>
  <c r="BG40" i="43"/>
  <c r="AT40" i="43"/>
  <c r="AL40" i="43"/>
  <c r="AG40" i="43"/>
  <c r="G37" i="45" s="1"/>
  <c r="AF40" i="43"/>
  <c r="F37" i="45" s="1"/>
  <c r="AE40" i="43"/>
  <c r="E37" i="45" s="1"/>
  <c r="AD40" i="43"/>
  <c r="AC40" i="43"/>
  <c r="O40" i="43"/>
  <c r="DE40" i="43" s="1"/>
  <c r="GH39" i="43"/>
  <c r="GF39" i="43"/>
  <c r="GD39" i="43"/>
  <c r="GC39" i="43"/>
  <c r="CJ39" i="43" s="1"/>
  <c r="GB39" i="43"/>
  <c r="FW39" i="43"/>
  <c r="FV39" i="43"/>
  <c r="FQ39" i="43"/>
  <c r="FD39" i="43"/>
  <c r="P36" i="45" s="1"/>
  <c r="EU39" i="43"/>
  <c r="ET39" i="43"/>
  <c r="EM39" i="43"/>
  <c r="EF39" i="43"/>
  <c r="EG39" i="43" s="1"/>
  <c r="DV39" i="43"/>
  <c r="DU39" i="43"/>
  <c r="DT39" i="43"/>
  <c r="DS39" i="43"/>
  <c r="DP39" i="43"/>
  <c r="DA39" i="43"/>
  <c r="CS39" i="43" s="1"/>
  <c r="CW39" i="43"/>
  <c r="CU39" i="43"/>
  <c r="CH39" i="43"/>
  <c r="CG39" i="43"/>
  <c r="CD39" i="43" s="1"/>
  <c r="CB39" i="43"/>
  <c r="BZ39" i="43"/>
  <c r="BM39" i="43"/>
  <c r="BE39" i="43" s="1"/>
  <c r="BI39" i="43"/>
  <c r="BG39" i="43"/>
  <c r="AT39" i="43"/>
  <c r="AL39" i="43"/>
  <c r="AG39" i="43"/>
  <c r="G36" i="45" s="1"/>
  <c r="AF39" i="43"/>
  <c r="F36" i="45" s="1"/>
  <c r="AE39" i="43"/>
  <c r="E36" i="45" s="1"/>
  <c r="AD39" i="43"/>
  <c r="AC39" i="43"/>
  <c r="O39" i="43"/>
  <c r="DE39" i="43" s="1"/>
  <c r="J39" i="43"/>
  <c r="GH38" i="43"/>
  <c r="GF38" i="43"/>
  <c r="GD38" i="43"/>
  <c r="GC38" i="43"/>
  <c r="BO38" i="43" s="1"/>
  <c r="GB38" i="43"/>
  <c r="FW38" i="43"/>
  <c r="FV38" i="43"/>
  <c r="FQ38" i="43"/>
  <c r="FD38" i="43"/>
  <c r="P35" i="45" s="1"/>
  <c r="EU38" i="43"/>
  <c r="ET38" i="43"/>
  <c r="EM38" i="43"/>
  <c r="EF38" i="43"/>
  <c r="EG38" i="43" s="1"/>
  <c r="DV38" i="43"/>
  <c r="DU38" i="43"/>
  <c r="DT38" i="43"/>
  <c r="DS38" i="43"/>
  <c r="DP38" i="43"/>
  <c r="Q35" i="45" s="1"/>
  <c r="R35" i="45" s="1"/>
  <c r="DA38" i="43"/>
  <c r="CS38" i="43" s="1"/>
  <c r="CW38" i="43"/>
  <c r="CU38" i="43"/>
  <c r="CH38" i="43"/>
  <c r="CG38" i="43"/>
  <c r="CD38" i="43" s="1"/>
  <c r="AP38" i="43" s="1"/>
  <c r="CB38" i="43"/>
  <c r="BZ38" i="43"/>
  <c r="BM38" i="43"/>
  <c r="BE38" i="43" s="1"/>
  <c r="BI38" i="43"/>
  <c r="BG38" i="43"/>
  <c r="AT38" i="43"/>
  <c r="AL38" i="43"/>
  <c r="AG38" i="43"/>
  <c r="G35" i="45" s="1"/>
  <c r="AF38" i="43"/>
  <c r="F35" i="45" s="1"/>
  <c r="AE38" i="43"/>
  <c r="E35" i="45" s="1"/>
  <c r="AD38" i="43"/>
  <c r="AC38" i="43"/>
  <c r="O38" i="43"/>
  <c r="DE38" i="43" s="1"/>
  <c r="GH37" i="43"/>
  <c r="GF37" i="43"/>
  <c r="GD37" i="43"/>
  <c r="GC37" i="43"/>
  <c r="CJ37" i="43" s="1"/>
  <c r="GB37" i="43"/>
  <c r="FW37" i="43"/>
  <c r="FV37" i="43"/>
  <c r="FQ37" i="43"/>
  <c r="FD37" i="43"/>
  <c r="EU37" i="43"/>
  <c r="ET37" i="43"/>
  <c r="EM37" i="43"/>
  <c r="EF37" i="43"/>
  <c r="EG37" i="43" s="1"/>
  <c r="DV37" i="43"/>
  <c r="DU37" i="43"/>
  <c r="DT37" i="43"/>
  <c r="DS37" i="43"/>
  <c r="DP37" i="43"/>
  <c r="Q34" i="45" s="1"/>
  <c r="R34" i="45" s="1"/>
  <c r="DA37" i="43"/>
  <c r="CS37" i="43" s="1"/>
  <c r="CW37" i="43"/>
  <c r="CU37" i="43"/>
  <c r="CH37" i="43"/>
  <c r="CG37" i="43"/>
  <c r="CD37" i="43" s="1"/>
  <c r="AP37" i="43" s="1"/>
  <c r="CB37" i="43"/>
  <c r="BZ37" i="43"/>
  <c r="BM37" i="43"/>
  <c r="BE37" i="43" s="1"/>
  <c r="BI37" i="43"/>
  <c r="BG37" i="43"/>
  <c r="AT37" i="43"/>
  <c r="AL37" i="43"/>
  <c r="AG37" i="43"/>
  <c r="G34" i="45" s="1"/>
  <c r="AF37" i="43"/>
  <c r="F34" i="45" s="1"/>
  <c r="AE37" i="43"/>
  <c r="E34" i="45" s="1"/>
  <c r="AD37" i="43"/>
  <c r="AC37" i="43"/>
  <c r="O37" i="43"/>
  <c r="CL37" i="43" s="1"/>
  <c r="I37" i="43"/>
  <c r="GH36" i="43"/>
  <c r="GF36" i="43"/>
  <c r="GD36" i="43"/>
  <c r="GC36" i="43"/>
  <c r="BO36" i="43" s="1"/>
  <c r="GB36" i="43"/>
  <c r="FW36" i="43"/>
  <c r="FV36" i="43"/>
  <c r="FQ36" i="43"/>
  <c r="FD36" i="43"/>
  <c r="P33" i="45" s="1"/>
  <c r="EU36" i="43"/>
  <c r="ET36" i="43"/>
  <c r="EM36" i="43"/>
  <c r="EF36" i="43"/>
  <c r="EG36" i="43" s="1"/>
  <c r="DV36" i="43"/>
  <c r="DU36" i="43"/>
  <c r="DT36" i="43"/>
  <c r="DS36" i="43"/>
  <c r="DP36" i="43"/>
  <c r="DA36" i="43"/>
  <c r="CS36" i="43" s="1"/>
  <c r="CW36" i="43"/>
  <c r="CU36" i="43"/>
  <c r="CH36" i="43"/>
  <c r="CG36" i="43"/>
  <c r="CD36" i="43" s="1"/>
  <c r="CB36" i="43"/>
  <c r="BZ36" i="43"/>
  <c r="BM36" i="43"/>
  <c r="BE36" i="43" s="1"/>
  <c r="BI36" i="43"/>
  <c r="BG36" i="43"/>
  <c r="AT36" i="43"/>
  <c r="AL36" i="43"/>
  <c r="AG36" i="43"/>
  <c r="G33" i="45" s="1"/>
  <c r="AF36" i="43"/>
  <c r="F33" i="45" s="1"/>
  <c r="AE36" i="43"/>
  <c r="E33" i="45" s="1"/>
  <c r="AD36" i="43"/>
  <c r="AC36" i="43"/>
  <c r="O36" i="43"/>
  <c r="GH35" i="43"/>
  <c r="GF35" i="43"/>
  <c r="GD35" i="43"/>
  <c r="GC35" i="43"/>
  <c r="AJ35" i="43" s="1"/>
  <c r="AK35" i="43" s="1"/>
  <c r="C32" i="45" s="1"/>
  <c r="GB35" i="43"/>
  <c r="FW35" i="43"/>
  <c r="FV35" i="43"/>
  <c r="FQ35" i="43"/>
  <c r="FD35" i="43"/>
  <c r="EU35" i="43"/>
  <c r="ET35" i="43"/>
  <c r="EM35" i="43"/>
  <c r="EF35" i="43"/>
  <c r="EG35" i="43" s="1"/>
  <c r="DV35" i="43"/>
  <c r="DU35" i="43"/>
  <c r="DT35" i="43"/>
  <c r="DS35" i="43"/>
  <c r="DP35" i="43"/>
  <c r="Q32" i="45" s="1"/>
  <c r="R32" i="45" s="1"/>
  <c r="DA35" i="43"/>
  <c r="CS35" i="43" s="1"/>
  <c r="CW35" i="43"/>
  <c r="CU35" i="43"/>
  <c r="CH35" i="43"/>
  <c r="CG35" i="43"/>
  <c r="CD35" i="43" s="1"/>
  <c r="CB35" i="43"/>
  <c r="BZ35" i="43"/>
  <c r="BM35" i="43"/>
  <c r="BE35" i="43" s="1"/>
  <c r="BI35" i="43"/>
  <c r="BG35" i="43"/>
  <c r="AT35" i="43"/>
  <c r="AL35" i="43"/>
  <c r="AG35" i="43"/>
  <c r="G32" i="45" s="1"/>
  <c r="AF35" i="43"/>
  <c r="F32" i="45" s="1"/>
  <c r="AE35" i="43"/>
  <c r="E32" i="45" s="1"/>
  <c r="AD35" i="43"/>
  <c r="AC35" i="43"/>
  <c r="O35" i="43"/>
  <c r="DE35" i="43" s="1"/>
  <c r="GH34" i="43"/>
  <c r="GF34" i="43"/>
  <c r="GD34" i="43"/>
  <c r="GC34" i="43"/>
  <c r="DC34" i="43" s="1"/>
  <c r="GB34" i="43"/>
  <c r="FW34" i="43"/>
  <c r="FV34" i="43"/>
  <c r="FQ34" i="43"/>
  <c r="FD34" i="43"/>
  <c r="P31" i="45" s="1"/>
  <c r="EU34" i="43"/>
  <c r="ET34" i="43"/>
  <c r="EM34" i="43"/>
  <c r="EF34" i="43"/>
  <c r="EG34" i="43" s="1"/>
  <c r="DV34" i="43"/>
  <c r="DU34" i="43"/>
  <c r="DT34" i="43"/>
  <c r="DS34" i="43"/>
  <c r="DP34" i="43"/>
  <c r="Q31" i="45" s="1"/>
  <c r="R31" i="45" s="1"/>
  <c r="DA34" i="43"/>
  <c r="CS34" i="43" s="1"/>
  <c r="CW34" i="43"/>
  <c r="CU34" i="43"/>
  <c r="CH34" i="43"/>
  <c r="CG34" i="43"/>
  <c r="CB34" i="43"/>
  <c r="BZ34" i="43"/>
  <c r="BM34" i="43"/>
  <c r="BE34" i="43" s="1"/>
  <c r="BI34" i="43"/>
  <c r="BG34" i="43"/>
  <c r="AT34" i="43"/>
  <c r="AL34" i="43"/>
  <c r="AG34" i="43"/>
  <c r="G31" i="45" s="1"/>
  <c r="AF34" i="43"/>
  <c r="F31" i="45" s="1"/>
  <c r="AE34" i="43"/>
  <c r="AD34" i="43"/>
  <c r="AC34" i="43"/>
  <c r="O34" i="43"/>
  <c r="GH33" i="43"/>
  <c r="GF33" i="43"/>
  <c r="GD33" i="43"/>
  <c r="GC33" i="43"/>
  <c r="GB33" i="43"/>
  <c r="FW33" i="43"/>
  <c r="FV33" i="43"/>
  <c r="FQ33" i="43"/>
  <c r="FD33" i="43"/>
  <c r="EU33" i="43"/>
  <c r="ET33" i="43"/>
  <c r="EM33" i="43"/>
  <c r="EF33" i="43"/>
  <c r="EG33" i="43" s="1"/>
  <c r="DV33" i="43"/>
  <c r="DU33" i="43"/>
  <c r="DT33" i="43"/>
  <c r="DS33" i="43"/>
  <c r="DP33" i="43"/>
  <c r="Q30" i="45" s="1"/>
  <c r="R30" i="45" s="1"/>
  <c r="DA33" i="43"/>
  <c r="CS33" i="43" s="1"/>
  <c r="CW33" i="43"/>
  <c r="CU33" i="43"/>
  <c r="CH33" i="43"/>
  <c r="CG33" i="43"/>
  <c r="CD33" i="43" s="1"/>
  <c r="AS33" i="43" s="1"/>
  <c r="CB33" i="43"/>
  <c r="BZ33" i="43"/>
  <c r="BM33" i="43"/>
  <c r="BE33" i="43" s="1"/>
  <c r="BI33" i="43"/>
  <c r="BG33" i="43"/>
  <c r="AT33" i="43"/>
  <c r="AL33" i="43"/>
  <c r="AG33" i="43"/>
  <c r="G30" i="45" s="1"/>
  <c r="AF33" i="43"/>
  <c r="AE33" i="43"/>
  <c r="E30" i="45" s="1"/>
  <c r="AD33" i="43"/>
  <c r="AC33" i="43"/>
  <c r="O33" i="43"/>
  <c r="DE33" i="43" s="1"/>
  <c r="GH32" i="43"/>
  <c r="GF32" i="43"/>
  <c r="GD32" i="43"/>
  <c r="GC32" i="43"/>
  <c r="DC32" i="43" s="1"/>
  <c r="GB32" i="43"/>
  <c r="FW32" i="43"/>
  <c r="FV32" i="43"/>
  <c r="FQ32" i="43"/>
  <c r="FD32" i="43"/>
  <c r="P29" i="45" s="1"/>
  <c r="EU32" i="43"/>
  <c r="ET32" i="43"/>
  <c r="EM32" i="43"/>
  <c r="EF32" i="43"/>
  <c r="EG32" i="43" s="1"/>
  <c r="DV32" i="43"/>
  <c r="DU32" i="43"/>
  <c r="DT32" i="43"/>
  <c r="DS32" i="43"/>
  <c r="DP32" i="43"/>
  <c r="DA32" i="43"/>
  <c r="CS32" i="43" s="1"/>
  <c r="CW32" i="43"/>
  <c r="CU32" i="43"/>
  <c r="CH32" i="43"/>
  <c r="CG32" i="43"/>
  <c r="CB32" i="43"/>
  <c r="BZ32" i="43"/>
  <c r="BM32" i="43"/>
  <c r="BE32" i="43" s="1"/>
  <c r="BI32" i="43"/>
  <c r="BG32" i="43"/>
  <c r="AT32" i="43"/>
  <c r="AL32" i="43"/>
  <c r="AG32" i="43"/>
  <c r="AF32" i="43"/>
  <c r="F29" i="45" s="1"/>
  <c r="AE32" i="43"/>
  <c r="E29" i="45" s="1"/>
  <c r="AD32" i="43"/>
  <c r="AC32" i="43"/>
  <c r="O32" i="43"/>
  <c r="CL32" i="43" s="1"/>
  <c r="GH31" i="43"/>
  <c r="GF31" i="43"/>
  <c r="GD31" i="43"/>
  <c r="GC31" i="43"/>
  <c r="CJ31" i="43" s="1"/>
  <c r="GB31" i="43"/>
  <c r="FW31" i="43"/>
  <c r="FV31" i="43"/>
  <c r="FQ31" i="43"/>
  <c r="FD31" i="43"/>
  <c r="P28" i="45" s="1"/>
  <c r="EU31" i="43"/>
  <c r="ET31" i="43"/>
  <c r="EM31" i="43"/>
  <c r="EF31" i="43"/>
  <c r="EG31" i="43" s="1"/>
  <c r="DV31" i="43"/>
  <c r="DU31" i="43"/>
  <c r="DT31" i="43"/>
  <c r="DS31" i="43"/>
  <c r="DP31" i="43"/>
  <c r="Q28" i="45" s="1"/>
  <c r="R28" i="45" s="1"/>
  <c r="DA31" i="43"/>
  <c r="CS31" i="43" s="1"/>
  <c r="CW31" i="43"/>
  <c r="CU31" i="43"/>
  <c r="CH31" i="43"/>
  <c r="CG31" i="43"/>
  <c r="CD31" i="43" s="1"/>
  <c r="CB31" i="43"/>
  <c r="BZ31" i="43"/>
  <c r="BM31" i="43"/>
  <c r="BE31" i="43" s="1"/>
  <c r="BI31" i="43"/>
  <c r="BG31" i="43"/>
  <c r="AT31" i="43"/>
  <c r="AL31" i="43"/>
  <c r="AG31" i="43"/>
  <c r="G28" i="45" s="1"/>
  <c r="AF31" i="43"/>
  <c r="F28" i="45" s="1"/>
  <c r="AE31" i="43"/>
  <c r="AD31" i="43"/>
  <c r="AC31" i="43"/>
  <c r="O31" i="43"/>
  <c r="GH30" i="43"/>
  <c r="GF30" i="43"/>
  <c r="GD30" i="43"/>
  <c r="GC30" i="43"/>
  <c r="CJ30" i="43" s="1"/>
  <c r="GB30" i="43"/>
  <c r="FW30" i="43"/>
  <c r="FV30" i="43"/>
  <c r="FQ30" i="43"/>
  <c r="FD30" i="43"/>
  <c r="P27" i="45" s="1"/>
  <c r="EU30" i="43"/>
  <c r="ET30" i="43"/>
  <c r="EM30" i="43"/>
  <c r="EF30" i="43"/>
  <c r="EG30" i="43" s="1"/>
  <c r="DV30" i="43"/>
  <c r="DU30" i="43"/>
  <c r="DT30" i="43"/>
  <c r="DS30" i="43"/>
  <c r="DP30" i="43"/>
  <c r="Q27" i="45" s="1"/>
  <c r="R27" i="45" s="1"/>
  <c r="DA30" i="43"/>
  <c r="CS30" i="43" s="1"/>
  <c r="CW30" i="43"/>
  <c r="CU30" i="43"/>
  <c r="CH30" i="43"/>
  <c r="CG30" i="43"/>
  <c r="CB30" i="43"/>
  <c r="BZ30" i="43"/>
  <c r="BM30" i="43"/>
  <c r="BE30" i="43" s="1"/>
  <c r="BI30" i="43"/>
  <c r="BG30" i="43"/>
  <c r="AT30" i="43"/>
  <c r="AL30" i="43"/>
  <c r="AG30" i="43"/>
  <c r="G27" i="45" s="1"/>
  <c r="AF30" i="43"/>
  <c r="F27" i="45" s="1"/>
  <c r="AE30" i="43"/>
  <c r="AD30" i="43"/>
  <c r="AC30" i="43"/>
  <c r="O30" i="43"/>
  <c r="FO30" i="43" s="1"/>
  <c r="GH29" i="43"/>
  <c r="GF29" i="43"/>
  <c r="GD29" i="43"/>
  <c r="GC29" i="43"/>
  <c r="DC29" i="43" s="1"/>
  <c r="GB29" i="43"/>
  <c r="FW29" i="43"/>
  <c r="FV29" i="43"/>
  <c r="FQ29" i="43"/>
  <c r="FD29" i="43"/>
  <c r="P26" i="45" s="1"/>
  <c r="EU29" i="43"/>
  <c r="ET29" i="43"/>
  <c r="EM29" i="43"/>
  <c r="EF29" i="43"/>
  <c r="EG29" i="43" s="1"/>
  <c r="DV29" i="43"/>
  <c r="DU29" i="43"/>
  <c r="DT29" i="43"/>
  <c r="DS29" i="43"/>
  <c r="DP29" i="43"/>
  <c r="Q26" i="45" s="1"/>
  <c r="R26" i="45" s="1"/>
  <c r="DA29" i="43"/>
  <c r="CS29" i="43" s="1"/>
  <c r="CW29" i="43"/>
  <c r="CU29" i="43"/>
  <c r="CH29" i="43"/>
  <c r="CG29" i="43"/>
  <c r="CB29" i="43"/>
  <c r="BZ29" i="43"/>
  <c r="BM29" i="43"/>
  <c r="BE29" i="43" s="1"/>
  <c r="BI29" i="43"/>
  <c r="BG29" i="43"/>
  <c r="AT29" i="43"/>
  <c r="AL29" i="43"/>
  <c r="AG29" i="43"/>
  <c r="G26" i="45" s="1"/>
  <c r="AF29" i="43"/>
  <c r="F26" i="45" s="1"/>
  <c r="AE29" i="43"/>
  <c r="AD29" i="43"/>
  <c r="AC29" i="43"/>
  <c r="O29" i="43"/>
  <c r="FO29" i="43" s="1"/>
  <c r="J29" i="43"/>
  <c r="GH28" i="43"/>
  <c r="GF28" i="43"/>
  <c r="GD28" i="43"/>
  <c r="GC28" i="43"/>
  <c r="CJ28" i="43" s="1"/>
  <c r="GB28" i="43"/>
  <c r="FW28" i="43"/>
  <c r="FV28" i="43"/>
  <c r="FQ28" i="43"/>
  <c r="FD28" i="43"/>
  <c r="EU28" i="43"/>
  <c r="ET28" i="43"/>
  <c r="EM28" i="43"/>
  <c r="EF28" i="43"/>
  <c r="EG28" i="43" s="1"/>
  <c r="DV28" i="43"/>
  <c r="DU28" i="43"/>
  <c r="DT28" i="43"/>
  <c r="DS28" i="43"/>
  <c r="DP28" i="43"/>
  <c r="Q25" i="45" s="1"/>
  <c r="R25" i="45" s="1"/>
  <c r="DA28" i="43"/>
  <c r="CS28" i="43" s="1"/>
  <c r="CW28" i="43"/>
  <c r="CU28" i="43"/>
  <c r="CH28" i="43"/>
  <c r="CG28" i="43"/>
  <c r="CD28" i="43" s="1"/>
  <c r="CB28" i="43"/>
  <c r="BZ28" i="43"/>
  <c r="BM28" i="43"/>
  <c r="BE28" i="43" s="1"/>
  <c r="BI28" i="43"/>
  <c r="BG28" i="43"/>
  <c r="AT28" i="43"/>
  <c r="AL28" i="43"/>
  <c r="AG28" i="43"/>
  <c r="G25" i="45" s="1"/>
  <c r="AF28" i="43"/>
  <c r="F25" i="45" s="1"/>
  <c r="AE28" i="43"/>
  <c r="E25" i="45" s="1"/>
  <c r="AD28" i="43"/>
  <c r="AC28" i="43"/>
  <c r="O28" i="43"/>
  <c r="J28" i="43"/>
  <c r="GH27" i="43"/>
  <c r="GF27" i="43"/>
  <c r="GD27" i="43"/>
  <c r="GC27" i="43"/>
  <c r="DC27" i="43" s="1"/>
  <c r="GB27" i="43"/>
  <c r="FW27" i="43"/>
  <c r="FV27" i="43"/>
  <c r="FQ27" i="43"/>
  <c r="FD27" i="43"/>
  <c r="P24" i="45" s="1"/>
  <c r="EU27" i="43"/>
  <c r="ET27" i="43"/>
  <c r="EM27" i="43"/>
  <c r="EF27" i="43"/>
  <c r="EG27" i="43" s="1"/>
  <c r="DV27" i="43"/>
  <c r="DU27" i="43"/>
  <c r="DT27" i="43"/>
  <c r="DS27" i="43"/>
  <c r="DP27" i="43"/>
  <c r="CW27" i="43"/>
  <c r="CG27" i="43"/>
  <c r="CD27" i="43" s="1"/>
  <c r="CB27" i="43"/>
  <c r="BE27" i="43"/>
  <c r="BI27" i="43"/>
  <c r="AT27" i="43"/>
  <c r="AL27" i="43"/>
  <c r="AG27" i="43"/>
  <c r="G24" i="45" s="1"/>
  <c r="AF27" i="43"/>
  <c r="F24" i="45" s="1"/>
  <c r="AE27" i="43"/>
  <c r="AD27" i="43"/>
  <c r="AC27" i="43"/>
  <c r="O27" i="43"/>
  <c r="J27" i="43"/>
  <c r="GH26" i="43"/>
  <c r="GF26" i="43"/>
  <c r="GD26" i="43"/>
  <c r="GC26" i="43"/>
  <c r="DC26" i="43" s="1"/>
  <c r="GB26" i="43"/>
  <c r="FW26" i="43"/>
  <c r="FV26" i="43"/>
  <c r="FQ26" i="43"/>
  <c r="FD26" i="43"/>
  <c r="P23" i="45" s="1"/>
  <c r="EU26" i="43"/>
  <c r="ET26" i="43"/>
  <c r="EM26" i="43"/>
  <c r="EF26" i="43"/>
  <c r="EG26" i="43" s="1"/>
  <c r="DV26" i="43"/>
  <c r="DU26" i="43"/>
  <c r="DT26" i="43"/>
  <c r="DS26" i="43"/>
  <c r="DP26" i="43"/>
  <c r="Q23" i="45" s="1"/>
  <c r="R23" i="45" s="1"/>
  <c r="CW26" i="43"/>
  <c r="CG26" i="43"/>
  <c r="CD26" i="43" s="1"/>
  <c r="CB26" i="43"/>
  <c r="BE26" i="43"/>
  <c r="BI26" i="43"/>
  <c r="AT26" i="43"/>
  <c r="AL26" i="43"/>
  <c r="AG26" i="43"/>
  <c r="G23" i="45" s="1"/>
  <c r="AF26" i="43"/>
  <c r="F23" i="45" s="1"/>
  <c r="AE26" i="43"/>
  <c r="E23" i="45" s="1"/>
  <c r="AD26" i="43"/>
  <c r="AC26" i="43"/>
  <c r="O26" i="43"/>
  <c r="FO26" i="43" s="1"/>
  <c r="J26" i="43"/>
  <c r="GH25" i="43"/>
  <c r="GF25" i="43"/>
  <c r="GD25" i="43"/>
  <c r="GC25" i="43"/>
  <c r="DC25" i="43" s="1"/>
  <c r="GB25" i="43"/>
  <c r="FW25" i="43"/>
  <c r="FV25" i="43"/>
  <c r="FQ25" i="43"/>
  <c r="FD25" i="43"/>
  <c r="P22" i="45" s="1"/>
  <c r="EU25" i="43"/>
  <c r="ET25" i="43"/>
  <c r="EM25" i="43"/>
  <c r="EF25" i="43"/>
  <c r="EG25" i="43" s="1"/>
  <c r="DV25" i="43"/>
  <c r="DU25" i="43"/>
  <c r="DT25" i="43"/>
  <c r="DS25" i="43"/>
  <c r="DP25" i="43"/>
  <c r="Q22" i="45" s="1"/>
  <c r="R22" i="45" s="1"/>
  <c r="CW25" i="43"/>
  <c r="CJ25" i="43"/>
  <c r="CG25" i="43"/>
  <c r="CD25" i="43" s="1"/>
  <c r="CB25" i="43"/>
  <c r="BE25" i="43"/>
  <c r="BI25" i="43"/>
  <c r="AT25" i="43"/>
  <c r="AL25" i="43"/>
  <c r="AG25" i="43"/>
  <c r="G22" i="45" s="1"/>
  <c r="AF25" i="43"/>
  <c r="F22" i="45" s="1"/>
  <c r="AE25" i="43"/>
  <c r="E22" i="45" s="1"/>
  <c r="AD25" i="43"/>
  <c r="AC25" i="43"/>
  <c r="O25" i="43"/>
  <c r="FO25" i="43" s="1"/>
  <c r="J25" i="43"/>
  <c r="GH24" i="43"/>
  <c r="GF24" i="43"/>
  <c r="GD24" i="43"/>
  <c r="GC24" i="43"/>
  <c r="DC24" i="43" s="1"/>
  <c r="GB24" i="43"/>
  <c r="FW24" i="43"/>
  <c r="FV24" i="43"/>
  <c r="FQ24" i="43"/>
  <c r="FD24" i="43"/>
  <c r="EU24" i="43"/>
  <c r="ET24" i="43"/>
  <c r="EM24" i="43"/>
  <c r="EF24" i="43"/>
  <c r="EG24" i="43" s="1"/>
  <c r="DV24" i="43"/>
  <c r="DU24" i="43"/>
  <c r="DT24" i="43"/>
  <c r="DS24" i="43"/>
  <c r="DP24" i="43"/>
  <c r="Q21" i="45" s="1"/>
  <c r="R21" i="45" s="1"/>
  <c r="CW24" i="43"/>
  <c r="CG24" i="43"/>
  <c r="CD24" i="43" s="1"/>
  <c r="CB24" i="43"/>
  <c r="BE24" i="43"/>
  <c r="BI24" i="43"/>
  <c r="AT24" i="43"/>
  <c r="AL24" i="43"/>
  <c r="AG24" i="43"/>
  <c r="G21" i="45" s="1"/>
  <c r="AF24" i="43"/>
  <c r="F21" i="45" s="1"/>
  <c r="AE24" i="43"/>
  <c r="AD24" i="43"/>
  <c r="AC24" i="43"/>
  <c r="O24" i="43"/>
  <c r="J24" i="43"/>
  <c r="GH23" i="43"/>
  <c r="GF23" i="43"/>
  <c r="GD23" i="43"/>
  <c r="GC23" i="43"/>
  <c r="DC23" i="43" s="1"/>
  <c r="GB23" i="43"/>
  <c r="FW23" i="43"/>
  <c r="FV23" i="43"/>
  <c r="FQ23" i="43"/>
  <c r="FD23" i="43"/>
  <c r="P20" i="45" s="1"/>
  <c r="EU23" i="43"/>
  <c r="ET23" i="43"/>
  <c r="EM23" i="43"/>
  <c r="EF23" i="43"/>
  <c r="EG23" i="43" s="1"/>
  <c r="DV23" i="43"/>
  <c r="DU23" i="43"/>
  <c r="DT23" i="43"/>
  <c r="DS23" i="43"/>
  <c r="DP23" i="43"/>
  <c r="Q20" i="45" s="1"/>
  <c r="R20" i="45" s="1"/>
  <c r="DA23" i="43"/>
  <c r="CS23" i="43" s="1"/>
  <c r="CW23" i="43"/>
  <c r="CU23" i="43"/>
  <c r="CH23" i="43"/>
  <c r="CG23" i="43"/>
  <c r="CD23" i="43" s="1"/>
  <c r="CB23" i="43"/>
  <c r="BZ23" i="43"/>
  <c r="BM23" i="43"/>
  <c r="BE23" i="43" s="1"/>
  <c r="BI23" i="43"/>
  <c r="BG23" i="43"/>
  <c r="AT23" i="43"/>
  <c r="AL23" i="43"/>
  <c r="AG23" i="43"/>
  <c r="G20" i="45" s="1"/>
  <c r="AF23" i="43"/>
  <c r="F20" i="45" s="1"/>
  <c r="AE23" i="43"/>
  <c r="E20" i="45" s="1"/>
  <c r="AD23" i="43"/>
  <c r="AC23" i="43"/>
  <c r="O23" i="43"/>
  <c r="BQ23" i="43" s="1"/>
  <c r="GH22" i="43"/>
  <c r="GF22" i="43"/>
  <c r="GD22" i="43"/>
  <c r="GC22" i="43"/>
  <c r="DC22" i="43" s="1"/>
  <c r="GB22" i="43"/>
  <c r="FW22" i="43"/>
  <c r="FV22" i="43"/>
  <c r="FQ22" i="43"/>
  <c r="FD22" i="43"/>
  <c r="EU22" i="43"/>
  <c r="ET22" i="43"/>
  <c r="EM22" i="43"/>
  <c r="EF22" i="43"/>
  <c r="EG22" i="43" s="1"/>
  <c r="DV22" i="43"/>
  <c r="DU22" i="43"/>
  <c r="DT22" i="43"/>
  <c r="DS22" i="43"/>
  <c r="DP22" i="43"/>
  <c r="Q19" i="45" s="1"/>
  <c r="R19" i="45" s="1"/>
  <c r="DA22" i="43"/>
  <c r="CS22" i="43" s="1"/>
  <c r="CW22" i="43"/>
  <c r="CU22" i="43"/>
  <c r="CH22" i="43"/>
  <c r="CG22" i="43"/>
  <c r="CB22" i="43"/>
  <c r="BZ22" i="43"/>
  <c r="BM22" i="43"/>
  <c r="BE22" i="43" s="1"/>
  <c r="BI22" i="43"/>
  <c r="BG22" i="43"/>
  <c r="AT22" i="43"/>
  <c r="AL22" i="43"/>
  <c r="AG22" i="43"/>
  <c r="G19" i="45" s="1"/>
  <c r="AF22" i="43"/>
  <c r="F19" i="45" s="1"/>
  <c r="AE22" i="43"/>
  <c r="AD22" i="43"/>
  <c r="AC22" i="43"/>
  <c r="O22" i="43"/>
  <c r="J22" i="43"/>
  <c r="GH21" i="43"/>
  <c r="GF21" i="43"/>
  <c r="GD21" i="43"/>
  <c r="GC21" i="43"/>
  <c r="GB21" i="43"/>
  <c r="FW21" i="43"/>
  <c r="FV21" i="43"/>
  <c r="FQ21" i="43"/>
  <c r="FD21" i="43"/>
  <c r="P18" i="45" s="1"/>
  <c r="EU21" i="43"/>
  <c r="ET21" i="43"/>
  <c r="EM21" i="43"/>
  <c r="EF21" i="43"/>
  <c r="EG21" i="43" s="1"/>
  <c r="DV21" i="43"/>
  <c r="DU21" i="43"/>
  <c r="DT21" i="43"/>
  <c r="DS21" i="43"/>
  <c r="DP21" i="43"/>
  <c r="Q18" i="45" s="1"/>
  <c r="R18" i="45" s="1"/>
  <c r="DA21" i="43"/>
  <c r="CS21" i="43" s="1"/>
  <c r="CW21" i="43"/>
  <c r="CU21" i="43"/>
  <c r="CH21" i="43"/>
  <c r="CG21" i="43"/>
  <c r="CD21" i="43" s="1"/>
  <c r="CB21" i="43"/>
  <c r="BZ21" i="43"/>
  <c r="BM21" i="43"/>
  <c r="BE21" i="43" s="1"/>
  <c r="BI21" i="43"/>
  <c r="BG21" i="43"/>
  <c r="AT21" i="43"/>
  <c r="AL21" i="43"/>
  <c r="AG21" i="43"/>
  <c r="G18" i="45" s="1"/>
  <c r="AF21" i="43"/>
  <c r="F18" i="45" s="1"/>
  <c r="AE21" i="43"/>
  <c r="E18" i="45" s="1"/>
  <c r="AD21" i="43"/>
  <c r="AC21" i="43"/>
  <c r="O21" i="43"/>
  <c r="GH20" i="43"/>
  <c r="GF20" i="43"/>
  <c r="GD20" i="43"/>
  <c r="GC20" i="43"/>
  <c r="DC20" i="43" s="1"/>
  <c r="GB20" i="43"/>
  <c r="FW20" i="43"/>
  <c r="FV20" i="43"/>
  <c r="FQ20" i="43"/>
  <c r="FD20" i="43"/>
  <c r="P17" i="45" s="1"/>
  <c r="EU20" i="43"/>
  <c r="ET20" i="43"/>
  <c r="EM20" i="43"/>
  <c r="EF20" i="43"/>
  <c r="EG20" i="43" s="1"/>
  <c r="DV20" i="43"/>
  <c r="DU20" i="43"/>
  <c r="DT20" i="43"/>
  <c r="DS20" i="43"/>
  <c r="DP20" i="43"/>
  <c r="Q17" i="45" s="1"/>
  <c r="R17" i="45" s="1"/>
  <c r="DA20" i="43"/>
  <c r="CS20" i="43" s="1"/>
  <c r="CW20" i="43"/>
  <c r="CU20" i="43"/>
  <c r="CH20" i="43"/>
  <c r="CG20" i="43"/>
  <c r="CD20" i="43" s="1"/>
  <c r="CB20" i="43"/>
  <c r="BZ20" i="43"/>
  <c r="BM20" i="43"/>
  <c r="BE20" i="43" s="1"/>
  <c r="BI20" i="43"/>
  <c r="BG20" i="43"/>
  <c r="AT20" i="43"/>
  <c r="AL20" i="43"/>
  <c r="AG20" i="43"/>
  <c r="G17" i="45" s="1"/>
  <c r="AF20" i="43"/>
  <c r="F17" i="45" s="1"/>
  <c r="AE20" i="43"/>
  <c r="E17" i="45" s="1"/>
  <c r="AD20" i="43"/>
  <c r="AC20" i="43"/>
  <c r="O20" i="43"/>
  <c r="Z20" i="43" s="1"/>
  <c r="GH19" i="43"/>
  <c r="GF19" i="43"/>
  <c r="GD19" i="43"/>
  <c r="GC19" i="43"/>
  <c r="DC19" i="43" s="1"/>
  <c r="GB19" i="43"/>
  <c r="FW19" i="43"/>
  <c r="FV19" i="43"/>
  <c r="FQ19" i="43"/>
  <c r="FD19" i="43"/>
  <c r="P16" i="45" s="1"/>
  <c r="EU19" i="43"/>
  <c r="ET19" i="43"/>
  <c r="EM19" i="43"/>
  <c r="EF19" i="43"/>
  <c r="EG19" i="43" s="1"/>
  <c r="DV19" i="43"/>
  <c r="DU19" i="43"/>
  <c r="DT19" i="43"/>
  <c r="DS19" i="43"/>
  <c r="DP19" i="43"/>
  <c r="Q16" i="45" s="1"/>
  <c r="R16" i="45" s="1"/>
  <c r="DA19" i="43"/>
  <c r="CS19" i="43" s="1"/>
  <c r="CW19" i="43"/>
  <c r="CU19" i="43"/>
  <c r="CH19" i="43"/>
  <c r="CG19" i="43"/>
  <c r="CD19" i="43" s="1"/>
  <c r="CB19" i="43"/>
  <c r="BZ19" i="43"/>
  <c r="BM19" i="43"/>
  <c r="BE19" i="43" s="1"/>
  <c r="BI19" i="43"/>
  <c r="BG19" i="43"/>
  <c r="AT19" i="43"/>
  <c r="AL19" i="43"/>
  <c r="AG19" i="43"/>
  <c r="G16" i="45" s="1"/>
  <c r="AF19" i="43"/>
  <c r="F16" i="45" s="1"/>
  <c r="AE19" i="43"/>
  <c r="E16" i="45" s="1"/>
  <c r="AD19" i="43"/>
  <c r="AC19" i="43"/>
  <c r="O19" i="43"/>
  <c r="J19" i="43"/>
  <c r="GH18" i="43"/>
  <c r="GF18" i="43"/>
  <c r="GD18" i="43"/>
  <c r="GC18" i="43"/>
  <c r="AJ18" i="43" s="1"/>
  <c r="AK18" i="43" s="1"/>
  <c r="C15" i="45" s="1"/>
  <c r="GB18" i="43"/>
  <c r="FW18" i="43"/>
  <c r="FV18" i="43"/>
  <c r="FQ18" i="43"/>
  <c r="FD18" i="43"/>
  <c r="EU18" i="43"/>
  <c r="ET18" i="43"/>
  <c r="EM18" i="43"/>
  <c r="EF18" i="43"/>
  <c r="EG18" i="43" s="1"/>
  <c r="DV18" i="43"/>
  <c r="DU18" i="43"/>
  <c r="DT18" i="43"/>
  <c r="DS18" i="43"/>
  <c r="DP18" i="43"/>
  <c r="Q15" i="45" s="1"/>
  <c r="R15" i="45" s="1"/>
  <c r="CG18" i="43"/>
  <c r="CD18" i="43" s="1"/>
  <c r="AP18" i="43" s="1"/>
  <c r="CB18" i="43"/>
  <c r="BE18" i="43"/>
  <c r="BI18" i="43"/>
  <c r="AT18" i="43"/>
  <c r="AL18" i="43"/>
  <c r="AG18" i="43"/>
  <c r="G15" i="45" s="1"/>
  <c r="AF18" i="43"/>
  <c r="F15" i="45" s="1"/>
  <c r="AE18" i="43"/>
  <c r="AD18" i="43"/>
  <c r="AC18" i="43"/>
  <c r="O18" i="43"/>
  <c r="GH17" i="43"/>
  <c r="GF17" i="43"/>
  <c r="GD17" i="43"/>
  <c r="GC17" i="43"/>
  <c r="DC17" i="43" s="1"/>
  <c r="GB17" i="43"/>
  <c r="FW17" i="43"/>
  <c r="FV17" i="43"/>
  <c r="FQ17" i="43"/>
  <c r="FD17" i="43"/>
  <c r="P389" i="45" s="1"/>
  <c r="EU17" i="43"/>
  <c r="ET17" i="43"/>
  <c r="EM17" i="43"/>
  <c r="EF17" i="43"/>
  <c r="EG17" i="43" s="1"/>
  <c r="DV17" i="43"/>
  <c r="DU17" i="43"/>
  <c r="DT17" i="43"/>
  <c r="DS17" i="43"/>
  <c r="DP17" i="43"/>
  <c r="Q389" i="45" s="1"/>
  <c r="R389" i="45" s="1"/>
  <c r="S389" i="45" s="1"/>
  <c r="CW17" i="43"/>
  <c r="CG17" i="43"/>
  <c r="CD17" i="43" s="1"/>
  <c r="AR17" i="43" s="1"/>
  <c r="CB17" i="43"/>
  <c r="BI17" i="43"/>
  <c r="AT17" i="43"/>
  <c r="AL17" i="43"/>
  <c r="AG17" i="43"/>
  <c r="G14" i="45" s="1"/>
  <c r="AF17" i="43"/>
  <c r="AE17" i="43"/>
  <c r="E389" i="45" s="1"/>
  <c r="AD17" i="43"/>
  <c r="AC17" i="43"/>
  <c r="O17" i="43"/>
  <c r="J17" i="43"/>
  <c r="GH16" i="43"/>
  <c r="GF16" i="43"/>
  <c r="GD16" i="43"/>
  <c r="GC16" i="43"/>
  <c r="DC16" i="43" s="1"/>
  <c r="GB16" i="43"/>
  <c r="FW16" i="43"/>
  <c r="FV16" i="43"/>
  <c r="FQ16" i="43"/>
  <c r="FD16" i="43"/>
  <c r="EU16" i="43"/>
  <c r="ET16" i="43"/>
  <c r="EM16" i="43"/>
  <c r="EF16" i="43"/>
  <c r="EG16" i="43" s="1"/>
  <c r="DV16" i="43"/>
  <c r="DU16" i="43"/>
  <c r="DT16" i="43"/>
  <c r="DS16" i="43"/>
  <c r="DP16" i="43"/>
  <c r="DA16" i="43"/>
  <c r="CS16" i="43" s="1"/>
  <c r="CW16" i="43"/>
  <c r="CU16" i="43"/>
  <c r="CH16" i="43"/>
  <c r="CG16" i="43"/>
  <c r="CD16" i="43" s="1"/>
  <c r="CB16" i="43"/>
  <c r="BZ16" i="43"/>
  <c r="BE16" i="43"/>
  <c r="BI16" i="43"/>
  <c r="BG16" i="43"/>
  <c r="AT16" i="43"/>
  <c r="AL16" i="43"/>
  <c r="AG16" i="43"/>
  <c r="G13" i="45" s="1"/>
  <c r="AF16" i="43"/>
  <c r="F13" i="45" s="1"/>
  <c r="AE16" i="43"/>
  <c r="E13" i="45" s="1"/>
  <c r="AD16" i="43"/>
  <c r="AC16" i="43"/>
  <c r="O16" i="43"/>
  <c r="J16" i="43"/>
  <c r="GH15" i="43"/>
  <c r="GF15" i="43"/>
  <c r="GD15" i="43"/>
  <c r="GC15" i="43"/>
  <c r="DC15" i="43" s="1"/>
  <c r="GB15" i="43"/>
  <c r="FW15" i="43"/>
  <c r="FV15" i="43"/>
  <c r="FQ15" i="43"/>
  <c r="FD15" i="43"/>
  <c r="P387" i="45" s="1"/>
  <c r="EU15" i="43"/>
  <c r="ET15" i="43"/>
  <c r="EM15" i="43"/>
  <c r="EF15" i="43"/>
  <c r="EG15" i="43" s="1"/>
  <c r="DV15" i="43"/>
  <c r="DU15" i="43"/>
  <c r="DT15" i="43"/>
  <c r="DS15" i="43"/>
  <c r="DP15" i="43"/>
  <c r="Q12" i="45" s="1"/>
  <c r="R12" i="45" s="1"/>
  <c r="DA15" i="43"/>
  <c r="CS15" i="43" s="1"/>
  <c r="CW15" i="43"/>
  <c r="CU15" i="43"/>
  <c r="CH15" i="43"/>
  <c r="CG15" i="43"/>
  <c r="CD15" i="43" s="1"/>
  <c r="CB15" i="43"/>
  <c r="BZ15" i="43"/>
  <c r="BM15" i="43"/>
  <c r="BE15" i="43" s="1"/>
  <c r="BI15" i="43"/>
  <c r="BG15" i="43"/>
  <c r="AT15" i="43"/>
  <c r="AL15" i="43"/>
  <c r="AG15" i="43"/>
  <c r="G12" i="45" s="1"/>
  <c r="AF15" i="43"/>
  <c r="F387" i="45" s="1"/>
  <c r="AE15" i="43"/>
  <c r="E387" i="45" s="1"/>
  <c r="AD15" i="43"/>
  <c r="AC15" i="43"/>
  <c r="O15" i="43"/>
  <c r="GH14" i="43"/>
  <c r="GF14" i="43"/>
  <c r="GD14" i="43"/>
  <c r="GC14" i="43"/>
  <c r="CJ14" i="43" s="1"/>
  <c r="GB14" i="43"/>
  <c r="FW14" i="43"/>
  <c r="FV14" i="43"/>
  <c r="FQ14" i="43"/>
  <c r="FD14" i="43"/>
  <c r="EU14" i="43"/>
  <c r="ET14" i="43"/>
  <c r="EM14" i="43"/>
  <c r="EF14" i="43"/>
  <c r="EG14" i="43" s="1"/>
  <c r="DV14" i="43"/>
  <c r="DU14" i="43"/>
  <c r="DT14" i="43"/>
  <c r="DS14" i="43"/>
  <c r="DP14" i="43"/>
  <c r="Q11" i="45" s="1"/>
  <c r="R11" i="45" s="1"/>
  <c r="DA14" i="43"/>
  <c r="CS14" i="43" s="1"/>
  <c r="CW14" i="43"/>
  <c r="CU14" i="43"/>
  <c r="CH14" i="43"/>
  <c r="CG14" i="43"/>
  <c r="CB14" i="43"/>
  <c r="BZ14" i="43"/>
  <c r="BM14" i="43"/>
  <c r="BE14" i="43" s="1"/>
  <c r="BI14" i="43"/>
  <c r="BG14" i="43"/>
  <c r="AT14" i="43"/>
  <c r="AL14" i="43"/>
  <c r="AG14" i="43"/>
  <c r="G11" i="45" s="1"/>
  <c r="AF14" i="43"/>
  <c r="F11" i="45" s="1"/>
  <c r="AE14" i="43"/>
  <c r="AD14" i="43"/>
  <c r="AC14" i="43"/>
  <c r="O14" i="43"/>
  <c r="M11" i="45"/>
  <c r="N11" i="45"/>
  <c r="GH13" i="43"/>
  <c r="GF13" i="43"/>
  <c r="GD13" i="43"/>
  <c r="GC13" i="43"/>
  <c r="DC13" i="43" s="1"/>
  <c r="GB13" i="43"/>
  <c r="FW13" i="43"/>
  <c r="FV13" i="43"/>
  <c r="FQ13" i="43"/>
  <c r="FD13" i="43"/>
  <c r="EU13" i="43"/>
  <c r="ET13" i="43"/>
  <c r="EM13" i="43"/>
  <c r="EF13" i="43"/>
  <c r="EG13" i="43" s="1"/>
  <c r="DV13" i="43"/>
  <c r="DU13" i="43"/>
  <c r="DT13" i="43"/>
  <c r="DS13" i="43"/>
  <c r="DP13" i="43"/>
  <c r="Q10" i="45" s="1"/>
  <c r="R10" i="45" s="1"/>
  <c r="DA13" i="43"/>
  <c r="CS13" i="43" s="1"/>
  <c r="CW13" i="43"/>
  <c r="CU13" i="43"/>
  <c r="CH13" i="43"/>
  <c r="CG13" i="43"/>
  <c r="CD13" i="43" s="1"/>
  <c r="CB13" i="43"/>
  <c r="BZ13" i="43"/>
  <c r="BM13" i="43"/>
  <c r="BE13" i="43" s="1"/>
  <c r="BI13" i="43"/>
  <c r="BG13" i="43"/>
  <c r="AT13" i="43"/>
  <c r="AL13" i="43"/>
  <c r="AG13" i="43"/>
  <c r="G10" i="45" s="1"/>
  <c r="AF13" i="43"/>
  <c r="F10" i="45" s="1"/>
  <c r="AE13" i="43"/>
  <c r="AD13" i="43"/>
  <c r="AC13" i="43"/>
  <c r="O13" i="43"/>
  <c r="FO13" i="43" s="1"/>
  <c r="M10" i="45"/>
  <c r="N10" i="45"/>
  <c r="GH12" i="43"/>
  <c r="GF12" i="43"/>
  <c r="GD12" i="43"/>
  <c r="GC12" i="43"/>
  <c r="CJ12" i="43" s="1"/>
  <c r="GB12" i="43"/>
  <c r="FW12" i="43"/>
  <c r="FV12" i="43"/>
  <c r="FQ12" i="43"/>
  <c r="FD12" i="43"/>
  <c r="P9" i="45" s="1"/>
  <c r="EU12" i="43"/>
  <c r="ET12" i="43"/>
  <c r="EM12" i="43"/>
  <c r="EF12" i="43"/>
  <c r="EG12" i="43" s="1"/>
  <c r="DV12" i="43"/>
  <c r="DU12" i="43"/>
  <c r="DT12" i="43"/>
  <c r="DS12" i="43"/>
  <c r="DP12" i="43"/>
  <c r="Q9" i="45" s="1"/>
  <c r="R9" i="45" s="1"/>
  <c r="DA12" i="43"/>
  <c r="CS12" i="43" s="1"/>
  <c r="CW12" i="43"/>
  <c r="CU12" i="43"/>
  <c r="CH12" i="43"/>
  <c r="CG12" i="43"/>
  <c r="CB12" i="43"/>
  <c r="BZ12" i="43"/>
  <c r="BM12" i="43"/>
  <c r="BE12" i="43" s="1"/>
  <c r="BI12" i="43"/>
  <c r="BG12" i="43"/>
  <c r="AT12" i="43"/>
  <c r="AL12" i="43"/>
  <c r="AG12" i="43"/>
  <c r="G9" i="45" s="1"/>
  <c r="AF12" i="43"/>
  <c r="F9" i="45" s="1"/>
  <c r="AE12" i="43"/>
  <c r="E9" i="45" s="1"/>
  <c r="AD12" i="43"/>
  <c r="AC12" i="43"/>
  <c r="O12" i="43"/>
  <c r="M9" i="45"/>
  <c r="N9" i="45"/>
  <c r="GH11" i="43"/>
  <c r="GF11" i="43"/>
  <c r="GD11" i="43"/>
  <c r="GC11" i="43"/>
  <c r="CJ11" i="43" s="1"/>
  <c r="GB11" i="43"/>
  <c r="FW11" i="43"/>
  <c r="FV11" i="43"/>
  <c r="FQ11" i="43"/>
  <c r="FD11" i="43"/>
  <c r="EU11" i="43"/>
  <c r="ET11" i="43"/>
  <c r="EM11" i="43"/>
  <c r="EF11" i="43"/>
  <c r="DV11" i="43"/>
  <c r="DU11" i="43"/>
  <c r="DT11" i="43"/>
  <c r="DS11" i="43"/>
  <c r="DP11" i="43"/>
  <c r="Q8" i="45" s="1"/>
  <c r="R8" i="45" s="1"/>
  <c r="DA11" i="43"/>
  <c r="CS11" i="43" s="1"/>
  <c r="CW11" i="43"/>
  <c r="CU11" i="43"/>
  <c r="CH11" i="43"/>
  <c r="CG11" i="43"/>
  <c r="CD11" i="43" s="1"/>
  <c r="CB11" i="43"/>
  <c r="BZ11" i="43"/>
  <c r="BM11" i="43"/>
  <c r="BE11" i="43" s="1"/>
  <c r="BI11" i="43"/>
  <c r="BG11" i="43"/>
  <c r="BA11" i="43"/>
  <c r="AT11" i="43"/>
  <c r="AL11" i="43"/>
  <c r="AG11" i="43"/>
  <c r="G8" i="45" s="1"/>
  <c r="AF11" i="43"/>
  <c r="F8" i="45" s="1"/>
  <c r="AE11" i="43"/>
  <c r="AD11" i="43"/>
  <c r="AC11" i="43"/>
  <c r="O11" i="43"/>
  <c r="DE11" i="43" s="1"/>
  <c r="L11" i="43"/>
  <c r="E11" i="43"/>
  <c r="M8" i="45" s="1"/>
  <c r="D11" i="43"/>
  <c r="N8" i="45" s="1"/>
  <c r="Q7" i="45"/>
  <c r="R7" i="45" s="1"/>
  <c r="G7" i="45"/>
  <c r="E7" i="45"/>
  <c r="M7" i="45"/>
  <c r="GG12" i="43"/>
  <c r="GG13" i="43" s="1"/>
  <c r="GG14" i="43" s="1"/>
  <c r="GG15" i="43" s="1"/>
  <c r="GG16" i="43" s="1"/>
  <c r="GG17" i="43" s="1"/>
  <c r="GG18" i="43" s="1"/>
  <c r="GG19" i="43" s="1"/>
  <c r="GG20" i="43" s="1"/>
  <c r="GG21" i="43" s="1"/>
  <c r="GG22" i="43" s="1"/>
  <c r="GG23" i="43" s="1"/>
  <c r="GG24" i="43" s="1"/>
  <c r="GG25" i="43" s="1"/>
  <c r="GG26" i="43" s="1"/>
  <c r="GG27" i="43" s="1"/>
  <c r="GG28" i="43" s="1"/>
  <c r="GG29" i="43" s="1"/>
  <c r="GG30" i="43" s="1"/>
  <c r="GG31" i="43" s="1"/>
  <c r="GG32" i="43" s="1"/>
  <c r="GG33" i="43" s="1"/>
  <c r="GG34" i="43" s="1"/>
  <c r="GG35" i="43" s="1"/>
  <c r="GG36" i="43" s="1"/>
  <c r="GG37" i="43" s="1"/>
  <c r="GG38" i="43" s="1"/>
  <c r="GG39" i="43" s="1"/>
  <c r="GG40" i="43" s="1"/>
  <c r="GG41" i="43" s="1"/>
  <c r="GG42" i="43" s="1"/>
  <c r="GG43" i="43" s="1"/>
  <c r="GG44" i="43" s="1"/>
  <c r="GG45" i="43" s="1"/>
  <c r="GG46" i="43" s="1"/>
  <c r="GG47" i="43" s="1"/>
  <c r="GG48" i="43" s="1"/>
  <c r="GG49" i="43" s="1"/>
  <c r="GG50" i="43" s="1"/>
  <c r="GG51" i="43" s="1"/>
  <c r="GG52" i="43" s="1"/>
  <c r="GG53" i="43" s="1"/>
  <c r="GG54" i="43" s="1"/>
  <c r="GG55" i="43" s="1"/>
  <c r="GG56" i="43" s="1"/>
  <c r="GG57" i="43" s="1"/>
  <c r="GG58" i="43" s="1"/>
  <c r="GG59" i="43" s="1"/>
  <c r="GG60" i="43" s="1"/>
  <c r="GG61" i="43" s="1"/>
  <c r="GG62" i="43" s="1"/>
  <c r="GG63" i="43" s="1"/>
  <c r="GG64" i="43" s="1"/>
  <c r="GG65" i="43" s="1"/>
  <c r="GG66" i="43" s="1"/>
  <c r="GG67" i="43" s="1"/>
  <c r="GG68" i="43" s="1"/>
  <c r="GG69" i="43" s="1"/>
  <c r="GG70" i="43" s="1"/>
  <c r="GG71" i="43" s="1"/>
  <c r="GG72" i="43" s="1"/>
  <c r="GG73" i="43" s="1"/>
  <c r="GG74" i="43" s="1"/>
  <c r="GG75" i="43" s="1"/>
  <c r="GG76" i="43" s="1"/>
  <c r="GG77" i="43" s="1"/>
  <c r="GG78" i="43" s="1"/>
  <c r="GG79" i="43" s="1"/>
  <c r="GG80" i="43" s="1"/>
  <c r="GG81" i="43" s="1"/>
  <c r="GG82" i="43" s="1"/>
  <c r="GG83" i="43" s="1"/>
  <c r="GG84" i="43" s="1"/>
  <c r="GG85" i="43" s="1"/>
  <c r="GG86" i="43" s="1"/>
  <c r="GG87" i="43" s="1"/>
  <c r="GG88" i="43" s="1"/>
  <c r="GG89" i="43" s="1"/>
  <c r="GG90" i="43" s="1"/>
  <c r="GG91" i="43" s="1"/>
  <c r="GG92" i="43" s="1"/>
  <c r="GG93" i="43" s="1"/>
  <c r="GG94" i="43" s="1"/>
  <c r="GG95" i="43" s="1"/>
  <c r="GG96" i="43" s="1"/>
  <c r="GG97" i="43" s="1"/>
  <c r="GG98" i="43" s="1"/>
  <c r="GG99" i="43" s="1"/>
  <c r="GG100" i="43" s="1"/>
  <c r="GG101" i="43" s="1"/>
  <c r="GG102" i="43" s="1"/>
  <c r="GG103" i="43" s="1"/>
  <c r="GG104" i="43" s="1"/>
  <c r="GG105" i="43" s="1"/>
  <c r="GG106" i="43" s="1"/>
  <c r="GG107" i="43" s="1"/>
  <c r="GG108" i="43" s="1"/>
  <c r="GG109" i="43" s="1"/>
  <c r="GG110" i="43" s="1"/>
  <c r="GG111" i="43" s="1"/>
  <c r="GG112" i="43" s="1"/>
  <c r="GG113" i="43" s="1"/>
  <c r="GG114" i="43" s="1"/>
  <c r="GG115" i="43" s="1"/>
  <c r="GG116" i="43" s="1"/>
  <c r="GG117" i="43" s="1"/>
  <c r="GG118" i="43" s="1"/>
  <c r="GG119" i="43" s="1"/>
  <c r="GG120" i="43" s="1"/>
  <c r="GG121" i="43" s="1"/>
  <c r="GG122" i="43" s="1"/>
  <c r="GG123" i="43" s="1"/>
  <c r="GG124" i="43" s="1"/>
  <c r="GG125" i="43" s="1"/>
  <c r="GG126" i="43" s="1"/>
  <c r="GG127" i="43" s="1"/>
  <c r="GG128" i="43" s="1"/>
  <c r="GG129" i="43" s="1"/>
  <c r="GG130" i="43" s="1"/>
  <c r="GG131" i="43" s="1"/>
  <c r="GG132" i="43" s="1"/>
  <c r="GG133" i="43" s="1"/>
  <c r="GG134" i="43" s="1"/>
  <c r="GG135" i="43" s="1"/>
  <c r="GG136" i="43" s="1"/>
  <c r="GG137" i="43" s="1"/>
  <c r="GG138" i="43" s="1"/>
  <c r="GG139" i="43" s="1"/>
  <c r="GG140" i="43" s="1"/>
  <c r="GG141" i="43" s="1"/>
  <c r="GG142" i="43" s="1"/>
  <c r="GG143" i="43" s="1"/>
  <c r="GG144" i="43" s="1"/>
  <c r="GG145" i="43" s="1"/>
  <c r="GG146" i="43" s="1"/>
  <c r="GG147" i="43" s="1"/>
  <c r="GG148" i="43" s="1"/>
  <c r="GG149" i="43" s="1"/>
  <c r="GG150" i="43" s="1"/>
  <c r="GG151" i="43" s="1"/>
  <c r="GG152" i="43" s="1"/>
  <c r="GG153" i="43" s="1"/>
  <c r="GG154" i="43" s="1"/>
  <c r="GG155" i="43" s="1"/>
  <c r="GG156" i="43" s="1"/>
  <c r="GG157" i="43" s="1"/>
  <c r="GG158" i="43" s="1"/>
  <c r="GG159" i="43" s="1"/>
  <c r="GG160" i="43" s="1"/>
  <c r="GG161" i="43" s="1"/>
  <c r="GG162" i="43" s="1"/>
  <c r="GG163" i="43" s="1"/>
  <c r="GG164" i="43" s="1"/>
  <c r="GG165" i="43" s="1"/>
  <c r="GG166" i="43" s="1"/>
  <c r="GG167" i="43" s="1"/>
  <c r="GG168" i="43" s="1"/>
  <c r="FE11" i="43"/>
  <c r="FE12" i="43" s="1"/>
  <c r="FE13" i="43" s="1"/>
  <c r="FE14" i="43" s="1"/>
  <c r="FE15" i="43" s="1"/>
  <c r="FE16" i="43" s="1"/>
  <c r="FE17" i="43" s="1"/>
  <c r="FE18" i="43" s="1"/>
  <c r="FE19" i="43" s="1"/>
  <c r="FE20" i="43" s="1"/>
  <c r="FE21" i="43" s="1"/>
  <c r="FE22" i="43" s="1"/>
  <c r="FE23" i="43" s="1"/>
  <c r="FE24" i="43" s="1"/>
  <c r="FE25" i="43" s="1"/>
  <c r="FE26" i="43" s="1"/>
  <c r="FE27" i="43" s="1"/>
  <c r="FE28" i="43" s="1"/>
  <c r="FE29" i="43" s="1"/>
  <c r="FE30" i="43" s="1"/>
  <c r="FE31" i="43" s="1"/>
  <c r="FE32" i="43" s="1"/>
  <c r="FE33" i="43" s="1"/>
  <c r="FE34" i="43" s="1"/>
  <c r="FE35" i="43" s="1"/>
  <c r="FE36" i="43" s="1"/>
  <c r="FE37" i="43" s="1"/>
  <c r="FE38" i="43" s="1"/>
  <c r="FE39" i="43" s="1"/>
  <c r="FE40" i="43" s="1"/>
  <c r="FE41" i="43" s="1"/>
  <c r="FE42" i="43" s="1"/>
  <c r="FE43" i="43" s="1"/>
  <c r="FE44" i="43" s="1"/>
  <c r="FE45" i="43" s="1"/>
  <c r="FE46" i="43" s="1"/>
  <c r="FE47" i="43" s="1"/>
  <c r="FE48" i="43" s="1"/>
  <c r="FE49" i="43" s="1"/>
  <c r="FE50" i="43" s="1"/>
  <c r="FE51" i="43" s="1"/>
  <c r="FE52" i="43" s="1"/>
  <c r="FE53" i="43" s="1"/>
  <c r="FE54" i="43" s="1"/>
  <c r="FE55" i="43" s="1"/>
  <c r="FE56" i="43" s="1"/>
  <c r="FE57" i="43" s="1"/>
  <c r="FE58" i="43" s="1"/>
  <c r="FE59" i="43" s="1"/>
  <c r="FE60" i="43" s="1"/>
  <c r="FE61" i="43" s="1"/>
  <c r="FE62" i="43" s="1"/>
  <c r="FE63" i="43" s="1"/>
  <c r="FE64" i="43" s="1"/>
  <c r="FE65" i="43" s="1"/>
  <c r="FE66" i="43" s="1"/>
  <c r="FE67" i="43" s="1"/>
  <c r="FE68" i="43" s="1"/>
  <c r="FE69" i="43" s="1"/>
  <c r="FE70" i="43" s="1"/>
  <c r="FE71" i="43" s="1"/>
  <c r="FE72" i="43" s="1"/>
  <c r="FE73" i="43" s="1"/>
  <c r="FE74" i="43" s="1"/>
  <c r="FE75" i="43" s="1"/>
  <c r="FE76" i="43" s="1"/>
  <c r="FE77" i="43" s="1"/>
  <c r="FE78" i="43" s="1"/>
  <c r="FE79" i="43" s="1"/>
  <c r="FE80" i="43" s="1"/>
  <c r="FE81" i="43" s="1"/>
  <c r="FE82" i="43" s="1"/>
  <c r="FE83" i="43" s="1"/>
  <c r="FE84" i="43" s="1"/>
  <c r="FE85" i="43" s="1"/>
  <c r="FE86" i="43" s="1"/>
  <c r="FE87" i="43" s="1"/>
  <c r="FE88" i="43" s="1"/>
  <c r="FE89" i="43" s="1"/>
  <c r="FE90" i="43" s="1"/>
  <c r="FE91" i="43" s="1"/>
  <c r="FE92" i="43" s="1"/>
  <c r="FE93" i="43" s="1"/>
  <c r="FE94" i="43" s="1"/>
  <c r="FE95" i="43" s="1"/>
  <c r="FE96" i="43" s="1"/>
  <c r="FE97" i="43" s="1"/>
  <c r="FE98" i="43" s="1"/>
  <c r="FE99" i="43" s="1"/>
  <c r="FE100" i="43" s="1"/>
  <c r="FE101" i="43" s="1"/>
  <c r="FE102" i="43" s="1"/>
  <c r="FE103" i="43" s="1"/>
  <c r="FE104" i="43" s="1"/>
  <c r="FE105" i="43" s="1"/>
  <c r="FE106" i="43" s="1"/>
  <c r="FE107" i="43" s="1"/>
  <c r="FE108" i="43" s="1"/>
  <c r="FE109" i="43" s="1"/>
  <c r="FE110" i="43" s="1"/>
  <c r="FE111" i="43" s="1"/>
  <c r="FE112" i="43" s="1"/>
  <c r="FE113" i="43" s="1"/>
  <c r="FE114" i="43" s="1"/>
  <c r="FE115" i="43" s="1"/>
  <c r="FE116" i="43" s="1"/>
  <c r="FE117" i="43" s="1"/>
  <c r="FE118" i="43" s="1"/>
  <c r="FE119" i="43" s="1"/>
  <c r="FE120" i="43" s="1"/>
  <c r="FE121" i="43" s="1"/>
  <c r="FE122" i="43" s="1"/>
  <c r="FE123" i="43" s="1"/>
  <c r="FE124" i="43" s="1"/>
  <c r="FE125" i="43" s="1"/>
  <c r="FE126" i="43" s="1"/>
  <c r="FE127" i="43" s="1"/>
  <c r="FE128" i="43" s="1"/>
  <c r="FE129" i="43" s="1"/>
  <c r="FE130" i="43" s="1"/>
  <c r="FE131" i="43" s="1"/>
  <c r="FE132" i="43" s="1"/>
  <c r="FE133" i="43" s="1"/>
  <c r="FE134" i="43" s="1"/>
  <c r="FE135" i="43" s="1"/>
  <c r="FE136" i="43" s="1"/>
  <c r="FE137" i="43" s="1"/>
  <c r="FE138" i="43" s="1"/>
  <c r="FE139" i="43" s="1"/>
  <c r="FE140" i="43" s="1"/>
  <c r="FE141" i="43" s="1"/>
  <c r="FE142" i="43" s="1"/>
  <c r="FE143" i="43" s="1"/>
  <c r="FE144" i="43" s="1"/>
  <c r="FE145" i="43" s="1"/>
  <c r="FE146" i="43" s="1"/>
  <c r="FE147" i="43" s="1"/>
  <c r="FE148" i="43" s="1"/>
  <c r="FE149" i="43" s="1"/>
  <c r="FE150" i="43" s="1"/>
  <c r="FE151" i="43" s="1"/>
  <c r="FE152" i="43" s="1"/>
  <c r="FE153" i="43" s="1"/>
  <c r="FE154" i="43" s="1"/>
  <c r="FE155" i="43" s="1"/>
  <c r="FE156" i="43" s="1"/>
  <c r="FE157" i="43" s="1"/>
  <c r="FE158" i="43" s="1"/>
  <c r="FE159" i="43" s="1"/>
  <c r="FE160" i="43" s="1"/>
  <c r="FE161" i="43" s="1"/>
  <c r="FE162" i="43" s="1"/>
  <c r="FE163" i="43" s="1"/>
  <c r="FE164" i="43" s="1"/>
  <c r="FE165" i="43" s="1"/>
  <c r="FE166" i="43" s="1"/>
  <c r="FE167" i="43" s="1"/>
  <c r="FE168" i="43" s="1"/>
  <c r="FE169" i="43" s="1"/>
  <c r="FE170" i="43" s="1"/>
  <c r="FE171" i="43" s="1"/>
  <c r="FE172" i="43" s="1"/>
  <c r="FE173" i="43" s="1"/>
  <c r="FE174" i="43" s="1"/>
  <c r="FE175" i="43" s="1"/>
  <c r="FE176" i="43" s="1"/>
  <c r="FE177" i="43" s="1"/>
  <c r="FE178" i="43" s="1"/>
  <c r="FE179" i="43" s="1"/>
  <c r="FE180" i="43" s="1"/>
  <c r="FE181" i="43" s="1"/>
  <c r="FE182" i="43" s="1"/>
  <c r="FE183" i="43" s="1"/>
  <c r="FE184" i="43" s="1"/>
  <c r="FE185" i="43" s="1"/>
  <c r="FE186" i="43" s="1"/>
  <c r="FE187" i="43" s="1"/>
  <c r="FE188" i="43" s="1"/>
  <c r="FE189" i="43" s="1"/>
  <c r="FE190" i="43" s="1"/>
  <c r="FE191" i="43" s="1"/>
  <c r="FE192" i="43" s="1"/>
  <c r="FE193" i="43" s="1"/>
  <c r="FE194" i="43" s="1"/>
  <c r="FE195" i="43" s="1"/>
  <c r="FE196" i="43" s="1"/>
  <c r="FE197" i="43" s="1"/>
  <c r="FE198" i="43" s="1"/>
  <c r="FE199" i="43" s="1"/>
  <c r="FE200" i="43" s="1"/>
  <c r="FE201" i="43" s="1"/>
  <c r="FE202" i="43" s="1"/>
  <c r="FE203" i="43" s="1"/>
  <c r="FE204" i="43" s="1"/>
  <c r="FE205" i="43" s="1"/>
  <c r="FE206" i="43" s="1"/>
  <c r="FE207" i="43" s="1"/>
  <c r="FE208" i="43" s="1"/>
  <c r="FE209" i="43" s="1"/>
  <c r="FE210" i="43" s="1"/>
  <c r="FE211" i="43" s="1"/>
  <c r="FE212" i="43" s="1"/>
  <c r="FE213" i="43" s="1"/>
  <c r="FE214" i="43" s="1"/>
  <c r="FE215" i="43" s="1"/>
  <c r="FE216" i="43" s="1"/>
  <c r="FE217" i="43" s="1"/>
  <c r="FE218" i="43" s="1"/>
  <c r="FE219" i="43" s="1"/>
  <c r="FE220" i="43" s="1"/>
  <c r="FE221" i="43" s="1"/>
  <c r="FE222" i="43" s="1"/>
  <c r="FE223" i="43" s="1"/>
  <c r="FE224" i="43" s="1"/>
  <c r="FE225" i="43" s="1"/>
  <c r="FE226" i="43" s="1"/>
  <c r="FE227" i="43" s="1"/>
  <c r="FE228" i="43" s="1"/>
  <c r="FE229" i="43" s="1"/>
  <c r="FE230" i="43" s="1"/>
  <c r="FE231" i="43" s="1"/>
  <c r="FE232" i="43" s="1"/>
  <c r="FE233" i="43" s="1"/>
  <c r="FE234" i="43" s="1"/>
  <c r="FE235" i="43" s="1"/>
  <c r="FE236" i="43" s="1"/>
  <c r="FE237" i="43" s="1"/>
  <c r="FE238" i="43" s="1"/>
  <c r="FE239" i="43" s="1"/>
  <c r="FE240" i="43" s="1"/>
  <c r="FE241" i="43" s="1"/>
  <c r="FE242" i="43" s="1"/>
  <c r="FE243" i="43" s="1"/>
  <c r="FE244" i="43" s="1"/>
  <c r="FE245" i="43" s="1"/>
  <c r="FE246" i="43" s="1"/>
  <c r="FE247" i="43" s="1"/>
  <c r="FE248" i="43" s="1"/>
  <c r="FE249" i="43" s="1"/>
  <c r="FE250" i="43" s="1"/>
  <c r="FE251" i="43" s="1"/>
  <c r="FE252" i="43" s="1"/>
  <c r="FE253" i="43" s="1"/>
  <c r="FE254" i="43" s="1"/>
  <c r="FE255" i="43" s="1"/>
  <c r="FE256" i="43" s="1"/>
  <c r="FE257" i="43" s="1"/>
  <c r="FE258" i="43" s="1"/>
  <c r="FE259" i="43" s="1"/>
  <c r="FE260" i="43" s="1"/>
  <c r="FE261" i="43" s="1"/>
  <c r="FE262" i="43" s="1"/>
  <c r="FE263" i="43" s="1"/>
  <c r="FE264" i="43" s="1"/>
  <c r="FE265" i="43" s="1"/>
  <c r="FE266" i="43" s="1"/>
  <c r="FE267" i="43" s="1"/>
  <c r="FE268" i="43" s="1"/>
  <c r="FE269" i="43" s="1"/>
  <c r="FE270" i="43" s="1"/>
  <c r="FE271" i="43" s="1"/>
  <c r="FE272" i="43" s="1"/>
  <c r="FE273" i="43" s="1"/>
  <c r="FE274" i="43" s="1"/>
  <c r="FE275" i="43" s="1"/>
  <c r="FE276" i="43" s="1"/>
  <c r="FE277" i="43" s="1"/>
  <c r="FE278" i="43" s="1"/>
  <c r="FE279" i="43" s="1"/>
  <c r="FE280" i="43" s="1"/>
  <c r="FE281" i="43" s="1"/>
  <c r="FE282" i="43" s="1"/>
  <c r="FE283" i="43" s="1"/>
  <c r="FE284" i="43" s="1"/>
  <c r="FE285" i="43" s="1"/>
  <c r="FE286" i="43" s="1"/>
  <c r="FE287" i="43" s="1"/>
  <c r="FE288" i="43" s="1"/>
  <c r="FE289" i="43" s="1"/>
  <c r="FE290" i="43" s="1"/>
  <c r="FE291" i="43" s="1"/>
  <c r="FE292" i="43" s="1"/>
  <c r="FE293" i="43" s="1"/>
  <c r="FE294" i="43" s="1"/>
  <c r="FE295" i="43" s="1"/>
  <c r="FE296" i="43" s="1"/>
  <c r="FE297" i="43" s="1"/>
  <c r="FE298" i="43" s="1"/>
  <c r="FE299" i="43" s="1"/>
  <c r="FE300" i="43" s="1"/>
  <c r="FE301" i="43" s="1"/>
  <c r="FE302" i="43" s="1"/>
  <c r="FE303" i="43" s="1"/>
  <c r="FE304" i="43" s="1"/>
  <c r="FE305" i="43" s="1"/>
  <c r="FE306" i="43" s="1"/>
  <c r="FE307" i="43" s="1"/>
  <c r="FE308" i="43" s="1"/>
  <c r="FE309" i="43" s="1"/>
  <c r="FE310" i="43" s="1"/>
  <c r="FE311" i="43" s="1"/>
  <c r="FE312" i="43" s="1"/>
  <c r="FE313" i="43" s="1"/>
  <c r="FE314" i="43" s="1"/>
  <c r="FE315" i="43" s="1"/>
  <c r="FE316" i="43" s="1"/>
  <c r="FE317" i="43" s="1"/>
  <c r="FE318" i="43" s="1"/>
  <c r="FE319" i="43" s="1"/>
  <c r="FE320" i="43" s="1"/>
  <c r="FE321" i="43" s="1"/>
  <c r="FE322" i="43" s="1"/>
  <c r="FE323" i="43" s="1"/>
  <c r="FE324" i="43" s="1"/>
  <c r="FE325" i="43" s="1"/>
  <c r="FE326" i="43" s="1"/>
  <c r="FE327" i="43" s="1"/>
  <c r="FE328" i="43" s="1"/>
  <c r="FE329" i="43" s="1"/>
  <c r="FE330" i="43" s="1"/>
  <c r="FE331" i="43" s="1"/>
  <c r="FE332" i="43" s="1"/>
  <c r="FE333" i="43" s="1"/>
  <c r="FE334" i="43" s="1"/>
  <c r="FE335" i="43" s="1"/>
  <c r="FE336" i="43" s="1"/>
  <c r="FE337" i="43" s="1"/>
  <c r="FE338" i="43" s="1"/>
  <c r="FE339" i="43" s="1"/>
  <c r="FE340" i="43" s="1"/>
  <c r="FE341" i="43" s="1"/>
  <c r="FE342" i="43" s="1"/>
  <c r="FE343" i="43" s="1"/>
  <c r="FE344" i="43" s="1"/>
  <c r="FE345" i="43" s="1"/>
  <c r="FE346" i="43" s="1"/>
  <c r="FE347" i="43" s="1"/>
  <c r="FE348" i="43" s="1"/>
  <c r="FE349" i="43" s="1"/>
  <c r="FE350" i="43" s="1"/>
  <c r="FE351" i="43" s="1"/>
  <c r="FE352" i="43" s="1"/>
  <c r="FE353" i="43" s="1"/>
  <c r="FE354" i="43" s="1"/>
  <c r="FE355" i="43" s="1"/>
  <c r="FE356" i="43" s="1"/>
  <c r="FE357" i="43" s="1"/>
  <c r="FE358" i="43" s="1"/>
  <c r="FE359" i="43" s="1"/>
  <c r="FE360" i="43" s="1"/>
  <c r="FE361" i="43" s="1"/>
  <c r="FE362" i="43" s="1"/>
  <c r="FE363" i="43" s="1"/>
  <c r="FE364" i="43" s="1"/>
  <c r="FE365" i="43" s="1"/>
  <c r="FE366" i="43" s="1"/>
  <c r="FE367" i="43" s="1"/>
  <c r="FE368" i="43" s="1"/>
  <c r="FE369" i="43" s="1"/>
  <c r="FE370" i="43" s="1"/>
  <c r="FE371" i="43" s="1"/>
  <c r="FE372" i="43" s="1"/>
  <c r="FE373" i="43" s="1"/>
  <c r="FE374" i="43" s="1"/>
  <c r="FE375" i="43" s="1"/>
  <c r="FE376" i="43" s="1"/>
  <c r="FE377" i="43" s="1"/>
  <c r="FE378" i="43" s="1"/>
  <c r="FE379" i="43" s="1"/>
  <c r="FE380" i="43" s="1"/>
  <c r="FE381" i="43" s="1"/>
  <c r="G6" i="45"/>
  <c r="F6" i="45"/>
  <c r="M6" i="45"/>
  <c r="A9" i="22"/>
  <c r="A3" i="22"/>
  <c r="FY381" i="43"/>
  <c r="FY380" i="43"/>
  <c r="FY379" i="43"/>
  <c r="FY378" i="43"/>
  <c r="FY377" i="43"/>
  <c r="FY376" i="43"/>
  <c r="FY375" i="43"/>
  <c r="FY374" i="43"/>
  <c r="FY373" i="43"/>
  <c r="FY372" i="43"/>
  <c r="FY371" i="43"/>
  <c r="FY370" i="43"/>
  <c r="FY369" i="43"/>
  <c r="FY368" i="43"/>
  <c r="FY367" i="43"/>
  <c r="FY366" i="43"/>
  <c r="FY365" i="43"/>
  <c r="FY364" i="43"/>
  <c r="FY363" i="43"/>
  <c r="FY362" i="43"/>
  <c r="FY361" i="43"/>
  <c r="FY360" i="43"/>
  <c r="FY359" i="43"/>
  <c r="FY358" i="43"/>
  <c r="FY357" i="43"/>
  <c r="FY356" i="43"/>
  <c r="FY355" i="43"/>
  <c r="FY354" i="43"/>
  <c r="FY353" i="43"/>
  <c r="FY352" i="43"/>
  <c r="FY351" i="43"/>
  <c r="FY350" i="43"/>
  <c r="FY349" i="43"/>
  <c r="FY348" i="43"/>
  <c r="FY347" i="43"/>
  <c r="FY346" i="43"/>
  <c r="FY345" i="43"/>
  <c r="FY344" i="43"/>
  <c r="FY343" i="43"/>
  <c r="FY342" i="43"/>
  <c r="FY341" i="43"/>
  <c r="FY340" i="43"/>
  <c r="FY339" i="43"/>
  <c r="FY338" i="43"/>
  <c r="FY337" i="43"/>
  <c r="FY336" i="43"/>
  <c r="FY335" i="43"/>
  <c r="FY334" i="43"/>
  <c r="FY333" i="43"/>
  <c r="FY332" i="43"/>
  <c r="FY331" i="43"/>
  <c r="FY330" i="43"/>
  <c r="FY329" i="43"/>
  <c r="FY328" i="43"/>
  <c r="FY327" i="43"/>
  <c r="FY326" i="43"/>
  <c r="FY325" i="43"/>
  <c r="FY324" i="43"/>
  <c r="FY323" i="43"/>
  <c r="FY322" i="43"/>
  <c r="FY321" i="43"/>
  <c r="FY320" i="43"/>
  <c r="FY319" i="43"/>
  <c r="FY318" i="43"/>
  <c r="FY317" i="43"/>
  <c r="FY316" i="43"/>
  <c r="FY315" i="43"/>
  <c r="FY311" i="43"/>
  <c r="FY303" i="43"/>
  <c r="FY302" i="43"/>
  <c r="FY301" i="43"/>
  <c r="FY300" i="43"/>
  <c r="FY299" i="43"/>
  <c r="FY298" i="43"/>
  <c r="FY297" i="43"/>
  <c r="FY296" i="43"/>
  <c r="FY295" i="43"/>
  <c r="FY294" i="43"/>
  <c r="FY293" i="43"/>
  <c r="FY292" i="43"/>
  <c r="FY291" i="43"/>
  <c r="FY290" i="43"/>
  <c r="FY289" i="43"/>
  <c r="FY288" i="43"/>
  <c r="FY287" i="43"/>
  <c r="FY286" i="43"/>
  <c r="FY285" i="43"/>
  <c r="FY284" i="43"/>
  <c r="FY283" i="43"/>
  <c r="FY282" i="43"/>
  <c r="FY281" i="43"/>
  <c r="FY280" i="43"/>
  <c r="FY279" i="43"/>
  <c r="FY278" i="43"/>
  <c r="FY277" i="43"/>
  <c r="FY276" i="43"/>
  <c r="FY274" i="43"/>
  <c r="FY273" i="43"/>
  <c r="FY272" i="43"/>
  <c r="FY271" i="43"/>
  <c r="FY270" i="43"/>
  <c r="FY269" i="43"/>
  <c r="FY268" i="43"/>
  <c r="FY267" i="43"/>
  <c r="FY266" i="43"/>
  <c r="FY265" i="43"/>
  <c r="FY264" i="43"/>
  <c r="FY263" i="43"/>
  <c r="FY262" i="43"/>
  <c r="FY261" i="43"/>
  <c r="FY260" i="43"/>
  <c r="FY259" i="43"/>
  <c r="FY258" i="43"/>
  <c r="FY257" i="43"/>
  <c r="FY256" i="43"/>
  <c r="FY255" i="43"/>
  <c r="FY254" i="43"/>
  <c r="FY253" i="43"/>
  <c r="FY252" i="43"/>
  <c r="FY251" i="43"/>
  <c r="FY250" i="43"/>
  <c r="FY249" i="43"/>
  <c r="FY248" i="43"/>
  <c r="FY247" i="43"/>
  <c r="FY245" i="43"/>
  <c r="FY244" i="43"/>
  <c r="FY243" i="43"/>
  <c r="FY242" i="43"/>
  <c r="FY241" i="43"/>
  <c r="FY240" i="43"/>
  <c r="FY239" i="43"/>
  <c r="FY238" i="43"/>
  <c r="FY237" i="43"/>
  <c r="FY236" i="43"/>
  <c r="FY235" i="43"/>
  <c r="FY234" i="43"/>
  <c r="FY233" i="43"/>
  <c r="FY232" i="43"/>
  <c r="FY226" i="43"/>
  <c r="FY225" i="43"/>
  <c r="FY224" i="43"/>
  <c r="FY223" i="43"/>
  <c r="FY222" i="43"/>
  <c r="FY221" i="43"/>
  <c r="FY220" i="43"/>
  <c r="FY219" i="43"/>
  <c r="FY217" i="43"/>
  <c r="FY205" i="43"/>
  <c r="FY204" i="43"/>
  <c r="FY203" i="43"/>
  <c r="FY202" i="43"/>
  <c r="FY201" i="43"/>
  <c r="FY200" i="43"/>
  <c r="FY199" i="43"/>
  <c r="FY198" i="43"/>
  <c r="FY197" i="43"/>
  <c r="FY196" i="43"/>
  <c r="FY195" i="43"/>
  <c r="FY194" i="43"/>
  <c r="FY193" i="43"/>
  <c r="FY192" i="43"/>
  <c r="FY191" i="43"/>
  <c r="FY190" i="43"/>
  <c r="FY189" i="43"/>
  <c r="FY188" i="43"/>
  <c r="FY187" i="43"/>
  <c r="FY186" i="43"/>
  <c r="FY185" i="43"/>
  <c r="FY184" i="43"/>
  <c r="FY183" i="43"/>
  <c r="FY182" i="43"/>
  <c r="FY181" i="43"/>
  <c r="FY180" i="43"/>
  <c r="FY179" i="43"/>
  <c r="FY178" i="43"/>
  <c r="FY177" i="43"/>
  <c r="FY176" i="43"/>
  <c r="FY175" i="43"/>
  <c r="FY174" i="43"/>
  <c r="FY173" i="43"/>
  <c r="FY172" i="43"/>
  <c r="FY171" i="43"/>
  <c r="FY170" i="43"/>
  <c r="FY169" i="43"/>
  <c r="FY168" i="43"/>
  <c r="FY167" i="43"/>
  <c r="FY166" i="43"/>
  <c r="FY165" i="43"/>
  <c r="FY164" i="43"/>
  <c r="FY163" i="43"/>
  <c r="FY162" i="43"/>
  <c r="FY161" i="43"/>
  <c r="FY160" i="43"/>
  <c r="FY159" i="43"/>
  <c r="FY158" i="43"/>
  <c r="FY157" i="43"/>
  <c r="FY156" i="43"/>
  <c r="FY155" i="43"/>
  <c r="FY154" i="43"/>
  <c r="FY153" i="43"/>
  <c r="FY152" i="43"/>
  <c r="FY151" i="43"/>
  <c r="FY150" i="43"/>
  <c r="FY149" i="43"/>
  <c r="FY148" i="43"/>
  <c r="FY147" i="43"/>
  <c r="FY146" i="43"/>
  <c r="FY145" i="43"/>
  <c r="FY144" i="43"/>
  <c r="FY143" i="43"/>
  <c r="FY142" i="43"/>
  <c r="FY141" i="43"/>
  <c r="FY140" i="43"/>
  <c r="FY139" i="43"/>
  <c r="FY138" i="43"/>
  <c r="FY137" i="43"/>
  <c r="FY136" i="43"/>
  <c r="FY135" i="43"/>
  <c r="FY134" i="43"/>
  <c r="FY133" i="43"/>
  <c r="FY132" i="43"/>
  <c r="FY131" i="43"/>
  <c r="FY129" i="43"/>
  <c r="FY126" i="43"/>
  <c r="FY124" i="43"/>
  <c r="FY123" i="43"/>
  <c r="FY121" i="43"/>
  <c r="J113" i="45"/>
  <c r="FY115" i="43"/>
  <c r="FY113" i="43"/>
  <c r="J109" i="45"/>
  <c r="FY110" i="43"/>
  <c r="FY108" i="43"/>
  <c r="FY102" i="43"/>
  <c r="FY100" i="43"/>
  <c r="FY99" i="43"/>
  <c r="FY97" i="43"/>
  <c r="J89" i="45"/>
  <c r="FY91" i="43"/>
  <c r="FY89" i="43"/>
  <c r="FY86" i="43"/>
  <c r="FY84" i="43"/>
  <c r="FY83" i="43"/>
  <c r="FY81" i="43"/>
  <c r="J73" i="45"/>
  <c r="FY75" i="43"/>
  <c r="FY73" i="43"/>
  <c r="FY72" i="43"/>
  <c r="FY67" i="43"/>
  <c r="FY65" i="43"/>
  <c r="FY62" i="43"/>
  <c r="FY60" i="43"/>
  <c r="FY59" i="43"/>
  <c r="FY57" i="43"/>
  <c r="J49" i="45"/>
  <c r="FY51" i="43"/>
  <c r="FY49" i="43"/>
  <c r="FY48" i="43"/>
  <c r="FY43" i="43"/>
  <c r="FY41" i="43"/>
  <c r="J37" i="45"/>
  <c r="FY38" i="43"/>
  <c r="FY36" i="43"/>
  <c r="FY35" i="43"/>
  <c r="FY33" i="43"/>
  <c r="J29" i="45"/>
  <c r="J25" i="45"/>
  <c r="FY28" i="43"/>
  <c r="FY27" i="43"/>
  <c r="FY25" i="43"/>
  <c r="FY19" i="43"/>
  <c r="FY17" i="43"/>
  <c r="J13" i="45"/>
  <c r="FY14" i="43"/>
  <c r="BR4" i="32"/>
  <c r="BS4" i="32" s="1"/>
  <c r="BT4" i="32" s="1"/>
  <c r="BU4" i="32" s="1"/>
  <c r="BV4" i="32" s="1"/>
  <c r="BW4" i="32" s="1"/>
  <c r="BX4" i="32" s="1"/>
  <c r="BY4" i="32" s="1"/>
  <c r="BZ4" i="32" s="1"/>
  <c r="CA4" i="32" s="1"/>
  <c r="CB4" i="32" s="1"/>
  <c r="CC4" i="32" s="1"/>
  <c r="CD4" i="32" s="1"/>
  <c r="CE4" i="32" s="1"/>
  <c r="CF4" i="32" s="1"/>
  <c r="CG4" i="32" s="1"/>
  <c r="CH4" i="32" s="1"/>
  <c r="CI4" i="32" s="1"/>
  <c r="CJ4" i="32" s="1"/>
  <c r="CK4" i="32" s="1"/>
  <c r="CL4" i="32" s="1"/>
  <c r="CM4" i="32" s="1"/>
  <c r="CN4" i="32" s="1"/>
  <c r="CO4" i="32" s="1"/>
  <c r="CP4" i="32" s="1"/>
  <c r="CQ4" i="32" s="1"/>
  <c r="CR4" i="32" s="1"/>
  <c r="CS4" i="32" s="1"/>
  <c r="CT4" i="32" s="1"/>
  <c r="CU4" i="32" s="1"/>
  <c r="CV4" i="32" s="1"/>
  <c r="CW4" i="32" s="1"/>
  <c r="CX4" i="32" s="1"/>
  <c r="CY4" i="32" s="1"/>
  <c r="CZ4" i="32" s="1"/>
  <c r="DA4" i="32" s="1"/>
  <c r="DB4" i="32" s="1"/>
  <c r="DC4" i="32" s="1"/>
  <c r="DD4" i="32" s="1"/>
  <c r="DE4" i="32" s="1"/>
  <c r="DF4" i="32" s="1"/>
  <c r="DG4" i="32" s="1"/>
  <c r="DH4" i="32" s="1"/>
  <c r="DI4" i="32" s="1"/>
  <c r="DJ4" i="32" s="1"/>
  <c r="DK4" i="32" s="1"/>
  <c r="DL4" i="32" s="1"/>
  <c r="DM4" i="32" s="1"/>
  <c r="DN4" i="32" s="1"/>
  <c r="DO4" i="32" s="1"/>
  <c r="DP4" i="32" s="1"/>
  <c r="DQ4" i="32" s="1"/>
  <c r="DR4" i="32" s="1"/>
  <c r="DS4" i="32" s="1"/>
  <c r="DT4" i="32" s="1"/>
  <c r="DU4" i="32" s="1"/>
  <c r="DV4" i="32" s="1"/>
  <c r="DW4" i="32" s="1"/>
  <c r="DX4" i="32" s="1"/>
  <c r="DY4" i="32" s="1"/>
  <c r="DZ4" i="32" s="1"/>
  <c r="EA4" i="32" s="1"/>
  <c r="EB4" i="32" s="1"/>
  <c r="EC4" i="32" s="1"/>
  <c r="ED4" i="32" s="1"/>
  <c r="EE4" i="32" s="1"/>
  <c r="EF4" i="32" s="1"/>
  <c r="EG4" i="32" s="1"/>
  <c r="EH4" i="32" s="1"/>
  <c r="EI4" i="32" s="1"/>
  <c r="EJ4" i="32" s="1"/>
  <c r="EK4" i="32" s="1"/>
  <c r="EL4" i="32" s="1"/>
  <c r="EM4" i="32" s="1"/>
  <c r="EN4" i="32" s="1"/>
  <c r="EO4" i="32" s="1"/>
  <c r="EP4" i="32" s="1"/>
  <c r="EQ4" i="32" s="1"/>
  <c r="ER4" i="32" s="1"/>
  <c r="ES4" i="32" s="1"/>
  <c r="ET4" i="32" s="1"/>
  <c r="L20" i="44"/>
  <c r="I20" i="44"/>
  <c r="L19" i="44"/>
  <c r="J19" i="44"/>
  <c r="D19" i="44"/>
  <c r="B19" i="44"/>
  <c r="D18" i="44"/>
  <c r="B18" i="44"/>
  <c r="J17" i="44"/>
  <c r="I17" i="44"/>
  <c r="B17" i="44"/>
  <c r="M16" i="44"/>
  <c r="M15" i="44"/>
  <c r="L15" i="44"/>
  <c r="E15" i="44"/>
  <c r="D15" i="44"/>
  <c r="J14" i="44"/>
  <c r="B14" i="44"/>
  <c r="J13" i="44"/>
  <c r="I13" i="44"/>
  <c r="B13" i="44"/>
  <c r="M12" i="44"/>
  <c r="E12" i="44"/>
  <c r="M11" i="44"/>
  <c r="I11" i="44"/>
  <c r="E11" i="44"/>
  <c r="J10" i="44"/>
  <c r="I10" i="44"/>
  <c r="M9" i="44"/>
  <c r="L9" i="44"/>
  <c r="D9" i="44"/>
  <c r="B9" i="44"/>
  <c r="A3" i="44"/>
  <c r="L6" i="35"/>
  <c r="K7" i="34"/>
  <c r="K29" i="34" s="1"/>
  <c r="BH396" i="45"/>
  <c r="BF395" i="45"/>
  <c r="BD394" i="45"/>
  <c r="BB393" i="45"/>
  <c r="AV392" i="45"/>
  <c r="AE389" i="45"/>
  <c r="O389" i="45"/>
  <c r="N389" i="45"/>
  <c r="L389" i="45"/>
  <c r="K389" i="45"/>
  <c r="I389" i="45"/>
  <c r="H389" i="45"/>
  <c r="AU388" i="45"/>
  <c r="AV388" i="45" s="1"/>
  <c r="AW388" i="45" s="1"/>
  <c r="AX388" i="45" s="1"/>
  <c r="AY388" i="45" s="1"/>
  <c r="AZ388" i="45" s="1"/>
  <c r="BA388" i="45" s="1"/>
  <c r="BB388" i="45" s="1"/>
  <c r="BC388" i="45" s="1"/>
  <c r="BD388" i="45" s="1"/>
  <c r="BE388" i="45" s="1"/>
  <c r="BF388" i="45" s="1"/>
  <c r="BG388" i="45" s="1"/>
  <c r="BH388" i="45" s="1"/>
  <c r="O387" i="45"/>
  <c r="L387" i="45"/>
  <c r="K387" i="45"/>
  <c r="I387" i="45"/>
  <c r="H387" i="45"/>
  <c r="AG384" i="45"/>
  <c r="R384" i="45"/>
  <c r="Q384" i="45"/>
  <c r="P384" i="45"/>
  <c r="O384" i="45"/>
  <c r="N384" i="45"/>
  <c r="M384" i="45"/>
  <c r="L384" i="45"/>
  <c r="K384" i="45"/>
  <c r="J384" i="45"/>
  <c r="I384" i="45"/>
  <c r="H384" i="45"/>
  <c r="G384" i="45"/>
  <c r="F384" i="45"/>
  <c r="E384" i="45"/>
  <c r="D384" i="45"/>
  <c r="U384" i="45" s="1"/>
  <c r="C384" i="45"/>
  <c r="B384" i="45"/>
  <c r="AG383" i="45"/>
  <c r="Q383" i="45"/>
  <c r="R383" i="45" s="1"/>
  <c r="P383" i="45"/>
  <c r="O383" i="45"/>
  <c r="N383" i="45"/>
  <c r="M383" i="45"/>
  <c r="L383" i="45"/>
  <c r="K383" i="45"/>
  <c r="J383" i="45"/>
  <c r="I383" i="45"/>
  <c r="H383" i="45"/>
  <c r="G383" i="45"/>
  <c r="F383" i="45"/>
  <c r="E383" i="45"/>
  <c r="B383" i="45" s="1"/>
  <c r="D383" i="45"/>
  <c r="U383" i="45" s="1"/>
  <c r="C383" i="45"/>
  <c r="AG382" i="45"/>
  <c r="Q382" i="45"/>
  <c r="R382" i="45" s="1"/>
  <c r="P382" i="45"/>
  <c r="O382" i="45"/>
  <c r="N382" i="45"/>
  <c r="M382" i="45"/>
  <c r="L382" i="45"/>
  <c r="K382" i="45"/>
  <c r="J382" i="45"/>
  <c r="I382" i="45"/>
  <c r="H382" i="45"/>
  <c r="G382" i="45"/>
  <c r="F382" i="45"/>
  <c r="E382" i="45"/>
  <c r="B382" i="45" s="1"/>
  <c r="D382" i="45"/>
  <c r="U382" i="45" s="1"/>
  <c r="C382" i="45"/>
  <c r="AG381" i="45"/>
  <c r="Q381" i="45"/>
  <c r="R381" i="45" s="1"/>
  <c r="P381" i="45"/>
  <c r="O381" i="45"/>
  <c r="N381" i="45"/>
  <c r="M381" i="45"/>
  <c r="L381" i="45"/>
  <c r="K381" i="45"/>
  <c r="J381" i="45"/>
  <c r="I381" i="45"/>
  <c r="H381" i="45"/>
  <c r="G381" i="45"/>
  <c r="F381" i="45"/>
  <c r="E381" i="45"/>
  <c r="B381" i="45" s="1"/>
  <c r="D381" i="45"/>
  <c r="U381" i="45" s="1"/>
  <c r="C381" i="45"/>
  <c r="AG380" i="45"/>
  <c r="Q380" i="45"/>
  <c r="R380" i="45" s="1"/>
  <c r="S380" i="45" s="1"/>
  <c r="P380" i="45"/>
  <c r="O380" i="45"/>
  <c r="N380" i="45"/>
  <c r="M380" i="45"/>
  <c r="L380" i="45"/>
  <c r="K380" i="45"/>
  <c r="J380" i="45"/>
  <c r="I380" i="45"/>
  <c r="H380" i="45"/>
  <c r="G380" i="45"/>
  <c r="F380" i="45"/>
  <c r="E380" i="45"/>
  <c r="B380" i="45" s="1"/>
  <c r="D380" i="45"/>
  <c r="U380" i="45" s="1"/>
  <c r="C380" i="45"/>
  <c r="AG379" i="45"/>
  <c r="Q379" i="45"/>
  <c r="R379" i="45" s="1"/>
  <c r="P379" i="45"/>
  <c r="O379" i="45"/>
  <c r="N379" i="45"/>
  <c r="M379" i="45"/>
  <c r="L379" i="45"/>
  <c r="K379" i="45"/>
  <c r="J379" i="45"/>
  <c r="I379" i="45"/>
  <c r="H379" i="45"/>
  <c r="G379" i="45"/>
  <c r="F379" i="45"/>
  <c r="E379" i="45"/>
  <c r="B379" i="45" s="1"/>
  <c r="D379" i="45"/>
  <c r="U379" i="45" s="1"/>
  <c r="C379" i="45"/>
  <c r="O378" i="45"/>
  <c r="N378" i="45"/>
  <c r="M378" i="45"/>
  <c r="L378" i="45"/>
  <c r="K378" i="45"/>
  <c r="J378" i="45"/>
  <c r="I378" i="45"/>
  <c r="H378" i="45"/>
  <c r="G378" i="45"/>
  <c r="O377" i="45"/>
  <c r="M377" i="45"/>
  <c r="L377" i="45"/>
  <c r="K377" i="45"/>
  <c r="J377" i="45"/>
  <c r="I377" i="45"/>
  <c r="H377" i="45"/>
  <c r="O376" i="45"/>
  <c r="L376" i="45"/>
  <c r="K376" i="45"/>
  <c r="J376" i="45"/>
  <c r="I376" i="45"/>
  <c r="H376" i="45"/>
  <c r="O375" i="45"/>
  <c r="L375" i="45"/>
  <c r="K375" i="45"/>
  <c r="J375" i="45"/>
  <c r="I375" i="45"/>
  <c r="AH375" i="45" s="1"/>
  <c r="H375" i="45"/>
  <c r="E375" i="45"/>
  <c r="B375" i="45" s="1"/>
  <c r="O374" i="45"/>
  <c r="M374" i="45"/>
  <c r="L374" i="45"/>
  <c r="K374" i="45"/>
  <c r="J374" i="45"/>
  <c r="I374" i="45"/>
  <c r="H374" i="45"/>
  <c r="E374" i="45"/>
  <c r="P373" i="45"/>
  <c r="O373" i="45"/>
  <c r="N373" i="45"/>
  <c r="L373" i="45"/>
  <c r="K373" i="45"/>
  <c r="J373" i="45"/>
  <c r="I373" i="45"/>
  <c r="H373" i="45"/>
  <c r="O372" i="45"/>
  <c r="N372" i="45"/>
  <c r="L372" i="45"/>
  <c r="K372" i="45"/>
  <c r="J372" i="45"/>
  <c r="I372" i="45"/>
  <c r="H372" i="45"/>
  <c r="G372" i="45"/>
  <c r="O371" i="45"/>
  <c r="L371" i="45"/>
  <c r="K371" i="45"/>
  <c r="J371" i="45"/>
  <c r="I371" i="45"/>
  <c r="H371" i="45"/>
  <c r="O370" i="45"/>
  <c r="L370" i="45"/>
  <c r="K370" i="45"/>
  <c r="J370" i="45"/>
  <c r="I370" i="45"/>
  <c r="H370" i="45"/>
  <c r="O369" i="45"/>
  <c r="L369" i="45"/>
  <c r="K369" i="45"/>
  <c r="J369" i="45"/>
  <c r="I369" i="45"/>
  <c r="H369" i="45"/>
  <c r="O368" i="45"/>
  <c r="L368" i="45"/>
  <c r="K368" i="45"/>
  <c r="J368" i="45"/>
  <c r="I368" i="45"/>
  <c r="AH368" i="45" s="1"/>
  <c r="H368" i="45"/>
  <c r="E368" i="45"/>
  <c r="O367" i="45"/>
  <c r="L367" i="45"/>
  <c r="K367" i="45"/>
  <c r="J367" i="45"/>
  <c r="I367" i="45"/>
  <c r="AH367" i="45" s="1"/>
  <c r="H367" i="45"/>
  <c r="G367" i="45"/>
  <c r="O366" i="45"/>
  <c r="L366" i="45"/>
  <c r="K366" i="45"/>
  <c r="J366" i="45"/>
  <c r="I366" i="45"/>
  <c r="H366" i="45"/>
  <c r="O365" i="45"/>
  <c r="N365" i="45"/>
  <c r="M365" i="45"/>
  <c r="L365" i="45"/>
  <c r="K365" i="45"/>
  <c r="J365" i="45"/>
  <c r="I365" i="45"/>
  <c r="H365" i="45"/>
  <c r="O364" i="45"/>
  <c r="N364" i="45"/>
  <c r="M364" i="45"/>
  <c r="L364" i="45"/>
  <c r="K364" i="45"/>
  <c r="J364" i="45"/>
  <c r="I364" i="45"/>
  <c r="H364" i="45"/>
  <c r="P363" i="45"/>
  <c r="O363" i="45"/>
  <c r="M363" i="45"/>
  <c r="L363" i="45"/>
  <c r="K363" i="45"/>
  <c r="J363" i="45"/>
  <c r="I363" i="45"/>
  <c r="H363" i="45"/>
  <c r="G363" i="45"/>
  <c r="O362" i="45"/>
  <c r="L362" i="45"/>
  <c r="K362" i="45"/>
  <c r="J362" i="45"/>
  <c r="I362" i="45"/>
  <c r="H362" i="45"/>
  <c r="E362" i="45"/>
  <c r="O361" i="45"/>
  <c r="L361" i="45"/>
  <c r="K361" i="45"/>
  <c r="J361" i="45"/>
  <c r="I361" i="45"/>
  <c r="H361" i="45"/>
  <c r="O360" i="45"/>
  <c r="L360" i="45"/>
  <c r="K360" i="45"/>
  <c r="J360" i="45"/>
  <c r="I360" i="45"/>
  <c r="H360" i="45"/>
  <c r="O359" i="45"/>
  <c r="N359" i="45"/>
  <c r="L359" i="45"/>
  <c r="K359" i="45"/>
  <c r="J359" i="45"/>
  <c r="I359" i="45"/>
  <c r="H359" i="45"/>
  <c r="G359" i="45"/>
  <c r="O358" i="45"/>
  <c r="L358" i="45"/>
  <c r="K358" i="45"/>
  <c r="J358" i="45"/>
  <c r="I358" i="45"/>
  <c r="H358" i="45"/>
  <c r="O357" i="45"/>
  <c r="L357" i="45"/>
  <c r="K357" i="45"/>
  <c r="J357" i="45"/>
  <c r="I357" i="45"/>
  <c r="H357" i="45"/>
  <c r="O356" i="45"/>
  <c r="L356" i="45"/>
  <c r="K356" i="45"/>
  <c r="J356" i="45"/>
  <c r="I356" i="45"/>
  <c r="AH356" i="45" s="1"/>
  <c r="H356" i="45"/>
  <c r="O355" i="45"/>
  <c r="M355" i="45"/>
  <c r="L355" i="45"/>
  <c r="K355" i="45"/>
  <c r="J355" i="45"/>
  <c r="I355" i="45"/>
  <c r="AH355" i="45" s="1"/>
  <c r="H355" i="45"/>
  <c r="P354" i="45"/>
  <c r="O354" i="45"/>
  <c r="L354" i="45"/>
  <c r="K354" i="45"/>
  <c r="J354" i="45"/>
  <c r="I354" i="45"/>
  <c r="H354" i="45"/>
  <c r="O353" i="45"/>
  <c r="L353" i="45"/>
  <c r="K353" i="45"/>
  <c r="J353" i="45"/>
  <c r="I353" i="45"/>
  <c r="H353" i="45"/>
  <c r="O352" i="45"/>
  <c r="N352" i="45"/>
  <c r="L352" i="45"/>
  <c r="K352" i="45"/>
  <c r="J352" i="45"/>
  <c r="I352" i="45"/>
  <c r="AH352" i="45" s="1"/>
  <c r="H352" i="45"/>
  <c r="O351" i="45"/>
  <c r="L351" i="45"/>
  <c r="K351" i="45"/>
  <c r="J351" i="45"/>
  <c r="I351" i="45"/>
  <c r="AH351" i="45" s="1"/>
  <c r="H351" i="45"/>
  <c r="O350" i="45"/>
  <c r="N350" i="45"/>
  <c r="L350" i="45"/>
  <c r="K350" i="45"/>
  <c r="J350" i="45"/>
  <c r="I350" i="45"/>
  <c r="H350" i="45"/>
  <c r="O349" i="45"/>
  <c r="N349" i="45"/>
  <c r="L349" i="45"/>
  <c r="K349" i="45"/>
  <c r="J349" i="45"/>
  <c r="I349" i="45"/>
  <c r="H349" i="45"/>
  <c r="O348" i="45"/>
  <c r="L348" i="45"/>
  <c r="K348" i="45"/>
  <c r="J348" i="45"/>
  <c r="I348" i="45"/>
  <c r="H348" i="45"/>
  <c r="E348" i="45"/>
  <c r="O347" i="45"/>
  <c r="L347" i="45"/>
  <c r="K347" i="45"/>
  <c r="J347" i="45"/>
  <c r="I347" i="45"/>
  <c r="H347" i="45"/>
  <c r="G347" i="45"/>
  <c r="O346" i="45"/>
  <c r="L346" i="45"/>
  <c r="K346" i="45"/>
  <c r="J346" i="45"/>
  <c r="I346" i="45"/>
  <c r="H346" i="45"/>
  <c r="P345" i="45"/>
  <c r="O345" i="45"/>
  <c r="N345" i="45"/>
  <c r="L345" i="45"/>
  <c r="K345" i="45"/>
  <c r="J345" i="45"/>
  <c r="I345" i="45"/>
  <c r="H345" i="45"/>
  <c r="P344" i="45"/>
  <c r="O344" i="45"/>
  <c r="N344" i="45"/>
  <c r="L344" i="45"/>
  <c r="K344" i="45"/>
  <c r="J344" i="45"/>
  <c r="I344" i="45"/>
  <c r="H344" i="45"/>
  <c r="O343" i="45"/>
  <c r="L343" i="45"/>
  <c r="K343" i="45"/>
  <c r="J343" i="45"/>
  <c r="I343" i="45"/>
  <c r="H343" i="45"/>
  <c r="F343" i="45"/>
  <c r="O342" i="45"/>
  <c r="L342" i="45"/>
  <c r="K342" i="45"/>
  <c r="J342" i="45"/>
  <c r="I342" i="45"/>
  <c r="H342" i="45"/>
  <c r="O341" i="45"/>
  <c r="L341" i="45"/>
  <c r="K341" i="45"/>
  <c r="J341" i="45"/>
  <c r="I341" i="45"/>
  <c r="H341" i="45"/>
  <c r="F341" i="45"/>
  <c r="O340" i="45"/>
  <c r="L340" i="45"/>
  <c r="K340" i="45"/>
  <c r="J340" i="45"/>
  <c r="I340" i="45"/>
  <c r="H340" i="45"/>
  <c r="O339" i="45"/>
  <c r="L339" i="45"/>
  <c r="K339" i="45"/>
  <c r="J339" i="45"/>
  <c r="I339" i="45"/>
  <c r="H339" i="45"/>
  <c r="G339" i="45"/>
  <c r="O338" i="45"/>
  <c r="M338" i="45"/>
  <c r="L338" i="45"/>
  <c r="K338" i="45"/>
  <c r="J338" i="45"/>
  <c r="I338" i="45"/>
  <c r="H338" i="45"/>
  <c r="O337" i="45"/>
  <c r="L337" i="45"/>
  <c r="K337" i="45"/>
  <c r="J337" i="45"/>
  <c r="I337" i="45"/>
  <c r="H337" i="45"/>
  <c r="F337" i="45"/>
  <c r="P336" i="45"/>
  <c r="O336" i="45"/>
  <c r="N336" i="45"/>
  <c r="L336" i="45"/>
  <c r="K336" i="45"/>
  <c r="J336" i="45"/>
  <c r="I336" i="45"/>
  <c r="H336" i="45"/>
  <c r="O335" i="45"/>
  <c r="L335" i="45"/>
  <c r="K335" i="45"/>
  <c r="J335" i="45"/>
  <c r="I335" i="45"/>
  <c r="H335" i="45"/>
  <c r="O334" i="45"/>
  <c r="N334" i="45"/>
  <c r="L334" i="45"/>
  <c r="K334" i="45"/>
  <c r="J334" i="45"/>
  <c r="I334" i="45"/>
  <c r="H334" i="45"/>
  <c r="G334" i="45"/>
  <c r="O333" i="45"/>
  <c r="N333" i="45"/>
  <c r="L333" i="45"/>
  <c r="K333" i="45"/>
  <c r="J333" i="45"/>
  <c r="I333" i="45"/>
  <c r="H333" i="45"/>
  <c r="P332" i="45"/>
  <c r="O332" i="45"/>
  <c r="N332" i="45"/>
  <c r="L332" i="45"/>
  <c r="K332" i="45"/>
  <c r="J332" i="45"/>
  <c r="I332" i="45"/>
  <c r="H332" i="45"/>
  <c r="O331" i="45"/>
  <c r="N331" i="45"/>
  <c r="L331" i="45"/>
  <c r="K331" i="45"/>
  <c r="J331" i="45"/>
  <c r="I331" i="45"/>
  <c r="H331" i="45"/>
  <c r="G331" i="45"/>
  <c r="O330" i="45"/>
  <c r="L330" i="45"/>
  <c r="K330" i="45"/>
  <c r="J330" i="45"/>
  <c r="I330" i="45"/>
  <c r="H330" i="45"/>
  <c r="E330" i="45"/>
  <c r="O329" i="45"/>
  <c r="N329" i="45"/>
  <c r="L329" i="45"/>
  <c r="K329" i="45"/>
  <c r="J329" i="45"/>
  <c r="I329" i="45"/>
  <c r="H329" i="45"/>
  <c r="P328" i="45"/>
  <c r="O328" i="45"/>
  <c r="L328" i="45"/>
  <c r="K328" i="45"/>
  <c r="J328" i="45"/>
  <c r="I328" i="45"/>
  <c r="H328" i="45"/>
  <c r="O327" i="45"/>
  <c r="L327" i="45"/>
  <c r="K327" i="45"/>
  <c r="J327" i="45"/>
  <c r="I327" i="45"/>
  <c r="H327" i="45"/>
  <c r="O326" i="45"/>
  <c r="L326" i="45"/>
  <c r="K326" i="45"/>
  <c r="J326" i="45"/>
  <c r="I326" i="45"/>
  <c r="H326" i="45"/>
  <c r="O325" i="45"/>
  <c r="M325" i="45"/>
  <c r="L325" i="45"/>
  <c r="K325" i="45"/>
  <c r="J325" i="45"/>
  <c r="I325" i="45"/>
  <c r="H325" i="45"/>
  <c r="O324" i="45"/>
  <c r="N324" i="45"/>
  <c r="M324" i="45"/>
  <c r="L324" i="45"/>
  <c r="K324" i="45"/>
  <c r="J324" i="45"/>
  <c r="I324" i="45"/>
  <c r="H324" i="45"/>
  <c r="O323" i="45"/>
  <c r="N323" i="45"/>
  <c r="L323" i="45"/>
  <c r="K323" i="45"/>
  <c r="J323" i="45"/>
  <c r="I323" i="45"/>
  <c r="H323" i="45"/>
  <c r="O322" i="45"/>
  <c r="N322" i="45"/>
  <c r="L322" i="45"/>
  <c r="K322" i="45"/>
  <c r="J322" i="45"/>
  <c r="I322" i="45"/>
  <c r="H322" i="45"/>
  <c r="O321" i="45"/>
  <c r="N321" i="45"/>
  <c r="L321" i="45"/>
  <c r="K321" i="45"/>
  <c r="J321" i="45"/>
  <c r="I321" i="45"/>
  <c r="H321" i="45"/>
  <c r="O320" i="45"/>
  <c r="L320" i="45"/>
  <c r="K320" i="45"/>
  <c r="J320" i="45"/>
  <c r="I320" i="45"/>
  <c r="H320" i="45"/>
  <c r="O319" i="45"/>
  <c r="L319" i="45"/>
  <c r="K319" i="45"/>
  <c r="J319" i="45"/>
  <c r="I319" i="45"/>
  <c r="H319" i="45"/>
  <c r="O318" i="45"/>
  <c r="N318" i="45"/>
  <c r="L318" i="45"/>
  <c r="K318" i="45"/>
  <c r="J318" i="45"/>
  <c r="I318" i="45"/>
  <c r="H318" i="45"/>
  <c r="O317" i="45"/>
  <c r="N317" i="45"/>
  <c r="L317" i="45"/>
  <c r="K317" i="45"/>
  <c r="J317" i="45"/>
  <c r="I317" i="45"/>
  <c r="H317" i="45"/>
  <c r="O316" i="45"/>
  <c r="N316" i="45"/>
  <c r="M316" i="45"/>
  <c r="L316" i="45"/>
  <c r="K316" i="45"/>
  <c r="J316" i="45"/>
  <c r="I316" i="45"/>
  <c r="H316" i="45"/>
  <c r="O315" i="45"/>
  <c r="L315" i="45"/>
  <c r="K315" i="45"/>
  <c r="J315" i="45"/>
  <c r="I315" i="45"/>
  <c r="H315" i="45"/>
  <c r="O314" i="45"/>
  <c r="L314" i="45"/>
  <c r="K314" i="45"/>
  <c r="J314" i="45"/>
  <c r="I314" i="45"/>
  <c r="H314" i="45"/>
  <c r="P313" i="45"/>
  <c r="O313" i="45"/>
  <c r="L313" i="45"/>
  <c r="K313" i="45"/>
  <c r="J313" i="45"/>
  <c r="I313" i="45"/>
  <c r="H313" i="45"/>
  <c r="O312" i="45"/>
  <c r="L312" i="45"/>
  <c r="K312" i="45"/>
  <c r="J312" i="45"/>
  <c r="I312" i="45"/>
  <c r="H312" i="45"/>
  <c r="P311" i="45"/>
  <c r="O311" i="45"/>
  <c r="L311" i="45"/>
  <c r="K311" i="45"/>
  <c r="J311" i="45"/>
  <c r="I311" i="45"/>
  <c r="H311" i="45"/>
  <c r="O310" i="45"/>
  <c r="N310" i="45"/>
  <c r="L310" i="45"/>
  <c r="K310" i="45"/>
  <c r="J310" i="45"/>
  <c r="I310" i="45"/>
  <c r="H310" i="45"/>
  <c r="E310" i="45"/>
  <c r="P309" i="45"/>
  <c r="O309" i="45"/>
  <c r="L309" i="45"/>
  <c r="K309" i="45"/>
  <c r="J309" i="45"/>
  <c r="I309" i="45"/>
  <c r="H309" i="45"/>
  <c r="G309" i="45"/>
  <c r="F309" i="45"/>
  <c r="O308" i="45"/>
  <c r="L308" i="45"/>
  <c r="K308" i="45"/>
  <c r="J308" i="45"/>
  <c r="I308" i="45"/>
  <c r="H308" i="45"/>
  <c r="O307" i="45"/>
  <c r="N307" i="45"/>
  <c r="L307" i="45"/>
  <c r="K307" i="45"/>
  <c r="J307" i="45"/>
  <c r="I307" i="45"/>
  <c r="H307" i="45"/>
  <c r="G307" i="45"/>
  <c r="O306" i="45"/>
  <c r="N306" i="45"/>
  <c r="L306" i="45"/>
  <c r="K306" i="45"/>
  <c r="J306" i="45"/>
  <c r="I306" i="45"/>
  <c r="AH306" i="45" s="1"/>
  <c r="H306" i="45"/>
  <c r="O305" i="45"/>
  <c r="N305" i="45"/>
  <c r="L305" i="45"/>
  <c r="K305" i="45"/>
  <c r="J305" i="45"/>
  <c r="I305" i="45"/>
  <c r="AH305" i="45" s="1"/>
  <c r="H305" i="45"/>
  <c r="O304" i="45"/>
  <c r="N304" i="45"/>
  <c r="L304" i="45"/>
  <c r="K304" i="45"/>
  <c r="J304" i="45"/>
  <c r="I304" i="45"/>
  <c r="AH304" i="45" s="1"/>
  <c r="H304" i="45"/>
  <c r="AH295" i="45"/>
  <c r="P291" i="45"/>
  <c r="O291" i="45"/>
  <c r="L291" i="45"/>
  <c r="K291" i="45"/>
  <c r="J291" i="45"/>
  <c r="I291" i="45"/>
  <c r="H291" i="45"/>
  <c r="O290" i="45"/>
  <c r="N290" i="45"/>
  <c r="M290" i="45"/>
  <c r="L290" i="45"/>
  <c r="K290" i="45"/>
  <c r="J290" i="45"/>
  <c r="I290" i="45"/>
  <c r="H290" i="45"/>
  <c r="P289" i="45"/>
  <c r="O289" i="45"/>
  <c r="N289" i="45"/>
  <c r="L289" i="45"/>
  <c r="K289" i="45"/>
  <c r="J289" i="45"/>
  <c r="I289" i="45"/>
  <c r="H289" i="45"/>
  <c r="G289" i="45"/>
  <c r="O288" i="45"/>
  <c r="N288" i="45"/>
  <c r="L288" i="45"/>
  <c r="K288" i="45"/>
  <c r="J288" i="45"/>
  <c r="I288" i="45"/>
  <c r="H288" i="45"/>
  <c r="E288" i="45"/>
  <c r="O287" i="45"/>
  <c r="N287" i="45"/>
  <c r="L287" i="45"/>
  <c r="K287" i="45"/>
  <c r="J287" i="45"/>
  <c r="I287" i="45"/>
  <c r="AH287" i="45" s="1"/>
  <c r="H287" i="45"/>
  <c r="O286" i="45"/>
  <c r="L286" i="45"/>
  <c r="K286" i="45"/>
  <c r="J286" i="45"/>
  <c r="I286" i="45"/>
  <c r="H286" i="45"/>
  <c r="O285" i="45"/>
  <c r="L285" i="45"/>
  <c r="K285" i="45"/>
  <c r="J285" i="45"/>
  <c r="I285" i="45"/>
  <c r="H285" i="45"/>
  <c r="O284" i="45"/>
  <c r="N284" i="45"/>
  <c r="L284" i="45"/>
  <c r="K284" i="45"/>
  <c r="J284" i="45"/>
  <c r="I284" i="45"/>
  <c r="H284" i="45"/>
  <c r="O283" i="45"/>
  <c r="L283" i="45"/>
  <c r="K283" i="45"/>
  <c r="J283" i="45"/>
  <c r="I283" i="45"/>
  <c r="H283" i="45"/>
  <c r="E283" i="45"/>
  <c r="P282" i="45"/>
  <c r="O282" i="45"/>
  <c r="L282" i="45"/>
  <c r="K282" i="45"/>
  <c r="J282" i="45"/>
  <c r="I282" i="45"/>
  <c r="AH282" i="45" s="1"/>
  <c r="H282" i="45"/>
  <c r="P281" i="45"/>
  <c r="O281" i="45"/>
  <c r="L281" i="45"/>
  <c r="K281" i="45"/>
  <c r="J281" i="45"/>
  <c r="I281" i="45"/>
  <c r="H281" i="45"/>
  <c r="E281" i="45"/>
  <c r="O280" i="45"/>
  <c r="N280" i="45"/>
  <c r="L280" i="45"/>
  <c r="K280" i="45"/>
  <c r="J280" i="45"/>
  <c r="I280" i="45"/>
  <c r="H280" i="45"/>
  <c r="O279" i="45"/>
  <c r="N279" i="45"/>
  <c r="L279" i="45"/>
  <c r="K279" i="45"/>
  <c r="J279" i="45"/>
  <c r="I279" i="45"/>
  <c r="H279" i="45"/>
  <c r="E279" i="45"/>
  <c r="P278" i="45"/>
  <c r="O278" i="45"/>
  <c r="N278" i="45"/>
  <c r="L278" i="45"/>
  <c r="K278" i="45"/>
  <c r="J278" i="45"/>
  <c r="I278" i="45"/>
  <c r="H278" i="45"/>
  <c r="G278" i="45"/>
  <c r="O277" i="45"/>
  <c r="L277" i="45"/>
  <c r="K277" i="45"/>
  <c r="J277" i="45"/>
  <c r="I277" i="45"/>
  <c r="H277" i="45"/>
  <c r="F277" i="45"/>
  <c r="E277" i="45"/>
  <c r="O276" i="45"/>
  <c r="L276" i="45"/>
  <c r="K276" i="45"/>
  <c r="J276" i="45"/>
  <c r="I276" i="45"/>
  <c r="H276" i="45"/>
  <c r="O275" i="45"/>
  <c r="L275" i="45"/>
  <c r="K275" i="45"/>
  <c r="J275" i="45"/>
  <c r="I275" i="45"/>
  <c r="H275" i="45"/>
  <c r="O274" i="45"/>
  <c r="M274" i="45"/>
  <c r="L274" i="45"/>
  <c r="K274" i="45"/>
  <c r="J274" i="45"/>
  <c r="I274" i="45"/>
  <c r="H274" i="45"/>
  <c r="G274" i="45"/>
  <c r="P273" i="45"/>
  <c r="O273" i="45"/>
  <c r="L273" i="45"/>
  <c r="K273" i="45"/>
  <c r="J273" i="45"/>
  <c r="I273" i="45"/>
  <c r="H273" i="45"/>
  <c r="F273" i="45"/>
  <c r="E273" i="45"/>
  <c r="O272" i="45"/>
  <c r="L272" i="45"/>
  <c r="K272" i="45"/>
  <c r="J272" i="45"/>
  <c r="I272" i="45"/>
  <c r="H272" i="45"/>
  <c r="P271" i="45"/>
  <c r="O271" i="45"/>
  <c r="M271" i="45"/>
  <c r="L271" i="45"/>
  <c r="K271" i="45"/>
  <c r="J271" i="45"/>
  <c r="I271" i="45"/>
  <c r="AH271" i="45" s="1"/>
  <c r="H271" i="45"/>
  <c r="O270" i="45"/>
  <c r="N270" i="45"/>
  <c r="M270" i="45"/>
  <c r="L270" i="45"/>
  <c r="K270" i="45"/>
  <c r="J270" i="45"/>
  <c r="I270" i="45"/>
  <c r="AH270" i="45" s="1"/>
  <c r="H270" i="45"/>
  <c r="O269" i="45"/>
  <c r="M269" i="45"/>
  <c r="L269" i="45"/>
  <c r="K269" i="45"/>
  <c r="J269" i="45"/>
  <c r="I269" i="45"/>
  <c r="AH269" i="45" s="1"/>
  <c r="H269" i="45"/>
  <c r="E269" i="45"/>
  <c r="P268" i="45"/>
  <c r="O268" i="45"/>
  <c r="L268" i="45"/>
  <c r="K268" i="45"/>
  <c r="J268" i="45"/>
  <c r="I268" i="45"/>
  <c r="AH268" i="45" s="1"/>
  <c r="H268" i="45"/>
  <c r="G268" i="45"/>
  <c r="P267" i="45"/>
  <c r="O267" i="45"/>
  <c r="L267" i="45"/>
  <c r="K267" i="45"/>
  <c r="J267" i="45"/>
  <c r="I267" i="45"/>
  <c r="H267" i="45"/>
  <c r="O266" i="45"/>
  <c r="N266" i="45"/>
  <c r="M266" i="45"/>
  <c r="L266" i="45"/>
  <c r="K266" i="45"/>
  <c r="J266" i="45"/>
  <c r="I266" i="45"/>
  <c r="H266" i="45"/>
  <c r="G266" i="45"/>
  <c r="P265" i="45"/>
  <c r="O265" i="45"/>
  <c r="N265" i="45"/>
  <c r="M265" i="45"/>
  <c r="L265" i="45"/>
  <c r="K265" i="45"/>
  <c r="J265" i="45"/>
  <c r="I265" i="45"/>
  <c r="AH265" i="45" s="1"/>
  <c r="H265" i="45"/>
  <c r="F265" i="45"/>
  <c r="O264" i="45"/>
  <c r="N264" i="45"/>
  <c r="M264" i="45"/>
  <c r="L264" i="45"/>
  <c r="K264" i="45"/>
  <c r="J264" i="45"/>
  <c r="I264" i="45"/>
  <c r="AH264" i="45" s="1"/>
  <c r="H264" i="45"/>
  <c r="G264" i="45"/>
  <c r="P263" i="45"/>
  <c r="O263" i="45"/>
  <c r="N263" i="45"/>
  <c r="M263" i="45"/>
  <c r="L263" i="45"/>
  <c r="K263" i="45"/>
  <c r="J263" i="45"/>
  <c r="I263" i="45"/>
  <c r="H263" i="45"/>
  <c r="G263" i="45"/>
  <c r="P262" i="45"/>
  <c r="O262" i="45"/>
  <c r="N262" i="45"/>
  <c r="M262" i="45"/>
  <c r="L262" i="45"/>
  <c r="K262" i="45"/>
  <c r="J262" i="45"/>
  <c r="I262" i="45"/>
  <c r="H262" i="45"/>
  <c r="O261" i="45"/>
  <c r="N261" i="45"/>
  <c r="M261" i="45"/>
  <c r="L261" i="45"/>
  <c r="K261" i="45"/>
  <c r="J261" i="45"/>
  <c r="I261" i="45"/>
  <c r="H261" i="45"/>
  <c r="P260" i="45"/>
  <c r="O260" i="45"/>
  <c r="N260" i="45"/>
  <c r="M260" i="45"/>
  <c r="L260" i="45"/>
  <c r="K260" i="45"/>
  <c r="J260" i="45"/>
  <c r="I260" i="45"/>
  <c r="H260" i="45"/>
  <c r="G260" i="45"/>
  <c r="O259" i="45"/>
  <c r="N259" i="45"/>
  <c r="M259" i="45"/>
  <c r="L259" i="45"/>
  <c r="K259" i="45"/>
  <c r="J259" i="45"/>
  <c r="I259" i="45"/>
  <c r="H259" i="45"/>
  <c r="P258" i="45"/>
  <c r="O258" i="45"/>
  <c r="N258" i="45"/>
  <c r="M258" i="45"/>
  <c r="L258" i="45"/>
  <c r="K258" i="45"/>
  <c r="J258" i="45"/>
  <c r="I258" i="45"/>
  <c r="H258" i="45"/>
  <c r="O257" i="45"/>
  <c r="N257" i="45"/>
  <c r="M257" i="45"/>
  <c r="L257" i="45"/>
  <c r="K257" i="45"/>
  <c r="J257" i="45"/>
  <c r="I257" i="45"/>
  <c r="H257" i="45"/>
  <c r="P256" i="45"/>
  <c r="O256" i="45"/>
  <c r="N256" i="45"/>
  <c r="M256" i="45"/>
  <c r="L256" i="45"/>
  <c r="K256" i="45"/>
  <c r="J256" i="45"/>
  <c r="I256" i="45"/>
  <c r="H256" i="45"/>
  <c r="G256" i="45"/>
  <c r="P255" i="45"/>
  <c r="O255" i="45"/>
  <c r="N255" i="45"/>
  <c r="M255" i="45"/>
  <c r="L255" i="45"/>
  <c r="K255" i="45"/>
  <c r="J255" i="45"/>
  <c r="I255" i="45"/>
  <c r="H255" i="45"/>
  <c r="P254" i="45"/>
  <c r="O254" i="45"/>
  <c r="N254" i="45"/>
  <c r="M254" i="45"/>
  <c r="L254" i="45"/>
  <c r="K254" i="45"/>
  <c r="J254" i="45"/>
  <c r="I254" i="45"/>
  <c r="AH254" i="45" s="1"/>
  <c r="H254" i="45"/>
  <c r="O253" i="45"/>
  <c r="N253" i="45"/>
  <c r="M253" i="45"/>
  <c r="L253" i="45"/>
  <c r="K253" i="45"/>
  <c r="J253" i="45"/>
  <c r="I253" i="45"/>
  <c r="AH253" i="45" s="1"/>
  <c r="H253" i="45"/>
  <c r="O252" i="45"/>
  <c r="N252" i="45"/>
  <c r="M252" i="45"/>
  <c r="L252" i="45"/>
  <c r="K252" i="45"/>
  <c r="J252" i="45"/>
  <c r="I252" i="45"/>
  <c r="AH252" i="45" s="1"/>
  <c r="H252" i="45"/>
  <c r="O251" i="45"/>
  <c r="N251" i="45"/>
  <c r="M251" i="45"/>
  <c r="L251" i="45"/>
  <c r="K251" i="45"/>
  <c r="J251" i="45"/>
  <c r="I251" i="45"/>
  <c r="H251" i="45"/>
  <c r="O250" i="45"/>
  <c r="N250" i="45"/>
  <c r="M250" i="45"/>
  <c r="L250" i="45"/>
  <c r="K250" i="45"/>
  <c r="J250" i="45"/>
  <c r="I250" i="45"/>
  <c r="H250" i="45"/>
  <c r="O249" i="45"/>
  <c r="N249" i="45"/>
  <c r="M249" i="45"/>
  <c r="L249" i="45"/>
  <c r="K249" i="45"/>
  <c r="J249" i="45"/>
  <c r="I249" i="45"/>
  <c r="H249" i="45"/>
  <c r="G249" i="45"/>
  <c r="E249" i="45"/>
  <c r="P248" i="45"/>
  <c r="O248" i="45"/>
  <c r="N248" i="45"/>
  <c r="M248" i="45"/>
  <c r="L248" i="45"/>
  <c r="K248" i="45"/>
  <c r="J248" i="45"/>
  <c r="I248" i="45"/>
  <c r="H248" i="45"/>
  <c r="P247" i="45"/>
  <c r="O247" i="45"/>
  <c r="N247" i="45"/>
  <c r="M247" i="45"/>
  <c r="L247" i="45"/>
  <c r="K247" i="45"/>
  <c r="J247" i="45"/>
  <c r="I247" i="45"/>
  <c r="AH247" i="45" s="1"/>
  <c r="H247" i="45"/>
  <c r="O246" i="45"/>
  <c r="N246" i="45"/>
  <c r="M246" i="45"/>
  <c r="L246" i="45"/>
  <c r="K246" i="45"/>
  <c r="J246" i="45"/>
  <c r="I246" i="45"/>
  <c r="H246" i="45"/>
  <c r="O245" i="45"/>
  <c r="N245" i="45"/>
  <c r="M245" i="45"/>
  <c r="L245" i="45"/>
  <c r="K245" i="45"/>
  <c r="J245" i="45"/>
  <c r="I245" i="45"/>
  <c r="H245" i="45"/>
  <c r="G245" i="45"/>
  <c r="O244" i="45"/>
  <c r="N244" i="45"/>
  <c r="M244" i="45"/>
  <c r="L244" i="45"/>
  <c r="K244" i="45"/>
  <c r="J244" i="45"/>
  <c r="I244" i="45"/>
  <c r="H244" i="45"/>
  <c r="P243" i="45"/>
  <c r="O243" i="45"/>
  <c r="N243" i="45"/>
  <c r="M243" i="45"/>
  <c r="L243" i="45"/>
  <c r="K243" i="45"/>
  <c r="J243" i="45"/>
  <c r="I243" i="45"/>
  <c r="H243" i="45"/>
  <c r="E243" i="45"/>
  <c r="O242" i="45"/>
  <c r="N242" i="45"/>
  <c r="M242" i="45"/>
  <c r="L242" i="45"/>
  <c r="K242" i="45"/>
  <c r="J242" i="45"/>
  <c r="I242" i="45"/>
  <c r="H242" i="45"/>
  <c r="E242" i="45"/>
  <c r="P241" i="45"/>
  <c r="O241" i="45"/>
  <c r="N241" i="45"/>
  <c r="M241" i="45"/>
  <c r="L241" i="45"/>
  <c r="K241" i="45"/>
  <c r="J241" i="45"/>
  <c r="I241" i="45"/>
  <c r="H241" i="45"/>
  <c r="G241" i="45"/>
  <c r="O240" i="45"/>
  <c r="N240" i="45"/>
  <c r="M240" i="45"/>
  <c r="L240" i="45"/>
  <c r="K240" i="45"/>
  <c r="J240" i="45"/>
  <c r="I240" i="45"/>
  <c r="H240" i="45"/>
  <c r="P239" i="45"/>
  <c r="O239" i="45"/>
  <c r="N239" i="45"/>
  <c r="M239" i="45"/>
  <c r="L239" i="45"/>
  <c r="K239" i="45"/>
  <c r="J239" i="45"/>
  <c r="I239" i="45"/>
  <c r="AH239" i="45" s="1"/>
  <c r="H239" i="45"/>
  <c r="P238" i="45"/>
  <c r="O238" i="45"/>
  <c r="N238" i="45"/>
  <c r="M238" i="45"/>
  <c r="L238" i="45"/>
  <c r="K238" i="45"/>
  <c r="J238" i="45"/>
  <c r="I238" i="45"/>
  <c r="H238" i="45"/>
  <c r="O237" i="45"/>
  <c r="N237" i="45"/>
  <c r="M237" i="45"/>
  <c r="L237" i="45"/>
  <c r="K237" i="45"/>
  <c r="J237" i="45"/>
  <c r="I237" i="45"/>
  <c r="H237" i="45"/>
  <c r="O236" i="45"/>
  <c r="N236" i="45"/>
  <c r="M236" i="45"/>
  <c r="L236" i="45"/>
  <c r="K236" i="45"/>
  <c r="J236" i="45"/>
  <c r="I236" i="45"/>
  <c r="AH236" i="45" s="1"/>
  <c r="H236" i="45"/>
  <c r="O235" i="45"/>
  <c r="N235" i="45"/>
  <c r="M235" i="45"/>
  <c r="L235" i="45"/>
  <c r="K235" i="45"/>
  <c r="J235" i="45"/>
  <c r="I235" i="45"/>
  <c r="H235" i="45"/>
  <c r="O234" i="45"/>
  <c r="N234" i="45"/>
  <c r="M234" i="45"/>
  <c r="L234" i="45"/>
  <c r="K234" i="45"/>
  <c r="J234" i="45"/>
  <c r="I234" i="45"/>
  <c r="H234" i="45"/>
  <c r="P233" i="45"/>
  <c r="O233" i="45"/>
  <c r="N233" i="45"/>
  <c r="M233" i="45"/>
  <c r="L233" i="45"/>
  <c r="K233" i="45"/>
  <c r="J233" i="45"/>
  <c r="I233" i="45"/>
  <c r="H233" i="45"/>
  <c r="O232" i="45"/>
  <c r="N232" i="45"/>
  <c r="M232" i="45"/>
  <c r="L232" i="45"/>
  <c r="K232" i="45"/>
  <c r="J232" i="45"/>
  <c r="I232" i="45"/>
  <c r="H232" i="45"/>
  <c r="G232" i="45"/>
  <c r="E232" i="45"/>
  <c r="O231" i="45"/>
  <c r="N231" i="45"/>
  <c r="M231" i="45"/>
  <c r="L231" i="45"/>
  <c r="K231" i="45"/>
  <c r="J231" i="45"/>
  <c r="I231" i="45"/>
  <c r="H231" i="45"/>
  <c r="O230" i="45"/>
  <c r="N230" i="45"/>
  <c r="M230" i="45"/>
  <c r="L230" i="45"/>
  <c r="K230" i="45"/>
  <c r="J230" i="45"/>
  <c r="I230" i="45"/>
  <c r="H230" i="45"/>
  <c r="P229" i="45"/>
  <c r="O229" i="45"/>
  <c r="N229" i="45"/>
  <c r="M229" i="45"/>
  <c r="L229" i="45"/>
  <c r="K229" i="45"/>
  <c r="J229" i="45"/>
  <c r="I229" i="45"/>
  <c r="H229" i="45"/>
  <c r="P228" i="45"/>
  <c r="O228" i="45"/>
  <c r="N228" i="45"/>
  <c r="M228" i="45"/>
  <c r="L228" i="45"/>
  <c r="K228" i="45"/>
  <c r="J228" i="45"/>
  <c r="I228" i="45"/>
  <c r="H228" i="45"/>
  <c r="G228" i="45"/>
  <c r="E228" i="45"/>
  <c r="O227" i="45"/>
  <c r="N227" i="45"/>
  <c r="M227" i="45"/>
  <c r="L227" i="45"/>
  <c r="K227" i="45"/>
  <c r="J227" i="45"/>
  <c r="I227" i="45"/>
  <c r="H227" i="45"/>
  <c r="O226" i="45"/>
  <c r="N226" i="45"/>
  <c r="M226" i="45"/>
  <c r="L226" i="45"/>
  <c r="K226" i="45"/>
  <c r="J226" i="45"/>
  <c r="I226" i="45"/>
  <c r="H226" i="45"/>
  <c r="P225" i="45"/>
  <c r="O225" i="45"/>
  <c r="N225" i="45"/>
  <c r="M225" i="45"/>
  <c r="L225" i="45"/>
  <c r="K225" i="45"/>
  <c r="J225" i="45"/>
  <c r="I225" i="45"/>
  <c r="H225" i="45"/>
  <c r="P224" i="45"/>
  <c r="O224" i="45"/>
  <c r="N224" i="45"/>
  <c r="M224" i="45"/>
  <c r="L224" i="45"/>
  <c r="K224" i="45"/>
  <c r="J224" i="45"/>
  <c r="I224" i="45"/>
  <c r="H224" i="45"/>
  <c r="G224" i="45"/>
  <c r="F224" i="45"/>
  <c r="E224" i="45"/>
  <c r="O223" i="45"/>
  <c r="N223" i="45"/>
  <c r="M223" i="45"/>
  <c r="L223" i="45"/>
  <c r="K223" i="45"/>
  <c r="J223" i="45"/>
  <c r="I223" i="45"/>
  <c r="H223" i="45"/>
  <c r="O222" i="45"/>
  <c r="N222" i="45"/>
  <c r="M222" i="45"/>
  <c r="L222" i="45"/>
  <c r="K222" i="45"/>
  <c r="J222" i="45"/>
  <c r="I222" i="45"/>
  <c r="H222" i="45"/>
  <c r="P221" i="45"/>
  <c r="O221" i="45"/>
  <c r="N221" i="45"/>
  <c r="M221" i="45"/>
  <c r="L221" i="45"/>
  <c r="K221" i="45"/>
  <c r="J221" i="45"/>
  <c r="I221" i="45"/>
  <c r="H221" i="45"/>
  <c r="P220" i="45"/>
  <c r="O220" i="45"/>
  <c r="N220" i="45"/>
  <c r="M220" i="45"/>
  <c r="L220" i="45"/>
  <c r="K220" i="45"/>
  <c r="J220" i="45"/>
  <c r="I220" i="45"/>
  <c r="H220" i="45"/>
  <c r="O219" i="45"/>
  <c r="N219" i="45"/>
  <c r="M219" i="45"/>
  <c r="L219" i="45"/>
  <c r="K219" i="45"/>
  <c r="J219" i="45"/>
  <c r="I219" i="45"/>
  <c r="H219" i="45"/>
  <c r="P218" i="45"/>
  <c r="O218" i="45"/>
  <c r="N218" i="45"/>
  <c r="M218" i="45"/>
  <c r="L218" i="45"/>
  <c r="K218" i="45"/>
  <c r="J218" i="45"/>
  <c r="I218" i="45"/>
  <c r="H218" i="45"/>
  <c r="Q217" i="45"/>
  <c r="R217" i="45" s="1"/>
  <c r="P217" i="45"/>
  <c r="O217" i="45"/>
  <c r="N217" i="45"/>
  <c r="M217" i="45"/>
  <c r="L217" i="45"/>
  <c r="K217" i="45"/>
  <c r="J217" i="45"/>
  <c r="I217" i="45"/>
  <c r="H217" i="45"/>
  <c r="O216" i="45"/>
  <c r="N216" i="45"/>
  <c r="M216" i="45"/>
  <c r="L216" i="45"/>
  <c r="K216" i="45"/>
  <c r="J216" i="45"/>
  <c r="I216" i="45"/>
  <c r="H216" i="45"/>
  <c r="E216" i="45"/>
  <c r="P215" i="45"/>
  <c r="O215" i="45"/>
  <c r="N215" i="45"/>
  <c r="M215" i="45"/>
  <c r="L215" i="45"/>
  <c r="K215" i="45"/>
  <c r="J215" i="45"/>
  <c r="I215" i="45"/>
  <c r="H215" i="45"/>
  <c r="O214" i="45"/>
  <c r="N214" i="45"/>
  <c r="M214" i="45"/>
  <c r="L214" i="45"/>
  <c r="K214" i="45"/>
  <c r="J214" i="45"/>
  <c r="I214" i="45"/>
  <c r="H214" i="45"/>
  <c r="O213" i="45"/>
  <c r="N213" i="45"/>
  <c r="M213" i="45"/>
  <c r="L213" i="45"/>
  <c r="K213" i="45"/>
  <c r="J213" i="45"/>
  <c r="I213" i="45"/>
  <c r="H213" i="45"/>
  <c r="G213" i="45"/>
  <c r="P212" i="45"/>
  <c r="O212" i="45"/>
  <c r="N212" i="45"/>
  <c r="M212" i="45"/>
  <c r="L212" i="45"/>
  <c r="K212" i="45"/>
  <c r="J212" i="45"/>
  <c r="I212" i="45"/>
  <c r="H212" i="45"/>
  <c r="E212" i="45"/>
  <c r="O211" i="45"/>
  <c r="N211" i="45"/>
  <c r="M211" i="45"/>
  <c r="L211" i="45"/>
  <c r="K211" i="45"/>
  <c r="J211" i="45"/>
  <c r="I211" i="45"/>
  <c r="H211" i="45"/>
  <c r="E211" i="45"/>
  <c r="O210" i="45"/>
  <c r="N210" i="45"/>
  <c r="M210" i="45"/>
  <c r="L210" i="45"/>
  <c r="K210" i="45"/>
  <c r="J210" i="45"/>
  <c r="I210" i="45"/>
  <c r="H210" i="45"/>
  <c r="G210" i="45"/>
  <c r="P209" i="45"/>
  <c r="O209" i="45"/>
  <c r="N209" i="45"/>
  <c r="M209" i="45"/>
  <c r="L209" i="45"/>
  <c r="K209" i="45"/>
  <c r="J209" i="45"/>
  <c r="I209" i="45"/>
  <c r="H209" i="45"/>
  <c r="P208" i="45"/>
  <c r="O208" i="45"/>
  <c r="N208" i="45"/>
  <c r="M208" i="45"/>
  <c r="L208" i="45"/>
  <c r="K208" i="45"/>
  <c r="J208" i="45"/>
  <c r="I208" i="45"/>
  <c r="H208" i="45"/>
  <c r="G208" i="45"/>
  <c r="E208" i="45"/>
  <c r="O207" i="45"/>
  <c r="N207" i="45"/>
  <c r="M207" i="45"/>
  <c r="L207" i="45"/>
  <c r="K207" i="45"/>
  <c r="J207" i="45"/>
  <c r="I207" i="45"/>
  <c r="H207" i="45"/>
  <c r="O206" i="45"/>
  <c r="N206" i="45"/>
  <c r="M206" i="45"/>
  <c r="L206" i="45"/>
  <c r="K206" i="45"/>
  <c r="J206" i="45"/>
  <c r="I206" i="45"/>
  <c r="H206" i="45"/>
  <c r="G206" i="45"/>
  <c r="Q205" i="45"/>
  <c r="R205" i="45" s="1"/>
  <c r="O205" i="45"/>
  <c r="N205" i="45"/>
  <c r="M205" i="45"/>
  <c r="L205" i="45"/>
  <c r="K205" i="45"/>
  <c r="J205" i="45"/>
  <c r="I205" i="45"/>
  <c r="AH205" i="45" s="1"/>
  <c r="H205" i="45"/>
  <c r="P204" i="45"/>
  <c r="O204" i="45"/>
  <c r="N204" i="45"/>
  <c r="M204" i="45"/>
  <c r="L204" i="45"/>
  <c r="K204" i="45"/>
  <c r="J204" i="45"/>
  <c r="I204" i="45"/>
  <c r="AH204" i="45" s="1"/>
  <c r="H204" i="45"/>
  <c r="G204" i="45"/>
  <c r="O203" i="45"/>
  <c r="M203" i="45"/>
  <c r="L203" i="45"/>
  <c r="K203" i="45"/>
  <c r="J203" i="45"/>
  <c r="I203" i="45"/>
  <c r="H203" i="45"/>
  <c r="O202" i="45"/>
  <c r="N202" i="45"/>
  <c r="L202" i="45"/>
  <c r="K202" i="45"/>
  <c r="J202" i="45"/>
  <c r="I202" i="45"/>
  <c r="H202" i="45"/>
  <c r="O201" i="45"/>
  <c r="L201" i="45"/>
  <c r="K201" i="45"/>
  <c r="J201" i="45"/>
  <c r="I201" i="45"/>
  <c r="H201" i="45"/>
  <c r="G201" i="45"/>
  <c r="P200" i="45"/>
  <c r="O200" i="45"/>
  <c r="L200" i="45"/>
  <c r="K200" i="45"/>
  <c r="J200" i="45"/>
  <c r="I200" i="45"/>
  <c r="H200" i="45"/>
  <c r="F200" i="45"/>
  <c r="O199" i="45"/>
  <c r="M199" i="45"/>
  <c r="L199" i="45"/>
  <c r="K199" i="45"/>
  <c r="J199" i="45"/>
  <c r="I199" i="45"/>
  <c r="H199" i="45"/>
  <c r="E199" i="45"/>
  <c r="O198" i="45"/>
  <c r="L198" i="45"/>
  <c r="K198" i="45"/>
  <c r="J198" i="45"/>
  <c r="I198" i="45"/>
  <c r="H198" i="45"/>
  <c r="O197" i="45"/>
  <c r="L197" i="45"/>
  <c r="K197" i="45"/>
  <c r="J197" i="45"/>
  <c r="I197" i="45"/>
  <c r="H197" i="45"/>
  <c r="G197" i="45"/>
  <c r="P196" i="45"/>
  <c r="O196" i="45"/>
  <c r="L196" i="45"/>
  <c r="K196" i="45"/>
  <c r="J196" i="45"/>
  <c r="I196" i="45"/>
  <c r="H196" i="45"/>
  <c r="P195" i="45"/>
  <c r="O195" i="45"/>
  <c r="N195" i="45"/>
  <c r="L195" i="45"/>
  <c r="K195" i="45"/>
  <c r="J195" i="45"/>
  <c r="I195" i="45"/>
  <c r="H195" i="45"/>
  <c r="E195" i="45"/>
  <c r="O194" i="45"/>
  <c r="L194" i="45"/>
  <c r="K194" i="45"/>
  <c r="J194" i="45"/>
  <c r="I194" i="45"/>
  <c r="H194" i="45"/>
  <c r="P193" i="45"/>
  <c r="O193" i="45"/>
  <c r="L193" i="45"/>
  <c r="K193" i="45"/>
  <c r="J193" i="45"/>
  <c r="I193" i="45"/>
  <c r="H193" i="45"/>
  <c r="G193" i="45"/>
  <c r="O192" i="45"/>
  <c r="M192" i="45"/>
  <c r="L192" i="45"/>
  <c r="K192" i="45"/>
  <c r="J192" i="45"/>
  <c r="I192" i="45"/>
  <c r="H192" i="45"/>
  <c r="P191" i="45"/>
  <c r="O191" i="45"/>
  <c r="M191" i="45"/>
  <c r="L191" i="45"/>
  <c r="K191" i="45"/>
  <c r="J191" i="45"/>
  <c r="I191" i="45"/>
  <c r="H191" i="45"/>
  <c r="P190" i="45"/>
  <c r="O190" i="45"/>
  <c r="L190" i="45"/>
  <c r="K190" i="45"/>
  <c r="J190" i="45"/>
  <c r="I190" i="45"/>
  <c r="H190" i="45"/>
  <c r="F190" i="45"/>
  <c r="P189" i="45"/>
  <c r="O189" i="45"/>
  <c r="L189" i="45"/>
  <c r="K189" i="45"/>
  <c r="J189" i="45"/>
  <c r="I189" i="45"/>
  <c r="H189" i="45"/>
  <c r="P188" i="45"/>
  <c r="O188" i="45"/>
  <c r="L188" i="45"/>
  <c r="K188" i="45"/>
  <c r="J188" i="45"/>
  <c r="I188" i="45"/>
  <c r="H188" i="45"/>
  <c r="O187" i="45"/>
  <c r="N187" i="45"/>
  <c r="L187" i="45"/>
  <c r="K187" i="45"/>
  <c r="J187" i="45"/>
  <c r="I187" i="45"/>
  <c r="H187" i="45"/>
  <c r="P186" i="45"/>
  <c r="O186" i="45"/>
  <c r="L186" i="45"/>
  <c r="K186" i="45"/>
  <c r="J186" i="45"/>
  <c r="I186" i="45"/>
  <c r="H186" i="45"/>
  <c r="O185" i="45"/>
  <c r="L185" i="45"/>
  <c r="K185" i="45"/>
  <c r="J185" i="45"/>
  <c r="I185" i="45"/>
  <c r="H185" i="45"/>
  <c r="P184" i="45"/>
  <c r="O184" i="45"/>
  <c r="L184" i="45"/>
  <c r="K184" i="45"/>
  <c r="J184" i="45"/>
  <c r="I184" i="45"/>
  <c r="H184" i="45"/>
  <c r="P183" i="45"/>
  <c r="O183" i="45"/>
  <c r="N183" i="45"/>
  <c r="L183" i="45"/>
  <c r="K183" i="45"/>
  <c r="J183" i="45"/>
  <c r="I183" i="45"/>
  <c r="H183" i="45"/>
  <c r="G183" i="45"/>
  <c r="P182" i="45"/>
  <c r="O182" i="45"/>
  <c r="N182" i="45"/>
  <c r="L182" i="45"/>
  <c r="K182" i="45"/>
  <c r="J182" i="45"/>
  <c r="I182" i="45"/>
  <c r="H182" i="45"/>
  <c r="O181" i="45"/>
  <c r="N181" i="45"/>
  <c r="L181" i="45"/>
  <c r="K181" i="45"/>
  <c r="J181" i="45"/>
  <c r="I181" i="45"/>
  <c r="H181" i="45"/>
  <c r="E181" i="45"/>
  <c r="O180" i="45"/>
  <c r="L180" i="45"/>
  <c r="K180" i="45"/>
  <c r="J180" i="45"/>
  <c r="I180" i="45"/>
  <c r="H180" i="45"/>
  <c r="G180" i="45"/>
  <c r="P179" i="45"/>
  <c r="O179" i="45"/>
  <c r="N179" i="45"/>
  <c r="L179" i="45"/>
  <c r="K179" i="45"/>
  <c r="J179" i="45"/>
  <c r="I179" i="45"/>
  <c r="AH179" i="45" s="1"/>
  <c r="H179" i="45"/>
  <c r="G179" i="45"/>
  <c r="P178" i="45"/>
  <c r="O178" i="45"/>
  <c r="L178" i="45"/>
  <c r="K178" i="45"/>
  <c r="J178" i="45"/>
  <c r="I178" i="45"/>
  <c r="H178" i="45"/>
  <c r="Q177" i="45"/>
  <c r="R177" i="45" s="1"/>
  <c r="O177" i="45"/>
  <c r="N177" i="45"/>
  <c r="L177" i="45"/>
  <c r="K177" i="45"/>
  <c r="J177" i="45"/>
  <c r="I177" i="45"/>
  <c r="H177" i="45"/>
  <c r="P176" i="45"/>
  <c r="O176" i="45"/>
  <c r="N176" i="45"/>
  <c r="L176" i="45"/>
  <c r="K176" i="45"/>
  <c r="J176" i="45"/>
  <c r="I176" i="45"/>
  <c r="H176" i="45"/>
  <c r="O175" i="45"/>
  <c r="L175" i="45"/>
  <c r="K175" i="45"/>
  <c r="J175" i="45"/>
  <c r="I175" i="45"/>
  <c r="H175" i="45"/>
  <c r="P174" i="45"/>
  <c r="O174" i="45"/>
  <c r="L174" i="45"/>
  <c r="K174" i="45"/>
  <c r="J174" i="45"/>
  <c r="I174" i="45"/>
  <c r="H174" i="45"/>
  <c r="O173" i="45"/>
  <c r="N173" i="45"/>
  <c r="L173" i="45"/>
  <c r="K173" i="45"/>
  <c r="J173" i="45"/>
  <c r="I173" i="45"/>
  <c r="H173" i="45"/>
  <c r="F173" i="45"/>
  <c r="O172" i="45"/>
  <c r="N172" i="45"/>
  <c r="L172" i="45"/>
  <c r="K172" i="45"/>
  <c r="J172" i="45"/>
  <c r="I172" i="45"/>
  <c r="H172" i="45"/>
  <c r="O171" i="45"/>
  <c r="L171" i="45"/>
  <c r="K171" i="45"/>
  <c r="J171" i="45"/>
  <c r="I171" i="45"/>
  <c r="H171" i="45"/>
  <c r="O170" i="45"/>
  <c r="L170" i="45"/>
  <c r="K170" i="45"/>
  <c r="J170" i="45"/>
  <c r="I170" i="45"/>
  <c r="H170" i="45"/>
  <c r="O169" i="45"/>
  <c r="L169" i="45"/>
  <c r="K169" i="45"/>
  <c r="J169" i="45"/>
  <c r="I169" i="45"/>
  <c r="H169" i="45"/>
  <c r="G169" i="45"/>
  <c r="O168" i="45"/>
  <c r="N168" i="45"/>
  <c r="L168" i="45"/>
  <c r="K168" i="45"/>
  <c r="J168" i="45"/>
  <c r="I168" i="45"/>
  <c r="H168" i="45"/>
  <c r="G168" i="45"/>
  <c r="O167" i="45"/>
  <c r="L167" i="45"/>
  <c r="K167" i="45"/>
  <c r="J167" i="45"/>
  <c r="I167" i="45"/>
  <c r="H167" i="45"/>
  <c r="O166" i="45"/>
  <c r="L166" i="45"/>
  <c r="K166" i="45"/>
  <c r="J166" i="45"/>
  <c r="I166" i="45"/>
  <c r="H166" i="45"/>
  <c r="P165" i="45"/>
  <c r="O165" i="45"/>
  <c r="L165" i="45"/>
  <c r="K165" i="45"/>
  <c r="J165" i="45"/>
  <c r="I165" i="45"/>
  <c r="H165" i="45"/>
  <c r="O164" i="45"/>
  <c r="N164" i="45"/>
  <c r="L164" i="45"/>
  <c r="K164" i="45"/>
  <c r="J164" i="45"/>
  <c r="I164" i="45"/>
  <c r="H164" i="45"/>
  <c r="E164" i="45"/>
  <c r="P163" i="45"/>
  <c r="O163" i="45"/>
  <c r="N163" i="45"/>
  <c r="L163" i="45"/>
  <c r="K163" i="45"/>
  <c r="J163" i="45"/>
  <c r="I163" i="45"/>
  <c r="H163" i="45"/>
  <c r="P162" i="45"/>
  <c r="O162" i="45"/>
  <c r="L162" i="45"/>
  <c r="K162" i="45"/>
  <c r="J162" i="45"/>
  <c r="I162" i="45"/>
  <c r="H162" i="45"/>
  <c r="G162" i="45"/>
  <c r="F162" i="45"/>
  <c r="E162" i="45"/>
  <c r="O161" i="45"/>
  <c r="L161" i="45"/>
  <c r="K161" i="45"/>
  <c r="J161" i="45"/>
  <c r="I161" i="45"/>
  <c r="H161" i="45"/>
  <c r="G161" i="45"/>
  <c r="E161" i="45"/>
  <c r="P160" i="45"/>
  <c r="O160" i="45"/>
  <c r="N160" i="45"/>
  <c r="M160" i="45"/>
  <c r="L160" i="45"/>
  <c r="K160" i="45"/>
  <c r="J160" i="45"/>
  <c r="I160" i="45"/>
  <c r="H160" i="45"/>
  <c r="G160" i="45"/>
  <c r="O159" i="45"/>
  <c r="L159" i="45"/>
  <c r="K159" i="45"/>
  <c r="J159" i="45"/>
  <c r="I159" i="45"/>
  <c r="H159" i="45"/>
  <c r="P158" i="45"/>
  <c r="O158" i="45"/>
  <c r="L158" i="45"/>
  <c r="K158" i="45"/>
  <c r="J158" i="45"/>
  <c r="I158" i="45"/>
  <c r="H158" i="45"/>
  <c r="O157" i="45"/>
  <c r="L157" i="45"/>
  <c r="K157" i="45"/>
  <c r="J157" i="45"/>
  <c r="I157" i="45"/>
  <c r="H157" i="45"/>
  <c r="G157" i="45"/>
  <c r="E157" i="45"/>
  <c r="P156" i="45"/>
  <c r="L156" i="45"/>
  <c r="K156" i="45"/>
  <c r="J156" i="45"/>
  <c r="I156" i="45"/>
  <c r="H156" i="45"/>
  <c r="L155" i="45"/>
  <c r="K155" i="45"/>
  <c r="J155" i="45"/>
  <c r="I155" i="45"/>
  <c r="H155" i="45"/>
  <c r="O154" i="45"/>
  <c r="N154" i="45"/>
  <c r="L154" i="45"/>
  <c r="K154" i="45"/>
  <c r="J154" i="45"/>
  <c r="I154" i="45"/>
  <c r="H154" i="45"/>
  <c r="O153" i="45"/>
  <c r="L153" i="45"/>
  <c r="K153" i="45"/>
  <c r="J153" i="45"/>
  <c r="I153" i="45"/>
  <c r="H153" i="45"/>
  <c r="P152" i="45"/>
  <c r="O152" i="45"/>
  <c r="L152" i="45"/>
  <c r="K152" i="45"/>
  <c r="J152" i="45"/>
  <c r="I152" i="45"/>
  <c r="H152" i="45"/>
  <c r="O151" i="45"/>
  <c r="N151" i="45"/>
  <c r="L151" i="45"/>
  <c r="K151" i="45"/>
  <c r="J151" i="45"/>
  <c r="I151" i="45"/>
  <c r="H151" i="45"/>
  <c r="P150" i="45"/>
  <c r="O150" i="45"/>
  <c r="L150" i="45"/>
  <c r="K150" i="45"/>
  <c r="J150" i="45"/>
  <c r="I150" i="45"/>
  <c r="H150" i="45"/>
  <c r="P149" i="45"/>
  <c r="O149" i="45"/>
  <c r="L149" i="45"/>
  <c r="K149" i="45"/>
  <c r="J149" i="45"/>
  <c r="I149" i="45"/>
  <c r="H149" i="45"/>
  <c r="G149" i="45"/>
  <c r="P148" i="45"/>
  <c r="O148" i="45"/>
  <c r="L148" i="45"/>
  <c r="K148" i="45"/>
  <c r="J148" i="45"/>
  <c r="I148" i="45"/>
  <c r="H148" i="45"/>
  <c r="G148" i="45"/>
  <c r="P147" i="45"/>
  <c r="O147" i="45"/>
  <c r="N147" i="45"/>
  <c r="L147" i="45"/>
  <c r="K147" i="45"/>
  <c r="J147" i="45"/>
  <c r="I147" i="45"/>
  <c r="H147" i="45"/>
  <c r="O146" i="45"/>
  <c r="L146" i="45"/>
  <c r="K146" i="45"/>
  <c r="J146" i="45"/>
  <c r="I146" i="45"/>
  <c r="H146" i="45"/>
  <c r="O145" i="45"/>
  <c r="L145" i="45"/>
  <c r="K145" i="45"/>
  <c r="J145" i="45"/>
  <c r="I145" i="45"/>
  <c r="H145" i="45"/>
  <c r="P144" i="45"/>
  <c r="O144" i="45"/>
  <c r="L144" i="45"/>
  <c r="K144" i="45"/>
  <c r="J144" i="45"/>
  <c r="I144" i="45"/>
  <c r="H144" i="45"/>
  <c r="P143" i="45"/>
  <c r="O143" i="45"/>
  <c r="N143" i="45"/>
  <c r="L143" i="45"/>
  <c r="K143" i="45"/>
  <c r="J143" i="45"/>
  <c r="I143" i="45"/>
  <c r="H143" i="45"/>
  <c r="P142" i="45"/>
  <c r="O142" i="45"/>
  <c r="L142" i="45"/>
  <c r="K142" i="45"/>
  <c r="J142" i="45"/>
  <c r="I142" i="45"/>
  <c r="H142" i="45"/>
  <c r="O141" i="45"/>
  <c r="N141" i="45"/>
  <c r="L141" i="45"/>
  <c r="K141" i="45"/>
  <c r="J141" i="45"/>
  <c r="I141" i="45"/>
  <c r="AH141" i="45" s="1"/>
  <c r="H141" i="45"/>
  <c r="O140" i="45"/>
  <c r="L140" i="45"/>
  <c r="K140" i="45"/>
  <c r="J140" i="45"/>
  <c r="I140" i="45"/>
  <c r="H140" i="45"/>
  <c r="O139" i="45"/>
  <c r="M139" i="45"/>
  <c r="L139" i="45"/>
  <c r="K139" i="45"/>
  <c r="J139" i="45"/>
  <c r="I139" i="45"/>
  <c r="H139" i="45"/>
  <c r="P138" i="45"/>
  <c r="O138" i="45"/>
  <c r="N138" i="45"/>
  <c r="L138" i="45"/>
  <c r="K138" i="45"/>
  <c r="J138" i="45"/>
  <c r="I138" i="45"/>
  <c r="H138" i="45"/>
  <c r="P137" i="45"/>
  <c r="O137" i="45"/>
  <c r="N137" i="45"/>
  <c r="L137" i="45"/>
  <c r="K137" i="45"/>
  <c r="J137" i="45"/>
  <c r="I137" i="45"/>
  <c r="H137" i="45"/>
  <c r="P136" i="45"/>
  <c r="O136" i="45"/>
  <c r="L136" i="45"/>
  <c r="K136" i="45"/>
  <c r="J136" i="45"/>
  <c r="I136" i="45"/>
  <c r="H136" i="45"/>
  <c r="F136" i="45"/>
  <c r="O135" i="45"/>
  <c r="L135" i="45"/>
  <c r="K135" i="45"/>
  <c r="J135" i="45"/>
  <c r="I135" i="45"/>
  <c r="H135" i="45"/>
  <c r="P134" i="45"/>
  <c r="O134" i="45"/>
  <c r="N134" i="45"/>
  <c r="L134" i="45"/>
  <c r="K134" i="45"/>
  <c r="J134" i="45"/>
  <c r="I134" i="45"/>
  <c r="H134" i="45"/>
  <c r="G134" i="45"/>
  <c r="O133" i="45"/>
  <c r="L133" i="45"/>
  <c r="K133" i="45"/>
  <c r="J133" i="45"/>
  <c r="I133" i="45"/>
  <c r="AH133" i="45" s="1"/>
  <c r="H133" i="45"/>
  <c r="O132" i="45"/>
  <c r="L132" i="45"/>
  <c r="K132" i="45"/>
  <c r="J132" i="45"/>
  <c r="I132" i="45"/>
  <c r="H132" i="45"/>
  <c r="F132" i="45"/>
  <c r="O131" i="45"/>
  <c r="L131" i="45"/>
  <c r="K131" i="45"/>
  <c r="J131" i="45"/>
  <c r="I131" i="45"/>
  <c r="H131" i="45"/>
  <c r="E131" i="45"/>
  <c r="P130" i="45"/>
  <c r="O130" i="45"/>
  <c r="N130" i="45"/>
  <c r="L130" i="45"/>
  <c r="K130" i="45"/>
  <c r="J130" i="45"/>
  <c r="I130" i="45"/>
  <c r="H130" i="45"/>
  <c r="F130" i="45"/>
  <c r="O129" i="45"/>
  <c r="N129" i="45"/>
  <c r="L129" i="45"/>
  <c r="K129" i="45"/>
  <c r="J129" i="45"/>
  <c r="I129" i="45"/>
  <c r="AH129" i="45" s="1"/>
  <c r="H129" i="45"/>
  <c r="P128" i="45"/>
  <c r="O128" i="45"/>
  <c r="L128" i="45"/>
  <c r="K128" i="45"/>
  <c r="I128" i="45"/>
  <c r="H128" i="45"/>
  <c r="F128" i="45"/>
  <c r="P127" i="45"/>
  <c r="O127" i="45"/>
  <c r="N127" i="45"/>
  <c r="L127" i="45"/>
  <c r="K127" i="45"/>
  <c r="I127" i="45"/>
  <c r="H127" i="45"/>
  <c r="O126" i="45"/>
  <c r="N126" i="45"/>
  <c r="L126" i="45"/>
  <c r="K126" i="45"/>
  <c r="I126" i="45"/>
  <c r="H126" i="45"/>
  <c r="F126" i="45"/>
  <c r="P125" i="45"/>
  <c r="O125" i="45"/>
  <c r="L125" i="45"/>
  <c r="K125" i="45"/>
  <c r="I125" i="45"/>
  <c r="H125" i="45"/>
  <c r="O124" i="45"/>
  <c r="L124" i="45"/>
  <c r="K124" i="45"/>
  <c r="I124" i="45"/>
  <c r="H124" i="45"/>
  <c r="F124" i="45"/>
  <c r="O123" i="45"/>
  <c r="L123" i="45"/>
  <c r="K123" i="45"/>
  <c r="I123" i="45"/>
  <c r="H123" i="45"/>
  <c r="O122" i="45"/>
  <c r="L122" i="45"/>
  <c r="K122" i="45"/>
  <c r="I122" i="45"/>
  <c r="H122" i="45"/>
  <c r="P121" i="45"/>
  <c r="O121" i="45"/>
  <c r="L121" i="45"/>
  <c r="K121" i="45"/>
  <c r="I121" i="45"/>
  <c r="H121" i="45"/>
  <c r="P120" i="45"/>
  <c r="O120" i="45"/>
  <c r="N120" i="45"/>
  <c r="L120" i="45"/>
  <c r="K120" i="45"/>
  <c r="I120" i="45"/>
  <c r="H120" i="45"/>
  <c r="O119" i="45"/>
  <c r="L119" i="45"/>
  <c r="K119" i="45"/>
  <c r="I119" i="45"/>
  <c r="H119" i="45"/>
  <c r="E119" i="45"/>
  <c r="O118" i="45"/>
  <c r="M118" i="45"/>
  <c r="L118" i="45"/>
  <c r="K118" i="45"/>
  <c r="I118" i="45"/>
  <c r="H118" i="45"/>
  <c r="O117" i="45"/>
  <c r="N117" i="45"/>
  <c r="L117" i="45"/>
  <c r="K117" i="45"/>
  <c r="I117" i="45"/>
  <c r="H117" i="45"/>
  <c r="P116" i="45"/>
  <c r="O116" i="45"/>
  <c r="N116" i="45"/>
  <c r="L116" i="45"/>
  <c r="K116" i="45"/>
  <c r="I116" i="45"/>
  <c r="H116" i="45"/>
  <c r="P115" i="45"/>
  <c r="O115" i="45"/>
  <c r="L115" i="45"/>
  <c r="K115" i="45"/>
  <c r="I115" i="45"/>
  <c r="H115" i="45"/>
  <c r="E115" i="45"/>
  <c r="P114" i="45"/>
  <c r="O114" i="45"/>
  <c r="L114" i="45"/>
  <c r="K114" i="45"/>
  <c r="I114" i="45"/>
  <c r="H114" i="45"/>
  <c r="O113" i="45"/>
  <c r="L113" i="45"/>
  <c r="K113" i="45"/>
  <c r="I113" i="45"/>
  <c r="H113" i="45"/>
  <c r="P112" i="45"/>
  <c r="O112" i="45"/>
  <c r="N112" i="45"/>
  <c r="L112" i="45"/>
  <c r="K112" i="45"/>
  <c r="I112" i="45"/>
  <c r="H112" i="45"/>
  <c r="E112" i="45"/>
  <c r="O111" i="45"/>
  <c r="N111" i="45"/>
  <c r="L111" i="45"/>
  <c r="K111" i="45"/>
  <c r="I111" i="45"/>
  <c r="H111" i="45"/>
  <c r="P110" i="45"/>
  <c r="O110" i="45"/>
  <c r="N110" i="45"/>
  <c r="L110" i="45"/>
  <c r="K110" i="45"/>
  <c r="I110" i="45"/>
  <c r="H110" i="45"/>
  <c r="P109" i="45"/>
  <c r="O109" i="45"/>
  <c r="L109" i="45"/>
  <c r="K109" i="45"/>
  <c r="I109" i="45"/>
  <c r="H109" i="45"/>
  <c r="E109" i="45"/>
  <c r="O108" i="45"/>
  <c r="N108" i="45"/>
  <c r="L108" i="45"/>
  <c r="K108" i="45"/>
  <c r="I108" i="45"/>
  <c r="H108" i="45"/>
  <c r="P107" i="45"/>
  <c r="O107" i="45"/>
  <c r="N107" i="45"/>
  <c r="L107" i="45"/>
  <c r="K107" i="45"/>
  <c r="I107" i="45"/>
  <c r="H107" i="45"/>
  <c r="P106" i="45"/>
  <c r="O106" i="45"/>
  <c r="L106" i="45"/>
  <c r="K106" i="45"/>
  <c r="I106" i="45"/>
  <c r="H106" i="45"/>
  <c r="P105" i="45"/>
  <c r="O105" i="45"/>
  <c r="L105" i="45"/>
  <c r="K105" i="45"/>
  <c r="I105" i="45"/>
  <c r="H105" i="45"/>
  <c r="O104" i="45"/>
  <c r="M104" i="45"/>
  <c r="L104" i="45"/>
  <c r="K104" i="45"/>
  <c r="I104" i="45"/>
  <c r="H104" i="45"/>
  <c r="G104" i="45"/>
  <c r="O103" i="45"/>
  <c r="M103" i="45"/>
  <c r="L103" i="45"/>
  <c r="K103" i="45"/>
  <c r="I103" i="45"/>
  <c r="H103" i="45"/>
  <c r="O102" i="45"/>
  <c r="L102" i="45"/>
  <c r="K102" i="45"/>
  <c r="I102" i="45"/>
  <c r="H102" i="45"/>
  <c r="O101" i="45"/>
  <c r="L101" i="45"/>
  <c r="K101" i="45"/>
  <c r="I101" i="45"/>
  <c r="H101" i="45"/>
  <c r="O100" i="45"/>
  <c r="M100" i="45"/>
  <c r="L100" i="45"/>
  <c r="K100" i="45"/>
  <c r="I100" i="45"/>
  <c r="H100" i="45"/>
  <c r="O99" i="45"/>
  <c r="M99" i="45"/>
  <c r="L99" i="45"/>
  <c r="K99" i="45"/>
  <c r="I99" i="45"/>
  <c r="H99" i="45"/>
  <c r="P98" i="45"/>
  <c r="O98" i="45"/>
  <c r="L98" i="45"/>
  <c r="K98" i="45"/>
  <c r="I98" i="45"/>
  <c r="H98" i="45"/>
  <c r="G98" i="45"/>
  <c r="O97" i="45"/>
  <c r="L97" i="45"/>
  <c r="K97" i="45"/>
  <c r="I97" i="45"/>
  <c r="H97" i="45"/>
  <c r="E97" i="45"/>
  <c r="O96" i="45"/>
  <c r="M96" i="45"/>
  <c r="L96" i="45"/>
  <c r="K96" i="45"/>
  <c r="I96" i="45"/>
  <c r="H96" i="45"/>
  <c r="P95" i="45"/>
  <c r="O95" i="45"/>
  <c r="M95" i="45"/>
  <c r="L95" i="45"/>
  <c r="K95" i="45"/>
  <c r="I95" i="45"/>
  <c r="H95" i="45"/>
  <c r="O94" i="45"/>
  <c r="L94" i="45"/>
  <c r="K94" i="45"/>
  <c r="I94" i="45"/>
  <c r="H94" i="45"/>
  <c r="G94" i="45"/>
  <c r="O93" i="45"/>
  <c r="M93" i="45"/>
  <c r="L93" i="45"/>
  <c r="K93" i="45"/>
  <c r="I93" i="45"/>
  <c r="H93" i="45"/>
  <c r="F93" i="45"/>
  <c r="E93" i="45"/>
  <c r="O92" i="45"/>
  <c r="L92" i="45"/>
  <c r="K92" i="45"/>
  <c r="I92" i="45"/>
  <c r="H92" i="45"/>
  <c r="G92" i="45"/>
  <c r="O91" i="45"/>
  <c r="M91" i="45"/>
  <c r="L91" i="45"/>
  <c r="K91" i="45"/>
  <c r="I91" i="45"/>
  <c r="H91" i="45"/>
  <c r="O90" i="45"/>
  <c r="L90" i="45"/>
  <c r="K90" i="45"/>
  <c r="I90" i="45"/>
  <c r="H90" i="45"/>
  <c r="G90" i="45"/>
  <c r="O89" i="45"/>
  <c r="L89" i="45"/>
  <c r="K89" i="45"/>
  <c r="I89" i="45"/>
  <c r="H89" i="45"/>
  <c r="E89" i="45"/>
  <c r="P88" i="45"/>
  <c r="O88" i="45"/>
  <c r="L88" i="45"/>
  <c r="K88" i="45"/>
  <c r="I88" i="45"/>
  <c r="H88" i="45"/>
  <c r="O87" i="45"/>
  <c r="M87" i="45"/>
  <c r="L87" i="45"/>
  <c r="K87" i="45"/>
  <c r="I87" i="45"/>
  <c r="H87" i="45"/>
  <c r="O86" i="45"/>
  <c r="L86" i="45"/>
  <c r="K86" i="45"/>
  <c r="I86" i="45"/>
  <c r="H86" i="45"/>
  <c r="G86" i="45"/>
  <c r="O85" i="45"/>
  <c r="L85" i="45"/>
  <c r="K85" i="45"/>
  <c r="I85" i="45"/>
  <c r="AH85" i="45" s="1"/>
  <c r="H85" i="45"/>
  <c r="O84" i="45"/>
  <c r="N84" i="45"/>
  <c r="L84" i="45"/>
  <c r="K84" i="45"/>
  <c r="I84" i="45"/>
  <c r="H84" i="45"/>
  <c r="O83" i="45"/>
  <c r="M83" i="45"/>
  <c r="L83" i="45"/>
  <c r="K83" i="45"/>
  <c r="I83" i="45"/>
  <c r="H83" i="45"/>
  <c r="O82" i="45"/>
  <c r="L82" i="45"/>
  <c r="K82" i="45"/>
  <c r="I82" i="45"/>
  <c r="H82" i="45"/>
  <c r="O81" i="45"/>
  <c r="L81" i="45"/>
  <c r="K81" i="45"/>
  <c r="I81" i="45"/>
  <c r="H81" i="45"/>
  <c r="O80" i="45"/>
  <c r="M80" i="45"/>
  <c r="L80" i="45"/>
  <c r="K80" i="45"/>
  <c r="I80" i="45"/>
  <c r="H80" i="45"/>
  <c r="Q79" i="45"/>
  <c r="R79" i="45" s="1"/>
  <c r="O79" i="45"/>
  <c r="L79" i="45"/>
  <c r="K79" i="45"/>
  <c r="I79" i="45"/>
  <c r="H79" i="45"/>
  <c r="O78" i="45"/>
  <c r="M78" i="45"/>
  <c r="L78" i="45"/>
  <c r="K78" i="45"/>
  <c r="I78" i="45"/>
  <c r="H78" i="45"/>
  <c r="O77" i="45"/>
  <c r="L77" i="45"/>
  <c r="K77" i="45"/>
  <c r="I77" i="45"/>
  <c r="H77" i="45"/>
  <c r="P76" i="45"/>
  <c r="O76" i="45"/>
  <c r="L76" i="45"/>
  <c r="K76" i="45"/>
  <c r="I76" i="45"/>
  <c r="H76" i="45"/>
  <c r="O75" i="45"/>
  <c r="N75" i="45"/>
  <c r="L75" i="45"/>
  <c r="K75" i="45"/>
  <c r="I75" i="45"/>
  <c r="H75" i="45"/>
  <c r="O74" i="45"/>
  <c r="M74" i="45"/>
  <c r="L74" i="45"/>
  <c r="K74" i="45"/>
  <c r="I74" i="45"/>
  <c r="H74" i="45"/>
  <c r="O73" i="45"/>
  <c r="L73" i="45"/>
  <c r="K73" i="45"/>
  <c r="I73" i="45"/>
  <c r="H73" i="45"/>
  <c r="P72" i="45"/>
  <c r="O72" i="45"/>
  <c r="L72" i="45"/>
  <c r="K72" i="45"/>
  <c r="I72" i="45"/>
  <c r="H72" i="45"/>
  <c r="O71" i="45"/>
  <c r="N71" i="45"/>
  <c r="M71" i="45"/>
  <c r="L71" i="45"/>
  <c r="K71" i="45"/>
  <c r="I71" i="45"/>
  <c r="H71" i="45"/>
  <c r="O70" i="45"/>
  <c r="N70" i="45"/>
  <c r="M70" i="45"/>
  <c r="L70" i="45"/>
  <c r="K70" i="45"/>
  <c r="I70" i="45"/>
  <c r="H70" i="45"/>
  <c r="O69" i="45"/>
  <c r="L69" i="45"/>
  <c r="K69" i="45"/>
  <c r="I69" i="45"/>
  <c r="H69" i="45"/>
  <c r="P68" i="45"/>
  <c r="O68" i="45"/>
  <c r="L68" i="45"/>
  <c r="K68" i="45"/>
  <c r="I68" i="45"/>
  <c r="H68" i="45"/>
  <c r="O67" i="45"/>
  <c r="N67" i="45"/>
  <c r="L67" i="45"/>
  <c r="K67" i="45"/>
  <c r="I67" i="45"/>
  <c r="H67" i="45"/>
  <c r="O66" i="45"/>
  <c r="L66" i="45"/>
  <c r="K66" i="45"/>
  <c r="I66" i="45"/>
  <c r="H66" i="45"/>
  <c r="O65" i="45"/>
  <c r="L65" i="45"/>
  <c r="K65" i="45"/>
  <c r="I65" i="45"/>
  <c r="AH65" i="45" s="1"/>
  <c r="H65" i="45"/>
  <c r="P64" i="45"/>
  <c r="O64" i="45"/>
  <c r="L64" i="45"/>
  <c r="K64" i="45"/>
  <c r="I64" i="45"/>
  <c r="H64" i="45"/>
  <c r="G64" i="45"/>
  <c r="P63" i="45"/>
  <c r="O63" i="45"/>
  <c r="N63" i="45"/>
  <c r="L63" i="45"/>
  <c r="K63" i="45"/>
  <c r="I63" i="45"/>
  <c r="H63" i="45"/>
  <c r="P62" i="45"/>
  <c r="O62" i="45"/>
  <c r="M62" i="45"/>
  <c r="L62" i="45"/>
  <c r="K62" i="45"/>
  <c r="I62" i="45"/>
  <c r="H62" i="45"/>
  <c r="O61" i="45"/>
  <c r="L61" i="45"/>
  <c r="K61" i="45"/>
  <c r="J61" i="45"/>
  <c r="I61" i="45"/>
  <c r="H61" i="45"/>
  <c r="P60" i="45"/>
  <c r="O60" i="45"/>
  <c r="L60" i="45"/>
  <c r="K60" i="45"/>
  <c r="I60" i="45"/>
  <c r="H60" i="45"/>
  <c r="Q59" i="45"/>
  <c r="R59" i="45" s="1"/>
  <c r="O59" i="45"/>
  <c r="N59" i="45"/>
  <c r="M59" i="45"/>
  <c r="L59" i="45"/>
  <c r="K59" i="45"/>
  <c r="I59" i="45"/>
  <c r="H59" i="45"/>
  <c r="O58" i="45"/>
  <c r="L58" i="45"/>
  <c r="K58" i="45"/>
  <c r="I58" i="45"/>
  <c r="H58" i="45"/>
  <c r="P57" i="45"/>
  <c r="O57" i="45"/>
  <c r="L57" i="45"/>
  <c r="K57" i="45"/>
  <c r="I57" i="45"/>
  <c r="H57" i="45"/>
  <c r="O56" i="45"/>
  <c r="L56" i="45"/>
  <c r="K56" i="45"/>
  <c r="I56" i="45"/>
  <c r="H56" i="45"/>
  <c r="O55" i="45"/>
  <c r="M55" i="45"/>
  <c r="L55" i="45"/>
  <c r="K55" i="45"/>
  <c r="I55" i="45"/>
  <c r="H55" i="45"/>
  <c r="E55" i="45"/>
  <c r="O54" i="45"/>
  <c r="M54" i="45"/>
  <c r="L54" i="45"/>
  <c r="K54" i="45"/>
  <c r="I54" i="45"/>
  <c r="H54" i="45"/>
  <c r="O53" i="45"/>
  <c r="L53" i="45"/>
  <c r="K53" i="45"/>
  <c r="I53" i="45"/>
  <c r="H53" i="45"/>
  <c r="O52" i="45"/>
  <c r="M52" i="45"/>
  <c r="L52" i="45"/>
  <c r="K52" i="45"/>
  <c r="I52" i="45"/>
  <c r="H52" i="45"/>
  <c r="O51" i="45"/>
  <c r="L51" i="45"/>
  <c r="K51" i="45"/>
  <c r="I51" i="45"/>
  <c r="H51" i="45"/>
  <c r="E51" i="45"/>
  <c r="O50" i="45"/>
  <c r="L50" i="45"/>
  <c r="K50" i="45"/>
  <c r="I50" i="45"/>
  <c r="AH50" i="45" s="1"/>
  <c r="H50" i="45"/>
  <c r="O49" i="45"/>
  <c r="L49" i="45"/>
  <c r="K49" i="45"/>
  <c r="I49" i="45"/>
  <c r="H49" i="45"/>
  <c r="F49" i="45"/>
  <c r="O48" i="45"/>
  <c r="M48" i="45"/>
  <c r="L48" i="45"/>
  <c r="K48" i="45"/>
  <c r="I48" i="45"/>
  <c r="H48" i="45"/>
  <c r="O47" i="45"/>
  <c r="L47" i="45"/>
  <c r="K47" i="45"/>
  <c r="I47" i="45"/>
  <c r="H47" i="45"/>
  <c r="G47" i="45"/>
  <c r="P46" i="45"/>
  <c r="O46" i="45"/>
  <c r="M46" i="45"/>
  <c r="L46" i="45"/>
  <c r="K46" i="45"/>
  <c r="I46" i="45"/>
  <c r="H46" i="45"/>
  <c r="O45" i="45"/>
  <c r="L45" i="45"/>
  <c r="K45" i="45"/>
  <c r="J45" i="45"/>
  <c r="I45" i="45"/>
  <c r="H45" i="45"/>
  <c r="O44" i="45"/>
  <c r="L44" i="45"/>
  <c r="K44" i="45"/>
  <c r="I44" i="45"/>
  <c r="H44" i="45"/>
  <c r="P43" i="45"/>
  <c r="O43" i="45"/>
  <c r="L43" i="45"/>
  <c r="K43" i="45"/>
  <c r="I43" i="45"/>
  <c r="H43" i="45"/>
  <c r="P42" i="45"/>
  <c r="O42" i="45"/>
  <c r="L42" i="45"/>
  <c r="K42" i="45"/>
  <c r="I42" i="45"/>
  <c r="H42" i="45"/>
  <c r="G42" i="45"/>
  <c r="O41" i="45"/>
  <c r="M41" i="45"/>
  <c r="L41" i="45"/>
  <c r="K41" i="45"/>
  <c r="I41" i="45"/>
  <c r="H41" i="45"/>
  <c r="O40" i="45"/>
  <c r="L40" i="45"/>
  <c r="K40" i="45"/>
  <c r="I40" i="45"/>
  <c r="H40" i="45"/>
  <c r="O39" i="45"/>
  <c r="M39" i="45"/>
  <c r="L39" i="45"/>
  <c r="K39" i="45"/>
  <c r="I39" i="45"/>
  <c r="H39" i="45"/>
  <c r="P38" i="45"/>
  <c r="O38" i="45"/>
  <c r="M38" i="45"/>
  <c r="L38" i="45"/>
  <c r="K38" i="45"/>
  <c r="I38" i="45"/>
  <c r="H38" i="45"/>
  <c r="G38" i="45"/>
  <c r="O37" i="45"/>
  <c r="M37" i="45"/>
  <c r="L37" i="45"/>
  <c r="K37" i="45"/>
  <c r="I37" i="45"/>
  <c r="H37" i="45"/>
  <c r="O36" i="45"/>
  <c r="L36" i="45"/>
  <c r="K36" i="45"/>
  <c r="I36" i="45"/>
  <c r="H36" i="45"/>
  <c r="O35" i="45"/>
  <c r="L35" i="45"/>
  <c r="K35" i="45"/>
  <c r="I35" i="45"/>
  <c r="H35" i="45"/>
  <c r="P34" i="45"/>
  <c r="O34" i="45"/>
  <c r="M34" i="45"/>
  <c r="L34" i="45"/>
  <c r="K34" i="45"/>
  <c r="I34" i="45"/>
  <c r="H34" i="45"/>
  <c r="O33" i="45"/>
  <c r="M33" i="45"/>
  <c r="L33" i="45"/>
  <c r="K33" i="45"/>
  <c r="I33" i="45"/>
  <c r="H33" i="45"/>
  <c r="P32" i="45"/>
  <c r="O32" i="45"/>
  <c r="L32" i="45"/>
  <c r="K32" i="45"/>
  <c r="I32" i="45"/>
  <c r="H32" i="45"/>
  <c r="O31" i="45"/>
  <c r="M31" i="45"/>
  <c r="L31" i="45"/>
  <c r="K31" i="45"/>
  <c r="I31" i="45"/>
  <c r="H31" i="45"/>
  <c r="P30" i="45"/>
  <c r="O30" i="45"/>
  <c r="L30" i="45"/>
  <c r="K30" i="45"/>
  <c r="I30" i="45"/>
  <c r="H30" i="45"/>
  <c r="O29" i="45"/>
  <c r="L29" i="45"/>
  <c r="K29" i="45"/>
  <c r="I29" i="45"/>
  <c r="H29" i="45"/>
  <c r="G29" i="45"/>
  <c r="O28" i="45"/>
  <c r="L28" i="45"/>
  <c r="K28" i="45"/>
  <c r="I28" i="45"/>
  <c r="H28" i="45"/>
  <c r="O27" i="45"/>
  <c r="L27" i="45"/>
  <c r="K27" i="45"/>
  <c r="I27" i="45"/>
  <c r="H27" i="45"/>
  <c r="E27" i="45"/>
  <c r="O26" i="45"/>
  <c r="L26" i="45"/>
  <c r="K26" i="45"/>
  <c r="I26" i="45"/>
  <c r="H26" i="45"/>
  <c r="P25" i="45"/>
  <c r="O25" i="45"/>
  <c r="N25" i="45"/>
  <c r="L25" i="45"/>
  <c r="K25" i="45"/>
  <c r="I25" i="45"/>
  <c r="H25" i="45"/>
  <c r="O24" i="45"/>
  <c r="L24" i="45"/>
  <c r="K24" i="45"/>
  <c r="I24" i="45"/>
  <c r="H24" i="45"/>
  <c r="E24" i="45"/>
  <c r="O23" i="45"/>
  <c r="L23" i="45"/>
  <c r="K23" i="45"/>
  <c r="I23" i="45"/>
  <c r="H23" i="45"/>
  <c r="O22" i="45"/>
  <c r="N22" i="45"/>
  <c r="L22" i="45"/>
  <c r="K22" i="45"/>
  <c r="I22" i="45"/>
  <c r="H22" i="45"/>
  <c r="P21" i="45"/>
  <c r="O21" i="45"/>
  <c r="N21" i="45"/>
  <c r="L21" i="45"/>
  <c r="K21" i="45"/>
  <c r="I21" i="45"/>
  <c r="H21" i="45"/>
  <c r="O20" i="45"/>
  <c r="L20" i="45"/>
  <c r="K20" i="45"/>
  <c r="I20" i="45"/>
  <c r="H20" i="45"/>
  <c r="P19" i="45"/>
  <c r="O19" i="45"/>
  <c r="N19" i="45"/>
  <c r="L19" i="45"/>
  <c r="K19" i="45"/>
  <c r="I19" i="45"/>
  <c r="H19" i="45"/>
  <c r="O18" i="45"/>
  <c r="L18" i="45"/>
  <c r="K18" i="45"/>
  <c r="I18" i="45"/>
  <c r="H18" i="45"/>
  <c r="O17" i="45"/>
  <c r="L17" i="45"/>
  <c r="K17" i="45"/>
  <c r="I17" i="45"/>
  <c r="H17" i="45"/>
  <c r="O16" i="45"/>
  <c r="N16" i="45"/>
  <c r="L16" i="45"/>
  <c r="K16" i="45"/>
  <c r="I16" i="45"/>
  <c r="H16" i="45"/>
  <c r="P15" i="45"/>
  <c r="O15" i="45"/>
  <c r="L15" i="45"/>
  <c r="K15" i="45"/>
  <c r="I15" i="45"/>
  <c r="H15" i="45"/>
  <c r="P14" i="45"/>
  <c r="O14" i="45"/>
  <c r="N14" i="45"/>
  <c r="L14" i="45"/>
  <c r="K14" i="45"/>
  <c r="I14" i="45"/>
  <c r="H14" i="45"/>
  <c r="P13" i="45"/>
  <c r="O13" i="45"/>
  <c r="N13" i="45"/>
  <c r="L13" i="45"/>
  <c r="K13" i="45"/>
  <c r="I13" i="45"/>
  <c r="H13" i="45"/>
  <c r="O12" i="45"/>
  <c r="L12" i="45"/>
  <c r="K12" i="45"/>
  <c r="I12" i="45"/>
  <c r="H12" i="45"/>
  <c r="P11" i="45"/>
  <c r="O11" i="45"/>
  <c r="L11" i="45"/>
  <c r="K11" i="45"/>
  <c r="I11" i="45"/>
  <c r="H11" i="45"/>
  <c r="P10" i="45"/>
  <c r="O10" i="45"/>
  <c r="L10" i="45"/>
  <c r="K10" i="45"/>
  <c r="I10" i="45"/>
  <c r="H10" i="45"/>
  <c r="O9" i="45"/>
  <c r="L9" i="45"/>
  <c r="K9" i="45"/>
  <c r="I9" i="45"/>
  <c r="H9" i="45"/>
  <c r="V8" i="45"/>
  <c r="P8" i="45"/>
  <c r="O8" i="45"/>
  <c r="L8" i="45"/>
  <c r="K8" i="45"/>
  <c r="I8" i="45"/>
  <c r="H8" i="45"/>
  <c r="V7" i="45"/>
  <c r="P7" i="45"/>
  <c r="O7" i="45"/>
  <c r="N7" i="45"/>
  <c r="L7" i="45"/>
  <c r="K7" i="45"/>
  <c r="I7" i="45"/>
  <c r="H7" i="45"/>
  <c r="V6" i="45"/>
  <c r="P6" i="45"/>
  <c r="O6" i="45"/>
  <c r="N6" i="45"/>
  <c r="L6" i="45"/>
  <c r="K6" i="45"/>
  <c r="J6" i="45"/>
  <c r="I6" i="45"/>
  <c r="H6" i="45"/>
  <c r="AG5" i="45"/>
  <c r="P5" i="45"/>
  <c r="O5" i="45"/>
  <c r="N5" i="45"/>
  <c r="M5" i="45"/>
  <c r="L5" i="45"/>
  <c r="K5" i="45"/>
  <c r="J5" i="45"/>
  <c r="I5" i="45"/>
  <c r="H5" i="45"/>
  <c r="G5" i="45"/>
  <c r="F5" i="45"/>
  <c r="E5" i="45"/>
  <c r="D5" i="45"/>
  <c r="U5" i="45" s="1"/>
  <c r="C5" i="45"/>
  <c r="AU4" i="45"/>
  <c r="A1" i="45"/>
  <c r="B302" i="45" l="1"/>
  <c r="B298" i="45"/>
  <c r="B294" i="45"/>
  <c r="Y294" i="45"/>
  <c r="Y298" i="45"/>
  <c r="Y293" i="45"/>
  <c r="Y297" i="45"/>
  <c r="Y296" i="45"/>
  <c r="Y295" i="45"/>
  <c r="S293" i="45"/>
  <c r="Y249" i="45"/>
  <c r="Y274" i="45"/>
  <c r="Y251" i="45"/>
  <c r="Y255" i="45"/>
  <c r="Y259" i="45"/>
  <c r="Y263" i="45"/>
  <c r="Y267" i="45"/>
  <c r="Y271" i="45"/>
  <c r="Y275" i="45"/>
  <c r="Y279" i="45"/>
  <c r="Y283" i="45"/>
  <c r="Y287" i="45"/>
  <c r="Y291" i="45"/>
  <c r="Y252" i="45"/>
  <c r="Y256" i="45"/>
  <c r="Y260" i="45"/>
  <c r="Y264" i="45"/>
  <c r="Y268" i="45"/>
  <c r="Y272" i="45"/>
  <c r="Y276" i="45"/>
  <c r="Y280" i="45"/>
  <c r="Y284" i="45"/>
  <c r="Y288" i="45"/>
  <c r="Y292" i="45"/>
  <c r="Y253" i="45"/>
  <c r="Y257" i="45"/>
  <c r="Y261" i="45"/>
  <c r="Y265" i="45"/>
  <c r="Y269" i="45"/>
  <c r="Y273" i="45"/>
  <c r="Y277" i="45"/>
  <c r="Y281" i="45"/>
  <c r="Y285" i="45"/>
  <c r="Y289" i="45"/>
  <c r="Y250" i="45"/>
  <c r="Y254" i="45"/>
  <c r="Y258" i="45"/>
  <c r="Y262" i="45"/>
  <c r="Y266" i="45"/>
  <c r="Y270" i="45"/>
  <c r="Y278" i="45"/>
  <c r="Y282" i="45"/>
  <c r="Y286" i="45"/>
  <c r="Y290" i="45"/>
  <c r="Y236" i="45"/>
  <c r="Y237" i="45"/>
  <c r="Y241" i="45"/>
  <c r="Y245" i="45"/>
  <c r="Y238" i="45"/>
  <c r="Y242" i="45"/>
  <c r="Y246" i="45"/>
  <c r="Y239" i="45"/>
  <c r="Y243" i="45"/>
  <c r="Y247" i="45"/>
  <c r="Y240" i="45"/>
  <c r="Y244" i="45"/>
  <c r="Y248" i="45"/>
  <c r="Y235" i="45"/>
  <c r="AD224" i="45"/>
  <c r="AF224" i="45" s="1"/>
  <c r="AD228" i="45"/>
  <c r="AF228" i="45" s="1"/>
  <c r="AD232" i="45"/>
  <c r="AF232" i="45" s="1"/>
  <c r="AD225" i="45"/>
  <c r="AF225" i="45" s="1"/>
  <c r="AD233" i="45"/>
  <c r="AF233" i="45" s="1"/>
  <c r="AD226" i="45"/>
  <c r="AF226" i="45" s="1"/>
  <c r="AD230" i="45"/>
  <c r="AF230" i="45" s="1"/>
  <c r="AD234" i="45"/>
  <c r="AF234" i="45" s="1"/>
  <c r="AD227" i="45"/>
  <c r="AF227" i="45" s="1"/>
  <c r="AD231" i="45"/>
  <c r="AF231" i="45" s="1"/>
  <c r="AD229" i="45"/>
  <c r="AF229" i="45" s="1"/>
  <c r="Y224" i="45"/>
  <c r="Y228" i="45"/>
  <c r="Y232" i="45"/>
  <c r="Y221" i="45"/>
  <c r="Y225" i="45"/>
  <c r="Y229" i="45"/>
  <c r="Y233" i="45"/>
  <c r="Y222" i="45"/>
  <c r="Y226" i="45"/>
  <c r="Y230" i="45"/>
  <c r="Y234" i="45"/>
  <c r="Y223" i="45"/>
  <c r="Y227" i="45"/>
  <c r="Y231" i="45"/>
  <c r="Y215" i="45"/>
  <c r="Y219" i="45"/>
  <c r="Y216" i="45"/>
  <c r="Y220" i="45"/>
  <c r="Y217" i="45"/>
  <c r="Y214" i="45"/>
  <c r="Y218" i="45"/>
  <c r="U193" i="43"/>
  <c r="Y206" i="45"/>
  <c r="Y210" i="45"/>
  <c r="Y203" i="45"/>
  <c r="Y207" i="45"/>
  <c r="Y211" i="45"/>
  <c r="Y204" i="45"/>
  <c r="Y208" i="45"/>
  <c r="Y212" i="45"/>
  <c r="Y205" i="45"/>
  <c r="Y209" i="45"/>
  <c r="Y213" i="45"/>
  <c r="Y196" i="45"/>
  <c r="Y200" i="45"/>
  <c r="Y198" i="45"/>
  <c r="Y199" i="45"/>
  <c r="Y197" i="45"/>
  <c r="Y201" i="45"/>
  <c r="Y202" i="45"/>
  <c r="Y195" i="45"/>
  <c r="Y182" i="45"/>
  <c r="Y186" i="45"/>
  <c r="Y190" i="45"/>
  <c r="Y194" i="45"/>
  <c r="Y184" i="45"/>
  <c r="Y185" i="45"/>
  <c r="Y189" i="45"/>
  <c r="Y193" i="45"/>
  <c r="Y183" i="45"/>
  <c r="Y187" i="45"/>
  <c r="Y191" i="45"/>
  <c r="Y188" i="45"/>
  <c r="Y192" i="45"/>
  <c r="U12" i="43"/>
  <c r="U14" i="43"/>
  <c r="U15" i="43"/>
  <c r="U17" i="43"/>
  <c r="U22" i="43"/>
  <c r="U23" i="43"/>
  <c r="U24" i="43"/>
  <c r="U37" i="43"/>
  <c r="U38" i="43"/>
  <c r="U45" i="43"/>
  <c r="U46" i="43"/>
  <c r="U58" i="43"/>
  <c r="U59" i="43"/>
  <c r="U66" i="43"/>
  <c r="U67" i="43"/>
  <c r="U68" i="43"/>
  <c r="U69" i="43"/>
  <c r="U78" i="43"/>
  <c r="U79" i="43"/>
  <c r="U80" i="43"/>
  <c r="U123" i="43"/>
  <c r="U128" i="43"/>
  <c r="U145" i="43"/>
  <c r="U154" i="43"/>
  <c r="U155" i="43"/>
  <c r="U156" i="43"/>
  <c r="U167" i="43"/>
  <c r="U54" i="43"/>
  <c r="U102" i="43"/>
  <c r="U105" i="43"/>
  <c r="U118" i="43"/>
  <c r="U132" i="43"/>
  <c r="U53" i="43"/>
  <c r="U82" i="43"/>
  <c r="U103" i="43"/>
  <c r="U104" i="43"/>
  <c r="U108" i="43"/>
  <c r="U109" i="43"/>
  <c r="U112" i="43"/>
  <c r="U116" i="43"/>
  <c r="U117" i="43"/>
  <c r="U18" i="43"/>
  <c r="U41" i="43"/>
  <c r="U62" i="43"/>
  <c r="U63" i="43"/>
  <c r="U64" i="43"/>
  <c r="U125" i="43"/>
  <c r="U143" i="43"/>
  <c r="U150" i="43"/>
  <c r="U152" i="43"/>
  <c r="U13" i="43"/>
  <c r="U28" i="43"/>
  <c r="U56" i="43"/>
  <c r="U61" i="43"/>
  <c r="U85" i="43"/>
  <c r="U129" i="43"/>
  <c r="U142" i="43"/>
  <c r="U149" i="43"/>
  <c r="U151" i="43"/>
  <c r="U158" i="43"/>
  <c r="U165" i="43"/>
  <c r="U87" i="43"/>
  <c r="U88" i="43"/>
  <c r="U89" i="43"/>
  <c r="U95" i="43"/>
  <c r="U106" i="43"/>
  <c r="U107" i="43"/>
  <c r="U114" i="43"/>
  <c r="U120" i="43"/>
  <c r="U131" i="43"/>
  <c r="U136" i="43"/>
  <c r="ES313" i="43"/>
  <c r="AP137" i="24"/>
  <c r="AQ137" i="24" s="1"/>
  <c r="T9" i="22"/>
  <c r="S9" i="22"/>
  <c r="BI130" i="24"/>
  <c r="BI128" i="24"/>
  <c r="BI114" i="24"/>
  <c r="BI113" i="24"/>
  <c r="BI98" i="24"/>
  <c r="BI96" i="24"/>
  <c r="DC216" i="43"/>
  <c r="DC224" i="43"/>
  <c r="DC232" i="43"/>
  <c r="DC243" i="43"/>
  <c r="DC251" i="43"/>
  <c r="U19" i="43"/>
  <c r="U20" i="43"/>
  <c r="U21" i="43"/>
  <c r="U29" i="43"/>
  <c r="U30" i="43"/>
  <c r="U31" i="43"/>
  <c r="U32" i="43"/>
  <c r="U33" i="43"/>
  <c r="U34" i="43"/>
  <c r="U35" i="43"/>
  <c r="U36" i="43"/>
  <c r="U42" i="43"/>
  <c r="U43" i="43"/>
  <c r="U44" i="43"/>
  <c r="U49" i="43"/>
  <c r="U50" i="43"/>
  <c r="U55" i="43"/>
  <c r="U60" i="43"/>
  <c r="U65" i="43"/>
  <c r="U73" i="43"/>
  <c r="U77" i="43"/>
  <c r="U83" i="43"/>
  <c r="U84" i="43"/>
  <c r="U90" i="43"/>
  <c r="U91" i="43"/>
  <c r="U92" i="43"/>
  <c r="U93" i="43"/>
  <c r="U96" i="43"/>
  <c r="U97" i="43"/>
  <c r="U99" i="43"/>
  <c r="U100" i="43"/>
  <c r="U101" i="43"/>
  <c r="U111" i="43"/>
  <c r="U115" i="43"/>
  <c r="U121" i="43"/>
  <c r="U122" i="43"/>
  <c r="U126" i="43"/>
  <c r="U127" i="43"/>
  <c r="U130" i="43"/>
  <c r="U133" i="43"/>
  <c r="U134" i="43"/>
  <c r="U135" i="43"/>
  <c r="U140" i="43"/>
  <c r="U144" i="43"/>
  <c r="U157" i="43"/>
  <c r="U163" i="43"/>
  <c r="U164" i="43"/>
  <c r="U16" i="43"/>
  <c r="U25" i="43"/>
  <c r="U26" i="43"/>
  <c r="U27" i="43"/>
  <c r="U39" i="43"/>
  <c r="U40" i="43"/>
  <c r="U47" i="43"/>
  <c r="U48" i="43"/>
  <c r="U51" i="43"/>
  <c r="U52" i="43"/>
  <c r="U57" i="43"/>
  <c r="U70" i="43"/>
  <c r="U71" i="43"/>
  <c r="U72" i="43"/>
  <c r="U74" i="43"/>
  <c r="U75" i="43"/>
  <c r="U76" i="43"/>
  <c r="U81" i="43"/>
  <c r="U86" i="43"/>
  <c r="U94" i="43"/>
  <c r="U98" i="43"/>
  <c r="U110" i="43"/>
  <c r="U113" i="43"/>
  <c r="U119" i="43"/>
  <c r="U124" i="43"/>
  <c r="U137" i="43"/>
  <c r="U138" i="43"/>
  <c r="U139" i="43"/>
  <c r="U141" i="43"/>
  <c r="U146" i="43"/>
  <c r="U147" i="43"/>
  <c r="U148" i="43"/>
  <c r="U153" i="43"/>
  <c r="U159" i="43"/>
  <c r="U160" i="43"/>
  <c r="U161" i="43"/>
  <c r="U162" i="43"/>
  <c r="U166" i="43"/>
  <c r="AV46" i="43"/>
  <c r="AV25" i="43"/>
  <c r="DC194" i="43"/>
  <c r="S295" i="45"/>
  <c r="S299" i="45"/>
  <c r="S302" i="45"/>
  <c r="CW18" i="43"/>
  <c r="E9" i="44"/>
  <c r="B10" i="44"/>
  <c r="B11" i="44"/>
  <c r="J11" i="44"/>
  <c r="I12" i="44"/>
  <c r="D13" i="44"/>
  <c r="L13" i="44"/>
  <c r="L14" i="44"/>
  <c r="I15" i="44"/>
  <c r="D16" i="44"/>
  <c r="D17" i="44"/>
  <c r="L17" i="44"/>
  <c r="I18" i="44"/>
  <c r="E19" i="44"/>
  <c r="M19" i="44"/>
  <c r="M20" i="44"/>
  <c r="D10" i="44"/>
  <c r="D11" i="44"/>
  <c r="L12" i="44"/>
  <c r="E13" i="44"/>
  <c r="B15" i="44"/>
  <c r="E16" i="44"/>
  <c r="E17" i="44"/>
  <c r="J18" i="44"/>
  <c r="E20" i="44"/>
  <c r="N48" i="45"/>
  <c r="N50" i="45"/>
  <c r="M105" i="45"/>
  <c r="M108" i="45"/>
  <c r="M133" i="45"/>
  <c r="M175" i="45"/>
  <c r="M180" i="45"/>
  <c r="N201" i="45"/>
  <c r="M283" i="45"/>
  <c r="M329" i="45"/>
  <c r="M333" i="45"/>
  <c r="N24" i="45"/>
  <c r="N74" i="45"/>
  <c r="M113" i="45"/>
  <c r="M121" i="45"/>
  <c r="N42" i="45"/>
  <c r="N46" i="45"/>
  <c r="N53" i="45"/>
  <c r="N57" i="45"/>
  <c r="N92" i="45"/>
  <c r="N100" i="45"/>
  <c r="M123" i="45"/>
  <c r="M137" i="45"/>
  <c r="M146" i="45"/>
  <c r="M147" i="45"/>
  <c r="N194" i="45"/>
  <c r="M327" i="45"/>
  <c r="M360" i="45"/>
  <c r="M387" i="45"/>
  <c r="I15" i="43"/>
  <c r="M389" i="45"/>
  <c r="I17" i="43"/>
  <c r="M16" i="45"/>
  <c r="I19" i="43"/>
  <c r="M18" i="45"/>
  <c r="I21" i="43"/>
  <c r="M20" i="45"/>
  <c r="I23" i="43"/>
  <c r="M22" i="45"/>
  <c r="I25" i="43"/>
  <c r="N28" i="45"/>
  <c r="J31" i="43"/>
  <c r="N30" i="45"/>
  <c r="J33" i="43"/>
  <c r="N32" i="45"/>
  <c r="J35" i="43"/>
  <c r="N34" i="45"/>
  <c r="J37" i="43"/>
  <c r="N38" i="45"/>
  <c r="J41" i="43"/>
  <c r="N40" i="45"/>
  <c r="J43" i="43"/>
  <c r="N52" i="45"/>
  <c r="J55" i="43"/>
  <c r="N54" i="45"/>
  <c r="J57" i="43"/>
  <c r="N56" i="45"/>
  <c r="J59" i="43"/>
  <c r="N60" i="45"/>
  <c r="J63" i="43"/>
  <c r="N62" i="45"/>
  <c r="J65" i="43"/>
  <c r="N64" i="45"/>
  <c r="J67" i="43"/>
  <c r="N66" i="45"/>
  <c r="J69" i="43"/>
  <c r="N68" i="45"/>
  <c r="N72" i="45"/>
  <c r="J75" i="43"/>
  <c r="N76" i="45"/>
  <c r="N78" i="45"/>
  <c r="N80" i="45"/>
  <c r="N86" i="45"/>
  <c r="J89" i="43"/>
  <c r="N88" i="45"/>
  <c r="J91" i="43"/>
  <c r="N90" i="45"/>
  <c r="J93" i="43"/>
  <c r="N94" i="45"/>
  <c r="J97" i="43"/>
  <c r="N98" i="45"/>
  <c r="J101" i="43"/>
  <c r="N102" i="45"/>
  <c r="J105" i="43"/>
  <c r="M107" i="45"/>
  <c r="I110" i="43"/>
  <c r="M111" i="45"/>
  <c r="I114" i="43"/>
  <c r="M115" i="45"/>
  <c r="I118" i="43"/>
  <c r="M117" i="45"/>
  <c r="I120" i="43"/>
  <c r="M119" i="45"/>
  <c r="I122" i="43"/>
  <c r="M127" i="45"/>
  <c r="I130" i="43"/>
  <c r="M131" i="45"/>
  <c r="I134" i="43"/>
  <c r="M135" i="45"/>
  <c r="I138" i="43"/>
  <c r="M141" i="45"/>
  <c r="M143" i="45"/>
  <c r="I146" i="43"/>
  <c r="M145" i="45"/>
  <c r="M149" i="45"/>
  <c r="M151" i="45"/>
  <c r="I154" i="43"/>
  <c r="M153" i="45"/>
  <c r="I156" i="43"/>
  <c r="M157" i="45"/>
  <c r="I160" i="43"/>
  <c r="M159" i="45"/>
  <c r="M161" i="45"/>
  <c r="I164" i="43"/>
  <c r="M163" i="45"/>
  <c r="M165" i="45"/>
  <c r="M167" i="45"/>
  <c r="I170" i="43"/>
  <c r="M169" i="45"/>
  <c r="M171" i="45"/>
  <c r="M173" i="45"/>
  <c r="M177" i="45"/>
  <c r="M179" i="45"/>
  <c r="I182" i="43"/>
  <c r="M181" i="45"/>
  <c r="I184" i="43"/>
  <c r="M183" i="45"/>
  <c r="M185" i="45"/>
  <c r="I188" i="43"/>
  <c r="M187" i="45"/>
  <c r="I190" i="43"/>
  <c r="M189" i="45"/>
  <c r="I192" i="43"/>
  <c r="M195" i="45"/>
  <c r="I198" i="43"/>
  <c r="N197" i="45"/>
  <c r="J200" i="43"/>
  <c r="M198" i="45"/>
  <c r="I201" i="43"/>
  <c r="M202" i="45"/>
  <c r="I205" i="43"/>
  <c r="N268" i="45"/>
  <c r="J271" i="43"/>
  <c r="N274" i="45"/>
  <c r="J277" i="43"/>
  <c r="N276" i="45"/>
  <c r="J279" i="43"/>
  <c r="M278" i="45"/>
  <c r="I281" i="43"/>
  <c r="M280" i="45"/>
  <c r="I283" i="43"/>
  <c r="M282" i="45"/>
  <c r="I285" i="43"/>
  <c r="M284" i="45"/>
  <c r="I287" i="43"/>
  <c r="M294" i="45"/>
  <c r="M296" i="45"/>
  <c r="I299" i="43"/>
  <c r="M298" i="45"/>
  <c r="I301" i="43"/>
  <c r="M300" i="45"/>
  <c r="I303" i="43"/>
  <c r="M304" i="45"/>
  <c r="M310" i="45"/>
  <c r="I313" i="43"/>
  <c r="M312" i="45"/>
  <c r="I315" i="43"/>
  <c r="M314" i="45"/>
  <c r="I317" i="43"/>
  <c r="M318" i="45"/>
  <c r="M328" i="45"/>
  <c r="I331" i="43"/>
  <c r="M330" i="45"/>
  <c r="I333" i="43"/>
  <c r="M332" i="45"/>
  <c r="I335" i="43"/>
  <c r="M334" i="45"/>
  <c r="I337" i="43"/>
  <c r="M340" i="45"/>
  <c r="I343" i="43"/>
  <c r="M344" i="45"/>
  <c r="I347" i="43"/>
  <c r="M346" i="45"/>
  <c r="I349" i="43"/>
  <c r="M348" i="45"/>
  <c r="M354" i="45"/>
  <c r="I357" i="43"/>
  <c r="M356" i="45"/>
  <c r="I359" i="43"/>
  <c r="M358" i="45"/>
  <c r="I361" i="43"/>
  <c r="M362" i="45"/>
  <c r="I365" i="43"/>
  <c r="M366" i="45"/>
  <c r="I369" i="43"/>
  <c r="M368" i="45"/>
  <c r="I371" i="43"/>
  <c r="M370" i="45"/>
  <c r="I373" i="43"/>
  <c r="M372" i="45"/>
  <c r="I375" i="43"/>
  <c r="M376" i="45"/>
  <c r="N29" i="45"/>
  <c r="N79" i="45"/>
  <c r="N91" i="45"/>
  <c r="M150" i="45"/>
  <c r="M156" i="45"/>
  <c r="M305" i="45"/>
  <c r="M306" i="45"/>
  <c r="M308" i="45"/>
  <c r="M337" i="45"/>
  <c r="M347" i="45"/>
  <c r="M357" i="45"/>
  <c r="M361" i="45"/>
  <c r="N15" i="45"/>
  <c r="J18" i="43"/>
  <c r="N17" i="45"/>
  <c r="J20" i="43"/>
  <c r="M24" i="45"/>
  <c r="I27" i="43"/>
  <c r="M26" i="45"/>
  <c r="I29" i="43"/>
  <c r="M28" i="45"/>
  <c r="I31" i="43"/>
  <c r="M30" i="45"/>
  <c r="I33" i="43"/>
  <c r="M32" i="45"/>
  <c r="I35" i="43"/>
  <c r="M36" i="45"/>
  <c r="I39" i="43"/>
  <c r="M40" i="45"/>
  <c r="M42" i="45"/>
  <c r="I45" i="43"/>
  <c r="M44" i="45"/>
  <c r="I47" i="43"/>
  <c r="M50" i="45"/>
  <c r="M56" i="45"/>
  <c r="I59" i="43"/>
  <c r="M58" i="45"/>
  <c r="I61" i="43"/>
  <c r="M60" i="45"/>
  <c r="I63" i="43"/>
  <c r="M64" i="45"/>
  <c r="I67" i="43"/>
  <c r="M66" i="45"/>
  <c r="I69" i="43"/>
  <c r="M68" i="45"/>
  <c r="M72" i="45"/>
  <c r="I75" i="43"/>
  <c r="M76" i="45"/>
  <c r="M82" i="45"/>
  <c r="I85" i="43"/>
  <c r="M84" i="45"/>
  <c r="I87" i="43"/>
  <c r="M86" i="45"/>
  <c r="I89" i="43"/>
  <c r="M88" i="45"/>
  <c r="I91" i="43"/>
  <c r="M90" i="45"/>
  <c r="I93" i="43"/>
  <c r="M92" i="45"/>
  <c r="I95" i="43"/>
  <c r="M94" i="45"/>
  <c r="I97" i="43"/>
  <c r="M98" i="45"/>
  <c r="I101" i="43"/>
  <c r="M102" i="45"/>
  <c r="I105" i="43"/>
  <c r="N106" i="45"/>
  <c r="N114" i="45"/>
  <c r="J117" i="43"/>
  <c r="N118" i="45"/>
  <c r="J121" i="43"/>
  <c r="N122" i="45"/>
  <c r="J125" i="43"/>
  <c r="N124" i="45"/>
  <c r="N128" i="45"/>
  <c r="J131" i="43"/>
  <c r="N132" i="45"/>
  <c r="J135" i="43"/>
  <c r="N136" i="45"/>
  <c r="N140" i="45"/>
  <c r="J143" i="43"/>
  <c r="N142" i="45"/>
  <c r="N144" i="45"/>
  <c r="J147" i="43"/>
  <c r="N146" i="45"/>
  <c r="J149" i="43"/>
  <c r="N148" i="45"/>
  <c r="N150" i="45"/>
  <c r="J153" i="43"/>
  <c r="N152" i="45"/>
  <c r="N156" i="45"/>
  <c r="N158" i="45"/>
  <c r="J161" i="43"/>
  <c r="N162" i="45"/>
  <c r="N166" i="45"/>
  <c r="J169" i="43"/>
  <c r="N170" i="45"/>
  <c r="N174" i="45"/>
  <c r="J177" i="43"/>
  <c r="N178" i="45"/>
  <c r="J181" i="43"/>
  <c r="N180" i="45"/>
  <c r="J183" i="43"/>
  <c r="N184" i="45"/>
  <c r="N186" i="45"/>
  <c r="J189" i="43"/>
  <c r="N188" i="45"/>
  <c r="J191" i="43"/>
  <c r="N190" i="45"/>
  <c r="J193" i="43"/>
  <c r="N193" i="45"/>
  <c r="J196" i="43"/>
  <c r="M194" i="45"/>
  <c r="I197" i="43"/>
  <c r="M197" i="45"/>
  <c r="I200" i="43"/>
  <c r="N200" i="45"/>
  <c r="J203" i="43"/>
  <c r="M201" i="45"/>
  <c r="I204" i="43"/>
  <c r="M268" i="45"/>
  <c r="I271" i="43"/>
  <c r="M272" i="45"/>
  <c r="I275" i="43"/>
  <c r="M276" i="45"/>
  <c r="I279" i="43"/>
  <c r="N281" i="45"/>
  <c r="J284" i="43"/>
  <c r="N283" i="45"/>
  <c r="J286" i="43"/>
  <c r="N285" i="45"/>
  <c r="J288" i="43"/>
  <c r="N295" i="45"/>
  <c r="J298" i="43"/>
  <c r="N297" i="45"/>
  <c r="J300" i="43"/>
  <c r="N301" i="45"/>
  <c r="J304" i="43"/>
  <c r="N303" i="45"/>
  <c r="J306" i="43"/>
  <c r="N311" i="45"/>
  <c r="N313" i="45"/>
  <c r="J316" i="43"/>
  <c r="N315" i="45"/>
  <c r="J318" i="43"/>
  <c r="N325" i="45"/>
  <c r="J328" i="43"/>
  <c r="N327" i="45"/>
  <c r="J330" i="43"/>
  <c r="N335" i="45"/>
  <c r="J338" i="43"/>
  <c r="N337" i="45"/>
  <c r="J340" i="43"/>
  <c r="N339" i="45"/>
  <c r="J342" i="43"/>
  <c r="N341" i="45"/>
  <c r="J344" i="43"/>
  <c r="N347" i="45"/>
  <c r="N351" i="45"/>
  <c r="J354" i="43"/>
  <c r="N353" i="45"/>
  <c r="J356" i="43"/>
  <c r="N355" i="45"/>
  <c r="J358" i="43"/>
  <c r="N357" i="45"/>
  <c r="J360" i="43"/>
  <c r="N361" i="45"/>
  <c r="J364" i="43"/>
  <c r="N363" i="45"/>
  <c r="J366" i="43"/>
  <c r="N367" i="45"/>
  <c r="J370" i="43"/>
  <c r="N369" i="45"/>
  <c r="J372" i="43"/>
  <c r="N371" i="45"/>
  <c r="J374" i="43"/>
  <c r="N375" i="45"/>
  <c r="J378" i="43"/>
  <c r="N377" i="45"/>
  <c r="M13" i="45"/>
  <c r="I16" i="43"/>
  <c r="M15" i="45"/>
  <c r="I18" i="43"/>
  <c r="M17" i="45"/>
  <c r="I20" i="43"/>
  <c r="M19" i="45"/>
  <c r="I22" i="43"/>
  <c r="M21" i="45"/>
  <c r="I24" i="43"/>
  <c r="N27" i="45"/>
  <c r="J30" i="43"/>
  <c r="N31" i="45"/>
  <c r="J34" i="43"/>
  <c r="N33" i="45"/>
  <c r="N35" i="45"/>
  <c r="N37" i="45"/>
  <c r="N39" i="45"/>
  <c r="J42" i="43"/>
  <c r="N43" i="45"/>
  <c r="J46" i="43"/>
  <c r="N45" i="45"/>
  <c r="J48" i="43"/>
  <c r="N47" i="45"/>
  <c r="J50" i="43"/>
  <c r="N49" i="45"/>
  <c r="J52" i="43"/>
  <c r="N51" i="45"/>
  <c r="J54" i="43"/>
  <c r="N55" i="45"/>
  <c r="J58" i="43"/>
  <c r="N61" i="45"/>
  <c r="N65" i="45"/>
  <c r="J68" i="43"/>
  <c r="N69" i="45"/>
  <c r="J72" i="43"/>
  <c r="N73" i="45"/>
  <c r="N77" i="45"/>
  <c r="J80" i="43"/>
  <c r="N81" i="45"/>
  <c r="N83" i="45"/>
  <c r="J86" i="43"/>
  <c r="N85" i="45"/>
  <c r="J88" i="43"/>
  <c r="N87" i="45"/>
  <c r="J90" i="43"/>
  <c r="N89" i="45"/>
  <c r="J92" i="43"/>
  <c r="N93" i="45"/>
  <c r="J96" i="43"/>
  <c r="N97" i="45"/>
  <c r="J100" i="43"/>
  <c r="N99" i="45"/>
  <c r="J102" i="43"/>
  <c r="N101" i="45"/>
  <c r="J104" i="43"/>
  <c r="M106" i="45"/>
  <c r="M110" i="45"/>
  <c r="I113" i="43"/>
  <c r="M112" i="45"/>
  <c r="I115" i="43"/>
  <c r="M114" i="45"/>
  <c r="M116" i="45"/>
  <c r="I119" i="43"/>
  <c r="M120" i="45"/>
  <c r="I123" i="43"/>
  <c r="M124" i="45"/>
  <c r="M130" i="45"/>
  <c r="I133" i="43"/>
  <c r="M132" i="45"/>
  <c r="I135" i="43"/>
  <c r="M134" i="45"/>
  <c r="I137" i="43"/>
  <c r="M136" i="45"/>
  <c r="M140" i="45"/>
  <c r="M144" i="45"/>
  <c r="I147" i="43"/>
  <c r="M148" i="45"/>
  <c r="M152" i="45"/>
  <c r="I155" i="43"/>
  <c r="M154" i="45"/>
  <c r="I157" i="43"/>
  <c r="M158" i="45"/>
  <c r="I161" i="43"/>
  <c r="M164" i="45"/>
  <c r="I167" i="43"/>
  <c r="M166" i="45"/>
  <c r="I169" i="43"/>
  <c r="M168" i="45"/>
  <c r="M170" i="45"/>
  <c r="M172" i="45"/>
  <c r="I175" i="43"/>
  <c r="M174" i="45"/>
  <c r="I177" i="43"/>
  <c r="M176" i="45"/>
  <c r="I179" i="43"/>
  <c r="M178" i="45"/>
  <c r="I181" i="43"/>
  <c r="M182" i="45"/>
  <c r="I185" i="43"/>
  <c r="M184" i="45"/>
  <c r="M186" i="45"/>
  <c r="I189" i="43"/>
  <c r="M190" i="45"/>
  <c r="I193" i="43"/>
  <c r="M193" i="45"/>
  <c r="I196" i="43"/>
  <c r="N196" i="45"/>
  <c r="J199" i="43"/>
  <c r="N199" i="45"/>
  <c r="J202" i="43"/>
  <c r="M200" i="45"/>
  <c r="I203" i="43"/>
  <c r="N203" i="45"/>
  <c r="J206" i="43"/>
  <c r="N267" i="45"/>
  <c r="J270" i="43"/>
  <c r="N271" i="45"/>
  <c r="J274" i="43"/>
  <c r="N273" i="45"/>
  <c r="J276" i="43"/>
  <c r="N275" i="45"/>
  <c r="J278" i="43"/>
  <c r="N277" i="45"/>
  <c r="J280" i="43"/>
  <c r="M279" i="45"/>
  <c r="I282" i="43"/>
  <c r="M281" i="45"/>
  <c r="I284" i="43"/>
  <c r="M285" i="45"/>
  <c r="I288" i="43"/>
  <c r="M295" i="45"/>
  <c r="M297" i="45"/>
  <c r="I300" i="43"/>
  <c r="M301" i="45"/>
  <c r="I304" i="43"/>
  <c r="M303" i="45"/>
  <c r="I306" i="43"/>
  <c r="M307" i="45"/>
  <c r="M311" i="45"/>
  <c r="I314" i="43"/>
  <c r="M313" i="45"/>
  <c r="I316" i="43"/>
  <c r="M331" i="45"/>
  <c r="M335" i="45"/>
  <c r="I338" i="43"/>
  <c r="M339" i="45"/>
  <c r="M349" i="45"/>
  <c r="M353" i="45"/>
  <c r="I356" i="43"/>
  <c r="M359" i="45"/>
  <c r="I362" i="43"/>
  <c r="M367" i="45"/>
  <c r="I370" i="43"/>
  <c r="M369" i="45"/>
  <c r="I372" i="43"/>
  <c r="M371" i="45"/>
  <c r="I374" i="43"/>
  <c r="M373" i="45"/>
  <c r="I376" i="43"/>
  <c r="M375" i="45"/>
  <c r="I378" i="43"/>
  <c r="N23" i="45"/>
  <c r="N26" i="45"/>
  <c r="N36" i="45"/>
  <c r="N41" i="45"/>
  <c r="N44" i="45"/>
  <c r="N58" i="45"/>
  <c r="N82" i="45"/>
  <c r="N95" i="45"/>
  <c r="N96" i="45"/>
  <c r="N103" i="45"/>
  <c r="N104" i="45"/>
  <c r="M109" i="45"/>
  <c r="M122" i="45"/>
  <c r="M125" i="45"/>
  <c r="M126" i="45"/>
  <c r="M128" i="45"/>
  <c r="M129" i="45"/>
  <c r="M138" i="45"/>
  <c r="M142" i="45"/>
  <c r="M155" i="45"/>
  <c r="M162" i="45"/>
  <c r="M188" i="45"/>
  <c r="N192" i="45"/>
  <c r="N269" i="45"/>
  <c r="N272" i="45"/>
  <c r="M315" i="45"/>
  <c r="M317" i="45"/>
  <c r="M321" i="45"/>
  <c r="M323" i="45"/>
  <c r="M326" i="45"/>
  <c r="M341" i="45"/>
  <c r="M342" i="45"/>
  <c r="M350" i="45"/>
  <c r="M351" i="45"/>
  <c r="M352" i="45"/>
  <c r="N387" i="45"/>
  <c r="J15" i="43"/>
  <c r="N18" i="45"/>
  <c r="J21" i="43"/>
  <c r="N20" i="45"/>
  <c r="J23" i="43"/>
  <c r="M23" i="45"/>
  <c r="I26" i="43"/>
  <c r="M25" i="45"/>
  <c r="I28" i="43"/>
  <c r="M27" i="45"/>
  <c r="I30" i="43"/>
  <c r="M29" i="45"/>
  <c r="M35" i="45"/>
  <c r="M43" i="45"/>
  <c r="I46" i="43"/>
  <c r="M45" i="45"/>
  <c r="I48" i="43"/>
  <c r="M47" i="45"/>
  <c r="I50" i="43"/>
  <c r="M49" i="45"/>
  <c r="I52" i="43"/>
  <c r="M51" i="45"/>
  <c r="I54" i="43"/>
  <c r="M53" i="45"/>
  <c r="M57" i="45"/>
  <c r="I60" i="43"/>
  <c r="M61" i="45"/>
  <c r="I64" i="43"/>
  <c r="M63" i="45"/>
  <c r="I66" i="43"/>
  <c r="M65" i="45"/>
  <c r="I68" i="43"/>
  <c r="M67" i="45"/>
  <c r="I70" i="43"/>
  <c r="M69" i="45"/>
  <c r="I72" i="43"/>
  <c r="M73" i="45"/>
  <c r="M75" i="45"/>
  <c r="I78" i="43"/>
  <c r="M77" i="45"/>
  <c r="I80" i="43"/>
  <c r="M79" i="45"/>
  <c r="I82" i="43"/>
  <c r="M81" i="45"/>
  <c r="M85" i="45"/>
  <c r="I88" i="43"/>
  <c r="M89" i="45"/>
  <c r="I92" i="43"/>
  <c r="M97" i="45"/>
  <c r="I100" i="43"/>
  <c r="M101" i="45"/>
  <c r="I104" i="43"/>
  <c r="N105" i="45"/>
  <c r="J108" i="43"/>
  <c r="N109" i="45"/>
  <c r="J112" i="43"/>
  <c r="N113" i="45"/>
  <c r="J116" i="43"/>
  <c r="N115" i="45"/>
  <c r="J118" i="43"/>
  <c r="N119" i="45"/>
  <c r="J122" i="43"/>
  <c r="N121" i="45"/>
  <c r="J124" i="43"/>
  <c r="N123" i="45"/>
  <c r="J126" i="43"/>
  <c r="N125" i="45"/>
  <c r="J128" i="43"/>
  <c r="N131" i="45"/>
  <c r="J134" i="43"/>
  <c r="N133" i="45"/>
  <c r="J136" i="43"/>
  <c r="N135" i="45"/>
  <c r="J138" i="43"/>
  <c r="N139" i="45"/>
  <c r="N145" i="45"/>
  <c r="J148" i="43"/>
  <c r="N149" i="45"/>
  <c r="N153" i="45"/>
  <c r="J156" i="43"/>
  <c r="N155" i="45"/>
  <c r="J158" i="43"/>
  <c r="N157" i="45"/>
  <c r="J160" i="43"/>
  <c r="N159" i="45"/>
  <c r="J162" i="43"/>
  <c r="N161" i="45"/>
  <c r="J164" i="43"/>
  <c r="N165" i="45"/>
  <c r="N167" i="45"/>
  <c r="J170" i="43"/>
  <c r="N169" i="45"/>
  <c r="N171" i="45"/>
  <c r="N175" i="45"/>
  <c r="J178" i="43"/>
  <c r="N185" i="45"/>
  <c r="N189" i="45"/>
  <c r="J192" i="43"/>
  <c r="N191" i="45"/>
  <c r="J194" i="43"/>
  <c r="M196" i="45"/>
  <c r="I199" i="43"/>
  <c r="N198" i="45"/>
  <c r="J201" i="43"/>
  <c r="M267" i="45"/>
  <c r="I270" i="43"/>
  <c r="M273" i="45"/>
  <c r="I276" i="43"/>
  <c r="M275" i="45"/>
  <c r="I278" i="43"/>
  <c r="M277" i="45"/>
  <c r="I280" i="43"/>
  <c r="N282" i="45"/>
  <c r="J285" i="43"/>
  <c r="N294" i="45"/>
  <c r="N296" i="45"/>
  <c r="J299" i="43"/>
  <c r="N298" i="45"/>
  <c r="J301" i="43"/>
  <c r="N300" i="45"/>
  <c r="J303" i="43"/>
  <c r="N308" i="45"/>
  <c r="J311" i="43"/>
  <c r="N312" i="45"/>
  <c r="J315" i="43"/>
  <c r="N314" i="45"/>
  <c r="J317" i="43"/>
  <c r="N326" i="45"/>
  <c r="J329" i="43"/>
  <c r="N328" i="45"/>
  <c r="J331" i="43"/>
  <c r="N330" i="45"/>
  <c r="J333" i="43"/>
  <c r="N338" i="45"/>
  <c r="J341" i="43"/>
  <c r="N340" i="45"/>
  <c r="J343" i="43"/>
  <c r="N342" i="45"/>
  <c r="J345" i="43"/>
  <c r="N348" i="45"/>
  <c r="N354" i="45"/>
  <c r="J357" i="43"/>
  <c r="N356" i="45"/>
  <c r="J359" i="43"/>
  <c r="N358" i="45"/>
  <c r="J361" i="43"/>
  <c r="N360" i="45"/>
  <c r="J363" i="43"/>
  <c r="N362" i="45"/>
  <c r="J365" i="43"/>
  <c r="N366" i="45"/>
  <c r="J369" i="43"/>
  <c r="N368" i="45"/>
  <c r="J371" i="43"/>
  <c r="N370" i="45"/>
  <c r="J373" i="43"/>
  <c r="N374" i="45"/>
  <c r="J377" i="43"/>
  <c r="N376" i="45"/>
  <c r="J379" i="43"/>
  <c r="B293" i="45"/>
  <c r="S294" i="45"/>
  <c r="B295" i="45"/>
  <c r="DQ299" i="43"/>
  <c r="DR299" i="43" s="1"/>
  <c r="G299" i="43" s="1"/>
  <c r="Q296" i="45"/>
  <c r="R296" i="45" s="1"/>
  <c r="S296" i="45" s="1"/>
  <c r="B297" i="45"/>
  <c r="S298" i="45"/>
  <c r="B299" i="45"/>
  <c r="B301" i="45"/>
  <c r="ES177" i="43"/>
  <c r="P215" i="43"/>
  <c r="ES276" i="43"/>
  <c r="P299" i="43"/>
  <c r="E296" i="45"/>
  <c r="B296" i="45" s="1"/>
  <c r="B300" i="45"/>
  <c r="AP41" i="24"/>
  <c r="AP43" i="24"/>
  <c r="AS43" i="24" s="1"/>
  <c r="AP47" i="24"/>
  <c r="AQ47" i="24" s="1"/>
  <c r="B352" i="45"/>
  <c r="AP323" i="24"/>
  <c r="S303" i="45"/>
  <c r="B303" i="45"/>
  <c r="S301" i="45"/>
  <c r="S300" i="45"/>
  <c r="AD300" i="45"/>
  <c r="AD299" i="45"/>
  <c r="AD301" i="45"/>
  <c r="AD302" i="45"/>
  <c r="AD303" i="45"/>
  <c r="AD297" i="45"/>
  <c r="AC297" i="45" s="1"/>
  <c r="AB297" i="45" s="1"/>
  <c r="AD298" i="45"/>
  <c r="AC298" i="45" s="1"/>
  <c r="AB298" i="45" s="1"/>
  <c r="AD296" i="45"/>
  <c r="AC296" i="45" s="1"/>
  <c r="AB296" i="45" s="1"/>
  <c r="AD295" i="45"/>
  <c r="AC295" i="45" s="1"/>
  <c r="AB295" i="45" s="1"/>
  <c r="AD294" i="45"/>
  <c r="AC294" i="45" s="1"/>
  <c r="AB294" i="45" s="1"/>
  <c r="AD293" i="45"/>
  <c r="AC293" i="45" s="1"/>
  <c r="AB293" i="45" s="1"/>
  <c r="AD292" i="45"/>
  <c r="AC292" i="45" s="1"/>
  <c r="AP292" i="24"/>
  <c r="AQ292" i="24" s="1"/>
  <c r="AP288" i="24"/>
  <c r="AQ288" i="24" s="1"/>
  <c r="P12" i="45"/>
  <c r="ES280" i="43"/>
  <c r="CY257" i="43"/>
  <c r="CY258" i="43"/>
  <c r="CY259" i="43"/>
  <c r="CY260" i="43"/>
  <c r="CY261" i="43"/>
  <c r="CY262" i="43"/>
  <c r="CY263" i="43"/>
  <c r="CY264" i="43"/>
  <c r="CY265" i="43"/>
  <c r="CY266" i="43"/>
  <c r="CY267" i="43"/>
  <c r="CY268" i="43"/>
  <c r="CY269" i="43"/>
  <c r="CY271" i="43"/>
  <c r="CY273" i="43"/>
  <c r="CY277" i="43"/>
  <c r="CY279" i="43"/>
  <c r="CY275" i="43"/>
  <c r="CY256" i="43"/>
  <c r="CY282" i="43"/>
  <c r="CY284" i="43"/>
  <c r="CY286" i="43"/>
  <c r="CY288" i="43"/>
  <c r="CY290" i="43"/>
  <c r="CY281" i="43"/>
  <c r="CY283" i="43"/>
  <c r="CY285" i="43"/>
  <c r="CY287" i="43"/>
  <c r="CY291" i="43"/>
  <c r="CY289" i="43"/>
  <c r="CY270" i="43"/>
  <c r="CY272" i="43"/>
  <c r="CY274" i="43"/>
  <c r="CY276" i="43"/>
  <c r="CY278" i="43"/>
  <c r="CY280" i="43"/>
  <c r="ES224" i="43"/>
  <c r="AP204" i="24"/>
  <c r="AR204" i="24" s="1"/>
  <c r="AP202" i="24"/>
  <c r="AQ202" i="24" s="1"/>
  <c r="BI194" i="24"/>
  <c r="P189" i="43"/>
  <c r="ES182" i="43"/>
  <c r="DC206" i="43"/>
  <c r="DC241" i="43"/>
  <c r="T339" i="43"/>
  <c r="AV26" i="43"/>
  <c r="BO43" i="43"/>
  <c r="AV43" i="43"/>
  <c r="DC198" i="43"/>
  <c r="DC211" i="43"/>
  <c r="DC222" i="43"/>
  <c r="DC230" i="43"/>
  <c r="T378" i="43"/>
  <c r="DC195" i="43"/>
  <c r="DC218" i="43"/>
  <c r="DC226" i="43"/>
  <c r="DC234" i="43"/>
  <c r="DC245" i="43"/>
  <c r="DC253" i="43"/>
  <c r="T301" i="43"/>
  <c r="CJ43" i="43"/>
  <c r="DC212" i="43"/>
  <c r="DC220" i="43"/>
  <c r="DC228" i="43"/>
  <c r="DC247" i="43"/>
  <c r="DC255" i="43"/>
  <c r="BO212" i="43"/>
  <c r="BO218" i="43"/>
  <c r="CJ218" i="43"/>
  <c r="BO255" i="43"/>
  <c r="CJ280" i="43"/>
  <c r="CJ288" i="43"/>
  <c r="DC292" i="43"/>
  <c r="DC296" i="43"/>
  <c r="CJ300" i="43"/>
  <c r="B169" i="45"/>
  <c r="BO230" i="43"/>
  <c r="CJ230" i="43"/>
  <c r="BO222" i="43"/>
  <c r="CJ222" i="43"/>
  <c r="BO234" i="43"/>
  <c r="CJ234" i="43"/>
  <c r="DC378" i="43"/>
  <c r="AV33" i="43"/>
  <c r="BO211" i="43"/>
  <c r="AV211" i="43"/>
  <c r="CJ214" i="43"/>
  <c r="DC207" i="43"/>
  <c r="BO226" i="43"/>
  <c r="CJ226" i="43"/>
  <c r="AV40" i="43"/>
  <c r="BO216" i="43"/>
  <c r="CJ216" i="43"/>
  <c r="BO220" i="43"/>
  <c r="CJ220" i="43"/>
  <c r="BO224" i="43"/>
  <c r="CJ224" i="43"/>
  <c r="BO228" i="43"/>
  <c r="CJ228" i="43"/>
  <c r="BO232" i="43"/>
  <c r="CJ232" i="43"/>
  <c r="BO249" i="43"/>
  <c r="BO247" i="43"/>
  <c r="DC257" i="43"/>
  <c r="DC259" i="43"/>
  <c r="CJ261" i="43"/>
  <c r="DC263" i="43"/>
  <c r="DC265" i="43"/>
  <c r="T269" i="43"/>
  <c r="CJ301" i="43"/>
  <c r="DC305" i="43"/>
  <c r="DC309" i="43"/>
  <c r="AV325" i="43"/>
  <c r="AV329" i="43"/>
  <c r="AV333" i="43"/>
  <c r="AJ337" i="43"/>
  <c r="AK337" i="43" s="1"/>
  <c r="C334" i="45" s="1"/>
  <c r="DC345" i="43"/>
  <c r="BO353" i="43"/>
  <c r="BO361" i="43"/>
  <c r="CJ365" i="43"/>
  <c r="AV373" i="43"/>
  <c r="BO253" i="43"/>
  <c r="CJ274" i="43"/>
  <c r="DC278" i="43"/>
  <c r="DC310" i="43"/>
  <c r="AV318" i="43"/>
  <c r="AV326" i="43"/>
  <c r="DC330" i="43"/>
  <c r="CJ338" i="43"/>
  <c r="AV21" i="43"/>
  <c r="CJ193" i="43"/>
  <c r="AV194" i="43"/>
  <c r="BO195" i="43"/>
  <c r="BO202" i="43"/>
  <c r="DC308" i="43"/>
  <c r="DC312" i="43"/>
  <c r="AV324" i="43"/>
  <c r="AV328" i="43"/>
  <c r="DC336" i="43"/>
  <c r="BO217" i="43"/>
  <c r="AJ217" i="43"/>
  <c r="AK217" i="43" s="1"/>
  <c r="C214" i="45" s="1"/>
  <c r="AJ221" i="43"/>
  <c r="AK221" i="43" s="1"/>
  <c r="C218" i="45" s="1"/>
  <c r="AJ225" i="43"/>
  <c r="AK225" i="43" s="1"/>
  <c r="C222" i="45" s="1"/>
  <c r="AJ229" i="43"/>
  <c r="AK229" i="43" s="1"/>
  <c r="C226" i="45" s="1"/>
  <c r="AJ233" i="43"/>
  <c r="AK233" i="43" s="1"/>
  <c r="C230" i="45" s="1"/>
  <c r="BO256" i="43"/>
  <c r="DC264" i="43"/>
  <c r="DC266" i="43"/>
  <c r="DC268" i="43"/>
  <c r="CJ275" i="43"/>
  <c r="DC279" i="43"/>
  <c r="AJ303" i="43"/>
  <c r="AK303" i="43" s="1"/>
  <c r="C300" i="45" s="1"/>
  <c r="DC311" i="43"/>
  <c r="AV319" i="43"/>
  <c r="AV327" i="43"/>
  <c r="T196" i="43"/>
  <c r="BO197" i="43"/>
  <c r="AJ198" i="43"/>
  <c r="AK198" i="43" s="1"/>
  <c r="C195" i="45" s="1"/>
  <c r="BO205" i="43"/>
  <c r="BO206" i="43"/>
  <c r="CJ215" i="43"/>
  <c r="BO245" i="43"/>
  <c r="BO251" i="43"/>
  <c r="DC283" i="43"/>
  <c r="CJ287" i="43"/>
  <c r="AJ291" i="43"/>
  <c r="AK291" i="43" s="1"/>
  <c r="C288" i="45" s="1"/>
  <c r="AJ295" i="43"/>
  <c r="AK295" i="43" s="1"/>
  <c r="C292" i="45" s="1"/>
  <c r="BO348" i="43"/>
  <c r="CJ356" i="43"/>
  <c r="AV372" i="43"/>
  <c r="AJ219" i="43"/>
  <c r="AK219" i="43" s="1"/>
  <c r="C216" i="45" s="1"/>
  <c r="AJ223" i="43"/>
  <c r="AK223" i="43" s="1"/>
  <c r="C220" i="45" s="1"/>
  <c r="AJ227" i="43"/>
  <c r="AK227" i="43" s="1"/>
  <c r="C224" i="45" s="1"/>
  <c r="AJ231" i="43"/>
  <c r="AK231" i="43" s="1"/>
  <c r="C228" i="45" s="1"/>
  <c r="AJ235" i="43"/>
  <c r="AK235" i="43" s="1"/>
  <c r="C232" i="45" s="1"/>
  <c r="CJ282" i="43"/>
  <c r="DC294" i="43"/>
  <c r="DC298" i="43"/>
  <c r="BO347" i="43"/>
  <c r="BO351" i="43"/>
  <c r="BO355" i="43"/>
  <c r="BO363" i="43"/>
  <c r="BO367" i="43"/>
  <c r="AV371" i="43"/>
  <c r="BO381" i="43"/>
  <c r="CJ380" i="43"/>
  <c r="AV45" i="43"/>
  <c r="BO201" i="43"/>
  <c r="CJ210" i="43"/>
  <c r="CJ281" i="43"/>
  <c r="AV289" i="43"/>
  <c r="AJ293" i="43"/>
  <c r="AK293" i="43" s="1"/>
  <c r="C290" i="45" s="1"/>
  <c r="CJ297" i="43"/>
  <c r="AJ354" i="43"/>
  <c r="AK354" i="43" s="1"/>
  <c r="C351" i="45" s="1"/>
  <c r="BO366" i="43"/>
  <c r="AM137" i="43"/>
  <c r="AM133" i="43"/>
  <c r="DQ127" i="43"/>
  <c r="DR127" i="43" s="1"/>
  <c r="G127" i="43" s="1"/>
  <c r="AG124" i="45" s="1"/>
  <c r="ES122" i="43"/>
  <c r="ES121" i="43"/>
  <c r="AP113" i="24"/>
  <c r="AS113" i="24" s="1"/>
  <c r="AP97" i="24"/>
  <c r="AS97" i="24" s="1"/>
  <c r="DQ91" i="43"/>
  <c r="DR91" i="43" s="1"/>
  <c r="G91" i="43" s="1"/>
  <c r="GX366" i="43"/>
  <c r="GW366" i="43" s="1"/>
  <c r="GS366" i="43" s="1"/>
  <c r="AN370" i="43"/>
  <c r="DY370" i="43" s="1"/>
  <c r="DZ370" i="43" s="1"/>
  <c r="ES85" i="43"/>
  <c r="DQ86" i="43"/>
  <c r="DR86" i="43" s="1"/>
  <c r="G86" i="43" s="1"/>
  <c r="BO45" i="43"/>
  <c r="CJ18" i="43"/>
  <c r="BO41" i="43"/>
  <c r="AJ45" i="43"/>
  <c r="AK45" i="43" s="1"/>
  <c r="C42" i="45" s="1"/>
  <c r="DC45" i="43"/>
  <c r="AV38" i="43"/>
  <c r="AJ287" i="43"/>
  <c r="AK287" i="43" s="1"/>
  <c r="C284" i="45" s="1"/>
  <c r="AV41" i="43"/>
  <c r="CJ45" i="43"/>
  <c r="BO37" i="43"/>
  <c r="CJ41" i="43"/>
  <c r="T197" i="43"/>
  <c r="AV197" i="43"/>
  <c r="T226" i="43"/>
  <c r="AV226" i="43"/>
  <c r="BO18" i="43"/>
  <c r="AV193" i="43"/>
  <c r="DC287" i="43"/>
  <c r="BO333" i="43"/>
  <c r="DC333" i="43"/>
  <c r="T333" i="43"/>
  <c r="BO25" i="43"/>
  <c r="DC249" i="43"/>
  <c r="BO12" i="43"/>
  <c r="BO31" i="43"/>
  <c r="AJ37" i="43"/>
  <c r="AK37" i="43" s="1"/>
  <c r="C34" i="45" s="1"/>
  <c r="DC37" i="43"/>
  <c r="T37" i="43"/>
  <c r="AV37" i="43"/>
  <c r="AV283" i="43"/>
  <c r="CJ21" i="43"/>
  <c r="AJ27" i="43"/>
  <c r="AK27" i="43" s="1"/>
  <c r="C24" i="45" s="1"/>
  <c r="CJ283" i="43"/>
  <c r="CJ33" i="43"/>
  <c r="AV48" i="43"/>
  <c r="T228" i="43"/>
  <c r="AV228" i="43"/>
  <c r="BO215" i="43"/>
  <c r="T224" i="43"/>
  <c r="BO28" i="43"/>
  <c r="BO33" i="43"/>
  <c r="T206" i="43"/>
  <c r="AV206" i="43"/>
  <c r="CJ206" i="43"/>
  <c r="BO21" i="43"/>
  <c r="AV224" i="43"/>
  <c r="T218" i="43"/>
  <c r="BO269" i="43"/>
  <c r="DC215" i="43"/>
  <c r="BO283" i="43"/>
  <c r="AV16" i="43"/>
  <c r="CJ16" i="43"/>
  <c r="CJ35" i="43"/>
  <c r="AV56" i="43"/>
  <c r="CJ279" i="43"/>
  <c r="AN333" i="43"/>
  <c r="AO333" i="43" s="1"/>
  <c r="FF333" i="43" s="1"/>
  <c r="AJ12" i="43"/>
  <c r="AK12" i="43" s="1"/>
  <c r="C9" i="45" s="1"/>
  <c r="DC12" i="43"/>
  <c r="T12" i="43"/>
  <c r="BO30" i="43"/>
  <c r="BO13" i="43"/>
  <c r="BO214" i="43"/>
  <c r="BO318" i="43"/>
  <c r="BO319" i="43"/>
  <c r="BO324" i="43"/>
  <c r="BO325" i="43"/>
  <c r="BO326" i="43"/>
  <c r="BO327" i="43"/>
  <c r="BO328" i="43"/>
  <c r="BO329" i="43"/>
  <c r="AN345" i="43"/>
  <c r="AO345" i="43" s="1"/>
  <c r="FF345" i="43" s="1"/>
  <c r="AV354" i="43"/>
  <c r="AV12" i="43"/>
  <c r="AJ25" i="43"/>
  <c r="AK25" i="43" s="1"/>
  <c r="C22" i="45" s="1"/>
  <c r="AV34" i="43"/>
  <c r="BO35" i="43"/>
  <c r="AJ43" i="43"/>
  <c r="AK43" i="43" s="1"/>
  <c r="C40" i="45" s="1"/>
  <c r="T43" i="43"/>
  <c r="AV49" i="43"/>
  <c r="AV50" i="43"/>
  <c r="CJ204" i="43"/>
  <c r="BO26" i="43"/>
  <c r="BO27" i="43"/>
  <c r="BO34" i="43"/>
  <c r="BO39" i="43"/>
  <c r="BO289" i="43"/>
  <c r="AV13" i="43"/>
  <c r="CJ202" i="43"/>
  <c r="T230" i="43"/>
  <c r="AV230" i="43"/>
  <c r="T318" i="43"/>
  <c r="AN374" i="43"/>
  <c r="DY374" i="43" s="1"/>
  <c r="DZ374" i="43" s="1"/>
  <c r="AJ28" i="43"/>
  <c r="AK28" i="43" s="1"/>
  <c r="C25" i="45" s="1"/>
  <c r="DC28" i="43"/>
  <c r="DC30" i="43"/>
  <c r="BO315" i="43"/>
  <c r="AJ30" i="43"/>
  <c r="AK30" i="43" s="1"/>
  <c r="C27" i="45" s="1"/>
  <c r="DC250" i="43"/>
  <c r="DC302" i="43"/>
  <c r="AV52" i="43"/>
  <c r="DC256" i="43"/>
  <c r="DC261" i="43"/>
  <c r="AJ261" i="43"/>
  <c r="AK261" i="43" s="1"/>
  <c r="C258" i="45" s="1"/>
  <c r="BO15" i="43"/>
  <c r="BO16" i="43"/>
  <c r="DC18" i="43"/>
  <c r="T18" i="43"/>
  <c r="AJ21" i="43"/>
  <c r="AK21" i="43" s="1"/>
  <c r="C18" i="45" s="1"/>
  <c r="DC21" i="43"/>
  <c r="T21" i="43"/>
  <c r="BO22" i="43"/>
  <c r="BO23" i="43"/>
  <c r="BO24" i="43"/>
  <c r="AV28" i="43"/>
  <c r="T222" i="43"/>
  <c r="AV222" i="43"/>
  <c r="DC246" i="43"/>
  <c r="DC274" i="43"/>
  <c r="AV274" i="43"/>
  <c r="BO261" i="43"/>
  <c r="BO14" i="43"/>
  <c r="AJ20" i="43"/>
  <c r="AK20" i="43" s="1"/>
  <c r="C17" i="45" s="1"/>
  <c r="BO40" i="43"/>
  <c r="T365" i="43"/>
  <c r="AV365" i="43"/>
  <c r="AJ23" i="43"/>
  <c r="AK23" i="43" s="1"/>
  <c r="C20" i="45" s="1"/>
  <c r="AJ24" i="43"/>
  <c r="AK24" i="43" s="1"/>
  <c r="C21" i="45" s="1"/>
  <c r="T25" i="43"/>
  <c r="T220" i="43"/>
  <c r="T234" i="43"/>
  <c r="AV234" i="43"/>
  <c r="AJ193" i="43"/>
  <c r="AK193" i="43" s="1"/>
  <c r="C190" i="45" s="1"/>
  <c r="T212" i="43"/>
  <c r="AV212" i="43"/>
  <c r="AV217" i="43"/>
  <c r="T232" i="43"/>
  <c r="AV232" i="43"/>
  <c r="DC248" i="43"/>
  <c r="AV257" i="43"/>
  <c r="T261" i="43"/>
  <c r="AV261" i="43"/>
  <c r="AJ356" i="43"/>
  <c r="AK356" i="43" s="1"/>
  <c r="C353" i="45" s="1"/>
  <c r="DC31" i="43"/>
  <c r="T31" i="43"/>
  <c r="AV53" i="43"/>
  <c r="AV54" i="43"/>
  <c r="AJ195" i="43"/>
  <c r="AK195" i="43" s="1"/>
  <c r="C192" i="45" s="1"/>
  <c r="DC214" i="43"/>
  <c r="DC252" i="43"/>
  <c r="AJ269" i="43"/>
  <c r="AK269" i="43" s="1"/>
  <c r="C266" i="45" s="1"/>
  <c r="DC269" i="43"/>
  <c r="DC275" i="43"/>
  <c r="T275" i="43"/>
  <c r="AV280" i="43"/>
  <c r="CJ312" i="43"/>
  <c r="AV347" i="43"/>
  <c r="AV348" i="43"/>
  <c r="CJ354" i="43"/>
  <c r="AV355" i="43"/>
  <c r="AV381" i="43"/>
  <c r="AJ14" i="43"/>
  <c r="AK14" i="43" s="1"/>
  <c r="C11" i="45" s="1"/>
  <c r="DC14" i="43"/>
  <c r="T14" i="43"/>
  <c r="AJ31" i="43"/>
  <c r="AK31" i="43" s="1"/>
  <c r="C28" i="45" s="1"/>
  <c r="BO32" i="43"/>
  <c r="AJ39" i="43"/>
  <c r="AK39" i="43" s="1"/>
  <c r="C36" i="45" s="1"/>
  <c r="DC39" i="43"/>
  <c r="T39" i="43"/>
  <c r="T193" i="43"/>
  <c r="DC196" i="43"/>
  <c r="CJ200" i="43"/>
  <c r="AJ215" i="43"/>
  <c r="AK215" i="43" s="1"/>
  <c r="C212" i="45" s="1"/>
  <c r="T215" i="43"/>
  <c r="AV218" i="43"/>
  <c r="AV220" i="43"/>
  <c r="DC242" i="43"/>
  <c r="DC281" i="43"/>
  <c r="T281" i="43"/>
  <c r="DC282" i="43"/>
  <c r="AV282" i="43"/>
  <c r="DC300" i="43"/>
  <c r="AJ301" i="43"/>
  <c r="AK301" i="43" s="1"/>
  <c r="C298" i="45" s="1"/>
  <c r="BO306" i="43"/>
  <c r="AV366" i="43"/>
  <c r="AV367" i="43"/>
  <c r="BO370" i="43"/>
  <c r="BO371" i="43"/>
  <c r="BO372" i="43"/>
  <c r="BO373" i="43"/>
  <c r="DC373" i="43"/>
  <c r="DC379" i="43"/>
  <c r="AJ275" i="43"/>
  <c r="AK275" i="43" s="1"/>
  <c r="C272" i="45" s="1"/>
  <c r="AV11" i="43"/>
  <c r="AV17" i="43"/>
  <c r="AJ33" i="43"/>
  <c r="AK33" i="43" s="1"/>
  <c r="C30" i="45" s="1"/>
  <c r="DC33" i="43"/>
  <c r="T33" i="43"/>
  <c r="AV36" i="43"/>
  <c r="AJ216" i="43"/>
  <c r="AK216" i="43" s="1"/>
  <c r="C213" i="45" s="1"/>
  <c r="AV259" i="43"/>
  <c r="AV262" i="43"/>
  <c r="AV269" i="43"/>
  <c r="AJ281" i="43"/>
  <c r="AK281" i="43" s="1"/>
  <c r="C278" i="45" s="1"/>
  <c r="CJ310" i="43"/>
  <c r="BO354" i="43"/>
  <c r="GQ378" i="43"/>
  <c r="GP378" i="43" s="1"/>
  <c r="GL378" i="43" s="1"/>
  <c r="AN378" i="43"/>
  <c r="DY378" i="43" s="1"/>
  <c r="DZ378" i="43" s="1"/>
  <c r="AV14" i="43"/>
  <c r="AJ16" i="43"/>
  <c r="AK16" i="43" s="1"/>
  <c r="C13" i="45" s="1"/>
  <c r="T16" i="43"/>
  <c r="BO17" i="43"/>
  <c r="AV19" i="43"/>
  <c r="AV22" i="43"/>
  <c r="AV29" i="43"/>
  <c r="DC35" i="43"/>
  <c r="T35" i="43"/>
  <c r="AV39" i="43"/>
  <c r="AJ41" i="43"/>
  <c r="AK41" i="43" s="1"/>
  <c r="C38" i="45" s="1"/>
  <c r="T41" i="43"/>
  <c r="T195" i="43"/>
  <c r="AV195" i="43"/>
  <c r="AJ196" i="43"/>
  <c r="AK196" i="43" s="1"/>
  <c r="AV215" i="43"/>
  <c r="T217" i="43"/>
  <c r="DC244" i="43"/>
  <c r="CJ269" i="43"/>
  <c r="AJ283" i="43"/>
  <c r="AK283" i="43" s="1"/>
  <c r="C280" i="45" s="1"/>
  <c r="T283" i="43"/>
  <c r="DC290" i="43"/>
  <c r="BO314" i="43"/>
  <c r="BO365" i="43"/>
  <c r="DC365" i="43"/>
  <c r="GX370" i="43"/>
  <c r="GW370" i="43" s="1"/>
  <c r="GS370" i="43" s="1"/>
  <c r="AN379" i="43"/>
  <c r="DY379" i="43" s="1"/>
  <c r="DZ379" i="43" s="1"/>
  <c r="BO19" i="43"/>
  <c r="BO20" i="43"/>
  <c r="T28" i="43"/>
  <c r="BO29" i="43"/>
  <c r="AV32" i="43"/>
  <c r="AJ197" i="43"/>
  <c r="AK197" i="43" s="1"/>
  <c r="C194" i="45" s="1"/>
  <c r="AJ212" i="43"/>
  <c r="AK212" i="43" s="1"/>
  <c r="C209" i="45" s="1"/>
  <c r="T216" i="43"/>
  <c r="AN365" i="43"/>
  <c r="AO365" i="43" s="1"/>
  <c r="FF365" i="43" s="1"/>
  <c r="AV370" i="43"/>
  <c r="HE377" i="43"/>
  <c r="HD377" i="43" s="1"/>
  <c r="GZ377" i="43" s="1"/>
  <c r="GQ381" i="43"/>
  <c r="GP381" i="43" s="1"/>
  <c r="GL381" i="43" s="1"/>
  <c r="DC254" i="43"/>
  <c r="AV278" i="43"/>
  <c r="GQ373" i="43"/>
  <c r="GP373" i="43" s="1"/>
  <c r="GL373" i="43" s="1"/>
  <c r="AV15" i="43"/>
  <c r="T30" i="43"/>
  <c r="T45" i="43"/>
  <c r="BO193" i="43"/>
  <c r="DC193" i="43"/>
  <c r="CJ209" i="43"/>
  <c r="AV216" i="43"/>
  <c r="AJ218" i="43"/>
  <c r="AK218" i="43" s="1"/>
  <c r="C215" i="45" s="1"/>
  <c r="AJ220" i="43"/>
  <c r="AK220" i="43" s="1"/>
  <c r="C217" i="45" s="1"/>
  <c r="AJ222" i="43"/>
  <c r="AK222" i="43" s="1"/>
  <c r="C219" i="45" s="1"/>
  <c r="AJ224" i="43"/>
  <c r="AK224" i="43" s="1"/>
  <c r="C221" i="45" s="1"/>
  <c r="AJ226" i="43"/>
  <c r="AK226" i="43" s="1"/>
  <c r="C223" i="45" s="1"/>
  <c r="AJ228" i="43"/>
  <c r="AK228" i="43" s="1"/>
  <c r="C225" i="45" s="1"/>
  <c r="AJ230" i="43"/>
  <c r="AK230" i="43" s="1"/>
  <c r="C227" i="45" s="1"/>
  <c r="AJ232" i="43"/>
  <c r="AK232" i="43" s="1"/>
  <c r="C229" i="45" s="1"/>
  <c r="AJ234" i="43"/>
  <c r="AK234" i="43" s="1"/>
  <c r="C231" i="45" s="1"/>
  <c r="DC240" i="43"/>
  <c r="AV268" i="43"/>
  <c r="DC286" i="43"/>
  <c r="CJ308" i="43"/>
  <c r="U11" i="43"/>
  <c r="AN356" i="43"/>
  <c r="DY356" i="43" s="1"/>
  <c r="DZ356" i="43" s="1"/>
  <c r="AN362" i="43"/>
  <c r="AO362" i="43" s="1"/>
  <c r="FF362" i="43" s="1"/>
  <c r="AN336" i="43"/>
  <c r="AO336" i="43" s="1"/>
  <c r="FF336" i="43" s="1"/>
  <c r="GQ346" i="43"/>
  <c r="GP346" i="43" s="1"/>
  <c r="GL346" i="43" s="1"/>
  <c r="GQ347" i="43"/>
  <c r="GP347" i="43" s="1"/>
  <c r="GL347" i="43" s="1"/>
  <c r="GQ348" i="43"/>
  <c r="GP348" i="43" s="1"/>
  <c r="GL348" i="43" s="1"/>
  <c r="AN350" i="43"/>
  <c r="DY350" i="43" s="1"/>
  <c r="DZ350" i="43" s="1"/>
  <c r="GX330" i="43"/>
  <c r="GW330" i="43" s="1"/>
  <c r="GS330" i="43" s="1"/>
  <c r="GX334" i="43"/>
  <c r="GW334" i="43" s="1"/>
  <c r="GS334" i="43" s="1"/>
  <c r="AN334" i="43"/>
  <c r="AO334" i="43" s="1"/>
  <c r="FF334" i="43" s="1"/>
  <c r="AN338" i="43"/>
  <c r="AO338" i="43" s="1"/>
  <c r="FF338" i="43" s="1"/>
  <c r="DC237" i="43"/>
  <c r="BO237" i="43"/>
  <c r="AV237" i="43"/>
  <c r="BO316" i="43"/>
  <c r="AV316" i="43"/>
  <c r="T316" i="43"/>
  <c r="BO335" i="43"/>
  <c r="AV335" i="43"/>
  <c r="DC238" i="43"/>
  <c r="BO238" i="43"/>
  <c r="AV238" i="43"/>
  <c r="CJ303" i="43"/>
  <c r="T303" i="43"/>
  <c r="AV18" i="43"/>
  <c r="AV30" i="43"/>
  <c r="AV35" i="43"/>
  <c r="BO203" i="43"/>
  <c r="BO209" i="43"/>
  <c r="DC236" i="43"/>
  <c r="BO236" i="43"/>
  <c r="AV236" i="43"/>
  <c r="AV275" i="43"/>
  <c r="BO275" i="43"/>
  <c r="AV281" i="43"/>
  <c r="BO281" i="43"/>
  <c r="BO282" i="43"/>
  <c r="CJ286" i="43"/>
  <c r="T287" i="43"/>
  <c r="BO287" i="43"/>
  <c r="AV287" i="43"/>
  <c r="BO290" i="43"/>
  <c r="T302" i="43"/>
  <c r="AV302" i="43"/>
  <c r="BO302" i="43"/>
  <c r="BO304" i="43"/>
  <c r="AV304" i="43"/>
  <c r="T314" i="43"/>
  <c r="AV314" i="43"/>
  <c r="AV315" i="43"/>
  <c r="GX335" i="43"/>
  <c r="GW335" i="43" s="1"/>
  <c r="GS335" i="43" s="1"/>
  <c r="T345" i="43"/>
  <c r="BO345" i="43"/>
  <c r="AV345" i="43"/>
  <c r="AJ345" i="43"/>
  <c r="AK345" i="43" s="1"/>
  <c r="C342" i="45" s="1"/>
  <c r="T279" i="43"/>
  <c r="BO279" i="43"/>
  <c r="AV279" i="43"/>
  <c r="BO379" i="43"/>
  <c r="AJ379" i="43"/>
  <c r="AK379" i="43" s="1"/>
  <c r="C376" i="45" s="1"/>
  <c r="T219" i="43"/>
  <c r="DC219" i="43"/>
  <c r="BO219" i="43"/>
  <c r="AV219" i="43"/>
  <c r="T221" i="43"/>
  <c r="DC221" i="43"/>
  <c r="BO221" i="43"/>
  <c r="AV221" i="43"/>
  <c r="T223" i="43"/>
  <c r="DC223" i="43"/>
  <c r="BO223" i="43"/>
  <c r="AV223" i="43"/>
  <c r="T225" i="43"/>
  <c r="DC225" i="43"/>
  <c r="BO225" i="43"/>
  <c r="AV225" i="43"/>
  <c r="T227" i="43"/>
  <c r="DC227" i="43"/>
  <c r="BO227" i="43"/>
  <c r="AV227" i="43"/>
  <c r="T229" i="43"/>
  <c r="DC229" i="43"/>
  <c r="BO229" i="43"/>
  <c r="AV229" i="43"/>
  <c r="T231" i="43"/>
  <c r="DC231" i="43"/>
  <c r="BO231" i="43"/>
  <c r="AV231" i="43"/>
  <c r="T233" i="43"/>
  <c r="DC233" i="43"/>
  <c r="BO233" i="43"/>
  <c r="AV233" i="43"/>
  <c r="T235" i="43"/>
  <c r="DC235" i="43"/>
  <c r="BO235" i="43"/>
  <c r="AV235" i="43"/>
  <c r="AJ279" i="43"/>
  <c r="AK279" i="43" s="1"/>
  <c r="C276" i="45" s="1"/>
  <c r="BO334" i="43"/>
  <c r="AV334" i="43"/>
  <c r="CJ336" i="43"/>
  <c r="T336" i="43"/>
  <c r="T379" i="43"/>
  <c r="CJ217" i="43"/>
  <c r="CJ219" i="43"/>
  <c r="CJ221" i="43"/>
  <c r="CJ223" i="43"/>
  <c r="CJ225" i="43"/>
  <c r="CJ227" i="43"/>
  <c r="CJ229" i="43"/>
  <c r="CJ231" i="43"/>
  <c r="CJ233" i="43"/>
  <c r="CJ235" i="43"/>
  <c r="BO246" i="43"/>
  <c r="BO248" i="43"/>
  <c r="BO250" i="43"/>
  <c r="BO252" i="43"/>
  <c r="BO254" i="43"/>
  <c r="BO259" i="43"/>
  <c r="CJ268" i="43"/>
  <c r="CJ278" i="43"/>
  <c r="BO286" i="43"/>
  <c r="CJ302" i="43"/>
  <c r="CJ305" i="43"/>
  <c r="DC307" i="43"/>
  <c r="BO321" i="43"/>
  <c r="GQ333" i="43"/>
  <c r="GP333" i="43" s="1"/>
  <c r="GL333" i="43" s="1"/>
  <c r="GQ334" i="43"/>
  <c r="GP334" i="43" s="1"/>
  <c r="GL334" i="43" s="1"/>
  <c r="GQ335" i="43"/>
  <c r="GP335" i="43" s="1"/>
  <c r="GL335" i="43" s="1"/>
  <c r="GQ345" i="43"/>
  <c r="GP345" i="43" s="1"/>
  <c r="GL345" i="43" s="1"/>
  <c r="GQ349" i="43"/>
  <c r="GP349" i="43" s="1"/>
  <c r="GL349" i="43" s="1"/>
  <c r="GX368" i="43"/>
  <c r="GW368" i="43" s="1"/>
  <c r="GS368" i="43" s="1"/>
  <c r="BO368" i="43"/>
  <c r="GQ374" i="43"/>
  <c r="GP374" i="43" s="1"/>
  <c r="GL374" i="43" s="1"/>
  <c r="BO200" i="43"/>
  <c r="BO204" i="43"/>
  <c r="BO213" i="43"/>
  <c r="BO257" i="43"/>
  <c r="DC267" i="43"/>
  <c r="BO284" i="43"/>
  <c r="BO288" i="43"/>
  <c r="CJ299" i="43"/>
  <c r="BO313" i="43"/>
  <c r="BO317" i="43"/>
  <c r="GX342" i="43"/>
  <c r="GW342" i="43" s="1"/>
  <c r="GS342" i="43" s="1"/>
  <c r="GX348" i="43"/>
  <c r="GW348" i="43" s="1"/>
  <c r="GS348" i="43" s="1"/>
  <c r="GX350" i="43"/>
  <c r="GW350" i="43" s="1"/>
  <c r="GS350" i="43" s="1"/>
  <c r="BO352" i="43"/>
  <c r="GX355" i="43"/>
  <c r="GW355" i="43" s="1"/>
  <c r="GS355" i="43" s="1"/>
  <c r="GX356" i="43"/>
  <c r="GW356" i="43" s="1"/>
  <c r="GS356" i="43" s="1"/>
  <c r="BO360" i="43"/>
  <c r="GX362" i="43"/>
  <c r="GW362" i="43" s="1"/>
  <c r="GS362" i="43" s="1"/>
  <c r="BO364" i="43"/>
  <c r="CJ373" i="43"/>
  <c r="DC377" i="43"/>
  <c r="CJ378" i="43"/>
  <c r="DC36" i="43"/>
  <c r="CJ36" i="43"/>
  <c r="AJ36" i="43"/>
  <c r="AK36" i="43" s="1"/>
  <c r="C33" i="45" s="1"/>
  <c r="DC44" i="43"/>
  <c r="CJ44" i="43"/>
  <c r="AJ44" i="43"/>
  <c r="AK44" i="43" s="1"/>
  <c r="C41" i="45" s="1"/>
  <c r="DC47" i="43"/>
  <c r="CJ47" i="43"/>
  <c r="AJ47" i="43"/>
  <c r="AK47" i="43" s="1"/>
  <c r="C44" i="45" s="1"/>
  <c r="DC51" i="43"/>
  <c r="CJ51" i="43"/>
  <c r="AJ51" i="43"/>
  <c r="AK51" i="43" s="1"/>
  <c r="C48" i="45" s="1"/>
  <c r="DC55" i="43"/>
  <c r="CJ55" i="43"/>
  <c r="AJ55" i="43"/>
  <c r="AK55" i="43" s="1"/>
  <c r="C52" i="45" s="1"/>
  <c r="BO199" i="43"/>
  <c r="AJ199" i="43"/>
  <c r="AK199" i="43" s="1"/>
  <c r="C196" i="45" s="1"/>
  <c r="T199" i="43"/>
  <c r="BO258" i="43"/>
  <c r="DC258" i="43"/>
  <c r="CJ276" i="43"/>
  <c r="DC276" i="43"/>
  <c r="T277" i="43"/>
  <c r="DC277" i="43"/>
  <c r="CJ277" i="43"/>
  <c r="AJ277" i="43"/>
  <c r="AK277" i="43" s="1"/>
  <c r="C274" i="45" s="1"/>
  <c r="BO337" i="43"/>
  <c r="AV337" i="43"/>
  <c r="T11" i="43"/>
  <c r="AJ13" i="43"/>
  <c r="AK13" i="43" s="1"/>
  <c r="C10" i="45" s="1"/>
  <c r="CJ13" i="43"/>
  <c r="T13" i="43"/>
  <c r="AJ17" i="43"/>
  <c r="AK17" i="43" s="1"/>
  <c r="C14" i="45" s="1"/>
  <c r="CJ17" i="43"/>
  <c r="T17" i="43"/>
  <c r="CJ20" i="43"/>
  <c r="T20" i="43"/>
  <c r="CJ23" i="43"/>
  <c r="T23" i="43"/>
  <c r="AJ26" i="43"/>
  <c r="AK26" i="43" s="1"/>
  <c r="C23" i="45" s="1"/>
  <c r="CJ26" i="43"/>
  <c r="T26" i="43"/>
  <c r="AJ29" i="43"/>
  <c r="AK29" i="43" s="1"/>
  <c r="C26" i="45" s="1"/>
  <c r="CJ29" i="43"/>
  <c r="T29" i="43"/>
  <c r="AJ32" i="43"/>
  <c r="AK32" i="43" s="1"/>
  <c r="C29" i="45" s="1"/>
  <c r="CJ32" i="43"/>
  <c r="T32" i="43"/>
  <c r="DC42" i="43"/>
  <c r="CJ42" i="43"/>
  <c r="AJ42" i="43"/>
  <c r="AK42" i="43" s="1"/>
  <c r="C39" i="45" s="1"/>
  <c r="DC48" i="43"/>
  <c r="CJ48" i="43"/>
  <c r="AJ48" i="43"/>
  <c r="AK48" i="43" s="1"/>
  <c r="C45" i="45" s="1"/>
  <c r="DC52" i="43"/>
  <c r="CJ52" i="43"/>
  <c r="AJ52" i="43"/>
  <c r="AK52" i="43" s="1"/>
  <c r="C49" i="45" s="1"/>
  <c r="DC56" i="43"/>
  <c r="CJ56" i="43"/>
  <c r="AJ56" i="43"/>
  <c r="AK56" i="43" s="1"/>
  <c r="C53" i="45" s="1"/>
  <c r="T194" i="43"/>
  <c r="BO196" i="43"/>
  <c r="AV196" i="43"/>
  <c r="BO291" i="43"/>
  <c r="AV291" i="43"/>
  <c r="BO293" i="43"/>
  <c r="AV293" i="43"/>
  <c r="BO295" i="43"/>
  <c r="AV295" i="43"/>
  <c r="BO301" i="43"/>
  <c r="AV301" i="43"/>
  <c r="DC40" i="43"/>
  <c r="CJ40" i="43"/>
  <c r="AJ40" i="43"/>
  <c r="AK40" i="43" s="1"/>
  <c r="C37" i="45" s="1"/>
  <c r="AV44" i="43"/>
  <c r="BO44" i="43"/>
  <c r="AV47" i="43"/>
  <c r="BO47" i="43"/>
  <c r="DC49" i="43"/>
  <c r="CJ49" i="43"/>
  <c r="AJ49" i="43"/>
  <c r="AK49" i="43" s="1"/>
  <c r="C46" i="45" s="1"/>
  <c r="AV51" i="43"/>
  <c r="BO51" i="43"/>
  <c r="DC53" i="43"/>
  <c r="CJ53" i="43"/>
  <c r="AJ53" i="43"/>
  <c r="AK53" i="43" s="1"/>
  <c r="C50" i="45" s="1"/>
  <c r="AV55" i="43"/>
  <c r="BO55" i="43"/>
  <c r="BO198" i="43"/>
  <c r="AV198" i="43"/>
  <c r="CJ211" i="43"/>
  <c r="AJ211" i="43"/>
  <c r="AK211" i="43" s="1"/>
  <c r="T211" i="43"/>
  <c r="AV277" i="43"/>
  <c r="BO277" i="43"/>
  <c r="DC331" i="43"/>
  <c r="BO331" i="43"/>
  <c r="AV331" i="43"/>
  <c r="T331" i="43"/>
  <c r="AN332" i="43"/>
  <c r="AO332" i="43" s="1"/>
  <c r="FF332" i="43" s="1"/>
  <c r="T337" i="43"/>
  <c r="CJ337" i="43"/>
  <c r="AN337" i="43"/>
  <c r="AO337" i="43" s="1"/>
  <c r="FF337" i="43" s="1"/>
  <c r="DC366" i="43"/>
  <c r="CJ366" i="43"/>
  <c r="AJ366" i="43"/>
  <c r="AK366" i="43" s="1"/>
  <c r="C363" i="45" s="1"/>
  <c r="DC380" i="43"/>
  <c r="BO380" i="43"/>
  <c r="AV380" i="43"/>
  <c r="AJ11" i="43"/>
  <c r="AK11" i="43" s="1"/>
  <c r="BO11" i="43"/>
  <c r="DC11" i="43"/>
  <c r="AJ15" i="43"/>
  <c r="AK15" i="43" s="1"/>
  <c r="C12" i="45" s="1"/>
  <c r="CJ15" i="43"/>
  <c r="T15" i="43"/>
  <c r="AJ19" i="43"/>
  <c r="AK19" i="43" s="1"/>
  <c r="C16" i="45" s="1"/>
  <c r="CJ19" i="43"/>
  <c r="T19" i="43"/>
  <c r="AJ22" i="43"/>
  <c r="AK22" i="43" s="1"/>
  <c r="C19" i="45" s="1"/>
  <c r="CJ22" i="43"/>
  <c r="T22" i="43"/>
  <c r="CJ24" i="43"/>
  <c r="T24" i="43"/>
  <c r="CJ27" i="43"/>
  <c r="T27" i="43"/>
  <c r="AJ34" i="43"/>
  <c r="AK34" i="43" s="1"/>
  <c r="C31" i="45" s="1"/>
  <c r="CJ34" i="43"/>
  <c r="DC38" i="43"/>
  <c r="CJ38" i="43"/>
  <c r="AJ38" i="43"/>
  <c r="AK38" i="43" s="1"/>
  <c r="C35" i="45" s="1"/>
  <c r="AV42" i="43"/>
  <c r="BO42" i="43"/>
  <c r="DC46" i="43"/>
  <c r="CJ46" i="43"/>
  <c r="AJ46" i="43"/>
  <c r="AK46" i="43" s="1"/>
  <c r="C43" i="45" s="1"/>
  <c r="DC50" i="43"/>
  <c r="CJ50" i="43"/>
  <c r="AJ50" i="43"/>
  <c r="AK50" i="43" s="1"/>
  <c r="DC54" i="43"/>
  <c r="CJ54" i="43"/>
  <c r="AJ54" i="43"/>
  <c r="AK54" i="43" s="1"/>
  <c r="C51" i="45" s="1"/>
  <c r="AJ194" i="43"/>
  <c r="AK194" i="43" s="1"/>
  <c r="C191" i="45" s="1"/>
  <c r="T198" i="43"/>
  <c r="DC208" i="43"/>
  <c r="AJ208" i="43"/>
  <c r="AK208" i="43" s="1"/>
  <c r="C205" i="45" s="1"/>
  <c r="CJ208" i="43"/>
  <c r="T208" i="43"/>
  <c r="BO210" i="43"/>
  <c r="T291" i="43"/>
  <c r="CJ291" i="43"/>
  <c r="T293" i="43"/>
  <c r="CJ293" i="43"/>
  <c r="T295" i="43"/>
  <c r="CJ295" i="43"/>
  <c r="DC303" i="43"/>
  <c r="BO303" i="43"/>
  <c r="AV303" i="43"/>
  <c r="DC304" i="43"/>
  <c r="T304" i="43"/>
  <c r="AJ304" i="43"/>
  <c r="AK304" i="43" s="1"/>
  <c r="C301" i="45" s="1"/>
  <c r="T34" i="43"/>
  <c r="T38" i="43"/>
  <c r="T42" i="43"/>
  <c r="T46" i="43"/>
  <c r="T47" i="43"/>
  <c r="T48" i="43"/>
  <c r="T49" i="43"/>
  <c r="T50" i="43"/>
  <c r="T51" i="43"/>
  <c r="T52" i="43"/>
  <c r="T53" i="43"/>
  <c r="T54" i="43"/>
  <c r="T55" i="43"/>
  <c r="T56" i="43"/>
  <c r="CJ201" i="43"/>
  <c r="CJ205" i="43"/>
  <c r="CJ207" i="43"/>
  <c r="DC210" i="43"/>
  <c r="CJ213" i="43"/>
  <c r="CJ236" i="43"/>
  <c r="T236" i="43"/>
  <c r="AJ236" i="43"/>
  <c r="AK236" i="43" s="1"/>
  <c r="C233" i="45" s="1"/>
  <c r="AJ237" i="43"/>
  <c r="AK237" i="43" s="1"/>
  <c r="C234" i="45" s="1"/>
  <c r="T237" i="43"/>
  <c r="T238" i="43"/>
  <c r="AJ238" i="43"/>
  <c r="AK238" i="43" s="1"/>
  <c r="C235" i="45" s="1"/>
  <c r="BO260" i="43"/>
  <c r="DC260" i="43"/>
  <c r="CJ270" i="43"/>
  <c r="DC270" i="43"/>
  <c r="DC271" i="43"/>
  <c r="CJ271" i="43"/>
  <c r="AJ271" i="43"/>
  <c r="AK271" i="43" s="1"/>
  <c r="C268" i="45" s="1"/>
  <c r="T271" i="43"/>
  <c r="BO273" i="43"/>
  <c r="DC273" i="43"/>
  <c r="CJ273" i="43"/>
  <c r="T285" i="43"/>
  <c r="DC285" i="43"/>
  <c r="CJ285" i="43"/>
  <c r="AJ285" i="43"/>
  <c r="AK285" i="43" s="1"/>
  <c r="C282" i="45" s="1"/>
  <c r="DC376" i="43"/>
  <c r="CJ376" i="43"/>
  <c r="AJ376" i="43"/>
  <c r="AK376" i="43" s="1"/>
  <c r="C373" i="45" s="1"/>
  <c r="T36" i="43"/>
  <c r="T40" i="43"/>
  <c r="T44" i="43"/>
  <c r="CJ199" i="43"/>
  <c r="CJ203" i="43"/>
  <c r="AV271" i="43"/>
  <c r="BO271" i="43"/>
  <c r="BO272" i="43"/>
  <c r="DC272" i="43"/>
  <c r="CJ272" i="43"/>
  <c r="CJ284" i="43"/>
  <c r="AV285" i="43"/>
  <c r="BO285" i="43"/>
  <c r="DC289" i="43"/>
  <c r="CJ289" i="43"/>
  <c r="AJ289" i="43"/>
  <c r="AK289" i="43" s="1"/>
  <c r="C286" i="45" s="1"/>
  <c r="T289" i="43"/>
  <c r="T313" i="43"/>
  <c r="AV313" i="43"/>
  <c r="DC355" i="43"/>
  <c r="CJ355" i="43"/>
  <c r="AJ355" i="43"/>
  <c r="AK355" i="43" s="1"/>
  <c r="C352" i="45" s="1"/>
  <c r="DC358" i="43"/>
  <c r="BO358" i="43"/>
  <c r="AV358" i="43"/>
  <c r="T358" i="43"/>
  <c r="AV360" i="43"/>
  <c r="AV361" i="43"/>
  <c r="AV362" i="43"/>
  <c r="BO362" i="43"/>
  <c r="AV363" i="43"/>
  <c r="AV364" i="43"/>
  <c r="AV376" i="43"/>
  <c r="BO376" i="43"/>
  <c r="AV254" i="43"/>
  <c r="AV258" i="43"/>
  <c r="AV276" i="43"/>
  <c r="DC284" i="43"/>
  <c r="DC291" i="43"/>
  <c r="DC295" i="43"/>
  <c r="DC299" i="43"/>
  <c r="CJ309" i="43"/>
  <c r="GQ331" i="43"/>
  <c r="GP331" i="43" s="1"/>
  <c r="GL331" i="43" s="1"/>
  <c r="GQ340" i="43"/>
  <c r="GP340" i="43" s="1"/>
  <c r="GL340" i="43" s="1"/>
  <c r="GQ342" i="43"/>
  <c r="GP342" i="43" s="1"/>
  <c r="GL342" i="43" s="1"/>
  <c r="GQ344" i="43"/>
  <c r="GP344" i="43" s="1"/>
  <c r="GL344" i="43" s="1"/>
  <c r="GQ356" i="43"/>
  <c r="GP356" i="43" s="1"/>
  <c r="GL356" i="43" s="1"/>
  <c r="GQ358" i="43"/>
  <c r="GP358" i="43" s="1"/>
  <c r="GL358" i="43" s="1"/>
  <c r="GQ367" i="43"/>
  <c r="GP367" i="43" s="1"/>
  <c r="GL367" i="43" s="1"/>
  <c r="AV255" i="43"/>
  <c r="AV256" i="43"/>
  <c r="AV260" i="43"/>
  <c r="AV265" i="43"/>
  <c r="AV270" i="43"/>
  <c r="AV272" i="43"/>
  <c r="AV273" i="43"/>
  <c r="DC280" i="43"/>
  <c r="DC288" i="43"/>
  <c r="CJ290" i="43"/>
  <c r="DC293" i="43"/>
  <c r="DC297" i="43"/>
  <c r="DC301" i="43"/>
  <c r="AJ302" i="43"/>
  <c r="AK302" i="43" s="1"/>
  <c r="C299" i="45" s="1"/>
  <c r="CJ307" i="43"/>
  <c r="CJ311" i="43"/>
  <c r="T317" i="43"/>
  <c r="AV317" i="43"/>
  <c r="GQ332" i="43"/>
  <c r="GP332" i="43" s="1"/>
  <c r="GL332" i="43" s="1"/>
  <c r="GQ339" i="43"/>
  <c r="GP339" i="43" s="1"/>
  <c r="GL339" i="43" s="1"/>
  <c r="GQ341" i="43"/>
  <c r="GP341" i="43" s="1"/>
  <c r="GL341" i="43" s="1"/>
  <c r="GQ343" i="43"/>
  <c r="GP343" i="43" s="1"/>
  <c r="GL343" i="43" s="1"/>
  <c r="CJ345" i="43"/>
  <c r="AV350" i="43"/>
  <c r="BO350" i="43"/>
  <c r="AV351" i="43"/>
  <c r="AV352" i="43"/>
  <c r="AV353" i="43"/>
  <c r="GQ359" i="43"/>
  <c r="GP359" i="43" s="1"/>
  <c r="GL359" i="43" s="1"/>
  <c r="GQ360" i="43"/>
  <c r="GP360" i="43" s="1"/>
  <c r="GL360" i="43" s="1"/>
  <c r="GQ361" i="43"/>
  <c r="GP361" i="43" s="1"/>
  <c r="GL361" i="43" s="1"/>
  <c r="GQ368" i="43"/>
  <c r="GP368" i="43" s="1"/>
  <c r="GL368" i="43" s="1"/>
  <c r="CJ377" i="43"/>
  <c r="AP57" i="24"/>
  <c r="E10" i="44"/>
  <c r="J12" i="44"/>
  <c r="M14" i="44"/>
  <c r="B16" i="44"/>
  <c r="E18" i="44"/>
  <c r="J20" i="44"/>
  <c r="D14" i="44"/>
  <c r="I16" i="44"/>
  <c r="L18" i="44"/>
  <c r="L10" i="44"/>
  <c r="B12" i="44"/>
  <c r="E14" i="44"/>
  <c r="J16" i="44"/>
  <c r="B20" i="44"/>
  <c r="CR8" i="43"/>
  <c r="CR10" i="43"/>
  <c r="BD9" i="43"/>
  <c r="BW9" i="43"/>
  <c r="DK9" i="43"/>
  <c r="BW10" i="43"/>
  <c r="BD8" i="43"/>
  <c r="BW8" i="43"/>
  <c r="CR9" i="43"/>
  <c r="DK10" i="43"/>
  <c r="DK8" i="43"/>
  <c r="BD10" i="43"/>
  <c r="J22" i="44"/>
  <c r="G387" i="45"/>
  <c r="M12" i="45"/>
  <c r="C6" i="30"/>
  <c r="D7" i="30"/>
  <c r="D6" i="30" s="1"/>
  <c r="C19" i="30"/>
  <c r="C20" i="30"/>
  <c r="C23" i="30"/>
  <c r="N12" i="45"/>
  <c r="M14" i="45"/>
  <c r="B64" i="45"/>
  <c r="B79" i="45"/>
  <c r="B196" i="45"/>
  <c r="B69" i="45"/>
  <c r="B90" i="45"/>
  <c r="B145" i="45"/>
  <c r="B330" i="45"/>
  <c r="B40" i="45"/>
  <c r="B184" i="45"/>
  <c r="AP161" i="24"/>
  <c r="AQ161" i="24" s="1"/>
  <c r="AP187" i="24"/>
  <c r="AQ187" i="24" s="1"/>
  <c r="BI119" i="24"/>
  <c r="AH154" i="45"/>
  <c r="ES199" i="43"/>
  <c r="E14" i="45"/>
  <c r="AP18" i="24"/>
  <c r="AP20" i="24"/>
  <c r="AS20" i="24" s="1"/>
  <c r="G389" i="45"/>
  <c r="BI14" i="24"/>
  <c r="DQ68" i="43"/>
  <c r="DR68" i="43" s="1"/>
  <c r="G68" i="43" s="1"/>
  <c r="AG65" i="45" s="1"/>
  <c r="B111" i="45"/>
  <c r="P364" i="43"/>
  <c r="B357" i="45"/>
  <c r="ES355" i="43"/>
  <c r="P340" i="43"/>
  <c r="FY30" i="43"/>
  <c r="J27" i="45"/>
  <c r="P15" i="43"/>
  <c r="T113" i="24"/>
  <c r="V113" i="24" s="1"/>
  <c r="FY304" i="43"/>
  <c r="B369" i="45"/>
  <c r="B324" i="45"/>
  <c r="B91" i="45"/>
  <c r="AM112" i="43"/>
  <c r="DQ123" i="43"/>
  <c r="DR123" i="43" s="1"/>
  <c r="G123" i="43" s="1"/>
  <c r="P318" i="43"/>
  <c r="ES360" i="43"/>
  <c r="AP27" i="24"/>
  <c r="AQ27" i="24" s="1"/>
  <c r="BI38" i="24"/>
  <c r="AP114" i="24"/>
  <c r="AP205" i="24"/>
  <c r="AQ205" i="24" s="1"/>
  <c r="BI336" i="24"/>
  <c r="AP337" i="24"/>
  <c r="AQ337" i="24" s="1"/>
  <c r="BI340" i="24"/>
  <c r="BI344" i="24"/>
  <c r="AP345" i="24"/>
  <c r="AQ345" i="24" s="1"/>
  <c r="BI348" i="24"/>
  <c r="BI350" i="24"/>
  <c r="DQ374" i="43"/>
  <c r="DR374" i="43" s="1"/>
  <c r="Q370" i="45"/>
  <c r="R370" i="45" s="1"/>
  <c r="S371" i="45" s="1"/>
  <c r="B368" i="45"/>
  <c r="EJ11" i="43"/>
  <c r="Y10" i="24" s="1"/>
  <c r="Z10" i="24" s="1"/>
  <c r="DE37" i="43"/>
  <c r="Z37" i="43"/>
  <c r="BI112" i="24"/>
  <c r="Q87" i="45"/>
  <c r="R87" i="45" s="1"/>
  <c r="S88" i="45" s="1"/>
  <c r="B191" i="45"/>
  <c r="B326" i="45"/>
  <c r="AP91" i="24"/>
  <c r="AQ91" i="24" s="1"/>
  <c r="BI92" i="24"/>
  <c r="DQ100" i="43"/>
  <c r="DR100" i="43" s="1"/>
  <c r="G100" i="43" s="1"/>
  <c r="AM106" i="43"/>
  <c r="ES312" i="43"/>
  <c r="BI15" i="24"/>
  <c r="AP281" i="24"/>
  <c r="AS281" i="24" s="1"/>
  <c r="BI361" i="24"/>
  <c r="P26" i="43"/>
  <c r="P31" i="43"/>
  <c r="B43" i="45"/>
  <c r="P59" i="43"/>
  <c r="B68" i="45"/>
  <c r="ES103" i="43"/>
  <c r="DQ108" i="43"/>
  <c r="DR108" i="43" s="1"/>
  <c r="G108" i="43" s="1"/>
  <c r="HQ108" i="43" s="1"/>
  <c r="HR108" i="43" s="1"/>
  <c r="BI103" i="24"/>
  <c r="AP104" i="24"/>
  <c r="AQ104" i="24" s="1"/>
  <c r="AP112" i="24"/>
  <c r="AP148" i="24"/>
  <c r="AQ148" i="24" s="1"/>
  <c r="AN316" i="24"/>
  <c r="AM139" i="43"/>
  <c r="BI335" i="24"/>
  <c r="AP348" i="24"/>
  <c r="AP354" i="24"/>
  <c r="AS354" i="24" s="1"/>
  <c r="AP370" i="24"/>
  <c r="AR370" i="24" s="1"/>
  <c r="AP374" i="24"/>
  <c r="AP378" i="24"/>
  <c r="AS378" i="24" s="1"/>
  <c r="P11" i="43"/>
  <c r="J11" i="43" s="1"/>
  <c r="Z45" i="43"/>
  <c r="DQ270" i="43"/>
  <c r="DR270" i="43" s="1"/>
  <c r="G270" i="43" s="1"/>
  <c r="HQ270" i="43" s="1"/>
  <c r="HR270" i="43" s="1"/>
  <c r="ES317" i="43"/>
  <c r="DQ351" i="43"/>
  <c r="DR351" i="43" s="1"/>
  <c r="ES372" i="43"/>
  <c r="AP42" i="24"/>
  <c r="AP127" i="24"/>
  <c r="AQ127" i="24" s="1"/>
  <c r="DE12" i="43"/>
  <c r="Z12" i="43"/>
  <c r="CL28" i="43"/>
  <c r="Z28" i="43"/>
  <c r="FO45" i="43"/>
  <c r="Z47" i="43"/>
  <c r="DE185" i="43"/>
  <c r="FO185" i="43"/>
  <c r="Z365" i="43"/>
  <c r="CL365" i="43"/>
  <c r="Q65" i="45"/>
  <c r="R65" i="45" s="1"/>
  <c r="S65" i="45" s="1"/>
  <c r="B365" i="45"/>
  <c r="CL45" i="43"/>
  <c r="E8" i="45"/>
  <c r="B8" i="45" s="1"/>
  <c r="S205" i="45"/>
  <c r="B35" i="45"/>
  <c r="ES61" i="43"/>
  <c r="ES98" i="43"/>
  <c r="ES102" i="43"/>
  <c r="ES166" i="43"/>
  <c r="P262" i="43"/>
  <c r="AP61" i="24"/>
  <c r="AQ61" i="24" s="1"/>
  <c r="AP65" i="24"/>
  <c r="AQ65" i="24" s="1"/>
  <c r="AP176" i="24"/>
  <c r="AP186" i="24"/>
  <c r="AS186" i="24" s="1"/>
  <c r="DQ77" i="43"/>
  <c r="DR77" i="43" s="1"/>
  <c r="G77" i="43" s="1"/>
  <c r="HQ77" i="43" s="1"/>
  <c r="HR77" i="43" s="1"/>
  <c r="DQ99" i="43"/>
  <c r="DR99" i="43" s="1"/>
  <c r="G99" i="43" s="1"/>
  <c r="HQ99" i="43" s="1"/>
  <c r="HR99" i="43" s="1"/>
  <c r="Q95" i="45"/>
  <c r="R95" i="45" s="1"/>
  <c r="S95" i="45" s="1"/>
  <c r="DQ106" i="43"/>
  <c r="DR106" i="43" s="1"/>
  <c r="G106" i="43" s="1"/>
  <c r="AM130" i="43"/>
  <c r="DQ149" i="43"/>
  <c r="DR149" i="43" s="1"/>
  <c r="G149" i="43" s="1"/>
  <c r="HQ149" i="43" s="1"/>
  <c r="HR149" i="43" s="1"/>
  <c r="HS149" i="43" s="1"/>
  <c r="DQ153" i="43"/>
  <c r="DR153" i="43" s="1"/>
  <c r="G153" i="43" s="1"/>
  <c r="F12" i="45"/>
  <c r="Q124" i="45"/>
  <c r="R124" i="45" s="1"/>
  <c r="S124" i="45" s="1"/>
  <c r="B387" i="45"/>
  <c r="P61" i="43"/>
  <c r="B103" i="45"/>
  <c r="DQ145" i="43"/>
  <c r="DR145" i="43" s="1"/>
  <c r="G145" i="43" s="1"/>
  <c r="Q141" i="45"/>
  <c r="R141" i="45" s="1"/>
  <c r="S142" i="45" s="1"/>
  <c r="P145" i="43"/>
  <c r="I145" i="43" s="1"/>
  <c r="DQ157" i="43"/>
  <c r="DR157" i="43" s="1"/>
  <c r="G157" i="43" s="1"/>
  <c r="Q154" i="45"/>
  <c r="R154" i="45" s="1"/>
  <c r="S154" i="45" s="1"/>
  <c r="FO214" i="43"/>
  <c r="CL214" i="43"/>
  <c r="B177" i="45"/>
  <c r="P16" i="43"/>
  <c r="B34" i="45"/>
  <c r="B39" i="45"/>
  <c r="ES67" i="43"/>
  <c r="ES71" i="43"/>
  <c r="ES88" i="43"/>
  <c r="AM111" i="43"/>
  <c r="BQ116" i="43"/>
  <c r="DE116" i="43"/>
  <c r="ES126" i="43"/>
  <c r="AM159" i="43"/>
  <c r="B286" i="45"/>
  <c r="AP83" i="24"/>
  <c r="AQ83" i="24" s="1"/>
  <c r="DQ266" i="43"/>
  <c r="DR266" i="43" s="1"/>
  <c r="G266" i="43" s="1"/>
  <c r="HQ266" i="43" s="1"/>
  <c r="HR266" i="43" s="1"/>
  <c r="FO286" i="43"/>
  <c r="Z286" i="43"/>
  <c r="AP39" i="24"/>
  <c r="AS39" i="24" s="1"/>
  <c r="BI369" i="24"/>
  <c r="ES277" i="43"/>
  <c r="P282" i="43"/>
  <c r="AP160" i="24"/>
  <c r="AR160" i="24" s="1"/>
  <c r="AP162" i="24"/>
  <c r="AR162" i="24" s="1"/>
  <c r="AP261" i="24"/>
  <c r="AR261" i="24" s="1"/>
  <c r="AP263" i="24"/>
  <c r="AR263" i="24" s="1"/>
  <c r="AP265" i="24"/>
  <c r="AQ265" i="24" s="1"/>
  <c r="ES235" i="43"/>
  <c r="ES281" i="43"/>
  <c r="ES282" i="43"/>
  <c r="ES296" i="43"/>
  <c r="P366" i="43"/>
  <c r="ES379" i="43"/>
  <c r="AP26" i="24"/>
  <c r="BI27" i="24"/>
  <c r="AP30" i="24"/>
  <c r="AQ30" i="24" s="1"/>
  <c r="AP59" i="24"/>
  <c r="AQ59" i="24" s="1"/>
  <c r="BI104" i="24"/>
  <c r="BI106" i="24"/>
  <c r="AP107" i="24"/>
  <c r="AR107" i="24" s="1"/>
  <c r="BI108" i="24"/>
  <c r="BI110" i="24"/>
  <c r="AP166" i="24"/>
  <c r="AS166" i="24" s="1"/>
  <c r="BI169" i="24"/>
  <c r="T187" i="24"/>
  <c r="V187" i="24" s="1"/>
  <c r="AP201" i="24"/>
  <c r="AP203" i="24"/>
  <c r="BI372" i="24"/>
  <c r="AP373" i="24"/>
  <c r="AR373" i="24" s="1"/>
  <c r="BI380" i="24"/>
  <c r="AP381" i="24"/>
  <c r="AQ381" i="24" s="1"/>
  <c r="ES380" i="43"/>
  <c r="AP40" i="24"/>
  <c r="AQ40" i="24" s="1"/>
  <c r="BI66" i="24"/>
  <c r="AP71" i="24"/>
  <c r="AP92" i="24"/>
  <c r="AR92" i="24" s="1"/>
  <c r="BI95" i="24"/>
  <c r="T111" i="24"/>
  <c r="V111" i="24" s="1"/>
  <c r="AP151" i="24"/>
  <c r="AQ151" i="24" s="1"/>
  <c r="AP293" i="24"/>
  <c r="AS293" i="24" s="1"/>
  <c r="AN315" i="24"/>
  <c r="AN317" i="24"/>
  <c r="BI347" i="24"/>
  <c r="BI349" i="24"/>
  <c r="BI353" i="24"/>
  <c r="BI59" i="24"/>
  <c r="BI105" i="24"/>
  <c r="BI107" i="24"/>
  <c r="BI109" i="24"/>
  <c r="BI111" i="24"/>
  <c r="BI373" i="24"/>
  <c r="BI377" i="24"/>
  <c r="BI381" i="24"/>
  <c r="B268" i="45"/>
  <c r="AM68" i="43"/>
  <c r="DQ75" i="43"/>
  <c r="DR75" i="43" s="1"/>
  <c r="G75" i="43" s="1"/>
  <c r="ES78" i="43"/>
  <c r="ES82" i="43"/>
  <c r="DQ117" i="43"/>
  <c r="DR117" i="43" s="1"/>
  <c r="G117" i="43" s="1"/>
  <c r="HQ117" i="43" s="1"/>
  <c r="HR117" i="43" s="1"/>
  <c r="P130" i="43"/>
  <c r="J130" i="43" s="1"/>
  <c r="P203" i="43"/>
  <c r="ES368" i="43"/>
  <c r="AP21" i="24"/>
  <c r="AP58" i="24"/>
  <c r="AR58" i="24" s="1"/>
  <c r="AP115" i="24"/>
  <c r="AS115" i="24" s="1"/>
  <c r="AP121" i="24"/>
  <c r="AR121" i="24" s="1"/>
  <c r="AP123" i="24"/>
  <c r="AQ123" i="24" s="1"/>
  <c r="AP125" i="24"/>
  <c r="AR125" i="24" s="1"/>
  <c r="AP142" i="24"/>
  <c r="AQ142" i="24" s="1"/>
  <c r="AP144" i="24"/>
  <c r="AS144" i="24" s="1"/>
  <c r="BI180" i="24"/>
  <c r="AP262" i="24"/>
  <c r="AQ262" i="24" s="1"/>
  <c r="AP264" i="24"/>
  <c r="AQ264" i="24" s="1"/>
  <c r="AP266" i="24"/>
  <c r="AR266" i="24" s="1"/>
  <c r="AP268" i="24"/>
  <c r="AP272" i="24"/>
  <c r="AR272" i="24" s="1"/>
  <c r="AP307" i="24"/>
  <c r="AR307" i="24" s="1"/>
  <c r="T358" i="24"/>
  <c r="V358" i="24" s="1"/>
  <c r="AP335" i="24"/>
  <c r="P332" i="43"/>
  <c r="GX349" i="43"/>
  <c r="GW349" i="43" s="1"/>
  <c r="GS349" i="43" s="1"/>
  <c r="GX361" i="43"/>
  <c r="GW361" i="43" s="1"/>
  <c r="GS361" i="43" s="1"/>
  <c r="GX365" i="43"/>
  <c r="GW365" i="43" s="1"/>
  <c r="GS365" i="43" s="1"/>
  <c r="GX375" i="43"/>
  <c r="GW375" i="43" s="1"/>
  <c r="GS375" i="43" s="1"/>
  <c r="GX343" i="43"/>
  <c r="GW343" i="43" s="1"/>
  <c r="GS343" i="43" s="1"/>
  <c r="GX353" i="43"/>
  <c r="GW353" i="43" s="1"/>
  <c r="GS353" i="43" s="1"/>
  <c r="GX357" i="43"/>
  <c r="GW357" i="43" s="1"/>
  <c r="GS357" i="43" s="1"/>
  <c r="GX369" i="43"/>
  <c r="GW369" i="43" s="1"/>
  <c r="GS369" i="43" s="1"/>
  <c r="GX376" i="43"/>
  <c r="GW376" i="43" s="1"/>
  <c r="GS376" i="43" s="1"/>
  <c r="GX377" i="43"/>
  <c r="GW377" i="43" s="1"/>
  <c r="GS377" i="43" s="1"/>
  <c r="AN353" i="43"/>
  <c r="DY353" i="43" s="1"/>
  <c r="DZ353" i="43" s="1"/>
  <c r="AN355" i="43"/>
  <c r="DY355" i="43" s="1"/>
  <c r="DZ355" i="43" s="1"/>
  <c r="AP311" i="24"/>
  <c r="AQ311" i="24" s="1"/>
  <c r="AP310" i="24"/>
  <c r="AR310" i="24" s="1"/>
  <c r="AP309" i="24"/>
  <c r="AR309" i="24" s="1"/>
  <c r="GX351" i="43"/>
  <c r="GW351" i="43" s="1"/>
  <c r="GS351" i="43" s="1"/>
  <c r="GX371" i="43"/>
  <c r="GW371" i="43" s="1"/>
  <c r="GS371" i="43" s="1"/>
  <c r="GX373" i="43"/>
  <c r="GW373" i="43" s="1"/>
  <c r="GS373" i="43" s="1"/>
  <c r="GX374" i="43"/>
  <c r="GW374" i="43" s="1"/>
  <c r="GS374" i="43" s="1"/>
  <c r="GX331" i="43"/>
  <c r="GW331" i="43" s="1"/>
  <c r="GS331" i="43" s="1"/>
  <c r="GX332" i="43"/>
  <c r="GW332" i="43" s="1"/>
  <c r="GS332" i="43" s="1"/>
  <c r="GX333" i="43"/>
  <c r="GW333" i="43" s="1"/>
  <c r="GS333" i="43" s="1"/>
  <c r="GX336" i="43"/>
  <c r="GW336" i="43" s="1"/>
  <c r="GS336" i="43" s="1"/>
  <c r="GX337" i="43"/>
  <c r="GW337" i="43" s="1"/>
  <c r="GS337" i="43" s="1"/>
  <c r="GX338" i="43"/>
  <c r="GW338" i="43" s="1"/>
  <c r="GS338" i="43" s="1"/>
  <c r="GX339" i="43"/>
  <c r="GW339" i="43" s="1"/>
  <c r="GS339" i="43" s="1"/>
  <c r="AN339" i="43"/>
  <c r="AO339" i="43" s="1"/>
  <c r="FF339" i="43" s="1"/>
  <c r="GX340" i="43"/>
  <c r="GW340" i="43" s="1"/>
  <c r="GS340" i="43" s="1"/>
  <c r="GX344" i="43"/>
  <c r="GW344" i="43" s="1"/>
  <c r="GS344" i="43" s="1"/>
  <c r="GX345" i="43"/>
  <c r="GW345" i="43" s="1"/>
  <c r="GS345" i="43" s="1"/>
  <c r="GX347" i="43"/>
  <c r="GW347" i="43" s="1"/>
  <c r="GS347" i="43" s="1"/>
  <c r="GX352" i="43"/>
  <c r="GW352" i="43" s="1"/>
  <c r="GS352" i="43" s="1"/>
  <c r="AN352" i="43"/>
  <c r="DY352" i="43" s="1"/>
  <c r="DZ352" i="43" s="1"/>
  <c r="GX354" i="43"/>
  <c r="GW354" i="43" s="1"/>
  <c r="GS354" i="43" s="1"/>
  <c r="AN354" i="43"/>
  <c r="DY354" i="43" s="1"/>
  <c r="DZ354" i="43" s="1"/>
  <c r="GX358" i="43"/>
  <c r="GW358" i="43" s="1"/>
  <c r="GS358" i="43" s="1"/>
  <c r="GX360" i="43"/>
  <c r="GW360" i="43" s="1"/>
  <c r="GS360" i="43" s="1"/>
  <c r="GX364" i="43"/>
  <c r="GW364" i="43" s="1"/>
  <c r="GS364" i="43" s="1"/>
  <c r="AN364" i="43"/>
  <c r="DY364" i="43" s="1"/>
  <c r="DZ364" i="43" s="1"/>
  <c r="GX372" i="43"/>
  <c r="GW372" i="43" s="1"/>
  <c r="GS372" i="43" s="1"/>
  <c r="AN372" i="43"/>
  <c r="DY372" i="43" s="1"/>
  <c r="DZ372" i="43" s="1"/>
  <c r="GX378" i="43"/>
  <c r="GW378" i="43" s="1"/>
  <c r="GS378" i="43" s="1"/>
  <c r="GX379" i="43"/>
  <c r="GW379" i="43" s="1"/>
  <c r="GS379" i="43" s="1"/>
  <c r="GX381" i="43"/>
  <c r="GW381" i="43" s="1"/>
  <c r="GS381" i="43" s="1"/>
  <c r="GX341" i="43"/>
  <c r="GW341" i="43" s="1"/>
  <c r="GS341" i="43" s="1"/>
  <c r="GX346" i="43"/>
  <c r="GW346" i="43" s="1"/>
  <c r="GS346" i="43" s="1"/>
  <c r="AN351" i="43"/>
  <c r="DY351" i="43" s="1"/>
  <c r="DZ351" i="43" s="1"/>
  <c r="GX359" i="43"/>
  <c r="GW359" i="43" s="1"/>
  <c r="GS359" i="43" s="1"/>
  <c r="GX363" i="43"/>
  <c r="GW363" i="43" s="1"/>
  <c r="GS363" i="43" s="1"/>
  <c r="AN363" i="43"/>
  <c r="AO363" i="43" s="1"/>
  <c r="FF363" i="43" s="1"/>
  <c r="GX367" i="43"/>
  <c r="GW367" i="43" s="1"/>
  <c r="GS367" i="43" s="1"/>
  <c r="AN371" i="43"/>
  <c r="DY371" i="43" s="1"/>
  <c r="DZ371" i="43" s="1"/>
  <c r="GX380" i="43"/>
  <c r="GW380" i="43" s="1"/>
  <c r="GS380" i="43" s="1"/>
  <c r="B13" i="45"/>
  <c r="AH125" i="45"/>
  <c r="AH389" i="45"/>
  <c r="B270" i="45"/>
  <c r="AH317" i="45"/>
  <c r="AH320" i="45"/>
  <c r="B328" i="45"/>
  <c r="B20" i="45"/>
  <c r="AH61" i="45"/>
  <c r="AH89" i="45"/>
  <c r="AH169" i="45"/>
  <c r="AH170" i="45"/>
  <c r="AH177" i="45"/>
  <c r="AH178" i="45"/>
  <c r="AH225" i="45"/>
  <c r="AH226" i="45"/>
  <c r="AH229" i="45"/>
  <c r="AH232" i="45"/>
  <c r="AH234" i="45"/>
  <c r="AH237" i="45"/>
  <c r="AH240" i="45"/>
  <c r="AH241" i="45"/>
  <c r="AH244" i="45"/>
  <c r="AH245" i="45"/>
  <c r="AH246" i="45"/>
  <c r="AH255" i="45"/>
  <c r="AH256" i="45"/>
  <c r="AH307" i="45"/>
  <c r="AH308" i="45"/>
  <c r="B23" i="45"/>
  <c r="AH37" i="45"/>
  <c r="B53" i="45"/>
  <c r="AH113" i="45"/>
  <c r="AH137" i="45"/>
  <c r="B139" i="45"/>
  <c r="AH145" i="45"/>
  <c r="AH147" i="45"/>
  <c r="AH380" i="45"/>
  <c r="AH381" i="45"/>
  <c r="AH9" i="45"/>
  <c r="AH21" i="45"/>
  <c r="AH38" i="45"/>
  <c r="AH52" i="45"/>
  <c r="B65" i="45"/>
  <c r="AH73" i="45"/>
  <c r="AH276" i="45"/>
  <c r="B277" i="45"/>
  <c r="B280" i="45"/>
  <c r="AH370" i="45"/>
  <c r="AH372" i="45"/>
  <c r="AH373" i="45"/>
  <c r="AH13" i="45"/>
  <c r="AH17" i="45"/>
  <c r="S20" i="45"/>
  <c r="B47" i="45"/>
  <c r="AH309" i="45"/>
  <c r="AH353" i="45"/>
  <c r="B74" i="45"/>
  <c r="B335" i="45"/>
  <c r="AH24" i="45"/>
  <c r="AH25" i="45"/>
  <c r="AH29" i="45"/>
  <c r="AH49" i="45"/>
  <c r="AH51" i="45"/>
  <c r="AH57" i="45"/>
  <c r="AH67" i="45"/>
  <c r="AH81" i="45"/>
  <c r="AH93" i="45"/>
  <c r="AH100" i="45"/>
  <c r="AH101" i="45"/>
  <c r="AH105" i="45"/>
  <c r="AH117" i="45"/>
  <c r="B120" i="45"/>
  <c r="AH153" i="45"/>
  <c r="AH162" i="45"/>
  <c r="AH171" i="45"/>
  <c r="AH185" i="45"/>
  <c r="AH186" i="45"/>
  <c r="AH224" i="45"/>
  <c r="AH227" i="45"/>
  <c r="AH228" i="45"/>
  <c r="AH231" i="45"/>
  <c r="AH242" i="45"/>
  <c r="AH243" i="45"/>
  <c r="AH248" i="45"/>
  <c r="AH249" i="45"/>
  <c r="AH250" i="45"/>
  <c r="AH262" i="45"/>
  <c r="AH263" i="45"/>
  <c r="AH275" i="45"/>
  <c r="AH382" i="45"/>
  <c r="B98" i="45"/>
  <c r="S381" i="45"/>
  <c r="S382" i="45"/>
  <c r="S383" i="45"/>
  <c r="B24" i="45"/>
  <c r="AH149" i="45"/>
  <c r="AH163" i="45"/>
  <c r="AH167" i="45"/>
  <c r="AH168" i="45"/>
  <c r="AH172" i="45"/>
  <c r="AH180" i="45"/>
  <c r="AH187" i="45"/>
  <c r="AH188" i="45"/>
  <c r="AH211" i="45"/>
  <c r="AH230" i="45"/>
  <c r="AH233" i="45"/>
  <c r="AH235" i="45"/>
  <c r="AH238" i="45"/>
  <c r="AH251" i="45"/>
  <c r="AH257" i="45"/>
  <c r="B267" i="45"/>
  <c r="AH277" i="45"/>
  <c r="AH280" i="45"/>
  <c r="AH281" i="45"/>
  <c r="AH286" i="45"/>
  <c r="AH311" i="45"/>
  <c r="AH354" i="45"/>
  <c r="AH357" i="45"/>
  <c r="AH359" i="45"/>
  <c r="AH360" i="45"/>
  <c r="AH366" i="45"/>
  <c r="AH369" i="45"/>
  <c r="AH371" i="45"/>
  <c r="AH374" i="45"/>
  <c r="AH384" i="45"/>
  <c r="B333" i="45"/>
  <c r="B344" i="45"/>
  <c r="B364" i="45"/>
  <c r="AH33" i="45"/>
  <c r="AH41" i="45"/>
  <c r="AH53" i="45"/>
  <c r="AH69" i="45"/>
  <c r="AH77" i="45"/>
  <c r="AH97" i="45"/>
  <c r="AH109" i="45"/>
  <c r="AH121" i="45"/>
  <c r="B128" i="45"/>
  <c r="AH310" i="45"/>
  <c r="AH358" i="45"/>
  <c r="B123" i="45"/>
  <c r="B331" i="45"/>
  <c r="B342" i="45"/>
  <c r="Z293" i="43"/>
  <c r="P288" i="43"/>
  <c r="AM286" i="43"/>
  <c r="AH283" i="45"/>
  <c r="R281" i="45"/>
  <c r="S281" i="45" s="1"/>
  <c r="AP284" i="24"/>
  <c r="AP283" i="24"/>
  <c r="P280" i="43"/>
  <c r="AP280" i="24"/>
  <c r="AQ280" i="24" s="1"/>
  <c r="DQ278" i="43"/>
  <c r="DR278" i="43" s="1"/>
  <c r="G278" i="43" s="1"/>
  <c r="HQ278" i="43" s="1"/>
  <c r="HR278" i="43" s="1"/>
  <c r="FY275" i="43"/>
  <c r="ES275" i="43"/>
  <c r="AP273" i="24"/>
  <c r="AR273" i="24" s="1"/>
  <c r="ES271" i="43"/>
  <c r="T271" i="24"/>
  <c r="V271" i="24" s="1"/>
  <c r="FY12" i="43"/>
  <c r="J9" i="45"/>
  <c r="FY44" i="43"/>
  <c r="FY68" i="43"/>
  <c r="J65" i="45"/>
  <c r="FY104" i="43"/>
  <c r="FY22" i="43"/>
  <c r="FY118" i="43"/>
  <c r="FY20" i="43"/>
  <c r="FY94" i="43"/>
  <c r="IE94" i="43"/>
  <c r="FY78" i="43"/>
  <c r="J93" i="45"/>
  <c r="FY96" i="43"/>
  <c r="IE120" i="43"/>
  <c r="FY120" i="43"/>
  <c r="Z17" i="43"/>
  <c r="S185" i="45"/>
  <c r="FY32" i="43"/>
  <c r="FY46" i="43"/>
  <c r="FY52" i="43"/>
  <c r="FY70" i="43"/>
  <c r="J67" i="45"/>
  <c r="FY105" i="43"/>
  <c r="IE129" i="43"/>
  <c r="Z347" i="43"/>
  <c r="CL347" i="43"/>
  <c r="AH26" i="45"/>
  <c r="S35" i="45"/>
  <c r="B104" i="45"/>
  <c r="B119" i="45"/>
  <c r="E329" i="45"/>
  <c r="B329" i="45" s="1"/>
  <c r="Q348" i="45"/>
  <c r="R348" i="45" s="1"/>
  <c r="S349" i="45" s="1"/>
  <c r="S369" i="45"/>
  <c r="FY24" i="43"/>
  <c r="IE38" i="43"/>
  <c r="FY56" i="43"/>
  <c r="J59" i="45"/>
  <c r="FY80" i="43"/>
  <c r="J99" i="45"/>
  <c r="DQ78" i="43"/>
  <c r="DR78" i="43" s="1"/>
  <c r="G78" i="43" s="1"/>
  <c r="ES90" i="43"/>
  <c r="DQ154" i="43"/>
  <c r="DR154" i="43" s="1"/>
  <c r="G154" i="43" s="1"/>
  <c r="CL183" i="43"/>
  <c r="FO183" i="43"/>
  <c r="BQ183" i="43"/>
  <c r="T366" i="24"/>
  <c r="V366" i="24" s="1"/>
  <c r="FY54" i="43"/>
  <c r="E12" i="45"/>
  <c r="B42" i="45"/>
  <c r="B140" i="45"/>
  <c r="FY76" i="43"/>
  <c r="FY128" i="43"/>
  <c r="AH42" i="45"/>
  <c r="AH120" i="45"/>
  <c r="B29" i="45"/>
  <c r="S89" i="45"/>
  <c r="AH104" i="45"/>
  <c r="S105" i="45"/>
  <c r="S123" i="45"/>
  <c r="B130" i="45"/>
  <c r="AH140" i="45"/>
  <c r="E186" i="45"/>
  <c r="B186" i="45" s="1"/>
  <c r="AH274" i="45"/>
  <c r="B284" i="45"/>
  <c r="B315" i="45"/>
  <c r="AH319" i="45"/>
  <c r="AH322" i="45"/>
  <c r="AH327" i="45"/>
  <c r="AH332" i="45"/>
  <c r="E337" i="45"/>
  <c r="B337" i="45" s="1"/>
  <c r="B348" i="45"/>
  <c r="E361" i="45"/>
  <c r="B361" i="45" s="1"/>
  <c r="B374" i="45"/>
  <c r="FY16" i="43"/>
  <c r="J14" i="45"/>
  <c r="FY40" i="43"/>
  <c r="J57" i="45"/>
  <c r="FY64" i="43"/>
  <c r="FY88" i="43"/>
  <c r="FY92" i="43"/>
  <c r="FY112" i="43"/>
  <c r="FY116" i="43"/>
  <c r="P13" i="43"/>
  <c r="ES16" i="43"/>
  <c r="P45" i="43"/>
  <c r="B44" i="45"/>
  <c r="DQ53" i="43"/>
  <c r="DR53" i="43" s="1"/>
  <c r="G53" i="43" s="1"/>
  <c r="HQ53" i="43" s="1"/>
  <c r="HR53" i="43" s="1"/>
  <c r="P58" i="43"/>
  <c r="FO133" i="43"/>
  <c r="AP22" i="24"/>
  <c r="AS22" i="24" s="1"/>
  <c r="AP66" i="24"/>
  <c r="AP67" i="24"/>
  <c r="AQ67" i="24" s="1"/>
  <c r="AP68" i="24"/>
  <c r="AS68" i="24" s="1"/>
  <c r="AP172" i="24"/>
  <c r="AS172" i="24" s="1"/>
  <c r="AP275" i="24"/>
  <c r="AQ275" i="24" s="1"/>
  <c r="AP276" i="24"/>
  <c r="ES14" i="43"/>
  <c r="DQ20" i="43"/>
  <c r="DR20" i="43" s="1"/>
  <c r="G20" i="43" s="1"/>
  <c r="HQ20" i="43" s="1"/>
  <c r="HR20" i="43" s="1"/>
  <c r="P22" i="43"/>
  <c r="BQ45" i="43"/>
  <c r="AM89" i="43"/>
  <c r="DQ89" i="43"/>
  <c r="DR89" i="43" s="1"/>
  <c r="G89" i="43" s="1"/>
  <c r="HQ89" i="43" s="1"/>
  <c r="HR89" i="43" s="1"/>
  <c r="ES89" i="43"/>
  <c r="DQ93" i="43"/>
  <c r="DR93" i="43" s="1"/>
  <c r="G93" i="43" s="1"/>
  <c r="DQ95" i="43"/>
  <c r="DR95" i="43" s="1"/>
  <c r="G95" i="43" s="1"/>
  <c r="DQ97" i="43"/>
  <c r="DR97" i="43" s="1"/>
  <c r="G97" i="43" s="1"/>
  <c r="Z109" i="43"/>
  <c r="ES110" i="43"/>
  <c r="FO112" i="43"/>
  <c r="P117" i="43"/>
  <c r="I117" i="43" s="1"/>
  <c r="DQ126" i="43"/>
  <c r="DR126" i="43" s="1"/>
  <c r="G126" i="43" s="1"/>
  <c r="HQ126" i="43" s="1"/>
  <c r="HR126" i="43" s="1"/>
  <c r="P131" i="43"/>
  <c r="P133" i="43"/>
  <c r="DQ133" i="43"/>
  <c r="DR133" i="43" s="1"/>
  <c r="G133" i="43" s="1"/>
  <c r="P138" i="43"/>
  <c r="DQ146" i="43"/>
  <c r="DR146" i="43" s="1"/>
  <c r="G146" i="43" s="1"/>
  <c r="HQ146" i="43" s="1"/>
  <c r="HR146" i="43" s="1"/>
  <c r="P147" i="43"/>
  <c r="P151" i="43"/>
  <c r="J151" i="43" s="1"/>
  <c r="DQ167" i="43"/>
  <c r="DR167" i="43" s="1"/>
  <c r="G167" i="43" s="1"/>
  <c r="HQ167" i="43" s="1"/>
  <c r="HR167" i="43" s="1"/>
  <c r="ES175" i="43"/>
  <c r="P177" i="43"/>
  <c r="ES193" i="43"/>
  <c r="P196" i="43"/>
  <c r="AM196" i="43"/>
  <c r="B194" i="45"/>
  <c r="FO198" i="43"/>
  <c r="BQ198" i="43"/>
  <c r="P198" i="43"/>
  <c r="DQ357" i="43"/>
  <c r="DR357" i="43" s="1"/>
  <c r="Z362" i="43"/>
  <c r="BQ362" i="43"/>
  <c r="CL362" i="43"/>
  <c r="ES371" i="43"/>
  <c r="AP15" i="24"/>
  <c r="AP79" i="24"/>
  <c r="AR79" i="24" s="1"/>
  <c r="AP80" i="24"/>
  <c r="AR80" i="24" s="1"/>
  <c r="T105" i="24"/>
  <c r="V105" i="24" s="1"/>
  <c r="AP128" i="24"/>
  <c r="AR128" i="24" s="1"/>
  <c r="AP158" i="24"/>
  <c r="AS158" i="24" s="1"/>
  <c r="AP159" i="24"/>
  <c r="AS159" i="24" s="1"/>
  <c r="AP193" i="24"/>
  <c r="AS193" i="24" s="1"/>
  <c r="AP194" i="24"/>
  <c r="T279" i="24"/>
  <c r="V279" i="24" s="1"/>
  <c r="AP304" i="24"/>
  <c r="AS304" i="24" s="1"/>
  <c r="P57" i="43"/>
  <c r="AM61" i="43"/>
  <c r="DQ118" i="43"/>
  <c r="DR118" i="43" s="1"/>
  <c r="G118" i="43" s="1"/>
  <c r="AM131" i="43"/>
  <c r="AM134" i="43"/>
  <c r="P164" i="43"/>
  <c r="P261" i="43"/>
  <c r="AM272" i="43"/>
  <c r="DQ301" i="43"/>
  <c r="DR301" i="43" s="1"/>
  <c r="G301" i="43" s="1"/>
  <c r="AP180" i="24"/>
  <c r="P185" i="43"/>
  <c r="DW197" i="43"/>
  <c r="DX197" i="43" s="1"/>
  <c r="P259" i="43"/>
  <c r="DQ272" i="43"/>
  <c r="DR272" i="43" s="1"/>
  <c r="G272" i="43" s="1"/>
  <c r="HQ272" i="43" s="1"/>
  <c r="HR272" i="43" s="1"/>
  <c r="DQ279" i="43"/>
  <c r="DR279" i="43" s="1"/>
  <c r="G279" i="43" s="1"/>
  <c r="ES283" i="43"/>
  <c r="P297" i="43"/>
  <c r="I297" i="43" s="1"/>
  <c r="ES314" i="43"/>
  <c r="ES328" i="43"/>
  <c r="ES333" i="43"/>
  <c r="P353" i="43"/>
  <c r="ES367" i="43"/>
  <c r="ES370" i="43"/>
  <c r="Z376" i="43"/>
  <c r="BI18" i="24"/>
  <c r="AP34" i="24"/>
  <c r="BI34" i="24"/>
  <c r="AP49" i="24"/>
  <c r="AQ49" i="24" s="1"/>
  <c r="AP50" i="24"/>
  <c r="AR50" i="24" s="1"/>
  <c r="AP51" i="24"/>
  <c r="AP52" i="24"/>
  <c r="AP55" i="24"/>
  <c r="AR55" i="24" s="1"/>
  <c r="BI55" i="24"/>
  <c r="AP84" i="24"/>
  <c r="AP99" i="24"/>
  <c r="AR99" i="24" s="1"/>
  <c r="T120" i="24"/>
  <c r="V120" i="24" s="1"/>
  <c r="AP122" i="24"/>
  <c r="AQ122" i="24" s="1"/>
  <c r="BI148" i="24"/>
  <c r="AP188" i="24"/>
  <c r="AR188" i="24" s="1"/>
  <c r="BI190" i="24"/>
  <c r="BI299" i="24"/>
  <c r="AP300" i="24"/>
  <c r="BI300" i="24"/>
  <c r="AP301" i="24"/>
  <c r="AS301" i="24" s="1"/>
  <c r="V18" i="44"/>
  <c r="AP317" i="24"/>
  <c r="AP319" i="24"/>
  <c r="AP320" i="24"/>
  <c r="AS320" i="24" s="1"/>
  <c r="AP325" i="24"/>
  <c r="AQ325" i="24" s="1"/>
  <c r="AP326" i="24"/>
  <c r="AP327" i="24"/>
  <c r="AQ327" i="24" s="1"/>
  <c r="AP341" i="24"/>
  <c r="AR341" i="24" s="1"/>
  <c r="BI341" i="24"/>
  <c r="BI342" i="24"/>
  <c r="BI343" i="24"/>
  <c r="AP362" i="24"/>
  <c r="AS362" i="24" s="1"/>
  <c r="BI364" i="24"/>
  <c r="AP365" i="24"/>
  <c r="BI365" i="24"/>
  <c r="AP366" i="24"/>
  <c r="AQ366" i="24" s="1"/>
  <c r="BI368" i="24"/>
  <c r="V20" i="44"/>
  <c r="ES184" i="43"/>
  <c r="AM189" i="43"/>
  <c r="CL224" i="43"/>
  <c r="AM225" i="43"/>
  <c r="AM278" i="43"/>
  <c r="DW280" i="43"/>
  <c r="DX280" i="43" s="1"/>
  <c r="P284" i="43"/>
  <c r="ES304" i="43"/>
  <c r="AM316" i="43"/>
  <c r="ES316" i="43"/>
  <c r="ES331" i="43"/>
  <c r="P339" i="43"/>
  <c r="AM379" i="43"/>
  <c r="P379" i="43"/>
  <c r="I379" i="43" s="1"/>
  <c r="AP60" i="24"/>
  <c r="AR60" i="24" s="1"/>
  <c r="AP94" i="24"/>
  <c r="AP95" i="24"/>
  <c r="AQ95" i="24" s="1"/>
  <c r="AP135" i="24"/>
  <c r="AS135" i="24" s="1"/>
  <c r="AP145" i="24"/>
  <c r="AQ145" i="24" s="1"/>
  <c r="BI146" i="24"/>
  <c r="BI164" i="24"/>
  <c r="BI165" i="24"/>
  <c r="AP182" i="24"/>
  <c r="AS182" i="24" s="1"/>
  <c r="AP183" i="24"/>
  <c r="AQ183" i="24" s="1"/>
  <c r="AP184" i="24"/>
  <c r="AQ184" i="24" s="1"/>
  <c r="AP185" i="24"/>
  <c r="AQ185" i="24" s="1"/>
  <c r="AP197" i="24"/>
  <c r="AQ197" i="24" s="1"/>
  <c r="T275" i="24"/>
  <c r="V275" i="24" s="1"/>
  <c r="AP277" i="24"/>
  <c r="AP279" i="24"/>
  <c r="AP296" i="24"/>
  <c r="AQ296" i="24" s="1"/>
  <c r="AP297" i="24"/>
  <c r="AP333" i="24"/>
  <c r="AS333" i="24" s="1"/>
  <c r="AP334" i="24"/>
  <c r="BI337" i="24"/>
  <c r="BI356" i="24"/>
  <c r="AP357" i="24"/>
  <c r="BI357" i="24"/>
  <c r="AP358" i="24"/>
  <c r="AS358" i="24" s="1"/>
  <c r="BI360" i="24"/>
  <c r="T374" i="24"/>
  <c r="V374" i="24" s="1"/>
  <c r="J7" i="45"/>
  <c r="IE24" i="43"/>
  <c r="J21" i="45"/>
  <c r="FY55" i="43"/>
  <c r="FY109" i="43"/>
  <c r="FY119" i="43"/>
  <c r="FY130" i="43"/>
  <c r="AC321" i="24"/>
  <c r="G18" i="44" s="1"/>
  <c r="C19" i="44"/>
  <c r="V19" i="44"/>
  <c r="FY23" i="43"/>
  <c r="FY45" i="43"/>
  <c r="IE88" i="43"/>
  <c r="IE118" i="43"/>
  <c r="FY15" i="43"/>
  <c r="IE16" i="43"/>
  <c r="FY26" i="43"/>
  <c r="FY37" i="43"/>
  <c r="FY47" i="43"/>
  <c r="IE48" i="43"/>
  <c r="FY58" i="43"/>
  <c r="FY69" i="43"/>
  <c r="FY79" i="43"/>
  <c r="FY90" i="43"/>
  <c r="FY101" i="43"/>
  <c r="IE110" i="43"/>
  <c r="FY111" i="43"/>
  <c r="IE112" i="43"/>
  <c r="FY122" i="43"/>
  <c r="FY227" i="43"/>
  <c r="FY230" i="43"/>
  <c r="FY13" i="43"/>
  <c r="FY34" i="43"/>
  <c r="FY66" i="43"/>
  <c r="FY77" i="43"/>
  <c r="FY87" i="43"/>
  <c r="FY98" i="43"/>
  <c r="DE90" i="43"/>
  <c r="Z90" i="43"/>
  <c r="B76" i="45"/>
  <c r="J85" i="45"/>
  <c r="AH18" i="45"/>
  <c r="S22" i="45"/>
  <c r="AH54" i="45"/>
  <c r="J115" i="45"/>
  <c r="AH156" i="45"/>
  <c r="AH158" i="45"/>
  <c r="AH174" i="45"/>
  <c r="IE17" i="43"/>
  <c r="J389" i="45"/>
  <c r="FY18" i="43"/>
  <c r="FY29" i="43"/>
  <c r="FY39" i="43"/>
  <c r="IE40" i="43"/>
  <c r="FY50" i="43"/>
  <c r="FY61" i="43"/>
  <c r="IE70" i="43"/>
  <c r="FY71" i="43"/>
  <c r="IE72" i="43"/>
  <c r="J69" i="45"/>
  <c r="FY82" i="43"/>
  <c r="FY93" i="43"/>
  <c r="FY103" i="43"/>
  <c r="FY114" i="43"/>
  <c r="FY125" i="43"/>
  <c r="DQ27" i="43"/>
  <c r="DR27" i="43" s="1"/>
  <c r="G27" i="43" s="1"/>
  <c r="Q24" i="45"/>
  <c r="R24" i="45" s="1"/>
  <c r="AH16" i="45"/>
  <c r="J126" i="45"/>
  <c r="FY21" i="43"/>
  <c r="IE30" i="43"/>
  <c r="FY31" i="43"/>
  <c r="IE32" i="43"/>
  <c r="IE41" i="43"/>
  <c r="FY42" i="43"/>
  <c r="FY53" i="43"/>
  <c r="IE62" i="43"/>
  <c r="FY63" i="43"/>
  <c r="IE64" i="43"/>
  <c r="IE73" i="43"/>
  <c r="J70" i="45"/>
  <c r="FY74" i="43"/>
  <c r="FY85" i="43"/>
  <c r="FY95" i="43"/>
  <c r="FY106" i="43"/>
  <c r="FY117" i="43"/>
  <c r="FY127" i="43"/>
  <c r="IE128" i="43"/>
  <c r="J125" i="45"/>
  <c r="B175" i="45"/>
  <c r="B182" i="45"/>
  <c r="AH183" i="45"/>
  <c r="B264" i="45"/>
  <c r="B273" i="45"/>
  <c r="S307" i="45"/>
  <c r="AH318" i="45"/>
  <c r="B338" i="45"/>
  <c r="AH364" i="45"/>
  <c r="AH379" i="45"/>
  <c r="IE12" i="43"/>
  <c r="IE28" i="43"/>
  <c r="IE52" i="43"/>
  <c r="IE68" i="43"/>
  <c r="IE76" i="43"/>
  <c r="IE92" i="43"/>
  <c r="IE116" i="43"/>
  <c r="FY228" i="43"/>
  <c r="BQ27" i="43"/>
  <c r="Z27" i="43"/>
  <c r="DE89" i="43"/>
  <c r="Z89" i="43"/>
  <c r="B269" i="45"/>
  <c r="FY229" i="43"/>
  <c r="FY231" i="43"/>
  <c r="B84" i="45"/>
  <c r="Q288" i="45"/>
  <c r="R288" i="45" s="1"/>
  <c r="S288" i="45" s="1"/>
  <c r="DQ292" i="43"/>
  <c r="DR292" i="43" s="1"/>
  <c r="G292" i="43" s="1"/>
  <c r="B5" i="45"/>
  <c r="B16" i="45"/>
  <c r="AH47" i="45"/>
  <c r="S75" i="45"/>
  <c r="AH76" i="45"/>
  <c r="B83" i="45"/>
  <c r="AH88" i="45"/>
  <c r="S91" i="45"/>
  <c r="AH150" i="45"/>
  <c r="B166" i="45"/>
  <c r="AH181" i="45"/>
  <c r="B195" i="45"/>
  <c r="AH203" i="45"/>
  <c r="B223" i="45"/>
  <c r="B256" i="45"/>
  <c r="B275" i="45"/>
  <c r="B279" i="45"/>
  <c r="AH338" i="45"/>
  <c r="B341" i="45"/>
  <c r="S360" i="45"/>
  <c r="S378" i="45"/>
  <c r="FY246" i="43"/>
  <c r="DE26" i="43"/>
  <c r="BQ26" i="43"/>
  <c r="Z26" i="43"/>
  <c r="CL26" i="43"/>
  <c r="DE30" i="43"/>
  <c r="Z30" i="43"/>
  <c r="CL30" i="43"/>
  <c r="CL40" i="43"/>
  <c r="CL46" i="43"/>
  <c r="ES97" i="43"/>
  <c r="BQ114" i="43"/>
  <c r="FO114" i="43"/>
  <c r="FO12" i="43"/>
  <c r="AM16" i="43"/>
  <c r="P27" i="43"/>
  <c r="DE54" i="43"/>
  <c r="Z54" i="43"/>
  <c r="CL54" i="43"/>
  <c r="DW81" i="43"/>
  <c r="DX81" i="43" s="1"/>
  <c r="ES96" i="43"/>
  <c r="DE98" i="43"/>
  <c r="Z98" i="43"/>
  <c r="Z106" i="43"/>
  <c r="BQ125" i="43"/>
  <c r="FO125" i="43"/>
  <c r="DE162" i="43"/>
  <c r="Z162" i="43"/>
  <c r="CL179" i="43"/>
  <c r="FO179" i="43"/>
  <c r="BQ179" i="43"/>
  <c r="BQ219" i="43"/>
  <c r="CL219" i="43"/>
  <c r="FO331" i="43"/>
  <c r="CL12" i="43"/>
  <c r="FO17" i="43"/>
  <c r="BQ24" i="43"/>
  <c r="DE24" i="43"/>
  <c r="P24" i="43"/>
  <c r="FO33" i="43"/>
  <c r="AM44" i="43"/>
  <c r="CL51" i="43"/>
  <c r="AM72" i="43"/>
  <c r="DQ72" i="43"/>
  <c r="DR72" i="43" s="1"/>
  <c r="G72" i="43" s="1"/>
  <c r="Z76" i="43"/>
  <c r="DW79" i="43"/>
  <c r="DX79" i="43" s="1"/>
  <c r="DW92" i="43"/>
  <c r="DX92" i="43" s="1"/>
  <c r="Z94" i="43"/>
  <c r="DE97" i="43"/>
  <c r="Z97" i="43"/>
  <c r="ES99" i="43"/>
  <c r="DQ148" i="43"/>
  <c r="DR148" i="43" s="1"/>
  <c r="G148" i="43" s="1"/>
  <c r="F283" i="45"/>
  <c r="B283" i="45" s="1"/>
  <c r="P286" i="43"/>
  <c r="FO368" i="43"/>
  <c r="ES119" i="43"/>
  <c r="ES120" i="43"/>
  <c r="ES129" i="43"/>
  <c r="DQ130" i="43"/>
  <c r="DR130" i="43" s="1"/>
  <c r="G130" i="43" s="1"/>
  <c r="HQ130" i="43" s="1"/>
  <c r="HR130" i="43" s="1"/>
  <c r="ES130" i="43"/>
  <c r="ES131" i="43"/>
  <c r="FO135" i="43"/>
  <c r="S135" i="45"/>
  <c r="DQ150" i="43"/>
  <c r="DR150" i="43" s="1"/>
  <c r="G150" i="43" s="1"/>
  <c r="B155" i="45"/>
  <c r="P160" i="43"/>
  <c r="ES160" i="43"/>
  <c r="B164" i="45"/>
  <c r="B165" i="45"/>
  <c r="DW171" i="43"/>
  <c r="DX171" i="43" s="1"/>
  <c r="ES174" i="43"/>
  <c r="ES176" i="43"/>
  <c r="Z177" i="43"/>
  <c r="CL177" i="43"/>
  <c r="AM179" i="43"/>
  <c r="ES189" i="43"/>
  <c r="AM200" i="43"/>
  <c r="ES200" i="43"/>
  <c r="AM204" i="43"/>
  <c r="ES204" i="43"/>
  <c r="DQ208" i="43"/>
  <c r="DR208" i="43" s="1"/>
  <c r="G208" i="43" s="1"/>
  <c r="HQ208" i="43" s="1"/>
  <c r="HR208" i="43" s="1"/>
  <c r="ES208" i="43"/>
  <c r="AM215" i="43"/>
  <c r="CL235" i="43"/>
  <c r="DW256" i="43"/>
  <c r="DX256" i="43" s="1"/>
  <c r="B254" i="45"/>
  <c r="P273" i="43"/>
  <c r="I273" i="43" s="1"/>
  <c r="BQ273" i="43"/>
  <c r="BQ274" i="43"/>
  <c r="ES300" i="43"/>
  <c r="P311" i="43"/>
  <c r="ES324" i="43"/>
  <c r="ES326" i="43"/>
  <c r="ES338" i="43"/>
  <c r="P344" i="43"/>
  <c r="Z366" i="43"/>
  <c r="FO366" i="43"/>
  <c r="P377" i="43"/>
  <c r="DQ128" i="43"/>
  <c r="DR128" i="43" s="1"/>
  <c r="G128" i="43" s="1"/>
  <c r="HQ128" i="43" s="1"/>
  <c r="HR128" i="43" s="1"/>
  <c r="DQ156" i="43"/>
  <c r="DR156" i="43" s="1"/>
  <c r="G156" i="43" s="1"/>
  <c r="FO165" i="43"/>
  <c r="DQ196" i="43"/>
  <c r="DR196" i="43" s="1"/>
  <c r="G196" i="43" s="1"/>
  <c r="HQ196" i="43" s="1"/>
  <c r="HR196" i="43" s="1"/>
  <c r="DW255" i="43"/>
  <c r="DX255" i="43" s="1"/>
  <c r="P290" i="43"/>
  <c r="DQ293" i="43"/>
  <c r="DR293" i="43" s="1"/>
  <c r="G293" i="43" s="1"/>
  <c r="HQ293" i="43" s="1"/>
  <c r="HR293" i="43" s="1"/>
  <c r="Z312" i="43"/>
  <c r="BQ372" i="43"/>
  <c r="T21" i="24"/>
  <c r="V21" i="24" s="1"/>
  <c r="BI29" i="24"/>
  <c r="BI97" i="24"/>
  <c r="P19" i="43"/>
  <c r="ES24" i="43"/>
  <c r="DQ28" i="43"/>
  <c r="DR28" i="43" s="1"/>
  <c r="G28" i="43" s="1"/>
  <c r="B27" i="45"/>
  <c r="DQ30" i="43"/>
  <c r="DR30" i="43" s="1"/>
  <c r="G30" i="43" s="1"/>
  <c r="HQ30" i="43" s="1"/>
  <c r="HR30" i="43" s="1"/>
  <c r="B36" i="45"/>
  <c r="DQ39" i="43"/>
  <c r="DR39" i="43" s="1"/>
  <c r="G39" i="43" s="1"/>
  <c r="HQ39" i="43" s="1"/>
  <c r="HR39" i="43" s="1"/>
  <c r="AM63" i="43"/>
  <c r="ES65" i="43"/>
  <c r="AM66" i="43"/>
  <c r="DQ66" i="43"/>
  <c r="DR66" i="43" s="1"/>
  <c r="G66" i="43" s="1"/>
  <c r="HQ66" i="43" s="1"/>
  <c r="HR66" i="43" s="1"/>
  <c r="ES69" i="43"/>
  <c r="AM70" i="43"/>
  <c r="ES73" i="43"/>
  <c r="AM74" i="43"/>
  <c r="ES75" i="43"/>
  <c r="DQ80" i="43"/>
  <c r="DR80" i="43" s="1"/>
  <c r="G80" i="43" s="1"/>
  <c r="HQ80" i="43" s="1"/>
  <c r="HR80" i="43" s="1"/>
  <c r="ES86" i="43"/>
  <c r="AM87" i="43"/>
  <c r="DQ87" i="43"/>
  <c r="DR87" i="43" s="1"/>
  <c r="G87" i="43" s="1"/>
  <c r="HQ87" i="43" s="1"/>
  <c r="HR87" i="43" s="1"/>
  <c r="ES91" i="43"/>
  <c r="DQ92" i="43"/>
  <c r="DR92" i="43" s="1"/>
  <c r="G92" i="43" s="1"/>
  <c r="ES93" i="43"/>
  <c r="DQ94" i="43"/>
  <c r="DR94" i="43" s="1"/>
  <c r="G94" i="43" s="1"/>
  <c r="HQ94" i="43" s="1"/>
  <c r="HR94" i="43" s="1"/>
  <c r="DW95" i="43"/>
  <c r="DX95" i="43" s="1"/>
  <c r="B94" i="45"/>
  <c r="ES101" i="43"/>
  <c r="DQ102" i="43"/>
  <c r="DR102" i="43" s="1"/>
  <c r="G102" i="43" s="1"/>
  <c r="ES107" i="43"/>
  <c r="ES108" i="43"/>
  <c r="AM109" i="43"/>
  <c r="DQ109" i="43"/>
  <c r="DR109" i="43" s="1"/>
  <c r="G109" i="43" s="1"/>
  <c r="AM124" i="43"/>
  <c r="FO126" i="43"/>
  <c r="AM136" i="43"/>
  <c r="FO138" i="43"/>
  <c r="AM140" i="43"/>
  <c r="DQ143" i="43"/>
  <c r="DR143" i="43" s="1"/>
  <c r="G143" i="43" s="1"/>
  <c r="P155" i="43"/>
  <c r="J155" i="43" s="1"/>
  <c r="AM160" i="43"/>
  <c r="ES167" i="43"/>
  <c r="P169" i="43"/>
  <c r="ES173" i="43"/>
  <c r="P176" i="43"/>
  <c r="J176" i="43" s="1"/>
  <c r="AM176" i="43"/>
  <c r="BQ177" i="43"/>
  <c r="P178" i="43"/>
  <c r="I178" i="43" s="1"/>
  <c r="ES178" i="43"/>
  <c r="ES180" i="43"/>
  <c r="P201" i="43"/>
  <c r="DW201" i="43"/>
  <c r="DX201" i="43" s="1"/>
  <c r="AM202" i="43"/>
  <c r="ES202" i="43"/>
  <c r="DW205" i="43"/>
  <c r="DX205" i="43" s="1"/>
  <c r="ES206" i="43"/>
  <c r="DW208" i="43"/>
  <c r="DX208" i="43" s="1"/>
  <c r="DQ209" i="43"/>
  <c r="DR209" i="43" s="1"/>
  <c r="G209" i="43" s="1"/>
  <c r="HQ209" i="43" s="1"/>
  <c r="HR209" i="43" s="1"/>
  <c r="ES210" i="43"/>
  <c r="DW235" i="43"/>
  <c r="DX235" i="43" s="1"/>
  <c r="DQ240" i="43"/>
  <c r="DR240" i="43" s="1"/>
  <c r="G240" i="43" s="1"/>
  <c r="HQ240" i="43" s="1"/>
  <c r="HR240" i="43" s="1"/>
  <c r="DW240" i="43"/>
  <c r="DX240" i="43" s="1"/>
  <c r="DW241" i="43"/>
  <c r="DX241" i="43" s="1"/>
  <c r="B257" i="45"/>
  <c r="ES262" i="43"/>
  <c r="AM288" i="43"/>
  <c r="P298" i="43"/>
  <c r="I298" i="43" s="1"/>
  <c r="ES302" i="43"/>
  <c r="AM304" i="43"/>
  <c r="ES309" i="43"/>
  <c r="AM310" i="43"/>
  <c r="S321" i="45"/>
  <c r="DQ353" i="43"/>
  <c r="DR353" i="43" s="1"/>
  <c r="ES358" i="43"/>
  <c r="FO359" i="43"/>
  <c r="FO371" i="43"/>
  <c r="CL371" i="43"/>
  <c r="ES335" i="43"/>
  <c r="P336" i="43"/>
  <c r="ES337" i="43"/>
  <c r="ES344" i="43"/>
  <c r="AM347" i="43"/>
  <c r="AM364" i="43"/>
  <c r="P365" i="43"/>
  <c r="DQ375" i="43"/>
  <c r="DR375" i="43" s="1"/>
  <c r="DQ379" i="43"/>
  <c r="DR379" i="43" s="1"/>
  <c r="T12" i="24"/>
  <c r="V12" i="24" s="1"/>
  <c r="BI17" i="24"/>
  <c r="AP23" i="24"/>
  <c r="AS23" i="24" s="1"/>
  <c r="AP24" i="24"/>
  <c r="AP25" i="24"/>
  <c r="AS25" i="24" s="1"/>
  <c r="AP28" i="24"/>
  <c r="AQ28" i="24" s="1"/>
  <c r="AP29" i="24"/>
  <c r="AQ29" i="24" s="1"/>
  <c r="T32" i="24"/>
  <c r="V32" i="24" s="1"/>
  <c r="AP36" i="24"/>
  <c r="AQ36" i="24" s="1"/>
  <c r="AP44" i="24"/>
  <c r="AR44" i="24" s="1"/>
  <c r="AP45" i="24"/>
  <c r="AS45" i="24" s="1"/>
  <c r="BI50" i="24"/>
  <c r="AP53" i="24"/>
  <c r="AS53" i="24" s="1"/>
  <c r="AP63" i="24"/>
  <c r="AR63" i="24" s="1"/>
  <c r="AP69" i="24"/>
  <c r="AP73" i="24"/>
  <c r="AP74" i="24"/>
  <c r="AS74" i="24" s="1"/>
  <c r="AP90" i="24"/>
  <c r="AS90" i="24" s="1"/>
  <c r="AP96" i="24"/>
  <c r="AS96" i="24" s="1"/>
  <c r="T99" i="24"/>
  <c r="V99" i="24" s="1"/>
  <c r="BI99" i="24"/>
  <c r="BI100" i="24"/>
  <c r="BI101" i="24"/>
  <c r="BI102" i="24"/>
  <c r="T107" i="24"/>
  <c r="V107" i="24" s="1"/>
  <c r="AP120" i="24"/>
  <c r="AQ120" i="24" s="1"/>
  <c r="AP140" i="24"/>
  <c r="AP141" i="24"/>
  <c r="AR141" i="24" s="1"/>
  <c r="BI161" i="24"/>
  <c r="T166" i="24"/>
  <c r="V166" i="24" s="1"/>
  <c r="BI345" i="24"/>
  <c r="BI376" i="24"/>
  <c r="BI42" i="24"/>
  <c r="BI46" i="24"/>
  <c r="BI47" i="24"/>
  <c r="T60" i="24"/>
  <c r="V60" i="24" s="1"/>
  <c r="BI70" i="24"/>
  <c r="BI75" i="24"/>
  <c r="BI80" i="24"/>
  <c r="T88" i="24"/>
  <c r="V88" i="24" s="1"/>
  <c r="T98" i="24"/>
  <c r="V98" i="24" s="1"/>
  <c r="T106" i="24"/>
  <c r="V106" i="24" s="1"/>
  <c r="T115" i="24"/>
  <c r="V115" i="24" s="1"/>
  <c r="T117" i="24"/>
  <c r="V117" i="24" s="1"/>
  <c r="BI352" i="24"/>
  <c r="AP11" i="24"/>
  <c r="AS11" i="24" s="1"/>
  <c r="AP12" i="24"/>
  <c r="AS12" i="24" s="1"/>
  <c r="AP13" i="24"/>
  <c r="AP14" i="24"/>
  <c r="T16" i="24"/>
  <c r="V16" i="24" s="1"/>
  <c r="T24" i="24"/>
  <c r="V24" i="24" s="1"/>
  <c r="AP31" i="24"/>
  <c r="AS31" i="24" s="1"/>
  <c r="AP37" i="24"/>
  <c r="AP38" i="24"/>
  <c r="AQ38" i="24" s="1"/>
  <c r="T52" i="24"/>
  <c r="V52" i="24" s="1"/>
  <c r="AP75" i="24"/>
  <c r="AP76" i="24"/>
  <c r="AR76" i="24" s="1"/>
  <c r="AP77" i="24"/>
  <c r="AS77" i="24" s="1"/>
  <c r="AP78" i="24"/>
  <c r="AR78" i="24" s="1"/>
  <c r="AP81" i="24"/>
  <c r="AP82" i="24"/>
  <c r="AS82" i="24" s="1"/>
  <c r="AP87" i="24"/>
  <c r="AQ87" i="24" s="1"/>
  <c r="AP88" i="24"/>
  <c r="T97" i="24"/>
  <c r="V97" i="24" s="1"/>
  <c r="AP98" i="24"/>
  <c r="AQ98" i="24" s="1"/>
  <c r="AP105" i="24"/>
  <c r="AS105" i="24" s="1"/>
  <c r="AP129" i="24"/>
  <c r="AQ129" i="24" s="1"/>
  <c r="AP153" i="24"/>
  <c r="AP155" i="24"/>
  <c r="AQ155" i="24" s="1"/>
  <c r="AR185" i="24"/>
  <c r="AP163" i="24"/>
  <c r="AQ163" i="24" s="1"/>
  <c r="AP164" i="24"/>
  <c r="AQ164" i="24" s="1"/>
  <c r="AP165" i="24"/>
  <c r="AQ165" i="24" s="1"/>
  <c r="AP177" i="24"/>
  <c r="T179" i="24"/>
  <c r="V179" i="24" s="1"/>
  <c r="AP181" i="24"/>
  <c r="T188" i="24"/>
  <c r="V188" i="24" s="1"/>
  <c r="AP190" i="24"/>
  <c r="AQ190" i="24" s="1"/>
  <c r="AP191" i="24"/>
  <c r="AR191" i="24" s="1"/>
  <c r="AP192" i="24"/>
  <c r="AP195" i="24"/>
  <c r="AS195" i="24" s="1"/>
  <c r="AP196" i="24"/>
  <c r="AQ196" i="24" s="1"/>
  <c r="T199" i="24"/>
  <c r="V199" i="24" s="1"/>
  <c r="T289" i="24"/>
  <c r="V289" i="24" s="1"/>
  <c r="AP291" i="24"/>
  <c r="AS291" i="24" s="1"/>
  <c r="T294" i="24"/>
  <c r="V294" i="24" s="1"/>
  <c r="AP305" i="24"/>
  <c r="AR305" i="24" s="1"/>
  <c r="AP321" i="24"/>
  <c r="AQ321" i="24" s="1"/>
  <c r="AP342" i="24"/>
  <c r="AP351" i="24"/>
  <c r="AS351" i="24" s="1"/>
  <c r="BI177" i="24"/>
  <c r="BI178" i="24"/>
  <c r="T184" i="24"/>
  <c r="V184" i="24" s="1"/>
  <c r="BI196" i="24"/>
  <c r="AP274" i="24"/>
  <c r="AR274" i="24" s="1"/>
  <c r="AP278" i="24"/>
  <c r="AQ278" i="24" s="1"/>
  <c r="AP282" i="24"/>
  <c r="AQ282" i="24" s="1"/>
  <c r="BI292" i="24"/>
  <c r="AP312" i="24"/>
  <c r="AS312" i="24" s="1"/>
  <c r="AP318" i="24"/>
  <c r="AP328" i="24"/>
  <c r="AQ328" i="24" s="1"/>
  <c r="AS337" i="24"/>
  <c r="T354" i="24"/>
  <c r="V354" i="24" s="1"/>
  <c r="T362" i="24"/>
  <c r="V362" i="24" s="1"/>
  <c r="T370" i="24"/>
  <c r="V370" i="24" s="1"/>
  <c r="T378" i="24"/>
  <c r="V378" i="24" s="1"/>
  <c r="AP106" i="24"/>
  <c r="AQ106" i="24" s="1"/>
  <c r="T119" i="24"/>
  <c r="V119" i="24" s="1"/>
  <c r="BI121" i="24"/>
  <c r="T122" i="24"/>
  <c r="V122" i="24" s="1"/>
  <c r="AP131" i="24"/>
  <c r="AQ131" i="24" s="1"/>
  <c r="AP132" i="24"/>
  <c r="AP133" i="24"/>
  <c r="AS133" i="24" s="1"/>
  <c r="AR137" i="24"/>
  <c r="BI137" i="24"/>
  <c r="T142" i="24"/>
  <c r="V142" i="24" s="1"/>
  <c r="BI144" i="24"/>
  <c r="T147" i="24"/>
  <c r="V147" i="24" s="1"/>
  <c r="AP150" i="24"/>
  <c r="AS150" i="24" s="1"/>
  <c r="AP156" i="24"/>
  <c r="AQ156" i="24" s="1"/>
  <c r="AP157" i="24"/>
  <c r="AS157" i="24" s="1"/>
  <c r="BI157" i="24"/>
  <c r="AP169" i="24"/>
  <c r="AQ169" i="24" s="1"/>
  <c r="T171" i="24"/>
  <c r="V171" i="24" s="1"/>
  <c r="AP173" i="24"/>
  <c r="T175" i="24"/>
  <c r="V175" i="24" s="1"/>
  <c r="BI182" i="24"/>
  <c r="AP189" i="24"/>
  <c r="T191" i="24"/>
  <c r="V191" i="24" s="1"/>
  <c r="AP198" i="24"/>
  <c r="AQ198" i="24" s="1"/>
  <c r="BI201" i="24"/>
  <c r="BI272" i="24"/>
  <c r="BI276" i="24"/>
  <c r="AR280" i="24"/>
  <c r="BI280" i="24"/>
  <c r="BI284" i="24"/>
  <c r="BI288" i="24"/>
  <c r="AP289" i="24"/>
  <c r="AS289" i="24" s="1"/>
  <c r="AP294" i="24"/>
  <c r="AP295" i="24"/>
  <c r="AQ295" i="24" s="1"/>
  <c r="AP298" i="24"/>
  <c r="AP299" i="24"/>
  <c r="AQ299" i="24" s="1"/>
  <c r="AP303" i="24"/>
  <c r="AQ303" i="24" s="1"/>
  <c r="BI308" i="24"/>
  <c r="AP315" i="24"/>
  <c r="BI324" i="24"/>
  <c r="AP331" i="24"/>
  <c r="AQ331" i="24" s="1"/>
  <c r="AP338" i="24"/>
  <c r="BI338" i="24"/>
  <c r="BI339" i="24"/>
  <c r="T342" i="24"/>
  <c r="V342" i="24" s="1"/>
  <c r="AP346" i="24"/>
  <c r="AP353" i="24"/>
  <c r="AS353" i="24" s="1"/>
  <c r="AP361" i="24"/>
  <c r="AP369" i="24"/>
  <c r="AQ369" i="24" s="1"/>
  <c r="AP377" i="24"/>
  <c r="B92" i="45"/>
  <c r="B115" i="45"/>
  <c r="AM13" i="43"/>
  <c r="AM18" i="43"/>
  <c r="DE21" i="43"/>
  <c r="CL21" i="43"/>
  <c r="DE29" i="43"/>
  <c r="DE36" i="43"/>
  <c r="CL36" i="43"/>
  <c r="DE50" i="43"/>
  <c r="CL50" i="43"/>
  <c r="AM57" i="43"/>
  <c r="DQ57" i="43"/>
  <c r="DR57" i="43" s="1"/>
  <c r="G57" i="43" s="1"/>
  <c r="FO84" i="43"/>
  <c r="Z84" i="43"/>
  <c r="BQ137" i="43"/>
  <c r="FO137" i="43"/>
  <c r="DQ141" i="43"/>
  <c r="DR141" i="43" s="1"/>
  <c r="G141" i="43" s="1"/>
  <c r="HQ141" i="43" s="1"/>
  <c r="HR141" i="43" s="1"/>
  <c r="Z174" i="43"/>
  <c r="BQ174" i="43"/>
  <c r="FO199" i="43"/>
  <c r="P205" i="43"/>
  <c r="E202" i="45"/>
  <c r="B202" i="45" s="1"/>
  <c r="FO215" i="43"/>
  <c r="CL215" i="43"/>
  <c r="BQ222" i="43"/>
  <c r="CL222" i="43"/>
  <c r="FO295" i="43"/>
  <c r="Z295" i="43"/>
  <c r="BQ301" i="43"/>
  <c r="DE301" i="43"/>
  <c r="CL301" i="43"/>
  <c r="B304" i="45"/>
  <c r="DQ308" i="43"/>
  <c r="DR308" i="43" s="1"/>
  <c r="G308" i="43" s="1"/>
  <c r="HQ308" i="43" s="1"/>
  <c r="HR308" i="43" s="1"/>
  <c r="Q305" i="45"/>
  <c r="R305" i="45" s="1"/>
  <c r="S305" i="45" s="1"/>
  <c r="S316" i="45"/>
  <c r="AS104" i="24"/>
  <c r="AQ323" i="24"/>
  <c r="AR323" i="24"/>
  <c r="AH11" i="45"/>
  <c r="AH15" i="45"/>
  <c r="S18" i="45"/>
  <c r="AH20" i="45"/>
  <c r="AH23" i="45"/>
  <c r="AH27" i="45"/>
  <c r="AH31" i="45"/>
  <c r="AH44" i="45"/>
  <c r="B50" i="45"/>
  <c r="E58" i="45"/>
  <c r="B58" i="45" s="1"/>
  <c r="AH66" i="45"/>
  <c r="AH72" i="45"/>
  <c r="Q77" i="45"/>
  <c r="R77" i="45" s="1"/>
  <c r="S77" i="45" s="1"/>
  <c r="AH80" i="45"/>
  <c r="S83" i="45"/>
  <c r="AH84" i="45"/>
  <c r="AH92" i="45"/>
  <c r="AH96" i="45"/>
  <c r="Q103" i="45"/>
  <c r="R103" i="45" s="1"/>
  <c r="S103" i="45" s="1"/>
  <c r="B107" i="45"/>
  <c r="B112" i="45"/>
  <c r="Q125" i="45"/>
  <c r="R125" i="45" s="1"/>
  <c r="S129" i="45"/>
  <c r="AH132" i="45"/>
  <c r="E135" i="45"/>
  <c r="B135" i="45" s="1"/>
  <c r="S139" i="45"/>
  <c r="AH146" i="45"/>
  <c r="Q147" i="45"/>
  <c r="R147" i="45" s="1"/>
  <c r="B153" i="45"/>
  <c r="AH155" i="45"/>
  <c r="S158" i="45"/>
  <c r="B160" i="45"/>
  <c r="S160" i="45"/>
  <c r="AH161" i="45"/>
  <c r="B179" i="45"/>
  <c r="B193" i="45"/>
  <c r="E200" i="45"/>
  <c r="B200" i="45" s="1"/>
  <c r="B209" i="45"/>
  <c r="B215" i="45"/>
  <c r="B261" i="45"/>
  <c r="B285" i="45"/>
  <c r="AH325" i="45"/>
  <c r="AH331" i="45"/>
  <c r="B334" i="45"/>
  <c r="S334" i="45"/>
  <c r="B340" i="45"/>
  <c r="B343" i="45"/>
  <c r="AH349" i="45"/>
  <c r="AH350" i="45"/>
  <c r="B362" i="45"/>
  <c r="B377" i="45"/>
  <c r="DQ14" i="43"/>
  <c r="DR14" i="43" s="1"/>
  <c r="G14" i="43" s="1"/>
  <c r="HQ14" i="43" s="1"/>
  <c r="HR14" i="43" s="1"/>
  <c r="DQ19" i="43"/>
  <c r="DR19" i="43" s="1"/>
  <c r="G19" i="43" s="1"/>
  <c r="HQ19" i="43" s="1"/>
  <c r="HR19" i="43" s="1"/>
  <c r="DQ21" i="43"/>
  <c r="DR21" i="43" s="1"/>
  <c r="G21" i="43" s="1"/>
  <c r="DW23" i="43"/>
  <c r="DX23" i="43" s="1"/>
  <c r="CL24" i="43"/>
  <c r="FO24" i="43"/>
  <c r="P25" i="43"/>
  <c r="DE25" i="43"/>
  <c r="DE41" i="43"/>
  <c r="CL41" i="43"/>
  <c r="DE55" i="43"/>
  <c r="CL55" i="43"/>
  <c r="BQ88" i="43"/>
  <c r="DQ88" i="43"/>
  <c r="DR88" i="43" s="1"/>
  <c r="G88" i="43" s="1"/>
  <c r="HQ88" i="43" s="1"/>
  <c r="HR88" i="43" s="1"/>
  <c r="DQ98" i="43"/>
  <c r="DR98" i="43" s="1"/>
  <c r="G98" i="43" s="1"/>
  <c r="BQ101" i="43"/>
  <c r="DE101" i="43"/>
  <c r="AM103" i="43"/>
  <c r="DW106" i="43"/>
  <c r="DX106" i="43" s="1"/>
  <c r="DW109" i="43"/>
  <c r="DX109" i="43" s="1"/>
  <c r="Z110" i="43"/>
  <c r="DE110" i="43"/>
  <c r="DW120" i="43"/>
  <c r="DX120" i="43" s="1"/>
  <c r="DW121" i="43"/>
  <c r="DX121" i="43" s="1"/>
  <c r="DW122" i="43"/>
  <c r="DX122" i="43" s="1"/>
  <c r="BQ134" i="43"/>
  <c r="FO134" i="43"/>
  <c r="BQ136" i="43"/>
  <c r="FO136" i="43"/>
  <c r="CL142" i="43"/>
  <c r="DE142" i="43"/>
  <c r="DQ147" i="43"/>
  <c r="DR147" i="43" s="1"/>
  <c r="G147" i="43" s="1"/>
  <c r="HQ147" i="43" s="1"/>
  <c r="HR147" i="43" s="1"/>
  <c r="DQ155" i="43"/>
  <c r="DR155" i="43" s="1"/>
  <c r="G155" i="43" s="1"/>
  <c r="CL174" i="43"/>
  <c r="B174" i="45"/>
  <c r="P183" i="43"/>
  <c r="E180" i="45"/>
  <c r="B180" i="45" s="1"/>
  <c r="AM183" i="43"/>
  <c r="DW183" i="43"/>
  <c r="DX183" i="43" s="1"/>
  <c r="B185" i="45"/>
  <c r="B221" i="45"/>
  <c r="DW224" i="43"/>
  <c r="DX224" i="43" s="1"/>
  <c r="DW276" i="43"/>
  <c r="DX276" i="43" s="1"/>
  <c r="DW277" i="43"/>
  <c r="DX277" i="43" s="1"/>
  <c r="DQ280" i="43"/>
  <c r="DR280" i="43" s="1"/>
  <c r="G280" i="43" s="1"/>
  <c r="HQ280" i="43" s="1"/>
  <c r="HR280" i="43" s="1"/>
  <c r="CL360" i="43"/>
  <c r="Z360" i="43"/>
  <c r="P376" i="43"/>
  <c r="F373" i="45"/>
  <c r="B373" i="45" s="1"/>
  <c r="V13" i="44"/>
  <c r="B75" i="45"/>
  <c r="B138" i="45"/>
  <c r="S39" i="45"/>
  <c r="S85" i="45"/>
  <c r="B88" i="45"/>
  <c r="B99" i="45"/>
  <c r="S99" i="45"/>
  <c r="S119" i="45"/>
  <c r="B124" i="45"/>
  <c r="B168" i="45"/>
  <c r="B288" i="45"/>
  <c r="DE15" i="43"/>
  <c r="CL15" i="43"/>
  <c r="Z15" i="43"/>
  <c r="BQ15" i="43"/>
  <c r="FO15" i="43"/>
  <c r="DQ16" i="43"/>
  <c r="DR16" i="43" s="1"/>
  <c r="G16" i="43" s="1"/>
  <c r="Z21" i="43"/>
  <c r="DE27" i="43"/>
  <c r="FO27" i="43"/>
  <c r="BQ31" i="43"/>
  <c r="Z31" i="43"/>
  <c r="DE31" i="43"/>
  <c r="Z36" i="43"/>
  <c r="Z50" i="43"/>
  <c r="BQ62" i="43"/>
  <c r="FO62" i="43"/>
  <c r="DW76" i="43"/>
  <c r="DX76" i="43" s="1"/>
  <c r="DW94" i="43"/>
  <c r="DX94" i="43" s="1"/>
  <c r="DW100" i="43"/>
  <c r="DX100" i="43" s="1"/>
  <c r="BQ113" i="43"/>
  <c r="FO113" i="43"/>
  <c r="AM138" i="43"/>
  <c r="DW161" i="43"/>
  <c r="DX161" i="43" s="1"/>
  <c r="DW162" i="43"/>
  <c r="DX162" i="43" s="1"/>
  <c r="CL163" i="43"/>
  <c r="BQ163" i="43"/>
  <c r="DW168" i="43"/>
  <c r="DX168" i="43" s="1"/>
  <c r="DW192" i="43"/>
  <c r="DX192" i="43" s="1"/>
  <c r="DE193" i="43"/>
  <c r="CL193" i="43"/>
  <c r="BQ193" i="43"/>
  <c r="BQ197" i="43"/>
  <c r="AM198" i="43"/>
  <c r="DQ218" i="43"/>
  <c r="DR218" i="43" s="1"/>
  <c r="DW219" i="43"/>
  <c r="DX219" i="43" s="1"/>
  <c r="DQ258" i="43"/>
  <c r="DR258" i="43" s="1"/>
  <c r="G258" i="43" s="1"/>
  <c r="HQ258" i="43" s="1"/>
  <c r="HR258" i="43" s="1"/>
  <c r="Q254" i="45"/>
  <c r="R254" i="45" s="1"/>
  <c r="S254" i="45" s="1"/>
  <c r="DQ260" i="43"/>
  <c r="DR260" i="43" s="1"/>
  <c r="G260" i="43" s="1"/>
  <c r="HQ260" i="43" s="1"/>
  <c r="HR260" i="43" s="1"/>
  <c r="DW262" i="43"/>
  <c r="DX262" i="43" s="1"/>
  <c r="E271" i="45"/>
  <c r="B271" i="45" s="1"/>
  <c r="P274" i="43"/>
  <c r="BQ291" i="43"/>
  <c r="DE291" i="43"/>
  <c r="CL291" i="43"/>
  <c r="DW296" i="43"/>
  <c r="DX296" i="43" s="1"/>
  <c r="DQ298" i="43"/>
  <c r="DR298" i="43" s="1"/>
  <c r="G298" i="43" s="1"/>
  <c r="Z301" i="43"/>
  <c r="DQ307" i="43"/>
  <c r="DR307" i="43" s="1"/>
  <c r="G307" i="43" s="1"/>
  <c r="HQ307" i="43" s="1"/>
  <c r="HR307" i="43" s="1"/>
  <c r="Z310" i="43"/>
  <c r="BQ310" i="43"/>
  <c r="DE314" i="43"/>
  <c r="CL314" i="43"/>
  <c r="P324" i="43"/>
  <c r="E321" i="45"/>
  <c r="B321" i="45" s="1"/>
  <c r="AR197" i="24"/>
  <c r="AH5" i="45"/>
  <c r="Q13" i="45"/>
  <c r="R13" i="45" s="1"/>
  <c r="S13" i="45" s="1"/>
  <c r="E28" i="45"/>
  <c r="B28" i="45" s="1"/>
  <c r="B32" i="45"/>
  <c r="AH35" i="45"/>
  <c r="AH40" i="45"/>
  <c r="AH48" i="45"/>
  <c r="B54" i="45"/>
  <c r="B55" i="45"/>
  <c r="S57" i="45"/>
  <c r="AH70" i="45"/>
  <c r="Q86" i="45"/>
  <c r="R86" i="45" s="1"/>
  <c r="S86" i="45" s="1"/>
  <c r="S93" i="45"/>
  <c r="B96" i="45"/>
  <c r="S97" i="45"/>
  <c r="Q106" i="45"/>
  <c r="R106" i="45" s="1"/>
  <c r="S107" i="45" s="1"/>
  <c r="AH108" i="45"/>
  <c r="AH112" i="45"/>
  <c r="E114" i="45"/>
  <c r="B114" i="45" s="1"/>
  <c r="AH116" i="45"/>
  <c r="AH124" i="45"/>
  <c r="AH128" i="45"/>
  <c r="B131" i="45"/>
  <c r="B134" i="45"/>
  <c r="AH136" i="45"/>
  <c r="E142" i="45"/>
  <c r="B142" i="45" s="1"/>
  <c r="S144" i="45"/>
  <c r="AH151" i="45"/>
  <c r="B197" i="45"/>
  <c r="E198" i="45"/>
  <c r="B198" i="45" s="1"/>
  <c r="Q236" i="45"/>
  <c r="R236" i="45" s="1"/>
  <c r="S236" i="45" s="1"/>
  <c r="B253" i="45"/>
  <c r="E259" i="45"/>
  <c r="B259" i="45" s="1"/>
  <c r="B266" i="45"/>
  <c r="B310" i="45"/>
  <c r="AH314" i="45"/>
  <c r="B327" i="45"/>
  <c r="AH329" i="45"/>
  <c r="S332" i="45"/>
  <c r="AH339" i="45"/>
  <c r="AH345" i="45"/>
  <c r="B347" i="45"/>
  <c r="S352" i="45"/>
  <c r="B360" i="45"/>
  <c r="S367" i="45"/>
  <c r="B376" i="45"/>
  <c r="BQ12" i="43"/>
  <c r="ES18" i="43"/>
  <c r="FO21" i="43"/>
  <c r="Z24" i="43"/>
  <c r="FO31" i="43"/>
  <c r="DQ32" i="43"/>
  <c r="DR32" i="43" s="1"/>
  <c r="G32" i="43" s="1"/>
  <c r="Z41" i="43"/>
  <c r="B38" i="45"/>
  <c r="DE47" i="43"/>
  <c r="CL47" i="43"/>
  <c r="Z55" i="43"/>
  <c r="B67" i="45"/>
  <c r="AM79" i="43"/>
  <c r="DQ79" i="43"/>
  <c r="DR79" i="43" s="1"/>
  <c r="G79" i="43" s="1"/>
  <c r="FO81" i="43"/>
  <c r="CL81" i="43"/>
  <c r="CL84" i="43"/>
  <c r="DQ90" i="43"/>
  <c r="DR90" i="43" s="1"/>
  <c r="G90" i="43" s="1"/>
  <c r="BQ93" i="43"/>
  <c r="DE93" i="43"/>
  <c r="AM96" i="43"/>
  <c r="DQ96" i="43"/>
  <c r="DR96" i="43" s="1"/>
  <c r="G96" i="43" s="1"/>
  <c r="DQ101" i="43"/>
  <c r="DR101" i="43" s="1"/>
  <c r="G101" i="43" s="1"/>
  <c r="DQ107" i="43"/>
  <c r="DR107" i="43" s="1"/>
  <c r="G107" i="43" s="1"/>
  <c r="HQ107" i="43" s="1"/>
  <c r="HR107" i="43" s="1"/>
  <c r="AM110" i="43"/>
  <c r="DQ110" i="43"/>
  <c r="DR110" i="43" s="1"/>
  <c r="G110" i="43" s="1"/>
  <c r="BQ115" i="43"/>
  <c r="FO115" i="43"/>
  <c r="AM129" i="43"/>
  <c r="AM135" i="43"/>
  <c r="DQ142" i="43"/>
  <c r="DR142" i="43" s="1"/>
  <c r="G142" i="43" s="1"/>
  <c r="DQ144" i="43"/>
  <c r="DR144" i="43" s="1"/>
  <c r="G144" i="43" s="1"/>
  <c r="DQ151" i="43"/>
  <c r="DR151" i="43" s="1"/>
  <c r="G151" i="43" s="1"/>
  <c r="HQ151" i="43" s="1"/>
  <c r="HR151" i="43" s="1"/>
  <c r="Q149" i="45"/>
  <c r="R149" i="45" s="1"/>
  <c r="S149" i="45" s="1"/>
  <c r="DQ152" i="43"/>
  <c r="DR152" i="43" s="1"/>
  <c r="G152" i="43" s="1"/>
  <c r="DQ164" i="43"/>
  <c r="DR164" i="43" s="1"/>
  <c r="G164" i="43" s="1"/>
  <c r="DW177" i="43"/>
  <c r="DX177" i="43" s="1"/>
  <c r="DQ184" i="43"/>
  <c r="DR184" i="43" s="1"/>
  <c r="G184" i="43" s="1"/>
  <c r="HQ184" i="43" s="1"/>
  <c r="HR184" i="43" s="1"/>
  <c r="Q181" i="45"/>
  <c r="R181" i="45" s="1"/>
  <c r="BQ194" i="43"/>
  <c r="B220" i="45"/>
  <c r="P225" i="43"/>
  <c r="E222" i="45"/>
  <c r="B222" i="45" s="1"/>
  <c r="BQ227" i="43"/>
  <c r="CL227" i="43"/>
  <c r="AM227" i="43"/>
  <c r="CL273" i="43"/>
  <c r="FO273" i="43"/>
  <c r="P279" i="43"/>
  <c r="E276" i="45"/>
  <c r="B276" i="45" s="1"/>
  <c r="FO288" i="43"/>
  <c r="Z288" i="43"/>
  <c r="DE288" i="43"/>
  <c r="P302" i="43"/>
  <c r="DW303" i="43"/>
  <c r="DX303" i="43" s="1"/>
  <c r="FO358" i="43"/>
  <c r="S358" i="45"/>
  <c r="CL370" i="43"/>
  <c r="BQ370" i="43"/>
  <c r="Z370" i="43"/>
  <c r="FO370" i="43"/>
  <c r="BQ33" i="43"/>
  <c r="DQ43" i="43"/>
  <c r="DR43" i="43" s="1"/>
  <c r="G43" i="43" s="1"/>
  <c r="HQ43" i="43" s="1"/>
  <c r="HR43" i="43" s="1"/>
  <c r="ES44" i="43"/>
  <c r="DQ49" i="43"/>
  <c r="DR49" i="43" s="1"/>
  <c r="G49" i="43" s="1"/>
  <c r="HQ49" i="43" s="1"/>
  <c r="HR49" i="43" s="1"/>
  <c r="FO51" i="43"/>
  <c r="DQ65" i="43"/>
  <c r="DR65" i="43" s="1"/>
  <c r="G65" i="43" s="1"/>
  <c r="HQ65" i="43" s="1"/>
  <c r="HR65" i="43" s="1"/>
  <c r="ES68" i="43"/>
  <c r="ES72" i="43"/>
  <c r="CL76" i="43"/>
  <c r="ES77" i="43"/>
  <c r="ES80" i="43"/>
  <c r="AM91" i="43"/>
  <c r="ES94" i="43"/>
  <c r="ES95" i="43"/>
  <c r="AM99" i="43"/>
  <c r="ES104" i="43"/>
  <c r="DQ105" i="43"/>
  <c r="DR105" i="43" s="1"/>
  <c r="G105" i="43" s="1"/>
  <c r="HQ105" i="43" s="1"/>
  <c r="HR105" i="43" s="1"/>
  <c r="ES105" i="43"/>
  <c r="ES106" i="43"/>
  <c r="ES109" i="43"/>
  <c r="B116" i="45"/>
  <c r="DW124" i="43"/>
  <c r="DX124" i="43" s="1"/>
  <c r="P125" i="43"/>
  <c r="P129" i="43"/>
  <c r="DQ129" i="43"/>
  <c r="DR129" i="43" s="1"/>
  <c r="G129" i="43" s="1"/>
  <c r="P136" i="43"/>
  <c r="DW140" i="43"/>
  <c r="DX140" i="43" s="1"/>
  <c r="CL141" i="43"/>
  <c r="DE141" i="43"/>
  <c r="AM142" i="43"/>
  <c r="DW142" i="43"/>
  <c r="DX142" i="43" s="1"/>
  <c r="CL143" i="43"/>
  <c r="DE143" i="43"/>
  <c r="FO143" i="43"/>
  <c r="P148" i="43"/>
  <c r="I148" i="43" s="1"/>
  <c r="P152" i="43"/>
  <c r="I152" i="43" s="1"/>
  <c r="P156" i="43"/>
  <c r="DQ160" i="43"/>
  <c r="DR160" i="43" s="1"/>
  <c r="G160" i="43" s="1"/>
  <c r="HQ160" i="43" s="1"/>
  <c r="HR160" i="43" s="1"/>
  <c r="DQ162" i="43"/>
  <c r="DR162" i="43" s="1"/>
  <c r="G162" i="43" s="1"/>
  <c r="ES162" i="43"/>
  <c r="AM166" i="43"/>
  <c r="P167" i="43"/>
  <c r="J167" i="43" s="1"/>
  <c r="AM168" i="43"/>
  <c r="P170" i="43"/>
  <c r="ES170" i="43"/>
  <c r="DW172" i="43"/>
  <c r="DX172" i="43" s="1"/>
  <c r="P173" i="43"/>
  <c r="J173" i="43" s="1"/>
  <c r="DQ173" i="43"/>
  <c r="DR173" i="43" s="1"/>
  <c r="G173" i="43" s="1"/>
  <c r="HQ173" i="43" s="1"/>
  <c r="HR173" i="43" s="1"/>
  <c r="DW174" i="43"/>
  <c r="DX174" i="43" s="1"/>
  <c r="DW178" i="43"/>
  <c r="DX178" i="43" s="1"/>
  <c r="ES181" i="43"/>
  <c r="P188" i="43"/>
  <c r="J188" i="43" s="1"/>
  <c r="ES188" i="43"/>
  <c r="AM195" i="43"/>
  <c r="ES196" i="43"/>
  <c r="ES198" i="43"/>
  <c r="P199" i="43"/>
  <c r="DW216" i="43"/>
  <c r="DX216" i="43" s="1"/>
  <c r="AM223" i="43"/>
  <c r="DQ225" i="43"/>
  <c r="DR225" i="43" s="1"/>
  <c r="G225" i="43" s="1"/>
  <c r="HQ225" i="43" s="1"/>
  <c r="HR225" i="43" s="1"/>
  <c r="P228" i="43"/>
  <c r="DW228" i="43"/>
  <c r="DX228" i="43" s="1"/>
  <c r="P230" i="43"/>
  <c r="DW230" i="43"/>
  <c r="DX230" i="43" s="1"/>
  <c r="P237" i="43"/>
  <c r="DW237" i="43"/>
  <c r="DX237" i="43" s="1"/>
  <c r="ES244" i="43"/>
  <c r="P245" i="43"/>
  <c r="P246" i="43"/>
  <c r="DQ247" i="43"/>
  <c r="DR247" i="43" s="1"/>
  <c r="G247" i="43" s="1"/>
  <c r="HQ247" i="43" s="1"/>
  <c r="HR247" i="43" s="1"/>
  <c r="DW247" i="43"/>
  <c r="DX247" i="43" s="1"/>
  <c r="DQ251" i="43"/>
  <c r="DR251" i="43" s="1"/>
  <c r="G251" i="43" s="1"/>
  <c r="HQ251" i="43" s="1"/>
  <c r="HR251" i="43" s="1"/>
  <c r="DW251" i="43"/>
  <c r="DX251" i="43" s="1"/>
  <c r="P254" i="43"/>
  <c r="P263" i="43"/>
  <c r="P266" i="43"/>
  <c r="DW267" i="43"/>
  <c r="DX267" i="43" s="1"/>
  <c r="ES268" i="43"/>
  <c r="P270" i="43"/>
  <c r="P271" i="43"/>
  <c r="AM271" i="43"/>
  <c r="P289" i="43"/>
  <c r="P291" i="43"/>
  <c r="ES291" i="43"/>
  <c r="ES303" i="43"/>
  <c r="P305" i="43"/>
  <c r="AM306" i="43"/>
  <c r="ES306" i="43"/>
  <c r="AM309" i="43"/>
  <c r="AM314" i="43"/>
  <c r="AM329" i="43"/>
  <c r="ES336" i="43"/>
  <c r="P337" i="43"/>
  <c r="ES340" i="43"/>
  <c r="ES342" i="43"/>
  <c r="DQ347" i="43"/>
  <c r="DR347" i="43" s="1"/>
  <c r="P349" i="43"/>
  <c r="P350" i="43"/>
  <c r="I350" i="43" s="1"/>
  <c r="FO356" i="43"/>
  <c r="BQ356" i="43"/>
  <c r="Z356" i="43"/>
  <c r="ES359" i="43"/>
  <c r="B363" i="45"/>
  <c r="AM366" i="43"/>
  <c r="CL366" i="43"/>
  <c r="CL367" i="43"/>
  <c r="Z367" i="43"/>
  <c r="FO369" i="43"/>
  <c r="Z369" i="43"/>
  <c r="B149" i="45"/>
  <c r="S152" i="45"/>
  <c r="AH157" i="45"/>
  <c r="AH164" i="45"/>
  <c r="AH165" i="45"/>
  <c r="AH173" i="45"/>
  <c r="AH175" i="45"/>
  <c r="AH176" i="45"/>
  <c r="AH189" i="45"/>
  <c r="AH190" i="45"/>
  <c r="B192" i="45"/>
  <c r="B199" i="45"/>
  <c r="S202" i="45"/>
  <c r="B210" i="45"/>
  <c r="B219" i="45"/>
  <c r="B260" i="45"/>
  <c r="AH272" i="45"/>
  <c r="AH278" i="45"/>
  <c r="AH284" i="45"/>
  <c r="B287" i="45"/>
  <c r="AH289" i="45"/>
  <c r="AH291" i="45"/>
  <c r="S304" i="45"/>
  <c r="S310" i="45"/>
  <c r="AH313" i="45"/>
  <c r="B316" i="45"/>
  <c r="AH323" i="45"/>
  <c r="B332" i="45"/>
  <c r="AH333" i="45"/>
  <c r="B339" i="45"/>
  <c r="B350" i="45"/>
  <c r="B358" i="45"/>
  <c r="AH362" i="45"/>
  <c r="AH365" i="45"/>
  <c r="AH377" i="45"/>
  <c r="DQ13" i="43"/>
  <c r="DR13" i="43" s="1"/>
  <c r="G13" i="43" s="1"/>
  <c r="DQ17" i="43"/>
  <c r="DR17" i="43" s="1"/>
  <c r="G17" i="43" s="1"/>
  <c r="P23" i="43"/>
  <c r="DQ23" i="43"/>
  <c r="DR23" i="43" s="1"/>
  <c r="G23" i="43" s="1"/>
  <c r="HQ23" i="43" s="1"/>
  <c r="HR23" i="43" s="1"/>
  <c r="DQ26" i="43"/>
  <c r="DR26" i="43" s="1"/>
  <c r="G26" i="43" s="1"/>
  <c r="HQ26" i="43" s="1"/>
  <c r="HR26" i="43" s="1"/>
  <c r="ES28" i="43"/>
  <c r="BQ30" i="43"/>
  <c r="ES32" i="43"/>
  <c r="Z33" i="43"/>
  <c r="P33" i="43"/>
  <c r="CL33" i="43"/>
  <c r="DW34" i="43"/>
  <c r="DX34" i="43" s="1"/>
  <c r="DQ35" i="43"/>
  <c r="DR35" i="43" s="1"/>
  <c r="G35" i="43" s="1"/>
  <c r="FO37" i="43"/>
  <c r="Z40" i="43"/>
  <c r="DW44" i="43"/>
  <c r="DX44" i="43" s="1"/>
  <c r="DQ45" i="43"/>
  <c r="DR45" i="43" s="1"/>
  <c r="G45" i="43" s="1"/>
  <c r="Z46" i="43"/>
  <c r="Z51" i="43"/>
  <c r="DQ62" i="43"/>
  <c r="DR62" i="43" s="1"/>
  <c r="G62" i="43" s="1"/>
  <c r="DW64" i="43"/>
  <c r="DX64" i="43" s="1"/>
  <c r="ES66" i="43"/>
  <c r="AM67" i="43"/>
  <c r="DQ67" i="43"/>
  <c r="DR67" i="43" s="1"/>
  <c r="G67" i="43" s="1"/>
  <c r="HQ67" i="43" s="1"/>
  <c r="HR67" i="43" s="1"/>
  <c r="ES70" i="43"/>
  <c r="AM71" i="43"/>
  <c r="DQ71" i="43"/>
  <c r="DR71" i="43" s="1"/>
  <c r="G71" i="43" s="1"/>
  <c r="ES74" i="43"/>
  <c r="DQ81" i="43"/>
  <c r="DR81" i="43" s="1"/>
  <c r="G81" i="43" s="1"/>
  <c r="ES81" i="43"/>
  <c r="AM82" i="43"/>
  <c r="ES83" i="43"/>
  <c r="AM85" i="43"/>
  <c r="DW86" i="43"/>
  <c r="DX86" i="43" s="1"/>
  <c r="BQ89" i="43"/>
  <c r="BQ90" i="43"/>
  <c r="ES92" i="43"/>
  <c r="AM93" i="43"/>
  <c r="DW93" i="43"/>
  <c r="DX93" i="43" s="1"/>
  <c r="BQ94" i="43"/>
  <c r="BQ97" i="43"/>
  <c r="BQ98" i="43"/>
  <c r="ES100" i="43"/>
  <c r="BQ106" i="43"/>
  <c r="DW108" i="43"/>
  <c r="DX108" i="43" s="1"/>
  <c r="BQ109" i="43"/>
  <c r="ES111" i="43"/>
  <c r="AM115" i="43"/>
  <c r="P118" i="43"/>
  <c r="AM119" i="43"/>
  <c r="ES124" i="43"/>
  <c r="ES125" i="43"/>
  <c r="AM128" i="43"/>
  <c r="ES127" i="43"/>
  <c r="P134" i="43"/>
  <c r="P137" i="43"/>
  <c r="DQ137" i="43"/>
  <c r="DR137" i="43" s="1"/>
  <c r="G137" i="43" s="1"/>
  <c r="M137" i="43" s="1"/>
  <c r="CL140" i="43"/>
  <c r="DE140" i="43"/>
  <c r="P146" i="43"/>
  <c r="AM161" i="43"/>
  <c r="P163" i="43"/>
  <c r="ES164" i="43"/>
  <c r="P171" i="43"/>
  <c r="J171" i="43" s="1"/>
  <c r="AM171" i="43"/>
  <c r="P172" i="43"/>
  <c r="I172" i="43" s="1"/>
  <c r="BQ175" i="43"/>
  <c r="FO175" i="43"/>
  <c r="AM178" i="43"/>
  <c r="DW181" i="43"/>
  <c r="DX181" i="43" s="1"/>
  <c r="P182" i="43"/>
  <c r="DQ190" i="43"/>
  <c r="DR190" i="43" s="1"/>
  <c r="G190" i="43" s="1"/>
  <c r="HQ190" i="43" s="1"/>
  <c r="HR190" i="43" s="1"/>
  <c r="AM192" i="43"/>
  <c r="ES192" i="43"/>
  <c r="DW193" i="43"/>
  <c r="DX193" i="43" s="1"/>
  <c r="ES211" i="43"/>
  <c r="P214" i="43"/>
  <c r="ES216" i="43"/>
  <c r="ES228" i="43"/>
  <c r="P229" i="43"/>
  <c r="P231" i="43"/>
  <c r="ES237" i="43"/>
  <c r="P252" i="43"/>
  <c r="DQ253" i="43"/>
  <c r="DR253" i="43" s="1"/>
  <c r="HQ253" i="43" s="1"/>
  <c r="HR253" i="43" s="1"/>
  <c r="P256" i="43"/>
  <c r="P264" i="43"/>
  <c r="ES269" i="43"/>
  <c r="ES272" i="43"/>
  <c r="ES273" i="43"/>
  <c r="P276" i="43"/>
  <c r="DQ276" i="43"/>
  <c r="DR276" i="43" s="1"/>
  <c r="G276" i="43" s="1"/>
  <c r="HQ276" i="43" s="1"/>
  <c r="HR276" i="43" s="1"/>
  <c r="AM277" i="43"/>
  <c r="AM282" i="43"/>
  <c r="AM284" i="43"/>
  <c r="P287" i="43"/>
  <c r="DW291" i="43"/>
  <c r="DX291" i="43" s="1"/>
  <c r="P296" i="43"/>
  <c r="DQ296" i="43"/>
  <c r="DR296" i="43" s="1"/>
  <c r="G296" i="43" s="1"/>
  <c r="DQ304" i="43"/>
  <c r="DR304" i="43" s="1"/>
  <c r="G304" i="43" s="1"/>
  <c r="P307" i="43"/>
  <c r="J307" i="43" s="1"/>
  <c r="DQ309" i="43"/>
  <c r="DR309" i="43" s="1"/>
  <c r="G309" i="43" s="1"/>
  <c r="HQ309" i="43" s="1"/>
  <c r="HR309" i="43" s="1"/>
  <c r="ES310" i="43"/>
  <c r="AM311" i="43"/>
  <c r="ES311" i="43"/>
  <c r="P315" i="43"/>
  <c r="P319" i="43"/>
  <c r="ES320" i="43"/>
  <c r="ES322" i="43"/>
  <c r="P326" i="43"/>
  <c r="DQ340" i="43"/>
  <c r="DR340" i="43" s="1"/>
  <c r="P351" i="43"/>
  <c r="I351" i="43" s="1"/>
  <c r="AM353" i="43"/>
  <c r="ES354" i="43"/>
  <c r="AM359" i="43"/>
  <c r="P361" i="43"/>
  <c r="B359" i="45"/>
  <c r="ES362" i="43"/>
  <c r="FO367" i="43"/>
  <c r="AQ18" i="24"/>
  <c r="AR18" i="24"/>
  <c r="AR145" i="24"/>
  <c r="CL359" i="43"/>
  <c r="DQ366" i="43"/>
  <c r="DR366" i="43" s="1"/>
  <c r="CL368" i="43"/>
  <c r="FO372" i="43"/>
  <c r="T25" i="24"/>
  <c r="V25" i="24" s="1"/>
  <c r="T28" i="24"/>
  <c r="V28" i="24" s="1"/>
  <c r="T37" i="24"/>
  <c r="V37" i="24" s="1"/>
  <c r="T40" i="24"/>
  <c r="V40" i="24" s="1"/>
  <c r="T41" i="24"/>
  <c r="V41" i="24" s="1"/>
  <c r="T44" i="24"/>
  <c r="V44" i="24" s="1"/>
  <c r="T68" i="24"/>
  <c r="V68" i="24" s="1"/>
  <c r="BI71" i="24"/>
  <c r="T76" i="24"/>
  <c r="V76" i="24" s="1"/>
  <c r="BI82" i="24"/>
  <c r="T84" i="24"/>
  <c r="V84" i="24" s="1"/>
  <c r="T85" i="24"/>
  <c r="V85" i="24" s="1"/>
  <c r="BI87" i="24"/>
  <c r="T101" i="24"/>
  <c r="V101" i="24" s="1"/>
  <c r="T114" i="24"/>
  <c r="V114" i="24" s="1"/>
  <c r="BI115" i="24"/>
  <c r="BI116" i="24"/>
  <c r="BI117" i="24"/>
  <c r="BI118" i="24"/>
  <c r="BI132" i="24"/>
  <c r="BI141" i="24"/>
  <c r="BI145" i="24"/>
  <c r="BI153" i="24"/>
  <c r="T167" i="24"/>
  <c r="V167" i="24" s="1"/>
  <c r="T192" i="24"/>
  <c r="V192" i="24" s="1"/>
  <c r="T195" i="24"/>
  <c r="V195" i="24" s="1"/>
  <c r="V15" i="44"/>
  <c r="V17" i="44"/>
  <c r="DQ310" i="43"/>
  <c r="DR310" i="43" s="1"/>
  <c r="G310" i="43" s="1"/>
  <c r="HQ310" i="43" s="1"/>
  <c r="HR310" i="43" s="1"/>
  <c r="P322" i="43"/>
  <c r="DQ326" i="43"/>
  <c r="DR326" i="43" s="1"/>
  <c r="G326" i="43" s="1"/>
  <c r="M326" i="43" s="1"/>
  <c r="K326" i="43" s="1"/>
  <c r="AI323" i="45" s="1"/>
  <c r="AM327" i="43"/>
  <c r="P330" i="43"/>
  <c r="DQ331" i="43"/>
  <c r="DR331" i="43" s="1"/>
  <c r="DQ333" i="43"/>
  <c r="DR333" i="43" s="1"/>
  <c r="ES334" i="43"/>
  <c r="P342" i="43"/>
  <c r="I342" i="43" s="1"/>
  <c r="ES345" i="43"/>
  <c r="P346" i="43"/>
  <c r="ES347" i="43"/>
  <c r="P354" i="43"/>
  <c r="AM354" i="43"/>
  <c r="P355" i="43"/>
  <c r="DQ355" i="43"/>
  <c r="DR355" i="43" s="1"/>
  <c r="ES356" i="43"/>
  <c r="DQ360" i="43"/>
  <c r="DR360" i="43" s="1"/>
  <c r="P363" i="43"/>
  <c r="DQ364" i="43"/>
  <c r="DR364" i="43" s="1"/>
  <c r="ES369" i="43"/>
  <c r="Z371" i="43"/>
  <c r="Z372" i="43"/>
  <c r="FO373" i="43"/>
  <c r="Z373" i="43"/>
  <c r="CL377" i="43"/>
  <c r="FO377" i="43"/>
  <c r="BQ377" i="43"/>
  <c r="DQ380" i="43"/>
  <c r="DR380" i="43" s="1"/>
  <c r="BI13" i="24"/>
  <c r="BI31" i="24"/>
  <c r="BI54" i="24"/>
  <c r="BI62" i="24"/>
  <c r="BI63" i="24"/>
  <c r="T78" i="24"/>
  <c r="V78" i="24" s="1"/>
  <c r="T81" i="24"/>
  <c r="V81" i="24" s="1"/>
  <c r="AR91" i="24"/>
  <c r="BI91" i="24"/>
  <c r="T103" i="24"/>
  <c r="V103" i="24" s="1"/>
  <c r="T109" i="24"/>
  <c r="V109" i="24" s="1"/>
  <c r="BI124" i="24"/>
  <c r="BI125" i="24"/>
  <c r="BI129" i="24"/>
  <c r="T156" i="24"/>
  <c r="V156" i="24" s="1"/>
  <c r="T159" i="24"/>
  <c r="V159" i="24" s="1"/>
  <c r="T160" i="24"/>
  <c r="V160" i="24" s="1"/>
  <c r="T163" i="24"/>
  <c r="V163" i="24" s="1"/>
  <c r="BI198" i="24"/>
  <c r="DQ372" i="43"/>
  <c r="DR372" i="43" s="1"/>
  <c r="ES373" i="43"/>
  <c r="ES377" i="43"/>
  <c r="BI11" i="24"/>
  <c r="AP16" i="24"/>
  <c r="T19" i="24"/>
  <c r="V19" i="24" s="1"/>
  <c r="BI22" i="24"/>
  <c r="T23" i="24"/>
  <c r="V23" i="24" s="1"/>
  <c r="BI26" i="24"/>
  <c r="BI30" i="24"/>
  <c r="AP33" i="24"/>
  <c r="AQ33" i="24" s="1"/>
  <c r="BI33" i="24"/>
  <c r="AP35" i="24"/>
  <c r="AS35" i="24" s="1"/>
  <c r="T36" i="24"/>
  <c r="V36" i="24" s="1"/>
  <c r="BI43" i="24"/>
  <c r="AP46" i="24"/>
  <c r="AS46" i="24" s="1"/>
  <c r="AP48" i="24"/>
  <c r="T48" i="24"/>
  <c r="V48" i="24" s="1"/>
  <c r="BI51" i="24"/>
  <c r="BI58" i="24"/>
  <c r="AP62" i="24"/>
  <c r="AP64" i="24"/>
  <c r="AS64" i="24" s="1"/>
  <c r="T64" i="24"/>
  <c r="V64" i="24" s="1"/>
  <c r="BI67" i="24"/>
  <c r="AS71" i="24"/>
  <c r="BI74" i="24"/>
  <c r="BI79" i="24"/>
  <c r="BI83" i="24"/>
  <c r="AP86" i="24"/>
  <c r="AR86" i="24" s="1"/>
  <c r="T89" i="24"/>
  <c r="V89" i="24" s="1"/>
  <c r="T93" i="24"/>
  <c r="V93" i="24" s="1"/>
  <c r="AP100" i="24"/>
  <c r="AP102" i="24"/>
  <c r="AR102" i="24" s="1"/>
  <c r="T102" i="24"/>
  <c r="V102" i="24" s="1"/>
  <c r="AP109" i="24"/>
  <c r="AQ109" i="24" s="1"/>
  <c r="AP111" i="24"/>
  <c r="AQ111" i="24" s="1"/>
  <c r="AR114" i="24"/>
  <c r="AP116" i="24"/>
  <c r="AR116" i="24" s="1"/>
  <c r="AP118" i="24"/>
  <c r="AR118" i="24" s="1"/>
  <c r="T118" i="24"/>
  <c r="V118" i="24" s="1"/>
  <c r="BI120" i="24"/>
  <c r="AP124" i="24"/>
  <c r="AP126" i="24"/>
  <c r="AS126" i="24" s="1"/>
  <c r="T126" i="24"/>
  <c r="V126" i="24" s="1"/>
  <c r="BI133" i="24"/>
  <c r="AP136" i="24"/>
  <c r="BI136" i="24"/>
  <c r="AP138" i="24"/>
  <c r="AQ138" i="24" s="1"/>
  <c r="T139" i="24"/>
  <c r="V139" i="24" s="1"/>
  <c r="T143" i="24"/>
  <c r="V143" i="24" s="1"/>
  <c r="AP146" i="24"/>
  <c r="AP147" i="24"/>
  <c r="AS147" i="24" s="1"/>
  <c r="BI150" i="24"/>
  <c r="AP170" i="24"/>
  <c r="AR170" i="24" s="1"/>
  <c r="AP178" i="24"/>
  <c r="AR178" i="24" s="1"/>
  <c r="T200" i="24"/>
  <c r="V200" i="24" s="1"/>
  <c r="T202" i="24"/>
  <c r="V202" i="24" s="1"/>
  <c r="T338" i="24"/>
  <c r="V338" i="24" s="1"/>
  <c r="P380" i="43"/>
  <c r="I380" i="43" s="1"/>
  <c r="AM380" i="43"/>
  <c r="P381" i="43"/>
  <c r="AP17" i="24"/>
  <c r="AR17" i="24" s="1"/>
  <c r="AP19" i="24"/>
  <c r="AS19" i="24" s="1"/>
  <c r="T20" i="24"/>
  <c r="V20" i="24" s="1"/>
  <c r="V9" i="44"/>
  <c r="AP32" i="24"/>
  <c r="T35" i="24"/>
  <c r="V35" i="24" s="1"/>
  <c r="T39" i="24"/>
  <c r="V39" i="24" s="1"/>
  <c r="AP54" i="24"/>
  <c r="AS54" i="24" s="1"/>
  <c r="AP56" i="24"/>
  <c r="AS56" i="24" s="1"/>
  <c r="T56" i="24"/>
  <c r="V56" i="24" s="1"/>
  <c r="AP70" i="24"/>
  <c r="AS70" i="24" s="1"/>
  <c r="AP72" i="24"/>
  <c r="AS72" i="24" s="1"/>
  <c r="T72" i="24"/>
  <c r="V72" i="24" s="1"/>
  <c r="V11" i="44"/>
  <c r="AP85" i="24"/>
  <c r="T86" i="24"/>
  <c r="V86" i="24" s="1"/>
  <c r="AP89" i="24"/>
  <c r="AR89" i="24" s="1"/>
  <c r="T90" i="24"/>
  <c r="V90" i="24" s="1"/>
  <c r="AP93" i="24"/>
  <c r="T94" i="24"/>
  <c r="V94" i="24" s="1"/>
  <c r="AP101" i="24"/>
  <c r="AP103" i="24"/>
  <c r="AS103" i="24" s="1"/>
  <c r="AR104" i="24"/>
  <c r="AP108" i="24"/>
  <c r="AQ108" i="24" s="1"/>
  <c r="AP110" i="24"/>
  <c r="AQ110" i="24" s="1"/>
  <c r="T110" i="24"/>
  <c r="V110" i="24" s="1"/>
  <c r="AP117" i="24"/>
  <c r="AS117" i="24" s="1"/>
  <c r="AP119" i="24"/>
  <c r="AS119" i="24" s="1"/>
  <c r="AS123" i="24"/>
  <c r="AP130" i="24"/>
  <c r="AR130" i="24" s="1"/>
  <c r="T131" i="24"/>
  <c r="V131" i="24" s="1"/>
  <c r="T138" i="24"/>
  <c r="V138" i="24" s="1"/>
  <c r="AP149" i="24"/>
  <c r="AR149" i="24" s="1"/>
  <c r="T151" i="24"/>
  <c r="V151" i="24" s="1"/>
  <c r="T154" i="24"/>
  <c r="V154" i="24" s="1"/>
  <c r="T158" i="24"/>
  <c r="V158" i="24" s="1"/>
  <c r="AP168" i="24"/>
  <c r="AS168" i="24" s="1"/>
  <c r="T170" i="24"/>
  <c r="V170" i="24" s="1"/>
  <c r="BI173" i="24"/>
  <c r="AP174" i="24"/>
  <c r="AQ174" i="24" s="1"/>
  <c r="BI174" i="24"/>
  <c r="BI181" i="24"/>
  <c r="T183" i="24"/>
  <c r="V183" i="24" s="1"/>
  <c r="AP199" i="24"/>
  <c r="T204" i="24"/>
  <c r="V204" i="24" s="1"/>
  <c r="BI205" i="24"/>
  <c r="BI206" i="24"/>
  <c r="AS369" i="24"/>
  <c r="AP269" i="24"/>
  <c r="AR269" i="24" s="1"/>
  <c r="T273" i="24"/>
  <c r="V273" i="24" s="1"/>
  <c r="AP287" i="24"/>
  <c r="AQ287" i="24" s="1"/>
  <c r="T290" i="24"/>
  <c r="V290" i="24" s="1"/>
  <c r="AR300" i="24"/>
  <c r="T239" i="24"/>
  <c r="V239" i="24" s="1"/>
  <c r="T240" i="24"/>
  <c r="V240" i="24" s="1"/>
  <c r="T241" i="24"/>
  <c r="V241" i="24" s="1"/>
  <c r="T242" i="24"/>
  <c r="V242" i="24" s="1"/>
  <c r="T243" i="24"/>
  <c r="V243" i="24" s="1"/>
  <c r="T244" i="24"/>
  <c r="V244" i="24" s="1"/>
  <c r="T245" i="24"/>
  <c r="V245" i="24" s="1"/>
  <c r="T246" i="24"/>
  <c r="V246" i="24" s="1"/>
  <c r="T247" i="24"/>
  <c r="V247" i="24" s="1"/>
  <c r="T248" i="24"/>
  <c r="V248" i="24" s="1"/>
  <c r="T249" i="24"/>
  <c r="V249" i="24" s="1"/>
  <c r="T250" i="24"/>
  <c r="V250" i="24" s="1"/>
  <c r="T251" i="24"/>
  <c r="V251" i="24" s="1"/>
  <c r="T252" i="24"/>
  <c r="V252" i="24" s="1"/>
  <c r="T253" i="24"/>
  <c r="V253" i="24" s="1"/>
  <c r="T254" i="24"/>
  <c r="V254" i="24" s="1"/>
  <c r="T255" i="24"/>
  <c r="V255" i="24" s="1"/>
  <c r="T256" i="24"/>
  <c r="V256" i="24" s="1"/>
  <c r="T257" i="24"/>
  <c r="V257" i="24" s="1"/>
  <c r="T258" i="24"/>
  <c r="V258" i="24" s="1"/>
  <c r="AP271" i="24"/>
  <c r="T274" i="24"/>
  <c r="V274" i="24" s="1"/>
  <c r="T278" i="24"/>
  <c r="V278" i="24" s="1"/>
  <c r="T282" i="24"/>
  <c r="V282" i="24" s="1"/>
  <c r="BI283" i="24"/>
  <c r="AP285" i="24"/>
  <c r="BI285" i="24"/>
  <c r="T286" i="24"/>
  <c r="V286" i="24" s="1"/>
  <c r="T295" i="24"/>
  <c r="V295" i="24" s="1"/>
  <c r="T298" i="24"/>
  <c r="V298" i="24" s="1"/>
  <c r="BI310" i="24"/>
  <c r="T312" i="24"/>
  <c r="V312" i="24" s="1"/>
  <c r="T313" i="24"/>
  <c r="V313" i="24" s="1"/>
  <c r="BI315" i="24"/>
  <c r="BI326" i="24"/>
  <c r="T328" i="24"/>
  <c r="V328" i="24" s="1"/>
  <c r="T329" i="24"/>
  <c r="V329" i="24" s="1"/>
  <c r="BI331" i="24"/>
  <c r="T356" i="24"/>
  <c r="V356" i="24" s="1"/>
  <c r="T360" i="24"/>
  <c r="V360" i="24" s="1"/>
  <c r="T364" i="24"/>
  <c r="V364" i="24" s="1"/>
  <c r="T368" i="24"/>
  <c r="V368" i="24" s="1"/>
  <c r="AQ370" i="24"/>
  <c r="T372" i="24"/>
  <c r="V372" i="24" s="1"/>
  <c r="T376" i="24"/>
  <c r="V376" i="24" s="1"/>
  <c r="T380" i="24"/>
  <c r="V380" i="24" s="1"/>
  <c r="AP134" i="24"/>
  <c r="AQ134" i="24" s="1"/>
  <c r="BI134" i="24"/>
  <c r="T135" i="24"/>
  <c r="V135" i="24" s="1"/>
  <c r="AP139" i="24"/>
  <c r="AS139" i="24" s="1"/>
  <c r="T140" i="24"/>
  <c r="V140" i="24" s="1"/>
  <c r="AP143" i="24"/>
  <c r="BI149" i="24"/>
  <c r="AP152" i="24"/>
  <c r="AQ152" i="24" s="1"/>
  <c r="BI152" i="24"/>
  <c r="AP154" i="24"/>
  <c r="AQ154" i="24" s="1"/>
  <c r="T155" i="24"/>
  <c r="V155" i="24" s="1"/>
  <c r="BI162" i="24"/>
  <c r="AP167" i="24"/>
  <c r="AQ167" i="24" s="1"/>
  <c r="T168" i="24"/>
  <c r="V168" i="24" s="1"/>
  <c r="AP171" i="24"/>
  <c r="AQ171" i="24" s="1"/>
  <c r="T172" i="24"/>
  <c r="V172" i="24" s="1"/>
  <c r="AP175" i="24"/>
  <c r="AQ175" i="24" s="1"/>
  <c r="T176" i="24"/>
  <c r="V176" i="24" s="1"/>
  <c r="AP179" i="24"/>
  <c r="AQ179" i="24" s="1"/>
  <c r="BI185" i="24"/>
  <c r="T186" i="24"/>
  <c r="V186" i="24" s="1"/>
  <c r="BI189" i="24"/>
  <c r="BI193" i="24"/>
  <c r="BI197" i="24"/>
  <c r="AP200" i="24"/>
  <c r="AR200" i="24" s="1"/>
  <c r="T203" i="24"/>
  <c r="V203" i="24" s="1"/>
  <c r="AP206" i="24"/>
  <c r="AS206" i="24" s="1"/>
  <c r="AP207" i="24"/>
  <c r="AS207" i="24" s="1"/>
  <c r="AP209" i="24"/>
  <c r="AP210" i="24"/>
  <c r="AP211" i="24"/>
  <c r="AP212" i="24"/>
  <c r="AS212" i="24" s="1"/>
  <c r="AP213" i="24"/>
  <c r="AQ213" i="24" s="1"/>
  <c r="AP214" i="24"/>
  <c r="AQ214" i="24" s="1"/>
  <c r="AP215" i="24"/>
  <c r="AR215" i="24" s="1"/>
  <c r="AP216" i="24"/>
  <c r="AS216" i="24" s="1"/>
  <c r="AP217" i="24"/>
  <c r="AS217" i="24" s="1"/>
  <c r="AP221" i="24"/>
  <c r="AQ221" i="24" s="1"/>
  <c r="AP222" i="24"/>
  <c r="AS222" i="24" s="1"/>
  <c r="AP223" i="24"/>
  <c r="AR223" i="24" s="1"/>
  <c r="AP225" i="24"/>
  <c r="AS225" i="24" s="1"/>
  <c r="AP226" i="24"/>
  <c r="AP227" i="24"/>
  <c r="AP228" i="24"/>
  <c r="AR228" i="24" s="1"/>
  <c r="AP229" i="24"/>
  <c r="AP230" i="24"/>
  <c r="AP231" i="24"/>
  <c r="AP232" i="24"/>
  <c r="AP233" i="24"/>
  <c r="AQ233" i="24" s="1"/>
  <c r="AP234" i="24"/>
  <c r="AP235" i="24"/>
  <c r="AR235" i="24" s="1"/>
  <c r="AP236" i="24"/>
  <c r="AP237" i="24"/>
  <c r="AP238" i="24"/>
  <c r="AR238" i="24" s="1"/>
  <c r="AP239" i="24"/>
  <c r="AR239" i="24" s="1"/>
  <c r="BI240" i="24"/>
  <c r="BI241" i="24"/>
  <c r="BI242" i="24"/>
  <c r="BI243" i="24"/>
  <c r="BI244" i="24"/>
  <c r="BI245" i="24"/>
  <c r="BI246" i="24"/>
  <c r="BI247" i="24"/>
  <c r="BI248" i="24"/>
  <c r="BI249" i="24"/>
  <c r="BI250" i="24"/>
  <c r="BI251" i="24"/>
  <c r="BI252" i="24"/>
  <c r="BI253" i="24"/>
  <c r="BI254" i="24"/>
  <c r="BI255" i="24"/>
  <c r="BI256" i="24"/>
  <c r="BI257" i="24"/>
  <c r="BI258" i="24"/>
  <c r="BI259" i="24"/>
  <c r="T269" i="24"/>
  <c r="V269" i="24" s="1"/>
  <c r="T270" i="24"/>
  <c r="V270" i="24" s="1"/>
  <c r="BI277" i="24"/>
  <c r="BI281" i="24"/>
  <c r="AP286" i="24"/>
  <c r="T287" i="24"/>
  <c r="V287" i="24" s="1"/>
  <c r="AP290" i="24"/>
  <c r="AQ290" i="24" s="1"/>
  <c r="T291" i="24"/>
  <c r="V291" i="24" s="1"/>
  <c r="T305" i="24"/>
  <c r="V305" i="24" s="1"/>
  <c r="BI307" i="24"/>
  <c r="T318" i="24"/>
  <c r="V318" i="24" s="1"/>
  <c r="T321" i="24"/>
  <c r="V321" i="24" s="1"/>
  <c r="BI323" i="24"/>
  <c r="T334" i="24"/>
  <c r="V334" i="24" s="1"/>
  <c r="T336" i="24"/>
  <c r="V336" i="24" s="1"/>
  <c r="T340" i="24"/>
  <c r="V340" i="24" s="1"/>
  <c r="T344" i="24"/>
  <c r="V344" i="24" s="1"/>
  <c r="BI346" i="24"/>
  <c r="BI351" i="24"/>
  <c r="BI354" i="24"/>
  <c r="BI355" i="24"/>
  <c r="BI358" i="24"/>
  <c r="BI359" i="24"/>
  <c r="BI362" i="24"/>
  <c r="BI363" i="24"/>
  <c r="BI366" i="24"/>
  <c r="BI367" i="24"/>
  <c r="BI370" i="24"/>
  <c r="BI371" i="24"/>
  <c r="BI374" i="24"/>
  <c r="BI375" i="24"/>
  <c r="BI378" i="24"/>
  <c r="BI379" i="24"/>
  <c r="BI296" i="24"/>
  <c r="BI311" i="24"/>
  <c r="AP314" i="24"/>
  <c r="AQ314" i="24" s="1"/>
  <c r="BI314" i="24"/>
  <c r="AP316" i="24"/>
  <c r="AQ316" i="24" s="1"/>
  <c r="T317" i="24"/>
  <c r="V317" i="24" s="1"/>
  <c r="BI327" i="24"/>
  <c r="AP330" i="24"/>
  <c r="AQ330" i="24" s="1"/>
  <c r="BI330" i="24"/>
  <c r="AP332" i="24"/>
  <c r="AQ332" i="24" s="1"/>
  <c r="T333" i="24"/>
  <c r="V333" i="24" s="1"/>
  <c r="AP336" i="24"/>
  <c r="AP339" i="24"/>
  <c r="AQ339" i="24" s="1"/>
  <c r="T339" i="24"/>
  <c r="V339" i="24" s="1"/>
  <c r="AP344" i="24"/>
  <c r="AR344" i="24" s="1"/>
  <c r="AP350" i="24"/>
  <c r="AP352" i="24"/>
  <c r="AR352" i="24" s="1"/>
  <c r="AP356" i="24"/>
  <c r="AP359" i="24"/>
  <c r="AQ359" i="24" s="1"/>
  <c r="T359" i="24"/>
  <c r="V359" i="24" s="1"/>
  <c r="AP364" i="24"/>
  <c r="AR364" i="24" s="1"/>
  <c r="AP367" i="24"/>
  <c r="AQ367" i="24" s="1"/>
  <c r="T367" i="24"/>
  <c r="V367" i="24" s="1"/>
  <c r="AP372" i="24"/>
  <c r="AP375" i="24"/>
  <c r="T375" i="24"/>
  <c r="V375" i="24" s="1"/>
  <c r="AP380" i="24"/>
  <c r="AR380" i="24" s="1"/>
  <c r="BI293" i="24"/>
  <c r="BI297" i="24"/>
  <c r="AP302" i="24"/>
  <c r="T302" i="24"/>
  <c r="V302" i="24" s="1"/>
  <c r="BI303" i="24"/>
  <c r="T304" i="24"/>
  <c r="V304" i="24" s="1"/>
  <c r="AP306" i="24"/>
  <c r="AS306" i="24" s="1"/>
  <c r="BI306" i="24"/>
  <c r="AP308" i="24"/>
  <c r="AQ308" i="24" s="1"/>
  <c r="T309" i="24"/>
  <c r="V309" i="24" s="1"/>
  <c r="AP313" i="24"/>
  <c r="T316" i="24"/>
  <c r="V316" i="24" s="1"/>
  <c r="BI319" i="24"/>
  <c r="T320" i="24"/>
  <c r="V320" i="24" s="1"/>
  <c r="AP322" i="24"/>
  <c r="AQ322" i="24" s="1"/>
  <c r="BI322" i="24"/>
  <c r="AP324" i="24"/>
  <c r="AQ324" i="24" s="1"/>
  <c r="T325" i="24"/>
  <c r="V325" i="24" s="1"/>
  <c r="AP329" i="24"/>
  <c r="T332" i="24"/>
  <c r="V332" i="24" s="1"/>
  <c r="T335" i="24"/>
  <c r="V335" i="24" s="1"/>
  <c r="AP340" i="24"/>
  <c r="AP343" i="24"/>
  <c r="T343" i="24"/>
  <c r="V343" i="24" s="1"/>
  <c r="AP347" i="24"/>
  <c r="AR347" i="24" s="1"/>
  <c r="AP349" i="24"/>
  <c r="AR349" i="24" s="1"/>
  <c r="AP355" i="24"/>
  <c r="T355" i="24"/>
  <c r="V355" i="24" s="1"/>
  <c r="AP360" i="24"/>
  <c r="AP363" i="24"/>
  <c r="AQ363" i="24" s="1"/>
  <c r="T363" i="24"/>
  <c r="V363" i="24" s="1"/>
  <c r="AP368" i="24"/>
  <c r="AS368" i="24" s="1"/>
  <c r="AP371" i="24"/>
  <c r="AQ371" i="24" s="1"/>
  <c r="T371" i="24"/>
  <c r="V371" i="24" s="1"/>
  <c r="AP376" i="24"/>
  <c r="AQ376" i="24" s="1"/>
  <c r="AP379" i="24"/>
  <c r="AQ379" i="24" s="1"/>
  <c r="T379" i="24"/>
  <c r="V379" i="24" s="1"/>
  <c r="Q6" i="45"/>
  <c r="R6" i="45" s="1"/>
  <c r="S7" i="45" s="1"/>
  <c r="S206" i="45"/>
  <c r="Q5" i="45"/>
  <c r="R5" i="45" s="1"/>
  <c r="E6" i="45"/>
  <c r="B6" i="45" s="1"/>
  <c r="FO14" i="43"/>
  <c r="BQ14" i="43"/>
  <c r="CL14" i="43"/>
  <c r="Z14" i="43"/>
  <c r="P14" i="43"/>
  <c r="E11" i="45"/>
  <c r="B11" i="45" s="1"/>
  <c r="AM14" i="43"/>
  <c r="DE14" i="43"/>
  <c r="BQ13" i="43"/>
  <c r="CL13" i="43"/>
  <c r="Z13" i="43"/>
  <c r="DE13" i="43"/>
  <c r="FO18" i="43"/>
  <c r="BQ18" i="43"/>
  <c r="CL18" i="43"/>
  <c r="Z18" i="43"/>
  <c r="DE18" i="43"/>
  <c r="P18" i="43"/>
  <c r="E15" i="45"/>
  <c r="B15" i="45" s="1"/>
  <c r="E10" i="45"/>
  <c r="B10" i="45" s="1"/>
  <c r="B59" i="45"/>
  <c r="B63" i="45"/>
  <c r="S69" i="45"/>
  <c r="P17" i="43"/>
  <c r="F389" i="45"/>
  <c r="B389" i="45" s="1"/>
  <c r="F14" i="45"/>
  <c r="BQ42" i="43"/>
  <c r="BQ56" i="43"/>
  <c r="BQ60" i="43"/>
  <c r="DE60" i="43"/>
  <c r="CL60" i="43"/>
  <c r="BQ63" i="43"/>
  <c r="DE63" i="43"/>
  <c r="CL63" i="43"/>
  <c r="BQ66" i="43"/>
  <c r="DE66" i="43"/>
  <c r="BQ70" i="43"/>
  <c r="DE70" i="43"/>
  <c r="FO77" i="43"/>
  <c r="CL77" i="43"/>
  <c r="Z77" i="43"/>
  <c r="FO80" i="43"/>
  <c r="CL80" i="43"/>
  <c r="Z80" i="43"/>
  <c r="AM101" i="43"/>
  <c r="AM102" i="43"/>
  <c r="DQ124" i="43"/>
  <c r="DR124" i="43" s="1"/>
  <c r="G124" i="43" s="1"/>
  <c r="HQ124" i="43" s="1"/>
  <c r="HR124" i="43" s="1"/>
  <c r="Q121" i="45"/>
  <c r="R121" i="45" s="1"/>
  <c r="S121" i="45" s="1"/>
  <c r="DQ125" i="43"/>
  <c r="DR125" i="43" s="1"/>
  <c r="G125" i="43" s="1"/>
  <c r="HQ125" i="43" s="1"/>
  <c r="HR125" i="43" s="1"/>
  <c r="DQ135" i="43"/>
  <c r="DR135" i="43" s="1"/>
  <c r="G135" i="43" s="1"/>
  <c r="Q132" i="45"/>
  <c r="R132" i="45" s="1"/>
  <c r="S132" i="45" s="1"/>
  <c r="DE192" i="43"/>
  <c r="CL192" i="43"/>
  <c r="Z192" i="43"/>
  <c r="DE363" i="43"/>
  <c r="CL363" i="43"/>
  <c r="FO363" i="43"/>
  <c r="Z363" i="43"/>
  <c r="BQ363" i="43"/>
  <c r="CL378" i="43"/>
  <c r="BQ378" i="43"/>
  <c r="Z378" i="43"/>
  <c r="AR148" i="24"/>
  <c r="B18" i="45"/>
  <c r="S27" i="45"/>
  <c r="Q50" i="45"/>
  <c r="R50" i="45" s="1"/>
  <c r="Q54" i="45"/>
  <c r="R54" i="45" s="1"/>
  <c r="B62" i="45"/>
  <c r="S308" i="45"/>
  <c r="S311" i="45"/>
  <c r="S340" i="45"/>
  <c r="S353" i="45"/>
  <c r="S361" i="45"/>
  <c r="S375" i="45"/>
  <c r="V12" i="44"/>
  <c r="V14" i="44"/>
  <c r="C20" i="44"/>
  <c r="BQ32" i="43"/>
  <c r="BQ35" i="43"/>
  <c r="DQ40" i="43"/>
  <c r="DR40" i="43" s="1"/>
  <c r="G40" i="43" s="1"/>
  <c r="Q37" i="45"/>
  <c r="R37" i="45" s="1"/>
  <c r="S38" i="45" s="1"/>
  <c r="FO42" i="43"/>
  <c r="BQ43" i="43"/>
  <c r="FO48" i="43"/>
  <c r="BQ49" i="43"/>
  <c r="FO52" i="43"/>
  <c r="BQ53" i="43"/>
  <c r="AM58" i="43"/>
  <c r="CL61" i="43"/>
  <c r="BQ69" i="43"/>
  <c r="DE69" i="43"/>
  <c r="BQ73" i="43"/>
  <c r="DE73" i="43"/>
  <c r="B86" i="45"/>
  <c r="DE102" i="43"/>
  <c r="BQ102" i="43"/>
  <c r="Z102" i="43"/>
  <c r="Q100" i="45"/>
  <c r="R100" i="45" s="1"/>
  <c r="S100" i="45" s="1"/>
  <c r="DQ103" i="43"/>
  <c r="DR103" i="43" s="1"/>
  <c r="G103" i="43" s="1"/>
  <c r="HQ103" i="43" s="1"/>
  <c r="HR103" i="43" s="1"/>
  <c r="DE105" i="43"/>
  <c r="BQ105" i="43"/>
  <c r="Z105" i="43"/>
  <c r="DE125" i="43"/>
  <c r="CL144" i="43"/>
  <c r="CL145" i="43"/>
  <c r="CL147" i="43"/>
  <c r="CL148" i="43"/>
  <c r="FO148" i="43"/>
  <c r="P149" i="43"/>
  <c r="E146" i="45"/>
  <c r="B146" i="45" s="1"/>
  <c r="CL149" i="43"/>
  <c r="FO149" i="43"/>
  <c r="P150" i="43"/>
  <c r="E147" i="45"/>
  <c r="B147" i="45" s="1"/>
  <c r="CL150" i="43"/>
  <c r="CL151" i="43"/>
  <c r="DE151" i="43"/>
  <c r="FO151" i="43"/>
  <c r="CL152" i="43"/>
  <c r="P153" i="43"/>
  <c r="E150" i="45"/>
  <c r="B150" i="45" s="1"/>
  <c r="CL153" i="43"/>
  <c r="DE153" i="43"/>
  <c r="FO153" i="43"/>
  <c r="CL154" i="43"/>
  <c r="FO154" i="43"/>
  <c r="FO155" i="43"/>
  <c r="FO156" i="43"/>
  <c r="P157" i="43"/>
  <c r="E154" i="45"/>
  <c r="B154" i="45" s="1"/>
  <c r="CL157" i="43"/>
  <c r="FO157" i="43"/>
  <c r="DQ158" i="43"/>
  <c r="DR158" i="43" s="1"/>
  <c r="G158" i="43" s="1"/>
  <c r="Q155" i="45"/>
  <c r="R155" i="45" s="1"/>
  <c r="F159" i="45"/>
  <c r="B159" i="45" s="1"/>
  <c r="P162" i="43"/>
  <c r="I162" i="43" s="1"/>
  <c r="AH7" i="45"/>
  <c r="AH12" i="45"/>
  <c r="E19" i="45"/>
  <c r="B19" i="45" s="1"/>
  <c r="S19" i="45"/>
  <c r="AH22" i="45"/>
  <c r="Q29" i="45"/>
  <c r="R29" i="45" s="1"/>
  <c r="S29" i="45" s="1"/>
  <c r="AH32" i="45"/>
  <c r="Q36" i="45"/>
  <c r="R36" i="45" s="1"/>
  <c r="S36" i="45" s="1"/>
  <c r="AH39" i="45"/>
  <c r="B45" i="45"/>
  <c r="B51" i="45"/>
  <c r="AH55" i="45"/>
  <c r="F56" i="45"/>
  <c r="B56" i="45" s="1"/>
  <c r="AH58" i="45"/>
  <c r="S59" i="45"/>
  <c r="B61" i="45"/>
  <c r="AH62" i="45"/>
  <c r="S63" i="45"/>
  <c r="B71" i="45"/>
  <c r="S115" i="45"/>
  <c r="B118" i="45"/>
  <c r="E122" i="45"/>
  <c r="B122" i="45" s="1"/>
  <c r="E127" i="45"/>
  <c r="B127" i="45" s="1"/>
  <c r="Q127" i="45"/>
  <c r="R127" i="45" s="1"/>
  <c r="S127" i="45" s="1"/>
  <c r="S131" i="45"/>
  <c r="E144" i="45"/>
  <c r="B144" i="45" s="1"/>
  <c r="E148" i="45"/>
  <c r="B148" i="45" s="1"/>
  <c r="E152" i="45"/>
  <c r="B152" i="45" s="1"/>
  <c r="S169" i="45"/>
  <c r="S170" i="45"/>
  <c r="S178" i="45"/>
  <c r="S186" i="45"/>
  <c r="S194" i="45"/>
  <c r="S276" i="45"/>
  <c r="E312" i="45"/>
  <c r="B312" i="45" s="1"/>
  <c r="S312" i="45"/>
  <c r="S319" i="45"/>
  <c r="C18" i="44"/>
  <c r="F7" i="45"/>
  <c r="B7" i="45" s="1"/>
  <c r="AM11" i="43"/>
  <c r="FO11" i="43"/>
  <c r="P12" i="43"/>
  <c r="Q387" i="45"/>
  <c r="R387" i="45" s="1"/>
  <c r="S387" i="45" s="1"/>
  <c r="DQ15" i="43"/>
  <c r="DR15" i="43" s="1"/>
  <c r="G15" i="43" s="1"/>
  <c r="CL19" i="43"/>
  <c r="Z19" i="43"/>
  <c r="BQ19" i="43"/>
  <c r="AM19" i="43"/>
  <c r="DE19" i="43"/>
  <c r="FO19" i="43"/>
  <c r="BQ20" i="43"/>
  <c r="CL20" i="43"/>
  <c r="DE20" i="43"/>
  <c r="FO20" i="43"/>
  <c r="BQ21" i="43"/>
  <c r="DQ24" i="43"/>
  <c r="DR24" i="43" s="1"/>
  <c r="G24" i="43" s="1"/>
  <c r="HQ24" i="43" s="1"/>
  <c r="HR24" i="43" s="1"/>
  <c r="FO28" i="43"/>
  <c r="DE28" i="43"/>
  <c r="BQ28" i="43"/>
  <c r="P29" i="43"/>
  <c r="E26" i="45"/>
  <c r="B26" i="45" s="1"/>
  <c r="DQ31" i="43"/>
  <c r="DR31" i="43" s="1"/>
  <c r="G31" i="43" s="1"/>
  <c r="HQ31" i="43" s="1"/>
  <c r="HR31" i="43" s="1"/>
  <c r="Z32" i="43"/>
  <c r="FO34" i="43"/>
  <c r="CL34" i="43"/>
  <c r="Z34" i="43"/>
  <c r="BQ34" i="43"/>
  <c r="E31" i="45"/>
  <c r="B31" i="45" s="1"/>
  <c r="P34" i="43"/>
  <c r="I34" i="43" s="1"/>
  <c r="DE34" i="43"/>
  <c r="Z35" i="43"/>
  <c r="CL35" i="43"/>
  <c r="FO36" i="43"/>
  <c r="BQ37" i="43"/>
  <c r="DQ38" i="43"/>
  <c r="DR38" i="43" s="1"/>
  <c r="G38" i="43" s="1"/>
  <c r="Z39" i="43"/>
  <c r="CL39" i="43"/>
  <c r="FO40" i="43"/>
  <c r="BQ41" i="43"/>
  <c r="DQ42" i="43"/>
  <c r="DR42" i="43" s="1"/>
  <c r="G42" i="43" s="1"/>
  <c r="HQ42" i="43" s="1"/>
  <c r="HR42" i="43" s="1"/>
  <c r="Z43" i="43"/>
  <c r="CL43" i="43"/>
  <c r="FO46" i="43"/>
  <c r="BQ47" i="43"/>
  <c r="DQ48" i="43"/>
  <c r="DR48" i="43" s="1"/>
  <c r="G48" i="43" s="1"/>
  <c r="Z49" i="43"/>
  <c r="CL49" i="43"/>
  <c r="FO50" i="43"/>
  <c r="BQ51" i="43"/>
  <c r="DQ52" i="43"/>
  <c r="DR52" i="43" s="1"/>
  <c r="G52" i="43" s="1"/>
  <c r="Q49" i="45"/>
  <c r="R49" i="45" s="1"/>
  <c r="S49" i="45" s="1"/>
  <c r="Z53" i="43"/>
  <c r="CL53" i="43"/>
  <c r="FO54" i="43"/>
  <c r="BQ55" i="43"/>
  <c r="DQ56" i="43"/>
  <c r="DR56" i="43" s="1"/>
  <c r="G56" i="43" s="1"/>
  <c r="HQ56" i="43" s="1"/>
  <c r="HR56" i="43" s="1"/>
  <c r="BQ59" i="43"/>
  <c r="DE59" i="43"/>
  <c r="CL59" i="43"/>
  <c r="DQ60" i="43"/>
  <c r="DR60" i="43" s="1"/>
  <c r="G60" i="43" s="1"/>
  <c r="DW61" i="43"/>
  <c r="DX61" i="43" s="1"/>
  <c r="CL64" i="43"/>
  <c r="DE64" i="43"/>
  <c r="AM65" i="43"/>
  <c r="DQ76" i="43"/>
  <c r="DR76" i="43" s="1"/>
  <c r="G76" i="43" s="1"/>
  <c r="Q73" i="45"/>
  <c r="R73" i="45" s="1"/>
  <c r="P80" i="43"/>
  <c r="E77" i="45"/>
  <c r="B77" i="45" s="1"/>
  <c r="BQ80" i="43"/>
  <c r="DW88" i="43"/>
  <c r="DX88" i="43" s="1"/>
  <c r="DW89" i="43"/>
  <c r="DX89" i="43" s="1"/>
  <c r="AM90" i="43"/>
  <c r="DW90" i="43"/>
  <c r="DX90" i="43" s="1"/>
  <c r="AM92" i="43"/>
  <c r="AM107" i="43"/>
  <c r="AM108" i="43"/>
  <c r="Z182" i="43"/>
  <c r="CL182" i="43"/>
  <c r="DE189" i="43"/>
  <c r="CL189" i="43"/>
  <c r="Z189" i="43"/>
  <c r="BQ189" i="43"/>
  <c r="FO189" i="43"/>
  <c r="FO190" i="43"/>
  <c r="BQ190" i="43"/>
  <c r="DE190" i="43"/>
  <c r="FO196" i="43"/>
  <c r="BQ196" i="43"/>
  <c r="FO282" i="43"/>
  <c r="Z282" i="43"/>
  <c r="FO284" i="43"/>
  <c r="Z284" i="43"/>
  <c r="P285" i="43"/>
  <c r="E282" i="45"/>
  <c r="B282" i="45" s="1"/>
  <c r="DQ285" i="43"/>
  <c r="DR285" i="43" s="1"/>
  <c r="G285" i="43" s="1"/>
  <c r="HQ285" i="43" s="1"/>
  <c r="HR285" i="43" s="1"/>
  <c r="Q282" i="45"/>
  <c r="R282" i="45" s="1"/>
  <c r="P293" i="43"/>
  <c r="F290" i="45"/>
  <c r="B290" i="45" s="1"/>
  <c r="P294" i="43"/>
  <c r="E291" i="45"/>
  <c r="B291" i="45" s="1"/>
  <c r="DQ294" i="43"/>
  <c r="DR294" i="43" s="1"/>
  <c r="G294" i="43" s="1"/>
  <c r="HQ294" i="43" s="1"/>
  <c r="HR294" i="43" s="1"/>
  <c r="Q291" i="45"/>
  <c r="R291" i="45" s="1"/>
  <c r="S292" i="45" s="1"/>
  <c r="BQ299" i="43"/>
  <c r="DE299" i="43"/>
  <c r="CL299" i="43"/>
  <c r="Z299" i="43"/>
  <c r="FO299" i="43"/>
  <c r="AR43" i="24"/>
  <c r="AQ44" i="24"/>
  <c r="FO22" i="43"/>
  <c r="CL22" i="43"/>
  <c r="Z22" i="43"/>
  <c r="BQ22" i="43"/>
  <c r="DE22" i="43"/>
  <c r="BQ38" i="43"/>
  <c r="BQ48" i="43"/>
  <c r="BQ52" i="43"/>
  <c r="FO63" i="43"/>
  <c r="FO74" i="43"/>
  <c r="DE74" i="43"/>
  <c r="B82" i="45"/>
  <c r="AM104" i="43"/>
  <c r="AM105" i="43"/>
  <c r="DQ112" i="43"/>
  <c r="DR112" i="43" s="1"/>
  <c r="G112" i="43" s="1"/>
  <c r="HQ112" i="43" s="1"/>
  <c r="HR112" i="43" s="1"/>
  <c r="Q109" i="45"/>
  <c r="R109" i="45" s="1"/>
  <c r="S110" i="45" s="1"/>
  <c r="P116" i="43"/>
  <c r="E113" i="45"/>
  <c r="B113" i="45" s="1"/>
  <c r="P135" i="43"/>
  <c r="E132" i="45"/>
  <c r="B132" i="45" s="1"/>
  <c r="Z186" i="43"/>
  <c r="FO186" i="43"/>
  <c r="CL186" i="43"/>
  <c r="P192" i="43"/>
  <c r="E189" i="45"/>
  <c r="B189" i="45" s="1"/>
  <c r="AM375" i="43"/>
  <c r="AM376" i="43"/>
  <c r="AR82" i="24"/>
  <c r="AQ204" i="24"/>
  <c r="F30" i="45"/>
  <c r="B30" i="45" s="1"/>
  <c r="Q42" i="45"/>
  <c r="R42" i="45" s="1"/>
  <c r="S43" i="45" s="1"/>
  <c r="B60" i="45"/>
  <c r="V10" i="44"/>
  <c r="V16" i="44"/>
  <c r="FO32" i="43"/>
  <c r="DE32" i="43"/>
  <c r="DQ33" i="43"/>
  <c r="DR33" i="43" s="1"/>
  <c r="G33" i="43" s="1"/>
  <c r="DQ36" i="43"/>
  <c r="DR36" i="43" s="1"/>
  <c r="G36" i="43" s="1"/>
  <c r="Q33" i="45"/>
  <c r="R33" i="45" s="1"/>
  <c r="S33" i="45" s="1"/>
  <c r="FO38" i="43"/>
  <c r="BQ39" i="43"/>
  <c r="DQ46" i="43"/>
  <c r="DR46" i="43" s="1"/>
  <c r="G46" i="43" s="1"/>
  <c r="DQ50" i="43"/>
  <c r="DR50" i="43" s="1"/>
  <c r="G50" i="43" s="1"/>
  <c r="Q47" i="45"/>
  <c r="R47" i="45" s="1"/>
  <c r="S48" i="45" s="1"/>
  <c r="DQ54" i="43"/>
  <c r="DR54" i="43" s="1"/>
  <c r="G54" i="43" s="1"/>
  <c r="FO56" i="43"/>
  <c r="BQ57" i="43"/>
  <c r="DE57" i="43"/>
  <c r="CL57" i="43"/>
  <c r="DQ58" i="43"/>
  <c r="DR58" i="43" s="1"/>
  <c r="G58" i="43" s="1"/>
  <c r="HQ58" i="43" s="1"/>
  <c r="HR58" i="43" s="1"/>
  <c r="P60" i="43"/>
  <c r="F57" i="45"/>
  <c r="B57" i="45" s="1"/>
  <c r="FO60" i="43"/>
  <c r="BQ61" i="43"/>
  <c r="FO61" i="43"/>
  <c r="BQ65" i="43"/>
  <c r="DE65" i="43"/>
  <c r="DQ84" i="43"/>
  <c r="DR84" i="43" s="1"/>
  <c r="G84" i="43" s="1"/>
  <c r="HQ84" i="43" s="1"/>
  <c r="HR84" i="43" s="1"/>
  <c r="Q81" i="45"/>
  <c r="R81" i="45" s="1"/>
  <c r="DQ85" i="43"/>
  <c r="DR85" i="43" s="1"/>
  <c r="G85" i="43" s="1"/>
  <c r="B85" i="45"/>
  <c r="AM94" i="43"/>
  <c r="P103" i="43"/>
  <c r="E100" i="45"/>
  <c r="B100" i="45" s="1"/>
  <c r="CL125" i="43"/>
  <c r="P144" i="43"/>
  <c r="J144" i="43" s="1"/>
  <c r="E141" i="45"/>
  <c r="B141" i="45" s="1"/>
  <c r="DE144" i="43"/>
  <c r="FO144" i="43"/>
  <c r="DE145" i="43"/>
  <c r="FO145" i="43"/>
  <c r="CL146" i="43"/>
  <c r="DE146" i="43"/>
  <c r="FO146" i="43"/>
  <c r="DE147" i="43"/>
  <c r="FO147" i="43"/>
  <c r="DE148" i="43"/>
  <c r="DE149" i="43"/>
  <c r="DE150" i="43"/>
  <c r="FO150" i="43"/>
  <c r="DE152" i="43"/>
  <c r="FO152" i="43"/>
  <c r="P154" i="43"/>
  <c r="E151" i="45"/>
  <c r="B151" i="45" s="1"/>
  <c r="DE154" i="43"/>
  <c r="CL155" i="43"/>
  <c r="DE155" i="43"/>
  <c r="CL156" i="43"/>
  <c r="DE156" i="43"/>
  <c r="DE157" i="43"/>
  <c r="DQ202" i="43"/>
  <c r="DR202" i="43" s="1"/>
  <c r="G202" i="43" s="1"/>
  <c r="HQ202" i="43" s="1"/>
  <c r="HR202" i="43" s="1"/>
  <c r="DQ203" i="43"/>
  <c r="DR203" i="43" s="1"/>
  <c r="G203" i="43" s="1"/>
  <c r="HQ203" i="43" s="1"/>
  <c r="HR203" i="43" s="1"/>
  <c r="P207" i="43"/>
  <c r="F204" i="45"/>
  <c r="B204" i="45" s="1"/>
  <c r="P210" i="43"/>
  <c r="E207" i="45"/>
  <c r="B207" i="45" s="1"/>
  <c r="BQ221" i="43"/>
  <c r="CL221" i="43"/>
  <c r="P221" i="43"/>
  <c r="E218" i="45"/>
  <c r="B218" i="45" s="1"/>
  <c r="DQ223" i="43"/>
  <c r="DR223" i="43" s="1"/>
  <c r="G223" i="43" s="1"/>
  <c r="HQ223" i="43" s="1"/>
  <c r="HR223" i="43" s="1"/>
  <c r="Q220" i="45"/>
  <c r="R220" i="45" s="1"/>
  <c r="B240" i="45"/>
  <c r="DQ244" i="43"/>
  <c r="DR244" i="43" s="1"/>
  <c r="G244" i="43" s="1"/>
  <c r="Q240" i="45"/>
  <c r="R240" i="45" s="1"/>
  <c r="P301" i="43"/>
  <c r="DW310" i="43"/>
  <c r="DX310" i="43" s="1"/>
  <c r="DE311" i="43"/>
  <c r="FO311" i="43"/>
  <c r="DW311" i="43"/>
  <c r="DX311" i="43" s="1"/>
  <c r="DQ314" i="43"/>
  <c r="DR314" i="43" s="1"/>
  <c r="G314" i="43" s="1"/>
  <c r="HQ314" i="43" s="1"/>
  <c r="HR314" i="43" s="1"/>
  <c r="DQ316" i="43"/>
  <c r="DR316" i="43" s="1"/>
  <c r="G316" i="43" s="1"/>
  <c r="HQ316" i="43" s="1"/>
  <c r="HR316" i="43" s="1"/>
  <c r="Q313" i="45"/>
  <c r="R313" i="45" s="1"/>
  <c r="S313" i="45" s="1"/>
  <c r="DW318" i="43"/>
  <c r="DX318" i="43" s="1"/>
  <c r="DE321" i="43"/>
  <c r="CL321" i="43"/>
  <c r="DE325" i="43"/>
  <c r="CL325" i="43"/>
  <c r="DQ328" i="43"/>
  <c r="DR328" i="43" s="1"/>
  <c r="G328" i="43" s="1"/>
  <c r="Q325" i="45"/>
  <c r="R325" i="45" s="1"/>
  <c r="S325" i="45" s="1"/>
  <c r="CL337" i="43"/>
  <c r="DE337" i="43"/>
  <c r="DE339" i="43"/>
  <c r="DE345" i="43"/>
  <c r="CL345" i="43"/>
  <c r="DE351" i="43"/>
  <c r="FO351" i="43"/>
  <c r="Z351" i="43"/>
  <c r="CL351" i="43"/>
  <c r="BQ351" i="43"/>
  <c r="B355" i="45"/>
  <c r="DE361" i="43"/>
  <c r="Z361" i="43"/>
  <c r="CL361" i="43"/>
  <c r="BQ361" i="43"/>
  <c r="DW363" i="43"/>
  <c r="DX363" i="43" s="1"/>
  <c r="GQ363" i="43"/>
  <c r="GP363" i="43" s="1"/>
  <c r="GL363" i="43" s="1"/>
  <c r="DW375" i="43"/>
  <c r="DX375" i="43" s="1"/>
  <c r="GQ375" i="43"/>
  <c r="GP375" i="43" s="1"/>
  <c r="GL375" i="43" s="1"/>
  <c r="FO380" i="43"/>
  <c r="CL380" i="43"/>
  <c r="AR24" i="24"/>
  <c r="AQ57" i="24"/>
  <c r="AR57" i="24"/>
  <c r="AR73" i="24"/>
  <c r="AQ182" i="24"/>
  <c r="AQ203" i="24"/>
  <c r="AR203" i="24"/>
  <c r="AS310" i="24"/>
  <c r="S8" i="45"/>
  <c r="Q14" i="45"/>
  <c r="R14" i="45" s="1"/>
  <c r="S15" i="45" s="1"/>
  <c r="E21" i="45"/>
  <c r="B21" i="45" s="1"/>
  <c r="S23" i="45"/>
  <c r="B25" i="45"/>
  <c r="AH34" i="45"/>
  <c r="AH36" i="45"/>
  <c r="Q40" i="45"/>
  <c r="R40" i="45" s="1"/>
  <c r="S41" i="45" s="1"/>
  <c r="AH43" i="45"/>
  <c r="B46" i="45"/>
  <c r="Q46" i="45"/>
  <c r="R46" i="45" s="1"/>
  <c r="S46" i="45" s="1"/>
  <c r="B48" i="45"/>
  <c r="S56" i="45"/>
  <c r="AH59" i="45"/>
  <c r="S61" i="45"/>
  <c r="AH63" i="45"/>
  <c r="S79" i="45"/>
  <c r="B87" i="45"/>
  <c r="B95" i="45"/>
  <c r="B110" i="45"/>
  <c r="S111" i="45"/>
  <c r="E143" i="45"/>
  <c r="B143" i="45" s="1"/>
  <c r="S143" i="45"/>
  <c r="S171" i="45"/>
  <c r="S172" i="45"/>
  <c r="S179" i="45"/>
  <c r="S180" i="45"/>
  <c r="S198" i="45"/>
  <c r="B201" i="45"/>
  <c r="Q269" i="45"/>
  <c r="R269" i="45" s="1"/>
  <c r="S269" i="45" s="1"/>
  <c r="S277" i="45"/>
  <c r="S287" i="45"/>
  <c r="S309" i="45"/>
  <c r="E336" i="45"/>
  <c r="B336" i="45" s="1"/>
  <c r="S351" i="45"/>
  <c r="S354" i="45"/>
  <c r="S357" i="45"/>
  <c r="S359" i="45"/>
  <c r="S368" i="45"/>
  <c r="CL16" i="43"/>
  <c r="Z16" i="43"/>
  <c r="FO16" i="43"/>
  <c r="BQ16" i="43"/>
  <c r="DE16" i="43"/>
  <c r="DQ18" i="43"/>
  <c r="DR18" i="43" s="1"/>
  <c r="G18" i="43" s="1"/>
  <c r="HQ18" i="43" s="1"/>
  <c r="HR18" i="43" s="1"/>
  <c r="FO23" i="43"/>
  <c r="DE23" i="43"/>
  <c r="Z23" i="43"/>
  <c r="AM23" i="43"/>
  <c r="CL23" i="43"/>
  <c r="P30" i="43"/>
  <c r="FO35" i="43"/>
  <c r="BQ36" i="43"/>
  <c r="DQ37" i="43"/>
  <c r="DR37" i="43" s="1"/>
  <c r="G37" i="43" s="1"/>
  <c r="HQ37" i="43" s="1"/>
  <c r="HR37" i="43" s="1"/>
  <c r="Z38" i="43"/>
  <c r="CL38" i="43"/>
  <c r="FO39" i="43"/>
  <c r="BQ40" i="43"/>
  <c r="DQ41" i="43"/>
  <c r="DR41" i="43" s="1"/>
  <c r="G41" i="43" s="1"/>
  <c r="Z42" i="43"/>
  <c r="CL42" i="43"/>
  <c r="FO43" i="43"/>
  <c r="BQ44" i="43"/>
  <c r="FO44" i="43"/>
  <c r="CL44" i="43"/>
  <c r="Z44" i="43"/>
  <c r="P44" i="43"/>
  <c r="E41" i="45"/>
  <c r="B41" i="45" s="1"/>
  <c r="DE44" i="43"/>
  <c r="BQ46" i="43"/>
  <c r="DQ47" i="43"/>
  <c r="DR47" i="43" s="1"/>
  <c r="G47" i="43" s="1"/>
  <c r="Z48" i="43"/>
  <c r="CL48" i="43"/>
  <c r="FO49" i="43"/>
  <c r="BQ50" i="43"/>
  <c r="DQ51" i="43"/>
  <c r="DR51" i="43" s="1"/>
  <c r="G51" i="43" s="1"/>
  <c r="Z52" i="43"/>
  <c r="CL52" i="43"/>
  <c r="FO53" i="43"/>
  <c r="BQ54" i="43"/>
  <c r="DQ55" i="43"/>
  <c r="DR55" i="43" s="1"/>
  <c r="G55" i="43" s="1"/>
  <c r="Q52" i="45"/>
  <c r="R52" i="45" s="1"/>
  <c r="S52" i="45" s="1"/>
  <c r="Z56" i="43"/>
  <c r="CL56" i="43"/>
  <c r="FO57" i="43"/>
  <c r="BQ58" i="43"/>
  <c r="DE58" i="43"/>
  <c r="CL58" i="43"/>
  <c r="AM59" i="43"/>
  <c r="DQ59" i="43"/>
  <c r="DR59" i="43" s="1"/>
  <c r="G59" i="43" s="1"/>
  <c r="DQ63" i="43"/>
  <c r="DR63" i="43" s="1"/>
  <c r="G63" i="43" s="1"/>
  <c r="AM64" i="43"/>
  <c r="BQ68" i="43"/>
  <c r="DE68" i="43"/>
  <c r="DQ70" i="43"/>
  <c r="DR70" i="43" s="1"/>
  <c r="G70" i="43" s="1"/>
  <c r="Q67" i="45"/>
  <c r="R67" i="45" s="1"/>
  <c r="S68" i="45" s="1"/>
  <c r="BQ72" i="43"/>
  <c r="DE72" i="43"/>
  <c r="DW78" i="43"/>
  <c r="DX78" i="43" s="1"/>
  <c r="DQ82" i="43"/>
  <c r="DR82" i="43" s="1"/>
  <c r="G82" i="43" s="1"/>
  <c r="DW84" i="43"/>
  <c r="DX84" i="43" s="1"/>
  <c r="FO85" i="43"/>
  <c r="CL85" i="43"/>
  <c r="DW96" i="43"/>
  <c r="DX96" i="43" s="1"/>
  <c r="AM97" i="43"/>
  <c r="DW97" i="43"/>
  <c r="DX97" i="43" s="1"/>
  <c r="AM98" i="43"/>
  <c r="DW98" i="43"/>
  <c r="DX98" i="43" s="1"/>
  <c r="AM100" i="43"/>
  <c r="DQ115" i="43"/>
  <c r="DR115" i="43" s="1"/>
  <c r="G115" i="43" s="1"/>
  <c r="Q112" i="45"/>
  <c r="R112" i="45" s="1"/>
  <c r="S112" i="45" s="1"/>
  <c r="DQ116" i="43"/>
  <c r="DR116" i="43" s="1"/>
  <c r="G116" i="43" s="1"/>
  <c r="HQ116" i="43" s="1"/>
  <c r="HR116" i="43" s="1"/>
  <c r="BQ139" i="43"/>
  <c r="DE139" i="43"/>
  <c r="CL139" i="43"/>
  <c r="FO139" i="43"/>
  <c r="P139" i="43"/>
  <c r="J139" i="43" s="1"/>
  <c r="E136" i="45"/>
  <c r="B136" i="45" s="1"/>
  <c r="Q136" i="45"/>
  <c r="R136" i="45" s="1"/>
  <c r="DQ140" i="43"/>
  <c r="DR140" i="43" s="1"/>
  <c r="G140" i="43" s="1"/>
  <c r="HQ140" i="43" s="1"/>
  <c r="HR140" i="43" s="1"/>
  <c r="DQ159" i="43"/>
  <c r="DR159" i="43" s="1"/>
  <c r="G159" i="43" s="1"/>
  <c r="DQ170" i="43"/>
  <c r="DR170" i="43" s="1"/>
  <c r="G170" i="43" s="1"/>
  <c r="HQ170" i="43" s="1"/>
  <c r="HR170" i="43" s="1"/>
  <c r="Q167" i="45"/>
  <c r="R167" i="45" s="1"/>
  <c r="S168" i="45" s="1"/>
  <c r="AQ41" i="24"/>
  <c r="AR41" i="24"/>
  <c r="AQ194" i="24"/>
  <c r="DW101" i="43"/>
  <c r="DX101" i="43" s="1"/>
  <c r="DW110" i="43"/>
  <c r="DX110" i="43" s="1"/>
  <c r="P111" i="43"/>
  <c r="E108" i="45"/>
  <c r="B108" i="45" s="1"/>
  <c r="Q108" i="45"/>
  <c r="R108" i="45" s="1"/>
  <c r="S108" i="45" s="1"/>
  <c r="DQ111" i="43"/>
  <c r="DR111" i="43" s="1"/>
  <c r="G111" i="43" s="1"/>
  <c r="AM113" i="43"/>
  <c r="DQ113" i="43"/>
  <c r="DR113" i="43" s="1"/>
  <c r="G113" i="43" s="1"/>
  <c r="CL117" i="43"/>
  <c r="DE117" i="43"/>
  <c r="FO117" i="43"/>
  <c r="CL118" i="43"/>
  <c r="DE118" i="43"/>
  <c r="FO118" i="43"/>
  <c r="DQ119" i="43"/>
  <c r="DR119" i="43" s="1"/>
  <c r="G119" i="43" s="1"/>
  <c r="HQ119" i="43" s="1"/>
  <c r="HR119" i="43" s="1"/>
  <c r="Q116" i="45"/>
  <c r="R116" i="45" s="1"/>
  <c r="S116" i="45" s="1"/>
  <c r="DQ120" i="43"/>
  <c r="DR120" i="43" s="1"/>
  <c r="G120" i="43" s="1"/>
  <c r="Q117" i="45"/>
  <c r="R117" i="45" s="1"/>
  <c r="DQ121" i="43"/>
  <c r="DR121" i="43" s="1"/>
  <c r="G121" i="43" s="1"/>
  <c r="HQ121" i="43" s="1"/>
  <c r="HR121" i="43" s="1"/>
  <c r="AM122" i="43"/>
  <c r="DQ122" i="43"/>
  <c r="DR122" i="43" s="1"/>
  <c r="G122" i="43" s="1"/>
  <c r="DE164" i="43"/>
  <c r="FO164" i="43"/>
  <c r="CL164" i="43"/>
  <c r="BQ164" i="43"/>
  <c r="Z164" i="43"/>
  <c r="DW185" i="43"/>
  <c r="DX185" i="43" s="1"/>
  <c r="P193" i="43"/>
  <c r="E190" i="45"/>
  <c r="B190" i="45" s="1"/>
  <c r="DQ197" i="43"/>
  <c r="DR197" i="43" s="1"/>
  <c r="G197" i="43" s="1"/>
  <c r="HQ197" i="43" s="1"/>
  <c r="HR197" i="43" s="1"/>
  <c r="DQ198" i="43"/>
  <c r="DR198" i="43" s="1"/>
  <c r="G198" i="43" s="1"/>
  <c r="HQ198" i="43" s="1"/>
  <c r="HR198" i="43" s="1"/>
  <c r="DQ295" i="43"/>
  <c r="DR295" i="43" s="1"/>
  <c r="G295" i="43" s="1"/>
  <c r="P300" i="43"/>
  <c r="DQ300" i="43"/>
  <c r="DR300" i="43" s="1"/>
  <c r="G300" i="43" s="1"/>
  <c r="DE308" i="43"/>
  <c r="Z308" i="43"/>
  <c r="BQ308" i="43"/>
  <c r="DW309" i="43"/>
  <c r="DX309" i="43" s="1"/>
  <c r="DW312" i="43"/>
  <c r="DX312" i="43" s="1"/>
  <c r="DE313" i="43"/>
  <c r="CL313" i="43"/>
  <c r="DE317" i="43"/>
  <c r="CL317" i="43"/>
  <c r="P317" i="43"/>
  <c r="E314" i="45"/>
  <c r="B314" i="45" s="1"/>
  <c r="DE318" i="43"/>
  <c r="P320" i="43"/>
  <c r="E317" i="45"/>
  <c r="B317" i="45" s="1"/>
  <c r="DQ320" i="43"/>
  <c r="DR320" i="43" s="1"/>
  <c r="G320" i="43" s="1"/>
  <c r="Q317" i="45"/>
  <c r="R317" i="45" s="1"/>
  <c r="DW327" i="43"/>
  <c r="DX327" i="43" s="1"/>
  <c r="P328" i="43"/>
  <c r="E325" i="45"/>
  <c r="B325" i="45" s="1"/>
  <c r="DE329" i="43"/>
  <c r="CL329" i="43"/>
  <c r="DW337" i="43"/>
  <c r="DX337" i="43" s="1"/>
  <c r="GQ337" i="43"/>
  <c r="GP337" i="43" s="1"/>
  <c r="GL337" i="43" s="1"/>
  <c r="DE341" i="43"/>
  <c r="CL341" i="43"/>
  <c r="DE346" i="43"/>
  <c r="CL346" i="43"/>
  <c r="Z346" i="43"/>
  <c r="DW353" i="43"/>
  <c r="DX353" i="43" s="1"/>
  <c r="GQ353" i="43"/>
  <c r="GP353" i="43" s="1"/>
  <c r="GL353" i="43" s="1"/>
  <c r="DW354" i="43"/>
  <c r="DX354" i="43" s="1"/>
  <c r="GQ354" i="43"/>
  <c r="GP354" i="43" s="1"/>
  <c r="GL354" i="43" s="1"/>
  <c r="AM355" i="43"/>
  <c r="P356" i="43"/>
  <c r="F353" i="45"/>
  <c r="B353" i="45" s="1"/>
  <c r="P357" i="43"/>
  <c r="E354" i="45"/>
  <c r="B354" i="45" s="1"/>
  <c r="DW357" i="43"/>
  <c r="DX357" i="43" s="1"/>
  <c r="GQ357" i="43"/>
  <c r="GP357" i="43" s="1"/>
  <c r="GL357" i="43" s="1"/>
  <c r="DQ358" i="43"/>
  <c r="DR358" i="43" s="1"/>
  <c r="Q355" i="45"/>
  <c r="R355" i="45" s="1"/>
  <c r="S355" i="45" s="1"/>
  <c r="DW365" i="43"/>
  <c r="DX365" i="43" s="1"/>
  <c r="GQ365" i="43"/>
  <c r="GP365" i="43" s="1"/>
  <c r="GL365" i="43" s="1"/>
  <c r="DQ376" i="43"/>
  <c r="DR376" i="43" s="1"/>
  <c r="Q373" i="45"/>
  <c r="R373" i="45" s="1"/>
  <c r="S373" i="45" s="1"/>
  <c r="DE379" i="43"/>
  <c r="T15" i="24"/>
  <c r="V15" i="24" s="1"/>
  <c r="T17" i="24"/>
  <c r="V17" i="24" s="1"/>
  <c r="BI23" i="24"/>
  <c r="BI25" i="24"/>
  <c r="AS27" i="24"/>
  <c r="T31" i="24"/>
  <c r="V31" i="24" s="1"/>
  <c r="T33" i="24"/>
  <c r="V33" i="24" s="1"/>
  <c r="BI39" i="24"/>
  <c r="BI41" i="24"/>
  <c r="AS61" i="24"/>
  <c r="AQ71" i="24"/>
  <c r="AR71" i="24"/>
  <c r="AQ84" i="24"/>
  <c r="BI84" i="24"/>
  <c r="BI94" i="24"/>
  <c r="AR123" i="24"/>
  <c r="T128" i="24"/>
  <c r="V128" i="24" s="1"/>
  <c r="T136" i="24"/>
  <c r="V136" i="24" s="1"/>
  <c r="BI142" i="24"/>
  <c r="T150" i="24"/>
  <c r="V150" i="24" s="1"/>
  <c r="BI160" i="24"/>
  <c r="BI168" i="24"/>
  <c r="T174" i="24"/>
  <c r="V174" i="24" s="1"/>
  <c r="BI192" i="24"/>
  <c r="BI200" i="24"/>
  <c r="BI271" i="24"/>
  <c r="T277" i="24"/>
  <c r="V277" i="24" s="1"/>
  <c r="BI295" i="24"/>
  <c r="BI304" i="24"/>
  <c r="T306" i="24"/>
  <c r="V306" i="24" s="1"/>
  <c r="T314" i="24"/>
  <c r="V314" i="24" s="1"/>
  <c r="BI320" i="24"/>
  <c r="T322" i="24"/>
  <c r="V322" i="24" s="1"/>
  <c r="T330" i="24"/>
  <c r="V330" i="24" s="1"/>
  <c r="T337" i="24"/>
  <c r="V337" i="24" s="1"/>
  <c r="T341" i="24"/>
  <c r="V341" i="24" s="1"/>
  <c r="T345" i="24"/>
  <c r="V345" i="24" s="1"/>
  <c r="G20" i="44"/>
  <c r="T353" i="24"/>
  <c r="V353" i="24" s="1"/>
  <c r="T357" i="24"/>
  <c r="V357" i="24" s="1"/>
  <c r="AQ360" i="24"/>
  <c r="T361" i="24"/>
  <c r="V361" i="24" s="1"/>
  <c r="T365" i="24"/>
  <c r="V365" i="24" s="1"/>
  <c r="T369" i="24"/>
  <c r="V369" i="24" s="1"/>
  <c r="T373" i="24"/>
  <c r="V373" i="24" s="1"/>
  <c r="T377" i="24"/>
  <c r="V377" i="24" s="1"/>
  <c r="T381" i="24"/>
  <c r="V381" i="24" s="1"/>
  <c r="BQ67" i="43"/>
  <c r="DE67" i="43"/>
  <c r="AM69" i="43"/>
  <c r="DQ69" i="43"/>
  <c r="DR69" i="43" s="1"/>
  <c r="G69" i="43" s="1"/>
  <c r="Q66" i="45"/>
  <c r="R66" i="45" s="1"/>
  <c r="BQ71" i="43"/>
  <c r="DE71" i="43"/>
  <c r="AM73" i="43"/>
  <c r="DQ74" i="43"/>
  <c r="DR74" i="43" s="1"/>
  <c r="G74" i="43" s="1"/>
  <c r="Q70" i="45"/>
  <c r="R70" i="45" s="1"/>
  <c r="S71" i="45" s="1"/>
  <c r="P75" i="43"/>
  <c r="E72" i="45"/>
  <c r="B72" i="45" s="1"/>
  <c r="BQ75" i="43"/>
  <c r="S72" i="45"/>
  <c r="AM77" i="43"/>
  <c r="P83" i="43"/>
  <c r="I83" i="43" s="1"/>
  <c r="E80" i="45"/>
  <c r="B80" i="45" s="1"/>
  <c r="BQ83" i="43"/>
  <c r="Q80" i="45"/>
  <c r="R80" i="45" s="1"/>
  <c r="S80" i="45" s="1"/>
  <c r="DQ83" i="43"/>
  <c r="DR83" i="43" s="1"/>
  <c r="G83" i="43" s="1"/>
  <c r="HQ83" i="43" s="1"/>
  <c r="HR83" i="43" s="1"/>
  <c r="DW87" i="43"/>
  <c r="DX87" i="43" s="1"/>
  <c r="DW91" i="43"/>
  <c r="DX91" i="43" s="1"/>
  <c r="AM95" i="43"/>
  <c r="DW99" i="43"/>
  <c r="DX99" i="43" s="1"/>
  <c r="BQ104" i="43"/>
  <c r="DQ104" i="43"/>
  <c r="DR104" i="43" s="1"/>
  <c r="G104" i="43" s="1"/>
  <c r="Q101" i="45"/>
  <c r="R101" i="45" s="1"/>
  <c r="S102" i="45" s="1"/>
  <c r="DW107" i="43"/>
  <c r="DX107" i="43" s="1"/>
  <c r="P108" i="43"/>
  <c r="E105" i="45"/>
  <c r="B105" i="45" s="1"/>
  <c r="AM114" i="43"/>
  <c r="DQ114" i="43"/>
  <c r="DR114" i="43" s="1"/>
  <c r="G114" i="43" s="1"/>
  <c r="HQ114" i="43" s="1"/>
  <c r="HR114" i="43" s="1"/>
  <c r="BQ159" i="43"/>
  <c r="FO159" i="43"/>
  <c r="P159" i="43"/>
  <c r="I159" i="43" s="1"/>
  <c r="E156" i="45"/>
  <c r="B156" i="45" s="1"/>
  <c r="CL159" i="43"/>
  <c r="DE159" i="43"/>
  <c r="DQ165" i="43"/>
  <c r="DR165" i="43" s="1"/>
  <c r="G165" i="43" s="1"/>
  <c r="Q162" i="45"/>
  <c r="R162" i="45" s="1"/>
  <c r="P166" i="43"/>
  <c r="J166" i="43" s="1"/>
  <c r="F163" i="45"/>
  <c r="B163" i="45" s="1"/>
  <c r="DQ168" i="43"/>
  <c r="DR168" i="43" s="1"/>
  <c r="G168" i="43" s="1"/>
  <c r="Q165" i="45"/>
  <c r="R165" i="45" s="1"/>
  <c r="S165" i="45" s="1"/>
  <c r="P179" i="43"/>
  <c r="E176" i="45"/>
  <c r="B176" i="45" s="1"/>
  <c r="DW179" i="43"/>
  <c r="DX179" i="43" s="1"/>
  <c r="DW180" i="43"/>
  <c r="DX180" i="43" s="1"/>
  <c r="DE181" i="43"/>
  <c r="Z181" i="43"/>
  <c r="P181" i="43"/>
  <c r="E178" i="45"/>
  <c r="B178" i="45" s="1"/>
  <c r="CL181" i="43"/>
  <c r="DQ200" i="43"/>
  <c r="DR200" i="43" s="1"/>
  <c r="G200" i="43" s="1"/>
  <c r="HQ200" i="43" s="1"/>
  <c r="HR200" i="43" s="1"/>
  <c r="DQ201" i="43"/>
  <c r="DR201" i="43" s="1"/>
  <c r="G201" i="43" s="1"/>
  <c r="HQ201" i="43" s="1"/>
  <c r="HR201" i="43" s="1"/>
  <c r="DW203" i="43"/>
  <c r="DX203" i="43" s="1"/>
  <c r="DQ204" i="43"/>
  <c r="DR204" i="43" s="1"/>
  <c r="G204" i="43" s="1"/>
  <c r="HQ204" i="43" s="1"/>
  <c r="HR204" i="43" s="1"/>
  <c r="DQ205" i="43"/>
  <c r="DR205" i="43" s="1"/>
  <c r="G205" i="43" s="1"/>
  <c r="HQ205" i="43" s="1"/>
  <c r="HR205" i="43" s="1"/>
  <c r="B203" i="45"/>
  <c r="DW210" i="43"/>
  <c r="DX210" i="43" s="1"/>
  <c r="P211" i="43"/>
  <c r="F208" i="45"/>
  <c r="B208" i="45" s="1"/>
  <c r="DQ217" i="43"/>
  <c r="DR217" i="43" s="1"/>
  <c r="Q214" i="45"/>
  <c r="R214" i="45" s="1"/>
  <c r="S215" i="45" s="1"/>
  <c r="P220" i="43"/>
  <c r="E217" i="45"/>
  <c r="B217" i="45" s="1"/>
  <c r="DW220" i="43"/>
  <c r="DX220" i="43" s="1"/>
  <c r="BQ225" i="43"/>
  <c r="CL225" i="43"/>
  <c r="DW236" i="43"/>
  <c r="DX236" i="43" s="1"/>
  <c r="P241" i="43"/>
  <c r="E238" i="45"/>
  <c r="B238" i="45" s="1"/>
  <c r="P242" i="43"/>
  <c r="E239" i="45"/>
  <c r="B239" i="45" s="1"/>
  <c r="B255" i="45"/>
  <c r="B258" i="45"/>
  <c r="DW261" i="43"/>
  <c r="DX261" i="43" s="1"/>
  <c r="DQ275" i="43"/>
  <c r="DR275" i="43" s="1"/>
  <c r="G275" i="43" s="1"/>
  <c r="HQ275" i="43" s="1"/>
  <c r="HR275" i="43" s="1"/>
  <c r="Q272" i="45"/>
  <c r="R272" i="45" s="1"/>
  <c r="S272" i="45" s="1"/>
  <c r="DW281" i="43"/>
  <c r="DX281" i="43" s="1"/>
  <c r="DW282" i="43"/>
  <c r="DX282" i="43" s="1"/>
  <c r="DW283" i="43"/>
  <c r="DX283" i="43" s="1"/>
  <c r="P348" i="43"/>
  <c r="E345" i="45"/>
  <c r="B345" i="45" s="1"/>
  <c r="DE349" i="43"/>
  <c r="FO349" i="43"/>
  <c r="CL349" i="43"/>
  <c r="Z349" i="43"/>
  <c r="BQ349" i="43"/>
  <c r="DW351" i="43"/>
  <c r="DX351" i="43" s="1"/>
  <c r="GQ351" i="43"/>
  <c r="GP351" i="43" s="1"/>
  <c r="GL351" i="43" s="1"/>
  <c r="P352" i="43"/>
  <c r="J352" i="43" s="1"/>
  <c r="E349" i="45"/>
  <c r="B349" i="45" s="1"/>
  <c r="DE353" i="43"/>
  <c r="FO353" i="43"/>
  <c r="Z353" i="43"/>
  <c r="CL353" i="43"/>
  <c r="BQ353" i="43"/>
  <c r="P374" i="43"/>
  <c r="E371" i="45"/>
  <c r="B371" i="45" s="1"/>
  <c r="P375" i="43"/>
  <c r="F372" i="45"/>
  <c r="B372" i="45" s="1"/>
  <c r="T11" i="24"/>
  <c r="V11" i="24" s="1"/>
  <c r="T13" i="24"/>
  <c r="V13" i="24" s="1"/>
  <c r="BI19" i="24"/>
  <c r="BI21" i="24"/>
  <c r="T27" i="24"/>
  <c r="V27" i="24" s="1"/>
  <c r="T29" i="24"/>
  <c r="V29" i="24" s="1"/>
  <c r="BI35" i="24"/>
  <c r="BI37" i="24"/>
  <c r="AS41" i="24"/>
  <c r="T43" i="24"/>
  <c r="V43" i="24" s="1"/>
  <c r="AS57" i="24"/>
  <c r="BI78" i="24"/>
  <c r="BI86" i="24"/>
  <c r="T92" i="24"/>
  <c r="V92" i="24" s="1"/>
  <c r="T182" i="24"/>
  <c r="V182" i="24" s="1"/>
  <c r="B66" i="45"/>
  <c r="B70" i="45"/>
  <c r="B73" i="45"/>
  <c r="B78" i="45"/>
  <c r="B81" i="45"/>
  <c r="B89" i="45"/>
  <c r="B93" i="45"/>
  <c r="B97" i="45"/>
  <c r="B101" i="45"/>
  <c r="B102" i="45"/>
  <c r="B109" i="45"/>
  <c r="B117" i="45"/>
  <c r="B121" i="45"/>
  <c r="B125" i="45"/>
  <c r="B126" i="45"/>
  <c r="B129" i="45"/>
  <c r="B133" i="45"/>
  <c r="B137" i="45"/>
  <c r="AH144" i="45"/>
  <c r="AH148" i="45"/>
  <c r="AH152" i="45"/>
  <c r="B158" i="45"/>
  <c r="AH159" i="45"/>
  <c r="B161" i="45"/>
  <c r="B170" i="45"/>
  <c r="B181" i="45"/>
  <c r="AH184" i="45"/>
  <c r="B187" i="45"/>
  <c r="S187" i="45"/>
  <c r="B188" i="45"/>
  <c r="B213" i="45"/>
  <c r="B214" i="45"/>
  <c r="B227" i="45"/>
  <c r="B242" i="45"/>
  <c r="B244" i="45"/>
  <c r="AH261" i="45"/>
  <c r="B265" i="45"/>
  <c r="AH273" i="45"/>
  <c r="S274" i="45"/>
  <c r="B278" i="45"/>
  <c r="AH285" i="45"/>
  <c r="B289" i="45"/>
  <c r="B308" i="45"/>
  <c r="AH312" i="45"/>
  <c r="AH315" i="45"/>
  <c r="B322" i="45"/>
  <c r="AH324" i="45"/>
  <c r="AH328" i="45"/>
  <c r="AH334" i="45"/>
  <c r="AH336" i="45"/>
  <c r="AH341" i="45"/>
  <c r="AH343" i="45"/>
  <c r="B346" i="45"/>
  <c r="AH348" i="45"/>
  <c r="B356" i="45"/>
  <c r="AH363" i="45"/>
  <c r="B366" i="45"/>
  <c r="B370" i="45"/>
  <c r="AH378" i="45"/>
  <c r="DQ11" i="43"/>
  <c r="DR11" i="43" s="1"/>
  <c r="G11" i="43" s="1"/>
  <c r="ES11" i="43"/>
  <c r="AM12" i="43"/>
  <c r="AM15" i="43"/>
  <c r="ES15" i="43"/>
  <c r="P20" i="43"/>
  <c r="AM20" i="43"/>
  <c r="ES21" i="43"/>
  <c r="DQ22" i="43"/>
  <c r="DR22" i="43" s="1"/>
  <c r="G22" i="43" s="1"/>
  <c r="BQ25" i="43"/>
  <c r="DQ25" i="43"/>
  <c r="DR25" i="43" s="1"/>
  <c r="G25" i="43" s="1"/>
  <c r="HQ25" i="43" s="1"/>
  <c r="HR25" i="43" s="1"/>
  <c r="AM27" i="43"/>
  <c r="CL27" i="43"/>
  <c r="DW27" i="43"/>
  <c r="DX27" i="43" s="1"/>
  <c r="BQ29" i="43"/>
  <c r="DQ29" i="43"/>
  <c r="DR29" i="43" s="1"/>
  <c r="G29" i="43" s="1"/>
  <c r="HQ29" i="43" s="1"/>
  <c r="HR29" i="43" s="1"/>
  <c r="AM31" i="43"/>
  <c r="CL31" i="43"/>
  <c r="DW31" i="43"/>
  <c r="DX31" i="43" s="1"/>
  <c r="DQ34" i="43"/>
  <c r="DR34" i="43" s="1"/>
  <c r="G34" i="43" s="1"/>
  <c r="P35" i="43"/>
  <c r="AM35" i="43"/>
  <c r="DW35" i="43"/>
  <c r="DX35" i="43" s="1"/>
  <c r="ES36" i="43"/>
  <c r="P37" i="43"/>
  <c r="AM37" i="43"/>
  <c r="DW37" i="43"/>
  <c r="DX37" i="43" s="1"/>
  <c r="ES38" i="43"/>
  <c r="P39" i="43"/>
  <c r="AM39" i="43"/>
  <c r="DW39" i="43"/>
  <c r="DX39" i="43" s="1"/>
  <c r="ES40" i="43"/>
  <c r="P41" i="43"/>
  <c r="AM41" i="43"/>
  <c r="DW41" i="43"/>
  <c r="DX41" i="43" s="1"/>
  <c r="ES42" i="43"/>
  <c r="P43" i="43"/>
  <c r="I43" i="43" s="1"/>
  <c r="AM43" i="43"/>
  <c r="DW43" i="43"/>
  <c r="DX43" i="43" s="1"/>
  <c r="ES45" i="43"/>
  <c r="P46" i="43"/>
  <c r="AM46" i="43"/>
  <c r="DW46" i="43"/>
  <c r="DX46" i="43" s="1"/>
  <c r="ES47" i="43"/>
  <c r="P48" i="43"/>
  <c r="AM48" i="43"/>
  <c r="DW48" i="43"/>
  <c r="DX48" i="43" s="1"/>
  <c r="ES49" i="43"/>
  <c r="P50" i="43"/>
  <c r="AM50" i="43"/>
  <c r="DW50" i="43"/>
  <c r="DX50" i="43" s="1"/>
  <c r="ES51" i="43"/>
  <c r="P52" i="43"/>
  <c r="AM52" i="43"/>
  <c r="DW52" i="43"/>
  <c r="DX52" i="43" s="1"/>
  <c r="ES53" i="43"/>
  <c r="P54" i="43"/>
  <c r="AM54" i="43"/>
  <c r="DW54" i="43"/>
  <c r="DX54" i="43" s="1"/>
  <c r="ES55" i="43"/>
  <c r="P56" i="43"/>
  <c r="J56" i="43" s="1"/>
  <c r="AM56" i="43"/>
  <c r="DW56" i="43"/>
  <c r="DX56" i="43" s="1"/>
  <c r="DW57" i="43"/>
  <c r="DX57" i="43" s="1"/>
  <c r="DW58" i="43"/>
  <c r="DX58" i="43" s="1"/>
  <c r="DW59" i="43"/>
  <c r="DX59" i="43" s="1"/>
  <c r="DW60" i="43"/>
  <c r="DX60" i="43" s="1"/>
  <c r="AM62" i="43"/>
  <c r="P62" i="43"/>
  <c r="CL62" i="43"/>
  <c r="DE62" i="43"/>
  <c r="ES62" i="43"/>
  <c r="DW63" i="43"/>
  <c r="DX63" i="43" s="1"/>
  <c r="P64" i="43"/>
  <c r="J64" i="43" s="1"/>
  <c r="DW65" i="43"/>
  <c r="DX65" i="43" s="1"/>
  <c r="P66" i="43"/>
  <c r="DW67" i="43"/>
  <c r="DX67" i="43" s="1"/>
  <c r="P68" i="43"/>
  <c r="DW69" i="43"/>
  <c r="DX69" i="43" s="1"/>
  <c r="P70" i="43"/>
  <c r="DW71" i="43"/>
  <c r="DX71" i="43" s="1"/>
  <c r="P72" i="43"/>
  <c r="DW73" i="43"/>
  <c r="DX73" i="43" s="1"/>
  <c r="P74" i="43"/>
  <c r="DW75" i="43"/>
  <c r="DX75" i="43" s="1"/>
  <c r="P76" i="43"/>
  <c r="I76" i="43" s="1"/>
  <c r="BQ76" i="43"/>
  <c r="ES79" i="43"/>
  <c r="DW80" i="43"/>
  <c r="DX80" i="43" s="1"/>
  <c r="AM81" i="43"/>
  <c r="ES84" i="43"/>
  <c r="DW85" i="43"/>
  <c r="DX85" i="43" s="1"/>
  <c r="AM86" i="43"/>
  <c r="P87" i="43"/>
  <c r="BQ87" i="43"/>
  <c r="DW105" i="43"/>
  <c r="DX105" i="43" s="1"/>
  <c r="P107" i="43"/>
  <c r="BQ108" i="43"/>
  <c r="P113" i="43"/>
  <c r="CL113" i="43"/>
  <c r="DE113" i="43"/>
  <c r="P115" i="43"/>
  <c r="CL115" i="43"/>
  <c r="DE115" i="43"/>
  <c r="AM116" i="43"/>
  <c r="ES117" i="43"/>
  <c r="P119" i="43"/>
  <c r="CL119" i="43"/>
  <c r="DE119" i="43"/>
  <c r="FO119" i="43"/>
  <c r="P120" i="43"/>
  <c r="CL120" i="43"/>
  <c r="DE120" i="43"/>
  <c r="FO120" i="43"/>
  <c r="P121" i="43"/>
  <c r="CL121" i="43"/>
  <c r="DE121" i="43"/>
  <c r="FO121" i="43"/>
  <c r="BQ122" i="43"/>
  <c r="FO122" i="43"/>
  <c r="P122" i="43"/>
  <c r="CL122" i="43"/>
  <c r="DE122" i="43"/>
  <c r="DW123" i="43"/>
  <c r="DX123" i="43" s="1"/>
  <c r="DW125" i="43"/>
  <c r="DX125" i="43" s="1"/>
  <c r="BQ128" i="43"/>
  <c r="DE128" i="43"/>
  <c r="CL128" i="43"/>
  <c r="BQ132" i="43"/>
  <c r="DE132" i="43"/>
  <c r="CL132" i="43"/>
  <c r="DQ134" i="43"/>
  <c r="DR134" i="43" s="1"/>
  <c r="G134" i="43" s="1"/>
  <c r="HQ134" i="43" s="1"/>
  <c r="HR134" i="43" s="1"/>
  <c r="DQ139" i="43"/>
  <c r="DR139" i="43" s="1"/>
  <c r="G139" i="43" s="1"/>
  <c r="DQ138" i="43"/>
  <c r="DR138" i="43" s="1"/>
  <c r="G138" i="43" s="1"/>
  <c r="AM143" i="43"/>
  <c r="DE160" i="43"/>
  <c r="Z160" i="43"/>
  <c r="DE166" i="43"/>
  <c r="BQ166" i="43"/>
  <c r="CL166" i="43"/>
  <c r="FO166" i="43"/>
  <c r="CL167" i="43"/>
  <c r="FO167" i="43"/>
  <c r="AM167" i="43"/>
  <c r="DE169" i="43"/>
  <c r="BQ169" i="43"/>
  <c r="CL169" i="43"/>
  <c r="Z169" i="43"/>
  <c r="DQ169" i="43"/>
  <c r="DR169" i="43" s="1"/>
  <c r="G169" i="43" s="1"/>
  <c r="HQ169" i="43" s="1"/>
  <c r="HR169" i="43" s="1"/>
  <c r="DE173" i="43"/>
  <c r="FO173" i="43"/>
  <c r="CL173" i="43"/>
  <c r="Z173" i="43"/>
  <c r="BQ173" i="43"/>
  <c r="AM174" i="43"/>
  <c r="Z178" i="43"/>
  <c r="CL178" i="43"/>
  <c r="DE188" i="43"/>
  <c r="Z188" i="43"/>
  <c r="BQ223" i="43"/>
  <c r="CL223" i="43"/>
  <c r="DQ271" i="43"/>
  <c r="DR271" i="43" s="1"/>
  <c r="G271" i="43" s="1"/>
  <c r="HQ271" i="43" s="1"/>
  <c r="HR271" i="43" s="1"/>
  <c r="BQ275" i="43"/>
  <c r="CL275" i="43"/>
  <c r="DQ287" i="43"/>
  <c r="DR287" i="43" s="1"/>
  <c r="G287" i="43" s="1"/>
  <c r="HQ287" i="43" s="1"/>
  <c r="HR287" i="43" s="1"/>
  <c r="BQ295" i="43"/>
  <c r="DE295" i="43"/>
  <c r="CL295" i="43"/>
  <c r="AM307" i="43"/>
  <c r="B305" i="45"/>
  <c r="AM308" i="43"/>
  <c r="DQ311" i="43"/>
  <c r="DR311" i="43" s="1"/>
  <c r="G311" i="43" s="1"/>
  <c r="HQ311" i="43" s="1"/>
  <c r="HR311" i="43" s="1"/>
  <c r="AM312" i="43"/>
  <c r="DW329" i="43"/>
  <c r="DX329" i="43" s="1"/>
  <c r="DW330" i="43"/>
  <c r="DX330" i="43" s="1"/>
  <c r="GQ330" i="43"/>
  <c r="GP330" i="43" s="1"/>
  <c r="GL330" i="43" s="1"/>
  <c r="DW336" i="43"/>
  <c r="DX336" i="43" s="1"/>
  <c r="GQ336" i="43"/>
  <c r="GP336" i="43" s="1"/>
  <c r="GL336" i="43" s="1"/>
  <c r="CL338" i="43"/>
  <c r="DE338" i="43"/>
  <c r="DW350" i="43"/>
  <c r="DX350" i="43" s="1"/>
  <c r="GQ350" i="43"/>
  <c r="GP350" i="43" s="1"/>
  <c r="GL350" i="43" s="1"/>
  <c r="DE352" i="43"/>
  <c r="CL352" i="43"/>
  <c r="FO352" i="43"/>
  <c r="Z352" i="43"/>
  <c r="DE364" i="43"/>
  <c r="Z364" i="43"/>
  <c r="CL364" i="43"/>
  <c r="AM372" i="43"/>
  <c r="DE381" i="43"/>
  <c r="FO381" i="43"/>
  <c r="Z381" i="43"/>
  <c r="CL381" i="43"/>
  <c r="AS36" i="24"/>
  <c r="AQ105" i="24"/>
  <c r="AR186" i="24"/>
  <c r="AH6" i="45"/>
  <c r="AH8" i="45"/>
  <c r="AH10" i="45"/>
  <c r="S11" i="45"/>
  <c r="AH14" i="45"/>
  <c r="B17" i="45"/>
  <c r="S17" i="45"/>
  <c r="AH19" i="45"/>
  <c r="B22" i="45"/>
  <c r="AH28" i="45"/>
  <c r="AH30" i="45"/>
  <c r="S31" i="45"/>
  <c r="B33" i="45"/>
  <c r="B37" i="45"/>
  <c r="AH45" i="45"/>
  <c r="AH46" i="45"/>
  <c r="B49" i="45"/>
  <c r="B52" i="45"/>
  <c r="AH56" i="45"/>
  <c r="AH60" i="45"/>
  <c r="AH64" i="45"/>
  <c r="AH68" i="45"/>
  <c r="AH71" i="45"/>
  <c r="AH74" i="45"/>
  <c r="AH75" i="45"/>
  <c r="S76" i="45"/>
  <c r="AH78" i="45"/>
  <c r="AH79" i="45"/>
  <c r="AH82" i="45"/>
  <c r="AH83" i="45"/>
  <c r="S84" i="45"/>
  <c r="AH86" i="45"/>
  <c r="AH87" i="45"/>
  <c r="AH90" i="45"/>
  <c r="AH91" i="45"/>
  <c r="S92" i="45"/>
  <c r="AH94" i="45"/>
  <c r="AH95" i="45"/>
  <c r="AH98" i="45"/>
  <c r="AH99" i="45"/>
  <c r="AH102" i="45"/>
  <c r="AH103" i="45"/>
  <c r="AH106" i="45"/>
  <c r="AH107" i="45"/>
  <c r="AH110" i="45"/>
  <c r="AH111" i="45"/>
  <c r="AH114" i="45"/>
  <c r="AH115" i="45"/>
  <c r="AH118" i="45"/>
  <c r="AH119" i="45"/>
  <c r="S120" i="45"/>
  <c r="AH122" i="45"/>
  <c r="AH123" i="45"/>
  <c r="AH126" i="45"/>
  <c r="AH127" i="45"/>
  <c r="AH130" i="45"/>
  <c r="AH131" i="45"/>
  <c r="AH134" i="45"/>
  <c r="AH135" i="45"/>
  <c r="AH138" i="45"/>
  <c r="AH139" i="45"/>
  <c r="AH142" i="45"/>
  <c r="AH143" i="45"/>
  <c r="S151" i="45"/>
  <c r="B157" i="45"/>
  <c r="AH160" i="45"/>
  <c r="B162" i="45"/>
  <c r="AH166" i="45"/>
  <c r="B167" i="45"/>
  <c r="B171" i="45"/>
  <c r="B172" i="45"/>
  <c r="B173" i="45"/>
  <c r="S173" i="45"/>
  <c r="S174" i="45"/>
  <c r="AH182" i="45"/>
  <c r="B183" i="45"/>
  <c r="AH191" i="45"/>
  <c r="AH192" i="45"/>
  <c r="AH193" i="45"/>
  <c r="AH194" i="45"/>
  <c r="AH195" i="45"/>
  <c r="AH196" i="45"/>
  <c r="AH197" i="45"/>
  <c r="AH198" i="45"/>
  <c r="AH199" i="45"/>
  <c r="AH200" i="45"/>
  <c r="AH201" i="45"/>
  <c r="AH202" i="45"/>
  <c r="B211" i="45"/>
  <c r="B216" i="45"/>
  <c r="B224" i="45"/>
  <c r="B225" i="45"/>
  <c r="B246" i="45"/>
  <c r="B262" i="45"/>
  <c r="AH267" i="45"/>
  <c r="B272" i="45"/>
  <c r="AH279" i="45"/>
  <c r="B281" i="45"/>
  <c r="AH288" i="45"/>
  <c r="AH290" i="45"/>
  <c r="B306" i="45"/>
  <c r="B313" i="45"/>
  <c r="AH316" i="45"/>
  <c r="B318" i="45"/>
  <c r="B319" i="45"/>
  <c r="B320" i="45"/>
  <c r="AH321" i="45"/>
  <c r="B323" i="45"/>
  <c r="S323" i="45"/>
  <c r="AH326" i="45"/>
  <c r="AH330" i="45"/>
  <c r="AH335" i="45"/>
  <c r="AH337" i="45"/>
  <c r="AH340" i="45"/>
  <c r="AH342" i="45"/>
  <c r="AH344" i="45"/>
  <c r="AH346" i="45"/>
  <c r="AH347" i="45"/>
  <c r="B351" i="45"/>
  <c r="AH361" i="45"/>
  <c r="B367" i="45"/>
  <c r="AH376" i="45"/>
  <c r="AH383" i="45"/>
  <c r="AH387" i="45"/>
  <c r="ES12" i="43"/>
  <c r="ES13" i="43"/>
  <c r="AM17" i="43"/>
  <c r="ES17" i="43"/>
  <c r="DW19" i="43"/>
  <c r="DX19" i="43" s="1"/>
  <c r="ES20" i="43"/>
  <c r="P21" i="43"/>
  <c r="Z25" i="43"/>
  <c r="CL25" i="43"/>
  <c r="P28" i="43"/>
  <c r="Z29" i="43"/>
  <c r="CL29" i="43"/>
  <c r="P32" i="43"/>
  <c r="J32" i="43" s="1"/>
  <c r="ES35" i="43"/>
  <c r="P36" i="43"/>
  <c r="I36" i="43" s="1"/>
  <c r="AM36" i="43"/>
  <c r="DW36" i="43"/>
  <c r="DX36" i="43" s="1"/>
  <c r="ES37" i="43"/>
  <c r="P38" i="43"/>
  <c r="I38" i="43" s="1"/>
  <c r="AM38" i="43"/>
  <c r="DW38" i="43"/>
  <c r="DX38" i="43" s="1"/>
  <c r="ES39" i="43"/>
  <c r="P40" i="43"/>
  <c r="I40" i="43" s="1"/>
  <c r="AM40" i="43"/>
  <c r="DW40" i="43"/>
  <c r="DX40" i="43" s="1"/>
  <c r="ES41" i="43"/>
  <c r="P42" i="43"/>
  <c r="AM42" i="43"/>
  <c r="DW42" i="43"/>
  <c r="DX42" i="43" s="1"/>
  <c r="ES43" i="43"/>
  <c r="DQ44" i="43"/>
  <c r="DR44" i="43" s="1"/>
  <c r="G44" i="43" s="1"/>
  <c r="HQ44" i="43" s="1"/>
  <c r="HR44" i="43" s="1"/>
  <c r="AM45" i="43"/>
  <c r="DW45" i="43"/>
  <c r="DX45" i="43" s="1"/>
  <c r="ES46" i="43"/>
  <c r="P47" i="43"/>
  <c r="AM47" i="43"/>
  <c r="DW47" i="43"/>
  <c r="DX47" i="43" s="1"/>
  <c r="ES48" i="43"/>
  <c r="P49" i="43"/>
  <c r="AM49" i="43"/>
  <c r="DW49" i="43"/>
  <c r="DX49" i="43" s="1"/>
  <c r="ES50" i="43"/>
  <c r="P51" i="43"/>
  <c r="AM51" i="43"/>
  <c r="DW51" i="43"/>
  <c r="DX51" i="43" s="1"/>
  <c r="ES52" i="43"/>
  <c r="P53" i="43"/>
  <c r="J53" i="43" s="1"/>
  <c r="AM53" i="43"/>
  <c r="DW53" i="43"/>
  <c r="DX53" i="43" s="1"/>
  <c r="ES54" i="43"/>
  <c r="P55" i="43"/>
  <c r="AM55" i="43"/>
  <c r="DW55" i="43"/>
  <c r="DX55" i="43" s="1"/>
  <c r="ES56" i="43"/>
  <c r="ES57" i="43"/>
  <c r="ES58" i="43"/>
  <c r="ES59" i="43"/>
  <c r="ES60" i="43"/>
  <c r="DQ61" i="43"/>
  <c r="DR61" i="43" s="1"/>
  <c r="G61" i="43" s="1"/>
  <c r="HQ61" i="43" s="1"/>
  <c r="HR61" i="43" s="1"/>
  <c r="DW62" i="43"/>
  <c r="DX62" i="43" s="1"/>
  <c r="P63" i="43"/>
  <c r="ES63" i="43"/>
  <c r="DQ64" i="43"/>
  <c r="DR64" i="43" s="1"/>
  <c r="G64" i="43" s="1"/>
  <c r="ES64" i="43"/>
  <c r="P65" i="43"/>
  <c r="DW66" i="43"/>
  <c r="DX66" i="43" s="1"/>
  <c r="P67" i="43"/>
  <c r="DW68" i="43"/>
  <c r="DX68" i="43" s="1"/>
  <c r="P69" i="43"/>
  <c r="DW70" i="43"/>
  <c r="DX70" i="43" s="1"/>
  <c r="P71" i="43"/>
  <c r="J71" i="43" s="1"/>
  <c r="DW72" i="43"/>
  <c r="DX72" i="43" s="1"/>
  <c r="P73" i="43"/>
  <c r="DW74" i="43"/>
  <c r="DX74" i="43" s="1"/>
  <c r="AM75" i="43"/>
  <c r="ES76" i="43"/>
  <c r="DW77" i="43"/>
  <c r="DX77" i="43" s="1"/>
  <c r="AM78" i="43"/>
  <c r="P79" i="43"/>
  <c r="J79" i="43" s="1"/>
  <c r="BQ79" i="43"/>
  <c r="DW82" i="43"/>
  <c r="DX82" i="43" s="1"/>
  <c r="AM83" i="43"/>
  <c r="DW83" i="43"/>
  <c r="DX83" i="43" s="1"/>
  <c r="P84" i="43"/>
  <c r="J84" i="43" s="1"/>
  <c r="BQ84" i="43"/>
  <c r="ES87" i="43"/>
  <c r="Z88" i="43"/>
  <c r="CL88" i="43"/>
  <c r="P89" i="43"/>
  <c r="P92" i="43"/>
  <c r="P93" i="43"/>
  <c r="P96" i="43"/>
  <c r="P97" i="43"/>
  <c r="P100" i="43"/>
  <c r="P101" i="43"/>
  <c r="DW102" i="43"/>
  <c r="DX102" i="43" s="1"/>
  <c r="DW103" i="43"/>
  <c r="DX103" i="43" s="1"/>
  <c r="P104" i="43"/>
  <c r="DW104" i="43"/>
  <c r="DX104" i="43" s="1"/>
  <c r="P112" i="43"/>
  <c r="CL112" i="43"/>
  <c r="DE112" i="43"/>
  <c r="P114" i="43"/>
  <c r="CL114" i="43"/>
  <c r="DE114" i="43"/>
  <c r="FO116" i="43"/>
  <c r="DW118" i="43"/>
  <c r="DX118" i="43" s="1"/>
  <c r="AM123" i="43"/>
  <c r="ES123" i="43"/>
  <c r="AM127" i="43"/>
  <c r="BQ127" i="43"/>
  <c r="DE127" i="43"/>
  <c r="CL127" i="43"/>
  <c r="DQ131" i="43"/>
  <c r="DR131" i="43" s="1"/>
  <c r="G131" i="43" s="1"/>
  <c r="DQ132" i="43"/>
  <c r="DR132" i="43" s="1"/>
  <c r="G132" i="43" s="1"/>
  <c r="HQ132" i="43" s="1"/>
  <c r="HR132" i="43" s="1"/>
  <c r="DQ136" i="43"/>
  <c r="DR136" i="43" s="1"/>
  <c r="G136" i="43" s="1"/>
  <c r="AM141" i="43"/>
  <c r="DW141" i="43"/>
  <c r="DX141" i="43" s="1"/>
  <c r="DW159" i="43"/>
  <c r="DX159" i="43" s="1"/>
  <c r="CL160" i="43"/>
  <c r="AM163" i="43"/>
  <c r="DW163" i="43"/>
  <c r="DX163" i="43" s="1"/>
  <c r="DW165" i="43"/>
  <c r="DX165" i="43" s="1"/>
  <c r="DW166" i="43"/>
  <c r="DX166" i="43" s="1"/>
  <c r="BQ167" i="43"/>
  <c r="FO169" i="43"/>
  <c r="Z170" i="43"/>
  <c r="BQ170" i="43"/>
  <c r="BQ171" i="43"/>
  <c r="FO171" i="43"/>
  <c r="DQ176" i="43"/>
  <c r="DR176" i="43" s="1"/>
  <c r="G176" i="43" s="1"/>
  <c r="HQ176" i="43" s="1"/>
  <c r="HR176" i="43" s="1"/>
  <c r="DW182" i="43"/>
  <c r="DX182" i="43" s="1"/>
  <c r="DQ187" i="43"/>
  <c r="DR187" i="43" s="1"/>
  <c r="G187" i="43" s="1"/>
  <c r="HQ187" i="43" s="1"/>
  <c r="HR187" i="43" s="1"/>
  <c r="CL188" i="43"/>
  <c r="DQ188" i="43"/>
  <c r="DR188" i="43" s="1"/>
  <c r="G188" i="43" s="1"/>
  <c r="HQ188" i="43" s="1"/>
  <c r="HR188" i="43" s="1"/>
  <c r="DW190" i="43"/>
  <c r="DX190" i="43" s="1"/>
  <c r="DQ195" i="43"/>
  <c r="DR195" i="43" s="1"/>
  <c r="G195" i="43" s="1"/>
  <c r="HQ195" i="43" s="1"/>
  <c r="HR195" i="43" s="1"/>
  <c r="AM199" i="43"/>
  <c r="DW215" i="43"/>
  <c r="DX215" i="43" s="1"/>
  <c r="BQ217" i="43"/>
  <c r="CL217" i="43"/>
  <c r="DW222" i="43"/>
  <c r="DX222" i="43" s="1"/>
  <c r="DW227" i="43"/>
  <c r="DX227" i="43" s="1"/>
  <c r="DW229" i="43"/>
  <c r="DX229" i="43" s="1"/>
  <c r="BQ231" i="43"/>
  <c r="CL231" i="43"/>
  <c r="DW245" i="43"/>
  <c r="DX245" i="43" s="1"/>
  <c r="DW249" i="43"/>
  <c r="DX249" i="43" s="1"/>
  <c r="DW253" i="43"/>
  <c r="DX253" i="43" s="1"/>
  <c r="DW266" i="43"/>
  <c r="DX266" i="43" s="1"/>
  <c r="DW268" i="43"/>
  <c r="DX268" i="43" s="1"/>
  <c r="DW273" i="43"/>
  <c r="DX273" i="43" s="1"/>
  <c r="AM279" i="43"/>
  <c r="AM289" i="43"/>
  <c r="DQ289" i="43"/>
  <c r="DR289" i="43" s="1"/>
  <c r="G289" i="43" s="1"/>
  <c r="HQ289" i="43" s="1"/>
  <c r="HR289" i="43" s="1"/>
  <c r="DQ290" i="43"/>
  <c r="DR290" i="43" s="1"/>
  <c r="G290" i="43" s="1"/>
  <c r="HQ290" i="43" s="1"/>
  <c r="HR290" i="43" s="1"/>
  <c r="BQ293" i="43"/>
  <c r="DE293" i="43"/>
  <c r="CL293" i="43"/>
  <c r="P295" i="43"/>
  <c r="BQ297" i="43"/>
  <c r="DE297" i="43"/>
  <c r="CL297" i="43"/>
  <c r="Z297" i="43"/>
  <c r="DQ297" i="43"/>
  <c r="DR297" i="43" s="1"/>
  <c r="G297" i="43" s="1"/>
  <c r="AG294" i="45" s="1"/>
  <c r="DW300" i="43"/>
  <c r="DX300" i="43" s="1"/>
  <c r="AM303" i="43"/>
  <c r="DW302" i="43"/>
  <c r="DX302" i="43" s="1"/>
  <c r="DW306" i="43"/>
  <c r="DX306" i="43" s="1"/>
  <c r="DE307" i="43"/>
  <c r="DQ312" i="43"/>
  <c r="DR312" i="43" s="1"/>
  <c r="G312" i="43" s="1"/>
  <c r="HQ312" i="43" s="1"/>
  <c r="HR312" i="43" s="1"/>
  <c r="DE323" i="43"/>
  <c r="DW325" i="43"/>
  <c r="DX325" i="43" s="1"/>
  <c r="DE327" i="43"/>
  <c r="CL327" i="43"/>
  <c r="DQ332" i="43"/>
  <c r="DR332" i="43" s="1"/>
  <c r="DE334" i="43"/>
  <c r="DW338" i="43"/>
  <c r="DX338" i="43" s="1"/>
  <c r="GQ338" i="43"/>
  <c r="GP338" i="43" s="1"/>
  <c r="GL338" i="43" s="1"/>
  <c r="DE343" i="43"/>
  <c r="CL343" i="43"/>
  <c r="DE348" i="43"/>
  <c r="FO348" i="43"/>
  <c r="Z348" i="43"/>
  <c r="CL348" i="43"/>
  <c r="DE350" i="43"/>
  <c r="CL350" i="43"/>
  <c r="FO350" i="43"/>
  <c r="Z350" i="43"/>
  <c r="DW352" i="43"/>
  <c r="DX352" i="43" s="1"/>
  <c r="GQ352" i="43"/>
  <c r="GP352" i="43" s="1"/>
  <c r="GL352" i="43" s="1"/>
  <c r="DE354" i="43"/>
  <c r="BQ354" i="43"/>
  <c r="CL354" i="43"/>
  <c r="Z354" i="43"/>
  <c r="FO354" i="43"/>
  <c r="DE356" i="43"/>
  <c r="DW364" i="43"/>
  <c r="DX364" i="43" s="1"/>
  <c r="GQ364" i="43"/>
  <c r="GP364" i="43" s="1"/>
  <c r="GL364" i="43" s="1"/>
  <c r="DQ371" i="43"/>
  <c r="DR371" i="43" s="1"/>
  <c r="AM373" i="43"/>
  <c r="DE374" i="43"/>
  <c r="BQ374" i="43"/>
  <c r="Z374" i="43"/>
  <c r="DE375" i="43"/>
  <c r="BQ375" i="43"/>
  <c r="CL375" i="43"/>
  <c r="DW379" i="43"/>
  <c r="DX379" i="43" s="1"/>
  <c r="GQ379" i="43"/>
  <c r="GP379" i="43" s="1"/>
  <c r="GL379" i="43" s="1"/>
  <c r="BI12" i="24"/>
  <c r="T14" i="24"/>
  <c r="V14" i="24" s="1"/>
  <c r="BI16" i="24"/>
  <c r="AS18" i="24"/>
  <c r="T18" i="24"/>
  <c r="V18" i="24" s="1"/>
  <c r="BI20" i="24"/>
  <c r="T22" i="24"/>
  <c r="V22" i="24" s="1"/>
  <c r="BI24" i="24"/>
  <c r="T26" i="24"/>
  <c r="V26" i="24" s="1"/>
  <c r="BI28" i="24"/>
  <c r="AS30" i="24"/>
  <c r="T30" i="24"/>
  <c r="V30" i="24" s="1"/>
  <c r="BI32" i="24"/>
  <c r="T34" i="24"/>
  <c r="V34" i="24" s="1"/>
  <c r="BI36" i="24"/>
  <c r="AS38" i="24"/>
  <c r="T38" i="24"/>
  <c r="V38" i="24" s="1"/>
  <c r="BI40" i="24"/>
  <c r="AS42" i="24"/>
  <c r="T42" i="24"/>
  <c r="V42" i="24" s="1"/>
  <c r="BI44" i="24"/>
  <c r="T46" i="24"/>
  <c r="V46" i="24" s="1"/>
  <c r="BI48" i="24"/>
  <c r="T50" i="24"/>
  <c r="V50" i="24" s="1"/>
  <c r="BI52" i="24"/>
  <c r="T54" i="24"/>
  <c r="V54" i="24" s="1"/>
  <c r="BI56" i="24"/>
  <c r="T58" i="24"/>
  <c r="V58" i="24" s="1"/>
  <c r="BI60" i="24"/>
  <c r="T62" i="24"/>
  <c r="V62" i="24" s="1"/>
  <c r="BI64" i="24"/>
  <c r="T66" i="24"/>
  <c r="V66" i="24" s="1"/>
  <c r="BI68" i="24"/>
  <c r="T70" i="24"/>
  <c r="V70" i="24" s="1"/>
  <c r="BI72" i="24"/>
  <c r="T74" i="24"/>
  <c r="V74" i="24" s="1"/>
  <c r="BI76" i="24"/>
  <c r="T80" i="24"/>
  <c r="V80" i="24" s="1"/>
  <c r="T82" i="24"/>
  <c r="V82" i="24" s="1"/>
  <c r="BI88" i="24"/>
  <c r="BI90" i="24"/>
  <c r="T96" i="24"/>
  <c r="V96" i="24" s="1"/>
  <c r="T100" i="24"/>
  <c r="V100" i="24" s="1"/>
  <c r="T104" i="24"/>
  <c r="V104" i="24" s="1"/>
  <c r="T108" i="24"/>
  <c r="V108" i="24" s="1"/>
  <c r="T112" i="24"/>
  <c r="V112" i="24" s="1"/>
  <c r="T116" i="24"/>
  <c r="V116" i="24" s="1"/>
  <c r="T134" i="24"/>
  <c r="V134" i="24" s="1"/>
  <c r="T144" i="24"/>
  <c r="V144" i="24" s="1"/>
  <c r="T152" i="24"/>
  <c r="V152" i="24" s="1"/>
  <c r="BI158" i="24"/>
  <c r="BI166" i="24"/>
  <c r="BI176" i="24"/>
  <c r="BI184" i="24"/>
  <c r="AR187" i="24"/>
  <c r="T190" i="24"/>
  <c r="V190" i="24" s="1"/>
  <c r="T198" i="24"/>
  <c r="V198" i="24" s="1"/>
  <c r="T285" i="24"/>
  <c r="V285" i="24" s="1"/>
  <c r="ES128" i="43"/>
  <c r="AM132" i="43"/>
  <c r="ES132" i="43"/>
  <c r="CL133" i="43"/>
  <c r="DE133" i="43"/>
  <c r="ES134" i="43"/>
  <c r="CL135" i="43"/>
  <c r="DE135" i="43"/>
  <c r="ES136" i="43"/>
  <c r="CL137" i="43"/>
  <c r="DE137" i="43"/>
  <c r="ES138" i="43"/>
  <c r="P140" i="43"/>
  <c r="P141" i="43"/>
  <c r="P142" i="43"/>
  <c r="I142" i="43" s="1"/>
  <c r="P143" i="43"/>
  <c r="I143" i="43" s="1"/>
  <c r="DW143" i="43"/>
  <c r="DX143" i="43" s="1"/>
  <c r="DW144" i="43"/>
  <c r="DX144" i="43" s="1"/>
  <c r="AM145" i="43"/>
  <c r="DW145" i="43"/>
  <c r="DX145" i="43" s="1"/>
  <c r="AM146" i="43"/>
  <c r="DW146" i="43"/>
  <c r="DX146" i="43" s="1"/>
  <c r="AM147" i="43"/>
  <c r="DW147" i="43"/>
  <c r="DX147" i="43" s="1"/>
  <c r="AM148" i="43"/>
  <c r="DW148" i="43"/>
  <c r="DX148" i="43" s="1"/>
  <c r="AM149" i="43"/>
  <c r="DW149" i="43"/>
  <c r="DX149" i="43" s="1"/>
  <c r="AM150" i="43"/>
  <c r="DW150" i="43"/>
  <c r="DX150" i="43" s="1"/>
  <c r="AM151" i="43"/>
  <c r="DW151" i="43"/>
  <c r="DX151" i="43" s="1"/>
  <c r="AM152" i="43"/>
  <c r="DW152" i="43"/>
  <c r="DX152" i="43" s="1"/>
  <c r="AM153" i="43"/>
  <c r="DW153" i="43"/>
  <c r="DX153" i="43" s="1"/>
  <c r="AM154" i="43"/>
  <c r="DW154" i="43"/>
  <c r="DX154" i="43" s="1"/>
  <c r="AM155" i="43"/>
  <c r="DW155" i="43"/>
  <c r="DX155" i="43" s="1"/>
  <c r="AM156" i="43"/>
  <c r="DW156" i="43"/>
  <c r="DX156" i="43" s="1"/>
  <c r="AM157" i="43"/>
  <c r="DW157" i="43"/>
  <c r="DX157" i="43" s="1"/>
  <c r="ES158" i="43"/>
  <c r="P161" i="43"/>
  <c r="CL162" i="43"/>
  <c r="P165" i="43"/>
  <c r="I165" i="43" s="1"/>
  <c r="AM165" i="43"/>
  <c r="ES165" i="43"/>
  <c r="DQ166" i="43"/>
  <c r="DR166" i="43" s="1"/>
  <c r="G166" i="43" s="1"/>
  <c r="DW167" i="43"/>
  <c r="DX167" i="43" s="1"/>
  <c r="ES168" i="43"/>
  <c r="ES169" i="43"/>
  <c r="AM172" i="43"/>
  <c r="DW173" i="43"/>
  <c r="DX173" i="43" s="1"/>
  <c r="DQ174" i="43"/>
  <c r="DR174" i="43" s="1"/>
  <c r="G174" i="43" s="1"/>
  <c r="HQ174" i="43" s="1"/>
  <c r="HR174" i="43" s="1"/>
  <c r="DW176" i="43"/>
  <c r="DX176" i="43" s="1"/>
  <c r="DQ177" i="43"/>
  <c r="DR177" i="43" s="1"/>
  <c r="G177" i="43" s="1"/>
  <c r="HQ177" i="43" s="1"/>
  <c r="HR177" i="43" s="1"/>
  <c r="ES179" i="43"/>
  <c r="P180" i="43"/>
  <c r="J180" i="43" s="1"/>
  <c r="AM180" i="43"/>
  <c r="DQ180" i="43"/>
  <c r="DR180" i="43" s="1"/>
  <c r="G180" i="43" s="1"/>
  <c r="HQ180" i="43" s="1"/>
  <c r="HR180" i="43" s="1"/>
  <c r="DQ181" i="43"/>
  <c r="DR181" i="43" s="1"/>
  <c r="G181" i="43" s="1"/>
  <c r="HQ181" i="43" s="1"/>
  <c r="HR181" i="43" s="1"/>
  <c r="AM182" i="43"/>
  <c r="ES183" i="43"/>
  <c r="P184" i="43"/>
  <c r="AM184" i="43"/>
  <c r="DW184" i="43"/>
  <c r="DX184" i="43" s="1"/>
  <c r="Z185" i="43"/>
  <c r="CL185" i="43"/>
  <c r="DQ185" i="43"/>
  <c r="DR185" i="43" s="1"/>
  <c r="G185" i="43" s="1"/>
  <c r="HQ185" i="43" s="1"/>
  <c r="HR185" i="43" s="1"/>
  <c r="ES185" i="43"/>
  <c r="P186" i="43"/>
  <c r="J186" i="43" s="1"/>
  <c r="AM186" i="43"/>
  <c r="ES187" i="43"/>
  <c r="DW188" i="43"/>
  <c r="DX188" i="43" s="1"/>
  <c r="P191" i="43"/>
  <c r="DW191" i="43"/>
  <c r="DX191" i="43" s="1"/>
  <c r="DQ192" i="43"/>
  <c r="DR192" i="43" s="1"/>
  <c r="G192" i="43" s="1"/>
  <c r="ES194" i="43"/>
  <c r="P195" i="43"/>
  <c r="ES195" i="43"/>
  <c r="DW196" i="43"/>
  <c r="DX196" i="43" s="1"/>
  <c r="DQ199" i="43"/>
  <c r="DR199" i="43" s="1"/>
  <c r="G199" i="43" s="1"/>
  <c r="HQ199" i="43" s="1"/>
  <c r="HR199" i="43" s="1"/>
  <c r="P200" i="43"/>
  <c r="ES201" i="43"/>
  <c r="DW202" i="43"/>
  <c r="DX202" i="43" s="1"/>
  <c r="AM203" i="43"/>
  <c r="P204" i="43"/>
  <c r="ES205" i="43"/>
  <c r="DW207" i="43"/>
  <c r="DX207" i="43" s="1"/>
  <c r="DW212" i="43"/>
  <c r="DX212" i="43" s="1"/>
  <c r="DW214" i="43"/>
  <c r="DX214" i="43" s="1"/>
  <c r="P218" i="43"/>
  <c r="DW218" i="43"/>
  <c r="DX218" i="43" s="1"/>
  <c r="DW221" i="43"/>
  <c r="DX221" i="43" s="1"/>
  <c r="DW225" i="43"/>
  <c r="DX225" i="43" s="1"/>
  <c r="ES226" i="43"/>
  <c r="DQ227" i="43"/>
  <c r="DR227" i="43" s="1"/>
  <c r="G227" i="43" s="1"/>
  <c r="HQ227" i="43" s="1"/>
  <c r="HR227" i="43" s="1"/>
  <c r="P232" i="43"/>
  <c r="DW232" i="43"/>
  <c r="DX232" i="43" s="1"/>
  <c r="ES233" i="43"/>
  <c r="DW234" i="43"/>
  <c r="DX234" i="43" s="1"/>
  <c r="ES236" i="43"/>
  <c r="P239" i="43"/>
  <c r="ES239" i="43"/>
  <c r="P240" i="43"/>
  <c r="DQ242" i="43"/>
  <c r="DR242" i="43" s="1"/>
  <c r="G242" i="43" s="1"/>
  <c r="HQ242" i="43" s="1"/>
  <c r="HR242" i="43" s="1"/>
  <c r="ES241" i="43"/>
  <c r="P244" i="43"/>
  <c r="DW246" i="43"/>
  <c r="DX246" i="43" s="1"/>
  <c r="P249" i="43"/>
  <c r="ES249" i="43"/>
  <c r="DW250" i="43"/>
  <c r="DX250" i="43" s="1"/>
  <c r="DW254" i="43"/>
  <c r="DX254" i="43" s="1"/>
  <c r="ES256" i="43"/>
  <c r="DW257" i="43"/>
  <c r="DX257" i="43" s="1"/>
  <c r="DW259" i="43"/>
  <c r="DX259" i="43" s="1"/>
  <c r="ES260" i="43"/>
  <c r="ES270" i="43"/>
  <c r="P272" i="43"/>
  <c r="AM273" i="43"/>
  <c r="DQ273" i="43"/>
  <c r="DR273" i="43" s="1"/>
  <c r="G273" i="43" s="1"/>
  <c r="HQ273" i="43" s="1"/>
  <c r="HR273" i="43" s="1"/>
  <c r="AM274" i="43"/>
  <c r="DW274" i="43"/>
  <c r="DX274" i="43" s="1"/>
  <c r="P275" i="43"/>
  <c r="AM275" i="43"/>
  <c r="P277" i="43"/>
  <c r="DQ277" i="43"/>
  <c r="DR277" i="43" s="1"/>
  <c r="G277" i="43" s="1"/>
  <c r="HQ277" i="43" s="1"/>
  <c r="HR277" i="43" s="1"/>
  <c r="DW278" i="43"/>
  <c r="DX278" i="43" s="1"/>
  <c r="DW279" i="43"/>
  <c r="DX279" i="43" s="1"/>
  <c r="AM280" i="43"/>
  <c r="P283" i="43"/>
  <c r="DQ283" i="43"/>
  <c r="DR283" i="43" s="1"/>
  <c r="G283" i="43" s="1"/>
  <c r="HQ283" i="43" s="1"/>
  <c r="HR283" i="43" s="1"/>
  <c r="ES284" i="43"/>
  <c r="ES285" i="43"/>
  <c r="DW286" i="43"/>
  <c r="DX286" i="43" s="1"/>
  <c r="DW287" i="43"/>
  <c r="DX287" i="43" s="1"/>
  <c r="ES288" i="43"/>
  <c r="ES289" i="43"/>
  <c r="AM290" i="43"/>
  <c r="ES290" i="43"/>
  <c r="Z291" i="43"/>
  <c r="DW292" i="43"/>
  <c r="DX292" i="43" s="1"/>
  <c r="DW293" i="43"/>
  <c r="DX293" i="43" s="1"/>
  <c r="ES294" i="43"/>
  <c r="ES295" i="43"/>
  <c r="ES297" i="43"/>
  <c r="DW299" i="43"/>
  <c r="DX299" i="43" s="1"/>
  <c r="AM300" i="43"/>
  <c r="ES301" i="43"/>
  <c r="DQ302" i="43"/>
  <c r="DR302" i="43" s="1"/>
  <c r="G302" i="43" s="1"/>
  <c r="P303" i="43"/>
  <c r="DW304" i="43"/>
  <c r="DX304" i="43" s="1"/>
  <c r="AM305" i="43"/>
  <c r="ES305" i="43"/>
  <c r="ES307" i="43"/>
  <c r="DW308" i="43"/>
  <c r="DX308" i="43" s="1"/>
  <c r="DE309" i="43"/>
  <c r="P309" i="43"/>
  <c r="FO309" i="43"/>
  <c r="DE310" i="43"/>
  <c r="DE312" i="43"/>
  <c r="B309" i="45"/>
  <c r="ES315" i="43"/>
  <c r="P316" i="43"/>
  <c r="DW316" i="43"/>
  <c r="DX316" i="43" s="1"/>
  <c r="DQ318" i="43"/>
  <c r="DR318" i="43" s="1"/>
  <c r="G318" i="43" s="1"/>
  <c r="HQ318" i="43" s="1"/>
  <c r="HR318" i="43" s="1"/>
  <c r="ES319" i="43"/>
  <c r="P321" i="43"/>
  <c r="J321" i="43" s="1"/>
  <c r="ES323" i="43"/>
  <c r="DE324" i="43"/>
  <c r="DQ325" i="43"/>
  <c r="DR325" i="43" s="1"/>
  <c r="G325" i="43" s="1"/>
  <c r="AM326" i="43"/>
  <c r="DW326" i="43"/>
  <c r="DX326" i="43" s="1"/>
  <c r="P327" i="43"/>
  <c r="ES327" i="43"/>
  <c r="DE328" i="43"/>
  <c r="DQ329" i="43"/>
  <c r="DR329" i="43" s="1"/>
  <c r="DQ330" i="43"/>
  <c r="DR330" i="43" s="1"/>
  <c r="DE332" i="43"/>
  <c r="P334" i="43"/>
  <c r="J334" i="43" s="1"/>
  <c r="AM336" i="43"/>
  <c r="P338" i="43"/>
  <c r="ES341" i="43"/>
  <c r="DE342" i="43"/>
  <c r="P343" i="43"/>
  <c r="ES346" i="43"/>
  <c r="DE347" i="43"/>
  <c r="P347" i="43"/>
  <c r="ES350" i="43"/>
  <c r="ES352" i="43"/>
  <c r="DQ354" i="43"/>
  <c r="DR354" i="43" s="1"/>
  <c r="DE355" i="43"/>
  <c r="BQ355" i="43"/>
  <c r="DW355" i="43"/>
  <c r="DX355" i="43" s="1"/>
  <c r="GQ355" i="43"/>
  <c r="GP355" i="43" s="1"/>
  <c r="GL355" i="43" s="1"/>
  <c r="AM356" i="43"/>
  <c r="DE359" i="43"/>
  <c r="BQ359" i="43"/>
  <c r="DE360" i="43"/>
  <c r="P360" i="43"/>
  <c r="ES363" i="43"/>
  <c r="DQ365" i="43"/>
  <c r="DR365" i="43" s="1"/>
  <c r="DE367" i="43"/>
  <c r="P367" i="43"/>
  <c r="DW369" i="43"/>
  <c r="DX369" i="43" s="1"/>
  <c r="GQ369" i="43"/>
  <c r="GP369" i="43" s="1"/>
  <c r="GL369" i="43" s="1"/>
  <c r="DE371" i="43"/>
  <c r="P371" i="43"/>
  <c r="DW371" i="43"/>
  <c r="DX371" i="43" s="1"/>
  <c r="GQ371" i="43"/>
  <c r="GP371" i="43" s="1"/>
  <c r="GL371" i="43" s="1"/>
  <c r="P373" i="43"/>
  <c r="DE373" i="43"/>
  <c r="ES375" i="43"/>
  <c r="DE376" i="43"/>
  <c r="BQ376" i="43"/>
  <c r="DW376" i="43"/>
  <c r="DX376" i="43" s="1"/>
  <c r="GQ376" i="43"/>
  <c r="GP376" i="43" s="1"/>
  <c r="GL376" i="43" s="1"/>
  <c r="DW380" i="43"/>
  <c r="DX380" i="43" s="1"/>
  <c r="GQ380" i="43"/>
  <c r="GP380" i="43" s="1"/>
  <c r="GL380" i="43" s="1"/>
  <c r="AM381" i="43"/>
  <c r="T45" i="24"/>
  <c r="V45" i="24" s="1"/>
  <c r="T49" i="24"/>
  <c r="V49" i="24" s="1"/>
  <c r="T53" i="24"/>
  <c r="V53" i="24" s="1"/>
  <c r="T57" i="24"/>
  <c r="V57" i="24" s="1"/>
  <c r="T61" i="24"/>
  <c r="V61" i="24" s="1"/>
  <c r="AS62" i="24"/>
  <c r="T65" i="24"/>
  <c r="V65" i="24" s="1"/>
  <c r="T69" i="24"/>
  <c r="V69" i="24" s="1"/>
  <c r="T73" i="24"/>
  <c r="V73" i="24" s="1"/>
  <c r="T77" i="24"/>
  <c r="V77" i="24" s="1"/>
  <c r="AQ144" i="24"/>
  <c r="AR144" i="24"/>
  <c r="AQ160" i="24"/>
  <c r="AS198" i="24"/>
  <c r="P123" i="43"/>
  <c r="J123" i="43" s="1"/>
  <c r="CL123" i="43"/>
  <c r="DE123" i="43"/>
  <c r="FO123" i="43"/>
  <c r="P124" i="43"/>
  <c r="CL124" i="43"/>
  <c r="DE124" i="43"/>
  <c r="FO124" i="43"/>
  <c r="AM126" i="43"/>
  <c r="P126" i="43"/>
  <c r="CL126" i="43"/>
  <c r="DE126" i="43"/>
  <c r="DW126" i="43"/>
  <c r="DX126" i="43" s="1"/>
  <c r="P127" i="43"/>
  <c r="I127" i="43" s="1"/>
  <c r="DW127" i="43"/>
  <c r="DX127" i="43" s="1"/>
  <c r="P128" i="43"/>
  <c r="DW128" i="43"/>
  <c r="DX128" i="43" s="1"/>
  <c r="CL129" i="43"/>
  <c r="DE129" i="43"/>
  <c r="DW129" i="43"/>
  <c r="DX129" i="43" s="1"/>
  <c r="CL130" i="43"/>
  <c r="DE130" i="43"/>
  <c r="DW130" i="43"/>
  <c r="DX130" i="43" s="1"/>
  <c r="CL131" i="43"/>
  <c r="DE131" i="43"/>
  <c r="DW131" i="43"/>
  <c r="DX131" i="43" s="1"/>
  <c r="P132" i="43"/>
  <c r="ES133" i="43"/>
  <c r="CL134" i="43"/>
  <c r="DE134" i="43"/>
  <c r="ES135" i="43"/>
  <c r="CL136" i="43"/>
  <c r="DE136" i="43"/>
  <c r="ES137" i="43"/>
  <c r="CL138" i="43"/>
  <c r="DE138" i="43"/>
  <c r="DW139" i="43"/>
  <c r="DX139" i="43" s="1"/>
  <c r="FO140" i="43"/>
  <c r="FO141" i="43"/>
  <c r="FO142" i="43"/>
  <c r="ES143" i="43"/>
  <c r="ES144" i="43"/>
  <c r="ES145" i="43"/>
  <c r="ES146" i="43"/>
  <c r="ES147" i="43"/>
  <c r="ES148" i="43"/>
  <c r="ES149" i="43"/>
  <c r="ES150" i="43"/>
  <c r="ES151" i="43"/>
  <c r="ES152" i="43"/>
  <c r="ES153" i="43"/>
  <c r="ES154" i="43"/>
  <c r="ES155" i="43"/>
  <c r="ES156" i="43"/>
  <c r="ES157" i="43"/>
  <c r="P158" i="43"/>
  <c r="CL158" i="43"/>
  <c r="DE158" i="43"/>
  <c r="DW158" i="43"/>
  <c r="DX158" i="43" s="1"/>
  <c r="ES159" i="43"/>
  <c r="DW160" i="43"/>
  <c r="DX160" i="43" s="1"/>
  <c r="ES161" i="43"/>
  <c r="ES163" i="43"/>
  <c r="DW164" i="43"/>
  <c r="DX164" i="43" s="1"/>
  <c r="BQ165" i="43"/>
  <c r="P168" i="43"/>
  <c r="I168" i="43" s="1"/>
  <c r="DW169" i="43"/>
  <c r="DX169" i="43" s="1"/>
  <c r="AM170" i="43"/>
  <c r="DW170" i="43"/>
  <c r="DX170" i="43" s="1"/>
  <c r="ES171" i="43"/>
  <c r="DQ172" i="43"/>
  <c r="DR172" i="43" s="1"/>
  <c r="G172" i="43" s="1"/>
  <c r="HQ172" i="43" s="1"/>
  <c r="HR172" i="43" s="1"/>
  <c r="ES172" i="43"/>
  <c r="P174" i="43"/>
  <c r="J174" i="43" s="1"/>
  <c r="P175" i="43"/>
  <c r="AM175" i="43"/>
  <c r="DW175" i="43"/>
  <c r="DX175" i="43" s="1"/>
  <c r="DQ178" i="43"/>
  <c r="DR178" i="43" s="1"/>
  <c r="G178" i="43" s="1"/>
  <c r="HQ178" i="43" s="1"/>
  <c r="HR178" i="43" s="1"/>
  <c r="DQ182" i="43"/>
  <c r="DR182" i="43" s="1"/>
  <c r="G182" i="43" s="1"/>
  <c r="HQ182" i="43" s="1"/>
  <c r="HR182" i="43" s="1"/>
  <c r="BQ185" i="43"/>
  <c r="P187" i="43"/>
  <c r="AM188" i="43"/>
  <c r="DW187" i="43"/>
  <c r="DX187" i="43" s="1"/>
  <c r="DW189" i="43"/>
  <c r="DX189" i="43" s="1"/>
  <c r="P190" i="43"/>
  <c r="AM190" i="43"/>
  <c r="DQ191" i="43"/>
  <c r="DR191" i="43" s="1"/>
  <c r="G191" i="43" s="1"/>
  <c r="HQ191" i="43" s="1"/>
  <c r="HR191" i="43" s="1"/>
  <c r="ES191" i="43"/>
  <c r="AM193" i="43"/>
  <c r="Z193" i="43"/>
  <c r="DQ194" i="43"/>
  <c r="DR194" i="43" s="1"/>
  <c r="G194" i="43" s="1"/>
  <c r="HQ194" i="43" s="1"/>
  <c r="HR194" i="43" s="1"/>
  <c r="FO193" i="43"/>
  <c r="P194" i="43"/>
  <c r="AM194" i="43"/>
  <c r="BQ195" i="43"/>
  <c r="P197" i="43"/>
  <c r="AM197" i="43"/>
  <c r="ES197" i="43"/>
  <c r="DW198" i="43"/>
  <c r="DX198" i="43" s="1"/>
  <c r="DW199" i="43"/>
  <c r="DX199" i="43" s="1"/>
  <c r="DW200" i="43"/>
  <c r="DX200" i="43" s="1"/>
  <c r="AM201" i="43"/>
  <c r="P202" i="43"/>
  <c r="ES203" i="43"/>
  <c r="DW204" i="43"/>
  <c r="DX204" i="43" s="1"/>
  <c r="AM205" i="43"/>
  <c r="DW206" i="43"/>
  <c r="DX206" i="43" s="1"/>
  <c r="ES207" i="43"/>
  <c r="P208" i="43"/>
  <c r="DW209" i="43"/>
  <c r="DX209" i="43" s="1"/>
  <c r="DW211" i="43"/>
  <c r="DX211" i="43" s="1"/>
  <c r="P213" i="43"/>
  <c r="DW213" i="43"/>
  <c r="DX213" i="43" s="1"/>
  <c r="DQ216" i="43"/>
  <c r="DR216" i="43" s="1"/>
  <c r="DW217" i="43"/>
  <c r="DX217" i="43" s="1"/>
  <c r="DW223" i="43"/>
  <c r="DX223" i="43" s="1"/>
  <c r="ES225" i="43"/>
  <c r="P226" i="43"/>
  <c r="J226" i="43" s="1"/>
  <c r="DW226" i="43"/>
  <c r="DX226" i="43" s="1"/>
  <c r="DW231" i="43"/>
  <c r="DX231" i="43" s="1"/>
  <c r="P233" i="43"/>
  <c r="DW233" i="43"/>
  <c r="DX233" i="43" s="1"/>
  <c r="P235" i="43"/>
  <c r="DQ238" i="43"/>
  <c r="DR238" i="43" s="1"/>
  <c r="G238" i="43" s="1"/>
  <c r="HQ238" i="43" s="1"/>
  <c r="HR238" i="43" s="1"/>
  <c r="P247" i="43"/>
  <c r="DW248" i="43"/>
  <c r="DX248" i="43" s="1"/>
  <c r="DQ252" i="43"/>
  <c r="DR252" i="43" s="1"/>
  <c r="G252" i="43" s="1"/>
  <c r="HQ252" i="43" s="1"/>
  <c r="HR252" i="43" s="1"/>
  <c r="ES251" i="43"/>
  <c r="DW252" i="43"/>
  <c r="DX252" i="43" s="1"/>
  <c r="P255" i="43"/>
  <c r="DQ256" i="43"/>
  <c r="DR256" i="43" s="1"/>
  <c r="G256" i="43" s="1"/>
  <c r="HQ256" i="43" s="1"/>
  <c r="HR256" i="43" s="1"/>
  <c r="DW258" i="43"/>
  <c r="DX258" i="43" s="1"/>
  <c r="DW260" i="43"/>
  <c r="DX260" i="43" s="1"/>
  <c r="DQ263" i="43"/>
  <c r="DR263" i="43" s="1"/>
  <c r="G263" i="43" s="1"/>
  <c r="HQ263" i="43" s="1"/>
  <c r="HR263" i="43" s="1"/>
  <c r="DW263" i="43"/>
  <c r="DX263" i="43" s="1"/>
  <c r="ES265" i="43"/>
  <c r="DQ267" i="43"/>
  <c r="DR267" i="43" s="1"/>
  <c r="G267" i="43" s="1"/>
  <c r="HQ267" i="43" s="1"/>
  <c r="HR267" i="43" s="1"/>
  <c r="P268" i="43"/>
  <c r="P269" i="43"/>
  <c r="DW269" i="43"/>
  <c r="DX269" i="43" s="1"/>
  <c r="DW270" i="43"/>
  <c r="DX270" i="43" s="1"/>
  <c r="DW271" i="43"/>
  <c r="DX271" i="43" s="1"/>
  <c r="DW272" i="43"/>
  <c r="DX272" i="43" s="1"/>
  <c r="Z273" i="43"/>
  <c r="Z274" i="43"/>
  <c r="DE274" i="43"/>
  <c r="ES274" i="43"/>
  <c r="FO274" i="43"/>
  <c r="DW275" i="43"/>
  <c r="DX275" i="43" s="1"/>
  <c r="AM276" i="43"/>
  <c r="P278" i="43"/>
  <c r="ES278" i="43"/>
  <c r="ES279" i="43"/>
  <c r="P281" i="43"/>
  <c r="DQ281" i="43"/>
  <c r="DR281" i="43" s="1"/>
  <c r="G281" i="43" s="1"/>
  <c r="HQ281" i="43" s="1"/>
  <c r="HR281" i="43" s="1"/>
  <c r="DW284" i="43"/>
  <c r="DX284" i="43" s="1"/>
  <c r="DW285" i="43"/>
  <c r="DX285" i="43" s="1"/>
  <c r="DE286" i="43"/>
  <c r="ES286" i="43"/>
  <c r="ES287" i="43"/>
  <c r="DW288" i="43"/>
  <c r="DX288" i="43" s="1"/>
  <c r="DW289" i="43"/>
  <c r="DX289" i="43" s="1"/>
  <c r="FO291" i="43"/>
  <c r="P292" i="43"/>
  <c r="ES292" i="43"/>
  <c r="ES293" i="43"/>
  <c r="DW295" i="43"/>
  <c r="DX295" i="43" s="1"/>
  <c r="DW297" i="43"/>
  <c r="DX297" i="43" s="1"/>
  <c r="ES298" i="43"/>
  <c r="ES299" i="43"/>
  <c r="DW301" i="43"/>
  <c r="DX301" i="43" s="1"/>
  <c r="DQ303" i="43"/>
  <c r="DR303" i="43" s="1"/>
  <c r="G303" i="43" s="1"/>
  <c r="FZ303" i="43" s="1"/>
  <c r="P304" i="43"/>
  <c r="DW305" i="43"/>
  <c r="DX305" i="43" s="1"/>
  <c r="DQ306" i="43"/>
  <c r="DR306" i="43" s="1"/>
  <c r="G306" i="43" s="1"/>
  <c r="DW307" i="43"/>
  <c r="DX307" i="43" s="1"/>
  <c r="ES308" i="43"/>
  <c r="CL310" i="43"/>
  <c r="CL312" i="43"/>
  <c r="DW314" i="43"/>
  <c r="DX314" i="43" s="1"/>
  <c r="CL316" i="43"/>
  <c r="DE316" i="43"/>
  <c r="AM318" i="43"/>
  <c r="ES318" i="43"/>
  <c r="AM320" i="43"/>
  <c r="ES321" i="43"/>
  <c r="DE322" i="43"/>
  <c r="P323" i="43"/>
  <c r="DW324" i="43"/>
  <c r="DX324" i="43" s="1"/>
  <c r="P325" i="43"/>
  <c r="ES325" i="43"/>
  <c r="DE326" i="43"/>
  <c r="DQ327" i="43"/>
  <c r="DR327" i="43" s="1"/>
  <c r="G327" i="43" s="1"/>
  <c r="AM328" i="43"/>
  <c r="DW328" i="43"/>
  <c r="DX328" i="43" s="1"/>
  <c r="P329" i="43"/>
  <c r="ES329" i="43"/>
  <c r="CL330" i="43"/>
  <c r="DE331" i="43"/>
  <c r="AM331" i="43"/>
  <c r="AM332" i="43"/>
  <c r="FO333" i="43"/>
  <c r="AM333" i="43"/>
  <c r="CL333" i="43"/>
  <c r="P335" i="43"/>
  <c r="DQ336" i="43"/>
  <c r="DR336" i="43" s="1"/>
  <c r="ES339" i="43"/>
  <c r="DE340" i="43"/>
  <c r="P341" i="43"/>
  <c r="I341" i="43" s="1"/>
  <c r="ES343" i="43"/>
  <c r="DE344" i="43"/>
  <c r="P345" i="43"/>
  <c r="BQ347" i="43"/>
  <c r="ES348" i="43"/>
  <c r="ES349" i="43"/>
  <c r="AM350" i="43"/>
  <c r="DQ350" i="43"/>
  <c r="DR350" i="43" s="1"/>
  <c r="ES351" i="43"/>
  <c r="AM352" i="43"/>
  <c r="DQ352" i="43"/>
  <c r="DR352" i="43" s="1"/>
  <c r="ES353" i="43"/>
  <c r="Z355" i="43"/>
  <c r="CL355" i="43"/>
  <c r="FO355" i="43"/>
  <c r="FO357" i="43"/>
  <c r="CL358" i="43"/>
  <c r="AM358" i="43"/>
  <c r="BQ360" i="43"/>
  <c r="ES361" i="43"/>
  <c r="DE362" i="43"/>
  <c r="P362" i="43"/>
  <c r="DW362" i="43"/>
  <c r="DX362" i="43" s="1"/>
  <c r="GQ362" i="43"/>
  <c r="GP362" i="43" s="1"/>
  <c r="GL362" i="43" s="1"/>
  <c r="ES364" i="43"/>
  <c r="DE365" i="43"/>
  <c r="AM365" i="43"/>
  <c r="BQ365" i="43"/>
  <c r="ES365" i="43"/>
  <c r="HE365" i="43"/>
  <c r="HD365" i="43" s="1"/>
  <c r="GZ365" i="43" s="1"/>
  <c r="DE366" i="43"/>
  <c r="BQ366" i="43"/>
  <c r="DW366" i="43"/>
  <c r="DX366" i="43" s="1"/>
  <c r="GQ366" i="43"/>
  <c r="GP366" i="43" s="1"/>
  <c r="GL366" i="43" s="1"/>
  <c r="BQ367" i="43"/>
  <c r="DE368" i="43"/>
  <c r="P368" i="43"/>
  <c r="BQ368" i="43"/>
  <c r="DE369" i="43"/>
  <c r="P369" i="43"/>
  <c r="BQ369" i="43"/>
  <c r="DE370" i="43"/>
  <c r="P370" i="43"/>
  <c r="DW370" i="43"/>
  <c r="DX370" i="43" s="1"/>
  <c r="GQ370" i="43"/>
  <c r="GP370" i="43" s="1"/>
  <c r="GL370" i="43" s="1"/>
  <c r="BQ371" i="43"/>
  <c r="DE372" i="43"/>
  <c r="P372" i="43"/>
  <c r="DW372" i="43"/>
  <c r="DX372" i="43" s="1"/>
  <c r="GQ372" i="43"/>
  <c r="GP372" i="43" s="1"/>
  <c r="GL372" i="43" s="1"/>
  <c r="BQ373" i="43"/>
  <c r="ES374" i="43"/>
  <c r="CL376" i="43"/>
  <c r="ES376" i="43"/>
  <c r="DE377" i="43"/>
  <c r="AM377" i="43"/>
  <c r="DW377" i="43"/>
  <c r="DX377" i="43" s="1"/>
  <c r="GQ377" i="43"/>
  <c r="GP377" i="43" s="1"/>
  <c r="GL377" i="43" s="1"/>
  <c r="ES381" i="43"/>
  <c r="BI45" i="24"/>
  <c r="T47" i="24"/>
  <c r="V47" i="24" s="1"/>
  <c r="BI49" i="24"/>
  <c r="T51" i="24"/>
  <c r="V51" i="24" s="1"/>
  <c r="BI53" i="24"/>
  <c r="T55" i="24"/>
  <c r="V55" i="24" s="1"/>
  <c r="BI57" i="24"/>
  <c r="T59" i="24"/>
  <c r="V59" i="24" s="1"/>
  <c r="BI61" i="24"/>
  <c r="T63" i="24"/>
  <c r="V63" i="24" s="1"/>
  <c r="BI65" i="24"/>
  <c r="T67" i="24"/>
  <c r="V67" i="24" s="1"/>
  <c r="BI69" i="24"/>
  <c r="T71" i="24"/>
  <c r="V71" i="24" s="1"/>
  <c r="BI73" i="24"/>
  <c r="T75" i="24"/>
  <c r="V75" i="24" s="1"/>
  <c r="BI77" i="24"/>
  <c r="T79" i="24"/>
  <c r="V79" i="24" s="1"/>
  <c r="BI81" i="24"/>
  <c r="AS83" i="24"/>
  <c r="T83" i="24"/>
  <c r="V83" i="24" s="1"/>
  <c r="BI85" i="24"/>
  <c r="T87" i="24"/>
  <c r="V87" i="24" s="1"/>
  <c r="BI89" i="24"/>
  <c r="AS91" i="24"/>
  <c r="T91" i="24"/>
  <c r="V91" i="24" s="1"/>
  <c r="BI93" i="24"/>
  <c r="T95" i="24"/>
  <c r="V95" i="24" s="1"/>
  <c r="BI122" i="24"/>
  <c r="T124" i="24"/>
  <c r="V124" i="24" s="1"/>
  <c r="BI126" i="24"/>
  <c r="T130" i="24"/>
  <c r="V130" i="24" s="1"/>
  <c r="T132" i="24"/>
  <c r="V132" i="24" s="1"/>
  <c r="BI138" i="24"/>
  <c r="BI140" i="24"/>
  <c r="T146" i="24"/>
  <c r="V146" i="24" s="1"/>
  <c r="T148" i="24"/>
  <c r="V148" i="24" s="1"/>
  <c r="BI154" i="24"/>
  <c r="BI156" i="24"/>
  <c r="T162" i="24"/>
  <c r="V162" i="24" s="1"/>
  <c r="T164" i="24"/>
  <c r="V164" i="24" s="1"/>
  <c r="BI170" i="24"/>
  <c r="BI172" i="24"/>
  <c r="AR175" i="24"/>
  <c r="T178" i="24"/>
  <c r="V178" i="24" s="1"/>
  <c r="T180" i="24"/>
  <c r="V180" i="24" s="1"/>
  <c r="BI186" i="24"/>
  <c r="BI188" i="24"/>
  <c r="AS192" i="24"/>
  <c r="T194" i="24"/>
  <c r="V194" i="24" s="1"/>
  <c r="T196" i="24"/>
  <c r="V196" i="24" s="1"/>
  <c r="BI202" i="24"/>
  <c r="BI204" i="24"/>
  <c r="BI208" i="24"/>
  <c r="BI209" i="24"/>
  <c r="BI210" i="24"/>
  <c r="BI211" i="24"/>
  <c r="BI212" i="24"/>
  <c r="BI213" i="24"/>
  <c r="BI214" i="24"/>
  <c r="BI219" i="24"/>
  <c r="BI221" i="24"/>
  <c r="BI222" i="24"/>
  <c r="BI223" i="24"/>
  <c r="BI224" i="24"/>
  <c r="BI225" i="24"/>
  <c r="BI226" i="24"/>
  <c r="BI227" i="24"/>
  <c r="BI228" i="24"/>
  <c r="BI229" i="24"/>
  <c r="BI230" i="24"/>
  <c r="BI231" i="24"/>
  <c r="T232" i="24"/>
  <c r="V232" i="24" s="1"/>
  <c r="BI232" i="24"/>
  <c r="BI233" i="24"/>
  <c r="BI234" i="24"/>
  <c r="BI235" i="24"/>
  <c r="BI236" i="24"/>
  <c r="BI237" i="24"/>
  <c r="BI238" i="24"/>
  <c r="BI279" i="24"/>
  <c r="AS283" i="24"/>
  <c r="BI287" i="24"/>
  <c r="T293" i="24"/>
  <c r="V293" i="24" s="1"/>
  <c r="T123" i="24"/>
  <c r="V123" i="24" s="1"/>
  <c r="AS124" i="24"/>
  <c r="T127" i="24"/>
  <c r="V127" i="24" s="1"/>
  <c r="AS131" i="24"/>
  <c r="AS187" i="24"/>
  <c r="AS203" i="24"/>
  <c r="AR293" i="24"/>
  <c r="T121" i="24"/>
  <c r="V121" i="24" s="1"/>
  <c r="BI123" i="24"/>
  <c r="T125" i="24"/>
  <c r="V125" i="24" s="1"/>
  <c r="BI127" i="24"/>
  <c r="T129" i="24"/>
  <c r="V129" i="24" s="1"/>
  <c r="BI131" i="24"/>
  <c r="T133" i="24"/>
  <c r="V133" i="24" s="1"/>
  <c r="BI135" i="24"/>
  <c r="AS137" i="24"/>
  <c r="T137" i="24"/>
  <c r="V137" i="24" s="1"/>
  <c r="BI139" i="24"/>
  <c r="T141" i="24"/>
  <c r="V141" i="24" s="1"/>
  <c r="BI143" i="24"/>
  <c r="AS145" i="24"/>
  <c r="T145" i="24"/>
  <c r="V145" i="24" s="1"/>
  <c r="BI147" i="24"/>
  <c r="T149" i="24"/>
  <c r="V149" i="24" s="1"/>
  <c r="BI151" i="24"/>
  <c r="T153" i="24"/>
  <c r="V153" i="24" s="1"/>
  <c r="BI155" i="24"/>
  <c r="T157" i="24"/>
  <c r="V157" i="24" s="1"/>
  <c r="BI159" i="24"/>
  <c r="T161" i="24"/>
  <c r="V161" i="24" s="1"/>
  <c r="BI163" i="24"/>
  <c r="T165" i="24"/>
  <c r="V165" i="24" s="1"/>
  <c r="BI167" i="24"/>
  <c r="T169" i="24"/>
  <c r="V169" i="24" s="1"/>
  <c r="BI171" i="24"/>
  <c r="T173" i="24"/>
  <c r="V173" i="24" s="1"/>
  <c r="BI175" i="24"/>
  <c r="T177" i="24"/>
  <c r="V177" i="24" s="1"/>
  <c r="BI179" i="24"/>
  <c r="AS181" i="24"/>
  <c r="T181" i="24"/>
  <c r="V181" i="24" s="1"/>
  <c r="BI183" i="24"/>
  <c r="T185" i="24"/>
  <c r="V185" i="24" s="1"/>
  <c r="BI187" i="24"/>
  <c r="T189" i="24"/>
  <c r="V189" i="24" s="1"/>
  <c r="BI191" i="24"/>
  <c r="T193" i="24"/>
  <c r="V193" i="24" s="1"/>
  <c r="BI195" i="24"/>
  <c r="AS197" i="24"/>
  <c r="T197" i="24"/>
  <c r="V197" i="24" s="1"/>
  <c r="BI199" i="24"/>
  <c r="T201" i="24"/>
  <c r="V201" i="24" s="1"/>
  <c r="BI203" i="24"/>
  <c r="AS205" i="24"/>
  <c r="T205" i="24"/>
  <c r="V205" i="24" s="1"/>
  <c r="BI260" i="24"/>
  <c r="BI261" i="24"/>
  <c r="BI262" i="24"/>
  <c r="BI263" i="24"/>
  <c r="BI264" i="24"/>
  <c r="BI265" i="24"/>
  <c r="BI266" i="24"/>
  <c r="BI267" i="24"/>
  <c r="BI273" i="24"/>
  <c r="BI275" i="24"/>
  <c r="AR278" i="24"/>
  <c r="T281" i="24"/>
  <c r="V281" i="24" s="1"/>
  <c r="T283" i="24"/>
  <c r="V283" i="24" s="1"/>
  <c r="BI289" i="24"/>
  <c r="BI291" i="24"/>
  <c r="T297" i="24"/>
  <c r="V297" i="24" s="1"/>
  <c r="T299" i="24"/>
  <c r="V299" i="24" s="1"/>
  <c r="BI312" i="24"/>
  <c r="BI328" i="24"/>
  <c r="T208" i="24"/>
  <c r="V208" i="24" s="1"/>
  <c r="T209" i="24"/>
  <c r="V209" i="24" s="1"/>
  <c r="T210" i="24"/>
  <c r="V210" i="24" s="1"/>
  <c r="T211" i="24"/>
  <c r="V211" i="24" s="1"/>
  <c r="T212" i="24"/>
  <c r="V212" i="24" s="1"/>
  <c r="T213" i="24"/>
  <c r="V213" i="24" s="1"/>
  <c r="T214" i="24"/>
  <c r="V214" i="24" s="1"/>
  <c r="T221" i="24"/>
  <c r="V221" i="24" s="1"/>
  <c r="T222" i="24"/>
  <c r="V222" i="24" s="1"/>
  <c r="T223" i="24"/>
  <c r="V223" i="24" s="1"/>
  <c r="T224" i="24"/>
  <c r="V224" i="24" s="1"/>
  <c r="T225" i="24"/>
  <c r="V225" i="24" s="1"/>
  <c r="T226" i="24"/>
  <c r="V226" i="24" s="1"/>
  <c r="T227" i="24"/>
  <c r="V227" i="24" s="1"/>
  <c r="T228" i="24"/>
  <c r="V228" i="24" s="1"/>
  <c r="T229" i="24"/>
  <c r="V229" i="24" s="1"/>
  <c r="T230" i="24"/>
  <c r="V230" i="24" s="1"/>
  <c r="T231" i="24"/>
  <c r="V231" i="24" s="1"/>
  <c r="T233" i="24"/>
  <c r="V233" i="24" s="1"/>
  <c r="T234" i="24"/>
  <c r="V234" i="24" s="1"/>
  <c r="T235" i="24"/>
  <c r="V235" i="24" s="1"/>
  <c r="T236" i="24"/>
  <c r="V236" i="24" s="1"/>
  <c r="T237" i="24"/>
  <c r="V237" i="24" s="1"/>
  <c r="BI270" i="24"/>
  <c r="T272" i="24"/>
  <c r="V272" i="24" s="1"/>
  <c r="BI274" i="24"/>
  <c r="T276" i="24"/>
  <c r="V276" i="24" s="1"/>
  <c r="BI278" i="24"/>
  <c r="AS280" i="24"/>
  <c r="T280" i="24"/>
  <c r="V280" i="24" s="1"/>
  <c r="BI282" i="24"/>
  <c r="T284" i="24"/>
  <c r="V284" i="24" s="1"/>
  <c r="BI286" i="24"/>
  <c r="T288" i="24"/>
  <c r="V288" i="24" s="1"/>
  <c r="BI290" i="24"/>
  <c r="AS292" i="24"/>
  <c r="T292" i="24"/>
  <c r="V292" i="24" s="1"/>
  <c r="BI294" i="24"/>
  <c r="AS296" i="24"/>
  <c r="T296" i="24"/>
  <c r="V296" i="24" s="1"/>
  <c r="BI298" i="24"/>
  <c r="T300" i="24"/>
  <c r="V300" i="24" s="1"/>
  <c r="BI302" i="24"/>
  <c r="T308" i="24"/>
  <c r="V308" i="24" s="1"/>
  <c r="T310" i="24"/>
  <c r="V310" i="24" s="1"/>
  <c r="BI316" i="24"/>
  <c r="BI318" i="24"/>
  <c r="T324" i="24"/>
  <c r="V324" i="24" s="1"/>
  <c r="T326" i="24"/>
  <c r="V326" i="24" s="1"/>
  <c r="BI332" i="24"/>
  <c r="BI334" i="24"/>
  <c r="T206" i="24"/>
  <c r="V206" i="24" s="1"/>
  <c r="AP240" i="24"/>
  <c r="AQ240" i="24" s="1"/>
  <c r="AP242" i="24"/>
  <c r="AR242" i="24" s="1"/>
  <c r="AP243" i="24"/>
  <c r="AR243" i="24" s="1"/>
  <c r="AP244" i="24"/>
  <c r="AP245" i="24"/>
  <c r="AS245" i="24" s="1"/>
  <c r="AP246" i="24"/>
  <c r="AP247" i="24"/>
  <c r="AR247" i="24" s="1"/>
  <c r="AP248" i="24"/>
  <c r="AS248" i="24" s="1"/>
  <c r="AP249" i="24"/>
  <c r="AS249" i="24" s="1"/>
  <c r="AP250" i="24"/>
  <c r="AS250" i="24" s="1"/>
  <c r="AP251" i="24"/>
  <c r="AP252" i="24"/>
  <c r="AR252" i="24" s="1"/>
  <c r="AP253" i="24"/>
  <c r="AS253" i="24" s="1"/>
  <c r="AP254" i="24"/>
  <c r="AQ254" i="24" s="1"/>
  <c r="AP255" i="24"/>
  <c r="AP257" i="24"/>
  <c r="AP258" i="24"/>
  <c r="AR258" i="24" s="1"/>
  <c r="AQ304" i="24"/>
  <c r="T268" i="24"/>
  <c r="V268" i="24" s="1"/>
  <c r="BI268" i="24"/>
  <c r="BI269" i="24"/>
  <c r="AP270" i="24"/>
  <c r="T301" i="24"/>
  <c r="V301" i="24" s="1"/>
  <c r="AR350" i="24"/>
  <c r="AR358" i="24"/>
  <c r="AR362" i="24"/>
  <c r="AP259" i="24"/>
  <c r="T259" i="24"/>
  <c r="V259" i="24" s="1"/>
  <c r="T260" i="24"/>
  <c r="V260" i="24" s="1"/>
  <c r="T261" i="24"/>
  <c r="V261" i="24" s="1"/>
  <c r="T262" i="24"/>
  <c r="V262" i="24" s="1"/>
  <c r="T263" i="24"/>
  <c r="V263" i="24" s="1"/>
  <c r="T264" i="24"/>
  <c r="V264" i="24" s="1"/>
  <c r="T265" i="24"/>
  <c r="V265" i="24" s="1"/>
  <c r="T266" i="24"/>
  <c r="V266" i="24" s="1"/>
  <c r="T267" i="24"/>
  <c r="V267" i="24" s="1"/>
  <c r="BI301" i="24"/>
  <c r="T303" i="24"/>
  <c r="V303" i="24" s="1"/>
  <c r="BI305" i="24"/>
  <c r="T307" i="24"/>
  <c r="V307" i="24" s="1"/>
  <c r="BI309" i="24"/>
  <c r="AS311" i="24"/>
  <c r="T311" i="24"/>
  <c r="V311" i="24" s="1"/>
  <c r="BI313" i="24"/>
  <c r="T315" i="24"/>
  <c r="V315" i="24" s="1"/>
  <c r="BI317" i="24"/>
  <c r="T319" i="24"/>
  <c r="V319" i="24" s="1"/>
  <c r="BI321" i="24"/>
  <c r="AS323" i="24"/>
  <c r="T323" i="24"/>
  <c r="V323" i="24" s="1"/>
  <c r="BI325" i="24"/>
  <c r="T327" i="24"/>
  <c r="V327" i="24" s="1"/>
  <c r="BI329" i="24"/>
  <c r="T331" i="24"/>
  <c r="V331" i="24" s="1"/>
  <c r="BI333" i="24"/>
  <c r="T346" i="24"/>
  <c r="V346" i="24" s="1"/>
  <c r="T348" i="24"/>
  <c r="V348" i="24" s="1"/>
  <c r="T350" i="24"/>
  <c r="V350" i="24" s="1"/>
  <c r="T352" i="24"/>
  <c r="V352" i="24" s="1"/>
  <c r="T347" i="24"/>
  <c r="V347" i="24" s="1"/>
  <c r="T349" i="24"/>
  <c r="V349" i="24" s="1"/>
  <c r="T351" i="24"/>
  <c r="V351" i="24" s="1"/>
  <c r="AH266" i="45"/>
  <c r="AM270" i="43"/>
  <c r="S266" i="45"/>
  <c r="DQ268" i="43"/>
  <c r="DR268" i="43" s="1"/>
  <c r="G268" i="43" s="1"/>
  <c r="HQ268" i="43" s="1"/>
  <c r="HR268" i="43" s="1"/>
  <c r="AM269" i="43"/>
  <c r="DQ269" i="43"/>
  <c r="DR269" i="43" s="1"/>
  <c r="G269" i="43" s="1"/>
  <c r="HQ269" i="43" s="1"/>
  <c r="HR269" i="43" s="1"/>
  <c r="K11" i="34"/>
  <c r="C16" i="44"/>
  <c r="C17" i="44"/>
  <c r="C9" i="44"/>
  <c r="C10" i="44"/>
  <c r="S265" i="45"/>
  <c r="AP267" i="24"/>
  <c r="AS267" i="24" s="1"/>
  <c r="P267" i="43"/>
  <c r="S264" i="45"/>
  <c r="AR267" i="24"/>
  <c r="ES267" i="43"/>
  <c r="ES266" i="43"/>
  <c r="B263" i="45"/>
  <c r="S263" i="45"/>
  <c r="DQ265" i="43"/>
  <c r="DR265" i="43" s="1"/>
  <c r="G265" i="43" s="1"/>
  <c r="HQ265" i="43" s="1"/>
  <c r="HR265" i="43" s="1"/>
  <c r="AM266" i="43"/>
  <c r="AQ266" i="24"/>
  <c r="AS266" i="24"/>
  <c r="P265" i="43"/>
  <c r="DQ264" i="43"/>
  <c r="DR264" i="43" s="1"/>
  <c r="G264" i="43" s="1"/>
  <c r="HQ264" i="43" s="1"/>
  <c r="HR264" i="43" s="1"/>
  <c r="AH260" i="45"/>
  <c r="ES264" i="43"/>
  <c r="ES263" i="43"/>
  <c r="DQ262" i="43"/>
  <c r="DR262" i="43" s="1"/>
  <c r="G262" i="43" s="1"/>
  <c r="HQ262" i="43" s="1"/>
  <c r="HR262" i="43" s="1"/>
  <c r="AM262" i="43"/>
  <c r="AM263" i="43"/>
  <c r="AH259" i="45"/>
  <c r="S260" i="45"/>
  <c r="BQ262" i="43"/>
  <c r="DE262" i="43"/>
  <c r="AH258" i="45"/>
  <c r="DQ261" i="43"/>
  <c r="DR261" i="43" s="1"/>
  <c r="G261" i="43" s="1"/>
  <c r="HQ261" i="43" s="1"/>
  <c r="HR261" i="43" s="1"/>
  <c r="AR262" i="24"/>
  <c r="ES259" i="43"/>
  <c r="AP260" i="24"/>
  <c r="AQ260" i="24" s="1"/>
  <c r="S257" i="45"/>
  <c r="AM260" i="43"/>
  <c r="DQ259" i="43"/>
  <c r="DR259" i="43" s="1"/>
  <c r="G259" i="43" s="1"/>
  <c r="HQ259" i="43" s="1"/>
  <c r="HR259" i="43" s="1"/>
  <c r="AM261" i="43"/>
  <c r="S258" i="45"/>
  <c r="P260" i="43"/>
  <c r="S256" i="45"/>
  <c r="AM259" i="43"/>
  <c r="P258" i="43"/>
  <c r="DQ257" i="43"/>
  <c r="DR257" i="43" s="1"/>
  <c r="G257" i="43" s="1"/>
  <c r="HQ257" i="43" s="1"/>
  <c r="HR257" i="43" s="1"/>
  <c r="P257" i="43"/>
  <c r="ES257" i="43"/>
  <c r="ES258" i="43"/>
  <c r="AM258" i="43"/>
  <c r="D21" i="30"/>
  <c r="D20" i="30"/>
  <c r="C9" i="30"/>
  <c r="C22" i="30"/>
  <c r="AP256" i="24"/>
  <c r="AQ256" i="24" s="1"/>
  <c r="AM257" i="43"/>
  <c r="DQ255" i="43"/>
  <c r="DR255" i="43" s="1"/>
  <c r="G255" i="43" s="1"/>
  <c r="HQ255" i="43" s="1"/>
  <c r="HR255" i="43" s="1"/>
  <c r="B252" i="45"/>
  <c r="ES255" i="43"/>
  <c r="S253" i="45"/>
  <c r="AM256" i="43"/>
  <c r="DQ254" i="43"/>
  <c r="DR254" i="43" s="1"/>
  <c r="G254" i="43" s="1"/>
  <c r="HQ254" i="43" s="1"/>
  <c r="HR254" i="43" s="1"/>
  <c r="B251" i="45"/>
  <c r="AS255" i="24"/>
  <c r="AM255" i="43"/>
  <c r="S252" i="45"/>
  <c r="B250" i="45"/>
  <c r="P253" i="43"/>
  <c r="ES254" i="43"/>
  <c r="ES253" i="43"/>
  <c r="AM254" i="43"/>
  <c r="S251" i="45"/>
  <c r="B249" i="45"/>
  <c r="ES252" i="43"/>
  <c r="AM253" i="43"/>
  <c r="S250" i="45"/>
  <c r="B248" i="45"/>
  <c r="P251" i="43"/>
  <c r="S249" i="45"/>
  <c r="AM252" i="43"/>
  <c r="DQ250" i="43"/>
  <c r="DR250" i="43" s="1"/>
  <c r="G250" i="43" s="1"/>
  <c r="HQ250" i="43" s="1"/>
  <c r="HR250" i="43" s="1"/>
  <c r="B247" i="45"/>
  <c r="P250" i="43"/>
  <c r="AM251" i="43"/>
  <c r="S248" i="45"/>
  <c r="ES250" i="43"/>
  <c r="Q246" i="45"/>
  <c r="R246" i="45" s="1"/>
  <c r="S247" i="45" s="1"/>
  <c r="DQ249" i="43"/>
  <c r="DR249" i="43" s="1"/>
  <c r="G249" i="43" s="1"/>
  <c r="HQ249" i="43" s="1"/>
  <c r="HR249" i="43" s="1"/>
  <c r="AM250" i="43"/>
  <c r="DQ248" i="43"/>
  <c r="DR248" i="43" s="1"/>
  <c r="G248" i="43" s="1"/>
  <c r="HQ248" i="43" s="1"/>
  <c r="HR248" i="43" s="1"/>
  <c r="B245" i="45"/>
  <c r="P248" i="43"/>
  <c r="AM249" i="43"/>
  <c r="S245" i="45"/>
  <c r="AM248" i="43"/>
  <c r="ES248" i="43"/>
  <c r="ES247" i="43"/>
  <c r="AM247" i="43"/>
  <c r="DQ246" i="43"/>
  <c r="DR246" i="43" s="1"/>
  <c r="G246" i="43" s="1"/>
  <c r="HQ246" i="43" s="1"/>
  <c r="HR246" i="43" s="1"/>
  <c r="B243" i="45"/>
  <c r="S244" i="45"/>
  <c r="ES246" i="43"/>
  <c r="DQ245" i="43"/>
  <c r="DR245" i="43" s="1"/>
  <c r="G245" i="43" s="1"/>
  <c r="HQ245" i="43" s="1"/>
  <c r="HR245" i="43" s="1"/>
  <c r="S243" i="45"/>
  <c r="ES245" i="43"/>
  <c r="B241" i="45"/>
  <c r="S242" i="45"/>
  <c r="AM245" i="43"/>
  <c r="DQ243" i="43"/>
  <c r="DR243" i="43" s="1"/>
  <c r="G243" i="43" s="1"/>
  <c r="HQ243" i="43" s="1"/>
  <c r="HR243" i="43" s="1"/>
  <c r="ES243" i="43"/>
  <c r="P243" i="43"/>
  <c r="ES242" i="43"/>
  <c r="DQ241" i="43"/>
  <c r="DR241" i="43" s="1"/>
  <c r="G241" i="43" s="1"/>
  <c r="HQ241" i="43" s="1"/>
  <c r="HR241" i="43" s="1"/>
  <c r="AP241" i="24"/>
  <c r="AR241" i="24" s="1"/>
  <c r="S238" i="45"/>
  <c r="AM241" i="43"/>
  <c r="B237" i="45"/>
  <c r="ES240" i="43"/>
  <c r="BI239" i="24"/>
  <c r="T238" i="24"/>
  <c r="V238" i="24" s="1"/>
  <c r="E236" i="45"/>
  <c r="B236" i="45" s="1"/>
  <c r="DQ239" i="43"/>
  <c r="DR239" i="43" s="1"/>
  <c r="G239" i="43" s="1"/>
  <c r="HQ239" i="43" s="1"/>
  <c r="HR239" i="43" s="1"/>
  <c r="B235" i="45"/>
  <c r="P238" i="43"/>
  <c r="S235" i="45"/>
  <c r="ES238" i="43"/>
  <c r="B234" i="45"/>
  <c r="S234" i="45"/>
  <c r="AR237" i="24"/>
  <c r="AQ237" i="24"/>
  <c r="AS237" i="24"/>
  <c r="B233" i="45"/>
  <c r="CL236" i="43"/>
  <c r="P236" i="43"/>
  <c r="S233" i="45"/>
  <c r="AM236" i="43"/>
  <c r="DQ236" i="43"/>
  <c r="DR236" i="43" s="1"/>
  <c r="G236" i="43" s="1"/>
  <c r="HQ236" i="43" s="1"/>
  <c r="HR236" i="43" s="1"/>
  <c r="B232" i="45"/>
  <c r="S232" i="45"/>
  <c r="AM235" i="43"/>
  <c r="DQ235" i="43"/>
  <c r="DR235" i="43" s="1"/>
  <c r="G235" i="43" s="1"/>
  <c r="HQ235" i="43" s="1"/>
  <c r="HR235" i="43" s="1"/>
  <c r="ES234" i="43"/>
  <c r="CL234" i="43"/>
  <c r="P234" i="43"/>
  <c r="B231" i="45"/>
  <c r="S231" i="45"/>
  <c r="AM234" i="43"/>
  <c r="DQ234" i="43"/>
  <c r="DR234" i="43" s="1"/>
  <c r="G234" i="43" s="1"/>
  <c r="HQ234" i="43" s="1"/>
  <c r="HR234" i="43" s="1"/>
  <c r="B230" i="45"/>
  <c r="CL233" i="43"/>
  <c r="S230" i="45"/>
  <c r="AM233" i="43"/>
  <c r="DQ233" i="43"/>
  <c r="DR233" i="43" s="1"/>
  <c r="G233" i="43" s="1"/>
  <c r="HQ233" i="43" s="1"/>
  <c r="HR233" i="43" s="1"/>
  <c r="AR233" i="24"/>
  <c r="AS233" i="24"/>
  <c r="ES232" i="43"/>
  <c r="B229" i="45"/>
  <c r="CL232" i="43"/>
  <c r="DQ229" i="43"/>
  <c r="DR229" i="43" s="1"/>
  <c r="G229" i="43" s="1"/>
  <c r="HQ229" i="43" s="1"/>
  <c r="HR229" i="43" s="1"/>
  <c r="AM229" i="43"/>
  <c r="AM232" i="43"/>
  <c r="DQ232" i="43"/>
  <c r="DR232" i="43" s="1"/>
  <c r="G232" i="43" s="1"/>
  <c r="HQ232" i="43" s="1"/>
  <c r="HR232" i="43" s="1"/>
  <c r="S229" i="45"/>
  <c r="ES231" i="43"/>
  <c r="B228" i="45"/>
  <c r="S228" i="45"/>
  <c r="AM231" i="43"/>
  <c r="DQ231" i="43"/>
  <c r="DR231" i="43" s="1"/>
  <c r="G231" i="43" s="1"/>
  <c r="HQ231" i="43" s="1"/>
  <c r="HR231" i="43" s="1"/>
  <c r="ES230" i="43"/>
  <c r="CL230" i="43"/>
  <c r="ES229" i="43"/>
  <c r="B226" i="45"/>
  <c r="CL229" i="43"/>
  <c r="S227" i="45"/>
  <c r="AM230" i="43"/>
  <c r="DQ230" i="43"/>
  <c r="DR230" i="43" s="1"/>
  <c r="G230" i="43" s="1"/>
  <c r="HQ230" i="43" s="1"/>
  <c r="HR230" i="43" s="1"/>
  <c r="CL228" i="43"/>
  <c r="AR229" i="24"/>
  <c r="AQ229" i="24"/>
  <c r="AS229" i="24"/>
  <c r="S226" i="45"/>
  <c r="ES227" i="43"/>
  <c r="S225" i="45"/>
  <c r="AM228" i="43"/>
  <c r="DQ228" i="43"/>
  <c r="DR228" i="43" s="1"/>
  <c r="G228" i="43" s="1"/>
  <c r="HQ228" i="43" s="1"/>
  <c r="HR228" i="43" s="1"/>
  <c r="P227" i="43"/>
  <c r="CL226" i="43"/>
  <c r="AH223" i="45"/>
  <c r="AH222" i="45"/>
  <c r="AM226" i="43"/>
  <c r="DQ226" i="43"/>
  <c r="DR226" i="43" s="1"/>
  <c r="G226" i="43" s="1"/>
  <c r="HQ226" i="43" s="1"/>
  <c r="HR226" i="43" s="1"/>
  <c r="AR225" i="24"/>
  <c r="AP224" i="24"/>
  <c r="AR224" i="24" s="1"/>
  <c r="P224" i="43"/>
  <c r="AH221" i="45"/>
  <c r="ES223" i="43"/>
  <c r="P223" i="43"/>
  <c r="AM224" i="43"/>
  <c r="DQ224" i="43"/>
  <c r="DR224" i="43" s="1"/>
  <c r="G224" i="43" s="1"/>
  <c r="HQ224" i="43" s="1"/>
  <c r="HR224" i="43" s="1"/>
  <c r="AH220" i="45"/>
  <c r="ES222" i="43"/>
  <c r="P222" i="43"/>
  <c r="AH219" i="45"/>
  <c r="AH218" i="45"/>
  <c r="AM222" i="43"/>
  <c r="DQ222" i="43"/>
  <c r="DR222" i="43" s="1"/>
  <c r="G222" i="43" s="1"/>
  <c r="HQ222" i="43" s="1"/>
  <c r="HR222" i="43" s="1"/>
  <c r="ES221" i="43"/>
  <c r="BI220" i="24"/>
  <c r="T220" i="24"/>
  <c r="V220" i="24" s="1"/>
  <c r="CL220" i="43"/>
  <c r="AH217" i="45"/>
  <c r="AM221" i="43"/>
  <c r="DQ221" i="43"/>
  <c r="DR221" i="43" s="1"/>
  <c r="G221" i="43" s="1"/>
  <c r="HQ221" i="43" s="1"/>
  <c r="HR221" i="43" s="1"/>
  <c r="AP220" i="24"/>
  <c r="C14" i="44"/>
  <c r="ES220" i="43"/>
  <c r="AP219" i="24"/>
  <c r="AR219" i="24" s="1"/>
  <c r="T219" i="24"/>
  <c r="V219" i="24" s="1"/>
  <c r="C11" i="44"/>
  <c r="C15" i="44"/>
  <c r="ES219" i="43"/>
  <c r="AP218" i="24"/>
  <c r="AR218" i="24" s="1"/>
  <c r="C12" i="44"/>
  <c r="C13" i="44"/>
  <c r="T218" i="24"/>
  <c r="V218" i="24" s="1"/>
  <c r="BI218" i="24"/>
  <c r="P219" i="43"/>
  <c r="AH216" i="45"/>
  <c r="AM220" i="43"/>
  <c r="DQ220" i="43"/>
  <c r="DR220" i="43" s="1"/>
  <c r="G220" i="43" s="1"/>
  <c r="HQ220" i="43" s="1"/>
  <c r="HR220" i="43" s="1"/>
  <c r="HL356" i="43"/>
  <c r="HK356" i="43" s="1"/>
  <c r="HG356" i="43" s="1"/>
  <c r="HE334" i="43"/>
  <c r="HD334" i="43" s="1"/>
  <c r="GZ334" i="43" s="1"/>
  <c r="HE363" i="43"/>
  <c r="HD363" i="43" s="1"/>
  <c r="GZ363" i="43" s="1"/>
  <c r="HL337" i="43"/>
  <c r="HK337" i="43" s="1"/>
  <c r="HG337" i="43" s="1"/>
  <c r="HL357" i="43"/>
  <c r="HK357" i="43" s="1"/>
  <c r="HG357" i="43" s="1"/>
  <c r="GQ11" i="43"/>
  <c r="GP11" i="43" s="1"/>
  <c r="GL11" i="43" s="1"/>
  <c r="HL336" i="43"/>
  <c r="HK336" i="43" s="1"/>
  <c r="HG336" i="43" s="1"/>
  <c r="HE345" i="43"/>
  <c r="HD345" i="43" s="1"/>
  <c r="GZ345" i="43" s="1"/>
  <c r="HE330" i="43"/>
  <c r="HD330" i="43" s="1"/>
  <c r="GZ330" i="43" s="1"/>
  <c r="HL332" i="43"/>
  <c r="HK332" i="43" s="1"/>
  <c r="HG332" i="43" s="1"/>
  <c r="HE357" i="43"/>
  <c r="HD357" i="43" s="1"/>
  <c r="GZ357" i="43" s="1"/>
  <c r="HE362" i="43"/>
  <c r="HD362" i="43" s="1"/>
  <c r="GZ362" i="43" s="1"/>
  <c r="HL366" i="43"/>
  <c r="HK366" i="43" s="1"/>
  <c r="HG366" i="43" s="1"/>
  <c r="HE379" i="43"/>
  <c r="HD379" i="43" s="1"/>
  <c r="GZ379" i="43" s="1"/>
  <c r="B9" i="45"/>
  <c r="S9" i="45"/>
  <c r="DQ214" i="43"/>
  <c r="DR214" i="43" s="1"/>
  <c r="G214" i="43" s="1"/>
  <c r="HQ214" i="43" s="1"/>
  <c r="HR214" i="43" s="1"/>
  <c r="DQ215" i="43"/>
  <c r="DR215" i="43" s="1"/>
  <c r="ES218" i="43"/>
  <c r="AM218" i="43"/>
  <c r="AH214" i="45"/>
  <c r="AH215" i="45"/>
  <c r="DQ219" i="43"/>
  <c r="DR219" i="43" s="1"/>
  <c r="G219" i="43" s="1"/>
  <c r="HQ219" i="43" s="1"/>
  <c r="HR219" i="43" s="1"/>
  <c r="AM219" i="43"/>
  <c r="S216" i="45"/>
  <c r="T217" i="24"/>
  <c r="V217" i="24" s="1"/>
  <c r="BI217" i="24"/>
  <c r="FY218" i="43"/>
  <c r="CL218" i="43"/>
  <c r="T216" i="24"/>
  <c r="V216" i="24" s="1"/>
  <c r="BI216" i="24"/>
  <c r="ES217" i="43"/>
  <c r="T215" i="24"/>
  <c r="V215" i="24" s="1"/>
  <c r="BI215" i="24"/>
  <c r="ES215" i="43"/>
  <c r="P217" i="43"/>
  <c r="AH213" i="45"/>
  <c r="AM217" i="43"/>
  <c r="AQ217" i="24"/>
  <c r="FY216" i="43"/>
  <c r="CL216" i="43"/>
  <c r="P216" i="43"/>
  <c r="S213" i="45"/>
  <c r="AH212" i="45"/>
  <c r="AM216" i="43"/>
  <c r="AQ216" i="24"/>
  <c r="FY215" i="43"/>
  <c r="Z215" i="43"/>
  <c r="BQ215" i="43"/>
  <c r="B212" i="45"/>
  <c r="D9" i="22"/>
  <c r="K9" i="22"/>
  <c r="M9" i="22"/>
  <c r="C9" i="22"/>
  <c r="A10" i="22"/>
  <c r="S212" i="45"/>
  <c r="ES214" i="43"/>
  <c r="FY214" i="43"/>
  <c r="Z214" i="43"/>
  <c r="AH210" i="45"/>
  <c r="DQ213" i="43"/>
  <c r="DR213" i="43" s="1"/>
  <c r="G213" i="43" s="1"/>
  <c r="HQ213" i="43" s="1"/>
  <c r="HR213" i="43" s="1"/>
  <c r="ES213" i="43"/>
  <c r="FY213" i="43"/>
  <c r="AH209" i="45"/>
  <c r="AM213" i="43"/>
  <c r="AR213" i="24"/>
  <c r="FY212" i="43"/>
  <c r="P212" i="43"/>
  <c r="BQ212" i="43"/>
  <c r="S210" i="45"/>
  <c r="N346" i="45"/>
  <c r="S278" i="45"/>
  <c r="S348" i="45"/>
  <c r="FY310" i="43"/>
  <c r="FY312" i="43"/>
  <c r="FY309" i="43"/>
  <c r="FY305" i="43"/>
  <c r="FY314" i="43"/>
  <c r="FY306" i="43"/>
  <c r="FY308" i="43"/>
  <c r="FZ308" i="43" s="1"/>
  <c r="FY313" i="43"/>
  <c r="FY307" i="43"/>
  <c r="P308" i="43"/>
  <c r="P310" i="43"/>
  <c r="J310" i="43" s="1"/>
  <c r="P312" i="43"/>
  <c r="P306" i="43"/>
  <c r="Z307" i="43"/>
  <c r="BQ307" i="43"/>
  <c r="Z309" i="43"/>
  <c r="BQ309" i="43"/>
  <c r="Z311" i="43"/>
  <c r="CL311" i="43"/>
  <c r="P314" i="43"/>
  <c r="J314" i="43" s="1"/>
  <c r="B311" i="45"/>
  <c r="F307" i="45"/>
  <c r="B307" i="45" s="1"/>
  <c r="DE306" i="43"/>
  <c r="FO306" i="43"/>
  <c r="FO308" i="43"/>
  <c r="FO310" i="43"/>
  <c r="BQ311" i="43"/>
  <c r="FO312" i="43"/>
  <c r="P313" i="43"/>
  <c r="AH208" i="45"/>
  <c r="AM211" i="43"/>
  <c r="AM212" i="43"/>
  <c r="AQ212" i="24"/>
  <c r="ES212" i="43"/>
  <c r="FY211" i="43"/>
  <c r="Z211" i="43"/>
  <c r="BQ211" i="43"/>
  <c r="CL211" i="43"/>
  <c r="AI5" i="45"/>
  <c r="AI6" i="45"/>
  <c r="AI7" i="45"/>
  <c r="AH207" i="45"/>
  <c r="DQ211" i="43"/>
  <c r="DR211" i="43" s="1"/>
  <c r="G211" i="43" s="1"/>
  <c r="HQ211" i="43" s="1"/>
  <c r="HR211" i="43" s="1"/>
  <c r="FY210" i="43"/>
  <c r="CL210" i="43"/>
  <c r="Z210" i="43"/>
  <c r="ES209" i="43"/>
  <c r="AH206" i="45"/>
  <c r="DQ210" i="43"/>
  <c r="DR210" i="43" s="1"/>
  <c r="G210" i="43" s="1"/>
  <c r="HQ210" i="43" s="1"/>
  <c r="HR210" i="43" s="1"/>
  <c r="S207" i="45"/>
  <c r="FY209" i="43"/>
  <c r="P209" i="43"/>
  <c r="B206" i="45"/>
  <c r="E9" i="22"/>
  <c r="B9" i="22"/>
  <c r="AM209" i="43"/>
  <c r="AS209" i="24"/>
  <c r="AR209" i="24"/>
  <c r="AQ209" i="24"/>
  <c r="AP208" i="24"/>
  <c r="AQ208" i="24" s="1"/>
  <c r="FY208" i="43"/>
  <c r="B205" i="45"/>
  <c r="AS111" i="43"/>
  <c r="S21" i="45"/>
  <c r="S26" i="45"/>
  <c r="S28" i="45"/>
  <c r="S140" i="45"/>
  <c r="S157" i="45"/>
  <c r="S159" i="45"/>
  <c r="S161" i="45"/>
  <c r="S177" i="45"/>
  <c r="S176" i="45"/>
  <c r="S192" i="45"/>
  <c r="S196" i="45"/>
  <c r="S200" i="45"/>
  <c r="S209" i="45"/>
  <c r="S218" i="45"/>
  <c r="S222" i="45"/>
  <c r="S224" i="45"/>
  <c r="S268" i="45"/>
  <c r="S286" i="45"/>
  <c r="S285" i="45"/>
  <c r="S315" i="45"/>
  <c r="S320" i="45"/>
  <c r="S322" i="45"/>
  <c r="S341" i="45"/>
  <c r="S342" i="45"/>
  <c r="S343" i="45"/>
  <c r="S344" i="45"/>
  <c r="S376" i="45"/>
  <c r="GG169" i="43"/>
  <c r="GG170" i="43" s="1"/>
  <c r="GG171" i="43" s="1"/>
  <c r="GG172" i="43" s="1"/>
  <c r="GG173" i="43" s="1"/>
  <c r="GG174" i="43" s="1"/>
  <c r="GG175" i="43" s="1"/>
  <c r="GG176" i="43" s="1"/>
  <c r="GG177" i="43" s="1"/>
  <c r="GG178" i="43" s="1"/>
  <c r="GG179" i="43" s="1"/>
  <c r="GG180" i="43" s="1"/>
  <c r="GG181" i="43" s="1"/>
  <c r="GG182" i="43" s="1"/>
  <c r="GG183" i="43" s="1"/>
  <c r="GG184" i="43" s="1"/>
  <c r="GG185" i="43" s="1"/>
  <c r="GG186" i="43" s="1"/>
  <c r="GG187" i="43" s="1"/>
  <c r="GG188" i="43" s="1"/>
  <c r="GG189" i="43" s="1"/>
  <c r="GG190" i="43" s="1"/>
  <c r="GG191" i="43" s="1"/>
  <c r="GG192" i="43" s="1"/>
  <c r="GG193" i="43" s="1"/>
  <c r="GG194" i="43" s="1"/>
  <c r="GG195" i="43" s="1"/>
  <c r="GG196" i="43" s="1"/>
  <c r="GG197" i="43" s="1"/>
  <c r="GG198" i="43" s="1"/>
  <c r="GG199" i="43" s="1"/>
  <c r="GG200" i="43" s="1"/>
  <c r="GG201" i="43" s="1"/>
  <c r="GG202" i="43" s="1"/>
  <c r="GG203" i="43" s="1"/>
  <c r="GG204" i="43" s="1"/>
  <c r="GG205" i="43" s="1"/>
  <c r="GG206" i="43" s="1"/>
  <c r="GG207" i="43" s="1"/>
  <c r="GG208" i="43" s="1"/>
  <c r="GG209" i="43" s="1"/>
  <c r="GG210" i="43" s="1"/>
  <c r="GG211" i="43" s="1"/>
  <c r="GG212" i="43" s="1"/>
  <c r="GG213" i="43" s="1"/>
  <c r="GG214" i="43" s="1"/>
  <c r="GG215" i="43" s="1"/>
  <c r="GG216" i="43" s="1"/>
  <c r="GG217" i="43" s="1"/>
  <c r="GG218" i="43" s="1"/>
  <c r="GG219" i="43" s="1"/>
  <c r="GG220" i="43" s="1"/>
  <c r="GG221" i="43" s="1"/>
  <c r="GG222" i="43" s="1"/>
  <c r="GG223" i="43" s="1"/>
  <c r="GG224" i="43" s="1"/>
  <c r="GG225" i="43" s="1"/>
  <c r="GG226" i="43" s="1"/>
  <c r="GG227" i="43" s="1"/>
  <c r="GG228" i="43" s="1"/>
  <c r="GG229" i="43" s="1"/>
  <c r="GG230" i="43" s="1"/>
  <c r="GG231" i="43" s="1"/>
  <c r="GG232" i="43" s="1"/>
  <c r="GG233" i="43" s="1"/>
  <c r="GG234" i="43" s="1"/>
  <c r="GG235" i="43" s="1"/>
  <c r="GG236" i="43" s="1"/>
  <c r="GG237" i="43" s="1"/>
  <c r="GG238" i="43" s="1"/>
  <c r="GG239" i="43" s="1"/>
  <c r="GG240" i="43" s="1"/>
  <c r="GG241" i="43" s="1"/>
  <c r="GG242" i="43" s="1"/>
  <c r="GG243" i="43" s="1"/>
  <c r="GG244" i="43" s="1"/>
  <c r="GG245" i="43" s="1"/>
  <c r="GG246" i="43" s="1"/>
  <c r="GG247" i="43" s="1"/>
  <c r="GG248" i="43" s="1"/>
  <c r="GG249" i="43" s="1"/>
  <c r="GG250" i="43" s="1"/>
  <c r="GG251" i="43" s="1"/>
  <c r="GG252" i="43" s="1"/>
  <c r="GG253" i="43" s="1"/>
  <c r="GG254" i="43" s="1"/>
  <c r="GG255" i="43" s="1"/>
  <c r="GG256" i="43" s="1"/>
  <c r="GG257" i="43" s="1"/>
  <c r="GG258" i="43" s="1"/>
  <c r="GG259" i="43" s="1"/>
  <c r="GG260" i="43" s="1"/>
  <c r="GG261" i="43" s="1"/>
  <c r="GG262" i="43" s="1"/>
  <c r="GG263" i="43" s="1"/>
  <c r="GG264" i="43" s="1"/>
  <c r="GG265" i="43" s="1"/>
  <c r="GG266" i="43" s="1"/>
  <c r="GG267" i="43" s="1"/>
  <c r="GG268" i="43" s="1"/>
  <c r="GG269" i="43" s="1"/>
  <c r="GG270" i="43" s="1"/>
  <c r="GG271" i="43" s="1"/>
  <c r="GG272" i="43" s="1"/>
  <c r="GG273" i="43" s="1"/>
  <c r="GG274" i="43" s="1"/>
  <c r="GG275" i="43" s="1"/>
  <c r="GG276" i="43" s="1"/>
  <c r="GG277" i="43" s="1"/>
  <c r="GG278" i="43" s="1"/>
  <c r="GG279" i="43" s="1"/>
  <c r="GG280" i="43" s="1"/>
  <c r="GG281" i="43" s="1"/>
  <c r="GG282" i="43" s="1"/>
  <c r="GG283" i="43" s="1"/>
  <c r="GG284" i="43" s="1"/>
  <c r="GG285" i="43" s="1"/>
  <c r="GG286" i="43" s="1"/>
  <c r="GG287" i="43" s="1"/>
  <c r="GG288" i="43" s="1"/>
  <c r="GG289" i="43" s="1"/>
  <c r="GG290" i="43" s="1"/>
  <c r="GG291" i="43" s="1"/>
  <c r="GG292" i="43" s="1"/>
  <c r="GG293" i="43" s="1"/>
  <c r="GG294" i="43" s="1"/>
  <c r="GG295" i="43" s="1"/>
  <c r="GG296" i="43" s="1"/>
  <c r="GG297" i="43" s="1"/>
  <c r="GG298" i="43" s="1"/>
  <c r="GG299" i="43" s="1"/>
  <c r="GG300" i="43" s="1"/>
  <c r="GG301" i="43" s="1"/>
  <c r="GG302" i="43" s="1"/>
  <c r="GG303" i="43" s="1"/>
  <c r="GG304" i="43" s="1"/>
  <c r="GG305" i="43" s="1"/>
  <c r="GG306" i="43" s="1"/>
  <c r="GG307" i="43" s="1"/>
  <c r="GG308" i="43" s="1"/>
  <c r="GG309" i="43" s="1"/>
  <c r="GG310" i="43" s="1"/>
  <c r="GG311" i="43" s="1"/>
  <c r="GG312" i="43" s="1"/>
  <c r="GG313" i="43" s="1"/>
  <c r="GG314" i="43" s="1"/>
  <c r="GG315" i="43" s="1"/>
  <c r="GG316" i="43" s="1"/>
  <c r="GG317" i="43" s="1"/>
  <c r="GG318" i="43" s="1"/>
  <c r="GG319" i="43" s="1"/>
  <c r="GG320" i="43" s="1"/>
  <c r="GG321" i="43" s="1"/>
  <c r="GG322" i="43" s="1"/>
  <c r="GG323" i="43" s="1"/>
  <c r="GG324" i="43" s="1"/>
  <c r="GG325" i="43" s="1"/>
  <c r="GG326" i="43" s="1"/>
  <c r="GG327" i="43" s="1"/>
  <c r="GG328" i="43" s="1"/>
  <c r="GG329" i="43" s="1"/>
  <c r="GG330" i="43" s="1"/>
  <c r="GG331" i="43" s="1"/>
  <c r="GG332" i="43" s="1"/>
  <c r="GG333" i="43" s="1"/>
  <c r="GG334" i="43" s="1"/>
  <c r="GG335" i="43" s="1"/>
  <c r="GG336" i="43" s="1"/>
  <c r="GG337" i="43" s="1"/>
  <c r="GG338" i="43" s="1"/>
  <c r="GG339" i="43" s="1"/>
  <c r="GG340" i="43" s="1"/>
  <c r="GG341" i="43" s="1"/>
  <c r="GG342" i="43" s="1"/>
  <c r="GG343" i="43" s="1"/>
  <c r="GG344" i="43" s="1"/>
  <c r="GG345" i="43" s="1"/>
  <c r="GG346" i="43" s="1"/>
  <c r="GG347" i="43" s="1"/>
  <c r="GG348" i="43" s="1"/>
  <c r="GG349" i="43" s="1"/>
  <c r="GG350" i="43" s="1"/>
  <c r="GG351" i="43" s="1"/>
  <c r="GG352" i="43" s="1"/>
  <c r="GG353" i="43" s="1"/>
  <c r="GG354" i="43" s="1"/>
  <c r="GG355" i="43" s="1"/>
  <c r="GG356" i="43" s="1"/>
  <c r="GG357" i="43" s="1"/>
  <c r="GG358" i="43" s="1"/>
  <c r="GG359" i="43" s="1"/>
  <c r="GG360" i="43" s="1"/>
  <c r="GG361" i="43" s="1"/>
  <c r="GG362" i="43" s="1"/>
  <c r="GG363" i="43" s="1"/>
  <c r="GG364" i="43" s="1"/>
  <c r="GG365" i="43" s="1"/>
  <c r="GG366" i="43" s="1"/>
  <c r="GG367" i="43" s="1"/>
  <c r="GG368" i="43" s="1"/>
  <c r="GG369" i="43" s="1"/>
  <c r="GG370" i="43" s="1"/>
  <c r="GG371" i="43" s="1"/>
  <c r="GG372" i="43" s="1"/>
  <c r="GG373" i="43" s="1"/>
  <c r="GG374" i="43" s="1"/>
  <c r="GG375" i="43" s="1"/>
  <c r="GG376" i="43" s="1"/>
  <c r="GG377" i="43" s="1"/>
  <c r="GG378" i="43" s="1"/>
  <c r="GG379" i="43" s="1"/>
  <c r="GG380" i="43" s="1"/>
  <c r="GG381" i="43" s="1"/>
  <c r="S94" i="45"/>
  <c r="S98" i="45"/>
  <c r="S10" i="45"/>
  <c r="S12" i="45"/>
  <c r="S16" i="45"/>
  <c r="S32" i="45"/>
  <c r="S60" i="45"/>
  <c r="S64" i="45"/>
  <c r="S145" i="45"/>
  <c r="S146" i="45"/>
  <c r="S153" i="45"/>
  <c r="S164" i="45"/>
  <c r="S183" i="45"/>
  <c r="S184" i="45"/>
  <c r="S193" i="45"/>
  <c r="S197" i="45"/>
  <c r="S201" i="45"/>
  <c r="S219" i="45"/>
  <c r="S223" i="45"/>
  <c r="S259" i="45"/>
  <c r="S267" i="45"/>
  <c r="S271" i="45"/>
  <c r="S333" i="45"/>
  <c r="S345" i="45"/>
  <c r="S346" i="45"/>
  <c r="S347" i="45"/>
  <c r="S372" i="45"/>
  <c r="S377" i="45"/>
  <c r="S384" i="45"/>
  <c r="AG7" i="45"/>
  <c r="S114" i="45"/>
  <c r="S138" i="45"/>
  <c r="S188" i="45"/>
  <c r="S189" i="45"/>
  <c r="S335" i="45"/>
  <c r="S336" i="45"/>
  <c r="S337" i="45"/>
  <c r="S362" i="45"/>
  <c r="S363" i="45"/>
  <c r="S364" i="45"/>
  <c r="S365" i="45"/>
  <c r="S366" i="45"/>
  <c r="S44" i="45"/>
  <c r="S45" i="45"/>
  <c r="S58" i="45"/>
  <c r="S90" i="45"/>
  <c r="S130" i="45"/>
  <c r="S134" i="45"/>
  <c r="S62" i="45"/>
  <c r="S175" i="45"/>
  <c r="S190" i="45"/>
  <c r="S191" i="45"/>
  <c r="S195" i="45"/>
  <c r="S199" i="45"/>
  <c r="S208" i="45"/>
  <c r="S211" i="45"/>
  <c r="S217" i="45"/>
  <c r="S262" i="45"/>
  <c r="S261" i="45"/>
  <c r="S275" i="45"/>
  <c r="S279" i="45"/>
  <c r="S284" i="45"/>
  <c r="S290" i="45"/>
  <c r="S324" i="45"/>
  <c r="S327" i="45"/>
  <c r="S328" i="45"/>
  <c r="S329" i="45"/>
  <c r="S330" i="45"/>
  <c r="S331" i="45"/>
  <c r="S339" i="45"/>
  <c r="S338" i="45"/>
  <c r="S350" i="45"/>
  <c r="S379" i="45"/>
  <c r="CL11" i="43"/>
  <c r="DW11" i="43"/>
  <c r="DX11" i="43" s="1"/>
  <c r="HE11" i="43"/>
  <c r="HD11" i="43" s="1"/>
  <c r="GZ11" i="43" s="1"/>
  <c r="DQ12" i="43"/>
  <c r="DR12" i="43" s="1"/>
  <c r="G12" i="43" s="1"/>
  <c r="HQ12" i="43" s="1"/>
  <c r="HR12" i="43" s="1"/>
  <c r="ES19" i="43"/>
  <c r="DW22" i="43"/>
  <c r="DX22" i="43" s="1"/>
  <c r="ES23" i="43"/>
  <c r="DW26" i="43"/>
  <c r="DX26" i="43" s="1"/>
  <c r="ES27" i="43"/>
  <c r="DW30" i="43"/>
  <c r="DX30" i="43" s="1"/>
  <c r="ES31" i="43"/>
  <c r="FZ83" i="43"/>
  <c r="S239" i="45"/>
  <c r="S280" i="45"/>
  <c r="HL11" i="43"/>
  <c r="HK11" i="43" s="1"/>
  <c r="HG11" i="43" s="1"/>
  <c r="AM24" i="43"/>
  <c r="AM28" i="43"/>
  <c r="AM32" i="43"/>
  <c r="I11" i="43"/>
  <c r="BQ11" i="43"/>
  <c r="DW12" i="43"/>
  <c r="DX12" i="43" s="1"/>
  <c r="DW13" i="43"/>
  <c r="DX13" i="43" s="1"/>
  <c r="DW14" i="43"/>
  <c r="DX14" i="43" s="1"/>
  <c r="DW15" i="43"/>
  <c r="DX15" i="43" s="1"/>
  <c r="DW16" i="43"/>
  <c r="DX16" i="43" s="1"/>
  <c r="DW17" i="43"/>
  <c r="DX17" i="43" s="1"/>
  <c r="DW18" i="43"/>
  <c r="DX18" i="43" s="1"/>
  <c r="DW20" i="43"/>
  <c r="DX20" i="43" s="1"/>
  <c r="AM21" i="43"/>
  <c r="AV23" i="43"/>
  <c r="DW24" i="43"/>
  <c r="DX24" i="43" s="1"/>
  <c r="AM25" i="43"/>
  <c r="ES25" i="43"/>
  <c r="AV27" i="43"/>
  <c r="DW28" i="43"/>
  <c r="DX28" i="43" s="1"/>
  <c r="AM29" i="43"/>
  <c r="ES29" i="43"/>
  <c r="AV31" i="43"/>
  <c r="DW32" i="43"/>
  <c r="DX32" i="43" s="1"/>
  <c r="AM33" i="43"/>
  <c r="ES33" i="43"/>
  <c r="Z11" i="43"/>
  <c r="GX11" i="43"/>
  <c r="GW11" i="43" s="1"/>
  <c r="GS11" i="43" s="1"/>
  <c r="AV20" i="43"/>
  <c r="DW21" i="43"/>
  <c r="DX21" i="43" s="1"/>
  <c r="AM22" i="43"/>
  <c r="ES22" i="43"/>
  <c r="AV24" i="43"/>
  <c r="DW25" i="43"/>
  <c r="DX25" i="43" s="1"/>
  <c r="AM26" i="43"/>
  <c r="ES26" i="43"/>
  <c r="DW29" i="43"/>
  <c r="DX29" i="43" s="1"/>
  <c r="AM30" i="43"/>
  <c r="ES30" i="43"/>
  <c r="DW33" i="43"/>
  <c r="DX33" i="43" s="1"/>
  <c r="AM34" i="43"/>
  <c r="ES34" i="43"/>
  <c r="FO64" i="43"/>
  <c r="FO65" i="43"/>
  <c r="FO66" i="43"/>
  <c r="FO67" i="43"/>
  <c r="FO68" i="43"/>
  <c r="FO69" i="43"/>
  <c r="FO70" i="43"/>
  <c r="FO71" i="43"/>
  <c r="FO72" i="43"/>
  <c r="FO73" i="43"/>
  <c r="Z75" i="43"/>
  <c r="CL75" i="43"/>
  <c r="DE76" i="43"/>
  <c r="P78" i="43"/>
  <c r="BQ78" i="43"/>
  <c r="Z79" i="43"/>
  <c r="CL79" i="43"/>
  <c r="DE80" i="43"/>
  <c r="P82" i="43"/>
  <c r="BQ82" i="43"/>
  <c r="Z83" i="43"/>
  <c r="CL83" i="43"/>
  <c r="DE84" i="43"/>
  <c r="P86" i="43"/>
  <c r="I86" i="43" s="1"/>
  <c r="BQ86" i="43"/>
  <c r="Z87" i="43"/>
  <c r="CL87" i="43"/>
  <c r="DE88" i="43"/>
  <c r="FO90" i="43"/>
  <c r="CL90" i="43"/>
  <c r="P91" i="43"/>
  <c r="BQ91" i="43"/>
  <c r="Z92" i="43"/>
  <c r="FO94" i="43"/>
  <c r="CL94" i="43"/>
  <c r="P95" i="43"/>
  <c r="BQ95" i="43"/>
  <c r="Z96" i="43"/>
  <c r="FO98" i="43"/>
  <c r="CL98" i="43"/>
  <c r="P99" i="43"/>
  <c r="BQ99" i="43"/>
  <c r="Z100" i="43"/>
  <c r="FO102" i="43"/>
  <c r="CL102" i="43"/>
  <c r="BQ103" i="43"/>
  <c r="Z104" i="43"/>
  <c r="FO106" i="43"/>
  <c r="CL106" i="43"/>
  <c r="BQ107" i="43"/>
  <c r="Z108" i="43"/>
  <c r="FO110" i="43"/>
  <c r="CL110" i="43"/>
  <c r="CL111" i="43"/>
  <c r="DW112" i="43"/>
  <c r="DX112" i="43" s="1"/>
  <c r="DW113" i="43"/>
  <c r="DX113" i="43" s="1"/>
  <c r="DW114" i="43"/>
  <c r="DX114" i="43" s="1"/>
  <c r="DW115" i="43"/>
  <c r="DX115" i="43" s="1"/>
  <c r="DW116" i="43"/>
  <c r="DX116" i="43" s="1"/>
  <c r="CL65" i="43"/>
  <c r="CL66" i="43"/>
  <c r="CL67" i="43"/>
  <c r="CL68" i="43"/>
  <c r="CL69" i="43"/>
  <c r="CL70" i="43"/>
  <c r="CL71" i="43"/>
  <c r="CL72" i="43"/>
  <c r="CL73" i="43"/>
  <c r="DQ73" i="43"/>
  <c r="DR73" i="43" s="1"/>
  <c r="G73" i="43" s="1"/>
  <c r="CL74" i="43"/>
  <c r="DE75" i="43"/>
  <c r="P77" i="43"/>
  <c r="BQ77" i="43"/>
  <c r="Z78" i="43"/>
  <c r="CL78" i="43"/>
  <c r="DE79" i="43"/>
  <c r="P81" i="43"/>
  <c r="I81" i="43" s="1"/>
  <c r="BQ81" i="43"/>
  <c r="Z82" i="43"/>
  <c r="CL82" i="43"/>
  <c r="DE83" i="43"/>
  <c r="P85" i="43"/>
  <c r="BQ85" i="43"/>
  <c r="Z86" i="43"/>
  <c r="CL86" i="43"/>
  <c r="DE87" i="43"/>
  <c r="FO89" i="43"/>
  <c r="CL89" i="43"/>
  <c r="P90" i="43"/>
  <c r="Z91" i="43"/>
  <c r="FO93" i="43"/>
  <c r="CL93" i="43"/>
  <c r="P94" i="43"/>
  <c r="Z95" i="43"/>
  <c r="FO97" i="43"/>
  <c r="CL97" i="43"/>
  <c r="P98" i="43"/>
  <c r="Z99" i="43"/>
  <c r="FO101" i="43"/>
  <c r="CL101" i="43"/>
  <c r="P102" i="43"/>
  <c r="Z103" i="43"/>
  <c r="FO105" i="43"/>
  <c r="CL105" i="43"/>
  <c r="P106" i="43"/>
  <c r="Z107" i="43"/>
  <c r="FO109" i="43"/>
  <c r="CL109" i="43"/>
  <c r="P110" i="43"/>
  <c r="J110" i="43" s="1"/>
  <c r="BQ110" i="43"/>
  <c r="Z111" i="43"/>
  <c r="DW111" i="43"/>
  <c r="DX111" i="43" s="1"/>
  <c r="DW117" i="43"/>
  <c r="DX117" i="43" s="1"/>
  <c r="AM118" i="43"/>
  <c r="ES118" i="43"/>
  <c r="DW119" i="43"/>
  <c r="DX119" i="43" s="1"/>
  <c r="AM120" i="43"/>
  <c r="AM121" i="43"/>
  <c r="AM60" i="43"/>
  <c r="AM76" i="43"/>
  <c r="DE78" i="43"/>
  <c r="AM80" i="43"/>
  <c r="DE82" i="43"/>
  <c r="AM84" i="43"/>
  <c r="DE86" i="43"/>
  <c r="P88" i="43"/>
  <c r="AM88" i="43"/>
  <c r="FO92" i="43"/>
  <c r="CL92" i="43"/>
  <c r="FO96" i="43"/>
  <c r="CL96" i="43"/>
  <c r="FO100" i="43"/>
  <c r="CL100" i="43"/>
  <c r="FO104" i="43"/>
  <c r="CL104" i="43"/>
  <c r="P105" i="43"/>
  <c r="FO108" i="43"/>
  <c r="CL108" i="43"/>
  <c r="P109" i="43"/>
  <c r="J109" i="43" s="1"/>
  <c r="ES112" i="43"/>
  <c r="ES113" i="43"/>
  <c r="ES114" i="43"/>
  <c r="ES115" i="43"/>
  <c r="ES116" i="43"/>
  <c r="M139" i="43"/>
  <c r="Z57" i="43"/>
  <c r="Z58" i="43"/>
  <c r="Z59" i="43"/>
  <c r="Z60" i="43"/>
  <c r="Z61" i="43"/>
  <c r="Z62" i="43"/>
  <c r="Z63" i="43"/>
  <c r="Z64" i="43"/>
  <c r="Z65" i="43"/>
  <c r="Z66" i="43"/>
  <c r="Z67" i="43"/>
  <c r="Z68" i="43"/>
  <c r="Z69" i="43"/>
  <c r="Z70" i="43"/>
  <c r="Z71" i="43"/>
  <c r="Z72" i="43"/>
  <c r="Z73" i="43"/>
  <c r="Z74" i="43"/>
  <c r="BQ74" i="43"/>
  <c r="DE77" i="43"/>
  <c r="DE81" i="43"/>
  <c r="DE85" i="43"/>
  <c r="FO91" i="43"/>
  <c r="CL91" i="43"/>
  <c r="BQ92" i="43"/>
  <c r="FO95" i="43"/>
  <c r="CL95" i="43"/>
  <c r="BQ96" i="43"/>
  <c r="FO99" i="43"/>
  <c r="CL99" i="43"/>
  <c r="BQ100" i="43"/>
  <c r="FO103" i="43"/>
  <c r="CL103" i="43"/>
  <c r="FO107" i="43"/>
  <c r="CL107" i="43"/>
  <c r="BQ111" i="43"/>
  <c r="FO111" i="43"/>
  <c r="AM117" i="43"/>
  <c r="FO128" i="43"/>
  <c r="FO129" i="43"/>
  <c r="FO130" i="43"/>
  <c r="FO131" i="43"/>
  <c r="ES139" i="43"/>
  <c r="ES140" i="43"/>
  <c r="ES141" i="43"/>
  <c r="ES142" i="43"/>
  <c r="FZ126" i="43"/>
  <c r="AM144" i="43"/>
  <c r="AM125" i="43"/>
  <c r="Z112" i="43"/>
  <c r="Z113" i="43"/>
  <c r="Z114" i="43"/>
  <c r="Z115" i="43"/>
  <c r="Z116" i="43"/>
  <c r="Z117" i="43"/>
  <c r="Z118" i="43"/>
  <c r="Z119" i="43"/>
  <c r="Z120" i="43"/>
  <c r="Z121" i="43"/>
  <c r="Z122" i="43"/>
  <c r="Z123" i="43"/>
  <c r="Z124" i="43"/>
  <c r="Z125" i="43"/>
  <c r="Z126" i="43"/>
  <c r="Z127" i="43"/>
  <c r="Z128" i="43"/>
  <c r="Z129" i="43"/>
  <c r="Z130" i="43"/>
  <c r="Z131" i="43"/>
  <c r="DW132" i="43"/>
  <c r="DX132" i="43" s="1"/>
  <c r="DW133" i="43"/>
  <c r="DX133" i="43" s="1"/>
  <c r="DW134" i="43"/>
  <c r="DX134" i="43" s="1"/>
  <c r="DW135" i="43"/>
  <c r="DX135" i="43" s="1"/>
  <c r="DW136" i="43"/>
  <c r="DX136" i="43" s="1"/>
  <c r="DW137" i="43"/>
  <c r="DX137" i="43" s="1"/>
  <c r="DW138" i="43"/>
  <c r="DX138" i="43" s="1"/>
  <c r="BQ161" i="43"/>
  <c r="DQ161" i="43"/>
  <c r="DR161" i="43" s="1"/>
  <c r="G161" i="43" s="1"/>
  <c r="HQ161" i="43" s="1"/>
  <c r="HR161" i="43" s="1"/>
  <c r="FO161" i="43"/>
  <c r="AM162" i="43"/>
  <c r="DQ163" i="43"/>
  <c r="DR163" i="43" s="1"/>
  <c r="G163" i="43" s="1"/>
  <c r="HQ163" i="43" s="1"/>
  <c r="HR163" i="43" s="1"/>
  <c r="FO163" i="43"/>
  <c r="AM164" i="43"/>
  <c r="BQ168" i="43"/>
  <c r="FO168" i="43"/>
  <c r="AM169" i="43"/>
  <c r="DQ171" i="43"/>
  <c r="DR171" i="43" s="1"/>
  <c r="G171" i="43" s="1"/>
  <c r="HQ171" i="43" s="1"/>
  <c r="HR171" i="43" s="1"/>
  <c r="DE172" i="43"/>
  <c r="AM173" i="43"/>
  <c r="DQ175" i="43"/>
  <c r="DR175" i="43" s="1"/>
  <c r="G175" i="43" s="1"/>
  <c r="HQ175" i="43" s="1"/>
  <c r="HR175" i="43" s="1"/>
  <c r="DE176" i="43"/>
  <c r="AM177" i="43"/>
  <c r="DQ179" i="43"/>
  <c r="DR179" i="43" s="1"/>
  <c r="G179" i="43" s="1"/>
  <c r="HQ179" i="43" s="1"/>
  <c r="HR179" i="43" s="1"/>
  <c r="DE180" i="43"/>
  <c r="AM181" i="43"/>
  <c r="DQ183" i="43"/>
  <c r="DR183" i="43" s="1"/>
  <c r="G183" i="43" s="1"/>
  <c r="HQ183" i="43" s="1"/>
  <c r="HR183" i="43" s="1"/>
  <c r="DE184" i="43"/>
  <c r="AM185" i="43"/>
  <c r="DQ189" i="43"/>
  <c r="DR189" i="43" s="1"/>
  <c r="G189" i="43" s="1"/>
  <c r="HQ189" i="43" s="1"/>
  <c r="HR189" i="43" s="1"/>
  <c r="DQ193" i="43"/>
  <c r="DR193" i="43" s="1"/>
  <c r="G193" i="43" s="1"/>
  <c r="HQ193" i="43" s="1"/>
  <c r="HR193" i="43" s="1"/>
  <c r="DW195" i="43"/>
  <c r="DX195" i="43" s="1"/>
  <c r="AM158" i="43"/>
  <c r="DE161" i="43"/>
  <c r="DE163" i="43"/>
  <c r="DE165" i="43"/>
  <c r="DE167" i="43"/>
  <c r="Z168" i="43"/>
  <c r="DE168" i="43"/>
  <c r="FO170" i="43"/>
  <c r="DE171" i="43"/>
  <c r="Z172" i="43"/>
  <c r="FO174" i="43"/>
  <c r="DE175" i="43"/>
  <c r="Z176" i="43"/>
  <c r="BQ178" i="43"/>
  <c r="FO178" i="43"/>
  <c r="DE179" i="43"/>
  <c r="Z180" i="43"/>
  <c r="BQ182" i="43"/>
  <c r="FO182" i="43"/>
  <c r="DE183" i="43"/>
  <c r="Z184" i="43"/>
  <c r="DQ186" i="43"/>
  <c r="DR186" i="43" s="1"/>
  <c r="G186" i="43" s="1"/>
  <c r="HQ186" i="43" s="1"/>
  <c r="HR186" i="43" s="1"/>
  <c r="FO187" i="43"/>
  <c r="BQ187" i="43"/>
  <c r="CL187" i="43"/>
  <c r="Z187" i="43"/>
  <c r="AM187" i="43"/>
  <c r="FO191" i="43"/>
  <c r="BQ191" i="43"/>
  <c r="CL191" i="43"/>
  <c r="Z191" i="43"/>
  <c r="AM191" i="43"/>
  <c r="Z132" i="43"/>
  <c r="Z133" i="43"/>
  <c r="Z134" i="43"/>
  <c r="Z135" i="43"/>
  <c r="Z136" i="43"/>
  <c r="Z137" i="43"/>
  <c r="Z138" i="43"/>
  <c r="Z139" i="43"/>
  <c r="Z140" i="43"/>
  <c r="Z141" i="43"/>
  <c r="Z142" i="43"/>
  <c r="Z143" i="43"/>
  <c r="Z144" i="43"/>
  <c r="Z145" i="43"/>
  <c r="Z146" i="43"/>
  <c r="Z147" i="43"/>
  <c r="Z148" i="43"/>
  <c r="Z149" i="43"/>
  <c r="Z150" i="43"/>
  <c r="Z151" i="43"/>
  <c r="Z152" i="43"/>
  <c r="Z153" i="43"/>
  <c r="Z154" i="43"/>
  <c r="Z155" i="43"/>
  <c r="Z156" i="43"/>
  <c r="Z157" i="43"/>
  <c r="Z158" i="43"/>
  <c r="BQ158" i="43"/>
  <c r="Z159" i="43"/>
  <c r="BQ160" i="43"/>
  <c r="FO160" i="43"/>
  <c r="Z161" i="43"/>
  <c r="BQ162" i="43"/>
  <c r="FO162" i="43"/>
  <c r="Z163" i="43"/>
  <c r="Z165" i="43"/>
  <c r="Z167" i="43"/>
  <c r="DE170" i="43"/>
  <c r="Z171" i="43"/>
  <c r="CL172" i="43"/>
  <c r="DE174" i="43"/>
  <c r="Z175" i="43"/>
  <c r="CL176" i="43"/>
  <c r="FO177" i="43"/>
  <c r="DE178" i="43"/>
  <c r="Z179" i="43"/>
  <c r="CL180" i="43"/>
  <c r="BQ181" i="43"/>
  <c r="FO181" i="43"/>
  <c r="DE182" i="43"/>
  <c r="Z183" i="43"/>
  <c r="CL184" i="43"/>
  <c r="DW194" i="43"/>
  <c r="DX194" i="43" s="1"/>
  <c r="BQ172" i="43"/>
  <c r="BQ176" i="43"/>
  <c r="BQ180" i="43"/>
  <c r="BQ184" i="43"/>
  <c r="BQ186" i="43"/>
  <c r="DE186" i="43"/>
  <c r="DW186" i="43"/>
  <c r="DX186" i="43" s="1"/>
  <c r="ES186" i="43"/>
  <c r="DE187" i="43"/>
  <c r="CL190" i="43"/>
  <c r="Z190" i="43"/>
  <c r="ES190" i="43"/>
  <c r="DE191" i="43"/>
  <c r="AV192" i="43"/>
  <c r="BO194" i="43"/>
  <c r="CJ194" i="43"/>
  <c r="BQ188" i="43"/>
  <c r="FO188" i="43"/>
  <c r="BQ192" i="43"/>
  <c r="FO192" i="43"/>
  <c r="Z194" i="43"/>
  <c r="Z195" i="43"/>
  <c r="CJ195" i="43"/>
  <c r="Z196" i="43"/>
  <c r="CJ196" i="43"/>
  <c r="Z197" i="43"/>
  <c r="CJ197" i="43"/>
  <c r="Z198" i="43"/>
  <c r="CJ198" i="43"/>
  <c r="Z199" i="43"/>
  <c r="CL199" i="43"/>
  <c r="CL200" i="43"/>
  <c r="CL201" i="43"/>
  <c r="CL202" i="43"/>
  <c r="CL203" i="43"/>
  <c r="CL204" i="43"/>
  <c r="CL205" i="43"/>
  <c r="AJ206" i="43"/>
  <c r="AK206" i="43" s="1"/>
  <c r="C203" i="45" s="1"/>
  <c r="AJ207" i="43"/>
  <c r="AK207" i="43" s="1"/>
  <c r="CL207" i="43"/>
  <c r="FO207" i="43"/>
  <c r="Z208" i="43"/>
  <c r="BO208" i="43"/>
  <c r="CL208" i="43"/>
  <c r="CL209" i="43"/>
  <c r="T210" i="43"/>
  <c r="AJ210" i="43"/>
  <c r="AK210" i="43" s="1"/>
  <c r="C207" i="45" s="1"/>
  <c r="AV210" i="43"/>
  <c r="BQ210" i="43"/>
  <c r="DE211" i="43"/>
  <c r="Z212" i="43"/>
  <c r="CJ212" i="43"/>
  <c r="CL213" i="43"/>
  <c r="T214" i="43"/>
  <c r="AJ214" i="43"/>
  <c r="AK214" i="43" s="1"/>
  <c r="C211" i="45" s="1"/>
  <c r="AV214" i="43"/>
  <c r="BQ214" i="43"/>
  <c r="DE215" i="43"/>
  <c r="Z216" i="43"/>
  <c r="DE216" i="43"/>
  <c r="FO216" i="43"/>
  <c r="Z217" i="43"/>
  <c r="DE217" i="43"/>
  <c r="FO217" i="43"/>
  <c r="Z218" i="43"/>
  <c r="DE218" i="43"/>
  <c r="FO218" i="43"/>
  <c r="Z219" i="43"/>
  <c r="DE219" i="43"/>
  <c r="FO219" i="43"/>
  <c r="Z220" i="43"/>
  <c r="DE220" i="43"/>
  <c r="FO220" i="43"/>
  <c r="Z221" i="43"/>
  <c r="DE221" i="43"/>
  <c r="FO221" i="43"/>
  <c r="Z222" i="43"/>
  <c r="DE222" i="43"/>
  <c r="FO222" i="43"/>
  <c r="Z223" i="43"/>
  <c r="DE223" i="43"/>
  <c r="FO223" i="43"/>
  <c r="Z224" i="43"/>
  <c r="DE224" i="43"/>
  <c r="FO224" i="43"/>
  <c r="Z225" i="43"/>
  <c r="DE225" i="43"/>
  <c r="FO225" i="43"/>
  <c r="Z226" i="43"/>
  <c r="DE226" i="43"/>
  <c r="FO226" i="43"/>
  <c r="Z227" i="43"/>
  <c r="DE227" i="43"/>
  <c r="FO227" i="43"/>
  <c r="Z228" i="43"/>
  <c r="DE228" i="43"/>
  <c r="FO228" i="43"/>
  <c r="Z229" i="43"/>
  <c r="DE229" i="43"/>
  <c r="FO229" i="43"/>
  <c r="Z230" i="43"/>
  <c r="DE230" i="43"/>
  <c r="FO230" i="43"/>
  <c r="Z231" i="43"/>
  <c r="DE231" i="43"/>
  <c r="FO231" i="43"/>
  <c r="Z232" i="43"/>
  <c r="DE232" i="43"/>
  <c r="FO232" i="43"/>
  <c r="Z233" i="43"/>
  <c r="DE233" i="43"/>
  <c r="FO233" i="43"/>
  <c r="Z234" i="43"/>
  <c r="DE234" i="43"/>
  <c r="FO234" i="43"/>
  <c r="Z235" i="43"/>
  <c r="DE235" i="43"/>
  <c r="FO235" i="43"/>
  <c r="Z236" i="43"/>
  <c r="DE236" i="43"/>
  <c r="CJ237" i="43"/>
  <c r="AM238" i="43"/>
  <c r="CL238" i="43"/>
  <c r="DW238" i="43"/>
  <c r="DX238" i="43" s="1"/>
  <c r="FO239" i="43"/>
  <c r="DE239" i="43"/>
  <c r="Z239" i="43"/>
  <c r="AJ239" i="43"/>
  <c r="AK239" i="43" s="1"/>
  <c r="C236" i="45" s="1"/>
  <c r="BQ239" i="43"/>
  <c r="FO240" i="43"/>
  <c r="DE240" i="43"/>
  <c r="Z240" i="43"/>
  <c r="CL240" i="43"/>
  <c r="BO240" i="43"/>
  <c r="AV240" i="43"/>
  <c r="AJ240" i="43"/>
  <c r="AK240" i="43" s="1"/>
  <c r="C237" i="45" s="1"/>
  <c r="T240" i="43"/>
  <c r="CJ240" i="43"/>
  <c r="AM243" i="43"/>
  <c r="DW243" i="43"/>
  <c r="DX243" i="43" s="1"/>
  <c r="FO244" i="43"/>
  <c r="DE244" i="43"/>
  <c r="Z244" i="43"/>
  <c r="CL244" i="43"/>
  <c r="BO244" i="43"/>
  <c r="AV244" i="43"/>
  <c r="AJ244" i="43"/>
  <c r="AK244" i="43" s="1"/>
  <c r="C241" i="45" s="1"/>
  <c r="T244" i="43"/>
  <c r="CJ244" i="43"/>
  <c r="AM246" i="43"/>
  <c r="CL194" i="43"/>
  <c r="CL195" i="43"/>
  <c r="CL196" i="43"/>
  <c r="CL197" i="43"/>
  <c r="CL198" i="43"/>
  <c r="AV199" i="43"/>
  <c r="BQ199" i="43"/>
  <c r="DC199" i="43"/>
  <c r="T200" i="43"/>
  <c r="AJ200" i="43"/>
  <c r="AK200" i="43" s="1"/>
  <c r="C197" i="45" s="1"/>
  <c r="AV200" i="43"/>
  <c r="BQ200" i="43"/>
  <c r="DC200" i="43"/>
  <c r="T201" i="43"/>
  <c r="AJ201" i="43"/>
  <c r="AK201" i="43" s="1"/>
  <c r="C198" i="45" s="1"/>
  <c r="AV201" i="43"/>
  <c r="BQ201" i="43"/>
  <c r="DC201" i="43"/>
  <c r="T202" i="43"/>
  <c r="AJ202" i="43"/>
  <c r="AK202" i="43" s="1"/>
  <c r="C199" i="45" s="1"/>
  <c r="AV202" i="43"/>
  <c r="BQ202" i="43"/>
  <c r="DC202" i="43"/>
  <c r="T203" i="43"/>
  <c r="AJ203" i="43"/>
  <c r="AK203" i="43" s="1"/>
  <c r="AV203" i="43"/>
  <c r="BQ203" i="43"/>
  <c r="DC203" i="43"/>
  <c r="T204" i="43"/>
  <c r="AJ204" i="43"/>
  <c r="AK204" i="43" s="1"/>
  <c r="C201" i="45" s="1"/>
  <c r="AV204" i="43"/>
  <c r="BQ204" i="43"/>
  <c r="DC204" i="43"/>
  <c r="T205" i="43"/>
  <c r="AJ205" i="43"/>
  <c r="AK205" i="43" s="1"/>
  <c r="AV205" i="43"/>
  <c r="BQ205" i="43"/>
  <c r="DC205" i="43"/>
  <c r="P206" i="43"/>
  <c r="AM206" i="43"/>
  <c r="T207" i="43"/>
  <c r="AM208" i="43"/>
  <c r="BO207" i="43"/>
  <c r="AV208" i="43"/>
  <c r="BQ208" i="43"/>
  <c r="FO208" i="43"/>
  <c r="T209" i="43"/>
  <c r="AJ209" i="43"/>
  <c r="AK209" i="43" s="1"/>
  <c r="C206" i="45" s="1"/>
  <c r="AV209" i="43"/>
  <c r="BQ209" i="43"/>
  <c r="DC209" i="43"/>
  <c r="DE210" i="43"/>
  <c r="CL212" i="43"/>
  <c r="T213" i="43"/>
  <c r="AJ213" i="43"/>
  <c r="AK213" i="43" s="1"/>
  <c r="C210" i="45" s="1"/>
  <c r="AV213" i="43"/>
  <c r="BQ213" i="43"/>
  <c r="DC213" i="43"/>
  <c r="DE214" i="43"/>
  <c r="CJ238" i="43"/>
  <c r="AM239" i="43"/>
  <c r="CL239" i="43"/>
  <c r="DW239" i="43"/>
  <c r="DX239" i="43" s="1"/>
  <c r="AM242" i="43"/>
  <c r="DW242" i="43"/>
  <c r="DX242" i="43" s="1"/>
  <c r="FO243" i="43"/>
  <c r="DE243" i="43"/>
  <c r="Z243" i="43"/>
  <c r="CL243" i="43"/>
  <c r="BO243" i="43"/>
  <c r="AV243" i="43"/>
  <c r="AJ243" i="43"/>
  <c r="AK243" i="43" s="1"/>
  <c r="C240" i="45" s="1"/>
  <c r="T243" i="43"/>
  <c r="CJ243" i="43"/>
  <c r="DE200" i="43"/>
  <c r="FO200" i="43"/>
  <c r="DE201" i="43"/>
  <c r="FO201" i="43"/>
  <c r="DE202" i="43"/>
  <c r="FO202" i="43"/>
  <c r="DE203" i="43"/>
  <c r="FO203" i="43"/>
  <c r="DE204" i="43"/>
  <c r="FO204" i="43"/>
  <c r="DE205" i="43"/>
  <c r="FO205" i="43"/>
  <c r="Z207" i="43"/>
  <c r="DE209" i="43"/>
  <c r="FO209" i="43"/>
  <c r="AM210" i="43"/>
  <c r="DQ212" i="43"/>
  <c r="DR212" i="43" s="1"/>
  <c r="G212" i="43" s="1"/>
  <c r="HQ212" i="43" s="1"/>
  <c r="HR212" i="43" s="1"/>
  <c r="DE213" i="43"/>
  <c r="FO213" i="43"/>
  <c r="AM214" i="43"/>
  <c r="FO237" i="43"/>
  <c r="DE237" i="43"/>
  <c r="Z237" i="43"/>
  <c r="BQ237" i="43"/>
  <c r="DQ237" i="43"/>
  <c r="DR237" i="43" s="1"/>
  <c r="G237" i="43" s="1"/>
  <c r="HQ237" i="43" s="1"/>
  <c r="HR237" i="43" s="1"/>
  <c r="CJ239" i="43"/>
  <c r="FO242" i="43"/>
  <c r="DE242" i="43"/>
  <c r="Z242" i="43"/>
  <c r="CL242" i="43"/>
  <c r="BO242" i="43"/>
  <c r="AV242" i="43"/>
  <c r="AJ242" i="43"/>
  <c r="AK242" i="43" s="1"/>
  <c r="C239" i="45" s="1"/>
  <c r="T242" i="43"/>
  <c r="CJ242" i="43"/>
  <c r="DE194" i="43"/>
  <c r="DE195" i="43"/>
  <c r="DE196" i="43"/>
  <c r="DE197" i="43"/>
  <c r="DE198" i="43"/>
  <c r="AV207" i="43"/>
  <c r="DE212" i="43"/>
  <c r="BQ236" i="43"/>
  <c r="AM237" i="43"/>
  <c r="CL237" i="43"/>
  <c r="FO238" i="43"/>
  <c r="DE238" i="43"/>
  <c r="Z238" i="43"/>
  <c r="BQ238" i="43"/>
  <c r="AV239" i="43"/>
  <c r="BO239" i="43"/>
  <c r="AM240" i="43"/>
  <c r="BQ240" i="43"/>
  <c r="FO241" i="43"/>
  <c r="DE241" i="43"/>
  <c r="Z241" i="43"/>
  <c r="CL241" i="43"/>
  <c r="BO241" i="43"/>
  <c r="AV241" i="43"/>
  <c r="AJ241" i="43"/>
  <c r="AK241" i="43" s="1"/>
  <c r="C238" i="45" s="1"/>
  <c r="T241" i="43"/>
  <c r="CJ241" i="43"/>
  <c r="AM244" i="43"/>
  <c r="BQ244" i="43"/>
  <c r="DW244" i="43"/>
  <c r="DX244" i="43" s="1"/>
  <c r="FO245" i="43"/>
  <c r="DE245" i="43"/>
  <c r="Z245" i="43"/>
  <c r="CL245" i="43"/>
  <c r="CJ245" i="43"/>
  <c r="CJ246" i="43"/>
  <c r="CJ247" i="43"/>
  <c r="CJ248" i="43"/>
  <c r="CJ249" i="43"/>
  <c r="CJ250" i="43"/>
  <c r="CJ251" i="43"/>
  <c r="CJ252" i="43"/>
  <c r="CJ253" i="43"/>
  <c r="CJ254" i="43"/>
  <c r="CJ255" i="43"/>
  <c r="CJ256" i="43"/>
  <c r="CJ257" i="43"/>
  <c r="CJ258" i="43"/>
  <c r="CJ259" i="43"/>
  <c r="CJ260" i="43"/>
  <c r="Z261" i="43"/>
  <c r="DE261" i="43"/>
  <c r="CJ262" i="43"/>
  <c r="AV263" i="43"/>
  <c r="AM265" i="43"/>
  <c r="DW265" i="43"/>
  <c r="DX265" i="43" s="1"/>
  <c r="FO266" i="43"/>
  <c r="DE266" i="43"/>
  <c r="Z266" i="43"/>
  <c r="CL266" i="43"/>
  <c r="CJ266" i="43"/>
  <c r="BO266" i="43"/>
  <c r="AJ266" i="43"/>
  <c r="AK266" i="43" s="1"/>
  <c r="C263" i="45" s="1"/>
  <c r="T266" i="43"/>
  <c r="AV267" i="43"/>
  <c r="T245" i="43"/>
  <c r="AJ245" i="43"/>
  <c r="AK245" i="43" s="1"/>
  <c r="C242" i="45" s="1"/>
  <c r="AV245" i="43"/>
  <c r="T246" i="43"/>
  <c r="AJ246" i="43"/>
  <c r="AK246" i="43" s="1"/>
  <c r="C243" i="45" s="1"/>
  <c r="AV246" i="43"/>
  <c r="CL246" i="43"/>
  <c r="T247" i="43"/>
  <c r="AJ247" i="43"/>
  <c r="AK247" i="43" s="1"/>
  <c r="C244" i="45" s="1"/>
  <c r="AV247" i="43"/>
  <c r="CL247" i="43"/>
  <c r="T248" i="43"/>
  <c r="AJ248" i="43"/>
  <c r="AK248" i="43" s="1"/>
  <c r="C245" i="45" s="1"/>
  <c r="AV248" i="43"/>
  <c r="CL248" i="43"/>
  <c r="T249" i="43"/>
  <c r="AJ249" i="43"/>
  <c r="AK249" i="43" s="1"/>
  <c r="C246" i="45" s="1"/>
  <c r="AV249" i="43"/>
  <c r="CL249" i="43"/>
  <c r="T250" i="43"/>
  <c r="AJ250" i="43"/>
  <c r="AK250" i="43" s="1"/>
  <c r="C247" i="45" s="1"/>
  <c r="AV250" i="43"/>
  <c r="CL250" i="43"/>
  <c r="T251" i="43"/>
  <c r="AJ251" i="43"/>
  <c r="AK251" i="43" s="1"/>
  <c r="C248" i="45" s="1"/>
  <c r="AV251" i="43"/>
  <c r="CL251" i="43"/>
  <c r="T252" i="43"/>
  <c r="AJ252" i="43"/>
  <c r="AK252" i="43" s="1"/>
  <c r="C249" i="45" s="1"/>
  <c r="AV252" i="43"/>
  <c r="CL252" i="43"/>
  <c r="T253" i="43"/>
  <c r="AJ253" i="43"/>
  <c r="AK253" i="43" s="1"/>
  <c r="C250" i="45" s="1"/>
  <c r="AV253" i="43"/>
  <c r="CL253" i="43"/>
  <c r="T254" i="43"/>
  <c r="AJ254" i="43"/>
  <c r="AK254" i="43" s="1"/>
  <c r="C251" i="45" s="1"/>
  <c r="CL254" i="43"/>
  <c r="T255" i="43"/>
  <c r="AJ255" i="43"/>
  <c r="AK255" i="43" s="1"/>
  <c r="C252" i="45" s="1"/>
  <c r="CL255" i="43"/>
  <c r="T256" i="43"/>
  <c r="AJ256" i="43"/>
  <c r="AK256" i="43" s="1"/>
  <c r="C253" i="45" s="1"/>
  <c r="CL256" i="43"/>
  <c r="T257" i="43"/>
  <c r="AJ257" i="43"/>
  <c r="AK257" i="43" s="1"/>
  <c r="C254" i="45" s="1"/>
  <c r="CL257" i="43"/>
  <c r="T258" i="43"/>
  <c r="AJ258" i="43"/>
  <c r="AK258" i="43" s="1"/>
  <c r="C255" i="45" s="1"/>
  <c r="CL258" i="43"/>
  <c r="T259" i="43"/>
  <c r="AJ259" i="43"/>
  <c r="AK259" i="43" s="1"/>
  <c r="C256" i="45" s="1"/>
  <c r="CL259" i="43"/>
  <c r="T260" i="43"/>
  <c r="AJ260" i="43"/>
  <c r="AK260" i="43" s="1"/>
  <c r="C257" i="45" s="1"/>
  <c r="CL260" i="43"/>
  <c r="ES261" i="43"/>
  <c r="FO261" i="43"/>
  <c r="DC262" i="43"/>
  <c r="BO262" i="43"/>
  <c r="AJ262" i="43"/>
  <c r="AK262" i="43" s="1"/>
  <c r="C259" i="45" s="1"/>
  <c r="T262" i="43"/>
  <c r="FO263" i="43"/>
  <c r="DE263" i="43"/>
  <c r="Z263" i="43"/>
  <c r="CL263" i="43"/>
  <c r="AM264" i="43"/>
  <c r="DW264" i="43"/>
  <c r="DX264" i="43" s="1"/>
  <c r="FO265" i="43"/>
  <c r="DE265" i="43"/>
  <c r="Z265" i="43"/>
  <c r="CL265" i="43"/>
  <c r="CJ265" i="43"/>
  <c r="BO265" i="43"/>
  <c r="AJ265" i="43"/>
  <c r="AK265" i="43" s="1"/>
  <c r="C262" i="45" s="1"/>
  <c r="T265" i="43"/>
  <c r="AV266" i="43"/>
  <c r="AM268" i="43"/>
  <c r="BQ246" i="43"/>
  <c r="BQ247" i="43"/>
  <c r="BQ248" i="43"/>
  <c r="BQ249" i="43"/>
  <c r="BQ250" i="43"/>
  <c r="BQ251" i="43"/>
  <c r="BQ252" i="43"/>
  <c r="BQ253" i="43"/>
  <c r="BQ254" i="43"/>
  <c r="BQ255" i="43"/>
  <c r="BQ256" i="43"/>
  <c r="BQ257" i="43"/>
  <c r="BQ258" i="43"/>
  <c r="BQ259" i="43"/>
  <c r="BQ260" i="43"/>
  <c r="CL261" i="43"/>
  <c r="FO264" i="43"/>
  <c r="DE264" i="43"/>
  <c r="Z264" i="43"/>
  <c r="CL264" i="43"/>
  <c r="CJ264" i="43"/>
  <c r="BO264" i="43"/>
  <c r="AJ264" i="43"/>
  <c r="AK264" i="43" s="1"/>
  <c r="C261" i="45" s="1"/>
  <c r="T264" i="43"/>
  <c r="AM267" i="43"/>
  <c r="FZ277" i="43"/>
  <c r="Z246" i="43"/>
  <c r="DE246" i="43"/>
  <c r="Z247" i="43"/>
  <c r="DE247" i="43"/>
  <c r="Z248" i="43"/>
  <c r="DE248" i="43"/>
  <c r="Z249" i="43"/>
  <c r="DE249" i="43"/>
  <c r="Z250" i="43"/>
  <c r="DE250" i="43"/>
  <c r="Z251" i="43"/>
  <c r="DE251" i="43"/>
  <c r="Z252" i="43"/>
  <c r="DE252" i="43"/>
  <c r="Z253" i="43"/>
  <c r="DE253" i="43"/>
  <c r="Z254" i="43"/>
  <c r="DE254" i="43"/>
  <c r="Z255" i="43"/>
  <c r="DE255" i="43"/>
  <c r="Z256" i="43"/>
  <c r="DE256" i="43"/>
  <c r="Z257" i="43"/>
  <c r="DE257" i="43"/>
  <c r="Z258" i="43"/>
  <c r="DE258" i="43"/>
  <c r="Z259" i="43"/>
  <c r="DE259" i="43"/>
  <c r="Z260" i="43"/>
  <c r="DE260" i="43"/>
  <c r="Z262" i="43"/>
  <c r="FO262" i="43"/>
  <c r="CJ263" i="43"/>
  <c r="BO263" i="43"/>
  <c r="AJ263" i="43"/>
  <c r="AK263" i="43" s="1"/>
  <c r="C260" i="45" s="1"/>
  <c r="T263" i="43"/>
  <c r="AV264" i="43"/>
  <c r="FO267" i="43"/>
  <c r="DE267" i="43"/>
  <c r="Z267" i="43"/>
  <c r="CL267" i="43"/>
  <c r="CJ267" i="43"/>
  <c r="BO267" i="43"/>
  <c r="AJ267" i="43"/>
  <c r="AK267" i="43" s="1"/>
  <c r="C264" i="45" s="1"/>
  <c r="T267" i="43"/>
  <c r="T268" i="43"/>
  <c r="AJ268" i="43"/>
  <c r="AK268" i="43" s="1"/>
  <c r="C265" i="45" s="1"/>
  <c r="BO268" i="43"/>
  <c r="CL268" i="43"/>
  <c r="DE269" i="43"/>
  <c r="FO269" i="43"/>
  <c r="T270" i="43"/>
  <c r="AJ270" i="43"/>
  <c r="AK270" i="43" s="1"/>
  <c r="C267" i="45" s="1"/>
  <c r="BO270" i="43"/>
  <c r="CL270" i="43"/>
  <c r="Z271" i="43"/>
  <c r="DE271" i="43"/>
  <c r="FO271" i="43"/>
  <c r="T272" i="43"/>
  <c r="AJ272" i="43"/>
  <c r="AK272" i="43" s="1"/>
  <c r="C269" i="45" s="1"/>
  <c r="CL272" i="43"/>
  <c r="T273" i="43"/>
  <c r="AJ273" i="43"/>
  <c r="AK273" i="43" s="1"/>
  <c r="C270" i="45" s="1"/>
  <c r="T274" i="43"/>
  <c r="AJ274" i="43"/>
  <c r="AK274" i="43" s="1"/>
  <c r="C271" i="45" s="1"/>
  <c r="BO274" i="43"/>
  <c r="Z275" i="43"/>
  <c r="DE275" i="43"/>
  <c r="FO275" i="43"/>
  <c r="T276" i="43"/>
  <c r="AJ276" i="43"/>
  <c r="AK276" i="43" s="1"/>
  <c r="C273" i="45" s="1"/>
  <c r="BO276" i="43"/>
  <c r="CL276" i="43"/>
  <c r="Z277" i="43"/>
  <c r="DE277" i="43"/>
  <c r="FO277" i="43"/>
  <c r="T278" i="43"/>
  <c r="AJ278" i="43"/>
  <c r="AK278" i="43" s="1"/>
  <c r="C275" i="45" s="1"/>
  <c r="BO278" i="43"/>
  <c r="CL278" i="43"/>
  <c r="Z279" i="43"/>
  <c r="DE279" i="43"/>
  <c r="FO279" i="43"/>
  <c r="T280" i="43"/>
  <c r="AJ280" i="43"/>
  <c r="AK280" i="43" s="1"/>
  <c r="C277" i="45" s="1"/>
  <c r="BO280" i="43"/>
  <c r="CL280" i="43"/>
  <c r="Z281" i="43"/>
  <c r="AM281" i="43"/>
  <c r="DE281" i="43"/>
  <c r="FO281" i="43"/>
  <c r="T282" i="43"/>
  <c r="AJ282" i="43"/>
  <c r="AK282" i="43" s="1"/>
  <c r="C279" i="45" s="1"/>
  <c r="CL282" i="43"/>
  <c r="Z283" i="43"/>
  <c r="AM283" i="43"/>
  <c r="DE283" i="43"/>
  <c r="FO283" i="43"/>
  <c r="T284" i="43"/>
  <c r="AJ284" i="43"/>
  <c r="AK284" i="43" s="1"/>
  <c r="C281" i="45" s="1"/>
  <c r="AV284" i="43"/>
  <c r="CL284" i="43"/>
  <c r="Z285" i="43"/>
  <c r="AM285" i="43"/>
  <c r="DE285" i="43"/>
  <c r="FO285" i="43"/>
  <c r="T286" i="43"/>
  <c r="AJ286" i="43"/>
  <c r="AK286" i="43" s="1"/>
  <c r="C283" i="45" s="1"/>
  <c r="AV286" i="43"/>
  <c r="CL286" i="43"/>
  <c r="Z287" i="43"/>
  <c r="AM287" i="43"/>
  <c r="DE287" i="43"/>
  <c r="FO287" i="43"/>
  <c r="T288" i="43"/>
  <c r="AJ288" i="43"/>
  <c r="AK288" i="43" s="1"/>
  <c r="C285" i="45" s="1"/>
  <c r="AV288" i="43"/>
  <c r="CL288" i="43"/>
  <c r="Z289" i="43"/>
  <c r="DE289" i="43"/>
  <c r="FO289" i="43"/>
  <c r="T290" i="43"/>
  <c r="AJ290" i="43"/>
  <c r="AK290" i="43" s="1"/>
  <c r="C287" i="45" s="1"/>
  <c r="AV290" i="43"/>
  <c r="CL290" i="43"/>
  <c r="FO290" i="43"/>
  <c r="AM291" i="43"/>
  <c r="AM294" i="43"/>
  <c r="AM295" i="43"/>
  <c r="DW294" i="43"/>
  <c r="DX294" i="43" s="1"/>
  <c r="AM298" i="43"/>
  <c r="AM299" i="43"/>
  <c r="DW298" i="43"/>
  <c r="DX298" i="43" s="1"/>
  <c r="BQ268" i="43"/>
  <c r="BQ270" i="43"/>
  <c r="BQ272" i="43"/>
  <c r="DQ274" i="43"/>
  <c r="DR274" i="43" s="1"/>
  <c r="G274" i="43" s="1"/>
  <c r="HQ274" i="43" s="1"/>
  <c r="HR274" i="43" s="1"/>
  <c r="BQ276" i="43"/>
  <c r="BQ278" i="43"/>
  <c r="BQ280" i="43"/>
  <c r="BQ282" i="43"/>
  <c r="DQ282" i="43"/>
  <c r="DR282" i="43" s="1"/>
  <c r="G282" i="43" s="1"/>
  <c r="HQ282" i="43" s="1"/>
  <c r="HR282" i="43" s="1"/>
  <c r="BQ284" i="43"/>
  <c r="DQ284" i="43"/>
  <c r="DR284" i="43" s="1"/>
  <c r="G284" i="43" s="1"/>
  <c r="HQ284" i="43" s="1"/>
  <c r="HR284" i="43" s="1"/>
  <c r="BQ286" i="43"/>
  <c r="DQ286" i="43"/>
  <c r="DR286" i="43" s="1"/>
  <c r="G286" i="43" s="1"/>
  <c r="HQ286" i="43" s="1"/>
  <c r="HR286" i="43" s="1"/>
  <c r="BQ288" i="43"/>
  <c r="DQ288" i="43"/>
  <c r="DR288" i="43" s="1"/>
  <c r="G288" i="43" s="1"/>
  <c r="HQ288" i="43" s="1"/>
  <c r="HR288" i="43" s="1"/>
  <c r="BQ290" i="43"/>
  <c r="FO294" i="43"/>
  <c r="DE294" i="43"/>
  <c r="Z294" i="43"/>
  <c r="CL294" i="43"/>
  <c r="CJ294" i="43"/>
  <c r="BO294" i="43"/>
  <c r="AV294" i="43"/>
  <c r="AJ294" i="43"/>
  <c r="AK294" i="43" s="1"/>
  <c r="C291" i="45" s="1"/>
  <c r="T294" i="43"/>
  <c r="FO298" i="43"/>
  <c r="DE298" i="43"/>
  <c r="Z298" i="43"/>
  <c r="CL298" i="43"/>
  <c r="CJ298" i="43"/>
  <c r="BO298" i="43"/>
  <c r="AV298" i="43"/>
  <c r="AJ298" i="43"/>
  <c r="AK298" i="43" s="1"/>
  <c r="C295" i="45" s="1"/>
  <c r="T298" i="43"/>
  <c r="M308" i="43"/>
  <c r="Z268" i="43"/>
  <c r="DE268" i="43"/>
  <c r="CL269" i="43"/>
  <c r="Z270" i="43"/>
  <c r="BX270" i="43"/>
  <c r="CE270" i="43" s="1"/>
  <c r="DE270" i="43"/>
  <c r="CL271" i="43"/>
  <c r="Z272" i="43"/>
  <c r="BX272" i="43"/>
  <c r="CE272" i="43" s="1"/>
  <c r="Z276" i="43"/>
  <c r="DE276" i="43"/>
  <c r="CL277" i="43"/>
  <c r="Z278" i="43"/>
  <c r="DE278" i="43"/>
  <c r="CL279" i="43"/>
  <c r="Z280" i="43"/>
  <c r="DE280" i="43"/>
  <c r="CL281" i="43"/>
  <c r="DE282" i="43"/>
  <c r="CL283" i="43"/>
  <c r="DE284" i="43"/>
  <c r="CL285" i="43"/>
  <c r="CL287" i="43"/>
  <c r="CL289" i="43"/>
  <c r="Z290" i="43"/>
  <c r="DW290" i="43"/>
  <c r="DX290" i="43" s="1"/>
  <c r="AM292" i="43"/>
  <c r="AM293" i="43"/>
  <c r="AM296" i="43"/>
  <c r="AM297" i="43"/>
  <c r="FZ299" i="43"/>
  <c r="Z269" i="43"/>
  <c r="DE272" i="43"/>
  <c r="DQ291" i="43"/>
  <c r="DR291" i="43" s="1"/>
  <c r="G291" i="43" s="1"/>
  <c r="HQ291" i="43" s="1"/>
  <c r="HR291" i="43" s="1"/>
  <c r="FO292" i="43"/>
  <c r="DE292" i="43"/>
  <c r="Z292" i="43"/>
  <c r="CL292" i="43"/>
  <c r="CJ292" i="43"/>
  <c r="BO292" i="43"/>
  <c r="AV292" i="43"/>
  <c r="AJ292" i="43"/>
  <c r="AK292" i="43" s="1"/>
  <c r="C289" i="45" s="1"/>
  <c r="T292" i="43"/>
  <c r="FO296" i="43"/>
  <c r="DE296" i="43"/>
  <c r="Z296" i="43"/>
  <c r="CL296" i="43"/>
  <c r="CJ296" i="43"/>
  <c r="BO296" i="43"/>
  <c r="AV296" i="43"/>
  <c r="AJ296" i="43"/>
  <c r="AK296" i="43" s="1"/>
  <c r="C293" i="45" s="1"/>
  <c r="T296" i="43"/>
  <c r="T300" i="43"/>
  <c r="AJ300" i="43"/>
  <c r="AK300" i="43" s="1"/>
  <c r="C297" i="45" s="1"/>
  <c r="AV300" i="43"/>
  <c r="BO300" i="43"/>
  <c r="CL300" i="43"/>
  <c r="AM301" i="43"/>
  <c r="FO301" i="43"/>
  <c r="CJ304" i="43"/>
  <c r="T305" i="43"/>
  <c r="AJ305" i="43"/>
  <c r="AK305" i="43" s="1"/>
  <c r="C302" i="45" s="1"/>
  <c r="AV305" i="43"/>
  <c r="BO305" i="43"/>
  <c r="CL305" i="43"/>
  <c r="Z306" i="43"/>
  <c r="BQ306" i="43"/>
  <c r="DC306" i="43"/>
  <c r="AV307" i="43"/>
  <c r="BO307" i="43"/>
  <c r="CL307" i="43"/>
  <c r="AV308" i="43"/>
  <c r="BO308" i="43"/>
  <c r="CL308" i="43"/>
  <c r="AV309" i="43"/>
  <c r="BO309" i="43"/>
  <c r="CL309" i="43"/>
  <c r="AV310" i="43"/>
  <c r="BO310" i="43"/>
  <c r="AV311" i="43"/>
  <c r="BO311" i="43"/>
  <c r="AV312" i="43"/>
  <c r="BO312" i="43"/>
  <c r="AM313" i="43"/>
  <c r="DW313" i="43"/>
  <c r="DX313" i="43" s="1"/>
  <c r="DQ315" i="43"/>
  <c r="DR315" i="43" s="1"/>
  <c r="FO316" i="43"/>
  <c r="BQ316" i="43"/>
  <c r="Z316" i="43"/>
  <c r="DC316" i="43"/>
  <c r="CJ316" i="43"/>
  <c r="AJ316" i="43"/>
  <c r="AK316" i="43" s="1"/>
  <c r="AM317" i="43"/>
  <c r="DW317" i="43"/>
  <c r="DX317" i="43" s="1"/>
  <c r="CL318" i="43"/>
  <c r="DQ319" i="43"/>
  <c r="DR319" i="43" s="1"/>
  <c r="G319" i="43" s="1"/>
  <c r="DE320" i="43"/>
  <c r="FO320" i="43"/>
  <c r="BQ320" i="43"/>
  <c r="Z320" i="43"/>
  <c r="AV320" i="43"/>
  <c r="BO320" i="43"/>
  <c r="AV321" i="43"/>
  <c r="AV322" i="43"/>
  <c r="AV323" i="43"/>
  <c r="DQ324" i="43"/>
  <c r="DR324" i="43" s="1"/>
  <c r="G324" i="43" s="1"/>
  <c r="AM325" i="43"/>
  <c r="BQ300" i="43"/>
  <c r="CL302" i="43"/>
  <c r="CL303" i="43"/>
  <c r="CL304" i="43"/>
  <c r="BQ305" i="43"/>
  <c r="DQ305" i="43"/>
  <c r="DR305" i="43" s="1"/>
  <c r="G305" i="43" s="1"/>
  <c r="FO315" i="43"/>
  <c r="BQ315" i="43"/>
  <c r="Z315" i="43"/>
  <c r="DC315" i="43"/>
  <c r="CJ315" i="43"/>
  <c r="AJ315" i="43"/>
  <c r="AK315" i="43" s="1"/>
  <c r="C312" i="45" s="1"/>
  <c r="FO319" i="43"/>
  <c r="BQ319" i="43"/>
  <c r="Z319" i="43"/>
  <c r="DC319" i="43"/>
  <c r="CJ319" i="43"/>
  <c r="AJ319" i="43"/>
  <c r="AK319" i="43" s="1"/>
  <c r="C316" i="45" s="1"/>
  <c r="DQ321" i="43"/>
  <c r="DR321" i="43" s="1"/>
  <c r="G321" i="43" s="1"/>
  <c r="DQ322" i="43"/>
  <c r="DR322" i="43" s="1"/>
  <c r="G322" i="43" s="1"/>
  <c r="DQ323" i="43"/>
  <c r="DR323" i="43" s="1"/>
  <c r="G323" i="43" s="1"/>
  <c r="T297" i="43"/>
  <c r="AJ297" i="43"/>
  <c r="AK297" i="43" s="1"/>
  <c r="C294" i="45" s="1"/>
  <c r="AV297" i="43"/>
  <c r="BO297" i="43"/>
  <c r="T299" i="43"/>
  <c r="AJ299" i="43"/>
  <c r="AK299" i="43" s="1"/>
  <c r="C296" i="45" s="1"/>
  <c r="AV299" i="43"/>
  <c r="BO299" i="43"/>
  <c r="Z300" i="43"/>
  <c r="DE300" i="43"/>
  <c r="Z302" i="43"/>
  <c r="BQ302" i="43"/>
  <c r="Z303" i="43"/>
  <c r="BQ303" i="43"/>
  <c r="Z304" i="43"/>
  <c r="BQ304" i="43"/>
  <c r="Z305" i="43"/>
  <c r="DE305" i="43"/>
  <c r="T306" i="43"/>
  <c r="AJ306" i="43"/>
  <c r="AK306" i="43" s="1"/>
  <c r="C303" i="45" s="1"/>
  <c r="CJ306" i="43"/>
  <c r="T307" i="43"/>
  <c r="T308" i="43"/>
  <c r="T309" i="43"/>
  <c r="T310" i="43"/>
  <c r="T311" i="43"/>
  <c r="T312" i="43"/>
  <c r="DQ313" i="43"/>
  <c r="DR313" i="43" s="1"/>
  <c r="G313" i="43" s="1"/>
  <c r="HQ313" i="43" s="1"/>
  <c r="HR313" i="43" s="1"/>
  <c r="FO314" i="43"/>
  <c r="BQ314" i="43"/>
  <c r="Z314" i="43"/>
  <c r="DC314" i="43"/>
  <c r="CJ314" i="43"/>
  <c r="AJ314" i="43"/>
  <c r="AK314" i="43" s="1"/>
  <c r="AM315" i="43"/>
  <c r="DW315" i="43"/>
  <c r="DX315" i="43" s="1"/>
  <c r="DQ317" i="43"/>
  <c r="DR317" i="43" s="1"/>
  <c r="G317" i="43" s="1"/>
  <c r="HQ317" i="43" s="1"/>
  <c r="HR317" i="43" s="1"/>
  <c r="FO318" i="43"/>
  <c r="BQ318" i="43"/>
  <c r="Z318" i="43"/>
  <c r="DC318" i="43"/>
  <c r="CJ318" i="43"/>
  <c r="AJ318" i="43"/>
  <c r="AK318" i="43" s="1"/>
  <c r="AM319" i="43"/>
  <c r="DW319" i="43"/>
  <c r="DX319" i="43" s="1"/>
  <c r="T320" i="43"/>
  <c r="DW320" i="43"/>
  <c r="DX320" i="43" s="1"/>
  <c r="AM321" i="43"/>
  <c r="DW321" i="43"/>
  <c r="DX321" i="43" s="1"/>
  <c r="AM322" i="43"/>
  <c r="DW322" i="43"/>
  <c r="DX322" i="43" s="1"/>
  <c r="AM323" i="43"/>
  <c r="DW323" i="43"/>
  <c r="DX323" i="43" s="1"/>
  <c r="AM324" i="43"/>
  <c r="AM302" i="43"/>
  <c r="DE302" i="43"/>
  <c r="DE303" i="43"/>
  <c r="DE304" i="43"/>
  <c r="AV306" i="43"/>
  <c r="AJ307" i="43"/>
  <c r="AK307" i="43" s="1"/>
  <c r="C304" i="45" s="1"/>
  <c r="AJ308" i="43"/>
  <c r="AK308" i="43" s="1"/>
  <c r="C305" i="45" s="1"/>
  <c r="AJ309" i="43"/>
  <c r="AK309" i="43" s="1"/>
  <c r="C306" i="45" s="1"/>
  <c r="AJ310" i="43"/>
  <c r="AK310" i="43" s="1"/>
  <c r="AJ311" i="43"/>
  <c r="AK311" i="43" s="1"/>
  <c r="C308" i="45" s="1"/>
  <c r="AJ312" i="43"/>
  <c r="AK312" i="43" s="1"/>
  <c r="FO313" i="43"/>
  <c r="BQ313" i="43"/>
  <c r="Z313" i="43"/>
  <c r="DC313" i="43"/>
  <c r="CJ313" i="43"/>
  <c r="AJ313" i="43"/>
  <c r="AK313" i="43" s="1"/>
  <c r="C310" i="45" s="1"/>
  <c r="T315" i="43"/>
  <c r="CL315" i="43"/>
  <c r="DE315" i="43"/>
  <c r="FO317" i="43"/>
  <c r="BQ317" i="43"/>
  <c r="Z317" i="43"/>
  <c r="DC317" i="43"/>
  <c r="CJ317" i="43"/>
  <c r="AJ317" i="43"/>
  <c r="AK317" i="43" s="1"/>
  <c r="C314" i="45" s="1"/>
  <c r="T319" i="43"/>
  <c r="CL319" i="43"/>
  <c r="DE319" i="43"/>
  <c r="DC320" i="43"/>
  <c r="CJ320" i="43"/>
  <c r="AJ320" i="43"/>
  <c r="AK320" i="43" s="1"/>
  <c r="T321" i="43"/>
  <c r="DC321" i="43"/>
  <c r="CJ321" i="43"/>
  <c r="AJ321" i="43"/>
  <c r="AK321" i="43" s="1"/>
  <c r="C318" i="45" s="1"/>
  <c r="T322" i="43"/>
  <c r="AJ322" i="43"/>
  <c r="AK322" i="43" s="1"/>
  <c r="T323" i="43"/>
  <c r="AJ323" i="43"/>
  <c r="AK323" i="43" s="1"/>
  <c r="C320" i="45" s="1"/>
  <c r="AJ324" i="43"/>
  <c r="AK324" i="43" s="1"/>
  <c r="CJ324" i="43"/>
  <c r="AJ325" i="43"/>
  <c r="AK325" i="43" s="1"/>
  <c r="C322" i="45" s="1"/>
  <c r="CJ325" i="43"/>
  <c r="AJ326" i="43"/>
  <c r="AK326" i="43" s="1"/>
  <c r="C323" i="45" s="1"/>
  <c r="CJ326" i="43"/>
  <c r="AJ327" i="43"/>
  <c r="AK327" i="43" s="1"/>
  <c r="C324" i="45" s="1"/>
  <c r="CJ327" i="43"/>
  <c r="AJ328" i="43"/>
  <c r="AK328" i="43" s="1"/>
  <c r="C325" i="45" s="1"/>
  <c r="CJ328" i="43"/>
  <c r="AJ329" i="43"/>
  <c r="AK329" i="43" s="1"/>
  <c r="C326" i="45" s="1"/>
  <c r="CJ329" i="43"/>
  <c r="T330" i="43"/>
  <c r="AV330" i="43"/>
  <c r="BO330" i="43"/>
  <c r="ES330" i="43"/>
  <c r="FO330" i="43"/>
  <c r="HL330" i="43"/>
  <c r="HK330" i="43" s="1"/>
  <c r="HG330" i="43" s="1"/>
  <c r="CL331" i="43"/>
  <c r="Z332" i="43"/>
  <c r="CJ332" i="43"/>
  <c r="AJ332" i="43"/>
  <c r="AK332" i="43" s="1"/>
  <c r="C329" i="45" s="1"/>
  <c r="P333" i="43"/>
  <c r="BQ333" i="43"/>
  <c r="DE333" i="43"/>
  <c r="DW333" i="43"/>
  <c r="DX333" i="43" s="1"/>
  <c r="HL333" i="43"/>
  <c r="HK333" i="43" s="1"/>
  <c r="HG333" i="43" s="1"/>
  <c r="T334" i="43"/>
  <c r="CL334" i="43"/>
  <c r="DQ335" i="43"/>
  <c r="DR335" i="43" s="1"/>
  <c r="FO336" i="43"/>
  <c r="BQ336" i="43"/>
  <c r="Z336" i="43"/>
  <c r="CL336" i="43"/>
  <c r="DE336" i="43"/>
  <c r="HE336" i="43"/>
  <c r="HD336" i="43" s="1"/>
  <c r="GZ336" i="43" s="1"/>
  <c r="FO338" i="43"/>
  <c r="BQ338" i="43"/>
  <c r="Z338" i="43"/>
  <c r="AM338" i="43"/>
  <c r="CL339" i="43"/>
  <c r="CJ341" i="43"/>
  <c r="AJ341" i="43"/>
  <c r="AK341" i="43" s="1"/>
  <c r="C338" i="45" s="1"/>
  <c r="AN341" i="43"/>
  <c r="AO341" i="43" s="1"/>
  <c r="FF341" i="43" s="1"/>
  <c r="T341" i="43"/>
  <c r="DC341" i="43"/>
  <c r="BO341" i="43"/>
  <c r="AV341" i="43"/>
  <c r="HL341" i="43"/>
  <c r="HK341" i="43" s="1"/>
  <c r="HG341" i="43" s="1"/>
  <c r="AM330" i="43"/>
  <c r="BQ330" i="43"/>
  <c r="DE330" i="43"/>
  <c r="HL331" i="43"/>
  <c r="HK331" i="43" s="1"/>
  <c r="HG331" i="43" s="1"/>
  <c r="DQ334" i="43"/>
  <c r="DR334" i="43" s="1"/>
  <c r="FO335" i="43"/>
  <c r="BQ335" i="43"/>
  <c r="Z335" i="43"/>
  <c r="CJ335" i="43"/>
  <c r="AJ335" i="43"/>
  <c r="AK335" i="43" s="1"/>
  <c r="C332" i="45" s="1"/>
  <c r="DC335" i="43"/>
  <c r="AM337" i="43"/>
  <c r="HE337" i="43"/>
  <c r="HD337" i="43" s="1"/>
  <c r="GZ337" i="43" s="1"/>
  <c r="FO339" i="43"/>
  <c r="BQ339" i="43"/>
  <c r="Z339" i="43"/>
  <c r="CJ340" i="43"/>
  <c r="AJ340" i="43"/>
  <c r="AK340" i="43" s="1"/>
  <c r="C337" i="45" s="1"/>
  <c r="AN340" i="43"/>
  <c r="AO340" i="43" s="1"/>
  <c r="FF340" i="43" s="1"/>
  <c r="T340" i="43"/>
  <c r="DC340" i="43"/>
  <c r="BO340" i="43"/>
  <c r="AV340" i="43"/>
  <c r="HL340" i="43"/>
  <c r="HK340" i="43" s="1"/>
  <c r="HG340" i="43" s="1"/>
  <c r="CJ344" i="43"/>
  <c r="AJ344" i="43"/>
  <c r="AK344" i="43" s="1"/>
  <c r="C341" i="45" s="1"/>
  <c r="AN344" i="43"/>
  <c r="AO344" i="43" s="1"/>
  <c r="FF344" i="43" s="1"/>
  <c r="T344" i="43"/>
  <c r="DC344" i="43"/>
  <c r="BO344" i="43"/>
  <c r="AV344" i="43"/>
  <c r="HL344" i="43"/>
  <c r="HK344" i="43" s="1"/>
  <c r="HG344" i="43" s="1"/>
  <c r="Z321" i="43"/>
  <c r="BQ321" i="43"/>
  <c r="FO321" i="43"/>
  <c r="Z322" i="43"/>
  <c r="FO322" i="43"/>
  <c r="Z323" i="43"/>
  <c r="FO323" i="43"/>
  <c r="Z324" i="43"/>
  <c r="BQ324" i="43"/>
  <c r="DC324" i="43"/>
  <c r="FO324" i="43"/>
  <c r="Z325" i="43"/>
  <c r="BQ325" i="43"/>
  <c r="DC325" i="43"/>
  <c r="FO325" i="43"/>
  <c r="Z326" i="43"/>
  <c r="BQ326" i="43"/>
  <c r="DC326" i="43"/>
  <c r="FO326" i="43"/>
  <c r="Z327" i="43"/>
  <c r="BQ327" i="43"/>
  <c r="DC327" i="43"/>
  <c r="FO327" i="43"/>
  <c r="Z328" i="43"/>
  <c r="BQ328" i="43"/>
  <c r="DC328" i="43"/>
  <c r="FO328" i="43"/>
  <c r="Z329" i="43"/>
  <c r="BQ329" i="43"/>
  <c r="DC329" i="43"/>
  <c r="FO329" i="43"/>
  <c r="Z330" i="43"/>
  <c r="AN330" i="43"/>
  <c r="AO330" i="43" s="1"/>
  <c r="FF330" i="43" s="1"/>
  <c r="CJ330" i="43"/>
  <c r="AJ330" i="43"/>
  <c r="AK330" i="43" s="1"/>
  <c r="C327" i="45" s="1"/>
  <c r="P331" i="43"/>
  <c r="BQ331" i="43"/>
  <c r="DW331" i="43"/>
  <c r="DX331" i="43" s="1"/>
  <c r="HE331" i="43"/>
  <c r="HD331" i="43" s="1"/>
  <c r="GZ331" i="43" s="1"/>
  <c r="T332" i="43"/>
  <c r="AV332" i="43"/>
  <c r="BO332" i="43"/>
  <c r="DC332" i="43"/>
  <c r="ES332" i="43"/>
  <c r="FO332" i="43"/>
  <c r="HE333" i="43"/>
  <c r="HD333" i="43" s="1"/>
  <c r="GZ333" i="43" s="1"/>
  <c r="FO334" i="43"/>
  <c r="BQ334" i="43"/>
  <c r="Z334" i="43"/>
  <c r="CJ334" i="43"/>
  <c r="AJ334" i="43"/>
  <c r="AK334" i="43" s="1"/>
  <c r="C331" i="45" s="1"/>
  <c r="DC334" i="43"/>
  <c r="AM335" i="43"/>
  <c r="DW335" i="43"/>
  <c r="DX335" i="43" s="1"/>
  <c r="HL335" i="43"/>
  <c r="HK335" i="43" s="1"/>
  <c r="HG335" i="43" s="1"/>
  <c r="DQ337" i="43"/>
  <c r="DR337" i="43" s="1"/>
  <c r="HE338" i="43"/>
  <c r="HD338" i="43" s="1"/>
  <c r="GZ338" i="43" s="1"/>
  <c r="CJ339" i="43"/>
  <c r="AJ339" i="43"/>
  <c r="AK339" i="43" s="1"/>
  <c r="C336" i="45" s="1"/>
  <c r="DC339" i="43"/>
  <c r="HL339" i="43"/>
  <c r="HK339" i="43" s="1"/>
  <c r="HG339" i="43" s="1"/>
  <c r="CJ343" i="43"/>
  <c r="AJ343" i="43"/>
  <c r="AK343" i="43" s="1"/>
  <c r="C340" i="45" s="1"/>
  <c r="AN343" i="43"/>
  <c r="AO343" i="43" s="1"/>
  <c r="FF343" i="43" s="1"/>
  <c r="T343" i="43"/>
  <c r="DC343" i="43"/>
  <c r="BO343" i="43"/>
  <c r="AV343" i="43"/>
  <c r="HL343" i="43"/>
  <c r="HK343" i="43" s="1"/>
  <c r="HG343" i="43" s="1"/>
  <c r="T324" i="43"/>
  <c r="T325" i="43"/>
  <c r="T326" i="43"/>
  <c r="T327" i="43"/>
  <c r="T328" i="43"/>
  <c r="T329" i="43"/>
  <c r="AN331" i="43"/>
  <c r="CJ331" i="43"/>
  <c r="AJ331" i="43"/>
  <c r="AK331" i="43" s="1"/>
  <c r="C328" i="45" s="1"/>
  <c r="BQ332" i="43"/>
  <c r="DW332" i="43"/>
  <c r="DX332" i="43" s="1"/>
  <c r="HE332" i="43"/>
  <c r="HD332" i="43" s="1"/>
  <c r="GZ332" i="43" s="1"/>
  <c r="CJ333" i="43"/>
  <c r="AJ333" i="43"/>
  <c r="AK333" i="43" s="1"/>
  <c r="C330" i="45" s="1"/>
  <c r="AM334" i="43"/>
  <c r="DW334" i="43"/>
  <c r="DX334" i="43" s="1"/>
  <c r="HL334" i="43"/>
  <c r="HK334" i="43" s="1"/>
  <c r="HG334" i="43" s="1"/>
  <c r="T335" i="43"/>
  <c r="AN335" i="43"/>
  <c r="AO335" i="43" s="1"/>
  <c r="FF335" i="43" s="1"/>
  <c r="CL335" i="43"/>
  <c r="DE335" i="43"/>
  <c r="FO337" i="43"/>
  <c r="BQ337" i="43"/>
  <c r="Z337" i="43"/>
  <c r="DQ338" i="43"/>
  <c r="DR338" i="43" s="1"/>
  <c r="HL338" i="43"/>
  <c r="HK338" i="43" s="1"/>
  <c r="HG338" i="43" s="1"/>
  <c r="AV339" i="43"/>
  <c r="BO339" i="43"/>
  <c r="CJ342" i="43"/>
  <c r="AJ342" i="43"/>
  <c r="AK342" i="43" s="1"/>
  <c r="C339" i="45" s="1"/>
  <c r="AN342" i="43"/>
  <c r="AO342" i="43" s="1"/>
  <c r="FF342" i="43" s="1"/>
  <c r="T342" i="43"/>
  <c r="DC342" i="43"/>
  <c r="BO342" i="43"/>
  <c r="AV342" i="43"/>
  <c r="HL342" i="43"/>
  <c r="HK342" i="43" s="1"/>
  <c r="HG342" i="43" s="1"/>
  <c r="AN349" i="43"/>
  <c r="DY349" i="43" s="1"/>
  <c r="DZ349" i="43" s="1"/>
  <c r="T349" i="43"/>
  <c r="DC349" i="43"/>
  <c r="CJ349" i="43"/>
  <c r="AJ349" i="43"/>
  <c r="AK349" i="43" s="1"/>
  <c r="C346" i="45" s="1"/>
  <c r="BO349" i="43"/>
  <c r="AV349" i="43"/>
  <c r="HL349" i="43"/>
  <c r="HK349" i="43" s="1"/>
  <c r="HG349" i="43" s="1"/>
  <c r="DC338" i="43"/>
  <c r="AM339" i="43"/>
  <c r="DW339" i="43"/>
  <c r="DX339" i="43" s="1"/>
  <c r="HE339" i="43"/>
  <c r="HD339" i="43" s="1"/>
  <c r="GZ339" i="43" s="1"/>
  <c r="AM340" i="43"/>
  <c r="DW340" i="43"/>
  <c r="DX340" i="43" s="1"/>
  <c r="HE340" i="43"/>
  <c r="HD340" i="43" s="1"/>
  <c r="GZ340" i="43" s="1"/>
  <c r="AM341" i="43"/>
  <c r="DW341" i="43"/>
  <c r="DX341" i="43" s="1"/>
  <c r="HE341" i="43"/>
  <c r="HD341" i="43" s="1"/>
  <c r="GZ341" i="43" s="1"/>
  <c r="AM342" i="43"/>
  <c r="DW342" i="43"/>
  <c r="DX342" i="43" s="1"/>
  <c r="HE342" i="43"/>
  <c r="HD342" i="43" s="1"/>
  <c r="GZ342" i="43" s="1"/>
  <c r="AM343" i="43"/>
  <c r="DW343" i="43"/>
  <c r="DX343" i="43" s="1"/>
  <c r="HE343" i="43"/>
  <c r="HD343" i="43" s="1"/>
  <c r="GZ343" i="43" s="1"/>
  <c r="AM344" i="43"/>
  <c r="DW344" i="43"/>
  <c r="DX344" i="43" s="1"/>
  <c r="DW345" i="43"/>
  <c r="DX345" i="43" s="1"/>
  <c r="HE335" i="43"/>
  <c r="HD335" i="43" s="1"/>
  <c r="GZ335" i="43" s="1"/>
  <c r="AJ336" i="43"/>
  <c r="AK336" i="43" s="1"/>
  <c r="C333" i="45" s="1"/>
  <c r="AV336" i="43"/>
  <c r="BO336" i="43"/>
  <c r="DC337" i="43"/>
  <c r="T338" i="43"/>
  <c r="AJ338" i="43"/>
  <c r="AK338" i="43" s="1"/>
  <c r="C335" i="45" s="1"/>
  <c r="AV338" i="43"/>
  <c r="BO338" i="43"/>
  <c r="DQ339" i="43"/>
  <c r="DR339" i="43" s="1"/>
  <c r="AM345" i="43"/>
  <c r="AN346" i="43"/>
  <c r="AO346" i="43" s="1"/>
  <c r="FF346" i="43" s="1"/>
  <c r="T346" i="43"/>
  <c r="DC346" i="43"/>
  <c r="CJ346" i="43"/>
  <c r="AJ346" i="43"/>
  <c r="AK346" i="43" s="1"/>
  <c r="C343" i="45" s="1"/>
  <c r="BO346" i="43"/>
  <c r="AV346" i="43"/>
  <c r="HL346" i="43"/>
  <c r="HK346" i="43" s="1"/>
  <c r="HG346" i="43" s="1"/>
  <c r="DQ341" i="43"/>
  <c r="DR341" i="43" s="1"/>
  <c r="DQ342" i="43"/>
  <c r="DR342" i="43" s="1"/>
  <c r="DQ343" i="43"/>
  <c r="DR343" i="43" s="1"/>
  <c r="DQ344" i="43"/>
  <c r="DR344" i="43" s="1"/>
  <c r="DQ345" i="43"/>
  <c r="DR345" i="43" s="1"/>
  <c r="Z340" i="43"/>
  <c r="BQ340" i="43"/>
  <c r="FO340" i="43"/>
  <c r="Z341" i="43"/>
  <c r="BQ341" i="43"/>
  <c r="FO341" i="43"/>
  <c r="Z342" i="43"/>
  <c r="BQ342" i="43"/>
  <c r="FO342" i="43"/>
  <c r="Z343" i="43"/>
  <c r="BQ343" i="43"/>
  <c r="FO343" i="43"/>
  <c r="Z344" i="43"/>
  <c r="BQ344" i="43"/>
  <c r="FO344" i="43"/>
  <c r="Z345" i="43"/>
  <c r="BQ345" i="43"/>
  <c r="FO345" i="43"/>
  <c r="HL345" i="43"/>
  <c r="HK345" i="43" s="1"/>
  <c r="HG345" i="43" s="1"/>
  <c r="DW347" i="43"/>
  <c r="DX347" i="43" s="1"/>
  <c r="AN348" i="43"/>
  <c r="DY348" i="43" s="1"/>
  <c r="DZ348" i="43" s="1"/>
  <c r="T348" i="43"/>
  <c r="DC348" i="43"/>
  <c r="CJ348" i="43"/>
  <c r="AJ348" i="43"/>
  <c r="AK348" i="43" s="1"/>
  <c r="HL348" i="43"/>
  <c r="HK348" i="43" s="1"/>
  <c r="HG348" i="43" s="1"/>
  <c r="AM349" i="43"/>
  <c r="DQ349" i="43"/>
  <c r="DR349" i="43" s="1"/>
  <c r="DQ346" i="43"/>
  <c r="DR346" i="43" s="1"/>
  <c r="AN347" i="43"/>
  <c r="AO347" i="43" s="1"/>
  <c r="FF347" i="43" s="1"/>
  <c r="T347" i="43"/>
  <c r="DC347" i="43"/>
  <c r="CJ347" i="43"/>
  <c r="AJ347" i="43"/>
  <c r="AK347" i="43" s="1"/>
  <c r="C344" i="45" s="1"/>
  <c r="HL347" i="43"/>
  <c r="HK347" i="43" s="1"/>
  <c r="HG347" i="43" s="1"/>
  <c r="AM348" i="43"/>
  <c r="DQ348" i="43"/>
  <c r="DR348" i="43" s="1"/>
  <c r="DW349" i="43"/>
  <c r="DX349" i="43" s="1"/>
  <c r="AM351" i="43"/>
  <c r="HE344" i="43"/>
  <c r="HD344" i="43" s="1"/>
  <c r="GZ344" i="43" s="1"/>
  <c r="AM346" i="43"/>
  <c r="DW346" i="43"/>
  <c r="DX346" i="43" s="1"/>
  <c r="DW348" i="43"/>
  <c r="DX348" i="43" s="1"/>
  <c r="HE346" i="43"/>
  <c r="HD346" i="43" s="1"/>
  <c r="GZ346" i="43" s="1"/>
  <c r="HE347" i="43"/>
  <c r="HD347" i="43" s="1"/>
  <c r="GZ347" i="43" s="1"/>
  <c r="HE348" i="43"/>
  <c r="HD348" i="43" s="1"/>
  <c r="GZ348" i="43" s="1"/>
  <c r="HE349" i="43"/>
  <c r="HD349" i="43" s="1"/>
  <c r="GZ349" i="43" s="1"/>
  <c r="AJ350" i="43"/>
  <c r="AK350" i="43" s="1"/>
  <c r="C347" i="45" s="1"/>
  <c r="CJ350" i="43"/>
  <c r="HE350" i="43"/>
  <c r="HD350" i="43" s="1"/>
  <c r="GZ350" i="43" s="1"/>
  <c r="AJ351" i="43"/>
  <c r="AK351" i="43" s="1"/>
  <c r="C348" i="45" s="1"/>
  <c r="CJ351" i="43"/>
  <c r="HE351" i="43"/>
  <c r="HD351" i="43" s="1"/>
  <c r="GZ351" i="43" s="1"/>
  <c r="AJ352" i="43"/>
  <c r="AK352" i="43" s="1"/>
  <c r="C349" i="45" s="1"/>
  <c r="CJ352" i="43"/>
  <c r="HE352" i="43"/>
  <c r="HD352" i="43" s="1"/>
  <c r="GZ352" i="43" s="1"/>
  <c r="AJ353" i="43"/>
  <c r="AK353" i="43" s="1"/>
  <c r="C350" i="45" s="1"/>
  <c r="CJ353" i="43"/>
  <c r="HE353" i="43"/>
  <c r="HD353" i="43" s="1"/>
  <c r="GZ353" i="43" s="1"/>
  <c r="HE354" i="43"/>
  <c r="HD354" i="43" s="1"/>
  <c r="GZ354" i="43" s="1"/>
  <c r="HE355" i="43"/>
  <c r="HD355" i="43" s="1"/>
  <c r="GZ355" i="43" s="1"/>
  <c r="AM357" i="43"/>
  <c r="BQ357" i="43"/>
  <c r="DE357" i="43"/>
  <c r="HL358" i="43"/>
  <c r="HK358" i="43" s="1"/>
  <c r="HG358" i="43" s="1"/>
  <c r="DQ359" i="43"/>
  <c r="DR359" i="43" s="1"/>
  <c r="AN359" i="43"/>
  <c r="AO359" i="43" s="1"/>
  <c r="FF359" i="43" s="1"/>
  <c r="T359" i="43"/>
  <c r="CJ359" i="43"/>
  <c r="AJ359" i="43"/>
  <c r="AK359" i="43" s="1"/>
  <c r="C356" i="45" s="1"/>
  <c r="HL359" i="43"/>
  <c r="HK359" i="43" s="1"/>
  <c r="HG359" i="43" s="1"/>
  <c r="AM360" i="43"/>
  <c r="AN361" i="43"/>
  <c r="DY361" i="43" s="1"/>
  <c r="DZ361" i="43" s="1"/>
  <c r="T361" i="43"/>
  <c r="DC361" i="43"/>
  <c r="CJ361" i="43"/>
  <c r="AJ361" i="43"/>
  <c r="AK361" i="43" s="1"/>
  <c r="C358" i="45" s="1"/>
  <c r="HL361" i="43"/>
  <c r="HK361" i="43" s="1"/>
  <c r="HG361" i="43" s="1"/>
  <c r="AM362" i="43"/>
  <c r="DQ362" i="43"/>
  <c r="DR362" i="43" s="1"/>
  <c r="HL350" i="43"/>
  <c r="HK350" i="43" s="1"/>
  <c r="HG350" i="43" s="1"/>
  <c r="HL351" i="43"/>
  <c r="HK351" i="43" s="1"/>
  <c r="HG351" i="43" s="1"/>
  <c r="HL352" i="43"/>
  <c r="HK352" i="43" s="1"/>
  <c r="HG352" i="43" s="1"/>
  <c r="HL353" i="43"/>
  <c r="HK353" i="43" s="1"/>
  <c r="HG353" i="43" s="1"/>
  <c r="HL354" i="43"/>
  <c r="HK354" i="43" s="1"/>
  <c r="HG354" i="43" s="1"/>
  <c r="HL355" i="43"/>
  <c r="HK355" i="43" s="1"/>
  <c r="HG355" i="43" s="1"/>
  <c r="AV356" i="43"/>
  <c r="BO356" i="43"/>
  <c r="DQ356" i="43"/>
  <c r="DR356" i="43" s="1"/>
  <c r="Z357" i="43"/>
  <c r="AN357" i="43"/>
  <c r="DY357" i="43" s="1"/>
  <c r="DZ357" i="43" s="1"/>
  <c r="CJ357" i="43"/>
  <c r="AJ357" i="43"/>
  <c r="AK357" i="43" s="1"/>
  <c r="C354" i="45" s="1"/>
  <c r="P358" i="43"/>
  <c r="BQ358" i="43"/>
  <c r="DE358" i="43"/>
  <c r="DW358" i="43"/>
  <c r="DX358" i="43" s="1"/>
  <c r="HE358" i="43"/>
  <c r="HD358" i="43" s="1"/>
  <c r="GZ358" i="43" s="1"/>
  <c r="P359" i="43"/>
  <c r="DW359" i="43"/>
  <c r="DX359" i="43" s="1"/>
  <c r="DW360" i="43"/>
  <c r="DX360" i="43" s="1"/>
  <c r="HE360" i="43"/>
  <c r="HD360" i="43" s="1"/>
  <c r="GZ360" i="43" s="1"/>
  <c r="DQ363" i="43"/>
  <c r="DR363" i="43" s="1"/>
  <c r="BQ346" i="43"/>
  <c r="FO346" i="43"/>
  <c r="FO347" i="43"/>
  <c r="DC350" i="43"/>
  <c r="DC351" i="43"/>
  <c r="DC352" i="43"/>
  <c r="DC353" i="43"/>
  <c r="DC354" i="43"/>
  <c r="DC356" i="43"/>
  <c r="CL357" i="43"/>
  <c r="AN358" i="43"/>
  <c r="DY358" i="43" s="1"/>
  <c r="DZ358" i="43" s="1"/>
  <c r="CJ358" i="43"/>
  <c r="AJ358" i="43"/>
  <c r="AK358" i="43" s="1"/>
  <c r="C355" i="45" s="1"/>
  <c r="DC359" i="43"/>
  <c r="AN360" i="43"/>
  <c r="DY360" i="43" s="1"/>
  <c r="DZ360" i="43" s="1"/>
  <c r="T360" i="43"/>
  <c r="DC360" i="43"/>
  <c r="CJ360" i="43"/>
  <c r="AJ360" i="43"/>
  <c r="AK360" i="43" s="1"/>
  <c r="C357" i="45" s="1"/>
  <c r="HL360" i="43"/>
  <c r="HK360" i="43" s="1"/>
  <c r="HG360" i="43" s="1"/>
  <c r="AM361" i="43"/>
  <c r="DQ361" i="43"/>
  <c r="DR361" i="43" s="1"/>
  <c r="AM363" i="43"/>
  <c r="T350" i="43"/>
  <c r="T351" i="43"/>
  <c r="T352" i="43"/>
  <c r="T353" i="43"/>
  <c r="T354" i="43"/>
  <c r="T355" i="43"/>
  <c r="T356" i="43"/>
  <c r="DW356" i="43"/>
  <c r="DX356" i="43" s="1"/>
  <c r="HE356" i="43"/>
  <c r="HD356" i="43" s="1"/>
  <c r="GZ356" i="43" s="1"/>
  <c r="T357" i="43"/>
  <c r="AV357" i="43"/>
  <c r="BO357" i="43"/>
  <c r="DC357" i="43"/>
  <c r="ES357" i="43"/>
  <c r="AV359" i="43"/>
  <c r="BO359" i="43"/>
  <c r="HE359" i="43"/>
  <c r="HD359" i="43" s="1"/>
  <c r="GZ359" i="43" s="1"/>
  <c r="DW361" i="43"/>
  <c r="DX361" i="43" s="1"/>
  <c r="HE361" i="43"/>
  <c r="HD361" i="43" s="1"/>
  <c r="GZ361" i="43" s="1"/>
  <c r="AJ362" i="43"/>
  <c r="AK362" i="43" s="1"/>
  <c r="C359" i="45" s="1"/>
  <c r="CJ362" i="43"/>
  <c r="AJ363" i="43"/>
  <c r="AK363" i="43" s="1"/>
  <c r="C360" i="45" s="1"/>
  <c r="CJ363" i="43"/>
  <c r="AJ364" i="43"/>
  <c r="AK364" i="43" s="1"/>
  <c r="C361" i="45" s="1"/>
  <c r="CJ364" i="43"/>
  <c r="HE364" i="43"/>
  <c r="HD364" i="43" s="1"/>
  <c r="GZ364" i="43" s="1"/>
  <c r="AJ365" i="43"/>
  <c r="AK365" i="43" s="1"/>
  <c r="C362" i="45" s="1"/>
  <c r="ES366" i="43"/>
  <c r="AN366" i="43"/>
  <c r="AO366" i="43" s="1"/>
  <c r="FF366" i="43" s="1"/>
  <c r="T366" i="43"/>
  <c r="DW367" i="43"/>
  <c r="DX367" i="43" s="1"/>
  <c r="AV368" i="43"/>
  <c r="AN369" i="43"/>
  <c r="AO369" i="43" s="1"/>
  <c r="FF369" i="43" s="1"/>
  <c r="T369" i="43"/>
  <c r="DC369" i="43"/>
  <c r="CJ369" i="43"/>
  <c r="AJ369" i="43"/>
  <c r="AK369" i="43" s="1"/>
  <c r="C366" i="45" s="1"/>
  <c r="HL369" i="43"/>
  <c r="HK369" i="43" s="1"/>
  <c r="HG369" i="43" s="1"/>
  <c r="AM370" i="43"/>
  <c r="DQ370" i="43"/>
  <c r="DR370" i="43" s="1"/>
  <c r="HL362" i="43"/>
  <c r="HK362" i="43" s="1"/>
  <c r="HG362" i="43" s="1"/>
  <c r="HL363" i="43"/>
  <c r="HK363" i="43" s="1"/>
  <c r="HG363" i="43" s="1"/>
  <c r="HL364" i="43"/>
  <c r="HK364" i="43" s="1"/>
  <c r="HG364" i="43" s="1"/>
  <c r="AN368" i="43"/>
  <c r="DY368" i="43" s="1"/>
  <c r="DZ368" i="43" s="1"/>
  <c r="T368" i="43"/>
  <c r="DC368" i="43"/>
  <c r="CJ368" i="43"/>
  <c r="AJ368" i="43"/>
  <c r="AK368" i="43" s="1"/>
  <c r="C365" i="45" s="1"/>
  <c r="HL368" i="43"/>
  <c r="HK368" i="43" s="1"/>
  <c r="HG368" i="43" s="1"/>
  <c r="AM369" i="43"/>
  <c r="DQ369" i="43"/>
  <c r="DR369" i="43" s="1"/>
  <c r="FO360" i="43"/>
  <c r="FO361" i="43"/>
  <c r="DC362" i="43"/>
  <c r="FO362" i="43"/>
  <c r="DC363" i="43"/>
  <c r="DC364" i="43"/>
  <c r="FO364" i="43"/>
  <c r="FO365" i="43"/>
  <c r="HL365" i="43"/>
  <c r="HK365" i="43" s="1"/>
  <c r="HG365" i="43" s="1"/>
  <c r="AN367" i="43"/>
  <c r="T367" i="43"/>
  <c r="DC367" i="43"/>
  <c r="CJ367" i="43"/>
  <c r="AJ367" i="43"/>
  <c r="AK367" i="43" s="1"/>
  <c r="C364" i="45" s="1"/>
  <c r="HL367" i="43"/>
  <c r="HK367" i="43" s="1"/>
  <c r="HG367" i="43" s="1"/>
  <c r="AM368" i="43"/>
  <c r="DQ368" i="43"/>
  <c r="DR368" i="43" s="1"/>
  <c r="AM371" i="43"/>
  <c r="T362" i="43"/>
  <c r="T363" i="43"/>
  <c r="T364" i="43"/>
  <c r="AM367" i="43"/>
  <c r="DQ367" i="43"/>
  <c r="DR367" i="43" s="1"/>
  <c r="DW368" i="43"/>
  <c r="DX368" i="43" s="1"/>
  <c r="AV369" i="43"/>
  <c r="BO369" i="43"/>
  <c r="HE366" i="43"/>
  <c r="HD366" i="43" s="1"/>
  <c r="GZ366" i="43" s="1"/>
  <c r="HE367" i="43"/>
  <c r="HD367" i="43" s="1"/>
  <c r="GZ367" i="43" s="1"/>
  <c r="HE368" i="43"/>
  <c r="HD368" i="43" s="1"/>
  <c r="GZ368" i="43" s="1"/>
  <c r="HE369" i="43"/>
  <c r="HD369" i="43" s="1"/>
  <c r="GZ369" i="43" s="1"/>
  <c r="AJ370" i="43"/>
  <c r="AK370" i="43" s="1"/>
  <c r="C367" i="45" s="1"/>
  <c r="CJ370" i="43"/>
  <c r="HE370" i="43"/>
  <c r="HD370" i="43" s="1"/>
  <c r="GZ370" i="43" s="1"/>
  <c r="AJ371" i="43"/>
  <c r="AK371" i="43" s="1"/>
  <c r="C368" i="45" s="1"/>
  <c r="CJ371" i="43"/>
  <c r="HE371" i="43"/>
  <c r="HD371" i="43" s="1"/>
  <c r="GZ371" i="43" s="1"/>
  <c r="AJ372" i="43"/>
  <c r="AK372" i="43" s="1"/>
  <c r="C369" i="45" s="1"/>
  <c r="CJ372" i="43"/>
  <c r="HE372" i="43"/>
  <c r="HD372" i="43" s="1"/>
  <c r="GZ372" i="43" s="1"/>
  <c r="AJ373" i="43"/>
  <c r="AK373" i="43" s="1"/>
  <c r="DQ373" i="43"/>
  <c r="DR373" i="43" s="1"/>
  <c r="HE373" i="43"/>
  <c r="HD373" i="43" s="1"/>
  <c r="GZ373" i="43" s="1"/>
  <c r="CJ374" i="43"/>
  <c r="AJ374" i="43"/>
  <c r="AK374" i="43" s="1"/>
  <c r="C371" i="45" s="1"/>
  <c r="T374" i="43"/>
  <c r="BO374" i="43"/>
  <c r="AV374" i="43"/>
  <c r="HL370" i="43"/>
  <c r="HK370" i="43" s="1"/>
  <c r="HG370" i="43" s="1"/>
  <c r="HL371" i="43"/>
  <c r="HK371" i="43" s="1"/>
  <c r="HG371" i="43" s="1"/>
  <c r="HL372" i="43"/>
  <c r="HK372" i="43" s="1"/>
  <c r="HG372" i="43" s="1"/>
  <c r="AM374" i="43"/>
  <c r="DC370" i="43"/>
  <c r="DC371" i="43"/>
  <c r="DC372" i="43"/>
  <c r="DW373" i="43"/>
  <c r="DX373" i="43" s="1"/>
  <c r="HL373" i="43"/>
  <c r="HK373" i="43" s="1"/>
  <c r="HG373" i="43" s="1"/>
  <c r="DW374" i="43"/>
  <c r="DX374" i="43" s="1"/>
  <c r="HE374" i="43"/>
  <c r="HD374" i="43" s="1"/>
  <c r="GZ374" i="43" s="1"/>
  <c r="DQ377" i="43"/>
  <c r="DR377" i="43" s="1"/>
  <c r="T370" i="43"/>
  <c r="T371" i="43"/>
  <c r="T372" i="43"/>
  <c r="T373" i="43"/>
  <c r="AN373" i="43"/>
  <c r="DY373" i="43" s="1"/>
  <c r="DZ373" i="43" s="1"/>
  <c r="DC374" i="43"/>
  <c r="AN375" i="43"/>
  <c r="DY375" i="43" s="1"/>
  <c r="DZ375" i="43" s="1"/>
  <c r="T375" i="43"/>
  <c r="HE375" i="43"/>
  <c r="HD375" i="43" s="1"/>
  <c r="GZ375" i="43" s="1"/>
  <c r="DC375" i="43"/>
  <c r="BO375" i="43"/>
  <c r="AV375" i="43"/>
  <c r="AJ375" i="43"/>
  <c r="AK375" i="43" s="1"/>
  <c r="CJ375" i="43"/>
  <c r="CL374" i="43"/>
  <c r="HL374" i="43"/>
  <c r="HK374" i="43" s="1"/>
  <c r="HG374" i="43" s="1"/>
  <c r="FO375" i="43"/>
  <c r="HL375" i="43"/>
  <c r="HK375" i="43" s="1"/>
  <c r="HG375" i="43" s="1"/>
  <c r="HE376" i="43"/>
  <c r="HD376" i="43" s="1"/>
  <c r="GZ376" i="43" s="1"/>
  <c r="AJ377" i="43"/>
  <c r="AK377" i="43" s="1"/>
  <c r="AV377" i="43"/>
  <c r="BO377" i="43"/>
  <c r="P378" i="43"/>
  <c r="AM378" i="43"/>
  <c r="DE378" i="43"/>
  <c r="DW378" i="43"/>
  <c r="DX378" i="43" s="1"/>
  <c r="HL378" i="43"/>
  <c r="HK378" i="43" s="1"/>
  <c r="HG378" i="43" s="1"/>
  <c r="BO378" i="43"/>
  <c r="AV378" i="43"/>
  <c r="CL379" i="43"/>
  <c r="FO379" i="43"/>
  <c r="BQ379" i="43"/>
  <c r="Z379" i="43"/>
  <c r="DW381" i="43"/>
  <c r="DX381" i="43" s="1"/>
  <c r="HL376" i="43"/>
  <c r="HK376" i="43" s="1"/>
  <c r="HG376" i="43" s="1"/>
  <c r="HL379" i="43"/>
  <c r="HK379" i="43" s="1"/>
  <c r="HG379" i="43" s="1"/>
  <c r="HL380" i="43"/>
  <c r="HK380" i="43" s="1"/>
  <c r="HG380" i="43" s="1"/>
  <c r="AN376" i="43"/>
  <c r="DY376" i="43" s="1"/>
  <c r="DZ376" i="43" s="1"/>
  <c r="T376" i="43"/>
  <c r="HL377" i="43"/>
  <c r="HK377" i="43" s="1"/>
  <c r="HG377" i="43" s="1"/>
  <c r="DQ378" i="43"/>
  <c r="DR378" i="43" s="1"/>
  <c r="ES378" i="43"/>
  <c r="FO378" i="43"/>
  <c r="HE378" i="43"/>
  <c r="HD378" i="43" s="1"/>
  <c r="GZ378" i="43" s="1"/>
  <c r="AN381" i="43"/>
  <c r="T381" i="43"/>
  <c r="DC381" i="43"/>
  <c r="CJ381" i="43"/>
  <c r="AJ381" i="43"/>
  <c r="AK381" i="43" s="1"/>
  <c r="HL381" i="43"/>
  <c r="HK381" i="43" s="1"/>
  <c r="HG381" i="43" s="1"/>
  <c r="AN377" i="43"/>
  <c r="DY377" i="43" s="1"/>
  <c r="DZ377" i="43" s="1"/>
  <c r="T377" i="43"/>
  <c r="HE380" i="43"/>
  <c r="HD380" i="43" s="1"/>
  <c r="GZ380" i="43" s="1"/>
  <c r="DQ381" i="43"/>
  <c r="DR381" i="43" s="1"/>
  <c r="T380" i="43"/>
  <c r="AN380" i="43"/>
  <c r="DY380" i="43" s="1"/>
  <c r="DZ380" i="43" s="1"/>
  <c r="DE380" i="43"/>
  <c r="HE381" i="43"/>
  <c r="HD381" i="43" s="1"/>
  <c r="GZ381" i="43" s="1"/>
  <c r="AJ378" i="43"/>
  <c r="AK378" i="43" s="1"/>
  <c r="C375" i="45" s="1"/>
  <c r="AV379" i="43"/>
  <c r="Z380" i="43"/>
  <c r="BQ380" i="43"/>
  <c r="BI207" i="24"/>
  <c r="T207" i="24"/>
  <c r="V207" i="24" s="1"/>
  <c r="S204" i="45"/>
  <c r="DQ207" i="43"/>
  <c r="DR207" i="43" s="1"/>
  <c r="G207" i="43" s="1"/>
  <c r="HQ207" i="43" s="1"/>
  <c r="HR207" i="43" s="1"/>
  <c r="FY207" i="43"/>
  <c r="DE207" i="43"/>
  <c r="BX345" i="43"/>
  <c r="CE345" i="43" s="1"/>
  <c r="BX152" i="43"/>
  <c r="CE152" i="43" s="1"/>
  <c r="BX154" i="43"/>
  <c r="CE154" i="43" s="1"/>
  <c r="CY66" i="43"/>
  <c r="BX128" i="43"/>
  <c r="CE128" i="43" s="1"/>
  <c r="BX177" i="43"/>
  <c r="CE177" i="43" s="1"/>
  <c r="CY125" i="43"/>
  <c r="CY150" i="43"/>
  <c r="CY153" i="43"/>
  <c r="CY240" i="43"/>
  <c r="BX278" i="43"/>
  <c r="CE278" i="43" s="1"/>
  <c r="CY12" i="43"/>
  <c r="BX121" i="43"/>
  <c r="CE121" i="43" s="1"/>
  <c r="BX131" i="43"/>
  <c r="CE131" i="43" s="1"/>
  <c r="BX145" i="43"/>
  <c r="CE145" i="43" s="1"/>
  <c r="BX164" i="43"/>
  <c r="CE164" i="43" s="1"/>
  <c r="CY171" i="43"/>
  <c r="BE390" i="45"/>
  <c r="BE391" i="45" s="1"/>
  <c r="BX89" i="43"/>
  <c r="CE89" i="43" s="1"/>
  <c r="CY167" i="43"/>
  <c r="BX175" i="43"/>
  <c r="CE175" i="43" s="1"/>
  <c r="BX54" i="43"/>
  <c r="CE54" i="43" s="1"/>
  <c r="CE25" i="43"/>
  <c r="CY86" i="43"/>
  <c r="BK89" i="43"/>
  <c r="AM207" i="43"/>
  <c r="S203" i="45"/>
  <c r="DQ206" i="43"/>
  <c r="DR206" i="43" s="1"/>
  <c r="G206" i="43" s="1"/>
  <c r="HQ206" i="43" s="1"/>
  <c r="HR206" i="43" s="1"/>
  <c r="BX77" i="43"/>
  <c r="CE77" i="43" s="1"/>
  <c r="BX169" i="43"/>
  <c r="CE169" i="43" s="1"/>
  <c r="BX211" i="43"/>
  <c r="CE211" i="43" s="1"/>
  <c r="BX48" i="43"/>
  <c r="CE48" i="43" s="1"/>
  <c r="BX80" i="43"/>
  <c r="CE80" i="43" s="1"/>
  <c r="BK152" i="43"/>
  <c r="BX167" i="43"/>
  <c r="CE167" i="43" s="1"/>
  <c r="BX192" i="43"/>
  <c r="CE192" i="43" s="1"/>
  <c r="BK213" i="43"/>
  <c r="BX374" i="43"/>
  <c r="CE374" i="43" s="1"/>
  <c r="BX376" i="43"/>
  <c r="CE376" i="43" s="1"/>
  <c r="CY44" i="43"/>
  <c r="BK76" i="43"/>
  <c r="CY83" i="43"/>
  <c r="BX85" i="43"/>
  <c r="CE85" i="43" s="1"/>
  <c r="BX97" i="43"/>
  <c r="CE97" i="43" s="1"/>
  <c r="BK192" i="43"/>
  <c r="BX305" i="43"/>
  <c r="CE305" i="43" s="1"/>
  <c r="BX335" i="43"/>
  <c r="CE335" i="43" s="1"/>
  <c r="CY380" i="43"/>
  <c r="BK139" i="43"/>
  <c r="BX144" i="43"/>
  <c r="CE144" i="43" s="1"/>
  <c r="BX159" i="43"/>
  <c r="CE159" i="43" s="1"/>
  <c r="CY236" i="43"/>
  <c r="CY308" i="43"/>
  <c r="CY311" i="43"/>
  <c r="BX366" i="43"/>
  <c r="CE366" i="43" s="1"/>
  <c r="BX20" i="43"/>
  <c r="CE20" i="43" s="1"/>
  <c r="BX139" i="43"/>
  <c r="CE139" i="43" s="1"/>
  <c r="BK159" i="43"/>
  <c r="BK168" i="43"/>
  <c r="BX201" i="43"/>
  <c r="CE201" i="43" s="1"/>
  <c r="BK209" i="43"/>
  <c r="BX209" i="43"/>
  <c r="CE209" i="43" s="1"/>
  <c r="BX337" i="43"/>
  <c r="CE337" i="43" s="1"/>
  <c r="BX359" i="43"/>
  <c r="CE359" i="43" s="1"/>
  <c r="AP372" i="43"/>
  <c r="BK18" i="43"/>
  <c r="BK80" i="43"/>
  <c r="CY98" i="43"/>
  <c r="BX123" i="43"/>
  <c r="CE123" i="43" s="1"/>
  <c r="BK144" i="43"/>
  <c r="CY176" i="43"/>
  <c r="AS307" i="43"/>
  <c r="BK324" i="43"/>
  <c r="BX327" i="43"/>
  <c r="CE327" i="43" s="1"/>
  <c r="FY206" i="43"/>
  <c r="CL206" i="43"/>
  <c r="BQ206" i="43"/>
  <c r="DE206" i="43"/>
  <c r="FO206" i="43"/>
  <c r="AS305" i="43"/>
  <c r="AR305" i="43"/>
  <c r="AP305" i="43"/>
  <c r="AR335" i="43"/>
  <c r="AP335" i="43"/>
  <c r="AR337" i="43"/>
  <c r="AS337" i="43"/>
  <c r="AP337" i="43"/>
  <c r="AR167" i="43"/>
  <c r="AS167" i="43"/>
  <c r="AP167" i="43"/>
  <c r="AR343" i="43"/>
  <c r="AP343" i="43"/>
  <c r="CE24" i="43"/>
  <c r="CY52" i="43"/>
  <c r="BK64" i="43"/>
  <c r="CY95" i="43"/>
  <c r="CY102" i="43"/>
  <c r="BX105" i="43"/>
  <c r="CE105" i="43" s="1"/>
  <c r="BK131" i="43"/>
  <c r="BK140" i="43"/>
  <c r="BK148" i="43"/>
  <c r="CY162" i="43"/>
  <c r="CY166" i="43"/>
  <c r="BK182" i="43"/>
  <c r="CY183" i="43"/>
  <c r="CY191" i="43"/>
  <c r="BX194" i="43"/>
  <c r="CE194" i="43" s="1"/>
  <c r="BX274" i="43"/>
  <c r="CE274" i="43" s="1"/>
  <c r="CY315" i="43"/>
  <c r="CY325" i="43"/>
  <c r="BK327" i="43"/>
  <c r="BX339" i="43"/>
  <c r="CE339" i="43" s="1"/>
  <c r="BX347" i="43"/>
  <c r="CE347" i="43" s="1"/>
  <c r="BX355" i="43"/>
  <c r="CE355" i="43" s="1"/>
  <c r="CY58" i="43"/>
  <c r="CY62" i="43"/>
  <c r="CY71" i="43"/>
  <c r="BK101" i="43"/>
  <c r="CY106" i="43"/>
  <c r="CY110" i="43"/>
  <c r="BK115" i="43"/>
  <c r="BX120" i="43"/>
  <c r="CE120" i="43" s="1"/>
  <c r="CY126" i="43"/>
  <c r="BK155" i="43"/>
  <c r="BX168" i="43"/>
  <c r="CE168" i="43" s="1"/>
  <c r="BK284" i="43"/>
  <c r="CY295" i="43"/>
  <c r="BK298" i="43"/>
  <c r="BK314" i="43"/>
  <c r="BK352" i="43"/>
  <c r="BX21" i="43"/>
  <c r="CE21" i="43" s="1"/>
  <c r="BX170" i="43"/>
  <c r="CE170" i="43" s="1"/>
  <c r="BX187" i="43"/>
  <c r="CE187" i="43" s="1"/>
  <c r="AR123" i="43"/>
  <c r="AS123" i="43"/>
  <c r="CD12" i="43"/>
  <c r="BX12" i="43"/>
  <c r="CE12" i="43" s="1"/>
  <c r="CD179" i="43"/>
  <c r="BX179" i="43"/>
  <c r="CE179" i="43" s="1"/>
  <c r="BX33" i="43"/>
  <c r="CE33" i="43" s="1"/>
  <c r="BX36" i="43"/>
  <c r="CE36" i="43" s="1"/>
  <c r="BK46" i="43"/>
  <c r="BX91" i="43"/>
  <c r="CE91" i="43" s="1"/>
  <c r="BX103" i="43"/>
  <c r="CE103" i="43" s="1"/>
  <c r="BX107" i="43"/>
  <c r="CE107" i="43" s="1"/>
  <c r="CD191" i="43"/>
  <c r="AR191" i="43" s="1"/>
  <c r="BX191" i="43"/>
  <c r="CE191" i="43" s="1"/>
  <c r="BX45" i="43"/>
  <c r="CE45" i="43" s="1"/>
  <c r="BX49" i="43"/>
  <c r="CE49" i="43" s="1"/>
  <c r="BX56" i="43"/>
  <c r="CE56" i="43" s="1"/>
  <c r="BX64" i="43"/>
  <c r="CE64" i="43" s="1"/>
  <c r="BX72" i="43"/>
  <c r="CE72" i="43" s="1"/>
  <c r="CY75" i="43"/>
  <c r="BX88" i="43"/>
  <c r="CE88" i="43" s="1"/>
  <c r="BX100" i="43"/>
  <c r="CE100" i="43" s="1"/>
  <c r="BX113" i="43"/>
  <c r="CE113" i="43" s="1"/>
  <c r="BX115" i="43"/>
  <c r="CE115" i="43" s="1"/>
  <c r="BX129" i="43"/>
  <c r="CE129" i="43" s="1"/>
  <c r="BX137" i="43"/>
  <c r="CE137" i="43" s="1"/>
  <c r="CY142" i="43"/>
  <c r="CY145" i="43"/>
  <c r="CY146" i="43"/>
  <c r="BX147" i="43"/>
  <c r="CE147" i="43" s="1"/>
  <c r="BX155" i="43"/>
  <c r="CE155" i="43" s="1"/>
  <c r="BX163" i="43"/>
  <c r="CE163" i="43" s="1"/>
  <c r="BK164" i="43"/>
  <c r="BK170" i="43"/>
  <c r="BX11" i="43"/>
  <c r="CE11" i="43" s="1"/>
  <c r="BK22" i="43"/>
  <c r="CY24" i="43"/>
  <c r="CY32" i="43"/>
  <c r="BX41" i="43"/>
  <c r="CE41" i="43" s="1"/>
  <c r="BK53" i="43"/>
  <c r="CY53" i="43"/>
  <c r="BK60" i="43"/>
  <c r="AS80" i="43"/>
  <c r="BK88" i="43"/>
  <c r="BK100" i="43"/>
  <c r="BK112" i="43"/>
  <c r="BX112" i="43"/>
  <c r="CE112" i="43" s="1"/>
  <c r="CY114" i="43"/>
  <c r="BK122" i="43"/>
  <c r="CY130" i="43"/>
  <c r="CY134" i="43"/>
  <c r="BK136" i="43"/>
  <c r="BX136" i="43"/>
  <c r="CE136" i="43" s="1"/>
  <c r="CY137" i="43"/>
  <c r="CY138" i="43"/>
  <c r="CY141" i="43"/>
  <c r="BK147" i="43"/>
  <c r="BK169" i="43"/>
  <c r="CY172" i="43"/>
  <c r="CY175" i="43"/>
  <c r="BK186" i="43"/>
  <c r="AS347" i="43"/>
  <c r="AR347" i="43"/>
  <c r="AP347" i="43"/>
  <c r="BK181" i="43"/>
  <c r="AP198" i="43"/>
  <c r="BX204" i="43"/>
  <c r="CE204" i="43" s="1"/>
  <c r="CY205" i="43"/>
  <c r="CY210" i="43"/>
  <c r="BX213" i="43"/>
  <c r="CE213" i="43" s="1"/>
  <c r="BK303" i="43"/>
  <c r="BX312" i="43"/>
  <c r="CE312" i="43" s="1"/>
  <c r="CY313" i="43"/>
  <c r="CY328" i="43"/>
  <c r="BX343" i="43"/>
  <c r="CE343" i="43" s="1"/>
  <c r="CY349" i="43"/>
  <c r="CY351" i="43"/>
  <c r="BK354" i="43"/>
  <c r="BK358" i="43"/>
  <c r="BX360" i="43"/>
  <c r="CE360" i="43" s="1"/>
  <c r="AP366" i="43"/>
  <c r="CY378" i="43"/>
  <c r="CY379" i="43"/>
  <c r="BK177" i="43"/>
  <c r="BK185" i="43"/>
  <c r="BK190" i="43"/>
  <c r="CY196" i="43"/>
  <c r="BX197" i="43"/>
  <c r="CE197" i="43" s="1"/>
  <c r="BK202" i="43"/>
  <c r="CY206" i="43"/>
  <c r="BX207" i="43"/>
  <c r="CE207" i="43" s="1"/>
  <c r="CY238" i="43"/>
  <c r="BK282" i="43"/>
  <c r="BK286" i="43"/>
  <c r="CY293" i="43"/>
  <c r="CY297" i="43"/>
  <c r="BK301" i="43"/>
  <c r="BK302" i="43"/>
  <c r="BK316" i="43"/>
  <c r="BX328" i="43"/>
  <c r="CE328" i="43" s="1"/>
  <c r="BK349" i="43"/>
  <c r="CY357" i="43"/>
  <c r="BK373" i="43"/>
  <c r="CY374" i="43"/>
  <c r="CY376" i="43"/>
  <c r="BK377" i="43"/>
  <c r="BX378" i="43"/>
  <c r="CE378" i="43" s="1"/>
  <c r="BX363" i="43"/>
  <c r="CE363" i="43" s="1"/>
  <c r="BX373" i="43"/>
  <c r="CE373" i="43" s="1"/>
  <c r="BX375" i="43"/>
  <c r="CE375" i="43" s="1"/>
  <c r="BX377" i="43"/>
  <c r="CE377" i="43" s="1"/>
  <c r="AR13" i="43"/>
  <c r="AS13" i="43"/>
  <c r="AP13" i="43"/>
  <c r="AR21" i="43"/>
  <c r="AP21" i="43"/>
  <c r="AR45" i="43"/>
  <c r="AP45" i="43"/>
  <c r="AS45" i="43"/>
  <c r="BX13" i="43"/>
  <c r="CE13" i="43" s="1"/>
  <c r="BK34" i="43"/>
  <c r="CY40" i="43"/>
  <c r="BX50" i="43"/>
  <c r="CE50" i="43" s="1"/>
  <c r="BX52" i="43"/>
  <c r="CE52" i="43" s="1"/>
  <c r="AR192" i="43"/>
  <c r="AP192" i="43"/>
  <c r="CY16" i="43"/>
  <c r="AS17" i="43"/>
  <c r="BX28" i="43"/>
  <c r="CE28" i="43" s="1"/>
  <c r="BX30" i="43"/>
  <c r="CE30" i="43" s="1"/>
  <c r="CY36" i="43"/>
  <c r="BX46" i="43"/>
  <c r="CE46" i="43" s="1"/>
  <c r="AS49" i="43"/>
  <c r="CY54" i="43"/>
  <c r="BK59" i="43"/>
  <c r="BX60" i="43"/>
  <c r="CE60" i="43" s="1"/>
  <c r="CY63" i="43"/>
  <c r="AR210" i="43"/>
  <c r="AP210" i="43"/>
  <c r="AS270" i="43"/>
  <c r="AP270" i="43"/>
  <c r="BX14" i="43"/>
  <c r="CE14" i="43" s="1"/>
  <c r="CY20" i="43"/>
  <c r="CD41" i="43"/>
  <c r="CY48" i="43"/>
  <c r="CY51" i="43"/>
  <c r="BK57" i="43"/>
  <c r="AR164" i="43"/>
  <c r="AP164" i="43"/>
  <c r="AR170" i="43"/>
  <c r="AP170" i="43"/>
  <c r="AR178" i="43"/>
  <c r="AP178" i="43"/>
  <c r="AR206" i="43"/>
  <c r="AP206" i="43"/>
  <c r="AR272" i="43"/>
  <c r="AS272" i="43"/>
  <c r="AR183" i="43"/>
  <c r="AS183" i="43"/>
  <c r="AP183" i="43"/>
  <c r="AR204" i="43"/>
  <c r="AP204" i="43"/>
  <c r="BX62" i="43"/>
  <c r="CE62" i="43" s="1"/>
  <c r="BX70" i="43"/>
  <c r="CE70" i="43" s="1"/>
  <c r="BX76" i="43"/>
  <c r="CE76" i="43" s="1"/>
  <c r="CY82" i="43"/>
  <c r="CY94" i="43"/>
  <c r="AR106" i="43"/>
  <c r="CY108" i="43"/>
  <c r="BK127" i="43"/>
  <c r="BK135" i="43"/>
  <c r="BK143" i="43"/>
  <c r="BK151" i="43"/>
  <c r="BX156" i="43"/>
  <c r="CE156" i="43" s="1"/>
  <c r="CY160" i="43"/>
  <c r="BK165" i="43"/>
  <c r="BK178" i="43"/>
  <c r="BX178" i="43"/>
  <c r="CE178" i="43" s="1"/>
  <c r="CY179" i="43"/>
  <c r="CY180" i="43"/>
  <c r="BX183" i="43"/>
  <c r="CE183" i="43" s="1"/>
  <c r="CY184" i="43"/>
  <c r="BK189" i="43"/>
  <c r="AS194" i="43"/>
  <c r="BX198" i="43"/>
  <c r="CE198" i="43" s="1"/>
  <c r="BK200" i="43"/>
  <c r="BX200" i="43"/>
  <c r="CE200" i="43" s="1"/>
  <c r="AS201" i="43"/>
  <c r="BK204" i="43"/>
  <c r="BK276" i="43"/>
  <c r="BK278" i="43"/>
  <c r="AP322" i="43"/>
  <c r="AR322" i="43"/>
  <c r="AR324" i="43"/>
  <c r="AR341" i="43"/>
  <c r="AS341" i="43"/>
  <c r="AP341" i="43"/>
  <c r="AS345" i="43"/>
  <c r="AR345" i="43"/>
  <c r="AP345" i="43"/>
  <c r="BK56" i="43"/>
  <c r="BX58" i="43"/>
  <c r="CE58" i="43" s="1"/>
  <c r="CY61" i="43"/>
  <c r="BK65" i="43"/>
  <c r="BX65" i="43"/>
  <c r="CE65" i="43" s="1"/>
  <c r="CY67" i="43"/>
  <c r="BX68" i="43"/>
  <c r="CE68" i="43" s="1"/>
  <c r="BK73" i="43"/>
  <c r="BX73" i="43"/>
  <c r="CE73" i="43" s="1"/>
  <c r="CY79" i="43"/>
  <c r="BX81" i="43"/>
  <c r="CE81" i="43" s="1"/>
  <c r="BK84" i="43"/>
  <c r="CY87" i="43"/>
  <c r="CD89" i="43"/>
  <c r="AP89" i="43" s="1"/>
  <c r="BX93" i="43"/>
  <c r="CE93" i="43" s="1"/>
  <c r="BK96" i="43"/>
  <c r="CY99" i="43"/>
  <c r="BX109" i="43"/>
  <c r="CE109" i="43" s="1"/>
  <c r="BK114" i="43"/>
  <c r="BK116" i="43"/>
  <c r="CY118" i="43"/>
  <c r="AS131" i="43"/>
  <c r="AS139" i="43"/>
  <c r="AS147" i="43"/>
  <c r="BK157" i="43"/>
  <c r="AR158" i="43"/>
  <c r="CY158" i="43"/>
  <c r="AS159" i="43"/>
  <c r="BK173" i="43"/>
  <c r="BK174" i="43"/>
  <c r="CY187" i="43"/>
  <c r="CY188" i="43"/>
  <c r="CY197" i="43"/>
  <c r="CY203" i="43"/>
  <c r="CY207" i="43"/>
  <c r="BK281" i="43"/>
  <c r="AP314" i="43"/>
  <c r="AR314" i="43"/>
  <c r="AS327" i="43"/>
  <c r="AR327" i="43"/>
  <c r="AP327" i="43"/>
  <c r="BX101" i="43"/>
  <c r="CE101" i="43" s="1"/>
  <c r="CY163" i="43"/>
  <c r="BK198" i="43"/>
  <c r="AR333" i="43"/>
  <c r="AS333" i="43"/>
  <c r="AP333" i="43"/>
  <c r="AR339" i="43"/>
  <c r="AS339" i="43"/>
  <c r="AP339" i="43"/>
  <c r="AR362" i="43"/>
  <c r="AS362" i="43"/>
  <c r="AP362" i="43"/>
  <c r="CY69" i="43"/>
  <c r="BX74" i="43"/>
  <c r="CE74" i="43" s="1"/>
  <c r="CY74" i="43"/>
  <c r="BX106" i="43"/>
  <c r="CE106" i="43" s="1"/>
  <c r="BK132" i="43"/>
  <c r="BX133" i="43"/>
  <c r="CE133" i="43" s="1"/>
  <c r="BX141" i="43"/>
  <c r="CE141" i="43" s="1"/>
  <c r="BX149" i="43"/>
  <c r="CE149" i="43" s="1"/>
  <c r="BK156" i="43"/>
  <c r="BK280" i="43"/>
  <c r="BX308" i="43"/>
  <c r="CE308" i="43" s="1"/>
  <c r="AP316" i="43"/>
  <c r="AR316" i="43"/>
  <c r="BK289" i="43"/>
  <c r="BK291" i="43"/>
  <c r="BK293" i="43"/>
  <c r="BK295" i="43"/>
  <c r="BK297" i="43"/>
  <c r="CY299" i="43"/>
  <c r="CY300" i="43"/>
  <c r="AR318" i="43"/>
  <c r="AR320" i="43"/>
  <c r="BX320" i="43"/>
  <c r="CE320" i="43" s="1"/>
  <c r="CY321" i="43"/>
  <c r="BX325" i="43"/>
  <c r="CE325" i="43" s="1"/>
  <c r="BX329" i="43"/>
  <c r="CE329" i="43" s="1"/>
  <c r="BX333" i="43"/>
  <c r="CE333" i="43" s="1"/>
  <c r="AS335" i="43"/>
  <c r="BX341" i="43"/>
  <c r="CE341" i="43" s="1"/>
  <c r="AS343" i="43"/>
  <c r="BK351" i="43"/>
  <c r="BX353" i="43"/>
  <c r="CE353" i="43" s="1"/>
  <c r="BX357" i="43"/>
  <c r="CE357" i="43" s="1"/>
  <c r="CY361" i="43"/>
  <c r="BX362" i="43"/>
  <c r="CE362" i="43" s="1"/>
  <c r="AS366" i="43"/>
  <c r="BX370" i="43"/>
  <c r="CE370" i="43" s="1"/>
  <c r="BX380" i="43"/>
  <c r="CE380" i="43" s="1"/>
  <c r="BX381" i="43"/>
  <c r="CE381" i="43" s="1"/>
  <c r="BK288" i="43"/>
  <c r="BK290" i="43"/>
  <c r="BK292" i="43"/>
  <c r="BK294" i="43"/>
  <c r="CY294" i="43"/>
  <c r="BK296" i="43"/>
  <c r="BX300" i="43"/>
  <c r="CE300" i="43" s="1"/>
  <c r="BK304" i="43"/>
  <c r="CY306" i="43"/>
  <c r="CD312" i="43"/>
  <c r="AS312" i="43" s="1"/>
  <c r="BX316" i="43"/>
  <c r="CE316" i="43" s="1"/>
  <c r="CY317" i="43"/>
  <c r="BK318" i="43"/>
  <c r="CY319" i="43"/>
  <c r="BK320" i="43"/>
  <c r="AR350" i="43"/>
  <c r="BX352" i="43"/>
  <c r="CE352" i="43" s="1"/>
  <c r="BK360" i="43"/>
  <c r="CY363" i="43"/>
  <c r="BK380" i="43"/>
  <c r="BX324" i="43"/>
  <c r="CE324" i="43" s="1"/>
  <c r="CD328" i="43"/>
  <c r="AR328" i="43" s="1"/>
  <c r="BX331" i="43"/>
  <c r="CE331" i="43" s="1"/>
  <c r="CY350" i="43"/>
  <c r="CY355" i="43"/>
  <c r="CY359" i="43"/>
  <c r="BK362" i="43"/>
  <c r="BX368" i="43"/>
  <c r="CE368" i="43" s="1"/>
  <c r="BK312" i="43"/>
  <c r="L33" i="35"/>
  <c r="CD14" i="43"/>
  <c r="AR14" i="43" s="1"/>
  <c r="AP17" i="43"/>
  <c r="AS18" i="43"/>
  <c r="BK26" i="43"/>
  <c r="CD29" i="43"/>
  <c r="BX29" i="43"/>
  <c r="CE29" i="43" s="1"/>
  <c r="AR76" i="43"/>
  <c r="AP76" i="43"/>
  <c r="AS76" i="43"/>
  <c r="AR92" i="43"/>
  <c r="AS92" i="43"/>
  <c r="AP92" i="43"/>
  <c r="AR104" i="43"/>
  <c r="AS104" i="43"/>
  <c r="AP104" i="43"/>
  <c r="AR25" i="43"/>
  <c r="AP25" i="43"/>
  <c r="AS25" i="43"/>
  <c r="AP26" i="43"/>
  <c r="AS26" i="43"/>
  <c r="CD32" i="43"/>
  <c r="AS32" i="43" s="1"/>
  <c r="BX32" i="43"/>
  <c r="CE32" i="43" s="1"/>
  <c r="AR64" i="43"/>
  <c r="AS64" i="43"/>
  <c r="AR68" i="43"/>
  <c r="AS68" i="43"/>
  <c r="BX16" i="43"/>
  <c r="CE16" i="43" s="1"/>
  <c r="AS21" i="43"/>
  <c r="BX22" i="43"/>
  <c r="CE22" i="43" s="1"/>
  <c r="CD22" i="43"/>
  <c r="AR22" i="43" s="1"/>
  <c r="CD30" i="43"/>
  <c r="AR30" i="43" s="1"/>
  <c r="AR37" i="43"/>
  <c r="AS37" i="43"/>
  <c r="AR84" i="43"/>
  <c r="AP84" i="43"/>
  <c r="AS84" i="43"/>
  <c r="AR96" i="43"/>
  <c r="AP96" i="43"/>
  <c r="AS96" i="43"/>
  <c r="AR107" i="43"/>
  <c r="AP107" i="43"/>
  <c r="BK11" i="43"/>
  <c r="BK14" i="43"/>
  <c r="AR33" i="43"/>
  <c r="AP33" i="43"/>
  <c r="AP46" i="43"/>
  <c r="AS46" i="43"/>
  <c r="AR60" i="43"/>
  <c r="AS60" i="43"/>
  <c r="CY28" i="43"/>
  <c r="BK30" i="43"/>
  <c r="BX34" i="43"/>
  <c r="CE34" i="43" s="1"/>
  <c r="BX37" i="43"/>
  <c r="CE37" i="43" s="1"/>
  <c r="BK38" i="43"/>
  <c r="BK42" i="43"/>
  <c r="AP49" i="43"/>
  <c r="BK55" i="43"/>
  <c r="BK58" i="43"/>
  <c r="CY59" i="43"/>
  <c r="BK61" i="43"/>
  <c r="BX61" i="43"/>
  <c r="CE61" i="43" s="1"/>
  <c r="BK69" i="43"/>
  <c r="BX69" i="43"/>
  <c r="CE69" i="43" s="1"/>
  <c r="BK77" i="43"/>
  <c r="CD77" i="43"/>
  <c r="BK79" i="43"/>
  <c r="AP80" i="43"/>
  <c r="BK81" i="43"/>
  <c r="CD81" i="43"/>
  <c r="AR81" i="43" s="1"/>
  <c r="BX84" i="43"/>
  <c r="CE84" i="43" s="1"/>
  <c r="BK85" i="43"/>
  <c r="CD85" i="43"/>
  <c r="AR85" i="43" s="1"/>
  <c r="AS88" i="43"/>
  <c r="CY88" i="43"/>
  <c r="CY91" i="43"/>
  <c r="BK92" i="43"/>
  <c r="BK93" i="43"/>
  <c r="CD93" i="43"/>
  <c r="AR93" i="43" s="1"/>
  <c r="BX96" i="43"/>
  <c r="CE96" i="43" s="1"/>
  <c r="BK97" i="43"/>
  <c r="CD97" i="43"/>
  <c r="AR97" i="43" s="1"/>
  <c r="AS100" i="43"/>
  <c r="CY100" i="43"/>
  <c r="AS101" i="43"/>
  <c r="CY103" i="43"/>
  <c r="BK104" i="43"/>
  <c r="AP106" i="43"/>
  <c r="BK106" i="43"/>
  <c r="BK107" i="43"/>
  <c r="BK108" i="43"/>
  <c r="CY109" i="43"/>
  <c r="AS115" i="43"/>
  <c r="BK119" i="43"/>
  <c r="AP121" i="43"/>
  <c r="AS121" i="43"/>
  <c r="CY124" i="43"/>
  <c r="AS125" i="43"/>
  <c r="BX125" i="43"/>
  <c r="CE125" i="43" s="1"/>
  <c r="BK128" i="43"/>
  <c r="AR153" i="43"/>
  <c r="AP153" i="43"/>
  <c r="AR156" i="43"/>
  <c r="AP156" i="43"/>
  <c r="AS156" i="43"/>
  <c r="AP209" i="43"/>
  <c r="AS209" i="43"/>
  <c r="AR209" i="43"/>
  <c r="BK51" i="43"/>
  <c r="CY55" i="43"/>
  <c r="AR119" i="43"/>
  <c r="AS119" i="43"/>
  <c r="AP129" i="43"/>
  <c r="AS129" i="43"/>
  <c r="AS38" i="43"/>
  <c r="AS42" i="43"/>
  <c r="BK67" i="43"/>
  <c r="BK72" i="43"/>
  <c r="CY73" i="43"/>
  <c r="CY77" i="43"/>
  <c r="CY78" i="43"/>
  <c r="CY84" i="43"/>
  <c r="BX92" i="43"/>
  <c r="CE92" i="43" s="1"/>
  <c r="CY92" i="43"/>
  <c r="CY96" i="43"/>
  <c r="BK102" i="43"/>
  <c r="BX104" i="43"/>
  <c r="CE104" i="43" s="1"/>
  <c r="AR127" i="43"/>
  <c r="AS127" i="43"/>
  <c r="AR135" i="43"/>
  <c r="AS135" i="43"/>
  <c r="AR143" i="43"/>
  <c r="AS143" i="43"/>
  <c r="AR151" i="43"/>
  <c r="AS151" i="43"/>
  <c r="AR161" i="43"/>
  <c r="AS161" i="43"/>
  <c r="AP161" i="43"/>
  <c r="AR182" i="43"/>
  <c r="AS182" i="43"/>
  <c r="AP182" i="43"/>
  <c r="AR186" i="43"/>
  <c r="AS186" i="43"/>
  <c r="AP186" i="43"/>
  <c r="CE26" i="43"/>
  <c r="CD34" i="43"/>
  <c r="AR34" i="43" s="1"/>
  <c r="BX38" i="43"/>
  <c r="CE38" i="43" s="1"/>
  <c r="BX40" i="43"/>
  <c r="CE40" i="43" s="1"/>
  <c r="BX42" i="43"/>
  <c r="CE42" i="43" s="1"/>
  <c r="BX44" i="43"/>
  <c r="CE44" i="43" s="1"/>
  <c r="AS50" i="43"/>
  <c r="CY57" i="43"/>
  <c r="BK63" i="43"/>
  <c r="CY65" i="43"/>
  <c r="BX66" i="43"/>
  <c r="CE66" i="43" s="1"/>
  <c r="BK71" i="43"/>
  <c r="AS72" i="43"/>
  <c r="BK75" i="43"/>
  <c r="BX83" i="43"/>
  <c r="CE83" i="43" s="1"/>
  <c r="BX87" i="43"/>
  <c r="CE87" i="43" s="1"/>
  <c r="AP88" i="43"/>
  <c r="BX95" i="43"/>
  <c r="CE95" i="43" s="1"/>
  <c r="BX99" i="43"/>
  <c r="CE99" i="43" s="1"/>
  <c r="AP100" i="43"/>
  <c r="BK110" i="43"/>
  <c r="BK111" i="43"/>
  <c r="AP113" i="43"/>
  <c r="AS113" i="43"/>
  <c r="CY116" i="43"/>
  <c r="AS117" i="43"/>
  <c r="BX117" i="43"/>
  <c r="CE117" i="43" s="1"/>
  <c r="BK120" i="43"/>
  <c r="CY122" i="43"/>
  <c r="BK123" i="43"/>
  <c r="BK124" i="43"/>
  <c r="AP133" i="43"/>
  <c r="AS133" i="43"/>
  <c r="AP141" i="43"/>
  <c r="AS141" i="43"/>
  <c r="AP149" i="43"/>
  <c r="AS149" i="43"/>
  <c r="AR174" i="43"/>
  <c r="AS174" i="43"/>
  <c r="AP174" i="43"/>
  <c r="AR190" i="43"/>
  <c r="AS190" i="43"/>
  <c r="AP190" i="43"/>
  <c r="CY112" i="43"/>
  <c r="BX116" i="43"/>
  <c r="CE116" i="43" s="1"/>
  <c r="BK118" i="43"/>
  <c r="BX119" i="43"/>
  <c r="CE119" i="43" s="1"/>
  <c r="CY128" i="43"/>
  <c r="BX132" i="43"/>
  <c r="CE132" i="43" s="1"/>
  <c r="BK134" i="43"/>
  <c r="BX135" i="43"/>
  <c r="CE135" i="43" s="1"/>
  <c r="CY144" i="43"/>
  <c r="AS145" i="43"/>
  <c r="BX148" i="43"/>
  <c r="CE148" i="43" s="1"/>
  <c r="BK150" i="43"/>
  <c r="BX151" i="43"/>
  <c r="CE151" i="43" s="1"/>
  <c r="BX153" i="43"/>
  <c r="CE153" i="43" s="1"/>
  <c r="AS164" i="43"/>
  <c r="AS165" i="43"/>
  <c r="BX165" i="43"/>
  <c r="CE165" i="43" s="1"/>
  <c r="AS170" i="43"/>
  <c r="BX171" i="43"/>
  <c r="CE171" i="43" s="1"/>
  <c r="BX174" i="43"/>
  <c r="CE174" i="43" s="1"/>
  <c r="AS178" i="43"/>
  <c r="BX182" i="43"/>
  <c r="CE182" i="43" s="1"/>
  <c r="BX186" i="43"/>
  <c r="CE186" i="43" s="1"/>
  <c r="BX190" i="43"/>
  <c r="CE190" i="43" s="1"/>
  <c r="AS192" i="43"/>
  <c r="CY193" i="43"/>
  <c r="BK195" i="43"/>
  <c r="CD197" i="43"/>
  <c r="AS198" i="43"/>
  <c r="CY200" i="43"/>
  <c r="AP201" i="43"/>
  <c r="BX203" i="43"/>
  <c r="CE203" i="43" s="1"/>
  <c r="AS204" i="43"/>
  <c r="BX205" i="43"/>
  <c r="CE205" i="43" s="1"/>
  <c r="AS206" i="43"/>
  <c r="AS210" i="43"/>
  <c r="AS213" i="43"/>
  <c r="CY237" i="43"/>
  <c r="CY239" i="43"/>
  <c r="CY132" i="43"/>
  <c r="BK138" i="43"/>
  <c r="CY148" i="43"/>
  <c r="BK160" i="43"/>
  <c r="BK166" i="43"/>
  <c r="BK172" i="43"/>
  <c r="CY174" i="43"/>
  <c r="BK180" i="43"/>
  <c r="CY182" i="43"/>
  <c r="CY186" i="43"/>
  <c r="CY211" i="43"/>
  <c r="BX111" i="43"/>
  <c r="CE111" i="43" s="1"/>
  <c r="CY120" i="43"/>
  <c r="BX124" i="43"/>
  <c r="CE124" i="43" s="1"/>
  <c r="BK126" i="43"/>
  <c r="BX127" i="43"/>
  <c r="CE127" i="43" s="1"/>
  <c r="CY136" i="43"/>
  <c r="AS137" i="43"/>
  <c r="BX140" i="43"/>
  <c r="CE140" i="43" s="1"/>
  <c r="BK142" i="43"/>
  <c r="BX143" i="43"/>
  <c r="CE143" i="43" s="1"/>
  <c r="CY154" i="43"/>
  <c r="BX157" i="43"/>
  <c r="CE157" i="43" s="1"/>
  <c r="AP159" i="43"/>
  <c r="BX161" i="43"/>
  <c r="CE161" i="43" s="1"/>
  <c r="BK162" i="43"/>
  <c r="CY164" i="43"/>
  <c r="CD168" i="43"/>
  <c r="AR168" i="43" s="1"/>
  <c r="CD169" i="43"/>
  <c r="AR169" i="43" s="1"/>
  <c r="CY170" i="43"/>
  <c r="AS173" i="43"/>
  <c r="BX173" i="43"/>
  <c r="CE173" i="43" s="1"/>
  <c r="BX176" i="43"/>
  <c r="CE176" i="43" s="1"/>
  <c r="CD177" i="43"/>
  <c r="AR177" i="43" s="1"/>
  <c r="CY178" i="43"/>
  <c r="AS181" i="43"/>
  <c r="BX181" i="43"/>
  <c r="CE181" i="43" s="1"/>
  <c r="BX184" i="43"/>
  <c r="CE184" i="43" s="1"/>
  <c r="AS185" i="43"/>
  <c r="BX185" i="43"/>
  <c r="CE185" i="43" s="1"/>
  <c r="BX188" i="43"/>
  <c r="CE188" i="43" s="1"/>
  <c r="AS189" i="43"/>
  <c r="BX189" i="43"/>
  <c r="CE189" i="43" s="1"/>
  <c r="AP194" i="43"/>
  <c r="BK194" i="43"/>
  <c r="BX196" i="43"/>
  <c r="CE196" i="43" s="1"/>
  <c r="AS200" i="43"/>
  <c r="BK212" i="43"/>
  <c r="AP213" i="43"/>
  <c r="BX238" i="43"/>
  <c r="CE238" i="43" s="1"/>
  <c r="BX240" i="43"/>
  <c r="CE240" i="43" s="1"/>
  <c r="BK130" i="43"/>
  <c r="CY140" i="43"/>
  <c r="BK146" i="43"/>
  <c r="CY159" i="43"/>
  <c r="BK161" i="43"/>
  <c r="CY161" i="43"/>
  <c r="CY199" i="43"/>
  <c r="BK208" i="43"/>
  <c r="CY241" i="43"/>
  <c r="BK283" i="43"/>
  <c r="BK287" i="43"/>
  <c r="CY292" i="43"/>
  <c r="CY296" i="43"/>
  <c r="CY298" i="43"/>
  <c r="BX306" i="43"/>
  <c r="CE306" i="43" s="1"/>
  <c r="BX307" i="43"/>
  <c r="CE307" i="43" s="1"/>
  <c r="BX309" i="43"/>
  <c r="CE309" i="43" s="1"/>
  <c r="AR310" i="43"/>
  <c r="BX310" i="43"/>
  <c r="CE310" i="43" s="1"/>
  <c r="BX313" i="43"/>
  <c r="CE313" i="43" s="1"/>
  <c r="BX314" i="43"/>
  <c r="CE314" i="43" s="1"/>
  <c r="BX317" i="43"/>
  <c r="CE317" i="43" s="1"/>
  <c r="BX318" i="43"/>
  <c r="CE318" i="43" s="1"/>
  <c r="BX321" i="43"/>
  <c r="CE321" i="43" s="1"/>
  <c r="CD331" i="43"/>
  <c r="BK279" i="43"/>
  <c r="BK285" i="43"/>
  <c r="BK299" i="43"/>
  <c r="AR270" i="43"/>
  <c r="AP272" i="43"/>
  <c r="BK275" i="43"/>
  <c r="BK277" i="43"/>
  <c r="CY302" i="43"/>
  <c r="CY303" i="43"/>
  <c r="CY304" i="43"/>
  <c r="BK307" i="43"/>
  <c r="AS309" i="43"/>
  <c r="BK309" i="43"/>
  <c r="BX311" i="43"/>
  <c r="CE311" i="43" s="1"/>
  <c r="BX315" i="43"/>
  <c r="CE315" i="43" s="1"/>
  <c r="BX319" i="43"/>
  <c r="CE319" i="43" s="1"/>
  <c r="AS329" i="43"/>
  <c r="AP329" i="43"/>
  <c r="BX280" i="43"/>
  <c r="CE280" i="43" s="1"/>
  <c r="BX282" i="43"/>
  <c r="CE282" i="43" s="1"/>
  <c r="BX284" i="43"/>
  <c r="CE284" i="43" s="1"/>
  <c r="BX286" i="43"/>
  <c r="CE286" i="43" s="1"/>
  <c r="BX288" i="43"/>
  <c r="CE288" i="43" s="1"/>
  <c r="BX290" i="43"/>
  <c r="CE290" i="43" s="1"/>
  <c r="BX292" i="43"/>
  <c r="CE292" i="43" s="1"/>
  <c r="BX294" i="43"/>
  <c r="CE294" i="43" s="1"/>
  <c r="BX296" i="43"/>
  <c r="CE296" i="43" s="1"/>
  <c r="BX298" i="43"/>
  <c r="CE298" i="43" s="1"/>
  <c r="BK300" i="43"/>
  <c r="CY301" i="43"/>
  <c r="BX349" i="43"/>
  <c r="CE349" i="43" s="1"/>
  <c r="BX351" i="43"/>
  <c r="CE351" i="43" s="1"/>
  <c r="CD352" i="43"/>
  <c r="AS352" i="43" s="1"/>
  <c r="AR354" i="43"/>
  <c r="AR358" i="43"/>
  <c r="AP360" i="43"/>
  <c r="AR360" i="43"/>
  <c r="AS361" i="43"/>
  <c r="AP361" i="43"/>
  <c r="AS348" i="43"/>
  <c r="AS350" i="43"/>
  <c r="BX350" i="43"/>
  <c r="CE350" i="43" s="1"/>
  <c r="CY353" i="43"/>
  <c r="AR356" i="43"/>
  <c r="AS364" i="43"/>
  <c r="AR364" i="43"/>
  <c r="AP364" i="43"/>
  <c r="BK356" i="43"/>
  <c r="AP380" i="43"/>
  <c r="AS380" i="43"/>
  <c r="AR380" i="43"/>
  <c r="BX364" i="43"/>
  <c r="CE364" i="43" s="1"/>
  <c r="AS368" i="43"/>
  <c r="BX372" i="43"/>
  <c r="CE372" i="43" s="1"/>
  <c r="CD375" i="43"/>
  <c r="AS375" i="43" s="1"/>
  <c r="BK378" i="43"/>
  <c r="BK381" i="43"/>
  <c r="BX354" i="43"/>
  <c r="CE354" i="43" s="1"/>
  <c r="BX356" i="43"/>
  <c r="CE356" i="43" s="1"/>
  <c r="BX358" i="43"/>
  <c r="CE358" i="43" s="1"/>
  <c r="AP368" i="43"/>
  <c r="AS372" i="43"/>
  <c r="BK372" i="43"/>
  <c r="CD373" i="43"/>
  <c r="AS373" i="43" s="1"/>
  <c r="CD377" i="43"/>
  <c r="AS377" i="43" s="1"/>
  <c r="BX379" i="43"/>
  <c r="CE379" i="43" s="1"/>
  <c r="CD381" i="43"/>
  <c r="AS381" i="43" s="1"/>
  <c r="BK375" i="43"/>
  <c r="O353" i="24"/>
  <c r="AD7" i="45"/>
  <c r="Y5" i="45"/>
  <c r="Z5" i="45" s="1"/>
  <c r="Y12" i="45"/>
  <c r="Y13" i="45"/>
  <c r="Y20" i="45"/>
  <c r="Y21" i="45"/>
  <c r="Y28" i="45"/>
  <c r="Y29" i="45"/>
  <c r="Y36" i="45"/>
  <c r="Y37" i="45"/>
  <c r="Y44" i="45"/>
  <c r="Y45" i="45"/>
  <c r="Y48" i="45"/>
  <c r="Y49" i="45"/>
  <c r="AD53" i="45"/>
  <c r="Y54" i="45"/>
  <c r="AD68" i="45"/>
  <c r="AD69" i="45"/>
  <c r="Y70" i="45"/>
  <c r="AD71" i="45"/>
  <c r="Y72" i="45"/>
  <c r="AD73" i="45"/>
  <c r="Y74" i="45"/>
  <c r="AD75" i="45"/>
  <c r="Y76" i="45"/>
  <c r="AD77" i="45"/>
  <c r="Y78" i="45"/>
  <c r="AD79" i="45"/>
  <c r="Y80" i="45"/>
  <c r="AD81" i="45"/>
  <c r="Y82" i="45"/>
  <c r="AD83" i="45"/>
  <c r="Y84" i="45"/>
  <c r="AD85" i="45"/>
  <c r="Y86" i="45"/>
  <c r="AD87" i="45"/>
  <c r="Y88" i="45"/>
  <c r="AD89" i="45"/>
  <c r="Y90" i="45"/>
  <c r="AD91" i="45"/>
  <c r="Y92" i="45"/>
  <c r="AD93" i="45"/>
  <c r="Y94" i="45"/>
  <c r="AD5" i="45"/>
  <c r="AE5" i="45" s="1"/>
  <c r="AD8" i="45"/>
  <c r="AD11" i="45"/>
  <c r="AE387" i="45" s="1"/>
  <c r="AD12" i="45"/>
  <c r="AD19" i="45"/>
  <c r="AD20" i="45"/>
  <c r="AD27" i="45"/>
  <c r="AD28" i="45"/>
  <c r="AD35" i="45"/>
  <c r="AD36" i="45"/>
  <c r="AD43" i="45"/>
  <c r="AD44" i="45"/>
  <c r="AD48" i="45"/>
  <c r="AD64" i="45"/>
  <c r="AD65" i="45"/>
  <c r="Y66" i="45"/>
  <c r="Y7" i="45"/>
  <c r="Z7" i="45" s="1"/>
  <c r="Y16" i="45"/>
  <c r="Y17" i="45"/>
  <c r="Y24" i="45"/>
  <c r="Y25" i="45"/>
  <c r="Y32" i="45"/>
  <c r="Y33" i="45"/>
  <c r="Y40" i="45"/>
  <c r="Y41" i="45"/>
  <c r="AD47" i="45"/>
  <c r="AD52" i="45"/>
  <c r="AD60" i="45"/>
  <c r="AD61" i="45"/>
  <c r="Y62" i="45"/>
  <c r="K73" i="34"/>
  <c r="K45" i="34"/>
  <c r="K28" i="34"/>
  <c r="K10" i="34"/>
  <c r="K61" i="34"/>
  <c r="K41" i="34"/>
  <c r="K24" i="34"/>
  <c r="K56" i="34"/>
  <c r="K36" i="34"/>
  <c r="K19" i="34"/>
  <c r="K71" i="34"/>
  <c r="K51" i="34"/>
  <c r="K32" i="34"/>
  <c r="K14" i="34"/>
  <c r="AD15" i="45"/>
  <c r="AD16" i="45"/>
  <c r="AD23" i="45"/>
  <c r="AD24" i="45"/>
  <c r="AD31" i="45"/>
  <c r="AD32" i="45"/>
  <c r="AD39" i="45"/>
  <c r="AD40" i="45"/>
  <c r="AD56" i="45"/>
  <c r="AD57" i="45"/>
  <c r="Y58" i="45"/>
  <c r="L15" i="35"/>
  <c r="L62" i="35"/>
  <c r="O346" i="24"/>
  <c r="O347" i="24"/>
  <c r="O348" i="24"/>
  <c r="O349" i="24"/>
  <c r="O350" i="24"/>
  <c r="O351" i="24"/>
  <c r="O352" i="24"/>
  <c r="O370" i="24"/>
  <c r="O371" i="24"/>
  <c r="O372" i="24"/>
  <c r="O373" i="24"/>
  <c r="O374" i="24"/>
  <c r="O375" i="24"/>
  <c r="O376" i="24"/>
  <c r="O377" i="24"/>
  <c r="O378" i="24"/>
  <c r="O379" i="24"/>
  <c r="O380" i="24"/>
  <c r="O381" i="24"/>
  <c r="L28" i="35"/>
  <c r="L74" i="35"/>
  <c r="O226" i="24"/>
  <c r="O230" i="24"/>
  <c r="O232" i="24"/>
  <c r="P232" i="24" s="1"/>
  <c r="CA232" i="24" s="1"/>
  <c r="CG232" i="24" s="1"/>
  <c r="O233" i="24"/>
  <c r="O234" i="24"/>
  <c r="O235" i="24"/>
  <c r="O236" i="24"/>
  <c r="O237" i="24"/>
  <c r="O238" i="24"/>
  <c r="O239" i="24"/>
  <c r="O240" i="24"/>
  <c r="O241" i="24"/>
  <c r="P241" i="24" s="1"/>
  <c r="CA241" i="24" s="1"/>
  <c r="CG241" i="24" s="1"/>
  <c r="O242" i="24"/>
  <c r="O243" i="24"/>
  <c r="O244" i="24"/>
  <c r="O245" i="24"/>
  <c r="O246" i="24"/>
  <c r="O247" i="24"/>
  <c r="O248" i="24"/>
  <c r="O249" i="24"/>
  <c r="O250" i="24"/>
  <c r="O251" i="24"/>
  <c r="O252" i="24"/>
  <c r="O253" i="24"/>
  <c r="O254" i="24"/>
  <c r="O255" i="24"/>
  <c r="O256" i="24"/>
  <c r="O257" i="24"/>
  <c r="O258" i="24"/>
  <c r="O259" i="24"/>
  <c r="O260" i="24"/>
  <c r="O261" i="24"/>
  <c r="O262" i="24"/>
  <c r="O263" i="24"/>
  <c r="O264" i="24"/>
  <c r="O265" i="24"/>
  <c r="O266" i="24"/>
  <c r="O267" i="24"/>
  <c r="O276" i="24"/>
  <c r="P276" i="24" s="1"/>
  <c r="CA276" i="24" s="1"/>
  <c r="CG276" i="24" s="1"/>
  <c r="O279" i="24"/>
  <c r="O280" i="24"/>
  <c r="P280" i="24" s="1"/>
  <c r="CA280" i="24" s="1"/>
  <c r="CG280" i="24" s="1"/>
  <c r="O281" i="24"/>
  <c r="O282" i="24"/>
  <c r="O283" i="24"/>
  <c r="O284" i="24"/>
  <c r="O285" i="24"/>
  <c r="O311" i="24"/>
  <c r="O312" i="24"/>
  <c r="P312" i="24" s="1"/>
  <c r="CA312" i="24" s="1"/>
  <c r="CG312" i="24" s="1"/>
  <c r="O313" i="24"/>
  <c r="P313" i="24" s="1"/>
  <c r="CA313" i="24" s="1"/>
  <c r="CG313" i="24" s="1"/>
  <c r="O314" i="24"/>
  <c r="O315" i="24"/>
  <c r="O316" i="24"/>
  <c r="P316" i="24" s="1"/>
  <c r="CA316" i="24" s="1"/>
  <c r="CG316" i="24" s="1"/>
  <c r="O317" i="24"/>
  <c r="O318" i="24"/>
  <c r="O319" i="24"/>
  <c r="O320" i="24"/>
  <c r="O321" i="24"/>
  <c r="O322" i="24"/>
  <c r="O323" i="24"/>
  <c r="O324" i="24"/>
  <c r="P324" i="24" s="1"/>
  <c r="CA324" i="24" s="1"/>
  <c r="CG324" i="24" s="1"/>
  <c r="O325" i="24"/>
  <c r="O326" i="24"/>
  <c r="O327" i="24"/>
  <c r="O328" i="24"/>
  <c r="P328" i="24" s="1"/>
  <c r="CA328" i="24" s="1"/>
  <c r="CG328" i="24" s="1"/>
  <c r="O329" i="24"/>
  <c r="O330" i="24"/>
  <c r="O331" i="24"/>
  <c r="O332" i="24"/>
  <c r="O333" i="24"/>
  <c r="P333" i="24" s="1"/>
  <c r="CA333" i="24" s="1"/>
  <c r="CG333" i="24" s="1"/>
  <c r="O334" i="24"/>
  <c r="O335" i="24"/>
  <c r="O336" i="24"/>
  <c r="P336" i="24" s="1"/>
  <c r="CA336" i="24" s="1"/>
  <c r="CG336" i="24" s="1"/>
  <c r="O337" i="24"/>
  <c r="O338" i="24"/>
  <c r="O339" i="24"/>
  <c r="O354" i="24"/>
  <c r="P354" i="24" s="1"/>
  <c r="CA354" i="24" s="1"/>
  <c r="CG354" i="24" s="1"/>
  <c r="O355" i="24"/>
  <c r="P355" i="24" s="1"/>
  <c r="CA355" i="24" s="1"/>
  <c r="CG355" i="24" s="1"/>
  <c r="O356" i="24"/>
  <c r="O357" i="24"/>
  <c r="O358" i="24"/>
  <c r="L7" i="35"/>
  <c r="L32" i="35"/>
  <c r="L90" i="35"/>
  <c r="O96" i="24"/>
  <c r="P96" i="24" s="1"/>
  <c r="CA96" i="24" s="1"/>
  <c r="CG96" i="24" s="1"/>
  <c r="O97" i="24"/>
  <c r="O98" i="24"/>
  <c r="O99" i="24"/>
  <c r="O100" i="24"/>
  <c r="P100" i="24" s="1"/>
  <c r="CA100" i="24" s="1"/>
  <c r="CG100" i="24" s="1"/>
  <c r="O101" i="24"/>
  <c r="O102" i="24"/>
  <c r="O103" i="24"/>
  <c r="O104" i="24"/>
  <c r="O105" i="24"/>
  <c r="O106" i="24"/>
  <c r="O107" i="24"/>
  <c r="O108" i="24"/>
  <c r="O109" i="24"/>
  <c r="O110" i="24"/>
  <c r="O111" i="24"/>
  <c r="O112" i="24"/>
  <c r="O113" i="24"/>
  <c r="O114" i="24"/>
  <c r="O134" i="24"/>
  <c r="O135" i="24"/>
  <c r="O136" i="24"/>
  <c r="O137" i="24"/>
  <c r="O138" i="24"/>
  <c r="O139" i="24"/>
  <c r="O140" i="24"/>
  <c r="O141" i="24"/>
  <c r="O142" i="24"/>
  <c r="O143" i="24"/>
  <c r="O144" i="24"/>
  <c r="O145" i="24"/>
  <c r="O146" i="24"/>
  <c r="O147" i="24"/>
  <c r="O148" i="24"/>
  <c r="O149" i="24"/>
  <c r="O150" i="24"/>
  <c r="O151" i="24"/>
  <c r="O152" i="24"/>
  <c r="O153" i="24"/>
  <c r="O154" i="24"/>
  <c r="O175" i="24"/>
  <c r="O176" i="24"/>
  <c r="O177" i="24"/>
  <c r="O178" i="24"/>
  <c r="O179" i="24"/>
  <c r="O180" i="24"/>
  <c r="O181" i="24"/>
  <c r="O182" i="24"/>
  <c r="O183" i="24"/>
  <c r="O184" i="24"/>
  <c r="O185" i="24"/>
  <c r="O186" i="24"/>
  <c r="O187" i="24"/>
  <c r="O188" i="24"/>
  <c r="O189" i="24"/>
  <c r="P189" i="24" s="1"/>
  <c r="CA189" i="24" s="1"/>
  <c r="CG189" i="24" s="1"/>
  <c r="L11" i="35"/>
  <c r="L45" i="35"/>
  <c r="O11" i="24"/>
  <c r="O48" i="24"/>
  <c r="O49" i="24"/>
  <c r="O50" i="24"/>
  <c r="O51" i="24"/>
  <c r="O52" i="24"/>
  <c r="O53" i="24"/>
  <c r="O54" i="24"/>
  <c r="O55" i="24"/>
  <c r="O56" i="24"/>
  <c r="O57" i="24"/>
  <c r="O58" i="24"/>
  <c r="P58" i="24" s="1"/>
  <c r="CA58" i="24" s="1"/>
  <c r="CG58" i="24" s="1"/>
  <c r="O59" i="24"/>
  <c r="O60" i="24"/>
  <c r="O61" i="24"/>
  <c r="O62" i="24"/>
  <c r="O63" i="24"/>
  <c r="O64" i="24"/>
  <c r="P64" i="24" s="1"/>
  <c r="CA64" i="24" s="1"/>
  <c r="CG64" i="24" s="1"/>
  <c r="O65" i="24"/>
  <c r="O66" i="24"/>
  <c r="O67" i="24"/>
  <c r="O68" i="24"/>
  <c r="O69" i="24"/>
  <c r="O70" i="24"/>
  <c r="O71" i="24"/>
  <c r="O72" i="24"/>
  <c r="O73" i="24"/>
  <c r="P73" i="24" s="1"/>
  <c r="CA73" i="24" s="1"/>
  <c r="CG73" i="24" s="1"/>
  <c r="O74" i="24"/>
  <c r="O75" i="24"/>
  <c r="O76" i="24"/>
  <c r="P76" i="24" s="1"/>
  <c r="CA76" i="24" s="1"/>
  <c r="CG76" i="24" s="1"/>
  <c r="O77" i="24"/>
  <c r="O78" i="24"/>
  <c r="P78" i="24" s="1"/>
  <c r="CA78" i="24" s="1"/>
  <c r="CG78" i="24" s="1"/>
  <c r="O79" i="24"/>
  <c r="O80" i="24"/>
  <c r="O81" i="24"/>
  <c r="O82" i="24"/>
  <c r="O83" i="24"/>
  <c r="O84" i="24"/>
  <c r="O85" i="24"/>
  <c r="O86" i="24"/>
  <c r="O87" i="24"/>
  <c r="O88" i="24"/>
  <c r="O89" i="24"/>
  <c r="O90" i="24"/>
  <c r="P90" i="24" s="1"/>
  <c r="CA90" i="24" s="1"/>
  <c r="CG90" i="24" s="1"/>
  <c r="O91" i="24"/>
  <c r="O92" i="24"/>
  <c r="O93" i="24"/>
  <c r="O94" i="24"/>
  <c r="O95" i="24"/>
  <c r="O190" i="24"/>
  <c r="O191" i="24"/>
  <c r="O192" i="24"/>
  <c r="P192" i="24" s="1"/>
  <c r="CA192" i="24" s="1"/>
  <c r="CG192" i="24" s="1"/>
  <c r="O193" i="24"/>
  <c r="AD159" i="45"/>
  <c r="AD163" i="45"/>
  <c r="AD203" i="45"/>
  <c r="AD208" i="45"/>
  <c r="AD210" i="45"/>
  <c r="AD212" i="45"/>
  <c r="AD214" i="45"/>
  <c r="AF214" i="45" s="1"/>
  <c r="AD216" i="45"/>
  <c r="AF216" i="45" s="1"/>
  <c r="AD218" i="45"/>
  <c r="AF218" i="45" s="1"/>
  <c r="AD220" i="45"/>
  <c r="AF220" i="45" s="1"/>
  <c r="AD222" i="45"/>
  <c r="AF222" i="45" s="1"/>
  <c r="AD315" i="45"/>
  <c r="AF315" i="45" s="1"/>
  <c r="AD375" i="45"/>
  <c r="AD379" i="45"/>
  <c r="T384" i="45"/>
  <c r="T389" i="45"/>
  <c r="BA390" i="45"/>
  <c r="BA391" i="45" s="1"/>
  <c r="AS11" i="43"/>
  <c r="AR11" i="43"/>
  <c r="AP11" i="43"/>
  <c r="EI11" i="43" s="1"/>
  <c r="AP15" i="43"/>
  <c r="AS15" i="43"/>
  <c r="AR15" i="43"/>
  <c r="AS20" i="43"/>
  <c r="AR20" i="43"/>
  <c r="AP20" i="43"/>
  <c r="AP39" i="43"/>
  <c r="AS39" i="43"/>
  <c r="AR39" i="43"/>
  <c r="AP43" i="43"/>
  <c r="AS43" i="43"/>
  <c r="AR43" i="43"/>
  <c r="AS48" i="43"/>
  <c r="AR48" i="43"/>
  <c r="AP48" i="43"/>
  <c r="BK62" i="43"/>
  <c r="AD95" i="45"/>
  <c r="AD97" i="45"/>
  <c r="AD99" i="45"/>
  <c r="AD101" i="45"/>
  <c r="AD103" i="45"/>
  <c r="AD105" i="45"/>
  <c r="AD107" i="45"/>
  <c r="AD109" i="45"/>
  <c r="AD111" i="45"/>
  <c r="AD113" i="45"/>
  <c r="AD115" i="45"/>
  <c r="AD117" i="45"/>
  <c r="AD119" i="45"/>
  <c r="AD121" i="45"/>
  <c r="AD123" i="45"/>
  <c r="AD125" i="45"/>
  <c r="AD127" i="45"/>
  <c r="AD129" i="45"/>
  <c r="AD131" i="45"/>
  <c r="AD133" i="45"/>
  <c r="AD135" i="45"/>
  <c r="AD137" i="45"/>
  <c r="AD139" i="45"/>
  <c r="AD143" i="45"/>
  <c r="AD147" i="45"/>
  <c r="AD149" i="45"/>
  <c r="AD151" i="45"/>
  <c r="AD153" i="45"/>
  <c r="AD155" i="45"/>
  <c r="AD158" i="45"/>
  <c r="AD162" i="45"/>
  <c r="AD166" i="45"/>
  <c r="AD170" i="45"/>
  <c r="AD183" i="45"/>
  <c r="AD187" i="45"/>
  <c r="AD191" i="45"/>
  <c r="AC191" i="45" s="1"/>
  <c r="AB191" i="45" s="1"/>
  <c r="AA191" i="45" s="1"/>
  <c r="AD195" i="45"/>
  <c r="AD199" i="45"/>
  <c r="AD204" i="45"/>
  <c r="AD206" i="45"/>
  <c r="AD311" i="45"/>
  <c r="AF311" i="45" s="1"/>
  <c r="Y389" i="45"/>
  <c r="AS16" i="43"/>
  <c r="AR16" i="43"/>
  <c r="AP16" i="43"/>
  <c r="AP27" i="43"/>
  <c r="AS27" i="43"/>
  <c r="AR27" i="43"/>
  <c r="AP35" i="43"/>
  <c r="AS35" i="43"/>
  <c r="AR35" i="43"/>
  <c r="AS40" i="43"/>
  <c r="AR40" i="43"/>
  <c r="AP40" i="43"/>
  <c r="AS44" i="43"/>
  <c r="AR44" i="43"/>
  <c r="AP44" i="43"/>
  <c r="CY50" i="43"/>
  <c r="CY64" i="43"/>
  <c r="BK74" i="43"/>
  <c r="J24" i="44"/>
  <c r="BG390" i="45"/>
  <c r="BG391" i="45" s="1"/>
  <c r="BC390" i="45"/>
  <c r="BC391" i="45" s="1"/>
  <c r="AU390" i="45"/>
  <c r="AU391" i="45" s="1"/>
  <c r="Y387" i="45"/>
  <c r="T387" i="45"/>
  <c r="T382" i="45"/>
  <c r="AD381" i="45"/>
  <c r="AD377" i="45"/>
  <c r="AD373" i="45"/>
  <c r="AD369" i="45"/>
  <c r="AD365" i="45"/>
  <c r="AD361" i="45"/>
  <c r="AD357" i="45"/>
  <c r="AD353" i="45"/>
  <c r="AD349" i="45"/>
  <c r="AD345" i="45"/>
  <c r="AD341" i="45"/>
  <c r="AF341" i="45" s="1"/>
  <c r="AD337" i="45"/>
  <c r="AF337" i="45" s="1"/>
  <c r="AD333" i="45"/>
  <c r="AF333" i="45" s="1"/>
  <c r="AD329" i="45"/>
  <c r="AF329" i="45" s="1"/>
  <c r="AD325" i="45"/>
  <c r="AF325" i="45" s="1"/>
  <c r="AD321" i="45"/>
  <c r="AF321" i="45" s="1"/>
  <c r="AD317" i="45"/>
  <c r="AF317" i="45" s="1"/>
  <c r="AD313" i="45"/>
  <c r="AF313" i="45" s="1"/>
  <c r="AD309" i="45"/>
  <c r="AF309" i="45" s="1"/>
  <c r="AD305" i="45"/>
  <c r="AD289" i="45"/>
  <c r="AC289" i="45" s="1"/>
  <c r="AD285" i="45"/>
  <c r="AC285" i="45" s="1"/>
  <c r="AD281" i="45"/>
  <c r="AC281" i="45" s="1"/>
  <c r="AD277" i="45"/>
  <c r="AC277" i="45" s="1"/>
  <c r="AD273" i="45"/>
  <c r="AC273" i="45" s="1"/>
  <c r="AD269" i="45"/>
  <c r="AC269" i="45" s="1"/>
  <c r="AD265" i="45"/>
  <c r="AC265" i="45" s="1"/>
  <c r="AD261" i="45"/>
  <c r="AC261" i="45" s="1"/>
  <c r="AD257" i="45"/>
  <c r="AC257" i="45" s="1"/>
  <c r="AD253" i="45"/>
  <c r="AC253" i="45" s="1"/>
  <c r="AD249" i="45"/>
  <c r="AC249" i="45" s="1"/>
  <c r="AD245" i="45"/>
  <c r="AC245" i="45" s="1"/>
  <c r="AD241" i="45"/>
  <c r="AC241" i="45" s="1"/>
  <c r="AD237" i="45"/>
  <c r="AC237" i="45" s="1"/>
  <c r="AD201" i="45"/>
  <c r="AD197" i="45"/>
  <c r="AD193" i="45"/>
  <c r="AD189" i="45"/>
  <c r="AD185" i="45"/>
  <c r="AD172" i="45"/>
  <c r="AD168" i="45"/>
  <c r="AD145" i="45"/>
  <c r="AD141" i="45"/>
  <c r="Y68" i="45"/>
  <c r="AD67" i="45"/>
  <c r="Y64" i="45"/>
  <c r="AD63" i="45"/>
  <c r="Y60" i="45"/>
  <c r="AD59" i="45"/>
  <c r="Y56" i="45"/>
  <c r="AD55" i="45"/>
  <c r="Y52" i="45"/>
  <c r="AD51" i="45"/>
  <c r="BB390" i="45"/>
  <c r="BB391" i="45" s="1"/>
  <c r="AD384" i="45"/>
  <c r="T381" i="45"/>
  <c r="AD380" i="45"/>
  <c r="AD376" i="45"/>
  <c r="AD372" i="45"/>
  <c r="AD368" i="45"/>
  <c r="AD364" i="45"/>
  <c r="AD360" i="45"/>
  <c r="AD356" i="45"/>
  <c r="AD352" i="45"/>
  <c r="AD348" i="45"/>
  <c r="AD344" i="45"/>
  <c r="AD340" i="45"/>
  <c r="AF340" i="45" s="1"/>
  <c r="AD336" i="45"/>
  <c r="AF336" i="45" s="1"/>
  <c r="AD332" i="45"/>
  <c r="AF332" i="45" s="1"/>
  <c r="AD328" i="45"/>
  <c r="AF328" i="45" s="1"/>
  <c r="AD324" i="45"/>
  <c r="AF324" i="45" s="1"/>
  <c r="AD320" i="45"/>
  <c r="AF320" i="45" s="1"/>
  <c r="AD316" i="45"/>
  <c r="AF316" i="45" s="1"/>
  <c r="AD312" i="45"/>
  <c r="AF312" i="45" s="1"/>
  <c r="AD308" i="45"/>
  <c r="AF308" i="45" s="1"/>
  <c r="AD304" i="45"/>
  <c r="AD288" i="45"/>
  <c r="AC288" i="45" s="1"/>
  <c r="AD284" i="45"/>
  <c r="AC284" i="45" s="1"/>
  <c r="AD280" i="45"/>
  <c r="AC280" i="45" s="1"/>
  <c r="AD276" i="45"/>
  <c r="AC276" i="45" s="1"/>
  <c r="AD272" i="45"/>
  <c r="AC272" i="45" s="1"/>
  <c r="AD268" i="45"/>
  <c r="AC268" i="45" s="1"/>
  <c r="AD264" i="45"/>
  <c r="AC264" i="45" s="1"/>
  <c r="AD260" i="45"/>
  <c r="AC260" i="45" s="1"/>
  <c r="AD256" i="45"/>
  <c r="AC256" i="45" s="1"/>
  <c r="AD252" i="45"/>
  <c r="AC252" i="45" s="1"/>
  <c r="AD248" i="45"/>
  <c r="AC248" i="45" s="1"/>
  <c r="AD244" i="45"/>
  <c r="AC244" i="45" s="1"/>
  <c r="AD240" i="45"/>
  <c r="AC240" i="45" s="1"/>
  <c r="AD236" i="45"/>
  <c r="AD200" i="45"/>
  <c r="AD196" i="45"/>
  <c r="AD192" i="45"/>
  <c r="AC192" i="45" s="1"/>
  <c r="AB192" i="45" s="1"/>
  <c r="AA192" i="45" s="1"/>
  <c r="AD188" i="45"/>
  <c r="AD184" i="45"/>
  <c r="AD171" i="45"/>
  <c r="AD167" i="45"/>
  <c r="AD144" i="45"/>
  <c r="AD140" i="45"/>
  <c r="Y67" i="45"/>
  <c r="AD66" i="45"/>
  <c r="Y63" i="45"/>
  <c r="AD62" i="45"/>
  <c r="Y59" i="45"/>
  <c r="AD58" i="45"/>
  <c r="Y55" i="45"/>
  <c r="AD54" i="45"/>
  <c r="Y51" i="45"/>
  <c r="AD50" i="45"/>
  <c r="BH390" i="45"/>
  <c r="BH391" i="45" s="1"/>
  <c r="BD390" i="45"/>
  <c r="BD391" i="45" s="1"/>
  <c r="AV390" i="45"/>
  <c r="AV391" i="45" s="1"/>
  <c r="W389" i="45"/>
  <c r="T383" i="45"/>
  <c r="AD382" i="45"/>
  <c r="T379" i="45"/>
  <c r="AD378" i="45"/>
  <c r="AD374" i="45"/>
  <c r="AD370" i="45"/>
  <c r="AD366" i="45"/>
  <c r="AD362" i="45"/>
  <c r="AD358" i="45"/>
  <c r="AD354" i="45"/>
  <c r="AD350" i="45"/>
  <c r="AD346" i="45"/>
  <c r="AD342" i="45"/>
  <c r="AF342" i="45" s="1"/>
  <c r="AD338" i="45"/>
  <c r="AF338" i="45" s="1"/>
  <c r="AD334" i="45"/>
  <c r="AF334" i="45" s="1"/>
  <c r="AD330" i="45"/>
  <c r="AF330" i="45" s="1"/>
  <c r="AD326" i="45"/>
  <c r="AF326" i="45" s="1"/>
  <c r="AD322" i="45"/>
  <c r="AF322" i="45" s="1"/>
  <c r="AD318" i="45"/>
  <c r="AF318" i="45" s="1"/>
  <c r="AD314" i="45"/>
  <c r="AF314" i="45" s="1"/>
  <c r="AD310" i="45"/>
  <c r="AF310" i="45" s="1"/>
  <c r="AD306" i="45"/>
  <c r="AD290" i="45"/>
  <c r="AC290" i="45" s="1"/>
  <c r="AD286" i="45"/>
  <c r="AC286" i="45" s="1"/>
  <c r="AD282" i="45"/>
  <c r="AC282" i="45" s="1"/>
  <c r="AD278" i="45"/>
  <c r="AC278" i="45" s="1"/>
  <c r="AD274" i="45"/>
  <c r="AC274" i="45" s="1"/>
  <c r="AD270" i="45"/>
  <c r="AC270" i="45" s="1"/>
  <c r="AD266" i="45"/>
  <c r="AC266" i="45" s="1"/>
  <c r="AD262" i="45"/>
  <c r="AC262" i="45" s="1"/>
  <c r="AD258" i="45"/>
  <c r="AC258" i="45" s="1"/>
  <c r="AD254" i="45"/>
  <c r="AC254" i="45" s="1"/>
  <c r="AD250" i="45"/>
  <c r="AC250" i="45" s="1"/>
  <c r="AD246" i="45"/>
  <c r="AC246" i="45" s="1"/>
  <c r="AD242" i="45"/>
  <c r="AC242" i="45" s="1"/>
  <c r="AD238" i="45"/>
  <c r="AC238" i="45" s="1"/>
  <c r="Y6" i="45"/>
  <c r="Z6" i="45" s="1"/>
  <c r="AD6" i="45"/>
  <c r="Y9" i="45"/>
  <c r="Z9" i="45" s="1"/>
  <c r="Y10" i="45"/>
  <c r="Z10" i="45" s="1"/>
  <c r="W11" i="45"/>
  <c r="AD13" i="45"/>
  <c r="Y14" i="45"/>
  <c r="AD17" i="45"/>
  <c r="Y18" i="45"/>
  <c r="AD21" i="45"/>
  <c r="Y22" i="45"/>
  <c r="AD25" i="45"/>
  <c r="Y26" i="45"/>
  <c r="AD29" i="45"/>
  <c r="Y30" i="45"/>
  <c r="AD33" i="45"/>
  <c r="Y34" i="45"/>
  <c r="AD37" i="45"/>
  <c r="Y38" i="45"/>
  <c r="AD41" i="45"/>
  <c r="Y42" i="45"/>
  <c r="AD45" i="45"/>
  <c r="Y46" i="45"/>
  <c r="AD49" i="45"/>
  <c r="Y50" i="45"/>
  <c r="Y53" i="45"/>
  <c r="Y57" i="45"/>
  <c r="Y61" i="45"/>
  <c r="Y65" i="45"/>
  <c r="Y69" i="45"/>
  <c r="Y71" i="45"/>
  <c r="Y73" i="45"/>
  <c r="Y75" i="45"/>
  <c r="Y77" i="45"/>
  <c r="Y79" i="45"/>
  <c r="Y81" i="45"/>
  <c r="Y83" i="45"/>
  <c r="Y85" i="45"/>
  <c r="Y87" i="45"/>
  <c r="Y89" i="45"/>
  <c r="Y91" i="45"/>
  <c r="Y93" i="45"/>
  <c r="AD157" i="45"/>
  <c r="AD161" i="45"/>
  <c r="AD165" i="45"/>
  <c r="AD202" i="45"/>
  <c r="AD209" i="45"/>
  <c r="AD211" i="45"/>
  <c r="AD213" i="45"/>
  <c r="AD215" i="45"/>
  <c r="AF215" i="45" s="1"/>
  <c r="AD217" i="45"/>
  <c r="AF217" i="45" s="1"/>
  <c r="AD219" i="45"/>
  <c r="AF219" i="45" s="1"/>
  <c r="AD221" i="45"/>
  <c r="AF221" i="45" s="1"/>
  <c r="AD223" i="45"/>
  <c r="AF223" i="45" s="1"/>
  <c r="AD307" i="45"/>
  <c r="AD371" i="45"/>
  <c r="T380" i="45"/>
  <c r="AD383" i="45"/>
  <c r="L82" i="35"/>
  <c r="AP23" i="43"/>
  <c r="AS23" i="43"/>
  <c r="AR23" i="43"/>
  <c r="AS28" i="43"/>
  <c r="AR28" i="43"/>
  <c r="AP28" i="43"/>
  <c r="AS36" i="43"/>
  <c r="AR36" i="43"/>
  <c r="AP36" i="43"/>
  <c r="BK50" i="43"/>
  <c r="CY76" i="43"/>
  <c r="Y8" i="45"/>
  <c r="Z8" i="45" s="1"/>
  <c r="AD9" i="45"/>
  <c r="AD10" i="45"/>
  <c r="Y11" i="45"/>
  <c r="AD14" i="45"/>
  <c r="Y15" i="45"/>
  <c r="AD18" i="45"/>
  <c r="Y19" i="45"/>
  <c r="AD22" i="45"/>
  <c r="Y23" i="45"/>
  <c r="AD26" i="45"/>
  <c r="Y27" i="45"/>
  <c r="AD30" i="45"/>
  <c r="Y31" i="45"/>
  <c r="AD34" i="45"/>
  <c r="Y35" i="45"/>
  <c r="AD38" i="45"/>
  <c r="Y39" i="45"/>
  <c r="AD42" i="45"/>
  <c r="Y43" i="45"/>
  <c r="AD46" i="45"/>
  <c r="Y47" i="45"/>
  <c r="AD70" i="45"/>
  <c r="AD72" i="45"/>
  <c r="AD74" i="45"/>
  <c r="AD76" i="45"/>
  <c r="AD78" i="45"/>
  <c r="AD80" i="45"/>
  <c r="AD82" i="45"/>
  <c r="AD84" i="45"/>
  <c r="AD86" i="45"/>
  <c r="AD88" i="45"/>
  <c r="AD90" i="45"/>
  <c r="AD92" i="45"/>
  <c r="AD94" i="45"/>
  <c r="AD96" i="45"/>
  <c r="AD98" i="45"/>
  <c r="AD100" i="45"/>
  <c r="AD102" i="45"/>
  <c r="AD104" i="45"/>
  <c r="AD106" i="45"/>
  <c r="AD108" i="45"/>
  <c r="AD110" i="45"/>
  <c r="AD112" i="45"/>
  <c r="AD114" i="45"/>
  <c r="AD116" i="45"/>
  <c r="AD118" i="45"/>
  <c r="AD120" i="45"/>
  <c r="AD122" i="45"/>
  <c r="AD124" i="45"/>
  <c r="AD126" i="45"/>
  <c r="AD128" i="45"/>
  <c r="AD130" i="45"/>
  <c r="AD132" i="45"/>
  <c r="AD134" i="45"/>
  <c r="AD136" i="45"/>
  <c r="AD138" i="45"/>
  <c r="AD142" i="45"/>
  <c r="AD146" i="45"/>
  <c r="AD148" i="45"/>
  <c r="AD150" i="45"/>
  <c r="AD152" i="45"/>
  <c r="AD154" i="45"/>
  <c r="AD156" i="45"/>
  <c r="AD160" i="45"/>
  <c r="AD164" i="45"/>
  <c r="AD169" i="45"/>
  <c r="AD173" i="45"/>
  <c r="AD174" i="45"/>
  <c r="AD175" i="45"/>
  <c r="AD176" i="45"/>
  <c r="AD177" i="45"/>
  <c r="AD178" i="45"/>
  <c r="AD179" i="45"/>
  <c r="AD180" i="45"/>
  <c r="AD181" i="45"/>
  <c r="AD182" i="45"/>
  <c r="AD186" i="45"/>
  <c r="AD190" i="45"/>
  <c r="AC190" i="45" s="1"/>
  <c r="AD194" i="45"/>
  <c r="AD198" i="45"/>
  <c r="AD205" i="45"/>
  <c r="AD207" i="45"/>
  <c r="AD235" i="45"/>
  <c r="AB235" i="45" s="1"/>
  <c r="AD239" i="45"/>
  <c r="AC239" i="45" s="1"/>
  <c r="AD243" i="45"/>
  <c r="AC243" i="45" s="1"/>
  <c r="AD247" i="45"/>
  <c r="AC247" i="45" s="1"/>
  <c r="AD251" i="45"/>
  <c r="AC251" i="45" s="1"/>
  <c r="AD255" i="45"/>
  <c r="AC255" i="45" s="1"/>
  <c r="AD259" i="45"/>
  <c r="AC259" i="45" s="1"/>
  <c r="AD263" i="45"/>
  <c r="AC263" i="45" s="1"/>
  <c r="AD267" i="45"/>
  <c r="AC267" i="45" s="1"/>
  <c r="AD271" i="45"/>
  <c r="AC271" i="45" s="1"/>
  <c r="AD275" i="45"/>
  <c r="AC275" i="45" s="1"/>
  <c r="AD279" i="45"/>
  <c r="AC279" i="45" s="1"/>
  <c r="AD283" i="45"/>
  <c r="AC283" i="45" s="1"/>
  <c r="AD287" i="45"/>
  <c r="AC287" i="45" s="1"/>
  <c r="AD291" i="45"/>
  <c r="AC291" i="45" s="1"/>
  <c r="AD319" i="45"/>
  <c r="AF319" i="45" s="1"/>
  <c r="AD323" i="45"/>
  <c r="AF323" i="45" s="1"/>
  <c r="AD327" i="45"/>
  <c r="AF327" i="45" s="1"/>
  <c r="AD331" i="45"/>
  <c r="AF331" i="45" s="1"/>
  <c r="AD335" i="45"/>
  <c r="AF335" i="45" s="1"/>
  <c r="AD339" i="45"/>
  <c r="AF339" i="45" s="1"/>
  <c r="AD343" i="45"/>
  <c r="AF343" i="45" s="1"/>
  <c r="AD347" i="45"/>
  <c r="AD351" i="45"/>
  <c r="AD355" i="45"/>
  <c r="AD359" i="45"/>
  <c r="AD363" i="45"/>
  <c r="AD367" i="45"/>
  <c r="L96" i="35"/>
  <c r="L84" i="35"/>
  <c r="L80" i="35"/>
  <c r="L68" i="35"/>
  <c r="L52" i="35"/>
  <c r="L47" i="35"/>
  <c r="L43" i="35"/>
  <c r="L30" i="35"/>
  <c r="L17" i="35"/>
  <c r="L13" i="35"/>
  <c r="L103" i="35"/>
  <c r="L95" i="35"/>
  <c r="L83" i="35"/>
  <c r="L75" i="35"/>
  <c r="L67" i="35"/>
  <c r="L55" i="35"/>
  <c r="L46" i="35"/>
  <c r="L42" i="35"/>
  <c r="L29" i="35"/>
  <c r="L16" i="35"/>
  <c r="L12" i="35"/>
  <c r="K4" i="35"/>
  <c r="L3" i="35"/>
  <c r="L97" i="35"/>
  <c r="L89" i="35"/>
  <c r="L81" i="35"/>
  <c r="L69" i="35"/>
  <c r="L61" i="35"/>
  <c r="L57" i="35"/>
  <c r="L48" i="35"/>
  <c r="L44" i="35"/>
  <c r="L31" i="35"/>
  <c r="L27" i="35"/>
  <c r="L23" i="35"/>
  <c r="L18" i="35"/>
  <c r="L14" i="35"/>
  <c r="L10" i="35"/>
  <c r="L19" i="35"/>
  <c r="L54" i="35"/>
  <c r="L70" i="35"/>
  <c r="L102" i="35"/>
  <c r="AP19" i="43"/>
  <c r="AS19" i="43"/>
  <c r="AR19" i="43"/>
  <c r="AS24" i="43"/>
  <c r="AR24" i="43"/>
  <c r="AP24" i="43"/>
  <c r="AP31" i="43"/>
  <c r="AS31" i="43"/>
  <c r="AR31" i="43"/>
  <c r="AP47" i="43"/>
  <c r="AS47" i="43"/>
  <c r="AR47" i="43"/>
  <c r="CY80" i="43"/>
  <c r="K13" i="34"/>
  <c r="K23" i="34"/>
  <c r="K27" i="34"/>
  <c r="K31" i="34"/>
  <c r="K35" i="34"/>
  <c r="K40" i="34"/>
  <c r="K44" i="34"/>
  <c r="K49" i="34"/>
  <c r="K54" i="34"/>
  <c r="K60" i="34"/>
  <c r="K65" i="34"/>
  <c r="K70" i="34"/>
  <c r="K74" i="34"/>
  <c r="CY13" i="43"/>
  <c r="BK15" i="43"/>
  <c r="BX15" i="43"/>
  <c r="CY17" i="43"/>
  <c r="AR18" i="43"/>
  <c r="BK19" i="43"/>
  <c r="BX19" i="43"/>
  <c r="CY21" i="43"/>
  <c r="BK23" i="43"/>
  <c r="BX23" i="43"/>
  <c r="CY25" i="43"/>
  <c r="AR26" i="43"/>
  <c r="BK27" i="43"/>
  <c r="CY29" i="43"/>
  <c r="BK31" i="43"/>
  <c r="BX31" i="43"/>
  <c r="CY33" i="43"/>
  <c r="BK35" i="43"/>
  <c r="BX35" i="43"/>
  <c r="CY37" i="43"/>
  <c r="AR38" i="43"/>
  <c r="BK39" i="43"/>
  <c r="BX39" i="43"/>
  <c r="CY41" i="43"/>
  <c r="AR42" i="43"/>
  <c r="BK43" i="43"/>
  <c r="BX43" i="43"/>
  <c r="CY45" i="43"/>
  <c r="AR46" i="43"/>
  <c r="BK47" i="43"/>
  <c r="BX47" i="43"/>
  <c r="CY49" i="43"/>
  <c r="AR50" i="43"/>
  <c r="BX53" i="43"/>
  <c r="CD53" i="43"/>
  <c r="AP54" i="43"/>
  <c r="AR54" i="43"/>
  <c r="BX57" i="43"/>
  <c r="CD57" i="43"/>
  <c r="AP62" i="43"/>
  <c r="AR62" i="43"/>
  <c r="CD63" i="43"/>
  <c r="BX63" i="43"/>
  <c r="BK66" i="43"/>
  <c r="CY68" i="43"/>
  <c r="BX78" i="43"/>
  <c r="AP90" i="43"/>
  <c r="AS90" i="43"/>
  <c r="AR90" i="43"/>
  <c r="AP102" i="43"/>
  <c r="AS102" i="43"/>
  <c r="AR102" i="43"/>
  <c r="BK105" i="43"/>
  <c r="CY11" i="43"/>
  <c r="BK12" i="43"/>
  <c r="CY14" i="43"/>
  <c r="BK16" i="43"/>
  <c r="CY18" i="43"/>
  <c r="BK20" i="43"/>
  <c r="CY22" i="43"/>
  <c r="BK24" i="43"/>
  <c r="CY26" i="43"/>
  <c r="BK28" i="43"/>
  <c r="CY30" i="43"/>
  <c r="BK32" i="43"/>
  <c r="CY34" i="43"/>
  <c r="BK36" i="43"/>
  <c r="CY38" i="43"/>
  <c r="BK40" i="43"/>
  <c r="CY42" i="43"/>
  <c r="BK44" i="43"/>
  <c r="CY46" i="43"/>
  <c r="BK48" i="43"/>
  <c r="CD51" i="43"/>
  <c r="BX51" i="43"/>
  <c r="AR52" i="43"/>
  <c r="AP52" i="43"/>
  <c r="AP66" i="43"/>
  <c r="AR66" i="43"/>
  <c r="CD67" i="43"/>
  <c r="BX67" i="43"/>
  <c r="BK70" i="43"/>
  <c r="CY72" i="43"/>
  <c r="AS83" i="43"/>
  <c r="AR83" i="43"/>
  <c r="AP83" i="43"/>
  <c r="AS87" i="43"/>
  <c r="AR87" i="43"/>
  <c r="AP87" i="43"/>
  <c r="AS95" i="43"/>
  <c r="AR95" i="43"/>
  <c r="AP95" i="43"/>
  <c r="AS99" i="43"/>
  <c r="AR99" i="43"/>
  <c r="AP99" i="43"/>
  <c r="CY105" i="43"/>
  <c r="K25" i="34"/>
  <c r="K33" i="34"/>
  <c r="K37" i="34"/>
  <c r="K42" i="34"/>
  <c r="K46" i="34"/>
  <c r="K52" i="34"/>
  <c r="K57" i="34"/>
  <c r="K63" i="34"/>
  <c r="K68" i="34"/>
  <c r="K72" i="34"/>
  <c r="BK13" i="43"/>
  <c r="CY15" i="43"/>
  <c r="CY19" i="43"/>
  <c r="BK21" i="43"/>
  <c r="CY23" i="43"/>
  <c r="BK25" i="43"/>
  <c r="CY27" i="43"/>
  <c r="BK29" i="43"/>
  <c r="CY31" i="43"/>
  <c r="BK33" i="43"/>
  <c r="CY35" i="43"/>
  <c r="BK37" i="43"/>
  <c r="CY39" i="43"/>
  <c r="BK41" i="43"/>
  <c r="CY43" i="43"/>
  <c r="BK45" i="43"/>
  <c r="CY47" i="43"/>
  <c r="BK49" i="43"/>
  <c r="BK54" i="43"/>
  <c r="AP58" i="43"/>
  <c r="AR58" i="43"/>
  <c r="CY60" i="43"/>
  <c r="AP70" i="43"/>
  <c r="AR70" i="43"/>
  <c r="CD71" i="43"/>
  <c r="BX71" i="43"/>
  <c r="BK78" i="43"/>
  <c r="AP82" i="43"/>
  <c r="AS82" i="43"/>
  <c r="AR82" i="43"/>
  <c r="AP86" i="43"/>
  <c r="AS86" i="43"/>
  <c r="AR86" i="43"/>
  <c r="AP94" i="43"/>
  <c r="AS94" i="43"/>
  <c r="AR94" i="43"/>
  <c r="AP98" i="43"/>
  <c r="AS98" i="43"/>
  <c r="AR98" i="43"/>
  <c r="K6" i="34"/>
  <c r="J7" i="34"/>
  <c r="J29" i="34" s="1"/>
  <c r="K12" i="34"/>
  <c r="K26" i="34"/>
  <c r="K30" i="34"/>
  <c r="K34" i="34"/>
  <c r="K38" i="34"/>
  <c r="K43" i="34"/>
  <c r="K48" i="34"/>
  <c r="K53" i="34"/>
  <c r="K58" i="34"/>
  <c r="K64" i="34"/>
  <c r="K69" i="34"/>
  <c r="AS52" i="43"/>
  <c r="BK52" i="43"/>
  <c r="CD55" i="43"/>
  <c r="BX55" i="43"/>
  <c r="AR56" i="43"/>
  <c r="AP56" i="43"/>
  <c r="CY56" i="43"/>
  <c r="CD59" i="43"/>
  <c r="BX59" i="43"/>
  <c r="BK68" i="43"/>
  <c r="CY70" i="43"/>
  <c r="AP74" i="43"/>
  <c r="AR74" i="43"/>
  <c r="CD75" i="43"/>
  <c r="BX75" i="43"/>
  <c r="AP78" i="43"/>
  <c r="AR78" i="43"/>
  <c r="CD79" i="43"/>
  <c r="BX79" i="43"/>
  <c r="AS91" i="43"/>
  <c r="AR91" i="43"/>
  <c r="AP91" i="43"/>
  <c r="AS103" i="43"/>
  <c r="AR103" i="43"/>
  <c r="AP103" i="43"/>
  <c r="BK82" i="43"/>
  <c r="BX82" i="43"/>
  <c r="BK86" i="43"/>
  <c r="BX86" i="43"/>
  <c r="BK90" i="43"/>
  <c r="BX90" i="43"/>
  <c r="BK94" i="43"/>
  <c r="BX94" i="43"/>
  <c r="BK98" i="43"/>
  <c r="BX98" i="43"/>
  <c r="AR101" i="43"/>
  <c r="BX102" i="43"/>
  <c r="CY104" i="43"/>
  <c r="AS105" i="43"/>
  <c r="AS122" i="43"/>
  <c r="AR122" i="43"/>
  <c r="AP122" i="43"/>
  <c r="AS138" i="43"/>
  <c r="AR138" i="43"/>
  <c r="AP138" i="43"/>
  <c r="BK154" i="43"/>
  <c r="CY155" i="43"/>
  <c r="AP60" i="43"/>
  <c r="CD61" i="43"/>
  <c r="AP64" i="43"/>
  <c r="CD65" i="43"/>
  <c r="AP68" i="43"/>
  <c r="CD69" i="43"/>
  <c r="AP72" i="43"/>
  <c r="CD73" i="43"/>
  <c r="CY81" i="43"/>
  <c r="BK83" i="43"/>
  <c r="CY85" i="43"/>
  <c r="BK87" i="43"/>
  <c r="CY89" i="43"/>
  <c r="BK91" i="43"/>
  <c r="CY93" i="43"/>
  <c r="BK95" i="43"/>
  <c r="CY97" i="43"/>
  <c r="BK99" i="43"/>
  <c r="CY101" i="43"/>
  <c r="BK103" i="43"/>
  <c r="CY107" i="43"/>
  <c r="AP109" i="43"/>
  <c r="AR109" i="43"/>
  <c r="AS126" i="43"/>
  <c r="AR126" i="43"/>
  <c r="AP126" i="43"/>
  <c r="AS142" i="43"/>
  <c r="AR142" i="43"/>
  <c r="AP142" i="43"/>
  <c r="BK153" i="43"/>
  <c r="CY90" i="43"/>
  <c r="CD110" i="43"/>
  <c r="BX110" i="43"/>
  <c r="AS114" i="43"/>
  <c r="AR114" i="43"/>
  <c r="AP114" i="43"/>
  <c r="AS130" i="43"/>
  <c r="AR130" i="43"/>
  <c r="AP130" i="43"/>
  <c r="AS146" i="43"/>
  <c r="AR146" i="43"/>
  <c r="AP146" i="43"/>
  <c r="AR105" i="43"/>
  <c r="AS107" i="43"/>
  <c r="BX108" i="43"/>
  <c r="CD108" i="43"/>
  <c r="BK109" i="43"/>
  <c r="AS118" i="43"/>
  <c r="AR118" i="43"/>
  <c r="AP118" i="43"/>
  <c r="AS134" i="43"/>
  <c r="AR134" i="43"/>
  <c r="AP134" i="43"/>
  <c r="AS150" i="43"/>
  <c r="AR150" i="43"/>
  <c r="AP150" i="43"/>
  <c r="CY152" i="43"/>
  <c r="CY156" i="43"/>
  <c r="CY157" i="43"/>
  <c r="CY111" i="43"/>
  <c r="BK113" i="43"/>
  <c r="CY115" i="43"/>
  <c r="BK117" i="43"/>
  <c r="CY119" i="43"/>
  <c r="BK121" i="43"/>
  <c r="CY123" i="43"/>
  <c r="BK125" i="43"/>
  <c r="CY127" i="43"/>
  <c r="BK129" i="43"/>
  <c r="CY131" i="43"/>
  <c r="BK133" i="43"/>
  <c r="CY135" i="43"/>
  <c r="BK137" i="43"/>
  <c r="CY139" i="43"/>
  <c r="BK141" i="43"/>
  <c r="CY143" i="43"/>
  <c r="BK145" i="43"/>
  <c r="CY147" i="43"/>
  <c r="BK149" i="43"/>
  <c r="CY151" i="43"/>
  <c r="BK158" i="43"/>
  <c r="AS163" i="43"/>
  <c r="AR163" i="43"/>
  <c r="AP163" i="43"/>
  <c r="BK193" i="43"/>
  <c r="AP111" i="43"/>
  <c r="CD112" i="43"/>
  <c r="AR113" i="43"/>
  <c r="BX114" i="43"/>
  <c r="AP115" i="43"/>
  <c r="CD116" i="43"/>
  <c r="AR117" i="43"/>
  <c r="BX118" i="43"/>
  <c r="AP119" i="43"/>
  <c r="CD120" i="43"/>
  <c r="AR121" i="43"/>
  <c r="BX122" i="43"/>
  <c r="AP123" i="43"/>
  <c r="CD124" i="43"/>
  <c r="AR125" i="43"/>
  <c r="BX126" i="43"/>
  <c r="AP127" i="43"/>
  <c r="CD128" i="43"/>
  <c r="AR129" i="43"/>
  <c r="BX130" i="43"/>
  <c r="AP131" i="43"/>
  <c r="CD132" i="43"/>
  <c r="AR133" i="43"/>
  <c r="BX134" i="43"/>
  <c r="AP135" i="43"/>
  <c r="CD136" i="43"/>
  <c r="AR137" i="43"/>
  <c r="BX138" i="43"/>
  <c r="AP139" i="43"/>
  <c r="CD140" i="43"/>
  <c r="AR141" i="43"/>
  <c r="BX142" i="43"/>
  <c r="AP143" i="43"/>
  <c r="CD144" i="43"/>
  <c r="AR145" i="43"/>
  <c r="BX146" i="43"/>
  <c r="AP147" i="43"/>
  <c r="CD148" i="43"/>
  <c r="AR149" i="43"/>
  <c r="BX150" i="43"/>
  <c r="AP151" i="43"/>
  <c r="CD152" i="43"/>
  <c r="AS153" i="43"/>
  <c r="CD154" i="43"/>
  <c r="AP160" i="43"/>
  <c r="AS160" i="43"/>
  <c r="AR160" i="43"/>
  <c r="AP166" i="43"/>
  <c r="AS166" i="43"/>
  <c r="AR166" i="43"/>
  <c r="AP172" i="43"/>
  <c r="AS172" i="43"/>
  <c r="AR172" i="43"/>
  <c r="AP176" i="43"/>
  <c r="AS176" i="43"/>
  <c r="AR176" i="43"/>
  <c r="AP180" i="43"/>
  <c r="AS180" i="43"/>
  <c r="AR180" i="43"/>
  <c r="AP184" i="43"/>
  <c r="AS184" i="43"/>
  <c r="AR184" i="43"/>
  <c r="AP188" i="43"/>
  <c r="AS188" i="43"/>
  <c r="AR188" i="43"/>
  <c r="CY192" i="43"/>
  <c r="CY212" i="43"/>
  <c r="CY113" i="43"/>
  <c r="CY117" i="43"/>
  <c r="CY121" i="43"/>
  <c r="CY129" i="43"/>
  <c r="CY133" i="43"/>
  <c r="CY149" i="43"/>
  <c r="AP155" i="43"/>
  <c r="AS155" i="43"/>
  <c r="AP157" i="43"/>
  <c r="AS157" i="43"/>
  <c r="AP162" i="43"/>
  <c r="AS162" i="43"/>
  <c r="AR162" i="43"/>
  <c r="AS175" i="43"/>
  <c r="AR175" i="43"/>
  <c r="AP175" i="43"/>
  <c r="AS187" i="43"/>
  <c r="AR187" i="43"/>
  <c r="AP187" i="43"/>
  <c r="BK197" i="43"/>
  <c r="CY202" i="43"/>
  <c r="CY208" i="43"/>
  <c r="AS158" i="43"/>
  <c r="BX158" i="43"/>
  <c r="AS171" i="43"/>
  <c r="AR171" i="43"/>
  <c r="AP171" i="43"/>
  <c r="CY195" i="43"/>
  <c r="BX160" i="43"/>
  <c r="BX162" i="43"/>
  <c r="AR165" i="43"/>
  <c r="BX166" i="43"/>
  <c r="BX172" i="43"/>
  <c r="AR173" i="43"/>
  <c r="BK176" i="43"/>
  <c r="BX180" i="43"/>
  <c r="AR181" i="43"/>
  <c r="BK184" i="43"/>
  <c r="AR185" i="43"/>
  <c r="BK188" i="43"/>
  <c r="AR189" i="43"/>
  <c r="CY190" i="43"/>
  <c r="BX193" i="43"/>
  <c r="CD196" i="43"/>
  <c r="CY201" i="43"/>
  <c r="AS202" i="43"/>
  <c r="AP202" i="43"/>
  <c r="BK203" i="43"/>
  <c r="BK205" i="43"/>
  <c r="BK207" i="43"/>
  <c r="AS208" i="43"/>
  <c r="AP208" i="43"/>
  <c r="BK211" i="43"/>
  <c r="AS212" i="43"/>
  <c r="AP212" i="43"/>
  <c r="AS222" i="43"/>
  <c r="AR222" i="43"/>
  <c r="AP222" i="43"/>
  <c r="AS226" i="43"/>
  <c r="AR226" i="43"/>
  <c r="AP226" i="43"/>
  <c r="AS230" i="43"/>
  <c r="AR230" i="43"/>
  <c r="AP230" i="43"/>
  <c r="AS234" i="43"/>
  <c r="AR234" i="43"/>
  <c r="AP234" i="43"/>
  <c r="BK237" i="43"/>
  <c r="BK239" i="43"/>
  <c r="BK163" i="43"/>
  <c r="CY165" i="43"/>
  <c r="BK167" i="43"/>
  <c r="CY168" i="43"/>
  <c r="CY169" i="43"/>
  <c r="BK171" i="43"/>
  <c r="CY173" i="43"/>
  <c r="BK175" i="43"/>
  <c r="CY177" i="43"/>
  <c r="BK179" i="43"/>
  <c r="CY181" i="43"/>
  <c r="BK183" i="43"/>
  <c r="CY185" i="43"/>
  <c r="BK187" i="43"/>
  <c r="CY189" i="43"/>
  <c r="BK191" i="43"/>
  <c r="CY194" i="43"/>
  <c r="AS195" i="43"/>
  <c r="AP195" i="43"/>
  <c r="BK196" i="43"/>
  <c r="AS199" i="43"/>
  <c r="AP199" i="43"/>
  <c r="CY204" i="43"/>
  <c r="BK206" i="43"/>
  <c r="BK210" i="43"/>
  <c r="AP214" i="43"/>
  <c r="AR214" i="43"/>
  <c r="AS221" i="43"/>
  <c r="AR221" i="43"/>
  <c r="AP221" i="43"/>
  <c r="AS225" i="43"/>
  <c r="AR225" i="43"/>
  <c r="AP225" i="43"/>
  <c r="AS229" i="43"/>
  <c r="AR229" i="43"/>
  <c r="AP229" i="43"/>
  <c r="AS233" i="43"/>
  <c r="AR233" i="43"/>
  <c r="AP233" i="43"/>
  <c r="CY198" i="43"/>
  <c r="AR199" i="43"/>
  <c r="BK199" i="43"/>
  <c r="BX199" i="43"/>
  <c r="BX202" i="43"/>
  <c r="BX208" i="43"/>
  <c r="CY209" i="43"/>
  <c r="BX212" i="43"/>
  <c r="BX214" i="43"/>
  <c r="CD215" i="43"/>
  <c r="BX215" i="43"/>
  <c r="CD216" i="43"/>
  <c r="BX216" i="43"/>
  <c r="CD217" i="43"/>
  <c r="BX217" i="43"/>
  <c r="CD218" i="43"/>
  <c r="BX218" i="43"/>
  <c r="AS220" i="43"/>
  <c r="AR220" i="43"/>
  <c r="AP220" i="43"/>
  <c r="AS224" i="43"/>
  <c r="AR224" i="43"/>
  <c r="AP224" i="43"/>
  <c r="AS228" i="43"/>
  <c r="AR228" i="43"/>
  <c r="AP228" i="43"/>
  <c r="AS232" i="43"/>
  <c r="AR232" i="43"/>
  <c r="AP232" i="43"/>
  <c r="AS236" i="43"/>
  <c r="AR236" i="43"/>
  <c r="AP236" i="43"/>
  <c r="CD193" i="43"/>
  <c r="BX195" i="43"/>
  <c r="AP200" i="43"/>
  <c r="BK201" i="43"/>
  <c r="CD203" i="43"/>
  <c r="CD205" i="43"/>
  <c r="BX206" i="43"/>
  <c r="CD207" i="43"/>
  <c r="BX210" i="43"/>
  <c r="CD211" i="43"/>
  <c r="BK214" i="43"/>
  <c r="CY214" i="43"/>
  <c r="AS219" i="43"/>
  <c r="AR219" i="43"/>
  <c r="AP219" i="43"/>
  <c r="AS223" i="43"/>
  <c r="AR223" i="43"/>
  <c r="AP223" i="43"/>
  <c r="AS227" i="43"/>
  <c r="AR227" i="43"/>
  <c r="AP227" i="43"/>
  <c r="AS231" i="43"/>
  <c r="AR231" i="43"/>
  <c r="AP231" i="43"/>
  <c r="AS235" i="43"/>
  <c r="AR235" i="43"/>
  <c r="AP235" i="43"/>
  <c r="BK241" i="43"/>
  <c r="CY213" i="43"/>
  <c r="BK215" i="43"/>
  <c r="BK216" i="43"/>
  <c r="BK217" i="43"/>
  <c r="BK218" i="43"/>
  <c r="BK219" i="43"/>
  <c r="BX219" i="43"/>
  <c r="BK220" i="43"/>
  <c r="BX220" i="43"/>
  <c r="BK221" i="43"/>
  <c r="BX221" i="43"/>
  <c r="BK222" i="43"/>
  <c r="BX222" i="43"/>
  <c r="BK223" i="43"/>
  <c r="BX223" i="43"/>
  <c r="BK224" i="43"/>
  <c r="BX224" i="43"/>
  <c r="BK225" i="43"/>
  <c r="BX225" i="43"/>
  <c r="BK226" i="43"/>
  <c r="BX226" i="43"/>
  <c r="BK227" i="43"/>
  <c r="BX227" i="43"/>
  <c r="BK228" i="43"/>
  <c r="BX228" i="43"/>
  <c r="BK229" i="43"/>
  <c r="BX229" i="43"/>
  <c r="BK230" i="43"/>
  <c r="BX230" i="43"/>
  <c r="BK231" i="43"/>
  <c r="BX231" i="43"/>
  <c r="BK232" i="43"/>
  <c r="BX232" i="43"/>
  <c r="BK233" i="43"/>
  <c r="BX233" i="43"/>
  <c r="BK234" i="43"/>
  <c r="BX234" i="43"/>
  <c r="BK235" i="43"/>
  <c r="BX235" i="43"/>
  <c r="BK236" i="43"/>
  <c r="BX236" i="43"/>
  <c r="BX237" i="43"/>
  <c r="BX239" i="43"/>
  <c r="BX241" i="43"/>
  <c r="AS242" i="43"/>
  <c r="AR242" i="43"/>
  <c r="AP242" i="43"/>
  <c r="AS246" i="43"/>
  <c r="AR246" i="43"/>
  <c r="AP246" i="43"/>
  <c r="AS250" i="43"/>
  <c r="AR250" i="43"/>
  <c r="AP250" i="43"/>
  <c r="AS254" i="43"/>
  <c r="AR254" i="43"/>
  <c r="AP254" i="43"/>
  <c r="AS258" i="43"/>
  <c r="AR258" i="43"/>
  <c r="AP258" i="43"/>
  <c r="AS262" i="43"/>
  <c r="AR262" i="43"/>
  <c r="AP262" i="43"/>
  <c r="AS266" i="43"/>
  <c r="AR266" i="43"/>
  <c r="AP266" i="43"/>
  <c r="AS238" i="43"/>
  <c r="AP238" i="43"/>
  <c r="AS240" i="43"/>
  <c r="AP240" i="43"/>
  <c r="AS245" i="43"/>
  <c r="AR245" i="43"/>
  <c r="AS249" i="43"/>
  <c r="AR249" i="43"/>
  <c r="AP249" i="43"/>
  <c r="AS253" i="43"/>
  <c r="AR253" i="43"/>
  <c r="AP253" i="43"/>
  <c r="AS257" i="43"/>
  <c r="AR257" i="43"/>
  <c r="AP257" i="43"/>
  <c r="AS261" i="43"/>
  <c r="AR261" i="43"/>
  <c r="AP261" i="43"/>
  <c r="AS265" i="43"/>
  <c r="AR265" i="43"/>
  <c r="AP265" i="43"/>
  <c r="AS269" i="43"/>
  <c r="AR269" i="43"/>
  <c r="AP269" i="43"/>
  <c r="CY215" i="43"/>
  <c r="CY216" i="43"/>
  <c r="CY217" i="43"/>
  <c r="CY218" i="43"/>
  <c r="CY219" i="43"/>
  <c r="CY220" i="43"/>
  <c r="CY221" i="43"/>
  <c r="CY222" i="43"/>
  <c r="CY223" i="43"/>
  <c r="CY224" i="43"/>
  <c r="CY225" i="43"/>
  <c r="CY226" i="43"/>
  <c r="CY227" i="43"/>
  <c r="CY228" i="43"/>
  <c r="CY229" i="43"/>
  <c r="CY230" i="43"/>
  <c r="CY231" i="43"/>
  <c r="CY232" i="43"/>
  <c r="CY233" i="43"/>
  <c r="CY234" i="43"/>
  <c r="CY235" i="43"/>
  <c r="BK238" i="43"/>
  <c r="BK240" i="43"/>
  <c r="AS244" i="43"/>
  <c r="AR244" i="43"/>
  <c r="AP244" i="43"/>
  <c r="AS248" i="43"/>
  <c r="AR248" i="43"/>
  <c r="AP248" i="43"/>
  <c r="AS252" i="43"/>
  <c r="AR252" i="43"/>
  <c r="AP252" i="43"/>
  <c r="AS256" i="43"/>
  <c r="AR256" i="43"/>
  <c r="AP256" i="43"/>
  <c r="AS260" i="43"/>
  <c r="AR260" i="43"/>
  <c r="AP260" i="43"/>
  <c r="AS264" i="43"/>
  <c r="AR264" i="43"/>
  <c r="AP264" i="43"/>
  <c r="AS268" i="43"/>
  <c r="AR268" i="43"/>
  <c r="AP268" i="43"/>
  <c r="AS271" i="43"/>
  <c r="AR271" i="43"/>
  <c r="AP271" i="43"/>
  <c r="CD237" i="43"/>
  <c r="CD239" i="43"/>
  <c r="CD241" i="43"/>
  <c r="AS243" i="43"/>
  <c r="AR243" i="43"/>
  <c r="AP243" i="43"/>
  <c r="AS247" i="43"/>
  <c r="AR247" i="43"/>
  <c r="AP247" i="43"/>
  <c r="AS251" i="43"/>
  <c r="AR251" i="43"/>
  <c r="AP251" i="43"/>
  <c r="AS255" i="43"/>
  <c r="AR255" i="43"/>
  <c r="AP255" i="43"/>
  <c r="AS259" i="43"/>
  <c r="AR259" i="43"/>
  <c r="AP259" i="43"/>
  <c r="AS263" i="43"/>
  <c r="AR263" i="43"/>
  <c r="AP263" i="43"/>
  <c r="AS267" i="43"/>
  <c r="AR267" i="43"/>
  <c r="AP267" i="43"/>
  <c r="AS273" i="43"/>
  <c r="AR273" i="43"/>
  <c r="AP273" i="43"/>
  <c r="AP274" i="43"/>
  <c r="AS274" i="43"/>
  <c r="AR274" i="43"/>
  <c r="BK242" i="43"/>
  <c r="BX242" i="43"/>
  <c r="BK243" i="43"/>
  <c r="BX243" i="43"/>
  <c r="BK244" i="43"/>
  <c r="BX244" i="43"/>
  <c r="BK245" i="43"/>
  <c r="BX245" i="43"/>
  <c r="BK246" i="43"/>
  <c r="BX246" i="43"/>
  <c r="BK247" i="43"/>
  <c r="BX247" i="43"/>
  <c r="BK248" i="43"/>
  <c r="BX248" i="43"/>
  <c r="BK249" i="43"/>
  <c r="BX249" i="43"/>
  <c r="BK250" i="43"/>
  <c r="BX250" i="43"/>
  <c r="BK251" i="43"/>
  <c r="BX251" i="43"/>
  <c r="BK252" i="43"/>
  <c r="BX252" i="43"/>
  <c r="BK253" i="43"/>
  <c r="BX253" i="43"/>
  <c r="BK254" i="43"/>
  <c r="BX254" i="43"/>
  <c r="BK255" i="43"/>
  <c r="BX255" i="43"/>
  <c r="BK256" i="43"/>
  <c r="BX256" i="43"/>
  <c r="BK257" i="43"/>
  <c r="BX257" i="43"/>
  <c r="BK258" i="43"/>
  <c r="BX258" i="43"/>
  <c r="BK259" i="43"/>
  <c r="BX259" i="43"/>
  <c r="BK260" i="43"/>
  <c r="BX260" i="43"/>
  <c r="BK261" i="43"/>
  <c r="BX261" i="43"/>
  <c r="BK262" i="43"/>
  <c r="BX262" i="43"/>
  <c r="BK263" i="43"/>
  <c r="BX263" i="43"/>
  <c r="BK264" i="43"/>
  <c r="BX264" i="43"/>
  <c r="BK265" i="43"/>
  <c r="BX265" i="43"/>
  <c r="BK266" i="43"/>
  <c r="BX266" i="43"/>
  <c r="BK267" i="43"/>
  <c r="BX267" i="43"/>
  <c r="BK268" i="43"/>
  <c r="BX268" i="43"/>
  <c r="BK269" i="43"/>
  <c r="BX269" i="43"/>
  <c r="BK271" i="43"/>
  <c r="BX271" i="43"/>
  <c r="BK273" i="43"/>
  <c r="BX273" i="43"/>
  <c r="CD275" i="43"/>
  <c r="BX275" i="43"/>
  <c r="BX276" i="43"/>
  <c r="CD276" i="43"/>
  <c r="AS281" i="43"/>
  <c r="AR281" i="43"/>
  <c r="AP281" i="43"/>
  <c r="AS283" i="43"/>
  <c r="AR283" i="43"/>
  <c r="AP283" i="43"/>
  <c r="AS285" i="43"/>
  <c r="AR285" i="43"/>
  <c r="AP285" i="43"/>
  <c r="AS287" i="43"/>
  <c r="AR287" i="43"/>
  <c r="AP287" i="43"/>
  <c r="AS289" i="43"/>
  <c r="AR289" i="43"/>
  <c r="AP289" i="43"/>
  <c r="AS291" i="43"/>
  <c r="AR291" i="43"/>
  <c r="AP291" i="43"/>
  <c r="AS293" i="43"/>
  <c r="AR293" i="43"/>
  <c r="AP293" i="43"/>
  <c r="AS295" i="43"/>
  <c r="AR295" i="43"/>
  <c r="AP295" i="43"/>
  <c r="AS297" i="43"/>
  <c r="AR297" i="43"/>
  <c r="AP297" i="43"/>
  <c r="AS299" i="43"/>
  <c r="AR299" i="43"/>
  <c r="AP299" i="43"/>
  <c r="AS301" i="43"/>
  <c r="AR301" i="43"/>
  <c r="AP301" i="43"/>
  <c r="BK310" i="43"/>
  <c r="CD277" i="43"/>
  <c r="BX277" i="43"/>
  <c r="CY307" i="43"/>
  <c r="CY309" i="43"/>
  <c r="CY242" i="43"/>
  <c r="CY243" i="43"/>
  <c r="CY244" i="43"/>
  <c r="CY245" i="43"/>
  <c r="CY246" i="43"/>
  <c r="CY247" i="43"/>
  <c r="CY248" i="43"/>
  <c r="CY249" i="43"/>
  <c r="CY250" i="43"/>
  <c r="CY251" i="43"/>
  <c r="CY252" i="43"/>
  <c r="CY253" i="43"/>
  <c r="CY254" i="43"/>
  <c r="CY255" i="43"/>
  <c r="BK270" i="43"/>
  <c r="BK272" i="43"/>
  <c r="BK274" i="43"/>
  <c r="CY305" i="43"/>
  <c r="CD279" i="43"/>
  <c r="BX279" i="43"/>
  <c r="AS302" i="43"/>
  <c r="AR302" i="43"/>
  <c r="AP302" i="43"/>
  <c r="AS303" i="43"/>
  <c r="AR303" i="43"/>
  <c r="AP303" i="43"/>
  <c r="AS304" i="43"/>
  <c r="AR304" i="43"/>
  <c r="AP304" i="43"/>
  <c r="CD278" i="43"/>
  <c r="CD280" i="43"/>
  <c r="BX281" i="43"/>
  <c r="CD282" i="43"/>
  <c r="BX283" i="43"/>
  <c r="CD284" i="43"/>
  <c r="BX285" i="43"/>
  <c r="CD286" i="43"/>
  <c r="BX287" i="43"/>
  <c r="CD288" i="43"/>
  <c r="BX289" i="43"/>
  <c r="CD290" i="43"/>
  <c r="BX291" i="43"/>
  <c r="CD292" i="43"/>
  <c r="BX293" i="43"/>
  <c r="CD294" i="43"/>
  <c r="BX295" i="43"/>
  <c r="CD296" i="43"/>
  <c r="BX297" i="43"/>
  <c r="CD298" i="43"/>
  <c r="BX299" i="43"/>
  <c r="CD300" i="43"/>
  <c r="BX301" i="43"/>
  <c r="BX302" i="43"/>
  <c r="BX303" i="43"/>
  <c r="BX304" i="43"/>
  <c r="CD306" i="43"/>
  <c r="AP307" i="43"/>
  <c r="CD308" i="43"/>
  <c r="AP309" i="43"/>
  <c r="AS311" i="43"/>
  <c r="AR311" i="43"/>
  <c r="AP311" i="43"/>
  <c r="AS315" i="43"/>
  <c r="AR315" i="43"/>
  <c r="AP315" i="43"/>
  <c r="AS319" i="43"/>
  <c r="AR319" i="43"/>
  <c r="AP319" i="43"/>
  <c r="AS323" i="43"/>
  <c r="AR323" i="43"/>
  <c r="AP323" i="43"/>
  <c r="AS330" i="43"/>
  <c r="AP330" i="43"/>
  <c r="AR330" i="43"/>
  <c r="BK305" i="43"/>
  <c r="BK306" i="43"/>
  <c r="BK308" i="43"/>
  <c r="AS326" i="43"/>
  <c r="AP326" i="43"/>
  <c r="AR326" i="43"/>
  <c r="AS313" i="43"/>
  <c r="AR313" i="43"/>
  <c r="AP313" i="43"/>
  <c r="AS317" i="43"/>
  <c r="AR317" i="43"/>
  <c r="AP317" i="43"/>
  <c r="AS321" i="43"/>
  <c r="AR321" i="43"/>
  <c r="AP321" i="43"/>
  <c r="CY327" i="43"/>
  <c r="BK330" i="43"/>
  <c r="AS325" i="43"/>
  <c r="AR325" i="43"/>
  <c r="AP325" i="43"/>
  <c r="BK326" i="43"/>
  <c r="CY310" i="43"/>
  <c r="BK311" i="43"/>
  <c r="CY312" i="43"/>
  <c r="BK313" i="43"/>
  <c r="CY314" i="43"/>
  <c r="BK315" i="43"/>
  <c r="CY316" i="43"/>
  <c r="BK317" i="43"/>
  <c r="CY318" i="43"/>
  <c r="BK319" i="43"/>
  <c r="CY320" i="43"/>
  <c r="BK321" i="43"/>
  <c r="CY324" i="43"/>
  <c r="BK325" i="43"/>
  <c r="CY329" i="43"/>
  <c r="CD332" i="43"/>
  <c r="BX332" i="43"/>
  <c r="BK348" i="43"/>
  <c r="BK350" i="43"/>
  <c r="AS310" i="43"/>
  <c r="AS314" i="43"/>
  <c r="AS316" i="43"/>
  <c r="AS318" i="43"/>
  <c r="AS320" i="43"/>
  <c r="AS322" i="43"/>
  <c r="AS324" i="43"/>
  <c r="BK328" i="43"/>
  <c r="CD334" i="43"/>
  <c r="BX334" i="43"/>
  <c r="AS336" i="43"/>
  <c r="AR336" i="43"/>
  <c r="AP336" i="43"/>
  <c r="AS338" i="43"/>
  <c r="AR338" i="43"/>
  <c r="AP338" i="43"/>
  <c r="AS340" i="43"/>
  <c r="AR340" i="43"/>
  <c r="AP340" i="43"/>
  <c r="AS342" i="43"/>
  <c r="AR342" i="43"/>
  <c r="AP342" i="43"/>
  <c r="AS344" i="43"/>
  <c r="AR344" i="43"/>
  <c r="AP344" i="43"/>
  <c r="AS346" i="43"/>
  <c r="AR346" i="43"/>
  <c r="AP346" i="43"/>
  <c r="BX326" i="43"/>
  <c r="CY326" i="43"/>
  <c r="BK329" i="43"/>
  <c r="BX330" i="43"/>
  <c r="CY330" i="43"/>
  <c r="CY331" i="43"/>
  <c r="BK332" i="43"/>
  <c r="CY333" i="43"/>
  <c r="BK334" i="43"/>
  <c r="CY335" i="43"/>
  <c r="BK336" i="43"/>
  <c r="BX336" i="43"/>
  <c r="CY337" i="43"/>
  <c r="BK338" i="43"/>
  <c r="BX338" i="43"/>
  <c r="CY339" i="43"/>
  <c r="BK340" i="43"/>
  <c r="BX340" i="43"/>
  <c r="CY341" i="43"/>
  <c r="BK342" i="43"/>
  <c r="BX342" i="43"/>
  <c r="CY343" i="43"/>
  <c r="BK344" i="43"/>
  <c r="BX344" i="43"/>
  <c r="CY345" i="43"/>
  <c r="BK346" i="43"/>
  <c r="BX346" i="43"/>
  <c r="CY347" i="43"/>
  <c r="AR348" i="43"/>
  <c r="CY348" i="43"/>
  <c r="AR351" i="43"/>
  <c r="AS351" i="43"/>
  <c r="AR353" i="43"/>
  <c r="AP353" i="43"/>
  <c r="AS353" i="43"/>
  <c r="AR355" i="43"/>
  <c r="AP355" i="43"/>
  <c r="AS355" i="43"/>
  <c r="AR357" i="43"/>
  <c r="AP357" i="43"/>
  <c r="AS357" i="43"/>
  <c r="BK331" i="43"/>
  <c r="CY332" i="43"/>
  <c r="BK333" i="43"/>
  <c r="CY334" i="43"/>
  <c r="BK335" i="43"/>
  <c r="CY336" i="43"/>
  <c r="BK337" i="43"/>
  <c r="CY338" i="43"/>
  <c r="BK339" i="43"/>
  <c r="CY340" i="43"/>
  <c r="BK341" i="43"/>
  <c r="CY342" i="43"/>
  <c r="BK343" i="43"/>
  <c r="CY344" i="43"/>
  <c r="BK345" i="43"/>
  <c r="CY346" i="43"/>
  <c r="BK347" i="43"/>
  <c r="AR359" i="43"/>
  <c r="AP359" i="43"/>
  <c r="AS359" i="43"/>
  <c r="BX348" i="43"/>
  <c r="AR349" i="43"/>
  <c r="AS349" i="43"/>
  <c r="BX361" i="43"/>
  <c r="AS367" i="43"/>
  <c r="AR367" i="43"/>
  <c r="AP367" i="43"/>
  <c r="AP370" i="43"/>
  <c r="AS370" i="43"/>
  <c r="AR370" i="43"/>
  <c r="CY352" i="43"/>
  <c r="BK353" i="43"/>
  <c r="CY354" i="43"/>
  <c r="BK355" i="43"/>
  <c r="CY356" i="43"/>
  <c r="BK357" i="43"/>
  <c r="CY358" i="43"/>
  <c r="BK359" i="43"/>
  <c r="CY360" i="43"/>
  <c r="CD363" i="43"/>
  <c r="AS365" i="43"/>
  <c r="AR365" i="43"/>
  <c r="AP365" i="43"/>
  <c r="AS354" i="43"/>
  <c r="AS356" i="43"/>
  <c r="AS358" i="43"/>
  <c r="BK361" i="43"/>
  <c r="BK363" i="43"/>
  <c r="AS369" i="43"/>
  <c r="AR369" i="43"/>
  <c r="AP369" i="43"/>
  <c r="CY372" i="43"/>
  <c r="CY362" i="43"/>
  <c r="AS371" i="43"/>
  <c r="AR371" i="43"/>
  <c r="AP371" i="43"/>
  <c r="CY364" i="43"/>
  <c r="BK365" i="43"/>
  <c r="BX365" i="43"/>
  <c r="CY366" i="43"/>
  <c r="BK367" i="43"/>
  <c r="BX367" i="43"/>
  <c r="CY368" i="43"/>
  <c r="BK369" i="43"/>
  <c r="BX369" i="43"/>
  <c r="CY370" i="43"/>
  <c r="BK371" i="43"/>
  <c r="BX371" i="43"/>
  <c r="AS374" i="43"/>
  <c r="AR374" i="43"/>
  <c r="AP374" i="43"/>
  <c r="AS379" i="43"/>
  <c r="AR379" i="43"/>
  <c r="AP379" i="43"/>
  <c r="BK364" i="43"/>
  <c r="CY365" i="43"/>
  <c r="BK366" i="43"/>
  <c r="CY367" i="43"/>
  <c r="BK368" i="43"/>
  <c r="CY369" i="43"/>
  <c r="BK370" i="43"/>
  <c r="CY371" i="43"/>
  <c r="AS376" i="43"/>
  <c r="AR376" i="43"/>
  <c r="AP376" i="43"/>
  <c r="CY373" i="43"/>
  <c r="BK374" i="43"/>
  <c r="CY375" i="43"/>
  <c r="BK376" i="43"/>
  <c r="CY377" i="43"/>
  <c r="BK379" i="43"/>
  <c r="CY381" i="43"/>
  <c r="O14" i="24"/>
  <c r="O18" i="24"/>
  <c r="O22" i="24"/>
  <c r="O26" i="24"/>
  <c r="O30" i="24"/>
  <c r="O34" i="24"/>
  <c r="O38" i="24"/>
  <c r="O43" i="24"/>
  <c r="O47" i="24"/>
  <c r="CD378" i="43"/>
  <c r="O15" i="24"/>
  <c r="O19" i="24"/>
  <c r="O23" i="24"/>
  <c r="O27" i="24"/>
  <c r="O31" i="24"/>
  <c r="O35" i="24"/>
  <c r="O39" i="24"/>
  <c r="O40" i="24"/>
  <c r="O44" i="24"/>
  <c r="O12" i="24"/>
  <c r="O16" i="24"/>
  <c r="O20" i="24"/>
  <c r="O24" i="24"/>
  <c r="O28" i="24"/>
  <c r="O32" i="24"/>
  <c r="O36" i="24"/>
  <c r="O41" i="24"/>
  <c r="O45" i="24"/>
  <c r="O13" i="24"/>
  <c r="O17" i="24"/>
  <c r="O21" i="24"/>
  <c r="O25" i="24"/>
  <c r="O29" i="24"/>
  <c r="O33" i="24"/>
  <c r="O37" i="24"/>
  <c r="O42" i="24"/>
  <c r="O46" i="24"/>
  <c r="O117" i="24"/>
  <c r="O121" i="24"/>
  <c r="O125" i="24"/>
  <c r="O129" i="24"/>
  <c r="O133" i="24"/>
  <c r="O118" i="24"/>
  <c r="O122" i="24"/>
  <c r="O126" i="24"/>
  <c r="O130" i="24"/>
  <c r="O115" i="24"/>
  <c r="O119" i="24"/>
  <c r="O123" i="24"/>
  <c r="O127" i="24"/>
  <c r="O131" i="24"/>
  <c r="O132" i="24"/>
  <c r="O116" i="24"/>
  <c r="O120" i="24"/>
  <c r="O124" i="24"/>
  <c r="O128" i="24"/>
  <c r="O158" i="24"/>
  <c r="O162" i="24"/>
  <c r="O166" i="24"/>
  <c r="O155" i="24"/>
  <c r="O159" i="24"/>
  <c r="O163" i="24"/>
  <c r="O167" i="24"/>
  <c r="O170" i="24"/>
  <c r="O156" i="24"/>
  <c r="O160" i="24"/>
  <c r="O164" i="24"/>
  <c r="O168" i="24"/>
  <c r="O171" i="24"/>
  <c r="O172" i="24"/>
  <c r="O173" i="24"/>
  <c r="O174" i="24"/>
  <c r="O157" i="24"/>
  <c r="O161" i="24"/>
  <c r="O165" i="24"/>
  <c r="O169" i="24"/>
  <c r="O195" i="24"/>
  <c r="O199" i="24"/>
  <c r="O203" i="24"/>
  <c r="O207" i="24"/>
  <c r="O211" i="24"/>
  <c r="O215" i="24"/>
  <c r="O219" i="24"/>
  <c r="O223" i="24"/>
  <c r="O227" i="24"/>
  <c r="O231" i="24"/>
  <c r="O196" i="24"/>
  <c r="O200" i="24"/>
  <c r="O204" i="24"/>
  <c r="O208" i="24"/>
  <c r="O212" i="24"/>
  <c r="O216" i="24"/>
  <c r="O220" i="24"/>
  <c r="O224" i="24"/>
  <c r="O197" i="24"/>
  <c r="O201" i="24"/>
  <c r="O205" i="24"/>
  <c r="O209" i="24"/>
  <c r="O213" i="24"/>
  <c r="O217" i="24"/>
  <c r="O221" i="24"/>
  <c r="O225" i="24"/>
  <c r="O229" i="24"/>
  <c r="O194" i="24"/>
  <c r="O198" i="24"/>
  <c r="O202" i="24"/>
  <c r="O206" i="24"/>
  <c r="O210" i="24"/>
  <c r="O214" i="24"/>
  <c r="O218" i="24"/>
  <c r="O222" i="24"/>
  <c r="O228" i="24"/>
  <c r="O269" i="24"/>
  <c r="O273" i="24"/>
  <c r="O277" i="24"/>
  <c r="O270" i="24"/>
  <c r="O274" i="24"/>
  <c r="O271" i="24"/>
  <c r="O275" i="24"/>
  <c r="O268" i="24"/>
  <c r="O272" i="24"/>
  <c r="O278" i="24"/>
  <c r="O286" i="24"/>
  <c r="O290" i="24"/>
  <c r="O294" i="24"/>
  <c r="O298" i="24"/>
  <c r="O302" i="24"/>
  <c r="O306" i="24"/>
  <c r="O287" i="24"/>
  <c r="O291" i="24"/>
  <c r="O295" i="24"/>
  <c r="O299" i="24"/>
  <c r="O303" i="24"/>
  <c r="O307" i="24"/>
  <c r="O288" i="24"/>
  <c r="O292" i="24"/>
  <c r="O296" i="24"/>
  <c r="O300" i="24"/>
  <c r="O304" i="24"/>
  <c r="O308" i="24"/>
  <c r="O289" i="24"/>
  <c r="O293" i="24"/>
  <c r="O297" i="24"/>
  <c r="O301" i="24"/>
  <c r="O305" i="24"/>
  <c r="O309" i="24"/>
  <c r="O310" i="24"/>
  <c r="O341" i="24"/>
  <c r="O342" i="24"/>
  <c r="O343" i="24"/>
  <c r="O345" i="24"/>
  <c r="O340" i="24"/>
  <c r="O344" i="24"/>
  <c r="O362" i="24"/>
  <c r="O366" i="24"/>
  <c r="O359" i="24"/>
  <c r="O363" i="24"/>
  <c r="O367" i="24"/>
  <c r="O368" i="24"/>
  <c r="O360" i="24"/>
  <c r="O364" i="24"/>
  <c r="O361" i="24"/>
  <c r="O365" i="24"/>
  <c r="O369" i="24"/>
  <c r="J8" i="49"/>
  <c r="I9" i="49"/>
  <c r="I13" i="49"/>
  <c r="J14" i="49"/>
  <c r="J15" i="49"/>
  <c r="D23" i="49"/>
  <c r="D25" i="49"/>
  <c r="J9" i="49"/>
  <c r="G10" i="49"/>
  <c r="J13" i="49"/>
  <c r="G14" i="49"/>
  <c r="G15" i="49"/>
  <c r="C22" i="49"/>
  <c r="C24" i="49"/>
  <c r="H10" i="49"/>
  <c r="G13" i="49"/>
  <c r="H14" i="49"/>
  <c r="H15" i="49"/>
  <c r="D22" i="49"/>
  <c r="D24" i="49"/>
  <c r="I8" i="49"/>
  <c r="H13" i="49"/>
  <c r="I14" i="49"/>
  <c r="I15" i="49"/>
  <c r="C23" i="49"/>
  <c r="AR378" i="24" l="1"/>
  <c r="G379" i="43"/>
  <c r="AG376" i="45" s="1"/>
  <c r="IH379" i="43"/>
  <c r="II379" i="43"/>
  <c r="H379" i="43" s="1"/>
  <c r="AQ378" i="24"/>
  <c r="G380" i="43"/>
  <c r="AG377" i="45" s="1"/>
  <c r="IH380" i="43"/>
  <c r="II380" i="43"/>
  <c r="H380" i="43" s="1"/>
  <c r="J380" i="43"/>
  <c r="G381" i="43"/>
  <c r="IH381" i="43"/>
  <c r="II381" i="43"/>
  <c r="H381" i="43" s="1"/>
  <c r="G378" i="43"/>
  <c r="IH378" i="43"/>
  <c r="II378" i="43"/>
  <c r="G377" i="43"/>
  <c r="FZ377" i="43" s="1"/>
  <c r="IH377" i="43"/>
  <c r="II377" i="43"/>
  <c r="G376" i="43"/>
  <c r="FZ376" i="43" s="1"/>
  <c r="IH376" i="43"/>
  <c r="II376" i="43"/>
  <c r="H376" i="43" s="1"/>
  <c r="G375" i="43"/>
  <c r="M375" i="43" s="1"/>
  <c r="IH375" i="43"/>
  <c r="II375" i="43"/>
  <c r="G374" i="43"/>
  <c r="M374" i="43" s="1"/>
  <c r="IH374" i="43"/>
  <c r="II374" i="43"/>
  <c r="G373" i="43"/>
  <c r="FZ373" i="43" s="1"/>
  <c r="IH373" i="43"/>
  <c r="II373" i="43"/>
  <c r="H373" i="43" s="1"/>
  <c r="G372" i="43"/>
  <c r="FZ372" i="43" s="1"/>
  <c r="IH372" i="43"/>
  <c r="II372" i="43"/>
  <c r="G368" i="43"/>
  <c r="IH368" i="43"/>
  <c r="II368" i="43"/>
  <c r="G369" i="43"/>
  <c r="HQ369" i="43" s="1"/>
  <c r="HR369" i="43" s="1"/>
  <c r="IH369" i="43"/>
  <c r="II369" i="43"/>
  <c r="H369" i="43" s="1"/>
  <c r="G371" i="43"/>
  <c r="HQ371" i="43" s="1"/>
  <c r="HR371" i="43" s="1"/>
  <c r="IH371" i="43"/>
  <c r="II371" i="43"/>
  <c r="H371" i="43" s="1"/>
  <c r="G370" i="43"/>
  <c r="FZ370" i="43" s="1"/>
  <c r="IH370" i="43"/>
  <c r="II370" i="43"/>
  <c r="G367" i="43"/>
  <c r="HQ367" i="43" s="1"/>
  <c r="HR367" i="43" s="1"/>
  <c r="HS367" i="43" s="1"/>
  <c r="IH367" i="43"/>
  <c r="II367" i="43"/>
  <c r="G366" i="43"/>
  <c r="HQ366" i="43" s="1"/>
  <c r="HR366" i="43" s="1"/>
  <c r="HS366" i="43" s="1"/>
  <c r="IH366" i="43"/>
  <c r="II366" i="43"/>
  <c r="G365" i="43"/>
  <c r="M365" i="43" s="1"/>
  <c r="IH365" i="43"/>
  <c r="II365" i="43"/>
  <c r="H365" i="43" s="1"/>
  <c r="G364" i="43"/>
  <c r="FZ364" i="43" s="1"/>
  <c r="IH364" i="43"/>
  <c r="II364" i="43"/>
  <c r="G363" i="43"/>
  <c r="M363" i="43" s="1"/>
  <c r="IH363" i="43"/>
  <c r="II363" i="43"/>
  <c r="G362" i="43"/>
  <c r="AG359" i="45" s="1"/>
  <c r="IH362" i="43"/>
  <c r="II362" i="43"/>
  <c r="G361" i="43"/>
  <c r="HQ361" i="43" s="1"/>
  <c r="HR361" i="43" s="1"/>
  <c r="HS361" i="43" s="1"/>
  <c r="IH361" i="43"/>
  <c r="II361" i="43"/>
  <c r="G360" i="43"/>
  <c r="HQ360" i="43" s="1"/>
  <c r="HR360" i="43" s="1"/>
  <c r="IH360" i="43"/>
  <c r="II360" i="43"/>
  <c r="H360" i="43" s="1"/>
  <c r="G359" i="43"/>
  <c r="FZ359" i="43" s="1"/>
  <c r="IH359" i="43"/>
  <c r="II359" i="43"/>
  <c r="G358" i="43"/>
  <c r="FZ358" i="43" s="1"/>
  <c r="IH358" i="43"/>
  <c r="II358" i="43"/>
  <c r="G357" i="43"/>
  <c r="HQ357" i="43" s="1"/>
  <c r="HR357" i="43" s="1"/>
  <c r="HS357" i="43" s="1"/>
  <c r="IH357" i="43"/>
  <c r="II357" i="43"/>
  <c r="G354" i="43"/>
  <c r="IH354" i="43"/>
  <c r="II354" i="43"/>
  <c r="G356" i="43"/>
  <c r="FZ356" i="43" s="1"/>
  <c r="IH356" i="43"/>
  <c r="II356" i="43"/>
  <c r="G355" i="43"/>
  <c r="FZ355" i="43" s="1"/>
  <c r="IH355" i="43"/>
  <c r="II355" i="43"/>
  <c r="I352" i="43"/>
  <c r="G353" i="43"/>
  <c r="HQ353" i="43" s="1"/>
  <c r="HR353" i="43" s="1"/>
  <c r="HS353" i="43" s="1"/>
  <c r="IH353" i="43"/>
  <c r="II353" i="43"/>
  <c r="J351" i="43"/>
  <c r="G352" i="43"/>
  <c r="IH352" i="43"/>
  <c r="II352" i="43"/>
  <c r="H352" i="43" s="1"/>
  <c r="J350" i="43"/>
  <c r="G351" i="43"/>
  <c r="IH351" i="43"/>
  <c r="II351" i="43"/>
  <c r="J332" i="43"/>
  <c r="I332" i="43"/>
  <c r="G350" i="43"/>
  <c r="FZ350" i="43" s="1"/>
  <c r="IH350" i="43"/>
  <c r="II350" i="43"/>
  <c r="G349" i="43"/>
  <c r="HQ349" i="43" s="1"/>
  <c r="HR349" i="43" s="1"/>
  <c r="IH349" i="43"/>
  <c r="II349" i="43"/>
  <c r="G348" i="43"/>
  <c r="M348" i="43" s="1"/>
  <c r="IH348" i="43"/>
  <c r="II348" i="43"/>
  <c r="G347" i="43"/>
  <c r="AG344" i="45" s="1"/>
  <c r="IH347" i="43"/>
  <c r="II347" i="43"/>
  <c r="H347" i="43" s="1"/>
  <c r="G346" i="43"/>
  <c r="HQ346" i="43" s="1"/>
  <c r="HR346" i="43" s="1"/>
  <c r="IH346" i="43"/>
  <c r="II346" i="43"/>
  <c r="G345" i="43"/>
  <c r="HQ345" i="43" s="1"/>
  <c r="HR345" i="43" s="1"/>
  <c r="HS345" i="43" s="1"/>
  <c r="IH345" i="43"/>
  <c r="II345" i="43"/>
  <c r="H345" i="43" s="1"/>
  <c r="G344" i="43"/>
  <c r="HQ344" i="43" s="1"/>
  <c r="HR344" i="43" s="1"/>
  <c r="HS344" i="43" s="1"/>
  <c r="IH344" i="43"/>
  <c r="II344" i="43"/>
  <c r="G343" i="43"/>
  <c r="M343" i="43" s="1"/>
  <c r="IH343" i="43"/>
  <c r="II343" i="43"/>
  <c r="G342" i="43"/>
  <c r="HQ342" i="43" s="1"/>
  <c r="HR342" i="43" s="1"/>
  <c r="HS342" i="43" s="1"/>
  <c r="IH342" i="43"/>
  <c r="II342" i="43"/>
  <c r="G341" i="43"/>
  <c r="M341" i="43" s="1"/>
  <c r="IH341" i="43"/>
  <c r="II341" i="43"/>
  <c r="G340" i="43"/>
  <c r="HQ340" i="43" s="1"/>
  <c r="HR340" i="43" s="1"/>
  <c r="HS340" i="43" s="1"/>
  <c r="IH340" i="43"/>
  <c r="II340" i="43"/>
  <c r="G339" i="43"/>
  <c r="M339" i="43" s="1"/>
  <c r="IH339" i="43"/>
  <c r="II339" i="43"/>
  <c r="H339" i="43" s="1"/>
  <c r="G338" i="43"/>
  <c r="HQ338" i="43" s="1"/>
  <c r="HR338" i="43" s="1"/>
  <c r="HS338" i="43" s="1"/>
  <c r="IH338" i="43"/>
  <c r="II338" i="43"/>
  <c r="G337" i="43"/>
  <c r="IH337" i="43"/>
  <c r="II337" i="43"/>
  <c r="I334" i="43"/>
  <c r="G336" i="43"/>
  <c r="IH336" i="43"/>
  <c r="II336" i="43"/>
  <c r="G335" i="43"/>
  <c r="HQ335" i="43" s="1"/>
  <c r="HR335" i="43" s="1"/>
  <c r="HS335" i="43" s="1"/>
  <c r="IH335" i="43"/>
  <c r="II335" i="43"/>
  <c r="G334" i="43"/>
  <c r="HQ334" i="43" s="1"/>
  <c r="HR334" i="43" s="1"/>
  <c r="HS334" i="43" s="1"/>
  <c r="IH334" i="43"/>
  <c r="II334" i="43"/>
  <c r="G333" i="43"/>
  <c r="M333" i="43" s="1"/>
  <c r="K333" i="43" s="1"/>
  <c r="AI330" i="45" s="1"/>
  <c r="IH333" i="43"/>
  <c r="II333" i="43"/>
  <c r="H333" i="43" s="1"/>
  <c r="G332" i="43"/>
  <c r="M332" i="43" s="1"/>
  <c r="IH332" i="43"/>
  <c r="II332" i="43"/>
  <c r="H332" i="43" s="1"/>
  <c r="IH330" i="43"/>
  <c r="II330" i="43"/>
  <c r="G331" i="43"/>
  <c r="HQ331" i="43" s="1"/>
  <c r="HR331" i="43" s="1"/>
  <c r="HS331" i="43" s="1"/>
  <c r="IH331" i="43"/>
  <c r="II331" i="43"/>
  <c r="H331" i="43" s="1"/>
  <c r="G330" i="43"/>
  <c r="G329" i="43"/>
  <c r="HQ329" i="43" s="1"/>
  <c r="HR329" i="43" s="1"/>
  <c r="HS329" i="43" s="1"/>
  <c r="I310" i="43"/>
  <c r="I307" i="43"/>
  <c r="J297" i="43"/>
  <c r="I321" i="43"/>
  <c r="G315" i="43"/>
  <c r="HQ315" i="43" s="1"/>
  <c r="HR315" i="43" s="1"/>
  <c r="HS315" i="43" s="1"/>
  <c r="AQ312" i="24"/>
  <c r="AR312" i="24"/>
  <c r="AS308" i="24"/>
  <c r="AR303" i="24"/>
  <c r="D23" i="30"/>
  <c r="D9" i="30"/>
  <c r="AC236" i="45"/>
  <c r="AB236" i="45" s="1"/>
  <c r="AB279" i="45"/>
  <c r="AB263" i="45"/>
  <c r="AB247" i="45"/>
  <c r="AB250" i="45"/>
  <c r="AB282" i="45"/>
  <c r="AB252" i="45"/>
  <c r="AB276" i="45"/>
  <c r="AB266" i="45"/>
  <c r="AB284" i="45"/>
  <c r="AB268" i="45"/>
  <c r="AB288" i="45"/>
  <c r="AB244" i="45"/>
  <c r="AB260" i="45"/>
  <c r="AB291" i="45"/>
  <c r="AB275" i="45"/>
  <c r="AB259" i="45"/>
  <c r="AB243" i="45"/>
  <c r="AB238" i="45"/>
  <c r="AB254" i="45"/>
  <c r="AB270" i="45"/>
  <c r="AB286" i="45"/>
  <c r="AB240" i="45"/>
  <c r="AB256" i="45"/>
  <c r="AB272" i="45"/>
  <c r="AB237" i="45"/>
  <c r="AB253" i="45"/>
  <c r="AB269" i="45"/>
  <c r="AB285" i="45"/>
  <c r="AB246" i="45"/>
  <c r="AB262" i="45"/>
  <c r="AB278" i="45"/>
  <c r="AB283" i="45"/>
  <c r="AB267" i="45"/>
  <c r="AB251" i="45"/>
  <c r="AB248" i="45"/>
  <c r="AB264" i="45"/>
  <c r="AB280" i="45"/>
  <c r="AB245" i="45"/>
  <c r="AB261" i="45"/>
  <c r="AB277" i="45"/>
  <c r="AB292" i="45"/>
  <c r="AB287" i="45"/>
  <c r="AB271" i="45"/>
  <c r="AB255" i="45"/>
  <c r="AB239" i="45"/>
  <c r="AB242" i="45"/>
  <c r="AB258" i="45"/>
  <c r="AB274" i="45"/>
  <c r="AB290" i="45"/>
  <c r="AB249" i="45"/>
  <c r="AB265" i="45"/>
  <c r="AB281" i="45"/>
  <c r="AB241" i="45"/>
  <c r="AB257" i="45"/>
  <c r="AB273" i="45"/>
  <c r="AB289" i="45"/>
  <c r="E7" i="30"/>
  <c r="E28" i="30" s="1"/>
  <c r="D22" i="30"/>
  <c r="D19" i="30"/>
  <c r="AR202" i="24"/>
  <c r="AS202" i="24"/>
  <c r="AF207" i="45"/>
  <c r="AF202" i="45"/>
  <c r="AF199" i="45"/>
  <c r="AC199" i="45"/>
  <c r="AB199" i="45" s="1"/>
  <c r="AF208" i="45"/>
  <c r="AF205" i="45"/>
  <c r="AF213" i="45"/>
  <c r="AF201" i="45"/>
  <c r="AF203" i="45"/>
  <c r="AF211" i="45"/>
  <c r="AF200" i="45"/>
  <c r="AC200" i="45"/>
  <c r="AB200" i="45" s="1"/>
  <c r="AF206" i="45"/>
  <c r="AF212" i="45"/>
  <c r="AF209" i="45"/>
  <c r="AF204" i="45"/>
  <c r="AF210" i="45"/>
  <c r="AF197" i="45"/>
  <c r="AC197" i="45"/>
  <c r="AB197" i="45" s="1"/>
  <c r="AF196" i="45"/>
  <c r="AC196" i="45"/>
  <c r="AB196" i="45" s="1"/>
  <c r="AF195" i="45"/>
  <c r="AC195" i="45"/>
  <c r="AB195" i="45" s="1"/>
  <c r="AF198" i="45"/>
  <c r="AC198" i="45"/>
  <c r="AB198" i="45" s="1"/>
  <c r="AF194" i="45"/>
  <c r="AC194" i="45"/>
  <c r="AB194" i="45" s="1"/>
  <c r="AB190" i="45"/>
  <c r="AA190" i="45" s="1"/>
  <c r="AF193" i="45"/>
  <c r="AC193" i="45"/>
  <c r="AB193" i="45" s="1"/>
  <c r="AA193" i="45" s="1"/>
  <c r="AF191" i="45"/>
  <c r="AF190" i="45"/>
  <c r="AF192" i="45"/>
  <c r="AR179" i="43"/>
  <c r="AP179" i="43"/>
  <c r="I186" i="43"/>
  <c r="I176" i="43"/>
  <c r="I180" i="43"/>
  <c r="AR182" i="24"/>
  <c r="AS175" i="24"/>
  <c r="I173" i="43"/>
  <c r="I171" i="43"/>
  <c r="J172" i="43"/>
  <c r="I174" i="43"/>
  <c r="I144" i="43"/>
  <c r="J145" i="43"/>
  <c r="I140" i="43"/>
  <c r="J140" i="43"/>
  <c r="J159" i="43"/>
  <c r="I163" i="43"/>
  <c r="J163" i="43"/>
  <c r="J165" i="43"/>
  <c r="I166" i="43"/>
  <c r="J168" i="43"/>
  <c r="AS167" i="24"/>
  <c r="AS160" i="24"/>
  <c r="AS155" i="24"/>
  <c r="AR155" i="24"/>
  <c r="J152" i="43"/>
  <c r="I151" i="43"/>
  <c r="I150" i="43"/>
  <c r="J150" i="43"/>
  <c r="AR150" i="24"/>
  <c r="J142" i="43"/>
  <c r="J141" i="43"/>
  <c r="I141" i="43"/>
  <c r="I139" i="43"/>
  <c r="P71" i="24"/>
  <c r="CA71" i="24" s="1"/>
  <c r="P325" i="24"/>
  <c r="CA325" i="24" s="1"/>
  <c r="P266" i="24"/>
  <c r="CA266" i="24" s="1"/>
  <c r="P254" i="24"/>
  <c r="CA254" i="24" s="1"/>
  <c r="P93" i="24"/>
  <c r="CA93" i="24" s="1"/>
  <c r="P77" i="24"/>
  <c r="CA77" i="24" s="1"/>
  <c r="P138" i="24"/>
  <c r="CA138" i="24" s="1"/>
  <c r="P137" i="24"/>
  <c r="CA137" i="24" s="1"/>
  <c r="K10" i="22"/>
  <c r="S10" i="22"/>
  <c r="I107" i="43"/>
  <c r="J107" i="43"/>
  <c r="I103" i="43"/>
  <c r="J103" i="43"/>
  <c r="I111" i="43"/>
  <c r="J111" i="43"/>
  <c r="I109" i="43"/>
  <c r="J127" i="43"/>
  <c r="M128" i="43"/>
  <c r="AR115" i="24"/>
  <c r="S106" i="45"/>
  <c r="I84" i="43"/>
  <c r="I79" i="43"/>
  <c r="J81" i="43"/>
  <c r="J83" i="43"/>
  <c r="I53" i="43"/>
  <c r="J76" i="43"/>
  <c r="AG74" i="45"/>
  <c r="I71" i="43"/>
  <c r="AS65" i="24"/>
  <c r="AS63" i="24"/>
  <c r="I62" i="43"/>
  <c r="J62" i="43"/>
  <c r="AQ63" i="24"/>
  <c r="I56" i="43"/>
  <c r="I44" i="43"/>
  <c r="J44" i="43"/>
  <c r="J40" i="43"/>
  <c r="J38" i="43"/>
  <c r="J36" i="43"/>
  <c r="FZ205" i="43"/>
  <c r="M130" i="43"/>
  <c r="S125" i="45"/>
  <c r="FZ77" i="43"/>
  <c r="I32" i="43"/>
  <c r="M30" i="43"/>
  <c r="K30" i="43" s="1"/>
  <c r="CE18" i="43"/>
  <c r="D22" i="44"/>
  <c r="D24" i="44" s="1"/>
  <c r="AR20" i="24"/>
  <c r="M22" i="44"/>
  <c r="M24" i="44" s="1"/>
  <c r="W379" i="45"/>
  <c r="Y379" i="45" s="1"/>
  <c r="W383" i="45"/>
  <c r="Y383" i="45" s="1"/>
  <c r="W382" i="45"/>
  <c r="Y382" i="45" s="1"/>
  <c r="W384" i="45"/>
  <c r="Y384" i="45" s="1"/>
  <c r="W380" i="45"/>
  <c r="Y380" i="45" s="1"/>
  <c r="W381" i="45"/>
  <c r="Y381" i="45" s="1"/>
  <c r="AI389" i="45"/>
  <c r="P379" i="24"/>
  <c r="AH379" i="24" s="1"/>
  <c r="P372" i="24"/>
  <c r="CA372" i="24" s="1"/>
  <c r="J12" i="43"/>
  <c r="I12" i="43"/>
  <c r="J14" i="43"/>
  <c r="I14" i="43"/>
  <c r="HQ302" i="43"/>
  <c r="HR302" i="43" s="1"/>
  <c r="HS302" i="43" s="1"/>
  <c r="AG299" i="45"/>
  <c r="FZ131" i="43"/>
  <c r="HQ131" i="43"/>
  <c r="HR131" i="43" s="1"/>
  <c r="HS131" i="43" s="1"/>
  <c r="M69" i="43"/>
  <c r="HQ69" i="43"/>
  <c r="HR69" i="43" s="1"/>
  <c r="HS69" i="43" s="1"/>
  <c r="M98" i="43"/>
  <c r="HQ98" i="43"/>
  <c r="HR98" i="43" s="1"/>
  <c r="HS98" i="43" s="1"/>
  <c r="M109" i="43"/>
  <c r="HQ109" i="43"/>
  <c r="HR109" i="43" s="1"/>
  <c r="HS109" i="43" s="1"/>
  <c r="HQ102" i="43"/>
  <c r="HR102" i="43" s="1"/>
  <c r="HS102" i="43" s="1"/>
  <c r="P85" i="24"/>
  <c r="CA85" i="24" s="1"/>
  <c r="P69" i="24"/>
  <c r="CA69" i="24" s="1"/>
  <c r="P182" i="24"/>
  <c r="CA182" i="24" s="1"/>
  <c r="AS261" i="24"/>
  <c r="AR264" i="24"/>
  <c r="AQ186" i="24"/>
  <c r="AQ97" i="24"/>
  <c r="FZ139" i="43"/>
  <c r="HQ139" i="43"/>
  <c r="HR139" i="43" s="1"/>
  <c r="HS139" i="43" s="1"/>
  <c r="AG19" i="45"/>
  <c r="HQ22" i="43"/>
  <c r="HR22" i="43" s="1"/>
  <c r="HS22" i="43" s="1"/>
  <c r="AG8" i="45"/>
  <c r="HQ11" i="43"/>
  <c r="HR11" i="43" s="1"/>
  <c r="HS11" i="43" s="1"/>
  <c r="AS80" i="24"/>
  <c r="FZ168" i="43"/>
  <c r="HQ168" i="43"/>
  <c r="HR168" i="43" s="1"/>
  <c r="HS168" i="43" s="1"/>
  <c r="M165" i="43"/>
  <c r="HQ165" i="43"/>
  <c r="HR165" i="43" s="1"/>
  <c r="HS165" i="43" s="1"/>
  <c r="M111" i="43"/>
  <c r="HQ111" i="43"/>
  <c r="HR111" i="43" s="1"/>
  <c r="HS111" i="43" s="1"/>
  <c r="M82" i="43"/>
  <c r="HQ82" i="43"/>
  <c r="HR82" i="43" s="1"/>
  <c r="HS82" i="43" s="1"/>
  <c r="AQ354" i="24"/>
  <c r="AS99" i="24"/>
  <c r="M164" i="43"/>
  <c r="HQ164" i="43"/>
  <c r="HR164" i="43" s="1"/>
  <c r="HS164" i="43" s="1"/>
  <c r="HQ28" i="43"/>
  <c r="HR28" i="43" s="1"/>
  <c r="HS28" i="43" s="1"/>
  <c r="FZ127" i="43"/>
  <c r="M75" i="43"/>
  <c r="HQ75" i="43"/>
  <c r="HR75" i="43" s="1"/>
  <c r="HS75" i="43" s="1"/>
  <c r="FZ153" i="43"/>
  <c r="HQ153" i="43"/>
  <c r="HR153" i="43" s="1"/>
  <c r="HS153" i="43" s="1"/>
  <c r="AG97" i="45"/>
  <c r="HQ100" i="43"/>
  <c r="HR100" i="43" s="1"/>
  <c r="HS100" i="43" s="1"/>
  <c r="HQ299" i="43"/>
  <c r="HR299" i="43" s="1"/>
  <c r="HS299" i="43" s="1"/>
  <c r="AG296" i="45"/>
  <c r="P60" i="24"/>
  <c r="CA60" i="24" s="1"/>
  <c r="P185" i="24"/>
  <c r="CA185" i="24" s="1"/>
  <c r="P181" i="24"/>
  <c r="CA181" i="24" s="1"/>
  <c r="P177" i="24"/>
  <c r="CA177" i="24" s="1"/>
  <c r="P149" i="24"/>
  <c r="CA149" i="24" s="1"/>
  <c r="P114" i="24"/>
  <c r="CA114" i="24" s="1"/>
  <c r="P338" i="24"/>
  <c r="CA338" i="24" s="1"/>
  <c r="P235" i="24"/>
  <c r="CA235" i="24" s="1"/>
  <c r="G15" i="44"/>
  <c r="AQ261" i="24"/>
  <c r="AS264" i="24"/>
  <c r="AQ293" i="24"/>
  <c r="AR113" i="24"/>
  <c r="M166" i="43"/>
  <c r="HQ166" i="43"/>
  <c r="HR166" i="43" s="1"/>
  <c r="HS166" i="43" s="1"/>
  <c r="AR127" i="24"/>
  <c r="FZ136" i="43"/>
  <c r="HQ136" i="43"/>
  <c r="HR136" i="43" s="1"/>
  <c r="HS136" i="43" s="1"/>
  <c r="AR198" i="24"/>
  <c r="AS148" i="24"/>
  <c r="AS44" i="24"/>
  <c r="FZ34" i="43"/>
  <c r="HQ34" i="43"/>
  <c r="HR34" i="43" s="1"/>
  <c r="HS34" i="43" s="1"/>
  <c r="M104" i="43"/>
  <c r="HQ104" i="43"/>
  <c r="HR104" i="43" s="1"/>
  <c r="HS104" i="43" s="1"/>
  <c r="AS47" i="24"/>
  <c r="M122" i="43"/>
  <c r="HQ122" i="43"/>
  <c r="HR122" i="43" s="1"/>
  <c r="HS122" i="43" s="1"/>
  <c r="FZ120" i="43"/>
  <c r="HQ120" i="43"/>
  <c r="HR120" i="43" s="1"/>
  <c r="AR47" i="24"/>
  <c r="M70" i="43"/>
  <c r="HQ70" i="43"/>
  <c r="HR70" i="43" s="1"/>
  <c r="HS70" i="43" s="1"/>
  <c r="M63" i="43"/>
  <c r="HQ63" i="43"/>
  <c r="HR63" i="43" s="1"/>
  <c r="HS63" i="43" s="1"/>
  <c r="M47" i="43"/>
  <c r="K47" i="43" s="1"/>
  <c r="AI44" i="45" s="1"/>
  <c r="HQ47" i="43"/>
  <c r="HR47" i="43" s="1"/>
  <c r="HS47" i="43" s="1"/>
  <c r="M41" i="43"/>
  <c r="K41" i="43" s="1"/>
  <c r="AI38" i="45" s="1"/>
  <c r="HQ41" i="43"/>
  <c r="HR41" i="43" s="1"/>
  <c r="HS41" i="43" s="1"/>
  <c r="AG50" i="45"/>
  <c r="AQ80" i="24"/>
  <c r="AR27" i="24"/>
  <c r="FZ244" i="43"/>
  <c r="HQ244" i="43"/>
  <c r="HR244" i="43" s="1"/>
  <c r="HS244" i="43" s="1"/>
  <c r="M85" i="43"/>
  <c r="HQ85" i="43"/>
  <c r="HR85" i="43" s="1"/>
  <c r="HS85" i="43" s="1"/>
  <c r="M54" i="43"/>
  <c r="K54" i="43" s="1"/>
  <c r="AI51" i="45" s="1"/>
  <c r="HQ54" i="43"/>
  <c r="HR54" i="43" s="1"/>
  <c r="HS54" i="43" s="1"/>
  <c r="M33" i="43"/>
  <c r="K33" i="43" s="1"/>
  <c r="AI30" i="45" s="1"/>
  <c r="HQ33" i="43"/>
  <c r="HR33" i="43" s="1"/>
  <c r="HS33" i="43" s="1"/>
  <c r="AQ43" i="24"/>
  <c r="M38" i="43"/>
  <c r="K38" i="43" s="1"/>
  <c r="AI35" i="45" s="1"/>
  <c r="HQ38" i="43"/>
  <c r="HR38" i="43" s="1"/>
  <c r="HS38" i="43" s="1"/>
  <c r="AG387" i="45"/>
  <c r="HQ15" i="43"/>
  <c r="HR15" i="43" s="1"/>
  <c r="HS15" i="43" s="1"/>
  <c r="AR292" i="24"/>
  <c r="AR205" i="24"/>
  <c r="AS127" i="24"/>
  <c r="AQ20" i="24"/>
  <c r="FZ137" i="43"/>
  <c r="HQ137" i="43"/>
  <c r="HR137" i="43" s="1"/>
  <c r="HS137" i="43" s="1"/>
  <c r="FZ81" i="43"/>
  <c r="HQ81" i="43"/>
  <c r="HR81" i="43" s="1"/>
  <c r="HS81" i="43" s="1"/>
  <c r="AG42" i="45"/>
  <c r="HQ45" i="43"/>
  <c r="HR45" i="43" s="1"/>
  <c r="HS45" i="43" s="1"/>
  <c r="M35" i="43"/>
  <c r="K35" i="43" s="1"/>
  <c r="AI32" i="45" s="1"/>
  <c r="HQ35" i="43"/>
  <c r="HR35" i="43" s="1"/>
  <c r="HS35" i="43" s="1"/>
  <c r="M13" i="43"/>
  <c r="HQ13" i="43"/>
  <c r="HR13" i="43" s="1"/>
  <c r="HS13" i="43" s="1"/>
  <c r="HQ152" i="43"/>
  <c r="HR152" i="43" s="1"/>
  <c r="HS152" i="43" s="1"/>
  <c r="HQ142" i="43"/>
  <c r="HR142" i="43" s="1"/>
  <c r="HS142" i="43" s="1"/>
  <c r="M101" i="43"/>
  <c r="HQ101" i="43"/>
  <c r="HR101" i="43" s="1"/>
  <c r="HS101" i="43" s="1"/>
  <c r="HQ155" i="43"/>
  <c r="HR155" i="43" s="1"/>
  <c r="HS155" i="43" s="1"/>
  <c r="AR288" i="24"/>
  <c r="AG140" i="45"/>
  <c r="HQ143" i="43"/>
  <c r="HR143" i="43" s="1"/>
  <c r="HS143" i="43" s="1"/>
  <c r="AG89" i="45"/>
  <c r="HQ92" i="43"/>
  <c r="HR92" i="43" s="1"/>
  <c r="HS92" i="43" s="1"/>
  <c r="M156" i="43"/>
  <c r="HQ156" i="43"/>
  <c r="HR156" i="43" s="1"/>
  <c r="HS156" i="43" s="1"/>
  <c r="M150" i="43"/>
  <c r="HQ150" i="43"/>
  <c r="HR150" i="43" s="1"/>
  <c r="HS150" i="43" s="1"/>
  <c r="M148" i="43"/>
  <c r="HQ148" i="43"/>
  <c r="HR148" i="43" s="1"/>
  <c r="HS148" i="43" s="1"/>
  <c r="AG69" i="45"/>
  <c r="HQ72" i="43"/>
  <c r="HR72" i="43" s="1"/>
  <c r="HS72" i="43" s="1"/>
  <c r="AG24" i="45"/>
  <c r="HQ27" i="43"/>
  <c r="HR27" i="43" s="1"/>
  <c r="HS27" i="43" s="1"/>
  <c r="FZ133" i="43"/>
  <c r="HQ133" i="43"/>
  <c r="HR133" i="43" s="1"/>
  <c r="HS133" i="43" s="1"/>
  <c r="FZ97" i="43"/>
  <c r="HQ97" i="43"/>
  <c r="HR97" i="43" s="1"/>
  <c r="HS97" i="43" s="1"/>
  <c r="AG151" i="45"/>
  <c r="HQ154" i="43"/>
  <c r="HR154" i="43" s="1"/>
  <c r="HS154" i="43" s="1"/>
  <c r="AG142" i="45"/>
  <c r="HQ145" i="43"/>
  <c r="HR145" i="43" s="1"/>
  <c r="HS145" i="43" s="1"/>
  <c r="HQ68" i="43"/>
  <c r="HR68" i="43" s="1"/>
  <c r="HS68" i="43" s="1"/>
  <c r="M138" i="43"/>
  <c r="HQ138" i="43"/>
  <c r="HR138" i="43" s="1"/>
  <c r="HS138" i="43" s="1"/>
  <c r="FZ159" i="43"/>
  <c r="HQ159" i="43"/>
  <c r="HR159" i="43" s="1"/>
  <c r="HS159" i="43" s="1"/>
  <c r="M55" i="43"/>
  <c r="K55" i="43" s="1"/>
  <c r="AI52" i="45" s="1"/>
  <c r="HQ55" i="43"/>
  <c r="HR55" i="43" s="1"/>
  <c r="HS55" i="43" s="1"/>
  <c r="M50" i="43"/>
  <c r="K50" i="43" s="1"/>
  <c r="AI47" i="45" s="1"/>
  <c r="HQ50" i="43"/>
  <c r="HR50" i="43" s="1"/>
  <c r="HS50" i="43" s="1"/>
  <c r="M76" i="43"/>
  <c r="HQ76" i="43"/>
  <c r="HR76" i="43" s="1"/>
  <c r="HS76" i="43" s="1"/>
  <c r="FZ48" i="43"/>
  <c r="HQ48" i="43"/>
  <c r="HR48" i="43" s="1"/>
  <c r="HS48" i="43" s="1"/>
  <c r="M40" i="43"/>
  <c r="K40" i="43" s="1"/>
  <c r="HQ40" i="43"/>
  <c r="HR40" i="43" s="1"/>
  <c r="HS40" i="43" s="1"/>
  <c r="AG68" i="45"/>
  <c r="HQ71" i="43"/>
  <c r="HR71" i="43" s="1"/>
  <c r="HS71" i="43" s="1"/>
  <c r="M21" i="43"/>
  <c r="K21" i="43" s="1"/>
  <c r="HQ21" i="43"/>
  <c r="HR21" i="43" s="1"/>
  <c r="HS21" i="43" s="1"/>
  <c r="AG54" i="45"/>
  <c r="HQ57" i="43"/>
  <c r="HR57" i="43" s="1"/>
  <c r="HS57" i="43" s="1"/>
  <c r="M279" i="43"/>
  <c r="HQ279" i="43"/>
  <c r="HR279" i="43" s="1"/>
  <c r="HS279" i="43" s="1"/>
  <c r="M93" i="43"/>
  <c r="HQ93" i="43"/>
  <c r="HR93" i="43" s="1"/>
  <c r="HS93" i="43" s="1"/>
  <c r="M78" i="43"/>
  <c r="HQ78" i="43"/>
  <c r="HR78" i="43" s="1"/>
  <c r="HS78" i="43" s="1"/>
  <c r="HQ106" i="43"/>
  <c r="HR106" i="43" s="1"/>
  <c r="HS106" i="43" s="1"/>
  <c r="HQ127" i="43"/>
  <c r="HR127" i="43" s="1"/>
  <c r="HS127" i="43" s="1"/>
  <c r="P61" i="24"/>
  <c r="CA61" i="24" s="1"/>
  <c r="FZ151" i="43"/>
  <c r="M119" i="43"/>
  <c r="M192" i="43"/>
  <c r="HQ192" i="43"/>
  <c r="HR192" i="43" s="1"/>
  <c r="HS192" i="43" s="1"/>
  <c r="AQ115" i="24"/>
  <c r="HQ295" i="43"/>
  <c r="HR295" i="43" s="1"/>
  <c r="HS295" i="43" s="1"/>
  <c r="AG292" i="45"/>
  <c r="M51" i="43"/>
  <c r="K51" i="43" s="1"/>
  <c r="HQ51" i="43"/>
  <c r="HR51" i="43" s="1"/>
  <c r="HS51" i="43" s="1"/>
  <c r="M46" i="43"/>
  <c r="K46" i="43" s="1"/>
  <c r="AI43" i="45" s="1"/>
  <c r="HQ46" i="43"/>
  <c r="HR46" i="43" s="1"/>
  <c r="HS46" i="43" s="1"/>
  <c r="M36" i="43"/>
  <c r="K36" i="43" s="1"/>
  <c r="AI33" i="45" s="1"/>
  <c r="HQ36" i="43"/>
  <c r="HR36" i="43" s="1"/>
  <c r="HS36" i="43" s="1"/>
  <c r="FZ60" i="43"/>
  <c r="HQ60" i="43"/>
  <c r="HR60" i="43" s="1"/>
  <c r="HS60" i="43" s="1"/>
  <c r="HQ296" i="43"/>
  <c r="HR296" i="43" s="1"/>
  <c r="HS296" i="43" s="1"/>
  <c r="AG293" i="45"/>
  <c r="HQ17" i="43"/>
  <c r="HR17" i="43" s="1"/>
  <c r="HS17" i="43" s="1"/>
  <c r="FZ162" i="43"/>
  <c r="HQ162" i="43"/>
  <c r="HR162" i="43" s="1"/>
  <c r="HS162" i="43" s="1"/>
  <c r="FZ144" i="43"/>
  <c r="HQ144" i="43"/>
  <c r="HR144" i="43" s="1"/>
  <c r="HS144" i="43" s="1"/>
  <c r="AR311" i="24"/>
  <c r="HQ118" i="43"/>
  <c r="HR118" i="43" s="1"/>
  <c r="HS118" i="43" s="1"/>
  <c r="P101" i="24"/>
  <c r="CA101" i="24" s="1"/>
  <c r="G10" i="44"/>
  <c r="M261" i="43"/>
  <c r="M159" i="43"/>
  <c r="HQ73" i="43"/>
  <c r="HR73" i="43" s="1"/>
  <c r="HS73" i="43" s="1"/>
  <c r="M83" i="43"/>
  <c r="AR354" i="24"/>
  <c r="AS328" i="24"/>
  <c r="AS288" i="24"/>
  <c r="AS174" i="24"/>
  <c r="AQ158" i="24"/>
  <c r="AR97" i="24"/>
  <c r="AR184" i="24"/>
  <c r="M64" i="43"/>
  <c r="HQ64" i="43"/>
  <c r="HR64" i="43" s="1"/>
  <c r="HS64" i="43" s="1"/>
  <c r="AQ113" i="24"/>
  <c r="M74" i="43"/>
  <c r="HQ74" i="43"/>
  <c r="HR74" i="43" s="1"/>
  <c r="HS74" i="43" s="1"/>
  <c r="AS204" i="24"/>
  <c r="HQ300" i="43"/>
  <c r="HR300" i="43" s="1"/>
  <c r="HS300" i="43" s="1"/>
  <c r="AG297" i="45"/>
  <c r="FZ113" i="43"/>
  <c r="HQ113" i="43"/>
  <c r="HR113" i="43" s="1"/>
  <c r="HS113" i="43" s="1"/>
  <c r="FZ115" i="43"/>
  <c r="HQ115" i="43"/>
  <c r="HR115" i="43" s="1"/>
  <c r="HS115" i="43" s="1"/>
  <c r="FZ59" i="43"/>
  <c r="HQ59" i="43"/>
  <c r="HR59" i="43" s="1"/>
  <c r="HS59" i="43" s="1"/>
  <c r="M299" i="43"/>
  <c r="M52" i="43"/>
  <c r="K52" i="43" s="1"/>
  <c r="AI49" i="45" s="1"/>
  <c r="HQ52" i="43"/>
  <c r="HR52" i="43" s="1"/>
  <c r="HS52" i="43" s="1"/>
  <c r="FZ158" i="43"/>
  <c r="HQ158" i="43"/>
  <c r="HR158" i="43" s="1"/>
  <c r="HS158" i="43" s="1"/>
  <c r="FZ135" i="43"/>
  <c r="HQ135" i="43"/>
  <c r="HR135" i="43" s="1"/>
  <c r="HS135" i="43" s="1"/>
  <c r="FZ62" i="43"/>
  <c r="HQ62" i="43"/>
  <c r="HR62" i="43" s="1"/>
  <c r="HS62" i="43" s="1"/>
  <c r="FZ129" i="43"/>
  <c r="HQ129" i="43"/>
  <c r="HR129" i="43" s="1"/>
  <c r="HS129" i="43" s="1"/>
  <c r="FZ110" i="43"/>
  <c r="HQ110" i="43"/>
  <c r="HR110" i="43" s="1"/>
  <c r="HS110" i="43" s="1"/>
  <c r="AG93" i="45"/>
  <c r="HQ96" i="43"/>
  <c r="HR96" i="43" s="1"/>
  <c r="HS96" i="43" s="1"/>
  <c r="AG87" i="45"/>
  <c r="HQ90" i="43"/>
  <c r="HR90" i="43" s="1"/>
  <c r="HS90" i="43" s="1"/>
  <c r="M79" i="43"/>
  <c r="HQ79" i="43"/>
  <c r="HR79" i="43" s="1"/>
  <c r="HS79" i="43" s="1"/>
  <c r="HQ32" i="43"/>
  <c r="HR32" i="43" s="1"/>
  <c r="HS32" i="43" s="1"/>
  <c r="HQ298" i="43"/>
  <c r="HR298" i="43" s="1"/>
  <c r="HS298" i="43" s="1"/>
  <c r="AG295" i="45"/>
  <c r="HQ16" i="43"/>
  <c r="HR16" i="43" s="1"/>
  <c r="HS16" i="43" s="1"/>
  <c r="HQ301" i="43"/>
  <c r="HR301" i="43" s="1"/>
  <c r="HS301" i="43" s="1"/>
  <c r="AG298" i="45"/>
  <c r="AG92" i="45"/>
  <c r="HQ95" i="43"/>
  <c r="HR95" i="43" s="1"/>
  <c r="HS95" i="43" s="1"/>
  <c r="AG154" i="45"/>
  <c r="HQ157" i="43"/>
  <c r="HR157" i="43" s="1"/>
  <c r="HS157" i="43" s="1"/>
  <c r="HQ123" i="43"/>
  <c r="HR123" i="43" s="1"/>
  <c r="HS123" i="43" s="1"/>
  <c r="AG83" i="45"/>
  <c r="HQ86" i="43"/>
  <c r="HR86" i="43" s="1"/>
  <c r="HS86" i="43" s="1"/>
  <c r="AG88" i="45"/>
  <c r="HQ91" i="43"/>
  <c r="HR91" i="43" s="1"/>
  <c r="HS91" i="43" s="1"/>
  <c r="S297" i="45"/>
  <c r="HQ376" i="43"/>
  <c r="HR376" i="43" s="1"/>
  <c r="HS376" i="43" s="1"/>
  <c r="HQ374" i="43"/>
  <c r="HR374" i="43" s="1"/>
  <c r="HS374" i="43" s="1"/>
  <c r="T362" i="45"/>
  <c r="HQ368" i="43"/>
  <c r="HR368" i="43" s="1"/>
  <c r="HS368" i="43" s="1"/>
  <c r="T359" i="45"/>
  <c r="HQ363" i="43"/>
  <c r="HR363" i="43" s="1"/>
  <c r="HS363" i="43" s="1"/>
  <c r="AQ362" i="24"/>
  <c r="M357" i="43"/>
  <c r="J348" i="43"/>
  <c r="I348" i="43"/>
  <c r="J346" i="43"/>
  <c r="I346" i="43"/>
  <c r="J339" i="43"/>
  <c r="I339" i="43"/>
  <c r="HQ355" i="43"/>
  <c r="HR355" i="43" s="1"/>
  <c r="HS355" i="43" s="1"/>
  <c r="M354" i="43"/>
  <c r="HQ354" i="43"/>
  <c r="HR354" i="43" s="1"/>
  <c r="HS354" i="43" s="1"/>
  <c r="M352" i="43"/>
  <c r="HQ352" i="43"/>
  <c r="HR352" i="43" s="1"/>
  <c r="HS352" i="43" s="1"/>
  <c r="M350" i="43"/>
  <c r="M351" i="43"/>
  <c r="HQ351" i="43"/>
  <c r="HR351" i="43" s="1"/>
  <c r="HS351" i="43" s="1"/>
  <c r="T329" i="45"/>
  <c r="T334" i="45"/>
  <c r="T335" i="45"/>
  <c r="T342" i="45"/>
  <c r="T331" i="45"/>
  <c r="T333" i="45"/>
  <c r="HQ337" i="43"/>
  <c r="HR337" i="43" s="1"/>
  <c r="HS337" i="43" s="1"/>
  <c r="M336" i="43"/>
  <c r="HQ336" i="43"/>
  <c r="HR336" i="43" s="1"/>
  <c r="HS336" i="43" s="1"/>
  <c r="T330" i="45"/>
  <c r="HQ333" i="43"/>
  <c r="HR333" i="43" s="1"/>
  <c r="HS333" i="43" s="1"/>
  <c r="I305" i="43"/>
  <c r="J305" i="43"/>
  <c r="I302" i="43"/>
  <c r="J302" i="43"/>
  <c r="I296" i="43"/>
  <c r="J296" i="43"/>
  <c r="I291" i="43"/>
  <c r="J291" i="43"/>
  <c r="I294" i="43"/>
  <c r="J294" i="43"/>
  <c r="I289" i="43"/>
  <c r="J289" i="43"/>
  <c r="I295" i="43"/>
  <c r="J295" i="43"/>
  <c r="I290" i="43"/>
  <c r="J290" i="43"/>
  <c r="FZ327" i="43"/>
  <c r="HQ327" i="43"/>
  <c r="HR327" i="43" s="1"/>
  <c r="HS327" i="43" s="1"/>
  <c r="M328" i="43"/>
  <c r="K328" i="43" s="1"/>
  <c r="AI325" i="45" s="1"/>
  <c r="HQ328" i="43"/>
  <c r="HR328" i="43" s="1"/>
  <c r="HS328" i="43" s="1"/>
  <c r="M330" i="43"/>
  <c r="HQ330" i="43"/>
  <c r="HR330" i="43" s="1"/>
  <c r="HS330" i="43" s="1"/>
  <c r="I325" i="43"/>
  <c r="J325" i="43"/>
  <c r="FZ326" i="43"/>
  <c r="HQ326" i="43"/>
  <c r="HR326" i="43" s="1"/>
  <c r="HS326" i="43" s="1"/>
  <c r="M325" i="43"/>
  <c r="K325" i="43" s="1"/>
  <c r="AI322" i="45" s="1"/>
  <c r="HQ325" i="43"/>
  <c r="HR325" i="43" s="1"/>
  <c r="HS325" i="43" s="1"/>
  <c r="J323" i="43"/>
  <c r="I323" i="43"/>
  <c r="HQ324" i="43"/>
  <c r="HR324" i="43" s="1"/>
  <c r="HS324" i="43" s="1"/>
  <c r="J322" i="43"/>
  <c r="I322" i="43"/>
  <c r="HQ323" i="43"/>
  <c r="HR323" i="43" s="1"/>
  <c r="HS323" i="43" s="1"/>
  <c r="HQ322" i="43"/>
  <c r="HR322" i="43" s="1"/>
  <c r="HS322" i="43" s="1"/>
  <c r="HQ321" i="43"/>
  <c r="HR321" i="43" s="1"/>
  <c r="HS321" i="43" s="1"/>
  <c r="M320" i="43"/>
  <c r="K320" i="43" s="1"/>
  <c r="AI317" i="45" s="1"/>
  <c r="HQ320" i="43"/>
  <c r="HR320" i="43" s="1"/>
  <c r="HS320" i="43" s="1"/>
  <c r="HQ319" i="43"/>
  <c r="HR319" i="43" s="1"/>
  <c r="HS319" i="43" s="1"/>
  <c r="J312" i="43"/>
  <c r="I312" i="43"/>
  <c r="AF307" i="45"/>
  <c r="AF306" i="45"/>
  <c r="AF304" i="45"/>
  <c r="AF305" i="45"/>
  <c r="AG303" i="45"/>
  <c r="HQ306" i="43"/>
  <c r="HR306" i="43" s="1"/>
  <c r="HS306" i="43" s="1"/>
  <c r="AG302" i="45"/>
  <c r="HQ305" i="43"/>
  <c r="HR305" i="43" s="1"/>
  <c r="HS305" i="43" s="1"/>
  <c r="HQ303" i="43"/>
  <c r="HR303" i="43" s="1"/>
  <c r="HS303" i="43" s="1"/>
  <c r="AG300" i="45"/>
  <c r="AG301" i="45"/>
  <c r="HQ304" i="43"/>
  <c r="HR304" i="43" s="1"/>
  <c r="HS304" i="43" s="1"/>
  <c r="AF302" i="45"/>
  <c r="AE302" i="45"/>
  <c r="AE299" i="45"/>
  <c r="AF299" i="45"/>
  <c r="AE303" i="45"/>
  <c r="AF303" i="45"/>
  <c r="AF301" i="45"/>
  <c r="AE301" i="45"/>
  <c r="AE300" i="45"/>
  <c r="AF300" i="45"/>
  <c r="AS303" i="24"/>
  <c r="AE298" i="45"/>
  <c r="AF298" i="45"/>
  <c r="AE296" i="45"/>
  <c r="AF296" i="45"/>
  <c r="AE297" i="45"/>
  <c r="AF297" i="45"/>
  <c r="M300" i="43"/>
  <c r="AF295" i="45"/>
  <c r="AE295" i="45"/>
  <c r="AE293" i="45"/>
  <c r="AF293" i="45"/>
  <c r="AE294" i="45"/>
  <c r="AF294" i="45"/>
  <c r="FZ297" i="43"/>
  <c r="HQ297" i="43"/>
  <c r="HR297" i="43" s="1"/>
  <c r="HS297" i="43" s="1"/>
  <c r="AE292" i="45"/>
  <c r="AF292" i="45"/>
  <c r="J293" i="43"/>
  <c r="I293" i="43"/>
  <c r="J292" i="43"/>
  <c r="I292" i="43"/>
  <c r="M292" i="43"/>
  <c r="HQ292" i="43"/>
  <c r="HR292" i="43" s="1"/>
  <c r="HS292" i="43" s="1"/>
  <c r="AF290" i="45"/>
  <c r="AF291" i="45"/>
  <c r="AF289" i="45"/>
  <c r="AF287" i="45"/>
  <c r="AF288" i="45"/>
  <c r="AF285" i="45"/>
  <c r="AF286" i="45"/>
  <c r="AF284" i="45"/>
  <c r="AF283" i="45"/>
  <c r="AF281" i="45"/>
  <c r="AF282" i="45"/>
  <c r="S237" i="45"/>
  <c r="AG11" i="45"/>
  <c r="S374" i="45"/>
  <c r="S126" i="45"/>
  <c r="M135" i="43"/>
  <c r="M331" i="43"/>
  <c r="FZ91" i="43"/>
  <c r="M127" i="43"/>
  <c r="HS189" i="43"/>
  <c r="HS171" i="43"/>
  <c r="M210" i="43"/>
  <c r="M303" i="43"/>
  <c r="FZ172" i="43"/>
  <c r="FZ192" i="43"/>
  <c r="FZ181" i="43"/>
  <c r="M297" i="43"/>
  <c r="FZ195" i="43"/>
  <c r="FZ311" i="43"/>
  <c r="HS311" i="43"/>
  <c r="FZ201" i="43"/>
  <c r="M197" i="43"/>
  <c r="HS197" i="43"/>
  <c r="FZ316" i="43"/>
  <c r="M309" i="43"/>
  <c r="HS309" i="43"/>
  <c r="M301" i="43"/>
  <c r="HS317" i="43"/>
  <c r="HS291" i="43"/>
  <c r="HS288" i="43"/>
  <c r="M181" i="43"/>
  <c r="M306" i="43"/>
  <c r="M191" i="43"/>
  <c r="FZ182" i="43"/>
  <c r="M283" i="43"/>
  <c r="HS283" i="43"/>
  <c r="M180" i="43"/>
  <c r="FZ290" i="43"/>
  <c r="HS290" i="43"/>
  <c r="M205" i="43"/>
  <c r="M200" i="43"/>
  <c r="HS200" i="43"/>
  <c r="M314" i="43"/>
  <c r="HS314" i="43"/>
  <c r="FZ203" i="43"/>
  <c r="HS203" i="43"/>
  <c r="M285" i="43"/>
  <c r="HS285" i="43"/>
  <c r="M190" i="43"/>
  <c r="AG84" i="45"/>
  <c r="AG206" i="45"/>
  <c r="HS209" i="43"/>
  <c r="HS206" i="43"/>
  <c r="HS313" i="43"/>
  <c r="HS179" i="43"/>
  <c r="FZ178" i="43"/>
  <c r="M312" i="43"/>
  <c r="M289" i="43"/>
  <c r="HS289" i="43"/>
  <c r="M188" i="43"/>
  <c r="FZ295" i="43"/>
  <c r="M202" i="43"/>
  <c r="M310" i="43"/>
  <c r="HS310" i="43"/>
  <c r="M304" i="43"/>
  <c r="M173" i="43"/>
  <c r="FZ196" i="43"/>
  <c r="FZ354" i="43"/>
  <c r="HS186" i="43"/>
  <c r="HS183" i="43"/>
  <c r="M154" i="43"/>
  <c r="FZ118" i="43"/>
  <c r="M318" i="43"/>
  <c r="HS318" i="43"/>
  <c r="FZ302" i="43"/>
  <c r="M199" i="43"/>
  <c r="HS199" i="43"/>
  <c r="M174" i="43"/>
  <c r="FZ287" i="43"/>
  <c r="HS287" i="43"/>
  <c r="FZ300" i="43"/>
  <c r="M294" i="43"/>
  <c r="HS294" i="43"/>
  <c r="M91" i="43"/>
  <c r="M296" i="43"/>
  <c r="FZ184" i="43"/>
  <c r="M298" i="43"/>
  <c r="M293" i="43"/>
  <c r="HS208" i="43"/>
  <c r="FZ292" i="43"/>
  <c r="FZ71" i="43"/>
  <c r="AF280" i="45"/>
  <c r="HS282" i="43"/>
  <c r="AF278" i="45"/>
  <c r="AF279" i="45"/>
  <c r="AF276" i="45"/>
  <c r="AF277" i="45"/>
  <c r="FZ279" i="43"/>
  <c r="HS278" i="43"/>
  <c r="M277" i="43"/>
  <c r="HS277" i="43"/>
  <c r="HS276" i="43"/>
  <c r="M275" i="43"/>
  <c r="HS275" i="43"/>
  <c r="HS274" i="43"/>
  <c r="FZ273" i="43"/>
  <c r="HS273" i="43"/>
  <c r="AF274" i="45"/>
  <c r="AF275" i="45"/>
  <c r="AF268" i="45"/>
  <c r="AF269" i="45"/>
  <c r="AF271" i="45"/>
  <c r="AF270" i="45"/>
  <c r="AF272" i="45"/>
  <c r="AF273" i="45"/>
  <c r="M271" i="43"/>
  <c r="L37" i="35"/>
  <c r="M270" i="43"/>
  <c r="HS270" i="43"/>
  <c r="AF267" i="45"/>
  <c r="AF266" i="45"/>
  <c r="M269" i="43"/>
  <c r="FZ269" i="43"/>
  <c r="AF262" i="45"/>
  <c r="AF263" i="45"/>
  <c r="AF264" i="45"/>
  <c r="AF265" i="45"/>
  <c r="AF261" i="45"/>
  <c r="HS265" i="43"/>
  <c r="HS266" i="43"/>
  <c r="AG264" i="45"/>
  <c r="HS267" i="43"/>
  <c r="AF260" i="45"/>
  <c r="AF259" i="45"/>
  <c r="M263" i="43"/>
  <c r="HS263" i="43"/>
  <c r="AF258" i="45"/>
  <c r="AG259" i="45"/>
  <c r="HS262" i="43"/>
  <c r="AG255" i="45"/>
  <c r="HS259" i="43"/>
  <c r="AF255" i="45"/>
  <c r="AF256" i="45"/>
  <c r="AF257" i="45"/>
  <c r="AF254" i="45"/>
  <c r="M257" i="43"/>
  <c r="HS257" i="43"/>
  <c r="FZ256" i="43"/>
  <c r="AF238" i="45"/>
  <c r="AF247" i="45"/>
  <c r="AF248" i="45"/>
  <c r="AF249" i="45"/>
  <c r="AF243" i="45"/>
  <c r="AF242" i="45"/>
  <c r="AF246" i="45"/>
  <c r="AF252" i="45"/>
  <c r="AF253" i="45"/>
  <c r="AF239" i="45"/>
  <c r="AF235" i="45"/>
  <c r="AF250" i="45"/>
  <c r="AF236" i="45"/>
  <c r="AF237" i="45"/>
  <c r="AF240" i="45"/>
  <c r="AF241" i="45"/>
  <c r="AF251" i="45"/>
  <c r="AF244" i="45"/>
  <c r="AF245" i="45"/>
  <c r="FZ255" i="43"/>
  <c r="HS255" i="43"/>
  <c r="AG251" i="45"/>
  <c r="HS254" i="43"/>
  <c r="HS251" i="43"/>
  <c r="HS252" i="43"/>
  <c r="AG250" i="45"/>
  <c r="HS253" i="43"/>
  <c r="FZ253" i="43"/>
  <c r="HS249" i="43"/>
  <c r="FZ248" i="43"/>
  <c r="HS248" i="43"/>
  <c r="M244" i="43"/>
  <c r="AG244" i="45"/>
  <c r="HS247" i="43"/>
  <c r="FZ246" i="43"/>
  <c r="FZ245" i="43"/>
  <c r="HS245" i="43"/>
  <c r="M246" i="43"/>
  <c r="HS246" i="43"/>
  <c r="HS243" i="43"/>
  <c r="FZ242" i="43"/>
  <c r="HS242" i="43"/>
  <c r="FZ241" i="43"/>
  <c r="HS241" i="43"/>
  <c r="AS240" i="24"/>
  <c r="FZ240" i="43"/>
  <c r="FZ239" i="43"/>
  <c r="FZ238" i="43"/>
  <c r="FZ236" i="43"/>
  <c r="HS236" i="43"/>
  <c r="M235" i="43"/>
  <c r="HS235" i="43"/>
  <c r="M234" i="43"/>
  <c r="HS234" i="43"/>
  <c r="M230" i="43"/>
  <c r="FZ232" i="43"/>
  <c r="M231" i="43"/>
  <c r="HS231" i="43"/>
  <c r="M228" i="43"/>
  <c r="HS228" i="43"/>
  <c r="FZ226" i="43"/>
  <c r="FZ224" i="43"/>
  <c r="HS224" i="43"/>
  <c r="FZ225" i="43"/>
  <c r="FZ222" i="43"/>
  <c r="FZ221" i="43"/>
  <c r="FZ220" i="43"/>
  <c r="HS220" i="43"/>
  <c r="AR217" i="24"/>
  <c r="M213" i="43"/>
  <c r="HS212" i="43"/>
  <c r="M211" i="43"/>
  <c r="HS211" i="43"/>
  <c r="AQ200" i="24"/>
  <c r="M196" i="43"/>
  <c r="FZ187" i="43"/>
  <c r="M184" i="43"/>
  <c r="M168" i="43"/>
  <c r="AR165" i="24"/>
  <c r="DL164" i="43"/>
  <c r="AR161" i="24"/>
  <c r="AS161" i="24"/>
  <c r="M162" i="43"/>
  <c r="S166" i="45"/>
  <c r="FZ150" i="43"/>
  <c r="S141" i="45"/>
  <c r="M133" i="43"/>
  <c r="AR131" i="24"/>
  <c r="FZ123" i="43"/>
  <c r="AS121" i="24"/>
  <c r="AQ121" i="24"/>
  <c r="C10" i="22"/>
  <c r="E10" i="22"/>
  <c r="M102" i="43"/>
  <c r="FZ102" i="43"/>
  <c r="FZ100" i="43"/>
  <c r="M100" i="43"/>
  <c r="L22" i="44"/>
  <c r="L24" i="44" s="1"/>
  <c r="FZ96" i="43"/>
  <c r="AR95" i="24"/>
  <c r="AO370" i="43"/>
  <c r="FF370" i="43" s="1"/>
  <c r="FZ92" i="43"/>
  <c r="M86" i="43"/>
  <c r="FZ86" i="43"/>
  <c r="FZ80" i="43"/>
  <c r="FZ74" i="43"/>
  <c r="DY365" i="43"/>
  <c r="DZ365" i="43" s="1"/>
  <c r="AO378" i="43"/>
  <c r="FF378" i="43" s="1"/>
  <c r="DY334" i="43"/>
  <c r="DZ334" i="43" s="1"/>
  <c r="AO374" i="43"/>
  <c r="FF374" i="43" s="1"/>
  <c r="DY333" i="43"/>
  <c r="DZ333" i="43" s="1"/>
  <c r="DY345" i="43"/>
  <c r="DZ345" i="43" s="1"/>
  <c r="AO379" i="43"/>
  <c r="FF379" i="43" s="1"/>
  <c r="C389" i="45"/>
  <c r="FZ68" i="43"/>
  <c r="AO350" i="43"/>
  <c r="FF350" i="43" s="1"/>
  <c r="AO356" i="43"/>
  <c r="FF356" i="43" s="1"/>
  <c r="DY336" i="43"/>
  <c r="DZ336" i="43" s="1"/>
  <c r="DY362" i="43"/>
  <c r="DZ362" i="43" s="1"/>
  <c r="DY338" i="43"/>
  <c r="DZ338" i="43" s="1"/>
  <c r="C387" i="45"/>
  <c r="DY337" i="43"/>
  <c r="DZ337" i="43" s="1"/>
  <c r="DY332" i="43"/>
  <c r="DZ332" i="43" s="1"/>
  <c r="FZ53" i="43"/>
  <c r="B22" i="44"/>
  <c r="B24" i="44" s="1"/>
  <c r="FZ41" i="43"/>
  <c r="E22" i="44"/>
  <c r="E24" i="44" s="1"/>
  <c r="AG32" i="45"/>
  <c r="AR28" i="24"/>
  <c r="AS28" i="24"/>
  <c r="AQ11" i="24"/>
  <c r="FZ31" i="43"/>
  <c r="D28" i="30"/>
  <c r="D27" i="30"/>
  <c r="M14" i="43"/>
  <c r="FZ14" i="43"/>
  <c r="C28" i="30"/>
  <c r="D26" i="30"/>
  <c r="C26" i="30"/>
  <c r="E26" i="30"/>
  <c r="C27" i="30"/>
  <c r="L38" i="35"/>
  <c r="E27" i="30"/>
  <c r="P380" i="24"/>
  <c r="AG380" i="24" s="1"/>
  <c r="M17" i="43"/>
  <c r="K17" i="43" s="1"/>
  <c r="AI14" i="45" s="1"/>
  <c r="FZ26" i="43"/>
  <c r="B14" i="45"/>
  <c r="M226" i="43"/>
  <c r="AQ241" i="24"/>
  <c r="AS185" i="24"/>
  <c r="AR117" i="24"/>
  <c r="P176" i="24"/>
  <c r="CA176" i="24" s="1"/>
  <c r="P335" i="24"/>
  <c r="CA335" i="24" s="1"/>
  <c r="M222" i="43"/>
  <c r="FZ152" i="43"/>
  <c r="AR245" i="24"/>
  <c r="H9" i="22"/>
  <c r="AS184" i="24"/>
  <c r="AG149" i="45"/>
  <c r="AS324" i="24"/>
  <c r="AR172" i="24"/>
  <c r="AG126" i="45"/>
  <c r="AQ309" i="24"/>
  <c r="P183" i="24"/>
  <c r="CA183" i="24" s="1"/>
  <c r="P175" i="24"/>
  <c r="CA175" i="24" s="1"/>
  <c r="P356" i="24"/>
  <c r="CA356" i="24" s="1"/>
  <c r="P259" i="24"/>
  <c r="CA259" i="24" s="1"/>
  <c r="P251" i="24"/>
  <c r="CA251" i="24" s="1"/>
  <c r="G9" i="44"/>
  <c r="M376" i="43"/>
  <c r="M203" i="43"/>
  <c r="M152" i="43"/>
  <c r="FZ310" i="43"/>
  <c r="S255" i="45"/>
  <c r="AS331" i="24"/>
  <c r="AS278" i="24"/>
  <c r="AR321" i="24"/>
  <c r="AQ178" i="24"/>
  <c r="AR324" i="24"/>
  <c r="AQ172" i="24"/>
  <c r="AQ150" i="24"/>
  <c r="AR345" i="24"/>
  <c r="AQ358" i="24"/>
  <c r="AR151" i="24"/>
  <c r="AR193" i="24"/>
  <c r="AS345" i="24"/>
  <c r="P371" i="24"/>
  <c r="CA371" i="24" s="1"/>
  <c r="AQ368" i="24"/>
  <c r="AR308" i="24"/>
  <c r="AR381" i="24"/>
  <c r="G13" i="44"/>
  <c r="FZ243" i="43"/>
  <c r="M239" i="43"/>
  <c r="FZ306" i="43"/>
  <c r="AQ249" i="24"/>
  <c r="AS327" i="24"/>
  <c r="AS321" i="24"/>
  <c r="AS314" i="24"/>
  <c r="AR328" i="24"/>
  <c r="AQ117" i="24"/>
  <c r="S282" i="45"/>
  <c r="AQ273" i="24"/>
  <c r="G29" i="44"/>
  <c r="F29" i="44" s="1"/>
  <c r="M243" i="43"/>
  <c r="M238" i="43"/>
  <c r="AS224" i="24"/>
  <c r="G16" i="44"/>
  <c r="AR249" i="24"/>
  <c r="AQ258" i="24"/>
  <c r="AR265" i="24"/>
  <c r="AS309" i="24"/>
  <c r="AG153" i="45"/>
  <c r="AR195" i="24"/>
  <c r="AG139" i="45"/>
  <c r="AG120" i="45"/>
  <c r="AR337" i="24"/>
  <c r="AR325" i="24"/>
  <c r="P265" i="24"/>
  <c r="CA265" i="24" s="1"/>
  <c r="M123" i="43"/>
  <c r="P150" i="24"/>
  <c r="CA150" i="24" s="1"/>
  <c r="P329" i="24"/>
  <c r="CA329" i="24" s="1"/>
  <c r="P376" i="24"/>
  <c r="CA376" i="24" s="1"/>
  <c r="FZ235" i="43"/>
  <c r="M178" i="43"/>
  <c r="M172" i="43"/>
  <c r="AS228" i="24"/>
  <c r="AS241" i="24"/>
  <c r="AR253" i="24"/>
  <c r="G17" i="44"/>
  <c r="AS265" i="24"/>
  <c r="AG267" i="45"/>
  <c r="AR304" i="24"/>
  <c r="AS273" i="24"/>
  <c r="AQ195" i="24"/>
  <c r="AR331" i="24"/>
  <c r="AG13" i="45"/>
  <c r="AR11" i="24"/>
  <c r="B12" i="45"/>
  <c r="AS76" i="24"/>
  <c r="P91" i="24"/>
  <c r="CA91" i="24" s="1"/>
  <c r="P75" i="24"/>
  <c r="CA75" i="24" s="1"/>
  <c r="P67" i="24"/>
  <c r="CA67" i="24" s="1"/>
  <c r="P51" i="24"/>
  <c r="CA51" i="24" s="1"/>
  <c r="H11" i="43"/>
  <c r="K11" i="43" s="1"/>
  <c r="AR53" i="24"/>
  <c r="FZ112" i="43"/>
  <c r="FZ94" i="43"/>
  <c r="P82" i="24"/>
  <c r="CA82" i="24" s="1"/>
  <c r="P74" i="24"/>
  <c r="CA74" i="24" s="1"/>
  <c r="M105" i="43"/>
  <c r="M68" i="43"/>
  <c r="S96" i="45"/>
  <c r="AQ53" i="24"/>
  <c r="AQ89" i="24"/>
  <c r="AG102" i="45"/>
  <c r="AR98" i="24"/>
  <c r="AQ76" i="24"/>
  <c r="FZ106" i="43"/>
  <c r="FZ109" i="43"/>
  <c r="AS98" i="24"/>
  <c r="P107" i="24"/>
  <c r="CA107" i="24" s="1"/>
  <c r="P99" i="24"/>
  <c r="CA99" i="24" s="1"/>
  <c r="AG31" i="45"/>
  <c r="S78" i="45"/>
  <c r="AQ82" i="24"/>
  <c r="AS107" i="24"/>
  <c r="AR30" i="24"/>
  <c r="P63" i="24"/>
  <c r="CA63" i="24" s="1"/>
  <c r="P55" i="24"/>
  <c r="CA55" i="24" s="1"/>
  <c r="AG30" i="45"/>
  <c r="AQ107" i="24"/>
  <c r="S104" i="45"/>
  <c r="P105" i="24"/>
  <c r="CA105" i="24" s="1"/>
  <c r="S34" i="45"/>
  <c r="AG99" i="45"/>
  <c r="FZ380" i="43"/>
  <c r="FZ379" i="43"/>
  <c r="M379" i="43"/>
  <c r="S370" i="45"/>
  <c r="FZ374" i="43"/>
  <c r="T366" i="45"/>
  <c r="AR368" i="24"/>
  <c r="T363" i="45"/>
  <c r="T360" i="45"/>
  <c r="T356" i="45"/>
  <c r="T336" i="45"/>
  <c r="FZ352" i="43"/>
  <c r="FZ351" i="43"/>
  <c r="AG348" i="45"/>
  <c r="T344" i="45"/>
  <c r="T343" i="45"/>
  <c r="T340" i="45"/>
  <c r="T341" i="45"/>
  <c r="T338" i="45"/>
  <c r="T339" i="45"/>
  <c r="T337" i="45"/>
  <c r="AG239" i="45"/>
  <c r="AQ361" i="24"/>
  <c r="AS361" i="24"/>
  <c r="AQ294" i="24"/>
  <c r="AR294" i="24"/>
  <c r="AS294" i="24"/>
  <c r="AQ319" i="24"/>
  <c r="AS319" i="24"/>
  <c r="AS188" i="24"/>
  <c r="AQ188" i="24"/>
  <c r="AR52" i="24"/>
  <c r="AQ52" i="24"/>
  <c r="HS146" i="43"/>
  <c r="AG143" i="45"/>
  <c r="J81" i="45"/>
  <c r="IE84" i="43"/>
  <c r="J51" i="45"/>
  <c r="IE54" i="43"/>
  <c r="J121" i="45"/>
  <c r="IE124" i="43"/>
  <c r="AS348" i="24"/>
  <c r="AQ348" i="24"/>
  <c r="HS108" i="43"/>
  <c r="FZ108" i="43"/>
  <c r="P326" i="24"/>
  <c r="CA326" i="24" s="1"/>
  <c r="AS208" i="24"/>
  <c r="FZ146" i="43"/>
  <c r="M108" i="43"/>
  <c r="FZ176" i="43"/>
  <c r="M176" i="43"/>
  <c r="AQ42" i="24"/>
  <c r="AR42" i="24"/>
  <c r="AS374" i="24"/>
  <c r="AQ374" i="24"/>
  <c r="AR374" i="24"/>
  <c r="AQ112" i="24"/>
  <c r="AS112" i="24"/>
  <c r="AR112" i="24"/>
  <c r="AQ114" i="24"/>
  <c r="AS114" i="24"/>
  <c r="P103" i="24"/>
  <c r="CA103" i="24" s="1"/>
  <c r="P317" i="24"/>
  <c r="CA317" i="24" s="1"/>
  <c r="FZ318" i="43"/>
  <c r="FZ157" i="43"/>
  <c r="M146" i="43"/>
  <c r="AG22" i="45"/>
  <c r="FZ25" i="43"/>
  <c r="AS211" i="24"/>
  <c r="AR211" i="24"/>
  <c r="P153" i="24"/>
  <c r="CA153" i="24" s="1"/>
  <c r="P145" i="24"/>
  <c r="CA145" i="24" s="1"/>
  <c r="P110" i="24"/>
  <c r="CA110" i="24" s="1"/>
  <c r="P102" i="24"/>
  <c r="CA102" i="24" s="1"/>
  <c r="P283" i="24"/>
  <c r="CA283" i="24" s="1"/>
  <c r="FZ283" i="43"/>
  <c r="FZ76" i="43"/>
  <c r="AG263" i="45"/>
  <c r="AS52" i="24"/>
  <c r="AR158" i="24"/>
  <c r="S317" i="45"/>
  <c r="S318" i="45"/>
  <c r="AS350" i="24"/>
  <c r="AQ350" i="24"/>
  <c r="AS238" i="24"/>
  <c r="AQ238" i="24"/>
  <c r="AR230" i="24"/>
  <c r="AQ230" i="24"/>
  <c r="AS221" i="24"/>
  <c r="AR221" i="24"/>
  <c r="AS125" i="24"/>
  <c r="AQ173" i="24"/>
  <c r="AS173" i="24"/>
  <c r="AR173" i="24"/>
  <c r="IE60" i="43"/>
  <c r="J123" i="45"/>
  <c r="IE126" i="43"/>
  <c r="M118" i="43"/>
  <c r="AG6" i="45"/>
  <c r="FZ233" i="43"/>
  <c r="M233" i="43"/>
  <c r="AR281" i="24"/>
  <c r="AR39" i="24"/>
  <c r="AG187" i="45"/>
  <c r="AG115" i="45"/>
  <c r="FZ366" i="43"/>
  <c r="AR319" i="24"/>
  <c r="AQ272" i="24"/>
  <c r="AS272" i="24"/>
  <c r="AQ26" i="24"/>
  <c r="AS26" i="24"/>
  <c r="AR26" i="24"/>
  <c r="AQ263" i="24"/>
  <c r="AS263" i="24"/>
  <c r="M157" i="43"/>
  <c r="AG96" i="45"/>
  <c r="HS99" i="43"/>
  <c r="FZ99" i="43"/>
  <c r="J46" i="45"/>
  <c r="IE49" i="43"/>
  <c r="M245" i="43"/>
  <c r="FZ190" i="43"/>
  <c r="FZ78" i="43"/>
  <c r="M31" i="43"/>
  <c r="K31" i="43" s="1"/>
  <c r="AI28" i="45" s="1"/>
  <c r="AG252" i="45"/>
  <c r="M255" i="43"/>
  <c r="AR348" i="24"/>
  <c r="AQ281" i="24"/>
  <c r="AQ125" i="24"/>
  <c r="AR33" i="24"/>
  <c r="M99" i="43"/>
  <c r="AQ39" i="24"/>
  <c r="HS190" i="43"/>
  <c r="M129" i="43"/>
  <c r="AG105" i="45"/>
  <c r="HS240" i="43"/>
  <c r="AG237" i="45"/>
  <c r="M240" i="43"/>
  <c r="HS30" i="43"/>
  <c r="AG27" i="45"/>
  <c r="FZ30" i="43"/>
  <c r="AQ268" i="24"/>
  <c r="AS268" i="24"/>
  <c r="AR268" i="24"/>
  <c r="HS117" i="43"/>
  <c r="AG114" i="45"/>
  <c r="M117" i="43"/>
  <c r="AQ373" i="24"/>
  <c r="AS373" i="24"/>
  <c r="FZ98" i="43"/>
  <c r="AG75" i="45"/>
  <c r="AR361" i="24"/>
  <c r="AS234" i="24"/>
  <c r="AR234" i="24"/>
  <c r="AS226" i="24"/>
  <c r="AR226" i="24"/>
  <c r="AQ226" i="24"/>
  <c r="AQ68" i="24"/>
  <c r="AQ141" i="24"/>
  <c r="AS141" i="24"/>
  <c r="AR277" i="24"/>
  <c r="AQ277" i="24"/>
  <c r="AR366" i="24"/>
  <c r="AS366" i="24"/>
  <c r="AQ341" i="24"/>
  <c r="AS341" i="24"/>
  <c r="AQ301" i="24"/>
  <c r="AR301" i="24"/>
  <c r="AR49" i="24"/>
  <c r="AS49" i="24"/>
  <c r="M95" i="43"/>
  <c r="AQ22" i="24"/>
  <c r="AR22" i="24"/>
  <c r="J97" i="45"/>
  <c r="IE100" i="43"/>
  <c r="J91" i="45"/>
  <c r="AQ283" i="24"/>
  <c r="AR283" i="24"/>
  <c r="P352" i="24"/>
  <c r="CA352" i="24" s="1"/>
  <c r="M242" i="43"/>
  <c r="AR208" i="24"/>
  <c r="M209" i="43"/>
  <c r="FZ270" i="43"/>
  <c r="FZ204" i="43"/>
  <c r="M204" i="43"/>
  <c r="FZ84" i="43"/>
  <c r="M84" i="43"/>
  <c r="HS23" i="43"/>
  <c r="M23" i="43"/>
  <c r="K23" i="43" s="1"/>
  <c r="AI20" i="45" s="1"/>
  <c r="AR68" i="24"/>
  <c r="AQ189" i="24"/>
  <c r="AS189" i="24"/>
  <c r="IE96" i="43"/>
  <c r="IE97" i="43"/>
  <c r="J94" i="45"/>
  <c r="J38" i="45"/>
  <c r="J30" i="45"/>
  <c r="IE33" i="43"/>
  <c r="J83" i="45"/>
  <c r="IE86" i="43"/>
  <c r="J11" i="45"/>
  <c r="IE14" i="43"/>
  <c r="AQ284" i="24"/>
  <c r="AR284" i="24"/>
  <c r="AS284" i="24"/>
  <c r="FZ54" i="43"/>
  <c r="P70" i="24"/>
  <c r="CA70" i="24" s="1"/>
  <c r="P184" i="24"/>
  <c r="CA184" i="24" s="1"/>
  <c r="P113" i="24"/>
  <c r="CA113" i="24" s="1"/>
  <c r="P260" i="24"/>
  <c r="CA260" i="24" s="1"/>
  <c r="P236" i="24"/>
  <c r="CA236" i="24" s="1"/>
  <c r="M276" i="43"/>
  <c r="FZ276" i="43"/>
  <c r="FZ197" i="43"/>
  <c r="M71" i="43"/>
  <c r="HS12" i="43"/>
  <c r="HU12" i="43" s="1"/>
  <c r="HV12" i="43" s="1"/>
  <c r="BA12" i="43" s="1"/>
  <c r="FZ312" i="43"/>
  <c r="FZ213" i="43"/>
  <c r="AS165" i="24"/>
  <c r="AS200" i="24"/>
  <c r="HS94" i="43"/>
  <c r="AS370" i="24"/>
  <c r="AR106" i="24"/>
  <c r="AR169" i="24"/>
  <c r="HS130" i="43"/>
  <c r="AS316" i="24"/>
  <c r="M87" i="43"/>
  <c r="FZ72" i="43"/>
  <c r="AS213" i="24"/>
  <c r="AS134" i="24"/>
  <c r="FZ56" i="43"/>
  <c r="FZ156" i="43"/>
  <c r="FZ148" i="43"/>
  <c r="FZ87" i="43"/>
  <c r="M72" i="43"/>
  <c r="AR61" i="24"/>
  <c r="AQ60" i="24"/>
  <c r="HS14" i="43"/>
  <c r="HS39" i="43"/>
  <c r="AR83" i="24"/>
  <c r="FZ95" i="43"/>
  <c r="AQ225" i="24"/>
  <c r="AS60" i="24"/>
  <c r="AR134" i="24"/>
  <c r="S66" i="45"/>
  <c r="AQ17" i="24"/>
  <c r="AR296" i="24"/>
  <c r="FZ117" i="43"/>
  <c r="AG371" i="45"/>
  <c r="M121" i="43"/>
  <c r="FZ121" i="43"/>
  <c r="M360" i="43"/>
  <c r="K360" i="43" s="1"/>
  <c r="AI357" i="45" s="1"/>
  <c r="FZ360" i="43"/>
  <c r="M124" i="43"/>
  <c r="FZ124" i="43"/>
  <c r="AS227" i="24"/>
  <c r="AR227" i="24"/>
  <c r="AR251" i="24"/>
  <c r="AS251" i="24"/>
  <c r="FZ361" i="43"/>
  <c r="M160" i="43"/>
  <c r="FZ160" i="43"/>
  <c r="M65" i="43"/>
  <c r="HS65" i="43"/>
  <c r="AG62" i="45"/>
  <c r="FZ65" i="43"/>
  <c r="FZ198" i="43"/>
  <c r="M198" i="43"/>
  <c r="AS176" i="24"/>
  <c r="AQ176" i="24"/>
  <c r="AR176" i="24"/>
  <c r="FZ145" i="43"/>
  <c r="AS262" i="24"/>
  <c r="AR183" i="24"/>
  <c r="AQ335" i="24"/>
  <c r="AS335" i="24"/>
  <c r="AQ21" i="24"/>
  <c r="AS21" i="24"/>
  <c r="AG146" i="45"/>
  <c r="M149" i="43"/>
  <c r="P92" i="24"/>
  <c r="CA92" i="24" s="1"/>
  <c r="P154" i="24"/>
  <c r="CA154" i="24" s="1"/>
  <c r="P146" i="24"/>
  <c r="CA146" i="24" s="1"/>
  <c r="P111" i="24"/>
  <c r="CA111" i="24" s="1"/>
  <c r="P250" i="24"/>
  <c r="CA250" i="24" s="1"/>
  <c r="FZ200" i="43"/>
  <c r="M145" i="43"/>
  <c r="FZ93" i="43"/>
  <c r="AS183" i="24"/>
  <c r="AQ310" i="24"/>
  <c r="AQ130" i="24"/>
  <c r="AR21" i="24"/>
  <c r="AS109" i="24"/>
  <c r="AR109" i="24"/>
  <c r="AQ58" i="24"/>
  <c r="AG16" i="45"/>
  <c r="FZ19" i="43"/>
  <c r="AQ305" i="24"/>
  <c r="AS305" i="24"/>
  <c r="AQ191" i="24"/>
  <c r="AS191" i="24"/>
  <c r="AS163" i="24"/>
  <c r="AR163" i="24"/>
  <c r="AR279" i="24"/>
  <c r="AQ279" i="24"/>
  <c r="AS279" i="24"/>
  <c r="M272" i="43"/>
  <c r="AG269" i="45"/>
  <c r="HS20" i="43"/>
  <c r="M20" i="43"/>
  <c r="K20" i="43" s="1"/>
  <c r="AI17" i="45" s="1"/>
  <c r="M60" i="43"/>
  <c r="M136" i="43"/>
  <c r="M81" i="43"/>
  <c r="S326" i="45"/>
  <c r="FZ208" i="43"/>
  <c r="AG246" i="45"/>
  <c r="AS142" i="24"/>
  <c r="M281" i="43"/>
  <c r="FZ281" i="43"/>
  <c r="AR291" i="24"/>
  <c r="AS58" i="24"/>
  <c r="AR166" i="24"/>
  <c r="AQ99" i="24"/>
  <c r="FZ169" i="43"/>
  <c r="M169" i="43"/>
  <c r="FZ260" i="43"/>
  <c r="AG257" i="45"/>
  <c r="AG95" i="45"/>
  <c r="AQ318" i="24"/>
  <c r="AR318" i="24"/>
  <c r="AR327" i="24"/>
  <c r="AG91" i="45"/>
  <c r="M94" i="43"/>
  <c r="AG107" i="45"/>
  <c r="AR132" i="24"/>
  <c r="AQ132" i="24"/>
  <c r="AS342" i="24"/>
  <c r="AR342" i="24"/>
  <c r="AQ297" i="24"/>
  <c r="AS297" i="24"/>
  <c r="AQ94" i="24"/>
  <c r="AR94" i="24"/>
  <c r="AG72" i="45"/>
  <c r="AQ201" i="24"/>
  <c r="AS201" i="24"/>
  <c r="AR201" i="24"/>
  <c r="FZ75" i="43"/>
  <c r="FZ36" i="43"/>
  <c r="FZ64" i="43"/>
  <c r="AR256" i="24"/>
  <c r="HS261" i="43"/>
  <c r="FZ261" i="43"/>
  <c r="AG261" i="45"/>
  <c r="FZ264" i="43"/>
  <c r="S182" i="45"/>
  <c r="S181" i="45"/>
  <c r="M142" i="43"/>
  <c r="FZ142" i="43"/>
  <c r="M106" i="43"/>
  <c r="AG103" i="45"/>
  <c r="P282" i="24"/>
  <c r="CA282" i="24" s="1"/>
  <c r="FZ266" i="43"/>
  <c r="FZ149" i="43"/>
  <c r="AR335" i="24"/>
  <c r="AS151" i="24"/>
  <c r="AR59" i="24"/>
  <c r="AS73" i="24"/>
  <c r="AQ73" i="24"/>
  <c r="HS293" i="43"/>
  <c r="AG290" i="45"/>
  <c r="FZ293" i="43"/>
  <c r="AQ79" i="24"/>
  <c r="AS79" i="24"/>
  <c r="P191" i="24"/>
  <c r="CA191" i="24" s="1"/>
  <c r="P65" i="24"/>
  <c r="CA65" i="24" s="1"/>
  <c r="P330" i="24"/>
  <c r="P322" i="24"/>
  <c r="CA322" i="24" s="1"/>
  <c r="P281" i="24"/>
  <c r="CA281" i="24" s="1"/>
  <c r="P230" i="24"/>
  <c r="CA230" i="24" s="1"/>
  <c r="M208" i="43"/>
  <c r="M278" i="43"/>
  <c r="M266" i="43"/>
  <c r="P88" i="24"/>
  <c r="CA88" i="24" s="1"/>
  <c r="P186" i="24"/>
  <c r="P178" i="24"/>
  <c r="CA178" i="24" s="1"/>
  <c r="P337" i="24"/>
  <c r="CA337" i="24" s="1"/>
  <c r="P262" i="24"/>
  <c r="CA262" i="24" s="1"/>
  <c r="P238" i="24"/>
  <c r="CA238" i="24" s="1"/>
  <c r="AG205" i="45"/>
  <c r="FZ278" i="43"/>
  <c r="M253" i="43"/>
  <c r="M153" i="43"/>
  <c r="AS242" i="24"/>
  <c r="AS307" i="24"/>
  <c r="AQ291" i="24"/>
  <c r="AQ166" i="24"/>
  <c r="FZ371" i="43"/>
  <c r="M371" i="43"/>
  <c r="K371" i="43" s="1"/>
  <c r="AI368" i="45" s="1"/>
  <c r="AR65" i="24"/>
  <c r="AS318" i="24"/>
  <c r="AQ307" i="24"/>
  <c r="AQ92" i="24"/>
  <c r="AS92" i="24"/>
  <c r="AS162" i="24"/>
  <c r="AQ162" i="24"/>
  <c r="HS77" i="43"/>
  <c r="M77" i="43"/>
  <c r="P188" i="24"/>
  <c r="CA188" i="24" s="1"/>
  <c r="P95" i="24"/>
  <c r="CA95" i="24" s="1"/>
  <c r="P87" i="24"/>
  <c r="CA87" i="24" s="1"/>
  <c r="P79" i="24"/>
  <c r="CA79" i="24" s="1"/>
  <c r="M311" i="43"/>
  <c r="M80" i="43"/>
  <c r="AR142" i="24"/>
  <c r="AS94" i="24"/>
  <c r="AS40" i="24"/>
  <c r="AS59" i="24"/>
  <c r="AG150" i="45"/>
  <c r="AS33" i="24"/>
  <c r="AR297" i="24"/>
  <c r="AR40" i="24"/>
  <c r="AS130" i="24"/>
  <c r="AS101" i="24"/>
  <c r="AR101" i="24"/>
  <c r="AQ32" i="24"/>
  <c r="AS32" i="24"/>
  <c r="AS381" i="24"/>
  <c r="AS177" i="24"/>
  <c r="AR177" i="24"/>
  <c r="AQ25" i="24"/>
  <c r="AR25" i="24"/>
  <c r="AQ320" i="24"/>
  <c r="AR320" i="24"/>
  <c r="AQ55" i="24"/>
  <c r="AS55" i="24"/>
  <c r="AQ159" i="24"/>
  <c r="AR159" i="24"/>
  <c r="FZ66" i="43"/>
  <c r="FZ15" i="43"/>
  <c r="FZ70" i="43"/>
  <c r="FZ20" i="43"/>
  <c r="FZ104" i="43"/>
  <c r="P98" i="24"/>
  <c r="CA98" i="24" s="1"/>
  <c r="P358" i="24"/>
  <c r="CA358" i="24" s="1"/>
  <c r="P261" i="24"/>
  <c r="CA261" i="24" s="1"/>
  <c r="P245" i="24"/>
  <c r="CA245" i="24" s="1"/>
  <c r="P237" i="24"/>
  <c r="CA237" i="24" s="1"/>
  <c r="P375" i="24"/>
  <c r="CA375" i="24" s="1"/>
  <c r="FZ103" i="43"/>
  <c r="AQ315" i="24"/>
  <c r="T332" i="45"/>
  <c r="T327" i="45"/>
  <c r="AR332" i="24"/>
  <c r="AS332" i="24"/>
  <c r="FZ328" i="43"/>
  <c r="AO353" i="43"/>
  <c r="AO355" i="43"/>
  <c r="FZ320" i="43"/>
  <c r="A11" i="22"/>
  <c r="B10" i="22"/>
  <c r="D10" i="22"/>
  <c r="H10" i="22"/>
  <c r="M316" i="43"/>
  <c r="DY363" i="43"/>
  <c r="DZ363" i="43" s="1"/>
  <c r="DY339" i="43"/>
  <c r="DZ339" i="43" s="1"/>
  <c r="AO354" i="43"/>
  <c r="AO364" i="43"/>
  <c r="AO352" i="43"/>
  <c r="FZ309" i="43"/>
  <c r="AO372" i="43"/>
  <c r="AO371" i="43"/>
  <c r="AO351" i="43"/>
  <c r="FZ304" i="43"/>
  <c r="M302" i="43"/>
  <c r="S70" i="45"/>
  <c r="S40" i="45"/>
  <c r="S283" i="45"/>
  <c r="S42" i="45"/>
  <c r="S117" i="45"/>
  <c r="FZ296" i="43"/>
  <c r="FZ285" i="43"/>
  <c r="AG275" i="45"/>
  <c r="AG273" i="45"/>
  <c r="FZ275" i="43"/>
  <c r="AS274" i="24"/>
  <c r="AQ274" i="24"/>
  <c r="FZ271" i="43"/>
  <c r="K66" i="34"/>
  <c r="M125" i="43"/>
  <c r="FZ125" i="43"/>
  <c r="AS340" i="24"/>
  <c r="AQ340" i="24"/>
  <c r="AR340" i="24"/>
  <c r="AQ75" i="24"/>
  <c r="AR75" i="24"/>
  <c r="AS75" i="24"/>
  <c r="AR37" i="24"/>
  <c r="AS37" i="24"/>
  <c r="AQ37" i="24"/>
  <c r="P72" i="24"/>
  <c r="BT72" i="24" s="1"/>
  <c r="HS369" i="43"/>
  <c r="FZ219" i="43"/>
  <c r="M219" i="43"/>
  <c r="AR220" i="24"/>
  <c r="AQ220" i="24"/>
  <c r="AG242" i="45"/>
  <c r="HS268" i="43"/>
  <c r="M268" i="43"/>
  <c r="AG265" i="45"/>
  <c r="AS257" i="24"/>
  <c r="AR257" i="24"/>
  <c r="AS244" i="24"/>
  <c r="AQ244" i="24"/>
  <c r="S55" i="45"/>
  <c r="S54" i="45"/>
  <c r="AS338" i="24"/>
  <c r="AR338" i="24"/>
  <c r="P257" i="24"/>
  <c r="CA257" i="24" s="1"/>
  <c r="FZ206" i="43"/>
  <c r="FZ268" i="43"/>
  <c r="FZ229" i="43"/>
  <c r="M229" i="43"/>
  <c r="AG243" i="45"/>
  <c r="AS315" i="24"/>
  <c r="M61" i="43"/>
  <c r="FZ61" i="43"/>
  <c r="S240" i="45"/>
  <c r="S241" i="45"/>
  <c r="FZ223" i="43"/>
  <c r="M223" i="43"/>
  <c r="AQ338" i="24"/>
  <c r="HS147" i="43"/>
  <c r="AG144" i="45"/>
  <c r="M147" i="43"/>
  <c r="FZ147" i="43"/>
  <c r="S147" i="45"/>
  <c r="S148" i="45"/>
  <c r="AS140" i="24"/>
  <c r="AQ140" i="24"/>
  <c r="AR140" i="24"/>
  <c r="AQ96" i="24"/>
  <c r="AR96" i="24"/>
  <c r="AR69" i="24"/>
  <c r="AS69" i="24"/>
  <c r="AQ69" i="24"/>
  <c r="AQ334" i="24"/>
  <c r="AR334" i="24"/>
  <c r="AS334" i="24"/>
  <c r="AQ135" i="24"/>
  <c r="AR135" i="24"/>
  <c r="AQ365" i="24"/>
  <c r="AR365" i="24"/>
  <c r="AS365" i="24"/>
  <c r="AS326" i="24"/>
  <c r="AQ326" i="24"/>
  <c r="AR326" i="24"/>
  <c r="AQ317" i="24"/>
  <c r="AR317" i="24"/>
  <c r="AS317" i="24"/>
  <c r="AQ300" i="24"/>
  <c r="AS300" i="24"/>
  <c r="AR84" i="24"/>
  <c r="AS84" i="24"/>
  <c r="AS51" i="24"/>
  <c r="AQ51" i="24"/>
  <c r="AR51" i="24"/>
  <c r="AQ34" i="24"/>
  <c r="AS34" i="24"/>
  <c r="AR34" i="24"/>
  <c r="AG276" i="45"/>
  <c r="AQ180" i="24"/>
  <c r="AS180" i="24"/>
  <c r="AR180" i="24"/>
  <c r="AR194" i="24"/>
  <c r="AS194" i="24"/>
  <c r="AS128" i="24"/>
  <c r="AQ128" i="24"/>
  <c r="AS15" i="24"/>
  <c r="AQ15" i="24"/>
  <c r="AR15" i="24"/>
  <c r="HS167" i="43"/>
  <c r="AG164" i="45"/>
  <c r="FZ167" i="43"/>
  <c r="M167" i="43"/>
  <c r="HS126" i="43"/>
  <c r="M126" i="43"/>
  <c r="AG123" i="45"/>
  <c r="AQ276" i="24"/>
  <c r="AR276" i="24"/>
  <c r="AS276" i="24"/>
  <c r="AR67" i="24"/>
  <c r="AS67" i="24"/>
  <c r="J105" i="45"/>
  <c r="IE108" i="43"/>
  <c r="J62" i="45"/>
  <c r="IE65" i="43"/>
  <c r="J8" i="45"/>
  <c r="AI8" i="45" s="1"/>
  <c r="J107" i="45"/>
  <c r="IE56" i="43"/>
  <c r="J53" i="45"/>
  <c r="J102" i="45"/>
  <c r="IE105" i="43"/>
  <c r="J75" i="45"/>
  <c r="IE78" i="43"/>
  <c r="J19" i="45"/>
  <c r="IE22" i="43"/>
  <c r="J41" i="45"/>
  <c r="IE44" i="43"/>
  <c r="HS250" i="43"/>
  <c r="AG247" i="45"/>
  <c r="AQ153" i="24"/>
  <c r="AR153" i="24"/>
  <c r="AS153" i="24"/>
  <c r="AQ81" i="24"/>
  <c r="AR81" i="24"/>
  <c r="AS81" i="24"/>
  <c r="AQ14" i="24"/>
  <c r="AS14" i="24"/>
  <c r="AR14" i="24"/>
  <c r="AQ377" i="24"/>
  <c r="AR377" i="24"/>
  <c r="AS377" i="24"/>
  <c r="AS346" i="24"/>
  <c r="AR346" i="24"/>
  <c r="AQ346" i="24"/>
  <c r="AQ298" i="24"/>
  <c r="AR298" i="24"/>
  <c r="AS298" i="24"/>
  <c r="S24" i="45"/>
  <c r="S25" i="45"/>
  <c r="P141" i="24"/>
  <c r="AG141" i="24" s="1"/>
  <c r="P332" i="24"/>
  <c r="CA332" i="24" s="1"/>
  <c r="M290" i="43"/>
  <c r="AQ219" i="24"/>
  <c r="AS219" i="24"/>
  <c r="AQ259" i="24"/>
  <c r="AR259" i="24"/>
  <c r="HS256" i="43"/>
  <c r="AG253" i="45"/>
  <c r="M256" i="43"/>
  <c r="AG249" i="45"/>
  <c r="FZ252" i="43"/>
  <c r="M252" i="43"/>
  <c r="M194" i="43"/>
  <c r="FZ194" i="43"/>
  <c r="FZ134" i="43"/>
  <c r="M134" i="43"/>
  <c r="HS29" i="43"/>
  <c r="M29" i="43"/>
  <c r="K29" i="43" s="1"/>
  <c r="AG26" i="45"/>
  <c r="AQ286" i="24"/>
  <c r="AS286" i="24"/>
  <c r="AS236" i="24"/>
  <c r="AQ236" i="24"/>
  <c r="AR232" i="24"/>
  <c r="AS232" i="24"/>
  <c r="AR315" i="24"/>
  <c r="AG148" i="45"/>
  <c r="HS151" i="43"/>
  <c r="AG138" i="45"/>
  <c r="FZ141" i="43"/>
  <c r="AQ88" i="24"/>
  <c r="AS88" i="24"/>
  <c r="AR88" i="24"/>
  <c r="AS78" i="24"/>
  <c r="AQ78" i="24"/>
  <c r="AR13" i="24"/>
  <c r="AS13" i="24"/>
  <c r="AQ357" i="24"/>
  <c r="AR357" i="24"/>
  <c r="AQ333" i="24"/>
  <c r="AR333" i="24"/>
  <c r="AG130" i="45"/>
  <c r="AG94" i="45"/>
  <c r="HS89" i="43"/>
  <c r="AG86" i="45"/>
  <c r="AR275" i="24"/>
  <c r="AS275" i="24"/>
  <c r="AS66" i="24"/>
  <c r="AR66" i="24"/>
  <c r="HS53" i="43"/>
  <c r="J33" i="45"/>
  <c r="IE36" i="43"/>
  <c r="J77" i="45"/>
  <c r="J43" i="45"/>
  <c r="J17" i="45"/>
  <c r="IE20" i="43"/>
  <c r="P140" i="24"/>
  <c r="CA140" i="24" s="1"/>
  <c r="P136" i="24"/>
  <c r="CA136" i="24" s="1"/>
  <c r="P109" i="24"/>
  <c r="AH109" i="24" s="1"/>
  <c r="P97" i="24"/>
  <c r="CA97" i="24" s="1"/>
  <c r="P357" i="24"/>
  <c r="CA357" i="24" s="1"/>
  <c r="P331" i="24"/>
  <c r="CA331" i="24" s="1"/>
  <c r="P311" i="24"/>
  <c r="BT311" i="24" s="1"/>
  <c r="P244" i="24"/>
  <c r="CA244" i="24" s="1"/>
  <c r="P370" i="24"/>
  <c r="CA370" i="24" s="1"/>
  <c r="G12" i="44"/>
  <c r="G14" i="44"/>
  <c r="AQ206" i="24"/>
  <c r="FZ333" i="43"/>
  <c r="FZ301" i="43"/>
  <c r="M236" i="43"/>
  <c r="M151" i="43"/>
  <c r="FZ89" i="43"/>
  <c r="M97" i="43"/>
  <c r="M89" i="43"/>
  <c r="M53" i="43"/>
  <c r="K53" i="43" s="1"/>
  <c r="FZ211" i="43"/>
  <c r="AQ224" i="24"/>
  <c r="AQ251" i="24"/>
  <c r="HS258" i="43"/>
  <c r="AS325" i="24"/>
  <c r="AS277" i="24"/>
  <c r="AS129" i="24"/>
  <c r="AS95" i="24"/>
  <c r="AR179" i="24"/>
  <c r="AR168" i="24"/>
  <c r="HS141" i="43"/>
  <c r="AQ13" i="24"/>
  <c r="AR31" i="24"/>
  <c r="FZ27" i="43"/>
  <c r="AQ355" i="24"/>
  <c r="AS355" i="24"/>
  <c r="AS352" i="24"/>
  <c r="AQ352" i="24"/>
  <c r="AS363" i="24"/>
  <c r="AS357" i="24"/>
  <c r="AQ170" i="24"/>
  <c r="AS170" i="24"/>
  <c r="AR136" i="24"/>
  <c r="AS136" i="24"/>
  <c r="AR129" i="24"/>
  <c r="AR122" i="24"/>
  <c r="AQ193" i="24"/>
  <c r="AQ66" i="24"/>
  <c r="AQ192" i="24"/>
  <c r="AR192" i="24"/>
  <c r="AR164" i="24"/>
  <c r="AS164" i="24"/>
  <c r="AG145" i="45"/>
  <c r="FZ82" i="43"/>
  <c r="J35" i="45"/>
  <c r="IE80" i="43"/>
  <c r="AS86" i="24"/>
  <c r="AQ86" i="24"/>
  <c r="AQ50" i="24"/>
  <c r="AS50" i="24"/>
  <c r="HS272" i="43"/>
  <c r="FZ272" i="43"/>
  <c r="J101" i="45"/>
  <c r="P89" i="24"/>
  <c r="CA89" i="24" s="1"/>
  <c r="P57" i="24"/>
  <c r="CA57" i="24" s="1"/>
  <c r="P135" i="24"/>
  <c r="AG135" i="24" s="1"/>
  <c r="P104" i="24"/>
  <c r="CA104" i="24" s="1"/>
  <c r="P314" i="24"/>
  <c r="CA314" i="24" s="1"/>
  <c r="P263" i="24"/>
  <c r="CA263" i="24" s="1"/>
  <c r="P243" i="24"/>
  <c r="BT243" i="24" s="1"/>
  <c r="P348" i="24"/>
  <c r="CA348" i="24" s="1"/>
  <c r="P353" i="24"/>
  <c r="CA353" i="24" s="1"/>
  <c r="G11" i="44"/>
  <c r="G28" i="44"/>
  <c r="F28" i="44" s="1"/>
  <c r="FZ154" i="43"/>
  <c r="M27" i="43"/>
  <c r="K27" i="43" s="1"/>
  <c r="AG17" i="45"/>
  <c r="AR250" i="24"/>
  <c r="AS122" i="24"/>
  <c r="S289" i="45"/>
  <c r="G19" i="44"/>
  <c r="AQ168" i="24"/>
  <c r="M141" i="43"/>
  <c r="AQ136" i="24"/>
  <c r="AR314" i="24"/>
  <c r="AQ31" i="24"/>
  <c r="AQ353" i="24"/>
  <c r="AR353" i="24"/>
  <c r="AR299" i="24"/>
  <c r="AS299" i="24"/>
  <c r="AQ289" i="24"/>
  <c r="AR289" i="24"/>
  <c r="AQ157" i="24"/>
  <c r="AR157" i="24"/>
  <c r="AQ351" i="24"/>
  <c r="AR351" i="24"/>
  <c r="AQ24" i="24"/>
  <c r="AS24" i="24"/>
  <c r="IE104" i="43"/>
  <c r="IE102" i="43"/>
  <c r="IE46" i="43"/>
  <c r="J117" i="45"/>
  <c r="FZ44" i="43"/>
  <c r="FZ47" i="43"/>
  <c r="AR339" i="24"/>
  <c r="AS339" i="24"/>
  <c r="FZ101" i="43"/>
  <c r="FZ79" i="43"/>
  <c r="FZ69" i="43"/>
  <c r="FZ37" i="43"/>
  <c r="HS105" i="43"/>
  <c r="HS43" i="43"/>
  <c r="S14" i="45"/>
  <c r="HS87" i="43"/>
  <c r="FZ228" i="43"/>
  <c r="AG90" i="45"/>
  <c r="S50" i="45"/>
  <c r="HS66" i="43"/>
  <c r="AG63" i="45"/>
  <c r="HS128" i="43"/>
  <c r="AG125" i="45"/>
  <c r="IE107" i="43"/>
  <c r="J104" i="45"/>
  <c r="IE75" i="43"/>
  <c r="J72" i="45"/>
  <c r="IE43" i="43"/>
  <c r="J40" i="45"/>
  <c r="IE127" i="43"/>
  <c r="J124" i="45"/>
  <c r="IE117" i="43"/>
  <c r="J114" i="45"/>
  <c r="IE95" i="43"/>
  <c r="J92" i="45"/>
  <c r="IE85" i="43"/>
  <c r="J82" i="45"/>
  <c r="IE42" i="43"/>
  <c r="J39" i="45"/>
  <c r="IE98" i="43"/>
  <c r="J95" i="45"/>
  <c r="IE13" i="43"/>
  <c r="J10" i="45"/>
  <c r="IE121" i="43"/>
  <c r="J118" i="45"/>
  <c r="P94" i="24"/>
  <c r="CA94" i="24" s="1"/>
  <c r="P86" i="24"/>
  <c r="CA86" i="24" s="1"/>
  <c r="P66" i="24"/>
  <c r="CA66" i="24" s="1"/>
  <c r="P54" i="24"/>
  <c r="AH54" i="24" s="1"/>
  <c r="P180" i="24"/>
  <c r="CA180" i="24" s="1"/>
  <c r="P319" i="24"/>
  <c r="CA319" i="24" s="1"/>
  <c r="P264" i="24"/>
  <c r="AH264" i="24" s="1"/>
  <c r="P248" i="24"/>
  <c r="CA248" i="24" s="1"/>
  <c r="AQ207" i="24"/>
  <c r="FZ298" i="43"/>
  <c r="M254" i="43"/>
  <c r="M251" i="43"/>
  <c r="FZ251" i="43"/>
  <c r="M225" i="43"/>
  <c r="M221" i="43"/>
  <c r="FZ199" i="43"/>
  <c r="FZ173" i="43"/>
  <c r="M143" i="43"/>
  <c r="FZ43" i="43"/>
  <c r="M44" i="43"/>
  <c r="K44" i="43" s="1"/>
  <c r="AI41" i="45" s="1"/>
  <c r="FZ39" i="43"/>
  <c r="AG29" i="45"/>
  <c r="S214" i="45"/>
  <c r="FZ17" i="43"/>
  <c r="S150" i="45"/>
  <c r="FZ209" i="43"/>
  <c r="AR212" i="24"/>
  <c r="AS223" i="24"/>
  <c r="AQ228" i="24"/>
  <c r="AQ232" i="24"/>
  <c r="AR236" i="24"/>
  <c r="AR244" i="24"/>
  <c r="AQ245" i="24"/>
  <c r="AQ248" i="24"/>
  <c r="AG248" i="45"/>
  <c r="AS252" i="24"/>
  <c r="AS259" i="24"/>
  <c r="HS260" i="43"/>
  <c r="HS264" i="43"/>
  <c r="AG262" i="45"/>
  <c r="AS295" i="24"/>
  <c r="AS169" i="24"/>
  <c r="AR295" i="24"/>
  <c r="AS287" i="24"/>
  <c r="AS120" i="24"/>
  <c r="AR282" i="24"/>
  <c r="AS190" i="24"/>
  <c r="AS87" i="24"/>
  <c r="AS152" i="24"/>
  <c r="AS156" i="24"/>
  <c r="AQ101" i="24"/>
  <c r="FZ28" i="43"/>
  <c r="M110" i="43"/>
  <c r="AS196" i="24"/>
  <c r="AR156" i="24"/>
  <c r="AS29" i="24"/>
  <c r="AR322" i="24"/>
  <c r="AR77" i="24"/>
  <c r="AR45" i="24"/>
  <c r="AR35" i="24"/>
  <c r="AR196" i="24"/>
  <c r="AR23" i="24"/>
  <c r="S314" i="45"/>
  <c r="S87" i="45"/>
  <c r="AR29" i="24"/>
  <c r="AR90" i="24"/>
  <c r="AR12" i="24"/>
  <c r="AG40" i="45"/>
  <c r="AS371" i="24"/>
  <c r="AS359" i="24"/>
  <c r="AQ342" i="24"/>
  <c r="AR367" i="24"/>
  <c r="AR355" i="24"/>
  <c r="AR286" i="24"/>
  <c r="AR87" i="24"/>
  <c r="AQ177" i="24"/>
  <c r="AR32" i="24"/>
  <c r="AG36" i="45"/>
  <c r="AR74" i="24"/>
  <c r="AQ74" i="24"/>
  <c r="HS80" i="43"/>
  <c r="AG77" i="45"/>
  <c r="HS196" i="43"/>
  <c r="AG193" i="45"/>
  <c r="IE131" i="43"/>
  <c r="J128" i="45"/>
  <c r="IE99" i="43"/>
  <c r="J96" i="45"/>
  <c r="IE67" i="43"/>
  <c r="J64" i="45"/>
  <c r="IE35" i="43"/>
  <c r="J32" i="45"/>
  <c r="IE63" i="43"/>
  <c r="J60" i="45"/>
  <c r="IE53" i="43"/>
  <c r="J50" i="45"/>
  <c r="IE31" i="43"/>
  <c r="J28" i="45"/>
  <c r="IE21" i="43"/>
  <c r="J18" i="45"/>
  <c r="IE114" i="43"/>
  <c r="J111" i="45"/>
  <c r="IE103" i="43"/>
  <c r="J100" i="45"/>
  <c r="IE82" i="43"/>
  <c r="J79" i="45"/>
  <c r="IE50" i="43"/>
  <c r="J47" i="45"/>
  <c r="IE87" i="43"/>
  <c r="J84" i="45"/>
  <c r="IE66" i="43"/>
  <c r="J63" i="45"/>
  <c r="IE109" i="43"/>
  <c r="J106" i="45"/>
  <c r="IE55" i="43"/>
  <c r="J52" i="45"/>
  <c r="P81" i="24"/>
  <c r="CA81" i="24" s="1"/>
  <c r="P179" i="24"/>
  <c r="CA179" i="24" s="1"/>
  <c r="P108" i="24"/>
  <c r="CA108" i="24" s="1"/>
  <c r="P334" i="24"/>
  <c r="BT334" i="24" s="1"/>
  <c r="P373" i="24"/>
  <c r="CA373" i="24" s="1"/>
  <c r="AR207" i="24"/>
  <c r="FZ336" i="43"/>
  <c r="M327" i="43"/>
  <c r="K327" i="43" s="1"/>
  <c r="AI324" i="45" s="1"/>
  <c r="FZ325" i="43"/>
  <c r="M267" i="43"/>
  <c r="M260" i="43"/>
  <c r="FZ254" i="43"/>
  <c r="FZ210" i="43"/>
  <c r="M182" i="43"/>
  <c r="FZ55" i="43"/>
  <c r="M43" i="43"/>
  <c r="K43" i="43" s="1"/>
  <c r="AI40" i="45" s="1"/>
  <c r="M39" i="43"/>
  <c r="K39" i="43" s="1"/>
  <c r="M32" i="43"/>
  <c r="K32" i="43" s="1"/>
  <c r="M16" i="43"/>
  <c r="K16" i="43" s="1"/>
  <c r="AG14" i="45"/>
  <c r="AG25" i="45"/>
  <c r="S118" i="45"/>
  <c r="AR216" i="24"/>
  <c r="AS218" i="24"/>
  <c r="AQ223" i="24"/>
  <c r="AR248" i="24"/>
  <c r="AQ252" i="24"/>
  <c r="AS282" i="24"/>
  <c r="AS322" i="24"/>
  <c r="AR287" i="24"/>
  <c r="AR119" i="24"/>
  <c r="AR190" i="24"/>
  <c r="AS89" i="24"/>
  <c r="AS178" i="24"/>
  <c r="AQ119" i="24"/>
  <c r="AR152" i="24"/>
  <c r="FZ143" i="43"/>
  <c r="AQ77" i="24"/>
  <c r="AQ45" i="24"/>
  <c r="AQ35" i="24"/>
  <c r="AQ23" i="24"/>
  <c r="AS132" i="24"/>
  <c r="AQ90" i="24"/>
  <c r="AQ12" i="24"/>
  <c r="S306" i="45"/>
  <c r="M96" i="43"/>
  <c r="AG127" i="45"/>
  <c r="AR369" i="24"/>
  <c r="AR371" i="24"/>
  <c r="AQ181" i="24"/>
  <c r="AR181" i="24"/>
  <c r="AG106" i="45"/>
  <c r="AR38" i="24"/>
  <c r="IE123" i="43"/>
  <c r="J120" i="45"/>
  <c r="IE91" i="43"/>
  <c r="J88" i="45"/>
  <c r="IE59" i="43"/>
  <c r="J56" i="45"/>
  <c r="IE27" i="43"/>
  <c r="J24" i="45"/>
  <c r="AG289" i="45"/>
  <c r="IE125" i="43"/>
  <c r="J122" i="45"/>
  <c r="IE113" i="43"/>
  <c r="J110" i="45"/>
  <c r="IE93" i="43"/>
  <c r="J90" i="45"/>
  <c r="IE81" i="43"/>
  <c r="J78" i="45"/>
  <c r="IE71" i="43"/>
  <c r="J68" i="45"/>
  <c r="IE61" i="43"/>
  <c r="J58" i="45"/>
  <c r="IE39" i="43"/>
  <c r="J36" i="45"/>
  <c r="IE18" i="43"/>
  <c r="J15" i="45"/>
  <c r="IE77" i="43"/>
  <c r="J74" i="45"/>
  <c r="IE90" i="43"/>
  <c r="J87" i="45"/>
  <c r="IE58" i="43"/>
  <c r="J55" i="45"/>
  <c r="IE47" i="43"/>
  <c r="J44" i="45"/>
  <c r="IE26" i="43"/>
  <c r="J23" i="45"/>
  <c r="IE15" i="43"/>
  <c r="J387" i="45"/>
  <c r="AI387" i="45" s="1"/>
  <c r="J12" i="45"/>
  <c r="IE130" i="43"/>
  <c r="J127" i="45"/>
  <c r="FZ230" i="43"/>
  <c r="P84" i="24"/>
  <c r="BT84" i="24" s="1"/>
  <c r="P48" i="24"/>
  <c r="CA48" i="24" s="1"/>
  <c r="P321" i="24"/>
  <c r="CA321" i="24" s="1"/>
  <c r="P246" i="24"/>
  <c r="CA246" i="24" s="1"/>
  <c r="P347" i="24"/>
  <c r="AG347" i="24" s="1"/>
  <c r="FZ207" i="43"/>
  <c r="M265" i="43"/>
  <c r="M273" i="43"/>
  <c r="FZ105" i="43"/>
  <c r="M90" i="43"/>
  <c r="FZ90" i="43"/>
  <c r="FZ130" i="43"/>
  <c r="FZ128" i="43"/>
  <c r="M66" i="43"/>
  <c r="FZ16" i="43"/>
  <c r="AG389" i="45"/>
  <c r="M28" i="43"/>
  <c r="K28" i="43" s="1"/>
  <c r="AI25" i="45" s="1"/>
  <c r="AQ218" i="24"/>
  <c r="AQ257" i="24"/>
  <c r="AR120" i="24"/>
  <c r="AR105" i="24"/>
  <c r="FZ227" i="43"/>
  <c r="FZ32" i="43"/>
  <c r="M92" i="43"/>
  <c r="FZ50" i="43"/>
  <c r="AS17" i="24"/>
  <c r="AR167" i="24"/>
  <c r="AS106" i="24"/>
  <c r="AQ133" i="24"/>
  <c r="AR133" i="24"/>
  <c r="AR189" i="24"/>
  <c r="AR36" i="24"/>
  <c r="AG147" i="45"/>
  <c r="IE115" i="43"/>
  <c r="J112" i="45"/>
  <c r="IE83" i="43"/>
  <c r="J80" i="45"/>
  <c r="IE51" i="43"/>
  <c r="J48" i="45"/>
  <c r="IE19" i="43"/>
  <c r="J16" i="45"/>
  <c r="IE106" i="43"/>
  <c r="J103" i="45"/>
  <c r="IE74" i="43"/>
  <c r="J71" i="45"/>
  <c r="IE29" i="43"/>
  <c r="J26" i="45"/>
  <c r="IE34" i="43"/>
  <c r="J31" i="45"/>
  <c r="IE122" i="43"/>
  <c r="J119" i="45"/>
  <c r="IE111" i="43"/>
  <c r="J108" i="45"/>
  <c r="IE101" i="43"/>
  <c r="J98" i="45"/>
  <c r="IE89" i="43"/>
  <c r="J86" i="45"/>
  <c r="IE79" i="43"/>
  <c r="J76" i="45"/>
  <c r="IE69" i="43"/>
  <c r="J66" i="45"/>
  <c r="IE57" i="43"/>
  <c r="J54" i="45"/>
  <c r="IE37" i="43"/>
  <c r="J34" i="45"/>
  <c r="IE25" i="43"/>
  <c r="J22" i="45"/>
  <c r="IE45" i="43"/>
  <c r="J42" i="45"/>
  <c r="IE23" i="43"/>
  <c r="J20" i="45"/>
  <c r="IE119" i="43"/>
  <c r="J116" i="45"/>
  <c r="FZ22" i="43"/>
  <c r="AG64" i="45"/>
  <c r="M67" i="43"/>
  <c r="FZ67" i="43"/>
  <c r="HS49" i="43"/>
  <c r="AG46" i="45"/>
  <c r="M49" i="43"/>
  <c r="K49" i="43" s="1"/>
  <c r="AI46" i="45" s="1"/>
  <c r="AG161" i="45"/>
  <c r="M107" i="43"/>
  <c r="AG104" i="45"/>
  <c r="FZ107" i="43"/>
  <c r="HS280" i="43"/>
  <c r="AG277" i="45"/>
  <c r="HS88" i="43"/>
  <c r="AG85" i="45"/>
  <c r="M88" i="43"/>
  <c r="M227" i="43"/>
  <c r="FZ155" i="43"/>
  <c r="FZ164" i="43"/>
  <c r="FZ49" i="43"/>
  <c r="FZ51" i="43"/>
  <c r="M22" i="43"/>
  <c r="K22" i="43" s="1"/>
  <c r="S273" i="45"/>
  <c r="AG238" i="45"/>
  <c r="AG254" i="45"/>
  <c r="AR103" i="24"/>
  <c r="AR174" i="24"/>
  <c r="AQ103" i="24"/>
  <c r="AG20" i="45"/>
  <c r="AQ271" i="24"/>
  <c r="AS271" i="24"/>
  <c r="AR271" i="24"/>
  <c r="AQ118" i="24"/>
  <c r="AS118" i="24"/>
  <c r="AQ100" i="24"/>
  <c r="AS100" i="24"/>
  <c r="AQ16" i="24"/>
  <c r="AR16" i="24"/>
  <c r="M57" i="43"/>
  <c r="FZ57" i="43"/>
  <c r="P190" i="24"/>
  <c r="CA190" i="24" s="1"/>
  <c r="P80" i="24"/>
  <c r="CA80" i="24" s="1"/>
  <c r="P68" i="24"/>
  <c r="P56" i="24"/>
  <c r="CA56" i="24" s="1"/>
  <c r="P52" i="24"/>
  <c r="CA52" i="24" s="1"/>
  <c r="P142" i="24"/>
  <c r="CA142" i="24" s="1"/>
  <c r="P134" i="24"/>
  <c r="CA134" i="24" s="1"/>
  <c r="P284" i="24"/>
  <c r="CA284" i="24" s="1"/>
  <c r="P258" i="24"/>
  <c r="CA258" i="24" s="1"/>
  <c r="P242" i="24"/>
  <c r="CA242" i="24" s="1"/>
  <c r="P234" i="24"/>
  <c r="CA234" i="24" s="1"/>
  <c r="P226" i="24"/>
  <c r="CA226" i="24" s="1"/>
  <c r="P351" i="24"/>
  <c r="CA351" i="24" s="1"/>
  <c r="M340" i="43"/>
  <c r="FZ294" i="43"/>
  <c r="M280" i="43"/>
  <c r="FZ280" i="43"/>
  <c r="M264" i="43"/>
  <c r="M258" i="43"/>
  <c r="M247" i="43"/>
  <c r="M241" i="43"/>
  <c r="FZ258" i="43"/>
  <c r="FZ231" i="43"/>
  <c r="FZ189" i="43"/>
  <c r="M155" i="43"/>
  <c r="FZ63" i="43"/>
  <c r="FZ52" i="43"/>
  <c r="M48" i="43"/>
  <c r="K48" i="43" s="1"/>
  <c r="AI45" i="45" s="1"/>
  <c r="AR214" i="24"/>
  <c r="AQ270" i="24"/>
  <c r="AR270" i="24"/>
  <c r="AR255" i="24"/>
  <c r="AQ255" i="24"/>
  <c r="AQ247" i="24"/>
  <c r="AS247" i="24"/>
  <c r="AQ243" i="24"/>
  <c r="AS243" i="24"/>
  <c r="FZ330" i="43"/>
  <c r="M34" i="43"/>
  <c r="K34" i="43" s="1"/>
  <c r="AI31" i="45" s="1"/>
  <c r="HS25" i="43"/>
  <c r="M25" i="43"/>
  <c r="K25" i="43" s="1"/>
  <c r="S162" i="45"/>
  <c r="S163" i="45"/>
  <c r="FZ58" i="43"/>
  <c r="M58" i="43"/>
  <c r="V22" i="44"/>
  <c r="V24" i="44" s="1"/>
  <c r="S155" i="45"/>
  <c r="S156" i="45"/>
  <c r="AS376" i="24"/>
  <c r="AR376" i="24"/>
  <c r="AS360" i="24"/>
  <c r="AR360" i="24"/>
  <c r="AQ343" i="24"/>
  <c r="AR343" i="24"/>
  <c r="AS343" i="24"/>
  <c r="AR316" i="24"/>
  <c r="AQ269" i="24"/>
  <c r="AS269" i="24"/>
  <c r="HS308" i="43"/>
  <c r="AG305" i="45"/>
  <c r="AG245" i="45"/>
  <c r="M170" i="43"/>
  <c r="FZ170" i="43"/>
  <c r="S137" i="45"/>
  <c r="S136" i="45"/>
  <c r="HS18" i="43"/>
  <c r="AG15" i="45"/>
  <c r="FZ18" i="43"/>
  <c r="HS24" i="43"/>
  <c r="FZ24" i="43"/>
  <c r="M24" i="43"/>
  <c r="K24" i="43" s="1"/>
  <c r="AG21" i="45"/>
  <c r="AQ239" i="24"/>
  <c r="AS239" i="24"/>
  <c r="AQ235" i="24"/>
  <c r="AS235" i="24"/>
  <c r="AR231" i="24"/>
  <c r="AQ231" i="24"/>
  <c r="AR222" i="24"/>
  <c r="AQ222" i="24"/>
  <c r="AQ215" i="24"/>
  <c r="AS215" i="24"/>
  <c r="AQ285" i="24"/>
  <c r="AR285" i="24"/>
  <c r="AS285" i="24"/>
  <c r="AQ199" i="24"/>
  <c r="AS199" i="24"/>
  <c r="AQ19" i="24"/>
  <c r="AR19" i="24"/>
  <c r="AQ147" i="24"/>
  <c r="AR147" i="24"/>
  <c r="AR138" i="24"/>
  <c r="AS138" i="24"/>
  <c r="AQ102" i="24"/>
  <c r="AS102" i="24"/>
  <c r="AG59" i="45"/>
  <c r="HS160" i="43"/>
  <c r="AG157" i="45"/>
  <c r="AG141" i="45"/>
  <c r="HS307" i="43"/>
  <c r="AG304" i="45"/>
  <c r="HS19" i="43"/>
  <c r="M19" i="43"/>
  <c r="K19" i="43" s="1"/>
  <c r="AS110" i="24"/>
  <c r="P377" i="24"/>
  <c r="CA377" i="24" s="1"/>
  <c r="AR206" i="24"/>
  <c r="AG152" i="45"/>
  <c r="S73" i="45"/>
  <c r="S74" i="45"/>
  <c r="AR210" i="24"/>
  <c r="AQ210" i="24"/>
  <c r="AR154" i="24"/>
  <c r="AS154" i="24"/>
  <c r="AQ143" i="24"/>
  <c r="AS143" i="24"/>
  <c r="AR143" i="24"/>
  <c r="AQ146" i="24"/>
  <c r="AS146" i="24"/>
  <c r="AR146" i="24"/>
  <c r="AR126" i="24"/>
  <c r="AQ126" i="24"/>
  <c r="AS111" i="24"/>
  <c r="AR111" i="24"/>
  <c r="AR48" i="24"/>
  <c r="AQ48" i="24"/>
  <c r="AS48" i="24"/>
  <c r="P83" i="24"/>
  <c r="AG83" i="24" s="1"/>
  <c r="P59" i="24"/>
  <c r="CA59" i="24" s="1"/>
  <c r="P11" i="24"/>
  <c r="AG11" i="24" s="1"/>
  <c r="P106" i="24"/>
  <c r="P320" i="24"/>
  <c r="P279" i="24"/>
  <c r="CA279" i="24" s="1"/>
  <c r="P253" i="24"/>
  <c r="CA253" i="24" s="1"/>
  <c r="P249" i="24"/>
  <c r="CA249" i="24" s="1"/>
  <c r="P233" i="24"/>
  <c r="AG233" i="24" s="1"/>
  <c r="P350" i="24"/>
  <c r="CA350" i="24" s="1"/>
  <c r="P346" i="24"/>
  <c r="CA346" i="24" s="1"/>
  <c r="M380" i="43"/>
  <c r="FZ340" i="43"/>
  <c r="M307" i="43"/>
  <c r="FZ267" i="43"/>
  <c r="M259" i="43"/>
  <c r="M248" i="43"/>
  <c r="FZ257" i="43"/>
  <c r="FZ247" i="43"/>
  <c r="FZ88" i="43"/>
  <c r="M144" i="43"/>
  <c r="M131" i="43"/>
  <c r="FZ38" i="43"/>
  <c r="M62" i="43"/>
  <c r="M18" i="43"/>
  <c r="K18" i="43" s="1"/>
  <c r="AI15" i="45" s="1"/>
  <c r="S291" i="45"/>
  <c r="AS210" i="24"/>
  <c r="AQ211" i="24"/>
  <c r="AS214" i="24"/>
  <c r="AQ227" i="24"/>
  <c r="AS230" i="24"/>
  <c r="AS231" i="24"/>
  <c r="AQ234" i="24"/>
  <c r="AS290" i="24"/>
  <c r="AS246" i="24"/>
  <c r="AR246" i="24"/>
  <c r="AS179" i="24"/>
  <c r="AS171" i="24"/>
  <c r="AR290" i="24"/>
  <c r="FZ23" i="43"/>
  <c r="AS16" i="24"/>
  <c r="S220" i="45"/>
  <c r="S221" i="45"/>
  <c r="S81" i="45"/>
  <c r="S82" i="45"/>
  <c r="FZ33" i="43"/>
  <c r="HS107" i="43"/>
  <c r="AR171" i="24"/>
  <c r="M15" i="43"/>
  <c r="K15" i="43" s="1"/>
  <c r="AI12" i="45" s="1"/>
  <c r="AG12" i="45"/>
  <c r="HS67" i="43"/>
  <c r="AQ349" i="24"/>
  <c r="AS349" i="24"/>
  <c r="AQ329" i="24"/>
  <c r="AS329" i="24"/>
  <c r="AQ313" i="24"/>
  <c r="AR313" i="24"/>
  <c r="AS313" i="24"/>
  <c r="AQ306" i="24"/>
  <c r="AR306" i="24"/>
  <c r="AR302" i="24"/>
  <c r="AQ302" i="24"/>
  <c r="AS302" i="24"/>
  <c r="AS380" i="24"/>
  <c r="AQ380" i="24"/>
  <c r="AS372" i="24"/>
  <c r="AR372" i="24"/>
  <c r="AQ372" i="24"/>
  <c r="AS364" i="24"/>
  <c r="AQ364" i="24"/>
  <c r="AS356" i="24"/>
  <c r="AR356" i="24"/>
  <c r="AQ356" i="24"/>
  <c r="AS344" i="24"/>
  <c r="AQ344" i="24"/>
  <c r="AS336" i="24"/>
  <c r="AQ336" i="24"/>
  <c r="AR336" i="24"/>
  <c r="AR330" i="24"/>
  <c r="AS330" i="24"/>
  <c r="AR329" i="24"/>
  <c r="AR199" i="24"/>
  <c r="AQ149" i="24"/>
  <c r="AS149" i="24"/>
  <c r="AQ93" i="24"/>
  <c r="AR93" i="24"/>
  <c r="AS93" i="24"/>
  <c r="AQ85" i="24"/>
  <c r="AR85" i="24"/>
  <c r="AS85" i="24"/>
  <c r="AR70" i="24"/>
  <c r="AQ70" i="24"/>
  <c r="HS360" i="43"/>
  <c r="AG357" i="45"/>
  <c r="AG323" i="45"/>
  <c r="AR110" i="24"/>
  <c r="AG306" i="45"/>
  <c r="AG134" i="45"/>
  <c r="AG78" i="45"/>
  <c r="M45" i="43"/>
  <c r="K45" i="43" s="1"/>
  <c r="AI42" i="45" s="1"/>
  <c r="FZ45" i="43"/>
  <c r="FZ35" i="43"/>
  <c r="HS26" i="43"/>
  <c r="M26" i="43"/>
  <c r="K26" i="43" s="1"/>
  <c r="AI23" i="45" s="1"/>
  <c r="AG23" i="45"/>
  <c r="AG10" i="45"/>
  <c r="FZ13" i="43"/>
  <c r="AG159" i="45"/>
  <c r="AG18" i="45"/>
  <c r="FZ21" i="43"/>
  <c r="AR100" i="24"/>
  <c r="FZ307" i="43"/>
  <c r="FZ314" i="43"/>
  <c r="S246" i="45"/>
  <c r="AQ347" i="24"/>
  <c r="AS347" i="24"/>
  <c r="AS379" i="24"/>
  <c r="AS367" i="24"/>
  <c r="AR56" i="24"/>
  <c r="AQ56" i="24"/>
  <c r="AR124" i="24"/>
  <c r="AQ124" i="24"/>
  <c r="AQ116" i="24"/>
  <c r="AS116" i="24"/>
  <c r="AR64" i="24"/>
  <c r="AQ64" i="24"/>
  <c r="AR46" i="24"/>
  <c r="AQ46" i="24"/>
  <c r="AR108" i="24"/>
  <c r="AG98" i="45"/>
  <c r="AS108" i="24"/>
  <c r="S37" i="45"/>
  <c r="AQ375" i="24"/>
  <c r="AS375" i="24"/>
  <c r="AQ139" i="24"/>
  <c r="AR139" i="24"/>
  <c r="AR375" i="24"/>
  <c r="AR359" i="24"/>
  <c r="AR72" i="24"/>
  <c r="AQ72" i="24"/>
  <c r="AR54" i="24"/>
  <c r="AQ54" i="24"/>
  <c r="AR379" i="24"/>
  <c r="AR363" i="24"/>
  <c r="AR62" i="24"/>
  <c r="AQ62" i="24"/>
  <c r="AG307" i="45"/>
  <c r="HS225" i="43"/>
  <c r="AG222" i="45"/>
  <c r="HS173" i="43"/>
  <c r="AG170" i="45"/>
  <c r="HS184" i="43"/>
  <c r="AG181" i="45"/>
  <c r="AG76" i="45"/>
  <c r="M214" i="43"/>
  <c r="FZ286" i="43"/>
  <c r="HS286" i="43"/>
  <c r="AG207" i="45"/>
  <c r="HS210" i="43"/>
  <c r="HS201" i="43"/>
  <c r="AG198" i="45"/>
  <c r="AG155" i="45"/>
  <c r="AG37" i="45"/>
  <c r="P53" i="24"/>
  <c r="CA53" i="24" s="1"/>
  <c r="P49" i="24"/>
  <c r="CA49" i="24" s="1"/>
  <c r="P187" i="24"/>
  <c r="CA187" i="24" s="1"/>
  <c r="P151" i="24"/>
  <c r="CA151" i="24" s="1"/>
  <c r="P147" i="24"/>
  <c r="CA147" i="24" s="1"/>
  <c r="P143" i="24"/>
  <c r="CA143" i="24" s="1"/>
  <c r="P139" i="24"/>
  <c r="CA139" i="24" s="1"/>
  <c r="P112" i="24"/>
  <c r="CA112" i="24" s="1"/>
  <c r="P318" i="24"/>
  <c r="CA318" i="24" s="1"/>
  <c r="P285" i="24"/>
  <c r="P267" i="24"/>
  <c r="CA267" i="24" s="1"/>
  <c r="P255" i="24"/>
  <c r="CA255" i="24" s="1"/>
  <c r="P247" i="24"/>
  <c r="CA247" i="24" s="1"/>
  <c r="P239" i="24"/>
  <c r="CA239" i="24" s="1"/>
  <c r="Y381" i="24"/>
  <c r="AA381" i="24" s="1"/>
  <c r="AG204" i="45"/>
  <c r="FZ346" i="43"/>
  <c r="HS346" i="43"/>
  <c r="FZ265" i="43"/>
  <c r="FZ263" i="43"/>
  <c r="M250" i="43"/>
  <c r="M262" i="43"/>
  <c r="FZ249" i="43"/>
  <c r="FZ193" i="43"/>
  <c r="HS193" i="43"/>
  <c r="FZ161" i="43"/>
  <c r="HS161" i="43"/>
  <c r="FZ40" i="43"/>
  <c r="FZ29" i="43"/>
  <c r="M11" i="43"/>
  <c r="N11" i="43" s="1"/>
  <c r="S167" i="45"/>
  <c r="S122" i="45"/>
  <c r="AR240" i="24"/>
  <c r="AQ246" i="24"/>
  <c r="AQ250" i="24"/>
  <c r="AQ253" i="24"/>
  <c r="AR254" i="24"/>
  <c r="AS258" i="24"/>
  <c r="AR260" i="24"/>
  <c r="AS260" i="24"/>
  <c r="AG260" i="45"/>
  <c r="AQ267" i="24"/>
  <c r="AG333" i="45"/>
  <c r="AG324" i="45"/>
  <c r="HS238" i="43"/>
  <c r="AG235" i="45"/>
  <c r="HS194" i="43"/>
  <c r="AG191" i="45"/>
  <c r="HS178" i="43"/>
  <c r="AG175" i="45"/>
  <c r="AG327" i="45"/>
  <c r="AG315" i="45"/>
  <c r="AG280" i="45"/>
  <c r="HS312" i="43"/>
  <c r="AG309" i="45"/>
  <c r="AG287" i="45"/>
  <c r="HS176" i="43"/>
  <c r="AG173" i="45"/>
  <c r="AG133" i="45"/>
  <c r="HS61" i="43"/>
  <c r="AG58" i="45"/>
  <c r="HS44" i="43"/>
  <c r="AG41" i="45"/>
  <c r="HS134" i="43"/>
  <c r="AG131" i="45"/>
  <c r="S133" i="45"/>
  <c r="AG272" i="45"/>
  <c r="AG71" i="45"/>
  <c r="HS121" i="43"/>
  <c r="AG118" i="45"/>
  <c r="FZ119" i="43"/>
  <c r="HS119" i="43"/>
  <c r="AG116" i="45"/>
  <c r="AG156" i="45"/>
  <c r="S67" i="45"/>
  <c r="AG48" i="45"/>
  <c r="HS316" i="43"/>
  <c r="AG313" i="45"/>
  <c r="HS223" i="43"/>
  <c r="AG220" i="45"/>
  <c r="AG200" i="45"/>
  <c r="HS84" i="43"/>
  <c r="AG81" i="45"/>
  <c r="S47" i="45"/>
  <c r="AG282" i="45"/>
  <c r="AG57" i="45"/>
  <c r="AG45" i="45"/>
  <c r="HS31" i="43"/>
  <c r="AG28" i="45"/>
  <c r="HS103" i="43"/>
  <c r="M103" i="43"/>
  <c r="AG100" i="45"/>
  <c r="S356" i="45"/>
  <c r="S270" i="45"/>
  <c r="FZ163" i="43"/>
  <c r="HS163" i="43"/>
  <c r="FZ214" i="43"/>
  <c r="HS191" i="43"/>
  <c r="AG188" i="45"/>
  <c r="AG362" i="45"/>
  <c r="AG351" i="45"/>
  <c r="HS227" i="43"/>
  <c r="AG224" i="45"/>
  <c r="HS180" i="43"/>
  <c r="AG177" i="45"/>
  <c r="HS174" i="43"/>
  <c r="AG171" i="45"/>
  <c r="AG286" i="45"/>
  <c r="HS188" i="43"/>
  <c r="AG185" i="45"/>
  <c r="HS132" i="43"/>
  <c r="AG129" i="45"/>
  <c r="HS271" i="43"/>
  <c r="AG268" i="45"/>
  <c r="AG165" i="45"/>
  <c r="AG162" i="45"/>
  <c r="AG373" i="45"/>
  <c r="M295" i="43"/>
  <c r="AG108" i="45"/>
  <c r="M140" i="43"/>
  <c r="HS140" i="43"/>
  <c r="FZ140" i="43"/>
  <c r="AG137" i="45"/>
  <c r="M116" i="43"/>
  <c r="HS116" i="43"/>
  <c r="AG113" i="45"/>
  <c r="AG67" i="45"/>
  <c r="AG44" i="45"/>
  <c r="AG38" i="45"/>
  <c r="HS202" i="43"/>
  <c r="AG199" i="45"/>
  <c r="AG47" i="45"/>
  <c r="AG73" i="45"/>
  <c r="HS56" i="43"/>
  <c r="AG53" i="45"/>
  <c r="HS125" i="43"/>
  <c r="AG122" i="45"/>
  <c r="FZ284" i="43"/>
  <c r="HS284" i="43"/>
  <c r="FZ259" i="43"/>
  <c r="M224" i="43"/>
  <c r="AG208" i="45"/>
  <c r="AG210" i="45"/>
  <c r="HS213" i="43"/>
  <c r="AQ242" i="24"/>
  <c r="AG241" i="45"/>
  <c r="AS254" i="24"/>
  <c r="AS270" i="24"/>
  <c r="AG326" i="45"/>
  <c r="AG322" i="45"/>
  <c r="AG274" i="45"/>
  <c r="AG270" i="45"/>
  <c r="AG196" i="45"/>
  <c r="HS185" i="43"/>
  <c r="AG182" i="45"/>
  <c r="HS177" i="43"/>
  <c r="AG174" i="45"/>
  <c r="AG163" i="45"/>
  <c r="AG128" i="45"/>
  <c r="FZ329" i="43"/>
  <c r="AG308" i="45"/>
  <c r="AG284" i="45"/>
  <c r="FZ138" i="43"/>
  <c r="AG135" i="45"/>
  <c r="HS205" i="43"/>
  <c r="AG202" i="45"/>
  <c r="M114" i="43"/>
  <c r="HS114" i="43"/>
  <c r="AG111" i="45"/>
  <c r="S101" i="45"/>
  <c r="AG66" i="45"/>
  <c r="FZ332" i="43"/>
  <c r="HS198" i="43"/>
  <c r="AG195" i="45"/>
  <c r="AG119" i="45"/>
  <c r="HS120" i="43"/>
  <c r="AG117" i="45"/>
  <c r="HS170" i="43"/>
  <c r="AG167" i="45"/>
  <c r="AG79" i="45"/>
  <c r="AG56" i="45"/>
  <c r="HS37" i="43"/>
  <c r="AG34" i="45"/>
  <c r="AG325" i="45"/>
  <c r="AG311" i="45"/>
  <c r="AG82" i="45"/>
  <c r="HS58" i="43"/>
  <c r="AG55" i="45"/>
  <c r="AG43" i="45"/>
  <c r="AG33" i="45"/>
  <c r="S109" i="45"/>
  <c r="AG291" i="45"/>
  <c r="HS42" i="43"/>
  <c r="AG39" i="45"/>
  <c r="P62" i="24"/>
  <c r="CA62" i="24" s="1"/>
  <c r="P50" i="24"/>
  <c r="CA50" i="24" s="1"/>
  <c r="P152" i="24"/>
  <c r="CA152" i="24" s="1"/>
  <c r="P148" i="24"/>
  <c r="CA148" i="24" s="1"/>
  <c r="P144" i="24"/>
  <c r="CA144" i="24" s="1"/>
  <c r="P339" i="24"/>
  <c r="CA339" i="24" s="1"/>
  <c r="P327" i="24"/>
  <c r="CA327" i="24" s="1"/>
  <c r="P323" i="24"/>
  <c r="CA323" i="24" s="1"/>
  <c r="P315" i="24"/>
  <c r="CA315" i="24" s="1"/>
  <c r="P256" i="24"/>
  <c r="CA256" i="24" s="1"/>
  <c r="P252" i="24"/>
  <c r="CA252" i="24" s="1"/>
  <c r="P240" i="24"/>
  <c r="CA240" i="24" s="1"/>
  <c r="P378" i="24"/>
  <c r="AG378" i="24" s="1"/>
  <c r="P374" i="24"/>
  <c r="CA374" i="24" s="1"/>
  <c r="P349" i="24"/>
  <c r="CA349" i="24" s="1"/>
  <c r="FZ368" i="43"/>
  <c r="HS349" i="43"/>
  <c r="FZ288" i="43"/>
  <c r="FZ289" i="43"/>
  <c r="M287" i="43"/>
  <c r="FZ262" i="43"/>
  <c r="M249" i="43"/>
  <c r="FZ250" i="43"/>
  <c r="FZ234" i="43"/>
  <c r="M201" i="43"/>
  <c r="FZ185" i="43"/>
  <c r="FZ188" i="43"/>
  <c r="FZ202" i="43"/>
  <c r="M158" i="43"/>
  <c r="FZ175" i="43"/>
  <c r="HS175" i="43"/>
  <c r="FZ171" i="43"/>
  <c r="M132" i="43"/>
  <c r="M185" i="43"/>
  <c r="FZ166" i="43"/>
  <c r="FZ132" i="43"/>
  <c r="FZ191" i="43"/>
  <c r="FZ180" i="43"/>
  <c r="M177" i="43"/>
  <c r="FZ165" i="43"/>
  <c r="FZ122" i="43"/>
  <c r="FZ116" i="43"/>
  <c r="FZ114" i="43"/>
  <c r="M56" i="43"/>
  <c r="K56" i="43" s="1"/>
  <c r="AI53" i="45" s="1"/>
  <c r="FZ46" i="43"/>
  <c r="M42" i="43"/>
  <c r="K42" i="43" s="1"/>
  <c r="AI39" i="45" s="1"/>
  <c r="M120" i="43"/>
  <c r="M59" i="43"/>
  <c r="FZ111" i="43"/>
  <c r="M37" i="43"/>
  <c r="K37" i="43" s="1"/>
  <c r="AI34" i="45" s="1"/>
  <c r="FZ85" i="43"/>
  <c r="S53" i="45"/>
  <c r="S30" i="45"/>
  <c r="S51" i="45"/>
  <c r="AG349" i="45"/>
  <c r="HS281" i="43"/>
  <c r="AG278" i="45"/>
  <c r="HS182" i="43"/>
  <c r="AG179" i="45"/>
  <c r="FZ174" i="43"/>
  <c r="HS172" i="43"/>
  <c r="AG169" i="45"/>
  <c r="AG189" i="45"/>
  <c r="HS181" i="43"/>
  <c r="AG178" i="45"/>
  <c r="HS371" i="43"/>
  <c r="AG368" i="45"/>
  <c r="HS195" i="43"/>
  <c r="M195" i="43"/>
  <c r="AG192" i="45"/>
  <c r="HS187" i="43"/>
  <c r="AG184" i="45"/>
  <c r="AG61" i="45"/>
  <c r="S128" i="45"/>
  <c r="FZ177" i="43"/>
  <c r="HS169" i="43"/>
  <c r="AG166" i="45"/>
  <c r="AG136" i="45"/>
  <c r="S113" i="45"/>
  <c r="HS204" i="43"/>
  <c r="AG201" i="45"/>
  <c r="AG197" i="45"/>
  <c r="AG101" i="45"/>
  <c r="HS83" i="43"/>
  <c r="AG80" i="45"/>
  <c r="AG317" i="45"/>
  <c r="AG194" i="45"/>
  <c r="M113" i="43"/>
  <c r="AG110" i="45"/>
  <c r="M115" i="43"/>
  <c r="AG112" i="45"/>
  <c r="AG60" i="45"/>
  <c r="AG52" i="45"/>
  <c r="AG51" i="45"/>
  <c r="M112" i="43"/>
  <c r="HS112" i="43"/>
  <c r="AG109" i="45"/>
  <c r="AG49" i="45"/>
  <c r="AG35" i="45"/>
  <c r="FZ42" i="43"/>
  <c r="AG132" i="45"/>
  <c r="HS124" i="43"/>
  <c r="AG121" i="45"/>
  <c r="S6" i="45"/>
  <c r="HS269" i="43"/>
  <c r="AG266" i="45"/>
  <c r="M10" i="22"/>
  <c r="T10" i="22"/>
  <c r="AG258" i="45"/>
  <c r="AG256" i="45"/>
  <c r="E17" i="30"/>
  <c r="D17" i="30"/>
  <c r="E19" i="30"/>
  <c r="E20" i="30"/>
  <c r="F7" i="30"/>
  <c r="E21" i="30"/>
  <c r="E22" i="30"/>
  <c r="E9" i="30"/>
  <c r="AS256" i="24"/>
  <c r="AG240" i="45"/>
  <c r="HS239" i="43"/>
  <c r="AG236" i="45"/>
  <c r="FZ237" i="43"/>
  <c r="HS237" i="43"/>
  <c r="AG233" i="45"/>
  <c r="AG232" i="45"/>
  <c r="AG231" i="45"/>
  <c r="M232" i="43"/>
  <c r="HS233" i="43"/>
  <c r="AG230" i="45"/>
  <c r="HS229" i="43"/>
  <c r="AG226" i="45"/>
  <c r="HS232" i="43"/>
  <c r="AG229" i="45"/>
  <c r="AG228" i="45"/>
  <c r="HS230" i="43"/>
  <c r="AG227" i="45"/>
  <c r="AG225" i="45"/>
  <c r="HS226" i="43"/>
  <c r="AG223" i="45"/>
  <c r="AG221" i="45"/>
  <c r="HS222" i="43"/>
  <c r="AG219" i="45"/>
  <c r="C22" i="44"/>
  <c r="C24" i="44" s="1"/>
  <c r="M220" i="43"/>
  <c r="L8" i="35"/>
  <c r="AS220" i="24"/>
  <c r="HS221" i="43"/>
  <c r="AG218" i="45"/>
  <c r="BT192" i="24"/>
  <c r="BT90" i="24"/>
  <c r="BT78" i="24"/>
  <c r="BT58" i="24"/>
  <c r="BT276" i="24"/>
  <c r="BT232" i="24"/>
  <c r="BT73" i="24"/>
  <c r="BT100" i="24"/>
  <c r="BT96" i="24"/>
  <c r="BT76" i="24"/>
  <c r="BT64" i="24"/>
  <c r="BT355" i="24"/>
  <c r="BT333" i="24"/>
  <c r="BT313" i="24"/>
  <c r="BT280" i="24"/>
  <c r="BT189" i="24"/>
  <c r="BT354" i="24"/>
  <c r="BT336" i="24"/>
  <c r="BT328" i="24"/>
  <c r="BT324" i="24"/>
  <c r="BT316" i="24"/>
  <c r="BT312" i="24"/>
  <c r="BT241" i="24"/>
  <c r="H14" i="44"/>
  <c r="H13" i="44"/>
  <c r="AG216" i="45"/>
  <c r="HS219" i="43"/>
  <c r="AG217" i="45"/>
  <c r="G215" i="43"/>
  <c r="HQ215" i="43" s="1"/>
  <c r="HR215" i="43" s="1"/>
  <c r="G218" i="43"/>
  <c r="HQ218" i="43" s="1"/>
  <c r="HR218" i="43" s="1"/>
  <c r="G217" i="43"/>
  <c r="HQ217" i="43" s="1"/>
  <c r="HR217" i="43" s="1"/>
  <c r="AG211" i="45"/>
  <c r="HS214" i="43"/>
  <c r="G216" i="43"/>
  <c r="HQ216" i="43" s="1"/>
  <c r="HR216" i="43" s="1"/>
  <c r="G9" i="22"/>
  <c r="H12" i="44"/>
  <c r="H15" i="44"/>
  <c r="H9" i="44"/>
  <c r="H11" i="44"/>
  <c r="H10" i="44"/>
  <c r="DY330" i="43"/>
  <c r="DZ330" i="43" s="1"/>
  <c r="DY346" i="43"/>
  <c r="DZ346" i="43" s="1"/>
  <c r="DY335" i="43"/>
  <c r="DZ335" i="43" s="1"/>
  <c r="AO368" i="43"/>
  <c r="AO358" i="43"/>
  <c r="AO377" i="43"/>
  <c r="DL311" i="43"/>
  <c r="DM311" i="43" s="1"/>
  <c r="AO361" i="43"/>
  <c r="DY342" i="43"/>
  <c r="DZ342" i="43" s="1"/>
  <c r="DY343" i="43"/>
  <c r="DZ343" i="43" s="1"/>
  <c r="L93" i="35"/>
  <c r="I9" i="22"/>
  <c r="AH276" i="24"/>
  <c r="DH349" i="43"/>
  <c r="DL349" i="43"/>
  <c r="DM349" i="43" s="1"/>
  <c r="AP328" i="43"/>
  <c r="DH294" i="43"/>
  <c r="DL374" i="43"/>
  <c r="DM374" i="43" s="1"/>
  <c r="AS328" i="43"/>
  <c r="DH186" i="43"/>
  <c r="AO376" i="43"/>
  <c r="DL153" i="43"/>
  <c r="DM153" i="43" s="1"/>
  <c r="DL282" i="43"/>
  <c r="DH200" i="43"/>
  <c r="DL170" i="43"/>
  <c r="GJ334" i="43"/>
  <c r="GT334" i="43" s="1"/>
  <c r="GV334" i="43" s="1"/>
  <c r="BU334" i="43" s="1"/>
  <c r="BW334" i="43" s="1"/>
  <c r="DY331" i="43"/>
  <c r="DZ331" i="43" s="1"/>
  <c r="AO331" i="43"/>
  <c r="AR12" i="43"/>
  <c r="AP12" i="43"/>
  <c r="DY344" i="43"/>
  <c r="DZ344" i="43" s="1"/>
  <c r="DY340" i="43"/>
  <c r="DZ340" i="43" s="1"/>
  <c r="DL176" i="43"/>
  <c r="AO380" i="43"/>
  <c r="T377" i="45" s="1"/>
  <c r="W377" i="45" s="1"/>
  <c r="Y377" i="45" s="1"/>
  <c r="DH69" i="43"/>
  <c r="DY381" i="43"/>
  <c r="DZ381" i="43" s="1"/>
  <c r="AO381" i="43"/>
  <c r="AO367" i="43"/>
  <c r="DY367" i="43"/>
  <c r="DZ367" i="43" s="1"/>
  <c r="GJ362" i="43"/>
  <c r="GM362" i="43" s="1"/>
  <c r="DL116" i="43"/>
  <c r="AS12" i="43"/>
  <c r="DH84" i="43"/>
  <c r="GJ330" i="43"/>
  <c r="GM330" i="43" s="1"/>
  <c r="GO330" i="43" s="1"/>
  <c r="BB330" i="43" s="1"/>
  <c r="BD330" i="43" s="1"/>
  <c r="DL100" i="43"/>
  <c r="DH64" i="43"/>
  <c r="DL290" i="43"/>
  <c r="GJ335" i="43"/>
  <c r="GM335" i="43" s="1"/>
  <c r="GO335" i="43" s="1"/>
  <c r="BB335" i="43" s="1"/>
  <c r="BD335" i="43" s="1"/>
  <c r="DY369" i="43"/>
  <c r="DZ369" i="43" s="1"/>
  <c r="AO348" i="43"/>
  <c r="DH92" i="43"/>
  <c r="AP32" i="43"/>
  <c r="DL188" i="43"/>
  <c r="DM188" i="43" s="1"/>
  <c r="DN188" i="43" s="1"/>
  <c r="DO188" i="43" s="1"/>
  <c r="AR32" i="43"/>
  <c r="DY341" i="43"/>
  <c r="DZ341" i="43" s="1"/>
  <c r="AO375" i="43"/>
  <c r="DH362" i="43"/>
  <c r="DH61" i="43"/>
  <c r="AO357" i="43"/>
  <c r="GJ361" i="43"/>
  <c r="HH361" i="43" s="1"/>
  <c r="HJ361" i="43" s="1"/>
  <c r="DI361" i="43" s="1"/>
  <c r="DK361" i="43" s="1"/>
  <c r="DY366" i="43"/>
  <c r="DZ366" i="43" s="1"/>
  <c r="DH292" i="43"/>
  <c r="DL96" i="43"/>
  <c r="GJ363" i="43"/>
  <c r="GT363" i="43" s="1"/>
  <c r="GV363" i="43" s="1"/>
  <c r="BU363" i="43" s="1"/>
  <c r="BW363" i="43" s="1"/>
  <c r="GJ332" i="43"/>
  <c r="GT332" i="43" s="1"/>
  <c r="GV332" i="43" s="1"/>
  <c r="BU332" i="43" s="1"/>
  <c r="BW332" i="43" s="1"/>
  <c r="GJ333" i="43"/>
  <c r="HH333" i="43" s="1"/>
  <c r="AO349" i="43"/>
  <c r="DY359" i="43"/>
  <c r="DZ359" i="43" s="1"/>
  <c r="DY347" i="43"/>
  <c r="DZ347" i="43" s="1"/>
  <c r="AO373" i="43"/>
  <c r="AO360" i="43"/>
  <c r="M207" i="43"/>
  <c r="M378" i="43"/>
  <c r="FZ378" i="43"/>
  <c r="AG375" i="45"/>
  <c r="M367" i="43"/>
  <c r="AG364" i="45"/>
  <c r="H20" i="44"/>
  <c r="M349" i="43"/>
  <c r="AG346" i="45"/>
  <c r="M335" i="43"/>
  <c r="FZ317" i="43"/>
  <c r="M317" i="43"/>
  <c r="AG314" i="45"/>
  <c r="FZ321" i="43"/>
  <c r="M321" i="43"/>
  <c r="K321" i="43" s="1"/>
  <c r="AI318" i="45" s="1"/>
  <c r="AG318" i="45"/>
  <c r="FZ305" i="43"/>
  <c r="M305" i="43"/>
  <c r="M282" i="43"/>
  <c r="AG279" i="45"/>
  <c r="H16" i="44"/>
  <c r="H17" i="44"/>
  <c r="M212" i="43"/>
  <c r="AG209" i="45"/>
  <c r="M186" i="43"/>
  <c r="FZ186" i="43"/>
  <c r="AG183" i="45"/>
  <c r="M189" i="43"/>
  <c r="AG186" i="45"/>
  <c r="M171" i="43"/>
  <c r="AG168" i="45"/>
  <c r="AG9" i="45"/>
  <c r="FZ12" i="43"/>
  <c r="M12" i="43"/>
  <c r="H12" i="43" s="1"/>
  <c r="M368" i="43"/>
  <c r="AG365" i="45"/>
  <c r="AG353" i="45"/>
  <c r="M342" i="43"/>
  <c r="H18" i="44"/>
  <c r="H19" i="44"/>
  <c r="FZ319" i="43"/>
  <c r="M319" i="43"/>
  <c r="K319" i="43" s="1"/>
  <c r="AI316" i="45" s="1"/>
  <c r="AG316" i="45"/>
  <c r="M291" i="43"/>
  <c r="FZ291" i="43"/>
  <c r="AG288" i="45"/>
  <c r="M288" i="43"/>
  <c r="AG285" i="45"/>
  <c r="M274" i="43"/>
  <c r="AG271" i="45"/>
  <c r="FZ274" i="43"/>
  <c r="M237" i="43"/>
  <c r="AG234" i="45"/>
  <c r="M183" i="43"/>
  <c r="AG180" i="45"/>
  <c r="FZ183" i="43"/>
  <c r="M73" i="43"/>
  <c r="FZ73" i="43"/>
  <c r="AG70" i="45"/>
  <c r="M381" i="43"/>
  <c r="AG378" i="45"/>
  <c r="FZ381" i="43"/>
  <c r="M373" i="43"/>
  <c r="M346" i="43"/>
  <c r="AG343" i="45"/>
  <c r="AG342" i="45"/>
  <c r="FZ341" i="43"/>
  <c r="AG338" i="45"/>
  <c r="FZ334" i="43"/>
  <c r="FZ313" i="43"/>
  <c r="M313" i="43"/>
  <c r="AG310" i="45"/>
  <c r="FZ323" i="43"/>
  <c r="M323" i="43"/>
  <c r="AG320" i="45"/>
  <c r="FZ324" i="43"/>
  <c r="M324" i="43"/>
  <c r="K324" i="43" s="1"/>
  <c r="AI321" i="45" s="1"/>
  <c r="AG321" i="45"/>
  <c r="FZ315" i="43"/>
  <c r="M286" i="43"/>
  <c r="AG283" i="45"/>
  <c r="FZ212" i="43"/>
  <c r="M193" i="43"/>
  <c r="AG190" i="45"/>
  <c r="M179" i="43"/>
  <c r="AG176" i="45"/>
  <c r="FZ179" i="43"/>
  <c r="C6" i="45"/>
  <c r="DL84" i="43"/>
  <c r="FZ367" i="43"/>
  <c r="AG358" i="45"/>
  <c r="FZ363" i="43"/>
  <c r="FZ338" i="43"/>
  <c r="FZ337" i="43"/>
  <c r="M337" i="43"/>
  <c r="AG334" i="45"/>
  <c r="FZ322" i="43"/>
  <c r="M322" i="43"/>
  <c r="K322" i="43" s="1"/>
  <c r="AG319" i="45"/>
  <c r="M284" i="43"/>
  <c r="AG281" i="45"/>
  <c r="FZ282" i="43"/>
  <c r="M175" i="43"/>
  <c r="AG172" i="45"/>
  <c r="M163" i="43"/>
  <c r="AG160" i="45"/>
  <c r="M161" i="43"/>
  <c r="AG158" i="45"/>
  <c r="AE49" i="45"/>
  <c r="AE202" i="45"/>
  <c r="DL77" i="43"/>
  <c r="DL112" i="43"/>
  <c r="DH96" i="43"/>
  <c r="DH73" i="43"/>
  <c r="DL65" i="43"/>
  <c r="DH178" i="43"/>
  <c r="DH316" i="43"/>
  <c r="DL144" i="43"/>
  <c r="AE6" i="45"/>
  <c r="DH296" i="43"/>
  <c r="DH288" i="43"/>
  <c r="DH280" i="43"/>
  <c r="AE156" i="45"/>
  <c r="AE148" i="45"/>
  <c r="AE136" i="45"/>
  <c r="AE128" i="45"/>
  <c r="AE120" i="45"/>
  <c r="AE112" i="45"/>
  <c r="AE104" i="45"/>
  <c r="AE96" i="45"/>
  <c r="AE41" i="45"/>
  <c r="AE25" i="45"/>
  <c r="AE150" i="45"/>
  <c r="AE138" i="45"/>
  <c r="AE130" i="45"/>
  <c r="AE122" i="45"/>
  <c r="AE114" i="45"/>
  <c r="AE106" i="45"/>
  <c r="AE98" i="45"/>
  <c r="DL379" i="43"/>
  <c r="DM379" i="43" s="1"/>
  <c r="DH192" i="43"/>
  <c r="DL125" i="43"/>
  <c r="DL128" i="43"/>
  <c r="DL73" i="43"/>
  <c r="DL321" i="43"/>
  <c r="DM321" i="43" s="1"/>
  <c r="DL120" i="43"/>
  <c r="DH132" i="43"/>
  <c r="AE169" i="45"/>
  <c r="DL174" i="43"/>
  <c r="DH148" i="43"/>
  <c r="DH65" i="43"/>
  <c r="DH77" i="43"/>
  <c r="DH378" i="43"/>
  <c r="GJ344" i="43"/>
  <c r="GM344" i="43" s="1"/>
  <c r="GO344" i="43" s="1"/>
  <c r="BB344" i="43" s="1"/>
  <c r="BD344" i="43" s="1"/>
  <c r="DH298" i="43"/>
  <c r="DH286" i="43"/>
  <c r="AE221" i="45"/>
  <c r="AE213" i="45"/>
  <c r="DH351" i="43"/>
  <c r="DL106" i="43"/>
  <c r="DM106" i="43" s="1"/>
  <c r="DH164" i="43"/>
  <c r="DH88" i="43"/>
  <c r="DH380" i="43"/>
  <c r="AG276" i="24"/>
  <c r="AE33" i="45"/>
  <c r="AE17" i="45"/>
  <c r="AE54" i="45"/>
  <c r="AE66" i="45"/>
  <c r="AE56" i="45"/>
  <c r="AE65" i="45"/>
  <c r="DH124" i="43"/>
  <c r="DL124" i="43"/>
  <c r="DL58" i="43"/>
  <c r="DH58" i="43"/>
  <c r="DL380" i="43"/>
  <c r="DM380" i="43" s="1"/>
  <c r="DL315" i="43"/>
  <c r="DM315" i="43" s="1"/>
  <c r="DH284" i="43"/>
  <c r="AS191" i="43"/>
  <c r="DH155" i="43"/>
  <c r="DL61" i="43"/>
  <c r="DL145" i="43"/>
  <c r="DL350" i="43"/>
  <c r="DM350" i="43" s="1"/>
  <c r="DL319" i="43"/>
  <c r="DM319" i="43" s="1"/>
  <c r="AP191" i="43"/>
  <c r="DL182" i="43"/>
  <c r="DM182" i="43" s="1"/>
  <c r="DN182" i="43" s="1"/>
  <c r="DO182" i="43" s="1"/>
  <c r="DH136" i="43"/>
  <c r="AR89" i="43"/>
  <c r="DH56" i="43"/>
  <c r="P381" i="24"/>
  <c r="AH381" i="24" s="1"/>
  <c r="DH174" i="43"/>
  <c r="DH157" i="43"/>
  <c r="DH106" i="43"/>
  <c r="DH46" i="43"/>
  <c r="AS179" i="43"/>
  <c r="DL376" i="43"/>
  <c r="DM376" i="43" s="1"/>
  <c r="AS89" i="43"/>
  <c r="GJ336" i="43"/>
  <c r="GM336" i="43" s="1"/>
  <c r="GO336" i="43" s="1"/>
  <c r="BB336" i="43" s="1"/>
  <c r="BD336" i="43" s="1"/>
  <c r="DL328" i="43"/>
  <c r="DH309" i="43"/>
  <c r="DL308" i="43"/>
  <c r="DH278" i="43"/>
  <c r="Z389" i="45"/>
  <c r="AE205" i="45"/>
  <c r="AE164" i="45"/>
  <c r="AE152" i="45"/>
  <c r="AE132" i="45"/>
  <c r="AE124" i="45"/>
  <c r="AE116" i="45"/>
  <c r="AE108" i="45"/>
  <c r="AE100" i="45"/>
  <c r="M206" i="43"/>
  <c r="AG203" i="45"/>
  <c r="L65" i="35"/>
  <c r="AE53" i="45"/>
  <c r="AE186" i="45"/>
  <c r="AE142" i="45"/>
  <c r="AE184" i="45"/>
  <c r="AE200" i="45"/>
  <c r="DH324" i="43"/>
  <c r="DL171" i="43"/>
  <c r="GJ342" i="43"/>
  <c r="HH342" i="43" s="1"/>
  <c r="HJ342" i="43" s="1"/>
  <c r="DI342" i="43" s="1"/>
  <c r="DK342" i="43" s="1"/>
  <c r="DL205" i="43"/>
  <c r="DH170" i="43"/>
  <c r="DH152" i="43"/>
  <c r="DH128" i="43"/>
  <c r="DL99" i="43"/>
  <c r="DL91" i="43"/>
  <c r="DL28" i="43"/>
  <c r="DM28" i="43" s="1"/>
  <c r="DN28" i="43" s="1"/>
  <c r="DO28" i="43" s="1"/>
  <c r="AE8" i="45"/>
  <c r="GJ340" i="43"/>
  <c r="HA340" i="43" s="1"/>
  <c r="HC340" i="43" s="1"/>
  <c r="CP340" i="43" s="1"/>
  <c r="CR340" i="43" s="1"/>
  <c r="DL288" i="43"/>
  <c r="DL183" i="43"/>
  <c r="DM183" i="43" s="1"/>
  <c r="DN183" i="43" s="1"/>
  <c r="DO183" i="43" s="1"/>
  <c r="DH181" i="43"/>
  <c r="DL186" i="43"/>
  <c r="DM186" i="43" s="1"/>
  <c r="DN186" i="43" s="1"/>
  <c r="DO186" i="43" s="1"/>
  <c r="DH182" i="43"/>
  <c r="DL148" i="43"/>
  <c r="DH104" i="43"/>
  <c r="AE68" i="45"/>
  <c r="AE204" i="45"/>
  <c r="DH190" i="43"/>
  <c r="DL203" i="43"/>
  <c r="DL95" i="43"/>
  <c r="DM95" i="43" s="1"/>
  <c r="DL36" i="43"/>
  <c r="DM36" i="43" s="1"/>
  <c r="DN36" i="43" s="1"/>
  <c r="DO36" i="43" s="1"/>
  <c r="DL278" i="43"/>
  <c r="AE38" i="45"/>
  <c r="AE22" i="45"/>
  <c r="DL363" i="43"/>
  <c r="DL359" i="43"/>
  <c r="DM359" i="43" s="1"/>
  <c r="DL306" i="43"/>
  <c r="DL292" i="43"/>
  <c r="DL240" i="43"/>
  <c r="DM240" i="43" s="1"/>
  <c r="DN240" i="43" s="1"/>
  <c r="DL196" i="43"/>
  <c r="DL211" i="43"/>
  <c r="DH189" i="43"/>
  <c r="DH38" i="43"/>
  <c r="DH76" i="43"/>
  <c r="AP312" i="43"/>
  <c r="AR312" i="43"/>
  <c r="DL284" i="43"/>
  <c r="DL178" i="43"/>
  <c r="DL296" i="43"/>
  <c r="DL280" i="43"/>
  <c r="GJ331" i="43"/>
  <c r="GM331" i="43" s="1"/>
  <c r="AR41" i="43"/>
  <c r="AP41" i="43"/>
  <c r="AS41" i="43"/>
  <c r="K33" i="35"/>
  <c r="GJ375" i="43"/>
  <c r="GM375" i="43" s="1"/>
  <c r="GO375" i="43" s="1"/>
  <c r="BB375" i="43" s="1"/>
  <c r="BD375" i="43" s="1"/>
  <c r="GJ376" i="43"/>
  <c r="GM376" i="43" s="1"/>
  <c r="GO376" i="43" s="1"/>
  <c r="BB376" i="43" s="1"/>
  <c r="BD376" i="43" s="1"/>
  <c r="GJ369" i="43"/>
  <c r="GM369" i="43" s="1"/>
  <c r="GO369" i="43" s="1"/>
  <c r="BB369" i="43" s="1"/>
  <c r="BD369" i="43" s="1"/>
  <c r="GJ358" i="43"/>
  <c r="HH358" i="43" s="1"/>
  <c r="HJ358" i="43" s="1"/>
  <c r="DI358" i="43" s="1"/>
  <c r="DK358" i="43" s="1"/>
  <c r="GJ356" i="43"/>
  <c r="HA356" i="43" s="1"/>
  <c r="HC356" i="43" s="1"/>
  <c r="CP356" i="43" s="1"/>
  <c r="CR356" i="43" s="1"/>
  <c r="GJ354" i="43"/>
  <c r="GM354" i="43" s="1"/>
  <c r="GJ352" i="43"/>
  <c r="HH352" i="43" s="1"/>
  <c r="GJ355" i="43"/>
  <c r="HH355" i="43" s="1"/>
  <c r="HJ355" i="43" s="1"/>
  <c r="DI355" i="43" s="1"/>
  <c r="DK355" i="43" s="1"/>
  <c r="GJ367" i="43"/>
  <c r="GT367" i="43" s="1"/>
  <c r="GV367" i="43" s="1"/>
  <c r="BU367" i="43" s="1"/>
  <c r="BW367" i="43" s="1"/>
  <c r="GJ339" i="43"/>
  <c r="GM339" i="43" s="1"/>
  <c r="GO339" i="43" s="1"/>
  <c r="BB339" i="43" s="1"/>
  <c r="BD339" i="43" s="1"/>
  <c r="GJ364" i="43"/>
  <c r="HH364" i="43" s="1"/>
  <c r="HJ364" i="43" s="1"/>
  <c r="DI364" i="43" s="1"/>
  <c r="DK364" i="43" s="1"/>
  <c r="GJ365" i="43"/>
  <c r="GT365" i="43" s="1"/>
  <c r="GV365" i="43" s="1"/>
  <c r="BU365" i="43" s="1"/>
  <c r="BW365" i="43" s="1"/>
  <c r="GJ346" i="43"/>
  <c r="GM346" i="43" s="1"/>
  <c r="GO346" i="43" s="1"/>
  <c r="BB346" i="43" s="1"/>
  <c r="BD346" i="43" s="1"/>
  <c r="GJ338" i="43"/>
  <c r="GM338" i="43" s="1"/>
  <c r="GO338" i="43" s="1"/>
  <c r="BB338" i="43" s="1"/>
  <c r="BD338" i="43" s="1"/>
  <c r="GJ381" i="43"/>
  <c r="HH381" i="43" s="1"/>
  <c r="HJ381" i="43" s="1"/>
  <c r="DI381" i="43" s="1"/>
  <c r="DK381" i="43" s="1"/>
  <c r="DL357" i="43"/>
  <c r="DM357" i="43" s="1"/>
  <c r="DH360" i="43"/>
  <c r="GJ348" i="43"/>
  <c r="GM348" i="43" s="1"/>
  <c r="GJ345" i="43"/>
  <c r="GM345" i="43" s="1"/>
  <c r="DL298" i="43"/>
  <c r="DL286" i="43"/>
  <c r="DH290" i="43"/>
  <c r="DH282" i="43"/>
  <c r="DH213" i="43"/>
  <c r="DH209" i="43"/>
  <c r="DH101" i="43"/>
  <c r="DH85" i="43"/>
  <c r="DL87" i="43"/>
  <c r="DM87" i="43" s="1"/>
  <c r="DL88" i="43"/>
  <c r="AE69" i="45"/>
  <c r="AP381" i="43"/>
  <c r="AR381" i="43"/>
  <c r="AP377" i="43"/>
  <c r="AR377" i="43"/>
  <c r="AP373" i="43"/>
  <c r="AR373" i="43"/>
  <c r="AP169" i="43"/>
  <c r="AS169" i="43"/>
  <c r="AP85" i="43"/>
  <c r="AS85" i="43"/>
  <c r="GJ353" i="43"/>
  <c r="DL294" i="43"/>
  <c r="AP168" i="43"/>
  <c r="AS168" i="43"/>
  <c r="AP93" i="43"/>
  <c r="AS93" i="43"/>
  <c r="GJ347" i="43"/>
  <c r="GJ377" i="43"/>
  <c r="GM377" i="43" s="1"/>
  <c r="GJ373" i="43"/>
  <c r="GT373" i="43" s="1"/>
  <c r="GV373" i="43" s="1"/>
  <c r="BU373" i="43" s="1"/>
  <c r="BW373" i="43" s="1"/>
  <c r="GJ374" i="43"/>
  <c r="HA374" i="43" s="1"/>
  <c r="HC374" i="43" s="1"/>
  <c r="CP374" i="43" s="1"/>
  <c r="CR374" i="43" s="1"/>
  <c r="GJ378" i="43"/>
  <c r="HH378" i="43" s="1"/>
  <c r="HJ378" i="43" s="1"/>
  <c r="DI378" i="43" s="1"/>
  <c r="DK378" i="43" s="1"/>
  <c r="GJ370" i="43"/>
  <c r="HH370" i="43" s="1"/>
  <c r="HJ370" i="43" s="1"/>
  <c r="DI370" i="43" s="1"/>
  <c r="DK370" i="43" s="1"/>
  <c r="GJ368" i="43"/>
  <c r="GT368" i="43" s="1"/>
  <c r="GV368" i="43" s="1"/>
  <c r="BU368" i="43" s="1"/>
  <c r="BW368" i="43" s="1"/>
  <c r="DL353" i="43"/>
  <c r="DM353" i="43" s="1"/>
  <c r="DH352" i="43"/>
  <c r="GJ350" i="43"/>
  <c r="GT350" i="43" s="1"/>
  <c r="GV350" i="43" s="1"/>
  <c r="BU350" i="43" s="1"/>
  <c r="BW350" i="43" s="1"/>
  <c r="GJ337" i="43"/>
  <c r="GM337" i="43" s="1"/>
  <c r="DL207" i="43"/>
  <c r="DL179" i="43"/>
  <c r="DL167" i="43"/>
  <c r="DL163" i="43"/>
  <c r="DL200" i="43"/>
  <c r="DM200" i="43" s="1"/>
  <c r="DH107" i="43"/>
  <c r="DL48" i="43"/>
  <c r="DM48" i="43" s="1"/>
  <c r="DN48" i="43" s="1"/>
  <c r="DO48" i="43" s="1"/>
  <c r="DL40" i="43"/>
  <c r="DM40" i="43" s="1"/>
  <c r="DN40" i="43" s="1"/>
  <c r="DO40" i="43" s="1"/>
  <c r="DL32" i="43"/>
  <c r="DL24" i="43"/>
  <c r="DM24" i="43" s="1"/>
  <c r="DN24" i="43" s="1"/>
  <c r="DO24" i="43" s="1"/>
  <c r="AP375" i="43"/>
  <c r="AR375" i="43"/>
  <c r="AP331" i="43"/>
  <c r="AS331" i="43"/>
  <c r="AR331" i="43"/>
  <c r="AP97" i="43"/>
  <c r="AS97" i="43"/>
  <c r="AP22" i="43"/>
  <c r="AS22" i="43"/>
  <c r="AP14" i="43"/>
  <c r="AS14" i="43"/>
  <c r="DH373" i="43"/>
  <c r="DL355" i="43"/>
  <c r="DM355" i="43" s="1"/>
  <c r="DH185" i="43"/>
  <c r="DH11" i="43"/>
  <c r="DH34" i="43"/>
  <c r="GJ11" i="43"/>
  <c r="AP352" i="43"/>
  <c r="AR352" i="43"/>
  <c r="AP177" i="43"/>
  <c r="AS177" i="43"/>
  <c r="AR197" i="43"/>
  <c r="AS197" i="43"/>
  <c r="AP197" i="43"/>
  <c r="AP34" i="43"/>
  <c r="AS34" i="43"/>
  <c r="AP81" i="43"/>
  <c r="AS81" i="43"/>
  <c r="AR77" i="43"/>
  <c r="AS77" i="43"/>
  <c r="AP77" i="43"/>
  <c r="AP30" i="43"/>
  <c r="AS30" i="43"/>
  <c r="AR29" i="43"/>
  <c r="AS29" i="43"/>
  <c r="AP29" i="43"/>
  <c r="AE198" i="45"/>
  <c r="AE90" i="45"/>
  <c r="AE82" i="45"/>
  <c r="AE74" i="45"/>
  <c r="AE37" i="45"/>
  <c r="AE21" i="45"/>
  <c r="AE140" i="45"/>
  <c r="AE223" i="45"/>
  <c r="AE215" i="45"/>
  <c r="AE188" i="45"/>
  <c r="AE94" i="45"/>
  <c r="AE86" i="45"/>
  <c r="AE78" i="45"/>
  <c r="AE70" i="45"/>
  <c r="AE9" i="45"/>
  <c r="AE52" i="45"/>
  <c r="AE57" i="45"/>
  <c r="AE61" i="45"/>
  <c r="AE44" i="45"/>
  <c r="AE28" i="45"/>
  <c r="AE12" i="45"/>
  <c r="AE160" i="45"/>
  <c r="AE190" i="45"/>
  <c r="AE180" i="45"/>
  <c r="AE176" i="45"/>
  <c r="AE146" i="45"/>
  <c r="P193" i="24"/>
  <c r="CA193" i="24" s="1"/>
  <c r="CG193" i="24" s="1"/>
  <c r="AE219" i="45"/>
  <c r="AE211" i="45"/>
  <c r="AE171" i="45"/>
  <c r="AE196" i="45"/>
  <c r="AE194" i="45"/>
  <c r="AE46" i="45"/>
  <c r="AE30" i="45"/>
  <c r="AE14" i="45"/>
  <c r="Z11" i="45"/>
  <c r="AE182" i="45"/>
  <c r="AE178" i="45"/>
  <c r="AE174" i="45"/>
  <c r="AE42" i="45"/>
  <c r="AE26" i="45"/>
  <c r="AE154" i="45"/>
  <c r="AE134" i="45"/>
  <c r="AE126" i="45"/>
  <c r="AE118" i="45"/>
  <c r="AE110" i="45"/>
  <c r="AE102" i="45"/>
  <c r="AE34" i="45"/>
  <c r="AE18" i="45"/>
  <c r="W12" i="45"/>
  <c r="Z12" i="45" s="1"/>
  <c r="AE50" i="45"/>
  <c r="AE144" i="45"/>
  <c r="AE36" i="45"/>
  <c r="AE20" i="45"/>
  <c r="AE207" i="45"/>
  <c r="I10" i="49"/>
  <c r="J10" i="49"/>
  <c r="AE92" i="45"/>
  <c r="AE84" i="45"/>
  <c r="AE76" i="45"/>
  <c r="AE45" i="45"/>
  <c r="AE29" i="45"/>
  <c r="AE13" i="45"/>
  <c r="AE58" i="45"/>
  <c r="AE167" i="45"/>
  <c r="AE192" i="45"/>
  <c r="AE40" i="45"/>
  <c r="AE24" i="45"/>
  <c r="AE48" i="45"/>
  <c r="AE173" i="45"/>
  <c r="AE88" i="45"/>
  <c r="AE80" i="45"/>
  <c r="AE72" i="45"/>
  <c r="AE10" i="45"/>
  <c r="AE225" i="45"/>
  <c r="AE217" i="45"/>
  <c r="AE209" i="45"/>
  <c r="AE62" i="45"/>
  <c r="AE32" i="45"/>
  <c r="AE16" i="45"/>
  <c r="P363" i="24"/>
  <c r="CA363" i="24" s="1"/>
  <c r="CG363" i="24" s="1"/>
  <c r="P362" i="24"/>
  <c r="CA362" i="24" s="1"/>
  <c r="CG362" i="24" s="1"/>
  <c r="AH355" i="24"/>
  <c r="AG355" i="24"/>
  <c r="P305" i="24"/>
  <c r="CA305" i="24" s="1"/>
  <c r="CG305" i="24" s="1"/>
  <c r="P308" i="24"/>
  <c r="CA308" i="24" s="1"/>
  <c r="CG308" i="24" s="1"/>
  <c r="P299" i="24"/>
  <c r="CA299" i="24" s="1"/>
  <c r="CG299" i="24" s="1"/>
  <c r="P290" i="24"/>
  <c r="CA290" i="24" s="1"/>
  <c r="CG290" i="24" s="1"/>
  <c r="P270" i="24"/>
  <c r="CA270" i="24" s="1"/>
  <c r="CG270" i="24" s="1"/>
  <c r="P210" i="24"/>
  <c r="CA210" i="24" s="1"/>
  <c r="CG210" i="24" s="1"/>
  <c r="P225" i="24"/>
  <c r="CA225" i="24" s="1"/>
  <c r="CG225" i="24" s="1"/>
  <c r="P216" i="24"/>
  <c r="CA216" i="24" s="1"/>
  <c r="CG216" i="24" s="1"/>
  <c r="P223" i="24"/>
  <c r="CA223" i="24" s="1"/>
  <c r="CG223" i="24" s="1"/>
  <c r="P169" i="24"/>
  <c r="CA169" i="24" s="1"/>
  <c r="CG169" i="24" s="1"/>
  <c r="P164" i="24"/>
  <c r="CA164" i="24" s="1"/>
  <c r="CG164" i="24" s="1"/>
  <c r="P167" i="24"/>
  <c r="CA167" i="24" s="1"/>
  <c r="CG167" i="24" s="1"/>
  <c r="P128" i="24"/>
  <c r="CA128" i="24" s="1"/>
  <c r="CG128" i="24" s="1"/>
  <c r="P127" i="24"/>
  <c r="CA127" i="24" s="1"/>
  <c r="CG127" i="24" s="1"/>
  <c r="P133" i="24"/>
  <c r="CA133" i="24" s="1"/>
  <c r="CG133" i="24" s="1"/>
  <c r="P117" i="24"/>
  <c r="CA117" i="24" s="1"/>
  <c r="CG117" i="24" s="1"/>
  <c r="P33" i="24"/>
  <c r="CA33" i="24" s="1"/>
  <c r="CG33" i="24" s="1"/>
  <c r="P45" i="24"/>
  <c r="CA45" i="24" s="1"/>
  <c r="CG45" i="24" s="1"/>
  <c r="P40" i="24"/>
  <c r="CA40" i="24" s="1"/>
  <c r="CG40" i="24" s="1"/>
  <c r="AP378" i="43"/>
  <c r="AS378" i="43"/>
  <c r="AR378" i="43"/>
  <c r="DH370" i="43"/>
  <c r="DL372" i="43"/>
  <c r="DM372" i="43" s="1"/>
  <c r="DL358" i="43"/>
  <c r="DM358" i="43" s="1"/>
  <c r="DH353" i="43"/>
  <c r="CE348" i="43"/>
  <c r="DL348" i="43" s="1"/>
  <c r="DM348" i="43" s="1"/>
  <c r="DH347" i="43"/>
  <c r="DH339" i="43"/>
  <c r="DH331" i="43"/>
  <c r="GJ359" i="43"/>
  <c r="DH358" i="43"/>
  <c r="DH325" i="43"/>
  <c r="DL322" i="43"/>
  <c r="DM322" i="43" s="1"/>
  <c r="DH317" i="43"/>
  <c r="DL314" i="43"/>
  <c r="DM314" i="43" s="1"/>
  <c r="DL317" i="43"/>
  <c r="DM317" i="43" s="1"/>
  <c r="DH318" i="43"/>
  <c r="AP308" i="43"/>
  <c r="AS308" i="43"/>
  <c r="AR308" i="43"/>
  <c r="CE302" i="43"/>
  <c r="CE299" i="43"/>
  <c r="CE297" i="43"/>
  <c r="AP292" i="43"/>
  <c r="AS292" i="43"/>
  <c r="AR292" i="43"/>
  <c r="AP290" i="43"/>
  <c r="AS290" i="43"/>
  <c r="AR290" i="43"/>
  <c r="AP288" i="43"/>
  <c r="AS288" i="43"/>
  <c r="AR288" i="43"/>
  <c r="AP286" i="43"/>
  <c r="AS286" i="43"/>
  <c r="AR286" i="43"/>
  <c r="CE279" i="43"/>
  <c r="DH274" i="43"/>
  <c r="DL309" i="43"/>
  <c r="DM309" i="43" s="1"/>
  <c r="DL307" i="43"/>
  <c r="DM307" i="43" s="1"/>
  <c r="CE277" i="43"/>
  <c r="DH310" i="43"/>
  <c r="CE275" i="43"/>
  <c r="CE267" i="43"/>
  <c r="DL267" i="43" s="1"/>
  <c r="DM267" i="43" s="1"/>
  <c r="CE263" i="43"/>
  <c r="DH263" i="43" s="1"/>
  <c r="CE259" i="43"/>
  <c r="DL259" i="43" s="1"/>
  <c r="DM259" i="43" s="1"/>
  <c r="CE255" i="43"/>
  <c r="DH255" i="43" s="1"/>
  <c r="CE251" i="43"/>
  <c r="DH251" i="43" s="1"/>
  <c r="CE247" i="43"/>
  <c r="DL247" i="43" s="1"/>
  <c r="DM247" i="43" s="1"/>
  <c r="CE243" i="43"/>
  <c r="DH243" i="43" s="1"/>
  <c r="CE237" i="43"/>
  <c r="DH237" i="43" s="1"/>
  <c r="CE236" i="43"/>
  <c r="CE232" i="43"/>
  <c r="DL232" i="43" s="1"/>
  <c r="DM232" i="43" s="1"/>
  <c r="CE228" i="43"/>
  <c r="DL228" i="43" s="1"/>
  <c r="DM228" i="43" s="1"/>
  <c r="CE224" i="43"/>
  <c r="DL224" i="43" s="1"/>
  <c r="DM224" i="43" s="1"/>
  <c r="CE220" i="43"/>
  <c r="DL220" i="43" s="1"/>
  <c r="DM220" i="43" s="1"/>
  <c r="CE195" i="43"/>
  <c r="DL195" i="43" s="1"/>
  <c r="DM195" i="43" s="1"/>
  <c r="AS218" i="43"/>
  <c r="AR218" i="43"/>
  <c r="AP218" i="43"/>
  <c r="CE215" i="43"/>
  <c r="C204" i="45"/>
  <c r="C200" i="45"/>
  <c r="DH196" i="43"/>
  <c r="DL185" i="43"/>
  <c r="DM185" i="43" s="1"/>
  <c r="DH179" i="43"/>
  <c r="DL173" i="43"/>
  <c r="DL165" i="43"/>
  <c r="DH163" i="43"/>
  <c r="DH207" i="43"/>
  <c r="AP196" i="43"/>
  <c r="AR196" i="43"/>
  <c r="AS196" i="43"/>
  <c r="CE166" i="43"/>
  <c r="DH197" i="43"/>
  <c r="DL113" i="43"/>
  <c r="DH204" i="43"/>
  <c r="AP148" i="43"/>
  <c r="AS148" i="43"/>
  <c r="AR148" i="43"/>
  <c r="CE134" i="43"/>
  <c r="CE126" i="43"/>
  <c r="AP124" i="43"/>
  <c r="AS124" i="43"/>
  <c r="AR124" i="43"/>
  <c r="AP116" i="43"/>
  <c r="AS116" i="43"/>
  <c r="AR116" i="43"/>
  <c r="DL151" i="43"/>
  <c r="DL147" i="43"/>
  <c r="DL143" i="43"/>
  <c r="DL139" i="43"/>
  <c r="DL135" i="43"/>
  <c r="DL131" i="43"/>
  <c r="DL127" i="43"/>
  <c r="DL123" i="43"/>
  <c r="DL119" i="43"/>
  <c r="DL115" i="43"/>
  <c r="DL111" i="43"/>
  <c r="DL157" i="43"/>
  <c r="DH109" i="43"/>
  <c r="CE108" i="43"/>
  <c r="CE110" i="43"/>
  <c r="DH115" i="43"/>
  <c r="DL107" i="43"/>
  <c r="DL155" i="43"/>
  <c r="DH111" i="43"/>
  <c r="CE94" i="43"/>
  <c r="DH94" i="43" s="1"/>
  <c r="CE86" i="43"/>
  <c r="DH86" i="43" s="1"/>
  <c r="AS79" i="43"/>
  <c r="AP79" i="43"/>
  <c r="AR79" i="43"/>
  <c r="CE75" i="43"/>
  <c r="DH52" i="43"/>
  <c r="C8" i="45"/>
  <c r="AS71" i="43"/>
  <c r="AP71" i="43"/>
  <c r="AR71" i="43"/>
  <c r="DH49" i="43"/>
  <c r="DH41" i="43"/>
  <c r="DH33" i="43"/>
  <c r="DH25" i="43"/>
  <c r="DL105" i="43"/>
  <c r="DH70" i="43"/>
  <c r="DL42" i="43"/>
  <c r="DM42" i="43" s="1"/>
  <c r="DH32" i="43"/>
  <c r="DL30" i="43"/>
  <c r="DL22" i="43"/>
  <c r="DL14" i="43"/>
  <c r="DL11" i="43"/>
  <c r="DM11" i="43" s="1"/>
  <c r="DH66" i="43"/>
  <c r="CE63" i="43"/>
  <c r="AS53" i="43"/>
  <c r="AR53" i="43"/>
  <c r="AP53" i="43"/>
  <c r="DL49" i="43"/>
  <c r="DM49" i="43" s="1"/>
  <c r="DL41" i="43"/>
  <c r="DL33" i="43"/>
  <c r="DM33" i="43" s="1"/>
  <c r="DL25" i="43"/>
  <c r="DM25" i="43" s="1"/>
  <c r="DL80" i="43"/>
  <c r="AE359" i="45"/>
  <c r="AE343" i="45"/>
  <c r="AE327" i="45"/>
  <c r="AE287" i="45"/>
  <c r="AE271" i="45"/>
  <c r="AE255" i="45"/>
  <c r="AE239" i="45"/>
  <c r="AE83" i="45"/>
  <c r="AE230" i="45"/>
  <c r="AE238" i="45"/>
  <c r="AE246" i="45"/>
  <c r="AE254" i="45"/>
  <c r="AE262" i="45"/>
  <c r="AE270" i="45"/>
  <c r="AE278" i="45"/>
  <c r="AE286" i="45"/>
  <c r="AE310" i="45"/>
  <c r="AE318" i="45"/>
  <c r="AE326" i="45"/>
  <c r="AE334" i="45"/>
  <c r="AE342" i="45"/>
  <c r="AE350" i="45"/>
  <c r="AE358" i="45"/>
  <c r="AE366" i="45"/>
  <c r="AO374" i="45"/>
  <c r="AE374" i="45"/>
  <c r="AO382" i="45"/>
  <c r="AE382" i="45"/>
  <c r="AE228" i="45"/>
  <c r="AE236" i="45"/>
  <c r="AE244" i="45"/>
  <c r="AE252" i="45"/>
  <c r="AE260" i="45"/>
  <c r="AE268" i="45"/>
  <c r="AE276" i="45"/>
  <c r="AE284" i="45"/>
  <c r="AE308" i="45"/>
  <c r="AE316" i="45"/>
  <c r="AE324" i="45"/>
  <c r="AE332" i="45"/>
  <c r="AE340" i="45"/>
  <c r="AE348" i="45"/>
  <c r="AE356" i="45"/>
  <c r="AE364" i="45"/>
  <c r="AE372" i="45"/>
  <c r="AO380" i="45"/>
  <c r="AE380" i="45"/>
  <c r="AE145" i="45"/>
  <c r="AE172" i="45"/>
  <c r="AE229" i="45"/>
  <c r="AE237" i="45"/>
  <c r="AE245" i="45"/>
  <c r="AE253" i="45"/>
  <c r="AE261" i="45"/>
  <c r="AE269" i="45"/>
  <c r="AE277" i="45"/>
  <c r="AE285" i="45"/>
  <c r="AE309" i="45"/>
  <c r="AE317" i="45"/>
  <c r="AE325" i="45"/>
  <c r="AE333" i="45"/>
  <c r="AE341" i="45"/>
  <c r="AE349" i="45"/>
  <c r="AE357" i="45"/>
  <c r="AE365" i="45"/>
  <c r="AE373" i="45"/>
  <c r="AO381" i="45"/>
  <c r="AE381" i="45"/>
  <c r="AE71" i="45"/>
  <c r="DH72" i="43"/>
  <c r="DH22" i="43"/>
  <c r="AE158" i="45"/>
  <c r="AE151" i="45"/>
  <c r="AE143" i="45"/>
  <c r="AE135" i="45"/>
  <c r="AE127" i="45"/>
  <c r="AE119" i="45"/>
  <c r="AE111" i="45"/>
  <c r="AE103" i="45"/>
  <c r="AE95" i="45"/>
  <c r="AO379" i="45"/>
  <c r="AE379" i="45"/>
  <c r="AE226" i="45"/>
  <c r="AE218" i="45"/>
  <c r="AE210" i="45"/>
  <c r="AE163" i="45"/>
  <c r="AE7" i="45"/>
  <c r="AE23" i="45"/>
  <c r="AE43" i="45"/>
  <c r="P364" i="24"/>
  <c r="CA364" i="24" s="1"/>
  <c r="CG364" i="24" s="1"/>
  <c r="P343" i="24"/>
  <c r="CA343" i="24" s="1"/>
  <c r="CG343" i="24" s="1"/>
  <c r="P341" i="24"/>
  <c r="CA341" i="24" s="1"/>
  <c r="CG341" i="24" s="1"/>
  <c r="P289" i="24"/>
  <c r="CA289" i="24" s="1"/>
  <c r="CG289" i="24" s="1"/>
  <c r="P292" i="24"/>
  <c r="CA292" i="24" s="1"/>
  <c r="CG292" i="24" s="1"/>
  <c r="AH328" i="24"/>
  <c r="AG328" i="24"/>
  <c r="AH324" i="24"/>
  <c r="AG324" i="24"/>
  <c r="AH316" i="24"/>
  <c r="AG316" i="24"/>
  <c r="AH312" i="24"/>
  <c r="AG312" i="24"/>
  <c r="P306" i="24"/>
  <c r="CA306" i="24" s="1"/>
  <c r="CG306" i="24" s="1"/>
  <c r="P272" i="24"/>
  <c r="CA272" i="24" s="1"/>
  <c r="CG272" i="24" s="1"/>
  <c r="P228" i="24"/>
  <c r="CA228" i="24" s="1"/>
  <c r="CG228" i="24" s="1"/>
  <c r="P194" i="24"/>
  <c r="CA194" i="24" s="1"/>
  <c r="CG194" i="24" s="1"/>
  <c r="I10" i="22"/>
  <c r="P209" i="24"/>
  <c r="CA209" i="24" s="1"/>
  <c r="CG209" i="24" s="1"/>
  <c r="AH241" i="24"/>
  <c r="AG241" i="24"/>
  <c r="P200" i="24"/>
  <c r="CA200" i="24" s="1"/>
  <c r="CG200" i="24" s="1"/>
  <c r="P207" i="24"/>
  <c r="CA207" i="24" s="1"/>
  <c r="CG207" i="24" s="1"/>
  <c r="P173" i="24"/>
  <c r="CA173" i="24" s="1"/>
  <c r="CG173" i="24" s="1"/>
  <c r="P130" i="24"/>
  <c r="CA130" i="24" s="1"/>
  <c r="CG130" i="24" s="1"/>
  <c r="P17" i="24"/>
  <c r="CA17" i="24" s="1"/>
  <c r="CG17" i="24" s="1"/>
  <c r="P28" i="24"/>
  <c r="CA28" i="24" s="1"/>
  <c r="CG28" i="24" s="1"/>
  <c r="P12" i="24"/>
  <c r="CA12" i="24" s="1"/>
  <c r="CG12" i="24" s="1"/>
  <c r="I9" i="44"/>
  <c r="I22" i="44" s="1"/>
  <c r="I24" i="44" s="1"/>
  <c r="P27" i="24"/>
  <c r="CA27" i="24" s="1"/>
  <c r="CG27" i="24" s="1"/>
  <c r="P34" i="24"/>
  <c r="CA34" i="24" s="1"/>
  <c r="CG34" i="24" s="1"/>
  <c r="P18" i="24"/>
  <c r="CA18" i="24" s="1"/>
  <c r="CG18" i="24" s="1"/>
  <c r="DL377" i="43"/>
  <c r="P369" i="24"/>
  <c r="CA369" i="24" s="1"/>
  <c r="CG369" i="24" s="1"/>
  <c r="P360" i="24"/>
  <c r="CA360" i="24" s="1"/>
  <c r="CG360" i="24" s="1"/>
  <c r="P359" i="24"/>
  <c r="CA359" i="24" s="1"/>
  <c r="CG359" i="24" s="1"/>
  <c r="P344" i="24"/>
  <c r="CA344" i="24" s="1"/>
  <c r="CG344" i="24" s="1"/>
  <c r="P301" i="24"/>
  <c r="CA301" i="24" s="1"/>
  <c r="CG301" i="24" s="1"/>
  <c r="P304" i="24"/>
  <c r="CA304" i="24" s="1"/>
  <c r="CG304" i="24" s="1"/>
  <c r="P288" i="24"/>
  <c r="CA288" i="24" s="1"/>
  <c r="CG288" i="24" s="1"/>
  <c r="AG336" i="24"/>
  <c r="AH336" i="24"/>
  <c r="P295" i="24"/>
  <c r="CA295" i="24" s="1"/>
  <c r="CG295" i="24" s="1"/>
  <c r="P302" i="24"/>
  <c r="CA302" i="24" s="1"/>
  <c r="CG302" i="24" s="1"/>
  <c r="P286" i="24"/>
  <c r="CA286" i="24" s="1"/>
  <c r="CG286" i="24" s="1"/>
  <c r="P268" i="24"/>
  <c r="CA268" i="24" s="1"/>
  <c r="CG268" i="24" s="1"/>
  <c r="P277" i="24"/>
  <c r="CA277" i="24" s="1"/>
  <c r="CG277" i="24" s="1"/>
  <c r="P222" i="24"/>
  <c r="CA222" i="24" s="1"/>
  <c r="CG222" i="24" s="1"/>
  <c r="P206" i="24"/>
  <c r="CA206" i="24" s="1"/>
  <c r="CG206" i="24" s="1"/>
  <c r="P221" i="24"/>
  <c r="CA221" i="24" s="1"/>
  <c r="CG221" i="24" s="1"/>
  <c r="P205" i="24"/>
  <c r="CA205" i="24" s="1"/>
  <c r="CG205" i="24" s="1"/>
  <c r="P212" i="24"/>
  <c r="CA212" i="24" s="1"/>
  <c r="CG212" i="24" s="1"/>
  <c r="P196" i="24"/>
  <c r="CA196" i="24" s="1"/>
  <c r="CG196" i="24" s="1"/>
  <c r="P219" i="24"/>
  <c r="CA219" i="24" s="1"/>
  <c r="CG219" i="24" s="1"/>
  <c r="P203" i="24"/>
  <c r="CA203" i="24" s="1"/>
  <c r="CG203" i="24" s="1"/>
  <c r="P165" i="24"/>
  <c r="CA165" i="24" s="1"/>
  <c r="CG165" i="24" s="1"/>
  <c r="AG189" i="24"/>
  <c r="AH189" i="24"/>
  <c r="P172" i="24"/>
  <c r="CA172" i="24" s="1"/>
  <c r="CG172" i="24" s="1"/>
  <c r="P160" i="24"/>
  <c r="CA160" i="24" s="1"/>
  <c r="CG160" i="24" s="1"/>
  <c r="P163" i="24"/>
  <c r="CA163" i="24" s="1"/>
  <c r="CG163" i="24" s="1"/>
  <c r="P166" i="24"/>
  <c r="CA166" i="24" s="1"/>
  <c r="CG166" i="24" s="1"/>
  <c r="P124" i="24"/>
  <c r="CA124" i="24" s="1"/>
  <c r="CG124" i="24" s="1"/>
  <c r="P123" i="24"/>
  <c r="CA123" i="24" s="1"/>
  <c r="CG123" i="24" s="1"/>
  <c r="P126" i="24"/>
  <c r="CA126" i="24" s="1"/>
  <c r="CG126" i="24" s="1"/>
  <c r="P129" i="24"/>
  <c r="CA129" i="24" s="1"/>
  <c r="CG129" i="24" s="1"/>
  <c r="AH73" i="24"/>
  <c r="AG73" i="24"/>
  <c r="P46" i="24"/>
  <c r="CA46" i="24" s="1"/>
  <c r="CG46" i="24" s="1"/>
  <c r="P29" i="24"/>
  <c r="CA29" i="24" s="1"/>
  <c r="CG29" i="24" s="1"/>
  <c r="P13" i="24"/>
  <c r="CA13" i="24" s="1"/>
  <c r="CG13" i="24" s="1"/>
  <c r="P41" i="24"/>
  <c r="CA41" i="24" s="1"/>
  <c r="CG41" i="24" s="1"/>
  <c r="P24" i="24"/>
  <c r="CA24" i="24" s="1"/>
  <c r="CG24" i="24" s="1"/>
  <c r="P39" i="24"/>
  <c r="CA39" i="24" s="1"/>
  <c r="CG39" i="24" s="1"/>
  <c r="P23" i="24"/>
  <c r="CA23" i="24" s="1"/>
  <c r="CG23" i="24" s="1"/>
  <c r="C374" i="45"/>
  <c r="C372" i="45"/>
  <c r="P47" i="24"/>
  <c r="CA47" i="24" s="1"/>
  <c r="CG47" i="24" s="1"/>
  <c r="P30" i="24"/>
  <c r="CA30" i="24" s="1"/>
  <c r="CG30" i="24" s="1"/>
  <c r="P14" i="24"/>
  <c r="CA14" i="24" s="1"/>
  <c r="CG14" i="24" s="1"/>
  <c r="DH374" i="43"/>
  <c r="DH364" i="43"/>
  <c r="DH377" i="43"/>
  <c r="GJ372" i="43"/>
  <c r="DL370" i="43"/>
  <c r="DM370" i="43" s="1"/>
  <c r="DL368" i="43"/>
  <c r="DM368" i="43" s="1"/>
  <c r="DL366" i="43"/>
  <c r="DM366" i="43" s="1"/>
  <c r="DL364" i="43"/>
  <c r="DM364" i="43" s="1"/>
  <c r="DL362" i="43"/>
  <c r="DM362" i="43" s="1"/>
  <c r="DL360" i="43"/>
  <c r="DM360" i="43" s="1"/>
  <c r="DH355" i="43"/>
  <c r="DL352" i="43"/>
  <c r="DH341" i="43"/>
  <c r="DH333" i="43"/>
  <c r="DL351" i="43"/>
  <c r="DM351" i="43" s="1"/>
  <c r="CE346" i="43"/>
  <c r="DL346" i="43" s="1"/>
  <c r="DM346" i="43" s="1"/>
  <c r="CE344" i="43"/>
  <c r="DH344" i="43" s="1"/>
  <c r="CE342" i="43"/>
  <c r="DL342" i="43" s="1"/>
  <c r="DM342" i="43" s="1"/>
  <c r="CE340" i="43"/>
  <c r="DH340" i="43" s="1"/>
  <c r="CE338" i="43"/>
  <c r="DL338" i="43" s="1"/>
  <c r="DM338" i="43" s="1"/>
  <c r="CE336" i="43"/>
  <c r="DH336" i="43" s="1"/>
  <c r="DL331" i="43"/>
  <c r="CE326" i="43"/>
  <c r="CE334" i="43"/>
  <c r="DH334" i="43" s="1"/>
  <c r="DH328" i="43"/>
  <c r="DH350" i="43"/>
  <c r="DL329" i="43"/>
  <c r="DM329" i="43" s="1"/>
  <c r="DL324" i="43"/>
  <c r="DM324" i="43" s="1"/>
  <c r="DH319" i="43"/>
  <c r="DL316" i="43"/>
  <c r="DM316" i="43" s="1"/>
  <c r="DH311" i="43"/>
  <c r="DH312" i="43"/>
  <c r="DH322" i="43"/>
  <c r="C307" i="45"/>
  <c r="DH305" i="43"/>
  <c r="CE301" i="43"/>
  <c r="AP296" i="43"/>
  <c r="AS296" i="43"/>
  <c r="AR296" i="43"/>
  <c r="AP294" i="43"/>
  <c r="AS294" i="43"/>
  <c r="AR294" i="43"/>
  <c r="CE283" i="43"/>
  <c r="CE281" i="43"/>
  <c r="AP278" i="43"/>
  <c r="AR278" i="43"/>
  <c r="AS278" i="43"/>
  <c r="AS279" i="43"/>
  <c r="AR279" i="43"/>
  <c r="AP279" i="43"/>
  <c r="DH307" i="43"/>
  <c r="AS277" i="43"/>
  <c r="AR277" i="43"/>
  <c r="AP277" i="43"/>
  <c r="AR275" i="43"/>
  <c r="AP275" i="43"/>
  <c r="AS275" i="43"/>
  <c r="DL272" i="43"/>
  <c r="DM272" i="43" s="1"/>
  <c r="DL270" i="43"/>
  <c r="DM270" i="43" s="1"/>
  <c r="CE268" i="43"/>
  <c r="DL268" i="43" s="1"/>
  <c r="DM268" i="43" s="1"/>
  <c r="CE264" i="43"/>
  <c r="DL264" i="43" s="1"/>
  <c r="DM264" i="43" s="1"/>
  <c r="CE260" i="43"/>
  <c r="DL260" i="43" s="1"/>
  <c r="DM260" i="43" s="1"/>
  <c r="CE256" i="43"/>
  <c r="DL256" i="43" s="1"/>
  <c r="DM256" i="43" s="1"/>
  <c r="CE252" i="43"/>
  <c r="DL252" i="43" s="1"/>
  <c r="DM252" i="43" s="1"/>
  <c r="CE248" i="43"/>
  <c r="DL248" i="43" s="1"/>
  <c r="DM248" i="43" s="1"/>
  <c r="CE244" i="43"/>
  <c r="DL244" i="43" s="1"/>
  <c r="DM244" i="43" s="1"/>
  <c r="AS239" i="43"/>
  <c r="AP239" i="43"/>
  <c r="AR239" i="43"/>
  <c r="CE241" i="43"/>
  <c r="DH241" i="43" s="1"/>
  <c r="CE239" i="43"/>
  <c r="CE233" i="43"/>
  <c r="DL233" i="43" s="1"/>
  <c r="DM233" i="43" s="1"/>
  <c r="CE229" i="43"/>
  <c r="CE225" i="43"/>
  <c r="CE221" i="43"/>
  <c r="AP211" i="43"/>
  <c r="AS211" i="43"/>
  <c r="AR211" i="43"/>
  <c r="CE210" i="43"/>
  <c r="DH210" i="43" s="1"/>
  <c r="AP205" i="43"/>
  <c r="AS205" i="43"/>
  <c r="AR205" i="43"/>
  <c r="DL197" i="43"/>
  <c r="CE216" i="43"/>
  <c r="DH216" i="43" s="1"/>
  <c r="AP215" i="43"/>
  <c r="AS215" i="43"/>
  <c r="AR215" i="43"/>
  <c r="CE202" i="43"/>
  <c r="DL202" i="43" s="1"/>
  <c r="DM202" i="43" s="1"/>
  <c r="DL198" i="43"/>
  <c r="DM198" i="43" s="1"/>
  <c r="C208" i="45"/>
  <c r="C202" i="45"/>
  <c r="DL189" i="43"/>
  <c r="DM189" i="43" s="1"/>
  <c r="DL177" i="43"/>
  <c r="DH171" i="43"/>
  <c r="DH205" i="43"/>
  <c r="DL190" i="43"/>
  <c r="DM190" i="43" s="1"/>
  <c r="CE180" i="43"/>
  <c r="DL191" i="43"/>
  <c r="DL187" i="43"/>
  <c r="DM187" i="43" s="1"/>
  <c r="DH165" i="43"/>
  <c r="DL149" i="43"/>
  <c r="DL129" i="43"/>
  <c r="DL117" i="43"/>
  <c r="DH159" i="43"/>
  <c r="CE150" i="43"/>
  <c r="CE138" i="43"/>
  <c r="AP136" i="43"/>
  <c r="AS136" i="43"/>
  <c r="AR136" i="43"/>
  <c r="AP128" i="43"/>
  <c r="AS128" i="43"/>
  <c r="AR128" i="43"/>
  <c r="CE118" i="43"/>
  <c r="DH173" i="43"/>
  <c r="DL152" i="43"/>
  <c r="DH139" i="43"/>
  <c r="DL154" i="43"/>
  <c r="DH135" i="43"/>
  <c r="AS110" i="43"/>
  <c r="AR110" i="43"/>
  <c r="AP110" i="43"/>
  <c r="DH153" i="43"/>
  <c r="DL132" i="43"/>
  <c r="DH103" i="43"/>
  <c r="DH99" i="43"/>
  <c r="DH95" i="43"/>
  <c r="DH91" i="43"/>
  <c r="DH87" i="43"/>
  <c r="DH83" i="43"/>
  <c r="AS69" i="43"/>
  <c r="AR69" i="43"/>
  <c r="AP69" i="43"/>
  <c r="AS61" i="43"/>
  <c r="AR61" i="43"/>
  <c r="AP61" i="43"/>
  <c r="DL104" i="43"/>
  <c r="CE102" i="43"/>
  <c r="DH93" i="43"/>
  <c r="AS75" i="43"/>
  <c r="AP75" i="43"/>
  <c r="AR75" i="43"/>
  <c r="DL69" i="43"/>
  <c r="C7" i="45"/>
  <c r="DH80" i="43"/>
  <c r="K15" i="34"/>
  <c r="DL52" i="43"/>
  <c r="DM52" i="43" s="1"/>
  <c r="DH44" i="43"/>
  <c r="DH36" i="43"/>
  <c r="DL34" i="43"/>
  <c r="DH24" i="43"/>
  <c r="DH16" i="43"/>
  <c r="DH105" i="43"/>
  <c r="AS63" i="43"/>
  <c r="AP63" i="43"/>
  <c r="AR63" i="43"/>
  <c r="AS57" i="43"/>
  <c r="AR57" i="43"/>
  <c r="AP57" i="43"/>
  <c r="CE53" i="43"/>
  <c r="CE47" i="43"/>
  <c r="CE39" i="43"/>
  <c r="DL39" i="43" s="1"/>
  <c r="DM39" i="43" s="1"/>
  <c r="CE31" i="43"/>
  <c r="DL31" i="43" s="1"/>
  <c r="DM31" i="43" s="1"/>
  <c r="CE23" i="43"/>
  <c r="DH23" i="43" s="1"/>
  <c r="CE15" i="43"/>
  <c r="DL15" i="43" s="1"/>
  <c r="DM15" i="43" s="1"/>
  <c r="DH30" i="43"/>
  <c r="DL12" i="43"/>
  <c r="K97" i="35"/>
  <c r="K93" i="35"/>
  <c r="K89" i="35"/>
  <c r="K81" i="35"/>
  <c r="K69" i="35"/>
  <c r="K65" i="35"/>
  <c r="K61" i="35"/>
  <c r="K57" i="35"/>
  <c r="K48" i="35"/>
  <c r="K44" i="35"/>
  <c r="K31" i="35"/>
  <c r="K27" i="35"/>
  <c r="K23" i="35"/>
  <c r="K18" i="35"/>
  <c r="K14" i="35"/>
  <c r="K10" i="35"/>
  <c r="K6" i="35"/>
  <c r="K96" i="35"/>
  <c r="K84" i="35"/>
  <c r="K80" i="35"/>
  <c r="K68" i="35"/>
  <c r="K52" i="35"/>
  <c r="K47" i="35"/>
  <c r="K43" i="35"/>
  <c r="K38" i="35"/>
  <c r="K30" i="35"/>
  <c r="K17" i="35"/>
  <c r="K13" i="35"/>
  <c r="K102" i="35"/>
  <c r="K90" i="35"/>
  <c r="K82" i="35"/>
  <c r="K74" i="35"/>
  <c r="K70" i="35"/>
  <c r="K62" i="35"/>
  <c r="K54" i="35"/>
  <c r="K45" i="35"/>
  <c r="K32" i="35"/>
  <c r="K28" i="35"/>
  <c r="K19" i="35"/>
  <c r="K15" i="35"/>
  <c r="K11" i="35"/>
  <c r="K7" i="35"/>
  <c r="K95" i="35"/>
  <c r="K46" i="35"/>
  <c r="K29" i="35"/>
  <c r="K12" i="35"/>
  <c r="J4" i="35"/>
  <c r="K75" i="35"/>
  <c r="K42" i="35"/>
  <c r="K8" i="35"/>
  <c r="K103" i="35"/>
  <c r="K55" i="35"/>
  <c r="K37" i="35"/>
  <c r="K3" i="35"/>
  <c r="K83" i="35"/>
  <c r="K67" i="35"/>
  <c r="K16" i="35"/>
  <c r="AE355" i="45"/>
  <c r="AE339" i="45"/>
  <c r="AE323" i="45"/>
  <c r="AE283" i="45"/>
  <c r="AE267" i="45"/>
  <c r="AE251" i="45"/>
  <c r="AE235" i="45"/>
  <c r="AE179" i="45"/>
  <c r="AE175" i="45"/>
  <c r="AE79" i="45"/>
  <c r="DH50" i="43"/>
  <c r="AE371" i="45"/>
  <c r="AE161" i="45"/>
  <c r="AE189" i="45"/>
  <c r="AE197" i="45"/>
  <c r="AE85" i="45"/>
  <c r="DH74" i="43"/>
  <c r="DL64" i="43"/>
  <c r="AE199" i="45"/>
  <c r="AE191" i="45"/>
  <c r="AE183" i="45"/>
  <c r="AE166" i="45"/>
  <c r="AE149" i="45"/>
  <c r="AE133" i="45"/>
  <c r="AE125" i="45"/>
  <c r="AE117" i="45"/>
  <c r="AE109" i="45"/>
  <c r="AE101" i="45"/>
  <c r="AE93" i="45"/>
  <c r="AO375" i="45"/>
  <c r="AE375" i="45"/>
  <c r="AE224" i="45"/>
  <c r="AE216" i="45"/>
  <c r="AE208" i="45"/>
  <c r="AE47" i="45"/>
  <c r="AE35" i="45"/>
  <c r="P368" i="24"/>
  <c r="CA368" i="24" s="1"/>
  <c r="CG368" i="24" s="1"/>
  <c r="AH354" i="24"/>
  <c r="AG354" i="24"/>
  <c r="P297" i="24"/>
  <c r="CA297" i="24" s="1"/>
  <c r="CG297" i="24" s="1"/>
  <c r="P307" i="24"/>
  <c r="CA307" i="24" s="1"/>
  <c r="CG307" i="24" s="1"/>
  <c r="P275" i="24"/>
  <c r="CA275" i="24" s="1"/>
  <c r="CG275" i="24" s="1"/>
  <c r="P217" i="24"/>
  <c r="CA217" i="24" s="1"/>
  <c r="CG217" i="24" s="1"/>
  <c r="P208" i="24"/>
  <c r="CA208" i="24" s="1"/>
  <c r="CG208" i="24" s="1"/>
  <c r="P162" i="24"/>
  <c r="CA162" i="24" s="1"/>
  <c r="CG162" i="24" s="1"/>
  <c r="P132" i="24"/>
  <c r="CA132" i="24" s="1"/>
  <c r="CG132" i="24" s="1"/>
  <c r="P125" i="24"/>
  <c r="CA125" i="24" s="1"/>
  <c r="CG125" i="24" s="1"/>
  <c r="P25" i="24"/>
  <c r="CA25" i="24" s="1"/>
  <c r="CG25" i="24" s="1"/>
  <c r="AH100" i="24"/>
  <c r="AG100" i="24"/>
  <c r="P20" i="24"/>
  <c r="CA20" i="24" s="1"/>
  <c r="CG20" i="24" s="1"/>
  <c r="P19" i="24"/>
  <c r="CA19" i="24" s="1"/>
  <c r="CG19" i="24" s="1"/>
  <c r="DL373" i="43"/>
  <c r="GJ379" i="43"/>
  <c r="GJ380" i="43"/>
  <c r="DH372" i="43"/>
  <c r="DH357" i="43"/>
  <c r="DL354" i="43"/>
  <c r="DM354" i="43" s="1"/>
  <c r="GJ351" i="43"/>
  <c r="C345" i="45"/>
  <c r="DH343" i="43"/>
  <c r="DH335" i="43"/>
  <c r="DH354" i="43"/>
  <c r="DL333" i="43"/>
  <c r="DM333" i="43" s="1"/>
  <c r="DH329" i="43"/>
  <c r="AS334" i="43"/>
  <c r="AR334" i="43"/>
  <c r="AP334" i="43"/>
  <c r="C321" i="45"/>
  <c r="C319" i="45"/>
  <c r="C317" i="45"/>
  <c r="C315" i="45"/>
  <c r="C313" i="45"/>
  <c r="C311" i="45"/>
  <c r="C309" i="45"/>
  <c r="GJ341" i="43"/>
  <c r="CE332" i="43"/>
  <c r="DH332" i="43" s="1"/>
  <c r="DH321" i="43"/>
  <c r="DL318" i="43"/>
  <c r="DM318" i="43" s="1"/>
  <c r="DH313" i="43"/>
  <c r="DL310" i="43"/>
  <c r="DM310" i="43" s="1"/>
  <c r="DH308" i="43"/>
  <c r="DH306" i="43"/>
  <c r="AP306" i="43"/>
  <c r="AS306" i="43"/>
  <c r="AR306" i="43"/>
  <c r="CE304" i="43"/>
  <c r="AP298" i="43"/>
  <c r="AS298" i="43"/>
  <c r="AR298" i="43"/>
  <c r="CE291" i="43"/>
  <c r="CE289" i="43"/>
  <c r="CE287" i="43"/>
  <c r="CE285" i="43"/>
  <c r="DL305" i="43"/>
  <c r="DM305" i="43" s="1"/>
  <c r="DH270" i="43"/>
  <c r="AP276" i="43"/>
  <c r="AR276" i="43"/>
  <c r="AS276" i="43"/>
  <c r="CE273" i="43"/>
  <c r="DH273" i="43" s="1"/>
  <c r="CE271" i="43"/>
  <c r="DL271" i="43" s="1"/>
  <c r="DM271" i="43" s="1"/>
  <c r="CE269" i="43"/>
  <c r="DL269" i="43" s="1"/>
  <c r="DM269" i="43" s="1"/>
  <c r="CE265" i="43"/>
  <c r="DL265" i="43" s="1"/>
  <c r="DM265" i="43" s="1"/>
  <c r="CE261" i="43"/>
  <c r="DL261" i="43" s="1"/>
  <c r="DM261" i="43" s="1"/>
  <c r="CE257" i="43"/>
  <c r="DL257" i="43" s="1"/>
  <c r="DM257" i="43" s="1"/>
  <c r="CE253" i="43"/>
  <c r="DL253" i="43" s="1"/>
  <c r="DM253" i="43" s="1"/>
  <c r="CE249" i="43"/>
  <c r="DL249" i="43" s="1"/>
  <c r="DM249" i="43" s="1"/>
  <c r="CE245" i="43"/>
  <c r="DL245" i="43" s="1"/>
  <c r="DM245" i="43" s="1"/>
  <c r="DH238" i="43"/>
  <c r="CE234" i="43"/>
  <c r="DH234" i="43" s="1"/>
  <c r="CE230" i="43"/>
  <c r="CE226" i="43"/>
  <c r="DH226" i="43" s="1"/>
  <c r="CE222" i="43"/>
  <c r="DH222" i="43" s="1"/>
  <c r="DL213" i="43"/>
  <c r="DM213" i="43" s="1"/>
  <c r="AP207" i="43"/>
  <c r="AS207" i="43"/>
  <c r="AR207" i="43"/>
  <c r="CE206" i="43"/>
  <c r="AP193" i="43"/>
  <c r="AS193" i="43"/>
  <c r="AR193" i="43"/>
  <c r="CE217" i="43"/>
  <c r="DH217" i="43" s="1"/>
  <c r="AS216" i="43"/>
  <c r="AR216" i="43"/>
  <c r="AP216" i="43"/>
  <c r="CE214" i="43"/>
  <c r="DH214" i="43" s="1"/>
  <c r="DL209" i="43"/>
  <c r="DM209" i="43" s="1"/>
  <c r="CE208" i="43"/>
  <c r="C193" i="45"/>
  <c r="DH183" i="43"/>
  <c r="DL169" i="43"/>
  <c r="DL168" i="43"/>
  <c r="DH167" i="43"/>
  <c r="DH184" i="43"/>
  <c r="CE172" i="43"/>
  <c r="CE160" i="43"/>
  <c r="DL175" i="43"/>
  <c r="CE158" i="43"/>
  <c r="DH158" i="43" s="1"/>
  <c r="DL133" i="43"/>
  <c r="DL121" i="43"/>
  <c r="DH168" i="43"/>
  <c r="AP152" i="43"/>
  <c r="AS152" i="43"/>
  <c r="AR152" i="43"/>
  <c r="CE142" i="43"/>
  <c r="AP140" i="43"/>
  <c r="AS140" i="43"/>
  <c r="AR140" i="43"/>
  <c r="CE130" i="43"/>
  <c r="AP120" i="43"/>
  <c r="AS120" i="43"/>
  <c r="AR120" i="43"/>
  <c r="AP112" i="43"/>
  <c r="AS112" i="43"/>
  <c r="AR112" i="43"/>
  <c r="DL156" i="43"/>
  <c r="DH119" i="43"/>
  <c r="DH156" i="43"/>
  <c r="DH147" i="43"/>
  <c r="DL101" i="43"/>
  <c r="DL97" i="43"/>
  <c r="DL93" i="43"/>
  <c r="DL89" i="43"/>
  <c r="DL85" i="43"/>
  <c r="DL81" i="43"/>
  <c r="DH154" i="43"/>
  <c r="DH143" i="43"/>
  <c r="CE98" i="43"/>
  <c r="DH98" i="43" s="1"/>
  <c r="CE90" i="43"/>
  <c r="DL90" i="43" s="1"/>
  <c r="CE82" i="43"/>
  <c r="DH82" i="43" s="1"/>
  <c r="DL109" i="43"/>
  <c r="DH81" i="43"/>
  <c r="CE59" i="43"/>
  <c r="DL56" i="43"/>
  <c r="DM56" i="43" s="1"/>
  <c r="CE55" i="43"/>
  <c r="DL60" i="43"/>
  <c r="DH54" i="43"/>
  <c r="C47" i="45"/>
  <c r="DH45" i="43"/>
  <c r="DH37" i="43"/>
  <c r="DH29" i="43"/>
  <c r="DH21" i="43"/>
  <c r="DH13" i="43"/>
  <c r="DH89" i="43"/>
  <c r="CE67" i="43"/>
  <c r="DL62" i="43"/>
  <c r="DH60" i="43"/>
  <c r="CE51" i="43"/>
  <c r="DL46" i="43"/>
  <c r="DM46" i="43" s="1"/>
  <c r="DL38" i="43"/>
  <c r="DM38" i="43" s="1"/>
  <c r="DL26" i="43"/>
  <c r="DM26" i="43" s="1"/>
  <c r="CE78" i="43"/>
  <c r="DH78" i="43" s="1"/>
  <c r="CE57" i="43"/>
  <c r="DL45" i="43"/>
  <c r="DM45" i="43" s="1"/>
  <c r="DL37" i="43"/>
  <c r="DM37" i="43" s="1"/>
  <c r="DL29" i="43"/>
  <c r="DL21" i="43"/>
  <c r="DM21" i="43" s="1"/>
  <c r="DL13" i="43"/>
  <c r="DM13" i="43" s="1"/>
  <c r="DH14" i="43"/>
  <c r="AE367" i="45"/>
  <c r="AE351" i="45"/>
  <c r="AE335" i="45"/>
  <c r="AE319" i="45"/>
  <c r="AE279" i="45"/>
  <c r="AE263" i="45"/>
  <c r="AE247" i="45"/>
  <c r="AE231" i="45"/>
  <c r="AE75" i="45"/>
  <c r="AO383" i="45"/>
  <c r="AE383" i="45"/>
  <c r="AE234" i="45"/>
  <c r="AE242" i="45"/>
  <c r="AE250" i="45"/>
  <c r="AE258" i="45"/>
  <c r="AE266" i="45"/>
  <c r="AE274" i="45"/>
  <c r="AE282" i="45"/>
  <c r="AE290" i="45"/>
  <c r="AE306" i="45"/>
  <c r="AE314" i="45"/>
  <c r="AE322" i="45"/>
  <c r="AE330" i="45"/>
  <c r="AE338" i="45"/>
  <c r="AE346" i="45"/>
  <c r="AE354" i="45"/>
  <c r="AE362" i="45"/>
  <c r="AE370" i="45"/>
  <c r="AO378" i="45"/>
  <c r="AE378" i="45"/>
  <c r="AE232" i="45"/>
  <c r="AE240" i="45"/>
  <c r="AE248" i="45"/>
  <c r="AE256" i="45"/>
  <c r="AE264" i="45"/>
  <c r="AE272" i="45"/>
  <c r="AE280" i="45"/>
  <c r="AE288" i="45"/>
  <c r="AE304" i="45"/>
  <c r="AE312" i="45"/>
  <c r="AE320" i="45"/>
  <c r="AE328" i="45"/>
  <c r="AE336" i="45"/>
  <c r="AE344" i="45"/>
  <c r="AE352" i="45"/>
  <c r="AE360" i="45"/>
  <c r="AE368" i="45"/>
  <c r="AO376" i="45"/>
  <c r="AE376" i="45"/>
  <c r="AE384" i="45"/>
  <c r="AE51" i="45"/>
  <c r="AE55" i="45"/>
  <c r="AE59" i="45"/>
  <c r="AE63" i="45"/>
  <c r="AE67" i="45"/>
  <c r="AE141" i="45"/>
  <c r="AE168" i="45"/>
  <c r="AE233" i="45"/>
  <c r="AE241" i="45"/>
  <c r="AE249" i="45"/>
  <c r="AE257" i="45"/>
  <c r="AE265" i="45"/>
  <c r="AE273" i="45"/>
  <c r="AE281" i="45"/>
  <c r="AE289" i="45"/>
  <c r="AE305" i="45"/>
  <c r="AE313" i="45"/>
  <c r="AE321" i="45"/>
  <c r="AE329" i="45"/>
  <c r="AE337" i="45"/>
  <c r="AE345" i="45"/>
  <c r="AE353" i="45"/>
  <c r="AE361" i="45"/>
  <c r="AE369" i="45"/>
  <c r="AO377" i="45"/>
  <c r="AE377" i="45"/>
  <c r="AE81" i="45"/>
  <c r="AE11" i="45"/>
  <c r="DL50" i="43"/>
  <c r="DM50" i="43" s="1"/>
  <c r="AE311" i="45"/>
  <c r="AE162" i="45"/>
  <c r="AE155" i="45"/>
  <c r="AE147" i="45"/>
  <c r="AE139" i="45"/>
  <c r="AE131" i="45"/>
  <c r="AE123" i="45"/>
  <c r="AE115" i="45"/>
  <c r="AE107" i="45"/>
  <c r="AE99" i="45"/>
  <c r="AE91" i="45"/>
  <c r="DH26" i="43"/>
  <c r="AB389" i="45"/>
  <c r="AA389" i="45" s="1"/>
  <c r="AE315" i="45"/>
  <c r="AE222" i="45"/>
  <c r="AE214" i="45"/>
  <c r="AE203" i="45"/>
  <c r="AE159" i="45"/>
  <c r="AE39" i="45"/>
  <c r="AE27" i="45"/>
  <c r="P365" i="24"/>
  <c r="CA365" i="24" s="1"/>
  <c r="CG365" i="24" s="1"/>
  <c r="P340" i="24"/>
  <c r="CA340" i="24" s="1"/>
  <c r="CG340" i="24" s="1"/>
  <c r="P310" i="24"/>
  <c r="CA310" i="24" s="1"/>
  <c r="CG310" i="24" s="1"/>
  <c r="P300" i="24"/>
  <c r="CA300" i="24" s="1"/>
  <c r="CG300" i="24" s="1"/>
  <c r="AH333" i="24"/>
  <c r="AG333" i="24"/>
  <c r="AH313" i="24"/>
  <c r="AG313" i="24"/>
  <c r="P291" i="24"/>
  <c r="CA291" i="24" s="1"/>
  <c r="CG291" i="24" s="1"/>
  <c r="P298" i="24"/>
  <c r="CA298" i="24" s="1"/>
  <c r="CG298" i="24" s="1"/>
  <c r="AH280" i="24"/>
  <c r="AG280" i="24"/>
  <c r="P273" i="24"/>
  <c r="CA273" i="24" s="1"/>
  <c r="CG273" i="24" s="1"/>
  <c r="P218" i="24"/>
  <c r="CA218" i="24" s="1"/>
  <c r="CG218" i="24" s="1"/>
  <c r="P202" i="24"/>
  <c r="CA202" i="24" s="1"/>
  <c r="CG202" i="24" s="1"/>
  <c r="P229" i="24"/>
  <c r="CA229" i="24" s="1"/>
  <c r="CG229" i="24" s="1"/>
  <c r="P201" i="24"/>
  <c r="CA201" i="24" s="1"/>
  <c r="CG201" i="24" s="1"/>
  <c r="AH232" i="24"/>
  <c r="AG232" i="24"/>
  <c r="P224" i="24"/>
  <c r="CA224" i="24" s="1"/>
  <c r="CG224" i="24" s="1"/>
  <c r="P231" i="24"/>
  <c r="CA231" i="24" s="1"/>
  <c r="CG231" i="24" s="1"/>
  <c r="P215" i="24"/>
  <c r="CA215" i="24" s="1"/>
  <c r="CG215" i="24" s="1"/>
  <c r="P199" i="24"/>
  <c r="CA199" i="24" s="1"/>
  <c r="CG199" i="24" s="1"/>
  <c r="P161" i="24"/>
  <c r="CA161" i="24" s="1"/>
  <c r="CG161" i="24" s="1"/>
  <c r="P171" i="24"/>
  <c r="CA171" i="24" s="1"/>
  <c r="CG171" i="24" s="1"/>
  <c r="P156" i="24"/>
  <c r="CA156" i="24" s="1"/>
  <c r="CG156" i="24" s="1"/>
  <c r="P159" i="24"/>
  <c r="CA159" i="24" s="1"/>
  <c r="CG159" i="24" s="1"/>
  <c r="P120" i="24"/>
  <c r="CA120" i="24" s="1"/>
  <c r="CG120" i="24" s="1"/>
  <c r="P119" i="24"/>
  <c r="CA119" i="24" s="1"/>
  <c r="CG119" i="24" s="1"/>
  <c r="P122" i="24"/>
  <c r="CA122" i="24" s="1"/>
  <c r="CG122" i="24" s="1"/>
  <c r="P42" i="24"/>
  <c r="CA42" i="24" s="1"/>
  <c r="CG42" i="24" s="1"/>
  <c r="AH96" i="24"/>
  <c r="AG96" i="24"/>
  <c r="P36" i="24"/>
  <c r="CA36" i="24" s="1"/>
  <c r="CG36" i="24" s="1"/>
  <c r="P35" i="24"/>
  <c r="CA35" i="24" s="1"/>
  <c r="CG35" i="24" s="1"/>
  <c r="P43" i="24"/>
  <c r="CA43" i="24" s="1"/>
  <c r="CG43" i="24" s="1"/>
  <c r="P26" i="24"/>
  <c r="CA26" i="24" s="1"/>
  <c r="CG26" i="24" s="1"/>
  <c r="DL381" i="43"/>
  <c r="DH376" i="43"/>
  <c r="DH366" i="43"/>
  <c r="DH381" i="43"/>
  <c r="P361" i="24"/>
  <c r="CA361" i="24" s="1"/>
  <c r="CG361" i="24" s="1"/>
  <c r="P367" i="24"/>
  <c r="CA367" i="24" s="1"/>
  <c r="CG367" i="24" s="1"/>
  <c r="P366" i="24"/>
  <c r="CA366" i="24" s="1"/>
  <c r="CG366" i="24" s="1"/>
  <c r="P345" i="24"/>
  <c r="CA345" i="24" s="1"/>
  <c r="CG345" i="24" s="1"/>
  <c r="P342" i="24"/>
  <c r="CA342" i="24" s="1"/>
  <c r="CG342" i="24" s="1"/>
  <c r="P309" i="24"/>
  <c r="CA309" i="24" s="1"/>
  <c r="CG309" i="24" s="1"/>
  <c r="P293" i="24"/>
  <c r="CA293" i="24" s="1"/>
  <c r="CG293" i="24" s="1"/>
  <c r="P296" i="24"/>
  <c r="CA296" i="24" s="1"/>
  <c r="CG296" i="24" s="1"/>
  <c r="P303" i="24"/>
  <c r="CA303" i="24" s="1"/>
  <c r="CG303" i="24" s="1"/>
  <c r="P287" i="24"/>
  <c r="CA287" i="24" s="1"/>
  <c r="CG287" i="24" s="1"/>
  <c r="P294" i="24"/>
  <c r="CA294" i="24" s="1"/>
  <c r="CG294" i="24" s="1"/>
  <c r="P278" i="24"/>
  <c r="CA278" i="24" s="1"/>
  <c r="CG278" i="24" s="1"/>
  <c r="P271" i="24"/>
  <c r="CA271" i="24" s="1"/>
  <c r="CG271" i="24" s="1"/>
  <c r="P274" i="24"/>
  <c r="CA274" i="24" s="1"/>
  <c r="CG274" i="24" s="1"/>
  <c r="P269" i="24"/>
  <c r="CA269" i="24" s="1"/>
  <c r="CG269" i="24" s="1"/>
  <c r="P214" i="24"/>
  <c r="CA214" i="24" s="1"/>
  <c r="CG214" i="24" s="1"/>
  <c r="P198" i="24"/>
  <c r="CA198" i="24" s="1"/>
  <c r="CG198" i="24" s="1"/>
  <c r="P213" i="24"/>
  <c r="CA213" i="24" s="1"/>
  <c r="CG213" i="24" s="1"/>
  <c r="P197" i="24"/>
  <c r="CA197" i="24" s="1"/>
  <c r="CG197" i="24" s="1"/>
  <c r="P220" i="24"/>
  <c r="CA220" i="24" s="1"/>
  <c r="CG220" i="24" s="1"/>
  <c r="P204" i="24"/>
  <c r="CA204" i="24" s="1"/>
  <c r="CG204" i="24" s="1"/>
  <c r="P227" i="24"/>
  <c r="CA227" i="24" s="1"/>
  <c r="CG227" i="24" s="1"/>
  <c r="P211" i="24"/>
  <c r="CA211" i="24" s="1"/>
  <c r="CG211" i="24" s="1"/>
  <c r="P195" i="24"/>
  <c r="CA195" i="24" s="1"/>
  <c r="CG195" i="24" s="1"/>
  <c r="AG192" i="24"/>
  <c r="AH192" i="24"/>
  <c r="P157" i="24"/>
  <c r="CA157" i="24" s="1"/>
  <c r="CG157" i="24" s="1"/>
  <c r="P174" i="24"/>
  <c r="CA174" i="24" s="1"/>
  <c r="CG174" i="24" s="1"/>
  <c r="P168" i="24"/>
  <c r="CA168" i="24" s="1"/>
  <c r="CG168" i="24" s="1"/>
  <c r="P170" i="24"/>
  <c r="CA170" i="24" s="1"/>
  <c r="CG170" i="24" s="1"/>
  <c r="P155" i="24"/>
  <c r="CA155" i="24" s="1"/>
  <c r="CG155" i="24" s="1"/>
  <c r="P158" i="24"/>
  <c r="CA158" i="24" s="1"/>
  <c r="CG158" i="24" s="1"/>
  <c r="P116" i="24"/>
  <c r="CA116" i="24" s="1"/>
  <c r="CG116" i="24" s="1"/>
  <c r="P131" i="24"/>
  <c r="CA131" i="24" s="1"/>
  <c r="CG131" i="24" s="1"/>
  <c r="P115" i="24"/>
  <c r="CA115" i="24" s="1"/>
  <c r="CG115" i="24" s="1"/>
  <c r="P118" i="24"/>
  <c r="CA118" i="24" s="1"/>
  <c r="CG118" i="24" s="1"/>
  <c r="P121" i="24"/>
  <c r="CA121" i="24" s="1"/>
  <c r="CG121" i="24" s="1"/>
  <c r="AH90" i="24"/>
  <c r="AG90" i="24"/>
  <c r="AH78" i="24"/>
  <c r="AG78" i="24"/>
  <c r="AH76" i="24"/>
  <c r="AG76" i="24"/>
  <c r="AH64" i="24"/>
  <c r="AG64" i="24"/>
  <c r="AH58" i="24"/>
  <c r="AG58" i="24"/>
  <c r="P37" i="24"/>
  <c r="CA37" i="24" s="1"/>
  <c r="CG37" i="24" s="1"/>
  <c r="P21" i="24"/>
  <c r="CA21" i="24" s="1"/>
  <c r="CG21" i="24" s="1"/>
  <c r="P32" i="24"/>
  <c r="CA32" i="24" s="1"/>
  <c r="CG32" i="24" s="1"/>
  <c r="P16" i="24"/>
  <c r="CA16" i="24" s="1"/>
  <c r="CG16" i="24" s="1"/>
  <c r="P44" i="24"/>
  <c r="CA44" i="24" s="1"/>
  <c r="CG44" i="24" s="1"/>
  <c r="P31" i="24"/>
  <c r="CA31" i="24" s="1"/>
  <c r="CG31" i="24" s="1"/>
  <c r="P15" i="24"/>
  <c r="CA15" i="24" s="1"/>
  <c r="CG15" i="24" s="1"/>
  <c r="C378" i="45"/>
  <c r="P38" i="24"/>
  <c r="CA38" i="24" s="1"/>
  <c r="CG38" i="24" s="1"/>
  <c r="P22" i="24"/>
  <c r="CA22" i="24" s="1"/>
  <c r="CG22" i="24" s="1"/>
  <c r="DH379" i="43"/>
  <c r="DL375" i="43"/>
  <c r="DH375" i="43"/>
  <c r="DL378" i="43"/>
  <c r="C370" i="45"/>
  <c r="DH368" i="43"/>
  <c r="CE371" i="43"/>
  <c r="DL371" i="43" s="1"/>
  <c r="DM371" i="43" s="1"/>
  <c r="CE369" i="43"/>
  <c r="DL369" i="43" s="1"/>
  <c r="DM369" i="43" s="1"/>
  <c r="CE367" i="43"/>
  <c r="CE365" i="43"/>
  <c r="DH365" i="43" s="1"/>
  <c r="GJ366" i="43"/>
  <c r="DH363" i="43"/>
  <c r="AS363" i="43"/>
  <c r="AP363" i="43"/>
  <c r="AR363" i="43"/>
  <c r="DH359" i="43"/>
  <c r="DL356" i="43"/>
  <c r="DM356" i="43" s="1"/>
  <c r="GJ371" i="43"/>
  <c r="CE361" i="43"/>
  <c r="DH361" i="43" s="1"/>
  <c r="GJ357" i="43"/>
  <c r="GJ349" i="43"/>
  <c r="DH345" i="43"/>
  <c r="DH337" i="43"/>
  <c r="GJ360" i="43"/>
  <c r="DH356" i="43"/>
  <c r="DL347" i="43"/>
  <c r="DM347" i="43" s="1"/>
  <c r="DL345" i="43"/>
  <c r="DM345" i="43" s="1"/>
  <c r="DL343" i="43"/>
  <c r="DM343" i="43" s="1"/>
  <c r="DL341" i="43"/>
  <c r="DM341" i="43" s="1"/>
  <c r="DL339" i="43"/>
  <c r="DM339" i="43" s="1"/>
  <c r="DL337" i="43"/>
  <c r="DM337" i="43" s="1"/>
  <c r="DL335" i="43"/>
  <c r="DM335" i="43" s="1"/>
  <c r="CE330" i="43"/>
  <c r="GJ343" i="43"/>
  <c r="AS332" i="43"/>
  <c r="AR332" i="43"/>
  <c r="AP332" i="43"/>
  <c r="DH323" i="43"/>
  <c r="DL320" i="43"/>
  <c r="DM320" i="43" s="1"/>
  <c r="DH315" i="43"/>
  <c r="DL312" i="43"/>
  <c r="DH320" i="43"/>
  <c r="DL313" i="43"/>
  <c r="DM313" i="43" s="1"/>
  <c r="DL327" i="43"/>
  <c r="DM327" i="43" s="1"/>
  <c r="DH327" i="43"/>
  <c r="DL323" i="43"/>
  <c r="DM323" i="43" s="1"/>
  <c r="DH314" i="43"/>
  <c r="DL325" i="43"/>
  <c r="DM325" i="43" s="1"/>
  <c r="CE303" i="43"/>
  <c r="AP300" i="43"/>
  <c r="AS300" i="43"/>
  <c r="AR300" i="43"/>
  <c r="CE295" i="43"/>
  <c r="CE293" i="43"/>
  <c r="AP284" i="43"/>
  <c r="AS284" i="43"/>
  <c r="AR284" i="43"/>
  <c r="AP282" i="43"/>
  <c r="AS282" i="43"/>
  <c r="AR282" i="43"/>
  <c r="AP280" i="43"/>
  <c r="AR280" i="43"/>
  <c r="AS280" i="43"/>
  <c r="DL300" i="43"/>
  <c r="DH300" i="43"/>
  <c r="DH272" i="43"/>
  <c r="CE276" i="43"/>
  <c r="CE266" i="43"/>
  <c r="CE262" i="43"/>
  <c r="CE258" i="43"/>
  <c r="CE254" i="43"/>
  <c r="CE250" i="43"/>
  <c r="CE246" i="43"/>
  <c r="CE242" i="43"/>
  <c r="AS241" i="43"/>
  <c r="AP241" i="43"/>
  <c r="AR241" i="43"/>
  <c r="AS237" i="43"/>
  <c r="AP237" i="43"/>
  <c r="AR237" i="43"/>
  <c r="DH240" i="43"/>
  <c r="DL238" i="43"/>
  <c r="DM238" i="43" s="1"/>
  <c r="DL274" i="43"/>
  <c r="DM274" i="43" s="1"/>
  <c r="CE235" i="43"/>
  <c r="CE231" i="43"/>
  <c r="CE227" i="43"/>
  <c r="CE223" i="43"/>
  <c r="CE219" i="43"/>
  <c r="AP203" i="43"/>
  <c r="AS203" i="43"/>
  <c r="AR203" i="43"/>
  <c r="DH201" i="43"/>
  <c r="CE218" i="43"/>
  <c r="DH218" i="43" s="1"/>
  <c r="AS217" i="43"/>
  <c r="AR217" i="43"/>
  <c r="AP217" i="43"/>
  <c r="CE212" i="43"/>
  <c r="DL212" i="43" s="1"/>
  <c r="DM212" i="43" s="1"/>
  <c r="CE199" i="43"/>
  <c r="DL204" i="43"/>
  <c r="DM204" i="43" s="1"/>
  <c r="DL194" i="43"/>
  <c r="DM194" i="43" s="1"/>
  <c r="DH191" i="43"/>
  <c r="DH187" i="43"/>
  <c r="DL181" i="43"/>
  <c r="DM181" i="43" s="1"/>
  <c r="DH175" i="43"/>
  <c r="DH211" i="43"/>
  <c r="DH203" i="43"/>
  <c r="DL201" i="43"/>
  <c r="DM201" i="43" s="1"/>
  <c r="DH198" i="43"/>
  <c r="CE193" i="43"/>
  <c r="DH188" i="43"/>
  <c r="DH176" i="43"/>
  <c r="CE162" i="43"/>
  <c r="DL161" i="43"/>
  <c r="DH161" i="43"/>
  <c r="DL159" i="43"/>
  <c r="DH194" i="43"/>
  <c r="DL184" i="43"/>
  <c r="DM184" i="43" s="1"/>
  <c r="DL192" i="43"/>
  <c r="DM192" i="43" s="1"/>
  <c r="DH177" i="43"/>
  <c r="DH169" i="43"/>
  <c r="AP154" i="43"/>
  <c r="AS154" i="43"/>
  <c r="AR154" i="43"/>
  <c r="CE146" i="43"/>
  <c r="AP144" i="43"/>
  <c r="AS144" i="43"/>
  <c r="AR144" i="43"/>
  <c r="AP132" i="43"/>
  <c r="AS132" i="43"/>
  <c r="AR132" i="43"/>
  <c r="CE122" i="43"/>
  <c r="CE114" i="43"/>
  <c r="DH149" i="43"/>
  <c r="DH145" i="43"/>
  <c r="DH141" i="43"/>
  <c r="DH137" i="43"/>
  <c r="DH133" i="43"/>
  <c r="DH129" i="43"/>
  <c r="DH125" i="43"/>
  <c r="DH121" i="43"/>
  <c r="DH117" i="43"/>
  <c r="DH113" i="43"/>
  <c r="DH144" i="43"/>
  <c r="DL141" i="43"/>
  <c r="DL140" i="43"/>
  <c r="DH123" i="43"/>
  <c r="DH112" i="43"/>
  <c r="AS108" i="43"/>
  <c r="AR108" i="43"/>
  <c r="AP108" i="43"/>
  <c r="DH151" i="43"/>
  <c r="DH140" i="43"/>
  <c r="DL137" i="43"/>
  <c r="DL136" i="43"/>
  <c r="DH131" i="43"/>
  <c r="DH120" i="43"/>
  <c r="AS73" i="43"/>
  <c r="AR73" i="43"/>
  <c r="AP73" i="43"/>
  <c r="AS65" i="43"/>
  <c r="AR65" i="43"/>
  <c r="AP65" i="43"/>
  <c r="DH127" i="43"/>
  <c r="DH116" i="43"/>
  <c r="DL103" i="43"/>
  <c r="DH97" i="43"/>
  <c r="CE79" i="43"/>
  <c r="DL70" i="43"/>
  <c r="DH68" i="43"/>
  <c r="AS59" i="43"/>
  <c r="AP59" i="43"/>
  <c r="AR59" i="43"/>
  <c r="AS55" i="43"/>
  <c r="AR55" i="43"/>
  <c r="AP55" i="43"/>
  <c r="J74" i="34"/>
  <c r="J70" i="34"/>
  <c r="J65" i="34"/>
  <c r="J60" i="34"/>
  <c r="J54" i="34"/>
  <c r="J49" i="34"/>
  <c r="J44" i="34"/>
  <c r="J40" i="34"/>
  <c r="J35" i="34"/>
  <c r="J31" i="34"/>
  <c r="J27" i="34"/>
  <c r="J23" i="34"/>
  <c r="J13" i="34"/>
  <c r="J73" i="34"/>
  <c r="J69" i="34"/>
  <c r="J64" i="34"/>
  <c r="J58" i="34"/>
  <c r="J53" i="34"/>
  <c r="J48" i="34"/>
  <c r="J43" i="34"/>
  <c r="J38" i="34"/>
  <c r="J34" i="34"/>
  <c r="J30" i="34"/>
  <c r="J26" i="34"/>
  <c r="J12" i="34"/>
  <c r="I7" i="34"/>
  <c r="I29" i="34" s="1"/>
  <c r="J6" i="34"/>
  <c r="J71" i="34"/>
  <c r="J66" i="34"/>
  <c r="J61" i="34"/>
  <c r="J56" i="34"/>
  <c r="J51" i="34"/>
  <c r="J45" i="34"/>
  <c r="J41" i="34"/>
  <c r="J36" i="34"/>
  <c r="J32" i="34"/>
  <c r="J28" i="34"/>
  <c r="J24" i="34"/>
  <c r="J19" i="34"/>
  <c r="J14" i="34"/>
  <c r="J10" i="34"/>
  <c r="J57" i="34"/>
  <c r="J37" i="34"/>
  <c r="J72" i="34"/>
  <c r="J52" i="34"/>
  <c r="J33" i="34"/>
  <c r="J15" i="34"/>
  <c r="J68" i="34"/>
  <c r="J46" i="34"/>
  <c r="J11" i="34"/>
  <c r="J63" i="34"/>
  <c r="J42" i="34"/>
  <c r="J25" i="34"/>
  <c r="CE71" i="43"/>
  <c r="DL66" i="43"/>
  <c r="DH100" i="43"/>
  <c r="DL92" i="43"/>
  <c r="DL83" i="43"/>
  <c r="DL72" i="43"/>
  <c r="AS67" i="43"/>
  <c r="AP67" i="43"/>
  <c r="AR67" i="43"/>
  <c r="AS51" i="43"/>
  <c r="AR51" i="43"/>
  <c r="AP51" i="43"/>
  <c r="DH48" i="43"/>
  <c r="DH40" i="43"/>
  <c r="DH28" i="43"/>
  <c r="DH20" i="43"/>
  <c r="DH12" i="43"/>
  <c r="DL68" i="43"/>
  <c r="CE43" i="43"/>
  <c r="CE35" i="43"/>
  <c r="DL35" i="43" s="1"/>
  <c r="DM35" i="43" s="1"/>
  <c r="CE27" i="43"/>
  <c r="DL27" i="43" s="1"/>
  <c r="DM27" i="43" s="1"/>
  <c r="CE19" i="43"/>
  <c r="DL19" i="43" s="1"/>
  <c r="DM19" i="43" s="1"/>
  <c r="DH42" i="43"/>
  <c r="AE363" i="45"/>
  <c r="AE347" i="45"/>
  <c r="AE331" i="45"/>
  <c r="AE291" i="45"/>
  <c r="AE275" i="45"/>
  <c r="AE259" i="45"/>
  <c r="AE243" i="45"/>
  <c r="AE227" i="45"/>
  <c r="AE181" i="45"/>
  <c r="AE177" i="45"/>
  <c r="AE87" i="45"/>
  <c r="AE73" i="45"/>
  <c r="DL76" i="43"/>
  <c r="DL54" i="43"/>
  <c r="DM54" i="43" s="1"/>
  <c r="DL44" i="43"/>
  <c r="DM44" i="43" s="1"/>
  <c r="DL16" i="43"/>
  <c r="DM16" i="43" s="1"/>
  <c r="AE307" i="45"/>
  <c r="AE165" i="45"/>
  <c r="AE157" i="45"/>
  <c r="W387" i="45"/>
  <c r="Z387" i="45" s="1"/>
  <c r="AE185" i="45"/>
  <c r="AE193" i="45"/>
  <c r="AE201" i="45"/>
  <c r="AE77" i="45"/>
  <c r="DL20" i="43"/>
  <c r="DM20" i="43" s="1"/>
  <c r="AE206" i="45"/>
  <c r="AE195" i="45"/>
  <c r="AE187" i="45"/>
  <c r="AE170" i="45"/>
  <c r="AE153" i="45"/>
  <c r="AE137" i="45"/>
  <c r="AE129" i="45"/>
  <c r="AE121" i="45"/>
  <c r="AE113" i="45"/>
  <c r="AE105" i="45"/>
  <c r="AE97" i="45"/>
  <c r="AE89" i="45"/>
  <c r="DL74" i="43"/>
  <c r="DH62" i="43"/>
  <c r="AE220" i="45"/>
  <c r="AE212" i="45"/>
  <c r="AE15" i="45"/>
  <c r="AE31" i="45"/>
  <c r="AE60" i="45"/>
  <c r="AE64" i="45"/>
  <c r="AE19" i="45"/>
  <c r="FF381" i="43" l="1"/>
  <c r="T378" i="45"/>
  <c r="W378" i="45" s="1"/>
  <c r="Y378" i="45" s="1"/>
  <c r="K381" i="43"/>
  <c r="AI378" i="45" s="1"/>
  <c r="K380" i="43"/>
  <c r="AI377" i="45" s="1"/>
  <c r="K379" i="43"/>
  <c r="AI376" i="45" s="1"/>
  <c r="H378" i="43"/>
  <c r="K378" i="43" s="1"/>
  <c r="AI375" i="45" s="1"/>
  <c r="AG374" i="45"/>
  <c r="M377" i="43"/>
  <c r="H377" i="43"/>
  <c r="K377" i="43" s="1"/>
  <c r="AI374" i="45" s="1"/>
  <c r="K376" i="43"/>
  <c r="AI373" i="45" s="1"/>
  <c r="H375" i="43"/>
  <c r="K375" i="43" s="1"/>
  <c r="AI372" i="45" s="1"/>
  <c r="AG372" i="45"/>
  <c r="FZ375" i="43"/>
  <c r="HQ375" i="43"/>
  <c r="HR375" i="43" s="1"/>
  <c r="HS375" i="43" s="1"/>
  <c r="H374" i="43"/>
  <c r="K374" i="43" s="1"/>
  <c r="AI371" i="45" s="1"/>
  <c r="HQ373" i="43"/>
  <c r="HR373" i="43" s="1"/>
  <c r="HS373" i="43" s="1"/>
  <c r="AG370" i="45"/>
  <c r="AG369" i="45"/>
  <c r="M372" i="43"/>
  <c r="HQ372" i="43"/>
  <c r="HR372" i="43" s="1"/>
  <c r="HS372" i="43" s="1"/>
  <c r="H372" i="43"/>
  <c r="K373" i="43"/>
  <c r="AI370" i="45" s="1"/>
  <c r="M369" i="43"/>
  <c r="K369" i="43" s="1"/>
  <c r="AI366" i="45" s="1"/>
  <c r="AG366" i="45"/>
  <c r="H368" i="43"/>
  <c r="K368" i="43" s="1"/>
  <c r="AI365" i="45" s="1"/>
  <c r="FZ369" i="43"/>
  <c r="AG367" i="45"/>
  <c r="HQ370" i="43"/>
  <c r="HR370" i="43" s="1"/>
  <c r="HS370" i="43" s="1"/>
  <c r="M370" i="43"/>
  <c r="H370" i="43"/>
  <c r="AG363" i="45"/>
  <c r="M366" i="43"/>
  <c r="H367" i="43"/>
  <c r="K367" i="43" s="1"/>
  <c r="AI364" i="45" s="1"/>
  <c r="H366" i="43"/>
  <c r="K366" i="43" s="1"/>
  <c r="AI363" i="45" s="1"/>
  <c r="HQ365" i="43"/>
  <c r="HR365" i="43" s="1"/>
  <c r="HS365" i="43" s="1"/>
  <c r="FZ365" i="43"/>
  <c r="K365" i="43"/>
  <c r="AI362" i="45" s="1"/>
  <c r="AG360" i="45"/>
  <c r="H364" i="43"/>
  <c r="K364" i="43" s="1"/>
  <c r="AI361" i="45" s="1"/>
  <c r="M361" i="43"/>
  <c r="HQ364" i="43"/>
  <c r="HR364" i="43" s="1"/>
  <c r="HS364" i="43" s="1"/>
  <c r="M364" i="43"/>
  <c r="AG361" i="45"/>
  <c r="H363" i="43"/>
  <c r="K363" i="43" s="1"/>
  <c r="AI360" i="45" s="1"/>
  <c r="FZ362" i="43"/>
  <c r="H362" i="43"/>
  <c r="K362" i="43" s="1"/>
  <c r="AI359" i="45" s="1"/>
  <c r="M362" i="43"/>
  <c r="HQ362" i="43"/>
  <c r="HR362" i="43" s="1"/>
  <c r="HS362" i="43" s="1"/>
  <c r="H361" i="43"/>
  <c r="K361" i="43" s="1"/>
  <c r="AI358" i="45" s="1"/>
  <c r="HQ359" i="43"/>
  <c r="HR359" i="43" s="1"/>
  <c r="HS359" i="43" s="1"/>
  <c r="AG356" i="45"/>
  <c r="H359" i="43"/>
  <c r="K359" i="43" s="1"/>
  <c r="AI356" i="45" s="1"/>
  <c r="M359" i="43"/>
  <c r="M358" i="43"/>
  <c r="HQ358" i="43"/>
  <c r="HR358" i="43" s="1"/>
  <c r="HS358" i="43" s="1"/>
  <c r="AG355" i="45"/>
  <c r="H357" i="43"/>
  <c r="K357" i="43" s="1"/>
  <c r="AI354" i="45" s="1"/>
  <c r="FZ357" i="43"/>
  <c r="AG354" i="45"/>
  <c r="H358" i="43"/>
  <c r="K358" i="43" s="1"/>
  <c r="AI355" i="45" s="1"/>
  <c r="M356" i="43"/>
  <c r="HQ356" i="43"/>
  <c r="HR356" i="43" s="1"/>
  <c r="HS356" i="43" s="1"/>
  <c r="H356" i="43"/>
  <c r="M353" i="43"/>
  <c r="FZ353" i="43"/>
  <c r="AG350" i="45"/>
  <c r="H353" i="43"/>
  <c r="K353" i="43" s="1"/>
  <c r="AI350" i="45" s="1"/>
  <c r="H354" i="43"/>
  <c r="K354" i="43" s="1"/>
  <c r="AI351" i="45" s="1"/>
  <c r="AG352" i="45"/>
  <c r="M355" i="43"/>
  <c r="K355" i="43" s="1"/>
  <c r="AI352" i="45" s="1"/>
  <c r="H355" i="43"/>
  <c r="HQ347" i="43"/>
  <c r="HR347" i="43" s="1"/>
  <c r="HS347" i="43" s="1"/>
  <c r="K352" i="43"/>
  <c r="AI349" i="45" s="1"/>
  <c r="H351" i="43"/>
  <c r="K351" i="43" s="1"/>
  <c r="AI348" i="45" s="1"/>
  <c r="H350" i="43"/>
  <c r="K350" i="43" s="1"/>
  <c r="AI347" i="45" s="1"/>
  <c r="AG347" i="45"/>
  <c r="HQ350" i="43"/>
  <c r="HR350" i="43" s="1"/>
  <c r="HS350" i="43" s="1"/>
  <c r="FZ349" i="43"/>
  <c r="H349" i="43"/>
  <c r="K349" i="43" s="1"/>
  <c r="AI346" i="45" s="1"/>
  <c r="AG345" i="45"/>
  <c r="FZ348" i="43"/>
  <c r="HQ348" i="43"/>
  <c r="HR348" i="43" s="1"/>
  <c r="HS348" i="43" s="1"/>
  <c r="H348" i="43"/>
  <c r="K348" i="43" s="1"/>
  <c r="AI345" i="45" s="1"/>
  <c r="FZ347" i="43"/>
  <c r="M347" i="43"/>
  <c r="K347" i="43"/>
  <c r="AI344" i="45" s="1"/>
  <c r="FZ345" i="43"/>
  <c r="H346" i="43"/>
  <c r="K346" i="43" s="1"/>
  <c r="AI343" i="45" s="1"/>
  <c r="M345" i="43"/>
  <c r="K345" i="43" s="1"/>
  <c r="AI342" i="45" s="1"/>
  <c r="FZ344" i="43"/>
  <c r="AG341" i="45"/>
  <c r="H344" i="43"/>
  <c r="M344" i="43"/>
  <c r="AG340" i="45"/>
  <c r="HQ343" i="43"/>
  <c r="HR343" i="43" s="1"/>
  <c r="HS343" i="43" s="1"/>
  <c r="K344" i="43"/>
  <c r="AI341" i="45" s="1"/>
  <c r="FZ343" i="43"/>
  <c r="AG339" i="45"/>
  <c r="H343" i="43"/>
  <c r="K343" i="43" s="1"/>
  <c r="AI340" i="45" s="1"/>
  <c r="FZ342" i="43"/>
  <c r="HQ341" i="43"/>
  <c r="HR341" i="43" s="1"/>
  <c r="HS341" i="43" s="1"/>
  <c r="H342" i="43"/>
  <c r="K342" i="43" s="1"/>
  <c r="AI339" i="45" s="1"/>
  <c r="K341" i="43"/>
  <c r="AI338" i="45" s="1"/>
  <c r="K9" i="35"/>
  <c r="H341" i="43"/>
  <c r="AG337" i="45"/>
  <c r="K339" i="43"/>
  <c r="AI336" i="45" s="1"/>
  <c r="H340" i="43"/>
  <c r="K340" i="43" s="1"/>
  <c r="AI337" i="45" s="1"/>
  <c r="FZ339" i="43"/>
  <c r="HQ339" i="43"/>
  <c r="HR339" i="43" s="1"/>
  <c r="HS339" i="43" s="1"/>
  <c r="AG335" i="45"/>
  <c r="AG336" i="45"/>
  <c r="M338" i="43"/>
  <c r="H338" i="43"/>
  <c r="H337" i="43"/>
  <c r="K337" i="43" s="1"/>
  <c r="AI334" i="45" s="1"/>
  <c r="FZ335" i="43"/>
  <c r="H336" i="43"/>
  <c r="K336" i="43" s="1"/>
  <c r="AI333" i="45" s="1"/>
  <c r="AG332" i="45"/>
  <c r="H335" i="43"/>
  <c r="K335" i="43" s="1"/>
  <c r="AI332" i="45" s="1"/>
  <c r="AG331" i="45"/>
  <c r="M334" i="43"/>
  <c r="K334" i="43"/>
  <c r="AI331" i="45" s="1"/>
  <c r="H334" i="43"/>
  <c r="AG330" i="45"/>
  <c r="K332" i="43"/>
  <c r="AI329" i="45" s="1"/>
  <c r="FZ331" i="43"/>
  <c r="AG328" i="45"/>
  <c r="AG329" i="45"/>
  <c r="HQ332" i="43"/>
  <c r="HR332" i="43" s="1"/>
  <c r="HS332" i="43" s="1"/>
  <c r="H330" i="43"/>
  <c r="K330" i="43" s="1"/>
  <c r="AI327" i="45" s="1"/>
  <c r="K331" i="43"/>
  <c r="AI328" i="45" s="1"/>
  <c r="M329" i="43"/>
  <c r="H329" i="43"/>
  <c r="CO322" i="43"/>
  <c r="BT322" i="43"/>
  <c r="AI319" i="45"/>
  <c r="M315" i="43"/>
  <c r="AG312" i="45"/>
  <c r="DG16" i="43"/>
  <c r="AI13" i="45"/>
  <c r="S53" i="43"/>
  <c r="L53" i="43" s="1"/>
  <c r="N53" i="43" s="1"/>
  <c r="AI50" i="45"/>
  <c r="S51" i="43"/>
  <c r="X51" i="43" s="1"/>
  <c r="AI48" i="45"/>
  <c r="Y21" i="43"/>
  <c r="AI18" i="45"/>
  <c r="CO40" i="43"/>
  <c r="AI37" i="45"/>
  <c r="BC32" i="43"/>
  <c r="AI29" i="45"/>
  <c r="Y22" i="43"/>
  <c r="AI19" i="45"/>
  <c r="CO39" i="43"/>
  <c r="AI36" i="45"/>
  <c r="Y29" i="43"/>
  <c r="Q29" i="43" s="1"/>
  <c r="AB29" i="43" s="1"/>
  <c r="AI26" i="45"/>
  <c r="BC19" i="43"/>
  <c r="AI16" i="45"/>
  <c r="BC24" i="43"/>
  <c r="AI21" i="45"/>
  <c r="DG25" i="43"/>
  <c r="AI22" i="45"/>
  <c r="Y27" i="43"/>
  <c r="AI24" i="45"/>
  <c r="S30" i="43"/>
  <c r="X30" i="43" s="1"/>
  <c r="AI27" i="45"/>
  <c r="E6" i="30"/>
  <c r="E23" i="30"/>
  <c r="CG148" i="24"/>
  <c r="CG351" i="24"/>
  <c r="CG52" i="24"/>
  <c r="CG179" i="24"/>
  <c r="CG66" i="24"/>
  <c r="CG89" i="24"/>
  <c r="CG357" i="24"/>
  <c r="CG332" i="24"/>
  <c r="CG322" i="24"/>
  <c r="CG184" i="24"/>
  <c r="CG105" i="24"/>
  <c r="CG74" i="24"/>
  <c r="CG329" i="24"/>
  <c r="CG60" i="24"/>
  <c r="CG325" i="24"/>
  <c r="CG315" i="24"/>
  <c r="CG144" i="24"/>
  <c r="CG62" i="24"/>
  <c r="CG255" i="24"/>
  <c r="CG112" i="24"/>
  <c r="CG151" i="24"/>
  <c r="CG350" i="24"/>
  <c r="CG279" i="24"/>
  <c r="CG59" i="24"/>
  <c r="CG242" i="24"/>
  <c r="CG142" i="24"/>
  <c r="CG80" i="24"/>
  <c r="CG48" i="24"/>
  <c r="CG108" i="24"/>
  <c r="CG248" i="24"/>
  <c r="CG263" i="24"/>
  <c r="CG57" i="24"/>
  <c r="CG331" i="24"/>
  <c r="CG136" i="24"/>
  <c r="CG245" i="24"/>
  <c r="CG87" i="24"/>
  <c r="CG337" i="24"/>
  <c r="CG281" i="24"/>
  <c r="CG191" i="24"/>
  <c r="CG111" i="24"/>
  <c r="CG113" i="24"/>
  <c r="CG102" i="24"/>
  <c r="CG103" i="24"/>
  <c r="CG326" i="24"/>
  <c r="CG99" i="24"/>
  <c r="CG67" i="24"/>
  <c r="CG376" i="24"/>
  <c r="CG265" i="24"/>
  <c r="CG356" i="24"/>
  <c r="CG114" i="24"/>
  <c r="CG185" i="24"/>
  <c r="CG69" i="24"/>
  <c r="CG138" i="24"/>
  <c r="CG266" i="24"/>
  <c r="CG323" i="24"/>
  <c r="CG267" i="24"/>
  <c r="CG139" i="24"/>
  <c r="CG258" i="24"/>
  <c r="CG314" i="24"/>
  <c r="CG140" i="24"/>
  <c r="CG261" i="24"/>
  <c r="CG178" i="24"/>
  <c r="CG146" i="24"/>
  <c r="CG107" i="24"/>
  <c r="CG335" i="24"/>
  <c r="CG149" i="24"/>
  <c r="CG77" i="24"/>
  <c r="CG349" i="24"/>
  <c r="CG252" i="24"/>
  <c r="CG327" i="24"/>
  <c r="CG152" i="24"/>
  <c r="CG239" i="24"/>
  <c r="CG143" i="24"/>
  <c r="CG49" i="24"/>
  <c r="CG249" i="24"/>
  <c r="CG226" i="24"/>
  <c r="CG284" i="24"/>
  <c r="CG56" i="24"/>
  <c r="CG246" i="24"/>
  <c r="CG373" i="24"/>
  <c r="CG81" i="24"/>
  <c r="CG319" i="24"/>
  <c r="CG86" i="24"/>
  <c r="CG348" i="24"/>
  <c r="CG104" i="24"/>
  <c r="CG244" i="24"/>
  <c r="CG97" i="24"/>
  <c r="CG375" i="24"/>
  <c r="CG358" i="24"/>
  <c r="CG188" i="24"/>
  <c r="CG238" i="24"/>
  <c r="CG154" i="24"/>
  <c r="CG236" i="24"/>
  <c r="CG70" i="24"/>
  <c r="CG352" i="24"/>
  <c r="CG145" i="24"/>
  <c r="CG63" i="24"/>
  <c r="CG82" i="24"/>
  <c r="CG91" i="24"/>
  <c r="CG150" i="24"/>
  <c r="CG251" i="24"/>
  <c r="CG183" i="24"/>
  <c r="CG176" i="24"/>
  <c r="CG101" i="24"/>
  <c r="CG235" i="24"/>
  <c r="CG177" i="24"/>
  <c r="CG93" i="24"/>
  <c r="CG71" i="24"/>
  <c r="CG240" i="24"/>
  <c r="CG187" i="24"/>
  <c r="CG190" i="24"/>
  <c r="CG353" i="24"/>
  <c r="CG370" i="24"/>
  <c r="CG95" i="24"/>
  <c r="CG282" i="24"/>
  <c r="CG110" i="24"/>
  <c r="CG55" i="24"/>
  <c r="CG75" i="24"/>
  <c r="CG175" i="24"/>
  <c r="CG85" i="24"/>
  <c r="CG374" i="24"/>
  <c r="CG256" i="24"/>
  <c r="CG339" i="24"/>
  <c r="CG50" i="24"/>
  <c r="CG247" i="24"/>
  <c r="CG318" i="24"/>
  <c r="CG147" i="24"/>
  <c r="CG53" i="24"/>
  <c r="CG346" i="24"/>
  <c r="CG253" i="24"/>
  <c r="CG234" i="24"/>
  <c r="CG134" i="24"/>
  <c r="CG321" i="24"/>
  <c r="CG180" i="24"/>
  <c r="CG94" i="24"/>
  <c r="CG257" i="24"/>
  <c r="CG237" i="24"/>
  <c r="CG98" i="24"/>
  <c r="CG79" i="24"/>
  <c r="CG262" i="24"/>
  <c r="CG88" i="24"/>
  <c r="CG230" i="24"/>
  <c r="CG65" i="24"/>
  <c r="CG250" i="24"/>
  <c r="CG92" i="24"/>
  <c r="CG260" i="24"/>
  <c r="CG283" i="24"/>
  <c r="CG153" i="24"/>
  <c r="CG317" i="24"/>
  <c r="CG51" i="24"/>
  <c r="CG371" i="24"/>
  <c r="CG259" i="24"/>
  <c r="CG61" i="24"/>
  <c r="CG338" i="24"/>
  <c r="CG181" i="24"/>
  <c r="CG182" i="24"/>
  <c r="CG372" i="24"/>
  <c r="CG137" i="24"/>
  <c r="CG254" i="24"/>
  <c r="C17" i="30"/>
  <c r="F17" i="30"/>
  <c r="AG93" i="24"/>
  <c r="AG71" i="24"/>
  <c r="BT71" i="24"/>
  <c r="AH71" i="24"/>
  <c r="AH93" i="24"/>
  <c r="BT93" i="24"/>
  <c r="AG266" i="24"/>
  <c r="AG77" i="24"/>
  <c r="AG325" i="24"/>
  <c r="BT325" i="24"/>
  <c r="BT77" i="24"/>
  <c r="AH254" i="24"/>
  <c r="AH77" i="24"/>
  <c r="AH325" i="24"/>
  <c r="AH266" i="24"/>
  <c r="BT254" i="24"/>
  <c r="AG254" i="24"/>
  <c r="BT266" i="24"/>
  <c r="AG137" i="24"/>
  <c r="BT137" i="24"/>
  <c r="AH137" i="24"/>
  <c r="BT138" i="24"/>
  <c r="AG138" i="24"/>
  <c r="AH138" i="24"/>
  <c r="T11" i="22"/>
  <c r="S11" i="22"/>
  <c r="DH18" i="43"/>
  <c r="DL18" i="43"/>
  <c r="DM18" i="43" s="1"/>
  <c r="DN18" i="43" s="1"/>
  <c r="DO18" i="43" s="1"/>
  <c r="AB381" i="45"/>
  <c r="AC381" i="45" s="1"/>
  <c r="AB378" i="45"/>
  <c r="AC378" i="45" s="1"/>
  <c r="AB383" i="45"/>
  <c r="AC383" i="45" s="1"/>
  <c r="AB384" i="45"/>
  <c r="AC384" i="45" s="1"/>
  <c r="W340" i="45"/>
  <c r="Y340" i="45" s="1"/>
  <c r="W360" i="45"/>
  <c r="Y360" i="45" s="1"/>
  <c r="W327" i="45"/>
  <c r="Y327" i="45" s="1"/>
  <c r="W338" i="45"/>
  <c r="Y338" i="45" s="1"/>
  <c r="W344" i="45"/>
  <c r="Y344" i="45" s="1"/>
  <c r="W336" i="45"/>
  <c r="Y336" i="45" s="1"/>
  <c r="AB380" i="45"/>
  <c r="AC380" i="45" s="1"/>
  <c r="AB382" i="45"/>
  <c r="AC382" i="45" s="1"/>
  <c r="AB377" i="45"/>
  <c r="AC377" i="45" s="1"/>
  <c r="AB379" i="45"/>
  <c r="AC379" i="45" s="1"/>
  <c r="W332" i="45"/>
  <c r="Y332" i="45" s="1"/>
  <c r="W337" i="45"/>
  <c r="Y337" i="45" s="1"/>
  <c r="W339" i="45"/>
  <c r="Y339" i="45" s="1"/>
  <c r="W343" i="45"/>
  <c r="Y343" i="45" s="1"/>
  <c r="W363" i="45"/>
  <c r="Y363" i="45" s="1"/>
  <c r="W341" i="45"/>
  <c r="Y341" i="45" s="1"/>
  <c r="W356" i="45"/>
  <c r="Y356" i="45" s="1"/>
  <c r="W366" i="45"/>
  <c r="Y366" i="45" s="1"/>
  <c r="W331" i="45"/>
  <c r="Y331" i="45" s="1"/>
  <c r="W362" i="45"/>
  <c r="W333" i="45"/>
  <c r="Y333" i="45" s="1"/>
  <c r="W329" i="45"/>
  <c r="Y329" i="45" s="1"/>
  <c r="W335" i="45"/>
  <c r="Y335" i="45" s="1"/>
  <c r="W359" i="45"/>
  <c r="W330" i="45"/>
  <c r="Y330" i="45" s="1"/>
  <c r="W342" i="45"/>
  <c r="Y342" i="45" s="1"/>
  <c r="W334" i="45"/>
  <c r="Y334" i="45" s="1"/>
  <c r="CO51" i="43"/>
  <c r="Y39" i="43"/>
  <c r="Q39" i="43" s="1"/>
  <c r="AB39" i="43" s="1"/>
  <c r="DG39" i="43"/>
  <c r="T7" i="45"/>
  <c r="AB7" i="45" s="1"/>
  <c r="AA7" i="45" s="1"/>
  <c r="AG372" i="24"/>
  <c r="T6" i="45"/>
  <c r="AB6" i="45" s="1"/>
  <c r="AC6" i="45" s="1"/>
  <c r="DG29" i="43"/>
  <c r="K13" i="43"/>
  <c r="AI10" i="45" s="1"/>
  <c r="AH69" i="24"/>
  <c r="AG379" i="24"/>
  <c r="BT149" i="24"/>
  <c r="K14" i="43"/>
  <c r="AH372" i="24"/>
  <c r="BT372" i="24"/>
  <c r="AG60" i="24"/>
  <c r="AG149" i="24"/>
  <c r="AG114" i="24"/>
  <c r="AH185" i="24"/>
  <c r="BT185" i="24"/>
  <c r="BT60" i="24"/>
  <c r="BT85" i="24"/>
  <c r="AH60" i="24"/>
  <c r="AH149" i="24"/>
  <c r="AH114" i="24"/>
  <c r="AG69" i="24"/>
  <c r="AH85" i="24"/>
  <c r="AG185" i="24"/>
  <c r="BT114" i="24"/>
  <c r="BT69" i="24"/>
  <c r="AG182" i="24"/>
  <c r="AG338" i="24"/>
  <c r="BT338" i="24"/>
  <c r="AH61" i="24"/>
  <c r="AH181" i="24"/>
  <c r="AH101" i="24"/>
  <c r="K12" i="43"/>
  <c r="AI9" i="45" s="1"/>
  <c r="AH182" i="24"/>
  <c r="AG61" i="24"/>
  <c r="AG177" i="24"/>
  <c r="BT182" i="24"/>
  <c r="BT235" i="24"/>
  <c r="BT61" i="24"/>
  <c r="BT101" i="24"/>
  <c r="AG181" i="24"/>
  <c r="AG235" i="24"/>
  <c r="BT177" i="24"/>
  <c r="AG85" i="24"/>
  <c r="AH177" i="24"/>
  <c r="AH338" i="24"/>
  <c r="AG101" i="24"/>
  <c r="AH235" i="24"/>
  <c r="BT181" i="24"/>
  <c r="T376" i="45"/>
  <c r="T375" i="45"/>
  <c r="T371" i="45"/>
  <c r="T367" i="45"/>
  <c r="T353" i="45"/>
  <c r="T347" i="45"/>
  <c r="DN350" i="43"/>
  <c r="DO350" i="43" s="1"/>
  <c r="CT350" i="43" s="1"/>
  <c r="DN349" i="43"/>
  <c r="DO349" i="43" s="1"/>
  <c r="BF349" i="43" s="1"/>
  <c r="K323" i="43"/>
  <c r="J18" i="34"/>
  <c r="DM292" i="43"/>
  <c r="DN292" i="43" s="1"/>
  <c r="AZ12" i="43"/>
  <c r="AX12" i="43" s="1"/>
  <c r="AY12" i="43"/>
  <c r="BC29" i="43"/>
  <c r="DM176" i="43"/>
  <c r="DN176" i="43" s="1"/>
  <c r="DO176" i="43" s="1"/>
  <c r="CX176" i="43" s="1"/>
  <c r="DM165" i="43"/>
  <c r="DN165" i="43" s="1"/>
  <c r="DO165" i="43" s="1"/>
  <c r="DM167" i="43"/>
  <c r="DN167" i="43" s="1"/>
  <c r="DO167" i="43" s="1"/>
  <c r="BJ167" i="43" s="1"/>
  <c r="DM171" i="43"/>
  <c r="DN171" i="43" s="1"/>
  <c r="DO171" i="43" s="1"/>
  <c r="DM175" i="43"/>
  <c r="DN175" i="43" s="1"/>
  <c r="DO175" i="43" s="1"/>
  <c r="DM173" i="43"/>
  <c r="DN173" i="43" s="1"/>
  <c r="DO173" i="43" s="1"/>
  <c r="DM178" i="43"/>
  <c r="DN178" i="43" s="1"/>
  <c r="DO178" i="43" s="1"/>
  <c r="BF178" i="43" s="1"/>
  <c r="DM174" i="43"/>
  <c r="DN174" i="43" s="1"/>
  <c r="DO174" i="43" s="1"/>
  <c r="CV174" i="43" s="1"/>
  <c r="DM170" i="43"/>
  <c r="DN170" i="43" s="1"/>
  <c r="DO170" i="43" s="1"/>
  <c r="CV170" i="43" s="1"/>
  <c r="G10" i="22"/>
  <c r="K11" i="22"/>
  <c r="E11" i="22"/>
  <c r="B11" i="22"/>
  <c r="P10" i="22"/>
  <c r="DM164" i="43"/>
  <c r="DN164" i="43" s="1"/>
  <c r="DO164" i="43" s="1"/>
  <c r="AQ164" i="43" s="1"/>
  <c r="DM161" i="43"/>
  <c r="DN161" i="43" s="1"/>
  <c r="DO161" i="43" s="1"/>
  <c r="DM163" i="43"/>
  <c r="DN163" i="43" s="1"/>
  <c r="DO163" i="43" s="1"/>
  <c r="BF163" i="43" s="1"/>
  <c r="T5" i="45"/>
  <c r="AB5" i="45" s="1"/>
  <c r="AC5" i="45" s="1"/>
  <c r="S29" i="43"/>
  <c r="BT29" i="43"/>
  <c r="AH380" i="24"/>
  <c r="CO29" i="43"/>
  <c r="FF380" i="43"/>
  <c r="C11" i="22"/>
  <c r="H11" i="22"/>
  <c r="A12" i="22"/>
  <c r="I11" i="22"/>
  <c r="P11" i="22"/>
  <c r="D11" i="22"/>
  <c r="M11" i="22"/>
  <c r="BT105" i="24"/>
  <c r="AH356" i="24"/>
  <c r="J9" i="22"/>
  <c r="DG24" i="43"/>
  <c r="S24" i="43"/>
  <c r="X24" i="43" s="1"/>
  <c r="BT335" i="24"/>
  <c r="AG176" i="24"/>
  <c r="BT259" i="24"/>
  <c r="BT176" i="24"/>
  <c r="AH176" i="24"/>
  <c r="AG251" i="24"/>
  <c r="CO16" i="43"/>
  <c r="DG18" i="43"/>
  <c r="AG356" i="24"/>
  <c r="AG265" i="24"/>
  <c r="AG259" i="24"/>
  <c r="Y16" i="43"/>
  <c r="Q16" i="43" s="1"/>
  <c r="BT356" i="24"/>
  <c r="AH371" i="24"/>
  <c r="AH265" i="24"/>
  <c r="AH259" i="24"/>
  <c r="BT265" i="24"/>
  <c r="AH251" i="24"/>
  <c r="AG150" i="24"/>
  <c r="BT251" i="24"/>
  <c r="AH335" i="24"/>
  <c r="AG335" i="24"/>
  <c r="AG105" i="24"/>
  <c r="BT376" i="24"/>
  <c r="BT183" i="24"/>
  <c r="AG371" i="24"/>
  <c r="AG175" i="24"/>
  <c r="AH376" i="24"/>
  <c r="BT150" i="24"/>
  <c r="AG376" i="24"/>
  <c r="AH183" i="24"/>
  <c r="BT175" i="24"/>
  <c r="AH329" i="24"/>
  <c r="BT329" i="24"/>
  <c r="AH175" i="24"/>
  <c r="AG183" i="24"/>
  <c r="AG51" i="24"/>
  <c r="AH150" i="24"/>
  <c r="AH51" i="24"/>
  <c r="BT371" i="24"/>
  <c r="BT51" i="24"/>
  <c r="AG329" i="24"/>
  <c r="BT67" i="24"/>
  <c r="BT99" i="24"/>
  <c r="BT55" i="24"/>
  <c r="AH91" i="24"/>
  <c r="AG91" i="24"/>
  <c r="AG55" i="24"/>
  <c r="AG82" i="24"/>
  <c r="AG99" i="24"/>
  <c r="BT91" i="24"/>
  <c r="BT82" i="24"/>
  <c r="AH55" i="24"/>
  <c r="AH82" i="24"/>
  <c r="AH99" i="24"/>
  <c r="S16" i="43"/>
  <c r="L16" i="43" s="1"/>
  <c r="N16" i="43" s="1"/>
  <c r="BC16" i="43"/>
  <c r="BT75" i="24"/>
  <c r="BT74" i="24"/>
  <c r="BT17" i="43"/>
  <c r="AG75" i="24"/>
  <c r="BT16" i="43"/>
  <c r="AH75" i="24"/>
  <c r="AG74" i="24"/>
  <c r="AH74" i="24"/>
  <c r="Y35" i="43"/>
  <c r="CO35" i="43"/>
  <c r="DG35" i="43"/>
  <c r="CO45" i="43"/>
  <c r="BT45" i="43"/>
  <c r="CO26" i="43"/>
  <c r="BC26" i="43"/>
  <c r="DG26" i="43"/>
  <c r="BT26" i="43"/>
  <c r="S26" i="43"/>
  <c r="X26" i="43" s="1"/>
  <c r="Y26" i="43"/>
  <c r="AH107" i="24"/>
  <c r="CO42" i="43"/>
  <c r="DG28" i="43"/>
  <c r="AG107" i="24"/>
  <c r="AG63" i="24"/>
  <c r="AH63" i="24"/>
  <c r="AH105" i="24"/>
  <c r="BT63" i="24"/>
  <c r="BT107" i="24"/>
  <c r="AG67" i="24"/>
  <c r="BC21" i="43"/>
  <c r="AH67" i="24"/>
  <c r="BT21" i="43"/>
  <c r="Y50" i="43"/>
  <c r="Q50" i="43" s="1"/>
  <c r="FF377" i="43"/>
  <c r="T374" i="45"/>
  <c r="FF376" i="43"/>
  <c r="T373" i="45"/>
  <c r="FF375" i="43"/>
  <c r="T372" i="45"/>
  <c r="FF373" i="43"/>
  <c r="T370" i="45"/>
  <c r="FF372" i="43"/>
  <c r="T369" i="45"/>
  <c r="FF371" i="43"/>
  <c r="T368" i="45"/>
  <c r="FF368" i="43"/>
  <c r="T365" i="45"/>
  <c r="FF367" i="43"/>
  <c r="T364" i="45"/>
  <c r="FF364" i="43"/>
  <c r="T361" i="45"/>
  <c r="FF361" i="43"/>
  <c r="T358" i="45"/>
  <c r="FF360" i="43"/>
  <c r="T357" i="45"/>
  <c r="FF358" i="43"/>
  <c r="T355" i="45"/>
  <c r="FF357" i="43"/>
  <c r="T354" i="45"/>
  <c r="FF355" i="43"/>
  <c r="T352" i="45"/>
  <c r="FF354" i="43"/>
  <c r="T351" i="45"/>
  <c r="FF353" i="43"/>
  <c r="T350" i="45"/>
  <c r="FF352" i="43"/>
  <c r="T349" i="45"/>
  <c r="FF351" i="43"/>
  <c r="T348" i="45"/>
  <c r="FF349" i="43"/>
  <c r="T346" i="45"/>
  <c r="FF348" i="43"/>
  <c r="T345" i="45"/>
  <c r="AG70" i="24"/>
  <c r="AH178" i="24"/>
  <c r="AH145" i="24"/>
  <c r="AH352" i="24"/>
  <c r="AH79" i="24"/>
  <c r="BT145" i="24"/>
  <c r="AG191" i="24"/>
  <c r="BT98" i="24"/>
  <c r="BT70" i="24"/>
  <c r="BT283" i="24"/>
  <c r="AG178" i="24"/>
  <c r="BT282" i="24"/>
  <c r="AH283" i="24"/>
  <c r="BT178" i="24"/>
  <c r="BT322" i="24"/>
  <c r="AH70" i="24"/>
  <c r="AG98" i="24"/>
  <c r="BT337" i="24"/>
  <c r="AG282" i="24"/>
  <c r="AH322" i="24"/>
  <c r="AG358" i="24"/>
  <c r="AG326" i="24"/>
  <c r="BT103" i="24"/>
  <c r="BT113" i="24"/>
  <c r="AH98" i="24"/>
  <c r="AH184" i="24"/>
  <c r="AH188" i="24"/>
  <c r="AG337" i="24"/>
  <c r="AH358" i="24"/>
  <c r="AH326" i="24"/>
  <c r="BT230" i="24"/>
  <c r="AG103" i="24"/>
  <c r="AH103" i="24"/>
  <c r="AG322" i="24"/>
  <c r="BT262" i="24"/>
  <c r="BT326" i="24"/>
  <c r="AG184" i="24"/>
  <c r="AH337" i="24"/>
  <c r="AH282" i="24"/>
  <c r="AG283" i="24"/>
  <c r="BT184" i="24"/>
  <c r="AG375" i="24"/>
  <c r="BT375" i="24"/>
  <c r="AG352" i="24"/>
  <c r="AG79" i="24"/>
  <c r="AG230" i="24"/>
  <c r="BT317" i="24"/>
  <c r="BT352" i="24"/>
  <c r="AG145" i="24"/>
  <c r="AG317" i="24"/>
  <c r="AG113" i="24"/>
  <c r="BT191" i="24"/>
  <c r="AH317" i="24"/>
  <c r="AH191" i="24"/>
  <c r="AH113" i="24"/>
  <c r="AH375" i="24"/>
  <c r="AH250" i="24"/>
  <c r="BT250" i="24"/>
  <c r="BT79" i="24"/>
  <c r="BT65" i="24"/>
  <c r="AG238" i="24"/>
  <c r="AG260" i="24"/>
  <c r="AH236" i="24"/>
  <c r="AH238" i="24"/>
  <c r="AH102" i="24"/>
  <c r="AG88" i="24"/>
  <c r="AG250" i="24"/>
  <c r="AG146" i="24"/>
  <c r="BT102" i="24"/>
  <c r="BT87" i="24"/>
  <c r="AH260" i="24"/>
  <c r="AH154" i="24"/>
  <c r="AG245" i="24"/>
  <c r="BT88" i="24"/>
  <c r="AH153" i="24"/>
  <c r="AG102" i="24"/>
  <c r="S41" i="43"/>
  <c r="X41" i="43" s="1"/>
  <c r="CO41" i="43"/>
  <c r="Y41" i="43"/>
  <c r="Q41" i="43" s="1"/>
  <c r="BC41" i="43"/>
  <c r="DG41" i="43"/>
  <c r="BT41" i="43"/>
  <c r="S20" i="43"/>
  <c r="L20" i="43" s="1"/>
  <c r="N20" i="43" s="1"/>
  <c r="DG20" i="43"/>
  <c r="AG153" i="24"/>
  <c r="AG236" i="24"/>
  <c r="AG154" i="24"/>
  <c r="BT24" i="43"/>
  <c r="BC39" i="43"/>
  <c r="BT110" i="24"/>
  <c r="BC52" i="43"/>
  <c r="S39" i="43"/>
  <c r="BT281" i="24"/>
  <c r="BT237" i="24"/>
  <c r="AH87" i="24"/>
  <c r="AH110" i="24"/>
  <c r="AH262" i="24"/>
  <c r="AG261" i="24"/>
  <c r="AH230" i="24"/>
  <c r="BT39" i="43"/>
  <c r="BT261" i="24"/>
  <c r="BT236" i="24"/>
  <c r="Y56" i="43"/>
  <c r="Q56" i="43" s="1"/>
  <c r="Y54" i="43"/>
  <c r="Q54" i="43" s="1"/>
  <c r="AG110" i="24"/>
  <c r="AG262" i="24"/>
  <c r="AG92" i="24"/>
  <c r="AH261" i="24"/>
  <c r="AG281" i="24"/>
  <c r="Y24" i="43"/>
  <c r="BT358" i="24"/>
  <c r="BT153" i="24"/>
  <c r="BT92" i="24"/>
  <c r="BT260" i="24"/>
  <c r="S40" i="43"/>
  <c r="X40" i="43" s="1"/>
  <c r="AG188" i="24"/>
  <c r="AG87" i="24"/>
  <c r="AH92" i="24"/>
  <c r="AH281" i="24"/>
  <c r="CO24" i="43"/>
  <c r="BT154" i="24"/>
  <c r="BT188" i="24"/>
  <c r="BT19" i="43"/>
  <c r="DG19" i="43"/>
  <c r="Y19" i="43"/>
  <c r="Q19" i="43" s="1"/>
  <c r="CA186" i="24"/>
  <c r="BT186" i="24"/>
  <c r="AG186" i="24"/>
  <c r="CA330" i="24"/>
  <c r="AH330" i="24"/>
  <c r="AG330" i="24"/>
  <c r="BT330" i="24"/>
  <c r="CO32" i="43"/>
  <c r="DG32" i="43"/>
  <c r="S32" i="43"/>
  <c r="L32" i="43" s="1"/>
  <c r="N32" i="43" s="1"/>
  <c r="AH186" i="24"/>
  <c r="Y37" i="43"/>
  <c r="AH245" i="24"/>
  <c r="DG22" i="43"/>
  <c r="BT245" i="24"/>
  <c r="BT95" i="24"/>
  <c r="BC46" i="43"/>
  <c r="J16" i="34"/>
  <c r="BC35" i="43"/>
  <c r="BT238" i="24"/>
  <c r="BT111" i="24"/>
  <c r="S35" i="43"/>
  <c r="BT35" i="43"/>
  <c r="AH88" i="24"/>
  <c r="AG111" i="24"/>
  <c r="AG237" i="24"/>
  <c r="AH111" i="24"/>
  <c r="AH146" i="24"/>
  <c r="AH237" i="24"/>
  <c r="Y20" i="43"/>
  <c r="Q20" i="43" s="1"/>
  <c r="CO25" i="43"/>
  <c r="AG65" i="24"/>
  <c r="AG95" i="24"/>
  <c r="BC20" i="43"/>
  <c r="S25" i="43"/>
  <c r="X25" i="43" s="1"/>
  <c r="Y53" i="43"/>
  <c r="Q53" i="43" s="1"/>
  <c r="S27" i="43"/>
  <c r="X27" i="43" s="1"/>
  <c r="AH65" i="24"/>
  <c r="AH95" i="24"/>
  <c r="BT20" i="43"/>
  <c r="BT27" i="43"/>
  <c r="BT146" i="24"/>
  <c r="CO43" i="43"/>
  <c r="DG45" i="43"/>
  <c r="FF331" i="43"/>
  <c r="T328" i="45"/>
  <c r="K18" i="34"/>
  <c r="BT377" i="24"/>
  <c r="AH147" i="24"/>
  <c r="AG234" i="24"/>
  <c r="AH11" i="24"/>
  <c r="AH346" i="24"/>
  <c r="AG253" i="24"/>
  <c r="AG247" i="24"/>
  <c r="AH253" i="24"/>
  <c r="AG318" i="24"/>
  <c r="BT234" i="24"/>
  <c r="AH56" i="24"/>
  <c r="AH135" i="24"/>
  <c r="AH53" i="24"/>
  <c r="AH247" i="24"/>
  <c r="AH318" i="24"/>
  <c r="BT253" i="24"/>
  <c r="BT109" i="24"/>
  <c r="AG56" i="24"/>
  <c r="AG66" i="24"/>
  <c r="AH234" i="24"/>
  <c r="AG53" i="24"/>
  <c r="AG346" i="24"/>
  <c r="AG147" i="24"/>
  <c r="AG243" i="24"/>
  <c r="K16" i="34"/>
  <c r="BT247" i="24"/>
  <c r="BT318" i="24"/>
  <c r="BT147" i="24"/>
  <c r="AH108" i="24"/>
  <c r="AG244" i="24"/>
  <c r="AH377" i="24"/>
  <c r="BT48" i="24"/>
  <c r="AH348" i="24"/>
  <c r="BT143" i="24"/>
  <c r="AG348" i="24"/>
  <c r="AG48" i="24"/>
  <c r="AH104" i="24"/>
  <c r="AG97" i="24"/>
  <c r="BT104" i="24"/>
  <c r="BT49" i="24"/>
  <c r="BT62" i="24"/>
  <c r="AG143" i="24"/>
  <c r="AG49" i="24"/>
  <c r="AH239" i="24"/>
  <c r="BT97" i="24"/>
  <c r="AH48" i="24"/>
  <c r="AG104" i="24"/>
  <c r="BT348" i="24"/>
  <c r="BT244" i="24"/>
  <c r="AH244" i="24"/>
  <c r="AH97" i="24"/>
  <c r="BT284" i="24"/>
  <c r="BT346" i="24"/>
  <c r="BT56" i="24"/>
  <c r="BT319" i="24"/>
  <c r="BT66" i="24"/>
  <c r="BT53" i="24"/>
  <c r="AH248" i="24"/>
  <c r="AH357" i="24"/>
  <c r="AH256" i="24"/>
  <c r="AH86" i="24"/>
  <c r="BT187" i="24"/>
  <c r="BT140" i="24"/>
  <c r="AG357" i="24"/>
  <c r="AG327" i="24"/>
  <c r="AG351" i="24"/>
  <c r="AH332" i="24"/>
  <c r="AG142" i="24"/>
  <c r="AH267" i="24"/>
  <c r="BT59" i="24"/>
  <c r="BT373" i="24"/>
  <c r="BT263" i="24"/>
  <c r="BT256" i="24"/>
  <c r="AH57" i="24"/>
  <c r="AG349" i="24"/>
  <c r="AH339" i="24"/>
  <c r="AH94" i="24"/>
  <c r="AG339" i="24"/>
  <c r="AG256" i="24"/>
  <c r="AH321" i="24"/>
  <c r="AG89" i="24"/>
  <c r="AH353" i="24"/>
  <c r="AH233" i="24"/>
  <c r="AG257" i="24"/>
  <c r="AG373" i="24"/>
  <c r="BT353" i="24"/>
  <c r="AH350" i="24"/>
  <c r="AH252" i="24"/>
  <c r="AG59" i="24"/>
  <c r="AG136" i="24"/>
  <c r="AG152" i="24"/>
  <c r="BT81" i="24"/>
  <c r="AG50" i="24"/>
  <c r="AH242" i="24"/>
  <c r="AH246" i="24"/>
  <c r="AG258" i="24"/>
  <c r="AH370" i="24"/>
  <c r="AH374" i="24"/>
  <c r="AG81" i="24"/>
  <c r="AH89" i="24"/>
  <c r="AH351" i="24"/>
  <c r="AG140" i="24"/>
  <c r="AG134" i="24"/>
  <c r="AH142" i="24"/>
  <c r="AG314" i="24"/>
  <c r="BT257" i="24"/>
  <c r="BT332" i="24"/>
  <c r="BT351" i="24"/>
  <c r="BT258" i="24"/>
  <c r="BT314" i="24"/>
  <c r="BT370" i="24"/>
  <c r="BT339" i="24"/>
  <c r="BT152" i="24"/>
  <c r="BT50" i="24"/>
  <c r="AG246" i="24"/>
  <c r="AH279" i="24"/>
  <c r="AH50" i="24"/>
  <c r="AG94" i="24"/>
  <c r="AG180" i="24"/>
  <c r="AG248" i="24"/>
  <c r="AG370" i="24"/>
  <c r="AG374" i="24"/>
  <c r="AG57" i="24"/>
  <c r="AH81" i="24"/>
  <c r="AG353" i="24"/>
  <c r="AH140" i="24"/>
  <c r="AG332" i="24"/>
  <c r="AH263" i="24"/>
  <c r="AH314" i="24"/>
  <c r="AH373" i="24"/>
  <c r="AG279" i="24"/>
  <c r="BT350" i="24"/>
  <c r="BT242" i="24"/>
  <c r="BT151" i="24"/>
  <c r="BT89" i="24"/>
  <c r="BT374" i="24"/>
  <c r="BT248" i="24"/>
  <c r="BT357" i="24"/>
  <c r="BT94" i="24"/>
  <c r="CA106" i="24"/>
  <c r="AH106" i="24"/>
  <c r="CA233" i="24"/>
  <c r="BT233" i="24"/>
  <c r="CA320" i="24"/>
  <c r="AH320" i="24"/>
  <c r="BT320" i="24"/>
  <c r="AG320" i="24"/>
  <c r="CA83" i="24"/>
  <c r="BT83" i="24"/>
  <c r="AH83" i="24"/>
  <c r="CA68" i="24"/>
  <c r="AG68" i="24"/>
  <c r="CA347" i="24"/>
  <c r="BT347" i="24"/>
  <c r="AH347" i="24"/>
  <c r="CA84" i="24"/>
  <c r="AH84" i="24"/>
  <c r="AG84" i="24"/>
  <c r="CA334" i="24"/>
  <c r="AH334" i="24"/>
  <c r="AG334" i="24"/>
  <c r="G22" i="44"/>
  <c r="G24" i="44" s="1"/>
  <c r="CA72" i="24"/>
  <c r="AH72" i="24"/>
  <c r="AG72" i="24"/>
  <c r="DG15" i="43"/>
  <c r="CO15" i="43"/>
  <c r="CO27" i="43"/>
  <c r="DG27" i="43"/>
  <c r="BC27" i="43"/>
  <c r="CO23" i="43"/>
  <c r="S23" i="43"/>
  <c r="L23" i="43" s="1"/>
  <c r="N23" i="43" s="1"/>
  <c r="BT31" i="43"/>
  <c r="S31" i="43"/>
  <c r="L31" i="43" s="1"/>
  <c r="N31" i="43" s="1"/>
  <c r="Y55" i="43"/>
  <c r="Q55" i="43" s="1"/>
  <c r="CA264" i="24"/>
  <c r="AG264" i="24"/>
  <c r="BT264" i="24"/>
  <c r="CA54" i="24"/>
  <c r="AG54" i="24"/>
  <c r="BT54" i="24"/>
  <c r="DG40" i="43"/>
  <c r="BT40" i="43"/>
  <c r="Y40" i="43"/>
  <c r="CA141" i="24"/>
  <c r="BT141" i="24"/>
  <c r="BT22" i="43"/>
  <c r="BC22" i="43"/>
  <c r="S22" i="43"/>
  <c r="S21" i="43"/>
  <c r="CO21" i="43"/>
  <c r="AH141" i="24"/>
  <c r="DG21" i="43"/>
  <c r="CO22" i="43"/>
  <c r="CA285" i="24"/>
  <c r="AG285" i="24"/>
  <c r="BC40" i="43"/>
  <c r="CO53" i="43"/>
  <c r="DG53" i="43"/>
  <c r="CA243" i="24"/>
  <c r="AH243" i="24"/>
  <c r="CA135" i="24"/>
  <c r="BT135" i="24"/>
  <c r="DG51" i="43"/>
  <c r="Y51" i="43"/>
  <c r="BT51" i="43"/>
  <c r="BC51" i="43"/>
  <c r="CA311" i="24"/>
  <c r="AH311" i="24"/>
  <c r="AG311" i="24"/>
  <c r="CA109" i="24"/>
  <c r="AG109" i="24"/>
  <c r="AH66" i="24"/>
  <c r="AH258" i="24"/>
  <c r="AG319" i="24"/>
  <c r="AG331" i="24"/>
  <c r="AH136" i="24"/>
  <c r="AH257" i="24"/>
  <c r="CO20" i="43"/>
  <c r="Y25" i="43"/>
  <c r="BT25" i="43"/>
  <c r="BT246" i="24"/>
  <c r="BT142" i="24"/>
  <c r="BT108" i="24"/>
  <c r="BT331" i="24"/>
  <c r="Y45" i="43"/>
  <c r="Q45" i="43" s="1"/>
  <c r="BC45" i="43"/>
  <c r="CO36" i="43"/>
  <c r="AG80" i="24"/>
  <c r="AH80" i="24"/>
  <c r="AG108" i="24"/>
  <c r="AH319" i="24"/>
  <c r="AH331" i="24"/>
  <c r="AG263" i="24"/>
  <c r="BC25" i="43"/>
  <c r="BT80" i="24"/>
  <c r="BT57" i="24"/>
  <c r="BT136" i="24"/>
  <c r="S45" i="43"/>
  <c r="BT33" i="43"/>
  <c r="CO33" i="43"/>
  <c r="Y33" i="43"/>
  <c r="Q33" i="43" s="1"/>
  <c r="DG33" i="43"/>
  <c r="S33" i="43"/>
  <c r="BC33" i="43"/>
  <c r="S34" i="43"/>
  <c r="L34" i="43" s="1"/>
  <c r="N34" i="43" s="1"/>
  <c r="BT34" i="43"/>
  <c r="AG240" i="24"/>
  <c r="Z381" i="24"/>
  <c r="AG323" i="24"/>
  <c r="AH179" i="24"/>
  <c r="AH187" i="24"/>
  <c r="AG148" i="24"/>
  <c r="AG249" i="24"/>
  <c r="AG267" i="24"/>
  <c r="DG31" i="43"/>
  <c r="Y23" i="43"/>
  <c r="Q23" i="43" s="1"/>
  <c r="BT23" i="43"/>
  <c r="Y15" i="43"/>
  <c r="Q15" i="43" s="1"/>
  <c r="BT106" i="24"/>
  <c r="AG139" i="24"/>
  <c r="AH240" i="24"/>
  <c r="AH323" i="24"/>
  <c r="AG179" i="24"/>
  <c r="AG187" i="24"/>
  <c r="AH148" i="24"/>
  <c r="BC23" i="43"/>
  <c r="DG23" i="43"/>
  <c r="S15" i="43"/>
  <c r="X15" i="43" s="1"/>
  <c r="BT15" i="43"/>
  <c r="AH226" i="24"/>
  <c r="BT139" i="24"/>
  <c r="BT179" i="24"/>
  <c r="BT240" i="24"/>
  <c r="BT180" i="24"/>
  <c r="BT86" i="24"/>
  <c r="AH52" i="24"/>
  <c r="AG190" i="24"/>
  <c r="AG284" i="24"/>
  <c r="AG86" i="24"/>
  <c r="AH180" i="24"/>
  <c r="AH139" i="24"/>
  <c r="AG321" i="24"/>
  <c r="BC31" i="43"/>
  <c r="BC15" i="43"/>
  <c r="BT321" i="24"/>
  <c r="BT190" i="24"/>
  <c r="BT267" i="24"/>
  <c r="BT323" i="24"/>
  <c r="BT148" i="24"/>
  <c r="AG62" i="24"/>
  <c r="AG350" i="24"/>
  <c r="AH284" i="24"/>
  <c r="AH143" i="24"/>
  <c r="AH49" i="24"/>
  <c r="AH349" i="24"/>
  <c r="AG239" i="24"/>
  <c r="AG377" i="24"/>
  <c r="AG226" i="24"/>
  <c r="CO31" i="43"/>
  <c r="BC53" i="43"/>
  <c r="BT53" i="43"/>
  <c r="Y32" i="43"/>
  <c r="Q32" i="43" s="1"/>
  <c r="BT32" i="43"/>
  <c r="CO19" i="43"/>
  <c r="BC34" i="43"/>
  <c r="BT279" i="24"/>
  <c r="BT226" i="24"/>
  <c r="BT134" i="24"/>
  <c r="BT239" i="24"/>
  <c r="BT285" i="24"/>
  <c r="AG52" i="24"/>
  <c r="AH68" i="24"/>
  <c r="AH190" i="24"/>
  <c r="AG106" i="24"/>
  <c r="AG242" i="24"/>
  <c r="AG252" i="24"/>
  <c r="AH327" i="24"/>
  <c r="AH59" i="24"/>
  <c r="AH144" i="24"/>
  <c r="AG255" i="24"/>
  <c r="AH285" i="24"/>
  <c r="AH134" i="24"/>
  <c r="AH152" i="24"/>
  <c r="AH249" i="24"/>
  <c r="Y31" i="43"/>
  <c r="Q31" i="43" s="1"/>
  <c r="S19" i="43"/>
  <c r="L19" i="43" s="1"/>
  <c r="N19" i="43" s="1"/>
  <c r="BT249" i="24"/>
  <c r="BT52" i="24"/>
  <c r="BT68" i="24"/>
  <c r="BT349" i="24"/>
  <c r="BT252" i="24"/>
  <c r="BT327" i="24"/>
  <c r="BT44" i="43"/>
  <c r="BC44" i="43"/>
  <c r="S44" i="43"/>
  <c r="CO44" i="43"/>
  <c r="DG44" i="43"/>
  <c r="Y44" i="43"/>
  <c r="Q44" i="43" s="1"/>
  <c r="Y30" i="43"/>
  <c r="DG30" i="43"/>
  <c r="CO30" i="43"/>
  <c r="BT30" i="43"/>
  <c r="BC30" i="43"/>
  <c r="AH378" i="24"/>
  <c r="AH255" i="24"/>
  <c r="CO34" i="43"/>
  <c r="DG34" i="43"/>
  <c r="BT255" i="24"/>
  <c r="AH62" i="24"/>
  <c r="AG112" i="24"/>
  <c r="AH112" i="24"/>
  <c r="AG151" i="24"/>
  <c r="AG315" i="24"/>
  <c r="Y34" i="43"/>
  <c r="Q34" i="43" s="1"/>
  <c r="BT144" i="24"/>
  <c r="CO48" i="43"/>
  <c r="BT48" i="43"/>
  <c r="BC48" i="43"/>
  <c r="S48" i="43"/>
  <c r="DG48" i="43"/>
  <c r="Y48" i="43"/>
  <c r="AH151" i="24"/>
  <c r="AH315" i="24"/>
  <c r="AG144" i="24"/>
  <c r="BT112" i="24"/>
  <c r="BT315" i="24"/>
  <c r="F20" i="30"/>
  <c r="G7" i="30"/>
  <c r="F6" i="30"/>
  <c r="F21" i="30"/>
  <c r="F22" i="30"/>
  <c r="F23" i="30"/>
  <c r="F9" i="30"/>
  <c r="F19" i="30"/>
  <c r="F26" i="30"/>
  <c r="F28" i="30"/>
  <c r="F27" i="30"/>
  <c r="BT157" i="24"/>
  <c r="BT213" i="24"/>
  <c r="BT161" i="24"/>
  <c r="BT217" i="24"/>
  <c r="BT368" i="24"/>
  <c r="BT14" i="24"/>
  <c r="BT41" i="24"/>
  <c r="BT129" i="24"/>
  <c r="BT166" i="24"/>
  <c r="BT196" i="24"/>
  <c r="BT206" i="24"/>
  <c r="BT286" i="24"/>
  <c r="BT304" i="24"/>
  <c r="BT344" i="24"/>
  <c r="BT207" i="24"/>
  <c r="BT209" i="24"/>
  <c r="BT341" i="24"/>
  <c r="BT364" i="24"/>
  <c r="BT33" i="24"/>
  <c r="BT164" i="24"/>
  <c r="BT270" i="24"/>
  <c r="BT363" i="24"/>
  <c r="BT168" i="24"/>
  <c r="BT287" i="24"/>
  <c r="BT296" i="24"/>
  <c r="BT36" i="24"/>
  <c r="BT15" i="24"/>
  <c r="BT32" i="24"/>
  <c r="BT118" i="24"/>
  <c r="BT158" i="24"/>
  <c r="BT174" i="24"/>
  <c r="BT204" i="24"/>
  <c r="BT198" i="24"/>
  <c r="BT271" i="24"/>
  <c r="BT303" i="24"/>
  <c r="BT293" i="24"/>
  <c r="BT366" i="24"/>
  <c r="BT26" i="24"/>
  <c r="BT119" i="24"/>
  <c r="BT159" i="24"/>
  <c r="BT199" i="24"/>
  <c r="BT201" i="24"/>
  <c r="BT273" i="24"/>
  <c r="BT291" i="24"/>
  <c r="BT365" i="24"/>
  <c r="BT19" i="24"/>
  <c r="BT25" i="24"/>
  <c r="BT275" i="24"/>
  <c r="BT297" i="24"/>
  <c r="BT30" i="24"/>
  <c r="BT23" i="24"/>
  <c r="BT13" i="24"/>
  <c r="BT126" i="24"/>
  <c r="BT163" i="24"/>
  <c r="BT203" i="24"/>
  <c r="BT212" i="24"/>
  <c r="BT222" i="24"/>
  <c r="BT302" i="24"/>
  <c r="BT301" i="24"/>
  <c r="BT359" i="24"/>
  <c r="BT18" i="24"/>
  <c r="BT17" i="24"/>
  <c r="BT200" i="24"/>
  <c r="BT343" i="24"/>
  <c r="BT117" i="24"/>
  <c r="BT169" i="24"/>
  <c r="BT290" i="24"/>
  <c r="BT308" i="24"/>
  <c r="BT16" i="24"/>
  <c r="BT116" i="24"/>
  <c r="BT274" i="24"/>
  <c r="BT120" i="24"/>
  <c r="BT224" i="24"/>
  <c r="BT218" i="24"/>
  <c r="BT22" i="24"/>
  <c r="BT31" i="24"/>
  <c r="BT21" i="24"/>
  <c r="BT115" i="24"/>
  <c r="BT155" i="24"/>
  <c r="BT195" i="24"/>
  <c r="BT220" i="24"/>
  <c r="BT214" i="24"/>
  <c r="BT278" i="24"/>
  <c r="BT309" i="24"/>
  <c r="BT367" i="24"/>
  <c r="BT43" i="24"/>
  <c r="BT156" i="24"/>
  <c r="BT215" i="24"/>
  <c r="BT229" i="24"/>
  <c r="BT300" i="24"/>
  <c r="BT340" i="24"/>
  <c r="BT20" i="24"/>
  <c r="BT125" i="24"/>
  <c r="BT162" i="24"/>
  <c r="BT307" i="24"/>
  <c r="BT47" i="24"/>
  <c r="BT39" i="24"/>
  <c r="BT29" i="24"/>
  <c r="BT123" i="24"/>
  <c r="BT160" i="24"/>
  <c r="BT165" i="24"/>
  <c r="BT219" i="24"/>
  <c r="BT205" i="24"/>
  <c r="BT277" i="24"/>
  <c r="BT295" i="24"/>
  <c r="BT360" i="24"/>
  <c r="BT34" i="24"/>
  <c r="BT28" i="24"/>
  <c r="BT130" i="24"/>
  <c r="BT194" i="24"/>
  <c r="BT272" i="24"/>
  <c r="BT292" i="24"/>
  <c r="BT40" i="24"/>
  <c r="BT133" i="24"/>
  <c r="BT128" i="24"/>
  <c r="BT223" i="24"/>
  <c r="BT225" i="24"/>
  <c r="BT299" i="24"/>
  <c r="BT305" i="24"/>
  <c r="BT121" i="24"/>
  <c r="BT227" i="24"/>
  <c r="BT345" i="24"/>
  <c r="BT122" i="24"/>
  <c r="BT298" i="24"/>
  <c r="BT38" i="24"/>
  <c r="BT44" i="24"/>
  <c r="BT37" i="24"/>
  <c r="BT131" i="24"/>
  <c r="BT170" i="24"/>
  <c r="BT211" i="24"/>
  <c r="BT197" i="24"/>
  <c r="BT269" i="24"/>
  <c r="BT294" i="24"/>
  <c r="BT342" i="24"/>
  <c r="BT361" i="24"/>
  <c r="BT35" i="24"/>
  <c r="BT42" i="24"/>
  <c r="BT171" i="24"/>
  <c r="BT231" i="24"/>
  <c r="BT202" i="24"/>
  <c r="BT310" i="24"/>
  <c r="BT132" i="24"/>
  <c r="BT208" i="24"/>
  <c r="BT24" i="24"/>
  <c r="BT46" i="24"/>
  <c r="BT124" i="24"/>
  <c r="BT172" i="24"/>
  <c r="BT221" i="24"/>
  <c r="BT268" i="24"/>
  <c r="BT288" i="24"/>
  <c r="BT369" i="24"/>
  <c r="BT27" i="24"/>
  <c r="BT173" i="24"/>
  <c r="BT228" i="24"/>
  <c r="BT306" i="24"/>
  <c r="BT289" i="24"/>
  <c r="BT45" i="24"/>
  <c r="BT127" i="24"/>
  <c r="BT167" i="24"/>
  <c r="BT216" i="24"/>
  <c r="BT210" i="24"/>
  <c r="BT362" i="24"/>
  <c r="BT12" i="24"/>
  <c r="DM125" i="43"/>
  <c r="DN125" i="43" s="1"/>
  <c r="DO125" i="43" s="1"/>
  <c r="DM288" i="43"/>
  <c r="DN288" i="43" s="1"/>
  <c r="HS218" i="43"/>
  <c r="L9" i="35"/>
  <c r="FZ218" i="43"/>
  <c r="M218" i="43"/>
  <c r="AG215" i="45"/>
  <c r="HS216" i="43"/>
  <c r="FZ216" i="43"/>
  <c r="M216" i="43"/>
  <c r="HS217" i="43"/>
  <c r="FZ217" i="43"/>
  <c r="M217" i="43"/>
  <c r="HS215" i="43"/>
  <c r="M215" i="43"/>
  <c r="FZ215" i="43"/>
  <c r="AG213" i="45"/>
  <c r="AG214" i="45"/>
  <c r="AG212" i="45"/>
  <c r="J20" i="34"/>
  <c r="DL255" i="43"/>
  <c r="DM255" i="43" s="1"/>
  <c r="DM120" i="43"/>
  <c r="DN120" i="43" s="1"/>
  <c r="DO120" i="43" s="1"/>
  <c r="DM99" i="43"/>
  <c r="DN99" i="43" s="1"/>
  <c r="DO99" i="43" s="1"/>
  <c r="DM58" i="43"/>
  <c r="DN58" i="43" s="1"/>
  <c r="DO58" i="43" s="1"/>
  <c r="DM30" i="43"/>
  <c r="DN30" i="43" s="1"/>
  <c r="DO30" i="43" s="1"/>
  <c r="K53" i="35"/>
  <c r="DH267" i="43"/>
  <c r="K56" i="35"/>
  <c r="DN380" i="43"/>
  <c r="DO380" i="43" s="1"/>
  <c r="AQ380" i="43" s="1"/>
  <c r="GM334" i="43"/>
  <c r="GO334" i="43" s="1"/>
  <c r="BB334" i="43" s="1"/>
  <c r="BD334" i="43" s="1"/>
  <c r="HA362" i="43"/>
  <c r="HC362" i="43" s="1"/>
  <c r="CP362" i="43" s="1"/>
  <c r="CR362" i="43" s="1"/>
  <c r="HH337" i="43"/>
  <c r="HJ337" i="43" s="1"/>
  <c r="DI337" i="43" s="1"/>
  <c r="DK337" i="43" s="1"/>
  <c r="DM77" i="43"/>
  <c r="DN77" i="43" s="1"/>
  <c r="DO77" i="43" s="1"/>
  <c r="HH345" i="43"/>
  <c r="HJ345" i="43" s="1"/>
  <c r="DI345" i="43" s="1"/>
  <c r="DK345" i="43" s="1"/>
  <c r="DM29" i="43"/>
  <c r="DN29" i="43" s="1"/>
  <c r="DO29" i="43" s="1"/>
  <c r="DM177" i="43"/>
  <c r="DN177" i="43" s="1"/>
  <c r="DO177" i="43" s="1"/>
  <c r="DN321" i="43"/>
  <c r="DO321" i="43" s="1"/>
  <c r="DM191" i="43"/>
  <c r="DN191" i="43" s="1"/>
  <c r="DO191" i="43" s="1"/>
  <c r="GM364" i="43"/>
  <c r="GO364" i="43" s="1"/>
  <c r="BB364" i="43" s="1"/>
  <c r="BD364" i="43" s="1"/>
  <c r="DL251" i="43"/>
  <c r="DM251" i="43" s="1"/>
  <c r="K78" i="35"/>
  <c r="DM88" i="43"/>
  <c r="DN88" i="43" s="1"/>
  <c r="DO88" i="43" s="1"/>
  <c r="DN359" i="43"/>
  <c r="DO359" i="43" s="1"/>
  <c r="H22" i="44"/>
  <c r="H24" i="44" s="1"/>
  <c r="DM145" i="43"/>
  <c r="DN145" i="43" s="1"/>
  <c r="DO145" i="43" s="1"/>
  <c r="HA334" i="43"/>
  <c r="HC334" i="43" s="1"/>
  <c r="CP334" i="43" s="1"/>
  <c r="CR334" i="43" s="1"/>
  <c r="DM381" i="43"/>
  <c r="DO381" i="43" s="1"/>
  <c r="DM91" i="43"/>
  <c r="DN91" i="43" s="1"/>
  <c r="DO91" i="43" s="1"/>
  <c r="HH334" i="43"/>
  <c r="HJ334" i="43" s="1"/>
  <c r="DI334" i="43" s="1"/>
  <c r="DK334" i="43" s="1"/>
  <c r="L78" i="35"/>
  <c r="DM328" i="43"/>
  <c r="AH193" i="24"/>
  <c r="BT193" i="24"/>
  <c r="DH265" i="43"/>
  <c r="DM14" i="43"/>
  <c r="DN14" i="43" s="1"/>
  <c r="DO14" i="43" s="1"/>
  <c r="DH257" i="43"/>
  <c r="DM280" i="43"/>
  <c r="HA363" i="43"/>
  <c r="HC363" i="43" s="1"/>
  <c r="CP363" i="43" s="1"/>
  <c r="CR363" i="43" s="1"/>
  <c r="DN319" i="43"/>
  <c r="DO319" i="43" s="1"/>
  <c r="HH363" i="43"/>
  <c r="HJ363" i="43" s="1"/>
  <c r="DI363" i="43" s="1"/>
  <c r="DK363" i="43" s="1"/>
  <c r="DM124" i="43"/>
  <c r="DN124" i="43" s="1"/>
  <c r="DO124" i="43" s="1"/>
  <c r="DM308" i="43"/>
  <c r="DM203" i="43"/>
  <c r="DN203" i="43" s="1"/>
  <c r="DO203" i="43" s="1"/>
  <c r="DH264" i="43"/>
  <c r="DM197" i="43"/>
  <c r="DN197" i="43" s="1"/>
  <c r="DO197" i="43" s="1"/>
  <c r="DM116" i="43"/>
  <c r="DN116" i="43" s="1"/>
  <c r="DO116" i="43" s="1"/>
  <c r="DM286" i="43"/>
  <c r="DN286" i="43" s="1"/>
  <c r="HH362" i="43"/>
  <c r="HJ362" i="43" s="1"/>
  <c r="DI362" i="43" s="1"/>
  <c r="DK362" i="43" s="1"/>
  <c r="DM144" i="43"/>
  <c r="DN144" i="43" s="1"/>
  <c r="DO144" i="43" s="1"/>
  <c r="DH342" i="43"/>
  <c r="DM96" i="43"/>
  <c r="DN96" i="43" s="1"/>
  <c r="DO96" i="43" s="1"/>
  <c r="DM148" i="43"/>
  <c r="DN148" i="43" s="1"/>
  <c r="DO148" i="43" s="1"/>
  <c r="DM84" i="43"/>
  <c r="DN84" i="43" s="1"/>
  <c r="DO84" i="43" s="1"/>
  <c r="HA361" i="43"/>
  <c r="HC361" i="43" s="1"/>
  <c r="CP361" i="43" s="1"/>
  <c r="CR361" i="43" s="1"/>
  <c r="GM361" i="43"/>
  <c r="GO361" i="43" s="1"/>
  <c r="BB361" i="43" s="1"/>
  <c r="BD361" i="43" s="1"/>
  <c r="GT361" i="43"/>
  <c r="GV361" i="43" s="1"/>
  <c r="BU361" i="43" s="1"/>
  <c r="BW361" i="43" s="1"/>
  <c r="DM100" i="43"/>
  <c r="DN100" i="43" s="1"/>
  <c r="DO100" i="43" s="1"/>
  <c r="K50" i="35"/>
  <c r="DM296" i="43"/>
  <c r="DN296" i="43" s="1"/>
  <c r="GT333" i="43"/>
  <c r="GV333" i="43" s="1"/>
  <c r="BU333" i="43" s="1"/>
  <c r="BW333" i="43" s="1"/>
  <c r="GM333" i="43"/>
  <c r="GO333" i="43" s="1"/>
  <c r="BB333" i="43" s="1"/>
  <c r="BD333" i="43" s="1"/>
  <c r="DM73" i="43"/>
  <c r="DN73" i="43" s="1"/>
  <c r="DO73" i="43" s="1"/>
  <c r="HH344" i="43"/>
  <c r="HJ344" i="43" s="1"/>
  <c r="DI344" i="43" s="1"/>
  <c r="DK344" i="43" s="1"/>
  <c r="DM65" i="43"/>
  <c r="DN65" i="43" s="1"/>
  <c r="DO65" i="43" s="1"/>
  <c r="DH206" i="43"/>
  <c r="DM282" i="43"/>
  <c r="HA364" i="43"/>
  <c r="HC364" i="43" s="1"/>
  <c r="CP364" i="43" s="1"/>
  <c r="CR364" i="43" s="1"/>
  <c r="HA375" i="43"/>
  <c r="HC375" i="43" s="1"/>
  <c r="CP375" i="43" s="1"/>
  <c r="CR375" i="43" s="1"/>
  <c r="DM112" i="43"/>
  <c r="DN112" i="43" s="1"/>
  <c r="DO112" i="43" s="1"/>
  <c r="DM298" i="43"/>
  <c r="DH348" i="43"/>
  <c r="DM12" i="43"/>
  <c r="DN12" i="43" s="1"/>
  <c r="DO12" i="43" s="1"/>
  <c r="DM128" i="43"/>
  <c r="DN128" i="43" s="1"/>
  <c r="DO128" i="43" s="1"/>
  <c r="HH365" i="43"/>
  <c r="HJ365" i="43" s="1"/>
  <c r="DI365" i="43" s="1"/>
  <c r="DK365" i="43" s="1"/>
  <c r="HH374" i="43"/>
  <c r="HJ374" i="43" s="1"/>
  <c r="DI374" i="43" s="1"/>
  <c r="DK374" i="43" s="1"/>
  <c r="GM374" i="43"/>
  <c r="GO374" i="43" s="1"/>
  <c r="BB374" i="43" s="1"/>
  <c r="BD374" i="43" s="1"/>
  <c r="GT362" i="43"/>
  <c r="GV362" i="43" s="1"/>
  <c r="BU362" i="43" s="1"/>
  <c r="BW362" i="43" s="1"/>
  <c r="DM373" i="43"/>
  <c r="DM352" i="43"/>
  <c r="DM22" i="43"/>
  <c r="DN22" i="43" s="1"/>
  <c r="DO22" i="43" s="1"/>
  <c r="DM196" i="43"/>
  <c r="DN196" i="43" s="1"/>
  <c r="DO196" i="43" s="1"/>
  <c r="DM32" i="43"/>
  <c r="DN32" i="43" s="1"/>
  <c r="DO32" i="43" s="1"/>
  <c r="AQ32" i="43" s="1"/>
  <c r="HA333" i="43"/>
  <c r="HC333" i="43" s="1"/>
  <c r="CP333" i="43" s="1"/>
  <c r="CR333" i="43" s="1"/>
  <c r="DH39" i="43"/>
  <c r="DH249" i="43"/>
  <c r="DL334" i="43"/>
  <c r="DM334" i="43" s="1"/>
  <c r="HA330" i="43"/>
  <c r="HC330" i="43" s="1"/>
  <c r="CP330" i="43" s="1"/>
  <c r="CR330" i="43" s="1"/>
  <c r="DN379" i="43"/>
  <c r="DO379" i="43" s="1"/>
  <c r="DN311" i="43"/>
  <c r="DO311" i="43" s="1"/>
  <c r="HH330" i="43"/>
  <c r="HJ330" i="43" s="1"/>
  <c r="DI330" i="43" s="1"/>
  <c r="DK330" i="43" s="1"/>
  <c r="HH332" i="43"/>
  <c r="HJ332" i="43" s="1"/>
  <c r="DI332" i="43" s="1"/>
  <c r="DK332" i="43" s="1"/>
  <c r="DL243" i="43"/>
  <c r="DM243" i="43" s="1"/>
  <c r="DH259" i="43"/>
  <c r="DM294" i="43"/>
  <c r="DN294" i="43" s="1"/>
  <c r="GT330" i="43"/>
  <c r="GV330" i="43" s="1"/>
  <c r="BU330" i="43" s="1"/>
  <c r="BW330" i="43" s="1"/>
  <c r="DM331" i="43"/>
  <c r="DM290" i="43"/>
  <c r="GT335" i="43"/>
  <c r="GV335" i="43" s="1"/>
  <c r="BU335" i="43" s="1"/>
  <c r="BW335" i="43" s="1"/>
  <c r="HA335" i="43"/>
  <c r="HC335" i="43" s="1"/>
  <c r="CP335" i="43" s="1"/>
  <c r="CR335" i="43" s="1"/>
  <c r="DM377" i="43"/>
  <c r="HH335" i="43"/>
  <c r="HJ335" i="43" s="1"/>
  <c r="DI335" i="43" s="1"/>
  <c r="DK335" i="43" s="1"/>
  <c r="GM363" i="43"/>
  <c r="GO363" i="43" s="1"/>
  <c r="BB363" i="43" s="1"/>
  <c r="BD363" i="43" s="1"/>
  <c r="GM332" i="43"/>
  <c r="HA332" i="43"/>
  <c r="HC332" i="43" s="1"/>
  <c r="CP332" i="43" s="1"/>
  <c r="CR332" i="43" s="1"/>
  <c r="HJ333" i="43"/>
  <c r="DI333" i="43" s="1"/>
  <c r="DK333" i="43" s="1"/>
  <c r="GM358" i="43"/>
  <c r="GO358" i="43" s="1"/>
  <c r="BB358" i="43" s="1"/>
  <c r="BD358" i="43" s="1"/>
  <c r="HH354" i="43"/>
  <c r="HJ354" i="43" s="1"/>
  <c r="DI354" i="43" s="1"/>
  <c r="DK354" i="43" s="1"/>
  <c r="HA381" i="43"/>
  <c r="HC381" i="43" s="1"/>
  <c r="CP381" i="43" s="1"/>
  <c r="CR381" i="43" s="1"/>
  <c r="Y11" i="43"/>
  <c r="S11" i="43"/>
  <c r="X11" i="43" s="1"/>
  <c r="GT364" i="43"/>
  <c r="GV364" i="43" s="1"/>
  <c r="BU364" i="43" s="1"/>
  <c r="BW364" i="43" s="1"/>
  <c r="GT381" i="43"/>
  <c r="GV381" i="43" s="1"/>
  <c r="BU381" i="43" s="1"/>
  <c r="BW381" i="43" s="1"/>
  <c r="DM207" i="43"/>
  <c r="DN207" i="43" s="1"/>
  <c r="DO207" i="43" s="1"/>
  <c r="GM381" i="43"/>
  <c r="GO381" i="43" s="1"/>
  <c r="BB381" i="43" s="1"/>
  <c r="BD381" i="43" s="1"/>
  <c r="DM61" i="43"/>
  <c r="DN61" i="43" s="1"/>
  <c r="DO61" i="43" s="1"/>
  <c r="DL216" i="43"/>
  <c r="DM216" i="43" s="1"/>
  <c r="DN216" i="43" s="1"/>
  <c r="HA370" i="43"/>
  <c r="HC370" i="43" s="1"/>
  <c r="CP370" i="43" s="1"/>
  <c r="CR370" i="43" s="1"/>
  <c r="GT374" i="43"/>
  <c r="GV374" i="43" s="1"/>
  <c r="BU374" i="43" s="1"/>
  <c r="BW374" i="43" s="1"/>
  <c r="HA368" i="43"/>
  <c r="HC368" i="43" s="1"/>
  <c r="CP368" i="43" s="1"/>
  <c r="CR368" i="43" s="1"/>
  <c r="HA367" i="43"/>
  <c r="HC367" i="43" s="1"/>
  <c r="CP367" i="43" s="1"/>
  <c r="CR367" i="43" s="1"/>
  <c r="HA377" i="43"/>
  <c r="HC377" i="43" s="1"/>
  <c r="CP377" i="43" s="1"/>
  <c r="CR377" i="43" s="1"/>
  <c r="GT369" i="43"/>
  <c r="GV369" i="43" s="1"/>
  <c r="BU369" i="43" s="1"/>
  <c r="BW369" i="43" s="1"/>
  <c r="GM365" i="43"/>
  <c r="GO365" i="43" s="1"/>
  <c r="BB365" i="43" s="1"/>
  <c r="BD365" i="43" s="1"/>
  <c r="HA344" i="43"/>
  <c r="HC344" i="43" s="1"/>
  <c r="CP344" i="43" s="1"/>
  <c r="CR344" i="43" s="1"/>
  <c r="GT342" i="43"/>
  <c r="GV342" i="43" s="1"/>
  <c r="BU342" i="43" s="1"/>
  <c r="BW342" i="43" s="1"/>
  <c r="GT344" i="43"/>
  <c r="GV344" i="43" s="1"/>
  <c r="BU344" i="43" s="1"/>
  <c r="BW344" i="43" s="1"/>
  <c r="HH348" i="43"/>
  <c r="HJ348" i="43" s="1"/>
  <c r="DI348" i="43" s="1"/>
  <c r="DK348" i="43" s="1"/>
  <c r="DN315" i="43"/>
  <c r="DO315" i="43" s="1"/>
  <c r="HA331" i="43"/>
  <c r="HC331" i="43" s="1"/>
  <c r="CP331" i="43" s="1"/>
  <c r="CR331" i="43" s="1"/>
  <c r="DM312" i="43"/>
  <c r="DM168" i="43"/>
  <c r="DN168" i="43" s="1"/>
  <c r="DO168" i="43" s="1"/>
  <c r="DH256" i="43"/>
  <c r="DO240" i="43"/>
  <c r="CT240" i="43" s="1"/>
  <c r="GT348" i="43"/>
  <c r="GV348" i="43" s="1"/>
  <c r="BU348" i="43" s="1"/>
  <c r="BW348" i="43" s="1"/>
  <c r="DN355" i="43"/>
  <c r="DO355" i="43" s="1"/>
  <c r="HH331" i="43"/>
  <c r="HJ331" i="43" s="1"/>
  <c r="DI331" i="43" s="1"/>
  <c r="DK331" i="43" s="1"/>
  <c r="DM169" i="43"/>
  <c r="DN169" i="43" s="1"/>
  <c r="DO169" i="43" s="1"/>
  <c r="HA336" i="43"/>
  <c r="HC336" i="43" s="1"/>
  <c r="CP336" i="43" s="1"/>
  <c r="CR336" i="43" s="1"/>
  <c r="HA355" i="43"/>
  <c r="HC355" i="43" s="1"/>
  <c r="CP355" i="43" s="1"/>
  <c r="CR355" i="43" s="1"/>
  <c r="HA378" i="43"/>
  <c r="HC378" i="43" s="1"/>
  <c r="CP378" i="43" s="1"/>
  <c r="CR378" i="43" s="1"/>
  <c r="HA348" i="43"/>
  <c r="HC348" i="43" s="1"/>
  <c r="CP348" i="43" s="1"/>
  <c r="CR348" i="43" s="1"/>
  <c r="DN353" i="43"/>
  <c r="DO353" i="43" s="1"/>
  <c r="GT338" i="43"/>
  <c r="GV338" i="43" s="1"/>
  <c r="BU338" i="43" s="1"/>
  <c r="BW338" i="43" s="1"/>
  <c r="GM355" i="43"/>
  <c r="GO355" i="43" s="1"/>
  <c r="BB355" i="43" s="1"/>
  <c r="BD355" i="43" s="1"/>
  <c r="DH248" i="43"/>
  <c r="DL263" i="43"/>
  <c r="DM263" i="43" s="1"/>
  <c r="DN263" i="43" s="1"/>
  <c r="DM375" i="43"/>
  <c r="HH336" i="43"/>
  <c r="HJ336" i="43" s="1"/>
  <c r="DI336" i="43" s="1"/>
  <c r="DK336" i="43" s="1"/>
  <c r="DH247" i="43"/>
  <c r="GT336" i="43"/>
  <c r="GV336" i="43" s="1"/>
  <c r="BU336" i="43" s="1"/>
  <c r="BW336" i="43" s="1"/>
  <c r="GT355" i="43"/>
  <c r="GV355" i="43" s="1"/>
  <c r="BU355" i="43" s="1"/>
  <c r="BW355" i="43" s="1"/>
  <c r="DM179" i="43"/>
  <c r="DN179" i="43" s="1"/>
  <c r="DO179" i="43" s="1"/>
  <c r="AQ179" i="43" s="1"/>
  <c r="AG381" i="24"/>
  <c r="DL340" i="43"/>
  <c r="DM340" i="43" s="1"/>
  <c r="L53" i="35"/>
  <c r="HH375" i="43"/>
  <c r="HJ375" i="43" s="1"/>
  <c r="DI375" i="43" s="1"/>
  <c r="DK375" i="43" s="1"/>
  <c r="HA358" i="43"/>
  <c r="HC358" i="43" s="1"/>
  <c r="CP358" i="43" s="1"/>
  <c r="CR358" i="43" s="1"/>
  <c r="GM373" i="43"/>
  <c r="GO373" i="43" s="1"/>
  <c r="BB373" i="43" s="1"/>
  <c r="BD373" i="43" s="1"/>
  <c r="DM284" i="43"/>
  <c r="DM363" i="43"/>
  <c r="HA346" i="43"/>
  <c r="HC346" i="43" s="1"/>
  <c r="CP346" i="43" s="1"/>
  <c r="CR346" i="43" s="1"/>
  <c r="GT340" i="43"/>
  <c r="GV340" i="43" s="1"/>
  <c r="BU340" i="43" s="1"/>
  <c r="BW340" i="43" s="1"/>
  <c r="DN374" i="43"/>
  <c r="DO374" i="43" s="1"/>
  <c r="DM34" i="43"/>
  <c r="DN34" i="43" s="1"/>
  <c r="DO34" i="43" s="1"/>
  <c r="HH346" i="43"/>
  <c r="HJ346" i="43" s="1"/>
  <c r="DI346" i="43" s="1"/>
  <c r="DK346" i="43" s="1"/>
  <c r="GT358" i="43"/>
  <c r="GV358" i="43" s="1"/>
  <c r="BU358" i="43" s="1"/>
  <c r="BW358" i="43" s="1"/>
  <c r="DN357" i="43"/>
  <c r="DO357" i="43" s="1"/>
  <c r="DH90" i="43"/>
  <c r="GT346" i="43"/>
  <c r="GV346" i="43" s="1"/>
  <c r="BU346" i="43" s="1"/>
  <c r="BW346" i="43" s="1"/>
  <c r="GM342" i="43"/>
  <c r="GO342" i="43" s="1"/>
  <c r="BB342" i="43" s="1"/>
  <c r="BD342" i="43" s="1"/>
  <c r="HH350" i="43"/>
  <c r="HJ350" i="43" s="1"/>
  <c r="DI350" i="43" s="1"/>
  <c r="DK350" i="43" s="1"/>
  <c r="GT331" i="43"/>
  <c r="GV331" i="43" s="1"/>
  <c r="BU331" i="43" s="1"/>
  <c r="BW331" i="43" s="1"/>
  <c r="DH244" i="43"/>
  <c r="DH252" i="43"/>
  <c r="DH260" i="43"/>
  <c r="DH268" i="43"/>
  <c r="HH367" i="43"/>
  <c r="HJ367" i="43" s="1"/>
  <c r="DI367" i="43" s="1"/>
  <c r="DK367" i="43" s="1"/>
  <c r="GM350" i="43"/>
  <c r="GO350" i="43" s="1"/>
  <c r="BB350" i="43" s="1"/>
  <c r="BD350" i="43" s="1"/>
  <c r="HH369" i="43"/>
  <c r="HJ369" i="43" s="1"/>
  <c r="DI369" i="43" s="1"/>
  <c r="DK369" i="43" s="1"/>
  <c r="GT352" i="43"/>
  <c r="GV352" i="43" s="1"/>
  <c r="BU352" i="43" s="1"/>
  <c r="BW352" i="43" s="1"/>
  <c r="GM340" i="43"/>
  <c r="GO340" i="43" s="1"/>
  <c r="BB340" i="43" s="1"/>
  <c r="BD340" i="43" s="1"/>
  <c r="HH340" i="43"/>
  <c r="HJ340" i="43" s="1"/>
  <c r="DI340" i="43" s="1"/>
  <c r="DK340" i="43" s="1"/>
  <c r="GM367" i="43"/>
  <c r="GO367" i="43" s="1"/>
  <c r="BB367" i="43" s="1"/>
  <c r="BD367" i="43" s="1"/>
  <c r="HA373" i="43"/>
  <c r="HC373" i="43" s="1"/>
  <c r="CP373" i="43" s="1"/>
  <c r="CR373" i="43" s="1"/>
  <c r="HA342" i="43"/>
  <c r="HC342" i="43" s="1"/>
  <c r="CP342" i="43" s="1"/>
  <c r="CR342" i="43" s="1"/>
  <c r="HA350" i="43"/>
  <c r="HC350" i="43" s="1"/>
  <c r="CP350" i="43" s="1"/>
  <c r="CR350" i="43" s="1"/>
  <c r="HH373" i="43"/>
  <c r="HJ373" i="43" s="1"/>
  <c r="DI373" i="43" s="1"/>
  <c r="DK373" i="43" s="1"/>
  <c r="HH356" i="43"/>
  <c r="HJ356" i="43" s="1"/>
  <c r="DI356" i="43" s="1"/>
  <c r="DK356" i="43" s="1"/>
  <c r="GT356" i="43"/>
  <c r="GV356" i="43" s="1"/>
  <c r="BU356" i="43" s="1"/>
  <c r="BW356" i="43" s="1"/>
  <c r="GT339" i="43"/>
  <c r="GV339" i="43" s="1"/>
  <c r="BU339" i="43" s="1"/>
  <c r="BW339" i="43" s="1"/>
  <c r="GM356" i="43"/>
  <c r="GO356" i="43" s="1"/>
  <c r="BB356" i="43" s="1"/>
  <c r="BD356" i="43" s="1"/>
  <c r="DM211" i="43"/>
  <c r="DN211" i="43" s="1"/>
  <c r="AH206" i="24"/>
  <c r="AG206" i="24"/>
  <c r="GT375" i="43"/>
  <c r="GV375" i="43" s="1"/>
  <c r="BU375" i="43" s="1"/>
  <c r="BW375" i="43" s="1"/>
  <c r="DN376" i="43"/>
  <c r="DO376" i="43" s="1"/>
  <c r="GT354" i="43"/>
  <c r="GV354" i="43" s="1"/>
  <c r="BU354" i="43" s="1"/>
  <c r="BW354" i="43" s="1"/>
  <c r="HH377" i="43"/>
  <c r="HJ377" i="43" s="1"/>
  <c r="DI377" i="43" s="1"/>
  <c r="DK377" i="43" s="1"/>
  <c r="GM352" i="43"/>
  <c r="GO352" i="43" s="1"/>
  <c r="BB352" i="43" s="1"/>
  <c r="BD352" i="43" s="1"/>
  <c r="DL332" i="43"/>
  <c r="DM332" i="43" s="1"/>
  <c r="DM278" i="43"/>
  <c r="DN278" i="43" s="1"/>
  <c r="GM370" i="43"/>
  <c r="GO370" i="43" s="1"/>
  <c r="BB370" i="43" s="1"/>
  <c r="BD370" i="43" s="1"/>
  <c r="DM41" i="43"/>
  <c r="DN41" i="43" s="1"/>
  <c r="DO41" i="43" s="1"/>
  <c r="HA354" i="43"/>
  <c r="HC354" i="43" s="1"/>
  <c r="CP354" i="43" s="1"/>
  <c r="CR354" i="43" s="1"/>
  <c r="GT377" i="43"/>
  <c r="GV377" i="43" s="1"/>
  <c r="BU377" i="43" s="1"/>
  <c r="BW377" i="43" s="1"/>
  <c r="HH376" i="43"/>
  <c r="HJ376" i="43" s="1"/>
  <c r="DI376" i="43" s="1"/>
  <c r="DK376" i="43" s="1"/>
  <c r="DH271" i="43"/>
  <c r="DM378" i="43"/>
  <c r="DM306" i="43"/>
  <c r="HA338" i="43"/>
  <c r="HC338" i="43" s="1"/>
  <c r="CP338" i="43" s="1"/>
  <c r="CR338" i="43" s="1"/>
  <c r="HH338" i="43"/>
  <c r="HJ338" i="43" s="1"/>
  <c r="DI338" i="43" s="1"/>
  <c r="DK338" i="43" s="1"/>
  <c r="GT370" i="43"/>
  <c r="GV370" i="43" s="1"/>
  <c r="BU370" i="43" s="1"/>
  <c r="BW370" i="43" s="1"/>
  <c r="HA369" i="43"/>
  <c r="HA352" i="43"/>
  <c r="HC352" i="43" s="1"/>
  <c r="CP352" i="43" s="1"/>
  <c r="CR352" i="43" s="1"/>
  <c r="GO331" i="43"/>
  <c r="BB331" i="43" s="1"/>
  <c r="BD331" i="43" s="1"/>
  <c r="HJ352" i="43"/>
  <c r="DI352" i="43" s="1"/>
  <c r="DK352" i="43" s="1"/>
  <c r="DH31" i="43"/>
  <c r="DH346" i="43"/>
  <c r="DH245" i="43"/>
  <c r="DH253" i="43"/>
  <c r="DH261" i="43"/>
  <c r="DH269" i="43"/>
  <c r="P18" i="44"/>
  <c r="DH338" i="43"/>
  <c r="J33" i="35"/>
  <c r="HA376" i="43"/>
  <c r="HA365" i="43"/>
  <c r="HC365" i="43" s="1"/>
  <c r="CP365" i="43" s="1"/>
  <c r="CR365" i="43" s="1"/>
  <c r="GT376" i="43"/>
  <c r="GV376" i="43" s="1"/>
  <c r="BU376" i="43" s="1"/>
  <c r="BW376" i="43" s="1"/>
  <c r="HA339" i="43"/>
  <c r="HH339" i="43"/>
  <c r="HJ339" i="43" s="1"/>
  <c r="DI339" i="43" s="1"/>
  <c r="DK339" i="43" s="1"/>
  <c r="DM300" i="43"/>
  <c r="DL365" i="43"/>
  <c r="DM365" i="43" s="1"/>
  <c r="DL217" i="43"/>
  <c r="DM217" i="43" s="1"/>
  <c r="DN217" i="43" s="1"/>
  <c r="HA337" i="43"/>
  <c r="HC337" i="43" s="1"/>
  <c r="CP337" i="43" s="1"/>
  <c r="CR337" i="43" s="1"/>
  <c r="GT337" i="43"/>
  <c r="GV337" i="43" s="1"/>
  <c r="BU337" i="43" s="1"/>
  <c r="BW337" i="43" s="1"/>
  <c r="HH353" i="43"/>
  <c r="HJ353" i="43" s="1"/>
  <c r="DI353" i="43" s="1"/>
  <c r="DK353" i="43" s="1"/>
  <c r="HA353" i="43"/>
  <c r="HC353" i="43" s="1"/>
  <c r="CP353" i="43" s="1"/>
  <c r="CR353" i="43" s="1"/>
  <c r="GT353" i="43"/>
  <c r="GV353" i="43" s="1"/>
  <c r="BU353" i="43" s="1"/>
  <c r="BW353" i="43" s="1"/>
  <c r="GM353" i="43"/>
  <c r="GT378" i="43"/>
  <c r="GV378" i="43" s="1"/>
  <c r="BU378" i="43" s="1"/>
  <c r="BW378" i="43" s="1"/>
  <c r="GM378" i="43"/>
  <c r="GM347" i="43"/>
  <c r="GT347" i="43"/>
  <c r="GV347" i="43" s="1"/>
  <c r="BU347" i="43" s="1"/>
  <c r="BW347" i="43" s="1"/>
  <c r="HA347" i="43"/>
  <c r="HC347" i="43" s="1"/>
  <c r="CP347" i="43" s="1"/>
  <c r="CR347" i="43" s="1"/>
  <c r="HH347" i="43"/>
  <c r="HJ347" i="43" s="1"/>
  <c r="DI347" i="43" s="1"/>
  <c r="DK347" i="43" s="1"/>
  <c r="GM368" i="43"/>
  <c r="GO368" i="43" s="1"/>
  <c r="BB368" i="43" s="1"/>
  <c r="BD368" i="43" s="1"/>
  <c r="HH368" i="43"/>
  <c r="HJ368" i="43" s="1"/>
  <c r="DI368" i="43" s="1"/>
  <c r="DK368" i="43" s="1"/>
  <c r="DH369" i="43"/>
  <c r="GT11" i="43"/>
  <c r="GV11" i="43" s="1"/>
  <c r="BU11" i="43" s="1"/>
  <c r="HA11" i="43"/>
  <c r="HC11" i="43" s="1"/>
  <c r="CP11" i="43" s="1"/>
  <c r="HH11" i="43"/>
  <c r="HJ11" i="43" s="1"/>
  <c r="DI11" i="43" s="1"/>
  <c r="GM11" i="43"/>
  <c r="HA345" i="43"/>
  <c r="HC345" i="43" s="1"/>
  <c r="CP345" i="43" s="1"/>
  <c r="CR345" i="43" s="1"/>
  <c r="GT345" i="43"/>
  <c r="GV345" i="43" s="1"/>
  <c r="BU345" i="43" s="1"/>
  <c r="BW345" i="43" s="1"/>
  <c r="AG193" i="24"/>
  <c r="W13" i="45"/>
  <c r="K19" i="44"/>
  <c r="K11" i="44"/>
  <c r="K15" i="44"/>
  <c r="DN35" i="43"/>
  <c r="DO35" i="43" s="1"/>
  <c r="DN19" i="43"/>
  <c r="DO19" i="43" s="1"/>
  <c r="DN371" i="43"/>
  <c r="DO371" i="43" s="1"/>
  <c r="DN31" i="43"/>
  <c r="DO31" i="43" s="1"/>
  <c r="DN233" i="43"/>
  <c r="DO233" i="43" s="1"/>
  <c r="DN27" i="43"/>
  <c r="DO27" i="43" s="1"/>
  <c r="DN39" i="43"/>
  <c r="DO39" i="43" s="1"/>
  <c r="DN248" i="43"/>
  <c r="DO248" i="43" s="1"/>
  <c r="DN256" i="43"/>
  <c r="DO256" i="43" s="1"/>
  <c r="DN264" i="43"/>
  <c r="DO264" i="43" s="1"/>
  <c r="DN15" i="43"/>
  <c r="DO15" i="43" s="1"/>
  <c r="DN369" i="43"/>
  <c r="DO369" i="43" s="1"/>
  <c r="DM90" i="43"/>
  <c r="CX188" i="43"/>
  <c r="CT188" i="43"/>
  <c r="CC188" i="43"/>
  <c r="AQ188" i="43"/>
  <c r="BF188" i="43"/>
  <c r="BJ188" i="43"/>
  <c r="CA188" i="43"/>
  <c r="BY188" i="43"/>
  <c r="BH188" i="43"/>
  <c r="CV188" i="43"/>
  <c r="DN202" i="43"/>
  <c r="DO202" i="43" s="1"/>
  <c r="DN244" i="43"/>
  <c r="DO244" i="43" s="1"/>
  <c r="DN252" i="43"/>
  <c r="DO252" i="43" s="1"/>
  <c r="DN260" i="43"/>
  <c r="DO260" i="43" s="1"/>
  <c r="DN268" i="43"/>
  <c r="DO268" i="43" s="1"/>
  <c r="AQ36" i="43"/>
  <c r="CV36" i="43"/>
  <c r="CA36" i="43"/>
  <c r="BJ36" i="43"/>
  <c r="BF36" i="43"/>
  <c r="CX36" i="43"/>
  <c r="BY36" i="43"/>
  <c r="BH36" i="43"/>
  <c r="CC36" i="43"/>
  <c r="CT36" i="43"/>
  <c r="AQ48" i="43"/>
  <c r="CA48" i="43"/>
  <c r="BJ48" i="43"/>
  <c r="BF48" i="43"/>
  <c r="CV48" i="43"/>
  <c r="BY48" i="43"/>
  <c r="BH48" i="43"/>
  <c r="CT48" i="43"/>
  <c r="CC48" i="43"/>
  <c r="CX48" i="43"/>
  <c r="DN245" i="43"/>
  <c r="DO245" i="43" s="1"/>
  <c r="DN261" i="43"/>
  <c r="DO261" i="43" s="1"/>
  <c r="DN345" i="43"/>
  <c r="DO345" i="43" s="1"/>
  <c r="AH367" i="24"/>
  <c r="AG367" i="24"/>
  <c r="AH122" i="24"/>
  <c r="AG122" i="24"/>
  <c r="DN95" i="43"/>
  <c r="DO95" i="43" s="1"/>
  <c r="P15" i="44"/>
  <c r="P9" i="22"/>
  <c r="DN220" i="43"/>
  <c r="DO220" i="43" s="1"/>
  <c r="DM104" i="43"/>
  <c r="DM154" i="43"/>
  <c r="DM152" i="43"/>
  <c r="L50" i="35"/>
  <c r="K20" i="34"/>
  <c r="DL239" i="43"/>
  <c r="DM239" i="43" s="1"/>
  <c r="DN351" i="43"/>
  <c r="DO351" i="43" s="1"/>
  <c r="DN364" i="43"/>
  <c r="DO364" i="43" s="1"/>
  <c r="AH14" i="24"/>
  <c r="AG14" i="24"/>
  <c r="AH23" i="24"/>
  <c r="AG23" i="24"/>
  <c r="AH295" i="24"/>
  <c r="AG295" i="24"/>
  <c r="AG28" i="24"/>
  <c r="AH28" i="24"/>
  <c r="AG173" i="24"/>
  <c r="AH173" i="24"/>
  <c r="J10" i="22"/>
  <c r="AG228" i="24"/>
  <c r="AH228" i="24"/>
  <c r="DN42" i="43"/>
  <c r="DO42" i="43" s="1"/>
  <c r="DM123" i="43"/>
  <c r="DL225" i="43"/>
  <c r="DM225" i="43" s="1"/>
  <c r="DN271" i="43"/>
  <c r="DO271" i="43" s="1"/>
  <c r="AH40" i="24"/>
  <c r="AG40" i="24"/>
  <c r="AH33" i="24"/>
  <c r="AG33" i="24"/>
  <c r="AH362" i="24"/>
  <c r="AG362" i="24"/>
  <c r="AH363" i="24"/>
  <c r="AG363" i="24"/>
  <c r="DN20" i="43"/>
  <c r="DO20" i="43" s="1"/>
  <c r="DN16" i="43"/>
  <c r="DO16" i="43" s="1"/>
  <c r="DN106" i="43"/>
  <c r="DO106" i="43" s="1"/>
  <c r="DM92" i="43"/>
  <c r="I71" i="34"/>
  <c r="I66" i="34"/>
  <c r="I61" i="34"/>
  <c r="I56" i="34"/>
  <c r="I51" i="34"/>
  <c r="I45" i="34"/>
  <c r="I41" i="34"/>
  <c r="I36" i="34"/>
  <c r="I32" i="34"/>
  <c r="I28" i="34"/>
  <c r="I24" i="34"/>
  <c r="I19" i="34"/>
  <c r="I14" i="34"/>
  <c r="I10" i="34"/>
  <c r="I74" i="34"/>
  <c r="I70" i="34"/>
  <c r="I65" i="34"/>
  <c r="I60" i="34"/>
  <c r="I54" i="34"/>
  <c r="I49" i="34"/>
  <c r="I44" i="34"/>
  <c r="I40" i="34"/>
  <c r="I35" i="34"/>
  <c r="I31" i="34"/>
  <c r="I27" i="34"/>
  <c r="I23" i="34"/>
  <c r="I18" i="34"/>
  <c r="I13" i="34"/>
  <c r="I72" i="34"/>
  <c r="I68" i="34"/>
  <c r="I63" i="34"/>
  <c r="I57" i="34"/>
  <c r="I52" i="34"/>
  <c r="I46" i="34"/>
  <c r="I42" i="34"/>
  <c r="I37" i="34"/>
  <c r="I33" i="34"/>
  <c r="I25" i="34"/>
  <c r="I20" i="34"/>
  <c r="I15" i="34"/>
  <c r="I11" i="34"/>
  <c r="I69" i="34"/>
  <c r="I48" i="34"/>
  <c r="I30" i="34"/>
  <c r="I12" i="34"/>
  <c r="H7" i="34"/>
  <c r="H29" i="34" s="1"/>
  <c r="I64" i="34"/>
  <c r="I43" i="34"/>
  <c r="I26" i="34"/>
  <c r="I58" i="34"/>
  <c r="I38" i="34"/>
  <c r="I6" i="34"/>
  <c r="I73" i="34"/>
  <c r="I53" i="34"/>
  <c r="I34" i="34"/>
  <c r="I16" i="34"/>
  <c r="DM68" i="43"/>
  <c r="DM66" i="43"/>
  <c r="DH79" i="43"/>
  <c r="DL79" i="43"/>
  <c r="DH162" i="43"/>
  <c r="DL162" i="43"/>
  <c r="DN181" i="43"/>
  <c r="DO181" i="43" s="1"/>
  <c r="DN204" i="43"/>
  <c r="DL199" i="43"/>
  <c r="DM199" i="43" s="1"/>
  <c r="P16" i="44"/>
  <c r="DH230" i="43"/>
  <c r="DL276" i="43"/>
  <c r="DM276" i="43" s="1"/>
  <c r="DH276" i="43"/>
  <c r="DN313" i="43"/>
  <c r="DO313" i="43" s="1"/>
  <c r="GT360" i="43"/>
  <c r="GV360" i="43" s="1"/>
  <c r="BU360" i="43" s="1"/>
  <c r="BW360" i="43" s="1"/>
  <c r="HH360" i="43"/>
  <c r="HJ360" i="43" s="1"/>
  <c r="DI360" i="43" s="1"/>
  <c r="DK360" i="43" s="1"/>
  <c r="GM360" i="43"/>
  <c r="HA360" i="43"/>
  <c r="HC360" i="43" s="1"/>
  <c r="CP360" i="43" s="1"/>
  <c r="CR360" i="43" s="1"/>
  <c r="GT349" i="43"/>
  <c r="GV349" i="43" s="1"/>
  <c r="BU349" i="43" s="1"/>
  <c r="BW349" i="43" s="1"/>
  <c r="GM349" i="43"/>
  <c r="HA349" i="43"/>
  <c r="HC349" i="43" s="1"/>
  <c r="CP349" i="43" s="1"/>
  <c r="CR349" i="43" s="1"/>
  <c r="HH349" i="43"/>
  <c r="HJ349" i="43" s="1"/>
  <c r="DI349" i="43" s="1"/>
  <c r="DK349" i="43" s="1"/>
  <c r="DL361" i="43"/>
  <c r="DM361" i="43" s="1"/>
  <c r="AH157" i="24"/>
  <c r="AG157" i="24"/>
  <c r="AH211" i="24"/>
  <c r="AG211" i="24"/>
  <c r="AH220" i="24"/>
  <c r="AG220" i="24"/>
  <c r="AH214" i="24"/>
  <c r="AG214" i="24"/>
  <c r="AH274" i="24"/>
  <c r="AG274" i="24"/>
  <c r="AH287" i="24"/>
  <c r="AG287" i="24"/>
  <c r="AH342" i="24"/>
  <c r="AG342" i="24"/>
  <c r="AH120" i="24"/>
  <c r="AG120" i="24"/>
  <c r="AG156" i="24"/>
  <c r="AH156" i="24"/>
  <c r="AH161" i="24"/>
  <c r="AG161" i="24"/>
  <c r="AG229" i="24"/>
  <c r="AH229" i="24"/>
  <c r="AH291" i="24"/>
  <c r="AG291" i="24"/>
  <c r="AG300" i="24"/>
  <c r="AH300" i="24"/>
  <c r="AC389" i="45"/>
  <c r="DN13" i="43"/>
  <c r="DO13" i="43" s="1"/>
  <c r="DN21" i="43"/>
  <c r="DO21" i="43" s="1"/>
  <c r="DN37" i="43"/>
  <c r="DO37" i="43" s="1"/>
  <c r="DN45" i="43"/>
  <c r="DO45" i="43" s="1"/>
  <c r="DL43" i="43"/>
  <c r="DM43" i="43" s="1"/>
  <c r="DL82" i="43"/>
  <c r="DL98" i="43"/>
  <c r="DM85" i="43"/>
  <c r="DM93" i="43"/>
  <c r="DM101" i="43"/>
  <c r="DM156" i="43"/>
  <c r="DM133" i="43"/>
  <c r="DN153" i="43"/>
  <c r="DO153" i="43" s="1"/>
  <c r="DL160" i="43"/>
  <c r="DH160" i="43"/>
  <c r="DM205" i="43"/>
  <c r="DN213" i="43"/>
  <c r="DO213" i="43" s="1"/>
  <c r="DL285" i="43"/>
  <c r="DM285" i="43" s="1"/>
  <c r="DH285" i="43"/>
  <c r="DH289" i="43"/>
  <c r="DL289" i="43"/>
  <c r="DM289" i="43" s="1"/>
  <c r="GM341" i="43"/>
  <c r="GT341" i="43"/>
  <c r="GV341" i="43" s="1"/>
  <c r="BU341" i="43" s="1"/>
  <c r="BW341" i="43" s="1"/>
  <c r="HA341" i="43"/>
  <c r="HC341" i="43" s="1"/>
  <c r="CP341" i="43" s="1"/>
  <c r="CR341" i="43" s="1"/>
  <c r="HH341" i="43"/>
  <c r="HJ341" i="43" s="1"/>
  <c r="DI341" i="43" s="1"/>
  <c r="DK341" i="43" s="1"/>
  <c r="P20" i="44"/>
  <c r="AH25" i="24"/>
  <c r="AG25" i="24"/>
  <c r="AH132" i="24"/>
  <c r="AG132" i="24"/>
  <c r="K13" i="44"/>
  <c r="AH208" i="24"/>
  <c r="AG208" i="24"/>
  <c r="AG275" i="24"/>
  <c r="AH275" i="24"/>
  <c r="DM69" i="43"/>
  <c r="DL102" i="43"/>
  <c r="DH102" i="43"/>
  <c r="DM132" i="43"/>
  <c r="DH118" i="43"/>
  <c r="DL118" i="43"/>
  <c r="DL138" i="43"/>
  <c r="DH138" i="43"/>
  <c r="DM129" i="43"/>
  <c r="DN187" i="43"/>
  <c r="DO187" i="43" s="1"/>
  <c r="DH199" i="43"/>
  <c r="L56" i="35"/>
  <c r="DN270" i="43"/>
  <c r="DO270" i="43" s="1"/>
  <c r="AH129" i="24"/>
  <c r="AG129" i="24"/>
  <c r="AG123" i="24"/>
  <c r="AH123" i="24"/>
  <c r="AH166" i="24"/>
  <c r="AG166" i="24"/>
  <c r="AG160" i="24"/>
  <c r="AH160" i="24"/>
  <c r="AH212" i="24"/>
  <c r="AG212" i="24"/>
  <c r="AG360" i="24"/>
  <c r="AH360" i="24"/>
  <c r="AH18" i="24"/>
  <c r="AG18" i="24"/>
  <c r="AH27" i="24"/>
  <c r="AG27" i="24"/>
  <c r="AH130" i="24"/>
  <c r="AG130" i="24"/>
  <c r="AH306" i="24"/>
  <c r="AG306" i="24"/>
  <c r="AG292" i="24"/>
  <c r="AH292" i="24"/>
  <c r="AH341" i="24"/>
  <c r="AG341" i="24"/>
  <c r="AG364" i="24"/>
  <c r="AH364" i="24"/>
  <c r="DN25" i="43"/>
  <c r="DO25" i="43" s="1"/>
  <c r="DN33" i="43"/>
  <c r="DO33" i="43" s="1"/>
  <c r="DN49" i="43"/>
  <c r="DO49" i="43" s="1"/>
  <c r="DL23" i="43"/>
  <c r="DM23" i="43" s="1"/>
  <c r="DL47" i="43"/>
  <c r="DM47" i="43" s="1"/>
  <c r="DL94" i="43"/>
  <c r="DM155" i="43"/>
  <c r="DL126" i="43"/>
  <c r="DH126" i="43"/>
  <c r="DL166" i="43"/>
  <c r="DH166" i="43"/>
  <c r="DN185" i="43"/>
  <c r="DO185" i="43" s="1"/>
  <c r="DH195" i="43"/>
  <c r="DN307" i="43"/>
  <c r="DO307" i="43" s="1"/>
  <c r="DL299" i="43"/>
  <c r="DM299" i="43" s="1"/>
  <c r="DH299" i="43"/>
  <c r="DN317" i="43"/>
  <c r="DO317" i="43" s="1"/>
  <c r="DN314" i="43"/>
  <c r="DO314" i="43" s="1"/>
  <c r="DN322" i="43"/>
  <c r="DO322" i="43" s="1"/>
  <c r="AH128" i="24"/>
  <c r="AG128" i="24"/>
  <c r="AG164" i="24"/>
  <c r="AH164" i="24"/>
  <c r="AH216" i="24"/>
  <c r="AG216" i="24"/>
  <c r="AG225" i="24"/>
  <c r="AH225" i="24"/>
  <c r="AH270" i="24"/>
  <c r="AG270" i="24"/>
  <c r="AH290" i="24"/>
  <c r="AG290" i="24"/>
  <c r="GO362" i="43"/>
  <c r="BB362" i="43" s="1"/>
  <c r="BD362" i="43" s="1"/>
  <c r="AQ183" i="43"/>
  <c r="CV183" i="43"/>
  <c r="CA183" i="43"/>
  <c r="BJ183" i="43"/>
  <c r="BF183" i="43"/>
  <c r="CC183" i="43"/>
  <c r="CT183" i="43"/>
  <c r="BY183" i="43"/>
  <c r="CX183" i="43"/>
  <c r="BH183" i="43"/>
  <c r="DM103" i="43"/>
  <c r="DM136" i="43"/>
  <c r="DN212" i="43"/>
  <c r="DO212" i="43" s="1"/>
  <c r="DN257" i="43"/>
  <c r="DO257" i="43" s="1"/>
  <c r="DL295" i="43"/>
  <c r="DM295" i="43" s="1"/>
  <c r="DH295" i="43"/>
  <c r="DN327" i="43"/>
  <c r="DO327" i="43" s="1"/>
  <c r="GT371" i="43"/>
  <c r="GV371" i="43" s="1"/>
  <c r="BU371" i="43" s="1"/>
  <c r="BW371" i="43" s="1"/>
  <c r="HH371" i="43"/>
  <c r="HJ371" i="43" s="1"/>
  <c r="DI371" i="43" s="1"/>
  <c r="DK371" i="43" s="1"/>
  <c r="GM371" i="43"/>
  <c r="HA371" i="43"/>
  <c r="HC371" i="43" s="1"/>
  <c r="CP371" i="43" s="1"/>
  <c r="CR371" i="43" s="1"/>
  <c r="AH22" i="24"/>
  <c r="AG22" i="24"/>
  <c r="AH15" i="24"/>
  <c r="AG15" i="24"/>
  <c r="AG278" i="24"/>
  <c r="AH278" i="24"/>
  <c r="AG43" i="24"/>
  <c r="AH43" i="24"/>
  <c r="K10" i="44"/>
  <c r="AH231" i="24"/>
  <c r="AG231" i="24"/>
  <c r="AG201" i="24"/>
  <c r="AH201" i="24"/>
  <c r="AH218" i="24"/>
  <c r="AG218" i="24"/>
  <c r="AH365" i="24"/>
  <c r="AG365" i="24"/>
  <c r="DH57" i="43"/>
  <c r="DL57" i="43"/>
  <c r="DN26" i="43"/>
  <c r="DO26" i="43" s="1"/>
  <c r="DH67" i="43"/>
  <c r="DL67" i="43"/>
  <c r="DN224" i="43"/>
  <c r="DO224" i="43" s="1"/>
  <c r="DN333" i="43"/>
  <c r="DO333" i="43" s="1"/>
  <c r="AH307" i="24"/>
  <c r="AG307" i="24"/>
  <c r="DM159" i="43"/>
  <c r="DL193" i="43"/>
  <c r="DM193" i="43" s="1"/>
  <c r="DN194" i="43"/>
  <c r="DO194" i="43" s="1"/>
  <c r="DN253" i="43"/>
  <c r="DO253" i="43" s="1"/>
  <c r="DN269" i="43"/>
  <c r="DO269" i="43" s="1"/>
  <c r="DN337" i="43"/>
  <c r="DO337" i="43" s="1"/>
  <c r="AH44" i="24"/>
  <c r="AG44" i="24"/>
  <c r="AH37" i="24"/>
  <c r="AG37" i="24"/>
  <c r="AH158" i="24"/>
  <c r="AG158" i="24"/>
  <c r="AH204" i="24"/>
  <c r="AG204" i="24"/>
  <c r="AH198" i="24"/>
  <c r="AG198" i="24"/>
  <c r="AG296" i="24"/>
  <c r="AH296" i="24"/>
  <c r="AH366" i="24"/>
  <c r="AG366" i="24"/>
  <c r="AG36" i="24"/>
  <c r="AH36" i="24"/>
  <c r="DN232" i="43"/>
  <c r="DO232" i="43" s="1"/>
  <c r="AH19" i="24"/>
  <c r="AG19" i="24"/>
  <c r="J102" i="35"/>
  <c r="J90" i="35"/>
  <c r="J82" i="35"/>
  <c r="J78" i="35"/>
  <c r="J74" i="35"/>
  <c r="J70" i="35"/>
  <c r="J62" i="35"/>
  <c r="J54" i="35"/>
  <c r="J50" i="35"/>
  <c r="J45" i="35"/>
  <c r="J32" i="35"/>
  <c r="J28" i="35"/>
  <c r="J19" i="35"/>
  <c r="J15" i="35"/>
  <c r="J11" i="35"/>
  <c r="J7" i="35"/>
  <c r="J97" i="35"/>
  <c r="J93" i="35"/>
  <c r="J89" i="35"/>
  <c r="J81" i="35"/>
  <c r="J69" i="35"/>
  <c r="J65" i="35"/>
  <c r="J61" i="35"/>
  <c r="J57" i="35"/>
  <c r="J53" i="35"/>
  <c r="J48" i="35"/>
  <c r="J44" i="35"/>
  <c r="J31" i="35"/>
  <c r="J27" i="35"/>
  <c r="J23" i="35"/>
  <c r="J18" i="35"/>
  <c r="J14" i="35"/>
  <c r="J10" i="35"/>
  <c r="J6" i="35"/>
  <c r="J103" i="35"/>
  <c r="J95" i="35"/>
  <c r="J83" i="35"/>
  <c r="J75" i="35"/>
  <c r="J67" i="35"/>
  <c r="J55" i="35"/>
  <c r="J46" i="35"/>
  <c r="J42" i="35"/>
  <c r="J37" i="35"/>
  <c r="J29" i="35"/>
  <c r="J16" i="35"/>
  <c r="J12" i="35"/>
  <c r="J8" i="35"/>
  <c r="I4" i="35"/>
  <c r="I81" i="35" s="1"/>
  <c r="J3" i="35"/>
  <c r="J56" i="35"/>
  <c r="J38" i="35"/>
  <c r="J84" i="35"/>
  <c r="J68" i="35"/>
  <c r="J52" i="35"/>
  <c r="J17" i="35"/>
  <c r="J96" i="35"/>
  <c r="J80" i="35"/>
  <c r="J47" i="35"/>
  <c r="J30" i="35"/>
  <c r="J13" i="35"/>
  <c r="J43" i="35"/>
  <c r="J9" i="35"/>
  <c r="DL180" i="43"/>
  <c r="DM180" i="43" s="1"/>
  <c r="DH180" i="43"/>
  <c r="DN198" i="43"/>
  <c r="DO198" i="43" s="1"/>
  <c r="DN324" i="43"/>
  <c r="DO324" i="43" s="1"/>
  <c r="DN348" i="43"/>
  <c r="DO348" i="43" s="1"/>
  <c r="DN338" i="43"/>
  <c r="DO338" i="43" s="1"/>
  <c r="DN360" i="43"/>
  <c r="DO360" i="43" s="1"/>
  <c r="DN368" i="43"/>
  <c r="DO368" i="43" s="1"/>
  <c r="AH47" i="24"/>
  <c r="AG47" i="24"/>
  <c r="AG24" i="24"/>
  <c r="AH24" i="24"/>
  <c r="AH46" i="24"/>
  <c r="AG46" i="24"/>
  <c r="AH196" i="24"/>
  <c r="AG196" i="24"/>
  <c r="AH286" i="24"/>
  <c r="AG286" i="24"/>
  <c r="AG288" i="24"/>
  <c r="AH288" i="24"/>
  <c r="AQ28" i="43"/>
  <c r="CV28" i="43"/>
  <c r="CA28" i="43"/>
  <c r="BJ28" i="43"/>
  <c r="BF28" i="43"/>
  <c r="CX28" i="43"/>
  <c r="BY28" i="43"/>
  <c r="BH28" i="43"/>
  <c r="CC28" i="43"/>
  <c r="CT28" i="43"/>
  <c r="P11" i="44"/>
  <c r="DM115" i="43"/>
  <c r="DM139" i="43"/>
  <c r="DM147" i="43"/>
  <c r="DL229" i="43"/>
  <c r="DM229" i="43" s="1"/>
  <c r="AH305" i="24"/>
  <c r="AG305" i="24"/>
  <c r="AQ24" i="43"/>
  <c r="CV24" i="43"/>
  <c r="DA24" i="43" s="1"/>
  <c r="CA24" i="43"/>
  <c r="CH24" i="43" s="1"/>
  <c r="BJ24" i="43"/>
  <c r="BF24" i="43"/>
  <c r="BY24" i="43"/>
  <c r="BH24" i="43"/>
  <c r="CC24" i="43"/>
  <c r="CT24" i="43"/>
  <c r="CX24" i="43"/>
  <c r="AQ40" i="43"/>
  <c r="CV40" i="43"/>
  <c r="CA40" i="43"/>
  <c r="BJ40" i="43"/>
  <c r="BF40" i="43"/>
  <c r="CX40" i="43"/>
  <c r="BY40" i="43"/>
  <c r="CT40" i="43"/>
  <c r="BH40" i="43"/>
  <c r="CC40" i="43"/>
  <c r="DM72" i="43"/>
  <c r="DM83" i="43"/>
  <c r="DH71" i="43"/>
  <c r="DL71" i="43"/>
  <c r="DM70" i="43"/>
  <c r="DM137" i="43"/>
  <c r="DM140" i="43"/>
  <c r="P13" i="44"/>
  <c r="DN192" i="43"/>
  <c r="DO192" i="43" s="1"/>
  <c r="DN184" i="43"/>
  <c r="DO184" i="43" s="1"/>
  <c r="DH212" i="43"/>
  <c r="DN238" i="43"/>
  <c r="DO238" i="43" s="1"/>
  <c r="DL303" i="43"/>
  <c r="DM303" i="43" s="1"/>
  <c r="DH303" i="43"/>
  <c r="DN325" i="43"/>
  <c r="DO325" i="43" s="1"/>
  <c r="DN323" i="43"/>
  <c r="DO323" i="43" s="1"/>
  <c r="DN320" i="43"/>
  <c r="DO320" i="43" s="1"/>
  <c r="DN342" i="43"/>
  <c r="DO342" i="43" s="1"/>
  <c r="HH357" i="43"/>
  <c r="HJ357" i="43" s="1"/>
  <c r="DI357" i="43" s="1"/>
  <c r="DK357" i="43" s="1"/>
  <c r="GM357" i="43"/>
  <c r="GT357" i="43"/>
  <c r="GV357" i="43" s="1"/>
  <c r="BU357" i="43" s="1"/>
  <c r="BW357" i="43" s="1"/>
  <c r="HA357" i="43"/>
  <c r="HC357" i="43" s="1"/>
  <c r="CP357" i="43" s="1"/>
  <c r="CR357" i="43" s="1"/>
  <c r="HH366" i="43"/>
  <c r="HJ366" i="43" s="1"/>
  <c r="DI366" i="43" s="1"/>
  <c r="DK366" i="43" s="1"/>
  <c r="HA366" i="43"/>
  <c r="HC366" i="43" s="1"/>
  <c r="CP366" i="43" s="1"/>
  <c r="CR366" i="43" s="1"/>
  <c r="GT366" i="43"/>
  <c r="GV366" i="43" s="1"/>
  <c r="BU366" i="43" s="1"/>
  <c r="BW366" i="43" s="1"/>
  <c r="GM366" i="43"/>
  <c r="AH131" i="24"/>
  <c r="AG131" i="24"/>
  <c r="AG174" i="24"/>
  <c r="AH174" i="24"/>
  <c r="AG213" i="24"/>
  <c r="AH213" i="24"/>
  <c r="AH269" i="24"/>
  <c r="AG269" i="24"/>
  <c r="AG271" i="24"/>
  <c r="AH271" i="24"/>
  <c r="AH294" i="24"/>
  <c r="AG294" i="24"/>
  <c r="AH303" i="24"/>
  <c r="AG303" i="24"/>
  <c r="AG309" i="24"/>
  <c r="AH309" i="24"/>
  <c r="AH159" i="24"/>
  <c r="AG159" i="24"/>
  <c r="AH215" i="24"/>
  <c r="AG215" i="24"/>
  <c r="AH224" i="24"/>
  <c r="AG224" i="24"/>
  <c r="K16" i="44"/>
  <c r="AH202" i="24"/>
  <c r="AG202" i="24"/>
  <c r="AH298" i="24"/>
  <c r="AG298" i="24"/>
  <c r="DN50" i="43"/>
  <c r="DO50" i="43" s="1"/>
  <c r="AB387" i="45"/>
  <c r="AA387" i="45" s="1"/>
  <c r="DH51" i="43"/>
  <c r="DL51" i="43"/>
  <c r="DM51" i="43" s="1"/>
  <c r="DM60" i="43"/>
  <c r="DH55" i="43"/>
  <c r="DL55" i="43"/>
  <c r="DM55" i="43" s="1"/>
  <c r="DL59" i="43"/>
  <c r="DH59" i="43"/>
  <c r="DM109" i="43"/>
  <c r="DM81" i="43"/>
  <c r="DM89" i="43"/>
  <c r="DM97" i="43"/>
  <c r="P14" i="44"/>
  <c r="DH193" i="43"/>
  <c r="DL130" i="43"/>
  <c r="DH130" i="43"/>
  <c r="AQ182" i="43"/>
  <c r="CV182" i="43"/>
  <c r="CA182" i="43"/>
  <c r="BJ182" i="43"/>
  <c r="BF182" i="43"/>
  <c r="CT182" i="43"/>
  <c r="CX182" i="43"/>
  <c r="BY182" i="43"/>
  <c r="CC182" i="43"/>
  <c r="BH182" i="43"/>
  <c r="AQ186" i="43"/>
  <c r="CV186" i="43"/>
  <c r="CA186" i="43"/>
  <c r="BJ186" i="43"/>
  <c r="BF186" i="43"/>
  <c r="CX186" i="43"/>
  <c r="BY186" i="43"/>
  <c r="CT186" i="43"/>
  <c r="CC186" i="43"/>
  <c r="BH186" i="43"/>
  <c r="DM121" i="43"/>
  <c r="DH208" i="43"/>
  <c r="P17" i="44"/>
  <c r="DL287" i="43"/>
  <c r="DM287" i="43" s="1"/>
  <c r="DH287" i="43"/>
  <c r="DH291" i="43"/>
  <c r="DL291" i="43"/>
  <c r="DM291" i="43" s="1"/>
  <c r="DL330" i="43"/>
  <c r="DM330" i="43" s="1"/>
  <c r="DN354" i="43"/>
  <c r="DO354" i="43" s="1"/>
  <c r="GM379" i="43"/>
  <c r="GT379" i="43"/>
  <c r="GV379" i="43" s="1"/>
  <c r="BU379" i="43" s="1"/>
  <c r="BW379" i="43" s="1"/>
  <c r="HA379" i="43"/>
  <c r="HC379" i="43" s="1"/>
  <c r="CP379" i="43" s="1"/>
  <c r="CR379" i="43" s="1"/>
  <c r="HH379" i="43"/>
  <c r="HJ379" i="43" s="1"/>
  <c r="DI379" i="43" s="1"/>
  <c r="DK379" i="43" s="1"/>
  <c r="AH125" i="24"/>
  <c r="AG125" i="24"/>
  <c r="AH297" i="24"/>
  <c r="AG297" i="24"/>
  <c r="DH150" i="43"/>
  <c r="DL150" i="43"/>
  <c r="DM117" i="43"/>
  <c r="DM149" i="43"/>
  <c r="DN190" i="43"/>
  <c r="DO190" i="43" s="1"/>
  <c r="DN189" i="43"/>
  <c r="DO189" i="43" s="1"/>
  <c r="DH202" i="43"/>
  <c r="DL210" i="43"/>
  <c r="DM210" i="43" s="1"/>
  <c r="DN272" i="43"/>
  <c r="DO272" i="43" s="1"/>
  <c r="DL242" i="43"/>
  <c r="DM242" i="43" s="1"/>
  <c r="DL246" i="43"/>
  <c r="DM246" i="43" s="1"/>
  <c r="DL250" i="43"/>
  <c r="DM250" i="43" s="1"/>
  <c r="DL254" i="43"/>
  <c r="DM254" i="43" s="1"/>
  <c r="DL258" i="43"/>
  <c r="DM258" i="43" s="1"/>
  <c r="DL262" i="43"/>
  <c r="DM262" i="43" s="1"/>
  <c r="DL266" i="43"/>
  <c r="DM266" i="43" s="1"/>
  <c r="DL273" i="43"/>
  <c r="DM273" i="43" s="1"/>
  <c r="GO345" i="43"/>
  <c r="BB345" i="43" s="1"/>
  <c r="BD345" i="43" s="1"/>
  <c r="AH126" i="24"/>
  <c r="AG126" i="24"/>
  <c r="AH124" i="24"/>
  <c r="AG124" i="24"/>
  <c r="AH163" i="24"/>
  <c r="AG163" i="24"/>
  <c r="K14" i="44"/>
  <c r="AH219" i="24"/>
  <c r="AG219" i="24"/>
  <c r="AG221" i="24"/>
  <c r="AH221" i="24"/>
  <c r="AG277" i="24"/>
  <c r="AH277" i="24"/>
  <c r="AH359" i="24"/>
  <c r="AG359" i="24"/>
  <c r="AG369" i="24"/>
  <c r="AH369" i="24"/>
  <c r="AH34" i="24"/>
  <c r="AG34" i="24"/>
  <c r="AH17" i="24"/>
  <c r="AG17" i="24"/>
  <c r="AH200" i="24"/>
  <c r="AG200" i="24"/>
  <c r="AH194" i="24"/>
  <c r="AG194" i="24"/>
  <c r="K18" i="44"/>
  <c r="AH272" i="24"/>
  <c r="AG272" i="24"/>
  <c r="AH289" i="24"/>
  <c r="AG289" i="24"/>
  <c r="AG343" i="24"/>
  <c r="AH343" i="24"/>
  <c r="DM80" i="43"/>
  <c r="DM105" i="43"/>
  <c r="DL86" i="43"/>
  <c r="DL110" i="43"/>
  <c r="DH110" i="43"/>
  <c r="DH108" i="43"/>
  <c r="DL108" i="43"/>
  <c r="DM157" i="43"/>
  <c r="DL134" i="43"/>
  <c r="DH134" i="43"/>
  <c r="DL208" i="43"/>
  <c r="DM208" i="43" s="1"/>
  <c r="DH239" i="43"/>
  <c r="DH242" i="43"/>
  <c r="DH246" i="43"/>
  <c r="DH250" i="43"/>
  <c r="DH254" i="43"/>
  <c r="DH258" i="43"/>
  <c r="DH262" i="43"/>
  <c r="DH266" i="43"/>
  <c r="DL275" i="43"/>
  <c r="DM275" i="43" s="1"/>
  <c r="DH275" i="43"/>
  <c r="DN309" i="43"/>
  <c r="DO309" i="43" s="1"/>
  <c r="DL279" i="43"/>
  <c r="DM279" i="43" s="1"/>
  <c r="DH279" i="43"/>
  <c r="DH297" i="43"/>
  <c r="DL297" i="43"/>
  <c r="DM297" i="43" s="1"/>
  <c r="DL302" i="43"/>
  <c r="DM302" i="43" s="1"/>
  <c r="DH302" i="43"/>
  <c r="DH330" i="43"/>
  <c r="P19" i="44"/>
  <c r="GM359" i="43"/>
  <c r="GT359" i="43"/>
  <c r="GV359" i="43" s="1"/>
  <c r="BU359" i="43" s="1"/>
  <c r="BW359" i="43" s="1"/>
  <c r="HH359" i="43"/>
  <c r="HJ359" i="43" s="1"/>
  <c r="DI359" i="43" s="1"/>
  <c r="DK359" i="43" s="1"/>
  <c r="HA359" i="43"/>
  <c r="HC359" i="43" s="1"/>
  <c r="CP359" i="43" s="1"/>
  <c r="CR359" i="43" s="1"/>
  <c r="DN372" i="43"/>
  <c r="DO372" i="43" s="1"/>
  <c r="AH133" i="24"/>
  <c r="AG133" i="24"/>
  <c r="AH167" i="24"/>
  <c r="AG167" i="24"/>
  <c r="AH169" i="24"/>
  <c r="AG169" i="24"/>
  <c r="AH210" i="24"/>
  <c r="AG210" i="24"/>
  <c r="AH299" i="24"/>
  <c r="AG299" i="24"/>
  <c r="GO348" i="43"/>
  <c r="BB348" i="43" s="1"/>
  <c r="BD348" i="43" s="1"/>
  <c r="GO354" i="43"/>
  <c r="BB354" i="43" s="1"/>
  <c r="BD354" i="43" s="1"/>
  <c r="GO377" i="43"/>
  <c r="BB377" i="43" s="1"/>
  <c r="BD377" i="43" s="1"/>
  <c r="DN44" i="43"/>
  <c r="DO44" i="43" s="1"/>
  <c r="DL114" i="43"/>
  <c r="DH114" i="43"/>
  <c r="DN249" i="43"/>
  <c r="DO249" i="43" s="1"/>
  <c r="DN265" i="43"/>
  <c r="DO265" i="43" s="1"/>
  <c r="DN341" i="43"/>
  <c r="DO341" i="43" s="1"/>
  <c r="AG32" i="24"/>
  <c r="AH32" i="24"/>
  <c r="AH118" i="24"/>
  <c r="AG118" i="24"/>
  <c r="AG170" i="24"/>
  <c r="AH170" i="24"/>
  <c r="AH195" i="24"/>
  <c r="AG195" i="24"/>
  <c r="K12" i="44"/>
  <c r="DN46" i="43"/>
  <c r="DO46" i="43" s="1"/>
  <c r="DN228" i="43"/>
  <c r="DO228" i="43" s="1"/>
  <c r="HH351" i="43"/>
  <c r="HJ351" i="43" s="1"/>
  <c r="DI351" i="43" s="1"/>
  <c r="DK351" i="43" s="1"/>
  <c r="HA351" i="43"/>
  <c r="HC351" i="43" s="1"/>
  <c r="CP351" i="43" s="1"/>
  <c r="CR351" i="43" s="1"/>
  <c r="GM351" i="43"/>
  <c r="GT351" i="43"/>
  <c r="GV351" i="43" s="1"/>
  <c r="BU351" i="43" s="1"/>
  <c r="BW351" i="43" s="1"/>
  <c r="AH162" i="24"/>
  <c r="AG162" i="24"/>
  <c r="AG217" i="24"/>
  <c r="AH217" i="24"/>
  <c r="DL283" i="43"/>
  <c r="DM283" i="43" s="1"/>
  <c r="DH283" i="43"/>
  <c r="DL301" i="43"/>
  <c r="DM301" i="43" s="1"/>
  <c r="DH301" i="43"/>
  <c r="DN316" i="43"/>
  <c r="DO316" i="43" s="1"/>
  <c r="DN346" i="43"/>
  <c r="DO346" i="43" s="1"/>
  <c r="DN362" i="43"/>
  <c r="DO362" i="43" s="1"/>
  <c r="GT372" i="43"/>
  <c r="GV372" i="43" s="1"/>
  <c r="BU372" i="43" s="1"/>
  <c r="BW372" i="43" s="1"/>
  <c r="GM372" i="43"/>
  <c r="HH372" i="43"/>
  <c r="HJ372" i="43" s="1"/>
  <c r="DI372" i="43" s="1"/>
  <c r="DK372" i="43" s="1"/>
  <c r="HA372" i="43"/>
  <c r="HC372" i="43" s="1"/>
  <c r="CP372" i="43" s="1"/>
  <c r="CR372" i="43" s="1"/>
  <c r="AH13" i="24"/>
  <c r="AG13" i="24"/>
  <c r="AH165" i="24"/>
  <c r="AG165" i="24"/>
  <c r="AH301" i="24"/>
  <c r="AG301" i="24"/>
  <c r="AH344" i="24"/>
  <c r="AG344" i="24"/>
  <c r="K17" i="44"/>
  <c r="DH63" i="43"/>
  <c r="DL63" i="43"/>
  <c r="DH75" i="43"/>
  <c r="DL75" i="43"/>
  <c r="DM107" i="43"/>
  <c r="DM131" i="43"/>
  <c r="DL236" i="43"/>
  <c r="DM236" i="43" s="1"/>
  <c r="DL221" i="43"/>
  <c r="DM221" i="43" s="1"/>
  <c r="AH223" i="24"/>
  <c r="AG223" i="24"/>
  <c r="DN54" i="43"/>
  <c r="DO54" i="43" s="1"/>
  <c r="DM74" i="43"/>
  <c r="DM76" i="43"/>
  <c r="DM141" i="43"/>
  <c r="DH122" i="43"/>
  <c r="DL122" i="43"/>
  <c r="DH146" i="43"/>
  <c r="DL146" i="43"/>
  <c r="DN201" i="43"/>
  <c r="DO201" i="43" s="1"/>
  <c r="DN274" i="43"/>
  <c r="DO274" i="43" s="1"/>
  <c r="DN247" i="43"/>
  <c r="DO247" i="43" s="1"/>
  <c r="DN259" i="43"/>
  <c r="DO259" i="43" s="1"/>
  <c r="DN267" i="43"/>
  <c r="DO267" i="43" s="1"/>
  <c r="DL293" i="43"/>
  <c r="DM293" i="43" s="1"/>
  <c r="DH293" i="43"/>
  <c r="HA343" i="43"/>
  <c r="HC343" i="43" s="1"/>
  <c r="CP343" i="43" s="1"/>
  <c r="CR343" i="43" s="1"/>
  <c r="GT343" i="43"/>
  <c r="GV343" i="43" s="1"/>
  <c r="BU343" i="43" s="1"/>
  <c r="BW343" i="43" s="1"/>
  <c r="GM343" i="43"/>
  <c r="HH343" i="43"/>
  <c r="HJ343" i="43" s="1"/>
  <c r="DI343" i="43" s="1"/>
  <c r="DK343" i="43" s="1"/>
  <c r="DN335" i="43"/>
  <c r="DO335" i="43" s="1"/>
  <c r="DN339" i="43"/>
  <c r="DO339" i="43" s="1"/>
  <c r="DN343" i="43"/>
  <c r="DO343" i="43" s="1"/>
  <c r="DN347" i="43"/>
  <c r="DO347" i="43" s="1"/>
  <c r="DN356" i="43"/>
  <c r="DO356" i="43" s="1"/>
  <c r="AH38" i="24"/>
  <c r="AG38" i="24"/>
  <c r="AH31" i="24"/>
  <c r="AG31" i="24"/>
  <c r="AG16" i="24"/>
  <c r="AH16" i="24"/>
  <c r="AH21" i="24"/>
  <c r="AG21" i="24"/>
  <c r="AH121" i="24"/>
  <c r="AG121" i="24"/>
  <c r="AG115" i="24"/>
  <c r="AH115" i="24"/>
  <c r="AH116" i="24"/>
  <c r="AG116" i="24"/>
  <c r="AH155" i="24"/>
  <c r="AG155" i="24"/>
  <c r="AG168" i="24"/>
  <c r="AH168" i="24"/>
  <c r="AG227" i="24"/>
  <c r="AH227" i="24"/>
  <c r="AG197" i="24"/>
  <c r="AH197" i="24"/>
  <c r="AH293" i="24"/>
  <c r="AG293" i="24"/>
  <c r="K20" i="44"/>
  <c r="AH345" i="24"/>
  <c r="AG345" i="24"/>
  <c r="AH361" i="24"/>
  <c r="AG361" i="24"/>
  <c r="AH26" i="24"/>
  <c r="AG26" i="24"/>
  <c r="AH35" i="24"/>
  <c r="AG35" i="24"/>
  <c r="AH42" i="24"/>
  <c r="AG42" i="24"/>
  <c r="AG119" i="24"/>
  <c r="AH119" i="24"/>
  <c r="AG171" i="24"/>
  <c r="AH171" i="24"/>
  <c r="AH199" i="24"/>
  <c r="AG199" i="24"/>
  <c r="AH273" i="24"/>
  <c r="AG273" i="24"/>
  <c r="AG310" i="24"/>
  <c r="AH310" i="24"/>
  <c r="AH340" i="24"/>
  <c r="AG340" i="24"/>
  <c r="DH15" i="43"/>
  <c r="DH47" i="43"/>
  <c r="DL78" i="43"/>
  <c r="DN38" i="43"/>
  <c r="DO38" i="43" s="1"/>
  <c r="DM62" i="43"/>
  <c r="DN56" i="43"/>
  <c r="DO56" i="43" s="1"/>
  <c r="DN200" i="43"/>
  <c r="DO200" i="43" s="1"/>
  <c r="DL142" i="43"/>
  <c r="DH142" i="43"/>
  <c r="DL158" i="43"/>
  <c r="DH172" i="43"/>
  <c r="DL172" i="43"/>
  <c r="DN209" i="43"/>
  <c r="DO209" i="43" s="1"/>
  <c r="DL206" i="43"/>
  <c r="DH221" i="43"/>
  <c r="DH225" i="43"/>
  <c r="DH229" i="43"/>
  <c r="DH233" i="43"/>
  <c r="DL218" i="43"/>
  <c r="DM218" i="43" s="1"/>
  <c r="DL222" i="43"/>
  <c r="DM222" i="43" s="1"/>
  <c r="DL226" i="43"/>
  <c r="DM226" i="43" s="1"/>
  <c r="DL230" i="43"/>
  <c r="DM230" i="43" s="1"/>
  <c r="DL234" i="43"/>
  <c r="DM234" i="43" s="1"/>
  <c r="DN305" i="43"/>
  <c r="DO305" i="43" s="1"/>
  <c r="DL304" i="43"/>
  <c r="DM304" i="43" s="1"/>
  <c r="DH304" i="43"/>
  <c r="DN310" i="43"/>
  <c r="DO310" i="43" s="1"/>
  <c r="DN318" i="43"/>
  <c r="DO318" i="43" s="1"/>
  <c r="HA380" i="43"/>
  <c r="HC380" i="43" s="1"/>
  <c r="CP380" i="43" s="1"/>
  <c r="CR380" i="43" s="1"/>
  <c r="HH380" i="43"/>
  <c r="HJ380" i="43" s="1"/>
  <c r="DI380" i="43" s="1"/>
  <c r="DK380" i="43" s="1"/>
  <c r="GM380" i="43"/>
  <c r="GT380" i="43"/>
  <c r="GV380" i="43" s="1"/>
  <c r="BU380" i="43" s="1"/>
  <c r="BW380" i="43" s="1"/>
  <c r="AG20" i="24"/>
  <c r="AH20" i="24"/>
  <c r="AH368" i="24"/>
  <c r="AG368" i="24"/>
  <c r="P10" i="44"/>
  <c r="DM64" i="43"/>
  <c r="DL53" i="43"/>
  <c r="DM53" i="43" s="1"/>
  <c r="DH53" i="43"/>
  <c r="P12" i="44"/>
  <c r="DN52" i="43"/>
  <c r="DO52" i="43" s="1"/>
  <c r="DN195" i="43"/>
  <c r="DO195" i="43" s="1"/>
  <c r="DH220" i="43"/>
  <c r="DH224" i="43"/>
  <c r="DH228" i="43"/>
  <c r="DH232" i="43"/>
  <c r="DH236" i="43"/>
  <c r="DL241" i="43"/>
  <c r="DM241" i="43" s="1"/>
  <c r="DL281" i="43"/>
  <c r="DM281" i="43" s="1"/>
  <c r="DH281" i="43"/>
  <c r="DN329" i="43"/>
  <c r="DO329" i="43" s="1"/>
  <c r="GO337" i="43"/>
  <c r="BB337" i="43" s="1"/>
  <c r="BD337" i="43" s="1"/>
  <c r="DN366" i="43"/>
  <c r="DO366" i="43" s="1"/>
  <c r="DN370" i="43"/>
  <c r="DO370" i="43" s="1"/>
  <c r="AH30" i="24"/>
  <c r="AG30" i="24"/>
  <c r="AH39" i="24"/>
  <c r="AG39" i="24"/>
  <c r="AH41" i="24"/>
  <c r="AG41" i="24"/>
  <c r="AH29" i="24"/>
  <c r="AG29" i="24"/>
  <c r="AG172" i="24"/>
  <c r="AH172" i="24"/>
  <c r="AH203" i="24"/>
  <c r="AG203" i="24"/>
  <c r="AG205" i="24"/>
  <c r="AH205" i="24"/>
  <c r="AH222" i="24"/>
  <c r="AG222" i="24"/>
  <c r="AH268" i="24"/>
  <c r="AG268" i="24"/>
  <c r="AH302" i="24"/>
  <c r="AG302" i="24"/>
  <c r="AG304" i="24"/>
  <c r="AH304" i="24"/>
  <c r="DL367" i="43"/>
  <c r="DM367" i="43" s="1"/>
  <c r="AG12" i="24"/>
  <c r="AH12" i="24"/>
  <c r="K9" i="44"/>
  <c r="AH207" i="24"/>
  <c r="AG207" i="24"/>
  <c r="AG209" i="24"/>
  <c r="AH209" i="24"/>
  <c r="P9" i="44"/>
  <c r="DH19" i="43"/>
  <c r="DH27" i="43"/>
  <c r="DH35" i="43"/>
  <c r="DH43" i="43"/>
  <c r="DN11" i="43"/>
  <c r="DO11" i="43" s="1"/>
  <c r="DM111" i="43"/>
  <c r="DM119" i="43"/>
  <c r="DM127" i="43"/>
  <c r="DM135" i="43"/>
  <c r="DM143" i="43"/>
  <c r="DM151" i="43"/>
  <c r="DM113" i="43"/>
  <c r="DL214" i="43"/>
  <c r="DM214" i="43" s="1"/>
  <c r="DH215" i="43"/>
  <c r="DH219" i="43"/>
  <c r="DH223" i="43"/>
  <c r="DH227" i="43"/>
  <c r="DH231" i="43"/>
  <c r="DH235" i="43"/>
  <c r="DL237" i="43"/>
  <c r="DM237" i="43" s="1"/>
  <c r="DL215" i="43"/>
  <c r="DM215" i="43" s="1"/>
  <c r="DL219" i="43"/>
  <c r="DM219" i="43" s="1"/>
  <c r="DL223" i="43"/>
  <c r="DM223" i="43" s="1"/>
  <c r="DL227" i="43"/>
  <c r="DM227" i="43" s="1"/>
  <c r="DL231" i="43"/>
  <c r="DM231" i="43" s="1"/>
  <c r="DL235" i="43"/>
  <c r="DM235" i="43" s="1"/>
  <c r="DH277" i="43"/>
  <c r="DL277" i="43"/>
  <c r="DM277" i="43" s="1"/>
  <c r="DH326" i="43"/>
  <c r="DL326" i="43"/>
  <c r="DM326" i="43" s="1"/>
  <c r="DL336" i="43"/>
  <c r="DM336" i="43" s="1"/>
  <c r="DL344" i="43"/>
  <c r="DM344" i="43" s="1"/>
  <c r="DN358" i="43"/>
  <c r="DO358" i="43" s="1"/>
  <c r="DH367" i="43"/>
  <c r="DH371" i="43"/>
  <c r="AH45" i="24"/>
  <c r="AG45" i="24"/>
  <c r="AH117" i="24"/>
  <c r="AG117" i="24"/>
  <c r="AG127" i="24"/>
  <c r="AH127" i="24"/>
  <c r="AG308" i="24"/>
  <c r="AH308" i="24"/>
  <c r="DN87" i="43"/>
  <c r="DO87" i="43" s="1"/>
  <c r="K372" i="43" l="1"/>
  <c r="AI369" i="45" s="1"/>
  <c r="K370" i="43"/>
  <c r="AI367" i="45" s="1"/>
  <c r="K356" i="43"/>
  <c r="AI353" i="45" s="1"/>
  <c r="K338" i="43"/>
  <c r="AI335" i="45" s="1"/>
  <c r="K329" i="43"/>
  <c r="AI326" i="45" s="1"/>
  <c r="BT323" i="43"/>
  <c r="CO323" i="43"/>
  <c r="BH323" i="43"/>
  <c r="CC323" i="43"/>
  <c r="CX323" i="43"/>
  <c r="BJ323" i="43"/>
  <c r="CA323" i="43"/>
  <c r="CV323" i="43"/>
  <c r="BY323" i="43"/>
  <c r="CT323" i="43"/>
  <c r="BH322" i="43"/>
  <c r="CC322" i="43"/>
  <c r="CX322" i="43"/>
  <c r="BJ322" i="43"/>
  <c r="CA322" i="43"/>
  <c r="CV322" i="43"/>
  <c r="BY322" i="43"/>
  <c r="CT322" i="43"/>
  <c r="AI320" i="45"/>
  <c r="L51" i="43"/>
  <c r="N51" i="43" s="1"/>
  <c r="X53" i="43"/>
  <c r="L30" i="43"/>
  <c r="N30" i="43" s="1"/>
  <c r="Y14" i="43"/>
  <c r="Q14" i="43" s="1"/>
  <c r="AB14" i="43" s="1"/>
  <c r="IA14" i="43" s="1"/>
  <c r="AI11" i="45"/>
  <c r="CG109" i="24"/>
  <c r="CG285" i="24"/>
  <c r="CG54" i="24"/>
  <c r="CG72" i="24"/>
  <c r="CG334" i="24"/>
  <c r="CG68" i="24"/>
  <c r="CG311" i="24"/>
  <c r="CG243" i="24"/>
  <c r="CG264" i="24"/>
  <c r="CG84" i="24"/>
  <c r="CG83" i="24"/>
  <c r="CG320" i="24"/>
  <c r="CG106" i="24"/>
  <c r="CG330" i="24"/>
  <c r="CG135" i="24"/>
  <c r="CG233" i="24"/>
  <c r="CG141" i="24"/>
  <c r="CG347" i="24"/>
  <c r="CG186" i="24"/>
  <c r="AB359" i="45"/>
  <c r="AC359" i="45" s="1"/>
  <c r="Y359" i="45"/>
  <c r="AB362" i="45"/>
  <c r="AC362" i="45" s="1"/>
  <c r="Y362" i="45"/>
  <c r="T12" i="22"/>
  <c r="S12" i="22"/>
  <c r="DK11" i="43"/>
  <c r="CR11" i="43"/>
  <c r="BW11" i="43"/>
  <c r="AB336" i="45"/>
  <c r="AC336" i="45" s="1"/>
  <c r="AB341" i="45"/>
  <c r="AC341" i="45" s="1"/>
  <c r="AB329" i="45"/>
  <c r="AC329" i="45" s="1"/>
  <c r="AB343" i="45"/>
  <c r="AC343" i="45" s="1"/>
  <c r="AB338" i="45"/>
  <c r="AC338" i="45" s="1"/>
  <c r="AB366" i="45"/>
  <c r="AC366" i="45" s="1"/>
  <c r="AB340" i="45"/>
  <c r="AC340" i="45" s="1"/>
  <c r="AB356" i="45"/>
  <c r="AC356" i="45" s="1"/>
  <c r="AB330" i="45"/>
  <c r="AC330" i="45" s="1"/>
  <c r="AB344" i="45"/>
  <c r="AC344" i="45" s="1"/>
  <c r="AB327" i="45"/>
  <c r="AC327" i="45" s="1"/>
  <c r="AB360" i="45"/>
  <c r="AC360" i="45" s="1"/>
  <c r="AB342" i="45"/>
  <c r="AC342" i="45" s="1"/>
  <c r="AB363" i="45"/>
  <c r="AC363" i="45" s="1"/>
  <c r="AB339" i="45"/>
  <c r="AC339" i="45" s="1"/>
  <c r="W346" i="45"/>
  <c r="Y346" i="45" s="1"/>
  <c r="W349" i="45"/>
  <c r="Y349" i="45" s="1"/>
  <c r="W351" i="45"/>
  <c r="Y351" i="45" s="1"/>
  <c r="W354" i="45"/>
  <c r="Y354" i="45" s="1"/>
  <c r="W357" i="45"/>
  <c r="Y357" i="45" s="1"/>
  <c r="W361" i="45"/>
  <c r="Y361" i="45" s="1"/>
  <c r="W365" i="45"/>
  <c r="Y365" i="45" s="1"/>
  <c r="W369" i="45"/>
  <c r="Y369" i="45" s="1"/>
  <c r="W372" i="45"/>
  <c r="Y372" i="45" s="1"/>
  <c r="W374" i="45"/>
  <c r="Y374" i="45" s="1"/>
  <c r="AB334" i="45"/>
  <c r="AC334" i="45" s="1"/>
  <c r="AB337" i="45"/>
  <c r="AC337" i="45" s="1"/>
  <c r="AB335" i="45"/>
  <c r="AC335" i="45" s="1"/>
  <c r="W375" i="45"/>
  <c r="Y375" i="45" s="1"/>
  <c r="W328" i="45"/>
  <c r="Y328" i="45" s="1"/>
  <c r="W345" i="45"/>
  <c r="Y345" i="45" s="1"/>
  <c r="W348" i="45"/>
  <c r="Y348" i="45" s="1"/>
  <c r="W350" i="45"/>
  <c r="Y350" i="45" s="1"/>
  <c r="W352" i="45"/>
  <c r="Y352" i="45" s="1"/>
  <c r="W355" i="45"/>
  <c r="Y355" i="45" s="1"/>
  <c r="W358" i="45"/>
  <c r="Y358" i="45" s="1"/>
  <c r="W364" i="45"/>
  <c r="Y364" i="45" s="1"/>
  <c r="W368" i="45"/>
  <c r="Y368" i="45" s="1"/>
  <c r="W370" i="45"/>
  <c r="Y370" i="45" s="1"/>
  <c r="W373" i="45"/>
  <c r="Y373" i="45" s="1"/>
  <c r="AB331" i="45"/>
  <c r="AC331" i="45" s="1"/>
  <c r="AB332" i="45"/>
  <c r="AC332" i="45" s="1"/>
  <c r="AB333" i="45"/>
  <c r="AC333" i="45" s="1"/>
  <c r="W353" i="45"/>
  <c r="Y353" i="45" s="1"/>
  <c r="W347" i="45"/>
  <c r="Y347" i="45" s="1"/>
  <c r="W367" i="45"/>
  <c r="Y367" i="45" s="1"/>
  <c r="W376" i="45"/>
  <c r="Y376" i="45" s="1"/>
  <c r="W371" i="45"/>
  <c r="Y371" i="45" s="1"/>
  <c r="BT14" i="43"/>
  <c r="S14" i="43"/>
  <c r="L14" i="43" s="1"/>
  <c r="N14" i="43" s="1"/>
  <c r="DG14" i="43"/>
  <c r="BC14" i="43"/>
  <c r="AC7" i="45"/>
  <c r="CO14" i="43"/>
  <c r="DN331" i="43"/>
  <c r="DO331" i="43" s="1"/>
  <c r="AQ331" i="43" s="1"/>
  <c r="DN340" i="43"/>
  <c r="DO340" i="43" s="1"/>
  <c r="CX340" i="43" s="1"/>
  <c r="CA315" i="43"/>
  <c r="J21" i="34"/>
  <c r="AB50" i="43"/>
  <c r="AB56" i="43"/>
  <c r="AB31" i="43"/>
  <c r="IA31" i="43" s="1"/>
  <c r="AB45" i="43"/>
  <c r="IA45" i="43" s="1"/>
  <c r="AB19" i="43"/>
  <c r="IA19" i="43" s="1"/>
  <c r="AB16" i="43"/>
  <c r="IA16" i="43" s="1"/>
  <c r="AB33" i="43"/>
  <c r="AB44" i="43"/>
  <c r="Q30" i="43"/>
  <c r="AB53" i="43"/>
  <c r="IA53" i="43" s="1"/>
  <c r="AB34" i="43"/>
  <c r="HT34" i="43" s="1"/>
  <c r="HU34" i="43" s="1"/>
  <c r="HV34" i="43" s="1"/>
  <c r="BA34" i="43" s="1"/>
  <c r="AZ34" i="43" s="1"/>
  <c r="V31" i="45" s="1"/>
  <c r="Q51" i="43"/>
  <c r="AB41" i="43"/>
  <c r="HT41" i="43" s="1"/>
  <c r="HU41" i="43" s="1"/>
  <c r="HV41" i="43" s="1"/>
  <c r="BA41" i="43" s="1"/>
  <c r="AZ41" i="43" s="1"/>
  <c r="V38" i="45" s="1"/>
  <c r="AB32" i="43"/>
  <c r="AB23" i="43"/>
  <c r="IA23" i="43" s="1"/>
  <c r="Q40" i="43"/>
  <c r="AB54" i="43"/>
  <c r="AB15" i="43"/>
  <c r="IA15" i="43" s="1"/>
  <c r="AB55" i="43"/>
  <c r="AB20" i="43"/>
  <c r="CT176" i="43"/>
  <c r="AQ170" i="43"/>
  <c r="BK170" i="24" s="1"/>
  <c r="EI170" i="43" s="1"/>
  <c r="EJ170" i="43" s="1"/>
  <c r="Y169" i="24" s="1"/>
  <c r="BH176" i="43"/>
  <c r="CV176" i="43"/>
  <c r="AQ176" i="43"/>
  <c r="BK176" i="24" s="1"/>
  <c r="EI176" i="43" s="1"/>
  <c r="EJ176" i="43" s="1"/>
  <c r="Y175" i="24" s="1"/>
  <c r="BF176" i="43"/>
  <c r="BY176" i="43"/>
  <c r="CC176" i="43"/>
  <c r="BJ176" i="43"/>
  <c r="CA176" i="43"/>
  <c r="DG56" i="43"/>
  <c r="BY170" i="43"/>
  <c r="CX170" i="43"/>
  <c r="CC170" i="43"/>
  <c r="BF170" i="43"/>
  <c r="CT170" i="43"/>
  <c r="BJ170" i="43"/>
  <c r="CA170" i="43"/>
  <c r="BH170" i="43"/>
  <c r="AQ167" i="43"/>
  <c r="BK167" i="24" s="1"/>
  <c r="EI167" i="43" s="1"/>
  <c r="EJ167" i="43" s="1"/>
  <c r="Y166" i="24" s="1"/>
  <c r="BJ174" i="43"/>
  <c r="AQ174" i="43"/>
  <c r="BK174" i="24" s="1"/>
  <c r="EI174" i="43" s="1"/>
  <c r="EJ174" i="43" s="1"/>
  <c r="Y173" i="24" s="1"/>
  <c r="CC178" i="43"/>
  <c r="BH178" i="43"/>
  <c r="CX167" i="43"/>
  <c r="CC167" i="43"/>
  <c r="CV178" i="43"/>
  <c r="AQ178" i="43"/>
  <c r="BK178" i="24" s="1"/>
  <c r="EI178" i="43" s="1"/>
  <c r="EJ178" i="43" s="1"/>
  <c r="Y177" i="24" s="1"/>
  <c r="CT174" i="43"/>
  <c r="BH174" i="43"/>
  <c r="BF174" i="43"/>
  <c r="BY178" i="43"/>
  <c r="BJ178" i="43"/>
  <c r="CA167" i="43"/>
  <c r="CA178" i="43"/>
  <c r="BY167" i="43"/>
  <c r="CV167" i="43"/>
  <c r="CT178" i="43"/>
  <c r="CT167" i="43"/>
  <c r="BH167" i="43"/>
  <c r="CX178" i="43"/>
  <c r="BF167" i="43"/>
  <c r="CC174" i="43"/>
  <c r="CA174" i="43"/>
  <c r="CX174" i="43"/>
  <c r="BY174" i="43"/>
  <c r="DM172" i="43"/>
  <c r="DN172" i="43" s="1"/>
  <c r="DO172" i="43" s="1"/>
  <c r="DM166" i="43"/>
  <c r="DN166" i="43" s="1"/>
  <c r="DO166" i="43" s="1"/>
  <c r="M12" i="22"/>
  <c r="CX164" i="43"/>
  <c r="BY164" i="43"/>
  <c r="BF164" i="43"/>
  <c r="BJ164" i="43"/>
  <c r="P12" i="22"/>
  <c r="I12" i="22"/>
  <c r="BH164" i="43"/>
  <c r="CT163" i="43"/>
  <c r="CV163" i="43"/>
  <c r="CC163" i="43"/>
  <c r="BJ163" i="43"/>
  <c r="CX163" i="43"/>
  <c r="AQ163" i="43"/>
  <c r="BK163" i="24" s="1"/>
  <c r="EI163" i="43" s="1"/>
  <c r="EJ163" i="43" s="1"/>
  <c r="Y162" i="24" s="1"/>
  <c r="BH163" i="43"/>
  <c r="CA164" i="43"/>
  <c r="CC164" i="43"/>
  <c r="CV164" i="43"/>
  <c r="CT164" i="43"/>
  <c r="CA163" i="43"/>
  <c r="BY163" i="43"/>
  <c r="DM160" i="43"/>
  <c r="DN160" i="43" s="1"/>
  <c r="DO160" i="43" s="1"/>
  <c r="DM162" i="43"/>
  <c r="DN162" i="43" s="1"/>
  <c r="DO162" i="43" s="1"/>
  <c r="Q11" i="43"/>
  <c r="AA11" i="43" s="1"/>
  <c r="AB11" i="43" s="1"/>
  <c r="AA32" i="43"/>
  <c r="AA20" i="43"/>
  <c r="AA39" i="43"/>
  <c r="E12" i="22"/>
  <c r="B12" i="22"/>
  <c r="H12" i="22"/>
  <c r="C12" i="22"/>
  <c r="K12" i="22"/>
  <c r="A13" i="22"/>
  <c r="D12" i="22"/>
  <c r="HT29" i="43"/>
  <c r="HU29" i="43" s="1"/>
  <c r="HV29" i="43" s="1"/>
  <c r="BA29" i="43" s="1"/>
  <c r="AZ29" i="43" s="1"/>
  <c r="V26" i="45" s="1"/>
  <c r="L29" i="43"/>
  <c r="N29" i="43" s="1"/>
  <c r="X29" i="43"/>
  <c r="DG50" i="43"/>
  <c r="CO50" i="43"/>
  <c r="BT50" i="43"/>
  <c r="CO52" i="43"/>
  <c r="L24" i="43"/>
  <c r="S42" i="43"/>
  <c r="X42" i="43" s="1"/>
  <c r="BC50" i="43"/>
  <c r="CO18" i="43"/>
  <c r="S18" i="43"/>
  <c r="X18" i="43" s="1"/>
  <c r="BC42" i="43"/>
  <c r="Y42" i="43"/>
  <c r="Q42" i="43" s="1"/>
  <c r="S54" i="43"/>
  <c r="DG42" i="43"/>
  <c r="S50" i="43"/>
  <c r="X50" i="43" s="1"/>
  <c r="BT42" i="43"/>
  <c r="G11" i="22"/>
  <c r="J11" i="22"/>
  <c r="BC28" i="43"/>
  <c r="BC56" i="43"/>
  <c r="CO55" i="43"/>
  <c r="BT52" i="43"/>
  <c r="BT56" i="43"/>
  <c r="DG37" i="43"/>
  <c r="BT28" i="43"/>
  <c r="Y28" i="43"/>
  <c r="Q28" i="43" s="1"/>
  <c r="BC37" i="43"/>
  <c r="BT37" i="43"/>
  <c r="Y18" i="43"/>
  <c r="X16" i="43"/>
  <c r="S17" i="43"/>
  <c r="X17" i="43" s="1"/>
  <c r="BC18" i="43"/>
  <c r="BT18" i="43"/>
  <c r="Y17" i="43"/>
  <c r="BC17" i="43"/>
  <c r="DG17" i="43"/>
  <c r="CO17" i="43"/>
  <c r="CO28" i="43"/>
  <c r="S36" i="43"/>
  <c r="L36" i="43" s="1"/>
  <c r="L26" i="43"/>
  <c r="N26" i="43" s="1"/>
  <c r="Q26" i="43" s="1"/>
  <c r="DG52" i="43"/>
  <c r="S28" i="43"/>
  <c r="X28" i="43" s="1"/>
  <c r="BC43" i="43"/>
  <c r="S52" i="43"/>
  <c r="X52" i="43" s="1"/>
  <c r="Y52" i="43"/>
  <c r="Q52" i="43" s="1"/>
  <c r="BJ379" i="43"/>
  <c r="BH379" i="43"/>
  <c r="BF379" i="43"/>
  <c r="CC379" i="43"/>
  <c r="CV379" i="43"/>
  <c r="AQ379" i="43"/>
  <c r="BK379" i="24" s="1"/>
  <c r="EI379" i="43" s="1"/>
  <c r="EJ379" i="43" s="1"/>
  <c r="Y378" i="24" s="1"/>
  <c r="CT379" i="43"/>
  <c r="CA379" i="43"/>
  <c r="BY379" i="43"/>
  <c r="CX379" i="43"/>
  <c r="CV376" i="43"/>
  <c r="AQ376" i="43"/>
  <c r="BK376" i="24" s="1"/>
  <c r="EI376" i="43" s="1"/>
  <c r="EJ376" i="43" s="1"/>
  <c r="Y375" i="24" s="1"/>
  <c r="BH376" i="43"/>
  <c r="CA376" i="43"/>
  <c r="CC376" i="43"/>
  <c r="BY376" i="43"/>
  <c r="BJ376" i="43"/>
  <c r="CT376" i="43"/>
  <c r="BF376" i="43"/>
  <c r="CX376" i="43"/>
  <c r="CV374" i="43"/>
  <c r="AQ374" i="43"/>
  <c r="BK374" i="24" s="1"/>
  <c r="EI374" i="43" s="1"/>
  <c r="EJ374" i="43" s="1"/>
  <c r="Y373" i="24" s="1"/>
  <c r="BY374" i="43"/>
  <c r="CA374" i="43"/>
  <c r="CT374" i="43"/>
  <c r="CX374" i="43"/>
  <c r="BJ374" i="43"/>
  <c r="BH374" i="43"/>
  <c r="BF374" i="43"/>
  <c r="CC374" i="43"/>
  <c r="CV359" i="43"/>
  <c r="BH359" i="43"/>
  <c r="CX359" i="43"/>
  <c r="CA359" i="43"/>
  <c r="BY359" i="43"/>
  <c r="AQ359" i="43"/>
  <c r="BK359" i="24" s="1"/>
  <c r="EI359" i="43" s="1"/>
  <c r="EJ359" i="43" s="1"/>
  <c r="Y358" i="24" s="1"/>
  <c r="BF359" i="43"/>
  <c r="CC359" i="43"/>
  <c r="BJ359" i="43"/>
  <c r="CT359" i="43"/>
  <c r="BJ357" i="43"/>
  <c r="CT357" i="43"/>
  <c r="AQ357" i="43"/>
  <c r="BK357" i="24" s="1"/>
  <c r="EI357" i="43" s="1"/>
  <c r="EJ357" i="43" s="1"/>
  <c r="Y356" i="24" s="1"/>
  <c r="BF357" i="43"/>
  <c r="CC357" i="43"/>
  <c r="CV357" i="43"/>
  <c r="BY357" i="43"/>
  <c r="CX357" i="43"/>
  <c r="CA357" i="43"/>
  <c r="BH357" i="43"/>
  <c r="CA355" i="43"/>
  <c r="BH355" i="43"/>
  <c r="BJ355" i="43"/>
  <c r="CC355" i="43"/>
  <c r="AQ355" i="43"/>
  <c r="BK355" i="24" s="1"/>
  <c r="EI355" i="43" s="1"/>
  <c r="EJ355" i="43" s="1"/>
  <c r="Y354" i="24" s="1"/>
  <c r="BF355" i="43"/>
  <c r="CT355" i="43"/>
  <c r="CV355" i="43"/>
  <c r="BY355" i="43"/>
  <c r="CX355" i="43"/>
  <c r="CA353" i="43"/>
  <c r="CC353" i="43"/>
  <c r="BJ353" i="43"/>
  <c r="CX353" i="43"/>
  <c r="AQ353" i="43"/>
  <c r="BK353" i="24" s="1"/>
  <c r="EI353" i="43" s="1"/>
  <c r="EJ353" i="43" s="1"/>
  <c r="Y352" i="24" s="1"/>
  <c r="BF353" i="43"/>
  <c r="CT353" i="43"/>
  <c r="CV353" i="43"/>
  <c r="BY353" i="43"/>
  <c r="BH353" i="43"/>
  <c r="X32" i="43"/>
  <c r="L39" i="43"/>
  <c r="N39" i="43" s="1"/>
  <c r="L35" i="43"/>
  <c r="N35" i="43" s="1"/>
  <c r="Q35" i="43" s="1"/>
  <c r="AB35" i="43" s="1"/>
  <c r="HT35" i="43" s="1"/>
  <c r="HU35" i="43" s="1"/>
  <c r="HV35" i="43" s="1"/>
  <c r="BA35" i="43" s="1"/>
  <c r="AZ35" i="43" s="1"/>
  <c r="V32" i="45" s="1"/>
  <c r="X39" i="43"/>
  <c r="X35" i="43"/>
  <c r="L25" i="43"/>
  <c r="N25" i="43" s="1"/>
  <c r="Q25" i="43" s="1"/>
  <c r="AB25" i="43" s="1"/>
  <c r="IA25" i="43" s="1"/>
  <c r="L41" i="43"/>
  <c r="N41" i="43" s="1"/>
  <c r="X20" i="43"/>
  <c r="L27" i="43"/>
  <c r="N27" i="43" s="1"/>
  <c r="Q27" i="43" s="1"/>
  <c r="AB27" i="43" s="1"/>
  <c r="IA27" i="43" s="1"/>
  <c r="L40" i="43"/>
  <c r="DG54" i="43"/>
  <c r="S56" i="43"/>
  <c r="X56" i="43" s="1"/>
  <c r="CO54" i="43"/>
  <c r="AA53" i="43"/>
  <c r="CO56" i="43"/>
  <c r="BT54" i="43"/>
  <c r="S46" i="43"/>
  <c r="L46" i="43" s="1"/>
  <c r="N46" i="43" s="1"/>
  <c r="BT43" i="43"/>
  <c r="Y46" i="43"/>
  <c r="Q46" i="43" s="1"/>
  <c r="BC54" i="43"/>
  <c r="BC55" i="43"/>
  <c r="CO38" i="43"/>
  <c r="Y38" i="43"/>
  <c r="Q38" i="43" s="1"/>
  <c r="BC38" i="43"/>
  <c r="DG46" i="43"/>
  <c r="BT55" i="43"/>
  <c r="CO46" i="43"/>
  <c r="BT46" i="43"/>
  <c r="S43" i="43"/>
  <c r="L43" i="43" s="1"/>
  <c r="N43" i="43" s="1"/>
  <c r="Y43" i="43"/>
  <c r="Q43" i="43" s="1"/>
  <c r="CO37" i="43"/>
  <c r="S37" i="43"/>
  <c r="BT38" i="43"/>
  <c r="DG43" i="43"/>
  <c r="DG38" i="43"/>
  <c r="BT36" i="43"/>
  <c r="S38" i="43"/>
  <c r="X38" i="43" s="1"/>
  <c r="BJ321" i="43"/>
  <c r="CX321" i="43"/>
  <c r="BF321" i="43"/>
  <c r="BY321" i="43"/>
  <c r="CV321" i="43"/>
  <c r="AQ321" i="43"/>
  <c r="BK321" i="24" s="1"/>
  <c r="EI321" i="43" s="1"/>
  <c r="EJ321" i="43" s="1"/>
  <c r="Y320" i="24" s="1"/>
  <c r="BH321" i="43"/>
  <c r="CA321" i="43"/>
  <c r="CC321" i="43"/>
  <c r="CT321" i="43"/>
  <c r="BF319" i="43"/>
  <c r="BY319" i="43"/>
  <c r="CV319" i="43"/>
  <c r="AQ319" i="43"/>
  <c r="BK319" i="24" s="1"/>
  <c r="EI319" i="43" s="1"/>
  <c r="EJ319" i="43" s="1"/>
  <c r="Y318" i="24" s="1"/>
  <c r="CX319" i="43"/>
  <c r="BJ319" i="43"/>
  <c r="CA319" i="43"/>
  <c r="BH319" i="43"/>
  <c r="CT319" i="43"/>
  <c r="CC319" i="43"/>
  <c r="CV311" i="43"/>
  <c r="AQ311" i="43"/>
  <c r="BK311" i="24" s="1"/>
  <c r="EI311" i="43" s="1"/>
  <c r="EJ311" i="43" s="1"/>
  <c r="Y310" i="24" s="1"/>
  <c r="BH311" i="43"/>
  <c r="CA311" i="43"/>
  <c r="CC311" i="43"/>
  <c r="CT311" i="43"/>
  <c r="BJ311" i="43"/>
  <c r="CX311" i="43"/>
  <c r="BF311" i="43"/>
  <c r="BY311" i="43"/>
  <c r="K21" i="34"/>
  <c r="AA34" i="43"/>
  <c r="X19" i="43"/>
  <c r="AA31" i="43"/>
  <c r="X23" i="43"/>
  <c r="X31" i="43"/>
  <c r="L22" i="43"/>
  <c r="N22" i="43" s="1"/>
  <c r="Q22" i="43" s="1"/>
  <c r="AB22" i="43" s="1"/>
  <c r="IA22" i="43" s="1"/>
  <c r="X22" i="43"/>
  <c r="L15" i="43"/>
  <c r="N15" i="43" s="1"/>
  <c r="X34" i="43"/>
  <c r="X21" i="43"/>
  <c r="S55" i="43"/>
  <c r="X55" i="43" s="1"/>
  <c r="DG36" i="43"/>
  <c r="L21" i="43"/>
  <c r="N21" i="43" s="1"/>
  <c r="Q21" i="43" s="1"/>
  <c r="AB21" i="43" s="1"/>
  <c r="IA21" i="43" s="1"/>
  <c r="CA4" i="24"/>
  <c r="Y36" i="43"/>
  <c r="X45" i="43"/>
  <c r="L45" i="43"/>
  <c r="N45" i="43" s="1"/>
  <c r="DG55" i="43"/>
  <c r="BC36" i="43"/>
  <c r="X33" i="43"/>
  <c r="L33" i="43"/>
  <c r="N33" i="43" s="1"/>
  <c r="AA33" i="43"/>
  <c r="BT49" i="43"/>
  <c r="BC49" i="43"/>
  <c r="S49" i="43"/>
  <c r="CO49" i="43"/>
  <c r="DG49" i="43"/>
  <c r="Y49" i="43"/>
  <c r="S47" i="43"/>
  <c r="CO47" i="43"/>
  <c r="DG47" i="43"/>
  <c r="Y47" i="43"/>
  <c r="Q47" i="43" s="1"/>
  <c r="BT47" i="43"/>
  <c r="BC47" i="43"/>
  <c r="L48" i="43"/>
  <c r="X48" i="43"/>
  <c r="X44" i="43"/>
  <c r="L44" i="43"/>
  <c r="N44" i="43" s="1"/>
  <c r="G21" i="30"/>
  <c r="G22" i="30"/>
  <c r="G9" i="30"/>
  <c r="G23" i="30"/>
  <c r="H7" i="30"/>
  <c r="G19" i="30"/>
  <c r="G6" i="30"/>
  <c r="G20" i="30"/>
  <c r="G26" i="30"/>
  <c r="G27" i="30"/>
  <c r="G28" i="30"/>
  <c r="G17" i="30"/>
  <c r="DO288" i="43"/>
  <c r="BH288" i="43" s="1"/>
  <c r="CT32" i="43"/>
  <c r="DB32" i="43" s="1"/>
  <c r="DN255" i="43"/>
  <c r="DO255" i="43" s="1"/>
  <c r="DN352" i="43"/>
  <c r="DO352" i="43" s="1"/>
  <c r="CC380" i="43"/>
  <c r="IA39" i="43"/>
  <c r="HT39" i="43"/>
  <c r="HU39" i="43" s="1"/>
  <c r="HV39" i="43" s="1"/>
  <c r="BA39" i="43" s="1"/>
  <c r="AZ39" i="43" s="1"/>
  <c r="V36" i="45" s="1"/>
  <c r="DO286" i="43"/>
  <c r="CC286" i="43" s="1"/>
  <c r="BJ32" i="43"/>
  <c r="BJ349" i="43"/>
  <c r="DN282" i="43"/>
  <c r="DO282" i="43" s="1"/>
  <c r="BH349" i="43"/>
  <c r="BJ380" i="43"/>
  <c r="CC349" i="43"/>
  <c r="DN381" i="43"/>
  <c r="CX349" i="43"/>
  <c r="AQ349" i="43"/>
  <c r="BK349" i="24" s="1"/>
  <c r="EI349" i="43" s="1"/>
  <c r="EJ349" i="43" s="1"/>
  <c r="Y348" i="24" s="1"/>
  <c r="CV349" i="43"/>
  <c r="BY349" i="43"/>
  <c r="CA349" i="43"/>
  <c r="DN251" i="43"/>
  <c r="DO251" i="43" s="1"/>
  <c r="AQ240" i="43"/>
  <c r="BK240" i="24" s="1"/>
  <c r="EI240" i="43" s="1"/>
  <c r="EJ240" i="43" s="1"/>
  <c r="Y239" i="24" s="1"/>
  <c r="CT349" i="43"/>
  <c r="AQ315" i="43"/>
  <c r="BK315" i="24" s="1"/>
  <c r="EI315" i="43" s="1"/>
  <c r="EJ315" i="43" s="1"/>
  <c r="Y314" i="24" s="1"/>
  <c r="DN298" i="43"/>
  <c r="DO298" i="43" s="1"/>
  <c r="BJ179" i="43"/>
  <c r="DN328" i="43"/>
  <c r="DO328" i="43" s="1"/>
  <c r="BY179" i="43"/>
  <c r="DN377" i="43"/>
  <c r="DN373" i="43"/>
  <c r="DN378" i="43"/>
  <c r="DN363" i="43"/>
  <c r="DN365" i="43"/>
  <c r="DN375" i="43"/>
  <c r="BH350" i="43"/>
  <c r="DN280" i="43"/>
  <c r="DO280" i="43" s="1"/>
  <c r="DO292" i="43"/>
  <c r="CT292" i="43" s="1"/>
  <c r="GK334" i="43"/>
  <c r="GU334" i="43" s="1"/>
  <c r="GK330" i="43"/>
  <c r="HB330" i="43" s="1"/>
  <c r="CV315" i="43"/>
  <c r="BF240" i="43"/>
  <c r="DN308" i="43"/>
  <c r="DO308" i="43" s="1"/>
  <c r="DO296" i="43"/>
  <c r="CX296" i="43" s="1"/>
  <c r="K106" i="35"/>
  <c r="CC240" i="43"/>
  <c r="CC315" i="43"/>
  <c r="CX350" i="43"/>
  <c r="BJ350" i="43"/>
  <c r="GK361" i="43"/>
  <c r="GN361" i="43" s="1"/>
  <c r="DN290" i="43"/>
  <c r="DO290" i="43" s="1"/>
  <c r="BY350" i="43"/>
  <c r="DO216" i="43"/>
  <c r="BH216" i="43" s="1"/>
  <c r="AQ350" i="43"/>
  <c r="BY315" i="43"/>
  <c r="BF315" i="43"/>
  <c r="DO263" i="43"/>
  <c r="CC263" i="43" s="1"/>
  <c r="BJ240" i="43"/>
  <c r="CX240" i="43"/>
  <c r="BH315" i="43"/>
  <c r="BJ315" i="43"/>
  <c r="CA240" i="43"/>
  <c r="BY240" i="43"/>
  <c r="CV240" i="43"/>
  <c r="CZ240" i="43" s="1"/>
  <c r="BH240" i="43"/>
  <c r="CT315" i="43"/>
  <c r="CX315" i="43"/>
  <c r="GK363" i="43"/>
  <c r="HB363" i="43" s="1"/>
  <c r="DN300" i="43"/>
  <c r="DO300" i="43" s="1"/>
  <c r="GK370" i="43"/>
  <c r="HB370" i="43" s="1"/>
  <c r="DO294" i="43"/>
  <c r="CX294" i="43" s="1"/>
  <c r="BY32" i="43"/>
  <c r="CA32" i="43"/>
  <c r="GK364" i="43"/>
  <c r="HB364" i="43" s="1"/>
  <c r="CV350" i="43"/>
  <c r="CZ350" i="43" s="1"/>
  <c r="CC350" i="43"/>
  <c r="DN312" i="43"/>
  <c r="DO312" i="43" s="1"/>
  <c r="GK362" i="43"/>
  <c r="GN362" i="43" s="1"/>
  <c r="CT380" i="43"/>
  <c r="BY380" i="43"/>
  <c r="CV380" i="43"/>
  <c r="CC32" i="43"/>
  <c r="CX32" i="43"/>
  <c r="CV32" i="43"/>
  <c r="DN284" i="43"/>
  <c r="DO284" i="43" s="1"/>
  <c r="GK335" i="43"/>
  <c r="GU335" i="43" s="1"/>
  <c r="GK333" i="43"/>
  <c r="HI333" i="43" s="1"/>
  <c r="BH380" i="43"/>
  <c r="CA380" i="43"/>
  <c r="BF350" i="43"/>
  <c r="CA350" i="43"/>
  <c r="CX380" i="43"/>
  <c r="BF380" i="43"/>
  <c r="BH32" i="43"/>
  <c r="BF32" i="43"/>
  <c r="DN243" i="43"/>
  <c r="DO243" i="43" s="1"/>
  <c r="DN334" i="43"/>
  <c r="DO334" i="43" s="1"/>
  <c r="DO211" i="43"/>
  <c r="CC211" i="43" s="1"/>
  <c r="GK374" i="43"/>
  <c r="HI374" i="43" s="1"/>
  <c r="GK331" i="43"/>
  <c r="GU331" i="43" s="1"/>
  <c r="J106" i="35"/>
  <c r="GO332" i="43"/>
  <c r="BB332" i="43" s="1"/>
  <c r="BD332" i="43" s="1"/>
  <c r="GK332" i="43"/>
  <c r="GK354" i="43"/>
  <c r="GN354" i="43" s="1"/>
  <c r="GK381" i="43"/>
  <c r="GN381" i="43" s="1"/>
  <c r="GK338" i="43"/>
  <c r="HI338" i="43" s="1"/>
  <c r="GK345" i="43"/>
  <c r="GU345" i="43" s="1"/>
  <c r="V9" i="45"/>
  <c r="GK350" i="43"/>
  <c r="HB350" i="43" s="1"/>
  <c r="GK348" i="43"/>
  <c r="HB348" i="43" s="1"/>
  <c r="GK344" i="43"/>
  <c r="HB344" i="43" s="1"/>
  <c r="GK346" i="43"/>
  <c r="HB346" i="43" s="1"/>
  <c r="GK355" i="43"/>
  <c r="GU355" i="43" s="1"/>
  <c r="GK375" i="43"/>
  <c r="GU375" i="43" s="1"/>
  <c r="DN306" i="43"/>
  <c r="DO306" i="43" s="1"/>
  <c r="CC179" i="43"/>
  <c r="CA179" i="43"/>
  <c r="GK336" i="43"/>
  <c r="HI336" i="43" s="1"/>
  <c r="GK373" i="43"/>
  <c r="HB373" i="43" s="1"/>
  <c r="DO217" i="43"/>
  <c r="AQ217" i="43" s="1"/>
  <c r="CT179" i="43"/>
  <c r="BH179" i="43"/>
  <c r="CV179" i="43"/>
  <c r="GK368" i="43"/>
  <c r="GN368" i="43" s="1"/>
  <c r="GK365" i="43"/>
  <c r="HB365" i="43" s="1"/>
  <c r="GK340" i="43"/>
  <c r="HB340" i="43" s="1"/>
  <c r="CX179" i="43"/>
  <c r="BF179" i="43"/>
  <c r="GK367" i="43"/>
  <c r="HB367" i="43" s="1"/>
  <c r="GK337" i="43"/>
  <c r="HI337" i="43" s="1"/>
  <c r="GK377" i="43"/>
  <c r="HB377" i="43" s="1"/>
  <c r="GK358" i="43"/>
  <c r="HI358" i="43" s="1"/>
  <c r="DO278" i="43"/>
  <c r="CC278" i="43" s="1"/>
  <c r="GK342" i="43"/>
  <c r="GN342" i="43" s="1"/>
  <c r="Z13" i="45"/>
  <c r="GK356" i="43"/>
  <c r="GK352" i="43"/>
  <c r="DM206" i="43"/>
  <c r="L106" i="35"/>
  <c r="HC369" i="43"/>
  <c r="CP369" i="43" s="1"/>
  <c r="CR369" i="43" s="1"/>
  <c r="GK369" i="43"/>
  <c r="P22" i="44"/>
  <c r="P24" i="44" s="1"/>
  <c r="I33" i="35"/>
  <c r="HC376" i="43"/>
  <c r="CP376" i="43" s="1"/>
  <c r="CR376" i="43" s="1"/>
  <c r="GK376" i="43"/>
  <c r="HC339" i="43"/>
  <c r="CP339" i="43" s="1"/>
  <c r="CR339" i="43" s="1"/>
  <c r="GK339" i="43"/>
  <c r="CF182" i="43"/>
  <c r="DO204" i="43"/>
  <c r="BJ204" i="43" s="1"/>
  <c r="GO11" i="43"/>
  <c r="BB11" i="43" s="1"/>
  <c r="GK11" i="43"/>
  <c r="GO347" i="43"/>
  <c r="BB347" i="43" s="1"/>
  <c r="BD347" i="43" s="1"/>
  <c r="GK347" i="43"/>
  <c r="GK353" i="43"/>
  <c r="GO353" i="43"/>
  <c r="BB353" i="43" s="1"/>
  <c r="BD353" i="43" s="1"/>
  <c r="GK378" i="43"/>
  <c r="GO378" i="43"/>
  <c r="BB378" i="43" s="1"/>
  <c r="BD378" i="43" s="1"/>
  <c r="CF40" i="43"/>
  <c r="CI40" i="43" s="1"/>
  <c r="CK40" i="43" s="1"/>
  <c r="CF183" i="43"/>
  <c r="W14" i="45"/>
  <c r="O19" i="44"/>
  <c r="K22" i="44"/>
  <c r="K24" i="44" s="1"/>
  <c r="O15" i="44"/>
  <c r="O12" i="44"/>
  <c r="N17" i="44"/>
  <c r="O20" i="44"/>
  <c r="O34" i="44" a="1"/>
  <c r="O34" i="44" s="1"/>
  <c r="N34" i="44" s="1"/>
  <c r="O17" i="44"/>
  <c r="N18" i="44"/>
  <c r="O18" i="44"/>
  <c r="N19" i="44"/>
  <c r="N12" i="44"/>
  <c r="N15" i="44"/>
  <c r="N20" i="44"/>
  <c r="AQ91" i="43"/>
  <c r="CV91" i="43"/>
  <c r="CA91" i="43"/>
  <c r="BJ91" i="43"/>
  <c r="BF91" i="43"/>
  <c r="BY91" i="43"/>
  <c r="CX91" i="43"/>
  <c r="CT91" i="43"/>
  <c r="BH91" i="43"/>
  <c r="CC91" i="43"/>
  <c r="AQ11" i="43"/>
  <c r="CX11" i="43"/>
  <c r="CT11" i="43"/>
  <c r="CA11" i="43"/>
  <c r="BH11" i="43"/>
  <c r="CV11" i="43"/>
  <c r="CC11" i="43"/>
  <c r="BF11" i="43"/>
  <c r="BJ11" i="43"/>
  <c r="BY11" i="43"/>
  <c r="CX161" i="43"/>
  <c r="AQ161" i="43"/>
  <c r="CV161" i="43"/>
  <c r="CA161" i="43"/>
  <c r="BJ161" i="43"/>
  <c r="BF161" i="43"/>
  <c r="CT161" i="43"/>
  <c r="BH161" i="43"/>
  <c r="BY161" i="43"/>
  <c r="CC161" i="43"/>
  <c r="AQ30" i="43"/>
  <c r="CX30" i="43"/>
  <c r="CT30" i="43"/>
  <c r="CC30" i="43"/>
  <c r="BH30" i="43"/>
  <c r="BJ30" i="43"/>
  <c r="CV30" i="43"/>
  <c r="BY30" i="43"/>
  <c r="CA30" i="43"/>
  <c r="BF30" i="43"/>
  <c r="AQ169" i="43"/>
  <c r="CX169" i="43"/>
  <c r="CT169" i="43"/>
  <c r="CC169" i="43"/>
  <c r="BH169" i="43"/>
  <c r="BF169" i="43"/>
  <c r="BY169" i="43"/>
  <c r="CA169" i="43"/>
  <c r="CV169" i="43"/>
  <c r="BJ169" i="43"/>
  <c r="AQ99" i="43"/>
  <c r="CV99" i="43"/>
  <c r="CA99" i="43"/>
  <c r="BJ99" i="43"/>
  <c r="BF99" i="43"/>
  <c r="CT99" i="43"/>
  <c r="CC99" i="43"/>
  <c r="BY99" i="43"/>
  <c r="BH99" i="43"/>
  <c r="CX99" i="43"/>
  <c r="AQ124" i="43"/>
  <c r="CV124" i="43"/>
  <c r="CA124" i="43"/>
  <c r="BJ124" i="43"/>
  <c r="BF124" i="43"/>
  <c r="CX124" i="43"/>
  <c r="CT124" i="43"/>
  <c r="CC124" i="43"/>
  <c r="BH124" i="43"/>
  <c r="BY124" i="43"/>
  <c r="AQ61" i="43"/>
  <c r="CX61" i="43"/>
  <c r="CT61" i="43"/>
  <c r="CC61" i="43"/>
  <c r="BH61" i="43"/>
  <c r="CV61" i="43"/>
  <c r="CA61" i="43"/>
  <c r="BJ61" i="43"/>
  <c r="BF61" i="43"/>
  <c r="BY61" i="43"/>
  <c r="AQ14" i="43"/>
  <c r="CX14" i="43"/>
  <c r="CT14" i="43"/>
  <c r="CC14" i="43"/>
  <c r="BH14" i="43"/>
  <c r="BY14" i="43"/>
  <c r="CA14" i="43"/>
  <c r="BF14" i="43"/>
  <c r="BJ14" i="43"/>
  <c r="CV14" i="43"/>
  <c r="AQ37" i="43"/>
  <c r="CV37" i="43"/>
  <c r="CA37" i="43"/>
  <c r="BJ37" i="43"/>
  <c r="BF37" i="43"/>
  <c r="CX37" i="43"/>
  <c r="BH37" i="43"/>
  <c r="CC37" i="43"/>
  <c r="BY37" i="43"/>
  <c r="CT37" i="43"/>
  <c r="AQ181" i="43"/>
  <c r="CX181" i="43"/>
  <c r="CT181" i="43"/>
  <c r="CC181" i="43"/>
  <c r="BH181" i="43"/>
  <c r="CV181" i="43"/>
  <c r="BY181" i="43"/>
  <c r="CA181" i="43"/>
  <c r="BF181" i="43"/>
  <c r="BJ181" i="43"/>
  <c r="BJ106" i="43"/>
  <c r="BF106" i="43"/>
  <c r="CA106" i="43"/>
  <c r="AQ106" i="43"/>
  <c r="BH106" i="43"/>
  <c r="CV106" i="43"/>
  <c r="CC106" i="43"/>
  <c r="BY106" i="43"/>
  <c r="CT106" i="43"/>
  <c r="CX106" i="43"/>
  <c r="AQ20" i="43"/>
  <c r="CV20" i="43"/>
  <c r="CA20" i="43"/>
  <c r="BJ20" i="43"/>
  <c r="BF20" i="43"/>
  <c r="BH20" i="43"/>
  <c r="CC20" i="43"/>
  <c r="BY20" i="43"/>
  <c r="CX20" i="43"/>
  <c r="CT20" i="43"/>
  <c r="DB20" i="43" s="1"/>
  <c r="AQ42" i="43"/>
  <c r="CA42" i="43"/>
  <c r="BF42" i="43"/>
  <c r="BH42" i="43"/>
  <c r="CX42" i="43"/>
  <c r="BJ42" i="43"/>
  <c r="BY42" i="43"/>
  <c r="CC42" i="43"/>
  <c r="CT42" i="43"/>
  <c r="CV42" i="43"/>
  <c r="AQ168" i="43"/>
  <c r="CX168" i="43"/>
  <c r="CT168" i="43"/>
  <c r="CC168" i="43"/>
  <c r="BH168" i="43"/>
  <c r="CA168" i="43"/>
  <c r="BY168" i="43"/>
  <c r="BF168" i="43"/>
  <c r="CV168" i="43"/>
  <c r="BJ168" i="43"/>
  <c r="AQ191" i="43"/>
  <c r="CV191" i="43"/>
  <c r="CA191" i="43"/>
  <c r="BJ191" i="43"/>
  <c r="BF191" i="43"/>
  <c r="CC191" i="43"/>
  <c r="BY191" i="43"/>
  <c r="CT191" i="43"/>
  <c r="CX191" i="43"/>
  <c r="BH191" i="43"/>
  <c r="AQ189" i="43"/>
  <c r="CX189" i="43"/>
  <c r="CT189" i="43"/>
  <c r="CC189" i="43"/>
  <c r="BH189" i="43"/>
  <c r="CA189" i="43"/>
  <c r="CV189" i="43"/>
  <c r="BJ189" i="43"/>
  <c r="BF189" i="43"/>
  <c r="BY189" i="43"/>
  <c r="AQ171" i="43"/>
  <c r="CV171" i="43"/>
  <c r="CA171" i="43"/>
  <c r="BJ171" i="43"/>
  <c r="BF171" i="43"/>
  <c r="CC171" i="43"/>
  <c r="BY171" i="43"/>
  <c r="CX171" i="43"/>
  <c r="CT171" i="43"/>
  <c r="BH171" i="43"/>
  <c r="AQ84" i="43"/>
  <c r="CV84" i="43"/>
  <c r="CA84" i="43"/>
  <c r="BJ84" i="43"/>
  <c r="BF84" i="43"/>
  <c r="CT84" i="43"/>
  <c r="BH84" i="43"/>
  <c r="CX84" i="43"/>
  <c r="BY84" i="43"/>
  <c r="CC84" i="43"/>
  <c r="AQ16" i="43"/>
  <c r="CV16" i="43"/>
  <c r="CA16" i="43"/>
  <c r="BJ16" i="43"/>
  <c r="BF16" i="43"/>
  <c r="CC16" i="43"/>
  <c r="CX16" i="43"/>
  <c r="CT16" i="43"/>
  <c r="DB16" i="43" s="1"/>
  <c r="BY16" i="43"/>
  <c r="BH16" i="43"/>
  <c r="AQ95" i="43"/>
  <c r="CV95" i="43"/>
  <c r="CA95" i="43"/>
  <c r="BJ95" i="43"/>
  <c r="BF95" i="43"/>
  <c r="BH95" i="43"/>
  <c r="BY95" i="43"/>
  <c r="CX95" i="43"/>
  <c r="CT95" i="43"/>
  <c r="CC95" i="43"/>
  <c r="CX19" i="43"/>
  <c r="CT19" i="43"/>
  <c r="DB19" i="43" s="1"/>
  <c r="CC19" i="43"/>
  <c r="BH19" i="43"/>
  <c r="AQ19" i="43"/>
  <c r="BJ19" i="43"/>
  <c r="BF19" i="43"/>
  <c r="BN19" i="43" s="1"/>
  <c r="CA19" i="43"/>
  <c r="CV19" i="43"/>
  <c r="BY19" i="43"/>
  <c r="CX35" i="43"/>
  <c r="CT35" i="43"/>
  <c r="CC35" i="43"/>
  <c r="BH35" i="43"/>
  <c r="AQ35" i="43"/>
  <c r="CA35" i="43"/>
  <c r="BF35" i="43"/>
  <c r="CV35" i="43"/>
  <c r="BJ35" i="43"/>
  <c r="BY35" i="43"/>
  <c r="AQ185" i="43"/>
  <c r="CX185" i="43"/>
  <c r="CT185" i="43"/>
  <c r="CC185" i="43"/>
  <c r="BH185" i="43"/>
  <c r="CV185" i="43"/>
  <c r="BF185" i="43"/>
  <c r="BY185" i="43"/>
  <c r="CA185" i="43"/>
  <c r="BJ185" i="43"/>
  <c r="AQ34" i="43"/>
  <c r="CX34" i="43"/>
  <c r="CT34" i="43"/>
  <c r="CC34" i="43"/>
  <c r="BH34" i="43"/>
  <c r="CA34" i="43"/>
  <c r="CV34" i="43"/>
  <c r="BJ34" i="43"/>
  <c r="BF34" i="43"/>
  <c r="BY34" i="43"/>
  <c r="AQ153" i="43"/>
  <c r="CA153" i="43"/>
  <c r="CV153" i="43"/>
  <c r="BY153" i="43"/>
  <c r="BH153" i="43"/>
  <c r="BJ153" i="43"/>
  <c r="BF153" i="43"/>
  <c r="CX153" i="43"/>
  <c r="CT153" i="43"/>
  <c r="CC153" i="43"/>
  <c r="CX27" i="43"/>
  <c r="CT27" i="43"/>
  <c r="CC27" i="43"/>
  <c r="BH27" i="43"/>
  <c r="AQ27" i="43"/>
  <c r="BF27" i="43"/>
  <c r="CA27" i="43"/>
  <c r="CH27" i="43" s="1"/>
  <c r="BJ27" i="43"/>
  <c r="CV27" i="43"/>
  <c r="DA27" i="43" s="1"/>
  <c r="L98" i="35" s="1"/>
  <c r="BY27" i="43"/>
  <c r="AQ144" i="43"/>
  <c r="CV144" i="43"/>
  <c r="CA144" i="43"/>
  <c r="BJ144" i="43"/>
  <c r="BF144" i="43"/>
  <c r="CX144" i="43"/>
  <c r="CT144" i="43"/>
  <c r="CC144" i="43"/>
  <c r="BH144" i="43"/>
  <c r="BY144" i="43"/>
  <c r="BF201" i="43"/>
  <c r="CV201" i="43"/>
  <c r="CA201" i="43"/>
  <c r="BJ201" i="43"/>
  <c r="AQ201" i="43"/>
  <c r="BH201" i="43"/>
  <c r="CC201" i="43"/>
  <c r="BY201" i="43"/>
  <c r="CX201" i="43"/>
  <c r="CT201" i="43"/>
  <c r="AQ54" i="43"/>
  <c r="BH54" i="43"/>
  <c r="BJ54" i="43"/>
  <c r="BF54" i="43"/>
  <c r="CC54" i="43"/>
  <c r="BY54" i="43"/>
  <c r="CA54" i="43"/>
  <c r="CX54" i="43"/>
  <c r="CT54" i="43"/>
  <c r="CV54" i="43"/>
  <c r="AQ165" i="43"/>
  <c r="CX165" i="43"/>
  <c r="CT165" i="43"/>
  <c r="CC165" i="43"/>
  <c r="BH165" i="43"/>
  <c r="BY165" i="43"/>
  <c r="CV165" i="43"/>
  <c r="CA165" i="43"/>
  <c r="BJ165" i="43"/>
  <c r="BF165" i="43"/>
  <c r="AQ77" i="43"/>
  <c r="CX77" i="43"/>
  <c r="CT77" i="43"/>
  <c r="CC77" i="43"/>
  <c r="BH77" i="43"/>
  <c r="CV77" i="43"/>
  <c r="BF77" i="43"/>
  <c r="CA77" i="43"/>
  <c r="BJ77" i="43"/>
  <c r="BY77" i="43"/>
  <c r="CV192" i="43"/>
  <c r="CA192" i="43"/>
  <c r="BF192" i="43"/>
  <c r="AQ192" i="43"/>
  <c r="BJ192" i="43"/>
  <c r="BH192" i="43"/>
  <c r="BY192" i="43"/>
  <c r="CC192" i="43"/>
  <c r="CX192" i="43"/>
  <c r="CT192" i="43"/>
  <c r="AQ12" i="43"/>
  <c r="CV12" i="43"/>
  <c r="CA12" i="43"/>
  <c r="BJ12" i="43"/>
  <c r="BF12" i="43"/>
  <c r="BY12" i="43"/>
  <c r="BH12" i="43"/>
  <c r="CC12" i="43"/>
  <c r="CX12" i="43"/>
  <c r="CT12" i="43"/>
  <c r="AQ173" i="43"/>
  <c r="CX173" i="43"/>
  <c r="CT173" i="43"/>
  <c r="CC173" i="43"/>
  <c r="BH173" i="43"/>
  <c r="CV173" i="43"/>
  <c r="BY173" i="43"/>
  <c r="CA173" i="43"/>
  <c r="BJ173" i="43"/>
  <c r="BF173" i="43"/>
  <c r="AQ177" i="43"/>
  <c r="CX177" i="43"/>
  <c r="CT177" i="43"/>
  <c r="CC177" i="43"/>
  <c r="BH177" i="43"/>
  <c r="BF177" i="43"/>
  <c r="BY177" i="43"/>
  <c r="CV177" i="43"/>
  <c r="CA177" i="43"/>
  <c r="BJ177" i="43"/>
  <c r="AQ21" i="43"/>
  <c r="CV21" i="43"/>
  <c r="CA21" i="43"/>
  <c r="BJ21" i="43"/>
  <c r="BF21" i="43"/>
  <c r="CC21" i="43"/>
  <c r="CX21" i="43"/>
  <c r="CT21" i="43"/>
  <c r="BY21" i="43"/>
  <c r="BH21" i="43"/>
  <c r="CX15" i="43"/>
  <c r="CT15" i="43"/>
  <c r="CC15" i="43"/>
  <c r="BH15" i="43"/>
  <c r="AQ15" i="43"/>
  <c r="BF15" i="43"/>
  <c r="CA15" i="43"/>
  <c r="BJ15" i="43"/>
  <c r="CV15" i="43"/>
  <c r="BY15" i="43"/>
  <c r="AQ370" i="43"/>
  <c r="CV370" i="43"/>
  <c r="CA370" i="43"/>
  <c r="BJ370" i="43"/>
  <c r="BF370" i="43"/>
  <c r="BH370" i="43"/>
  <c r="BY370" i="43"/>
  <c r="CC370" i="43"/>
  <c r="CT370" i="43"/>
  <c r="CX370" i="43"/>
  <c r="CV195" i="43"/>
  <c r="CA195" i="43"/>
  <c r="BJ195" i="43"/>
  <c r="BF195" i="43"/>
  <c r="BH195" i="43"/>
  <c r="CX195" i="43"/>
  <c r="AQ195" i="43"/>
  <c r="CC195" i="43"/>
  <c r="CT195" i="43"/>
  <c r="DB195" i="43" s="1"/>
  <c r="BY195" i="43"/>
  <c r="AQ125" i="43"/>
  <c r="BF125" i="43"/>
  <c r="BJ125" i="43"/>
  <c r="CC125" i="43"/>
  <c r="BY125" i="43"/>
  <c r="CA125" i="43"/>
  <c r="CX125" i="43"/>
  <c r="BH125" i="43"/>
  <c r="CT125" i="43"/>
  <c r="CV125" i="43"/>
  <c r="DN304" i="43"/>
  <c r="DO304" i="43" s="1"/>
  <c r="DN234" i="43"/>
  <c r="DO234" i="43" s="1"/>
  <c r="DN218" i="43"/>
  <c r="DO218" i="43" s="1"/>
  <c r="BF209" i="43"/>
  <c r="AQ209" i="43"/>
  <c r="CV209" i="43"/>
  <c r="CA209" i="43"/>
  <c r="BJ209" i="43"/>
  <c r="CX209" i="43"/>
  <c r="CT209" i="43"/>
  <c r="BH209" i="43"/>
  <c r="CC209" i="43"/>
  <c r="BY209" i="43"/>
  <c r="BK164" i="24"/>
  <c r="EI164" i="43" s="1"/>
  <c r="EJ164" i="43" s="1"/>
  <c r="Y163" i="24" s="1"/>
  <c r="AQ200" i="43"/>
  <c r="CX200" i="43"/>
  <c r="BJ200" i="43"/>
  <c r="BF200" i="43"/>
  <c r="CC200" i="43"/>
  <c r="BY200" i="43"/>
  <c r="CA200" i="43"/>
  <c r="BH200" i="43"/>
  <c r="CT200" i="43"/>
  <c r="CV200" i="43"/>
  <c r="AQ58" i="43"/>
  <c r="BY58" i="43"/>
  <c r="CV58" i="43"/>
  <c r="CX58" i="43"/>
  <c r="BJ58" i="43"/>
  <c r="CT58" i="43"/>
  <c r="BF58" i="43"/>
  <c r="BH58" i="43"/>
  <c r="CA58" i="43"/>
  <c r="CC58" i="43"/>
  <c r="AQ18" i="43"/>
  <c r="CX18" i="43"/>
  <c r="CT18" i="43"/>
  <c r="DB18" i="43" s="1"/>
  <c r="CC18" i="43"/>
  <c r="BH18" i="43"/>
  <c r="BF18" i="43"/>
  <c r="BN18" i="43" s="1"/>
  <c r="BJ18" i="43"/>
  <c r="BY18" i="43"/>
  <c r="CA18" i="43"/>
  <c r="CH18" i="43" s="1"/>
  <c r="CV18" i="43"/>
  <c r="DA18" i="43" s="1"/>
  <c r="AQ347" i="43"/>
  <c r="CV347" i="43"/>
  <c r="CA347" i="43"/>
  <c r="BJ347" i="43"/>
  <c r="BF347" i="43"/>
  <c r="CX347" i="43"/>
  <c r="BH347" i="43"/>
  <c r="BY347" i="43"/>
  <c r="CC347" i="43"/>
  <c r="CT347" i="43"/>
  <c r="AQ339" i="43"/>
  <c r="CV339" i="43"/>
  <c r="CA339" i="43"/>
  <c r="BJ339" i="43"/>
  <c r="BF339" i="43"/>
  <c r="CX339" i="43"/>
  <c r="BH339" i="43"/>
  <c r="BY339" i="43"/>
  <c r="CC339" i="43"/>
  <c r="CT339" i="43"/>
  <c r="CX267" i="43"/>
  <c r="CT267" i="43"/>
  <c r="CC267" i="43"/>
  <c r="BH267" i="43"/>
  <c r="AQ267" i="43"/>
  <c r="CA267" i="43"/>
  <c r="BJ267" i="43"/>
  <c r="CV267" i="43"/>
  <c r="BF267" i="43"/>
  <c r="BY267" i="43"/>
  <c r="CX259" i="43"/>
  <c r="CT259" i="43"/>
  <c r="CC259" i="43"/>
  <c r="BH259" i="43"/>
  <c r="AQ259" i="43"/>
  <c r="BJ259" i="43"/>
  <c r="CV259" i="43"/>
  <c r="BF259" i="43"/>
  <c r="CA259" i="43"/>
  <c r="BY259" i="43"/>
  <c r="DN76" i="43"/>
  <c r="DO76" i="43" s="1"/>
  <c r="DN236" i="43"/>
  <c r="DO236" i="43" s="1"/>
  <c r="DM63" i="43"/>
  <c r="AQ362" i="43"/>
  <c r="BF362" i="43"/>
  <c r="CV362" i="43"/>
  <c r="CA362" i="43"/>
  <c r="BJ362" i="43"/>
  <c r="BY362" i="43"/>
  <c r="CT362" i="43"/>
  <c r="CC362" i="43"/>
  <c r="CX362" i="43"/>
  <c r="BH362" i="43"/>
  <c r="CX316" i="43"/>
  <c r="CT316" i="43"/>
  <c r="CC316" i="43"/>
  <c r="BH316" i="43"/>
  <c r="AQ316" i="43"/>
  <c r="BJ316" i="43"/>
  <c r="BF316" i="43"/>
  <c r="BY316" i="43"/>
  <c r="CA316" i="43"/>
  <c r="CV316" i="43"/>
  <c r="AQ46" i="43"/>
  <c r="CX46" i="43"/>
  <c r="CT46" i="43"/>
  <c r="CA46" i="43"/>
  <c r="CC46" i="43"/>
  <c r="BJ46" i="43"/>
  <c r="BY46" i="43"/>
  <c r="CV46" i="43"/>
  <c r="BF46" i="43"/>
  <c r="BH46" i="43"/>
  <c r="DM114" i="43"/>
  <c r="AQ44" i="43"/>
  <c r="CV44" i="43"/>
  <c r="CA44" i="43"/>
  <c r="BJ44" i="43"/>
  <c r="BF44" i="43"/>
  <c r="BH44" i="43"/>
  <c r="CC44" i="43"/>
  <c r="CX44" i="43"/>
  <c r="BY44" i="43"/>
  <c r="CT44" i="43"/>
  <c r="AQ372" i="43"/>
  <c r="CA372" i="43"/>
  <c r="BJ372" i="43"/>
  <c r="CV372" i="43"/>
  <c r="BF372" i="43"/>
  <c r="CT372" i="43"/>
  <c r="CC372" i="43"/>
  <c r="BH372" i="43"/>
  <c r="CX372" i="43"/>
  <c r="BY372" i="43"/>
  <c r="DN302" i="43"/>
  <c r="DO302" i="43" s="1"/>
  <c r="DN279" i="43"/>
  <c r="DO279" i="43" s="1"/>
  <c r="AQ148" i="43"/>
  <c r="CV148" i="43"/>
  <c r="CA148" i="43"/>
  <c r="BJ148" i="43"/>
  <c r="BF148" i="43"/>
  <c r="CX148" i="43"/>
  <c r="CT148" i="43"/>
  <c r="CC148" i="43"/>
  <c r="BH148" i="43"/>
  <c r="BY148" i="43"/>
  <c r="O14" i="44"/>
  <c r="N11" i="44"/>
  <c r="DN273" i="43"/>
  <c r="DO273" i="43" s="1"/>
  <c r="DN254" i="43"/>
  <c r="DO254" i="43" s="1"/>
  <c r="AQ272" i="43"/>
  <c r="CV272" i="43"/>
  <c r="CA272" i="43"/>
  <c r="BJ272" i="43"/>
  <c r="BF272" i="43"/>
  <c r="CX272" i="43"/>
  <c r="CT272" i="43"/>
  <c r="BY272" i="43"/>
  <c r="BH272" i="43"/>
  <c r="CC272" i="43"/>
  <c r="AQ197" i="43"/>
  <c r="CX197" i="43"/>
  <c r="CT197" i="43"/>
  <c r="CC197" i="43"/>
  <c r="BH197" i="43"/>
  <c r="CA197" i="43"/>
  <c r="CV197" i="43"/>
  <c r="BF197" i="43"/>
  <c r="BY197" i="43"/>
  <c r="BJ197" i="43"/>
  <c r="DN149" i="43"/>
  <c r="DO149" i="43" s="1"/>
  <c r="AQ175" i="43"/>
  <c r="CV175" i="43"/>
  <c r="CA175" i="43"/>
  <c r="BJ175" i="43"/>
  <c r="BF175" i="43"/>
  <c r="BH175" i="43"/>
  <c r="CT175" i="43"/>
  <c r="CC175" i="43"/>
  <c r="CX175" i="43"/>
  <c r="BY175" i="43"/>
  <c r="DM130" i="43"/>
  <c r="DN89" i="43"/>
  <c r="DO89" i="43" s="1"/>
  <c r="DN51" i="43"/>
  <c r="DO51" i="43" s="1"/>
  <c r="AQ50" i="43"/>
  <c r="CC50" i="43"/>
  <c r="CX50" i="43"/>
  <c r="BF50" i="43"/>
  <c r="BJ50" i="43"/>
  <c r="BH50" i="43"/>
  <c r="CT50" i="43"/>
  <c r="BY50" i="43"/>
  <c r="CA50" i="43"/>
  <c r="CV50" i="43"/>
  <c r="GO357" i="43"/>
  <c r="BB357" i="43" s="1"/>
  <c r="BD357" i="43" s="1"/>
  <c r="GK357" i="43"/>
  <c r="BF323" i="43"/>
  <c r="AQ323" i="43"/>
  <c r="DN303" i="43"/>
  <c r="DO303" i="43" s="1"/>
  <c r="CX184" i="43"/>
  <c r="CT184" i="43"/>
  <c r="CC184" i="43"/>
  <c r="AQ184" i="43"/>
  <c r="BH184" i="43"/>
  <c r="BF184" i="43"/>
  <c r="CA184" i="43"/>
  <c r="BY184" i="43"/>
  <c r="BJ184" i="43"/>
  <c r="CV184" i="43"/>
  <c r="EB40" i="43"/>
  <c r="R40" i="43" s="1"/>
  <c r="BL40" i="43"/>
  <c r="BN40" i="43"/>
  <c r="BK40" i="24"/>
  <c r="EI40" i="43" s="1"/>
  <c r="EJ40" i="43" s="1"/>
  <c r="Y39" i="24" s="1"/>
  <c r="AQ368" i="43"/>
  <c r="CV368" i="43"/>
  <c r="CA368" i="43"/>
  <c r="BJ368" i="43"/>
  <c r="BF368" i="43"/>
  <c r="BH368" i="43"/>
  <c r="CX368" i="43"/>
  <c r="CC368" i="43"/>
  <c r="CT368" i="43"/>
  <c r="BY368" i="43"/>
  <c r="CX324" i="43"/>
  <c r="CT324" i="43"/>
  <c r="CC324" i="43"/>
  <c r="BH324" i="43"/>
  <c r="AQ324" i="43"/>
  <c r="CA324" i="43"/>
  <c r="BF324" i="43"/>
  <c r="CV324" i="43"/>
  <c r="BJ324" i="43"/>
  <c r="BY324" i="43"/>
  <c r="AQ198" i="43"/>
  <c r="BF198" i="43"/>
  <c r="CV198" i="43"/>
  <c r="CA198" i="43"/>
  <c r="BJ198" i="43"/>
  <c r="BY198" i="43"/>
  <c r="CT198" i="43"/>
  <c r="CC198" i="43"/>
  <c r="CX198" i="43"/>
  <c r="BH198" i="43"/>
  <c r="I103" i="35"/>
  <c r="I95" i="35"/>
  <c r="I83" i="35"/>
  <c r="I75" i="35"/>
  <c r="I67" i="35"/>
  <c r="I55" i="35"/>
  <c r="I46" i="35"/>
  <c r="I42" i="35"/>
  <c r="I37" i="35"/>
  <c r="I29" i="35"/>
  <c r="I16" i="35"/>
  <c r="I12" i="35"/>
  <c r="I8" i="35"/>
  <c r="H4" i="35"/>
  <c r="I3" i="35"/>
  <c r="I106" i="35"/>
  <c r="I102" i="35"/>
  <c r="I90" i="35"/>
  <c r="I82" i="35"/>
  <c r="I78" i="35"/>
  <c r="I74" i="35"/>
  <c r="I70" i="35"/>
  <c r="I62" i="35"/>
  <c r="I54" i="35"/>
  <c r="I50" i="35"/>
  <c r="I45" i="35"/>
  <c r="I32" i="35"/>
  <c r="I28" i="35"/>
  <c r="I19" i="35"/>
  <c r="I15" i="35"/>
  <c r="I11" i="35"/>
  <c r="I7" i="35"/>
  <c r="I96" i="35"/>
  <c r="I84" i="35"/>
  <c r="I80" i="35"/>
  <c r="I68" i="35"/>
  <c r="I56" i="35"/>
  <c r="I52" i="35"/>
  <c r="I47" i="35"/>
  <c r="I43" i="35"/>
  <c r="I38" i="35"/>
  <c r="I30" i="35"/>
  <c r="I17" i="35"/>
  <c r="I13" i="35"/>
  <c r="I9" i="35"/>
  <c r="I97" i="35"/>
  <c r="I65" i="35"/>
  <c r="I48" i="35"/>
  <c r="I31" i="35"/>
  <c r="I14" i="35"/>
  <c r="I93" i="35"/>
  <c r="I61" i="35"/>
  <c r="I44" i="35"/>
  <c r="I27" i="35"/>
  <c r="I10" i="35"/>
  <c r="I89" i="35"/>
  <c r="I57" i="35"/>
  <c r="I23" i="35"/>
  <c r="I6" i="35"/>
  <c r="I69" i="35"/>
  <c r="I53" i="35"/>
  <c r="I18" i="35"/>
  <c r="DN193" i="43"/>
  <c r="DO193" i="43" s="1"/>
  <c r="CX224" i="43"/>
  <c r="CT224" i="43"/>
  <c r="CC224" i="43"/>
  <c r="BH224" i="43"/>
  <c r="AQ224" i="43"/>
  <c r="CA224" i="43"/>
  <c r="BF224" i="43"/>
  <c r="CV224" i="43"/>
  <c r="BJ224" i="43"/>
  <c r="BY224" i="43"/>
  <c r="GO371" i="43"/>
  <c r="BB371" i="43" s="1"/>
  <c r="BD371" i="43" s="1"/>
  <c r="GK371" i="43"/>
  <c r="CX314" i="43"/>
  <c r="CT314" i="43"/>
  <c r="CC314" i="43"/>
  <c r="BH314" i="43"/>
  <c r="AQ314" i="43"/>
  <c r="BF314" i="43"/>
  <c r="CA314" i="43"/>
  <c r="CV314" i="43"/>
  <c r="BJ314" i="43"/>
  <c r="BY314" i="43"/>
  <c r="AQ307" i="43"/>
  <c r="BF307" i="43"/>
  <c r="CA307" i="43"/>
  <c r="BJ307" i="43"/>
  <c r="CV307" i="43"/>
  <c r="CT307" i="43"/>
  <c r="CX307" i="43"/>
  <c r="CC307" i="43"/>
  <c r="BH307" i="43"/>
  <c r="BY307" i="43"/>
  <c r="DN155" i="43"/>
  <c r="DO155" i="43" s="1"/>
  <c r="AQ145" i="43"/>
  <c r="CV145" i="43"/>
  <c r="BF145" i="43"/>
  <c r="BH145" i="43"/>
  <c r="BJ145" i="43"/>
  <c r="CC145" i="43"/>
  <c r="CX145" i="43"/>
  <c r="BY145" i="43"/>
  <c r="CA145" i="43"/>
  <c r="CT145" i="43"/>
  <c r="AQ49" i="43"/>
  <c r="CV49" i="43"/>
  <c r="CA49" i="43"/>
  <c r="BJ49" i="43"/>
  <c r="BF49" i="43"/>
  <c r="CX49" i="43"/>
  <c r="BH49" i="43"/>
  <c r="CC49" i="43"/>
  <c r="BY49" i="43"/>
  <c r="CT49" i="43"/>
  <c r="AQ33" i="43"/>
  <c r="CV33" i="43"/>
  <c r="CA33" i="43"/>
  <c r="BJ33" i="43"/>
  <c r="BF33" i="43"/>
  <c r="CX33" i="43"/>
  <c r="BH33" i="43"/>
  <c r="BY33" i="43"/>
  <c r="CC33" i="43"/>
  <c r="CT33" i="43"/>
  <c r="AQ187" i="43"/>
  <c r="CV187" i="43"/>
  <c r="CA187" i="43"/>
  <c r="BJ187" i="43"/>
  <c r="BF187" i="43"/>
  <c r="CX187" i="43"/>
  <c r="BY187" i="43"/>
  <c r="BH187" i="43"/>
  <c r="CT187" i="43"/>
  <c r="CC187" i="43"/>
  <c r="DM102" i="43"/>
  <c r="DN69" i="43"/>
  <c r="DO69" i="43" s="1"/>
  <c r="GO341" i="43"/>
  <c r="BB341" i="43" s="1"/>
  <c r="BD341" i="43" s="1"/>
  <c r="GK341" i="43"/>
  <c r="DN289" i="43"/>
  <c r="DO289" i="43" s="1"/>
  <c r="DN285" i="43"/>
  <c r="DO285" i="43" s="1"/>
  <c r="CV213" i="43"/>
  <c r="BF213" i="43"/>
  <c r="AQ213" i="43"/>
  <c r="CA213" i="43"/>
  <c r="BJ213" i="43"/>
  <c r="CC213" i="43"/>
  <c r="BH213" i="43"/>
  <c r="CT213" i="43"/>
  <c r="CX213" i="43"/>
  <c r="BY213" i="43"/>
  <c r="DN133" i="43"/>
  <c r="DO133" i="43" s="1"/>
  <c r="DN85" i="43"/>
  <c r="DO85" i="43" s="1"/>
  <c r="AQ45" i="43"/>
  <c r="CV45" i="43"/>
  <c r="CA45" i="43"/>
  <c r="BJ45" i="43"/>
  <c r="BF45" i="43"/>
  <c r="CC45" i="43"/>
  <c r="CT45" i="43"/>
  <c r="CX45" i="43"/>
  <c r="BH45" i="43"/>
  <c r="BY45" i="43"/>
  <c r="AQ29" i="43"/>
  <c r="CV29" i="43"/>
  <c r="CA29" i="43"/>
  <c r="BJ29" i="43"/>
  <c r="BF29" i="43"/>
  <c r="CX29" i="43"/>
  <c r="BH29" i="43"/>
  <c r="CC29" i="43"/>
  <c r="BY29" i="43"/>
  <c r="CT29" i="43"/>
  <c r="AQ13" i="43"/>
  <c r="CV13" i="43"/>
  <c r="CA13" i="43"/>
  <c r="BJ13" i="43"/>
  <c r="BF13" i="43"/>
  <c r="BH13" i="43"/>
  <c r="CC13" i="43"/>
  <c r="BY13" i="43"/>
  <c r="CT13" i="43"/>
  <c r="CX13" i="43"/>
  <c r="GO360" i="43"/>
  <c r="BB360" i="43" s="1"/>
  <c r="BD360" i="43" s="1"/>
  <c r="GK360" i="43"/>
  <c r="DN276" i="43"/>
  <c r="DO276" i="43" s="1"/>
  <c r="DM79" i="43"/>
  <c r="DN225" i="43"/>
  <c r="DO225" i="43" s="1"/>
  <c r="CX220" i="43"/>
  <c r="CT220" i="43"/>
  <c r="CC220" i="43"/>
  <c r="BH220" i="43"/>
  <c r="AQ220" i="43"/>
  <c r="CV220" i="43"/>
  <c r="BJ220" i="43"/>
  <c r="CA220" i="43"/>
  <c r="BF220" i="43"/>
  <c r="BY220" i="43"/>
  <c r="DB48" i="43"/>
  <c r="ED48" i="43"/>
  <c r="BW48" i="24" s="1"/>
  <c r="CD48" i="24" s="1"/>
  <c r="CE48" i="24" s="1"/>
  <c r="CZ48" i="43"/>
  <c r="EB48" i="43"/>
  <c r="BL48" i="43"/>
  <c r="BN48" i="43"/>
  <c r="DB36" i="43"/>
  <c r="ED36" i="43"/>
  <c r="BW36" i="24" s="1"/>
  <c r="CD36" i="24" s="1"/>
  <c r="CE36" i="24" s="1"/>
  <c r="CZ36" i="43"/>
  <c r="CF188" i="43"/>
  <c r="BK188" i="24"/>
  <c r="EI188" i="43" s="1"/>
  <c r="EJ188" i="43" s="1"/>
  <c r="Y187" i="24" s="1"/>
  <c r="BK179" i="24"/>
  <c r="EI179" i="43" s="1"/>
  <c r="EJ179" i="43" s="1"/>
  <c r="Y178" i="24" s="1"/>
  <c r="CX264" i="43"/>
  <c r="CT264" i="43"/>
  <c r="CC264" i="43"/>
  <c r="BH264" i="43"/>
  <c r="AQ264" i="43"/>
  <c r="CV264" i="43"/>
  <c r="BF264" i="43"/>
  <c r="CA264" i="43"/>
  <c r="BJ264" i="43"/>
  <c r="BY264" i="43"/>
  <c r="CX248" i="43"/>
  <c r="CT248" i="43"/>
  <c r="CC248" i="43"/>
  <c r="BH248" i="43"/>
  <c r="AQ248" i="43"/>
  <c r="CV248" i="43"/>
  <c r="BF248" i="43"/>
  <c r="CA248" i="43"/>
  <c r="BJ248" i="43"/>
  <c r="BY248" i="43"/>
  <c r="AQ73" i="43"/>
  <c r="CX73" i="43"/>
  <c r="CT73" i="43"/>
  <c r="CC73" i="43"/>
  <c r="BH73" i="43"/>
  <c r="BF73" i="43"/>
  <c r="CV73" i="43"/>
  <c r="CA73" i="43"/>
  <c r="BJ73" i="43"/>
  <c r="BY73" i="43"/>
  <c r="CX233" i="43"/>
  <c r="CT233" i="43"/>
  <c r="CC233" i="43"/>
  <c r="BH233" i="43"/>
  <c r="AQ233" i="43"/>
  <c r="BF233" i="43"/>
  <c r="BJ233" i="43"/>
  <c r="CA233" i="43"/>
  <c r="CV233" i="43"/>
  <c r="BY233" i="43"/>
  <c r="CX358" i="43"/>
  <c r="CT358" i="43"/>
  <c r="CC358" i="43"/>
  <c r="AQ358" i="43"/>
  <c r="CA358" i="43"/>
  <c r="BF358" i="43"/>
  <c r="CV358" i="43"/>
  <c r="BJ358" i="43"/>
  <c r="BH358" i="43"/>
  <c r="BY358" i="43"/>
  <c r="DN227" i="43"/>
  <c r="DO227" i="43" s="1"/>
  <c r="DN214" i="43"/>
  <c r="DO214" i="43" s="1"/>
  <c r="DN143" i="43"/>
  <c r="DO143" i="43" s="1"/>
  <c r="DN111" i="43"/>
  <c r="DO111" i="43" s="1"/>
  <c r="DN344" i="43"/>
  <c r="DO344" i="43" s="1"/>
  <c r="DN223" i="43"/>
  <c r="DO223" i="43" s="1"/>
  <c r="DN151" i="43"/>
  <c r="DO151" i="43" s="1"/>
  <c r="DN119" i="43"/>
  <c r="DO119" i="43" s="1"/>
  <c r="DN367" i="43"/>
  <c r="DO367" i="43" s="1"/>
  <c r="O11" i="44"/>
  <c r="DN241" i="43"/>
  <c r="DO241" i="43" s="1"/>
  <c r="DN64" i="43"/>
  <c r="DO64" i="43" s="1"/>
  <c r="CX318" i="43"/>
  <c r="CT318" i="43"/>
  <c r="CC318" i="43"/>
  <c r="BH318" i="43"/>
  <c r="AQ318" i="43"/>
  <c r="BF318" i="43"/>
  <c r="CV318" i="43"/>
  <c r="BJ318" i="43"/>
  <c r="CA318" i="43"/>
  <c r="BY318" i="43"/>
  <c r="DN230" i="43"/>
  <c r="DO230" i="43" s="1"/>
  <c r="DM78" i="43"/>
  <c r="GO343" i="43"/>
  <c r="BB343" i="43" s="1"/>
  <c r="BD343" i="43" s="1"/>
  <c r="GK343" i="43"/>
  <c r="AQ274" i="43"/>
  <c r="CX274" i="43"/>
  <c r="CT274" i="43"/>
  <c r="CA274" i="43"/>
  <c r="BJ274" i="43"/>
  <c r="BF274" i="43"/>
  <c r="CV274" i="43"/>
  <c r="BH274" i="43"/>
  <c r="CC274" i="43"/>
  <c r="BY274" i="43"/>
  <c r="DN74" i="43"/>
  <c r="DO74" i="43" s="1"/>
  <c r="DN107" i="43"/>
  <c r="DO107" i="43" s="1"/>
  <c r="CX228" i="43"/>
  <c r="CT228" i="43"/>
  <c r="CC228" i="43"/>
  <c r="BH228" i="43"/>
  <c r="AQ228" i="43"/>
  <c r="CA228" i="43"/>
  <c r="BF228" i="43"/>
  <c r="CV228" i="43"/>
  <c r="BJ228" i="43"/>
  <c r="BY228" i="43"/>
  <c r="CX265" i="43"/>
  <c r="CT265" i="43"/>
  <c r="CC265" i="43"/>
  <c r="BH265" i="43"/>
  <c r="AQ265" i="43"/>
  <c r="BF265" i="43"/>
  <c r="CA265" i="43"/>
  <c r="CV265" i="43"/>
  <c r="BJ265" i="43"/>
  <c r="BY265" i="43"/>
  <c r="DN275" i="43"/>
  <c r="DO275" i="43" s="1"/>
  <c r="DM134" i="43"/>
  <c r="DM108" i="43"/>
  <c r="DM110" i="43"/>
  <c r="DM86" i="43"/>
  <c r="DN266" i="43"/>
  <c r="DO266" i="43" s="1"/>
  <c r="DN250" i="43"/>
  <c r="DO250" i="43" s="1"/>
  <c r="CX354" i="43"/>
  <c r="CT354" i="43"/>
  <c r="CC354" i="43"/>
  <c r="BH354" i="43"/>
  <c r="AQ354" i="43"/>
  <c r="BF354" i="43"/>
  <c r="BY354" i="43"/>
  <c r="CA354" i="43"/>
  <c r="CV354" i="43"/>
  <c r="BJ354" i="43"/>
  <c r="DN121" i="43"/>
  <c r="DO121" i="43" s="1"/>
  <c r="BL186" i="43"/>
  <c r="BK186" i="24"/>
  <c r="EI186" i="43" s="1"/>
  <c r="EJ186" i="43" s="1"/>
  <c r="Y185" i="24" s="1"/>
  <c r="DN97" i="43"/>
  <c r="DO97" i="43" s="1"/>
  <c r="DN109" i="43"/>
  <c r="DO109" i="43" s="1"/>
  <c r="DM59" i="43"/>
  <c r="N16" i="44"/>
  <c r="CX342" i="43"/>
  <c r="CT342" i="43"/>
  <c r="CC342" i="43"/>
  <c r="BH342" i="43"/>
  <c r="AQ342" i="43"/>
  <c r="CA342" i="43"/>
  <c r="BJ342" i="43"/>
  <c r="CV342" i="43"/>
  <c r="BF342" i="43"/>
  <c r="BY342" i="43"/>
  <c r="DN140" i="43"/>
  <c r="DO140" i="43" s="1"/>
  <c r="DN72" i="43"/>
  <c r="DO72" i="43" s="1"/>
  <c r="DB40" i="43"/>
  <c r="ED40" i="43"/>
  <c r="BW40" i="24" s="1"/>
  <c r="CD40" i="24" s="1"/>
  <c r="CE40" i="24" s="1"/>
  <c r="CZ40" i="43"/>
  <c r="CF24" i="43"/>
  <c r="DN115" i="43"/>
  <c r="DO115" i="43" s="1"/>
  <c r="CF28" i="43"/>
  <c r="CX338" i="43"/>
  <c r="CT338" i="43"/>
  <c r="CC338" i="43"/>
  <c r="BH338" i="43"/>
  <c r="AQ338" i="43"/>
  <c r="BJ338" i="43"/>
  <c r="CA338" i="43"/>
  <c r="CV338" i="43"/>
  <c r="BF338" i="43"/>
  <c r="BY338" i="43"/>
  <c r="AQ337" i="43"/>
  <c r="CV337" i="43"/>
  <c r="CA337" i="43"/>
  <c r="BJ337" i="43"/>
  <c r="BF337" i="43"/>
  <c r="BH337" i="43"/>
  <c r="CX337" i="43"/>
  <c r="CC337" i="43"/>
  <c r="CT337" i="43"/>
  <c r="BY337" i="43"/>
  <c r="CX253" i="43"/>
  <c r="CT253" i="43"/>
  <c r="CC253" i="43"/>
  <c r="BH253" i="43"/>
  <c r="AQ253" i="43"/>
  <c r="BJ253" i="43"/>
  <c r="BF253" i="43"/>
  <c r="CA253" i="43"/>
  <c r="CV253" i="43"/>
  <c r="BY253" i="43"/>
  <c r="AQ333" i="43"/>
  <c r="CV333" i="43"/>
  <c r="BJ333" i="43"/>
  <c r="CA333" i="43"/>
  <c r="BF333" i="43"/>
  <c r="BH333" i="43"/>
  <c r="CC333" i="43"/>
  <c r="BY333" i="43"/>
  <c r="CX333" i="43"/>
  <c r="CT333" i="43"/>
  <c r="O10" i="44"/>
  <c r="CV212" i="43"/>
  <c r="CA212" i="43"/>
  <c r="BJ212" i="43"/>
  <c r="BF212" i="43"/>
  <c r="CX212" i="43"/>
  <c r="AQ212" i="43"/>
  <c r="BH212" i="43"/>
  <c r="CT212" i="43"/>
  <c r="CC212" i="43"/>
  <c r="BY212" i="43"/>
  <c r="DN136" i="43"/>
  <c r="DO136" i="43" s="1"/>
  <c r="ED183" i="43"/>
  <c r="CZ183" i="43"/>
  <c r="DM94" i="43"/>
  <c r="DN129" i="43"/>
  <c r="DO129" i="43" s="1"/>
  <c r="DM138" i="43"/>
  <c r="O13" i="44"/>
  <c r="DN93" i="43"/>
  <c r="DO93" i="43" s="1"/>
  <c r="DM98" i="43"/>
  <c r="DN43" i="43"/>
  <c r="DO43" i="43" s="1"/>
  <c r="DN361" i="43"/>
  <c r="DO361" i="43" s="1"/>
  <c r="GO349" i="43"/>
  <c r="BB349" i="43" s="1"/>
  <c r="BD349" i="43" s="1"/>
  <c r="GK349" i="43"/>
  <c r="CV313" i="43"/>
  <c r="CA313" i="43"/>
  <c r="BJ313" i="43"/>
  <c r="BF313" i="43"/>
  <c r="AQ313" i="43"/>
  <c r="BH313" i="43"/>
  <c r="CC313" i="43"/>
  <c r="BY313" i="43"/>
  <c r="CX313" i="43"/>
  <c r="CT313" i="43"/>
  <c r="DN66" i="43"/>
  <c r="DO66" i="43" s="1"/>
  <c r="AQ364" i="43"/>
  <c r="CV364" i="43"/>
  <c r="BJ364" i="43"/>
  <c r="CA364" i="43"/>
  <c r="BF364" i="43"/>
  <c r="CX364" i="43"/>
  <c r="CC364" i="43"/>
  <c r="BY364" i="43"/>
  <c r="BH364" i="43"/>
  <c r="CT364" i="43"/>
  <c r="DN239" i="43"/>
  <c r="DO239" i="43" s="1"/>
  <c r="CX381" i="43"/>
  <c r="CT381" i="43"/>
  <c r="CC381" i="43"/>
  <c r="BH381" i="43"/>
  <c r="AQ381" i="43"/>
  <c r="BJ381" i="43"/>
  <c r="CA381" i="43"/>
  <c r="BY381" i="43"/>
  <c r="BF381" i="43"/>
  <c r="CV381" i="43"/>
  <c r="CX261" i="43"/>
  <c r="CT261" i="43"/>
  <c r="CC261" i="43"/>
  <c r="BH261" i="43"/>
  <c r="AQ261" i="43"/>
  <c r="BF261" i="43"/>
  <c r="CA261" i="43"/>
  <c r="CV261" i="43"/>
  <c r="BJ261" i="43"/>
  <c r="BY261" i="43"/>
  <c r="EB36" i="43"/>
  <c r="R36" i="43" s="1"/>
  <c r="BL36" i="43"/>
  <c r="BN36" i="43"/>
  <c r="BK36" i="24"/>
  <c r="EI36" i="43" s="1"/>
  <c r="EJ36" i="43" s="1"/>
  <c r="Y35" i="24" s="1"/>
  <c r="CX268" i="43"/>
  <c r="CT268" i="43"/>
  <c r="CC268" i="43"/>
  <c r="BH268" i="43"/>
  <c r="AQ268" i="43"/>
  <c r="CA268" i="43"/>
  <c r="BJ268" i="43"/>
  <c r="CV268" i="43"/>
  <c r="BF268" i="43"/>
  <c r="BY268" i="43"/>
  <c r="CX252" i="43"/>
  <c r="CT252" i="43"/>
  <c r="CC252" i="43"/>
  <c r="BH252" i="43"/>
  <c r="AQ252" i="43"/>
  <c r="CA252" i="43"/>
  <c r="BJ252" i="43"/>
  <c r="CV252" i="43"/>
  <c r="BF252" i="43"/>
  <c r="BY252" i="43"/>
  <c r="AQ202" i="43"/>
  <c r="BH202" i="43"/>
  <c r="CT202" i="43"/>
  <c r="BJ202" i="43"/>
  <c r="CX202" i="43"/>
  <c r="CC202" i="43"/>
  <c r="CA202" i="43"/>
  <c r="CV202" i="43"/>
  <c r="BF202" i="43"/>
  <c r="BY202" i="43"/>
  <c r="AQ207" i="43"/>
  <c r="CX207" i="43"/>
  <c r="CC207" i="43"/>
  <c r="BH207" i="43"/>
  <c r="CT207" i="43"/>
  <c r="CA207" i="43"/>
  <c r="CV207" i="43"/>
  <c r="BY207" i="43"/>
  <c r="BF207" i="43"/>
  <c r="BJ207" i="43"/>
  <c r="DN90" i="43"/>
  <c r="DO90" i="43" s="1"/>
  <c r="AQ112" i="43"/>
  <c r="CV112" i="43"/>
  <c r="CA112" i="43"/>
  <c r="BJ112" i="43"/>
  <c r="BF112" i="43"/>
  <c r="CX112" i="43"/>
  <c r="CT112" i="43"/>
  <c r="CC112" i="43"/>
  <c r="BH112" i="43"/>
  <c r="BY112" i="43"/>
  <c r="AQ120" i="43"/>
  <c r="CV120" i="43"/>
  <c r="CA120" i="43"/>
  <c r="BJ120" i="43"/>
  <c r="BF120" i="43"/>
  <c r="CX120" i="43"/>
  <c r="CT120" i="43"/>
  <c r="CC120" i="43"/>
  <c r="BH120" i="43"/>
  <c r="BY120" i="43"/>
  <c r="AQ87" i="43"/>
  <c r="CV87" i="43"/>
  <c r="CA87" i="43"/>
  <c r="BJ87" i="43"/>
  <c r="BF87" i="43"/>
  <c r="BY87" i="43"/>
  <c r="CC87" i="43"/>
  <c r="BH87" i="43"/>
  <c r="CT87" i="43"/>
  <c r="CX87" i="43"/>
  <c r="DN336" i="43"/>
  <c r="DO336" i="43" s="1"/>
  <c r="DN235" i="43"/>
  <c r="DO235" i="43" s="1"/>
  <c r="DN219" i="43"/>
  <c r="DO219" i="43" s="1"/>
  <c r="DN113" i="43"/>
  <c r="DO113" i="43" s="1"/>
  <c r="DN127" i="43"/>
  <c r="DO127" i="43" s="1"/>
  <c r="AQ100" i="43"/>
  <c r="CV100" i="43"/>
  <c r="CA100" i="43"/>
  <c r="BJ100" i="43"/>
  <c r="BF100" i="43"/>
  <c r="BY100" i="43"/>
  <c r="CC100" i="43"/>
  <c r="BH100" i="43"/>
  <c r="CX100" i="43"/>
  <c r="CT100" i="43"/>
  <c r="AQ22" i="43"/>
  <c r="CX22" i="43"/>
  <c r="CT22" i="43"/>
  <c r="CC22" i="43"/>
  <c r="BH22" i="43"/>
  <c r="BY22" i="43"/>
  <c r="CA22" i="43"/>
  <c r="CV22" i="43"/>
  <c r="BJ22" i="43"/>
  <c r="BF22" i="43"/>
  <c r="DN53" i="43"/>
  <c r="DO53" i="43" s="1"/>
  <c r="DN332" i="43"/>
  <c r="DO332" i="43" s="1"/>
  <c r="AQ305" i="43"/>
  <c r="CV305" i="43"/>
  <c r="CT305" i="43"/>
  <c r="BY305" i="43"/>
  <c r="BJ305" i="43"/>
  <c r="CX305" i="43"/>
  <c r="BF305" i="43"/>
  <c r="BH305" i="43"/>
  <c r="CA305" i="43"/>
  <c r="CC305" i="43"/>
  <c r="DN226" i="43"/>
  <c r="DO226" i="43" s="1"/>
  <c r="DM142" i="43"/>
  <c r="AQ56" i="43"/>
  <c r="CV56" i="43"/>
  <c r="CC56" i="43"/>
  <c r="BY56" i="43"/>
  <c r="CX56" i="43"/>
  <c r="BJ56" i="43"/>
  <c r="BH56" i="43"/>
  <c r="CT56" i="43"/>
  <c r="CA56" i="43"/>
  <c r="BF56" i="43"/>
  <c r="AQ38" i="43"/>
  <c r="CX38" i="43"/>
  <c r="CT38" i="43"/>
  <c r="CC38" i="43"/>
  <c r="BH38" i="43"/>
  <c r="BJ38" i="43"/>
  <c r="CV38" i="43"/>
  <c r="BY38" i="43"/>
  <c r="BF38" i="43"/>
  <c r="CA38" i="43"/>
  <c r="AQ343" i="43"/>
  <c r="CV343" i="43"/>
  <c r="CA343" i="43"/>
  <c r="BJ343" i="43"/>
  <c r="BF343" i="43"/>
  <c r="BY343" i="43"/>
  <c r="CC343" i="43"/>
  <c r="CT343" i="43"/>
  <c r="CX343" i="43"/>
  <c r="BH343" i="43"/>
  <c r="AQ335" i="43"/>
  <c r="CA335" i="43"/>
  <c r="BF335" i="43"/>
  <c r="CV335" i="43"/>
  <c r="BJ335" i="43"/>
  <c r="CX335" i="43"/>
  <c r="BH335" i="43"/>
  <c r="BY335" i="43"/>
  <c r="CT335" i="43"/>
  <c r="CC335" i="43"/>
  <c r="CX247" i="43"/>
  <c r="CT247" i="43"/>
  <c r="CC247" i="43"/>
  <c r="BH247" i="43"/>
  <c r="AQ247" i="43"/>
  <c r="CA247" i="43"/>
  <c r="BJ247" i="43"/>
  <c r="CV247" i="43"/>
  <c r="BF247" i="43"/>
  <c r="BY247" i="43"/>
  <c r="DM122" i="43"/>
  <c r="DN131" i="43"/>
  <c r="DO131" i="43" s="1"/>
  <c r="GO372" i="43"/>
  <c r="BB372" i="43" s="1"/>
  <c r="BD372" i="43" s="1"/>
  <c r="GK372" i="43"/>
  <c r="DN283" i="43"/>
  <c r="DO283" i="43" s="1"/>
  <c r="AQ88" i="43"/>
  <c r="CV88" i="43"/>
  <c r="CA88" i="43"/>
  <c r="BJ88" i="43"/>
  <c r="BF88" i="43"/>
  <c r="BH88" i="43"/>
  <c r="CC88" i="43"/>
  <c r="CT88" i="43"/>
  <c r="CX88" i="43"/>
  <c r="BY88" i="43"/>
  <c r="AQ341" i="43"/>
  <c r="CV341" i="43"/>
  <c r="CA341" i="43"/>
  <c r="BJ341" i="43"/>
  <c r="BF341" i="43"/>
  <c r="CT341" i="43"/>
  <c r="BY341" i="43"/>
  <c r="BH341" i="43"/>
  <c r="CX341" i="43"/>
  <c r="CC341" i="43"/>
  <c r="GO359" i="43"/>
  <c r="BB359" i="43" s="1"/>
  <c r="BD359" i="43" s="1"/>
  <c r="GK359" i="43"/>
  <c r="DN297" i="43"/>
  <c r="DO297" i="43" s="1"/>
  <c r="DN157" i="43"/>
  <c r="DO157" i="43" s="1"/>
  <c r="DN80" i="43"/>
  <c r="DO80" i="43" s="1"/>
  <c r="DN262" i="43"/>
  <c r="DO262" i="43" s="1"/>
  <c r="DN246" i="43"/>
  <c r="DO246" i="43" s="1"/>
  <c r="DN210" i="43"/>
  <c r="DO210" i="43" s="1"/>
  <c r="AQ190" i="43"/>
  <c r="CT190" i="43"/>
  <c r="CC190" i="43"/>
  <c r="BH190" i="43"/>
  <c r="CA190" i="43"/>
  <c r="CV190" i="43"/>
  <c r="CX190" i="43"/>
  <c r="BY190" i="43"/>
  <c r="BJ190" i="43"/>
  <c r="BF190" i="43"/>
  <c r="DM150" i="43"/>
  <c r="DN330" i="43"/>
  <c r="DO330" i="43" s="1"/>
  <c r="ED186" i="43"/>
  <c r="CZ186" i="43"/>
  <c r="ED182" i="43"/>
  <c r="CZ182" i="43"/>
  <c r="DN60" i="43"/>
  <c r="DO60" i="43" s="1"/>
  <c r="O16" i="44"/>
  <c r="GO366" i="43"/>
  <c r="BB366" i="43" s="1"/>
  <c r="BD366" i="43" s="1"/>
  <c r="GK366" i="43"/>
  <c r="CV325" i="43"/>
  <c r="CA325" i="43"/>
  <c r="BJ325" i="43"/>
  <c r="BF325" i="43"/>
  <c r="AQ325" i="43"/>
  <c r="CC325" i="43"/>
  <c r="CX325" i="43"/>
  <c r="BY325" i="43"/>
  <c r="BH325" i="43"/>
  <c r="CT325" i="43"/>
  <c r="DN137" i="43"/>
  <c r="DO137" i="43" s="1"/>
  <c r="DN70" i="43"/>
  <c r="DO70" i="43" s="1"/>
  <c r="DN83" i="43"/>
  <c r="DO83" i="43" s="1"/>
  <c r="DB24" i="43"/>
  <c r="ED24" i="43"/>
  <c r="BW24" i="24" s="1"/>
  <c r="CD24" i="24" s="1"/>
  <c r="CE24" i="24" s="1"/>
  <c r="CZ24" i="43"/>
  <c r="EB24" i="43"/>
  <c r="R24" i="43" s="1"/>
  <c r="BL24" i="43"/>
  <c r="BN24" i="43"/>
  <c r="BK24" i="24"/>
  <c r="EI24" i="43" s="1"/>
  <c r="EJ24" i="43" s="1"/>
  <c r="Y23" i="24" s="1"/>
  <c r="DN229" i="43"/>
  <c r="DO229" i="43" s="1"/>
  <c r="DN139" i="43"/>
  <c r="DO139" i="43" s="1"/>
  <c r="DB28" i="43"/>
  <c r="ED28" i="43"/>
  <c r="BW28" i="24" s="1"/>
  <c r="CD28" i="24" s="1"/>
  <c r="CE28" i="24" s="1"/>
  <c r="CZ28" i="43"/>
  <c r="CX348" i="43"/>
  <c r="CT348" i="43"/>
  <c r="CC348" i="43"/>
  <c r="BH348" i="43"/>
  <c r="AQ348" i="43"/>
  <c r="BJ348" i="43"/>
  <c r="CV348" i="43"/>
  <c r="BF348" i="43"/>
  <c r="CA348" i="43"/>
  <c r="BY348" i="43"/>
  <c r="CV194" i="43"/>
  <c r="CA194" i="43"/>
  <c r="BJ194" i="43"/>
  <c r="AQ194" i="43"/>
  <c r="BF194" i="43"/>
  <c r="BN194" i="43" s="1"/>
  <c r="CX194" i="43"/>
  <c r="BH194" i="43"/>
  <c r="BY194" i="43"/>
  <c r="CC194" i="43"/>
  <c r="CT194" i="43"/>
  <c r="DB194" i="43" s="1"/>
  <c r="DM67" i="43"/>
  <c r="AQ26" i="43"/>
  <c r="CX26" i="43"/>
  <c r="CT26" i="43"/>
  <c r="CC26" i="43"/>
  <c r="BH26" i="43"/>
  <c r="BY26" i="43"/>
  <c r="BF26" i="43"/>
  <c r="BJ26" i="43"/>
  <c r="CA26" i="43"/>
  <c r="CH26" i="43" s="1"/>
  <c r="CV26" i="43"/>
  <c r="DA26" i="43" s="1"/>
  <c r="N10" i="44"/>
  <c r="DN295" i="43"/>
  <c r="DO295" i="43" s="1"/>
  <c r="DN103" i="43"/>
  <c r="DO103" i="43" s="1"/>
  <c r="AQ322" i="43"/>
  <c r="BF322" i="43"/>
  <c r="DM126" i="43"/>
  <c r="DN47" i="43"/>
  <c r="DO47" i="43" s="1"/>
  <c r="AQ41" i="43"/>
  <c r="CV41" i="43"/>
  <c r="CA41" i="43"/>
  <c r="BJ41" i="43"/>
  <c r="BF41" i="43"/>
  <c r="BH41" i="43"/>
  <c r="BY41" i="43"/>
  <c r="CC41" i="43"/>
  <c r="CT41" i="43"/>
  <c r="CX41" i="43"/>
  <c r="AQ25" i="43"/>
  <c r="CV25" i="43"/>
  <c r="DA25" i="43" s="1"/>
  <c r="CA25" i="43"/>
  <c r="CH25" i="43" s="1"/>
  <c r="BJ25" i="43"/>
  <c r="BF25" i="43"/>
  <c r="CC25" i="43"/>
  <c r="BY25" i="43"/>
  <c r="CT25" i="43"/>
  <c r="CX25" i="43"/>
  <c r="BH25" i="43"/>
  <c r="AQ270" i="43"/>
  <c r="CV270" i="43"/>
  <c r="CA270" i="43"/>
  <c r="BJ270" i="43"/>
  <c r="BF270" i="43"/>
  <c r="BY270" i="43"/>
  <c r="BH270" i="43"/>
  <c r="CX270" i="43"/>
  <c r="CC270" i="43"/>
  <c r="CT270" i="43"/>
  <c r="DN132" i="43"/>
  <c r="DO132" i="43" s="1"/>
  <c r="AQ96" i="43"/>
  <c r="CV96" i="43"/>
  <c r="CA96" i="43"/>
  <c r="BJ96" i="43"/>
  <c r="BF96" i="43"/>
  <c r="CT96" i="43"/>
  <c r="CC96" i="43"/>
  <c r="BH96" i="43"/>
  <c r="CX96" i="43"/>
  <c r="BY96" i="43"/>
  <c r="DN205" i="43"/>
  <c r="DN101" i="43"/>
  <c r="DO101" i="43" s="1"/>
  <c r="BK380" i="24"/>
  <c r="EI380" i="43" s="1"/>
  <c r="EJ380" i="43" s="1"/>
  <c r="Y379" i="24" s="1"/>
  <c r="DN68" i="43"/>
  <c r="DO68" i="43" s="1"/>
  <c r="H72" i="34"/>
  <c r="H68" i="34"/>
  <c r="H63" i="34"/>
  <c r="H57" i="34"/>
  <c r="H52" i="34"/>
  <c r="H46" i="34"/>
  <c r="H42" i="34"/>
  <c r="H37" i="34"/>
  <c r="H33" i="34"/>
  <c r="H25" i="34"/>
  <c r="H20" i="34"/>
  <c r="H15" i="34"/>
  <c r="H11" i="34"/>
  <c r="H71" i="34"/>
  <c r="H66" i="34"/>
  <c r="H61" i="34"/>
  <c r="H56" i="34"/>
  <c r="H51" i="34"/>
  <c r="H45" i="34"/>
  <c r="H41" i="34"/>
  <c r="H36" i="34"/>
  <c r="H32" i="34"/>
  <c r="H28" i="34"/>
  <c r="H24" i="34"/>
  <c r="H19" i="34"/>
  <c r="H14" i="34"/>
  <c r="H10" i="34"/>
  <c r="H73" i="34"/>
  <c r="H69" i="34"/>
  <c r="H64" i="34"/>
  <c r="H58" i="34"/>
  <c r="H53" i="34"/>
  <c r="H48" i="34"/>
  <c r="H43" i="34"/>
  <c r="H38" i="34"/>
  <c r="H34" i="34"/>
  <c r="H30" i="34"/>
  <c r="H26" i="34"/>
  <c r="H16" i="34"/>
  <c r="H12" i="34"/>
  <c r="G7" i="34"/>
  <c r="G29" i="34" s="1"/>
  <c r="H6" i="34"/>
  <c r="H60" i="34"/>
  <c r="H40" i="34"/>
  <c r="H23" i="34"/>
  <c r="H74" i="34"/>
  <c r="H54" i="34"/>
  <c r="H35" i="34"/>
  <c r="H18" i="34"/>
  <c r="H70" i="34"/>
  <c r="H49" i="34"/>
  <c r="H31" i="34"/>
  <c r="H13" i="34"/>
  <c r="H65" i="34"/>
  <c r="H44" i="34"/>
  <c r="H27" i="34"/>
  <c r="DN92" i="43"/>
  <c r="DO92" i="43" s="1"/>
  <c r="AQ351" i="43"/>
  <c r="CV351" i="43"/>
  <c r="CA351" i="43"/>
  <c r="BJ351" i="43"/>
  <c r="BF351" i="43"/>
  <c r="CX351" i="43"/>
  <c r="BH351" i="43"/>
  <c r="CT351" i="43"/>
  <c r="BY351" i="43"/>
  <c r="CC351" i="43"/>
  <c r="DN152" i="43"/>
  <c r="DO152" i="43" s="1"/>
  <c r="DN154" i="43"/>
  <c r="DO154" i="43" s="1"/>
  <c r="CF48" i="43"/>
  <c r="ED188" i="43"/>
  <c r="CZ188" i="43"/>
  <c r="BK32" i="24"/>
  <c r="EI32" i="43" s="1"/>
  <c r="EJ32" i="43" s="1"/>
  <c r="Y31" i="24" s="1"/>
  <c r="FP32" i="43"/>
  <c r="CX256" i="43"/>
  <c r="CT256" i="43"/>
  <c r="CC256" i="43"/>
  <c r="BH256" i="43"/>
  <c r="AQ256" i="43"/>
  <c r="BF256" i="43"/>
  <c r="CA256" i="43"/>
  <c r="BJ256" i="43"/>
  <c r="CV256" i="43"/>
  <c r="BY256" i="43"/>
  <c r="CX371" i="43"/>
  <c r="CT371" i="43"/>
  <c r="CC371" i="43"/>
  <c r="BH371" i="43"/>
  <c r="AQ371" i="43"/>
  <c r="CV371" i="43"/>
  <c r="BJ371" i="43"/>
  <c r="BF371" i="43"/>
  <c r="CA371" i="43"/>
  <c r="BY371" i="43"/>
  <c r="DN237" i="43"/>
  <c r="DO237" i="43" s="1"/>
  <c r="O9" i="44"/>
  <c r="AQ366" i="43"/>
  <c r="CV366" i="43"/>
  <c r="CA366" i="43"/>
  <c r="BJ366" i="43"/>
  <c r="BF366" i="43"/>
  <c r="CX366" i="43"/>
  <c r="BH366" i="43"/>
  <c r="CC366" i="43"/>
  <c r="BY366" i="43"/>
  <c r="CT366" i="43"/>
  <c r="DN281" i="43"/>
  <c r="DO281" i="43" s="1"/>
  <c r="AQ128" i="43"/>
  <c r="CV128" i="43"/>
  <c r="CA128" i="43"/>
  <c r="BJ128" i="43"/>
  <c r="BF128" i="43"/>
  <c r="CX128" i="43"/>
  <c r="CT128" i="43"/>
  <c r="CC128" i="43"/>
  <c r="BH128" i="43"/>
  <c r="BY128" i="43"/>
  <c r="AQ52" i="43"/>
  <c r="CX52" i="43"/>
  <c r="CA52" i="43"/>
  <c r="CT52" i="43"/>
  <c r="CV52" i="43"/>
  <c r="BF52" i="43"/>
  <c r="BH52" i="43"/>
  <c r="BJ52" i="43"/>
  <c r="CC52" i="43"/>
  <c r="BY52" i="43"/>
  <c r="DN326" i="43"/>
  <c r="DO326" i="43" s="1"/>
  <c r="DN277" i="43"/>
  <c r="DO277" i="43" s="1"/>
  <c r="DN231" i="43"/>
  <c r="DO231" i="43" s="1"/>
  <c r="DN215" i="43"/>
  <c r="DO215" i="43" s="1"/>
  <c r="DN135" i="43"/>
  <c r="DO135" i="43" s="1"/>
  <c r="N9" i="44"/>
  <c r="AQ329" i="43"/>
  <c r="BF329" i="43"/>
  <c r="CV329" i="43"/>
  <c r="CA329" i="43"/>
  <c r="BJ329" i="43"/>
  <c r="BY329" i="43"/>
  <c r="CT329" i="43"/>
  <c r="CC329" i="43"/>
  <c r="BH329" i="43"/>
  <c r="CX329" i="43"/>
  <c r="GO380" i="43"/>
  <c r="BB380" i="43" s="1"/>
  <c r="BD380" i="43" s="1"/>
  <c r="GK380" i="43"/>
  <c r="CX310" i="43"/>
  <c r="CT310" i="43"/>
  <c r="CC310" i="43"/>
  <c r="BH310" i="43"/>
  <c r="AQ310" i="43"/>
  <c r="BF310" i="43"/>
  <c r="CA310" i="43"/>
  <c r="BY310" i="43"/>
  <c r="CV310" i="43"/>
  <c r="BJ310" i="43"/>
  <c r="DN222" i="43"/>
  <c r="DO222" i="43" s="1"/>
  <c r="DM158" i="43"/>
  <c r="DN62" i="43"/>
  <c r="DO62" i="43" s="1"/>
  <c r="CX356" i="43"/>
  <c r="CT356" i="43"/>
  <c r="CC356" i="43"/>
  <c r="BH356" i="43"/>
  <c r="AQ356" i="43"/>
  <c r="BY356" i="43"/>
  <c r="BF356" i="43"/>
  <c r="CV356" i="43"/>
  <c r="BJ356" i="43"/>
  <c r="CA356" i="43"/>
  <c r="DN293" i="43"/>
  <c r="DO293" i="43" s="1"/>
  <c r="DM146" i="43"/>
  <c r="DN141" i="43"/>
  <c r="DO141" i="43" s="1"/>
  <c r="DN221" i="43"/>
  <c r="DO221" i="43" s="1"/>
  <c r="DM75" i="43"/>
  <c r="CX346" i="43"/>
  <c r="CT346" i="43"/>
  <c r="CC346" i="43"/>
  <c r="BH346" i="43"/>
  <c r="AQ346" i="43"/>
  <c r="BJ346" i="43"/>
  <c r="CA346" i="43"/>
  <c r="CV346" i="43"/>
  <c r="BF346" i="43"/>
  <c r="BY346" i="43"/>
  <c r="DN301" i="43"/>
  <c r="DO301" i="43" s="1"/>
  <c r="GO351" i="43"/>
  <c r="BB351" i="43" s="1"/>
  <c r="BD351" i="43" s="1"/>
  <c r="GK351" i="43"/>
  <c r="CX249" i="43"/>
  <c r="CT249" i="43"/>
  <c r="CC249" i="43"/>
  <c r="BH249" i="43"/>
  <c r="AQ249" i="43"/>
  <c r="BF249" i="43"/>
  <c r="CA249" i="43"/>
  <c r="CV249" i="43"/>
  <c r="BJ249" i="43"/>
  <c r="BY249" i="43"/>
  <c r="AQ309" i="43"/>
  <c r="BF309" i="43"/>
  <c r="CA309" i="43"/>
  <c r="BJ309" i="43"/>
  <c r="CV309" i="43"/>
  <c r="CT309" i="43"/>
  <c r="CX309" i="43"/>
  <c r="CC309" i="43"/>
  <c r="BH309" i="43"/>
  <c r="BY309" i="43"/>
  <c r="DN208" i="43"/>
  <c r="DO208" i="43" s="1"/>
  <c r="DN105" i="43"/>
  <c r="DO105" i="43" s="1"/>
  <c r="N14" i="44"/>
  <c r="DN258" i="43"/>
  <c r="DO258" i="43" s="1"/>
  <c r="DN242" i="43"/>
  <c r="DO242" i="43" s="1"/>
  <c r="DN117" i="43"/>
  <c r="DO117" i="43" s="1"/>
  <c r="GO379" i="43"/>
  <c r="BB379" i="43" s="1"/>
  <c r="BD379" i="43" s="1"/>
  <c r="GK379" i="43"/>
  <c r="DN291" i="43"/>
  <c r="DO291" i="43" s="1"/>
  <c r="DN287" i="43"/>
  <c r="DO287" i="43" s="1"/>
  <c r="CF186" i="43"/>
  <c r="BL182" i="43"/>
  <c r="BK182" i="24"/>
  <c r="EI182" i="43" s="1"/>
  <c r="EJ182" i="43" s="1"/>
  <c r="Y181" i="24" s="1"/>
  <c r="DN81" i="43"/>
  <c r="DO81" i="43" s="1"/>
  <c r="DN55" i="43"/>
  <c r="DO55" i="43" s="1"/>
  <c r="AC387" i="45"/>
  <c r="CX320" i="43"/>
  <c r="CT320" i="43"/>
  <c r="CC320" i="43"/>
  <c r="BH320" i="43"/>
  <c r="AQ320" i="43"/>
  <c r="BY320" i="43"/>
  <c r="BF320" i="43"/>
  <c r="CV320" i="43"/>
  <c r="BJ320" i="43"/>
  <c r="CA320" i="43"/>
  <c r="AQ238" i="43"/>
  <c r="CT238" i="43"/>
  <c r="CX238" i="43"/>
  <c r="BY238" i="43"/>
  <c r="CC238" i="43"/>
  <c r="BH238" i="43"/>
  <c r="BF238" i="43"/>
  <c r="CV238" i="43"/>
  <c r="CA238" i="43"/>
  <c r="BJ238" i="43"/>
  <c r="DM71" i="43"/>
  <c r="DN147" i="43"/>
  <c r="DO147" i="43" s="1"/>
  <c r="EB28" i="43"/>
  <c r="R28" i="43" s="1"/>
  <c r="BL28" i="43"/>
  <c r="BN28" i="43"/>
  <c r="BK28" i="24"/>
  <c r="EI28" i="43" s="1"/>
  <c r="EJ28" i="43" s="1"/>
  <c r="Y27" i="24" s="1"/>
  <c r="CX360" i="43"/>
  <c r="AQ360" i="43"/>
  <c r="CA360" i="43"/>
  <c r="CC360" i="43"/>
  <c r="BF360" i="43"/>
  <c r="CV360" i="43"/>
  <c r="BH360" i="43"/>
  <c r="BJ360" i="43"/>
  <c r="BY360" i="43"/>
  <c r="CT360" i="43"/>
  <c r="DN180" i="43"/>
  <c r="DO180" i="43" s="1"/>
  <c r="CX232" i="43"/>
  <c r="CT232" i="43"/>
  <c r="CC232" i="43"/>
  <c r="BH232" i="43"/>
  <c r="AQ232" i="43"/>
  <c r="BJ232" i="43"/>
  <c r="CA232" i="43"/>
  <c r="BF232" i="43"/>
  <c r="CV232" i="43"/>
  <c r="BY232" i="43"/>
  <c r="CX269" i="43"/>
  <c r="CT269" i="43"/>
  <c r="CC269" i="43"/>
  <c r="BH269" i="43"/>
  <c r="AQ269" i="43"/>
  <c r="BJ269" i="43"/>
  <c r="BF269" i="43"/>
  <c r="CA269" i="43"/>
  <c r="CV269" i="43"/>
  <c r="BY269" i="43"/>
  <c r="DN159" i="43"/>
  <c r="DO159" i="43" s="1"/>
  <c r="DM57" i="43"/>
  <c r="AQ327" i="43"/>
  <c r="BF327" i="43"/>
  <c r="CV327" i="43"/>
  <c r="CA327" i="43"/>
  <c r="BJ327" i="43"/>
  <c r="CC327" i="43"/>
  <c r="CX327" i="43"/>
  <c r="BH327" i="43"/>
  <c r="CT327" i="43"/>
  <c r="BY327" i="43"/>
  <c r="CX257" i="43"/>
  <c r="CT257" i="43"/>
  <c r="CC257" i="43"/>
  <c r="BH257" i="43"/>
  <c r="AQ257" i="43"/>
  <c r="CV257" i="43"/>
  <c r="BJ257" i="43"/>
  <c r="BF257" i="43"/>
  <c r="CA257" i="43"/>
  <c r="BY257" i="43"/>
  <c r="BL183" i="43"/>
  <c r="BK183" i="24"/>
  <c r="EI183" i="43" s="1"/>
  <c r="EJ183" i="43" s="1"/>
  <c r="Y182" i="24" s="1"/>
  <c r="CV317" i="43"/>
  <c r="CA317" i="43"/>
  <c r="BJ317" i="43"/>
  <c r="BF317" i="43"/>
  <c r="AQ317" i="43"/>
  <c r="BH317" i="43"/>
  <c r="CC317" i="43"/>
  <c r="CX317" i="43"/>
  <c r="BY317" i="43"/>
  <c r="CT317" i="43"/>
  <c r="DN299" i="43"/>
  <c r="DO299" i="43" s="1"/>
  <c r="DN23" i="43"/>
  <c r="DO23" i="43" s="1"/>
  <c r="DM118" i="43"/>
  <c r="N13" i="44"/>
  <c r="DN156" i="43"/>
  <c r="DO156" i="43" s="1"/>
  <c r="AQ116" i="43"/>
  <c r="CV116" i="43"/>
  <c r="CA116" i="43"/>
  <c r="BJ116" i="43"/>
  <c r="BF116" i="43"/>
  <c r="CX116" i="43"/>
  <c r="CT116" i="43"/>
  <c r="CC116" i="43"/>
  <c r="BH116" i="43"/>
  <c r="BY116" i="43"/>
  <c r="DM82" i="43"/>
  <c r="O33" i="44" a="1"/>
  <c r="O33" i="44" s="1"/>
  <c r="N33" i="44" s="1"/>
  <c r="DN199" i="43"/>
  <c r="DO199" i="43" s="1"/>
  <c r="I21" i="34"/>
  <c r="CX271" i="43"/>
  <c r="CT271" i="43"/>
  <c r="CC271" i="43"/>
  <c r="BH271" i="43"/>
  <c r="AQ271" i="43"/>
  <c r="CA271" i="43"/>
  <c r="BF271" i="43"/>
  <c r="CV271" i="43"/>
  <c r="BJ271" i="43"/>
  <c r="BY271" i="43"/>
  <c r="DN123" i="43"/>
  <c r="DO123" i="43" s="1"/>
  <c r="DN104" i="43"/>
  <c r="DO104" i="43" s="1"/>
  <c r="AQ345" i="43"/>
  <c r="CV345" i="43"/>
  <c r="CA345" i="43"/>
  <c r="BJ345" i="43"/>
  <c r="BF345" i="43"/>
  <c r="BH345" i="43"/>
  <c r="CX345" i="43"/>
  <c r="CC345" i="43"/>
  <c r="CT345" i="43"/>
  <c r="BY345" i="43"/>
  <c r="CX245" i="43"/>
  <c r="CT245" i="43"/>
  <c r="CC245" i="43"/>
  <c r="BH245" i="43"/>
  <c r="AQ245" i="43"/>
  <c r="BF245" i="43"/>
  <c r="CA245" i="43"/>
  <c r="CV245" i="43"/>
  <c r="BJ245" i="43"/>
  <c r="BY245" i="43"/>
  <c r="BK48" i="24"/>
  <c r="EI48" i="43" s="1"/>
  <c r="EJ48" i="43" s="1"/>
  <c r="Y47" i="24" s="1"/>
  <c r="AQ196" i="43"/>
  <c r="CC196" i="43"/>
  <c r="BH196" i="43"/>
  <c r="CT196" i="43"/>
  <c r="CX196" i="43"/>
  <c r="CA196" i="43"/>
  <c r="BY196" i="43"/>
  <c r="BJ196" i="43"/>
  <c r="BF196" i="43"/>
  <c r="CV196" i="43"/>
  <c r="CF36" i="43"/>
  <c r="CX260" i="43"/>
  <c r="CT260" i="43"/>
  <c r="CC260" i="43"/>
  <c r="BH260" i="43"/>
  <c r="AQ260" i="43"/>
  <c r="BF260" i="43"/>
  <c r="CA260" i="43"/>
  <c r="BJ260" i="43"/>
  <c r="CV260" i="43"/>
  <c r="BY260" i="43"/>
  <c r="CX244" i="43"/>
  <c r="CT244" i="43"/>
  <c r="CC244" i="43"/>
  <c r="BH244" i="43"/>
  <c r="AQ244" i="43"/>
  <c r="BF244" i="43"/>
  <c r="CA244" i="43"/>
  <c r="BJ244" i="43"/>
  <c r="CV244" i="43"/>
  <c r="BY244" i="43"/>
  <c r="BL188" i="43"/>
  <c r="CX369" i="43"/>
  <c r="CT369" i="43"/>
  <c r="CC369" i="43"/>
  <c r="BH369" i="43"/>
  <c r="AQ369" i="43"/>
  <c r="CA369" i="43"/>
  <c r="BF369" i="43"/>
  <c r="CV369" i="43"/>
  <c r="BJ369" i="43"/>
  <c r="BY369" i="43"/>
  <c r="CX39" i="43"/>
  <c r="CT39" i="43"/>
  <c r="CC39" i="43"/>
  <c r="BH39" i="43"/>
  <c r="AQ39" i="43"/>
  <c r="CV39" i="43"/>
  <c r="BJ39" i="43"/>
  <c r="BF39" i="43"/>
  <c r="CA39" i="43"/>
  <c r="BY39" i="43"/>
  <c r="CX31" i="43"/>
  <c r="CT31" i="43"/>
  <c r="CC31" i="43"/>
  <c r="BH31" i="43"/>
  <c r="AQ31" i="43"/>
  <c r="CA31" i="43"/>
  <c r="CV31" i="43"/>
  <c r="BJ31" i="43"/>
  <c r="BF31" i="43"/>
  <c r="BY31" i="43"/>
  <c r="AQ203" i="43"/>
  <c r="CX203" i="43"/>
  <c r="CC203" i="43"/>
  <c r="BH203" i="43"/>
  <c r="CT203" i="43"/>
  <c r="CV203" i="43"/>
  <c r="CA203" i="43"/>
  <c r="BJ203" i="43"/>
  <c r="BF203" i="43"/>
  <c r="BY203" i="43"/>
  <c r="AQ65" i="43"/>
  <c r="CX65" i="43"/>
  <c r="CT65" i="43"/>
  <c r="CC65" i="43"/>
  <c r="BH65" i="43"/>
  <c r="BF65" i="43"/>
  <c r="CV65" i="43"/>
  <c r="CA65" i="43"/>
  <c r="BJ65" i="43"/>
  <c r="BY65" i="43"/>
  <c r="BL322" i="43" l="1"/>
  <c r="BN322" i="43"/>
  <c r="DB322" i="43"/>
  <c r="CZ322" i="43"/>
  <c r="DB323" i="43"/>
  <c r="CZ323" i="43"/>
  <c r="CF322" i="43"/>
  <c r="CF323" i="43"/>
  <c r="BL323" i="43"/>
  <c r="BN323" i="43"/>
  <c r="K98" i="35"/>
  <c r="L85" i="35"/>
  <c r="T13" i="22"/>
  <c r="S13" i="22"/>
  <c r="BD11" i="43"/>
  <c r="AN11" i="43"/>
  <c r="K85" i="35"/>
  <c r="J85" i="35"/>
  <c r="J98" i="35"/>
  <c r="I98" i="35"/>
  <c r="I85" i="35"/>
  <c r="AB26" i="43"/>
  <c r="IA26" i="43" s="1"/>
  <c r="AA26" i="43"/>
  <c r="AB346" i="45"/>
  <c r="AC346" i="45" s="1"/>
  <c r="AB376" i="45"/>
  <c r="AC376" i="45" s="1"/>
  <c r="AB364" i="45"/>
  <c r="AC364" i="45" s="1"/>
  <c r="AB375" i="45"/>
  <c r="AC375" i="45" s="1"/>
  <c r="AB372" i="45"/>
  <c r="AC372" i="45" s="1"/>
  <c r="AB350" i="45"/>
  <c r="AC350" i="45" s="1"/>
  <c r="AB357" i="45"/>
  <c r="AC357" i="45" s="1"/>
  <c r="AB370" i="45"/>
  <c r="AC370" i="45" s="1"/>
  <c r="AB345" i="45"/>
  <c r="AC345" i="45" s="1"/>
  <c r="AB365" i="45"/>
  <c r="AC365" i="45" s="1"/>
  <c r="AB353" i="45"/>
  <c r="AC353" i="45" s="1"/>
  <c r="AB355" i="45"/>
  <c r="AC355" i="45" s="1"/>
  <c r="AB351" i="45"/>
  <c r="AC351" i="45" s="1"/>
  <c r="AB373" i="45"/>
  <c r="AC373" i="45" s="1"/>
  <c r="AB368" i="45"/>
  <c r="AC368" i="45" s="1"/>
  <c r="AB358" i="45"/>
  <c r="AC358" i="45" s="1"/>
  <c r="AB352" i="45"/>
  <c r="AC352" i="45" s="1"/>
  <c r="AB348" i="45"/>
  <c r="AC348" i="45" s="1"/>
  <c r="AB328" i="45"/>
  <c r="AC328" i="45" s="1"/>
  <c r="AB347" i="45"/>
  <c r="AC347" i="45" s="1"/>
  <c r="AB371" i="45"/>
  <c r="AC371" i="45" s="1"/>
  <c r="AB374" i="45"/>
  <c r="AC374" i="45" s="1"/>
  <c r="AB369" i="45"/>
  <c r="AC369" i="45" s="1"/>
  <c r="AB361" i="45"/>
  <c r="AC361" i="45" s="1"/>
  <c r="AB354" i="45"/>
  <c r="AC354" i="45" s="1"/>
  <c r="AB349" i="45"/>
  <c r="AC349" i="45" s="1"/>
  <c r="AB367" i="45"/>
  <c r="AC367" i="45" s="1"/>
  <c r="X14" i="43"/>
  <c r="DO378" i="43"/>
  <c r="CX378" i="43" s="1"/>
  <c r="DO377" i="43"/>
  <c r="BH377" i="43" s="1"/>
  <c r="DO375" i="43"/>
  <c r="CX375" i="43" s="1"/>
  <c r="DO373" i="43"/>
  <c r="BH373" i="43" s="1"/>
  <c r="DO365" i="43"/>
  <c r="BH365" i="43" s="1"/>
  <c r="DO363" i="43"/>
  <c r="CX363" i="43" s="1"/>
  <c r="IA11" i="43"/>
  <c r="HT11" i="43"/>
  <c r="HU11" i="43" s="1"/>
  <c r="HV11" i="43" s="1"/>
  <c r="U188" i="43"/>
  <c r="U182" i="43"/>
  <c r="K182" i="43"/>
  <c r="AI179" i="45" s="1"/>
  <c r="U186" i="43"/>
  <c r="K186" i="43"/>
  <c r="AI183" i="45" s="1"/>
  <c r="U183" i="43"/>
  <c r="K183" i="43"/>
  <c r="AI180" i="45" s="1"/>
  <c r="N40" i="43"/>
  <c r="FP40" i="43" s="1"/>
  <c r="N36" i="43"/>
  <c r="FP36" i="43" s="1"/>
  <c r="N24" i="43"/>
  <c r="AU24" i="43" s="1"/>
  <c r="N48" i="43"/>
  <c r="CZ270" i="43"/>
  <c r="CZ256" i="43"/>
  <c r="CZ272" i="43"/>
  <c r="CZ271" i="43"/>
  <c r="CZ261" i="43"/>
  <c r="CZ267" i="43"/>
  <c r="CZ269" i="43"/>
  <c r="CZ257" i="43"/>
  <c r="CZ264" i="43"/>
  <c r="CZ259" i="43"/>
  <c r="CZ260" i="43"/>
  <c r="CZ268" i="43"/>
  <c r="CZ265" i="43"/>
  <c r="CZ274" i="43"/>
  <c r="AA40" i="43"/>
  <c r="HT53" i="43"/>
  <c r="HU53" i="43" s="1"/>
  <c r="HV53" i="43" s="1"/>
  <c r="BA53" i="43" s="1"/>
  <c r="AZ53" i="43" s="1"/>
  <c r="V50" i="45" s="1"/>
  <c r="AB47" i="43"/>
  <c r="AB28" i="43"/>
  <c r="HT28" i="43" s="1"/>
  <c r="HU28" i="43" s="1"/>
  <c r="HV28" i="43" s="1"/>
  <c r="BA28" i="43" s="1"/>
  <c r="AZ28" i="43" s="1"/>
  <c r="V25" i="45" s="1"/>
  <c r="AB40" i="43"/>
  <c r="AB42" i="43"/>
  <c r="IA42" i="43" s="1"/>
  <c r="AB52" i="43"/>
  <c r="IA52" i="43" s="1"/>
  <c r="AB30" i="43"/>
  <c r="HT30" i="43" s="1"/>
  <c r="HU30" i="43" s="1"/>
  <c r="HV30" i="43" s="1"/>
  <c r="BA30" i="43" s="1"/>
  <c r="AZ30" i="43" s="1"/>
  <c r="V27" i="45" s="1"/>
  <c r="AB51" i="43"/>
  <c r="HT51" i="43" s="1"/>
  <c r="HU51" i="43" s="1"/>
  <c r="HV51" i="43" s="1"/>
  <c r="BA51" i="43" s="1"/>
  <c r="AZ51" i="43" s="1"/>
  <c r="V48" i="45" s="1"/>
  <c r="AA30" i="43"/>
  <c r="AB46" i="43"/>
  <c r="IA46" i="43" s="1"/>
  <c r="AA51" i="43"/>
  <c r="AB43" i="43"/>
  <c r="IA43" i="43" s="1"/>
  <c r="AB38" i="43"/>
  <c r="IA38" i="43" s="1"/>
  <c r="CZ176" i="43"/>
  <c r="DF176" i="43" s="1"/>
  <c r="ED176" i="43"/>
  <c r="BL176" i="43"/>
  <c r="BR176" i="43" s="1"/>
  <c r="CF176" i="43"/>
  <c r="ED170" i="43"/>
  <c r="CF170" i="43"/>
  <c r="BL170" i="43"/>
  <c r="BR170" i="43" s="1"/>
  <c r="CZ170" i="43"/>
  <c r="DF170" i="43" s="1"/>
  <c r="BL178" i="43"/>
  <c r="CZ178" i="43"/>
  <c r="DF178" i="43" s="1"/>
  <c r="BL174" i="43"/>
  <c r="BR174" i="43" s="1"/>
  <c r="CZ174" i="43"/>
  <c r="DF174" i="43" s="1"/>
  <c r="BL167" i="43"/>
  <c r="BR167" i="43" s="1"/>
  <c r="ED178" i="43"/>
  <c r="CF178" i="43"/>
  <c r="ED174" i="43"/>
  <c r="CZ167" i="43"/>
  <c r="CF167" i="43"/>
  <c r="ED167" i="43"/>
  <c r="CF174" i="43"/>
  <c r="BL164" i="43"/>
  <c r="BR164" i="43" s="1"/>
  <c r="AA14" i="43"/>
  <c r="J12" i="22"/>
  <c r="AA35" i="43"/>
  <c r="HT23" i="43"/>
  <c r="HU23" i="43" s="1"/>
  <c r="HV23" i="43" s="1"/>
  <c r="BA23" i="43" s="1"/>
  <c r="AZ23" i="43" s="1"/>
  <c r="V20" i="45" s="1"/>
  <c r="CZ163" i="43"/>
  <c r="DF163" i="43" s="1"/>
  <c r="CF163" i="43"/>
  <c r="HT25" i="43"/>
  <c r="HU25" i="43" s="1"/>
  <c r="HV25" i="43" s="1"/>
  <c r="BA25" i="43" s="1"/>
  <c r="AZ25" i="43" s="1"/>
  <c r="V22" i="45" s="1"/>
  <c r="CZ164" i="43"/>
  <c r="ED164" i="43"/>
  <c r="ED163" i="43"/>
  <c r="L107" i="35"/>
  <c r="CF164" i="43"/>
  <c r="BL163" i="43"/>
  <c r="HT14" i="43"/>
  <c r="HU14" i="43" s="1"/>
  <c r="HV14" i="43" s="1"/>
  <c r="BA14" i="43" s="1"/>
  <c r="AZ14" i="43" s="1"/>
  <c r="V11" i="45" s="1"/>
  <c r="AA41" i="43"/>
  <c r="HT19" i="43"/>
  <c r="HU19" i="43" s="1"/>
  <c r="HV19" i="43" s="1"/>
  <c r="BA19" i="43" s="1"/>
  <c r="AZ19" i="43" s="1"/>
  <c r="V16" i="45" s="1"/>
  <c r="AA19" i="43"/>
  <c r="HT20" i="43"/>
  <c r="HU20" i="43" s="1"/>
  <c r="HV20" i="43" s="1"/>
  <c r="BA20" i="43" s="1"/>
  <c r="AZ20" i="43" s="1"/>
  <c r="V17" i="45" s="1"/>
  <c r="IA35" i="43"/>
  <c r="AA47" i="43"/>
  <c r="AA23" i="43"/>
  <c r="IA32" i="43"/>
  <c r="AA45" i="43"/>
  <c r="HT45" i="43"/>
  <c r="HU45" i="43" s="1"/>
  <c r="HV45" i="43" s="1"/>
  <c r="BA45" i="43" s="1"/>
  <c r="AZ45" i="43" s="1"/>
  <c r="V42" i="45" s="1"/>
  <c r="AA25" i="43"/>
  <c r="I107" i="35"/>
  <c r="K107" i="35"/>
  <c r="HT56" i="43"/>
  <c r="HU56" i="43" s="1"/>
  <c r="HV56" i="43" s="1"/>
  <c r="BA56" i="43" s="1"/>
  <c r="AZ56" i="43" s="1"/>
  <c r="V53" i="45" s="1"/>
  <c r="IA54" i="43"/>
  <c r="IA50" i="43"/>
  <c r="K13" i="22"/>
  <c r="I13" i="22"/>
  <c r="B13" i="22"/>
  <c r="E13" i="22"/>
  <c r="P13" i="22"/>
  <c r="AA44" i="43"/>
  <c r="IA29" i="43"/>
  <c r="G12" i="22"/>
  <c r="C13" i="22"/>
  <c r="H13" i="22"/>
  <c r="A14" i="22"/>
  <c r="D13" i="22"/>
  <c r="M13" i="22"/>
  <c r="HT27" i="43"/>
  <c r="HU27" i="43" s="1"/>
  <c r="HV27" i="43" s="1"/>
  <c r="BA27" i="43" s="1"/>
  <c r="AZ27" i="43" s="1"/>
  <c r="V24" i="45" s="1"/>
  <c r="AA27" i="43"/>
  <c r="HT22" i="43"/>
  <c r="HU22" i="43" s="1"/>
  <c r="HV22" i="43" s="1"/>
  <c r="BA22" i="43" s="1"/>
  <c r="AZ22" i="43" s="1"/>
  <c r="V19" i="45" s="1"/>
  <c r="AA29" i="43"/>
  <c r="HT15" i="43"/>
  <c r="HU15" i="43" s="1"/>
  <c r="HV15" i="43" s="1"/>
  <c r="BA15" i="43" s="1"/>
  <c r="AZ15" i="43" s="1"/>
  <c r="V12" i="45" s="1"/>
  <c r="AA15" i="43"/>
  <c r="AA22" i="43"/>
  <c r="HT16" i="43"/>
  <c r="HU16" i="43" s="1"/>
  <c r="HV16" i="43" s="1"/>
  <c r="BA16" i="43" s="1"/>
  <c r="AZ16" i="43" s="1"/>
  <c r="V13" i="45" s="1"/>
  <c r="HT21" i="43"/>
  <c r="HU21" i="43" s="1"/>
  <c r="HV21" i="43" s="1"/>
  <c r="BA21" i="43" s="1"/>
  <c r="AZ21" i="43" s="1"/>
  <c r="V18" i="45" s="1"/>
  <c r="AA16" i="43"/>
  <c r="AA21" i="43"/>
  <c r="L50" i="43"/>
  <c r="X54" i="43"/>
  <c r="L54" i="43"/>
  <c r="L18" i="43"/>
  <c r="X36" i="43"/>
  <c r="L42" i="43"/>
  <c r="L52" i="43"/>
  <c r="L17" i="43"/>
  <c r="L28" i="43"/>
  <c r="ED379" i="43"/>
  <c r="BL379" i="43"/>
  <c r="ED376" i="43"/>
  <c r="BW376" i="24" s="1"/>
  <c r="CD376" i="24" s="1"/>
  <c r="CE376" i="24" s="1"/>
  <c r="CF376" i="43"/>
  <c r="CF379" i="43"/>
  <c r="CZ376" i="43"/>
  <c r="DF376" i="43" s="1"/>
  <c r="CZ379" i="43"/>
  <c r="DF379" i="43" s="1"/>
  <c r="BL376" i="43"/>
  <c r="ED374" i="43"/>
  <c r="BW374" i="24" s="1"/>
  <c r="CD374" i="24" s="1"/>
  <c r="CE374" i="24" s="1"/>
  <c r="CZ374" i="43"/>
  <c r="BL374" i="43"/>
  <c r="CF374" i="43"/>
  <c r="CM374" i="43" s="1"/>
  <c r="CZ359" i="43"/>
  <c r="DF359" i="43" s="1"/>
  <c r="BL359" i="43"/>
  <c r="BR359" i="43" s="1"/>
  <c r="ED359" i="43"/>
  <c r="BW359" i="24" s="1"/>
  <c r="CD359" i="24" s="1"/>
  <c r="CE359" i="24" s="1"/>
  <c r="CF359" i="43"/>
  <c r="CM359" i="43" s="1"/>
  <c r="BL357" i="43"/>
  <c r="BR357" i="43" s="1"/>
  <c r="CF357" i="43"/>
  <c r="BL355" i="43"/>
  <c r="BR355" i="43" s="1"/>
  <c r="CZ357" i="43"/>
  <c r="DF357" i="43" s="1"/>
  <c r="ED357" i="43"/>
  <c r="BW357" i="24" s="1"/>
  <c r="CD357" i="24" s="1"/>
  <c r="CE357" i="24" s="1"/>
  <c r="CF355" i="43"/>
  <c r="CZ355" i="43"/>
  <c r="DF355" i="43" s="1"/>
  <c r="ED355" i="43"/>
  <c r="BW355" i="24" s="1"/>
  <c r="CD355" i="24" s="1"/>
  <c r="CE355" i="24" s="1"/>
  <c r="CF353" i="43"/>
  <c r="CZ353" i="43"/>
  <c r="ED353" i="43"/>
  <c r="BW353" i="24" s="1"/>
  <c r="CD353" i="24" s="1"/>
  <c r="CE353" i="24" s="1"/>
  <c r="BL353" i="43"/>
  <c r="BH352" i="43"/>
  <c r="BF352" i="43"/>
  <c r="CX352" i="43"/>
  <c r="AQ352" i="43"/>
  <c r="BK352" i="24" s="1"/>
  <c r="EI352" i="43" s="1"/>
  <c r="EJ352" i="43" s="1"/>
  <c r="Y351" i="24" s="1"/>
  <c r="CA352" i="43"/>
  <c r="CT352" i="43"/>
  <c r="CV352" i="43"/>
  <c r="BY352" i="43"/>
  <c r="CC352" i="43"/>
  <c r="BJ352" i="43"/>
  <c r="L38" i="43"/>
  <c r="IA41" i="43"/>
  <c r="L56" i="43"/>
  <c r="X46" i="43"/>
  <c r="X43" i="43"/>
  <c r="L37" i="43"/>
  <c r="X37" i="43"/>
  <c r="CA334" i="43"/>
  <c r="CT334" i="43"/>
  <c r="CX334" i="43"/>
  <c r="CC334" i="43"/>
  <c r="BF334" i="43"/>
  <c r="BH334" i="43"/>
  <c r="BJ334" i="43"/>
  <c r="BY334" i="43"/>
  <c r="AQ334" i="43"/>
  <c r="BK334" i="24" s="1"/>
  <c r="EI334" i="43" s="1"/>
  <c r="EJ334" i="43" s="1"/>
  <c r="Y333" i="24" s="1"/>
  <c r="CV334" i="43"/>
  <c r="AQ328" i="43"/>
  <c r="CX328" i="43"/>
  <c r="BF328" i="43"/>
  <c r="BH328" i="43"/>
  <c r="CC328" i="43"/>
  <c r="CV328" i="43"/>
  <c r="BJ328" i="43"/>
  <c r="BY328" i="43"/>
  <c r="CT328" i="43"/>
  <c r="CA328" i="43"/>
  <c r="ED321" i="43"/>
  <c r="BW321" i="24" s="1"/>
  <c r="CD321" i="24" s="1"/>
  <c r="CE321" i="24" s="1"/>
  <c r="CZ321" i="43"/>
  <c r="CF321" i="43"/>
  <c r="BL321" i="43"/>
  <c r="ED319" i="43"/>
  <c r="BW319" i="24" s="1"/>
  <c r="CD319" i="24" s="1"/>
  <c r="CE319" i="24" s="1"/>
  <c r="CZ319" i="43"/>
  <c r="CF319" i="43"/>
  <c r="CM319" i="43" s="1"/>
  <c r="BL319" i="43"/>
  <c r="L55" i="43"/>
  <c r="N55" i="43" s="1"/>
  <c r="CT312" i="43"/>
  <c r="CV312" i="43"/>
  <c r="BY312" i="43"/>
  <c r="CC312" i="43"/>
  <c r="BF312" i="43"/>
  <c r="BH312" i="43"/>
  <c r="BJ312" i="43"/>
  <c r="CX312" i="43"/>
  <c r="AQ312" i="43"/>
  <c r="BK312" i="24" s="1"/>
  <c r="EI312" i="43" s="1"/>
  <c r="EJ312" i="43" s="1"/>
  <c r="Y311" i="24" s="1"/>
  <c r="CA312" i="43"/>
  <c r="BL311" i="43"/>
  <c r="BR311" i="43" s="1"/>
  <c r="ED311" i="43"/>
  <c r="S311" i="43" s="1"/>
  <c r="CF311" i="43"/>
  <c r="CM311" i="43" s="1"/>
  <c r="CZ311" i="43"/>
  <c r="BH308" i="43"/>
  <c r="CV308" i="43"/>
  <c r="CA308" i="43"/>
  <c r="AQ308" i="43"/>
  <c r="BK308" i="24" s="1"/>
  <c r="EI308" i="43" s="1"/>
  <c r="EJ308" i="43" s="1"/>
  <c r="Y307" i="24" s="1"/>
  <c r="BY308" i="43"/>
  <c r="CT308" i="43"/>
  <c r="BJ308" i="43"/>
  <c r="CC308" i="43"/>
  <c r="CX308" i="43"/>
  <c r="BF308" i="43"/>
  <c r="CC306" i="43"/>
  <c r="CX306" i="43"/>
  <c r="BF306" i="43"/>
  <c r="BH306" i="43"/>
  <c r="BJ306" i="43"/>
  <c r="CA306" i="43"/>
  <c r="AQ306" i="43"/>
  <c r="BK306" i="24" s="1"/>
  <c r="EI306" i="43" s="1"/>
  <c r="EJ306" i="43" s="1"/>
  <c r="Y305" i="24" s="1"/>
  <c r="CV306" i="43"/>
  <c r="CT306" i="43"/>
  <c r="BY306" i="43"/>
  <c r="CC300" i="43"/>
  <c r="CA300" i="43"/>
  <c r="BH300" i="43"/>
  <c r="BJ300" i="43"/>
  <c r="CX300" i="43"/>
  <c r="AQ300" i="43"/>
  <c r="BK300" i="24" s="1"/>
  <c r="EI300" i="43" s="1"/>
  <c r="EJ300" i="43" s="1"/>
  <c r="Y299" i="24" s="1"/>
  <c r="BF300" i="43"/>
  <c r="CT300" i="43"/>
  <c r="CV300" i="43"/>
  <c r="BY300" i="43"/>
  <c r="CT298" i="43"/>
  <c r="CV298" i="43"/>
  <c r="BY298" i="43"/>
  <c r="BH298" i="43"/>
  <c r="BJ298" i="43"/>
  <c r="CX298" i="43"/>
  <c r="AQ298" i="43"/>
  <c r="BK298" i="24" s="1"/>
  <c r="EI298" i="43" s="1"/>
  <c r="EJ298" i="43" s="1"/>
  <c r="Y297" i="24" s="1"/>
  <c r="BF298" i="43"/>
  <c r="CC298" i="43"/>
  <c r="CA298" i="43"/>
  <c r="CT290" i="43"/>
  <c r="CV290" i="43"/>
  <c r="BY290" i="43"/>
  <c r="CC290" i="43"/>
  <c r="CA290" i="43"/>
  <c r="BH290" i="43"/>
  <c r="BJ290" i="43"/>
  <c r="CX290" i="43"/>
  <c r="AQ290" i="43"/>
  <c r="BK290" i="24" s="1"/>
  <c r="EI290" i="43" s="1"/>
  <c r="EJ290" i="43" s="1"/>
  <c r="Y289" i="24" s="1"/>
  <c r="BF290" i="43"/>
  <c r="CC284" i="43"/>
  <c r="CA284" i="43"/>
  <c r="BH284" i="43"/>
  <c r="BJ284" i="43"/>
  <c r="CX284" i="43"/>
  <c r="AQ284" i="43"/>
  <c r="BK284" i="24" s="1"/>
  <c r="EI284" i="43" s="1"/>
  <c r="EJ284" i="43" s="1"/>
  <c r="Y283" i="24" s="1"/>
  <c r="BF284" i="43"/>
  <c r="CT284" i="43"/>
  <c r="CV284" i="43"/>
  <c r="BY284" i="43"/>
  <c r="BH282" i="43"/>
  <c r="BJ282" i="43"/>
  <c r="CX282" i="43"/>
  <c r="AQ282" i="43"/>
  <c r="BK282" i="24" s="1"/>
  <c r="EI282" i="43" s="1"/>
  <c r="EJ282" i="43" s="1"/>
  <c r="Y281" i="24" s="1"/>
  <c r="BF282" i="43"/>
  <c r="CT282" i="43"/>
  <c r="CV282" i="43"/>
  <c r="BY282" i="43"/>
  <c r="CC282" i="43"/>
  <c r="CA282" i="43"/>
  <c r="CX280" i="43"/>
  <c r="AQ280" i="43"/>
  <c r="BK280" i="24" s="1"/>
  <c r="EI280" i="43" s="1"/>
  <c r="EJ280" i="43" s="1"/>
  <c r="Y279" i="24" s="1"/>
  <c r="BF280" i="43"/>
  <c r="CA280" i="43"/>
  <c r="BJ280" i="43"/>
  <c r="CT280" i="43"/>
  <c r="CV280" i="43"/>
  <c r="BY280" i="43"/>
  <c r="CC280" i="43"/>
  <c r="BH280" i="43"/>
  <c r="HT31" i="43"/>
  <c r="HU31" i="43" s="1"/>
  <c r="HV31" i="43" s="1"/>
  <c r="BA31" i="43" s="1"/>
  <c r="AZ31" i="43" s="1"/>
  <c r="V28" i="45" s="1"/>
  <c r="IA34" i="43"/>
  <c r="IA33" i="43"/>
  <c r="HT33" i="43"/>
  <c r="HU33" i="43" s="1"/>
  <c r="HV33" i="43" s="1"/>
  <c r="BA33" i="43" s="1"/>
  <c r="AZ33" i="43" s="1"/>
  <c r="V30" i="45" s="1"/>
  <c r="X47" i="43"/>
  <c r="L47" i="43"/>
  <c r="N47" i="43" s="1"/>
  <c r="X49" i="43"/>
  <c r="L49" i="43"/>
  <c r="IA44" i="43"/>
  <c r="HT44" i="43"/>
  <c r="HU44" i="43" s="1"/>
  <c r="HV44" i="43" s="1"/>
  <c r="BA44" i="43" s="1"/>
  <c r="AZ44" i="43" s="1"/>
  <c r="V41" i="45" s="1"/>
  <c r="G15" i="30"/>
  <c r="G14" i="30"/>
  <c r="G16" i="30"/>
  <c r="D14" i="30"/>
  <c r="E15" i="30"/>
  <c r="E16" i="30"/>
  <c r="E14" i="30"/>
  <c r="D15" i="30"/>
  <c r="D16" i="30"/>
  <c r="H22" i="30"/>
  <c r="H9" i="30"/>
  <c r="H23" i="30"/>
  <c r="H19" i="30"/>
  <c r="I7" i="30"/>
  <c r="H6" i="30"/>
  <c r="H20" i="30"/>
  <c r="H21" i="30"/>
  <c r="H17" i="30"/>
  <c r="CX255" i="43"/>
  <c r="AQ255" i="43"/>
  <c r="BK255" i="24" s="1"/>
  <c r="EI255" i="43" s="1"/>
  <c r="EJ255" i="43" s="1"/>
  <c r="Y254" i="24" s="1"/>
  <c r="CV255" i="43"/>
  <c r="CT255" i="43"/>
  <c r="BF255" i="43"/>
  <c r="BY255" i="43"/>
  <c r="CC255" i="43"/>
  <c r="CA255" i="43"/>
  <c r="BH255" i="43"/>
  <c r="BJ255" i="43"/>
  <c r="CX251" i="43"/>
  <c r="AQ251" i="43"/>
  <c r="BK251" i="24" s="1"/>
  <c r="EI251" i="43" s="1"/>
  <c r="EJ251" i="43" s="1"/>
  <c r="Y250" i="24" s="1"/>
  <c r="BF251" i="43"/>
  <c r="CT251" i="43"/>
  <c r="CA251" i="43"/>
  <c r="BY251" i="43"/>
  <c r="CC251" i="43"/>
  <c r="BJ251" i="43"/>
  <c r="BH251" i="43"/>
  <c r="CV251" i="43"/>
  <c r="CT243" i="43"/>
  <c r="BJ243" i="43"/>
  <c r="BY243" i="43"/>
  <c r="CC243" i="43"/>
  <c r="CV243" i="43"/>
  <c r="BH243" i="43"/>
  <c r="BF243" i="43"/>
  <c r="CX243" i="43"/>
  <c r="AQ243" i="43"/>
  <c r="BK243" i="24" s="1"/>
  <c r="EI243" i="43" s="1"/>
  <c r="EJ243" i="43" s="1"/>
  <c r="Y242" i="24" s="1"/>
  <c r="CA243" i="43"/>
  <c r="BH292" i="43"/>
  <c r="BY288" i="43"/>
  <c r="CV288" i="43"/>
  <c r="CT288" i="43"/>
  <c r="CA288" i="43"/>
  <c r="CC288" i="43"/>
  <c r="BF288" i="43"/>
  <c r="AQ288" i="43"/>
  <c r="CX288" i="43"/>
  <c r="BJ288" i="43"/>
  <c r="BY286" i="43"/>
  <c r="CV286" i="43"/>
  <c r="CT286" i="43"/>
  <c r="CT263" i="43"/>
  <c r="BJ286" i="43"/>
  <c r="BH286" i="43"/>
  <c r="BF286" i="43"/>
  <c r="AQ286" i="43"/>
  <c r="BK286" i="24" s="1"/>
  <c r="EI286" i="43" s="1"/>
  <c r="EJ286" i="43" s="1"/>
  <c r="Y285" i="24" s="1"/>
  <c r="CX286" i="43"/>
  <c r="AQ292" i="43"/>
  <c r="CA286" i="43"/>
  <c r="BL349" i="43"/>
  <c r="BR349" i="43" s="1"/>
  <c r="ED349" i="43"/>
  <c r="BW349" i="24" s="1"/>
  <c r="BY263" i="43"/>
  <c r="BF292" i="43"/>
  <c r="AQ263" i="43"/>
  <c r="BK263" i="24" s="1"/>
  <c r="EI263" i="43" s="1"/>
  <c r="EJ263" i="43" s="1"/>
  <c r="Y262" i="24" s="1"/>
  <c r="CX263" i="43"/>
  <c r="CX292" i="43"/>
  <c r="BF263" i="43"/>
  <c r="BF204" i="43"/>
  <c r="CX211" i="43"/>
  <c r="BJ340" i="43"/>
  <c r="CC340" i="43"/>
  <c r="CA217" i="43"/>
  <c r="BY204" i="43"/>
  <c r="CM40" i="43"/>
  <c r="CA340" i="43"/>
  <c r="BH340" i="43"/>
  <c r="CT216" i="43"/>
  <c r="CV204" i="43"/>
  <c r="BY340" i="43"/>
  <c r="BF340" i="43"/>
  <c r="CT340" i="43"/>
  <c r="CV340" i="43"/>
  <c r="AQ340" i="43"/>
  <c r="EB32" i="43"/>
  <c r="R32" i="43" s="1"/>
  <c r="BJ292" i="43"/>
  <c r="CA263" i="43"/>
  <c r="CZ349" i="43"/>
  <c r="BJ296" i="43"/>
  <c r="ED315" i="43"/>
  <c r="S315" i="43" s="1"/>
  <c r="ED240" i="43"/>
  <c r="U240" i="43" s="1"/>
  <c r="CV211" i="43"/>
  <c r="BJ211" i="43"/>
  <c r="BL240" i="43"/>
  <c r="CF315" i="43"/>
  <c r="CF349" i="43"/>
  <c r="CA292" i="43"/>
  <c r="CC292" i="43"/>
  <c r="BH217" i="43"/>
  <c r="CZ315" i="43"/>
  <c r="DF315" i="43" s="1"/>
  <c r="BH331" i="43"/>
  <c r="CX217" i="43"/>
  <c r="BY292" i="43"/>
  <c r="CV292" i="43"/>
  <c r="CZ292" i="43" s="1"/>
  <c r="BJ216" i="43"/>
  <c r="ED350" i="43"/>
  <c r="BW350" i="24" s="1"/>
  <c r="CF380" i="43"/>
  <c r="BY216" i="43"/>
  <c r="BF216" i="43"/>
  <c r="AQ216" i="43"/>
  <c r="BK216" i="24" s="1"/>
  <c r="EI216" i="43" s="1"/>
  <c r="EJ216" i="43" s="1"/>
  <c r="Y215" i="24" s="1"/>
  <c r="CV216" i="43"/>
  <c r="CC216" i="43"/>
  <c r="CA216" i="43"/>
  <c r="CX216" i="43"/>
  <c r="HB354" i="43"/>
  <c r="HI363" i="43"/>
  <c r="HI334" i="43"/>
  <c r="HB355" i="43"/>
  <c r="HB361" i="43"/>
  <c r="GU370" i="43"/>
  <c r="HI330" i="43"/>
  <c r="GU340" i="43"/>
  <c r="GU333" i="43"/>
  <c r="HB368" i="43"/>
  <c r="GU361" i="43"/>
  <c r="GN346" i="43"/>
  <c r="HI361" i="43"/>
  <c r="GN330" i="43"/>
  <c r="GN374" i="43"/>
  <c r="GN348" i="43"/>
  <c r="BF217" i="43"/>
  <c r="BF211" i="43"/>
  <c r="CC217" i="43"/>
  <c r="CT211" i="43"/>
  <c r="BJ217" i="43"/>
  <c r="CT217" i="43"/>
  <c r="BY211" i="43"/>
  <c r="BH211" i="43"/>
  <c r="BL350" i="43"/>
  <c r="BH296" i="43"/>
  <c r="AQ211" i="43"/>
  <c r="BK211" i="24" s="1"/>
  <c r="EI211" i="43" s="1"/>
  <c r="EJ211" i="43" s="1"/>
  <c r="Y210" i="24" s="1"/>
  <c r="BY217" i="43"/>
  <c r="CV217" i="43"/>
  <c r="CA211" i="43"/>
  <c r="CF350" i="43"/>
  <c r="GN334" i="43"/>
  <c r="HB334" i="43"/>
  <c r="GU330" i="43"/>
  <c r="HI370" i="43"/>
  <c r="GU377" i="43"/>
  <c r="GU363" i="43"/>
  <c r="HB375" i="43"/>
  <c r="HI350" i="43"/>
  <c r="BJ278" i="43"/>
  <c r="CA296" i="43"/>
  <c r="CC296" i="43"/>
  <c r="BY296" i="43"/>
  <c r="CV296" i="43"/>
  <c r="CT296" i="43"/>
  <c r="CM183" i="43"/>
  <c r="BF296" i="43"/>
  <c r="AQ296" i="43"/>
  <c r="BK296" i="24" s="1"/>
  <c r="EI296" i="43" s="1"/>
  <c r="EJ296" i="43" s="1"/>
  <c r="Y295" i="24" s="1"/>
  <c r="CB36" i="24"/>
  <c r="CB48" i="24"/>
  <c r="CB24" i="24"/>
  <c r="CB28" i="24"/>
  <c r="CB40" i="24"/>
  <c r="GN345" i="43"/>
  <c r="HI335" i="43"/>
  <c r="BL380" i="43"/>
  <c r="CF32" i="43"/>
  <c r="CM32" i="43" s="1"/>
  <c r="CF240" i="43"/>
  <c r="BW183" i="24"/>
  <c r="CD183" i="24" s="1"/>
  <c r="CE183" i="24" s="1"/>
  <c r="BW188" i="24"/>
  <c r="CD188" i="24" s="1"/>
  <c r="CE188" i="24" s="1"/>
  <c r="BW186" i="24"/>
  <c r="CD186" i="24" s="1"/>
  <c r="CE186" i="24" s="1"/>
  <c r="BW182" i="24"/>
  <c r="CD182" i="24" s="1"/>
  <c r="CE182" i="24" s="1"/>
  <c r="CZ380" i="43"/>
  <c r="BL315" i="43"/>
  <c r="CC331" i="43"/>
  <c r="CT278" i="43"/>
  <c r="BJ331" i="43"/>
  <c r="GN363" i="43"/>
  <c r="BK350" i="24"/>
  <c r="EI350" i="43" s="1"/>
  <c r="EJ350" i="43" s="1"/>
  <c r="Y349" i="24" s="1"/>
  <c r="Z349" i="24" s="1"/>
  <c r="BJ294" i="43"/>
  <c r="GU374" i="43"/>
  <c r="CV263" i="43"/>
  <c r="BH263" i="43"/>
  <c r="GN370" i="43"/>
  <c r="HI362" i="43"/>
  <c r="GU364" i="43"/>
  <c r="CZ179" i="43"/>
  <c r="DF179" i="43" s="1"/>
  <c r="HI381" i="43"/>
  <c r="HB374" i="43"/>
  <c r="CZ32" i="43"/>
  <c r="DF32" i="43" s="1"/>
  <c r="BY331" i="43"/>
  <c r="BF331" i="43"/>
  <c r="HI354" i="43"/>
  <c r="BH294" i="43"/>
  <c r="BY278" i="43"/>
  <c r="BJ263" i="43"/>
  <c r="GN336" i="43"/>
  <c r="HB358" i="43"/>
  <c r="CX331" i="43"/>
  <c r="CV331" i="43"/>
  <c r="GU354" i="43"/>
  <c r="GU350" i="43"/>
  <c r="CT204" i="43"/>
  <c r="BH204" i="43"/>
  <c r="CA204" i="43"/>
  <c r="GU362" i="43"/>
  <c r="HI345" i="43"/>
  <c r="HB331" i="43"/>
  <c r="CT331" i="43"/>
  <c r="CA331" i="43"/>
  <c r="GN350" i="43"/>
  <c r="CX204" i="43"/>
  <c r="AQ204" i="43"/>
  <c r="HB362" i="43"/>
  <c r="HB345" i="43"/>
  <c r="CC204" i="43"/>
  <c r="J107" i="35"/>
  <c r="BL32" i="43"/>
  <c r="BR32" i="43" s="1"/>
  <c r="HI342" i="43"/>
  <c r="GU344" i="43"/>
  <c r="GN365" i="43"/>
  <c r="GU367" i="43"/>
  <c r="GN333" i="43"/>
  <c r="HB333" i="43"/>
  <c r="ED32" i="43"/>
  <c r="BW32" i="24" s="1"/>
  <c r="CD32" i="24" s="1"/>
  <c r="CE32" i="24" s="1"/>
  <c r="HI344" i="43"/>
  <c r="CM182" i="43"/>
  <c r="HI364" i="43"/>
  <c r="CC294" i="43"/>
  <c r="GN337" i="43"/>
  <c r="GN344" i="43"/>
  <c r="BN32" i="43"/>
  <c r="BY294" i="43"/>
  <c r="CV294" i="43"/>
  <c r="CT294" i="43"/>
  <c r="ED380" i="43"/>
  <c r="GN364" i="43"/>
  <c r="GN335" i="43"/>
  <c r="HB335" i="43"/>
  <c r="CA294" i="43"/>
  <c r="BF294" i="43"/>
  <c r="AQ294" i="43"/>
  <c r="BK294" i="24" s="1"/>
  <c r="EI294" i="43" s="1"/>
  <c r="EJ294" i="43" s="1"/>
  <c r="Y293" i="24" s="1"/>
  <c r="BL179" i="43"/>
  <c r="HB338" i="43"/>
  <c r="HI348" i="43"/>
  <c r="GU337" i="43"/>
  <c r="GN338" i="43"/>
  <c r="HI331" i="43"/>
  <c r="GN331" i="43"/>
  <c r="GU346" i="43"/>
  <c r="GU373" i="43"/>
  <c r="GU338" i="43"/>
  <c r="GN373" i="43"/>
  <c r="HI332" i="43"/>
  <c r="GU332" i="43"/>
  <c r="HB332" i="43"/>
  <c r="GN332" i="43"/>
  <c r="ED179" i="43"/>
  <c r="HI355" i="43"/>
  <c r="HB381" i="43"/>
  <c r="GN367" i="43"/>
  <c r="HI368" i="43"/>
  <c r="HI375" i="43"/>
  <c r="GU381" i="43"/>
  <c r="GU365" i="43"/>
  <c r="GN358" i="43"/>
  <c r="GU358" i="43"/>
  <c r="W15" i="45"/>
  <c r="HB342" i="43"/>
  <c r="CF179" i="43"/>
  <c r="HI346" i="43"/>
  <c r="GN355" i="43"/>
  <c r="HI367" i="43"/>
  <c r="GU368" i="43"/>
  <c r="GN375" i="43"/>
  <c r="GU348" i="43"/>
  <c r="HI365" i="43"/>
  <c r="HB337" i="43"/>
  <c r="GU342" i="43"/>
  <c r="HI373" i="43"/>
  <c r="BF278" i="43"/>
  <c r="AQ278" i="43"/>
  <c r="CX278" i="43"/>
  <c r="HB336" i="43"/>
  <c r="HI377" i="43"/>
  <c r="DN206" i="43"/>
  <c r="DO206" i="43" s="1"/>
  <c r="AQ206" i="43" s="1"/>
  <c r="HI340" i="43"/>
  <c r="CF370" i="43"/>
  <c r="CF173" i="43"/>
  <c r="CF192" i="43"/>
  <c r="CF168" i="43"/>
  <c r="CF181" i="43"/>
  <c r="CF169" i="43"/>
  <c r="CA278" i="43"/>
  <c r="BH278" i="43"/>
  <c r="GU336" i="43"/>
  <c r="GN377" i="43"/>
  <c r="GN340" i="43"/>
  <c r="CV278" i="43"/>
  <c r="CF171" i="43"/>
  <c r="CF191" i="43"/>
  <c r="CF42" i="43"/>
  <c r="CI42" i="43" s="1"/>
  <c r="CK42" i="43" s="1"/>
  <c r="Z14" i="45"/>
  <c r="CF314" i="43"/>
  <c r="CF200" i="43"/>
  <c r="CF187" i="43"/>
  <c r="CF21" i="43"/>
  <c r="CI21" i="43" s="1"/>
  <c r="CK21" i="43" s="1"/>
  <c r="CF252" i="43"/>
  <c r="GU356" i="43"/>
  <c r="HB356" i="43"/>
  <c r="GN356" i="43"/>
  <c r="HI356" i="43"/>
  <c r="HI352" i="43"/>
  <c r="GU352" i="43"/>
  <c r="HB352" i="43"/>
  <c r="GN352" i="43"/>
  <c r="CF325" i="43"/>
  <c r="CF261" i="43"/>
  <c r="CM261" i="43" s="1"/>
  <c r="CF29" i="43"/>
  <c r="CI29" i="43" s="1"/>
  <c r="CK29" i="43" s="1"/>
  <c r="CF342" i="43"/>
  <c r="CM342" i="43" s="1"/>
  <c r="HB369" i="43"/>
  <c r="GN369" i="43"/>
  <c r="HI369" i="43"/>
  <c r="GU369" i="43"/>
  <c r="CF249" i="43"/>
  <c r="CM249" i="43" s="1"/>
  <c r="CF335" i="43"/>
  <c r="CM335" i="43" s="1"/>
  <c r="CF38" i="43"/>
  <c r="CI38" i="43" s="1"/>
  <c r="CK38" i="43" s="1"/>
  <c r="CF381" i="43"/>
  <c r="CF265" i="43"/>
  <c r="CF228" i="43"/>
  <c r="CM228" i="43" s="1"/>
  <c r="CF324" i="43"/>
  <c r="CM324" i="43" s="1"/>
  <c r="CF329" i="43"/>
  <c r="CF348" i="43"/>
  <c r="CM348" i="43" s="1"/>
  <c r="CF194" i="43"/>
  <c r="H33" i="35"/>
  <c r="GU376" i="43"/>
  <c r="HB376" i="43"/>
  <c r="GN376" i="43"/>
  <c r="HI376" i="43"/>
  <c r="GU339" i="43"/>
  <c r="HB339" i="43"/>
  <c r="GN339" i="43"/>
  <c r="HI339" i="43"/>
  <c r="CF310" i="43"/>
  <c r="CM310" i="43" s="1"/>
  <c r="CF52" i="43"/>
  <c r="CI52" i="43" s="1"/>
  <c r="CK52" i="43" s="1"/>
  <c r="CF190" i="43"/>
  <c r="CF247" i="43"/>
  <c r="CF343" i="43"/>
  <c r="CF13" i="43"/>
  <c r="CM13" i="43" s="1"/>
  <c r="CF272" i="43"/>
  <c r="CF372" i="43"/>
  <c r="CM372" i="43" s="1"/>
  <c r="CF195" i="43"/>
  <c r="CI195" i="43" s="1"/>
  <c r="CK195" i="43" s="1"/>
  <c r="CF11" i="43"/>
  <c r="CI11" i="43" s="1"/>
  <c r="CK11" i="43" s="1"/>
  <c r="HI11" i="43"/>
  <c r="GU11" i="43"/>
  <c r="HB11" i="43"/>
  <c r="GN11" i="43"/>
  <c r="CF44" i="43"/>
  <c r="CI44" i="43" s="1"/>
  <c r="CK44" i="43" s="1"/>
  <c r="CF16" i="43"/>
  <c r="CM16" i="43" s="1"/>
  <c r="CF37" i="43"/>
  <c r="CI37" i="43" s="1"/>
  <c r="CK37" i="43" s="1"/>
  <c r="GU353" i="43"/>
  <c r="HB353" i="43"/>
  <c r="GN353" i="43"/>
  <c r="HI353" i="43"/>
  <c r="CF196" i="43"/>
  <c r="CF232" i="43"/>
  <c r="CF346" i="43"/>
  <c r="CF270" i="43"/>
  <c r="CF333" i="43"/>
  <c r="CM333" i="43" s="1"/>
  <c r="CF184" i="43"/>
  <c r="CF50" i="43"/>
  <c r="CM50" i="43" s="1"/>
  <c r="CN50" i="43" s="1"/>
  <c r="GU347" i="43"/>
  <c r="HB347" i="43"/>
  <c r="GN347" i="43"/>
  <c r="HI347" i="43"/>
  <c r="CF198" i="43"/>
  <c r="GN378" i="43"/>
  <c r="HI378" i="43"/>
  <c r="GU378" i="43"/>
  <c r="HB378" i="43"/>
  <c r="O22" i="44"/>
  <c r="O24" i="44" s="1"/>
  <c r="CX166" i="43"/>
  <c r="CT166" i="43"/>
  <c r="CC166" i="43"/>
  <c r="BH166" i="43"/>
  <c r="AQ166" i="43"/>
  <c r="CA166" i="43"/>
  <c r="BJ166" i="43"/>
  <c r="CV166" i="43"/>
  <c r="BF166" i="43"/>
  <c r="BY166" i="43"/>
  <c r="CX180" i="43"/>
  <c r="CT180" i="43"/>
  <c r="CC180" i="43"/>
  <c r="BH180" i="43"/>
  <c r="AQ180" i="43"/>
  <c r="CV180" i="43"/>
  <c r="BF180" i="43"/>
  <c r="BJ180" i="43"/>
  <c r="CA180" i="43"/>
  <c r="BY180" i="43"/>
  <c r="AQ141" i="43"/>
  <c r="CV141" i="43"/>
  <c r="BH141" i="43"/>
  <c r="CT141" i="43"/>
  <c r="BF141" i="43"/>
  <c r="CC141" i="43"/>
  <c r="BJ141" i="43"/>
  <c r="CA141" i="43"/>
  <c r="CX141" i="43"/>
  <c r="BY141" i="43"/>
  <c r="AQ68" i="43"/>
  <c r="BJ68" i="43"/>
  <c r="CV68" i="43"/>
  <c r="CA68" i="43"/>
  <c r="CC68" i="43"/>
  <c r="BF68" i="43"/>
  <c r="BH68" i="43"/>
  <c r="CX68" i="43"/>
  <c r="CT68" i="43"/>
  <c r="BY68" i="43"/>
  <c r="CX162" i="43"/>
  <c r="CT162" i="43"/>
  <c r="CC162" i="43"/>
  <c r="BH162" i="43"/>
  <c r="AQ162" i="43"/>
  <c r="CV162" i="43"/>
  <c r="BF162" i="43"/>
  <c r="BJ162" i="43"/>
  <c r="CA162" i="43"/>
  <c r="BY162" i="43"/>
  <c r="CX47" i="43"/>
  <c r="CT47" i="43"/>
  <c r="CC47" i="43"/>
  <c r="BH47" i="43"/>
  <c r="AQ47" i="43"/>
  <c r="CA47" i="43"/>
  <c r="CV47" i="43"/>
  <c r="BJ47" i="43"/>
  <c r="BF47" i="43"/>
  <c r="BY47" i="43"/>
  <c r="AQ83" i="43"/>
  <c r="CV83" i="43"/>
  <c r="CA83" i="43"/>
  <c r="BJ83" i="43"/>
  <c r="BF83" i="43"/>
  <c r="CX83" i="43"/>
  <c r="CC83" i="43"/>
  <c r="BH83" i="43"/>
  <c r="BY83" i="43"/>
  <c r="CT83" i="43"/>
  <c r="AQ93" i="43"/>
  <c r="CX93" i="43"/>
  <c r="CT93" i="43"/>
  <c r="CC93" i="43"/>
  <c r="BH93" i="43"/>
  <c r="BY93" i="43"/>
  <c r="BJ93" i="43"/>
  <c r="BF93" i="43"/>
  <c r="CA93" i="43"/>
  <c r="CV93" i="43"/>
  <c r="AQ140" i="43"/>
  <c r="CV140" i="43"/>
  <c r="CA140" i="43"/>
  <c r="BJ140" i="43"/>
  <c r="BF140" i="43"/>
  <c r="CX140" i="43"/>
  <c r="CT140" i="43"/>
  <c r="CC140" i="43"/>
  <c r="BH140" i="43"/>
  <c r="BY140" i="43"/>
  <c r="AQ121" i="43"/>
  <c r="BF121" i="43"/>
  <c r="BH121" i="43"/>
  <c r="CC121" i="43"/>
  <c r="BJ121" i="43"/>
  <c r="CX121" i="43"/>
  <c r="CA121" i="43"/>
  <c r="CT121" i="43"/>
  <c r="CV121" i="43"/>
  <c r="BY121" i="43"/>
  <c r="AQ85" i="43"/>
  <c r="CX85" i="43"/>
  <c r="CT85" i="43"/>
  <c r="CC85" i="43"/>
  <c r="BH85" i="43"/>
  <c r="CV85" i="43"/>
  <c r="BF85" i="43"/>
  <c r="BY85" i="43"/>
  <c r="BJ85" i="43"/>
  <c r="CA85" i="43"/>
  <c r="BH155" i="43"/>
  <c r="AQ155" i="43"/>
  <c r="CC155" i="43"/>
  <c r="CT155" i="43"/>
  <c r="CX155" i="43"/>
  <c r="BF155" i="43"/>
  <c r="BY155" i="43"/>
  <c r="CA155" i="43"/>
  <c r="BJ155" i="43"/>
  <c r="CV155" i="43"/>
  <c r="CX23" i="43"/>
  <c r="CT23" i="43"/>
  <c r="CC23" i="43"/>
  <c r="BH23" i="43"/>
  <c r="AQ23" i="43"/>
  <c r="CV23" i="43"/>
  <c r="BJ23" i="43"/>
  <c r="BF23" i="43"/>
  <c r="CA23" i="43"/>
  <c r="BY23" i="43"/>
  <c r="AQ133" i="43"/>
  <c r="BJ133" i="43"/>
  <c r="CA133" i="43"/>
  <c r="CX133" i="43"/>
  <c r="BH133" i="43"/>
  <c r="CV133" i="43"/>
  <c r="CT133" i="43"/>
  <c r="BF133" i="43"/>
  <c r="BY133" i="43"/>
  <c r="CC133" i="43"/>
  <c r="AQ69" i="43"/>
  <c r="CX69" i="43"/>
  <c r="CT69" i="43"/>
  <c r="CC69" i="43"/>
  <c r="BH69" i="43"/>
  <c r="BF69" i="43"/>
  <c r="CV69" i="43"/>
  <c r="CA69" i="43"/>
  <c r="BJ69" i="43"/>
  <c r="BY69" i="43"/>
  <c r="AQ193" i="43"/>
  <c r="CX193" i="43"/>
  <c r="CC193" i="43"/>
  <c r="BH193" i="43"/>
  <c r="CT193" i="43"/>
  <c r="BF193" i="43"/>
  <c r="BJ193" i="43"/>
  <c r="CV193" i="43"/>
  <c r="CA193" i="43"/>
  <c r="BY193" i="43"/>
  <c r="AQ104" i="43"/>
  <c r="CA104" i="43"/>
  <c r="BJ104" i="43"/>
  <c r="CT104" i="43"/>
  <c r="BY104" i="43"/>
  <c r="CC104" i="43"/>
  <c r="CV104" i="43"/>
  <c r="CX104" i="43"/>
  <c r="BH104" i="43"/>
  <c r="BF104" i="43"/>
  <c r="AQ117" i="43"/>
  <c r="BH117" i="43"/>
  <c r="CV117" i="43"/>
  <c r="BF117" i="43"/>
  <c r="CT117" i="43"/>
  <c r="CC117" i="43"/>
  <c r="BY117" i="43"/>
  <c r="CX117" i="43"/>
  <c r="BJ117" i="43"/>
  <c r="CA117" i="43"/>
  <c r="CT199" i="43"/>
  <c r="CX199" i="43"/>
  <c r="AQ199" i="43"/>
  <c r="CC199" i="43"/>
  <c r="BH199" i="43"/>
  <c r="BJ199" i="43"/>
  <c r="CV199" i="43"/>
  <c r="BF199" i="43"/>
  <c r="CA199" i="43"/>
  <c r="BY199" i="43"/>
  <c r="AQ81" i="43"/>
  <c r="CX81" i="43"/>
  <c r="CT81" i="43"/>
  <c r="CC81" i="43"/>
  <c r="BH81" i="43"/>
  <c r="BY81" i="43"/>
  <c r="BJ81" i="43"/>
  <c r="CA81" i="43"/>
  <c r="CV81" i="43"/>
  <c r="BF81" i="43"/>
  <c r="AQ62" i="43"/>
  <c r="BH62" i="43"/>
  <c r="BJ62" i="43"/>
  <c r="CA62" i="43"/>
  <c r="CV62" i="43"/>
  <c r="BY62" i="43"/>
  <c r="BF62" i="43"/>
  <c r="CX62" i="43"/>
  <c r="CT62" i="43"/>
  <c r="CC62" i="43"/>
  <c r="AQ60" i="43"/>
  <c r="CA60" i="43"/>
  <c r="CT60" i="43"/>
  <c r="CX60" i="43"/>
  <c r="CV60" i="43"/>
  <c r="BH60" i="43"/>
  <c r="BJ60" i="43"/>
  <c r="CC60" i="43"/>
  <c r="BF60" i="43"/>
  <c r="BY60" i="43"/>
  <c r="BH157" i="43"/>
  <c r="AQ157" i="43"/>
  <c r="CC157" i="43"/>
  <c r="CX157" i="43"/>
  <c r="CT157" i="43"/>
  <c r="BJ157" i="43"/>
  <c r="BY157" i="43"/>
  <c r="CA157" i="43"/>
  <c r="CV157" i="43"/>
  <c r="BF157" i="43"/>
  <c r="AQ113" i="43"/>
  <c r="BH113" i="43"/>
  <c r="CT113" i="43"/>
  <c r="CA113" i="43"/>
  <c r="BF113" i="43"/>
  <c r="CV113" i="43"/>
  <c r="CC113" i="43"/>
  <c r="BJ113" i="43"/>
  <c r="CX113" i="43"/>
  <c r="BY113" i="43"/>
  <c r="AQ97" i="43"/>
  <c r="CX97" i="43"/>
  <c r="CT97" i="43"/>
  <c r="CC97" i="43"/>
  <c r="BH97" i="43"/>
  <c r="CA97" i="43"/>
  <c r="CV97" i="43"/>
  <c r="BY97" i="43"/>
  <c r="BJ97" i="43"/>
  <c r="BF97" i="43"/>
  <c r="CX160" i="43"/>
  <c r="CT160" i="43"/>
  <c r="CC160" i="43"/>
  <c r="BH160" i="43"/>
  <c r="AQ160" i="43"/>
  <c r="CA160" i="43"/>
  <c r="BF160" i="43"/>
  <c r="BJ160" i="43"/>
  <c r="CV160" i="43"/>
  <c r="BY160" i="43"/>
  <c r="AQ51" i="43"/>
  <c r="CX51" i="43"/>
  <c r="CT51" i="43"/>
  <c r="CC51" i="43"/>
  <c r="BH51" i="43"/>
  <c r="CV51" i="43"/>
  <c r="CA51" i="43"/>
  <c r="BJ51" i="43"/>
  <c r="BF51" i="43"/>
  <c r="BY51" i="43"/>
  <c r="AQ89" i="43"/>
  <c r="CX89" i="43"/>
  <c r="CT89" i="43"/>
  <c r="CC89" i="43"/>
  <c r="BH89" i="43"/>
  <c r="BY89" i="43"/>
  <c r="CA89" i="43"/>
  <c r="CV89" i="43"/>
  <c r="BF89" i="43"/>
  <c r="BJ89" i="43"/>
  <c r="CV156" i="43"/>
  <c r="CA156" i="43"/>
  <c r="BJ156" i="43"/>
  <c r="BF156" i="43"/>
  <c r="AQ156" i="43"/>
  <c r="CC156" i="43"/>
  <c r="BY156" i="43"/>
  <c r="CX156" i="43"/>
  <c r="CT156" i="43"/>
  <c r="BH156" i="43"/>
  <c r="AQ147" i="43"/>
  <c r="BH147" i="43"/>
  <c r="CA147" i="43"/>
  <c r="CC147" i="43"/>
  <c r="CT147" i="43"/>
  <c r="BY147" i="43"/>
  <c r="CX147" i="43"/>
  <c r="BF147" i="43"/>
  <c r="BJ147" i="43"/>
  <c r="CV147" i="43"/>
  <c r="AQ123" i="43"/>
  <c r="BH123" i="43"/>
  <c r="CA123" i="43"/>
  <c r="CC123" i="43"/>
  <c r="CT123" i="43"/>
  <c r="BY123" i="43"/>
  <c r="CX123" i="43"/>
  <c r="BF123" i="43"/>
  <c r="BJ123" i="43"/>
  <c r="CV123" i="43"/>
  <c r="AQ103" i="43"/>
  <c r="CV103" i="43"/>
  <c r="CA103" i="43"/>
  <c r="BJ103" i="43"/>
  <c r="BF103" i="43"/>
  <c r="CC103" i="43"/>
  <c r="BY103" i="43"/>
  <c r="CT103" i="43"/>
  <c r="CX103" i="43"/>
  <c r="BH103" i="43"/>
  <c r="AQ137" i="43"/>
  <c r="CA137" i="43"/>
  <c r="BY137" i="43"/>
  <c r="BF137" i="43"/>
  <c r="BH137" i="43"/>
  <c r="CV137" i="43"/>
  <c r="CT137" i="43"/>
  <c r="CC137" i="43"/>
  <c r="BJ137" i="43"/>
  <c r="CX137" i="43"/>
  <c r="AQ53" i="43"/>
  <c r="CX53" i="43"/>
  <c r="CT53" i="43"/>
  <c r="CC53" i="43"/>
  <c r="BH53" i="43"/>
  <c r="CV53" i="43"/>
  <c r="CA53" i="43"/>
  <c r="BJ53" i="43"/>
  <c r="BF53" i="43"/>
  <c r="BY53" i="43"/>
  <c r="AQ111" i="43"/>
  <c r="CT111" i="43"/>
  <c r="BJ111" i="43"/>
  <c r="CV111" i="43"/>
  <c r="BF111" i="43"/>
  <c r="CA111" i="43"/>
  <c r="BY111" i="43"/>
  <c r="CC111" i="43"/>
  <c r="BH111" i="43"/>
  <c r="CX111" i="43"/>
  <c r="AQ143" i="43"/>
  <c r="CA143" i="43"/>
  <c r="BH143" i="43"/>
  <c r="BY143" i="43"/>
  <c r="CT143" i="43"/>
  <c r="CC143" i="43"/>
  <c r="BJ143" i="43"/>
  <c r="CV143" i="43"/>
  <c r="CX143" i="43"/>
  <c r="BF143" i="43"/>
  <c r="ED65" i="43"/>
  <c r="CZ65" i="43"/>
  <c r="ED203" i="43"/>
  <c r="U203" i="43" s="1"/>
  <c r="CZ203" i="43"/>
  <c r="BK31" i="24"/>
  <c r="EI31" i="43" s="1"/>
  <c r="EJ31" i="43" s="1"/>
  <c r="Y30" i="24" s="1"/>
  <c r="FP31" i="43"/>
  <c r="BK245" i="24"/>
  <c r="EI245" i="43" s="1"/>
  <c r="EJ245" i="43" s="1"/>
  <c r="Y244" i="24" s="1"/>
  <c r="BL271" i="43"/>
  <c r="BK244" i="24"/>
  <c r="EI244" i="43" s="1"/>
  <c r="EJ244" i="43" s="1"/>
  <c r="Y243" i="24" s="1"/>
  <c r="CI36" i="43"/>
  <c r="CK36" i="43" s="1"/>
  <c r="CM36" i="43"/>
  <c r="ED345" i="43"/>
  <c r="BW345" i="24" s="1"/>
  <c r="CD345" i="24" s="1"/>
  <c r="CE345" i="24" s="1"/>
  <c r="CZ345" i="43"/>
  <c r="DN82" i="43"/>
  <c r="DO82" i="43" s="1"/>
  <c r="CF317" i="43"/>
  <c r="BK317" i="24"/>
  <c r="EI317" i="43" s="1"/>
  <c r="EJ317" i="43" s="1"/>
  <c r="Y316" i="24" s="1"/>
  <c r="DJ183" i="43"/>
  <c r="AA182" i="24" s="1"/>
  <c r="BR183" i="43"/>
  <c r="ED327" i="43"/>
  <c r="CZ327" i="43"/>
  <c r="BK327" i="24"/>
  <c r="EI327" i="43" s="1"/>
  <c r="EJ327" i="43" s="1"/>
  <c r="Y326" i="24" s="1"/>
  <c r="CF269" i="43"/>
  <c r="ED269" i="43"/>
  <c r="U269" i="43" s="1"/>
  <c r="ED232" i="43"/>
  <c r="U232" i="43" s="1"/>
  <c r="CZ232" i="43"/>
  <c r="ED360" i="43"/>
  <c r="BW360" i="24" s="1"/>
  <c r="CD360" i="24" s="1"/>
  <c r="CE360" i="24" s="1"/>
  <c r="CZ360" i="43"/>
  <c r="BK360" i="24"/>
  <c r="EI360" i="43" s="1"/>
  <c r="EJ360" i="43" s="1"/>
  <c r="Y359" i="24" s="1"/>
  <c r="BL238" i="43"/>
  <c r="BK320" i="24"/>
  <c r="EI320" i="43" s="1"/>
  <c r="EJ320" i="43" s="1"/>
  <c r="Y319" i="24" s="1"/>
  <c r="Z348" i="24"/>
  <c r="CM186" i="43"/>
  <c r="CV208" i="43"/>
  <c r="CA208" i="43"/>
  <c r="BJ208" i="43"/>
  <c r="BF208" i="43"/>
  <c r="AQ208" i="43"/>
  <c r="BH208" i="43"/>
  <c r="CT208" i="43"/>
  <c r="CX208" i="43"/>
  <c r="CC208" i="43"/>
  <c r="BY208" i="43"/>
  <c r="HI351" i="43"/>
  <c r="GU351" i="43"/>
  <c r="HB351" i="43"/>
  <c r="GN351" i="43"/>
  <c r="ED346" i="43"/>
  <c r="BW346" i="24" s="1"/>
  <c r="CD346" i="24" s="1"/>
  <c r="CE346" i="24" s="1"/>
  <c r="CZ346" i="43"/>
  <c r="DN146" i="43"/>
  <c r="DO146" i="43" s="1"/>
  <c r="CV293" i="43"/>
  <c r="CA293" i="43"/>
  <c r="BJ293" i="43"/>
  <c r="BF293" i="43"/>
  <c r="CX293" i="43"/>
  <c r="CT293" i="43"/>
  <c r="CC293" i="43"/>
  <c r="BH293" i="43"/>
  <c r="AQ293" i="43"/>
  <c r="BY293" i="43"/>
  <c r="BL356" i="43"/>
  <c r="BK371" i="24"/>
  <c r="EI371" i="43" s="1"/>
  <c r="EJ371" i="43" s="1"/>
  <c r="Y370" i="24" s="1"/>
  <c r="DF188" i="43"/>
  <c r="BK217" i="24"/>
  <c r="EI217" i="43" s="1"/>
  <c r="EJ217" i="43" s="1"/>
  <c r="Y216" i="24" s="1"/>
  <c r="AQ92" i="43"/>
  <c r="CV92" i="43"/>
  <c r="CA92" i="43"/>
  <c r="BJ92" i="43"/>
  <c r="BF92" i="43"/>
  <c r="CC92" i="43"/>
  <c r="BH92" i="43"/>
  <c r="BY92" i="43"/>
  <c r="CX92" i="43"/>
  <c r="CT92" i="43"/>
  <c r="Z379" i="24"/>
  <c r="AQ101" i="43"/>
  <c r="CX101" i="43"/>
  <c r="CT101" i="43"/>
  <c r="CC101" i="43"/>
  <c r="BH101" i="43"/>
  <c r="BJ101" i="43"/>
  <c r="BY101" i="43"/>
  <c r="CA101" i="43"/>
  <c r="BF101" i="43"/>
  <c r="CV101" i="43"/>
  <c r="AQ132" i="43"/>
  <c r="CV132" i="43"/>
  <c r="CA132" i="43"/>
  <c r="BJ132" i="43"/>
  <c r="BF132" i="43"/>
  <c r="CX132" i="43"/>
  <c r="CT132" i="43"/>
  <c r="CC132" i="43"/>
  <c r="BH132" i="43"/>
  <c r="BY132" i="43"/>
  <c r="BN26" i="43"/>
  <c r="EB26" i="43"/>
  <c r="R26" i="43" s="1"/>
  <c r="BL26" i="43"/>
  <c r="ED26" i="43"/>
  <c r="BW26" i="24" s="1"/>
  <c r="CD26" i="24" s="1"/>
  <c r="CE26" i="24" s="1"/>
  <c r="CZ26" i="43"/>
  <c r="DB26" i="43"/>
  <c r="DN67" i="43"/>
  <c r="DO67" i="43" s="1"/>
  <c r="BK194" i="24"/>
  <c r="EI194" i="43" s="1"/>
  <c r="EJ194" i="43" s="1"/>
  <c r="Y193" i="24" s="1"/>
  <c r="BL348" i="43"/>
  <c r="DD28" i="43"/>
  <c r="DF28" i="43"/>
  <c r="DF24" i="43"/>
  <c r="DF182" i="43"/>
  <c r="AQ210" i="43"/>
  <c r="CX210" i="43"/>
  <c r="CT210" i="43"/>
  <c r="CC210" i="43"/>
  <c r="BH210" i="43"/>
  <c r="BJ210" i="43"/>
  <c r="CV210" i="43"/>
  <c r="CA210" i="43"/>
  <c r="BF210" i="43"/>
  <c r="BY210" i="43"/>
  <c r="CV80" i="43"/>
  <c r="CA80" i="43"/>
  <c r="BJ80" i="43"/>
  <c r="BF80" i="43"/>
  <c r="AQ80" i="43"/>
  <c r="BH80" i="43"/>
  <c r="CC80" i="43"/>
  <c r="BY80" i="43"/>
  <c r="CT80" i="43"/>
  <c r="CX80" i="43"/>
  <c r="HI359" i="43"/>
  <c r="GU359" i="43"/>
  <c r="HB359" i="43"/>
  <c r="GN359" i="43"/>
  <c r="Z356" i="24"/>
  <c r="ED341" i="43"/>
  <c r="BW341" i="24" s="1"/>
  <c r="CD341" i="24" s="1"/>
  <c r="CE341" i="24" s="1"/>
  <c r="CZ341" i="43"/>
  <c r="BL88" i="43"/>
  <c r="BK88" i="24"/>
  <c r="EI88" i="43" s="1"/>
  <c r="EJ88" i="43" s="1"/>
  <c r="Y87" i="24" s="1"/>
  <c r="AQ131" i="43"/>
  <c r="CX131" i="43"/>
  <c r="BJ131" i="43"/>
  <c r="CV131" i="43"/>
  <c r="BH131" i="43"/>
  <c r="CA131" i="43"/>
  <c r="CC131" i="43"/>
  <c r="CT131" i="43"/>
  <c r="BY131" i="43"/>
  <c r="BF131" i="43"/>
  <c r="Z239" i="24"/>
  <c r="ED343" i="43"/>
  <c r="BW343" i="24" s="1"/>
  <c r="CD343" i="24" s="1"/>
  <c r="CE343" i="24" s="1"/>
  <c r="CZ343" i="43"/>
  <c r="DB56" i="43"/>
  <c r="ED56" i="43"/>
  <c r="BW56" i="24" s="1"/>
  <c r="CD56" i="24" s="1"/>
  <c r="CE56" i="24" s="1"/>
  <c r="CZ56" i="43"/>
  <c r="CF56" i="43"/>
  <c r="DN142" i="43"/>
  <c r="DO142" i="43" s="1"/>
  <c r="CF305" i="43"/>
  <c r="DF350" i="43"/>
  <c r="ED22" i="43"/>
  <c r="BW22" i="24" s="1"/>
  <c r="CD22" i="24" s="1"/>
  <c r="CE22" i="24" s="1"/>
  <c r="CZ22" i="43"/>
  <c r="DB22" i="43"/>
  <c r="CX235" i="43"/>
  <c r="CT235" i="43"/>
  <c r="CC235" i="43"/>
  <c r="BH235" i="43"/>
  <c r="AQ235" i="43"/>
  <c r="BJ235" i="43"/>
  <c r="CA235" i="43"/>
  <c r="CV235" i="43"/>
  <c r="BF235" i="43"/>
  <c r="BY235" i="43"/>
  <c r="ED87" i="43"/>
  <c r="CZ87" i="43"/>
  <c r="BL87" i="43"/>
  <c r="BK87" i="24"/>
  <c r="EI87" i="43" s="1"/>
  <c r="EJ87" i="43" s="1"/>
  <c r="Y86" i="24" s="1"/>
  <c r="BL120" i="43"/>
  <c r="BK120" i="24"/>
  <c r="EI120" i="43" s="1"/>
  <c r="EJ120" i="43" s="1"/>
  <c r="Y119" i="24" s="1"/>
  <c r="ED112" i="43"/>
  <c r="CZ112" i="43"/>
  <c r="CF207" i="43"/>
  <c r="CF202" i="43"/>
  <c r="CF268" i="43"/>
  <c r="ED268" i="43"/>
  <c r="U268" i="43" s="1"/>
  <c r="CF364" i="43"/>
  <c r="BK313" i="24"/>
  <c r="EI313" i="43" s="1"/>
  <c r="EJ313" i="43" s="1"/>
  <c r="Y312" i="24" s="1"/>
  <c r="CX361" i="43"/>
  <c r="CC361" i="43"/>
  <c r="AQ361" i="43"/>
  <c r="CT361" i="43"/>
  <c r="CV361" i="43"/>
  <c r="BH361" i="43"/>
  <c r="CA361" i="43"/>
  <c r="BJ361" i="43"/>
  <c r="BF361" i="43"/>
  <c r="BY361" i="43"/>
  <c r="DN138" i="43"/>
  <c r="DO138" i="43" s="1"/>
  <c r="AQ129" i="43"/>
  <c r="BJ129" i="43"/>
  <c r="CX129" i="43"/>
  <c r="BY129" i="43"/>
  <c r="CT129" i="43"/>
  <c r="CA129" i="43"/>
  <c r="BF129" i="43"/>
  <c r="BH129" i="43"/>
  <c r="CV129" i="43"/>
  <c r="CC129" i="43"/>
  <c r="DF183" i="43"/>
  <c r="AQ136" i="43"/>
  <c r="CV136" i="43"/>
  <c r="CA136" i="43"/>
  <c r="BJ136" i="43"/>
  <c r="BF136" i="43"/>
  <c r="CX136" i="43"/>
  <c r="CT136" i="43"/>
  <c r="CC136" i="43"/>
  <c r="BH136" i="43"/>
  <c r="BY136" i="43"/>
  <c r="ED333" i="43"/>
  <c r="BW333" i="24" s="1"/>
  <c r="CD333" i="24" s="1"/>
  <c r="CE333" i="24" s="1"/>
  <c r="CZ333" i="43"/>
  <c r="BK253" i="24"/>
  <c r="EI253" i="43" s="1"/>
  <c r="EJ253" i="43" s="1"/>
  <c r="Y252" i="24" s="1"/>
  <c r="BL338" i="43"/>
  <c r="BK338" i="24"/>
  <c r="EI338" i="43" s="1"/>
  <c r="EJ338" i="43" s="1"/>
  <c r="Y337" i="24" s="1"/>
  <c r="AQ115" i="43"/>
  <c r="CA115" i="43"/>
  <c r="BH115" i="43"/>
  <c r="BY115" i="43"/>
  <c r="CC115" i="43"/>
  <c r="CT115" i="43"/>
  <c r="BF115" i="43"/>
  <c r="CX115" i="43"/>
  <c r="BJ115" i="43"/>
  <c r="CV115" i="43"/>
  <c r="ED342" i="43"/>
  <c r="BW342" i="24" s="1"/>
  <c r="CD342" i="24" s="1"/>
  <c r="CE342" i="24" s="1"/>
  <c r="CZ342" i="43"/>
  <c r="DN59" i="43"/>
  <c r="DO59" i="43" s="1"/>
  <c r="CX250" i="43"/>
  <c r="CT250" i="43"/>
  <c r="CC250" i="43"/>
  <c r="BH250" i="43"/>
  <c r="AQ250" i="43"/>
  <c r="CA250" i="43"/>
  <c r="CV250" i="43"/>
  <c r="BJ250" i="43"/>
  <c r="BF250" i="43"/>
  <c r="BY250" i="43"/>
  <c r="DN86" i="43"/>
  <c r="DO86" i="43" s="1"/>
  <c r="DN110" i="43"/>
  <c r="DO110" i="43" s="1"/>
  <c r="DN108" i="43"/>
  <c r="DO108" i="43" s="1"/>
  <c r="AQ74" i="43"/>
  <c r="CA74" i="43"/>
  <c r="BH74" i="43"/>
  <c r="BF74" i="43"/>
  <c r="BJ74" i="43"/>
  <c r="BY74" i="43"/>
  <c r="CC74" i="43"/>
  <c r="CT74" i="43"/>
  <c r="CV74" i="43"/>
  <c r="CX74" i="43"/>
  <c r="CF274" i="43"/>
  <c r="BL274" i="43"/>
  <c r="HB343" i="43"/>
  <c r="GN343" i="43"/>
  <c r="HI343" i="43"/>
  <c r="GU343" i="43"/>
  <c r="CX230" i="43"/>
  <c r="CT230" i="43"/>
  <c r="CC230" i="43"/>
  <c r="BH230" i="43"/>
  <c r="AQ230" i="43"/>
  <c r="CV230" i="43"/>
  <c r="BJ230" i="43"/>
  <c r="CA230" i="43"/>
  <c r="BF230" i="43"/>
  <c r="BY230" i="43"/>
  <c r="CF318" i="43"/>
  <c r="BL318" i="43"/>
  <c r="ED318" i="43"/>
  <c r="S318" i="43" s="1"/>
  <c r="CZ318" i="43"/>
  <c r="CX367" i="43"/>
  <c r="CT367" i="43"/>
  <c r="CC367" i="43"/>
  <c r="BH367" i="43"/>
  <c r="AQ367" i="43"/>
  <c r="CV367" i="43"/>
  <c r="BJ367" i="43"/>
  <c r="BF367" i="43"/>
  <c r="CA367" i="43"/>
  <c r="BY367" i="43"/>
  <c r="CX344" i="43"/>
  <c r="CT344" i="43"/>
  <c r="CC344" i="43"/>
  <c r="BH344" i="43"/>
  <c r="AQ344" i="43"/>
  <c r="CV344" i="43"/>
  <c r="BJ344" i="43"/>
  <c r="BF344" i="43"/>
  <c r="CA344" i="43"/>
  <c r="BY344" i="43"/>
  <c r="BK233" i="24"/>
  <c r="EI233" i="43" s="1"/>
  <c r="EJ233" i="43" s="1"/>
  <c r="Y232" i="24" s="1"/>
  <c r="ED73" i="43"/>
  <c r="CZ73" i="43"/>
  <c r="BK248" i="24"/>
  <c r="EI248" i="43" s="1"/>
  <c r="EJ248" i="43" s="1"/>
  <c r="Y247" i="24" s="1"/>
  <c r="BL264" i="43"/>
  <c r="Z178" i="24"/>
  <c r="Z187" i="24"/>
  <c r="DJ48" i="43"/>
  <c r="AA47" i="24" s="1"/>
  <c r="BP48" i="43"/>
  <c r="BR48" i="43"/>
  <c r="BS48" i="43" s="1"/>
  <c r="CF45" i="43"/>
  <c r="CF213" i="43"/>
  <c r="BL213" i="43"/>
  <c r="DN102" i="43"/>
  <c r="DO102" i="43" s="1"/>
  <c r="CF49" i="43"/>
  <c r="BL49" i="43"/>
  <c r="BN49" i="43"/>
  <c r="EB49" i="43"/>
  <c r="R49" i="43" s="1"/>
  <c r="BK49" i="24"/>
  <c r="EI49" i="43" s="1"/>
  <c r="EJ49" i="43" s="1"/>
  <c r="Y48" i="24" s="1"/>
  <c r="BL145" i="43"/>
  <c r="BK307" i="24"/>
  <c r="EI307" i="43" s="1"/>
  <c r="EJ307" i="43" s="1"/>
  <c r="Y306" i="24" s="1"/>
  <c r="HB371" i="43"/>
  <c r="GN371" i="43"/>
  <c r="GU371" i="43"/>
  <c r="HI371" i="43"/>
  <c r="CF224" i="43"/>
  <c r="ED224" i="43"/>
  <c r="U224" i="43" s="1"/>
  <c r="CZ224" i="43"/>
  <c r="BK198" i="24"/>
  <c r="EI198" i="43" s="1"/>
  <c r="EJ198" i="43" s="1"/>
  <c r="Y197" i="24" s="1"/>
  <c r="BL324" i="43"/>
  <c r="ED368" i="43"/>
  <c r="BW368" i="24" s="1"/>
  <c r="CD368" i="24" s="1"/>
  <c r="CE368" i="24" s="1"/>
  <c r="CZ368" i="43"/>
  <c r="BL368" i="43"/>
  <c r="BK368" i="24"/>
  <c r="EI368" i="43" s="1"/>
  <c r="EJ368" i="43" s="1"/>
  <c r="Y367" i="24" s="1"/>
  <c r="BL184" i="43"/>
  <c r="ED184" i="43"/>
  <c r="CZ184" i="43"/>
  <c r="ED323" i="43"/>
  <c r="HI357" i="43"/>
  <c r="GU357" i="43"/>
  <c r="HB357" i="43"/>
  <c r="GN357" i="43"/>
  <c r="BL175" i="43"/>
  <c r="BK175" i="24"/>
  <c r="EI175" i="43" s="1"/>
  <c r="EJ175" i="43" s="1"/>
  <c r="Y174" i="24" s="1"/>
  <c r="BL197" i="43"/>
  <c r="BL372" i="43"/>
  <c r="BK372" i="24"/>
  <c r="EI372" i="43" s="1"/>
  <c r="EJ372" i="43" s="1"/>
  <c r="Y371" i="24" s="1"/>
  <c r="Z352" i="24"/>
  <c r="EB44" i="43"/>
  <c r="R44" i="43" s="1"/>
  <c r="BL44" i="43"/>
  <c r="BN44" i="43"/>
  <c r="BK44" i="24"/>
  <c r="EI44" i="43" s="1"/>
  <c r="EJ44" i="43" s="1"/>
  <c r="Y43" i="24" s="1"/>
  <c r="FP44" i="43"/>
  <c r="CF46" i="43"/>
  <c r="ED46" i="43"/>
  <c r="BW46" i="24" s="1"/>
  <c r="CD46" i="24" s="1"/>
  <c r="CE46" i="24" s="1"/>
  <c r="CZ46" i="43"/>
  <c r="DB46" i="43"/>
  <c r="CF316" i="43"/>
  <c r="CF362" i="43"/>
  <c r="BL362" i="43"/>
  <c r="CF259" i="43"/>
  <c r="ED259" i="43"/>
  <c r="U259" i="43" s="1"/>
  <c r="CF339" i="43"/>
  <c r="ED347" i="43"/>
  <c r="BW347" i="24" s="1"/>
  <c r="CD347" i="24" s="1"/>
  <c r="CE347" i="24" s="1"/>
  <c r="CZ347" i="43"/>
  <c r="EB18" i="43"/>
  <c r="R18" i="43" s="1"/>
  <c r="BL18" i="43"/>
  <c r="BL58" i="43"/>
  <c r="ED200" i="43"/>
  <c r="U200" i="43" s="1"/>
  <c r="CZ200" i="43"/>
  <c r="BK200" i="24"/>
  <c r="EI200" i="43" s="1"/>
  <c r="EJ200" i="43" s="1"/>
  <c r="Y199" i="24" s="1"/>
  <c r="CF15" i="43"/>
  <c r="BN15" i="43"/>
  <c r="EB15" i="43"/>
  <c r="R15" i="43" s="1"/>
  <c r="BL15" i="43"/>
  <c r="ED15" i="43"/>
  <c r="BW15" i="24" s="1"/>
  <c r="CD15" i="24" s="1"/>
  <c r="CE15" i="24" s="1"/>
  <c r="CZ15" i="43"/>
  <c r="DB15" i="43"/>
  <c r="DB21" i="43"/>
  <c r="ED21" i="43"/>
  <c r="BW21" i="24" s="1"/>
  <c r="CD21" i="24" s="1"/>
  <c r="CE21" i="24" s="1"/>
  <c r="CZ21" i="43"/>
  <c r="BL177" i="43"/>
  <c r="ED12" i="43"/>
  <c r="BW12" i="24" s="1"/>
  <c r="CD12" i="24" s="1"/>
  <c r="CE12" i="24" s="1"/>
  <c r="CZ12" i="43"/>
  <c r="CF12" i="43"/>
  <c r="BK192" i="24"/>
  <c r="EI192" i="43" s="1"/>
  <c r="EJ192" i="43" s="1"/>
  <c r="Y191" i="24" s="1"/>
  <c r="CF77" i="43"/>
  <c r="CF54" i="43"/>
  <c r="CF201" i="43"/>
  <c r="CF144" i="43"/>
  <c r="CF19" i="43"/>
  <c r="CI19" i="43" s="1"/>
  <c r="ED19" i="43"/>
  <c r="BW19" i="24" s="1"/>
  <c r="CD19" i="24" s="1"/>
  <c r="CE19" i="24" s="1"/>
  <c r="CZ19" i="43"/>
  <c r="BL168" i="43"/>
  <c r="CF20" i="43"/>
  <c r="BL106" i="43"/>
  <c r="DB37" i="43"/>
  <c r="ED37" i="43"/>
  <c r="BW37" i="24" s="1"/>
  <c r="CD37" i="24" s="1"/>
  <c r="CE37" i="24" s="1"/>
  <c r="CZ37" i="43"/>
  <c r="BN14" i="43"/>
  <c r="EB14" i="43"/>
  <c r="R14" i="43" s="1"/>
  <c r="BL14" i="43"/>
  <c r="CF61" i="43"/>
  <c r="ED99" i="43"/>
  <c r="CZ99" i="43"/>
  <c r="BN30" i="43"/>
  <c r="EB30" i="43"/>
  <c r="R30" i="43" s="1"/>
  <c r="BL30" i="43"/>
  <c r="ED91" i="43"/>
  <c r="CZ91" i="43"/>
  <c r="BL203" i="43"/>
  <c r="BK203" i="24"/>
  <c r="EI203" i="43" s="1"/>
  <c r="EJ203" i="43" s="1"/>
  <c r="Y202" i="24" s="1"/>
  <c r="BN31" i="43"/>
  <c r="EB31" i="43"/>
  <c r="R31" i="43" s="1"/>
  <c r="BL31" i="43"/>
  <c r="BK260" i="24"/>
  <c r="EI260" i="43" s="1"/>
  <c r="EJ260" i="43" s="1"/>
  <c r="Y259" i="24" s="1"/>
  <c r="BL196" i="43"/>
  <c r="BK196" i="24"/>
  <c r="EI196" i="43" s="1"/>
  <c r="EJ196" i="43" s="1"/>
  <c r="Y195" i="24" s="1"/>
  <c r="BK331" i="24"/>
  <c r="EI331" i="43" s="1"/>
  <c r="EJ331" i="43" s="1"/>
  <c r="Y330" i="24" s="1"/>
  <c r="CF116" i="43"/>
  <c r="BK65" i="24"/>
  <c r="EI65" i="43" s="1"/>
  <c r="EJ65" i="43" s="1"/>
  <c r="Y64" i="24" s="1"/>
  <c r="BK39" i="24"/>
  <c r="EI39" i="43" s="1"/>
  <c r="EJ39" i="43" s="1"/>
  <c r="Y38" i="24" s="1"/>
  <c r="FP39" i="43"/>
  <c r="BK369" i="24"/>
  <c r="EI369" i="43" s="1"/>
  <c r="EJ369" i="43" s="1"/>
  <c r="Y368" i="24" s="1"/>
  <c r="Z47" i="24"/>
  <c r="BL345" i="43"/>
  <c r="BK345" i="24"/>
  <c r="EI345" i="43" s="1"/>
  <c r="EJ345" i="43" s="1"/>
  <c r="Y344" i="24" s="1"/>
  <c r="BK271" i="24"/>
  <c r="EI271" i="43" s="1"/>
  <c r="EJ271" i="43" s="1"/>
  <c r="Y270" i="24" s="1"/>
  <c r="N22" i="44"/>
  <c r="N24" i="44" s="1"/>
  <c r="AQ215" i="43"/>
  <c r="BH215" i="43"/>
  <c r="CT215" i="43"/>
  <c r="CC215" i="43"/>
  <c r="CX215" i="43"/>
  <c r="CV215" i="43"/>
  <c r="BJ215" i="43"/>
  <c r="BF215" i="43"/>
  <c r="CA215" i="43"/>
  <c r="BY215" i="43"/>
  <c r="CV277" i="43"/>
  <c r="CA277" i="43"/>
  <c r="BJ277" i="43"/>
  <c r="BF277" i="43"/>
  <c r="CX277" i="43"/>
  <c r="BH277" i="43"/>
  <c r="AQ277" i="43"/>
  <c r="CT277" i="43"/>
  <c r="CC277" i="43"/>
  <c r="BY277" i="43"/>
  <c r="BL52" i="43"/>
  <c r="BN52" i="43"/>
  <c r="EB52" i="43"/>
  <c r="R52" i="43" s="1"/>
  <c r="ED366" i="43"/>
  <c r="BW366" i="24" s="1"/>
  <c r="CD366" i="24" s="1"/>
  <c r="CE366" i="24" s="1"/>
  <c r="CZ366" i="43"/>
  <c r="CX237" i="43"/>
  <c r="CC237" i="43"/>
  <c r="BH237" i="43"/>
  <c r="AQ237" i="43"/>
  <c r="CT237" i="43"/>
  <c r="CV237" i="43"/>
  <c r="BF237" i="43"/>
  <c r="CA237" i="43"/>
  <c r="BJ237" i="43"/>
  <c r="BY237" i="43"/>
  <c r="Z31" i="24"/>
  <c r="AQ152" i="43"/>
  <c r="CV152" i="43"/>
  <c r="CA152" i="43"/>
  <c r="BJ152" i="43"/>
  <c r="BF152" i="43"/>
  <c r="CC152" i="43"/>
  <c r="BH152" i="43"/>
  <c r="BY152" i="43"/>
  <c r="CX152" i="43"/>
  <c r="CT152" i="43"/>
  <c r="CF203" i="43"/>
  <c r="CF31" i="43"/>
  <c r="ED31" i="43"/>
  <c r="BW31" i="24" s="1"/>
  <c r="CD31" i="24" s="1"/>
  <c r="CE31" i="24" s="1"/>
  <c r="CZ31" i="43"/>
  <c r="DB31" i="43"/>
  <c r="BN39" i="43"/>
  <c r="EB39" i="43"/>
  <c r="R39" i="43" s="1"/>
  <c r="BL39" i="43"/>
  <c r="DJ188" i="43"/>
  <c r="AA187" i="24" s="1"/>
  <c r="BR188" i="43"/>
  <c r="CF260" i="43"/>
  <c r="BL260" i="43"/>
  <c r="ED260" i="43"/>
  <c r="U260" i="43" s="1"/>
  <c r="Z162" i="24"/>
  <c r="CF245" i="43"/>
  <c r="BL245" i="43"/>
  <c r="ED245" i="43"/>
  <c r="U245" i="43" s="1"/>
  <c r="CZ245" i="43"/>
  <c r="ED116" i="43"/>
  <c r="CZ116" i="43"/>
  <c r="BL317" i="43"/>
  <c r="CF257" i="43"/>
  <c r="ED257" i="43"/>
  <c r="U257" i="43" s="1"/>
  <c r="BK269" i="24"/>
  <c r="EI269" i="43" s="1"/>
  <c r="EJ269" i="43" s="1"/>
  <c r="Y268" i="24" s="1"/>
  <c r="BK232" i="24"/>
  <c r="EI232" i="43" s="1"/>
  <c r="EJ232" i="43" s="1"/>
  <c r="Y231" i="24" s="1"/>
  <c r="CF360" i="43"/>
  <c r="BL360" i="43"/>
  <c r="ED238" i="43"/>
  <c r="U238" i="43" s="1"/>
  <c r="CZ238" i="43"/>
  <c r="Z181" i="24"/>
  <c r="CV291" i="43"/>
  <c r="CA291" i="43"/>
  <c r="BJ291" i="43"/>
  <c r="BF291" i="43"/>
  <c r="CX291" i="43"/>
  <c r="CT291" i="43"/>
  <c r="CC291" i="43"/>
  <c r="BH291" i="43"/>
  <c r="AQ291" i="43"/>
  <c r="BY291" i="43"/>
  <c r="CX258" i="43"/>
  <c r="CT258" i="43"/>
  <c r="CC258" i="43"/>
  <c r="BH258" i="43"/>
  <c r="F14" i="30" s="1"/>
  <c r="AQ258" i="43"/>
  <c r="F10" i="30" s="1"/>
  <c r="CV258" i="43"/>
  <c r="BJ258" i="43"/>
  <c r="BF258" i="43"/>
  <c r="CA258" i="43"/>
  <c r="BY258" i="43"/>
  <c r="CF309" i="43"/>
  <c r="ED309" i="43"/>
  <c r="S309" i="43" s="1"/>
  <c r="CZ309" i="43"/>
  <c r="BL309" i="43"/>
  <c r="BL346" i="43"/>
  <c r="BK346" i="24"/>
  <c r="EI346" i="43" s="1"/>
  <c r="EJ346" i="43" s="1"/>
  <c r="Y345" i="24" s="1"/>
  <c r="CF356" i="43"/>
  <c r="ED356" i="43"/>
  <c r="BW356" i="24" s="1"/>
  <c r="CD356" i="24" s="1"/>
  <c r="CE356" i="24" s="1"/>
  <c r="CZ356" i="43"/>
  <c r="CX222" i="43"/>
  <c r="CT222" i="43"/>
  <c r="CC222" i="43"/>
  <c r="BH222" i="43"/>
  <c r="AQ222" i="43"/>
  <c r="BJ222" i="43"/>
  <c r="CA222" i="43"/>
  <c r="BF222" i="43"/>
  <c r="CV222" i="43"/>
  <c r="BY222" i="43"/>
  <c r="ED329" i="43"/>
  <c r="CZ329" i="43"/>
  <c r="BK52" i="24"/>
  <c r="EI52" i="43" s="1"/>
  <c r="EJ52" i="43" s="1"/>
  <c r="Y51" i="24" s="1"/>
  <c r="ED128" i="43"/>
  <c r="CZ128" i="43"/>
  <c r="CF366" i="43"/>
  <c r="BL366" i="43"/>
  <c r="BK366" i="24"/>
  <c r="EI366" i="43" s="1"/>
  <c r="EJ366" i="43" s="1"/>
  <c r="Y365" i="24" s="1"/>
  <c r="BL371" i="43"/>
  <c r="CF256" i="43"/>
  <c r="BL256" i="43"/>
  <c r="ED256" i="43"/>
  <c r="U256" i="43" s="1"/>
  <c r="CI48" i="43"/>
  <c r="CK48" i="43" s="1"/>
  <c r="CM48" i="43"/>
  <c r="CN48" i="43" s="1"/>
  <c r="Z373" i="24"/>
  <c r="G73" i="34"/>
  <c r="G69" i="34"/>
  <c r="G64" i="34"/>
  <c r="G58" i="34"/>
  <c r="G53" i="34"/>
  <c r="G48" i="34"/>
  <c r="G43" i="34"/>
  <c r="G38" i="34"/>
  <c r="G34" i="34"/>
  <c r="G30" i="34"/>
  <c r="G26" i="34"/>
  <c r="G16" i="34"/>
  <c r="G12" i="34"/>
  <c r="F7" i="34"/>
  <c r="F29" i="34" s="1"/>
  <c r="G6" i="34"/>
  <c r="G72" i="34"/>
  <c r="G68" i="34"/>
  <c r="G63" i="34"/>
  <c r="G57" i="34"/>
  <c r="G52" i="34"/>
  <c r="G46" i="34"/>
  <c r="G42" i="34"/>
  <c r="G37" i="34"/>
  <c r="G33" i="34"/>
  <c r="G25" i="34"/>
  <c r="G20" i="34"/>
  <c r="G15" i="34"/>
  <c r="G11" i="34"/>
  <c r="G74" i="34"/>
  <c r="G70" i="34"/>
  <c r="G65" i="34"/>
  <c r="G60" i="34"/>
  <c r="G54" i="34"/>
  <c r="G49" i="34"/>
  <c r="G44" i="34"/>
  <c r="G40" i="34"/>
  <c r="G35" i="34"/>
  <c r="G31" i="34"/>
  <c r="G27" i="34"/>
  <c r="G23" i="34"/>
  <c r="G18" i="34"/>
  <c r="G13" i="34"/>
  <c r="G71" i="34"/>
  <c r="G51" i="34"/>
  <c r="G32" i="34"/>
  <c r="G14" i="34"/>
  <c r="G66" i="34"/>
  <c r="G45" i="34"/>
  <c r="G28" i="34"/>
  <c r="G10" i="34"/>
  <c r="G61" i="34"/>
  <c r="G41" i="34"/>
  <c r="G24" i="34"/>
  <c r="G56" i="34"/>
  <c r="G36" i="34"/>
  <c r="G19" i="34"/>
  <c r="BL25" i="43"/>
  <c r="BN25" i="43"/>
  <c r="EB25" i="43"/>
  <c r="R25" i="43" s="1"/>
  <c r="BK25" i="24"/>
  <c r="EI25" i="43" s="1"/>
  <c r="EJ25" i="43" s="1"/>
  <c r="Y24" i="24" s="1"/>
  <c r="FP25" i="43"/>
  <c r="CF41" i="43"/>
  <c r="ED322" i="43"/>
  <c r="CF26" i="43"/>
  <c r="CX229" i="43"/>
  <c r="CT229" i="43"/>
  <c r="CC229" i="43"/>
  <c r="BH229" i="43"/>
  <c r="AQ229" i="43"/>
  <c r="BJ229" i="43"/>
  <c r="CA229" i="43"/>
  <c r="CV229" i="43"/>
  <c r="BF229" i="43"/>
  <c r="BY229" i="43"/>
  <c r="ED325" i="43"/>
  <c r="CZ325" i="43"/>
  <c r="CX262" i="43"/>
  <c r="CT262" i="43"/>
  <c r="CC262" i="43"/>
  <c r="BH262" i="43"/>
  <c r="AQ262" i="43"/>
  <c r="CA262" i="43"/>
  <c r="CV262" i="43"/>
  <c r="BJ262" i="43"/>
  <c r="BF262" i="43"/>
  <c r="BY262" i="43"/>
  <c r="CV297" i="43"/>
  <c r="CA297" i="43"/>
  <c r="BJ297" i="43"/>
  <c r="BF297" i="43"/>
  <c r="CX297" i="43"/>
  <c r="CT297" i="43"/>
  <c r="CC297" i="43"/>
  <c r="BH297" i="43"/>
  <c r="AQ297" i="43"/>
  <c r="BY297" i="43"/>
  <c r="BL341" i="43"/>
  <c r="BK341" i="24"/>
  <c r="EI341" i="43" s="1"/>
  <c r="EJ341" i="43" s="1"/>
  <c r="Y340" i="24" s="1"/>
  <c r="ED88" i="43"/>
  <c r="CZ88" i="43"/>
  <c r="CZ335" i="43"/>
  <c r="ED335" i="43"/>
  <c r="BW335" i="24" s="1"/>
  <c r="CD335" i="24" s="1"/>
  <c r="CE335" i="24" s="1"/>
  <c r="BK335" i="24"/>
  <c r="EI335" i="43" s="1"/>
  <c r="EJ335" i="43" s="1"/>
  <c r="Y334" i="24" s="1"/>
  <c r="BN38" i="43"/>
  <c r="EB38" i="43"/>
  <c r="R38" i="43" s="1"/>
  <c r="BL38" i="43"/>
  <c r="BK38" i="24"/>
  <c r="EI38" i="43" s="1"/>
  <c r="EJ38" i="43" s="1"/>
  <c r="Y37" i="24" s="1"/>
  <c r="Z177" i="24"/>
  <c r="CX226" i="43"/>
  <c r="CT226" i="43"/>
  <c r="CC226" i="43"/>
  <c r="BH226" i="43"/>
  <c r="AQ226" i="43"/>
  <c r="BJ226" i="43"/>
  <c r="CA226" i="43"/>
  <c r="BF226" i="43"/>
  <c r="CV226" i="43"/>
  <c r="BY226" i="43"/>
  <c r="BL305" i="43"/>
  <c r="ED305" i="43"/>
  <c r="S305" i="43" s="1"/>
  <c r="CZ305" i="43"/>
  <c r="Z318" i="24"/>
  <c r="BN22" i="43"/>
  <c r="EB22" i="43"/>
  <c r="R22" i="43" s="1"/>
  <c r="BL22" i="43"/>
  <c r="CF22" i="43"/>
  <c r="ED100" i="43"/>
  <c r="CZ100" i="43"/>
  <c r="CF100" i="43"/>
  <c r="CF112" i="43"/>
  <c r="BL202" i="43"/>
  <c r="BK202" i="24"/>
  <c r="EI202" i="43" s="1"/>
  <c r="EJ202" i="43" s="1"/>
  <c r="Y201" i="24" s="1"/>
  <c r="BL268" i="43"/>
  <c r="BK268" i="24"/>
  <c r="EI268" i="43" s="1"/>
  <c r="EJ268" i="43" s="1"/>
  <c r="Y267" i="24" s="1"/>
  <c r="BL261" i="43"/>
  <c r="ED261" i="43"/>
  <c r="U261" i="43" s="1"/>
  <c r="ED381" i="43"/>
  <c r="CZ381" i="43"/>
  <c r="CX239" i="43"/>
  <c r="CC239" i="43"/>
  <c r="BH239" i="43"/>
  <c r="AQ239" i="43"/>
  <c r="CT239" i="43"/>
  <c r="CA239" i="43"/>
  <c r="BJ239" i="43"/>
  <c r="BF239" i="43"/>
  <c r="CV239" i="43"/>
  <c r="BY239" i="43"/>
  <c r="Z378" i="24"/>
  <c r="CF313" i="43"/>
  <c r="BL313" i="43"/>
  <c r="HI349" i="43"/>
  <c r="GU349" i="43"/>
  <c r="GN349" i="43"/>
  <c r="HB349" i="43"/>
  <c r="Z314" i="24"/>
  <c r="CF212" i="43"/>
  <c r="BK212" i="24"/>
  <c r="EI212" i="43" s="1"/>
  <c r="EJ212" i="43" s="1"/>
  <c r="Y211" i="24" s="1"/>
  <c r="BL333" i="43"/>
  <c r="BK333" i="24"/>
  <c r="EI333" i="43" s="1"/>
  <c r="EJ333" i="43" s="1"/>
  <c r="Y332" i="24" s="1"/>
  <c r="CF337" i="43"/>
  <c r="CI28" i="43"/>
  <c r="CK28" i="43" s="1"/>
  <c r="CM28" i="43"/>
  <c r="BL342" i="43"/>
  <c r="BK342" i="24"/>
  <c r="EI342" i="43" s="1"/>
  <c r="EJ342" i="43" s="1"/>
  <c r="Y341" i="24" s="1"/>
  <c r="Z185" i="24"/>
  <c r="CF354" i="43"/>
  <c r="DN134" i="43"/>
  <c r="DO134" i="43" s="1"/>
  <c r="AQ275" i="43"/>
  <c r="CX275" i="43"/>
  <c r="CT275" i="43"/>
  <c r="CC275" i="43"/>
  <c r="BH275" i="43"/>
  <c r="CV275" i="43"/>
  <c r="CA275" i="43"/>
  <c r="BJ275" i="43"/>
  <c r="BF275" i="43"/>
  <c r="BY275" i="43"/>
  <c r="BL228" i="43"/>
  <c r="BK274" i="24"/>
  <c r="EI274" i="43" s="1"/>
  <c r="EJ274" i="43" s="1"/>
  <c r="Y273" i="24" s="1"/>
  <c r="BK318" i="24"/>
  <c r="EI318" i="43" s="1"/>
  <c r="EJ318" i="43" s="1"/>
  <c r="Y317" i="24" s="1"/>
  <c r="CX241" i="43"/>
  <c r="CC241" i="43"/>
  <c r="BH241" i="43"/>
  <c r="AQ241" i="43"/>
  <c r="CT241" i="43"/>
  <c r="BF241" i="43"/>
  <c r="CV241" i="43"/>
  <c r="CA241" i="43"/>
  <c r="BJ241" i="43"/>
  <c r="BY241" i="43"/>
  <c r="BK358" i="24"/>
  <c r="EI358" i="43" s="1"/>
  <c r="EJ358" i="43" s="1"/>
  <c r="Y357" i="24" s="1"/>
  <c r="CF73" i="43"/>
  <c r="BL73" i="43"/>
  <c r="CF264" i="43"/>
  <c r="ED264" i="43"/>
  <c r="U264" i="43" s="1"/>
  <c r="Z169" i="24"/>
  <c r="Z175" i="24"/>
  <c r="CM188" i="43"/>
  <c r="AU48" i="43"/>
  <c r="R48" i="43"/>
  <c r="CF220" i="43"/>
  <c r="ED220" i="43"/>
  <c r="U220" i="43" s="1"/>
  <c r="CZ220" i="43"/>
  <c r="AQ276" i="43"/>
  <c r="CX276" i="43"/>
  <c r="CT276" i="43"/>
  <c r="CC276" i="43"/>
  <c r="BH276" i="43"/>
  <c r="CV276" i="43"/>
  <c r="CA276" i="43"/>
  <c r="BJ276" i="43"/>
  <c r="BF276" i="43"/>
  <c r="BY276" i="43"/>
  <c r="ED13" i="43"/>
  <c r="BW13" i="24" s="1"/>
  <c r="CD13" i="24" s="1"/>
  <c r="CE13" i="24" s="1"/>
  <c r="CZ13" i="43"/>
  <c r="BL13" i="43"/>
  <c r="D10" i="30"/>
  <c r="BK13" i="24"/>
  <c r="EI13" i="43" s="1"/>
  <c r="EJ13" i="43" s="1"/>
  <c r="Y12" i="24" s="1"/>
  <c r="BL45" i="43"/>
  <c r="BN45" i="43"/>
  <c r="EB45" i="43"/>
  <c r="R45" i="43" s="1"/>
  <c r="BK45" i="24"/>
  <c r="EI45" i="43" s="1"/>
  <c r="EJ45" i="43" s="1"/>
  <c r="Y44" i="24" s="1"/>
  <c r="FP45" i="43"/>
  <c r="CV289" i="43"/>
  <c r="CA289" i="43"/>
  <c r="BJ289" i="43"/>
  <c r="BF289" i="43"/>
  <c r="CX289" i="43"/>
  <c r="CT289" i="43"/>
  <c r="CC289" i="43"/>
  <c r="BH289" i="43"/>
  <c r="AQ289" i="43"/>
  <c r="BY289" i="43"/>
  <c r="ED187" i="43"/>
  <c r="CZ187" i="43"/>
  <c r="BL187" i="43"/>
  <c r="BK187" i="24"/>
  <c r="EI187" i="43" s="1"/>
  <c r="EJ187" i="43" s="1"/>
  <c r="Y186" i="24" s="1"/>
  <c r="DB33" i="43"/>
  <c r="ED33" i="43"/>
  <c r="BW33" i="24" s="1"/>
  <c r="CD33" i="24" s="1"/>
  <c r="CE33" i="24" s="1"/>
  <c r="CZ33" i="43"/>
  <c r="ED145" i="43"/>
  <c r="CZ145" i="43"/>
  <c r="BL314" i="43"/>
  <c r="ED314" i="43"/>
  <c r="S314" i="43" s="1"/>
  <c r="CZ314" i="43"/>
  <c r="BK224" i="24"/>
  <c r="EI224" i="43" s="1"/>
  <c r="EJ224" i="43" s="1"/>
  <c r="Y223" i="24" s="1"/>
  <c r="H96" i="35"/>
  <c r="H84" i="35"/>
  <c r="H80" i="35"/>
  <c r="H68" i="35"/>
  <c r="H56" i="35"/>
  <c r="H52" i="35"/>
  <c r="H47" i="35"/>
  <c r="H43" i="35"/>
  <c r="H38" i="35"/>
  <c r="H30" i="35"/>
  <c r="H17" i="35"/>
  <c r="H13" i="35"/>
  <c r="H9" i="35"/>
  <c r="H107" i="35"/>
  <c r="H103" i="35"/>
  <c r="H95" i="35"/>
  <c r="H83" i="35"/>
  <c r="H75" i="35"/>
  <c r="H67" i="35"/>
  <c r="H55" i="35"/>
  <c r="H46" i="35"/>
  <c r="H42" i="35"/>
  <c r="H37" i="35"/>
  <c r="H29" i="35"/>
  <c r="H16" i="35"/>
  <c r="H12" i="35"/>
  <c r="H8" i="35"/>
  <c r="G4" i="35"/>
  <c r="H3" i="35"/>
  <c r="H97" i="35"/>
  <c r="H93" i="35"/>
  <c r="H89" i="35"/>
  <c r="H85" i="35"/>
  <c r="H81" i="35"/>
  <c r="H69" i="35"/>
  <c r="H65" i="35"/>
  <c r="H61" i="35"/>
  <c r="H57" i="35"/>
  <c r="H53" i="35"/>
  <c r="H48" i="35"/>
  <c r="H44" i="35"/>
  <c r="H31" i="35"/>
  <c r="H27" i="35"/>
  <c r="H23" i="35"/>
  <c r="H18" i="35"/>
  <c r="H14" i="35"/>
  <c r="H10" i="35"/>
  <c r="H6" i="35"/>
  <c r="H106" i="35"/>
  <c r="H90" i="35"/>
  <c r="H74" i="35"/>
  <c r="H7" i="35"/>
  <c r="H102" i="35"/>
  <c r="H70" i="35"/>
  <c r="H54" i="35"/>
  <c r="H19" i="35"/>
  <c r="H98" i="35"/>
  <c r="H82" i="35"/>
  <c r="H50" i="35"/>
  <c r="H32" i="35"/>
  <c r="H15" i="35"/>
  <c r="H78" i="35"/>
  <c r="H62" i="35"/>
  <c r="H45" i="35"/>
  <c r="H28" i="35"/>
  <c r="H11" i="35"/>
  <c r="ED324" i="43"/>
  <c r="CZ324" i="43"/>
  <c r="BK323" i="24"/>
  <c r="EI323" i="43" s="1"/>
  <c r="EJ323" i="43" s="1"/>
  <c r="Y322" i="24" s="1"/>
  <c r="BK50" i="24"/>
  <c r="EI50" i="43" s="1"/>
  <c r="EJ50" i="43" s="1"/>
  <c r="Y49" i="24" s="1"/>
  <c r="DN130" i="43"/>
  <c r="DO130" i="43" s="1"/>
  <c r="AQ149" i="43"/>
  <c r="BF149" i="43"/>
  <c r="BJ149" i="43"/>
  <c r="CC149" i="43"/>
  <c r="BY149" i="43"/>
  <c r="CA149" i="43"/>
  <c r="CX149" i="43"/>
  <c r="BH149" i="43"/>
  <c r="CT149" i="43"/>
  <c r="CV149" i="43"/>
  <c r="ED197" i="43"/>
  <c r="U197" i="43" s="1"/>
  <c r="CZ197" i="43"/>
  <c r="BL272" i="43"/>
  <c r="BK272" i="24"/>
  <c r="EI272" i="43" s="1"/>
  <c r="EJ272" i="43" s="1"/>
  <c r="Y271" i="24" s="1"/>
  <c r="CX273" i="43"/>
  <c r="CT273" i="43"/>
  <c r="CC273" i="43"/>
  <c r="BH273" i="43"/>
  <c r="AQ273" i="43"/>
  <c r="BF273" i="43"/>
  <c r="CA273" i="43"/>
  <c r="BJ273" i="43"/>
  <c r="CV273" i="43"/>
  <c r="BY273" i="43"/>
  <c r="ED148" i="43"/>
  <c r="CZ148" i="43"/>
  <c r="CV279" i="43"/>
  <c r="CA279" i="43"/>
  <c r="BJ279" i="43"/>
  <c r="BF279" i="43"/>
  <c r="BH279" i="43"/>
  <c r="AQ279" i="43"/>
  <c r="CT279" i="43"/>
  <c r="CC279" i="43"/>
  <c r="CX279" i="43"/>
  <c r="BY279" i="43"/>
  <c r="DN114" i="43"/>
  <c r="DO114" i="43" s="1"/>
  <c r="BL316" i="43"/>
  <c r="BK362" i="24"/>
  <c r="EI362" i="43" s="1"/>
  <c r="EJ362" i="43" s="1"/>
  <c r="Y361" i="24" s="1"/>
  <c r="CT236" i="43"/>
  <c r="CX236" i="43"/>
  <c r="CC236" i="43"/>
  <c r="BH236" i="43"/>
  <c r="AQ236" i="43"/>
  <c r="BJ236" i="43"/>
  <c r="CA236" i="43"/>
  <c r="BF236" i="43"/>
  <c r="CV236" i="43"/>
  <c r="BY236" i="43"/>
  <c r="BK259" i="24"/>
  <c r="EI259" i="43" s="1"/>
  <c r="EJ259" i="43" s="1"/>
  <c r="Y258" i="24" s="1"/>
  <c r="BL347" i="43"/>
  <c r="BK347" i="24"/>
  <c r="EI347" i="43" s="1"/>
  <c r="EJ347" i="43" s="1"/>
  <c r="Y346" i="24" s="1"/>
  <c r="BK18" i="24"/>
  <c r="EI18" i="43" s="1"/>
  <c r="EJ18" i="43" s="1"/>
  <c r="Y17" i="24" s="1"/>
  <c r="ED58" i="43"/>
  <c r="CZ58" i="43"/>
  <c r="CF58" i="43"/>
  <c r="BL200" i="43"/>
  <c r="CX172" i="43"/>
  <c r="CT172" i="43"/>
  <c r="CC172" i="43"/>
  <c r="BH172" i="43"/>
  <c r="AQ172" i="43"/>
  <c r="BF172" i="43"/>
  <c r="CA172" i="43"/>
  <c r="BJ172" i="43"/>
  <c r="CV172" i="43"/>
  <c r="BY172" i="43"/>
  <c r="ED209" i="43"/>
  <c r="U209" i="43" s="1"/>
  <c r="CZ209" i="43"/>
  <c r="BH218" i="43"/>
  <c r="AQ218" i="43"/>
  <c r="CT218" i="43"/>
  <c r="CC218" i="43"/>
  <c r="CX218" i="43"/>
  <c r="BF218" i="43"/>
  <c r="CV218" i="43"/>
  <c r="BJ218" i="43"/>
  <c r="CA218" i="43"/>
  <c r="BY218" i="43"/>
  <c r="CV304" i="43"/>
  <c r="CA304" i="43"/>
  <c r="BJ304" i="43"/>
  <c r="BF304" i="43"/>
  <c r="CX304" i="43"/>
  <c r="CT304" i="43"/>
  <c r="CC304" i="43"/>
  <c r="BH304" i="43"/>
  <c r="AQ304" i="43"/>
  <c r="BY304" i="43"/>
  <c r="ED195" i="43"/>
  <c r="U195" i="43" s="1"/>
  <c r="CZ195" i="43"/>
  <c r="BK15" i="24"/>
  <c r="EI15" i="43" s="1"/>
  <c r="EJ15" i="43" s="1"/>
  <c r="Y14" i="24" s="1"/>
  <c r="FP15" i="43"/>
  <c r="BK177" i="24"/>
  <c r="EI177" i="43" s="1"/>
  <c r="EJ177" i="43" s="1"/>
  <c r="Y176" i="24" s="1"/>
  <c r="ED173" i="43"/>
  <c r="CZ173" i="43"/>
  <c r="BL12" i="43"/>
  <c r="BK12" i="24"/>
  <c r="EI12" i="43" s="1"/>
  <c r="EJ12" i="43" s="1"/>
  <c r="Y11" i="24" s="1"/>
  <c r="BL192" i="43"/>
  <c r="BK77" i="24"/>
  <c r="EI77" i="43" s="1"/>
  <c r="EJ77" i="43" s="1"/>
  <c r="Y76" i="24" s="1"/>
  <c r="ED165" i="43"/>
  <c r="K165" i="43" s="1"/>
  <c r="AI162" i="45" s="1"/>
  <c r="CZ165" i="43"/>
  <c r="ED54" i="43"/>
  <c r="BW54" i="24" s="1"/>
  <c r="CD54" i="24" s="1"/>
  <c r="CE54" i="24" s="1"/>
  <c r="CZ54" i="43"/>
  <c r="DB54" i="43"/>
  <c r="BK54" i="24"/>
  <c r="EI54" i="43" s="1"/>
  <c r="EJ54" i="43" s="1"/>
  <c r="Y53" i="24" s="1"/>
  <c r="BL144" i="43"/>
  <c r="BK144" i="24"/>
  <c r="EI144" i="43" s="1"/>
  <c r="EJ144" i="43" s="1"/>
  <c r="Y143" i="24" s="1"/>
  <c r="ED153" i="43"/>
  <c r="CZ153" i="43"/>
  <c r="BK153" i="24"/>
  <c r="EI153" i="43" s="1"/>
  <c r="EJ153" i="43" s="1"/>
  <c r="Y152" i="24" s="1"/>
  <c r="ED34" i="43"/>
  <c r="BW34" i="24" s="1"/>
  <c r="CD34" i="24" s="1"/>
  <c r="CE34" i="24" s="1"/>
  <c r="CZ34" i="43"/>
  <c r="DB34" i="43"/>
  <c r="BK185" i="24"/>
  <c r="EI185" i="43" s="1"/>
  <c r="EJ185" i="43" s="1"/>
  <c r="Y184" i="24" s="1"/>
  <c r="BN35" i="43"/>
  <c r="EB35" i="43"/>
  <c r="R35" i="43" s="1"/>
  <c r="BL35" i="43"/>
  <c r="BK19" i="24"/>
  <c r="EI19" i="43" s="1"/>
  <c r="EJ19" i="43" s="1"/>
  <c r="Y18" i="24" s="1"/>
  <c r="FP19" i="43"/>
  <c r="CF95" i="43"/>
  <c r="EB16" i="43"/>
  <c r="R16" i="43" s="1"/>
  <c r="BL16" i="43"/>
  <c r="BN16" i="43"/>
  <c r="G10" i="30"/>
  <c r="BK16" i="24"/>
  <c r="EI16" i="43" s="1"/>
  <c r="EJ16" i="43" s="1"/>
  <c r="Y15" i="24" s="1"/>
  <c r="FP16" i="43"/>
  <c r="ED171" i="43"/>
  <c r="CZ171" i="43"/>
  <c r="BL171" i="43"/>
  <c r="BK171" i="24"/>
  <c r="EI171" i="43" s="1"/>
  <c r="EJ171" i="43" s="1"/>
  <c r="Y170" i="24" s="1"/>
  <c r="ED189" i="43"/>
  <c r="CZ189" i="43"/>
  <c r="BL191" i="43"/>
  <c r="BK191" i="24"/>
  <c r="EI191" i="43" s="1"/>
  <c r="EJ191" i="43" s="1"/>
  <c r="Y190" i="24" s="1"/>
  <c r="ED168" i="43"/>
  <c r="CZ168" i="43"/>
  <c r="ED42" i="43"/>
  <c r="BW42" i="24" s="1"/>
  <c r="CD42" i="24" s="1"/>
  <c r="CE42" i="24" s="1"/>
  <c r="CZ42" i="43"/>
  <c r="DB42" i="43"/>
  <c r="BK42" i="24"/>
  <c r="EI42" i="43" s="1"/>
  <c r="EJ42" i="43" s="1"/>
  <c r="Y41" i="24" s="1"/>
  <c r="ED106" i="43"/>
  <c r="CZ106" i="43"/>
  <c r="ED181" i="43"/>
  <c r="CZ181" i="43"/>
  <c r="BL37" i="43"/>
  <c r="BN37" i="43"/>
  <c r="EB37" i="43"/>
  <c r="R37" i="43" s="1"/>
  <c r="BK37" i="24"/>
  <c r="EI37" i="43" s="1"/>
  <c r="EJ37" i="43" s="1"/>
  <c r="Y36" i="24" s="1"/>
  <c r="ED14" i="43"/>
  <c r="BW14" i="24" s="1"/>
  <c r="CD14" i="24" s="1"/>
  <c r="CE14" i="24" s="1"/>
  <c r="CZ14" i="43"/>
  <c r="DB14" i="43"/>
  <c r="BL61" i="43"/>
  <c r="BK61" i="24"/>
  <c r="EI61" i="43" s="1"/>
  <c r="EJ61" i="43" s="1"/>
  <c r="Y60" i="24" s="1"/>
  <c r="ED124" i="43"/>
  <c r="CZ124" i="43"/>
  <c r="BL99" i="43"/>
  <c r="BK99" i="24"/>
  <c r="EI99" i="43" s="1"/>
  <c r="EJ99" i="43" s="1"/>
  <c r="Y98" i="24" s="1"/>
  <c r="ED169" i="43"/>
  <c r="CZ169" i="43"/>
  <c r="BK30" i="24"/>
  <c r="EI30" i="43" s="1"/>
  <c r="EJ30" i="43" s="1"/>
  <c r="Y29" i="24" s="1"/>
  <c r="FP30" i="43"/>
  <c r="ED161" i="43"/>
  <c r="K161" i="43" s="1"/>
  <c r="AI158" i="45" s="1"/>
  <c r="CZ161" i="43"/>
  <c r="BK11" i="24"/>
  <c r="FP11" i="43"/>
  <c r="BL369" i="43"/>
  <c r="AQ105" i="43"/>
  <c r="BY105" i="43"/>
  <c r="BH105" i="43"/>
  <c r="CC105" i="43"/>
  <c r="CT105" i="43"/>
  <c r="CV105" i="43"/>
  <c r="CA105" i="43"/>
  <c r="BF105" i="43"/>
  <c r="CX105" i="43"/>
  <c r="BJ105" i="43"/>
  <c r="BK309" i="24"/>
  <c r="EI309" i="43" s="1"/>
  <c r="EJ309" i="43" s="1"/>
  <c r="Y308" i="24" s="1"/>
  <c r="BL249" i="43"/>
  <c r="ED249" i="43"/>
  <c r="U249" i="43" s="1"/>
  <c r="CZ249" i="43"/>
  <c r="CX221" i="43"/>
  <c r="CT221" i="43"/>
  <c r="CC221" i="43"/>
  <c r="BH221" i="43"/>
  <c r="AQ221" i="43"/>
  <c r="CV221" i="43"/>
  <c r="BF221" i="43"/>
  <c r="BJ221" i="43"/>
  <c r="CA221" i="43"/>
  <c r="BY221" i="43"/>
  <c r="BK356" i="24"/>
  <c r="EI356" i="43" s="1"/>
  <c r="EJ356" i="43" s="1"/>
  <c r="Y355" i="24" s="1"/>
  <c r="BL310" i="43"/>
  <c r="ED310" i="43"/>
  <c r="S310" i="43" s="1"/>
  <c r="CZ310" i="43"/>
  <c r="BL329" i="43"/>
  <c r="AQ135" i="43"/>
  <c r="BJ135" i="43"/>
  <c r="CV135" i="43"/>
  <c r="CX135" i="43"/>
  <c r="CA135" i="43"/>
  <c r="BF135" i="43"/>
  <c r="BY135" i="43"/>
  <c r="BH135" i="43"/>
  <c r="CC135" i="43"/>
  <c r="CT135" i="43"/>
  <c r="CX231" i="43"/>
  <c r="CT231" i="43"/>
  <c r="CC231" i="43"/>
  <c r="BH231" i="43"/>
  <c r="AQ231" i="43"/>
  <c r="BJ231" i="43"/>
  <c r="CA231" i="43"/>
  <c r="CV231" i="43"/>
  <c r="BF231" i="43"/>
  <c r="BY231" i="43"/>
  <c r="CT326" i="43"/>
  <c r="CX326" i="43"/>
  <c r="CC326" i="43"/>
  <c r="BH326" i="43"/>
  <c r="AQ326" i="43"/>
  <c r="CV326" i="43"/>
  <c r="CA326" i="43"/>
  <c r="BF326" i="43"/>
  <c r="BJ326" i="43"/>
  <c r="BY326" i="43"/>
  <c r="DB52" i="43"/>
  <c r="ED52" i="43"/>
  <c r="BW52" i="24" s="1"/>
  <c r="CD52" i="24" s="1"/>
  <c r="CE52" i="24" s="1"/>
  <c r="CZ52" i="43"/>
  <c r="CF128" i="43"/>
  <c r="BK256" i="24"/>
  <c r="EI256" i="43" s="1"/>
  <c r="EJ256" i="43" s="1"/>
  <c r="Y255" i="24" s="1"/>
  <c r="AQ154" i="43"/>
  <c r="CT154" i="43"/>
  <c r="BH154" i="43"/>
  <c r="CX154" i="43"/>
  <c r="CC154" i="43"/>
  <c r="BY154" i="43"/>
  <c r="CV154" i="43"/>
  <c r="BJ154" i="43"/>
  <c r="BF154" i="43"/>
  <c r="CA154" i="43"/>
  <c r="CF351" i="43"/>
  <c r="BL351" i="43"/>
  <c r="BK351" i="24"/>
  <c r="EI351" i="43" s="1"/>
  <c r="EJ351" i="43" s="1"/>
  <c r="Y350" i="24" s="1"/>
  <c r="CF96" i="43"/>
  <c r="ED96" i="43"/>
  <c r="CZ96" i="43"/>
  <c r="ED270" i="43"/>
  <c r="U270" i="43" s="1"/>
  <c r="DB25" i="43"/>
  <c r="ED25" i="43"/>
  <c r="BW25" i="24" s="1"/>
  <c r="CD25" i="24" s="1"/>
  <c r="CE25" i="24" s="1"/>
  <c r="CZ25" i="43"/>
  <c r="DN126" i="43"/>
  <c r="DO126" i="43" s="1"/>
  <c r="BK322" i="24"/>
  <c r="EI322" i="43" s="1"/>
  <c r="EJ322" i="43" s="1"/>
  <c r="Y321" i="24" s="1"/>
  <c r="BK26" i="24"/>
  <c r="EI26" i="43" s="1"/>
  <c r="EJ26" i="43" s="1"/>
  <c r="Y25" i="24" s="1"/>
  <c r="FP26" i="43"/>
  <c r="ED194" i="43"/>
  <c r="U194" i="43" s="1"/>
  <c r="CZ194" i="43"/>
  <c r="DD194" i="43" s="1"/>
  <c r="ED348" i="43"/>
  <c r="BW348" i="24" s="1"/>
  <c r="CD348" i="24" s="1"/>
  <c r="CE348" i="24" s="1"/>
  <c r="CZ348" i="43"/>
  <c r="AQ139" i="43"/>
  <c r="BJ139" i="43"/>
  <c r="CV139" i="43"/>
  <c r="BF139" i="43"/>
  <c r="BH139" i="43"/>
  <c r="CA139" i="43"/>
  <c r="CT139" i="43"/>
  <c r="BY139" i="43"/>
  <c r="CC139" i="43"/>
  <c r="CX139" i="43"/>
  <c r="DJ24" i="43"/>
  <c r="AA23" i="24" s="1"/>
  <c r="BR24" i="43"/>
  <c r="AQ70" i="43"/>
  <c r="CA70" i="43"/>
  <c r="CC70" i="43"/>
  <c r="CX70" i="43"/>
  <c r="CV70" i="43"/>
  <c r="BH70" i="43"/>
  <c r="BY70" i="43"/>
  <c r="BF70" i="43"/>
  <c r="CT70" i="43"/>
  <c r="BJ70" i="43"/>
  <c r="BK325" i="24"/>
  <c r="EI325" i="43" s="1"/>
  <c r="EJ325" i="43" s="1"/>
  <c r="Y324" i="24" s="1"/>
  <c r="HB366" i="43"/>
  <c r="GN366" i="43"/>
  <c r="HI366" i="43"/>
  <c r="GU366" i="43"/>
  <c r="CT330" i="43"/>
  <c r="CX330" i="43"/>
  <c r="CC330" i="43"/>
  <c r="BH330" i="43"/>
  <c r="AQ330" i="43"/>
  <c r="BJ330" i="43"/>
  <c r="BF330" i="43"/>
  <c r="CV330" i="43"/>
  <c r="CA330" i="43"/>
  <c r="BY330" i="43"/>
  <c r="BL190" i="43"/>
  <c r="ED190" i="43"/>
  <c r="CZ190" i="43"/>
  <c r="CV283" i="43"/>
  <c r="CA283" i="43"/>
  <c r="BJ283" i="43"/>
  <c r="BF283" i="43"/>
  <c r="CX283" i="43"/>
  <c r="CT283" i="43"/>
  <c r="CC283" i="43"/>
  <c r="BH283" i="43"/>
  <c r="AQ283" i="43"/>
  <c r="BY283" i="43"/>
  <c r="ED247" i="43"/>
  <c r="U247" i="43" s="1"/>
  <c r="CZ247" i="43"/>
  <c r="BL56" i="43"/>
  <c r="BN56" i="43"/>
  <c r="EB56" i="43"/>
  <c r="R56" i="43" s="1"/>
  <c r="BK22" i="24"/>
  <c r="EI22" i="43" s="1"/>
  <c r="EJ22" i="43" s="1"/>
  <c r="Y21" i="24" s="1"/>
  <c r="FP22" i="43"/>
  <c r="BL100" i="43"/>
  <c r="BK100" i="24"/>
  <c r="EI100" i="43" s="1"/>
  <c r="EJ100" i="43" s="1"/>
  <c r="Y99" i="24" s="1"/>
  <c r="AQ127" i="43"/>
  <c r="BH127" i="43"/>
  <c r="CC127" i="43"/>
  <c r="CT127" i="43"/>
  <c r="BJ127" i="43"/>
  <c r="CV127" i="43"/>
  <c r="CX127" i="43"/>
  <c r="BF127" i="43"/>
  <c r="CA127" i="43"/>
  <c r="BY127" i="43"/>
  <c r="CX219" i="43"/>
  <c r="CT219" i="43"/>
  <c r="CC219" i="43"/>
  <c r="BH219" i="43"/>
  <c r="AQ219" i="43"/>
  <c r="BJ219" i="43"/>
  <c r="CA219" i="43"/>
  <c r="CV219" i="43"/>
  <c r="BF219" i="43"/>
  <c r="BY219" i="43"/>
  <c r="CX336" i="43"/>
  <c r="CT336" i="43"/>
  <c r="CC336" i="43"/>
  <c r="BH336" i="43"/>
  <c r="AQ336" i="43"/>
  <c r="CV336" i="43"/>
  <c r="BJ336" i="43"/>
  <c r="BF336" i="43"/>
  <c r="CA336" i="43"/>
  <c r="BY336" i="43"/>
  <c r="Z354" i="24"/>
  <c r="ED120" i="43"/>
  <c r="CZ120" i="43"/>
  <c r="BL112" i="43"/>
  <c r="BK112" i="24"/>
  <c r="EI112" i="43" s="1"/>
  <c r="EJ112" i="43" s="1"/>
  <c r="Y111" i="24" s="1"/>
  <c r="CX90" i="43"/>
  <c r="CT90" i="43"/>
  <c r="CC90" i="43"/>
  <c r="BH90" i="43"/>
  <c r="AQ90" i="43"/>
  <c r="BF90" i="43"/>
  <c r="BJ90" i="43"/>
  <c r="CA90" i="43"/>
  <c r="CV90" i="43"/>
  <c r="BY90" i="43"/>
  <c r="ED252" i="43"/>
  <c r="U252" i="43" s="1"/>
  <c r="CZ252" i="43"/>
  <c r="DJ36" i="43"/>
  <c r="AA35" i="24" s="1"/>
  <c r="BP36" i="43"/>
  <c r="BR36" i="43"/>
  <c r="Z166" i="24"/>
  <c r="BK261" i="24"/>
  <c r="EI261" i="43" s="1"/>
  <c r="EJ261" i="43" s="1"/>
  <c r="Y260" i="24" s="1"/>
  <c r="BL381" i="43"/>
  <c r="BK381" i="24"/>
  <c r="EI381" i="43" s="1"/>
  <c r="EJ381" i="43" s="1"/>
  <c r="Y380" i="24" s="1"/>
  <c r="FP381" i="43"/>
  <c r="ED364" i="43"/>
  <c r="BW364" i="24" s="1"/>
  <c r="CD364" i="24" s="1"/>
  <c r="CE364" i="24" s="1"/>
  <c r="CZ364" i="43"/>
  <c r="CX43" i="43"/>
  <c r="CT43" i="43"/>
  <c r="CC43" i="43"/>
  <c r="BH43" i="43"/>
  <c r="AQ43" i="43"/>
  <c r="BF43" i="43"/>
  <c r="CA43" i="43"/>
  <c r="CV43" i="43"/>
  <c r="BJ43" i="43"/>
  <c r="BY43" i="43"/>
  <c r="DN94" i="43"/>
  <c r="DO94" i="43" s="1"/>
  <c r="BL253" i="43"/>
  <c r="ED337" i="43"/>
  <c r="BW337" i="24" s="1"/>
  <c r="CD337" i="24" s="1"/>
  <c r="CE337" i="24" s="1"/>
  <c r="CZ337" i="43"/>
  <c r="BL337" i="43"/>
  <c r="BK337" i="24"/>
  <c r="EI337" i="43" s="1"/>
  <c r="EJ337" i="43" s="1"/>
  <c r="Y336" i="24" s="1"/>
  <c r="CM24" i="43"/>
  <c r="AQ72" i="43"/>
  <c r="CC72" i="43"/>
  <c r="CV72" i="43"/>
  <c r="CA72" i="43"/>
  <c r="BH72" i="43"/>
  <c r="CX72" i="43"/>
  <c r="BF72" i="43"/>
  <c r="BY72" i="43"/>
  <c r="CT72" i="43"/>
  <c r="BJ72" i="43"/>
  <c r="AQ109" i="43"/>
  <c r="BF109" i="43"/>
  <c r="BH109" i="43"/>
  <c r="BJ109" i="43"/>
  <c r="CA109" i="43"/>
  <c r="CC109" i="43"/>
  <c r="CT109" i="43"/>
  <c r="CV109" i="43"/>
  <c r="CX109" i="43"/>
  <c r="BY109" i="43"/>
  <c r="BL354" i="43"/>
  <c r="ED354" i="43"/>
  <c r="BW354" i="24" s="1"/>
  <c r="CD354" i="24" s="1"/>
  <c r="CE354" i="24" s="1"/>
  <c r="CZ354" i="43"/>
  <c r="CX266" i="43"/>
  <c r="CT266" i="43"/>
  <c r="CC266" i="43"/>
  <c r="BH266" i="43"/>
  <c r="AQ266" i="43"/>
  <c r="CA266" i="43"/>
  <c r="CV266" i="43"/>
  <c r="BJ266" i="43"/>
  <c r="BF266" i="43"/>
  <c r="BY266" i="43"/>
  <c r="BL265" i="43"/>
  <c r="ED265" i="43"/>
  <c r="U265" i="43" s="1"/>
  <c r="ED228" i="43"/>
  <c r="U228" i="43" s="1"/>
  <c r="CZ228" i="43"/>
  <c r="DF240" i="43"/>
  <c r="AQ64" i="43"/>
  <c r="BH64" i="43"/>
  <c r="CT64" i="43"/>
  <c r="BY64" i="43"/>
  <c r="BJ64" i="43"/>
  <c r="BF64" i="43"/>
  <c r="CA64" i="43"/>
  <c r="CC64" i="43"/>
  <c r="CV64" i="43"/>
  <c r="CX64" i="43"/>
  <c r="AQ119" i="43"/>
  <c r="CA119" i="43"/>
  <c r="BH119" i="43"/>
  <c r="BF119" i="43"/>
  <c r="BY119" i="43"/>
  <c r="CT119" i="43"/>
  <c r="CC119" i="43"/>
  <c r="BJ119" i="43"/>
  <c r="CV119" i="43"/>
  <c r="CX119" i="43"/>
  <c r="CX223" i="43"/>
  <c r="CT223" i="43"/>
  <c r="CC223" i="43"/>
  <c r="BH223" i="43"/>
  <c r="AQ223" i="43"/>
  <c r="BJ223" i="43"/>
  <c r="CA223" i="43"/>
  <c r="CV223" i="43"/>
  <c r="BF223" i="43"/>
  <c r="BY223" i="43"/>
  <c r="CX227" i="43"/>
  <c r="CT227" i="43"/>
  <c r="CC227" i="43"/>
  <c r="BH227" i="43"/>
  <c r="AQ227" i="43"/>
  <c r="CV227" i="43"/>
  <c r="BF227" i="43"/>
  <c r="BJ227" i="43"/>
  <c r="CA227" i="43"/>
  <c r="BY227" i="43"/>
  <c r="BK73" i="24"/>
  <c r="EI73" i="43" s="1"/>
  <c r="EJ73" i="43" s="1"/>
  <c r="Y72" i="24" s="1"/>
  <c r="BL248" i="43"/>
  <c r="BK264" i="24"/>
  <c r="EI264" i="43" s="1"/>
  <c r="EJ264" i="43" s="1"/>
  <c r="Y263" i="24" s="1"/>
  <c r="DD36" i="43"/>
  <c r="DF36" i="43"/>
  <c r="DD48" i="43"/>
  <c r="DF48" i="43"/>
  <c r="BL220" i="43"/>
  <c r="BK220" i="24"/>
  <c r="EI220" i="43" s="1"/>
  <c r="EJ220" i="43" s="1"/>
  <c r="Y219" i="24" s="1"/>
  <c r="DN79" i="43"/>
  <c r="DO79" i="43" s="1"/>
  <c r="HB360" i="43"/>
  <c r="GN360" i="43"/>
  <c r="HI360" i="43"/>
  <c r="GU360" i="43"/>
  <c r="DB29" i="43"/>
  <c r="ED29" i="43"/>
  <c r="BW29" i="24" s="1"/>
  <c r="CD29" i="24" s="1"/>
  <c r="CE29" i="24" s="1"/>
  <c r="CZ29" i="43"/>
  <c r="ED213" i="43"/>
  <c r="U213" i="43" s="1"/>
  <c r="CZ213" i="43"/>
  <c r="HB341" i="43"/>
  <c r="GN341" i="43"/>
  <c r="HI341" i="43"/>
  <c r="GU341" i="43"/>
  <c r="BL33" i="43"/>
  <c r="BN33" i="43"/>
  <c r="EB33" i="43"/>
  <c r="R33" i="43" s="1"/>
  <c r="BK33" i="24"/>
  <c r="EI33" i="43" s="1"/>
  <c r="EJ33" i="43" s="1"/>
  <c r="Y32" i="24" s="1"/>
  <c r="FP33" i="43"/>
  <c r="BK145" i="24"/>
  <c r="EI145" i="43" s="1"/>
  <c r="EJ145" i="43" s="1"/>
  <c r="Y144" i="24" s="1"/>
  <c r="BK314" i="24"/>
  <c r="EI314" i="43" s="1"/>
  <c r="EJ314" i="43" s="1"/>
  <c r="Y313" i="24" s="1"/>
  <c r="ED198" i="43"/>
  <c r="U198" i="43" s="1"/>
  <c r="CZ198" i="43"/>
  <c r="BK324" i="24"/>
  <c r="EI324" i="43" s="1"/>
  <c r="EJ324" i="43" s="1"/>
  <c r="Y323" i="24" s="1"/>
  <c r="DJ40" i="43"/>
  <c r="AA39" i="24" s="1"/>
  <c r="BP40" i="43"/>
  <c r="BR40" i="43"/>
  <c r="BK184" i="24"/>
  <c r="EI184" i="43" s="1"/>
  <c r="EJ184" i="43" s="1"/>
  <c r="Y183" i="24" s="1"/>
  <c r="BN50" i="43"/>
  <c r="EB50" i="43"/>
  <c r="R50" i="43" s="1"/>
  <c r="BL50" i="43"/>
  <c r="ED175" i="43"/>
  <c r="CZ175" i="43"/>
  <c r="CF148" i="43"/>
  <c r="BN46" i="43"/>
  <c r="EB46" i="43"/>
  <c r="R46" i="43" s="1"/>
  <c r="BL46" i="43"/>
  <c r="BK46" i="24"/>
  <c r="EI46" i="43" s="1"/>
  <c r="EJ46" i="43" s="1"/>
  <c r="Y45" i="24" s="1"/>
  <c r="FP46" i="43"/>
  <c r="ED316" i="43"/>
  <c r="S316" i="43" s="1"/>
  <c r="CZ316" i="43"/>
  <c r="BL259" i="43"/>
  <c r="CF267" i="43"/>
  <c r="ED267" i="43"/>
  <c r="U267" i="43" s="1"/>
  <c r="ED339" i="43"/>
  <c r="BW339" i="24" s="1"/>
  <c r="CD339" i="24" s="1"/>
  <c r="CE339" i="24" s="1"/>
  <c r="CZ339" i="43"/>
  <c r="CF347" i="43"/>
  <c r="CF18" i="43"/>
  <c r="BK58" i="24"/>
  <c r="EI58" i="43" s="1"/>
  <c r="EJ58" i="43" s="1"/>
  <c r="Y57" i="24" s="1"/>
  <c r="CF209" i="43"/>
  <c r="BK209" i="24"/>
  <c r="EI209" i="43" s="1"/>
  <c r="EJ209" i="43" s="1"/>
  <c r="Y208" i="24" s="1"/>
  <c r="BL125" i="43"/>
  <c r="BL195" i="43"/>
  <c r="BL173" i="43"/>
  <c r="CZ192" i="43"/>
  <c r="ED192" i="43"/>
  <c r="BL165" i="43"/>
  <c r="CF165" i="43"/>
  <c r="BN54" i="43"/>
  <c r="BL54" i="43"/>
  <c r="EB54" i="43"/>
  <c r="R54" i="43" s="1"/>
  <c r="ED201" i="43"/>
  <c r="U201" i="43" s="1"/>
  <c r="CZ201" i="43"/>
  <c r="CF27" i="43"/>
  <c r="BN27" i="43"/>
  <c r="EB27" i="43"/>
  <c r="R27" i="43" s="1"/>
  <c r="BL27" i="43"/>
  <c r="ED27" i="43"/>
  <c r="BW27" i="24" s="1"/>
  <c r="CD27" i="24" s="1"/>
  <c r="CE27" i="24" s="1"/>
  <c r="CZ27" i="43"/>
  <c r="DB27" i="43"/>
  <c r="CF153" i="43"/>
  <c r="CF34" i="43"/>
  <c r="CF185" i="43"/>
  <c r="CF35" i="43"/>
  <c r="ED35" i="43"/>
  <c r="BW35" i="24" s="1"/>
  <c r="CD35" i="24" s="1"/>
  <c r="CE35" i="24" s="1"/>
  <c r="CZ35" i="43"/>
  <c r="DB35" i="43"/>
  <c r="ED16" i="43"/>
  <c r="BW16" i="24" s="1"/>
  <c r="CD16" i="24" s="1"/>
  <c r="CE16" i="24" s="1"/>
  <c r="CZ16" i="43"/>
  <c r="ED84" i="43"/>
  <c r="CZ84" i="43"/>
  <c r="CF189" i="43"/>
  <c r="ED191" i="43"/>
  <c r="CZ191" i="43"/>
  <c r="ED20" i="43"/>
  <c r="BW20" i="24" s="1"/>
  <c r="CD20" i="24" s="1"/>
  <c r="CE20" i="24" s="1"/>
  <c r="CZ20" i="43"/>
  <c r="CF106" i="43"/>
  <c r="BK106" i="24"/>
  <c r="EI106" i="43" s="1"/>
  <c r="EJ106" i="43" s="1"/>
  <c r="Y105" i="24" s="1"/>
  <c r="CF14" i="43"/>
  <c r="CF124" i="43"/>
  <c r="CF99" i="43"/>
  <c r="BL169" i="43"/>
  <c r="CF30" i="43"/>
  <c r="BL161" i="43"/>
  <c r="BK161" i="24"/>
  <c r="EI161" i="43" s="1"/>
  <c r="EJ161" i="43" s="1"/>
  <c r="Y160" i="24" s="1"/>
  <c r="BN11" i="43"/>
  <c r="EB11" i="43"/>
  <c r="R11" i="43" s="1"/>
  <c r="BL11" i="43"/>
  <c r="CF91" i="43"/>
  <c r="CV299" i="43"/>
  <c r="CA299" i="43"/>
  <c r="BJ299" i="43"/>
  <c r="BF299" i="43"/>
  <c r="CX299" i="43"/>
  <c r="CT299" i="43"/>
  <c r="CC299" i="43"/>
  <c r="BH299" i="43"/>
  <c r="AQ299" i="43"/>
  <c r="BY299" i="43"/>
  <c r="Z182" i="24"/>
  <c r="BK257" i="24"/>
  <c r="EI257" i="43" s="1"/>
  <c r="EJ257" i="43" s="1"/>
  <c r="Y256" i="24" s="1"/>
  <c r="AQ159" i="43"/>
  <c r="CV159" i="43"/>
  <c r="CA159" i="43"/>
  <c r="BF159" i="43"/>
  <c r="BJ159" i="43"/>
  <c r="CC159" i="43"/>
  <c r="BH159" i="43"/>
  <c r="CX159" i="43"/>
  <c r="BY159" i="43"/>
  <c r="CT159" i="43"/>
  <c r="BL232" i="43"/>
  <c r="DJ28" i="43"/>
  <c r="AA27" i="24" s="1"/>
  <c r="BP28" i="43"/>
  <c r="BR28" i="43"/>
  <c r="DN71" i="43"/>
  <c r="DO71" i="43" s="1"/>
  <c r="BK238" i="24"/>
  <c r="EI238" i="43" s="1"/>
  <c r="EJ238" i="43" s="1"/>
  <c r="Y237" i="24" s="1"/>
  <c r="BL320" i="43"/>
  <c r="AQ55" i="43"/>
  <c r="CV55" i="43"/>
  <c r="CA55" i="43"/>
  <c r="BJ55" i="43"/>
  <c r="BF55" i="43"/>
  <c r="CX55" i="43"/>
  <c r="CT55" i="43"/>
  <c r="CC55" i="43"/>
  <c r="BH55" i="43"/>
  <c r="BY55" i="43"/>
  <c r="HI379" i="43"/>
  <c r="GU379" i="43"/>
  <c r="HB379" i="43"/>
  <c r="GN379" i="43"/>
  <c r="CF65" i="43"/>
  <c r="BL65" i="43"/>
  <c r="CF39" i="43"/>
  <c r="ED39" i="43"/>
  <c r="BW39" i="24" s="1"/>
  <c r="CD39" i="24" s="1"/>
  <c r="CE39" i="24" s="1"/>
  <c r="CZ39" i="43"/>
  <c r="DB39" i="43"/>
  <c r="CF369" i="43"/>
  <c r="ED369" i="43"/>
  <c r="BW369" i="24" s="1"/>
  <c r="CD369" i="24" s="1"/>
  <c r="CE369" i="24" s="1"/>
  <c r="CZ369" i="43"/>
  <c r="CF244" i="43"/>
  <c r="BL244" i="43"/>
  <c r="ED244" i="43"/>
  <c r="U244" i="43" s="1"/>
  <c r="CZ244" i="43"/>
  <c r="ED196" i="43"/>
  <c r="U196" i="43" s="1"/>
  <c r="CZ196" i="43"/>
  <c r="CF345" i="43"/>
  <c r="CF271" i="43"/>
  <c r="ED271" i="43"/>
  <c r="U271" i="43" s="1"/>
  <c r="BL116" i="43"/>
  <c r="BK116" i="24"/>
  <c r="EI116" i="43" s="1"/>
  <c r="EJ116" i="43" s="1"/>
  <c r="Y115" i="24" s="1"/>
  <c r="DN118" i="43"/>
  <c r="DO118" i="43" s="1"/>
  <c r="ED317" i="43"/>
  <c r="S317" i="43" s="1"/>
  <c r="CZ317" i="43"/>
  <c r="BL257" i="43"/>
  <c r="CF327" i="43"/>
  <c r="BL327" i="43"/>
  <c r="DN57" i="43"/>
  <c r="DO57" i="43" s="1"/>
  <c r="BL269" i="43"/>
  <c r="Z27" i="24"/>
  <c r="CF238" i="43"/>
  <c r="CF320" i="43"/>
  <c r="ED320" i="43"/>
  <c r="CZ320" i="43"/>
  <c r="DJ182" i="43"/>
  <c r="AA181" i="24" s="1"/>
  <c r="BR182" i="43"/>
  <c r="CV287" i="43"/>
  <c r="CA287" i="43"/>
  <c r="BJ287" i="43"/>
  <c r="BF287" i="43"/>
  <c r="CX287" i="43"/>
  <c r="CT287" i="43"/>
  <c r="CC287" i="43"/>
  <c r="BH287" i="43"/>
  <c r="AQ287" i="43"/>
  <c r="BY287" i="43"/>
  <c r="CX242" i="43"/>
  <c r="CT242" i="43"/>
  <c r="CC242" i="43"/>
  <c r="BH242" i="43"/>
  <c r="AQ242" i="43"/>
  <c r="CV242" i="43"/>
  <c r="BJ242" i="43"/>
  <c r="BF242" i="43"/>
  <c r="CA242" i="43"/>
  <c r="BY242" i="43"/>
  <c r="BK249" i="24"/>
  <c r="EI249" i="43" s="1"/>
  <c r="EJ249" i="43" s="1"/>
  <c r="Y248" i="24" s="1"/>
  <c r="CV301" i="43"/>
  <c r="CA301" i="43"/>
  <c r="BJ301" i="43"/>
  <c r="BF301" i="43"/>
  <c r="CX301" i="43"/>
  <c r="CT301" i="43"/>
  <c r="CC301" i="43"/>
  <c r="BH301" i="43"/>
  <c r="AQ301" i="43"/>
  <c r="BY301" i="43"/>
  <c r="DN75" i="43"/>
  <c r="DO75" i="43" s="1"/>
  <c r="DN158" i="43"/>
  <c r="DO158" i="43" s="1"/>
  <c r="BK310" i="24"/>
  <c r="EI310" i="43" s="1"/>
  <c r="EJ310" i="43" s="1"/>
  <c r="Y309" i="24" s="1"/>
  <c r="HI380" i="43"/>
  <c r="GU380" i="43"/>
  <c r="HB380" i="43"/>
  <c r="GN380" i="43"/>
  <c r="BK329" i="24"/>
  <c r="EI329" i="43" s="1"/>
  <c r="EJ329" i="43" s="1"/>
  <c r="Y328" i="24" s="1"/>
  <c r="BL128" i="43"/>
  <c r="BK128" i="24"/>
  <c r="EI128" i="43" s="1"/>
  <c r="EJ128" i="43" s="1"/>
  <c r="Y127" i="24" s="1"/>
  <c r="CV281" i="43"/>
  <c r="CA281" i="43"/>
  <c r="BJ281" i="43"/>
  <c r="BF281" i="43"/>
  <c r="CX281" i="43"/>
  <c r="CT281" i="43"/>
  <c r="CC281" i="43"/>
  <c r="BH281" i="43"/>
  <c r="AQ281" i="43"/>
  <c r="BY281" i="43"/>
  <c r="CF371" i="43"/>
  <c r="CZ371" i="43"/>
  <c r="ED371" i="43"/>
  <c r="BW371" i="24" s="1"/>
  <c r="CD371" i="24" s="1"/>
  <c r="CE371" i="24" s="1"/>
  <c r="ED351" i="43"/>
  <c r="BW351" i="24" s="1"/>
  <c r="CD351" i="24" s="1"/>
  <c r="CE351" i="24" s="1"/>
  <c r="CZ351" i="43"/>
  <c r="H21" i="34"/>
  <c r="DO205" i="43"/>
  <c r="BL96" i="43"/>
  <c r="BK96" i="24"/>
  <c r="EI96" i="43" s="1"/>
  <c r="EJ96" i="43" s="1"/>
  <c r="Y95" i="24" s="1"/>
  <c r="BL270" i="43"/>
  <c r="BK270" i="24"/>
  <c r="EI270" i="43" s="1"/>
  <c r="EJ270" i="43" s="1"/>
  <c r="Y269" i="24" s="1"/>
  <c r="CF25" i="43"/>
  <c r="DB41" i="43"/>
  <c r="ED41" i="43"/>
  <c r="BW41" i="24" s="1"/>
  <c r="CD41" i="24" s="1"/>
  <c r="CE41" i="24" s="1"/>
  <c r="CZ41" i="43"/>
  <c r="BL41" i="43"/>
  <c r="BN41" i="43"/>
  <c r="EB41" i="43"/>
  <c r="R41" i="43" s="1"/>
  <c r="BK41" i="24"/>
  <c r="EI41" i="43" s="1"/>
  <c r="EJ41" i="43" s="1"/>
  <c r="Y40" i="24" s="1"/>
  <c r="FP41" i="43"/>
  <c r="CV295" i="43"/>
  <c r="CA295" i="43"/>
  <c r="BJ295" i="43"/>
  <c r="BF295" i="43"/>
  <c r="CX295" i="43"/>
  <c r="CT295" i="43"/>
  <c r="CC295" i="43"/>
  <c r="BH295" i="43"/>
  <c r="AQ295" i="43"/>
  <c r="BY295" i="43"/>
  <c r="Z320" i="24"/>
  <c r="BL194" i="43"/>
  <c r="BP194" i="43" s="1"/>
  <c r="BK348" i="24"/>
  <c r="EI348" i="43" s="1"/>
  <c r="EJ348" i="43" s="1"/>
  <c r="Y347" i="24" s="1"/>
  <c r="Z23" i="24"/>
  <c r="BL325" i="43"/>
  <c r="DF186" i="43"/>
  <c r="DN150" i="43"/>
  <c r="DO150" i="43" s="1"/>
  <c r="BK190" i="24"/>
  <c r="EI190" i="43" s="1"/>
  <c r="EJ190" i="43" s="1"/>
  <c r="Y189" i="24" s="1"/>
  <c r="CX246" i="43"/>
  <c r="CT246" i="43"/>
  <c r="CC246" i="43"/>
  <c r="BH246" i="43"/>
  <c r="AQ246" i="43"/>
  <c r="CA246" i="43"/>
  <c r="CV246" i="43"/>
  <c r="BJ246" i="43"/>
  <c r="BF246" i="43"/>
  <c r="BY246" i="43"/>
  <c r="Z310" i="24"/>
  <c r="Z358" i="24"/>
  <c r="CF341" i="43"/>
  <c r="CF88" i="43"/>
  <c r="HI372" i="43"/>
  <c r="GU372" i="43"/>
  <c r="HB372" i="43"/>
  <c r="GN372" i="43"/>
  <c r="DN122" i="43"/>
  <c r="DO122" i="43" s="1"/>
  <c r="BL247" i="43"/>
  <c r="BK247" i="24"/>
  <c r="EI247" i="43" s="1"/>
  <c r="EJ247" i="43" s="1"/>
  <c r="Y246" i="24" s="1"/>
  <c r="BL335" i="43"/>
  <c r="BL343" i="43"/>
  <c r="BK343" i="24"/>
  <c r="EI343" i="43" s="1"/>
  <c r="EJ343" i="43" s="1"/>
  <c r="Y342" i="24" s="1"/>
  <c r="ED38" i="43"/>
  <c r="BW38" i="24" s="1"/>
  <c r="CD38" i="24" s="1"/>
  <c r="CE38" i="24" s="1"/>
  <c r="CZ38" i="43"/>
  <c r="DB38" i="43"/>
  <c r="BK56" i="24"/>
  <c r="EI56" i="43" s="1"/>
  <c r="EJ56" i="43" s="1"/>
  <c r="Y55" i="24" s="1"/>
  <c r="BK305" i="24"/>
  <c r="EI305" i="43" s="1"/>
  <c r="EJ305" i="43" s="1"/>
  <c r="Y304" i="24" s="1"/>
  <c r="CT332" i="43"/>
  <c r="CC332" i="43"/>
  <c r="CX332" i="43"/>
  <c r="BH332" i="43"/>
  <c r="AQ332" i="43"/>
  <c r="BJ332" i="43"/>
  <c r="BF332" i="43"/>
  <c r="CV332" i="43"/>
  <c r="CA332" i="43"/>
  <c r="BY332" i="43"/>
  <c r="CF87" i="43"/>
  <c r="CF120" i="43"/>
  <c r="BL207" i="43"/>
  <c r="ED207" i="43"/>
  <c r="U207" i="43" s="1"/>
  <c r="CZ207" i="43"/>
  <c r="BK207" i="24"/>
  <c r="EI207" i="43" s="1"/>
  <c r="EJ207" i="43" s="1"/>
  <c r="Y206" i="24" s="1"/>
  <c r="ED202" i="43"/>
  <c r="U202" i="43" s="1"/>
  <c r="CZ202" i="43"/>
  <c r="BL252" i="43"/>
  <c r="BK252" i="24"/>
  <c r="EI252" i="43" s="1"/>
  <c r="EJ252" i="43" s="1"/>
  <c r="Y251" i="24" s="1"/>
  <c r="Z35" i="24"/>
  <c r="AU36" i="43"/>
  <c r="BL364" i="43"/>
  <c r="BK364" i="24"/>
  <c r="EI364" i="43" s="1"/>
  <c r="EJ364" i="43" s="1"/>
  <c r="Y363" i="24" s="1"/>
  <c r="AQ66" i="43"/>
  <c r="CC66" i="43"/>
  <c r="CA66" i="43"/>
  <c r="CV66" i="43"/>
  <c r="CX66" i="43"/>
  <c r="BF66" i="43"/>
  <c r="BH66" i="43"/>
  <c r="BY66" i="43"/>
  <c r="BJ66" i="43"/>
  <c r="CT66" i="43"/>
  <c r="ED313" i="43"/>
  <c r="S313" i="43" s="1"/>
  <c r="CZ313" i="43"/>
  <c r="DN98" i="43"/>
  <c r="DO98" i="43" s="1"/>
  <c r="Z375" i="24"/>
  <c r="ED212" i="43"/>
  <c r="U212" i="43" s="1"/>
  <c r="CZ212" i="43"/>
  <c r="BL212" i="43"/>
  <c r="CF253" i="43"/>
  <c r="ED253" i="43"/>
  <c r="U253" i="43" s="1"/>
  <c r="CZ253" i="43"/>
  <c r="CF338" i="43"/>
  <c r="ED338" i="43"/>
  <c r="BW338" i="24" s="1"/>
  <c r="CD338" i="24" s="1"/>
  <c r="CE338" i="24" s="1"/>
  <c r="CZ338" i="43"/>
  <c r="DD40" i="43"/>
  <c r="DF40" i="43"/>
  <c r="DJ186" i="43"/>
  <c r="AA185" i="24" s="1"/>
  <c r="BR186" i="43"/>
  <c r="BK354" i="24"/>
  <c r="EI354" i="43" s="1"/>
  <c r="EJ354" i="43" s="1"/>
  <c r="Y353" i="24" s="1"/>
  <c r="BK265" i="24"/>
  <c r="EI265" i="43" s="1"/>
  <c r="EJ265" i="43" s="1"/>
  <c r="Y264" i="24" s="1"/>
  <c r="BK228" i="24"/>
  <c r="EI228" i="43" s="1"/>
  <c r="EJ228" i="43" s="1"/>
  <c r="Y227" i="24" s="1"/>
  <c r="AQ107" i="43"/>
  <c r="BJ107" i="43"/>
  <c r="CA107" i="43"/>
  <c r="CV107" i="43"/>
  <c r="BH107" i="43"/>
  <c r="BY107" i="43"/>
  <c r="CT107" i="43"/>
  <c r="BF107" i="43"/>
  <c r="CC107" i="43"/>
  <c r="CX107" i="43"/>
  <c r="ED274" i="43"/>
  <c r="U274" i="43" s="1"/>
  <c r="DN78" i="43"/>
  <c r="DO78" i="43" s="1"/>
  <c r="AQ151" i="43"/>
  <c r="BY151" i="43"/>
  <c r="CC151" i="43"/>
  <c r="BH151" i="43"/>
  <c r="BF151" i="43"/>
  <c r="CX151" i="43"/>
  <c r="CT151" i="43"/>
  <c r="BJ151" i="43"/>
  <c r="CV151" i="43"/>
  <c r="CA151" i="43"/>
  <c r="AQ214" i="43"/>
  <c r="CX214" i="43"/>
  <c r="CT214" i="43"/>
  <c r="CC214" i="43"/>
  <c r="CV214" i="43"/>
  <c r="BF214" i="43"/>
  <c r="BJ214" i="43"/>
  <c r="CA214" i="43"/>
  <c r="BH214" i="43"/>
  <c r="BY214" i="43"/>
  <c r="CF358" i="43"/>
  <c r="BL358" i="43"/>
  <c r="ED358" i="43"/>
  <c r="BW358" i="24" s="1"/>
  <c r="CD358" i="24" s="1"/>
  <c r="CE358" i="24" s="1"/>
  <c r="CZ358" i="43"/>
  <c r="CF233" i="43"/>
  <c r="BL233" i="43"/>
  <c r="ED233" i="43"/>
  <c r="U233" i="43" s="1"/>
  <c r="CZ233" i="43"/>
  <c r="CF248" i="43"/>
  <c r="ED248" i="43"/>
  <c r="U248" i="43" s="1"/>
  <c r="CZ248" i="43"/>
  <c r="CX225" i="43"/>
  <c r="CT225" i="43"/>
  <c r="CC225" i="43"/>
  <c r="BH225" i="43"/>
  <c r="AQ225" i="43"/>
  <c r="BJ225" i="43"/>
  <c r="CA225" i="43"/>
  <c r="CV225" i="43"/>
  <c r="BF225" i="43"/>
  <c r="BY225" i="43"/>
  <c r="BL29" i="43"/>
  <c r="BN29" i="43"/>
  <c r="EB29" i="43"/>
  <c r="R29" i="43" s="1"/>
  <c r="BK29" i="24"/>
  <c r="EI29" i="43" s="1"/>
  <c r="EJ29" i="43" s="1"/>
  <c r="Y28" i="24" s="1"/>
  <c r="FP29" i="43"/>
  <c r="DB45" i="43"/>
  <c r="ED45" i="43"/>
  <c r="BW45" i="24" s="1"/>
  <c r="CD45" i="24" s="1"/>
  <c r="CE45" i="24" s="1"/>
  <c r="CZ45" i="43"/>
  <c r="BK213" i="24"/>
  <c r="EI213" i="43" s="1"/>
  <c r="EJ213" i="43" s="1"/>
  <c r="Y212" i="24" s="1"/>
  <c r="CV285" i="43"/>
  <c r="CA285" i="43"/>
  <c r="BJ285" i="43"/>
  <c r="BF285" i="43"/>
  <c r="CX285" i="43"/>
  <c r="CT285" i="43"/>
  <c r="CC285" i="43"/>
  <c r="BH285" i="43"/>
  <c r="AQ285" i="43"/>
  <c r="BY285" i="43"/>
  <c r="CF33" i="43"/>
  <c r="DB49" i="43"/>
  <c r="ED49" i="43"/>
  <c r="BW49" i="24" s="1"/>
  <c r="CD49" i="24" s="1"/>
  <c r="CE49" i="24" s="1"/>
  <c r="CZ49" i="43"/>
  <c r="CF145" i="43"/>
  <c r="CF307" i="43"/>
  <c r="ED307" i="43"/>
  <c r="S307" i="43" s="1"/>
  <c r="CZ307" i="43"/>
  <c r="BL307" i="43"/>
  <c r="BL224" i="43"/>
  <c r="BL198" i="43"/>
  <c r="CF368" i="43"/>
  <c r="Z39" i="24"/>
  <c r="AU40" i="43"/>
  <c r="AH40" i="43" s="1"/>
  <c r="CV303" i="43"/>
  <c r="CA303" i="43"/>
  <c r="BJ303" i="43"/>
  <c r="BF303" i="43"/>
  <c r="CX303" i="43"/>
  <c r="CT303" i="43"/>
  <c r="CC303" i="43"/>
  <c r="BH303" i="43"/>
  <c r="AQ303" i="43"/>
  <c r="BY303" i="43"/>
  <c r="ED50" i="43"/>
  <c r="BW50" i="24" s="1"/>
  <c r="CD50" i="24" s="1"/>
  <c r="CE50" i="24" s="1"/>
  <c r="CZ50" i="43"/>
  <c r="DB50" i="43"/>
  <c r="CF175" i="43"/>
  <c r="CF197" i="43"/>
  <c r="BK197" i="24"/>
  <c r="EI197" i="43" s="1"/>
  <c r="EJ197" i="43" s="1"/>
  <c r="Y196" i="24" s="1"/>
  <c r="ED272" i="43"/>
  <c r="U272" i="43" s="1"/>
  <c r="CX254" i="43"/>
  <c r="CT254" i="43"/>
  <c r="CC254" i="43"/>
  <c r="BH254" i="43"/>
  <c r="AQ254" i="43"/>
  <c r="BJ254" i="43"/>
  <c r="BF254" i="43"/>
  <c r="CA254" i="43"/>
  <c r="CV254" i="43"/>
  <c r="BY254" i="43"/>
  <c r="BL148" i="43"/>
  <c r="BK148" i="24"/>
  <c r="EI148" i="43" s="1"/>
  <c r="EJ148" i="43" s="1"/>
  <c r="Y147" i="24" s="1"/>
  <c r="CV302" i="43"/>
  <c r="CA302" i="43"/>
  <c r="BJ302" i="43"/>
  <c r="BF302" i="43"/>
  <c r="CX302" i="43"/>
  <c r="CT302" i="43"/>
  <c r="CC302" i="43"/>
  <c r="BH302" i="43"/>
  <c r="AQ302" i="43"/>
  <c r="BY302" i="43"/>
  <c r="ED372" i="43"/>
  <c r="BW372" i="24" s="1"/>
  <c r="CD372" i="24" s="1"/>
  <c r="CE372" i="24" s="1"/>
  <c r="CZ372" i="43"/>
  <c r="DB44" i="43"/>
  <c r="ED44" i="43"/>
  <c r="BW44" i="24" s="1"/>
  <c r="CD44" i="24" s="1"/>
  <c r="CE44" i="24" s="1"/>
  <c r="CZ44" i="43"/>
  <c r="BK316" i="24"/>
  <c r="EI316" i="43" s="1"/>
  <c r="EJ316" i="43" s="1"/>
  <c r="Y315" i="24" s="1"/>
  <c r="ED362" i="43"/>
  <c r="BW362" i="24" s="1"/>
  <c r="CD362" i="24" s="1"/>
  <c r="CE362" i="24" s="1"/>
  <c r="CZ362" i="43"/>
  <c r="DN63" i="43"/>
  <c r="DO63" i="43" s="1"/>
  <c r="Z173" i="24"/>
  <c r="AQ76" i="43"/>
  <c r="BH76" i="43"/>
  <c r="BJ76" i="43"/>
  <c r="BF76" i="43"/>
  <c r="BY76" i="43"/>
  <c r="CA76" i="43"/>
  <c r="CX76" i="43"/>
  <c r="CC76" i="43"/>
  <c r="CT76" i="43"/>
  <c r="CV76" i="43"/>
  <c r="BL267" i="43"/>
  <c r="BK267" i="24"/>
  <c r="EI267" i="43" s="1"/>
  <c r="EJ267" i="43" s="1"/>
  <c r="Y266" i="24" s="1"/>
  <c r="BL339" i="43"/>
  <c r="BK339" i="24"/>
  <c r="EI339" i="43" s="1"/>
  <c r="EJ339" i="43" s="1"/>
  <c r="Y338" i="24" s="1"/>
  <c r="ED18" i="43"/>
  <c r="BW18" i="24" s="1"/>
  <c r="CD18" i="24" s="1"/>
  <c r="CE18" i="24" s="1"/>
  <c r="CZ18" i="43"/>
  <c r="Z163" i="24"/>
  <c r="BL209" i="43"/>
  <c r="CX234" i="43"/>
  <c r="CT234" i="43"/>
  <c r="CC234" i="43"/>
  <c r="BH234" i="43"/>
  <c r="AQ234" i="43"/>
  <c r="CA234" i="43"/>
  <c r="BF234" i="43"/>
  <c r="CV234" i="43"/>
  <c r="BJ234" i="43"/>
  <c r="BY234" i="43"/>
  <c r="ED125" i="43"/>
  <c r="CZ125" i="43"/>
  <c r="CF125" i="43"/>
  <c r="BK125" i="24"/>
  <c r="EI125" i="43" s="1"/>
  <c r="EJ125" i="43" s="1"/>
  <c r="Y124" i="24" s="1"/>
  <c r="BK195" i="24"/>
  <c r="EI195" i="43" s="1"/>
  <c r="EJ195" i="43" s="1"/>
  <c r="Y194" i="24" s="1"/>
  <c r="ED370" i="43"/>
  <c r="BW370" i="24" s="1"/>
  <c r="CD370" i="24" s="1"/>
  <c r="CE370" i="24" s="1"/>
  <c r="CZ370" i="43"/>
  <c r="BL370" i="43"/>
  <c r="BK370" i="24"/>
  <c r="EI370" i="43" s="1"/>
  <c r="EJ370" i="43" s="1"/>
  <c r="Y369" i="24" s="1"/>
  <c r="BL21" i="43"/>
  <c r="BN21" i="43"/>
  <c r="EB21" i="43"/>
  <c r="R21" i="43" s="1"/>
  <c r="BK21" i="24"/>
  <c r="EI21" i="43" s="1"/>
  <c r="EJ21" i="43" s="1"/>
  <c r="Y20" i="24" s="1"/>
  <c r="FP21" i="43"/>
  <c r="CF177" i="43"/>
  <c r="ED177" i="43"/>
  <c r="CZ177" i="43"/>
  <c r="BK173" i="24"/>
  <c r="EI173" i="43" s="1"/>
  <c r="EJ173" i="43" s="1"/>
  <c r="Y172" i="24" s="1"/>
  <c r="BL77" i="43"/>
  <c r="ED77" i="43"/>
  <c r="CZ77" i="43"/>
  <c r="BK165" i="24"/>
  <c r="EI165" i="43" s="1"/>
  <c r="EJ165" i="43" s="1"/>
  <c r="Y164" i="24" s="1"/>
  <c r="BK201" i="24"/>
  <c r="EI201" i="43" s="1"/>
  <c r="EJ201" i="43" s="1"/>
  <c r="Y200" i="24" s="1"/>
  <c r="BL201" i="43"/>
  <c r="ED144" i="43"/>
  <c r="CZ144" i="43"/>
  <c r="BK27" i="24"/>
  <c r="EI27" i="43" s="1"/>
  <c r="EJ27" i="43" s="1"/>
  <c r="Y26" i="24" s="1"/>
  <c r="FP27" i="43"/>
  <c r="BL153" i="43"/>
  <c r="BN34" i="43"/>
  <c r="EB34" i="43"/>
  <c r="R34" i="43" s="1"/>
  <c r="BL34" i="43"/>
  <c r="BK34" i="24"/>
  <c r="EI34" i="43" s="1"/>
  <c r="EJ34" i="43" s="1"/>
  <c r="Y33" i="24" s="1"/>
  <c r="FP34" i="43"/>
  <c r="BL185" i="43"/>
  <c r="ED185" i="43"/>
  <c r="CZ185" i="43"/>
  <c r="BK35" i="24"/>
  <c r="EI35" i="43" s="1"/>
  <c r="EJ35" i="43" s="1"/>
  <c r="Y34" i="24" s="1"/>
  <c r="FP35" i="43"/>
  <c r="EB19" i="43"/>
  <c r="R19" i="43" s="1"/>
  <c r="BL19" i="43"/>
  <c r="BP19" i="43" s="1"/>
  <c r="ED95" i="43"/>
  <c r="CZ95" i="43"/>
  <c r="BL95" i="43"/>
  <c r="BK95" i="24"/>
  <c r="EI95" i="43" s="1"/>
  <c r="EJ95" i="43" s="1"/>
  <c r="Y94" i="24" s="1"/>
  <c r="CF84" i="43"/>
  <c r="BL84" i="43"/>
  <c r="BK84" i="24"/>
  <c r="EI84" i="43" s="1"/>
  <c r="EJ84" i="43" s="1"/>
  <c r="Y83" i="24" s="1"/>
  <c r="BL189" i="43"/>
  <c r="BK189" i="24"/>
  <c r="EI189" i="43" s="1"/>
  <c r="EJ189" i="43" s="1"/>
  <c r="Y188" i="24" s="1"/>
  <c r="BK168" i="24"/>
  <c r="EI168" i="43" s="1"/>
  <c r="EJ168" i="43" s="1"/>
  <c r="Y167" i="24" s="1"/>
  <c r="BN42" i="43"/>
  <c r="EB42" i="43"/>
  <c r="R42" i="43" s="1"/>
  <c r="BL42" i="43"/>
  <c r="EB20" i="43"/>
  <c r="R20" i="43" s="1"/>
  <c r="BL20" i="43"/>
  <c r="BN20" i="43"/>
  <c r="BK20" i="24"/>
  <c r="EI20" i="43" s="1"/>
  <c r="EJ20" i="43" s="1"/>
  <c r="Y19" i="24" s="1"/>
  <c r="FP20" i="43"/>
  <c r="BL181" i="43"/>
  <c r="BK181" i="24"/>
  <c r="EI181" i="43" s="1"/>
  <c r="EJ181" i="43" s="1"/>
  <c r="Y180" i="24" s="1"/>
  <c r="E10" i="30"/>
  <c r="BK14" i="24"/>
  <c r="EI14" i="43" s="1"/>
  <c r="EJ14" i="43" s="1"/>
  <c r="Y13" i="24" s="1"/>
  <c r="FP14" i="43"/>
  <c r="ED61" i="43"/>
  <c r="CZ61" i="43"/>
  <c r="BL124" i="43"/>
  <c r="BK124" i="24"/>
  <c r="EI124" i="43" s="1"/>
  <c r="EJ124" i="43" s="1"/>
  <c r="Y123" i="24" s="1"/>
  <c r="BK169" i="24"/>
  <c r="EI169" i="43" s="1"/>
  <c r="EJ169" i="43" s="1"/>
  <c r="Y168" i="24" s="1"/>
  <c r="ED30" i="43"/>
  <c r="BW30" i="24" s="1"/>
  <c r="CD30" i="24" s="1"/>
  <c r="CE30" i="24" s="1"/>
  <c r="CZ30" i="43"/>
  <c r="DB30" i="43"/>
  <c r="CF161" i="43"/>
  <c r="CZ11" i="43"/>
  <c r="ED11" i="43"/>
  <c r="DB11" i="43"/>
  <c r="BL91" i="43"/>
  <c r="BK91" i="24"/>
  <c r="EI91" i="43" s="1"/>
  <c r="EJ91" i="43" s="1"/>
  <c r="Y90" i="24" s="1"/>
  <c r="DD322" i="43" l="1"/>
  <c r="CI323" i="43"/>
  <c r="CK323" i="43" s="1"/>
  <c r="CM323" i="43"/>
  <c r="CN323" i="43" s="1"/>
  <c r="DD323" i="43"/>
  <c r="CI322" i="43"/>
  <c r="CK322" i="43" s="1"/>
  <c r="CM322" i="43"/>
  <c r="CN322" i="43" s="1"/>
  <c r="BP323" i="43"/>
  <c r="BR323" i="43"/>
  <c r="BS323" i="43" s="1"/>
  <c r="BP322" i="43"/>
  <c r="BR322" i="43"/>
  <c r="BS322" i="43" s="1"/>
  <c r="C15" i="30"/>
  <c r="I15" i="30"/>
  <c r="C16" i="30"/>
  <c r="C14" i="30"/>
  <c r="CI194" i="43"/>
  <c r="CK194" i="43" s="1"/>
  <c r="F16" i="30"/>
  <c r="F15" i="30"/>
  <c r="CI183" i="43"/>
  <c r="CK183" i="43" s="1"/>
  <c r="AV183" i="43"/>
  <c r="DC183" i="43"/>
  <c r="CJ183" i="43"/>
  <c r="T183" i="43"/>
  <c r="BO183" i="43"/>
  <c r="CI182" i="43"/>
  <c r="CK182" i="43" s="1"/>
  <c r="AV182" i="43"/>
  <c r="CJ182" i="43"/>
  <c r="BO182" i="43"/>
  <c r="T182" i="43"/>
  <c r="DC182" i="43"/>
  <c r="CI186" i="43"/>
  <c r="CK186" i="43" s="1"/>
  <c r="DC186" i="43"/>
  <c r="AV186" i="43"/>
  <c r="BO186" i="43"/>
  <c r="CJ186" i="43"/>
  <c r="T186" i="43"/>
  <c r="BO188" i="43"/>
  <c r="CJ188" i="43"/>
  <c r="AV188" i="43"/>
  <c r="T188" i="43"/>
  <c r="DC188" i="43"/>
  <c r="T14" i="22"/>
  <c r="S14" i="22"/>
  <c r="K168" i="43"/>
  <c r="U168" i="43"/>
  <c r="AO11" i="43"/>
  <c r="DY11" i="43"/>
  <c r="DZ11" i="43" s="1"/>
  <c r="FP48" i="43"/>
  <c r="Q48" i="43"/>
  <c r="HT26" i="43"/>
  <c r="HU26" i="43" s="1"/>
  <c r="HV26" i="43" s="1"/>
  <c r="BA26" i="43" s="1"/>
  <c r="AZ26" i="43" s="1"/>
  <c r="V23" i="45" s="1"/>
  <c r="Q36" i="43"/>
  <c r="AB36" i="43" s="1"/>
  <c r="HT36" i="43" s="1"/>
  <c r="HU36" i="43" s="1"/>
  <c r="HV36" i="43" s="1"/>
  <c r="BA36" i="43" s="1"/>
  <c r="AZ36" i="43" s="1"/>
  <c r="V33" i="45" s="1"/>
  <c r="FP24" i="43"/>
  <c r="Q24" i="43"/>
  <c r="CL17" i="43"/>
  <c r="H27" i="30" s="1"/>
  <c r="CX377" i="43"/>
  <c r="AA351" i="45"/>
  <c r="AA353" i="45"/>
  <c r="AA354" i="45"/>
  <c r="AA352" i="45"/>
  <c r="AA355" i="45"/>
  <c r="BF377" i="43"/>
  <c r="CV377" i="43"/>
  <c r="CA377" i="43"/>
  <c r="BY377" i="43"/>
  <c r="CC377" i="43"/>
  <c r="AQ375" i="43"/>
  <c r="BK375" i="24" s="1"/>
  <c r="EI375" i="43" s="1"/>
  <c r="EJ375" i="43" s="1"/>
  <c r="Y374" i="24" s="1"/>
  <c r="Z374" i="24" s="1"/>
  <c r="BH375" i="43"/>
  <c r="CT378" i="43"/>
  <c r="BH378" i="43"/>
  <c r="CJ165" i="43"/>
  <c r="S165" i="43"/>
  <c r="BO161" i="43"/>
  <c r="S161" i="43"/>
  <c r="DB183" i="43"/>
  <c r="DD183" i="43" s="1"/>
  <c r="S183" i="43"/>
  <c r="BN183" i="43"/>
  <c r="BP183" i="43" s="1"/>
  <c r="EB183" i="43"/>
  <c r="R183" i="43" s="1"/>
  <c r="S182" i="43"/>
  <c r="BN182" i="43"/>
  <c r="BP182" i="43" s="1"/>
  <c r="DB182" i="43"/>
  <c r="DD182" i="43" s="1"/>
  <c r="EB182" i="43"/>
  <c r="AJ182" i="43" s="1"/>
  <c r="AK182" i="43" s="1"/>
  <c r="C179" i="45" s="1"/>
  <c r="S186" i="43"/>
  <c r="DB186" i="43"/>
  <c r="DD186" i="43" s="1"/>
  <c r="EB186" i="43"/>
  <c r="R186" i="43" s="1"/>
  <c r="BN186" i="43"/>
  <c r="BP186" i="43" s="1"/>
  <c r="CA378" i="43"/>
  <c r="CC378" i="43"/>
  <c r="BY378" i="43"/>
  <c r="CV378" i="43"/>
  <c r="CX365" i="43"/>
  <c r="BJ365" i="43"/>
  <c r="BF378" i="43"/>
  <c r="BJ378" i="43"/>
  <c r="AQ378" i="43"/>
  <c r="BK378" i="24" s="1"/>
  <c r="EI378" i="43" s="1"/>
  <c r="EJ378" i="43" s="1"/>
  <c r="Y377" i="24" s="1"/>
  <c r="Z377" i="24" s="1"/>
  <c r="CT377" i="43"/>
  <c r="BJ377" i="43"/>
  <c r="AQ377" i="43"/>
  <c r="BK377" i="24" s="1"/>
  <c r="EI377" i="43" s="1"/>
  <c r="EJ377" i="43" s="1"/>
  <c r="Y376" i="24" s="1"/>
  <c r="Z376" i="24" s="1"/>
  <c r="AQ373" i="43"/>
  <c r="BK373" i="24" s="1"/>
  <c r="EI373" i="43" s="1"/>
  <c r="EJ373" i="43" s="1"/>
  <c r="Y372" i="24" s="1"/>
  <c r="Z372" i="24" s="1"/>
  <c r="BY375" i="43"/>
  <c r="CV375" i="43"/>
  <c r="CC375" i="43"/>
  <c r="CA375" i="43"/>
  <c r="BJ375" i="43"/>
  <c r="BF375" i="43"/>
  <c r="CT375" i="43"/>
  <c r="BF373" i="43"/>
  <c r="CX373" i="43"/>
  <c r="CC373" i="43"/>
  <c r="CV373" i="43"/>
  <c r="CA373" i="43"/>
  <c r="BJ373" i="43"/>
  <c r="BY373" i="43"/>
  <c r="CT373" i="43"/>
  <c r="AQ365" i="43"/>
  <c r="BK365" i="24" s="1"/>
  <c r="EI365" i="43" s="1"/>
  <c r="EJ365" i="43" s="1"/>
  <c r="Y364" i="24" s="1"/>
  <c r="Z364" i="24" s="1"/>
  <c r="CT365" i="43"/>
  <c r="CC365" i="43"/>
  <c r="CA365" i="43"/>
  <c r="CV365" i="43"/>
  <c r="BY365" i="43"/>
  <c r="BF365" i="43"/>
  <c r="CV363" i="43"/>
  <c r="CA363" i="43"/>
  <c r="BF363" i="43"/>
  <c r="BY363" i="43"/>
  <c r="CC363" i="43"/>
  <c r="BJ363" i="43"/>
  <c r="CT363" i="43"/>
  <c r="BH363" i="43"/>
  <c r="AQ363" i="43"/>
  <c r="BK363" i="24" s="1"/>
  <c r="EI363" i="43" s="1"/>
  <c r="EJ363" i="43" s="1"/>
  <c r="Y362" i="24" s="1"/>
  <c r="Z362" i="24" s="1"/>
  <c r="BN165" i="43"/>
  <c r="BP165" i="43" s="1"/>
  <c r="BN161" i="43"/>
  <c r="BP161" i="43" s="1"/>
  <c r="DB161" i="43"/>
  <c r="DD161" i="43" s="1"/>
  <c r="DB165" i="43"/>
  <c r="DD165" i="43" s="1"/>
  <c r="BW61" i="24"/>
  <c r="CD61" i="24" s="1"/>
  <c r="CE61" i="24" s="1"/>
  <c r="K61" i="43"/>
  <c r="AI58" i="45" s="1"/>
  <c r="BW95" i="24"/>
  <c r="CD95" i="24" s="1"/>
  <c r="CE95" i="24" s="1"/>
  <c r="K95" i="43"/>
  <c r="AI92" i="45" s="1"/>
  <c r="BW96" i="24"/>
  <c r="CD96" i="24" s="1"/>
  <c r="CE96" i="24" s="1"/>
  <c r="K96" i="43"/>
  <c r="AI93" i="45" s="1"/>
  <c r="K177" i="43"/>
  <c r="U177" i="43"/>
  <c r="K248" i="43"/>
  <c r="AI245" i="45" s="1"/>
  <c r="K233" i="43"/>
  <c r="K202" i="43"/>
  <c r="K207" i="43"/>
  <c r="K201" i="43"/>
  <c r="AI198" i="45" s="1"/>
  <c r="K265" i="43"/>
  <c r="AI262" i="45" s="1"/>
  <c r="BW120" i="24"/>
  <c r="CD120" i="24" s="1"/>
  <c r="CE120" i="24" s="1"/>
  <c r="K120" i="43"/>
  <c r="AI117" i="45" s="1"/>
  <c r="K249" i="43"/>
  <c r="AI246" i="45" s="1"/>
  <c r="BW124" i="24"/>
  <c r="CD124" i="24" s="1"/>
  <c r="CE124" i="24" s="1"/>
  <c r="K124" i="43"/>
  <c r="AI121" i="45" s="1"/>
  <c r="BW153" i="24"/>
  <c r="CD153" i="24" s="1"/>
  <c r="CE153" i="24" s="1"/>
  <c r="K153" i="43"/>
  <c r="AI150" i="45" s="1"/>
  <c r="K173" i="43"/>
  <c r="AI170" i="45" s="1"/>
  <c r="U173" i="43"/>
  <c r="K264" i="43"/>
  <c r="K261" i="43"/>
  <c r="BW100" i="24"/>
  <c r="CD100" i="24" s="1"/>
  <c r="CE100" i="24" s="1"/>
  <c r="K100" i="43"/>
  <c r="AI97" i="45" s="1"/>
  <c r="K305" i="43"/>
  <c r="AI302" i="45" s="1"/>
  <c r="K238" i="43"/>
  <c r="K245" i="43"/>
  <c r="BW99" i="24"/>
  <c r="CD99" i="24" s="1"/>
  <c r="CE99" i="24" s="1"/>
  <c r="K99" i="43"/>
  <c r="AI96" i="45" s="1"/>
  <c r="BW87" i="24"/>
  <c r="CD87" i="24" s="1"/>
  <c r="CE87" i="24" s="1"/>
  <c r="K87" i="43"/>
  <c r="AI84" i="45" s="1"/>
  <c r="K232" i="43"/>
  <c r="AI229" i="45" s="1"/>
  <c r="U179" i="43"/>
  <c r="K179" i="43"/>
  <c r="AI176" i="45" s="1"/>
  <c r="K164" i="43"/>
  <c r="AI161" i="45" s="1"/>
  <c r="BW176" i="24"/>
  <c r="CD176" i="24" s="1"/>
  <c r="CE176" i="24" s="1"/>
  <c r="U176" i="43"/>
  <c r="K176" i="43"/>
  <c r="AI173" i="45" s="1"/>
  <c r="DG183" i="43"/>
  <c r="Y183" i="43"/>
  <c r="CO183" i="43"/>
  <c r="CN183" i="43" s="1"/>
  <c r="BC183" i="43"/>
  <c r="BT183" i="43"/>
  <c r="BS183" i="43" s="1"/>
  <c r="Y182" i="43"/>
  <c r="BT182" i="43"/>
  <c r="BS182" i="43" s="1"/>
  <c r="CO182" i="43"/>
  <c r="CN182" i="43" s="1"/>
  <c r="BC182" i="43"/>
  <c r="DG182" i="43"/>
  <c r="U190" i="43"/>
  <c r="BW128" i="24"/>
  <c r="CD128" i="24" s="1"/>
  <c r="CE128" i="24" s="1"/>
  <c r="K128" i="43"/>
  <c r="AI125" i="45" s="1"/>
  <c r="K309" i="43"/>
  <c r="BW91" i="24"/>
  <c r="CD91" i="24" s="1"/>
  <c r="CE91" i="24" s="1"/>
  <c r="K91" i="43"/>
  <c r="AI88" i="45" s="1"/>
  <c r="K200" i="43"/>
  <c r="K259" i="43"/>
  <c r="BW73" i="24"/>
  <c r="CD73" i="24" s="1"/>
  <c r="CE73" i="24" s="1"/>
  <c r="K73" i="43"/>
  <c r="AI70" i="45" s="1"/>
  <c r="K203" i="43"/>
  <c r="EB165" i="43"/>
  <c r="R165" i="43" s="1"/>
  <c r="U178" i="43"/>
  <c r="K178" i="43"/>
  <c r="AI175" i="45" s="1"/>
  <c r="K272" i="43"/>
  <c r="AI269" i="45" s="1"/>
  <c r="K317" i="43"/>
  <c r="AI314" i="45" s="1"/>
  <c r="K252" i="43"/>
  <c r="K247" i="43"/>
  <c r="AI244" i="45" s="1"/>
  <c r="K270" i="43"/>
  <c r="K185" i="43"/>
  <c r="AI182" i="45" s="1"/>
  <c r="U185" i="43"/>
  <c r="BW144" i="24"/>
  <c r="CD144" i="24" s="1"/>
  <c r="CE144" i="24" s="1"/>
  <c r="K144" i="43"/>
  <c r="AI141" i="45" s="1"/>
  <c r="K271" i="43"/>
  <c r="AI268" i="45" s="1"/>
  <c r="K316" i="43"/>
  <c r="AI313" i="45" s="1"/>
  <c r="U175" i="43"/>
  <c r="K175" i="43"/>
  <c r="AI172" i="45" s="1"/>
  <c r="K228" i="43"/>
  <c r="AI225" i="45" s="1"/>
  <c r="AV161" i="43"/>
  <c r="BT161" i="43"/>
  <c r="Y161" i="43"/>
  <c r="T161" i="43"/>
  <c r="DG161" i="43"/>
  <c r="BC161" i="43"/>
  <c r="CO161" i="43"/>
  <c r="BW106" i="24"/>
  <c r="CD106" i="24" s="1"/>
  <c r="CE106" i="24" s="1"/>
  <c r="K106" i="43"/>
  <c r="AI103" i="45" s="1"/>
  <c r="U189" i="43"/>
  <c r="U171" i="43"/>
  <c r="K171" i="43"/>
  <c r="AI168" i="45" s="1"/>
  <c r="AV165" i="43"/>
  <c r="T165" i="43"/>
  <c r="DG165" i="43"/>
  <c r="BT165" i="43"/>
  <c r="BC165" i="43"/>
  <c r="Y165" i="43"/>
  <c r="CO165" i="43"/>
  <c r="U187" i="43"/>
  <c r="K256" i="43"/>
  <c r="K260" i="43"/>
  <c r="K224" i="43"/>
  <c r="AI221" i="45" s="1"/>
  <c r="K318" i="43"/>
  <c r="BW112" i="24"/>
  <c r="CD112" i="24" s="1"/>
  <c r="CE112" i="24" s="1"/>
  <c r="K112" i="43"/>
  <c r="AI109" i="45" s="1"/>
  <c r="K269" i="43"/>
  <c r="AI266" i="45" s="1"/>
  <c r="BW240" i="24"/>
  <c r="CD240" i="24" s="1"/>
  <c r="CE240" i="24" s="1"/>
  <c r="K240" i="43"/>
  <c r="AI237" i="45" s="1"/>
  <c r="BW174" i="24"/>
  <c r="CD174" i="24" s="1"/>
  <c r="CE174" i="24" s="1"/>
  <c r="U174" i="43"/>
  <c r="K174" i="43"/>
  <c r="AI171" i="45" s="1"/>
  <c r="BO165" i="43"/>
  <c r="DC165" i="43"/>
  <c r="K307" i="43"/>
  <c r="AI304" i="45" s="1"/>
  <c r="K253" i="43"/>
  <c r="K244" i="43"/>
  <c r="K213" i="43"/>
  <c r="AI210" i="45" s="1"/>
  <c r="BW58" i="24"/>
  <c r="CD58" i="24" s="1"/>
  <c r="CE58" i="24" s="1"/>
  <c r="K58" i="43"/>
  <c r="AI55" i="45" s="1"/>
  <c r="BW77" i="24"/>
  <c r="CD77" i="24" s="1"/>
  <c r="CE77" i="24" s="1"/>
  <c r="K77" i="43"/>
  <c r="AI74" i="45" s="1"/>
  <c r="BW125" i="24"/>
  <c r="CD125" i="24" s="1"/>
  <c r="CE125" i="24" s="1"/>
  <c r="K125" i="43"/>
  <c r="AI122" i="45" s="1"/>
  <c r="K274" i="43"/>
  <c r="AI271" i="45" s="1"/>
  <c r="K212" i="43"/>
  <c r="K313" i="43"/>
  <c r="AI310" i="45" s="1"/>
  <c r="U191" i="43"/>
  <c r="BW84" i="24"/>
  <c r="CD84" i="24" s="1"/>
  <c r="CE84" i="24" s="1"/>
  <c r="K84" i="43"/>
  <c r="AI81" i="45" s="1"/>
  <c r="U192" i="43"/>
  <c r="K267" i="43"/>
  <c r="K310" i="43"/>
  <c r="AI307" i="45" s="1"/>
  <c r="K169" i="43"/>
  <c r="AI166" i="45" s="1"/>
  <c r="U169" i="43"/>
  <c r="K181" i="43"/>
  <c r="AI178" i="45" s="1"/>
  <c r="U181" i="43"/>
  <c r="K209" i="43"/>
  <c r="BW148" i="24"/>
  <c r="CD148" i="24" s="1"/>
  <c r="CE148" i="24" s="1"/>
  <c r="K148" i="43"/>
  <c r="AI145" i="45" s="1"/>
  <c r="K314" i="43"/>
  <c r="AI311" i="45" s="1"/>
  <c r="BW145" i="24"/>
  <c r="CD145" i="24" s="1"/>
  <c r="CE145" i="24" s="1"/>
  <c r="K145" i="43"/>
  <c r="AI142" i="45" s="1"/>
  <c r="K220" i="43"/>
  <c r="BW88" i="24"/>
  <c r="CD88" i="24" s="1"/>
  <c r="CE88" i="24" s="1"/>
  <c r="K88" i="43"/>
  <c r="AI85" i="45" s="1"/>
  <c r="K257" i="43"/>
  <c r="BW116" i="24"/>
  <c r="CD116" i="24" s="1"/>
  <c r="CE116" i="24" s="1"/>
  <c r="K116" i="43"/>
  <c r="AI113" i="45" s="1"/>
  <c r="U184" i="43"/>
  <c r="K184" i="43"/>
  <c r="AI181" i="45" s="1"/>
  <c r="K268" i="43"/>
  <c r="BW65" i="24"/>
  <c r="CD65" i="24" s="1"/>
  <c r="CE65" i="24" s="1"/>
  <c r="K65" i="43"/>
  <c r="AI62" i="45" s="1"/>
  <c r="K315" i="43"/>
  <c r="AI312" i="45" s="1"/>
  <c r="K311" i="43"/>
  <c r="AI308" i="45" s="1"/>
  <c r="EB161" i="43"/>
  <c r="R161" i="43" s="1"/>
  <c r="BW163" i="24"/>
  <c r="CD163" i="24" s="1"/>
  <c r="CE163" i="24" s="1"/>
  <c r="K163" i="43"/>
  <c r="BW167" i="24"/>
  <c r="CD167" i="24" s="1"/>
  <c r="CE167" i="24" s="1"/>
  <c r="K167" i="43"/>
  <c r="BW170" i="24"/>
  <c r="CD170" i="24" s="1"/>
  <c r="CE170" i="24" s="1"/>
  <c r="U170" i="43"/>
  <c r="K170" i="43"/>
  <c r="AI167" i="45" s="1"/>
  <c r="CJ161" i="43"/>
  <c r="DG186" i="43"/>
  <c r="Y186" i="43"/>
  <c r="BT186" i="43"/>
  <c r="BS186" i="43" s="1"/>
  <c r="CO186" i="43"/>
  <c r="CN186" i="43" s="1"/>
  <c r="BC186" i="43"/>
  <c r="DC161" i="43"/>
  <c r="N50" i="43"/>
  <c r="FP50" i="43" s="1"/>
  <c r="N49" i="43"/>
  <c r="N38" i="43"/>
  <c r="FP38" i="43" s="1"/>
  <c r="N28" i="43"/>
  <c r="FP28" i="43" s="1"/>
  <c r="N52" i="43"/>
  <c r="FP52" i="43" s="1"/>
  <c r="N37" i="43"/>
  <c r="AU37" i="43" s="1"/>
  <c r="AH37" i="43" s="1"/>
  <c r="N42" i="43"/>
  <c r="FP42" i="43" s="1"/>
  <c r="N56" i="43"/>
  <c r="FP56" i="43" s="1"/>
  <c r="N17" i="43"/>
  <c r="N18" i="43"/>
  <c r="AU18" i="43" s="1"/>
  <c r="N54" i="43"/>
  <c r="FP54" i="43" s="1"/>
  <c r="CZ287" i="43"/>
  <c r="CZ276" i="43"/>
  <c r="CZ291" i="43"/>
  <c r="CZ285" i="43"/>
  <c r="CZ289" i="43"/>
  <c r="CZ281" i="43"/>
  <c r="CZ283" i="43"/>
  <c r="CZ262" i="43"/>
  <c r="CZ288" i="43"/>
  <c r="DF288" i="43" s="1"/>
  <c r="CZ282" i="43"/>
  <c r="DF282" i="43" s="1"/>
  <c r="CZ284" i="43"/>
  <c r="DF284" i="43" s="1"/>
  <c r="CZ266" i="43"/>
  <c r="CZ290" i="43"/>
  <c r="DF290" i="43" s="1"/>
  <c r="CZ273" i="43"/>
  <c r="CZ258" i="43"/>
  <c r="CZ277" i="43"/>
  <c r="CZ278" i="43"/>
  <c r="DF278" i="43" s="1"/>
  <c r="CZ263" i="43"/>
  <c r="DF263" i="43" s="1"/>
  <c r="CZ280" i="43"/>
  <c r="DF280" i="43" s="1"/>
  <c r="CZ279" i="43"/>
  <c r="CZ275" i="43"/>
  <c r="CZ286" i="43"/>
  <c r="IA30" i="43"/>
  <c r="IA51" i="43"/>
  <c r="HT40" i="43"/>
  <c r="HU40" i="43" s="1"/>
  <c r="HV40" i="43" s="1"/>
  <c r="BA40" i="43" s="1"/>
  <c r="AZ40" i="43" s="1"/>
  <c r="V37" i="45" s="1"/>
  <c r="IA40" i="43"/>
  <c r="CM191" i="43"/>
  <c r="CM192" i="43"/>
  <c r="CM187" i="43"/>
  <c r="CM198" i="43"/>
  <c r="CM200" i="43"/>
  <c r="CM179" i="43"/>
  <c r="CM176" i="43"/>
  <c r="CM196" i="43"/>
  <c r="CM194" i="43"/>
  <c r="CM173" i="43"/>
  <c r="DJ176" i="43"/>
  <c r="AE176" i="24" s="1"/>
  <c r="CM170" i="43"/>
  <c r="DJ170" i="43"/>
  <c r="AE170" i="24" s="1"/>
  <c r="BR178" i="43"/>
  <c r="DJ178" i="43"/>
  <c r="AA177" i="24" s="1"/>
  <c r="CM178" i="43"/>
  <c r="BW178" i="24"/>
  <c r="CD178" i="24" s="1"/>
  <c r="CE178" i="24" s="1"/>
  <c r="CM167" i="43"/>
  <c r="DJ167" i="43"/>
  <c r="AA166" i="24" s="1"/>
  <c r="DF167" i="43"/>
  <c r="CM174" i="43"/>
  <c r="DJ174" i="43"/>
  <c r="AA173" i="24" s="1"/>
  <c r="P14" i="22"/>
  <c r="D14" i="22"/>
  <c r="E14" i="22"/>
  <c r="M14" i="22"/>
  <c r="H14" i="22"/>
  <c r="C14" i="22"/>
  <c r="K14" i="22"/>
  <c r="B14" i="22"/>
  <c r="I14" i="22"/>
  <c r="A15" i="22"/>
  <c r="CM163" i="43"/>
  <c r="HT32" i="43"/>
  <c r="HU32" i="43" s="1"/>
  <c r="HV32" i="43" s="1"/>
  <c r="BA32" i="43" s="1"/>
  <c r="AZ32" i="43" s="1"/>
  <c r="V29" i="45" s="1"/>
  <c r="DJ163" i="43"/>
  <c r="DF164" i="43"/>
  <c r="BW164" i="24"/>
  <c r="CD164" i="24" s="1"/>
  <c r="CE164" i="24" s="1"/>
  <c r="DJ164" i="43"/>
  <c r="AA163" i="24" s="1"/>
  <c r="HT47" i="43"/>
  <c r="HU47" i="43" s="1"/>
  <c r="HV47" i="43" s="1"/>
  <c r="BA47" i="43" s="1"/>
  <c r="AZ47" i="43" s="1"/>
  <c r="V44" i="45" s="1"/>
  <c r="CM164" i="43"/>
  <c r="BR163" i="43"/>
  <c r="HT52" i="43"/>
  <c r="HU52" i="43" s="1"/>
  <c r="HV52" i="43" s="1"/>
  <c r="BA52" i="43" s="1"/>
  <c r="AZ52" i="43" s="1"/>
  <c r="V49" i="45" s="1"/>
  <c r="AA38" i="43"/>
  <c r="AA52" i="43"/>
  <c r="HT38" i="43"/>
  <c r="HU38" i="43" s="1"/>
  <c r="HV38" i="43" s="1"/>
  <c r="BA38" i="43" s="1"/>
  <c r="AZ38" i="43" s="1"/>
  <c r="V35" i="45" s="1"/>
  <c r="IA20" i="43"/>
  <c r="K109" i="35"/>
  <c r="H108" i="35"/>
  <c r="IA56" i="43"/>
  <c r="AA55" i="43"/>
  <c r="AA56" i="43"/>
  <c r="HT54" i="43"/>
  <c r="HU54" i="43" s="1"/>
  <c r="HV54" i="43" s="1"/>
  <c r="BA54" i="43" s="1"/>
  <c r="AZ54" i="43" s="1"/>
  <c r="V51" i="45" s="1"/>
  <c r="K108" i="35"/>
  <c r="HT50" i="43"/>
  <c r="HU50" i="43" s="1"/>
  <c r="HV50" i="43" s="1"/>
  <c r="BA50" i="43" s="1"/>
  <c r="AZ50" i="43" s="1"/>
  <c r="V47" i="45" s="1"/>
  <c r="AA50" i="43"/>
  <c r="HT42" i="43"/>
  <c r="HU42" i="43" s="1"/>
  <c r="HV42" i="43" s="1"/>
  <c r="BA42" i="43" s="1"/>
  <c r="AZ42" i="43" s="1"/>
  <c r="V39" i="45" s="1"/>
  <c r="L108" i="35"/>
  <c r="IA55" i="43"/>
  <c r="HT55" i="43"/>
  <c r="HU55" i="43" s="1"/>
  <c r="HV55" i="43" s="1"/>
  <c r="BA55" i="43" s="1"/>
  <c r="AZ55" i="43" s="1"/>
  <c r="V52" i="45" s="1"/>
  <c r="AA54" i="43"/>
  <c r="HT46" i="43"/>
  <c r="HU46" i="43" s="1"/>
  <c r="HV46" i="43" s="1"/>
  <c r="BA46" i="43" s="1"/>
  <c r="AZ46" i="43" s="1"/>
  <c r="V43" i="45" s="1"/>
  <c r="AA46" i="43"/>
  <c r="J13" i="22"/>
  <c r="G13" i="22"/>
  <c r="AA43" i="43"/>
  <c r="HT43" i="43"/>
  <c r="HU43" i="43" s="1"/>
  <c r="HV43" i="43" s="1"/>
  <c r="BA43" i="43" s="1"/>
  <c r="AZ43" i="43" s="1"/>
  <c r="V40" i="45" s="1"/>
  <c r="AA42" i="43"/>
  <c r="AA28" i="43"/>
  <c r="V387" i="45"/>
  <c r="IA28" i="43"/>
  <c r="CB376" i="24"/>
  <c r="DJ376" i="43"/>
  <c r="AA375" i="24" s="1"/>
  <c r="CM376" i="43"/>
  <c r="BR376" i="43"/>
  <c r="AU28" i="43"/>
  <c r="AH28" i="43" s="1"/>
  <c r="AI28" i="43" s="1"/>
  <c r="HZ28" i="43" s="1"/>
  <c r="I10" i="30"/>
  <c r="I14" i="30"/>
  <c r="DJ379" i="43"/>
  <c r="AF379" i="24" s="1"/>
  <c r="CB374" i="24"/>
  <c r="BR379" i="43"/>
  <c r="CM379" i="43"/>
  <c r="DF374" i="43"/>
  <c r="BR374" i="43"/>
  <c r="DJ374" i="43"/>
  <c r="AF374" i="24" s="1"/>
  <c r="CB355" i="24"/>
  <c r="CB359" i="24"/>
  <c r="DJ359" i="43"/>
  <c r="AA358" i="24" s="1"/>
  <c r="CM353" i="43"/>
  <c r="DJ355" i="43"/>
  <c r="AA354" i="24" s="1"/>
  <c r="CM357" i="43"/>
  <c r="DJ357" i="43"/>
  <c r="AA356" i="24" s="1"/>
  <c r="DF353" i="43"/>
  <c r="CM355" i="43"/>
  <c r="CB357" i="24"/>
  <c r="DJ353" i="43"/>
  <c r="AA352" i="24" s="1"/>
  <c r="CB353" i="24"/>
  <c r="CF352" i="43"/>
  <c r="BL352" i="43"/>
  <c r="BR353" i="43"/>
  <c r="ED352" i="43"/>
  <c r="BW352" i="24" s="1"/>
  <c r="CD352" i="24" s="1"/>
  <c r="CE352" i="24" s="1"/>
  <c r="CZ352" i="43"/>
  <c r="CZ334" i="43"/>
  <c r="CF334" i="43"/>
  <c r="CM334" i="43" s="1"/>
  <c r="ED334" i="43"/>
  <c r="BW334" i="24" s="1"/>
  <c r="CD334" i="24" s="1"/>
  <c r="CE334" i="24" s="1"/>
  <c r="BL334" i="43"/>
  <c r="BR334" i="43" s="1"/>
  <c r="CZ328" i="43"/>
  <c r="DF328" i="43" s="1"/>
  <c r="ED328" i="43"/>
  <c r="BL328" i="43"/>
  <c r="BR328" i="43" s="1"/>
  <c r="CF328" i="43"/>
  <c r="CM328" i="43" s="1"/>
  <c r="BK328" i="24"/>
  <c r="EI328" i="43" s="1"/>
  <c r="EJ328" i="43" s="1"/>
  <c r="Y327" i="24" s="1"/>
  <c r="Z327" i="24" s="1"/>
  <c r="DF321" i="43"/>
  <c r="CM321" i="43"/>
  <c r="DJ321" i="43"/>
  <c r="AA320" i="24" s="1"/>
  <c r="BR321" i="43"/>
  <c r="DF319" i="43"/>
  <c r="DJ319" i="43"/>
  <c r="AA318" i="24" s="1"/>
  <c r="BR319" i="43"/>
  <c r="CB319" i="24"/>
  <c r="CB321" i="24"/>
  <c r="CK311" i="43"/>
  <c r="CZ312" i="43"/>
  <c r="DF312" i="43" s="1"/>
  <c r="BW307" i="24"/>
  <c r="CD307" i="24" s="1"/>
  <c r="CE307" i="24" s="1"/>
  <c r="BW313" i="24"/>
  <c r="CD313" i="24" s="1"/>
  <c r="CE313" i="24" s="1"/>
  <c r="BW324" i="24"/>
  <c r="CD324" i="24" s="1"/>
  <c r="CE324" i="24" s="1"/>
  <c r="BW314" i="24"/>
  <c r="CD314" i="24" s="1"/>
  <c r="CE314" i="24" s="1"/>
  <c r="BW329" i="24"/>
  <c r="CD329" i="24" s="1"/>
  <c r="CE329" i="24" s="1"/>
  <c r="BW317" i="24"/>
  <c r="CD317" i="24" s="1"/>
  <c r="CE317" i="24" s="1"/>
  <c r="BW310" i="24"/>
  <c r="CD310" i="24" s="1"/>
  <c r="CE310" i="24" s="1"/>
  <c r="BW309" i="24"/>
  <c r="CD309" i="24" s="1"/>
  <c r="CE309" i="24" s="1"/>
  <c r="BW320" i="24"/>
  <c r="CD320" i="24" s="1"/>
  <c r="CE320" i="24" s="1"/>
  <c r="BW316" i="24"/>
  <c r="CD316" i="24" s="1"/>
  <c r="CE316" i="24" s="1"/>
  <c r="BW318" i="24"/>
  <c r="CD318" i="24" s="1"/>
  <c r="CE318" i="24" s="1"/>
  <c r="BW315" i="24"/>
  <c r="CD315" i="24" s="1"/>
  <c r="CE315" i="24" s="1"/>
  <c r="BW325" i="24"/>
  <c r="CD325" i="24" s="1"/>
  <c r="CE325" i="24" s="1"/>
  <c r="BW322" i="24"/>
  <c r="CD322" i="24" s="1"/>
  <c r="CE322" i="24" s="1"/>
  <c r="BW323" i="24"/>
  <c r="CD323" i="24" s="1"/>
  <c r="CE323" i="24" s="1"/>
  <c r="BW327" i="24"/>
  <c r="CD327" i="24" s="1"/>
  <c r="CE327" i="24" s="1"/>
  <c r="BW311" i="24"/>
  <c r="CD311" i="24" s="1"/>
  <c r="CE311" i="24" s="1"/>
  <c r="CF312" i="43"/>
  <c r="BL312" i="43"/>
  <c r="ED312" i="43"/>
  <c r="S312" i="43" s="1"/>
  <c r="DJ311" i="43"/>
  <c r="AA310" i="24" s="1"/>
  <c r="DF311" i="43"/>
  <c r="CF306" i="43"/>
  <c r="ED308" i="43"/>
  <c r="S308" i="43" s="1"/>
  <c r="CZ308" i="43"/>
  <c r="DF308" i="43" s="1"/>
  <c r="BL308" i="43"/>
  <c r="BR308" i="43" s="1"/>
  <c r="CF308" i="43"/>
  <c r="ED306" i="43"/>
  <c r="S306" i="43" s="1"/>
  <c r="BL306" i="43"/>
  <c r="CZ306" i="43"/>
  <c r="DF306" i="43" s="1"/>
  <c r="CF300" i="43"/>
  <c r="ED300" i="43"/>
  <c r="U300" i="43" s="1"/>
  <c r="BL300" i="43"/>
  <c r="CZ300" i="43"/>
  <c r="DF300" i="43" s="1"/>
  <c r="BL298" i="43"/>
  <c r="BR298" i="43" s="1"/>
  <c r="CZ298" i="43"/>
  <c r="CF298" i="43"/>
  <c r="CM298" i="43" s="1"/>
  <c r="ED298" i="43"/>
  <c r="U298" i="43" s="1"/>
  <c r="CF284" i="43"/>
  <c r="CM284" i="43" s="1"/>
  <c r="BL290" i="43"/>
  <c r="CF290" i="43"/>
  <c r="ED290" i="43"/>
  <c r="U290" i="43" s="1"/>
  <c r="BL280" i="43"/>
  <c r="BR280" i="43" s="1"/>
  <c r="ED280" i="43"/>
  <c r="U280" i="43" s="1"/>
  <c r="CF282" i="43"/>
  <c r="BL282" i="43"/>
  <c r="BR282" i="43" s="1"/>
  <c r="BL284" i="43"/>
  <c r="ED284" i="43"/>
  <c r="U284" i="43" s="1"/>
  <c r="CF280" i="43"/>
  <c r="ED282" i="43"/>
  <c r="U282" i="43" s="1"/>
  <c r="CF263" i="43"/>
  <c r="CM263" i="43" s="1"/>
  <c r="ED255" i="43"/>
  <c r="U255" i="43" s="1"/>
  <c r="C10" i="30"/>
  <c r="BL255" i="43"/>
  <c r="I23" i="30"/>
  <c r="I19" i="30"/>
  <c r="I20" i="30"/>
  <c r="J7" i="30"/>
  <c r="I6" i="30"/>
  <c r="I9" i="30"/>
  <c r="I21" i="30"/>
  <c r="I22" i="30"/>
  <c r="I28" i="30"/>
  <c r="I27" i="30"/>
  <c r="I26" i="30"/>
  <c r="I17" i="30"/>
  <c r="I16" i="30"/>
  <c r="CF251" i="43"/>
  <c r="CF255" i="43"/>
  <c r="CZ255" i="43"/>
  <c r="DF255" i="43" s="1"/>
  <c r="BL251" i="43"/>
  <c r="BR251" i="43" s="1"/>
  <c r="ED251" i="43"/>
  <c r="U251" i="43" s="1"/>
  <c r="CZ251" i="43"/>
  <c r="CZ243" i="43"/>
  <c r="ED243" i="43"/>
  <c r="U243" i="43" s="1"/>
  <c r="CF243" i="43"/>
  <c r="CM243" i="43" s="1"/>
  <c r="BL243" i="43"/>
  <c r="CF286" i="43"/>
  <c r="BK288" i="24"/>
  <c r="EI288" i="43" s="1"/>
  <c r="EJ288" i="43" s="1"/>
  <c r="Y287" i="24" s="1"/>
  <c r="Z287" i="24" s="1"/>
  <c r="CB349" i="24"/>
  <c r="CD349" i="24"/>
  <c r="CE349" i="24" s="1"/>
  <c r="CB350" i="24"/>
  <c r="CD350" i="24"/>
  <c r="CE350" i="24" s="1"/>
  <c r="BL288" i="43"/>
  <c r="BR288" i="43" s="1"/>
  <c r="CF288" i="43"/>
  <c r="ED288" i="43"/>
  <c r="U288" i="43" s="1"/>
  <c r="BK340" i="24"/>
  <c r="EI340" i="43" s="1"/>
  <c r="EJ340" i="43" s="1"/>
  <c r="Y339" i="24" s="1"/>
  <c r="Z339" i="24" s="1"/>
  <c r="DF349" i="43"/>
  <c r="BK292" i="24"/>
  <c r="EI292" i="43" s="1"/>
  <c r="EJ292" i="43" s="1"/>
  <c r="Y291" i="24" s="1"/>
  <c r="Z291" i="24" s="1"/>
  <c r="BL286" i="43"/>
  <c r="ED286" i="43"/>
  <c r="U286" i="43" s="1"/>
  <c r="ED263" i="43"/>
  <c r="U263" i="43" s="1"/>
  <c r="BL292" i="43"/>
  <c r="BR292" i="43" s="1"/>
  <c r="CM315" i="43"/>
  <c r="CF239" i="43"/>
  <c r="CT206" i="43"/>
  <c r="ED292" i="43"/>
  <c r="U292" i="43" s="1"/>
  <c r="DJ315" i="43"/>
  <c r="AA314" i="24" s="1"/>
  <c r="CM184" i="43"/>
  <c r="CZ340" i="43"/>
  <c r="BL340" i="43"/>
  <c r="BR340" i="43" s="1"/>
  <c r="ED204" i="43"/>
  <c r="U204" i="43" s="1"/>
  <c r="CZ216" i="43"/>
  <c r="DF216" i="43" s="1"/>
  <c r="CZ211" i="43"/>
  <c r="ED296" i="43"/>
  <c r="U296" i="43" s="1"/>
  <c r="BL204" i="43"/>
  <c r="BR204" i="43" s="1"/>
  <c r="ED340" i="43"/>
  <c r="BW340" i="24" s="1"/>
  <c r="AU32" i="43"/>
  <c r="CF340" i="43"/>
  <c r="CN40" i="43"/>
  <c r="DJ349" i="43"/>
  <c r="AA348" i="24" s="1"/>
  <c r="BR240" i="43"/>
  <c r="CI16" i="43"/>
  <c r="CK16" i="43" s="1"/>
  <c r="DD32" i="43"/>
  <c r="CM11" i="43"/>
  <c r="CM190" i="43"/>
  <c r="BL211" i="43"/>
  <c r="BR211" i="43" s="1"/>
  <c r="CF292" i="43"/>
  <c r="CF216" i="43"/>
  <c r="ED216" i="43"/>
  <c r="U216" i="43" s="1"/>
  <c r="DJ240" i="43"/>
  <c r="CM240" i="43"/>
  <c r="CI32" i="43"/>
  <c r="CK32" i="43" s="1"/>
  <c r="CM380" i="43"/>
  <c r="BL296" i="43"/>
  <c r="BR296" i="43" s="1"/>
  <c r="ED211" i="43"/>
  <c r="U211" i="43" s="1"/>
  <c r="BK278" i="24"/>
  <c r="EI278" i="43" s="1"/>
  <c r="EJ278" i="43" s="1"/>
  <c r="Y277" i="24" s="1"/>
  <c r="Z277" i="24" s="1"/>
  <c r="CM346" i="43"/>
  <c r="BL216" i="43"/>
  <c r="CM349" i="43"/>
  <c r="CF211" i="43"/>
  <c r="CM211" i="43" s="1"/>
  <c r="BW305" i="24"/>
  <c r="CD305" i="24" s="1"/>
  <c r="CE305" i="24" s="1"/>
  <c r="CZ296" i="43"/>
  <c r="DF296" i="43" s="1"/>
  <c r="DJ380" i="43"/>
  <c r="AA379" i="24" s="1"/>
  <c r="CF296" i="43"/>
  <c r="CM296" i="43" s="1"/>
  <c r="CZ217" i="43"/>
  <c r="DF217" i="43" s="1"/>
  <c r="BL217" i="43"/>
  <c r="CF217" i="43"/>
  <c r="DJ350" i="43"/>
  <c r="AA349" i="24" s="1"/>
  <c r="ED217" i="43"/>
  <c r="U217" i="43" s="1"/>
  <c r="CM350" i="43"/>
  <c r="BR380" i="43"/>
  <c r="BL294" i="43"/>
  <c r="BR294" i="43" s="1"/>
  <c r="BR350" i="43"/>
  <c r="CI50" i="43"/>
  <c r="CK50" i="43" s="1"/>
  <c r="BR315" i="43"/>
  <c r="CZ204" i="43"/>
  <c r="CM52" i="43"/>
  <c r="CN52" i="43" s="1"/>
  <c r="CZ294" i="43"/>
  <c r="DF294" i="43" s="1"/>
  <c r="CZ331" i="43"/>
  <c r="DF331" i="43" s="1"/>
  <c r="BP32" i="43"/>
  <c r="BL331" i="43"/>
  <c r="ED331" i="43"/>
  <c r="BW331" i="24" s="1"/>
  <c r="CD331" i="24" s="1"/>
  <c r="CE331" i="24" s="1"/>
  <c r="CM42" i="43"/>
  <c r="CN42" i="43" s="1"/>
  <c r="CM181" i="43"/>
  <c r="CM370" i="43"/>
  <c r="CM29" i="43"/>
  <c r="CF278" i="43"/>
  <c r="CM278" i="43" s="1"/>
  <c r="CB49" i="24"/>
  <c r="CB371" i="24"/>
  <c r="CB20" i="24"/>
  <c r="CB354" i="24"/>
  <c r="CB42" i="24"/>
  <c r="CB54" i="24"/>
  <c r="CB33" i="24"/>
  <c r="CB31" i="24"/>
  <c r="CB37" i="24"/>
  <c r="CB46" i="24"/>
  <c r="CB30" i="24"/>
  <c r="CB370" i="24"/>
  <c r="CB18" i="24"/>
  <c r="CB362" i="24"/>
  <c r="CB338" i="24"/>
  <c r="CB38" i="24"/>
  <c r="CB339" i="24"/>
  <c r="CB364" i="24"/>
  <c r="CB348" i="24"/>
  <c r="CB52" i="24"/>
  <c r="CB343" i="24"/>
  <c r="CB182" i="24"/>
  <c r="CB183" i="24"/>
  <c r="CB44" i="24"/>
  <c r="CB50" i="24"/>
  <c r="CB45" i="24"/>
  <c r="CB41" i="24"/>
  <c r="CB351" i="24"/>
  <c r="CB29" i="24"/>
  <c r="CB25" i="24"/>
  <c r="CB335" i="24"/>
  <c r="CB12" i="24"/>
  <c r="CB347" i="24"/>
  <c r="CB342" i="24"/>
  <c r="CB333" i="24"/>
  <c r="CB56" i="24"/>
  <c r="CB341" i="24"/>
  <c r="CB26" i="24"/>
  <c r="CB346" i="24"/>
  <c r="CB360" i="24"/>
  <c r="CB32" i="24"/>
  <c r="CB372" i="24"/>
  <c r="CB358" i="24"/>
  <c r="CB369" i="24"/>
  <c r="CB39" i="24"/>
  <c r="CB16" i="24"/>
  <c r="CB35" i="24"/>
  <c r="CB27" i="24"/>
  <c r="CB337" i="24"/>
  <c r="CB14" i="24"/>
  <c r="CB34" i="24"/>
  <c r="CB13" i="24"/>
  <c r="CB356" i="24"/>
  <c r="CB366" i="24"/>
  <c r="CB19" i="24"/>
  <c r="CB21" i="24"/>
  <c r="CB15" i="24"/>
  <c r="CB368" i="24"/>
  <c r="CB22" i="24"/>
  <c r="CB345" i="24"/>
  <c r="CB186" i="24"/>
  <c r="CB188" i="24"/>
  <c r="CF294" i="43"/>
  <c r="CM294" i="43" s="1"/>
  <c r="CF331" i="43"/>
  <c r="BL263" i="43"/>
  <c r="BR263" i="43" s="1"/>
  <c r="BR179" i="43"/>
  <c r="DF380" i="43"/>
  <c r="ED294" i="43"/>
  <c r="U294" i="43" s="1"/>
  <c r="BW177" i="24"/>
  <c r="CD177" i="24" s="1"/>
  <c r="CE177" i="24" s="1"/>
  <c r="BW248" i="24"/>
  <c r="CD248" i="24" s="1"/>
  <c r="CE248" i="24" s="1"/>
  <c r="BW233" i="24"/>
  <c r="CD233" i="24" s="1"/>
  <c r="CE233" i="24" s="1"/>
  <c r="BW274" i="24"/>
  <c r="CD274" i="24" s="1"/>
  <c r="CE274" i="24" s="1"/>
  <c r="BW271" i="24"/>
  <c r="CD271" i="24" s="1"/>
  <c r="CE271" i="24" s="1"/>
  <c r="BW198" i="24"/>
  <c r="CD198" i="24" s="1"/>
  <c r="CE198" i="24" s="1"/>
  <c r="BW252" i="24"/>
  <c r="CD252" i="24" s="1"/>
  <c r="CE252" i="24" s="1"/>
  <c r="BW247" i="24"/>
  <c r="CD247" i="24" s="1"/>
  <c r="CE247" i="24" s="1"/>
  <c r="BW171" i="24"/>
  <c r="CD171" i="24" s="1"/>
  <c r="CE171" i="24" s="1"/>
  <c r="H109" i="35"/>
  <c r="BW261" i="24"/>
  <c r="CD261" i="24" s="1"/>
  <c r="CE261" i="24" s="1"/>
  <c r="BW256" i="24"/>
  <c r="CD256" i="24" s="1"/>
  <c r="CE256" i="24" s="1"/>
  <c r="BW184" i="24"/>
  <c r="CD184" i="24" s="1"/>
  <c r="CE184" i="24" s="1"/>
  <c r="BW224" i="24"/>
  <c r="CD224" i="24" s="1"/>
  <c r="CE224" i="24" s="1"/>
  <c r="BW232" i="24"/>
  <c r="CD232" i="24" s="1"/>
  <c r="CE232" i="24" s="1"/>
  <c r="BW203" i="24"/>
  <c r="CD203" i="24" s="1"/>
  <c r="CE203" i="24" s="1"/>
  <c r="BW179" i="24"/>
  <c r="CD179" i="24" s="1"/>
  <c r="CE179" i="24" s="1"/>
  <c r="BW185" i="24"/>
  <c r="CD185" i="24" s="1"/>
  <c r="CE185" i="24" s="1"/>
  <c r="BW212" i="24"/>
  <c r="CD212" i="24" s="1"/>
  <c r="CE212" i="24" s="1"/>
  <c r="BW196" i="24"/>
  <c r="CD196" i="24" s="1"/>
  <c r="CE196" i="24" s="1"/>
  <c r="BW191" i="24"/>
  <c r="CD191" i="24" s="1"/>
  <c r="CE191" i="24" s="1"/>
  <c r="BW267" i="24"/>
  <c r="CD267" i="24" s="1"/>
  <c r="CE267" i="24" s="1"/>
  <c r="BW213" i="24"/>
  <c r="CD213" i="24" s="1"/>
  <c r="CE213" i="24" s="1"/>
  <c r="BW194" i="24"/>
  <c r="CD194" i="24" s="1"/>
  <c r="CE194" i="24" s="1"/>
  <c r="BW168" i="24"/>
  <c r="CD168" i="24" s="1"/>
  <c r="CE168" i="24" s="1"/>
  <c r="BW165" i="24"/>
  <c r="CD165" i="24" s="1"/>
  <c r="CE165" i="24" s="1"/>
  <c r="BW209" i="24"/>
  <c r="CD209" i="24" s="1"/>
  <c r="CE209" i="24" s="1"/>
  <c r="BW187" i="24"/>
  <c r="CD187" i="24" s="1"/>
  <c r="CE187" i="24" s="1"/>
  <c r="BW220" i="24"/>
  <c r="CD220" i="24" s="1"/>
  <c r="CE220" i="24" s="1"/>
  <c r="BW264" i="24"/>
  <c r="CD264" i="24" s="1"/>
  <c r="CE264" i="24" s="1"/>
  <c r="BW238" i="24"/>
  <c r="CD238" i="24" s="1"/>
  <c r="CE238" i="24" s="1"/>
  <c r="BW268" i="24"/>
  <c r="CD268" i="24" s="1"/>
  <c r="CE268" i="24" s="1"/>
  <c r="BW272" i="24"/>
  <c r="CD272" i="24" s="1"/>
  <c r="CE272" i="24" s="1"/>
  <c r="BW175" i="24"/>
  <c r="CD175" i="24" s="1"/>
  <c r="CE175" i="24" s="1"/>
  <c r="BW228" i="24"/>
  <c r="CD228" i="24" s="1"/>
  <c r="CE228" i="24" s="1"/>
  <c r="BW265" i="24"/>
  <c r="CD265" i="24" s="1"/>
  <c r="CE265" i="24" s="1"/>
  <c r="BW270" i="24"/>
  <c r="CD270" i="24" s="1"/>
  <c r="CE270" i="24" s="1"/>
  <c r="BW169" i="24"/>
  <c r="CD169" i="24" s="1"/>
  <c r="CE169" i="24" s="1"/>
  <c r="BW181" i="24"/>
  <c r="CD181" i="24" s="1"/>
  <c r="CE181" i="24" s="1"/>
  <c r="BW173" i="24"/>
  <c r="CD173" i="24" s="1"/>
  <c r="CE173" i="24" s="1"/>
  <c r="BW257" i="24"/>
  <c r="CD257" i="24" s="1"/>
  <c r="CE257" i="24" s="1"/>
  <c r="BW260" i="24"/>
  <c r="CD260" i="24" s="1"/>
  <c r="CE260" i="24" s="1"/>
  <c r="BW200" i="24"/>
  <c r="CD200" i="24" s="1"/>
  <c r="CE200" i="24" s="1"/>
  <c r="BW253" i="24"/>
  <c r="CD253" i="24" s="1"/>
  <c r="CE253" i="24" s="1"/>
  <c r="BW202" i="24"/>
  <c r="CD202" i="24" s="1"/>
  <c r="CE202" i="24" s="1"/>
  <c r="BW207" i="24"/>
  <c r="CD207" i="24" s="1"/>
  <c r="CE207" i="24" s="1"/>
  <c r="BW244" i="24"/>
  <c r="CD244" i="24" s="1"/>
  <c r="CE244" i="24" s="1"/>
  <c r="BW201" i="24"/>
  <c r="CD201" i="24" s="1"/>
  <c r="CE201" i="24" s="1"/>
  <c r="BW192" i="24"/>
  <c r="CD192" i="24" s="1"/>
  <c r="CE192" i="24" s="1"/>
  <c r="BW190" i="24"/>
  <c r="CD190" i="24" s="1"/>
  <c r="CE190" i="24" s="1"/>
  <c r="BW249" i="24"/>
  <c r="CD249" i="24" s="1"/>
  <c r="CE249" i="24" s="1"/>
  <c r="BW161" i="24"/>
  <c r="CD161" i="24" s="1"/>
  <c r="CE161" i="24" s="1"/>
  <c r="BW189" i="24"/>
  <c r="CD189" i="24" s="1"/>
  <c r="CE189" i="24" s="1"/>
  <c r="BW195" i="24"/>
  <c r="CD195" i="24" s="1"/>
  <c r="CE195" i="24" s="1"/>
  <c r="BW197" i="24"/>
  <c r="CD197" i="24" s="1"/>
  <c r="CE197" i="24" s="1"/>
  <c r="BW245" i="24"/>
  <c r="CD245" i="24" s="1"/>
  <c r="CE245" i="24" s="1"/>
  <c r="BW259" i="24"/>
  <c r="CD259" i="24" s="1"/>
  <c r="CE259" i="24" s="1"/>
  <c r="BW269" i="24"/>
  <c r="CD269" i="24" s="1"/>
  <c r="CE269" i="24" s="1"/>
  <c r="I108" i="35"/>
  <c r="CF204" i="43"/>
  <c r="ED278" i="43"/>
  <c r="U278" i="43" s="1"/>
  <c r="BK204" i="24"/>
  <c r="EI204" i="43" s="1"/>
  <c r="EJ204" i="43" s="1"/>
  <c r="Y203" i="24" s="1"/>
  <c r="Z203" i="24" s="1"/>
  <c r="DJ32" i="43"/>
  <c r="W32" i="43" s="1"/>
  <c r="CM38" i="43"/>
  <c r="CN38" i="43" s="1"/>
  <c r="CM169" i="43"/>
  <c r="CM325" i="43"/>
  <c r="CM265" i="43"/>
  <c r="CM329" i="43"/>
  <c r="CA206" i="43"/>
  <c r="I109" i="35"/>
  <c r="J108" i="35"/>
  <c r="BF206" i="43"/>
  <c r="CC206" i="43"/>
  <c r="BY206" i="43"/>
  <c r="BJ206" i="43"/>
  <c r="CX206" i="43"/>
  <c r="CV206" i="43"/>
  <c r="BH206" i="43"/>
  <c r="CM21" i="43"/>
  <c r="CN21" i="43" s="1"/>
  <c r="CM381" i="43"/>
  <c r="CM171" i="43"/>
  <c r="BL278" i="43"/>
  <c r="W16" i="45"/>
  <c r="Z16" i="45" s="1"/>
  <c r="DJ179" i="43"/>
  <c r="AE179" i="24" s="1"/>
  <c r="CM252" i="43"/>
  <c r="CM343" i="43"/>
  <c r="CM168" i="43"/>
  <c r="CM195" i="43"/>
  <c r="CK310" i="43"/>
  <c r="EH40" i="43"/>
  <c r="Z15" i="45"/>
  <c r="CM37" i="43"/>
  <c r="CM272" i="43"/>
  <c r="CM247" i="43"/>
  <c r="CM270" i="43"/>
  <c r="CM314" i="43"/>
  <c r="AH36" i="43"/>
  <c r="EN36" i="43" s="1"/>
  <c r="CM44" i="43"/>
  <c r="CN44" i="43" s="1"/>
  <c r="CM232" i="43"/>
  <c r="J109" i="35"/>
  <c r="CF297" i="43"/>
  <c r="CF160" i="43"/>
  <c r="CM160" i="43" s="1"/>
  <c r="CF303" i="43"/>
  <c r="CM303" i="43" s="1"/>
  <c r="AH24" i="43"/>
  <c r="EN24" i="43" s="1"/>
  <c r="CF53" i="43"/>
  <c r="CM53" i="43" s="1"/>
  <c r="CN53" i="43" s="1"/>
  <c r="CF193" i="43"/>
  <c r="CF208" i="43"/>
  <c r="CM208" i="43" s="1"/>
  <c r="EH24" i="43"/>
  <c r="CF210" i="43"/>
  <c r="CF47" i="43"/>
  <c r="CI47" i="43" s="1"/>
  <c r="CK47" i="43" s="1"/>
  <c r="EH36" i="43"/>
  <c r="EH28" i="43"/>
  <c r="G33" i="35"/>
  <c r="CF242" i="43"/>
  <c r="CM242" i="43" s="1"/>
  <c r="CF332" i="43"/>
  <c r="EH48" i="43"/>
  <c r="CF277" i="43"/>
  <c r="CF367" i="43"/>
  <c r="CM367" i="43" s="1"/>
  <c r="CF225" i="43"/>
  <c r="CF180" i="43"/>
  <c r="CF295" i="43"/>
  <c r="CF218" i="43"/>
  <c r="CF215" i="43"/>
  <c r="AQ57" i="43"/>
  <c r="CV57" i="43"/>
  <c r="BH57" i="43"/>
  <c r="CC57" i="43"/>
  <c r="CX57" i="43"/>
  <c r="CT57" i="43"/>
  <c r="BJ57" i="43"/>
  <c r="BF57" i="43"/>
  <c r="CA57" i="43"/>
  <c r="BY57" i="43"/>
  <c r="AQ71" i="43"/>
  <c r="CV71" i="43"/>
  <c r="CA71" i="43"/>
  <c r="BJ71" i="43"/>
  <c r="BF71" i="43"/>
  <c r="CX71" i="43"/>
  <c r="BH71" i="43"/>
  <c r="CC71" i="43"/>
  <c r="CT71" i="43"/>
  <c r="BY71" i="43"/>
  <c r="CX98" i="43"/>
  <c r="CT98" i="43"/>
  <c r="CC98" i="43"/>
  <c r="BH98" i="43"/>
  <c r="AQ98" i="43"/>
  <c r="CA98" i="43"/>
  <c r="CV98" i="43"/>
  <c r="BJ98" i="43"/>
  <c r="BF98" i="43"/>
  <c r="BY98" i="43"/>
  <c r="CX94" i="43"/>
  <c r="CT94" i="43"/>
  <c r="CC94" i="43"/>
  <c r="BH94" i="43"/>
  <c r="AQ94" i="43"/>
  <c r="CV94" i="43"/>
  <c r="BJ94" i="43"/>
  <c r="CA94" i="43"/>
  <c r="BF94" i="43"/>
  <c r="BY94" i="43"/>
  <c r="AQ110" i="43"/>
  <c r="CX110" i="43"/>
  <c r="CT110" i="43"/>
  <c r="BJ110" i="43"/>
  <c r="BF110" i="43"/>
  <c r="CA110" i="43"/>
  <c r="CV110" i="43"/>
  <c r="BH110" i="43"/>
  <c r="CC110" i="43"/>
  <c r="BY110" i="43"/>
  <c r="CX146" i="43"/>
  <c r="CT146" i="43"/>
  <c r="CC146" i="43"/>
  <c r="BH146" i="43"/>
  <c r="AQ146" i="43"/>
  <c r="CV146" i="43"/>
  <c r="CA146" i="43"/>
  <c r="BJ146" i="43"/>
  <c r="BF146" i="43"/>
  <c r="BY146" i="43"/>
  <c r="CX150" i="43"/>
  <c r="CT150" i="43"/>
  <c r="CC150" i="43"/>
  <c r="BH150" i="43"/>
  <c r="AQ150" i="43"/>
  <c r="CV150" i="43"/>
  <c r="CA150" i="43"/>
  <c r="BJ150" i="43"/>
  <c r="BF150" i="43"/>
  <c r="BY150" i="43"/>
  <c r="AQ75" i="43"/>
  <c r="L12" i="22" s="1"/>
  <c r="N12" i="22" s="1"/>
  <c r="O12" i="22" s="1"/>
  <c r="CV75" i="43"/>
  <c r="CA75" i="43"/>
  <c r="BJ75" i="43"/>
  <c r="BF75" i="43"/>
  <c r="CC75" i="43"/>
  <c r="CT75" i="43"/>
  <c r="CX75" i="43"/>
  <c r="BH75" i="43"/>
  <c r="BY75" i="43"/>
  <c r="AQ79" i="43"/>
  <c r="CV79" i="43"/>
  <c r="CA79" i="43"/>
  <c r="BJ79" i="43"/>
  <c r="BF79" i="43"/>
  <c r="CC79" i="43"/>
  <c r="CT79" i="43"/>
  <c r="CX79" i="43"/>
  <c r="BH79" i="43"/>
  <c r="BY79" i="43"/>
  <c r="CX134" i="43"/>
  <c r="CT134" i="43"/>
  <c r="CC134" i="43"/>
  <c r="BH134" i="43"/>
  <c r="AQ134" i="43"/>
  <c r="L10" i="22" s="1"/>
  <c r="N10" i="22" s="1"/>
  <c r="O10" i="22" s="1"/>
  <c r="CV134" i="43"/>
  <c r="CA134" i="43"/>
  <c r="BJ134" i="43"/>
  <c r="BF134" i="43"/>
  <c r="BY134" i="43"/>
  <c r="CX114" i="43"/>
  <c r="CT114" i="43"/>
  <c r="CC114" i="43"/>
  <c r="BH114" i="43"/>
  <c r="AQ114" i="43"/>
  <c r="CV114" i="43"/>
  <c r="CA114" i="43"/>
  <c r="BJ114" i="43"/>
  <c r="BF114" i="43"/>
  <c r="BY114" i="43"/>
  <c r="CX138" i="43"/>
  <c r="CT138" i="43"/>
  <c r="CC138" i="43"/>
  <c r="BH138" i="43"/>
  <c r="AQ138" i="43"/>
  <c r="CV138" i="43"/>
  <c r="CA138" i="43"/>
  <c r="BJ138" i="43"/>
  <c r="BF138" i="43"/>
  <c r="BY138" i="43"/>
  <c r="CX102" i="43"/>
  <c r="CT102" i="43"/>
  <c r="CC102" i="43"/>
  <c r="BH102" i="43"/>
  <c r="AQ102" i="43"/>
  <c r="L9" i="22" s="1"/>
  <c r="BF102" i="43"/>
  <c r="CV102" i="43"/>
  <c r="BJ102" i="43"/>
  <c r="CA102" i="43"/>
  <c r="BY102" i="43"/>
  <c r="AQ67" i="43"/>
  <c r="CV67" i="43"/>
  <c r="CA67" i="43"/>
  <c r="BJ67" i="43"/>
  <c r="BF67" i="43"/>
  <c r="CT67" i="43"/>
  <c r="CX67" i="43"/>
  <c r="BH67" i="43"/>
  <c r="CC67" i="43"/>
  <c r="BY67" i="43"/>
  <c r="CX82" i="43"/>
  <c r="CT82" i="43"/>
  <c r="CC82" i="43"/>
  <c r="BH82" i="43"/>
  <c r="AQ82" i="43"/>
  <c r="BJ82" i="43"/>
  <c r="BF82" i="43"/>
  <c r="CA82" i="43"/>
  <c r="CV82" i="43"/>
  <c r="BY82" i="43"/>
  <c r="DJ124" i="43"/>
  <c r="AA123" i="24" s="1"/>
  <c r="BR124" i="43"/>
  <c r="DF95" i="43"/>
  <c r="Z164" i="24"/>
  <c r="Z250" i="24"/>
  <c r="DD50" i="43"/>
  <c r="DF50" i="43"/>
  <c r="ED303" i="43"/>
  <c r="U303" i="43" s="1"/>
  <c r="CZ303" i="43"/>
  <c r="BL151" i="43"/>
  <c r="BK151" i="24"/>
  <c r="EI151" i="43" s="1"/>
  <c r="EJ151" i="43" s="1"/>
  <c r="Y150" i="24" s="1"/>
  <c r="CZ107" i="43"/>
  <c r="ED107" i="43"/>
  <c r="Z353" i="24"/>
  <c r="DJ212" i="43"/>
  <c r="AA211" i="24" s="1"/>
  <c r="BR212" i="43"/>
  <c r="CM87" i="43"/>
  <c r="DJ335" i="43"/>
  <c r="AA334" i="24" s="1"/>
  <c r="BR335" i="43"/>
  <c r="Z269" i="24"/>
  <c r="BL281" i="43"/>
  <c r="Z309" i="24"/>
  <c r="BL301" i="43"/>
  <c r="ED242" i="43"/>
  <c r="U242" i="43" s="1"/>
  <c r="CZ242" i="43"/>
  <c r="BL287" i="43"/>
  <c r="DF320" i="43"/>
  <c r="DF271" i="43"/>
  <c r="DF244" i="43"/>
  <c r="CM185" i="43"/>
  <c r="DJ125" i="43"/>
  <c r="AA124" i="24" s="1"/>
  <c r="BR125" i="43"/>
  <c r="Z323" i="24"/>
  <c r="BK223" i="24"/>
  <c r="EI223" i="43" s="1"/>
  <c r="EJ223" i="43" s="1"/>
  <c r="Y222" i="24" s="1"/>
  <c r="BK64" i="24"/>
  <c r="EI64" i="43" s="1"/>
  <c r="EJ64" i="43" s="1"/>
  <c r="Y63" i="24" s="1"/>
  <c r="DJ265" i="43"/>
  <c r="AA264" i="24" s="1"/>
  <c r="BR265" i="43"/>
  <c r="BK72" i="24"/>
  <c r="EI72" i="43" s="1"/>
  <c r="EJ72" i="43" s="1"/>
  <c r="Y71" i="24" s="1"/>
  <c r="BL219" i="43"/>
  <c r="BK219" i="24"/>
  <c r="EI219" i="43" s="1"/>
  <c r="EJ219" i="43" s="1"/>
  <c r="Y218" i="24" s="1"/>
  <c r="AU56" i="43"/>
  <c r="BK283" i="24"/>
  <c r="EI283" i="43" s="1"/>
  <c r="EJ283" i="43" s="1"/>
  <c r="Y282" i="24" s="1"/>
  <c r="Z25" i="24"/>
  <c r="BK326" i="24"/>
  <c r="EI326" i="43" s="1"/>
  <c r="EJ326" i="43" s="1"/>
  <c r="Y325" i="24" s="1"/>
  <c r="CF135" i="43"/>
  <c r="BK221" i="24"/>
  <c r="EI221" i="43" s="1"/>
  <c r="EJ221" i="43" s="1"/>
  <c r="Y220" i="24" s="1"/>
  <c r="CF105" i="43"/>
  <c r="Z98" i="24"/>
  <c r="DD14" i="43"/>
  <c r="DF14" i="43"/>
  <c r="DF181" i="43"/>
  <c r="Z184" i="24"/>
  <c r="DJ144" i="43"/>
  <c r="AA143" i="24" s="1"/>
  <c r="BR144" i="43"/>
  <c r="Z11" i="24"/>
  <c r="Z176" i="24"/>
  <c r="DF195" i="43"/>
  <c r="BL304" i="43"/>
  <c r="BL218" i="43"/>
  <c r="BK218" i="24"/>
  <c r="EI218" i="43" s="1"/>
  <c r="EJ218" i="43" s="1"/>
  <c r="Y217" i="24" s="1"/>
  <c r="BL236" i="43"/>
  <c r="Z361" i="24"/>
  <c r="DJ272" i="43"/>
  <c r="AA271" i="24" s="1"/>
  <c r="BR272" i="43"/>
  <c r="BL149" i="43"/>
  <c r="DF314" i="43"/>
  <c r="DJ187" i="43"/>
  <c r="AA186" i="24" s="1"/>
  <c r="BR187" i="43"/>
  <c r="Z44" i="24"/>
  <c r="ED276" i="43"/>
  <c r="U276" i="43" s="1"/>
  <c r="CM73" i="43"/>
  <c r="ED241" i="43"/>
  <c r="U241" i="43" s="1"/>
  <c r="CZ241" i="43"/>
  <c r="BK206" i="24"/>
  <c r="EI206" i="43" s="1"/>
  <c r="EJ206" i="43" s="1"/>
  <c r="Y205" i="24" s="1"/>
  <c r="BL275" i="43"/>
  <c r="BK275" i="24"/>
  <c r="EI275" i="43" s="1"/>
  <c r="EJ275" i="43" s="1"/>
  <c r="Y274" i="24" s="1"/>
  <c r="CM354" i="43"/>
  <c r="CN28" i="43"/>
  <c r="DJ313" i="43"/>
  <c r="AA312" i="24" s="1"/>
  <c r="BR313" i="43"/>
  <c r="DJ261" i="43"/>
  <c r="AA260" i="24" s="1"/>
  <c r="BR261" i="43"/>
  <c r="DJ268" i="43"/>
  <c r="AA267" i="24" s="1"/>
  <c r="BR268" i="43"/>
  <c r="CM112" i="43"/>
  <c r="DF100" i="43"/>
  <c r="DJ22" i="43"/>
  <c r="AA21" i="24" s="1"/>
  <c r="BP22" i="43"/>
  <c r="BR22" i="43"/>
  <c r="BL226" i="43"/>
  <c r="DJ38" i="43"/>
  <c r="AA37" i="24" s="1"/>
  <c r="BP38" i="43"/>
  <c r="BR38" i="43"/>
  <c r="Z334" i="24"/>
  <c r="DJ341" i="43"/>
  <c r="AA340" i="24" s="1"/>
  <c r="BR341" i="43"/>
  <c r="ED297" i="43"/>
  <c r="U297" i="43" s="1"/>
  <c r="CZ297" i="43"/>
  <c r="DF325" i="43"/>
  <c r="DF322" i="43"/>
  <c r="DJ371" i="43"/>
  <c r="AA370" i="24" s="1"/>
  <c r="BR371" i="43"/>
  <c r="Z365" i="24"/>
  <c r="CM366" i="43"/>
  <c r="DF128" i="43"/>
  <c r="BL222" i="43"/>
  <c r="DF356" i="43"/>
  <c r="DJ346" i="43"/>
  <c r="AA345" i="24" s="1"/>
  <c r="BR346" i="43"/>
  <c r="CM309" i="43"/>
  <c r="BK258" i="24"/>
  <c r="EI258" i="43" s="1"/>
  <c r="EJ258" i="43" s="1"/>
  <c r="Y257" i="24" s="1"/>
  <c r="DJ360" i="43"/>
  <c r="BR360" i="43"/>
  <c r="DF245" i="43"/>
  <c r="CM245" i="43"/>
  <c r="DF260" i="43"/>
  <c r="CM260" i="43"/>
  <c r="DJ39" i="43"/>
  <c r="AA38" i="24" s="1"/>
  <c r="BP39" i="43"/>
  <c r="BR39" i="43"/>
  <c r="DD31" i="43"/>
  <c r="DF31" i="43"/>
  <c r="BL152" i="43"/>
  <c r="BK152" i="24"/>
  <c r="EI152" i="43" s="1"/>
  <c r="EJ152" i="43" s="1"/>
  <c r="Y151" i="24" s="1"/>
  <c r="ED237" i="43"/>
  <c r="U237" i="43" s="1"/>
  <c r="CZ237" i="43"/>
  <c r="ED277" i="43"/>
  <c r="U277" i="43" s="1"/>
  <c r="BL277" i="43"/>
  <c r="Z64" i="24"/>
  <c r="DJ31" i="43"/>
  <c r="AA30" i="24" s="1"/>
  <c r="BP31" i="43"/>
  <c r="BR31" i="43"/>
  <c r="DJ203" i="43"/>
  <c r="AA202" i="24" s="1"/>
  <c r="BR203" i="43"/>
  <c r="DF99" i="43"/>
  <c r="CM61" i="43"/>
  <c r="CI20" i="43"/>
  <c r="CK20" i="43" s="1"/>
  <c r="CM20" i="43"/>
  <c r="DD19" i="43"/>
  <c r="DF19" i="43"/>
  <c r="CM12" i="43"/>
  <c r="DJ177" i="43"/>
  <c r="BR177" i="43"/>
  <c r="DJ15" i="43"/>
  <c r="AA14" i="24" s="1"/>
  <c r="BP15" i="43"/>
  <c r="BR15" i="43"/>
  <c r="DJ58" i="43"/>
  <c r="AA57" i="24" s="1"/>
  <c r="BR58" i="43"/>
  <c r="DJ18" i="43"/>
  <c r="AA17" i="24" s="1"/>
  <c r="BR18" i="43"/>
  <c r="DF259" i="43"/>
  <c r="CM362" i="43"/>
  <c r="AU44" i="43"/>
  <c r="AH44" i="43" s="1"/>
  <c r="Z174" i="24"/>
  <c r="DF184" i="43"/>
  <c r="DJ324" i="43"/>
  <c r="BR324" i="43"/>
  <c r="Z197" i="24"/>
  <c r="CM224" i="43"/>
  <c r="DJ145" i="43"/>
  <c r="AA144" i="24" s="1"/>
  <c r="BR145" i="43"/>
  <c r="Z48" i="24"/>
  <c r="CI49" i="43"/>
  <c r="CK49" i="43" s="1"/>
  <c r="CM49" i="43"/>
  <c r="CN49" i="43" s="1"/>
  <c r="DJ213" i="43"/>
  <c r="AA212" i="24" s="1"/>
  <c r="BR213" i="43"/>
  <c r="BL344" i="43"/>
  <c r="ED367" i="43"/>
  <c r="BW367" i="24" s="1"/>
  <c r="CD367" i="24" s="1"/>
  <c r="CE367" i="24" s="1"/>
  <c r="CZ367" i="43"/>
  <c r="CM318" i="43"/>
  <c r="CM274" i="43"/>
  <c r="AQ108" i="43"/>
  <c r="CA108" i="43"/>
  <c r="CV108" i="43"/>
  <c r="BH108" i="43"/>
  <c r="CC108" i="43"/>
  <c r="CX108" i="43"/>
  <c r="CT108" i="43"/>
  <c r="BJ108" i="43"/>
  <c r="BF108" i="43"/>
  <c r="BY108" i="43"/>
  <c r="CX86" i="43"/>
  <c r="CT86" i="43"/>
  <c r="CC86" i="43"/>
  <c r="BH86" i="43"/>
  <c r="AQ86" i="43"/>
  <c r="CA86" i="43"/>
  <c r="CV86" i="43"/>
  <c r="BF86" i="43"/>
  <c r="BJ86" i="43"/>
  <c r="BY86" i="43"/>
  <c r="AQ59" i="43"/>
  <c r="CV59" i="43"/>
  <c r="CA59" i="43"/>
  <c r="BJ59" i="43"/>
  <c r="BF59" i="43"/>
  <c r="CC59" i="43"/>
  <c r="CT59" i="43"/>
  <c r="CX59" i="43"/>
  <c r="BH59" i="43"/>
  <c r="BY59" i="43"/>
  <c r="BK115" i="24"/>
  <c r="EI115" i="43" s="1"/>
  <c r="EJ115" i="43" s="1"/>
  <c r="Y114" i="24" s="1"/>
  <c r="Z252" i="24"/>
  <c r="CF129" i="43"/>
  <c r="BK361" i="24"/>
  <c r="EI361" i="43" s="1"/>
  <c r="EJ361" i="43" s="1"/>
  <c r="Y360" i="24" s="1"/>
  <c r="Z312" i="24"/>
  <c r="CM268" i="43"/>
  <c r="Z119" i="24"/>
  <c r="DJ87" i="43"/>
  <c r="AA86" i="24" s="1"/>
  <c r="BR87" i="43"/>
  <c r="CI56" i="43"/>
  <c r="CK56" i="43" s="1"/>
  <c r="CM56" i="43"/>
  <c r="CN56" i="43" s="1"/>
  <c r="DF343" i="43"/>
  <c r="ED131" i="43"/>
  <c r="CZ131" i="43"/>
  <c r="ED80" i="43"/>
  <c r="CZ80" i="43"/>
  <c r="BK80" i="24"/>
  <c r="EI80" i="43" s="1"/>
  <c r="EJ80" i="43" s="1"/>
  <c r="Y79" i="24" s="1"/>
  <c r="ED210" i="43"/>
  <c r="U210" i="43" s="1"/>
  <c r="CZ210" i="43"/>
  <c r="DJ348" i="43"/>
  <c r="AA347" i="24" s="1"/>
  <c r="BR348" i="43"/>
  <c r="AU26" i="43"/>
  <c r="BL132" i="43"/>
  <c r="BK132" i="24"/>
  <c r="EI132" i="43" s="1"/>
  <c r="EJ132" i="43" s="1"/>
  <c r="Y131" i="24" s="1"/>
  <c r="CF101" i="43"/>
  <c r="ED101" i="43"/>
  <c r="CZ101" i="43"/>
  <c r="BL92" i="43"/>
  <c r="BK92" i="24"/>
  <c r="EI92" i="43" s="1"/>
  <c r="EJ92" i="43" s="1"/>
  <c r="Y91" i="24" s="1"/>
  <c r="Z216" i="24"/>
  <c r="BL293" i="43"/>
  <c r="Z319" i="24"/>
  <c r="Z359" i="24"/>
  <c r="Z316" i="24"/>
  <c r="DF65" i="43"/>
  <c r="BL143" i="43"/>
  <c r="BL137" i="43"/>
  <c r="BL123" i="43"/>
  <c r="CF147" i="43"/>
  <c r="BL156" i="43"/>
  <c r="CF89" i="43"/>
  <c r="ED160" i="43"/>
  <c r="K160" i="43" s="1"/>
  <c r="AI157" i="45" s="1"/>
  <c r="CZ160" i="43"/>
  <c r="CF97" i="43"/>
  <c r="CF113" i="43"/>
  <c r="CF60" i="43"/>
  <c r="BL81" i="43"/>
  <c r="CF81" i="43"/>
  <c r="BL199" i="43"/>
  <c r="ED104" i="43"/>
  <c r="CZ104" i="43"/>
  <c r="BL193" i="43"/>
  <c r="BN23" i="43"/>
  <c r="EB23" i="43"/>
  <c r="R23" i="43" s="1"/>
  <c r="BL23" i="43"/>
  <c r="BL155" i="43"/>
  <c r="BK155" i="24"/>
  <c r="EI155" i="43" s="1"/>
  <c r="EJ155" i="43" s="1"/>
  <c r="Y154" i="24" s="1"/>
  <c r="CF85" i="43"/>
  <c r="CF121" i="43"/>
  <c r="BL121" i="43"/>
  <c r="CF93" i="43"/>
  <c r="ED47" i="43"/>
  <c r="BW47" i="24" s="1"/>
  <c r="CD47" i="24" s="1"/>
  <c r="CE47" i="24" s="1"/>
  <c r="CZ47" i="43"/>
  <c r="DB47" i="43"/>
  <c r="CF68" i="43"/>
  <c r="BL68" i="43"/>
  <c r="ED141" i="43"/>
  <c r="CZ141" i="43"/>
  <c r="ED180" i="43"/>
  <c r="CZ180" i="43"/>
  <c r="DF61" i="43"/>
  <c r="Z34" i="24"/>
  <c r="Z194" i="24"/>
  <c r="DJ339" i="43"/>
  <c r="AA338" i="24" s="1"/>
  <c r="BR339" i="43"/>
  <c r="DF372" i="43"/>
  <c r="BL302" i="43"/>
  <c r="DF272" i="43"/>
  <c r="CK307" i="43"/>
  <c r="CM307" i="43"/>
  <c r="ED225" i="43"/>
  <c r="U225" i="43" s="1"/>
  <c r="CZ225" i="43"/>
  <c r="BK214" i="24"/>
  <c r="EI214" i="43" s="1"/>
  <c r="EJ214" i="43" s="1"/>
  <c r="Y213" i="24" s="1"/>
  <c r="Z246" i="24"/>
  <c r="Z347" i="24"/>
  <c r="Z328" i="24"/>
  <c r="AQ158" i="43"/>
  <c r="CT158" i="43"/>
  <c r="BH158" i="43"/>
  <c r="CX158" i="43"/>
  <c r="CC158" i="43"/>
  <c r="CA158" i="43"/>
  <c r="CV158" i="43"/>
  <c r="BF158" i="43"/>
  <c r="BJ158" i="43"/>
  <c r="BY158" i="43"/>
  <c r="CM244" i="43"/>
  <c r="CF159" i="43"/>
  <c r="BK159" i="24"/>
  <c r="EI159" i="43" s="1"/>
  <c r="EJ159" i="43" s="1"/>
  <c r="Y158" i="24" s="1"/>
  <c r="CM91" i="43"/>
  <c r="CM267" i="43"/>
  <c r="BS40" i="43"/>
  <c r="BL223" i="43"/>
  <c r="Z336" i="24"/>
  <c r="Z380" i="24"/>
  <c r="DJ112" i="43"/>
  <c r="AA111" i="24" s="1"/>
  <c r="BR112" i="43"/>
  <c r="Z180" i="24"/>
  <c r="AU20" i="43"/>
  <c r="AU19" i="43"/>
  <c r="DJ185" i="43"/>
  <c r="BR185" i="43"/>
  <c r="DJ201" i="43"/>
  <c r="AA200" i="24" s="1"/>
  <c r="BR201" i="43"/>
  <c r="Z200" i="24"/>
  <c r="DF77" i="43"/>
  <c r="DF177" i="43"/>
  <c r="Z20" i="24"/>
  <c r="DJ21" i="43"/>
  <c r="AA20" i="24" s="1"/>
  <c r="BP21" i="43"/>
  <c r="BR21" i="43"/>
  <c r="DJ370" i="43"/>
  <c r="AA369" i="24" s="1"/>
  <c r="BR370" i="43"/>
  <c r="BL234" i="43"/>
  <c r="DJ209" i="43"/>
  <c r="AA208" i="24" s="1"/>
  <c r="BR209" i="43"/>
  <c r="Z338" i="24"/>
  <c r="DF362" i="43"/>
  <c r="Z315" i="24"/>
  <c r="Z147" i="24"/>
  <c r="BL254" i="43"/>
  <c r="BK303" i="24"/>
  <c r="EI303" i="43" s="1"/>
  <c r="EJ303" i="43" s="1"/>
  <c r="Y302" i="24" s="1"/>
  <c r="AI40" i="43"/>
  <c r="HZ40" i="43" s="1"/>
  <c r="EN40" i="43"/>
  <c r="DJ198" i="43"/>
  <c r="AA197" i="24" s="1"/>
  <c r="BR198" i="43"/>
  <c r="DJ224" i="43"/>
  <c r="AA223" i="24" s="1"/>
  <c r="BR224" i="43"/>
  <c r="DF307" i="43"/>
  <c r="CM145" i="43"/>
  <c r="CF285" i="43"/>
  <c r="ED285" i="43"/>
  <c r="U285" i="43" s="1"/>
  <c r="BL225" i="43"/>
  <c r="BK225" i="24"/>
  <c r="EI225" i="43" s="1"/>
  <c r="EJ225" i="43" s="1"/>
  <c r="Y224" i="24" s="1"/>
  <c r="CM248" i="43"/>
  <c r="DJ233" i="43"/>
  <c r="AA232" i="24" s="1"/>
  <c r="BR233" i="43"/>
  <c r="DF358" i="43"/>
  <c r="CX78" i="43"/>
  <c r="CT78" i="43"/>
  <c r="CC78" i="43"/>
  <c r="BH78" i="43"/>
  <c r="AQ78" i="43"/>
  <c r="BJ78" i="43"/>
  <c r="CV78" i="43"/>
  <c r="CA78" i="43"/>
  <c r="BF78" i="43"/>
  <c r="BY78" i="43"/>
  <c r="Z295" i="24"/>
  <c r="CF107" i="43"/>
  <c r="DF253" i="43"/>
  <c r="ED66" i="43"/>
  <c r="CZ66" i="43"/>
  <c r="BL66" i="43"/>
  <c r="DJ364" i="43"/>
  <c r="AA363" i="24" s="1"/>
  <c r="BR364" i="43"/>
  <c r="Z251" i="24"/>
  <c r="DF202" i="43"/>
  <c r="BK332" i="24"/>
  <c r="EI332" i="43" s="1"/>
  <c r="EJ332" i="43" s="1"/>
  <c r="Y331" i="24" s="1"/>
  <c r="ED332" i="43"/>
  <c r="BW332" i="24" s="1"/>
  <c r="CD332" i="24" s="1"/>
  <c r="CE332" i="24" s="1"/>
  <c r="CZ332" i="43"/>
  <c r="Z55" i="24"/>
  <c r="DJ343" i="43"/>
  <c r="AA342" i="24" s="1"/>
  <c r="BR343" i="43"/>
  <c r="DJ247" i="43"/>
  <c r="AA246" i="24" s="1"/>
  <c r="BR247" i="43"/>
  <c r="CM341" i="43"/>
  <c r="CF246" i="43"/>
  <c r="ED246" i="43"/>
  <c r="U246" i="43" s="1"/>
  <c r="CZ246" i="43"/>
  <c r="Z189" i="24"/>
  <c r="BK295" i="24"/>
  <c r="EI295" i="43" s="1"/>
  <c r="EJ295" i="43" s="1"/>
  <c r="Y294" i="24" s="1"/>
  <c r="Z40" i="24"/>
  <c r="DJ41" i="43"/>
  <c r="BP41" i="43"/>
  <c r="BR41" i="43"/>
  <c r="CM25" i="43"/>
  <c r="AQ205" i="43"/>
  <c r="CX205" i="43"/>
  <c r="CC205" i="43"/>
  <c r="BH205" i="43"/>
  <c r="CT205" i="43"/>
  <c r="L109" i="35"/>
  <c r="BJ205" i="43"/>
  <c r="BF205" i="43"/>
  <c r="BY205" i="43"/>
  <c r="CA205" i="43"/>
  <c r="CV205" i="43"/>
  <c r="DF351" i="43"/>
  <c r="CM371" i="43"/>
  <c r="Z127" i="24"/>
  <c r="BK242" i="24"/>
  <c r="EI242" i="43" s="1"/>
  <c r="EJ242" i="43" s="1"/>
  <c r="Y241" i="24" s="1"/>
  <c r="CM327" i="43"/>
  <c r="DF317" i="43"/>
  <c r="DF196" i="43"/>
  <c r="CM65" i="43"/>
  <c r="CF55" i="43"/>
  <c r="DJ232" i="43"/>
  <c r="AA231" i="24" s="1"/>
  <c r="BR232" i="43"/>
  <c r="BL159" i="43"/>
  <c r="DJ161" i="43"/>
  <c r="AA160" i="24" s="1"/>
  <c r="BR161" i="43"/>
  <c r="CM99" i="43"/>
  <c r="CI14" i="43"/>
  <c r="CK14" i="43" s="1"/>
  <c r="CM14" i="43"/>
  <c r="DF191" i="43"/>
  <c r="DD16" i="43"/>
  <c r="DF16" i="43"/>
  <c r="DD35" i="43"/>
  <c r="DF35" i="43"/>
  <c r="CI34" i="43"/>
  <c r="CK34" i="43" s="1"/>
  <c r="CM34" i="43"/>
  <c r="DF27" i="43"/>
  <c r="CI165" i="43"/>
  <c r="CK165" i="43" s="1"/>
  <c r="CM165" i="43"/>
  <c r="DF192" i="43"/>
  <c r="DJ195" i="43"/>
  <c r="BR195" i="43"/>
  <c r="Z57" i="24"/>
  <c r="CM347" i="43"/>
  <c r="DJ259" i="43"/>
  <c r="AA258" i="24" s="1"/>
  <c r="BR259" i="43"/>
  <c r="DJ46" i="43"/>
  <c r="AA45" i="24" s="1"/>
  <c r="BP46" i="43"/>
  <c r="BR46" i="43"/>
  <c r="BS46" i="43" s="1"/>
  <c r="AU50" i="43"/>
  <c r="DF198" i="43"/>
  <c r="Z144" i="24"/>
  <c r="AU33" i="43"/>
  <c r="Z351" i="24"/>
  <c r="ED119" i="43"/>
  <c r="CZ119" i="43"/>
  <c r="CF64" i="43"/>
  <c r="CF266" i="43"/>
  <c r="ED266" i="43"/>
  <c r="U266" i="43" s="1"/>
  <c r="CF109" i="43"/>
  <c r="BL109" i="43"/>
  <c r="CF72" i="43"/>
  <c r="CN24" i="43"/>
  <c r="CF43" i="43"/>
  <c r="BN43" i="43"/>
  <c r="EB43" i="43"/>
  <c r="R43" i="43" s="1"/>
  <c r="BL43" i="43"/>
  <c r="ED43" i="43"/>
  <c r="BW43" i="24" s="1"/>
  <c r="CD43" i="24" s="1"/>
  <c r="CE43" i="24" s="1"/>
  <c r="CZ43" i="43"/>
  <c r="DB43" i="43"/>
  <c r="BS36" i="43"/>
  <c r="DF252" i="43"/>
  <c r="CF336" i="43"/>
  <c r="ED336" i="43"/>
  <c r="BW336" i="24" s="1"/>
  <c r="CD336" i="24" s="1"/>
  <c r="CE336" i="24" s="1"/>
  <c r="CZ336" i="43"/>
  <c r="CF127" i="43"/>
  <c r="BL283" i="43"/>
  <c r="BL70" i="43"/>
  <c r="BS24" i="43"/>
  <c r="BK139" i="24"/>
  <c r="EI139" i="43" s="1"/>
  <c r="EJ139" i="43" s="1"/>
  <c r="Y138" i="24" s="1"/>
  <c r="Z321" i="24"/>
  <c r="DF25" i="43"/>
  <c r="DF96" i="43"/>
  <c r="Z350" i="24"/>
  <c r="CM351" i="43"/>
  <c r="Z297" i="24"/>
  <c r="DD52" i="43"/>
  <c r="DF52" i="43"/>
  <c r="BL326" i="43"/>
  <c r="CF231" i="43"/>
  <c r="ED231" i="43"/>
  <c r="U231" i="43" s="1"/>
  <c r="CZ231" i="43"/>
  <c r="ED135" i="43"/>
  <c r="CZ135" i="43"/>
  <c r="BL135" i="43"/>
  <c r="DJ329" i="43"/>
  <c r="BR329" i="43"/>
  <c r="DJ310" i="43"/>
  <c r="AA309" i="24" s="1"/>
  <c r="BR310" i="43"/>
  <c r="DJ249" i="43"/>
  <c r="AA248" i="24" s="1"/>
  <c r="BR249" i="43"/>
  <c r="Z308" i="24"/>
  <c r="ED105" i="43"/>
  <c r="CZ105" i="43"/>
  <c r="BK105" i="24"/>
  <c r="EI105" i="43" s="1"/>
  <c r="EJ105" i="43" s="1"/>
  <c r="Y104" i="24" s="1"/>
  <c r="DD42" i="43"/>
  <c r="DF42" i="43"/>
  <c r="DJ191" i="43"/>
  <c r="AA190" i="24" s="1"/>
  <c r="BR191" i="43"/>
  <c r="DJ171" i="43"/>
  <c r="AA170" i="24" s="1"/>
  <c r="BR171" i="43"/>
  <c r="DJ16" i="43"/>
  <c r="AA15" i="24" s="1"/>
  <c r="BP16" i="43"/>
  <c r="BR16" i="43"/>
  <c r="Z18" i="24"/>
  <c r="Z152" i="24"/>
  <c r="Z53" i="24"/>
  <c r="Z76" i="24"/>
  <c r="CF172" i="43"/>
  <c r="BL172" i="43"/>
  <c r="ED172" i="43"/>
  <c r="CZ172" i="43"/>
  <c r="DJ200" i="43"/>
  <c r="AA199" i="24" s="1"/>
  <c r="BR200" i="43"/>
  <c r="Z17" i="24"/>
  <c r="Z242" i="24"/>
  <c r="BL279" i="43"/>
  <c r="DF197" i="43"/>
  <c r="ED149" i="43"/>
  <c r="CZ149" i="43"/>
  <c r="CF149" i="43"/>
  <c r="BK149" i="24"/>
  <c r="EI149" i="43" s="1"/>
  <c r="EJ149" i="43" s="1"/>
  <c r="Y148" i="24" s="1"/>
  <c r="Z322" i="24"/>
  <c r="G109" i="35"/>
  <c r="G97" i="35"/>
  <c r="G93" i="35"/>
  <c r="G89" i="35"/>
  <c r="G85" i="35"/>
  <c r="G81" i="35"/>
  <c r="G69" i="35"/>
  <c r="G65" i="35"/>
  <c r="G61" i="35"/>
  <c r="G57" i="35"/>
  <c r="G53" i="35"/>
  <c r="G48" i="35"/>
  <c r="G44" i="35"/>
  <c r="G31" i="35"/>
  <c r="G27" i="35"/>
  <c r="G23" i="35"/>
  <c r="G18" i="35"/>
  <c r="G14" i="35"/>
  <c r="G10" i="35"/>
  <c r="G6" i="35"/>
  <c r="G108" i="35"/>
  <c r="G96" i="35"/>
  <c r="G84" i="35"/>
  <c r="G80" i="35"/>
  <c r="G68" i="35"/>
  <c r="G56" i="35"/>
  <c r="G52" i="35"/>
  <c r="G47" i="35"/>
  <c r="G43" i="35"/>
  <c r="G38" i="35"/>
  <c r="G30" i="35"/>
  <c r="G17" i="35"/>
  <c r="G13" i="35"/>
  <c r="G9" i="35"/>
  <c r="G106" i="35"/>
  <c r="G102" i="35"/>
  <c r="G98" i="35"/>
  <c r="G90" i="35"/>
  <c r="G82" i="35"/>
  <c r="G78" i="35"/>
  <c r="G74" i="35"/>
  <c r="G70" i="35"/>
  <c r="G62" i="35"/>
  <c r="G54" i="35"/>
  <c r="G50" i="35"/>
  <c r="G45" i="35"/>
  <c r="G32" i="35"/>
  <c r="G28" i="35"/>
  <c r="G19" i="35"/>
  <c r="G15" i="35"/>
  <c r="G11" i="35"/>
  <c r="G7" i="35"/>
  <c r="G83" i="35"/>
  <c r="G67" i="35"/>
  <c r="G16" i="35"/>
  <c r="G95" i="35"/>
  <c r="G46" i="35"/>
  <c r="G29" i="35"/>
  <c r="G12" i="35"/>
  <c r="F4" i="35"/>
  <c r="G107" i="35"/>
  <c r="G75" i="35"/>
  <c r="G42" i="35"/>
  <c r="G8" i="35"/>
  <c r="G103" i="35"/>
  <c r="G55" i="35"/>
  <c r="G37" i="35"/>
  <c r="G3" i="35"/>
  <c r="DJ314" i="43"/>
  <c r="AA313" i="24" s="1"/>
  <c r="BR314" i="43"/>
  <c r="DD33" i="43"/>
  <c r="DF33" i="43"/>
  <c r="DF187" i="43"/>
  <c r="CF289" i="43"/>
  <c r="ED289" i="43"/>
  <c r="U289" i="43" s="1"/>
  <c r="AU45" i="43"/>
  <c r="Z12" i="24"/>
  <c r="DJ13" i="43"/>
  <c r="AA12" i="24" s="1"/>
  <c r="BR13" i="43"/>
  <c r="CF276" i="43"/>
  <c r="DF220" i="43"/>
  <c r="DF264" i="43"/>
  <c r="DJ73" i="43"/>
  <c r="AA72" i="24" s="1"/>
  <c r="BR73" i="43"/>
  <c r="BK241" i="24"/>
  <c r="EI241" i="43" s="1"/>
  <c r="EJ241" i="43" s="1"/>
  <c r="Y240" i="24" s="1"/>
  <c r="Z341" i="24"/>
  <c r="ED239" i="43"/>
  <c r="U239" i="43" s="1"/>
  <c r="CZ239" i="43"/>
  <c r="Z201" i="24"/>
  <c r="CM100" i="43"/>
  <c r="AU22" i="43"/>
  <c r="DF305" i="43"/>
  <c r="DJ305" i="43"/>
  <c r="AA304" i="24" s="1"/>
  <c r="BR305" i="43"/>
  <c r="AU38" i="43"/>
  <c r="AH38" i="43" s="1"/>
  <c r="DF88" i="43"/>
  <c r="Z340" i="24"/>
  <c r="BK297" i="24"/>
  <c r="EI297" i="43" s="1"/>
  <c r="EJ297" i="43" s="1"/>
  <c r="Y296" i="24" s="1"/>
  <c r="CM26" i="43"/>
  <c r="Z24" i="24"/>
  <c r="DJ25" i="43"/>
  <c r="BR25" i="43"/>
  <c r="DJ256" i="43"/>
  <c r="AA255" i="24" s="1"/>
  <c r="BR256" i="43"/>
  <c r="DF309" i="43"/>
  <c r="BL258" i="43"/>
  <c r="CF291" i="43"/>
  <c r="ED291" i="43"/>
  <c r="U291" i="43" s="1"/>
  <c r="Z268" i="24"/>
  <c r="DF257" i="43"/>
  <c r="AU39" i="43"/>
  <c r="CF152" i="43"/>
  <c r="BK237" i="24"/>
  <c r="EI237" i="43" s="1"/>
  <c r="EJ237" i="43" s="1"/>
  <c r="Y236" i="24" s="1"/>
  <c r="DF366" i="43"/>
  <c r="DJ52" i="43"/>
  <c r="AA51" i="24" s="1"/>
  <c r="BP52" i="43"/>
  <c r="BR52" i="43"/>
  <c r="BS52" i="43" s="1"/>
  <c r="BK277" i="24"/>
  <c r="EI277" i="43" s="1"/>
  <c r="EJ277" i="43" s="1"/>
  <c r="Y276" i="24" s="1"/>
  <c r="BK215" i="24"/>
  <c r="EI215" i="43" s="1"/>
  <c r="EJ215" i="43" s="1"/>
  <c r="Y214" i="24" s="1"/>
  <c r="Z270" i="24"/>
  <c r="DJ345" i="43"/>
  <c r="AA344" i="24" s="1"/>
  <c r="BR345" i="43"/>
  <c r="Z368" i="24"/>
  <c r="CM116" i="43"/>
  <c r="AU31" i="43"/>
  <c r="DJ30" i="43"/>
  <c r="AA29" i="24" s="1"/>
  <c r="BP30" i="43"/>
  <c r="BR30" i="43"/>
  <c r="DD37" i="43"/>
  <c r="DF37" i="43"/>
  <c r="DJ106" i="43"/>
  <c r="AA105" i="24" s="1"/>
  <c r="BR106" i="43"/>
  <c r="DJ168" i="43"/>
  <c r="AA167" i="24" s="1"/>
  <c r="BR168" i="43"/>
  <c r="CM201" i="43"/>
  <c r="DF12" i="43"/>
  <c r="AU15" i="43"/>
  <c r="CM316" i="43"/>
  <c r="DD46" i="43"/>
  <c r="DF46" i="43"/>
  <c r="Z43" i="24"/>
  <c r="Z371" i="24"/>
  <c r="DJ197" i="43"/>
  <c r="AA196" i="24" s="1"/>
  <c r="BR197" i="43"/>
  <c r="DF323" i="43"/>
  <c r="AU49" i="43"/>
  <c r="CM213" i="43"/>
  <c r="CI45" i="43"/>
  <c r="CK45" i="43" s="1"/>
  <c r="CM45" i="43"/>
  <c r="CN45" i="43" s="1"/>
  <c r="Z232" i="24"/>
  <c r="BK367" i="24"/>
  <c r="EI367" i="43" s="1"/>
  <c r="EJ367" i="43" s="1"/>
  <c r="Y366" i="24" s="1"/>
  <c r="CF230" i="43"/>
  <c r="ED230" i="43"/>
  <c r="U230" i="43" s="1"/>
  <c r="CZ230" i="43"/>
  <c r="CF74" i="43"/>
  <c r="CF250" i="43"/>
  <c r="ED250" i="43"/>
  <c r="U250" i="43" s="1"/>
  <c r="CZ250" i="43"/>
  <c r="CF115" i="43"/>
  <c r="DF333" i="43"/>
  <c r="ED136" i="43"/>
  <c r="CZ136" i="43"/>
  <c r="BL129" i="43"/>
  <c r="CF361" i="43"/>
  <c r="CM364" i="43"/>
  <c r="CM202" i="43"/>
  <c r="DF112" i="43"/>
  <c r="DJ120" i="43"/>
  <c r="AA119" i="24" s="1"/>
  <c r="BR120" i="43"/>
  <c r="Z86" i="24"/>
  <c r="DD22" i="43"/>
  <c r="DF22" i="43"/>
  <c r="CM305" i="43"/>
  <c r="DD56" i="43"/>
  <c r="DF56" i="43"/>
  <c r="Z87" i="24"/>
  <c r="DJ88" i="43"/>
  <c r="AA87" i="24" s="1"/>
  <c r="BR88" i="43"/>
  <c r="CF80" i="43"/>
  <c r="BL80" i="43"/>
  <c r="DF26" i="43"/>
  <c r="CF92" i="43"/>
  <c r="DF346" i="43"/>
  <c r="BK208" i="24"/>
  <c r="EI208" i="43" s="1"/>
  <c r="EJ208" i="43" s="1"/>
  <c r="Y207" i="24" s="1"/>
  <c r="DJ238" i="43"/>
  <c r="AA237" i="24" s="1"/>
  <c r="BR238" i="43"/>
  <c r="DF232" i="43"/>
  <c r="CM269" i="43"/>
  <c r="CK317" i="43"/>
  <c r="CM317" i="43"/>
  <c r="CN36" i="43"/>
  <c r="Z244" i="24"/>
  <c r="ED143" i="43"/>
  <c r="CZ143" i="43"/>
  <c r="BK143" i="24"/>
  <c r="EI143" i="43" s="1"/>
  <c r="EJ143" i="43" s="1"/>
  <c r="Y142" i="24" s="1"/>
  <c r="CF111" i="43"/>
  <c r="EB53" i="43"/>
  <c r="R53" i="43" s="1"/>
  <c r="BN53" i="43"/>
  <c r="BL53" i="43"/>
  <c r="BK53" i="24"/>
  <c r="EI53" i="43" s="1"/>
  <c r="EJ53" i="43" s="1"/>
  <c r="Y52" i="24" s="1"/>
  <c r="FP53" i="43"/>
  <c r="ED137" i="43"/>
  <c r="CZ137" i="43"/>
  <c r="CF137" i="43"/>
  <c r="BL103" i="43"/>
  <c r="BK103" i="24"/>
  <c r="EI103" i="43" s="1"/>
  <c r="EJ103" i="43" s="1"/>
  <c r="Y102" i="24" s="1"/>
  <c r="ED147" i="43"/>
  <c r="CZ147" i="43"/>
  <c r="BK147" i="24"/>
  <c r="EI147" i="43" s="1"/>
  <c r="EJ147" i="43" s="1"/>
  <c r="Y146" i="24" s="1"/>
  <c r="CF156" i="43"/>
  <c r="BL89" i="43"/>
  <c r="BK89" i="24"/>
  <c r="EI89" i="43" s="1"/>
  <c r="EJ89" i="43" s="1"/>
  <c r="Y88" i="24" s="1"/>
  <c r="ED51" i="43"/>
  <c r="BW51" i="24" s="1"/>
  <c r="CD51" i="24" s="1"/>
  <c r="CE51" i="24" s="1"/>
  <c r="DB51" i="43"/>
  <c r="CZ51" i="43"/>
  <c r="BK160" i="24"/>
  <c r="EI160" i="43" s="1"/>
  <c r="EJ160" i="43" s="1"/>
  <c r="Y159" i="24" s="1"/>
  <c r="ED97" i="43"/>
  <c r="CZ97" i="43"/>
  <c r="BL113" i="43"/>
  <c r="BK113" i="24"/>
  <c r="EI113" i="43" s="1"/>
  <c r="EJ113" i="43" s="1"/>
  <c r="Y112" i="24" s="1"/>
  <c r="CF157" i="43"/>
  <c r="BL60" i="43"/>
  <c r="BK60" i="24"/>
  <c r="EI60" i="43" s="1"/>
  <c r="EJ60" i="43" s="1"/>
  <c r="Y59" i="24" s="1"/>
  <c r="BL62" i="43"/>
  <c r="BK81" i="24"/>
  <c r="EI81" i="43" s="1"/>
  <c r="EJ81" i="43" s="1"/>
  <c r="Y80" i="24" s="1"/>
  <c r="BK199" i="24"/>
  <c r="EI199" i="43" s="1"/>
  <c r="EJ199" i="43" s="1"/>
  <c r="Y198" i="24" s="1"/>
  <c r="ED117" i="43"/>
  <c r="CZ117" i="43"/>
  <c r="BK117" i="24"/>
  <c r="EI117" i="43" s="1"/>
  <c r="EJ117" i="43" s="1"/>
  <c r="Y116" i="24" s="1"/>
  <c r="ED193" i="43"/>
  <c r="CZ193" i="43"/>
  <c r="BK193" i="24"/>
  <c r="EI193" i="43" s="1"/>
  <c r="EJ193" i="43" s="1"/>
  <c r="Y192" i="24" s="1"/>
  <c r="ED69" i="43"/>
  <c r="CZ69" i="43"/>
  <c r="CF133" i="43"/>
  <c r="BK133" i="24"/>
  <c r="EI133" i="43" s="1"/>
  <c r="EJ133" i="43" s="1"/>
  <c r="Y132" i="24" s="1"/>
  <c r="BL85" i="43"/>
  <c r="ED85" i="43"/>
  <c r="CZ85" i="43"/>
  <c r="BK121" i="24"/>
  <c r="EI121" i="43" s="1"/>
  <c r="EJ121" i="43" s="1"/>
  <c r="Y120" i="24" s="1"/>
  <c r="ED140" i="43"/>
  <c r="CZ140" i="43"/>
  <c r="BK93" i="24"/>
  <c r="EI93" i="43" s="1"/>
  <c r="EJ93" i="43" s="1"/>
  <c r="Y92" i="24" s="1"/>
  <c r="BN47" i="43"/>
  <c r="EB47" i="43"/>
  <c r="R47" i="43" s="1"/>
  <c r="BL47" i="43"/>
  <c r="BK47" i="24"/>
  <c r="EI47" i="43" s="1"/>
  <c r="EJ47" i="43" s="1"/>
  <c r="Y46" i="24" s="1"/>
  <c r="FP47" i="43"/>
  <c r="BL162" i="43"/>
  <c r="ED68" i="43"/>
  <c r="CZ68" i="43"/>
  <c r="BK68" i="24"/>
  <c r="EI68" i="43" s="1"/>
  <c r="EJ68" i="43" s="1"/>
  <c r="Y67" i="24" s="1"/>
  <c r="BK180" i="24"/>
  <c r="EI180" i="43" s="1"/>
  <c r="EJ180" i="43" s="1"/>
  <c r="Y179" i="24" s="1"/>
  <c r="Z188" i="24"/>
  <c r="DJ19" i="43"/>
  <c r="BR19" i="43"/>
  <c r="AU29" i="43"/>
  <c r="AH29" i="43" s="1"/>
  <c r="Z215" i="24"/>
  <c r="Z304" i="24"/>
  <c r="DJ325" i="43"/>
  <c r="AA324" i="24" s="1"/>
  <c r="BR325" i="43"/>
  <c r="ED295" i="43"/>
  <c r="U295" i="43" s="1"/>
  <c r="CZ295" i="43"/>
  <c r="DJ96" i="43"/>
  <c r="AA95" i="24" s="1"/>
  <c r="BR96" i="43"/>
  <c r="CI39" i="43"/>
  <c r="CK39" i="43" s="1"/>
  <c r="CM39" i="43"/>
  <c r="W28" i="43"/>
  <c r="AD28" i="24"/>
  <c r="AI28" i="24"/>
  <c r="AE28" i="24"/>
  <c r="AF28" i="24"/>
  <c r="BL299" i="43"/>
  <c r="CM106" i="43"/>
  <c r="AU27" i="43"/>
  <c r="CM18" i="43"/>
  <c r="DF316" i="43"/>
  <c r="Z183" i="24"/>
  <c r="DD29" i="43"/>
  <c r="DF29" i="43"/>
  <c r="Z307" i="24"/>
  <c r="BK227" i="24"/>
  <c r="EI227" i="43" s="1"/>
  <c r="EJ227" i="43" s="1"/>
  <c r="Y226" i="24" s="1"/>
  <c r="DF228" i="43"/>
  <c r="ED72" i="43"/>
  <c r="CZ72" i="43"/>
  <c r="DF337" i="43"/>
  <c r="Z99" i="24"/>
  <c r="DJ100" i="43"/>
  <c r="BR100" i="43"/>
  <c r="BK330" i="24"/>
  <c r="EI330" i="43" s="1"/>
  <c r="EJ330" i="43" s="1"/>
  <c r="Y329" i="24" s="1"/>
  <c r="ED330" i="43"/>
  <c r="CZ330" i="43"/>
  <c r="ED70" i="43"/>
  <c r="CZ70" i="43"/>
  <c r="BK70" i="24"/>
  <c r="EI70" i="43" s="1"/>
  <c r="EJ70" i="43" s="1"/>
  <c r="Y69" i="24" s="1"/>
  <c r="DF194" i="43"/>
  <c r="CX126" i="43"/>
  <c r="CT126" i="43"/>
  <c r="CC126" i="43"/>
  <c r="BH126" i="43"/>
  <c r="AQ126" i="43"/>
  <c r="CV126" i="43"/>
  <c r="CA126" i="43"/>
  <c r="BJ126" i="43"/>
  <c r="BF126" i="43"/>
  <c r="BY126" i="43"/>
  <c r="CM96" i="43"/>
  <c r="ED326" i="43"/>
  <c r="CZ326" i="43"/>
  <c r="DF310" i="43"/>
  <c r="DJ61" i="43"/>
  <c r="AA60" i="24" s="1"/>
  <c r="BR61" i="43"/>
  <c r="DF168" i="43"/>
  <c r="AU35" i="43"/>
  <c r="Z168" i="24"/>
  <c r="DJ42" i="43"/>
  <c r="AA41" i="24" s="1"/>
  <c r="BP42" i="43"/>
  <c r="BR42" i="43"/>
  <c r="DJ95" i="43"/>
  <c r="AA94" i="24" s="1"/>
  <c r="BR95" i="43"/>
  <c r="DJ34" i="43"/>
  <c r="AA33" i="24" s="1"/>
  <c r="BP34" i="43"/>
  <c r="BR34" i="43"/>
  <c r="DF144" i="43"/>
  <c r="DJ77" i="43"/>
  <c r="BR77" i="43"/>
  <c r="Z369" i="24"/>
  <c r="DF370" i="43"/>
  <c r="Z124" i="24"/>
  <c r="CF234" i="43"/>
  <c r="ED234" i="43"/>
  <c r="U234" i="43" s="1"/>
  <c r="CZ234" i="43"/>
  <c r="DF18" i="43"/>
  <c r="ED76" i="43"/>
  <c r="CZ76" i="43"/>
  <c r="CF76" i="43"/>
  <c r="BK76" i="24"/>
  <c r="EI76" i="43" s="1"/>
  <c r="EJ76" i="43" s="1"/>
  <c r="Y75" i="24" s="1"/>
  <c r="DD44" i="43"/>
  <c r="DF44" i="43"/>
  <c r="CF302" i="43"/>
  <c r="ED302" i="43"/>
  <c r="U302" i="43" s="1"/>
  <c r="CZ302" i="43"/>
  <c r="DJ148" i="43"/>
  <c r="AA147" i="24" s="1"/>
  <c r="BR148" i="43"/>
  <c r="CF254" i="43"/>
  <c r="ED254" i="43"/>
  <c r="U254" i="43" s="1"/>
  <c r="CZ254" i="43"/>
  <c r="Z196" i="24"/>
  <c r="CM175" i="43"/>
  <c r="BL303" i="43"/>
  <c r="CI33" i="43"/>
  <c r="CK33" i="43" s="1"/>
  <c r="CM33" i="43"/>
  <c r="BK285" i="24"/>
  <c r="EI285" i="43" s="1"/>
  <c r="EJ285" i="43" s="1"/>
  <c r="Y284" i="24" s="1"/>
  <c r="Z212" i="24"/>
  <c r="Z210" i="24"/>
  <c r="DD45" i="43"/>
  <c r="DF45" i="43"/>
  <c r="Z28" i="24"/>
  <c r="DJ29" i="43"/>
  <c r="AA28" i="24" s="1"/>
  <c r="BP29" i="43"/>
  <c r="BR29" i="43"/>
  <c r="CM358" i="43"/>
  <c r="ED214" i="43"/>
  <c r="U214" i="43" s="1"/>
  <c r="CZ214" i="43"/>
  <c r="ED151" i="43"/>
  <c r="CZ151" i="43"/>
  <c r="DF274" i="43"/>
  <c r="BK107" i="24"/>
  <c r="EI107" i="43" s="1"/>
  <c r="EJ107" i="43" s="1"/>
  <c r="Y106" i="24" s="1"/>
  <c r="Z311" i="24"/>
  <c r="DF338" i="43"/>
  <c r="BK66" i="24"/>
  <c r="EI66" i="43" s="1"/>
  <c r="EJ66" i="43" s="1"/>
  <c r="Y65" i="24" s="1"/>
  <c r="Z363" i="24"/>
  <c r="DJ252" i="43"/>
  <c r="AA251" i="24" s="1"/>
  <c r="BR252" i="43"/>
  <c r="Z206" i="24"/>
  <c r="DJ207" i="43"/>
  <c r="AA206" i="24" s="1"/>
  <c r="BR207" i="43"/>
  <c r="CM120" i="43"/>
  <c r="Z342" i="24"/>
  <c r="BL246" i="43"/>
  <c r="BK246" i="24"/>
  <c r="EI246" i="43" s="1"/>
  <c r="EJ246" i="43" s="1"/>
  <c r="Y245" i="24" s="1"/>
  <c r="DJ194" i="43"/>
  <c r="AA193" i="24" s="1"/>
  <c r="BR194" i="43"/>
  <c r="BL295" i="43"/>
  <c r="DD41" i="43"/>
  <c r="DF41" i="43"/>
  <c r="DJ270" i="43"/>
  <c r="AA269" i="24" s="1"/>
  <c r="BR270" i="43"/>
  <c r="CF281" i="43"/>
  <c r="ED281" i="43"/>
  <c r="U281" i="43" s="1"/>
  <c r="DJ128" i="43"/>
  <c r="BR128" i="43"/>
  <c r="CF301" i="43"/>
  <c r="ED301" i="43"/>
  <c r="U301" i="43" s="1"/>
  <c r="CZ301" i="43"/>
  <c r="Z248" i="24"/>
  <c r="BL242" i="43"/>
  <c r="CF287" i="43"/>
  <c r="ED287" i="43"/>
  <c r="U287" i="43" s="1"/>
  <c r="W182" i="43"/>
  <c r="EY182" i="43"/>
  <c r="EZ182" i="43" s="1"/>
  <c r="AI182" i="24"/>
  <c r="AE182" i="24"/>
  <c r="AD182" i="24"/>
  <c r="AF182" i="24"/>
  <c r="DJ269" i="43"/>
  <c r="BR269" i="43"/>
  <c r="DJ257" i="43"/>
  <c r="AA256" i="24" s="1"/>
  <c r="BR257" i="43"/>
  <c r="Z115" i="24"/>
  <c r="CM271" i="43"/>
  <c r="DJ244" i="43"/>
  <c r="AA243" i="24" s="1"/>
  <c r="BR244" i="43"/>
  <c r="DF369" i="43"/>
  <c r="DD39" i="43"/>
  <c r="DF39" i="43"/>
  <c r="DJ65" i="43"/>
  <c r="AA64" i="24" s="1"/>
  <c r="BR65" i="43"/>
  <c r="EB55" i="43"/>
  <c r="R55" i="43" s="1"/>
  <c r="BN55" i="43"/>
  <c r="BL55" i="43"/>
  <c r="BK55" i="24"/>
  <c r="EI55" i="43" s="1"/>
  <c r="EJ55" i="43" s="1"/>
  <c r="Y54" i="24" s="1"/>
  <c r="FP55" i="43"/>
  <c r="BS28" i="43"/>
  <c r="CF299" i="43"/>
  <c r="ED299" i="43"/>
  <c r="U299" i="43" s="1"/>
  <c r="CZ299" i="43"/>
  <c r="DJ11" i="43"/>
  <c r="AA10" i="24" s="1"/>
  <c r="BP11" i="43"/>
  <c r="BR11" i="43"/>
  <c r="CI30" i="43"/>
  <c r="CK30" i="43" s="1"/>
  <c r="CM30" i="43"/>
  <c r="DD20" i="43"/>
  <c r="DF20" i="43"/>
  <c r="DF84" i="43"/>
  <c r="CM153" i="43"/>
  <c r="CM27" i="43"/>
  <c r="AU54" i="43"/>
  <c r="DJ165" i="43"/>
  <c r="BR165" i="43"/>
  <c r="Z208" i="24"/>
  <c r="DF339" i="43"/>
  <c r="DF267" i="43"/>
  <c r="AU46" i="43"/>
  <c r="CM148" i="43"/>
  <c r="DF175" i="43"/>
  <c r="W40" i="43"/>
  <c r="AI40" i="24"/>
  <c r="AE40" i="24"/>
  <c r="AD40" i="24"/>
  <c r="AF40" i="24"/>
  <c r="Z305" i="24"/>
  <c r="Z219" i="24"/>
  <c r="Z263" i="24"/>
  <c r="Z72" i="24"/>
  <c r="BL227" i="43"/>
  <c r="CF119" i="43"/>
  <c r="BK119" i="24"/>
  <c r="EI119" i="43" s="1"/>
  <c r="EJ119" i="43" s="1"/>
  <c r="Y118" i="24" s="1"/>
  <c r="ED64" i="43"/>
  <c r="CZ64" i="43"/>
  <c r="DF265" i="43"/>
  <c r="BL266" i="43"/>
  <c r="BK266" i="24"/>
  <c r="EI266" i="43" s="1"/>
  <c r="EJ266" i="43" s="1"/>
  <c r="Y265" i="24" s="1"/>
  <c r="DF354" i="43"/>
  <c r="BK109" i="24"/>
  <c r="EI109" i="43" s="1"/>
  <c r="EJ109" i="43" s="1"/>
  <c r="Y108" i="24" s="1"/>
  <c r="BL72" i="43"/>
  <c r="BK43" i="24"/>
  <c r="EI43" i="43" s="1"/>
  <c r="EJ43" i="43" s="1"/>
  <c r="Y42" i="24" s="1"/>
  <c r="FP43" i="43"/>
  <c r="DF364" i="43"/>
  <c r="Z260" i="24"/>
  <c r="CF90" i="43"/>
  <c r="BL90" i="43"/>
  <c r="ED90" i="43"/>
  <c r="CZ90" i="43"/>
  <c r="DF120" i="43"/>
  <c r="Z283" i="24"/>
  <c r="BK336" i="24"/>
  <c r="EI336" i="43" s="1"/>
  <c r="EJ336" i="43" s="1"/>
  <c r="Y335" i="24" s="1"/>
  <c r="BK127" i="24"/>
  <c r="EI127" i="43" s="1"/>
  <c r="EJ127" i="43" s="1"/>
  <c r="Y126" i="24" s="1"/>
  <c r="Z21" i="24"/>
  <c r="DJ56" i="43"/>
  <c r="BP56" i="43"/>
  <c r="BR56" i="43"/>
  <c r="BS56" i="43" s="1"/>
  <c r="BL330" i="43"/>
  <c r="Z324" i="24"/>
  <c r="CF70" i="43"/>
  <c r="CF139" i="43"/>
  <c r="BL139" i="43"/>
  <c r="DF348" i="43"/>
  <c r="CF154" i="43"/>
  <c r="ED154" i="43"/>
  <c r="CZ154" i="43"/>
  <c r="Z255" i="24"/>
  <c r="BL231" i="43"/>
  <c r="BK231" i="24"/>
  <c r="EI231" i="43" s="1"/>
  <c r="EJ231" i="43" s="1"/>
  <c r="Y230" i="24" s="1"/>
  <c r="BK135" i="24"/>
  <c r="EI135" i="43" s="1"/>
  <c r="EJ135" i="43" s="1"/>
  <c r="Y134" i="24" s="1"/>
  <c r="Z355" i="24"/>
  <c r="BL221" i="43"/>
  <c r="BL105" i="43"/>
  <c r="DJ369" i="43"/>
  <c r="BR369" i="43"/>
  <c r="DF169" i="43"/>
  <c r="Z60" i="24"/>
  <c r="DF106" i="43"/>
  <c r="Z41" i="24"/>
  <c r="DF171" i="43"/>
  <c r="Z15" i="24"/>
  <c r="AU16" i="43"/>
  <c r="CM95" i="43"/>
  <c r="DD34" i="43"/>
  <c r="DF34" i="43"/>
  <c r="DF165" i="43"/>
  <c r="DF173" i="43"/>
  <c r="Z14" i="24"/>
  <c r="CF304" i="43"/>
  <c r="ED304" i="43"/>
  <c r="S304" i="43" s="1"/>
  <c r="CZ304" i="43"/>
  <c r="DF209" i="43"/>
  <c r="BK172" i="24"/>
  <c r="EI172" i="43" s="1"/>
  <c r="EJ172" i="43" s="1"/>
  <c r="Y171" i="24" s="1"/>
  <c r="DF58" i="43"/>
  <c r="Z258" i="24"/>
  <c r="CF236" i="43"/>
  <c r="Z281" i="24"/>
  <c r="ED279" i="43"/>
  <c r="U279" i="43" s="1"/>
  <c r="CF273" i="43"/>
  <c r="BL273" i="43"/>
  <c r="ED273" i="43"/>
  <c r="U273" i="43" s="1"/>
  <c r="Z271" i="24"/>
  <c r="Z223" i="24"/>
  <c r="Z186" i="24"/>
  <c r="BK289" i="24"/>
  <c r="EI289" i="43" s="1"/>
  <c r="EJ289" i="43" s="1"/>
  <c r="Y288" i="24" s="1"/>
  <c r="DF13" i="43"/>
  <c r="BL276" i="43"/>
  <c r="BK276" i="24"/>
  <c r="EI276" i="43" s="1"/>
  <c r="EJ276" i="43" s="1"/>
  <c r="Y275" i="24" s="1"/>
  <c r="CN32" i="43"/>
  <c r="Z317" i="24"/>
  <c r="DJ228" i="43"/>
  <c r="BR228" i="43"/>
  <c r="ED275" i="43"/>
  <c r="U275" i="43" s="1"/>
  <c r="DJ342" i="43"/>
  <c r="BR342" i="43"/>
  <c r="DJ333" i="43"/>
  <c r="AA332" i="24" s="1"/>
  <c r="BR333" i="43"/>
  <c r="Z211" i="24"/>
  <c r="BL239" i="43"/>
  <c r="BK239" i="24"/>
  <c r="EI239" i="43" s="1"/>
  <c r="EJ239" i="43" s="1"/>
  <c r="Y238" i="24" s="1"/>
  <c r="DF381" i="43"/>
  <c r="DF261" i="43"/>
  <c r="DJ202" i="43"/>
  <c r="AA201" i="24" s="1"/>
  <c r="BR202" i="43"/>
  <c r="CF226" i="43"/>
  <c r="ED226" i="43"/>
  <c r="U226" i="43" s="1"/>
  <c r="CZ226" i="43"/>
  <c r="Z37" i="24"/>
  <c r="DF335" i="43"/>
  <c r="Z254" i="24"/>
  <c r="BL297" i="43"/>
  <c r="CF262" i="43"/>
  <c r="ED262" i="43"/>
  <c r="U262" i="43" s="1"/>
  <c r="CF229" i="43"/>
  <c r="ED229" i="43"/>
  <c r="U229" i="43" s="1"/>
  <c r="CZ229" i="43"/>
  <c r="Z293" i="24"/>
  <c r="G21" i="34"/>
  <c r="DF329" i="43"/>
  <c r="CF222" i="43"/>
  <c r="ED222" i="43"/>
  <c r="U222" i="43" s="1"/>
  <c r="CZ222" i="43"/>
  <c r="CM356" i="43"/>
  <c r="BK291" i="24"/>
  <c r="EI291" i="43" s="1"/>
  <c r="EJ291" i="43" s="1"/>
  <c r="Y290" i="24" s="1"/>
  <c r="Z231" i="24"/>
  <c r="DJ317" i="43"/>
  <c r="BR317" i="43"/>
  <c r="DJ245" i="43"/>
  <c r="BR245" i="43"/>
  <c r="DJ260" i="43"/>
  <c r="AA259" i="24" s="1"/>
  <c r="BR260" i="43"/>
  <c r="CI31" i="43"/>
  <c r="CK31" i="43" s="1"/>
  <c r="CM31" i="43"/>
  <c r="BL237" i="43"/>
  <c r="BL215" i="43"/>
  <c r="Z344" i="24"/>
  <c r="Z330" i="24"/>
  <c r="Z195" i="24"/>
  <c r="DF91" i="43"/>
  <c r="AU30" i="43"/>
  <c r="DJ14" i="43"/>
  <c r="AA13" i="24" s="1"/>
  <c r="BP14" i="43"/>
  <c r="BR14" i="43"/>
  <c r="CK19" i="43"/>
  <c r="CM19" i="43"/>
  <c r="CI54" i="43"/>
  <c r="CK54" i="43" s="1"/>
  <c r="CM54" i="43"/>
  <c r="CN54" i="43" s="1"/>
  <c r="DD21" i="43"/>
  <c r="DF21" i="43"/>
  <c r="DD15" i="43"/>
  <c r="DF15" i="43"/>
  <c r="Z199" i="24"/>
  <c r="CM339" i="43"/>
  <c r="CM259" i="43"/>
  <c r="DJ175" i="43"/>
  <c r="BR175" i="43"/>
  <c r="DJ184" i="43"/>
  <c r="BR184" i="43"/>
  <c r="DJ368" i="43"/>
  <c r="AA367" i="24" s="1"/>
  <c r="BR368" i="43"/>
  <c r="DF224" i="43"/>
  <c r="Z306" i="24"/>
  <c r="W48" i="43"/>
  <c r="AI48" i="24"/>
  <c r="AF48" i="24"/>
  <c r="AD48" i="24"/>
  <c r="AE48" i="24"/>
  <c r="DJ264" i="43"/>
  <c r="BR264" i="43"/>
  <c r="Z247" i="24"/>
  <c r="CF344" i="43"/>
  <c r="ED344" i="43"/>
  <c r="CZ344" i="43"/>
  <c r="BL367" i="43"/>
  <c r="DF318" i="43"/>
  <c r="BL230" i="43"/>
  <c r="BK230" i="24"/>
  <c r="EI230" i="43" s="1"/>
  <c r="EJ230" i="43" s="1"/>
  <c r="Y229" i="24" s="1"/>
  <c r="BK74" i="24"/>
  <c r="EI74" i="43" s="1"/>
  <c r="EJ74" i="43" s="1"/>
  <c r="Y73" i="24" s="1"/>
  <c r="BL250" i="43"/>
  <c r="BK250" i="24"/>
  <c r="EI250" i="43" s="1"/>
  <c r="EJ250" i="43" s="1"/>
  <c r="Y249" i="24" s="1"/>
  <c r="DF342" i="43"/>
  <c r="BL115" i="43"/>
  <c r="Z337" i="24"/>
  <c r="CF136" i="43"/>
  <c r="BL361" i="43"/>
  <c r="DF268" i="43"/>
  <c r="CM207" i="43"/>
  <c r="DF87" i="43"/>
  <c r="CF235" i="43"/>
  <c r="ED235" i="43"/>
  <c r="U235" i="43" s="1"/>
  <c r="CZ235" i="43"/>
  <c r="BL131" i="43"/>
  <c r="DF341" i="43"/>
  <c r="BL210" i="43"/>
  <c r="BK210" i="24"/>
  <c r="EI210" i="43" s="1"/>
  <c r="EJ210" i="43" s="1"/>
  <c r="Y209" i="24" s="1"/>
  <c r="Z193" i="24"/>
  <c r="ED132" i="43"/>
  <c r="CZ132" i="43"/>
  <c r="BL101" i="43"/>
  <c r="BK101" i="24"/>
  <c r="EI101" i="43" s="1"/>
  <c r="EJ101" i="43" s="1"/>
  <c r="Y100" i="24" s="1"/>
  <c r="Z370" i="24"/>
  <c r="CF293" i="43"/>
  <c r="ED293" i="43"/>
  <c r="U293" i="43" s="1"/>
  <c r="CZ293" i="43"/>
  <c r="BL208" i="43"/>
  <c r="Z333" i="24"/>
  <c r="DF360" i="43"/>
  <c r="Z326" i="24"/>
  <c r="EY183" i="43"/>
  <c r="EZ183" i="43" s="1"/>
  <c r="W183" i="43"/>
  <c r="AD183" i="24"/>
  <c r="AE183" i="24"/>
  <c r="AI183" i="24"/>
  <c r="AF183" i="24"/>
  <c r="Z243" i="24"/>
  <c r="DJ271" i="43"/>
  <c r="BR271" i="43"/>
  <c r="DF203" i="43"/>
  <c r="CF143" i="43"/>
  <c r="ED111" i="43"/>
  <c r="CZ111" i="43"/>
  <c r="ED103" i="43"/>
  <c r="CZ103" i="43"/>
  <c r="CF123" i="43"/>
  <c r="BL147" i="43"/>
  <c r="CF51" i="43"/>
  <c r="BL97" i="43"/>
  <c r="BL157" i="43"/>
  <c r="BK157" i="24"/>
  <c r="EI157" i="43" s="1"/>
  <c r="EJ157" i="43" s="1"/>
  <c r="Y156" i="24" s="1"/>
  <c r="CF62" i="43"/>
  <c r="CF199" i="43"/>
  <c r="BL117" i="43"/>
  <c r="BL104" i="43"/>
  <c r="CF69" i="43"/>
  <c r="BL69" i="43"/>
  <c r="BL133" i="43"/>
  <c r="CF23" i="43"/>
  <c r="ED23" i="43"/>
  <c r="BW23" i="24" s="1"/>
  <c r="CD23" i="24" s="1"/>
  <c r="CE23" i="24" s="1"/>
  <c r="CZ23" i="43"/>
  <c r="DB23" i="43"/>
  <c r="ED155" i="43"/>
  <c r="CZ155" i="43"/>
  <c r="ED121" i="43"/>
  <c r="CZ121" i="43"/>
  <c r="CF140" i="43"/>
  <c r="BL93" i="43"/>
  <c r="ED83" i="43"/>
  <c r="CZ83" i="43"/>
  <c r="CF162" i="43"/>
  <c r="ED162" i="43"/>
  <c r="K162" i="43" s="1"/>
  <c r="AI159" i="45" s="1"/>
  <c r="CZ162" i="43"/>
  <c r="CF141" i="43"/>
  <c r="CF166" i="43"/>
  <c r="ED166" i="43"/>
  <c r="K166" i="43" s="1"/>
  <c r="AI163" i="45" s="1"/>
  <c r="CZ166" i="43"/>
  <c r="DJ20" i="43"/>
  <c r="AA19" i="24" s="1"/>
  <c r="BP20" i="43"/>
  <c r="BR20" i="43"/>
  <c r="CM84" i="43"/>
  <c r="Z33" i="24"/>
  <c r="DJ153" i="43"/>
  <c r="BR153" i="43"/>
  <c r="DJ267" i="43"/>
  <c r="AA266" i="24" s="1"/>
  <c r="BR267" i="43"/>
  <c r="AQ63" i="43"/>
  <c r="CV63" i="43"/>
  <c r="CA63" i="43"/>
  <c r="BJ63" i="43"/>
  <c r="BF63" i="43"/>
  <c r="CC63" i="43"/>
  <c r="CT63" i="43"/>
  <c r="CX63" i="43"/>
  <c r="BH63" i="43"/>
  <c r="BY63" i="43"/>
  <c r="Z227" i="24"/>
  <c r="CM338" i="43"/>
  <c r="DF207" i="43"/>
  <c r="CX122" i="43"/>
  <c r="CT122" i="43"/>
  <c r="CC122" i="43"/>
  <c r="BH122" i="43"/>
  <c r="AQ122" i="43"/>
  <c r="CV122" i="43"/>
  <c r="CA122" i="43"/>
  <c r="BJ122" i="43"/>
  <c r="BF122" i="43"/>
  <c r="BY122" i="43"/>
  <c r="DJ322" i="43"/>
  <c r="Z95" i="24"/>
  <c r="DF371" i="43"/>
  <c r="CM238" i="43"/>
  <c r="DJ327" i="43"/>
  <c r="AA326" i="24" s="1"/>
  <c r="BR327" i="43"/>
  <c r="CX118" i="43"/>
  <c r="CT118" i="43"/>
  <c r="CC118" i="43"/>
  <c r="BH118" i="43"/>
  <c r="AQ118" i="43"/>
  <c r="CV118" i="43"/>
  <c r="CA118" i="43"/>
  <c r="BJ118" i="43"/>
  <c r="BF118" i="43"/>
  <c r="BY118" i="43"/>
  <c r="CM369" i="43"/>
  <c r="CZ55" i="43"/>
  <c r="ED55" i="43"/>
  <c r="BW55" i="24" s="1"/>
  <c r="CD55" i="24" s="1"/>
  <c r="CE55" i="24" s="1"/>
  <c r="DB55" i="43"/>
  <c r="DJ320" i="43"/>
  <c r="AA319" i="24" s="1"/>
  <c r="BR320" i="43"/>
  <c r="CM189" i="43"/>
  <c r="Z45" i="24"/>
  <c r="DJ50" i="43"/>
  <c r="AA49" i="24" s="1"/>
  <c r="BP50" i="43"/>
  <c r="BR50" i="43"/>
  <c r="BS50" i="43" s="1"/>
  <c r="DJ354" i="43"/>
  <c r="AA353" i="24" s="1"/>
  <c r="BR354" i="43"/>
  <c r="ED109" i="43"/>
  <c r="CZ109" i="43"/>
  <c r="Z346" i="24"/>
  <c r="DD30" i="43"/>
  <c r="DF30" i="43"/>
  <c r="Z13" i="24"/>
  <c r="Z19" i="24"/>
  <c r="DJ189" i="43"/>
  <c r="AA188" i="24" s="1"/>
  <c r="BR189" i="43"/>
  <c r="DJ91" i="43"/>
  <c r="BR91" i="43"/>
  <c r="DD11" i="43"/>
  <c r="DF11" i="43"/>
  <c r="DJ181" i="43"/>
  <c r="AA180" i="24" s="1"/>
  <c r="BR181" i="43"/>
  <c r="Z167" i="24"/>
  <c r="Z26" i="24"/>
  <c r="Z90" i="24"/>
  <c r="CI161" i="43"/>
  <c r="CK161" i="43" s="1"/>
  <c r="CM161" i="43"/>
  <c r="Z123" i="24"/>
  <c r="AU42" i="43"/>
  <c r="AH42" i="43" s="1"/>
  <c r="Z83" i="24"/>
  <c r="DJ84" i="43"/>
  <c r="BR84" i="43"/>
  <c r="Z94" i="24"/>
  <c r="DF185" i="43"/>
  <c r="AU34" i="43"/>
  <c r="Z172" i="24"/>
  <c r="CM177" i="43"/>
  <c r="AU21" i="43"/>
  <c r="AH21" i="43" s="1"/>
  <c r="CM125" i="43"/>
  <c r="DF125" i="43"/>
  <c r="BK234" i="24"/>
  <c r="EI234" i="43" s="1"/>
  <c r="EJ234" i="43" s="1"/>
  <c r="Y233" i="24" s="1"/>
  <c r="Z266" i="24"/>
  <c r="BL76" i="43"/>
  <c r="BK302" i="24"/>
  <c r="EI302" i="43" s="1"/>
  <c r="EJ302" i="43" s="1"/>
  <c r="Y301" i="24" s="1"/>
  <c r="BK254" i="24"/>
  <c r="EI254" i="43" s="1"/>
  <c r="EJ254" i="43" s="1"/>
  <c r="Y253" i="24" s="1"/>
  <c r="CM197" i="43"/>
  <c r="CM368" i="43"/>
  <c r="Z285" i="24"/>
  <c r="DJ307" i="43"/>
  <c r="AA306" i="24" s="1"/>
  <c r="BR307" i="43"/>
  <c r="DD49" i="43"/>
  <c r="DF49" i="43"/>
  <c r="BL285" i="43"/>
  <c r="DF248" i="43"/>
  <c r="DF233" i="43"/>
  <c r="CM233" i="43"/>
  <c r="DJ358" i="43"/>
  <c r="AA357" i="24" s="1"/>
  <c r="BR358" i="43"/>
  <c r="CF214" i="43"/>
  <c r="BL214" i="43"/>
  <c r="CF151" i="43"/>
  <c r="BL107" i="43"/>
  <c r="Z264" i="24"/>
  <c r="W186" i="43"/>
  <c r="EY186" i="43"/>
  <c r="EZ186" i="43" s="1"/>
  <c r="AI186" i="24"/>
  <c r="AE186" i="24"/>
  <c r="AD186" i="24"/>
  <c r="AF186" i="24"/>
  <c r="CM253" i="43"/>
  <c r="DF212" i="43"/>
  <c r="DF313" i="43"/>
  <c r="CF66" i="43"/>
  <c r="BL332" i="43"/>
  <c r="DD38" i="43"/>
  <c r="DF38" i="43"/>
  <c r="Z262" i="24"/>
  <c r="CM88" i="43"/>
  <c r="AU41" i="43"/>
  <c r="BS32" i="43"/>
  <c r="BK281" i="24"/>
  <c r="EI281" i="43" s="1"/>
  <c r="EJ281" i="43" s="1"/>
  <c r="Y280" i="24" s="1"/>
  <c r="BK301" i="24"/>
  <c r="EI301" i="43" s="1"/>
  <c r="EJ301" i="43" s="1"/>
  <c r="Y300" i="24" s="1"/>
  <c r="BK287" i="24"/>
  <c r="EI287" i="43" s="1"/>
  <c r="EJ287" i="43" s="1"/>
  <c r="Y286" i="24" s="1"/>
  <c r="CM320" i="43"/>
  <c r="DJ116" i="43"/>
  <c r="AA115" i="24" s="1"/>
  <c r="BR116" i="43"/>
  <c r="CM345" i="43"/>
  <c r="Z237" i="24"/>
  <c r="ED159" i="43"/>
  <c r="K159" i="43" s="1"/>
  <c r="AI156" i="45" s="1"/>
  <c r="CZ159" i="43"/>
  <c r="Z256" i="24"/>
  <c r="BK299" i="24"/>
  <c r="EI299" i="43" s="1"/>
  <c r="EJ299" i="43" s="1"/>
  <c r="Y298" i="24" s="1"/>
  <c r="AU11" i="43"/>
  <c r="AH11" i="43" s="1"/>
  <c r="Z160" i="24"/>
  <c r="DJ169" i="43"/>
  <c r="BR169" i="43"/>
  <c r="CM124" i="43"/>
  <c r="Z105" i="24"/>
  <c r="CI35" i="43"/>
  <c r="CK35" i="43" s="1"/>
  <c r="CM35" i="43"/>
  <c r="DJ27" i="43"/>
  <c r="BR27" i="43"/>
  <c r="DF201" i="43"/>
  <c r="DJ54" i="43"/>
  <c r="BP54" i="43"/>
  <c r="BR54" i="43"/>
  <c r="BS54" i="43" s="1"/>
  <c r="DJ173" i="43"/>
  <c r="BR173" i="43"/>
  <c r="CM209" i="43"/>
  <c r="DJ323" i="43"/>
  <c r="AA322" i="24" s="1"/>
  <c r="Z313" i="24"/>
  <c r="Z32" i="24"/>
  <c r="DJ33" i="43"/>
  <c r="AA32" i="24" s="1"/>
  <c r="BP33" i="43"/>
  <c r="BR33" i="43"/>
  <c r="DF213" i="43"/>
  <c r="DJ220" i="43"/>
  <c r="BR220" i="43"/>
  <c r="Z289" i="24"/>
  <c r="DJ248" i="43"/>
  <c r="AA247" i="24" s="1"/>
  <c r="BR248" i="43"/>
  <c r="CF227" i="43"/>
  <c r="ED227" i="43"/>
  <c r="U227" i="43" s="1"/>
  <c r="CZ227" i="43"/>
  <c r="CF223" i="43"/>
  <c r="ED223" i="43"/>
  <c r="U223" i="43" s="1"/>
  <c r="CZ223" i="43"/>
  <c r="BL119" i="43"/>
  <c r="BL64" i="43"/>
  <c r="DJ337" i="43"/>
  <c r="BR337" i="43"/>
  <c r="DJ253" i="43"/>
  <c r="BR253" i="43"/>
  <c r="Z299" i="24"/>
  <c r="DJ381" i="43"/>
  <c r="BR381" i="43"/>
  <c r="W36" i="43"/>
  <c r="AI36" i="24"/>
  <c r="AE36" i="24"/>
  <c r="AD36" i="24"/>
  <c r="AF36" i="24"/>
  <c r="BK90" i="24"/>
  <c r="EI90" i="43" s="1"/>
  <c r="EJ90" i="43" s="1"/>
  <c r="Y89" i="24" s="1"/>
  <c r="Z111" i="24"/>
  <c r="BL336" i="43"/>
  <c r="CF219" i="43"/>
  <c r="ED219" i="43"/>
  <c r="U219" i="43" s="1"/>
  <c r="CZ219" i="43"/>
  <c r="BL127" i="43"/>
  <c r="ED127" i="43"/>
  <c r="CZ127" i="43"/>
  <c r="DF247" i="43"/>
  <c r="CF283" i="43"/>
  <c r="ED283" i="43"/>
  <c r="U283" i="43" s="1"/>
  <c r="DF190" i="43"/>
  <c r="DJ190" i="43"/>
  <c r="AA189" i="24" s="1"/>
  <c r="BR190" i="43"/>
  <c r="CF330" i="43"/>
  <c r="W24" i="43"/>
  <c r="AI24" i="24"/>
  <c r="AE24" i="24"/>
  <c r="AD24" i="24"/>
  <c r="AF24" i="24"/>
  <c r="ED139" i="43"/>
  <c r="CZ139" i="43"/>
  <c r="DF270" i="43"/>
  <c r="DJ351" i="43"/>
  <c r="BR351" i="43"/>
  <c r="BL154" i="43"/>
  <c r="BK154" i="24"/>
  <c r="EI154" i="43" s="1"/>
  <c r="EJ154" i="43" s="1"/>
  <c r="Y153" i="24" s="1"/>
  <c r="CM128" i="43"/>
  <c r="CF326" i="43"/>
  <c r="CF221" i="43"/>
  <c r="ED221" i="43"/>
  <c r="U221" i="43" s="1"/>
  <c r="CZ221" i="43"/>
  <c r="DF249" i="43"/>
  <c r="DF161" i="43"/>
  <c r="Z29" i="24"/>
  <c r="DJ99" i="43"/>
  <c r="AA98" i="24" s="1"/>
  <c r="BR99" i="43"/>
  <c r="DF124" i="43"/>
  <c r="Z36" i="24"/>
  <c r="DJ37" i="43"/>
  <c r="BP37" i="43"/>
  <c r="BR37" i="43"/>
  <c r="Z190" i="24"/>
  <c r="DF189" i="43"/>
  <c r="Z170" i="24"/>
  <c r="CN16" i="43"/>
  <c r="DJ35" i="43"/>
  <c r="AA34" i="24" s="1"/>
  <c r="BP35" i="43"/>
  <c r="BR35" i="43"/>
  <c r="DF153" i="43"/>
  <c r="Z143" i="24"/>
  <c r="DD54" i="43"/>
  <c r="DF54" i="43"/>
  <c r="DJ192" i="43"/>
  <c r="AA191" i="24" s="1"/>
  <c r="BR192" i="43"/>
  <c r="DJ12" i="43"/>
  <c r="BR12" i="43"/>
  <c r="BK304" i="24"/>
  <c r="EI304" i="43" s="1"/>
  <c r="EJ304" i="43" s="1"/>
  <c r="Y303" i="24" s="1"/>
  <c r="ED218" i="43"/>
  <c r="U218" i="43" s="1"/>
  <c r="CZ218" i="43"/>
  <c r="CM58" i="43"/>
  <c r="DJ347" i="43"/>
  <c r="AA346" i="24" s="1"/>
  <c r="BR347" i="43"/>
  <c r="BK236" i="24"/>
  <c r="EI236" i="43" s="1"/>
  <c r="EJ236" i="43" s="1"/>
  <c r="Y235" i="24" s="1"/>
  <c r="ED236" i="43"/>
  <c r="U236" i="43" s="1"/>
  <c r="CZ236" i="43"/>
  <c r="DJ316" i="43"/>
  <c r="BR316" i="43"/>
  <c r="CF279" i="43"/>
  <c r="BK279" i="24"/>
  <c r="EI279" i="43" s="1"/>
  <c r="EJ279" i="43" s="1"/>
  <c r="Y278" i="24" s="1"/>
  <c r="DF148" i="43"/>
  <c r="BK273" i="24"/>
  <c r="EI273" i="43" s="1"/>
  <c r="EJ273" i="43" s="1"/>
  <c r="Y272" i="24" s="1"/>
  <c r="CX130" i="43"/>
  <c r="CT130" i="43"/>
  <c r="CC130" i="43"/>
  <c r="BH130" i="43"/>
  <c r="AQ130" i="43"/>
  <c r="CV130" i="43"/>
  <c r="CA130" i="43"/>
  <c r="BJ130" i="43"/>
  <c r="BF130" i="43"/>
  <c r="BY130" i="43"/>
  <c r="Z49" i="24"/>
  <c r="DF324" i="43"/>
  <c r="DF145" i="43"/>
  <c r="BL289" i="43"/>
  <c r="DJ45" i="43"/>
  <c r="AA44" i="24" s="1"/>
  <c r="BP45" i="43"/>
  <c r="BR45" i="43"/>
  <c r="BS45" i="43" s="1"/>
  <c r="CM220" i="43"/>
  <c r="AH48" i="43"/>
  <c r="CM264" i="43"/>
  <c r="Z357" i="24"/>
  <c r="CF241" i="43"/>
  <c r="BL241" i="43"/>
  <c r="Z273" i="24"/>
  <c r="CF275" i="43"/>
  <c r="CM337" i="43"/>
  <c r="Z332" i="24"/>
  <c r="CM212" i="43"/>
  <c r="CM313" i="43"/>
  <c r="Z267" i="24"/>
  <c r="CI22" i="43"/>
  <c r="CK22" i="43" s="1"/>
  <c r="CM22" i="43"/>
  <c r="BK226" i="24"/>
  <c r="EI226" i="43" s="1"/>
  <c r="EJ226" i="43" s="1"/>
  <c r="Y225" i="24" s="1"/>
  <c r="BL262" i="43"/>
  <c r="BK262" i="24"/>
  <c r="EI262" i="43" s="1"/>
  <c r="EJ262" i="43" s="1"/>
  <c r="Y261" i="24" s="1"/>
  <c r="BL229" i="43"/>
  <c r="BK229" i="24"/>
  <c r="EI229" i="43" s="1"/>
  <c r="EJ229" i="43" s="1"/>
  <c r="Y228" i="24" s="1"/>
  <c r="CI41" i="43"/>
  <c r="CK41" i="43" s="1"/>
  <c r="CM41" i="43"/>
  <c r="AU25" i="43"/>
  <c r="F74" i="34"/>
  <c r="F70" i="34"/>
  <c r="F65" i="34"/>
  <c r="F60" i="34"/>
  <c r="F54" i="34"/>
  <c r="F49" i="34"/>
  <c r="F44" i="34"/>
  <c r="F40" i="34"/>
  <c r="F35" i="34"/>
  <c r="F31" i="34"/>
  <c r="F27" i="34"/>
  <c r="F23" i="34"/>
  <c r="F18" i="34"/>
  <c r="F13" i="34"/>
  <c r="F73" i="34"/>
  <c r="F69" i="34"/>
  <c r="F64" i="34"/>
  <c r="F58" i="34"/>
  <c r="F53" i="34"/>
  <c r="F48" i="34"/>
  <c r="F43" i="34"/>
  <c r="F38" i="34"/>
  <c r="F34" i="34"/>
  <c r="F30" i="34"/>
  <c r="F26" i="34"/>
  <c r="F16" i="34"/>
  <c r="F12" i="34"/>
  <c r="E7" i="34"/>
  <c r="E29" i="34" s="1"/>
  <c r="F6" i="34"/>
  <c r="F71" i="34"/>
  <c r="F66" i="34"/>
  <c r="F61" i="34"/>
  <c r="F56" i="34"/>
  <c r="F51" i="34"/>
  <c r="F45" i="34"/>
  <c r="F41" i="34"/>
  <c r="F36" i="34"/>
  <c r="F32" i="34"/>
  <c r="F28" i="34"/>
  <c r="F24" i="34"/>
  <c r="F19" i="34"/>
  <c r="F14" i="34"/>
  <c r="F10" i="34"/>
  <c r="F63" i="34"/>
  <c r="F42" i="34"/>
  <c r="F25" i="34"/>
  <c r="F57" i="34"/>
  <c r="F37" i="34"/>
  <c r="F20" i="34"/>
  <c r="F72" i="34"/>
  <c r="F52" i="34"/>
  <c r="F33" i="34"/>
  <c r="F15" i="34"/>
  <c r="F68" i="34"/>
  <c r="F46" i="34"/>
  <c r="F11" i="34"/>
  <c r="DF256" i="43"/>
  <c r="CM256" i="43"/>
  <c r="DJ366" i="43"/>
  <c r="AA365" i="24" s="1"/>
  <c r="BR366" i="43"/>
  <c r="Z51" i="24"/>
  <c r="BK222" i="24"/>
  <c r="EI222" i="43" s="1"/>
  <c r="EJ222" i="43" s="1"/>
  <c r="Y221" i="24" s="1"/>
  <c r="Z345" i="24"/>
  <c r="DJ309" i="43"/>
  <c r="BR309" i="43"/>
  <c r="CF258" i="43"/>
  <c r="ED258" i="43"/>
  <c r="U258" i="43" s="1"/>
  <c r="BL291" i="43"/>
  <c r="DF238" i="43"/>
  <c r="CM360" i="43"/>
  <c r="CM257" i="43"/>
  <c r="DF116" i="43"/>
  <c r="EY188" i="43"/>
  <c r="EZ188" i="43" s="1"/>
  <c r="AI188" i="24"/>
  <c r="AD188" i="24"/>
  <c r="AF188" i="24"/>
  <c r="AE188" i="24"/>
  <c r="CM203" i="43"/>
  <c r="ED152" i="43"/>
  <c r="CZ152" i="43"/>
  <c r="CF237" i="43"/>
  <c r="AU52" i="43"/>
  <c r="AH52" i="43" s="1"/>
  <c r="ED215" i="43"/>
  <c r="U215" i="43" s="1"/>
  <c r="CZ215" i="43"/>
  <c r="Z38" i="24"/>
  <c r="DJ196" i="43"/>
  <c r="BR196" i="43"/>
  <c r="Z259" i="24"/>
  <c r="Z202" i="24"/>
  <c r="AU14" i="43"/>
  <c r="CM144" i="43"/>
  <c r="CM77" i="43"/>
  <c r="Z191" i="24"/>
  <c r="CI15" i="43"/>
  <c r="CK15" i="43" s="1"/>
  <c r="CM15" i="43"/>
  <c r="DF200" i="43"/>
  <c r="DF347" i="43"/>
  <c r="DJ362" i="43"/>
  <c r="BR362" i="43"/>
  <c r="CI46" i="43"/>
  <c r="CK46" i="43" s="1"/>
  <c r="CM46" i="43"/>
  <c r="CN46" i="43" s="1"/>
  <c r="DJ44" i="43"/>
  <c r="AA43" i="24" s="1"/>
  <c r="BP44" i="43"/>
  <c r="BR44" i="43"/>
  <c r="BS44" i="43" s="1"/>
  <c r="DJ372" i="43"/>
  <c r="BR372" i="43"/>
  <c r="Z367" i="24"/>
  <c r="DF368" i="43"/>
  <c r="DJ49" i="43"/>
  <c r="BP49" i="43"/>
  <c r="BR49" i="43"/>
  <c r="BS49" i="43" s="1"/>
  <c r="DF73" i="43"/>
  <c r="BK344" i="24"/>
  <c r="EI344" i="43" s="1"/>
  <c r="EJ344" i="43" s="1"/>
  <c r="Y343" i="24" s="1"/>
  <c r="DJ318" i="43"/>
  <c r="BR318" i="43"/>
  <c r="DJ274" i="43"/>
  <c r="AA273" i="24" s="1"/>
  <c r="BR274" i="43"/>
  <c r="ED74" i="43"/>
  <c r="CZ74" i="43"/>
  <c r="BL74" i="43"/>
  <c r="ED115" i="43"/>
  <c r="CZ115" i="43"/>
  <c r="DJ338" i="43"/>
  <c r="BR338" i="43"/>
  <c r="BL136" i="43"/>
  <c r="BK136" i="24"/>
  <c r="EI136" i="43" s="1"/>
  <c r="EJ136" i="43" s="1"/>
  <c r="Y135" i="24" s="1"/>
  <c r="ED129" i="43"/>
  <c r="CZ129" i="43"/>
  <c r="BK129" i="24"/>
  <c r="EI129" i="43" s="1"/>
  <c r="EJ129" i="43" s="1"/>
  <c r="Y128" i="24" s="1"/>
  <c r="ED361" i="43"/>
  <c r="BW361" i="24" s="1"/>
  <c r="CD361" i="24" s="1"/>
  <c r="CE361" i="24" s="1"/>
  <c r="CZ361" i="43"/>
  <c r="BL235" i="43"/>
  <c r="BK235" i="24"/>
  <c r="EI235" i="43" s="1"/>
  <c r="EJ235" i="43" s="1"/>
  <c r="Y234" i="24" s="1"/>
  <c r="CX142" i="43"/>
  <c r="CT142" i="43"/>
  <c r="CC142" i="43"/>
  <c r="BH142" i="43"/>
  <c r="AQ142" i="43"/>
  <c r="CV142" i="43"/>
  <c r="CA142" i="43"/>
  <c r="BJ142" i="43"/>
  <c r="BF142" i="43"/>
  <c r="BY142" i="43"/>
  <c r="CF131" i="43"/>
  <c r="BK131" i="24"/>
  <c r="EI131" i="43" s="1"/>
  <c r="EJ131" i="43" s="1"/>
  <c r="Y130" i="24" s="1"/>
  <c r="DJ26" i="43"/>
  <c r="BR26" i="43"/>
  <c r="CF132" i="43"/>
  <c r="ED92" i="43"/>
  <c r="CZ92" i="43"/>
  <c r="DF292" i="43"/>
  <c r="DJ356" i="43"/>
  <c r="AA355" i="24" s="1"/>
  <c r="BR356" i="43"/>
  <c r="BK293" i="24"/>
  <c r="EI293" i="43" s="1"/>
  <c r="EJ293" i="43" s="1"/>
  <c r="Y292" i="24" s="1"/>
  <c r="ED208" i="43"/>
  <c r="U208" i="43" s="1"/>
  <c r="CZ208" i="43"/>
  <c r="DF269" i="43"/>
  <c r="DF327" i="43"/>
  <c r="DF345" i="43"/>
  <c r="Z279" i="24"/>
  <c r="Z30" i="24"/>
  <c r="BL111" i="43"/>
  <c r="BK111" i="24"/>
  <c r="EI111" i="43" s="1"/>
  <c r="EJ111" i="43" s="1"/>
  <c r="Y110" i="24" s="1"/>
  <c r="CZ53" i="43"/>
  <c r="ED53" i="43"/>
  <c r="BW53" i="24" s="1"/>
  <c r="CD53" i="24" s="1"/>
  <c r="CE53" i="24" s="1"/>
  <c r="DB53" i="43"/>
  <c r="BK137" i="24"/>
  <c r="EI137" i="43" s="1"/>
  <c r="EJ137" i="43" s="1"/>
  <c r="Y136" i="24" s="1"/>
  <c r="CF103" i="43"/>
  <c r="ED123" i="43"/>
  <c r="CZ123" i="43"/>
  <c r="BK123" i="24"/>
  <c r="EI123" i="43" s="1"/>
  <c r="EJ123" i="43" s="1"/>
  <c r="Y122" i="24" s="1"/>
  <c r="CZ156" i="43"/>
  <c r="ED156" i="43"/>
  <c r="BK156" i="24"/>
  <c r="EI156" i="43" s="1"/>
  <c r="EJ156" i="43" s="1"/>
  <c r="Y155" i="24" s="1"/>
  <c r="ED89" i="43"/>
  <c r="CZ89" i="43"/>
  <c r="EB51" i="43"/>
  <c r="R51" i="43" s="1"/>
  <c r="BL51" i="43"/>
  <c r="BN51" i="43"/>
  <c r="BK51" i="24"/>
  <c r="EI51" i="43" s="1"/>
  <c r="EJ51" i="43" s="1"/>
  <c r="Y50" i="24" s="1"/>
  <c r="FP51" i="43"/>
  <c r="BL160" i="43"/>
  <c r="BK97" i="24"/>
  <c r="EI97" i="43" s="1"/>
  <c r="EJ97" i="43" s="1"/>
  <c r="Y96" i="24" s="1"/>
  <c r="ED113" i="43"/>
  <c r="CZ113" i="43"/>
  <c r="ED157" i="43"/>
  <c r="CZ157" i="43"/>
  <c r="ED60" i="43"/>
  <c r="CZ60" i="43"/>
  <c r="ED62" i="43"/>
  <c r="CZ62" i="43"/>
  <c r="BK62" i="24"/>
  <c r="EI62" i="43" s="1"/>
  <c r="EJ62" i="43" s="1"/>
  <c r="Y61" i="24" s="1"/>
  <c r="ED81" i="43"/>
  <c r="CZ81" i="43"/>
  <c r="ED199" i="43"/>
  <c r="U199" i="43" s="1"/>
  <c r="CZ199" i="43"/>
  <c r="CF117" i="43"/>
  <c r="CF104" i="43"/>
  <c r="BK104" i="24"/>
  <c r="EI104" i="43" s="1"/>
  <c r="EJ104" i="43" s="1"/>
  <c r="Y103" i="24" s="1"/>
  <c r="BK69" i="24"/>
  <c r="EI69" i="43" s="1"/>
  <c r="EJ69" i="43" s="1"/>
  <c r="Y68" i="24" s="1"/>
  <c r="ED133" i="43"/>
  <c r="CZ133" i="43"/>
  <c r="BK23" i="24"/>
  <c r="EI23" i="43" s="1"/>
  <c r="EJ23" i="43" s="1"/>
  <c r="Y22" i="24" s="1"/>
  <c r="FP23" i="43"/>
  <c r="CF155" i="43"/>
  <c r="BK85" i="24"/>
  <c r="EI85" i="43" s="1"/>
  <c r="EJ85" i="43" s="1"/>
  <c r="Y84" i="24" s="1"/>
  <c r="BL140" i="43"/>
  <c r="BK140" i="24"/>
  <c r="EI140" i="43" s="1"/>
  <c r="EJ140" i="43" s="1"/>
  <c r="Y139" i="24" s="1"/>
  <c r="ED93" i="43"/>
  <c r="CZ93" i="43"/>
  <c r="CF83" i="43"/>
  <c r="BL83" i="43"/>
  <c r="BK83" i="24"/>
  <c r="EI83" i="43" s="1"/>
  <c r="EJ83" i="43" s="1"/>
  <c r="Y82" i="24" s="1"/>
  <c r="BK162" i="24"/>
  <c r="EI162" i="43" s="1"/>
  <c r="EJ162" i="43" s="1"/>
  <c r="Y161" i="24" s="1"/>
  <c r="BL141" i="43"/>
  <c r="BK141" i="24"/>
  <c r="EI141" i="43" s="1"/>
  <c r="EJ141" i="43" s="1"/>
  <c r="Y140" i="24" s="1"/>
  <c r="BL180" i="43"/>
  <c r="BL166" i="43"/>
  <c r="BK166" i="24"/>
  <c r="EI166" i="43" s="1"/>
  <c r="EJ166" i="43" s="1"/>
  <c r="Y165" i="24" s="1"/>
  <c r="AV177" i="43" l="1"/>
  <c r="AI174" i="45"/>
  <c r="CI203" i="43"/>
  <c r="CK203" i="43" s="1"/>
  <c r="AI200" i="45"/>
  <c r="CI200" i="43"/>
  <c r="CK200" i="43" s="1"/>
  <c r="AI197" i="45"/>
  <c r="CI202" i="43"/>
  <c r="CK202" i="43" s="1"/>
  <c r="AI199" i="45"/>
  <c r="S167" i="43"/>
  <c r="AI164" i="45"/>
  <c r="CI244" i="43"/>
  <c r="CK244" i="43" s="1"/>
  <c r="AI241" i="45"/>
  <c r="CI256" i="43"/>
  <c r="CK256" i="43" s="1"/>
  <c r="AI253" i="45"/>
  <c r="CI252" i="43"/>
  <c r="CK252" i="43" s="1"/>
  <c r="AI249" i="45"/>
  <c r="CI264" i="43"/>
  <c r="CK264" i="43" s="1"/>
  <c r="AI261" i="45"/>
  <c r="CI207" i="43"/>
  <c r="CK207" i="43" s="1"/>
  <c r="AI204" i="45"/>
  <c r="CI268" i="43"/>
  <c r="CK268" i="43" s="1"/>
  <c r="AI265" i="45"/>
  <c r="CI220" i="43"/>
  <c r="CK220" i="43" s="1"/>
  <c r="AI217" i="45"/>
  <c r="CI267" i="43"/>
  <c r="CK267" i="43" s="1"/>
  <c r="AI264" i="45"/>
  <c r="CI253" i="43"/>
  <c r="CK253" i="43" s="1"/>
  <c r="AI250" i="45"/>
  <c r="CI318" i="43"/>
  <c r="CK318" i="43" s="1"/>
  <c r="AI315" i="45"/>
  <c r="CI259" i="43"/>
  <c r="CK259" i="43" s="1"/>
  <c r="AI256" i="45"/>
  <c r="CK309" i="43"/>
  <c r="AI306" i="45"/>
  <c r="CJ168" i="43"/>
  <c r="AI165" i="45"/>
  <c r="S163" i="43"/>
  <c r="AI160" i="45"/>
  <c r="CI257" i="43"/>
  <c r="CK257" i="43" s="1"/>
  <c r="AI254" i="45"/>
  <c r="CI270" i="43"/>
  <c r="CK270" i="43" s="1"/>
  <c r="AI267" i="45"/>
  <c r="CI245" i="43"/>
  <c r="CK245" i="43" s="1"/>
  <c r="AI242" i="45"/>
  <c r="CI233" i="43"/>
  <c r="CK233" i="43" s="1"/>
  <c r="AI230" i="45"/>
  <c r="CI209" i="43"/>
  <c r="CK209" i="43" s="1"/>
  <c r="AI206" i="45"/>
  <c r="CI212" i="43"/>
  <c r="CK212" i="43" s="1"/>
  <c r="AI209" i="45"/>
  <c r="CI260" i="43"/>
  <c r="CK260" i="43" s="1"/>
  <c r="AI257" i="45"/>
  <c r="CI238" i="43"/>
  <c r="CK238" i="43" s="1"/>
  <c r="AI235" i="45"/>
  <c r="CI261" i="43"/>
  <c r="CK261" i="43" s="1"/>
  <c r="AI258" i="45"/>
  <c r="X183" i="43"/>
  <c r="X182" i="43"/>
  <c r="X186" i="43"/>
  <c r="CI181" i="43"/>
  <c r="CK181" i="43" s="1"/>
  <c r="AV181" i="43"/>
  <c r="DC181" i="43"/>
  <c r="BO181" i="43"/>
  <c r="T181" i="43"/>
  <c r="CJ181" i="43"/>
  <c r="DC192" i="43"/>
  <c r="BO192" i="43"/>
  <c r="CJ192" i="43"/>
  <c r="T192" i="43"/>
  <c r="CJ191" i="43"/>
  <c r="T191" i="43"/>
  <c r="DC191" i="43"/>
  <c r="AV191" i="43"/>
  <c r="BO191" i="43"/>
  <c r="DC187" i="43"/>
  <c r="AV187" i="43"/>
  <c r="BO187" i="43"/>
  <c r="CJ187" i="43"/>
  <c r="T187" i="43"/>
  <c r="CJ185" i="43"/>
  <c r="DC185" i="43"/>
  <c r="T185" i="43"/>
  <c r="BO185" i="43"/>
  <c r="AV185" i="43"/>
  <c r="AV190" i="43"/>
  <c r="DC190" i="43"/>
  <c r="T190" i="43"/>
  <c r="BO190" i="43"/>
  <c r="CJ190" i="43"/>
  <c r="CI179" i="43"/>
  <c r="CK179" i="43" s="1"/>
  <c r="CJ179" i="43"/>
  <c r="DC179" i="43"/>
  <c r="BO179" i="43"/>
  <c r="AV179" i="43"/>
  <c r="T179" i="43"/>
  <c r="AJ188" i="43"/>
  <c r="AK188" i="43" s="1"/>
  <c r="C185" i="45" s="1"/>
  <c r="AJ183" i="43"/>
  <c r="AK183" i="43" s="1"/>
  <c r="C180" i="45" s="1"/>
  <c r="AV184" i="43"/>
  <c r="BO184" i="43"/>
  <c r="DC184" i="43"/>
  <c r="T184" i="43"/>
  <c r="CJ184" i="43"/>
  <c r="T189" i="43"/>
  <c r="DC189" i="43"/>
  <c r="BO189" i="43"/>
  <c r="AV189" i="43"/>
  <c r="CJ189" i="43"/>
  <c r="CI178" i="43"/>
  <c r="CK178" i="43" s="1"/>
  <c r="AV178" i="43"/>
  <c r="T178" i="43"/>
  <c r="BO178" i="43"/>
  <c r="CJ178" i="43"/>
  <c r="DC178" i="43"/>
  <c r="AJ186" i="43"/>
  <c r="AK186" i="43" s="1"/>
  <c r="C183" i="45" s="1"/>
  <c r="EB168" i="43"/>
  <c r="R168" i="43" s="1"/>
  <c r="BN168" i="43"/>
  <c r="BP168" i="43" s="1"/>
  <c r="BO168" i="43"/>
  <c r="T168" i="43"/>
  <c r="DC168" i="43"/>
  <c r="CI168" i="43"/>
  <c r="CK168" i="43" s="1"/>
  <c r="DB168" i="43"/>
  <c r="DD168" i="43" s="1"/>
  <c r="CJ169" i="43"/>
  <c r="AV169" i="43"/>
  <c r="BO169" i="43"/>
  <c r="DC169" i="43"/>
  <c r="T169" i="43"/>
  <c r="CI176" i="43"/>
  <c r="CK176" i="43" s="1"/>
  <c r="DC176" i="43"/>
  <c r="CJ176" i="43"/>
  <c r="AV176" i="43"/>
  <c r="BO176" i="43"/>
  <c r="T176" i="43"/>
  <c r="S168" i="43"/>
  <c r="AV168" i="43"/>
  <c r="AV170" i="43"/>
  <c r="DC170" i="43"/>
  <c r="CJ170" i="43"/>
  <c r="BO170" i="43"/>
  <c r="T170" i="43"/>
  <c r="CI174" i="43"/>
  <c r="CK174" i="43" s="1"/>
  <c r="DC174" i="43"/>
  <c r="CJ174" i="43"/>
  <c r="AV174" i="43"/>
  <c r="BO174" i="43"/>
  <c r="T174" i="43"/>
  <c r="CI171" i="43"/>
  <c r="CK171" i="43" s="1"/>
  <c r="DC171" i="43"/>
  <c r="CJ171" i="43"/>
  <c r="AV171" i="43"/>
  <c r="BO171" i="43"/>
  <c r="T171" i="43"/>
  <c r="CJ175" i="43"/>
  <c r="AV175" i="43"/>
  <c r="BO175" i="43"/>
  <c r="DC175" i="43"/>
  <c r="T175" i="43"/>
  <c r="CI173" i="43"/>
  <c r="CK173" i="43" s="1"/>
  <c r="AV173" i="43"/>
  <c r="BO173" i="43"/>
  <c r="DC173" i="43"/>
  <c r="CJ173" i="43"/>
  <c r="T173" i="43"/>
  <c r="CI177" i="43"/>
  <c r="CK177" i="43" s="1"/>
  <c r="CJ177" i="43"/>
  <c r="T177" i="43"/>
  <c r="DC177" i="43"/>
  <c r="BO177" i="43"/>
  <c r="L11" i="22"/>
  <c r="N11" i="22" s="1"/>
  <c r="O11" i="22" s="1"/>
  <c r="T15" i="22"/>
  <c r="S15" i="22"/>
  <c r="L13" i="22"/>
  <c r="N13" i="22" s="1"/>
  <c r="O13" i="22" s="1"/>
  <c r="Y168" i="43"/>
  <c r="CO168" i="43"/>
  <c r="CN168" i="43" s="1"/>
  <c r="DG168" i="43"/>
  <c r="BT168" i="43"/>
  <c r="BS168" i="43" s="1"/>
  <c r="BC168" i="43"/>
  <c r="FF11" i="43"/>
  <c r="T8" i="45"/>
  <c r="AB8" i="45" s="1"/>
  <c r="FP49" i="43"/>
  <c r="Q49" i="43"/>
  <c r="AA48" i="43"/>
  <c r="AB48" i="43"/>
  <c r="AA36" i="43"/>
  <c r="IA36" i="43"/>
  <c r="FP37" i="43"/>
  <c r="Q37" i="43"/>
  <c r="AA24" i="43"/>
  <c r="AB24" i="43"/>
  <c r="FP18" i="43"/>
  <c r="Q18" i="43"/>
  <c r="Q17" i="43"/>
  <c r="CZ377" i="43"/>
  <c r="DF377" i="43" s="1"/>
  <c r="BL377" i="43"/>
  <c r="BR377" i="43" s="1"/>
  <c r="CF377" i="43"/>
  <c r="CM377" i="43" s="1"/>
  <c r="EH183" i="43"/>
  <c r="L186" i="43"/>
  <c r="N186" i="43" s="1"/>
  <c r="FP186" i="43" s="1"/>
  <c r="ED377" i="43"/>
  <c r="BW377" i="24" s="1"/>
  <c r="CD377" i="24" s="1"/>
  <c r="CE377" i="24" s="1"/>
  <c r="ED378" i="43"/>
  <c r="X161" i="43"/>
  <c r="BL365" i="43"/>
  <c r="BR365" i="43" s="1"/>
  <c r="X165" i="43"/>
  <c r="EH186" i="43"/>
  <c r="L183" i="43"/>
  <c r="N183" i="43" s="1"/>
  <c r="Q183" i="43" s="1"/>
  <c r="CZ378" i="43"/>
  <c r="DF378" i="43" s="1"/>
  <c r="DB159" i="43"/>
  <c r="DD159" i="43" s="1"/>
  <c r="S159" i="43"/>
  <c r="CI65" i="43"/>
  <c r="CK65" i="43" s="1"/>
  <c r="S65" i="43"/>
  <c r="S184" i="43"/>
  <c r="BN184" i="43"/>
  <c r="BP184" i="43" s="1"/>
  <c r="DB184" i="43"/>
  <c r="DD184" i="43" s="1"/>
  <c r="EB184" i="43"/>
  <c r="R184" i="43" s="1"/>
  <c r="CI184" i="43"/>
  <c r="CK184" i="43" s="1"/>
  <c r="S220" i="43"/>
  <c r="X220" i="43" s="1"/>
  <c r="BN220" i="43"/>
  <c r="BP220" i="43" s="1"/>
  <c r="EB220" i="43"/>
  <c r="R220" i="43" s="1"/>
  <c r="DB220" i="43"/>
  <c r="DD220" i="43" s="1"/>
  <c r="S209" i="43"/>
  <c r="X209" i="43" s="1"/>
  <c r="EB209" i="43"/>
  <c r="R209" i="43" s="1"/>
  <c r="DB209" i="43"/>
  <c r="DD209" i="43" s="1"/>
  <c r="BN209" i="43"/>
  <c r="BP209" i="43" s="1"/>
  <c r="S169" i="43"/>
  <c r="EB169" i="43"/>
  <c r="AU169" i="43" s="1"/>
  <c r="DB169" i="43"/>
  <c r="DD169" i="43" s="1"/>
  <c r="BN169" i="43"/>
  <c r="BP169" i="43" s="1"/>
  <c r="CI169" i="43"/>
  <c r="CK169" i="43" s="1"/>
  <c r="CI84" i="43"/>
  <c r="CK84" i="43" s="1"/>
  <c r="S84" i="43"/>
  <c r="S274" i="43"/>
  <c r="X274" i="43" s="1"/>
  <c r="DB274" i="43"/>
  <c r="DD274" i="43" s="1"/>
  <c r="BN274" i="43"/>
  <c r="BP274" i="43" s="1"/>
  <c r="EB274" i="43"/>
  <c r="R274" i="43" s="1"/>
  <c r="CI274" i="43"/>
  <c r="CK274" i="43" s="1"/>
  <c r="S213" i="43"/>
  <c r="X213" i="43" s="1"/>
  <c r="EB213" i="43"/>
  <c r="R213" i="43" s="1"/>
  <c r="BN213" i="43"/>
  <c r="BP213" i="43" s="1"/>
  <c r="DB213" i="43"/>
  <c r="DD213" i="43" s="1"/>
  <c r="CI213" i="43"/>
  <c r="CK213" i="43" s="1"/>
  <c r="S253" i="43"/>
  <c r="X253" i="43" s="1"/>
  <c r="BN253" i="43"/>
  <c r="BP253" i="43" s="1"/>
  <c r="DB253" i="43"/>
  <c r="DD253" i="43" s="1"/>
  <c r="EB253" i="43"/>
  <c r="R253" i="43" s="1"/>
  <c r="S240" i="43"/>
  <c r="X240" i="43" s="1"/>
  <c r="DB240" i="43"/>
  <c r="DD240" i="43" s="1"/>
  <c r="BN240" i="43"/>
  <c r="BP240" i="43" s="1"/>
  <c r="EB240" i="43"/>
  <c r="R240" i="43" s="1"/>
  <c r="CI240" i="43"/>
  <c r="CK240" i="43" s="1"/>
  <c r="S269" i="43"/>
  <c r="X269" i="43" s="1"/>
  <c r="DB269" i="43"/>
  <c r="DD269" i="43" s="1"/>
  <c r="BN269" i="43"/>
  <c r="BP269" i="43" s="1"/>
  <c r="EB269" i="43"/>
  <c r="R269" i="43" s="1"/>
  <c r="CI269" i="43"/>
  <c r="CK269" i="43" s="1"/>
  <c r="S224" i="43"/>
  <c r="X224" i="43" s="1"/>
  <c r="EB224" i="43"/>
  <c r="R224" i="43" s="1"/>
  <c r="DB224" i="43"/>
  <c r="DD224" i="43" s="1"/>
  <c r="BN224" i="43"/>
  <c r="BP224" i="43" s="1"/>
  <c r="CI224" i="43"/>
  <c r="CK224" i="43" s="1"/>
  <c r="S228" i="43"/>
  <c r="X228" i="43" s="1"/>
  <c r="EB228" i="43"/>
  <c r="R228" i="43" s="1"/>
  <c r="BN228" i="43"/>
  <c r="BP228" i="43" s="1"/>
  <c r="DB228" i="43"/>
  <c r="DD228" i="43" s="1"/>
  <c r="CI228" i="43"/>
  <c r="CK228" i="43" s="1"/>
  <c r="S271" i="43"/>
  <c r="X271" i="43" s="1"/>
  <c r="EB271" i="43"/>
  <c r="R271" i="43" s="1"/>
  <c r="BN271" i="43"/>
  <c r="BP271" i="43" s="1"/>
  <c r="DB271" i="43"/>
  <c r="DD271" i="43" s="1"/>
  <c r="CI271" i="43"/>
  <c r="CK271" i="43" s="1"/>
  <c r="S185" i="43"/>
  <c r="BN185" i="43"/>
  <c r="BP185" i="43" s="1"/>
  <c r="DB185" i="43"/>
  <c r="DD185" i="43" s="1"/>
  <c r="EB185" i="43"/>
  <c r="R185" i="43" s="1"/>
  <c r="S247" i="43"/>
  <c r="X247" i="43" s="1"/>
  <c r="BN247" i="43"/>
  <c r="BP247" i="43" s="1"/>
  <c r="DB247" i="43"/>
  <c r="DD247" i="43" s="1"/>
  <c r="EB247" i="43"/>
  <c r="R247" i="43" s="1"/>
  <c r="CI247" i="43"/>
  <c r="CK247" i="43" s="1"/>
  <c r="CI128" i="43"/>
  <c r="CK128" i="43" s="1"/>
  <c r="S128" i="43"/>
  <c r="CI164" i="43"/>
  <c r="CK164" i="43" s="1"/>
  <c r="S164" i="43"/>
  <c r="S232" i="43"/>
  <c r="X232" i="43" s="1"/>
  <c r="BN232" i="43"/>
  <c r="BP232" i="43" s="1"/>
  <c r="DB232" i="43"/>
  <c r="DD232" i="43" s="1"/>
  <c r="EB232" i="43"/>
  <c r="R232" i="43" s="1"/>
  <c r="CI232" i="43"/>
  <c r="CK232" i="43" s="1"/>
  <c r="CI99" i="43"/>
  <c r="CK99" i="43" s="1"/>
  <c r="S99" i="43"/>
  <c r="S238" i="43"/>
  <c r="X238" i="43" s="1"/>
  <c r="BN238" i="43"/>
  <c r="BP238" i="43" s="1"/>
  <c r="EB238" i="43"/>
  <c r="R238" i="43" s="1"/>
  <c r="DB238" i="43"/>
  <c r="DD238" i="43" s="1"/>
  <c r="S264" i="43"/>
  <c r="X264" i="43" s="1"/>
  <c r="BN264" i="43"/>
  <c r="BP264" i="43" s="1"/>
  <c r="EB264" i="43"/>
  <c r="R264" i="43" s="1"/>
  <c r="DB264" i="43"/>
  <c r="DD264" i="43" s="1"/>
  <c r="S249" i="43"/>
  <c r="X249" i="43" s="1"/>
  <c r="BN249" i="43"/>
  <c r="BP249" i="43" s="1"/>
  <c r="DB249" i="43"/>
  <c r="DD249" i="43" s="1"/>
  <c r="EB249" i="43"/>
  <c r="R249" i="43" s="1"/>
  <c r="CI249" i="43"/>
  <c r="CK249" i="43" s="1"/>
  <c r="S201" i="43"/>
  <c r="X201" i="43" s="1"/>
  <c r="EB201" i="43"/>
  <c r="R201" i="43" s="1"/>
  <c r="DB201" i="43"/>
  <c r="DD201" i="43" s="1"/>
  <c r="BN201" i="43"/>
  <c r="BP201" i="43" s="1"/>
  <c r="CI201" i="43"/>
  <c r="CK201" i="43" s="1"/>
  <c r="S248" i="43"/>
  <c r="X248" i="43" s="1"/>
  <c r="DB248" i="43"/>
  <c r="DD248" i="43" s="1"/>
  <c r="BN248" i="43"/>
  <c r="BP248" i="43" s="1"/>
  <c r="EB248" i="43"/>
  <c r="R248" i="43" s="1"/>
  <c r="CI248" i="43"/>
  <c r="CK248" i="43" s="1"/>
  <c r="R182" i="43"/>
  <c r="EH182" i="43"/>
  <c r="CI185" i="43"/>
  <c r="CK185" i="43" s="1"/>
  <c r="DB166" i="43"/>
  <c r="DD166" i="43" s="1"/>
  <c r="S166" i="43"/>
  <c r="BN162" i="43"/>
  <c r="BP162" i="43" s="1"/>
  <c r="S162" i="43"/>
  <c r="S268" i="43"/>
  <c r="X268" i="43" s="1"/>
  <c r="EB268" i="43"/>
  <c r="R268" i="43" s="1"/>
  <c r="BN268" i="43"/>
  <c r="BP268" i="43" s="1"/>
  <c r="DB268" i="43"/>
  <c r="DD268" i="43" s="1"/>
  <c r="CI77" i="43"/>
  <c r="CK77" i="43" s="1"/>
  <c r="S77" i="43"/>
  <c r="S260" i="43"/>
  <c r="X260" i="43" s="1"/>
  <c r="BN260" i="43"/>
  <c r="BP260" i="43" s="1"/>
  <c r="EB260" i="43"/>
  <c r="R260" i="43" s="1"/>
  <c r="DB260" i="43"/>
  <c r="DD260" i="43" s="1"/>
  <c r="CI106" i="43"/>
  <c r="CK106" i="43" s="1"/>
  <c r="S106" i="43"/>
  <c r="CI73" i="43"/>
  <c r="CK73" i="43" s="1"/>
  <c r="S73" i="43"/>
  <c r="S200" i="43"/>
  <c r="X200" i="43" s="1"/>
  <c r="DB200" i="43"/>
  <c r="DD200" i="43" s="1"/>
  <c r="BN200" i="43"/>
  <c r="BP200" i="43" s="1"/>
  <c r="EB200" i="43"/>
  <c r="R200" i="43" s="1"/>
  <c r="S245" i="43"/>
  <c r="X245" i="43" s="1"/>
  <c r="EB245" i="43"/>
  <c r="R245" i="43" s="1"/>
  <c r="BN245" i="43"/>
  <c r="BP245" i="43" s="1"/>
  <c r="DB245" i="43"/>
  <c r="DD245" i="43" s="1"/>
  <c r="CI100" i="43"/>
  <c r="CK100" i="43" s="1"/>
  <c r="S100" i="43"/>
  <c r="CI153" i="43"/>
  <c r="CK153" i="43" s="1"/>
  <c r="S153" i="43"/>
  <c r="CI120" i="43"/>
  <c r="CK120" i="43" s="1"/>
  <c r="S120" i="43"/>
  <c r="S202" i="43"/>
  <c r="X202" i="43" s="1"/>
  <c r="DB202" i="43"/>
  <c r="DD202" i="43" s="1"/>
  <c r="EB202" i="43"/>
  <c r="R202" i="43" s="1"/>
  <c r="BN202" i="43"/>
  <c r="BP202" i="43" s="1"/>
  <c r="CI96" i="43"/>
  <c r="CK96" i="43" s="1"/>
  <c r="S96" i="43"/>
  <c r="CI61" i="43"/>
  <c r="CK61" i="43" s="1"/>
  <c r="S61" i="43"/>
  <c r="L182" i="43"/>
  <c r="N182" i="43" s="1"/>
  <c r="FP182" i="43" s="1"/>
  <c r="S170" i="43"/>
  <c r="EB170" i="43"/>
  <c r="AU170" i="43" s="1"/>
  <c r="DB170" i="43"/>
  <c r="DD170" i="43" s="1"/>
  <c r="BN170" i="43"/>
  <c r="BP170" i="43" s="1"/>
  <c r="S257" i="43"/>
  <c r="X257" i="43" s="1"/>
  <c r="BN257" i="43"/>
  <c r="BP257" i="43" s="1"/>
  <c r="EB257" i="43"/>
  <c r="R257" i="43" s="1"/>
  <c r="DB257" i="43"/>
  <c r="DD257" i="43" s="1"/>
  <c r="CI148" i="43"/>
  <c r="CK148" i="43" s="1"/>
  <c r="S148" i="43"/>
  <c r="S267" i="43"/>
  <c r="X267" i="43" s="1"/>
  <c r="EB267" i="43"/>
  <c r="R267" i="43" s="1"/>
  <c r="BN267" i="43"/>
  <c r="BP267" i="43" s="1"/>
  <c r="DB267" i="43"/>
  <c r="DD267" i="43" s="1"/>
  <c r="S212" i="43"/>
  <c r="X212" i="43" s="1"/>
  <c r="EB212" i="43"/>
  <c r="R212" i="43" s="1"/>
  <c r="DB212" i="43"/>
  <c r="DD212" i="43" s="1"/>
  <c r="BN212" i="43"/>
  <c r="BP212" i="43" s="1"/>
  <c r="CI125" i="43"/>
  <c r="CK125" i="43" s="1"/>
  <c r="S125" i="43"/>
  <c r="CI58" i="43"/>
  <c r="CK58" i="43" s="1"/>
  <c r="S58" i="43"/>
  <c r="S244" i="43"/>
  <c r="X244" i="43" s="1"/>
  <c r="BN244" i="43"/>
  <c r="BP244" i="43" s="1"/>
  <c r="DB244" i="43"/>
  <c r="DD244" i="43" s="1"/>
  <c r="EB244" i="43"/>
  <c r="R244" i="43" s="1"/>
  <c r="S174" i="43"/>
  <c r="BN174" i="43"/>
  <c r="BP174" i="43" s="1"/>
  <c r="DB174" i="43"/>
  <c r="DD174" i="43" s="1"/>
  <c r="EB174" i="43"/>
  <c r="CI112" i="43"/>
  <c r="CK112" i="43" s="1"/>
  <c r="S112" i="43"/>
  <c r="S256" i="43"/>
  <c r="X256" i="43" s="1"/>
  <c r="BN256" i="43"/>
  <c r="BP256" i="43" s="1"/>
  <c r="DB256" i="43"/>
  <c r="DD256" i="43" s="1"/>
  <c r="EB256" i="43"/>
  <c r="R256" i="43" s="1"/>
  <c r="S171" i="43"/>
  <c r="DB171" i="43"/>
  <c r="DD171" i="43" s="1"/>
  <c r="EB171" i="43"/>
  <c r="BN171" i="43"/>
  <c r="BP171" i="43" s="1"/>
  <c r="CI144" i="43"/>
  <c r="CK144" i="43" s="1"/>
  <c r="S144" i="43"/>
  <c r="S272" i="43"/>
  <c r="X272" i="43" s="1"/>
  <c r="BN272" i="43"/>
  <c r="BP272" i="43" s="1"/>
  <c r="DB272" i="43"/>
  <c r="DD272" i="43" s="1"/>
  <c r="EB272" i="43"/>
  <c r="R272" i="43" s="1"/>
  <c r="S203" i="43"/>
  <c r="X203" i="43" s="1"/>
  <c r="DB203" i="43"/>
  <c r="DD203" i="43" s="1"/>
  <c r="EB203" i="43"/>
  <c r="R203" i="43" s="1"/>
  <c r="BN203" i="43"/>
  <c r="BP203" i="43" s="1"/>
  <c r="CI91" i="43"/>
  <c r="CK91" i="43" s="1"/>
  <c r="S91" i="43"/>
  <c r="S176" i="43"/>
  <c r="EB176" i="43"/>
  <c r="BN176" i="43"/>
  <c r="BP176" i="43" s="1"/>
  <c r="DB176" i="43"/>
  <c r="DD176" i="43" s="1"/>
  <c r="S179" i="43"/>
  <c r="BN179" i="43"/>
  <c r="BP179" i="43" s="1"/>
  <c r="DB179" i="43"/>
  <c r="DD179" i="43" s="1"/>
  <c r="EB179" i="43"/>
  <c r="R179" i="43" s="1"/>
  <c r="CI124" i="43"/>
  <c r="CK124" i="43" s="1"/>
  <c r="S124" i="43"/>
  <c r="S207" i="43"/>
  <c r="X207" i="43" s="1"/>
  <c r="BN207" i="43"/>
  <c r="BP207" i="43" s="1"/>
  <c r="DB207" i="43"/>
  <c r="DD207" i="43" s="1"/>
  <c r="EB207" i="43"/>
  <c r="R207" i="43" s="1"/>
  <c r="CI95" i="43"/>
  <c r="CK95" i="43" s="1"/>
  <c r="S95" i="43"/>
  <c r="CI272" i="43"/>
  <c r="CK272" i="43" s="1"/>
  <c r="DC160" i="43"/>
  <c r="S160" i="43"/>
  <c r="CI170" i="43"/>
  <c r="CK170" i="43" s="1"/>
  <c r="CI116" i="43"/>
  <c r="CK116" i="43" s="1"/>
  <c r="S116" i="43"/>
  <c r="CI88" i="43"/>
  <c r="CK88" i="43" s="1"/>
  <c r="S88" i="43"/>
  <c r="CI145" i="43"/>
  <c r="CK145" i="43" s="1"/>
  <c r="S145" i="43"/>
  <c r="S181" i="43"/>
  <c r="DB181" i="43"/>
  <c r="DD181" i="43" s="1"/>
  <c r="BN181" i="43"/>
  <c r="BP181" i="43" s="1"/>
  <c r="EB181" i="43"/>
  <c r="R181" i="43" s="1"/>
  <c r="S175" i="43"/>
  <c r="BN175" i="43"/>
  <c r="BP175" i="43" s="1"/>
  <c r="DB175" i="43"/>
  <c r="DD175" i="43" s="1"/>
  <c r="EB175" i="43"/>
  <c r="S270" i="43"/>
  <c r="X270" i="43" s="1"/>
  <c r="EB270" i="43"/>
  <c r="R270" i="43" s="1"/>
  <c r="BN270" i="43"/>
  <c r="BP270" i="43" s="1"/>
  <c r="DB270" i="43"/>
  <c r="DD270" i="43" s="1"/>
  <c r="S252" i="43"/>
  <c r="X252" i="43" s="1"/>
  <c r="DB252" i="43"/>
  <c r="DD252" i="43" s="1"/>
  <c r="EB252" i="43"/>
  <c r="R252" i="43" s="1"/>
  <c r="BN252" i="43"/>
  <c r="BP252" i="43" s="1"/>
  <c r="S178" i="43"/>
  <c r="EB178" i="43"/>
  <c r="R178" i="43" s="1"/>
  <c r="BN178" i="43"/>
  <c r="BP178" i="43" s="1"/>
  <c r="DB178" i="43"/>
  <c r="DD178" i="43" s="1"/>
  <c r="S259" i="43"/>
  <c r="X259" i="43" s="1"/>
  <c r="EB259" i="43"/>
  <c r="R259" i="43" s="1"/>
  <c r="DB259" i="43"/>
  <c r="DD259" i="43" s="1"/>
  <c r="BN259" i="43"/>
  <c r="BP259" i="43" s="1"/>
  <c r="CI87" i="43"/>
  <c r="CK87" i="43" s="1"/>
  <c r="S87" i="43"/>
  <c r="S261" i="43"/>
  <c r="X261" i="43" s="1"/>
  <c r="BN261" i="43"/>
  <c r="BP261" i="43" s="1"/>
  <c r="EB261" i="43"/>
  <c r="R261" i="43" s="1"/>
  <c r="DB261" i="43"/>
  <c r="DD261" i="43" s="1"/>
  <c r="S173" i="43"/>
  <c r="DB173" i="43"/>
  <c r="DD173" i="43" s="1"/>
  <c r="BN173" i="43"/>
  <c r="BP173" i="43" s="1"/>
  <c r="EB173" i="43"/>
  <c r="S265" i="43"/>
  <c r="X265" i="43" s="1"/>
  <c r="EB265" i="43"/>
  <c r="R265" i="43" s="1"/>
  <c r="DB265" i="43"/>
  <c r="DD265" i="43" s="1"/>
  <c r="BN265" i="43"/>
  <c r="BP265" i="43" s="1"/>
  <c r="S233" i="43"/>
  <c r="X233" i="43" s="1"/>
  <c r="EB233" i="43"/>
  <c r="R233" i="43" s="1"/>
  <c r="BN233" i="43"/>
  <c r="BP233" i="43" s="1"/>
  <c r="DB233" i="43"/>
  <c r="DD233" i="43" s="1"/>
  <c r="S177" i="43"/>
  <c r="DB177" i="43"/>
  <c r="DD177" i="43" s="1"/>
  <c r="EB177" i="43"/>
  <c r="BN177" i="43"/>
  <c r="BP177" i="43" s="1"/>
  <c r="CI265" i="43"/>
  <c r="CK265" i="43" s="1"/>
  <c r="CI175" i="43"/>
  <c r="CK175" i="43" s="1"/>
  <c r="CF373" i="43"/>
  <c r="CM373" i="43" s="1"/>
  <c r="CF378" i="43"/>
  <c r="CM378" i="43" s="1"/>
  <c r="BL378" i="43"/>
  <c r="BR378" i="43" s="1"/>
  <c r="CZ375" i="43"/>
  <c r="DF375" i="43" s="1"/>
  <c r="ED365" i="43"/>
  <c r="BW365" i="24" s="1"/>
  <c r="CD365" i="24" s="1"/>
  <c r="CE365" i="24" s="1"/>
  <c r="BL375" i="43"/>
  <c r="BR375" i="43" s="1"/>
  <c r="CZ373" i="43"/>
  <c r="DF373" i="43" s="1"/>
  <c r="ED375" i="43"/>
  <c r="BW375" i="24" s="1"/>
  <c r="CD375" i="24" s="1"/>
  <c r="CE375" i="24" s="1"/>
  <c r="CZ365" i="43"/>
  <c r="DF365" i="43" s="1"/>
  <c r="ED373" i="43"/>
  <c r="BW373" i="24" s="1"/>
  <c r="CB373" i="24" s="1"/>
  <c r="CF375" i="43"/>
  <c r="CM375" i="43" s="1"/>
  <c r="BL373" i="43"/>
  <c r="BR373" i="43" s="1"/>
  <c r="CF365" i="43"/>
  <c r="CM365" i="43" s="1"/>
  <c r="CZ363" i="43"/>
  <c r="DF363" i="43" s="1"/>
  <c r="ED363" i="43"/>
  <c r="BW363" i="24" s="1"/>
  <c r="CB363" i="24" s="1"/>
  <c r="BL363" i="43"/>
  <c r="BR363" i="43" s="1"/>
  <c r="CF363" i="43"/>
  <c r="CM363" i="43" s="1"/>
  <c r="W163" i="43"/>
  <c r="X317" i="43"/>
  <c r="BP317" i="43"/>
  <c r="DD317" i="43"/>
  <c r="EB317" i="43"/>
  <c r="R317" i="43" s="1"/>
  <c r="X310" i="43"/>
  <c r="DD310" i="43"/>
  <c r="EB310" i="43"/>
  <c r="R310" i="43" s="1"/>
  <c r="BP310" i="43"/>
  <c r="X313" i="43"/>
  <c r="BP313" i="43"/>
  <c r="DD313" i="43"/>
  <c r="EB313" i="43"/>
  <c r="R313" i="43" s="1"/>
  <c r="X305" i="43"/>
  <c r="EB305" i="43"/>
  <c r="R305" i="43" s="1"/>
  <c r="DD305" i="43"/>
  <c r="BP305" i="43"/>
  <c r="CK313" i="43"/>
  <c r="CK305" i="43"/>
  <c r="X318" i="43"/>
  <c r="BN318" i="43"/>
  <c r="BP318" i="43" s="1"/>
  <c r="EB318" i="43"/>
  <c r="R318" i="43" s="1"/>
  <c r="DB318" i="43"/>
  <c r="DD318" i="43" s="1"/>
  <c r="X316" i="43"/>
  <c r="BP316" i="43"/>
  <c r="EB316" i="43"/>
  <c r="R316" i="43" s="1"/>
  <c r="DD316" i="43"/>
  <c r="CK316" i="43"/>
  <c r="X315" i="43"/>
  <c r="BP315" i="43"/>
  <c r="DD315" i="43"/>
  <c r="EB315" i="43"/>
  <c r="R315" i="43" s="1"/>
  <c r="X309" i="43"/>
  <c r="BP309" i="43"/>
  <c r="EB309" i="43"/>
  <c r="R309" i="43" s="1"/>
  <c r="DD309" i="43"/>
  <c r="X311" i="43"/>
  <c r="BP311" i="43"/>
  <c r="EB311" i="43"/>
  <c r="R311" i="43" s="1"/>
  <c r="DD311" i="43"/>
  <c r="X314" i="43"/>
  <c r="BP314" i="43"/>
  <c r="EB314" i="43"/>
  <c r="R314" i="43" s="1"/>
  <c r="DD314" i="43"/>
  <c r="X307" i="43"/>
  <c r="EB307" i="43"/>
  <c r="R307" i="43" s="1"/>
  <c r="BP307" i="43"/>
  <c r="DD307" i="43"/>
  <c r="CK315" i="43"/>
  <c r="CK314" i="43"/>
  <c r="CN161" i="43"/>
  <c r="AJ161" i="43"/>
  <c r="AK161" i="43" s="1"/>
  <c r="C158" i="45" s="1"/>
  <c r="CB125" i="24"/>
  <c r="CB65" i="24"/>
  <c r="CB145" i="24"/>
  <c r="BN160" i="43"/>
  <c r="BP160" i="43" s="1"/>
  <c r="CB77" i="24"/>
  <c r="CB95" i="24"/>
  <c r="CB73" i="24"/>
  <c r="CB116" i="24"/>
  <c r="CB167" i="24"/>
  <c r="CB58" i="24"/>
  <c r="CB240" i="24"/>
  <c r="CB106" i="24"/>
  <c r="CB100" i="24"/>
  <c r="CB144" i="24"/>
  <c r="CB176" i="24"/>
  <c r="CB99" i="24"/>
  <c r="CB124" i="24"/>
  <c r="CB170" i="24"/>
  <c r="AJ165" i="43"/>
  <c r="AK165" i="43" s="1"/>
  <c r="C162" i="45" s="1"/>
  <c r="CN165" i="43"/>
  <c r="BS161" i="43"/>
  <c r="CB87" i="24"/>
  <c r="BN166" i="43"/>
  <c r="BP166" i="43" s="1"/>
  <c r="DC159" i="43"/>
  <c r="CB163" i="24"/>
  <c r="CB120" i="24"/>
  <c r="W240" i="43"/>
  <c r="DB160" i="43"/>
  <c r="DD160" i="43" s="1"/>
  <c r="CB148" i="24"/>
  <c r="CB96" i="24"/>
  <c r="CB91" i="24"/>
  <c r="CB174" i="24"/>
  <c r="BS165" i="43"/>
  <c r="CB112" i="24"/>
  <c r="CB128" i="24"/>
  <c r="CB61" i="24"/>
  <c r="CB84" i="24"/>
  <c r="CB88" i="24"/>
  <c r="CB153" i="24"/>
  <c r="BW93" i="24"/>
  <c r="CD93" i="24" s="1"/>
  <c r="CE93" i="24" s="1"/>
  <c r="K93" i="43"/>
  <c r="AI90" i="45" s="1"/>
  <c r="K208" i="43"/>
  <c r="BW92" i="24"/>
  <c r="CD92" i="24" s="1"/>
  <c r="CE92" i="24" s="1"/>
  <c r="K92" i="43"/>
  <c r="AI89" i="45" s="1"/>
  <c r="K215" i="43"/>
  <c r="AI212" i="45" s="1"/>
  <c r="BW152" i="24"/>
  <c r="CD152" i="24" s="1"/>
  <c r="CE152" i="24" s="1"/>
  <c r="K152" i="43"/>
  <c r="AI149" i="45" s="1"/>
  <c r="K283" i="43"/>
  <c r="AV159" i="43"/>
  <c r="Y159" i="43"/>
  <c r="DG159" i="43"/>
  <c r="BT159" i="43"/>
  <c r="BC159" i="43"/>
  <c r="T159" i="43"/>
  <c r="CO159" i="43"/>
  <c r="BO159" i="43"/>
  <c r="BN159" i="43"/>
  <c r="BP159" i="43" s="1"/>
  <c r="EB159" i="43"/>
  <c r="R159" i="43" s="1"/>
  <c r="CJ159" i="43"/>
  <c r="AV166" i="43"/>
  <c r="CO166" i="43"/>
  <c r="BT166" i="43"/>
  <c r="BC166" i="43"/>
  <c r="T166" i="43"/>
  <c r="Y166" i="43"/>
  <c r="DG166" i="43"/>
  <c r="DC166" i="43"/>
  <c r="EB166" i="43"/>
  <c r="R166" i="43" s="1"/>
  <c r="BO166" i="43"/>
  <c r="CJ166" i="43"/>
  <c r="DB162" i="43"/>
  <c r="DD162" i="43" s="1"/>
  <c r="K275" i="43"/>
  <c r="K279" i="43"/>
  <c r="BW64" i="24"/>
  <c r="CD64" i="24" s="1"/>
  <c r="CE64" i="24" s="1"/>
  <c r="K64" i="43"/>
  <c r="AI61" i="45" s="1"/>
  <c r="K302" i="43"/>
  <c r="K234" i="43"/>
  <c r="BW70" i="24"/>
  <c r="CD70" i="24" s="1"/>
  <c r="CE70" i="24" s="1"/>
  <c r="K70" i="43"/>
  <c r="AI67" i="45" s="1"/>
  <c r="BW85" i="24"/>
  <c r="CD85" i="24" s="1"/>
  <c r="CE85" i="24" s="1"/>
  <c r="K85" i="43"/>
  <c r="AI82" i="45" s="1"/>
  <c r="BW117" i="24"/>
  <c r="CD117" i="24" s="1"/>
  <c r="CE117" i="24" s="1"/>
  <c r="K117" i="43"/>
  <c r="AI114" i="45" s="1"/>
  <c r="BW133" i="24"/>
  <c r="CD133" i="24" s="1"/>
  <c r="CE133" i="24" s="1"/>
  <c r="K133" i="43"/>
  <c r="AI130" i="45" s="1"/>
  <c r="BW62" i="24"/>
  <c r="CD62" i="24" s="1"/>
  <c r="CE62" i="24" s="1"/>
  <c r="K62" i="43"/>
  <c r="AI59" i="45" s="1"/>
  <c r="K199" i="43"/>
  <c r="AI196" i="45" s="1"/>
  <c r="BW81" i="24"/>
  <c r="CD81" i="24" s="1"/>
  <c r="CE81" i="24" s="1"/>
  <c r="K81" i="43"/>
  <c r="AI78" i="45" s="1"/>
  <c r="BW115" i="24"/>
  <c r="CD115" i="24" s="1"/>
  <c r="CE115" i="24" s="1"/>
  <c r="K115" i="43"/>
  <c r="AI112" i="45" s="1"/>
  <c r="K258" i="43"/>
  <c r="BW83" i="24"/>
  <c r="CD83" i="24" s="1"/>
  <c r="CE83" i="24" s="1"/>
  <c r="K83" i="43"/>
  <c r="AI80" i="45" s="1"/>
  <c r="BW121" i="24"/>
  <c r="CD121" i="24" s="1"/>
  <c r="CE121" i="24" s="1"/>
  <c r="K121" i="43"/>
  <c r="AI118" i="45" s="1"/>
  <c r="BW155" i="24"/>
  <c r="CD155" i="24" s="1"/>
  <c r="CE155" i="24" s="1"/>
  <c r="K155" i="43"/>
  <c r="AI152" i="45" s="1"/>
  <c r="BW103" i="24"/>
  <c r="CD103" i="24" s="1"/>
  <c r="CE103" i="24" s="1"/>
  <c r="K103" i="43"/>
  <c r="AI100" i="45" s="1"/>
  <c r="K235" i="43"/>
  <c r="K262" i="43"/>
  <c r="K299" i="43"/>
  <c r="K301" i="43"/>
  <c r="BW151" i="24"/>
  <c r="CD151" i="24" s="1"/>
  <c r="CE151" i="24" s="1"/>
  <c r="K151" i="43"/>
  <c r="AI148" i="45" s="1"/>
  <c r="K214" i="43"/>
  <c r="AI211" i="45" s="1"/>
  <c r="K254" i="43"/>
  <c r="K295" i="43"/>
  <c r="BW69" i="24"/>
  <c r="CD69" i="24" s="1"/>
  <c r="CE69" i="24" s="1"/>
  <c r="K69" i="43"/>
  <c r="AI66" i="45" s="1"/>
  <c r="BW60" i="24"/>
  <c r="CD60" i="24" s="1"/>
  <c r="CE60" i="24" s="1"/>
  <c r="K60" i="43"/>
  <c r="AI57" i="45" s="1"/>
  <c r="BW156" i="24"/>
  <c r="CD156" i="24" s="1"/>
  <c r="CE156" i="24" s="1"/>
  <c r="K156" i="43"/>
  <c r="AI153" i="45" s="1"/>
  <c r="BW123" i="24"/>
  <c r="CD123" i="24" s="1"/>
  <c r="CE123" i="24" s="1"/>
  <c r="K123" i="43"/>
  <c r="AI120" i="45" s="1"/>
  <c r="BW129" i="24"/>
  <c r="CD129" i="24" s="1"/>
  <c r="CE129" i="24" s="1"/>
  <c r="K129" i="43"/>
  <c r="AI126" i="45" s="1"/>
  <c r="BW74" i="24"/>
  <c r="CD74" i="24" s="1"/>
  <c r="CE74" i="24" s="1"/>
  <c r="K74" i="43"/>
  <c r="AI71" i="45" s="1"/>
  <c r="K236" i="43"/>
  <c r="K218" i="43"/>
  <c r="AI215" i="45" s="1"/>
  <c r="K221" i="43"/>
  <c r="BW127" i="24"/>
  <c r="CD127" i="24" s="1"/>
  <c r="CE127" i="24" s="1"/>
  <c r="K127" i="43"/>
  <c r="AI124" i="45" s="1"/>
  <c r="K219" i="43"/>
  <c r="AV162" i="43"/>
  <c r="T162" i="43"/>
  <c r="BT162" i="43"/>
  <c r="Y162" i="43"/>
  <c r="CO162" i="43"/>
  <c r="DG162" i="43"/>
  <c r="BC162" i="43"/>
  <c r="EB162" i="43"/>
  <c r="R162" i="43" s="1"/>
  <c r="CJ162" i="43"/>
  <c r="BO162" i="43"/>
  <c r="DC162" i="43"/>
  <c r="BW111" i="24"/>
  <c r="CD111" i="24" s="1"/>
  <c r="CE111" i="24" s="1"/>
  <c r="K111" i="43"/>
  <c r="AI108" i="45" s="1"/>
  <c r="K293" i="43"/>
  <c r="BW132" i="24"/>
  <c r="CD132" i="24" s="1"/>
  <c r="CE132" i="24" s="1"/>
  <c r="K132" i="43"/>
  <c r="AI129" i="45" s="1"/>
  <c r="K222" i="43"/>
  <c r="K229" i="43"/>
  <c r="K273" i="43"/>
  <c r="BW154" i="24"/>
  <c r="CD154" i="24" s="1"/>
  <c r="CE154" i="24" s="1"/>
  <c r="K154" i="43"/>
  <c r="AI151" i="45" s="1"/>
  <c r="K287" i="43"/>
  <c r="BW76" i="24"/>
  <c r="CD76" i="24" s="1"/>
  <c r="CE76" i="24" s="1"/>
  <c r="K76" i="43"/>
  <c r="AI73" i="45" s="1"/>
  <c r="BW97" i="24"/>
  <c r="CD97" i="24" s="1"/>
  <c r="CE97" i="24" s="1"/>
  <c r="K97" i="43"/>
  <c r="AI94" i="45" s="1"/>
  <c r="BW147" i="24"/>
  <c r="CD147" i="24" s="1"/>
  <c r="CE147" i="24" s="1"/>
  <c r="K147" i="43"/>
  <c r="AI144" i="45" s="1"/>
  <c r="BW137" i="24"/>
  <c r="CD137" i="24" s="1"/>
  <c r="CE137" i="24" s="1"/>
  <c r="K137" i="43"/>
  <c r="AI134" i="45" s="1"/>
  <c r="BW157" i="24"/>
  <c r="CD157" i="24" s="1"/>
  <c r="CE157" i="24" s="1"/>
  <c r="K157" i="43"/>
  <c r="AI154" i="45" s="1"/>
  <c r="BW113" i="24"/>
  <c r="CD113" i="24" s="1"/>
  <c r="CE113" i="24" s="1"/>
  <c r="K113" i="43"/>
  <c r="AI110" i="45" s="1"/>
  <c r="BW89" i="24"/>
  <c r="CD89" i="24" s="1"/>
  <c r="CE89" i="24" s="1"/>
  <c r="K89" i="43"/>
  <c r="AI86" i="45" s="1"/>
  <c r="BW139" i="24"/>
  <c r="CD139" i="24" s="1"/>
  <c r="CE139" i="24" s="1"/>
  <c r="K139" i="43"/>
  <c r="AI136" i="45" s="1"/>
  <c r="K223" i="43"/>
  <c r="K227" i="43"/>
  <c r="AI224" i="45" s="1"/>
  <c r="BW109" i="24"/>
  <c r="CD109" i="24" s="1"/>
  <c r="CE109" i="24" s="1"/>
  <c r="K109" i="43"/>
  <c r="AI106" i="45" s="1"/>
  <c r="K226" i="43"/>
  <c r="AI223" i="45" s="1"/>
  <c r="K304" i="43"/>
  <c r="AI301" i="45" s="1"/>
  <c r="BW90" i="24"/>
  <c r="CD90" i="24" s="1"/>
  <c r="CE90" i="24" s="1"/>
  <c r="K90" i="43"/>
  <c r="AI87" i="45" s="1"/>
  <c r="K281" i="43"/>
  <c r="BW72" i="24"/>
  <c r="CD72" i="24" s="1"/>
  <c r="CE72" i="24" s="1"/>
  <c r="K72" i="43"/>
  <c r="AI69" i="45" s="1"/>
  <c r="BW68" i="24"/>
  <c r="CD68" i="24" s="1"/>
  <c r="CE68" i="24" s="1"/>
  <c r="K68" i="43"/>
  <c r="AI65" i="45" s="1"/>
  <c r="BW140" i="24"/>
  <c r="CD140" i="24" s="1"/>
  <c r="CE140" i="24" s="1"/>
  <c r="K140" i="43"/>
  <c r="AI137" i="45" s="1"/>
  <c r="BW143" i="24"/>
  <c r="CD143" i="24" s="1"/>
  <c r="CE143" i="24" s="1"/>
  <c r="K143" i="43"/>
  <c r="AI140" i="45" s="1"/>
  <c r="K230" i="43"/>
  <c r="K291" i="43"/>
  <c r="K289" i="43"/>
  <c r="U172" i="43"/>
  <c r="K172" i="43"/>
  <c r="AI169" i="45" s="1"/>
  <c r="BW105" i="24"/>
  <c r="CD105" i="24" s="1"/>
  <c r="CE105" i="24" s="1"/>
  <c r="K105" i="43"/>
  <c r="AI102" i="45" s="1"/>
  <c r="BW135" i="24"/>
  <c r="CD135" i="24" s="1"/>
  <c r="CE135" i="24" s="1"/>
  <c r="K135" i="43"/>
  <c r="AI132" i="45" s="1"/>
  <c r="K231" i="43"/>
  <c r="K246" i="43"/>
  <c r="K285" i="43"/>
  <c r="BW101" i="24"/>
  <c r="CD101" i="24" s="1"/>
  <c r="CE101" i="24" s="1"/>
  <c r="K101" i="43"/>
  <c r="AI98" i="45" s="1"/>
  <c r="K237" i="43"/>
  <c r="K242" i="43"/>
  <c r="BW107" i="24"/>
  <c r="CD107" i="24" s="1"/>
  <c r="CE107" i="24" s="1"/>
  <c r="K107" i="43"/>
  <c r="AI104" i="45" s="1"/>
  <c r="K216" i="43"/>
  <c r="AI213" i="45" s="1"/>
  <c r="K296" i="43"/>
  <c r="AI293" i="45" s="1"/>
  <c r="K284" i="43"/>
  <c r="K280" i="43"/>
  <c r="K300" i="43"/>
  <c r="AV163" i="43"/>
  <c r="T163" i="43"/>
  <c r="Y163" i="43"/>
  <c r="CO163" i="43"/>
  <c r="CN163" i="43" s="1"/>
  <c r="DG163" i="43"/>
  <c r="BT163" i="43"/>
  <c r="BS163" i="43" s="1"/>
  <c r="BC163" i="43"/>
  <c r="BO163" i="43"/>
  <c r="BN163" i="43"/>
  <c r="BP163" i="43" s="1"/>
  <c r="CJ163" i="43"/>
  <c r="DC163" i="43"/>
  <c r="DB163" i="43"/>
  <c r="DD163" i="43" s="1"/>
  <c r="EB163" i="43"/>
  <c r="CO184" i="43"/>
  <c r="CN184" i="43" s="1"/>
  <c r="BC184" i="43"/>
  <c r="DG184" i="43"/>
  <c r="Y184" i="43"/>
  <c r="BT184" i="43"/>
  <c r="BS184" i="43" s="1"/>
  <c r="CO181" i="43"/>
  <c r="CN181" i="43" s="1"/>
  <c r="BC181" i="43"/>
  <c r="Y181" i="43"/>
  <c r="DG181" i="43"/>
  <c r="BT181" i="43"/>
  <c r="BS181" i="43" s="1"/>
  <c r="BC310" i="43"/>
  <c r="DG310" i="43"/>
  <c r="Y310" i="43"/>
  <c r="BT310" i="43"/>
  <c r="BS310" i="43" s="1"/>
  <c r="CO310" i="43"/>
  <c r="CN310" i="43" s="1"/>
  <c r="BT267" i="43"/>
  <c r="BS267" i="43" s="1"/>
  <c r="DG267" i="43"/>
  <c r="BC267" i="43"/>
  <c r="CO267" i="43"/>
  <c r="CN267" i="43" s="1"/>
  <c r="Y267" i="43"/>
  <c r="BT313" i="43"/>
  <c r="BS313" i="43" s="1"/>
  <c r="CO313" i="43"/>
  <c r="CN313" i="43" s="1"/>
  <c r="BC313" i="43"/>
  <c r="DG313" i="43"/>
  <c r="Y313" i="43"/>
  <c r="CO274" i="43"/>
  <c r="CN274" i="43" s="1"/>
  <c r="BC274" i="43"/>
  <c r="Y274" i="43"/>
  <c r="DG274" i="43"/>
  <c r="BT274" i="43"/>
  <c r="BS274" i="43" s="1"/>
  <c r="CO213" i="43"/>
  <c r="CN213" i="43" s="1"/>
  <c r="BT213" i="43"/>
  <c r="BS213" i="43" s="1"/>
  <c r="Y213" i="43"/>
  <c r="DG213" i="43"/>
  <c r="BC213" i="43"/>
  <c r="Y253" i="43"/>
  <c r="CO253" i="43"/>
  <c r="CN253" i="43" s="1"/>
  <c r="BC253" i="43"/>
  <c r="DG253" i="43"/>
  <c r="BT253" i="43"/>
  <c r="BS253" i="43" s="1"/>
  <c r="Y240" i="43"/>
  <c r="BC240" i="43"/>
  <c r="DG240" i="43"/>
  <c r="CO240" i="43"/>
  <c r="CN240" i="43" s="1"/>
  <c r="BT240" i="43"/>
  <c r="BS240" i="43" s="1"/>
  <c r="Y269" i="43"/>
  <c r="DG269" i="43"/>
  <c r="CO269" i="43"/>
  <c r="CN269" i="43" s="1"/>
  <c r="BT269" i="43"/>
  <c r="BS269" i="43" s="1"/>
  <c r="BC269" i="43"/>
  <c r="CO175" i="43"/>
  <c r="CN175" i="43" s="1"/>
  <c r="DG175" i="43"/>
  <c r="BC175" i="43"/>
  <c r="BT175" i="43"/>
  <c r="BS175" i="43" s="1"/>
  <c r="Y175" i="43"/>
  <c r="Y144" i="43"/>
  <c r="AV144" i="43"/>
  <c r="BC144" i="43"/>
  <c r="DG144" i="43"/>
  <c r="CO144" i="43"/>
  <c r="CN144" i="43" s="1"/>
  <c r="T144" i="43"/>
  <c r="BT144" i="43"/>
  <c r="BS144" i="43" s="1"/>
  <c r="CJ144" i="43"/>
  <c r="BO144" i="43"/>
  <c r="DB144" i="43"/>
  <c r="DD144" i="43" s="1"/>
  <c r="BN144" i="43"/>
  <c r="BP144" i="43" s="1"/>
  <c r="EB144" i="43"/>
  <c r="DC144" i="43"/>
  <c r="BC178" i="43"/>
  <c r="Y178" i="43"/>
  <c r="CO178" i="43"/>
  <c r="CN178" i="43" s="1"/>
  <c r="DG178" i="43"/>
  <c r="BT178" i="43"/>
  <c r="BS178" i="43" s="1"/>
  <c r="Y176" i="43"/>
  <c r="BC176" i="43"/>
  <c r="CO176" i="43"/>
  <c r="CN176" i="43" s="1"/>
  <c r="DG176" i="43"/>
  <c r="BT176" i="43"/>
  <c r="BS176" i="43" s="1"/>
  <c r="CI163" i="43"/>
  <c r="CK163" i="43" s="1"/>
  <c r="CO232" i="43"/>
  <c r="CN232" i="43" s="1"/>
  <c r="DG232" i="43"/>
  <c r="BT232" i="43"/>
  <c r="BS232" i="43" s="1"/>
  <c r="BC232" i="43"/>
  <c r="Y232" i="43"/>
  <c r="T99" i="43"/>
  <c r="BC99" i="43"/>
  <c r="BT99" i="43"/>
  <c r="BS99" i="43" s="1"/>
  <c r="Y99" i="43"/>
  <c r="DG99" i="43"/>
  <c r="AV99" i="43"/>
  <c r="CO99" i="43"/>
  <c r="CN99" i="43" s="1"/>
  <c r="CJ99" i="43"/>
  <c r="BN99" i="43"/>
  <c r="BP99" i="43" s="1"/>
  <c r="DC99" i="43"/>
  <c r="BO99" i="43"/>
  <c r="DB99" i="43"/>
  <c r="DD99" i="43" s="1"/>
  <c r="EB99" i="43"/>
  <c r="Y238" i="43"/>
  <c r="DG238" i="43"/>
  <c r="BC238" i="43"/>
  <c r="BT238" i="43"/>
  <c r="BS238" i="43" s="1"/>
  <c r="CO238" i="43"/>
  <c r="CN238" i="43" s="1"/>
  <c r="BC100" i="43"/>
  <c r="DG100" i="43"/>
  <c r="AV100" i="43"/>
  <c r="Y100" i="43"/>
  <c r="CO100" i="43"/>
  <c r="CN100" i="43" s="1"/>
  <c r="T100" i="43"/>
  <c r="BT100" i="43"/>
  <c r="BS100" i="43" s="1"/>
  <c r="BN100" i="43"/>
  <c r="BP100" i="43" s="1"/>
  <c r="DC100" i="43"/>
  <c r="EB100" i="43"/>
  <c r="DB100" i="43"/>
  <c r="DD100" i="43" s="1"/>
  <c r="CJ100" i="43"/>
  <c r="BO100" i="43"/>
  <c r="BT153" i="43"/>
  <c r="BS153" i="43" s="1"/>
  <c r="BC153" i="43"/>
  <c r="DG153" i="43"/>
  <c r="AV153" i="43"/>
  <c r="CO153" i="43"/>
  <c r="CN153" i="43" s="1"/>
  <c r="Y153" i="43"/>
  <c r="T153" i="43"/>
  <c r="CJ153" i="43"/>
  <c r="BO153" i="43"/>
  <c r="EB153" i="43"/>
  <c r="DC153" i="43"/>
  <c r="BN153" i="43"/>
  <c r="BP153" i="43" s="1"/>
  <c r="DB153" i="43"/>
  <c r="DD153" i="43" s="1"/>
  <c r="Y120" i="43"/>
  <c r="T120" i="43"/>
  <c r="BT120" i="43"/>
  <c r="BS120" i="43" s="1"/>
  <c r="CO120" i="43"/>
  <c r="CN120" i="43" s="1"/>
  <c r="DG120" i="43"/>
  <c r="BC120" i="43"/>
  <c r="AV120" i="43"/>
  <c r="BN120" i="43"/>
  <c r="BP120" i="43" s="1"/>
  <c r="EB120" i="43"/>
  <c r="DC120" i="43"/>
  <c r="DB120" i="43"/>
  <c r="DD120" i="43" s="1"/>
  <c r="BO120" i="43"/>
  <c r="CJ120" i="43"/>
  <c r="CO233" i="43"/>
  <c r="CN233" i="43" s="1"/>
  <c r="Y233" i="43"/>
  <c r="BC233" i="43"/>
  <c r="DG233" i="43"/>
  <c r="BT233" i="43"/>
  <c r="BS233" i="43" s="1"/>
  <c r="BT177" i="43"/>
  <c r="BS177" i="43" s="1"/>
  <c r="DG177" i="43"/>
  <c r="Y177" i="43"/>
  <c r="BC177" i="43"/>
  <c r="CO177" i="43"/>
  <c r="CN177" i="43" s="1"/>
  <c r="BT95" i="43"/>
  <c r="BS95" i="43" s="1"/>
  <c r="AV95" i="43"/>
  <c r="T95" i="43"/>
  <c r="DG95" i="43"/>
  <c r="Y95" i="43"/>
  <c r="CO95" i="43"/>
  <c r="CN95" i="43" s="1"/>
  <c r="BC95" i="43"/>
  <c r="DC95" i="43"/>
  <c r="EB95" i="43"/>
  <c r="CJ95" i="43"/>
  <c r="DB95" i="43"/>
  <c r="DD95" i="43" s="1"/>
  <c r="BN95" i="43"/>
  <c r="BP95" i="43" s="1"/>
  <c r="BO95" i="43"/>
  <c r="BW149" i="24"/>
  <c r="CD149" i="24" s="1"/>
  <c r="CE149" i="24" s="1"/>
  <c r="K149" i="43"/>
  <c r="AI146" i="45" s="1"/>
  <c r="BW66" i="24"/>
  <c r="CD66" i="24" s="1"/>
  <c r="CE66" i="24" s="1"/>
  <c r="K66" i="43"/>
  <c r="AI63" i="45" s="1"/>
  <c r="K225" i="43"/>
  <c r="AI222" i="45" s="1"/>
  <c r="U180" i="43"/>
  <c r="K180" i="43"/>
  <c r="AI177" i="45" s="1"/>
  <c r="BW141" i="24"/>
  <c r="CD141" i="24" s="1"/>
  <c r="CE141" i="24" s="1"/>
  <c r="K141" i="43"/>
  <c r="AI138" i="45" s="1"/>
  <c r="BW104" i="24"/>
  <c r="CD104" i="24" s="1"/>
  <c r="CE104" i="24" s="1"/>
  <c r="K104" i="43"/>
  <c r="AI101" i="45" s="1"/>
  <c r="K210" i="43"/>
  <c r="AI207" i="45" s="1"/>
  <c r="K277" i="43"/>
  <c r="K297" i="43"/>
  <c r="AI294" i="45" s="1"/>
  <c r="BW204" i="24"/>
  <c r="CD204" i="24" s="1"/>
  <c r="CE204" i="24" s="1"/>
  <c r="K204" i="43"/>
  <c r="K263" i="43"/>
  <c r="AI260" i="45" s="1"/>
  <c r="BW255" i="24"/>
  <c r="CD255" i="24" s="1"/>
  <c r="CE255" i="24" s="1"/>
  <c r="K255" i="43"/>
  <c r="K282" i="43"/>
  <c r="K290" i="43"/>
  <c r="AI287" i="45" s="1"/>
  <c r="K306" i="43"/>
  <c r="AI303" i="45" s="1"/>
  <c r="K308" i="43"/>
  <c r="AI305" i="45" s="1"/>
  <c r="K312" i="43"/>
  <c r="EB160" i="43"/>
  <c r="R160" i="43" s="1"/>
  <c r="Y311" i="43"/>
  <c r="BC311" i="43"/>
  <c r="DG311" i="43"/>
  <c r="CO311" i="43"/>
  <c r="CN311" i="43" s="1"/>
  <c r="BT311" i="43"/>
  <c r="BS311" i="43" s="1"/>
  <c r="DG220" i="43"/>
  <c r="BT220" i="43"/>
  <c r="BS220" i="43" s="1"/>
  <c r="CO220" i="43"/>
  <c r="CN220" i="43" s="1"/>
  <c r="Y220" i="43"/>
  <c r="BC220" i="43"/>
  <c r="DG212" i="43"/>
  <c r="BT212" i="43"/>
  <c r="BS212" i="43" s="1"/>
  <c r="Y212" i="43"/>
  <c r="BC212" i="43"/>
  <c r="CO212" i="43"/>
  <c r="CN212" i="43" s="1"/>
  <c r="BT125" i="43"/>
  <c r="BS125" i="43" s="1"/>
  <c r="T125" i="43"/>
  <c r="CO125" i="43"/>
  <c r="CN125" i="43" s="1"/>
  <c r="BC125" i="43"/>
  <c r="DG125" i="43"/>
  <c r="Y125" i="43"/>
  <c r="AV125" i="43"/>
  <c r="BO125" i="43"/>
  <c r="CJ125" i="43"/>
  <c r="EB125" i="43"/>
  <c r="DC125" i="43"/>
  <c r="BN125" i="43"/>
  <c r="BP125" i="43" s="1"/>
  <c r="DB125" i="43"/>
  <c r="DD125" i="43" s="1"/>
  <c r="CO58" i="43"/>
  <c r="CN58" i="43" s="1"/>
  <c r="DG58" i="43"/>
  <c r="Y58" i="43"/>
  <c r="AV58" i="43"/>
  <c r="BT58" i="43"/>
  <c r="BS58" i="43" s="1"/>
  <c r="BC58" i="43"/>
  <c r="T58" i="43"/>
  <c r="BO58" i="43"/>
  <c r="DB58" i="43"/>
  <c r="DD58" i="43" s="1"/>
  <c r="EB58" i="43"/>
  <c r="DC58" i="43"/>
  <c r="BN58" i="43"/>
  <c r="BP58" i="43" s="1"/>
  <c r="CJ58" i="43"/>
  <c r="Y244" i="43"/>
  <c r="BT244" i="43"/>
  <c r="BS244" i="43" s="1"/>
  <c r="BC244" i="43"/>
  <c r="DG244" i="43"/>
  <c r="CO244" i="43"/>
  <c r="CN244" i="43" s="1"/>
  <c r="DG112" i="43"/>
  <c r="CO112" i="43"/>
  <c r="CN112" i="43" s="1"/>
  <c r="BT112" i="43"/>
  <c r="BS112" i="43" s="1"/>
  <c r="AV112" i="43"/>
  <c r="BC112" i="43"/>
  <c r="T112" i="43"/>
  <c r="Y112" i="43"/>
  <c r="DB112" i="43"/>
  <c r="DD112" i="43" s="1"/>
  <c r="BN112" i="43"/>
  <c r="BP112" i="43" s="1"/>
  <c r="CJ112" i="43"/>
  <c r="EB112" i="43"/>
  <c r="DC112" i="43"/>
  <c r="BO112" i="43"/>
  <c r="BC224" i="43"/>
  <c r="DG224" i="43"/>
  <c r="BT224" i="43"/>
  <c r="BS224" i="43" s="1"/>
  <c r="CO224" i="43"/>
  <c r="CN224" i="43" s="1"/>
  <c r="Y224" i="43"/>
  <c r="BT106" i="43"/>
  <c r="BS106" i="43" s="1"/>
  <c r="Y106" i="43"/>
  <c r="DG106" i="43"/>
  <c r="AV106" i="43"/>
  <c r="T106" i="43"/>
  <c r="CO106" i="43"/>
  <c r="CN106" i="43" s="1"/>
  <c r="BC106" i="43"/>
  <c r="BO106" i="43"/>
  <c r="DC106" i="43"/>
  <c r="EB106" i="43"/>
  <c r="CJ106" i="43"/>
  <c r="BN106" i="43"/>
  <c r="BP106" i="43" s="1"/>
  <c r="DB106" i="43"/>
  <c r="DD106" i="43" s="1"/>
  <c r="BC270" i="43"/>
  <c r="CO270" i="43"/>
  <c r="CN270" i="43" s="1"/>
  <c r="BT270" i="43"/>
  <c r="BS270" i="43" s="1"/>
  <c r="DG270" i="43"/>
  <c r="Y270" i="43"/>
  <c r="BT252" i="43"/>
  <c r="BS252" i="43" s="1"/>
  <c r="Y252" i="43"/>
  <c r="CO252" i="43"/>
  <c r="CN252" i="43" s="1"/>
  <c r="BC252" i="43"/>
  <c r="DG252" i="43"/>
  <c r="DG272" i="43"/>
  <c r="Y272" i="43"/>
  <c r="BC272" i="43"/>
  <c r="CO272" i="43"/>
  <c r="CN272" i="43" s="1"/>
  <c r="BT272" i="43"/>
  <c r="BS272" i="43" s="1"/>
  <c r="BT73" i="43"/>
  <c r="BS73" i="43" s="1"/>
  <c r="Y73" i="43"/>
  <c r="BC73" i="43"/>
  <c r="DG73" i="43"/>
  <c r="CO73" i="43"/>
  <c r="CN73" i="43" s="1"/>
  <c r="AV73" i="43"/>
  <c r="T73" i="43"/>
  <c r="DC73" i="43"/>
  <c r="CJ73" i="43"/>
  <c r="DB73" i="43"/>
  <c r="DD73" i="43" s="1"/>
  <c r="BN73" i="43"/>
  <c r="BP73" i="43" s="1"/>
  <c r="BO73" i="43"/>
  <c r="EB73" i="43"/>
  <c r="BT200" i="43"/>
  <c r="BS200" i="43" s="1"/>
  <c r="Y200" i="43"/>
  <c r="CO200" i="43"/>
  <c r="CN200" i="43" s="1"/>
  <c r="BC200" i="43"/>
  <c r="DG200" i="43"/>
  <c r="T164" i="43"/>
  <c r="BT164" i="43"/>
  <c r="BS164" i="43" s="1"/>
  <c r="Y164" i="43"/>
  <c r="BC164" i="43"/>
  <c r="DG164" i="43"/>
  <c r="AV164" i="43"/>
  <c r="CO164" i="43"/>
  <c r="CN164" i="43" s="1"/>
  <c r="DC164" i="43"/>
  <c r="DB164" i="43"/>
  <c r="DD164" i="43" s="1"/>
  <c r="CJ164" i="43"/>
  <c r="BN164" i="43"/>
  <c r="BP164" i="43" s="1"/>
  <c r="BO164" i="43"/>
  <c r="EB164" i="43"/>
  <c r="Y249" i="43"/>
  <c r="BC249" i="43"/>
  <c r="BT249" i="43"/>
  <c r="BS249" i="43" s="1"/>
  <c r="CO249" i="43"/>
  <c r="CN249" i="43" s="1"/>
  <c r="DG249" i="43"/>
  <c r="CO201" i="43"/>
  <c r="CN201" i="43" s="1"/>
  <c r="BT201" i="43"/>
  <c r="BS201" i="43" s="1"/>
  <c r="DG201" i="43"/>
  <c r="Y201" i="43"/>
  <c r="BC201" i="43"/>
  <c r="BC202" i="43"/>
  <c r="Y202" i="43"/>
  <c r="CO202" i="43"/>
  <c r="CN202" i="43" s="1"/>
  <c r="BT202" i="43"/>
  <c r="BS202" i="43" s="1"/>
  <c r="DG202" i="43"/>
  <c r="DG96" i="43"/>
  <c r="Y96" i="43"/>
  <c r="CO96" i="43"/>
  <c r="CN96" i="43" s="1"/>
  <c r="BC96" i="43"/>
  <c r="T96" i="43"/>
  <c r="BT96" i="43"/>
  <c r="BS96" i="43" s="1"/>
  <c r="AV96" i="43"/>
  <c r="DC96" i="43"/>
  <c r="DB96" i="43"/>
  <c r="DD96" i="43" s="1"/>
  <c r="BO96" i="43"/>
  <c r="CJ96" i="43"/>
  <c r="EB96" i="43"/>
  <c r="BN96" i="43"/>
  <c r="BP96" i="43" s="1"/>
  <c r="K250" i="43"/>
  <c r="BW119" i="24"/>
  <c r="CD119" i="24" s="1"/>
  <c r="CE119" i="24" s="1"/>
  <c r="K119" i="43"/>
  <c r="AI116" i="45" s="1"/>
  <c r="AV160" i="43"/>
  <c r="Y160" i="43"/>
  <c r="BT160" i="43"/>
  <c r="CO160" i="43"/>
  <c r="CN160" i="43" s="1"/>
  <c r="DG160" i="43"/>
  <c r="BC160" i="43"/>
  <c r="T160" i="43"/>
  <c r="K241" i="43"/>
  <c r="K276" i="43"/>
  <c r="K294" i="43"/>
  <c r="K292" i="43"/>
  <c r="AI289" i="45" s="1"/>
  <c r="K286" i="43"/>
  <c r="AI283" i="45" s="1"/>
  <c r="K288" i="43"/>
  <c r="BW243" i="24"/>
  <c r="CD243" i="24" s="1"/>
  <c r="CE243" i="24" s="1"/>
  <c r="K243" i="43"/>
  <c r="AI240" i="45" s="1"/>
  <c r="BW251" i="24"/>
  <c r="CD251" i="24" s="1"/>
  <c r="CE251" i="24" s="1"/>
  <c r="K251" i="43"/>
  <c r="AI248" i="45" s="1"/>
  <c r="K298" i="43"/>
  <c r="AI295" i="45" s="1"/>
  <c r="AV167" i="43"/>
  <c r="CO167" i="43"/>
  <c r="CN167" i="43" s="1"/>
  <c r="T167" i="43"/>
  <c r="Y167" i="43"/>
  <c r="DG167" i="43"/>
  <c r="BT167" i="43"/>
  <c r="BS167" i="43" s="1"/>
  <c r="BC167" i="43"/>
  <c r="CJ167" i="43"/>
  <c r="DB167" i="43"/>
  <c r="DD167" i="43" s="1"/>
  <c r="BO167" i="43"/>
  <c r="EB167" i="43"/>
  <c r="DC167" i="43"/>
  <c r="BN167" i="43"/>
  <c r="BP167" i="43" s="1"/>
  <c r="CO116" i="43"/>
  <c r="CN116" i="43" s="1"/>
  <c r="Y116" i="43"/>
  <c r="DG116" i="43"/>
  <c r="BC116" i="43"/>
  <c r="AV116" i="43"/>
  <c r="T116" i="43"/>
  <c r="BT116" i="43"/>
  <c r="BS116" i="43" s="1"/>
  <c r="BN116" i="43"/>
  <c r="BP116" i="43" s="1"/>
  <c r="CJ116" i="43"/>
  <c r="EB116" i="43"/>
  <c r="DC116" i="43"/>
  <c r="DB116" i="43"/>
  <c r="DD116" i="43" s="1"/>
  <c r="BO116" i="43"/>
  <c r="T88" i="43"/>
  <c r="BT88" i="43"/>
  <c r="BS88" i="43" s="1"/>
  <c r="CO88" i="43"/>
  <c r="CN88" i="43" s="1"/>
  <c r="BC88" i="43"/>
  <c r="AV88" i="43"/>
  <c r="Y88" i="43"/>
  <c r="DG88" i="43"/>
  <c r="BN88" i="43"/>
  <c r="BP88" i="43" s="1"/>
  <c r="CJ88" i="43"/>
  <c r="EB88" i="43"/>
  <c r="DC88" i="43"/>
  <c r="BO88" i="43"/>
  <c r="DB88" i="43"/>
  <c r="DD88" i="43" s="1"/>
  <c r="Y314" i="43"/>
  <c r="CO314" i="43"/>
  <c r="CN314" i="43" s="1"/>
  <c r="BC314" i="43"/>
  <c r="BT314" i="43"/>
  <c r="BS314" i="43" s="1"/>
  <c r="DG314" i="43"/>
  <c r="Y209" i="43"/>
  <c r="DG209" i="43"/>
  <c r="BC209" i="43"/>
  <c r="CO209" i="43"/>
  <c r="CN209" i="43" s="1"/>
  <c r="BT209" i="43"/>
  <c r="BS209" i="43" s="1"/>
  <c r="DG169" i="43"/>
  <c r="Y169" i="43"/>
  <c r="BC169" i="43"/>
  <c r="BT169" i="43"/>
  <c r="BS169" i="43" s="1"/>
  <c r="CO169" i="43"/>
  <c r="CN169" i="43" s="1"/>
  <c r="DG307" i="43"/>
  <c r="BC307" i="43"/>
  <c r="Y307" i="43"/>
  <c r="BT307" i="43"/>
  <c r="BS307" i="43" s="1"/>
  <c r="CO307" i="43"/>
  <c r="CN307" i="43" s="1"/>
  <c r="CJ160" i="43"/>
  <c r="Y228" i="43"/>
  <c r="BT228" i="43"/>
  <c r="BS228" i="43" s="1"/>
  <c r="BC228" i="43"/>
  <c r="DG228" i="43"/>
  <c r="CO228" i="43"/>
  <c r="CN228" i="43" s="1"/>
  <c r="BO160" i="43"/>
  <c r="BC309" i="43"/>
  <c r="Y309" i="43"/>
  <c r="DG309" i="43"/>
  <c r="BT309" i="43"/>
  <c r="BS309" i="43" s="1"/>
  <c r="CO309" i="43"/>
  <c r="CN309" i="43" s="1"/>
  <c r="CO87" i="43"/>
  <c r="CN87" i="43" s="1"/>
  <c r="AV87" i="43"/>
  <c r="DG87" i="43"/>
  <c r="BC87" i="43"/>
  <c r="Y87" i="43"/>
  <c r="T87" i="43"/>
  <c r="BT87" i="43"/>
  <c r="BS87" i="43" s="1"/>
  <c r="BN87" i="43"/>
  <c r="BP87" i="43" s="1"/>
  <c r="DC87" i="43"/>
  <c r="EB87" i="43"/>
  <c r="CJ87" i="43"/>
  <c r="DB87" i="43"/>
  <c r="DD87" i="43" s="1"/>
  <c r="BO87" i="43"/>
  <c r="BC124" i="43"/>
  <c r="T124" i="43"/>
  <c r="Y124" i="43"/>
  <c r="DG124" i="43"/>
  <c r="BT124" i="43"/>
  <c r="BS124" i="43" s="1"/>
  <c r="AV124" i="43"/>
  <c r="CO124" i="43"/>
  <c r="CN124" i="43" s="1"/>
  <c r="BO124" i="43"/>
  <c r="CJ124" i="43"/>
  <c r="DC124" i="43"/>
  <c r="BN124" i="43"/>
  <c r="BP124" i="43" s="1"/>
  <c r="DB124" i="43"/>
  <c r="DD124" i="43" s="1"/>
  <c r="EB124" i="43"/>
  <c r="CO248" i="43"/>
  <c r="CN248" i="43" s="1"/>
  <c r="BC248" i="43"/>
  <c r="DG248" i="43"/>
  <c r="BT248" i="43"/>
  <c r="BS248" i="43" s="1"/>
  <c r="Y248" i="43"/>
  <c r="BC61" i="43"/>
  <c r="Y61" i="43"/>
  <c r="CO61" i="43"/>
  <c r="CN61" i="43" s="1"/>
  <c r="BT61" i="43"/>
  <c r="BS61" i="43" s="1"/>
  <c r="DG61" i="43"/>
  <c r="AV61" i="43"/>
  <c r="T61" i="43"/>
  <c r="BN61" i="43"/>
  <c r="BP61" i="43" s="1"/>
  <c r="DC61" i="43"/>
  <c r="EB61" i="43"/>
  <c r="BO61" i="43"/>
  <c r="DB61" i="43"/>
  <c r="DD61" i="43" s="1"/>
  <c r="CJ61" i="43"/>
  <c r="BW136" i="24"/>
  <c r="CD136" i="24" s="1"/>
  <c r="CE136" i="24" s="1"/>
  <c r="K136" i="43"/>
  <c r="AI133" i="45" s="1"/>
  <c r="K239" i="43"/>
  <c r="K266" i="43"/>
  <c r="BW80" i="24"/>
  <c r="CD80" i="24" s="1"/>
  <c r="CE80" i="24" s="1"/>
  <c r="K80" i="43"/>
  <c r="AI77" i="45" s="1"/>
  <c r="BW131" i="24"/>
  <c r="CD131" i="24" s="1"/>
  <c r="CE131" i="24" s="1"/>
  <c r="K131" i="43"/>
  <c r="AI128" i="45" s="1"/>
  <c r="K303" i="43"/>
  <c r="K278" i="43"/>
  <c r="BW217" i="24"/>
  <c r="CD217" i="24" s="1"/>
  <c r="CE217" i="24" s="1"/>
  <c r="K217" i="43"/>
  <c r="AI214" i="45" s="1"/>
  <c r="K211" i="43"/>
  <c r="Y170" i="43"/>
  <c r="DG170" i="43"/>
  <c r="BT170" i="43"/>
  <c r="BS170" i="43" s="1"/>
  <c r="BC170" i="43"/>
  <c r="CO170" i="43"/>
  <c r="CN170" i="43" s="1"/>
  <c r="BT315" i="43"/>
  <c r="BS315" i="43" s="1"/>
  <c r="Y315" i="43"/>
  <c r="CO315" i="43"/>
  <c r="CN315" i="43" s="1"/>
  <c r="BC315" i="43"/>
  <c r="DG315" i="43"/>
  <c r="DG65" i="43"/>
  <c r="T65" i="43"/>
  <c r="BC65" i="43"/>
  <c r="AV65" i="43"/>
  <c r="Y65" i="43"/>
  <c r="CO65" i="43"/>
  <c r="CN65" i="43" s="1"/>
  <c r="BT65" i="43"/>
  <c r="BS65" i="43" s="1"/>
  <c r="BO65" i="43"/>
  <c r="CJ65" i="43"/>
  <c r="EB65" i="43"/>
  <c r="DC65" i="43"/>
  <c r="DB65" i="43"/>
  <c r="DD65" i="43" s="1"/>
  <c r="BN65" i="43"/>
  <c r="BP65" i="43" s="1"/>
  <c r="Y268" i="43"/>
  <c r="BC268" i="43"/>
  <c r="CO268" i="43"/>
  <c r="CN268" i="43" s="1"/>
  <c r="BT268" i="43"/>
  <c r="BS268" i="43" s="1"/>
  <c r="DG268" i="43"/>
  <c r="BC145" i="43"/>
  <c r="BT145" i="43"/>
  <c r="BS145" i="43" s="1"/>
  <c r="AV145" i="43"/>
  <c r="T145" i="43"/>
  <c r="CO145" i="43"/>
  <c r="CN145" i="43" s="1"/>
  <c r="DG145" i="43"/>
  <c r="Y145" i="43"/>
  <c r="EB145" i="43"/>
  <c r="CJ145" i="43"/>
  <c r="BO145" i="43"/>
  <c r="DC145" i="43"/>
  <c r="BN145" i="43"/>
  <c r="BP145" i="43" s="1"/>
  <c r="DB145" i="43"/>
  <c r="DD145" i="43" s="1"/>
  <c r="BC148" i="43"/>
  <c r="BT148" i="43"/>
  <c r="BS148" i="43" s="1"/>
  <c r="DG148" i="43"/>
  <c r="Y148" i="43"/>
  <c r="CO148" i="43"/>
  <c r="CN148" i="43" s="1"/>
  <c r="AV148" i="43"/>
  <c r="T148" i="43"/>
  <c r="BO148" i="43"/>
  <c r="DC148" i="43"/>
  <c r="BN148" i="43"/>
  <c r="BP148" i="43" s="1"/>
  <c r="DB148" i="43"/>
  <c r="DD148" i="43" s="1"/>
  <c r="CJ148" i="43"/>
  <c r="EB148" i="43"/>
  <c r="BT84" i="43"/>
  <c r="BS84" i="43" s="1"/>
  <c r="CO84" i="43"/>
  <c r="CN84" i="43" s="1"/>
  <c r="DG84" i="43"/>
  <c r="AV84" i="43"/>
  <c r="T84" i="43"/>
  <c r="Y84" i="43"/>
  <c r="BC84" i="43"/>
  <c r="BO84" i="43"/>
  <c r="CJ84" i="43"/>
  <c r="BN84" i="43"/>
  <c r="BP84" i="43" s="1"/>
  <c r="DC84" i="43"/>
  <c r="DB84" i="43"/>
  <c r="DD84" i="43" s="1"/>
  <c r="EB84" i="43"/>
  <c r="CO77" i="43"/>
  <c r="CN77" i="43" s="1"/>
  <c r="Y77" i="43"/>
  <c r="BC77" i="43"/>
  <c r="T77" i="43"/>
  <c r="DG77" i="43"/>
  <c r="BT77" i="43"/>
  <c r="BS77" i="43" s="1"/>
  <c r="AV77" i="43"/>
  <c r="CJ77" i="43"/>
  <c r="DC77" i="43"/>
  <c r="BN77" i="43"/>
  <c r="BP77" i="43" s="1"/>
  <c r="BO77" i="43"/>
  <c r="EB77" i="43"/>
  <c r="DB77" i="43"/>
  <c r="DD77" i="43" s="1"/>
  <c r="BT174" i="43"/>
  <c r="BS174" i="43" s="1"/>
  <c r="CO174" i="43"/>
  <c r="CN174" i="43" s="1"/>
  <c r="BC174" i="43"/>
  <c r="DG174" i="43"/>
  <c r="Y174" i="43"/>
  <c r="BC171" i="43"/>
  <c r="Y171" i="43"/>
  <c r="BT171" i="43"/>
  <c r="BS171" i="43" s="1"/>
  <c r="CO171" i="43"/>
  <c r="CN171" i="43" s="1"/>
  <c r="DG171" i="43"/>
  <c r="BT316" i="43"/>
  <c r="BS316" i="43" s="1"/>
  <c r="CO316" i="43"/>
  <c r="CN316" i="43" s="1"/>
  <c r="DG316" i="43"/>
  <c r="Y316" i="43"/>
  <c r="BC316" i="43"/>
  <c r="CO271" i="43"/>
  <c r="CN271" i="43" s="1"/>
  <c r="DG271" i="43"/>
  <c r="Y271" i="43"/>
  <c r="BT271" i="43"/>
  <c r="BS271" i="43" s="1"/>
  <c r="BC271" i="43"/>
  <c r="DG185" i="43"/>
  <c r="Y185" i="43"/>
  <c r="CO185" i="43"/>
  <c r="CN185" i="43" s="1"/>
  <c r="BT185" i="43"/>
  <c r="BS185" i="43" s="1"/>
  <c r="BC185" i="43"/>
  <c r="BT247" i="43"/>
  <c r="BS247" i="43" s="1"/>
  <c r="Y247" i="43"/>
  <c r="CO247" i="43"/>
  <c r="CN247" i="43" s="1"/>
  <c r="BC247" i="43"/>
  <c r="DG247" i="43"/>
  <c r="Y203" i="43"/>
  <c r="BT203" i="43"/>
  <c r="BS203" i="43" s="1"/>
  <c r="DG203" i="43"/>
  <c r="CO203" i="43"/>
  <c r="CN203" i="43" s="1"/>
  <c r="BC203" i="43"/>
  <c r="CO91" i="43"/>
  <c r="CN91" i="43" s="1"/>
  <c r="BC91" i="43"/>
  <c r="BT91" i="43"/>
  <c r="BS91" i="43" s="1"/>
  <c r="AV91" i="43"/>
  <c r="T91" i="43"/>
  <c r="DG91" i="43"/>
  <c r="Y91" i="43"/>
  <c r="DC91" i="43"/>
  <c r="BN91" i="43"/>
  <c r="BP91" i="43" s="1"/>
  <c r="DB91" i="43"/>
  <c r="DD91" i="43" s="1"/>
  <c r="EB91" i="43"/>
  <c r="CJ91" i="43"/>
  <c r="BO91" i="43"/>
  <c r="CO128" i="43"/>
  <c r="CN128" i="43" s="1"/>
  <c r="T128" i="43"/>
  <c r="AV128" i="43"/>
  <c r="BT128" i="43"/>
  <c r="BS128" i="43" s="1"/>
  <c r="DG128" i="43"/>
  <c r="BC128" i="43"/>
  <c r="Y128" i="43"/>
  <c r="DC128" i="43"/>
  <c r="BN128" i="43"/>
  <c r="BP128" i="43" s="1"/>
  <c r="DB128" i="43"/>
  <c r="DD128" i="43" s="1"/>
  <c r="CJ128" i="43"/>
  <c r="EB128" i="43"/>
  <c r="BO128" i="43"/>
  <c r="CI167" i="43"/>
  <c r="CK167" i="43" s="1"/>
  <c r="BC179" i="43"/>
  <c r="CO179" i="43"/>
  <c r="CN179" i="43" s="1"/>
  <c r="Y179" i="43"/>
  <c r="DG179" i="43"/>
  <c r="BT179" i="43"/>
  <c r="BS179" i="43" s="1"/>
  <c r="Y245" i="43"/>
  <c r="BT245" i="43"/>
  <c r="BS245" i="43" s="1"/>
  <c r="CO245" i="43"/>
  <c r="CN245" i="43" s="1"/>
  <c r="BC245" i="43"/>
  <c r="DG245" i="43"/>
  <c r="BC305" i="43"/>
  <c r="Y305" i="43"/>
  <c r="BT305" i="43"/>
  <c r="BS305" i="43" s="1"/>
  <c r="CO305" i="43"/>
  <c r="CN305" i="43" s="1"/>
  <c r="DG305" i="43"/>
  <c r="BT173" i="43"/>
  <c r="BS173" i="43" s="1"/>
  <c r="Y173" i="43"/>
  <c r="DG173" i="43"/>
  <c r="CO173" i="43"/>
  <c r="CN173" i="43" s="1"/>
  <c r="BC173" i="43"/>
  <c r="CO207" i="43"/>
  <c r="CN207" i="43" s="1"/>
  <c r="Y207" i="43"/>
  <c r="BC207" i="43"/>
  <c r="BT207" i="43"/>
  <c r="BS207" i="43" s="1"/>
  <c r="DG207" i="43"/>
  <c r="BW294" i="24"/>
  <c r="CD294" i="24" s="1"/>
  <c r="CE294" i="24" s="1"/>
  <c r="BW263" i="24"/>
  <c r="CD263" i="24" s="1"/>
  <c r="CE263" i="24" s="1"/>
  <c r="BW306" i="24"/>
  <c r="CD306" i="24" s="1"/>
  <c r="CE306" i="24" s="1"/>
  <c r="BW292" i="24"/>
  <c r="CD292" i="24" s="1"/>
  <c r="CE292" i="24" s="1"/>
  <c r="BW298" i="24"/>
  <c r="CD298" i="24" s="1"/>
  <c r="CE298" i="24" s="1"/>
  <c r="BW280" i="24"/>
  <c r="CD280" i="24" s="1"/>
  <c r="CE280" i="24" s="1"/>
  <c r="CM193" i="43"/>
  <c r="L161" i="43"/>
  <c r="L165" i="43"/>
  <c r="BW344" i="24"/>
  <c r="CD344" i="24" s="1"/>
  <c r="CE344" i="24" s="1"/>
  <c r="BW328" i="24"/>
  <c r="CD328" i="24" s="1"/>
  <c r="CE328" i="24" s="1"/>
  <c r="C15" i="22"/>
  <c r="E15" i="22"/>
  <c r="H15" i="22"/>
  <c r="CB178" i="24"/>
  <c r="AI176" i="24"/>
  <c r="W176" i="43"/>
  <c r="AA175" i="24"/>
  <c r="AF176" i="24"/>
  <c r="AA169" i="24"/>
  <c r="AD176" i="24"/>
  <c r="EY176" i="43"/>
  <c r="EZ176" i="43" s="1"/>
  <c r="EY170" i="43"/>
  <c r="EZ170" i="43" s="1"/>
  <c r="AF170" i="24"/>
  <c r="AD170" i="24"/>
  <c r="AI170" i="24"/>
  <c r="W170" i="43"/>
  <c r="AE178" i="24"/>
  <c r="W178" i="43"/>
  <c r="AF174" i="24"/>
  <c r="AF178" i="24"/>
  <c r="AI174" i="24"/>
  <c r="AI178" i="24"/>
  <c r="AD178" i="24"/>
  <c r="EY178" i="43"/>
  <c r="EZ178" i="43" s="1"/>
  <c r="AE174" i="24"/>
  <c r="W167" i="43"/>
  <c r="AD174" i="24"/>
  <c r="EY174" i="43"/>
  <c r="EZ174" i="43" s="1"/>
  <c r="W174" i="43"/>
  <c r="AF167" i="24"/>
  <c r="EY167" i="43"/>
  <c r="EZ167" i="43" s="1"/>
  <c r="AI167" i="24"/>
  <c r="AE167" i="24"/>
  <c r="AD167" i="24"/>
  <c r="K15" i="22"/>
  <c r="P15" i="22"/>
  <c r="I15" i="22"/>
  <c r="B15" i="22"/>
  <c r="L15" i="22"/>
  <c r="A16" i="22"/>
  <c r="D15" i="22"/>
  <c r="M15" i="22"/>
  <c r="J14" i="22"/>
  <c r="G14" i="22"/>
  <c r="AI164" i="24"/>
  <c r="AD163" i="24"/>
  <c r="G51" i="35"/>
  <c r="IA47" i="43"/>
  <c r="AA162" i="24"/>
  <c r="AE163" i="24"/>
  <c r="AI163" i="24"/>
  <c r="AF163" i="24"/>
  <c r="AE164" i="24"/>
  <c r="AD164" i="24"/>
  <c r="CB164" i="24"/>
  <c r="AF164" i="24"/>
  <c r="EY164" i="43"/>
  <c r="EZ164" i="43" s="1"/>
  <c r="W164" i="43"/>
  <c r="I51" i="35"/>
  <c r="AE376" i="24"/>
  <c r="AD376" i="24"/>
  <c r="AF376" i="24"/>
  <c r="AI376" i="24"/>
  <c r="AA378" i="24"/>
  <c r="AE379" i="24"/>
  <c r="AI379" i="24"/>
  <c r="AD379" i="24"/>
  <c r="AD374" i="24"/>
  <c r="AE374" i="24"/>
  <c r="AI374" i="24"/>
  <c r="AA373" i="24"/>
  <c r="AE359" i="24"/>
  <c r="AI359" i="24"/>
  <c r="AI357" i="24"/>
  <c r="AF359" i="24"/>
  <c r="AF357" i="24"/>
  <c r="AE357" i="24"/>
  <c r="AD359" i="24"/>
  <c r="AI355" i="24"/>
  <c r="AD355" i="24"/>
  <c r="AE355" i="24"/>
  <c r="AF355" i="24"/>
  <c r="AD357" i="24"/>
  <c r="AF353" i="24"/>
  <c r="AD353" i="24"/>
  <c r="DF352" i="43"/>
  <c r="AE353" i="24"/>
  <c r="AI353" i="24"/>
  <c r="CM352" i="43"/>
  <c r="DJ352" i="43"/>
  <c r="AA351" i="24" s="1"/>
  <c r="BR352" i="43"/>
  <c r="CB352" i="24"/>
  <c r="DF334" i="43"/>
  <c r="DJ334" i="43"/>
  <c r="AI334" i="24" s="1"/>
  <c r="CB334" i="24"/>
  <c r="DJ328" i="43"/>
  <c r="AA327" i="24" s="1"/>
  <c r="AF321" i="24"/>
  <c r="AE319" i="24"/>
  <c r="AE321" i="24"/>
  <c r="AD321" i="24"/>
  <c r="AD319" i="24"/>
  <c r="AI321" i="24"/>
  <c r="AI319" i="24"/>
  <c r="AF319" i="24"/>
  <c r="CM312" i="43"/>
  <c r="BR312" i="43"/>
  <c r="CB325" i="24"/>
  <c r="CB315" i="24"/>
  <c r="CB314" i="24"/>
  <c r="CB313" i="24"/>
  <c r="CB322" i="24"/>
  <c r="CB324" i="24"/>
  <c r="CB323" i="24"/>
  <c r="CB317" i="24"/>
  <c r="DJ312" i="43"/>
  <c r="AA311" i="24" s="1"/>
  <c r="CB316" i="24"/>
  <c r="CB309" i="24"/>
  <c r="CB307" i="24"/>
  <c r="CB310" i="24"/>
  <c r="CB327" i="24"/>
  <c r="CB320" i="24"/>
  <c r="CB318" i="24"/>
  <c r="CB329" i="24"/>
  <c r="CB311" i="24"/>
  <c r="L317" i="43"/>
  <c r="BW326" i="24"/>
  <c r="CD326" i="24" s="1"/>
  <c r="CE326" i="24" s="1"/>
  <c r="BW330" i="24"/>
  <c r="CD330" i="24" s="1"/>
  <c r="CE330" i="24" s="1"/>
  <c r="BW308" i="24"/>
  <c r="CD308" i="24" s="1"/>
  <c r="CE308" i="24" s="1"/>
  <c r="BW312" i="24"/>
  <c r="CD312" i="24" s="1"/>
  <c r="CE312" i="24" s="1"/>
  <c r="AI311" i="24"/>
  <c r="AF311" i="24"/>
  <c r="CM306" i="43"/>
  <c r="AE311" i="24"/>
  <c r="W311" i="43"/>
  <c r="AD311" i="24"/>
  <c r="DJ308" i="43"/>
  <c r="AA307" i="24" s="1"/>
  <c r="CM308" i="43"/>
  <c r="BR306" i="43"/>
  <c r="DJ306" i="43"/>
  <c r="AA305" i="24" s="1"/>
  <c r="CM300" i="43"/>
  <c r="BR300" i="43"/>
  <c r="BW300" i="24"/>
  <c r="CD300" i="24" s="1"/>
  <c r="CE300" i="24" s="1"/>
  <c r="DJ300" i="43"/>
  <c r="AA299" i="24" s="1"/>
  <c r="DF298" i="43"/>
  <c r="DJ298" i="43"/>
  <c r="AI298" i="24" s="1"/>
  <c r="DJ290" i="43"/>
  <c r="AA289" i="24" s="1"/>
  <c r="DJ284" i="43"/>
  <c r="AI284" i="24" s="1"/>
  <c r="BR290" i="43"/>
  <c r="CM290" i="43"/>
  <c r="BW290" i="24"/>
  <c r="CD290" i="24" s="1"/>
  <c r="CE290" i="24" s="1"/>
  <c r="BW284" i="24"/>
  <c r="CD284" i="24" s="1"/>
  <c r="CE284" i="24" s="1"/>
  <c r="DJ280" i="43"/>
  <c r="AA279" i="24" s="1"/>
  <c r="BR284" i="43"/>
  <c r="DJ282" i="43"/>
  <c r="AA281" i="24" s="1"/>
  <c r="CM282" i="43"/>
  <c r="CM280" i="43"/>
  <c r="BW282" i="24"/>
  <c r="CD282" i="24" s="1"/>
  <c r="CE282" i="24" s="1"/>
  <c r="DF243" i="43"/>
  <c r="DF286" i="43"/>
  <c r="DJ255" i="43"/>
  <c r="AF255" i="24" s="1"/>
  <c r="CM255" i="43"/>
  <c r="BR255" i="43"/>
  <c r="G13" i="30"/>
  <c r="G12" i="30"/>
  <c r="D12" i="30"/>
  <c r="E13" i="30"/>
  <c r="D13" i="30"/>
  <c r="J20" i="30"/>
  <c r="K7" i="30"/>
  <c r="K13" i="30" s="1"/>
  <c r="J6" i="30"/>
  <c r="J21" i="30"/>
  <c r="J9" i="30"/>
  <c r="J19" i="30"/>
  <c r="J22" i="30"/>
  <c r="J23" i="30"/>
  <c r="J26" i="30"/>
  <c r="J27" i="30"/>
  <c r="J28" i="30"/>
  <c r="J17" i="30"/>
  <c r="J15" i="30"/>
  <c r="J16" i="30"/>
  <c r="J10" i="30"/>
  <c r="J14" i="30"/>
  <c r="CM251" i="43"/>
  <c r="DJ243" i="43"/>
  <c r="AF243" i="24" s="1"/>
  <c r="DF251" i="43"/>
  <c r="DJ251" i="43"/>
  <c r="AD251" i="24" s="1"/>
  <c r="BR243" i="43"/>
  <c r="CM286" i="43"/>
  <c r="CB340" i="24"/>
  <c r="CD340" i="24"/>
  <c r="CE340" i="24" s="1"/>
  <c r="DJ288" i="43"/>
  <c r="AA287" i="24" s="1"/>
  <c r="CM288" i="43"/>
  <c r="BW288" i="24"/>
  <c r="CM216" i="43"/>
  <c r="DJ286" i="43"/>
  <c r="AA285" i="24" s="1"/>
  <c r="BR286" i="43"/>
  <c r="AF315" i="24"/>
  <c r="CM239" i="43"/>
  <c r="DJ263" i="43"/>
  <c r="AA262" i="24" s="1"/>
  <c r="AF349" i="24"/>
  <c r="AI36" i="43"/>
  <c r="HZ36" i="43" s="1"/>
  <c r="AE240" i="24"/>
  <c r="DF340" i="43"/>
  <c r="AI315" i="24"/>
  <c r="BW286" i="24"/>
  <c r="AD315" i="24"/>
  <c r="W315" i="43"/>
  <c r="AH16" i="43"/>
  <c r="AI16" i="43" s="1"/>
  <c r="HZ16" i="43" s="1"/>
  <c r="AE349" i="24"/>
  <c r="AE315" i="24"/>
  <c r="AI240" i="24"/>
  <c r="AI350" i="24"/>
  <c r="AE350" i="24"/>
  <c r="AD349" i="24"/>
  <c r="AA239" i="24"/>
  <c r="AF240" i="24"/>
  <c r="AI349" i="24"/>
  <c r="AD240" i="24"/>
  <c r="BR217" i="43"/>
  <c r="CZ206" i="43"/>
  <c r="DF206" i="43" s="1"/>
  <c r="BR216" i="43"/>
  <c r="AE380" i="24"/>
  <c r="EH52" i="43"/>
  <c r="AD380" i="24"/>
  <c r="AF380" i="24"/>
  <c r="IB40" i="43"/>
  <c r="ID40" i="43"/>
  <c r="IB28" i="43"/>
  <c r="ID28" i="43"/>
  <c r="AH32" i="43"/>
  <c r="AI32" i="43" s="1"/>
  <c r="HZ32" i="43" s="1"/>
  <c r="BW296" i="24"/>
  <c r="CD296" i="24" s="1"/>
  <c r="CE296" i="24" s="1"/>
  <c r="BW216" i="24"/>
  <c r="CM292" i="43"/>
  <c r="DJ292" i="43"/>
  <c r="AA291" i="24" s="1"/>
  <c r="DF211" i="43"/>
  <c r="DJ296" i="43"/>
  <c r="AA295" i="24" s="1"/>
  <c r="DJ340" i="43"/>
  <c r="AA339" i="24" s="1"/>
  <c r="CM340" i="43"/>
  <c r="AH14" i="43"/>
  <c r="AI14" i="43" s="1"/>
  <c r="HZ14" i="43" s="1"/>
  <c r="DJ216" i="43"/>
  <c r="AA215" i="24" s="1"/>
  <c r="AI380" i="24"/>
  <c r="DJ217" i="43"/>
  <c r="AA216" i="24" s="1"/>
  <c r="EH32" i="43"/>
  <c r="DJ294" i="43"/>
  <c r="AA293" i="24" s="1"/>
  <c r="CB331" i="24"/>
  <c r="BW211" i="24"/>
  <c r="CM204" i="43"/>
  <c r="CI296" i="43"/>
  <c r="CK296" i="43" s="1"/>
  <c r="DJ204" i="43"/>
  <c r="AI204" i="24" s="1"/>
  <c r="DF204" i="43"/>
  <c r="AF350" i="24"/>
  <c r="CB305" i="24"/>
  <c r="AD350" i="24"/>
  <c r="EY179" i="43"/>
  <c r="EZ179" i="43" s="1"/>
  <c r="DJ211" i="43"/>
  <c r="AD211" i="24" s="1"/>
  <c r="DJ278" i="43"/>
  <c r="AA277" i="24" s="1"/>
  <c r="CM217" i="43"/>
  <c r="BW304" i="24"/>
  <c r="CD304" i="24" s="1"/>
  <c r="CE304" i="24" s="1"/>
  <c r="BW302" i="24"/>
  <c r="BW303" i="24"/>
  <c r="DJ331" i="43"/>
  <c r="AA330" i="24" s="1"/>
  <c r="BR331" i="43"/>
  <c r="AD32" i="24"/>
  <c r="AI24" i="43"/>
  <c r="CN29" i="43"/>
  <c r="AA31" i="24"/>
  <c r="AH50" i="43"/>
  <c r="EN50" i="43" s="1"/>
  <c r="AI179" i="24"/>
  <c r="EH42" i="43"/>
  <c r="CM331" i="43"/>
  <c r="EN28" i="43"/>
  <c r="CB53" i="24"/>
  <c r="CB332" i="24"/>
  <c r="CB269" i="24"/>
  <c r="CB259" i="24"/>
  <c r="CB195" i="24"/>
  <c r="CB161" i="24"/>
  <c r="CB190" i="24"/>
  <c r="CB201" i="24"/>
  <c r="CB207" i="24"/>
  <c r="CB253" i="24"/>
  <c r="CB200" i="24"/>
  <c r="CB257" i="24"/>
  <c r="CB181" i="24"/>
  <c r="CB270" i="24"/>
  <c r="CB228" i="24"/>
  <c r="CB272" i="24"/>
  <c r="CB268" i="24"/>
  <c r="CB238" i="24"/>
  <c r="CB264" i="24"/>
  <c r="CB187" i="24"/>
  <c r="CB165" i="24"/>
  <c r="CB194" i="24"/>
  <c r="CB213" i="24"/>
  <c r="CB267" i="24"/>
  <c r="CB196" i="24"/>
  <c r="CB185" i="24"/>
  <c r="CB203" i="24"/>
  <c r="CB224" i="24"/>
  <c r="CB256" i="24"/>
  <c r="CB361" i="24"/>
  <c r="CB367" i="24"/>
  <c r="CB247" i="24"/>
  <c r="CB274" i="24"/>
  <c r="CB248" i="24"/>
  <c r="CB336" i="24"/>
  <c r="CB245" i="24"/>
  <c r="CB197" i="24"/>
  <c r="CB189" i="24"/>
  <c r="CB249" i="24"/>
  <c r="CB192" i="24"/>
  <c r="CB244" i="24"/>
  <c r="CB202" i="24"/>
  <c r="CB260" i="24"/>
  <c r="CB173" i="24"/>
  <c r="CB169" i="24"/>
  <c r="CB265" i="24"/>
  <c r="CB175" i="24"/>
  <c r="CB220" i="24"/>
  <c r="CB209" i="24"/>
  <c r="CB168" i="24"/>
  <c r="CB191" i="24"/>
  <c r="CB212" i="24"/>
  <c r="CB179" i="24"/>
  <c r="CB232" i="24"/>
  <c r="CB184" i="24"/>
  <c r="CB261" i="24"/>
  <c r="CB55" i="24"/>
  <c r="CB23" i="24"/>
  <c r="CB51" i="24"/>
  <c r="CB43" i="24"/>
  <c r="CB47" i="24"/>
  <c r="CB171" i="24"/>
  <c r="CB252" i="24"/>
  <c r="CB198" i="24"/>
  <c r="CB271" i="24"/>
  <c r="CB233" i="24"/>
  <c r="CB177" i="24"/>
  <c r="CM297" i="43"/>
  <c r="CN37" i="43"/>
  <c r="BW218" i="24"/>
  <c r="CD218" i="24" s="1"/>
  <c r="CE218" i="24" s="1"/>
  <c r="BW221" i="24"/>
  <c r="CD221" i="24" s="1"/>
  <c r="CE221" i="24" s="1"/>
  <c r="BW219" i="24"/>
  <c r="CD219" i="24" s="1"/>
  <c r="CE219" i="24" s="1"/>
  <c r="BW159" i="24"/>
  <c r="CD159" i="24" s="1"/>
  <c r="CE159" i="24" s="1"/>
  <c r="BW166" i="24"/>
  <c r="CD166" i="24" s="1"/>
  <c r="CE166" i="24" s="1"/>
  <c r="BW235" i="24"/>
  <c r="CD235" i="24" s="1"/>
  <c r="CE235" i="24" s="1"/>
  <c r="BW273" i="24"/>
  <c r="CD273" i="24" s="1"/>
  <c r="CE273" i="24" s="1"/>
  <c r="BW299" i="24"/>
  <c r="CD299" i="24" s="1"/>
  <c r="CE299" i="24" s="1"/>
  <c r="BW295" i="24"/>
  <c r="CD295" i="24" s="1"/>
  <c r="CE295" i="24" s="1"/>
  <c r="BW250" i="24"/>
  <c r="CD250" i="24" s="1"/>
  <c r="CE250" i="24" s="1"/>
  <c r="BW230" i="24"/>
  <c r="CD230" i="24" s="1"/>
  <c r="CE230" i="24" s="1"/>
  <c r="BW239" i="24"/>
  <c r="CD239" i="24" s="1"/>
  <c r="CE239" i="24" s="1"/>
  <c r="BW246" i="24"/>
  <c r="CD246" i="24" s="1"/>
  <c r="CE246" i="24" s="1"/>
  <c r="BW180" i="24"/>
  <c r="CD180" i="24" s="1"/>
  <c r="CE180" i="24" s="1"/>
  <c r="BW241" i="24"/>
  <c r="CD241" i="24" s="1"/>
  <c r="CE241" i="24" s="1"/>
  <c r="BW278" i="24"/>
  <c r="CD278" i="24" s="1"/>
  <c r="CE278" i="24" s="1"/>
  <c r="H51" i="35"/>
  <c r="BW199" i="24"/>
  <c r="CD199" i="24" s="1"/>
  <c r="CE199" i="24" s="1"/>
  <c r="BW215" i="24"/>
  <c r="CD215" i="24" s="1"/>
  <c r="CE215" i="24" s="1"/>
  <c r="BW258" i="24"/>
  <c r="CD258" i="24" s="1"/>
  <c r="CE258" i="24" s="1"/>
  <c r="BW236" i="24"/>
  <c r="CD236" i="24" s="1"/>
  <c r="CE236" i="24" s="1"/>
  <c r="BW283" i="24"/>
  <c r="CD283" i="24" s="1"/>
  <c r="CE283" i="24" s="1"/>
  <c r="BW226" i="24"/>
  <c r="CD226" i="24" s="1"/>
  <c r="CE226" i="24" s="1"/>
  <c r="BW275" i="24"/>
  <c r="CD275" i="24" s="1"/>
  <c r="CE275" i="24" s="1"/>
  <c r="BW281" i="24"/>
  <c r="CD281" i="24" s="1"/>
  <c r="CE281" i="24" s="1"/>
  <c r="BW231" i="24"/>
  <c r="CD231" i="24" s="1"/>
  <c r="CE231" i="24" s="1"/>
  <c r="BW225" i="24"/>
  <c r="CD225" i="24" s="1"/>
  <c r="CE225" i="24" s="1"/>
  <c r="BW237" i="24"/>
  <c r="CD237" i="24" s="1"/>
  <c r="CE237" i="24" s="1"/>
  <c r="BW223" i="24"/>
  <c r="CD223" i="24" s="1"/>
  <c r="CE223" i="24" s="1"/>
  <c r="BW227" i="24"/>
  <c r="CD227" i="24" s="1"/>
  <c r="CE227" i="24" s="1"/>
  <c r="BW162" i="24"/>
  <c r="CD162" i="24" s="1"/>
  <c r="CE162" i="24" s="1"/>
  <c r="BW301" i="24"/>
  <c r="CD301" i="24" s="1"/>
  <c r="CE301" i="24" s="1"/>
  <c r="BW254" i="24"/>
  <c r="CD254" i="24" s="1"/>
  <c r="CE254" i="24" s="1"/>
  <c r="BW289" i="24"/>
  <c r="CD289" i="24" s="1"/>
  <c r="CE289" i="24" s="1"/>
  <c r="BW266" i="24"/>
  <c r="CD266" i="24" s="1"/>
  <c r="CE266" i="24" s="1"/>
  <c r="BW277" i="24"/>
  <c r="CD277" i="24" s="1"/>
  <c r="CE277" i="24" s="1"/>
  <c r="BW276" i="24"/>
  <c r="CD276" i="24" s="1"/>
  <c r="CE276" i="24" s="1"/>
  <c r="BW208" i="24"/>
  <c r="CD208" i="24" s="1"/>
  <c r="CE208" i="24" s="1"/>
  <c r="BW293" i="24"/>
  <c r="CD293" i="24" s="1"/>
  <c r="CE293" i="24" s="1"/>
  <c r="BW222" i="24"/>
  <c r="CD222" i="24" s="1"/>
  <c r="CE222" i="24" s="1"/>
  <c r="BW229" i="24"/>
  <c r="CD229" i="24" s="1"/>
  <c r="CE229" i="24" s="1"/>
  <c r="BW262" i="24"/>
  <c r="CD262" i="24" s="1"/>
  <c r="CE262" i="24" s="1"/>
  <c r="BW279" i="24"/>
  <c r="CD279" i="24" s="1"/>
  <c r="CE279" i="24" s="1"/>
  <c r="BW287" i="24"/>
  <c r="CD287" i="24" s="1"/>
  <c r="CE287" i="24" s="1"/>
  <c r="BW214" i="24"/>
  <c r="CD214" i="24" s="1"/>
  <c r="CE214" i="24" s="1"/>
  <c r="BW234" i="24"/>
  <c r="CD234" i="24" s="1"/>
  <c r="CE234" i="24" s="1"/>
  <c r="BW193" i="24"/>
  <c r="CD193" i="24" s="1"/>
  <c r="CE193" i="24" s="1"/>
  <c r="BW291" i="24"/>
  <c r="CD291" i="24" s="1"/>
  <c r="CE291" i="24" s="1"/>
  <c r="BW172" i="24"/>
  <c r="CD172" i="24" s="1"/>
  <c r="CE172" i="24" s="1"/>
  <c r="BW285" i="24"/>
  <c r="CD285" i="24" s="1"/>
  <c r="CE285" i="24" s="1"/>
  <c r="BW160" i="24"/>
  <c r="CD160" i="24" s="1"/>
  <c r="CE160" i="24" s="1"/>
  <c r="BW210" i="24"/>
  <c r="CD210" i="24" s="1"/>
  <c r="CE210" i="24" s="1"/>
  <c r="BW297" i="24"/>
  <c r="CD297" i="24" s="1"/>
  <c r="CE297" i="24" s="1"/>
  <c r="BW242" i="24"/>
  <c r="CD242" i="24" s="1"/>
  <c r="CE242" i="24" s="1"/>
  <c r="CF206" i="43"/>
  <c r="CI53" i="43"/>
  <c r="CK53" i="43" s="1"/>
  <c r="CM332" i="43"/>
  <c r="AE32" i="24"/>
  <c r="CM215" i="43"/>
  <c r="BR278" i="43"/>
  <c r="AI32" i="24"/>
  <c r="AF32" i="24"/>
  <c r="EH44" i="43"/>
  <c r="AA178" i="24"/>
  <c r="AF179" i="24"/>
  <c r="W179" i="43"/>
  <c r="AD179" i="24"/>
  <c r="BL206" i="43"/>
  <c r="BR206" i="43" s="1"/>
  <c r="AH34" i="43"/>
  <c r="AI34" i="43" s="1"/>
  <c r="HZ34" i="43" s="1"/>
  <c r="ED206" i="43"/>
  <c r="U206" i="43" s="1"/>
  <c r="CM218" i="43"/>
  <c r="CM295" i="43"/>
  <c r="EH15" i="43"/>
  <c r="CI160" i="43"/>
  <c r="CK160" i="43" s="1"/>
  <c r="W17" i="45"/>
  <c r="Z17" i="45" s="1"/>
  <c r="EH22" i="43"/>
  <c r="EH16" i="43"/>
  <c r="EH21" i="43"/>
  <c r="AH25" i="43"/>
  <c r="AI25" i="43" s="1"/>
  <c r="HZ25" i="43" s="1"/>
  <c r="AH30" i="43"/>
  <c r="AI30" i="43" s="1"/>
  <c r="HZ30" i="43" s="1"/>
  <c r="EH37" i="43"/>
  <c r="AH49" i="43"/>
  <c r="AI49" i="43" s="1"/>
  <c r="HZ49" i="43" s="1"/>
  <c r="D6" i="45"/>
  <c r="U6" i="45" s="1"/>
  <c r="EH20" i="43"/>
  <c r="CM277" i="43"/>
  <c r="EH29" i="43"/>
  <c r="CM47" i="43"/>
  <c r="CN47" i="43" s="1"/>
  <c r="CM180" i="43"/>
  <c r="EH38" i="43"/>
  <c r="EH31" i="43"/>
  <c r="EH46" i="43"/>
  <c r="EH41" i="43"/>
  <c r="CM225" i="43"/>
  <c r="K51" i="35"/>
  <c r="J51" i="35"/>
  <c r="EH50" i="43"/>
  <c r="CM210" i="43"/>
  <c r="EH11" i="43"/>
  <c r="EH33" i="43"/>
  <c r="EH34" i="43"/>
  <c r="EH14" i="43"/>
  <c r="EH56" i="43"/>
  <c r="EH26" i="43"/>
  <c r="EH30" i="43"/>
  <c r="F33" i="35"/>
  <c r="EH27" i="43"/>
  <c r="EH49" i="43"/>
  <c r="EH35" i="43"/>
  <c r="EH45" i="43"/>
  <c r="EH18" i="43"/>
  <c r="EH39" i="43"/>
  <c r="EH54" i="43"/>
  <c r="EH19" i="43"/>
  <c r="EH25" i="43"/>
  <c r="CM155" i="43"/>
  <c r="DD53" i="43"/>
  <c r="DF53" i="43"/>
  <c r="CM258" i="43"/>
  <c r="CN41" i="43"/>
  <c r="CN22" i="43"/>
  <c r="AI48" i="43"/>
  <c r="HZ48" i="43" s="1"/>
  <c r="EN48" i="43"/>
  <c r="BL130" i="43"/>
  <c r="BK130" i="24"/>
  <c r="EI130" i="43" s="1"/>
  <c r="EJ130" i="43" s="1"/>
  <c r="Y129" i="24" s="1"/>
  <c r="CM279" i="43"/>
  <c r="W316" i="43"/>
  <c r="AI316" i="24"/>
  <c r="AD316" i="24"/>
  <c r="AE316" i="24"/>
  <c r="AF316" i="24"/>
  <c r="AD12" i="24"/>
  <c r="AI12" i="24"/>
  <c r="AE12" i="24"/>
  <c r="AF12" i="24"/>
  <c r="EY192" i="43"/>
  <c r="AI192" i="24"/>
  <c r="AE192" i="24"/>
  <c r="AD192" i="24"/>
  <c r="AF192" i="24"/>
  <c r="W37" i="43"/>
  <c r="AD37" i="24"/>
  <c r="AE37" i="24"/>
  <c r="AI37" i="24"/>
  <c r="AF37" i="24"/>
  <c r="DF221" i="43"/>
  <c r="DJ154" i="43"/>
  <c r="AA153" i="24" s="1"/>
  <c r="BR154" i="43"/>
  <c r="Z89" i="24"/>
  <c r="AI381" i="24"/>
  <c r="AD381" i="24"/>
  <c r="AF381" i="24"/>
  <c r="AE381" i="24"/>
  <c r="AE337" i="24"/>
  <c r="AD337" i="24"/>
  <c r="AI337" i="24"/>
  <c r="AF337" i="24"/>
  <c r="DJ64" i="43"/>
  <c r="AA63" i="24" s="1"/>
  <c r="BR64" i="43"/>
  <c r="DJ119" i="43"/>
  <c r="AA118" i="24" s="1"/>
  <c r="BR119" i="43"/>
  <c r="CM223" i="43"/>
  <c r="CM227" i="43"/>
  <c r="W220" i="43"/>
  <c r="AD220" i="24"/>
  <c r="AI220" i="24"/>
  <c r="AE220" i="24"/>
  <c r="AF220" i="24"/>
  <c r="BS27" i="43"/>
  <c r="AH41" i="43"/>
  <c r="DJ107" i="43"/>
  <c r="AA106" i="24" s="1"/>
  <c r="BR107" i="43"/>
  <c r="CM151" i="43"/>
  <c r="CM214" i="43"/>
  <c r="AI21" i="43"/>
  <c r="HZ21" i="43" s="1"/>
  <c r="EN21" i="43"/>
  <c r="W84" i="43"/>
  <c r="AD84" i="24"/>
  <c r="AI84" i="24"/>
  <c r="AE84" i="24"/>
  <c r="AF84" i="24"/>
  <c r="W91" i="43"/>
  <c r="AI91" i="24"/>
  <c r="AF91" i="24"/>
  <c r="AE91" i="24"/>
  <c r="AD91" i="24"/>
  <c r="AI322" i="24"/>
  <c r="AE322" i="24"/>
  <c r="AD322" i="24"/>
  <c r="AF322" i="24"/>
  <c r="ED63" i="43"/>
  <c r="CZ63" i="43"/>
  <c r="W153" i="43"/>
  <c r="AI153" i="24"/>
  <c r="AE153" i="24"/>
  <c r="AD153" i="24"/>
  <c r="AF153" i="24"/>
  <c r="W20" i="43"/>
  <c r="AD20" i="24"/>
  <c r="AI20" i="24"/>
  <c r="AE20" i="24"/>
  <c r="AF20" i="24"/>
  <c r="CI166" i="43"/>
  <c r="CK166" i="43" s="1"/>
  <c r="CM166" i="43"/>
  <c r="DF162" i="43"/>
  <c r="CI23" i="43"/>
  <c r="CK23" i="43" s="1"/>
  <c r="CM23" i="43"/>
  <c r="DJ117" i="43"/>
  <c r="AA116" i="24" s="1"/>
  <c r="BR117" i="43"/>
  <c r="CM62" i="43"/>
  <c r="DJ157" i="43"/>
  <c r="AA156" i="24" s="1"/>
  <c r="BR157" i="43"/>
  <c r="DJ97" i="43"/>
  <c r="AA96" i="24" s="1"/>
  <c r="BR97" i="43"/>
  <c r="CI51" i="43"/>
  <c r="CK51" i="43" s="1"/>
  <c r="CM51" i="43"/>
  <c r="CN51" i="43" s="1"/>
  <c r="DJ147" i="43"/>
  <c r="AA146" i="24" s="1"/>
  <c r="BR147" i="43"/>
  <c r="DF111" i="43"/>
  <c r="DJ210" i="43"/>
  <c r="AA209" i="24" s="1"/>
  <c r="BR210" i="43"/>
  <c r="DF235" i="43"/>
  <c r="CM344" i="43"/>
  <c r="AI260" i="24"/>
  <c r="AE260" i="24"/>
  <c r="AF260" i="24"/>
  <c r="AD260" i="24"/>
  <c r="W245" i="43"/>
  <c r="AI245" i="24"/>
  <c r="AE245" i="24"/>
  <c r="AF245" i="24"/>
  <c r="AD245" i="24"/>
  <c r="CM222" i="43"/>
  <c r="DJ297" i="43"/>
  <c r="AA296" i="24" s="1"/>
  <c r="BR297" i="43"/>
  <c r="CM226" i="43"/>
  <c r="DJ239" i="43"/>
  <c r="AA238" i="24" s="1"/>
  <c r="BR239" i="43"/>
  <c r="AI333" i="24"/>
  <c r="AE333" i="24"/>
  <c r="AD333" i="24"/>
  <c r="AF333" i="24"/>
  <c r="W228" i="43"/>
  <c r="AE228" i="24"/>
  <c r="AI228" i="24"/>
  <c r="AD228" i="24"/>
  <c r="AF228" i="24"/>
  <c r="AI369" i="24"/>
  <c r="AD369" i="24"/>
  <c r="AE369" i="24"/>
  <c r="AF369" i="24"/>
  <c r="DF154" i="43"/>
  <c r="CM70" i="43"/>
  <c r="W56" i="43"/>
  <c r="AE56" i="24"/>
  <c r="AD56" i="24"/>
  <c r="AI56" i="24"/>
  <c r="AF56" i="24"/>
  <c r="Z126" i="24"/>
  <c r="DJ90" i="43"/>
  <c r="BR90" i="43"/>
  <c r="Z108" i="24"/>
  <c r="EY165" i="43"/>
  <c r="EZ165" i="43" s="1"/>
  <c r="W165" i="43"/>
  <c r="AE165" i="24"/>
  <c r="AD165" i="24"/>
  <c r="AI165" i="24"/>
  <c r="AF165" i="24"/>
  <c r="CN27" i="43"/>
  <c r="CN30" i="43"/>
  <c r="Z54" i="24"/>
  <c r="AI257" i="24"/>
  <c r="AF257" i="24"/>
  <c r="AE257" i="24"/>
  <c r="AD257" i="24"/>
  <c r="DF281" i="43"/>
  <c r="Z245" i="24"/>
  <c r="CN33" i="43"/>
  <c r="DJ303" i="43"/>
  <c r="AA302" i="24" s="1"/>
  <c r="BR303" i="43"/>
  <c r="DF254" i="43"/>
  <c r="CM76" i="43"/>
  <c r="W77" i="43"/>
  <c r="AE77" i="24"/>
  <c r="AI77" i="24"/>
  <c r="AD77" i="24"/>
  <c r="AF77" i="24"/>
  <c r="DF330" i="43"/>
  <c r="W100" i="43"/>
  <c r="AD100" i="24"/>
  <c r="AI100" i="24"/>
  <c r="AE100" i="24"/>
  <c r="AF100" i="24"/>
  <c r="DJ299" i="43"/>
  <c r="AA298" i="24" s="1"/>
  <c r="BR299" i="43"/>
  <c r="DF295" i="43"/>
  <c r="AI325" i="24"/>
  <c r="AF325" i="24"/>
  <c r="AD325" i="24"/>
  <c r="AE325" i="24"/>
  <c r="AI29" i="43"/>
  <c r="HZ29" i="43" s="1"/>
  <c r="EN29" i="43"/>
  <c r="Z179" i="24"/>
  <c r="DF68" i="43"/>
  <c r="AU47" i="43"/>
  <c r="AH47" i="43" s="1"/>
  <c r="DF85" i="43"/>
  <c r="CM133" i="43"/>
  <c r="Z80" i="24"/>
  <c r="CM157" i="43"/>
  <c r="DJ113" i="43"/>
  <c r="AA112" i="24" s="1"/>
  <c r="BR113" i="43"/>
  <c r="DF147" i="43"/>
  <c r="Z102" i="24"/>
  <c r="Z52" i="24"/>
  <c r="CM111" i="43"/>
  <c r="CM361" i="43"/>
  <c r="DF250" i="43"/>
  <c r="DF230" i="43"/>
  <c r="W106" i="43"/>
  <c r="AI106" i="24"/>
  <c r="AE106" i="24"/>
  <c r="AD106" i="24"/>
  <c r="AF106" i="24"/>
  <c r="BS30" i="43"/>
  <c r="AD345" i="24"/>
  <c r="AE345" i="24"/>
  <c r="AI345" i="24"/>
  <c r="AF345" i="24"/>
  <c r="W52" i="43"/>
  <c r="AI52" i="24"/>
  <c r="AF52" i="24"/>
  <c r="AE52" i="24"/>
  <c r="AD52" i="24"/>
  <c r="DJ258" i="43"/>
  <c r="AA257" i="24" s="1"/>
  <c r="BR258" i="43"/>
  <c r="W25" i="43"/>
  <c r="AE25" i="24"/>
  <c r="AD25" i="24"/>
  <c r="AI25" i="24"/>
  <c r="AF25" i="24"/>
  <c r="W305" i="43"/>
  <c r="AE305" i="24"/>
  <c r="AD305" i="24"/>
  <c r="AI305" i="24"/>
  <c r="AF305" i="24"/>
  <c r="CM276" i="43"/>
  <c r="CM289" i="43"/>
  <c r="AA76" i="24"/>
  <c r="AA152" i="24"/>
  <c r="G11" i="30"/>
  <c r="BS16" i="43"/>
  <c r="EY191" i="43"/>
  <c r="AI191" i="24"/>
  <c r="AD191" i="24"/>
  <c r="AE191" i="24"/>
  <c r="AF191" i="24"/>
  <c r="AI37" i="43"/>
  <c r="HZ37" i="43" s="1"/>
  <c r="EN37" i="43"/>
  <c r="DF105" i="43"/>
  <c r="DF135" i="43"/>
  <c r="DF231" i="43"/>
  <c r="DJ326" i="43"/>
  <c r="AA325" i="24" s="1"/>
  <c r="BR326" i="43"/>
  <c r="AA321" i="24"/>
  <c r="Z138" i="24"/>
  <c r="DF336" i="43"/>
  <c r="CI43" i="43"/>
  <c r="CK43" i="43" s="1"/>
  <c r="CM43" i="43"/>
  <c r="CN43" i="43" s="1"/>
  <c r="CM266" i="43"/>
  <c r="CM64" i="43"/>
  <c r="AI259" i="24"/>
  <c r="AF259" i="24"/>
  <c r="AD259" i="24"/>
  <c r="AE259" i="24"/>
  <c r="E12" i="30"/>
  <c r="CN14" i="43"/>
  <c r="W161" i="43"/>
  <c r="AE161" i="24"/>
  <c r="AD161" i="24"/>
  <c r="AI161" i="24"/>
  <c r="AF161" i="24"/>
  <c r="DJ159" i="43"/>
  <c r="AA158" i="24" s="1"/>
  <c r="BR159" i="43"/>
  <c r="Z241" i="24"/>
  <c r="W41" i="43"/>
  <c r="AE41" i="24"/>
  <c r="AD41" i="24"/>
  <c r="AI41" i="24"/>
  <c r="AF41" i="24"/>
  <c r="AA55" i="24"/>
  <c r="CM107" i="43"/>
  <c r="W233" i="43"/>
  <c r="AI233" i="24"/>
  <c r="AE233" i="24"/>
  <c r="AF233" i="24"/>
  <c r="AD233" i="24"/>
  <c r="DJ225" i="43"/>
  <c r="AA224" i="24" s="1"/>
  <c r="BR225" i="43"/>
  <c r="D37" i="45"/>
  <c r="U37" i="45" s="1"/>
  <c r="EO40" i="43"/>
  <c r="AD370" i="24"/>
  <c r="AF370" i="24"/>
  <c r="AI370" i="24"/>
  <c r="AE370" i="24"/>
  <c r="AA380" i="24"/>
  <c r="CI159" i="43"/>
  <c r="CK159" i="43" s="1"/>
  <c r="CM159" i="43"/>
  <c r="BK158" i="24"/>
  <c r="EI158" i="43" s="1"/>
  <c r="EJ158" i="43" s="1"/>
  <c r="Y157" i="24" s="1"/>
  <c r="DF141" i="43"/>
  <c r="CM121" i="43"/>
  <c r="DF104" i="43"/>
  <c r="CM60" i="43"/>
  <c r="DJ137" i="43"/>
  <c r="AA136" i="24" s="1"/>
  <c r="BR137" i="43"/>
  <c r="CM101" i="43"/>
  <c r="AH26" i="43"/>
  <c r="CM129" i="43"/>
  <c r="Z114" i="24"/>
  <c r="ED59" i="43"/>
  <c r="CZ59" i="43"/>
  <c r="BK86" i="24"/>
  <c r="EI86" i="43" s="1"/>
  <c r="EJ86" i="43" s="1"/>
  <c r="Y85" i="24" s="1"/>
  <c r="ED108" i="43"/>
  <c r="CZ108" i="43"/>
  <c r="W213" i="43"/>
  <c r="AD213" i="24"/>
  <c r="AE213" i="24"/>
  <c r="AI213" i="24"/>
  <c r="AF213" i="24"/>
  <c r="AI324" i="24"/>
  <c r="AD324" i="24"/>
  <c r="AF324" i="24"/>
  <c r="AE324" i="24"/>
  <c r="AI44" i="43"/>
  <c r="HZ44" i="43" s="1"/>
  <c r="EN44" i="43"/>
  <c r="EY177" i="43"/>
  <c r="EZ177" i="43" s="1"/>
  <c r="W177" i="43"/>
  <c r="AE177" i="24"/>
  <c r="AD177" i="24"/>
  <c r="AI177" i="24"/>
  <c r="AF177" i="24"/>
  <c r="DF237" i="43"/>
  <c r="DJ152" i="43"/>
  <c r="AA151" i="24" s="1"/>
  <c r="BR152" i="43"/>
  <c r="W39" i="43"/>
  <c r="AI39" i="24"/>
  <c r="AE39" i="24"/>
  <c r="AD39" i="24"/>
  <c r="AF39" i="24"/>
  <c r="AD360" i="24"/>
  <c r="AE360" i="24"/>
  <c r="AI360" i="24"/>
  <c r="AF360" i="24"/>
  <c r="AI346" i="24"/>
  <c r="AE346" i="24"/>
  <c r="AD346" i="24"/>
  <c r="AF346" i="24"/>
  <c r="DF297" i="43"/>
  <c r="DJ226" i="43"/>
  <c r="AA225" i="24" s="1"/>
  <c r="BR226" i="43"/>
  <c r="W22" i="43"/>
  <c r="AD22" i="24"/>
  <c r="AE22" i="24"/>
  <c r="AI22" i="24"/>
  <c r="AF22" i="24"/>
  <c r="W268" i="43"/>
  <c r="AD268" i="24"/>
  <c r="AI268" i="24"/>
  <c r="AE268" i="24"/>
  <c r="AF268" i="24"/>
  <c r="DJ275" i="43"/>
  <c r="AA274" i="24" s="1"/>
  <c r="BR275" i="43"/>
  <c r="DF276" i="43"/>
  <c r="DJ149" i="43"/>
  <c r="AA148" i="24" s="1"/>
  <c r="BR149" i="43"/>
  <c r="AA176" i="24"/>
  <c r="W144" i="43"/>
  <c r="AF144" i="24"/>
  <c r="AE144" i="24"/>
  <c r="AD144" i="24"/>
  <c r="AI144" i="24"/>
  <c r="Z220" i="24"/>
  <c r="Z325" i="24"/>
  <c r="Z282" i="24"/>
  <c r="DJ219" i="43"/>
  <c r="AA218" i="24" s="1"/>
  <c r="BR219" i="43"/>
  <c r="AI265" i="24"/>
  <c r="AF265" i="24"/>
  <c r="AE265" i="24"/>
  <c r="AD265" i="24"/>
  <c r="Z63" i="24"/>
  <c r="Z222" i="24"/>
  <c r="DF242" i="43"/>
  <c r="DF107" i="43"/>
  <c r="DF303" i="43"/>
  <c r="W124" i="43"/>
  <c r="AI124" i="24"/>
  <c r="AD124" i="24"/>
  <c r="AF124" i="24"/>
  <c r="AE124" i="24"/>
  <c r="BL82" i="43"/>
  <c r="BL67" i="43"/>
  <c r="BK67" i="24"/>
  <c r="EI67" i="43" s="1"/>
  <c r="EJ67" i="43" s="1"/>
  <c r="Y66" i="24" s="1"/>
  <c r="BL138" i="43"/>
  <c r="BK138" i="24"/>
  <c r="EI138" i="43" s="1"/>
  <c r="EJ138" i="43" s="1"/>
  <c r="Y137" i="24" s="1"/>
  <c r="CF134" i="43"/>
  <c r="ED134" i="43"/>
  <c r="CZ134" i="43"/>
  <c r="CF75" i="43"/>
  <c r="CF146" i="43"/>
  <c r="ED146" i="43"/>
  <c r="CZ146" i="43"/>
  <c r="CF94" i="43"/>
  <c r="ED94" i="43"/>
  <c r="CZ94" i="43"/>
  <c r="CF71" i="43"/>
  <c r="BL57" i="43"/>
  <c r="DJ83" i="43"/>
  <c r="BR83" i="43"/>
  <c r="DF62" i="43"/>
  <c r="DF157" i="43"/>
  <c r="Z234" i="24"/>
  <c r="DJ136" i="43"/>
  <c r="AA135" i="24" s="1"/>
  <c r="BR136" i="43"/>
  <c r="DJ180" i="43"/>
  <c r="AA179" i="24" s="1"/>
  <c r="BR180" i="43"/>
  <c r="Z82" i="24"/>
  <c r="CM104" i="43"/>
  <c r="DF89" i="43"/>
  <c r="Z128" i="24"/>
  <c r="DF74" i="43"/>
  <c r="W49" i="43"/>
  <c r="AI49" i="24"/>
  <c r="AE49" i="24"/>
  <c r="AD49" i="24"/>
  <c r="AF49" i="24"/>
  <c r="AI52" i="43"/>
  <c r="HZ52" i="43" s="1"/>
  <c r="EN52" i="43"/>
  <c r="DF152" i="43"/>
  <c r="Z165" i="24"/>
  <c r="DJ141" i="43"/>
  <c r="AA140" i="24" s="1"/>
  <c r="BR141" i="43"/>
  <c r="CM83" i="43"/>
  <c r="DF93" i="43"/>
  <c r="DJ140" i="43"/>
  <c r="AA139" i="24" s="1"/>
  <c r="BR140" i="43"/>
  <c r="Z68" i="24"/>
  <c r="DF199" i="43"/>
  <c r="I13" i="30" s="1"/>
  <c r="DF81" i="43"/>
  <c r="AU51" i="43"/>
  <c r="DF156" i="43"/>
  <c r="Z122" i="24"/>
  <c r="Z136" i="24"/>
  <c r="DF208" i="43"/>
  <c r="AD356" i="24"/>
  <c r="AI356" i="24"/>
  <c r="AF356" i="24"/>
  <c r="AE356" i="24"/>
  <c r="BS26" i="43"/>
  <c r="AI338" i="24"/>
  <c r="AF338" i="24"/>
  <c r="AD338" i="24"/>
  <c r="AE338" i="24"/>
  <c r="AI318" i="24"/>
  <c r="AE318" i="24"/>
  <c r="AF318" i="24"/>
  <c r="AD318" i="24"/>
  <c r="AE372" i="24"/>
  <c r="AD372" i="24"/>
  <c r="AI372" i="24"/>
  <c r="AF372" i="24"/>
  <c r="W44" i="43"/>
  <c r="AE44" i="24"/>
  <c r="AD44" i="24"/>
  <c r="AI44" i="24"/>
  <c r="AF44" i="24"/>
  <c r="AE362" i="24"/>
  <c r="AD362" i="24"/>
  <c r="AI362" i="24"/>
  <c r="AF362" i="24"/>
  <c r="Z261" i="24"/>
  <c r="CM241" i="43"/>
  <c r="BS35" i="43"/>
  <c r="AI351" i="24"/>
  <c r="AE351" i="24"/>
  <c r="AD351" i="24"/>
  <c r="AF351" i="24"/>
  <c r="CM283" i="43"/>
  <c r="DJ127" i="43"/>
  <c r="BR127" i="43"/>
  <c r="CM219" i="43"/>
  <c r="W253" i="43"/>
  <c r="AI253" i="24"/>
  <c r="AE253" i="24"/>
  <c r="AD253" i="24"/>
  <c r="AF253" i="24"/>
  <c r="BS33" i="43"/>
  <c r="W54" i="43"/>
  <c r="AD54" i="24"/>
  <c r="AE54" i="24"/>
  <c r="AI54" i="24"/>
  <c r="AF54" i="24"/>
  <c r="EY169" i="43"/>
  <c r="EZ169" i="43" s="1"/>
  <c r="W169" i="43"/>
  <c r="AE169" i="24"/>
  <c r="AD169" i="24"/>
  <c r="AI169" i="24"/>
  <c r="AF169" i="24"/>
  <c r="AI11" i="43"/>
  <c r="HZ11" i="43" s="1"/>
  <c r="EN11" i="43"/>
  <c r="Z298" i="24"/>
  <c r="DF159" i="43"/>
  <c r="Z280" i="24"/>
  <c r="DJ332" i="43"/>
  <c r="AA331" i="24" s="1"/>
  <c r="BR332" i="43"/>
  <c r="Z301" i="24"/>
  <c r="AA83" i="24"/>
  <c r="AI42" i="43"/>
  <c r="HZ42" i="43" s="1"/>
  <c r="EN42" i="43"/>
  <c r="DD55" i="43"/>
  <c r="DF55" i="43"/>
  <c r="CF118" i="43"/>
  <c r="ED118" i="43"/>
  <c r="CZ118" i="43"/>
  <c r="AE327" i="24"/>
  <c r="AI327" i="24"/>
  <c r="AD327" i="24"/>
  <c r="AF327" i="24"/>
  <c r="CF122" i="43"/>
  <c r="ED122" i="43"/>
  <c r="CZ122" i="43"/>
  <c r="CF63" i="43"/>
  <c r="W267" i="43"/>
  <c r="AI267" i="24"/>
  <c r="AD267" i="24"/>
  <c r="AF267" i="24"/>
  <c r="AE267" i="24"/>
  <c r="CM141" i="43"/>
  <c r="CM69" i="43"/>
  <c r="CM123" i="43"/>
  <c r="DF293" i="43"/>
  <c r="DF132" i="43"/>
  <c r="CM136" i="43"/>
  <c r="AA337" i="24"/>
  <c r="DJ115" i="43"/>
  <c r="AA114" i="24" s="1"/>
  <c r="BR115" i="43"/>
  <c r="Z229" i="24"/>
  <c r="AI264" i="24"/>
  <c r="AE264" i="24"/>
  <c r="AF264" i="24"/>
  <c r="AD264" i="24"/>
  <c r="EY184" i="43"/>
  <c r="EZ184" i="43" s="1"/>
  <c r="W184" i="43"/>
  <c r="AI184" i="24"/>
  <c r="AD184" i="24"/>
  <c r="AF184" i="24"/>
  <c r="AE184" i="24"/>
  <c r="E11" i="30"/>
  <c r="BS14" i="43"/>
  <c r="DF229" i="43"/>
  <c r="DF262" i="43"/>
  <c r="J13" i="30" s="1"/>
  <c r="DF275" i="43"/>
  <c r="AA317" i="24"/>
  <c r="Z288" i="24"/>
  <c r="DF273" i="43"/>
  <c r="CM273" i="43"/>
  <c r="DF279" i="43"/>
  <c r="CM304" i="43"/>
  <c r="DJ105" i="43"/>
  <c r="AA104" i="24" s="1"/>
  <c r="BR105" i="43"/>
  <c r="DJ221" i="43"/>
  <c r="BR221" i="43"/>
  <c r="Z230" i="24"/>
  <c r="DJ139" i="43"/>
  <c r="AA138" i="24" s="1"/>
  <c r="BR139" i="43"/>
  <c r="DJ330" i="43"/>
  <c r="AA329" i="24" s="1"/>
  <c r="BR330" i="43"/>
  <c r="DF90" i="43"/>
  <c r="Z42" i="24"/>
  <c r="Z265" i="24"/>
  <c r="DJ227" i="43"/>
  <c r="AA226" i="24" s="1"/>
  <c r="BR227" i="43"/>
  <c r="AA219" i="24"/>
  <c r="AH54" i="43"/>
  <c r="W11" i="43"/>
  <c r="AI11" i="24"/>
  <c r="AE11" i="24"/>
  <c r="AD11" i="24"/>
  <c r="AF11" i="24"/>
  <c r="CM299" i="43"/>
  <c r="DJ55" i="43"/>
  <c r="BR55" i="43"/>
  <c r="BS55" i="43" s="1"/>
  <c r="BP55" i="43"/>
  <c r="D25" i="45"/>
  <c r="U25" i="45" s="1"/>
  <c r="EO28" i="43"/>
  <c r="CM287" i="43"/>
  <c r="CM301" i="43"/>
  <c r="DJ295" i="43"/>
  <c r="AA294" i="24" s="1"/>
  <c r="BR295" i="43"/>
  <c r="DJ246" i="43"/>
  <c r="BR246" i="43"/>
  <c r="W252" i="43"/>
  <c r="AI252" i="24"/>
  <c r="AF252" i="24"/>
  <c r="AE252" i="24"/>
  <c r="AD252" i="24"/>
  <c r="W29" i="43"/>
  <c r="AD29" i="24"/>
  <c r="AE29" i="24"/>
  <c r="AI29" i="24"/>
  <c r="AF29" i="24"/>
  <c r="W148" i="43"/>
  <c r="AI148" i="24"/>
  <c r="AE148" i="24"/>
  <c r="AF148" i="24"/>
  <c r="AD148" i="24"/>
  <c r="CM302" i="43"/>
  <c r="CM234" i="43"/>
  <c r="BS34" i="43"/>
  <c r="W42" i="43"/>
  <c r="AE42" i="24"/>
  <c r="AD42" i="24"/>
  <c r="AI42" i="24"/>
  <c r="AF42" i="24"/>
  <c r="AH35" i="43"/>
  <c r="W61" i="43"/>
  <c r="AF61" i="24"/>
  <c r="AD61" i="24"/>
  <c r="AI61" i="24"/>
  <c r="AE61" i="24"/>
  <c r="CF126" i="43"/>
  <c r="ED126" i="43"/>
  <c r="CZ126" i="43"/>
  <c r="DF70" i="43"/>
  <c r="CN39" i="43"/>
  <c r="BS19" i="43"/>
  <c r="Z120" i="24"/>
  <c r="Z192" i="24"/>
  <c r="DF117" i="43"/>
  <c r="DF97" i="43"/>
  <c r="Z159" i="24"/>
  <c r="CM137" i="43"/>
  <c r="DF137" i="43"/>
  <c r="BP53" i="43"/>
  <c r="DJ53" i="43"/>
  <c r="BR53" i="43"/>
  <c r="BS53" i="43" s="1"/>
  <c r="DF143" i="43"/>
  <c r="AA244" i="24"/>
  <c r="CM115" i="43"/>
  <c r="AH18" i="43"/>
  <c r="AA368" i="24"/>
  <c r="Z276" i="24"/>
  <c r="Z236" i="24"/>
  <c r="AH39" i="43"/>
  <c r="DF291" i="43"/>
  <c r="AI256" i="24"/>
  <c r="AE256" i="24"/>
  <c r="AD256" i="24"/>
  <c r="AF256" i="24"/>
  <c r="Z296" i="24"/>
  <c r="AI38" i="43"/>
  <c r="HZ38" i="43" s="1"/>
  <c r="EN38" i="43"/>
  <c r="AH22" i="43"/>
  <c r="W73" i="43"/>
  <c r="AD73" i="24"/>
  <c r="AI73" i="24"/>
  <c r="AF73" i="24"/>
  <c r="AE73" i="24"/>
  <c r="D11" i="30"/>
  <c r="DF172" i="43"/>
  <c r="CM172" i="43"/>
  <c r="EY171" i="43"/>
  <c r="EZ171" i="43" s="1"/>
  <c r="W171" i="43"/>
  <c r="AD171" i="24"/>
  <c r="AI171" i="24"/>
  <c r="AE171" i="24"/>
  <c r="AF171" i="24"/>
  <c r="Z104" i="24"/>
  <c r="DJ70" i="43"/>
  <c r="AA69" i="24" s="1"/>
  <c r="BR70" i="43"/>
  <c r="DJ283" i="43"/>
  <c r="BR283" i="43"/>
  <c r="CM127" i="43"/>
  <c r="DJ43" i="43"/>
  <c r="BP43" i="43"/>
  <c r="BR43" i="43"/>
  <c r="BS43" i="43" s="1"/>
  <c r="CM72" i="43"/>
  <c r="CM109" i="43"/>
  <c r="CI55" i="43"/>
  <c r="CK55" i="43" s="1"/>
  <c r="CM55" i="43"/>
  <c r="CN55" i="43" s="1"/>
  <c r="AA40" i="24"/>
  <c r="CM246" i="43"/>
  <c r="DF285" i="43"/>
  <c r="BS21" i="43"/>
  <c r="EY185" i="43"/>
  <c r="EZ185" i="43" s="1"/>
  <c r="W185" i="43"/>
  <c r="AE185" i="24"/>
  <c r="AD185" i="24"/>
  <c r="AI185" i="24"/>
  <c r="AF185" i="24"/>
  <c r="BL158" i="43"/>
  <c r="Z213" i="24"/>
  <c r="DF225" i="43"/>
  <c r="AI339" i="24"/>
  <c r="AE339" i="24"/>
  <c r="AD339" i="24"/>
  <c r="AF339" i="24"/>
  <c r="DF180" i="43"/>
  <c r="DJ68" i="43"/>
  <c r="AA67" i="24" s="1"/>
  <c r="BR68" i="43"/>
  <c r="DD47" i="43"/>
  <c r="DF47" i="43"/>
  <c r="DJ121" i="43"/>
  <c r="BR121" i="43"/>
  <c r="Z154" i="24"/>
  <c r="DJ193" i="43"/>
  <c r="AA192" i="24" s="1"/>
  <c r="BR193" i="43"/>
  <c r="CM81" i="43"/>
  <c r="CM113" i="43"/>
  <c r="CM147" i="43"/>
  <c r="DJ143" i="43"/>
  <c r="AA142" i="24" s="1"/>
  <c r="BR143" i="43"/>
  <c r="DJ293" i="43"/>
  <c r="AA292" i="24" s="1"/>
  <c r="BR293" i="43"/>
  <c r="Z131" i="24"/>
  <c r="DF80" i="43"/>
  <c r="DF131" i="43"/>
  <c r="Z360" i="24"/>
  <c r="CF59" i="43"/>
  <c r="BL86" i="43"/>
  <c r="CF108" i="43"/>
  <c r="BS18" i="43"/>
  <c r="W15" i="43"/>
  <c r="AI15" i="24"/>
  <c r="AE15" i="24"/>
  <c r="AD15" i="24"/>
  <c r="AF15" i="24"/>
  <c r="W31" i="43"/>
  <c r="AE31" i="24"/>
  <c r="AD31" i="24"/>
  <c r="AI31" i="24"/>
  <c r="AF31" i="24"/>
  <c r="DF277" i="43"/>
  <c r="DJ222" i="43"/>
  <c r="AA221" i="24" s="1"/>
  <c r="BR222" i="43"/>
  <c r="W38" i="43"/>
  <c r="AE38" i="24"/>
  <c r="AD38" i="24"/>
  <c r="AI38" i="24"/>
  <c r="AF38" i="24"/>
  <c r="Z205" i="24"/>
  <c r="W272" i="43"/>
  <c r="AD272" i="24"/>
  <c r="AE272" i="24"/>
  <c r="AI272" i="24"/>
  <c r="AF272" i="24"/>
  <c r="Z217" i="24"/>
  <c r="AA11" i="24"/>
  <c r="CM135" i="43"/>
  <c r="Z71" i="24"/>
  <c r="AA323" i="24"/>
  <c r="W125" i="43"/>
  <c r="AD125" i="24"/>
  <c r="AE125" i="24"/>
  <c r="AI125" i="24"/>
  <c r="AF125" i="24"/>
  <c r="DJ287" i="43"/>
  <c r="AA286" i="24" s="1"/>
  <c r="BR287" i="43"/>
  <c r="DJ301" i="43"/>
  <c r="AA300" i="24" s="1"/>
  <c r="BR301" i="43"/>
  <c r="DJ281" i="43"/>
  <c r="BR281" i="43"/>
  <c r="Z150" i="24"/>
  <c r="DJ151" i="43"/>
  <c r="AA150" i="24" s="1"/>
  <c r="BR151" i="43"/>
  <c r="CF82" i="43"/>
  <c r="ED82" i="43"/>
  <c r="CZ82" i="43"/>
  <c r="CF102" i="43"/>
  <c r="BL102" i="43"/>
  <c r="ED102" i="43"/>
  <c r="CZ102" i="43"/>
  <c r="CF114" i="43"/>
  <c r="ED114" i="43"/>
  <c r="CZ114" i="43"/>
  <c r="BL134" i="43"/>
  <c r="BK134" i="24"/>
  <c r="EI134" i="43" s="1"/>
  <c r="EJ134" i="43" s="1"/>
  <c r="Y133" i="24" s="1"/>
  <c r="ED79" i="43"/>
  <c r="CZ79" i="43"/>
  <c r="BL75" i="43"/>
  <c r="BK75" i="24"/>
  <c r="EI75" i="43" s="1"/>
  <c r="EJ75" i="43" s="1"/>
  <c r="Y74" i="24" s="1"/>
  <c r="BL146" i="43"/>
  <c r="BK146" i="24"/>
  <c r="EI146" i="43" s="1"/>
  <c r="EJ146" i="43" s="1"/>
  <c r="Y145" i="24" s="1"/>
  <c r="ED110" i="43"/>
  <c r="CZ110" i="43"/>
  <c r="BL94" i="43"/>
  <c r="BK94" i="24"/>
  <c r="EI94" i="43" s="1"/>
  <c r="EJ94" i="43" s="1"/>
  <c r="Y93" i="24" s="1"/>
  <c r="ED71" i="43"/>
  <c r="CZ71" i="43"/>
  <c r="BL71" i="43"/>
  <c r="BK71" i="24"/>
  <c r="EI71" i="43" s="1"/>
  <c r="EJ71" i="43" s="1"/>
  <c r="Y70" i="24" s="1"/>
  <c r="Z140" i="24"/>
  <c r="Z103" i="24"/>
  <c r="DF113" i="43"/>
  <c r="DJ160" i="43"/>
  <c r="BR160" i="43"/>
  <c r="DF123" i="43"/>
  <c r="DF129" i="43"/>
  <c r="Z139" i="24"/>
  <c r="Z61" i="24"/>
  <c r="BP51" i="43"/>
  <c r="DJ51" i="43"/>
  <c r="AA50" i="24" s="1"/>
  <c r="BR51" i="43"/>
  <c r="BS51" i="43" s="1"/>
  <c r="BL142" i="43"/>
  <c r="BK142" i="24"/>
  <c r="EI142" i="43" s="1"/>
  <c r="EJ142" i="43" s="1"/>
  <c r="Y141" i="24" s="1"/>
  <c r="DJ235" i="43"/>
  <c r="AA234" i="24" s="1"/>
  <c r="BR235" i="43"/>
  <c r="DJ74" i="43"/>
  <c r="AA73" i="24" s="1"/>
  <c r="BR74" i="43"/>
  <c r="DJ166" i="43"/>
  <c r="BR166" i="43"/>
  <c r="Z161" i="24"/>
  <c r="Z84" i="24"/>
  <c r="Z22" i="24"/>
  <c r="DF133" i="43"/>
  <c r="CM117" i="43"/>
  <c r="DF60" i="43"/>
  <c r="Z96" i="24"/>
  <c r="Z50" i="24"/>
  <c r="CM103" i="43"/>
  <c r="Z110" i="24"/>
  <c r="DJ111" i="43"/>
  <c r="AA110" i="24" s="1"/>
  <c r="BR111" i="43"/>
  <c r="Z292" i="24"/>
  <c r="DF92" i="43"/>
  <c r="Z130" i="24"/>
  <c r="Z135" i="24"/>
  <c r="CN15" i="43"/>
  <c r="EY196" i="43"/>
  <c r="AI196" i="24"/>
  <c r="AE196" i="24"/>
  <c r="AD196" i="24"/>
  <c r="AF196" i="24"/>
  <c r="DF215" i="43"/>
  <c r="DF258" i="43"/>
  <c r="AD366" i="24"/>
  <c r="AE366" i="24"/>
  <c r="AI366" i="24"/>
  <c r="AF366" i="24"/>
  <c r="E71" i="34"/>
  <c r="E66" i="34"/>
  <c r="E61" i="34"/>
  <c r="E56" i="34"/>
  <c r="E51" i="34"/>
  <c r="E45" i="34"/>
  <c r="E41" i="34"/>
  <c r="E36" i="34"/>
  <c r="E32" i="34"/>
  <c r="E28" i="34"/>
  <c r="E24" i="34"/>
  <c r="E19" i="34"/>
  <c r="E14" i="34"/>
  <c r="E10" i="34"/>
  <c r="E74" i="34"/>
  <c r="E70" i="34"/>
  <c r="E65" i="34"/>
  <c r="E60" i="34"/>
  <c r="E54" i="34"/>
  <c r="E49" i="34"/>
  <c r="E44" i="34"/>
  <c r="E40" i="34"/>
  <c r="E35" i="34"/>
  <c r="E31" i="34"/>
  <c r="E27" i="34"/>
  <c r="E23" i="34"/>
  <c r="E18" i="34"/>
  <c r="E13" i="34"/>
  <c r="E72" i="34"/>
  <c r="E68" i="34"/>
  <c r="E63" i="34"/>
  <c r="E57" i="34"/>
  <c r="E52" i="34"/>
  <c r="E46" i="34"/>
  <c r="E42" i="34"/>
  <c r="E37" i="34"/>
  <c r="E33" i="34"/>
  <c r="E25" i="34"/>
  <c r="E20" i="34"/>
  <c r="E15" i="34"/>
  <c r="E11" i="34"/>
  <c r="E73" i="34"/>
  <c r="E53" i="34"/>
  <c r="E34" i="34"/>
  <c r="E16" i="34"/>
  <c r="E69" i="34"/>
  <c r="E48" i="34"/>
  <c r="E30" i="34"/>
  <c r="E12" i="34"/>
  <c r="D7" i="34"/>
  <c r="D29" i="34" s="1"/>
  <c r="E64" i="34"/>
  <c r="E43" i="34"/>
  <c r="E26" i="34"/>
  <c r="E58" i="34"/>
  <c r="E38" i="34"/>
  <c r="E6" i="34"/>
  <c r="Z228" i="24"/>
  <c r="DJ262" i="43"/>
  <c r="BR262" i="43"/>
  <c r="W45" i="43"/>
  <c r="AD45" i="24"/>
  <c r="AE45" i="24"/>
  <c r="AI45" i="24"/>
  <c r="AF45" i="24"/>
  <c r="DF236" i="43"/>
  <c r="Z235" i="24"/>
  <c r="AD347" i="24"/>
  <c r="AE347" i="24"/>
  <c r="AI347" i="24"/>
  <c r="AF347" i="24"/>
  <c r="BS37" i="43"/>
  <c r="AA36" i="24"/>
  <c r="CM221" i="43"/>
  <c r="CM326" i="43"/>
  <c r="Z153" i="24"/>
  <c r="EY190" i="43"/>
  <c r="EZ190" i="43" s="1"/>
  <c r="AE190" i="24"/>
  <c r="AI190" i="24"/>
  <c r="AD190" i="24"/>
  <c r="AF190" i="24"/>
  <c r="DJ336" i="43"/>
  <c r="AA335" i="24" s="1"/>
  <c r="BR336" i="43"/>
  <c r="DF223" i="43"/>
  <c r="DF227" i="43"/>
  <c r="EY173" i="43"/>
  <c r="EZ173" i="43" s="1"/>
  <c r="W173" i="43"/>
  <c r="AD173" i="24"/>
  <c r="AE173" i="24"/>
  <c r="AI173" i="24"/>
  <c r="AF173" i="24"/>
  <c r="W27" i="43"/>
  <c r="AE27" i="24"/>
  <c r="AD27" i="24"/>
  <c r="AI27" i="24"/>
  <c r="AF27" i="24"/>
  <c r="W116" i="43"/>
  <c r="AI116" i="24"/>
  <c r="AE116" i="24"/>
  <c r="AF116" i="24"/>
  <c r="AD116" i="24"/>
  <c r="Z300" i="24"/>
  <c r="CM66" i="43"/>
  <c r="DJ214" i="43"/>
  <c r="BR214" i="43"/>
  <c r="Z253" i="24"/>
  <c r="AA172" i="24"/>
  <c r="AA26" i="24"/>
  <c r="DF109" i="43"/>
  <c r="AE354" i="24"/>
  <c r="AI354" i="24"/>
  <c r="AD354" i="24"/>
  <c r="AF354" i="24"/>
  <c r="W50" i="43"/>
  <c r="AE50" i="24"/>
  <c r="AD50" i="24"/>
  <c r="AI50" i="24"/>
  <c r="AF50" i="24"/>
  <c r="AI320" i="24"/>
  <c r="AD320" i="24"/>
  <c r="AF320" i="24"/>
  <c r="AE320" i="24"/>
  <c r="BL118" i="43"/>
  <c r="BK118" i="24"/>
  <c r="EI118" i="43" s="1"/>
  <c r="EJ118" i="43" s="1"/>
  <c r="Y117" i="24" s="1"/>
  <c r="BL122" i="43"/>
  <c r="BK122" i="24"/>
  <c r="EI122" i="43" s="1"/>
  <c r="EJ122" i="43" s="1"/>
  <c r="Y121" i="24" s="1"/>
  <c r="AA227" i="24"/>
  <c r="BL63" i="43"/>
  <c r="BK63" i="24"/>
  <c r="EI63" i="43" s="1"/>
  <c r="EJ63" i="43" s="1"/>
  <c r="Y62" i="24" s="1"/>
  <c r="BS20" i="43"/>
  <c r="DF166" i="43"/>
  <c r="CI162" i="43"/>
  <c r="CK162" i="43" s="1"/>
  <c r="CM162" i="43"/>
  <c r="DD23" i="43"/>
  <c r="DF23" i="43"/>
  <c r="DJ133" i="43"/>
  <c r="AA132" i="24" s="1"/>
  <c r="BR133" i="43"/>
  <c r="DJ69" i="43"/>
  <c r="BR69" i="43"/>
  <c r="DJ104" i="43"/>
  <c r="BR104" i="43"/>
  <c r="W271" i="43"/>
  <c r="AI271" i="24"/>
  <c r="AE271" i="24"/>
  <c r="AD271" i="24"/>
  <c r="AF271" i="24"/>
  <c r="DJ208" i="43"/>
  <c r="AA207" i="24" s="1"/>
  <c r="BR208" i="43"/>
  <c r="Z100" i="24"/>
  <c r="Z209" i="24"/>
  <c r="DJ131" i="43"/>
  <c r="AA130" i="24" s="1"/>
  <c r="BR131" i="43"/>
  <c r="CM235" i="43"/>
  <c r="Z249" i="24"/>
  <c r="Z73" i="24"/>
  <c r="DJ230" i="43"/>
  <c r="BR230" i="43"/>
  <c r="DJ367" i="43"/>
  <c r="AA366" i="24" s="1"/>
  <c r="BR367" i="43"/>
  <c r="DF344" i="43"/>
  <c r="AD368" i="24"/>
  <c r="AE368" i="24"/>
  <c r="AI368" i="24"/>
  <c r="AF368" i="24"/>
  <c r="EY175" i="43"/>
  <c r="EZ175" i="43" s="1"/>
  <c r="W175" i="43"/>
  <c r="AF175" i="24"/>
  <c r="AI175" i="24"/>
  <c r="AE175" i="24"/>
  <c r="AD175" i="24"/>
  <c r="CN19" i="43"/>
  <c r="AA195" i="24"/>
  <c r="DJ215" i="43"/>
  <c r="AA214" i="24" s="1"/>
  <c r="BR215" i="43"/>
  <c r="CN31" i="43"/>
  <c r="AI317" i="24"/>
  <c r="AF317" i="24"/>
  <c r="AE317" i="24"/>
  <c r="AD317" i="24"/>
  <c r="DF222" i="43"/>
  <c r="DF226" i="43"/>
  <c r="EY202" i="43"/>
  <c r="W202" i="43"/>
  <c r="AI202" i="24"/>
  <c r="AD202" i="24"/>
  <c r="AE202" i="24"/>
  <c r="AF202" i="24"/>
  <c r="Z275" i="24"/>
  <c r="Z134" i="24"/>
  <c r="DJ231" i="43"/>
  <c r="BR231" i="43"/>
  <c r="CM154" i="43"/>
  <c r="CM139" i="43"/>
  <c r="Z335" i="24"/>
  <c r="DJ72" i="43"/>
  <c r="AA71" i="24" s="1"/>
  <c r="BR72" i="43"/>
  <c r="DJ266" i="43"/>
  <c r="BR266" i="43"/>
  <c r="DF64" i="43"/>
  <c r="Z118" i="24"/>
  <c r="AA263" i="24"/>
  <c r="W65" i="43"/>
  <c r="AE65" i="24"/>
  <c r="AF65" i="24"/>
  <c r="AD65" i="24"/>
  <c r="AI65" i="24"/>
  <c r="DJ242" i="43"/>
  <c r="BR242" i="43"/>
  <c r="W128" i="43"/>
  <c r="AI128" i="24"/>
  <c r="AE128" i="24"/>
  <c r="AF128" i="24"/>
  <c r="AD128" i="24"/>
  <c r="CM281" i="43"/>
  <c r="W207" i="43"/>
  <c r="AI207" i="24"/>
  <c r="AF207" i="24"/>
  <c r="AD207" i="24"/>
  <c r="AE207" i="24"/>
  <c r="Z106" i="24"/>
  <c r="DF151" i="43"/>
  <c r="DF214" i="43"/>
  <c r="CM254" i="43"/>
  <c r="W95" i="43"/>
  <c r="AI95" i="24"/>
  <c r="AD95" i="24"/>
  <c r="AF95" i="24"/>
  <c r="AE95" i="24"/>
  <c r="BL126" i="43"/>
  <c r="BK126" i="24"/>
  <c r="EI126" i="43" s="1"/>
  <c r="EJ126" i="43" s="1"/>
  <c r="Y125" i="24" s="1"/>
  <c r="Z69" i="24"/>
  <c r="AA99" i="24"/>
  <c r="DF72" i="43"/>
  <c r="Z226" i="24"/>
  <c r="W96" i="43"/>
  <c r="AI96" i="24"/>
  <c r="AE96" i="24"/>
  <c r="AD96" i="24"/>
  <c r="AF96" i="24"/>
  <c r="Z67" i="24"/>
  <c r="Z46" i="24"/>
  <c r="DF140" i="43"/>
  <c r="DJ85" i="43"/>
  <c r="BR85" i="43"/>
  <c r="DF69" i="43"/>
  <c r="Z116" i="24"/>
  <c r="Z198" i="24"/>
  <c r="Z59" i="24"/>
  <c r="DJ60" i="43"/>
  <c r="AA59" i="24" s="1"/>
  <c r="BR60" i="43"/>
  <c r="Z112" i="24"/>
  <c r="DD51" i="43"/>
  <c r="DF51" i="43"/>
  <c r="Z88" i="24"/>
  <c r="Z146" i="24"/>
  <c r="CM92" i="43"/>
  <c r="DJ80" i="43"/>
  <c r="AA79" i="24" s="1"/>
  <c r="BR80" i="43"/>
  <c r="W120" i="43"/>
  <c r="AI120" i="24"/>
  <c r="AF120" i="24"/>
  <c r="AE120" i="24"/>
  <c r="AD120" i="24"/>
  <c r="DJ129" i="43"/>
  <c r="BR129" i="43"/>
  <c r="CM250" i="43"/>
  <c r="CM230" i="43"/>
  <c r="EY168" i="43"/>
  <c r="EZ168" i="43" s="1"/>
  <c r="W168" i="43"/>
  <c r="AD168" i="24"/>
  <c r="AE168" i="24"/>
  <c r="AI168" i="24"/>
  <c r="AF168" i="24"/>
  <c r="W30" i="43"/>
  <c r="AD30" i="24"/>
  <c r="AE30" i="24"/>
  <c r="AI30" i="24"/>
  <c r="AF30" i="24"/>
  <c r="AH31" i="43"/>
  <c r="AA270" i="24"/>
  <c r="Z214" i="24"/>
  <c r="CM152" i="43"/>
  <c r="BS25" i="43"/>
  <c r="AA24" i="24"/>
  <c r="Z240" i="24"/>
  <c r="DF289" i="43"/>
  <c r="F102" i="35"/>
  <c r="F90" i="35"/>
  <c r="F82" i="35"/>
  <c r="F74" i="35"/>
  <c r="F62" i="35"/>
  <c r="F54" i="35"/>
  <c r="F50" i="35"/>
  <c r="F45" i="35"/>
  <c r="F32" i="35"/>
  <c r="F28" i="35"/>
  <c r="F19" i="35"/>
  <c r="F15" i="35"/>
  <c r="F11" i="35"/>
  <c r="F7" i="35"/>
  <c r="F97" i="35"/>
  <c r="F93" i="35"/>
  <c r="F89" i="35"/>
  <c r="F81" i="35"/>
  <c r="F69" i="35"/>
  <c r="F61" i="35"/>
  <c r="F57" i="35"/>
  <c r="F53" i="35"/>
  <c r="F48" i="35"/>
  <c r="F44" i="35"/>
  <c r="F31" i="35"/>
  <c r="F27" i="35"/>
  <c r="F23" i="35"/>
  <c r="F18" i="35"/>
  <c r="F14" i="35"/>
  <c r="F10" i="35"/>
  <c r="F6" i="35"/>
  <c r="F103" i="35"/>
  <c r="F95" i="35"/>
  <c r="F83" i="35"/>
  <c r="F75" i="35"/>
  <c r="F67" i="35"/>
  <c r="F55" i="35"/>
  <c r="F46" i="35"/>
  <c r="F42" i="35"/>
  <c r="F37" i="35"/>
  <c r="F29" i="35"/>
  <c r="F16" i="35"/>
  <c r="F12" i="35"/>
  <c r="F8" i="35"/>
  <c r="E4" i="35"/>
  <c r="F3" i="35"/>
  <c r="F43" i="35"/>
  <c r="F9" i="35"/>
  <c r="F56" i="35"/>
  <c r="F38" i="35"/>
  <c r="F84" i="35"/>
  <c r="F68" i="35"/>
  <c r="F52" i="35"/>
  <c r="F17" i="35"/>
  <c r="F96" i="35"/>
  <c r="F80" i="35"/>
  <c r="F47" i="35"/>
  <c r="F30" i="35"/>
  <c r="F13" i="35"/>
  <c r="Z148" i="24"/>
  <c r="AA53" i="24"/>
  <c r="W16" i="43"/>
  <c r="AD16" i="24"/>
  <c r="AE16" i="24"/>
  <c r="AI16" i="24"/>
  <c r="AF16" i="24"/>
  <c r="W249" i="43"/>
  <c r="AI249" i="24"/>
  <c r="AE249" i="24"/>
  <c r="AF249" i="24"/>
  <c r="AD249" i="24"/>
  <c r="AE329" i="24"/>
  <c r="AI329" i="24"/>
  <c r="AD329" i="24"/>
  <c r="AF329" i="24"/>
  <c r="DJ135" i="43"/>
  <c r="BR135" i="43"/>
  <c r="CM231" i="43"/>
  <c r="AA350" i="24"/>
  <c r="CM336" i="43"/>
  <c r="AU43" i="43"/>
  <c r="DJ109" i="43"/>
  <c r="BR109" i="43"/>
  <c r="DF266" i="43"/>
  <c r="EY195" i="43"/>
  <c r="AD195" i="24"/>
  <c r="AI195" i="24"/>
  <c r="AE195" i="24"/>
  <c r="AF195" i="24"/>
  <c r="CF205" i="43"/>
  <c r="ED205" i="43"/>
  <c r="U205" i="43" s="1"/>
  <c r="CZ205" i="43"/>
  <c r="BK205" i="24"/>
  <c r="EI205" i="43" s="1"/>
  <c r="EJ205" i="43" s="1"/>
  <c r="Y204" i="24" s="1"/>
  <c r="L51" i="35"/>
  <c r="BS41" i="43"/>
  <c r="Z331" i="24"/>
  <c r="DJ66" i="43"/>
  <c r="BR66" i="43"/>
  <c r="DF66" i="43"/>
  <c r="CF78" i="43"/>
  <c r="ED78" i="43"/>
  <c r="CZ78" i="43"/>
  <c r="EY198" i="43"/>
  <c r="AE198" i="24"/>
  <c r="AD198" i="24"/>
  <c r="AI198" i="24"/>
  <c r="AF198" i="24"/>
  <c r="DJ254" i="43"/>
  <c r="BR254" i="43"/>
  <c r="W209" i="43"/>
  <c r="AE209" i="24"/>
  <c r="AD209" i="24"/>
  <c r="AI209" i="24"/>
  <c r="AF209" i="24"/>
  <c r="W201" i="43"/>
  <c r="EY201" i="43"/>
  <c r="AE201" i="24"/>
  <c r="AD201" i="24"/>
  <c r="AI201" i="24"/>
  <c r="AF201" i="24"/>
  <c r="AH20" i="43"/>
  <c r="W112" i="43"/>
  <c r="AD112" i="24"/>
  <c r="AI112" i="24"/>
  <c r="AF112" i="24"/>
  <c r="AE112" i="24"/>
  <c r="AA336" i="24"/>
  <c r="AA328" i="24"/>
  <c r="CM93" i="43"/>
  <c r="CM85" i="43"/>
  <c r="DJ155" i="43"/>
  <c r="BR155" i="43"/>
  <c r="DJ23" i="43"/>
  <c r="AA22" i="24" s="1"/>
  <c r="BP23" i="43"/>
  <c r="BR23" i="43"/>
  <c r="DF160" i="43"/>
  <c r="DJ123" i="43"/>
  <c r="AA122" i="24" s="1"/>
  <c r="BR123" i="43"/>
  <c r="AA316" i="24"/>
  <c r="DF101" i="43"/>
  <c r="DJ132" i="43"/>
  <c r="BR132" i="43"/>
  <c r="W87" i="43"/>
  <c r="AI87" i="24"/>
  <c r="AF87" i="24"/>
  <c r="AD87" i="24"/>
  <c r="AE87" i="24"/>
  <c r="BL59" i="43"/>
  <c r="BK59" i="24"/>
  <c r="EI59" i="43" s="1"/>
  <c r="EJ59" i="43" s="1"/>
  <c r="Y58" i="24" s="1"/>
  <c r="BL108" i="43"/>
  <c r="BK108" i="24"/>
  <c r="EI108" i="43" s="1"/>
  <c r="EJ108" i="43" s="1"/>
  <c r="Y107" i="24" s="1"/>
  <c r="DF367" i="43"/>
  <c r="W58" i="43"/>
  <c r="AD58" i="24"/>
  <c r="AE58" i="24"/>
  <c r="AI58" i="24"/>
  <c r="AF58" i="24"/>
  <c r="W203" i="43"/>
  <c r="AE203" i="24"/>
  <c r="AF203" i="24"/>
  <c r="AI203" i="24"/>
  <c r="AD203" i="24"/>
  <c r="DJ277" i="43"/>
  <c r="BR277" i="43"/>
  <c r="BS39" i="43"/>
  <c r="BS22" i="43"/>
  <c r="AA361" i="24"/>
  <c r="DJ218" i="43"/>
  <c r="BR218" i="43"/>
  <c r="AA184" i="24"/>
  <c r="CM105" i="43"/>
  <c r="AH56" i="43"/>
  <c r="BK82" i="24"/>
  <c r="EI82" i="43" s="1"/>
  <c r="EJ82" i="43" s="1"/>
  <c r="Y81" i="24" s="1"/>
  <c r="BK102" i="24"/>
  <c r="EI102" i="43" s="1"/>
  <c r="EJ102" i="43" s="1"/>
  <c r="Y101" i="24" s="1"/>
  <c r="BL114" i="43"/>
  <c r="BK114" i="24"/>
  <c r="EI114" i="43" s="1"/>
  <c r="EJ114" i="43" s="1"/>
  <c r="Y113" i="24" s="1"/>
  <c r="CF79" i="43"/>
  <c r="CF150" i="43"/>
  <c r="ED150" i="43"/>
  <c r="CZ150" i="43"/>
  <c r="CF110" i="43"/>
  <c r="CF98" i="43"/>
  <c r="ED98" i="43"/>
  <c r="CZ98" i="43"/>
  <c r="CF57" i="43"/>
  <c r="ED57" i="43"/>
  <c r="CZ57" i="43"/>
  <c r="Z155" i="24"/>
  <c r="CM132" i="43"/>
  <c r="W26" i="43"/>
  <c r="AE26" i="24"/>
  <c r="AD26" i="24"/>
  <c r="AI26" i="24"/>
  <c r="AF26" i="24"/>
  <c r="CM131" i="43"/>
  <c r="CF142" i="43"/>
  <c r="ED142" i="43"/>
  <c r="CZ142" i="43"/>
  <c r="DF361" i="43"/>
  <c r="DF115" i="43"/>
  <c r="W274" i="43"/>
  <c r="AD274" i="24"/>
  <c r="AI274" i="24"/>
  <c r="AE274" i="24"/>
  <c r="AF274" i="24"/>
  <c r="Z343" i="24"/>
  <c r="CM237" i="43"/>
  <c r="DJ291" i="43"/>
  <c r="AA290" i="24" s="1"/>
  <c r="BR291" i="43"/>
  <c r="W309" i="43"/>
  <c r="AD309" i="24"/>
  <c r="AE309" i="24"/>
  <c r="AI309" i="24"/>
  <c r="AF309" i="24"/>
  <c r="Z221" i="24"/>
  <c r="F21" i="34"/>
  <c r="DJ229" i="43"/>
  <c r="BR229" i="43"/>
  <c r="Z225" i="24"/>
  <c r="CM275" i="43"/>
  <c r="DJ241" i="43"/>
  <c r="BR241" i="43"/>
  <c r="DJ289" i="43"/>
  <c r="AA288" i="24" s="1"/>
  <c r="BR289" i="43"/>
  <c r="CF130" i="43"/>
  <c r="ED130" i="43"/>
  <c r="CZ130" i="43"/>
  <c r="Z272" i="24"/>
  <c r="Z278" i="24"/>
  <c r="DF218" i="43"/>
  <c r="Z303" i="24"/>
  <c r="W35" i="43"/>
  <c r="AD35" i="24"/>
  <c r="AI35" i="24"/>
  <c r="AE35" i="24"/>
  <c r="AF35" i="24"/>
  <c r="W99" i="43"/>
  <c r="AI99" i="24"/>
  <c r="AF99" i="24"/>
  <c r="AE99" i="24"/>
  <c r="AD99" i="24"/>
  <c r="DF139" i="43"/>
  <c r="CM330" i="43"/>
  <c r="DF283" i="43"/>
  <c r="DF127" i="43"/>
  <c r="DF219" i="43"/>
  <c r="W248" i="43"/>
  <c r="AI248" i="24"/>
  <c r="AD248" i="24"/>
  <c r="AF248" i="24"/>
  <c r="AE248" i="24"/>
  <c r="W33" i="43"/>
  <c r="AE33" i="24"/>
  <c r="AD33" i="24"/>
  <c r="AI33" i="24"/>
  <c r="AF33" i="24"/>
  <c r="AI323" i="24"/>
  <c r="AD323" i="24"/>
  <c r="AE323" i="24"/>
  <c r="AF323" i="24"/>
  <c r="CN35" i="43"/>
  <c r="Z286" i="24"/>
  <c r="AI358" i="24"/>
  <c r="AE358" i="24"/>
  <c r="AF358" i="24"/>
  <c r="AD358" i="24"/>
  <c r="DJ285" i="43"/>
  <c r="AA284" i="24" s="1"/>
  <c r="BR285" i="43"/>
  <c r="W307" i="43"/>
  <c r="AD307" i="24"/>
  <c r="AE307" i="24"/>
  <c r="AI307" i="24"/>
  <c r="AF307" i="24"/>
  <c r="DJ76" i="43"/>
  <c r="BR76" i="43"/>
  <c r="Z233" i="24"/>
  <c r="AA90" i="24"/>
  <c r="EY181" i="43"/>
  <c r="EZ181" i="43" s="1"/>
  <c r="W181" i="43"/>
  <c r="AE181" i="24"/>
  <c r="AI181" i="24"/>
  <c r="AD181" i="24"/>
  <c r="AF181" i="24"/>
  <c r="EY189" i="43"/>
  <c r="EZ189" i="43" s="1"/>
  <c r="AE189" i="24"/>
  <c r="AD189" i="24"/>
  <c r="AI189" i="24"/>
  <c r="AF189" i="24"/>
  <c r="DF83" i="43"/>
  <c r="DJ93" i="43"/>
  <c r="AA92" i="24" s="1"/>
  <c r="BR93" i="43"/>
  <c r="CM140" i="43"/>
  <c r="DF121" i="43"/>
  <c r="DF155" i="43"/>
  <c r="CM199" i="43"/>
  <c r="I12" i="30" s="1"/>
  <c r="Z156" i="24"/>
  <c r="DF103" i="43"/>
  <c r="CM143" i="43"/>
  <c r="CM293" i="43"/>
  <c r="DJ101" i="43"/>
  <c r="BR101" i="43"/>
  <c r="DJ361" i="43"/>
  <c r="AA360" i="24" s="1"/>
  <c r="BR361" i="43"/>
  <c r="DJ250" i="43"/>
  <c r="AA249" i="24" s="1"/>
  <c r="BR250" i="43"/>
  <c r="W14" i="43"/>
  <c r="AD14" i="24"/>
  <c r="AE14" i="24"/>
  <c r="AI14" i="24"/>
  <c r="AF14" i="24"/>
  <c r="DJ237" i="43"/>
  <c r="BR237" i="43"/>
  <c r="Z290" i="24"/>
  <c r="CM229" i="43"/>
  <c r="CM262" i="43"/>
  <c r="Z238" i="24"/>
  <c r="AD342" i="24"/>
  <c r="AE342" i="24"/>
  <c r="AI342" i="24"/>
  <c r="AF342" i="24"/>
  <c r="DJ276" i="43"/>
  <c r="BR276" i="43"/>
  <c r="DJ273" i="43"/>
  <c r="AA272" i="24" s="1"/>
  <c r="BR273" i="43"/>
  <c r="CM236" i="43"/>
  <c r="Z171" i="24"/>
  <c r="DF304" i="43"/>
  <c r="CM90" i="43"/>
  <c r="CM119" i="43"/>
  <c r="AH46" i="43"/>
  <c r="EH165" i="43"/>
  <c r="DF299" i="43"/>
  <c r="AU55" i="43"/>
  <c r="W244" i="43"/>
  <c r="AI244" i="24"/>
  <c r="AD244" i="24"/>
  <c r="AF244" i="24"/>
  <c r="AE244" i="24"/>
  <c r="W269" i="43"/>
  <c r="AI269" i="24"/>
  <c r="AD269" i="24"/>
  <c r="AE269" i="24"/>
  <c r="AF269" i="24"/>
  <c r="DF287" i="43"/>
  <c r="DF301" i="43"/>
  <c r="W270" i="43"/>
  <c r="AE270" i="24"/>
  <c r="AD270" i="24"/>
  <c r="AI270" i="24"/>
  <c r="AF270" i="24"/>
  <c r="EY194" i="43"/>
  <c r="AE194" i="24"/>
  <c r="AD194" i="24"/>
  <c r="AI194" i="24"/>
  <c r="AF194" i="24"/>
  <c r="Z65" i="24"/>
  <c r="BS29" i="43"/>
  <c r="Z284" i="24"/>
  <c r="DF302" i="43"/>
  <c r="Z75" i="24"/>
  <c r="DF76" i="43"/>
  <c r="DF234" i="43"/>
  <c r="W34" i="43"/>
  <c r="AD34" i="24"/>
  <c r="AE34" i="24"/>
  <c r="AI34" i="24"/>
  <c r="AF34" i="24"/>
  <c r="BS42" i="43"/>
  <c r="AA168" i="24"/>
  <c r="DF326" i="43"/>
  <c r="Z329" i="24"/>
  <c r="AA183" i="24"/>
  <c r="CN18" i="43"/>
  <c r="AH27" i="43"/>
  <c r="W19" i="43"/>
  <c r="AD19" i="24"/>
  <c r="AI19" i="24"/>
  <c r="AE19" i="24"/>
  <c r="AF19" i="24"/>
  <c r="DJ162" i="43"/>
  <c r="BR162" i="43"/>
  <c r="DJ47" i="43"/>
  <c r="AA46" i="24" s="1"/>
  <c r="BP47" i="43"/>
  <c r="BR47" i="43"/>
  <c r="BS47" i="43" s="1"/>
  <c r="Z92" i="24"/>
  <c r="Z132" i="24"/>
  <c r="N9" i="22"/>
  <c r="DF193" i="43"/>
  <c r="C13" i="30" s="1"/>
  <c r="DJ62" i="43"/>
  <c r="BR62" i="43"/>
  <c r="DJ89" i="43"/>
  <c r="BR89" i="43"/>
  <c r="CM156" i="43"/>
  <c r="DJ103" i="43"/>
  <c r="BR103" i="43"/>
  <c r="AU53" i="43"/>
  <c r="Z142" i="24"/>
  <c r="W238" i="43"/>
  <c r="AI238" i="24"/>
  <c r="AE238" i="24"/>
  <c r="AF238" i="24"/>
  <c r="AD238" i="24"/>
  <c r="Z207" i="24"/>
  <c r="CM80" i="43"/>
  <c r="W88" i="43"/>
  <c r="AE88" i="24"/>
  <c r="AD88" i="24"/>
  <c r="AI88" i="24"/>
  <c r="AF88" i="24"/>
  <c r="DF136" i="43"/>
  <c r="CM74" i="43"/>
  <c r="Z366" i="24"/>
  <c r="EY197" i="43"/>
  <c r="AE197" i="24"/>
  <c r="AD197" i="24"/>
  <c r="AI197" i="24"/>
  <c r="AF197" i="24"/>
  <c r="AA371" i="24"/>
  <c r="AH15" i="43"/>
  <c r="AA268" i="24"/>
  <c r="CM291" i="43"/>
  <c r="CN26" i="43"/>
  <c r="DF239" i="43"/>
  <c r="AA341" i="24"/>
  <c r="AD13" i="24"/>
  <c r="AE13" i="24"/>
  <c r="AI13" i="24"/>
  <c r="AF13" i="24"/>
  <c r="AH45" i="43"/>
  <c r="W314" i="43"/>
  <c r="AI314" i="24"/>
  <c r="AE314" i="24"/>
  <c r="AF314" i="24"/>
  <c r="AD314" i="24"/>
  <c r="CM149" i="43"/>
  <c r="DF149" i="43"/>
  <c r="DJ279" i="43"/>
  <c r="AA278" i="24" s="1"/>
  <c r="BR279" i="43"/>
  <c r="W200" i="43"/>
  <c r="EY200" i="43"/>
  <c r="AE200" i="24"/>
  <c r="AD200" i="24"/>
  <c r="AI200" i="24"/>
  <c r="AF200" i="24"/>
  <c r="DJ172" i="43"/>
  <c r="AA171" i="24" s="1"/>
  <c r="BR172" i="43"/>
  <c r="AA18" i="24"/>
  <c r="AA308" i="24"/>
  <c r="W310" i="43"/>
  <c r="AI310" i="24"/>
  <c r="AE310" i="24"/>
  <c r="AD310" i="24"/>
  <c r="AF310" i="24"/>
  <c r="DD43" i="43"/>
  <c r="DF43" i="43"/>
  <c r="DF119" i="43"/>
  <c r="AH33" i="43"/>
  <c r="W46" i="43"/>
  <c r="AD46" i="24"/>
  <c r="AE46" i="24"/>
  <c r="AI46" i="24"/>
  <c r="AF46" i="24"/>
  <c r="CN34" i="43"/>
  <c r="EH161" i="43"/>
  <c r="W232" i="43"/>
  <c r="AI232" i="24"/>
  <c r="AF232" i="24"/>
  <c r="AE232" i="24"/>
  <c r="AD232" i="24"/>
  <c r="AA127" i="24"/>
  <c r="BL205" i="43"/>
  <c r="CN25" i="43"/>
  <c r="Z294" i="24"/>
  <c r="DF246" i="43"/>
  <c r="W247" i="43"/>
  <c r="AI247" i="24"/>
  <c r="AD247" i="24"/>
  <c r="AE247" i="24"/>
  <c r="AF247" i="24"/>
  <c r="AE343" i="24"/>
  <c r="AD343" i="24"/>
  <c r="AI343" i="24"/>
  <c r="AF343" i="24"/>
  <c r="DF332" i="43"/>
  <c r="AD364" i="24"/>
  <c r="AE364" i="24"/>
  <c r="AI364" i="24"/>
  <c r="AF364" i="24"/>
  <c r="BL78" i="43"/>
  <c r="BK78" i="24"/>
  <c r="EI78" i="43" s="1"/>
  <c r="EJ78" i="43" s="1"/>
  <c r="Y77" i="24" s="1"/>
  <c r="Z224" i="24"/>
  <c r="CM285" i="43"/>
  <c r="W224" i="43"/>
  <c r="AI224" i="24"/>
  <c r="AE224" i="24"/>
  <c r="AD224" i="24"/>
  <c r="AF224" i="24"/>
  <c r="Z302" i="24"/>
  <c r="AA315" i="24"/>
  <c r="DJ234" i="43"/>
  <c r="BR234" i="43"/>
  <c r="W21" i="43"/>
  <c r="AD21" i="24"/>
  <c r="AE21" i="24"/>
  <c r="AI21" i="24"/>
  <c r="AF21" i="24"/>
  <c r="AH19" i="43"/>
  <c r="DJ223" i="43"/>
  <c r="BR223" i="43"/>
  <c r="Z158" i="24"/>
  <c r="CF158" i="43"/>
  <c r="ED158" i="43"/>
  <c r="CZ158" i="43"/>
  <c r="DJ302" i="43"/>
  <c r="AA301" i="24" s="1"/>
  <c r="BR302" i="43"/>
  <c r="AA194" i="24"/>
  <c r="CM68" i="43"/>
  <c r="AU23" i="43"/>
  <c r="DJ199" i="43"/>
  <c r="BR199" i="43"/>
  <c r="I11" i="30" s="1"/>
  <c r="DJ81" i="43"/>
  <c r="BR81" i="43"/>
  <c r="CM97" i="43"/>
  <c r="CM89" i="43"/>
  <c r="DJ156" i="43"/>
  <c r="BR156" i="43"/>
  <c r="AA359" i="24"/>
  <c r="Z91" i="24"/>
  <c r="DJ92" i="43"/>
  <c r="AA91" i="24" s="1"/>
  <c r="BR92" i="43"/>
  <c r="AD348" i="24"/>
  <c r="AI348" i="24"/>
  <c r="AE348" i="24"/>
  <c r="AF348" i="24"/>
  <c r="DF210" i="43"/>
  <c r="Z79" i="24"/>
  <c r="AA252" i="24"/>
  <c r="CF86" i="43"/>
  <c r="ED86" i="43"/>
  <c r="CZ86" i="43"/>
  <c r="DJ344" i="43"/>
  <c r="BR344" i="43"/>
  <c r="AA48" i="24"/>
  <c r="W145" i="43"/>
  <c r="AI145" i="24"/>
  <c r="AE145" i="24"/>
  <c r="AD145" i="24"/>
  <c r="AF145" i="24"/>
  <c r="AA174" i="24"/>
  <c r="W18" i="43"/>
  <c r="AE18" i="24"/>
  <c r="AD18" i="24"/>
  <c r="AI18" i="24"/>
  <c r="AF18" i="24"/>
  <c r="BS15" i="43"/>
  <c r="CN20" i="43"/>
  <c r="BS31" i="43"/>
  <c r="Z151" i="24"/>
  <c r="Z257" i="24"/>
  <c r="AE371" i="24"/>
  <c r="AI371" i="24"/>
  <c r="AF371" i="24"/>
  <c r="AD371" i="24"/>
  <c r="AD341" i="24"/>
  <c r="AE341" i="24"/>
  <c r="AI341" i="24"/>
  <c r="AF341" i="24"/>
  <c r="BS38" i="43"/>
  <c r="AI261" i="24"/>
  <c r="AF261" i="24"/>
  <c r="AE261" i="24"/>
  <c r="AD261" i="24"/>
  <c r="W313" i="43"/>
  <c r="AI313" i="24"/>
  <c r="AD313" i="24"/>
  <c r="AE313" i="24"/>
  <c r="AF313" i="24"/>
  <c r="Z274" i="24"/>
  <c r="DF241" i="43"/>
  <c r="EY187" i="43"/>
  <c r="EZ187" i="43" s="1"/>
  <c r="AI187" i="24"/>
  <c r="AD187" i="24"/>
  <c r="AE187" i="24"/>
  <c r="AF187" i="24"/>
  <c r="DJ236" i="43"/>
  <c r="AA235" i="24" s="1"/>
  <c r="BR236" i="43"/>
  <c r="DJ304" i="43"/>
  <c r="BR304" i="43"/>
  <c r="AA25" i="24"/>
  <c r="Z218" i="24"/>
  <c r="AD335" i="24"/>
  <c r="AI335" i="24"/>
  <c r="AE335" i="24"/>
  <c r="AF335" i="24"/>
  <c r="W212" i="43"/>
  <c r="AE212" i="24"/>
  <c r="AD212" i="24"/>
  <c r="AI212" i="24"/>
  <c r="AF212" i="24"/>
  <c r="AA164" i="24"/>
  <c r="CF67" i="43"/>
  <c r="ED67" i="43"/>
  <c r="CZ67" i="43"/>
  <c r="CF138" i="43"/>
  <c r="ED138" i="43"/>
  <c r="CZ138" i="43"/>
  <c r="BL79" i="43"/>
  <c r="BK79" i="24"/>
  <c r="EI79" i="43" s="1"/>
  <c r="EJ79" i="43" s="1"/>
  <c r="Y78" i="24" s="1"/>
  <c r="ED75" i="43"/>
  <c r="CZ75" i="43"/>
  <c r="BL150" i="43"/>
  <c r="BK150" i="24"/>
  <c r="EI150" i="43" s="1"/>
  <c r="EJ150" i="43" s="1"/>
  <c r="Y149" i="24" s="1"/>
  <c r="BL110" i="43"/>
  <c r="BK110" i="24"/>
  <c r="EI110" i="43" s="1"/>
  <c r="EJ110" i="43" s="1"/>
  <c r="Y109" i="24" s="1"/>
  <c r="BL98" i="43"/>
  <c r="BK98" i="24"/>
  <c r="EI98" i="43" s="1"/>
  <c r="EJ98" i="43" s="1"/>
  <c r="Y97" i="24" s="1"/>
  <c r="BK57" i="24"/>
  <c r="EI57" i="43" s="1"/>
  <c r="EJ57" i="43" s="1"/>
  <c r="Y56" i="24" s="1"/>
  <c r="CI204" i="43" l="1"/>
  <c r="CK204" i="43" s="1"/>
  <c r="AI201" i="45"/>
  <c r="CI266" i="43"/>
  <c r="CK266" i="43" s="1"/>
  <c r="AI263" i="45"/>
  <c r="CI288" i="43"/>
  <c r="CK288" i="43" s="1"/>
  <c r="AI285" i="45"/>
  <c r="CI276" i="43"/>
  <c r="CK276" i="43" s="1"/>
  <c r="AI273" i="45"/>
  <c r="CK312" i="43"/>
  <c r="AI309" i="45"/>
  <c r="CI282" i="43"/>
  <c r="CK282" i="43" s="1"/>
  <c r="AI279" i="45"/>
  <c r="CI242" i="43"/>
  <c r="CK242" i="43" s="1"/>
  <c r="AI239" i="45"/>
  <c r="CI285" i="43"/>
  <c r="CK285" i="43" s="1"/>
  <c r="AI282" i="45"/>
  <c r="CI281" i="43"/>
  <c r="CK281" i="43" s="1"/>
  <c r="AI278" i="45"/>
  <c r="CI223" i="43"/>
  <c r="CK223" i="43" s="1"/>
  <c r="AI220" i="45"/>
  <c r="CI273" i="43"/>
  <c r="CK273" i="43" s="1"/>
  <c r="AI270" i="45"/>
  <c r="CI236" i="43"/>
  <c r="CK236" i="43" s="1"/>
  <c r="AI233" i="45"/>
  <c r="CI262" i="43"/>
  <c r="CK262" i="43" s="1"/>
  <c r="AI259" i="45"/>
  <c r="CI239" i="43"/>
  <c r="CK239" i="43" s="1"/>
  <c r="AI236" i="45"/>
  <c r="CI241" i="43"/>
  <c r="CK241" i="43" s="1"/>
  <c r="AI238" i="45"/>
  <c r="CI255" i="43"/>
  <c r="CK255" i="43" s="1"/>
  <c r="AI252" i="45"/>
  <c r="CI300" i="43"/>
  <c r="CK300" i="43" s="1"/>
  <c r="AI297" i="45"/>
  <c r="CI237" i="43"/>
  <c r="CK237" i="43" s="1"/>
  <c r="AI234" i="45"/>
  <c r="CI246" i="43"/>
  <c r="CK246" i="43" s="1"/>
  <c r="AI243" i="45"/>
  <c r="CI289" i="43"/>
  <c r="CK289" i="43" s="1"/>
  <c r="AI286" i="45"/>
  <c r="CI287" i="43"/>
  <c r="CK287" i="43" s="1"/>
  <c r="AI284" i="45"/>
  <c r="CI229" i="43"/>
  <c r="CK229" i="43" s="1"/>
  <c r="AI226" i="45"/>
  <c r="CI293" i="43"/>
  <c r="CK293" i="43" s="1"/>
  <c r="AI290" i="45"/>
  <c r="CI295" i="43"/>
  <c r="CK295" i="43" s="1"/>
  <c r="AI292" i="45"/>
  <c r="CI235" i="43"/>
  <c r="CK235" i="43" s="1"/>
  <c r="AI232" i="45"/>
  <c r="CI208" i="43"/>
  <c r="CK208" i="43" s="1"/>
  <c r="AI205" i="45"/>
  <c r="CI278" i="43"/>
  <c r="CK278" i="43" s="1"/>
  <c r="AI275" i="45"/>
  <c r="CI280" i="43"/>
  <c r="CK280" i="43" s="1"/>
  <c r="AI277" i="45"/>
  <c r="CI231" i="43"/>
  <c r="CK231" i="43" s="1"/>
  <c r="AI228" i="45"/>
  <c r="CI291" i="43"/>
  <c r="CK291" i="43" s="1"/>
  <c r="AI288" i="45"/>
  <c r="CI222" i="43"/>
  <c r="CK222" i="43" s="1"/>
  <c r="AI219" i="45"/>
  <c r="CI221" i="43"/>
  <c r="CK221" i="43" s="1"/>
  <c r="AI218" i="45"/>
  <c r="CI254" i="43"/>
  <c r="CK254" i="43" s="1"/>
  <c r="AI251" i="45"/>
  <c r="CI301" i="43"/>
  <c r="CK301" i="43" s="1"/>
  <c r="AI298" i="45"/>
  <c r="CI258" i="43"/>
  <c r="CK258" i="43" s="1"/>
  <c r="AI255" i="45"/>
  <c r="CI234" i="43"/>
  <c r="CK234" i="43" s="1"/>
  <c r="AI231" i="45"/>
  <c r="CI279" i="43"/>
  <c r="CK279" i="43" s="1"/>
  <c r="AI276" i="45"/>
  <c r="CI211" i="43"/>
  <c r="CK211" i="43" s="1"/>
  <c r="AI208" i="45"/>
  <c r="CI303" i="43"/>
  <c r="CK303" i="43" s="1"/>
  <c r="AI300" i="45"/>
  <c r="CI294" i="43"/>
  <c r="CK294" i="43" s="1"/>
  <c r="AI291" i="45"/>
  <c r="CI250" i="43"/>
  <c r="CK250" i="43" s="1"/>
  <c r="AI247" i="45"/>
  <c r="CI277" i="43"/>
  <c r="CK277" i="43" s="1"/>
  <c r="AI274" i="45"/>
  <c r="CI284" i="43"/>
  <c r="CK284" i="43" s="1"/>
  <c r="AI281" i="45"/>
  <c r="CI230" i="43"/>
  <c r="CK230" i="43" s="1"/>
  <c r="AI227" i="45"/>
  <c r="CI219" i="43"/>
  <c r="CK219" i="43" s="1"/>
  <c r="AI216" i="45"/>
  <c r="CI299" i="43"/>
  <c r="CK299" i="43" s="1"/>
  <c r="AI296" i="45"/>
  <c r="CI302" i="43"/>
  <c r="CK302" i="43" s="1"/>
  <c r="AI299" i="45"/>
  <c r="CI275" i="43"/>
  <c r="CK275" i="43" s="1"/>
  <c r="AI272" i="45"/>
  <c r="CI283" i="43"/>
  <c r="CK283" i="43" s="1"/>
  <c r="AI280" i="45"/>
  <c r="X185" i="43"/>
  <c r="AJ168" i="43"/>
  <c r="AK168" i="43" s="1"/>
  <c r="C165" i="45" s="1"/>
  <c r="X181" i="43"/>
  <c r="F13" i="30"/>
  <c r="X184" i="43"/>
  <c r="X178" i="43"/>
  <c r="X179" i="43"/>
  <c r="Q182" i="43"/>
  <c r="AJ185" i="43"/>
  <c r="AK185" i="43" s="1"/>
  <c r="C182" i="45" s="1"/>
  <c r="AJ181" i="43"/>
  <c r="AK181" i="43" s="1"/>
  <c r="C178" i="45" s="1"/>
  <c r="AJ178" i="43"/>
  <c r="AK178" i="43" s="1"/>
  <c r="C175" i="45" s="1"/>
  <c r="AJ187" i="43"/>
  <c r="AK187" i="43" s="1"/>
  <c r="C184" i="45" s="1"/>
  <c r="AJ192" i="43"/>
  <c r="AK192" i="43" s="1"/>
  <c r="C189" i="45" s="1"/>
  <c r="AJ184" i="43"/>
  <c r="AK184" i="43" s="1"/>
  <c r="C181" i="45" s="1"/>
  <c r="AJ190" i="43"/>
  <c r="AK190" i="43" s="1"/>
  <c r="C187" i="45" s="1"/>
  <c r="CI180" i="43"/>
  <c r="CK180" i="43" s="1"/>
  <c r="DC180" i="43"/>
  <c r="CJ180" i="43"/>
  <c r="T180" i="43"/>
  <c r="AV180" i="43"/>
  <c r="BO180" i="43"/>
  <c r="AJ189" i="43"/>
  <c r="AK189" i="43" s="1"/>
  <c r="C186" i="45" s="1"/>
  <c r="AJ179" i="43"/>
  <c r="AK179" i="43" s="1"/>
  <c r="C176" i="45" s="1"/>
  <c r="AJ191" i="43"/>
  <c r="AK191" i="43" s="1"/>
  <c r="C188" i="45" s="1"/>
  <c r="AH169" i="43"/>
  <c r="X173" i="43"/>
  <c r="X169" i="43"/>
  <c r="X176" i="43"/>
  <c r="X175" i="43"/>
  <c r="EH168" i="43"/>
  <c r="L168" i="43"/>
  <c r="N168" i="43" s="1"/>
  <c r="AU168" i="43" s="1"/>
  <c r="AH168" i="43" s="1"/>
  <c r="X168" i="43"/>
  <c r="X177" i="43"/>
  <c r="X174" i="43"/>
  <c r="X171" i="43"/>
  <c r="X170" i="43"/>
  <c r="AV172" i="43"/>
  <c r="DC172" i="43"/>
  <c r="CJ172" i="43"/>
  <c r="BO172" i="43"/>
  <c r="T172" i="43"/>
  <c r="R173" i="43"/>
  <c r="AJ173" i="43"/>
  <c r="AK173" i="43" s="1"/>
  <c r="C170" i="45" s="1"/>
  <c r="R174" i="43"/>
  <c r="AJ174" i="43"/>
  <c r="AK174" i="43" s="1"/>
  <c r="C171" i="45" s="1"/>
  <c r="R170" i="43"/>
  <c r="AJ170" i="43"/>
  <c r="AK170" i="43" s="1"/>
  <c r="C167" i="45" s="1"/>
  <c r="R177" i="43"/>
  <c r="AJ177" i="43"/>
  <c r="AK177" i="43" s="1"/>
  <c r="C174" i="45" s="1"/>
  <c r="R175" i="43"/>
  <c r="AJ175" i="43"/>
  <c r="AK175" i="43" s="1"/>
  <c r="C172" i="45" s="1"/>
  <c r="R176" i="43"/>
  <c r="AJ176" i="43"/>
  <c r="AK176" i="43" s="1"/>
  <c r="C173" i="45" s="1"/>
  <c r="R171" i="43"/>
  <c r="AJ171" i="43"/>
  <c r="AK171" i="43" s="1"/>
  <c r="C168" i="45" s="1"/>
  <c r="R169" i="43"/>
  <c r="AJ169" i="43"/>
  <c r="AK169" i="43" s="1"/>
  <c r="C166" i="45" s="1"/>
  <c r="T16" i="22"/>
  <c r="S16" i="22"/>
  <c r="L272" i="43"/>
  <c r="N272" i="43" s="1"/>
  <c r="Q272" i="43" s="1"/>
  <c r="AA272" i="43" s="1"/>
  <c r="AA8" i="45"/>
  <c r="AC8" i="45"/>
  <c r="AA49" i="43"/>
  <c r="AB49" i="43"/>
  <c r="HT48" i="43"/>
  <c r="HU48" i="43" s="1"/>
  <c r="HV48" i="43" s="1"/>
  <c r="BA48" i="43" s="1"/>
  <c r="AZ48" i="43" s="1"/>
  <c r="V45" i="45" s="1"/>
  <c r="IA48" i="43"/>
  <c r="ID48" i="43" s="1"/>
  <c r="ID36" i="43"/>
  <c r="AB37" i="43"/>
  <c r="AA37" i="43"/>
  <c r="L248" i="43"/>
  <c r="N248" i="43" s="1"/>
  <c r="Q248" i="43" s="1"/>
  <c r="AA248" i="43" s="1"/>
  <c r="IA24" i="43"/>
  <c r="HT24" i="43"/>
  <c r="HU24" i="43" s="1"/>
  <c r="HV24" i="43" s="1"/>
  <c r="BA24" i="43" s="1"/>
  <c r="AZ24" i="43" s="1"/>
  <c r="V21" i="45" s="1"/>
  <c r="AB18" i="43"/>
  <c r="AA18" i="43"/>
  <c r="AA17" i="43"/>
  <c r="AB17" i="43"/>
  <c r="L184" i="43"/>
  <c r="N184" i="43" s="1"/>
  <c r="Q184" i="43" s="1"/>
  <c r="L233" i="43"/>
  <c r="N233" i="43" s="1"/>
  <c r="Q233" i="43" s="1"/>
  <c r="DJ377" i="43"/>
  <c r="AA376" i="24" s="1"/>
  <c r="L203" i="43"/>
  <c r="N203" i="43" s="1"/>
  <c r="Q203" i="43" s="1"/>
  <c r="L228" i="43"/>
  <c r="N228" i="43" s="1"/>
  <c r="Q228" i="43" s="1"/>
  <c r="L265" i="43"/>
  <c r="N265" i="43" s="1"/>
  <c r="L173" i="43"/>
  <c r="N173" i="43" s="1"/>
  <c r="Q173" i="43" s="1"/>
  <c r="L253" i="43"/>
  <c r="N253" i="43" s="1"/>
  <c r="Q253" i="43" s="1"/>
  <c r="AA253" i="43" s="1"/>
  <c r="L177" i="43"/>
  <c r="N177" i="43" s="1"/>
  <c r="Q177" i="43" s="1"/>
  <c r="L232" i="43"/>
  <c r="N232" i="43" s="1"/>
  <c r="Q232" i="43" s="1"/>
  <c r="L261" i="43"/>
  <c r="N261" i="43" s="1"/>
  <c r="L175" i="43"/>
  <c r="N175" i="43" s="1"/>
  <c r="FP175" i="43" s="1"/>
  <c r="L257" i="43"/>
  <c r="N257" i="43" s="1"/>
  <c r="X166" i="43"/>
  <c r="EH270" i="43"/>
  <c r="EH268" i="43"/>
  <c r="L207" i="43"/>
  <c r="N207" i="43" s="1"/>
  <c r="Q207" i="43" s="1"/>
  <c r="EH260" i="43"/>
  <c r="EH238" i="43"/>
  <c r="EH274" i="43"/>
  <c r="EH209" i="43"/>
  <c r="L200" i="43"/>
  <c r="N200" i="43" s="1"/>
  <c r="Q200" i="43" s="1"/>
  <c r="L274" i="43"/>
  <c r="N274" i="43" s="1"/>
  <c r="Q274" i="43" s="1"/>
  <c r="EH200" i="43"/>
  <c r="L224" i="43"/>
  <c r="N224" i="43" s="1"/>
  <c r="Q224" i="43" s="1"/>
  <c r="L247" i="43"/>
  <c r="N247" i="43" s="1"/>
  <c r="FP247" i="43" s="1"/>
  <c r="L171" i="43"/>
  <c r="N171" i="43" s="1"/>
  <c r="FP171" i="43" s="1"/>
  <c r="EH259" i="43"/>
  <c r="L256" i="43"/>
  <c r="N256" i="43" s="1"/>
  <c r="L185" i="43"/>
  <c r="N185" i="43" s="1"/>
  <c r="FP185" i="43" s="1"/>
  <c r="EH233" i="43"/>
  <c r="EH265" i="43"/>
  <c r="EH173" i="43"/>
  <c r="EH212" i="43"/>
  <c r="L259" i="43"/>
  <c r="N259" i="43" s="1"/>
  <c r="L252" i="43"/>
  <c r="N252" i="43" s="1"/>
  <c r="Q252" i="43" s="1"/>
  <c r="AA252" i="43" s="1"/>
  <c r="L245" i="43"/>
  <c r="N245" i="43" s="1"/>
  <c r="Q245" i="43" s="1"/>
  <c r="L238" i="43"/>
  <c r="N238" i="43" s="1"/>
  <c r="Q238" i="43" s="1"/>
  <c r="EH256" i="43"/>
  <c r="L181" i="43"/>
  <c r="N181" i="43" s="1"/>
  <c r="L213" i="43"/>
  <c r="N213" i="43" s="1"/>
  <c r="Q213" i="43" s="1"/>
  <c r="L209" i="43"/>
  <c r="N209" i="43" s="1"/>
  <c r="FP209" i="43" s="1"/>
  <c r="EH248" i="43"/>
  <c r="EH232" i="43"/>
  <c r="EH271" i="43"/>
  <c r="EH240" i="43"/>
  <c r="EH169" i="43"/>
  <c r="L260" i="43"/>
  <c r="N260" i="43" s="1"/>
  <c r="L249" i="43"/>
  <c r="N249" i="43" s="1"/>
  <c r="Q249" i="43" s="1"/>
  <c r="AA249" i="43" s="1"/>
  <c r="X159" i="43"/>
  <c r="EH252" i="43"/>
  <c r="EH175" i="43"/>
  <c r="EH181" i="43"/>
  <c r="EH170" i="43"/>
  <c r="EH201" i="43"/>
  <c r="EH249" i="43"/>
  <c r="EH257" i="43"/>
  <c r="L268" i="43"/>
  <c r="N268" i="43" s="1"/>
  <c r="Q268" i="43" s="1"/>
  <c r="AA268" i="43" s="1"/>
  <c r="L244" i="43"/>
  <c r="N244" i="43" s="1"/>
  <c r="Q244" i="43" s="1"/>
  <c r="DJ365" i="43"/>
  <c r="AA364" i="24" s="1"/>
  <c r="EH269" i="43"/>
  <c r="EH253" i="43"/>
  <c r="EH272" i="43"/>
  <c r="L179" i="43"/>
  <c r="N179" i="43" s="1"/>
  <c r="Q179" i="43" s="1"/>
  <c r="L270" i="43"/>
  <c r="N270" i="43" s="1"/>
  <c r="Q270" i="43" s="1"/>
  <c r="L202" i="43"/>
  <c r="N202" i="43" s="1"/>
  <c r="L269" i="43"/>
  <c r="N269" i="43" s="1"/>
  <c r="Q269" i="43" s="1"/>
  <c r="AA269" i="43" s="1"/>
  <c r="L174" i="43"/>
  <c r="N174" i="43" s="1"/>
  <c r="FP174" i="43" s="1"/>
  <c r="EH176" i="43"/>
  <c r="EH267" i="43"/>
  <c r="EH220" i="43"/>
  <c r="EH264" i="43"/>
  <c r="EH185" i="43"/>
  <c r="EH171" i="43"/>
  <c r="EH228" i="43"/>
  <c r="L267" i="43"/>
  <c r="N267" i="43" s="1"/>
  <c r="Q267" i="43" s="1"/>
  <c r="AA267" i="43" s="1"/>
  <c r="EH224" i="43"/>
  <c r="EH247" i="43"/>
  <c r="EH177" i="43"/>
  <c r="EH245" i="43"/>
  <c r="EH261" i="43"/>
  <c r="EH244" i="43"/>
  <c r="EH207" i="43"/>
  <c r="EH213" i="43"/>
  <c r="EH184" i="43"/>
  <c r="L240" i="43"/>
  <c r="N240" i="43" s="1"/>
  <c r="Q240" i="43" s="1"/>
  <c r="EH178" i="43"/>
  <c r="EH174" i="43"/>
  <c r="L271" i="43"/>
  <c r="N271" i="43" s="1"/>
  <c r="Q271" i="43" s="1"/>
  <c r="AA271" i="43" s="1"/>
  <c r="L212" i="43"/>
  <c r="N212" i="43" s="1"/>
  <c r="Q212" i="43" s="1"/>
  <c r="L176" i="43"/>
  <c r="N176" i="43" s="1"/>
  <c r="Q176" i="43" s="1"/>
  <c r="L201" i="43"/>
  <c r="N201" i="43" s="1"/>
  <c r="Q201" i="43" s="1"/>
  <c r="X162" i="43"/>
  <c r="S278" i="43"/>
  <c r="X278" i="43" s="1"/>
  <c r="BN278" i="43"/>
  <c r="BP278" i="43" s="1"/>
  <c r="DB278" i="43"/>
  <c r="DD278" i="43" s="1"/>
  <c r="EB278" i="43"/>
  <c r="R278" i="43" s="1"/>
  <c r="CI80" i="43"/>
  <c r="CK80" i="43" s="1"/>
  <c r="S80" i="43"/>
  <c r="S239" i="43"/>
  <c r="X239" i="43" s="1"/>
  <c r="EB239" i="43"/>
  <c r="R239" i="43" s="1"/>
  <c r="DB239" i="43"/>
  <c r="DD239" i="43" s="1"/>
  <c r="BN239" i="43"/>
  <c r="BP239" i="43" s="1"/>
  <c r="S276" i="43"/>
  <c r="X276" i="43" s="1"/>
  <c r="DB276" i="43"/>
  <c r="DD276" i="43" s="1"/>
  <c r="EB276" i="43"/>
  <c r="R276" i="43" s="1"/>
  <c r="BN276" i="43"/>
  <c r="BP276" i="43" s="1"/>
  <c r="S282" i="43"/>
  <c r="X282" i="43" s="1"/>
  <c r="EB282" i="43"/>
  <c r="R282" i="43" s="1"/>
  <c r="BN282" i="43"/>
  <c r="BP282" i="43" s="1"/>
  <c r="DB282" i="43"/>
  <c r="DD282" i="43" s="1"/>
  <c r="S210" i="43"/>
  <c r="X210" i="43" s="1"/>
  <c r="EB210" i="43"/>
  <c r="R210" i="43" s="1"/>
  <c r="BN210" i="43"/>
  <c r="BP210" i="43" s="1"/>
  <c r="DB210" i="43"/>
  <c r="DD210" i="43" s="1"/>
  <c r="CI141" i="43"/>
  <c r="CK141" i="43" s="1"/>
  <c r="S141" i="43"/>
  <c r="CI107" i="43"/>
  <c r="CK107" i="43" s="1"/>
  <c r="S107" i="43"/>
  <c r="S231" i="43"/>
  <c r="X231" i="43" s="1"/>
  <c r="EB231" i="43"/>
  <c r="R231" i="43" s="1"/>
  <c r="DB231" i="43"/>
  <c r="DD231" i="43" s="1"/>
  <c r="BN231" i="43"/>
  <c r="BP231" i="43" s="1"/>
  <c r="CI105" i="43"/>
  <c r="CK105" i="43" s="1"/>
  <c r="S105" i="43"/>
  <c r="S230" i="43"/>
  <c r="X230" i="43" s="1"/>
  <c r="EB230" i="43"/>
  <c r="R230" i="43" s="1"/>
  <c r="DB230" i="43"/>
  <c r="DD230" i="43" s="1"/>
  <c r="BN230" i="43"/>
  <c r="BP230" i="43" s="1"/>
  <c r="CI68" i="43"/>
  <c r="CK68" i="43" s="1"/>
  <c r="S68" i="43"/>
  <c r="S229" i="43"/>
  <c r="X229" i="43" s="1"/>
  <c r="DB229" i="43"/>
  <c r="DD229" i="43" s="1"/>
  <c r="BN229" i="43"/>
  <c r="BP229" i="43" s="1"/>
  <c r="EB229" i="43"/>
  <c r="R229" i="43" s="1"/>
  <c r="S219" i="43"/>
  <c r="X219" i="43" s="1"/>
  <c r="BN219" i="43"/>
  <c r="BP219" i="43" s="1"/>
  <c r="DB219" i="43"/>
  <c r="DD219" i="43" s="1"/>
  <c r="EB219" i="43"/>
  <c r="R219" i="43" s="1"/>
  <c r="S236" i="43"/>
  <c r="X236" i="43" s="1"/>
  <c r="BN236" i="43"/>
  <c r="BP236" i="43" s="1"/>
  <c r="EB236" i="43"/>
  <c r="R236" i="43" s="1"/>
  <c r="DB236" i="43"/>
  <c r="DD236" i="43" s="1"/>
  <c r="CI129" i="43"/>
  <c r="CK129" i="43" s="1"/>
  <c r="S129" i="43"/>
  <c r="CI156" i="43"/>
  <c r="CK156" i="43" s="1"/>
  <c r="S156" i="43"/>
  <c r="CI69" i="43"/>
  <c r="CK69" i="43" s="1"/>
  <c r="S69" i="43"/>
  <c r="S254" i="43"/>
  <c r="X254" i="43" s="1"/>
  <c r="BN254" i="43"/>
  <c r="BP254" i="43" s="1"/>
  <c r="DB254" i="43"/>
  <c r="DD254" i="43" s="1"/>
  <c r="EB254" i="43"/>
  <c r="R254" i="43" s="1"/>
  <c r="CI103" i="43"/>
  <c r="CK103" i="43" s="1"/>
  <c r="S103" i="43"/>
  <c r="CI121" i="43"/>
  <c r="CK121" i="43" s="1"/>
  <c r="S121" i="43"/>
  <c r="CI81" i="43"/>
  <c r="CK81" i="43" s="1"/>
  <c r="S81" i="43"/>
  <c r="CI62" i="43"/>
  <c r="CK62" i="43" s="1"/>
  <c r="S62" i="43"/>
  <c r="CI117" i="43"/>
  <c r="CK117" i="43" s="1"/>
  <c r="S117" i="43"/>
  <c r="CI70" i="43"/>
  <c r="CK70" i="43" s="1"/>
  <c r="S70" i="43"/>
  <c r="S302" i="43"/>
  <c r="X302" i="43" s="1"/>
  <c r="EB302" i="43"/>
  <c r="R302" i="43" s="1"/>
  <c r="BN302" i="43"/>
  <c r="BP302" i="43" s="1"/>
  <c r="DB302" i="43"/>
  <c r="DD302" i="43" s="1"/>
  <c r="S279" i="43"/>
  <c r="X279" i="43" s="1"/>
  <c r="EB279" i="43"/>
  <c r="R279" i="43" s="1"/>
  <c r="BN279" i="43"/>
  <c r="BP279" i="43" s="1"/>
  <c r="DB279" i="43"/>
  <c r="DD279" i="43" s="1"/>
  <c r="CI152" i="43"/>
  <c r="CK152" i="43" s="1"/>
  <c r="S152" i="43"/>
  <c r="CI92" i="43"/>
  <c r="CK92" i="43" s="1"/>
  <c r="S92" i="43"/>
  <c r="CI93" i="43"/>
  <c r="CK93" i="43" s="1"/>
  <c r="S93" i="43"/>
  <c r="CI210" i="43"/>
  <c r="CK210" i="43" s="1"/>
  <c r="S217" i="43"/>
  <c r="X217" i="43" s="1"/>
  <c r="EB217" i="43"/>
  <c r="R217" i="43" s="1"/>
  <c r="DB217" i="43"/>
  <c r="DD217" i="43" s="1"/>
  <c r="BN217" i="43"/>
  <c r="BP217" i="43" s="1"/>
  <c r="S303" i="43"/>
  <c r="X303" i="43" s="1"/>
  <c r="BN303" i="43"/>
  <c r="BP303" i="43" s="1"/>
  <c r="EB303" i="43"/>
  <c r="R303" i="43" s="1"/>
  <c r="DB303" i="43"/>
  <c r="DD303" i="43" s="1"/>
  <c r="S298" i="43"/>
  <c r="X298" i="43" s="1"/>
  <c r="DB298" i="43"/>
  <c r="DD298" i="43" s="1"/>
  <c r="BN298" i="43"/>
  <c r="BP298" i="43" s="1"/>
  <c r="EB298" i="43"/>
  <c r="R298" i="43" s="1"/>
  <c r="S243" i="43"/>
  <c r="X243" i="43" s="1"/>
  <c r="EB243" i="43"/>
  <c r="R243" i="43" s="1"/>
  <c r="BN243" i="43"/>
  <c r="BP243" i="43" s="1"/>
  <c r="DB243" i="43"/>
  <c r="DD243" i="43" s="1"/>
  <c r="S288" i="43"/>
  <c r="X288" i="43" s="1"/>
  <c r="DB288" i="43"/>
  <c r="DD288" i="43" s="1"/>
  <c r="EB288" i="43"/>
  <c r="R288" i="43" s="1"/>
  <c r="BN288" i="43"/>
  <c r="BP288" i="43" s="1"/>
  <c r="S292" i="43"/>
  <c r="X292" i="43" s="1"/>
  <c r="DB292" i="43"/>
  <c r="DD292" i="43" s="1"/>
  <c r="BN292" i="43"/>
  <c r="BP292" i="43" s="1"/>
  <c r="EB292" i="43"/>
  <c r="R292" i="43" s="1"/>
  <c r="S250" i="43"/>
  <c r="X250" i="43" s="1"/>
  <c r="DB250" i="43"/>
  <c r="DD250" i="43" s="1"/>
  <c r="BN250" i="43"/>
  <c r="BP250" i="43" s="1"/>
  <c r="EB250" i="43"/>
  <c r="R250" i="43" s="1"/>
  <c r="S263" i="43"/>
  <c r="X263" i="43" s="1"/>
  <c r="DB263" i="43"/>
  <c r="DD263" i="43" s="1"/>
  <c r="EB263" i="43"/>
  <c r="R263" i="43" s="1"/>
  <c r="BN263" i="43"/>
  <c r="BP263" i="43" s="1"/>
  <c r="S297" i="43"/>
  <c r="X297" i="43" s="1"/>
  <c r="DB297" i="43"/>
  <c r="DD297" i="43" s="1"/>
  <c r="BN297" i="43"/>
  <c r="BP297" i="43" s="1"/>
  <c r="EB297" i="43"/>
  <c r="R297" i="43" s="1"/>
  <c r="S225" i="43"/>
  <c r="X225" i="43" s="1"/>
  <c r="EB225" i="43"/>
  <c r="R225" i="43" s="1"/>
  <c r="BN225" i="43"/>
  <c r="BP225" i="43" s="1"/>
  <c r="DB225" i="43"/>
  <c r="DD225" i="43" s="1"/>
  <c r="CI149" i="43"/>
  <c r="CK149" i="43" s="1"/>
  <c r="S149" i="43"/>
  <c r="S280" i="43"/>
  <c r="X280" i="43" s="1"/>
  <c r="DB280" i="43"/>
  <c r="DD280" i="43" s="1"/>
  <c r="EB280" i="43"/>
  <c r="R280" i="43" s="1"/>
  <c r="BN280" i="43"/>
  <c r="BP280" i="43" s="1"/>
  <c r="S296" i="43"/>
  <c r="DB296" i="43"/>
  <c r="DD296" i="43" s="1"/>
  <c r="EB296" i="43"/>
  <c r="R296" i="43" s="1"/>
  <c r="BN296" i="43"/>
  <c r="BP296" i="43" s="1"/>
  <c r="S237" i="43"/>
  <c r="X237" i="43" s="1"/>
  <c r="EB237" i="43"/>
  <c r="R237" i="43" s="1"/>
  <c r="DB237" i="43"/>
  <c r="DD237" i="43" s="1"/>
  <c r="BN237" i="43"/>
  <c r="BP237" i="43" s="1"/>
  <c r="S285" i="43"/>
  <c r="X285" i="43" s="1"/>
  <c r="EB285" i="43"/>
  <c r="R285" i="43" s="1"/>
  <c r="DB285" i="43"/>
  <c r="DD285" i="43" s="1"/>
  <c r="BN285" i="43"/>
  <c r="BP285" i="43" s="1"/>
  <c r="S289" i="43"/>
  <c r="X289" i="43" s="1"/>
  <c r="EB289" i="43"/>
  <c r="R289" i="43" s="1"/>
  <c r="DB289" i="43"/>
  <c r="DD289" i="43" s="1"/>
  <c r="BN289" i="43"/>
  <c r="BP289" i="43" s="1"/>
  <c r="S281" i="43"/>
  <c r="X281" i="43" s="1"/>
  <c r="BN281" i="43"/>
  <c r="BP281" i="43" s="1"/>
  <c r="EB281" i="43"/>
  <c r="R281" i="43" s="1"/>
  <c r="DB281" i="43"/>
  <c r="DD281" i="43" s="1"/>
  <c r="S226" i="43"/>
  <c r="X226" i="43" s="1"/>
  <c r="EB226" i="43"/>
  <c r="R226" i="43" s="1"/>
  <c r="BN226" i="43"/>
  <c r="BP226" i="43" s="1"/>
  <c r="DB226" i="43"/>
  <c r="DD226" i="43" s="1"/>
  <c r="S227" i="43"/>
  <c r="X227" i="43" s="1"/>
  <c r="BN227" i="43"/>
  <c r="BP227" i="43" s="1"/>
  <c r="EB227" i="43"/>
  <c r="R227" i="43" s="1"/>
  <c r="DB227" i="43"/>
  <c r="DD227" i="43" s="1"/>
  <c r="CI139" i="43"/>
  <c r="CK139" i="43" s="1"/>
  <c r="S139" i="43"/>
  <c r="CI113" i="43"/>
  <c r="CK113" i="43" s="1"/>
  <c r="S113" i="43"/>
  <c r="CI137" i="43"/>
  <c r="CK137" i="43" s="1"/>
  <c r="S137" i="43"/>
  <c r="CI97" i="43"/>
  <c r="CK97" i="43" s="1"/>
  <c r="S97" i="43"/>
  <c r="S222" i="43"/>
  <c r="X222" i="43" s="1"/>
  <c r="BN222" i="43"/>
  <c r="BP222" i="43" s="1"/>
  <c r="EB222" i="43"/>
  <c r="R222" i="43" s="1"/>
  <c r="DB222" i="43"/>
  <c r="DD222" i="43" s="1"/>
  <c r="S221" i="43"/>
  <c r="X221" i="43" s="1"/>
  <c r="EB221" i="43"/>
  <c r="R221" i="43" s="1"/>
  <c r="BN221" i="43"/>
  <c r="BP221" i="43" s="1"/>
  <c r="DB221" i="43"/>
  <c r="DD221" i="43" s="1"/>
  <c r="S214" i="43"/>
  <c r="X214" i="43" s="1"/>
  <c r="DB214" i="43"/>
  <c r="DD214" i="43" s="1"/>
  <c r="EB214" i="43"/>
  <c r="R214" i="43" s="1"/>
  <c r="BN214" i="43"/>
  <c r="BP214" i="43" s="1"/>
  <c r="S262" i="43"/>
  <c r="X262" i="43" s="1"/>
  <c r="EB262" i="43"/>
  <c r="R262" i="43" s="1"/>
  <c r="DB262" i="43"/>
  <c r="DD262" i="43" s="1"/>
  <c r="BN262" i="43"/>
  <c r="BP262" i="43" s="1"/>
  <c r="S258" i="43"/>
  <c r="X258" i="43" s="1"/>
  <c r="BN258" i="43"/>
  <c r="BP258" i="43" s="1"/>
  <c r="EB258" i="43"/>
  <c r="R258" i="43" s="1"/>
  <c r="DB258" i="43"/>
  <c r="DD258" i="43" s="1"/>
  <c r="CI64" i="43"/>
  <c r="CK64" i="43" s="1"/>
  <c r="S64" i="43"/>
  <c r="CI225" i="43"/>
  <c r="CK225" i="43" s="1"/>
  <c r="CI298" i="43"/>
  <c r="CK298" i="43" s="1"/>
  <c r="S211" i="43"/>
  <c r="X211" i="43" s="1"/>
  <c r="DB211" i="43"/>
  <c r="DD211" i="43" s="1"/>
  <c r="EB211" i="43"/>
  <c r="R211" i="43" s="1"/>
  <c r="BN211" i="43"/>
  <c r="BP211" i="43" s="1"/>
  <c r="CI131" i="43"/>
  <c r="CK131" i="43" s="1"/>
  <c r="S131" i="43"/>
  <c r="CI136" i="43"/>
  <c r="CK136" i="43" s="1"/>
  <c r="S136" i="43"/>
  <c r="S294" i="43"/>
  <c r="X294" i="43" s="1"/>
  <c r="EB294" i="43"/>
  <c r="R294" i="43" s="1"/>
  <c r="DB294" i="43"/>
  <c r="DD294" i="43" s="1"/>
  <c r="BN294" i="43"/>
  <c r="BP294" i="43" s="1"/>
  <c r="S241" i="43"/>
  <c r="X241" i="43" s="1"/>
  <c r="DB241" i="43"/>
  <c r="DD241" i="43" s="1"/>
  <c r="EB241" i="43"/>
  <c r="R241" i="43" s="1"/>
  <c r="BN241" i="43"/>
  <c r="BP241" i="43" s="1"/>
  <c r="CI119" i="43"/>
  <c r="CK119" i="43" s="1"/>
  <c r="S119" i="43"/>
  <c r="S290" i="43"/>
  <c r="X290" i="43" s="1"/>
  <c r="BN290" i="43"/>
  <c r="BP290" i="43" s="1"/>
  <c r="EB290" i="43"/>
  <c r="R290" i="43" s="1"/>
  <c r="DB290" i="43"/>
  <c r="DD290" i="43" s="1"/>
  <c r="S255" i="43"/>
  <c r="X255" i="43" s="1"/>
  <c r="BN255" i="43"/>
  <c r="BP255" i="43" s="1"/>
  <c r="EB255" i="43"/>
  <c r="R255" i="43" s="1"/>
  <c r="DB255" i="43"/>
  <c r="DD255" i="43" s="1"/>
  <c r="S204" i="43"/>
  <c r="X204" i="43" s="1"/>
  <c r="BN204" i="43"/>
  <c r="BP204" i="43" s="1"/>
  <c r="EB204" i="43"/>
  <c r="R204" i="43" s="1"/>
  <c r="DB204" i="43"/>
  <c r="DD204" i="43" s="1"/>
  <c r="CI104" i="43"/>
  <c r="CK104" i="43" s="1"/>
  <c r="S104" i="43"/>
  <c r="S180" i="43"/>
  <c r="DB180" i="43"/>
  <c r="DD180" i="43" s="1"/>
  <c r="EB180" i="43"/>
  <c r="R180" i="43" s="1"/>
  <c r="BN180" i="43"/>
  <c r="BP180" i="43" s="1"/>
  <c r="CI66" i="43"/>
  <c r="CK66" i="43" s="1"/>
  <c r="S66" i="43"/>
  <c r="S216" i="43"/>
  <c r="X216" i="43" s="1"/>
  <c r="DB216" i="43"/>
  <c r="DD216" i="43" s="1"/>
  <c r="BN216" i="43"/>
  <c r="BP216" i="43" s="1"/>
  <c r="EB216" i="43"/>
  <c r="R216" i="43" s="1"/>
  <c r="S242" i="43"/>
  <c r="X242" i="43" s="1"/>
  <c r="EB242" i="43"/>
  <c r="R242" i="43" s="1"/>
  <c r="DB242" i="43"/>
  <c r="DD242" i="43" s="1"/>
  <c r="BN242" i="43"/>
  <c r="BP242" i="43" s="1"/>
  <c r="CI101" i="43"/>
  <c r="CK101" i="43" s="1"/>
  <c r="S101" i="43"/>
  <c r="CI135" i="43"/>
  <c r="CK135" i="43" s="1"/>
  <c r="S135" i="43"/>
  <c r="S172" i="43"/>
  <c r="BN172" i="43"/>
  <c r="BP172" i="43" s="1"/>
  <c r="EB172" i="43"/>
  <c r="DB172" i="43"/>
  <c r="DD172" i="43" s="1"/>
  <c r="CI143" i="43"/>
  <c r="CK143" i="43" s="1"/>
  <c r="S143" i="43"/>
  <c r="CI140" i="43"/>
  <c r="CK140" i="43" s="1"/>
  <c r="S140" i="43"/>
  <c r="CI72" i="43"/>
  <c r="CK72" i="43" s="1"/>
  <c r="S72" i="43"/>
  <c r="CI90" i="43"/>
  <c r="CK90" i="43" s="1"/>
  <c r="S90" i="43"/>
  <c r="S287" i="43"/>
  <c r="X287" i="43" s="1"/>
  <c r="BN287" i="43"/>
  <c r="BP287" i="43" s="1"/>
  <c r="EB287" i="43"/>
  <c r="R287" i="43" s="1"/>
  <c r="DB287" i="43"/>
  <c r="DD287" i="43" s="1"/>
  <c r="S273" i="43"/>
  <c r="X273" i="43" s="1"/>
  <c r="EB273" i="43"/>
  <c r="R273" i="43" s="1"/>
  <c r="DB273" i="43"/>
  <c r="DD273" i="43" s="1"/>
  <c r="BN273" i="43"/>
  <c r="BP273" i="43" s="1"/>
  <c r="S293" i="43"/>
  <c r="X293" i="43" s="1"/>
  <c r="BN293" i="43"/>
  <c r="BP293" i="43" s="1"/>
  <c r="EB293" i="43"/>
  <c r="R293" i="43" s="1"/>
  <c r="DB293" i="43"/>
  <c r="DD293" i="43" s="1"/>
  <c r="CI127" i="43"/>
  <c r="CK127" i="43" s="1"/>
  <c r="S127" i="43"/>
  <c r="S218" i="43"/>
  <c r="X218" i="43" s="1"/>
  <c r="BN218" i="43"/>
  <c r="BP218" i="43" s="1"/>
  <c r="EB218" i="43"/>
  <c r="R218" i="43" s="1"/>
  <c r="DB218" i="43"/>
  <c r="DD218" i="43" s="1"/>
  <c r="CI74" i="43"/>
  <c r="CK74" i="43" s="1"/>
  <c r="S74" i="43"/>
  <c r="CI123" i="43"/>
  <c r="CK123" i="43" s="1"/>
  <c r="S123" i="43"/>
  <c r="CI60" i="43"/>
  <c r="CK60" i="43" s="1"/>
  <c r="S60" i="43"/>
  <c r="S295" i="43"/>
  <c r="X295" i="43" s="1"/>
  <c r="EB295" i="43"/>
  <c r="R295" i="43" s="1"/>
  <c r="DB295" i="43"/>
  <c r="DD295" i="43" s="1"/>
  <c r="BN295" i="43"/>
  <c r="BP295" i="43" s="1"/>
  <c r="S301" i="43"/>
  <c r="DB301" i="43"/>
  <c r="DD301" i="43" s="1"/>
  <c r="EB301" i="43"/>
  <c r="R301" i="43" s="1"/>
  <c r="BN301" i="43"/>
  <c r="BP301" i="43" s="1"/>
  <c r="S235" i="43"/>
  <c r="X235" i="43" s="1"/>
  <c r="DB235" i="43"/>
  <c r="DD235" i="43" s="1"/>
  <c r="BN235" i="43"/>
  <c r="BP235" i="43" s="1"/>
  <c r="EB235" i="43"/>
  <c r="R235" i="43" s="1"/>
  <c r="CI155" i="43"/>
  <c r="CK155" i="43" s="1"/>
  <c r="S155" i="43"/>
  <c r="CI83" i="43"/>
  <c r="CK83" i="43" s="1"/>
  <c r="S83" i="43"/>
  <c r="CI115" i="43"/>
  <c r="CK115" i="43" s="1"/>
  <c r="S115" i="43"/>
  <c r="S199" i="43"/>
  <c r="X199" i="43" s="1"/>
  <c r="BN199" i="43"/>
  <c r="BP199" i="43" s="1"/>
  <c r="DB199" i="43"/>
  <c r="DD199" i="43" s="1"/>
  <c r="EB199" i="43"/>
  <c r="R199" i="43" s="1"/>
  <c r="CI133" i="43"/>
  <c r="CK133" i="43" s="1"/>
  <c r="S133" i="43"/>
  <c r="CI85" i="43"/>
  <c r="CK85" i="43" s="1"/>
  <c r="S85" i="43"/>
  <c r="S234" i="43"/>
  <c r="X234" i="43" s="1"/>
  <c r="EB234" i="43"/>
  <c r="R234" i="43" s="1"/>
  <c r="BN234" i="43"/>
  <c r="BP234" i="43" s="1"/>
  <c r="DB234" i="43"/>
  <c r="DD234" i="43" s="1"/>
  <c r="S275" i="43"/>
  <c r="X275" i="43" s="1"/>
  <c r="EB275" i="43"/>
  <c r="R275" i="43" s="1"/>
  <c r="BN275" i="43"/>
  <c r="BP275" i="43" s="1"/>
  <c r="DB275" i="43"/>
  <c r="DD275" i="43" s="1"/>
  <c r="S215" i="43"/>
  <c r="X215" i="43" s="1"/>
  <c r="EB215" i="43"/>
  <c r="R215" i="43" s="1"/>
  <c r="BN215" i="43"/>
  <c r="BP215" i="43" s="1"/>
  <c r="DB215" i="43"/>
  <c r="DD215" i="43" s="1"/>
  <c r="S208" i="43"/>
  <c r="X208" i="43" s="1"/>
  <c r="EB208" i="43"/>
  <c r="R208" i="43" s="1"/>
  <c r="BN208" i="43"/>
  <c r="BP208" i="43" s="1"/>
  <c r="DB208" i="43"/>
  <c r="DD208" i="43" s="1"/>
  <c r="CI216" i="43"/>
  <c r="CK216" i="43" s="1"/>
  <c r="CI290" i="43"/>
  <c r="CK290" i="43" s="1"/>
  <c r="CI292" i="43"/>
  <c r="CK292" i="43" s="1"/>
  <c r="CI215" i="43"/>
  <c r="CK215" i="43" s="1"/>
  <c r="CI218" i="43"/>
  <c r="CK218" i="43" s="1"/>
  <c r="CI226" i="43"/>
  <c r="CK226" i="43" s="1"/>
  <c r="CI214" i="43"/>
  <c r="CK214" i="43" s="1"/>
  <c r="CI227" i="43"/>
  <c r="CK227" i="43" s="1"/>
  <c r="L169" i="43"/>
  <c r="N169" i="43" s="1"/>
  <c r="FP169" i="43" s="1"/>
  <c r="L264" i="43"/>
  <c r="N264" i="43" s="1"/>
  <c r="L220" i="43"/>
  <c r="N220" i="43" s="1"/>
  <c r="CI243" i="43"/>
  <c r="CK243" i="43" s="1"/>
  <c r="CI263" i="43"/>
  <c r="CK263" i="43" s="1"/>
  <c r="EH179" i="43"/>
  <c r="L170" i="43"/>
  <c r="N170" i="43" s="1"/>
  <c r="AH170" i="43" s="1"/>
  <c r="S266" i="43"/>
  <c r="X266" i="43" s="1"/>
  <c r="EB266" i="43"/>
  <c r="R266" i="43" s="1"/>
  <c r="BN266" i="43"/>
  <c r="BP266" i="43" s="1"/>
  <c r="DB266" i="43"/>
  <c r="DD266" i="43" s="1"/>
  <c r="S251" i="43"/>
  <c r="X251" i="43" s="1"/>
  <c r="EB251" i="43"/>
  <c r="R251" i="43" s="1"/>
  <c r="BN251" i="43"/>
  <c r="BP251" i="43" s="1"/>
  <c r="DB251" i="43"/>
  <c r="DD251" i="43" s="1"/>
  <c r="S286" i="43"/>
  <c r="X286" i="43" s="1"/>
  <c r="EB286" i="43"/>
  <c r="R286" i="43" s="1"/>
  <c r="BN286" i="43"/>
  <c r="BP286" i="43" s="1"/>
  <c r="DB286" i="43"/>
  <c r="DD286" i="43" s="1"/>
  <c r="X160" i="43"/>
  <c r="S277" i="43"/>
  <c r="X277" i="43" s="1"/>
  <c r="BN277" i="43"/>
  <c r="BP277" i="43" s="1"/>
  <c r="EB277" i="43"/>
  <c r="R277" i="43" s="1"/>
  <c r="DB277" i="43"/>
  <c r="DD277" i="43" s="1"/>
  <c r="S300" i="43"/>
  <c r="EB300" i="43"/>
  <c r="R300" i="43" s="1"/>
  <c r="DB300" i="43"/>
  <c r="DD300" i="43" s="1"/>
  <c r="BN300" i="43"/>
  <c r="BP300" i="43" s="1"/>
  <c r="S284" i="43"/>
  <c r="X284" i="43" s="1"/>
  <c r="DB284" i="43"/>
  <c r="DD284" i="43" s="1"/>
  <c r="BN284" i="43"/>
  <c r="BP284" i="43" s="1"/>
  <c r="EB284" i="43"/>
  <c r="R284" i="43" s="1"/>
  <c r="S246" i="43"/>
  <c r="X246" i="43" s="1"/>
  <c r="DB246" i="43"/>
  <c r="DD246" i="43" s="1"/>
  <c r="BN246" i="43"/>
  <c r="BP246" i="43" s="1"/>
  <c r="EB246" i="43"/>
  <c r="R246" i="43" s="1"/>
  <c r="S291" i="43"/>
  <c r="X291" i="43" s="1"/>
  <c r="DB291" i="43"/>
  <c r="DD291" i="43" s="1"/>
  <c r="EB291" i="43"/>
  <c r="R291" i="43" s="1"/>
  <c r="BN291" i="43"/>
  <c r="BP291" i="43" s="1"/>
  <c r="CI109" i="43"/>
  <c r="CK109" i="43" s="1"/>
  <c r="S109" i="43"/>
  <c r="S223" i="43"/>
  <c r="X223" i="43" s="1"/>
  <c r="EB223" i="43"/>
  <c r="R223" i="43" s="1"/>
  <c r="DB223" i="43"/>
  <c r="DD223" i="43" s="1"/>
  <c r="BN223" i="43"/>
  <c r="BP223" i="43" s="1"/>
  <c r="CI89" i="43"/>
  <c r="CK89" i="43" s="1"/>
  <c r="S89" i="43"/>
  <c r="CI157" i="43"/>
  <c r="CK157" i="43" s="1"/>
  <c r="S157" i="43"/>
  <c r="CI147" i="43"/>
  <c r="CK147" i="43" s="1"/>
  <c r="S147" i="43"/>
  <c r="CI76" i="43"/>
  <c r="CK76" i="43" s="1"/>
  <c r="S76" i="43"/>
  <c r="CI154" i="43"/>
  <c r="CK154" i="43" s="1"/>
  <c r="S154" i="43"/>
  <c r="CI132" i="43"/>
  <c r="CK132" i="43" s="1"/>
  <c r="S132" i="43"/>
  <c r="CI111" i="43"/>
  <c r="CK111" i="43" s="1"/>
  <c r="S111" i="43"/>
  <c r="CI151" i="43"/>
  <c r="CK151" i="43" s="1"/>
  <c r="S151" i="43"/>
  <c r="S299" i="43"/>
  <c r="X299" i="43" s="1"/>
  <c r="DB299" i="43"/>
  <c r="DD299" i="43" s="1"/>
  <c r="BN299" i="43"/>
  <c r="BP299" i="43" s="1"/>
  <c r="EB299" i="43"/>
  <c r="R299" i="43" s="1"/>
  <c r="S283" i="43"/>
  <c r="X283" i="43" s="1"/>
  <c r="EB283" i="43"/>
  <c r="R283" i="43" s="1"/>
  <c r="DB283" i="43"/>
  <c r="DD283" i="43" s="1"/>
  <c r="BN283" i="43"/>
  <c r="BP283" i="43" s="1"/>
  <c r="CI286" i="43"/>
  <c r="CK286" i="43" s="1"/>
  <c r="CI217" i="43"/>
  <c r="CK217" i="43" s="1"/>
  <c r="CI251" i="43"/>
  <c r="CK251" i="43" s="1"/>
  <c r="L178" i="43"/>
  <c r="N178" i="43" s="1"/>
  <c r="Q178" i="43" s="1"/>
  <c r="AB178" i="43" s="1"/>
  <c r="IA178" i="43" s="1"/>
  <c r="CI297" i="43"/>
  <c r="CK297" i="43" s="1"/>
  <c r="CI172" i="43"/>
  <c r="CK172" i="43" s="1"/>
  <c r="CI199" i="43"/>
  <c r="CK199" i="43" s="1"/>
  <c r="CB375" i="24"/>
  <c r="DJ378" i="43"/>
  <c r="AF378" i="24" s="1"/>
  <c r="DJ375" i="43"/>
  <c r="AD375" i="24" s="1"/>
  <c r="DJ373" i="43"/>
  <c r="AA372" i="24" s="1"/>
  <c r="CD363" i="24"/>
  <c r="CE363" i="24" s="1"/>
  <c r="K12" i="30"/>
  <c r="K11" i="30"/>
  <c r="DJ363" i="43"/>
  <c r="AA362" i="24" s="1"/>
  <c r="N317" i="43"/>
  <c r="FP317" i="43" s="1"/>
  <c r="CB243" i="24"/>
  <c r="L310" i="43"/>
  <c r="EH307" i="43"/>
  <c r="EH314" i="43"/>
  <c r="EH311" i="43"/>
  <c r="EH309" i="43"/>
  <c r="EH316" i="43"/>
  <c r="EH318" i="43"/>
  <c r="EH313" i="43"/>
  <c r="EH310" i="43"/>
  <c r="L307" i="43"/>
  <c r="X306" i="43"/>
  <c r="DD306" i="43"/>
  <c r="BP306" i="43"/>
  <c r="EB306" i="43"/>
  <c r="R306" i="43" s="1"/>
  <c r="BP304" i="43"/>
  <c r="EB304" i="43"/>
  <c r="R304" i="43" s="1"/>
  <c r="DD304" i="43"/>
  <c r="L305" i="43"/>
  <c r="L318" i="43"/>
  <c r="L313" i="43"/>
  <c r="L316" i="43"/>
  <c r="EH315" i="43"/>
  <c r="EH317" i="43"/>
  <c r="L309" i="43"/>
  <c r="X312" i="43"/>
  <c r="EB312" i="43"/>
  <c r="R312" i="43" s="1"/>
  <c r="DD312" i="43"/>
  <c r="BP312" i="43"/>
  <c r="EH305" i="43"/>
  <c r="CK304" i="43"/>
  <c r="L311" i="43"/>
  <c r="L314" i="43"/>
  <c r="L315" i="43"/>
  <c r="X308" i="43"/>
  <c r="EB308" i="43"/>
  <c r="R308" i="43" s="1"/>
  <c r="BP308" i="43"/>
  <c r="DD308" i="43"/>
  <c r="CK306" i="43"/>
  <c r="CK308" i="43"/>
  <c r="BS162" i="43"/>
  <c r="CB155" i="24"/>
  <c r="CB104" i="24"/>
  <c r="CB81" i="24"/>
  <c r="CB117" i="24"/>
  <c r="CB217" i="24"/>
  <c r="BS159" i="43"/>
  <c r="CB64" i="24"/>
  <c r="CB156" i="24"/>
  <c r="CB131" i="24"/>
  <c r="CB154" i="24"/>
  <c r="EH61" i="43"/>
  <c r="EH144" i="43"/>
  <c r="CB135" i="24"/>
  <c r="CB204" i="24"/>
  <c r="CB66" i="24"/>
  <c r="CB62" i="24"/>
  <c r="EH99" i="43"/>
  <c r="CN162" i="43"/>
  <c r="CB294" i="24"/>
  <c r="CB72" i="24"/>
  <c r="CB151" i="24"/>
  <c r="CB85" i="24"/>
  <c r="CB115" i="24"/>
  <c r="CB149" i="24"/>
  <c r="CB83" i="24"/>
  <c r="CB129" i="24"/>
  <c r="CB133" i="24"/>
  <c r="CB69" i="24"/>
  <c r="AJ166" i="43"/>
  <c r="AK166" i="43" s="1"/>
  <c r="C163" i="45" s="1"/>
  <c r="BS160" i="43"/>
  <c r="CB141" i="24"/>
  <c r="CB80" i="24"/>
  <c r="CB132" i="24"/>
  <c r="EH87" i="43"/>
  <c r="EH153" i="43"/>
  <c r="EH124" i="43"/>
  <c r="ID11" i="43"/>
  <c r="IB11" i="43"/>
  <c r="CB103" i="24"/>
  <c r="CB306" i="24"/>
  <c r="EH128" i="43"/>
  <c r="EH145" i="43"/>
  <c r="EH164" i="43"/>
  <c r="EH106" i="43"/>
  <c r="EH58" i="43"/>
  <c r="EH120" i="43"/>
  <c r="CB74" i="24"/>
  <c r="CB121" i="24"/>
  <c r="AJ159" i="43"/>
  <c r="AK159" i="43" s="1"/>
  <c r="C156" i="45" s="1"/>
  <c r="EH84" i="43"/>
  <c r="EH148" i="43"/>
  <c r="EH65" i="43"/>
  <c r="EH163" i="43"/>
  <c r="BS166" i="43"/>
  <c r="CB60" i="24"/>
  <c r="CB127" i="24"/>
  <c r="CB123" i="24"/>
  <c r="CB292" i="24"/>
  <c r="CB251" i="24"/>
  <c r="CB105" i="24"/>
  <c r="CB70" i="24"/>
  <c r="AJ160" i="43"/>
  <c r="AK160" i="43" s="1"/>
  <c r="C157" i="45" s="1"/>
  <c r="EH96" i="43"/>
  <c r="EH112" i="43"/>
  <c r="EH125" i="43"/>
  <c r="CN166" i="43"/>
  <c r="CB107" i="24"/>
  <c r="CB109" i="24"/>
  <c r="CB111" i="24"/>
  <c r="CB157" i="24"/>
  <c r="EH73" i="43"/>
  <c r="CB93" i="24"/>
  <c r="CB92" i="24"/>
  <c r="CB147" i="24"/>
  <c r="CB152" i="24"/>
  <c r="AJ162" i="43"/>
  <c r="AK162" i="43" s="1"/>
  <c r="C159" i="45" s="1"/>
  <c r="Q186" i="43"/>
  <c r="EH91" i="43"/>
  <c r="EH77" i="43"/>
  <c r="EH95" i="43"/>
  <c r="EH100" i="43"/>
  <c r="CB255" i="24"/>
  <c r="CB68" i="24"/>
  <c r="CB89" i="24"/>
  <c r="CB76" i="24"/>
  <c r="EH88" i="43"/>
  <c r="EH116" i="43"/>
  <c r="EH167" i="43"/>
  <c r="CN159" i="43"/>
  <c r="CB90" i="24"/>
  <c r="CB280" i="24"/>
  <c r="CB143" i="24"/>
  <c r="CB97" i="24"/>
  <c r="CB136" i="24"/>
  <c r="CB137" i="24"/>
  <c r="CB113" i="24"/>
  <c r="CB119" i="24"/>
  <c r="CB101" i="24"/>
  <c r="CB139" i="24"/>
  <c r="CB140" i="24"/>
  <c r="BW86" i="24"/>
  <c r="CD86" i="24" s="1"/>
  <c r="CE86" i="24" s="1"/>
  <c r="K86" i="43"/>
  <c r="AI83" i="45" s="1"/>
  <c r="BW150" i="24"/>
  <c r="CD150" i="24" s="1"/>
  <c r="CE150" i="24" s="1"/>
  <c r="K150" i="43"/>
  <c r="AI147" i="45" s="1"/>
  <c r="BW114" i="24"/>
  <c r="CD114" i="24" s="1"/>
  <c r="CE114" i="24" s="1"/>
  <c r="K114" i="43"/>
  <c r="AI111" i="45" s="1"/>
  <c r="BW102" i="24"/>
  <c r="CD102" i="24" s="1"/>
  <c r="CE102" i="24" s="1"/>
  <c r="K102" i="43"/>
  <c r="AI99" i="45" s="1"/>
  <c r="BW75" i="24"/>
  <c r="CD75" i="24" s="1"/>
  <c r="CE75" i="24" s="1"/>
  <c r="K75" i="43"/>
  <c r="AI72" i="45" s="1"/>
  <c r="BW67" i="24"/>
  <c r="CD67" i="24" s="1"/>
  <c r="CE67" i="24" s="1"/>
  <c r="K67" i="43"/>
  <c r="AI64" i="45" s="1"/>
  <c r="BW158" i="24"/>
  <c r="CD158" i="24" s="1"/>
  <c r="CE158" i="24" s="1"/>
  <c r="K158" i="43"/>
  <c r="AI155" i="45" s="1"/>
  <c r="K205" i="43"/>
  <c r="BW71" i="24"/>
  <c r="CD71" i="24" s="1"/>
  <c r="CE71" i="24" s="1"/>
  <c r="K71" i="43"/>
  <c r="AI68" i="45" s="1"/>
  <c r="BW138" i="24"/>
  <c r="CD138" i="24" s="1"/>
  <c r="CE138" i="24" s="1"/>
  <c r="K138" i="43"/>
  <c r="AI135" i="45" s="1"/>
  <c r="BW142" i="24"/>
  <c r="CD142" i="24" s="1"/>
  <c r="CE142" i="24" s="1"/>
  <c r="K142" i="43"/>
  <c r="AI139" i="45" s="1"/>
  <c r="BW98" i="24"/>
  <c r="CD98" i="24" s="1"/>
  <c r="CE98" i="24" s="1"/>
  <c r="K98" i="43"/>
  <c r="AI95" i="45" s="1"/>
  <c r="BW78" i="24"/>
  <c r="CD78" i="24" s="1"/>
  <c r="CE78" i="24" s="1"/>
  <c r="K78" i="43"/>
  <c r="AI75" i="45" s="1"/>
  <c r="BW110" i="24"/>
  <c r="CD110" i="24" s="1"/>
  <c r="CE110" i="24" s="1"/>
  <c r="K110" i="43"/>
  <c r="AI107" i="45" s="1"/>
  <c r="BW82" i="24"/>
  <c r="CD82" i="24" s="1"/>
  <c r="CE82" i="24" s="1"/>
  <c r="K82" i="43"/>
  <c r="AI79" i="45" s="1"/>
  <c r="BW130" i="24"/>
  <c r="CD130" i="24" s="1"/>
  <c r="CE130" i="24" s="1"/>
  <c r="K130" i="43"/>
  <c r="AI127" i="45" s="1"/>
  <c r="BW57" i="24"/>
  <c r="CD57" i="24" s="1"/>
  <c r="CE57" i="24" s="1"/>
  <c r="K57" i="43"/>
  <c r="AI54" i="45" s="1"/>
  <c r="BW79" i="24"/>
  <c r="CD79" i="24" s="1"/>
  <c r="CE79" i="24" s="1"/>
  <c r="K79" i="43"/>
  <c r="AI76" i="45" s="1"/>
  <c r="BW59" i="24"/>
  <c r="CD59" i="24" s="1"/>
  <c r="CE59" i="24" s="1"/>
  <c r="K59" i="43"/>
  <c r="AI56" i="45" s="1"/>
  <c r="R148" i="43"/>
  <c r="AU148" i="43"/>
  <c r="AH148" i="43" s="1"/>
  <c r="AI148" i="43" s="1"/>
  <c r="D145" i="45" s="1"/>
  <c r="U145" i="45" s="1"/>
  <c r="AJ148" i="43"/>
  <c r="AK148" i="43" s="1"/>
  <c r="C145" i="45" s="1"/>
  <c r="BT211" i="43"/>
  <c r="BS211" i="43" s="1"/>
  <c r="BC211" i="43"/>
  <c r="CO211" i="43"/>
  <c r="CN211" i="43" s="1"/>
  <c r="DG211" i="43"/>
  <c r="Y211" i="43"/>
  <c r="DG303" i="43"/>
  <c r="BT303" i="43"/>
  <c r="BS303" i="43" s="1"/>
  <c r="BC303" i="43"/>
  <c r="CO303" i="43"/>
  <c r="CN303" i="43" s="1"/>
  <c r="Y303" i="43"/>
  <c r="Y80" i="43"/>
  <c r="T80" i="43"/>
  <c r="DG80" i="43"/>
  <c r="BT80" i="43"/>
  <c r="BS80" i="43" s="1"/>
  <c r="BC80" i="43"/>
  <c r="CO80" i="43"/>
  <c r="CN80" i="43" s="1"/>
  <c r="AV80" i="43"/>
  <c r="BN80" i="43"/>
  <c r="BP80" i="43" s="1"/>
  <c r="DC80" i="43"/>
  <c r="CJ80" i="43"/>
  <c r="EB80" i="43"/>
  <c r="DB80" i="43"/>
  <c r="DD80" i="43" s="1"/>
  <c r="BO80" i="43"/>
  <c r="BT239" i="43"/>
  <c r="BS239" i="43" s="1"/>
  <c r="Y239" i="43"/>
  <c r="DG239" i="43"/>
  <c r="BC239" i="43"/>
  <c r="CO239" i="43"/>
  <c r="CN239" i="43" s="1"/>
  <c r="BT136" i="43"/>
  <c r="BS136" i="43" s="1"/>
  <c r="BC136" i="43"/>
  <c r="Y136" i="43"/>
  <c r="DG136" i="43"/>
  <c r="AV136" i="43"/>
  <c r="CO136" i="43"/>
  <c r="CN136" i="43" s="1"/>
  <c r="T136" i="43"/>
  <c r="DC136" i="43"/>
  <c r="DB136" i="43"/>
  <c r="DD136" i="43" s="1"/>
  <c r="EB136" i="43"/>
  <c r="CJ136" i="43"/>
  <c r="BN136" i="43"/>
  <c r="BP136" i="43" s="1"/>
  <c r="BO136" i="43"/>
  <c r="R88" i="43"/>
  <c r="AJ88" i="43"/>
  <c r="AK88" i="43" s="1"/>
  <c r="Y298" i="43"/>
  <c r="BT298" i="43"/>
  <c r="BS298" i="43" s="1"/>
  <c r="BC298" i="43"/>
  <c r="CO298" i="43"/>
  <c r="CN298" i="43" s="1"/>
  <c r="DG298" i="43"/>
  <c r="R96" i="43"/>
  <c r="AU96" i="43"/>
  <c r="AH96" i="43" s="1"/>
  <c r="AI96" i="43" s="1"/>
  <c r="D93" i="45" s="1"/>
  <c r="U93" i="45" s="1"/>
  <c r="AJ96" i="43"/>
  <c r="AK96" i="43" s="1"/>
  <c r="C93" i="45" s="1"/>
  <c r="X73" i="43"/>
  <c r="L73" i="43"/>
  <c r="N73" i="43" s="1"/>
  <c r="X58" i="43"/>
  <c r="L58" i="43"/>
  <c r="N58" i="43" s="1"/>
  <c r="FP58" i="43" s="1"/>
  <c r="BC290" i="43"/>
  <c r="DG290" i="43"/>
  <c r="Y290" i="43"/>
  <c r="BT290" i="43"/>
  <c r="BS290" i="43" s="1"/>
  <c r="CO290" i="43"/>
  <c r="DG255" i="43"/>
  <c r="BT255" i="43"/>
  <c r="BS255" i="43" s="1"/>
  <c r="Y255" i="43"/>
  <c r="CO255" i="43"/>
  <c r="CN255" i="43" s="1"/>
  <c r="BC255" i="43"/>
  <c r="Y277" i="43"/>
  <c r="BT277" i="43"/>
  <c r="BS277" i="43" s="1"/>
  <c r="BC277" i="43"/>
  <c r="DG277" i="43"/>
  <c r="CO277" i="43"/>
  <c r="CN277" i="43" s="1"/>
  <c r="Y225" i="43"/>
  <c r="BT225" i="43"/>
  <c r="BS225" i="43" s="1"/>
  <c r="CO225" i="43"/>
  <c r="CN225" i="43" s="1"/>
  <c r="BC225" i="43"/>
  <c r="DG225" i="43"/>
  <c r="R95" i="43"/>
  <c r="AJ95" i="43"/>
  <c r="AK95" i="43" s="1"/>
  <c r="C92" i="45" s="1"/>
  <c r="AU95" i="43"/>
  <c r="AH95" i="43" s="1"/>
  <c r="AI95" i="43" s="1"/>
  <c r="HZ95" i="43" s="1"/>
  <c r="R100" i="43"/>
  <c r="AJ100" i="43"/>
  <c r="AK100" i="43" s="1"/>
  <c r="C97" i="45" s="1"/>
  <c r="AU100" i="43"/>
  <c r="AH100" i="43" s="1"/>
  <c r="AI100" i="43" s="1"/>
  <c r="HZ100" i="43" s="1"/>
  <c r="L100" i="43"/>
  <c r="N100" i="43" s="1"/>
  <c r="FP100" i="43" s="1"/>
  <c r="X100" i="43"/>
  <c r="Y296" i="43"/>
  <c r="BC296" i="43"/>
  <c r="DG296" i="43"/>
  <c r="BT296" i="43"/>
  <c r="BS296" i="43" s="1"/>
  <c r="CO296" i="43"/>
  <c r="CN296" i="43" s="1"/>
  <c r="BT237" i="43"/>
  <c r="BS237" i="43" s="1"/>
  <c r="CO237" i="43"/>
  <c r="CN237" i="43" s="1"/>
  <c r="BC237" i="43"/>
  <c r="Y237" i="43"/>
  <c r="DG237" i="43"/>
  <c r="AV101" i="43"/>
  <c r="BC101" i="43"/>
  <c r="BT101" i="43"/>
  <c r="BS101" i="43" s="1"/>
  <c r="CO101" i="43"/>
  <c r="CN101" i="43" s="1"/>
  <c r="DG101" i="43"/>
  <c r="Y101" i="43"/>
  <c r="T101" i="43"/>
  <c r="CJ101" i="43"/>
  <c r="DC101" i="43"/>
  <c r="DB101" i="43"/>
  <c r="DD101" i="43" s="1"/>
  <c r="BO101" i="43"/>
  <c r="BN101" i="43"/>
  <c r="BP101" i="43" s="1"/>
  <c r="EB101" i="43"/>
  <c r="BT285" i="43"/>
  <c r="BS285" i="43" s="1"/>
  <c r="Y285" i="43"/>
  <c r="CO285" i="43"/>
  <c r="CN285" i="43" s="1"/>
  <c r="DG285" i="43"/>
  <c r="BC285" i="43"/>
  <c r="BC89" i="43"/>
  <c r="CO89" i="43"/>
  <c r="CN89" i="43" s="1"/>
  <c r="AV89" i="43"/>
  <c r="DG89" i="43"/>
  <c r="BT89" i="43"/>
  <c r="BS89" i="43" s="1"/>
  <c r="Y89" i="43"/>
  <c r="T89" i="43"/>
  <c r="BO89" i="43"/>
  <c r="CJ89" i="43"/>
  <c r="BN89" i="43"/>
  <c r="BP89" i="43" s="1"/>
  <c r="EB89" i="43"/>
  <c r="DC89" i="43"/>
  <c r="DB89" i="43"/>
  <c r="DD89" i="43" s="1"/>
  <c r="DG157" i="43"/>
  <c r="BC157" i="43"/>
  <c r="CO157" i="43"/>
  <c r="CN157" i="43" s="1"/>
  <c r="AV157" i="43"/>
  <c r="Y157" i="43"/>
  <c r="BT157" i="43"/>
  <c r="BS157" i="43" s="1"/>
  <c r="T157" i="43"/>
  <c r="EB157" i="43"/>
  <c r="BO157" i="43"/>
  <c r="DC157" i="43"/>
  <c r="CJ157" i="43"/>
  <c r="BN157" i="43"/>
  <c r="BP157" i="43" s="1"/>
  <c r="DB157" i="43"/>
  <c r="DD157" i="43" s="1"/>
  <c r="DG137" i="43"/>
  <c r="Y137" i="43"/>
  <c r="BC137" i="43"/>
  <c r="CO137" i="43"/>
  <c r="CN137" i="43" s="1"/>
  <c r="T137" i="43"/>
  <c r="AV137" i="43"/>
  <c r="BT137" i="43"/>
  <c r="BS137" i="43" s="1"/>
  <c r="BO137" i="43"/>
  <c r="BN137" i="43"/>
  <c r="BP137" i="43" s="1"/>
  <c r="DC137" i="43"/>
  <c r="EB137" i="43"/>
  <c r="DB137" i="43"/>
  <c r="DD137" i="43" s="1"/>
  <c r="CJ137" i="43"/>
  <c r="CO97" i="43"/>
  <c r="CN97" i="43" s="1"/>
  <c r="AV97" i="43"/>
  <c r="T97" i="43"/>
  <c r="BC97" i="43"/>
  <c r="BT97" i="43"/>
  <c r="BS97" i="43" s="1"/>
  <c r="Y97" i="43"/>
  <c r="DG97" i="43"/>
  <c r="CJ97" i="43"/>
  <c r="DC97" i="43"/>
  <c r="BN97" i="43"/>
  <c r="BP97" i="43" s="1"/>
  <c r="EB97" i="43"/>
  <c r="DB97" i="43"/>
  <c r="DD97" i="43" s="1"/>
  <c r="BO97" i="43"/>
  <c r="BC76" i="43"/>
  <c r="BT76" i="43"/>
  <c r="BS76" i="43" s="1"/>
  <c r="CO76" i="43"/>
  <c r="CN76" i="43" s="1"/>
  <c r="DG76" i="43"/>
  <c r="AV76" i="43"/>
  <c r="Y76" i="43"/>
  <c r="T76" i="43"/>
  <c r="DB76" i="43"/>
  <c r="DD76" i="43" s="1"/>
  <c r="CJ76" i="43"/>
  <c r="BN76" i="43"/>
  <c r="BP76" i="43" s="1"/>
  <c r="EB76" i="43"/>
  <c r="DC76" i="43"/>
  <c r="BO76" i="43"/>
  <c r="Y229" i="43"/>
  <c r="CO229" i="43"/>
  <c r="CN229" i="43" s="1"/>
  <c r="DG229" i="43"/>
  <c r="BC229" i="43"/>
  <c r="BT229" i="43"/>
  <c r="BS229" i="43" s="1"/>
  <c r="CO293" i="43"/>
  <c r="CN293" i="43" s="1"/>
  <c r="BC293" i="43"/>
  <c r="BT293" i="43"/>
  <c r="BS293" i="43" s="1"/>
  <c r="Y293" i="43"/>
  <c r="DG293" i="43"/>
  <c r="BT221" i="43"/>
  <c r="BS221" i="43" s="1"/>
  <c r="Y221" i="43"/>
  <c r="BC221" i="43"/>
  <c r="DG221" i="43"/>
  <c r="CO221" i="43"/>
  <c r="CN221" i="43" s="1"/>
  <c r="Y103" i="43"/>
  <c r="AV103" i="43"/>
  <c r="T103" i="43"/>
  <c r="BC103" i="43"/>
  <c r="BT103" i="43"/>
  <c r="BS103" i="43" s="1"/>
  <c r="DG103" i="43"/>
  <c r="CO103" i="43"/>
  <c r="CN103" i="43" s="1"/>
  <c r="EB103" i="43"/>
  <c r="DC103" i="43"/>
  <c r="DB103" i="43"/>
  <c r="DD103" i="43" s="1"/>
  <c r="BO103" i="43"/>
  <c r="CJ103" i="43"/>
  <c r="BN103" i="43"/>
  <c r="BP103" i="43" s="1"/>
  <c r="AV121" i="43"/>
  <c r="Y121" i="43"/>
  <c r="BC121" i="43"/>
  <c r="BT121" i="43"/>
  <c r="BS121" i="43" s="1"/>
  <c r="CO121" i="43"/>
  <c r="CN121" i="43" s="1"/>
  <c r="T121" i="43"/>
  <c r="DG121" i="43"/>
  <c r="EB121" i="43"/>
  <c r="CJ121" i="43"/>
  <c r="BO121" i="43"/>
  <c r="BN121" i="43"/>
  <c r="BP121" i="43" s="1"/>
  <c r="DC121" i="43"/>
  <c r="DB121" i="43"/>
  <c r="DD121" i="43" s="1"/>
  <c r="CO81" i="43"/>
  <c r="CN81" i="43" s="1"/>
  <c r="AV81" i="43"/>
  <c r="BC81" i="43"/>
  <c r="DG81" i="43"/>
  <c r="T81" i="43"/>
  <c r="BT81" i="43"/>
  <c r="BS81" i="43" s="1"/>
  <c r="Y81" i="43"/>
  <c r="EB81" i="43"/>
  <c r="BO81" i="43"/>
  <c r="CJ81" i="43"/>
  <c r="BN81" i="43"/>
  <c r="BP81" i="43" s="1"/>
  <c r="DB81" i="43"/>
  <c r="DD81" i="43" s="1"/>
  <c r="DC81" i="43"/>
  <c r="CO302" i="43"/>
  <c r="CN302" i="43" s="1"/>
  <c r="Y302" i="43"/>
  <c r="DG302" i="43"/>
  <c r="BC302" i="43"/>
  <c r="BT302" i="43"/>
  <c r="BS302" i="43" s="1"/>
  <c r="CO215" i="43"/>
  <c r="CN215" i="43" s="1"/>
  <c r="DG215" i="43"/>
  <c r="BC215" i="43"/>
  <c r="Y215" i="43"/>
  <c r="BT215" i="43"/>
  <c r="BS215" i="43" s="1"/>
  <c r="BC208" i="43"/>
  <c r="DG208" i="43"/>
  <c r="Y208" i="43"/>
  <c r="BT208" i="43"/>
  <c r="BS208" i="43" s="1"/>
  <c r="CO208" i="43"/>
  <c r="CN208" i="43" s="1"/>
  <c r="BW118" i="24"/>
  <c r="CD118" i="24" s="1"/>
  <c r="CE118" i="24" s="1"/>
  <c r="K118" i="43"/>
  <c r="AI115" i="45" s="1"/>
  <c r="BW108" i="24"/>
  <c r="CD108" i="24" s="1"/>
  <c r="CE108" i="24" s="1"/>
  <c r="K108" i="43"/>
  <c r="AI105" i="45" s="1"/>
  <c r="BW63" i="24"/>
  <c r="CD63" i="24" s="1"/>
  <c r="CE63" i="24" s="1"/>
  <c r="K63" i="43"/>
  <c r="AI60" i="45" s="1"/>
  <c r="CN290" i="43"/>
  <c r="R128" i="43"/>
  <c r="AU128" i="43"/>
  <c r="AH128" i="43" s="1"/>
  <c r="AI128" i="43" s="1"/>
  <c r="D125" i="45" s="1"/>
  <c r="U125" i="45" s="1"/>
  <c r="AJ128" i="43"/>
  <c r="AK128" i="43" s="1"/>
  <c r="X91" i="43"/>
  <c r="L91" i="43"/>
  <c r="N91" i="43" s="1"/>
  <c r="FP91" i="43" s="1"/>
  <c r="Y278" i="43"/>
  <c r="BT278" i="43"/>
  <c r="BS278" i="43" s="1"/>
  <c r="CO278" i="43"/>
  <c r="CN278" i="43" s="1"/>
  <c r="BC278" i="43"/>
  <c r="DG278" i="43"/>
  <c r="Y266" i="43"/>
  <c r="BC266" i="43"/>
  <c r="CO266" i="43"/>
  <c r="CN266" i="43" s="1"/>
  <c r="BT266" i="43"/>
  <c r="BS266" i="43" s="1"/>
  <c r="DG266" i="43"/>
  <c r="L61" i="43"/>
  <c r="N61" i="43" s="1"/>
  <c r="X61" i="43"/>
  <c r="L124" i="43"/>
  <c r="N124" i="43" s="1"/>
  <c r="FP124" i="43" s="1"/>
  <c r="X124" i="43"/>
  <c r="L88" i="43"/>
  <c r="N88" i="43" s="1"/>
  <c r="FP88" i="43" s="1"/>
  <c r="X88" i="43"/>
  <c r="R116" i="43"/>
  <c r="AJ116" i="43"/>
  <c r="AK116" i="43" s="1"/>
  <c r="C113" i="45" s="1"/>
  <c r="AU116" i="43"/>
  <c r="AH116" i="43" s="1"/>
  <c r="AI116" i="43" s="1"/>
  <c r="D113" i="45" s="1"/>
  <c r="U113" i="45" s="1"/>
  <c r="X116" i="43"/>
  <c r="L116" i="43"/>
  <c r="N116" i="43" s="1"/>
  <c r="FP116" i="43" s="1"/>
  <c r="AJ167" i="43"/>
  <c r="R167" i="43"/>
  <c r="AU167" i="43"/>
  <c r="AH167" i="43" s="1"/>
  <c r="AI167" i="43" s="1"/>
  <c r="HZ167" i="43" s="1"/>
  <c r="IB167" i="43" s="1"/>
  <c r="X167" i="43"/>
  <c r="L167" i="43"/>
  <c r="N167" i="43" s="1"/>
  <c r="FP167" i="43" s="1"/>
  <c r="CO243" i="43"/>
  <c r="CN243" i="43" s="1"/>
  <c r="BC243" i="43"/>
  <c r="DG243" i="43"/>
  <c r="BT243" i="43"/>
  <c r="BS243" i="43" s="1"/>
  <c r="Y243" i="43"/>
  <c r="CO288" i="43"/>
  <c r="CN288" i="43" s="1"/>
  <c r="BC288" i="43"/>
  <c r="Y288" i="43"/>
  <c r="BT288" i="43"/>
  <c r="BS288" i="43" s="1"/>
  <c r="DG288" i="43"/>
  <c r="CO292" i="43"/>
  <c r="CN292" i="43" s="1"/>
  <c r="BC292" i="43"/>
  <c r="Y292" i="43"/>
  <c r="DG292" i="43"/>
  <c r="BT292" i="43"/>
  <c r="BS292" i="43" s="1"/>
  <c r="BT294" i="43"/>
  <c r="BS294" i="43" s="1"/>
  <c r="BC294" i="43"/>
  <c r="CO294" i="43"/>
  <c r="CN294" i="43" s="1"/>
  <c r="DG294" i="43"/>
  <c r="Y294" i="43"/>
  <c r="DG241" i="43"/>
  <c r="BC241" i="43"/>
  <c r="BT241" i="43"/>
  <c r="BS241" i="43" s="1"/>
  <c r="CO241" i="43"/>
  <c r="CN241" i="43" s="1"/>
  <c r="Y241" i="43"/>
  <c r="CO250" i="43"/>
  <c r="CN250" i="43" s="1"/>
  <c r="Y250" i="43"/>
  <c r="BC250" i="43"/>
  <c r="DG250" i="43"/>
  <c r="BT250" i="43"/>
  <c r="BS250" i="43" s="1"/>
  <c r="R106" i="43"/>
  <c r="AJ106" i="43"/>
  <c r="AK106" i="43" s="1"/>
  <c r="R58" i="43"/>
  <c r="AJ58" i="43"/>
  <c r="AK58" i="43" s="1"/>
  <c r="C55" i="45" s="1"/>
  <c r="AU58" i="43"/>
  <c r="AH58" i="43" s="1"/>
  <c r="AI58" i="43" s="1"/>
  <c r="D55" i="45" s="1"/>
  <c r="U55" i="45" s="1"/>
  <c r="BT312" i="43"/>
  <c r="BS312" i="43" s="1"/>
  <c r="DG312" i="43"/>
  <c r="CO312" i="43"/>
  <c r="CN312" i="43" s="1"/>
  <c r="Y312" i="43"/>
  <c r="BC312" i="43"/>
  <c r="DG306" i="43"/>
  <c r="BT306" i="43"/>
  <c r="BS306" i="43" s="1"/>
  <c r="BC306" i="43"/>
  <c r="Y306" i="43"/>
  <c r="CO306" i="43"/>
  <c r="CN306" i="43" s="1"/>
  <c r="CO204" i="43"/>
  <c r="CN204" i="43" s="1"/>
  <c r="DG204" i="43"/>
  <c r="Y204" i="43"/>
  <c r="BT204" i="43"/>
  <c r="BS204" i="43" s="1"/>
  <c r="BC204" i="43"/>
  <c r="BT104" i="43"/>
  <c r="BS104" i="43" s="1"/>
  <c r="CO104" i="43"/>
  <c r="CN104" i="43" s="1"/>
  <c r="BC104" i="43"/>
  <c r="DG104" i="43"/>
  <c r="AV104" i="43"/>
  <c r="Y104" i="43"/>
  <c r="T104" i="43"/>
  <c r="DC104" i="43"/>
  <c r="DB104" i="43"/>
  <c r="DD104" i="43" s="1"/>
  <c r="BO104" i="43"/>
  <c r="BN104" i="43"/>
  <c r="BP104" i="43" s="1"/>
  <c r="CJ104" i="43"/>
  <c r="EB104" i="43"/>
  <c r="DG180" i="43"/>
  <c r="BT180" i="43"/>
  <c r="BS180" i="43" s="1"/>
  <c r="CO180" i="43"/>
  <c r="CN180" i="43" s="1"/>
  <c r="BC180" i="43"/>
  <c r="Y180" i="43"/>
  <c r="AV66" i="43"/>
  <c r="Y66" i="43"/>
  <c r="CO66" i="43"/>
  <c r="CN66" i="43" s="1"/>
  <c r="DG66" i="43"/>
  <c r="BT66" i="43"/>
  <c r="BS66" i="43" s="1"/>
  <c r="BC66" i="43"/>
  <c r="T66" i="43"/>
  <c r="DB66" i="43"/>
  <c r="DD66" i="43" s="1"/>
  <c r="BO66" i="43"/>
  <c r="DC66" i="43"/>
  <c r="EB66" i="43"/>
  <c r="BN66" i="43"/>
  <c r="BP66" i="43" s="1"/>
  <c r="CJ66" i="43"/>
  <c r="R144" i="43"/>
  <c r="AJ144" i="43"/>
  <c r="AK144" i="43" s="1"/>
  <c r="C141" i="45" s="1"/>
  <c r="X163" i="43"/>
  <c r="L163" i="43"/>
  <c r="N163" i="43" s="1"/>
  <c r="BT280" i="43"/>
  <c r="BS280" i="43" s="1"/>
  <c r="CO280" i="43"/>
  <c r="CN280" i="43" s="1"/>
  <c r="BC280" i="43"/>
  <c r="Y280" i="43"/>
  <c r="DG280" i="43"/>
  <c r="CO107" i="43"/>
  <c r="CN107" i="43" s="1"/>
  <c r="DG107" i="43"/>
  <c r="Y107" i="43"/>
  <c r="AV107" i="43"/>
  <c r="BC107" i="43"/>
  <c r="BT107" i="43"/>
  <c r="BS107" i="43" s="1"/>
  <c r="T107" i="43"/>
  <c r="DC107" i="43"/>
  <c r="DB107" i="43"/>
  <c r="DD107" i="43" s="1"/>
  <c r="CJ107" i="43"/>
  <c r="EB107" i="43"/>
  <c r="BN107" i="43"/>
  <c r="BP107" i="43" s="1"/>
  <c r="BO107" i="43"/>
  <c r="CO135" i="43"/>
  <c r="CN135" i="43" s="1"/>
  <c r="BC135" i="43"/>
  <c r="BT135" i="43"/>
  <c r="BS135" i="43" s="1"/>
  <c r="DG135" i="43"/>
  <c r="AV135" i="43"/>
  <c r="Y135" i="43"/>
  <c r="T135" i="43"/>
  <c r="BN135" i="43"/>
  <c r="BP135" i="43" s="1"/>
  <c r="DC135" i="43"/>
  <c r="EB135" i="43"/>
  <c r="CJ135" i="43"/>
  <c r="DB135" i="43"/>
  <c r="DD135" i="43" s="1"/>
  <c r="BO135" i="43"/>
  <c r="CO291" i="43"/>
  <c r="CN291" i="43" s="1"/>
  <c r="BC291" i="43"/>
  <c r="Y291" i="43"/>
  <c r="DG291" i="43"/>
  <c r="BT291" i="43"/>
  <c r="BS291" i="43" s="1"/>
  <c r="BC68" i="43"/>
  <c r="T68" i="43"/>
  <c r="BT68" i="43"/>
  <c r="BS68" i="43" s="1"/>
  <c r="CO68" i="43"/>
  <c r="CN68" i="43" s="1"/>
  <c r="DG68" i="43"/>
  <c r="Y68" i="43"/>
  <c r="AV68" i="43"/>
  <c r="EB68" i="43"/>
  <c r="CJ68" i="43"/>
  <c r="BO68" i="43"/>
  <c r="DB68" i="43"/>
  <c r="DD68" i="43" s="1"/>
  <c r="BN68" i="43"/>
  <c r="BP68" i="43" s="1"/>
  <c r="DC68" i="43"/>
  <c r="Y109" i="43"/>
  <c r="BT109" i="43"/>
  <c r="BS109" i="43" s="1"/>
  <c r="DG109" i="43"/>
  <c r="CO109" i="43"/>
  <c r="CN109" i="43" s="1"/>
  <c r="AV109" i="43"/>
  <c r="BC109" i="43"/>
  <c r="T109" i="43"/>
  <c r="BN109" i="43"/>
  <c r="BP109" i="43" s="1"/>
  <c r="BO109" i="43"/>
  <c r="CJ109" i="43"/>
  <c r="EB109" i="43"/>
  <c r="DB109" i="43"/>
  <c r="DD109" i="43" s="1"/>
  <c r="DC109" i="43"/>
  <c r="CO227" i="43"/>
  <c r="CN227" i="43" s="1"/>
  <c r="Y227" i="43"/>
  <c r="BC227" i="43"/>
  <c r="DG227" i="43"/>
  <c r="BT227" i="43"/>
  <c r="BS227" i="43" s="1"/>
  <c r="DG287" i="43"/>
  <c r="BC287" i="43"/>
  <c r="Y287" i="43"/>
  <c r="CO287" i="43"/>
  <c r="CN287" i="43" s="1"/>
  <c r="BT287" i="43"/>
  <c r="BS287" i="43" s="1"/>
  <c r="BC222" i="43"/>
  <c r="DG222" i="43"/>
  <c r="BT222" i="43"/>
  <c r="BS222" i="43" s="1"/>
  <c r="CO222" i="43"/>
  <c r="CN222" i="43" s="1"/>
  <c r="Y222" i="43"/>
  <c r="AV132" i="43"/>
  <c r="BT132" i="43"/>
  <c r="BS132" i="43" s="1"/>
  <c r="CO132" i="43"/>
  <c r="CN132" i="43" s="1"/>
  <c r="DG132" i="43"/>
  <c r="Y132" i="43"/>
  <c r="BC132" i="43"/>
  <c r="T132" i="43"/>
  <c r="BN132" i="43"/>
  <c r="BP132" i="43" s="1"/>
  <c r="EB132" i="43"/>
  <c r="BO132" i="43"/>
  <c r="DB132" i="43"/>
  <c r="DD132" i="43" s="1"/>
  <c r="CJ132" i="43"/>
  <c r="DC132" i="43"/>
  <c r="BC111" i="43"/>
  <c r="T111" i="43"/>
  <c r="BT111" i="43"/>
  <c r="BS111" i="43" s="1"/>
  <c r="CO111" i="43"/>
  <c r="CN111" i="43" s="1"/>
  <c r="DG111" i="43"/>
  <c r="Y111" i="43"/>
  <c r="AV111" i="43"/>
  <c r="DB111" i="43"/>
  <c r="DD111" i="43" s="1"/>
  <c r="BO111" i="43"/>
  <c r="CJ111" i="43"/>
  <c r="BN111" i="43"/>
  <c r="BP111" i="43" s="1"/>
  <c r="DC111" i="43"/>
  <c r="EB111" i="43"/>
  <c r="DG127" i="43"/>
  <c r="BT127" i="43"/>
  <c r="BS127" i="43" s="1"/>
  <c r="AV127" i="43"/>
  <c r="CO127" i="43"/>
  <c r="CN127" i="43" s="1"/>
  <c r="Y127" i="43"/>
  <c r="BC127" i="43"/>
  <c r="T127" i="43"/>
  <c r="CJ127" i="43"/>
  <c r="DB127" i="43"/>
  <c r="DD127" i="43" s="1"/>
  <c r="BO127" i="43"/>
  <c r="BN127" i="43"/>
  <c r="BP127" i="43" s="1"/>
  <c r="EB127" i="43"/>
  <c r="DC127" i="43"/>
  <c r="BC236" i="43"/>
  <c r="Y236" i="43"/>
  <c r="BT236" i="43"/>
  <c r="BS236" i="43" s="1"/>
  <c r="CO236" i="43"/>
  <c r="CN236" i="43" s="1"/>
  <c r="DG236" i="43"/>
  <c r="Y74" i="43"/>
  <c r="BC74" i="43"/>
  <c r="BT74" i="43"/>
  <c r="BS74" i="43" s="1"/>
  <c r="AV74" i="43"/>
  <c r="T74" i="43"/>
  <c r="CO74" i="43"/>
  <c r="CN74" i="43" s="1"/>
  <c r="DG74" i="43"/>
  <c r="CJ74" i="43"/>
  <c r="BN74" i="43"/>
  <c r="BP74" i="43" s="1"/>
  <c r="DB74" i="43"/>
  <c r="DD74" i="43" s="1"/>
  <c r="BO74" i="43"/>
  <c r="DC74" i="43"/>
  <c r="EB74" i="43"/>
  <c r="T123" i="43"/>
  <c r="BT123" i="43"/>
  <c r="BS123" i="43" s="1"/>
  <c r="Y123" i="43"/>
  <c r="BC123" i="43"/>
  <c r="AV123" i="43"/>
  <c r="DG123" i="43"/>
  <c r="CO123" i="43"/>
  <c r="CN123" i="43" s="1"/>
  <c r="EB123" i="43"/>
  <c r="BO123" i="43"/>
  <c r="BN123" i="43"/>
  <c r="BP123" i="43" s="1"/>
  <c r="CJ123" i="43"/>
  <c r="DB123" i="43"/>
  <c r="DD123" i="43" s="1"/>
  <c r="DC123" i="43"/>
  <c r="AV60" i="43"/>
  <c r="BC60" i="43"/>
  <c r="BT60" i="43"/>
  <c r="BS60" i="43" s="1"/>
  <c r="DG60" i="43"/>
  <c r="T60" i="43"/>
  <c r="CO60" i="43"/>
  <c r="CN60" i="43" s="1"/>
  <c r="Y60" i="43"/>
  <c r="CJ60" i="43"/>
  <c r="EB60" i="43"/>
  <c r="BN60" i="43"/>
  <c r="BP60" i="43" s="1"/>
  <c r="BO60" i="43"/>
  <c r="DC60" i="43"/>
  <c r="DB60" i="43"/>
  <c r="DD60" i="43" s="1"/>
  <c r="BC151" i="43"/>
  <c r="DG151" i="43"/>
  <c r="CO151" i="43"/>
  <c r="CN151" i="43" s="1"/>
  <c r="AV151" i="43"/>
  <c r="Y151" i="43"/>
  <c r="T151" i="43"/>
  <c r="BT151" i="43"/>
  <c r="BS151" i="43" s="1"/>
  <c r="BO151" i="43"/>
  <c r="BN151" i="43"/>
  <c r="BP151" i="43" s="1"/>
  <c r="EB151" i="43"/>
  <c r="DC151" i="43"/>
  <c r="CJ151" i="43"/>
  <c r="DB151" i="43"/>
  <c r="DD151" i="43" s="1"/>
  <c r="Y299" i="43"/>
  <c r="DG299" i="43"/>
  <c r="BC299" i="43"/>
  <c r="BT299" i="43"/>
  <c r="BS299" i="43" s="1"/>
  <c r="CO299" i="43"/>
  <c r="CN299" i="43" s="1"/>
  <c r="T62" i="43"/>
  <c r="AV62" i="43"/>
  <c r="BT62" i="43"/>
  <c r="BS62" i="43" s="1"/>
  <c r="DG62" i="43"/>
  <c r="CO62" i="43"/>
  <c r="CN62" i="43" s="1"/>
  <c r="Y62" i="43"/>
  <c r="BC62" i="43"/>
  <c r="BN62" i="43"/>
  <c r="BP62" i="43" s="1"/>
  <c r="CJ62" i="43"/>
  <c r="BO62" i="43"/>
  <c r="DB62" i="43"/>
  <c r="DD62" i="43" s="1"/>
  <c r="EB62" i="43"/>
  <c r="DC62" i="43"/>
  <c r="Y117" i="43"/>
  <c r="DG117" i="43"/>
  <c r="CO117" i="43"/>
  <c r="CN117" i="43" s="1"/>
  <c r="BC117" i="43"/>
  <c r="BT117" i="43"/>
  <c r="BS117" i="43" s="1"/>
  <c r="AV117" i="43"/>
  <c r="T117" i="43"/>
  <c r="BN117" i="43"/>
  <c r="BP117" i="43" s="1"/>
  <c r="DC117" i="43"/>
  <c r="EB117" i="43"/>
  <c r="CJ117" i="43"/>
  <c r="DB117" i="43"/>
  <c r="DD117" i="43" s="1"/>
  <c r="BO117" i="43"/>
  <c r="Y234" i="43"/>
  <c r="CO234" i="43"/>
  <c r="CN234" i="43" s="1"/>
  <c r="DG234" i="43"/>
  <c r="BT234" i="43"/>
  <c r="BS234" i="43" s="1"/>
  <c r="BC234" i="43"/>
  <c r="CO64" i="43"/>
  <c r="CN64" i="43" s="1"/>
  <c r="Y64" i="43"/>
  <c r="DG64" i="43"/>
  <c r="AV64" i="43"/>
  <c r="BT64" i="43"/>
  <c r="BS64" i="43" s="1"/>
  <c r="BC64" i="43"/>
  <c r="T64" i="43"/>
  <c r="CJ64" i="43"/>
  <c r="BN64" i="43"/>
  <c r="BP64" i="43" s="1"/>
  <c r="DC64" i="43"/>
  <c r="EB64" i="43"/>
  <c r="DB64" i="43"/>
  <c r="DD64" i="43" s="1"/>
  <c r="BO64" i="43"/>
  <c r="Y279" i="43"/>
  <c r="BC279" i="43"/>
  <c r="CO279" i="43"/>
  <c r="CN279" i="43" s="1"/>
  <c r="BT279" i="43"/>
  <c r="BS279" i="43" s="1"/>
  <c r="DG279" i="43"/>
  <c r="BW126" i="24"/>
  <c r="CD126" i="24" s="1"/>
  <c r="CE126" i="24" s="1"/>
  <c r="K126" i="43"/>
  <c r="AI123" i="45" s="1"/>
  <c r="BW94" i="24"/>
  <c r="CD94" i="24" s="1"/>
  <c r="CE94" i="24" s="1"/>
  <c r="K94" i="43"/>
  <c r="AI91" i="45" s="1"/>
  <c r="BW146" i="24"/>
  <c r="CD146" i="24" s="1"/>
  <c r="CE146" i="24" s="1"/>
  <c r="K146" i="43"/>
  <c r="AI143" i="45" s="1"/>
  <c r="BW134" i="24"/>
  <c r="CD134" i="24" s="1"/>
  <c r="CE134" i="24" s="1"/>
  <c r="K134" i="43"/>
  <c r="AI131" i="45" s="1"/>
  <c r="L148" i="43"/>
  <c r="N148" i="43" s="1"/>
  <c r="FP148" i="43" s="1"/>
  <c r="X148" i="43"/>
  <c r="R145" i="43"/>
  <c r="AJ145" i="43"/>
  <c r="AK145" i="43" s="1"/>
  <c r="X145" i="43"/>
  <c r="L145" i="43"/>
  <c r="N145" i="43" s="1"/>
  <c r="FP145" i="43" s="1"/>
  <c r="R65" i="43"/>
  <c r="AJ65" i="43"/>
  <c r="AK65" i="43" s="1"/>
  <c r="C62" i="45" s="1"/>
  <c r="X65" i="43"/>
  <c r="L65" i="43"/>
  <c r="N65" i="43" s="1"/>
  <c r="FP65" i="43" s="1"/>
  <c r="BT131" i="43"/>
  <c r="BS131" i="43" s="1"/>
  <c r="T131" i="43"/>
  <c r="BC131" i="43"/>
  <c r="CO131" i="43"/>
  <c r="CN131" i="43" s="1"/>
  <c r="DG131" i="43"/>
  <c r="AV131" i="43"/>
  <c r="Y131" i="43"/>
  <c r="DC131" i="43"/>
  <c r="DB131" i="43"/>
  <c r="DD131" i="43" s="1"/>
  <c r="EB131" i="43"/>
  <c r="BO131" i="43"/>
  <c r="CJ131" i="43"/>
  <c r="BN131" i="43"/>
  <c r="BP131" i="43" s="1"/>
  <c r="R61" i="43"/>
  <c r="AU61" i="43"/>
  <c r="AH61" i="43" s="1"/>
  <c r="AI61" i="43" s="1"/>
  <c r="D58" i="45" s="1"/>
  <c r="U58" i="45" s="1"/>
  <c r="AJ61" i="43"/>
  <c r="AK61" i="43" s="1"/>
  <c r="R124" i="43"/>
  <c r="AU124" i="43"/>
  <c r="AH124" i="43" s="1"/>
  <c r="AI124" i="43" s="1"/>
  <c r="D121" i="45" s="1"/>
  <c r="U121" i="45" s="1"/>
  <c r="AJ124" i="43"/>
  <c r="AK124" i="43" s="1"/>
  <c r="C121" i="45" s="1"/>
  <c r="R87" i="43"/>
  <c r="AJ87" i="43"/>
  <c r="AK87" i="43" s="1"/>
  <c r="C84" i="45" s="1"/>
  <c r="X87" i="43"/>
  <c r="L87" i="43"/>
  <c r="N87" i="43" s="1"/>
  <c r="FP87" i="43" s="1"/>
  <c r="Y119" i="43"/>
  <c r="BT119" i="43"/>
  <c r="BS119" i="43" s="1"/>
  <c r="AV119" i="43"/>
  <c r="DG119" i="43"/>
  <c r="CO119" i="43"/>
  <c r="CN119" i="43" s="1"/>
  <c r="BC119" i="43"/>
  <c r="T119" i="43"/>
  <c r="DB119" i="43"/>
  <c r="DD119" i="43" s="1"/>
  <c r="DC119" i="43"/>
  <c r="BO119" i="43"/>
  <c r="BN119" i="43"/>
  <c r="BP119" i="43" s="1"/>
  <c r="CJ119" i="43"/>
  <c r="EB119" i="43"/>
  <c r="R73" i="43"/>
  <c r="AU73" i="43"/>
  <c r="AH73" i="43" s="1"/>
  <c r="AI73" i="43" s="1"/>
  <c r="D70" i="45" s="1"/>
  <c r="U70" i="45" s="1"/>
  <c r="AJ73" i="43"/>
  <c r="AK73" i="43" s="1"/>
  <c r="L106" i="43"/>
  <c r="N106" i="43" s="1"/>
  <c r="FP106" i="43" s="1"/>
  <c r="X106" i="43"/>
  <c r="R112" i="43"/>
  <c r="AU112" i="43"/>
  <c r="AH112" i="43" s="1"/>
  <c r="AI112" i="43" s="1"/>
  <c r="D109" i="45" s="1"/>
  <c r="U109" i="45" s="1"/>
  <c r="AJ112" i="43"/>
  <c r="AK112" i="43" s="1"/>
  <c r="R125" i="43"/>
  <c r="AJ125" i="43"/>
  <c r="AK125" i="43" s="1"/>
  <c r="C122" i="45" s="1"/>
  <c r="AU125" i="43"/>
  <c r="AH125" i="43" s="1"/>
  <c r="AI125" i="43" s="1"/>
  <c r="D122" i="45" s="1"/>
  <c r="U122" i="45" s="1"/>
  <c r="X125" i="43"/>
  <c r="L125" i="43"/>
  <c r="N125" i="43" s="1"/>
  <c r="BT282" i="43"/>
  <c r="BS282" i="43" s="1"/>
  <c r="DG282" i="43"/>
  <c r="BC282" i="43"/>
  <c r="CO282" i="43"/>
  <c r="CN282" i="43" s="1"/>
  <c r="Y282" i="43"/>
  <c r="BC297" i="43"/>
  <c r="Y297" i="43"/>
  <c r="BT297" i="43"/>
  <c r="BS297" i="43" s="1"/>
  <c r="DG297" i="43"/>
  <c r="CO297" i="43"/>
  <c r="CN297" i="43" s="1"/>
  <c r="L95" i="43"/>
  <c r="N95" i="43" s="1"/>
  <c r="FP95" i="43" s="1"/>
  <c r="X95" i="43"/>
  <c r="L120" i="43"/>
  <c r="N120" i="43" s="1"/>
  <c r="FP120" i="43" s="1"/>
  <c r="X120" i="43"/>
  <c r="L153" i="43"/>
  <c r="N153" i="43" s="1"/>
  <c r="FP153" i="43" s="1"/>
  <c r="X153" i="43"/>
  <c r="R163" i="43"/>
  <c r="AJ163" i="43"/>
  <c r="DG300" i="43"/>
  <c r="CO300" i="43"/>
  <c r="CN300" i="43" s="1"/>
  <c r="Y300" i="43"/>
  <c r="BC300" i="43"/>
  <c r="BT300" i="43"/>
  <c r="BS300" i="43" s="1"/>
  <c r="Y216" i="43"/>
  <c r="CO216" i="43"/>
  <c r="CN216" i="43" s="1"/>
  <c r="BT216" i="43"/>
  <c r="BS216" i="43" s="1"/>
  <c r="DG216" i="43"/>
  <c r="BC216" i="43"/>
  <c r="BC246" i="43"/>
  <c r="Y246" i="43"/>
  <c r="DG246" i="43"/>
  <c r="BT246" i="43"/>
  <c r="BS246" i="43" s="1"/>
  <c r="CO246" i="43"/>
  <c r="CN246" i="43" s="1"/>
  <c r="BC172" i="43"/>
  <c r="CO172" i="43"/>
  <c r="CN172" i="43" s="1"/>
  <c r="DG172" i="43"/>
  <c r="Y172" i="43"/>
  <c r="BT172" i="43"/>
  <c r="BS172" i="43" s="1"/>
  <c r="Y289" i="43"/>
  <c r="CO289" i="43"/>
  <c r="CN289" i="43" s="1"/>
  <c r="BT289" i="43"/>
  <c r="BS289" i="43" s="1"/>
  <c r="BC289" i="43"/>
  <c r="DG289" i="43"/>
  <c r="CO304" i="43"/>
  <c r="CN304" i="43" s="1"/>
  <c r="Y304" i="43"/>
  <c r="DG304" i="43"/>
  <c r="BT304" i="43"/>
  <c r="BS304" i="43" s="1"/>
  <c r="BC304" i="43"/>
  <c r="BC139" i="43"/>
  <c r="CO139" i="43"/>
  <c r="CN139" i="43" s="1"/>
  <c r="AV139" i="43"/>
  <c r="BT139" i="43"/>
  <c r="BS139" i="43" s="1"/>
  <c r="DG139" i="43"/>
  <c r="Y139" i="43"/>
  <c r="T139" i="43"/>
  <c r="EB139" i="43"/>
  <c r="BO139" i="43"/>
  <c r="DC139" i="43"/>
  <c r="CJ139" i="43"/>
  <c r="BN139" i="43"/>
  <c r="BP139" i="43" s="1"/>
  <c r="DB139" i="43"/>
  <c r="DD139" i="43" s="1"/>
  <c r="BT113" i="43"/>
  <c r="BS113" i="43" s="1"/>
  <c r="Y113" i="43"/>
  <c r="CO113" i="43"/>
  <c r="CN113" i="43" s="1"/>
  <c r="BC113" i="43"/>
  <c r="DG113" i="43"/>
  <c r="AV113" i="43"/>
  <c r="T113" i="43"/>
  <c r="CJ113" i="43"/>
  <c r="BN113" i="43"/>
  <c r="BP113" i="43" s="1"/>
  <c r="EB113" i="43"/>
  <c r="DC113" i="43"/>
  <c r="BO113" i="43"/>
  <c r="DB113" i="43"/>
  <c r="DD113" i="43" s="1"/>
  <c r="BT147" i="43"/>
  <c r="BS147" i="43" s="1"/>
  <c r="Y147" i="43"/>
  <c r="DG147" i="43"/>
  <c r="CO147" i="43"/>
  <c r="CN147" i="43" s="1"/>
  <c r="BC147" i="43"/>
  <c r="AV147" i="43"/>
  <c r="T147" i="43"/>
  <c r="CJ147" i="43"/>
  <c r="DB147" i="43"/>
  <c r="DD147" i="43" s="1"/>
  <c r="BN147" i="43"/>
  <c r="BP147" i="43" s="1"/>
  <c r="EB147" i="43"/>
  <c r="DC147" i="43"/>
  <c r="BO147" i="43"/>
  <c r="BC273" i="43"/>
  <c r="Y273" i="43"/>
  <c r="DG273" i="43"/>
  <c r="CO273" i="43"/>
  <c r="CN273" i="43" s="1"/>
  <c r="BT273" i="43"/>
  <c r="BS273" i="43" s="1"/>
  <c r="Y218" i="43"/>
  <c r="BT218" i="43"/>
  <c r="BS218" i="43" s="1"/>
  <c r="BC218" i="43"/>
  <c r="CO218" i="43"/>
  <c r="CN218" i="43" s="1"/>
  <c r="DG218" i="43"/>
  <c r="Y295" i="43"/>
  <c r="CO295" i="43"/>
  <c r="CN295" i="43" s="1"/>
  <c r="BC295" i="43"/>
  <c r="BT295" i="43"/>
  <c r="BS295" i="43" s="1"/>
  <c r="DG295" i="43"/>
  <c r="Y254" i="43"/>
  <c r="BT254" i="43"/>
  <c r="BS254" i="43" s="1"/>
  <c r="DG254" i="43"/>
  <c r="BC254" i="43"/>
  <c r="CO254" i="43"/>
  <c r="CN254" i="43" s="1"/>
  <c r="DG301" i="43"/>
  <c r="CO301" i="43"/>
  <c r="CN301" i="43" s="1"/>
  <c r="BC301" i="43"/>
  <c r="BT301" i="43"/>
  <c r="BS301" i="43" s="1"/>
  <c r="Y301" i="43"/>
  <c r="DG235" i="43"/>
  <c r="BT235" i="43"/>
  <c r="BS235" i="43" s="1"/>
  <c r="CO235" i="43"/>
  <c r="CN235" i="43" s="1"/>
  <c r="Y235" i="43"/>
  <c r="BC235" i="43"/>
  <c r="BC155" i="43"/>
  <c r="BT155" i="43"/>
  <c r="BS155" i="43" s="1"/>
  <c r="Y155" i="43"/>
  <c r="AV155" i="43"/>
  <c r="CO155" i="43"/>
  <c r="CN155" i="43" s="1"/>
  <c r="DG155" i="43"/>
  <c r="T155" i="43"/>
  <c r="BN155" i="43"/>
  <c r="BP155" i="43" s="1"/>
  <c r="EB155" i="43"/>
  <c r="BO155" i="43"/>
  <c r="DC155" i="43"/>
  <c r="DB155" i="43"/>
  <c r="DD155" i="43" s="1"/>
  <c r="CJ155" i="43"/>
  <c r="BC83" i="43"/>
  <c r="CO83" i="43"/>
  <c r="CN83" i="43" s="1"/>
  <c r="BT83" i="43"/>
  <c r="BS83" i="43" s="1"/>
  <c r="DG83" i="43"/>
  <c r="Y83" i="43"/>
  <c r="AV83" i="43"/>
  <c r="T83" i="43"/>
  <c r="DC83" i="43"/>
  <c r="DB83" i="43"/>
  <c r="DD83" i="43" s="1"/>
  <c r="BN83" i="43"/>
  <c r="BP83" i="43" s="1"/>
  <c r="EB83" i="43"/>
  <c r="BO83" i="43"/>
  <c r="CJ83" i="43"/>
  <c r="AV115" i="43"/>
  <c r="CO115" i="43"/>
  <c r="CN115" i="43" s="1"/>
  <c r="BC115" i="43"/>
  <c r="Y115" i="43"/>
  <c r="DG115" i="43"/>
  <c r="BT115" i="43"/>
  <c r="BS115" i="43" s="1"/>
  <c r="T115" i="43"/>
  <c r="CJ115" i="43"/>
  <c r="EB115" i="43"/>
  <c r="DB115" i="43"/>
  <c r="DD115" i="43" s="1"/>
  <c r="DC115" i="43"/>
  <c r="BO115" i="43"/>
  <c r="BN115" i="43"/>
  <c r="BP115" i="43" s="1"/>
  <c r="CO199" i="43"/>
  <c r="CN199" i="43" s="1"/>
  <c r="DG199" i="43"/>
  <c r="Y199" i="43"/>
  <c r="BT199" i="43"/>
  <c r="BS199" i="43" s="1"/>
  <c r="BC199" i="43"/>
  <c r="AV70" i="43"/>
  <c r="BT70" i="43"/>
  <c r="BS70" i="43" s="1"/>
  <c r="BC70" i="43"/>
  <c r="Y70" i="43"/>
  <c r="DG70" i="43"/>
  <c r="CO70" i="43"/>
  <c r="CN70" i="43" s="1"/>
  <c r="T70" i="43"/>
  <c r="BN70" i="43"/>
  <c r="BP70" i="43" s="1"/>
  <c r="BO70" i="43"/>
  <c r="EB70" i="43"/>
  <c r="DB70" i="43"/>
  <c r="DD70" i="43" s="1"/>
  <c r="CJ70" i="43"/>
  <c r="DC70" i="43"/>
  <c r="BT152" i="43"/>
  <c r="BS152" i="43" s="1"/>
  <c r="AV152" i="43"/>
  <c r="CO152" i="43"/>
  <c r="CN152" i="43" s="1"/>
  <c r="BC152" i="43"/>
  <c r="DG152" i="43"/>
  <c r="Y152" i="43"/>
  <c r="T152" i="43"/>
  <c r="EB152" i="43"/>
  <c r="BO152" i="43"/>
  <c r="CJ152" i="43"/>
  <c r="BN152" i="43"/>
  <c r="BP152" i="43" s="1"/>
  <c r="DC152" i="43"/>
  <c r="DB152" i="43"/>
  <c r="DD152" i="43" s="1"/>
  <c r="DG92" i="43"/>
  <c r="BC92" i="43"/>
  <c r="CO92" i="43"/>
  <c r="CN92" i="43" s="1"/>
  <c r="Y92" i="43"/>
  <c r="AV92" i="43"/>
  <c r="BT92" i="43"/>
  <c r="BS92" i="43" s="1"/>
  <c r="T92" i="43"/>
  <c r="BO92" i="43"/>
  <c r="BN92" i="43"/>
  <c r="BP92" i="43" s="1"/>
  <c r="EB92" i="43"/>
  <c r="CJ92" i="43"/>
  <c r="DC92" i="43"/>
  <c r="DB92" i="43"/>
  <c r="DD92" i="43" s="1"/>
  <c r="CO93" i="43"/>
  <c r="CN93" i="43" s="1"/>
  <c r="T93" i="43"/>
  <c r="DG93" i="43"/>
  <c r="Y93" i="43"/>
  <c r="AV93" i="43"/>
  <c r="BT93" i="43"/>
  <c r="BS93" i="43" s="1"/>
  <c r="BC93" i="43"/>
  <c r="CJ93" i="43"/>
  <c r="BO93" i="43"/>
  <c r="BN93" i="43"/>
  <c r="BP93" i="43" s="1"/>
  <c r="DC93" i="43"/>
  <c r="EB93" i="43"/>
  <c r="DB93" i="43"/>
  <c r="DD93" i="43" s="1"/>
  <c r="BW122" i="24"/>
  <c r="CD122" i="24" s="1"/>
  <c r="CE122" i="24" s="1"/>
  <c r="K122" i="43"/>
  <c r="AI119" i="45" s="1"/>
  <c r="K206" i="43"/>
  <c r="L128" i="43"/>
  <c r="N128" i="43" s="1"/>
  <c r="FP128" i="43" s="1"/>
  <c r="X128" i="43"/>
  <c r="R91" i="43"/>
  <c r="AJ91" i="43"/>
  <c r="AK91" i="43" s="1"/>
  <c r="C88" i="45" s="1"/>
  <c r="AU91" i="43"/>
  <c r="AH91" i="43" s="1"/>
  <c r="AI91" i="43" s="1"/>
  <c r="D88" i="45" s="1"/>
  <c r="U88" i="45" s="1"/>
  <c r="R77" i="43"/>
  <c r="AU77" i="43"/>
  <c r="AH77" i="43" s="1"/>
  <c r="AI77" i="43" s="1"/>
  <c r="D74" i="45" s="1"/>
  <c r="U74" i="45" s="1"/>
  <c r="AJ77" i="43"/>
  <c r="AK77" i="43" s="1"/>
  <c r="C74" i="45" s="1"/>
  <c r="X77" i="43"/>
  <c r="L77" i="43"/>
  <c r="N77" i="43" s="1"/>
  <c r="FP77" i="43" s="1"/>
  <c r="R84" i="43"/>
  <c r="AJ84" i="43"/>
  <c r="AK84" i="43" s="1"/>
  <c r="C81" i="45" s="1"/>
  <c r="AU84" i="43"/>
  <c r="AH84" i="43" s="1"/>
  <c r="AI84" i="43" s="1"/>
  <c r="D81" i="45" s="1"/>
  <c r="U81" i="45" s="1"/>
  <c r="L84" i="43"/>
  <c r="N84" i="43" s="1"/>
  <c r="X84" i="43"/>
  <c r="BC217" i="43"/>
  <c r="DG217" i="43"/>
  <c r="BT217" i="43"/>
  <c r="BS217" i="43" s="1"/>
  <c r="CO217" i="43"/>
  <c r="CN217" i="43" s="1"/>
  <c r="Y217" i="43"/>
  <c r="DG251" i="43"/>
  <c r="BT251" i="43"/>
  <c r="BS251" i="43" s="1"/>
  <c r="Y251" i="43"/>
  <c r="CO251" i="43"/>
  <c r="CN251" i="43" s="1"/>
  <c r="BC251" i="43"/>
  <c r="DG286" i="43"/>
  <c r="BC286" i="43"/>
  <c r="BT286" i="43"/>
  <c r="BS286" i="43" s="1"/>
  <c r="CO286" i="43"/>
  <c r="CN286" i="43" s="1"/>
  <c r="Y286" i="43"/>
  <c r="BC276" i="43"/>
  <c r="DG276" i="43"/>
  <c r="Y276" i="43"/>
  <c r="BT276" i="43"/>
  <c r="BS276" i="43" s="1"/>
  <c r="CO276" i="43"/>
  <c r="CN276" i="43" s="1"/>
  <c r="X96" i="43"/>
  <c r="L96" i="43"/>
  <c r="N96" i="43" s="1"/>
  <c r="FP96" i="43" s="1"/>
  <c r="R164" i="43"/>
  <c r="AJ164" i="43"/>
  <c r="X164" i="43"/>
  <c r="L164" i="43"/>
  <c r="N164" i="43" s="1"/>
  <c r="FP164" i="43" s="1"/>
  <c r="L112" i="43"/>
  <c r="N112" i="43" s="1"/>
  <c r="FP112" i="43" s="1"/>
  <c r="X112" i="43"/>
  <c r="CO308" i="43"/>
  <c r="CN308" i="43" s="1"/>
  <c r="BC308" i="43"/>
  <c r="DG308" i="43"/>
  <c r="BT308" i="43"/>
  <c r="BS308" i="43" s="1"/>
  <c r="Y308" i="43"/>
  <c r="Y210" i="43"/>
  <c r="BC210" i="43"/>
  <c r="BT210" i="43"/>
  <c r="BS210" i="43" s="1"/>
  <c r="CO210" i="43"/>
  <c r="CN210" i="43" s="1"/>
  <c r="DG210" i="43"/>
  <c r="DG141" i="43"/>
  <c r="AV141" i="43"/>
  <c r="Y141" i="43"/>
  <c r="BT141" i="43"/>
  <c r="BS141" i="43" s="1"/>
  <c r="CO141" i="43"/>
  <c r="CN141" i="43" s="1"/>
  <c r="BC141" i="43"/>
  <c r="T141" i="43"/>
  <c r="DC141" i="43"/>
  <c r="DB141" i="43"/>
  <c r="DD141" i="43" s="1"/>
  <c r="CJ141" i="43"/>
  <c r="BN141" i="43"/>
  <c r="BP141" i="43" s="1"/>
  <c r="EB141" i="43"/>
  <c r="BO141" i="43"/>
  <c r="AV149" i="43"/>
  <c r="BT149" i="43"/>
  <c r="BS149" i="43" s="1"/>
  <c r="CO149" i="43"/>
  <c r="CN149" i="43" s="1"/>
  <c r="DG149" i="43"/>
  <c r="BC149" i="43"/>
  <c r="Y149" i="43"/>
  <c r="T149" i="43"/>
  <c r="EB149" i="43"/>
  <c r="DC149" i="43"/>
  <c r="DB149" i="43"/>
  <c r="DD149" i="43" s="1"/>
  <c r="BO149" i="43"/>
  <c r="CJ149" i="43"/>
  <c r="BN149" i="43"/>
  <c r="BP149" i="43" s="1"/>
  <c r="R120" i="43"/>
  <c r="AU120" i="43"/>
  <c r="AH120" i="43" s="1"/>
  <c r="AI120" i="43" s="1"/>
  <c r="HZ120" i="43" s="1"/>
  <c r="AJ120" i="43"/>
  <c r="AK120" i="43" s="1"/>
  <c r="C117" i="45" s="1"/>
  <c r="R153" i="43"/>
  <c r="AJ153" i="43"/>
  <c r="AK153" i="43" s="1"/>
  <c r="C150" i="45" s="1"/>
  <c r="AU153" i="43"/>
  <c r="AH153" i="43" s="1"/>
  <c r="AI153" i="43" s="1"/>
  <c r="D150" i="45" s="1"/>
  <c r="U150" i="45" s="1"/>
  <c r="R99" i="43"/>
  <c r="AU99" i="43"/>
  <c r="AH99" i="43" s="1"/>
  <c r="AI99" i="43" s="1"/>
  <c r="AJ99" i="43"/>
  <c r="AK99" i="43" s="1"/>
  <c r="C96" i="45" s="1"/>
  <c r="L99" i="43"/>
  <c r="N99" i="43" s="1"/>
  <c r="FP99" i="43" s="1"/>
  <c r="X99" i="43"/>
  <c r="X144" i="43"/>
  <c r="L144" i="43"/>
  <c r="N144" i="43" s="1"/>
  <c r="FP144" i="43" s="1"/>
  <c r="CO284" i="43"/>
  <c r="CN284" i="43" s="1"/>
  <c r="BT284" i="43"/>
  <c r="BS284" i="43" s="1"/>
  <c r="BC284" i="43"/>
  <c r="DG284" i="43"/>
  <c r="Y284" i="43"/>
  <c r="DG242" i="43"/>
  <c r="Y242" i="43"/>
  <c r="BT242" i="43"/>
  <c r="BS242" i="43" s="1"/>
  <c r="CO242" i="43"/>
  <c r="CN242" i="43" s="1"/>
  <c r="BC242" i="43"/>
  <c r="BC231" i="43"/>
  <c r="CO231" i="43"/>
  <c r="CN231" i="43" s="1"/>
  <c r="Y231" i="43"/>
  <c r="DG231" i="43"/>
  <c r="BT231" i="43"/>
  <c r="BS231" i="43" s="1"/>
  <c r="CO105" i="43"/>
  <c r="CN105" i="43" s="1"/>
  <c r="AV105" i="43"/>
  <c r="BC105" i="43"/>
  <c r="Y105" i="43"/>
  <c r="BT105" i="43"/>
  <c r="BS105" i="43" s="1"/>
  <c r="DG105" i="43"/>
  <c r="T105" i="43"/>
  <c r="DC105" i="43"/>
  <c r="CJ105" i="43"/>
  <c r="DB105" i="43"/>
  <c r="DD105" i="43" s="1"/>
  <c r="EB105" i="43"/>
  <c r="BN105" i="43"/>
  <c r="BP105" i="43" s="1"/>
  <c r="BO105" i="43"/>
  <c r="CO230" i="43"/>
  <c r="CN230" i="43" s="1"/>
  <c r="DG230" i="43"/>
  <c r="BC230" i="43"/>
  <c r="Y230" i="43"/>
  <c r="BT230" i="43"/>
  <c r="BS230" i="43" s="1"/>
  <c r="CO143" i="43"/>
  <c r="CN143" i="43" s="1"/>
  <c r="BT143" i="43"/>
  <c r="BS143" i="43" s="1"/>
  <c r="AV143" i="43"/>
  <c r="BC143" i="43"/>
  <c r="DG143" i="43"/>
  <c r="Y143" i="43"/>
  <c r="T143" i="43"/>
  <c r="EB143" i="43"/>
  <c r="DC143" i="43"/>
  <c r="BO143" i="43"/>
  <c r="DB143" i="43"/>
  <c r="DD143" i="43" s="1"/>
  <c r="BN143" i="43"/>
  <c r="BP143" i="43" s="1"/>
  <c r="CJ143" i="43"/>
  <c r="BC140" i="43"/>
  <c r="CO140" i="43"/>
  <c r="CN140" i="43" s="1"/>
  <c r="AV140" i="43"/>
  <c r="DG140" i="43"/>
  <c r="Y140" i="43"/>
  <c r="BT140" i="43"/>
  <c r="BS140" i="43" s="1"/>
  <c r="T140" i="43"/>
  <c r="EB140" i="43"/>
  <c r="DC140" i="43"/>
  <c r="CJ140" i="43"/>
  <c r="BO140" i="43"/>
  <c r="DB140" i="43"/>
  <c r="DD140" i="43" s="1"/>
  <c r="BN140" i="43"/>
  <c r="BP140" i="43" s="1"/>
  <c r="AV72" i="43"/>
  <c r="BT72" i="43"/>
  <c r="BS72" i="43" s="1"/>
  <c r="CO72" i="43"/>
  <c r="CN72" i="43" s="1"/>
  <c r="DG72" i="43"/>
  <c r="Y72" i="43"/>
  <c r="BC72" i="43"/>
  <c r="T72" i="43"/>
  <c r="CJ72" i="43"/>
  <c r="EB72" i="43"/>
  <c r="BO72" i="43"/>
  <c r="DC72" i="43"/>
  <c r="DB72" i="43"/>
  <c r="DD72" i="43" s="1"/>
  <c r="BN72" i="43"/>
  <c r="BP72" i="43" s="1"/>
  <c r="BT281" i="43"/>
  <c r="BS281" i="43" s="1"/>
  <c r="Y281" i="43"/>
  <c r="DG281" i="43"/>
  <c r="BC281" i="43"/>
  <c r="CO281" i="43"/>
  <c r="CN281" i="43" s="1"/>
  <c r="BT90" i="43"/>
  <c r="BS90" i="43" s="1"/>
  <c r="Y90" i="43"/>
  <c r="T90" i="43"/>
  <c r="DG90" i="43"/>
  <c r="AV90" i="43"/>
  <c r="CO90" i="43"/>
  <c r="CN90" i="43" s="1"/>
  <c r="BC90" i="43"/>
  <c r="BN90" i="43"/>
  <c r="BP90" i="43" s="1"/>
  <c r="EB90" i="43"/>
  <c r="CJ90" i="43"/>
  <c r="DC90" i="43"/>
  <c r="BO90" i="43"/>
  <c r="DB90" i="43"/>
  <c r="DD90" i="43" s="1"/>
  <c r="Y226" i="43"/>
  <c r="DG226" i="43"/>
  <c r="BC226" i="43"/>
  <c r="BT226" i="43"/>
  <c r="BS226" i="43" s="1"/>
  <c r="CO226" i="43"/>
  <c r="CN226" i="43" s="1"/>
  <c r="CO223" i="43"/>
  <c r="CN223" i="43" s="1"/>
  <c r="BC223" i="43"/>
  <c r="DG223" i="43"/>
  <c r="BT223" i="43"/>
  <c r="BS223" i="43" s="1"/>
  <c r="Y223" i="43"/>
  <c r="DG154" i="43"/>
  <c r="Y154" i="43"/>
  <c r="CO154" i="43"/>
  <c r="CN154" i="43" s="1"/>
  <c r="AV154" i="43"/>
  <c r="BT154" i="43"/>
  <c r="BS154" i="43" s="1"/>
  <c r="BC154" i="43"/>
  <c r="T154" i="43"/>
  <c r="DC154" i="43"/>
  <c r="BN154" i="43"/>
  <c r="BP154" i="43" s="1"/>
  <c r="EB154" i="43"/>
  <c r="CJ154" i="43"/>
  <c r="DB154" i="43"/>
  <c r="DD154" i="43" s="1"/>
  <c r="BO154" i="43"/>
  <c r="BC219" i="43"/>
  <c r="DG219" i="43"/>
  <c r="BT219" i="43"/>
  <c r="BS219" i="43" s="1"/>
  <c r="CO219" i="43"/>
  <c r="CN219" i="43" s="1"/>
  <c r="Y219" i="43"/>
  <c r="DG129" i="43"/>
  <c r="BT129" i="43"/>
  <c r="BS129" i="43" s="1"/>
  <c r="Y129" i="43"/>
  <c r="AV129" i="43"/>
  <c r="CO129" i="43"/>
  <c r="CN129" i="43" s="1"/>
  <c r="T129" i="43"/>
  <c r="BC129" i="43"/>
  <c r="CJ129" i="43"/>
  <c r="BN129" i="43"/>
  <c r="BP129" i="43" s="1"/>
  <c r="EB129" i="43"/>
  <c r="BO129" i="43"/>
  <c r="DC129" i="43"/>
  <c r="DB129" i="43"/>
  <c r="DD129" i="43" s="1"/>
  <c r="BT156" i="43"/>
  <c r="BS156" i="43" s="1"/>
  <c r="CO156" i="43"/>
  <c r="CN156" i="43" s="1"/>
  <c r="BC156" i="43"/>
  <c r="DG156" i="43"/>
  <c r="AV156" i="43"/>
  <c r="Y156" i="43"/>
  <c r="T156" i="43"/>
  <c r="BO156" i="43"/>
  <c r="BN156" i="43"/>
  <c r="BP156" i="43" s="1"/>
  <c r="EB156" i="43"/>
  <c r="CJ156" i="43"/>
  <c r="DC156" i="43"/>
  <c r="DB156" i="43"/>
  <c r="DD156" i="43" s="1"/>
  <c r="BC69" i="43"/>
  <c r="AV69" i="43"/>
  <c r="CO69" i="43"/>
  <c r="CN69" i="43" s="1"/>
  <c r="DG69" i="43"/>
  <c r="T69" i="43"/>
  <c r="BT69" i="43"/>
  <c r="BS69" i="43" s="1"/>
  <c r="Y69" i="43"/>
  <c r="DC69" i="43"/>
  <c r="CJ69" i="43"/>
  <c r="DB69" i="43"/>
  <c r="DD69" i="43" s="1"/>
  <c r="BN69" i="43"/>
  <c r="BP69" i="43" s="1"/>
  <c r="BO69" i="43"/>
  <c r="EB69" i="43"/>
  <c r="Y214" i="43"/>
  <c r="DG214" i="43"/>
  <c r="BT214" i="43"/>
  <c r="BS214" i="43" s="1"/>
  <c r="CO214" i="43"/>
  <c r="CN214" i="43" s="1"/>
  <c r="BC214" i="43"/>
  <c r="BC133" i="43"/>
  <c r="T133" i="43"/>
  <c r="DG133" i="43"/>
  <c r="CO133" i="43"/>
  <c r="CN133" i="43" s="1"/>
  <c r="AV133" i="43"/>
  <c r="Y133" i="43"/>
  <c r="BT133" i="43"/>
  <c r="BS133" i="43" s="1"/>
  <c r="CJ133" i="43"/>
  <c r="BO133" i="43"/>
  <c r="BN133" i="43"/>
  <c r="BP133" i="43" s="1"/>
  <c r="DC133" i="43"/>
  <c r="EB133" i="43"/>
  <c r="DB133" i="43"/>
  <c r="DD133" i="43" s="1"/>
  <c r="DG85" i="43"/>
  <c r="BT85" i="43"/>
  <c r="BS85" i="43" s="1"/>
  <c r="AV85" i="43"/>
  <c r="CO85" i="43"/>
  <c r="CN85" i="43" s="1"/>
  <c r="Y85" i="43"/>
  <c r="T85" i="43"/>
  <c r="BC85" i="43"/>
  <c r="DB85" i="43"/>
  <c r="DD85" i="43" s="1"/>
  <c r="CJ85" i="43"/>
  <c r="BN85" i="43"/>
  <c r="BP85" i="43" s="1"/>
  <c r="EB85" i="43"/>
  <c r="DC85" i="43"/>
  <c r="BO85" i="43"/>
  <c r="CO275" i="43"/>
  <c r="CN275" i="43" s="1"/>
  <c r="DG275" i="43"/>
  <c r="BT275" i="43"/>
  <c r="BS275" i="43" s="1"/>
  <c r="Y275" i="43"/>
  <c r="BC275" i="43"/>
  <c r="BT283" i="43"/>
  <c r="BS283" i="43" s="1"/>
  <c r="BC283" i="43"/>
  <c r="Y283" i="43"/>
  <c r="DG283" i="43"/>
  <c r="CO283" i="43"/>
  <c r="CN283" i="43" s="1"/>
  <c r="AA183" i="43"/>
  <c r="AB183" i="43"/>
  <c r="HT183" i="43" s="1"/>
  <c r="HU183" i="43" s="1"/>
  <c r="HV183" i="43" s="1"/>
  <c r="BA183" i="43" s="1"/>
  <c r="FP183" i="43"/>
  <c r="N165" i="43"/>
  <c r="N161" i="43"/>
  <c r="CB263" i="24"/>
  <c r="CB298" i="24"/>
  <c r="CB344" i="24"/>
  <c r="CD373" i="24"/>
  <c r="CE373" i="24" s="1"/>
  <c r="CB377" i="24"/>
  <c r="L162" i="43"/>
  <c r="CB328" i="24"/>
  <c r="CB365" i="24"/>
  <c r="J15" i="22"/>
  <c r="N15" i="22" s="1"/>
  <c r="O15" i="22" s="1"/>
  <c r="G15" i="22"/>
  <c r="M16" i="22"/>
  <c r="E16" i="22"/>
  <c r="K16" i="22"/>
  <c r="L16" i="22"/>
  <c r="P16" i="22"/>
  <c r="A17" i="22"/>
  <c r="I16" i="22"/>
  <c r="D16" i="22"/>
  <c r="B16" i="22"/>
  <c r="H16" i="22"/>
  <c r="C16" i="22"/>
  <c r="G94" i="35"/>
  <c r="CB308" i="24"/>
  <c r="U17" i="44"/>
  <c r="T18" i="44"/>
  <c r="T19" i="44"/>
  <c r="T20" i="44"/>
  <c r="S20" i="44"/>
  <c r="T16" i="44"/>
  <c r="S16" i="44"/>
  <c r="S17" i="44"/>
  <c r="S19" i="44"/>
  <c r="S18" i="44"/>
  <c r="T17" i="44"/>
  <c r="U19" i="44"/>
  <c r="U20" i="44"/>
  <c r="U18" i="44"/>
  <c r="U16" i="44"/>
  <c r="AI352" i="24"/>
  <c r="AF352" i="24"/>
  <c r="AD352" i="24"/>
  <c r="AE352" i="24"/>
  <c r="AD334" i="24"/>
  <c r="AE334" i="24"/>
  <c r="AA333" i="24"/>
  <c r="AF334" i="24"/>
  <c r="AF328" i="24"/>
  <c r="AD328" i="24"/>
  <c r="AI328" i="24"/>
  <c r="AE328" i="24"/>
  <c r="AE312" i="24"/>
  <c r="W312" i="43"/>
  <c r="AF312" i="24"/>
  <c r="CB326" i="24"/>
  <c r="AD312" i="24"/>
  <c r="AI312" i="24"/>
  <c r="CB330" i="24"/>
  <c r="CB312" i="24"/>
  <c r="W308" i="43"/>
  <c r="AD308" i="24"/>
  <c r="AF308" i="24"/>
  <c r="AE306" i="24"/>
  <c r="AE308" i="24"/>
  <c r="AF306" i="24"/>
  <c r="AI308" i="24"/>
  <c r="AI306" i="24"/>
  <c r="W306" i="43"/>
  <c r="AD306" i="24"/>
  <c r="AI300" i="24"/>
  <c r="AE300" i="24"/>
  <c r="AF300" i="24"/>
  <c r="CB300" i="24"/>
  <c r="AD300" i="24"/>
  <c r="W300" i="43"/>
  <c r="W298" i="43"/>
  <c r="AF298" i="24"/>
  <c r="AD298" i="24"/>
  <c r="AA297" i="24"/>
  <c r="AE298" i="24"/>
  <c r="AD280" i="24"/>
  <c r="AD284" i="24"/>
  <c r="AE280" i="24"/>
  <c r="AD290" i="24"/>
  <c r="AI290" i="24"/>
  <c r="AF284" i="24"/>
  <c r="AI280" i="24"/>
  <c r="AF290" i="24"/>
  <c r="AF280" i="24"/>
  <c r="W280" i="43"/>
  <c r="AE290" i="24"/>
  <c r="W290" i="43"/>
  <c r="W284" i="43"/>
  <c r="AE284" i="24"/>
  <c r="AA283" i="24"/>
  <c r="CB284" i="24"/>
  <c r="CB290" i="24"/>
  <c r="AI282" i="24"/>
  <c r="AD282" i="24"/>
  <c r="W282" i="43"/>
  <c r="AE282" i="24"/>
  <c r="AF282" i="24"/>
  <c r="CB282" i="24"/>
  <c r="AD255" i="24"/>
  <c r="AE243" i="24"/>
  <c r="AI243" i="24"/>
  <c r="IB36" i="43"/>
  <c r="IC36" i="43" s="1"/>
  <c r="AI251" i="24"/>
  <c r="C11" i="30"/>
  <c r="AF251" i="24"/>
  <c r="AI255" i="24"/>
  <c r="AE255" i="24"/>
  <c r="W255" i="43"/>
  <c r="AA254" i="24"/>
  <c r="AA250" i="24"/>
  <c r="C12" i="30"/>
  <c r="AE251" i="24"/>
  <c r="W251" i="43"/>
  <c r="AD243" i="24"/>
  <c r="W243" i="43"/>
  <c r="AA242" i="24"/>
  <c r="F11" i="30"/>
  <c r="F12" i="30"/>
  <c r="J11" i="30"/>
  <c r="J12" i="30"/>
  <c r="K21" i="30"/>
  <c r="K22" i="30"/>
  <c r="K9" i="30"/>
  <c r="K19" i="30"/>
  <c r="K6" i="30"/>
  <c r="K20" i="30"/>
  <c r="K23" i="30"/>
  <c r="L7" i="30"/>
  <c r="K26" i="30"/>
  <c r="K27" i="30"/>
  <c r="K28" i="30"/>
  <c r="K17" i="30"/>
  <c r="K16" i="30"/>
  <c r="K15" i="30"/>
  <c r="K10" i="30"/>
  <c r="K14" i="30"/>
  <c r="AD288" i="24"/>
  <c r="AF288" i="24"/>
  <c r="AD286" i="24"/>
  <c r="AE286" i="24"/>
  <c r="AI288" i="24"/>
  <c r="W288" i="43"/>
  <c r="W286" i="43"/>
  <c r="AE288" i="24"/>
  <c r="CB288" i="24"/>
  <c r="CD288" i="24"/>
  <c r="CE288" i="24" s="1"/>
  <c r="CB302" i="24"/>
  <c r="CD302" i="24"/>
  <c r="CE302" i="24" s="1"/>
  <c r="CB216" i="24"/>
  <c r="CD216" i="24"/>
  <c r="CE216" i="24" s="1"/>
  <c r="CB286" i="24"/>
  <c r="CD286" i="24"/>
  <c r="CE286" i="24" s="1"/>
  <c r="CB211" i="24"/>
  <c r="CD211" i="24"/>
  <c r="CE211" i="24" s="1"/>
  <c r="CB303" i="24"/>
  <c r="CD303" i="24"/>
  <c r="CE303" i="24" s="1"/>
  <c r="AF292" i="24"/>
  <c r="AI286" i="24"/>
  <c r="AF286" i="24"/>
  <c r="AE263" i="24"/>
  <c r="D33" i="45"/>
  <c r="U33" i="45" s="1"/>
  <c r="AD340" i="24"/>
  <c r="W204" i="43"/>
  <c r="EO36" i="43"/>
  <c r="AE292" i="24"/>
  <c r="AI263" i="24"/>
  <c r="AD263" i="24"/>
  <c r="AF263" i="24"/>
  <c r="W292" i="43"/>
  <c r="AI217" i="24"/>
  <c r="EN16" i="43"/>
  <c r="EN32" i="43"/>
  <c r="AF331" i="24"/>
  <c r="AE278" i="24"/>
  <c r="AD292" i="24"/>
  <c r="AF217" i="24"/>
  <c r="AI50" i="43"/>
  <c r="HZ50" i="43" s="1"/>
  <c r="IB50" i="43" s="1"/>
  <c r="AE217" i="24"/>
  <c r="CB296" i="24"/>
  <c r="AI292" i="24"/>
  <c r="AD217" i="24"/>
  <c r="W217" i="43"/>
  <c r="AF204" i="24"/>
  <c r="AE216" i="24"/>
  <c r="AE294" i="24"/>
  <c r="AI294" i="24"/>
  <c r="AF216" i="24"/>
  <c r="AD294" i="24"/>
  <c r="W294" i="43"/>
  <c r="AD216" i="24"/>
  <c r="W216" i="43"/>
  <c r="AF294" i="24"/>
  <c r="AI216" i="24"/>
  <c r="EN14" i="43"/>
  <c r="AF340" i="24"/>
  <c r="AE340" i="24"/>
  <c r="AF296" i="24"/>
  <c r="AI340" i="24"/>
  <c r="IC28" i="43"/>
  <c r="HX28" i="43"/>
  <c r="HW28" i="43"/>
  <c r="IC40" i="43"/>
  <c r="HX40" i="43"/>
  <c r="HW40" i="43"/>
  <c r="IB14" i="43"/>
  <c r="ID14" i="43"/>
  <c r="IB38" i="43"/>
  <c r="ID38" i="43"/>
  <c r="IB32" i="43"/>
  <c r="ID32" i="43"/>
  <c r="IB21" i="43"/>
  <c r="ID21" i="43"/>
  <c r="IB49" i="43"/>
  <c r="IB34" i="43"/>
  <c r="ID34" i="43"/>
  <c r="IB16" i="43"/>
  <c r="ID16" i="43"/>
  <c r="IB42" i="43"/>
  <c r="ID42" i="43"/>
  <c r="IB29" i="43"/>
  <c r="ID29" i="43"/>
  <c r="IB52" i="43"/>
  <c r="ID52" i="43"/>
  <c r="IB30" i="43"/>
  <c r="ID30" i="43"/>
  <c r="IB25" i="43"/>
  <c r="ID25" i="43"/>
  <c r="IB44" i="43"/>
  <c r="ID44" i="43"/>
  <c r="IB37" i="43"/>
  <c r="IB48" i="43"/>
  <c r="D21" i="45"/>
  <c r="U21" i="45" s="1"/>
  <c r="HZ24" i="43"/>
  <c r="AI296" i="24"/>
  <c r="W211" i="43"/>
  <c r="AD296" i="24"/>
  <c r="W296" i="43"/>
  <c r="AE296" i="24"/>
  <c r="AF211" i="24"/>
  <c r="AI211" i="24"/>
  <c r="EO24" i="43"/>
  <c r="AE211" i="24"/>
  <c r="AA210" i="24"/>
  <c r="AD331" i="24"/>
  <c r="L160" i="43"/>
  <c r="AI331" i="24"/>
  <c r="AH43" i="43"/>
  <c r="AI43" i="43" s="1"/>
  <c r="HZ43" i="43" s="1"/>
  <c r="AE204" i="24"/>
  <c r="AA203" i="24"/>
  <c r="AE331" i="24"/>
  <c r="AD204" i="24"/>
  <c r="EN34" i="43"/>
  <c r="CB304" i="24"/>
  <c r="AI278" i="24"/>
  <c r="L159" i="43"/>
  <c r="EN25" i="43"/>
  <c r="AF278" i="24"/>
  <c r="AD278" i="24"/>
  <c r="W278" i="43"/>
  <c r="CM206" i="43"/>
  <c r="DJ206" i="43"/>
  <c r="AI206" i="24" s="1"/>
  <c r="L166" i="43"/>
  <c r="AH23" i="43"/>
  <c r="AI23" i="43" s="1"/>
  <c r="HZ23" i="43" s="1"/>
  <c r="CB277" i="24"/>
  <c r="CB289" i="24"/>
  <c r="CB301" i="24"/>
  <c r="CB227" i="24"/>
  <c r="CB237" i="24"/>
  <c r="CB231" i="24"/>
  <c r="CB275" i="24"/>
  <c r="CB283" i="24"/>
  <c r="CB258" i="24"/>
  <c r="CB199" i="24"/>
  <c r="CB242" i="24"/>
  <c r="CB210" i="24"/>
  <c r="CB285" i="24"/>
  <c r="CB291" i="24"/>
  <c r="CB234" i="24"/>
  <c r="CB287" i="24"/>
  <c r="CB262" i="24"/>
  <c r="CB222" i="24"/>
  <c r="CB208" i="24"/>
  <c r="CB241" i="24"/>
  <c r="CB246" i="24"/>
  <c r="CB230" i="24"/>
  <c r="CB295" i="24"/>
  <c r="CB273" i="24"/>
  <c r="CB166" i="24"/>
  <c r="CB219" i="24"/>
  <c r="CB218" i="24"/>
  <c r="CB276" i="24"/>
  <c r="CB266" i="24"/>
  <c r="CB254" i="24"/>
  <c r="CB162" i="24"/>
  <c r="CB223" i="24"/>
  <c r="CB225" i="24"/>
  <c r="CB281" i="24"/>
  <c r="CB226" i="24"/>
  <c r="CB236" i="24"/>
  <c r="CB215" i="24"/>
  <c r="CB297" i="24"/>
  <c r="CB160" i="24"/>
  <c r="CB172" i="24"/>
  <c r="CB193" i="24"/>
  <c r="CB214" i="24"/>
  <c r="CB279" i="24"/>
  <c r="CB229" i="24"/>
  <c r="CB293" i="24"/>
  <c r="CB278" i="24"/>
  <c r="CB180" i="24"/>
  <c r="CB239" i="24"/>
  <c r="CB250" i="24"/>
  <c r="CB299" i="24"/>
  <c r="CB235" i="24"/>
  <c r="CB159" i="24"/>
  <c r="CB221" i="24"/>
  <c r="J79" i="35"/>
  <c r="G79" i="35"/>
  <c r="H66" i="35"/>
  <c r="G66" i="35"/>
  <c r="U15" i="44"/>
  <c r="H94" i="35"/>
  <c r="BW205" i="24"/>
  <c r="CD205" i="24" s="1"/>
  <c r="CE205" i="24" s="1"/>
  <c r="H79" i="35"/>
  <c r="BW206" i="24"/>
  <c r="CD206" i="24" s="1"/>
  <c r="CE206" i="24" s="1"/>
  <c r="AH55" i="43"/>
  <c r="EN55" i="43" s="1"/>
  <c r="AH53" i="43"/>
  <c r="AI53" i="43" s="1"/>
  <c r="HZ53" i="43" s="1"/>
  <c r="EN49" i="43"/>
  <c r="I79" i="35"/>
  <c r="I94" i="35"/>
  <c r="J66" i="35"/>
  <c r="I66" i="35"/>
  <c r="W18" i="45"/>
  <c r="W19" i="45" s="1"/>
  <c r="EH47" i="43"/>
  <c r="EN30" i="43"/>
  <c r="EH53" i="43"/>
  <c r="AH51" i="43"/>
  <c r="AI51" i="43" s="1"/>
  <c r="HZ51" i="43" s="1"/>
  <c r="K94" i="35"/>
  <c r="J94" i="35"/>
  <c r="T14" i="44"/>
  <c r="K79" i="35"/>
  <c r="S15" i="44"/>
  <c r="K66" i="35"/>
  <c r="EH23" i="43"/>
  <c r="EH162" i="43"/>
  <c r="EH55" i="43"/>
  <c r="EH43" i="43"/>
  <c r="EH203" i="43"/>
  <c r="E33" i="35"/>
  <c r="S10" i="44"/>
  <c r="EH51" i="43"/>
  <c r="DJ78" i="43"/>
  <c r="AA77" i="24" s="1"/>
  <c r="BR78" i="43"/>
  <c r="Z56" i="24"/>
  <c r="DJ98" i="43"/>
  <c r="AA97" i="24" s="1"/>
  <c r="BR98" i="43"/>
  <c r="Z78" i="24"/>
  <c r="BR110" i="43"/>
  <c r="DJ110" i="43"/>
  <c r="AA109" i="24" s="1"/>
  <c r="DJ150" i="43"/>
  <c r="BR150" i="43"/>
  <c r="DJ79" i="43"/>
  <c r="BR79" i="43"/>
  <c r="DF67" i="43"/>
  <c r="W304" i="43"/>
  <c r="AE304" i="24"/>
  <c r="AD304" i="24"/>
  <c r="AI304" i="24"/>
  <c r="AF304" i="24"/>
  <c r="DF158" i="43"/>
  <c r="U10" i="44"/>
  <c r="Z97" i="24"/>
  <c r="Z149" i="24"/>
  <c r="DF138" i="43"/>
  <c r="CM138" i="43"/>
  <c r="DF86" i="43"/>
  <c r="W92" i="43"/>
  <c r="AD92" i="24"/>
  <c r="AI92" i="24"/>
  <c r="AE92" i="24"/>
  <c r="AF92" i="24"/>
  <c r="W199" i="43"/>
  <c r="EY199" i="43"/>
  <c r="AD199" i="24"/>
  <c r="AE199" i="24"/>
  <c r="AI199" i="24"/>
  <c r="AF199" i="24"/>
  <c r="AI19" i="43"/>
  <c r="HZ19" i="43" s="1"/>
  <c r="EN19" i="43"/>
  <c r="AI45" i="43"/>
  <c r="HZ45" i="43" s="1"/>
  <c r="EN45" i="43"/>
  <c r="W103" i="43"/>
  <c r="AI103" i="24"/>
  <c r="AF103" i="24"/>
  <c r="AE103" i="24"/>
  <c r="AD103" i="24"/>
  <c r="AI27" i="43"/>
  <c r="HZ27" i="43" s="1"/>
  <c r="EN27" i="43"/>
  <c r="W276" i="43"/>
  <c r="AI276" i="24"/>
  <c r="AD276" i="24"/>
  <c r="AE276" i="24"/>
  <c r="AF276" i="24"/>
  <c r="W237" i="43"/>
  <c r="AE237" i="24"/>
  <c r="AD237" i="24"/>
  <c r="AF237" i="24"/>
  <c r="AI237" i="24"/>
  <c r="W101" i="43"/>
  <c r="AD101" i="24"/>
  <c r="AI101" i="24"/>
  <c r="AE101" i="24"/>
  <c r="AF101" i="24"/>
  <c r="W93" i="43"/>
  <c r="AD93" i="24"/>
  <c r="AI93" i="24"/>
  <c r="AE93" i="24"/>
  <c r="AF93" i="24"/>
  <c r="AA303" i="24"/>
  <c r="W229" i="43"/>
  <c r="AD229" i="24"/>
  <c r="AI229" i="24"/>
  <c r="AE229" i="24"/>
  <c r="AF229" i="24"/>
  <c r="D11" i="45"/>
  <c r="U11" i="45" s="1"/>
  <c r="EO14" i="43"/>
  <c r="DF142" i="43"/>
  <c r="CM142" i="43"/>
  <c r="CM57" i="43"/>
  <c r="DF98" i="43"/>
  <c r="CM110" i="43"/>
  <c r="CM79" i="43"/>
  <c r="W277" i="43"/>
  <c r="AI277" i="24"/>
  <c r="AF277" i="24"/>
  <c r="AE277" i="24"/>
  <c r="AD277" i="24"/>
  <c r="Z107" i="24"/>
  <c r="AI20" i="43"/>
  <c r="HZ20" i="43" s="1"/>
  <c r="EN20" i="43"/>
  <c r="W254" i="43"/>
  <c r="AI254" i="24"/>
  <c r="AE254" i="24"/>
  <c r="AD254" i="24"/>
  <c r="AF254" i="24"/>
  <c r="DJ126" i="43"/>
  <c r="AA125" i="24" s="1"/>
  <c r="BR126" i="43"/>
  <c r="W242" i="43"/>
  <c r="AI242" i="24"/>
  <c r="AD242" i="24"/>
  <c r="AF242" i="24"/>
  <c r="AE242" i="24"/>
  <c r="W231" i="43"/>
  <c r="AD231" i="24"/>
  <c r="AI231" i="24"/>
  <c r="AE231" i="24"/>
  <c r="AF231" i="24"/>
  <c r="D13" i="45"/>
  <c r="U13" i="45" s="1"/>
  <c r="EO16" i="43"/>
  <c r="D27" i="45"/>
  <c r="U27" i="45" s="1"/>
  <c r="EO30" i="43"/>
  <c r="W131" i="43"/>
  <c r="AE131" i="24"/>
  <c r="AD131" i="24"/>
  <c r="AI131" i="24"/>
  <c r="AF131" i="24"/>
  <c r="AA100" i="24"/>
  <c r="W69" i="43"/>
  <c r="AI69" i="24"/>
  <c r="AE69" i="24"/>
  <c r="AD69" i="24"/>
  <c r="AF69" i="24"/>
  <c r="DJ63" i="43"/>
  <c r="AA62" i="24" s="1"/>
  <c r="BR63" i="43"/>
  <c r="Z117" i="24"/>
  <c r="AA253" i="24"/>
  <c r="AI336" i="24"/>
  <c r="AD336" i="24"/>
  <c r="AF336" i="24"/>
  <c r="AE336" i="24"/>
  <c r="D72" i="34"/>
  <c r="D68" i="34"/>
  <c r="D63" i="34"/>
  <c r="D57" i="34"/>
  <c r="D52" i="34"/>
  <c r="D46" i="34"/>
  <c r="D42" i="34"/>
  <c r="D37" i="34"/>
  <c r="D33" i="34"/>
  <c r="D25" i="34"/>
  <c r="D20" i="34"/>
  <c r="D15" i="34"/>
  <c r="D11" i="34"/>
  <c r="D71" i="34"/>
  <c r="D66" i="34"/>
  <c r="D61" i="34"/>
  <c r="D56" i="34"/>
  <c r="D51" i="34"/>
  <c r="D45" i="34"/>
  <c r="D41" i="34"/>
  <c r="D36" i="34"/>
  <c r="D32" i="34"/>
  <c r="D28" i="34"/>
  <c r="D24" i="34"/>
  <c r="D19" i="34"/>
  <c r="D14" i="34"/>
  <c r="D10" i="34"/>
  <c r="D73" i="34"/>
  <c r="D69" i="34"/>
  <c r="D64" i="34"/>
  <c r="D58" i="34"/>
  <c r="D53" i="34"/>
  <c r="D48" i="34"/>
  <c r="D43" i="34"/>
  <c r="D38" i="34"/>
  <c r="D34" i="34"/>
  <c r="D30" i="34"/>
  <c r="D26" i="34"/>
  <c r="D16" i="34"/>
  <c r="D12" i="34"/>
  <c r="C7" i="34"/>
  <c r="C29" i="34" s="1"/>
  <c r="D6" i="34"/>
  <c r="D65" i="34"/>
  <c r="D44" i="34"/>
  <c r="D27" i="34"/>
  <c r="D60" i="34"/>
  <c r="D40" i="34"/>
  <c r="D23" i="34"/>
  <c r="D74" i="34"/>
  <c r="D54" i="34"/>
  <c r="D35" i="34"/>
  <c r="D18" i="34"/>
  <c r="D70" i="34"/>
  <c r="D49" i="34"/>
  <c r="D31" i="34"/>
  <c r="D13" i="34"/>
  <c r="W74" i="43"/>
  <c r="AE74" i="24"/>
  <c r="AD74" i="24"/>
  <c r="AI74" i="24"/>
  <c r="AF74" i="24"/>
  <c r="EH160" i="43"/>
  <c r="DF110" i="43"/>
  <c r="DJ146" i="43"/>
  <c r="BR146" i="43"/>
  <c r="DJ75" i="43"/>
  <c r="AA74" i="24" s="1"/>
  <c r="BR75" i="43"/>
  <c r="DJ134" i="43"/>
  <c r="AA133" i="24" s="1"/>
  <c r="BR134" i="43"/>
  <c r="T12" i="44"/>
  <c r="CM102" i="43"/>
  <c r="DF82" i="43"/>
  <c r="W281" i="43"/>
  <c r="AI281" i="24"/>
  <c r="AD281" i="24"/>
  <c r="AF281" i="24"/>
  <c r="AE281" i="24"/>
  <c r="W287" i="43"/>
  <c r="AE287" i="24"/>
  <c r="AI287" i="24"/>
  <c r="AD287" i="24"/>
  <c r="AF287" i="24"/>
  <c r="CM59" i="43"/>
  <c r="W68" i="43"/>
  <c r="AD68" i="24"/>
  <c r="AI68" i="24"/>
  <c r="AE68" i="24"/>
  <c r="AF68" i="24"/>
  <c r="W43" i="43"/>
  <c r="AI43" i="24"/>
  <c r="AE43" i="24"/>
  <c r="AD43" i="24"/>
  <c r="AF43" i="24"/>
  <c r="W70" i="43"/>
  <c r="AD70" i="24"/>
  <c r="AE70" i="24"/>
  <c r="AI70" i="24"/>
  <c r="AF70" i="24"/>
  <c r="AI22" i="43"/>
  <c r="HZ22" i="43" s="1"/>
  <c r="EN22" i="43"/>
  <c r="DF126" i="43"/>
  <c r="CM126" i="43"/>
  <c r="W246" i="43"/>
  <c r="AI246" i="24"/>
  <c r="AE246" i="24"/>
  <c r="AD246" i="24"/>
  <c r="AF246" i="24"/>
  <c r="W227" i="43"/>
  <c r="AI227" i="24"/>
  <c r="AD227" i="24"/>
  <c r="AE227" i="24"/>
  <c r="AF227" i="24"/>
  <c r="W221" i="43"/>
  <c r="AI221" i="24"/>
  <c r="AE221" i="24"/>
  <c r="AD221" i="24"/>
  <c r="AF221" i="24"/>
  <c r="DF118" i="43"/>
  <c r="CM118" i="43"/>
  <c r="AA165" i="24"/>
  <c r="DJ57" i="43"/>
  <c r="BR57" i="43"/>
  <c r="Z66" i="24"/>
  <c r="AA220" i="24"/>
  <c r="W152" i="43"/>
  <c r="AF152" i="24"/>
  <c r="AE152" i="24"/>
  <c r="AD152" i="24"/>
  <c r="AI152" i="24"/>
  <c r="W137" i="43"/>
  <c r="AI137" i="24"/>
  <c r="AE137" i="24"/>
  <c r="AD137" i="24"/>
  <c r="AF137" i="24"/>
  <c r="W297" i="43"/>
  <c r="AD297" i="24"/>
  <c r="AI297" i="24"/>
  <c r="AE297" i="24"/>
  <c r="AF297" i="24"/>
  <c r="W210" i="43"/>
  <c r="AE210" i="24"/>
  <c r="AD210" i="24"/>
  <c r="AI210" i="24"/>
  <c r="AF210" i="24"/>
  <c r="W117" i="43"/>
  <c r="AD117" i="24"/>
  <c r="AE117" i="24"/>
  <c r="AI117" i="24"/>
  <c r="AF117" i="24"/>
  <c r="D18" i="45"/>
  <c r="U18" i="45" s="1"/>
  <c r="EO21" i="43"/>
  <c r="W107" i="43"/>
  <c r="AI107" i="24"/>
  <c r="AD107" i="24"/>
  <c r="AE107" i="24"/>
  <c r="AF107" i="24"/>
  <c r="W119" i="43"/>
  <c r="AE119" i="24"/>
  <c r="AD119" i="24"/>
  <c r="AI119" i="24"/>
  <c r="AF119" i="24"/>
  <c r="AE344" i="24"/>
  <c r="AI344" i="24"/>
  <c r="AD344" i="24"/>
  <c r="AF344" i="24"/>
  <c r="CM158" i="43"/>
  <c r="W234" i="43"/>
  <c r="AI234" i="24"/>
  <c r="AE234" i="24"/>
  <c r="AD234" i="24"/>
  <c r="AF234" i="24"/>
  <c r="W62" i="43"/>
  <c r="AE62" i="24"/>
  <c r="AD62" i="24"/>
  <c r="AI62" i="24"/>
  <c r="AF62" i="24"/>
  <c r="AE361" i="24"/>
  <c r="AD361" i="24"/>
  <c r="AI361" i="24"/>
  <c r="AF361" i="24"/>
  <c r="W76" i="43"/>
  <c r="AD76" i="24"/>
  <c r="AI76" i="24"/>
  <c r="AE76" i="24"/>
  <c r="AF76" i="24"/>
  <c r="W285" i="43"/>
  <c r="AI285" i="24"/>
  <c r="AE285" i="24"/>
  <c r="AD285" i="24"/>
  <c r="AF285" i="24"/>
  <c r="W291" i="43"/>
  <c r="AD291" i="24"/>
  <c r="AE291" i="24"/>
  <c r="AI291" i="24"/>
  <c r="AF291" i="24"/>
  <c r="DF57" i="43"/>
  <c r="Z101" i="24"/>
  <c r="W218" i="43"/>
  <c r="AE218" i="24"/>
  <c r="AD218" i="24"/>
  <c r="AF218" i="24"/>
  <c r="AI218" i="24"/>
  <c r="BR108" i="43"/>
  <c r="DJ108" i="43"/>
  <c r="S13" i="44"/>
  <c r="BS23" i="43"/>
  <c r="DF78" i="43"/>
  <c r="W66" i="43"/>
  <c r="AE66" i="24"/>
  <c r="AD66" i="24"/>
  <c r="AI66" i="24"/>
  <c r="AF66" i="24"/>
  <c r="L94" i="35"/>
  <c r="DF205" i="43"/>
  <c r="W135" i="43"/>
  <c r="AI135" i="24"/>
  <c r="AE135" i="24"/>
  <c r="AD135" i="24"/>
  <c r="AF135" i="24"/>
  <c r="W129" i="43"/>
  <c r="AD129" i="24"/>
  <c r="AE129" i="24"/>
  <c r="AI129" i="24"/>
  <c r="AF129" i="24"/>
  <c r="W85" i="43"/>
  <c r="AD85" i="24"/>
  <c r="AI85" i="24"/>
  <c r="AE85" i="24"/>
  <c r="AF85" i="24"/>
  <c r="Z125" i="24"/>
  <c r="W72" i="43"/>
  <c r="AE72" i="24"/>
  <c r="AD72" i="24"/>
  <c r="AI72" i="24"/>
  <c r="AF72" i="24"/>
  <c r="AA134" i="24"/>
  <c r="AA275" i="24"/>
  <c r="W215" i="43"/>
  <c r="AI215" i="24"/>
  <c r="AD215" i="24"/>
  <c r="AF215" i="24"/>
  <c r="AE215" i="24"/>
  <c r="W230" i="43"/>
  <c r="AF230" i="24"/>
  <c r="AI230" i="24"/>
  <c r="AE230" i="24"/>
  <c r="AD230" i="24"/>
  <c r="W208" i="43"/>
  <c r="AE208" i="24"/>
  <c r="AD208" i="24"/>
  <c r="AI208" i="24"/>
  <c r="AF208" i="24"/>
  <c r="W104" i="43"/>
  <c r="AE104" i="24"/>
  <c r="AI104" i="24"/>
  <c r="AD104" i="24"/>
  <c r="AF104" i="24"/>
  <c r="U14" i="44"/>
  <c r="DJ122" i="43"/>
  <c r="AA121" i="24" s="1"/>
  <c r="BR122" i="43"/>
  <c r="W214" i="43"/>
  <c r="AD214" i="24"/>
  <c r="AE214" i="24"/>
  <c r="AI214" i="24"/>
  <c r="AF214" i="24"/>
  <c r="AI262" i="24"/>
  <c r="AE262" i="24"/>
  <c r="AF262" i="24"/>
  <c r="AD262" i="24"/>
  <c r="D22" i="45"/>
  <c r="U22" i="45" s="1"/>
  <c r="EO25" i="43"/>
  <c r="E21" i="34"/>
  <c r="EH166" i="43"/>
  <c r="W235" i="43"/>
  <c r="AI235" i="24"/>
  <c r="AD235" i="24"/>
  <c r="AF235" i="24"/>
  <c r="AE235" i="24"/>
  <c r="AA61" i="24"/>
  <c r="W160" i="43"/>
  <c r="AI160" i="24"/>
  <c r="AE160" i="24"/>
  <c r="AD160" i="24"/>
  <c r="AF160" i="24"/>
  <c r="AA103" i="24"/>
  <c r="Z70" i="24"/>
  <c r="DJ94" i="43"/>
  <c r="AA93" i="24" s="1"/>
  <c r="BR94" i="43"/>
  <c r="Z145" i="24"/>
  <c r="DF79" i="43"/>
  <c r="Z133" i="24"/>
  <c r="DJ102" i="43"/>
  <c r="S12" i="44"/>
  <c r="BR102" i="43"/>
  <c r="AA217" i="24"/>
  <c r="DJ86" i="43"/>
  <c r="AA85" i="24" s="1"/>
  <c r="BR86" i="43"/>
  <c r="W143" i="43"/>
  <c r="AI143" i="24"/>
  <c r="AE143" i="24"/>
  <c r="AD143" i="24"/>
  <c r="AF143" i="24"/>
  <c r="W283" i="43"/>
  <c r="AI283" i="24"/>
  <c r="AF283" i="24"/>
  <c r="AE283" i="24"/>
  <c r="AD283" i="24"/>
  <c r="AA236" i="24"/>
  <c r="W55" i="43"/>
  <c r="AE55" i="24"/>
  <c r="AD55" i="24"/>
  <c r="AF55" i="24"/>
  <c r="AI55" i="24"/>
  <c r="AA42" i="24"/>
  <c r="AA230" i="24"/>
  <c r="EH202" i="43"/>
  <c r="DF122" i="43"/>
  <c r="CM122" i="43"/>
  <c r="W127" i="43"/>
  <c r="AE127" i="24"/>
  <c r="AD127" i="24"/>
  <c r="AI127" i="24"/>
  <c r="AF127" i="24"/>
  <c r="AA261" i="24"/>
  <c r="AA128" i="24"/>
  <c r="CM94" i="43"/>
  <c r="CM75" i="43"/>
  <c r="DJ138" i="43"/>
  <c r="AA137" i="24" s="1"/>
  <c r="BR138" i="43"/>
  <c r="DJ67" i="43"/>
  <c r="AA66" i="24" s="1"/>
  <c r="BR67" i="43"/>
  <c r="W219" i="43"/>
  <c r="AI219" i="24"/>
  <c r="AD219" i="24"/>
  <c r="AE219" i="24"/>
  <c r="AF219" i="24"/>
  <c r="W149" i="43"/>
  <c r="AE149" i="24"/>
  <c r="AI149" i="24"/>
  <c r="AD149" i="24"/>
  <c r="AF149" i="24"/>
  <c r="W226" i="43"/>
  <c r="AI226" i="24"/>
  <c r="AF226" i="24"/>
  <c r="AE226" i="24"/>
  <c r="AD226" i="24"/>
  <c r="D41" i="45"/>
  <c r="U41" i="45" s="1"/>
  <c r="EO44" i="43"/>
  <c r="DF59" i="43"/>
  <c r="AA241" i="24"/>
  <c r="T10" i="44"/>
  <c r="AI326" i="24"/>
  <c r="AF326" i="24"/>
  <c r="AE326" i="24"/>
  <c r="AD326" i="24"/>
  <c r="D34" i="45"/>
  <c r="U34" i="45" s="1"/>
  <c r="EO37" i="43"/>
  <c r="W303" i="43"/>
  <c r="AI303" i="24"/>
  <c r="AE303" i="24"/>
  <c r="AD303" i="24"/>
  <c r="AF303" i="24"/>
  <c r="AA245" i="24"/>
  <c r="AA54" i="24"/>
  <c r="W147" i="43"/>
  <c r="AI147" i="24"/>
  <c r="AE147" i="24"/>
  <c r="AD147" i="24"/>
  <c r="AF147" i="24"/>
  <c r="CN23" i="43"/>
  <c r="D45" i="45"/>
  <c r="U45" i="45" s="1"/>
  <c r="EO48" i="43"/>
  <c r="T15" i="44"/>
  <c r="EY172" i="43"/>
  <c r="EZ172" i="43" s="1"/>
  <c r="W172" i="43"/>
  <c r="AE172" i="24"/>
  <c r="AI172" i="24"/>
  <c r="AD172" i="24"/>
  <c r="AF172" i="24"/>
  <c r="Z109" i="24"/>
  <c r="DF75" i="43"/>
  <c r="CM67" i="43"/>
  <c r="CM86" i="43"/>
  <c r="W156" i="43"/>
  <c r="AD156" i="24"/>
  <c r="AE156" i="24"/>
  <c r="AI156" i="24"/>
  <c r="AF156" i="24"/>
  <c r="W302" i="43"/>
  <c r="AE302" i="24"/>
  <c r="AD302" i="24"/>
  <c r="AI302" i="24"/>
  <c r="AF302" i="24"/>
  <c r="Z77" i="24"/>
  <c r="AI33" i="43"/>
  <c r="HZ33" i="43" s="1"/>
  <c r="EN33" i="43"/>
  <c r="W89" i="43"/>
  <c r="AD89" i="24"/>
  <c r="AI89" i="24"/>
  <c r="AE89" i="24"/>
  <c r="AF89" i="24"/>
  <c r="O9" i="22"/>
  <c r="W162" i="43"/>
  <c r="AE162" i="24"/>
  <c r="AI162" i="24"/>
  <c r="AD162" i="24"/>
  <c r="AF162" i="24"/>
  <c r="AA75" i="24"/>
  <c r="AA65" i="24"/>
  <c r="W250" i="43"/>
  <c r="AI250" i="24"/>
  <c r="AF250" i="24"/>
  <c r="AE250" i="24"/>
  <c r="AD250" i="24"/>
  <c r="AA233" i="24"/>
  <c r="W241" i="43"/>
  <c r="AE241" i="24"/>
  <c r="AD241" i="24"/>
  <c r="AF241" i="24"/>
  <c r="AI241" i="24"/>
  <c r="AA343" i="24"/>
  <c r="CM98" i="43"/>
  <c r="DF150" i="43"/>
  <c r="CM150" i="43"/>
  <c r="DJ114" i="43"/>
  <c r="AA113" i="24" s="1"/>
  <c r="BR114" i="43"/>
  <c r="Z58" i="24"/>
  <c r="W123" i="43"/>
  <c r="AE123" i="24"/>
  <c r="AD123" i="24"/>
  <c r="AI123" i="24"/>
  <c r="AF123" i="24"/>
  <c r="W155" i="43"/>
  <c r="AE155" i="24"/>
  <c r="AI155" i="24"/>
  <c r="AD155" i="24"/>
  <c r="AF155" i="24"/>
  <c r="AA88" i="24"/>
  <c r="W60" i="43"/>
  <c r="AD60" i="24"/>
  <c r="AI60" i="24"/>
  <c r="AE60" i="24"/>
  <c r="AF60" i="24"/>
  <c r="AA198" i="24"/>
  <c r="W266" i="43"/>
  <c r="AI266" i="24"/>
  <c r="AE266" i="24"/>
  <c r="AF266" i="24"/>
  <c r="AD266" i="24"/>
  <c r="AE367" i="24"/>
  <c r="AI367" i="24"/>
  <c r="AD367" i="24"/>
  <c r="AF367" i="24"/>
  <c r="Z121" i="24"/>
  <c r="W111" i="43"/>
  <c r="AE111" i="24"/>
  <c r="AD111" i="24"/>
  <c r="AI111" i="24"/>
  <c r="AF111" i="24"/>
  <c r="AA161" i="24"/>
  <c r="EY166" i="43"/>
  <c r="EZ166" i="43" s="1"/>
  <c r="W166" i="43"/>
  <c r="AE166" i="24"/>
  <c r="AI166" i="24"/>
  <c r="AD166" i="24"/>
  <c r="AF166" i="24"/>
  <c r="DJ142" i="43"/>
  <c r="AA141" i="24" s="1"/>
  <c r="BR142" i="43"/>
  <c r="DJ71" i="43"/>
  <c r="S11" i="44"/>
  <c r="BR71" i="43"/>
  <c r="DF114" i="43"/>
  <c r="CM114" i="43"/>
  <c r="U12" i="44"/>
  <c r="DF102" i="43"/>
  <c r="CM82" i="43"/>
  <c r="CM108" i="43"/>
  <c r="W293" i="43"/>
  <c r="AE293" i="24"/>
  <c r="AD293" i="24"/>
  <c r="AI293" i="24"/>
  <c r="AF293" i="24"/>
  <c r="EY193" i="43"/>
  <c r="AF193" i="24"/>
  <c r="AE193" i="24"/>
  <c r="AI193" i="24"/>
  <c r="AD193" i="24"/>
  <c r="DJ158" i="43"/>
  <c r="BR158" i="43"/>
  <c r="D35" i="45"/>
  <c r="U35" i="45" s="1"/>
  <c r="EO38" i="43"/>
  <c r="D7" i="45"/>
  <c r="U7" i="45" s="1"/>
  <c r="D46" i="45"/>
  <c r="U46" i="45" s="1"/>
  <c r="EO49" i="43"/>
  <c r="AI54" i="43"/>
  <c r="EN54" i="43"/>
  <c r="AA265" i="24"/>
  <c r="W139" i="43"/>
  <c r="AI139" i="24"/>
  <c r="AE139" i="24"/>
  <c r="AD139" i="24"/>
  <c r="AF139" i="24"/>
  <c r="W105" i="43"/>
  <c r="AI105" i="24"/>
  <c r="AE105" i="24"/>
  <c r="AF105" i="24"/>
  <c r="AD105" i="24"/>
  <c r="W115" i="43"/>
  <c r="AE115" i="24"/>
  <c r="AD115" i="24"/>
  <c r="AI115" i="24"/>
  <c r="AF115" i="24"/>
  <c r="D31" i="45"/>
  <c r="U31" i="45" s="1"/>
  <c r="EO34" i="43"/>
  <c r="AE332" i="24"/>
  <c r="AD332" i="24"/>
  <c r="AF332" i="24"/>
  <c r="AI332" i="24"/>
  <c r="AA280" i="24"/>
  <c r="AA68" i="24"/>
  <c r="W140" i="43"/>
  <c r="AE140" i="24"/>
  <c r="AD140" i="24"/>
  <c r="AF140" i="24"/>
  <c r="AI140" i="24"/>
  <c r="W141" i="43"/>
  <c r="AE141" i="24"/>
  <c r="AI141" i="24"/>
  <c r="AD141" i="24"/>
  <c r="AF141" i="24"/>
  <c r="D49" i="45"/>
  <c r="U49" i="45" s="1"/>
  <c r="EO52" i="43"/>
  <c r="W136" i="43"/>
  <c r="AE136" i="24"/>
  <c r="AD136" i="24"/>
  <c r="AI136" i="24"/>
  <c r="AF136" i="24"/>
  <c r="W83" i="43"/>
  <c r="AI83" i="24"/>
  <c r="AF83" i="24"/>
  <c r="AE83" i="24"/>
  <c r="AD83" i="24"/>
  <c r="Z137" i="24"/>
  <c r="DJ82" i="43"/>
  <c r="AA81" i="24" s="1"/>
  <c r="BR82" i="43"/>
  <c r="DF108" i="43"/>
  <c r="W225" i="43"/>
  <c r="AI225" i="24"/>
  <c r="AD225" i="24"/>
  <c r="AE225" i="24"/>
  <c r="AF225" i="24"/>
  <c r="EH159" i="43"/>
  <c r="AI258" i="24"/>
  <c r="AF258" i="24"/>
  <c r="AE258" i="24"/>
  <c r="AD258" i="24"/>
  <c r="AA102" i="24"/>
  <c r="D26" i="45"/>
  <c r="U26" i="45" s="1"/>
  <c r="EO29" i="43"/>
  <c r="W299" i="43"/>
  <c r="AI299" i="24"/>
  <c r="AE299" i="24"/>
  <c r="AD299" i="24"/>
  <c r="AF299" i="24"/>
  <c r="AA126" i="24"/>
  <c r="W239" i="43"/>
  <c r="AE239" i="24"/>
  <c r="AF239" i="24"/>
  <c r="AD239" i="24"/>
  <c r="AI239" i="24"/>
  <c r="W157" i="43"/>
  <c r="AD157" i="24"/>
  <c r="AI157" i="24"/>
  <c r="AE157" i="24"/>
  <c r="AF157" i="24"/>
  <c r="DF63" i="43"/>
  <c r="W154" i="43"/>
  <c r="AF154" i="24"/>
  <c r="AI154" i="24"/>
  <c r="AE154" i="24"/>
  <c r="AD154" i="24"/>
  <c r="DJ130" i="43"/>
  <c r="AA129" i="24" s="1"/>
  <c r="BR130" i="43"/>
  <c r="W81" i="43"/>
  <c r="AD81" i="24"/>
  <c r="AI81" i="24"/>
  <c r="AE81" i="24"/>
  <c r="AF81" i="24"/>
  <c r="W279" i="43"/>
  <c r="AE279" i="24"/>
  <c r="AD279" i="24"/>
  <c r="AI279" i="24"/>
  <c r="AF279" i="24"/>
  <c r="W236" i="43"/>
  <c r="AI236" i="24"/>
  <c r="AE236" i="24"/>
  <c r="AF236" i="24"/>
  <c r="AD236" i="24"/>
  <c r="W223" i="43"/>
  <c r="AI223" i="24"/>
  <c r="AD223" i="24"/>
  <c r="AE223" i="24"/>
  <c r="AF223" i="24"/>
  <c r="DJ205" i="43"/>
  <c r="L66" i="35"/>
  <c r="BR205" i="43"/>
  <c r="AI15" i="43"/>
  <c r="HZ15" i="43" s="1"/>
  <c r="EN15" i="43"/>
  <c r="W47" i="43"/>
  <c r="AI47" i="24"/>
  <c r="AE47" i="24"/>
  <c r="AD47" i="24"/>
  <c r="AF47" i="24"/>
  <c r="AI46" i="43"/>
  <c r="HZ46" i="43" s="1"/>
  <c r="EN46" i="43"/>
  <c r="W273" i="43"/>
  <c r="AD273" i="24"/>
  <c r="AE273" i="24"/>
  <c r="AI273" i="24"/>
  <c r="AF273" i="24"/>
  <c r="DF130" i="43"/>
  <c r="CM130" i="43"/>
  <c r="W289" i="43"/>
  <c r="AI289" i="24"/>
  <c r="AD289" i="24"/>
  <c r="AE289" i="24"/>
  <c r="AF289" i="24"/>
  <c r="T13" i="44"/>
  <c r="AA155" i="24"/>
  <c r="Z113" i="24"/>
  <c r="Z81" i="24"/>
  <c r="AI56" i="43"/>
  <c r="HZ56" i="43" s="1"/>
  <c r="EN56" i="43"/>
  <c r="DJ59" i="43"/>
  <c r="BR59" i="43"/>
  <c r="W132" i="43"/>
  <c r="AI132" i="24"/>
  <c r="AE132" i="24"/>
  <c r="AF132" i="24"/>
  <c r="AD132" i="24"/>
  <c r="W23" i="43"/>
  <c r="AE23" i="24"/>
  <c r="AI23" i="24"/>
  <c r="AD23" i="24"/>
  <c r="AF23" i="24"/>
  <c r="CM78" i="43"/>
  <c r="Z204" i="24"/>
  <c r="L79" i="35"/>
  <c r="CM205" i="43"/>
  <c r="W109" i="43"/>
  <c r="AE109" i="24"/>
  <c r="AD109" i="24"/>
  <c r="AI109" i="24"/>
  <c r="AF109" i="24"/>
  <c r="E103" i="35"/>
  <c r="E95" i="35"/>
  <c r="E83" i="35"/>
  <c r="E75" i="35"/>
  <c r="E67" i="35"/>
  <c r="E55" i="35"/>
  <c r="E46" i="35"/>
  <c r="E42" i="35"/>
  <c r="E37" i="35"/>
  <c r="E29" i="35"/>
  <c r="E16" i="35"/>
  <c r="E12" i="35"/>
  <c r="E8" i="35"/>
  <c r="D4" i="35"/>
  <c r="E3" i="35"/>
  <c r="E102" i="35"/>
  <c r="E90" i="35"/>
  <c r="E82" i="35"/>
  <c r="E74" i="35"/>
  <c r="E70" i="35"/>
  <c r="E62" i="35"/>
  <c r="E54" i="35"/>
  <c r="E50" i="35"/>
  <c r="E45" i="35"/>
  <c r="E32" i="35"/>
  <c r="E28" i="35"/>
  <c r="E19" i="35"/>
  <c r="E15" i="35"/>
  <c r="E11" i="35"/>
  <c r="E7" i="35"/>
  <c r="E96" i="35"/>
  <c r="E84" i="35"/>
  <c r="E80" i="35"/>
  <c r="E68" i="35"/>
  <c r="E56" i="35"/>
  <c r="E52" i="35"/>
  <c r="E47" i="35"/>
  <c r="E43" i="35"/>
  <c r="E38" i="35"/>
  <c r="E30" i="35"/>
  <c r="E17" i="35"/>
  <c r="E13" i="35"/>
  <c r="E9" i="35"/>
  <c r="E69" i="35"/>
  <c r="E53" i="35"/>
  <c r="E18" i="35"/>
  <c r="E97" i="35"/>
  <c r="E81" i="35"/>
  <c r="E65" i="35"/>
  <c r="E48" i="35"/>
  <c r="E31" i="35"/>
  <c r="E14" i="35"/>
  <c r="E93" i="35"/>
  <c r="E61" i="35"/>
  <c r="E44" i="35"/>
  <c r="E27" i="35"/>
  <c r="E10" i="35"/>
  <c r="E89" i="35"/>
  <c r="E57" i="35"/>
  <c r="E23" i="35"/>
  <c r="E6" i="35"/>
  <c r="AA240" i="24"/>
  <c r="AI31" i="43"/>
  <c r="HZ31" i="43" s="1"/>
  <c r="EN31" i="43"/>
  <c r="W80" i="43"/>
  <c r="AE80" i="24"/>
  <c r="AD80" i="24"/>
  <c r="AI80" i="24"/>
  <c r="AF80" i="24"/>
  <c r="W133" i="43"/>
  <c r="AE133" i="24"/>
  <c r="AD133" i="24"/>
  <c r="AI133" i="24"/>
  <c r="AF133" i="24"/>
  <c r="Z62" i="24"/>
  <c r="DJ118" i="43"/>
  <c r="BR118" i="43"/>
  <c r="AA228" i="24"/>
  <c r="AA84" i="24"/>
  <c r="S14" i="44"/>
  <c r="Z141" i="24"/>
  <c r="W51" i="43"/>
  <c r="AD51" i="24"/>
  <c r="AF51" i="24"/>
  <c r="AI51" i="24"/>
  <c r="AE51" i="24"/>
  <c r="U11" i="44"/>
  <c r="DF71" i="43"/>
  <c r="Z93" i="24"/>
  <c r="Z74" i="24"/>
  <c r="W151" i="43"/>
  <c r="AI151" i="24"/>
  <c r="AE151" i="24"/>
  <c r="AD151" i="24"/>
  <c r="AF151" i="24"/>
  <c r="W301" i="43"/>
  <c r="AI301" i="24"/>
  <c r="AE301" i="24"/>
  <c r="AD301" i="24"/>
  <c r="AF301" i="24"/>
  <c r="W222" i="43"/>
  <c r="AE222" i="24"/>
  <c r="AD222" i="24"/>
  <c r="AI222" i="24"/>
  <c r="AF222" i="24"/>
  <c r="AA131" i="24"/>
  <c r="AA154" i="24"/>
  <c r="W121" i="43"/>
  <c r="AE121" i="24"/>
  <c r="AD121" i="24"/>
  <c r="AI121" i="24"/>
  <c r="AF121" i="24"/>
  <c r="AA213" i="24"/>
  <c r="AI39" i="43"/>
  <c r="HZ39" i="43" s="1"/>
  <c r="EN39" i="43"/>
  <c r="AA276" i="24"/>
  <c r="AI18" i="43"/>
  <c r="HZ18" i="43" s="1"/>
  <c r="EN18" i="43"/>
  <c r="W53" i="43"/>
  <c r="AF53" i="24"/>
  <c r="AD53" i="24"/>
  <c r="AI53" i="24"/>
  <c r="AE53" i="24"/>
  <c r="AA159" i="24"/>
  <c r="AA120" i="24"/>
  <c r="AI35" i="43"/>
  <c r="HZ35" i="43" s="1"/>
  <c r="EN35" i="43"/>
  <c r="W295" i="43"/>
  <c r="AI295" i="24"/>
  <c r="AE295" i="24"/>
  <c r="AD295" i="24"/>
  <c r="AF295" i="24"/>
  <c r="AI330" i="24"/>
  <c r="AD330" i="24"/>
  <c r="AF330" i="24"/>
  <c r="AE330" i="24"/>
  <c r="AA229" i="24"/>
  <c r="U13" i="44"/>
  <c r="CM63" i="43"/>
  <c r="D39" i="45"/>
  <c r="U39" i="45" s="1"/>
  <c r="EO42" i="43"/>
  <c r="D8" i="45"/>
  <c r="U8" i="45" s="1"/>
  <c r="EO11" i="43"/>
  <c r="D29" i="45"/>
  <c r="U29" i="45" s="1"/>
  <c r="EO32" i="43"/>
  <c r="AA82" i="24"/>
  <c r="EY180" i="43"/>
  <c r="EZ180" i="43" s="1"/>
  <c r="W180" i="43"/>
  <c r="AI180" i="24"/>
  <c r="AE180" i="24"/>
  <c r="AF180" i="24"/>
  <c r="AD180" i="24"/>
  <c r="T11" i="44"/>
  <c r="CM71" i="43"/>
  <c r="DF94" i="43"/>
  <c r="DF146" i="43"/>
  <c r="CM146" i="43"/>
  <c r="DF134" i="43"/>
  <c r="CM134" i="43"/>
  <c r="AA222" i="24"/>
  <c r="AA282" i="24"/>
  <c r="W275" i="43"/>
  <c r="AI275" i="24"/>
  <c r="AF275" i="24"/>
  <c r="AE275" i="24"/>
  <c r="AD275" i="24"/>
  <c r="Z85" i="24"/>
  <c r="AI26" i="43"/>
  <c r="HZ26" i="43" s="1"/>
  <c r="EN26" i="43"/>
  <c r="Z157" i="24"/>
  <c r="W159" i="43"/>
  <c r="AD159" i="24"/>
  <c r="AE159" i="24"/>
  <c r="AI159" i="24"/>
  <c r="AF159" i="24"/>
  <c r="AA52" i="24"/>
  <c r="W113" i="43"/>
  <c r="AE113" i="24"/>
  <c r="AD113" i="24"/>
  <c r="AI113" i="24"/>
  <c r="AF113" i="24"/>
  <c r="AA80" i="24"/>
  <c r="AI47" i="43"/>
  <c r="HZ47" i="43" s="1"/>
  <c r="EN47" i="43"/>
  <c r="AA108" i="24"/>
  <c r="W90" i="43"/>
  <c r="AI90" i="24"/>
  <c r="AD90" i="24"/>
  <c r="AE90" i="24"/>
  <c r="AF90" i="24"/>
  <c r="W97" i="43"/>
  <c r="AD97" i="24"/>
  <c r="AI97" i="24"/>
  <c r="AE97" i="24"/>
  <c r="AF97" i="24"/>
  <c r="AI41" i="43"/>
  <c r="HZ41" i="43" s="1"/>
  <c r="EN41" i="43"/>
  <c r="W64" i="43"/>
  <c r="AE64" i="24"/>
  <c r="AD64" i="24"/>
  <c r="AI64" i="24"/>
  <c r="AF64" i="24"/>
  <c r="AA89" i="24"/>
  <c r="Z129" i="24"/>
  <c r="CI205" i="43" l="1"/>
  <c r="CK205" i="43" s="1"/>
  <c r="AI202" i="45"/>
  <c r="CI206" i="43"/>
  <c r="CK206" i="43" s="1"/>
  <c r="AI203" i="45"/>
  <c r="AA186" i="43"/>
  <c r="X180" i="43"/>
  <c r="AA182" i="43"/>
  <c r="AB182" i="43"/>
  <c r="AJ180" i="43"/>
  <c r="AK180" i="43" s="1"/>
  <c r="C177" i="45" s="1"/>
  <c r="FP178" i="43"/>
  <c r="AU171" i="43"/>
  <c r="Q165" i="43"/>
  <c r="AA165" i="43" s="1"/>
  <c r="AU165" i="43"/>
  <c r="AH165" i="43" s="1"/>
  <c r="AU164" i="43"/>
  <c r="AH164" i="43" s="1"/>
  <c r="AI164" i="43" s="1"/>
  <c r="HZ164" i="43" s="1"/>
  <c r="IB164" i="43" s="1"/>
  <c r="HW164" i="43" s="1"/>
  <c r="Q161" i="43"/>
  <c r="AA161" i="43" s="1"/>
  <c r="AU161" i="43"/>
  <c r="AH161" i="43" s="1"/>
  <c r="X172" i="43"/>
  <c r="R172" i="43"/>
  <c r="AJ172" i="43"/>
  <c r="AK172" i="43" s="1"/>
  <c r="C169" i="45" s="1"/>
  <c r="AU144" i="43"/>
  <c r="AH144" i="43" s="1"/>
  <c r="AI144" i="43" s="1"/>
  <c r="D141" i="45" s="1"/>
  <c r="U141" i="45" s="1"/>
  <c r="AU145" i="43"/>
  <c r="AH145" i="43" s="1"/>
  <c r="AI145" i="43" s="1"/>
  <c r="HZ145" i="43" s="1"/>
  <c r="IB145" i="43" s="1"/>
  <c r="Q11" i="22"/>
  <c r="F11" i="22" s="1"/>
  <c r="T17" i="22"/>
  <c r="S17" i="22"/>
  <c r="Q9" i="22"/>
  <c r="R9" i="22" s="1"/>
  <c r="AU106" i="43"/>
  <c r="AH106" i="43" s="1"/>
  <c r="AI106" i="43" s="1"/>
  <c r="D103" i="45" s="1"/>
  <c r="U103" i="45" s="1"/>
  <c r="AU88" i="43"/>
  <c r="AH88" i="43" s="1"/>
  <c r="AI88" i="43" s="1"/>
  <c r="D85" i="45" s="1"/>
  <c r="U85" i="45" s="1"/>
  <c r="AU87" i="43"/>
  <c r="AH87" i="43" s="1"/>
  <c r="AI87" i="43" s="1"/>
  <c r="EO87" i="43" s="1"/>
  <c r="L215" i="43"/>
  <c r="N215" i="43" s="1"/>
  <c r="Q215" i="43" s="1"/>
  <c r="L199" i="43"/>
  <c r="N199" i="43" s="1"/>
  <c r="Q199" i="43" s="1"/>
  <c r="Q13" i="22"/>
  <c r="F13" i="22" s="1"/>
  <c r="AU65" i="43"/>
  <c r="AH65" i="43" s="1"/>
  <c r="AI65" i="43" s="1"/>
  <c r="D62" i="45" s="1"/>
  <c r="U62" i="45" s="1"/>
  <c r="HT49" i="43"/>
  <c r="HU49" i="43" s="1"/>
  <c r="HV49" i="43" s="1"/>
  <c r="BA49" i="43" s="1"/>
  <c r="AZ49" i="43" s="1"/>
  <c r="V46" i="45" s="1"/>
  <c r="IA49" i="43"/>
  <c r="ID49" i="43" s="1"/>
  <c r="L254" i="43"/>
  <c r="N254" i="43" s="1"/>
  <c r="Q254" i="43" s="1"/>
  <c r="AA254" i="43" s="1"/>
  <c r="IA37" i="43"/>
  <c r="ID37" i="43" s="1"/>
  <c r="HT37" i="43"/>
  <c r="HU37" i="43" s="1"/>
  <c r="HV37" i="43" s="1"/>
  <c r="BA37" i="43" s="1"/>
  <c r="AZ37" i="43" s="1"/>
  <c r="V34" i="45" s="1"/>
  <c r="L291" i="43"/>
  <c r="N291" i="43" s="1"/>
  <c r="Q291" i="43" s="1"/>
  <c r="HT18" i="43"/>
  <c r="HU18" i="43" s="1"/>
  <c r="HV18" i="43" s="1"/>
  <c r="BA18" i="43" s="1"/>
  <c r="AZ18" i="43" s="1"/>
  <c r="V15" i="45" s="1"/>
  <c r="IA18" i="43"/>
  <c r="ID18" i="43" s="1"/>
  <c r="AA374" i="24"/>
  <c r="AI375" i="24"/>
  <c r="L294" i="43"/>
  <c r="N294" i="43" s="1"/>
  <c r="Q294" i="43" s="1"/>
  <c r="HT17" i="43"/>
  <c r="HU17" i="43" s="1"/>
  <c r="HV17" i="43" s="1"/>
  <c r="BA17" i="43" s="1"/>
  <c r="AZ17" i="43" s="1"/>
  <c r="IA17" i="43"/>
  <c r="AF375" i="24"/>
  <c r="AF373" i="24"/>
  <c r="L279" i="43"/>
  <c r="N279" i="43" s="1"/>
  <c r="Q279" i="43" s="1"/>
  <c r="AA279" i="43" s="1"/>
  <c r="L277" i="43"/>
  <c r="N277" i="43" s="1"/>
  <c r="Q277" i="43" s="1"/>
  <c r="AE377" i="24"/>
  <c r="AF377" i="24"/>
  <c r="AI373" i="24"/>
  <c r="AE363" i="24"/>
  <c r="AD377" i="24"/>
  <c r="AI377" i="24"/>
  <c r="L302" i="43"/>
  <c r="L230" i="43"/>
  <c r="N230" i="43" s="1"/>
  <c r="Q230" i="43" s="1"/>
  <c r="L285" i="43"/>
  <c r="N285" i="43" s="1"/>
  <c r="Q285" i="43" s="1"/>
  <c r="AA285" i="43" s="1"/>
  <c r="L246" i="43"/>
  <c r="N246" i="43" s="1"/>
  <c r="Q246" i="43" s="1"/>
  <c r="L219" i="43"/>
  <c r="N219" i="43" s="1"/>
  <c r="FP219" i="43" s="1"/>
  <c r="AA377" i="24"/>
  <c r="L239" i="43"/>
  <c r="N239" i="43" s="1"/>
  <c r="Q239" i="43" s="1"/>
  <c r="L255" i="43"/>
  <c r="N255" i="43" s="1"/>
  <c r="Q255" i="43" s="1"/>
  <c r="AA255" i="43" s="1"/>
  <c r="L227" i="43"/>
  <c r="N227" i="43" s="1"/>
  <c r="Q227" i="43" s="1"/>
  <c r="EH283" i="43"/>
  <c r="L226" i="43"/>
  <c r="N226" i="43" s="1"/>
  <c r="Q226" i="43" s="1"/>
  <c r="L204" i="43"/>
  <c r="N204" i="43" s="1"/>
  <c r="L222" i="43"/>
  <c r="N222" i="43" s="1"/>
  <c r="FP222" i="43" s="1"/>
  <c r="EH276" i="43"/>
  <c r="L289" i="43"/>
  <c r="N289" i="43" s="1"/>
  <c r="Q289" i="43" s="1"/>
  <c r="AA289" i="43" s="1"/>
  <c r="AD365" i="24"/>
  <c r="AI365" i="24"/>
  <c r="AF365" i="24"/>
  <c r="L237" i="43"/>
  <c r="N237" i="43" s="1"/>
  <c r="Q237" i="43" s="1"/>
  <c r="L298" i="43"/>
  <c r="N298" i="43" s="1"/>
  <c r="FP298" i="43" s="1"/>
  <c r="L297" i="43"/>
  <c r="N297" i="43" s="1"/>
  <c r="FP297" i="43" s="1"/>
  <c r="L262" i="43"/>
  <c r="N262" i="43" s="1"/>
  <c r="EH211" i="43"/>
  <c r="EH303" i="43"/>
  <c r="AE365" i="24"/>
  <c r="L280" i="43"/>
  <c r="N280" i="43" s="1"/>
  <c r="Q280" i="43" s="1"/>
  <c r="AA280" i="43" s="1"/>
  <c r="L250" i="43"/>
  <c r="N250" i="43" s="1"/>
  <c r="Q250" i="43" s="1"/>
  <c r="AA250" i="43" s="1"/>
  <c r="L282" i="43"/>
  <c r="N282" i="43" s="1"/>
  <c r="FP282" i="43" s="1"/>
  <c r="EH199" i="43"/>
  <c r="EH229" i="43"/>
  <c r="L263" i="43"/>
  <c r="N263" i="43" s="1"/>
  <c r="L251" i="43"/>
  <c r="N251" i="43" s="1"/>
  <c r="Q251" i="43" s="1"/>
  <c r="AA251" i="43" s="1"/>
  <c r="L208" i="43"/>
  <c r="N208" i="43" s="1"/>
  <c r="Q208" i="43" s="1"/>
  <c r="EH227" i="43"/>
  <c r="EH263" i="43"/>
  <c r="EH302" i="43"/>
  <c r="L278" i="43"/>
  <c r="N278" i="43" s="1"/>
  <c r="Q278" i="43" s="1"/>
  <c r="AA278" i="43" s="1"/>
  <c r="L225" i="43"/>
  <c r="N225" i="43" s="1"/>
  <c r="Q225" i="43" s="1"/>
  <c r="L218" i="43"/>
  <c r="N218" i="43" s="1"/>
  <c r="Q218" i="43" s="1"/>
  <c r="AD378" i="24"/>
  <c r="L243" i="43"/>
  <c r="N243" i="43" s="1"/>
  <c r="Q243" i="43" s="1"/>
  <c r="EH231" i="43"/>
  <c r="EH282" i="43"/>
  <c r="L288" i="43"/>
  <c r="N288" i="43" s="1"/>
  <c r="FP288" i="43" s="1"/>
  <c r="EH204" i="43"/>
  <c r="L303" i="43"/>
  <c r="N303" i="43" s="1"/>
  <c r="Q303" i="43" s="1"/>
  <c r="L292" i="43"/>
  <c r="N292" i="43" s="1"/>
  <c r="FP292" i="43" s="1"/>
  <c r="L217" i="43"/>
  <c r="N217" i="43" s="1"/>
  <c r="Q217" i="43" s="1"/>
  <c r="EH172" i="43"/>
  <c r="EH299" i="43"/>
  <c r="EH300" i="43"/>
  <c r="EH277" i="43"/>
  <c r="EH290" i="43"/>
  <c r="EH301" i="43"/>
  <c r="EH295" i="43"/>
  <c r="EH218" i="43"/>
  <c r="EH242" i="43"/>
  <c r="EH255" i="43"/>
  <c r="EH223" i="43"/>
  <c r="EH262" i="43"/>
  <c r="EH287" i="43"/>
  <c r="AE375" i="24"/>
  <c r="L258" i="43"/>
  <c r="N258" i="43" s="1"/>
  <c r="L234" i="43"/>
  <c r="N234" i="43" s="1"/>
  <c r="Q234" i="43" s="1"/>
  <c r="L281" i="43"/>
  <c r="N281" i="43" s="1"/>
  <c r="Q281" i="43" s="1"/>
  <c r="AA281" i="43" s="1"/>
  <c r="EH180" i="43"/>
  <c r="EH241" i="43"/>
  <c r="EH294" i="43"/>
  <c r="L286" i="43"/>
  <c r="N286" i="43" s="1"/>
  <c r="FP286" i="43" s="1"/>
  <c r="EH258" i="43"/>
  <c r="EH214" i="43"/>
  <c r="EH221" i="43"/>
  <c r="EH222" i="43"/>
  <c r="EH226" i="43"/>
  <c r="EH281" i="43"/>
  <c r="EH289" i="43"/>
  <c r="EH237" i="43"/>
  <c r="EH296" i="43"/>
  <c r="EH280" i="43"/>
  <c r="L210" i="43"/>
  <c r="N210" i="43" s="1"/>
  <c r="Q210" i="43" s="1"/>
  <c r="L229" i="43"/>
  <c r="N229" i="43" s="1"/>
  <c r="Q229" i="43" s="1"/>
  <c r="EH235" i="43"/>
  <c r="EH239" i="43"/>
  <c r="EH293" i="43"/>
  <c r="EH273" i="43"/>
  <c r="L276" i="43"/>
  <c r="N276" i="43" s="1"/>
  <c r="Q276" i="43" s="1"/>
  <c r="AA276" i="43" s="1"/>
  <c r="L275" i="43"/>
  <c r="N275" i="43" s="1"/>
  <c r="Q275" i="43" s="1"/>
  <c r="L180" i="43"/>
  <c r="N180" i="43" s="1"/>
  <c r="L241" i="43"/>
  <c r="N241" i="43" s="1"/>
  <c r="Q241" i="43" s="1"/>
  <c r="L231" i="43"/>
  <c r="N231" i="43" s="1"/>
  <c r="Q231" i="43" s="1"/>
  <c r="L266" i="43"/>
  <c r="N266" i="43" s="1"/>
  <c r="Q266" i="43" s="1"/>
  <c r="AA266" i="43" s="1"/>
  <c r="L223" i="43"/>
  <c r="N223" i="43" s="1"/>
  <c r="Q223" i="43" s="1"/>
  <c r="L214" i="43"/>
  <c r="N214" i="43" s="1"/>
  <c r="Q214" i="43" s="1"/>
  <c r="EH208" i="43"/>
  <c r="EH215" i="43"/>
  <c r="EH216" i="43"/>
  <c r="L236" i="43"/>
  <c r="N236" i="43" s="1"/>
  <c r="Q236" i="43" s="1"/>
  <c r="EH297" i="43"/>
  <c r="EH246" i="43"/>
  <c r="EH243" i="43"/>
  <c r="EH298" i="43"/>
  <c r="EH217" i="43"/>
  <c r="EH210" i="43"/>
  <c r="EH278" i="43"/>
  <c r="EH291" i="43"/>
  <c r="EH250" i="43"/>
  <c r="EH279" i="43"/>
  <c r="EH254" i="43"/>
  <c r="EH234" i="43"/>
  <c r="EH285" i="43"/>
  <c r="CI108" i="43"/>
  <c r="CK108" i="43" s="1"/>
  <c r="S108" i="43"/>
  <c r="CI79" i="43"/>
  <c r="CK79" i="43" s="1"/>
  <c r="S79" i="43"/>
  <c r="CI130" i="43"/>
  <c r="CK130" i="43" s="1"/>
  <c r="S130" i="43"/>
  <c r="CI110" i="43"/>
  <c r="CK110" i="43" s="1"/>
  <c r="S110" i="43"/>
  <c r="CI98" i="43"/>
  <c r="CK98" i="43" s="1"/>
  <c r="S98" i="43"/>
  <c r="CI138" i="43"/>
  <c r="CK138" i="43" s="1"/>
  <c r="S138" i="43"/>
  <c r="CI67" i="43"/>
  <c r="CK67" i="43" s="1"/>
  <c r="S67" i="43"/>
  <c r="CI102" i="43"/>
  <c r="CK102" i="43" s="1"/>
  <c r="S102" i="43"/>
  <c r="CI150" i="43"/>
  <c r="CK150" i="43" s="1"/>
  <c r="S150" i="43"/>
  <c r="L216" i="43"/>
  <c r="N216" i="43" s="1"/>
  <c r="FP216" i="43" s="1"/>
  <c r="X300" i="43"/>
  <c r="L300" i="43"/>
  <c r="N300" i="43" s="1"/>
  <c r="FP300" i="43" s="1"/>
  <c r="X296" i="43"/>
  <c r="L296" i="43"/>
  <c r="N296" i="43" s="1"/>
  <c r="FP296" i="43" s="1"/>
  <c r="CI94" i="43"/>
  <c r="CK94" i="43" s="1"/>
  <c r="S94" i="43"/>
  <c r="CI122" i="43"/>
  <c r="CK122" i="43" s="1"/>
  <c r="S122" i="43"/>
  <c r="CI134" i="43"/>
  <c r="CK134" i="43" s="1"/>
  <c r="S134" i="43"/>
  <c r="S205" i="43"/>
  <c r="X205" i="43" s="1"/>
  <c r="DB205" i="43"/>
  <c r="DD205" i="43" s="1"/>
  <c r="BN205" i="43"/>
  <c r="BP205" i="43" s="1"/>
  <c r="EB205" i="43"/>
  <c r="R205" i="43" s="1"/>
  <c r="X301" i="43"/>
  <c r="L301" i="43"/>
  <c r="N301" i="43" s="1"/>
  <c r="FP301" i="43" s="1"/>
  <c r="EH286" i="43"/>
  <c r="EH251" i="43"/>
  <c r="L293" i="43"/>
  <c r="N293" i="43" s="1"/>
  <c r="FP293" i="43" s="1"/>
  <c r="L283" i="43"/>
  <c r="N283" i="43" s="1"/>
  <c r="Q283" i="43" s="1"/>
  <c r="AA283" i="43" s="1"/>
  <c r="L235" i="43"/>
  <c r="N235" i="43" s="1"/>
  <c r="Q235" i="43" s="1"/>
  <c r="L172" i="43"/>
  <c r="N172" i="43" s="1"/>
  <c r="Q172" i="43" s="1"/>
  <c r="CI63" i="43"/>
  <c r="CK63" i="43" s="1"/>
  <c r="S63" i="43"/>
  <c r="CI118" i="43"/>
  <c r="CK118" i="43" s="1"/>
  <c r="S118" i="43"/>
  <c r="CI59" i="43"/>
  <c r="CK59" i="43" s="1"/>
  <c r="S59" i="43"/>
  <c r="CI57" i="43"/>
  <c r="CK57" i="43" s="1"/>
  <c r="S57" i="43"/>
  <c r="CI82" i="43"/>
  <c r="CK82" i="43" s="1"/>
  <c r="S82" i="43"/>
  <c r="CI78" i="43"/>
  <c r="CK78" i="43" s="1"/>
  <c r="S78" i="43"/>
  <c r="CI142" i="43"/>
  <c r="CK142" i="43" s="1"/>
  <c r="S142" i="43"/>
  <c r="CI71" i="43"/>
  <c r="CK71" i="43" s="1"/>
  <c r="S71" i="43"/>
  <c r="CI158" i="43"/>
  <c r="CK158" i="43" s="1"/>
  <c r="S158" i="43"/>
  <c r="CI75" i="43"/>
  <c r="CK75" i="43" s="1"/>
  <c r="S75" i="43"/>
  <c r="CI114" i="43"/>
  <c r="CK114" i="43" s="1"/>
  <c r="S114" i="43"/>
  <c r="CI86" i="43"/>
  <c r="CK86" i="43" s="1"/>
  <c r="S86" i="43"/>
  <c r="L284" i="43"/>
  <c r="N284" i="43" s="1"/>
  <c r="FP284" i="43" s="1"/>
  <c r="EH292" i="43"/>
  <c r="EH219" i="43"/>
  <c r="EH225" i="43"/>
  <c r="EH230" i="43"/>
  <c r="EH275" i="43"/>
  <c r="EH266" i="43"/>
  <c r="EH236" i="43"/>
  <c r="L242" i="43"/>
  <c r="N242" i="43" s="1"/>
  <c r="Q242" i="43" s="1"/>
  <c r="L299" i="43"/>
  <c r="N299" i="43" s="1"/>
  <c r="FP299" i="43" s="1"/>
  <c r="L295" i="43"/>
  <c r="N295" i="43" s="1"/>
  <c r="Q295" i="43" s="1"/>
  <c r="EH288" i="43"/>
  <c r="EH284" i="43"/>
  <c r="L273" i="43"/>
  <c r="N273" i="43" s="1"/>
  <c r="Q273" i="43" s="1"/>
  <c r="AA273" i="43" s="1"/>
  <c r="L287" i="43"/>
  <c r="N287" i="43" s="1"/>
  <c r="Q287" i="43" s="1"/>
  <c r="AA287" i="43" s="1"/>
  <c r="S206" i="43"/>
  <c r="X206" i="43" s="1"/>
  <c r="EB206" i="43"/>
  <c r="R206" i="43" s="1"/>
  <c r="DB206" i="43"/>
  <c r="DD206" i="43" s="1"/>
  <c r="BN206" i="43"/>
  <c r="BP206" i="43" s="1"/>
  <c r="CI146" i="43"/>
  <c r="CK146" i="43" s="1"/>
  <c r="S146" i="43"/>
  <c r="CI126" i="43"/>
  <c r="CK126" i="43" s="1"/>
  <c r="S126" i="43"/>
  <c r="L211" i="43"/>
  <c r="N211" i="43" s="1"/>
  <c r="FP211" i="43" s="1"/>
  <c r="L290" i="43"/>
  <c r="N290" i="43" s="1"/>
  <c r="FP290" i="43" s="1"/>
  <c r="AD373" i="24"/>
  <c r="AE373" i="24"/>
  <c r="AE378" i="24"/>
  <c r="AI378" i="24"/>
  <c r="AD363" i="24"/>
  <c r="AI363" i="24"/>
  <c r="AF363" i="24"/>
  <c r="N318" i="43"/>
  <c r="FP318" i="43" s="1"/>
  <c r="N316" i="43"/>
  <c r="Q316" i="43" s="1"/>
  <c r="N313" i="43"/>
  <c r="Q313" i="43" s="1"/>
  <c r="N314" i="43"/>
  <c r="N315" i="43"/>
  <c r="N311" i="43"/>
  <c r="N310" i="43"/>
  <c r="Q310" i="43" s="1"/>
  <c r="CB130" i="24"/>
  <c r="N309" i="43"/>
  <c r="N307" i="43"/>
  <c r="N305" i="43"/>
  <c r="Q305" i="43" s="1"/>
  <c r="AB305" i="43" s="1"/>
  <c r="IA305" i="43" s="1"/>
  <c r="EH306" i="43"/>
  <c r="L304" i="43"/>
  <c r="N304" i="43" s="1"/>
  <c r="FP304" i="43" s="1"/>
  <c r="L308" i="43"/>
  <c r="EH308" i="43"/>
  <c r="L306" i="43"/>
  <c r="EH304" i="43"/>
  <c r="EH312" i="43"/>
  <c r="L312" i="43"/>
  <c r="X304" i="43"/>
  <c r="CB71" i="24"/>
  <c r="N302" i="43"/>
  <c r="FP302" i="43" s="1"/>
  <c r="CB158" i="24"/>
  <c r="D92" i="45"/>
  <c r="U92" i="45" s="1"/>
  <c r="HZ73" i="43"/>
  <c r="IB73" i="43" s="1"/>
  <c r="HZ61" i="43"/>
  <c r="IB61" i="43" s="1"/>
  <c r="AA178" i="43"/>
  <c r="CB75" i="24"/>
  <c r="CB118" i="24"/>
  <c r="CB57" i="24"/>
  <c r="Q145" i="43"/>
  <c r="AA145" i="43" s="1"/>
  <c r="HZ112" i="43"/>
  <c r="IB112" i="43" s="1"/>
  <c r="EN73" i="43"/>
  <c r="FP240" i="43"/>
  <c r="Q91" i="43"/>
  <c r="AB91" i="43" s="1"/>
  <c r="EH109" i="43"/>
  <c r="EH66" i="43"/>
  <c r="CB110" i="24"/>
  <c r="CB102" i="24"/>
  <c r="CB98" i="24"/>
  <c r="EH151" i="43"/>
  <c r="EH74" i="43"/>
  <c r="EH107" i="43"/>
  <c r="HZ77" i="43"/>
  <c r="IB77" i="43" s="1"/>
  <c r="EH104" i="43"/>
  <c r="EO96" i="43"/>
  <c r="CB150" i="24"/>
  <c r="HZ58" i="43"/>
  <c r="IB58" i="43" s="1"/>
  <c r="FP244" i="43"/>
  <c r="EH157" i="43"/>
  <c r="CB82" i="24"/>
  <c r="CB86" i="24"/>
  <c r="CB78" i="24"/>
  <c r="CB114" i="24"/>
  <c r="CB63" i="24"/>
  <c r="HZ128" i="43"/>
  <c r="IB128" i="43" s="1"/>
  <c r="FP212" i="43"/>
  <c r="EH97" i="43"/>
  <c r="EH137" i="43"/>
  <c r="EH89" i="43"/>
  <c r="CB142" i="24"/>
  <c r="CB59" i="24"/>
  <c r="Q100" i="43"/>
  <c r="AA100" i="43" s="1"/>
  <c r="EO124" i="43"/>
  <c r="FP232" i="43"/>
  <c r="FP161" i="43"/>
  <c r="EH154" i="43"/>
  <c r="EH90" i="43"/>
  <c r="EO77" i="43"/>
  <c r="EO84" i="43"/>
  <c r="EN58" i="43"/>
  <c r="Q167" i="43"/>
  <c r="AA167" i="43" s="1"/>
  <c r="EH121" i="43"/>
  <c r="EH93" i="43"/>
  <c r="EH113" i="43"/>
  <c r="EO73" i="43"/>
  <c r="EO61" i="43"/>
  <c r="EH103" i="43"/>
  <c r="EH76" i="43"/>
  <c r="EH101" i="43"/>
  <c r="EO91" i="43"/>
  <c r="EH156" i="43"/>
  <c r="EH143" i="43"/>
  <c r="EH92" i="43"/>
  <c r="EH115" i="43"/>
  <c r="EO112" i="43"/>
  <c r="EH85" i="43"/>
  <c r="EH69" i="43"/>
  <c r="EH105" i="43"/>
  <c r="HX11" i="43"/>
  <c r="IC11" i="43"/>
  <c r="HW11" i="43"/>
  <c r="EH140" i="43"/>
  <c r="EH149" i="43"/>
  <c r="EH127" i="43"/>
  <c r="EH136" i="43"/>
  <c r="EH80" i="43"/>
  <c r="C103" i="45"/>
  <c r="EO153" i="43"/>
  <c r="CB126" i="24"/>
  <c r="EH119" i="43"/>
  <c r="EN77" i="43"/>
  <c r="CB138" i="24"/>
  <c r="CB134" i="24"/>
  <c r="HZ153" i="43"/>
  <c r="IB153" i="43" s="1"/>
  <c r="HZ84" i="43"/>
  <c r="IB84" i="43" s="1"/>
  <c r="IA183" i="43"/>
  <c r="FP173" i="43"/>
  <c r="Q171" i="43"/>
  <c r="AA171" i="43" s="1"/>
  <c r="EH123" i="43"/>
  <c r="EH68" i="43"/>
  <c r="EH135" i="43"/>
  <c r="EO58" i="43"/>
  <c r="D164" i="45"/>
  <c r="U164" i="45" s="1"/>
  <c r="EO95" i="43"/>
  <c r="EN128" i="43"/>
  <c r="EN91" i="43"/>
  <c r="CB67" i="24"/>
  <c r="CB94" i="24"/>
  <c r="CB79" i="24"/>
  <c r="FP177" i="43"/>
  <c r="HZ91" i="43"/>
  <c r="IB91" i="43" s="1"/>
  <c r="FP168" i="43"/>
  <c r="FP213" i="43"/>
  <c r="Q153" i="43"/>
  <c r="AA153" i="43" s="1"/>
  <c r="Q120" i="43"/>
  <c r="AB120" i="43" s="1"/>
  <c r="EH139" i="43"/>
  <c r="EH131" i="43"/>
  <c r="C109" i="45"/>
  <c r="EH133" i="43"/>
  <c r="EH72" i="43"/>
  <c r="EO99" i="43"/>
  <c r="EH141" i="43"/>
  <c r="EN84" i="43"/>
  <c r="EH129" i="43"/>
  <c r="EH81" i="43"/>
  <c r="EO125" i="43"/>
  <c r="C70" i="45"/>
  <c r="C58" i="45"/>
  <c r="C142" i="45"/>
  <c r="EN125" i="43"/>
  <c r="D97" i="45"/>
  <c r="U97" i="45" s="1"/>
  <c r="FP200" i="43"/>
  <c r="Q65" i="43"/>
  <c r="AB65" i="43" s="1"/>
  <c r="EH64" i="43"/>
  <c r="EH117" i="43"/>
  <c r="EH62" i="43"/>
  <c r="EH60" i="43"/>
  <c r="EH111" i="43"/>
  <c r="EH132" i="43"/>
  <c r="Q116" i="43"/>
  <c r="AB116" i="43" s="1"/>
  <c r="EO128" i="43"/>
  <c r="EN96" i="43"/>
  <c r="EN61" i="43"/>
  <c r="HZ116" i="43"/>
  <c r="IB116" i="43" s="1"/>
  <c r="HZ125" i="43"/>
  <c r="IB125" i="43" s="1"/>
  <c r="D117" i="45"/>
  <c r="U117" i="45" s="1"/>
  <c r="EH152" i="43"/>
  <c r="EH70" i="43"/>
  <c r="EH83" i="43"/>
  <c r="EH155" i="43"/>
  <c r="EH147" i="43"/>
  <c r="EO148" i="43"/>
  <c r="FP179" i="43"/>
  <c r="EN112" i="43"/>
  <c r="FP238" i="43"/>
  <c r="AB186" i="43"/>
  <c r="Q87" i="43"/>
  <c r="AB87" i="43" s="1"/>
  <c r="AA177" i="43"/>
  <c r="AB177" i="43"/>
  <c r="IA177" i="43" s="1"/>
  <c r="AB173" i="43"/>
  <c r="HT173" i="43" s="1"/>
  <c r="HU173" i="43" s="1"/>
  <c r="HV173" i="43" s="1"/>
  <c r="BA173" i="43" s="1"/>
  <c r="AU173" i="43" s="1"/>
  <c r="AH173" i="43" s="1"/>
  <c r="AA173" i="43"/>
  <c r="AB238" i="43"/>
  <c r="IA238" i="43" s="1"/>
  <c r="AA238" i="43"/>
  <c r="EO120" i="43"/>
  <c r="C125" i="45"/>
  <c r="EN153" i="43"/>
  <c r="EN148" i="43"/>
  <c r="EN100" i="43"/>
  <c r="CB146" i="24"/>
  <c r="HZ148" i="43"/>
  <c r="IB148" i="43" s="1"/>
  <c r="HZ99" i="43"/>
  <c r="IB99" i="43" s="1"/>
  <c r="HZ124" i="43"/>
  <c r="IB124" i="43" s="1"/>
  <c r="HZ96" i="43"/>
  <c r="IB96" i="43" s="1"/>
  <c r="EO116" i="43"/>
  <c r="C85" i="45"/>
  <c r="EN95" i="43"/>
  <c r="EN124" i="43"/>
  <c r="EN116" i="43"/>
  <c r="CB122" i="24"/>
  <c r="D96" i="45"/>
  <c r="U96" i="45" s="1"/>
  <c r="EO100" i="43"/>
  <c r="EN99" i="43"/>
  <c r="EN120" i="43"/>
  <c r="CB108" i="24"/>
  <c r="Q168" i="43"/>
  <c r="AA168" i="43" s="1"/>
  <c r="FP201" i="43"/>
  <c r="FP207" i="43"/>
  <c r="FP233" i="43"/>
  <c r="AB179" i="43"/>
  <c r="IA179" i="43" s="1"/>
  <c r="AA179" i="43"/>
  <c r="AB213" i="43"/>
  <c r="HT213" i="43" s="1"/>
  <c r="HU213" i="43" s="1"/>
  <c r="HV213" i="43" s="1"/>
  <c r="BA213" i="43" s="1"/>
  <c r="AU213" i="43" s="1"/>
  <c r="AH213" i="43" s="1"/>
  <c r="AA213" i="43"/>
  <c r="Q58" i="43"/>
  <c r="AB58" i="43" s="1"/>
  <c r="AA200" i="43"/>
  <c r="AB200" i="43"/>
  <c r="HT200" i="43" s="1"/>
  <c r="HU200" i="43" s="1"/>
  <c r="HV200" i="43" s="1"/>
  <c r="BA200" i="43" s="1"/>
  <c r="AU200" i="43" s="1"/>
  <c r="AH200" i="43" s="1"/>
  <c r="AI200" i="43" s="1"/>
  <c r="HZ200" i="43" s="1"/>
  <c r="AB240" i="43"/>
  <c r="HT240" i="43" s="1"/>
  <c r="HU240" i="43" s="1"/>
  <c r="HV240" i="43" s="1"/>
  <c r="BA240" i="43" s="1"/>
  <c r="AU240" i="43" s="1"/>
  <c r="AH240" i="43" s="1"/>
  <c r="AA240" i="43"/>
  <c r="AB233" i="43"/>
  <c r="HT233" i="43" s="1"/>
  <c r="HU233" i="43" s="1"/>
  <c r="HV233" i="43" s="1"/>
  <c r="BA233" i="43" s="1"/>
  <c r="AU233" i="43" s="1"/>
  <c r="AH233" i="43" s="1"/>
  <c r="AA233" i="43"/>
  <c r="EN168" i="43"/>
  <c r="AI168" i="43"/>
  <c r="HZ168" i="43" s="1"/>
  <c r="IB168" i="43" s="1"/>
  <c r="AB207" i="43"/>
  <c r="HT207" i="43" s="1"/>
  <c r="AA207" i="43"/>
  <c r="AA201" i="43"/>
  <c r="AB201" i="43"/>
  <c r="IA201" i="43" s="1"/>
  <c r="AA212" i="43"/>
  <c r="AB212" i="43"/>
  <c r="HT212" i="43" s="1"/>
  <c r="HU212" i="43" s="1"/>
  <c r="HV212" i="43" s="1"/>
  <c r="BA212" i="43" s="1"/>
  <c r="AU212" i="43" s="1"/>
  <c r="AH212" i="43" s="1"/>
  <c r="FP165" i="43"/>
  <c r="L133" i="43"/>
  <c r="N133" i="43" s="1"/>
  <c r="FP133" i="43" s="1"/>
  <c r="X133" i="43"/>
  <c r="R129" i="43"/>
  <c r="AJ129" i="43"/>
  <c r="AK129" i="43" s="1"/>
  <c r="C126" i="45" s="1"/>
  <c r="X129" i="43"/>
  <c r="L129" i="43"/>
  <c r="N129" i="43" s="1"/>
  <c r="FP129" i="43" s="1"/>
  <c r="L90" i="43"/>
  <c r="N90" i="43" s="1"/>
  <c r="X90" i="43"/>
  <c r="R72" i="43"/>
  <c r="AJ72" i="43"/>
  <c r="AK72" i="43" s="1"/>
  <c r="C69" i="45" s="1"/>
  <c r="AU72" i="43"/>
  <c r="AH72" i="43" s="1"/>
  <c r="AI72" i="43" s="1"/>
  <c r="HZ72" i="43" s="1"/>
  <c r="X143" i="43"/>
  <c r="L143" i="43"/>
  <c r="N143" i="43" s="1"/>
  <c r="AU143" i="43" s="1"/>
  <c r="AH143" i="43" s="1"/>
  <c r="AI143" i="43" s="1"/>
  <c r="HZ143" i="43" s="1"/>
  <c r="R149" i="43"/>
  <c r="AJ149" i="43"/>
  <c r="AK149" i="43" s="1"/>
  <c r="C146" i="45" s="1"/>
  <c r="AK164" i="43"/>
  <c r="CO122" i="43"/>
  <c r="CN122" i="43" s="1"/>
  <c r="BC122" i="43"/>
  <c r="DG122" i="43"/>
  <c r="Y122" i="43"/>
  <c r="AV122" i="43"/>
  <c r="BT122" i="43"/>
  <c r="BS122" i="43" s="1"/>
  <c r="T122" i="43"/>
  <c r="CJ122" i="43"/>
  <c r="DC122" i="43"/>
  <c r="DB122" i="43"/>
  <c r="DD122" i="43" s="1"/>
  <c r="BO122" i="43"/>
  <c r="BN122" i="43"/>
  <c r="BP122" i="43" s="1"/>
  <c r="EB122" i="43"/>
  <c r="R70" i="43"/>
  <c r="AJ70" i="43"/>
  <c r="AK70" i="43" s="1"/>
  <c r="C67" i="45" s="1"/>
  <c r="AU70" i="43"/>
  <c r="AH70" i="43" s="1"/>
  <c r="AI70" i="43" s="1"/>
  <c r="D67" i="45" s="1"/>
  <c r="U67" i="45" s="1"/>
  <c r="R113" i="43"/>
  <c r="AJ113" i="43"/>
  <c r="AK113" i="43" s="1"/>
  <c r="C110" i="45" s="1"/>
  <c r="AU113" i="43"/>
  <c r="AH113" i="43" s="1"/>
  <c r="AI113" i="43" s="1"/>
  <c r="D110" i="45" s="1"/>
  <c r="U110" i="45" s="1"/>
  <c r="L139" i="43"/>
  <c r="N139" i="43" s="1"/>
  <c r="FP139" i="43" s="1"/>
  <c r="X139" i="43"/>
  <c r="Q96" i="43"/>
  <c r="R131" i="43"/>
  <c r="AJ131" i="43"/>
  <c r="AK131" i="43" s="1"/>
  <c r="C128" i="45" s="1"/>
  <c r="X131" i="43"/>
  <c r="L131" i="43"/>
  <c r="N131" i="43" s="1"/>
  <c r="FP131" i="43" s="1"/>
  <c r="X117" i="43"/>
  <c r="L117" i="43"/>
  <c r="N117" i="43" s="1"/>
  <c r="R62" i="43"/>
  <c r="AU62" i="43"/>
  <c r="AH62" i="43" s="1"/>
  <c r="AI62" i="43" s="1"/>
  <c r="HZ62" i="43" s="1"/>
  <c r="AJ62" i="43"/>
  <c r="AK62" i="43" s="1"/>
  <c r="C59" i="45" s="1"/>
  <c r="R151" i="43"/>
  <c r="AJ151" i="43"/>
  <c r="AK151" i="43" s="1"/>
  <c r="C148" i="45" s="1"/>
  <c r="AU151" i="43"/>
  <c r="AH151" i="43" s="1"/>
  <c r="AI151" i="43" s="1"/>
  <c r="HZ151" i="43" s="1"/>
  <c r="L151" i="43"/>
  <c r="N151" i="43" s="1"/>
  <c r="FP151" i="43" s="1"/>
  <c r="X151" i="43"/>
  <c r="R123" i="43"/>
  <c r="AJ123" i="43"/>
  <c r="AK123" i="43" s="1"/>
  <c r="C120" i="45" s="1"/>
  <c r="R74" i="43"/>
  <c r="AJ74" i="43"/>
  <c r="AK74" i="43" s="1"/>
  <c r="C71" i="45" s="1"/>
  <c r="AU74" i="43"/>
  <c r="AH74" i="43" s="1"/>
  <c r="AI74" i="43" s="1"/>
  <c r="D71" i="45" s="1"/>
  <c r="U71" i="45" s="1"/>
  <c r="X74" i="43"/>
  <c r="L74" i="43"/>
  <c r="N74" i="43" s="1"/>
  <c r="L127" i="43"/>
  <c r="N127" i="43" s="1"/>
  <c r="X127" i="43"/>
  <c r="R132" i="43"/>
  <c r="AJ132" i="43"/>
  <c r="AK132" i="43" s="1"/>
  <c r="C129" i="45" s="1"/>
  <c r="AU132" i="43"/>
  <c r="AH132" i="43" s="1"/>
  <c r="AI132" i="43" s="1"/>
  <c r="D129" i="45" s="1"/>
  <c r="U129" i="45" s="1"/>
  <c r="R135" i="43"/>
  <c r="AJ135" i="43"/>
  <c r="AK135" i="43" s="1"/>
  <c r="C132" i="45" s="1"/>
  <c r="R107" i="43"/>
  <c r="AJ107" i="43"/>
  <c r="AK107" i="43" s="1"/>
  <c r="C104" i="45" s="1"/>
  <c r="X107" i="43"/>
  <c r="L107" i="43"/>
  <c r="N107" i="43" s="1"/>
  <c r="AU107" i="43" s="1"/>
  <c r="AH107" i="43" s="1"/>
  <c r="AI107" i="43" s="1"/>
  <c r="D104" i="45" s="1"/>
  <c r="U104" i="45" s="1"/>
  <c r="AU163" i="43"/>
  <c r="AH163" i="43" s="1"/>
  <c r="AI163" i="43" s="1"/>
  <c r="FP163" i="43"/>
  <c r="Q163" i="43"/>
  <c r="AV63" i="43"/>
  <c r="CO63" i="43"/>
  <c r="CN63" i="43" s="1"/>
  <c r="BC63" i="43"/>
  <c r="DG63" i="43"/>
  <c r="BT63" i="43"/>
  <c r="BS63" i="43" s="1"/>
  <c r="Y63" i="43"/>
  <c r="T63" i="43"/>
  <c r="DB63" i="43"/>
  <c r="DD63" i="43" s="1"/>
  <c r="DC63" i="43"/>
  <c r="CJ63" i="43"/>
  <c r="EB63" i="43"/>
  <c r="BO63" i="43"/>
  <c r="BN63" i="43"/>
  <c r="BP63" i="43" s="1"/>
  <c r="BC108" i="43"/>
  <c r="AV108" i="43"/>
  <c r="DG108" i="43"/>
  <c r="CO108" i="43"/>
  <c r="CN108" i="43" s="1"/>
  <c r="BT108" i="43"/>
  <c r="BS108" i="43" s="1"/>
  <c r="Y108" i="43"/>
  <c r="T108" i="43"/>
  <c r="DC108" i="43"/>
  <c r="DB108" i="43"/>
  <c r="DD108" i="43" s="1"/>
  <c r="EB108" i="43"/>
  <c r="BN108" i="43"/>
  <c r="BP108" i="43" s="1"/>
  <c r="CJ108" i="43"/>
  <c r="BO108" i="43"/>
  <c r="DG118" i="43"/>
  <c r="Y118" i="43"/>
  <c r="CO118" i="43"/>
  <c r="CN118" i="43" s="1"/>
  <c r="BC118" i="43"/>
  <c r="BT118" i="43"/>
  <c r="BS118" i="43" s="1"/>
  <c r="AV118" i="43"/>
  <c r="T118" i="43"/>
  <c r="DC118" i="43"/>
  <c r="DB118" i="43"/>
  <c r="DD118" i="43" s="1"/>
  <c r="CJ118" i="43"/>
  <c r="EB118" i="43"/>
  <c r="BO118" i="43"/>
  <c r="BN118" i="43"/>
  <c r="BP118" i="43" s="1"/>
  <c r="R121" i="43"/>
  <c r="AJ121" i="43"/>
  <c r="AK121" i="43" s="1"/>
  <c r="C118" i="45" s="1"/>
  <c r="R137" i="43"/>
  <c r="AU137" i="43"/>
  <c r="AH137" i="43" s="1"/>
  <c r="AI137" i="43" s="1"/>
  <c r="HZ137" i="43" s="1"/>
  <c r="AJ137" i="43"/>
  <c r="AK137" i="43" s="1"/>
  <c r="C134" i="45" s="1"/>
  <c r="R157" i="43"/>
  <c r="AJ157" i="43"/>
  <c r="AK157" i="43" s="1"/>
  <c r="C154" i="45" s="1"/>
  <c r="L101" i="43"/>
  <c r="N101" i="43" s="1"/>
  <c r="X101" i="43"/>
  <c r="Q95" i="43"/>
  <c r="Q73" i="43"/>
  <c r="FP73" i="43"/>
  <c r="L80" i="43"/>
  <c r="N80" i="43" s="1"/>
  <c r="FP80" i="43" s="1"/>
  <c r="X80" i="43"/>
  <c r="Y57" i="43"/>
  <c r="CO57" i="43"/>
  <c r="CN57" i="43" s="1"/>
  <c r="DG57" i="43"/>
  <c r="BT57" i="43"/>
  <c r="BS57" i="43" s="1"/>
  <c r="AV57" i="43"/>
  <c r="BC57" i="43"/>
  <c r="T57" i="43"/>
  <c r="EB57" i="43"/>
  <c r="BN57" i="43"/>
  <c r="BP57" i="43" s="1"/>
  <c r="BO57" i="43"/>
  <c r="CJ57" i="43"/>
  <c r="DB57" i="43"/>
  <c r="DD57" i="43" s="1"/>
  <c r="DC57" i="43"/>
  <c r="DG110" i="43"/>
  <c r="AV110" i="43"/>
  <c r="CO110" i="43"/>
  <c r="CN110" i="43" s="1"/>
  <c r="BC110" i="43"/>
  <c r="BT110" i="43"/>
  <c r="BS110" i="43" s="1"/>
  <c r="Y110" i="43"/>
  <c r="T110" i="43"/>
  <c r="DB110" i="43"/>
  <c r="DD110" i="43" s="1"/>
  <c r="BO110" i="43"/>
  <c r="BN110" i="43"/>
  <c r="BP110" i="43" s="1"/>
  <c r="CJ110" i="43"/>
  <c r="DC110" i="43"/>
  <c r="EB110" i="43"/>
  <c r="AV78" i="43"/>
  <c r="CO78" i="43"/>
  <c r="CN78" i="43" s="1"/>
  <c r="T78" i="43"/>
  <c r="Y78" i="43"/>
  <c r="DG78" i="43"/>
  <c r="BT78" i="43"/>
  <c r="BS78" i="43" s="1"/>
  <c r="BC78" i="43"/>
  <c r="DC78" i="43"/>
  <c r="BO78" i="43"/>
  <c r="EB78" i="43"/>
  <c r="BN78" i="43"/>
  <c r="BP78" i="43" s="1"/>
  <c r="CJ78" i="43"/>
  <c r="DB78" i="43"/>
  <c r="DD78" i="43" s="1"/>
  <c r="BT102" i="43"/>
  <c r="BS102" i="43" s="1"/>
  <c r="Y102" i="43"/>
  <c r="DG102" i="43"/>
  <c r="AV102" i="43"/>
  <c r="CO102" i="43"/>
  <c r="CN102" i="43" s="1"/>
  <c r="BC102" i="43"/>
  <c r="T102" i="43"/>
  <c r="EB102" i="43"/>
  <c r="CJ102" i="43"/>
  <c r="DC102" i="43"/>
  <c r="BO102" i="43"/>
  <c r="DB102" i="43"/>
  <c r="DD102" i="43" s="1"/>
  <c r="BN102" i="43"/>
  <c r="BP102" i="43" s="1"/>
  <c r="L154" i="43"/>
  <c r="N154" i="43" s="1"/>
  <c r="X154" i="43"/>
  <c r="X149" i="43"/>
  <c r="L149" i="43"/>
  <c r="N149" i="43" s="1"/>
  <c r="AU149" i="43" s="1"/>
  <c r="AH149" i="43" s="1"/>
  <c r="AI149" i="43" s="1"/>
  <c r="HZ149" i="43" s="1"/>
  <c r="R141" i="43"/>
  <c r="AU141" i="43"/>
  <c r="AH141" i="43" s="1"/>
  <c r="AI141" i="43" s="1"/>
  <c r="D138" i="45" s="1"/>
  <c r="U138" i="45" s="1"/>
  <c r="AJ141" i="43"/>
  <c r="AK141" i="43" s="1"/>
  <c r="C138" i="45" s="1"/>
  <c r="Q84" i="43"/>
  <c r="FP84" i="43"/>
  <c r="Y206" i="43"/>
  <c r="BT206" i="43"/>
  <c r="BS206" i="43" s="1"/>
  <c r="BC206" i="43"/>
  <c r="CO206" i="43"/>
  <c r="CN206" i="43" s="1"/>
  <c r="DG206" i="43"/>
  <c r="L93" i="43"/>
  <c r="N93" i="43" s="1"/>
  <c r="FP93" i="43" s="1"/>
  <c r="X93" i="43"/>
  <c r="X92" i="43"/>
  <c r="L92" i="43"/>
  <c r="N92" i="43" s="1"/>
  <c r="FP92" i="43" s="1"/>
  <c r="R152" i="43"/>
  <c r="AJ152" i="43"/>
  <c r="AK152" i="43" s="1"/>
  <c r="C149" i="45" s="1"/>
  <c r="AU152" i="43"/>
  <c r="AH152" i="43" s="1"/>
  <c r="AI152" i="43" s="1"/>
  <c r="HZ152" i="43" s="1"/>
  <c r="X115" i="43"/>
  <c r="L115" i="43"/>
  <c r="N115" i="43" s="1"/>
  <c r="R155" i="43"/>
  <c r="AJ155" i="43"/>
  <c r="AK155" i="43" s="1"/>
  <c r="AU155" i="43"/>
  <c r="AH155" i="43" s="1"/>
  <c r="AI155" i="43" s="1"/>
  <c r="D152" i="45" s="1"/>
  <c r="U152" i="45" s="1"/>
  <c r="R119" i="43"/>
  <c r="AJ119" i="43"/>
  <c r="AK119" i="43" s="1"/>
  <c r="C116" i="45" s="1"/>
  <c r="AU119" i="43"/>
  <c r="AH119" i="43" s="1"/>
  <c r="AI119" i="43" s="1"/>
  <c r="AV146" i="43"/>
  <c r="Y146" i="43"/>
  <c r="CO146" i="43"/>
  <c r="CN146" i="43" s="1"/>
  <c r="BT146" i="43"/>
  <c r="BS146" i="43" s="1"/>
  <c r="DG146" i="43"/>
  <c r="BC146" i="43"/>
  <c r="T146" i="43"/>
  <c r="DB146" i="43"/>
  <c r="DD146" i="43" s="1"/>
  <c r="CJ146" i="43"/>
  <c r="DC146" i="43"/>
  <c r="BN146" i="43"/>
  <c r="BP146" i="43" s="1"/>
  <c r="EB146" i="43"/>
  <c r="BO146" i="43"/>
  <c r="R117" i="43"/>
  <c r="AJ117" i="43"/>
  <c r="AK117" i="43" s="1"/>
  <c r="C114" i="45" s="1"/>
  <c r="AU117" i="43"/>
  <c r="AH117" i="43" s="1"/>
  <c r="AI117" i="43" s="1"/>
  <c r="HZ117" i="43" s="1"/>
  <c r="X68" i="43"/>
  <c r="L68" i="43"/>
  <c r="N68" i="43" s="1"/>
  <c r="X104" i="43"/>
  <c r="L104" i="43"/>
  <c r="N104" i="43" s="1"/>
  <c r="Q148" i="43"/>
  <c r="R103" i="43"/>
  <c r="AJ103" i="43"/>
  <c r="AK103" i="43" s="1"/>
  <c r="L157" i="43"/>
  <c r="N157" i="43" s="1"/>
  <c r="AU157" i="43" s="1"/>
  <c r="AH157" i="43" s="1"/>
  <c r="AI157" i="43" s="1"/>
  <c r="D154" i="45" s="1"/>
  <c r="U154" i="45" s="1"/>
  <c r="X157" i="43"/>
  <c r="Q144" i="43"/>
  <c r="L136" i="43"/>
  <c r="N136" i="43" s="1"/>
  <c r="FP136" i="43" s="1"/>
  <c r="X136" i="43"/>
  <c r="AV130" i="43"/>
  <c r="BC130" i="43"/>
  <c r="DG130" i="43"/>
  <c r="BT130" i="43"/>
  <c r="BS130" i="43" s="1"/>
  <c r="Y130" i="43"/>
  <c r="CO130" i="43"/>
  <c r="CN130" i="43" s="1"/>
  <c r="T130" i="43"/>
  <c r="BO130" i="43"/>
  <c r="BN130" i="43"/>
  <c r="BP130" i="43" s="1"/>
  <c r="EB130" i="43"/>
  <c r="CJ130" i="43"/>
  <c r="DC130" i="43"/>
  <c r="DB130" i="43"/>
  <c r="DD130" i="43" s="1"/>
  <c r="AV142" i="43"/>
  <c r="Y142" i="43"/>
  <c r="BT142" i="43"/>
  <c r="BS142" i="43" s="1"/>
  <c r="DG142" i="43"/>
  <c r="BC142" i="43"/>
  <c r="CO142" i="43"/>
  <c r="CN142" i="43" s="1"/>
  <c r="T142" i="43"/>
  <c r="BN142" i="43"/>
  <c r="BP142" i="43" s="1"/>
  <c r="DB142" i="43"/>
  <c r="DD142" i="43" s="1"/>
  <c r="EB142" i="43"/>
  <c r="CJ142" i="43"/>
  <c r="BO142" i="43"/>
  <c r="DC142" i="43"/>
  <c r="CO158" i="43"/>
  <c r="CN158" i="43" s="1"/>
  <c r="BC158" i="43"/>
  <c r="Y158" i="43"/>
  <c r="BT158" i="43"/>
  <c r="BS158" i="43" s="1"/>
  <c r="AV158" i="43"/>
  <c r="DG158" i="43"/>
  <c r="T158" i="43"/>
  <c r="EB158" i="43"/>
  <c r="BO158" i="43"/>
  <c r="CJ158" i="43"/>
  <c r="DC158" i="43"/>
  <c r="DB158" i="43"/>
  <c r="DD158" i="43" s="1"/>
  <c r="BN158" i="43"/>
  <c r="BP158" i="43" s="1"/>
  <c r="BT67" i="43"/>
  <c r="BS67" i="43" s="1"/>
  <c r="AV67" i="43"/>
  <c r="BC67" i="43"/>
  <c r="Y67" i="43"/>
  <c r="DG67" i="43"/>
  <c r="CO67" i="43"/>
  <c r="CN67" i="43" s="1"/>
  <c r="T67" i="43"/>
  <c r="EB67" i="43"/>
  <c r="BO67" i="43"/>
  <c r="BN67" i="43"/>
  <c r="BP67" i="43" s="1"/>
  <c r="DB67" i="43"/>
  <c r="DD67" i="43" s="1"/>
  <c r="DC67" i="43"/>
  <c r="CJ67" i="43"/>
  <c r="CO150" i="43"/>
  <c r="CN150" i="43" s="1"/>
  <c r="Y150" i="43"/>
  <c r="DG150" i="43"/>
  <c r="AV150" i="43"/>
  <c r="BC150" i="43"/>
  <c r="BT150" i="43"/>
  <c r="BS150" i="43" s="1"/>
  <c r="T150" i="43"/>
  <c r="BN150" i="43"/>
  <c r="BP150" i="43" s="1"/>
  <c r="DC150" i="43"/>
  <c r="EB150" i="43"/>
  <c r="DB150" i="43"/>
  <c r="DD150" i="43" s="1"/>
  <c r="CJ150" i="43"/>
  <c r="BO150" i="43"/>
  <c r="BC86" i="43"/>
  <c r="BT86" i="43"/>
  <c r="BS86" i="43" s="1"/>
  <c r="AV86" i="43"/>
  <c r="DG86" i="43"/>
  <c r="Y86" i="43"/>
  <c r="CO86" i="43"/>
  <c r="CN86" i="43" s="1"/>
  <c r="T86" i="43"/>
  <c r="EB86" i="43"/>
  <c r="CJ86" i="43"/>
  <c r="DC86" i="43"/>
  <c r="BO86" i="43"/>
  <c r="DB86" i="43"/>
  <c r="DD86" i="43" s="1"/>
  <c r="BN86" i="43"/>
  <c r="BP86" i="43" s="1"/>
  <c r="R85" i="43"/>
  <c r="AU85" i="43"/>
  <c r="AH85" i="43" s="1"/>
  <c r="AI85" i="43" s="1"/>
  <c r="HZ85" i="43" s="1"/>
  <c r="AJ85" i="43"/>
  <c r="AK85" i="43" s="1"/>
  <c r="C82" i="45" s="1"/>
  <c r="R133" i="43"/>
  <c r="AJ133" i="43"/>
  <c r="AK133" i="43" s="1"/>
  <c r="X156" i="43"/>
  <c r="L156" i="43"/>
  <c r="N156" i="43" s="1"/>
  <c r="R154" i="43"/>
  <c r="AU154" i="43"/>
  <c r="AH154" i="43" s="1"/>
  <c r="AI154" i="43" s="1"/>
  <c r="HZ154" i="43" s="1"/>
  <c r="AJ154" i="43"/>
  <c r="AK154" i="43" s="1"/>
  <c r="R90" i="43"/>
  <c r="AJ90" i="43"/>
  <c r="AK90" i="43" s="1"/>
  <c r="C87" i="45" s="1"/>
  <c r="AU90" i="43"/>
  <c r="AH90" i="43" s="1"/>
  <c r="AI90" i="43" s="1"/>
  <c r="D87" i="45" s="1"/>
  <c r="U87" i="45" s="1"/>
  <c r="L72" i="43"/>
  <c r="N72" i="43" s="1"/>
  <c r="FP72" i="43" s="1"/>
  <c r="X72" i="43"/>
  <c r="R140" i="43"/>
  <c r="AU140" i="43"/>
  <c r="AH140" i="43" s="1"/>
  <c r="AI140" i="43" s="1"/>
  <c r="HZ140" i="43" s="1"/>
  <c r="AJ140" i="43"/>
  <c r="AK140" i="43" s="1"/>
  <c r="C137" i="45" s="1"/>
  <c r="R105" i="43"/>
  <c r="AJ105" i="43"/>
  <c r="AK105" i="43" s="1"/>
  <c r="C102" i="45" s="1"/>
  <c r="X105" i="43"/>
  <c r="L105" i="43"/>
  <c r="N105" i="43" s="1"/>
  <c r="FP105" i="43" s="1"/>
  <c r="L141" i="43"/>
  <c r="N141" i="43" s="1"/>
  <c r="FP141" i="43" s="1"/>
  <c r="X141" i="43"/>
  <c r="R92" i="43"/>
  <c r="AJ92" i="43"/>
  <c r="AK92" i="43" s="1"/>
  <c r="AU92" i="43"/>
  <c r="AH92" i="43" s="1"/>
  <c r="AI92" i="43" s="1"/>
  <c r="D89" i="45" s="1"/>
  <c r="U89" i="45" s="1"/>
  <c r="L152" i="43"/>
  <c r="N152" i="43" s="1"/>
  <c r="X152" i="43"/>
  <c r="R83" i="43"/>
  <c r="AU83" i="43"/>
  <c r="AH83" i="43" s="1"/>
  <c r="AI83" i="43" s="1"/>
  <c r="AJ83" i="43"/>
  <c r="AK83" i="43" s="1"/>
  <c r="C80" i="45" s="1"/>
  <c r="L83" i="43"/>
  <c r="N83" i="43" s="1"/>
  <c r="X83" i="43"/>
  <c r="R147" i="43"/>
  <c r="AJ147" i="43"/>
  <c r="AK147" i="43" s="1"/>
  <c r="C144" i="45" s="1"/>
  <c r="L147" i="43"/>
  <c r="N147" i="43" s="1"/>
  <c r="FP147" i="43" s="1"/>
  <c r="X147" i="43"/>
  <c r="Q125" i="43"/>
  <c r="FP125" i="43"/>
  <c r="Q128" i="43"/>
  <c r="R64" i="43"/>
  <c r="AJ64" i="43"/>
  <c r="AK64" i="43" s="1"/>
  <c r="C61" i="45" s="1"/>
  <c r="L64" i="43"/>
  <c r="N64" i="43" s="1"/>
  <c r="FP64" i="43" s="1"/>
  <c r="X64" i="43"/>
  <c r="R60" i="43"/>
  <c r="AJ60" i="43"/>
  <c r="AK60" i="43" s="1"/>
  <c r="C57" i="45" s="1"/>
  <c r="AU60" i="43"/>
  <c r="AH60" i="43" s="1"/>
  <c r="AI60" i="43" s="1"/>
  <c r="HZ60" i="43" s="1"/>
  <c r="L60" i="43"/>
  <c r="N60" i="43" s="1"/>
  <c r="X60" i="43"/>
  <c r="L111" i="43"/>
  <c r="N111" i="43" s="1"/>
  <c r="X111" i="43"/>
  <c r="L132" i="43"/>
  <c r="N132" i="43" s="1"/>
  <c r="X132" i="43"/>
  <c r="Q106" i="43"/>
  <c r="Q164" i="43"/>
  <c r="AK167" i="43"/>
  <c r="EN167" i="43"/>
  <c r="Q61" i="43"/>
  <c r="FP61" i="43"/>
  <c r="Q77" i="43"/>
  <c r="L81" i="43"/>
  <c r="N81" i="43" s="1"/>
  <c r="FP81" i="43" s="1"/>
  <c r="X81" i="43"/>
  <c r="X121" i="43"/>
  <c r="L121" i="43"/>
  <c r="N121" i="43" s="1"/>
  <c r="FP121" i="43" s="1"/>
  <c r="L103" i="43"/>
  <c r="N103" i="43" s="1"/>
  <c r="FP103" i="43" s="1"/>
  <c r="X103" i="43"/>
  <c r="R76" i="43"/>
  <c r="AJ76" i="43"/>
  <c r="AK76" i="43" s="1"/>
  <c r="AU76" i="43"/>
  <c r="AH76" i="43" s="1"/>
  <c r="AI76" i="43" s="1"/>
  <c r="HZ76" i="43" s="1"/>
  <c r="L76" i="43"/>
  <c r="N76" i="43" s="1"/>
  <c r="X76" i="43"/>
  <c r="L137" i="43"/>
  <c r="N137" i="43" s="1"/>
  <c r="FP137" i="43" s="1"/>
  <c r="X137" i="43"/>
  <c r="R89" i="43"/>
  <c r="AJ89" i="43"/>
  <c r="AK89" i="43" s="1"/>
  <c r="L89" i="43"/>
  <c r="N89" i="43" s="1"/>
  <c r="FP89" i="43" s="1"/>
  <c r="X89" i="43"/>
  <c r="R101" i="43"/>
  <c r="AU101" i="43"/>
  <c r="AH101" i="43" s="1"/>
  <c r="AI101" i="43" s="1"/>
  <c r="D98" i="45" s="1"/>
  <c r="U98" i="45" s="1"/>
  <c r="AJ101" i="43"/>
  <c r="AK101" i="43" s="1"/>
  <c r="C98" i="45" s="1"/>
  <c r="Q99" i="43"/>
  <c r="Q88" i="43"/>
  <c r="Q124" i="43"/>
  <c r="R136" i="43"/>
  <c r="AU136" i="43"/>
  <c r="AH136" i="43" s="1"/>
  <c r="AI136" i="43" s="1"/>
  <c r="HZ136" i="43" s="1"/>
  <c r="AJ136" i="43"/>
  <c r="AK136" i="43" s="1"/>
  <c r="BC59" i="43"/>
  <c r="BT59" i="43"/>
  <c r="BS59" i="43" s="1"/>
  <c r="CO59" i="43"/>
  <c r="CN59" i="43" s="1"/>
  <c r="Y59" i="43"/>
  <c r="AV59" i="43"/>
  <c r="DG59" i="43"/>
  <c r="T59" i="43"/>
  <c r="DB59" i="43"/>
  <c r="DD59" i="43" s="1"/>
  <c r="DC59" i="43"/>
  <c r="CJ59" i="43"/>
  <c r="EB59" i="43"/>
  <c r="BO59" i="43"/>
  <c r="BN59" i="43"/>
  <c r="BP59" i="43" s="1"/>
  <c r="BT79" i="43"/>
  <c r="BS79" i="43" s="1"/>
  <c r="CO79" i="43"/>
  <c r="CN79" i="43" s="1"/>
  <c r="AV79" i="43"/>
  <c r="DG79" i="43"/>
  <c r="BC79" i="43"/>
  <c r="Y79" i="43"/>
  <c r="T79" i="43"/>
  <c r="BO79" i="43"/>
  <c r="CJ79" i="43"/>
  <c r="BN79" i="43"/>
  <c r="BP79" i="43" s="1"/>
  <c r="DB79" i="43"/>
  <c r="DD79" i="43" s="1"/>
  <c r="DC79" i="43"/>
  <c r="EB79" i="43"/>
  <c r="CO82" i="43"/>
  <c r="CN82" i="43" s="1"/>
  <c r="BC82" i="43"/>
  <c r="BT82" i="43"/>
  <c r="BS82" i="43" s="1"/>
  <c r="AV82" i="43"/>
  <c r="DG82" i="43"/>
  <c r="Y82" i="43"/>
  <c r="T82" i="43"/>
  <c r="BO82" i="43"/>
  <c r="BN82" i="43"/>
  <c r="BP82" i="43" s="1"/>
  <c r="EB82" i="43"/>
  <c r="DB82" i="43"/>
  <c r="DD82" i="43" s="1"/>
  <c r="CJ82" i="43"/>
  <c r="DC82" i="43"/>
  <c r="CO98" i="43"/>
  <c r="CN98" i="43" s="1"/>
  <c r="BC98" i="43"/>
  <c r="BT98" i="43"/>
  <c r="BS98" i="43" s="1"/>
  <c r="Y98" i="43"/>
  <c r="DG98" i="43"/>
  <c r="AV98" i="43"/>
  <c r="T98" i="43"/>
  <c r="DB98" i="43"/>
  <c r="DD98" i="43" s="1"/>
  <c r="BO98" i="43"/>
  <c r="BN98" i="43"/>
  <c r="BP98" i="43" s="1"/>
  <c r="EB98" i="43"/>
  <c r="CJ98" i="43"/>
  <c r="DC98" i="43"/>
  <c r="Y205" i="43"/>
  <c r="CO205" i="43"/>
  <c r="CN205" i="43" s="1"/>
  <c r="BT205" i="43"/>
  <c r="BS205" i="43" s="1"/>
  <c r="DG205" i="43"/>
  <c r="BC205" i="43"/>
  <c r="BC114" i="43"/>
  <c r="CO114" i="43"/>
  <c r="CN114" i="43" s="1"/>
  <c r="BT114" i="43"/>
  <c r="BS114" i="43" s="1"/>
  <c r="DG114" i="43"/>
  <c r="AV114" i="43"/>
  <c r="Y114" i="43"/>
  <c r="T114" i="43"/>
  <c r="DC114" i="43"/>
  <c r="BO114" i="43"/>
  <c r="DB114" i="43"/>
  <c r="DD114" i="43" s="1"/>
  <c r="BN114" i="43"/>
  <c r="BP114" i="43" s="1"/>
  <c r="CJ114" i="43"/>
  <c r="EB114" i="43"/>
  <c r="L85" i="43"/>
  <c r="N85" i="43" s="1"/>
  <c r="FP85" i="43" s="1"/>
  <c r="X85" i="43"/>
  <c r="R69" i="43"/>
  <c r="AU69" i="43"/>
  <c r="AH69" i="43" s="1"/>
  <c r="AI69" i="43" s="1"/>
  <c r="D66" i="45" s="1"/>
  <c r="U66" i="45" s="1"/>
  <c r="AJ69" i="43"/>
  <c r="AK69" i="43" s="1"/>
  <c r="C66" i="45" s="1"/>
  <c r="X69" i="43"/>
  <c r="L69" i="43"/>
  <c r="N69" i="43" s="1"/>
  <c r="FP69" i="43" s="1"/>
  <c r="R156" i="43"/>
  <c r="AJ156" i="43"/>
  <c r="AK156" i="43" s="1"/>
  <c r="AU156" i="43"/>
  <c r="AH156" i="43" s="1"/>
  <c r="AI156" i="43" s="1"/>
  <c r="D153" i="45" s="1"/>
  <c r="U153" i="45" s="1"/>
  <c r="L140" i="43"/>
  <c r="N140" i="43" s="1"/>
  <c r="X140" i="43"/>
  <c r="R143" i="43"/>
  <c r="AJ143" i="43"/>
  <c r="AK143" i="43" s="1"/>
  <c r="C140" i="45" s="1"/>
  <c r="R93" i="43"/>
  <c r="AU93" i="43"/>
  <c r="AH93" i="43" s="1"/>
  <c r="AI93" i="43" s="1"/>
  <c r="D90" i="45" s="1"/>
  <c r="U90" i="45" s="1"/>
  <c r="AJ93" i="43"/>
  <c r="AK93" i="43" s="1"/>
  <c r="C90" i="45" s="1"/>
  <c r="X70" i="43"/>
  <c r="L70" i="43"/>
  <c r="N70" i="43" s="1"/>
  <c r="FP70" i="43" s="1"/>
  <c r="R115" i="43"/>
  <c r="AJ115" i="43"/>
  <c r="AK115" i="43" s="1"/>
  <c r="C112" i="45" s="1"/>
  <c r="AU115" i="43"/>
  <c r="AH115" i="43" s="1"/>
  <c r="AI115" i="43" s="1"/>
  <c r="D112" i="45" s="1"/>
  <c r="U112" i="45" s="1"/>
  <c r="L155" i="43"/>
  <c r="N155" i="43" s="1"/>
  <c r="FP155" i="43" s="1"/>
  <c r="X155" i="43"/>
  <c r="X113" i="43"/>
  <c r="L113" i="43"/>
  <c r="N113" i="43" s="1"/>
  <c r="FP113" i="43" s="1"/>
  <c r="R139" i="43"/>
  <c r="AJ139" i="43"/>
  <c r="AK139" i="43" s="1"/>
  <c r="AU139" i="43"/>
  <c r="AH139" i="43" s="1"/>
  <c r="AI139" i="43" s="1"/>
  <c r="D136" i="45" s="1"/>
  <c r="U136" i="45" s="1"/>
  <c r="AK163" i="43"/>
  <c r="Q112" i="43"/>
  <c r="L119" i="43"/>
  <c r="N119" i="43" s="1"/>
  <c r="X119" i="43"/>
  <c r="Y134" i="43"/>
  <c r="BC134" i="43"/>
  <c r="CO134" i="43"/>
  <c r="CN134" i="43" s="1"/>
  <c r="AV134" i="43"/>
  <c r="BT134" i="43"/>
  <c r="BS134" i="43" s="1"/>
  <c r="DG134" i="43"/>
  <c r="T134" i="43"/>
  <c r="DB134" i="43"/>
  <c r="DD134" i="43" s="1"/>
  <c r="CJ134" i="43"/>
  <c r="DC134" i="43"/>
  <c r="BN134" i="43"/>
  <c r="BP134" i="43" s="1"/>
  <c r="EB134" i="43"/>
  <c r="BO134" i="43"/>
  <c r="CO94" i="43"/>
  <c r="CN94" i="43" s="1"/>
  <c r="BC94" i="43"/>
  <c r="BT94" i="43"/>
  <c r="BS94" i="43" s="1"/>
  <c r="Y94" i="43"/>
  <c r="DG94" i="43"/>
  <c r="AV94" i="43"/>
  <c r="T94" i="43"/>
  <c r="DB94" i="43"/>
  <c r="DD94" i="43" s="1"/>
  <c r="CJ94" i="43"/>
  <c r="DC94" i="43"/>
  <c r="EB94" i="43"/>
  <c r="BO94" i="43"/>
  <c r="BN94" i="43"/>
  <c r="BP94" i="43" s="1"/>
  <c r="BT126" i="43"/>
  <c r="BS126" i="43" s="1"/>
  <c r="BC126" i="43"/>
  <c r="Y126" i="43"/>
  <c r="AV126" i="43"/>
  <c r="CO126" i="43"/>
  <c r="CN126" i="43" s="1"/>
  <c r="DG126" i="43"/>
  <c r="T126" i="43"/>
  <c r="DB126" i="43"/>
  <c r="DD126" i="43" s="1"/>
  <c r="CJ126" i="43"/>
  <c r="DC126" i="43"/>
  <c r="BO126" i="43"/>
  <c r="BN126" i="43"/>
  <c r="BP126" i="43" s="1"/>
  <c r="EB126" i="43"/>
  <c r="X62" i="43"/>
  <c r="L62" i="43"/>
  <c r="N62" i="43" s="1"/>
  <c r="FP62" i="43" s="1"/>
  <c r="X123" i="43"/>
  <c r="L123" i="43"/>
  <c r="N123" i="43" s="1"/>
  <c r="FP123" i="43" s="1"/>
  <c r="R127" i="43"/>
  <c r="AJ127" i="43"/>
  <c r="AK127" i="43" s="1"/>
  <c r="C124" i="45" s="1"/>
  <c r="AU127" i="43"/>
  <c r="AH127" i="43" s="1"/>
  <c r="AI127" i="43" s="1"/>
  <c r="D124" i="45" s="1"/>
  <c r="U124" i="45" s="1"/>
  <c r="R111" i="43"/>
  <c r="AJ111" i="43"/>
  <c r="AK111" i="43" s="1"/>
  <c r="AU111" i="43"/>
  <c r="AH111" i="43" s="1"/>
  <c r="AI111" i="43" s="1"/>
  <c r="D108" i="45" s="1"/>
  <c r="U108" i="45" s="1"/>
  <c r="R109" i="43"/>
  <c r="AJ109" i="43"/>
  <c r="AK109" i="43" s="1"/>
  <c r="C106" i="45" s="1"/>
  <c r="AU109" i="43"/>
  <c r="AH109" i="43" s="1"/>
  <c r="AI109" i="43" s="1"/>
  <c r="D106" i="45" s="1"/>
  <c r="U106" i="45" s="1"/>
  <c r="X109" i="43"/>
  <c r="L109" i="43"/>
  <c r="N109" i="43" s="1"/>
  <c r="FP109" i="43" s="1"/>
  <c r="R68" i="43"/>
  <c r="AJ68" i="43"/>
  <c r="AK68" i="43" s="1"/>
  <c r="C65" i="45" s="1"/>
  <c r="AU68" i="43"/>
  <c r="AH68" i="43" s="1"/>
  <c r="AI68" i="43" s="1"/>
  <c r="D65" i="45" s="1"/>
  <c r="U65" i="45" s="1"/>
  <c r="X135" i="43"/>
  <c r="L135" i="43"/>
  <c r="N135" i="43" s="1"/>
  <c r="FP135" i="43" s="1"/>
  <c r="R66" i="43"/>
  <c r="AJ66" i="43"/>
  <c r="AK66" i="43" s="1"/>
  <c r="C63" i="45" s="1"/>
  <c r="AU66" i="43"/>
  <c r="AH66" i="43" s="1"/>
  <c r="AI66" i="43" s="1"/>
  <c r="D63" i="45" s="1"/>
  <c r="U63" i="45" s="1"/>
  <c r="X66" i="43"/>
  <c r="L66" i="43"/>
  <c r="N66" i="43" s="1"/>
  <c r="R104" i="43"/>
  <c r="AJ104" i="43"/>
  <c r="AK104" i="43" s="1"/>
  <c r="C101" i="45" s="1"/>
  <c r="AU104" i="43"/>
  <c r="AH104" i="43" s="1"/>
  <c r="AI104" i="43" s="1"/>
  <c r="HZ104" i="43" s="1"/>
  <c r="R81" i="43"/>
  <c r="AU81" i="43"/>
  <c r="AH81" i="43" s="1"/>
  <c r="AI81" i="43" s="1"/>
  <c r="HZ81" i="43" s="1"/>
  <c r="AJ81" i="43"/>
  <c r="AK81" i="43" s="1"/>
  <c r="R97" i="43"/>
  <c r="AJ97" i="43"/>
  <c r="AK97" i="43" s="1"/>
  <c r="C94" i="45" s="1"/>
  <c r="AU97" i="43"/>
  <c r="AH97" i="43" s="1"/>
  <c r="AI97" i="43" s="1"/>
  <c r="D94" i="45" s="1"/>
  <c r="U94" i="45" s="1"/>
  <c r="L97" i="43"/>
  <c r="N97" i="43" s="1"/>
  <c r="FP97" i="43" s="1"/>
  <c r="X97" i="43"/>
  <c r="R80" i="43"/>
  <c r="AJ80" i="43"/>
  <c r="AK80" i="43" s="1"/>
  <c r="AU80" i="43"/>
  <c r="AH80" i="43" s="1"/>
  <c r="AI80" i="43" s="1"/>
  <c r="D77" i="45" s="1"/>
  <c r="U77" i="45" s="1"/>
  <c r="BT138" i="43"/>
  <c r="BS138" i="43" s="1"/>
  <c r="T138" i="43"/>
  <c r="AV138" i="43"/>
  <c r="Y138" i="43"/>
  <c r="BC138" i="43"/>
  <c r="CO138" i="43"/>
  <c r="CN138" i="43" s="1"/>
  <c r="DG138" i="43"/>
  <c r="BO138" i="43"/>
  <c r="BN138" i="43"/>
  <c r="BP138" i="43" s="1"/>
  <c r="EB138" i="43"/>
  <c r="DB138" i="43"/>
  <c r="DD138" i="43" s="1"/>
  <c r="CJ138" i="43"/>
  <c r="DC138" i="43"/>
  <c r="BC71" i="43"/>
  <c r="CO71" i="43"/>
  <c r="CN71" i="43" s="1"/>
  <c r="DG71" i="43"/>
  <c r="AV71" i="43"/>
  <c r="BT71" i="43"/>
  <c r="BS71" i="43" s="1"/>
  <c r="Y71" i="43"/>
  <c r="T71" i="43"/>
  <c r="CJ71" i="43"/>
  <c r="DB71" i="43"/>
  <c r="DD71" i="43" s="1"/>
  <c r="DC71" i="43"/>
  <c r="EB71" i="43"/>
  <c r="BO71" i="43"/>
  <c r="BN71" i="43"/>
  <c r="BP71" i="43" s="1"/>
  <c r="Y75" i="43"/>
  <c r="BT75" i="43"/>
  <c r="BS75" i="43" s="1"/>
  <c r="AV75" i="43"/>
  <c r="BC75" i="43"/>
  <c r="CO75" i="43"/>
  <c r="CN75" i="43" s="1"/>
  <c r="DG75" i="43"/>
  <c r="T75" i="43"/>
  <c r="CJ75" i="43"/>
  <c r="BO75" i="43"/>
  <c r="DB75" i="43"/>
  <c r="DD75" i="43" s="1"/>
  <c r="BN75" i="43"/>
  <c r="BP75" i="43" s="1"/>
  <c r="DC75" i="43"/>
  <c r="EB75" i="43"/>
  <c r="AA244" i="43"/>
  <c r="AB244" i="43"/>
  <c r="IA244" i="43" s="1"/>
  <c r="AA245" i="43"/>
  <c r="AB245" i="43"/>
  <c r="HT245" i="43" s="1"/>
  <c r="HU245" i="43" s="1"/>
  <c r="HV245" i="43" s="1"/>
  <c r="BA245" i="43" s="1"/>
  <c r="AU245" i="43" s="1"/>
  <c r="AH245" i="43" s="1"/>
  <c r="AA184" i="43"/>
  <c r="AB184" i="43"/>
  <c r="IA184" i="43" s="1"/>
  <c r="AA228" i="43"/>
  <c r="AB228" i="43"/>
  <c r="IA228" i="43" s="1"/>
  <c r="AA232" i="43"/>
  <c r="AB232" i="43"/>
  <c r="IA232" i="43" s="1"/>
  <c r="FP228" i="43"/>
  <c r="N162" i="43"/>
  <c r="Q175" i="43"/>
  <c r="AB175" i="43" s="1"/>
  <c r="FP245" i="43"/>
  <c r="Q185" i="43"/>
  <c r="Q209" i="43"/>
  <c r="Q247" i="43"/>
  <c r="Q170" i="43"/>
  <c r="FP203" i="43"/>
  <c r="FP176" i="43"/>
  <c r="N166" i="43"/>
  <c r="Q166" i="43" s="1"/>
  <c r="FP170" i="43"/>
  <c r="FP184" i="43"/>
  <c r="Q174" i="43"/>
  <c r="AA174" i="43" s="1"/>
  <c r="Q169" i="43"/>
  <c r="AB169" i="43" s="1"/>
  <c r="N159" i="43"/>
  <c r="Q159" i="43" s="1"/>
  <c r="AU160" i="43"/>
  <c r="AH160" i="43" s="1"/>
  <c r="AI160" i="43" s="1"/>
  <c r="HZ160" i="43" s="1"/>
  <c r="N160" i="43"/>
  <c r="Q160" i="43" s="1"/>
  <c r="HT178" i="43"/>
  <c r="HU178" i="43" s="1"/>
  <c r="HV178" i="43" s="1"/>
  <c r="BA178" i="43" s="1"/>
  <c r="AU178" i="43" s="1"/>
  <c r="AH178" i="43" s="1"/>
  <c r="AI178" i="43" s="1"/>
  <c r="HZ178" i="43" s="1"/>
  <c r="ID178" i="43" s="1"/>
  <c r="AB274" i="43"/>
  <c r="AA274" i="43"/>
  <c r="FP274" i="43"/>
  <c r="FP271" i="43"/>
  <c r="AB272" i="43"/>
  <c r="FP272" i="43"/>
  <c r="AB271" i="43"/>
  <c r="AB270" i="43"/>
  <c r="AA270" i="43"/>
  <c r="FP270" i="43"/>
  <c r="AB269" i="43"/>
  <c r="FP269" i="43"/>
  <c r="FP268" i="43"/>
  <c r="AB268" i="43"/>
  <c r="FP267" i="43"/>
  <c r="AB267" i="43"/>
  <c r="FP265" i="43"/>
  <c r="FP264" i="43"/>
  <c r="FP261" i="43"/>
  <c r="FP257" i="43"/>
  <c r="FP259" i="43"/>
  <c r="FP260" i="43"/>
  <c r="FP256" i="43"/>
  <c r="AB253" i="43"/>
  <c r="FP253" i="43"/>
  <c r="AB252" i="43"/>
  <c r="FP252" i="43"/>
  <c r="AB249" i="43"/>
  <c r="FP249" i="43"/>
  <c r="AB248" i="43"/>
  <c r="FP248" i="43"/>
  <c r="AA224" i="43"/>
  <c r="I17" i="22"/>
  <c r="AB224" i="43"/>
  <c r="FP224" i="43"/>
  <c r="AB176" i="43"/>
  <c r="AB203" i="43"/>
  <c r="IA203" i="43" s="1"/>
  <c r="Q220" i="43"/>
  <c r="AU183" i="43"/>
  <c r="AH183" i="43" s="1"/>
  <c r="AZ183" i="43"/>
  <c r="V180" i="45" s="1"/>
  <c r="AA203" i="43"/>
  <c r="AA176" i="43"/>
  <c r="FP202" i="43"/>
  <c r="Q202" i="43"/>
  <c r="FP181" i="43"/>
  <c r="Q181" i="43"/>
  <c r="FP220" i="43"/>
  <c r="L17" i="22"/>
  <c r="E17" i="22"/>
  <c r="B17" i="22"/>
  <c r="P17" i="22"/>
  <c r="G16" i="22"/>
  <c r="J16" i="22"/>
  <c r="N16" i="22" s="1"/>
  <c r="O16" i="22" s="1"/>
  <c r="D17" i="22"/>
  <c r="M17" i="22"/>
  <c r="C17" i="22"/>
  <c r="H17" i="22"/>
  <c r="Q17" i="22"/>
  <c r="K17" i="22"/>
  <c r="A18" i="22"/>
  <c r="Q10" i="22"/>
  <c r="R10" i="22" s="1"/>
  <c r="Q16" i="22"/>
  <c r="F16" i="22" s="1"/>
  <c r="Q15" i="22"/>
  <c r="F15" i="22" s="1"/>
  <c r="Q12" i="22"/>
  <c r="R12" i="22" s="1"/>
  <c r="HZ54" i="43"/>
  <c r="IB54" i="43" s="1"/>
  <c r="D51" i="45"/>
  <c r="U51" i="45" s="1"/>
  <c r="Q17" i="44"/>
  <c r="Q19" i="44"/>
  <c r="Q20" i="44"/>
  <c r="Q18" i="44"/>
  <c r="Q16" i="44"/>
  <c r="AU159" i="43"/>
  <c r="AH159" i="43" s="1"/>
  <c r="EN159" i="43" s="1"/>
  <c r="HW36" i="43"/>
  <c r="HX36" i="43"/>
  <c r="L22" i="30"/>
  <c r="L9" i="30"/>
  <c r="L23" i="30"/>
  <c r="L19" i="30"/>
  <c r="L20" i="30"/>
  <c r="L21" i="30"/>
  <c r="M7" i="30"/>
  <c r="L6" i="30"/>
  <c r="L26" i="30"/>
  <c r="L28" i="30"/>
  <c r="L27" i="30"/>
  <c r="L17" i="30"/>
  <c r="L14" i="30"/>
  <c r="L16" i="30"/>
  <c r="L15" i="30"/>
  <c r="L10" i="30"/>
  <c r="L13" i="30"/>
  <c r="L11" i="30"/>
  <c r="L12" i="30"/>
  <c r="EO50" i="43"/>
  <c r="D47" i="45"/>
  <c r="U47" i="45" s="1"/>
  <c r="ID50" i="43"/>
  <c r="EN43" i="43"/>
  <c r="EN23" i="43"/>
  <c r="AI55" i="43"/>
  <c r="HZ55" i="43" s="1"/>
  <c r="IB55" i="43" s="1"/>
  <c r="AI170" i="43"/>
  <c r="EN170" i="43"/>
  <c r="IC48" i="43"/>
  <c r="HX48" i="43"/>
  <c r="HW48" i="43"/>
  <c r="IC44" i="43"/>
  <c r="HX44" i="43"/>
  <c r="HW44" i="43"/>
  <c r="IC25" i="43"/>
  <c r="HX25" i="43"/>
  <c r="HW25" i="43"/>
  <c r="IC52" i="43"/>
  <c r="HX52" i="43"/>
  <c r="HW52" i="43"/>
  <c r="IC34" i="43"/>
  <c r="HX34" i="43"/>
  <c r="HW34" i="43"/>
  <c r="IC49" i="43"/>
  <c r="HX49" i="43"/>
  <c r="HW49" i="43"/>
  <c r="IC14" i="43"/>
  <c r="HX14" i="43"/>
  <c r="HW14" i="43"/>
  <c r="Q14" i="44"/>
  <c r="IC29" i="43"/>
  <c r="HX29" i="43"/>
  <c r="HW29" i="43"/>
  <c r="IC50" i="43"/>
  <c r="HX50" i="43"/>
  <c r="HW50" i="43"/>
  <c r="IC37" i="43"/>
  <c r="HX37" i="43"/>
  <c r="HW37" i="43"/>
  <c r="IC167" i="43"/>
  <c r="HX167" i="43"/>
  <c r="HW167" i="43"/>
  <c r="IC30" i="43"/>
  <c r="HX30" i="43"/>
  <c r="HW30" i="43"/>
  <c r="IC16" i="43"/>
  <c r="HX16" i="43"/>
  <c r="HW16" i="43"/>
  <c r="AA205" i="24"/>
  <c r="AD206" i="24"/>
  <c r="IC42" i="43"/>
  <c r="HX42" i="43"/>
  <c r="HW42" i="43"/>
  <c r="IC21" i="43"/>
  <c r="HX21" i="43"/>
  <c r="HW21" i="43"/>
  <c r="IC32" i="43"/>
  <c r="HX32" i="43"/>
  <c r="HW32" i="43"/>
  <c r="IC38" i="43"/>
  <c r="HX38" i="43"/>
  <c r="HW38" i="43"/>
  <c r="IB53" i="43"/>
  <c r="ID53" i="43"/>
  <c r="IB120" i="43"/>
  <c r="IB100" i="43"/>
  <c r="IB15" i="43"/>
  <c r="ID15" i="43"/>
  <c r="IB47" i="43"/>
  <c r="ID47" i="43"/>
  <c r="IB46" i="43"/>
  <c r="ID46" i="43"/>
  <c r="IB20" i="43"/>
  <c r="ID20" i="43"/>
  <c r="IB27" i="43"/>
  <c r="ID27" i="43"/>
  <c r="IB45" i="43"/>
  <c r="ID45" i="43"/>
  <c r="IB39" i="43"/>
  <c r="ID39" i="43"/>
  <c r="IB18" i="43"/>
  <c r="IB31" i="43"/>
  <c r="ID31" i="43"/>
  <c r="IB33" i="43"/>
  <c r="ID33" i="43"/>
  <c r="IB23" i="43"/>
  <c r="ID23" i="43"/>
  <c r="IB22" i="43"/>
  <c r="ID22" i="43"/>
  <c r="IB19" i="43"/>
  <c r="ID19" i="43"/>
  <c r="IB43" i="43"/>
  <c r="ID43" i="43"/>
  <c r="IB95" i="43"/>
  <c r="IB24" i="43"/>
  <c r="ID24" i="43"/>
  <c r="IB41" i="43"/>
  <c r="ID41" i="43"/>
  <c r="IB26" i="43"/>
  <c r="ID26" i="43"/>
  <c r="IB35" i="43"/>
  <c r="ID35" i="43"/>
  <c r="IB56" i="43"/>
  <c r="ID56" i="43"/>
  <c r="IB51" i="43"/>
  <c r="ID51" i="43"/>
  <c r="W206" i="43"/>
  <c r="AF206" i="24"/>
  <c r="AE206" i="24"/>
  <c r="EN53" i="43"/>
  <c r="CB206" i="24"/>
  <c r="CB205" i="24"/>
  <c r="EN51" i="43"/>
  <c r="Z18" i="45"/>
  <c r="AA204" i="24"/>
  <c r="D33" i="35"/>
  <c r="Q10" i="44"/>
  <c r="Q13" i="44"/>
  <c r="D21" i="34"/>
  <c r="D96" i="35"/>
  <c r="D84" i="35"/>
  <c r="D80" i="35"/>
  <c r="D68" i="35"/>
  <c r="D56" i="35"/>
  <c r="D52" i="35"/>
  <c r="D47" i="35"/>
  <c r="D43" i="35"/>
  <c r="D38" i="35"/>
  <c r="D30" i="35"/>
  <c r="D17" i="35"/>
  <c r="D13" i="35"/>
  <c r="D9" i="35"/>
  <c r="D103" i="35"/>
  <c r="D95" i="35"/>
  <c r="D83" i="35"/>
  <c r="D75" i="35"/>
  <c r="D67" i="35"/>
  <c r="D55" i="35"/>
  <c r="D46" i="35"/>
  <c r="D42" i="35"/>
  <c r="D37" i="35"/>
  <c r="D29" i="35"/>
  <c r="D16" i="35"/>
  <c r="D12" i="35"/>
  <c r="D8" i="35"/>
  <c r="D3" i="35"/>
  <c r="D97" i="35"/>
  <c r="D93" i="35"/>
  <c r="D89" i="35"/>
  <c r="D81" i="35"/>
  <c r="D69" i="35"/>
  <c r="D65" i="35"/>
  <c r="D61" i="35"/>
  <c r="D57" i="35"/>
  <c r="D53" i="35"/>
  <c r="D48" i="35"/>
  <c r="D44" i="35"/>
  <c r="D31" i="35"/>
  <c r="D27" i="35"/>
  <c r="D23" i="35"/>
  <c r="D18" i="35"/>
  <c r="D14" i="35"/>
  <c r="D10" i="35"/>
  <c r="D6" i="35"/>
  <c r="D62" i="35"/>
  <c r="D45" i="35"/>
  <c r="D28" i="35"/>
  <c r="D11" i="35"/>
  <c r="D90" i="35"/>
  <c r="D74" i="35"/>
  <c r="D7" i="35"/>
  <c r="D102" i="35"/>
  <c r="D70" i="35"/>
  <c r="D54" i="35"/>
  <c r="D19" i="35"/>
  <c r="D82" i="35"/>
  <c r="D50" i="35"/>
  <c r="D32" i="35"/>
  <c r="D15" i="35"/>
  <c r="D43" i="45"/>
  <c r="U43" i="45" s="1"/>
  <c r="EO46" i="43"/>
  <c r="W82" i="43"/>
  <c r="AI82" i="24"/>
  <c r="AD82" i="24"/>
  <c r="AF82" i="24"/>
  <c r="AE82" i="24"/>
  <c r="W71" i="43"/>
  <c r="Q11" i="44"/>
  <c r="AF71" i="24"/>
  <c r="AE71" i="24"/>
  <c r="AD71" i="24"/>
  <c r="AI71" i="24"/>
  <c r="W142" i="43"/>
  <c r="AI142" i="24"/>
  <c r="AF142" i="24"/>
  <c r="AE142" i="24"/>
  <c r="AD142" i="24"/>
  <c r="D30" i="45"/>
  <c r="U30" i="45" s="1"/>
  <c r="EO33" i="43"/>
  <c r="W102" i="43"/>
  <c r="Q12" i="44"/>
  <c r="AI102" i="24"/>
  <c r="AD102" i="24"/>
  <c r="AF102" i="24"/>
  <c r="AE102" i="24"/>
  <c r="W122" i="43"/>
  <c r="AD122" i="24"/>
  <c r="AE122" i="24"/>
  <c r="AI122" i="24"/>
  <c r="AF122" i="24"/>
  <c r="W75" i="43"/>
  <c r="AI75" i="24"/>
  <c r="AE75" i="24"/>
  <c r="AD75" i="24"/>
  <c r="AF75" i="24"/>
  <c r="W126" i="43"/>
  <c r="AI126" i="24"/>
  <c r="AE126" i="24"/>
  <c r="AD126" i="24"/>
  <c r="AF126" i="24"/>
  <c r="D17" i="45"/>
  <c r="U17" i="45" s="1"/>
  <c r="EO20" i="43"/>
  <c r="D24" i="45"/>
  <c r="U24" i="45" s="1"/>
  <c r="EO27" i="43"/>
  <c r="D42" i="45"/>
  <c r="U42" i="45" s="1"/>
  <c r="EO45" i="43"/>
  <c r="W150" i="43"/>
  <c r="AI150" i="24"/>
  <c r="AD150" i="24"/>
  <c r="AF150" i="24"/>
  <c r="AE150" i="24"/>
  <c r="W158" i="43"/>
  <c r="AD158" i="24"/>
  <c r="AI158" i="24"/>
  <c r="AE158" i="24"/>
  <c r="AF158" i="24"/>
  <c r="D38" i="45"/>
  <c r="U38" i="45" s="1"/>
  <c r="EO41" i="43"/>
  <c r="AA157" i="24"/>
  <c r="D36" i="45"/>
  <c r="U36" i="45" s="1"/>
  <c r="EO39" i="43"/>
  <c r="W118" i="43"/>
  <c r="AD118" i="24"/>
  <c r="AE118" i="24"/>
  <c r="AI118" i="24"/>
  <c r="AF118" i="24"/>
  <c r="D387" i="45"/>
  <c r="U387" i="45" s="1"/>
  <c r="D12" i="45"/>
  <c r="U12" i="45" s="1"/>
  <c r="EO15" i="43"/>
  <c r="EO54" i="43"/>
  <c r="D40" i="45"/>
  <c r="U40" i="45" s="1"/>
  <c r="EO43" i="43"/>
  <c r="D20" i="45"/>
  <c r="U20" i="45" s="1"/>
  <c r="EO23" i="43"/>
  <c r="W86" i="43"/>
  <c r="AI86" i="24"/>
  <c r="AD86" i="24"/>
  <c r="AF86" i="24"/>
  <c r="AE86" i="24"/>
  <c r="AA145" i="24"/>
  <c r="W94" i="43"/>
  <c r="AI94" i="24"/>
  <c r="AF94" i="24"/>
  <c r="AE94" i="24"/>
  <c r="AD94" i="24"/>
  <c r="W108" i="43"/>
  <c r="AF108" i="24"/>
  <c r="AE108" i="24"/>
  <c r="AD108" i="24"/>
  <c r="AI108" i="24"/>
  <c r="D50" i="45"/>
  <c r="U50" i="45" s="1"/>
  <c r="EO53" i="43"/>
  <c r="W134" i="43"/>
  <c r="AI134" i="24"/>
  <c r="AE134" i="24"/>
  <c r="AD134" i="24"/>
  <c r="AF134" i="24"/>
  <c r="W63" i="43"/>
  <c r="AE63" i="24"/>
  <c r="AD63" i="24"/>
  <c r="AI63" i="24"/>
  <c r="AF63" i="24"/>
  <c r="W79" i="43"/>
  <c r="AF79" i="24"/>
  <c r="AE79" i="24"/>
  <c r="AD79" i="24"/>
  <c r="AI79" i="24"/>
  <c r="W110" i="43"/>
  <c r="AE110" i="24"/>
  <c r="AD110" i="24"/>
  <c r="AF110" i="24"/>
  <c r="AI110" i="24"/>
  <c r="W78" i="43"/>
  <c r="AE78" i="24"/>
  <c r="AD78" i="24"/>
  <c r="AI78" i="24"/>
  <c r="AF78" i="24"/>
  <c r="Z19" i="45"/>
  <c r="W20" i="45"/>
  <c r="EO56" i="43"/>
  <c r="D53" i="45"/>
  <c r="U53" i="45" s="1"/>
  <c r="D23" i="45"/>
  <c r="U23" i="45" s="1"/>
  <c r="EO26" i="43"/>
  <c r="D32" i="45"/>
  <c r="U32" i="45" s="1"/>
  <c r="EO35" i="43"/>
  <c r="D15" i="45"/>
  <c r="U15" i="45" s="1"/>
  <c r="EO18" i="43"/>
  <c r="D44" i="45"/>
  <c r="U44" i="45" s="1"/>
  <c r="EO47" i="43"/>
  <c r="D28" i="45"/>
  <c r="U28" i="45" s="1"/>
  <c r="EO31" i="43"/>
  <c r="W59" i="43"/>
  <c r="AI59" i="24"/>
  <c r="AF59" i="24"/>
  <c r="AE59" i="24"/>
  <c r="AD59" i="24"/>
  <c r="W205" i="43"/>
  <c r="AE205" i="24"/>
  <c r="AD205" i="24"/>
  <c r="AI205" i="24"/>
  <c r="AF205" i="24"/>
  <c r="W130" i="43"/>
  <c r="AE130" i="24"/>
  <c r="AD130" i="24"/>
  <c r="AI130" i="24"/>
  <c r="AF130" i="24"/>
  <c r="Q15" i="44"/>
  <c r="AA58" i="24"/>
  <c r="W114" i="43"/>
  <c r="AI114" i="24"/>
  <c r="AF114" i="24"/>
  <c r="AE114" i="24"/>
  <c r="AD114" i="24"/>
  <c r="W67" i="43"/>
  <c r="AI67" i="24"/>
  <c r="AE67" i="24"/>
  <c r="AF67" i="24"/>
  <c r="AD67" i="24"/>
  <c r="W138" i="43"/>
  <c r="AI138" i="24"/>
  <c r="AE138" i="24"/>
  <c r="AF138" i="24"/>
  <c r="AD138" i="24"/>
  <c r="AA70" i="24"/>
  <c r="AA101" i="24"/>
  <c r="D19" i="45"/>
  <c r="U19" i="45" s="1"/>
  <c r="EO22" i="43"/>
  <c r="AA117" i="24"/>
  <c r="AA107" i="24"/>
  <c r="D16" i="45"/>
  <c r="U16" i="45" s="1"/>
  <c r="EO19" i="43"/>
  <c r="AA78" i="24"/>
  <c r="W98" i="43"/>
  <c r="AI98" i="24"/>
  <c r="AE98" i="24"/>
  <c r="AD98" i="24"/>
  <c r="AF98" i="24"/>
  <c r="D48" i="45"/>
  <c r="U48" i="45" s="1"/>
  <c r="EO51" i="43"/>
  <c r="W57" i="43"/>
  <c r="AF57" i="24"/>
  <c r="AE57" i="24"/>
  <c r="AD57" i="24"/>
  <c r="AI57" i="24"/>
  <c r="W146" i="43"/>
  <c r="AI146" i="24"/>
  <c r="AD146" i="24"/>
  <c r="AF146" i="24"/>
  <c r="AE146" i="24"/>
  <c r="C73" i="34"/>
  <c r="C69" i="34"/>
  <c r="C64" i="34"/>
  <c r="C58" i="34"/>
  <c r="C53" i="34"/>
  <c r="C48" i="34"/>
  <c r="C43" i="34"/>
  <c r="C38" i="34"/>
  <c r="C34" i="34"/>
  <c r="C30" i="34"/>
  <c r="C26" i="34"/>
  <c r="C16" i="34"/>
  <c r="C12" i="34"/>
  <c r="C6" i="34"/>
  <c r="C72" i="34"/>
  <c r="C68" i="34"/>
  <c r="C63" i="34"/>
  <c r="C57" i="34"/>
  <c r="C52" i="34"/>
  <c r="C46" i="34"/>
  <c r="C42" i="34"/>
  <c r="C37" i="34"/>
  <c r="C33" i="34"/>
  <c r="C25" i="34"/>
  <c r="C20" i="34"/>
  <c r="C15" i="34"/>
  <c r="C11" i="34"/>
  <c r="C74" i="34"/>
  <c r="C70" i="34"/>
  <c r="C65" i="34"/>
  <c r="C60" i="34"/>
  <c r="C54" i="34"/>
  <c r="C49" i="34"/>
  <c r="C44" i="34"/>
  <c r="C40" i="34"/>
  <c r="C35" i="34"/>
  <c r="C31" i="34"/>
  <c r="C27" i="34"/>
  <c r="C23" i="34"/>
  <c r="C18" i="34"/>
  <c r="C13" i="34"/>
  <c r="C56" i="34"/>
  <c r="C36" i="34"/>
  <c r="C19" i="34"/>
  <c r="C71" i="34"/>
  <c r="C51" i="34"/>
  <c r="C32" i="34"/>
  <c r="C14" i="34"/>
  <c r="C66" i="34"/>
  <c r="C45" i="34"/>
  <c r="C28" i="34"/>
  <c r="C10" i="34"/>
  <c r="C61" i="34"/>
  <c r="C41" i="34"/>
  <c r="C24" i="34"/>
  <c r="AA149" i="24"/>
  <c r="AA56" i="24"/>
  <c r="Q301" i="43" l="1"/>
  <c r="AB301" i="43" s="1"/>
  <c r="IA301" i="43" s="1"/>
  <c r="Q300" i="43"/>
  <c r="AB300" i="43" s="1"/>
  <c r="IA300" i="43" s="1"/>
  <c r="Q296" i="43"/>
  <c r="Q216" i="43"/>
  <c r="AB216" i="43" s="1"/>
  <c r="IA216" i="43" s="1"/>
  <c r="Q290" i="43"/>
  <c r="Q288" i="43"/>
  <c r="Q286" i="43"/>
  <c r="Q284" i="43"/>
  <c r="Q282" i="43"/>
  <c r="Q219" i="43"/>
  <c r="AA219" i="43" s="1"/>
  <c r="AB165" i="43"/>
  <c r="HT165" i="43" s="1"/>
  <c r="HU165" i="43" s="1"/>
  <c r="HV165" i="43" s="1"/>
  <c r="BA165" i="43" s="1"/>
  <c r="AZ165" i="43" s="1"/>
  <c r="V162" i="45" s="1"/>
  <c r="Q211" i="43"/>
  <c r="AA211" i="43" s="1"/>
  <c r="D142" i="45"/>
  <c r="U142" i="45" s="1"/>
  <c r="HZ106" i="43"/>
  <c r="IB106" i="43" s="1"/>
  <c r="HW106" i="43" s="1"/>
  <c r="HT182" i="43"/>
  <c r="HU182" i="43" s="1"/>
  <c r="HV182" i="43" s="1"/>
  <c r="BA182" i="43" s="1"/>
  <c r="IA182" i="43"/>
  <c r="IC164" i="43"/>
  <c r="EN164" i="43"/>
  <c r="AB161" i="43"/>
  <c r="HT161" i="43" s="1"/>
  <c r="HU161" i="43" s="1"/>
  <c r="HV161" i="43" s="1"/>
  <c r="BA161" i="43" s="1"/>
  <c r="AZ161" i="43" s="1"/>
  <c r="V158" i="45" s="1"/>
  <c r="D161" i="45"/>
  <c r="U161" i="45" s="1"/>
  <c r="HX164" i="43"/>
  <c r="EN165" i="43"/>
  <c r="AI165" i="43"/>
  <c r="FP162" i="43"/>
  <c r="AU162" i="43"/>
  <c r="AH162" i="43" s="1"/>
  <c r="AI161" i="43"/>
  <c r="EN161" i="43"/>
  <c r="EO144" i="43"/>
  <c r="EN144" i="43"/>
  <c r="HZ144" i="43"/>
  <c r="IB144" i="43" s="1"/>
  <c r="HX144" i="43" s="1"/>
  <c r="AU147" i="43"/>
  <c r="AH147" i="43" s="1"/>
  <c r="AI147" i="43" s="1"/>
  <c r="HZ147" i="43" s="1"/>
  <c r="IB147" i="43" s="1"/>
  <c r="EO145" i="43"/>
  <c r="EN145" i="43"/>
  <c r="R11" i="22"/>
  <c r="AU135" i="43"/>
  <c r="AH135" i="43" s="1"/>
  <c r="AI135" i="43" s="1"/>
  <c r="HZ135" i="43" s="1"/>
  <c r="IB135" i="43" s="1"/>
  <c r="AU133" i="43"/>
  <c r="AH133" i="43" s="1"/>
  <c r="AI133" i="43" s="1"/>
  <c r="HZ133" i="43" s="1"/>
  <c r="IB133" i="43" s="1"/>
  <c r="T18" i="22"/>
  <c r="S18" i="22"/>
  <c r="AU129" i="43"/>
  <c r="AH129" i="43" s="1"/>
  <c r="AI129" i="43" s="1"/>
  <c r="D126" i="45" s="1"/>
  <c r="U126" i="45" s="1"/>
  <c r="AU131" i="43"/>
  <c r="AH131" i="43" s="1"/>
  <c r="AI131" i="43" s="1"/>
  <c r="D128" i="45" s="1"/>
  <c r="U128" i="45" s="1"/>
  <c r="AU123" i="43"/>
  <c r="AH123" i="43" s="1"/>
  <c r="AI123" i="43" s="1"/>
  <c r="HZ123" i="43" s="1"/>
  <c r="IB123" i="43" s="1"/>
  <c r="AU121" i="43"/>
  <c r="AH121" i="43" s="1"/>
  <c r="AI121" i="43" s="1"/>
  <c r="D118" i="45" s="1"/>
  <c r="U118" i="45" s="1"/>
  <c r="F9" i="22"/>
  <c r="EN106" i="43"/>
  <c r="EO106" i="43"/>
  <c r="AU105" i="43"/>
  <c r="AH105" i="43" s="1"/>
  <c r="AI105" i="43" s="1"/>
  <c r="HZ105" i="43" s="1"/>
  <c r="IB105" i="43" s="1"/>
  <c r="AU103" i="43"/>
  <c r="AH103" i="43" s="1"/>
  <c r="AI103" i="43" s="1"/>
  <c r="HZ103" i="43" s="1"/>
  <c r="IB103" i="43" s="1"/>
  <c r="EN88" i="43"/>
  <c r="EO88" i="43"/>
  <c r="HZ88" i="43"/>
  <c r="IB88" i="43" s="1"/>
  <c r="HW88" i="43" s="1"/>
  <c r="EN87" i="43"/>
  <c r="D84" i="45"/>
  <c r="U84" i="45" s="1"/>
  <c r="HZ87" i="43"/>
  <c r="IB87" i="43" s="1"/>
  <c r="HX87" i="43" s="1"/>
  <c r="AU89" i="43"/>
  <c r="AH89" i="43" s="1"/>
  <c r="AI89" i="43" s="1"/>
  <c r="D86" i="45" s="1"/>
  <c r="U86" i="45" s="1"/>
  <c r="D88" i="35"/>
  <c r="D26" i="35"/>
  <c r="R13" i="22"/>
  <c r="D101" i="35"/>
  <c r="D60" i="35"/>
  <c r="D73" i="35"/>
  <c r="E60" i="35"/>
  <c r="EN65" i="43"/>
  <c r="HZ65" i="43"/>
  <c r="IB65" i="43" s="1"/>
  <c r="HW65" i="43" s="1"/>
  <c r="EO65" i="43"/>
  <c r="AU64" i="43"/>
  <c r="AH64" i="43" s="1"/>
  <c r="AI64" i="43" s="1"/>
  <c r="HZ64" i="43" s="1"/>
  <c r="IB64" i="43" s="1"/>
  <c r="F88" i="35"/>
  <c r="E88" i="35"/>
  <c r="F26" i="35"/>
  <c r="E26" i="35"/>
  <c r="F73" i="35"/>
  <c r="E73" i="35"/>
  <c r="F101" i="35"/>
  <c r="E101" i="35"/>
  <c r="G60" i="35"/>
  <c r="F60" i="35"/>
  <c r="H88" i="35"/>
  <c r="G88" i="35"/>
  <c r="H26" i="35"/>
  <c r="G26" i="35"/>
  <c r="H73" i="35"/>
  <c r="G73" i="35"/>
  <c r="H101" i="35"/>
  <c r="G101" i="35"/>
  <c r="I60" i="35"/>
  <c r="H60" i="35"/>
  <c r="J88" i="35"/>
  <c r="I88" i="35"/>
  <c r="J26" i="35"/>
  <c r="I26" i="35"/>
  <c r="J73" i="35"/>
  <c r="I73" i="35"/>
  <c r="J101" i="35"/>
  <c r="I101" i="35"/>
  <c r="L60" i="35"/>
  <c r="J60" i="35"/>
  <c r="L73" i="35"/>
  <c r="K73" i="35"/>
  <c r="L101" i="35"/>
  <c r="K101" i="35"/>
  <c r="L88" i="35"/>
  <c r="K88" i="35"/>
  <c r="L26" i="35"/>
  <c r="K26" i="35"/>
  <c r="K60" i="35"/>
  <c r="V14" i="45"/>
  <c r="V389" i="45"/>
  <c r="L205" i="43"/>
  <c r="N205" i="43" s="1"/>
  <c r="L206" i="43"/>
  <c r="N206" i="43" s="1"/>
  <c r="Q206" i="43" s="1"/>
  <c r="AB206" i="43" s="1"/>
  <c r="EH206" i="43"/>
  <c r="R18" i="44"/>
  <c r="R17" i="44"/>
  <c r="AB316" i="43"/>
  <c r="AA316" i="43"/>
  <c r="FP316" i="43"/>
  <c r="FP314" i="43"/>
  <c r="Q314" i="43"/>
  <c r="AB313" i="43"/>
  <c r="AA313" i="43"/>
  <c r="FP313" i="43"/>
  <c r="FP315" i="43"/>
  <c r="Q315" i="43"/>
  <c r="N312" i="43"/>
  <c r="Q312" i="43" s="1"/>
  <c r="FP311" i="43"/>
  <c r="Q311" i="43"/>
  <c r="FP310" i="43"/>
  <c r="AB310" i="43"/>
  <c r="AA310" i="43"/>
  <c r="FP309" i="43"/>
  <c r="Q309" i="43"/>
  <c r="FP307" i="43"/>
  <c r="Q307" i="43"/>
  <c r="N308" i="43"/>
  <c r="HT305" i="43"/>
  <c r="HU305" i="43" s="1"/>
  <c r="HV305" i="43" s="1"/>
  <c r="BA305" i="43" s="1"/>
  <c r="AU305" i="43" s="1"/>
  <c r="AH305" i="43" s="1"/>
  <c r="N306" i="43"/>
  <c r="FP305" i="43"/>
  <c r="AA305" i="43"/>
  <c r="HT232" i="43"/>
  <c r="HU232" i="43" s="1"/>
  <c r="HV232" i="43" s="1"/>
  <c r="BA232" i="43" s="1"/>
  <c r="AU232" i="43" s="1"/>
  <c r="AH232" i="43" s="1"/>
  <c r="EN232" i="43" s="1"/>
  <c r="AB171" i="43"/>
  <c r="IA171" i="43" s="1"/>
  <c r="D165" i="45"/>
  <c r="U165" i="45" s="1"/>
  <c r="Q304" i="43"/>
  <c r="AB304" i="43" s="1"/>
  <c r="IA304" i="43" s="1"/>
  <c r="FP303" i="43"/>
  <c r="AB303" i="43"/>
  <c r="HT303" i="43" s="1"/>
  <c r="HU303" i="43" s="1"/>
  <c r="HV303" i="43" s="1"/>
  <c r="BA303" i="43" s="1"/>
  <c r="AU303" i="43" s="1"/>
  <c r="AA303" i="43"/>
  <c r="EO140" i="43"/>
  <c r="HZ68" i="43"/>
  <c r="IB68" i="43" s="1"/>
  <c r="Q302" i="43"/>
  <c r="AA91" i="43"/>
  <c r="Q299" i="43"/>
  <c r="EN141" i="43"/>
  <c r="D73" i="45"/>
  <c r="U73" i="45" s="1"/>
  <c r="AB145" i="43"/>
  <c r="IA145" i="43" s="1"/>
  <c r="ID145" i="43" s="1"/>
  <c r="FP210" i="43"/>
  <c r="HZ115" i="43"/>
  <c r="IB115" i="43" s="1"/>
  <c r="Q93" i="43"/>
  <c r="AB93" i="43" s="1"/>
  <c r="HZ111" i="43"/>
  <c r="IB111" i="43" s="1"/>
  <c r="HZ139" i="43"/>
  <c r="IB139" i="43" s="1"/>
  <c r="D151" i="45"/>
  <c r="U151" i="45" s="1"/>
  <c r="D140" i="45"/>
  <c r="U140" i="45" s="1"/>
  <c r="FP230" i="43"/>
  <c r="AA120" i="43"/>
  <c r="Q298" i="43"/>
  <c r="EO132" i="43"/>
  <c r="EN113" i="43"/>
  <c r="HZ132" i="43"/>
  <c r="IB132" i="43" s="1"/>
  <c r="AB153" i="43"/>
  <c r="IA153" i="43" s="1"/>
  <c r="ID153" i="43" s="1"/>
  <c r="FP218" i="43"/>
  <c r="Q297" i="43"/>
  <c r="EO115" i="43"/>
  <c r="D82" i="45"/>
  <c r="U82" i="45" s="1"/>
  <c r="IA240" i="43"/>
  <c r="D137" i="45"/>
  <c r="U137" i="45" s="1"/>
  <c r="AB295" i="43"/>
  <c r="AA295" i="43"/>
  <c r="FP295" i="43"/>
  <c r="EN160" i="43"/>
  <c r="EO127" i="43"/>
  <c r="EO113" i="43"/>
  <c r="AB168" i="43"/>
  <c r="IA168" i="43" s="1"/>
  <c r="ID168" i="43" s="1"/>
  <c r="AZ178" i="43"/>
  <c r="V175" i="45" s="1"/>
  <c r="Q293" i="43"/>
  <c r="AB293" i="43" s="1"/>
  <c r="IA293" i="43" s="1"/>
  <c r="EO60" i="43"/>
  <c r="HZ127" i="43"/>
  <c r="IB127" i="43" s="1"/>
  <c r="HZ66" i="43"/>
  <c r="IB66" i="43" s="1"/>
  <c r="D133" i="45"/>
  <c r="U133" i="45" s="1"/>
  <c r="HZ69" i="43"/>
  <c r="IB69" i="43" s="1"/>
  <c r="HZ141" i="43"/>
  <c r="IB141" i="43" s="1"/>
  <c r="HZ80" i="43"/>
  <c r="IB80" i="43" s="1"/>
  <c r="HZ155" i="43"/>
  <c r="IB155" i="43" s="1"/>
  <c r="EO66" i="43"/>
  <c r="EO141" i="43"/>
  <c r="EN119" i="43"/>
  <c r="EN127" i="43"/>
  <c r="D134" i="45"/>
  <c r="U134" i="45" s="1"/>
  <c r="EH71" i="43"/>
  <c r="AB100" i="43"/>
  <c r="HT100" i="43" s="1"/>
  <c r="HU100" i="43" s="1"/>
  <c r="HV100" i="43" s="1"/>
  <c r="BA100" i="43" s="1"/>
  <c r="AZ100" i="43" s="1"/>
  <c r="V97" i="45" s="1"/>
  <c r="AA87" i="43"/>
  <c r="EN66" i="43"/>
  <c r="EN136" i="43"/>
  <c r="FP225" i="43"/>
  <c r="AB167" i="43"/>
  <c r="HT167" i="43" s="1"/>
  <c r="HU167" i="43" s="1"/>
  <c r="HV167" i="43" s="1"/>
  <c r="BA167" i="43" s="1"/>
  <c r="AZ167" i="43" s="1"/>
  <c r="V164" i="45" s="1"/>
  <c r="Q89" i="43"/>
  <c r="AB89" i="43" s="1"/>
  <c r="EO151" i="43"/>
  <c r="EN97" i="43"/>
  <c r="EN140" i="43"/>
  <c r="EN70" i="43"/>
  <c r="D148" i="45"/>
  <c r="U148" i="45" s="1"/>
  <c r="D59" i="45"/>
  <c r="U59" i="45" s="1"/>
  <c r="D57" i="45"/>
  <c r="U57" i="45" s="1"/>
  <c r="HT238" i="43"/>
  <c r="HU238" i="43" s="1"/>
  <c r="HV238" i="43" s="1"/>
  <c r="BA238" i="43" s="1"/>
  <c r="AU238" i="43" s="1"/>
  <c r="AH238" i="43" s="1"/>
  <c r="AI238" i="43" s="1"/>
  <c r="EO80" i="43"/>
  <c r="AA116" i="43"/>
  <c r="EH94" i="43"/>
  <c r="Q131" i="43"/>
  <c r="AA131" i="43" s="1"/>
  <c r="EN163" i="43"/>
  <c r="EO156" i="43"/>
  <c r="EO154" i="43"/>
  <c r="EO85" i="43"/>
  <c r="Q80" i="43"/>
  <c r="AA80" i="43" s="1"/>
  <c r="EN74" i="43"/>
  <c r="EO74" i="43"/>
  <c r="EO143" i="43"/>
  <c r="EN151" i="43"/>
  <c r="HZ113" i="43"/>
  <c r="IB113" i="43" s="1"/>
  <c r="HZ74" i="43"/>
  <c r="IB74" i="43" s="1"/>
  <c r="HZ90" i="43"/>
  <c r="IB90" i="43" s="1"/>
  <c r="Q129" i="43"/>
  <c r="AB129" i="43" s="1"/>
  <c r="HZ97" i="43"/>
  <c r="IB97" i="43" s="1"/>
  <c r="FP239" i="43"/>
  <c r="FP217" i="43"/>
  <c r="Q147" i="43"/>
  <c r="AB147" i="43" s="1"/>
  <c r="FP294" i="43"/>
  <c r="Q292" i="43"/>
  <c r="AB294" i="43"/>
  <c r="HT294" i="43" s="1"/>
  <c r="HU294" i="43" s="1"/>
  <c r="HV294" i="43" s="1"/>
  <c r="BA294" i="43" s="1"/>
  <c r="AU294" i="43" s="1"/>
  <c r="AA294" i="43"/>
  <c r="EO70" i="43"/>
  <c r="EO101" i="43"/>
  <c r="C151" i="45"/>
  <c r="EN154" i="43"/>
  <c r="EN85" i="43"/>
  <c r="FP215" i="43"/>
  <c r="EO68" i="43"/>
  <c r="EH86" i="43"/>
  <c r="EH130" i="43"/>
  <c r="FP199" i="43"/>
  <c r="EO76" i="43"/>
  <c r="EO155" i="43"/>
  <c r="EH75" i="43"/>
  <c r="EO111" i="43"/>
  <c r="EH98" i="43"/>
  <c r="EO83" i="43"/>
  <c r="EH102" i="43"/>
  <c r="EH118" i="43"/>
  <c r="EH108" i="43"/>
  <c r="EO104" i="43"/>
  <c r="EH126" i="43"/>
  <c r="EO136" i="43"/>
  <c r="EH158" i="43"/>
  <c r="EH110" i="43"/>
  <c r="EO178" i="43"/>
  <c r="AZ240" i="43"/>
  <c r="V237" i="45" s="1"/>
  <c r="IB178" i="43"/>
  <c r="HX178" i="43" s="1"/>
  <c r="AZ173" i="43"/>
  <c r="V170" i="45" s="1"/>
  <c r="EO97" i="43"/>
  <c r="EO93" i="43"/>
  <c r="EN104" i="43"/>
  <c r="D149" i="45"/>
  <c r="U149" i="45" s="1"/>
  <c r="D69" i="45"/>
  <c r="U69" i="45" s="1"/>
  <c r="HZ70" i="43"/>
  <c r="IB70" i="43" s="1"/>
  <c r="HZ101" i="43"/>
  <c r="IB101" i="43" s="1"/>
  <c r="D78" i="45"/>
  <c r="U78" i="45" s="1"/>
  <c r="FP166" i="43"/>
  <c r="EH138" i="43"/>
  <c r="EO81" i="43"/>
  <c r="EH134" i="43"/>
  <c r="EO69" i="43"/>
  <c r="EH67" i="43"/>
  <c r="EH142" i="43"/>
  <c r="EO149" i="43"/>
  <c r="EN143" i="43"/>
  <c r="HZ92" i="43"/>
  <c r="IB92" i="43" s="1"/>
  <c r="HZ93" i="43"/>
  <c r="IB93" i="43" s="1"/>
  <c r="D101" i="45"/>
  <c r="U101" i="45" s="1"/>
  <c r="HT177" i="43"/>
  <c r="HU177" i="43" s="1"/>
  <c r="HV177" i="43" s="1"/>
  <c r="BA177" i="43" s="1"/>
  <c r="AZ177" i="43" s="1"/>
  <c r="V174" i="45" s="1"/>
  <c r="HT201" i="43"/>
  <c r="HU201" i="43" s="1"/>
  <c r="HV201" i="43" s="1"/>
  <c r="BA201" i="43" s="1"/>
  <c r="AU201" i="43" s="1"/>
  <c r="AH201" i="43" s="1"/>
  <c r="AI201" i="43" s="1"/>
  <c r="HZ201" i="43" s="1"/>
  <c r="ID201" i="43" s="1"/>
  <c r="EH114" i="43"/>
  <c r="EH79" i="43"/>
  <c r="AA65" i="43"/>
  <c r="AA58" i="43"/>
  <c r="EO90" i="43"/>
  <c r="EO168" i="43"/>
  <c r="EN83" i="43"/>
  <c r="EO62" i="43"/>
  <c r="EO72" i="43"/>
  <c r="EN72" i="43"/>
  <c r="HZ107" i="43"/>
  <c r="IB107" i="43" s="1"/>
  <c r="FP236" i="43"/>
  <c r="EO117" i="43"/>
  <c r="EH146" i="43"/>
  <c r="EO119" i="43"/>
  <c r="C108" i="45"/>
  <c r="C153" i="45"/>
  <c r="C100" i="45"/>
  <c r="EO107" i="43"/>
  <c r="EN117" i="43"/>
  <c r="C73" i="45"/>
  <c r="EN80" i="43"/>
  <c r="D114" i="45"/>
  <c r="U114" i="45" s="1"/>
  <c r="D146" i="45"/>
  <c r="U146" i="45" s="1"/>
  <c r="HZ83" i="43"/>
  <c r="IB83" i="43" s="1"/>
  <c r="HZ119" i="43"/>
  <c r="IB119" i="43" s="1"/>
  <c r="EH82" i="43"/>
  <c r="EH59" i="43"/>
  <c r="EO92" i="43"/>
  <c r="Q139" i="43"/>
  <c r="AB139" i="43" s="1"/>
  <c r="IA186" i="43"/>
  <c r="HT186" i="43"/>
  <c r="HU186" i="43" s="1"/>
  <c r="HV186" i="43" s="1"/>
  <c r="BA186" i="43" s="1"/>
  <c r="EN101" i="43"/>
  <c r="EN62" i="43"/>
  <c r="EN68" i="43"/>
  <c r="EN107" i="43"/>
  <c r="D80" i="45"/>
  <c r="U80" i="45" s="1"/>
  <c r="D116" i="45"/>
  <c r="U116" i="45" s="1"/>
  <c r="AZ233" i="43"/>
  <c r="V230" i="45" s="1"/>
  <c r="IA173" i="43"/>
  <c r="EN93" i="43"/>
  <c r="EO109" i="43"/>
  <c r="C130" i="45"/>
  <c r="EN149" i="43"/>
  <c r="EN76" i="43"/>
  <c r="EN69" i="43"/>
  <c r="IA207" i="43"/>
  <c r="IA233" i="43"/>
  <c r="FP246" i="43"/>
  <c r="EO139" i="43"/>
  <c r="EH150" i="43"/>
  <c r="Q151" i="43"/>
  <c r="AB151" i="43" s="1"/>
  <c r="EH78" i="43"/>
  <c r="EH57" i="43"/>
  <c r="EH63" i="43"/>
  <c r="EH122" i="43"/>
  <c r="AB291" i="43"/>
  <c r="AA291" i="43"/>
  <c r="FP291" i="43"/>
  <c r="C86" i="45"/>
  <c r="EN156" i="43"/>
  <c r="EN132" i="43"/>
  <c r="EN152" i="43"/>
  <c r="EN115" i="43"/>
  <c r="EN111" i="43"/>
  <c r="HZ156" i="43"/>
  <c r="IB156" i="43" s="1"/>
  <c r="IC156" i="43" s="1"/>
  <c r="HZ157" i="43"/>
  <c r="IB157" i="43" s="1"/>
  <c r="IC157" i="43" s="1"/>
  <c r="HT179" i="43"/>
  <c r="HU179" i="43" s="1"/>
  <c r="HV179" i="43" s="1"/>
  <c r="BA179" i="43" s="1"/>
  <c r="AU179" i="43" s="1"/>
  <c r="AH179" i="43" s="1"/>
  <c r="HZ109" i="43"/>
  <c r="IB109" i="43" s="1"/>
  <c r="EN155" i="43"/>
  <c r="FP226" i="43"/>
  <c r="FP237" i="43"/>
  <c r="Q64" i="43"/>
  <c r="AB64" i="43" s="1"/>
  <c r="EO137" i="43"/>
  <c r="C133" i="45"/>
  <c r="EN200" i="43"/>
  <c r="EO157" i="43"/>
  <c r="EN109" i="43"/>
  <c r="EN90" i="43"/>
  <c r="EN157" i="43"/>
  <c r="Q162" i="43"/>
  <c r="AB162" i="43" s="1"/>
  <c r="AZ200" i="43"/>
  <c r="V197" i="45" s="1"/>
  <c r="IA212" i="43"/>
  <c r="FP231" i="43"/>
  <c r="Q141" i="43"/>
  <c r="AA141" i="43" s="1"/>
  <c r="C136" i="45"/>
  <c r="EN92" i="43"/>
  <c r="C89" i="45"/>
  <c r="C152" i="45"/>
  <c r="C78" i="45"/>
  <c r="C77" i="45"/>
  <c r="EO152" i="43"/>
  <c r="EN81" i="43"/>
  <c r="EN60" i="43"/>
  <c r="EN137" i="43"/>
  <c r="EN139" i="43"/>
  <c r="AZ213" i="43"/>
  <c r="V210" i="45" s="1"/>
  <c r="AZ212" i="43"/>
  <c r="V209" i="45" s="1"/>
  <c r="AA169" i="43"/>
  <c r="FP208" i="43"/>
  <c r="IA200" i="43"/>
  <c r="ID200" i="43" s="1"/>
  <c r="IA213" i="43"/>
  <c r="FP234" i="43"/>
  <c r="HT244" i="43"/>
  <c r="HU244" i="43" s="1"/>
  <c r="HV244" i="43" s="1"/>
  <c r="BA244" i="43" s="1"/>
  <c r="AZ244" i="43" s="1"/>
  <c r="V241" i="45" s="1"/>
  <c r="Q133" i="43"/>
  <c r="AB133" i="43" s="1"/>
  <c r="Q155" i="43"/>
  <c r="AB155" i="43" s="1"/>
  <c r="Q136" i="43"/>
  <c r="AA136" i="43" s="1"/>
  <c r="Q137" i="43"/>
  <c r="AA137" i="43" s="1"/>
  <c r="AB246" i="43"/>
  <c r="IA246" i="43" s="1"/>
  <c r="AA246" i="43"/>
  <c r="AB234" i="43"/>
  <c r="HT234" i="43" s="1"/>
  <c r="HU234" i="43" s="1"/>
  <c r="HV234" i="43" s="1"/>
  <c r="BA234" i="43" s="1"/>
  <c r="AU234" i="43" s="1"/>
  <c r="AH234" i="43" s="1"/>
  <c r="AA234" i="43"/>
  <c r="AA215" i="43"/>
  <c r="AB215" i="43"/>
  <c r="IA215" i="43" s="1"/>
  <c r="IA245" i="43"/>
  <c r="R71" i="43"/>
  <c r="AU71" i="43"/>
  <c r="AH71" i="43" s="1"/>
  <c r="AI71" i="43" s="1"/>
  <c r="D68" i="45" s="1"/>
  <c r="U68" i="45" s="1"/>
  <c r="AJ71" i="43"/>
  <c r="AK71" i="43" s="1"/>
  <c r="C68" i="45" s="1"/>
  <c r="L71" i="43"/>
  <c r="N71" i="43" s="1"/>
  <c r="X71" i="43"/>
  <c r="IA116" i="43"/>
  <c r="ID116" i="43" s="1"/>
  <c r="HT116" i="43"/>
  <c r="HU116" i="43" s="1"/>
  <c r="HV116" i="43" s="1"/>
  <c r="BA116" i="43" s="1"/>
  <c r="AZ116" i="43" s="1"/>
  <c r="V113" i="45" s="1"/>
  <c r="Q119" i="43"/>
  <c r="FP119" i="43"/>
  <c r="Q140" i="43"/>
  <c r="FP140" i="43"/>
  <c r="L82" i="43"/>
  <c r="N82" i="43" s="1"/>
  <c r="FP82" i="43" s="1"/>
  <c r="X82" i="43"/>
  <c r="AA124" i="43"/>
  <c r="AB124" i="43"/>
  <c r="Q121" i="43"/>
  <c r="Q83" i="43"/>
  <c r="FP83" i="43"/>
  <c r="Q70" i="43"/>
  <c r="L86" i="43"/>
  <c r="N86" i="43" s="1"/>
  <c r="FP86" i="43" s="1"/>
  <c r="X86" i="43"/>
  <c r="X142" i="43"/>
  <c r="L142" i="43"/>
  <c r="N142" i="43" s="1"/>
  <c r="FP142" i="43" s="1"/>
  <c r="Q157" i="43"/>
  <c r="FP157" i="43"/>
  <c r="Q68" i="43"/>
  <c r="FP68" i="43"/>
  <c r="X102" i="43"/>
  <c r="L102" i="43"/>
  <c r="N102" i="43" s="1"/>
  <c r="FP102" i="43" s="1"/>
  <c r="R110" i="43"/>
  <c r="AJ110" i="43"/>
  <c r="AK110" i="43" s="1"/>
  <c r="C107" i="45" s="1"/>
  <c r="AU110" i="43"/>
  <c r="AH110" i="43" s="1"/>
  <c r="AI110" i="43" s="1"/>
  <c r="D107" i="45" s="1"/>
  <c r="U107" i="45" s="1"/>
  <c r="Q101" i="43"/>
  <c r="FP101" i="43"/>
  <c r="Q103" i="43"/>
  <c r="Q81" i="43"/>
  <c r="X108" i="43"/>
  <c r="L108" i="43"/>
  <c r="N108" i="43" s="1"/>
  <c r="AA163" i="43"/>
  <c r="AB163" i="43"/>
  <c r="Q135" i="43"/>
  <c r="Q127" i="43"/>
  <c r="FP127" i="43"/>
  <c r="AA96" i="43"/>
  <c r="AB96" i="43"/>
  <c r="R75" i="43"/>
  <c r="AJ75" i="43"/>
  <c r="AK75" i="43" s="1"/>
  <c r="C72" i="45" s="1"/>
  <c r="AU75" i="43"/>
  <c r="AH75" i="43" s="1"/>
  <c r="AI75" i="43" s="1"/>
  <c r="HZ75" i="43" s="1"/>
  <c r="Q66" i="43"/>
  <c r="FP66" i="43"/>
  <c r="X126" i="43"/>
  <c r="L126" i="43"/>
  <c r="N126" i="43" s="1"/>
  <c r="FP126" i="43" s="1"/>
  <c r="AB112" i="43"/>
  <c r="AA112" i="43"/>
  <c r="IA120" i="43"/>
  <c r="ID120" i="43" s="1"/>
  <c r="HT120" i="43"/>
  <c r="HU120" i="43" s="1"/>
  <c r="HV120" i="43" s="1"/>
  <c r="BA120" i="43" s="1"/>
  <c r="AZ120" i="43" s="1"/>
  <c r="V117" i="45" s="1"/>
  <c r="X114" i="43"/>
  <c r="L114" i="43"/>
  <c r="N114" i="43" s="1"/>
  <c r="R82" i="43"/>
  <c r="AU82" i="43"/>
  <c r="AH82" i="43" s="1"/>
  <c r="AI82" i="43" s="1"/>
  <c r="HZ82" i="43" s="1"/>
  <c r="AJ82" i="43"/>
  <c r="AK82" i="43" s="1"/>
  <c r="X79" i="43"/>
  <c r="L79" i="43"/>
  <c r="N79" i="43" s="1"/>
  <c r="AU79" i="43" s="1"/>
  <c r="AH79" i="43" s="1"/>
  <c r="AI79" i="43" s="1"/>
  <c r="D76" i="45" s="1"/>
  <c r="U76" i="45" s="1"/>
  <c r="AB88" i="43"/>
  <c r="AA88" i="43"/>
  <c r="AA77" i="43"/>
  <c r="AB77" i="43"/>
  <c r="C164" i="45"/>
  <c r="EO167" i="43"/>
  <c r="Q132" i="43"/>
  <c r="FP132" i="43"/>
  <c r="Q60" i="43"/>
  <c r="FP60" i="43"/>
  <c r="Q62" i="43"/>
  <c r="AB125" i="43"/>
  <c r="AA125" i="43"/>
  <c r="IA65" i="43"/>
  <c r="HT65" i="43"/>
  <c r="HU65" i="43" s="1"/>
  <c r="HV65" i="43" s="1"/>
  <c r="BA65" i="43" s="1"/>
  <c r="AZ65" i="43" s="1"/>
  <c r="V62" i="45" s="1"/>
  <c r="Q156" i="43"/>
  <c r="FP156" i="43"/>
  <c r="L150" i="43"/>
  <c r="N150" i="43" s="1"/>
  <c r="FP150" i="43" s="1"/>
  <c r="X150" i="43"/>
  <c r="R67" i="43"/>
  <c r="AU67" i="43"/>
  <c r="AH67" i="43" s="1"/>
  <c r="AI67" i="43" s="1"/>
  <c r="HZ67" i="43" s="1"/>
  <c r="AJ67" i="43"/>
  <c r="AK67" i="43" s="1"/>
  <c r="R142" i="43"/>
  <c r="AU142" i="43"/>
  <c r="AH142" i="43" s="1"/>
  <c r="AI142" i="43" s="1"/>
  <c r="D139" i="45" s="1"/>
  <c r="U139" i="45" s="1"/>
  <c r="AJ142" i="43"/>
  <c r="AK142" i="43" s="1"/>
  <c r="X130" i="43"/>
  <c r="L130" i="43"/>
  <c r="N130" i="43" s="1"/>
  <c r="FP130" i="43" s="1"/>
  <c r="IA58" i="43"/>
  <c r="ID58" i="43" s="1"/>
  <c r="HT58" i="43"/>
  <c r="HU58" i="43" s="1"/>
  <c r="HV58" i="43" s="1"/>
  <c r="BA58" i="43" s="1"/>
  <c r="AZ58" i="43" s="1"/>
  <c r="V55" i="45" s="1"/>
  <c r="AB148" i="43"/>
  <c r="AA148" i="43"/>
  <c r="R146" i="43"/>
  <c r="AJ146" i="43"/>
  <c r="AK146" i="43" s="1"/>
  <c r="C143" i="45" s="1"/>
  <c r="AA84" i="43"/>
  <c r="AB84" i="43"/>
  <c r="Q149" i="43"/>
  <c r="FP149" i="43"/>
  <c r="Q154" i="43"/>
  <c r="FP154" i="43"/>
  <c r="X78" i="43"/>
  <c r="L78" i="43"/>
  <c r="N78" i="43" s="1"/>
  <c r="AB73" i="43"/>
  <c r="AA73" i="43"/>
  <c r="R108" i="43"/>
  <c r="AU108" i="43"/>
  <c r="AH108" i="43" s="1"/>
  <c r="AI108" i="43" s="1"/>
  <c r="D105" i="45" s="1"/>
  <c r="U105" i="45" s="1"/>
  <c r="AJ108" i="43"/>
  <c r="AK108" i="43" s="1"/>
  <c r="C105" i="45" s="1"/>
  <c r="R63" i="43"/>
  <c r="AJ63" i="43"/>
  <c r="AK63" i="43" s="1"/>
  <c r="C60" i="45" s="1"/>
  <c r="X63" i="43"/>
  <c r="L63" i="43"/>
  <c r="N63" i="43" s="1"/>
  <c r="AU63" i="43" s="1"/>
  <c r="AH63" i="43" s="1"/>
  <c r="AI63" i="43" s="1"/>
  <c r="HZ63" i="43" s="1"/>
  <c r="Q74" i="43"/>
  <c r="FP74" i="43"/>
  <c r="Q117" i="43"/>
  <c r="FP117" i="43"/>
  <c r="L122" i="43"/>
  <c r="N122" i="43" s="1"/>
  <c r="X122" i="43"/>
  <c r="IA87" i="43"/>
  <c r="HT87" i="43"/>
  <c r="HU87" i="43" s="1"/>
  <c r="HV87" i="43" s="1"/>
  <c r="BA87" i="43" s="1"/>
  <c r="AZ87" i="43" s="1"/>
  <c r="V84" i="45" s="1"/>
  <c r="Q72" i="43"/>
  <c r="R138" i="43"/>
  <c r="AJ138" i="43"/>
  <c r="AK138" i="43" s="1"/>
  <c r="C135" i="45" s="1"/>
  <c r="AU138" i="43"/>
  <c r="AH138" i="43" s="1"/>
  <c r="AI138" i="43" s="1"/>
  <c r="D135" i="45" s="1"/>
  <c r="U135" i="45" s="1"/>
  <c r="L138" i="43"/>
  <c r="N138" i="43" s="1"/>
  <c r="X138" i="43"/>
  <c r="R94" i="43"/>
  <c r="AU94" i="43"/>
  <c r="AH94" i="43" s="1"/>
  <c r="AI94" i="43" s="1"/>
  <c r="HZ94" i="43" s="1"/>
  <c r="AJ94" i="43"/>
  <c r="AK94" i="43" s="1"/>
  <c r="C91" i="45" s="1"/>
  <c r="L94" i="43"/>
  <c r="N94" i="43" s="1"/>
  <c r="X94" i="43"/>
  <c r="R134" i="43"/>
  <c r="AJ134" i="43"/>
  <c r="AK134" i="43" s="1"/>
  <c r="R59" i="43"/>
  <c r="AU59" i="43"/>
  <c r="AH59" i="43" s="1"/>
  <c r="AI59" i="43" s="1"/>
  <c r="D56" i="45" s="1"/>
  <c r="U56" i="45" s="1"/>
  <c r="AJ59" i="43"/>
  <c r="AK59" i="43" s="1"/>
  <c r="C56" i="45" s="1"/>
  <c r="L59" i="43"/>
  <c r="N59" i="43" s="1"/>
  <c r="FP59" i="43" s="1"/>
  <c r="X59" i="43"/>
  <c r="AB99" i="43"/>
  <c r="AA99" i="43"/>
  <c r="Q76" i="43"/>
  <c r="FP76" i="43"/>
  <c r="AB164" i="43"/>
  <c r="AA164" i="43"/>
  <c r="Q152" i="43"/>
  <c r="FP152" i="43"/>
  <c r="R150" i="43"/>
  <c r="AU150" i="43"/>
  <c r="AH150" i="43" s="1"/>
  <c r="AI150" i="43" s="1"/>
  <c r="D147" i="45" s="1"/>
  <c r="U147" i="45" s="1"/>
  <c r="AJ150" i="43"/>
  <c r="AK150" i="43" s="1"/>
  <c r="C147" i="45" s="1"/>
  <c r="L67" i="43"/>
  <c r="N67" i="43" s="1"/>
  <c r="FP67" i="43" s="1"/>
  <c r="X67" i="43"/>
  <c r="R158" i="43"/>
  <c r="AJ158" i="43"/>
  <c r="AK158" i="43" s="1"/>
  <c r="C155" i="45" s="1"/>
  <c r="R130" i="43"/>
  <c r="AJ130" i="43"/>
  <c r="AK130" i="43" s="1"/>
  <c r="C127" i="45" s="1"/>
  <c r="AB144" i="43"/>
  <c r="AA144" i="43"/>
  <c r="Q104" i="43"/>
  <c r="FP104" i="43"/>
  <c r="Q109" i="43"/>
  <c r="L146" i="43"/>
  <c r="N146" i="43" s="1"/>
  <c r="FP146" i="43" s="1"/>
  <c r="X146" i="43"/>
  <c r="Q115" i="43"/>
  <c r="FP115" i="43"/>
  <c r="Q69" i="43"/>
  <c r="R78" i="43"/>
  <c r="AJ78" i="43"/>
  <c r="AK78" i="43" s="1"/>
  <c r="C75" i="45" s="1"/>
  <c r="AU78" i="43"/>
  <c r="AH78" i="43" s="1"/>
  <c r="AI78" i="43" s="1"/>
  <c r="HZ78" i="43" s="1"/>
  <c r="L110" i="43"/>
  <c r="N110" i="43" s="1"/>
  <c r="X110" i="43"/>
  <c r="R57" i="43"/>
  <c r="AU57" i="43"/>
  <c r="AH57" i="43" s="1"/>
  <c r="AI57" i="43" s="1"/>
  <c r="D54" i="45" s="1"/>
  <c r="U54" i="45" s="1"/>
  <c r="AJ57" i="43"/>
  <c r="AA95" i="43"/>
  <c r="AB95" i="43"/>
  <c r="HZ163" i="43"/>
  <c r="D160" i="45"/>
  <c r="U160" i="45" s="1"/>
  <c r="Q92" i="43"/>
  <c r="Q90" i="43"/>
  <c r="FP90" i="43"/>
  <c r="L75" i="43"/>
  <c r="N75" i="43" s="1"/>
  <c r="X75" i="43"/>
  <c r="R126" i="43"/>
  <c r="AJ126" i="43"/>
  <c r="AK126" i="43" s="1"/>
  <c r="C123" i="45" s="1"/>
  <c r="AU126" i="43"/>
  <c r="AH126" i="43" s="1"/>
  <c r="AI126" i="43" s="1"/>
  <c r="D123" i="45" s="1"/>
  <c r="U123" i="45" s="1"/>
  <c r="X134" i="43"/>
  <c r="L134" i="43"/>
  <c r="N134" i="43" s="1"/>
  <c r="FP134" i="43" s="1"/>
  <c r="C160" i="45"/>
  <c r="EO163" i="43"/>
  <c r="R114" i="43"/>
  <c r="AJ114" i="43"/>
  <c r="AK114" i="43" s="1"/>
  <c r="C111" i="45" s="1"/>
  <c r="AU114" i="43"/>
  <c r="AH114" i="43" s="1"/>
  <c r="AI114" i="43" s="1"/>
  <c r="HZ114" i="43" s="1"/>
  <c r="R98" i="43"/>
  <c r="AJ98" i="43"/>
  <c r="AK98" i="43" s="1"/>
  <c r="C95" i="45" s="1"/>
  <c r="AU98" i="43"/>
  <c r="AH98" i="43" s="1"/>
  <c r="AI98" i="43" s="1"/>
  <c r="D95" i="45" s="1"/>
  <c r="U95" i="45" s="1"/>
  <c r="L98" i="43"/>
  <c r="N98" i="43" s="1"/>
  <c r="FP98" i="43" s="1"/>
  <c r="X98" i="43"/>
  <c r="R79" i="43"/>
  <c r="AJ79" i="43"/>
  <c r="AK79" i="43" s="1"/>
  <c r="C76" i="45" s="1"/>
  <c r="AB61" i="43"/>
  <c r="AA61" i="43"/>
  <c r="AA106" i="43"/>
  <c r="AB106" i="43"/>
  <c r="Q111" i="43"/>
  <c r="FP111" i="43"/>
  <c r="AB128" i="43"/>
  <c r="AA128" i="43"/>
  <c r="HT91" i="43"/>
  <c r="HU91" i="43" s="1"/>
  <c r="HV91" i="43" s="1"/>
  <c r="BA91" i="43" s="1"/>
  <c r="AZ91" i="43" s="1"/>
  <c r="V88" i="45" s="1"/>
  <c r="IA91" i="43"/>
  <c r="ID91" i="43" s="1"/>
  <c r="R86" i="43"/>
  <c r="AJ86" i="43"/>
  <c r="AK86" i="43" s="1"/>
  <c r="C83" i="45" s="1"/>
  <c r="AU86" i="43"/>
  <c r="AH86" i="43" s="1"/>
  <c r="AI86" i="43" s="1"/>
  <c r="D83" i="45" s="1"/>
  <c r="U83" i="45" s="1"/>
  <c r="L158" i="43"/>
  <c r="N158" i="43" s="1"/>
  <c r="FP158" i="43" s="1"/>
  <c r="X158" i="43"/>
  <c r="Q123" i="43"/>
  <c r="Q105" i="43"/>
  <c r="R102" i="43"/>
  <c r="AJ102" i="43"/>
  <c r="AK102" i="43" s="1"/>
  <c r="C99" i="45" s="1"/>
  <c r="L57" i="43"/>
  <c r="N57" i="43" s="1"/>
  <c r="X57" i="43"/>
  <c r="Q97" i="43"/>
  <c r="R118" i="43"/>
  <c r="AJ118" i="43"/>
  <c r="AK118" i="43" s="1"/>
  <c r="AU118" i="43"/>
  <c r="AH118" i="43" s="1"/>
  <c r="AI118" i="43" s="1"/>
  <c r="D115" i="45" s="1"/>
  <c r="U115" i="45" s="1"/>
  <c r="L118" i="43"/>
  <c r="N118" i="43" s="1"/>
  <c r="FP118" i="43" s="1"/>
  <c r="X118" i="43"/>
  <c r="Q107" i="43"/>
  <c r="FP107" i="43"/>
  <c r="Q113" i="43"/>
  <c r="R122" i="43"/>
  <c r="AJ122" i="43"/>
  <c r="AK122" i="43" s="1"/>
  <c r="C119" i="45" s="1"/>
  <c r="AU122" i="43"/>
  <c r="AH122" i="43" s="1"/>
  <c r="AI122" i="43" s="1"/>
  <c r="HZ122" i="43" s="1"/>
  <c r="C161" i="45"/>
  <c r="EO164" i="43"/>
  <c r="Q143" i="43"/>
  <c r="FP143" i="43"/>
  <c r="Q85" i="43"/>
  <c r="AA223" i="43"/>
  <c r="AB223" i="43"/>
  <c r="HT223" i="43" s="1"/>
  <c r="HU223" i="43" s="1"/>
  <c r="HV223" i="43" s="1"/>
  <c r="BA223" i="43" s="1"/>
  <c r="AU223" i="43" s="1"/>
  <c r="AH223" i="43" s="1"/>
  <c r="AA210" i="43"/>
  <c r="AB210" i="43"/>
  <c r="HT210" i="43" s="1"/>
  <c r="HU210" i="43" s="1"/>
  <c r="HV210" i="43" s="1"/>
  <c r="BA210" i="43" s="1"/>
  <c r="AA236" i="43"/>
  <c r="AB236" i="43"/>
  <c r="IA236" i="43" s="1"/>
  <c r="AB242" i="43"/>
  <c r="HT242" i="43" s="1"/>
  <c r="HU242" i="43" s="1"/>
  <c r="HV242" i="43" s="1"/>
  <c r="BA242" i="43" s="1"/>
  <c r="AU242" i="43" s="1"/>
  <c r="AH242" i="43" s="1"/>
  <c r="AA242" i="43"/>
  <c r="AB172" i="43"/>
  <c r="HT172" i="43" s="1"/>
  <c r="HU172" i="43" s="1"/>
  <c r="HV172" i="43" s="1"/>
  <c r="BA172" i="43" s="1"/>
  <c r="AU172" i="43" s="1"/>
  <c r="AH172" i="43" s="1"/>
  <c r="AA172" i="43"/>
  <c r="AA231" i="43"/>
  <c r="AB231" i="43"/>
  <c r="IA231" i="43" s="1"/>
  <c r="AB217" i="43"/>
  <c r="HT217" i="43" s="1"/>
  <c r="HU217" i="43" s="1"/>
  <c r="HV217" i="43" s="1"/>
  <c r="BA217" i="43" s="1"/>
  <c r="AU217" i="43" s="1"/>
  <c r="AA217" i="43"/>
  <c r="AB239" i="43"/>
  <c r="HT239" i="43" s="1"/>
  <c r="HU239" i="43" s="1"/>
  <c r="HV239" i="43" s="1"/>
  <c r="BA239" i="43" s="1"/>
  <c r="AU239" i="43" s="1"/>
  <c r="AH239" i="43" s="1"/>
  <c r="AI239" i="43" s="1"/>
  <c r="AA239" i="43"/>
  <c r="AA227" i="43"/>
  <c r="AB227" i="43"/>
  <c r="HT227" i="43" s="1"/>
  <c r="HU227" i="43" s="1"/>
  <c r="HV227" i="43" s="1"/>
  <c r="BA227" i="43" s="1"/>
  <c r="AU227" i="43" s="1"/>
  <c r="AH227" i="43" s="1"/>
  <c r="EN227" i="43" s="1"/>
  <c r="AB199" i="43"/>
  <c r="IA199" i="43" s="1"/>
  <c r="AA199" i="43"/>
  <c r="AB235" i="43"/>
  <c r="IA235" i="43" s="1"/>
  <c r="AA235" i="43"/>
  <c r="AB159" i="43"/>
  <c r="IA159" i="43" s="1"/>
  <c r="AA159" i="43"/>
  <c r="AB218" i="43"/>
  <c r="HT218" i="43" s="1"/>
  <c r="HU218" i="43" s="1"/>
  <c r="HV218" i="43" s="1"/>
  <c r="BA218" i="43" s="1"/>
  <c r="AU218" i="43" s="1"/>
  <c r="AH218" i="43" s="1"/>
  <c r="EN218" i="43" s="1"/>
  <c r="AA218" i="43"/>
  <c r="AA241" i="43"/>
  <c r="AB241" i="43"/>
  <c r="IA241" i="43" s="1"/>
  <c r="AB237" i="43"/>
  <c r="HT237" i="43" s="1"/>
  <c r="HU237" i="43" s="1"/>
  <c r="HV237" i="43" s="1"/>
  <c r="BA237" i="43" s="1"/>
  <c r="AU237" i="43" s="1"/>
  <c r="AH237" i="43" s="1"/>
  <c r="AA237" i="43"/>
  <c r="AB226" i="43"/>
  <c r="IA226" i="43" s="1"/>
  <c r="AA226" i="43"/>
  <c r="AB225" i="43"/>
  <c r="HT225" i="43" s="1"/>
  <c r="HU225" i="43" s="1"/>
  <c r="HV225" i="43" s="1"/>
  <c r="BA225" i="43" s="1"/>
  <c r="AZ225" i="43" s="1"/>
  <c r="V222" i="45" s="1"/>
  <c r="AA225" i="43"/>
  <c r="AA208" i="43"/>
  <c r="AB208" i="43"/>
  <c r="HT208" i="43" s="1"/>
  <c r="HU208" i="43" s="1"/>
  <c r="HV208" i="43" s="1"/>
  <c r="BA208" i="43" s="1"/>
  <c r="AU208" i="43" s="1"/>
  <c r="AH208" i="43" s="1"/>
  <c r="AA230" i="43"/>
  <c r="AB230" i="43"/>
  <c r="IA230" i="43" s="1"/>
  <c r="AB247" i="43"/>
  <c r="AA247" i="43"/>
  <c r="FP172" i="43"/>
  <c r="FP227" i="43"/>
  <c r="FP214" i="43"/>
  <c r="Q222" i="43"/>
  <c r="AB209" i="43"/>
  <c r="AA209" i="43"/>
  <c r="HT228" i="43"/>
  <c r="HU228" i="43" s="1"/>
  <c r="HV228" i="43" s="1"/>
  <c r="BA228" i="43" s="1"/>
  <c r="AU228" i="43" s="1"/>
  <c r="AH228" i="43" s="1"/>
  <c r="AI228" i="43" s="1"/>
  <c r="AZ245" i="43"/>
  <c r="V242" i="45" s="1"/>
  <c r="D175" i="45"/>
  <c r="U175" i="45" s="1"/>
  <c r="AA175" i="43"/>
  <c r="FP241" i="43"/>
  <c r="AU166" i="43"/>
  <c r="AH166" i="43" s="1"/>
  <c r="AA185" i="43"/>
  <c r="AB185" i="43"/>
  <c r="FP160" i="43"/>
  <c r="FP242" i="43"/>
  <c r="FP159" i="43"/>
  <c r="AB174" i="43"/>
  <c r="IA174" i="43" s="1"/>
  <c r="HT184" i="43"/>
  <c r="HU184" i="43" s="1"/>
  <c r="HV184" i="43" s="1"/>
  <c r="BA184" i="43" s="1"/>
  <c r="AU184" i="43" s="1"/>
  <c r="AH184" i="43" s="1"/>
  <c r="AI184" i="43" s="1"/>
  <c r="FP223" i="43"/>
  <c r="EN178" i="43"/>
  <c r="FP235" i="43"/>
  <c r="AA170" i="43"/>
  <c r="AB170" i="43"/>
  <c r="FP289" i="43"/>
  <c r="AB289" i="43"/>
  <c r="AB285" i="43"/>
  <c r="FP285" i="43"/>
  <c r="FP287" i="43"/>
  <c r="AB287" i="43"/>
  <c r="FP283" i="43"/>
  <c r="AB283" i="43"/>
  <c r="FP281" i="43"/>
  <c r="AB281" i="43"/>
  <c r="AB278" i="43"/>
  <c r="IA278" i="43" s="1"/>
  <c r="FP278" i="43"/>
  <c r="AB279" i="43"/>
  <c r="FP279" i="43"/>
  <c r="AB280" i="43"/>
  <c r="FP280" i="43"/>
  <c r="AB277" i="43"/>
  <c r="AA277" i="43"/>
  <c r="FP277" i="43"/>
  <c r="FP276" i="43"/>
  <c r="AB276" i="43"/>
  <c r="AB275" i="43"/>
  <c r="AA275" i="43"/>
  <c r="FP275" i="43"/>
  <c r="IA274" i="43"/>
  <c r="HT274" i="43"/>
  <c r="HU274" i="43" s="1"/>
  <c r="HV274" i="43" s="1"/>
  <c r="BA274" i="43" s="1"/>
  <c r="FP273" i="43"/>
  <c r="AB273" i="43"/>
  <c r="HT272" i="43"/>
  <c r="HU272" i="43" s="1"/>
  <c r="HV272" i="43" s="1"/>
  <c r="BA272" i="43" s="1"/>
  <c r="IA272" i="43"/>
  <c r="IA271" i="43"/>
  <c r="HT271" i="43"/>
  <c r="HU271" i="43" s="1"/>
  <c r="HV271" i="43" s="1"/>
  <c r="BA271" i="43" s="1"/>
  <c r="AU271" i="43" s="1"/>
  <c r="IA270" i="43"/>
  <c r="HT270" i="43"/>
  <c r="HU270" i="43" s="1"/>
  <c r="HV270" i="43" s="1"/>
  <c r="BA270" i="43" s="1"/>
  <c r="IA269" i="43"/>
  <c r="HT269" i="43"/>
  <c r="HU269" i="43" s="1"/>
  <c r="HV269" i="43" s="1"/>
  <c r="BA269" i="43" s="1"/>
  <c r="HT268" i="43"/>
  <c r="HU268" i="43" s="1"/>
  <c r="HV268" i="43" s="1"/>
  <c r="BA268" i="43" s="1"/>
  <c r="IA268" i="43"/>
  <c r="HT267" i="43"/>
  <c r="HU267" i="43" s="1"/>
  <c r="HV267" i="43" s="1"/>
  <c r="BA267" i="43" s="1"/>
  <c r="IA267" i="43"/>
  <c r="AB266" i="43"/>
  <c r="FP266" i="43"/>
  <c r="FP263" i="43"/>
  <c r="FP262" i="43"/>
  <c r="FP258" i="43"/>
  <c r="FP255" i="43"/>
  <c r="AB255" i="43"/>
  <c r="AB254" i="43"/>
  <c r="FP254" i="43"/>
  <c r="IA253" i="43"/>
  <c r="HT253" i="43"/>
  <c r="HU253" i="43" s="1"/>
  <c r="HV253" i="43" s="1"/>
  <c r="BA253" i="43" s="1"/>
  <c r="AB250" i="43"/>
  <c r="FP250" i="43"/>
  <c r="AB251" i="43"/>
  <c r="FP251" i="43"/>
  <c r="IA252" i="43"/>
  <c r="HT252" i="43"/>
  <c r="HU252" i="43" s="1"/>
  <c r="HV252" i="43" s="1"/>
  <c r="BA252" i="43" s="1"/>
  <c r="HT249" i="43"/>
  <c r="HU249" i="43" s="1"/>
  <c r="HV249" i="43" s="1"/>
  <c r="BA249" i="43" s="1"/>
  <c r="IA249" i="43"/>
  <c r="IA248" i="43"/>
  <c r="HT248" i="43"/>
  <c r="HU248" i="43" s="1"/>
  <c r="HV248" i="43" s="1"/>
  <c r="BA248" i="43" s="1"/>
  <c r="AA214" i="43"/>
  <c r="AA243" i="43"/>
  <c r="AA160" i="43"/>
  <c r="AB243" i="43"/>
  <c r="FP243" i="43"/>
  <c r="AB229" i="43"/>
  <c r="AA229" i="43"/>
  <c r="FP229" i="43"/>
  <c r="M18" i="22"/>
  <c r="J17" i="22"/>
  <c r="N17" i="22" s="1"/>
  <c r="IA224" i="43"/>
  <c r="HT224" i="43"/>
  <c r="HU224" i="43" s="1"/>
  <c r="HV224" i="43" s="1"/>
  <c r="BA224" i="43" s="1"/>
  <c r="HT203" i="43"/>
  <c r="HU203" i="43" s="1"/>
  <c r="HV203" i="43" s="1"/>
  <c r="BA203" i="43" s="1"/>
  <c r="HT176" i="43"/>
  <c r="HU176" i="43" s="1"/>
  <c r="HV176" i="43" s="1"/>
  <c r="BA176" i="43" s="1"/>
  <c r="IA176" i="43"/>
  <c r="AB214" i="43"/>
  <c r="AB160" i="43"/>
  <c r="FP180" i="43"/>
  <c r="Q180" i="43"/>
  <c r="AB166" i="43"/>
  <c r="AA166" i="43"/>
  <c r="AB202" i="43"/>
  <c r="AA202" i="43"/>
  <c r="AI183" i="43"/>
  <c r="EN183" i="43"/>
  <c r="FP204" i="43"/>
  <c r="Q204" i="43"/>
  <c r="HT175" i="43"/>
  <c r="HU175" i="43" s="1"/>
  <c r="HV175" i="43" s="1"/>
  <c r="BA175" i="43" s="1"/>
  <c r="IA175" i="43"/>
  <c r="AB220" i="43"/>
  <c r="AA220" i="43"/>
  <c r="AB181" i="43"/>
  <c r="AA181" i="43"/>
  <c r="IA169" i="43"/>
  <c r="HT169" i="43"/>
  <c r="HU169" i="43" s="1"/>
  <c r="HV169" i="43" s="1"/>
  <c r="BA169" i="43" s="1"/>
  <c r="AZ169" i="43" s="1"/>
  <c r="V166" i="45" s="1"/>
  <c r="EN240" i="43"/>
  <c r="AI240" i="43"/>
  <c r="D237" i="45" s="1"/>
  <c r="U237" i="45" s="1"/>
  <c r="B18" i="22"/>
  <c r="E18" i="22"/>
  <c r="I18" i="22"/>
  <c r="A19" i="22"/>
  <c r="P18" i="22"/>
  <c r="D18" i="22"/>
  <c r="H18" i="22"/>
  <c r="Q18" i="22"/>
  <c r="C18" i="22"/>
  <c r="L18" i="22"/>
  <c r="K18" i="22"/>
  <c r="F17" i="22"/>
  <c r="G17" i="22"/>
  <c r="F10" i="22"/>
  <c r="R16" i="22"/>
  <c r="R15" i="22"/>
  <c r="F12" i="22"/>
  <c r="ID54" i="43"/>
  <c r="AI159" i="43"/>
  <c r="HZ159" i="43" s="1"/>
  <c r="IB159" i="43" s="1"/>
  <c r="R16" i="44"/>
  <c r="R14" i="44"/>
  <c r="R19" i="44"/>
  <c r="F19" i="44"/>
  <c r="F17" i="44"/>
  <c r="F20" i="44"/>
  <c r="F18" i="44"/>
  <c r="F16" i="44"/>
  <c r="R20" i="44"/>
  <c r="M23" i="30"/>
  <c r="M19" i="30"/>
  <c r="M20" i="30"/>
  <c r="N7" i="30"/>
  <c r="M6" i="30"/>
  <c r="M21" i="30"/>
  <c r="M22" i="30"/>
  <c r="M9" i="30"/>
  <c r="M27" i="30"/>
  <c r="M26" i="30"/>
  <c r="M28" i="30"/>
  <c r="M17" i="30"/>
  <c r="M14" i="30"/>
  <c r="M15" i="30"/>
  <c r="M10" i="30"/>
  <c r="M16" i="30"/>
  <c r="M12" i="30"/>
  <c r="M11" i="30"/>
  <c r="M13" i="30"/>
  <c r="ID55" i="43"/>
  <c r="EO55" i="43"/>
  <c r="D52" i="45"/>
  <c r="U52" i="45" s="1"/>
  <c r="AI245" i="43"/>
  <c r="EN245" i="43"/>
  <c r="AI212" i="43"/>
  <c r="EN212" i="43"/>
  <c r="EN169" i="43"/>
  <c r="AI169" i="43"/>
  <c r="AI233" i="43"/>
  <c r="EN233" i="43"/>
  <c r="AI213" i="43"/>
  <c r="EN213" i="43"/>
  <c r="HZ170" i="43"/>
  <c r="D167" i="45"/>
  <c r="U167" i="45" s="1"/>
  <c r="EO170" i="43"/>
  <c r="AI173" i="43"/>
  <c r="EN173" i="43"/>
  <c r="IC43" i="43"/>
  <c r="HX43" i="43"/>
  <c r="HW43" i="43"/>
  <c r="IC53" i="43"/>
  <c r="HX53" i="43"/>
  <c r="HW53" i="43"/>
  <c r="IC51" i="43"/>
  <c r="HX51" i="43"/>
  <c r="HW51" i="43"/>
  <c r="IC56" i="43"/>
  <c r="HX56" i="43"/>
  <c r="HW56" i="43"/>
  <c r="IC26" i="43"/>
  <c r="HX26" i="43"/>
  <c r="HW26" i="43"/>
  <c r="IC153" i="43"/>
  <c r="HX153" i="43"/>
  <c r="HW153" i="43"/>
  <c r="IC99" i="43"/>
  <c r="HX99" i="43"/>
  <c r="HW99" i="43"/>
  <c r="IC24" i="43"/>
  <c r="HX24" i="43"/>
  <c r="HW24" i="43"/>
  <c r="IC116" i="43"/>
  <c r="HX116" i="43"/>
  <c r="HW116" i="43"/>
  <c r="IC95" i="43"/>
  <c r="HX95" i="43"/>
  <c r="HW95" i="43"/>
  <c r="IC19" i="43"/>
  <c r="HX19" i="43"/>
  <c r="HW19" i="43"/>
  <c r="IC22" i="43"/>
  <c r="HX22" i="43"/>
  <c r="HW22" i="43"/>
  <c r="IC33" i="43"/>
  <c r="HX33" i="43"/>
  <c r="HW33" i="43"/>
  <c r="IC55" i="43"/>
  <c r="HX55" i="43"/>
  <c r="HW55" i="43"/>
  <c r="IC18" i="43"/>
  <c r="HX18" i="43"/>
  <c r="HW18" i="43"/>
  <c r="IC39" i="43"/>
  <c r="HX39" i="43"/>
  <c r="HW39" i="43"/>
  <c r="IC20" i="43"/>
  <c r="HX20" i="43"/>
  <c r="HW20" i="43"/>
  <c r="IC46" i="43"/>
  <c r="HX46" i="43"/>
  <c r="HW46" i="43"/>
  <c r="IC47" i="43"/>
  <c r="HX47" i="43"/>
  <c r="HW47" i="43"/>
  <c r="IC84" i="43"/>
  <c r="HX84" i="43"/>
  <c r="HW84" i="43"/>
  <c r="IC96" i="43"/>
  <c r="HX96" i="43"/>
  <c r="HW96" i="43"/>
  <c r="IC100" i="43"/>
  <c r="HX100" i="43"/>
  <c r="HW100" i="43"/>
  <c r="IC112" i="43"/>
  <c r="HX112" i="43"/>
  <c r="HW112" i="43"/>
  <c r="IC145" i="43"/>
  <c r="HX145" i="43"/>
  <c r="HW145" i="43"/>
  <c r="IC148" i="43"/>
  <c r="HX148" i="43"/>
  <c r="HW148" i="43"/>
  <c r="IC168" i="43"/>
  <c r="HX168" i="43"/>
  <c r="HW168" i="43"/>
  <c r="IC35" i="43"/>
  <c r="HX35" i="43"/>
  <c r="HW35" i="43"/>
  <c r="IC41" i="43"/>
  <c r="HX41" i="43"/>
  <c r="HW41" i="43"/>
  <c r="IC61" i="43"/>
  <c r="HX61" i="43"/>
  <c r="HW61" i="43"/>
  <c r="IC124" i="43"/>
  <c r="HX124" i="43"/>
  <c r="HW124" i="43"/>
  <c r="IC58" i="43"/>
  <c r="HX58" i="43"/>
  <c r="HW58" i="43"/>
  <c r="IC125" i="43"/>
  <c r="HX125" i="43"/>
  <c r="HW125" i="43"/>
  <c r="IC23" i="43"/>
  <c r="HX23" i="43"/>
  <c r="HW23" i="43"/>
  <c r="IC54" i="43"/>
  <c r="HX54" i="43"/>
  <c r="HW54" i="43"/>
  <c r="IC31" i="43"/>
  <c r="HX31" i="43"/>
  <c r="HW31" i="43"/>
  <c r="IC45" i="43"/>
  <c r="HX45" i="43"/>
  <c r="HW45" i="43"/>
  <c r="IC27" i="43"/>
  <c r="HX27" i="43"/>
  <c r="HW27" i="43"/>
  <c r="IC15" i="43"/>
  <c r="HX15" i="43"/>
  <c r="HW15" i="43"/>
  <c r="IC77" i="43"/>
  <c r="HX77" i="43"/>
  <c r="HW77" i="43"/>
  <c r="IC120" i="43"/>
  <c r="HX120" i="43"/>
  <c r="HW120" i="43"/>
  <c r="IC91" i="43"/>
  <c r="HX91" i="43"/>
  <c r="HW91" i="43"/>
  <c r="IC128" i="43"/>
  <c r="HX128" i="43"/>
  <c r="HW128" i="43"/>
  <c r="IC73" i="43"/>
  <c r="HX73" i="43"/>
  <c r="HW73" i="43"/>
  <c r="IB200" i="43"/>
  <c r="IB72" i="43"/>
  <c r="IB117" i="43"/>
  <c r="IB62" i="43"/>
  <c r="IB149" i="43"/>
  <c r="IB154" i="43"/>
  <c r="IB60" i="43"/>
  <c r="IB104" i="43"/>
  <c r="IB160" i="43"/>
  <c r="IB152" i="43"/>
  <c r="IB137" i="43"/>
  <c r="IB85" i="43"/>
  <c r="IB151" i="43"/>
  <c r="IB76" i="43"/>
  <c r="IB140" i="43"/>
  <c r="IB136" i="43"/>
  <c r="IB143" i="43"/>
  <c r="IB81" i="43"/>
  <c r="F15" i="44"/>
  <c r="F13" i="44"/>
  <c r="R15" i="44"/>
  <c r="R10" i="44"/>
  <c r="R13" i="44"/>
  <c r="C21" i="34"/>
  <c r="EO200" i="43"/>
  <c r="D197" i="45"/>
  <c r="U197" i="45" s="1"/>
  <c r="Z20" i="45"/>
  <c r="W21" i="45"/>
  <c r="F12" i="44"/>
  <c r="F14" i="44"/>
  <c r="F11" i="44"/>
  <c r="D157" i="45"/>
  <c r="U157" i="45" s="1"/>
  <c r="EO160" i="43"/>
  <c r="F10" i="44"/>
  <c r="EH205" i="43"/>
  <c r="R11" i="44"/>
  <c r="R12" i="44"/>
  <c r="IA165" i="43" l="1"/>
  <c r="AA300" i="43"/>
  <c r="HT301" i="43"/>
  <c r="HU301" i="43" s="1"/>
  <c r="HV301" i="43" s="1"/>
  <c r="BA301" i="43" s="1"/>
  <c r="AU301" i="43" s="1"/>
  <c r="AH301" i="43" s="1"/>
  <c r="EN301" i="43" s="1"/>
  <c r="AA301" i="43"/>
  <c r="AB211" i="43"/>
  <c r="IA211" i="43" s="1"/>
  <c r="HT300" i="43"/>
  <c r="HU300" i="43" s="1"/>
  <c r="HV300" i="43" s="1"/>
  <c r="BA300" i="43" s="1"/>
  <c r="AZ300" i="43" s="1"/>
  <c r="V297" i="45" s="1"/>
  <c r="HT216" i="43"/>
  <c r="HU216" i="43" s="1"/>
  <c r="HV216" i="43" s="1"/>
  <c r="BA216" i="43" s="1"/>
  <c r="AU216" i="43" s="1"/>
  <c r="AH216" i="43" s="1"/>
  <c r="AI216" i="43" s="1"/>
  <c r="HZ216" i="43" s="1"/>
  <c r="ID216" i="43" s="1"/>
  <c r="AA216" i="43"/>
  <c r="AB296" i="43"/>
  <c r="AA296" i="43"/>
  <c r="AB290" i="43"/>
  <c r="AA290" i="43"/>
  <c r="AA288" i="43"/>
  <c r="AB288" i="43"/>
  <c r="AA286" i="43"/>
  <c r="AB286" i="43"/>
  <c r="AA284" i="43"/>
  <c r="AB284" i="43"/>
  <c r="AA282" i="43"/>
  <c r="AB282" i="43"/>
  <c r="AB219" i="43"/>
  <c r="HT219" i="43" s="1"/>
  <c r="HU219" i="43" s="1"/>
  <c r="HV219" i="43" s="1"/>
  <c r="BA219" i="43" s="1"/>
  <c r="AU219" i="43" s="1"/>
  <c r="AH219" i="43" s="1"/>
  <c r="EN219" i="43" s="1"/>
  <c r="IC106" i="43"/>
  <c r="HX106" i="43"/>
  <c r="AU182" i="43"/>
  <c r="AH182" i="43" s="1"/>
  <c r="AZ182" i="43"/>
  <c r="V179" i="45" s="1"/>
  <c r="IA161" i="43"/>
  <c r="HZ165" i="43"/>
  <c r="IB165" i="43" s="1"/>
  <c r="D162" i="45"/>
  <c r="U162" i="45" s="1"/>
  <c r="EO165" i="43"/>
  <c r="AI162" i="43"/>
  <c r="EN162" i="43"/>
  <c r="HZ161" i="43"/>
  <c r="IB161" i="43" s="1"/>
  <c r="D158" i="45"/>
  <c r="U158" i="45" s="1"/>
  <c r="EO161" i="43"/>
  <c r="AU158" i="43"/>
  <c r="AH158" i="43" s="1"/>
  <c r="AI158" i="43" s="1"/>
  <c r="HZ158" i="43" s="1"/>
  <c r="IB158" i="43" s="1"/>
  <c r="IC158" i="43" s="1"/>
  <c r="EO147" i="43"/>
  <c r="IC144" i="43"/>
  <c r="HW144" i="43"/>
  <c r="D144" i="45"/>
  <c r="U144" i="45" s="1"/>
  <c r="EN147" i="43"/>
  <c r="EO133" i="43"/>
  <c r="EO135" i="43"/>
  <c r="AU146" i="43"/>
  <c r="AH146" i="43" s="1"/>
  <c r="AI146" i="43" s="1"/>
  <c r="D143" i="45" s="1"/>
  <c r="U143" i="45" s="1"/>
  <c r="D132" i="45"/>
  <c r="U132" i="45" s="1"/>
  <c r="EN135" i="43"/>
  <c r="EN133" i="43"/>
  <c r="D130" i="45"/>
  <c r="U130" i="45" s="1"/>
  <c r="D120" i="45"/>
  <c r="U120" i="45" s="1"/>
  <c r="AU134" i="43"/>
  <c r="AH134" i="43" s="1"/>
  <c r="AI134" i="43" s="1"/>
  <c r="D131" i="45" s="1"/>
  <c r="U131" i="45" s="1"/>
  <c r="EN129" i="43"/>
  <c r="EO129" i="43"/>
  <c r="HZ129" i="43"/>
  <c r="IB129" i="43" s="1"/>
  <c r="HW129" i="43" s="1"/>
  <c r="T19" i="22"/>
  <c r="S19" i="22"/>
  <c r="EN123" i="43"/>
  <c r="EO123" i="43"/>
  <c r="EN121" i="43"/>
  <c r="EO121" i="43"/>
  <c r="EO131" i="43"/>
  <c r="EN131" i="43"/>
  <c r="HZ131" i="43"/>
  <c r="IB131" i="43" s="1"/>
  <c r="IC131" i="43" s="1"/>
  <c r="AU130" i="43"/>
  <c r="AH130" i="43" s="1"/>
  <c r="AI130" i="43" s="1"/>
  <c r="D127" i="45" s="1"/>
  <c r="U127" i="45" s="1"/>
  <c r="HZ121" i="43"/>
  <c r="IB121" i="43" s="1"/>
  <c r="HW121" i="43" s="1"/>
  <c r="EO103" i="43"/>
  <c r="EN103" i="43"/>
  <c r="D100" i="45"/>
  <c r="U100" i="45" s="1"/>
  <c r="EN105" i="43"/>
  <c r="EO105" i="43"/>
  <c r="D102" i="45"/>
  <c r="U102" i="45" s="1"/>
  <c r="HX88" i="43"/>
  <c r="IC88" i="43"/>
  <c r="AU102" i="43"/>
  <c r="AH102" i="43" s="1"/>
  <c r="AI102" i="43" s="1"/>
  <c r="HZ102" i="43" s="1"/>
  <c r="IB102" i="43" s="1"/>
  <c r="IC87" i="43"/>
  <c r="ID87" i="43"/>
  <c r="EN89" i="43"/>
  <c r="HW87" i="43"/>
  <c r="HZ89" i="43"/>
  <c r="IB89" i="43" s="1"/>
  <c r="IC89" i="43" s="1"/>
  <c r="EO89" i="43"/>
  <c r="EO64" i="43"/>
  <c r="EN64" i="43"/>
  <c r="D61" i="45"/>
  <c r="U61" i="45" s="1"/>
  <c r="HX65" i="43"/>
  <c r="IC65" i="43"/>
  <c r="ID65" i="43"/>
  <c r="E35" i="35"/>
  <c r="D35" i="35"/>
  <c r="G35" i="35"/>
  <c r="F35" i="35"/>
  <c r="I35" i="35"/>
  <c r="H35" i="35"/>
  <c r="K35" i="35"/>
  <c r="J35" i="35"/>
  <c r="AK57" i="43"/>
  <c r="D36" i="35" s="1"/>
  <c r="L35" i="35"/>
  <c r="AZ301" i="43"/>
  <c r="V298" i="45" s="1"/>
  <c r="IA316" i="43"/>
  <c r="HT316" i="43"/>
  <c r="HU316" i="43" s="1"/>
  <c r="HV316" i="43" s="1"/>
  <c r="BA316" i="43" s="1"/>
  <c r="IA313" i="43"/>
  <c r="HT313" i="43"/>
  <c r="HU313" i="43" s="1"/>
  <c r="HV313" i="43" s="1"/>
  <c r="BA313" i="43" s="1"/>
  <c r="AB314" i="43"/>
  <c r="AA314" i="43"/>
  <c r="AB315" i="43"/>
  <c r="AA315" i="43"/>
  <c r="AB312" i="43"/>
  <c r="AA312" i="43"/>
  <c r="FP312" i="43"/>
  <c r="AB311" i="43"/>
  <c r="AA311" i="43"/>
  <c r="AZ305" i="43"/>
  <c r="V302" i="45" s="1"/>
  <c r="HT304" i="43"/>
  <c r="HU304" i="43" s="1"/>
  <c r="HV304" i="43" s="1"/>
  <c r="BA304" i="43" s="1"/>
  <c r="AU304" i="43" s="1"/>
  <c r="AH304" i="43" s="1"/>
  <c r="HT310" i="43"/>
  <c r="HU310" i="43" s="1"/>
  <c r="HV310" i="43" s="1"/>
  <c r="BA310" i="43" s="1"/>
  <c r="IA310" i="43"/>
  <c r="AB309" i="43"/>
  <c r="AA309" i="43"/>
  <c r="AI232" i="43"/>
  <c r="D229" i="45" s="1"/>
  <c r="U229" i="45" s="1"/>
  <c r="AZ232" i="43"/>
  <c r="V229" i="45" s="1"/>
  <c r="AB307" i="43"/>
  <c r="AA307" i="43"/>
  <c r="FP306" i="43"/>
  <c r="Q306" i="43"/>
  <c r="FP308" i="43"/>
  <c r="Q308" i="43"/>
  <c r="IA303" i="43"/>
  <c r="HT171" i="43"/>
  <c r="HU171" i="43" s="1"/>
  <c r="HV171" i="43" s="1"/>
  <c r="BA171" i="43" s="1"/>
  <c r="AH171" i="43" s="1"/>
  <c r="AI171" i="43" s="1"/>
  <c r="EO171" i="43" s="1"/>
  <c r="AA304" i="43"/>
  <c r="IA167" i="43"/>
  <c r="ID167" i="43" s="1"/>
  <c r="HT153" i="43"/>
  <c r="HU153" i="43" s="1"/>
  <c r="HV153" i="43" s="1"/>
  <c r="BA153" i="43" s="1"/>
  <c r="AZ153" i="43" s="1"/>
  <c r="V150" i="45" s="1"/>
  <c r="HZ142" i="43"/>
  <c r="IB142" i="43" s="1"/>
  <c r="HT145" i="43"/>
  <c r="HU145" i="43" s="1"/>
  <c r="HV145" i="43" s="1"/>
  <c r="BA145" i="43" s="1"/>
  <c r="AZ145" i="43" s="1"/>
  <c r="V142" i="45" s="1"/>
  <c r="Q102" i="43"/>
  <c r="AB102" i="43" s="1"/>
  <c r="AB302" i="43"/>
  <c r="AA302" i="43"/>
  <c r="AB299" i="43"/>
  <c r="AA299" i="43"/>
  <c r="HZ118" i="43"/>
  <c r="IB118" i="43" s="1"/>
  <c r="D119" i="45"/>
  <c r="U119" i="45" s="1"/>
  <c r="HT168" i="43"/>
  <c r="HU168" i="43" s="1"/>
  <c r="HV168" i="43" s="1"/>
  <c r="BA168" i="43" s="1"/>
  <c r="AZ168" i="43" s="1"/>
  <c r="V165" i="45" s="1"/>
  <c r="D111" i="45"/>
  <c r="U111" i="45" s="1"/>
  <c r="AZ238" i="43"/>
  <c r="V235" i="45" s="1"/>
  <c r="AA93" i="43"/>
  <c r="AB298" i="43"/>
  <c r="AA298" i="43"/>
  <c r="AA139" i="43"/>
  <c r="AA89" i="43"/>
  <c r="IA100" i="43"/>
  <c r="ID100" i="43" s="1"/>
  <c r="AB297" i="43"/>
  <c r="AA297" i="43"/>
  <c r="AA162" i="43"/>
  <c r="Q86" i="43"/>
  <c r="AB86" i="43" s="1"/>
  <c r="HT295" i="43"/>
  <c r="HU295" i="43" s="1"/>
  <c r="HV295" i="43" s="1"/>
  <c r="BA295" i="43" s="1"/>
  <c r="IA295" i="43"/>
  <c r="HT293" i="43"/>
  <c r="HU293" i="43" s="1"/>
  <c r="HV293" i="43" s="1"/>
  <c r="BA293" i="43" s="1"/>
  <c r="AU293" i="43" s="1"/>
  <c r="AH293" i="43" s="1"/>
  <c r="EN293" i="43" s="1"/>
  <c r="AZ179" i="43"/>
  <c r="V176" i="45" s="1"/>
  <c r="AZ234" i="43"/>
  <c r="V231" i="45" s="1"/>
  <c r="IA234" i="43"/>
  <c r="AB136" i="43"/>
  <c r="HT136" i="43" s="1"/>
  <c r="HU136" i="43" s="1"/>
  <c r="HV136" i="43" s="1"/>
  <c r="BA136" i="43" s="1"/>
  <c r="AZ136" i="43" s="1"/>
  <c r="V133" i="45" s="1"/>
  <c r="EO142" i="43"/>
  <c r="AA129" i="43"/>
  <c r="AA293" i="43"/>
  <c r="Q130" i="43"/>
  <c r="AB130" i="43" s="1"/>
  <c r="AB141" i="43"/>
  <c r="HT141" i="43" s="1"/>
  <c r="HU141" i="43" s="1"/>
  <c r="HV141" i="43" s="1"/>
  <c r="BA141" i="43" s="1"/>
  <c r="AZ141" i="43" s="1"/>
  <c r="V138" i="45" s="1"/>
  <c r="AA64" i="43"/>
  <c r="AA147" i="43"/>
  <c r="HZ126" i="43"/>
  <c r="IB126" i="43" s="1"/>
  <c r="HZ108" i="43"/>
  <c r="IB108" i="43" s="1"/>
  <c r="EN238" i="43"/>
  <c r="IA172" i="43"/>
  <c r="AB131" i="43"/>
  <c r="HT131" i="43" s="1"/>
  <c r="HU131" i="43" s="1"/>
  <c r="HV131" i="43" s="1"/>
  <c r="BA131" i="43" s="1"/>
  <c r="AZ131" i="43" s="1"/>
  <c r="V128" i="45" s="1"/>
  <c r="AA151" i="43"/>
  <c r="C139" i="45"/>
  <c r="D64" i="45"/>
  <c r="U64" i="45" s="1"/>
  <c r="EN184" i="43"/>
  <c r="HT246" i="43"/>
  <c r="HU246" i="43" s="1"/>
  <c r="HV246" i="43" s="1"/>
  <c r="BA246" i="43" s="1"/>
  <c r="AU246" i="43" s="1"/>
  <c r="AH246" i="43" s="1"/>
  <c r="AI246" i="43" s="1"/>
  <c r="EO75" i="43"/>
  <c r="FP206" i="43"/>
  <c r="D91" i="45"/>
  <c r="U91" i="45" s="1"/>
  <c r="D72" i="45"/>
  <c r="U72" i="45" s="1"/>
  <c r="D79" i="45"/>
  <c r="U79" i="45" s="1"/>
  <c r="IA210" i="43"/>
  <c r="HT215" i="43"/>
  <c r="HU215" i="43" s="1"/>
  <c r="HV215" i="43" s="1"/>
  <c r="BA215" i="43" s="1"/>
  <c r="AU215" i="43" s="1"/>
  <c r="AH215" i="43" s="1"/>
  <c r="EN215" i="43" s="1"/>
  <c r="AA155" i="43"/>
  <c r="Q142" i="43"/>
  <c r="AB142" i="43" s="1"/>
  <c r="AB80" i="43"/>
  <c r="HT80" i="43" s="1"/>
  <c r="HU80" i="43" s="1"/>
  <c r="HV80" i="43" s="1"/>
  <c r="BA80" i="43" s="1"/>
  <c r="AZ80" i="43" s="1"/>
  <c r="V77" i="45" s="1"/>
  <c r="EN142" i="43"/>
  <c r="EN86" i="43"/>
  <c r="EN75" i="43"/>
  <c r="EN228" i="43"/>
  <c r="EO98" i="43"/>
  <c r="IA294" i="43"/>
  <c r="AB292" i="43"/>
  <c r="AA292" i="43"/>
  <c r="EO122" i="43"/>
  <c r="EO59" i="43"/>
  <c r="D75" i="45"/>
  <c r="U75" i="45" s="1"/>
  <c r="HZ59" i="43"/>
  <c r="IB59" i="43" s="1"/>
  <c r="IA223" i="43"/>
  <c r="HZ57" i="43"/>
  <c r="IB57" i="43" s="1"/>
  <c r="EO94" i="43"/>
  <c r="EO71" i="43"/>
  <c r="EO108" i="43"/>
  <c r="EO63" i="43"/>
  <c r="AZ208" i="43"/>
  <c r="V205" i="45" s="1"/>
  <c r="IB201" i="43"/>
  <c r="HW201" i="43" s="1"/>
  <c r="AZ201" i="43"/>
  <c r="V198" i="45" s="1"/>
  <c r="HW178" i="43"/>
  <c r="IC178" i="43"/>
  <c r="EO201" i="43"/>
  <c r="EN201" i="43"/>
  <c r="AU177" i="43"/>
  <c r="AH177" i="43" s="1"/>
  <c r="EN177" i="43" s="1"/>
  <c r="AZ228" i="43"/>
  <c r="V225" i="45" s="1"/>
  <c r="D198" i="45"/>
  <c r="U198" i="45" s="1"/>
  <c r="EN98" i="43"/>
  <c r="HZ71" i="43"/>
  <c r="IB71" i="43" s="1"/>
  <c r="AZ218" i="43"/>
  <c r="V215" i="45" s="1"/>
  <c r="AZ237" i="43"/>
  <c r="V234" i="45" s="1"/>
  <c r="AU225" i="43"/>
  <c r="AH225" i="43" s="1"/>
  <c r="AI225" i="43" s="1"/>
  <c r="HZ225" i="43" s="1"/>
  <c r="IA225" i="43"/>
  <c r="IA242" i="43"/>
  <c r="EN108" i="43"/>
  <c r="C131" i="45"/>
  <c r="EN118" i="43"/>
  <c r="EN114" i="43"/>
  <c r="HZ110" i="43"/>
  <c r="IB110" i="43" s="1"/>
  <c r="EN239" i="43"/>
  <c r="AZ242" i="43"/>
  <c r="V239" i="45" s="1"/>
  <c r="AZ239" i="43"/>
  <c r="V236" i="45" s="1"/>
  <c r="HT199" i="43"/>
  <c r="HU199" i="43" s="1"/>
  <c r="HV199" i="43" s="1"/>
  <c r="BA199" i="43" s="1"/>
  <c r="AU199" i="43" s="1"/>
  <c r="AH199" i="43" s="1"/>
  <c r="EN199" i="43" s="1"/>
  <c r="IA237" i="43"/>
  <c r="AA133" i="43"/>
  <c r="EO67" i="43"/>
  <c r="EO82" i="43"/>
  <c r="EN71" i="43"/>
  <c r="EN94" i="43"/>
  <c r="HZ98" i="43"/>
  <c r="IB98" i="43" s="1"/>
  <c r="IA218" i="43"/>
  <c r="IA239" i="43"/>
  <c r="AU186" i="43"/>
  <c r="AH186" i="43" s="1"/>
  <c r="AZ186" i="43"/>
  <c r="V183" i="45" s="1"/>
  <c r="EN57" i="43"/>
  <c r="EO126" i="43"/>
  <c r="D60" i="45"/>
  <c r="U60" i="45" s="1"/>
  <c r="HT159" i="43"/>
  <c r="HU159" i="43" s="1"/>
  <c r="HV159" i="43" s="1"/>
  <c r="BA159" i="43" s="1"/>
  <c r="AZ159" i="43" s="1"/>
  <c r="V156" i="45" s="1"/>
  <c r="HT235" i="43"/>
  <c r="HU235" i="43" s="1"/>
  <c r="HV235" i="43" s="1"/>
  <c r="BA235" i="43" s="1"/>
  <c r="AU235" i="43" s="1"/>
  <c r="AH235" i="43" s="1"/>
  <c r="EN235" i="43" s="1"/>
  <c r="AB137" i="43"/>
  <c r="IA137" i="43" s="1"/>
  <c r="ID137" i="43" s="1"/>
  <c r="EO110" i="43"/>
  <c r="HZ86" i="43"/>
  <c r="IB86" i="43" s="1"/>
  <c r="EO86" i="43"/>
  <c r="EN126" i="43"/>
  <c r="EN63" i="43"/>
  <c r="EN82" i="43"/>
  <c r="IA217" i="43"/>
  <c r="AZ172" i="43"/>
  <c r="V169" i="45" s="1"/>
  <c r="AZ184" i="43"/>
  <c r="V181" i="45" s="1"/>
  <c r="HT226" i="43"/>
  <c r="HU226" i="43" s="1"/>
  <c r="HV226" i="43" s="1"/>
  <c r="BA226" i="43" s="1"/>
  <c r="AU226" i="43" s="1"/>
  <c r="AH226" i="43" s="1"/>
  <c r="EN226" i="43" s="1"/>
  <c r="AU244" i="43"/>
  <c r="AH244" i="43" s="1"/>
  <c r="EN244" i="43" s="1"/>
  <c r="EO118" i="43"/>
  <c r="IA291" i="43"/>
  <c r="HT291" i="43"/>
  <c r="HU291" i="43" s="1"/>
  <c r="HV291" i="43" s="1"/>
  <c r="BA291" i="43" s="1"/>
  <c r="EN150" i="43"/>
  <c r="EN138" i="43"/>
  <c r="AZ223" i="43"/>
  <c r="V220" i="45" s="1"/>
  <c r="IA208" i="43"/>
  <c r="IA227" i="43"/>
  <c r="AZ227" i="43"/>
  <c r="V224" i="45" s="1"/>
  <c r="HT241" i="43"/>
  <c r="HU241" i="43" s="1"/>
  <c r="HV241" i="43" s="1"/>
  <c r="BA241" i="43" s="1"/>
  <c r="AU241" i="43" s="1"/>
  <c r="AH241" i="43" s="1"/>
  <c r="EN241" i="43" s="1"/>
  <c r="Q146" i="43"/>
  <c r="AB146" i="43" s="1"/>
  <c r="EO78" i="43"/>
  <c r="EO150" i="43"/>
  <c r="EO114" i="43"/>
  <c r="EO138" i="43"/>
  <c r="EN59" i="43"/>
  <c r="HZ138" i="43"/>
  <c r="IB138" i="43" s="1"/>
  <c r="HZ150" i="43"/>
  <c r="IB150" i="43" s="1"/>
  <c r="HZ79" i="43"/>
  <c r="IB79" i="43" s="1"/>
  <c r="AI227" i="43"/>
  <c r="D224" i="45" s="1"/>
  <c r="U224" i="45" s="1"/>
  <c r="HT236" i="43"/>
  <c r="HU236" i="43" s="1"/>
  <c r="HV236" i="43" s="1"/>
  <c r="BA236" i="43" s="1"/>
  <c r="AU236" i="43" s="1"/>
  <c r="AH236" i="43" s="1"/>
  <c r="AI236" i="43" s="1"/>
  <c r="Q150" i="43"/>
  <c r="AB150" i="43" s="1"/>
  <c r="C79" i="45"/>
  <c r="C115" i="45"/>
  <c r="C64" i="45"/>
  <c r="EO79" i="43"/>
  <c r="EN67" i="43"/>
  <c r="EN110" i="43"/>
  <c r="EN78" i="43"/>
  <c r="EN122" i="43"/>
  <c r="EN79" i="43"/>
  <c r="Q126" i="43"/>
  <c r="AB126" i="43" s="1"/>
  <c r="AA143" i="43"/>
  <c r="AB143" i="43"/>
  <c r="AB107" i="43"/>
  <c r="AA107" i="43"/>
  <c r="Q57" i="43"/>
  <c r="FP57" i="43"/>
  <c r="AA105" i="43"/>
  <c r="AB105" i="43"/>
  <c r="Q158" i="43"/>
  <c r="HT106" i="43"/>
  <c r="HU106" i="43" s="1"/>
  <c r="HV106" i="43" s="1"/>
  <c r="BA106" i="43" s="1"/>
  <c r="AZ106" i="43" s="1"/>
  <c r="V103" i="45" s="1"/>
  <c r="IA106" i="43"/>
  <c r="ID106" i="43" s="1"/>
  <c r="IB163" i="43"/>
  <c r="AA104" i="43"/>
  <c r="AB104" i="43"/>
  <c r="Q78" i="43"/>
  <c r="FP78" i="43"/>
  <c r="AB154" i="43"/>
  <c r="AA154" i="43"/>
  <c r="AB60" i="43"/>
  <c r="AA60" i="43"/>
  <c r="HT88" i="43"/>
  <c r="HU88" i="43" s="1"/>
  <c r="HV88" i="43" s="1"/>
  <c r="BA88" i="43" s="1"/>
  <c r="AZ88" i="43" s="1"/>
  <c r="V85" i="45" s="1"/>
  <c r="IA88" i="43"/>
  <c r="ID88" i="43" s="1"/>
  <c r="Q82" i="43"/>
  <c r="Q114" i="43"/>
  <c r="FP114" i="43"/>
  <c r="AB127" i="43"/>
  <c r="AA127" i="43"/>
  <c r="Q108" i="43"/>
  <c r="FP108" i="43"/>
  <c r="AA103" i="43"/>
  <c r="AB103" i="43"/>
  <c r="AB83" i="43"/>
  <c r="AA83" i="43"/>
  <c r="HT128" i="43"/>
  <c r="HU128" i="43" s="1"/>
  <c r="HV128" i="43" s="1"/>
  <c r="BA128" i="43" s="1"/>
  <c r="AZ128" i="43" s="1"/>
  <c r="V125" i="45" s="1"/>
  <c r="IA128" i="43"/>
  <c r="ID128" i="43" s="1"/>
  <c r="Q75" i="43"/>
  <c r="FP75" i="43"/>
  <c r="AB90" i="43"/>
  <c r="AA90" i="43"/>
  <c r="IA95" i="43"/>
  <c r="ID95" i="43" s="1"/>
  <c r="HT95" i="43"/>
  <c r="HU95" i="43" s="1"/>
  <c r="HV95" i="43" s="1"/>
  <c r="BA95" i="43" s="1"/>
  <c r="AZ95" i="43" s="1"/>
  <c r="V92" i="45" s="1"/>
  <c r="AB115" i="43"/>
  <c r="AA115" i="43"/>
  <c r="HT164" i="43"/>
  <c r="HU164" i="43" s="1"/>
  <c r="HV164" i="43" s="1"/>
  <c r="BA164" i="43" s="1"/>
  <c r="AZ164" i="43" s="1"/>
  <c r="V161" i="45" s="1"/>
  <c r="IA164" i="43"/>
  <c r="ID164" i="43" s="1"/>
  <c r="IA99" i="43"/>
  <c r="ID99" i="43" s="1"/>
  <c r="HT99" i="43"/>
  <c r="HU99" i="43" s="1"/>
  <c r="HV99" i="43" s="1"/>
  <c r="BA99" i="43" s="1"/>
  <c r="AZ99" i="43" s="1"/>
  <c r="V96" i="45" s="1"/>
  <c r="IA93" i="43"/>
  <c r="ID93" i="43" s="1"/>
  <c r="HT93" i="43"/>
  <c r="HU93" i="43" s="1"/>
  <c r="HV93" i="43" s="1"/>
  <c r="BA93" i="43" s="1"/>
  <c r="AZ93" i="43" s="1"/>
  <c r="V90" i="45" s="1"/>
  <c r="Q138" i="43"/>
  <c r="FP138" i="43"/>
  <c r="AA72" i="43"/>
  <c r="AB72" i="43"/>
  <c r="Q122" i="43"/>
  <c r="FP122" i="43"/>
  <c r="AA74" i="43"/>
  <c r="AB74" i="43"/>
  <c r="HT148" i="43"/>
  <c r="HU148" i="43" s="1"/>
  <c r="HV148" i="43" s="1"/>
  <c r="BA148" i="43" s="1"/>
  <c r="AZ148" i="43" s="1"/>
  <c r="V145" i="45" s="1"/>
  <c r="IA148" i="43"/>
  <c r="ID148" i="43" s="1"/>
  <c r="AA156" i="43"/>
  <c r="AB156" i="43"/>
  <c r="HT125" i="43"/>
  <c r="HU125" i="43" s="1"/>
  <c r="HV125" i="43" s="1"/>
  <c r="BA125" i="43" s="1"/>
  <c r="AZ125" i="43" s="1"/>
  <c r="V122" i="45" s="1"/>
  <c r="IA125" i="43"/>
  <c r="ID125" i="43" s="1"/>
  <c r="HT77" i="43"/>
  <c r="HU77" i="43" s="1"/>
  <c r="HV77" i="43" s="1"/>
  <c r="BA77" i="43" s="1"/>
  <c r="AZ77" i="43" s="1"/>
  <c r="V74" i="45" s="1"/>
  <c r="IA77" i="43"/>
  <c r="ID77" i="43" s="1"/>
  <c r="Q59" i="43"/>
  <c r="HT112" i="43"/>
  <c r="HU112" i="43" s="1"/>
  <c r="HV112" i="43" s="1"/>
  <c r="BA112" i="43" s="1"/>
  <c r="AZ112" i="43" s="1"/>
  <c r="V109" i="45" s="1"/>
  <c r="IA112" i="43"/>
  <c r="ID112" i="43" s="1"/>
  <c r="IA96" i="43"/>
  <c r="ID96" i="43" s="1"/>
  <c r="HT96" i="43"/>
  <c r="HU96" i="43" s="1"/>
  <c r="HV96" i="43" s="1"/>
  <c r="BA96" i="43" s="1"/>
  <c r="AZ96" i="43" s="1"/>
  <c r="V93" i="45" s="1"/>
  <c r="AA135" i="43"/>
  <c r="AB135" i="43"/>
  <c r="AA68" i="43"/>
  <c r="AB68" i="43"/>
  <c r="AA121" i="43"/>
  <c r="AB121" i="43"/>
  <c r="AB119" i="43"/>
  <c r="AA119" i="43"/>
  <c r="Q71" i="43"/>
  <c r="FP71" i="43"/>
  <c r="AB85" i="43"/>
  <c r="AA85" i="43"/>
  <c r="AB113" i="43"/>
  <c r="AA113" i="43"/>
  <c r="AA97" i="43"/>
  <c r="AB97" i="43"/>
  <c r="AB123" i="43"/>
  <c r="AA123" i="43"/>
  <c r="HT89" i="43"/>
  <c r="HU89" i="43" s="1"/>
  <c r="HV89" i="43" s="1"/>
  <c r="BA89" i="43" s="1"/>
  <c r="AZ89" i="43" s="1"/>
  <c r="V86" i="45" s="1"/>
  <c r="IA89" i="43"/>
  <c r="AB92" i="43"/>
  <c r="AA92" i="43"/>
  <c r="AB109" i="43"/>
  <c r="AA109" i="43"/>
  <c r="IA144" i="43"/>
  <c r="ID144" i="43" s="1"/>
  <c r="HT144" i="43"/>
  <c r="HU144" i="43" s="1"/>
  <c r="HV144" i="43" s="1"/>
  <c r="BA144" i="43" s="1"/>
  <c r="AZ144" i="43" s="1"/>
  <c r="V141" i="45" s="1"/>
  <c r="HT155" i="43"/>
  <c r="HU155" i="43" s="1"/>
  <c r="HV155" i="43" s="1"/>
  <c r="BA155" i="43" s="1"/>
  <c r="AZ155" i="43" s="1"/>
  <c r="V152" i="45" s="1"/>
  <c r="IA155" i="43"/>
  <c r="ID155" i="43" s="1"/>
  <c r="Q94" i="43"/>
  <c r="FP94" i="43"/>
  <c r="IA64" i="43"/>
  <c r="ID64" i="43" s="1"/>
  <c r="HT64" i="43"/>
  <c r="HU64" i="43" s="1"/>
  <c r="HV64" i="43" s="1"/>
  <c r="BA64" i="43" s="1"/>
  <c r="AZ64" i="43" s="1"/>
  <c r="V61" i="45" s="1"/>
  <c r="Q63" i="43"/>
  <c r="FP63" i="43"/>
  <c r="AA149" i="43"/>
  <c r="AB149" i="43"/>
  <c r="Q67" i="43"/>
  <c r="AB62" i="43"/>
  <c r="AA62" i="43"/>
  <c r="AB132" i="43"/>
  <c r="AA132" i="43"/>
  <c r="Q79" i="43"/>
  <c r="FP79" i="43"/>
  <c r="Q134" i="43"/>
  <c r="IA163" i="43"/>
  <c r="ID163" i="43" s="1"/>
  <c r="HT163" i="43"/>
  <c r="HU163" i="43" s="1"/>
  <c r="HV163" i="43" s="1"/>
  <c r="BA163" i="43" s="1"/>
  <c r="AZ163" i="43" s="1"/>
  <c r="V160" i="45" s="1"/>
  <c r="Q118" i="43"/>
  <c r="AB101" i="43"/>
  <c r="AA101" i="43"/>
  <c r="HT151" i="43"/>
  <c r="HU151" i="43" s="1"/>
  <c r="HV151" i="43" s="1"/>
  <c r="BA151" i="43" s="1"/>
  <c r="AZ151" i="43" s="1"/>
  <c r="V148" i="45" s="1"/>
  <c r="IA151" i="43"/>
  <c r="ID151" i="43" s="1"/>
  <c r="AA70" i="43"/>
  <c r="AB70" i="43"/>
  <c r="IA124" i="43"/>
  <c r="ID124" i="43" s="1"/>
  <c r="HT124" i="43"/>
  <c r="HU124" i="43" s="1"/>
  <c r="HV124" i="43" s="1"/>
  <c r="BA124" i="43" s="1"/>
  <c r="AZ124" i="43" s="1"/>
  <c r="V121" i="45" s="1"/>
  <c r="AA111" i="43"/>
  <c r="AB111" i="43"/>
  <c r="HT61" i="43"/>
  <c r="HU61" i="43" s="1"/>
  <c r="HV61" i="43" s="1"/>
  <c r="BA61" i="43" s="1"/>
  <c r="AZ61" i="43" s="1"/>
  <c r="V58" i="45" s="1"/>
  <c r="IA61" i="43"/>
  <c r="ID61" i="43" s="1"/>
  <c r="HT133" i="43"/>
  <c r="HU133" i="43" s="1"/>
  <c r="HV133" i="43" s="1"/>
  <c r="BA133" i="43" s="1"/>
  <c r="AZ133" i="43" s="1"/>
  <c r="V130" i="45" s="1"/>
  <c r="IA133" i="43"/>
  <c r="ID133" i="43" s="1"/>
  <c r="Q110" i="43"/>
  <c r="FP110" i="43"/>
  <c r="AA69" i="43"/>
  <c r="AB69" i="43"/>
  <c r="HT139" i="43"/>
  <c r="HU139" i="43" s="1"/>
  <c r="HV139" i="43" s="1"/>
  <c r="BA139" i="43" s="1"/>
  <c r="AZ139" i="43" s="1"/>
  <c r="V136" i="45" s="1"/>
  <c r="IA139" i="43"/>
  <c r="ID139" i="43" s="1"/>
  <c r="AA152" i="43"/>
  <c r="AB152" i="43"/>
  <c r="AB76" i="43"/>
  <c r="AA76" i="43"/>
  <c r="Q98" i="43"/>
  <c r="AA117" i="43"/>
  <c r="AB117" i="43"/>
  <c r="IA73" i="43"/>
  <c r="ID73" i="43" s="1"/>
  <c r="HT73" i="43"/>
  <c r="HU73" i="43" s="1"/>
  <c r="HV73" i="43" s="1"/>
  <c r="BA73" i="43" s="1"/>
  <c r="AZ73" i="43" s="1"/>
  <c r="V70" i="45" s="1"/>
  <c r="IA84" i="43"/>
  <c r="ID84" i="43" s="1"/>
  <c r="HT84" i="43"/>
  <c r="HU84" i="43" s="1"/>
  <c r="HV84" i="43" s="1"/>
  <c r="BA84" i="43" s="1"/>
  <c r="AZ84" i="43" s="1"/>
  <c r="V81" i="45" s="1"/>
  <c r="HT129" i="43"/>
  <c r="HU129" i="43" s="1"/>
  <c r="HV129" i="43" s="1"/>
  <c r="BA129" i="43" s="1"/>
  <c r="AZ129" i="43" s="1"/>
  <c r="V126" i="45" s="1"/>
  <c r="IA129" i="43"/>
  <c r="IA147" i="43"/>
  <c r="ID147" i="43" s="1"/>
  <c r="HT147" i="43"/>
  <c r="HU147" i="43" s="1"/>
  <c r="HV147" i="43" s="1"/>
  <c r="BA147" i="43" s="1"/>
  <c r="AZ147" i="43" s="1"/>
  <c r="V144" i="45" s="1"/>
  <c r="AB66" i="43"/>
  <c r="AA66" i="43"/>
  <c r="AB81" i="43"/>
  <c r="AA81" i="43"/>
  <c r="AA157" i="43"/>
  <c r="AB157" i="43"/>
  <c r="AA140" i="43"/>
  <c r="AB140" i="43"/>
  <c r="IA185" i="43"/>
  <c r="HT185" i="43"/>
  <c r="HU185" i="43" s="1"/>
  <c r="HV185" i="43" s="1"/>
  <c r="BA185" i="43" s="1"/>
  <c r="AA222" i="43"/>
  <c r="AB222" i="43"/>
  <c r="AA206" i="43"/>
  <c r="HT230" i="43"/>
  <c r="HU230" i="43" s="1"/>
  <c r="HV230" i="43" s="1"/>
  <c r="BA230" i="43" s="1"/>
  <c r="AU230" i="43" s="1"/>
  <c r="AH230" i="43" s="1"/>
  <c r="EN230" i="43" s="1"/>
  <c r="IA170" i="43"/>
  <c r="ID170" i="43" s="1"/>
  <c r="HT170" i="43"/>
  <c r="HU170" i="43" s="1"/>
  <c r="HV170" i="43" s="1"/>
  <c r="BA170" i="43" s="1"/>
  <c r="AZ170" i="43" s="1"/>
  <c r="V167" i="45" s="1"/>
  <c r="HT174" i="43"/>
  <c r="HU174" i="43" s="1"/>
  <c r="HV174" i="43" s="1"/>
  <c r="BA174" i="43" s="1"/>
  <c r="AZ174" i="43" s="1"/>
  <c r="V171" i="45" s="1"/>
  <c r="EN166" i="43"/>
  <c r="AI166" i="43"/>
  <c r="HT231" i="43"/>
  <c r="HU231" i="43" s="1"/>
  <c r="HV231" i="43" s="1"/>
  <c r="BA231" i="43" s="1"/>
  <c r="AU231" i="43" s="1"/>
  <c r="AH231" i="43" s="1"/>
  <c r="EN231" i="43" s="1"/>
  <c r="IA209" i="43"/>
  <c r="HT209" i="43"/>
  <c r="HU209" i="43" s="1"/>
  <c r="HV209" i="43" s="1"/>
  <c r="BA209" i="43" s="1"/>
  <c r="IA247" i="43"/>
  <c r="HT247" i="43"/>
  <c r="HU247" i="43" s="1"/>
  <c r="HV247" i="43" s="1"/>
  <c r="BA247" i="43" s="1"/>
  <c r="HT289" i="43"/>
  <c r="HU289" i="43" s="1"/>
  <c r="HV289" i="43" s="1"/>
  <c r="BA289" i="43" s="1"/>
  <c r="AU289" i="43" s="1"/>
  <c r="IA289" i="43"/>
  <c r="HT285" i="43"/>
  <c r="HU285" i="43" s="1"/>
  <c r="HV285" i="43" s="1"/>
  <c r="BA285" i="43" s="1"/>
  <c r="IA285" i="43"/>
  <c r="IA287" i="43"/>
  <c r="HT287" i="43"/>
  <c r="HU287" i="43" s="1"/>
  <c r="HV287" i="43" s="1"/>
  <c r="BA287" i="43" s="1"/>
  <c r="HT278" i="43"/>
  <c r="HU278" i="43" s="1"/>
  <c r="HV278" i="43" s="1"/>
  <c r="BA278" i="43" s="1"/>
  <c r="AU278" i="43" s="1"/>
  <c r="AH278" i="43" s="1"/>
  <c r="IA283" i="43"/>
  <c r="HT283" i="43"/>
  <c r="HU283" i="43" s="1"/>
  <c r="HV283" i="43" s="1"/>
  <c r="BA283" i="43" s="1"/>
  <c r="HT281" i="43"/>
  <c r="HU281" i="43" s="1"/>
  <c r="HV281" i="43" s="1"/>
  <c r="BA281" i="43" s="1"/>
  <c r="IA281" i="43"/>
  <c r="IA279" i="43"/>
  <c r="HT279" i="43"/>
  <c r="HU279" i="43" s="1"/>
  <c r="HV279" i="43" s="1"/>
  <c r="BA279" i="43" s="1"/>
  <c r="HT280" i="43"/>
  <c r="HU280" i="43" s="1"/>
  <c r="HV280" i="43" s="1"/>
  <c r="BA280" i="43" s="1"/>
  <c r="IA280" i="43"/>
  <c r="HT277" i="43"/>
  <c r="HU277" i="43" s="1"/>
  <c r="HV277" i="43" s="1"/>
  <c r="BA277" i="43" s="1"/>
  <c r="IA277" i="43"/>
  <c r="HT276" i="43"/>
  <c r="HU276" i="43" s="1"/>
  <c r="HV276" i="43" s="1"/>
  <c r="BA276" i="43" s="1"/>
  <c r="IA276" i="43"/>
  <c r="IA275" i="43"/>
  <c r="HT275" i="43"/>
  <c r="HU275" i="43" s="1"/>
  <c r="HV275" i="43" s="1"/>
  <c r="BA275" i="43" s="1"/>
  <c r="AU274" i="43"/>
  <c r="AH274" i="43" s="1"/>
  <c r="AZ274" i="43"/>
  <c r="V271" i="45" s="1"/>
  <c r="HT273" i="43"/>
  <c r="HU273" i="43" s="1"/>
  <c r="HV273" i="43" s="1"/>
  <c r="BA273" i="43" s="1"/>
  <c r="IA273" i="43"/>
  <c r="AU272" i="43"/>
  <c r="AH272" i="43" s="1"/>
  <c r="AZ272" i="43"/>
  <c r="V269" i="45" s="1"/>
  <c r="AH271" i="43"/>
  <c r="AZ271" i="43"/>
  <c r="V268" i="45" s="1"/>
  <c r="AU270" i="43"/>
  <c r="AH270" i="43" s="1"/>
  <c r="AZ270" i="43"/>
  <c r="V267" i="45" s="1"/>
  <c r="AU269" i="43"/>
  <c r="AH269" i="43" s="1"/>
  <c r="AZ269" i="43"/>
  <c r="V266" i="45" s="1"/>
  <c r="AU268" i="43"/>
  <c r="AH268" i="43" s="1"/>
  <c r="AZ268" i="43"/>
  <c r="V265" i="45" s="1"/>
  <c r="AU267" i="43"/>
  <c r="AH267" i="43" s="1"/>
  <c r="AZ267" i="43"/>
  <c r="V264" i="45" s="1"/>
  <c r="HT266" i="43"/>
  <c r="HU266" i="43" s="1"/>
  <c r="HV266" i="43" s="1"/>
  <c r="BA266" i="43" s="1"/>
  <c r="IA266" i="43"/>
  <c r="HT255" i="43"/>
  <c r="HU255" i="43" s="1"/>
  <c r="HV255" i="43" s="1"/>
  <c r="BA255" i="43" s="1"/>
  <c r="IA255" i="43"/>
  <c r="IA254" i="43"/>
  <c r="HT254" i="43"/>
  <c r="HU254" i="43" s="1"/>
  <c r="HV254" i="43" s="1"/>
  <c r="BA254" i="43" s="1"/>
  <c r="AU253" i="43"/>
  <c r="AH253" i="43" s="1"/>
  <c r="AZ253" i="43"/>
  <c r="V250" i="45" s="1"/>
  <c r="HT250" i="43"/>
  <c r="HU250" i="43" s="1"/>
  <c r="HV250" i="43" s="1"/>
  <c r="BA250" i="43" s="1"/>
  <c r="IA250" i="43"/>
  <c r="IA251" i="43"/>
  <c r="HT251" i="43"/>
  <c r="HU251" i="43" s="1"/>
  <c r="HV251" i="43" s="1"/>
  <c r="BA251" i="43" s="1"/>
  <c r="AU252" i="43"/>
  <c r="AH252" i="43" s="1"/>
  <c r="AZ252" i="43"/>
  <c r="V249" i="45" s="1"/>
  <c r="AU249" i="43"/>
  <c r="AH249" i="43" s="1"/>
  <c r="AZ249" i="43"/>
  <c r="V246" i="45" s="1"/>
  <c r="AU248" i="43"/>
  <c r="AH248" i="43" s="1"/>
  <c r="AZ248" i="43"/>
  <c r="V245" i="45" s="1"/>
  <c r="IA243" i="43"/>
  <c r="HT243" i="43"/>
  <c r="HU243" i="43" s="1"/>
  <c r="HV243" i="43" s="1"/>
  <c r="BA243" i="43" s="1"/>
  <c r="AU243" i="43" s="1"/>
  <c r="R17" i="22"/>
  <c r="HT229" i="43"/>
  <c r="HU229" i="43" s="1"/>
  <c r="HV229" i="43" s="1"/>
  <c r="BA229" i="43" s="1"/>
  <c r="IA229" i="43"/>
  <c r="AU224" i="43"/>
  <c r="AH224" i="43" s="1"/>
  <c r="AZ224" i="43"/>
  <c r="V221" i="45" s="1"/>
  <c r="AU203" i="43"/>
  <c r="AH203" i="43" s="1"/>
  <c r="AZ203" i="43"/>
  <c r="V200" i="45" s="1"/>
  <c r="AU210" i="43"/>
  <c r="AH210" i="43" s="1"/>
  <c r="AZ210" i="43"/>
  <c r="V207" i="45" s="1"/>
  <c r="IA160" i="43"/>
  <c r="ID160" i="43" s="1"/>
  <c r="HT160" i="43"/>
  <c r="HU160" i="43" s="1"/>
  <c r="HV160" i="43" s="1"/>
  <c r="BA160" i="43" s="1"/>
  <c r="AZ160" i="43" s="1"/>
  <c r="V157" i="45" s="1"/>
  <c r="HT214" i="43"/>
  <c r="HU214" i="43" s="1"/>
  <c r="HV214" i="43" s="1"/>
  <c r="BA214" i="43" s="1"/>
  <c r="IA214" i="43"/>
  <c r="AU176" i="43"/>
  <c r="AH176" i="43" s="1"/>
  <c r="AZ176" i="43"/>
  <c r="V173" i="45" s="1"/>
  <c r="HT162" i="43"/>
  <c r="HU162" i="43" s="1"/>
  <c r="HV162" i="43" s="1"/>
  <c r="BA162" i="43" s="1"/>
  <c r="AZ162" i="43" s="1"/>
  <c r="V159" i="45" s="1"/>
  <c r="IA162" i="43"/>
  <c r="HT206" i="43"/>
  <c r="HU206" i="43" s="1"/>
  <c r="HV206" i="43" s="1"/>
  <c r="BA206" i="43" s="1"/>
  <c r="IA206" i="43"/>
  <c r="HZ183" i="43"/>
  <c r="EO183" i="43"/>
  <c r="D180" i="45"/>
  <c r="U180" i="45" s="1"/>
  <c r="IA166" i="43"/>
  <c r="HT166" i="43"/>
  <c r="HU166" i="43" s="1"/>
  <c r="HV166" i="43" s="1"/>
  <c r="BA166" i="43" s="1"/>
  <c r="AZ166" i="43" s="1"/>
  <c r="V163" i="45" s="1"/>
  <c r="Q205" i="43"/>
  <c r="IA181" i="43"/>
  <c r="HT181" i="43"/>
  <c r="HU181" i="43" s="1"/>
  <c r="HV181" i="43" s="1"/>
  <c r="BA181" i="43" s="1"/>
  <c r="HT220" i="43"/>
  <c r="HU220" i="43" s="1"/>
  <c r="HV220" i="43" s="1"/>
  <c r="BA220" i="43" s="1"/>
  <c r="IA220" i="43"/>
  <c r="AB204" i="43"/>
  <c r="AA204" i="43"/>
  <c r="AU175" i="43"/>
  <c r="AH175" i="43" s="1"/>
  <c r="AZ175" i="43"/>
  <c r="V172" i="45" s="1"/>
  <c r="IA202" i="43"/>
  <c r="HT202" i="43"/>
  <c r="HU202" i="43" s="1"/>
  <c r="HV202" i="43" s="1"/>
  <c r="BA202" i="43" s="1"/>
  <c r="AB180" i="43"/>
  <c r="AA180" i="43"/>
  <c r="AI237" i="43"/>
  <c r="EN237" i="43"/>
  <c r="EO240" i="43"/>
  <c r="HZ240" i="43"/>
  <c r="ID240" i="43" s="1"/>
  <c r="AI242" i="43"/>
  <c r="EO242" i="43" s="1"/>
  <c r="EN242" i="43"/>
  <c r="HZ228" i="43"/>
  <c r="EO228" i="43"/>
  <c r="D225" i="45"/>
  <c r="U225" i="45" s="1"/>
  <c r="AI218" i="43"/>
  <c r="HZ218" i="43" s="1"/>
  <c r="IB218" i="43" s="1"/>
  <c r="I19" i="22"/>
  <c r="B19" i="22"/>
  <c r="H19" i="22"/>
  <c r="C19" i="22"/>
  <c r="FP205" i="43"/>
  <c r="K19" i="22"/>
  <c r="L19" i="22"/>
  <c r="E19" i="22"/>
  <c r="J18" i="22"/>
  <c r="N18" i="22" s="1"/>
  <c r="O18" i="22" s="1"/>
  <c r="P19" i="22"/>
  <c r="G18" i="22"/>
  <c r="A20" i="22"/>
  <c r="D19" i="22"/>
  <c r="Q19" i="22"/>
  <c r="M19" i="22"/>
  <c r="F18" i="22"/>
  <c r="D156" i="45"/>
  <c r="U156" i="45" s="1"/>
  <c r="EO159" i="43"/>
  <c r="ID159" i="43"/>
  <c r="N20" i="30"/>
  <c r="O7" i="30"/>
  <c r="N6" i="30"/>
  <c r="N21" i="30"/>
  <c r="N22" i="30"/>
  <c r="N23" i="30"/>
  <c r="N9" i="30"/>
  <c r="N19" i="30"/>
  <c r="N26" i="30"/>
  <c r="N27" i="30"/>
  <c r="N28" i="30"/>
  <c r="N17" i="30"/>
  <c r="N16" i="30"/>
  <c r="N15" i="30"/>
  <c r="N10" i="30"/>
  <c r="N14" i="30"/>
  <c r="N13" i="30"/>
  <c r="N12" i="30"/>
  <c r="N11" i="30"/>
  <c r="HZ169" i="43"/>
  <c r="D166" i="45"/>
  <c r="U166" i="45" s="1"/>
  <c r="EO169" i="43"/>
  <c r="AI305" i="43"/>
  <c r="D302" i="45" s="1"/>
  <c r="U302" i="45" s="1"/>
  <c r="EN305" i="43"/>
  <c r="HZ245" i="43"/>
  <c r="EO245" i="43"/>
  <c r="D242" i="45"/>
  <c r="U242" i="45" s="1"/>
  <c r="AI172" i="43"/>
  <c r="EN172" i="43"/>
  <c r="AI223" i="43"/>
  <c r="EN223" i="43"/>
  <c r="AZ303" i="43"/>
  <c r="V300" i="45" s="1"/>
  <c r="AH303" i="43"/>
  <c r="AZ217" i="43"/>
  <c r="HZ184" i="43"/>
  <c r="EO184" i="43"/>
  <c r="D181" i="45"/>
  <c r="U181" i="45" s="1"/>
  <c r="HZ173" i="43"/>
  <c r="EO173" i="43"/>
  <c r="D170" i="45"/>
  <c r="U170" i="45" s="1"/>
  <c r="HZ213" i="43"/>
  <c r="D210" i="45"/>
  <c r="U210" i="45" s="1"/>
  <c r="EO213" i="43"/>
  <c r="HZ212" i="43"/>
  <c r="D209" i="45"/>
  <c r="U209" i="45" s="1"/>
  <c r="EO212" i="43"/>
  <c r="HZ239" i="43"/>
  <c r="D236" i="45"/>
  <c r="U236" i="45" s="1"/>
  <c r="EO239" i="43"/>
  <c r="IB170" i="43"/>
  <c r="AI179" i="43"/>
  <c r="EN179" i="43"/>
  <c r="AI208" i="43"/>
  <c r="EN208" i="43"/>
  <c r="EN234" i="43"/>
  <c r="AI234" i="43"/>
  <c r="AZ294" i="43"/>
  <c r="V291" i="45" s="1"/>
  <c r="AH294" i="43"/>
  <c r="HZ233" i="43"/>
  <c r="D230" i="45"/>
  <c r="U230" i="45" s="1"/>
  <c r="EO233" i="43"/>
  <c r="HZ238" i="43"/>
  <c r="EO238" i="43"/>
  <c r="D235" i="45"/>
  <c r="U235" i="45" s="1"/>
  <c r="IC76" i="43"/>
  <c r="HX76" i="43"/>
  <c r="HW76" i="43"/>
  <c r="IC151" i="43"/>
  <c r="HX151" i="43"/>
  <c r="HW151" i="43"/>
  <c r="IC93" i="43"/>
  <c r="HX93" i="43"/>
  <c r="HW93" i="43"/>
  <c r="IC85" i="43"/>
  <c r="HX85" i="43"/>
  <c r="HW85" i="43"/>
  <c r="IC92" i="43"/>
  <c r="HX92" i="43"/>
  <c r="HW92" i="43"/>
  <c r="IC137" i="43"/>
  <c r="HX137" i="43"/>
  <c r="HW137" i="43"/>
  <c r="IC107" i="43"/>
  <c r="HX107" i="43"/>
  <c r="HW107" i="43"/>
  <c r="IC103" i="43"/>
  <c r="HX103" i="43"/>
  <c r="HW103" i="43"/>
  <c r="IC143" i="43"/>
  <c r="HX143" i="43"/>
  <c r="HW143" i="43"/>
  <c r="IC123" i="43"/>
  <c r="HX123" i="43"/>
  <c r="HW123" i="43"/>
  <c r="IC66" i="43"/>
  <c r="HX66" i="43"/>
  <c r="HW66" i="43"/>
  <c r="IC68" i="43"/>
  <c r="HX68" i="43"/>
  <c r="HW68" i="43"/>
  <c r="IC133" i="43"/>
  <c r="HX133" i="43"/>
  <c r="HW133" i="43"/>
  <c r="IC160" i="43"/>
  <c r="HX160" i="43"/>
  <c r="HW160" i="43"/>
  <c r="IC147" i="43"/>
  <c r="HX147" i="43"/>
  <c r="HW147" i="43"/>
  <c r="IC90" i="43"/>
  <c r="HX90" i="43"/>
  <c r="HW90" i="43"/>
  <c r="IC132" i="43"/>
  <c r="HX132" i="43"/>
  <c r="HW132" i="43"/>
  <c r="IC83" i="43"/>
  <c r="HX83" i="43"/>
  <c r="HW83" i="43"/>
  <c r="IC105" i="43"/>
  <c r="HX105" i="43"/>
  <c r="HW105" i="43"/>
  <c r="IC101" i="43"/>
  <c r="HX101" i="43"/>
  <c r="HW101" i="43"/>
  <c r="IC62" i="43"/>
  <c r="HX62" i="43"/>
  <c r="HW62" i="43"/>
  <c r="IC117" i="43"/>
  <c r="HX117" i="43"/>
  <c r="HW117" i="43"/>
  <c r="IC72" i="43"/>
  <c r="HX72" i="43"/>
  <c r="HW72" i="43"/>
  <c r="IC111" i="43"/>
  <c r="HX111" i="43"/>
  <c r="HW111" i="43"/>
  <c r="IC69" i="43"/>
  <c r="HX69" i="43"/>
  <c r="HW69" i="43"/>
  <c r="IC200" i="43"/>
  <c r="HX200" i="43"/>
  <c r="HW200" i="43"/>
  <c r="IC127" i="43"/>
  <c r="HX127" i="43"/>
  <c r="HW127" i="43"/>
  <c r="HX157" i="43"/>
  <c r="HW157" i="43"/>
  <c r="IC113" i="43"/>
  <c r="HX113" i="43"/>
  <c r="HW113" i="43"/>
  <c r="IC97" i="43"/>
  <c r="HX97" i="43"/>
  <c r="HW97" i="43"/>
  <c r="IC141" i="43"/>
  <c r="HX141" i="43"/>
  <c r="HW141" i="43"/>
  <c r="IC152" i="43"/>
  <c r="HX152" i="43"/>
  <c r="HW152" i="43"/>
  <c r="IC159" i="43"/>
  <c r="HX159" i="43"/>
  <c r="HW159" i="43"/>
  <c r="IC81" i="43"/>
  <c r="HX81" i="43"/>
  <c r="HW81" i="43"/>
  <c r="IC119" i="43"/>
  <c r="HX119" i="43"/>
  <c r="HW119" i="43"/>
  <c r="IC136" i="43"/>
  <c r="HX136" i="43"/>
  <c r="HW136" i="43"/>
  <c r="IC115" i="43"/>
  <c r="HX115" i="43"/>
  <c r="HW115" i="43"/>
  <c r="IC74" i="43"/>
  <c r="HX74" i="43"/>
  <c r="HW74" i="43"/>
  <c r="IC140" i="43"/>
  <c r="HX140" i="43"/>
  <c r="HW140" i="43"/>
  <c r="IC155" i="43"/>
  <c r="HX155" i="43"/>
  <c r="HW155" i="43"/>
  <c r="IC109" i="43"/>
  <c r="HX109" i="43"/>
  <c r="HW109" i="43"/>
  <c r="IC104" i="43"/>
  <c r="HX104" i="43"/>
  <c r="HW104" i="43"/>
  <c r="IC135" i="43"/>
  <c r="HX135" i="43"/>
  <c r="HW135" i="43"/>
  <c r="IC60" i="43"/>
  <c r="HX60" i="43"/>
  <c r="HW60" i="43"/>
  <c r="IC139" i="43"/>
  <c r="HX139" i="43"/>
  <c r="HW139" i="43"/>
  <c r="IC154" i="43"/>
  <c r="HX154" i="43"/>
  <c r="HW154" i="43"/>
  <c r="IC149" i="43"/>
  <c r="HX149" i="43"/>
  <c r="HW149" i="43"/>
  <c r="IC70" i="43"/>
  <c r="HX70" i="43"/>
  <c r="HW70" i="43"/>
  <c r="HX156" i="43"/>
  <c r="HW156" i="43"/>
  <c r="IC80" i="43"/>
  <c r="HX80" i="43"/>
  <c r="HW80" i="43"/>
  <c r="IC64" i="43"/>
  <c r="HX64" i="43"/>
  <c r="HW64" i="43"/>
  <c r="IB63" i="43"/>
  <c r="IB78" i="43"/>
  <c r="IB75" i="43"/>
  <c r="IB67" i="43"/>
  <c r="IB94" i="43"/>
  <c r="IB82" i="43"/>
  <c r="IB122" i="43"/>
  <c r="IB114" i="43"/>
  <c r="O17" i="22"/>
  <c r="W22" i="45"/>
  <c r="Z21" i="45"/>
  <c r="HT211" i="43" l="1"/>
  <c r="HU211" i="43" s="1"/>
  <c r="HV211" i="43" s="1"/>
  <c r="BA211" i="43" s="1"/>
  <c r="AU211" i="43" s="1"/>
  <c r="AH211" i="43" s="1"/>
  <c r="AI211" i="43" s="1"/>
  <c r="HZ211" i="43" s="1"/>
  <c r="ID211" i="43" s="1"/>
  <c r="AI301" i="43"/>
  <c r="HZ301" i="43" s="1"/>
  <c r="IB301" i="43" s="1"/>
  <c r="HW301" i="43" s="1"/>
  <c r="AU300" i="43"/>
  <c r="AH300" i="43" s="1"/>
  <c r="EN300" i="43" s="1"/>
  <c r="D213" i="45"/>
  <c r="U213" i="45" s="1"/>
  <c r="IB216" i="43"/>
  <c r="HW216" i="43" s="1"/>
  <c r="EN102" i="43"/>
  <c r="EO216" i="43"/>
  <c r="AZ216" i="43"/>
  <c r="V213" i="45" s="1"/>
  <c r="EN216" i="43"/>
  <c r="IA296" i="43"/>
  <c r="HT296" i="43"/>
  <c r="HU296" i="43" s="1"/>
  <c r="HV296" i="43" s="1"/>
  <c r="BA296" i="43" s="1"/>
  <c r="IA290" i="43"/>
  <c r="HT290" i="43"/>
  <c r="HU290" i="43" s="1"/>
  <c r="HV290" i="43" s="1"/>
  <c r="BA290" i="43" s="1"/>
  <c r="IA288" i="43"/>
  <c r="HT288" i="43"/>
  <c r="HU288" i="43" s="1"/>
  <c r="HV288" i="43" s="1"/>
  <c r="BA288" i="43" s="1"/>
  <c r="HT286" i="43"/>
  <c r="HU286" i="43" s="1"/>
  <c r="HV286" i="43" s="1"/>
  <c r="BA286" i="43" s="1"/>
  <c r="IA286" i="43"/>
  <c r="IA284" i="43"/>
  <c r="HT284" i="43"/>
  <c r="HU284" i="43" s="1"/>
  <c r="HV284" i="43" s="1"/>
  <c r="BA284" i="43" s="1"/>
  <c r="IA282" i="43"/>
  <c r="HT282" i="43"/>
  <c r="HU282" i="43" s="1"/>
  <c r="HV282" i="43" s="1"/>
  <c r="BA282" i="43" s="1"/>
  <c r="AZ219" i="43"/>
  <c r="V216" i="45" s="1"/>
  <c r="IA219" i="43"/>
  <c r="EO146" i="43"/>
  <c r="AI182" i="43"/>
  <c r="EN182" i="43"/>
  <c r="IC165" i="43"/>
  <c r="HX165" i="43"/>
  <c r="HW165" i="43"/>
  <c r="ID165" i="43"/>
  <c r="HZ162" i="43"/>
  <c r="IB162" i="43" s="1"/>
  <c r="EO162" i="43"/>
  <c r="D159" i="45"/>
  <c r="U159" i="45" s="1"/>
  <c r="EN158" i="43"/>
  <c r="EO158" i="43"/>
  <c r="IC161" i="43"/>
  <c r="HX161" i="43"/>
  <c r="HW161" i="43"/>
  <c r="ID161" i="43"/>
  <c r="D155" i="45"/>
  <c r="U155" i="45" s="1"/>
  <c r="EO130" i="43"/>
  <c r="HZ146" i="43"/>
  <c r="IB146" i="43" s="1"/>
  <c r="HX146" i="43" s="1"/>
  <c r="EN146" i="43"/>
  <c r="IC121" i="43"/>
  <c r="HX129" i="43"/>
  <c r="IC129" i="43"/>
  <c r="EO134" i="43"/>
  <c r="EN134" i="43"/>
  <c r="ID129" i="43"/>
  <c r="HX121" i="43"/>
  <c r="HZ134" i="43"/>
  <c r="IB134" i="43" s="1"/>
  <c r="HX134" i="43" s="1"/>
  <c r="HW131" i="43"/>
  <c r="HX131" i="43"/>
  <c r="T20" i="22"/>
  <c r="S20" i="22"/>
  <c r="HZ130" i="43"/>
  <c r="IB130" i="43" s="1"/>
  <c r="HX130" i="43" s="1"/>
  <c r="EN130" i="43"/>
  <c r="EO102" i="43"/>
  <c r="ID89" i="43"/>
  <c r="D99" i="45"/>
  <c r="U99" i="45" s="1"/>
  <c r="HW89" i="43"/>
  <c r="HX89" i="43"/>
  <c r="F36" i="35"/>
  <c r="E36" i="35"/>
  <c r="H36" i="35"/>
  <c r="G36" i="35"/>
  <c r="C54" i="45"/>
  <c r="J36" i="35"/>
  <c r="I36" i="35"/>
  <c r="L36" i="35"/>
  <c r="K36" i="35"/>
  <c r="AA130" i="43"/>
  <c r="EO57" i="43"/>
  <c r="AZ171" i="43"/>
  <c r="V168" i="45" s="1"/>
  <c r="AZ293" i="43"/>
  <c r="V290" i="45" s="1"/>
  <c r="EO232" i="43"/>
  <c r="AU316" i="43"/>
  <c r="AH316" i="43" s="1"/>
  <c r="AZ316" i="43"/>
  <c r="V313" i="45" s="1"/>
  <c r="D168" i="45"/>
  <c r="U168" i="45" s="1"/>
  <c r="HZ171" i="43"/>
  <c r="ID171" i="43" s="1"/>
  <c r="EN171" i="43"/>
  <c r="AU313" i="43"/>
  <c r="AH313" i="43" s="1"/>
  <c r="AZ313" i="43"/>
  <c r="V310" i="45" s="1"/>
  <c r="IA314" i="43"/>
  <c r="HT314" i="43"/>
  <c r="HU314" i="43" s="1"/>
  <c r="HV314" i="43" s="1"/>
  <c r="BA314" i="43" s="1"/>
  <c r="HT315" i="43"/>
  <c r="HU315" i="43" s="1"/>
  <c r="HV315" i="43" s="1"/>
  <c r="BA315" i="43" s="1"/>
  <c r="IA315" i="43"/>
  <c r="HT312" i="43"/>
  <c r="IA312" i="43"/>
  <c r="HT311" i="43"/>
  <c r="HU311" i="43" s="1"/>
  <c r="HV311" i="43" s="1"/>
  <c r="BA311" i="43" s="1"/>
  <c r="IA311" i="43"/>
  <c r="AZ304" i="43"/>
  <c r="V301" i="45" s="1"/>
  <c r="AU310" i="43"/>
  <c r="AH310" i="43" s="1"/>
  <c r="AZ310" i="43"/>
  <c r="V307" i="45" s="1"/>
  <c r="HT309" i="43"/>
  <c r="HU309" i="43" s="1"/>
  <c r="HV309" i="43" s="1"/>
  <c r="BA309" i="43" s="1"/>
  <c r="IA309" i="43"/>
  <c r="HZ232" i="43"/>
  <c r="IB232" i="43" s="1"/>
  <c r="IC232" i="43" s="1"/>
  <c r="AB306" i="43"/>
  <c r="AA306" i="43"/>
  <c r="HT307" i="43"/>
  <c r="HU307" i="43" s="1"/>
  <c r="HV307" i="43" s="1"/>
  <c r="BA307" i="43" s="1"/>
  <c r="IA307" i="43"/>
  <c r="AB308" i="43"/>
  <c r="AA308" i="43"/>
  <c r="AA86" i="43"/>
  <c r="EN246" i="43"/>
  <c r="AI293" i="43"/>
  <c r="HZ293" i="43" s="1"/>
  <c r="IA136" i="43"/>
  <c r="ID136" i="43" s="1"/>
  <c r="AA102" i="43"/>
  <c r="AZ246" i="43"/>
  <c r="V243" i="45" s="1"/>
  <c r="IA302" i="43"/>
  <c r="HT302" i="43"/>
  <c r="HU302" i="43" s="1"/>
  <c r="HV302" i="43" s="1"/>
  <c r="BA302" i="43" s="1"/>
  <c r="HT299" i="43"/>
  <c r="HU299" i="43" s="1"/>
  <c r="HV299" i="43" s="1"/>
  <c r="BA299" i="43" s="1"/>
  <c r="IA299" i="43"/>
  <c r="IA131" i="43"/>
  <c r="ID131" i="43" s="1"/>
  <c r="IA298" i="43"/>
  <c r="HT298" i="43"/>
  <c r="HU298" i="43" s="1"/>
  <c r="HV298" i="43" s="1"/>
  <c r="BA298" i="43" s="1"/>
  <c r="IA141" i="43"/>
  <c r="ID141" i="43" s="1"/>
  <c r="AA126" i="43"/>
  <c r="AZ235" i="43"/>
  <c r="V232" i="45" s="1"/>
  <c r="IA297" i="43"/>
  <c r="HT297" i="43"/>
  <c r="HU297" i="43" s="1"/>
  <c r="HV297" i="43" s="1"/>
  <c r="BA297" i="43" s="1"/>
  <c r="AZ295" i="43"/>
  <c r="V292" i="45" s="1"/>
  <c r="AU295" i="43"/>
  <c r="AH295" i="43" s="1"/>
  <c r="IA80" i="43"/>
  <c r="ID80" i="43" s="1"/>
  <c r="AA150" i="43"/>
  <c r="AI215" i="43"/>
  <c r="D212" i="45" s="1"/>
  <c r="U212" i="45" s="1"/>
  <c r="AZ215" i="43"/>
  <c r="V212" i="45" s="1"/>
  <c r="AA142" i="43"/>
  <c r="IA292" i="43"/>
  <c r="HT292" i="43"/>
  <c r="HU292" i="43" s="1"/>
  <c r="HV292" i="43" s="1"/>
  <c r="BA292" i="43" s="1"/>
  <c r="AA146" i="43"/>
  <c r="AZ199" i="43"/>
  <c r="V196" i="45" s="1"/>
  <c r="HX201" i="43"/>
  <c r="AI235" i="43"/>
  <c r="HZ235" i="43" s="1"/>
  <c r="AZ230" i="43"/>
  <c r="V227" i="45" s="1"/>
  <c r="AI177" i="43"/>
  <c r="EO177" i="43" s="1"/>
  <c r="EN236" i="43"/>
  <c r="EN225" i="43"/>
  <c r="IC201" i="43"/>
  <c r="AI199" i="43"/>
  <c r="HZ199" i="43" s="1"/>
  <c r="IB199" i="43" s="1"/>
  <c r="HX199" i="43" s="1"/>
  <c r="AU174" i="43"/>
  <c r="AH174" i="43" s="1"/>
  <c r="EN174" i="43" s="1"/>
  <c r="EO227" i="43"/>
  <c r="HZ227" i="43"/>
  <c r="ID227" i="43" s="1"/>
  <c r="AI244" i="43"/>
  <c r="D241" i="45" s="1"/>
  <c r="U241" i="45" s="1"/>
  <c r="AI226" i="43"/>
  <c r="EO226" i="43" s="1"/>
  <c r="HT137" i="43"/>
  <c r="HU137" i="43" s="1"/>
  <c r="HV137" i="43" s="1"/>
  <c r="BA137" i="43" s="1"/>
  <c r="AZ137" i="43" s="1"/>
  <c r="V134" i="45" s="1"/>
  <c r="AZ226" i="43"/>
  <c r="V223" i="45" s="1"/>
  <c r="EN186" i="43"/>
  <c r="AI186" i="43"/>
  <c r="AU291" i="43"/>
  <c r="AH291" i="43" s="1"/>
  <c r="AZ291" i="43"/>
  <c r="V288" i="45" s="1"/>
  <c r="AI241" i="43"/>
  <c r="HZ241" i="43" s="1"/>
  <c r="AI230" i="43"/>
  <c r="HZ230" i="43" s="1"/>
  <c r="ID230" i="43" s="1"/>
  <c r="AZ236" i="43"/>
  <c r="V233" i="45" s="1"/>
  <c r="AZ241" i="43"/>
  <c r="V238" i="45" s="1"/>
  <c r="IA66" i="43"/>
  <c r="ID66" i="43" s="1"/>
  <c r="HT66" i="43"/>
  <c r="HU66" i="43" s="1"/>
  <c r="HV66" i="43" s="1"/>
  <c r="BA66" i="43" s="1"/>
  <c r="AZ66" i="43" s="1"/>
  <c r="V63" i="45" s="1"/>
  <c r="IA152" i="43"/>
  <c r="ID152" i="43" s="1"/>
  <c r="HT152" i="43"/>
  <c r="HU152" i="43" s="1"/>
  <c r="HV152" i="43" s="1"/>
  <c r="BA152" i="43" s="1"/>
  <c r="AZ152" i="43" s="1"/>
  <c r="V149" i="45" s="1"/>
  <c r="IA69" i="43"/>
  <c r="ID69" i="43" s="1"/>
  <c r="HT69" i="43"/>
  <c r="HU69" i="43" s="1"/>
  <c r="HV69" i="43" s="1"/>
  <c r="BA69" i="43" s="1"/>
  <c r="AZ69" i="43" s="1"/>
  <c r="V66" i="45" s="1"/>
  <c r="HT111" i="43"/>
  <c r="HU111" i="43" s="1"/>
  <c r="HV111" i="43" s="1"/>
  <c r="BA111" i="43" s="1"/>
  <c r="AZ111" i="43" s="1"/>
  <c r="V108" i="45" s="1"/>
  <c r="IA111" i="43"/>
  <c r="ID111" i="43" s="1"/>
  <c r="AB118" i="43"/>
  <c r="AA118" i="43"/>
  <c r="IA142" i="43"/>
  <c r="ID142" i="43" s="1"/>
  <c r="HT142" i="43"/>
  <c r="HU142" i="43" s="1"/>
  <c r="HV142" i="43" s="1"/>
  <c r="BA142" i="43" s="1"/>
  <c r="AZ142" i="43" s="1"/>
  <c r="V139" i="45" s="1"/>
  <c r="HT102" i="43"/>
  <c r="HU102" i="43" s="1"/>
  <c r="HV102" i="43" s="1"/>
  <c r="BA102" i="43" s="1"/>
  <c r="AZ102" i="43" s="1"/>
  <c r="V99" i="45" s="1"/>
  <c r="IA102" i="43"/>
  <c r="ID102" i="43" s="1"/>
  <c r="IA109" i="43"/>
  <c r="ID109" i="43" s="1"/>
  <c r="HT109" i="43"/>
  <c r="HU109" i="43" s="1"/>
  <c r="HV109" i="43" s="1"/>
  <c r="BA109" i="43" s="1"/>
  <c r="AZ109" i="43" s="1"/>
  <c r="V106" i="45" s="1"/>
  <c r="IA85" i="43"/>
  <c r="ID85" i="43" s="1"/>
  <c r="HT85" i="43"/>
  <c r="HU85" i="43" s="1"/>
  <c r="HV85" i="43" s="1"/>
  <c r="BA85" i="43" s="1"/>
  <c r="AZ85" i="43" s="1"/>
  <c r="V82" i="45" s="1"/>
  <c r="HT119" i="43"/>
  <c r="HU119" i="43" s="1"/>
  <c r="HV119" i="43" s="1"/>
  <c r="BA119" i="43" s="1"/>
  <c r="AZ119" i="43" s="1"/>
  <c r="V116" i="45" s="1"/>
  <c r="IA119" i="43"/>
  <c r="ID119" i="43" s="1"/>
  <c r="AB82" i="43"/>
  <c r="AA82" i="43"/>
  <c r="HT60" i="43"/>
  <c r="HU60" i="43" s="1"/>
  <c r="HV60" i="43" s="1"/>
  <c r="BA60" i="43" s="1"/>
  <c r="AZ60" i="43" s="1"/>
  <c r="V57" i="45" s="1"/>
  <c r="IA60" i="43"/>
  <c r="ID60" i="43" s="1"/>
  <c r="AB78" i="43"/>
  <c r="AA78" i="43"/>
  <c r="HX163" i="43"/>
  <c r="HW163" i="43"/>
  <c r="IC163" i="43"/>
  <c r="IA105" i="43"/>
  <c r="ID105" i="43" s="1"/>
  <c r="HT105" i="43"/>
  <c r="HU105" i="43" s="1"/>
  <c r="HV105" i="43" s="1"/>
  <c r="BA105" i="43" s="1"/>
  <c r="AZ105" i="43" s="1"/>
  <c r="V102" i="45" s="1"/>
  <c r="IA140" i="43"/>
  <c r="ID140" i="43" s="1"/>
  <c r="HT140" i="43"/>
  <c r="HU140" i="43" s="1"/>
  <c r="HV140" i="43" s="1"/>
  <c r="BA140" i="43" s="1"/>
  <c r="AZ140" i="43" s="1"/>
  <c r="V137" i="45" s="1"/>
  <c r="IA126" i="43"/>
  <c r="ID126" i="43" s="1"/>
  <c r="HT126" i="43"/>
  <c r="HU126" i="43" s="1"/>
  <c r="HV126" i="43" s="1"/>
  <c r="BA126" i="43" s="1"/>
  <c r="AZ126" i="43" s="1"/>
  <c r="V123" i="45" s="1"/>
  <c r="AA98" i="43"/>
  <c r="AB98" i="43"/>
  <c r="IA150" i="43"/>
  <c r="ID150" i="43" s="1"/>
  <c r="HT150" i="43"/>
  <c r="HU150" i="43" s="1"/>
  <c r="HV150" i="43" s="1"/>
  <c r="BA150" i="43" s="1"/>
  <c r="AZ150" i="43" s="1"/>
  <c r="V147" i="45" s="1"/>
  <c r="AB79" i="43"/>
  <c r="AA79" i="43"/>
  <c r="HT62" i="43"/>
  <c r="HU62" i="43" s="1"/>
  <c r="HV62" i="43" s="1"/>
  <c r="BA62" i="43" s="1"/>
  <c r="AZ62" i="43" s="1"/>
  <c r="V59" i="45" s="1"/>
  <c r="IA62" i="43"/>
  <c r="ID62" i="43" s="1"/>
  <c r="IA149" i="43"/>
  <c r="ID149" i="43" s="1"/>
  <c r="HT149" i="43"/>
  <c r="HU149" i="43" s="1"/>
  <c r="HV149" i="43" s="1"/>
  <c r="BA149" i="43" s="1"/>
  <c r="AZ149" i="43" s="1"/>
  <c r="V146" i="45" s="1"/>
  <c r="IA121" i="43"/>
  <c r="ID121" i="43" s="1"/>
  <c r="HT121" i="43"/>
  <c r="HU121" i="43" s="1"/>
  <c r="HV121" i="43" s="1"/>
  <c r="BA121" i="43" s="1"/>
  <c r="AZ121" i="43" s="1"/>
  <c r="V118" i="45" s="1"/>
  <c r="HT68" i="43"/>
  <c r="HU68" i="43" s="1"/>
  <c r="HV68" i="43" s="1"/>
  <c r="BA68" i="43" s="1"/>
  <c r="AZ68" i="43" s="1"/>
  <c r="V65" i="45" s="1"/>
  <c r="IA68" i="43"/>
  <c r="ID68" i="43" s="1"/>
  <c r="AB59" i="43"/>
  <c r="AA59" i="43"/>
  <c r="AA122" i="43"/>
  <c r="AB122" i="43"/>
  <c r="AA138" i="43"/>
  <c r="AB138" i="43"/>
  <c r="IA115" i="43"/>
  <c r="ID115" i="43" s="1"/>
  <c r="HT115" i="43"/>
  <c r="HU115" i="43" s="1"/>
  <c r="HV115" i="43" s="1"/>
  <c r="BA115" i="43" s="1"/>
  <c r="AZ115" i="43" s="1"/>
  <c r="V112" i="45" s="1"/>
  <c r="IA90" i="43"/>
  <c r="ID90" i="43" s="1"/>
  <c r="HT90" i="43"/>
  <c r="HU90" i="43" s="1"/>
  <c r="HV90" i="43" s="1"/>
  <c r="BA90" i="43" s="1"/>
  <c r="AZ90" i="43" s="1"/>
  <c r="V87" i="45" s="1"/>
  <c r="HT83" i="43"/>
  <c r="HU83" i="43" s="1"/>
  <c r="HV83" i="43" s="1"/>
  <c r="BA83" i="43" s="1"/>
  <c r="AZ83" i="43" s="1"/>
  <c r="V80" i="45" s="1"/>
  <c r="IA83" i="43"/>
  <c r="ID83" i="43" s="1"/>
  <c r="AB108" i="43"/>
  <c r="AA108" i="43"/>
  <c r="HT104" i="43"/>
  <c r="HU104" i="43" s="1"/>
  <c r="HV104" i="43" s="1"/>
  <c r="BA104" i="43" s="1"/>
  <c r="AZ104" i="43" s="1"/>
  <c r="V101" i="45" s="1"/>
  <c r="IA104" i="43"/>
  <c r="ID104" i="43" s="1"/>
  <c r="IA107" i="43"/>
  <c r="ID107" i="43" s="1"/>
  <c r="HT107" i="43"/>
  <c r="HU107" i="43" s="1"/>
  <c r="HV107" i="43" s="1"/>
  <c r="BA107" i="43" s="1"/>
  <c r="AZ107" i="43" s="1"/>
  <c r="V104" i="45" s="1"/>
  <c r="HT81" i="43"/>
  <c r="HU81" i="43" s="1"/>
  <c r="HV81" i="43" s="1"/>
  <c r="BA81" i="43" s="1"/>
  <c r="AZ81" i="43" s="1"/>
  <c r="V78" i="45" s="1"/>
  <c r="IA81" i="43"/>
  <c r="ID81" i="43" s="1"/>
  <c r="HT130" i="43"/>
  <c r="HU130" i="43" s="1"/>
  <c r="HV130" i="43" s="1"/>
  <c r="BA130" i="43" s="1"/>
  <c r="AZ130" i="43" s="1"/>
  <c r="V127" i="45" s="1"/>
  <c r="IA130" i="43"/>
  <c r="HT70" i="43"/>
  <c r="HU70" i="43" s="1"/>
  <c r="HV70" i="43" s="1"/>
  <c r="BA70" i="43" s="1"/>
  <c r="AZ70" i="43" s="1"/>
  <c r="V67" i="45" s="1"/>
  <c r="IA70" i="43"/>
  <c r="ID70" i="43" s="1"/>
  <c r="AB67" i="43"/>
  <c r="AA67" i="43"/>
  <c r="AA63" i="43"/>
  <c r="AB63" i="43"/>
  <c r="AA94" i="43"/>
  <c r="AB94" i="43"/>
  <c r="IA92" i="43"/>
  <c r="ID92" i="43" s="1"/>
  <c r="HT92" i="43"/>
  <c r="HU92" i="43" s="1"/>
  <c r="HV92" i="43" s="1"/>
  <c r="BA92" i="43" s="1"/>
  <c r="AZ92" i="43" s="1"/>
  <c r="V89" i="45" s="1"/>
  <c r="IA123" i="43"/>
  <c r="ID123" i="43" s="1"/>
  <c r="HT123" i="43"/>
  <c r="HU123" i="43" s="1"/>
  <c r="HV123" i="43" s="1"/>
  <c r="BA123" i="43" s="1"/>
  <c r="AZ123" i="43" s="1"/>
  <c r="V120" i="45" s="1"/>
  <c r="HT113" i="43"/>
  <c r="HU113" i="43" s="1"/>
  <c r="HV113" i="43" s="1"/>
  <c r="BA113" i="43" s="1"/>
  <c r="AZ113" i="43" s="1"/>
  <c r="V110" i="45" s="1"/>
  <c r="IA113" i="43"/>
  <c r="ID113" i="43" s="1"/>
  <c r="AA71" i="43"/>
  <c r="AB71" i="43"/>
  <c r="HT156" i="43"/>
  <c r="HU156" i="43" s="1"/>
  <c r="HV156" i="43" s="1"/>
  <c r="BA156" i="43" s="1"/>
  <c r="AZ156" i="43" s="1"/>
  <c r="V153" i="45" s="1"/>
  <c r="IA156" i="43"/>
  <c r="ID156" i="43" s="1"/>
  <c r="HT74" i="43"/>
  <c r="HU74" i="43" s="1"/>
  <c r="HV74" i="43" s="1"/>
  <c r="BA74" i="43" s="1"/>
  <c r="AZ74" i="43" s="1"/>
  <c r="V71" i="45" s="1"/>
  <c r="IA74" i="43"/>
  <c r="ID74" i="43" s="1"/>
  <c r="HT72" i="43"/>
  <c r="HU72" i="43" s="1"/>
  <c r="HV72" i="43" s="1"/>
  <c r="BA72" i="43" s="1"/>
  <c r="AZ72" i="43" s="1"/>
  <c r="V69" i="45" s="1"/>
  <c r="IA72" i="43"/>
  <c r="ID72" i="43" s="1"/>
  <c r="IA103" i="43"/>
  <c r="ID103" i="43" s="1"/>
  <c r="HT103" i="43"/>
  <c r="HU103" i="43" s="1"/>
  <c r="HV103" i="43" s="1"/>
  <c r="BA103" i="43" s="1"/>
  <c r="AZ103" i="43" s="1"/>
  <c r="V100" i="45" s="1"/>
  <c r="IA154" i="43"/>
  <c r="ID154" i="43" s="1"/>
  <c r="HT154" i="43"/>
  <c r="HU154" i="43" s="1"/>
  <c r="HV154" i="43" s="1"/>
  <c r="BA154" i="43" s="1"/>
  <c r="AZ154" i="43" s="1"/>
  <c r="V151" i="45" s="1"/>
  <c r="IA143" i="43"/>
  <c r="ID143" i="43" s="1"/>
  <c r="HT143" i="43"/>
  <c r="HU143" i="43" s="1"/>
  <c r="HV143" i="43" s="1"/>
  <c r="BA143" i="43" s="1"/>
  <c r="AZ143" i="43" s="1"/>
  <c r="V140" i="45" s="1"/>
  <c r="HT157" i="43"/>
  <c r="HU157" i="43" s="1"/>
  <c r="HV157" i="43" s="1"/>
  <c r="BA157" i="43" s="1"/>
  <c r="AZ157" i="43" s="1"/>
  <c r="V154" i="45" s="1"/>
  <c r="IA157" i="43"/>
  <c r="ID157" i="43" s="1"/>
  <c r="IA117" i="43"/>
  <c r="ID117" i="43" s="1"/>
  <c r="HT117" i="43"/>
  <c r="HU117" i="43" s="1"/>
  <c r="HV117" i="43" s="1"/>
  <c r="BA117" i="43" s="1"/>
  <c r="AZ117" i="43" s="1"/>
  <c r="V114" i="45" s="1"/>
  <c r="HT76" i="43"/>
  <c r="HU76" i="43" s="1"/>
  <c r="HV76" i="43" s="1"/>
  <c r="BA76" i="43" s="1"/>
  <c r="AZ76" i="43" s="1"/>
  <c r="V73" i="45" s="1"/>
  <c r="IA76" i="43"/>
  <c r="ID76" i="43" s="1"/>
  <c r="HT86" i="43"/>
  <c r="HU86" i="43" s="1"/>
  <c r="HV86" i="43" s="1"/>
  <c r="BA86" i="43" s="1"/>
  <c r="AZ86" i="43" s="1"/>
  <c r="V83" i="45" s="1"/>
  <c r="IA86" i="43"/>
  <c r="ID86" i="43" s="1"/>
  <c r="AB110" i="43"/>
  <c r="AA110" i="43"/>
  <c r="HT101" i="43"/>
  <c r="HU101" i="43" s="1"/>
  <c r="HV101" i="43" s="1"/>
  <c r="BA101" i="43" s="1"/>
  <c r="AZ101" i="43" s="1"/>
  <c r="V98" i="45" s="1"/>
  <c r="IA101" i="43"/>
  <c r="ID101" i="43" s="1"/>
  <c r="AB134" i="43"/>
  <c r="AA134" i="43"/>
  <c r="IA132" i="43"/>
  <c r="ID132" i="43" s="1"/>
  <c r="HT132" i="43"/>
  <c r="HU132" i="43" s="1"/>
  <c r="HV132" i="43" s="1"/>
  <c r="BA132" i="43" s="1"/>
  <c r="AZ132" i="43" s="1"/>
  <c r="V129" i="45" s="1"/>
  <c r="IA97" i="43"/>
  <c r="ID97" i="43" s="1"/>
  <c r="HT97" i="43"/>
  <c r="HU97" i="43" s="1"/>
  <c r="HV97" i="43" s="1"/>
  <c r="BA97" i="43" s="1"/>
  <c r="AZ97" i="43" s="1"/>
  <c r="V94" i="45" s="1"/>
  <c r="HT135" i="43"/>
  <c r="HU135" i="43" s="1"/>
  <c r="HV135" i="43" s="1"/>
  <c r="BA135" i="43" s="1"/>
  <c r="AZ135" i="43" s="1"/>
  <c r="V132" i="45" s="1"/>
  <c r="IA135" i="43"/>
  <c r="ID135" i="43" s="1"/>
  <c r="AA75" i="43"/>
  <c r="AB75" i="43"/>
  <c r="IA146" i="43"/>
  <c r="HT146" i="43"/>
  <c r="HU146" i="43" s="1"/>
  <c r="HV146" i="43" s="1"/>
  <c r="BA146" i="43" s="1"/>
  <c r="AZ146" i="43" s="1"/>
  <c r="V143" i="45" s="1"/>
  <c r="IA127" i="43"/>
  <c r="ID127" i="43" s="1"/>
  <c r="HT127" i="43"/>
  <c r="HU127" i="43" s="1"/>
  <c r="HV127" i="43" s="1"/>
  <c r="BA127" i="43" s="1"/>
  <c r="AZ127" i="43" s="1"/>
  <c r="V124" i="45" s="1"/>
  <c r="AA114" i="43"/>
  <c r="AB114" i="43"/>
  <c r="AB158" i="43"/>
  <c r="AA158" i="43"/>
  <c r="AA57" i="43"/>
  <c r="AB57" i="43"/>
  <c r="AU247" i="43"/>
  <c r="AH247" i="43" s="1"/>
  <c r="AZ247" i="43"/>
  <c r="V244" i="45" s="1"/>
  <c r="HT222" i="43"/>
  <c r="HU222" i="43" s="1"/>
  <c r="HV222" i="43" s="1"/>
  <c r="BA222" i="43" s="1"/>
  <c r="IA222" i="43"/>
  <c r="AI231" i="43"/>
  <c r="D228" i="45" s="1"/>
  <c r="U228" i="45" s="1"/>
  <c r="HZ166" i="43"/>
  <c r="IB166" i="43" s="1"/>
  <c r="D163" i="45"/>
  <c r="U163" i="45" s="1"/>
  <c r="EO166" i="43"/>
  <c r="AU209" i="43"/>
  <c r="AH209" i="43" s="1"/>
  <c r="AZ209" i="43"/>
  <c r="V206" i="45" s="1"/>
  <c r="AU185" i="43"/>
  <c r="AH185" i="43" s="1"/>
  <c r="AZ185" i="43"/>
  <c r="V182" i="45" s="1"/>
  <c r="AZ231" i="43"/>
  <c r="V228" i="45" s="1"/>
  <c r="AH289" i="43"/>
  <c r="AZ289" i="43"/>
  <c r="V286" i="45" s="1"/>
  <c r="AU285" i="43"/>
  <c r="AH285" i="43" s="1"/>
  <c r="AZ285" i="43"/>
  <c r="V282" i="45" s="1"/>
  <c r="AU287" i="43"/>
  <c r="AH287" i="43" s="1"/>
  <c r="AZ287" i="43"/>
  <c r="V284" i="45" s="1"/>
  <c r="AZ278" i="43"/>
  <c r="V275" i="45" s="1"/>
  <c r="AU283" i="43"/>
  <c r="AH283" i="43" s="1"/>
  <c r="AZ283" i="43"/>
  <c r="V280" i="45" s="1"/>
  <c r="AU281" i="43"/>
  <c r="AH281" i="43" s="1"/>
  <c r="AZ281" i="43"/>
  <c r="V278" i="45" s="1"/>
  <c r="AU279" i="43"/>
  <c r="AH279" i="43" s="1"/>
  <c r="AZ279" i="43"/>
  <c r="V276" i="45" s="1"/>
  <c r="AU280" i="43"/>
  <c r="AH280" i="43" s="1"/>
  <c r="AZ280" i="43"/>
  <c r="V277" i="45" s="1"/>
  <c r="AZ277" i="43"/>
  <c r="V274" i="45" s="1"/>
  <c r="AU277" i="43"/>
  <c r="AH277" i="43" s="1"/>
  <c r="AU276" i="43"/>
  <c r="AH276" i="43" s="1"/>
  <c r="AZ276" i="43"/>
  <c r="V273" i="45" s="1"/>
  <c r="AU275" i="43"/>
  <c r="AH275" i="43" s="1"/>
  <c r="AZ275" i="43"/>
  <c r="V272" i="45" s="1"/>
  <c r="AI274" i="43"/>
  <c r="EN274" i="43"/>
  <c r="AU273" i="43"/>
  <c r="AH273" i="43" s="1"/>
  <c r="AZ273" i="43"/>
  <c r="V270" i="45" s="1"/>
  <c r="AI272" i="43"/>
  <c r="EN272" i="43"/>
  <c r="EN271" i="43"/>
  <c r="AI271" i="43"/>
  <c r="EN270" i="43"/>
  <c r="AI270" i="43"/>
  <c r="AI269" i="43"/>
  <c r="EN269" i="43"/>
  <c r="AI268" i="43"/>
  <c r="EN268" i="43"/>
  <c r="EN267" i="43"/>
  <c r="AI267" i="43"/>
  <c r="AU266" i="43"/>
  <c r="AH266" i="43" s="1"/>
  <c r="AZ266" i="43"/>
  <c r="V263" i="45" s="1"/>
  <c r="AU255" i="43"/>
  <c r="AH255" i="43" s="1"/>
  <c r="AZ255" i="43"/>
  <c r="V252" i="45" s="1"/>
  <c r="AU254" i="43"/>
  <c r="AH254" i="43" s="1"/>
  <c r="AZ254" i="43"/>
  <c r="V251" i="45" s="1"/>
  <c r="EN253" i="43"/>
  <c r="AI253" i="43"/>
  <c r="AU250" i="43"/>
  <c r="AH250" i="43" s="1"/>
  <c r="AZ250" i="43"/>
  <c r="V247" i="45" s="1"/>
  <c r="AU251" i="43"/>
  <c r="AH251" i="43" s="1"/>
  <c r="AZ251" i="43"/>
  <c r="V248" i="45" s="1"/>
  <c r="AI252" i="43"/>
  <c r="EN252" i="43"/>
  <c r="EN249" i="43"/>
  <c r="AI249" i="43"/>
  <c r="EN248" i="43"/>
  <c r="AI248" i="43"/>
  <c r="AH243" i="43"/>
  <c r="AZ243" i="43"/>
  <c r="V240" i="45" s="1"/>
  <c r="AZ229" i="43"/>
  <c r="V226" i="45" s="1"/>
  <c r="AU229" i="43"/>
  <c r="AH229" i="43" s="1"/>
  <c r="K20" i="22"/>
  <c r="M20" i="22"/>
  <c r="A21" i="22"/>
  <c r="D20" i="22"/>
  <c r="L20" i="22"/>
  <c r="I20" i="22"/>
  <c r="Q20" i="22"/>
  <c r="P20" i="22"/>
  <c r="E20" i="22"/>
  <c r="B20" i="22"/>
  <c r="C20" i="22"/>
  <c r="EN224" i="43"/>
  <c r="AI224" i="43"/>
  <c r="AI203" i="43"/>
  <c r="EN203" i="43"/>
  <c r="AU206" i="43"/>
  <c r="AH206" i="43" s="1"/>
  <c r="EN206" i="43" s="1"/>
  <c r="AZ206" i="43"/>
  <c r="V203" i="45" s="1"/>
  <c r="AU214" i="43"/>
  <c r="AH214" i="43" s="1"/>
  <c r="AZ214" i="43"/>
  <c r="V211" i="45" s="1"/>
  <c r="EN210" i="43"/>
  <c r="AI210" i="43"/>
  <c r="AI176" i="43"/>
  <c r="EN176" i="43"/>
  <c r="AB205" i="43"/>
  <c r="AA205" i="43"/>
  <c r="HT180" i="43"/>
  <c r="HU180" i="43" s="1"/>
  <c r="HV180" i="43" s="1"/>
  <c r="BA180" i="43" s="1"/>
  <c r="IA180" i="43"/>
  <c r="AU202" i="43"/>
  <c r="AH202" i="43" s="1"/>
  <c r="AZ202" i="43"/>
  <c r="V199" i="45" s="1"/>
  <c r="AU181" i="43"/>
  <c r="AH181" i="43" s="1"/>
  <c r="AZ181" i="43"/>
  <c r="V178" i="45" s="1"/>
  <c r="IA204" i="43"/>
  <c r="HT204" i="43"/>
  <c r="HU204" i="43" s="1"/>
  <c r="HV204" i="43" s="1"/>
  <c r="BA204" i="43" s="1"/>
  <c r="AI175" i="43"/>
  <c r="EN175" i="43"/>
  <c r="AU220" i="43"/>
  <c r="AH220" i="43" s="1"/>
  <c r="AZ220" i="43"/>
  <c r="V217" i="45" s="1"/>
  <c r="IB183" i="43"/>
  <c r="ID183" i="43"/>
  <c r="HZ242" i="43"/>
  <c r="IB242" i="43" s="1"/>
  <c r="EO225" i="43"/>
  <c r="D222" i="45"/>
  <c r="U222" i="45" s="1"/>
  <c r="ID218" i="43"/>
  <c r="D239" i="45"/>
  <c r="U239" i="45" s="1"/>
  <c r="IB240" i="43"/>
  <c r="IC240" i="43" s="1"/>
  <c r="EO218" i="43"/>
  <c r="D215" i="45"/>
  <c r="U215" i="45" s="1"/>
  <c r="HZ237" i="43"/>
  <c r="EO237" i="43"/>
  <c r="D234" i="45"/>
  <c r="U234" i="45" s="1"/>
  <c r="IB228" i="43"/>
  <c r="ID228" i="43"/>
  <c r="AI219" i="43"/>
  <c r="HZ219" i="43" s="1"/>
  <c r="J19" i="22"/>
  <c r="R19" i="22" s="1"/>
  <c r="R18" i="22"/>
  <c r="F19" i="22"/>
  <c r="G19" i="22"/>
  <c r="H20" i="22"/>
  <c r="O21" i="30"/>
  <c r="O22" i="30"/>
  <c r="O9" i="30"/>
  <c r="O23" i="30"/>
  <c r="P7" i="30"/>
  <c r="O19" i="30"/>
  <c r="O6" i="30"/>
  <c r="O20" i="30"/>
  <c r="O26" i="30"/>
  <c r="O28" i="30"/>
  <c r="O27" i="30"/>
  <c r="O17" i="30"/>
  <c r="O14" i="30"/>
  <c r="O16" i="30"/>
  <c r="O15" i="30"/>
  <c r="O10" i="30"/>
  <c r="O13" i="30"/>
  <c r="O11" i="30"/>
  <c r="O12" i="30"/>
  <c r="AH217" i="43"/>
  <c r="IB225" i="43"/>
  <c r="ID225" i="43"/>
  <c r="HZ208" i="43"/>
  <c r="D205" i="45"/>
  <c r="U205" i="45" s="1"/>
  <c r="EO208" i="43"/>
  <c r="HZ179" i="43"/>
  <c r="D176" i="45"/>
  <c r="U176" i="45" s="1"/>
  <c r="EO179" i="43"/>
  <c r="IB212" i="43"/>
  <c r="ID212" i="43"/>
  <c r="EN303" i="43"/>
  <c r="AI303" i="43"/>
  <c r="D300" i="45" s="1"/>
  <c r="U300" i="45" s="1"/>
  <c r="IB245" i="43"/>
  <c r="ID245" i="43"/>
  <c r="IB238" i="43"/>
  <c r="ID238" i="43"/>
  <c r="AI278" i="43"/>
  <c r="EN278" i="43"/>
  <c r="IB184" i="43"/>
  <c r="ID184" i="43"/>
  <c r="V214" i="45"/>
  <c r="HZ223" i="43"/>
  <c r="D220" i="45"/>
  <c r="U220" i="45" s="1"/>
  <c r="EO223" i="43"/>
  <c r="HZ305" i="43"/>
  <c r="EO305" i="43"/>
  <c r="HZ246" i="43"/>
  <c r="D243" i="45"/>
  <c r="U243" i="45" s="1"/>
  <c r="EO246" i="43"/>
  <c r="IB239" i="43"/>
  <c r="ID239" i="43"/>
  <c r="IB169" i="43"/>
  <c r="ID169" i="43"/>
  <c r="IB233" i="43"/>
  <c r="ID233" i="43"/>
  <c r="EN304" i="43"/>
  <c r="AI304" i="43"/>
  <c r="D301" i="45" s="1"/>
  <c r="U301" i="45" s="1"/>
  <c r="EN294" i="43"/>
  <c r="AI294" i="43"/>
  <c r="HZ234" i="43"/>
  <c r="D231" i="45"/>
  <c r="U231" i="45" s="1"/>
  <c r="EO234" i="43"/>
  <c r="IC170" i="43"/>
  <c r="HX170" i="43"/>
  <c r="HW170" i="43"/>
  <c r="ID213" i="43"/>
  <c r="IB213" i="43"/>
  <c r="IB173" i="43"/>
  <c r="ID173" i="43"/>
  <c r="HZ172" i="43"/>
  <c r="D169" i="45"/>
  <c r="U169" i="45" s="1"/>
  <c r="EO172" i="43"/>
  <c r="HZ236" i="43"/>
  <c r="D233" i="45"/>
  <c r="U233" i="45" s="1"/>
  <c r="EO236" i="43"/>
  <c r="IC108" i="43"/>
  <c r="HX108" i="43"/>
  <c r="HW108" i="43"/>
  <c r="IC82" i="43"/>
  <c r="HX82" i="43"/>
  <c r="HW82" i="43"/>
  <c r="IC59" i="43"/>
  <c r="HX59" i="43"/>
  <c r="HW59" i="43"/>
  <c r="IC94" i="43"/>
  <c r="HX94" i="43"/>
  <c r="HW94" i="43"/>
  <c r="IC67" i="43"/>
  <c r="HX67" i="43"/>
  <c r="HW67" i="43"/>
  <c r="IC98" i="43"/>
  <c r="HX98" i="43"/>
  <c r="HW98" i="43"/>
  <c r="IC71" i="43"/>
  <c r="HX71" i="43"/>
  <c r="HW71" i="43"/>
  <c r="IC79" i="43"/>
  <c r="HX79" i="43"/>
  <c r="HW79" i="43"/>
  <c r="IC75" i="43"/>
  <c r="HX75" i="43"/>
  <c r="HW75" i="43"/>
  <c r="IC57" i="43"/>
  <c r="HX57" i="43"/>
  <c r="HW57" i="43"/>
  <c r="IC63" i="43"/>
  <c r="HX63" i="43"/>
  <c r="HW63" i="43"/>
  <c r="IC138" i="43"/>
  <c r="HX138" i="43"/>
  <c r="HW138" i="43"/>
  <c r="IC218" i="43"/>
  <c r="HX218" i="43"/>
  <c r="HW218" i="43"/>
  <c r="IC118" i="43"/>
  <c r="HX118" i="43"/>
  <c r="HW118" i="43"/>
  <c r="IC114" i="43"/>
  <c r="HX114" i="43"/>
  <c r="HW114" i="43"/>
  <c r="IC122" i="43"/>
  <c r="HX122" i="43"/>
  <c r="HW122" i="43"/>
  <c r="IC102" i="43"/>
  <c r="HX102" i="43"/>
  <c r="HW102" i="43"/>
  <c r="IC86" i="43"/>
  <c r="HX86" i="43"/>
  <c r="HW86" i="43"/>
  <c r="IC126" i="43"/>
  <c r="HX126" i="43"/>
  <c r="HW126" i="43"/>
  <c r="IC110" i="43"/>
  <c r="HX110" i="43"/>
  <c r="HW110" i="43"/>
  <c r="IC142" i="43"/>
  <c r="HX142" i="43"/>
  <c r="HW142" i="43"/>
  <c r="HX158" i="43"/>
  <c r="HW158" i="43"/>
  <c r="IC150" i="43"/>
  <c r="HX150" i="43"/>
  <c r="HW150" i="43"/>
  <c r="IC78" i="43"/>
  <c r="HX78" i="43"/>
  <c r="HW78" i="43"/>
  <c r="Z22" i="45"/>
  <c r="W23" i="45"/>
  <c r="HX301" i="43" l="1"/>
  <c r="ID301" i="43"/>
  <c r="D298" i="45"/>
  <c r="U298" i="45" s="1"/>
  <c r="IC301" i="43"/>
  <c r="EO301" i="43"/>
  <c r="IB211" i="43"/>
  <c r="HX211" i="43" s="1"/>
  <c r="EN211" i="43"/>
  <c r="EO211" i="43"/>
  <c r="AZ211" i="43"/>
  <c r="V208" i="45" s="1"/>
  <c r="D208" i="45"/>
  <c r="U208" i="45" s="1"/>
  <c r="AI300" i="43"/>
  <c r="D297" i="45" s="1"/>
  <c r="U297" i="45" s="1"/>
  <c r="IC216" i="43"/>
  <c r="HX216" i="43"/>
  <c r="AU296" i="43"/>
  <c r="AH296" i="43" s="1"/>
  <c r="AZ296" i="43"/>
  <c r="V293" i="45" s="1"/>
  <c r="AU290" i="43"/>
  <c r="AH290" i="43" s="1"/>
  <c r="AZ290" i="43"/>
  <c r="V287" i="45" s="1"/>
  <c r="AZ288" i="43"/>
  <c r="V285" i="45" s="1"/>
  <c r="AU288" i="43"/>
  <c r="AH288" i="43" s="1"/>
  <c r="AZ286" i="43"/>
  <c r="V283" i="45" s="1"/>
  <c r="AU286" i="43"/>
  <c r="AH286" i="43" s="1"/>
  <c r="AZ284" i="43"/>
  <c r="V281" i="45" s="1"/>
  <c r="AU284" i="43"/>
  <c r="AH284" i="43" s="1"/>
  <c r="AU282" i="43"/>
  <c r="AH282" i="43" s="1"/>
  <c r="AZ282" i="43"/>
  <c r="V279" i="45" s="1"/>
  <c r="ID219" i="43"/>
  <c r="IC146" i="43"/>
  <c r="HZ182" i="43"/>
  <c r="D179" i="45"/>
  <c r="U179" i="45" s="1"/>
  <c r="EO182" i="43"/>
  <c r="HW162" i="43"/>
  <c r="IC162" i="43"/>
  <c r="HX162" i="43"/>
  <c r="ID162" i="43"/>
  <c r="IC134" i="43"/>
  <c r="HW146" i="43"/>
  <c r="ID146" i="43"/>
  <c r="HW134" i="43"/>
  <c r="IC130" i="43"/>
  <c r="HW130" i="43"/>
  <c r="ID130" i="43"/>
  <c r="T21" i="22"/>
  <c r="S21" i="22"/>
  <c r="D21" i="22"/>
  <c r="IB171" i="43"/>
  <c r="HX171" i="43" s="1"/>
  <c r="I21" i="22"/>
  <c r="EN316" i="43"/>
  <c r="AI316" i="43"/>
  <c r="HU312" i="43"/>
  <c r="HV312" i="43" s="1"/>
  <c r="BA312" i="43" s="1"/>
  <c r="AU314" i="43"/>
  <c r="AH314" i="43" s="1"/>
  <c r="AZ314" i="43"/>
  <c r="V311" i="45" s="1"/>
  <c r="EN313" i="43"/>
  <c r="AI313" i="43"/>
  <c r="AU315" i="43"/>
  <c r="AH315" i="43" s="1"/>
  <c r="AZ315" i="43"/>
  <c r="V312" i="45" s="1"/>
  <c r="HX232" i="43"/>
  <c r="HW232" i="43"/>
  <c r="ID232" i="43"/>
  <c r="AU311" i="43"/>
  <c r="AH311" i="43" s="1"/>
  <c r="AZ311" i="43"/>
  <c r="V308" i="45" s="1"/>
  <c r="EN310" i="43"/>
  <c r="AI310" i="43"/>
  <c r="AU309" i="43"/>
  <c r="AH309" i="43" s="1"/>
  <c r="AZ309" i="43"/>
  <c r="V306" i="45" s="1"/>
  <c r="EO293" i="43"/>
  <c r="AU307" i="43"/>
  <c r="AH307" i="43" s="1"/>
  <c r="AZ307" i="43"/>
  <c r="V304" i="45" s="1"/>
  <c r="IA306" i="43"/>
  <c r="HT306" i="43"/>
  <c r="HU306" i="43" s="1"/>
  <c r="HV306" i="43" s="1"/>
  <c r="BA306" i="43" s="1"/>
  <c r="IA308" i="43"/>
  <c r="HT308" i="43"/>
  <c r="HU308" i="43" s="1"/>
  <c r="HV308" i="43" s="1"/>
  <c r="BA308" i="43" s="1"/>
  <c r="D290" i="45"/>
  <c r="U290" i="45" s="1"/>
  <c r="HZ215" i="43"/>
  <c r="IB215" i="43" s="1"/>
  <c r="EO235" i="43"/>
  <c r="EO215" i="43"/>
  <c r="AU302" i="43"/>
  <c r="AH302" i="43" s="1"/>
  <c r="AZ302" i="43"/>
  <c r="V299" i="45" s="1"/>
  <c r="AU299" i="43"/>
  <c r="AH299" i="43" s="1"/>
  <c r="AZ299" i="43"/>
  <c r="V296" i="45" s="1"/>
  <c r="AU298" i="43"/>
  <c r="AH298" i="43" s="1"/>
  <c r="AZ298" i="43"/>
  <c r="V295" i="45" s="1"/>
  <c r="AU297" i="43"/>
  <c r="AH297" i="43" s="1"/>
  <c r="AZ297" i="43"/>
  <c r="V294" i="45" s="1"/>
  <c r="EN295" i="43"/>
  <c r="AI295" i="43"/>
  <c r="D292" i="45" s="1"/>
  <c r="U292" i="45" s="1"/>
  <c r="AU292" i="43"/>
  <c r="AH292" i="43" s="1"/>
  <c r="AZ292" i="43"/>
  <c r="V289" i="45" s="1"/>
  <c r="HZ177" i="43"/>
  <c r="IB177" i="43" s="1"/>
  <c r="AI174" i="43"/>
  <c r="D171" i="45" s="1"/>
  <c r="U171" i="45" s="1"/>
  <c r="D232" i="45"/>
  <c r="U232" i="45" s="1"/>
  <c r="HW199" i="43"/>
  <c r="D196" i="45"/>
  <c r="U196" i="45" s="1"/>
  <c r="IC199" i="43"/>
  <c r="EO199" i="43"/>
  <c r="D174" i="45"/>
  <c r="U174" i="45" s="1"/>
  <c r="ID199" i="43"/>
  <c r="IB227" i="43"/>
  <c r="IC227" i="43" s="1"/>
  <c r="D227" i="45"/>
  <c r="U227" i="45" s="1"/>
  <c r="HZ244" i="43"/>
  <c r="ID244" i="43" s="1"/>
  <c r="EO244" i="43"/>
  <c r="HZ231" i="43"/>
  <c r="IB231" i="43" s="1"/>
  <c r="IC231" i="43" s="1"/>
  <c r="EO230" i="43"/>
  <c r="IB230" i="43"/>
  <c r="IC230" i="43" s="1"/>
  <c r="HZ226" i="43"/>
  <c r="ID226" i="43" s="1"/>
  <c r="EO231" i="43"/>
  <c r="D223" i="45"/>
  <c r="U223" i="45" s="1"/>
  <c r="EO241" i="43"/>
  <c r="D238" i="45"/>
  <c r="U238" i="45" s="1"/>
  <c r="D183" i="45"/>
  <c r="U183" i="45" s="1"/>
  <c r="EO186" i="43"/>
  <c r="HZ186" i="43"/>
  <c r="EN291" i="43"/>
  <c r="AI291" i="43"/>
  <c r="ID166" i="43"/>
  <c r="HT67" i="43"/>
  <c r="HU67" i="43" s="1"/>
  <c r="HV67" i="43" s="1"/>
  <c r="BA67" i="43" s="1"/>
  <c r="AZ67" i="43" s="1"/>
  <c r="V64" i="45" s="1"/>
  <c r="IA67" i="43"/>
  <c r="ID67" i="43" s="1"/>
  <c r="IA108" i="43"/>
  <c r="ID108" i="43" s="1"/>
  <c r="HT108" i="43"/>
  <c r="HU108" i="43" s="1"/>
  <c r="HV108" i="43" s="1"/>
  <c r="BA108" i="43" s="1"/>
  <c r="AZ108" i="43" s="1"/>
  <c r="V105" i="45" s="1"/>
  <c r="HT59" i="43"/>
  <c r="HU59" i="43" s="1"/>
  <c r="HV59" i="43" s="1"/>
  <c r="BA59" i="43" s="1"/>
  <c r="AZ59" i="43" s="1"/>
  <c r="V56" i="45" s="1"/>
  <c r="IA59" i="43"/>
  <c r="ID59" i="43" s="1"/>
  <c r="HT75" i="43"/>
  <c r="HU75" i="43" s="1"/>
  <c r="HV75" i="43" s="1"/>
  <c r="BA75" i="43" s="1"/>
  <c r="AZ75" i="43" s="1"/>
  <c r="V72" i="45" s="1"/>
  <c r="IA75" i="43"/>
  <c r="ID75" i="43" s="1"/>
  <c r="IA63" i="43"/>
  <c r="ID63" i="43" s="1"/>
  <c r="HT63" i="43"/>
  <c r="HU63" i="43" s="1"/>
  <c r="HV63" i="43" s="1"/>
  <c r="BA63" i="43" s="1"/>
  <c r="AZ63" i="43" s="1"/>
  <c r="V60" i="45" s="1"/>
  <c r="HT122" i="43"/>
  <c r="HU122" i="43" s="1"/>
  <c r="HV122" i="43" s="1"/>
  <c r="BA122" i="43" s="1"/>
  <c r="AZ122" i="43" s="1"/>
  <c r="V119" i="45" s="1"/>
  <c r="IA122" i="43"/>
  <c r="ID122" i="43" s="1"/>
  <c r="IA98" i="43"/>
  <c r="ID98" i="43" s="1"/>
  <c r="HT98" i="43"/>
  <c r="HU98" i="43" s="1"/>
  <c r="HV98" i="43" s="1"/>
  <c r="BA98" i="43" s="1"/>
  <c r="AZ98" i="43" s="1"/>
  <c r="V95" i="45" s="1"/>
  <c r="IA78" i="43"/>
  <c r="ID78" i="43" s="1"/>
  <c r="HT78" i="43"/>
  <c r="HU78" i="43" s="1"/>
  <c r="HV78" i="43" s="1"/>
  <c r="BA78" i="43" s="1"/>
  <c r="AZ78" i="43" s="1"/>
  <c r="V75" i="45" s="1"/>
  <c r="HT82" i="43"/>
  <c r="HU82" i="43" s="1"/>
  <c r="HV82" i="43" s="1"/>
  <c r="BA82" i="43" s="1"/>
  <c r="AZ82" i="43" s="1"/>
  <c r="V79" i="45" s="1"/>
  <c r="IA82" i="43"/>
  <c r="ID82" i="43" s="1"/>
  <c r="IA158" i="43"/>
  <c r="ID158" i="43" s="1"/>
  <c r="HT158" i="43"/>
  <c r="HU158" i="43" s="1"/>
  <c r="HV158" i="43" s="1"/>
  <c r="BA158" i="43" s="1"/>
  <c r="AZ158" i="43" s="1"/>
  <c r="V155" i="45" s="1"/>
  <c r="HT134" i="43"/>
  <c r="HU134" i="43" s="1"/>
  <c r="HV134" i="43" s="1"/>
  <c r="BA134" i="43" s="1"/>
  <c r="AZ134" i="43" s="1"/>
  <c r="V131" i="45" s="1"/>
  <c r="IA134" i="43"/>
  <c r="ID134" i="43" s="1"/>
  <c r="IA110" i="43"/>
  <c r="ID110" i="43" s="1"/>
  <c r="HT110" i="43"/>
  <c r="HU110" i="43" s="1"/>
  <c r="HV110" i="43" s="1"/>
  <c r="BA110" i="43" s="1"/>
  <c r="AZ110" i="43" s="1"/>
  <c r="V107" i="45" s="1"/>
  <c r="IA79" i="43"/>
  <c r="ID79" i="43" s="1"/>
  <c r="HT79" i="43"/>
  <c r="HU79" i="43" s="1"/>
  <c r="HV79" i="43" s="1"/>
  <c r="BA79" i="43" s="1"/>
  <c r="AZ79" i="43" s="1"/>
  <c r="V76" i="45" s="1"/>
  <c r="IA57" i="43"/>
  <c r="ID57" i="43" s="1"/>
  <c r="HT57" i="43"/>
  <c r="HU57" i="43" s="1"/>
  <c r="HV57" i="43" s="1"/>
  <c r="BA57" i="43" s="1"/>
  <c r="AZ57" i="43" s="1"/>
  <c r="V54" i="45" s="1"/>
  <c r="HT114" i="43"/>
  <c r="HU114" i="43" s="1"/>
  <c r="HV114" i="43" s="1"/>
  <c r="BA114" i="43" s="1"/>
  <c r="AZ114" i="43" s="1"/>
  <c r="V111" i="45" s="1"/>
  <c r="IA114" i="43"/>
  <c r="ID114" i="43" s="1"/>
  <c r="IA71" i="43"/>
  <c r="ID71" i="43" s="1"/>
  <c r="HT71" i="43"/>
  <c r="HU71" i="43" s="1"/>
  <c r="HV71" i="43" s="1"/>
  <c r="BA71" i="43" s="1"/>
  <c r="AZ71" i="43" s="1"/>
  <c r="V68" i="45" s="1"/>
  <c r="IA94" i="43"/>
  <c r="ID94" i="43" s="1"/>
  <c r="HT94" i="43"/>
  <c r="HU94" i="43" s="1"/>
  <c r="HV94" i="43" s="1"/>
  <c r="BA94" i="43" s="1"/>
  <c r="AZ94" i="43" s="1"/>
  <c r="V91" i="45" s="1"/>
  <c r="IA138" i="43"/>
  <c r="ID138" i="43" s="1"/>
  <c r="HT138" i="43"/>
  <c r="HU138" i="43" s="1"/>
  <c r="HV138" i="43" s="1"/>
  <c r="BA138" i="43" s="1"/>
  <c r="AZ138" i="43" s="1"/>
  <c r="V135" i="45" s="1"/>
  <c r="IA118" i="43"/>
  <c r="ID118" i="43" s="1"/>
  <c r="HT118" i="43"/>
  <c r="HU118" i="43" s="1"/>
  <c r="HV118" i="43" s="1"/>
  <c r="BA118" i="43" s="1"/>
  <c r="AZ118" i="43" s="1"/>
  <c r="V115" i="45" s="1"/>
  <c r="AI185" i="43"/>
  <c r="EN185" i="43"/>
  <c r="IC166" i="43"/>
  <c r="HX166" i="43"/>
  <c r="HW166" i="43"/>
  <c r="AU222" i="43"/>
  <c r="AH222" i="43" s="1"/>
  <c r="AZ222" i="43"/>
  <c r="V219" i="45" s="1"/>
  <c r="AI209" i="43"/>
  <c r="EN209" i="43"/>
  <c r="AI247" i="43"/>
  <c r="EN247" i="43"/>
  <c r="EN289" i="43"/>
  <c r="AI289" i="43"/>
  <c r="EN285" i="43"/>
  <c r="AI285" i="43"/>
  <c r="AI287" i="43"/>
  <c r="EN287" i="43"/>
  <c r="AI283" i="43"/>
  <c r="EN283" i="43"/>
  <c r="EN281" i="43"/>
  <c r="AI281" i="43"/>
  <c r="AI279" i="43"/>
  <c r="EN279" i="43"/>
  <c r="AI280" i="43"/>
  <c r="EN280" i="43"/>
  <c r="AI277" i="43"/>
  <c r="EN277" i="43"/>
  <c r="EN276" i="43"/>
  <c r="AI276" i="43"/>
  <c r="AI275" i="43"/>
  <c r="EN275" i="43"/>
  <c r="D271" i="45"/>
  <c r="U271" i="45" s="1"/>
  <c r="HZ274" i="43"/>
  <c r="EO274" i="43"/>
  <c r="AI273" i="43"/>
  <c r="EN273" i="43"/>
  <c r="HZ272" i="43"/>
  <c r="EO272" i="43"/>
  <c r="D269" i="45"/>
  <c r="U269" i="45" s="1"/>
  <c r="EO271" i="43"/>
  <c r="HZ271" i="43"/>
  <c r="D268" i="45"/>
  <c r="U268" i="45" s="1"/>
  <c r="HZ270" i="43"/>
  <c r="EO270" i="43"/>
  <c r="D267" i="45"/>
  <c r="U267" i="45" s="1"/>
  <c r="EO269" i="43"/>
  <c r="HZ269" i="43"/>
  <c r="D266" i="45"/>
  <c r="U266" i="45" s="1"/>
  <c r="HZ268" i="43"/>
  <c r="EO268" i="43"/>
  <c r="D265" i="45"/>
  <c r="U265" i="45" s="1"/>
  <c r="HZ267" i="43"/>
  <c r="D264" i="45"/>
  <c r="U264" i="45" s="1"/>
  <c r="EO267" i="43"/>
  <c r="AI266" i="43"/>
  <c r="EN266" i="43"/>
  <c r="M21" i="22"/>
  <c r="E21" i="22"/>
  <c r="EN255" i="43"/>
  <c r="AI255" i="43"/>
  <c r="AI254" i="43"/>
  <c r="EN254" i="43"/>
  <c r="HZ253" i="43"/>
  <c r="EO253" i="43"/>
  <c r="D250" i="45"/>
  <c r="U250" i="45" s="1"/>
  <c r="EN250" i="43"/>
  <c r="AI250" i="43"/>
  <c r="EN251" i="43"/>
  <c r="AI251" i="43"/>
  <c r="HZ252" i="43"/>
  <c r="D249" i="45"/>
  <c r="U249" i="45" s="1"/>
  <c r="EO252" i="43"/>
  <c r="HZ249" i="43"/>
  <c r="EO249" i="43"/>
  <c r="D246" i="45"/>
  <c r="U246" i="45" s="1"/>
  <c r="EO248" i="43"/>
  <c r="D245" i="45"/>
  <c r="U245" i="45" s="1"/>
  <c r="HZ248" i="43"/>
  <c r="AI243" i="43"/>
  <c r="EN243" i="43"/>
  <c r="C21" i="22"/>
  <c r="Q21" i="22"/>
  <c r="L21" i="22"/>
  <c r="B21" i="22"/>
  <c r="P21" i="22"/>
  <c r="H21" i="22"/>
  <c r="K21" i="22"/>
  <c r="A22" i="22"/>
  <c r="EN229" i="43"/>
  <c r="AI229" i="43"/>
  <c r="G20" i="22"/>
  <c r="J20" i="22"/>
  <c r="N20" i="22" s="1"/>
  <c r="F20" i="22"/>
  <c r="HZ224" i="43"/>
  <c r="EO224" i="43"/>
  <c r="D221" i="45"/>
  <c r="U221" i="45" s="1"/>
  <c r="ID242" i="43"/>
  <c r="HZ203" i="43"/>
  <c r="D200" i="45"/>
  <c r="U200" i="45" s="1"/>
  <c r="EO203" i="43"/>
  <c r="AI206" i="43"/>
  <c r="HZ206" i="43" s="1"/>
  <c r="AI214" i="43"/>
  <c r="EN214" i="43"/>
  <c r="HZ210" i="43"/>
  <c r="D207" i="45"/>
  <c r="U207" i="45" s="1"/>
  <c r="EO210" i="43"/>
  <c r="HZ176" i="43"/>
  <c r="D173" i="45"/>
  <c r="U173" i="45" s="1"/>
  <c r="EO176" i="43"/>
  <c r="AI202" i="43"/>
  <c r="EN202" i="43"/>
  <c r="AZ204" i="43"/>
  <c r="V201" i="45" s="1"/>
  <c r="AU204" i="43"/>
  <c r="AH204" i="43" s="1"/>
  <c r="AI220" i="43"/>
  <c r="EN220" i="43"/>
  <c r="HZ175" i="43"/>
  <c r="EO175" i="43"/>
  <c r="D172" i="45"/>
  <c r="U172" i="45" s="1"/>
  <c r="AU180" i="43"/>
  <c r="AH180" i="43" s="1"/>
  <c r="AZ180" i="43"/>
  <c r="V177" i="45" s="1"/>
  <c r="HW183" i="43"/>
  <c r="IC183" i="43"/>
  <c r="HX183" i="43"/>
  <c r="EN181" i="43"/>
  <c r="AI181" i="43"/>
  <c r="IA205" i="43"/>
  <c r="HT205" i="43"/>
  <c r="HU205" i="43" s="1"/>
  <c r="HV205" i="43" s="1"/>
  <c r="BA205" i="43" s="1"/>
  <c r="HW240" i="43"/>
  <c r="HX240" i="43"/>
  <c r="IB237" i="43"/>
  <c r="ID237" i="43"/>
  <c r="D216" i="45"/>
  <c r="U216" i="45" s="1"/>
  <c r="IC228" i="43"/>
  <c r="HX228" i="43"/>
  <c r="HW228" i="43"/>
  <c r="EO219" i="43"/>
  <c r="IB219" i="43"/>
  <c r="IC219" i="43" s="1"/>
  <c r="N19" i="22"/>
  <c r="O19" i="22" s="1"/>
  <c r="P22" i="30"/>
  <c r="P9" i="30"/>
  <c r="P23" i="30"/>
  <c r="P19" i="30"/>
  <c r="Q7" i="30"/>
  <c r="P6" i="30"/>
  <c r="P20" i="30"/>
  <c r="P21" i="30"/>
  <c r="P28" i="30"/>
  <c r="P27" i="30"/>
  <c r="P26" i="30"/>
  <c r="P17" i="30"/>
  <c r="P14" i="30"/>
  <c r="P16" i="30"/>
  <c r="P15" i="30"/>
  <c r="P10" i="30"/>
  <c r="P12" i="30"/>
  <c r="P11" i="30"/>
  <c r="P13" i="30"/>
  <c r="EO294" i="43"/>
  <c r="D291" i="45"/>
  <c r="U291" i="45" s="1"/>
  <c r="HZ294" i="43"/>
  <c r="HX169" i="43"/>
  <c r="HW169" i="43"/>
  <c r="IC169" i="43"/>
  <c r="IB293" i="43"/>
  <c r="ID293" i="43"/>
  <c r="IC239" i="43"/>
  <c r="HX239" i="43"/>
  <c r="HW239" i="43"/>
  <c r="IB223" i="43"/>
  <c r="ID223" i="43"/>
  <c r="IC184" i="43"/>
  <c r="HX184" i="43"/>
  <c r="HW184" i="43"/>
  <c r="IC245" i="43"/>
  <c r="HX245" i="43"/>
  <c r="HW245" i="43"/>
  <c r="HZ303" i="43"/>
  <c r="EO303" i="43"/>
  <c r="IB179" i="43"/>
  <c r="ID179" i="43"/>
  <c r="IB241" i="43"/>
  <c r="ID241" i="43"/>
  <c r="HX225" i="43"/>
  <c r="HW225" i="43"/>
  <c r="IC225" i="43"/>
  <c r="IB172" i="43"/>
  <c r="ID172" i="43"/>
  <c r="IB235" i="43"/>
  <c r="ID235" i="43"/>
  <c r="IB305" i="43"/>
  <c r="ID305" i="43"/>
  <c r="HX212" i="43"/>
  <c r="HW212" i="43"/>
  <c r="IC212" i="43"/>
  <c r="IB234" i="43"/>
  <c r="ID234" i="43"/>
  <c r="HZ304" i="43"/>
  <c r="EO304" i="43"/>
  <c r="IB246" i="43"/>
  <c r="ID246" i="43"/>
  <c r="HZ278" i="43"/>
  <c r="EO278" i="43"/>
  <c r="D275" i="45"/>
  <c r="U275" i="45" s="1"/>
  <c r="HX238" i="43"/>
  <c r="HW238" i="43"/>
  <c r="IC238" i="43"/>
  <c r="IB236" i="43"/>
  <c r="ID236" i="43"/>
  <c r="IC173" i="43"/>
  <c r="HX173" i="43"/>
  <c r="HW173" i="43"/>
  <c r="HW213" i="43"/>
  <c r="IC213" i="43"/>
  <c r="HX213" i="43"/>
  <c r="IC233" i="43"/>
  <c r="HX233" i="43"/>
  <c r="HW233" i="43"/>
  <c r="AI217" i="43"/>
  <c r="EN217" i="43"/>
  <c r="IC242" i="43"/>
  <c r="HX242" i="43"/>
  <c r="HW242" i="43"/>
  <c r="IB208" i="43"/>
  <c r="ID208" i="43"/>
  <c r="Z23" i="45"/>
  <c r="W24" i="45"/>
  <c r="HW211" i="43" l="1"/>
  <c r="IC211" i="43"/>
  <c r="EO300" i="43"/>
  <c r="HZ300" i="43"/>
  <c r="IB300" i="43" s="1"/>
  <c r="HX300" i="43" s="1"/>
  <c r="AI296" i="43"/>
  <c r="EN296" i="43"/>
  <c r="EN290" i="43"/>
  <c r="AI290" i="43"/>
  <c r="AI288" i="43"/>
  <c r="EN288" i="43"/>
  <c r="EN286" i="43"/>
  <c r="AI286" i="43"/>
  <c r="AI284" i="43"/>
  <c r="EN284" i="43"/>
  <c r="AI282" i="43"/>
  <c r="EN282" i="43"/>
  <c r="ID182" i="43"/>
  <c r="IB182" i="43"/>
  <c r="T22" i="22"/>
  <c r="S22" i="22"/>
  <c r="IC171" i="43"/>
  <c r="HW171" i="43"/>
  <c r="HZ174" i="43"/>
  <c r="IB174" i="43" s="1"/>
  <c r="ID177" i="43"/>
  <c r="J21" i="22"/>
  <c r="R21" i="22" s="1"/>
  <c r="M22" i="22"/>
  <c r="D313" i="45"/>
  <c r="U313" i="45" s="1"/>
  <c r="HZ316" i="43"/>
  <c r="EO316" i="43"/>
  <c r="AU312" i="43"/>
  <c r="AH312" i="43" s="1"/>
  <c r="AI312" i="43" s="1"/>
  <c r="AZ312" i="43"/>
  <c r="V309" i="45" s="1"/>
  <c r="HZ313" i="43"/>
  <c r="D310" i="45"/>
  <c r="U310" i="45" s="1"/>
  <c r="EO313" i="43"/>
  <c r="AI314" i="43"/>
  <c r="EN314" i="43"/>
  <c r="ID215" i="43"/>
  <c r="AI315" i="43"/>
  <c r="EN315" i="43"/>
  <c r="EN311" i="43"/>
  <c r="AI311" i="43"/>
  <c r="HZ310" i="43"/>
  <c r="D307" i="45"/>
  <c r="U307" i="45" s="1"/>
  <c r="EO310" i="43"/>
  <c r="AI309" i="43"/>
  <c r="EN309" i="43"/>
  <c r="AU306" i="43"/>
  <c r="AH306" i="43" s="1"/>
  <c r="AZ306" i="43"/>
  <c r="V303" i="45" s="1"/>
  <c r="EN307" i="43"/>
  <c r="AI307" i="43"/>
  <c r="AU308" i="43"/>
  <c r="AH308" i="43" s="1"/>
  <c r="AZ308" i="43"/>
  <c r="V305" i="45" s="1"/>
  <c r="EN302" i="43"/>
  <c r="AI302" i="43"/>
  <c r="D299" i="45" s="1"/>
  <c r="U299" i="45" s="1"/>
  <c r="EN299" i="43"/>
  <c r="AI299" i="43"/>
  <c r="D296" i="45" s="1"/>
  <c r="U296" i="45" s="1"/>
  <c r="AI298" i="43"/>
  <c r="D295" i="45" s="1"/>
  <c r="U295" i="45" s="1"/>
  <c r="EN298" i="43"/>
  <c r="AI297" i="43"/>
  <c r="D294" i="45" s="1"/>
  <c r="U294" i="45" s="1"/>
  <c r="EN297" i="43"/>
  <c r="HZ295" i="43"/>
  <c r="EO295" i="43"/>
  <c r="HW227" i="43"/>
  <c r="ID231" i="43"/>
  <c r="AI292" i="43"/>
  <c r="EN292" i="43"/>
  <c r="EO174" i="43"/>
  <c r="IB226" i="43"/>
  <c r="HX226" i="43" s="1"/>
  <c r="HX227" i="43"/>
  <c r="IB244" i="43"/>
  <c r="IC244" i="43" s="1"/>
  <c r="HW230" i="43"/>
  <c r="HX231" i="43"/>
  <c r="HW231" i="43"/>
  <c r="HX230" i="43"/>
  <c r="ID186" i="43"/>
  <c r="IB186" i="43"/>
  <c r="HZ291" i="43"/>
  <c r="EO291" i="43"/>
  <c r="D288" i="45"/>
  <c r="U288" i="45" s="1"/>
  <c r="HZ209" i="43"/>
  <c r="D206" i="45"/>
  <c r="U206" i="45" s="1"/>
  <c r="EO209" i="43"/>
  <c r="D244" i="45"/>
  <c r="U244" i="45" s="1"/>
  <c r="HZ247" i="43"/>
  <c r="EO247" i="43"/>
  <c r="AI222" i="43"/>
  <c r="EN222" i="43"/>
  <c r="D182" i="45"/>
  <c r="U182" i="45" s="1"/>
  <c r="EO185" i="43"/>
  <c r="HZ185" i="43"/>
  <c r="I22" i="22"/>
  <c r="EO289" i="43"/>
  <c r="HZ289" i="43"/>
  <c r="D286" i="45"/>
  <c r="U286" i="45" s="1"/>
  <c r="D22" i="22"/>
  <c r="D282" i="45"/>
  <c r="U282" i="45" s="1"/>
  <c r="HZ285" i="43"/>
  <c r="EO285" i="43"/>
  <c r="HZ287" i="43"/>
  <c r="D284" i="45"/>
  <c r="U284" i="45" s="1"/>
  <c r="EO287" i="43"/>
  <c r="EO283" i="43"/>
  <c r="HZ283" i="43"/>
  <c r="D280" i="45"/>
  <c r="U280" i="45" s="1"/>
  <c r="D278" i="45"/>
  <c r="U278" i="45" s="1"/>
  <c r="HZ281" i="43"/>
  <c r="EO281" i="43"/>
  <c r="HZ279" i="43"/>
  <c r="EO279" i="43"/>
  <c r="D276" i="45"/>
  <c r="U276" i="45" s="1"/>
  <c r="HZ280" i="43"/>
  <c r="D277" i="45"/>
  <c r="U277" i="45" s="1"/>
  <c r="EO280" i="43"/>
  <c r="EO277" i="43"/>
  <c r="D274" i="45"/>
  <c r="U274" i="45" s="1"/>
  <c r="HZ277" i="43"/>
  <c r="HZ276" i="43"/>
  <c r="EO276" i="43"/>
  <c r="D273" i="45"/>
  <c r="U273" i="45" s="1"/>
  <c r="HZ275" i="43"/>
  <c r="EO275" i="43"/>
  <c r="D272" i="45"/>
  <c r="U272" i="45" s="1"/>
  <c r="ID274" i="43"/>
  <c r="IB274" i="43"/>
  <c r="HZ273" i="43"/>
  <c r="EO273" i="43"/>
  <c r="D270" i="45"/>
  <c r="U270" i="45" s="1"/>
  <c r="IB272" i="43"/>
  <c r="ID272" i="43"/>
  <c r="ID271" i="43"/>
  <c r="IB271" i="43"/>
  <c r="IB270" i="43"/>
  <c r="ID270" i="43"/>
  <c r="IB269" i="43"/>
  <c r="ID269" i="43"/>
  <c r="IB268" i="43"/>
  <c r="ID268" i="43"/>
  <c r="ID267" i="43"/>
  <c r="IB267" i="43"/>
  <c r="D263" i="45"/>
  <c r="U263" i="45" s="1"/>
  <c r="EO266" i="43"/>
  <c r="HZ266" i="43"/>
  <c r="G21" i="22"/>
  <c r="B22" i="22"/>
  <c r="A23" i="22"/>
  <c r="D252" i="45"/>
  <c r="U252" i="45" s="1"/>
  <c r="EO255" i="43"/>
  <c r="HZ255" i="43"/>
  <c r="EO254" i="43"/>
  <c r="HZ254" i="43"/>
  <c r="D251" i="45"/>
  <c r="U251" i="45" s="1"/>
  <c r="IB253" i="43"/>
  <c r="ID253" i="43"/>
  <c r="HZ250" i="43"/>
  <c r="D247" i="45"/>
  <c r="U247" i="45" s="1"/>
  <c r="EO250" i="43"/>
  <c r="D248" i="45"/>
  <c r="U248" i="45" s="1"/>
  <c r="EO251" i="43"/>
  <c r="HZ251" i="43"/>
  <c r="IB252" i="43"/>
  <c r="ID252" i="43"/>
  <c r="IB249" i="43"/>
  <c r="ID249" i="43"/>
  <c r="IB248" i="43"/>
  <c r="ID248" i="43"/>
  <c r="D240" i="45"/>
  <c r="U240" i="45" s="1"/>
  <c r="EO243" i="43"/>
  <c r="HZ243" i="43"/>
  <c r="L22" i="22"/>
  <c r="F21" i="22"/>
  <c r="P22" i="22"/>
  <c r="E22" i="22"/>
  <c r="H22" i="22"/>
  <c r="K22" i="22"/>
  <c r="Q22" i="22"/>
  <c r="C22" i="22"/>
  <c r="D226" i="45"/>
  <c r="U226" i="45" s="1"/>
  <c r="EO229" i="43"/>
  <c r="HZ229" i="43"/>
  <c r="EO206" i="43"/>
  <c r="R20" i="22"/>
  <c r="ID224" i="43"/>
  <c r="IB224" i="43"/>
  <c r="D203" i="45"/>
  <c r="U203" i="45" s="1"/>
  <c r="IB203" i="43"/>
  <c r="ID203" i="43"/>
  <c r="IB210" i="43"/>
  <c r="ID210" i="43"/>
  <c r="ID176" i="43"/>
  <c r="IB176" i="43"/>
  <c r="D211" i="45"/>
  <c r="U211" i="45" s="1"/>
  <c r="HZ214" i="43"/>
  <c r="EO214" i="43"/>
  <c r="HZ220" i="43"/>
  <c r="EO220" i="43"/>
  <c r="D217" i="45"/>
  <c r="U217" i="45" s="1"/>
  <c r="AU205" i="43"/>
  <c r="AH205" i="43" s="1"/>
  <c r="AZ205" i="43"/>
  <c r="V202" i="45" s="1"/>
  <c r="AI180" i="43"/>
  <c r="EN180" i="43"/>
  <c r="AI204" i="43"/>
  <c r="EN204" i="43"/>
  <c r="HX177" i="43"/>
  <c r="IC177" i="43"/>
  <c r="HW177" i="43"/>
  <c r="HZ181" i="43"/>
  <c r="EO181" i="43"/>
  <c r="D178" i="45"/>
  <c r="U178" i="45" s="1"/>
  <c r="IB175" i="43"/>
  <c r="ID175" i="43"/>
  <c r="HZ202" i="43"/>
  <c r="EO202" i="43"/>
  <c r="D199" i="45"/>
  <c r="U199" i="45" s="1"/>
  <c r="HW237" i="43"/>
  <c r="IC237" i="43"/>
  <c r="HX237" i="43"/>
  <c r="HX219" i="43"/>
  <c r="HW219" i="43"/>
  <c r="Q23" i="30"/>
  <c r="Q19" i="30"/>
  <c r="Q20" i="30"/>
  <c r="R7" i="30"/>
  <c r="Q6" i="30"/>
  <c r="Q9" i="30"/>
  <c r="Q21" i="30"/>
  <c r="Q22" i="30"/>
  <c r="Q28" i="30"/>
  <c r="Q27" i="30"/>
  <c r="Q26" i="30"/>
  <c r="Q17" i="30"/>
  <c r="Q14" i="30"/>
  <c r="Q10" i="30"/>
  <c r="Q15" i="30"/>
  <c r="Q16" i="30"/>
  <c r="Q12" i="30"/>
  <c r="Q13" i="30"/>
  <c r="Q11" i="30"/>
  <c r="IC208" i="43"/>
  <c r="HX208" i="43"/>
  <c r="HW208" i="43"/>
  <c r="IB278" i="43"/>
  <c r="ID278" i="43"/>
  <c r="HX246" i="43"/>
  <c r="HW246" i="43"/>
  <c r="IC246" i="43"/>
  <c r="IC235" i="43"/>
  <c r="HX235" i="43"/>
  <c r="HW235" i="43"/>
  <c r="IC293" i="43"/>
  <c r="HX293" i="43"/>
  <c r="HW293" i="43"/>
  <c r="IB294" i="43"/>
  <c r="ID294" i="43"/>
  <c r="HZ217" i="43"/>
  <c r="D214" i="45"/>
  <c r="U214" i="45" s="1"/>
  <c r="EO217" i="43"/>
  <c r="IB304" i="43"/>
  <c r="ID304" i="43"/>
  <c r="IC172" i="43"/>
  <c r="HX172" i="43"/>
  <c r="HW172" i="43"/>
  <c r="HX241" i="43"/>
  <c r="HW241" i="43"/>
  <c r="IC241" i="43"/>
  <c r="IB303" i="43"/>
  <c r="ID303" i="43"/>
  <c r="IC236" i="43"/>
  <c r="HX236" i="43"/>
  <c r="HW236" i="43"/>
  <c r="HW305" i="43"/>
  <c r="IC305" i="43"/>
  <c r="HX305" i="43"/>
  <c r="IC215" i="43"/>
  <c r="HX215" i="43"/>
  <c r="HW215" i="43"/>
  <c r="HX234" i="43"/>
  <c r="HW234" i="43"/>
  <c r="IC234" i="43"/>
  <c r="HW179" i="43"/>
  <c r="IC179" i="43"/>
  <c r="HX179" i="43"/>
  <c r="IC223" i="43"/>
  <c r="HX223" i="43"/>
  <c r="HW223" i="43"/>
  <c r="IB206" i="43"/>
  <c r="ID206" i="43"/>
  <c r="O20" i="22"/>
  <c r="Z24" i="45"/>
  <c r="W25" i="45"/>
  <c r="IC300" i="43" l="1"/>
  <c r="HW300" i="43"/>
  <c r="ID300" i="43"/>
  <c r="D293" i="45"/>
  <c r="U293" i="45" s="1"/>
  <c r="EO296" i="43"/>
  <c r="HZ296" i="43"/>
  <c r="EO290" i="43"/>
  <c r="HZ290" i="43"/>
  <c r="D287" i="45"/>
  <c r="U287" i="45" s="1"/>
  <c r="HZ288" i="43"/>
  <c r="D285" i="45"/>
  <c r="U285" i="45" s="1"/>
  <c r="EO288" i="43"/>
  <c r="D283" i="45"/>
  <c r="U283" i="45" s="1"/>
  <c r="EO286" i="43"/>
  <c r="HZ286" i="43"/>
  <c r="EO284" i="43"/>
  <c r="D281" i="45"/>
  <c r="U281" i="45" s="1"/>
  <c r="HZ284" i="43"/>
  <c r="HZ282" i="43"/>
  <c r="D279" i="45"/>
  <c r="U279" i="45" s="1"/>
  <c r="EO282" i="43"/>
  <c r="HW182" i="43"/>
  <c r="IC182" i="43"/>
  <c r="HX182" i="43"/>
  <c r="T23" i="22"/>
  <c r="S23" i="22"/>
  <c r="ID174" i="43"/>
  <c r="N21" i="22"/>
  <c r="O21" i="22" s="1"/>
  <c r="EN312" i="43"/>
  <c r="IB316" i="43"/>
  <c r="ID316" i="43"/>
  <c r="EO314" i="43"/>
  <c r="HZ314" i="43"/>
  <c r="D311" i="45"/>
  <c r="U311" i="45" s="1"/>
  <c r="IB313" i="43"/>
  <c r="ID313" i="43"/>
  <c r="EO315" i="43"/>
  <c r="HZ315" i="43"/>
  <c r="D312" i="45"/>
  <c r="U312" i="45" s="1"/>
  <c r="D309" i="45"/>
  <c r="U309" i="45" s="1"/>
  <c r="HZ312" i="43"/>
  <c r="EO312" i="43"/>
  <c r="HZ311" i="43"/>
  <c r="EO311" i="43"/>
  <c r="D308" i="45"/>
  <c r="U308" i="45" s="1"/>
  <c r="ID310" i="43"/>
  <c r="IB310" i="43"/>
  <c r="D306" i="45"/>
  <c r="U306" i="45" s="1"/>
  <c r="EO309" i="43"/>
  <c r="HZ309" i="43"/>
  <c r="HZ307" i="43"/>
  <c r="D304" i="45"/>
  <c r="U304" i="45" s="1"/>
  <c r="EO307" i="43"/>
  <c r="EN306" i="43"/>
  <c r="AI306" i="43"/>
  <c r="EN308" i="43"/>
  <c r="AI308" i="43"/>
  <c r="HZ302" i="43"/>
  <c r="EO302" i="43"/>
  <c r="EO299" i="43"/>
  <c r="HZ299" i="43"/>
  <c r="EO298" i="43"/>
  <c r="HZ298" i="43"/>
  <c r="HW226" i="43"/>
  <c r="HZ297" i="43"/>
  <c r="EO297" i="43"/>
  <c r="IB295" i="43"/>
  <c r="ID295" i="43"/>
  <c r="HW244" i="43"/>
  <c r="HX244" i="43"/>
  <c r="EO292" i="43"/>
  <c r="HZ292" i="43"/>
  <c r="D289" i="45"/>
  <c r="U289" i="45" s="1"/>
  <c r="IC226" i="43"/>
  <c r="HW186" i="43"/>
  <c r="HX186" i="43"/>
  <c r="IC186" i="43"/>
  <c r="ID291" i="43"/>
  <c r="IB291" i="43"/>
  <c r="ID185" i="43"/>
  <c r="IB185" i="43"/>
  <c r="D219" i="45"/>
  <c r="U219" i="45" s="1"/>
  <c r="EO222" i="43"/>
  <c r="HZ222" i="43"/>
  <c r="IB247" i="43"/>
  <c r="ID247" i="43"/>
  <c r="IB209" i="43"/>
  <c r="ID209" i="43"/>
  <c r="J22" i="22"/>
  <c r="R22" i="22" s="1"/>
  <c r="C23" i="22"/>
  <c r="IB289" i="43"/>
  <c r="ID289" i="43"/>
  <c r="M23" i="22"/>
  <c r="L23" i="22"/>
  <c r="E23" i="22"/>
  <c r="P23" i="22"/>
  <c r="B23" i="22"/>
  <c r="IB285" i="43"/>
  <c r="ID285" i="43"/>
  <c r="ID287" i="43"/>
  <c r="IB287" i="43"/>
  <c r="ID283" i="43"/>
  <c r="IB283" i="43"/>
  <c r="IB281" i="43"/>
  <c r="ID281" i="43"/>
  <c r="IB279" i="43"/>
  <c r="ID279" i="43"/>
  <c r="IB280" i="43"/>
  <c r="ID280" i="43"/>
  <c r="IB277" i="43"/>
  <c r="ID277" i="43"/>
  <c r="IB276" i="43"/>
  <c r="ID276" i="43"/>
  <c r="ID275" i="43"/>
  <c r="IB275" i="43"/>
  <c r="HX274" i="43"/>
  <c r="HW274" i="43"/>
  <c r="IC274" i="43"/>
  <c r="IB273" i="43"/>
  <c r="ID273" i="43"/>
  <c r="HW272" i="43"/>
  <c r="IC272" i="43"/>
  <c r="HX272" i="43"/>
  <c r="IC271" i="43"/>
  <c r="HW271" i="43"/>
  <c r="HX271" i="43"/>
  <c r="HW270" i="43"/>
  <c r="IC270" i="43"/>
  <c r="HX270" i="43"/>
  <c r="IC269" i="43"/>
  <c r="HX269" i="43"/>
  <c r="HW269" i="43"/>
  <c r="HW268" i="43"/>
  <c r="HX268" i="43"/>
  <c r="IC268" i="43"/>
  <c r="HX267" i="43"/>
  <c r="HW267" i="43"/>
  <c r="IC267" i="43"/>
  <c r="IB266" i="43"/>
  <c r="ID266" i="43"/>
  <c r="I23" i="22"/>
  <c r="D23" i="22"/>
  <c r="K23" i="22"/>
  <c r="Q23" i="22"/>
  <c r="H23" i="22"/>
  <c r="A24" i="22"/>
  <c r="ID255" i="43"/>
  <c r="IB255" i="43"/>
  <c r="IB254" i="43"/>
  <c r="ID254" i="43"/>
  <c r="IC253" i="43"/>
  <c r="HX253" i="43"/>
  <c r="HW253" i="43"/>
  <c r="ID250" i="43"/>
  <c r="IB250" i="43"/>
  <c r="IB251" i="43"/>
  <c r="ID251" i="43"/>
  <c r="HX252" i="43"/>
  <c r="HW252" i="43"/>
  <c r="IC252" i="43"/>
  <c r="HW249" i="43"/>
  <c r="IC249" i="43"/>
  <c r="HX249" i="43"/>
  <c r="HW248" i="43"/>
  <c r="IC248" i="43"/>
  <c r="HX248" i="43"/>
  <c r="ID243" i="43"/>
  <c r="IB243" i="43"/>
  <c r="F22" i="22"/>
  <c r="G22" i="22"/>
  <c r="IB229" i="43"/>
  <c r="ID229" i="43"/>
  <c r="IC224" i="43"/>
  <c r="HX224" i="43"/>
  <c r="HW224" i="43"/>
  <c r="IC203" i="43"/>
  <c r="HX203" i="43"/>
  <c r="HW203" i="43"/>
  <c r="HX174" i="43"/>
  <c r="HW174" i="43"/>
  <c r="IC174" i="43"/>
  <c r="IC176" i="43"/>
  <c r="HX176" i="43"/>
  <c r="HW176" i="43"/>
  <c r="IB214" i="43"/>
  <c r="ID214" i="43"/>
  <c r="HW210" i="43"/>
  <c r="IC210" i="43"/>
  <c r="HX210" i="43"/>
  <c r="IB202" i="43"/>
  <c r="ID202" i="43"/>
  <c r="ID181" i="43"/>
  <c r="IB181" i="43"/>
  <c r="HZ204" i="43"/>
  <c r="D201" i="45"/>
  <c r="U201" i="45" s="1"/>
  <c r="EO204" i="43"/>
  <c r="EN205" i="43"/>
  <c r="AI205" i="43"/>
  <c r="IC175" i="43"/>
  <c r="HX175" i="43"/>
  <c r="HW175" i="43"/>
  <c r="HZ180" i="43"/>
  <c r="D177" i="45"/>
  <c r="U177" i="45" s="1"/>
  <c r="EO180" i="43"/>
  <c r="ID220" i="43"/>
  <c r="IB220" i="43"/>
  <c r="R20" i="30"/>
  <c r="S7" i="30"/>
  <c r="R6" i="30"/>
  <c r="R21" i="30"/>
  <c r="R9" i="30"/>
  <c r="R19" i="30"/>
  <c r="R22" i="30"/>
  <c r="R23" i="30"/>
  <c r="R28" i="30"/>
  <c r="R27" i="30"/>
  <c r="R26" i="30"/>
  <c r="R17" i="30"/>
  <c r="R14" i="30"/>
  <c r="R15" i="30"/>
  <c r="R10" i="30"/>
  <c r="R16" i="30"/>
  <c r="R11" i="30"/>
  <c r="R12" i="30"/>
  <c r="R13" i="30"/>
  <c r="IC304" i="43"/>
  <c r="HX304" i="43"/>
  <c r="HW304" i="43"/>
  <c r="HX303" i="43"/>
  <c r="HW303" i="43"/>
  <c r="IC303" i="43"/>
  <c r="IC294" i="43"/>
  <c r="HX294" i="43"/>
  <c r="HW294" i="43"/>
  <c r="IC278" i="43"/>
  <c r="HX278" i="43"/>
  <c r="HW278" i="43"/>
  <c r="IB217" i="43"/>
  <c r="ID217" i="43"/>
  <c r="IC206" i="43"/>
  <c r="HX206" i="43"/>
  <c r="HW206" i="43"/>
  <c r="Z25" i="45"/>
  <c r="W26" i="45"/>
  <c r="ID296" i="43" l="1"/>
  <c r="IB296" i="43"/>
  <c r="ID290" i="43"/>
  <c r="IB290" i="43"/>
  <c r="IB288" i="43"/>
  <c r="ID288" i="43"/>
  <c r="ID286" i="43"/>
  <c r="IB286" i="43"/>
  <c r="ID284" i="43"/>
  <c r="IB284" i="43"/>
  <c r="ID282" i="43"/>
  <c r="IB282" i="43"/>
  <c r="T24" i="22"/>
  <c r="S24" i="22"/>
  <c r="L24" i="22"/>
  <c r="P24" i="22"/>
  <c r="K24" i="22"/>
  <c r="A25" i="22"/>
  <c r="H25" i="22" s="1"/>
  <c r="I24" i="22"/>
  <c r="M24" i="22"/>
  <c r="HX316" i="43"/>
  <c r="HW316" i="43"/>
  <c r="IC316" i="43"/>
  <c r="IC313" i="43"/>
  <c r="HW313" i="43"/>
  <c r="HX313" i="43"/>
  <c r="ID314" i="43"/>
  <c r="IB314" i="43"/>
  <c r="ID315" i="43"/>
  <c r="IB315" i="43"/>
  <c r="IB312" i="43"/>
  <c r="ID312" i="43"/>
  <c r="IB311" i="43"/>
  <c r="ID311" i="43"/>
  <c r="HX310" i="43"/>
  <c r="HW310" i="43"/>
  <c r="IC310" i="43"/>
  <c r="ID309" i="43"/>
  <c r="IB309" i="43"/>
  <c r="D303" i="45"/>
  <c r="U303" i="45" s="1"/>
  <c r="EO306" i="43"/>
  <c r="HZ306" i="43"/>
  <c r="ID307" i="43"/>
  <c r="IB307" i="43"/>
  <c r="HZ308" i="43"/>
  <c r="D305" i="45"/>
  <c r="U305" i="45" s="1"/>
  <c r="EO308" i="43"/>
  <c r="N22" i="22"/>
  <c r="O22" i="22" s="1"/>
  <c r="IB302" i="43"/>
  <c r="ID302" i="43"/>
  <c r="IB299" i="43"/>
  <c r="ID299" i="43"/>
  <c r="ID298" i="43"/>
  <c r="IB298" i="43"/>
  <c r="IB297" i="43"/>
  <c r="ID297" i="43"/>
  <c r="HX295" i="43"/>
  <c r="HW295" i="43"/>
  <c r="IC295" i="43"/>
  <c r="ID292" i="43"/>
  <c r="IB292" i="43"/>
  <c r="HW291" i="43"/>
  <c r="IC291" i="43"/>
  <c r="HX291" i="43"/>
  <c r="IC209" i="43"/>
  <c r="HX209" i="43"/>
  <c r="HW209" i="43"/>
  <c r="HW247" i="43"/>
  <c r="IC247" i="43"/>
  <c r="HX247" i="43"/>
  <c r="HX185" i="43"/>
  <c r="HW185" i="43"/>
  <c r="IC185" i="43"/>
  <c r="ID222" i="43"/>
  <c r="IB222" i="43"/>
  <c r="B24" i="22"/>
  <c r="D24" i="22"/>
  <c r="Q24" i="22"/>
  <c r="H24" i="22"/>
  <c r="C24" i="22"/>
  <c r="E24" i="22"/>
  <c r="HW289" i="43"/>
  <c r="IC289" i="43"/>
  <c r="HX289" i="43"/>
  <c r="HW285" i="43"/>
  <c r="IC285" i="43"/>
  <c r="HX285" i="43"/>
  <c r="HX287" i="43"/>
  <c r="HW287" i="43"/>
  <c r="IC287" i="43"/>
  <c r="HW283" i="43"/>
  <c r="HX283" i="43"/>
  <c r="IC283" i="43"/>
  <c r="IC281" i="43"/>
  <c r="HX281" i="43"/>
  <c r="HW281" i="43"/>
  <c r="HX279" i="43"/>
  <c r="HW279" i="43"/>
  <c r="IC279" i="43"/>
  <c r="IC280" i="43"/>
  <c r="HX280" i="43"/>
  <c r="HW280" i="43"/>
  <c r="IC277" i="43"/>
  <c r="HX277" i="43"/>
  <c r="HW277" i="43"/>
  <c r="IC276" i="43"/>
  <c r="HW276" i="43"/>
  <c r="HX276" i="43"/>
  <c r="IC275" i="43"/>
  <c r="HX275" i="43"/>
  <c r="HW275" i="43"/>
  <c r="IC273" i="43"/>
  <c r="HX273" i="43"/>
  <c r="HW273" i="43"/>
  <c r="HW266" i="43"/>
  <c r="IC266" i="43"/>
  <c r="HX266" i="43"/>
  <c r="F23" i="22"/>
  <c r="J23" i="22"/>
  <c r="N23" i="22" s="1"/>
  <c r="O23" i="22" s="1"/>
  <c r="G23" i="22"/>
  <c r="HW255" i="43"/>
  <c r="IC255" i="43"/>
  <c r="HX255" i="43"/>
  <c r="HW254" i="43"/>
  <c r="IC254" i="43"/>
  <c r="HX254" i="43"/>
  <c r="HW250" i="43"/>
  <c r="HX250" i="43"/>
  <c r="IC250" i="43"/>
  <c r="HX251" i="43"/>
  <c r="HW251" i="43"/>
  <c r="IC251" i="43"/>
  <c r="HW243" i="43"/>
  <c r="IC243" i="43"/>
  <c r="HX243" i="43"/>
  <c r="IC229" i="43"/>
  <c r="HX229" i="43"/>
  <c r="HW229" i="43"/>
  <c r="HW214" i="43"/>
  <c r="IC214" i="43"/>
  <c r="HX214" i="43"/>
  <c r="HX220" i="43"/>
  <c r="IC220" i="43"/>
  <c r="HW220" i="43"/>
  <c r="HZ205" i="43"/>
  <c r="EO205" i="43"/>
  <c r="D202" i="45"/>
  <c r="U202" i="45" s="1"/>
  <c r="HW181" i="43"/>
  <c r="HX181" i="43"/>
  <c r="IC181" i="43"/>
  <c r="HX202" i="43"/>
  <c r="IC202" i="43"/>
  <c r="HW202" i="43"/>
  <c r="ID180" i="43"/>
  <c r="IB180" i="43"/>
  <c r="IB204" i="43"/>
  <c r="ID204" i="43"/>
  <c r="S21" i="30"/>
  <c r="S22" i="30"/>
  <c r="S9" i="30"/>
  <c r="S19" i="30"/>
  <c r="S6" i="30"/>
  <c r="S20" i="30"/>
  <c r="S23" i="30"/>
  <c r="T7" i="30"/>
  <c r="S27" i="30"/>
  <c r="S26" i="30"/>
  <c r="S28" i="30"/>
  <c r="S17" i="30"/>
  <c r="S15" i="30"/>
  <c r="S16" i="30"/>
  <c r="S14" i="30"/>
  <c r="S10" i="30"/>
  <c r="S11" i="30"/>
  <c r="S13" i="30"/>
  <c r="S12" i="30"/>
  <c r="IC217" i="43"/>
  <c r="HX217" i="43"/>
  <c r="HW217" i="43"/>
  <c r="Z26" i="45"/>
  <c r="W27" i="45"/>
  <c r="HX296" i="43" l="1"/>
  <c r="HW296" i="43"/>
  <c r="IC296" i="43"/>
  <c r="HW290" i="43"/>
  <c r="IC290" i="43"/>
  <c r="HX290" i="43"/>
  <c r="HW288" i="43"/>
  <c r="IC288" i="43"/>
  <c r="HX288" i="43"/>
  <c r="IC286" i="43"/>
  <c r="HW286" i="43"/>
  <c r="HX286" i="43"/>
  <c r="IC284" i="43"/>
  <c r="HX284" i="43"/>
  <c r="HW284" i="43"/>
  <c r="HX282" i="43"/>
  <c r="HW282" i="43"/>
  <c r="IC282" i="43"/>
  <c r="T25" i="22"/>
  <c r="S25" i="22"/>
  <c r="A26" i="22"/>
  <c r="H26" i="22" s="1"/>
  <c r="P25" i="22"/>
  <c r="I25" i="22"/>
  <c r="J25" i="22" s="1"/>
  <c r="D25" i="22"/>
  <c r="B25" i="22"/>
  <c r="Q25" i="22"/>
  <c r="E25" i="22"/>
  <c r="C25" i="22"/>
  <c r="M25" i="22"/>
  <c r="L25" i="22"/>
  <c r="K25" i="22"/>
  <c r="J24" i="22"/>
  <c r="N24" i="22" s="1"/>
  <c r="O24" i="22" s="1"/>
  <c r="IC314" i="43"/>
  <c r="HX314" i="43"/>
  <c r="HW314" i="43"/>
  <c r="IC315" i="43"/>
  <c r="HW315" i="43"/>
  <c r="HX315" i="43"/>
  <c r="HX312" i="43"/>
  <c r="HW312" i="43"/>
  <c r="IC312" i="43"/>
  <c r="HW311" i="43"/>
  <c r="HX311" i="43"/>
  <c r="IC311" i="43"/>
  <c r="IC309" i="43"/>
  <c r="HX309" i="43"/>
  <c r="HW309" i="43"/>
  <c r="ID306" i="43"/>
  <c r="IB306" i="43"/>
  <c r="IC307" i="43"/>
  <c r="HX307" i="43"/>
  <c r="HW307" i="43"/>
  <c r="IB308" i="43"/>
  <c r="ID308" i="43"/>
  <c r="HW302" i="43"/>
  <c r="IC302" i="43"/>
  <c r="HX302" i="43"/>
  <c r="IC299" i="43"/>
  <c r="HW299" i="43"/>
  <c r="HX299" i="43"/>
  <c r="HW298" i="43"/>
  <c r="IC298" i="43"/>
  <c r="HX298" i="43"/>
  <c r="HW297" i="43"/>
  <c r="IC297" i="43"/>
  <c r="HX297" i="43"/>
  <c r="HX292" i="43"/>
  <c r="HW292" i="43"/>
  <c r="IC292" i="43"/>
  <c r="HX222" i="43"/>
  <c r="HW222" i="43"/>
  <c r="IC222" i="43"/>
  <c r="G24" i="22"/>
  <c r="F24" i="22"/>
  <c r="R23" i="22"/>
  <c r="HW204" i="43"/>
  <c r="IC204" i="43"/>
  <c r="HX204" i="43"/>
  <c r="ID205" i="43"/>
  <c r="IB205" i="43"/>
  <c r="HW180" i="43"/>
  <c r="HX180" i="43"/>
  <c r="IC180" i="43"/>
  <c r="T22" i="30"/>
  <c r="T9" i="30"/>
  <c r="T23" i="30"/>
  <c r="T19" i="30"/>
  <c r="T20" i="30"/>
  <c r="T21" i="30"/>
  <c r="U7" i="30"/>
  <c r="T6" i="30"/>
  <c r="T26" i="30"/>
  <c r="T28" i="30"/>
  <c r="T27" i="30"/>
  <c r="T17" i="30"/>
  <c r="T14" i="30"/>
  <c r="T15" i="30"/>
  <c r="T16" i="30"/>
  <c r="T10" i="30"/>
  <c r="T12" i="30"/>
  <c r="T11" i="30"/>
  <c r="T13" i="30"/>
  <c r="Z27" i="45"/>
  <c r="W28" i="45"/>
  <c r="A27" i="22" l="1"/>
  <c r="S27" i="22" s="1"/>
  <c r="C26" i="22"/>
  <c r="B26" i="22"/>
  <c r="P26" i="22"/>
  <c r="T27" i="22"/>
  <c r="T26" i="22"/>
  <c r="S26" i="22"/>
  <c r="Q26" i="22"/>
  <c r="I26" i="22"/>
  <c r="J26" i="22" s="1"/>
  <c r="D26" i="22"/>
  <c r="M26" i="22"/>
  <c r="L26" i="22"/>
  <c r="K26" i="22"/>
  <c r="E26" i="22"/>
  <c r="R24" i="22"/>
  <c r="R25" i="22"/>
  <c r="G25" i="22"/>
  <c r="F25" i="22"/>
  <c r="HW306" i="43"/>
  <c r="IC306" i="43"/>
  <c r="HX306" i="43"/>
  <c r="HW308" i="43"/>
  <c r="HX308" i="43"/>
  <c r="IC308" i="43"/>
  <c r="HX205" i="43"/>
  <c r="HW205" i="43"/>
  <c r="IC205" i="43"/>
  <c r="U23" i="30"/>
  <c r="U19" i="30"/>
  <c r="U20" i="30"/>
  <c r="V7" i="30"/>
  <c r="U6" i="30"/>
  <c r="U21" i="30"/>
  <c r="U22" i="30"/>
  <c r="U9" i="30"/>
  <c r="U27" i="30"/>
  <c r="U28" i="30"/>
  <c r="U26" i="30"/>
  <c r="U17" i="30"/>
  <c r="U15" i="30"/>
  <c r="U10" i="30"/>
  <c r="U14" i="30"/>
  <c r="U16" i="30"/>
  <c r="U13" i="30"/>
  <c r="U11" i="30"/>
  <c r="U12" i="30"/>
  <c r="N25" i="22"/>
  <c r="O25" i="22" s="1"/>
  <c r="M27" i="22"/>
  <c r="D27" i="22"/>
  <c r="A28" i="22"/>
  <c r="C27" i="22"/>
  <c r="H27" i="22"/>
  <c r="B27" i="22"/>
  <c r="I27" i="22"/>
  <c r="P27" i="22"/>
  <c r="L27" i="22"/>
  <c r="Z28" i="45"/>
  <c r="W29" i="45"/>
  <c r="Q27" i="22" l="1"/>
  <c r="E27" i="22"/>
  <c r="K27" i="22"/>
  <c r="T28" i="22"/>
  <c r="S28" i="22"/>
  <c r="G26" i="22"/>
  <c r="F26" i="22"/>
  <c r="R26" i="22"/>
  <c r="V20" i="30"/>
  <c r="W7" i="30"/>
  <c r="V6" i="30"/>
  <c r="V21" i="30"/>
  <c r="V22" i="30"/>
  <c r="V23" i="30"/>
  <c r="V9" i="30"/>
  <c r="V19" i="30"/>
  <c r="V26" i="30"/>
  <c r="V27" i="30"/>
  <c r="V28" i="30"/>
  <c r="V17" i="30"/>
  <c r="V16" i="30"/>
  <c r="V14" i="30"/>
  <c r="V15" i="30"/>
  <c r="V10" i="30"/>
  <c r="V13" i="30"/>
  <c r="V12" i="30"/>
  <c r="V11" i="30"/>
  <c r="J27" i="22"/>
  <c r="N26" i="22"/>
  <c r="O26" i="22" s="1"/>
  <c r="H28" i="22"/>
  <c r="B28" i="22"/>
  <c r="E28" i="22"/>
  <c r="M28" i="22"/>
  <c r="D28" i="22"/>
  <c r="A29" i="22"/>
  <c r="K28" i="22"/>
  <c r="C28" i="22"/>
  <c r="P28" i="22"/>
  <c r="I28" i="22"/>
  <c r="L28" i="22"/>
  <c r="Q28" i="22"/>
  <c r="Z29" i="45"/>
  <c r="W30" i="45"/>
  <c r="N27" i="22" l="1"/>
  <c r="O27" i="22" s="1"/>
  <c r="F27" i="22"/>
  <c r="G27" i="22"/>
  <c r="T29" i="22"/>
  <c r="S29" i="22"/>
  <c r="W21" i="30"/>
  <c r="W22" i="30"/>
  <c r="W9" i="30"/>
  <c r="W23" i="30"/>
  <c r="X7" i="30"/>
  <c r="W19" i="30"/>
  <c r="W6" i="30"/>
  <c r="W20" i="30"/>
  <c r="W26" i="30"/>
  <c r="W28" i="30"/>
  <c r="W27" i="30"/>
  <c r="W17" i="30"/>
  <c r="W10" i="30"/>
  <c r="W15" i="30"/>
  <c r="W14" i="30"/>
  <c r="W16" i="30"/>
  <c r="W13" i="30"/>
  <c r="W12" i="30"/>
  <c r="W11" i="30"/>
  <c r="R27" i="22"/>
  <c r="G28" i="22"/>
  <c r="J28" i="22"/>
  <c r="R28" i="22" s="1"/>
  <c r="F28" i="22"/>
  <c r="M29" i="22"/>
  <c r="D29" i="22"/>
  <c r="K29" i="22"/>
  <c r="C29" i="22"/>
  <c r="A30" i="22"/>
  <c r="H29" i="22"/>
  <c r="B29" i="22"/>
  <c r="E29" i="22"/>
  <c r="I29" i="22"/>
  <c r="P29" i="22"/>
  <c r="L29" i="22"/>
  <c r="Q29" i="22"/>
  <c r="Z30" i="45"/>
  <c r="W31" i="45"/>
  <c r="T30" i="22" l="1"/>
  <c r="S30" i="22"/>
  <c r="X22" i="30"/>
  <c r="X9" i="30"/>
  <c r="X23" i="30"/>
  <c r="X19" i="30"/>
  <c r="Y7" i="30"/>
  <c r="X6" i="30"/>
  <c r="X20" i="30"/>
  <c r="X21" i="30"/>
  <c r="X27" i="30"/>
  <c r="X26" i="30"/>
  <c r="X28" i="30"/>
  <c r="X17" i="30"/>
  <c r="X16" i="30"/>
  <c r="X10" i="30"/>
  <c r="X14" i="30"/>
  <c r="X15" i="30"/>
  <c r="X13" i="30"/>
  <c r="X12" i="30"/>
  <c r="X11" i="30"/>
  <c r="J29" i="22"/>
  <c r="R29" i="22" s="1"/>
  <c r="G29" i="22"/>
  <c r="N28" i="22"/>
  <c r="O28" i="22" s="1"/>
  <c r="F29" i="22"/>
  <c r="A31" i="22"/>
  <c r="K30" i="22"/>
  <c r="C30" i="22"/>
  <c r="H30" i="22"/>
  <c r="B30" i="22"/>
  <c r="E30" i="22"/>
  <c r="M30" i="22"/>
  <c r="D30" i="22"/>
  <c r="P30" i="22"/>
  <c r="I30" i="22"/>
  <c r="L30" i="22"/>
  <c r="Q30" i="22"/>
  <c r="Z31" i="45"/>
  <c r="W32" i="45"/>
  <c r="T31" i="22" l="1"/>
  <c r="S31" i="22"/>
  <c r="Y23" i="30"/>
  <c r="Y19" i="30"/>
  <c r="Y20" i="30"/>
  <c r="Z7" i="30"/>
  <c r="Y6" i="30"/>
  <c r="Y9" i="30"/>
  <c r="Y21" i="30"/>
  <c r="Y22" i="30"/>
  <c r="Y26" i="30"/>
  <c r="Y27" i="30"/>
  <c r="Y28" i="30"/>
  <c r="Y17" i="30"/>
  <c r="Y14" i="30"/>
  <c r="Y10" i="30"/>
  <c r="Y15" i="30"/>
  <c r="Y16" i="30"/>
  <c r="Y11" i="30"/>
  <c r="Y13" i="30"/>
  <c r="Y12" i="30"/>
  <c r="N29" i="22"/>
  <c r="O29" i="22" s="1"/>
  <c r="J30" i="22"/>
  <c r="N30" i="22" s="1"/>
  <c r="O30" i="22" s="1"/>
  <c r="F30" i="22"/>
  <c r="E31" i="22"/>
  <c r="M31" i="22"/>
  <c r="D31" i="22"/>
  <c r="A32" i="22"/>
  <c r="K31" i="22"/>
  <c r="C31" i="22"/>
  <c r="H31" i="22"/>
  <c r="B31" i="22"/>
  <c r="I31" i="22"/>
  <c r="P31" i="22"/>
  <c r="L31" i="22"/>
  <c r="Q31" i="22"/>
  <c r="G30" i="22"/>
  <c r="Z32" i="45"/>
  <c r="W33" i="45"/>
  <c r="T32" i="22" l="1"/>
  <c r="S32" i="22"/>
  <c r="Z20" i="30"/>
  <c r="AA7" i="30"/>
  <c r="Z6" i="30"/>
  <c r="Z21" i="30"/>
  <c r="Z9" i="30"/>
  <c r="Z19" i="30"/>
  <c r="Z22" i="30"/>
  <c r="Z23" i="30"/>
  <c r="Z27" i="30"/>
  <c r="Z26" i="30"/>
  <c r="Z28" i="30"/>
  <c r="Z17" i="30"/>
  <c r="Z10" i="30"/>
  <c r="Z16" i="30"/>
  <c r="Z14" i="30"/>
  <c r="Z15" i="30"/>
  <c r="Z11" i="30"/>
  <c r="Z12" i="30"/>
  <c r="Z13" i="30"/>
  <c r="R30" i="22"/>
  <c r="G31" i="22"/>
  <c r="J31" i="22"/>
  <c r="N31" i="22" s="1"/>
  <c r="O31" i="22" s="1"/>
  <c r="F31" i="22"/>
  <c r="A33" i="22"/>
  <c r="S33" i="22" s="1"/>
  <c r="K32" i="22"/>
  <c r="C32" i="22"/>
  <c r="H32" i="22"/>
  <c r="B32" i="22"/>
  <c r="E32" i="22"/>
  <c r="M32" i="22"/>
  <c r="D32" i="22"/>
  <c r="I32" i="22"/>
  <c r="P32" i="22"/>
  <c r="L32" i="22"/>
  <c r="Q32" i="22"/>
  <c r="Z33" i="45"/>
  <c r="W34" i="45"/>
  <c r="T33" i="22" l="1"/>
  <c r="A34" i="22"/>
  <c r="AA21" i="30"/>
  <c r="AA22" i="30"/>
  <c r="AA9" i="30"/>
  <c r="AA19" i="30"/>
  <c r="AA6" i="30"/>
  <c r="AA20" i="30"/>
  <c r="AA23" i="30"/>
  <c r="AB7" i="30"/>
  <c r="AA28" i="30"/>
  <c r="AA26" i="30"/>
  <c r="AA27" i="30"/>
  <c r="AA17" i="30"/>
  <c r="AA14" i="30"/>
  <c r="AA15" i="30"/>
  <c r="AA10" i="30"/>
  <c r="AA16" i="30"/>
  <c r="AA11" i="30"/>
  <c r="AA12" i="30"/>
  <c r="AA13" i="30"/>
  <c r="R31" i="22"/>
  <c r="J32" i="22"/>
  <c r="R32" i="22" s="1"/>
  <c r="F32" i="22"/>
  <c r="E33" i="22"/>
  <c r="M33" i="22"/>
  <c r="D33" i="22"/>
  <c r="K33" i="22"/>
  <c r="C33" i="22"/>
  <c r="H33" i="22"/>
  <c r="B33" i="22"/>
  <c r="I33" i="22"/>
  <c r="P33" i="22"/>
  <c r="L33" i="22"/>
  <c r="Q33" i="22"/>
  <c r="G32" i="22"/>
  <c r="Z34" i="45"/>
  <c r="W35" i="45"/>
  <c r="T34" i="22" l="1"/>
  <c r="S34" i="22"/>
  <c r="B34" i="22"/>
  <c r="A35" i="22"/>
  <c r="AB22" i="30"/>
  <c r="AB9" i="30"/>
  <c r="AB23" i="30"/>
  <c r="AB19" i="30"/>
  <c r="AB20" i="30"/>
  <c r="AB21" i="30"/>
  <c r="AC7" i="30"/>
  <c r="AB6" i="30"/>
  <c r="AB27" i="30"/>
  <c r="AB26" i="30"/>
  <c r="AB28" i="30"/>
  <c r="AB17" i="30"/>
  <c r="AB14" i="30"/>
  <c r="AB10" i="30"/>
  <c r="AB16" i="30"/>
  <c r="AB15" i="30"/>
  <c r="AB12" i="30"/>
  <c r="AB11" i="30"/>
  <c r="AB13" i="30"/>
  <c r="N32" i="22"/>
  <c r="O32" i="22" s="1"/>
  <c r="F33" i="22"/>
  <c r="K34" i="22"/>
  <c r="C34" i="22"/>
  <c r="H34" i="22"/>
  <c r="E34" i="22"/>
  <c r="M34" i="22"/>
  <c r="D34" i="22"/>
  <c r="I34" i="22"/>
  <c r="P34" i="22"/>
  <c r="L34" i="22"/>
  <c r="Q34" i="22"/>
  <c r="J33" i="22"/>
  <c r="R33" i="22" s="1"/>
  <c r="G33" i="22"/>
  <c r="Z35" i="45"/>
  <c r="W36" i="45"/>
  <c r="T35" i="22" l="1"/>
  <c r="S35" i="22"/>
  <c r="B35" i="22"/>
  <c r="A36" i="22"/>
  <c r="S36" i="22" s="1"/>
  <c r="AC23" i="30"/>
  <c r="AC19" i="30"/>
  <c r="AC20" i="30"/>
  <c r="AD7" i="30"/>
  <c r="AC6" i="30"/>
  <c r="AC21" i="30"/>
  <c r="AC22" i="30"/>
  <c r="AC9" i="30"/>
  <c r="AC28" i="30"/>
  <c r="AC26" i="30"/>
  <c r="AC27" i="30"/>
  <c r="AC17" i="30"/>
  <c r="AC14" i="30"/>
  <c r="AC15" i="30"/>
  <c r="AC16" i="30"/>
  <c r="AC10" i="30"/>
  <c r="AC11" i="30"/>
  <c r="AC12" i="30"/>
  <c r="AC13" i="30"/>
  <c r="J34" i="22"/>
  <c r="N34" i="22" s="1"/>
  <c r="O34" i="22" s="1"/>
  <c r="N33" i="22"/>
  <c r="O33" i="22" s="1"/>
  <c r="F34" i="22"/>
  <c r="G34" i="22"/>
  <c r="E35" i="22"/>
  <c r="M35" i="22"/>
  <c r="D35" i="22"/>
  <c r="K35" i="22"/>
  <c r="C35" i="22"/>
  <c r="H35" i="22"/>
  <c r="I35" i="22"/>
  <c r="P35" i="22"/>
  <c r="L35" i="22"/>
  <c r="Q35" i="22"/>
  <c r="Z36" i="45"/>
  <c r="W37" i="45"/>
  <c r="T36" i="22" l="1"/>
  <c r="A37" i="22"/>
  <c r="S37" i="22" s="1"/>
  <c r="B36" i="22"/>
  <c r="AD20" i="30"/>
  <c r="AE7" i="30"/>
  <c r="AD6" i="30"/>
  <c r="AD21" i="30"/>
  <c r="AD22" i="30"/>
  <c r="AD23" i="30"/>
  <c r="AD9" i="30"/>
  <c r="AD19" i="30"/>
  <c r="AD28" i="30"/>
  <c r="AD27" i="30"/>
  <c r="AD26" i="30"/>
  <c r="AD17" i="30"/>
  <c r="AD14" i="30"/>
  <c r="AD16" i="30"/>
  <c r="AD10" i="30"/>
  <c r="AD15" i="30"/>
  <c r="AD11" i="30"/>
  <c r="AD12" i="30"/>
  <c r="AD13" i="30"/>
  <c r="R34" i="22"/>
  <c r="G35" i="22"/>
  <c r="F35" i="22"/>
  <c r="T37" i="22"/>
  <c r="K36" i="22"/>
  <c r="C36" i="22"/>
  <c r="H36" i="22"/>
  <c r="E36" i="22"/>
  <c r="M36" i="22"/>
  <c r="D36" i="22"/>
  <c r="I36" i="22"/>
  <c r="P36" i="22"/>
  <c r="L36" i="22"/>
  <c r="Q36" i="22"/>
  <c r="J35" i="22"/>
  <c r="N35" i="22" s="1"/>
  <c r="O35" i="22" s="1"/>
  <c r="W38" i="45"/>
  <c r="Z37" i="45"/>
  <c r="A38" i="22" l="1"/>
  <c r="B37" i="22"/>
  <c r="AE21" i="30"/>
  <c r="AE22" i="30"/>
  <c r="AE9" i="30"/>
  <c r="AE23" i="30"/>
  <c r="AF7" i="30"/>
  <c r="AE19" i="30"/>
  <c r="AE6" i="30"/>
  <c r="AE20" i="30"/>
  <c r="AE28" i="30"/>
  <c r="AE26" i="30"/>
  <c r="AE27" i="30"/>
  <c r="AE17" i="30"/>
  <c r="AE14" i="30"/>
  <c r="AE16" i="30"/>
  <c r="AE10" i="30"/>
  <c r="AE15" i="30"/>
  <c r="AE11" i="30"/>
  <c r="AE12" i="30"/>
  <c r="AE13" i="30"/>
  <c r="J36" i="22"/>
  <c r="R36" i="22" s="1"/>
  <c r="R35" i="22"/>
  <c r="F36" i="22"/>
  <c r="G36" i="22"/>
  <c r="E37" i="22"/>
  <c r="M37" i="22"/>
  <c r="D37" i="22"/>
  <c r="K37" i="22"/>
  <c r="C37" i="22"/>
  <c r="H37" i="22"/>
  <c r="I37" i="22"/>
  <c r="P37" i="22"/>
  <c r="L37" i="22"/>
  <c r="Q37" i="22"/>
  <c r="Z38" i="45"/>
  <c r="W39" i="45"/>
  <c r="T38" i="22" l="1"/>
  <c r="S38" i="22"/>
  <c r="B38" i="22"/>
  <c r="A39" i="22"/>
  <c r="S39" i="22" s="1"/>
  <c r="AF22" i="30"/>
  <c r="AF9" i="30"/>
  <c r="AF23" i="30"/>
  <c r="AF19" i="30"/>
  <c r="AG7" i="30"/>
  <c r="AF6" i="30"/>
  <c r="AF20" i="30"/>
  <c r="AF21" i="30"/>
  <c r="AF27" i="30"/>
  <c r="AF26" i="30"/>
  <c r="AF28" i="30"/>
  <c r="AF17" i="30"/>
  <c r="AF15" i="30"/>
  <c r="AF14" i="30"/>
  <c r="AF16" i="30"/>
  <c r="AF10" i="30"/>
  <c r="AF12" i="30"/>
  <c r="AF13" i="30"/>
  <c r="AF11" i="30"/>
  <c r="N36" i="22"/>
  <c r="O36" i="22" s="1"/>
  <c r="G37" i="22"/>
  <c r="K38" i="22"/>
  <c r="C38" i="22"/>
  <c r="H38" i="22"/>
  <c r="E38" i="22"/>
  <c r="M38" i="22"/>
  <c r="D38" i="22"/>
  <c r="P38" i="22"/>
  <c r="I38" i="22"/>
  <c r="L38" i="22"/>
  <c r="Q38" i="22"/>
  <c r="J37" i="22"/>
  <c r="N37" i="22" s="1"/>
  <c r="O37" i="22" s="1"/>
  <c r="F37" i="22"/>
  <c r="Z39" i="45"/>
  <c r="W40" i="45"/>
  <c r="C39" i="22" l="1"/>
  <c r="E39" i="22"/>
  <c r="B39" i="22"/>
  <c r="D39" i="22"/>
  <c r="H39" i="22"/>
  <c r="I39" i="22"/>
  <c r="AG23" i="30"/>
  <c r="AG19" i="30"/>
  <c r="AG20" i="30"/>
  <c r="AG6" i="30"/>
  <c r="AG9" i="30"/>
  <c r="AG21" i="30"/>
  <c r="AG22" i="30"/>
  <c r="AG28" i="30"/>
  <c r="AG26" i="30"/>
  <c r="AG27" i="30"/>
  <c r="AG17" i="30"/>
  <c r="AG16" i="30"/>
  <c r="AG10" i="30"/>
  <c r="AG15" i="30"/>
  <c r="AG14" i="30"/>
  <c r="AG13" i="30"/>
  <c r="AG12" i="30"/>
  <c r="AG11" i="30"/>
  <c r="J38" i="22"/>
  <c r="N38" i="22" s="1"/>
  <c r="O38" i="22" s="1"/>
  <c r="F38" i="22"/>
  <c r="R37" i="22"/>
  <c r="G38" i="22"/>
  <c r="Z40" i="45"/>
  <c r="W41" i="45"/>
  <c r="R38" i="22" l="1"/>
  <c r="Z41" i="45"/>
  <c r="W42" i="45"/>
  <c r="Z42" i="45" l="1"/>
  <c r="W43" i="45"/>
  <c r="Z43" i="45" l="1"/>
  <c r="W44" i="45"/>
  <c r="Z44" i="45" l="1"/>
  <c r="W45" i="45"/>
  <c r="W46" i="45" l="1"/>
  <c r="Z45" i="45"/>
  <c r="Z46" i="45" l="1"/>
  <c r="W47" i="45"/>
  <c r="Z47" i="45" l="1"/>
  <c r="W48" i="45"/>
  <c r="EB194" i="43" l="1"/>
  <c r="Z48" i="45"/>
  <c r="W49" i="45"/>
  <c r="EH194" i="43" l="1"/>
  <c r="R194" i="43"/>
  <c r="X194" i="43"/>
  <c r="L194" i="43"/>
  <c r="N194" i="43" s="1"/>
  <c r="FP194" i="43" s="1"/>
  <c r="W50" i="45"/>
  <c r="Z49" i="45"/>
  <c r="Z50" i="45" l="1"/>
  <c r="W51" i="45"/>
  <c r="Z51" i="45" l="1"/>
  <c r="W52" i="45"/>
  <c r="DD195" i="43" l="1"/>
  <c r="BN195" i="43"/>
  <c r="BP195" i="43" s="1"/>
  <c r="EB195" i="43"/>
  <c r="Z52" i="45"/>
  <c r="W53" i="45"/>
  <c r="X195" i="43" l="1"/>
  <c r="L195" i="43"/>
  <c r="N195" i="43" s="1"/>
  <c r="FP195" i="43" s="1"/>
  <c r="EH195" i="43"/>
  <c r="R195" i="43"/>
  <c r="Z53" i="45"/>
  <c r="W54" i="45"/>
  <c r="Z54" i="45" l="1"/>
  <c r="W55" i="45"/>
  <c r="Z55" i="45" l="1"/>
  <c r="W56" i="45"/>
  <c r="DB196" i="43" l="1"/>
  <c r="DD196" i="43" s="1"/>
  <c r="EB196" i="43"/>
  <c r="CI196" i="43"/>
  <c r="CK196" i="43" s="1"/>
  <c r="BN196" i="43"/>
  <c r="BP196" i="43" s="1"/>
  <c r="Z56" i="45"/>
  <c r="W57" i="45"/>
  <c r="L196" i="43" l="1"/>
  <c r="N196" i="43" s="1"/>
  <c r="FP196" i="43" s="1"/>
  <c r="X196" i="43"/>
  <c r="EH196" i="43"/>
  <c r="R196" i="43"/>
  <c r="Z57" i="45"/>
  <c r="W58" i="45"/>
  <c r="Z58" i="45" l="1"/>
  <c r="W59" i="45"/>
  <c r="K197" i="43" l="1"/>
  <c r="AI194" i="45" s="1"/>
  <c r="Z59" i="45"/>
  <c r="W60" i="45"/>
  <c r="BN197" i="43" l="1"/>
  <c r="BP197" i="43" s="1"/>
  <c r="DG197" i="43"/>
  <c r="EB197" i="43"/>
  <c r="Y197" i="43"/>
  <c r="CO197" i="43"/>
  <c r="CN197" i="43" s="1"/>
  <c r="BT197" i="43"/>
  <c r="BS197" i="43" s="1"/>
  <c r="W197" i="43"/>
  <c r="DB197" i="43"/>
  <c r="DD197" i="43" s="1"/>
  <c r="CI197" i="43"/>
  <c r="CK197" i="43" s="1"/>
  <c r="BC197" i="43"/>
  <c r="Z60" i="45"/>
  <c r="W61" i="45"/>
  <c r="K198" i="43" l="1"/>
  <c r="AI195" i="45" s="1"/>
  <c r="R197" i="43"/>
  <c r="EH197" i="43"/>
  <c r="X197" i="43"/>
  <c r="Z61" i="45"/>
  <c r="W62" i="45"/>
  <c r="H20" i="35" l="1"/>
  <c r="J20" i="35"/>
  <c r="I20" i="35"/>
  <c r="L20" i="35"/>
  <c r="K20" i="35"/>
  <c r="BC198" i="43"/>
  <c r="W198" i="43"/>
  <c r="S198" i="43"/>
  <c r="CO198" i="43"/>
  <c r="CN198" i="43" s="1"/>
  <c r="BN198" i="43"/>
  <c r="BP198" i="43" s="1"/>
  <c r="BT198" i="43"/>
  <c r="BS198" i="43" s="1"/>
  <c r="DG198" i="43"/>
  <c r="EB198" i="43"/>
  <c r="DB198" i="43"/>
  <c r="DD198" i="43" s="1"/>
  <c r="Y198" i="43"/>
  <c r="CI198" i="43"/>
  <c r="CK198" i="43" s="1"/>
  <c r="Z62" i="45"/>
  <c r="W63" i="45"/>
  <c r="L198" i="43" l="1"/>
  <c r="N198" i="43" s="1"/>
  <c r="FP198" i="43" s="1"/>
  <c r="X198" i="43"/>
  <c r="EH198" i="43"/>
  <c r="R198" i="43"/>
  <c r="Z63" i="45"/>
  <c r="W64" i="45"/>
  <c r="Q198" i="43" l="1"/>
  <c r="Z64" i="45"/>
  <c r="W65" i="45"/>
  <c r="AB198" i="43" l="1"/>
  <c r="AA198" i="43"/>
  <c r="Z65" i="45"/>
  <c r="W66" i="45"/>
  <c r="IA198" i="43" l="1"/>
  <c r="HT198" i="43"/>
  <c r="HU198" i="43" s="1"/>
  <c r="HV198" i="43" s="1"/>
  <c r="BA198" i="43" s="1"/>
  <c r="Z66" i="45"/>
  <c r="W67" i="45"/>
  <c r="AU198" i="43" l="1"/>
  <c r="AH198" i="43" s="1"/>
  <c r="AZ198" i="43"/>
  <c r="V195" i="45" s="1"/>
  <c r="Z67" i="45"/>
  <c r="W68" i="45"/>
  <c r="EN198" i="43" l="1"/>
  <c r="AI198" i="43"/>
  <c r="Z68" i="45"/>
  <c r="W69" i="45"/>
  <c r="EO198" i="43" l="1"/>
  <c r="HZ198" i="43"/>
  <c r="D195" i="45"/>
  <c r="U195" i="45" s="1"/>
  <c r="Z69" i="45"/>
  <c r="W70" i="45"/>
  <c r="ID198" i="43" l="1"/>
  <c r="IB198" i="43"/>
  <c r="Z70" i="45"/>
  <c r="W71" i="45"/>
  <c r="IC198" i="43" l="1"/>
  <c r="HW198" i="43"/>
  <c r="HX198" i="43"/>
  <c r="Z71" i="45"/>
  <c r="W72" i="45"/>
  <c r="Z72" i="45" l="1"/>
  <c r="W73" i="45"/>
  <c r="Z73" i="45" l="1"/>
  <c r="W74" i="45"/>
  <c r="Z74" i="45" l="1"/>
  <c r="W75" i="45"/>
  <c r="Z75" i="45" l="1"/>
  <c r="W76" i="45"/>
  <c r="Z76" i="45" l="1"/>
  <c r="W77" i="45"/>
  <c r="Z77" i="45" l="1"/>
  <c r="W78" i="45"/>
  <c r="Z78" i="45" l="1"/>
  <c r="W79" i="45"/>
  <c r="Z79" i="45" l="1"/>
  <c r="W80" i="45"/>
  <c r="Z80" i="45" l="1"/>
  <c r="W81" i="45"/>
  <c r="Z81" i="45" l="1"/>
  <c r="W82" i="45"/>
  <c r="Z82" i="45" l="1"/>
  <c r="W83" i="45"/>
  <c r="Z83" i="45" l="1"/>
  <c r="W84" i="45"/>
  <c r="Z84" i="45" l="1"/>
  <c r="W85" i="45"/>
  <c r="Z85" i="45" l="1"/>
  <c r="W86" i="45"/>
  <c r="Z86" i="45" l="1"/>
  <c r="W87" i="45"/>
  <c r="Z87" i="45" l="1"/>
  <c r="W88" i="45"/>
  <c r="Z88" i="45" l="1"/>
  <c r="W89" i="45"/>
  <c r="Z89" i="45" l="1"/>
  <c r="W90" i="45"/>
  <c r="Z90" i="45" l="1"/>
  <c r="W91" i="45"/>
  <c r="Z91" i="45" l="1"/>
  <c r="W92" i="45"/>
  <c r="Z92" i="45" l="1"/>
  <c r="W93" i="45"/>
  <c r="Z93" i="45" s="1"/>
  <c r="V5" i="45" l="1"/>
  <c r="Z333" i="45"/>
  <c r="Z349" i="45"/>
  <c r="Z365" i="45"/>
  <c r="Z354" i="45"/>
  <c r="Z374" i="45"/>
  <c r="Z367" i="45"/>
  <c r="Z346" i="45"/>
  <c r="Z382" i="45"/>
  <c r="Z327" i="45"/>
  <c r="Z335" i="45"/>
  <c r="Z343" i="45"/>
  <c r="Z351" i="45"/>
  <c r="Z383" i="45"/>
  <c r="Z332" i="45"/>
  <c r="Z340" i="45"/>
  <c r="Z348" i="45"/>
  <c r="Z356" i="45"/>
  <c r="Z364" i="45"/>
  <c r="Z372" i="45"/>
  <c r="Z380" i="45"/>
  <c r="Z337" i="45"/>
  <c r="Z353" i="45"/>
  <c r="Z369" i="45"/>
  <c r="Z381" i="45"/>
  <c r="Z338" i="45"/>
  <c r="Z341" i="45"/>
  <c r="Z357" i="45"/>
  <c r="Z377" i="45"/>
  <c r="Z342" i="45"/>
  <c r="Z366" i="45"/>
  <c r="Z355" i="45"/>
  <c r="Z379" i="45"/>
  <c r="Z334" i="45"/>
  <c r="Z362" i="45"/>
  <c r="Z371" i="45"/>
  <c r="Z331" i="45"/>
  <c r="Z339" i="45"/>
  <c r="Z347" i="45"/>
  <c r="Z363" i="45"/>
  <c r="Z328" i="45"/>
  <c r="Z336" i="45"/>
  <c r="Z344" i="45"/>
  <c r="Z352" i="45"/>
  <c r="Z360" i="45"/>
  <c r="Z368" i="45"/>
  <c r="Z376" i="45"/>
  <c r="Z329" i="45"/>
  <c r="Z345" i="45"/>
  <c r="Z361" i="45"/>
  <c r="Z373" i="45"/>
  <c r="Z330" i="45"/>
  <c r="Z350" i="45"/>
  <c r="Z370" i="45"/>
  <c r="Z359" i="45"/>
  <c r="AA377" i="45"/>
  <c r="AA371" i="45"/>
  <c r="AA366" i="45"/>
  <c r="AA345" i="45"/>
  <c r="AA344" i="45"/>
  <c r="AA382" i="45"/>
  <c r="AA332" i="45"/>
  <c r="AA350" i="45"/>
  <c r="AA361" i="45"/>
  <c r="Z384" i="45"/>
  <c r="AA384" i="45"/>
  <c r="AA369" i="45"/>
  <c r="AA364" i="45"/>
  <c r="AA378" i="45"/>
  <c r="Z378" i="45"/>
  <c r="AA329" i="45"/>
  <c r="AA357" i="45"/>
  <c r="AA362" i="45"/>
  <c r="AA380" i="45"/>
  <c r="AA359" i="45"/>
  <c r="AA360" i="45"/>
  <c r="AA372" i="45"/>
  <c r="Z358" i="45"/>
  <c r="AA375" i="45"/>
  <c r="Z375" i="45"/>
  <c r="AA343" i="45"/>
  <c r="AA335" i="45"/>
  <c r="AA336" i="45"/>
  <c r="AA370" i="45"/>
  <c r="AA367" i="45"/>
  <c r="AA374" i="45"/>
  <c r="AA379" i="45"/>
  <c r="AA342" i="45"/>
  <c r="AA347" i="45"/>
  <c r="AA381" i="45"/>
  <c r="AA358" i="45"/>
  <c r="AA334" i="45"/>
  <c r="AA373" i="45"/>
  <c r="AA356" i="45"/>
  <c r="AA368" i="45"/>
  <c r="AA349" i="45"/>
  <c r="AA365" i="45"/>
  <c r="AA376" i="45"/>
  <c r="AA331" i="45"/>
  <c r="AA338" i="45"/>
  <c r="AA333" i="45"/>
  <c r="AA363" i="45"/>
  <c r="AA337" i="45"/>
  <c r="AA346" i="45"/>
  <c r="AA383" i="45"/>
  <c r="AA328" i="45" l="1"/>
  <c r="AA340" i="45"/>
  <c r="AA339" i="45"/>
  <c r="AA341" i="45"/>
  <c r="AA330" i="45"/>
  <c r="AA348" i="45"/>
  <c r="AA327" i="45"/>
  <c r="GQ318" i="43" l="1"/>
  <c r="GP318" i="43" s="1"/>
  <c r="GL318" i="43" s="1"/>
  <c r="HE318" i="43"/>
  <c r="HD318" i="43" s="1"/>
  <c r="GZ318" i="43" s="1"/>
  <c r="HL318" i="43" l="1"/>
  <c r="HK318" i="43" s="1"/>
  <c r="HG318" i="43" s="1"/>
  <c r="GX318" i="43"/>
  <c r="GW318" i="43" s="1"/>
  <c r="GS318" i="43" s="1"/>
  <c r="GJ318" i="43" l="1"/>
  <c r="HH318" i="43" s="1"/>
  <c r="HJ318" i="43" s="1"/>
  <c r="DI318" i="43" s="1"/>
  <c r="HL319" i="43"/>
  <c r="HK319" i="43" s="1"/>
  <c r="HG319" i="43" s="1"/>
  <c r="GM318" i="43" l="1"/>
  <c r="GO318" i="43" s="1"/>
  <c r="BB318" i="43" s="1"/>
  <c r="HA318" i="43"/>
  <c r="HC318" i="43" s="1"/>
  <c r="CP318" i="43" s="1"/>
  <c r="GT318" i="43"/>
  <c r="GV318" i="43" s="1"/>
  <c r="BU318" i="43" s="1"/>
  <c r="DK318" i="43"/>
  <c r="AN318" i="43"/>
  <c r="HE319" i="43"/>
  <c r="HD319" i="43" s="1"/>
  <c r="GZ319" i="43" s="1"/>
  <c r="GQ319" i="43"/>
  <c r="GP319" i="43" s="1"/>
  <c r="GL319" i="43" s="1"/>
  <c r="GX319" i="43"/>
  <c r="GW319" i="43" s="1"/>
  <c r="GS319" i="43" s="1"/>
  <c r="BD318" i="43" l="1"/>
  <c r="CR318" i="43"/>
  <c r="BW318" i="43"/>
  <c r="DY318" i="43"/>
  <c r="DZ318" i="43" s="1"/>
  <c r="GK318" i="43"/>
  <c r="HI318" i="43" s="1"/>
  <c r="AO318" i="43"/>
  <c r="GJ319" i="43"/>
  <c r="GM319" i="43" s="1"/>
  <c r="GO319" i="43" s="1"/>
  <c r="BB319" i="43" s="1"/>
  <c r="GU318" i="43" l="1"/>
  <c r="HB318" i="43"/>
  <c r="GN318" i="43"/>
  <c r="T315" i="45"/>
  <c r="FF318" i="43"/>
  <c r="GT319" i="43"/>
  <c r="GV319" i="43" s="1"/>
  <c r="BU319" i="43" s="1"/>
  <c r="HA319" i="43"/>
  <c r="HC319" i="43" s="1"/>
  <c r="CP319" i="43" s="1"/>
  <c r="HH319" i="43"/>
  <c r="HJ319" i="43" s="1"/>
  <c r="DI319" i="43" s="1"/>
  <c r="GQ320" i="43"/>
  <c r="GP320" i="43" s="1"/>
  <c r="GL320" i="43" s="1"/>
  <c r="BD319" i="43"/>
  <c r="W315" i="45" l="1"/>
  <c r="Y315" i="45" s="1"/>
  <c r="GX320" i="43"/>
  <c r="GW320" i="43" s="1"/>
  <c r="GS320" i="43" s="1"/>
  <c r="GK319" i="43"/>
  <c r="GN319" i="43" s="1"/>
  <c r="BW319" i="43"/>
  <c r="CR319" i="43"/>
  <c r="DK319" i="43"/>
  <c r="HE320" i="43"/>
  <c r="HD320" i="43" s="1"/>
  <c r="GZ320" i="43" s="1"/>
  <c r="AN319" i="43"/>
  <c r="HL320" i="43"/>
  <c r="HK320" i="43" s="1"/>
  <c r="HG320" i="43" s="1"/>
  <c r="AB315" i="45" l="1"/>
  <c r="AC315" i="45" s="1"/>
  <c r="Z315" i="45"/>
  <c r="GU319" i="43"/>
  <c r="AO319" i="43"/>
  <c r="HB319" i="43"/>
  <c r="HI319" i="43"/>
  <c r="GJ320" i="43"/>
  <c r="GM320" i="43" s="1"/>
  <c r="GO320" i="43" s="1"/>
  <c r="BB320" i="43" s="1"/>
  <c r="DY319" i="43"/>
  <c r="DZ319" i="43" s="1"/>
  <c r="AA315" i="45" l="1"/>
  <c r="FF319" i="43"/>
  <c r="T316" i="45"/>
  <c r="HH320" i="43"/>
  <c r="HJ320" i="43" s="1"/>
  <c r="DI320" i="43" s="1"/>
  <c r="HA320" i="43"/>
  <c r="HC320" i="43" s="1"/>
  <c r="CP320" i="43" s="1"/>
  <c r="GT320" i="43"/>
  <c r="GV320" i="43" s="1"/>
  <c r="BU320" i="43" s="1"/>
  <c r="GQ321" i="43"/>
  <c r="GP321" i="43" s="1"/>
  <c r="GL321" i="43" s="1"/>
  <c r="BD320" i="43"/>
  <c r="W316" i="45" l="1"/>
  <c r="Y316" i="45" s="1"/>
  <c r="HL321" i="43"/>
  <c r="HK321" i="43" s="1"/>
  <c r="HG321" i="43" s="1"/>
  <c r="GX321" i="43"/>
  <c r="GW321" i="43" s="1"/>
  <c r="GS321" i="43" s="1"/>
  <c r="CR320" i="43"/>
  <c r="HE321" i="43"/>
  <c r="HD321" i="43" s="1"/>
  <c r="GZ321" i="43" s="1"/>
  <c r="GK320" i="43"/>
  <c r="GU320" i="43" s="1"/>
  <c r="DK320" i="43"/>
  <c r="AN320" i="43"/>
  <c r="BW320" i="43"/>
  <c r="AB316" i="45" l="1"/>
  <c r="AC316" i="45" s="1"/>
  <c r="Z316" i="45"/>
  <c r="DY320" i="43"/>
  <c r="DZ320" i="43" s="1"/>
  <c r="GJ321" i="43"/>
  <c r="GM321" i="43" s="1"/>
  <c r="GO321" i="43" s="1"/>
  <c r="BB321" i="43" s="1"/>
  <c r="GN320" i="43"/>
  <c r="HI320" i="43"/>
  <c r="HB320" i="43"/>
  <c r="AO320" i="43"/>
  <c r="AA316" i="45" l="1"/>
  <c r="HA321" i="43"/>
  <c r="HC321" i="43" s="1"/>
  <c r="CP321" i="43" s="1"/>
  <c r="GT321" i="43"/>
  <c r="GV321" i="43" s="1"/>
  <c r="BU321" i="43" s="1"/>
  <c r="HH321" i="43"/>
  <c r="HJ321" i="43" s="1"/>
  <c r="DI321" i="43" s="1"/>
  <c r="GX322" i="43"/>
  <c r="GW322" i="43" s="1"/>
  <c r="GS322" i="43" s="1"/>
  <c r="FF320" i="43"/>
  <c r="HE322" i="43"/>
  <c r="HD322" i="43" s="1"/>
  <c r="GZ322" i="43" s="1"/>
  <c r="HL322" i="43"/>
  <c r="HK322" i="43" s="1"/>
  <c r="HG322" i="43" s="1"/>
  <c r="GQ322" i="43"/>
  <c r="GP322" i="43" s="1"/>
  <c r="GL322" i="43" s="1"/>
  <c r="BD321" i="43"/>
  <c r="T317" i="45"/>
  <c r="AN321" i="43"/>
  <c r="W317" i="45" l="1"/>
  <c r="Y317" i="45" s="1"/>
  <c r="CR321" i="43"/>
  <c r="GK321" i="43"/>
  <c r="HB321" i="43" s="1"/>
  <c r="BW321" i="43"/>
  <c r="DK321" i="43"/>
  <c r="GJ322" i="43"/>
  <c r="GM322" i="43" s="1"/>
  <c r="GO322" i="43" s="1"/>
  <c r="BB322" i="43" s="1"/>
  <c r="AO321" i="43"/>
  <c r="DY321" i="43"/>
  <c r="DZ321" i="43" s="1"/>
  <c r="GQ323" i="43"/>
  <c r="GP323" i="43" s="1"/>
  <c r="AB317" i="45" l="1"/>
  <c r="AC317" i="45" s="1"/>
  <c r="GN321" i="43"/>
  <c r="HI321" i="43"/>
  <c r="GU321" i="43"/>
  <c r="BD322" i="43"/>
  <c r="HA322" i="43"/>
  <c r="HC322" i="43" s="1"/>
  <c r="CP322" i="43" s="1"/>
  <c r="CR322" i="43" s="1"/>
  <c r="GT322" i="43"/>
  <c r="GV322" i="43" s="1"/>
  <c r="BU322" i="43" s="1"/>
  <c r="BW322" i="43" s="1"/>
  <c r="HH322" i="43"/>
  <c r="HJ322" i="43" s="1"/>
  <c r="DI322" i="43" s="1"/>
  <c r="FF321" i="43"/>
  <c r="T318" i="45"/>
  <c r="Z317" i="45"/>
  <c r="AN322" i="43"/>
  <c r="GL323" i="43"/>
  <c r="AA317" i="45" l="1"/>
  <c r="W318" i="45"/>
  <c r="Y318" i="45" s="1"/>
  <c r="GK322" i="43"/>
  <c r="HB322" i="43" s="1"/>
  <c r="GX323" i="43"/>
  <c r="GW323" i="43" s="1"/>
  <c r="GS323" i="43" s="1"/>
  <c r="HE323" i="43"/>
  <c r="HD323" i="43" s="1"/>
  <c r="GZ323" i="43" s="1"/>
  <c r="DY322" i="43"/>
  <c r="DZ322" i="43" s="1"/>
  <c r="HL323" i="43"/>
  <c r="HK323" i="43" s="1"/>
  <c r="HG323" i="43" s="1"/>
  <c r="DK322" i="43"/>
  <c r="AO322" i="43"/>
  <c r="AB318" i="45" l="1"/>
  <c r="AC318" i="45" s="1"/>
  <c r="Z318" i="45"/>
  <c r="GN322" i="43"/>
  <c r="GU322" i="43"/>
  <c r="HI322" i="43"/>
  <c r="GJ323" i="43"/>
  <c r="GM323" i="43" s="1"/>
  <c r="GO323" i="43" s="1"/>
  <c r="BB323" i="43" s="1"/>
  <c r="FF322" i="43"/>
  <c r="T319" i="45"/>
  <c r="GQ324" i="43"/>
  <c r="GP324" i="43" s="1"/>
  <c r="AN323" i="43"/>
  <c r="W319" i="45" l="1"/>
  <c r="Y319" i="45" s="1"/>
  <c r="AA318" i="45"/>
  <c r="BD323" i="43"/>
  <c r="GT323" i="43"/>
  <c r="GV323" i="43" s="1"/>
  <c r="BU323" i="43" s="1"/>
  <c r="BW323" i="43" s="1"/>
  <c r="HH323" i="43"/>
  <c r="HJ323" i="43" s="1"/>
  <c r="DI323" i="43" s="1"/>
  <c r="HA323" i="43"/>
  <c r="HC323" i="43" s="1"/>
  <c r="CP323" i="43" s="1"/>
  <c r="CR323" i="43" s="1"/>
  <c r="HE324" i="43"/>
  <c r="HD324" i="43" s="1"/>
  <c r="GZ324" i="43" s="1"/>
  <c r="GX324" i="43"/>
  <c r="GW324" i="43" s="1"/>
  <c r="GS324" i="43" s="1"/>
  <c r="HL324" i="43"/>
  <c r="HK324" i="43" s="1"/>
  <c r="HG324" i="43" s="1"/>
  <c r="GL324" i="43"/>
  <c r="DY323" i="43"/>
  <c r="DZ323" i="43" s="1"/>
  <c r="AO323" i="43"/>
  <c r="AB319" i="45" l="1"/>
  <c r="AC319" i="45" s="1"/>
  <c r="Z319" i="45"/>
  <c r="GK323" i="43"/>
  <c r="HI323" i="43" s="1"/>
  <c r="DK323" i="43"/>
  <c r="GJ324" i="43"/>
  <c r="GM324" i="43" s="1"/>
  <c r="GO324" i="43" s="1"/>
  <c r="BB324" i="43" s="1"/>
  <c r="FF323" i="43"/>
  <c r="T320" i="45"/>
  <c r="W320" i="45" l="1"/>
  <c r="Y320" i="45" s="1"/>
  <c r="AA319" i="45"/>
  <c r="HB323" i="43"/>
  <c r="GU323" i="43"/>
  <c r="GN323" i="43"/>
  <c r="HH324" i="43"/>
  <c r="HJ324" i="43" s="1"/>
  <c r="DI324" i="43" s="1"/>
  <c r="HA324" i="43"/>
  <c r="HC324" i="43" s="1"/>
  <c r="CP324" i="43" s="1"/>
  <c r="GT324" i="43"/>
  <c r="GV324" i="43" s="1"/>
  <c r="BU324" i="43" s="1"/>
  <c r="HE325" i="43"/>
  <c r="HD325" i="43" s="1"/>
  <c r="GZ325" i="43" s="1"/>
  <c r="HL325" i="43"/>
  <c r="HK325" i="43" s="1"/>
  <c r="HG325" i="43" s="1"/>
  <c r="BD324" i="43"/>
  <c r="GX325" i="43"/>
  <c r="GW325" i="43" s="1"/>
  <c r="GS325" i="43" s="1"/>
  <c r="GQ325" i="43"/>
  <c r="GP325" i="43" s="1"/>
  <c r="AN324" i="43"/>
  <c r="AB320" i="45" l="1"/>
  <c r="AC320" i="45" s="1"/>
  <c r="Z320" i="45"/>
  <c r="BW324" i="43"/>
  <c r="DK324" i="43"/>
  <c r="CR324" i="43"/>
  <c r="GK324" i="43"/>
  <c r="HB324" i="43" s="1"/>
  <c r="GL325" i="43"/>
  <c r="GJ325" i="43" s="1"/>
  <c r="GM325" i="43" s="1"/>
  <c r="DY324" i="43"/>
  <c r="DZ324" i="43" s="1"/>
  <c r="AO324" i="43"/>
  <c r="AA320" i="45" l="1"/>
  <c r="GU324" i="43"/>
  <c r="HI324" i="43"/>
  <c r="GN324" i="43"/>
  <c r="FF324" i="43"/>
  <c r="T321" i="45"/>
  <c r="GO325" i="43"/>
  <c r="BB325" i="43" s="1"/>
  <c r="HH325" i="43"/>
  <c r="HJ325" i="43" s="1"/>
  <c r="DI325" i="43" s="1"/>
  <c r="GT325" i="43"/>
  <c r="GV325" i="43" s="1"/>
  <c r="BU325" i="43" s="1"/>
  <c r="HA325" i="43"/>
  <c r="HC325" i="43" s="1"/>
  <c r="CP325" i="43" s="1"/>
  <c r="W321" i="45" l="1"/>
  <c r="Y321" i="45" s="1"/>
  <c r="BD325" i="43"/>
  <c r="HE326" i="43"/>
  <c r="HD326" i="43" s="1"/>
  <c r="GZ326" i="43" s="1"/>
  <c r="CR325" i="43"/>
  <c r="GX326" i="43"/>
  <c r="GW326" i="43" s="1"/>
  <c r="GS326" i="43" s="1"/>
  <c r="BW325" i="43"/>
  <c r="HL326" i="43"/>
  <c r="HK326" i="43" s="1"/>
  <c r="HG326" i="43" s="1"/>
  <c r="DK325" i="43"/>
  <c r="GK325" i="43"/>
  <c r="AN325" i="43"/>
  <c r="GQ326" i="43"/>
  <c r="GP326" i="43" s="1"/>
  <c r="GL326" i="43" s="1"/>
  <c r="AB321" i="45" l="1"/>
  <c r="AC321" i="45" s="1"/>
  <c r="Z321" i="45"/>
  <c r="GJ326" i="43"/>
  <c r="GM326" i="43" s="1"/>
  <c r="GO326" i="43" s="1"/>
  <c r="BB326" i="43" s="1"/>
  <c r="AO325" i="43"/>
  <c r="DY325" i="43"/>
  <c r="DZ325" i="43" s="1"/>
  <c r="GU325" i="43"/>
  <c r="HB325" i="43"/>
  <c r="GN325" i="43"/>
  <c r="HI325" i="43"/>
  <c r="AA321" i="45" l="1"/>
  <c r="BD326" i="43"/>
  <c r="FF325" i="43"/>
  <c r="T322" i="45"/>
  <c r="HA326" i="43"/>
  <c r="HC326" i="43" s="1"/>
  <c r="CP326" i="43" s="1"/>
  <c r="HH326" i="43"/>
  <c r="HJ326" i="43" s="1"/>
  <c r="DI326" i="43" s="1"/>
  <c r="GT326" i="43"/>
  <c r="GV326" i="43" s="1"/>
  <c r="BU326" i="43" s="1"/>
  <c r="GQ327" i="43"/>
  <c r="GP327" i="43" s="1"/>
  <c r="W322" i="45" l="1"/>
  <c r="Y322" i="45" s="1"/>
  <c r="GX327" i="43"/>
  <c r="GW327" i="43" s="1"/>
  <c r="GS327" i="43" s="1"/>
  <c r="BW326" i="43"/>
  <c r="HL327" i="43"/>
  <c r="HK327" i="43" s="1"/>
  <c r="HG327" i="43" s="1"/>
  <c r="DK326" i="43"/>
  <c r="HE327" i="43"/>
  <c r="HD327" i="43" s="1"/>
  <c r="GZ327" i="43" s="1"/>
  <c r="CR326" i="43"/>
  <c r="AN326" i="43"/>
  <c r="GK326" i="43"/>
  <c r="GU326" i="43" s="1"/>
  <c r="GL327" i="43"/>
  <c r="AB322" i="45" l="1"/>
  <c r="AC322" i="45" s="1"/>
  <c r="Z322" i="45"/>
  <c r="GJ327" i="43"/>
  <c r="GM327" i="43" s="1"/>
  <c r="GO327" i="43" s="1"/>
  <c r="BB327" i="43" s="1"/>
  <c r="DY326" i="43"/>
  <c r="DZ326" i="43" s="1"/>
  <c r="GN326" i="43"/>
  <c r="HB326" i="43"/>
  <c r="HI326" i="43"/>
  <c r="AO326" i="43"/>
  <c r="AA322" i="45" l="1"/>
  <c r="HA327" i="43"/>
  <c r="HC327" i="43" s="1"/>
  <c r="CP327" i="43" s="1"/>
  <c r="GT327" i="43"/>
  <c r="GV327" i="43" s="1"/>
  <c r="BU327" i="43" s="1"/>
  <c r="HH327" i="43"/>
  <c r="HJ327" i="43" s="1"/>
  <c r="DI327" i="43" s="1"/>
  <c r="GX328" i="43"/>
  <c r="GW328" i="43" s="1"/>
  <c r="GS328" i="43" s="1"/>
  <c r="HE328" i="43"/>
  <c r="HD328" i="43" s="1"/>
  <c r="GZ328" i="43" s="1"/>
  <c r="HL328" i="43"/>
  <c r="HK328" i="43" s="1"/>
  <c r="HG328" i="43" s="1"/>
  <c r="BD327" i="43"/>
  <c r="FF326" i="43"/>
  <c r="T323" i="45"/>
  <c r="AN327" i="43"/>
  <c r="GQ328" i="43"/>
  <c r="GP328" i="43" s="1"/>
  <c r="W323" i="45" l="1"/>
  <c r="Y323" i="45" s="1"/>
  <c r="BW327" i="43"/>
  <c r="CR327" i="43"/>
  <c r="DK327" i="43"/>
  <c r="GK327" i="43"/>
  <c r="GN327" i="43" s="1"/>
  <c r="GL328" i="43"/>
  <c r="GJ328" i="43" s="1"/>
  <c r="GM328" i="43" s="1"/>
  <c r="DY327" i="43"/>
  <c r="DZ327" i="43" s="1"/>
  <c r="AO327" i="43"/>
  <c r="AB323" i="45" l="1"/>
  <c r="AC323" i="45" s="1"/>
  <c r="Z323" i="45"/>
  <c r="HB327" i="43"/>
  <c r="HI327" i="43"/>
  <c r="GU327" i="43"/>
  <c r="FF327" i="43"/>
  <c r="T324" i="45"/>
  <c r="GO328" i="43"/>
  <c r="BB328" i="43" s="1"/>
  <c r="HH328" i="43"/>
  <c r="HJ328" i="43" s="1"/>
  <c r="DI328" i="43" s="1"/>
  <c r="GT328" i="43"/>
  <c r="GV328" i="43" s="1"/>
  <c r="BU328" i="43" s="1"/>
  <c r="HA328" i="43"/>
  <c r="HC328" i="43" s="1"/>
  <c r="CP328" i="43" s="1"/>
  <c r="W324" i="45" l="1"/>
  <c r="Y324" i="45" s="1"/>
  <c r="AA323" i="45"/>
  <c r="HL329" i="43"/>
  <c r="HK329" i="43" s="1"/>
  <c r="HG329" i="43" s="1"/>
  <c r="DK328" i="43"/>
  <c r="BD328" i="43"/>
  <c r="HE329" i="43"/>
  <c r="HD329" i="43" s="1"/>
  <c r="GZ329" i="43" s="1"/>
  <c r="CR328" i="43"/>
  <c r="GX329" i="43"/>
  <c r="GW329" i="43" s="1"/>
  <c r="GS329" i="43" s="1"/>
  <c r="BW328" i="43"/>
  <c r="GK328" i="43"/>
  <c r="AN328" i="43"/>
  <c r="GQ329" i="43"/>
  <c r="GP329" i="43" s="1"/>
  <c r="GL329" i="43" s="1"/>
  <c r="AB324" i="45" l="1"/>
  <c r="AC324" i="45" s="1"/>
  <c r="Z324" i="45"/>
  <c r="GJ329" i="43"/>
  <c r="GM329" i="43" s="1"/>
  <c r="GO329" i="43" s="1"/>
  <c r="BB329" i="43" s="1"/>
  <c r="AO328" i="43"/>
  <c r="DY328" i="43"/>
  <c r="DZ328" i="43" s="1"/>
  <c r="GU328" i="43"/>
  <c r="GN328" i="43"/>
  <c r="HI328" i="43"/>
  <c r="HB328" i="43"/>
  <c r="AA324" i="45" l="1"/>
  <c r="BD329" i="43"/>
  <c r="FF328" i="43"/>
  <c r="T325" i="45"/>
  <c r="HA329" i="43"/>
  <c r="HC329" i="43" s="1"/>
  <c r="CP329" i="43" s="1"/>
  <c r="GT329" i="43"/>
  <c r="GV329" i="43" s="1"/>
  <c r="BU329" i="43" s="1"/>
  <c r="HH329" i="43"/>
  <c r="HJ329" i="43" s="1"/>
  <c r="DI329" i="43" s="1"/>
  <c r="W325" i="45" l="1"/>
  <c r="Y325" i="45" s="1"/>
  <c r="DK329" i="43"/>
  <c r="BW329" i="43"/>
  <c r="CR329" i="43"/>
  <c r="AN329" i="43"/>
  <c r="GK329" i="43"/>
  <c r="HI329" i="43" s="1"/>
  <c r="AB325" i="45" l="1"/>
  <c r="AC325" i="45" s="1"/>
  <c r="Z325" i="45"/>
  <c r="DY329" i="43"/>
  <c r="DZ329" i="43" s="1"/>
  <c r="AO329" i="43"/>
  <c r="GU329" i="43"/>
  <c r="GN329" i="43"/>
  <c r="HB329" i="43"/>
  <c r="AA325" i="45" l="1"/>
  <c r="FF329" i="43"/>
  <c r="T326" i="45"/>
  <c r="W326" i="45" l="1"/>
  <c r="Y326" i="45" s="1"/>
  <c r="Z326" i="45" l="1"/>
  <c r="AB326" i="45"/>
  <c r="AC326" i="45" s="1"/>
  <c r="AA326" i="45" l="1"/>
  <c r="X147" i="45" l="1"/>
  <c r="AA195" i="45" l="1"/>
  <c r="AA196" i="45" l="1"/>
  <c r="AA197" i="45" l="1"/>
  <c r="AA198" i="45" l="1"/>
  <c r="AA199" i="45" l="1"/>
  <c r="AA200" i="45" l="1"/>
  <c r="HS207" i="43" l="1"/>
  <c r="HU207" i="43" s="1"/>
  <c r="HV207" i="43" s="1"/>
  <c r="BA207" i="43" s="1"/>
  <c r="AU207" i="43" l="1"/>
  <c r="AZ207" i="43"/>
  <c r="AH207" i="43" l="1"/>
  <c r="EN207" i="43" s="1"/>
  <c r="V204" i="45"/>
  <c r="AI207" i="43" l="1"/>
  <c r="HZ207" i="43" s="1"/>
  <c r="EO207" i="43" l="1"/>
  <c r="D204" i="45"/>
  <c r="U204" i="45" s="1"/>
  <c r="ID207" i="43"/>
  <c r="IB207" i="43"/>
  <c r="HW207" i="43" l="1"/>
  <c r="IC207" i="43"/>
  <c r="HX207" i="43"/>
  <c r="BC13" i="43" l="1"/>
  <c r="DG13" i="43"/>
  <c r="W13" i="43"/>
  <c r="S13" i="43"/>
  <c r="X13" i="43" s="1"/>
  <c r="BN13" i="43"/>
  <c r="BP13" i="43" s="1"/>
  <c r="CI13" i="43"/>
  <c r="CK13" i="43" s="1"/>
  <c r="DB13" i="43"/>
  <c r="DD13" i="43" s="1"/>
  <c r="BT13" i="43"/>
  <c r="BS13" i="43" s="1"/>
  <c r="EB13" i="43"/>
  <c r="R13" i="43" s="1"/>
  <c r="CO13" i="43"/>
  <c r="CN13" i="43" s="1"/>
  <c r="Y13" i="43"/>
  <c r="Q13" i="43" s="1"/>
  <c r="L13" i="43" l="1"/>
  <c r="EH13" i="43"/>
  <c r="AU13" i="43"/>
  <c r="AH13" i="43" s="1"/>
  <c r="EN13" i="43" s="1"/>
  <c r="AA13" i="43"/>
  <c r="AB13" i="43"/>
  <c r="N13" i="43" l="1"/>
  <c r="FP13" i="43" s="1"/>
  <c r="AI13" i="43"/>
  <c r="D10" i="45" s="1"/>
  <c r="U10" i="45" s="1"/>
  <c r="IA13" i="43"/>
  <c r="HT13" i="43"/>
  <c r="HU13" i="43" s="1"/>
  <c r="HV13" i="43" s="1"/>
  <c r="BA13" i="43" s="1"/>
  <c r="AZ13" i="43" l="1"/>
  <c r="V10" i="45" s="1"/>
  <c r="AY13" i="43"/>
  <c r="AY14" i="43" s="1"/>
  <c r="AY15" i="43" s="1"/>
  <c r="AY16" i="43" s="1"/>
  <c r="AY17" i="43" s="1"/>
  <c r="AY18" i="43" s="1"/>
  <c r="AY19" i="43" s="1"/>
  <c r="AY20" i="43" s="1"/>
  <c r="AY21" i="43" s="1"/>
  <c r="AY22" i="43" s="1"/>
  <c r="AY23" i="43" s="1"/>
  <c r="AY24" i="43" s="1"/>
  <c r="AY25" i="43" s="1"/>
  <c r="AY26" i="43" s="1"/>
  <c r="AY27" i="43" s="1"/>
  <c r="AY28" i="43" s="1"/>
  <c r="AY29" i="43" s="1"/>
  <c r="AY30" i="43" s="1"/>
  <c r="AY31" i="43" s="1"/>
  <c r="AY32" i="43" s="1"/>
  <c r="AY33" i="43" s="1"/>
  <c r="AY34" i="43" s="1"/>
  <c r="AY35" i="43" s="1"/>
  <c r="AY36" i="43" s="1"/>
  <c r="AY37" i="43" s="1"/>
  <c r="AY38" i="43" s="1"/>
  <c r="AY39" i="43" s="1"/>
  <c r="AY40" i="43" s="1"/>
  <c r="AY41" i="43" s="1"/>
  <c r="AY42" i="43" s="1"/>
  <c r="AY43" i="43" s="1"/>
  <c r="AY44" i="43" s="1"/>
  <c r="AY45" i="43" s="1"/>
  <c r="AY46" i="43" s="1"/>
  <c r="AY47" i="43" s="1"/>
  <c r="AY48" i="43" s="1"/>
  <c r="AY49" i="43" s="1"/>
  <c r="AY50" i="43" s="1"/>
  <c r="AY51" i="43" s="1"/>
  <c r="AY52" i="43" s="1"/>
  <c r="AY53" i="43" s="1"/>
  <c r="AY54" i="43" s="1"/>
  <c r="AY55" i="43" s="1"/>
  <c r="AY56" i="43" s="1"/>
  <c r="AY57" i="43" s="1"/>
  <c r="AY58" i="43" s="1"/>
  <c r="AY59" i="43" s="1"/>
  <c r="AY60" i="43" s="1"/>
  <c r="AY61" i="43" s="1"/>
  <c r="AY62" i="43" s="1"/>
  <c r="AY63" i="43" s="1"/>
  <c r="AY64" i="43" s="1"/>
  <c r="AY65" i="43" s="1"/>
  <c r="AY66" i="43" s="1"/>
  <c r="AY67" i="43" s="1"/>
  <c r="AY68" i="43" s="1"/>
  <c r="AY69" i="43" s="1"/>
  <c r="AY70" i="43" s="1"/>
  <c r="AY71" i="43" s="1"/>
  <c r="AY72" i="43" s="1"/>
  <c r="AY73" i="43" s="1"/>
  <c r="AY74" i="43" s="1"/>
  <c r="AY75" i="43" s="1"/>
  <c r="AY76" i="43" s="1"/>
  <c r="AY77" i="43" s="1"/>
  <c r="AY78" i="43" s="1"/>
  <c r="AY79" i="43" s="1"/>
  <c r="AY80" i="43" s="1"/>
  <c r="AY81" i="43" s="1"/>
  <c r="AY82" i="43" s="1"/>
  <c r="AY83" i="43" s="1"/>
  <c r="AY84" i="43" s="1"/>
  <c r="AY85" i="43" s="1"/>
  <c r="AY86" i="43" s="1"/>
  <c r="AY87" i="43" s="1"/>
  <c r="AY88" i="43" s="1"/>
  <c r="AY89" i="43" s="1"/>
  <c r="AY90" i="43" s="1"/>
  <c r="AY91" i="43" s="1"/>
  <c r="AY92" i="43" s="1"/>
  <c r="AY93" i="43" s="1"/>
  <c r="AY94" i="43" s="1"/>
  <c r="AY95" i="43" s="1"/>
  <c r="AY96" i="43" s="1"/>
  <c r="AY97" i="43" s="1"/>
  <c r="AY98" i="43" s="1"/>
  <c r="AY99" i="43" s="1"/>
  <c r="AY100" i="43" s="1"/>
  <c r="AY101" i="43" s="1"/>
  <c r="AY102" i="43" s="1"/>
  <c r="AY103" i="43" s="1"/>
  <c r="AY104" i="43" s="1"/>
  <c r="AY105" i="43" s="1"/>
  <c r="AY106" i="43" s="1"/>
  <c r="AY107" i="43" s="1"/>
  <c r="AY108" i="43" s="1"/>
  <c r="AY109" i="43" s="1"/>
  <c r="AY110" i="43" s="1"/>
  <c r="AY111" i="43" s="1"/>
  <c r="AY112" i="43" s="1"/>
  <c r="AY113" i="43" s="1"/>
  <c r="AY114" i="43" s="1"/>
  <c r="AY115" i="43" s="1"/>
  <c r="AY116" i="43" s="1"/>
  <c r="AY117" i="43" s="1"/>
  <c r="AY118" i="43" s="1"/>
  <c r="AY119" i="43" s="1"/>
  <c r="AY120" i="43" s="1"/>
  <c r="AY121" i="43" s="1"/>
  <c r="AY122" i="43" s="1"/>
  <c r="AY123" i="43" s="1"/>
  <c r="AY124" i="43" s="1"/>
  <c r="AY125" i="43" s="1"/>
  <c r="AY126" i="43" s="1"/>
  <c r="AY127" i="43" s="1"/>
  <c r="AY128" i="43" s="1"/>
  <c r="AY129" i="43" s="1"/>
  <c r="AY130" i="43" s="1"/>
  <c r="AY131" i="43" s="1"/>
  <c r="AY132" i="43" s="1"/>
  <c r="AY133" i="43" s="1"/>
  <c r="AY134" i="43" s="1"/>
  <c r="AY135" i="43" s="1"/>
  <c r="AY136" i="43" s="1"/>
  <c r="AY137" i="43" s="1"/>
  <c r="AY138" i="43" s="1"/>
  <c r="AY139" i="43" s="1"/>
  <c r="AY140" i="43" s="1"/>
  <c r="AY141" i="43" s="1"/>
  <c r="AY142" i="43" s="1"/>
  <c r="AY143" i="43" s="1"/>
  <c r="AY144" i="43" s="1"/>
  <c r="AY145" i="43" s="1"/>
  <c r="AY146" i="43" s="1"/>
  <c r="AY147" i="43" s="1"/>
  <c r="AY148" i="43" s="1"/>
  <c r="AY149" i="43" s="1"/>
  <c r="AY150" i="43" s="1"/>
  <c r="AY151" i="43" s="1"/>
  <c r="AY152" i="43" s="1"/>
  <c r="AY153" i="43" s="1"/>
  <c r="AY154" i="43" s="1"/>
  <c r="AY155" i="43" s="1"/>
  <c r="AY156" i="43" s="1"/>
  <c r="AY157" i="43" s="1"/>
  <c r="AY158" i="43" s="1"/>
  <c r="AY159" i="43" s="1"/>
  <c r="AY160" i="43" s="1"/>
  <c r="AY161" i="43" s="1"/>
  <c r="AY162" i="43" s="1"/>
  <c r="AY163" i="43" s="1"/>
  <c r="AY164" i="43" s="1"/>
  <c r="AY165" i="43" s="1"/>
  <c r="AY166" i="43" s="1"/>
  <c r="AY167" i="43" s="1"/>
  <c r="AY168" i="43" s="1"/>
  <c r="AY169" i="43" s="1"/>
  <c r="AY170" i="43" s="1"/>
  <c r="AY171" i="43" s="1"/>
  <c r="AY172" i="43" s="1"/>
  <c r="AY173" i="43" s="1"/>
  <c r="AY174" i="43" s="1"/>
  <c r="AY175" i="43" s="1"/>
  <c r="AY176" i="43" s="1"/>
  <c r="AY177" i="43" s="1"/>
  <c r="AY178" i="43" s="1"/>
  <c r="AY179" i="43" s="1"/>
  <c r="AY180" i="43" s="1"/>
  <c r="AY181" i="43" s="1"/>
  <c r="AY182" i="43" s="1"/>
  <c r="AY183" i="43" s="1"/>
  <c r="AY184" i="43" s="1"/>
  <c r="AY185" i="43" s="1"/>
  <c r="AY186" i="43" s="1"/>
  <c r="HZ13" i="43"/>
  <c r="IB13" i="43" s="1"/>
  <c r="EO13" i="43"/>
  <c r="ID13" i="43" l="1"/>
  <c r="IC13" i="43"/>
  <c r="HX13" i="43"/>
  <c r="HW13" i="43"/>
  <c r="L221" i="43"/>
  <c r="N221" i="43" l="1"/>
  <c r="FP221" i="43" s="1"/>
  <c r="Q221" i="43" l="1"/>
  <c r="AB221" i="43" s="1"/>
  <c r="AA221" i="43" l="1"/>
  <c r="HT221" i="43"/>
  <c r="HU221" i="43" s="1"/>
  <c r="HV221" i="43" s="1"/>
  <c r="BA221" i="43" s="1"/>
  <c r="IA221" i="43"/>
  <c r="AZ221" i="43" l="1"/>
  <c r="AU221" i="43"/>
  <c r="V218" i="45" l="1"/>
  <c r="AH221" i="43"/>
  <c r="AI221" i="43" l="1"/>
  <c r="EN221" i="43"/>
  <c r="EO221" i="43" l="1"/>
  <c r="D218" i="45"/>
  <c r="U218" i="45" s="1"/>
  <c r="HZ221" i="43"/>
  <c r="IB221" i="43" l="1"/>
  <c r="ID221" i="43"/>
  <c r="IC221" i="43" l="1"/>
  <c r="HX221" i="43"/>
  <c r="HW221" i="43"/>
  <c r="AA238" i="45" l="1"/>
  <c r="AA239" i="45" l="1"/>
  <c r="AA240" i="45" l="1"/>
  <c r="AA241" i="45" l="1"/>
  <c r="AA242" i="45" l="1"/>
  <c r="AA243" i="45" l="1"/>
  <c r="AA244" i="45" l="1"/>
  <c r="AA247" i="45" l="1"/>
  <c r="AA248" i="45" l="1"/>
  <c r="AA249" i="45" l="1"/>
  <c r="AA236" i="45" l="1"/>
  <c r="AA237" i="45"/>
  <c r="CO12" i="43" l="1"/>
  <c r="CN12" i="43" s="1"/>
  <c r="DG12" i="43"/>
  <c r="W12" i="43"/>
  <c r="BC12" i="43"/>
  <c r="DB12" i="43"/>
  <c r="CI12" i="43"/>
  <c r="S12" i="43"/>
  <c r="L12" i="43" s="1"/>
  <c r="EB12" i="43"/>
  <c r="BN12" i="43"/>
  <c r="BT12" i="43"/>
  <c r="BS12" i="43" s="1"/>
  <c r="Y12" i="43"/>
  <c r="Q12" i="43" s="1"/>
  <c r="CK12" i="43" l="1"/>
  <c r="HE12" i="43"/>
  <c r="HD12" i="43" s="1"/>
  <c r="BP12" i="43"/>
  <c r="GX12" i="43"/>
  <c r="GW12" i="43" s="1"/>
  <c r="DD12" i="43"/>
  <c r="HL12" i="43"/>
  <c r="HK12" i="43" s="1"/>
  <c r="N12" i="43"/>
  <c r="FP12" i="43" s="1"/>
  <c r="AU12" i="43"/>
  <c r="R12" i="43"/>
  <c r="X12" i="43"/>
  <c r="AA12" i="43"/>
  <c r="EH12" i="43" l="1"/>
  <c r="GS12" i="43"/>
  <c r="GZ12" i="43"/>
  <c r="AH12" i="43"/>
  <c r="AI12" i="43" s="1"/>
  <c r="HZ12" i="43" s="1"/>
  <c r="GQ12" i="43"/>
  <c r="GP12" i="43" s="1"/>
  <c r="GL12" i="43" s="1"/>
  <c r="HG12" i="43"/>
  <c r="GJ12" i="43" l="1"/>
  <c r="GM12" i="43" s="1"/>
  <c r="GO12" i="43" s="1"/>
  <c r="BB12" i="43" s="1"/>
  <c r="EO12" i="43"/>
  <c r="D9" i="45"/>
  <c r="U9" i="45" s="1"/>
  <c r="EN12" i="43"/>
  <c r="ID12" i="43"/>
  <c r="IB12" i="43"/>
  <c r="HA12" i="43" l="1"/>
  <c r="HC12" i="43" s="1"/>
  <c r="CP12" i="43" s="1"/>
  <c r="CR12" i="43" s="1"/>
  <c r="GT12" i="43"/>
  <c r="GV12" i="43" s="1"/>
  <c r="BU12" i="43" s="1"/>
  <c r="BW12" i="43" s="1"/>
  <c r="HH12" i="43"/>
  <c r="HJ12" i="43" s="1"/>
  <c r="DI12" i="43" s="1"/>
  <c r="DK12" i="43" s="1"/>
  <c r="GX13" i="43"/>
  <c r="GW13" i="43" s="1"/>
  <c r="AN12" i="43"/>
  <c r="GQ13" i="43"/>
  <c r="GP13" i="43" s="1"/>
  <c r="BD12" i="43"/>
  <c r="AW9" i="45"/>
  <c r="HL13" i="43"/>
  <c r="HK13" i="43" s="1"/>
  <c r="HG13" i="43" s="1"/>
  <c r="HE13" i="43"/>
  <c r="HD13" i="43" s="1"/>
  <c r="HW12" i="43"/>
  <c r="HX12" i="43"/>
  <c r="IC12" i="43"/>
  <c r="AA246" i="45"/>
  <c r="AA245" i="45"/>
  <c r="GK12" i="43" l="1"/>
  <c r="GN12" i="43" s="1"/>
  <c r="AO12" i="43"/>
  <c r="DY12" i="43"/>
  <c r="DZ12" i="43" s="1"/>
  <c r="GZ13" i="43"/>
  <c r="GS13" i="43"/>
  <c r="GL13" i="43"/>
  <c r="GU12" i="43" l="1"/>
  <c r="HB12" i="43"/>
  <c r="HI12" i="43"/>
  <c r="GJ13" i="43"/>
  <c r="HH13" i="43" s="1"/>
  <c r="HJ13" i="43" s="1"/>
  <c r="DI13" i="43" s="1"/>
  <c r="DK13" i="43" s="1"/>
  <c r="FF12" i="43"/>
  <c r="T9" i="45"/>
  <c r="AB9" i="45" s="1"/>
  <c r="HL14" i="43"/>
  <c r="HK14" i="43" s="1"/>
  <c r="T39" i="22"/>
  <c r="L39" i="22"/>
  <c r="E41" i="22"/>
  <c r="P39" i="22"/>
  <c r="Q39" i="22"/>
  <c r="H41" i="22"/>
  <c r="M39" i="22"/>
  <c r="M41" i="22" s="1"/>
  <c r="I41" i="22"/>
  <c r="K39" i="22"/>
  <c r="K41" i="22" s="1"/>
  <c r="S41" i="22"/>
  <c r="HA13" i="43" l="1"/>
  <c r="HC13" i="43" s="1"/>
  <c r="CP13" i="43" s="1"/>
  <c r="CR13" i="43" s="1"/>
  <c r="GT13" i="43"/>
  <c r="GV13" i="43" s="1"/>
  <c r="BU13" i="43" s="1"/>
  <c r="BW13" i="43" s="1"/>
  <c r="GM13" i="43"/>
  <c r="GO13" i="43" s="1"/>
  <c r="BB13" i="43" s="1"/>
  <c r="HE14" i="43"/>
  <c r="HD14" i="43" s="1"/>
  <c r="GX14" i="43"/>
  <c r="GW14" i="43" s="1"/>
  <c r="HG14" i="43"/>
  <c r="AC9" i="45"/>
  <c r="AA9" i="45"/>
  <c r="P41" i="22"/>
  <c r="F39" i="22"/>
  <c r="B41" i="22"/>
  <c r="J39" i="22"/>
  <c r="D41" i="22"/>
  <c r="C41" i="22"/>
  <c r="G39" i="22"/>
  <c r="S43" i="22" s="1"/>
  <c r="K43" i="22" l="1"/>
  <c r="GK13" i="43"/>
  <c r="GU13" i="43" s="1"/>
  <c r="AW10" i="45"/>
  <c r="AN13" i="43"/>
  <c r="GQ14" i="43"/>
  <c r="GP14" i="43" s="1"/>
  <c r="BD13" i="43"/>
  <c r="GS14" i="43"/>
  <c r="GZ14" i="43"/>
  <c r="B43" i="22"/>
  <c r="C43" i="22"/>
  <c r="H43" i="22"/>
  <c r="G47" i="22"/>
  <c r="G48" i="22"/>
  <c r="F47" i="22"/>
  <c r="F48" i="22"/>
  <c r="M43" i="22"/>
  <c r="D43" i="22"/>
  <c r="I43" i="22"/>
  <c r="G43" i="22"/>
  <c r="G41" i="22"/>
  <c r="P43" i="22"/>
  <c r="E43" i="22"/>
  <c r="J41" i="22"/>
  <c r="J43" i="22"/>
  <c r="R39" i="22"/>
  <c r="N39" i="22"/>
  <c r="GN13" i="43" l="1"/>
  <c r="HB13" i="43"/>
  <c r="HI13" i="43"/>
  <c r="GL14" i="43"/>
  <c r="GJ14" i="43" s="1"/>
  <c r="GM14" i="43" s="1"/>
  <c r="AO13" i="43"/>
  <c r="DY13" i="43"/>
  <c r="DZ13" i="43" s="1"/>
  <c r="O39" i="22"/>
  <c r="GO14" i="43" l="1"/>
  <c r="BB14" i="43" s="1"/>
  <c r="FF13" i="43"/>
  <c r="T10" i="45"/>
  <c r="AB10" i="45" s="1"/>
  <c r="HH14" i="43"/>
  <c r="HJ14" i="43" s="1"/>
  <c r="DI14" i="43" s="1"/>
  <c r="GT14" i="43"/>
  <c r="GV14" i="43" s="1"/>
  <c r="BU14" i="43" s="1"/>
  <c r="HA14" i="43"/>
  <c r="HC14" i="43" s="1"/>
  <c r="CP14" i="43" s="1"/>
  <c r="BC328" i="43"/>
  <c r="DG360" i="43"/>
  <c r="DG345" i="43"/>
  <c r="EB335" i="43"/>
  <c r="R335" i="43" s="1"/>
  <c r="CO357" i="43"/>
  <c r="CN357" i="43" s="1"/>
  <c r="W366" i="43"/>
  <c r="BC366" i="43"/>
  <c r="EB366" i="43"/>
  <c r="R366" i="43" s="1"/>
  <c r="DB333" i="43"/>
  <c r="DD333" i="43" s="1"/>
  <c r="EB333" i="43"/>
  <c r="R333" i="43" s="1"/>
  <c r="BN366" i="43"/>
  <c r="BP366" i="43" s="1"/>
  <c r="BT360" i="43"/>
  <c r="BS360" i="43" s="1"/>
  <c r="EB326" i="43"/>
  <c r="R326" i="43" s="1"/>
  <c r="BT369" i="43"/>
  <c r="BS369" i="43" s="1"/>
  <c r="BT366" i="43"/>
  <c r="BS366" i="43" s="1"/>
  <c r="DB345" i="43"/>
  <c r="DD345" i="43" s="1"/>
  <c r="BN319" i="43"/>
  <c r="DB372" i="43"/>
  <c r="DD372" i="43" s="1"/>
  <c r="DB355" i="43"/>
  <c r="DD355" i="43" s="1"/>
  <c r="S367" i="43"/>
  <c r="BN355" i="43"/>
  <c r="BP355" i="43" s="1"/>
  <c r="S348" i="43"/>
  <c r="CI368" i="43"/>
  <c r="CK368" i="43" s="1"/>
  <c r="DB335" i="43"/>
  <c r="DD335" i="43" s="1"/>
  <c r="S342" i="43"/>
  <c r="L342" i="43" s="1"/>
  <c r="N342" i="43" s="1"/>
  <c r="FP342" i="43" s="1"/>
  <c r="CI355" i="43"/>
  <c r="CK355" i="43" s="1"/>
  <c r="S361" i="43"/>
  <c r="X361" i="43" s="1"/>
  <c r="CI373" i="43"/>
  <c r="CK373" i="43" s="1"/>
  <c r="BN349" i="43"/>
  <c r="BP349" i="43" s="1"/>
  <c r="CO372" i="43"/>
  <c r="CN372" i="43" s="1"/>
  <c r="BN368" i="43"/>
  <c r="BP368" i="43" s="1"/>
  <c r="S337" i="43"/>
  <c r="Y366" i="43"/>
  <c r="Q366" i="43" s="1"/>
  <c r="AB366" i="43" s="1"/>
  <c r="IA366" i="43" s="1"/>
  <c r="Y317" i="43"/>
  <c r="Q317" i="43" s="1"/>
  <c r="Y373" i="43"/>
  <c r="CO373" i="43"/>
  <c r="CN373" i="43" s="1"/>
  <c r="Y333" i="43"/>
  <c r="BN365" i="43"/>
  <c r="BP365" i="43" s="1"/>
  <c r="CI353" i="43"/>
  <c r="CK353" i="43" s="1"/>
  <c r="CI352" i="43"/>
  <c r="CK352" i="43" s="1"/>
  <c r="Y355" i="43"/>
  <c r="DB330" i="43"/>
  <c r="DD330" i="43" s="1"/>
  <c r="Y341" i="43"/>
  <c r="Q341" i="43" s="1"/>
  <c r="DB346" i="43"/>
  <c r="DD346" i="43" s="1"/>
  <c r="DB349" i="43"/>
  <c r="DD349" i="43" s="1"/>
  <c r="Y347" i="43"/>
  <c r="Y361" i="43"/>
  <c r="BC361" i="43"/>
  <c r="Y346" i="43"/>
  <c r="Y348" i="43"/>
  <c r="Q348" i="43" s="1"/>
  <c r="CI336" i="43"/>
  <c r="CK336" i="43" s="1"/>
  <c r="Y352" i="43"/>
  <c r="Q352" i="43" s="1"/>
  <c r="Y330" i="43"/>
  <c r="Y319" i="43"/>
  <c r="CI319" i="43"/>
  <c r="Y342" i="43"/>
  <c r="CO359" i="43"/>
  <c r="CN359" i="43" s="1"/>
  <c r="Y359" i="43"/>
  <c r="BN378" i="43"/>
  <c r="BP378" i="43" s="1"/>
  <c r="Y360" i="43"/>
  <c r="BN360" i="43"/>
  <c r="BP360" i="43" s="1"/>
  <c r="Y335" i="43"/>
  <c r="Q335" i="43" s="1"/>
  <c r="Y344" i="43"/>
  <c r="Y370" i="43"/>
  <c r="CI327" i="43"/>
  <c r="CK327" i="43" s="1"/>
  <c r="Y340" i="43"/>
  <c r="Q340" i="43" s="1"/>
  <c r="Y364" i="43"/>
  <c r="Q364" i="43" s="1"/>
  <c r="Y367" i="43"/>
  <c r="CI356" i="43"/>
  <c r="CK356" i="43" s="1"/>
  <c r="Y357" i="43"/>
  <c r="Y351" i="43"/>
  <c r="Q351" i="43" s="1"/>
  <c r="CI351" i="43"/>
  <c r="CK351" i="43" s="1"/>
  <c r="Y349" i="43"/>
  <c r="Q349" i="43" s="1"/>
  <c r="AB349" i="43" s="1"/>
  <c r="CI349" i="43"/>
  <c r="CK349" i="43" s="1"/>
  <c r="Y353" i="43"/>
  <c r="S369" i="43"/>
  <c r="Y369" i="43"/>
  <c r="Y374" i="43"/>
  <c r="Y329" i="43"/>
  <c r="CI332" i="43"/>
  <c r="CK332" i="43" s="1"/>
  <c r="Y343" i="43"/>
  <c r="CI343" i="43"/>
  <c r="CK343" i="43" s="1"/>
  <c r="CI363" i="43"/>
  <c r="CK363" i="43" s="1"/>
  <c r="Y363" i="43"/>
  <c r="Q363" i="43" s="1"/>
  <c r="Y376" i="43"/>
  <c r="Q376" i="43" s="1"/>
  <c r="Y322" i="43"/>
  <c r="Y334" i="43"/>
  <c r="Q334" i="43" s="1"/>
  <c r="Y380" i="43"/>
  <c r="Q380" i="43" s="1"/>
  <c r="Y379" i="43"/>
  <c r="Q379" i="43" s="1"/>
  <c r="Y328" i="43"/>
  <c r="Y375" i="43"/>
  <c r="Y345" i="43"/>
  <c r="CI372" i="43"/>
  <c r="CK372" i="43" s="1"/>
  <c r="Y339" i="43"/>
  <c r="Q339" i="43" s="1"/>
  <c r="Y356" i="43"/>
  <c r="EB356" i="43"/>
  <c r="R356" i="43" s="1"/>
  <c r="Y327" i="43"/>
  <c r="Q342" i="43" l="1"/>
  <c r="AB342" i="43" s="1"/>
  <c r="CR14" i="43"/>
  <c r="HE15" i="43"/>
  <c r="HD15" i="43" s="1"/>
  <c r="GZ15" i="43" s="1"/>
  <c r="AA10" i="45"/>
  <c r="AC10" i="45"/>
  <c r="BW14" i="43"/>
  <c r="GX15" i="43"/>
  <c r="GW15" i="43" s="1"/>
  <c r="GQ15" i="43"/>
  <c r="GP15" i="43" s="1"/>
  <c r="AN14" i="43"/>
  <c r="BD14" i="43"/>
  <c r="AW11" i="45"/>
  <c r="DK14" i="43"/>
  <c r="HL15" i="43"/>
  <c r="HK15" i="43" s="1"/>
  <c r="GK14" i="43"/>
  <c r="CK319" i="43"/>
  <c r="BP319" i="43"/>
  <c r="AB376" i="43"/>
  <c r="AB340" i="43"/>
  <c r="AB339" i="43"/>
  <c r="AB363" i="43"/>
  <c r="AB351" i="43"/>
  <c r="AB348" i="43"/>
  <c r="AA348" i="43"/>
  <c r="AB379" i="43"/>
  <c r="X337" i="43"/>
  <c r="L337" i="43"/>
  <c r="N337" i="43" s="1"/>
  <c r="FP337" i="43" s="1"/>
  <c r="AB334" i="43"/>
  <c r="AB335" i="43"/>
  <c r="X369" i="43"/>
  <c r="L369" i="43"/>
  <c r="N369" i="43" s="1"/>
  <c r="FP369" i="43" s="1"/>
  <c r="AB364" i="43"/>
  <c r="BC325" i="43"/>
  <c r="EB325" i="43"/>
  <c r="R325" i="43" s="1"/>
  <c r="DB325" i="43"/>
  <c r="DD325" i="43" s="1"/>
  <c r="CI325" i="43"/>
  <c r="CK325" i="43" s="1"/>
  <c r="BT325" i="43"/>
  <c r="BS325" i="43" s="1"/>
  <c r="CO325" i="43"/>
  <c r="CN325" i="43" s="1"/>
  <c r="W325" i="43"/>
  <c r="S325" i="43"/>
  <c r="DG325" i="43"/>
  <c r="DG354" i="43"/>
  <c r="EB354" i="43"/>
  <c r="R354" i="43" s="1"/>
  <c r="CO354" i="43"/>
  <c r="CN354" i="43" s="1"/>
  <c r="S354" i="43"/>
  <c r="BT354" i="43"/>
  <c r="BS354" i="43" s="1"/>
  <c r="W354" i="43"/>
  <c r="BC354" i="43"/>
  <c r="BN354" i="43"/>
  <c r="BP354" i="43" s="1"/>
  <c r="DB354" i="43"/>
  <c r="DD354" i="43" s="1"/>
  <c r="DG331" i="43"/>
  <c r="W331" i="43"/>
  <c r="BT331" i="43"/>
  <c r="BS331" i="43" s="1"/>
  <c r="BC331" i="43"/>
  <c r="CO331" i="43"/>
  <c r="CN331" i="43" s="1"/>
  <c r="EB331" i="43"/>
  <c r="R331" i="43" s="1"/>
  <c r="DB331" i="43"/>
  <c r="DD331" i="43" s="1"/>
  <c r="S331" i="43"/>
  <c r="W358" i="43"/>
  <c r="BC358" i="43"/>
  <c r="BN358" i="43"/>
  <c r="BP358" i="43" s="1"/>
  <c r="CO358" i="43"/>
  <c r="CN358" i="43" s="1"/>
  <c r="EB358" i="43"/>
  <c r="R358" i="43" s="1"/>
  <c r="BT358" i="43"/>
  <c r="BS358" i="43" s="1"/>
  <c r="DB358" i="43"/>
  <c r="DD358" i="43" s="1"/>
  <c r="CI358" i="43"/>
  <c r="CK358" i="43" s="1"/>
  <c r="S358" i="43"/>
  <c r="DG362" i="43"/>
  <c r="BC362" i="43"/>
  <c r="CO362" i="43"/>
  <c r="CN362" i="43" s="1"/>
  <c r="BN362" i="43"/>
  <c r="BP362" i="43" s="1"/>
  <c r="EB362" i="43"/>
  <c r="R362" i="43" s="1"/>
  <c r="BT362" i="43"/>
  <c r="BS362" i="43" s="1"/>
  <c r="DB362" i="43"/>
  <c r="DD362" i="43" s="1"/>
  <c r="BC371" i="43"/>
  <c r="BT371" i="43"/>
  <c r="BS371" i="43" s="1"/>
  <c r="W371" i="43"/>
  <c r="DG371" i="43"/>
  <c r="EB371" i="43"/>
  <c r="R371" i="43" s="1"/>
  <c r="DB371" i="43"/>
  <c r="DD371" i="43" s="1"/>
  <c r="W381" i="43"/>
  <c r="DG381" i="43"/>
  <c r="CO381" i="43"/>
  <c r="CN381" i="43" s="1"/>
  <c r="BN381" i="43"/>
  <c r="BP381" i="43" s="1"/>
  <c r="EB381" i="43"/>
  <c r="R381" i="43" s="1"/>
  <c r="S381" i="43"/>
  <c r="DB381" i="43"/>
  <c r="DD381" i="43" s="1"/>
  <c r="W321" i="43"/>
  <c r="BT321" i="43"/>
  <c r="BS321" i="43" s="1"/>
  <c r="CO321" i="43"/>
  <c r="CN321" i="43" s="1"/>
  <c r="EB321" i="43"/>
  <c r="R321" i="43" s="1"/>
  <c r="BN321" i="43"/>
  <c r="BP321" i="43" s="1"/>
  <c r="BC321" i="43"/>
  <c r="CI321" i="43"/>
  <c r="CK321" i="43" s="1"/>
  <c r="DB321" i="43"/>
  <c r="DD321" i="43" s="1"/>
  <c r="DG321" i="43"/>
  <c r="CO338" i="43"/>
  <c r="CN338" i="43" s="1"/>
  <c r="DG338" i="43"/>
  <c r="BT338" i="43"/>
  <c r="BS338" i="43" s="1"/>
  <c r="BC338" i="43"/>
  <c r="S338" i="43"/>
  <c r="Y338" i="43"/>
  <c r="Q338" i="43" s="1"/>
  <c r="BN338" i="43"/>
  <c r="BP338" i="43" s="1"/>
  <c r="W350" i="43"/>
  <c r="EB350" i="43"/>
  <c r="R350" i="43" s="1"/>
  <c r="S350" i="43"/>
  <c r="BN350" i="43"/>
  <c r="BP350" i="43" s="1"/>
  <c r="DG350" i="43"/>
  <c r="BT350" i="43"/>
  <c r="BS350" i="43" s="1"/>
  <c r="Y350" i="43"/>
  <c r="Q350" i="43" s="1"/>
  <c r="DB350" i="43"/>
  <c r="DD350" i="43" s="1"/>
  <c r="L348" i="43"/>
  <c r="N348" i="43" s="1"/>
  <c r="FP348" i="43" s="1"/>
  <c r="X348" i="43"/>
  <c r="DB375" i="43"/>
  <c r="DD375" i="43" s="1"/>
  <c r="EB339" i="43"/>
  <c r="R339" i="43" s="1"/>
  <c r="AB352" i="43"/>
  <c r="BC381" i="43"/>
  <c r="BT372" i="43"/>
  <c r="BS372" i="43" s="1"/>
  <c r="BN372" i="43"/>
  <c r="BP372" i="43" s="1"/>
  <c r="EB372" i="43"/>
  <c r="R372" i="43" s="1"/>
  <c r="W372" i="43"/>
  <c r="DG372" i="43"/>
  <c r="S372" i="43"/>
  <c r="W329" i="43"/>
  <c r="BC329" i="43"/>
  <c r="S329" i="43"/>
  <c r="CO329" i="43"/>
  <c r="CN329" i="43" s="1"/>
  <c r="EB329" i="43"/>
  <c r="R329" i="43" s="1"/>
  <c r="DG329" i="43"/>
  <c r="BT329" i="43"/>
  <c r="BS329" i="43" s="1"/>
  <c r="DG326" i="43"/>
  <c r="BC326" i="43"/>
  <c r="S326" i="43"/>
  <c r="W326" i="43"/>
  <c r="BN326" i="43"/>
  <c r="BP326" i="43" s="1"/>
  <c r="DB326" i="43"/>
  <c r="DD326" i="43" s="1"/>
  <c r="BT326" i="43"/>
  <c r="BS326" i="43" s="1"/>
  <c r="W348" i="43"/>
  <c r="BN348" i="43"/>
  <c r="BP348" i="43" s="1"/>
  <c r="CO348" i="43"/>
  <c r="CN348" i="43" s="1"/>
  <c r="BC348" i="43"/>
  <c r="DB348" i="43"/>
  <c r="DD348" i="43" s="1"/>
  <c r="EB348" i="43"/>
  <c r="R348" i="43" s="1"/>
  <c r="BT348" i="43"/>
  <c r="BS348" i="43" s="1"/>
  <c r="BC347" i="43"/>
  <c r="W347" i="43"/>
  <c r="CO347" i="43"/>
  <c r="CN347" i="43" s="1"/>
  <c r="DB347" i="43"/>
  <c r="DD347" i="43" s="1"/>
  <c r="EB347" i="43"/>
  <c r="R347" i="43" s="1"/>
  <c r="BN347" i="43"/>
  <c r="BP347" i="43" s="1"/>
  <c r="DG347" i="43"/>
  <c r="BT347" i="43"/>
  <c r="BS347" i="43" s="1"/>
  <c r="S347" i="43"/>
  <c r="CI347" i="43"/>
  <c r="CK347" i="43" s="1"/>
  <c r="AA317" i="43"/>
  <c r="AB317" i="43"/>
  <c r="CI338" i="43"/>
  <c r="CK338" i="43" s="1"/>
  <c r="BN371" i="43"/>
  <c r="BP371" i="43" s="1"/>
  <c r="S339" i="43"/>
  <c r="AB380" i="43"/>
  <c r="BN325" i="43"/>
  <c r="BP325" i="43" s="1"/>
  <c r="DB338" i="43"/>
  <c r="DD338" i="43" s="1"/>
  <c r="X319" i="43"/>
  <c r="L319" i="43"/>
  <c r="N319" i="43" s="1"/>
  <c r="W338" i="43"/>
  <c r="BN329" i="43"/>
  <c r="BP329" i="43" s="1"/>
  <c r="DG339" i="43"/>
  <c r="W327" i="43"/>
  <c r="S327" i="43"/>
  <c r="BC327" i="43"/>
  <c r="CO327" i="43"/>
  <c r="CN327" i="43" s="1"/>
  <c r="BT327" i="43"/>
  <c r="BS327" i="43" s="1"/>
  <c r="DG327" i="43"/>
  <c r="EB327" i="43"/>
  <c r="R327" i="43" s="1"/>
  <c r="Y325" i="43"/>
  <c r="EB334" i="43"/>
  <c r="R334" i="43" s="1"/>
  <c r="BC334" i="43"/>
  <c r="CO334" i="43"/>
  <c r="CN334" i="43" s="1"/>
  <c r="BT334" i="43"/>
  <c r="BS334" i="43" s="1"/>
  <c r="DB334" i="43"/>
  <c r="DD334" i="43" s="1"/>
  <c r="W334" i="43"/>
  <c r="BN334" i="43"/>
  <c r="BP334" i="43" s="1"/>
  <c r="DG334" i="43"/>
  <c r="Y354" i="43"/>
  <c r="Y332" i="43"/>
  <c r="BC374" i="43"/>
  <c r="EB374" i="43"/>
  <c r="R374" i="43" s="1"/>
  <c r="CO374" i="43"/>
  <c r="CN374" i="43" s="1"/>
  <c r="S374" i="43"/>
  <c r="DG374" i="43"/>
  <c r="DB374" i="43"/>
  <c r="DD374" i="43" s="1"/>
  <c r="BN374" i="43"/>
  <c r="BP374" i="43" s="1"/>
  <c r="W374" i="43"/>
  <c r="CI374" i="43"/>
  <c r="CK374" i="43" s="1"/>
  <c r="DB353" i="43"/>
  <c r="DD353" i="43" s="1"/>
  <c r="CO353" i="43"/>
  <c r="CN353" i="43" s="1"/>
  <c r="S353" i="43"/>
  <c r="BT353" i="43"/>
  <c r="BS353" i="43" s="1"/>
  <c r="BC353" i="43"/>
  <c r="W353" i="43"/>
  <c r="DG353" i="43"/>
  <c r="BN353" i="43"/>
  <c r="BP353" i="43" s="1"/>
  <c r="BC351" i="43"/>
  <c r="W351" i="43"/>
  <c r="CO351" i="43"/>
  <c r="CN351" i="43" s="1"/>
  <c r="DG351" i="43"/>
  <c r="S351" i="43"/>
  <c r="EB351" i="43"/>
  <c r="R351" i="43" s="1"/>
  <c r="BN351" i="43"/>
  <c r="BP351" i="43" s="1"/>
  <c r="BT351" i="43"/>
  <c r="BS351" i="43" s="1"/>
  <c r="BT335" i="43"/>
  <c r="BS335" i="43" s="1"/>
  <c r="BC335" i="43"/>
  <c r="DG335" i="43"/>
  <c r="CO335" i="43"/>
  <c r="CN335" i="43" s="1"/>
  <c r="W335" i="43"/>
  <c r="S335" i="43"/>
  <c r="AA335" i="43" s="1"/>
  <c r="CI335" i="43"/>
  <c r="CK335" i="43" s="1"/>
  <c r="Y378" i="43"/>
  <c r="Q378" i="43" s="1"/>
  <c r="CI362" i="43"/>
  <c r="CK362" i="43" s="1"/>
  <c r="DG342" i="43"/>
  <c r="W342" i="43"/>
  <c r="BT342" i="43"/>
  <c r="BS342" i="43" s="1"/>
  <c r="EB342" i="43"/>
  <c r="R342" i="43" s="1"/>
  <c r="CO342" i="43"/>
  <c r="CN342" i="43" s="1"/>
  <c r="DB342" i="43"/>
  <c r="DD342" i="43" s="1"/>
  <c r="CO330" i="43"/>
  <c r="CN330" i="43" s="1"/>
  <c r="BT330" i="43"/>
  <c r="BS330" i="43" s="1"/>
  <c r="DG330" i="43"/>
  <c r="S330" i="43"/>
  <c r="BC330" i="43"/>
  <c r="EB330" i="43"/>
  <c r="R330" i="43" s="1"/>
  <c r="W330" i="43"/>
  <c r="BN330" i="43"/>
  <c r="BP330" i="43" s="1"/>
  <c r="CO352" i="43"/>
  <c r="CN352" i="43" s="1"/>
  <c r="W352" i="43"/>
  <c r="BT352" i="43"/>
  <c r="BS352" i="43" s="1"/>
  <c r="DG352" i="43"/>
  <c r="BC352" i="43"/>
  <c r="EB352" i="43"/>
  <c r="R352" i="43" s="1"/>
  <c r="DB352" i="43"/>
  <c r="DD352" i="43" s="1"/>
  <c r="S352" i="43"/>
  <c r="AA352" i="43" s="1"/>
  <c r="Y371" i="43"/>
  <c r="CO346" i="43"/>
  <c r="CN346" i="43" s="1"/>
  <c r="BT346" i="43"/>
  <c r="BS346" i="43" s="1"/>
  <c r="DG346" i="43"/>
  <c r="BN346" i="43"/>
  <c r="BP346" i="43" s="1"/>
  <c r="EB346" i="43"/>
  <c r="R346" i="43" s="1"/>
  <c r="W346" i="43"/>
  <c r="BC346" i="43"/>
  <c r="S346" i="43"/>
  <c r="CI346" i="43"/>
  <c r="CK346" i="43" s="1"/>
  <c r="CI361" i="43"/>
  <c r="CK361" i="43" s="1"/>
  <c r="Y381" i="43"/>
  <c r="Q381" i="43" s="1"/>
  <c r="DB359" i="43"/>
  <c r="DD359" i="43" s="1"/>
  <c r="DB360" i="43"/>
  <c r="DD360" i="43" s="1"/>
  <c r="BC341" i="43"/>
  <c r="BT341" i="43"/>
  <c r="BS341" i="43" s="1"/>
  <c r="W341" i="43"/>
  <c r="CO341" i="43"/>
  <c r="CN341" i="43" s="1"/>
  <c r="BN341" i="43"/>
  <c r="BP341" i="43" s="1"/>
  <c r="CI341" i="43"/>
  <c r="CK341" i="43" s="1"/>
  <c r="DG341" i="43"/>
  <c r="DB341" i="43"/>
  <c r="DD341" i="43" s="1"/>
  <c r="EB341" i="43"/>
  <c r="R341" i="43" s="1"/>
  <c r="S341" i="43"/>
  <c r="CO355" i="43"/>
  <c r="CN355" i="43" s="1"/>
  <c r="S355" i="43"/>
  <c r="EB355" i="43"/>
  <c r="R355" i="43" s="1"/>
  <c r="DG355" i="43"/>
  <c r="BC355" i="43"/>
  <c r="W355" i="43"/>
  <c r="BT374" i="43"/>
  <c r="BS374" i="43" s="1"/>
  <c r="CI334" i="43"/>
  <c r="CK334" i="43" s="1"/>
  <c r="CI342" i="43"/>
  <c r="CK342" i="43" s="1"/>
  <c r="CI337" i="43"/>
  <c r="CK337" i="43" s="1"/>
  <c r="CI350" i="43"/>
  <c r="CK350" i="43" s="1"/>
  <c r="L361" i="43"/>
  <c r="N361" i="43" s="1"/>
  <c r="FP361" i="43" s="1"/>
  <c r="CI348" i="43"/>
  <c r="CK348" i="43" s="1"/>
  <c r="S359" i="43"/>
  <c r="S334" i="43"/>
  <c r="AA334" i="43" s="1"/>
  <c r="BT355" i="43"/>
  <c r="BS355" i="43" s="1"/>
  <c r="BN359" i="43"/>
  <c r="BP359" i="43" s="1"/>
  <c r="CO356" i="43"/>
  <c r="CN356" i="43" s="1"/>
  <c r="BN331" i="43"/>
  <c r="BP331" i="43" s="1"/>
  <c r="BN335" i="43"/>
  <c r="BP335" i="43" s="1"/>
  <c r="EH335" i="43" s="1"/>
  <c r="BC372" i="43"/>
  <c r="EB338" i="43"/>
  <c r="R338" i="43" s="1"/>
  <c r="DG348" i="43"/>
  <c r="CO371" i="43"/>
  <c r="CN371" i="43" s="1"/>
  <c r="BN352" i="43"/>
  <c r="BP352" i="43" s="1"/>
  <c r="BC342" i="43"/>
  <c r="W362" i="43"/>
  <c r="CO326" i="43"/>
  <c r="CN326" i="43" s="1"/>
  <c r="W339" i="43"/>
  <c r="BT339" i="43"/>
  <c r="BS339" i="43" s="1"/>
  <c r="CO339" i="43"/>
  <c r="CN339" i="43" s="1"/>
  <c r="BC339" i="43"/>
  <c r="DB339" i="43"/>
  <c r="DD339" i="43" s="1"/>
  <c r="DG375" i="43"/>
  <c r="BT375" i="43"/>
  <c r="BS375" i="43" s="1"/>
  <c r="CO375" i="43"/>
  <c r="CN375" i="43" s="1"/>
  <c r="BN375" i="43"/>
  <c r="BP375" i="43" s="1"/>
  <c r="EB375" i="43"/>
  <c r="R375" i="43" s="1"/>
  <c r="W375" i="43"/>
  <c r="S375" i="43"/>
  <c r="BT379" i="43"/>
  <c r="BS379" i="43" s="1"/>
  <c r="S379" i="43"/>
  <c r="AA379" i="43" s="1"/>
  <c r="DB379" i="43"/>
  <c r="DD379" i="43" s="1"/>
  <c r="BC379" i="43"/>
  <c r="DG379" i="43"/>
  <c r="CO379" i="43"/>
  <c r="CN379" i="43" s="1"/>
  <c r="BN379" i="43"/>
  <c r="BP379" i="43" s="1"/>
  <c r="W379" i="43"/>
  <c r="CI354" i="43"/>
  <c r="CK354" i="43" s="1"/>
  <c r="W363" i="43"/>
  <c r="EB363" i="43"/>
  <c r="R363" i="43" s="1"/>
  <c r="BC363" i="43"/>
  <c r="BT363" i="43"/>
  <c r="BS363" i="43" s="1"/>
  <c r="DG363" i="43"/>
  <c r="CO363" i="43"/>
  <c r="CN363" i="43" s="1"/>
  <c r="BN363" i="43"/>
  <c r="BP363" i="43" s="1"/>
  <c r="DB363" i="43"/>
  <c r="DD363" i="43" s="1"/>
  <c r="BC332" i="43"/>
  <c r="EB332" i="43"/>
  <c r="R332" i="43" s="1"/>
  <c r="DB332" i="43"/>
  <c r="DD332" i="43" s="1"/>
  <c r="W332" i="43"/>
  <c r="CO332" i="43"/>
  <c r="CN332" i="43" s="1"/>
  <c r="DG332" i="43"/>
  <c r="S332" i="43"/>
  <c r="BT332" i="43"/>
  <c r="BS332" i="43" s="1"/>
  <c r="BN332" i="43"/>
  <c r="BP332" i="43" s="1"/>
  <c r="HT349" i="43"/>
  <c r="HU349" i="43" s="1"/>
  <c r="HV349" i="43" s="1"/>
  <c r="BA349" i="43" s="1"/>
  <c r="IA349" i="43"/>
  <c r="BT364" i="43"/>
  <c r="BS364" i="43" s="1"/>
  <c r="BC364" i="43"/>
  <c r="BN364" i="43"/>
  <c r="BP364" i="43" s="1"/>
  <c r="W364" i="43"/>
  <c r="EB364" i="43"/>
  <c r="R364" i="43" s="1"/>
  <c r="CO364" i="43"/>
  <c r="CN364" i="43" s="1"/>
  <c r="S364" i="43"/>
  <c r="CI364" i="43"/>
  <c r="CK364" i="43" s="1"/>
  <c r="DG364" i="43"/>
  <c r="DB364" i="43"/>
  <c r="DD364" i="43" s="1"/>
  <c r="DG370" i="43"/>
  <c r="CO370" i="43"/>
  <c r="CN370" i="43" s="1"/>
  <c r="W370" i="43"/>
  <c r="BN370" i="43"/>
  <c r="BP370" i="43" s="1"/>
  <c r="S370" i="43"/>
  <c r="BC370" i="43"/>
  <c r="EB370" i="43"/>
  <c r="R370" i="43" s="1"/>
  <c r="BT370" i="43"/>
  <c r="BS370" i="43" s="1"/>
  <c r="DB370" i="43"/>
  <c r="DD370" i="43" s="1"/>
  <c r="EB378" i="43"/>
  <c r="R378" i="43" s="1"/>
  <c r="DG378" i="43"/>
  <c r="BC378" i="43"/>
  <c r="BT378" i="43"/>
  <c r="BS378" i="43" s="1"/>
  <c r="S378" i="43"/>
  <c r="CO378" i="43"/>
  <c r="CN378" i="43" s="1"/>
  <c r="W378" i="43"/>
  <c r="CI378" i="43"/>
  <c r="CK378" i="43" s="1"/>
  <c r="EB324" i="43"/>
  <c r="R324" i="43" s="1"/>
  <c r="S324" i="43"/>
  <c r="BT324" i="43"/>
  <c r="BS324" i="43" s="1"/>
  <c r="DG324" i="43"/>
  <c r="CO324" i="43"/>
  <c r="CN324" i="43" s="1"/>
  <c r="W324" i="43"/>
  <c r="BN324" i="43"/>
  <c r="BP324" i="43" s="1"/>
  <c r="BC324" i="43"/>
  <c r="CI324" i="43"/>
  <c r="CK324" i="43" s="1"/>
  <c r="Y324" i="43"/>
  <c r="Q324" i="43" s="1"/>
  <c r="DB324" i="43"/>
  <c r="DD324" i="43" s="1"/>
  <c r="DG337" i="43"/>
  <c r="W337" i="43"/>
  <c r="CO337" i="43"/>
  <c r="CN337" i="43" s="1"/>
  <c r="EB337" i="43"/>
  <c r="R337" i="43" s="1"/>
  <c r="BC337" i="43"/>
  <c r="BT337" i="43"/>
  <c r="BS337" i="43" s="1"/>
  <c r="BN337" i="43"/>
  <c r="BP337" i="43" s="1"/>
  <c r="DB337" i="43"/>
  <c r="DD337" i="43" s="1"/>
  <c r="Y337" i="43"/>
  <c r="Q337" i="43" s="1"/>
  <c r="BN339" i="43"/>
  <c r="BP339" i="43" s="1"/>
  <c r="X367" i="43"/>
  <c r="L367" i="43"/>
  <c r="N367" i="43" s="1"/>
  <c r="FP367" i="43" s="1"/>
  <c r="S363" i="43"/>
  <c r="AA363" i="43" s="1"/>
  <c r="CO350" i="43"/>
  <c r="CN350" i="43" s="1"/>
  <c r="BT381" i="43"/>
  <c r="BS381" i="43" s="1"/>
  <c r="DG358" i="43"/>
  <c r="BC318" i="43"/>
  <c r="BT318" i="43"/>
  <c r="BS318" i="43" s="1"/>
  <c r="W318" i="43"/>
  <c r="DG318" i="43"/>
  <c r="DG369" i="43"/>
  <c r="BC369" i="43"/>
  <c r="DB369" i="43"/>
  <c r="DD369" i="43" s="1"/>
  <c r="CO369" i="43"/>
  <c r="CN369" i="43" s="1"/>
  <c r="EB369" i="43"/>
  <c r="R369" i="43" s="1"/>
  <c r="W369" i="43"/>
  <c r="BN369" i="43"/>
  <c r="BP369" i="43" s="1"/>
  <c r="CI369" i="43"/>
  <c r="CK369" i="43" s="1"/>
  <c r="BC340" i="43"/>
  <c r="W340" i="43"/>
  <c r="CO340" i="43"/>
  <c r="CN340" i="43" s="1"/>
  <c r="DB340" i="43"/>
  <c r="DD340" i="43" s="1"/>
  <c r="EB340" i="43"/>
  <c r="R340" i="43" s="1"/>
  <c r="BN340" i="43"/>
  <c r="BP340" i="43" s="1"/>
  <c r="S340" i="43"/>
  <c r="AA340" i="43" s="1"/>
  <c r="BT340" i="43"/>
  <c r="BS340" i="43" s="1"/>
  <c r="DG340" i="43"/>
  <c r="W359" i="43"/>
  <c r="EB359" i="43"/>
  <c r="R359" i="43" s="1"/>
  <c r="CI359" i="43"/>
  <c r="CK359" i="43" s="1"/>
  <c r="DG359" i="43"/>
  <c r="BC359" i="43"/>
  <c r="BT359" i="43"/>
  <c r="BS359" i="43" s="1"/>
  <c r="W323" i="43"/>
  <c r="DG323" i="43"/>
  <c r="BC323" i="43"/>
  <c r="EB323" i="43"/>
  <c r="R323" i="43" s="1"/>
  <c r="DG336" i="43"/>
  <c r="BC336" i="43"/>
  <c r="CO336" i="43"/>
  <c r="CN336" i="43" s="1"/>
  <c r="BT336" i="43"/>
  <c r="BS336" i="43" s="1"/>
  <c r="W336" i="43"/>
  <c r="S336" i="43"/>
  <c r="EB336" i="43"/>
  <c r="R336" i="43" s="1"/>
  <c r="DB336" i="43"/>
  <c r="DD336" i="43" s="1"/>
  <c r="BN336" i="43"/>
  <c r="BP336" i="43" s="1"/>
  <c r="CI329" i="43"/>
  <c r="CK329" i="43" s="1"/>
  <c r="BC365" i="43"/>
  <c r="BT365" i="43"/>
  <c r="BS365" i="43" s="1"/>
  <c r="CO365" i="43"/>
  <c r="CN365" i="43" s="1"/>
  <c r="EB365" i="43"/>
  <c r="R365" i="43" s="1"/>
  <c r="W365" i="43"/>
  <c r="DG365" i="43"/>
  <c r="S365" i="43"/>
  <c r="DB365" i="43"/>
  <c r="DD365" i="43" s="1"/>
  <c r="CI365" i="43"/>
  <c r="CK365" i="43" s="1"/>
  <c r="Y365" i="43"/>
  <c r="Q365" i="43" s="1"/>
  <c r="DG320" i="43"/>
  <c r="BC320" i="43"/>
  <c r="DB320" i="43"/>
  <c r="DD320" i="43" s="1"/>
  <c r="CO320" i="43"/>
  <c r="CN320" i="43" s="1"/>
  <c r="BT320" i="43"/>
  <c r="BS320" i="43" s="1"/>
  <c r="EB320" i="43"/>
  <c r="R320" i="43" s="1"/>
  <c r="W320" i="43"/>
  <c r="CI320" i="43"/>
  <c r="CK320" i="43" s="1"/>
  <c r="Y320" i="43"/>
  <c r="Q320" i="43" s="1"/>
  <c r="S371" i="43"/>
  <c r="EB379" i="43"/>
  <c r="R379" i="43" s="1"/>
  <c r="DG356" i="43"/>
  <c r="BT356" i="43"/>
  <c r="BS356" i="43" s="1"/>
  <c r="W356" i="43"/>
  <c r="DB356" i="43"/>
  <c r="DD356" i="43" s="1"/>
  <c r="BC356" i="43"/>
  <c r="BN356" i="43"/>
  <c r="BP356" i="43" s="1"/>
  <c r="CI339" i="43"/>
  <c r="CK339" i="43" s="1"/>
  <c r="Y372" i="43"/>
  <c r="BT345" i="43"/>
  <c r="BS345" i="43" s="1"/>
  <c r="CO345" i="43"/>
  <c r="CN345" i="43" s="1"/>
  <c r="BC345" i="43"/>
  <c r="BN345" i="43"/>
  <c r="BP345" i="43" s="1"/>
  <c r="EB345" i="43"/>
  <c r="R345" i="43" s="1"/>
  <c r="W345" i="43"/>
  <c r="CI345" i="43"/>
  <c r="CK345" i="43" s="1"/>
  <c r="CI375" i="43"/>
  <c r="CK375" i="43" s="1"/>
  <c r="W328" i="43"/>
  <c r="EB328" i="43"/>
  <c r="R328" i="43" s="1"/>
  <c r="DB328" i="43"/>
  <c r="DD328" i="43" s="1"/>
  <c r="BN328" i="43"/>
  <c r="BP328" i="43" s="1"/>
  <c r="CO328" i="43"/>
  <c r="CN328" i="43" s="1"/>
  <c r="DG328" i="43"/>
  <c r="S328" i="43"/>
  <c r="BT328" i="43"/>
  <c r="BS328" i="43" s="1"/>
  <c r="CI328" i="43"/>
  <c r="CK328" i="43" s="1"/>
  <c r="CI379" i="43"/>
  <c r="CK379" i="43" s="1"/>
  <c r="W380" i="43"/>
  <c r="CO380" i="43"/>
  <c r="CN380" i="43" s="1"/>
  <c r="BC380" i="43"/>
  <c r="BT380" i="43"/>
  <c r="BS380" i="43" s="1"/>
  <c r="DG380" i="43"/>
  <c r="EB380" i="43"/>
  <c r="R380" i="43" s="1"/>
  <c r="S380" i="43"/>
  <c r="AU380" i="43" s="1"/>
  <c r="CI380" i="43"/>
  <c r="CK380" i="43" s="1"/>
  <c r="DB380" i="43"/>
  <c r="DD380" i="43" s="1"/>
  <c r="BN380" i="43"/>
  <c r="BP380" i="43" s="1"/>
  <c r="DG322" i="43"/>
  <c r="BC322" i="43"/>
  <c r="W322" i="43"/>
  <c r="EB322" i="43"/>
  <c r="R322" i="43" s="1"/>
  <c r="W376" i="43"/>
  <c r="BC376" i="43"/>
  <c r="CO376" i="43"/>
  <c r="CN376" i="43" s="1"/>
  <c r="DB376" i="43"/>
  <c r="DD376" i="43" s="1"/>
  <c r="EB376" i="43"/>
  <c r="R376" i="43" s="1"/>
  <c r="DG376" i="43"/>
  <c r="CI376" i="43"/>
  <c r="CK376" i="43" s="1"/>
  <c r="BT376" i="43"/>
  <c r="BS376" i="43" s="1"/>
  <c r="CO343" i="43"/>
  <c r="CN343" i="43" s="1"/>
  <c r="BC343" i="43"/>
  <c r="DB343" i="43"/>
  <c r="DD343" i="43" s="1"/>
  <c r="W343" i="43"/>
  <c r="BN343" i="43"/>
  <c r="BP343" i="43" s="1"/>
  <c r="EB343" i="43"/>
  <c r="R343" i="43" s="1"/>
  <c r="BT343" i="43"/>
  <c r="BS343" i="43" s="1"/>
  <c r="DG343" i="43"/>
  <c r="Y331" i="43"/>
  <c r="Y318" i="43"/>
  <c r="Q318" i="43" s="1"/>
  <c r="BC349" i="43"/>
  <c r="DG349" i="43"/>
  <c r="W349" i="43"/>
  <c r="S349" i="43"/>
  <c r="AA349" i="43" s="1"/>
  <c r="EB349" i="43"/>
  <c r="R349" i="43" s="1"/>
  <c r="CO349" i="43"/>
  <c r="CN349" i="43" s="1"/>
  <c r="BT349" i="43"/>
  <c r="BS349" i="43" s="1"/>
  <c r="Y358" i="43"/>
  <c r="Y326" i="43"/>
  <c r="BN357" i="43"/>
  <c r="BP357" i="43" s="1"/>
  <c r="DB357" i="43"/>
  <c r="DD357" i="43" s="1"/>
  <c r="BT357" i="43"/>
  <c r="BS357" i="43" s="1"/>
  <c r="W357" i="43"/>
  <c r="BC357" i="43"/>
  <c r="DG357" i="43"/>
  <c r="S357" i="43"/>
  <c r="CI357" i="43"/>
  <c r="CK357" i="43" s="1"/>
  <c r="Y362" i="43"/>
  <c r="Q362" i="43" s="1"/>
  <c r="DG367" i="43"/>
  <c r="EB367" i="43"/>
  <c r="R367" i="43" s="1"/>
  <c r="BT367" i="43"/>
  <c r="BS367" i="43" s="1"/>
  <c r="DB367" i="43"/>
  <c r="DD367" i="43" s="1"/>
  <c r="BC367" i="43"/>
  <c r="BN367" i="43"/>
  <c r="BP367" i="43" s="1"/>
  <c r="CI367" i="43"/>
  <c r="CK367" i="43" s="1"/>
  <c r="W367" i="43"/>
  <c r="CO367" i="43"/>
  <c r="CN367" i="43" s="1"/>
  <c r="CI340" i="43"/>
  <c r="CK340" i="43" s="1"/>
  <c r="CI370" i="43"/>
  <c r="CK370" i="43" s="1"/>
  <c r="W344" i="43"/>
  <c r="CO344" i="43"/>
  <c r="CN344" i="43" s="1"/>
  <c r="BT344" i="43"/>
  <c r="BS344" i="43" s="1"/>
  <c r="BN344" i="43"/>
  <c r="BP344" i="43" s="1"/>
  <c r="DG344" i="43"/>
  <c r="EB344" i="43"/>
  <c r="R344" i="43" s="1"/>
  <c r="BC344" i="43"/>
  <c r="DB344" i="43"/>
  <c r="DD344" i="43" s="1"/>
  <c r="CI344" i="43"/>
  <c r="CK344" i="43" s="1"/>
  <c r="S344" i="43"/>
  <c r="W360" i="43"/>
  <c r="CO360" i="43"/>
  <c r="CN360" i="43" s="1"/>
  <c r="EB360" i="43"/>
  <c r="R360" i="43" s="1"/>
  <c r="S360" i="43"/>
  <c r="BC360" i="43"/>
  <c r="CI360" i="43"/>
  <c r="CK360" i="43" s="1"/>
  <c r="W319" i="43"/>
  <c r="CO319" i="43"/>
  <c r="CN319" i="43" s="1"/>
  <c r="DG319" i="43"/>
  <c r="EB319" i="43"/>
  <c r="R319" i="43" s="1"/>
  <c r="DB319" i="43"/>
  <c r="BT319" i="43"/>
  <c r="BS319" i="43" s="1"/>
  <c r="BC319" i="43"/>
  <c r="Y323" i="43"/>
  <c r="Y336" i="43"/>
  <c r="Q336" i="43" s="1"/>
  <c r="CI331" i="43"/>
  <c r="CK331" i="43" s="1"/>
  <c r="CI371" i="43"/>
  <c r="CK371" i="43" s="1"/>
  <c r="W361" i="43"/>
  <c r="DG361" i="43"/>
  <c r="CO361" i="43"/>
  <c r="CN361" i="43" s="1"/>
  <c r="BT361" i="43"/>
  <c r="BS361" i="43" s="1"/>
  <c r="DB361" i="43"/>
  <c r="DD361" i="43" s="1"/>
  <c r="BN361" i="43"/>
  <c r="BP361" i="43" s="1"/>
  <c r="EB361" i="43"/>
  <c r="R361" i="43" s="1"/>
  <c r="CI381" i="43"/>
  <c r="CK381" i="43" s="1"/>
  <c r="Y321" i="43"/>
  <c r="Q321" i="43" s="1"/>
  <c r="AB341" i="43"/>
  <c r="CI326" i="43"/>
  <c r="CK326" i="43" s="1"/>
  <c r="CI330" i="43"/>
  <c r="CK330" i="43" s="1"/>
  <c r="DG377" i="43"/>
  <c r="EB377" i="43"/>
  <c r="R377" i="43" s="1"/>
  <c r="W377" i="43"/>
  <c r="BC377" i="43"/>
  <c r="BT377" i="43"/>
  <c r="BS377" i="43" s="1"/>
  <c r="S377" i="43"/>
  <c r="DB377" i="43"/>
  <c r="DD377" i="43" s="1"/>
  <c r="CI377" i="43"/>
  <c r="CK377" i="43" s="1"/>
  <c r="Y377" i="43"/>
  <c r="Q377" i="43" s="1"/>
  <c r="BN377" i="43"/>
  <c r="BP377" i="43" s="1"/>
  <c r="CO377" i="43"/>
  <c r="CN377" i="43" s="1"/>
  <c r="BC368" i="43"/>
  <c r="DB368" i="43"/>
  <c r="DD368" i="43" s="1"/>
  <c r="S368" i="43"/>
  <c r="DG368" i="43"/>
  <c r="BT368" i="43"/>
  <c r="BS368" i="43" s="1"/>
  <c r="CO368" i="43"/>
  <c r="CN368" i="43" s="1"/>
  <c r="EB368" i="43"/>
  <c r="R368" i="43" s="1"/>
  <c r="Y368" i="43"/>
  <c r="W368" i="43"/>
  <c r="BN327" i="43"/>
  <c r="BP327" i="43" s="1"/>
  <c r="HT366" i="43"/>
  <c r="HU366" i="43" s="1"/>
  <c r="HV366" i="43" s="1"/>
  <c r="BA366" i="43" s="1"/>
  <c r="S343" i="43"/>
  <c r="X342" i="43"/>
  <c r="S345" i="43"/>
  <c r="DB351" i="43"/>
  <c r="DD351" i="43" s="1"/>
  <c r="DB329" i="43"/>
  <c r="DD329" i="43" s="1"/>
  <c r="S356" i="43"/>
  <c r="S376" i="43"/>
  <c r="AA376" i="43" s="1"/>
  <c r="EB353" i="43"/>
  <c r="R353" i="43" s="1"/>
  <c r="S362" i="43"/>
  <c r="BN376" i="43"/>
  <c r="BP376" i="43" s="1"/>
  <c r="DB327" i="43"/>
  <c r="DD327" i="43" s="1"/>
  <c r="BN342" i="43"/>
  <c r="BP342" i="43" s="1"/>
  <c r="BC350" i="43"/>
  <c r="EB357" i="43"/>
  <c r="R357" i="43" s="1"/>
  <c r="DB378" i="43"/>
  <c r="DD378" i="43" s="1"/>
  <c r="BN320" i="43"/>
  <c r="BP320" i="43" s="1"/>
  <c r="CO318" i="43"/>
  <c r="CN318" i="43" s="1"/>
  <c r="BC375" i="43"/>
  <c r="W333" i="43"/>
  <c r="BN333" i="43"/>
  <c r="BP333" i="43" s="1"/>
  <c r="S333" i="43"/>
  <c r="BC333" i="43"/>
  <c r="DG333" i="43"/>
  <c r="BT333" i="43"/>
  <c r="BS333" i="43" s="1"/>
  <c r="DG317" i="43"/>
  <c r="BT317" i="43"/>
  <c r="BS317" i="43" s="1"/>
  <c r="CO317" i="43"/>
  <c r="CN317" i="43" s="1"/>
  <c r="BC317" i="43"/>
  <c r="CI333" i="43"/>
  <c r="CK333" i="43" s="1"/>
  <c r="EB373" i="43"/>
  <c r="R373" i="43" s="1"/>
  <c r="W373" i="43"/>
  <c r="BC373" i="43"/>
  <c r="DB373" i="43"/>
  <c r="DD373" i="43" s="1"/>
  <c r="BN373" i="43"/>
  <c r="BP373" i="43" s="1"/>
  <c r="BT373" i="43"/>
  <c r="BS373" i="43" s="1"/>
  <c r="S373" i="43"/>
  <c r="DG373" i="43"/>
  <c r="CO366" i="43"/>
  <c r="CN366" i="43" s="1"/>
  <c r="DG366" i="43"/>
  <c r="DB366" i="43"/>
  <c r="DD366" i="43" s="1"/>
  <c r="S366" i="43"/>
  <c r="CI366" i="43"/>
  <c r="CK366" i="43" s="1"/>
  <c r="CO333" i="43"/>
  <c r="CN333" i="43" s="1"/>
  <c r="W317" i="43"/>
  <c r="Q367" i="43" l="1"/>
  <c r="Q369" i="43"/>
  <c r="AA342" i="43"/>
  <c r="HG15" i="43"/>
  <c r="DY14" i="43"/>
  <c r="DZ14" i="43" s="1"/>
  <c r="AO14" i="43"/>
  <c r="GL15" i="43"/>
  <c r="GS15" i="43"/>
  <c r="GU14" i="43"/>
  <c r="GN14" i="43"/>
  <c r="HB14" i="43"/>
  <c r="HI14" i="43"/>
  <c r="Q361" i="43"/>
  <c r="I25" i="35"/>
  <c r="H71" i="35"/>
  <c r="H86" i="35"/>
  <c r="H72" i="35"/>
  <c r="H87" i="35"/>
  <c r="H25" i="35"/>
  <c r="I72" i="35"/>
  <c r="I100" i="35"/>
  <c r="H100" i="35"/>
  <c r="I87" i="35"/>
  <c r="L25" i="35"/>
  <c r="J71" i="35"/>
  <c r="I71" i="35"/>
  <c r="J86" i="35"/>
  <c r="I86" i="35"/>
  <c r="J72" i="35"/>
  <c r="J87" i="35"/>
  <c r="J25" i="35"/>
  <c r="K72" i="35"/>
  <c r="K100" i="35"/>
  <c r="J100" i="35"/>
  <c r="K25" i="35"/>
  <c r="K87" i="35"/>
  <c r="L72" i="35"/>
  <c r="L71" i="35"/>
  <c r="K71" i="35"/>
  <c r="L87" i="35"/>
  <c r="L86" i="35"/>
  <c r="K86" i="35"/>
  <c r="FP319" i="43"/>
  <c r="Q319" i="43"/>
  <c r="DD319" i="43"/>
  <c r="L100" i="35"/>
  <c r="EH356" i="43"/>
  <c r="EH333" i="43"/>
  <c r="EH326" i="43"/>
  <c r="EH366" i="43"/>
  <c r="X366" i="43"/>
  <c r="L366" i="43"/>
  <c r="N366" i="43" s="1"/>
  <c r="FP366" i="43" s="1"/>
  <c r="X333" i="43"/>
  <c r="L333" i="43"/>
  <c r="N333" i="43" s="1"/>
  <c r="FP333" i="43" s="1"/>
  <c r="L362" i="43"/>
  <c r="N362" i="43" s="1"/>
  <c r="FP362" i="43" s="1"/>
  <c r="X362" i="43"/>
  <c r="L343" i="43"/>
  <c r="N343" i="43" s="1"/>
  <c r="FP343" i="43" s="1"/>
  <c r="X343" i="43"/>
  <c r="L360" i="43"/>
  <c r="N360" i="43" s="1"/>
  <c r="FP360" i="43" s="1"/>
  <c r="X360" i="43"/>
  <c r="EH344" i="43"/>
  <c r="EH376" i="43"/>
  <c r="EH328" i="43"/>
  <c r="AA366" i="43"/>
  <c r="L320" i="43"/>
  <c r="N320" i="43" s="1"/>
  <c r="FP320" i="43" s="1"/>
  <c r="X320" i="43"/>
  <c r="EH364" i="43"/>
  <c r="EH346" i="43"/>
  <c r="EH374" i="43"/>
  <c r="L321" i="43"/>
  <c r="N321" i="43" s="1"/>
  <c r="FP321" i="43" s="1"/>
  <c r="X321" i="43"/>
  <c r="EH329" i="43"/>
  <c r="EH372" i="43"/>
  <c r="X350" i="43"/>
  <c r="L350" i="43"/>
  <c r="N350" i="43" s="1"/>
  <c r="FP350" i="43" s="1"/>
  <c r="EH371" i="43"/>
  <c r="EH331" i="43"/>
  <c r="IA351" i="43"/>
  <c r="HT351" i="43"/>
  <c r="HU351" i="43" s="1"/>
  <c r="HV351" i="43" s="1"/>
  <c r="BA351" i="43" s="1"/>
  <c r="EH368" i="43"/>
  <c r="L368" i="43"/>
  <c r="N368" i="43" s="1"/>
  <c r="FP368" i="43" s="1"/>
  <c r="X368" i="43"/>
  <c r="X377" i="43"/>
  <c r="L377" i="43"/>
  <c r="N377" i="43" s="1"/>
  <c r="FP377" i="43" s="1"/>
  <c r="EH360" i="43"/>
  <c r="X380" i="43"/>
  <c r="L380" i="43"/>
  <c r="N380" i="43" s="1"/>
  <c r="FP380" i="43" s="1"/>
  <c r="EH365" i="43"/>
  <c r="EH359" i="43"/>
  <c r="EH324" i="43"/>
  <c r="EH378" i="43"/>
  <c r="L332" i="43"/>
  <c r="N332" i="43" s="1"/>
  <c r="FP332" i="43" s="1"/>
  <c r="X332" i="43"/>
  <c r="EH375" i="43"/>
  <c r="X346" i="43"/>
  <c r="L346" i="43"/>
  <c r="N346" i="43" s="1"/>
  <c r="FP346" i="43" s="1"/>
  <c r="EH327" i="43"/>
  <c r="L372" i="43"/>
  <c r="N372" i="43" s="1"/>
  <c r="FP372" i="43" s="1"/>
  <c r="X372" i="43"/>
  <c r="EH350" i="43"/>
  <c r="X381" i="43"/>
  <c r="L381" i="43"/>
  <c r="EH358" i="43"/>
  <c r="HT342" i="43"/>
  <c r="HU342" i="43" s="1"/>
  <c r="HV342" i="43" s="1"/>
  <c r="BA342" i="43" s="1"/>
  <c r="IA342" i="43"/>
  <c r="L376" i="43"/>
  <c r="N376" i="43" s="1"/>
  <c r="FP376" i="43" s="1"/>
  <c r="X376" i="43"/>
  <c r="L345" i="43"/>
  <c r="N345" i="43" s="1"/>
  <c r="FP345" i="43" s="1"/>
  <c r="X345" i="43"/>
  <c r="AU377" i="43"/>
  <c r="AH377" i="43" s="1"/>
  <c r="AA377" i="43"/>
  <c r="AB377" i="43"/>
  <c r="AB321" i="43"/>
  <c r="AA321" i="43"/>
  <c r="EH349" i="43"/>
  <c r="EH380" i="43"/>
  <c r="EH379" i="43"/>
  <c r="L365" i="43"/>
  <c r="N365" i="43" s="1"/>
  <c r="FP365" i="43" s="1"/>
  <c r="X365" i="43"/>
  <c r="EH336" i="43"/>
  <c r="X323" i="43"/>
  <c r="L323" i="43"/>
  <c r="N323" i="43" s="1"/>
  <c r="FP323" i="43" s="1"/>
  <c r="L363" i="43"/>
  <c r="N363" i="43" s="1"/>
  <c r="FP363" i="43" s="1"/>
  <c r="X363" i="43"/>
  <c r="AA337" i="43"/>
  <c r="AB337" i="43"/>
  <c r="L370" i="43"/>
  <c r="N370" i="43" s="1"/>
  <c r="FP370" i="43" s="1"/>
  <c r="X370" i="43"/>
  <c r="L364" i="43"/>
  <c r="N364" i="43" s="1"/>
  <c r="FP364" i="43" s="1"/>
  <c r="X364" i="43"/>
  <c r="AZ349" i="43"/>
  <c r="V346" i="45" s="1"/>
  <c r="AU349" i="43"/>
  <c r="AH349" i="43" s="1"/>
  <c r="EH332" i="43"/>
  <c r="L341" i="43"/>
  <c r="N341" i="43" s="1"/>
  <c r="FP341" i="43" s="1"/>
  <c r="X341" i="43"/>
  <c r="AA381" i="43"/>
  <c r="AB381" i="43"/>
  <c r="AU381" i="43"/>
  <c r="AH381" i="43" s="1"/>
  <c r="L352" i="43"/>
  <c r="N352" i="43" s="1"/>
  <c r="FP352" i="43" s="1"/>
  <c r="X352" i="43"/>
  <c r="X330" i="43"/>
  <c r="L330" i="43"/>
  <c r="N330" i="43" s="1"/>
  <c r="FP330" i="43" s="1"/>
  <c r="X353" i="43"/>
  <c r="L353" i="43"/>
  <c r="N353" i="43" s="1"/>
  <c r="FP353" i="43" s="1"/>
  <c r="X374" i="43"/>
  <c r="L374" i="43"/>
  <c r="N374" i="43" s="1"/>
  <c r="FP374" i="43" s="1"/>
  <c r="X327" i="43"/>
  <c r="L327" i="43"/>
  <c r="N327" i="43" s="1"/>
  <c r="FP327" i="43" s="1"/>
  <c r="L329" i="43"/>
  <c r="N329" i="43" s="1"/>
  <c r="FP329" i="43" s="1"/>
  <c r="X329" i="43"/>
  <c r="EH339" i="43"/>
  <c r="AA341" i="43"/>
  <c r="EH381" i="43"/>
  <c r="X331" i="43"/>
  <c r="L331" i="43"/>
  <c r="N331" i="43" s="1"/>
  <c r="FP331" i="43" s="1"/>
  <c r="EH325" i="43"/>
  <c r="AA364" i="43"/>
  <c r="IA339" i="43"/>
  <c r="HT339" i="43"/>
  <c r="HU339" i="43" s="1"/>
  <c r="HV339" i="43" s="1"/>
  <c r="BA339" i="43" s="1"/>
  <c r="EH361" i="43"/>
  <c r="L344" i="43"/>
  <c r="N344" i="43" s="1"/>
  <c r="FP344" i="43" s="1"/>
  <c r="X344" i="43"/>
  <c r="EH320" i="43"/>
  <c r="AA324" i="43"/>
  <c r="AB324" i="43"/>
  <c r="X324" i="43"/>
  <c r="L324" i="43"/>
  <c r="N324" i="43" s="1"/>
  <c r="FP324" i="43" s="1"/>
  <c r="EH370" i="43"/>
  <c r="EH363" i="43"/>
  <c r="EH338" i="43"/>
  <c r="L359" i="43"/>
  <c r="N359" i="43" s="1"/>
  <c r="FP359" i="43" s="1"/>
  <c r="X359" i="43"/>
  <c r="X355" i="43"/>
  <c r="L355" i="43"/>
  <c r="N355" i="43" s="1"/>
  <c r="FP355" i="43" s="1"/>
  <c r="EH352" i="43"/>
  <c r="EH330" i="43"/>
  <c r="EH342" i="43"/>
  <c r="X351" i="43"/>
  <c r="L351" i="43"/>
  <c r="N351" i="43" s="1"/>
  <c r="FP351" i="43" s="1"/>
  <c r="IA317" i="43"/>
  <c r="HT317" i="43"/>
  <c r="HU317" i="43" s="1"/>
  <c r="HV317" i="43" s="1"/>
  <c r="BA317" i="43" s="1"/>
  <c r="AA350" i="43"/>
  <c r="AB350" i="43"/>
  <c r="AA338" i="43"/>
  <c r="AB338" i="43"/>
  <c r="EH321" i="43"/>
  <c r="EH362" i="43"/>
  <c r="AH380" i="43"/>
  <c r="X325" i="43"/>
  <c r="L325" i="43"/>
  <c r="N325" i="43" s="1"/>
  <c r="FP325" i="43" s="1"/>
  <c r="IA363" i="43"/>
  <c r="HT363" i="43"/>
  <c r="HU363" i="43" s="1"/>
  <c r="HV363" i="43" s="1"/>
  <c r="BA363" i="43" s="1"/>
  <c r="HT376" i="43"/>
  <c r="HU376" i="43" s="1"/>
  <c r="HV376" i="43" s="1"/>
  <c r="BA376" i="43" s="1"/>
  <c r="IA376" i="43"/>
  <c r="X373" i="43"/>
  <c r="L373" i="43"/>
  <c r="N373" i="43" s="1"/>
  <c r="FP373" i="43" s="1"/>
  <c r="EH357" i="43"/>
  <c r="EH353" i="43"/>
  <c r="AU366" i="43"/>
  <c r="AH366" i="43" s="1"/>
  <c r="AZ366" i="43"/>
  <c r="V363" i="45" s="1"/>
  <c r="EH377" i="43"/>
  <c r="IA341" i="43"/>
  <c r="HT341" i="43"/>
  <c r="HU341" i="43" s="1"/>
  <c r="HV341" i="43" s="1"/>
  <c r="BA341" i="43" s="1"/>
  <c r="AA336" i="43"/>
  <c r="AB336" i="43"/>
  <c r="AB362" i="43"/>
  <c r="AA362" i="43"/>
  <c r="EH322" i="43"/>
  <c r="EH345" i="43"/>
  <c r="AA320" i="43"/>
  <c r="AB320" i="43"/>
  <c r="EH323" i="43"/>
  <c r="L340" i="43"/>
  <c r="N340" i="43" s="1"/>
  <c r="FP340" i="43" s="1"/>
  <c r="X340" i="43"/>
  <c r="X378" i="43"/>
  <c r="L378" i="43"/>
  <c r="N378" i="43" s="1"/>
  <c r="FP378" i="43" s="1"/>
  <c r="X379" i="43"/>
  <c r="L379" i="43"/>
  <c r="N379" i="43" s="1"/>
  <c r="FP379" i="43" s="1"/>
  <c r="AA378" i="43"/>
  <c r="AU378" i="43"/>
  <c r="AH378" i="43" s="1"/>
  <c r="AB378" i="43"/>
  <c r="L339" i="43"/>
  <c r="N339" i="43" s="1"/>
  <c r="FP339" i="43" s="1"/>
  <c r="X339" i="43"/>
  <c r="EH348" i="43"/>
  <c r="IA352" i="43"/>
  <c r="HT352" i="43"/>
  <c r="HU352" i="43" s="1"/>
  <c r="HV352" i="43" s="1"/>
  <c r="BA352" i="43" s="1"/>
  <c r="L338" i="43"/>
  <c r="N338" i="43" s="1"/>
  <c r="FP338" i="43" s="1"/>
  <c r="X338" i="43"/>
  <c r="X358" i="43"/>
  <c r="L358" i="43"/>
  <c r="N358" i="43" s="1"/>
  <c r="FP358" i="43" s="1"/>
  <c r="EH354" i="43"/>
  <c r="IA364" i="43"/>
  <c r="HT364" i="43"/>
  <c r="HU364" i="43" s="1"/>
  <c r="HV364" i="43" s="1"/>
  <c r="BA364" i="43" s="1"/>
  <c r="AA351" i="43"/>
  <c r="IA340" i="43"/>
  <c r="HT340" i="43"/>
  <c r="HU340" i="43" s="1"/>
  <c r="HV340" i="43" s="1"/>
  <c r="BA340" i="43" s="1"/>
  <c r="EH373" i="43"/>
  <c r="L356" i="43"/>
  <c r="N356" i="43" s="1"/>
  <c r="FP356" i="43" s="1"/>
  <c r="X356" i="43"/>
  <c r="EH367" i="43"/>
  <c r="L357" i="43"/>
  <c r="N357" i="43" s="1"/>
  <c r="FP357" i="43" s="1"/>
  <c r="X357" i="43"/>
  <c r="X349" i="43"/>
  <c r="L349" i="43"/>
  <c r="N349" i="43" s="1"/>
  <c r="FP349" i="43" s="1"/>
  <c r="AB318" i="43"/>
  <c r="AA318" i="43"/>
  <c r="EH343" i="43"/>
  <c r="L322" i="43"/>
  <c r="N322" i="43" s="1"/>
  <c r="FP322" i="43" s="1"/>
  <c r="X322" i="43"/>
  <c r="L328" i="43"/>
  <c r="N328" i="43" s="1"/>
  <c r="FP328" i="43" s="1"/>
  <c r="X328" i="43"/>
  <c r="L371" i="43"/>
  <c r="N371" i="43" s="1"/>
  <c r="FP371" i="43" s="1"/>
  <c r="X371" i="43"/>
  <c r="AB365" i="43"/>
  <c r="AA365" i="43"/>
  <c r="L336" i="43"/>
  <c r="N336" i="43" s="1"/>
  <c r="FP336" i="43" s="1"/>
  <c r="X336" i="43"/>
  <c r="EH340" i="43"/>
  <c r="EH369" i="43"/>
  <c r="EH337" i="43"/>
  <c r="X375" i="43"/>
  <c r="L375" i="43"/>
  <c r="N375" i="43" s="1"/>
  <c r="FP375" i="43" s="1"/>
  <c r="L334" i="43"/>
  <c r="N334" i="43" s="1"/>
  <c r="FP334" i="43" s="1"/>
  <c r="X334" i="43"/>
  <c r="EH355" i="43"/>
  <c r="EH341" i="43"/>
  <c r="X335" i="43"/>
  <c r="L335" i="43"/>
  <c r="N335" i="43" s="1"/>
  <c r="FP335" i="43" s="1"/>
  <c r="EH351" i="43"/>
  <c r="EH334" i="43"/>
  <c r="L347" i="43"/>
  <c r="N347" i="43" s="1"/>
  <c r="FP347" i="43" s="1"/>
  <c r="X347" i="43"/>
  <c r="EH347" i="43"/>
  <c r="X326" i="43"/>
  <c r="L326" i="43"/>
  <c r="N326" i="43" s="1"/>
  <c r="FP326" i="43" s="1"/>
  <c r="X354" i="43"/>
  <c r="L354" i="43"/>
  <c r="N354" i="43" s="1"/>
  <c r="FP354" i="43" s="1"/>
  <c r="AA380" i="43"/>
  <c r="IA335" i="43"/>
  <c r="HT335" i="43"/>
  <c r="HU335" i="43" s="1"/>
  <c r="BA335" i="43" s="1"/>
  <c r="IA334" i="43"/>
  <c r="HT334" i="43"/>
  <c r="HU334" i="43" s="1"/>
  <c r="HV334" i="43" s="1"/>
  <c r="BA334" i="43" s="1"/>
  <c r="AU379" i="43"/>
  <c r="AH379" i="43" s="1"/>
  <c r="IA348" i="43"/>
  <c r="HT348" i="43"/>
  <c r="HU348" i="43" s="1"/>
  <c r="HV348" i="43" s="1"/>
  <c r="BA348" i="43" s="1"/>
  <c r="AA339" i="43"/>
  <c r="Q373" i="43" l="1"/>
  <c r="Q372" i="43"/>
  <c r="Q371" i="43"/>
  <c r="Q370" i="43"/>
  <c r="AB370" i="43" s="1"/>
  <c r="AA367" i="43"/>
  <c r="AB367" i="43"/>
  <c r="Q368" i="43"/>
  <c r="AB369" i="43"/>
  <c r="AA369" i="43"/>
  <c r="Q357" i="43"/>
  <c r="Q356" i="43"/>
  <c r="Q353" i="43"/>
  <c r="Q354" i="43"/>
  <c r="Q355" i="43"/>
  <c r="Q343" i="43"/>
  <c r="Q328" i="43"/>
  <c r="AB328" i="43" s="1"/>
  <c r="HT328" i="43" s="1"/>
  <c r="HU328" i="43" s="1"/>
  <c r="HV328" i="43" s="1"/>
  <c r="BA328" i="43" s="1"/>
  <c r="AZ328" i="43" s="1"/>
  <c r="V325" i="45" s="1"/>
  <c r="Q325" i="43"/>
  <c r="Q323" i="43"/>
  <c r="Q322" i="43"/>
  <c r="FF14" i="43"/>
  <c r="T11" i="45"/>
  <c r="AB11" i="45" s="1"/>
  <c r="GJ15" i="43"/>
  <c r="Q375" i="43"/>
  <c r="Q374" i="43"/>
  <c r="AB361" i="43"/>
  <c r="AA361" i="43"/>
  <c r="Q360" i="43"/>
  <c r="Q359" i="43"/>
  <c r="AB359" i="43" s="1"/>
  <c r="Q358" i="43"/>
  <c r="AB358" i="43" s="1"/>
  <c r="IA358" i="43" s="1"/>
  <c r="Q347" i="43"/>
  <c r="Q346" i="43"/>
  <c r="Q345" i="43"/>
  <c r="Q344" i="43"/>
  <c r="AB344" i="43" s="1"/>
  <c r="Q332" i="43"/>
  <c r="Q333" i="43"/>
  <c r="Q331" i="43"/>
  <c r="Q326" i="43"/>
  <c r="Q327" i="43"/>
  <c r="AB327" i="43" s="1"/>
  <c r="HT327" i="43" s="1"/>
  <c r="HU327" i="43" s="1"/>
  <c r="HV327" i="43" s="1"/>
  <c r="BA327" i="43" s="1"/>
  <c r="AU327" i="43" s="1"/>
  <c r="AH327" i="43" s="1"/>
  <c r="Q329" i="43"/>
  <c r="Q330" i="43"/>
  <c r="H99" i="35"/>
  <c r="J99" i="35"/>
  <c r="I99" i="35"/>
  <c r="L99" i="35"/>
  <c r="K99" i="35"/>
  <c r="EH319" i="43"/>
  <c r="AA319" i="43"/>
  <c r="AB319" i="43"/>
  <c r="AU334" i="43"/>
  <c r="AH334" i="43" s="1"/>
  <c r="AZ334" i="43"/>
  <c r="V331" i="45" s="1"/>
  <c r="IA318" i="43"/>
  <c r="HT318" i="43"/>
  <c r="HU318" i="43" s="1"/>
  <c r="HV318" i="43" s="1"/>
  <c r="BA318" i="43" s="1"/>
  <c r="HT362" i="43"/>
  <c r="HU362" i="43" s="1"/>
  <c r="HV362" i="43" s="1"/>
  <c r="BA362" i="43" s="1"/>
  <c r="IA362" i="43"/>
  <c r="AZ376" i="43"/>
  <c r="V373" i="45" s="1"/>
  <c r="AU376" i="43"/>
  <c r="AH376" i="43" s="1"/>
  <c r="AU317" i="43"/>
  <c r="AZ317" i="43"/>
  <c r="HT324" i="43"/>
  <c r="HU324" i="43" s="1"/>
  <c r="HV324" i="43" s="1"/>
  <c r="BA324" i="43" s="1"/>
  <c r="IA324" i="43"/>
  <c r="EN379" i="43"/>
  <c r="AI379" i="43"/>
  <c r="AU340" i="43"/>
  <c r="AH340" i="43" s="1"/>
  <c r="AZ340" i="43"/>
  <c r="V337" i="45" s="1"/>
  <c r="IA320" i="43"/>
  <c r="HT320" i="43"/>
  <c r="HU320" i="43" s="1"/>
  <c r="HV320" i="43" s="1"/>
  <c r="BA320" i="43" s="1"/>
  <c r="IA336" i="43"/>
  <c r="HT336" i="43"/>
  <c r="HU336" i="43" s="1"/>
  <c r="HV336" i="43" s="1"/>
  <c r="BA336" i="43" s="1"/>
  <c r="AU348" i="43"/>
  <c r="AH348" i="43" s="1"/>
  <c r="AZ348" i="43"/>
  <c r="V345" i="45" s="1"/>
  <c r="AZ335" i="43"/>
  <c r="V332" i="45" s="1"/>
  <c r="AU335" i="43"/>
  <c r="AH335" i="43" s="1"/>
  <c r="HT365" i="43"/>
  <c r="HU365" i="43" s="1"/>
  <c r="HV365" i="43" s="1"/>
  <c r="BA365" i="43" s="1"/>
  <c r="IA365" i="43"/>
  <c r="AU364" i="43"/>
  <c r="AH364" i="43" s="1"/>
  <c r="AZ364" i="43"/>
  <c r="V361" i="45" s="1"/>
  <c r="AU352" i="43"/>
  <c r="AH352" i="43" s="1"/>
  <c r="AZ352" i="43"/>
  <c r="V349" i="45" s="1"/>
  <c r="IA350" i="43"/>
  <c r="HT350" i="43"/>
  <c r="HU350" i="43" s="1"/>
  <c r="HV350" i="43" s="1"/>
  <c r="BA350" i="43" s="1"/>
  <c r="AZ339" i="43"/>
  <c r="V336" i="45" s="1"/>
  <c r="AU339" i="43"/>
  <c r="AH339" i="43" s="1"/>
  <c r="IA321" i="43"/>
  <c r="HT321" i="43"/>
  <c r="HU321" i="43" s="1"/>
  <c r="HV321" i="43" s="1"/>
  <c r="BA321" i="43" s="1"/>
  <c r="AU341" i="43"/>
  <c r="AH341" i="43" s="1"/>
  <c r="AZ341" i="43"/>
  <c r="V338" i="45" s="1"/>
  <c r="EN380" i="43"/>
  <c r="AI380" i="43"/>
  <c r="AU351" i="43"/>
  <c r="AH351" i="43" s="1"/>
  <c r="AZ351" i="43"/>
  <c r="V348" i="45" s="1"/>
  <c r="EN366" i="43"/>
  <c r="AI366" i="43"/>
  <c r="IA338" i="43"/>
  <c r="HT338" i="43"/>
  <c r="HU338" i="43" s="1"/>
  <c r="HV338" i="43" s="1"/>
  <c r="BA338" i="43" s="1"/>
  <c r="EN378" i="43"/>
  <c r="AI378" i="43"/>
  <c r="AZ363" i="43"/>
  <c r="V360" i="45" s="1"/>
  <c r="AU363" i="43"/>
  <c r="AH363" i="43" s="1"/>
  <c r="EN381" i="43"/>
  <c r="AI381" i="43"/>
  <c r="EN349" i="43"/>
  <c r="AI349" i="43"/>
  <c r="IA337" i="43"/>
  <c r="HT337" i="43"/>
  <c r="HU337" i="43" s="1"/>
  <c r="HV337" i="43" s="1"/>
  <c r="BA337" i="43" s="1"/>
  <c r="AI377" i="43"/>
  <c r="EN377" i="43"/>
  <c r="AZ342" i="43"/>
  <c r="V339" i="45" s="1"/>
  <c r="AU342" i="43"/>
  <c r="AH342" i="43" s="1"/>
  <c r="AB373" i="43" l="1"/>
  <c r="AA373" i="43"/>
  <c r="AB372" i="43"/>
  <c r="AA372" i="43"/>
  <c r="AA371" i="43"/>
  <c r="AB371" i="43"/>
  <c r="AA370" i="43"/>
  <c r="HT370" i="43"/>
  <c r="HU370" i="43" s="1"/>
  <c r="HV370" i="43" s="1"/>
  <c r="BA370" i="43" s="1"/>
  <c r="IA370" i="43"/>
  <c r="IA367" i="43"/>
  <c r="HT367" i="43"/>
  <c r="HU367" i="43" s="1"/>
  <c r="HV367" i="43" s="1"/>
  <c r="BA367" i="43" s="1"/>
  <c r="AA368" i="43"/>
  <c r="AB368" i="43"/>
  <c r="HT369" i="43"/>
  <c r="HU369" i="43" s="1"/>
  <c r="HV369" i="43" s="1"/>
  <c r="BA369" i="43" s="1"/>
  <c r="IA369" i="43"/>
  <c r="AB357" i="43"/>
  <c r="AA357" i="43"/>
  <c r="AB356" i="43"/>
  <c r="AA356" i="43"/>
  <c r="AA354" i="43"/>
  <c r="AB354" i="43"/>
  <c r="AB353" i="43"/>
  <c r="AA353" i="43"/>
  <c r="AB355" i="43"/>
  <c r="AA355" i="43"/>
  <c r="AB343" i="43"/>
  <c r="AA343" i="43"/>
  <c r="AA328" i="43"/>
  <c r="AU328" i="43"/>
  <c r="AH328" i="43" s="1"/>
  <c r="EN328" i="43" s="1"/>
  <c r="IA328" i="43"/>
  <c r="AA325" i="43"/>
  <c r="AB325" i="43"/>
  <c r="AA323" i="43"/>
  <c r="AB323" i="43"/>
  <c r="AB322" i="43"/>
  <c r="AA322" i="43"/>
  <c r="AC11" i="45"/>
  <c r="AA11" i="45"/>
  <c r="HA15" i="43"/>
  <c r="HC15" i="43" s="1"/>
  <c r="CP15" i="43" s="1"/>
  <c r="HH15" i="43"/>
  <c r="HJ15" i="43" s="1"/>
  <c r="DI15" i="43" s="1"/>
  <c r="GM15" i="43"/>
  <c r="GT15" i="43"/>
  <c r="GV15" i="43" s="1"/>
  <c r="BU15" i="43" s="1"/>
  <c r="AB375" i="43"/>
  <c r="AA375" i="43"/>
  <c r="AB374" i="43"/>
  <c r="AA374" i="43"/>
  <c r="IA361" i="43"/>
  <c r="HT361" i="43"/>
  <c r="HU361" i="43" s="1"/>
  <c r="HV361" i="43" s="1"/>
  <c r="BA361" i="43" s="1"/>
  <c r="HT358" i="43"/>
  <c r="HU358" i="43" s="1"/>
  <c r="HV358" i="43" s="1"/>
  <c r="BA358" i="43" s="1"/>
  <c r="AZ358" i="43" s="1"/>
  <c r="V355" i="45" s="1"/>
  <c r="AB360" i="43"/>
  <c r="AA360" i="43"/>
  <c r="IA359" i="43"/>
  <c r="HT359" i="43"/>
  <c r="HU359" i="43" s="1"/>
  <c r="HV359" i="43" s="1"/>
  <c r="BA359" i="43" s="1"/>
  <c r="AA359" i="43"/>
  <c r="AA358" i="43"/>
  <c r="AB347" i="43"/>
  <c r="AA347" i="43"/>
  <c r="AZ327" i="43"/>
  <c r="V324" i="45" s="1"/>
  <c r="AB346" i="43"/>
  <c r="AA346" i="43"/>
  <c r="IA327" i="43"/>
  <c r="AB345" i="43"/>
  <c r="AA345" i="43"/>
  <c r="AA344" i="43"/>
  <c r="HT344" i="43"/>
  <c r="HU344" i="43" s="1"/>
  <c r="HV344" i="43" s="1"/>
  <c r="BA344" i="43" s="1"/>
  <c r="IA344" i="43"/>
  <c r="AA327" i="43"/>
  <c r="AA332" i="43"/>
  <c r="AB332" i="43"/>
  <c r="AB333" i="43"/>
  <c r="AA333" i="43"/>
  <c r="AB331" i="43"/>
  <c r="AA331" i="43"/>
  <c r="AA326" i="43"/>
  <c r="AB326" i="43"/>
  <c r="AB329" i="43"/>
  <c r="AA329" i="43"/>
  <c r="AB330" i="43"/>
  <c r="AA330" i="43"/>
  <c r="IA319" i="43"/>
  <c r="HT319" i="43"/>
  <c r="HU319" i="43" s="1"/>
  <c r="HV319" i="43" s="1"/>
  <c r="BA319" i="43" s="1"/>
  <c r="V314" i="45"/>
  <c r="AI342" i="43"/>
  <c r="EN342" i="43"/>
  <c r="D378" i="45"/>
  <c r="U378" i="45" s="1"/>
  <c r="EO381" i="43"/>
  <c r="D377" i="45"/>
  <c r="U377" i="45" s="1"/>
  <c r="EO380" i="43"/>
  <c r="AU320" i="43"/>
  <c r="AH320" i="43" s="1"/>
  <c r="AZ320" i="43"/>
  <c r="V317" i="45" s="1"/>
  <c r="AZ362" i="43"/>
  <c r="V359" i="45" s="1"/>
  <c r="AU362" i="43"/>
  <c r="AH362" i="43" s="1"/>
  <c r="EN352" i="43"/>
  <c r="AI352" i="43"/>
  <c r="EN348" i="43"/>
  <c r="AI348" i="43"/>
  <c r="AU324" i="43"/>
  <c r="AH324" i="43" s="1"/>
  <c r="AZ324" i="43"/>
  <c r="V321" i="45" s="1"/>
  <c r="EO349" i="43"/>
  <c r="HZ349" i="43"/>
  <c r="D346" i="45"/>
  <c r="U346" i="45" s="1"/>
  <c r="AZ338" i="43"/>
  <c r="V335" i="45" s="1"/>
  <c r="AU338" i="43"/>
  <c r="AH338" i="43" s="1"/>
  <c r="AU350" i="43"/>
  <c r="AH350" i="43" s="1"/>
  <c r="AZ350" i="43"/>
  <c r="V347" i="45" s="1"/>
  <c r="EN335" i="43"/>
  <c r="AI335" i="43"/>
  <c r="AZ336" i="43"/>
  <c r="V333" i="45" s="1"/>
  <c r="AU336" i="43"/>
  <c r="AH336" i="43" s="1"/>
  <c r="EO377" i="43"/>
  <c r="D374" i="45"/>
  <c r="U374" i="45" s="1"/>
  <c r="AI341" i="43"/>
  <c r="EN341" i="43"/>
  <c r="EN364" i="43"/>
  <c r="AI364" i="43"/>
  <c r="AI340" i="43"/>
  <c r="EN340" i="43"/>
  <c r="AZ318" i="43"/>
  <c r="V315" i="45" s="1"/>
  <c r="AU318" i="43"/>
  <c r="AH318" i="43" s="1"/>
  <c r="AZ337" i="43"/>
  <c r="V334" i="45" s="1"/>
  <c r="AU337" i="43"/>
  <c r="AH337" i="43" s="1"/>
  <c r="D375" i="45"/>
  <c r="U375" i="45" s="1"/>
  <c r="EO378" i="43"/>
  <c r="EO366" i="43"/>
  <c r="HZ366" i="43"/>
  <c r="D363" i="45"/>
  <c r="U363" i="45" s="1"/>
  <c r="AU321" i="43"/>
  <c r="AH321" i="43" s="1"/>
  <c r="AZ321" i="43"/>
  <c r="V318" i="45" s="1"/>
  <c r="EN339" i="43"/>
  <c r="AI339" i="43"/>
  <c r="D376" i="45"/>
  <c r="U376" i="45" s="1"/>
  <c r="EO379" i="43"/>
  <c r="AH317" i="43"/>
  <c r="EN351" i="43"/>
  <c r="AI351" i="43"/>
  <c r="AU365" i="43"/>
  <c r="AH365" i="43" s="1"/>
  <c r="AZ365" i="43"/>
  <c r="V362" i="45" s="1"/>
  <c r="AI376" i="43"/>
  <c r="EN376" i="43"/>
  <c r="EN363" i="43"/>
  <c r="AI363" i="43"/>
  <c r="EN327" i="43"/>
  <c r="AI327" i="43"/>
  <c r="AI334" i="43"/>
  <c r="EN334" i="43"/>
  <c r="HT373" i="43" l="1"/>
  <c r="HU373" i="43" s="1"/>
  <c r="HV373" i="43" s="1"/>
  <c r="BA373" i="43" s="1"/>
  <c r="IA373" i="43"/>
  <c r="IA372" i="43"/>
  <c r="HT372" i="43"/>
  <c r="HU372" i="43" s="1"/>
  <c r="HV372" i="43" s="1"/>
  <c r="BA372" i="43" s="1"/>
  <c r="HT371" i="43"/>
  <c r="HU371" i="43" s="1"/>
  <c r="HV371" i="43" s="1"/>
  <c r="BA371" i="43" s="1"/>
  <c r="IA371" i="43"/>
  <c r="AU370" i="43"/>
  <c r="AH370" i="43" s="1"/>
  <c r="AZ370" i="43"/>
  <c r="V367" i="45" s="1"/>
  <c r="IA368" i="43"/>
  <c r="HT368" i="43"/>
  <c r="HU368" i="43" s="1"/>
  <c r="HV368" i="43" s="1"/>
  <c r="BA368" i="43" s="1"/>
  <c r="AU367" i="43"/>
  <c r="AH367" i="43" s="1"/>
  <c r="AZ367" i="43"/>
  <c r="V364" i="45" s="1"/>
  <c r="AZ369" i="43"/>
  <c r="V366" i="45" s="1"/>
  <c r="AU369" i="43"/>
  <c r="AH369" i="43" s="1"/>
  <c r="HT357" i="43"/>
  <c r="HU357" i="43" s="1"/>
  <c r="HV357" i="43" s="1"/>
  <c r="BA357" i="43" s="1"/>
  <c r="IA357" i="43"/>
  <c r="HT356" i="43"/>
  <c r="HU356" i="43" s="1"/>
  <c r="HV356" i="43" s="1"/>
  <c r="BA356" i="43" s="1"/>
  <c r="IA356" i="43"/>
  <c r="IA353" i="43"/>
  <c r="HT353" i="43"/>
  <c r="HU353" i="43" s="1"/>
  <c r="HV353" i="43" s="1"/>
  <c r="BA353" i="43" s="1"/>
  <c r="IA354" i="43"/>
  <c r="HT354" i="43"/>
  <c r="HU354" i="43" s="1"/>
  <c r="HV354" i="43" s="1"/>
  <c r="BA354" i="43" s="1"/>
  <c r="IA355" i="43"/>
  <c r="HT355" i="43"/>
  <c r="HU355" i="43" s="1"/>
  <c r="HV355" i="43" s="1"/>
  <c r="BA355" i="43" s="1"/>
  <c r="IA343" i="43"/>
  <c r="HT343" i="43"/>
  <c r="HU343" i="43" s="1"/>
  <c r="HV343" i="43" s="1"/>
  <c r="BA343" i="43" s="1"/>
  <c r="AI328" i="43"/>
  <c r="EO328" i="43" s="1"/>
  <c r="HT325" i="43"/>
  <c r="HU325" i="43" s="1"/>
  <c r="HV325" i="43" s="1"/>
  <c r="BA325" i="43" s="1"/>
  <c r="IA325" i="43"/>
  <c r="IA323" i="43"/>
  <c r="HT323" i="43"/>
  <c r="HU323" i="43" s="1"/>
  <c r="HV323" i="43" s="1"/>
  <c r="BA323" i="43" s="1"/>
  <c r="IA322" i="43"/>
  <c r="HT322" i="43"/>
  <c r="HU322" i="43" s="1"/>
  <c r="HV322" i="43" s="1"/>
  <c r="BA322" i="43" s="1"/>
  <c r="DK15" i="43"/>
  <c r="HL16" i="43"/>
  <c r="HK16" i="43" s="1"/>
  <c r="HG16" i="43" s="1"/>
  <c r="CR15" i="43"/>
  <c r="HE16" i="43"/>
  <c r="HD16" i="43" s="1"/>
  <c r="BW15" i="43"/>
  <c r="GX16" i="43"/>
  <c r="GW16" i="43" s="1"/>
  <c r="GO15" i="43"/>
  <c r="BB15" i="43" s="1"/>
  <c r="GK15" i="43"/>
  <c r="HT375" i="43"/>
  <c r="HU375" i="43" s="1"/>
  <c r="HV375" i="43" s="1"/>
  <c r="BA375" i="43" s="1"/>
  <c r="IA375" i="43"/>
  <c r="HT374" i="43"/>
  <c r="HU374" i="43" s="1"/>
  <c r="HV374" i="43" s="1"/>
  <c r="BA374" i="43" s="1"/>
  <c r="IA374" i="43"/>
  <c r="AU358" i="43"/>
  <c r="AH358" i="43" s="1"/>
  <c r="EN358" i="43" s="1"/>
  <c r="AZ361" i="43"/>
  <c r="V358" i="45" s="1"/>
  <c r="AU361" i="43"/>
  <c r="AH361" i="43" s="1"/>
  <c r="IA360" i="43"/>
  <c r="HT360" i="43"/>
  <c r="HU360" i="43" s="1"/>
  <c r="HV360" i="43" s="1"/>
  <c r="BA360" i="43" s="1"/>
  <c r="AZ359" i="43"/>
  <c r="V356" i="45" s="1"/>
  <c r="AU359" i="43"/>
  <c r="AH359" i="43" s="1"/>
  <c r="IA347" i="43"/>
  <c r="HT347" i="43"/>
  <c r="HU347" i="43" s="1"/>
  <c r="HV347" i="43" s="1"/>
  <c r="BA347" i="43" s="1"/>
  <c r="IA346" i="43"/>
  <c r="HT346" i="43"/>
  <c r="HU346" i="43" s="1"/>
  <c r="HV346" i="43" s="1"/>
  <c r="BA346" i="43" s="1"/>
  <c r="HT345" i="43"/>
  <c r="HU345" i="43" s="1"/>
  <c r="HV345" i="43" s="1"/>
  <c r="BA345" i="43" s="1"/>
  <c r="IA345" i="43"/>
  <c r="AZ344" i="43"/>
  <c r="V341" i="45" s="1"/>
  <c r="AU344" i="43"/>
  <c r="AH344" i="43" s="1"/>
  <c r="IA332" i="43"/>
  <c r="HT332" i="43"/>
  <c r="HU332" i="43" s="1"/>
  <c r="HV332" i="43" s="1"/>
  <c r="BA332" i="43" s="1"/>
  <c r="HT333" i="43"/>
  <c r="HU333" i="43" s="1"/>
  <c r="HV333" i="43" s="1"/>
  <c r="BA333" i="43" s="1"/>
  <c r="IA333" i="43"/>
  <c r="HT331" i="43"/>
  <c r="HU331" i="43" s="1"/>
  <c r="HV331" i="43" s="1"/>
  <c r="BA331" i="43" s="1"/>
  <c r="IA331" i="43"/>
  <c r="HT326" i="43"/>
  <c r="HU326" i="43" s="1"/>
  <c r="HV326" i="43" s="1"/>
  <c r="BA326" i="43" s="1"/>
  <c r="IA326" i="43"/>
  <c r="IA329" i="43"/>
  <c r="HT329" i="43"/>
  <c r="HU329" i="43" s="1"/>
  <c r="HV329" i="43" s="1"/>
  <c r="BA329" i="43" s="1"/>
  <c r="IA330" i="43"/>
  <c r="HT330" i="43"/>
  <c r="HU330" i="43" s="1"/>
  <c r="HV330" i="43" s="1"/>
  <c r="BA330" i="43" s="1"/>
  <c r="AZ319" i="43"/>
  <c r="V316" i="45" s="1"/>
  <c r="AU319" i="43"/>
  <c r="AH319" i="43" s="1"/>
  <c r="EN337" i="43"/>
  <c r="AI337" i="43"/>
  <c r="EN338" i="43"/>
  <c r="AI338" i="43"/>
  <c r="EN350" i="43"/>
  <c r="AI350" i="43"/>
  <c r="EN324" i="43"/>
  <c r="AI324" i="43"/>
  <c r="EO376" i="43"/>
  <c r="HZ376" i="43"/>
  <c r="D373" i="45"/>
  <c r="U373" i="45" s="1"/>
  <c r="IB366" i="43"/>
  <c r="ID366" i="43"/>
  <c r="AI318" i="43"/>
  <c r="EN318" i="43"/>
  <c r="EO364" i="43"/>
  <c r="HZ364" i="43"/>
  <c r="D361" i="45"/>
  <c r="U361" i="45" s="1"/>
  <c r="EO335" i="43"/>
  <c r="HZ335" i="43"/>
  <c r="D332" i="45"/>
  <c r="U332" i="45" s="1"/>
  <c r="HZ352" i="43"/>
  <c r="D349" i="45"/>
  <c r="U349" i="45" s="1"/>
  <c r="EO352" i="43"/>
  <c r="EN320" i="43"/>
  <c r="AI320" i="43"/>
  <c r="HZ342" i="43"/>
  <c r="EO342" i="43"/>
  <c r="D339" i="45"/>
  <c r="U339" i="45" s="1"/>
  <c r="EO327" i="43"/>
  <c r="D324" i="45"/>
  <c r="U324" i="45" s="1"/>
  <c r="HZ327" i="43"/>
  <c r="EO341" i="43"/>
  <c r="D338" i="45"/>
  <c r="U338" i="45" s="1"/>
  <c r="HZ341" i="43"/>
  <c r="ID349" i="43"/>
  <c r="IB349" i="43"/>
  <c r="EN362" i="43"/>
  <c r="AI362" i="43"/>
  <c r="EN365" i="43"/>
  <c r="AI365" i="43"/>
  <c r="EN321" i="43"/>
  <c r="AI321" i="43"/>
  <c r="EN336" i="43"/>
  <c r="AI336" i="43"/>
  <c r="HZ348" i="43"/>
  <c r="EO348" i="43"/>
  <c r="D345" i="45"/>
  <c r="U345" i="45" s="1"/>
  <c r="HZ334" i="43"/>
  <c r="D331" i="45"/>
  <c r="U331" i="45" s="1"/>
  <c r="EO334" i="43"/>
  <c r="HZ363" i="43"/>
  <c r="EO363" i="43"/>
  <c r="D360" i="45"/>
  <c r="U360" i="45" s="1"/>
  <c r="D348" i="45"/>
  <c r="U348" i="45" s="1"/>
  <c r="HZ351" i="43"/>
  <c r="EO351" i="43"/>
  <c r="EO339" i="43"/>
  <c r="D336" i="45"/>
  <c r="U336" i="45" s="1"/>
  <c r="HZ339" i="43"/>
  <c r="EO340" i="43"/>
  <c r="HZ340" i="43"/>
  <c r="D337" i="45"/>
  <c r="U337" i="45" s="1"/>
  <c r="EN317" i="43"/>
  <c r="AI317" i="43"/>
  <c r="AU373" i="43" l="1"/>
  <c r="AH373" i="43" s="1"/>
  <c r="AZ373" i="43"/>
  <c r="V370" i="45" s="1"/>
  <c r="AU372" i="43"/>
  <c r="AH372" i="43" s="1"/>
  <c r="AZ372" i="43"/>
  <c r="V369" i="45" s="1"/>
  <c r="AZ371" i="43"/>
  <c r="V368" i="45" s="1"/>
  <c r="AU371" i="43"/>
  <c r="AH371" i="43" s="1"/>
  <c r="AI370" i="43"/>
  <c r="EN370" i="43"/>
  <c r="EN367" i="43"/>
  <c r="AI367" i="43"/>
  <c r="AU368" i="43"/>
  <c r="AH368" i="43" s="1"/>
  <c r="AZ368" i="43"/>
  <c r="V365" i="45" s="1"/>
  <c r="EN369" i="43"/>
  <c r="AI369" i="43"/>
  <c r="AZ357" i="43"/>
  <c r="V354" i="45" s="1"/>
  <c r="AU357" i="43"/>
  <c r="AH357" i="43" s="1"/>
  <c r="AU356" i="43"/>
  <c r="AH356" i="43" s="1"/>
  <c r="AZ356" i="43"/>
  <c r="V353" i="45" s="1"/>
  <c r="AU354" i="43"/>
  <c r="AH354" i="43" s="1"/>
  <c r="AZ354" i="43"/>
  <c r="V351" i="45" s="1"/>
  <c r="AU353" i="43"/>
  <c r="AH353" i="43" s="1"/>
  <c r="AZ353" i="43"/>
  <c r="V350" i="45" s="1"/>
  <c r="AZ355" i="43"/>
  <c r="V352" i="45" s="1"/>
  <c r="AU355" i="43"/>
  <c r="AH355" i="43" s="1"/>
  <c r="AU343" i="43"/>
  <c r="AH343" i="43" s="1"/>
  <c r="AZ343" i="43"/>
  <c r="V340" i="45" s="1"/>
  <c r="HZ328" i="43"/>
  <c r="IB328" i="43" s="1"/>
  <c r="HX328" i="43" s="1"/>
  <c r="D325" i="45"/>
  <c r="U325" i="45" s="1"/>
  <c r="AU325" i="43"/>
  <c r="AH325" i="43" s="1"/>
  <c r="AZ325" i="43"/>
  <c r="V322" i="45" s="1"/>
  <c r="AU323" i="43"/>
  <c r="AH323" i="43" s="1"/>
  <c r="AZ323" i="43"/>
  <c r="V320" i="45" s="1"/>
  <c r="AU322" i="43"/>
  <c r="AH322" i="43" s="1"/>
  <c r="AZ322" i="43"/>
  <c r="V319" i="45" s="1"/>
  <c r="GZ16" i="43"/>
  <c r="AW12" i="45"/>
  <c r="GQ16" i="43"/>
  <c r="GP16" i="43" s="1"/>
  <c r="AN15" i="43"/>
  <c r="BD15" i="43"/>
  <c r="GS16" i="43"/>
  <c r="GU15" i="43"/>
  <c r="HI15" i="43"/>
  <c r="HB15" i="43"/>
  <c r="GN15" i="43"/>
  <c r="AI358" i="43"/>
  <c r="D355" i="45" s="1"/>
  <c r="U355" i="45" s="1"/>
  <c r="AZ375" i="43"/>
  <c r="V372" i="45" s="1"/>
  <c r="AU375" i="43"/>
  <c r="AH375" i="43" s="1"/>
  <c r="AZ374" i="43"/>
  <c r="V371" i="45" s="1"/>
  <c r="AU374" i="43"/>
  <c r="AH374" i="43" s="1"/>
  <c r="AI361" i="43"/>
  <c r="EN361" i="43"/>
  <c r="AU360" i="43"/>
  <c r="AH360" i="43" s="1"/>
  <c r="AZ360" i="43"/>
  <c r="V357" i="45" s="1"/>
  <c r="AI359" i="43"/>
  <c r="EN359" i="43"/>
  <c r="AU347" i="43"/>
  <c r="AH347" i="43" s="1"/>
  <c r="AZ347" i="43"/>
  <c r="V344" i="45" s="1"/>
  <c r="AU346" i="43"/>
  <c r="AH346" i="43" s="1"/>
  <c r="AZ346" i="43"/>
  <c r="V343" i="45" s="1"/>
  <c r="AZ345" i="43"/>
  <c r="V342" i="45" s="1"/>
  <c r="AU345" i="43"/>
  <c r="AH345" i="43" s="1"/>
  <c r="EN344" i="43"/>
  <c r="AI344" i="43"/>
  <c r="AU332" i="43"/>
  <c r="AH332" i="43" s="1"/>
  <c r="AZ332" i="43"/>
  <c r="V329" i="45" s="1"/>
  <c r="AZ333" i="43"/>
  <c r="V330" i="45" s="1"/>
  <c r="AU333" i="43"/>
  <c r="AH333" i="43" s="1"/>
  <c r="AZ331" i="43"/>
  <c r="V328" i="45" s="1"/>
  <c r="AU331" i="43"/>
  <c r="AH331" i="43" s="1"/>
  <c r="AZ326" i="43"/>
  <c r="AU326" i="43"/>
  <c r="AH326" i="43" s="1"/>
  <c r="AU329" i="43"/>
  <c r="AZ329" i="43"/>
  <c r="AZ330" i="43"/>
  <c r="AU330" i="43"/>
  <c r="AI319" i="43"/>
  <c r="EN319" i="43"/>
  <c r="EO362" i="43"/>
  <c r="D359" i="45"/>
  <c r="U359" i="45" s="1"/>
  <c r="HZ362" i="43"/>
  <c r="ID327" i="43"/>
  <c r="IB327" i="43"/>
  <c r="ID376" i="43"/>
  <c r="IB376" i="43"/>
  <c r="HZ350" i="43"/>
  <c r="EO350" i="43"/>
  <c r="D347" i="45"/>
  <c r="U347" i="45" s="1"/>
  <c r="EO317" i="43"/>
  <c r="HZ317" i="43"/>
  <c r="D314" i="45"/>
  <c r="U314" i="45" s="1"/>
  <c r="IB334" i="43"/>
  <c r="ID334" i="43"/>
  <c r="ID348" i="43"/>
  <c r="IB348" i="43"/>
  <c r="EO365" i="43"/>
  <c r="D362" i="45"/>
  <c r="U362" i="45" s="1"/>
  <c r="HZ365" i="43"/>
  <c r="IB341" i="43"/>
  <c r="ID341" i="43"/>
  <c r="HZ324" i="43"/>
  <c r="D321" i="45"/>
  <c r="U321" i="45" s="1"/>
  <c r="EO324" i="43"/>
  <c r="EO336" i="43"/>
  <c r="HZ336" i="43"/>
  <c r="D333" i="45"/>
  <c r="U333" i="45" s="1"/>
  <c r="ID364" i="43"/>
  <c r="IB364" i="43"/>
  <c r="HW366" i="43"/>
  <c r="IC366" i="43"/>
  <c r="HX366" i="43"/>
  <c r="IB335" i="43"/>
  <c r="ID335" i="43"/>
  <c r="IC349" i="43"/>
  <c r="HW349" i="43"/>
  <c r="HX349" i="43"/>
  <c r="HZ318" i="43"/>
  <c r="D315" i="45"/>
  <c r="U315" i="45" s="1"/>
  <c r="EO318" i="43"/>
  <c r="IB340" i="43"/>
  <c r="ID340" i="43"/>
  <c r="IB339" i="43"/>
  <c r="ID339" i="43"/>
  <c r="ID351" i="43"/>
  <c r="IB351" i="43"/>
  <c r="ID363" i="43"/>
  <c r="IB363" i="43"/>
  <c r="HZ321" i="43"/>
  <c r="EO321" i="43"/>
  <c r="D318" i="45"/>
  <c r="U318" i="45" s="1"/>
  <c r="ID342" i="43"/>
  <c r="IB342" i="43"/>
  <c r="EO320" i="43"/>
  <c r="D317" i="45"/>
  <c r="U317" i="45" s="1"/>
  <c r="HZ320" i="43"/>
  <c r="IB352" i="43"/>
  <c r="ID352" i="43"/>
  <c r="EO338" i="43"/>
  <c r="HZ338" i="43"/>
  <c r="D335" i="45"/>
  <c r="U335" i="45" s="1"/>
  <c r="EO337" i="43"/>
  <c r="D334" i="45"/>
  <c r="U334" i="45" s="1"/>
  <c r="HZ337" i="43"/>
  <c r="EN373" i="43" l="1"/>
  <c r="AI373" i="43"/>
  <c r="EN372" i="43"/>
  <c r="AI372" i="43"/>
  <c r="AI371" i="43"/>
  <c r="EN371" i="43"/>
  <c r="D367" i="45"/>
  <c r="U367" i="45" s="1"/>
  <c r="HZ370" i="43"/>
  <c r="EO370" i="43"/>
  <c r="EN368" i="43"/>
  <c r="AI368" i="43"/>
  <c r="D364" i="45"/>
  <c r="U364" i="45" s="1"/>
  <c r="HZ367" i="43"/>
  <c r="EO367" i="43"/>
  <c r="D366" i="45"/>
  <c r="U366" i="45" s="1"/>
  <c r="HZ369" i="43"/>
  <c r="EO369" i="43"/>
  <c r="AI357" i="43"/>
  <c r="EN357" i="43"/>
  <c r="EN356" i="43"/>
  <c r="AI356" i="43"/>
  <c r="AI353" i="43"/>
  <c r="EN353" i="43"/>
  <c r="AI354" i="43"/>
  <c r="EN354" i="43"/>
  <c r="EN355" i="43"/>
  <c r="AI355" i="43"/>
  <c r="EN343" i="43"/>
  <c r="AI343" i="43"/>
  <c r="ID328" i="43"/>
  <c r="HW328" i="43"/>
  <c r="IC328" i="43"/>
  <c r="EN325" i="43"/>
  <c r="AI325" i="43"/>
  <c r="EN323" i="43"/>
  <c r="AI323" i="43"/>
  <c r="AI322" i="43"/>
  <c r="EN322" i="43"/>
  <c r="EO358" i="43"/>
  <c r="HZ358" i="43"/>
  <c r="IB358" i="43" s="1"/>
  <c r="GL16" i="43"/>
  <c r="GJ16" i="43" s="1"/>
  <c r="GM16" i="43" s="1"/>
  <c r="AO15" i="43"/>
  <c r="DY15" i="43"/>
  <c r="DZ15" i="43" s="1"/>
  <c r="AI375" i="43"/>
  <c r="EN375" i="43"/>
  <c r="AI374" i="43"/>
  <c r="EN374" i="43"/>
  <c r="EO361" i="43"/>
  <c r="D358" i="45"/>
  <c r="U358" i="45" s="1"/>
  <c r="HZ361" i="43"/>
  <c r="EN360" i="43"/>
  <c r="AI360" i="43"/>
  <c r="HZ359" i="43"/>
  <c r="EO359" i="43"/>
  <c r="D356" i="45"/>
  <c r="U356" i="45" s="1"/>
  <c r="EN347" i="43"/>
  <c r="AI347" i="43"/>
  <c r="EN346" i="43"/>
  <c r="AI346" i="43"/>
  <c r="EN345" i="43"/>
  <c r="AI345" i="43"/>
  <c r="EO344" i="43"/>
  <c r="HZ344" i="43"/>
  <c r="D341" i="45"/>
  <c r="U341" i="45" s="1"/>
  <c r="AI332" i="43"/>
  <c r="EN332" i="43"/>
  <c r="AI333" i="43"/>
  <c r="EN333" i="43"/>
  <c r="AI331" i="43"/>
  <c r="EN331" i="43"/>
  <c r="V326" i="45"/>
  <c r="V323" i="45"/>
  <c r="AI326" i="43"/>
  <c r="EN326" i="43"/>
  <c r="AH329" i="43"/>
  <c r="AH330" i="43"/>
  <c r="V327" i="45"/>
  <c r="HZ319" i="43"/>
  <c r="EO319" i="43"/>
  <c r="D316" i="45"/>
  <c r="U316" i="45" s="1"/>
  <c r="HX364" i="43"/>
  <c r="IC364" i="43"/>
  <c r="HW364" i="43"/>
  <c r="IB365" i="43"/>
  <c r="ID365" i="43"/>
  <c r="ID317" i="43"/>
  <c r="IB317" i="43"/>
  <c r="HX327" i="43"/>
  <c r="HW327" i="43"/>
  <c r="IC327" i="43"/>
  <c r="IB337" i="43"/>
  <c r="ID337" i="43"/>
  <c r="IC351" i="43"/>
  <c r="HW351" i="43"/>
  <c r="HX351" i="43"/>
  <c r="HW352" i="43"/>
  <c r="IC352" i="43"/>
  <c r="HX352" i="43"/>
  <c r="IC342" i="43"/>
  <c r="HX342" i="43"/>
  <c r="HW342" i="43"/>
  <c r="IB321" i="43"/>
  <c r="ID321" i="43"/>
  <c r="HW340" i="43"/>
  <c r="IC340" i="43"/>
  <c r="HX340" i="43"/>
  <c r="IB318" i="43"/>
  <c r="ID318" i="43"/>
  <c r="IC335" i="43"/>
  <c r="HX335" i="43"/>
  <c r="HW335" i="43"/>
  <c r="IB336" i="43"/>
  <c r="ID336" i="43"/>
  <c r="HX334" i="43"/>
  <c r="HW334" i="43"/>
  <c r="IC334" i="43"/>
  <c r="IB362" i="43"/>
  <c r="ID362" i="43"/>
  <c r="IC339" i="43"/>
  <c r="HX339" i="43"/>
  <c r="HW339" i="43"/>
  <c r="IB350" i="43"/>
  <c r="ID350" i="43"/>
  <c r="IC376" i="43"/>
  <c r="HX376" i="43"/>
  <c r="HW376" i="43"/>
  <c r="IB338" i="43"/>
  <c r="ID338" i="43"/>
  <c r="IB320" i="43"/>
  <c r="ID320" i="43"/>
  <c r="HX363" i="43"/>
  <c r="HW363" i="43"/>
  <c r="IC363" i="43"/>
  <c r="ID324" i="43"/>
  <c r="IB324" i="43"/>
  <c r="IC341" i="43"/>
  <c r="HX341" i="43"/>
  <c r="HW341" i="43"/>
  <c r="HW348" i="43"/>
  <c r="HX348" i="43"/>
  <c r="IC348" i="43"/>
  <c r="EO373" i="43" l="1"/>
  <c r="D370" i="45"/>
  <c r="U370" i="45" s="1"/>
  <c r="HZ373" i="43"/>
  <c r="EO372" i="43"/>
  <c r="D369" i="45"/>
  <c r="U369" i="45" s="1"/>
  <c r="HZ372" i="43"/>
  <c r="HZ371" i="43"/>
  <c r="D368" i="45"/>
  <c r="U368" i="45" s="1"/>
  <c r="EO371" i="43"/>
  <c r="IB370" i="43"/>
  <c r="ID370" i="43"/>
  <c r="IB367" i="43"/>
  <c r="ID367" i="43"/>
  <c r="EO368" i="43"/>
  <c r="D365" i="45"/>
  <c r="U365" i="45" s="1"/>
  <c r="HZ368" i="43"/>
  <c r="IB369" i="43"/>
  <c r="ID369" i="43"/>
  <c r="D354" i="45"/>
  <c r="U354" i="45" s="1"/>
  <c r="EO357" i="43"/>
  <c r="HZ357" i="43"/>
  <c r="EO356" i="43"/>
  <c r="HZ356" i="43"/>
  <c r="D353" i="45"/>
  <c r="U353" i="45" s="1"/>
  <c r="D351" i="45"/>
  <c r="U351" i="45" s="1"/>
  <c r="HZ354" i="43"/>
  <c r="EO354" i="43"/>
  <c r="HZ353" i="43"/>
  <c r="D350" i="45"/>
  <c r="U350" i="45" s="1"/>
  <c r="EO353" i="43"/>
  <c r="HZ355" i="43"/>
  <c r="D352" i="45"/>
  <c r="U352" i="45" s="1"/>
  <c r="EO355" i="43"/>
  <c r="HZ343" i="43"/>
  <c r="EO343" i="43"/>
  <c r="D340" i="45"/>
  <c r="U340" i="45" s="1"/>
  <c r="EO325" i="43"/>
  <c r="D322" i="45"/>
  <c r="U322" i="45" s="1"/>
  <c r="HZ325" i="43"/>
  <c r="EO323" i="43"/>
  <c r="HZ323" i="43"/>
  <c r="D320" i="45"/>
  <c r="U320" i="45" s="1"/>
  <c r="D319" i="45"/>
  <c r="U319" i="45" s="1"/>
  <c r="EO322" i="43"/>
  <c r="HZ322" i="43"/>
  <c r="ID358" i="43"/>
  <c r="GO16" i="43"/>
  <c r="BB16" i="43" s="1"/>
  <c r="FF15" i="43"/>
  <c r="T12" i="45"/>
  <c r="AB12" i="45" s="1"/>
  <c r="HH16" i="43"/>
  <c r="HJ16" i="43" s="1"/>
  <c r="DI16" i="43" s="1"/>
  <c r="HA16" i="43"/>
  <c r="HC16" i="43" s="1"/>
  <c r="CP16" i="43" s="1"/>
  <c r="GT16" i="43"/>
  <c r="GV16" i="43" s="1"/>
  <c r="BU16" i="43" s="1"/>
  <c r="EO375" i="43"/>
  <c r="D372" i="45"/>
  <c r="U372" i="45" s="1"/>
  <c r="HZ375" i="43"/>
  <c r="D371" i="45"/>
  <c r="U371" i="45" s="1"/>
  <c r="EO374" i="43"/>
  <c r="HZ374" i="43"/>
  <c r="IB361" i="43"/>
  <c r="ID361" i="43"/>
  <c r="HZ360" i="43"/>
  <c r="D357" i="45"/>
  <c r="U357" i="45" s="1"/>
  <c r="EO360" i="43"/>
  <c r="ID359" i="43"/>
  <c r="IB359" i="43"/>
  <c r="EO347" i="43"/>
  <c r="HZ347" i="43"/>
  <c r="D344" i="45"/>
  <c r="U344" i="45" s="1"/>
  <c r="EO346" i="43"/>
  <c r="D343" i="45"/>
  <c r="U343" i="45" s="1"/>
  <c r="HZ346" i="43"/>
  <c r="D342" i="45"/>
  <c r="U342" i="45" s="1"/>
  <c r="HZ345" i="43"/>
  <c r="EO345" i="43"/>
  <c r="IB344" i="43"/>
  <c r="ID344" i="43"/>
  <c r="HZ332" i="43"/>
  <c r="D329" i="45"/>
  <c r="U329" i="45" s="1"/>
  <c r="EO332" i="43"/>
  <c r="HZ333" i="43"/>
  <c r="EO333" i="43"/>
  <c r="D330" i="45"/>
  <c r="U330" i="45" s="1"/>
  <c r="D328" i="45"/>
  <c r="U328" i="45" s="1"/>
  <c r="HZ331" i="43"/>
  <c r="EO331" i="43"/>
  <c r="D323" i="45"/>
  <c r="U323" i="45" s="1"/>
  <c r="EO326" i="43"/>
  <c r="HZ326" i="43"/>
  <c r="EN329" i="43"/>
  <c r="AI329" i="43"/>
  <c r="AI330" i="43"/>
  <c r="EN330" i="43"/>
  <c r="IB319" i="43"/>
  <c r="ID319" i="43"/>
  <c r="IC358" i="43"/>
  <c r="HX358" i="43"/>
  <c r="HW358" i="43"/>
  <c r="HW365" i="43"/>
  <c r="IC365" i="43"/>
  <c r="HX365" i="43"/>
  <c r="HW324" i="43"/>
  <c r="IC324" i="43"/>
  <c r="HX324" i="43"/>
  <c r="HX337" i="43"/>
  <c r="IC337" i="43"/>
  <c r="HW337" i="43"/>
  <c r="HW317" i="43"/>
  <c r="HX317" i="43"/>
  <c r="IC317" i="43"/>
  <c r="IC350" i="43"/>
  <c r="HW350" i="43"/>
  <c r="HX350" i="43"/>
  <c r="IC338" i="43"/>
  <c r="HW338" i="43"/>
  <c r="HX338" i="43"/>
  <c r="IC318" i="43"/>
  <c r="HW318" i="43"/>
  <c r="HX318" i="43"/>
  <c r="HX320" i="43"/>
  <c r="HW320" i="43"/>
  <c r="IC320" i="43"/>
  <c r="HW362" i="43"/>
  <c r="HX362" i="43"/>
  <c r="IC362" i="43"/>
  <c r="HX336" i="43"/>
  <c r="HW336" i="43"/>
  <c r="IC336" i="43"/>
  <c r="IC321" i="43"/>
  <c r="HW321" i="43"/>
  <c r="HX321" i="43"/>
  <c r="BC257" i="43"/>
  <c r="DG257" i="43"/>
  <c r="BC259" i="43"/>
  <c r="BT257" i="43"/>
  <c r="BS257" i="43" s="1"/>
  <c r="W265" i="43"/>
  <c r="CO258" i="43"/>
  <c r="CN258" i="43" s="1"/>
  <c r="BT261" i="43"/>
  <c r="BS261" i="43" s="1"/>
  <c r="Y261" i="43"/>
  <c r="Q261" i="43" s="1"/>
  <c r="Y257" i="43"/>
  <c r="Q257" i="43" s="1"/>
  <c r="W257" i="43"/>
  <c r="CO257" i="43"/>
  <c r="CN257" i="43" s="1"/>
  <c r="Y259" i="43"/>
  <c r="Q259" i="43" s="1"/>
  <c r="Y258" i="43"/>
  <c r="Q258" i="43" s="1"/>
  <c r="AA258" i="43" s="1"/>
  <c r="Y256" i="43"/>
  <c r="Q256" i="43" s="1"/>
  <c r="AA256" i="43" s="1"/>
  <c r="ID373" i="43" l="1"/>
  <c r="IB373" i="43"/>
  <c r="IB372" i="43"/>
  <c r="ID372" i="43"/>
  <c r="IB371" i="43"/>
  <c r="ID371" i="43"/>
  <c r="HX370" i="43"/>
  <c r="HW370" i="43"/>
  <c r="IC370" i="43"/>
  <c r="IB368" i="43"/>
  <c r="ID368" i="43"/>
  <c r="HX367" i="43"/>
  <c r="HW367" i="43"/>
  <c r="IC367" i="43"/>
  <c r="HX369" i="43"/>
  <c r="HW369" i="43"/>
  <c r="IC369" i="43"/>
  <c r="IB357" i="43"/>
  <c r="ID357" i="43"/>
  <c r="ID356" i="43"/>
  <c r="IB356" i="43"/>
  <c r="ID353" i="43"/>
  <c r="IB353" i="43"/>
  <c r="ID354" i="43"/>
  <c r="IB354" i="43"/>
  <c r="ID355" i="43"/>
  <c r="IB355" i="43"/>
  <c r="IB343" i="43"/>
  <c r="ID343" i="43"/>
  <c r="IB325" i="43"/>
  <c r="ID325" i="43"/>
  <c r="ID323" i="43"/>
  <c r="IB323" i="43"/>
  <c r="IB322" i="43"/>
  <c r="ID322" i="43"/>
  <c r="BW16" i="43"/>
  <c r="AC12" i="45"/>
  <c r="AA12" i="45"/>
  <c r="CR16" i="43"/>
  <c r="HE17" i="43"/>
  <c r="HD17" i="43" s="1"/>
  <c r="GK16" i="43"/>
  <c r="DK16" i="43"/>
  <c r="BD16" i="43"/>
  <c r="AN16" i="43"/>
  <c r="AW13" i="45"/>
  <c r="IB375" i="43"/>
  <c r="ID375" i="43"/>
  <c r="IB374" i="43"/>
  <c r="ID374" i="43"/>
  <c r="IC361" i="43"/>
  <c r="HW361" i="43"/>
  <c r="HX361" i="43"/>
  <c r="IB360" i="43"/>
  <c r="ID360" i="43"/>
  <c r="IC359" i="43"/>
  <c r="HX359" i="43"/>
  <c r="HW359" i="43"/>
  <c r="IB347" i="43"/>
  <c r="ID347" i="43"/>
  <c r="IB346" i="43"/>
  <c r="ID346" i="43"/>
  <c r="IB345" i="43"/>
  <c r="ID345" i="43"/>
  <c r="HX344" i="43"/>
  <c r="HW344" i="43"/>
  <c r="IC344" i="43"/>
  <c r="ID332" i="43"/>
  <c r="IB332" i="43"/>
  <c r="ID333" i="43"/>
  <c r="IB333" i="43"/>
  <c r="ID331" i="43"/>
  <c r="IB331" i="43"/>
  <c r="IB326" i="43"/>
  <c r="ID326" i="43"/>
  <c r="EO329" i="43"/>
  <c r="HZ329" i="43"/>
  <c r="D326" i="45"/>
  <c r="U326" i="45" s="1"/>
  <c r="EO330" i="43"/>
  <c r="HZ330" i="43"/>
  <c r="D327" i="45"/>
  <c r="U327" i="45" s="1"/>
  <c r="HX319" i="43"/>
  <c r="IC319" i="43"/>
  <c r="HW319" i="43"/>
  <c r="AB258" i="43"/>
  <c r="HT258" i="43" s="1"/>
  <c r="HU258" i="43" s="1"/>
  <c r="HV258" i="43" s="1"/>
  <c r="BA258" i="43" s="1"/>
  <c r="AB256" i="43"/>
  <c r="HT256" i="43" s="1"/>
  <c r="HU256" i="43" s="1"/>
  <c r="HV256" i="43" s="1"/>
  <c r="BA256" i="43" s="1"/>
  <c r="DG265" i="43"/>
  <c r="BT265" i="43"/>
  <c r="BS265" i="43" s="1"/>
  <c r="Y265" i="43"/>
  <c r="Q265" i="43" s="1"/>
  <c r="AB265" i="43" s="1"/>
  <c r="W256" i="43"/>
  <c r="DG256" i="43"/>
  <c r="BT256" i="43"/>
  <c r="BS256" i="43" s="1"/>
  <c r="BC256" i="43"/>
  <c r="CO256" i="43"/>
  <c r="CN256" i="43" s="1"/>
  <c r="W260" i="43"/>
  <c r="CO260" i="43"/>
  <c r="CN260" i="43" s="1"/>
  <c r="BC260" i="43"/>
  <c r="BT260" i="43"/>
  <c r="BS260" i="43" s="1"/>
  <c r="Y260" i="43"/>
  <c r="Q260" i="43" s="1"/>
  <c r="DG260" i="43"/>
  <c r="AA257" i="43"/>
  <c r="AB257" i="43"/>
  <c r="AA261" i="43"/>
  <c r="AB261" i="43"/>
  <c r="AA259" i="43"/>
  <c r="AB259" i="43"/>
  <c r="BC263" i="43"/>
  <c r="CO263" i="43"/>
  <c r="CN263" i="43" s="1"/>
  <c r="BT263" i="43"/>
  <c r="BS263" i="43" s="1"/>
  <c r="DG263" i="43"/>
  <c r="W263" i="43"/>
  <c r="Y263" i="43"/>
  <c r="Q263" i="43" s="1"/>
  <c r="W258" i="43"/>
  <c r="BC258" i="43"/>
  <c r="BT258" i="43"/>
  <c r="BS258" i="43" s="1"/>
  <c r="DG258" i="43"/>
  <c r="DG262" i="43"/>
  <c r="BT262" i="43"/>
  <c r="BS262" i="43" s="1"/>
  <c r="W262" i="43"/>
  <c r="BC262" i="43"/>
  <c r="Y262" i="43"/>
  <c r="Q262" i="43" s="1"/>
  <c r="BC261" i="43"/>
  <c r="DG261" i="43"/>
  <c r="W261" i="43"/>
  <c r="CO262" i="43"/>
  <c r="CN262" i="43" s="1"/>
  <c r="CO261" i="43"/>
  <c r="CN261" i="43" s="1"/>
  <c r="DG259" i="43"/>
  <c r="W259" i="43"/>
  <c r="CO259" i="43"/>
  <c r="CN259" i="43" s="1"/>
  <c r="DG264" i="43"/>
  <c r="BC264" i="43"/>
  <c r="CO264" i="43"/>
  <c r="CN264" i="43" s="1"/>
  <c r="BT259" i="43"/>
  <c r="BS259" i="43" s="1"/>
  <c r="BT264" i="43"/>
  <c r="BS264" i="43" s="1"/>
  <c r="Y264" i="43"/>
  <c r="Q264" i="43" s="1"/>
  <c r="W264" i="43"/>
  <c r="BC265" i="43"/>
  <c r="CO265" i="43"/>
  <c r="CN265" i="43" s="1"/>
  <c r="IC373" i="43" l="1"/>
  <c r="HX373" i="43"/>
  <c r="HW373" i="43"/>
  <c r="HX372" i="43"/>
  <c r="IC372" i="43"/>
  <c r="HW372" i="43"/>
  <c r="IC371" i="43"/>
  <c r="HX371" i="43"/>
  <c r="HW371" i="43"/>
  <c r="HX368" i="43"/>
  <c r="HW368" i="43"/>
  <c r="IC368" i="43"/>
  <c r="IC357" i="43"/>
  <c r="HW357" i="43"/>
  <c r="HX357" i="43"/>
  <c r="HW356" i="43"/>
  <c r="HX356" i="43"/>
  <c r="IC356" i="43"/>
  <c r="HW354" i="43"/>
  <c r="HX354" i="43"/>
  <c r="IC354" i="43"/>
  <c r="HX353" i="43"/>
  <c r="HW353" i="43"/>
  <c r="IC353" i="43"/>
  <c r="HX355" i="43"/>
  <c r="IC355" i="43"/>
  <c r="HW355" i="43"/>
  <c r="IC343" i="43"/>
  <c r="HW343" i="43"/>
  <c r="HX343" i="43"/>
  <c r="IC325" i="43"/>
  <c r="HX325" i="43"/>
  <c r="HW325" i="43"/>
  <c r="HX323" i="43"/>
  <c r="IC323" i="43"/>
  <c r="HW323" i="43"/>
  <c r="HX322" i="43"/>
  <c r="HW322" i="43"/>
  <c r="IC322" i="43"/>
  <c r="AO16" i="43"/>
  <c r="DY16" i="43"/>
  <c r="DZ16" i="43" s="1"/>
  <c r="GU16" i="43"/>
  <c r="HB16" i="43"/>
  <c r="HI16" i="43"/>
  <c r="GN16" i="43"/>
  <c r="GZ17" i="43"/>
  <c r="IC375" i="43"/>
  <c r="HX375" i="43"/>
  <c r="HW375" i="43"/>
  <c r="HX374" i="43"/>
  <c r="IC374" i="43"/>
  <c r="HW374" i="43"/>
  <c r="HX360" i="43"/>
  <c r="HW360" i="43"/>
  <c r="IC360" i="43"/>
  <c r="HW347" i="43"/>
  <c r="IC347" i="43"/>
  <c r="HX347" i="43"/>
  <c r="IC346" i="43"/>
  <c r="HX346" i="43"/>
  <c r="HW346" i="43"/>
  <c r="IC345" i="43"/>
  <c r="HX345" i="43"/>
  <c r="HW345" i="43"/>
  <c r="HX332" i="43"/>
  <c r="HW332" i="43"/>
  <c r="IC332" i="43"/>
  <c r="HW333" i="43"/>
  <c r="HX333" i="43"/>
  <c r="IC333" i="43"/>
  <c r="IC331" i="43"/>
  <c r="HW331" i="43"/>
  <c r="HX331" i="43"/>
  <c r="HW326" i="43"/>
  <c r="HX326" i="43"/>
  <c r="IC326" i="43"/>
  <c r="IB329" i="43"/>
  <c r="ID329" i="43"/>
  <c r="ID330" i="43"/>
  <c r="IB330" i="43"/>
  <c r="IA256" i="43"/>
  <c r="IA258" i="43"/>
  <c r="IA265" i="43"/>
  <c r="HT265" i="43"/>
  <c r="HU265" i="43" s="1"/>
  <c r="HV265" i="43" s="1"/>
  <c r="BA265" i="43" s="1"/>
  <c r="AA265" i="43"/>
  <c r="AA263" i="43"/>
  <c r="AB263" i="43"/>
  <c r="AU258" i="43"/>
  <c r="AH258" i="43" s="1"/>
  <c r="AZ258" i="43"/>
  <c r="V255" i="45" s="1"/>
  <c r="AA262" i="43"/>
  <c r="AB262" i="43"/>
  <c r="AB264" i="43"/>
  <c r="AA264" i="43"/>
  <c r="AA260" i="43"/>
  <c r="AB260" i="43"/>
  <c r="IA261" i="43"/>
  <c r="HT261" i="43"/>
  <c r="HU261" i="43" s="1"/>
  <c r="HV261" i="43" s="1"/>
  <c r="BA261" i="43" s="1"/>
  <c r="AZ256" i="43"/>
  <c r="V253" i="45" s="1"/>
  <c r="AU256" i="43"/>
  <c r="IA259" i="43"/>
  <c r="HT259" i="43"/>
  <c r="HU259" i="43" s="1"/>
  <c r="HV259" i="43" s="1"/>
  <c r="BA259" i="43" s="1"/>
  <c r="IA257" i="43"/>
  <c r="HT257" i="43"/>
  <c r="HU257" i="43" s="1"/>
  <c r="HV257" i="43" s="1"/>
  <c r="BA257" i="43" s="1"/>
  <c r="T13" i="45" l="1"/>
  <c r="AB13" i="45" s="1"/>
  <c r="FF16" i="43"/>
  <c r="HW329" i="43"/>
  <c r="IC329" i="43"/>
  <c r="HX329" i="43"/>
  <c r="IC330" i="43"/>
  <c r="HW330" i="43"/>
  <c r="HX330" i="43"/>
  <c r="AZ265" i="43"/>
  <c r="V262" i="45" s="1"/>
  <c r="AU265" i="43"/>
  <c r="AH265" i="43" s="1"/>
  <c r="AZ259" i="43"/>
  <c r="V256" i="45" s="1"/>
  <c r="AU259" i="43"/>
  <c r="AH259" i="43" s="1"/>
  <c r="IA264" i="43"/>
  <c r="HT264" i="43"/>
  <c r="HU264" i="43" s="1"/>
  <c r="HV264" i="43" s="1"/>
  <c r="BA264" i="43" s="1"/>
  <c r="EN258" i="43"/>
  <c r="AI258" i="43"/>
  <c r="AU261" i="43"/>
  <c r="AH261" i="43" s="1"/>
  <c r="AZ261" i="43"/>
  <c r="V258" i="45" s="1"/>
  <c r="AH256" i="43"/>
  <c r="IA260" i="43"/>
  <c r="HT260" i="43"/>
  <c r="HU260" i="43" s="1"/>
  <c r="HV260" i="43" s="1"/>
  <c r="BA260" i="43" s="1"/>
  <c r="IA262" i="43"/>
  <c r="HT262" i="43"/>
  <c r="HU262" i="43" s="1"/>
  <c r="HV262" i="43" s="1"/>
  <c r="BA262" i="43" s="1"/>
  <c r="IA263" i="43"/>
  <c r="HT263" i="43"/>
  <c r="HU263" i="43" s="1"/>
  <c r="HV263" i="43" s="1"/>
  <c r="BA263" i="43" s="1"/>
  <c r="AZ257" i="43"/>
  <c r="V254" i="45" s="1"/>
  <c r="AU257" i="43"/>
  <c r="AH257" i="43" s="1"/>
  <c r="AA13" i="45" l="1"/>
  <c r="AC13" i="45"/>
  <c r="AI265" i="43"/>
  <c r="EN265" i="43"/>
  <c r="EN261" i="43"/>
  <c r="AI261" i="43"/>
  <c r="EN257" i="43"/>
  <c r="AI257" i="43"/>
  <c r="AZ262" i="43"/>
  <c r="V259" i="45" s="1"/>
  <c r="AU262" i="43"/>
  <c r="AH262" i="43" s="1"/>
  <c r="AU263" i="43"/>
  <c r="AH263" i="43" s="1"/>
  <c r="AZ263" i="43"/>
  <c r="V260" i="45" s="1"/>
  <c r="AZ260" i="43"/>
  <c r="V257" i="45" s="1"/>
  <c r="AU260" i="43"/>
  <c r="AH260" i="43" s="1"/>
  <c r="AU264" i="43"/>
  <c r="AH264" i="43" s="1"/>
  <c r="AZ264" i="43"/>
  <c r="V261" i="45" s="1"/>
  <c r="HZ258" i="43"/>
  <c r="D255" i="45"/>
  <c r="U255" i="45" s="1"/>
  <c r="EO258" i="43"/>
  <c r="AI256" i="43"/>
  <c r="EN256" i="43"/>
  <c r="EN259" i="43"/>
  <c r="AI259" i="43"/>
  <c r="EO265" i="43" l="1"/>
  <c r="D262" i="45"/>
  <c r="U262" i="45" s="1"/>
  <c r="HZ265" i="43"/>
  <c r="IB258" i="43"/>
  <c r="ID258" i="43"/>
  <c r="EN264" i="43"/>
  <c r="AI264" i="43"/>
  <c r="EN263" i="43"/>
  <c r="AI263" i="43"/>
  <c r="EO257" i="43"/>
  <c r="D254" i="45"/>
  <c r="U254" i="45" s="1"/>
  <c r="HZ257" i="43"/>
  <c r="EO261" i="43"/>
  <c r="D258" i="45"/>
  <c r="U258" i="45" s="1"/>
  <c r="HZ261" i="43"/>
  <c r="D253" i="45"/>
  <c r="U253" i="45" s="1"/>
  <c r="EO256" i="43"/>
  <c r="HZ256" i="43"/>
  <c r="EN260" i="43"/>
  <c r="AI260" i="43"/>
  <c r="HZ259" i="43"/>
  <c r="EO259" i="43"/>
  <c r="D256" i="45"/>
  <c r="U256" i="45" s="1"/>
  <c r="EN262" i="43"/>
  <c r="AI262" i="43"/>
  <c r="ID265" i="43" l="1"/>
  <c r="IB265" i="43"/>
  <c r="IB259" i="43"/>
  <c r="ID259" i="43"/>
  <c r="IB261" i="43"/>
  <c r="ID261" i="43"/>
  <c r="EO264" i="43"/>
  <c r="D261" i="45"/>
  <c r="U261" i="45" s="1"/>
  <c r="HZ264" i="43"/>
  <c r="D259" i="45"/>
  <c r="U259" i="45" s="1"/>
  <c r="EO262" i="43"/>
  <c r="HZ262" i="43"/>
  <c r="D257" i="45"/>
  <c r="U257" i="45" s="1"/>
  <c r="EO260" i="43"/>
  <c r="HZ260" i="43"/>
  <c r="ID256" i="43"/>
  <c r="IB256" i="43"/>
  <c r="EO263" i="43"/>
  <c r="HZ263" i="43"/>
  <c r="D260" i="45"/>
  <c r="U260" i="45" s="1"/>
  <c r="IB257" i="43"/>
  <c r="ID257" i="43"/>
  <c r="IC258" i="43"/>
  <c r="HX258" i="43"/>
  <c r="HW258" i="43"/>
  <c r="HW265" i="43" l="1"/>
  <c r="IC265" i="43"/>
  <c r="HX265" i="43"/>
  <c r="HX259" i="43"/>
  <c r="HW259" i="43"/>
  <c r="IC259" i="43"/>
  <c r="IC257" i="43"/>
  <c r="HX257" i="43"/>
  <c r="HW257" i="43"/>
  <c r="IC256" i="43"/>
  <c r="HX256" i="43"/>
  <c r="HW256" i="43"/>
  <c r="IB263" i="43"/>
  <c r="ID263" i="43"/>
  <c r="ID260" i="43"/>
  <c r="IB260" i="43"/>
  <c r="IB264" i="43"/>
  <c r="ID264" i="43"/>
  <c r="HX261" i="43"/>
  <c r="HW261" i="43"/>
  <c r="IC261" i="43"/>
  <c r="ID262" i="43"/>
  <c r="IB262" i="43"/>
  <c r="HW262" i="43" l="1"/>
  <c r="HX262" i="43"/>
  <c r="IC262" i="43"/>
  <c r="HX264" i="43"/>
  <c r="IC264" i="43"/>
  <c r="HW264" i="43"/>
  <c r="HW263" i="43"/>
  <c r="IC263" i="43"/>
  <c r="HX263" i="43"/>
  <c r="HX260" i="43"/>
  <c r="IC260" i="43"/>
  <c r="HW260" i="43"/>
  <c r="AA293" i="45" l="1"/>
  <c r="AA294" i="45" l="1"/>
  <c r="AA295" i="45" l="1"/>
  <c r="AA296" i="45" l="1"/>
  <c r="AA297" i="45" l="1"/>
  <c r="AA298" i="45" l="1"/>
  <c r="GX316" i="43" l="1"/>
  <c r="GW316" i="43" s="1"/>
  <c r="GS316" i="43" s="1"/>
  <c r="HE316" i="43"/>
  <c r="HD316" i="43" s="1"/>
  <c r="GZ316" i="43" s="1"/>
  <c r="HL316" i="43"/>
  <c r="HK316" i="43" s="1"/>
  <c r="HG316" i="43" s="1"/>
  <c r="GQ316" i="43"/>
  <c r="GP316" i="43" s="1"/>
  <c r="GL316" i="43" l="1"/>
  <c r="GJ316" i="43" s="1"/>
  <c r="GM316" i="43" s="1"/>
  <c r="GO316" i="43" l="1"/>
  <c r="BB316" i="43" s="1"/>
  <c r="GT316" i="43"/>
  <c r="GV316" i="43" s="1"/>
  <c r="BU316" i="43" s="1"/>
  <c r="HA316" i="43"/>
  <c r="HC316" i="43" s="1"/>
  <c r="CP316" i="43" s="1"/>
  <c r="HH316" i="43"/>
  <c r="HJ316" i="43" s="1"/>
  <c r="DI316" i="43" s="1"/>
  <c r="BD316" i="43" l="1"/>
  <c r="HL317" i="43"/>
  <c r="HK317" i="43" s="1"/>
  <c r="HG317" i="43" s="1"/>
  <c r="DK316" i="43"/>
  <c r="HE317" i="43"/>
  <c r="HD317" i="43" s="1"/>
  <c r="GZ317" i="43" s="1"/>
  <c r="CR316" i="43"/>
  <c r="GX317" i="43"/>
  <c r="GW317" i="43" s="1"/>
  <c r="GS317" i="43" s="1"/>
  <c r="BW316" i="43"/>
  <c r="GK316" i="43"/>
  <c r="AN316" i="43"/>
  <c r="GQ317" i="43"/>
  <c r="GP317" i="43" s="1"/>
  <c r="AO316" i="43" l="1"/>
  <c r="DY316" i="43"/>
  <c r="DZ316" i="43" s="1"/>
  <c r="HI316" i="43"/>
  <c r="GN316" i="43"/>
  <c r="GU316" i="43"/>
  <c r="HB316" i="43"/>
  <c r="GL317" i="43"/>
  <c r="GJ317" i="43" s="1"/>
  <c r="GM317" i="43" s="1"/>
  <c r="FF316" i="43" l="1"/>
  <c r="T313" i="45"/>
  <c r="GO317" i="43"/>
  <c r="BB317" i="43" s="1"/>
  <c r="GT317" i="43"/>
  <c r="GV317" i="43" s="1"/>
  <c r="BU317" i="43" s="1"/>
  <c r="HA317" i="43"/>
  <c r="HC317" i="43" s="1"/>
  <c r="CP317" i="43" s="1"/>
  <c r="HH317" i="43"/>
  <c r="HJ317" i="43" s="1"/>
  <c r="DI317" i="43" s="1"/>
  <c r="W313" i="45" l="1"/>
  <c r="Y313" i="45" s="1"/>
  <c r="CR317" i="43"/>
  <c r="DK317" i="43"/>
  <c r="BW317" i="43"/>
  <c r="BD317" i="43"/>
  <c r="AN317" i="43"/>
  <c r="GK317" i="43"/>
  <c r="Z313" i="45" l="1"/>
  <c r="AB313" i="45"/>
  <c r="AC313" i="45" s="1"/>
  <c r="AO317" i="43"/>
  <c r="DY317" i="43"/>
  <c r="DZ317" i="43" s="1"/>
  <c r="GN317" i="43"/>
  <c r="HI317" i="43"/>
  <c r="GU317" i="43"/>
  <c r="HB317" i="43"/>
  <c r="AA313" i="45" l="1"/>
  <c r="FF317" i="43"/>
  <c r="T314" i="45"/>
  <c r="W314" i="45" l="1"/>
  <c r="Y314" i="45" s="1"/>
  <c r="Z314" i="45" l="1"/>
  <c r="AB314" i="45"/>
  <c r="AC314" i="45" s="1"/>
  <c r="AA314" i="45" l="1"/>
  <c r="DE17" i="43" l="1"/>
  <c r="H28" i="30" s="1"/>
  <c r="BQ17" i="43"/>
  <c r="H26" i="30" s="1"/>
  <c r="F70" i="35"/>
  <c r="F65" i="35" l="1"/>
  <c r="CE17" i="43" l="1"/>
  <c r="E78" i="35" l="1"/>
  <c r="D78" i="35"/>
  <c r="F78" i="35"/>
  <c r="E106" i="35" l="1"/>
  <c r="D106" i="35"/>
  <c r="F106" i="35"/>
  <c r="E107" i="35" l="1"/>
  <c r="D107" i="35"/>
  <c r="F107" i="35"/>
  <c r="E108" i="35" l="1"/>
  <c r="D108" i="35"/>
  <c r="F108" i="35"/>
  <c r="E109" i="35" l="1"/>
  <c r="D109" i="35"/>
  <c r="F109" i="35"/>
  <c r="E51" i="35" l="1"/>
  <c r="D51" i="35"/>
  <c r="F51" i="35"/>
  <c r="E79" i="35" l="1"/>
  <c r="D79" i="35"/>
  <c r="E94" i="35"/>
  <c r="D94" i="35"/>
  <c r="E66" i="35"/>
  <c r="D66" i="35"/>
  <c r="F85" i="35"/>
  <c r="E85" i="35"/>
  <c r="F98" i="35"/>
  <c r="E98" i="35"/>
  <c r="F94" i="35"/>
  <c r="F66" i="35"/>
  <c r="F79" i="35"/>
  <c r="D98" i="35" l="1"/>
  <c r="D85" i="35"/>
  <c r="BE17" i="43"/>
  <c r="BK17" i="43" s="1"/>
  <c r="DH17" i="43" l="1"/>
  <c r="DL17" i="43"/>
  <c r="DM17" i="43" s="1"/>
  <c r="DN17" i="43" l="1"/>
  <c r="DO17" i="43" s="1"/>
  <c r="CX17" i="43" l="1"/>
  <c r="CA17" i="43"/>
  <c r="BJ17" i="43"/>
  <c r="CC17" i="43"/>
  <c r="CV17" i="43"/>
  <c r="BY17" i="43"/>
  <c r="CT17" i="43"/>
  <c r="AQ17" i="43"/>
  <c r="BH17" i="43"/>
  <c r="H14" i="30" s="1"/>
  <c r="BF17" i="43"/>
  <c r="CF17" i="43" l="1"/>
  <c r="T9" i="44" s="1"/>
  <c r="T22" i="44" s="1"/>
  <c r="T24" i="44" s="1"/>
  <c r="BN17" i="43"/>
  <c r="GX17" i="43" s="1"/>
  <c r="GW17" i="43" s="1"/>
  <c r="BL17" i="43"/>
  <c r="EB17" i="43"/>
  <c r="H15" i="30"/>
  <c r="CH17" i="43"/>
  <c r="H16" i="30"/>
  <c r="DA17" i="43"/>
  <c r="H10" i="30"/>
  <c r="L14" i="22"/>
  <c r="FP17" i="43"/>
  <c r="BK17" i="24"/>
  <c r="EI17" i="43" s="1"/>
  <c r="EJ17" i="43" s="1"/>
  <c r="Y16" i="24" s="1"/>
  <c r="CZ17" i="43"/>
  <c r="DB17" i="43"/>
  <c r="HL17" i="43" s="1"/>
  <c r="HK17" i="43" s="1"/>
  <c r="ED17" i="43"/>
  <c r="BW17" i="24" s="1"/>
  <c r="CM17" i="43" l="1"/>
  <c r="CN17" i="43" s="1"/>
  <c r="HG17" i="43"/>
  <c r="GS17" i="43"/>
  <c r="CD17" i="24"/>
  <c r="CE17" i="24" s="1"/>
  <c r="CB17" i="24"/>
  <c r="L41" i="22"/>
  <c r="L43" i="22"/>
  <c r="N14" i="22"/>
  <c r="EH17" i="43"/>
  <c r="R17" i="43"/>
  <c r="AU17" i="43"/>
  <c r="DF17" i="43"/>
  <c r="H13" i="30" s="1"/>
  <c r="U9" i="44"/>
  <c r="U22" i="44" s="1"/>
  <c r="U24" i="44" s="1"/>
  <c r="S9" i="44"/>
  <c r="S22" i="44" s="1"/>
  <c r="S24" i="44" s="1"/>
  <c r="DJ17" i="43"/>
  <c r="AA16" i="24" s="1"/>
  <c r="BR17" i="43"/>
  <c r="Z16" i="24"/>
  <c r="H12" i="30" l="1"/>
  <c r="AH17" i="43"/>
  <c r="AI17" i="43" s="1"/>
  <c r="GQ17" i="43"/>
  <c r="GP17" i="43" s="1"/>
  <c r="H11" i="30"/>
  <c r="BS17" i="43"/>
  <c r="AD17" i="24"/>
  <c r="Q9" i="44"/>
  <c r="Q22" i="44" s="1"/>
  <c r="Q24" i="44" s="1"/>
  <c r="AF17" i="24"/>
  <c r="Q14" i="22"/>
  <c r="W17" i="43"/>
  <c r="AE17" i="24"/>
  <c r="AI17" i="24"/>
  <c r="O14" i="22"/>
  <c r="N43" i="22"/>
  <c r="N41" i="22"/>
  <c r="EN17" i="43" l="1"/>
  <c r="GL17" i="43"/>
  <c r="GJ17" i="43" s="1"/>
  <c r="GM17" i="43" s="1"/>
  <c r="N53" i="22"/>
  <c r="O43" i="22"/>
  <c r="O52" i="22"/>
  <c r="O41" i="22"/>
  <c r="N52" i="22"/>
  <c r="O53" i="22"/>
  <c r="F33" i="44" a="1"/>
  <c r="F33" i="44" s="1"/>
  <c r="E33" i="44" s="1"/>
  <c r="F34" i="44" a="1"/>
  <c r="F34" i="44" s="1"/>
  <c r="E34" i="44" s="1"/>
  <c r="F9" i="44"/>
  <c r="F22" i="44" s="1"/>
  <c r="F24" i="44" s="1"/>
  <c r="EO17" i="43"/>
  <c r="HZ17" i="43"/>
  <c r="D14" i="45"/>
  <c r="U14" i="45" s="1"/>
  <c r="D389" i="45"/>
  <c r="U389" i="45" s="1"/>
  <c r="Q41" i="22"/>
  <c r="F14" i="22"/>
  <c r="Q43" i="22"/>
  <c r="R14" i="22"/>
  <c r="R28" i="44"/>
  <c r="Q28" i="44" s="1"/>
  <c r="R9" i="44"/>
  <c r="R22" i="44" s="1"/>
  <c r="R24" i="44" s="1"/>
  <c r="R29" i="44"/>
  <c r="Q29" i="44" s="1"/>
  <c r="GO17" i="43" l="1"/>
  <c r="BB17" i="43" s="1"/>
  <c r="HA17" i="43"/>
  <c r="HC17" i="43" s="1"/>
  <c r="CP17" i="43" s="1"/>
  <c r="HH17" i="43"/>
  <c r="HJ17" i="43" s="1"/>
  <c r="DI17" i="43" s="1"/>
  <c r="GT17" i="43"/>
  <c r="GV17" i="43" s="1"/>
  <c r="BU17" i="43" s="1"/>
  <c r="F52" i="22"/>
  <c r="F53" i="22"/>
  <c r="F41" i="22"/>
  <c r="F43" i="22"/>
  <c r="E53" i="22"/>
  <c r="E52" i="22"/>
  <c r="ID17" i="43"/>
  <c r="IB17" i="43"/>
  <c r="R43" i="22"/>
  <c r="R41" i="22"/>
  <c r="Q48" i="22"/>
  <c r="R47" i="22"/>
  <c r="Q47" i="22"/>
  <c r="R48" i="22"/>
  <c r="DK17" i="43" l="1"/>
  <c r="HL18" i="43"/>
  <c r="HK18" i="43" s="1"/>
  <c r="CR17" i="43"/>
  <c r="HE18" i="43"/>
  <c r="HD18" i="43" s="1"/>
  <c r="GZ18" i="43" s="1"/>
  <c r="GK17" i="43"/>
  <c r="BW17" i="43"/>
  <c r="GX18" i="43"/>
  <c r="GW18" i="43" s="1"/>
  <c r="GQ18" i="43"/>
  <c r="GP18" i="43" s="1"/>
  <c r="AN17" i="43"/>
  <c r="AW14" i="45"/>
  <c r="BD17" i="43"/>
  <c r="IC17" i="43"/>
  <c r="HW17" i="43"/>
  <c r="HX17" i="43"/>
  <c r="GS18" i="43" l="1"/>
  <c r="HG18" i="43"/>
  <c r="GL18" i="43"/>
  <c r="DY17" i="43"/>
  <c r="DZ17" i="43" s="1"/>
  <c r="AO17" i="43"/>
  <c r="HB17" i="43"/>
  <c r="GN17" i="43"/>
  <c r="HI17" i="43"/>
  <c r="GU17" i="43"/>
  <c r="FF17" i="43" l="1"/>
  <c r="T14" i="45"/>
  <c r="AB14" i="45" s="1"/>
  <c r="GJ18" i="43"/>
  <c r="HA18" i="43" l="1"/>
  <c r="HC18" i="43" s="1"/>
  <c r="CP18" i="43" s="1"/>
  <c r="HH18" i="43"/>
  <c r="HJ18" i="43" s="1"/>
  <c r="DI18" i="43" s="1"/>
  <c r="GT18" i="43"/>
  <c r="GV18" i="43" s="1"/>
  <c r="BU18" i="43" s="1"/>
  <c r="GM18" i="43"/>
  <c r="AC14" i="45"/>
  <c r="AA14" i="45"/>
  <c r="GO18" i="43" l="1"/>
  <c r="BB18" i="43" s="1"/>
  <c r="GK18" i="43"/>
  <c r="BW18" i="43"/>
  <c r="GX19" i="43"/>
  <c r="GW19" i="43" s="1"/>
  <c r="CR18" i="43"/>
  <c r="HE19" i="43"/>
  <c r="HD19" i="43" s="1"/>
  <c r="DK18" i="43"/>
  <c r="HL19" i="43"/>
  <c r="HK19" i="43" s="1"/>
  <c r="HG19" i="43" s="1"/>
  <c r="AW15" i="45" l="1"/>
  <c r="GQ19" i="43"/>
  <c r="GP19" i="43" s="1"/>
  <c r="AN18" i="43"/>
  <c r="BD18" i="43"/>
  <c r="GS19" i="43"/>
  <c r="GZ19" i="43"/>
  <c r="HB18" i="43"/>
  <c r="GU18" i="43"/>
  <c r="HI18" i="43"/>
  <c r="GN18" i="43"/>
  <c r="DY18" i="43" l="1"/>
  <c r="DZ18" i="43" s="1"/>
  <c r="AO18" i="43"/>
  <c r="GL19" i="43"/>
  <c r="GJ19" i="43" s="1"/>
  <c r="HH19" i="43" l="1"/>
  <c r="HJ19" i="43" s="1"/>
  <c r="DI19" i="43" s="1"/>
  <c r="GT19" i="43"/>
  <c r="GV19" i="43" s="1"/>
  <c r="BU19" i="43" s="1"/>
  <c r="HA19" i="43"/>
  <c r="HC19" i="43" s="1"/>
  <c r="CP19" i="43" s="1"/>
  <c r="GM19" i="43"/>
  <c r="FF18" i="43"/>
  <c r="T15" i="45"/>
  <c r="AB15" i="45" s="1"/>
  <c r="DK19" i="43" l="1"/>
  <c r="HL20" i="43"/>
  <c r="HK20" i="43" s="1"/>
  <c r="GO19" i="43"/>
  <c r="BB19" i="43" s="1"/>
  <c r="GK19" i="43"/>
  <c r="CR19" i="43"/>
  <c r="HE20" i="43"/>
  <c r="HD20" i="43" s="1"/>
  <c r="AC15" i="45"/>
  <c r="AA15" i="45"/>
  <c r="BW19" i="43"/>
  <c r="GX20" i="43"/>
  <c r="GW20" i="43" s="1"/>
  <c r="GS20" i="43" l="1"/>
  <c r="GN19" i="43"/>
  <c r="HI19" i="43"/>
  <c r="HB19" i="43"/>
  <c r="GU19" i="43"/>
  <c r="AN19" i="43"/>
  <c r="GQ20" i="43"/>
  <c r="GP20" i="43" s="1"/>
  <c r="GL20" i="43" s="1"/>
  <c r="AW16" i="45"/>
  <c r="BD19" i="43"/>
  <c r="GZ20" i="43"/>
  <c r="HG20" i="43"/>
  <c r="GJ20" i="43" l="1"/>
  <c r="GM20" i="43" s="1"/>
  <c r="GO20" i="43" s="1"/>
  <c r="BB20" i="43" s="1"/>
  <c r="AO19" i="43"/>
  <c r="DY19" i="43"/>
  <c r="DZ19" i="43" s="1"/>
  <c r="HH20" i="43" l="1"/>
  <c r="HJ20" i="43" s="1"/>
  <c r="DI20" i="43" s="1"/>
  <c r="DK20" i="43" s="1"/>
  <c r="HA20" i="43"/>
  <c r="HC20" i="43" s="1"/>
  <c r="CP20" i="43" s="1"/>
  <c r="CR20" i="43" s="1"/>
  <c r="GT20" i="43"/>
  <c r="GV20" i="43" s="1"/>
  <c r="BU20" i="43" s="1"/>
  <c r="BW20" i="43" s="1"/>
  <c r="FF19" i="43"/>
  <c r="T16" i="45"/>
  <c r="AB16" i="45" s="1"/>
  <c r="HL21" i="43"/>
  <c r="HK21" i="43" s="1"/>
  <c r="GX21" i="43"/>
  <c r="GW21" i="43" s="1"/>
  <c r="HE21" i="43"/>
  <c r="HD21" i="43" s="1"/>
  <c r="AN20" i="43"/>
  <c r="GQ21" i="43"/>
  <c r="GP21" i="43" s="1"/>
  <c r="AW17" i="45"/>
  <c r="BD20" i="43"/>
  <c r="GK20" i="43" l="1"/>
  <c r="GU20" i="43" s="1"/>
  <c r="GS21" i="43"/>
  <c r="HG21" i="43"/>
  <c r="AO20" i="43"/>
  <c r="DY20" i="43"/>
  <c r="DZ20" i="43" s="1"/>
  <c r="AA16" i="45"/>
  <c r="AC16" i="45"/>
  <c r="GL21" i="43"/>
  <c r="GZ21" i="43"/>
  <c r="HI20" i="43" l="1"/>
  <c r="HB20" i="43"/>
  <c r="GN20" i="43"/>
  <c r="GJ21" i="43"/>
  <c r="GT21" i="43" s="1"/>
  <c r="GV21" i="43" s="1"/>
  <c r="BU21" i="43" s="1"/>
  <c r="BW21" i="43" s="1"/>
  <c r="GX22" i="43"/>
  <c r="GW22" i="43" s="1"/>
  <c r="T17" i="45"/>
  <c r="AB17" i="45" s="1"/>
  <c r="FF20" i="43"/>
  <c r="HH21" i="43" l="1"/>
  <c r="HJ21" i="43" s="1"/>
  <c r="DI21" i="43" s="1"/>
  <c r="DK21" i="43" s="1"/>
  <c r="GM21" i="43"/>
  <c r="GO21" i="43" s="1"/>
  <c r="BB21" i="43" s="1"/>
  <c r="HA21" i="43"/>
  <c r="HC21" i="43" s="1"/>
  <c r="CP21" i="43" s="1"/>
  <c r="CR21" i="43" s="1"/>
  <c r="AC17" i="45"/>
  <c r="AA17" i="45"/>
  <c r="HE22" i="43"/>
  <c r="HD22" i="43" s="1"/>
  <c r="HL22" i="43"/>
  <c r="HK22" i="43" s="1"/>
  <c r="GS22" i="43"/>
  <c r="GK21" i="43" l="1"/>
  <c r="HI21" i="43" s="1"/>
  <c r="HG22" i="43"/>
  <c r="GZ22" i="43"/>
  <c r="GQ22" i="43"/>
  <c r="GP22" i="43" s="1"/>
  <c r="GL22" i="43" s="1"/>
  <c r="AN21" i="43"/>
  <c r="BD21" i="43"/>
  <c r="AW18" i="45"/>
  <c r="HB21" i="43" l="1"/>
  <c r="GJ22" i="43"/>
  <c r="GM22" i="43" s="1"/>
  <c r="GN21" i="43"/>
  <c r="GU21" i="43"/>
  <c r="AO21" i="43"/>
  <c r="DY21" i="43"/>
  <c r="DZ21" i="43" s="1"/>
  <c r="HA22" i="43" l="1"/>
  <c r="HC22" i="43" s="1"/>
  <c r="CP22" i="43" s="1"/>
  <c r="CR22" i="43" s="1"/>
  <c r="HH22" i="43"/>
  <c r="HJ22" i="43" s="1"/>
  <c r="DI22" i="43" s="1"/>
  <c r="DK22" i="43" s="1"/>
  <c r="GT22" i="43"/>
  <c r="GV22" i="43" s="1"/>
  <c r="BU22" i="43" s="1"/>
  <c r="BW22" i="43" s="1"/>
  <c r="HE23" i="43"/>
  <c r="HD23" i="43" s="1"/>
  <c r="FF21" i="43"/>
  <c r="T18" i="45"/>
  <c r="AB18" i="45" s="1"/>
  <c r="GX23" i="43"/>
  <c r="GW23" i="43" s="1"/>
  <c r="HL23" i="43"/>
  <c r="HK23" i="43" s="1"/>
  <c r="GO22" i="43"/>
  <c r="BB22" i="43" s="1"/>
  <c r="GK22" i="43" l="1"/>
  <c r="HI22" i="43" s="1"/>
  <c r="AC18" i="45"/>
  <c r="AA18" i="45"/>
  <c r="HG23" i="43"/>
  <c r="GS23" i="43"/>
  <c r="GZ23" i="43"/>
  <c r="AN22" i="43"/>
  <c r="GQ23" i="43"/>
  <c r="GP23" i="43" s="1"/>
  <c r="GL23" i="43" s="1"/>
  <c r="AW19" i="45"/>
  <c r="BD22" i="43"/>
  <c r="GU22" i="43" l="1"/>
  <c r="HB22" i="43"/>
  <c r="GN22" i="43"/>
  <c r="GJ23" i="43"/>
  <c r="GM23" i="43" s="1"/>
  <c r="GO23" i="43" s="1"/>
  <c r="BB23" i="43" s="1"/>
  <c r="DY22" i="43"/>
  <c r="DZ22" i="43" s="1"/>
  <c r="AO22" i="43"/>
  <c r="GT23" i="43" l="1"/>
  <c r="GV23" i="43" s="1"/>
  <c r="BU23" i="43" s="1"/>
  <c r="BW23" i="43" s="1"/>
  <c r="HA23" i="43"/>
  <c r="HC23" i="43" s="1"/>
  <c r="CP23" i="43" s="1"/>
  <c r="CR23" i="43" s="1"/>
  <c r="HH23" i="43"/>
  <c r="HJ23" i="43" s="1"/>
  <c r="DI23" i="43" s="1"/>
  <c r="DK23" i="43" s="1"/>
  <c r="FF22" i="43"/>
  <c r="T19" i="45"/>
  <c r="AB19" i="45" s="1"/>
  <c r="AN23" i="43"/>
  <c r="GQ24" i="43"/>
  <c r="GP24" i="43" s="1"/>
  <c r="GL24" i="43" s="1"/>
  <c r="AW20" i="45"/>
  <c r="BD23" i="43"/>
  <c r="HL24" i="43"/>
  <c r="HK24" i="43" s="1"/>
  <c r="GX24" i="43"/>
  <c r="GW24" i="43" s="1"/>
  <c r="HE24" i="43"/>
  <c r="HD24" i="43" s="1"/>
  <c r="GK23" i="43" l="1"/>
  <c r="GN23" i="43" s="1"/>
  <c r="HG24" i="43"/>
  <c r="AO23" i="43"/>
  <c r="DY23" i="43"/>
  <c r="DZ23" i="43" s="1"/>
  <c r="AC19" i="45"/>
  <c r="AA19" i="45"/>
  <c r="GZ24" i="43"/>
  <c r="GS24" i="43"/>
  <c r="HI23" i="43" l="1"/>
  <c r="HB23" i="43"/>
  <c r="GU23" i="43"/>
  <c r="GJ24" i="43"/>
  <c r="HH24" i="43" s="1"/>
  <c r="HJ24" i="43" s="1"/>
  <c r="DI24" i="43" s="1"/>
  <c r="FF23" i="43"/>
  <c r="T20" i="45"/>
  <c r="AB20" i="45" s="1"/>
  <c r="HA24" i="43" l="1"/>
  <c r="HC24" i="43" s="1"/>
  <c r="CP24" i="43" s="1"/>
  <c r="CR24" i="43" s="1"/>
  <c r="GT24" i="43"/>
  <c r="GV24" i="43" s="1"/>
  <c r="BU24" i="43" s="1"/>
  <c r="BW24" i="43" s="1"/>
  <c r="GM24" i="43"/>
  <c r="DK24" i="43"/>
  <c r="HL25" i="43"/>
  <c r="HK25" i="43" s="1"/>
  <c r="GX25" i="43"/>
  <c r="GW25" i="43" s="1"/>
  <c r="GS25" i="43" s="1"/>
  <c r="HE25" i="43"/>
  <c r="HD25" i="43" s="1"/>
  <c r="AC20" i="45"/>
  <c r="AA20" i="45"/>
  <c r="GK24" i="43" l="1"/>
  <c r="GN24" i="43" s="1"/>
  <c r="GO24" i="43"/>
  <c r="BB24" i="43" s="1"/>
  <c r="AW21" i="45" s="1"/>
  <c r="HG25" i="43"/>
  <c r="GZ25" i="43"/>
  <c r="AN24" i="43"/>
  <c r="GQ25" i="43"/>
  <c r="GP25" i="43" s="1"/>
  <c r="BD24" i="43" l="1"/>
  <c r="GU24" i="43"/>
  <c r="HB24" i="43"/>
  <c r="HI24" i="43"/>
  <c r="GL25" i="43"/>
  <c r="GJ25" i="43" s="1"/>
  <c r="GM25" i="43" s="1"/>
  <c r="AO24" i="43"/>
  <c r="DY24" i="43"/>
  <c r="DZ24" i="43" s="1"/>
  <c r="GO25" i="43" l="1"/>
  <c r="BB25" i="43" s="1"/>
  <c r="T21" i="45"/>
  <c r="AB21" i="45" s="1"/>
  <c r="FF24" i="43"/>
  <c r="GT25" i="43"/>
  <c r="GV25" i="43" s="1"/>
  <c r="BU25" i="43" s="1"/>
  <c r="HA25" i="43"/>
  <c r="HC25" i="43" s="1"/>
  <c r="CP25" i="43" s="1"/>
  <c r="HH25" i="43"/>
  <c r="HJ25" i="43" s="1"/>
  <c r="DI25" i="43" s="1"/>
  <c r="AA21" i="45" l="1"/>
  <c r="AC21" i="45"/>
  <c r="CR25" i="43"/>
  <c r="HE26" i="43"/>
  <c r="HD26" i="43" s="1"/>
  <c r="GK25" i="43"/>
  <c r="DK25" i="43"/>
  <c r="HL26" i="43"/>
  <c r="HK26" i="43" s="1"/>
  <c r="BW25" i="43"/>
  <c r="GX26" i="43"/>
  <c r="GW26" i="43" s="1"/>
  <c r="BD25" i="43"/>
  <c r="AN25" i="43"/>
  <c r="GQ26" i="43"/>
  <c r="GP26" i="43" s="1"/>
  <c r="AW22" i="45"/>
  <c r="GZ26" i="43" l="1"/>
  <c r="HG26" i="43"/>
  <c r="GL26" i="43"/>
  <c r="DY25" i="43"/>
  <c r="DZ25" i="43" s="1"/>
  <c r="AO25" i="43"/>
  <c r="GS26" i="43"/>
  <c r="HB25" i="43"/>
  <c r="GU25" i="43"/>
  <c r="HI25" i="43"/>
  <c r="GN25" i="43"/>
  <c r="FF25" i="43" l="1"/>
  <c r="T22" i="45"/>
  <c r="AB22" i="45" s="1"/>
  <c r="GJ26" i="43"/>
  <c r="AA22" i="45" l="1"/>
  <c r="AC22" i="45"/>
  <c r="HA26" i="43"/>
  <c r="HC26" i="43" s="1"/>
  <c r="CP26" i="43" s="1"/>
  <c r="GM26" i="43"/>
  <c r="GT26" i="43"/>
  <c r="GV26" i="43" s="1"/>
  <c r="BU26" i="43" s="1"/>
  <c r="HH26" i="43"/>
  <c r="HJ26" i="43" s="1"/>
  <c r="DI26" i="43" s="1"/>
  <c r="CR26" i="43" l="1"/>
  <c r="HE27" i="43"/>
  <c r="HD27" i="43" s="1"/>
  <c r="GK26" i="43"/>
  <c r="GO26" i="43"/>
  <c r="BB26" i="43" s="1"/>
  <c r="DK26" i="43"/>
  <c r="HL27" i="43"/>
  <c r="HK27" i="43" s="1"/>
  <c r="HG27" i="43" s="1"/>
  <c r="BW26" i="43"/>
  <c r="GX27" i="43"/>
  <c r="GW27" i="43" s="1"/>
  <c r="GS27" i="43" l="1"/>
  <c r="AN26" i="43"/>
  <c r="GQ27" i="43"/>
  <c r="GP27" i="43" s="1"/>
  <c r="BD26" i="43"/>
  <c r="AW23" i="45"/>
  <c r="GZ27" i="43"/>
  <c r="GU26" i="43"/>
  <c r="GN26" i="43"/>
  <c r="HB26" i="43"/>
  <c r="HI26" i="43"/>
  <c r="GL27" i="43" l="1"/>
  <c r="GJ27" i="43" s="1"/>
  <c r="GM27" i="43" s="1"/>
  <c r="DY26" i="43"/>
  <c r="DZ26" i="43" s="1"/>
  <c r="AO26" i="43"/>
  <c r="GO27" i="43" l="1"/>
  <c r="BB27" i="43" s="1"/>
  <c r="FF26" i="43"/>
  <c r="T23" i="45"/>
  <c r="AB23" i="45" s="1"/>
  <c r="HH27" i="43"/>
  <c r="HJ27" i="43" s="1"/>
  <c r="DI27" i="43" s="1"/>
  <c r="HA27" i="43"/>
  <c r="HC27" i="43" s="1"/>
  <c r="CP27" i="43" s="1"/>
  <c r="GT27" i="43"/>
  <c r="GV27" i="43" s="1"/>
  <c r="BU27" i="43" s="1"/>
  <c r="AA23" i="45" l="1"/>
  <c r="AC23" i="45"/>
  <c r="CR27" i="43"/>
  <c r="HE28" i="43"/>
  <c r="HD28" i="43" s="1"/>
  <c r="GK27" i="43"/>
  <c r="BW27" i="43"/>
  <c r="GX28" i="43"/>
  <c r="GW28" i="43" s="1"/>
  <c r="DK27" i="43"/>
  <c r="HL28" i="43"/>
  <c r="HK28" i="43" s="1"/>
  <c r="AW24" i="45"/>
  <c r="AN27" i="43"/>
  <c r="GQ28" i="43"/>
  <c r="GP28" i="43" s="1"/>
  <c r="GL28" i="43" s="1"/>
  <c r="BD27" i="43"/>
  <c r="GS28" i="43" l="1"/>
  <c r="GZ28" i="43"/>
  <c r="AO27" i="43"/>
  <c r="DY27" i="43"/>
  <c r="DZ27" i="43" s="1"/>
  <c r="HG28" i="43"/>
  <c r="HI27" i="43"/>
  <c r="GN27" i="43"/>
  <c r="GU27" i="43"/>
  <c r="HB27" i="43"/>
  <c r="GJ28" i="43" l="1"/>
  <c r="GM28" i="43" s="1"/>
  <c r="FF27" i="43"/>
  <c r="T24" i="45"/>
  <c r="AB24" i="45" s="1"/>
  <c r="GT28" i="43" l="1"/>
  <c r="GV28" i="43" s="1"/>
  <c r="BU28" i="43" s="1"/>
  <c r="BW28" i="43" s="1"/>
  <c r="HA28" i="43"/>
  <c r="HC28" i="43" s="1"/>
  <c r="CP28" i="43" s="1"/>
  <c r="CR28" i="43" s="1"/>
  <c r="HH28" i="43"/>
  <c r="HJ28" i="43" s="1"/>
  <c r="DI28" i="43" s="1"/>
  <c r="DK28" i="43" s="1"/>
  <c r="HL29" i="43"/>
  <c r="HK29" i="43" s="1"/>
  <c r="HG29" i="43" s="1"/>
  <c r="GX29" i="43"/>
  <c r="GW29" i="43" s="1"/>
  <c r="HE29" i="43"/>
  <c r="HD29" i="43" s="1"/>
  <c r="AC24" i="45"/>
  <c r="AA24" i="45"/>
  <c r="GO28" i="43"/>
  <c r="BB28" i="43" s="1"/>
  <c r="GK28" i="43" l="1"/>
  <c r="HI28" i="43" s="1"/>
  <c r="GS29" i="43"/>
  <c r="GZ29" i="43"/>
  <c r="GQ29" i="43"/>
  <c r="GP29" i="43" s="1"/>
  <c r="AN28" i="43"/>
  <c r="BD28" i="43"/>
  <c r="AW25" i="45"/>
  <c r="GN28" i="43" l="1"/>
  <c r="HB28" i="43"/>
  <c r="GU28" i="43"/>
  <c r="AO28" i="43"/>
  <c r="DY28" i="43"/>
  <c r="DZ28" i="43" s="1"/>
  <c r="GL29" i="43"/>
  <c r="GJ29" i="43" s="1"/>
  <c r="HH29" i="43" l="1"/>
  <c r="HJ29" i="43" s="1"/>
  <c r="DI29" i="43" s="1"/>
  <c r="GT29" i="43"/>
  <c r="GV29" i="43" s="1"/>
  <c r="BU29" i="43" s="1"/>
  <c r="HA29" i="43"/>
  <c r="HC29" i="43" s="1"/>
  <c r="CP29" i="43" s="1"/>
  <c r="GM29" i="43"/>
  <c r="FF28" i="43"/>
  <c r="T25" i="45"/>
  <c r="AB25" i="45" s="1"/>
  <c r="CR29" i="43" l="1"/>
  <c r="HE30" i="43"/>
  <c r="HD30" i="43" s="1"/>
  <c r="AC25" i="45"/>
  <c r="AA25" i="45"/>
  <c r="BW29" i="43"/>
  <c r="GX30" i="43"/>
  <c r="GW30" i="43" s="1"/>
  <c r="GO29" i="43"/>
  <c r="BB29" i="43" s="1"/>
  <c r="GK29" i="43"/>
  <c r="DK29" i="43"/>
  <c r="HL30" i="43"/>
  <c r="HK30" i="43" s="1"/>
  <c r="HG30" i="43" l="1"/>
  <c r="HI29" i="43"/>
  <c r="GU29" i="43"/>
  <c r="HB29" i="43"/>
  <c r="GN29" i="43"/>
  <c r="AN29" i="43"/>
  <c r="GQ30" i="43"/>
  <c r="GP30" i="43" s="1"/>
  <c r="AW26" i="45"/>
  <c r="BD29" i="43"/>
  <c r="GZ30" i="43"/>
  <c r="GS30" i="43"/>
  <c r="GL30" i="43" l="1"/>
  <c r="GJ30" i="43" s="1"/>
  <c r="GM30" i="43" s="1"/>
  <c r="AO29" i="43"/>
  <c r="DY29" i="43"/>
  <c r="DZ29" i="43" s="1"/>
  <c r="GO30" i="43" l="1"/>
  <c r="BB30" i="43" s="1"/>
  <c r="FF29" i="43"/>
  <c r="T26" i="45"/>
  <c r="AB26" i="45" s="1"/>
  <c r="GT30" i="43"/>
  <c r="GV30" i="43" s="1"/>
  <c r="BU30" i="43" s="1"/>
  <c r="HH30" i="43"/>
  <c r="HJ30" i="43" s="1"/>
  <c r="DI30" i="43" s="1"/>
  <c r="HA30" i="43"/>
  <c r="HC30" i="43" s="1"/>
  <c r="CP30" i="43" s="1"/>
  <c r="CR30" i="43" l="1"/>
  <c r="HE31" i="43"/>
  <c r="HD31" i="43" s="1"/>
  <c r="DK30" i="43"/>
  <c r="HL31" i="43"/>
  <c r="HK31" i="43" s="1"/>
  <c r="GK30" i="43"/>
  <c r="AC26" i="45"/>
  <c r="AA26" i="45"/>
  <c r="BW30" i="43"/>
  <c r="GX31" i="43"/>
  <c r="GW31" i="43" s="1"/>
  <c r="GQ31" i="43"/>
  <c r="GP31" i="43" s="1"/>
  <c r="GL31" i="43" s="1"/>
  <c r="AN30" i="43"/>
  <c r="AW27" i="45"/>
  <c r="BD30" i="43"/>
  <c r="HG31" i="43" l="1"/>
  <c r="DY30" i="43"/>
  <c r="DZ30" i="43" s="1"/>
  <c r="AO30" i="43"/>
  <c r="GZ31" i="43"/>
  <c r="GS31" i="43"/>
  <c r="HB30" i="43"/>
  <c r="HI30" i="43"/>
  <c r="GN30" i="43"/>
  <c r="GU30" i="43"/>
  <c r="GJ31" i="43" l="1"/>
  <c r="GT31" i="43" s="1"/>
  <c r="GV31" i="43" s="1"/>
  <c r="BU31" i="43" s="1"/>
  <c r="FF30" i="43"/>
  <c r="T27" i="45"/>
  <c r="AB27" i="45" s="1"/>
  <c r="HA31" i="43" l="1"/>
  <c r="HC31" i="43" s="1"/>
  <c r="CP31" i="43" s="1"/>
  <c r="CR31" i="43" s="1"/>
  <c r="GM31" i="43"/>
  <c r="GO31" i="43" s="1"/>
  <c r="BB31" i="43" s="1"/>
  <c r="HH31" i="43"/>
  <c r="HJ31" i="43" s="1"/>
  <c r="DI31" i="43" s="1"/>
  <c r="DK31" i="43" s="1"/>
  <c r="HL32" i="43"/>
  <c r="HK32" i="43" s="1"/>
  <c r="HE32" i="43"/>
  <c r="HD32" i="43" s="1"/>
  <c r="BW31" i="43"/>
  <c r="GX32" i="43"/>
  <c r="GW32" i="43" s="1"/>
  <c r="GS32" i="43" s="1"/>
  <c r="AC27" i="45"/>
  <c r="AA27" i="45"/>
  <c r="GK31" i="43" l="1"/>
  <c r="GN31" i="43" s="1"/>
  <c r="GZ32" i="43"/>
  <c r="HG32" i="43"/>
  <c r="AN31" i="43"/>
  <c r="GQ32" i="43"/>
  <c r="GP32" i="43" s="1"/>
  <c r="AW28" i="45"/>
  <c r="BD31" i="43"/>
  <c r="HI31" i="43" l="1"/>
  <c r="HB31" i="43"/>
  <c r="GU31" i="43"/>
  <c r="GL32" i="43"/>
  <c r="GJ32" i="43" s="1"/>
  <c r="GM32" i="43" s="1"/>
  <c r="AO31" i="43"/>
  <c r="DY31" i="43"/>
  <c r="DZ31" i="43" s="1"/>
  <c r="GO32" i="43" l="1"/>
  <c r="BB32" i="43" s="1"/>
  <c r="T28" i="45"/>
  <c r="AB28" i="45" s="1"/>
  <c r="FF31" i="43"/>
  <c r="GT32" i="43"/>
  <c r="GV32" i="43" s="1"/>
  <c r="BU32" i="43" s="1"/>
  <c r="HA32" i="43"/>
  <c r="HC32" i="43" s="1"/>
  <c r="CP32" i="43" s="1"/>
  <c r="HH32" i="43"/>
  <c r="HJ32" i="43" s="1"/>
  <c r="DI32" i="43" s="1"/>
  <c r="DK32" i="43" l="1"/>
  <c r="HL33" i="43"/>
  <c r="HK33" i="43" s="1"/>
  <c r="CR32" i="43"/>
  <c r="HE33" i="43"/>
  <c r="HD33" i="43" s="1"/>
  <c r="GK32" i="43"/>
  <c r="AA28" i="45"/>
  <c r="AC28" i="45"/>
  <c r="BW32" i="43"/>
  <c r="GX33" i="43"/>
  <c r="GW33" i="43" s="1"/>
  <c r="AW29" i="45"/>
  <c r="AN32" i="43"/>
  <c r="GQ33" i="43"/>
  <c r="GP33" i="43" s="1"/>
  <c r="BD32" i="43"/>
  <c r="GZ33" i="43" l="1"/>
  <c r="HG33" i="43"/>
  <c r="GL33" i="43"/>
  <c r="AO32" i="43"/>
  <c r="DY32" i="43"/>
  <c r="DZ32" i="43" s="1"/>
  <c r="GS33" i="43"/>
  <c r="HI32" i="43"/>
  <c r="GU32" i="43"/>
  <c r="HB32" i="43"/>
  <c r="GN32" i="43"/>
  <c r="FF32" i="43" l="1"/>
  <c r="T29" i="45"/>
  <c r="AB29" i="45" s="1"/>
  <c r="GJ33" i="43"/>
  <c r="AA29" i="45" l="1"/>
  <c r="AC29" i="45"/>
  <c r="HH33" i="43"/>
  <c r="HJ33" i="43" s="1"/>
  <c r="DI33" i="43" s="1"/>
  <c r="HA33" i="43"/>
  <c r="HC33" i="43" s="1"/>
  <c r="CP33" i="43" s="1"/>
  <c r="GM33" i="43"/>
  <c r="GT33" i="43"/>
  <c r="GV33" i="43" s="1"/>
  <c r="BU33" i="43" s="1"/>
  <c r="CR33" i="43" l="1"/>
  <c r="HE34" i="43"/>
  <c r="HD34" i="43" s="1"/>
  <c r="BW33" i="43"/>
  <c r="GX34" i="43"/>
  <c r="GW34" i="43" s="1"/>
  <c r="DK33" i="43"/>
  <c r="HL34" i="43"/>
  <c r="HK34" i="43" s="1"/>
  <c r="GK33" i="43"/>
  <c r="GO33" i="43"/>
  <c r="BB33" i="43" s="1"/>
  <c r="GS34" i="43" l="1"/>
  <c r="HI33" i="43"/>
  <c r="HB33" i="43"/>
  <c r="GU33" i="43"/>
  <c r="GN33" i="43"/>
  <c r="AN33" i="43"/>
  <c r="GQ34" i="43"/>
  <c r="GP34" i="43" s="1"/>
  <c r="BD33" i="43"/>
  <c r="AW30" i="45"/>
  <c r="GZ34" i="43"/>
  <c r="HG34" i="43"/>
  <c r="GL34" i="43" l="1"/>
  <c r="GJ34" i="43" s="1"/>
  <c r="GM34" i="43" s="1"/>
  <c r="AO33" i="43"/>
  <c r="DY33" i="43"/>
  <c r="DZ33" i="43" s="1"/>
  <c r="GO34" i="43" l="1"/>
  <c r="BB34" i="43" s="1"/>
  <c r="T30" i="45"/>
  <c r="AB30" i="45" s="1"/>
  <c r="FF33" i="43"/>
  <c r="HH34" i="43"/>
  <c r="HJ34" i="43" s="1"/>
  <c r="DI34" i="43" s="1"/>
  <c r="HA34" i="43"/>
  <c r="HC34" i="43" s="1"/>
  <c r="CP34" i="43" s="1"/>
  <c r="GT34" i="43"/>
  <c r="GV34" i="43" s="1"/>
  <c r="BU34" i="43" s="1"/>
  <c r="AC30" i="45" l="1"/>
  <c r="AA30" i="45"/>
  <c r="CR34" i="43"/>
  <c r="HE35" i="43"/>
  <c r="HD35" i="43" s="1"/>
  <c r="GK34" i="43"/>
  <c r="BW34" i="43"/>
  <c r="GX35" i="43"/>
  <c r="GW35" i="43" s="1"/>
  <c r="DK34" i="43"/>
  <c r="HL35" i="43"/>
  <c r="HK35" i="43" s="1"/>
  <c r="HG35" i="43" s="1"/>
  <c r="GQ35" i="43"/>
  <c r="GP35" i="43" s="1"/>
  <c r="AN34" i="43"/>
  <c r="AW31" i="45"/>
  <c r="BD34" i="43"/>
  <c r="GZ35" i="43" l="1"/>
  <c r="DY34" i="43"/>
  <c r="DZ34" i="43" s="1"/>
  <c r="AO34" i="43"/>
  <c r="GL35" i="43"/>
  <c r="GS35" i="43"/>
  <c r="HI34" i="43"/>
  <c r="GU34" i="43"/>
  <c r="HB34" i="43"/>
  <c r="GN34" i="43"/>
  <c r="FF34" i="43" l="1"/>
  <c r="T31" i="45"/>
  <c r="AB31" i="45" s="1"/>
  <c r="GJ35" i="43"/>
  <c r="AC31" i="45" l="1"/>
  <c r="AA31" i="45"/>
  <c r="HH35" i="43"/>
  <c r="HJ35" i="43" s="1"/>
  <c r="DI35" i="43" s="1"/>
  <c r="HA35" i="43"/>
  <c r="HC35" i="43" s="1"/>
  <c r="CP35" i="43" s="1"/>
  <c r="GM35" i="43"/>
  <c r="GT35" i="43"/>
  <c r="GV35" i="43" s="1"/>
  <c r="BU35" i="43" s="1"/>
  <c r="DK35" i="43" l="1"/>
  <c r="HL36" i="43"/>
  <c r="HK36" i="43" s="1"/>
  <c r="HG36" i="43" s="1"/>
  <c r="BW35" i="43"/>
  <c r="GX36" i="43"/>
  <c r="GW36" i="43" s="1"/>
  <c r="CR35" i="43"/>
  <c r="HE36" i="43"/>
  <c r="HD36" i="43" s="1"/>
  <c r="GO35" i="43"/>
  <c r="BB35" i="43" s="1"/>
  <c r="GK35" i="43"/>
  <c r="GS36" i="43" l="1"/>
  <c r="GN35" i="43"/>
  <c r="HB35" i="43"/>
  <c r="HI35" i="43"/>
  <c r="GU35" i="43"/>
  <c r="GQ36" i="43"/>
  <c r="GP36" i="43" s="1"/>
  <c r="AN35" i="43"/>
  <c r="AW32" i="45"/>
  <c r="BD35" i="43"/>
  <c r="GZ36" i="43"/>
  <c r="AO35" i="43" l="1"/>
  <c r="DY35" i="43"/>
  <c r="DZ35" i="43" s="1"/>
  <c r="GL36" i="43"/>
  <c r="GJ36" i="43" s="1"/>
  <c r="HH36" i="43" l="1"/>
  <c r="HJ36" i="43" s="1"/>
  <c r="DI36" i="43" s="1"/>
  <c r="GT36" i="43"/>
  <c r="GV36" i="43" s="1"/>
  <c r="BU36" i="43" s="1"/>
  <c r="HA36" i="43"/>
  <c r="HC36" i="43" s="1"/>
  <c r="CP36" i="43" s="1"/>
  <c r="GM36" i="43"/>
  <c r="FF35" i="43"/>
  <c r="T32" i="45"/>
  <c r="AB32" i="45" s="1"/>
  <c r="CR36" i="43" l="1"/>
  <c r="HE37" i="43"/>
  <c r="HD37" i="43" s="1"/>
  <c r="AC32" i="45"/>
  <c r="AA32" i="45"/>
  <c r="BW36" i="43"/>
  <c r="GX37" i="43"/>
  <c r="GW37" i="43" s="1"/>
  <c r="GO36" i="43"/>
  <c r="BB36" i="43" s="1"/>
  <c r="GK36" i="43"/>
  <c r="DK36" i="43"/>
  <c r="HL37" i="43"/>
  <c r="HK37" i="43" s="1"/>
  <c r="HG37" i="43" l="1"/>
  <c r="HB36" i="43"/>
  <c r="HI36" i="43"/>
  <c r="GN36" i="43"/>
  <c r="GU36" i="43"/>
  <c r="BD36" i="43"/>
  <c r="AN36" i="43"/>
  <c r="GQ37" i="43"/>
  <c r="GP37" i="43" s="1"/>
  <c r="GL37" i="43" s="1"/>
  <c r="AW33" i="45"/>
  <c r="GZ37" i="43"/>
  <c r="GS37" i="43"/>
  <c r="GJ37" i="43" l="1"/>
  <c r="GM37" i="43" s="1"/>
  <c r="GO37" i="43" s="1"/>
  <c r="BB37" i="43" s="1"/>
  <c r="AO36" i="43"/>
  <c r="DY36" i="43"/>
  <c r="DZ36" i="43" s="1"/>
  <c r="GT37" i="43" l="1"/>
  <c r="GV37" i="43" s="1"/>
  <c r="BU37" i="43" s="1"/>
  <c r="BW37" i="43" s="1"/>
  <c r="HH37" i="43"/>
  <c r="HJ37" i="43" s="1"/>
  <c r="DI37" i="43" s="1"/>
  <c r="DK37" i="43" s="1"/>
  <c r="HA37" i="43"/>
  <c r="HC37" i="43" s="1"/>
  <c r="CP37" i="43" s="1"/>
  <c r="CR37" i="43" s="1"/>
  <c r="HE38" i="43"/>
  <c r="HD38" i="43" s="1"/>
  <c r="GZ38" i="43" s="1"/>
  <c r="GQ38" i="43"/>
  <c r="GP38" i="43" s="1"/>
  <c r="AN37" i="43"/>
  <c r="AW34" i="45"/>
  <c r="BD37" i="43"/>
  <c r="GX38" i="43"/>
  <c r="GW38" i="43" s="1"/>
  <c r="HL38" i="43"/>
  <c r="HK38" i="43" s="1"/>
  <c r="FF36" i="43"/>
  <c r="T33" i="45"/>
  <c r="AB33" i="45" s="1"/>
  <c r="GK37" i="43" l="1"/>
  <c r="GN37" i="43" s="1"/>
  <c r="HG38" i="43"/>
  <c r="GL38" i="43"/>
  <c r="DY37" i="43"/>
  <c r="DZ37" i="43" s="1"/>
  <c r="AO37" i="43"/>
  <c r="GS38" i="43"/>
  <c r="AA33" i="45"/>
  <c r="AC33" i="45"/>
  <c r="HI37" i="43" l="1"/>
  <c r="HB37" i="43"/>
  <c r="GU37" i="43"/>
  <c r="GJ38" i="43"/>
  <c r="FF37" i="43"/>
  <c r="T34" i="45"/>
  <c r="AB34" i="45" s="1"/>
  <c r="AC34" i="45" l="1"/>
  <c r="AA34" i="45"/>
  <c r="HA38" i="43"/>
  <c r="HC38" i="43" s="1"/>
  <c r="CP38" i="43" s="1"/>
  <c r="HH38" i="43"/>
  <c r="HJ38" i="43" s="1"/>
  <c r="DI38" i="43" s="1"/>
  <c r="GT38" i="43"/>
  <c r="GV38" i="43" s="1"/>
  <c r="BU38" i="43" s="1"/>
  <c r="GM38" i="43"/>
  <c r="DK38" i="43" l="1"/>
  <c r="HL39" i="43"/>
  <c r="HK39" i="43" s="1"/>
  <c r="HG39" i="43" s="1"/>
  <c r="GO38" i="43"/>
  <c r="BB38" i="43" s="1"/>
  <c r="GK38" i="43"/>
  <c r="CR38" i="43"/>
  <c r="HE39" i="43"/>
  <c r="HD39" i="43" s="1"/>
  <c r="BW38" i="43"/>
  <c r="GX39" i="43"/>
  <c r="GW39" i="43" s="1"/>
  <c r="GS39" i="43" l="1"/>
  <c r="HI38" i="43"/>
  <c r="GU38" i="43"/>
  <c r="GN38" i="43"/>
  <c r="HB38" i="43"/>
  <c r="AN38" i="43"/>
  <c r="GQ39" i="43"/>
  <c r="GP39" i="43" s="1"/>
  <c r="BD38" i="43"/>
  <c r="AW35" i="45"/>
  <c r="GZ39" i="43"/>
  <c r="DY38" i="43" l="1"/>
  <c r="DZ38" i="43" s="1"/>
  <c r="AO38" i="43"/>
  <c r="GL39" i="43"/>
  <c r="GJ39" i="43" s="1"/>
  <c r="HH39" i="43" l="1"/>
  <c r="HJ39" i="43" s="1"/>
  <c r="DI39" i="43" s="1"/>
  <c r="GT39" i="43"/>
  <c r="GV39" i="43" s="1"/>
  <c r="BU39" i="43" s="1"/>
  <c r="HA39" i="43"/>
  <c r="HC39" i="43" s="1"/>
  <c r="CP39" i="43" s="1"/>
  <c r="FF38" i="43"/>
  <c r="T35" i="45"/>
  <c r="AB35" i="45" s="1"/>
  <c r="GM39" i="43"/>
  <c r="CR39" i="43" l="1"/>
  <c r="HE40" i="43"/>
  <c r="HD40" i="43" s="1"/>
  <c r="GO39" i="43"/>
  <c r="BB39" i="43" s="1"/>
  <c r="GK39" i="43"/>
  <c r="BW39" i="43"/>
  <c r="GX40" i="43"/>
  <c r="GW40" i="43" s="1"/>
  <c r="AA35" i="45"/>
  <c r="AC35" i="45"/>
  <c r="DK39" i="43"/>
  <c r="HL40" i="43"/>
  <c r="HK40" i="43" s="1"/>
  <c r="HG40" i="43" s="1"/>
  <c r="GU39" i="43" l="1"/>
  <c r="GN39" i="43"/>
  <c r="HB39" i="43"/>
  <c r="HI39" i="43"/>
  <c r="GQ40" i="43"/>
  <c r="GP40" i="43" s="1"/>
  <c r="AN39" i="43"/>
  <c r="BD39" i="43"/>
  <c r="AW36" i="45"/>
  <c r="GZ40" i="43"/>
  <c r="GS40" i="43"/>
  <c r="AO39" i="43" l="1"/>
  <c r="DY39" i="43"/>
  <c r="DZ39" i="43" s="1"/>
  <c r="GL40" i="43"/>
  <c r="GJ40" i="43" s="1"/>
  <c r="HH40" i="43" l="1"/>
  <c r="HJ40" i="43" s="1"/>
  <c r="DI40" i="43" s="1"/>
  <c r="HA40" i="43"/>
  <c r="HC40" i="43" s="1"/>
  <c r="CP40" i="43" s="1"/>
  <c r="GT40" i="43"/>
  <c r="GV40" i="43" s="1"/>
  <c r="BU40" i="43" s="1"/>
  <c r="GM40" i="43"/>
  <c r="T36" i="45"/>
  <c r="AB36" i="45" s="1"/>
  <c r="FF39" i="43"/>
  <c r="GO40" i="43" l="1"/>
  <c r="BB40" i="43" s="1"/>
  <c r="GK40" i="43"/>
  <c r="BW40" i="43"/>
  <c r="GX41" i="43"/>
  <c r="GW41" i="43" s="1"/>
  <c r="CR40" i="43"/>
  <c r="HE41" i="43"/>
  <c r="HD41" i="43" s="1"/>
  <c r="AC36" i="45"/>
  <c r="AA36" i="45"/>
  <c r="DK40" i="43"/>
  <c r="HL41" i="43"/>
  <c r="HK41" i="43" s="1"/>
  <c r="GS41" i="43" l="1"/>
  <c r="GZ41" i="43"/>
  <c r="HB40" i="43"/>
  <c r="GN40" i="43"/>
  <c r="HI40" i="43"/>
  <c r="GU40" i="43"/>
  <c r="HG41" i="43"/>
  <c r="GQ41" i="43"/>
  <c r="GP41" i="43" s="1"/>
  <c r="AN40" i="43"/>
  <c r="AW37" i="45"/>
  <c r="BD40" i="43"/>
  <c r="AO40" i="43" l="1"/>
  <c r="DY40" i="43"/>
  <c r="DZ40" i="43" s="1"/>
  <c r="GL41" i="43"/>
  <c r="GJ41" i="43" s="1"/>
  <c r="GT41" i="43" l="1"/>
  <c r="GV41" i="43" s="1"/>
  <c r="BU41" i="43" s="1"/>
  <c r="HH41" i="43"/>
  <c r="HJ41" i="43" s="1"/>
  <c r="DI41" i="43" s="1"/>
  <c r="HA41" i="43"/>
  <c r="HC41" i="43" s="1"/>
  <c r="CP41" i="43" s="1"/>
  <c r="GM41" i="43"/>
  <c r="T37" i="45"/>
  <c r="AB37" i="45" s="1"/>
  <c r="FF40" i="43"/>
  <c r="GO41" i="43" l="1"/>
  <c r="BB41" i="43" s="1"/>
  <c r="GK41" i="43"/>
  <c r="CR41" i="43"/>
  <c r="HE42" i="43"/>
  <c r="HD42" i="43" s="1"/>
  <c r="DK41" i="43"/>
  <c r="HL42" i="43"/>
  <c r="HK42" i="43" s="1"/>
  <c r="AA37" i="45"/>
  <c r="AC37" i="45"/>
  <c r="BW41" i="43"/>
  <c r="GX42" i="43"/>
  <c r="GW42" i="43" s="1"/>
  <c r="GZ42" i="43" l="1"/>
  <c r="HG42" i="43"/>
  <c r="GN41" i="43"/>
  <c r="HI41" i="43"/>
  <c r="GU41" i="43"/>
  <c r="HB41" i="43"/>
  <c r="GS42" i="43"/>
  <c r="AN41" i="43"/>
  <c r="GQ42" i="43"/>
  <c r="GP42" i="43" s="1"/>
  <c r="AW38" i="45"/>
  <c r="BD41" i="43"/>
  <c r="GL42" i="43" l="1"/>
  <c r="GJ42" i="43" s="1"/>
  <c r="GM42" i="43" s="1"/>
  <c r="DY41" i="43"/>
  <c r="DZ41" i="43" s="1"/>
  <c r="AO41" i="43"/>
  <c r="GO42" i="43" l="1"/>
  <c r="BB42" i="43" s="1"/>
  <c r="FF41" i="43"/>
  <c r="T38" i="45"/>
  <c r="AB38" i="45" s="1"/>
  <c r="HA42" i="43"/>
  <c r="HC42" i="43" s="1"/>
  <c r="CP42" i="43" s="1"/>
  <c r="GT42" i="43"/>
  <c r="GV42" i="43" s="1"/>
  <c r="BU42" i="43" s="1"/>
  <c r="HH42" i="43"/>
  <c r="HJ42" i="43" s="1"/>
  <c r="DI42" i="43" s="1"/>
  <c r="AC38" i="45" l="1"/>
  <c r="AA38" i="45"/>
  <c r="BW42" i="43"/>
  <c r="GX43" i="43"/>
  <c r="GW43" i="43" s="1"/>
  <c r="AN42" i="43"/>
  <c r="GQ43" i="43"/>
  <c r="GP43" i="43" s="1"/>
  <c r="AW39" i="45"/>
  <c r="BD42" i="43"/>
  <c r="DK42" i="43"/>
  <c r="HL43" i="43"/>
  <c r="HK43" i="43" s="1"/>
  <c r="CR42" i="43"/>
  <c r="HE43" i="43"/>
  <c r="HD43" i="43" s="1"/>
  <c r="GZ43" i="43" s="1"/>
  <c r="GK42" i="43"/>
  <c r="GS43" i="43" l="1"/>
  <c r="GL43" i="43"/>
  <c r="HG43" i="43"/>
  <c r="HI42" i="43"/>
  <c r="HB42" i="43"/>
  <c r="GU42" i="43"/>
  <c r="GN42" i="43"/>
  <c r="DY42" i="43"/>
  <c r="DZ42" i="43" s="1"/>
  <c r="AO42" i="43"/>
  <c r="GJ43" i="43" l="1"/>
  <c r="HA43" i="43" s="1"/>
  <c r="HC43" i="43" s="1"/>
  <c r="CP43" i="43" s="1"/>
  <c r="CR43" i="43" s="1"/>
  <c r="HE44" i="43"/>
  <c r="HD44" i="43" s="1"/>
  <c r="FF42" i="43"/>
  <c r="T39" i="45"/>
  <c r="AB39" i="45" s="1"/>
  <c r="GM43" i="43" l="1"/>
  <c r="GO43" i="43" s="1"/>
  <c r="BB43" i="43" s="1"/>
  <c r="HH43" i="43"/>
  <c r="HJ43" i="43" s="1"/>
  <c r="DI43" i="43" s="1"/>
  <c r="DK43" i="43" s="1"/>
  <c r="GT43" i="43"/>
  <c r="GV43" i="43" s="1"/>
  <c r="BU43" i="43" s="1"/>
  <c r="BW43" i="43" s="1"/>
  <c r="GX44" i="43"/>
  <c r="GW44" i="43" s="1"/>
  <c r="GS44" i="43" s="1"/>
  <c r="HL44" i="43"/>
  <c r="HK44" i="43" s="1"/>
  <c r="GZ44" i="43"/>
  <c r="AA39" i="45"/>
  <c r="AC39" i="45"/>
  <c r="GK43" i="43" l="1"/>
  <c r="GN43" i="43" s="1"/>
  <c r="AW40" i="45"/>
  <c r="AN43" i="43"/>
  <c r="GQ44" i="43"/>
  <c r="GP44" i="43" s="1"/>
  <c r="BD43" i="43"/>
  <c r="HG44" i="43"/>
  <c r="HI43" i="43" l="1"/>
  <c r="HB43" i="43"/>
  <c r="GU43" i="43"/>
  <c r="GL44" i="43"/>
  <c r="GJ44" i="43" s="1"/>
  <c r="GM44" i="43" s="1"/>
  <c r="AO43" i="43"/>
  <c r="DY43" i="43"/>
  <c r="DZ43" i="43" s="1"/>
  <c r="GO44" i="43" l="1"/>
  <c r="BB44" i="43" s="1"/>
  <c r="FF43" i="43"/>
  <c r="T40" i="45"/>
  <c r="AB40" i="45" s="1"/>
  <c r="GT44" i="43"/>
  <c r="GV44" i="43" s="1"/>
  <c r="BU44" i="43" s="1"/>
  <c r="HA44" i="43"/>
  <c r="HC44" i="43" s="1"/>
  <c r="CP44" i="43" s="1"/>
  <c r="HH44" i="43"/>
  <c r="HJ44" i="43" s="1"/>
  <c r="DI44" i="43" s="1"/>
  <c r="AA40" i="45" l="1"/>
  <c r="AC40" i="45"/>
  <c r="CR44" i="43"/>
  <c r="HE45" i="43"/>
  <c r="HD45" i="43" s="1"/>
  <c r="GK44" i="43"/>
  <c r="DK44" i="43"/>
  <c r="HL45" i="43"/>
  <c r="HK45" i="43" s="1"/>
  <c r="BW44" i="43"/>
  <c r="GX45" i="43"/>
  <c r="GW45" i="43" s="1"/>
  <c r="AW41" i="45"/>
  <c r="GQ45" i="43"/>
  <c r="GP45" i="43" s="1"/>
  <c r="AN44" i="43"/>
  <c r="BD44" i="43"/>
  <c r="GZ45" i="43" l="1"/>
  <c r="HG45" i="43"/>
  <c r="AO44" i="43"/>
  <c r="DY44" i="43"/>
  <c r="DZ44" i="43" s="1"/>
  <c r="GL45" i="43"/>
  <c r="GS45" i="43"/>
  <c r="HB44" i="43"/>
  <c r="GN44" i="43"/>
  <c r="GU44" i="43"/>
  <c r="HI44" i="43"/>
  <c r="GJ45" i="43" l="1"/>
  <c r="GM45" i="43" s="1"/>
  <c r="GO45" i="43" s="1"/>
  <c r="BB45" i="43" s="1"/>
  <c r="FF44" i="43"/>
  <c r="T41" i="45"/>
  <c r="AB41" i="45" s="1"/>
  <c r="HA45" i="43" l="1"/>
  <c r="HC45" i="43" s="1"/>
  <c r="CP45" i="43" s="1"/>
  <c r="CR45" i="43" s="1"/>
  <c r="GT45" i="43"/>
  <c r="GV45" i="43" s="1"/>
  <c r="BU45" i="43" s="1"/>
  <c r="BW45" i="43" s="1"/>
  <c r="HH45" i="43"/>
  <c r="HJ45" i="43" s="1"/>
  <c r="DI45" i="43" s="1"/>
  <c r="DK45" i="43" s="1"/>
  <c r="HL46" i="43"/>
  <c r="HK46" i="43" s="1"/>
  <c r="AC41" i="45"/>
  <c r="AA41" i="45"/>
  <c r="GX46" i="43"/>
  <c r="GW46" i="43" s="1"/>
  <c r="HE46" i="43"/>
  <c r="HD46" i="43" s="1"/>
  <c r="AN45" i="43"/>
  <c r="GQ46" i="43"/>
  <c r="GP46" i="43" s="1"/>
  <c r="AW42" i="45"/>
  <c r="BD45" i="43"/>
  <c r="GK45" i="43" l="1"/>
  <c r="HB45" i="43" s="1"/>
  <c r="GL46" i="43"/>
  <c r="GS46" i="43"/>
  <c r="AO45" i="43"/>
  <c r="DY45" i="43"/>
  <c r="DZ45" i="43" s="1"/>
  <c r="HG46" i="43"/>
  <c r="GZ46" i="43"/>
  <c r="GN45" i="43" l="1"/>
  <c r="GU45" i="43"/>
  <c r="HI45" i="43"/>
  <c r="FF45" i="43"/>
  <c r="T42" i="45"/>
  <c r="AB42" i="45" s="1"/>
  <c r="GJ46" i="43"/>
  <c r="AA42" i="45" l="1"/>
  <c r="AC42" i="45"/>
  <c r="GM46" i="43"/>
  <c r="HA46" i="43"/>
  <c r="HC46" i="43" s="1"/>
  <c r="CP46" i="43" s="1"/>
  <c r="GT46" i="43"/>
  <c r="GV46" i="43" s="1"/>
  <c r="BU46" i="43" s="1"/>
  <c r="HH46" i="43"/>
  <c r="HJ46" i="43" s="1"/>
  <c r="DI46" i="43" s="1"/>
  <c r="CR46" i="43" l="1"/>
  <c r="HE47" i="43"/>
  <c r="HD47" i="43" s="1"/>
  <c r="GK46" i="43"/>
  <c r="GO46" i="43"/>
  <c r="BB46" i="43" s="1"/>
  <c r="DK46" i="43"/>
  <c r="HL47" i="43"/>
  <c r="HK47" i="43" s="1"/>
  <c r="BW46" i="43"/>
  <c r="GX47" i="43"/>
  <c r="GW47" i="43" s="1"/>
  <c r="GS47" i="43" s="1"/>
  <c r="GQ47" i="43" l="1"/>
  <c r="GP47" i="43" s="1"/>
  <c r="AN46" i="43"/>
  <c r="BD46" i="43"/>
  <c r="AW43" i="45"/>
  <c r="HB46" i="43"/>
  <c r="GN46" i="43"/>
  <c r="HI46" i="43"/>
  <c r="GU46" i="43"/>
  <c r="GZ47" i="43"/>
  <c r="HG47" i="43"/>
  <c r="DY46" i="43" l="1"/>
  <c r="DZ46" i="43" s="1"/>
  <c r="AO46" i="43"/>
  <c r="GL47" i="43"/>
  <c r="GJ47" i="43" s="1"/>
  <c r="GM47" i="43" s="1"/>
  <c r="GO47" i="43" l="1"/>
  <c r="BB47" i="43" s="1"/>
  <c r="FF46" i="43"/>
  <c r="T43" i="45"/>
  <c r="AB43" i="45" s="1"/>
  <c r="GT47" i="43"/>
  <c r="GV47" i="43" s="1"/>
  <c r="BU47" i="43" s="1"/>
  <c r="HA47" i="43"/>
  <c r="HC47" i="43" s="1"/>
  <c r="CP47" i="43" s="1"/>
  <c r="HH47" i="43"/>
  <c r="HJ47" i="43" s="1"/>
  <c r="DI47" i="43" s="1"/>
  <c r="AA43" i="45" l="1"/>
  <c r="AC43" i="45"/>
  <c r="CR47" i="43"/>
  <c r="HE48" i="43"/>
  <c r="HD48" i="43" s="1"/>
  <c r="GK47" i="43"/>
  <c r="DK47" i="43"/>
  <c r="HL48" i="43"/>
  <c r="HK48" i="43" s="1"/>
  <c r="BW47" i="43"/>
  <c r="GX48" i="43"/>
  <c r="GW48" i="43" s="1"/>
  <c r="AN47" i="43"/>
  <c r="GQ48" i="43"/>
  <c r="GP48" i="43" s="1"/>
  <c r="GL48" i="43" s="1"/>
  <c r="AW44" i="45"/>
  <c r="BD47" i="43"/>
  <c r="GZ48" i="43" l="1"/>
  <c r="HG48" i="43"/>
  <c r="AO47" i="43"/>
  <c r="DY47" i="43"/>
  <c r="DZ47" i="43" s="1"/>
  <c r="GS48" i="43"/>
  <c r="GU47" i="43"/>
  <c r="HI47" i="43"/>
  <c r="HB47" i="43"/>
  <c r="GN47" i="43"/>
  <c r="GJ48" i="43" l="1"/>
  <c r="GM48" i="43" s="1"/>
  <c r="FF47" i="43"/>
  <c r="T44" i="45"/>
  <c r="AB44" i="45" s="1"/>
  <c r="HH48" i="43" l="1"/>
  <c r="HJ48" i="43" s="1"/>
  <c r="DI48" i="43" s="1"/>
  <c r="DK48" i="43" s="1"/>
  <c r="HA48" i="43"/>
  <c r="HC48" i="43" s="1"/>
  <c r="CP48" i="43" s="1"/>
  <c r="CR48" i="43" s="1"/>
  <c r="GT48" i="43"/>
  <c r="GV48" i="43" s="1"/>
  <c r="BU48" i="43" s="1"/>
  <c r="BW48" i="43" s="1"/>
  <c r="HE49" i="43"/>
  <c r="HD49" i="43" s="1"/>
  <c r="GZ49" i="43" s="1"/>
  <c r="HL49" i="43"/>
  <c r="HK49" i="43" s="1"/>
  <c r="GX49" i="43"/>
  <c r="GW49" i="43" s="1"/>
  <c r="AA44" i="45"/>
  <c r="AC44" i="45"/>
  <c r="GO48" i="43"/>
  <c r="BB48" i="43" s="1"/>
  <c r="GK48" i="43" l="1"/>
  <c r="HI48" i="43" s="1"/>
  <c r="GS49" i="43"/>
  <c r="GQ49" i="43"/>
  <c r="GP49" i="43" s="1"/>
  <c r="AN48" i="43"/>
  <c r="BD48" i="43"/>
  <c r="AW45" i="45"/>
  <c r="HG49" i="43"/>
  <c r="HB48" i="43" l="1"/>
  <c r="GN48" i="43"/>
  <c r="GU48" i="43"/>
  <c r="GL49" i="43"/>
  <c r="GJ49" i="43" s="1"/>
  <c r="GM49" i="43" s="1"/>
  <c r="AO48" i="43"/>
  <c r="DY48" i="43"/>
  <c r="DZ48" i="43" s="1"/>
  <c r="GO49" i="43" l="1"/>
  <c r="BB49" i="43" s="1"/>
  <c r="FF48" i="43"/>
  <c r="T45" i="45"/>
  <c r="AB45" i="45" s="1"/>
  <c r="HA49" i="43"/>
  <c r="HC49" i="43" s="1"/>
  <c r="CP49" i="43" s="1"/>
  <c r="HH49" i="43"/>
  <c r="HJ49" i="43" s="1"/>
  <c r="DI49" i="43" s="1"/>
  <c r="GT49" i="43"/>
  <c r="GV49" i="43" s="1"/>
  <c r="BU49" i="43" s="1"/>
  <c r="BW49" i="43" l="1"/>
  <c r="GX50" i="43"/>
  <c r="GW50" i="43" s="1"/>
  <c r="DK49" i="43"/>
  <c r="HL50" i="43"/>
  <c r="HK50" i="43" s="1"/>
  <c r="HG50" i="43" s="1"/>
  <c r="CR49" i="43"/>
  <c r="HE50" i="43"/>
  <c r="HD50" i="43" s="1"/>
  <c r="GK49" i="43"/>
  <c r="AC45" i="45"/>
  <c r="AA45" i="45"/>
  <c r="GQ50" i="43"/>
  <c r="GP50" i="43" s="1"/>
  <c r="AN49" i="43"/>
  <c r="AW46" i="45"/>
  <c r="BD49" i="43"/>
  <c r="GZ50" i="43" l="1"/>
  <c r="AO49" i="43"/>
  <c r="DY49" i="43"/>
  <c r="DZ49" i="43" s="1"/>
  <c r="HB49" i="43"/>
  <c r="GU49" i="43"/>
  <c r="HI49" i="43"/>
  <c r="GN49" i="43"/>
  <c r="GS50" i="43"/>
  <c r="GL50" i="43"/>
  <c r="GJ50" i="43" l="1"/>
  <c r="HH50" i="43" s="1"/>
  <c r="HJ50" i="43" s="1"/>
  <c r="DI50" i="43" s="1"/>
  <c r="HL51" i="43"/>
  <c r="HK51" i="43" s="1"/>
  <c r="FF49" i="43"/>
  <c r="T46" i="45"/>
  <c r="AB46" i="45" s="1"/>
  <c r="HA50" i="43" l="1"/>
  <c r="HC50" i="43" s="1"/>
  <c r="CP50" i="43" s="1"/>
  <c r="CR50" i="43" s="1"/>
  <c r="GM50" i="43"/>
  <c r="GO50" i="43" s="1"/>
  <c r="BB50" i="43" s="1"/>
  <c r="GT50" i="43"/>
  <c r="GV50" i="43" s="1"/>
  <c r="BU50" i="43" s="1"/>
  <c r="DK50" i="43"/>
  <c r="HE51" i="43"/>
  <c r="HD51" i="43" s="1"/>
  <c r="GX51" i="43"/>
  <c r="GW51" i="43" s="1"/>
  <c r="HG51" i="43"/>
  <c r="AA46" i="45"/>
  <c r="AC46" i="45"/>
  <c r="GK50" i="43" l="1"/>
  <c r="GN50" i="43" s="1"/>
  <c r="BW50" i="43"/>
  <c r="AN50" i="43"/>
  <c r="GQ51" i="43"/>
  <c r="GP51" i="43" s="1"/>
  <c r="GL51" i="43" s="1"/>
  <c r="BD50" i="43"/>
  <c r="AW47" i="45"/>
  <c r="GZ51" i="43"/>
  <c r="GS51" i="43"/>
  <c r="GU50" i="43" l="1"/>
  <c r="HB50" i="43"/>
  <c r="HI50" i="43"/>
  <c r="GJ51" i="43"/>
  <c r="AO50" i="43"/>
  <c r="DY50" i="43"/>
  <c r="DZ50" i="43" s="1"/>
  <c r="T47" i="45" l="1"/>
  <c r="AB47" i="45" s="1"/>
  <c r="FF50" i="43"/>
  <c r="GM51" i="43"/>
  <c r="HH51" i="43"/>
  <c r="HJ51" i="43" s="1"/>
  <c r="DI51" i="43" s="1"/>
  <c r="GT51" i="43"/>
  <c r="GV51" i="43" s="1"/>
  <c r="BU51" i="43" s="1"/>
  <c r="HA51" i="43"/>
  <c r="HC51" i="43" s="1"/>
  <c r="CP51" i="43" s="1"/>
  <c r="CR51" i="43" l="1"/>
  <c r="HE52" i="43"/>
  <c r="HD52" i="43" s="1"/>
  <c r="GZ52" i="43" s="1"/>
  <c r="GO51" i="43"/>
  <c r="BB51" i="43" s="1"/>
  <c r="GK51" i="43"/>
  <c r="BW51" i="43"/>
  <c r="GX52" i="43"/>
  <c r="GW52" i="43" s="1"/>
  <c r="DK51" i="43"/>
  <c r="HL52" i="43"/>
  <c r="HK52" i="43" s="1"/>
  <c r="AA47" i="45"/>
  <c r="AC47" i="45"/>
  <c r="GS52" i="43" l="1"/>
  <c r="AN51" i="43"/>
  <c r="GQ52" i="43"/>
  <c r="GP52" i="43" s="1"/>
  <c r="BD51" i="43"/>
  <c r="AW48" i="45"/>
  <c r="HG52" i="43"/>
  <c r="HI51" i="43"/>
  <c r="GN51" i="43"/>
  <c r="GU51" i="43"/>
  <c r="HB51" i="43"/>
  <c r="GL52" i="43" l="1"/>
  <c r="GJ52" i="43" s="1"/>
  <c r="GM52" i="43" s="1"/>
  <c r="DY51" i="43"/>
  <c r="DZ51" i="43" s="1"/>
  <c r="AO51" i="43"/>
  <c r="GO52" i="43" l="1"/>
  <c r="BB52" i="43" s="1"/>
  <c r="FF51" i="43"/>
  <c r="T48" i="45"/>
  <c r="AB48" i="45" s="1"/>
  <c r="HA52" i="43"/>
  <c r="HC52" i="43" s="1"/>
  <c r="CP52" i="43" s="1"/>
  <c r="HH52" i="43"/>
  <c r="HJ52" i="43" s="1"/>
  <c r="DI52" i="43" s="1"/>
  <c r="GT52" i="43"/>
  <c r="GV52" i="43" s="1"/>
  <c r="BU52" i="43" s="1"/>
  <c r="AC48" i="45" l="1"/>
  <c r="AA48" i="45"/>
  <c r="BW52" i="43"/>
  <c r="GX53" i="43"/>
  <c r="GW53" i="43" s="1"/>
  <c r="CR52" i="43"/>
  <c r="HE53" i="43"/>
  <c r="HD53" i="43" s="1"/>
  <c r="GK52" i="43"/>
  <c r="DK52" i="43"/>
  <c r="HL53" i="43"/>
  <c r="HK53" i="43" s="1"/>
  <c r="AN52" i="43"/>
  <c r="GQ53" i="43"/>
  <c r="GP53" i="43" s="1"/>
  <c r="AW49" i="45"/>
  <c r="BD52" i="43"/>
  <c r="GS53" i="43" l="1"/>
  <c r="GZ53" i="43"/>
  <c r="GL53" i="43"/>
  <c r="HG53" i="43"/>
  <c r="DY52" i="43"/>
  <c r="DZ52" i="43" s="1"/>
  <c r="AO52" i="43"/>
  <c r="HI52" i="43"/>
  <c r="GU52" i="43"/>
  <c r="GN52" i="43"/>
  <c r="HB52" i="43"/>
  <c r="FF52" i="43" l="1"/>
  <c r="T49" i="45"/>
  <c r="AB49" i="45" s="1"/>
  <c r="GJ53" i="43"/>
  <c r="HA53" i="43" l="1"/>
  <c r="HC53" i="43" s="1"/>
  <c r="CP53" i="43" s="1"/>
  <c r="HH53" i="43"/>
  <c r="HJ53" i="43" s="1"/>
  <c r="DI53" i="43" s="1"/>
  <c r="GT53" i="43"/>
  <c r="GV53" i="43" s="1"/>
  <c r="BU53" i="43" s="1"/>
  <c r="GM53" i="43"/>
  <c r="AA49" i="45"/>
  <c r="AC49" i="45"/>
  <c r="BW53" i="43" l="1"/>
  <c r="GX54" i="43"/>
  <c r="GW54" i="43" s="1"/>
  <c r="GS54" i="43" s="1"/>
  <c r="DK53" i="43"/>
  <c r="HL54" i="43"/>
  <c r="HK54" i="43" s="1"/>
  <c r="GK53" i="43"/>
  <c r="GO53" i="43"/>
  <c r="BB53" i="43" s="1"/>
  <c r="CR53" i="43"/>
  <c r="HE54" i="43"/>
  <c r="HD54" i="43" s="1"/>
  <c r="GQ54" i="43" l="1"/>
  <c r="GP54" i="43" s="1"/>
  <c r="AN53" i="43"/>
  <c r="AW50" i="45"/>
  <c r="BD53" i="43"/>
  <c r="HI53" i="43"/>
  <c r="HB53" i="43"/>
  <c r="GN53" i="43"/>
  <c r="GU53" i="43"/>
  <c r="GZ54" i="43"/>
  <c r="HG54" i="43"/>
  <c r="DY53" i="43" l="1"/>
  <c r="DZ53" i="43" s="1"/>
  <c r="AO53" i="43"/>
  <c r="GL54" i="43"/>
  <c r="GJ54" i="43" s="1"/>
  <c r="GT54" i="43" l="1"/>
  <c r="GV54" i="43" s="1"/>
  <c r="BU54" i="43" s="1"/>
  <c r="HH54" i="43"/>
  <c r="HJ54" i="43" s="1"/>
  <c r="DI54" i="43" s="1"/>
  <c r="HA54" i="43"/>
  <c r="HC54" i="43" s="1"/>
  <c r="CP54" i="43" s="1"/>
  <c r="FF53" i="43"/>
  <c r="T50" i="45"/>
  <c r="AB50" i="45" s="1"/>
  <c r="GM54" i="43"/>
  <c r="GO54" i="43" l="1"/>
  <c r="BB54" i="43" s="1"/>
  <c r="GK54" i="43"/>
  <c r="CR54" i="43"/>
  <c r="HE55" i="43"/>
  <c r="HD55" i="43" s="1"/>
  <c r="GZ55" i="43" s="1"/>
  <c r="DK54" i="43"/>
  <c r="HL55" i="43"/>
  <c r="HK55" i="43" s="1"/>
  <c r="AC50" i="45"/>
  <c r="AA50" i="45"/>
  <c r="BW54" i="43"/>
  <c r="GX55" i="43"/>
  <c r="GW55" i="43" s="1"/>
  <c r="GU54" i="43" l="1"/>
  <c r="GN54" i="43"/>
  <c r="HI54" i="43"/>
  <c r="HB54" i="43"/>
  <c r="GS55" i="43"/>
  <c r="HG55" i="43"/>
  <c r="AN54" i="43"/>
  <c r="GQ55" i="43"/>
  <c r="GP55" i="43" s="1"/>
  <c r="AW51" i="45"/>
  <c r="BD54" i="43"/>
  <c r="GL55" i="43" l="1"/>
  <c r="GJ55" i="43" s="1"/>
  <c r="GM55" i="43" s="1"/>
  <c r="DY54" i="43"/>
  <c r="DZ54" i="43" s="1"/>
  <c r="AO54" i="43"/>
  <c r="GO55" i="43" l="1"/>
  <c r="BB55" i="43" s="1"/>
  <c r="T51" i="45"/>
  <c r="AB51" i="45" s="1"/>
  <c r="FF54" i="43"/>
  <c r="HA55" i="43"/>
  <c r="HC55" i="43" s="1"/>
  <c r="CP55" i="43" s="1"/>
  <c r="HH55" i="43"/>
  <c r="HJ55" i="43" s="1"/>
  <c r="DI55" i="43" s="1"/>
  <c r="GT55" i="43"/>
  <c r="GV55" i="43" s="1"/>
  <c r="BU55" i="43" s="1"/>
  <c r="AA51" i="45" l="1"/>
  <c r="AC51" i="45"/>
  <c r="DK55" i="43"/>
  <c r="HL56" i="43"/>
  <c r="HK56" i="43" s="1"/>
  <c r="CR55" i="43"/>
  <c r="HE56" i="43"/>
  <c r="HD56" i="43" s="1"/>
  <c r="GZ56" i="43" s="1"/>
  <c r="GK55" i="43"/>
  <c r="BW55" i="43"/>
  <c r="GX56" i="43"/>
  <c r="GW56" i="43" s="1"/>
  <c r="AW52" i="45"/>
  <c r="AN55" i="43"/>
  <c r="GQ56" i="43"/>
  <c r="GP56" i="43" s="1"/>
  <c r="BD55" i="43"/>
  <c r="HG56" i="43" l="1"/>
  <c r="AO55" i="43"/>
  <c r="DY55" i="43"/>
  <c r="DZ55" i="43" s="1"/>
  <c r="GL56" i="43"/>
  <c r="GS56" i="43"/>
  <c r="HB55" i="43"/>
  <c r="HI55" i="43"/>
  <c r="GU55" i="43"/>
  <c r="GN55" i="43"/>
  <c r="FF55" i="43" l="1"/>
  <c r="T52" i="45"/>
  <c r="AB52" i="45" s="1"/>
  <c r="GJ56" i="43"/>
  <c r="HA56" i="43" l="1"/>
  <c r="HC56" i="43" s="1"/>
  <c r="CP56" i="43" s="1"/>
  <c r="GT56" i="43"/>
  <c r="GV56" i="43" s="1"/>
  <c r="BU56" i="43" s="1"/>
  <c r="HH56" i="43"/>
  <c r="HJ56" i="43" s="1"/>
  <c r="DI56" i="43" s="1"/>
  <c r="GM56" i="43"/>
  <c r="AA52" i="45"/>
  <c r="AC52" i="45"/>
  <c r="GO56" i="43" l="1"/>
  <c r="BB56" i="43" s="1"/>
  <c r="GK56" i="43"/>
  <c r="DK56" i="43"/>
  <c r="HL57" i="43"/>
  <c r="HK57" i="43" s="1"/>
  <c r="BW56" i="43"/>
  <c r="GX57" i="43"/>
  <c r="GW57" i="43" s="1"/>
  <c r="CR56" i="43"/>
  <c r="HE57" i="43"/>
  <c r="HD57" i="43" s="1"/>
  <c r="HG57" i="43" l="1"/>
  <c r="GS57" i="43"/>
  <c r="GZ57" i="43"/>
  <c r="HB56" i="43"/>
  <c r="GN56" i="43"/>
  <c r="HI56" i="43"/>
  <c r="GU56" i="43"/>
  <c r="AW53" i="45"/>
  <c r="AN56" i="43"/>
  <c r="BD56" i="43"/>
  <c r="GQ57" i="43"/>
  <c r="GP57" i="43" s="1"/>
  <c r="AO56" i="43" l="1"/>
  <c r="DY56" i="43"/>
  <c r="DZ56" i="43" s="1"/>
  <c r="GL57" i="43"/>
  <c r="GJ57" i="43" s="1"/>
  <c r="HH57" i="43" l="1"/>
  <c r="HJ57" i="43" s="1"/>
  <c r="DI57" i="43" s="1"/>
  <c r="HA57" i="43"/>
  <c r="HC57" i="43" s="1"/>
  <c r="CP57" i="43" s="1"/>
  <c r="GT57" i="43"/>
  <c r="GV57" i="43" s="1"/>
  <c r="BU57" i="43" s="1"/>
  <c r="GM57" i="43"/>
  <c r="T53" i="45"/>
  <c r="AB53" i="45" s="1"/>
  <c r="FF56" i="43"/>
  <c r="GK57" i="43" l="1"/>
  <c r="GO57" i="43"/>
  <c r="BB57" i="43" s="1"/>
  <c r="GX58" i="43"/>
  <c r="GW58" i="43" s="1"/>
  <c r="BW57" i="43"/>
  <c r="HE58" i="43"/>
  <c r="HD58" i="43" s="1"/>
  <c r="CR57" i="43"/>
  <c r="AA53" i="45"/>
  <c r="AC53" i="45"/>
  <c r="DK57" i="43"/>
  <c r="HL58" i="43"/>
  <c r="HK58" i="43" s="1"/>
  <c r="GS58" i="43" l="1"/>
  <c r="HG58" i="43"/>
  <c r="GQ58" i="43"/>
  <c r="GP58" i="43" s="1"/>
  <c r="GL58" i="43" s="1"/>
  <c r="AW54" i="45"/>
  <c r="BD57" i="43"/>
  <c r="AN57" i="43"/>
  <c r="GZ58" i="43"/>
  <c r="HI57" i="43"/>
  <c r="HB57" i="43"/>
  <c r="GU57" i="43"/>
  <c r="GN57" i="43"/>
  <c r="DY57" i="43" l="1"/>
  <c r="DZ57" i="43" s="1"/>
  <c r="AO57" i="43"/>
  <c r="GJ58" i="43"/>
  <c r="FF57" i="43" l="1"/>
  <c r="T54" i="45"/>
  <c r="AB54" i="45" s="1"/>
  <c r="GM58" i="43"/>
  <c r="GT58" i="43"/>
  <c r="GV58" i="43" s="1"/>
  <c r="BU58" i="43" s="1"/>
  <c r="HA58" i="43"/>
  <c r="HC58" i="43" s="1"/>
  <c r="CP58" i="43" s="1"/>
  <c r="HH58" i="43"/>
  <c r="HJ58" i="43" s="1"/>
  <c r="DI58" i="43" s="1"/>
  <c r="GX59" i="43" l="1"/>
  <c r="GW59" i="43" s="1"/>
  <c r="GS59" i="43" s="1"/>
  <c r="BW58" i="43"/>
  <c r="HL59" i="43"/>
  <c r="HK59" i="43" s="1"/>
  <c r="HG59" i="43" s="1"/>
  <c r="DK58" i="43"/>
  <c r="HE59" i="43"/>
  <c r="HD59" i="43" s="1"/>
  <c r="GZ59" i="43" s="1"/>
  <c r="CR58" i="43"/>
  <c r="GO58" i="43"/>
  <c r="BB58" i="43" s="1"/>
  <c r="GK58" i="43"/>
  <c r="AA54" i="45"/>
  <c r="AC54" i="45"/>
  <c r="BD58" i="43" l="1"/>
  <c r="GN58" i="43"/>
  <c r="GU58" i="43"/>
  <c r="HI58" i="43"/>
  <c r="HB58" i="43"/>
  <c r="GQ59" i="43"/>
  <c r="GP59" i="43" s="1"/>
  <c r="AW55" i="45"/>
  <c r="AN58" i="43"/>
  <c r="AO58" i="43" l="1"/>
  <c r="DY58" i="43"/>
  <c r="DZ58" i="43" s="1"/>
  <c r="GL59" i="43"/>
  <c r="GJ59" i="43" s="1"/>
  <c r="FF58" i="43" l="1"/>
  <c r="T55" i="45"/>
  <c r="AB55" i="45" s="1"/>
  <c r="HA59" i="43"/>
  <c r="HC59" i="43" s="1"/>
  <c r="CP59" i="43" s="1"/>
  <c r="GT59" i="43"/>
  <c r="GV59" i="43" s="1"/>
  <c r="BU59" i="43" s="1"/>
  <c r="HH59" i="43"/>
  <c r="HJ59" i="43" s="1"/>
  <c r="DI59" i="43" s="1"/>
  <c r="GM59" i="43"/>
  <c r="AA55" i="45" l="1"/>
  <c r="AC55" i="45"/>
  <c r="GK59" i="43"/>
  <c r="GO59" i="43"/>
  <c r="BB59" i="43" s="1"/>
  <c r="BW59" i="43"/>
  <c r="GX60" i="43"/>
  <c r="GW60" i="43" s="1"/>
  <c r="DK59" i="43"/>
  <c r="HL60" i="43"/>
  <c r="HK60" i="43" s="1"/>
  <c r="CR59" i="43"/>
  <c r="HE60" i="43"/>
  <c r="HD60" i="43" s="1"/>
  <c r="GZ60" i="43" l="1"/>
  <c r="GS60" i="43"/>
  <c r="HG60" i="43"/>
  <c r="BD59" i="43"/>
  <c r="GQ60" i="43"/>
  <c r="GP60" i="43" s="1"/>
  <c r="GL60" i="43" s="1"/>
  <c r="AW56" i="45"/>
  <c r="AN59" i="43"/>
  <c r="GN59" i="43"/>
  <c r="HB59" i="43"/>
  <c r="GU59" i="43"/>
  <c r="HI59" i="43"/>
  <c r="GJ60" i="43" l="1"/>
  <c r="GM60" i="43" s="1"/>
  <c r="GO60" i="43" s="1"/>
  <c r="BB60" i="43" s="1"/>
  <c r="AO59" i="43"/>
  <c r="DY59" i="43"/>
  <c r="DZ59" i="43" s="1"/>
  <c r="BD60" i="43" l="1"/>
  <c r="FF59" i="43"/>
  <c r="T56" i="45"/>
  <c r="AB56" i="45" s="1"/>
  <c r="HA60" i="43"/>
  <c r="HC60" i="43" s="1"/>
  <c r="CP60" i="43" s="1"/>
  <c r="GT60" i="43"/>
  <c r="GV60" i="43" s="1"/>
  <c r="BU60" i="43" s="1"/>
  <c r="HH60" i="43"/>
  <c r="HJ60" i="43" s="1"/>
  <c r="DI60" i="43" s="1"/>
  <c r="GQ61" i="43"/>
  <c r="GP61" i="43" s="1"/>
  <c r="AW57" i="45"/>
  <c r="AN60" i="43" l="1"/>
  <c r="GX61" i="43"/>
  <c r="GW61" i="43" s="1"/>
  <c r="GS61" i="43" s="1"/>
  <c r="BW60" i="43"/>
  <c r="HE61" i="43"/>
  <c r="HD61" i="43" s="1"/>
  <c r="GZ61" i="43" s="1"/>
  <c r="CR60" i="43"/>
  <c r="HL61" i="43"/>
  <c r="HK61" i="43" s="1"/>
  <c r="HG61" i="43" s="1"/>
  <c r="DK60" i="43"/>
  <c r="AA56" i="45"/>
  <c r="AC56" i="45"/>
  <c r="GK60" i="43"/>
  <c r="GN60" i="43" s="1"/>
  <c r="GL61" i="43"/>
  <c r="DY60" i="43" l="1"/>
  <c r="DZ60" i="43" s="1"/>
  <c r="AO60" i="43"/>
  <c r="GJ61" i="43"/>
  <c r="GM61" i="43" s="1"/>
  <c r="GO61" i="43" s="1"/>
  <c r="BB61" i="43" s="1"/>
  <c r="HI60" i="43"/>
  <c r="GU60" i="43"/>
  <c r="HB60" i="43"/>
  <c r="T57" i="45" l="1"/>
  <c r="AB57" i="45" s="1"/>
  <c r="AA57" i="45" s="1"/>
  <c r="FF60" i="43"/>
  <c r="BD61" i="43"/>
  <c r="GT61" i="43"/>
  <c r="GV61" i="43" s="1"/>
  <c r="BU61" i="43" s="1"/>
  <c r="HH61" i="43"/>
  <c r="HJ61" i="43" s="1"/>
  <c r="DI61" i="43" s="1"/>
  <c r="HA61" i="43"/>
  <c r="HC61" i="43" s="1"/>
  <c r="CP61" i="43" s="1"/>
  <c r="GQ62" i="43"/>
  <c r="GP62" i="43" s="1"/>
  <c r="GL62" i="43" s="1"/>
  <c r="AW58" i="45"/>
  <c r="BW61" i="43" l="1"/>
  <c r="HL62" i="43"/>
  <c r="HK62" i="43" s="1"/>
  <c r="HG62" i="43" s="1"/>
  <c r="GX62" i="43"/>
  <c r="GW62" i="43" s="1"/>
  <c r="GS62" i="43" s="1"/>
  <c r="AC57" i="45"/>
  <c r="HE62" i="43"/>
  <c r="HD62" i="43" s="1"/>
  <c r="GZ62" i="43" s="1"/>
  <c r="AN61" i="43"/>
  <c r="DK61" i="43"/>
  <c r="CR61" i="43"/>
  <c r="GK61" i="43"/>
  <c r="GU61" i="43" s="1"/>
  <c r="DY61" i="43" l="1"/>
  <c r="DZ61" i="43" s="1"/>
  <c r="AO61" i="43"/>
  <c r="HI61" i="43"/>
  <c r="GN61" i="43"/>
  <c r="HB61" i="43"/>
  <c r="GJ62" i="43"/>
  <c r="GM62" i="43" s="1"/>
  <c r="T58" i="45" l="1"/>
  <c r="AB58" i="45" s="1"/>
  <c r="AC58" i="45" s="1"/>
  <c r="FF61" i="43"/>
  <c r="HH62" i="43"/>
  <c r="HJ62" i="43" s="1"/>
  <c r="DI62" i="43" s="1"/>
  <c r="GT62" i="43"/>
  <c r="GV62" i="43" s="1"/>
  <c r="BU62" i="43" s="1"/>
  <c r="HA62" i="43"/>
  <c r="HC62" i="43" s="1"/>
  <c r="CP62" i="43" s="1"/>
  <c r="GO62" i="43"/>
  <c r="BB62" i="43" s="1"/>
  <c r="AA58" i="45" l="1"/>
  <c r="BD62" i="43"/>
  <c r="GX63" i="43"/>
  <c r="GW63" i="43" s="1"/>
  <c r="GS63" i="43" s="1"/>
  <c r="BW62" i="43"/>
  <c r="HL63" i="43"/>
  <c r="HK63" i="43" s="1"/>
  <c r="HG63" i="43" s="1"/>
  <c r="DK62" i="43"/>
  <c r="HE63" i="43"/>
  <c r="HD63" i="43" s="1"/>
  <c r="GZ63" i="43" s="1"/>
  <c r="CR62" i="43"/>
  <c r="GK62" i="43"/>
  <c r="HB62" i="43" s="1"/>
  <c r="AW59" i="45"/>
  <c r="AN62" i="43"/>
  <c r="GQ63" i="43"/>
  <c r="GP63" i="43" s="1"/>
  <c r="HI62" i="43" l="1"/>
  <c r="GU62" i="43"/>
  <c r="GN62" i="43"/>
  <c r="GL63" i="43"/>
  <c r="GJ63" i="43" s="1"/>
  <c r="GM63" i="43" s="1"/>
  <c r="AO62" i="43"/>
  <c r="DY62" i="43"/>
  <c r="DZ62" i="43" s="1"/>
  <c r="FF62" i="43" l="1"/>
  <c r="T59" i="45"/>
  <c r="AB59" i="45" s="1"/>
  <c r="GO63" i="43"/>
  <c r="BB63" i="43" s="1"/>
  <c r="GT63" i="43"/>
  <c r="GV63" i="43" s="1"/>
  <c r="BU63" i="43" s="1"/>
  <c r="HA63" i="43"/>
  <c r="HC63" i="43" s="1"/>
  <c r="CP63" i="43" s="1"/>
  <c r="HH63" i="43"/>
  <c r="HJ63" i="43" s="1"/>
  <c r="DI63" i="43" s="1"/>
  <c r="BD63" i="43" l="1"/>
  <c r="GX64" i="43"/>
  <c r="GW64" i="43" s="1"/>
  <c r="GS64" i="43" s="1"/>
  <c r="BW63" i="43"/>
  <c r="HL64" i="43"/>
  <c r="HK64" i="43" s="1"/>
  <c r="HG64" i="43" s="1"/>
  <c r="DK63" i="43"/>
  <c r="HE64" i="43"/>
  <c r="HD64" i="43" s="1"/>
  <c r="GZ64" i="43" s="1"/>
  <c r="CR63" i="43"/>
  <c r="AC59" i="45"/>
  <c r="AA59" i="45"/>
  <c r="GQ64" i="43"/>
  <c r="GP64" i="43" s="1"/>
  <c r="GL64" i="43" s="1"/>
  <c r="AW60" i="45"/>
  <c r="AN63" i="43"/>
  <c r="GK63" i="43"/>
  <c r="DY63" i="43" l="1"/>
  <c r="DZ63" i="43" s="1"/>
  <c r="AO63" i="43"/>
  <c r="GN63" i="43"/>
  <c r="HI63" i="43"/>
  <c r="GU63" i="43"/>
  <c r="HB63" i="43"/>
  <c r="GJ64" i="43"/>
  <c r="FF63" i="43" l="1"/>
  <c r="T60" i="45"/>
  <c r="AB60" i="45" s="1"/>
  <c r="GM64" i="43"/>
  <c r="HH64" i="43"/>
  <c r="HJ64" i="43" s="1"/>
  <c r="DI64" i="43" s="1"/>
  <c r="HA64" i="43"/>
  <c r="HC64" i="43" s="1"/>
  <c r="CP64" i="43" s="1"/>
  <c r="GT64" i="43"/>
  <c r="GV64" i="43" s="1"/>
  <c r="BU64" i="43" s="1"/>
  <c r="HE65" i="43" l="1"/>
  <c r="HD65" i="43" s="1"/>
  <c r="GZ65" i="43" s="1"/>
  <c r="CR64" i="43"/>
  <c r="HL65" i="43"/>
  <c r="HK65" i="43" s="1"/>
  <c r="HG65" i="43" s="1"/>
  <c r="DK64" i="43"/>
  <c r="GX65" i="43"/>
  <c r="GW65" i="43" s="1"/>
  <c r="GS65" i="43" s="1"/>
  <c r="BW64" i="43"/>
  <c r="AA60" i="45"/>
  <c r="AC60" i="45"/>
  <c r="GO64" i="43"/>
  <c r="BB64" i="43" s="1"/>
  <c r="GK64" i="43"/>
  <c r="BD64" i="43" l="1"/>
  <c r="AW61" i="45"/>
  <c r="GQ65" i="43"/>
  <c r="GP65" i="43" s="1"/>
  <c r="AN64" i="43"/>
  <c r="HB64" i="43"/>
  <c r="GN64" i="43"/>
  <c r="GU64" i="43"/>
  <c r="HI64" i="43"/>
  <c r="AO64" i="43" l="1"/>
  <c r="DY64" i="43"/>
  <c r="DZ64" i="43" s="1"/>
  <c r="GL65" i="43"/>
  <c r="GJ65" i="43" s="1"/>
  <c r="GM65" i="43" s="1"/>
  <c r="FF64" i="43" l="1"/>
  <c r="T61" i="45"/>
  <c r="AB61" i="45" s="1"/>
  <c r="GO65" i="43"/>
  <c r="BB65" i="43" s="1"/>
  <c r="HA65" i="43"/>
  <c r="HC65" i="43" s="1"/>
  <c r="CP65" i="43" s="1"/>
  <c r="HH65" i="43"/>
  <c r="HJ65" i="43" s="1"/>
  <c r="DI65" i="43" s="1"/>
  <c r="GT65" i="43"/>
  <c r="GV65" i="43" s="1"/>
  <c r="BU65" i="43" s="1"/>
  <c r="BD65" i="43" l="1"/>
  <c r="HL66" i="43"/>
  <c r="HK66" i="43" s="1"/>
  <c r="HG66" i="43" s="1"/>
  <c r="DK65" i="43"/>
  <c r="HE66" i="43"/>
  <c r="HD66" i="43" s="1"/>
  <c r="GZ66" i="43" s="1"/>
  <c r="CR65" i="43"/>
  <c r="GX66" i="43"/>
  <c r="GW66" i="43" s="1"/>
  <c r="GS66" i="43" s="1"/>
  <c r="BW65" i="43"/>
  <c r="AC61" i="45"/>
  <c r="AA61" i="45"/>
  <c r="AW62" i="45"/>
  <c r="GQ66" i="43"/>
  <c r="GP66" i="43" s="1"/>
  <c r="GL66" i="43" s="1"/>
  <c r="AN65" i="43"/>
  <c r="GK65" i="43"/>
  <c r="GJ66" i="43" l="1"/>
  <c r="GM66" i="43" s="1"/>
  <c r="GO66" i="43" s="1"/>
  <c r="BB66" i="43" s="1"/>
  <c r="GU65" i="43"/>
  <c r="HB65" i="43"/>
  <c r="HI65" i="43"/>
  <c r="GN65" i="43"/>
  <c r="DY65" i="43"/>
  <c r="DZ65" i="43" s="1"/>
  <c r="AO65" i="43"/>
  <c r="BD66" i="43" l="1"/>
  <c r="FF65" i="43"/>
  <c r="T62" i="45"/>
  <c r="AB62" i="45" s="1"/>
  <c r="GT66" i="43"/>
  <c r="GV66" i="43" s="1"/>
  <c r="BU66" i="43" s="1"/>
  <c r="HH66" i="43"/>
  <c r="HJ66" i="43" s="1"/>
  <c r="DI66" i="43" s="1"/>
  <c r="HA66" i="43"/>
  <c r="HC66" i="43" s="1"/>
  <c r="CP66" i="43" s="1"/>
  <c r="AW63" i="45"/>
  <c r="GQ67" i="43"/>
  <c r="GP67" i="43" s="1"/>
  <c r="HL67" i="43" l="1"/>
  <c r="HK67" i="43" s="1"/>
  <c r="HG67" i="43" s="1"/>
  <c r="DK66" i="43"/>
  <c r="GX67" i="43"/>
  <c r="GW67" i="43" s="1"/>
  <c r="GS67" i="43" s="1"/>
  <c r="BW66" i="43"/>
  <c r="HE67" i="43"/>
  <c r="HD67" i="43" s="1"/>
  <c r="GZ67" i="43" s="1"/>
  <c r="CR66" i="43"/>
  <c r="AC62" i="45"/>
  <c r="AA62" i="45"/>
  <c r="AN66" i="43"/>
  <c r="GK66" i="43"/>
  <c r="GU66" i="43" s="1"/>
  <c r="GL67" i="43"/>
  <c r="DY66" i="43" l="1"/>
  <c r="DZ66" i="43" s="1"/>
  <c r="GJ67" i="43"/>
  <c r="GM67" i="43" s="1"/>
  <c r="GO67" i="43" s="1"/>
  <c r="BB67" i="43" s="1"/>
  <c r="AO66" i="43"/>
  <c r="GN66" i="43"/>
  <c r="HI66" i="43"/>
  <c r="HB66" i="43"/>
  <c r="BD67" i="43" l="1"/>
  <c r="GT67" i="43"/>
  <c r="GV67" i="43" s="1"/>
  <c r="BU67" i="43" s="1"/>
  <c r="HA67" i="43"/>
  <c r="HC67" i="43" s="1"/>
  <c r="CP67" i="43" s="1"/>
  <c r="HH67" i="43"/>
  <c r="HJ67" i="43" s="1"/>
  <c r="DI67" i="43" s="1"/>
  <c r="FF66" i="43"/>
  <c r="T63" i="45"/>
  <c r="AB63" i="45" s="1"/>
  <c r="AW64" i="45"/>
  <c r="GQ68" i="43"/>
  <c r="GP68" i="43" s="1"/>
  <c r="HL68" i="43" l="1"/>
  <c r="HK68" i="43" s="1"/>
  <c r="HG68" i="43" s="1"/>
  <c r="DK67" i="43"/>
  <c r="HE68" i="43"/>
  <c r="HD68" i="43" s="1"/>
  <c r="GZ68" i="43" s="1"/>
  <c r="CR67" i="43"/>
  <c r="GX68" i="43"/>
  <c r="GW68" i="43" s="1"/>
  <c r="GS68" i="43" s="1"/>
  <c r="BW67" i="43"/>
  <c r="AN67" i="43"/>
  <c r="GK67" i="43"/>
  <c r="GN67" i="43" s="1"/>
  <c r="AC63" i="45"/>
  <c r="AA63" i="45"/>
  <c r="GL68" i="43"/>
  <c r="AO67" i="43" l="1"/>
  <c r="GJ68" i="43"/>
  <c r="GM68" i="43" s="1"/>
  <c r="GO68" i="43" s="1"/>
  <c r="BB68" i="43" s="1"/>
  <c r="HB67" i="43"/>
  <c r="HI67" i="43"/>
  <c r="GU67" i="43"/>
  <c r="DY67" i="43"/>
  <c r="DZ67" i="43" s="1"/>
  <c r="HA68" i="43" l="1"/>
  <c r="HC68" i="43" s="1"/>
  <c r="CP68" i="43" s="1"/>
  <c r="HH68" i="43"/>
  <c r="HJ68" i="43" s="1"/>
  <c r="DI68" i="43" s="1"/>
  <c r="T64" i="45"/>
  <c r="AB64" i="45" s="1"/>
  <c r="AA64" i="45" s="1"/>
  <c r="BD68" i="43"/>
  <c r="GT68" i="43"/>
  <c r="GV68" i="43" s="1"/>
  <c r="BU68" i="43" s="1"/>
  <c r="FF67" i="43"/>
  <c r="AW65" i="45"/>
  <c r="GQ69" i="43"/>
  <c r="GP69" i="43" s="1"/>
  <c r="GL69" i="43" s="1"/>
  <c r="CR68" i="43" l="1"/>
  <c r="HE69" i="43"/>
  <c r="HD69" i="43" s="1"/>
  <c r="GZ69" i="43" s="1"/>
  <c r="DK68" i="43"/>
  <c r="HL69" i="43"/>
  <c r="HK69" i="43" s="1"/>
  <c r="HG69" i="43" s="1"/>
  <c r="AN68" i="43"/>
  <c r="BW68" i="43"/>
  <c r="GX69" i="43"/>
  <c r="GW69" i="43" s="1"/>
  <c r="GS69" i="43" s="1"/>
  <c r="GK68" i="43"/>
  <c r="HI68" i="43" s="1"/>
  <c r="AC64" i="45"/>
  <c r="DY68" i="43" l="1"/>
  <c r="DZ68" i="43" s="1"/>
  <c r="GJ69" i="43"/>
  <c r="GM69" i="43" s="1"/>
  <c r="GO69" i="43" s="1"/>
  <c r="BB69" i="43" s="1"/>
  <c r="AO68" i="43"/>
  <c r="GN68" i="43"/>
  <c r="GU68" i="43"/>
  <c r="HB68" i="43"/>
  <c r="FF68" i="43" l="1"/>
  <c r="AW66" i="45"/>
  <c r="GQ70" i="43"/>
  <c r="GP70" i="43" s="1"/>
  <c r="GL70" i="43" s="1"/>
  <c r="HA69" i="43"/>
  <c r="HC69" i="43" s="1"/>
  <c r="CP69" i="43" s="1"/>
  <c r="T65" i="45"/>
  <c r="AB65" i="45" s="1"/>
  <c r="AC65" i="45" s="1"/>
  <c r="BD69" i="43"/>
  <c r="GT69" i="43"/>
  <c r="GV69" i="43" s="1"/>
  <c r="BU69" i="43" s="1"/>
  <c r="HH69" i="43"/>
  <c r="HJ69" i="43" s="1"/>
  <c r="DI69" i="43" s="1"/>
  <c r="HL70" i="43" l="1"/>
  <c r="HK70" i="43" s="1"/>
  <c r="HG70" i="43" s="1"/>
  <c r="HE70" i="43"/>
  <c r="HD70" i="43" s="1"/>
  <c r="GZ70" i="43" s="1"/>
  <c r="DK69" i="43"/>
  <c r="CR69" i="43"/>
  <c r="AN69" i="43"/>
  <c r="GX70" i="43"/>
  <c r="GW70" i="43" s="1"/>
  <c r="GS70" i="43" s="1"/>
  <c r="AA65" i="45"/>
  <c r="GK69" i="43"/>
  <c r="GN69" i="43" s="1"/>
  <c r="BW69" i="43"/>
  <c r="DY69" i="43" l="1"/>
  <c r="DZ69" i="43" s="1"/>
  <c r="GJ70" i="43"/>
  <c r="GM70" i="43" s="1"/>
  <c r="GO70" i="43" s="1"/>
  <c r="BB70" i="43" s="1"/>
  <c r="GU69" i="43"/>
  <c r="HI69" i="43"/>
  <c r="AO69" i="43"/>
  <c r="HB69" i="43"/>
  <c r="HA70" i="43" l="1"/>
  <c r="HC70" i="43" s="1"/>
  <c r="CP70" i="43" s="1"/>
  <c r="GT70" i="43"/>
  <c r="GV70" i="43" s="1"/>
  <c r="BU70" i="43" s="1"/>
  <c r="HH70" i="43"/>
  <c r="HJ70" i="43" s="1"/>
  <c r="DI70" i="43" s="1"/>
  <c r="GQ71" i="43"/>
  <c r="GP71" i="43" s="1"/>
  <c r="GL71" i="43" s="1"/>
  <c r="AW67" i="45"/>
  <c r="FF69" i="43"/>
  <c r="BD70" i="43"/>
  <c r="T66" i="45"/>
  <c r="AB66" i="45" s="1"/>
  <c r="AC66" i="45" s="1"/>
  <c r="DK70" i="43" l="1"/>
  <c r="HE71" i="43"/>
  <c r="HD71" i="43" s="1"/>
  <c r="GZ71" i="43" s="1"/>
  <c r="GK70" i="43"/>
  <c r="GN70" i="43" s="1"/>
  <c r="CR70" i="43"/>
  <c r="AN70" i="43"/>
  <c r="HL71" i="43"/>
  <c r="HK71" i="43" s="1"/>
  <c r="HG71" i="43" s="1"/>
  <c r="GX71" i="43"/>
  <c r="GW71" i="43" s="1"/>
  <c r="GS71" i="43" s="1"/>
  <c r="BW70" i="43"/>
  <c r="AA66" i="45"/>
  <c r="HB70" i="43" l="1"/>
  <c r="HI70" i="43"/>
  <c r="GU70" i="43"/>
  <c r="GJ71" i="43"/>
  <c r="GM71" i="43" s="1"/>
  <c r="GO71" i="43" s="1"/>
  <c r="BB71" i="43" s="1"/>
  <c r="DY70" i="43"/>
  <c r="DZ70" i="43" s="1"/>
  <c r="AO70" i="43"/>
  <c r="HH71" i="43" l="1"/>
  <c r="HJ71" i="43" s="1"/>
  <c r="DI71" i="43" s="1"/>
  <c r="GT71" i="43"/>
  <c r="GV71" i="43" s="1"/>
  <c r="BU71" i="43" s="1"/>
  <c r="HA71" i="43"/>
  <c r="HC71" i="43" s="1"/>
  <c r="CP71" i="43" s="1"/>
  <c r="FF70" i="43"/>
  <c r="T67" i="45"/>
  <c r="AB67" i="45" s="1"/>
  <c r="AC67" i="45" s="1"/>
  <c r="BD71" i="43"/>
  <c r="GQ72" i="43"/>
  <c r="GP72" i="43" s="1"/>
  <c r="AW68" i="45"/>
  <c r="BF390" i="45" s="1"/>
  <c r="BF391" i="45" s="1"/>
  <c r="HL72" i="43" l="1"/>
  <c r="HK72" i="43" s="1"/>
  <c r="HG72" i="43" s="1"/>
  <c r="CR71" i="43"/>
  <c r="DK71" i="43"/>
  <c r="GX72" i="43"/>
  <c r="GW72" i="43" s="1"/>
  <c r="GS72" i="43" s="1"/>
  <c r="AN71" i="43"/>
  <c r="HE72" i="43"/>
  <c r="HD72" i="43" s="1"/>
  <c r="GZ72" i="43" s="1"/>
  <c r="BW71" i="43"/>
  <c r="GK71" i="43"/>
  <c r="HB71" i="43" s="1"/>
  <c r="AA67" i="45"/>
  <c r="GL72" i="43"/>
  <c r="AO71" i="43" l="1"/>
  <c r="GJ72" i="43"/>
  <c r="HH72" i="43" s="1"/>
  <c r="HJ72" i="43" s="1"/>
  <c r="DI72" i="43" s="1"/>
  <c r="DY71" i="43"/>
  <c r="DZ71" i="43" s="1"/>
  <c r="HI71" i="43"/>
  <c r="GU71" i="43"/>
  <c r="GN71" i="43"/>
  <c r="GT72" i="43" l="1"/>
  <c r="GV72" i="43" s="1"/>
  <c r="BU72" i="43" s="1"/>
  <c r="GX73" i="43" s="1"/>
  <c r="GW73" i="43" s="1"/>
  <c r="GS73" i="43" s="1"/>
  <c r="GM72" i="43"/>
  <c r="GO72" i="43" s="1"/>
  <c r="BB72" i="43" s="1"/>
  <c r="HA72" i="43"/>
  <c r="HC72" i="43" s="1"/>
  <c r="CP72" i="43" s="1"/>
  <c r="FF71" i="43"/>
  <c r="T68" i="45"/>
  <c r="AB68" i="45" s="1"/>
  <c r="AA68" i="45" s="1"/>
  <c r="HL73" i="43"/>
  <c r="HK73" i="43" s="1"/>
  <c r="HG73" i="43" s="1"/>
  <c r="DK72" i="43"/>
  <c r="BW72" i="43" l="1"/>
  <c r="HE73" i="43"/>
  <c r="HD73" i="43" s="1"/>
  <c r="GZ73" i="43" s="1"/>
  <c r="GK72" i="43"/>
  <c r="HI72" i="43" s="1"/>
  <c r="CR72" i="43"/>
  <c r="AC68" i="45"/>
  <c r="BD72" i="43"/>
  <c r="GQ73" i="43"/>
  <c r="GP73" i="43" s="1"/>
  <c r="GL73" i="43" s="1"/>
  <c r="AN72" i="43"/>
  <c r="GU72" i="43" l="1"/>
  <c r="GN72" i="43"/>
  <c r="GJ73" i="43"/>
  <c r="GT73" i="43" s="1"/>
  <c r="GV73" i="43" s="1"/>
  <c r="BU73" i="43" s="1"/>
  <c r="HB72" i="43"/>
  <c r="AO72" i="43"/>
  <c r="DY72" i="43"/>
  <c r="DZ72" i="43" s="1"/>
  <c r="HH73" i="43" l="1"/>
  <c r="HJ73" i="43" s="1"/>
  <c r="DI73" i="43" s="1"/>
  <c r="DK73" i="43" s="1"/>
  <c r="GM73" i="43"/>
  <c r="GO73" i="43" s="1"/>
  <c r="BB73" i="43" s="1"/>
  <c r="HA73" i="43"/>
  <c r="HC73" i="43" s="1"/>
  <c r="CP73" i="43" s="1"/>
  <c r="HE74" i="43" s="1"/>
  <c r="HD74" i="43" s="1"/>
  <c r="GZ74" i="43" s="1"/>
  <c r="GX74" i="43"/>
  <c r="GW74" i="43" s="1"/>
  <c r="GS74" i="43" s="1"/>
  <c r="BW73" i="43"/>
  <c r="FF72" i="43"/>
  <c r="T69" i="45"/>
  <c r="AB69" i="45" s="1"/>
  <c r="HL74" i="43" l="1"/>
  <c r="HK74" i="43" s="1"/>
  <c r="HG74" i="43" s="1"/>
  <c r="CR73" i="43"/>
  <c r="GK73" i="43"/>
  <c r="GN73" i="43" s="1"/>
  <c r="BD73" i="43"/>
  <c r="AA69" i="45"/>
  <c r="AC69" i="45"/>
  <c r="AN73" i="43"/>
  <c r="GQ74" i="43"/>
  <c r="GP74" i="43" s="1"/>
  <c r="GU73" i="43" l="1"/>
  <c r="HB73" i="43"/>
  <c r="HI73" i="43"/>
  <c r="GL74" i="43"/>
  <c r="GJ74" i="43" s="1"/>
  <c r="GM74" i="43" s="1"/>
  <c r="AO73" i="43"/>
  <c r="DY73" i="43"/>
  <c r="DZ73" i="43" s="1"/>
  <c r="FF73" i="43" l="1"/>
  <c r="T70" i="45"/>
  <c r="AB70" i="45" s="1"/>
  <c r="GO74" i="43"/>
  <c r="BB74" i="43" s="1"/>
  <c r="HH74" i="43"/>
  <c r="HJ74" i="43" s="1"/>
  <c r="DI74" i="43" s="1"/>
  <c r="HA74" i="43"/>
  <c r="HC74" i="43" s="1"/>
  <c r="CP74" i="43" s="1"/>
  <c r="GT74" i="43"/>
  <c r="GV74" i="43" s="1"/>
  <c r="BU74" i="43" s="1"/>
  <c r="BD74" i="43" l="1"/>
  <c r="HL75" i="43"/>
  <c r="HK75" i="43" s="1"/>
  <c r="HG75" i="43" s="1"/>
  <c r="DK74" i="43"/>
  <c r="GX75" i="43"/>
  <c r="GW75" i="43" s="1"/>
  <c r="GS75" i="43" s="1"/>
  <c r="BW74" i="43"/>
  <c r="HE75" i="43"/>
  <c r="HD75" i="43" s="1"/>
  <c r="GZ75" i="43" s="1"/>
  <c r="CR74" i="43"/>
  <c r="AA70" i="45"/>
  <c r="AC70" i="45"/>
  <c r="AN74" i="43"/>
  <c r="GQ75" i="43"/>
  <c r="GP75" i="43" s="1"/>
  <c r="GL75" i="43" s="1"/>
  <c r="GK74" i="43"/>
  <c r="GJ75" i="43" l="1"/>
  <c r="GM75" i="43" s="1"/>
  <c r="GO75" i="43" s="1"/>
  <c r="BB75" i="43" s="1"/>
  <c r="GU74" i="43"/>
  <c r="HB74" i="43"/>
  <c r="GN74" i="43"/>
  <c r="HI74" i="43"/>
  <c r="AO74" i="43"/>
  <c r="DY74" i="43"/>
  <c r="DZ74" i="43" s="1"/>
  <c r="BD75" i="43" l="1"/>
  <c r="FF74" i="43"/>
  <c r="T71" i="45"/>
  <c r="AB71" i="45" s="1"/>
  <c r="HH75" i="43"/>
  <c r="HJ75" i="43" s="1"/>
  <c r="DI75" i="43" s="1"/>
  <c r="HA75" i="43"/>
  <c r="HC75" i="43" s="1"/>
  <c r="CP75" i="43" s="1"/>
  <c r="GT75" i="43"/>
  <c r="GV75" i="43" s="1"/>
  <c r="BU75" i="43" s="1"/>
  <c r="GQ76" i="43"/>
  <c r="GP76" i="43" s="1"/>
  <c r="HE76" i="43" l="1"/>
  <c r="HD76" i="43" s="1"/>
  <c r="GZ76" i="43" s="1"/>
  <c r="CR75" i="43"/>
  <c r="HL76" i="43"/>
  <c r="HK76" i="43" s="1"/>
  <c r="HG76" i="43" s="1"/>
  <c r="DK75" i="43"/>
  <c r="GX76" i="43"/>
  <c r="GW76" i="43" s="1"/>
  <c r="GS76" i="43" s="1"/>
  <c r="BW75" i="43"/>
  <c r="AC71" i="45"/>
  <c r="AA71" i="45"/>
  <c r="AN75" i="43"/>
  <c r="GK75" i="43"/>
  <c r="HI75" i="43" s="1"/>
  <c r="GL76" i="43"/>
  <c r="AO75" i="43" l="1"/>
  <c r="GJ76" i="43"/>
  <c r="GM76" i="43" s="1"/>
  <c r="GO76" i="43" s="1"/>
  <c r="BB76" i="43" s="1"/>
  <c r="DY75" i="43"/>
  <c r="DZ75" i="43" s="1"/>
  <c r="GN75" i="43"/>
  <c r="GU75" i="43"/>
  <c r="HB75" i="43"/>
  <c r="BD76" i="43" l="1"/>
  <c r="T72" i="45"/>
  <c r="AB72" i="45" s="1"/>
  <c r="AA72" i="45" s="1"/>
  <c r="FF75" i="43"/>
  <c r="HA76" i="43"/>
  <c r="HC76" i="43" s="1"/>
  <c r="CP76" i="43" s="1"/>
  <c r="GT76" i="43"/>
  <c r="GV76" i="43" s="1"/>
  <c r="BU76" i="43" s="1"/>
  <c r="HH76" i="43"/>
  <c r="HJ76" i="43" s="1"/>
  <c r="DI76" i="43" s="1"/>
  <c r="GQ77" i="43"/>
  <c r="GP77" i="43" s="1"/>
  <c r="AC72" i="45" l="1"/>
  <c r="GX77" i="43"/>
  <c r="GW77" i="43" s="1"/>
  <c r="GS77" i="43" s="1"/>
  <c r="BW76" i="43"/>
  <c r="HL77" i="43"/>
  <c r="HK77" i="43" s="1"/>
  <c r="HG77" i="43" s="1"/>
  <c r="DK76" i="43"/>
  <c r="HE77" i="43"/>
  <c r="HD77" i="43" s="1"/>
  <c r="GZ77" i="43" s="1"/>
  <c r="CR76" i="43"/>
  <c r="AN76" i="43"/>
  <c r="GK76" i="43"/>
  <c r="GU76" i="43" s="1"/>
  <c r="GL77" i="43"/>
  <c r="DY76" i="43" l="1"/>
  <c r="DZ76" i="43" s="1"/>
  <c r="GJ77" i="43"/>
  <c r="GM77" i="43" s="1"/>
  <c r="GO77" i="43" s="1"/>
  <c r="BB77" i="43" s="1"/>
  <c r="AO76" i="43"/>
  <c r="GN76" i="43"/>
  <c r="HB76" i="43"/>
  <c r="HI76" i="43"/>
  <c r="BD77" i="43" l="1"/>
  <c r="FF76" i="43"/>
  <c r="HA77" i="43"/>
  <c r="HC77" i="43" s="1"/>
  <c r="CP77" i="43" s="1"/>
  <c r="HH77" i="43"/>
  <c r="HJ77" i="43" s="1"/>
  <c r="DI77" i="43" s="1"/>
  <c r="GT77" i="43"/>
  <c r="GV77" i="43" s="1"/>
  <c r="BU77" i="43" s="1"/>
  <c r="T73" i="45"/>
  <c r="AB73" i="45" s="1"/>
  <c r="AC73" i="45" s="1"/>
  <c r="GQ78" i="43"/>
  <c r="GP78" i="43" s="1"/>
  <c r="GL78" i="43" s="1"/>
  <c r="HL78" i="43" l="1"/>
  <c r="HK78" i="43" s="1"/>
  <c r="HG78" i="43" s="1"/>
  <c r="DK77" i="43"/>
  <c r="HE78" i="43"/>
  <c r="HD78" i="43" s="1"/>
  <c r="GZ78" i="43" s="1"/>
  <c r="CR77" i="43"/>
  <c r="GX78" i="43"/>
  <c r="GW78" i="43" s="1"/>
  <c r="GS78" i="43" s="1"/>
  <c r="BW77" i="43"/>
  <c r="GK77" i="43"/>
  <c r="HB77" i="43" s="1"/>
  <c r="AA73" i="45"/>
  <c r="AN77" i="43"/>
  <c r="AO77" i="43" l="1"/>
  <c r="GJ78" i="43"/>
  <c r="GM78" i="43" s="1"/>
  <c r="GO78" i="43" s="1"/>
  <c r="BB78" i="43" s="1"/>
  <c r="GU77" i="43"/>
  <c r="GN77" i="43"/>
  <c r="HI77" i="43"/>
  <c r="DY77" i="43"/>
  <c r="DZ77" i="43" s="1"/>
  <c r="FF77" i="43" l="1"/>
  <c r="T74" i="45"/>
  <c r="AB74" i="45" s="1"/>
  <c r="AC74" i="45" s="1"/>
  <c r="GQ79" i="43"/>
  <c r="GP79" i="43" s="1"/>
  <c r="GL79" i="43" s="1"/>
  <c r="BD78" i="43"/>
  <c r="GT78" i="43"/>
  <c r="GV78" i="43" s="1"/>
  <c r="BU78" i="43" s="1"/>
  <c r="HA78" i="43"/>
  <c r="HC78" i="43" s="1"/>
  <c r="CP78" i="43" s="1"/>
  <c r="HH78" i="43"/>
  <c r="HJ78" i="43" s="1"/>
  <c r="DI78" i="43" s="1"/>
  <c r="AA74" i="45" l="1"/>
  <c r="HE79" i="43"/>
  <c r="HD79" i="43" s="1"/>
  <c r="GZ79" i="43" s="1"/>
  <c r="CR78" i="43"/>
  <c r="GX79" i="43"/>
  <c r="GW79" i="43" s="1"/>
  <c r="GS79" i="43" s="1"/>
  <c r="BW78" i="43"/>
  <c r="HL79" i="43"/>
  <c r="HK79" i="43" s="1"/>
  <c r="HG79" i="43" s="1"/>
  <c r="DK78" i="43"/>
  <c r="GK78" i="43"/>
  <c r="GU78" i="43" s="1"/>
  <c r="AN78" i="43"/>
  <c r="AO78" i="43" l="1"/>
  <c r="GJ79" i="43"/>
  <c r="GM79" i="43" s="1"/>
  <c r="GO79" i="43" s="1"/>
  <c r="BB79" i="43" s="1"/>
  <c r="HB78" i="43"/>
  <c r="HI78" i="43"/>
  <c r="GN78" i="43"/>
  <c r="DY78" i="43"/>
  <c r="DZ78" i="43" s="1"/>
  <c r="T75" i="45" l="1"/>
  <c r="AB75" i="45" s="1"/>
  <c r="AA75" i="45" s="1"/>
  <c r="FF78" i="43"/>
  <c r="GQ80" i="43"/>
  <c r="GP80" i="43" s="1"/>
  <c r="GL80" i="43" s="1"/>
  <c r="BD79" i="43"/>
  <c r="GT79" i="43"/>
  <c r="GV79" i="43" s="1"/>
  <c r="BU79" i="43" s="1"/>
  <c r="HH79" i="43"/>
  <c r="HJ79" i="43" s="1"/>
  <c r="DI79" i="43" s="1"/>
  <c r="HA79" i="43"/>
  <c r="HC79" i="43" s="1"/>
  <c r="CP79" i="43" s="1"/>
  <c r="AC75" i="45" l="1"/>
  <c r="HL80" i="43"/>
  <c r="HK80" i="43" s="1"/>
  <c r="HG80" i="43" s="1"/>
  <c r="DK79" i="43"/>
  <c r="GX80" i="43"/>
  <c r="GW80" i="43" s="1"/>
  <c r="GS80" i="43" s="1"/>
  <c r="BW79" i="43"/>
  <c r="HE80" i="43"/>
  <c r="HD80" i="43" s="1"/>
  <c r="GZ80" i="43" s="1"/>
  <c r="CR79" i="43"/>
  <c r="GK79" i="43"/>
  <c r="HI79" i="43" s="1"/>
  <c r="AN79" i="43"/>
  <c r="DY79" i="43" l="1"/>
  <c r="DZ79" i="43" s="1"/>
  <c r="GJ80" i="43"/>
  <c r="GM80" i="43" s="1"/>
  <c r="GO80" i="43" s="1"/>
  <c r="BB80" i="43" s="1"/>
  <c r="HB79" i="43"/>
  <c r="GU79" i="43"/>
  <c r="AO79" i="43"/>
  <c r="GN79" i="43"/>
  <c r="GQ81" i="43" l="1"/>
  <c r="GP81" i="43" s="1"/>
  <c r="GL81" i="43" s="1"/>
  <c r="BD80" i="43"/>
  <c r="HH80" i="43"/>
  <c r="HJ80" i="43" s="1"/>
  <c r="DI80" i="43" s="1"/>
  <c r="HA80" i="43"/>
  <c r="HC80" i="43" s="1"/>
  <c r="CP80" i="43" s="1"/>
  <c r="GT80" i="43"/>
  <c r="GV80" i="43" s="1"/>
  <c r="BU80" i="43" s="1"/>
  <c r="FF79" i="43"/>
  <c r="T76" i="45"/>
  <c r="AB76" i="45" s="1"/>
  <c r="HE81" i="43" l="1"/>
  <c r="HD81" i="43" s="1"/>
  <c r="GZ81" i="43" s="1"/>
  <c r="CR80" i="43"/>
  <c r="HL81" i="43"/>
  <c r="HK81" i="43" s="1"/>
  <c r="HG81" i="43" s="1"/>
  <c r="DK80" i="43"/>
  <c r="GX81" i="43"/>
  <c r="GW81" i="43" s="1"/>
  <c r="GS81" i="43" s="1"/>
  <c r="BW80" i="43"/>
  <c r="AN80" i="43"/>
  <c r="GK80" i="43"/>
  <c r="AC76" i="45"/>
  <c r="AA76" i="45"/>
  <c r="AO80" i="43" l="1"/>
  <c r="GJ81" i="43"/>
  <c r="GM81" i="43" s="1"/>
  <c r="GO81" i="43" s="1"/>
  <c r="BB81" i="43" s="1"/>
  <c r="DY80" i="43"/>
  <c r="DZ80" i="43" s="1"/>
  <c r="HB80" i="43"/>
  <c r="GU80" i="43"/>
  <c r="GN80" i="43"/>
  <c r="HI80" i="43"/>
  <c r="T77" i="45" l="1"/>
  <c r="AB77" i="45" s="1"/>
  <c r="AC77" i="45" s="1"/>
  <c r="FF80" i="43"/>
  <c r="HA81" i="43"/>
  <c r="HC81" i="43" s="1"/>
  <c r="CP81" i="43" s="1"/>
  <c r="GQ82" i="43"/>
  <c r="GP82" i="43" s="1"/>
  <c r="GL82" i="43" s="1"/>
  <c r="BD81" i="43"/>
  <c r="HH81" i="43"/>
  <c r="HJ81" i="43" s="1"/>
  <c r="DI81" i="43" s="1"/>
  <c r="GT81" i="43"/>
  <c r="GV81" i="43" s="1"/>
  <c r="BU81" i="43" s="1"/>
  <c r="AA77" i="45" l="1"/>
  <c r="HE82" i="43"/>
  <c r="HD82" i="43" s="1"/>
  <c r="GZ82" i="43" s="1"/>
  <c r="CR81" i="43"/>
  <c r="GX82" i="43"/>
  <c r="GW82" i="43" s="1"/>
  <c r="GS82" i="43" s="1"/>
  <c r="BW81" i="43"/>
  <c r="HL82" i="43"/>
  <c r="HK82" i="43" s="1"/>
  <c r="HG82" i="43" s="1"/>
  <c r="DK81" i="43"/>
  <c r="AN81" i="43"/>
  <c r="GK81" i="43"/>
  <c r="HB81" i="43" s="1"/>
  <c r="GJ82" i="43" l="1"/>
  <c r="HA82" i="43" s="1"/>
  <c r="HC82" i="43" s="1"/>
  <c r="CP82" i="43" s="1"/>
  <c r="AO81" i="43"/>
  <c r="DY81" i="43"/>
  <c r="DZ81" i="43" s="1"/>
  <c r="GN81" i="43"/>
  <c r="GU81" i="43"/>
  <c r="HI81" i="43"/>
  <c r="HH82" i="43" l="1"/>
  <c r="HJ82" i="43" s="1"/>
  <c r="DI82" i="43" s="1"/>
  <c r="GT82" i="43"/>
  <c r="GV82" i="43" s="1"/>
  <c r="BU82" i="43" s="1"/>
  <c r="GM82" i="43"/>
  <c r="GO82" i="43" s="1"/>
  <c r="BB82" i="43" s="1"/>
  <c r="FF81" i="43"/>
  <c r="HE83" i="43"/>
  <c r="HD83" i="43" s="1"/>
  <c r="GZ83" i="43" s="1"/>
  <c r="CR82" i="43"/>
  <c r="T78" i="45"/>
  <c r="AB78" i="45" s="1"/>
  <c r="AA78" i="45" s="1"/>
  <c r="HL83" i="43" l="1"/>
  <c r="HK83" i="43" s="1"/>
  <c r="HG83" i="43" s="1"/>
  <c r="GQ83" i="43"/>
  <c r="GP83" i="43" s="1"/>
  <c r="GL83" i="43" s="1"/>
  <c r="DK82" i="43"/>
  <c r="GX83" i="43"/>
  <c r="GW83" i="43" s="1"/>
  <c r="GS83" i="43" s="1"/>
  <c r="AN82" i="43"/>
  <c r="BW82" i="43"/>
  <c r="GK82" i="43"/>
  <c r="GU82" i="43" s="1"/>
  <c r="BD82" i="43"/>
  <c r="AC78" i="45"/>
  <c r="GJ83" i="43" l="1"/>
  <c r="GT83" i="43" s="1"/>
  <c r="GV83" i="43" s="1"/>
  <c r="BU83" i="43" s="1"/>
  <c r="GN82" i="43"/>
  <c r="HI82" i="43"/>
  <c r="HB82" i="43"/>
  <c r="AO82" i="43"/>
  <c r="DY82" i="43"/>
  <c r="DZ82" i="43" s="1"/>
  <c r="HH83" i="43" l="1"/>
  <c r="HJ83" i="43" s="1"/>
  <c r="DI83" i="43" s="1"/>
  <c r="GM83" i="43"/>
  <c r="GO83" i="43" s="1"/>
  <c r="BB83" i="43" s="1"/>
  <c r="HA83" i="43"/>
  <c r="HC83" i="43" s="1"/>
  <c r="CP83" i="43" s="1"/>
  <c r="BW83" i="43"/>
  <c r="GX84" i="43"/>
  <c r="GW84" i="43" s="1"/>
  <c r="GS84" i="43" s="1"/>
  <c r="FF82" i="43"/>
  <c r="T79" i="45"/>
  <c r="AB79" i="45" s="1"/>
  <c r="AC79" i="45" s="1"/>
  <c r="HL84" i="43" l="1"/>
  <c r="HK84" i="43" s="1"/>
  <c r="HG84" i="43" s="1"/>
  <c r="DK83" i="43"/>
  <c r="GQ84" i="43"/>
  <c r="GP84" i="43" s="1"/>
  <c r="GL84" i="43" s="1"/>
  <c r="CR83" i="43"/>
  <c r="HE84" i="43"/>
  <c r="HD84" i="43" s="1"/>
  <c r="GZ84" i="43" s="1"/>
  <c r="AN83" i="43"/>
  <c r="BD83" i="43"/>
  <c r="GK83" i="43"/>
  <c r="GN83" i="43" s="1"/>
  <c r="AA79" i="45"/>
  <c r="GJ84" i="43" l="1"/>
  <c r="GM84" i="43" s="1"/>
  <c r="GO84" i="43" s="1"/>
  <c r="BB84" i="43" s="1"/>
  <c r="HI83" i="43"/>
  <c r="GU83" i="43"/>
  <c r="HB83" i="43"/>
  <c r="DY83" i="43"/>
  <c r="DZ83" i="43" s="1"/>
  <c r="AO83" i="43"/>
  <c r="BD84" i="43" l="1"/>
  <c r="HA84" i="43"/>
  <c r="HC84" i="43" s="1"/>
  <c r="CP84" i="43" s="1"/>
  <c r="HH84" i="43"/>
  <c r="HJ84" i="43" s="1"/>
  <c r="DI84" i="43" s="1"/>
  <c r="GT84" i="43"/>
  <c r="GV84" i="43" s="1"/>
  <c r="BU84" i="43" s="1"/>
  <c r="GQ85" i="43"/>
  <c r="GP85" i="43" s="1"/>
  <c r="GL85" i="43" s="1"/>
  <c r="FF83" i="43"/>
  <c r="T80" i="45"/>
  <c r="AB80" i="45" s="1"/>
  <c r="DK84" i="43" l="1"/>
  <c r="HL85" i="43"/>
  <c r="HK85" i="43" s="1"/>
  <c r="HG85" i="43" s="1"/>
  <c r="CR84" i="43"/>
  <c r="HE85" i="43"/>
  <c r="HD85" i="43" s="1"/>
  <c r="GZ85" i="43" s="1"/>
  <c r="AN84" i="43"/>
  <c r="DY84" i="43" s="1"/>
  <c r="DZ84" i="43" s="1"/>
  <c r="GK84" i="43"/>
  <c r="HB84" i="43" s="1"/>
  <c r="BW84" i="43"/>
  <c r="GX85" i="43"/>
  <c r="GW85" i="43" s="1"/>
  <c r="GS85" i="43" s="1"/>
  <c r="AC80" i="45"/>
  <c r="AA80" i="45"/>
  <c r="AO84" i="43" l="1"/>
  <c r="T81" i="45" s="1"/>
  <c r="AB81" i="45" s="1"/>
  <c r="AA81" i="45" s="1"/>
  <c r="GJ85" i="43"/>
  <c r="GM85" i="43" s="1"/>
  <c r="GO85" i="43" s="1"/>
  <c r="BB85" i="43" s="1"/>
  <c r="GQ86" i="43" s="1"/>
  <c r="GP86" i="43" s="1"/>
  <c r="GL86" i="43" s="1"/>
  <c r="GU84" i="43"/>
  <c r="HI84" i="43"/>
  <c r="GN84" i="43"/>
  <c r="HA85" i="43" l="1"/>
  <c r="HC85" i="43" s="1"/>
  <c r="CP85" i="43" s="1"/>
  <c r="CR85" i="43" s="1"/>
  <c r="HH85" i="43"/>
  <c r="HJ85" i="43" s="1"/>
  <c r="DI85" i="43" s="1"/>
  <c r="DK85" i="43" s="1"/>
  <c r="FF84" i="43"/>
  <c r="BD85" i="43"/>
  <c r="GT85" i="43"/>
  <c r="GV85" i="43" s="1"/>
  <c r="BU85" i="43" s="1"/>
  <c r="AC81" i="45"/>
  <c r="HE86" i="43" l="1"/>
  <c r="HD86" i="43" s="1"/>
  <c r="GZ86" i="43" s="1"/>
  <c r="HL86" i="43"/>
  <c r="HK86" i="43" s="1"/>
  <c r="HG86" i="43" s="1"/>
  <c r="GK85" i="43"/>
  <c r="HB85" i="43" s="1"/>
  <c r="BW85" i="43"/>
  <c r="AN85" i="43"/>
  <c r="GX86" i="43"/>
  <c r="GW86" i="43" s="1"/>
  <c r="GS86" i="43" s="1"/>
  <c r="GJ86" i="43" l="1"/>
  <c r="GM86" i="43" s="1"/>
  <c r="GO86" i="43" s="1"/>
  <c r="BB86" i="43" s="1"/>
  <c r="BD86" i="43" s="1"/>
  <c r="GU85" i="43"/>
  <c r="GN85" i="43"/>
  <c r="HI85" i="43"/>
  <c r="AO85" i="43"/>
  <c r="FF85" i="43" s="1"/>
  <c r="DY85" i="43"/>
  <c r="DZ85" i="43" s="1"/>
  <c r="GT86" i="43" l="1"/>
  <c r="GV86" i="43" s="1"/>
  <c r="BU86" i="43" s="1"/>
  <c r="GX87" i="43" s="1"/>
  <c r="GW87" i="43" s="1"/>
  <c r="GS87" i="43" s="1"/>
  <c r="HH86" i="43"/>
  <c r="HJ86" i="43" s="1"/>
  <c r="DI86" i="43" s="1"/>
  <c r="HL87" i="43" s="1"/>
  <c r="HK87" i="43" s="1"/>
  <c r="HG87" i="43" s="1"/>
  <c r="GQ87" i="43"/>
  <c r="GP87" i="43" s="1"/>
  <c r="GL87" i="43" s="1"/>
  <c r="HA86" i="43"/>
  <c r="HC86" i="43" s="1"/>
  <c r="CP86" i="43" s="1"/>
  <c r="HE87" i="43" s="1"/>
  <c r="HD87" i="43" s="1"/>
  <c r="GZ87" i="43" s="1"/>
  <c r="T82" i="45"/>
  <c r="AB82" i="45" s="1"/>
  <c r="AA82" i="45" s="1"/>
  <c r="BW86" i="43" l="1"/>
  <c r="AN86" i="43"/>
  <c r="AO86" i="43" s="1"/>
  <c r="DK86" i="43"/>
  <c r="CR86" i="43"/>
  <c r="GK86" i="43"/>
  <c r="GU86" i="43" s="1"/>
  <c r="AC82" i="45"/>
  <c r="GJ87" i="43"/>
  <c r="GM87" i="43" s="1"/>
  <c r="GO87" i="43" s="1"/>
  <c r="BB87" i="43" s="1"/>
  <c r="DY86" i="43" l="1"/>
  <c r="DZ86" i="43" s="1"/>
  <c r="HI86" i="43"/>
  <c r="GN86" i="43"/>
  <c r="HB86" i="43"/>
  <c r="FF86" i="43"/>
  <c r="T83" i="45"/>
  <c r="AB83" i="45" s="1"/>
  <c r="AA83" i="45" s="1"/>
  <c r="GQ88" i="43"/>
  <c r="GP88" i="43" s="1"/>
  <c r="GL88" i="43" s="1"/>
  <c r="BD87" i="43"/>
  <c r="GT87" i="43"/>
  <c r="GV87" i="43" s="1"/>
  <c r="BU87" i="43" s="1"/>
  <c r="HA87" i="43"/>
  <c r="HC87" i="43" s="1"/>
  <c r="CP87" i="43" s="1"/>
  <c r="HH87" i="43"/>
  <c r="HJ87" i="43" s="1"/>
  <c r="DI87" i="43" s="1"/>
  <c r="AC83" i="45" l="1"/>
  <c r="HL88" i="43"/>
  <c r="HK88" i="43" s="1"/>
  <c r="HG88" i="43" s="1"/>
  <c r="DK87" i="43"/>
  <c r="GX88" i="43"/>
  <c r="GW88" i="43" s="1"/>
  <c r="GS88" i="43" s="1"/>
  <c r="BW87" i="43"/>
  <c r="HE88" i="43"/>
  <c r="HD88" i="43" s="1"/>
  <c r="GZ88" i="43" s="1"/>
  <c r="CR87" i="43"/>
  <c r="GK87" i="43"/>
  <c r="HB87" i="43" s="1"/>
  <c r="AN87" i="43"/>
  <c r="DY87" i="43" l="1"/>
  <c r="DZ87" i="43" s="1"/>
  <c r="GU87" i="43"/>
  <c r="GJ88" i="43"/>
  <c r="GM88" i="43" s="1"/>
  <c r="GO88" i="43" s="1"/>
  <c r="BB88" i="43" s="1"/>
  <c r="GN87" i="43"/>
  <c r="HI87" i="43"/>
  <c r="AO87" i="43"/>
  <c r="GQ89" i="43" l="1"/>
  <c r="GP89" i="43" s="1"/>
  <c r="GL89" i="43" s="1"/>
  <c r="BD88" i="43"/>
  <c r="HH88" i="43"/>
  <c r="HJ88" i="43" s="1"/>
  <c r="DI88" i="43" s="1"/>
  <c r="GT88" i="43"/>
  <c r="GV88" i="43" s="1"/>
  <c r="BU88" i="43" s="1"/>
  <c r="HA88" i="43"/>
  <c r="HC88" i="43" s="1"/>
  <c r="CP88" i="43" s="1"/>
  <c r="FF87" i="43"/>
  <c r="T84" i="45"/>
  <c r="AB84" i="45" s="1"/>
  <c r="GX89" i="43" l="1"/>
  <c r="GW89" i="43" s="1"/>
  <c r="GS89" i="43" s="1"/>
  <c r="BW88" i="43"/>
  <c r="HL89" i="43"/>
  <c r="HK89" i="43" s="1"/>
  <c r="HG89" i="43" s="1"/>
  <c r="DK88" i="43"/>
  <c r="HE89" i="43"/>
  <c r="HD89" i="43" s="1"/>
  <c r="GZ89" i="43" s="1"/>
  <c r="CR88" i="43"/>
  <c r="GK88" i="43"/>
  <c r="GN88" i="43" s="1"/>
  <c r="AN88" i="43"/>
  <c r="AA84" i="45"/>
  <c r="AC84" i="45"/>
  <c r="AO88" i="43" l="1"/>
  <c r="GJ89" i="43"/>
  <c r="GM89" i="43" s="1"/>
  <c r="GO89" i="43" s="1"/>
  <c r="BB89" i="43" s="1"/>
  <c r="HB88" i="43"/>
  <c r="GU88" i="43"/>
  <c r="HI88" i="43"/>
  <c r="DY88" i="43"/>
  <c r="DZ88" i="43" s="1"/>
  <c r="T85" i="45" l="1"/>
  <c r="AB85" i="45" s="1"/>
  <c r="AC85" i="45" s="1"/>
  <c r="FF88" i="43"/>
  <c r="GQ90" i="43"/>
  <c r="GP90" i="43" s="1"/>
  <c r="GL90" i="43" s="1"/>
  <c r="BD89" i="43"/>
  <c r="HH89" i="43"/>
  <c r="HJ89" i="43" s="1"/>
  <c r="DI89" i="43" s="1"/>
  <c r="GT89" i="43"/>
  <c r="GV89" i="43" s="1"/>
  <c r="BU89" i="43" s="1"/>
  <c r="HA89" i="43"/>
  <c r="HC89" i="43" s="1"/>
  <c r="CP89" i="43" s="1"/>
  <c r="AA85" i="45" l="1"/>
  <c r="AN89" i="43"/>
  <c r="AO89" i="43" s="1"/>
  <c r="GX90" i="43"/>
  <c r="GW90" i="43" s="1"/>
  <c r="GS90" i="43" s="1"/>
  <c r="BW89" i="43"/>
  <c r="HL90" i="43"/>
  <c r="HK90" i="43" s="1"/>
  <c r="HG90" i="43" s="1"/>
  <c r="DK89" i="43"/>
  <c r="GK89" i="43"/>
  <c r="HB89" i="43" s="1"/>
  <c r="HE90" i="43"/>
  <c r="HD90" i="43" s="1"/>
  <c r="GZ90" i="43" s="1"/>
  <c r="CR89" i="43"/>
  <c r="GJ90" i="43" l="1"/>
  <c r="GT90" i="43" s="1"/>
  <c r="GV90" i="43" s="1"/>
  <c r="BU90" i="43" s="1"/>
  <c r="DY89" i="43"/>
  <c r="DZ89" i="43" s="1"/>
  <c r="GU89" i="43"/>
  <c r="HI89" i="43"/>
  <c r="GN89" i="43"/>
  <c r="FF89" i="43"/>
  <c r="T86" i="45"/>
  <c r="AB86" i="45" s="1"/>
  <c r="GM90" i="43" l="1"/>
  <c r="GO90" i="43" s="1"/>
  <c r="BB90" i="43" s="1"/>
  <c r="HA90" i="43"/>
  <c r="HC90" i="43" s="1"/>
  <c r="CP90" i="43" s="1"/>
  <c r="BW90" i="43"/>
  <c r="GX91" i="43"/>
  <c r="GW91" i="43" s="1"/>
  <c r="GS91" i="43" s="1"/>
  <c r="HH90" i="43"/>
  <c r="HJ90" i="43" s="1"/>
  <c r="DI90" i="43" s="1"/>
  <c r="AA86" i="45"/>
  <c r="AC86" i="45"/>
  <c r="CR90" i="43" l="1"/>
  <c r="DK90" i="43"/>
  <c r="BD90" i="43"/>
  <c r="HE91" i="43"/>
  <c r="HD91" i="43" s="1"/>
  <c r="GZ91" i="43" s="1"/>
  <c r="GQ91" i="43"/>
  <c r="GP91" i="43" s="1"/>
  <c r="GL91" i="43" s="1"/>
  <c r="AN90" i="43"/>
  <c r="HL91" i="43"/>
  <c r="HK91" i="43" s="1"/>
  <c r="HG91" i="43" s="1"/>
  <c r="GK90" i="43"/>
  <c r="HI90" i="43" s="1"/>
  <c r="AO90" i="43" l="1"/>
  <c r="GJ91" i="43"/>
  <c r="GM91" i="43" s="1"/>
  <c r="GO91" i="43" s="1"/>
  <c r="BB91" i="43" s="1"/>
  <c r="HB90" i="43"/>
  <c r="GN90" i="43"/>
  <c r="DY90" i="43"/>
  <c r="DZ90" i="43" s="1"/>
  <c r="GU90" i="43"/>
  <c r="T87" i="45" l="1"/>
  <c r="AB87" i="45" s="1"/>
  <c r="AC87" i="45" s="1"/>
  <c r="BD91" i="43"/>
  <c r="FF90" i="43"/>
  <c r="GT91" i="43"/>
  <c r="GV91" i="43" s="1"/>
  <c r="BU91" i="43" s="1"/>
  <c r="HH91" i="43"/>
  <c r="HJ91" i="43" s="1"/>
  <c r="DI91" i="43" s="1"/>
  <c r="HA91" i="43"/>
  <c r="HC91" i="43" s="1"/>
  <c r="CP91" i="43" s="1"/>
  <c r="GQ92" i="43"/>
  <c r="GP92" i="43" s="1"/>
  <c r="AA87" i="45" l="1"/>
  <c r="HL92" i="43"/>
  <c r="HK92" i="43" s="1"/>
  <c r="HG92" i="43" s="1"/>
  <c r="DK91" i="43"/>
  <c r="GX92" i="43"/>
  <c r="GW92" i="43" s="1"/>
  <c r="GS92" i="43" s="1"/>
  <c r="BW91" i="43"/>
  <c r="HE92" i="43"/>
  <c r="HD92" i="43" s="1"/>
  <c r="GZ92" i="43" s="1"/>
  <c r="CR91" i="43"/>
  <c r="GK91" i="43"/>
  <c r="GN91" i="43" s="1"/>
  <c r="AN91" i="43"/>
  <c r="GL92" i="43"/>
  <c r="AO91" i="43" l="1"/>
  <c r="GJ92" i="43"/>
  <c r="GM92" i="43" s="1"/>
  <c r="GO92" i="43" s="1"/>
  <c r="BB92" i="43" s="1"/>
  <c r="GU91" i="43"/>
  <c r="DY91" i="43"/>
  <c r="DZ91" i="43" s="1"/>
  <c r="HI91" i="43"/>
  <c r="HB91" i="43"/>
  <c r="FF91" i="43" l="1"/>
  <c r="T88" i="45"/>
  <c r="AB88" i="45" s="1"/>
  <c r="AA88" i="45" s="1"/>
  <c r="BD92" i="43"/>
  <c r="GT92" i="43"/>
  <c r="GV92" i="43" s="1"/>
  <c r="BU92" i="43" s="1"/>
  <c r="HA92" i="43"/>
  <c r="HC92" i="43" s="1"/>
  <c r="CP92" i="43" s="1"/>
  <c r="HH92" i="43"/>
  <c r="HJ92" i="43" s="1"/>
  <c r="DI92" i="43" s="1"/>
  <c r="GQ93" i="43"/>
  <c r="GP93" i="43" s="1"/>
  <c r="AC88" i="45" l="1"/>
  <c r="HL93" i="43"/>
  <c r="HK93" i="43" s="1"/>
  <c r="HG93" i="43" s="1"/>
  <c r="DK92" i="43"/>
  <c r="HE93" i="43"/>
  <c r="HD93" i="43" s="1"/>
  <c r="GZ93" i="43" s="1"/>
  <c r="CR92" i="43"/>
  <c r="GX93" i="43"/>
  <c r="GW93" i="43" s="1"/>
  <c r="GS93" i="43" s="1"/>
  <c r="BW92" i="43"/>
  <c r="AN92" i="43"/>
  <c r="GK92" i="43"/>
  <c r="GN92" i="43" s="1"/>
  <c r="GL93" i="43"/>
  <c r="DY92" i="43" l="1"/>
  <c r="DZ92" i="43" s="1"/>
  <c r="GJ93" i="43"/>
  <c r="GM93" i="43" s="1"/>
  <c r="GO93" i="43" s="1"/>
  <c r="BB93" i="43" s="1"/>
  <c r="AO92" i="43"/>
  <c r="HB92" i="43"/>
  <c r="HI92" i="43"/>
  <c r="GU92" i="43"/>
  <c r="BD93" i="43" l="1"/>
  <c r="HH93" i="43"/>
  <c r="HJ93" i="43" s="1"/>
  <c r="DI93" i="43" s="1"/>
  <c r="HA93" i="43"/>
  <c r="HC93" i="43" s="1"/>
  <c r="CP93" i="43" s="1"/>
  <c r="GT93" i="43"/>
  <c r="GV93" i="43" s="1"/>
  <c r="BU93" i="43" s="1"/>
  <c r="FF92" i="43"/>
  <c r="T89" i="45"/>
  <c r="AB89" i="45" s="1"/>
  <c r="GQ94" i="43"/>
  <c r="GP94" i="43" s="1"/>
  <c r="GL94" i="43" s="1"/>
  <c r="GX94" i="43" l="1"/>
  <c r="GW94" i="43" s="1"/>
  <c r="GS94" i="43" s="1"/>
  <c r="BW93" i="43"/>
  <c r="HE94" i="43"/>
  <c r="HD94" i="43" s="1"/>
  <c r="GZ94" i="43" s="1"/>
  <c r="CR93" i="43"/>
  <c r="HL94" i="43"/>
  <c r="HK94" i="43" s="1"/>
  <c r="HG94" i="43" s="1"/>
  <c r="DK93" i="43"/>
  <c r="GK93" i="43"/>
  <c r="GN93" i="43" s="1"/>
  <c r="AN93" i="43"/>
  <c r="AC89" i="45"/>
  <c r="AA89" i="45"/>
  <c r="DY93" i="43" l="1"/>
  <c r="DZ93" i="43" s="1"/>
  <c r="GJ94" i="43"/>
  <c r="GM94" i="43" s="1"/>
  <c r="GO94" i="43" s="1"/>
  <c r="BB94" i="43" s="1"/>
  <c r="HI93" i="43"/>
  <c r="HB93" i="43"/>
  <c r="GU93" i="43"/>
  <c r="AO93" i="43"/>
  <c r="GT94" i="43" l="1"/>
  <c r="GV94" i="43" s="1"/>
  <c r="BU94" i="43" s="1"/>
  <c r="GQ95" i="43"/>
  <c r="GP95" i="43" s="1"/>
  <c r="GL95" i="43" s="1"/>
  <c r="BD94" i="43"/>
  <c r="HH94" i="43"/>
  <c r="HJ94" i="43" s="1"/>
  <c r="DI94" i="43" s="1"/>
  <c r="HA94" i="43"/>
  <c r="HC94" i="43" s="1"/>
  <c r="CP94" i="43" s="1"/>
  <c r="FF93" i="43"/>
  <c r="T90" i="45"/>
  <c r="AB90" i="45" s="1"/>
  <c r="GX95" i="43" l="1"/>
  <c r="GW95" i="43" s="1"/>
  <c r="GS95" i="43" s="1"/>
  <c r="BW94" i="43"/>
  <c r="HE95" i="43"/>
  <c r="HD95" i="43" s="1"/>
  <c r="GZ95" i="43" s="1"/>
  <c r="CR94" i="43"/>
  <c r="HL95" i="43"/>
  <c r="HK95" i="43" s="1"/>
  <c r="HG95" i="43" s="1"/>
  <c r="DK94" i="43"/>
  <c r="GK94" i="43"/>
  <c r="HB94" i="43" s="1"/>
  <c r="AN94" i="43"/>
  <c r="AA90" i="45"/>
  <c r="AC90" i="45"/>
  <c r="DY94" i="43" l="1"/>
  <c r="DZ94" i="43" s="1"/>
  <c r="GJ95" i="43"/>
  <c r="HA95" i="43" s="1"/>
  <c r="HC95" i="43" s="1"/>
  <c r="CP95" i="43" s="1"/>
  <c r="AO94" i="43"/>
  <c r="GN94" i="43"/>
  <c r="HI94" i="43"/>
  <c r="GU94" i="43"/>
  <c r="HE96" i="43" l="1"/>
  <c r="HD96" i="43" s="1"/>
  <c r="GZ96" i="43" s="1"/>
  <c r="CR95" i="43"/>
  <c r="HH95" i="43"/>
  <c r="HJ95" i="43" s="1"/>
  <c r="DI95" i="43" s="1"/>
  <c r="GM95" i="43"/>
  <c r="GO95" i="43" s="1"/>
  <c r="BB95" i="43" s="1"/>
  <c r="GT95" i="43"/>
  <c r="GV95" i="43" s="1"/>
  <c r="BU95" i="43" s="1"/>
  <c r="FF94" i="43"/>
  <c r="T91" i="45"/>
  <c r="AB91" i="45" s="1"/>
  <c r="GQ96" i="43" l="1"/>
  <c r="GP96" i="43" s="1"/>
  <c r="GL96" i="43" s="1"/>
  <c r="BD95" i="43"/>
  <c r="HL96" i="43"/>
  <c r="HK96" i="43" s="1"/>
  <c r="HG96" i="43" s="1"/>
  <c r="DK95" i="43"/>
  <c r="GX96" i="43"/>
  <c r="GW96" i="43" s="1"/>
  <c r="GS96" i="43" s="1"/>
  <c r="BW95" i="43"/>
  <c r="AN95" i="43"/>
  <c r="GK95" i="43"/>
  <c r="HI95" i="43" s="1"/>
  <c r="AA91" i="45"/>
  <c r="AC91" i="45"/>
  <c r="GJ96" i="43" l="1"/>
  <c r="GM96" i="43" s="1"/>
  <c r="GO96" i="43" s="1"/>
  <c r="BB96" i="43" s="1"/>
  <c r="DY95" i="43"/>
  <c r="DZ95" i="43" s="1"/>
  <c r="GN95" i="43"/>
  <c r="AO95" i="43"/>
  <c r="GU95" i="43"/>
  <c r="HB95" i="43"/>
  <c r="HH96" i="43" l="1"/>
  <c r="HJ96" i="43" s="1"/>
  <c r="DI96" i="43" s="1"/>
  <c r="BD96" i="43"/>
  <c r="GT96" i="43"/>
  <c r="GV96" i="43" s="1"/>
  <c r="BU96" i="43" s="1"/>
  <c r="HA96" i="43"/>
  <c r="HC96" i="43" s="1"/>
  <c r="CP96" i="43" s="1"/>
  <c r="FF95" i="43"/>
  <c r="T92" i="45"/>
  <c r="AB92" i="45" s="1"/>
  <c r="GQ97" i="43"/>
  <c r="GP97" i="43" s="1"/>
  <c r="GX97" i="43" l="1"/>
  <c r="GW97" i="43" s="1"/>
  <c r="GS97" i="43" s="1"/>
  <c r="DK96" i="43"/>
  <c r="BW96" i="43"/>
  <c r="HL97" i="43"/>
  <c r="HK97" i="43" s="1"/>
  <c r="HG97" i="43" s="1"/>
  <c r="CR96" i="43"/>
  <c r="AN96" i="43"/>
  <c r="HE97" i="43"/>
  <c r="HD97" i="43" s="1"/>
  <c r="GZ97" i="43" s="1"/>
  <c r="GK96" i="43"/>
  <c r="GU96" i="43" s="1"/>
  <c r="AC92" i="45"/>
  <c r="AA92" i="45"/>
  <c r="GL97" i="43"/>
  <c r="GN96" i="43" l="1"/>
  <c r="AO96" i="43"/>
  <c r="DY96" i="43"/>
  <c r="DZ96" i="43" s="1"/>
  <c r="GJ97" i="43"/>
  <c r="GM97" i="43" s="1"/>
  <c r="GO97" i="43" s="1"/>
  <c r="BB97" i="43" s="1"/>
  <c r="HB96" i="43"/>
  <c r="HI96" i="43"/>
  <c r="BD97" i="43" l="1"/>
  <c r="FF96" i="43"/>
  <c r="HA97" i="43"/>
  <c r="HC97" i="43" s="1"/>
  <c r="CP97" i="43" s="1"/>
  <c r="HE98" i="43" s="1"/>
  <c r="HD98" i="43" s="1"/>
  <c r="GZ98" i="43" s="1"/>
  <c r="GT97" i="43"/>
  <c r="GV97" i="43" s="1"/>
  <c r="BU97" i="43" s="1"/>
  <c r="HH97" i="43"/>
  <c r="HJ97" i="43" s="1"/>
  <c r="DI97" i="43" s="1"/>
  <c r="T93" i="45"/>
  <c r="AB93" i="45" s="1"/>
  <c r="AA93" i="45" s="1"/>
  <c r="GQ98" i="43"/>
  <c r="GP98" i="43" s="1"/>
  <c r="GL98" i="43" s="1"/>
  <c r="HL98" i="43" l="1"/>
  <c r="HK98" i="43" s="1"/>
  <c r="HG98" i="43" s="1"/>
  <c r="DK97" i="43"/>
  <c r="GX98" i="43"/>
  <c r="GW98" i="43" s="1"/>
  <c r="GS98" i="43" s="1"/>
  <c r="CR97" i="43"/>
  <c r="AN97" i="43"/>
  <c r="BW97" i="43"/>
  <c r="GK97" i="43"/>
  <c r="GU97" i="43" s="1"/>
  <c r="AC93" i="45"/>
  <c r="GJ98" i="43" l="1"/>
  <c r="GM98" i="43" s="1"/>
  <c r="GO98" i="43" s="1"/>
  <c r="BB98" i="43" s="1"/>
  <c r="AO97" i="43"/>
  <c r="GN97" i="43"/>
  <c r="HB97" i="43"/>
  <c r="DY97" i="43"/>
  <c r="DZ97" i="43" s="1"/>
  <c r="HI97" i="43"/>
  <c r="GQ99" i="43" l="1"/>
  <c r="GP99" i="43" s="1"/>
  <c r="GL99" i="43" s="1"/>
  <c r="GT98" i="43"/>
  <c r="GV98" i="43" s="1"/>
  <c r="BU98" i="43" s="1"/>
  <c r="HA98" i="43"/>
  <c r="HC98" i="43" s="1"/>
  <c r="CP98" i="43" s="1"/>
  <c r="HH98" i="43"/>
  <c r="HJ98" i="43" s="1"/>
  <c r="DI98" i="43" s="1"/>
  <c r="DK98" i="43" s="1"/>
  <c r="BD98" i="43"/>
  <c r="FF97" i="43"/>
  <c r="T94" i="45"/>
  <c r="W94" i="45" s="1"/>
  <c r="Z94" i="45" s="1"/>
  <c r="CR98" i="43" l="1"/>
  <c r="GX99" i="43"/>
  <c r="GW99" i="43" s="1"/>
  <c r="GS99" i="43" s="1"/>
  <c r="BW98" i="43"/>
  <c r="AN98" i="43"/>
  <c r="GK98" i="43"/>
  <c r="GU98" i="43" s="1"/>
  <c r="HL99" i="43"/>
  <c r="HK99" i="43" s="1"/>
  <c r="HG99" i="43" s="1"/>
  <c r="HE99" i="43"/>
  <c r="HD99" i="43" s="1"/>
  <c r="GZ99" i="43" s="1"/>
  <c r="AB94" i="45"/>
  <c r="AA94" i="45" s="1"/>
  <c r="DY98" i="43" l="1"/>
  <c r="DZ98" i="43" s="1"/>
  <c r="HI98" i="43"/>
  <c r="GN98" i="43"/>
  <c r="HB98" i="43"/>
  <c r="AO98" i="43"/>
  <c r="GJ99" i="43"/>
  <c r="GM99" i="43" s="1"/>
  <c r="GO99" i="43" s="1"/>
  <c r="BB99" i="43" s="1"/>
  <c r="AC94" i="45"/>
  <c r="GQ100" i="43" l="1"/>
  <c r="GP100" i="43" s="1"/>
  <c r="GL100" i="43" s="1"/>
  <c r="FF98" i="43"/>
  <c r="BD99" i="43"/>
  <c r="GT99" i="43"/>
  <c r="GV99" i="43" s="1"/>
  <c r="BU99" i="43" s="1"/>
  <c r="GX100" i="43" s="1"/>
  <c r="GW100" i="43" s="1"/>
  <c r="GS100" i="43" s="1"/>
  <c r="HH99" i="43"/>
  <c r="HJ99" i="43" s="1"/>
  <c r="DI99" i="43" s="1"/>
  <c r="T95" i="45"/>
  <c r="W95" i="45" s="1"/>
  <c r="Y95" i="45" s="1"/>
  <c r="Z95" i="45" s="1"/>
  <c r="HA99" i="43"/>
  <c r="HC99" i="43" s="1"/>
  <c r="CP99" i="43" s="1"/>
  <c r="BW99" i="43" l="1"/>
  <c r="HL100" i="43"/>
  <c r="HK100" i="43" s="1"/>
  <c r="HG100" i="43" s="1"/>
  <c r="DK99" i="43"/>
  <c r="HE100" i="43"/>
  <c r="HD100" i="43" s="1"/>
  <c r="GZ100" i="43" s="1"/>
  <c r="AB95" i="45"/>
  <c r="AC95" i="45" s="1"/>
  <c r="AN99" i="43"/>
  <c r="CR99" i="43"/>
  <c r="GK99" i="43"/>
  <c r="HB99" i="43" s="1"/>
  <c r="GJ100" i="43" l="1"/>
  <c r="GM100" i="43" s="1"/>
  <c r="GO100" i="43" s="1"/>
  <c r="BB100" i="43" s="1"/>
  <c r="DY99" i="43"/>
  <c r="DZ99" i="43" s="1"/>
  <c r="AO99" i="43"/>
  <c r="GN99" i="43"/>
  <c r="GU99" i="43"/>
  <c r="HI99" i="43"/>
  <c r="AA95" i="45"/>
  <c r="HA100" i="43" l="1"/>
  <c r="HC100" i="43" s="1"/>
  <c r="CP100" i="43" s="1"/>
  <c r="HE101" i="43" s="1"/>
  <c r="HD101" i="43" s="1"/>
  <c r="GZ101" i="43" s="1"/>
  <c r="GQ101" i="43"/>
  <c r="GP101" i="43" s="1"/>
  <c r="GL101" i="43" s="1"/>
  <c r="FF99" i="43"/>
  <c r="GT100" i="43"/>
  <c r="GV100" i="43" s="1"/>
  <c r="BU100" i="43" s="1"/>
  <c r="HH100" i="43"/>
  <c r="HJ100" i="43" s="1"/>
  <c r="DI100" i="43" s="1"/>
  <c r="BD100" i="43"/>
  <c r="T96" i="45"/>
  <c r="W96" i="45" s="1"/>
  <c r="Y96" i="45" s="1"/>
  <c r="Z96" i="45" s="1"/>
  <c r="CR100" i="43" l="1"/>
  <c r="DK100" i="43"/>
  <c r="HL101" i="43"/>
  <c r="HK101" i="43" s="1"/>
  <c r="HG101" i="43" s="1"/>
  <c r="AB96" i="45"/>
  <c r="AA96" i="45" s="1"/>
  <c r="AN100" i="43"/>
  <c r="BW100" i="43"/>
  <c r="GK100" i="43"/>
  <c r="HI100" i="43" s="1"/>
  <c r="GX101" i="43"/>
  <c r="GW101" i="43" s="1"/>
  <c r="GS101" i="43" s="1"/>
  <c r="GJ101" i="43" l="1"/>
  <c r="GM101" i="43" s="1"/>
  <c r="GO101" i="43" s="1"/>
  <c r="BB101" i="43" s="1"/>
  <c r="GQ102" i="43" s="1"/>
  <c r="GP102" i="43" s="1"/>
  <c r="GL102" i="43" s="1"/>
  <c r="GU100" i="43"/>
  <c r="HB100" i="43"/>
  <c r="AO100" i="43"/>
  <c r="T97" i="45" s="1"/>
  <c r="DY100" i="43"/>
  <c r="DZ100" i="43" s="1"/>
  <c r="AC96" i="45"/>
  <c r="GN100" i="43"/>
  <c r="BD101" i="43" l="1"/>
  <c r="HA101" i="43"/>
  <c r="HC101" i="43" s="1"/>
  <c r="CP101" i="43" s="1"/>
  <c r="CR101" i="43" s="1"/>
  <c r="HH101" i="43"/>
  <c r="HJ101" i="43" s="1"/>
  <c r="DI101" i="43" s="1"/>
  <c r="HL102" i="43" s="1"/>
  <c r="HK102" i="43" s="1"/>
  <c r="HG102" i="43" s="1"/>
  <c r="GT101" i="43"/>
  <c r="GV101" i="43" s="1"/>
  <c r="BU101" i="43" s="1"/>
  <c r="BW101" i="43" s="1"/>
  <c r="FF100" i="43"/>
  <c r="W97" i="45"/>
  <c r="Y97" i="45" s="1"/>
  <c r="Z97" i="45" s="1"/>
  <c r="DK101" i="43" l="1"/>
  <c r="HE102" i="43"/>
  <c r="HD102" i="43" s="1"/>
  <c r="GZ102" i="43" s="1"/>
  <c r="AN101" i="43"/>
  <c r="DY101" i="43" s="1"/>
  <c r="DZ101" i="43" s="1"/>
  <c r="GX102" i="43"/>
  <c r="GW102" i="43" s="1"/>
  <c r="GS102" i="43" s="1"/>
  <c r="GK101" i="43"/>
  <c r="GU101" i="43" s="1"/>
  <c r="AB97" i="45"/>
  <c r="AC97" i="45" s="1"/>
  <c r="GJ102" i="43" l="1"/>
  <c r="HA102" i="43" s="1"/>
  <c r="HC102" i="43" s="1"/>
  <c r="CP102" i="43" s="1"/>
  <c r="HE103" i="43" s="1"/>
  <c r="HD103" i="43" s="1"/>
  <c r="GZ103" i="43" s="1"/>
  <c r="HB101" i="43"/>
  <c r="HI101" i="43"/>
  <c r="AO101" i="43"/>
  <c r="FF101" i="43" s="1"/>
  <c r="GN101" i="43"/>
  <c r="AA97" i="45"/>
  <c r="T98" i="45" l="1"/>
  <c r="W98" i="45" s="1"/>
  <c r="Y98" i="45" s="1"/>
  <c r="Z98" i="45" s="1"/>
  <c r="GT102" i="43"/>
  <c r="GV102" i="43" s="1"/>
  <c r="BU102" i="43" s="1"/>
  <c r="GX103" i="43" s="1"/>
  <c r="GW103" i="43" s="1"/>
  <c r="GS103" i="43" s="1"/>
  <c r="GM102" i="43"/>
  <c r="GO102" i="43" s="1"/>
  <c r="BB102" i="43" s="1"/>
  <c r="GQ103" i="43" s="1"/>
  <c r="GP103" i="43" s="1"/>
  <c r="GL103" i="43" s="1"/>
  <c r="HH102" i="43"/>
  <c r="HJ102" i="43" s="1"/>
  <c r="DI102" i="43" s="1"/>
  <c r="DK102" i="43" s="1"/>
  <c r="CR102" i="43"/>
  <c r="BW102" i="43" l="1"/>
  <c r="AB98" i="45"/>
  <c r="AA98" i="45" s="1"/>
  <c r="BD102" i="43"/>
  <c r="AN102" i="43"/>
  <c r="DY102" i="43" s="1"/>
  <c r="DZ102" i="43" s="1"/>
  <c r="GK102" i="43"/>
  <c r="HB102" i="43" s="1"/>
  <c r="HL103" i="43"/>
  <c r="HK103" i="43" s="1"/>
  <c r="HG103" i="43" s="1"/>
  <c r="GJ103" i="43" s="1"/>
  <c r="GM103" i="43" s="1"/>
  <c r="GO103" i="43" s="1"/>
  <c r="BB103" i="43" s="1"/>
  <c r="AC98" i="45" l="1"/>
  <c r="AO102" i="43"/>
  <c r="FF102" i="43" s="1"/>
  <c r="GU102" i="43"/>
  <c r="GN102" i="43"/>
  <c r="HI102" i="43"/>
  <c r="T99" i="45"/>
  <c r="W99" i="45" s="1"/>
  <c r="Y99" i="45" s="1"/>
  <c r="Z99" i="45" s="1"/>
  <c r="BD103" i="43"/>
  <c r="GQ104" i="43"/>
  <c r="GP104" i="43" s="1"/>
  <c r="GL104" i="43" s="1"/>
  <c r="GT103" i="43"/>
  <c r="GV103" i="43" s="1"/>
  <c r="BU103" i="43" s="1"/>
  <c r="HA103" i="43"/>
  <c r="HC103" i="43" s="1"/>
  <c r="CP103" i="43" s="1"/>
  <c r="HH103" i="43"/>
  <c r="HJ103" i="43" s="1"/>
  <c r="DI103" i="43" s="1"/>
  <c r="AB99" i="45" l="1"/>
  <c r="AA99" i="45" s="1"/>
  <c r="BW103" i="43"/>
  <c r="GX104" i="43"/>
  <c r="GW104" i="43" s="1"/>
  <c r="GS104" i="43" s="1"/>
  <c r="CR103" i="43"/>
  <c r="HE104" i="43"/>
  <c r="HD104" i="43" s="1"/>
  <c r="GZ104" i="43" s="1"/>
  <c r="HL104" i="43"/>
  <c r="HK104" i="43" s="1"/>
  <c r="HG104" i="43" s="1"/>
  <c r="GK103" i="43"/>
  <c r="GN103" i="43" s="1"/>
  <c r="AN103" i="43"/>
  <c r="DK103" i="43"/>
  <c r="AC99" i="45" l="1"/>
  <c r="GJ104" i="43"/>
  <c r="HA104" i="43" s="1"/>
  <c r="HC104" i="43" s="1"/>
  <c r="CP104" i="43" s="1"/>
  <c r="HI103" i="43"/>
  <c r="HB103" i="43"/>
  <c r="GU103" i="43"/>
  <c r="AO103" i="43"/>
  <c r="DY103" i="43"/>
  <c r="DZ103" i="43" s="1"/>
  <c r="HE105" i="43" l="1"/>
  <c r="HD105" i="43" s="1"/>
  <c r="GZ105" i="43" s="1"/>
  <c r="GT104" i="43"/>
  <c r="GV104" i="43" s="1"/>
  <c r="BU104" i="43" s="1"/>
  <c r="HH104" i="43"/>
  <c r="HJ104" i="43" s="1"/>
  <c r="DI104" i="43" s="1"/>
  <c r="GM104" i="43"/>
  <c r="GO104" i="43" s="1"/>
  <c r="BB104" i="43" s="1"/>
  <c r="CR104" i="43"/>
  <c r="FF103" i="43"/>
  <c r="T100" i="45"/>
  <c r="DK104" i="43" l="1"/>
  <c r="BD104" i="43"/>
  <c r="BW104" i="43"/>
  <c r="GX105" i="43"/>
  <c r="GW105" i="43" s="1"/>
  <c r="GS105" i="43" s="1"/>
  <c r="GQ105" i="43"/>
  <c r="GP105" i="43" s="1"/>
  <c r="GL105" i="43" s="1"/>
  <c r="AN104" i="43"/>
  <c r="HL105" i="43"/>
  <c r="HK105" i="43" s="1"/>
  <c r="HG105" i="43" s="1"/>
  <c r="GK104" i="43"/>
  <c r="GU104" i="43" s="1"/>
  <c r="W100" i="45"/>
  <c r="Y100" i="45" s="1"/>
  <c r="Z100" i="45" s="1"/>
  <c r="AO104" i="43" l="1"/>
  <c r="DY104" i="43"/>
  <c r="DZ104" i="43" s="1"/>
  <c r="HI104" i="43"/>
  <c r="GJ105" i="43"/>
  <c r="HH105" i="43" s="1"/>
  <c r="HJ105" i="43" s="1"/>
  <c r="DI105" i="43" s="1"/>
  <c r="HB104" i="43"/>
  <c r="GN104" i="43"/>
  <c r="AB100" i="45"/>
  <c r="T101" i="45" l="1"/>
  <c r="W101" i="45" s="1"/>
  <c r="Y101" i="45" s="1"/>
  <c r="Z101" i="45" s="1"/>
  <c r="FF104" i="43"/>
  <c r="HL106" i="43"/>
  <c r="HK106" i="43" s="1"/>
  <c r="HG106" i="43" s="1"/>
  <c r="DK105" i="43"/>
  <c r="HA105" i="43"/>
  <c r="HC105" i="43" s="1"/>
  <c r="CP105" i="43" s="1"/>
  <c r="GM105" i="43"/>
  <c r="GT105" i="43"/>
  <c r="GV105" i="43" s="1"/>
  <c r="BU105" i="43" s="1"/>
  <c r="AA100" i="45"/>
  <c r="AC100" i="45"/>
  <c r="AB101" i="45" l="1"/>
  <c r="AC101" i="45" s="1"/>
  <c r="HE106" i="43"/>
  <c r="HD106" i="43" s="1"/>
  <c r="GZ106" i="43" s="1"/>
  <c r="CR105" i="43"/>
  <c r="GX106" i="43"/>
  <c r="GW106" i="43" s="1"/>
  <c r="GS106" i="43" s="1"/>
  <c r="BW105" i="43"/>
  <c r="GK105" i="43"/>
  <c r="HI105" i="43" s="1"/>
  <c r="GO105" i="43"/>
  <c r="BB105" i="43" s="1"/>
  <c r="AN105" i="43" l="1"/>
  <c r="AA101" i="45"/>
  <c r="GQ106" i="43"/>
  <c r="GP106" i="43" s="1"/>
  <c r="GL106" i="43" s="1"/>
  <c r="GJ106" i="43" s="1"/>
  <c r="GT106" i="43" s="1"/>
  <c r="GV106" i="43" s="1"/>
  <c r="BU106" i="43" s="1"/>
  <c r="BD105" i="43"/>
  <c r="GN105" i="43"/>
  <c r="HB105" i="43"/>
  <c r="GU105" i="43"/>
  <c r="AO105" i="43" l="1"/>
  <c r="GX107" i="43"/>
  <c r="GW107" i="43" s="1"/>
  <c r="GS107" i="43" s="1"/>
  <c r="BW106" i="43"/>
  <c r="DY105" i="43"/>
  <c r="DZ105" i="43" s="1"/>
  <c r="HA106" i="43"/>
  <c r="HC106" i="43" s="1"/>
  <c r="CP106" i="43" s="1"/>
  <c r="HH106" i="43"/>
  <c r="HJ106" i="43" s="1"/>
  <c r="DI106" i="43" s="1"/>
  <c r="GM106" i="43"/>
  <c r="GO106" i="43" s="1"/>
  <c r="BB106" i="43" s="1"/>
  <c r="T102" i="45" l="1"/>
  <c r="W102" i="45" s="1"/>
  <c r="Y102" i="45" s="1"/>
  <c r="Z102" i="45" s="1"/>
  <c r="FF105" i="43"/>
  <c r="BD106" i="43"/>
  <c r="HL107" i="43"/>
  <c r="HK107" i="43" s="1"/>
  <c r="HG107" i="43" s="1"/>
  <c r="DK106" i="43"/>
  <c r="HE107" i="43"/>
  <c r="HD107" i="43" s="1"/>
  <c r="GZ107" i="43" s="1"/>
  <c r="CR106" i="43"/>
  <c r="GK106" i="43"/>
  <c r="GU106" i="43" s="1"/>
  <c r="GQ107" i="43"/>
  <c r="GP107" i="43" s="1"/>
  <c r="GL107" i="43" s="1"/>
  <c r="AN106" i="43"/>
  <c r="GJ107" i="43" l="1"/>
  <c r="HA107" i="43" s="1"/>
  <c r="HC107" i="43" s="1"/>
  <c r="CP107" i="43" s="1"/>
  <c r="HB106" i="43"/>
  <c r="GN106" i="43"/>
  <c r="HI106" i="43"/>
  <c r="AB102" i="45"/>
  <c r="AC102" i="45" s="1"/>
  <c r="AO106" i="43"/>
  <c r="DY106" i="43"/>
  <c r="DZ106" i="43" s="1"/>
  <c r="HE108" i="43" l="1"/>
  <c r="HD108" i="43" s="1"/>
  <c r="GZ108" i="43" s="1"/>
  <c r="CR107" i="43"/>
  <c r="HH107" i="43"/>
  <c r="HJ107" i="43" s="1"/>
  <c r="DI107" i="43" s="1"/>
  <c r="GM107" i="43"/>
  <c r="GO107" i="43" s="1"/>
  <c r="BB107" i="43" s="1"/>
  <c r="GT107" i="43"/>
  <c r="GV107" i="43" s="1"/>
  <c r="BU107" i="43" s="1"/>
  <c r="FF106" i="43"/>
  <c r="T103" i="45"/>
  <c r="AA102" i="45"/>
  <c r="BD107" i="43" l="1"/>
  <c r="HL108" i="43"/>
  <c r="HK108" i="43" s="1"/>
  <c r="HG108" i="43" s="1"/>
  <c r="DK107" i="43"/>
  <c r="GX108" i="43"/>
  <c r="GW108" i="43" s="1"/>
  <c r="GS108" i="43" s="1"/>
  <c r="BW107" i="43"/>
  <c r="GK107" i="43"/>
  <c r="HI107" i="43" s="1"/>
  <c r="W103" i="45"/>
  <c r="Y103" i="45" s="1"/>
  <c r="Z103" i="45" s="1"/>
  <c r="AN107" i="43"/>
  <c r="GQ108" i="43"/>
  <c r="GP108" i="43" s="1"/>
  <c r="GN107" i="43" l="1"/>
  <c r="GU107" i="43"/>
  <c r="AB103" i="45"/>
  <c r="AA103" i="45" s="1"/>
  <c r="HB107" i="43"/>
  <c r="GL108" i="43"/>
  <c r="GJ108" i="43" s="1"/>
  <c r="GM108" i="43" s="1"/>
  <c r="AO107" i="43"/>
  <c r="DY107" i="43"/>
  <c r="DZ107" i="43" s="1"/>
  <c r="AC103" i="45" l="1"/>
  <c r="FF107" i="43"/>
  <c r="T104" i="45"/>
  <c r="W104" i="45" s="1"/>
  <c r="GO108" i="43"/>
  <c r="BB108" i="43" s="1"/>
  <c r="GT108" i="43"/>
  <c r="GV108" i="43" s="1"/>
  <c r="BU108" i="43" s="1"/>
  <c r="HH108" i="43"/>
  <c r="HJ108" i="43" s="1"/>
  <c r="DI108" i="43" s="1"/>
  <c r="HA108" i="43"/>
  <c r="HC108" i="43" s="1"/>
  <c r="CP108" i="43" s="1"/>
  <c r="BD108" i="43" l="1"/>
  <c r="HL109" i="43"/>
  <c r="HK109" i="43" s="1"/>
  <c r="HG109" i="43" s="1"/>
  <c r="DK108" i="43"/>
  <c r="HE109" i="43"/>
  <c r="HD109" i="43" s="1"/>
  <c r="GZ109" i="43" s="1"/>
  <c r="CR108" i="43"/>
  <c r="GX109" i="43"/>
  <c r="GW109" i="43" s="1"/>
  <c r="GS109" i="43" s="1"/>
  <c r="BW108" i="43"/>
  <c r="AB104" i="45"/>
  <c r="Y104" i="45"/>
  <c r="Z104" i="45" s="1"/>
  <c r="GQ109" i="43"/>
  <c r="GP109" i="43" s="1"/>
  <c r="GL109" i="43" s="1"/>
  <c r="AN108" i="43"/>
  <c r="GK108" i="43"/>
  <c r="AC104" i="45" l="1"/>
  <c r="AA104" i="45"/>
  <c r="GJ109" i="43"/>
  <c r="GM109" i="43" s="1"/>
  <c r="GO109" i="43" s="1"/>
  <c r="BB109" i="43" s="1"/>
  <c r="HB108" i="43"/>
  <c r="HI108" i="43"/>
  <c r="GN108" i="43"/>
  <c r="GU108" i="43"/>
  <c r="DY108" i="43"/>
  <c r="DZ108" i="43" s="1"/>
  <c r="AO108" i="43"/>
  <c r="BD109" i="43" l="1"/>
  <c r="FF108" i="43"/>
  <c r="T105" i="45"/>
  <c r="W105" i="45" s="1"/>
  <c r="HH109" i="43"/>
  <c r="HJ109" i="43" s="1"/>
  <c r="DI109" i="43" s="1"/>
  <c r="GT109" i="43"/>
  <c r="GV109" i="43" s="1"/>
  <c r="BU109" i="43" s="1"/>
  <c r="HA109" i="43"/>
  <c r="HC109" i="43" s="1"/>
  <c r="CP109" i="43" s="1"/>
  <c r="GQ110" i="43"/>
  <c r="GP110" i="43" s="1"/>
  <c r="GX110" i="43" l="1"/>
  <c r="GW110" i="43" s="1"/>
  <c r="GS110" i="43" s="1"/>
  <c r="BW109" i="43"/>
  <c r="HL110" i="43"/>
  <c r="HK110" i="43" s="1"/>
  <c r="HG110" i="43" s="1"/>
  <c r="DK109" i="43"/>
  <c r="HE110" i="43"/>
  <c r="HD110" i="43" s="1"/>
  <c r="GZ110" i="43" s="1"/>
  <c r="CR109" i="43"/>
  <c r="AB105" i="45"/>
  <c r="Y105" i="45"/>
  <c r="Z105" i="45" s="1"/>
  <c r="AN109" i="43"/>
  <c r="GK109" i="43"/>
  <c r="GN109" i="43" s="1"/>
  <c r="GL110" i="43"/>
  <c r="GJ110" i="43" l="1"/>
  <c r="GM110" i="43" s="1"/>
  <c r="GO110" i="43" s="1"/>
  <c r="BB110" i="43" s="1"/>
  <c r="AO109" i="43"/>
  <c r="AC105" i="45"/>
  <c r="AA105" i="45"/>
  <c r="DY109" i="43"/>
  <c r="DZ109" i="43" s="1"/>
  <c r="HB109" i="43"/>
  <c r="HI109" i="43"/>
  <c r="GU109" i="43"/>
  <c r="T106" i="45" l="1"/>
  <c r="W106" i="45" s="1"/>
  <c r="Y106" i="45" s="1"/>
  <c r="Z106" i="45" s="1"/>
  <c r="HH110" i="43"/>
  <c r="HJ110" i="43" s="1"/>
  <c r="DI110" i="43" s="1"/>
  <c r="GT110" i="43"/>
  <c r="GV110" i="43" s="1"/>
  <c r="BU110" i="43" s="1"/>
  <c r="HA110" i="43"/>
  <c r="HC110" i="43" s="1"/>
  <c r="CP110" i="43" s="1"/>
  <c r="BD110" i="43"/>
  <c r="FF109" i="43"/>
  <c r="GQ111" i="43"/>
  <c r="GP111" i="43" s="1"/>
  <c r="GL111" i="43" s="1"/>
  <c r="AB106" i="45" l="1"/>
  <c r="AA106" i="45" s="1"/>
  <c r="BW110" i="43"/>
  <c r="HL111" i="43"/>
  <c r="HK111" i="43" s="1"/>
  <c r="HG111" i="43" s="1"/>
  <c r="DK110" i="43"/>
  <c r="AN110" i="43"/>
  <c r="GX111" i="43"/>
  <c r="GW111" i="43" s="1"/>
  <c r="GS111" i="43" s="1"/>
  <c r="CR110" i="43"/>
  <c r="GK110" i="43"/>
  <c r="GN110" i="43" s="1"/>
  <c r="HE111" i="43"/>
  <c r="HD111" i="43" s="1"/>
  <c r="GZ111" i="43" s="1"/>
  <c r="AC106" i="45" l="1"/>
  <c r="HI110" i="43"/>
  <c r="GU110" i="43"/>
  <c r="DY110" i="43"/>
  <c r="DZ110" i="43" s="1"/>
  <c r="HB110" i="43"/>
  <c r="AO110" i="43"/>
  <c r="GJ111" i="43"/>
  <c r="GT111" i="43" s="1"/>
  <c r="GV111" i="43" s="1"/>
  <c r="BU111" i="43" s="1"/>
  <c r="T107" i="45" l="1"/>
  <c r="W107" i="45" s="1"/>
  <c r="Y107" i="45" s="1"/>
  <c r="Z107" i="45" s="1"/>
  <c r="FF110" i="43"/>
  <c r="GX112" i="43"/>
  <c r="GW112" i="43" s="1"/>
  <c r="GS112" i="43" s="1"/>
  <c r="BW111" i="43"/>
  <c r="HA111" i="43"/>
  <c r="HC111" i="43" s="1"/>
  <c r="CP111" i="43" s="1"/>
  <c r="GM111" i="43"/>
  <c r="GO111" i="43" s="1"/>
  <c r="BB111" i="43" s="1"/>
  <c r="HH111" i="43"/>
  <c r="HJ111" i="43" s="1"/>
  <c r="DI111" i="43" s="1"/>
  <c r="AB107" i="45" l="1"/>
  <c r="AA107" i="45" s="1"/>
  <c r="BD111" i="43"/>
  <c r="HL112" i="43"/>
  <c r="HK112" i="43" s="1"/>
  <c r="HG112" i="43" s="1"/>
  <c r="DK111" i="43"/>
  <c r="HE112" i="43"/>
  <c r="HD112" i="43" s="1"/>
  <c r="GZ112" i="43" s="1"/>
  <c r="CR111" i="43"/>
  <c r="GK111" i="43"/>
  <c r="GU111" i="43" s="1"/>
  <c r="GQ112" i="43"/>
  <c r="GP112" i="43" s="1"/>
  <c r="AN111" i="43"/>
  <c r="AC107" i="45" l="1"/>
  <c r="HI111" i="43"/>
  <c r="GN111" i="43"/>
  <c r="HB111" i="43"/>
  <c r="AO111" i="43"/>
  <c r="DY111" i="43"/>
  <c r="DZ111" i="43" s="1"/>
  <c r="GL112" i="43"/>
  <c r="GJ112" i="43" s="1"/>
  <c r="FF111" i="43" l="1"/>
  <c r="T108" i="45"/>
  <c r="W108" i="45" s="1"/>
  <c r="GT112" i="43"/>
  <c r="GV112" i="43" s="1"/>
  <c r="BU112" i="43" s="1"/>
  <c r="HH112" i="43"/>
  <c r="HJ112" i="43" s="1"/>
  <c r="DI112" i="43" s="1"/>
  <c r="HA112" i="43"/>
  <c r="HC112" i="43" s="1"/>
  <c r="CP112" i="43" s="1"/>
  <c r="GM112" i="43"/>
  <c r="GX113" i="43" l="1"/>
  <c r="GW113" i="43" s="1"/>
  <c r="GS113" i="43" s="1"/>
  <c r="BW112" i="43"/>
  <c r="HE113" i="43"/>
  <c r="HD113" i="43" s="1"/>
  <c r="GZ113" i="43" s="1"/>
  <c r="CR112" i="43"/>
  <c r="AB108" i="45"/>
  <c r="Y108" i="45"/>
  <c r="Z108" i="45" s="1"/>
  <c r="GO112" i="43"/>
  <c r="BB112" i="43" s="1"/>
  <c r="GK112" i="43"/>
  <c r="DK112" i="43"/>
  <c r="HL113" i="43"/>
  <c r="HK113" i="43" s="1"/>
  <c r="BD112" i="43" l="1"/>
  <c r="AA108" i="45"/>
  <c r="AC108" i="45"/>
  <c r="HG113" i="43"/>
  <c r="HI112" i="43"/>
  <c r="GU112" i="43"/>
  <c r="GN112" i="43"/>
  <c r="HB112" i="43"/>
  <c r="GQ113" i="43"/>
  <c r="GP113" i="43" s="1"/>
  <c r="AN112" i="43"/>
  <c r="DY112" i="43" l="1"/>
  <c r="DZ112" i="43" s="1"/>
  <c r="AO112" i="43"/>
  <c r="GL113" i="43"/>
  <c r="GJ113" i="43" s="1"/>
  <c r="FF112" i="43" l="1"/>
  <c r="T109" i="45"/>
  <c r="HA113" i="43"/>
  <c r="HC113" i="43" s="1"/>
  <c r="CP113" i="43" s="1"/>
  <c r="GT113" i="43"/>
  <c r="GV113" i="43" s="1"/>
  <c r="BU113" i="43" s="1"/>
  <c r="HH113" i="43"/>
  <c r="HJ113" i="43" s="1"/>
  <c r="DI113" i="43" s="1"/>
  <c r="GM113" i="43"/>
  <c r="GX114" i="43" l="1"/>
  <c r="GW114" i="43" s="1"/>
  <c r="GS114" i="43" s="1"/>
  <c r="BW113" i="43"/>
  <c r="HE114" i="43"/>
  <c r="HD114" i="43" s="1"/>
  <c r="GZ114" i="43" s="1"/>
  <c r="CR113" i="43"/>
  <c r="HL114" i="43"/>
  <c r="HK114" i="43" s="1"/>
  <c r="HG114" i="43" s="1"/>
  <c r="DK113" i="43"/>
  <c r="W109" i="45"/>
  <c r="Y109" i="45" s="1"/>
  <c r="Z109" i="45" s="1"/>
  <c r="GK113" i="43"/>
  <c r="GO113" i="43"/>
  <c r="BB113" i="43" s="1"/>
  <c r="BD113" i="43" l="1"/>
  <c r="AB109" i="45"/>
  <c r="AA109" i="45" s="1"/>
  <c r="GQ114" i="43"/>
  <c r="GP114" i="43" s="1"/>
  <c r="AN113" i="43"/>
  <c r="HI113" i="43"/>
  <c r="GN113" i="43"/>
  <c r="GU113" i="43"/>
  <c r="HB113" i="43"/>
  <c r="AC109" i="45" l="1"/>
  <c r="AO113" i="43"/>
  <c r="DY113" i="43"/>
  <c r="DZ113" i="43" s="1"/>
  <c r="GL114" i="43"/>
  <c r="GJ114" i="43" s="1"/>
  <c r="FF113" i="43" l="1"/>
  <c r="T110" i="45"/>
  <c r="W110" i="45" s="1"/>
  <c r="HH114" i="43"/>
  <c r="HJ114" i="43" s="1"/>
  <c r="DI114" i="43" s="1"/>
  <c r="GT114" i="43"/>
  <c r="GV114" i="43" s="1"/>
  <c r="BU114" i="43" s="1"/>
  <c r="HA114" i="43"/>
  <c r="HC114" i="43" s="1"/>
  <c r="CP114" i="43" s="1"/>
  <c r="GM114" i="43"/>
  <c r="GX115" i="43" l="1"/>
  <c r="GW115" i="43" s="1"/>
  <c r="GS115" i="43" s="1"/>
  <c r="BW114" i="43"/>
  <c r="HL115" i="43"/>
  <c r="HK115" i="43" s="1"/>
  <c r="HG115" i="43" s="1"/>
  <c r="DK114" i="43"/>
  <c r="HE115" i="43"/>
  <c r="HD115" i="43" s="1"/>
  <c r="GZ115" i="43" s="1"/>
  <c r="CR114" i="43"/>
  <c r="AB110" i="45"/>
  <c r="Y110" i="45"/>
  <c r="Z110" i="45" s="1"/>
  <c r="GK114" i="43"/>
  <c r="GO114" i="43"/>
  <c r="BB114" i="43" s="1"/>
  <c r="BD114" i="43" l="1"/>
  <c r="AC110" i="45"/>
  <c r="AA110" i="45"/>
  <c r="AN114" i="43"/>
  <c r="GQ115" i="43"/>
  <c r="GP115" i="43" s="1"/>
  <c r="HI114" i="43"/>
  <c r="GN114" i="43"/>
  <c r="HB114" i="43"/>
  <c r="GU114" i="43"/>
  <c r="GL115" i="43" l="1"/>
  <c r="GJ115" i="43" s="1"/>
  <c r="GM115" i="43" s="1"/>
  <c r="AO114" i="43"/>
  <c r="DY114" i="43"/>
  <c r="DZ114" i="43" s="1"/>
  <c r="FF114" i="43" l="1"/>
  <c r="T111" i="45"/>
  <c r="W111" i="45" s="1"/>
  <c r="GO115" i="43"/>
  <c r="BB115" i="43" s="1"/>
  <c r="HA115" i="43"/>
  <c r="HC115" i="43" s="1"/>
  <c r="CP115" i="43" s="1"/>
  <c r="GT115" i="43"/>
  <c r="GV115" i="43" s="1"/>
  <c r="BU115" i="43" s="1"/>
  <c r="HH115" i="43"/>
  <c r="HJ115" i="43" s="1"/>
  <c r="DI115" i="43" s="1"/>
  <c r="BD115" i="43" l="1"/>
  <c r="HE116" i="43"/>
  <c r="HD116" i="43" s="1"/>
  <c r="GZ116" i="43" s="1"/>
  <c r="CR115" i="43"/>
  <c r="HL116" i="43"/>
  <c r="HK116" i="43" s="1"/>
  <c r="HG116" i="43" s="1"/>
  <c r="DK115" i="43"/>
  <c r="GX116" i="43"/>
  <c r="GW116" i="43" s="1"/>
  <c r="GS116" i="43" s="1"/>
  <c r="BW115" i="43"/>
  <c r="AB111" i="45"/>
  <c r="Y111" i="45"/>
  <c r="Z111" i="45" s="1"/>
  <c r="GQ116" i="43"/>
  <c r="GP116" i="43" s="1"/>
  <c r="GL116" i="43" s="1"/>
  <c r="AN115" i="43"/>
  <c r="GK115" i="43"/>
  <c r="AA111" i="45" l="1"/>
  <c r="AC111" i="45"/>
  <c r="GJ116" i="43"/>
  <c r="GM116" i="43" s="1"/>
  <c r="GO116" i="43" s="1"/>
  <c r="BB116" i="43" s="1"/>
  <c r="GU115" i="43"/>
  <c r="GN115" i="43"/>
  <c r="HI115" i="43"/>
  <c r="HB115" i="43"/>
  <c r="DY115" i="43"/>
  <c r="DZ115" i="43" s="1"/>
  <c r="AO115" i="43"/>
  <c r="BD116" i="43" l="1"/>
  <c r="FF115" i="43"/>
  <c r="T112" i="45"/>
  <c r="GT116" i="43"/>
  <c r="GV116" i="43" s="1"/>
  <c r="BU116" i="43" s="1"/>
  <c r="HA116" i="43"/>
  <c r="HC116" i="43" s="1"/>
  <c r="CP116" i="43" s="1"/>
  <c r="HH116" i="43"/>
  <c r="HJ116" i="43" s="1"/>
  <c r="DI116" i="43" s="1"/>
  <c r="GQ117" i="43"/>
  <c r="GP117" i="43" s="1"/>
  <c r="HE117" i="43" l="1"/>
  <c r="HD117" i="43" s="1"/>
  <c r="GZ117" i="43" s="1"/>
  <c r="CR116" i="43"/>
  <c r="GX117" i="43"/>
  <c r="GW117" i="43" s="1"/>
  <c r="GS117" i="43" s="1"/>
  <c r="BW116" i="43"/>
  <c r="HL117" i="43"/>
  <c r="HK117" i="43" s="1"/>
  <c r="HG117" i="43" s="1"/>
  <c r="DK116" i="43"/>
  <c r="W112" i="45"/>
  <c r="Y112" i="45" s="1"/>
  <c r="Z112" i="45" s="1"/>
  <c r="AN116" i="43"/>
  <c r="GK116" i="43"/>
  <c r="GU116" i="43" s="1"/>
  <c r="GL117" i="43"/>
  <c r="AO116" i="43" l="1"/>
  <c r="GJ117" i="43"/>
  <c r="GM117" i="43" s="1"/>
  <c r="GO117" i="43" s="1"/>
  <c r="BB117" i="43" s="1"/>
  <c r="AB112" i="45"/>
  <c r="AC112" i="45" s="1"/>
  <c r="DY116" i="43"/>
  <c r="DZ116" i="43" s="1"/>
  <c r="GN116" i="43"/>
  <c r="HI116" i="43"/>
  <c r="HB116" i="43"/>
  <c r="T113" i="45" l="1"/>
  <c r="W113" i="45" s="1"/>
  <c r="Y113" i="45" s="1"/>
  <c r="Z113" i="45" s="1"/>
  <c r="FF116" i="43"/>
  <c r="BD117" i="43"/>
  <c r="HH117" i="43"/>
  <c r="HJ117" i="43" s="1"/>
  <c r="DI117" i="43" s="1"/>
  <c r="HA117" i="43"/>
  <c r="HC117" i="43" s="1"/>
  <c r="CP117" i="43" s="1"/>
  <c r="GT117" i="43"/>
  <c r="GV117" i="43" s="1"/>
  <c r="BU117" i="43" s="1"/>
  <c r="AA112" i="45"/>
  <c r="GQ118" i="43"/>
  <c r="GP118" i="43" s="1"/>
  <c r="GL118" i="43" s="1"/>
  <c r="HE118" i="43" l="1"/>
  <c r="HD118" i="43" s="1"/>
  <c r="GZ118" i="43" s="1"/>
  <c r="CR117" i="43"/>
  <c r="BW117" i="43"/>
  <c r="GX118" i="43"/>
  <c r="GW118" i="43" s="1"/>
  <c r="GS118" i="43" s="1"/>
  <c r="HL118" i="43"/>
  <c r="HK118" i="43" s="1"/>
  <c r="HG118" i="43" s="1"/>
  <c r="DK117" i="43"/>
  <c r="AB113" i="45"/>
  <c r="AC113" i="45" s="1"/>
  <c r="GK117" i="43"/>
  <c r="HI117" i="43" s="1"/>
  <c r="AN117" i="43"/>
  <c r="DY117" i="43" l="1"/>
  <c r="DZ117" i="43" s="1"/>
  <c r="GU117" i="43"/>
  <c r="AA113" i="45"/>
  <c r="AO117" i="43"/>
  <c r="GN117" i="43"/>
  <c r="HB117" i="43"/>
  <c r="GJ118" i="43"/>
  <c r="GT118" i="43" s="1"/>
  <c r="GV118" i="43" s="1"/>
  <c r="BU118" i="43" s="1"/>
  <c r="GX119" i="43" l="1"/>
  <c r="GW119" i="43" s="1"/>
  <c r="GS119" i="43" s="1"/>
  <c r="BW118" i="43"/>
  <c r="FF117" i="43"/>
  <c r="T114" i="45"/>
  <c r="W114" i="45" s="1"/>
  <c r="HA118" i="43"/>
  <c r="HC118" i="43" s="1"/>
  <c r="CP118" i="43" s="1"/>
  <c r="HH118" i="43"/>
  <c r="HJ118" i="43" s="1"/>
  <c r="DI118" i="43" s="1"/>
  <c r="GM118" i="43"/>
  <c r="GO118" i="43" s="1"/>
  <c r="BB118" i="43" s="1"/>
  <c r="BD118" i="43" l="1"/>
  <c r="HE119" i="43"/>
  <c r="HD119" i="43" s="1"/>
  <c r="GZ119" i="43" s="1"/>
  <c r="CR118" i="43"/>
  <c r="HL119" i="43"/>
  <c r="HK119" i="43" s="1"/>
  <c r="HG119" i="43" s="1"/>
  <c r="DK118" i="43"/>
  <c r="AB114" i="45"/>
  <c r="Y114" i="45"/>
  <c r="Z114" i="45" s="1"/>
  <c r="GK118" i="43"/>
  <c r="HB118" i="43" s="1"/>
  <c r="AN118" i="43"/>
  <c r="GQ119" i="43"/>
  <c r="GP119" i="43" s="1"/>
  <c r="AA114" i="45" l="1"/>
  <c r="AC114" i="45"/>
  <c r="GU118" i="43"/>
  <c r="HI118" i="43"/>
  <c r="GN118" i="43"/>
  <c r="GL119" i="43"/>
  <c r="GJ119" i="43" s="1"/>
  <c r="GM119" i="43" s="1"/>
  <c r="DY118" i="43"/>
  <c r="DZ118" i="43" s="1"/>
  <c r="AO118" i="43"/>
  <c r="FF118" i="43" l="1"/>
  <c r="T115" i="45"/>
  <c r="W115" i="45" s="1"/>
  <c r="GO119" i="43"/>
  <c r="BB119" i="43" s="1"/>
  <c r="GT119" i="43"/>
  <c r="GV119" i="43" s="1"/>
  <c r="BU119" i="43" s="1"/>
  <c r="HA119" i="43"/>
  <c r="HC119" i="43" s="1"/>
  <c r="CP119" i="43" s="1"/>
  <c r="HH119" i="43"/>
  <c r="HJ119" i="43" s="1"/>
  <c r="DI119" i="43" s="1"/>
  <c r="BD119" i="43" l="1"/>
  <c r="GX120" i="43"/>
  <c r="GW120" i="43" s="1"/>
  <c r="GS120" i="43" s="1"/>
  <c r="BW119" i="43"/>
  <c r="HL120" i="43"/>
  <c r="HK120" i="43" s="1"/>
  <c r="HG120" i="43" s="1"/>
  <c r="DK119" i="43"/>
  <c r="HE120" i="43"/>
  <c r="HD120" i="43" s="1"/>
  <c r="GZ120" i="43" s="1"/>
  <c r="CR119" i="43"/>
  <c r="AB115" i="45"/>
  <c r="Y115" i="45"/>
  <c r="Z115" i="45" s="1"/>
  <c r="GQ120" i="43"/>
  <c r="GP120" i="43" s="1"/>
  <c r="GL120" i="43" s="1"/>
  <c r="AN119" i="43"/>
  <c r="GK119" i="43"/>
  <c r="AC115" i="45" l="1"/>
  <c r="AA115" i="45"/>
  <c r="GJ120" i="43"/>
  <c r="GM120" i="43" s="1"/>
  <c r="GO120" i="43" s="1"/>
  <c r="BB120" i="43" s="1"/>
  <c r="HI119" i="43"/>
  <c r="GU119" i="43"/>
  <c r="HB119" i="43"/>
  <c r="GN119" i="43"/>
  <c r="AO119" i="43"/>
  <c r="DY119" i="43"/>
  <c r="DZ119" i="43" s="1"/>
  <c r="BD120" i="43" l="1"/>
  <c r="FF119" i="43"/>
  <c r="T116" i="45"/>
  <c r="W116" i="45" s="1"/>
  <c r="HA120" i="43"/>
  <c r="HC120" i="43" s="1"/>
  <c r="CP120" i="43" s="1"/>
  <c r="GT120" i="43"/>
  <c r="GV120" i="43" s="1"/>
  <c r="BU120" i="43" s="1"/>
  <c r="HH120" i="43"/>
  <c r="HJ120" i="43" s="1"/>
  <c r="DI120" i="43" s="1"/>
  <c r="GQ121" i="43"/>
  <c r="GP121" i="43" s="1"/>
  <c r="GX121" i="43" l="1"/>
  <c r="GW121" i="43" s="1"/>
  <c r="GS121" i="43" s="1"/>
  <c r="BW120" i="43"/>
  <c r="HE121" i="43"/>
  <c r="HD121" i="43" s="1"/>
  <c r="GZ121" i="43" s="1"/>
  <c r="CR120" i="43"/>
  <c r="HL121" i="43"/>
  <c r="HK121" i="43" s="1"/>
  <c r="HG121" i="43" s="1"/>
  <c r="DK120" i="43"/>
  <c r="AB116" i="45"/>
  <c r="Y116" i="45"/>
  <c r="Z116" i="45" s="1"/>
  <c r="AN120" i="43"/>
  <c r="GK120" i="43"/>
  <c r="GN120" i="43" s="1"/>
  <c r="GL121" i="43"/>
  <c r="DY120" i="43" l="1"/>
  <c r="DZ120" i="43" s="1"/>
  <c r="GJ121" i="43"/>
  <c r="GM121" i="43" s="1"/>
  <c r="GO121" i="43" s="1"/>
  <c r="BB121" i="43" s="1"/>
  <c r="AA116" i="45"/>
  <c r="AC116" i="45"/>
  <c r="AO120" i="43"/>
  <c r="GU120" i="43"/>
  <c r="HI120" i="43"/>
  <c r="HB120" i="43"/>
  <c r="BD121" i="43" l="1"/>
  <c r="GT121" i="43"/>
  <c r="GV121" i="43" s="1"/>
  <c r="BU121" i="43" s="1"/>
  <c r="HA121" i="43"/>
  <c r="HC121" i="43" s="1"/>
  <c r="CP121" i="43" s="1"/>
  <c r="HH121" i="43"/>
  <c r="HJ121" i="43" s="1"/>
  <c r="DI121" i="43" s="1"/>
  <c r="FF120" i="43"/>
  <c r="T117" i="45"/>
  <c r="GQ122" i="43"/>
  <c r="GP122" i="43" s="1"/>
  <c r="GX122" i="43" l="1"/>
  <c r="GW122" i="43" s="1"/>
  <c r="GS122" i="43" s="1"/>
  <c r="BW121" i="43"/>
  <c r="HL122" i="43"/>
  <c r="HK122" i="43" s="1"/>
  <c r="HG122" i="43" s="1"/>
  <c r="DK121" i="43"/>
  <c r="HE122" i="43"/>
  <c r="HD122" i="43" s="1"/>
  <c r="GZ122" i="43" s="1"/>
  <c r="CR121" i="43"/>
  <c r="GK121" i="43"/>
  <c r="GN121" i="43" s="1"/>
  <c r="AN121" i="43"/>
  <c r="W117" i="45"/>
  <c r="Y117" i="45" s="1"/>
  <c r="Z117" i="45" s="1"/>
  <c r="GL122" i="43"/>
  <c r="DY121" i="43" l="1"/>
  <c r="DZ121" i="43" s="1"/>
  <c r="AO121" i="43"/>
  <c r="HI121" i="43"/>
  <c r="GJ122" i="43"/>
  <c r="GM122" i="43" s="1"/>
  <c r="GO122" i="43" s="1"/>
  <c r="BB122" i="43" s="1"/>
  <c r="AB117" i="45"/>
  <c r="AA117" i="45" s="1"/>
  <c r="HB121" i="43"/>
  <c r="GU121" i="43"/>
  <c r="BD122" i="43" l="1"/>
  <c r="FF121" i="43"/>
  <c r="T118" i="45"/>
  <c r="W118" i="45" s="1"/>
  <c r="Y118" i="45" s="1"/>
  <c r="Z118" i="45" s="1"/>
  <c r="GT122" i="43"/>
  <c r="GV122" i="43" s="1"/>
  <c r="BU122" i="43" s="1"/>
  <c r="HA122" i="43"/>
  <c r="HC122" i="43" s="1"/>
  <c r="CP122" i="43" s="1"/>
  <c r="HH122" i="43"/>
  <c r="HJ122" i="43" s="1"/>
  <c r="DI122" i="43" s="1"/>
  <c r="AC117" i="45"/>
  <c r="GQ123" i="43"/>
  <c r="GP123" i="43" s="1"/>
  <c r="GX123" i="43" l="1"/>
  <c r="GW123" i="43" s="1"/>
  <c r="GS123" i="43" s="1"/>
  <c r="BW122" i="43"/>
  <c r="HL123" i="43"/>
  <c r="HK123" i="43" s="1"/>
  <c r="HG123" i="43" s="1"/>
  <c r="DK122" i="43"/>
  <c r="HE123" i="43"/>
  <c r="HD123" i="43" s="1"/>
  <c r="GZ123" i="43" s="1"/>
  <c r="CR122" i="43"/>
  <c r="GK122" i="43"/>
  <c r="GU122" i="43" s="1"/>
  <c r="AN122" i="43"/>
  <c r="AB118" i="45"/>
  <c r="GL123" i="43"/>
  <c r="AO122" i="43" l="1"/>
  <c r="GJ123" i="43"/>
  <c r="GM123" i="43" s="1"/>
  <c r="GO123" i="43" s="1"/>
  <c r="BB123" i="43" s="1"/>
  <c r="DY122" i="43"/>
  <c r="DZ122" i="43" s="1"/>
  <c r="HB122" i="43"/>
  <c r="GN122" i="43"/>
  <c r="HI122" i="43"/>
  <c r="AC118" i="45"/>
  <c r="AA118" i="45"/>
  <c r="T119" i="45" l="1"/>
  <c r="W119" i="45" s="1"/>
  <c r="Y119" i="45" s="1"/>
  <c r="Z119" i="45" s="1"/>
  <c r="BD123" i="43"/>
  <c r="FF122" i="43"/>
  <c r="HH123" i="43"/>
  <c r="HJ123" i="43" s="1"/>
  <c r="DI123" i="43" s="1"/>
  <c r="GT123" i="43"/>
  <c r="GV123" i="43" s="1"/>
  <c r="BU123" i="43" s="1"/>
  <c r="HA123" i="43"/>
  <c r="HC123" i="43" s="1"/>
  <c r="CP123" i="43" s="1"/>
  <c r="GQ124" i="43"/>
  <c r="GP124" i="43" s="1"/>
  <c r="GL124" i="43" s="1"/>
  <c r="HE124" i="43" l="1"/>
  <c r="HD124" i="43" s="1"/>
  <c r="GZ124" i="43" s="1"/>
  <c r="CR123" i="43"/>
  <c r="GX124" i="43"/>
  <c r="GW124" i="43" s="1"/>
  <c r="GS124" i="43" s="1"/>
  <c r="BW123" i="43"/>
  <c r="HL124" i="43"/>
  <c r="HK124" i="43" s="1"/>
  <c r="HG124" i="43" s="1"/>
  <c r="DK123" i="43"/>
  <c r="AN123" i="43"/>
  <c r="GK123" i="43"/>
  <c r="HB123" i="43" s="1"/>
  <c r="AB119" i="45"/>
  <c r="AC119" i="45" s="1"/>
  <c r="GJ124" i="43" l="1"/>
  <c r="GM124" i="43" s="1"/>
  <c r="GO124" i="43" s="1"/>
  <c r="BB124" i="43" s="1"/>
  <c r="AO123" i="43"/>
  <c r="DY123" i="43"/>
  <c r="DZ123" i="43" s="1"/>
  <c r="HI123" i="43"/>
  <c r="GN123" i="43"/>
  <c r="GU123" i="43"/>
  <c r="AA119" i="45"/>
  <c r="FF123" i="43" l="1"/>
  <c r="BD124" i="43"/>
  <c r="HH124" i="43"/>
  <c r="HJ124" i="43" s="1"/>
  <c r="DI124" i="43" s="1"/>
  <c r="HA124" i="43"/>
  <c r="HC124" i="43" s="1"/>
  <c r="CP124" i="43" s="1"/>
  <c r="GQ125" i="43"/>
  <c r="GP125" i="43" s="1"/>
  <c r="GL125" i="43" s="1"/>
  <c r="GT124" i="43"/>
  <c r="GV124" i="43" s="1"/>
  <c r="BU124" i="43" s="1"/>
  <c r="T120" i="45"/>
  <c r="W120" i="45" s="1"/>
  <c r="Y120" i="45" s="1"/>
  <c r="Z120" i="45" s="1"/>
  <c r="HL125" i="43" l="1"/>
  <c r="HK125" i="43" s="1"/>
  <c r="HG125" i="43" s="1"/>
  <c r="HE125" i="43"/>
  <c r="HD125" i="43" s="1"/>
  <c r="GZ125" i="43" s="1"/>
  <c r="BW124" i="43"/>
  <c r="DK124" i="43"/>
  <c r="AB120" i="45"/>
  <c r="AA120" i="45" s="1"/>
  <c r="GK124" i="43"/>
  <c r="HI124" i="43" s="1"/>
  <c r="GX125" i="43"/>
  <c r="GW125" i="43" s="1"/>
  <c r="GS125" i="43" s="1"/>
  <c r="AN124" i="43"/>
  <c r="CR124" i="43"/>
  <c r="GJ125" i="43" l="1"/>
  <c r="HH125" i="43" s="1"/>
  <c r="HJ125" i="43" s="1"/>
  <c r="DI125" i="43" s="1"/>
  <c r="HB124" i="43"/>
  <c r="GN124" i="43"/>
  <c r="DY124" i="43"/>
  <c r="DZ124" i="43" s="1"/>
  <c r="AC120" i="45"/>
  <c r="AO124" i="43"/>
  <c r="GU124" i="43"/>
  <c r="GM125" i="43" l="1"/>
  <c r="GO125" i="43" s="1"/>
  <c r="BB125" i="43" s="1"/>
  <c r="HA125" i="43"/>
  <c r="HC125" i="43" s="1"/>
  <c r="CP125" i="43" s="1"/>
  <c r="CR125" i="43" s="1"/>
  <c r="GT125" i="43"/>
  <c r="GV125" i="43" s="1"/>
  <c r="BU125" i="43" s="1"/>
  <c r="FF124" i="43"/>
  <c r="T121" i="45"/>
  <c r="W121" i="45" s="1"/>
  <c r="Y121" i="45" s="1"/>
  <c r="Z121" i="45" s="1"/>
  <c r="HL126" i="43"/>
  <c r="HK126" i="43" s="1"/>
  <c r="HG126" i="43" s="1"/>
  <c r="DK125" i="43"/>
  <c r="GQ126" i="43" l="1"/>
  <c r="GP126" i="43" s="1"/>
  <c r="GL126" i="43" s="1"/>
  <c r="HE126" i="43"/>
  <c r="HD126" i="43" s="1"/>
  <c r="GZ126" i="43" s="1"/>
  <c r="AN125" i="43"/>
  <c r="BD125" i="43"/>
  <c r="GX126" i="43"/>
  <c r="GW126" i="43" s="1"/>
  <c r="GS126" i="43" s="1"/>
  <c r="BW125" i="43"/>
  <c r="GK125" i="43"/>
  <c r="HI125" i="43" s="1"/>
  <c r="AB121" i="45"/>
  <c r="AC121" i="45" s="1"/>
  <c r="GJ126" i="43" l="1"/>
  <c r="GM126" i="43" s="1"/>
  <c r="GO126" i="43" s="1"/>
  <c r="BB126" i="43" s="1"/>
  <c r="DY125" i="43"/>
  <c r="DZ125" i="43" s="1"/>
  <c r="AO125" i="43"/>
  <c r="HB125" i="43"/>
  <c r="GU125" i="43"/>
  <c r="GN125" i="43"/>
  <c r="AA121" i="45"/>
  <c r="HA126" i="43" l="1"/>
  <c r="HC126" i="43" s="1"/>
  <c r="CP126" i="43" s="1"/>
  <c r="HE127" i="43" s="1"/>
  <c r="HD127" i="43" s="1"/>
  <c r="GZ127" i="43" s="1"/>
  <c r="GT126" i="43"/>
  <c r="GV126" i="43" s="1"/>
  <c r="BU126" i="43" s="1"/>
  <c r="GQ127" i="43"/>
  <c r="GP127" i="43" s="1"/>
  <c r="GL127" i="43" s="1"/>
  <c r="BD126" i="43"/>
  <c r="HH126" i="43"/>
  <c r="HJ126" i="43" s="1"/>
  <c r="DI126" i="43" s="1"/>
  <c r="T122" i="45"/>
  <c r="W122" i="45" s="1"/>
  <c r="Y122" i="45" s="1"/>
  <c r="Z122" i="45" s="1"/>
  <c r="FF125" i="43"/>
  <c r="BW126" i="43" l="1"/>
  <c r="GX127" i="43"/>
  <c r="GW127" i="43" s="1"/>
  <c r="GS127" i="43" s="1"/>
  <c r="CR126" i="43"/>
  <c r="GK126" i="43"/>
  <c r="GN126" i="43" s="1"/>
  <c r="HL127" i="43"/>
  <c r="HK127" i="43" s="1"/>
  <c r="HG127" i="43" s="1"/>
  <c r="AN126" i="43"/>
  <c r="DK126" i="43"/>
  <c r="AB122" i="45"/>
  <c r="AC122" i="45" s="1"/>
  <c r="HI126" i="43" l="1"/>
  <c r="GJ127" i="43"/>
  <c r="HA127" i="43" s="1"/>
  <c r="HC127" i="43" s="1"/>
  <c r="CP127" i="43" s="1"/>
  <c r="CR127" i="43" s="1"/>
  <c r="HB126" i="43"/>
  <c r="GU126" i="43"/>
  <c r="AO126" i="43"/>
  <c r="FF126" i="43" s="1"/>
  <c r="DY126" i="43"/>
  <c r="DZ126" i="43" s="1"/>
  <c r="AA122" i="45"/>
  <c r="GT127" i="43" l="1"/>
  <c r="GV127" i="43" s="1"/>
  <c r="BU127" i="43" s="1"/>
  <c r="BW127" i="43" s="1"/>
  <c r="HH127" i="43"/>
  <c r="HJ127" i="43" s="1"/>
  <c r="DI127" i="43" s="1"/>
  <c r="DK127" i="43" s="1"/>
  <c r="T123" i="45"/>
  <c r="W123" i="45" s="1"/>
  <c r="AB123" i="45" s="1"/>
  <c r="AA123" i="45" s="1"/>
  <c r="HE128" i="43"/>
  <c r="HD128" i="43" s="1"/>
  <c r="GZ128" i="43" s="1"/>
  <c r="GM127" i="43"/>
  <c r="GO127" i="43" s="1"/>
  <c r="BB127" i="43" s="1"/>
  <c r="GX128" i="43" l="1"/>
  <c r="GW128" i="43" s="1"/>
  <c r="GS128" i="43" s="1"/>
  <c r="HL128" i="43"/>
  <c r="HK128" i="43" s="1"/>
  <c r="HG128" i="43" s="1"/>
  <c r="AN127" i="43"/>
  <c r="DY127" i="43" s="1"/>
  <c r="DZ127" i="43" s="1"/>
  <c r="BD127" i="43"/>
  <c r="GK127" i="43"/>
  <c r="GU127" i="43" s="1"/>
  <c r="Y123" i="45"/>
  <c r="Z123" i="45" s="1"/>
  <c r="AC123" i="45"/>
  <c r="GQ128" i="43"/>
  <c r="GP128" i="43" s="1"/>
  <c r="GL128" i="43" s="1"/>
  <c r="AO127" i="43" l="1"/>
  <c r="FF127" i="43" s="1"/>
  <c r="GN127" i="43"/>
  <c r="GJ128" i="43"/>
  <c r="GM128" i="43" s="1"/>
  <c r="GO128" i="43" s="1"/>
  <c r="BB128" i="43" s="1"/>
  <c r="BD128" i="43" s="1"/>
  <c r="HI127" i="43"/>
  <c r="HB127" i="43"/>
  <c r="T124" i="45" l="1"/>
  <c r="W124" i="45" s="1"/>
  <c r="Y124" i="45" s="1"/>
  <c r="Z124" i="45" s="1"/>
  <c r="GQ129" i="43"/>
  <c r="GP129" i="43" s="1"/>
  <c r="GL129" i="43" s="1"/>
  <c r="HH128" i="43"/>
  <c r="HJ128" i="43" s="1"/>
  <c r="DI128" i="43" s="1"/>
  <c r="GT128" i="43"/>
  <c r="GV128" i="43" s="1"/>
  <c r="BU128" i="43" s="1"/>
  <c r="GX129" i="43" s="1"/>
  <c r="GW129" i="43" s="1"/>
  <c r="GS129" i="43" s="1"/>
  <c r="HA128" i="43"/>
  <c r="HC128" i="43" s="1"/>
  <c r="CP128" i="43" s="1"/>
  <c r="HE129" i="43" s="1"/>
  <c r="HD129" i="43" s="1"/>
  <c r="GZ129" i="43" s="1"/>
  <c r="AB124" i="45" l="1"/>
  <c r="AA124" i="45" s="1"/>
  <c r="BW128" i="43"/>
  <c r="AN128" i="43"/>
  <c r="AO128" i="43" s="1"/>
  <c r="CR128" i="43"/>
  <c r="DK128" i="43"/>
  <c r="HL129" i="43"/>
  <c r="HK129" i="43" s="1"/>
  <c r="HG129" i="43" s="1"/>
  <c r="GJ129" i="43" s="1"/>
  <c r="GM129" i="43" s="1"/>
  <c r="GO129" i="43" s="1"/>
  <c r="BB129" i="43" s="1"/>
  <c r="GK128" i="43"/>
  <c r="HB128" i="43" s="1"/>
  <c r="AC124" i="45" l="1"/>
  <c r="DY128" i="43"/>
  <c r="DZ128" i="43" s="1"/>
  <c r="GU128" i="43"/>
  <c r="GN128" i="43"/>
  <c r="HI128" i="43"/>
  <c r="T125" i="45"/>
  <c r="W125" i="45" s="1"/>
  <c r="Y125" i="45" s="1"/>
  <c r="Z125" i="45" s="1"/>
  <c r="FF128" i="43"/>
  <c r="GQ130" i="43"/>
  <c r="GP130" i="43" s="1"/>
  <c r="GL130" i="43" s="1"/>
  <c r="BD129" i="43"/>
  <c r="HH129" i="43"/>
  <c r="HJ129" i="43" s="1"/>
  <c r="DI129" i="43" s="1"/>
  <c r="HA129" i="43"/>
  <c r="HC129" i="43" s="1"/>
  <c r="CP129" i="43" s="1"/>
  <c r="GT129" i="43"/>
  <c r="GV129" i="43" s="1"/>
  <c r="BU129" i="43" s="1"/>
  <c r="HL130" i="43" l="1"/>
  <c r="HK130" i="43" s="1"/>
  <c r="HG130" i="43" s="1"/>
  <c r="DK129" i="43"/>
  <c r="HE130" i="43"/>
  <c r="HD130" i="43" s="1"/>
  <c r="GZ130" i="43" s="1"/>
  <c r="CR129" i="43"/>
  <c r="GX130" i="43"/>
  <c r="GW130" i="43" s="1"/>
  <c r="GS130" i="43" s="1"/>
  <c r="BW129" i="43"/>
  <c r="AN129" i="43"/>
  <c r="AB125" i="45"/>
  <c r="AC125" i="45" s="1"/>
  <c r="GK129" i="43"/>
  <c r="AO129" i="43" l="1"/>
  <c r="GJ130" i="43"/>
  <c r="GM130" i="43" s="1"/>
  <c r="GO130" i="43" s="1"/>
  <c r="BB130" i="43" s="1"/>
  <c r="AA125" i="45"/>
  <c r="GU129" i="43"/>
  <c r="HI129" i="43"/>
  <c r="GN129" i="43"/>
  <c r="HB129" i="43"/>
  <c r="DY129" i="43"/>
  <c r="DZ129" i="43" s="1"/>
  <c r="FF129" i="43" l="1"/>
  <c r="T126" i="45"/>
  <c r="W126" i="45" s="1"/>
  <c r="Y126" i="45" s="1"/>
  <c r="Z126" i="45" s="1"/>
  <c r="GQ131" i="43"/>
  <c r="GP131" i="43" s="1"/>
  <c r="GL131" i="43" s="1"/>
  <c r="BD130" i="43"/>
  <c r="HH130" i="43"/>
  <c r="HJ130" i="43" s="1"/>
  <c r="DI130" i="43" s="1"/>
  <c r="GT130" i="43"/>
  <c r="GV130" i="43" s="1"/>
  <c r="BU130" i="43" s="1"/>
  <c r="HA130" i="43"/>
  <c r="HC130" i="43" s="1"/>
  <c r="CP130" i="43" s="1"/>
  <c r="AB126" i="45" l="1"/>
  <c r="AC126" i="45" s="1"/>
  <c r="GX131" i="43"/>
  <c r="GW131" i="43" s="1"/>
  <c r="GS131" i="43" s="1"/>
  <c r="BW130" i="43"/>
  <c r="HL131" i="43"/>
  <c r="HK131" i="43" s="1"/>
  <c r="HG131" i="43" s="1"/>
  <c r="DK130" i="43"/>
  <c r="HE131" i="43"/>
  <c r="HD131" i="43" s="1"/>
  <c r="GZ131" i="43" s="1"/>
  <c r="CR130" i="43"/>
  <c r="AN130" i="43"/>
  <c r="GK130" i="43"/>
  <c r="GN130" i="43" s="1"/>
  <c r="AA126" i="45" l="1"/>
  <c r="DY130" i="43"/>
  <c r="DZ130" i="43" s="1"/>
  <c r="GJ131" i="43"/>
  <c r="GM131" i="43" s="1"/>
  <c r="GO131" i="43" s="1"/>
  <c r="BB131" i="43" s="1"/>
  <c r="AO130" i="43"/>
  <c r="HI130" i="43"/>
  <c r="GU130" i="43"/>
  <c r="HB130" i="43"/>
  <c r="HA131" i="43" l="1"/>
  <c r="HC131" i="43" s="1"/>
  <c r="CP131" i="43" s="1"/>
  <c r="GQ132" i="43"/>
  <c r="GP132" i="43" s="1"/>
  <c r="GL132" i="43" s="1"/>
  <c r="BD131" i="43"/>
  <c r="GT131" i="43"/>
  <c r="GV131" i="43" s="1"/>
  <c r="BU131" i="43" s="1"/>
  <c r="HH131" i="43"/>
  <c r="FF130" i="43"/>
  <c r="T127" i="45"/>
  <c r="W127" i="45" s="1"/>
  <c r="HE132" i="43" l="1"/>
  <c r="HD132" i="43" s="1"/>
  <c r="GZ132" i="43" s="1"/>
  <c r="CR131" i="43"/>
  <c r="GX132" i="43"/>
  <c r="GW132" i="43" s="1"/>
  <c r="GS132" i="43" s="1"/>
  <c r="BW131" i="43"/>
  <c r="HJ131" i="43"/>
  <c r="DI131" i="43" s="1"/>
  <c r="GK131" i="43"/>
  <c r="AB127" i="45"/>
  <c r="Y127" i="45"/>
  <c r="Z127" i="45" s="1"/>
  <c r="DK131" i="43" l="1"/>
  <c r="GN131" i="43"/>
  <c r="HB131" i="43"/>
  <c r="HI131" i="43"/>
  <c r="GU131" i="43"/>
  <c r="HL132" i="43"/>
  <c r="HK132" i="43" s="1"/>
  <c r="AN131" i="43"/>
  <c r="AA127" i="45"/>
  <c r="AC127" i="45"/>
  <c r="AO131" i="43" l="1"/>
  <c r="DY131" i="43"/>
  <c r="DZ131" i="43" s="1"/>
  <c r="HG132" i="43"/>
  <c r="GJ132" i="43" s="1"/>
  <c r="HH132" i="43" s="1"/>
  <c r="HJ132" i="43" s="1"/>
  <c r="DI132" i="43" s="1"/>
  <c r="HL133" i="43" l="1"/>
  <c r="HK133" i="43" s="1"/>
  <c r="HG133" i="43" s="1"/>
  <c r="DK132" i="43"/>
  <c r="FF131" i="43"/>
  <c r="T128" i="45"/>
  <c r="W128" i="45" s="1"/>
  <c r="GM132" i="43"/>
  <c r="HA132" i="43"/>
  <c r="HC132" i="43" s="1"/>
  <c r="CP132" i="43" s="1"/>
  <c r="GT132" i="43"/>
  <c r="GV132" i="43" s="1"/>
  <c r="BU132" i="43" s="1"/>
  <c r="GX133" i="43" l="1"/>
  <c r="GW133" i="43" s="1"/>
  <c r="GS133" i="43" s="1"/>
  <c r="BW132" i="43"/>
  <c r="HE133" i="43"/>
  <c r="HD133" i="43" s="1"/>
  <c r="GZ133" i="43" s="1"/>
  <c r="CR132" i="43"/>
  <c r="AB128" i="45"/>
  <c r="Y128" i="45"/>
  <c r="Z128" i="45" s="1"/>
  <c r="GO132" i="43"/>
  <c r="BB132" i="43" s="1"/>
  <c r="GK132" i="43"/>
  <c r="BD132" i="43" l="1"/>
  <c r="AC128" i="45"/>
  <c r="AA128" i="45"/>
  <c r="GU132" i="43"/>
  <c r="GN132" i="43"/>
  <c r="HB132" i="43"/>
  <c r="HI132" i="43"/>
  <c r="GQ133" i="43"/>
  <c r="GP133" i="43" s="1"/>
  <c r="AN132" i="43"/>
  <c r="DY132" i="43" l="1"/>
  <c r="DZ132" i="43" s="1"/>
  <c r="AO132" i="43"/>
  <c r="GL133" i="43"/>
  <c r="GJ133" i="43" s="1"/>
  <c r="GM133" i="43" s="1"/>
  <c r="FF132" i="43" l="1"/>
  <c r="T129" i="45"/>
  <c r="GO133" i="43"/>
  <c r="BB133" i="43" s="1"/>
  <c r="HH133" i="43"/>
  <c r="HJ133" i="43" s="1"/>
  <c r="DI133" i="43" s="1"/>
  <c r="HA133" i="43"/>
  <c r="HC133" i="43" s="1"/>
  <c r="CP133" i="43" s="1"/>
  <c r="GT133" i="43"/>
  <c r="GV133" i="43" s="1"/>
  <c r="BU133" i="43" s="1"/>
  <c r="BD133" i="43" l="1"/>
  <c r="HL134" i="43"/>
  <c r="HK134" i="43" s="1"/>
  <c r="HG134" i="43" s="1"/>
  <c r="DK133" i="43"/>
  <c r="GX134" i="43"/>
  <c r="GW134" i="43" s="1"/>
  <c r="GS134" i="43" s="1"/>
  <c r="BW133" i="43"/>
  <c r="HE134" i="43"/>
  <c r="HD134" i="43" s="1"/>
  <c r="GZ134" i="43" s="1"/>
  <c r="CR133" i="43"/>
  <c r="W129" i="45"/>
  <c r="Y129" i="45" s="1"/>
  <c r="Z129" i="45" s="1"/>
  <c r="GK133" i="43"/>
  <c r="AN133" i="43"/>
  <c r="GQ134" i="43"/>
  <c r="GP134" i="43" s="1"/>
  <c r="AB129" i="45" l="1"/>
  <c r="AA129" i="45" s="1"/>
  <c r="AO133" i="43"/>
  <c r="DY133" i="43"/>
  <c r="DZ133" i="43" s="1"/>
  <c r="GL134" i="43"/>
  <c r="GJ134" i="43" s="1"/>
  <c r="GM134" i="43" s="1"/>
  <c r="HB133" i="43"/>
  <c r="GU133" i="43"/>
  <c r="GN133" i="43"/>
  <c r="HI133" i="43"/>
  <c r="FF133" i="43" l="1"/>
  <c r="T130" i="45"/>
  <c r="W130" i="45" s="1"/>
  <c r="AC129" i="45"/>
  <c r="GO134" i="43"/>
  <c r="BB134" i="43" s="1"/>
  <c r="HA134" i="43"/>
  <c r="HC134" i="43" s="1"/>
  <c r="CP134" i="43" s="1"/>
  <c r="GT134" i="43"/>
  <c r="GV134" i="43" s="1"/>
  <c r="BU134" i="43" s="1"/>
  <c r="HH134" i="43"/>
  <c r="HJ134" i="43" s="1"/>
  <c r="DI134" i="43" s="1"/>
  <c r="BD134" i="43" l="1"/>
  <c r="HL135" i="43"/>
  <c r="HK135" i="43" s="1"/>
  <c r="HG135" i="43" s="1"/>
  <c r="DK134" i="43"/>
  <c r="GX135" i="43"/>
  <c r="GW135" i="43" s="1"/>
  <c r="GS135" i="43" s="1"/>
  <c r="BW134" i="43"/>
  <c r="HE135" i="43"/>
  <c r="HD135" i="43" s="1"/>
  <c r="GZ135" i="43" s="1"/>
  <c r="CR134" i="43"/>
  <c r="AB130" i="45"/>
  <c r="Y130" i="45"/>
  <c r="Z130" i="45" s="1"/>
  <c r="GK134" i="43"/>
  <c r="GQ135" i="43"/>
  <c r="GP135" i="43" s="1"/>
  <c r="AN134" i="43"/>
  <c r="AC130" i="45" l="1"/>
  <c r="AA130" i="45"/>
  <c r="GL135" i="43"/>
  <c r="GJ135" i="43" s="1"/>
  <c r="GM135" i="43" s="1"/>
  <c r="AO134" i="43"/>
  <c r="DY134" i="43"/>
  <c r="DZ134" i="43" s="1"/>
  <c r="GU134" i="43"/>
  <c r="HI134" i="43"/>
  <c r="GN134" i="43"/>
  <c r="HB134" i="43"/>
  <c r="FF134" i="43" l="1"/>
  <c r="T131" i="45"/>
  <c r="W131" i="45" s="1"/>
  <c r="GO135" i="43"/>
  <c r="BB135" i="43" s="1"/>
  <c r="GT135" i="43"/>
  <c r="GV135" i="43" s="1"/>
  <c r="BU135" i="43" s="1"/>
  <c r="HH135" i="43"/>
  <c r="HJ135" i="43" s="1"/>
  <c r="DI135" i="43" s="1"/>
  <c r="HA135" i="43"/>
  <c r="HC135" i="43" s="1"/>
  <c r="CP135" i="43" s="1"/>
  <c r="BD135" i="43" l="1"/>
  <c r="GX136" i="43"/>
  <c r="GW136" i="43" s="1"/>
  <c r="GS136" i="43" s="1"/>
  <c r="BW135" i="43"/>
  <c r="HE136" i="43"/>
  <c r="HD136" i="43" s="1"/>
  <c r="GZ136" i="43" s="1"/>
  <c r="CR135" i="43"/>
  <c r="HL136" i="43"/>
  <c r="HK136" i="43" s="1"/>
  <c r="HG136" i="43" s="1"/>
  <c r="DK135" i="43"/>
  <c r="AB131" i="45"/>
  <c r="Y131" i="45"/>
  <c r="Z131" i="45" s="1"/>
  <c r="GK135" i="43"/>
  <c r="GQ136" i="43"/>
  <c r="GP136" i="43" s="1"/>
  <c r="AN135" i="43"/>
  <c r="AA131" i="45" l="1"/>
  <c r="AC131" i="45"/>
  <c r="GL136" i="43"/>
  <c r="GJ136" i="43" s="1"/>
  <c r="GM136" i="43" s="1"/>
  <c r="AO135" i="43"/>
  <c r="DY135" i="43"/>
  <c r="DZ135" i="43" s="1"/>
  <c r="GN135" i="43"/>
  <c r="HB135" i="43"/>
  <c r="GU135" i="43"/>
  <c r="HI135" i="43"/>
  <c r="FF135" i="43" l="1"/>
  <c r="T132" i="45"/>
  <c r="GO136" i="43"/>
  <c r="BB136" i="43" s="1"/>
  <c r="HH136" i="43"/>
  <c r="HJ136" i="43" s="1"/>
  <c r="DI136" i="43" s="1"/>
  <c r="HA136" i="43"/>
  <c r="HC136" i="43" s="1"/>
  <c r="CP136" i="43" s="1"/>
  <c r="GT136" i="43"/>
  <c r="GV136" i="43" s="1"/>
  <c r="BU136" i="43" s="1"/>
  <c r="BD136" i="43" l="1"/>
  <c r="HL137" i="43"/>
  <c r="HK137" i="43" s="1"/>
  <c r="HG137" i="43" s="1"/>
  <c r="DK136" i="43"/>
  <c r="GX137" i="43"/>
  <c r="GW137" i="43" s="1"/>
  <c r="GS137" i="43" s="1"/>
  <c r="BW136" i="43"/>
  <c r="HE137" i="43"/>
  <c r="HD137" i="43" s="1"/>
  <c r="GZ137" i="43" s="1"/>
  <c r="CR136" i="43"/>
  <c r="W132" i="45"/>
  <c r="Y132" i="45" s="1"/>
  <c r="Z132" i="45" s="1"/>
  <c r="GK136" i="43"/>
  <c r="GQ137" i="43"/>
  <c r="GP137" i="43" s="1"/>
  <c r="AN136" i="43"/>
  <c r="AB132" i="45" l="1"/>
  <c r="AA132" i="45" s="1"/>
  <c r="GL137" i="43"/>
  <c r="GJ137" i="43" s="1"/>
  <c r="GM137" i="43" s="1"/>
  <c r="DY136" i="43"/>
  <c r="DZ136" i="43" s="1"/>
  <c r="AO136" i="43"/>
  <c r="GN136" i="43"/>
  <c r="HB136" i="43"/>
  <c r="HI136" i="43"/>
  <c r="GU136" i="43"/>
  <c r="FF136" i="43" l="1"/>
  <c r="T133" i="45"/>
  <c r="W133" i="45" s="1"/>
  <c r="AC132" i="45"/>
  <c r="GO137" i="43"/>
  <c r="BB137" i="43" s="1"/>
  <c r="HA137" i="43"/>
  <c r="HC137" i="43" s="1"/>
  <c r="CP137" i="43" s="1"/>
  <c r="GT137" i="43"/>
  <c r="GV137" i="43" s="1"/>
  <c r="BU137" i="43" s="1"/>
  <c r="HH137" i="43"/>
  <c r="HJ137" i="43" s="1"/>
  <c r="DI137" i="43" s="1"/>
  <c r="BD137" i="43" l="1"/>
  <c r="HL138" i="43"/>
  <c r="HK138" i="43" s="1"/>
  <c r="HG138" i="43" s="1"/>
  <c r="DK137" i="43"/>
  <c r="GX138" i="43"/>
  <c r="GW138" i="43" s="1"/>
  <c r="GS138" i="43" s="1"/>
  <c r="BW137" i="43"/>
  <c r="HE138" i="43"/>
  <c r="HD138" i="43" s="1"/>
  <c r="GZ138" i="43" s="1"/>
  <c r="CR137" i="43"/>
  <c r="AB133" i="45"/>
  <c r="Y133" i="45"/>
  <c r="Z133" i="45" s="1"/>
  <c r="GK137" i="43"/>
  <c r="GQ138" i="43"/>
  <c r="GP138" i="43" s="1"/>
  <c r="GL138" i="43" s="1"/>
  <c r="AN137" i="43"/>
  <c r="GJ138" i="43" l="1"/>
  <c r="GM138" i="43" s="1"/>
  <c r="GO138" i="43" s="1"/>
  <c r="BB138" i="43" s="1"/>
  <c r="AA133" i="45"/>
  <c r="AC133" i="45"/>
  <c r="HI137" i="43"/>
  <c r="GU137" i="43"/>
  <c r="GN137" i="43"/>
  <c r="HB137" i="43"/>
  <c r="DY137" i="43"/>
  <c r="DZ137" i="43" s="1"/>
  <c r="AO137" i="43"/>
  <c r="HH138" i="43" l="1"/>
  <c r="HJ138" i="43" s="1"/>
  <c r="DI138" i="43" s="1"/>
  <c r="HA138" i="43"/>
  <c r="HC138" i="43" s="1"/>
  <c r="CP138" i="43" s="1"/>
  <c r="GT138" i="43"/>
  <c r="GV138" i="43" s="1"/>
  <c r="BU138" i="43" s="1"/>
  <c r="GQ139" i="43"/>
  <c r="GP139" i="43" s="1"/>
  <c r="GL139" i="43" s="1"/>
  <c r="BD138" i="43"/>
  <c r="FF137" i="43"/>
  <c r="T134" i="45"/>
  <c r="W134" i="45" s="1"/>
  <c r="HL139" i="43" l="1"/>
  <c r="HK139" i="43" s="1"/>
  <c r="HG139" i="43" s="1"/>
  <c r="GX139" i="43"/>
  <c r="GW139" i="43" s="1"/>
  <c r="GS139" i="43" s="1"/>
  <c r="DK138" i="43"/>
  <c r="AN138" i="43"/>
  <c r="GK138" i="43"/>
  <c r="HI138" i="43" s="1"/>
  <c r="CR138" i="43"/>
  <c r="BW138" i="43"/>
  <c r="HE139" i="43"/>
  <c r="HD139" i="43" s="1"/>
  <c r="GZ139" i="43" s="1"/>
  <c r="AB134" i="45"/>
  <c r="Y134" i="45"/>
  <c r="Z134" i="45" s="1"/>
  <c r="GJ139" i="43" l="1"/>
  <c r="HH139" i="43" s="1"/>
  <c r="HJ139" i="43" s="1"/>
  <c r="DI139" i="43" s="1"/>
  <c r="HB138" i="43"/>
  <c r="GN138" i="43"/>
  <c r="AO138" i="43"/>
  <c r="DY138" i="43"/>
  <c r="DZ138" i="43" s="1"/>
  <c r="GU138" i="43"/>
  <c r="AA134" i="45"/>
  <c r="AC134" i="45"/>
  <c r="GM139" i="43" l="1"/>
  <c r="GO139" i="43" s="1"/>
  <c r="BB139" i="43" s="1"/>
  <c r="GT139" i="43"/>
  <c r="GV139" i="43" s="1"/>
  <c r="BU139" i="43" s="1"/>
  <c r="HA139" i="43"/>
  <c r="HC139" i="43" s="1"/>
  <c r="CP139" i="43" s="1"/>
  <c r="T135" i="45"/>
  <c r="Y135" i="45" s="1"/>
  <c r="Z135" i="45" s="1"/>
  <c r="HL140" i="43"/>
  <c r="HK140" i="43" s="1"/>
  <c r="HG140" i="43" s="1"/>
  <c r="FF138" i="43"/>
  <c r="DK139" i="43"/>
  <c r="GX140" i="43" l="1"/>
  <c r="GW140" i="43" s="1"/>
  <c r="GS140" i="43" s="1"/>
  <c r="BW139" i="43"/>
  <c r="GQ140" i="43"/>
  <c r="GP140" i="43" s="1"/>
  <c r="GL140" i="43" s="1"/>
  <c r="BD139" i="43"/>
  <c r="HE140" i="43"/>
  <c r="HD140" i="43" s="1"/>
  <c r="GZ140" i="43" s="1"/>
  <c r="AN139" i="43"/>
  <c r="CR139" i="43"/>
  <c r="GK139" i="43"/>
  <c r="HB139" i="43" s="1"/>
  <c r="AB135" i="45"/>
  <c r="AA135" i="45" s="1"/>
  <c r="GJ140" i="43" l="1"/>
  <c r="GM140" i="43" s="1"/>
  <c r="GO140" i="43" s="1"/>
  <c r="BB140" i="43" s="1"/>
  <c r="DY139" i="43"/>
  <c r="DZ139" i="43" s="1"/>
  <c r="GN139" i="43"/>
  <c r="AO139" i="43"/>
  <c r="FF139" i="43" s="1"/>
  <c r="HI139" i="43"/>
  <c r="GU139" i="43"/>
  <c r="AC135" i="45"/>
  <c r="GT140" i="43" l="1"/>
  <c r="GV140" i="43" s="1"/>
  <c r="BU140" i="43" s="1"/>
  <c r="GQ141" i="43"/>
  <c r="GP141" i="43" s="1"/>
  <c r="GL141" i="43" s="1"/>
  <c r="BD140" i="43"/>
  <c r="HA140" i="43"/>
  <c r="HC140" i="43" s="1"/>
  <c r="CP140" i="43" s="1"/>
  <c r="HH140" i="43"/>
  <c r="HJ140" i="43" s="1"/>
  <c r="DI140" i="43" s="1"/>
  <c r="T136" i="45"/>
  <c r="Y136" i="45" l="1"/>
  <c r="Z136" i="45" s="1"/>
  <c r="DK140" i="43"/>
  <c r="HL141" i="43"/>
  <c r="HK141" i="43" s="1"/>
  <c r="HG141" i="43" s="1"/>
  <c r="GK140" i="43"/>
  <c r="GU140" i="43" s="1"/>
  <c r="GX141" i="43"/>
  <c r="GW141" i="43" s="1"/>
  <c r="GS141" i="43" s="1"/>
  <c r="BW140" i="43"/>
  <c r="AN140" i="43"/>
  <c r="CR140" i="43"/>
  <c r="HE141" i="43"/>
  <c r="HD141" i="43" s="1"/>
  <c r="GZ141" i="43" s="1"/>
  <c r="AB136" i="45"/>
  <c r="AA136" i="45" s="1"/>
  <c r="GJ141" i="43" l="1"/>
  <c r="GT141" i="43" s="1"/>
  <c r="GV141" i="43" s="1"/>
  <c r="BU141" i="43" s="1"/>
  <c r="DY140" i="43"/>
  <c r="DZ140" i="43" s="1"/>
  <c r="HB140" i="43"/>
  <c r="AO140" i="43"/>
  <c r="FF140" i="43" s="1"/>
  <c r="GN140" i="43"/>
  <c r="HI140" i="43"/>
  <c r="AC136" i="45"/>
  <c r="T137" i="45"/>
  <c r="Y137" i="45" l="1"/>
  <c r="Z137" i="45" s="1"/>
  <c r="HH141" i="43"/>
  <c r="HJ141" i="43" s="1"/>
  <c r="DI141" i="43" s="1"/>
  <c r="DK141" i="43" s="1"/>
  <c r="GX142" i="43"/>
  <c r="GW142" i="43" s="1"/>
  <c r="GS142" i="43" s="1"/>
  <c r="BW141" i="43"/>
  <c r="HA141" i="43"/>
  <c r="HC141" i="43" s="1"/>
  <c r="CP141" i="43" s="1"/>
  <c r="HE142" i="43" s="1"/>
  <c r="HD142" i="43" s="1"/>
  <c r="GZ142" i="43" s="1"/>
  <c r="GM141" i="43"/>
  <c r="GO141" i="43" s="1"/>
  <c r="BB141" i="43" s="1"/>
  <c r="AB137" i="45"/>
  <c r="AC137" i="45" s="1"/>
  <c r="HL142" i="43" l="1"/>
  <c r="HK142" i="43" s="1"/>
  <c r="HG142" i="43" s="1"/>
  <c r="CR141" i="43"/>
  <c r="GK141" i="43"/>
  <c r="HI141" i="43" s="1"/>
  <c r="AN141" i="43"/>
  <c r="AO141" i="43" s="1"/>
  <c r="GQ142" i="43"/>
  <c r="GP142" i="43" s="1"/>
  <c r="GL142" i="43" s="1"/>
  <c r="BD141" i="43"/>
  <c r="AA137" i="45"/>
  <c r="GJ142" i="43" l="1"/>
  <c r="GT142" i="43" s="1"/>
  <c r="GV142" i="43" s="1"/>
  <c r="BU142" i="43" s="1"/>
  <c r="GX143" i="43" s="1"/>
  <c r="GW143" i="43" s="1"/>
  <c r="GS143" i="43" s="1"/>
  <c r="DY141" i="43"/>
  <c r="DZ141" i="43" s="1"/>
  <c r="HB141" i="43"/>
  <c r="GN141" i="43"/>
  <c r="GU141" i="43"/>
  <c r="FF141" i="43"/>
  <c r="T138" i="45"/>
  <c r="BW142" i="43" l="1"/>
  <c r="HH142" i="43"/>
  <c r="HJ142" i="43" s="1"/>
  <c r="DI142" i="43" s="1"/>
  <c r="DK142" i="43" s="1"/>
  <c r="HA142" i="43"/>
  <c r="HC142" i="43" s="1"/>
  <c r="CP142" i="43" s="1"/>
  <c r="CR142" i="43" s="1"/>
  <c r="GM142" i="43"/>
  <c r="GO142" i="43" s="1"/>
  <c r="BB142" i="43" s="1"/>
  <c r="GQ143" i="43" s="1"/>
  <c r="GP143" i="43" s="1"/>
  <c r="GL143" i="43" s="1"/>
  <c r="Y138" i="45"/>
  <c r="Z138" i="45" s="1"/>
  <c r="AB138" i="45"/>
  <c r="AC138" i="45" s="1"/>
  <c r="HL143" i="43" l="1"/>
  <c r="HK143" i="43" s="1"/>
  <c r="HG143" i="43" s="1"/>
  <c r="HE143" i="43"/>
  <c r="HD143" i="43" s="1"/>
  <c r="GZ143" i="43" s="1"/>
  <c r="GK142" i="43"/>
  <c r="HI142" i="43" s="1"/>
  <c r="AN142" i="43"/>
  <c r="DY142" i="43" s="1"/>
  <c r="DZ142" i="43" s="1"/>
  <c r="BD142" i="43"/>
  <c r="AA138" i="45"/>
  <c r="GJ143" i="43" l="1"/>
  <c r="GM143" i="43" s="1"/>
  <c r="GO143" i="43" s="1"/>
  <c r="BB143" i="43" s="1"/>
  <c r="BD143" i="43" s="1"/>
  <c r="GU142" i="43"/>
  <c r="GN142" i="43"/>
  <c r="HB142" i="43"/>
  <c r="AO142" i="43"/>
  <c r="FF142" i="43" s="1"/>
  <c r="HA143" i="43" l="1"/>
  <c r="HC143" i="43" s="1"/>
  <c r="CP143" i="43" s="1"/>
  <c r="CR143" i="43" s="1"/>
  <c r="GQ144" i="43"/>
  <c r="GP144" i="43" s="1"/>
  <c r="GL144" i="43" s="1"/>
  <c r="T139" i="45"/>
  <c r="AB139" i="45" s="1"/>
  <c r="AA139" i="45" s="1"/>
  <c r="HH143" i="43"/>
  <c r="HJ143" i="43" s="1"/>
  <c r="DI143" i="43" s="1"/>
  <c r="DK143" i="43" s="1"/>
  <c r="GT143" i="43"/>
  <c r="GV143" i="43" s="1"/>
  <c r="BU143" i="43" s="1"/>
  <c r="GX144" i="43" s="1"/>
  <c r="GW144" i="43" s="1"/>
  <c r="GS144" i="43" s="1"/>
  <c r="Y139" i="45"/>
  <c r="Z139" i="45" s="1"/>
  <c r="HL144" i="43" l="1"/>
  <c r="HK144" i="43" s="1"/>
  <c r="HG144" i="43" s="1"/>
  <c r="HE144" i="43"/>
  <c r="HD144" i="43" s="1"/>
  <c r="GZ144" i="43" s="1"/>
  <c r="GK143" i="43"/>
  <c r="HI143" i="43" s="1"/>
  <c r="BW143" i="43"/>
  <c r="AN143" i="43"/>
  <c r="DY143" i="43" s="1"/>
  <c r="DZ143" i="43" s="1"/>
  <c r="AC139" i="45"/>
  <c r="GJ144" i="43" l="1"/>
  <c r="GM144" i="43" s="1"/>
  <c r="GO144" i="43" s="1"/>
  <c r="BB144" i="43" s="1"/>
  <c r="BD144" i="43" s="1"/>
  <c r="AO143" i="43"/>
  <c r="T140" i="45" s="1"/>
  <c r="GU143" i="43"/>
  <c r="HB143" i="43"/>
  <c r="GN143" i="43"/>
  <c r="HH144" i="43" l="1"/>
  <c r="HJ144" i="43" s="1"/>
  <c r="DI144" i="43" s="1"/>
  <c r="HL145" i="43" s="1"/>
  <c r="HK145" i="43" s="1"/>
  <c r="HG145" i="43" s="1"/>
  <c r="GQ145" i="43"/>
  <c r="GP145" i="43" s="1"/>
  <c r="GL145" i="43" s="1"/>
  <c r="GT144" i="43"/>
  <c r="GV144" i="43" s="1"/>
  <c r="BU144" i="43" s="1"/>
  <c r="GX145" i="43" s="1"/>
  <c r="GW145" i="43" s="1"/>
  <c r="GS145" i="43" s="1"/>
  <c r="HA144" i="43"/>
  <c r="HC144" i="43" s="1"/>
  <c r="CP144" i="43" s="1"/>
  <c r="CR144" i="43" s="1"/>
  <c r="FF143" i="43"/>
  <c r="BW144" i="43" l="1"/>
  <c r="HE145" i="43"/>
  <c r="HD145" i="43" s="1"/>
  <c r="GZ145" i="43" s="1"/>
  <c r="GJ145" i="43" s="1"/>
  <c r="GM145" i="43" s="1"/>
  <c r="GO145" i="43" s="1"/>
  <c r="BB145" i="43" s="1"/>
  <c r="GK144" i="43"/>
  <c r="HI144" i="43" s="1"/>
  <c r="DK144" i="43"/>
  <c r="AN144" i="43"/>
  <c r="DY144" i="43" s="1"/>
  <c r="DZ144" i="43" s="1"/>
  <c r="GN144" i="43" l="1"/>
  <c r="AO144" i="43"/>
  <c r="FF144" i="43" s="1"/>
  <c r="HB144" i="43"/>
  <c r="GU144" i="43"/>
  <c r="HH145" i="43"/>
  <c r="HJ145" i="43" s="1"/>
  <c r="DI145" i="43" s="1"/>
  <c r="HA145" i="43"/>
  <c r="HC145" i="43" s="1"/>
  <c r="CP145" i="43" s="1"/>
  <c r="GQ146" i="43"/>
  <c r="GP146" i="43" s="1"/>
  <c r="GL146" i="43" s="1"/>
  <c r="GT145" i="43"/>
  <c r="GV145" i="43" s="1"/>
  <c r="BU145" i="43" s="1"/>
  <c r="BD145" i="43"/>
  <c r="T141" i="45" l="1"/>
  <c r="DK145" i="43"/>
  <c r="AN145" i="43"/>
  <c r="GX146" i="43"/>
  <c r="GW146" i="43" s="1"/>
  <c r="GS146" i="43" s="1"/>
  <c r="HE146" i="43"/>
  <c r="HD146" i="43" s="1"/>
  <c r="GZ146" i="43" s="1"/>
  <c r="HL146" i="43"/>
  <c r="HK146" i="43" s="1"/>
  <c r="HG146" i="43" s="1"/>
  <c r="CR145" i="43"/>
  <c r="BW145" i="43"/>
  <c r="GK145" i="43"/>
  <c r="HI145" i="43" s="1"/>
  <c r="GJ146" i="43" l="1"/>
  <c r="GM146" i="43" s="1"/>
  <c r="GO146" i="43" s="1"/>
  <c r="BB146" i="43" s="1"/>
  <c r="DY145" i="43"/>
  <c r="DZ145" i="43" s="1"/>
  <c r="AO145" i="43"/>
  <c r="GN145" i="43"/>
  <c r="HB145" i="43"/>
  <c r="GU145" i="43"/>
  <c r="T142" i="45" l="1"/>
  <c r="GT146" i="43"/>
  <c r="GV146" i="43" s="1"/>
  <c r="BU146" i="43" s="1"/>
  <c r="BD146" i="43"/>
  <c r="GQ147" i="43"/>
  <c r="GP147" i="43" s="1"/>
  <c r="GL147" i="43" s="1"/>
  <c r="FF145" i="43"/>
  <c r="HA146" i="43"/>
  <c r="HC146" i="43" s="1"/>
  <c r="CP146" i="43" s="1"/>
  <c r="HH146" i="43"/>
  <c r="HJ146" i="43" s="1"/>
  <c r="DI146" i="43" s="1"/>
  <c r="GX147" i="43" l="1"/>
  <c r="GW147" i="43" s="1"/>
  <c r="GS147" i="43" s="1"/>
  <c r="AN146" i="43"/>
  <c r="HL147" i="43"/>
  <c r="HK147" i="43" s="1"/>
  <c r="HG147" i="43" s="1"/>
  <c r="BW146" i="43"/>
  <c r="HE147" i="43"/>
  <c r="HD147" i="43" s="1"/>
  <c r="GZ147" i="43" s="1"/>
  <c r="CR146" i="43"/>
  <c r="GK146" i="43"/>
  <c r="HI146" i="43" s="1"/>
  <c r="DK146" i="43"/>
  <c r="GJ147" i="43" l="1"/>
  <c r="HH147" i="43" s="1"/>
  <c r="HJ147" i="43" s="1"/>
  <c r="DI147" i="43" s="1"/>
  <c r="DY146" i="43"/>
  <c r="DZ146" i="43" s="1"/>
  <c r="AO146" i="43"/>
  <c r="HB146" i="43"/>
  <c r="GN146" i="43"/>
  <c r="GU146" i="43"/>
  <c r="GM147" i="43" l="1"/>
  <c r="GO147" i="43" s="1"/>
  <c r="BB147" i="43" s="1"/>
  <c r="GT147" i="43"/>
  <c r="GV147" i="43" s="1"/>
  <c r="BU147" i="43" s="1"/>
  <c r="HL148" i="43"/>
  <c r="HK148" i="43" s="1"/>
  <c r="HG148" i="43" s="1"/>
  <c r="HA147" i="43"/>
  <c r="HC147" i="43" s="1"/>
  <c r="CP147" i="43" s="1"/>
  <c r="DK147" i="43"/>
  <c r="T143" i="45"/>
  <c r="FF146" i="43"/>
  <c r="GX148" i="43" l="1"/>
  <c r="GW148" i="43" s="1"/>
  <c r="GS148" i="43" s="1"/>
  <c r="CR147" i="43"/>
  <c r="BW147" i="43"/>
  <c r="GK147" i="43"/>
  <c r="GN147" i="43" s="1"/>
  <c r="HE148" i="43"/>
  <c r="HD148" i="43" s="1"/>
  <c r="GZ148" i="43" s="1"/>
  <c r="GQ148" i="43"/>
  <c r="GP148" i="43" s="1"/>
  <c r="GL148" i="43" s="1"/>
  <c r="BD147" i="43"/>
  <c r="AN147" i="43"/>
  <c r="HB147" i="43" l="1"/>
  <c r="GU147" i="43"/>
  <c r="HI147" i="43"/>
  <c r="GJ148" i="43"/>
  <c r="GT148" i="43" s="1"/>
  <c r="GV148" i="43" s="1"/>
  <c r="BU148" i="43" s="1"/>
  <c r="AO147" i="43"/>
  <c r="DY147" i="43"/>
  <c r="DZ147" i="43" s="1"/>
  <c r="GM148" i="43" l="1"/>
  <c r="GO148" i="43" s="1"/>
  <c r="BB148" i="43" s="1"/>
  <c r="HA148" i="43"/>
  <c r="HC148" i="43" s="1"/>
  <c r="CP148" i="43" s="1"/>
  <c r="HH148" i="43"/>
  <c r="HJ148" i="43" s="1"/>
  <c r="DI148" i="43" s="1"/>
  <c r="T144" i="45"/>
  <c r="FF147" i="43"/>
  <c r="GX149" i="43"/>
  <c r="GW149" i="43" s="1"/>
  <c r="GS149" i="43" s="1"/>
  <c r="BW148" i="43"/>
  <c r="HL149" i="43" l="1"/>
  <c r="HK149" i="43" s="1"/>
  <c r="HG149" i="43" s="1"/>
  <c r="DK148" i="43"/>
  <c r="HE149" i="43"/>
  <c r="HD149" i="43" s="1"/>
  <c r="GZ149" i="43" s="1"/>
  <c r="CR148" i="43"/>
  <c r="GK148" i="43"/>
  <c r="HI148" i="43" s="1"/>
  <c r="BD148" i="43"/>
  <c r="AN148" i="43"/>
  <c r="GQ149" i="43"/>
  <c r="GP149" i="43" s="1"/>
  <c r="GL149" i="43" s="1"/>
  <c r="GU148" i="43" l="1"/>
  <c r="HB148" i="43"/>
  <c r="GN148" i="43"/>
  <c r="GJ149" i="43"/>
  <c r="GT149" i="43" s="1"/>
  <c r="GV149" i="43" s="1"/>
  <c r="BU149" i="43" s="1"/>
  <c r="DY148" i="43"/>
  <c r="DZ148" i="43" s="1"/>
  <c r="AO148" i="43"/>
  <c r="HA149" i="43" l="1"/>
  <c r="HC149" i="43" s="1"/>
  <c r="CP149" i="43" s="1"/>
  <c r="CR149" i="43" s="1"/>
  <c r="HH149" i="43"/>
  <c r="HJ149" i="43" s="1"/>
  <c r="DI149" i="43" s="1"/>
  <c r="GM149" i="43"/>
  <c r="GO149" i="43" s="1"/>
  <c r="BB149" i="43" s="1"/>
  <c r="GX150" i="43"/>
  <c r="GW150" i="43" s="1"/>
  <c r="GS150" i="43" s="1"/>
  <c r="BW149" i="43"/>
  <c r="FF148" i="43"/>
  <c r="T145" i="45"/>
  <c r="DK149" i="43" l="1"/>
  <c r="HE150" i="43"/>
  <c r="HD150" i="43" s="1"/>
  <c r="GZ150" i="43" s="1"/>
  <c r="HL150" i="43"/>
  <c r="HK150" i="43" s="1"/>
  <c r="HG150" i="43" s="1"/>
  <c r="GK149" i="43"/>
  <c r="GN149" i="43" s="1"/>
  <c r="BD149" i="43"/>
  <c r="GQ150" i="43"/>
  <c r="GP150" i="43" s="1"/>
  <c r="AN149" i="43"/>
  <c r="HB149" i="43" l="1"/>
  <c r="GU149" i="43"/>
  <c r="HI149" i="43"/>
  <c r="AO149" i="43"/>
  <c r="DY149" i="43"/>
  <c r="DZ149" i="43" s="1"/>
  <c r="GL150" i="43"/>
  <c r="GJ150" i="43" s="1"/>
  <c r="FF149" i="43" l="1"/>
  <c r="T146" i="45"/>
  <c r="HA150" i="43"/>
  <c r="HC150" i="43" s="1"/>
  <c r="CP150" i="43" s="1"/>
  <c r="HH150" i="43"/>
  <c r="HJ150" i="43" s="1"/>
  <c r="DI150" i="43" s="1"/>
  <c r="GT150" i="43"/>
  <c r="GV150" i="43" s="1"/>
  <c r="BU150" i="43" s="1"/>
  <c r="GM150" i="43"/>
  <c r="HE151" i="43" l="1"/>
  <c r="HD151" i="43" s="1"/>
  <c r="GZ151" i="43" s="1"/>
  <c r="CR150" i="43"/>
  <c r="GX151" i="43"/>
  <c r="GW151" i="43" s="1"/>
  <c r="GS151" i="43" s="1"/>
  <c r="BW150" i="43"/>
  <c r="GO150" i="43"/>
  <c r="BB150" i="43" s="1"/>
  <c r="GK150" i="43"/>
  <c r="DK150" i="43"/>
  <c r="HL151" i="43"/>
  <c r="HK151" i="43" s="1"/>
  <c r="BD150" i="43" l="1"/>
  <c r="HG151" i="43"/>
  <c r="GN150" i="43"/>
  <c r="GU150" i="43"/>
  <c r="HB150" i="43"/>
  <c r="HI150" i="43"/>
  <c r="AN150" i="43"/>
  <c r="GQ151" i="43"/>
  <c r="GP151" i="43" s="1"/>
  <c r="GL151" i="43" l="1"/>
  <c r="GJ151" i="43" s="1"/>
  <c r="GM151" i="43" s="1"/>
  <c r="AO150" i="43"/>
  <c r="DY150" i="43"/>
  <c r="DZ150" i="43" s="1"/>
  <c r="FF150" i="43" l="1"/>
  <c r="T147" i="45"/>
  <c r="GO151" i="43"/>
  <c r="BB151" i="43" s="1"/>
  <c r="HA151" i="43"/>
  <c r="HC151" i="43" s="1"/>
  <c r="CP151" i="43" s="1"/>
  <c r="GT151" i="43"/>
  <c r="GV151" i="43" s="1"/>
  <c r="BU151" i="43" s="1"/>
  <c r="HH151" i="43"/>
  <c r="HJ151" i="43" s="1"/>
  <c r="DI151" i="43" s="1"/>
  <c r="BD151" i="43" l="1"/>
  <c r="HL152" i="43"/>
  <c r="HK152" i="43" s="1"/>
  <c r="HG152" i="43" s="1"/>
  <c r="DK151" i="43"/>
  <c r="HE152" i="43"/>
  <c r="HD152" i="43" s="1"/>
  <c r="GZ152" i="43" s="1"/>
  <c r="CR151" i="43"/>
  <c r="GX152" i="43"/>
  <c r="GW152" i="43" s="1"/>
  <c r="GS152" i="43" s="1"/>
  <c r="BW151" i="43"/>
  <c r="Y147" i="45"/>
  <c r="Z147" i="45" s="1"/>
  <c r="GQ152" i="43"/>
  <c r="GP152" i="43" s="1"/>
  <c r="GL152" i="43" s="1"/>
  <c r="AN151" i="43"/>
  <c r="GK151" i="43"/>
  <c r="AB147" i="45" l="1"/>
  <c r="AA147" i="45" s="1"/>
  <c r="GJ152" i="43"/>
  <c r="GM152" i="43" s="1"/>
  <c r="GO152" i="43" s="1"/>
  <c r="BB152" i="43" s="1"/>
  <c r="GN151" i="43"/>
  <c r="HI151" i="43"/>
  <c r="HB151" i="43"/>
  <c r="GU151" i="43"/>
  <c r="DY151" i="43"/>
  <c r="DZ151" i="43" s="1"/>
  <c r="AO151" i="43"/>
  <c r="BD152" i="43" l="1"/>
  <c r="FF151" i="43"/>
  <c r="T148" i="45"/>
  <c r="AC147" i="45"/>
  <c r="GT152" i="43"/>
  <c r="GV152" i="43" s="1"/>
  <c r="BU152" i="43" s="1"/>
  <c r="HA152" i="43"/>
  <c r="HC152" i="43" s="1"/>
  <c r="CP152" i="43" s="1"/>
  <c r="HH152" i="43"/>
  <c r="HJ152" i="43" s="1"/>
  <c r="DI152" i="43" s="1"/>
  <c r="GQ153" i="43"/>
  <c r="GP153" i="43" s="1"/>
  <c r="GX153" i="43" l="1"/>
  <c r="GW153" i="43" s="1"/>
  <c r="GS153" i="43" s="1"/>
  <c r="BW152" i="43"/>
  <c r="HL153" i="43"/>
  <c r="HK153" i="43" s="1"/>
  <c r="HG153" i="43" s="1"/>
  <c r="DK152" i="43"/>
  <c r="HE153" i="43"/>
  <c r="HD153" i="43" s="1"/>
  <c r="GZ153" i="43" s="1"/>
  <c r="CR152" i="43"/>
  <c r="AB148" i="45"/>
  <c r="Y148" i="45"/>
  <c r="Z148" i="45" s="1"/>
  <c r="AN152" i="43"/>
  <c r="GK152" i="43"/>
  <c r="GU152" i="43" s="1"/>
  <c r="GL153" i="43"/>
  <c r="DY152" i="43" l="1"/>
  <c r="DZ152" i="43" s="1"/>
  <c r="GJ153" i="43"/>
  <c r="GM153" i="43" s="1"/>
  <c r="GO153" i="43" s="1"/>
  <c r="BB153" i="43" s="1"/>
  <c r="AA148" i="45"/>
  <c r="AC148" i="45"/>
  <c r="AO152" i="43"/>
  <c r="GN152" i="43"/>
  <c r="HI152" i="43"/>
  <c r="HB152" i="43"/>
  <c r="BD153" i="43" l="1"/>
  <c r="GT153" i="43"/>
  <c r="GV153" i="43" s="1"/>
  <c r="BU153" i="43" s="1"/>
  <c r="HH153" i="43"/>
  <c r="HJ153" i="43" s="1"/>
  <c r="DI153" i="43" s="1"/>
  <c r="HA153" i="43"/>
  <c r="HC153" i="43" s="1"/>
  <c r="CP153" i="43" s="1"/>
  <c r="FF152" i="43"/>
  <c r="T149" i="45"/>
  <c r="W149" i="45" s="1"/>
  <c r="GQ154" i="43"/>
  <c r="GP154" i="43" s="1"/>
  <c r="HL154" i="43" l="1"/>
  <c r="HK154" i="43" s="1"/>
  <c r="HG154" i="43" s="1"/>
  <c r="CR153" i="43"/>
  <c r="DK153" i="43"/>
  <c r="BW153" i="43"/>
  <c r="GX154" i="43"/>
  <c r="GW154" i="43" s="1"/>
  <c r="GS154" i="43" s="1"/>
  <c r="HE154" i="43"/>
  <c r="HD154" i="43" s="1"/>
  <c r="GZ154" i="43" s="1"/>
  <c r="AN153" i="43"/>
  <c r="GK153" i="43"/>
  <c r="HI153" i="43" s="1"/>
  <c r="AB149" i="45"/>
  <c r="Y149" i="45"/>
  <c r="Z149" i="45" s="1"/>
  <c r="GL154" i="43"/>
  <c r="AO153" i="43" l="1"/>
  <c r="DY153" i="43"/>
  <c r="DZ153" i="43" s="1"/>
  <c r="GU153" i="43"/>
  <c r="GN153" i="43"/>
  <c r="HB153" i="43"/>
  <c r="AC149" i="45"/>
  <c r="AA149" i="45"/>
  <c r="GJ154" i="43"/>
  <c r="HA154" i="43" s="1"/>
  <c r="HC154" i="43" s="1"/>
  <c r="CP154" i="43" s="1"/>
  <c r="T150" i="45" l="1"/>
  <c r="W150" i="45" s="1"/>
  <c r="Y150" i="45" s="1"/>
  <c r="Z150" i="45" s="1"/>
  <c r="FF153" i="43"/>
  <c r="HE155" i="43"/>
  <c r="HD155" i="43" s="1"/>
  <c r="GZ155" i="43" s="1"/>
  <c r="CR154" i="43"/>
  <c r="GT154" i="43"/>
  <c r="GV154" i="43" s="1"/>
  <c r="BU154" i="43" s="1"/>
  <c r="GM154" i="43"/>
  <c r="HH154" i="43"/>
  <c r="HJ154" i="43" s="1"/>
  <c r="DI154" i="43" s="1"/>
  <c r="AB150" i="45" l="1"/>
  <c r="AA150" i="45" s="1"/>
  <c r="HL155" i="43"/>
  <c r="HK155" i="43" s="1"/>
  <c r="HG155" i="43" s="1"/>
  <c r="DK154" i="43"/>
  <c r="GX155" i="43"/>
  <c r="GW155" i="43" s="1"/>
  <c r="GS155" i="43" s="1"/>
  <c r="BW154" i="43"/>
  <c r="GO154" i="43"/>
  <c r="BB154" i="43" s="1"/>
  <c r="GK154" i="43"/>
  <c r="AC150" i="45" l="1"/>
  <c r="BD154" i="43"/>
  <c r="GQ155" i="43"/>
  <c r="GP155" i="43" s="1"/>
  <c r="GL155" i="43" s="1"/>
  <c r="GJ155" i="43" s="1"/>
  <c r="HA155" i="43" s="1"/>
  <c r="HC155" i="43" s="1"/>
  <c r="CP155" i="43" s="1"/>
  <c r="AN154" i="43"/>
  <c r="GN154" i="43"/>
  <c r="HI154" i="43"/>
  <c r="GU154" i="43"/>
  <c r="HB154" i="43"/>
  <c r="HE156" i="43" l="1"/>
  <c r="HD156" i="43" s="1"/>
  <c r="GZ156" i="43" s="1"/>
  <c r="CR155" i="43"/>
  <c r="GT155" i="43"/>
  <c r="GV155" i="43" s="1"/>
  <c r="BU155" i="43" s="1"/>
  <c r="DY154" i="43"/>
  <c r="DZ154" i="43" s="1"/>
  <c r="AO154" i="43"/>
  <c r="HH155" i="43"/>
  <c r="HJ155" i="43" s="1"/>
  <c r="DI155" i="43" s="1"/>
  <c r="GM155" i="43"/>
  <c r="GO155" i="43" s="1"/>
  <c r="BB155" i="43" s="1"/>
  <c r="GQ156" i="43" l="1"/>
  <c r="GP156" i="43" s="1"/>
  <c r="GL156" i="43" s="1"/>
  <c r="BD155" i="43"/>
  <c r="GX156" i="43"/>
  <c r="GW156" i="43" s="1"/>
  <c r="GS156" i="43" s="1"/>
  <c r="BW155" i="43"/>
  <c r="HL156" i="43"/>
  <c r="HK156" i="43" s="1"/>
  <c r="HG156" i="43" s="1"/>
  <c r="DK155" i="43"/>
  <c r="FF154" i="43"/>
  <c r="T151" i="45"/>
  <c r="W151" i="45" s="1"/>
  <c r="AN155" i="43"/>
  <c r="GK155" i="43"/>
  <c r="GN155" i="43" s="1"/>
  <c r="DY155" i="43" l="1"/>
  <c r="DZ155" i="43" s="1"/>
  <c r="GJ156" i="43"/>
  <c r="HH156" i="43" s="1"/>
  <c r="HJ156" i="43" s="1"/>
  <c r="DI156" i="43" s="1"/>
  <c r="AB151" i="45"/>
  <c r="Y151" i="45"/>
  <c r="Z151" i="45" s="1"/>
  <c r="AO155" i="43"/>
  <c r="GU155" i="43"/>
  <c r="HI155" i="43"/>
  <c r="HB155" i="43"/>
  <c r="HA156" i="43" l="1"/>
  <c r="HC156" i="43" s="1"/>
  <c r="CP156" i="43" s="1"/>
  <c r="GT156" i="43"/>
  <c r="GV156" i="43" s="1"/>
  <c r="BU156" i="43" s="1"/>
  <c r="GM156" i="43"/>
  <c r="GO156" i="43" s="1"/>
  <c r="BB156" i="43" s="1"/>
  <c r="FF155" i="43"/>
  <c r="T152" i="45"/>
  <c r="AC151" i="45"/>
  <c r="AA151" i="45"/>
  <c r="DK156" i="43"/>
  <c r="HL157" i="43"/>
  <c r="HK157" i="43" s="1"/>
  <c r="HE157" i="43" l="1"/>
  <c r="HD157" i="43" s="1"/>
  <c r="GZ157" i="43" s="1"/>
  <c r="CR156" i="43"/>
  <c r="GX157" i="43"/>
  <c r="GW157" i="43" s="1"/>
  <c r="GS157" i="43" s="1"/>
  <c r="BW156" i="43"/>
  <c r="GK156" i="43"/>
  <c r="HB156" i="43" s="1"/>
  <c r="W152" i="45"/>
  <c r="Y152" i="45" s="1"/>
  <c r="Z152" i="45" s="1"/>
  <c r="HG157" i="43"/>
  <c r="BD156" i="43"/>
  <c r="AN156" i="43"/>
  <c r="GQ157" i="43"/>
  <c r="GP157" i="43" s="1"/>
  <c r="GN156" i="43" l="1"/>
  <c r="AB152" i="45"/>
  <c r="AC152" i="45" s="1"/>
  <c r="GU156" i="43"/>
  <c r="HI156" i="43"/>
  <c r="GL157" i="43"/>
  <c r="GJ157" i="43" s="1"/>
  <c r="GM157" i="43" s="1"/>
  <c r="AO156" i="43"/>
  <c r="DY156" i="43"/>
  <c r="DZ156" i="43" s="1"/>
  <c r="FF156" i="43" l="1"/>
  <c r="T153" i="45"/>
  <c r="W153" i="45" s="1"/>
  <c r="AA152" i="45"/>
  <c r="GO157" i="43"/>
  <c r="BB157" i="43" s="1"/>
  <c r="GT157" i="43"/>
  <c r="GV157" i="43" s="1"/>
  <c r="BU157" i="43" s="1"/>
  <c r="HA157" i="43"/>
  <c r="HC157" i="43" s="1"/>
  <c r="CP157" i="43" s="1"/>
  <c r="HH157" i="43"/>
  <c r="HJ157" i="43" s="1"/>
  <c r="DI157" i="43" s="1"/>
  <c r="BD157" i="43" l="1"/>
  <c r="HL158" i="43"/>
  <c r="HK158" i="43" s="1"/>
  <c r="HG158" i="43" s="1"/>
  <c r="DK157" i="43"/>
  <c r="HE158" i="43"/>
  <c r="HD158" i="43" s="1"/>
  <c r="GZ158" i="43" s="1"/>
  <c r="CR157" i="43"/>
  <c r="GX158" i="43"/>
  <c r="GW158" i="43" s="1"/>
  <c r="GS158" i="43" s="1"/>
  <c r="BW157" i="43"/>
  <c r="AB153" i="45"/>
  <c r="Y153" i="45"/>
  <c r="Z153" i="45" s="1"/>
  <c r="GK157" i="43"/>
  <c r="GQ158" i="43"/>
  <c r="GP158" i="43" s="1"/>
  <c r="GL158" i="43" s="1"/>
  <c r="AN157" i="43"/>
  <c r="AA153" i="45" l="1"/>
  <c r="AC153" i="45"/>
  <c r="GJ158" i="43"/>
  <c r="GM158" i="43" s="1"/>
  <c r="GO158" i="43" s="1"/>
  <c r="BB158" i="43" s="1"/>
  <c r="AO157" i="43"/>
  <c r="DY157" i="43"/>
  <c r="DZ157" i="43" s="1"/>
  <c r="GU157" i="43"/>
  <c r="GN157" i="43"/>
  <c r="HI157" i="43"/>
  <c r="HB157" i="43"/>
  <c r="BD158" i="43" l="1"/>
  <c r="FF157" i="43"/>
  <c r="T154" i="45"/>
  <c r="HA158" i="43"/>
  <c r="GT158" i="43"/>
  <c r="HH158" i="43"/>
  <c r="GQ159" i="43"/>
  <c r="GP159" i="43" s="1"/>
  <c r="W154" i="45" l="1"/>
  <c r="Y154" i="45" s="1"/>
  <c r="Z154" i="45" s="1"/>
  <c r="GK158" i="43"/>
  <c r="GN158" i="43" s="1"/>
  <c r="GL159" i="43"/>
  <c r="AB154" i="45" l="1"/>
  <c r="AA154" i="45" s="1"/>
  <c r="HB158" i="43"/>
  <c r="HC158" i="43" s="1"/>
  <c r="CP158" i="43" s="1"/>
  <c r="HI158" i="43"/>
  <c r="HJ158" i="43" s="1"/>
  <c r="DI158" i="43" s="1"/>
  <c r="GU158" i="43"/>
  <c r="GV158" i="43" s="1"/>
  <c r="BU158" i="43" s="1"/>
  <c r="BW158" i="43" l="1"/>
  <c r="AN158" i="43"/>
  <c r="GX159" i="43"/>
  <c r="GW159" i="43" s="1"/>
  <c r="GS159" i="43" s="1"/>
  <c r="DK158" i="43"/>
  <c r="HL159" i="43"/>
  <c r="HK159" i="43" s="1"/>
  <c r="HG159" i="43" s="1"/>
  <c r="HE159" i="43"/>
  <c r="HD159" i="43" s="1"/>
  <c r="GZ159" i="43" s="1"/>
  <c r="CR158" i="43"/>
  <c r="AC154" i="45"/>
  <c r="AO158" i="43" l="1"/>
  <c r="DY158" i="43"/>
  <c r="DZ158" i="43" s="1"/>
  <c r="GJ159" i="43"/>
  <c r="FF158" i="43" l="1"/>
  <c r="T155" i="45"/>
  <c r="GT159" i="43"/>
  <c r="HH159" i="43"/>
  <c r="GM159" i="43"/>
  <c r="HA159" i="43"/>
  <c r="W155" i="45" l="1"/>
  <c r="Y155" i="45" s="1"/>
  <c r="Z155" i="45" s="1"/>
  <c r="GO159" i="43"/>
  <c r="BB159" i="43" s="1"/>
  <c r="GK159" i="43"/>
  <c r="AB155" i="45" l="1"/>
  <c r="AC155" i="45" s="1"/>
  <c r="GN159" i="43"/>
  <c r="HB159" i="43"/>
  <c r="HC159" i="43" s="1"/>
  <c r="CP159" i="43" s="1"/>
  <c r="GU159" i="43"/>
  <c r="GV159" i="43" s="1"/>
  <c r="BU159" i="43" s="1"/>
  <c r="HI159" i="43"/>
  <c r="HJ159" i="43" s="1"/>
  <c r="DI159" i="43" s="1"/>
  <c r="GQ160" i="43"/>
  <c r="GP160" i="43" s="1"/>
  <c r="GL160" i="43" s="1"/>
  <c r="BD159" i="43"/>
  <c r="AA155" i="45" l="1"/>
  <c r="HL160" i="43"/>
  <c r="HK160" i="43" s="1"/>
  <c r="DK159" i="43"/>
  <c r="GX160" i="43"/>
  <c r="GW160" i="43" s="1"/>
  <c r="AN159" i="43"/>
  <c r="BW159" i="43"/>
  <c r="HE160" i="43"/>
  <c r="HD160" i="43" s="1"/>
  <c r="CR159" i="43"/>
  <c r="GS160" i="43" l="1"/>
  <c r="GZ160" i="43"/>
  <c r="DY159" i="43"/>
  <c r="DZ159" i="43" s="1"/>
  <c r="AO159" i="43"/>
  <c r="HG160" i="43"/>
  <c r="FF159" i="43" l="1"/>
  <c r="T156" i="45"/>
  <c r="GJ160" i="43"/>
  <c r="GM160" i="43" l="1"/>
  <c r="HH160" i="43"/>
  <c r="HA160" i="43"/>
  <c r="GT160" i="43"/>
  <c r="W156" i="45"/>
  <c r="Y156" i="45" s="1"/>
  <c r="Z156" i="45" s="1"/>
  <c r="AB156" i="45" l="1"/>
  <c r="GO160" i="43"/>
  <c r="BB160" i="43" s="1"/>
  <c r="GK160" i="43"/>
  <c r="GN160" i="43" l="1"/>
  <c r="HB160" i="43"/>
  <c r="HC160" i="43" s="1"/>
  <c r="CP160" i="43" s="1"/>
  <c r="GU160" i="43"/>
  <c r="GV160" i="43" s="1"/>
  <c r="BU160" i="43" s="1"/>
  <c r="HI160" i="43"/>
  <c r="HJ160" i="43" s="1"/>
  <c r="DI160" i="43" s="1"/>
  <c r="GQ161" i="43"/>
  <c r="GP161" i="43" s="1"/>
  <c r="BD160" i="43"/>
  <c r="AC156" i="45"/>
  <c r="AA156" i="45"/>
  <c r="AN160" i="43" l="1"/>
  <c r="GX161" i="43"/>
  <c r="GW161" i="43" s="1"/>
  <c r="BW160" i="43"/>
  <c r="HE161" i="43"/>
  <c r="HD161" i="43" s="1"/>
  <c r="GZ161" i="43" s="1"/>
  <c r="CR160" i="43"/>
  <c r="HL161" i="43"/>
  <c r="HK161" i="43" s="1"/>
  <c r="DK160" i="43"/>
  <c r="GL161" i="43"/>
  <c r="DY160" i="43" l="1"/>
  <c r="DZ160" i="43" s="1"/>
  <c r="AO160" i="43"/>
  <c r="HG161" i="43"/>
  <c r="GS161" i="43"/>
  <c r="GJ161" i="43" l="1"/>
  <c r="GT161" i="43" s="1"/>
  <c r="FF160" i="43"/>
  <c r="T157" i="45"/>
  <c r="W157" i="45" s="1"/>
  <c r="Y157" i="45" s="1"/>
  <c r="Z157" i="45" s="1"/>
  <c r="GM161" i="43" l="1"/>
  <c r="GO161" i="43" s="1"/>
  <c r="BB161" i="43" s="1"/>
  <c r="HA161" i="43"/>
  <c r="HH161" i="43"/>
  <c r="AB157" i="45"/>
  <c r="GK161" i="43" l="1"/>
  <c r="HB161" i="43" s="1"/>
  <c r="HC161" i="43" s="1"/>
  <c r="CP161" i="43" s="1"/>
  <c r="AA157" i="45"/>
  <c r="AC157" i="45"/>
  <c r="BD161" i="43"/>
  <c r="GQ162" i="43"/>
  <c r="GP162" i="43" s="1"/>
  <c r="GN161" i="43" l="1"/>
  <c r="HI161" i="43"/>
  <c r="HJ161" i="43" s="1"/>
  <c r="DI161" i="43" s="1"/>
  <c r="GU161" i="43"/>
  <c r="GV161" i="43" s="1"/>
  <c r="BU161" i="43" s="1"/>
  <c r="GL162" i="43"/>
  <c r="CR161" i="43"/>
  <c r="HE162" i="43"/>
  <c r="HD162" i="43" s="1"/>
  <c r="GX162" i="43" l="1"/>
  <c r="GW162" i="43" s="1"/>
  <c r="GS162" i="43" s="1"/>
  <c r="HL162" i="43"/>
  <c r="HK162" i="43" s="1"/>
  <c r="HG162" i="43" s="1"/>
  <c r="DK161" i="43"/>
  <c r="BW161" i="43"/>
  <c r="AN161" i="43"/>
  <c r="GZ162" i="43"/>
  <c r="AO161" i="43" l="1"/>
  <c r="DY161" i="43"/>
  <c r="DZ161" i="43" s="1"/>
  <c r="GJ162" i="43"/>
  <c r="FF161" i="43" l="1"/>
  <c r="T158" i="45"/>
  <c r="W158" i="45" s="1"/>
  <c r="Y158" i="45" s="1"/>
  <c r="Z158" i="45" s="1"/>
  <c r="GM162" i="43"/>
  <c r="GT162" i="43"/>
  <c r="HA162" i="43"/>
  <c r="HH162" i="43"/>
  <c r="AB158" i="45" l="1"/>
  <c r="AC158" i="45" s="1"/>
  <c r="GO162" i="43"/>
  <c r="BB162" i="43" s="1"/>
  <c r="GK162" i="43"/>
  <c r="BD162" i="43" l="1"/>
  <c r="AA158" i="45"/>
  <c r="GN162" i="43"/>
  <c r="HB162" i="43"/>
  <c r="HC162" i="43" s="1"/>
  <c r="CP162" i="43" s="1"/>
  <c r="HI162" i="43"/>
  <c r="HJ162" i="43" s="1"/>
  <c r="DI162" i="43" s="1"/>
  <c r="GU162" i="43"/>
  <c r="GV162" i="43" s="1"/>
  <c r="BU162" i="43" s="1"/>
  <c r="GQ163" i="43"/>
  <c r="GP163" i="43" s="1"/>
  <c r="GX163" i="43" l="1"/>
  <c r="GW163" i="43" s="1"/>
  <c r="GS163" i="43" s="1"/>
  <c r="BW162" i="43"/>
  <c r="HL163" i="43"/>
  <c r="HK163" i="43" s="1"/>
  <c r="HG163" i="43" s="1"/>
  <c r="DK162" i="43"/>
  <c r="HE163" i="43"/>
  <c r="HD163" i="43" s="1"/>
  <c r="GZ163" i="43" s="1"/>
  <c r="CR162" i="43"/>
  <c r="GL163" i="43"/>
  <c r="AN162" i="43"/>
  <c r="GJ163" i="43" l="1"/>
  <c r="GT163" i="43" s="1"/>
  <c r="AO162" i="43"/>
  <c r="DY162" i="43"/>
  <c r="DZ162" i="43" s="1"/>
  <c r="GM163" i="43" l="1"/>
  <c r="GO163" i="43" s="1"/>
  <c r="BB163" i="43" s="1"/>
  <c r="HH163" i="43"/>
  <c r="HA163" i="43"/>
  <c r="FF162" i="43"/>
  <c r="T159" i="45"/>
  <c r="W159" i="45" s="1"/>
  <c r="BD163" i="43" l="1"/>
  <c r="GK163" i="43"/>
  <c r="GN163" i="43" s="1"/>
  <c r="AB159" i="45"/>
  <c r="Y159" i="45"/>
  <c r="Z159" i="45" s="1"/>
  <c r="GQ164" i="43"/>
  <c r="GP164" i="43" s="1"/>
  <c r="GL164" i="43" s="1"/>
  <c r="HI163" i="43" l="1"/>
  <c r="HJ163" i="43" s="1"/>
  <c r="DI163" i="43" s="1"/>
  <c r="HB163" i="43"/>
  <c r="HC163" i="43" s="1"/>
  <c r="CP163" i="43" s="1"/>
  <c r="GU163" i="43"/>
  <c r="GV163" i="43" s="1"/>
  <c r="BU163" i="43" s="1"/>
  <c r="AA159" i="45"/>
  <c r="AC159" i="45"/>
  <c r="GX164" i="43" l="1"/>
  <c r="GW164" i="43" s="1"/>
  <c r="GS164" i="43" s="1"/>
  <c r="BW163" i="43"/>
  <c r="CR163" i="43"/>
  <c r="HL164" i="43"/>
  <c r="HK164" i="43" s="1"/>
  <c r="HG164" i="43" s="1"/>
  <c r="DK163" i="43"/>
  <c r="HE164" i="43"/>
  <c r="HD164" i="43" s="1"/>
  <c r="GZ164" i="43" s="1"/>
  <c r="AN163" i="43"/>
  <c r="GJ164" i="43" l="1"/>
  <c r="GT164" i="43" s="1"/>
  <c r="GV164" i="43" s="1"/>
  <c r="BU164" i="43" s="1"/>
  <c r="DY163" i="43"/>
  <c r="DZ163" i="43" s="1"/>
  <c r="AO163" i="43"/>
  <c r="GX165" i="43" l="1"/>
  <c r="GW165" i="43" s="1"/>
  <c r="GS165" i="43" s="1"/>
  <c r="BW164" i="43"/>
  <c r="HA164" i="43"/>
  <c r="GM164" i="43"/>
  <c r="GO164" i="43" s="1"/>
  <c r="BB164" i="43" s="1"/>
  <c r="HH164" i="43"/>
  <c r="FF163" i="43"/>
  <c r="T160" i="45"/>
  <c r="GQ165" i="43" l="1"/>
  <c r="GP165" i="43" s="1"/>
  <c r="GL165" i="43" s="1"/>
  <c r="BD164" i="43"/>
  <c r="GK164" i="43"/>
  <c r="HI164" i="43" s="1"/>
  <c r="HJ164" i="43" s="1"/>
  <c r="DI164" i="43" s="1"/>
  <c r="W160" i="45"/>
  <c r="Y160" i="45" s="1"/>
  <c r="Z160" i="45" s="1"/>
  <c r="HL165" i="43" l="1"/>
  <c r="HK165" i="43" s="1"/>
  <c r="HG165" i="43" s="1"/>
  <c r="DK164" i="43"/>
  <c r="GU164" i="43"/>
  <c r="HB164" i="43"/>
  <c r="HC164" i="43" s="1"/>
  <c r="CP164" i="43" s="1"/>
  <c r="GN164" i="43"/>
  <c r="AB160" i="45"/>
  <c r="AC160" i="45" s="1"/>
  <c r="CR164" i="43" l="1"/>
  <c r="HE165" i="43"/>
  <c r="HD165" i="43" s="1"/>
  <c r="GZ165" i="43" s="1"/>
  <c r="GJ165" i="43" s="1"/>
  <c r="AN164" i="43"/>
  <c r="AA160" i="45"/>
  <c r="AO164" i="43" l="1"/>
  <c r="DY164" i="43"/>
  <c r="DZ164" i="43" s="1"/>
  <c r="HH165" i="43"/>
  <c r="GT165" i="43"/>
  <c r="GV165" i="43" s="1"/>
  <c r="BU165" i="43" s="1"/>
  <c r="GM165" i="43"/>
  <c r="HA165" i="43"/>
  <c r="T161" i="45" l="1"/>
  <c r="W161" i="45" s="1"/>
  <c r="Y161" i="45" s="1"/>
  <c r="Z161" i="45" s="1"/>
  <c r="FF164" i="43"/>
  <c r="GX166" i="43"/>
  <c r="GW166" i="43" s="1"/>
  <c r="GS166" i="43" s="1"/>
  <c r="BW165" i="43"/>
  <c r="GK165" i="43"/>
  <c r="AB161" i="45" l="1"/>
  <c r="AA161" i="45" s="1"/>
  <c r="GU165" i="43"/>
  <c r="HB165" i="43"/>
  <c r="HC165" i="43" s="1"/>
  <c r="CP165" i="43" s="1"/>
  <c r="GN165" i="43"/>
  <c r="GO165" i="43" s="1"/>
  <c r="BB165" i="43" s="1"/>
  <c r="HI165" i="43"/>
  <c r="HJ165" i="43" s="1"/>
  <c r="DI165" i="43" s="1"/>
  <c r="GQ166" i="43" l="1"/>
  <c r="GP166" i="43" s="1"/>
  <c r="GL166" i="43" s="1"/>
  <c r="BD165" i="43"/>
  <c r="HE166" i="43"/>
  <c r="HD166" i="43" s="1"/>
  <c r="GZ166" i="43" s="1"/>
  <c r="CR165" i="43"/>
  <c r="HL166" i="43"/>
  <c r="HK166" i="43" s="1"/>
  <c r="HG166" i="43" s="1"/>
  <c r="DK165" i="43"/>
  <c r="AN165" i="43"/>
  <c r="AC161" i="45"/>
  <c r="AO165" i="43" l="1"/>
  <c r="DY165" i="43"/>
  <c r="DZ165" i="43" s="1"/>
  <c r="GJ166" i="43"/>
  <c r="HH166" i="43" s="1"/>
  <c r="T162" i="45" l="1"/>
  <c r="W162" i="45" s="1"/>
  <c r="Y162" i="45" s="1"/>
  <c r="Z162" i="45" s="1"/>
  <c r="FF165" i="43"/>
  <c r="GM166" i="43"/>
  <c r="HA166" i="43"/>
  <c r="GT166" i="43"/>
  <c r="GV166" i="43" s="1"/>
  <c r="BU166" i="43" s="1"/>
  <c r="AB162" i="45" l="1"/>
  <c r="AA162" i="45" s="1"/>
  <c r="GX167" i="43"/>
  <c r="GW167" i="43" s="1"/>
  <c r="GS167" i="43" s="1"/>
  <c r="BW166" i="43"/>
  <c r="GK166" i="43"/>
  <c r="GN166" i="43" s="1"/>
  <c r="GO166" i="43" s="1"/>
  <c r="BB166" i="43" s="1"/>
  <c r="AC162" i="45" l="1"/>
  <c r="BD166" i="43"/>
  <c r="GU166" i="43"/>
  <c r="HB166" i="43"/>
  <c r="HC166" i="43" s="1"/>
  <c r="CP166" i="43" s="1"/>
  <c r="HI166" i="43"/>
  <c r="HJ166" i="43" s="1"/>
  <c r="DI166" i="43" s="1"/>
  <c r="GQ167" i="43"/>
  <c r="GP167" i="43" s="1"/>
  <c r="HE167" i="43" l="1"/>
  <c r="HD167" i="43" s="1"/>
  <c r="GZ167" i="43" s="1"/>
  <c r="CR166" i="43"/>
  <c r="HL167" i="43"/>
  <c r="HK167" i="43" s="1"/>
  <c r="HG167" i="43" s="1"/>
  <c r="DK166" i="43"/>
  <c r="AN166" i="43"/>
  <c r="GL167" i="43"/>
  <c r="AO166" i="43" l="1"/>
  <c r="GJ167" i="43"/>
  <c r="HA167" i="43" s="1"/>
  <c r="DY166" i="43"/>
  <c r="DZ166" i="43" s="1"/>
  <c r="T163" i="45" l="1"/>
  <c r="W163" i="45" s="1"/>
  <c r="Y163" i="45" s="1"/>
  <c r="Z163" i="45" s="1"/>
  <c r="FF166" i="43"/>
  <c r="GT167" i="43"/>
  <c r="GV167" i="43" s="1"/>
  <c r="BU167" i="43" s="1"/>
  <c r="HH167" i="43"/>
  <c r="GM167" i="43"/>
  <c r="GK167" i="43" l="1"/>
  <c r="GU167" i="43" s="1"/>
  <c r="AB163" i="45"/>
  <c r="AC163" i="45" s="1"/>
  <c r="GX168" i="43"/>
  <c r="GW168" i="43" s="1"/>
  <c r="BW167" i="43"/>
  <c r="GN167" i="43" l="1"/>
  <c r="GO167" i="43" s="1"/>
  <c r="BB167" i="43" s="1"/>
  <c r="HI167" i="43"/>
  <c r="HJ167" i="43" s="1"/>
  <c r="DI167" i="43" s="1"/>
  <c r="HB167" i="43"/>
  <c r="HC167" i="43" s="1"/>
  <c r="CP167" i="43" s="1"/>
  <c r="AA163" i="45"/>
  <c r="GS168" i="43"/>
  <c r="GQ168" i="43" l="1"/>
  <c r="GP168" i="43" s="1"/>
  <c r="GL168" i="43" s="1"/>
  <c r="DK167" i="43"/>
  <c r="HL168" i="43"/>
  <c r="HK168" i="43" s="1"/>
  <c r="HG168" i="43" s="1"/>
  <c r="BD167" i="43"/>
  <c r="AN167" i="43"/>
  <c r="HE168" i="43"/>
  <c r="HD168" i="43" s="1"/>
  <c r="CR167" i="43"/>
  <c r="DY167" i="43" l="1"/>
  <c r="DZ167" i="43" s="1"/>
  <c r="AO167" i="43"/>
  <c r="GZ168" i="43"/>
  <c r="GJ168" i="43" s="1"/>
  <c r="GT168" i="43" l="1"/>
  <c r="GM168" i="43"/>
  <c r="HA168" i="43"/>
  <c r="HH168" i="43"/>
  <c r="T164" i="45"/>
  <c r="W164" i="45" s="1"/>
  <c r="Y164" i="45" s="1"/>
  <c r="Z164" i="45" s="1"/>
  <c r="FF167" i="43"/>
  <c r="GK168" i="43" l="1"/>
  <c r="AB164" i="45"/>
  <c r="AA164" i="45" s="1"/>
  <c r="HB168" i="43" l="1"/>
  <c r="HC168" i="43" s="1"/>
  <c r="CP168" i="43" s="1"/>
  <c r="GU168" i="43"/>
  <c r="GV168" i="43" s="1"/>
  <c r="BU168" i="43" s="1"/>
  <c r="HI168" i="43"/>
  <c r="HJ168" i="43" s="1"/>
  <c r="DI168" i="43" s="1"/>
  <c r="GN168" i="43"/>
  <c r="GO168" i="43" s="1"/>
  <c r="BB168" i="43" s="1"/>
  <c r="AC164" i="45"/>
  <c r="AN168" i="43" l="1"/>
  <c r="BD168" i="43"/>
  <c r="GQ169" i="43"/>
  <c r="GP169" i="43" s="1"/>
  <c r="GL169" i="43" s="1"/>
  <c r="DK168" i="43"/>
  <c r="HL169" i="43"/>
  <c r="HK169" i="43" s="1"/>
  <c r="HG169" i="43" s="1"/>
  <c r="GX169" i="43"/>
  <c r="GW169" i="43" s="1"/>
  <c r="GS169" i="43" s="1"/>
  <c r="BW168" i="43"/>
  <c r="HE169" i="43"/>
  <c r="HD169" i="43" s="1"/>
  <c r="GZ169" i="43" s="1"/>
  <c r="CR168" i="43"/>
  <c r="GJ169" i="43" l="1"/>
  <c r="GM169" i="43" s="1"/>
  <c r="DY168" i="43"/>
  <c r="DZ168" i="43" s="1"/>
  <c r="AO168" i="43"/>
  <c r="FF168" i="43" l="1"/>
  <c r="T165" i="45"/>
  <c r="W165" i="45" s="1"/>
  <c r="HA169" i="43"/>
  <c r="GT169" i="43"/>
  <c r="HH169" i="43"/>
  <c r="GK169" i="43" l="1"/>
  <c r="GU169" i="43" s="1"/>
  <c r="GV169" i="43" s="1"/>
  <c r="BU169" i="43" s="1"/>
  <c r="AB165" i="45"/>
  <c r="Y165" i="45"/>
  <c r="Z165" i="45" s="1"/>
  <c r="HI169" i="43" l="1"/>
  <c r="HJ169" i="43" s="1"/>
  <c r="DI169" i="43" s="1"/>
  <c r="BW169" i="43"/>
  <c r="GX170" i="43"/>
  <c r="GW170" i="43" s="1"/>
  <c r="GS170" i="43" s="1"/>
  <c r="HB169" i="43"/>
  <c r="HC169" i="43" s="1"/>
  <c r="CP169" i="43" s="1"/>
  <c r="GN169" i="43"/>
  <c r="GO169" i="43" s="1"/>
  <c r="BB169" i="43" s="1"/>
  <c r="AA165" i="45"/>
  <c r="AC165" i="45"/>
  <c r="DK169" i="43" l="1"/>
  <c r="HL170" i="43"/>
  <c r="HK170" i="43" s="1"/>
  <c r="HG170" i="43" s="1"/>
  <c r="CR169" i="43"/>
  <c r="HE170" i="43"/>
  <c r="HD170" i="43" s="1"/>
  <c r="GZ170" i="43" s="1"/>
  <c r="BD169" i="43"/>
  <c r="GQ170" i="43"/>
  <c r="GP170" i="43" s="1"/>
  <c r="GL170" i="43" s="1"/>
  <c r="AN169" i="43"/>
  <c r="GJ170" i="43" l="1"/>
  <c r="HA170" i="43" s="1"/>
  <c r="AO169" i="43"/>
  <c r="DY169" i="43"/>
  <c r="DZ169" i="43" s="1"/>
  <c r="GT170" i="43" l="1"/>
  <c r="GM170" i="43"/>
  <c r="HH170" i="43"/>
  <c r="T166" i="45"/>
  <c r="FF169" i="43"/>
  <c r="GK170" i="43" l="1"/>
  <c r="HB170" i="43" s="1"/>
  <c r="HC170" i="43" s="1"/>
  <c r="CP170" i="43" s="1"/>
  <c r="W166" i="45"/>
  <c r="Y166" i="45" s="1"/>
  <c r="Z166" i="45" s="1"/>
  <c r="HI170" i="43" l="1"/>
  <c r="HJ170" i="43" s="1"/>
  <c r="DI170" i="43" s="1"/>
  <c r="GU170" i="43"/>
  <c r="GV170" i="43" s="1"/>
  <c r="BU170" i="43" s="1"/>
  <c r="HE171" i="43"/>
  <c r="HD171" i="43" s="1"/>
  <c r="GZ171" i="43" s="1"/>
  <c r="CR170" i="43"/>
  <c r="GN170" i="43"/>
  <c r="GO170" i="43" s="1"/>
  <c r="BB170" i="43" s="1"/>
  <c r="AB166" i="45"/>
  <c r="AC166" i="45" s="1"/>
  <c r="BW170" i="43" l="1"/>
  <c r="HL171" i="43"/>
  <c r="HK171" i="43" s="1"/>
  <c r="HG171" i="43" s="1"/>
  <c r="DK170" i="43"/>
  <c r="BD170" i="43"/>
  <c r="GX171" i="43"/>
  <c r="GW171" i="43" s="1"/>
  <c r="GS171" i="43" s="1"/>
  <c r="GQ171" i="43"/>
  <c r="GP171" i="43" s="1"/>
  <c r="GL171" i="43" s="1"/>
  <c r="AN170" i="43"/>
  <c r="AA166" i="45"/>
  <c r="DY170" i="43" l="1"/>
  <c r="DZ170" i="43" s="1"/>
  <c r="GJ171" i="43"/>
  <c r="GM171" i="43" s="1"/>
  <c r="AO170" i="43"/>
  <c r="T167" i="45" l="1"/>
  <c r="W167" i="45" s="1"/>
  <c r="Y167" i="45" s="1"/>
  <c r="HH171" i="43"/>
  <c r="GT171" i="43"/>
  <c r="HA171" i="43"/>
  <c r="FF170" i="43"/>
  <c r="GK171" i="43" l="1"/>
  <c r="GU171" i="43" s="1"/>
  <c r="GV171" i="43" s="1"/>
  <c r="BU171" i="43" s="1"/>
  <c r="AB167" i="45"/>
  <c r="AC167" i="45" s="1"/>
  <c r="Z167" i="45"/>
  <c r="GN171" i="43" l="1"/>
  <c r="GO171" i="43" s="1"/>
  <c r="BB171" i="43" s="1"/>
  <c r="HI171" i="43"/>
  <c r="HJ171" i="43" s="1"/>
  <c r="DI171" i="43" s="1"/>
  <c r="BW171" i="43"/>
  <c r="AA167" i="45"/>
  <c r="HB171" i="43"/>
  <c r="HC171" i="43" s="1"/>
  <c r="CP171" i="43" s="1"/>
  <c r="GX172" i="43"/>
  <c r="GW172" i="43" s="1"/>
  <c r="GS172" i="43" s="1"/>
  <c r="HL172" i="43" l="1"/>
  <c r="HK172" i="43" s="1"/>
  <c r="HG172" i="43" s="1"/>
  <c r="DK171" i="43"/>
  <c r="BD171" i="43"/>
  <c r="GQ172" i="43"/>
  <c r="GP172" i="43" s="1"/>
  <c r="GL172" i="43" s="1"/>
  <c r="CR171" i="43"/>
  <c r="AN171" i="43"/>
  <c r="HE172" i="43"/>
  <c r="HD172" i="43" s="1"/>
  <c r="GZ172" i="43" s="1"/>
  <c r="GJ172" i="43" l="1"/>
  <c r="GM172" i="43" s="1"/>
  <c r="DY171" i="43"/>
  <c r="DZ171" i="43" s="1"/>
  <c r="AO171" i="43"/>
  <c r="T168" i="45" s="1"/>
  <c r="W168" i="45" s="1"/>
  <c r="Y168" i="45" s="1"/>
  <c r="HH172" i="43" l="1"/>
  <c r="HA172" i="43"/>
  <c r="GT172" i="43"/>
  <c r="FF171" i="43"/>
  <c r="AB168" i="45"/>
  <c r="AC168" i="45" s="1"/>
  <c r="Z168" i="45"/>
  <c r="GK172" i="43" l="1"/>
  <c r="HB172" i="43" s="1"/>
  <c r="HC172" i="43" s="1"/>
  <c r="CP172" i="43" s="1"/>
  <c r="CR172" i="43" s="1"/>
  <c r="AA168" i="45"/>
  <c r="GN172" i="43" l="1"/>
  <c r="GO172" i="43" s="1"/>
  <c r="BB172" i="43" s="1"/>
  <c r="GQ173" i="43" s="1"/>
  <c r="GP173" i="43" s="1"/>
  <c r="GL173" i="43" s="1"/>
  <c r="GU172" i="43"/>
  <c r="GV172" i="43" s="1"/>
  <c r="BU172" i="43" s="1"/>
  <c r="GX173" i="43" s="1"/>
  <c r="GW173" i="43" s="1"/>
  <c r="GS173" i="43" s="1"/>
  <c r="HI172" i="43"/>
  <c r="HJ172" i="43" s="1"/>
  <c r="DI172" i="43" s="1"/>
  <c r="HL173" i="43" s="1"/>
  <c r="HK173" i="43" s="1"/>
  <c r="HG173" i="43" s="1"/>
  <c r="HE173" i="43"/>
  <c r="HD173" i="43" s="1"/>
  <c r="GZ173" i="43" s="1"/>
  <c r="BD172" i="43" l="1"/>
  <c r="BW172" i="43"/>
  <c r="AN172" i="43"/>
  <c r="DY172" i="43" s="1"/>
  <c r="DZ172" i="43" s="1"/>
  <c r="DK172" i="43"/>
  <c r="GJ173" i="43"/>
  <c r="GM173" i="43" s="1"/>
  <c r="AO172" i="43" l="1"/>
  <c r="HA173" i="43"/>
  <c r="HH173" i="43"/>
  <c r="GT173" i="43"/>
  <c r="GK173" i="43" l="1"/>
  <c r="GN173" i="43" s="1"/>
  <c r="GO173" i="43" s="1"/>
  <c r="BB173" i="43" s="1"/>
  <c r="BD173" i="43" s="1"/>
  <c r="FF172" i="43"/>
  <c r="T169" i="45"/>
  <c r="W169" i="45" s="1"/>
  <c r="AB169" i="45" s="1"/>
  <c r="AA169" i="45" s="1"/>
  <c r="GQ174" i="43" l="1"/>
  <c r="GP174" i="43" s="1"/>
  <c r="GL174" i="43" s="1"/>
  <c r="HI173" i="43"/>
  <c r="HJ173" i="43" s="1"/>
  <c r="DI173" i="43" s="1"/>
  <c r="HL174" i="43" s="1"/>
  <c r="HK174" i="43" s="1"/>
  <c r="HG174" i="43" s="1"/>
  <c r="HB173" i="43"/>
  <c r="HC173" i="43" s="1"/>
  <c r="CP173" i="43" s="1"/>
  <c r="HE174" i="43" s="1"/>
  <c r="HD174" i="43" s="1"/>
  <c r="GZ174" i="43" s="1"/>
  <c r="GU173" i="43"/>
  <c r="GV173" i="43" s="1"/>
  <c r="BU173" i="43" s="1"/>
  <c r="BW173" i="43" s="1"/>
  <c r="Y169" i="45"/>
  <c r="Z169" i="45" s="1"/>
  <c r="AC169" i="45"/>
  <c r="GX174" i="43" l="1"/>
  <c r="GW174" i="43" s="1"/>
  <c r="GS174" i="43" s="1"/>
  <c r="GJ174" i="43" s="1"/>
  <c r="GM174" i="43" s="1"/>
  <c r="CR173" i="43"/>
  <c r="AN173" i="43"/>
  <c r="AO173" i="43" s="1"/>
  <c r="DK173" i="43"/>
  <c r="DY173" i="43" l="1"/>
  <c r="DZ173" i="43" s="1"/>
  <c r="T170" i="45"/>
  <c r="W170" i="45" s="1"/>
  <c r="AB170" i="45" s="1"/>
  <c r="AC170" i="45" s="1"/>
  <c r="FF173" i="43"/>
  <c r="HA174" i="43"/>
  <c r="GT174" i="43"/>
  <c r="HH174" i="43"/>
  <c r="Y170" i="45" l="1"/>
  <c r="Z170" i="45" s="1"/>
  <c r="AA170" i="45"/>
  <c r="GK174" i="43"/>
  <c r="GU174" i="43" s="1"/>
  <c r="GV174" i="43" s="1"/>
  <c r="BU174" i="43" s="1"/>
  <c r="GX175" i="43" l="1"/>
  <c r="GW175" i="43" s="1"/>
  <c r="GS175" i="43" s="1"/>
  <c r="HI174" i="43"/>
  <c r="HJ174" i="43" s="1"/>
  <c r="DI174" i="43" s="1"/>
  <c r="HB174" i="43"/>
  <c r="HC174" i="43" s="1"/>
  <c r="CP174" i="43" s="1"/>
  <c r="BW174" i="43"/>
  <c r="GN174" i="43"/>
  <c r="GO174" i="43" s="1"/>
  <c r="BB174" i="43" s="1"/>
  <c r="HE175" i="43" l="1"/>
  <c r="HD175" i="43" s="1"/>
  <c r="GZ175" i="43" s="1"/>
  <c r="BD174" i="43"/>
  <c r="CR174" i="43"/>
  <c r="AN174" i="43"/>
  <c r="DK174" i="43"/>
  <c r="HL175" i="43"/>
  <c r="HK175" i="43" s="1"/>
  <c r="HG175" i="43" s="1"/>
  <c r="GQ175" i="43"/>
  <c r="GP175" i="43" s="1"/>
  <c r="GL175" i="43" s="1"/>
  <c r="AO174" i="43" l="1"/>
  <c r="T171" i="45" s="1"/>
  <c r="W171" i="45" s="1"/>
  <c r="AB171" i="45" s="1"/>
  <c r="AA171" i="45" s="1"/>
  <c r="DY174" i="43"/>
  <c r="DZ174" i="43" s="1"/>
  <c r="GJ175" i="43"/>
  <c r="HA175" i="43" s="1"/>
  <c r="FF174" i="43" l="1"/>
  <c r="HH175" i="43"/>
  <c r="Y171" i="45"/>
  <c r="Z171" i="45" s="1"/>
  <c r="AC171" i="45"/>
  <c r="GT175" i="43"/>
  <c r="GM175" i="43"/>
  <c r="GK175" i="43" l="1"/>
  <c r="HI175" i="43" l="1"/>
  <c r="HJ175" i="43" s="1"/>
  <c r="DI175" i="43" s="1"/>
  <c r="HB175" i="43"/>
  <c r="HC175" i="43" s="1"/>
  <c r="CP175" i="43" s="1"/>
  <c r="GN175" i="43"/>
  <c r="GO175" i="43" s="1"/>
  <c r="BB175" i="43" s="1"/>
  <c r="GU175" i="43"/>
  <c r="GV175" i="43" s="1"/>
  <c r="BU175" i="43" s="1"/>
  <c r="GX176" i="43" l="1"/>
  <c r="GW176" i="43" s="1"/>
  <c r="GS176" i="43" s="1"/>
  <c r="BW175" i="43"/>
  <c r="HE176" i="43"/>
  <c r="HD176" i="43" s="1"/>
  <c r="CR175" i="43"/>
  <c r="BD175" i="43"/>
  <c r="GQ176" i="43"/>
  <c r="GP176" i="43" s="1"/>
  <c r="AN175" i="43"/>
  <c r="HL176" i="43"/>
  <c r="HK176" i="43" s="1"/>
  <c r="DK175" i="43"/>
  <c r="HG176" i="43" l="1"/>
  <c r="AO175" i="43"/>
  <c r="DY175" i="43"/>
  <c r="DZ175" i="43" s="1"/>
  <c r="GZ176" i="43"/>
  <c r="GL176" i="43"/>
  <c r="GJ176" i="43" l="1"/>
  <c r="HA176" i="43" s="1"/>
  <c r="FF175" i="43"/>
  <c r="T172" i="45"/>
  <c r="HH176" i="43" l="1"/>
  <c r="GT176" i="43"/>
  <c r="GM176" i="43"/>
  <c r="GO176" i="43" s="1"/>
  <c r="BB176" i="43" s="1"/>
  <c r="W172" i="45"/>
  <c r="AB172" i="45" s="1"/>
  <c r="GQ177" i="43" l="1"/>
  <c r="GP177" i="43" s="1"/>
  <c r="GL177" i="43" s="1"/>
  <c r="BD176" i="43"/>
  <c r="GK176" i="43"/>
  <c r="AC172" i="45"/>
  <c r="AA172" i="45"/>
  <c r="Y172" i="45"/>
  <c r="Z172" i="45" s="1"/>
  <c r="HB176" i="43" l="1"/>
  <c r="HC176" i="43" s="1"/>
  <c r="CP176" i="43" s="1"/>
  <c r="HI176" i="43"/>
  <c r="HJ176" i="43" s="1"/>
  <c r="DI176" i="43" s="1"/>
  <c r="GN176" i="43"/>
  <c r="GU176" i="43"/>
  <c r="GV176" i="43" s="1"/>
  <c r="BU176" i="43" s="1"/>
  <c r="GX177" i="43" l="1"/>
  <c r="GW177" i="43" s="1"/>
  <c r="GS177" i="43" s="1"/>
  <c r="BW176" i="43"/>
  <c r="HL177" i="43"/>
  <c r="HK177" i="43" s="1"/>
  <c r="HG177" i="43" s="1"/>
  <c r="DK176" i="43"/>
  <c r="HE177" i="43"/>
  <c r="HD177" i="43" s="1"/>
  <c r="GZ177" i="43" s="1"/>
  <c r="CR176" i="43"/>
  <c r="AN176" i="43"/>
  <c r="GJ177" i="43" l="1"/>
  <c r="HA177" i="43" s="1"/>
  <c r="HC177" i="43" s="1"/>
  <c r="CP177" i="43" s="1"/>
  <c r="DY176" i="43"/>
  <c r="DZ176" i="43" s="1"/>
  <c r="AO176" i="43"/>
  <c r="HE178" i="43" l="1"/>
  <c r="HD178" i="43" s="1"/>
  <c r="GZ178" i="43" s="1"/>
  <c r="CR177" i="43"/>
  <c r="GT177" i="43"/>
  <c r="GV177" i="43" s="1"/>
  <c r="BU177" i="43" s="1"/>
  <c r="GM177" i="43"/>
  <c r="GO177" i="43" s="1"/>
  <c r="BB177" i="43" s="1"/>
  <c r="HH177" i="43"/>
  <c r="FF176" i="43"/>
  <c r="T173" i="45"/>
  <c r="GQ178" i="43" l="1"/>
  <c r="GP178" i="43" s="1"/>
  <c r="GL178" i="43" s="1"/>
  <c r="BD177" i="43"/>
  <c r="GX178" i="43"/>
  <c r="GW178" i="43" s="1"/>
  <c r="GS178" i="43" s="1"/>
  <c r="BW177" i="43"/>
  <c r="GK177" i="43"/>
  <c r="HI177" i="43" s="1"/>
  <c r="HJ177" i="43" s="1"/>
  <c r="DI177" i="43" s="1"/>
  <c r="W173" i="45"/>
  <c r="AB173" i="45" s="1"/>
  <c r="DK177" i="43" l="1"/>
  <c r="AN177" i="43"/>
  <c r="HL178" i="43"/>
  <c r="HK178" i="43" s="1"/>
  <c r="HG178" i="43" s="1"/>
  <c r="GJ178" i="43" s="1"/>
  <c r="HH178" i="43" s="1"/>
  <c r="HB177" i="43"/>
  <c r="GN177" i="43"/>
  <c r="GU177" i="43"/>
  <c r="AC173" i="45"/>
  <c r="AA173" i="45"/>
  <c r="Y173" i="45"/>
  <c r="Z173" i="45" s="1"/>
  <c r="AO177" i="43" l="1"/>
  <c r="DY177" i="43"/>
  <c r="DZ177" i="43" s="1"/>
  <c r="GT178" i="43"/>
  <c r="GV178" i="43" s="1"/>
  <c r="BU178" i="43" s="1"/>
  <c r="HA178" i="43"/>
  <c r="HC178" i="43" s="1"/>
  <c r="CP178" i="43" s="1"/>
  <c r="GM178" i="43"/>
  <c r="GO178" i="43" s="1"/>
  <c r="BB178" i="43" s="1"/>
  <c r="FF177" i="43" l="1"/>
  <c r="T174" i="45"/>
  <c r="W174" i="45" s="1"/>
  <c r="BD178" i="43"/>
  <c r="CR178" i="43"/>
  <c r="GQ179" i="43"/>
  <c r="GP179" i="43" s="1"/>
  <c r="GL179" i="43" s="1"/>
  <c r="HE179" i="43"/>
  <c r="HD179" i="43" s="1"/>
  <c r="GZ179" i="43" s="1"/>
  <c r="BW178" i="43"/>
  <c r="GX179" i="43"/>
  <c r="GW179" i="43" s="1"/>
  <c r="GS179" i="43" s="1"/>
  <c r="GK178" i="43"/>
  <c r="HI178" i="43" s="1"/>
  <c r="HJ178" i="43" s="1"/>
  <c r="DI178" i="43" s="1"/>
  <c r="AN178" i="43" l="1"/>
  <c r="AB174" i="45"/>
  <c r="Y174" i="45"/>
  <c r="Z174" i="45" s="1"/>
  <c r="HL179" i="43"/>
  <c r="HK179" i="43" s="1"/>
  <c r="HG179" i="43" s="1"/>
  <c r="GJ179" i="43" s="1"/>
  <c r="GM179" i="43" s="1"/>
  <c r="GO179" i="43" s="1"/>
  <c r="BB179" i="43" s="1"/>
  <c r="DK178" i="43"/>
  <c r="HB178" i="43"/>
  <c r="GN178" i="43"/>
  <c r="GU178" i="43"/>
  <c r="AO178" i="43" l="1"/>
  <c r="DY178" i="43"/>
  <c r="DZ178" i="43" s="1"/>
  <c r="AC174" i="45"/>
  <c r="AA174" i="45"/>
  <c r="BD179" i="43"/>
  <c r="HH179" i="43"/>
  <c r="HA179" i="43"/>
  <c r="HC179" i="43" s="1"/>
  <c r="CP179" i="43" s="1"/>
  <c r="GT179" i="43"/>
  <c r="GV179" i="43" s="1"/>
  <c r="BU179" i="43" s="1"/>
  <c r="GQ180" i="43"/>
  <c r="GP180" i="43" s="1"/>
  <c r="T175" i="45" l="1"/>
  <c r="W175" i="45" s="1"/>
  <c r="AB175" i="45" s="1"/>
  <c r="AA175" i="45" s="1"/>
  <c r="FF178" i="43"/>
  <c r="GX180" i="43"/>
  <c r="GW180" i="43" s="1"/>
  <c r="GS180" i="43" s="1"/>
  <c r="BW179" i="43"/>
  <c r="HE180" i="43"/>
  <c r="HD180" i="43" s="1"/>
  <c r="GZ180" i="43" s="1"/>
  <c r="CR179" i="43"/>
  <c r="GK179" i="43"/>
  <c r="GU179" i="43" s="1"/>
  <c r="GL180" i="43"/>
  <c r="AC175" i="45" l="1"/>
  <c r="Y175" i="45"/>
  <c r="Z175" i="45" s="1"/>
  <c r="HI179" i="43"/>
  <c r="HJ179" i="43" s="1"/>
  <c r="DI179" i="43" s="1"/>
  <c r="HB179" i="43"/>
  <c r="GN179" i="43"/>
  <c r="HL180" i="43" l="1"/>
  <c r="HK180" i="43" s="1"/>
  <c r="HG180" i="43" s="1"/>
  <c r="DK179" i="43"/>
  <c r="AN179" i="43"/>
  <c r="AO179" i="43" l="1"/>
  <c r="DY179" i="43"/>
  <c r="DZ179" i="43" s="1"/>
  <c r="GJ180" i="43" l="1"/>
  <c r="T176" i="45"/>
  <c r="W176" i="45" s="1"/>
  <c r="FF179" i="43"/>
  <c r="GM180" i="43" l="1"/>
  <c r="HA180" i="43"/>
  <c r="HC180" i="43" s="1"/>
  <c r="CP180" i="43" s="1"/>
  <c r="GT180" i="43"/>
  <c r="GV180" i="43" s="1"/>
  <c r="BU180" i="43" s="1"/>
  <c r="HH180" i="43"/>
  <c r="AB176" i="45"/>
  <c r="Y176" i="45"/>
  <c r="Z176" i="45" s="1"/>
  <c r="GX181" i="43" l="1"/>
  <c r="GW181" i="43" s="1"/>
  <c r="GS181" i="43" s="1"/>
  <c r="BW180" i="43"/>
  <c r="HE181" i="43"/>
  <c r="HD181" i="43" s="1"/>
  <c r="GZ181" i="43" s="1"/>
  <c r="CR180" i="43"/>
  <c r="GO180" i="43"/>
  <c r="BB180" i="43" s="1"/>
  <c r="GK180" i="43"/>
  <c r="AA176" i="45"/>
  <c r="AC176" i="45"/>
  <c r="HB180" i="43" l="1"/>
  <c r="GN180" i="43"/>
  <c r="HI180" i="43"/>
  <c r="HJ180" i="43" s="1"/>
  <c r="DI180" i="43" s="1"/>
  <c r="GU180" i="43"/>
  <c r="BD180" i="43"/>
  <c r="GQ181" i="43"/>
  <c r="GP181" i="43" s="1"/>
  <c r="GL181" i="43" s="1"/>
  <c r="AN180" i="43" l="1"/>
  <c r="HL181" i="43"/>
  <c r="HK181" i="43" s="1"/>
  <c r="DK180" i="43"/>
  <c r="DY180" i="43" l="1"/>
  <c r="DZ180" i="43" s="1"/>
  <c r="AO180" i="43"/>
  <c r="HG181" i="43"/>
  <c r="GJ181" i="43" l="1"/>
  <c r="HH181" i="43" s="1"/>
  <c r="T177" i="45"/>
  <c r="W177" i="45" s="1"/>
  <c r="Y177" i="45" s="1"/>
  <c r="Z177" i="45" s="1"/>
  <c r="FF180" i="43"/>
  <c r="GM181" i="43" l="1"/>
  <c r="GO181" i="43" s="1"/>
  <c r="BB181" i="43" s="1"/>
  <c r="GT181" i="43"/>
  <c r="GV181" i="43" s="1"/>
  <c r="BU181" i="43" s="1"/>
  <c r="HA181" i="43"/>
  <c r="HC181" i="43" s="1"/>
  <c r="CP181" i="43" s="1"/>
  <c r="AB177" i="45"/>
  <c r="CR181" i="43" l="1"/>
  <c r="BW181" i="43"/>
  <c r="HE182" i="43"/>
  <c r="HD182" i="43" s="1"/>
  <c r="GZ182" i="43" s="1"/>
  <c r="GK181" i="43"/>
  <c r="GU181" i="43" s="1"/>
  <c r="GX182" i="43"/>
  <c r="GW182" i="43" s="1"/>
  <c r="GS182" i="43" s="1"/>
  <c r="AC177" i="45"/>
  <c r="AA177" i="45"/>
  <c r="GQ182" i="43"/>
  <c r="GP182" i="43" s="1"/>
  <c r="BD181" i="43"/>
  <c r="GN181" i="43" l="1"/>
  <c r="HB181" i="43"/>
  <c r="HI181" i="43"/>
  <c r="HJ181" i="43" s="1"/>
  <c r="DI181" i="43" s="1"/>
  <c r="GL182" i="43"/>
  <c r="AN181" i="43" l="1"/>
  <c r="DY181" i="43" s="1"/>
  <c r="DZ181" i="43" s="1"/>
  <c r="DK181" i="43"/>
  <c r="HL182" i="43"/>
  <c r="HK182" i="43" s="1"/>
  <c r="HG182" i="43" s="1"/>
  <c r="AO181" i="43" l="1"/>
  <c r="FF181" i="43" s="1"/>
  <c r="GJ182" i="43" l="1"/>
  <c r="GM182" i="43" s="1"/>
  <c r="GO182" i="43" s="1"/>
  <c r="BB182" i="43" s="1"/>
  <c r="T178" i="45"/>
  <c r="W178" i="45" s="1"/>
  <c r="HA182" i="43" l="1"/>
  <c r="HC182" i="43" s="1"/>
  <c r="CP182" i="43" s="1"/>
  <c r="CR182" i="43" s="1"/>
  <c r="GT182" i="43"/>
  <c r="GV182" i="43" s="1"/>
  <c r="BU182" i="43" s="1"/>
  <c r="GX183" i="43" s="1"/>
  <c r="GW183" i="43" s="1"/>
  <c r="GS183" i="43" s="1"/>
  <c r="HH182" i="43"/>
  <c r="Y178" i="45"/>
  <c r="Z178" i="45" s="1"/>
  <c r="AB178" i="45"/>
  <c r="AC178" i="45" s="1"/>
  <c r="BD182" i="43"/>
  <c r="GQ183" i="43"/>
  <c r="GP183" i="43" s="1"/>
  <c r="GL183" i="43" s="1"/>
  <c r="BW182" i="43" l="1"/>
  <c r="HE183" i="43"/>
  <c r="HD183" i="43" s="1"/>
  <c r="GZ183" i="43" s="1"/>
  <c r="GK182" i="43"/>
  <c r="GN182" i="43" s="1"/>
  <c r="AA178" i="45"/>
  <c r="HI182" i="43" l="1"/>
  <c r="HJ182" i="43" s="1"/>
  <c r="DI182" i="43" s="1"/>
  <c r="DK182" i="43" s="1"/>
  <c r="HB182" i="43"/>
  <c r="GU182" i="43"/>
  <c r="HL183" i="43" l="1"/>
  <c r="HK183" i="43" s="1"/>
  <c r="HG183" i="43" s="1"/>
  <c r="AN182" i="43"/>
  <c r="AO182" i="43" l="1"/>
  <c r="DY182" i="43"/>
  <c r="DZ182" i="43" s="1"/>
  <c r="FF182" i="43" l="1"/>
  <c r="T179" i="45"/>
  <c r="GJ183" i="43"/>
  <c r="GT183" i="43" l="1"/>
  <c r="GV183" i="43" s="1"/>
  <c r="BU183" i="43" s="1"/>
  <c r="HH183" i="43"/>
  <c r="HJ183" i="43" s="1"/>
  <c r="DI183" i="43" s="1"/>
  <c r="HA183" i="43"/>
  <c r="HC183" i="43" s="1"/>
  <c r="CP183" i="43" s="1"/>
  <c r="GM183" i="43"/>
  <c r="W179" i="45"/>
  <c r="GK183" i="43" l="1"/>
  <c r="GO183" i="43"/>
  <c r="BB183" i="43" s="1"/>
  <c r="Y179" i="45"/>
  <c r="Z179" i="45" s="1"/>
  <c r="HE184" i="43"/>
  <c r="HD184" i="43" s="1"/>
  <c r="GZ184" i="43" s="1"/>
  <c r="CR183" i="43"/>
  <c r="GX184" i="43"/>
  <c r="GW184" i="43" s="1"/>
  <c r="GS184" i="43" s="1"/>
  <c r="BW183" i="43"/>
  <c r="AB179" i="45"/>
  <c r="DK183" i="43"/>
  <c r="HL184" i="43"/>
  <c r="HK184" i="43" s="1"/>
  <c r="HG184" i="43" s="1"/>
  <c r="AA179" i="45" l="1"/>
  <c r="AC179" i="45"/>
  <c r="HI183" i="43"/>
  <c r="GN183" i="43"/>
  <c r="GU183" i="43"/>
  <c r="HB183" i="43"/>
  <c r="BD183" i="43"/>
  <c r="GQ184" i="43"/>
  <c r="GP184" i="43" s="1"/>
  <c r="GL184" i="43" s="1"/>
  <c r="AN183" i="43"/>
  <c r="DY183" i="43" l="1"/>
  <c r="DZ183" i="43" s="1"/>
  <c r="AO183" i="43"/>
  <c r="GJ184" i="43" l="1"/>
  <c r="FF183" i="43"/>
  <c r="T180" i="45"/>
  <c r="W180" i="45" s="1"/>
  <c r="AB180" i="45" s="1"/>
  <c r="Y180" i="45" l="1"/>
  <c r="Z180" i="45" s="1"/>
  <c r="GT184" i="43"/>
  <c r="GV184" i="43" s="1"/>
  <c r="BU184" i="43" s="1"/>
  <c r="GM184" i="43"/>
  <c r="HH184" i="43"/>
  <c r="HJ184" i="43" s="1"/>
  <c r="DI184" i="43" s="1"/>
  <c r="HA184" i="43"/>
  <c r="HC184" i="43" s="1"/>
  <c r="CP184" i="43" s="1"/>
  <c r="AA180" i="45"/>
  <c r="AC180" i="45"/>
  <c r="GO184" i="43" l="1"/>
  <c r="BB184" i="43" s="1"/>
  <c r="GK184" i="43"/>
  <c r="GX185" i="43"/>
  <c r="GW185" i="43" s="1"/>
  <c r="GS185" i="43" s="1"/>
  <c r="BW184" i="43"/>
  <c r="HE185" i="43"/>
  <c r="HD185" i="43" s="1"/>
  <c r="GZ185" i="43" s="1"/>
  <c r="CR184" i="43"/>
  <c r="HL185" i="43"/>
  <c r="HK185" i="43" s="1"/>
  <c r="HG185" i="43" s="1"/>
  <c r="DK184" i="43"/>
  <c r="GN184" i="43" l="1"/>
  <c r="GU184" i="43"/>
  <c r="HI184" i="43"/>
  <c r="HB184" i="43"/>
  <c r="BD184" i="43"/>
  <c r="GQ185" i="43"/>
  <c r="GP185" i="43" s="1"/>
  <c r="GL185" i="43" s="1"/>
  <c r="AN184" i="43"/>
  <c r="AO184" i="43" l="1"/>
  <c r="DY184" i="43"/>
  <c r="DZ184" i="43" s="1"/>
  <c r="FF184" i="43" l="1"/>
  <c r="GJ185" i="43"/>
  <c r="T181" i="45"/>
  <c r="W181" i="45" s="1"/>
  <c r="AB181" i="45" l="1"/>
  <c r="Y181" i="45"/>
  <c r="Z181" i="45" s="1"/>
  <c r="GT185" i="43"/>
  <c r="GV185" i="43" s="1"/>
  <c r="BU185" i="43" s="1"/>
  <c r="HH185" i="43"/>
  <c r="HJ185" i="43" s="1"/>
  <c r="DI185" i="43" s="1"/>
  <c r="HA185" i="43"/>
  <c r="HC185" i="43" s="1"/>
  <c r="CP185" i="43" s="1"/>
  <c r="GM185" i="43"/>
  <c r="HL186" i="43" l="1"/>
  <c r="HK186" i="43" s="1"/>
  <c r="HG186" i="43" s="1"/>
  <c r="DK185" i="43"/>
  <c r="GX186" i="43"/>
  <c r="GW186" i="43" s="1"/>
  <c r="GS186" i="43" s="1"/>
  <c r="BW185" i="43"/>
  <c r="GO185" i="43"/>
  <c r="BB185" i="43" s="1"/>
  <c r="GK185" i="43"/>
  <c r="HE186" i="43"/>
  <c r="HD186" i="43" s="1"/>
  <c r="GZ186" i="43" s="1"/>
  <c r="CR185" i="43"/>
  <c r="AC181" i="45"/>
  <c r="AA181" i="45"/>
  <c r="GU185" i="43" l="1"/>
  <c r="HI185" i="43"/>
  <c r="HB185" i="43"/>
  <c r="GN185" i="43"/>
  <c r="BD185" i="43"/>
  <c r="AN185" i="43"/>
  <c r="GQ186" i="43"/>
  <c r="GP186" i="43" s="1"/>
  <c r="GL186" i="43" s="1"/>
  <c r="AO185" i="43" l="1"/>
  <c r="DY185" i="43"/>
  <c r="DZ185" i="43" s="1"/>
  <c r="T182" i="45" l="1"/>
  <c r="GJ186" i="43"/>
  <c r="FF185" i="43"/>
  <c r="GT186" i="43" l="1"/>
  <c r="HA186" i="43"/>
  <c r="HH186" i="43"/>
  <c r="GM186" i="43"/>
  <c r="Z182" i="45"/>
  <c r="AB182" i="45" l="1"/>
  <c r="AA182" i="45" s="1"/>
  <c r="GK186" i="43"/>
  <c r="AC182" i="45" l="1"/>
  <c r="GN186" i="43"/>
  <c r="GO186" i="43" s="1"/>
  <c r="BB186" i="43" s="1"/>
  <c r="HB186" i="43"/>
  <c r="HC186" i="43" s="1"/>
  <c r="CP186" i="43" s="1"/>
  <c r="GU186" i="43"/>
  <c r="GV186" i="43" s="1"/>
  <c r="BU186" i="43" s="1"/>
  <c r="HI186" i="43"/>
  <c r="HJ186" i="43" s="1"/>
  <c r="DI186" i="43" s="1"/>
  <c r="DK186" i="43" l="1"/>
  <c r="BW186" i="43"/>
  <c r="CR186" i="43"/>
  <c r="BD186" i="43"/>
  <c r="AN186" i="43"/>
  <c r="AO186" i="43" l="1"/>
  <c r="DY186" i="43"/>
  <c r="DZ186" i="43" s="1"/>
  <c r="FF186" i="43" l="1"/>
  <c r="T183" i="45"/>
  <c r="W183" i="45" s="1"/>
  <c r="X183" i="45" s="1"/>
  <c r="X142" i="45" l="1"/>
  <c r="AB142" i="45" l="1"/>
  <c r="Y142" i="45"/>
  <c r="Z142" i="45" s="1"/>
  <c r="AC142" i="45" l="1"/>
  <c r="AA142" i="45"/>
  <c r="X141" i="45"/>
  <c r="AB141" i="45" l="1"/>
  <c r="Y141" i="45"/>
  <c r="Z141" i="45" s="1"/>
  <c r="AC141" i="45" l="1"/>
  <c r="AA141" i="45"/>
  <c r="X140" i="45"/>
  <c r="Y140" i="45" l="1"/>
  <c r="Z140" i="45" s="1"/>
  <c r="AB140" i="45"/>
  <c r="AA140" i="45" l="1"/>
  <c r="AC140" i="45"/>
  <c r="X143" i="45"/>
  <c r="AB143" i="45" l="1"/>
  <c r="AC143" i="45" s="1"/>
  <c r="Y143" i="45"/>
  <c r="Z143" i="45" s="1"/>
  <c r="AA143" i="45" l="1"/>
  <c r="X144" i="45"/>
  <c r="AB144" i="45" l="1"/>
  <c r="Y144" i="45"/>
  <c r="Z144" i="45" s="1"/>
  <c r="AA144" i="45" l="1"/>
  <c r="AC144" i="45"/>
  <c r="X145" i="45"/>
  <c r="AB145" i="45" l="1"/>
  <c r="AC145" i="45" s="1"/>
  <c r="Y145" i="45"/>
  <c r="Z145" i="45" s="1"/>
  <c r="AA145" i="45" l="1"/>
  <c r="X146" i="45"/>
  <c r="AB146" i="45" l="1"/>
  <c r="Y146" i="45"/>
  <c r="Z146" i="45" s="1"/>
  <c r="AA146" i="45" l="1"/>
  <c r="AC146" i="45"/>
  <c r="AC183" i="45" l="1"/>
  <c r="AC186" i="45"/>
  <c r="AC184" i="45"/>
  <c r="AC185" i="45"/>
  <c r="AC187" i="45"/>
  <c r="AC188" i="45"/>
  <c r="AA183" i="45" l="1"/>
  <c r="Z183" i="45"/>
  <c r="AA194" i="45"/>
  <c r="L197" i="43"/>
  <c r="N197" i="43" s="1"/>
  <c r="J21" i="35" l="1"/>
  <c r="Q197" i="43"/>
  <c r="K21" i="35"/>
  <c r="L24" i="35"/>
  <c r="FP197" i="43"/>
  <c r="L21" i="35"/>
  <c r="AA197" i="43" l="1"/>
  <c r="J24" i="35"/>
  <c r="AB197" i="43"/>
  <c r="K24" i="35"/>
  <c r="IA197" i="43" l="1"/>
  <c r="HT197" i="43"/>
  <c r="HU197" i="43" s="1"/>
  <c r="HV197" i="43" s="1"/>
  <c r="BA197" i="43" s="1"/>
  <c r="L59" i="35" l="1"/>
  <c r="J59" i="35"/>
  <c r="AZ197" i="43"/>
  <c r="K59" i="35"/>
  <c r="AU197" i="43"/>
  <c r="L58" i="35" l="1"/>
  <c r="L34" i="35"/>
  <c r="J34" i="35"/>
  <c r="J58" i="35"/>
  <c r="K58" i="35"/>
  <c r="AH197" i="43"/>
  <c r="K34" i="35"/>
  <c r="V194" i="45"/>
  <c r="AI197" i="43" l="1"/>
  <c r="EN197" i="43"/>
  <c r="D194" i="45" l="1"/>
  <c r="U194" i="45" s="1"/>
  <c r="HZ197" i="43"/>
  <c r="EO197" i="43"/>
  <c r="ID197" i="43" l="1"/>
  <c r="IB197" i="43"/>
  <c r="HX197" i="43" l="1"/>
  <c r="IC197" i="43"/>
  <c r="HW197" i="43"/>
  <c r="S187" i="43" l="1"/>
  <c r="L187" i="43" s="1"/>
  <c r="N187" i="43" s="1"/>
  <c r="X187" i="43" l="1"/>
  <c r="FP187" i="43"/>
  <c r="Y187" i="43"/>
  <c r="BC187" i="43"/>
  <c r="W187" i="43"/>
  <c r="CO187" i="43"/>
  <c r="CN187" i="43" s="1"/>
  <c r="EB187" i="43"/>
  <c r="BT187" i="43"/>
  <c r="BS187" i="43" s="1"/>
  <c r="DG187" i="43"/>
  <c r="CI187" i="43"/>
  <c r="DB187" i="43"/>
  <c r="BN187" i="43"/>
  <c r="Q187" i="43" l="1"/>
  <c r="BP187" i="43"/>
  <c r="GX187" i="43"/>
  <c r="GW187" i="43" s="1"/>
  <c r="DD187" i="43"/>
  <c r="HL187" i="43"/>
  <c r="HK187" i="43" s="1"/>
  <c r="R187" i="43"/>
  <c r="CK187" i="43"/>
  <c r="HE187" i="43"/>
  <c r="HD187" i="43" s="1"/>
  <c r="AB187" i="43" l="1"/>
  <c r="IA187" i="43" s="1"/>
  <c r="AA187" i="43"/>
  <c r="K188" i="43"/>
  <c r="EH187" i="43"/>
  <c r="GZ187" i="43"/>
  <c r="GS187" i="43"/>
  <c r="HG187" i="43"/>
  <c r="DG188" i="43" l="1"/>
  <c r="AI185" i="45"/>
  <c r="HT187" i="43"/>
  <c r="HU187" i="43" s="1"/>
  <c r="HV187" i="43" s="1"/>
  <c r="BA187" i="43" s="1"/>
  <c r="AZ187" i="43" s="1"/>
  <c r="V184" i="45" s="1"/>
  <c r="EB188" i="43"/>
  <c r="R188" i="43" s="1"/>
  <c r="BT188" i="43"/>
  <c r="BS188" i="43" s="1"/>
  <c r="BN188" i="43"/>
  <c r="BP188" i="43" s="1"/>
  <c r="Y188" i="43"/>
  <c r="BC188" i="43"/>
  <c r="CO188" i="43"/>
  <c r="CN188" i="43" s="1"/>
  <c r="W188" i="43"/>
  <c r="DB188" i="43"/>
  <c r="DD188" i="43" s="1"/>
  <c r="S188" i="43"/>
  <c r="X188" i="43" s="1"/>
  <c r="CI188" i="43"/>
  <c r="CK188" i="43" s="1"/>
  <c r="AU187" i="43" l="1"/>
  <c r="GQ187" i="43" s="1"/>
  <c r="GP187" i="43" s="1"/>
  <c r="AY187" i="43"/>
  <c r="EH188" i="43"/>
  <c r="L188" i="43"/>
  <c r="N188" i="43" s="1"/>
  <c r="FP188" i="43" s="1"/>
  <c r="AH187" i="43" l="1"/>
  <c r="AI187" i="43" s="1"/>
  <c r="Q188" i="43"/>
  <c r="K189" i="43" s="1"/>
  <c r="AI186" i="45" s="1"/>
  <c r="GL187" i="43"/>
  <c r="GJ187" i="43" s="1"/>
  <c r="GM187" i="43" s="1"/>
  <c r="EN187" i="43" l="1"/>
  <c r="AB188" i="43"/>
  <c r="IA188" i="43" s="1"/>
  <c r="AA188" i="43"/>
  <c r="W189" i="43"/>
  <c r="DB189" i="43"/>
  <c r="DG189" i="43"/>
  <c r="EB189" i="43"/>
  <c r="CO189" i="43"/>
  <c r="CN189" i="43" s="1"/>
  <c r="BN189" i="43"/>
  <c r="BT189" i="43"/>
  <c r="BS189" i="43" s="1"/>
  <c r="S189" i="43"/>
  <c r="D25" i="35" s="1"/>
  <c r="BC189" i="43"/>
  <c r="CI189" i="43"/>
  <c r="Y189" i="43"/>
  <c r="D184" i="45"/>
  <c r="U184" i="45" s="1"/>
  <c r="EO187" i="43"/>
  <c r="HZ187" i="43"/>
  <c r="GT187" i="43"/>
  <c r="GV187" i="43" s="1"/>
  <c r="BU187" i="43" s="1"/>
  <c r="HA187" i="43"/>
  <c r="HC187" i="43" s="1"/>
  <c r="CP187" i="43" s="1"/>
  <c r="HH187" i="43"/>
  <c r="HJ187" i="43" s="1"/>
  <c r="DI187" i="43" s="1"/>
  <c r="GO187" i="43"/>
  <c r="BB187" i="43" s="1"/>
  <c r="HT188" i="43" l="1"/>
  <c r="HU188" i="43" s="1"/>
  <c r="HV188" i="43" s="1"/>
  <c r="BA188" i="43" s="1"/>
  <c r="AY188" i="43" s="1"/>
  <c r="CK189" i="43"/>
  <c r="D86" i="35" s="1"/>
  <c r="D87" i="35"/>
  <c r="BP189" i="43"/>
  <c r="D71" i="35" s="1"/>
  <c r="D72" i="35"/>
  <c r="DD189" i="43"/>
  <c r="D99" i="35" s="1"/>
  <c r="D100" i="35"/>
  <c r="IB187" i="43"/>
  <c r="ID187" i="43"/>
  <c r="DK187" i="43"/>
  <c r="HL188" i="43"/>
  <c r="HK188" i="43" s="1"/>
  <c r="GK187" i="43"/>
  <c r="CR187" i="43"/>
  <c r="HE188" i="43"/>
  <c r="HD188" i="43" s="1"/>
  <c r="X189" i="43"/>
  <c r="L189" i="43"/>
  <c r="N189" i="43" s="1"/>
  <c r="R189" i="43"/>
  <c r="BW187" i="43"/>
  <c r="GX188" i="43"/>
  <c r="GW188" i="43" s="1"/>
  <c r="BD187" i="43"/>
  <c r="AN187" i="43"/>
  <c r="AU188" i="43" l="1"/>
  <c r="AH188" i="43" s="1"/>
  <c r="AI188" i="43" s="1"/>
  <c r="AZ188" i="43"/>
  <c r="V185" i="45" s="1"/>
  <c r="EH189" i="43"/>
  <c r="FP189" i="43"/>
  <c r="D21" i="35"/>
  <c r="Q189" i="43"/>
  <c r="GZ188" i="43"/>
  <c r="HG188" i="43"/>
  <c r="DY187" i="43"/>
  <c r="DZ187" i="43" s="1"/>
  <c r="AO187" i="43"/>
  <c r="GS188" i="43"/>
  <c r="GU187" i="43"/>
  <c r="HI187" i="43"/>
  <c r="HB187" i="43"/>
  <c r="GN187" i="43"/>
  <c r="IC187" i="43"/>
  <c r="HW187" i="43"/>
  <c r="HX187" i="43"/>
  <c r="EN188" i="43" l="1"/>
  <c r="GQ188" i="43"/>
  <c r="GP188" i="43" s="1"/>
  <c r="GL188" i="43" s="1"/>
  <c r="GJ188" i="43" s="1"/>
  <c r="K190" i="43"/>
  <c r="AI187" i="45" s="1"/>
  <c r="AB189" i="43"/>
  <c r="IA189" i="43" s="1"/>
  <c r="AA189" i="43"/>
  <c r="T184" i="45"/>
  <c r="FF187" i="43"/>
  <c r="EO188" i="43"/>
  <c r="HZ188" i="43"/>
  <c r="D185" i="45"/>
  <c r="U185" i="45" s="1"/>
  <c r="E20" i="35" l="1"/>
  <c r="EB190" i="43"/>
  <c r="R190" i="43" s="1"/>
  <c r="BT190" i="43"/>
  <c r="BS190" i="43" s="1"/>
  <c r="S190" i="43"/>
  <c r="E25" i="35" s="1"/>
  <c r="W190" i="43"/>
  <c r="CI190" i="43"/>
  <c r="CK190" i="43" s="1"/>
  <c r="E86" i="35" s="1"/>
  <c r="Y190" i="43"/>
  <c r="CO190" i="43"/>
  <c r="CN190" i="43" s="1"/>
  <c r="DG190" i="43"/>
  <c r="DB190" i="43"/>
  <c r="DD190" i="43" s="1"/>
  <c r="E99" i="35" s="1"/>
  <c r="BC190" i="43"/>
  <c r="BN190" i="43"/>
  <c r="BP190" i="43" s="1"/>
  <c r="E71" i="35" s="1"/>
  <c r="HT189" i="43"/>
  <c r="HU189" i="43" s="1"/>
  <c r="HV189" i="43" s="1"/>
  <c r="BA189" i="43" s="1"/>
  <c r="AU189" i="43" s="1"/>
  <c r="E72" i="35"/>
  <c r="E100" i="35"/>
  <c r="E87" i="35"/>
  <c r="W184" i="45"/>
  <c r="AA184" i="45" s="1"/>
  <c r="GM188" i="43"/>
  <c r="HA188" i="43"/>
  <c r="HC188" i="43" s="1"/>
  <c r="CP188" i="43" s="1"/>
  <c r="HH188" i="43"/>
  <c r="HJ188" i="43" s="1"/>
  <c r="DI188" i="43" s="1"/>
  <c r="GT188" i="43"/>
  <c r="GV188" i="43" s="1"/>
  <c r="BU188" i="43" s="1"/>
  <c r="ID188" i="43"/>
  <c r="IB188" i="43"/>
  <c r="AY189" i="43" l="1"/>
  <c r="AZ189" i="43"/>
  <c r="V186" i="45" s="1"/>
  <c r="X190" i="43"/>
  <c r="L190" i="43"/>
  <c r="N190" i="43" s="1"/>
  <c r="FP190" i="43" s="1"/>
  <c r="E21" i="35"/>
  <c r="AH189" i="43"/>
  <c r="AI189" i="43" s="1"/>
  <c r="EH190" i="43"/>
  <c r="BW188" i="43"/>
  <c r="GX189" i="43"/>
  <c r="GW189" i="43" s="1"/>
  <c r="DK188" i="43"/>
  <c r="HL189" i="43"/>
  <c r="HK189" i="43" s="1"/>
  <c r="Z184" i="45"/>
  <c r="X184" i="45"/>
  <c r="IC188" i="43"/>
  <c r="HX188" i="43"/>
  <c r="HW188" i="43"/>
  <c r="CR188" i="43"/>
  <c r="HE189" i="43"/>
  <c r="HD189" i="43" s="1"/>
  <c r="GK188" i="43"/>
  <c r="GO188" i="43"/>
  <c r="BB188" i="43" s="1"/>
  <c r="EN189" i="43" l="1"/>
  <c r="Q190" i="43"/>
  <c r="AB190" i="43" s="1"/>
  <c r="E24" i="35"/>
  <c r="EO189" i="43"/>
  <c r="HZ189" i="43"/>
  <c r="D186" i="45"/>
  <c r="U186" i="45" s="1"/>
  <c r="K191" i="43"/>
  <c r="BD188" i="43"/>
  <c r="AN188" i="43"/>
  <c r="GQ189" i="43"/>
  <c r="GP189" i="43" s="1"/>
  <c r="GS189" i="43"/>
  <c r="GZ189" i="43"/>
  <c r="HG189" i="43"/>
  <c r="GU188" i="43"/>
  <c r="HI188" i="43"/>
  <c r="HB188" i="43"/>
  <c r="GN188" i="43"/>
  <c r="F20" i="35" l="1"/>
  <c r="AI188" i="45"/>
  <c r="AA190" i="43"/>
  <c r="W191" i="43"/>
  <c r="EB191" i="43"/>
  <c r="DB191" i="43"/>
  <c r="CO191" i="43"/>
  <c r="CN191" i="43" s="1"/>
  <c r="BN191" i="43"/>
  <c r="BC191" i="43"/>
  <c r="BT191" i="43"/>
  <c r="BS191" i="43" s="1"/>
  <c r="S191" i="43"/>
  <c r="F25" i="35" s="1"/>
  <c r="CI191" i="43"/>
  <c r="DG191" i="43"/>
  <c r="Y191" i="43"/>
  <c r="IB189" i="43"/>
  <c r="ID189" i="43"/>
  <c r="DY188" i="43"/>
  <c r="DZ188" i="43" s="1"/>
  <c r="AO188" i="43"/>
  <c r="GL189" i="43"/>
  <c r="GJ189" i="43" s="1"/>
  <c r="GM189" i="43" s="1"/>
  <c r="IA190" i="43"/>
  <c r="HT190" i="43"/>
  <c r="HU190" i="43" s="1"/>
  <c r="HV190" i="43" s="1"/>
  <c r="BA190" i="43" s="1"/>
  <c r="E59" i="35" s="1"/>
  <c r="DD191" i="43" l="1"/>
  <c r="F99" i="35" s="1"/>
  <c r="F100" i="35"/>
  <c r="CK191" i="43"/>
  <c r="F86" i="35" s="1"/>
  <c r="F87" i="35"/>
  <c r="BP191" i="43"/>
  <c r="F71" i="35" s="1"/>
  <c r="F72" i="35"/>
  <c r="AZ190" i="43"/>
  <c r="AU190" i="43"/>
  <c r="AY190" i="43"/>
  <c r="FF188" i="43"/>
  <c r="T185" i="45"/>
  <c r="GO189" i="43"/>
  <c r="BB189" i="43" s="1"/>
  <c r="HA189" i="43"/>
  <c r="HC189" i="43" s="1"/>
  <c r="CP189" i="43" s="1"/>
  <c r="HH189" i="43"/>
  <c r="HJ189" i="43" s="1"/>
  <c r="DI189" i="43" s="1"/>
  <c r="GT189" i="43"/>
  <c r="GV189" i="43" s="1"/>
  <c r="BU189" i="43" s="1"/>
  <c r="HX189" i="43"/>
  <c r="IC189" i="43"/>
  <c r="HW189" i="43"/>
  <c r="X191" i="43"/>
  <c r="L191" i="43"/>
  <c r="N191" i="43" s="1"/>
  <c r="R191" i="43"/>
  <c r="FP191" i="43" l="1"/>
  <c r="F21" i="35"/>
  <c r="AH190" i="43"/>
  <c r="EN190" i="43" s="1"/>
  <c r="E58" i="35"/>
  <c r="EH191" i="43"/>
  <c r="V187" i="45"/>
  <c r="E34" i="35"/>
  <c r="GK189" i="43"/>
  <c r="DK189" i="43"/>
  <c r="HL190" i="43"/>
  <c r="HK190" i="43" s="1"/>
  <c r="W185" i="45"/>
  <c r="AA185" i="45" s="1"/>
  <c r="Q191" i="43"/>
  <c r="CR189" i="43"/>
  <c r="HE190" i="43"/>
  <c r="HD190" i="43" s="1"/>
  <c r="BW189" i="43"/>
  <c r="GX190" i="43"/>
  <c r="GW190" i="43" s="1"/>
  <c r="BD189" i="43"/>
  <c r="AN189" i="43"/>
  <c r="GQ190" i="43"/>
  <c r="GP190" i="43" s="1"/>
  <c r="F24" i="35" l="1"/>
  <c r="AI190" i="43"/>
  <c r="D187" i="45" s="1"/>
  <c r="U187" i="45" s="1"/>
  <c r="GZ190" i="43"/>
  <c r="HG190" i="43"/>
  <c r="GN189" i="43"/>
  <c r="GU189" i="43"/>
  <c r="HI189" i="43"/>
  <c r="HB189" i="43"/>
  <c r="GS190" i="43"/>
  <c r="K192" i="43"/>
  <c r="AA191" i="43"/>
  <c r="AB191" i="43"/>
  <c r="GL190" i="43"/>
  <c r="Z185" i="45"/>
  <c r="X185" i="45"/>
  <c r="DY189" i="43"/>
  <c r="DZ189" i="43" s="1"/>
  <c r="AO189" i="43"/>
  <c r="G20" i="35" l="1"/>
  <c r="AI189" i="45"/>
  <c r="EO190" i="43"/>
  <c r="HZ190" i="43"/>
  <c r="ID190" i="43" s="1"/>
  <c r="DG192" i="43"/>
  <c r="DB192" i="43"/>
  <c r="CO192" i="43"/>
  <c r="CN192" i="43" s="1"/>
  <c r="W192" i="43"/>
  <c r="CI192" i="43"/>
  <c r="BC192" i="43"/>
  <c r="EB192" i="43"/>
  <c r="Y192" i="43"/>
  <c r="S192" i="43"/>
  <c r="G25" i="35" s="1"/>
  <c r="BN192" i="43"/>
  <c r="BT192" i="43"/>
  <c r="BS192" i="43" s="1"/>
  <c r="GJ190" i="43"/>
  <c r="IA191" i="43"/>
  <c r="HT191" i="43"/>
  <c r="HU191" i="43" s="1"/>
  <c r="HV191" i="43" s="1"/>
  <c r="BA191" i="43" s="1"/>
  <c r="F59" i="35" s="1"/>
  <c r="FF189" i="43"/>
  <c r="T186" i="45"/>
  <c r="IB190" i="43" l="1"/>
  <c r="IC190" i="43" s="1"/>
  <c r="CK192" i="43"/>
  <c r="G86" i="35" s="1"/>
  <c r="G87" i="35"/>
  <c r="BP192" i="43"/>
  <c r="G71" i="35" s="1"/>
  <c r="G72" i="35"/>
  <c r="DD192" i="43"/>
  <c r="G99" i="35" s="1"/>
  <c r="G100" i="35"/>
  <c r="R192" i="43"/>
  <c r="AZ191" i="43"/>
  <c r="AU191" i="43"/>
  <c r="AY191" i="43"/>
  <c r="HA190" i="43"/>
  <c r="HC190" i="43" s="1"/>
  <c r="CP190" i="43" s="1"/>
  <c r="GT190" i="43"/>
  <c r="GV190" i="43" s="1"/>
  <c r="BU190" i="43" s="1"/>
  <c r="GM190" i="43"/>
  <c r="HH190" i="43"/>
  <c r="HJ190" i="43" s="1"/>
  <c r="DI190" i="43" s="1"/>
  <c r="W186" i="45"/>
  <c r="AA186" i="45" s="1"/>
  <c r="X192" i="43"/>
  <c r="L192" i="43"/>
  <c r="N192" i="43" s="1"/>
  <c r="HX190" i="43" l="1"/>
  <c r="HW190" i="43"/>
  <c r="EH192" i="43"/>
  <c r="AH191" i="43"/>
  <c r="EN191" i="43" s="1"/>
  <c r="F58" i="35"/>
  <c r="FP192" i="43"/>
  <c r="G21" i="35"/>
  <c r="V188" i="45"/>
  <c r="F34" i="35"/>
  <c r="Z186" i="45"/>
  <c r="X186" i="45"/>
  <c r="BW190" i="43"/>
  <c r="GX191" i="43"/>
  <c r="GW191" i="43" s="1"/>
  <c r="Q192" i="43"/>
  <c r="CR190" i="43"/>
  <c r="HE191" i="43"/>
  <c r="HD191" i="43" s="1"/>
  <c r="DK190" i="43"/>
  <c r="HL191" i="43"/>
  <c r="HK191" i="43" s="1"/>
  <c r="GK190" i="43"/>
  <c r="GO190" i="43"/>
  <c r="BB190" i="43" s="1"/>
  <c r="AI191" i="43" l="1"/>
  <c r="HZ191" i="43" s="1"/>
  <c r="G24" i="35"/>
  <c r="HG191" i="43"/>
  <c r="HB190" i="43"/>
  <c r="HI190" i="43"/>
  <c r="GU190" i="43"/>
  <c r="GN190" i="43"/>
  <c r="AB192" i="43"/>
  <c r="AA192" i="43"/>
  <c r="GS191" i="43"/>
  <c r="GZ191" i="43"/>
  <c r="BD190" i="43"/>
  <c r="AN190" i="43"/>
  <c r="GQ191" i="43"/>
  <c r="GP191" i="43" s="1"/>
  <c r="EO191" i="43" l="1"/>
  <c r="D188" i="45"/>
  <c r="U188" i="45" s="1"/>
  <c r="IA192" i="43"/>
  <c r="HT192" i="43"/>
  <c r="HU192" i="43" s="1"/>
  <c r="HV192" i="43" s="1"/>
  <c r="BA192" i="43" s="1"/>
  <c r="G59" i="35" s="1"/>
  <c r="DY190" i="43"/>
  <c r="DZ190" i="43" s="1"/>
  <c r="AO190" i="43"/>
  <c r="IB191" i="43"/>
  <c r="ID191" i="43"/>
  <c r="GL191" i="43"/>
  <c r="GJ191" i="43" s="1"/>
  <c r="GM191" i="43" s="1"/>
  <c r="GO191" i="43" l="1"/>
  <c r="BB191" i="43" s="1"/>
  <c r="FF190" i="43"/>
  <c r="T187" i="45"/>
  <c r="HH191" i="43"/>
  <c r="HJ191" i="43" s="1"/>
  <c r="DI191" i="43" s="1"/>
  <c r="GT191" i="43"/>
  <c r="GV191" i="43" s="1"/>
  <c r="BU191" i="43" s="1"/>
  <c r="HA191" i="43"/>
  <c r="HC191" i="43" s="1"/>
  <c r="CP191" i="43" s="1"/>
  <c r="AZ192" i="43"/>
  <c r="AU192" i="43"/>
  <c r="AY192" i="43"/>
  <c r="HX191" i="43"/>
  <c r="HW191" i="43"/>
  <c r="IC191" i="43"/>
  <c r="AH192" i="43" l="1"/>
  <c r="AI192" i="43" s="1"/>
  <c r="G58" i="35"/>
  <c r="V189" i="45"/>
  <c r="G34" i="35"/>
  <c r="BW191" i="43"/>
  <c r="GX192" i="43"/>
  <c r="GW192" i="43" s="1"/>
  <c r="BD191" i="43"/>
  <c r="AN191" i="43"/>
  <c r="GQ192" i="43"/>
  <c r="GP192" i="43" s="1"/>
  <c r="W187" i="45"/>
  <c r="CR191" i="43"/>
  <c r="HE192" i="43"/>
  <c r="HD192" i="43" s="1"/>
  <c r="DK191" i="43"/>
  <c r="HL192" i="43"/>
  <c r="HK192" i="43" s="1"/>
  <c r="GK191" i="43"/>
  <c r="EN192" i="43" l="1"/>
  <c r="HZ192" i="43"/>
  <c r="EO192" i="43"/>
  <c r="D189" i="45"/>
  <c r="U189" i="45" s="1"/>
  <c r="Z187" i="45"/>
  <c r="X187" i="45"/>
  <c r="GS192" i="43"/>
  <c r="HG192" i="43"/>
  <c r="DY191" i="43"/>
  <c r="DZ191" i="43" s="1"/>
  <c r="AO191" i="43"/>
  <c r="HI191" i="43"/>
  <c r="GN191" i="43"/>
  <c r="GU191" i="43"/>
  <c r="HB191" i="43"/>
  <c r="AA187" i="45"/>
  <c r="GZ192" i="43"/>
  <c r="GL192" i="43"/>
  <c r="GJ192" i="43" l="1"/>
  <c r="GM192" i="43" s="1"/>
  <c r="GO192" i="43" s="1"/>
  <c r="BB192" i="43" s="1"/>
  <c r="FF191" i="43"/>
  <c r="T188" i="45"/>
  <c r="IB192" i="43"/>
  <c r="ID192" i="43"/>
  <c r="HH192" i="43" l="1"/>
  <c r="HJ192" i="43" s="1"/>
  <c r="DI192" i="43" s="1"/>
  <c r="DK192" i="43" s="1"/>
  <c r="HA192" i="43"/>
  <c r="HC192" i="43" s="1"/>
  <c r="CP192" i="43" s="1"/>
  <c r="CR192" i="43" s="1"/>
  <c r="GT192" i="43"/>
  <c r="GV192" i="43" s="1"/>
  <c r="BU192" i="43" s="1"/>
  <c r="BW192" i="43" s="1"/>
  <c r="HW192" i="43"/>
  <c r="IC192" i="43"/>
  <c r="HX192" i="43"/>
  <c r="BD192" i="43"/>
  <c r="W188" i="45"/>
  <c r="AA188" i="45" s="1"/>
  <c r="AN192" i="43" l="1"/>
  <c r="DY192" i="43" s="1"/>
  <c r="DZ192" i="43" s="1"/>
  <c r="GK192" i="43"/>
  <c r="HB192" i="43" s="1"/>
  <c r="Z188" i="45"/>
  <c r="X188" i="45"/>
  <c r="HI192" i="43" l="1"/>
  <c r="AO192" i="43"/>
  <c r="FF192" i="43" s="1"/>
  <c r="GN192" i="43"/>
  <c r="GU192" i="43"/>
  <c r="T189" i="45" l="1"/>
  <c r="W189" i="45" s="1"/>
  <c r="AA189" i="45" s="1"/>
  <c r="Z189" i="45" l="1"/>
  <c r="X189" i="45"/>
  <c r="K193" i="43"/>
  <c r="AI190" i="45" s="1"/>
  <c r="Y193" i="43" l="1"/>
  <c r="S193" i="43"/>
  <c r="X193" i="43" s="1"/>
  <c r="BN193" i="43"/>
  <c r="BP193" i="43" s="1"/>
  <c r="DB193" i="43"/>
  <c r="DD193" i="43" s="1"/>
  <c r="CI193" i="43"/>
  <c r="CK193" i="43" s="1"/>
  <c r="W193" i="43"/>
  <c r="DG193" i="43"/>
  <c r="EB193" i="43"/>
  <c r="BC193" i="43"/>
  <c r="CO193" i="43"/>
  <c r="CN193" i="43" s="1"/>
  <c r="BT193" i="43"/>
  <c r="BS193" i="43" s="1"/>
  <c r="L193" i="43" l="1"/>
  <c r="N193" i="43" s="1"/>
  <c r="H21" i="35" s="1"/>
  <c r="I21" i="35"/>
  <c r="GX193" i="43"/>
  <c r="GW193" i="43" s="1"/>
  <c r="HE193" i="43"/>
  <c r="HD193" i="43" s="1"/>
  <c r="HL193" i="43"/>
  <c r="HK193" i="43" s="1"/>
  <c r="R193" i="43"/>
  <c r="Q193" i="43" l="1"/>
  <c r="AA193" i="43" s="1"/>
  <c r="FP193" i="43"/>
  <c r="K194" i="43"/>
  <c r="AI191" i="45" s="1"/>
  <c r="I24" i="35"/>
  <c r="H24" i="35"/>
  <c r="EH193" i="43"/>
  <c r="GZ193" i="43"/>
  <c r="GS193" i="43"/>
  <c r="HG193" i="43"/>
  <c r="AB193" i="43" l="1"/>
  <c r="IA193" i="43" s="1"/>
  <c r="Y194" i="43"/>
  <c r="Q194" i="43" s="1"/>
  <c r="CO194" i="43"/>
  <c r="CN194" i="43" s="1"/>
  <c r="DG194" i="43"/>
  <c r="BC194" i="43"/>
  <c r="BT194" i="43"/>
  <c r="BS194" i="43" s="1"/>
  <c r="W194" i="43"/>
  <c r="HT193" i="43" l="1"/>
  <c r="HU193" i="43" s="1"/>
  <c r="HV193" i="43" s="1"/>
  <c r="BA193" i="43" s="1"/>
  <c r="AZ193" i="43" s="1"/>
  <c r="H34" i="35" s="1"/>
  <c r="AB194" i="43"/>
  <c r="IA194" i="43" s="1"/>
  <c r="K195" i="43"/>
  <c r="AI192" i="45" s="1"/>
  <c r="AA194" i="43"/>
  <c r="I59" i="35"/>
  <c r="H59" i="35"/>
  <c r="AU193" i="43" l="1"/>
  <c r="AH193" i="43" s="1"/>
  <c r="AY193" i="43"/>
  <c r="HT194" i="43"/>
  <c r="HU194" i="43" s="1"/>
  <c r="HV194" i="43" s="1"/>
  <c r="BA194" i="43" s="1"/>
  <c r="CO195" i="43"/>
  <c r="CN195" i="43" s="1"/>
  <c r="Y195" i="43"/>
  <c r="Q195" i="43" s="1"/>
  <c r="W195" i="43"/>
  <c r="BC195" i="43"/>
  <c r="BT195" i="43"/>
  <c r="BS195" i="43" s="1"/>
  <c r="DG195" i="43"/>
  <c r="I58" i="35"/>
  <c r="H58" i="35"/>
  <c r="V190" i="45"/>
  <c r="I34" i="35"/>
  <c r="GQ193" i="43" l="1"/>
  <c r="GP193" i="43" s="1"/>
  <c r="GL193" i="43" s="1"/>
  <c r="GJ193" i="43" s="1"/>
  <c r="GM193" i="43" s="1"/>
  <c r="AY194" i="43"/>
  <c r="AU194" i="43"/>
  <c r="AH194" i="43" s="1"/>
  <c r="EN194" i="43" s="1"/>
  <c r="AZ194" i="43"/>
  <c r="V191" i="45" s="1"/>
  <c r="K196" i="43"/>
  <c r="AI193" i="45" s="1"/>
  <c r="AB195" i="43"/>
  <c r="AA195" i="43"/>
  <c r="EN193" i="43"/>
  <c r="AI193" i="43"/>
  <c r="AI194" i="43" l="1"/>
  <c r="HZ194" i="43" s="1"/>
  <c r="DG196" i="43"/>
  <c r="Y196" i="43"/>
  <c r="Q196" i="43" s="1"/>
  <c r="CO196" i="43"/>
  <c r="CN196" i="43" s="1"/>
  <c r="BC196" i="43"/>
  <c r="BT196" i="43"/>
  <c r="BS196" i="43" s="1"/>
  <c r="W196" i="43"/>
  <c r="D20" i="35"/>
  <c r="HT195" i="43"/>
  <c r="HU195" i="43" s="1"/>
  <c r="HV195" i="43" s="1"/>
  <c r="BA195" i="43" s="1"/>
  <c r="IA195" i="43"/>
  <c r="GO193" i="43"/>
  <c r="BB193" i="43" s="1"/>
  <c r="D190" i="45"/>
  <c r="U190" i="45" s="1"/>
  <c r="EO193" i="43"/>
  <c r="HZ193" i="43"/>
  <c r="HA193" i="43"/>
  <c r="HC193" i="43" s="1"/>
  <c r="CP193" i="43" s="1"/>
  <c r="HH193" i="43"/>
  <c r="HJ193" i="43" s="1"/>
  <c r="DI193" i="43" s="1"/>
  <c r="GT193" i="43"/>
  <c r="GV193" i="43" s="1"/>
  <c r="BU193" i="43" s="1"/>
  <c r="D191" i="45" l="1"/>
  <c r="U191" i="45" s="1"/>
  <c r="EO194" i="43"/>
  <c r="AU195" i="43"/>
  <c r="AH195" i="43" s="1"/>
  <c r="AZ195" i="43"/>
  <c r="V192" i="45" s="1"/>
  <c r="AY195" i="43"/>
  <c r="AB196" i="43"/>
  <c r="AA196" i="43"/>
  <c r="D24" i="35"/>
  <c r="IB194" i="43"/>
  <c r="ID194" i="43"/>
  <c r="DK193" i="43"/>
  <c r="HL194" i="43"/>
  <c r="HK194" i="43" s="1"/>
  <c r="CR193" i="43"/>
  <c r="HE194" i="43"/>
  <c r="HD194" i="43" s="1"/>
  <c r="AN193" i="43"/>
  <c r="BD193" i="43"/>
  <c r="GQ194" i="43"/>
  <c r="GP194" i="43" s="1"/>
  <c r="ID193" i="43"/>
  <c r="IB193" i="43"/>
  <c r="GK193" i="43"/>
  <c r="BW193" i="43"/>
  <c r="GX194" i="43"/>
  <c r="GW194" i="43" s="1"/>
  <c r="HT196" i="43" l="1"/>
  <c r="HU196" i="43" s="1"/>
  <c r="HV196" i="43" s="1"/>
  <c r="BA196" i="43" s="1"/>
  <c r="IA196" i="43"/>
  <c r="EN195" i="43"/>
  <c r="AI195" i="43"/>
  <c r="HX194" i="43"/>
  <c r="HW194" i="43"/>
  <c r="IC194" i="43"/>
  <c r="GL194" i="43"/>
  <c r="HG194" i="43"/>
  <c r="HW193" i="43"/>
  <c r="HX193" i="43"/>
  <c r="IC193" i="43"/>
  <c r="AO193" i="43"/>
  <c r="DY193" i="43"/>
  <c r="DZ193" i="43" s="1"/>
  <c r="GS194" i="43"/>
  <c r="GZ194" i="43"/>
  <c r="GU193" i="43"/>
  <c r="HB193" i="43"/>
  <c r="HI193" i="43"/>
  <c r="GN193" i="43"/>
  <c r="HZ195" i="43" l="1"/>
  <c r="D192" i="45"/>
  <c r="U192" i="45" s="1"/>
  <c r="EO195" i="43"/>
  <c r="AU196" i="43"/>
  <c r="AZ196" i="43"/>
  <c r="D59" i="35"/>
  <c r="AY196" i="43"/>
  <c r="AY197" i="43" s="1"/>
  <c r="AY198" i="43" s="1"/>
  <c r="AY199" i="43" s="1"/>
  <c r="AY200" i="43" s="1"/>
  <c r="AY201" i="43" s="1"/>
  <c r="AY202" i="43" s="1"/>
  <c r="AY203" i="43" s="1"/>
  <c r="AY204" i="43" s="1"/>
  <c r="AY205" i="43" s="1"/>
  <c r="AY206" i="43" s="1"/>
  <c r="AY207" i="43" s="1"/>
  <c r="AY208" i="43" s="1"/>
  <c r="AY209" i="43" s="1"/>
  <c r="AY210" i="43" s="1"/>
  <c r="AY211" i="43" s="1"/>
  <c r="AY212" i="43" s="1"/>
  <c r="AY213" i="43" s="1"/>
  <c r="AY214" i="43" s="1"/>
  <c r="AY215" i="43" s="1"/>
  <c r="AY216" i="43" s="1"/>
  <c r="AY217" i="43" s="1"/>
  <c r="AY218" i="43" s="1"/>
  <c r="AY219" i="43" s="1"/>
  <c r="AY220" i="43" s="1"/>
  <c r="AY221" i="43" s="1"/>
  <c r="AY222" i="43" s="1"/>
  <c r="AY223" i="43" s="1"/>
  <c r="AY224" i="43" s="1"/>
  <c r="AY225" i="43" s="1"/>
  <c r="AY226" i="43" s="1"/>
  <c r="AY227" i="43" s="1"/>
  <c r="AY228" i="43" s="1"/>
  <c r="AY229" i="43" s="1"/>
  <c r="AY230" i="43" s="1"/>
  <c r="AY231" i="43" s="1"/>
  <c r="AY232" i="43" s="1"/>
  <c r="AY233" i="43" s="1"/>
  <c r="AY234" i="43" s="1"/>
  <c r="AY235" i="43" s="1"/>
  <c r="AY236" i="43" s="1"/>
  <c r="AY237" i="43" s="1"/>
  <c r="AY238" i="43" s="1"/>
  <c r="AY239" i="43" s="1"/>
  <c r="AY240" i="43" s="1"/>
  <c r="AY241" i="43" s="1"/>
  <c r="AY242" i="43" s="1"/>
  <c r="AY243" i="43" s="1"/>
  <c r="AY244" i="43" s="1"/>
  <c r="AY245" i="43" s="1"/>
  <c r="AY246" i="43" s="1"/>
  <c r="AY247" i="43" s="1"/>
  <c r="AY248" i="43" s="1"/>
  <c r="AY249" i="43" s="1"/>
  <c r="AY250" i="43" s="1"/>
  <c r="AY251" i="43" s="1"/>
  <c r="AY252" i="43" s="1"/>
  <c r="AY253" i="43" s="1"/>
  <c r="AY254" i="43" s="1"/>
  <c r="AY255" i="43" s="1"/>
  <c r="AY256" i="43" s="1"/>
  <c r="AY257" i="43" s="1"/>
  <c r="AY258" i="43" s="1"/>
  <c r="AY259" i="43" s="1"/>
  <c r="AY260" i="43" s="1"/>
  <c r="AY261" i="43" s="1"/>
  <c r="AY262" i="43" s="1"/>
  <c r="AY263" i="43" s="1"/>
  <c r="AY264" i="43" s="1"/>
  <c r="AY265" i="43" s="1"/>
  <c r="AY266" i="43" s="1"/>
  <c r="AY267" i="43" s="1"/>
  <c r="AY268" i="43" s="1"/>
  <c r="AY269" i="43" s="1"/>
  <c r="AY270" i="43" s="1"/>
  <c r="AY271" i="43" s="1"/>
  <c r="AY272" i="43" s="1"/>
  <c r="AY273" i="43" s="1"/>
  <c r="AY274" i="43" s="1"/>
  <c r="AY275" i="43" s="1"/>
  <c r="AY276" i="43" s="1"/>
  <c r="AY277" i="43" s="1"/>
  <c r="AY278" i="43" s="1"/>
  <c r="AY279" i="43" s="1"/>
  <c r="AY280" i="43" s="1"/>
  <c r="AY281" i="43" s="1"/>
  <c r="AY282" i="43" s="1"/>
  <c r="AY283" i="43" s="1"/>
  <c r="AY284" i="43" s="1"/>
  <c r="AY285" i="43" s="1"/>
  <c r="AY286" i="43" s="1"/>
  <c r="AY287" i="43" s="1"/>
  <c r="AY288" i="43" s="1"/>
  <c r="AY289" i="43" s="1"/>
  <c r="AY290" i="43" s="1"/>
  <c r="AY291" i="43" s="1"/>
  <c r="AY292" i="43" s="1"/>
  <c r="AY293" i="43" s="1"/>
  <c r="AY294" i="43" s="1"/>
  <c r="AY295" i="43" s="1"/>
  <c r="AY296" i="43" s="1"/>
  <c r="AY297" i="43" s="1"/>
  <c r="AY298" i="43" s="1"/>
  <c r="AY299" i="43" s="1"/>
  <c r="AY300" i="43" s="1"/>
  <c r="AY301" i="43" s="1"/>
  <c r="AY302" i="43" s="1"/>
  <c r="AY303" i="43" s="1"/>
  <c r="AY304" i="43" s="1"/>
  <c r="AY305" i="43" s="1"/>
  <c r="AY306" i="43" s="1"/>
  <c r="AY307" i="43" s="1"/>
  <c r="AY308" i="43" s="1"/>
  <c r="AY309" i="43" s="1"/>
  <c r="AY310" i="43" s="1"/>
  <c r="AY311" i="43" s="1"/>
  <c r="AY312" i="43" s="1"/>
  <c r="AY313" i="43" s="1"/>
  <c r="AY314" i="43" s="1"/>
  <c r="AY315" i="43" s="1"/>
  <c r="AY316" i="43" s="1"/>
  <c r="AY317" i="43" s="1"/>
  <c r="AY318" i="43" s="1"/>
  <c r="AY319" i="43" s="1"/>
  <c r="AY320" i="43" s="1"/>
  <c r="AY321" i="43" s="1"/>
  <c r="AY322" i="43" s="1"/>
  <c r="AY323" i="43" s="1"/>
  <c r="AY324" i="43" s="1"/>
  <c r="AY325" i="43" s="1"/>
  <c r="AY326" i="43" s="1"/>
  <c r="AY327" i="43" s="1"/>
  <c r="AY328" i="43" s="1"/>
  <c r="AY329" i="43" s="1"/>
  <c r="AY330" i="43" s="1"/>
  <c r="AY331" i="43" s="1"/>
  <c r="AY332" i="43" s="1"/>
  <c r="AY333" i="43" s="1"/>
  <c r="AY334" i="43" s="1"/>
  <c r="AY335" i="43" s="1"/>
  <c r="AY336" i="43" s="1"/>
  <c r="AY337" i="43" s="1"/>
  <c r="AY338" i="43" s="1"/>
  <c r="AY339" i="43" s="1"/>
  <c r="AY340" i="43" s="1"/>
  <c r="AY341" i="43" s="1"/>
  <c r="AY342" i="43" s="1"/>
  <c r="AY343" i="43" s="1"/>
  <c r="AY344" i="43" s="1"/>
  <c r="AY345" i="43" s="1"/>
  <c r="AY346" i="43" s="1"/>
  <c r="AY347" i="43" s="1"/>
  <c r="AY348" i="43" s="1"/>
  <c r="AY349" i="43" s="1"/>
  <c r="AY350" i="43" s="1"/>
  <c r="AY351" i="43" s="1"/>
  <c r="AY352" i="43" s="1"/>
  <c r="AY353" i="43" s="1"/>
  <c r="AY354" i="43" s="1"/>
  <c r="AY355" i="43" s="1"/>
  <c r="AY356" i="43" s="1"/>
  <c r="AY357" i="43" s="1"/>
  <c r="AY358" i="43" s="1"/>
  <c r="AY359" i="43" s="1"/>
  <c r="AY360" i="43" s="1"/>
  <c r="AY361" i="43" s="1"/>
  <c r="AY362" i="43" s="1"/>
  <c r="AY363" i="43" s="1"/>
  <c r="AY364" i="43" s="1"/>
  <c r="AY365" i="43" s="1"/>
  <c r="AY366" i="43" s="1"/>
  <c r="AY367" i="43" s="1"/>
  <c r="AY368" i="43" s="1"/>
  <c r="AY369" i="43" s="1"/>
  <c r="AY370" i="43" s="1"/>
  <c r="AY371" i="43" s="1"/>
  <c r="AY372" i="43" s="1"/>
  <c r="AY373" i="43" s="1"/>
  <c r="AY374" i="43" s="1"/>
  <c r="AY375" i="43" s="1"/>
  <c r="AY376" i="43" s="1"/>
  <c r="AY377" i="43" s="1"/>
  <c r="AY378" i="43" s="1"/>
  <c r="AY379" i="43" s="1"/>
  <c r="AY380" i="43" s="1"/>
  <c r="AY381" i="43" s="1"/>
  <c r="FF193" i="43"/>
  <c r="T190" i="45"/>
  <c r="W190" i="45" s="1"/>
  <c r="GJ194" i="43"/>
  <c r="AH196" i="43" l="1"/>
  <c r="D58" i="35"/>
  <c r="V193" i="45"/>
  <c r="D34" i="35"/>
  <c r="ID195" i="43"/>
  <c r="IB195" i="43"/>
  <c r="X190" i="45"/>
  <c r="Z190" i="45"/>
  <c r="HA194" i="43"/>
  <c r="HC194" i="43" s="1"/>
  <c r="CP194" i="43" s="1"/>
  <c r="GM194" i="43"/>
  <c r="GT194" i="43"/>
  <c r="GV194" i="43" s="1"/>
  <c r="BU194" i="43" s="1"/>
  <c r="HH194" i="43"/>
  <c r="HJ194" i="43" s="1"/>
  <c r="DI194" i="43" s="1"/>
  <c r="EN196" i="43" l="1"/>
  <c r="AI196" i="43"/>
  <c r="HX195" i="43"/>
  <c r="IC195" i="43"/>
  <c r="HW195" i="43"/>
  <c r="DK194" i="43"/>
  <c r="HL195" i="43"/>
  <c r="HK195" i="43" s="1"/>
  <c r="CR194" i="43"/>
  <c r="HE195" i="43"/>
  <c r="HD195" i="43" s="1"/>
  <c r="BW194" i="43"/>
  <c r="GX195" i="43"/>
  <c r="GW195" i="43" s="1"/>
  <c r="GK194" i="43"/>
  <c r="GO194" i="43"/>
  <c r="BB194" i="43" s="1"/>
  <c r="D193" i="45" l="1"/>
  <c r="U193" i="45" s="1"/>
  <c r="HZ196" i="43"/>
  <c r="EO196" i="43"/>
  <c r="GS195" i="43"/>
  <c r="BD194" i="43"/>
  <c r="AN194" i="43"/>
  <c r="GQ195" i="43"/>
  <c r="GP195" i="43" s="1"/>
  <c r="GZ195" i="43"/>
  <c r="HG195" i="43"/>
  <c r="GU194" i="43"/>
  <c r="HB194" i="43"/>
  <c r="GN194" i="43"/>
  <c r="HI194" i="43"/>
  <c r="ID196" i="43" l="1"/>
  <c r="IB196" i="43"/>
  <c r="GL195" i="43"/>
  <c r="GJ195" i="43" s="1"/>
  <c r="GM195" i="43" s="1"/>
  <c r="AO194" i="43"/>
  <c r="DY194" i="43"/>
  <c r="DZ194" i="43" s="1"/>
  <c r="HX196" i="43" l="1"/>
  <c r="HW196" i="43"/>
  <c r="IC196" i="43"/>
  <c r="GO195" i="43"/>
  <c r="BB195" i="43" s="1"/>
  <c r="FF194" i="43"/>
  <c r="T191" i="45"/>
  <c r="W191" i="45" s="1"/>
  <c r="HH195" i="43"/>
  <c r="HJ195" i="43" s="1"/>
  <c r="DI195" i="43" s="1"/>
  <c r="GT195" i="43"/>
  <c r="GV195" i="43" s="1"/>
  <c r="BU195" i="43" s="1"/>
  <c r="HA195" i="43"/>
  <c r="HC195" i="43" s="1"/>
  <c r="CP195" i="43" s="1"/>
  <c r="CR195" i="43" l="1"/>
  <c r="HE196" i="43"/>
  <c r="HD196" i="43" s="1"/>
  <c r="BD195" i="43"/>
  <c r="AN195" i="43"/>
  <c r="GQ196" i="43"/>
  <c r="GP196" i="43" s="1"/>
  <c r="Z191" i="45"/>
  <c r="X191" i="45"/>
  <c r="BW195" i="43"/>
  <c r="GX196" i="43"/>
  <c r="GW196" i="43" s="1"/>
  <c r="DK195" i="43"/>
  <c r="HL196" i="43"/>
  <c r="HK196" i="43" s="1"/>
  <c r="GK195" i="43"/>
  <c r="GL196" i="43" l="1"/>
  <c r="GZ196" i="43"/>
  <c r="HG196" i="43"/>
  <c r="HI195" i="43"/>
  <c r="GN195" i="43"/>
  <c r="GU195" i="43"/>
  <c r="HB195" i="43"/>
  <c r="GS196" i="43"/>
  <c r="DY195" i="43"/>
  <c r="DZ195" i="43" s="1"/>
  <c r="AO195" i="43"/>
  <c r="FF195" i="43" l="1"/>
  <c r="T192" i="45"/>
  <c r="W192" i="45" s="1"/>
  <c r="GJ196" i="43"/>
  <c r="Z192" i="45" l="1"/>
  <c r="X192" i="45"/>
  <c r="GM196" i="43"/>
  <c r="HH196" i="43"/>
  <c r="HJ196" i="43" s="1"/>
  <c r="DI196" i="43" s="1"/>
  <c r="HA196" i="43"/>
  <c r="HC196" i="43" s="1"/>
  <c r="CP196" i="43" s="1"/>
  <c r="GT196" i="43"/>
  <c r="GV196" i="43" s="1"/>
  <c r="BU196" i="43" s="1"/>
  <c r="BW196" i="43" l="1"/>
  <c r="GX197" i="43"/>
  <c r="GW197" i="43" s="1"/>
  <c r="CR196" i="43"/>
  <c r="HE197" i="43"/>
  <c r="HD197" i="43" s="1"/>
  <c r="DK196" i="43"/>
  <c r="HL197" i="43"/>
  <c r="HK197" i="43" s="1"/>
  <c r="GK196" i="43"/>
  <c r="GO196" i="43"/>
  <c r="BB196" i="43" s="1"/>
  <c r="GS197" i="43" l="1"/>
  <c r="HI196" i="43"/>
  <c r="GN196" i="43"/>
  <c r="HB196" i="43"/>
  <c r="GU196" i="43"/>
  <c r="BD196" i="43"/>
  <c r="AN196" i="43"/>
  <c r="GQ197" i="43"/>
  <c r="GP197" i="43" s="1"/>
  <c r="GZ197" i="43"/>
  <c r="HG197" i="43"/>
  <c r="AO196" i="43" l="1"/>
  <c r="DY196" i="43"/>
  <c r="DZ196" i="43" s="1"/>
  <c r="GL197" i="43"/>
  <c r="GJ197" i="43" s="1"/>
  <c r="GM197" i="43" s="1"/>
  <c r="GO197" i="43" l="1"/>
  <c r="BB197" i="43" s="1"/>
  <c r="HH197" i="43"/>
  <c r="HJ197" i="43" s="1"/>
  <c r="DI197" i="43" s="1"/>
  <c r="HA197" i="43"/>
  <c r="HC197" i="43" s="1"/>
  <c r="CP197" i="43" s="1"/>
  <c r="GT197" i="43"/>
  <c r="GV197" i="43" s="1"/>
  <c r="BU197" i="43" s="1"/>
  <c r="FF196" i="43"/>
  <c r="T193" i="45"/>
  <c r="W193" i="45" s="1"/>
  <c r="DK197" i="43" l="1"/>
  <c r="HL198" i="43"/>
  <c r="HK198" i="43" s="1"/>
  <c r="BD197" i="43"/>
  <c r="AN197" i="43"/>
  <c r="GQ198" i="43"/>
  <c r="GP198" i="43" s="1"/>
  <c r="BW197" i="43"/>
  <c r="GX198" i="43"/>
  <c r="GW198" i="43" s="1"/>
  <c r="GK197" i="43"/>
  <c r="Z193" i="45"/>
  <c r="X193" i="45"/>
  <c r="CR197" i="43"/>
  <c r="HE198" i="43"/>
  <c r="HD198" i="43" s="1"/>
  <c r="HG198" i="43" l="1"/>
  <c r="GZ198" i="43"/>
  <c r="GL198" i="43"/>
  <c r="DY197" i="43"/>
  <c r="DZ197" i="43" s="1"/>
  <c r="AO197" i="43"/>
  <c r="GU197" i="43"/>
  <c r="HI197" i="43"/>
  <c r="GN197" i="43"/>
  <c r="HB197" i="43"/>
  <c r="GS198" i="43"/>
  <c r="FF197" i="43" l="1"/>
  <c r="T194" i="45"/>
  <c r="W194" i="45" s="1"/>
  <c r="GJ198" i="43"/>
  <c r="Z194" i="45" l="1"/>
  <c r="X194" i="45"/>
  <c r="HH198" i="43"/>
  <c r="HJ198" i="43" s="1"/>
  <c r="DI198" i="43" s="1"/>
  <c r="GM198" i="43"/>
  <c r="GT198" i="43"/>
  <c r="GV198" i="43" s="1"/>
  <c r="BU198" i="43" s="1"/>
  <c r="HA198" i="43"/>
  <c r="HC198" i="43" s="1"/>
  <c r="CP198" i="43" s="1"/>
  <c r="CR198" i="43" l="1"/>
  <c r="HE199" i="43"/>
  <c r="HD199" i="43" s="1"/>
  <c r="BW198" i="43"/>
  <c r="GX199" i="43"/>
  <c r="GW199" i="43" s="1"/>
  <c r="GK198" i="43"/>
  <c r="GO198" i="43"/>
  <c r="BB198" i="43" s="1"/>
  <c r="DK198" i="43"/>
  <c r="HL199" i="43"/>
  <c r="HK199" i="43" s="1"/>
  <c r="HG199" i="43" l="1"/>
  <c r="HB198" i="43"/>
  <c r="GU198" i="43"/>
  <c r="GN198" i="43"/>
  <c r="HI198" i="43"/>
  <c r="GZ199" i="43"/>
  <c r="GS199" i="43"/>
  <c r="BD198" i="43"/>
  <c r="AN198" i="43"/>
  <c r="GQ199" i="43"/>
  <c r="GP199" i="43" s="1"/>
  <c r="GL199" i="43" l="1"/>
  <c r="GJ199" i="43" s="1"/>
  <c r="GM199" i="43" s="1"/>
  <c r="AO198" i="43"/>
  <c r="DY198" i="43"/>
  <c r="DZ198" i="43" s="1"/>
  <c r="GO199" i="43" l="1"/>
  <c r="BB199" i="43" s="1"/>
  <c r="T195" i="45"/>
  <c r="W195" i="45" s="1"/>
  <c r="FF198" i="43"/>
  <c r="HH199" i="43"/>
  <c r="HJ199" i="43" s="1"/>
  <c r="DI199" i="43" s="1"/>
  <c r="HA199" i="43"/>
  <c r="HC199" i="43" s="1"/>
  <c r="CP199" i="43" s="1"/>
  <c r="GT199" i="43"/>
  <c r="GV199" i="43" s="1"/>
  <c r="BU199" i="43" s="1"/>
  <c r="BW199" i="43" l="1"/>
  <c r="GX200" i="43"/>
  <c r="GW200" i="43" s="1"/>
  <c r="Z195" i="45"/>
  <c r="X195" i="45"/>
  <c r="CR199" i="43"/>
  <c r="HE200" i="43"/>
  <c r="HD200" i="43" s="1"/>
  <c r="DK199" i="43"/>
  <c r="HL200" i="43"/>
  <c r="HK200" i="43" s="1"/>
  <c r="BD199" i="43"/>
  <c r="AN199" i="43"/>
  <c r="GQ200" i="43"/>
  <c r="GP200" i="43" s="1"/>
  <c r="GK199" i="43"/>
  <c r="DY199" i="43" l="1"/>
  <c r="DZ199" i="43" s="1"/>
  <c r="AO199" i="43"/>
  <c r="GN199" i="43"/>
  <c r="GU199" i="43"/>
  <c r="HB199" i="43"/>
  <c r="HI199" i="43"/>
  <c r="GZ200" i="43"/>
  <c r="GL200" i="43"/>
  <c r="HG200" i="43"/>
  <c r="GS200" i="43"/>
  <c r="FF199" i="43" l="1"/>
  <c r="T196" i="45"/>
  <c r="W196" i="45" s="1"/>
  <c r="GJ200" i="43"/>
  <c r="Z196" i="45" l="1"/>
  <c r="X196" i="45"/>
  <c r="GM200" i="43"/>
  <c r="HA200" i="43"/>
  <c r="HC200" i="43" s="1"/>
  <c r="CP200" i="43" s="1"/>
  <c r="HH200" i="43"/>
  <c r="HJ200" i="43" s="1"/>
  <c r="DI200" i="43" s="1"/>
  <c r="GT200" i="43"/>
  <c r="GV200" i="43" s="1"/>
  <c r="BU200" i="43" s="1"/>
  <c r="BW200" i="43" l="1"/>
  <c r="GX201" i="43"/>
  <c r="GW201" i="43" s="1"/>
  <c r="DK200" i="43"/>
  <c r="HL201" i="43"/>
  <c r="HK201" i="43" s="1"/>
  <c r="CR200" i="43"/>
  <c r="HE201" i="43"/>
  <c r="HD201" i="43" s="1"/>
  <c r="GK200" i="43"/>
  <c r="GO200" i="43"/>
  <c r="BB200" i="43" s="1"/>
  <c r="AN200" i="43" l="1"/>
  <c r="BD200" i="43"/>
  <c r="GQ201" i="43"/>
  <c r="GP201" i="43" s="1"/>
  <c r="GS201" i="43"/>
  <c r="HI200" i="43"/>
  <c r="HB200" i="43"/>
  <c r="GU200" i="43"/>
  <c r="GN200" i="43"/>
  <c r="GZ201" i="43"/>
  <c r="HG201" i="43"/>
  <c r="GL201" i="43" l="1"/>
  <c r="GJ201" i="43" s="1"/>
  <c r="GM201" i="43" s="1"/>
  <c r="DY200" i="43"/>
  <c r="DZ200" i="43" s="1"/>
  <c r="AO200" i="43"/>
  <c r="GO201" i="43" l="1"/>
  <c r="BB201" i="43" s="1"/>
  <c r="FF200" i="43"/>
  <c r="T197" i="45"/>
  <c r="W197" i="45" s="1"/>
  <c r="HH201" i="43"/>
  <c r="HJ201" i="43" s="1"/>
  <c r="DI201" i="43" s="1"/>
  <c r="HA201" i="43"/>
  <c r="HC201" i="43" s="1"/>
  <c r="CP201" i="43" s="1"/>
  <c r="GT201" i="43"/>
  <c r="GV201" i="43" s="1"/>
  <c r="BU201" i="43" s="1"/>
  <c r="DK201" i="43" l="1"/>
  <c r="HL202" i="43"/>
  <c r="HK202" i="43" s="1"/>
  <c r="BD201" i="43"/>
  <c r="AN201" i="43"/>
  <c r="GQ202" i="43"/>
  <c r="GP202" i="43" s="1"/>
  <c r="GK201" i="43"/>
  <c r="BW201" i="43"/>
  <c r="GX202" i="43"/>
  <c r="GW202" i="43" s="1"/>
  <c r="Z197" i="45"/>
  <c r="X197" i="45"/>
  <c r="CR201" i="43"/>
  <c r="HE202" i="43"/>
  <c r="HD202" i="43" s="1"/>
  <c r="GS202" i="43" l="1"/>
  <c r="GZ202" i="43"/>
  <c r="GU201" i="43"/>
  <c r="GN201" i="43"/>
  <c r="HB201" i="43"/>
  <c r="HI201" i="43"/>
  <c r="GL202" i="43"/>
  <c r="AO201" i="43"/>
  <c r="DY201" i="43"/>
  <c r="DZ201" i="43" s="1"/>
  <c r="HG202" i="43"/>
  <c r="GJ202" i="43" l="1"/>
  <c r="FF201" i="43"/>
  <c r="T198" i="45"/>
  <c r="W198" i="45" s="1"/>
  <c r="HH202" i="43" l="1"/>
  <c r="HJ202" i="43" s="1"/>
  <c r="DI202" i="43" s="1"/>
  <c r="GT202" i="43"/>
  <c r="GV202" i="43" s="1"/>
  <c r="BU202" i="43" s="1"/>
  <c r="GM202" i="43"/>
  <c r="HA202" i="43"/>
  <c r="HC202" i="43" s="1"/>
  <c r="CP202" i="43" s="1"/>
  <c r="Z198" i="45"/>
  <c r="X198" i="45"/>
  <c r="GK202" i="43" l="1"/>
  <c r="GO202" i="43"/>
  <c r="BB202" i="43" s="1"/>
  <c r="BW202" i="43"/>
  <c r="GX203" i="43"/>
  <c r="GW203" i="43" s="1"/>
  <c r="CR202" i="43"/>
  <c r="HE203" i="43"/>
  <c r="HD203" i="43" s="1"/>
  <c r="DK202" i="43"/>
  <c r="HL203" i="43"/>
  <c r="HK203" i="43" s="1"/>
  <c r="GZ203" i="43" l="1"/>
  <c r="BD202" i="43"/>
  <c r="AN202" i="43"/>
  <c r="GQ203" i="43"/>
  <c r="GP203" i="43" s="1"/>
  <c r="HG203" i="43"/>
  <c r="GS203" i="43"/>
  <c r="GN202" i="43"/>
  <c r="GU202" i="43"/>
  <c r="HI202" i="43"/>
  <c r="HB202" i="43"/>
  <c r="GL203" i="43" l="1"/>
  <c r="GJ203" i="43" s="1"/>
  <c r="GM203" i="43" s="1"/>
  <c r="DY202" i="43"/>
  <c r="DZ202" i="43" s="1"/>
  <c r="AO202" i="43"/>
  <c r="GO203" i="43" l="1"/>
  <c r="BB203" i="43" s="1"/>
  <c r="T199" i="45"/>
  <c r="W199" i="45" s="1"/>
  <c r="FF202" i="43"/>
  <c r="GT203" i="43"/>
  <c r="GV203" i="43" s="1"/>
  <c r="BU203" i="43" s="1"/>
  <c r="HA203" i="43"/>
  <c r="HC203" i="43" s="1"/>
  <c r="CP203" i="43" s="1"/>
  <c r="HH203" i="43"/>
  <c r="HJ203" i="43" s="1"/>
  <c r="DI203" i="43" s="1"/>
  <c r="BW203" i="43" l="1"/>
  <c r="GX204" i="43"/>
  <c r="GW204" i="43" s="1"/>
  <c r="BD203" i="43"/>
  <c r="AN203" i="43"/>
  <c r="GQ204" i="43"/>
  <c r="GP204" i="43" s="1"/>
  <c r="GK203" i="43"/>
  <c r="DK203" i="43"/>
  <c r="HL204" i="43"/>
  <c r="HK204" i="43" s="1"/>
  <c r="Z199" i="45"/>
  <c r="X199" i="45"/>
  <c r="CR203" i="43"/>
  <c r="HE204" i="43"/>
  <c r="HD204" i="43" s="1"/>
  <c r="GL204" i="43" l="1"/>
  <c r="GZ204" i="43"/>
  <c r="AO203" i="43"/>
  <c r="DY203" i="43"/>
  <c r="DZ203" i="43" s="1"/>
  <c r="HI203" i="43"/>
  <c r="GU203" i="43"/>
  <c r="HB203" i="43"/>
  <c r="GN203" i="43"/>
  <c r="HG204" i="43"/>
  <c r="GS204" i="43"/>
  <c r="FF203" i="43" l="1"/>
  <c r="T200" i="45"/>
  <c r="W200" i="45" s="1"/>
  <c r="W201" i="45" s="1"/>
  <c r="W202" i="45" s="1"/>
  <c r="W203" i="45" s="1"/>
  <c r="W204" i="45" s="1"/>
  <c r="W205" i="45" s="1"/>
  <c r="W206" i="45" s="1"/>
  <c r="W207" i="45" s="1"/>
  <c r="W208" i="45" s="1"/>
  <c r="W209" i="45" s="1"/>
  <c r="W210" i="45" s="1"/>
  <c r="W211" i="45" s="1"/>
  <c r="W212" i="45" s="1"/>
  <c r="W213" i="45" s="1"/>
  <c r="W214" i="45" s="1"/>
  <c r="W215" i="45" s="1"/>
  <c r="W216" i="45" s="1"/>
  <c r="W217" i="45" s="1"/>
  <c r="W218" i="45" s="1"/>
  <c r="W219" i="45" s="1"/>
  <c r="W220" i="45" s="1"/>
  <c r="GJ204" i="43"/>
  <c r="W221" i="45" l="1"/>
  <c r="W222" i="45" s="1"/>
  <c r="W223" i="45" s="1"/>
  <c r="W224" i="45" s="1"/>
  <c r="W225" i="45" s="1"/>
  <c r="W226" i="45" s="1"/>
  <c r="Z220" i="45"/>
  <c r="Z219" i="45"/>
  <c r="Z218" i="45"/>
  <c r="Z217" i="45"/>
  <c r="Z216" i="45"/>
  <c r="Z215" i="45"/>
  <c r="Z214" i="45"/>
  <c r="HH204" i="43"/>
  <c r="HJ204" i="43" s="1"/>
  <c r="DI204" i="43" s="1"/>
  <c r="GM204" i="43"/>
  <c r="GT204" i="43"/>
  <c r="GV204" i="43" s="1"/>
  <c r="BU204" i="43" s="1"/>
  <c r="HA204" i="43"/>
  <c r="HC204" i="43" s="1"/>
  <c r="CP204" i="43" s="1"/>
  <c r="Z200" i="45"/>
  <c r="X200" i="45"/>
  <c r="W234" i="45" l="1"/>
  <c r="W232" i="45"/>
  <c r="W233" i="45"/>
  <c r="W230" i="45"/>
  <c r="W231" i="45"/>
  <c r="W227" i="45"/>
  <c r="W228" i="45" s="1"/>
  <c r="W229" i="45"/>
  <c r="Z222" i="45"/>
  <c r="Z223" i="45"/>
  <c r="HE205" i="43"/>
  <c r="HD205" i="43" s="1"/>
  <c r="GZ205" i="43" s="1"/>
  <c r="CR204" i="43"/>
  <c r="GX205" i="43"/>
  <c r="GW205" i="43" s="1"/>
  <c r="GS205" i="43" s="1"/>
  <c r="BW204" i="43"/>
  <c r="HL205" i="43"/>
  <c r="HK205" i="43" s="1"/>
  <c r="HG205" i="43" s="1"/>
  <c r="DK204" i="43"/>
  <c r="GK204" i="43"/>
  <c r="GO204" i="43"/>
  <c r="BB204" i="43" s="1"/>
  <c r="Z224" i="45" l="1"/>
  <c r="BD204" i="43"/>
  <c r="AN204" i="43"/>
  <c r="GQ205" i="43"/>
  <c r="GP205" i="43" s="1"/>
  <c r="HI204" i="43"/>
  <c r="HB204" i="43"/>
  <c r="GN204" i="43"/>
  <c r="GU204" i="43"/>
  <c r="Z225" i="45" l="1"/>
  <c r="GL205" i="43"/>
  <c r="GJ205" i="43" s="1"/>
  <c r="GM205" i="43" s="1"/>
  <c r="AO204" i="43"/>
  <c r="DY204" i="43"/>
  <c r="DZ204" i="43" s="1"/>
  <c r="Z227" i="45" l="1"/>
  <c r="Z226" i="45"/>
  <c r="FF204" i="43"/>
  <c r="T201" i="45"/>
  <c r="AB201" i="45" s="1"/>
  <c r="GO205" i="43"/>
  <c r="BB205" i="43" s="1"/>
  <c r="GT205" i="43"/>
  <c r="GV205" i="43" s="1"/>
  <c r="BU205" i="43" s="1"/>
  <c r="HH205" i="43"/>
  <c r="HJ205" i="43" s="1"/>
  <c r="DI205" i="43" s="1"/>
  <c r="HA205" i="43"/>
  <c r="HC205" i="43" s="1"/>
  <c r="CP205" i="43" s="1"/>
  <c r="Z231" i="45" l="1"/>
  <c r="Z232" i="45"/>
  <c r="Z233" i="45"/>
  <c r="Z229" i="45"/>
  <c r="Z234" i="45"/>
  <c r="Z230" i="45"/>
  <c r="Z228" i="45"/>
  <c r="HE206" i="43"/>
  <c r="HD206" i="43" s="1"/>
  <c r="GZ206" i="43" s="1"/>
  <c r="CR205" i="43"/>
  <c r="HL206" i="43"/>
  <c r="HK206" i="43" s="1"/>
  <c r="HG206" i="43" s="1"/>
  <c r="DK205" i="43"/>
  <c r="GX206" i="43"/>
  <c r="GW206" i="43" s="1"/>
  <c r="GS206" i="43" s="1"/>
  <c r="BW205" i="43"/>
  <c r="BD205" i="43"/>
  <c r="AN205" i="43"/>
  <c r="GQ206" i="43"/>
  <c r="GP206" i="43" s="1"/>
  <c r="GK205" i="43"/>
  <c r="GN205" i="43" l="1"/>
  <c r="HI205" i="43"/>
  <c r="HB205" i="43"/>
  <c r="GU205" i="43"/>
  <c r="AO205" i="43"/>
  <c r="DY205" i="43"/>
  <c r="DZ205" i="43" s="1"/>
  <c r="GL206" i="43"/>
  <c r="GJ206" i="43" s="1"/>
  <c r="FF205" i="43" l="1"/>
  <c r="T202" i="45"/>
  <c r="AB202" i="45" s="1"/>
  <c r="HH206" i="43"/>
  <c r="HJ206" i="43" s="1"/>
  <c r="DI206" i="43" s="1"/>
  <c r="GT206" i="43"/>
  <c r="GV206" i="43" s="1"/>
  <c r="BU206" i="43" s="1"/>
  <c r="HA206" i="43"/>
  <c r="HC206" i="43" s="1"/>
  <c r="CP206" i="43" s="1"/>
  <c r="GM206" i="43"/>
  <c r="HL207" i="43" l="1"/>
  <c r="HK207" i="43" s="1"/>
  <c r="HG207" i="43" s="1"/>
  <c r="DK206" i="43"/>
  <c r="HE207" i="43"/>
  <c r="HD207" i="43" s="1"/>
  <c r="GZ207" i="43" s="1"/>
  <c r="CR206" i="43"/>
  <c r="GX207" i="43"/>
  <c r="GW207" i="43" s="1"/>
  <c r="GS207" i="43" s="1"/>
  <c r="BW206" i="43"/>
  <c r="GK206" i="43"/>
  <c r="GO206" i="43"/>
  <c r="BB206" i="43" s="1"/>
  <c r="BD206" i="43" l="1"/>
  <c r="AN206" i="43"/>
  <c r="GQ207" i="43"/>
  <c r="GP207" i="43" s="1"/>
  <c r="GN206" i="43"/>
  <c r="HB206" i="43"/>
  <c r="HI206" i="43"/>
  <c r="GU206" i="43"/>
  <c r="GL207" i="43" l="1"/>
  <c r="GJ207" i="43" s="1"/>
  <c r="GM207" i="43" s="1"/>
  <c r="DY206" i="43"/>
  <c r="DZ206" i="43" s="1"/>
  <c r="AO206" i="43"/>
  <c r="FF206" i="43" l="1"/>
  <c r="T203" i="45"/>
  <c r="AB203" i="45" s="1"/>
  <c r="GO207" i="43"/>
  <c r="BB207" i="43" s="1"/>
  <c r="HA207" i="43"/>
  <c r="HC207" i="43" s="1"/>
  <c r="CP207" i="43" s="1"/>
  <c r="GT207" i="43"/>
  <c r="GV207" i="43" s="1"/>
  <c r="BU207" i="43" s="1"/>
  <c r="HH207" i="43"/>
  <c r="HJ207" i="43" s="1"/>
  <c r="DI207" i="43" s="1"/>
  <c r="GX208" i="43" l="1"/>
  <c r="GW208" i="43" s="1"/>
  <c r="GS208" i="43" s="1"/>
  <c r="BW207" i="43"/>
  <c r="BD207" i="43"/>
  <c r="HL208" i="43"/>
  <c r="HK208" i="43" s="1"/>
  <c r="HG208" i="43" s="1"/>
  <c r="DK207" i="43"/>
  <c r="HE208" i="43"/>
  <c r="HD208" i="43" s="1"/>
  <c r="GZ208" i="43" s="1"/>
  <c r="CR207" i="43"/>
  <c r="AN207" i="43"/>
  <c r="GQ208" i="43"/>
  <c r="GP208" i="43" s="1"/>
  <c r="GK207" i="43"/>
  <c r="GL208" i="43" l="1"/>
  <c r="GJ208" i="43" s="1"/>
  <c r="GM208" i="43" s="1"/>
  <c r="HI207" i="43"/>
  <c r="HB207" i="43"/>
  <c r="GN207" i="43"/>
  <c r="GU207" i="43"/>
  <c r="DY207" i="43"/>
  <c r="DZ207" i="43" s="1"/>
  <c r="AO207" i="43"/>
  <c r="FF207" i="43" l="1"/>
  <c r="T204" i="45"/>
  <c r="GO208" i="43"/>
  <c r="BB208" i="43" s="1"/>
  <c r="GT208" i="43"/>
  <c r="GV208" i="43" s="1"/>
  <c r="BU208" i="43" s="1"/>
  <c r="HH208" i="43"/>
  <c r="HJ208" i="43" s="1"/>
  <c r="DI208" i="43" s="1"/>
  <c r="HA208" i="43"/>
  <c r="HC208" i="43" s="1"/>
  <c r="CP208" i="43" s="1"/>
  <c r="HE209" i="43" l="1"/>
  <c r="HD209" i="43" s="1"/>
  <c r="GZ209" i="43" s="1"/>
  <c r="CR208" i="43"/>
  <c r="BD208" i="43"/>
  <c r="HL209" i="43"/>
  <c r="HK209" i="43" s="1"/>
  <c r="HG209" i="43" s="1"/>
  <c r="DK208" i="43"/>
  <c r="GX209" i="43"/>
  <c r="GW209" i="43" s="1"/>
  <c r="GS209" i="43" s="1"/>
  <c r="BW208" i="43"/>
  <c r="AN208" i="43"/>
  <c r="GQ209" i="43"/>
  <c r="GP209" i="43" s="1"/>
  <c r="GK208" i="43"/>
  <c r="GU208" i="43" l="1"/>
  <c r="HI208" i="43"/>
  <c r="GN208" i="43"/>
  <c r="HB208" i="43"/>
  <c r="DY208" i="43"/>
  <c r="DZ208" i="43" s="1"/>
  <c r="AO208" i="43"/>
  <c r="GL209" i="43"/>
  <c r="GJ209" i="43" s="1"/>
  <c r="FF208" i="43" l="1"/>
  <c r="T205" i="45"/>
  <c r="HH209" i="43"/>
  <c r="HJ209" i="43" s="1"/>
  <c r="DI209" i="43" s="1"/>
  <c r="GT209" i="43"/>
  <c r="GV209" i="43" s="1"/>
  <c r="BU209" i="43" s="1"/>
  <c r="HA209" i="43"/>
  <c r="HC209" i="43" s="1"/>
  <c r="CP209" i="43" s="1"/>
  <c r="GM209" i="43"/>
  <c r="HL210" i="43" l="1"/>
  <c r="HK210" i="43" s="1"/>
  <c r="HG210" i="43" s="1"/>
  <c r="DK209" i="43"/>
  <c r="HE210" i="43"/>
  <c r="HD210" i="43" s="1"/>
  <c r="GZ210" i="43" s="1"/>
  <c r="CR209" i="43"/>
  <c r="GX210" i="43"/>
  <c r="GW210" i="43" s="1"/>
  <c r="GS210" i="43" s="1"/>
  <c r="BW209" i="43"/>
  <c r="GK209" i="43"/>
  <c r="GO209" i="43"/>
  <c r="BB209" i="43" s="1"/>
  <c r="BD209" i="43" l="1"/>
  <c r="AN209" i="43"/>
  <c r="GQ210" i="43"/>
  <c r="GP210" i="43" s="1"/>
  <c r="GN209" i="43"/>
  <c r="HI209" i="43"/>
  <c r="GU209" i="43"/>
  <c r="HB209" i="43"/>
  <c r="GL210" i="43" l="1"/>
  <c r="GJ210" i="43" s="1"/>
  <c r="GM210" i="43" s="1"/>
  <c r="DY209" i="43"/>
  <c r="DZ209" i="43" s="1"/>
  <c r="AO209" i="43"/>
  <c r="FF209" i="43" l="1"/>
  <c r="T206" i="45"/>
  <c r="GO210" i="43"/>
  <c r="BB210" i="43" s="1"/>
  <c r="HH210" i="43"/>
  <c r="HJ210" i="43" s="1"/>
  <c r="DI210" i="43" s="1"/>
  <c r="GT210" i="43"/>
  <c r="GV210" i="43" s="1"/>
  <c r="BU210" i="43" s="1"/>
  <c r="HA210" i="43"/>
  <c r="HC210" i="43" s="1"/>
  <c r="CP210" i="43" s="1"/>
  <c r="HE211" i="43" l="1"/>
  <c r="HD211" i="43" s="1"/>
  <c r="GZ211" i="43" s="1"/>
  <c r="CR210" i="43"/>
  <c r="BD210" i="43"/>
  <c r="GX211" i="43"/>
  <c r="GW211" i="43" s="1"/>
  <c r="GS211" i="43" s="1"/>
  <c r="BW210" i="43"/>
  <c r="HL211" i="43"/>
  <c r="HK211" i="43" s="1"/>
  <c r="HG211" i="43" s="1"/>
  <c r="DK210" i="43"/>
  <c r="AN210" i="43"/>
  <c r="GQ211" i="43"/>
  <c r="GP211" i="43" s="1"/>
  <c r="GK210" i="43"/>
  <c r="GL211" i="43" l="1"/>
  <c r="GJ211" i="43" s="1"/>
  <c r="GM211" i="43" s="1"/>
  <c r="HI210" i="43"/>
  <c r="GN210" i="43"/>
  <c r="HB210" i="43"/>
  <c r="GU210" i="43"/>
  <c r="DY210" i="43"/>
  <c r="DZ210" i="43" s="1"/>
  <c r="AO210" i="43"/>
  <c r="FF210" i="43" l="1"/>
  <c r="T207" i="45"/>
  <c r="GO211" i="43"/>
  <c r="BB211" i="43" s="1"/>
  <c r="HH211" i="43"/>
  <c r="HJ211" i="43" s="1"/>
  <c r="DI211" i="43" s="1"/>
  <c r="HA211" i="43"/>
  <c r="HC211" i="43" s="1"/>
  <c r="CP211" i="43" s="1"/>
  <c r="GT211" i="43"/>
  <c r="GV211" i="43" s="1"/>
  <c r="BU211" i="43" s="1"/>
  <c r="GX212" i="43" l="1"/>
  <c r="GW212" i="43" s="1"/>
  <c r="GS212" i="43" s="1"/>
  <c r="BW211" i="43"/>
  <c r="BD211" i="43"/>
  <c r="HE212" i="43"/>
  <c r="HD212" i="43" s="1"/>
  <c r="GZ212" i="43" s="1"/>
  <c r="CR211" i="43"/>
  <c r="HL212" i="43"/>
  <c r="HK212" i="43" s="1"/>
  <c r="HG212" i="43" s="1"/>
  <c r="DK211" i="43"/>
  <c r="AN211" i="43"/>
  <c r="GQ212" i="43"/>
  <c r="GP212" i="43" s="1"/>
  <c r="GK211" i="43"/>
  <c r="GL212" i="43" l="1"/>
  <c r="GJ212" i="43" s="1"/>
  <c r="GM212" i="43" s="1"/>
  <c r="DY211" i="43"/>
  <c r="DZ211" i="43" s="1"/>
  <c r="AO211" i="43"/>
  <c r="HI211" i="43"/>
  <c r="HB211" i="43"/>
  <c r="GN211" i="43"/>
  <c r="GU211" i="43"/>
  <c r="FF211" i="43" l="1"/>
  <c r="T208" i="45"/>
  <c r="GO212" i="43"/>
  <c r="BB212" i="43" s="1"/>
  <c r="GT212" i="43"/>
  <c r="GV212" i="43" s="1"/>
  <c r="BU212" i="43" s="1"/>
  <c r="HH212" i="43"/>
  <c r="HJ212" i="43" s="1"/>
  <c r="DI212" i="43" s="1"/>
  <c r="HA212" i="43"/>
  <c r="HC212" i="43" s="1"/>
  <c r="CP212" i="43" s="1"/>
  <c r="HE213" i="43" l="1"/>
  <c r="HD213" i="43" s="1"/>
  <c r="GZ213" i="43" s="1"/>
  <c r="CR212" i="43"/>
  <c r="BD212" i="43"/>
  <c r="HL213" i="43"/>
  <c r="HK213" i="43" s="1"/>
  <c r="HG213" i="43" s="1"/>
  <c r="DK212" i="43"/>
  <c r="GX213" i="43"/>
  <c r="GW213" i="43" s="1"/>
  <c r="GS213" i="43" s="1"/>
  <c r="BW212" i="43"/>
  <c r="AN212" i="43"/>
  <c r="GQ213" i="43"/>
  <c r="GP213" i="43" s="1"/>
  <c r="GK212" i="43"/>
  <c r="GL213" i="43" l="1"/>
  <c r="GJ213" i="43" s="1"/>
  <c r="GM213" i="43" s="1"/>
  <c r="AO212" i="43"/>
  <c r="DY212" i="43"/>
  <c r="DZ212" i="43" s="1"/>
  <c r="HB212" i="43"/>
  <c r="GN212" i="43"/>
  <c r="HI212" i="43"/>
  <c r="GU212" i="43"/>
  <c r="FF212" i="43" l="1"/>
  <c r="T209" i="45"/>
  <c r="GO213" i="43"/>
  <c r="BB213" i="43" s="1"/>
  <c r="GT213" i="43"/>
  <c r="GV213" i="43" s="1"/>
  <c r="BU213" i="43" s="1"/>
  <c r="HA213" i="43"/>
  <c r="HC213" i="43" s="1"/>
  <c r="CP213" i="43" s="1"/>
  <c r="HH213" i="43"/>
  <c r="HJ213" i="43" s="1"/>
  <c r="DI213" i="43" s="1"/>
  <c r="HL214" i="43" l="1"/>
  <c r="HK214" i="43" s="1"/>
  <c r="HG214" i="43" s="1"/>
  <c r="DK213" i="43"/>
  <c r="BD213" i="43"/>
  <c r="HE214" i="43"/>
  <c r="HD214" i="43" s="1"/>
  <c r="GZ214" i="43" s="1"/>
  <c r="CR213" i="43"/>
  <c r="GX214" i="43"/>
  <c r="GW214" i="43" s="1"/>
  <c r="GS214" i="43" s="1"/>
  <c r="BW213" i="43"/>
  <c r="AN213" i="43"/>
  <c r="GQ214" i="43"/>
  <c r="GP214" i="43" s="1"/>
  <c r="GK213" i="43"/>
  <c r="GL214" i="43" l="1"/>
  <c r="GJ214" i="43" s="1"/>
  <c r="GM214" i="43" s="1"/>
  <c r="AO213" i="43"/>
  <c r="DY213" i="43"/>
  <c r="DZ213" i="43" s="1"/>
  <c r="GU213" i="43"/>
  <c r="GN213" i="43"/>
  <c r="HB213" i="43"/>
  <c r="HI213" i="43"/>
  <c r="FF213" i="43" l="1"/>
  <c r="T210" i="45"/>
  <c r="GO214" i="43"/>
  <c r="BB214" i="43" s="1"/>
  <c r="GT214" i="43"/>
  <c r="GV214" i="43" s="1"/>
  <c r="BU214" i="43" s="1"/>
  <c r="HA214" i="43"/>
  <c r="HC214" i="43" s="1"/>
  <c r="CP214" i="43" s="1"/>
  <c r="HH214" i="43"/>
  <c r="HJ214" i="43" s="1"/>
  <c r="DI214" i="43" s="1"/>
  <c r="HL215" i="43" l="1"/>
  <c r="HK215" i="43" s="1"/>
  <c r="HG215" i="43" s="1"/>
  <c r="DK214" i="43"/>
  <c r="BD214" i="43"/>
  <c r="HE215" i="43"/>
  <c r="HD215" i="43" s="1"/>
  <c r="GZ215" i="43" s="1"/>
  <c r="CR214" i="43"/>
  <c r="GX215" i="43"/>
  <c r="GW215" i="43" s="1"/>
  <c r="GS215" i="43" s="1"/>
  <c r="BW214" i="43"/>
  <c r="AN214" i="43"/>
  <c r="GQ215" i="43"/>
  <c r="GP215" i="43" s="1"/>
  <c r="GK214" i="43"/>
  <c r="GL215" i="43" l="1"/>
  <c r="GJ215" i="43" s="1"/>
  <c r="GM215" i="43" s="1"/>
  <c r="AO214" i="43"/>
  <c r="DY214" i="43"/>
  <c r="DZ214" i="43" s="1"/>
  <c r="HI214" i="43"/>
  <c r="HB214" i="43"/>
  <c r="GU214" i="43"/>
  <c r="GN214" i="43"/>
  <c r="FF214" i="43" l="1"/>
  <c r="T211" i="45"/>
  <c r="GO215" i="43"/>
  <c r="BB215" i="43" s="1"/>
  <c r="GT215" i="43"/>
  <c r="GV215" i="43" s="1"/>
  <c r="BU215" i="43" s="1"/>
  <c r="HA215" i="43"/>
  <c r="HC215" i="43" s="1"/>
  <c r="CP215" i="43" s="1"/>
  <c r="HH215" i="43"/>
  <c r="HJ215" i="43" s="1"/>
  <c r="DI215" i="43" s="1"/>
  <c r="HL216" i="43" l="1"/>
  <c r="HK216" i="43" s="1"/>
  <c r="HG216" i="43" s="1"/>
  <c r="DK215" i="43"/>
  <c r="BD215" i="43"/>
  <c r="HE216" i="43"/>
  <c r="HD216" i="43" s="1"/>
  <c r="GZ216" i="43" s="1"/>
  <c r="CR215" i="43"/>
  <c r="GX216" i="43"/>
  <c r="GW216" i="43" s="1"/>
  <c r="GS216" i="43" s="1"/>
  <c r="BW215" i="43"/>
  <c r="AN215" i="43"/>
  <c r="GQ216" i="43"/>
  <c r="GP216" i="43" s="1"/>
  <c r="GK215" i="43"/>
  <c r="GL216" i="43" l="1"/>
  <c r="GJ216" i="43" s="1"/>
  <c r="GM216" i="43" s="1"/>
  <c r="AO215" i="43"/>
  <c r="DY215" i="43"/>
  <c r="DZ215" i="43" s="1"/>
  <c r="HI215" i="43"/>
  <c r="GN215" i="43"/>
  <c r="HB215" i="43"/>
  <c r="GU215" i="43"/>
  <c r="FF215" i="43" l="1"/>
  <c r="T212" i="45"/>
  <c r="GO216" i="43"/>
  <c r="BB216" i="43" s="1"/>
  <c r="GT216" i="43"/>
  <c r="GV216" i="43" s="1"/>
  <c r="BU216" i="43" s="1"/>
  <c r="HA216" i="43"/>
  <c r="HC216" i="43" s="1"/>
  <c r="CP216" i="43" s="1"/>
  <c r="HH216" i="43"/>
  <c r="HJ216" i="43" s="1"/>
  <c r="DI216" i="43" s="1"/>
  <c r="HE217" i="43" l="1"/>
  <c r="HD217" i="43" s="1"/>
  <c r="GZ217" i="43" s="1"/>
  <c r="CR216" i="43"/>
  <c r="BD216" i="43"/>
  <c r="HL217" i="43"/>
  <c r="HK217" i="43" s="1"/>
  <c r="HG217" i="43" s="1"/>
  <c r="DK216" i="43"/>
  <c r="GX217" i="43"/>
  <c r="GW217" i="43" s="1"/>
  <c r="GS217" i="43" s="1"/>
  <c r="BW216" i="43"/>
  <c r="AN216" i="43"/>
  <c r="GQ217" i="43"/>
  <c r="GP217" i="43" s="1"/>
  <c r="GK216" i="43"/>
  <c r="GL217" i="43" l="1"/>
  <c r="GJ217" i="43" s="1"/>
  <c r="GM217" i="43" s="1"/>
  <c r="DY216" i="43"/>
  <c r="DZ216" i="43" s="1"/>
  <c r="AO216" i="43"/>
  <c r="HI216" i="43"/>
  <c r="GU216" i="43"/>
  <c r="HB216" i="43"/>
  <c r="GN216" i="43"/>
  <c r="FF216" i="43" l="1"/>
  <c r="T213" i="45"/>
  <c r="GO217" i="43"/>
  <c r="BB217" i="43" s="1"/>
  <c r="GT217" i="43"/>
  <c r="GV217" i="43" s="1"/>
  <c r="BU217" i="43" s="1"/>
  <c r="HA217" i="43"/>
  <c r="HC217" i="43" s="1"/>
  <c r="CP217" i="43" s="1"/>
  <c r="HH217" i="43"/>
  <c r="HJ217" i="43" s="1"/>
  <c r="DI217" i="43" s="1"/>
  <c r="HL218" i="43" l="1"/>
  <c r="HK218" i="43" s="1"/>
  <c r="HG218" i="43" s="1"/>
  <c r="DK217" i="43"/>
  <c r="BD217" i="43"/>
  <c r="HE218" i="43"/>
  <c r="HD218" i="43" s="1"/>
  <c r="GZ218" i="43" s="1"/>
  <c r="CR217" i="43"/>
  <c r="GX218" i="43"/>
  <c r="GW218" i="43" s="1"/>
  <c r="GS218" i="43" s="1"/>
  <c r="BW217" i="43"/>
  <c r="AN217" i="43"/>
  <c r="GQ218" i="43"/>
  <c r="GP218" i="43" s="1"/>
  <c r="GK217" i="43"/>
  <c r="GL218" i="43" l="1"/>
  <c r="GJ218" i="43" s="1"/>
  <c r="GM218" i="43" s="1"/>
  <c r="DY217" i="43"/>
  <c r="DZ217" i="43" s="1"/>
  <c r="AO217" i="43"/>
  <c r="HI217" i="43"/>
  <c r="GU217" i="43"/>
  <c r="GN217" i="43"/>
  <c r="HB217" i="43"/>
  <c r="FF217" i="43" l="1"/>
  <c r="T214" i="45"/>
  <c r="AB214" i="45" s="1"/>
  <c r="GO218" i="43"/>
  <c r="BB218" i="43" s="1"/>
  <c r="GT218" i="43"/>
  <c r="GV218" i="43" s="1"/>
  <c r="BU218" i="43" s="1"/>
  <c r="HA218" i="43"/>
  <c r="HC218" i="43" s="1"/>
  <c r="CP218" i="43" s="1"/>
  <c r="HH218" i="43"/>
  <c r="HJ218" i="43" s="1"/>
  <c r="DI218" i="43" s="1"/>
  <c r="BD218" i="43" l="1"/>
  <c r="HL219" i="43"/>
  <c r="HK219" i="43" s="1"/>
  <c r="HG219" i="43" s="1"/>
  <c r="DK218" i="43"/>
  <c r="HE219" i="43"/>
  <c r="HD219" i="43" s="1"/>
  <c r="GZ219" i="43" s="1"/>
  <c r="CR218" i="43"/>
  <c r="GX219" i="43"/>
  <c r="GW219" i="43" s="1"/>
  <c r="GS219" i="43" s="1"/>
  <c r="BW218" i="43"/>
  <c r="AA214" i="45"/>
  <c r="AC214" i="45"/>
  <c r="AN218" i="43"/>
  <c r="GQ219" i="43"/>
  <c r="GP219" i="43" s="1"/>
  <c r="GK218" i="43"/>
  <c r="GL219" i="43" l="1"/>
  <c r="GJ219" i="43" s="1"/>
  <c r="GM219" i="43" s="1"/>
  <c r="AO218" i="43"/>
  <c r="DY218" i="43"/>
  <c r="DZ218" i="43" s="1"/>
  <c r="HB218" i="43"/>
  <c r="HI218" i="43"/>
  <c r="GU218" i="43"/>
  <c r="GN218" i="43"/>
  <c r="FF218" i="43" l="1"/>
  <c r="T215" i="45"/>
  <c r="AB215" i="45" s="1"/>
  <c r="GO219" i="43"/>
  <c r="BB219" i="43" s="1"/>
  <c r="GT219" i="43"/>
  <c r="GV219" i="43" s="1"/>
  <c r="BU219" i="43" s="1"/>
  <c r="HA219" i="43"/>
  <c r="HC219" i="43" s="1"/>
  <c r="CP219" i="43" s="1"/>
  <c r="HH219" i="43"/>
  <c r="HJ219" i="43" s="1"/>
  <c r="DI219" i="43" s="1"/>
  <c r="BD219" i="43" l="1"/>
  <c r="HL220" i="43"/>
  <c r="HK220" i="43" s="1"/>
  <c r="HG220" i="43" s="1"/>
  <c r="DK219" i="43"/>
  <c r="HE220" i="43"/>
  <c r="HD220" i="43" s="1"/>
  <c r="GZ220" i="43" s="1"/>
  <c r="CR219" i="43"/>
  <c r="GX220" i="43"/>
  <c r="GW220" i="43" s="1"/>
  <c r="GS220" i="43" s="1"/>
  <c r="BW219" i="43"/>
  <c r="AA215" i="45"/>
  <c r="AC215" i="45"/>
  <c r="AN219" i="43"/>
  <c r="GQ220" i="43"/>
  <c r="GP220" i="43" s="1"/>
  <c r="GK219" i="43"/>
  <c r="GL220" i="43" l="1"/>
  <c r="GJ220" i="43" s="1"/>
  <c r="GM220" i="43" s="1"/>
  <c r="AO219" i="43"/>
  <c r="DY219" i="43"/>
  <c r="DZ219" i="43" s="1"/>
  <c r="HB219" i="43"/>
  <c r="GN219" i="43"/>
  <c r="HI219" i="43"/>
  <c r="GU219" i="43"/>
  <c r="FF219" i="43" l="1"/>
  <c r="T216" i="45"/>
  <c r="AB216" i="45" s="1"/>
  <c r="GO220" i="43"/>
  <c r="BB220" i="43" s="1"/>
  <c r="GT220" i="43"/>
  <c r="GV220" i="43" s="1"/>
  <c r="BU220" i="43" s="1"/>
  <c r="HA220" i="43"/>
  <c r="HC220" i="43" s="1"/>
  <c r="CP220" i="43" s="1"/>
  <c r="HH220" i="43"/>
  <c r="HJ220" i="43" s="1"/>
  <c r="DI220" i="43" s="1"/>
  <c r="BD220" i="43" l="1"/>
  <c r="HL221" i="43"/>
  <c r="HK221" i="43" s="1"/>
  <c r="HG221" i="43" s="1"/>
  <c r="DK220" i="43"/>
  <c r="HE221" i="43"/>
  <c r="HD221" i="43" s="1"/>
  <c r="GZ221" i="43" s="1"/>
  <c r="CR220" i="43"/>
  <c r="GX221" i="43"/>
  <c r="GW221" i="43" s="1"/>
  <c r="GS221" i="43" s="1"/>
  <c r="BW220" i="43"/>
  <c r="AA216" i="45"/>
  <c r="AC216" i="45"/>
  <c r="AN220" i="43"/>
  <c r="GQ221" i="43"/>
  <c r="GP221" i="43" s="1"/>
  <c r="GK220" i="43"/>
  <c r="GL221" i="43" l="1"/>
  <c r="GJ221" i="43" s="1"/>
  <c r="GM221" i="43" s="1"/>
  <c r="AO220" i="43"/>
  <c r="DY220" i="43"/>
  <c r="DZ220" i="43" s="1"/>
  <c r="GU220" i="43"/>
  <c r="GN220" i="43"/>
  <c r="HB220" i="43"/>
  <c r="HI220" i="43"/>
  <c r="FF220" i="43" l="1"/>
  <c r="T217" i="45"/>
  <c r="AB217" i="45" s="1"/>
  <c r="GO221" i="43"/>
  <c r="BB221" i="43" s="1"/>
  <c r="GT221" i="43"/>
  <c r="GV221" i="43" s="1"/>
  <c r="BU221" i="43" s="1"/>
  <c r="HA221" i="43"/>
  <c r="HC221" i="43" s="1"/>
  <c r="CP221" i="43" s="1"/>
  <c r="HH221" i="43"/>
  <c r="HJ221" i="43" s="1"/>
  <c r="DI221" i="43" s="1"/>
  <c r="HE222" i="43" l="1"/>
  <c r="HD222" i="43" s="1"/>
  <c r="GZ222" i="43" s="1"/>
  <c r="CR221" i="43"/>
  <c r="BD221" i="43"/>
  <c r="HL222" i="43"/>
  <c r="HK222" i="43" s="1"/>
  <c r="HG222" i="43" s="1"/>
  <c r="DK221" i="43"/>
  <c r="GX222" i="43"/>
  <c r="GW222" i="43" s="1"/>
  <c r="GS222" i="43" s="1"/>
  <c r="BW221" i="43"/>
  <c r="AA217" i="45"/>
  <c r="AC217" i="45"/>
  <c r="AN221" i="43"/>
  <c r="GQ222" i="43"/>
  <c r="GP222" i="43" s="1"/>
  <c r="GK221" i="43"/>
  <c r="GL222" i="43" l="1"/>
  <c r="GJ222" i="43" s="1"/>
  <c r="GM222" i="43" s="1"/>
  <c r="DY221" i="43"/>
  <c r="DZ221" i="43" s="1"/>
  <c r="AO221" i="43"/>
  <c r="HB221" i="43"/>
  <c r="GU221" i="43"/>
  <c r="GN221" i="43"/>
  <c r="HI221" i="43"/>
  <c r="FF221" i="43" l="1"/>
  <c r="T218" i="45"/>
  <c r="AB218" i="45" s="1"/>
  <c r="GO222" i="43"/>
  <c r="BB222" i="43" s="1"/>
  <c r="GT222" i="43"/>
  <c r="GV222" i="43" s="1"/>
  <c r="BU222" i="43" s="1"/>
  <c r="HA222" i="43"/>
  <c r="HC222" i="43" s="1"/>
  <c r="CP222" i="43" s="1"/>
  <c r="HH222" i="43"/>
  <c r="HJ222" i="43" s="1"/>
  <c r="DI222" i="43" s="1"/>
  <c r="BD222" i="43" l="1"/>
  <c r="HL223" i="43"/>
  <c r="HK223" i="43" s="1"/>
  <c r="HG223" i="43" s="1"/>
  <c r="DK222" i="43"/>
  <c r="HE223" i="43"/>
  <c r="HD223" i="43" s="1"/>
  <c r="GZ223" i="43" s="1"/>
  <c r="CR222" i="43"/>
  <c r="GX223" i="43"/>
  <c r="GW223" i="43" s="1"/>
  <c r="GS223" i="43" s="1"/>
  <c r="BW222" i="43"/>
  <c r="AA218" i="45"/>
  <c r="AC218" i="45"/>
  <c r="AN222" i="43"/>
  <c r="GQ223" i="43"/>
  <c r="GP223" i="43" s="1"/>
  <c r="GK222" i="43"/>
  <c r="AO222" i="43" l="1"/>
  <c r="DY222" i="43"/>
  <c r="DZ222" i="43" s="1"/>
  <c r="GL223" i="43"/>
  <c r="GJ223" i="43" s="1"/>
  <c r="GM223" i="43" s="1"/>
  <c r="HB222" i="43"/>
  <c r="HI222" i="43"/>
  <c r="GU222" i="43"/>
  <c r="GN222" i="43"/>
  <c r="FF222" i="43" l="1"/>
  <c r="T219" i="45"/>
  <c r="AB219" i="45" s="1"/>
  <c r="GO223" i="43"/>
  <c r="BB223" i="43" s="1"/>
  <c r="GT223" i="43"/>
  <c r="GV223" i="43" s="1"/>
  <c r="BU223" i="43" s="1"/>
  <c r="HA223" i="43"/>
  <c r="HC223" i="43" s="1"/>
  <c r="CP223" i="43" s="1"/>
  <c r="HH223" i="43"/>
  <c r="HJ223" i="43" s="1"/>
  <c r="DI223" i="43" s="1"/>
  <c r="HL224" i="43" l="1"/>
  <c r="HK224" i="43" s="1"/>
  <c r="HG224" i="43" s="1"/>
  <c r="DK223" i="43"/>
  <c r="BD223" i="43"/>
  <c r="HE224" i="43"/>
  <c r="HD224" i="43" s="1"/>
  <c r="GZ224" i="43" s="1"/>
  <c r="CR223" i="43"/>
  <c r="GX224" i="43"/>
  <c r="GW224" i="43" s="1"/>
  <c r="GS224" i="43" s="1"/>
  <c r="BW223" i="43"/>
  <c r="AA219" i="45"/>
  <c r="AC219" i="45"/>
  <c r="AN223" i="43"/>
  <c r="GQ224" i="43"/>
  <c r="GP224" i="43" s="1"/>
  <c r="GK223" i="43"/>
  <c r="GL224" i="43" l="1"/>
  <c r="GJ224" i="43" s="1"/>
  <c r="GM224" i="43" s="1"/>
  <c r="DY223" i="43"/>
  <c r="DZ223" i="43" s="1"/>
  <c r="AO223" i="43"/>
  <c r="GN223" i="43"/>
  <c r="GU223" i="43"/>
  <c r="HI223" i="43"/>
  <c r="HB223" i="43"/>
  <c r="FF223" i="43" l="1"/>
  <c r="T220" i="45"/>
  <c r="AB220" i="45" s="1"/>
  <c r="GO224" i="43"/>
  <c r="BB224" i="43" s="1"/>
  <c r="GT224" i="43"/>
  <c r="GV224" i="43" s="1"/>
  <c r="BU224" i="43" s="1"/>
  <c r="HA224" i="43"/>
  <c r="HC224" i="43" s="1"/>
  <c r="CP224" i="43" s="1"/>
  <c r="HH224" i="43"/>
  <c r="HJ224" i="43" s="1"/>
  <c r="DI224" i="43" s="1"/>
  <c r="BD224" i="43" l="1"/>
  <c r="HL225" i="43"/>
  <c r="HK225" i="43" s="1"/>
  <c r="HG225" i="43" s="1"/>
  <c r="DK224" i="43"/>
  <c r="HE225" i="43"/>
  <c r="HD225" i="43" s="1"/>
  <c r="GZ225" i="43" s="1"/>
  <c r="CR224" i="43"/>
  <c r="GX225" i="43"/>
  <c r="GW225" i="43" s="1"/>
  <c r="GS225" i="43" s="1"/>
  <c r="BW224" i="43"/>
  <c r="AA220" i="45"/>
  <c r="AC220" i="45"/>
  <c r="AN224" i="43"/>
  <c r="GQ225" i="43"/>
  <c r="GP225" i="43" s="1"/>
  <c r="GK224" i="43"/>
  <c r="GL225" i="43" l="1"/>
  <c r="GJ225" i="43" s="1"/>
  <c r="GM225" i="43" s="1"/>
  <c r="AO224" i="43"/>
  <c r="DY224" i="43"/>
  <c r="DZ224" i="43" s="1"/>
  <c r="HI224" i="43"/>
  <c r="GN224" i="43"/>
  <c r="GU224" i="43"/>
  <c r="HB224" i="43"/>
  <c r="FF224" i="43" l="1"/>
  <c r="T221" i="45"/>
  <c r="GO225" i="43"/>
  <c r="BB225" i="43" s="1"/>
  <c r="GT225" i="43"/>
  <c r="GV225" i="43" s="1"/>
  <c r="BU225" i="43" s="1"/>
  <c r="HA225" i="43"/>
  <c r="HC225" i="43" s="1"/>
  <c r="CP225" i="43" s="1"/>
  <c r="HH225" i="43"/>
  <c r="HJ225" i="43" s="1"/>
  <c r="DI225" i="43" s="1"/>
  <c r="HL226" i="43" l="1"/>
  <c r="HK226" i="43" s="1"/>
  <c r="HG226" i="43" s="1"/>
  <c r="DK225" i="43"/>
  <c r="BD225" i="43"/>
  <c r="HE226" i="43"/>
  <c r="HD226" i="43" s="1"/>
  <c r="GZ226" i="43" s="1"/>
  <c r="CR225" i="43"/>
  <c r="GX226" i="43"/>
  <c r="GW226" i="43" s="1"/>
  <c r="GS226" i="43" s="1"/>
  <c r="BW225" i="43"/>
  <c r="AB221" i="45"/>
  <c r="AN225" i="43"/>
  <c r="GQ226" i="43"/>
  <c r="GP226" i="43" s="1"/>
  <c r="GK225" i="43"/>
  <c r="AA221" i="45" l="1"/>
  <c r="AC221" i="45"/>
  <c r="Z221" i="45"/>
  <c r="GL226" i="43"/>
  <c r="GJ226" i="43" s="1"/>
  <c r="GM226" i="43" s="1"/>
  <c r="AO225" i="43"/>
  <c r="DY225" i="43"/>
  <c r="DZ225" i="43" s="1"/>
  <c r="HI225" i="43"/>
  <c r="GU225" i="43"/>
  <c r="GN225" i="43"/>
  <c r="HB225" i="43"/>
  <c r="FF225" i="43" l="1"/>
  <c r="T222" i="45"/>
  <c r="AB222" i="45" s="1"/>
  <c r="GO226" i="43"/>
  <c r="BB226" i="43" s="1"/>
  <c r="GT226" i="43"/>
  <c r="GV226" i="43" s="1"/>
  <c r="BU226" i="43" s="1"/>
  <c r="HA226" i="43"/>
  <c r="HC226" i="43" s="1"/>
  <c r="CP226" i="43" s="1"/>
  <c r="HH226" i="43"/>
  <c r="HJ226" i="43" s="1"/>
  <c r="DI226" i="43" s="1"/>
  <c r="HL227" i="43" l="1"/>
  <c r="HK227" i="43" s="1"/>
  <c r="HG227" i="43" s="1"/>
  <c r="DK226" i="43"/>
  <c r="BD226" i="43"/>
  <c r="HE227" i="43"/>
  <c r="HD227" i="43" s="1"/>
  <c r="GZ227" i="43" s="1"/>
  <c r="CR226" i="43"/>
  <c r="GX227" i="43"/>
  <c r="GW227" i="43" s="1"/>
  <c r="GS227" i="43" s="1"/>
  <c r="BW226" i="43"/>
  <c r="AC222" i="45"/>
  <c r="AA222" i="45"/>
  <c r="AN226" i="43"/>
  <c r="GQ227" i="43"/>
  <c r="GP227" i="43" s="1"/>
  <c r="GK226" i="43"/>
  <c r="GL227" i="43" l="1"/>
  <c r="GJ227" i="43" s="1"/>
  <c r="GM227" i="43" s="1"/>
  <c r="AO226" i="43"/>
  <c r="DY226" i="43"/>
  <c r="DZ226" i="43" s="1"/>
  <c r="GN226" i="43"/>
  <c r="GU226" i="43"/>
  <c r="HB226" i="43"/>
  <c r="HI226" i="43"/>
  <c r="FF226" i="43" l="1"/>
  <c r="T223" i="45"/>
  <c r="AB223" i="45" s="1"/>
  <c r="GO227" i="43"/>
  <c r="BB227" i="43" s="1"/>
  <c r="GT227" i="43"/>
  <c r="GV227" i="43" s="1"/>
  <c r="BU227" i="43" s="1"/>
  <c r="HA227" i="43"/>
  <c r="HC227" i="43" s="1"/>
  <c r="CP227" i="43" s="1"/>
  <c r="HH227" i="43"/>
  <c r="HJ227" i="43" s="1"/>
  <c r="DI227" i="43" s="1"/>
  <c r="HL228" i="43" l="1"/>
  <c r="HK228" i="43" s="1"/>
  <c r="HG228" i="43" s="1"/>
  <c r="DK227" i="43"/>
  <c r="BD227" i="43"/>
  <c r="HE228" i="43"/>
  <c r="HD228" i="43" s="1"/>
  <c r="GZ228" i="43" s="1"/>
  <c r="CR227" i="43"/>
  <c r="GX228" i="43"/>
  <c r="GW228" i="43" s="1"/>
  <c r="GS228" i="43" s="1"/>
  <c r="BW227" i="43"/>
  <c r="AA223" i="45"/>
  <c r="AC223" i="45"/>
  <c r="AN227" i="43"/>
  <c r="GQ228" i="43"/>
  <c r="GP228" i="43" s="1"/>
  <c r="GK227" i="43"/>
  <c r="GL228" i="43" l="1"/>
  <c r="GJ228" i="43" s="1"/>
  <c r="GM228" i="43" s="1"/>
  <c r="AO227" i="43"/>
  <c r="DY227" i="43"/>
  <c r="DZ227" i="43" s="1"/>
  <c r="HB227" i="43"/>
  <c r="HI227" i="43"/>
  <c r="GN227" i="43"/>
  <c r="GU227" i="43"/>
  <c r="FF227" i="43" l="1"/>
  <c r="T224" i="45"/>
  <c r="AB224" i="45" s="1"/>
  <c r="GO228" i="43"/>
  <c r="BB228" i="43" s="1"/>
  <c r="GT228" i="43"/>
  <c r="GV228" i="43" s="1"/>
  <c r="BU228" i="43" s="1"/>
  <c r="HA228" i="43"/>
  <c r="HC228" i="43" s="1"/>
  <c r="CP228" i="43" s="1"/>
  <c r="HH228" i="43"/>
  <c r="HJ228" i="43" s="1"/>
  <c r="DI228" i="43" s="1"/>
  <c r="BD228" i="43" l="1"/>
  <c r="HL229" i="43"/>
  <c r="HK229" i="43" s="1"/>
  <c r="HG229" i="43" s="1"/>
  <c r="DK228" i="43"/>
  <c r="HE229" i="43"/>
  <c r="HD229" i="43" s="1"/>
  <c r="GZ229" i="43" s="1"/>
  <c r="CR228" i="43"/>
  <c r="GX229" i="43"/>
  <c r="GW229" i="43" s="1"/>
  <c r="GS229" i="43" s="1"/>
  <c r="BW228" i="43"/>
  <c r="AA224" i="45"/>
  <c r="AC224" i="45"/>
  <c r="AN228" i="43"/>
  <c r="GQ229" i="43"/>
  <c r="GP229" i="43" s="1"/>
  <c r="GK228" i="43"/>
  <c r="GL229" i="43" l="1"/>
  <c r="GJ229" i="43" s="1"/>
  <c r="GM229" i="43" s="1"/>
  <c r="DY228" i="43"/>
  <c r="DZ228" i="43" s="1"/>
  <c r="AO228" i="43"/>
  <c r="HB228" i="43"/>
  <c r="HI228" i="43"/>
  <c r="GU228" i="43"/>
  <c r="GN228" i="43"/>
  <c r="FF228" i="43" l="1"/>
  <c r="T225" i="45"/>
  <c r="AB225" i="45" s="1"/>
  <c r="GO229" i="43"/>
  <c r="BB229" i="43" s="1"/>
  <c r="GT229" i="43"/>
  <c r="GV229" i="43" s="1"/>
  <c r="BU229" i="43" s="1"/>
  <c r="HA229" i="43"/>
  <c r="HC229" i="43" s="1"/>
  <c r="CP229" i="43" s="1"/>
  <c r="HH229" i="43"/>
  <c r="HJ229" i="43" s="1"/>
  <c r="DI229" i="43" s="1"/>
  <c r="BD229" i="43" l="1"/>
  <c r="HL230" i="43"/>
  <c r="HK230" i="43" s="1"/>
  <c r="HG230" i="43" s="1"/>
  <c r="DK229" i="43"/>
  <c r="HE230" i="43"/>
  <c r="HD230" i="43" s="1"/>
  <c r="GZ230" i="43" s="1"/>
  <c r="CR229" i="43"/>
  <c r="GX230" i="43"/>
  <c r="GW230" i="43" s="1"/>
  <c r="GS230" i="43" s="1"/>
  <c r="BW229" i="43"/>
  <c r="AC225" i="45"/>
  <c r="AA225" i="45"/>
  <c r="AN229" i="43"/>
  <c r="GQ230" i="43"/>
  <c r="GP230" i="43" s="1"/>
  <c r="GK229" i="43"/>
  <c r="GL230" i="43" l="1"/>
  <c r="GJ230" i="43" s="1"/>
  <c r="GM230" i="43" s="1"/>
  <c r="AO229" i="43"/>
  <c r="DY229" i="43"/>
  <c r="DZ229" i="43" s="1"/>
  <c r="GU229" i="43"/>
  <c r="GN229" i="43"/>
  <c r="HI229" i="43"/>
  <c r="HB229" i="43"/>
  <c r="FF229" i="43" l="1"/>
  <c r="T226" i="45"/>
  <c r="AB226" i="45" s="1"/>
  <c r="GO230" i="43"/>
  <c r="BB230" i="43" s="1"/>
  <c r="GT230" i="43"/>
  <c r="GV230" i="43" s="1"/>
  <c r="BU230" i="43" s="1"/>
  <c r="HA230" i="43"/>
  <c r="HC230" i="43" s="1"/>
  <c r="CP230" i="43" s="1"/>
  <c r="HH230" i="43"/>
  <c r="HJ230" i="43" s="1"/>
  <c r="DI230" i="43" s="1"/>
  <c r="HL231" i="43" l="1"/>
  <c r="HK231" i="43" s="1"/>
  <c r="HG231" i="43" s="1"/>
  <c r="DK230" i="43"/>
  <c r="BD230" i="43"/>
  <c r="HE231" i="43"/>
  <c r="HD231" i="43" s="1"/>
  <c r="GZ231" i="43" s="1"/>
  <c r="CR230" i="43"/>
  <c r="GX231" i="43"/>
  <c r="GW231" i="43" s="1"/>
  <c r="GS231" i="43" s="1"/>
  <c r="BW230" i="43"/>
  <c r="AC226" i="45"/>
  <c r="AA226" i="45"/>
  <c r="AN230" i="43"/>
  <c r="GQ231" i="43"/>
  <c r="GP231" i="43" s="1"/>
  <c r="GK230" i="43"/>
  <c r="GL231" i="43" l="1"/>
  <c r="GJ231" i="43" s="1"/>
  <c r="GM231" i="43" s="1"/>
  <c r="AO230" i="43"/>
  <c r="DY230" i="43"/>
  <c r="DZ230" i="43" s="1"/>
  <c r="GN230" i="43"/>
  <c r="GU230" i="43"/>
  <c r="HB230" i="43"/>
  <c r="HI230" i="43"/>
  <c r="FF230" i="43" l="1"/>
  <c r="T227" i="45"/>
  <c r="AB227" i="45" s="1"/>
  <c r="GO231" i="43"/>
  <c r="BB231" i="43" s="1"/>
  <c r="GT231" i="43"/>
  <c r="GV231" i="43" s="1"/>
  <c r="BU231" i="43" s="1"/>
  <c r="HA231" i="43"/>
  <c r="HC231" i="43" s="1"/>
  <c r="CP231" i="43" s="1"/>
  <c r="HH231" i="43"/>
  <c r="HJ231" i="43" s="1"/>
  <c r="DI231" i="43" s="1"/>
  <c r="HL232" i="43" l="1"/>
  <c r="HK232" i="43" s="1"/>
  <c r="HG232" i="43" s="1"/>
  <c r="DK231" i="43"/>
  <c r="HE232" i="43"/>
  <c r="HD232" i="43" s="1"/>
  <c r="GZ232" i="43" s="1"/>
  <c r="CR231" i="43"/>
  <c r="BD231" i="43"/>
  <c r="GX232" i="43"/>
  <c r="GW232" i="43" s="1"/>
  <c r="GS232" i="43" s="1"/>
  <c r="BW231" i="43"/>
  <c r="AA227" i="45"/>
  <c r="AC227" i="45"/>
  <c r="AN231" i="43"/>
  <c r="GQ232" i="43"/>
  <c r="GP232" i="43" s="1"/>
  <c r="GK231" i="43"/>
  <c r="GL232" i="43" l="1"/>
  <c r="GJ232" i="43" s="1"/>
  <c r="GM232" i="43" s="1"/>
  <c r="AO231" i="43"/>
  <c r="DY231" i="43"/>
  <c r="DZ231" i="43" s="1"/>
  <c r="GU231" i="43"/>
  <c r="GN231" i="43"/>
  <c r="HB231" i="43"/>
  <c r="HI231" i="43"/>
  <c r="FF231" i="43" l="1"/>
  <c r="T228" i="45"/>
  <c r="AB228" i="45" s="1"/>
  <c r="GO232" i="43"/>
  <c r="BB232" i="43" s="1"/>
  <c r="GT232" i="43"/>
  <c r="GV232" i="43" s="1"/>
  <c r="BU232" i="43" s="1"/>
  <c r="HA232" i="43"/>
  <c r="HC232" i="43" s="1"/>
  <c r="CP232" i="43" s="1"/>
  <c r="HH232" i="43"/>
  <c r="HJ232" i="43" s="1"/>
  <c r="DI232" i="43" s="1"/>
  <c r="HL233" i="43" l="1"/>
  <c r="HK233" i="43" s="1"/>
  <c r="HG233" i="43" s="1"/>
  <c r="DK232" i="43"/>
  <c r="BD232" i="43"/>
  <c r="HE233" i="43"/>
  <c r="HD233" i="43" s="1"/>
  <c r="GZ233" i="43" s="1"/>
  <c r="CR232" i="43"/>
  <c r="GX233" i="43"/>
  <c r="GW233" i="43" s="1"/>
  <c r="GS233" i="43" s="1"/>
  <c r="BW232" i="43"/>
  <c r="AA228" i="45"/>
  <c r="AC228" i="45"/>
  <c r="AN232" i="43"/>
  <c r="GQ233" i="43"/>
  <c r="GP233" i="43" s="1"/>
  <c r="GK232" i="43"/>
  <c r="GL233" i="43" l="1"/>
  <c r="GJ233" i="43" s="1"/>
  <c r="GM233" i="43" s="1"/>
  <c r="AO232" i="43"/>
  <c r="DY232" i="43"/>
  <c r="DZ232" i="43" s="1"/>
  <c r="HI232" i="43"/>
  <c r="GU232" i="43"/>
  <c r="HB232" i="43"/>
  <c r="GN232" i="43"/>
  <c r="FF232" i="43" l="1"/>
  <c r="T229" i="45"/>
  <c r="AB229" i="45" s="1"/>
  <c r="GO233" i="43"/>
  <c r="BB233" i="43" s="1"/>
  <c r="GT233" i="43"/>
  <c r="GV233" i="43" s="1"/>
  <c r="BU233" i="43" s="1"/>
  <c r="HA233" i="43"/>
  <c r="HC233" i="43" s="1"/>
  <c r="CP233" i="43" s="1"/>
  <c r="HH233" i="43"/>
  <c r="HJ233" i="43" s="1"/>
  <c r="DI233" i="43" s="1"/>
  <c r="BD233" i="43" l="1"/>
  <c r="HL234" i="43"/>
  <c r="HK234" i="43" s="1"/>
  <c r="HG234" i="43" s="1"/>
  <c r="DK233" i="43"/>
  <c r="HE234" i="43"/>
  <c r="HD234" i="43" s="1"/>
  <c r="GZ234" i="43" s="1"/>
  <c r="CR233" i="43"/>
  <c r="GX234" i="43"/>
  <c r="GW234" i="43" s="1"/>
  <c r="GS234" i="43" s="1"/>
  <c r="BW233" i="43"/>
  <c r="AA229" i="45"/>
  <c r="AC229" i="45"/>
  <c r="AN233" i="43"/>
  <c r="GQ234" i="43"/>
  <c r="GP234" i="43" s="1"/>
  <c r="GK233" i="43"/>
  <c r="GL234" i="43" l="1"/>
  <c r="GJ234" i="43" s="1"/>
  <c r="GM234" i="43" s="1"/>
  <c r="AO233" i="43"/>
  <c r="DY233" i="43"/>
  <c r="DZ233" i="43" s="1"/>
  <c r="GN233" i="43"/>
  <c r="HI233" i="43"/>
  <c r="HB233" i="43"/>
  <c r="GU233" i="43"/>
  <c r="FF233" i="43" l="1"/>
  <c r="T230" i="45"/>
  <c r="AB230" i="45" s="1"/>
  <c r="GO234" i="43"/>
  <c r="BB234" i="43" s="1"/>
  <c r="GT234" i="43"/>
  <c r="GV234" i="43" s="1"/>
  <c r="BU234" i="43" s="1"/>
  <c r="HA234" i="43"/>
  <c r="HC234" i="43" s="1"/>
  <c r="CP234" i="43" s="1"/>
  <c r="HH234" i="43"/>
  <c r="HJ234" i="43" s="1"/>
  <c r="DI234" i="43" s="1"/>
  <c r="HL235" i="43" l="1"/>
  <c r="HK235" i="43" s="1"/>
  <c r="HG235" i="43" s="1"/>
  <c r="DK234" i="43"/>
  <c r="BD234" i="43"/>
  <c r="HE235" i="43"/>
  <c r="HD235" i="43" s="1"/>
  <c r="GZ235" i="43" s="1"/>
  <c r="CR234" i="43"/>
  <c r="GX235" i="43"/>
  <c r="GW235" i="43" s="1"/>
  <c r="GS235" i="43" s="1"/>
  <c r="BW234" i="43"/>
  <c r="AA230" i="45"/>
  <c r="AC230" i="45"/>
  <c r="AN234" i="43"/>
  <c r="GQ235" i="43"/>
  <c r="GP235" i="43" s="1"/>
  <c r="GK234" i="43"/>
  <c r="GL235" i="43" l="1"/>
  <c r="GJ235" i="43" s="1"/>
  <c r="GM235" i="43" s="1"/>
  <c r="DY234" i="43"/>
  <c r="DZ234" i="43" s="1"/>
  <c r="AO234" i="43"/>
  <c r="GU234" i="43"/>
  <c r="HB234" i="43"/>
  <c r="GN234" i="43"/>
  <c r="HI234" i="43"/>
  <c r="FF234" i="43" l="1"/>
  <c r="T231" i="45"/>
  <c r="AB231" i="45" s="1"/>
  <c r="GO235" i="43"/>
  <c r="BB235" i="43" s="1"/>
  <c r="GT235" i="43"/>
  <c r="GV235" i="43" s="1"/>
  <c r="BU235" i="43" s="1"/>
  <c r="HA235" i="43"/>
  <c r="HC235" i="43" s="1"/>
  <c r="CP235" i="43" s="1"/>
  <c r="HH235" i="43"/>
  <c r="HJ235" i="43" s="1"/>
  <c r="DI235" i="43" s="1"/>
  <c r="BD235" i="43" l="1"/>
  <c r="HL236" i="43"/>
  <c r="HK236" i="43" s="1"/>
  <c r="HG236" i="43" s="1"/>
  <c r="DK235" i="43"/>
  <c r="HE236" i="43"/>
  <c r="HD236" i="43" s="1"/>
  <c r="GZ236" i="43" s="1"/>
  <c r="CR235" i="43"/>
  <c r="GX236" i="43"/>
  <c r="GW236" i="43" s="1"/>
  <c r="GS236" i="43" s="1"/>
  <c r="BW235" i="43"/>
  <c r="AA231" i="45"/>
  <c r="AC231" i="45"/>
  <c r="AN235" i="43"/>
  <c r="GQ236" i="43"/>
  <c r="GP236" i="43" s="1"/>
  <c r="GK235" i="43"/>
  <c r="GL236" i="43" l="1"/>
  <c r="GJ236" i="43" s="1"/>
  <c r="GM236" i="43" s="1"/>
  <c r="AO235" i="43"/>
  <c r="DY235" i="43"/>
  <c r="DZ235" i="43" s="1"/>
  <c r="GN235" i="43"/>
  <c r="HI235" i="43"/>
  <c r="HB235" i="43"/>
  <c r="GU235" i="43"/>
  <c r="FF235" i="43" l="1"/>
  <c r="T232" i="45"/>
  <c r="AB232" i="45" s="1"/>
  <c r="GO236" i="43"/>
  <c r="BB236" i="43" s="1"/>
  <c r="GT236" i="43"/>
  <c r="GV236" i="43" s="1"/>
  <c r="BU236" i="43" s="1"/>
  <c r="HA236" i="43"/>
  <c r="HC236" i="43" s="1"/>
  <c r="CP236" i="43" s="1"/>
  <c r="HH236" i="43"/>
  <c r="HJ236" i="43" s="1"/>
  <c r="DI236" i="43" s="1"/>
  <c r="HL237" i="43" l="1"/>
  <c r="HK237" i="43" s="1"/>
  <c r="HG237" i="43" s="1"/>
  <c r="DK236" i="43"/>
  <c r="BD236" i="43"/>
  <c r="HE237" i="43"/>
  <c r="HD237" i="43" s="1"/>
  <c r="GZ237" i="43" s="1"/>
  <c r="CR236" i="43"/>
  <c r="GX237" i="43"/>
  <c r="GW237" i="43" s="1"/>
  <c r="GS237" i="43" s="1"/>
  <c r="BW236" i="43"/>
  <c r="AA232" i="45"/>
  <c r="AC232" i="45"/>
  <c r="AN236" i="43"/>
  <c r="GQ237" i="43"/>
  <c r="GP237" i="43" s="1"/>
  <c r="GK236" i="43"/>
  <c r="GL237" i="43" l="1"/>
  <c r="GJ237" i="43" s="1"/>
  <c r="GM237" i="43" s="1"/>
  <c r="DY236" i="43"/>
  <c r="DZ236" i="43" s="1"/>
  <c r="AO236" i="43"/>
  <c r="GU236" i="43"/>
  <c r="GN236" i="43"/>
  <c r="HI236" i="43"/>
  <c r="HB236" i="43"/>
  <c r="FF236" i="43" l="1"/>
  <c r="T233" i="45"/>
  <c r="AB233" i="45" s="1"/>
  <c r="GO237" i="43"/>
  <c r="BB237" i="43" s="1"/>
  <c r="GT237" i="43"/>
  <c r="GV237" i="43" s="1"/>
  <c r="BU237" i="43" s="1"/>
  <c r="HA237" i="43"/>
  <c r="HC237" i="43" s="1"/>
  <c r="CP237" i="43" s="1"/>
  <c r="HH237" i="43"/>
  <c r="HJ237" i="43" s="1"/>
  <c r="DI237" i="43" s="1"/>
  <c r="HL238" i="43" l="1"/>
  <c r="HK238" i="43" s="1"/>
  <c r="HG238" i="43" s="1"/>
  <c r="DK237" i="43"/>
  <c r="BD237" i="43"/>
  <c r="HE238" i="43"/>
  <c r="HD238" i="43" s="1"/>
  <c r="GZ238" i="43" s="1"/>
  <c r="CR237" i="43"/>
  <c r="GX238" i="43"/>
  <c r="GW238" i="43" s="1"/>
  <c r="GS238" i="43" s="1"/>
  <c r="BW237" i="43"/>
  <c r="AA233" i="45"/>
  <c r="AC233" i="45"/>
  <c r="AN237" i="43"/>
  <c r="GQ238" i="43"/>
  <c r="GP238" i="43" s="1"/>
  <c r="GK237" i="43"/>
  <c r="GL238" i="43" l="1"/>
  <c r="GJ238" i="43" s="1"/>
  <c r="GM238" i="43" s="1"/>
  <c r="AO237" i="43"/>
  <c r="DY237" i="43"/>
  <c r="DZ237" i="43" s="1"/>
  <c r="HI237" i="43"/>
  <c r="GN237" i="43"/>
  <c r="HB237" i="43"/>
  <c r="GU237" i="43"/>
  <c r="FF237" i="43" l="1"/>
  <c r="T234" i="45"/>
  <c r="AB234" i="45" s="1"/>
  <c r="GO238" i="43"/>
  <c r="BB238" i="43" s="1"/>
  <c r="GT238" i="43"/>
  <c r="GV238" i="43" s="1"/>
  <c r="BU238" i="43" s="1"/>
  <c r="HA238" i="43"/>
  <c r="HC238" i="43" s="1"/>
  <c r="CP238" i="43" s="1"/>
  <c r="HH238" i="43"/>
  <c r="HJ238" i="43" s="1"/>
  <c r="DI238" i="43" s="1"/>
  <c r="BD238" i="43" l="1"/>
  <c r="HL239" i="43"/>
  <c r="HK239" i="43" s="1"/>
  <c r="HG239" i="43" s="1"/>
  <c r="DK238" i="43"/>
  <c r="HE239" i="43"/>
  <c r="HD239" i="43" s="1"/>
  <c r="GZ239" i="43" s="1"/>
  <c r="CR238" i="43"/>
  <c r="GX239" i="43"/>
  <c r="GW239" i="43" s="1"/>
  <c r="GS239" i="43" s="1"/>
  <c r="BW238" i="43"/>
  <c r="AA234" i="45"/>
  <c r="AC234" i="45"/>
  <c r="AN238" i="43"/>
  <c r="GQ239" i="43"/>
  <c r="GP239" i="43" s="1"/>
  <c r="GK238" i="43"/>
  <c r="GL239" i="43" l="1"/>
  <c r="GJ239" i="43" s="1"/>
  <c r="GM239" i="43" s="1"/>
  <c r="DY238" i="43"/>
  <c r="DZ238" i="43" s="1"/>
  <c r="AO238" i="43"/>
  <c r="GN238" i="43"/>
  <c r="HI238" i="43"/>
  <c r="GU238" i="43"/>
  <c r="HB238" i="43"/>
  <c r="FF238" i="43" l="1"/>
  <c r="T235" i="45"/>
  <c r="W235" i="45" s="1"/>
  <c r="GO239" i="43"/>
  <c r="BB239" i="43" s="1"/>
  <c r="GT239" i="43"/>
  <c r="GV239" i="43" s="1"/>
  <c r="BU239" i="43" s="1"/>
  <c r="HA239" i="43"/>
  <c r="HC239" i="43" s="1"/>
  <c r="CP239" i="43" s="1"/>
  <c r="HH239" i="43"/>
  <c r="HJ239" i="43" s="1"/>
  <c r="DI239" i="43" s="1"/>
  <c r="X235" i="45" l="1"/>
  <c r="BD239" i="43"/>
  <c r="HL240" i="43"/>
  <c r="HK240" i="43" s="1"/>
  <c r="HG240" i="43" s="1"/>
  <c r="DK239" i="43"/>
  <c r="HE240" i="43"/>
  <c r="HD240" i="43" s="1"/>
  <c r="GZ240" i="43" s="1"/>
  <c r="CR239" i="43"/>
  <c r="GX240" i="43"/>
  <c r="GW240" i="43" s="1"/>
  <c r="GS240" i="43" s="1"/>
  <c r="BW239" i="43"/>
  <c r="AN239" i="43"/>
  <c r="GQ240" i="43"/>
  <c r="GP240" i="43" s="1"/>
  <c r="GK239" i="43"/>
  <c r="AA235" i="45" l="1"/>
  <c r="Z235" i="45"/>
  <c r="GL240" i="43"/>
  <c r="GJ240" i="43" s="1"/>
  <c r="GM240" i="43" s="1"/>
  <c r="DY239" i="43"/>
  <c r="DZ239" i="43" s="1"/>
  <c r="AO239" i="43"/>
  <c r="HB239" i="43"/>
  <c r="HI239" i="43"/>
  <c r="GU239" i="43"/>
  <c r="GN239" i="43"/>
  <c r="FF239" i="43" l="1"/>
  <c r="T236" i="45"/>
  <c r="W236" i="45" s="1"/>
  <c r="X236" i="45" s="1"/>
  <c r="GO240" i="43"/>
  <c r="BB240" i="43" s="1"/>
  <c r="GT240" i="43"/>
  <c r="GV240" i="43" s="1"/>
  <c r="BU240" i="43" s="1"/>
  <c r="HA240" i="43"/>
  <c r="HC240" i="43" s="1"/>
  <c r="CP240" i="43" s="1"/>
  <c r="HH240" i="43"/>
  <c r="HJ240" i="43" s="1"/>
  <c r="DI240" i="43" s="1"/>
  <c r="BD240" i="43" l="1"/>
  <c r="HL241" i="43"/>
  <c r="HK241" i="43" s="1"/>
  <c r="HG241" i="43" s="1"/>
  <c r="DK240" i="43"/>
  <c r="HE241" i="43"/>
  <c r="HD241" i="43" s="1"/>
  <c r="GZ241" i="43" s="1"/>
  <c r="CR240" i="43"/>
  <c r="GX241" i="43"/>
  <c r="GW241" i="43" s="1"/>
  <c r="GS241" i="43" s="1"/>
  <c r="BW240" i="43"/>
  <c r="Z236" i="45"/>
  <c r="AN240" i="43"/>
  <c r="GQ241" i="43"/>
  <c r="GP241" i="43" s="1"/>
  <c r="GK240" i="43"/>
  <c r="AO240" i="43" l="1"/>
  <c r="DY240" i="43"/>
  <c r="DZ240" i="43" s="1"/>
  <c r="GL241" i="43"/>
  <c r="GJ241" i="43" s="1"/>
  <c r="GM241" i="43" s="1"/>
  <c r="GN240" i="43"/>
  <c r="HI240" i="43"/>
  <c r="GU240" i="43"/>
  <c r="HB240" i="43"/>
  <c r="FF240" i="43" l="1"/>
  <c r="T237" i="45"/>
  <c r="W237" i="45" s="1"/>
  <c r="GO241" i="43"/>
  <c r="BB241" i="43" s="1"/>
  <c r="GT241" i="43"/>
  <c r="GV241" i="43" s="1"/>
  <c r="BU241" i="43" s="1"/>
  <c r="HA241" i="43"/>
  <c r="HC241" i="43" s="1"/>
  <c r="CP241" i="43" s="1"/>
  <c r="HH241" i="43"/>
  <c r="HJ241" i="43" s="1"/>
  <c r="DI241" i="43" s="1"/>
  <c r="BD241" i="43" l="1"/>
  <c r="HL242" i="43"/>
  <c r="HK242" i="43" s="1"/>
  <c r="HG242" i="43" s="1"/>
  <c r="DK241" i="43"/>
  <c r="HE242" i="43"/>
  <c r="HD242" i="43" s="1"/>
  <c r="GZ242" i="43" s="1"/>
  <c r="CR241" i="43"/>
  <c r="GX242" i="43"/>
  <c r="GW242" i="43" s="1"/>
  <c r="GS242" i="43" s="1"/>
  <c r="BW241" i="43"/>
  <c r="Z237" i="45"/>
  <c r="X237" i="45"/>
  <c r="AN241" i="43"/>
  <c r="GQ242" i="43"/>
  <c r="GP242" i="43" s="1"/>
  <c r="GK241" i="43"/>
  <c r="GL242" i="43" l="1"/>
  <c r="GJ242" i="43" s="1"/>
  <c r="GM242" i="43" s="1"/>
  <c r="DY241" i="43"/>
  <c r="DZ241" i="43" s="1"/>
  <c r="AO241" i="43"/>
  <c r="HI241" i="43"/>
  <c r="GU241" i="43"/>
  <c r="GN241" i="43"/>
  <c r="HB241" i="43"/>
  <c r="FF241" i="43" l="1"/>
  <c r="T238" i="45"/>
  <c r="W238" i="45" s="1"/>
  <c r="GO242" i="43"/>
  <c r="BB242" i="43" s="1"/>
  <c r="GT242" i="43"/>
  <c r="GV242" i="43" s="1"/>
  <c r="BU242" i="43" s="1"/>
  <c r="HA242" i="43"/>
  <c r="HC242" i="43" s="1"/>
  <c r="CP242" i="43" s="1"/>
  <c r="HH242" i="43"/>
  <c r="HJ242" i="43" s="1"/>
  <c r="DI242" i="43" s="1"/>
  <c r="BD242" i="43" l="1"/>
  <c r="HL243" i="43"/>
  <c r="HK243" i="43" s="1"/>
  <c r="HG243" i="43" s="1"/>
  <c r="DK242" i="43"/>
  <c r="HE243" i="43"/>
  <c r="HD243" i="43" s="1"/>
  <c r="GZ243" i="43" s="1"/>
  <c r="CR242" i="43"/>
  <c r="GX243" i="43"/>
  <c r="GW243" i="43" s="1"/>
  <c r="GS243" i="43" s="1"/>
  <c r="BW242" i="43"/>
  <c r="Z238" i="45"/>
  <c r="X238" i="45"/>
  <c r="AN242" i="43"/>
  <c r="GQ243" i="43"/>
  <c r="GP243" i="43" s="1"/>
  <c r="GK242" i="43"/>
  <c r="GL243" i="43" l="1"/>
  <c r="GJ243" i="43" s="1"/>
  <c r="GM243" i="43" s="1"/>
  <c r="DY242" i="43"/>
  <c r="DZ242" i="43" s="1"/>
  <c r="AO242" i="43"/>
  <c r="GN242" i="43"/>
  <c r="GU242" i="43"/>
  <c r="HI242" i="43"/>
  <c r="HB242" i="43"/>
  <c r="FF242" i="43" l="1"/>
  <c r="T239" i="45"/>
  <c r="W239" i="45" s="1"/>
  <c r="GO243" i="43"/>
  <c r="BB243" i="43" s="1"/>
  <c r="GT243" i="43"/>
  <c r="GV243" i="43" s="1"/>
  <c r="BU243" i="43" s="1"/>
  <c r="HA243" i="43"/>
  <c r="HC243" i="43" s="1"/>
  <c r="CP243" i="43" s="1"/>
  <c r="HH243" i="43"/>
  <c r="HJ243" i="43" s="1"/>
  <c r="DI243" i="43" s="1"/>
  <c r="BD243" i="43" l="1"/>
  <c r="HL244" i="43"/>
  <c r="HK244" i="43" s="1"/>
  <c r="HG244" i="43" s="1"/>
  <c r="DK243" i="43"/>
  <c r="HE244" i="43"/>
  <c r="HD244" i="43" s="1"/>
  <c r="GZ244" i="43" s="1"/>
  <c r="CR243" i="43"/>
  <c r="GX244" i="43"/>
  <c r="GW244" i="43" s="1"/>
  <c r="GS244" i="43" s="1"/>
  <c r="BW243" i="43"/>
  <c r="Z239" i="45"/>
  <c r="X239" i="45"/>
  <c r="AN243" i="43"/>
  <c r="GQ244" i="43"/>
  <c r="GP244" i="43" s="1"/>
  <c r="GK243" i="43"/>
  <c r="GL244" i="43" l="1"/>
  <c r="GJ244" i="43" s="1"/>
  <c r="GM244" i="43" s="1"/>
  <c r="AO243" i="43"/>
  <c r="DY243" i="43"/>
  <c r="DZ243" i="43" s="1"/>
  <c r="GN243" i="43"/>
  <c r="GU243" i="43"/>
  <c r="HI243" i="43"/>
  <c r="HB243" i="43"/>
  <c r="FF243" i="43" l="1"/>
  <c r="T240" i="45"/>
  <c r="W240" i="45" s="1"/>
  <c r="GO244" i="43"/>
  <c r="BB244" i="43" s="1"/>
  <c r="GT244" i="43"/>
  <c r="GV244" i="43" s="1"/>
  <c r="BU244" i="43" s="1"/>
  <c r="HA244" i="43"/>
  <c r="HC244" i="43" s="1"/>
  <c r="CP244" i="43" s="1"/>
  <c r="HH244" i="43"/>
  <c r="HJ244" i="43" s="1"/>
  <c r="DI244" i="43" s="1"/>
  <c r="BD244" i="43" l="1"/>
  <c r="HL245" i="43"/>
  <c r="HK245" i="43" s="1"/>
  <c r="HG245" i="43" s="1"/>
  <c r="DK244" i="43"/>
  <c r="HE245" i="43"/>
  <c r="HD245" i="43" s="1"/>
  <c r="GZ245" i="43" s="1"/>
  <c r="CR244" i="43"/>
  <c r="GX245" i="43"/>
  <c r="GW245" i="43" s="1"/>
  <c r="GS245" i="43" s="1"/>
  <c r="BW244" i="43"/>
  <c r="Z240" i="45"/>
  <c r="X240" i="45"/>
  <c r="AN244" i="43"/>
  <c r="GQ245" i="43"/>
  <c r="GP245" i="43" s="1"/>
  <c r="GK244" i="43"/>
  <c r="GL245" i="43" l="1"/>
  <c r="GJ245" i="43" s="1"/>
  <c r="GM245" i="43" s="1"/>
  <c r="DY244" i="43"/>
  <c r="DZ244" i="43" s="1"/>
  <c r="AO244" i="43"/>
  <c r="GN244" i="43"/>
  <c r="HB244" i="43"/>
  <c r="GU244" i="43"/>
  <c r="HI244" i="43"/>
  <c r="FF244" i="43" l="1"/>
  <c r="T241" i="45"/>
  <c r="W241" i="45" s="1"/>
  <c r="GO245" i="43"/>
  <c r="BB245" i="43" s="1"/>
  <c r="GT245" i="43"/>
  <c r="GV245" i="43" s="1"/>
  <c r="BU245" i="43" s="1"/>
  <c r="HA245" i="43"/>
  <c r="HC245" i="43" s="1"/>
  <c r="CP245" i="43" s="1"/>
  <c r="HH245" i="43"/>
  <c r="HJ245" i="43" s="1"/>
  <c r="DI245" i="43" s="1"/>
  <c r="BD245" i="43" l="1"/>
  <c r="HL246" i="43"/>
  <c r="HK246" i="43" s="1"/>
  <c r="HG246" i="43" s="1"/>
  <c r="DK245" i="43"/>
  <c r="HE246" i="43"/>
  <c r="HD246" i="43" s="1"/>
  <c r="GZ246" i="43" s="1"/>
  <c r="CR245" i="43"/>
  <c r="GX246" i="43"/>
  <c r="GW246" i="43" s="1"/>
  <c r="GS246" i="43" s="1"/>
  <c r="BW245" i="43"/>
  <c r="Z241" i="45"/>
  <c r="X241" i="45"/>
  <c r="AN245" i="43"/>
  <c r="GQ246" i="43"/>
  <c r="GP246" i="43" s="1"/>
  <c r="GK245" i="43"/>
  <c r="GL246" i="43" l="1"/>
  <c r="GJ246" i="43" s="1"/>
  <c r="GM246" i="43" s="1"/>
  <c r="AO245" i="43"/>
  <c r="DY245" i="43"/>
  <c r="DZ245" i="43" s="1"/>
  <c r="HB245" i="43"/>
  <c r="HI245" i="43"/>
  <c r="GU245" i="43"/>
  <c r="GN245" i="43"/>
  <c r="FF245" i="43" l="1"/>
  <c r="T242" i="45"/>
  <c r="W242" i="45" s="1"/>
  <c r="GO246" i="43"/>
  <c r="BB246" i="43" s="1"/>
  <c r="GT246" i="43"/>
  <c r="GV246" i="43" s="1"/>
  <c r="BU246" i="43" s="1"/>
  <c r="HA246" i="43"/>
  <c r="HC246" i="43" s="1"/>
  <c r="CP246" i="43" s="1"/>
  <c r="HH246" i="43"/>
  <c r="HJ246" i="43" s="1"/>
  <c r="DI246" i="43" s="1"/>
  <c r="BD246" i="43" l="1"/>
  <c r="HL247" i="43"/>
  <c r="HK247" i="43" s="1"/>
  <c r="HG247" i="43" s="1"/>
  <c r="DK246" i="43"/>
  <c r="HE247" i="43"/>
  <c r="HD247" i="43" s="1"/>
  <c r="GZ247" i="43" s="1"/>
  <c r="CR246" i="43"/>
  <c r="GX247" i="43"/>
  <c r="GW247" i="43" s="1"/>
  <c r="GS247" i="43" s="1"/>
  <c r="BW246" i="43"/>
  <c r="Z242" i="45"/>
  <c r="X242" i="45"/>
  <c r="AN246" i="43"/>
  <c r="GQ247" i="43"/>
  <c r="GP247" i="43" s="1"/>
  <c r="GK246" i="43"/>
  <c r="GL247" i="43" l="1"/>
  <c r="GJ247" i="43" s="1"/>
  <c r="GM247" i="43" s="1"/>
  <c r="DY246" i="43"/>
  <c r="DZ246" i="43" s="1"/>
  <c r="AO246" i="43"/>
  <c r="HB246" i="43"/>
  <c r="GN246" i="43"/>
  <c r="GU246" i="43"/>
  <c r="HI246" i="43"/>
  <c r="FF246" i="43" l="1"/>
  <c r="T243" i="45"/>
  <c r="W243" i="45" s="1"/>
  <c r="GO247" i="43"/>
  <c r="BB247" i="43" s="1"/>
  <c r="GT247" i="43"/>
  <c r="GV247" i="43" s="1"/>
  <c r="BU247" i="43" s="1"/>
  <c r="HA247" i="43"/>
  <c r="HC247" i="43" s="1"/>
  <c r="CP247" i="43" s="1"/>
  <c r="HH247" i="43"/>
  <c r="HJ247" i="43" s="1"/>
  <c r="DI247" i="43" s="1"/>
  <c r="BD247" i="43" l="1"/>
  <c r="HL248" i="43"/>
  <c r="HK248" i="43" s="1"/>
  <c r="HG248" i="43" s="1"/>
  <c r="DK247" i="43"/>
  <c r="HE248" i="43"/>
  <c r="HD248" i="43" s="1"/>
  <c r="GZ248" i="43" s="1"/>
  <c r="CR247" i="43"/>
  <c r="GX248" i="43"/>
  <c r="GW248" i="43" s="1"/>
  <c r="GS248" i="43" s="1"/>
  <c r="BW247" i="43"/>
  <c r="Z243" i="45"/>
  <c r="X243" i="45"/>
  <c r="AN247" i="43"/>
  <c r="GQ248" i="43"/>
  <c r="GP248" i="43" s="1"/>
  <c r="GK247" i="43"/>
  <c r="GL248" i="43" l="1"/>
  <c r="GJ248" i="43" s="1"/>
  <c r="GM248" i="43" s="1"/>
  <c r="AO247" i="43"/>
  <c r="DY247" i="43"/>
  <c r="DZ247" i="43" s="1"/>
  <c r="GU247" i="43"/>
  <c r="GN247" i="43"/>
  <c r="HI247" i="43"/>
  <c r="HB247" i="43"/>
  <c r="FF247" i="43" l="1"/>
  <c r="T244" i="45"/>
  <c r="W244" i="45" s="1"/>
  <c r="GO248" i="43"/>
  <c r="BB248" i="43" s="1"/>
  <c r="GT248" i="43"/>
  <c r="GV248" i="43" s="1"/>
  <c r="BU248" i="43" s="1"/>
  <c r="HA248" i="43"/>
  <c r="HC248" i="43" s="1"/>
  <c r="CP248" i="43" s="1"/>
  <c r="HH248" i="43"/>
  <c r="HJ248" i="43" s="1"/>
  <c r="DI248" i="43" s="1"/>
  <c r="HL249" i="43" l="1"/>
  <c r="HK249" i="43" s="1"/>
  <c r="HG249" i="43" s="1"/>
  <c r="DK248" i="43"/>
  <c r="HE249" i="43"/>
  <c r="HD249" i="43" s="1"/>
  <c r="GZ249" i="43" s="1"/>
  <c r="CR248" i="43"/>
  <c r="BD248" i="43"/>
  <c r="GX249" i="43"/>
  <c r="GW249" i="43" s="1"/>
  <c r="GS249" i="43" s="1"/>
  <c r="BW248" i="43"/>
  <c r="Z244" i="45"/>
  <c r="X244" i="45"/>
  <c r="AN248" i="43"/>
  <c r="GQ249" i="43"/>
  <c r="GP249" i="43" s="1"/>
  <c r="GK248" i="43"/>
  <c r="GL249" i="43" l="1"/>
  <c r="GJ249" i="43" s="1"/>
  <c r="GM249" i="43" s="1"/>
  <c r="AO248" i="43"/>
  <c r="DY248" i="43"/>
  <c r="DZ248" i="43" s="1"/>
  <c r="HI248" i="43"/>
  <c r="GU248" i="43"/>
  <c r="HB248" i="43"/>
  <c r="GN248" i="43"/>
  <c r="FF248" i="43" l="1"/>
  <c r="T245" i="45"/>
  <c r="W245" i="45" s="1"/>
  <c r="GO249" i="43"/>
  <c r="BB249" i="43" s="1"/>
  <c r="GT249" i="43"/>
  <c r="GV249" i="43" s="1"/>
  <c r="BU249" i="43" s="1"/>
  <c r="HA249" i="43"/>
  <c r="HC249" i="43" s="1"/>
  <c r="CP249" i="43" s="1"/>
  <c r="HH249" i="43"/>
  <c r="HJ249" i="43" s="1"/>
  <c r="DI249" i="43" s="1"/>
  <c r="BD249" i="43" l="1"/>
  <c r="HL250" i="43"/>
  <c r="HK250" i="43" s="1"/>
  <c r="HG250" i="43" s="1"/>
  <c r="DK249" i="43"/>
  <c r="HE250" i="43"/>
  <c r="HD250" i="43" s="1"/>
  <c r="GZ250" i="43" s="1"/>
  <c r="CR249" i="43"/>
  <c r="GX250" i="43"/>
  <c r="GW250" i="43" s="1"/>
  <c r="GS250" i="43" s="1"/>
  <c r="BW249" i="43"/>
  <c r="Z245" i="45"/>
  <c r="X245" i="45"/>
  <c r="AN249" i="43"/>
  <c r="GQ250" i="43"/>
  <c r="GP250" i="43" s="1"/>
  <c r="GK249" i="43"/>
  <c r="GL250" i="43" l="1"/>
  <c r="GJ250" i="43" s="1"/>
  <c r="GM250" i="43" s="1"/>
  <c r="AO249" i="43"/>
  <c r="DY249" i="43"/>
  <c r="DZ249" i="43" s="1"/>
  <c r="GN249" i="43"/>
  <c r="HI249" i="43"/>
  <c r="HB249" i="43"/>
  <c r="GU249" i="43"/>
  <c r="FF249" i="43" l="1"/>
  <c r="T246" i="45"/>
  <c r="W246" i="45" s="1"/>
  <c r="GO250" i="43"/>
  <c r="BB250" i="43" s="1"/>
  <c r="GT250" i="43"/>
  <c r="GV250" i="43" s="1"/>
  <c r="BU250" i="43" s="1"/>
  <c r="HA250" i="43"/>
  <c r="HC250" i="43" s="1"/>
  <c r="CP250" i="43" s="1"/>
  <c r="HH250" i="43"/>
  <c r="HJ250" i="43" s="1"/>
  <c r="DI250" i="43" s="1"/>
  <c r="HL251" i="43" l="1"/>
  <c r="HK251" i="43" s="1"/>
  <c r="HG251" i="43" s="1"/>
  <c r="DK250" i="43"/>
  <c r="BD250" i="43"/>
  <c r="HE251" i="43"/>
  <c r="HD251" i="43" s="1"/>
  <c r="GZ251" i="43" s="1"/>
  <c r="CR250" i="43"/>
  <c r="GX251" i="43"/>
  <c r="GW251" i="43" s="1"/>
  <c r="GS251" i="43" s="1"/>
  <c r="BW250" i="43"/>
  <c r="Z246" i="45"/>
  <c r="X246" i="45"/>
  <c r="AN250" i="43"/>
  <c r="GQ251" i="43"/>
  <c r="GP251" i="43" s="1"/>
  <c r="GK250" i="43"/>
  <c r="GL251" i="43" l="1"/>
  <c r="GJ251" i="43" s="1"/>
  <c r="GM251" i="43" s="1"/>
  <c r="DY250" i="43"/>
  <c r="DZ250" i="43" s="1"/>
  <c r="AO250" i="43"/>
  <c r="HB250" i="43"/>
  <c r="GU250" i="43"/>
  <c r="GN250" i="43"/>
  <c r="HI250" i="43"/>
  <c r="FF250" i="43" l="1"/>
  <c r="T247" i="45"/>
  <c r="W247" i="45" s="1"/>
  <c r="GO251" i="43"/>
  <c r="BB251" i="43" s="1"/>
  <c r="GT251" i="43"/>
  <c r="GV251" i="43" s="1"/>
  <c r="BU251" i="43" s="1"/>
  <c r="HA251" i="43"/>
  <c r="HC251" i="43" s="1"/>
  <c r="CP251" i="43" s="1"/>
  <c r="HH251" i="43"/>
  <c r="HJ251" i="43" s="1"/>
  <c r="DI251" i="43" s="1"/>
  <c r="BD251" i="43" l="1"/>
  <c r="HL252" i="43"/>
  <c r="HK252" i="43" s="1"/>
  <c r="HG252" i="43" s="1"/>
  <c r="DK251" i="43"/>
  <c r="HE252" i="43"/>
  <c r="HD252" i="43" s="1"/>
  <c r="GZ252" i="43" s="1"/>
  <c r="CR251" i="43"/>
  <c r="GX252" i="43"/>
  <c r="GW252" i="43" s="1"/>
  <c r="GS252" i="43" s="1"/>
  <c r="BW251" i="43"/>
  <c r="Z247" i="45"/>
  <c r="X247" i="45"/>
  <c r="AN251" i="43"/>
  <c r="GQ252" i="43"/>
  <c r="GP252" i="43" s="1"/>
  <c r="GK251" i="43"/>
  <c r="GL252" i="43" l="1"/>
  <c r="GJ252" i="43" s="1"/>
  <c r="DY251" i="43"/>
  <c r="DZ251" i="43" s="1"/>
  <c r="AO251" i="43"/>
  <c r="HI251" i="43"/>
  <c r="GN251" i="43"/>
  <c r="GU251" i="43"/>
  <c r="HB251" i="43"/>
  <c r="FF251" i="43" l="1"/>
  <c r="T248" i="45"/>
  <c r="W248" i="45" s="1"/>
  <c r="GT252" i="43"/>
  <c r="GV252" i="43" s="1"/>
  <c r="BU252" i="43" s="1"/>
  <c r="HA252" i="43"/>
  <c r="HC252" i="43" s="1"/>
  <c r="CP252" i="43" s="1"/>
  <c r="HH252" i="43"/>
  <c r="HJ252" i="43" s="1"/>
  <c r="DI252" i="43" s="1"/>
  <c r="GM252" i="43"/>
  <c r="GX253" i="43" l="1"/>
  <c r="GW253" i="43" s="1"/>
  <c r="GS253" i="43" s="1"/>
  <c r="BW252" i="43"/>
  <c r="HL253" i="43"/>
  <c r="HK253" i="43" s="1"/>
  <c r="HG253" i="43" s="1"/>
  <c r="DK252" i="43"/>
  <c r="HE253" i="43"/>
  <c r="HD253" i="43" s="1"/>
  <c r="GZ253" i="43" s="1"/>
  <c r="CR252" i="43"/>
  <c r="Z248" i="45"/>
  <c r="X248" i="45"/>
  <c r="GK252" i="43"/>
  <c r="GO252" i="43"/>
  <c r="BB252" i="43" s="1"/>
  <c r="BD252" i="43" l="1"/>
  <c r="AN252" i="43"/>
  <c r="GQ253" i="43"/>
  <c r="GP253" i="43" s="1"/>
  <c r="HB252" i="43"/>
  <c r="HI252" i="43"/>
  <c r="GN252" i="43"/>
  <c r="GU252" i="43"/>
  <c r="GL253" i="43" l="1"/>
  <c r="GJ253" i="43" s="1"/>
  <c r="GM253" i="43" s="1"/>
  <c r="AO252" i="43"/>
  <c r="DY252" i="43"/>
  <c r="DZ252" i="43" s="1"/>
  <c r="FF252" i="43" l="1"/>
  <c r="T249" i="45"/>
  <c r="GO253" i="43"/>
  <c r="BB253" i="43" s="1"/>
  <c r="HA253" i="43"/>
  <c r="HC253" i="43" s="1"/>
  <c r="CP253" i="43" s="1"/>
  <c r="HH253" i="43"/>
  <c r="HJ253" i="43" s="1"/>
  <c r="DI253" i="43" s="1"/>
  <c r="GT253" i="43"/>
  <c r="GV253" i="43" s="1"/>
  <c r="BU253" i="43" s="1"/>
  <c r="BD253" i="43" l="1"/>
  <c r="GX254" i="43"/>
  <c r="GW254" i="43" s="1"/>
  <c r="GS254" i="43" s="1"/>
  <c r="BW253" i="43"/>
  <c r="HL254" i="43"/>
  <c r="HK254" i="43" s="1"/>
  <c r="HG254" i="43" s="1"/>
  <c r="DK253" i="43"/>
  <c r="HE254" i="43"/>
  <c r="HD254" i="43" s="1"/>
  <c r="GZ254" i="43" s="1"/>
  <c r="CR253" i="43"/>
  <c r="W249" i="45"/>
  <c r="AN253" i="43"/>
  <c r="GQ254" i="43"/>
  <c r="GP254" i="43" s="1"/>
  <c r="GK253" i="43"/>
  <c r="Z249" i="45" l="1"/>
  <c r="X249" i="45"/>
  <c r="GL254" i="43"/>
  <c r="GJ254" i="43" s="1"/>
  <c r="GM254" i="43" s="1"/>
  <c r="AO253" i="43"/>
  <c r="DY253" i="43"/>
  <c r="DZ253" i="43" s="1"/>
  <c r="HB253" i="43"/>
  <c r="HI253" i="43"/>
  <c r="GU253" i="43"/>
  <c r="GN253" i="43"/>
  <c r="FF253" i="43" l="1"/>
  <c r="T250" i="45"/>
  <c r="GO254" i="43"/>
  <c r="BB254" i="43" s="1"/>
  <c r="HA254" i="43"/>
  <c r="HC254" i="43" s="1"/>
  <c r="CP254" i="43" s="1"/>
  <c r="HH254" i="43"/>
  <c r="HJ254" i="43" s="1"/>
  <c r="DI254" i="43" s="1"/>
  <c r="GT254" i="43"/>
  <c r="GV254" i="43" s="1"/>
  <c r="BU254" i="43" s="1"/>
  <c r="GX255" i="43" l="1"/>
  <c r="GW255" i="43" s="1"/>
  <c r="GS255" i="43" s="1"/>
  <c r="BW254" i="43"/>
  <c r="BD254" i="43"/>
  <c r="HL255" i="43"/>
  <c r="HK255" i="43" s="1"/>
  <c r="HG255" i="43" s="1"/>
  <c r="DK254" i="43"/>
  <c r="HE255" i="43"/>
  <c r="HD255" i="43" s="1"/>
  <c r="GZ255" i="43" s="1"/>
  <c r="CR254" i="43"/>
  <c r="GQ255" i="43"/>
  <c r="GP255" i="43" s="1"/>
  <c r="AN254" i="43"/>
  <c r="GK254" i="43"/>
  <c r="AO254" i="43" l="1"/>
  <c r="DY254" i="43"/>
  <c r="DZ254" i="43" s="1"/>
  <c r="GL255" i="43"/>
  <c r="GJ255" i="43" s="1"/>
  <c r="GM255" i="43" s="1"/>
  <c r="HI254" i="43"/>
  <c r="GN254" i="43"/>
  <c r="HB254" i="43"/>
  <c r="GU254" i="43"/>
  <c r="FF254" i="43" l="1"/>
  <c r="T251" i="45"/>
  <c r="GO255" i="43"/>
  <c r="BB255" i="43" s="1"/>
  <c r="HA255" i="43"/>
  <c r="HC255" i="43" s="1"/>
  <c r="CP255" i="43" s="1"/>
  <c r="HH255" i="43"/>
  <c r="HJ255" i="43" s="1"/>
  <c r="DI255" i="43" s="1"/>
  <c r="GT255" i="43"/>
  <c r="GV255" i="43" s="1"/>
  <c r="BU255" i="43" s="1"/>
  <c r="BD255" i="43" l="1"/>
  <c r="GX256" i="43"/>
  <c r="GW256" i="43" s="1"/>
  <c r="GS256" i="43" s="1"/>
  <c r="BW255" i="43"/>
  <c r="HL256" i="43"/>
  <c r="HK256" i="43" s="1"/>
  <c r="HG256" i="43" s="1"/>
  <c r="DK255" i="43"/>
  <c r="HE256" i="43"/>
  <c r="HD256" i="43" s="1"/>
  <c r="GZ256" i="43" s="1"/>
  <c r="CR255" i="43"/>
  <c r="AN255" i="43"/>
  <c r="GQ256" i="43"/>
  <c r="GP256" i="43" s="1"/>
  <c r="GK255" i="43"/>
  <c r="GL256" i="43" l="1"/>
  <c r="GJ256" i="43" s="1"/>
  <c r="GM256" i="43" s="1"/>
  <c r="AO255" i="43"/>
  <c r="DY255" i="43"/>
  <c r="DZ255" i="43" s="1"/>
  <c r="HI255" i="43"/>
  <c r="GU255" i="43"/>
  <c r="GN255" i="43"/>
  <c r="HB255" i="43"/>
  <c r="FF255" i="43" l="1"/>
  <c r="T252" i="45"/>
  <c r="GO256" i="43"/>
  <c r="BB256" i="43" s="1"/>
  <c r="HA256" i="43"/>
  <c r="HC256" i="43" s="1"/>
  <c r="CP256" i="43" s="1"/>
  <c r="HH256" i="43"/>
  <c r="HJ256" i="43" s="1"/>
  <c r="DI256" i="43" s="1"/>
  <c r="GT256" i="43"/>
  <c r="GV256" i="43" s="1"/>
  <c r="BU256" i="43" s="1"/>
  <c r="HL257" i="43" l="1"/>
  <c r="HK257" i="43" s="1"/>
  <c r="HG257" i="43" s="1"/>
  <c r="DK256" i="43"/>
  <c r="BD256" i="43"/>
  <c r="GX257" i="43"/>
  <c r="GW257" i="43" s="1"/>
  <c r="GS257" i="43" s="1"/>
  <c r="BW256" i="43"/>
  <c r="HE257" i="43"/>
  <c r="HD257" i="43" s="1"/>
  <c r="GZ257" i="43" s="1"/>
  <c r="CR256" i="43"/>
  <c r="AN256" i="43"/>
  <c r="GQ257" i="43"/>
  <c r="GP257" i="43" s="1"/>
  <c r="GK256" i="43"/>
  <c r="GL257" i="43" l="1"/>
  <c r="GJ257" i="43" s="1"/>
  <c r="GM257" i="43" s="1"/>
  <c r="DY256" i="43"/>
  <c r="DZ256" i="43" s="1"/>
  <c r="AO256" i="43"/>
  <c r="GN256" i="43"/>
  <c r="HB256" i="43"/>
  <c r="GU256" i="43"/>
  <c r="HI256" i="43"/>
  <c r="FF256" i="43" l="1"/>
  <c r="T253" i="45"/>
  <c r="GO257" i="43"/>
  <c r="BB257" i="43" s="1"/>
  <c r="HA257" i="43"/>
  <c r="HC257" i="43" s="1"/>
  <c r="CP257" i="43" s="1"/>
  <c r="HH257" i="43"/>
  <c r="HJ257" i="43" s="1"/>
  <c r="DI257" i="43" s="1"/>
  <c r="GT257" i="43"/>
  <c r="GV257" i="43" s="1"/>
  <c r="BU257" i="43" s="1"/>
  <c r="BD257" i="43" l="1"/>
  <c r="GX258" i="43"/>
  <c r="GW258" i="43" s="1"/>
  <c r="GS258" i="43" s="1"/>
  <c r="BW257" i="43"/>
  <c r="HL258" i="43"/>
  <c r="HK258" i="43" s="1"/>
  <c r="HG258" i="43" s="1"/>
  <c r="DK257" i="43"/>
  <c r="HE258" i="43"/>
  <c r="HD258" i="43" s="1"/>
  <c r="GZ258" i="43" s="1"/>
  <c r="CR257" i="43"/>
  <c r="AN257" i="43"/>
  <c r="GQ258" i="43"/>
  <c r="GP258" i="43" s="1"/>
  <c r="GK257" i="43"/>
  <c r="GL258" i="43" l="1"/>
  <c r="GJ258" i="43" s="1"/>
  <c r="GM258" i="43" s="1"/>
  <c r="AO257" i="43"/>
  <c r="DY257" i="43"/>
  <c r="DZ257" i="43" s="1"/>
  <c r="HB257" i="43"/>
  <c r="GU257" i="43"/>
  <c r="HI257" i="43"/>
  <c r="GN257" i="43"/>
  <c r="FF257" i="43" l="1"/>
  <c r="T254" i="45"/>
  <c r="GO258" i="43"/>
  <c r="BB258" i="43" s="1"/>
  <c r="HA258" i="43"/>
  <c r="HC258" i="43" s="1"/>
  <c r="CP258" i="43" s="1"/>
  <c r="HH258" i="43"/>
  <c r="HJ258" i="43" s="1"/>
  <c r="DI258" i="43" s="1"/>
  <c r="GT258" i="43"/>
  <c r="GV258" i="43" s="1"/>
  <c r="BU258" i="43" s="1"/>
  <c r="HL259" i="43" l="1"/>
  <c r="HK259" i="43" s="1"/>
  <c r="HG259" i="43" s="1"/>
  <c r="DK258" i="43"/>
  <c r="BD258" i="43"/>
  <c r="GX259" i="43"/>
  <c r="GW259" i="43" s="1"/>
  <c r="GS259" i="43" s="1"/>
  <c r="BW258" i="43"/>
  <c r="HE259" i="43"/>
  <c r="HD259" i="43" s="1"/>
  <c r="GZ259" i="43" s="1"/>
  <c r="CR258" i="43"/>
  <c r="AN258" i="43"/>
  <c r="GQ259" i="43"/>
  <c r="GP259" i="43" s="1"/>
  <c r="GK258" i="43"/>
  <c r="HI258" i="43" l="1"/>
  <c r="GU258" i="43"/>
  <c r="GN258" i="43"/>
  <c r="HB258" i="43"/>
  <c r="GL259" i="43"/>
  <c r="GJ259" i="43" s="1"/>
  <c r="GM259" i="43" s="1"/>
  <c r="AO258" i="43"/>
  <c r="DY258" i="43"/>
  <c r="DZ258" i="43" s="1"/>
  <c r="FF258" i="43" l="1"/>
  <c r="T255" i="45"/>
  <c r="GO259" i="43"/>
  <c r="BB259" i="43" s="1"/>
  <c r="HH259" i="43"/>
  <c r="HJ259" i="43" s="1"/>
  <c r="DI259" i="43" s="1"/>
  <c r="HA259" i="43"/>
  <c r="HC259" i="43" s="1"/>
  <c r="CP259" i="43" s="1"/>
  <c r="GT259" i="43"/>
  <c r="GV259" i="43" s="1"/>
  <c r="BU259" i="43" s="1"/>
  <c r="GX260" i="43" l="1"/>
  <c r="GW260" i="43" s="1"/>
  <c r="GS260" i="43" s="1"/>
  <c r="BW259" i="43"/>
  <c r="BD259" i="43"/>
  <c r="HE260" i="43"/>
  <c r="HD260" i="43" s="1"/>
  <c r="GZ260" i="43" s="1"/>
  <c r="CR259" i="43"/>
  <c r="HL260" i="43"/>
  <c r="HK260" i="43" s="1"/>
  <c r="HG260" i="43" s="1"/>
  <c r="DK259" i="43"/>
  <c r="AN259" i="43"/>
  <c r="GQ260" i="43"/>
  <c r="GP260" i="43" s="1"/>
  <c r="GK259" i="43"/>
  <c r="HI259" i="43" l="1"/>
  <c r="GU259" i="43"/>
  <c r="GN259" i="43"/>
  <c r="HB259" i="43"/>
  <c r="GL260" i="43"/>
  <c r="GJ260" i="43" s="1"/>
  <c r="GM260" i="43" s="1"/>
  <c r="DY259" i="43"/>
  <c r="DZ259" i="43" s="1"/>
  <c r="AO259" i="43"/>
  <c r="FF259" i="43" l="1"/>
  <c r="T256" i="45"/>
  <c r="GO260" i="43"/>
  <c r="BB260" i="43" s="1"/>
  <c r="HA260" i="43"/>
  <c r="HC260" i="43" s="1"/>
  <c r="CP260" i="43" s="1"/>
  <c r="HH260" i="43"/>
  <c r="HJ260" i="43" s="1"/>
  <c r="DI260" i="43" s="1"/>
  <c r="GT260" i="43"/>
  <c r="GV260" i="43" s="1"/>
  <c r="BU260" i="43" s="1"/>
  <c r="BD260" i="43" l="1"/>
  <c r="GX261" i="43"/>
  <c r="GW261" i="43" s="1"/>
  <c r="GS261" i="43" s="1"/>
  <c r="BW260" i="43"/>
  <c r="HL261" i="43"/>
  <c r="HK261" i="43" s="1"/>
  <c r="HG261" i="43" s="1"/>
  <c r="DK260" i="43"/>
  <c r="HE261" i="43"/>
  <c r="HD261" i="43" s="1"/>
  <c r="GZ261" i="43" s="1"/>
  <c r="CR260" i="43"/>
  <c r="AN260" i="43"/>
  <c r="GQ261" i="43"/>
  <c r="GP261" i="43" s="1"/>
  <c r="GK260" i="43"/>
  <c r="GL261" i="43" l="1"/>
  <c r="GJ261" i="43" s="1"/>
  <c r="GM261" i="43" s="1"/>
  <c r="DY260" i="43"/>
  <c r="DZ260" i="43" s="1"/>
  <c r="AO260" i="43"/>
  <c r="HI260" i="43"/>
  <c r="GN260" i="43"/>
  <c r="GU260" i="43"/>
  <c r="HB260" i="43"/>
  <c r="FF260" i="43" l="1"/>
  <c r="T257" i="45"/>
  <c r="GO261" i="43"/>
  <c r="BB261" i="43" s="1"/>
  <c r="HA261" i="43"/>
  <c r="HC261" i="43" s="1"/>
  <c r="CP261" i="43" s="1"/>
  <c r="HH261" i="43"/>
  <c r="HJ261" i="43" s="1"/>
  <c r="DI261" i="43" s="1"/>
  <c r="GT261" i="43"/>
  <c r="GV261" i="43" s="1"/>
  <c r="BU261" i="43" s="1"/>
  <c r="GX262" i="43" l="1"/>
  <c r="GW262" i="43" s="1"/>
  <c r="GS262" i="43" s="1"/>
  <c r="BW261" i="43"/>
  <c r="BD261" i="43"/>
  <c r="HL262" i="43"/>
  <c r="HK262" i="43" s="1"/>
  <c r="HG262" i="43" s="1"/>
  <c r="DK261" i="43"/>
  <c r="HE262" i="43"/>
  <c r="HD262" i="43" s="1"/>
  <c r="GZ262" i="43" s="1"/>
  <c r="CR261" i="43"/>
  <c r="AN261" i="43"/>
  <c r="GQ262" i="43"/>
  <c r="GP262" i="43" s="1"/>
  <c r="GK261" i="43"/>
  <c r="GL262" i="43" l="1"/>
  <c r="GJ262" i="43" s="1"/>
  <c r="GM262" i="43" s="1"/>
  <c r="AO261" i="43"/>
  <c r="DY261" i="43"/>
  <c r="DZ261" i="43" s="1"/>
  <c r="GN261" i="43"/>
  <c r="HI261" i="43"/>
  <c r="GU261" i="43"/>
  <c r="HB261" i="43"/>
  <c r="FF261" i="43" l="1"/>
  <c r="T258" i="45"/>
  <c r="GO262" i="43"/>
  <c r="BB262" i="43" s="1"/>
  <c r="HA262" i="43"/>
  <c r="HC262" i="43" s="1"/>
  <c r="CP262" i="43" s="1"/>
  <c r="HH262" i="43"/>
  <c r="HJ262" i="43" s="1"/>
  <c r="DI262" i="43" s="1"/>
  <c r="GT262" i="43"/>
  <c r="GV262" i="43" s="1"/>
  <c r="BU262" i="43" s="1"/>
  <c r="GX263" i="43" l="1"/>
  <c r="GW263" i="43" s="1"/>
  <c r="GS263" i="43" s="1"/>
  <c r="BW262" i="43"/>
  <c r="BD262" i="43"/>
  <c r="HL263" i="43"/>
  <c r="HK263" i="43" s="1"/>
  <c r="HG263" i="43" s="1"/>
  <c r="DK262" i="43"/>
  <c r="HE263" i="43"/>
  <c r="HD263" i="43" s="1"/>
  <c r="GZ263" i="43" s="1"/>
  <c r="CR262" i="43"/>
  <c r="AN262" i="43"/>
  <c r="GQ263" i="43"/>
  <c r="GP263" i="43" s="1"/>
  <c r="GK262" i="43"/>
  <c r="GL263" i="43" l="1"/>
  <c r="GJ263" i="43" s="1"/>
  <c r="GM263" i="43" s="1"/>
  <c r="AO262" i="43"/>
  <c r="DY262" i="43"/>
  <c r="DZ262" i="43" s="1"/>
  <c r="GU262" i="43"/>
  <c r="HI262" i="43"/>
  <c r="HB262" i="43"/>
  <c r="GN262" i="43"/>
  <c r="FF262" i="43" l="1"/>
  <c r="T259" i="45"/>
  <c r="GO263" i="43"/>
  <c r="BB263" i="43" s="1"/>
  <c r="HA263" i="43"/>
  <c r="HC263" i="43" s="1"/>
  <c r="CP263" i="43" s="1"/>
  <c r="HH263" i="43"/>
  <c r="HJ263" i="43" s="1"/>
  <c r="DI263" i="43" s="1"/>
  <c r="GT263" i="43"/>
  <c r="GV263" i="43" s="1"/>
  <c r="BU263" i="43" s="1"/>
  <c r="BD263" i="43" l="1"/>
  <c r="GX264" i="43"/>
  <c r="GW264" i="43" s="1"/>
  <c r="GS264" i="43" s="1"/>
  <c r="BW263" i="43"/>
  <c r="HL264" i="43"/>
  <c r="HK264" i="43" s="1"/>
  <c r="HG264" i="43" s="1"/>
  <c r="DK263" i="43"/>
  <c r="HE264" i="43"/>
  <c r="HD264" i="43" s="1"/>
  <c r="GZ264" i="43" s="1"/>
  <c r="CR263" i="43"/>
  <c r="AN263" i="43"/>
  <c r="GQ264" i="43"/>
  <c r="GP264" i="43" s="1"/>
  <c r="GK263" i="43"/>
  <c r="GL264" i="43" l="1"/>
  <c r="GJ264" i="43" s="1"/>
  <c r="GM264" i="43" s="1"/>
  <c r="DY263" i="43"/>
  <c r="DZ263" i="43" s="1"/>
  <c r="AO263" i="43"/>
  <c r="HI263" i="43"/>
  <c r="GN263" i="43"/>
  <c r="HB263" i="43"/>
  <c r="GU263" i="43"/>
  <c r="FF263" i="43" l="1"/>
  <c r="T260" i="45"/>
  <c r="GO264" i="43"/>
  <c r="BB264" i="43" s="1"/>
  <c r="HA264" i="43"/>
  <c r="HC264" i="43" s="1"/>
  <c r="CP264" i="43" s="1"/>
  <c r="HH264" i="43"/>
  <c r="HJ264" i="43" s="1"/>
  <c r="DI264" i="43" s="1"/>
  <c r="GT264" i="43"/>
  <c r="GV264" i="43" s="1"/>
  <c r="BU264" i="43" s="1"/>
  <c r="HL265" i="43" l="1"/>
  <c r="HK265" i="43" s="1"/>
  <c r="HG265" i="43" s="1"/>
  <c r="DK264" i="43"/>
  <c r="BD264" i="43"/>
  <c r="GX265" i="43"/>
  <c r="GW265" i="43" s="1"/>
  <c r="GS265" i="43" s="1"/>
  <c r="BW264" i="43"/>
  <c r="HE265" i="43"/>
  <c r="HD265" i="43" s="1"/>
  <c r="GZ265" i="43" s="1"/>
  <c r="CR264" i="43"/>
  <c r="AN264" i="43"/>
  <c r="GQ265" i="43"/>
  <c r="GP265" i="43" s="1"/>
  <c r="GK264" i="43"/>
  <c r="GL265" i="43" l="1"/>
  <c r="GJ265" i="43" s="1"/>
  <c r="GM265" i="43" s="1"/>
  <c r="AO264" i="43"/>
  <c r="DY264" i="43"/>
  <c r="DZ264" i="43" s="1"/>
  <c r="GN264" i="43"/>
  <c r="GU264" i="43"/>
  <c r="HB264" i="43"/>
  <c r="HI264" i="43"/>
  <c r="FF264" i="43" l="1"/>
  <c r="T261" i="45"/>
  <c r="GO265" i="43"/>
  <c r="BB265" i="43" s="1"/>
  <c r="HA265" i="43"/>
  <c r="HC265" i="43" s="1"/>
  <c r="CP265" i="43" s="1"/>
  <c r="HH265" i="43"/>
  <c r="HJ265" i="43" s="1"/>
  <c r="DI265" i="43" s="1"/>
  <c r="GT265" i="43"/>
  <c r="GV265" i="43" s="1"/>
  <c r="BU265" i="43" s="1"/>
  <c r="BD265" i="43" l="1"/>
  <c r="GX266" i="43"/>
  <c r="GW266" i="43" s="1"/>
  <c r="GS266" i="43" s="1"/>
  <c r="BW265" i="43"/>
  <c r="HL266" i="43"/>
  <c r="HK266" i="43" s="1"/>
  <c r="HG266" i="43" s="1"/>
  <c r="DK265" i="43"/>
  <c r="HE266" i="43"/>
  <c r="HD266" i="43" s="1"/>
  <c r="GZ266" i="43" s="1"/>
  <c r="CR265" i="43"/>
  <c r="AN265" i="43"/>
  <c r="GQ266" i="43"/>
  <c r="GP266" i="43" s="1"/>
  <c r="GK265" i="43"/>
  <c r="GL266" i="43" l="1"/>
  <c r="GJ266" i="43" s="1"/>
  <c r="GM266" i="43" s="1"/>
  <c r="DY265" i="43"/>
  <c r="DZ265" i="43" s="1"/>
  <c r="AO265" i="43"/>
  <c r="HB265" i="43"/>
  <c r="HI265" i="43"/>
  <c r="GU265" i="43"/>
  <c r="GN265" i="43"/>
  <c r="FF265" i="43" l="1"/>
  <c r="T262" i="45"/>
  <c r="GO266" i="43"/>
  <c r="BB266" i="43" s="1"/>
  <c r="HA266" i="43"/>
  <c r="HC266" i="43" s="1"/>
  <c r="CP266" i="43" s="1"/>
  <c r="HH266" i="43"/>
  <c r="HJ266" i="43" s="1"/>
  <c r="DI266" i="43" s="1"/>
  <c r="GT266" i="43"/>
  <c r="GV266" i="43" s="1"/>
  <c r="BU266" i="43" s="1"/>
  <c r="GX267" i="43" l="1"/>
  <c r="GW267" i="43" s="1"/>
  <c r="GS267" i="43" s="1"/>
  <c r="BW266" i="43"/>
  <c r="BD266" i="43"/>
  <c r="HL267" i="43"/>
  <c r="HK267" i="43" s="1"/>
  <c r="HG267" i="43" s="1"/>
  <c r="DK266" i="43"/>
  <c r="HE267" i="43"/>
  <c r="HD267" i="43" s="1"/>
  <c r="GZ267" i="43" s="1"/>
  <c r="CR266" i="43"/>
  <c r="AN266" i="43"/>
  <c r="GQ267" i="43"/>
  <c r="GP267" i="43" s="1"/>
  <c r="GK266" i="43"/>
  <c r="GL267" i="43" l="1"/>
  <c r="GJ267" i="43" s="1"/>
  <c r="GM267" i="43" s="1"/>
  <c r="AO266" i="43"/>
  <c r="DY266" i="43"/>
  <c r="DZ266" i="43" s="1"/>
  <c r="GU266" i="43"/>
  <c r="GN266" i="43"/>
  <c r="HI266" i="43"/>
  <c r="HB266" i="43"/>
  <c r="FF266" i="43" l="1"/>
  <c r="T263" i="45"/>
  <c r="GO267" i="43"/>
  <c r="BB267" i="43" s="1"/>
  <c r="HA267" i="43"/>
  <c r="HC267" i="43" s="1"/>
  <c r="CP267" i="43" s="1"/>
  <c r="HH267" i="43"/>
  <c r="HJ267" i="43" s="1"/>
  <c r="DI267" i="43" s="1"/>
  <c r="GT267" i="43"/>
  <c r="GV267" i="43" s="1"/>
  <c r="BU267" i="43" s="1"/>
  <c r="GX268" i="43" l="1"/>
  <c r="GW268" i="43" s="1"/>
  <c r="GS268" i="43" s="1"/>
  <c r="BW267" i="43"/>
  <c r="BD267" i="43"/>
  <c r="HL268" i="43"/>
  <c r="HK268" i="43" s="1"/>
  <c r="HG268" i="43" s="1"/>
  <c r="DK267" i="43"/>
  <c r="HE268" i="43"/>
  <c r="HD268" i="43" s="1"/>
  <c r="GZ268" i="43" s="1"/>
  <c r="CR267" i="43"/>
  <c r="AN267" i="43"/>
  <c r="GQ268" i="43"/>
  <c r="GP268" i="43" s="1"/>
  <c r="GK267" i="43"/>
  <c r="GL268" i="43" l="1"/>
  <c r="GJ268" i="43" s="1"/>
  <c r="DY267" i="43"/>
  <c r="DZ267" i="43" s="1"/>
  <c r="AO267" i="43"/>
  <c r="HI267" i="43"/>
  <c r="GN267" i="43"/>
  <c r="HB267" i="43"/>
  <c r="GU267" i="43"/>
  <c r="FF267" i="43" l="1"/>
  <c r="T264" i="45"/>
  <c r="HA268" i="43"/>
  <c r="HC268" i="43" s="1"/>
  <c r="CP268" i="43" s="1"/>
  <c r="HH268" i="43"/>
  <c r="HJ268" i="43" s="1"/>
  <c r="DI268" i="43" s="1"/>
  <c r="GT268" i="43"/>
  <c r="GV268" i="43" s="1"/>
  <c r="BU268" i="43" s="1"/>
  <c r="GM268" i="43"/>
  <c r="HE269" i="43" l="1"/>
  <c r="HD269" i="43" s="1"/>
  <c r="GZ269" i="43" s="1"/>
  <c r="CR268" i="43"/>
  <c r="GX269" i="43"/>
  <c r="GW269" i="43" s="1"/>
  <c r="GS269" i="43" s="1"/>
  <c r="BW268" i="43"/>
  <c r="HL269" i="43"/>
  <c r="HK269" i="43" s="1"/>
  <c r="HG269" i="43" s="1"/>
  <c r="DK268" i="43"/>
  <c r="GK268" i="43"/>
  <c r="GO268" i="43"/>
  <c r="BB268" i="43" s="1"/>
  <c r="BD268" i="43" l="1"/>
  <c r="AN268" i="43"/>
  <c r="GQ269" i="43"/>
  <c r="GP269" i="43" s="1"/>
  <c r="GN268" i="43"/>
  <c r="HB268" i="43"/>
  <c r="HI268" i="43"/>
  <c r="GU268" i="43"/>
  <c r="GL269" i="43" l="1"/>
  <c r="GJ269" i="43" s="1"/>
  <c r="GM269" i="43" s="1"/>
  <c r="AO268" i="43"/>
  <c r="DY268" i="43"/>
  <c r="DZ268" i="43" s="1"/>
  <c r="FF268" i="43" l="1"/>
  <c r="T265" i="45"/>
  <c r="GO269" i="43"/>
  <c r="BB269" i="43" s="1"/>
  <c r="GT269" i="43"/>
  <c r="GV269" i="43" s="1"/>
  <c r="BU269" i="43" s="1"/>
  <c r="HH269" i="43"/>
  <c r="HJ269" i="43" s="1"/>
  <c r="DI269" i="43" s="1"/>
  <c r="HA269" i="43"/>
  <c r="HC269" i="43" s="1"/>
  <c r="CP269" i="43" s="1"/>
  <c r="HE270" i="43" l="1"/>
  <c r="HD270" i="43" s="1"/>
  <c r="GZ270" i="43" s="1"/>
  <c r="CR269" i="43"/>
  <c r="HL270" i="43"/>
  <c r="HK270" i="43" s="1"/>
  <c r="HG270" i="43" s="1"/>
  <c r="DK269" i="43"/>
  <c r="BD269" i="43"/>
  <c r="GX270" i="43"/>
  <c r="GW270" i="43" s="1"/>
  <c r="GS270" i="43" s="1"/>
  <c r="BW269" i="43"/>
  <c r="AN269" i="43"/>
  <c r="GQ270" i="43"/>
  <c r="GP270" i="43" s="1"/>
  <c r="GK269" i="43"/>
  <c r="GL270" i="43" l="1"/>
  <c r="GJ270" i="43" s="1"/>
  <c r="GM270" i="43" s="1"/>
  <c r="DY269" i="43"/>
  <c r="DZ269" i="43" s="1"/>
  <c r="AO269" i="43"/>
  <c r="GN269" i="43"/>
  <c r="HI269" i="43"/>
  <c r="GU269" i="43"/>
  <c r="HB269" i="43"/>
  <c r="FF269" i="43" l="1"/>
  <c r="T266" i="45"/>
  <c r="GO270" i="43"/>
  <c r="BB270" i="43" s="1"/>
  <c r="GT270" i="43"/>
  <c r="GV270" i="43" s="1"/>
  <c r="BU270" i="43" s="1"/>
  <c r="HH270" i="43"/>
  <c r="HJ270" i="43" s="1"/>
  <c r="DI270" i="43" s="1"/>
  <c r="HA270" i="43"/>
  <c r="HC270" i="43" s="1"/>
  <c r="CP270" i="43" s="1"/>
  <c r="BD270" i="43" l="1"/>
  <c r="HE271" i="43"/>
  <c r="HD271" i="43" s="1"/>
  <c r="GZ271" i="43" s="1"/>
  <c r="CR270" i="43"/>
  <c r="HL271" i="43"/>
  <c r="HK271" i="43" s="1"/>
  <c r="HG271" i="43" s="1"/>
  <c r="DK270" i="43"/>
  <c r="GX271" i="43"/>
  <c r="GW271" i="43" s="1"/>
  <c r="GS271" i="43" s="1"/>
  <c r="BW270" i="43"/>
  <c r="AN270" i="43"/>
  <c r="GQ271" i="43"/>
  <c r="GP271" i="43" s="1"/>
  <c r="GK270" i="43"/>
  <c r="GL271" i="43" l="1"/>
  <c r="GJ271" i="43" s="1"/>
  <c r="GM271" i="43" s="1"/>
  <c r="DY270" i="43"/>
  <c r="DZ270" i="43" s="1"/>
  <c r="AO270" i="43"/>
  <c r="HB270" i="43"/>
  <c r="GN270" i="43"/>
  <c r="GU270" i="43"/>
  <c r="HI270" i="43"/>
  <c r="FF270" i="43" l="1"/>
  <c r="T267" i="45"/>
  <c r="GO271" i="43"/>
  <c r="BB271" i="43" s="1"/>
  <c r="GT271" i="43"/>
  <c r="GV271" i="43" s="1"/>
  <c r="BU271" i="43" s="1"/>
  <c r="HH271" i="43"/>
  <c r="HJ271" i="43" s="1"/>
  <c r="DI271" i="43" s="1"/>
  <c r="HA271" i="43"/>
  <c r="HC271" i="43" s="1"/>
  <c r="CP271" i="43" s="1"/>
  <c r="BD271" i="43" l="1"/>
  <c r="HE272" i="43"/>
  <c r="HD272" i="43" s="1"/>
  <c r="GZ272" i="43" s="1"/>
  <c r="CR271" i="43"/>
  <c r="HL272" i="43"/>
  <c r="HK272" i="43" s="1"/>
  <c r="HG272" i="43" s="1"/>
  <c r="DK271" i="43"/>
  <c r="GX272" i="43"/>
  <c r="GW272" i="43" s="1"/>
  <c r="GS272" i="43" s="1"/>
  <c r="BW271" i="43"/>
  <c r="AN271" i="43"/>
  <c r="GQ272" i="43"/>
  <c r="GP272" i="43" s="1"/>
  <c r="GK271" i="43"/>
  <c r="GL272" i="43" l="1"/>
  <c r="GJ272" i="43" s="1"/>
  <c r="GM272" i="43" s="1"/>
  <c r="AO271" i="43"/>
  <c r="DY271" i="43"/>
  <c r="DZ271" i="43" s="1"/>
  <c r="HB271" i="43"/>
  <c r="GU271" i="43"/>
  <c r="GN271" i="43"/>
  <c r="HI271" i="43"/>
  <c r="FF271" i="43" l="1"/>
  <c r="T268" i="45"/>
  <c r="GO272" i="43"/>
  <c r="BB272" i="43" s="1"/>
  <c r="GT272" i="43"/>
  <c r="GV272" i="43" s="1"/>
  <c r="BU272" i="43" s="1"/>
  <c r="HH272" i="43"/>
  <c r="HJ272" i="43" s="1"/>
  <c r="DI272" i="43" s="1"/>
  <c r="HA272" i="43"/>
  <c r="HC272" i="43" s="1"/>
  <c r="CP272" i="43" s="1"/>
  <c r="HE273" i="43" l="1"/>
  <c r="HD273" i="43" s="1"/>
  <c r="GZ273" i="43" s="1"/>
  <c r="CR272" i="43"/>
  <c r="BD272" i="43"/>
  <c r="HL273" i="43"/>
  <c r="HK273" i="43" s="1"/>
  <c r="HG273" i="43" s="1"/>
  <c r="DK272" i="43"/>
  <c r="GX273" i="43"/>
  <c r="GW273" i="43" s="1"/>
  <c r="GS273" i="43" s="1"/>
  <c r="BW272" i="43"/>
  <c r="AN272" i="43"/>
  <c r="GQ273" i="43"/>
  <c r="GP273" i="43" s="1"/>
  <c r="GK272" i="43"/>
  <c r="GL273" i="43" l="1"/>
  <c r="GJ273" i="43" s="1"/>
  <c r="GM273" i="43" s="1"/>
  <c r="DY272" i="43"/>
  <c r="DZ272" i="43" s="1"/>
  <c r="AO272" i="43"/>
  <c r="HB272" i="43"/>
  <c r="HI272" i="43"/>
  <c r="GU272" i="43"/>
  <c r="GN272" i="43"/>
  <c r="FF272" i="43" l="1"/>
  <c r="T269" i="45"/>
  <c r="GO273" i="43"/>
  <c r="BB273" i="43" s="1"/>
  <c r="GT273" i="43"/>
  <c r="GV273" i="43" s="1"/>
  <c r="BU273" i="43" s="1"/>
  <c r="HH273" i="43"/>
  <c r="HJ273" i="43" s="1"/>
  <c r="DI273" i="43" s="1"/>
  <c r="HA273" i="43"/>
  <c r="HC273" i="43" s="1"/>
  <c r="CP273" i="43" s="1"/>
  <c r="BD273" i="43" l="1"/>
  <c r="HE274" i="43"/>
  <c r="HD274" i="43" s="1"/>
  <c r="GZ274" i="43" s="1"/>
  <c r="CR273" i="43"/>
  <c r="HL274" i="43"/>
  <c r="HK274" i="43" s="1"/>
  <c r="HG274" i="43" s="1"/>
  <c r="DK273" i="43"/>
  <c r="GX274" i="43"/>
  <c r="GW274" i="43" s="1"/>
  <c r="GS274" i="43" s="1"/>
  <c r="BW273" i="43"/>
  <c r="AN273" i="43"/>
  <c r="GQ274" i="43"/>
  <c r="GP274" i="43" s="1"/>
  <c r="GK273" i="43"/>
  <c r="GL274" i="43" l="1"/>
  <c r="GJ274" i="43" s="1"/>
  <c r="GM274" i="43" s="1"/>
  <c r="HI273" i="43"/>
  <c r="GU273" i="43"/>
  <c r="HB273" i="43"/>
  <c r="GN273" i="43"/>
  <c r="DY273" i="43"/>
  <c r="DZ273" i="43" s="1"/>
  <c r="AO273" i="43"/>
  <c r="FF273" i="43" l="1"/>
  <c r="T270" i="45"/>
  <c r="GO274" i="43"/>
  <c r="BB274" i="43" s="1"/>
  <c r="HH274" i="43"/>
  <c r="HJ274" i="43" s="1"/>
  <c r="DI274" i="43" s="1"/>
  <c r="HA274" i="43"/>
  <c r="HC274" i="43" s="1"/>
  <c r="CP274" i="43" s="1"/>
  <c r="GT274" i="43"/>
  <c r="GV274" i="43" s="1"/>
  <c r="BU274" i="43" s="1"/>
  <c r="GX275" i="43" l="1"/>
  <c r="GW275" i="43" s="1"/>
  <c r="GS275" i="43" s="1"/>
  <c r="BW274" i="43"/>
  <c r="HE275" i="43"/>
  <c r="HD275" i="43" s="1"/>
  <c r="GZ275" i="43" s="1"/>
  <c r="CR274" i="43"/>
  <c r="BD274" i="43"/>
  <c r="HL275" i="43"/>
  <c r="HK275" i="43" s="1"/>
  <c r="HG275" i="43" s="1"/>
  <c r="DK274" i="43"/>
  <c r="AN274" i="43"/>
  <c r="GQ275" i="43"/>
  <c r="GP275" i="43" s="1"/>
  <c r="GK274" i="43"/>
  <c r="GL275" i="43" l="1"/>
  <c r="GJ275" i="43" s="1"/>
  <c r="GM275" i="43" s="1"/>
  <c r="HB274" i="43"/>
  <c r="GU274" i="43"/>
  <c r="GN274" i="43"/>
  <c r="HI274" i="43"/>
  <c r="DY274" i="43"/>
  <c r="DZ274" i="43" s="1"/>
  <c r="AO274" i="43"/>
  <c r="FF274" i="43" l="1"/>
  <c r="T271" i="45"/>
  <c r="GO275" i="43"/>
  <c r="BB275" i="43" s="1"/>
  <c r="HH275" i="43"/>
  <c r="HJ275" i="43" s="1"/>
  <c r="DI275" i="43" s="1"/>
  <c r="GT275" i="43"/>
  <c r="GV275" i="43" s="1"/>
  <c r="BU275" i="43" s="1"/>
  <c r="HA275" i="43"/>
  <c r="HC275" i="43" s="1"/>
  <c r="CP275" i="43" s="1"/>
  <c r="HE276" i="43" l="1"/>
  <c r="HD276" i="43" s="1"/>
  <c r="GZ276" i="43" s="1"/>
  <c r="CR275" i="43"/>
  <c r="BD275" i="43"/>
  <c r="GX276" i="43"/>
  <c r="GW276" i="43" s="1"/>
  <c r="GS276" i="43" s="1"/>
  <c r="BW275" i="43"/>
  <c r="HL276" i="43"/>
  <c r="HK276" i="43" s="1"/>
  <c r="HG276" i="43" s="1"/>
  <c r="DK275" i="43"/>
  <c r="AN275" i="43"/>
  <c r="GQ276" i="43"/>
  <c r="GP276" i="43" s="1"/>
  <c r="GK275" i="43"/>
  <c r="GL276" i="43" l="1"/>
  <c r="GJ276" i="43" s="1"/>
  <c r="GM276" i="43" s="1"/>
  <c r="GN275" i="43"/>
  <c r="HB275" i="43"/>
  <c r="GU275" i="43"/>
  <c r="HI275" i="43"/>
  <c r="AO275" i="43"/>
  <c r="DY275" i="43"/>
  <c r="DZ275" i="43" s="1"/>
  <c r="FF275" i="43" l="1"/>
  <c r="T272" i="45"/>
  <c r="GO276" i="43"/>
  <c r="BB276" i="43" s="1"/>
  <c r="HH276" i="43"/>
  <c r="HJ276" i="43" s="1"/>
  <c r="DI276" i="43" s="1"/>
  <c r="HA276" i="43"/>
  <c r="HC276" i="43" s="1"/>
  <c r="CP276" i="43" s="1"/>
  <c r="GT276" i="43"/>
  <c r="GV276" i="43" s="1"/>
  <c r="BU276" i="43" s="1"/>
  <c r="GX277" i="43" l="1"/>
  <c r="GW277" i="43" s="1"/>
  <c r="GS277" i="43" s="1"/>
  <c r="BW276" i="43"/>
  <c r="BD276" i="43"/>
  <c r="HE277" i="43"/>
  <c r="HD277" i="43" s="1"/>
  <c r="GZ277" i="43" s="1"/>
  <c r="CR276" i="43"/>
  <c r="HL277" i="43"/>
  <c r="HK277" i="43" s="1"/>
  <c r="HG277" i="43" s="1"/>
  <c r="DK276" i="43"/>
  <c r="AN276" i="43"/>
  <c r="GQ277" i="43"/>
  <c r="GP277" i="43" s="1"/>
  <c r="GK276" i="43"/>
  <c r="GL277" i="43" l="1"/>
  <c r="GJ277" i="43" s="1"/>
  <c r="GM277" i="43" s="1"/>
  <c r="HI276" i="43"/>
  <c r="GN276" i="43"/>
  <c r="HB276" i="43"/>
  <c r="GU276" i="43"/>
  <c r="DY276" i="43"/>
  <c r="DZ276" i="43" s="1"/>
  <c r="AO276" i="43"/>
  <c r="FF276" i="43" l="1"/>
  <c r="T273" i="45"/>
  <c r="GO277" i="43"/>
  <c r="BB277" i="43" s="1"/>
  <c r="HH277" i="43"/>
  <c r="HJ277" i="43" s="1"/>
  <c r="DI277" i="43" s="1"/>
  <c r="GT277" i="43"/>
  <c r="GV277" i="43" s="1"/>
  <c r="BU277" i="43" s="1"/>
  <c r="HA277" i="43"/>
  <c r="HC277" i="43" s="1"/>
  <c r="CP277" i="43" s="1"/>
  <c r="HE278" i="43" l="1"/>
  <c r="HD278" i="43" s="1"/>
  <c r="GZ278" i="43" s="1"/>
  <c r="CR277" i="43"/>
  <c r="BD277" i="43"/>
  <c r="GX278" i="43"/>
  <c r="GW278" i="43" s="1"/>
  <c r="GS278" i="43" s="1"/>
  <c r="BW277" i="43"/>
  <c r="HL278" i="43"/>
  <c r="HK278" i="43" s="1"/>
  <c r="HG278" i="43" s="1"/>
  <c r="DK277" i="43"/>
  <c r="AN277" i="43"/>
  <c r="GQ278" i="43"/>
  <c r="GP278" i="43" s="1"/>
  <c r="GK277" i="43"/>
  <c r="GU277" i="43" l="1"/>
  <c r="GN277" i="43"/>
  <c r="HB277" i="43"/>
  <c r="HI277" i="43"/>
  <c r="AO277" i="43"/>
  <c r="DY277" i="43"/>
  <c r="DZ277" i="43" s="1"/>
  <c r="GL278" i="43"/>
  <c r="GJ278" i="43" s="1"/>
  <c r="GM278" i="43" s="1"/>
  <c r="FF277" i="43" l="1"/>
  <c r="T274" i="45"/>
  <c r="GO278" i="43"/>
  <c r="BB278" i="43" s="1"/>
  <c r="GT278" i="43"/>
  <c r="GV278" i="43" s="1"/>
  <c r="BU278" i="43" s="1"/>
  <c r="HH278" i="43"/>
  <c r="HJ278" i="43" s="1"/>
  <c r="DI278" i="43" s="1"/>
  <c r="HA278" i="43"/>
  <c r="HC278" i="43" s="1"/>
  <c r="CP278" i="43" s="1"/>
  <c r="HL279" i="43" l="1"/>
  <c r="HK279" i="43" s="1"/>
  <c r="HG279" i="43" s="1"/>
  <c r="DK278" i="43"/>
  <c r="BD278" i="43"/>
  <c r="HE279" i="43"/>
  <c r="HD279" i="43" s="1"/>
  <c r="GZ279" i="43" s="1"/>
  <c r="CR278" i="43"/>
  <c r="GX279" i="43"/>
  <c r="GW279" i="43" s="1"/>
  <c r="GS279" i="43" s="1"/>
  <c r="BW278" i="43"/>
  <c r="AN278" i="43"/>
  <c r="GQ279" i="43"/>
  <c r="GP279" i="43" s="1"/>
  <c r="GK278" i="43"/>
  <c r="GL279" i="43" l="1"/>
  <c r="GJ279" i="43" s="1"/>
  <c r="GM279" i="43" s="1"/>
  <c r="HI278" i="43"/>
  <c r="GU278" i="43"/>
  <c r="GN278" i="43"/>
  <c r="HB278" i="43"/>
  <c r="AO278" i="43"/>
  <c r="DY278" i="43"/>
  <c r="DZ278" i="43" s="1"/>
  <c r="FF278" i="43" l="1"/>
  <c r="T275" i="45"/>
  <c r="GO279" i="43"/>
  <c r="BB279" i="43" s="1"/>
  <c r="GT279" i="43"/>
  <c r="GV279" i="43" s="1"/>
  <c r="BU279" i="43" s="1"/>
  <c r="HA279" i="43"/>
  <c r="HC279" i="43" s="1"/>
  <c r="CP279" i="43" s="1"/>
  <c r="HH279" i="43"/>
  <c r="HJ279" i="43" s="1"/>
  <c r="DI279" i="43" s="1"/>
  <c r="BD279" i="43" l="1"/>
  <c r="HL280" i="43"/>
  <c r="HK280" i="43" s="1"/>
  <c r="HG280" i="43" s="1"/>
  <c r="DK279" i="43"/>
  <c r="HE280" i="43"/>
  <c r="HD280" i="43" s="1"/>
  <c r="GZ280" i="43" s="1"/>
  <c r="CR279" i="43"/>
  <c r="GX280" i="43"/>
  <c r="GW280" i="43" s="1"/>
  <c r="GS280" i="43" s="1"/>
  <c r="BW279" i="43"/>
  <c r="AN279" i="43"/>
  <c r="GQ280" i="43"/>
  <c r="GP280" i="43" s="1"/>
  <c r="GK279" i="43"/>
  <c r="GL280" i="43" l="1"/>
  <c r="GJ280" i="43" s="1"/>
  <c r="GM280" i="43" s="1"/>
  <c r="GU279" i="43"/>
  <c r="HI279" i="43"/>
  <c r="HB279" i="43"/>
  <c r="GN279" i="43"/>
  <c r="AO279" i="43"/>
  <c r="DY279" i="43"/>
  <c r="DZ279" i="43" s="1"/>
  <c r="FF279" i="43" l="1"/>
  <c r="T276" i="45"/>
  <c r="GO280" i="43"/>
  <c r="BB280" i="43" s="1"/>
  <c r="GT280" i="43"/>
  <c r="GV280" i="43" s="1"/>
  <c r="BU280" i="43" s="1"/>
  <c r="HH280" i="43"/>
  <c r="HJ280" i="43" s="1"/>
  <c r="DI280" i="43" s="1"/>
  <c r="HA280" i="43"/>
  <c r="HC280" i="43" s="1"/>
  <c r="CP280" i="43" s="1"/>
  <c r="HE281" i="43" l="1"/>
  <c r="HD281" i="43" s="1"/>
  <c r="GZ281" i="43" s="1"/>
  <c r="CR280" i="43"/>
  <c r="BD280" i="43"/>
  <c r="HL281" i="43"/>
  <c r="HK281" i="43" s="1"/>
  <c r="HG281" i="43" s="1"/>
  <c r="DK280" i="43"/>
  <c r="GX281" i="43"/>
  <c r="GW281" i="43" s="1"/>
  <c r="GS281" i="43" s="1"/>
  <c r="BW280" i="43"/>
  <c r="AN280" i="43"/>
  <c r="GQ281" i="43"/>
  <c r="GP281" i="43" s="1"/>
  <c r="GK280" i="43"/>
  <c r="GL281" i="43" l="1"/>
  <c r="GJ281" i="43" s="1"/>
  <c r="GM281" i="43" s="1"/>
  <c r="GN280" i="43"/>
  <c r="HI280" i="43"/>
  <c r="GU280" i="43"/>
  <c r="HB280" i="43"/>
  <c r="AO280" i="43"/>
  <c r="DY280" i="43"/>
  <c r="DZ280" i="43" s="1"/>
  <c r="FF280" i="43" l="1"/>
  <c r="T277" i="45"/>
  <c r="W277" i="45" s="1"/>
  <c r="GO281" i="43"/>
  <c r="BB281" i="43" s="1"/>
  <c r="GT281" i="43"/>
  <c r="GV281" i="43" s="1"/>
  <c r="BU281" i="43" s="1"/>
  <c r="HA281" i="43"/>
  <c r="HC281" i="43" s="1"/>
  <c r="CP281" i="43" s="1"/>
  <c r="HH281" i="43"/>
  <c r="HJ281" i="43" s="1"/>
  <c r="DI281" i="43" s="1"/>
  <c r="BD281" i="43" l="1"/>
  <c r="HL282" i="43"/>
  <c r="HK282" i="43" s="1"/>
  <c r="HG282" i="43" s="1"/>
  <c r="DK281" i="43"/>
  <c r="HE282" i="43"/>
  <c r="HD282" i="43" s="1"/>
  <c r="GZ282" i="43" s="1"/>
  <c r="CR281" i="43"/>
  <c r="GX282" i="43"/>
  <c r="GW282" i="43" s="1"/>
  <c r="GS282" i="43" s="1"/>
  <c r="BW281" i="43"/>
  <c r="AN281" i="43"/>
  <c r="GQ282" i="43"/>
  <c r="GP282" i="43" s="1"/>
  <c r="GK281" i="43"/>
  <c r="GL282" i="43" l="1"/>
  <c r="GJ282" i="43" s="1"/>
  <c r="GM282" i="43" s="1"/>
  <c r="GN281" i="43"/>
  <c r="HI281" i="43"/>
  <c r="GU281" i="43"/>
  <c r="HB281" i="43"/>
  <c r="AO281" i="43"/>
  <c r="DY281" i="43"/>
  <c r="DZ281" i="43" s="1"/>
  <c r="FF281" i="43" l="1"/>
  <c r="T278" i="45"/>
  <c r="GO282" i="43"/>
  <c r="BB282" i="43" s="1"/>
  <c r="HA282" i="43"/>
  <c r="HC282" i="43" s="1"/>
  <c r="CP282" i="43" s="1"/>
  <c r="HH282" i="43"/>
  <c r="HJ282" i="43" s="1"/>
  <c r="DI282" i="43" s="1"/>
  <c r="GT282" i="43"/>
  <c r="GV282" i="43" s="1"/>
  <c r="BU282" i="43" s="1"/>
  <c r="GX283" i="43" l="1"/>
  <c r="GW283" i="43" s="1"/>
  <c r="GS283" i="43" s="1"/>
  <c r="BW282" i="43"/>
  <c r="HL283" i="43"/>
  <c r="HK283" i="43" s="1"/>
  <c r="HG283" i="43" s="1"/>
  <c r="DK282" i="43"/>
  <c r="BD282" i="43"/>
  <c r="HE283" i="43"/>
  <c r="HD283" i="43" s="1"/>
  <c r="GZ283" i="43" s="1"/>
  <c r="CR282" i="43"/>
  <c r="AN282" i="43"/>
  <c r="GQ283" i="43"/>
  <c r="GP283" i="43" s="1"/>
  <c r="GK282" i="43"/>
  <c r="GL283" i="43" l="1"/>
  <c r="GJ283" i="43" s="1"/>
  <c r="GM283" i="43" s="1"/>
  <c r="HI282" i="43"/>
  <c r="GN282" i="43"/>
  <c r="GU282" i="43"/>
  <c r="HB282" i="43"/>
  <c r="AO282" i="43"/>
  <c r="DY282" i="43"/>
  <c r="DZ282" i="43" s="1"/>
  <c r="FF282" i="43" l="1"/>
  <c r="T279" i="45"/>
  <c r="GO283" i="43"/>
  <c r="BB283" i="43" s="1"/>
  <c r="HH283" i="43"/>
  <c r="HJ283" i="43" s="1"/>
  <c r="DI283" i="43" s="1"/>
  <c r="GT283" i="43"/>
  <c r="GV283" i="43" s="1"/>
  <c r="BU283" i="43" s="1"/>
  <c r="HA283" i="43"/>
  <c r="HC283" i="43" s="1"/>
  <c r="CP283" i="43" s="1"/>
  <c r="HE284" i="43" l="1"/>
  <c r="HD284" i="43" s="1"/>
  <c r="GZ284" i="43" s="1"/>
  <c r="CR283" i="43"/>
  <c r="BD283" i="43"/>
  <c r="GX284" i="43"/>
  <c r="GW284" i="43" s="1"/>
  <c r="GS284" i="43" s="1"/>
  <c r="BW283" i="43"/>
  <c r="HL284" i="43"/>
  <c r="HK284" i="43" s="1"/>
  <c r="HG284" i="43" s="1"/>
  <c r="DK283" i="43"/>
  <c r="AN283" i="43"/>
  <c r="GQ284" i="43"/>
  <c r="GP284" i="43" s="1"/>
  <c r="GK283" i="43"/>
  <c r="GL284" i="43" l="1"/>
  <c r="GJ284" i="43" s="1"/>
  <c r="GM284" i="43" s="1"/>
  <c r="GU283" i="43"/>
  <c r="HB283" i="43"/>
  <c r="GN283" i="43"/>
  <c r="HI283" i="43"/>
  <c r="AO283" i="43"/>
  <c r="DY283" i="43"/>
  <c r="DZ283" i="43" s="1"/>
  <c r="FF283" i="43" l="1"/>
  <c r="T280" i="45"/>
  <c r="GO284" i="43"/>
  <c r="BB284" i="43" s="1"/>
  <c r="HH284" i="43"/>
  <c r="HJ284" i="43" s="1"/>
  <c r="DI284" i="43" s="1"/>
  <c r="HA284" i="43"/>
  <c r="HC284" i="43" s="1"/>
  <c r="CP284" i="43" s="1"/>
  <c r="GT284" i="43"/>
  <c r="GV284" i="43" s="1"/>
  <c r="BU284" i="43" s="1"/>
  <c r="GX285" i="43" l="1"/>
  <c r="GW285" i="43" s="1"/>
  <c r="GS285" i="43" s="1"/>
  <c r="BW284" i="43"/>
  <c r="BD284" i="43"/>
  <c r="HE285" i="43"/>
  <c r="HD285" i="43" s="1"/>
  <c r="GZ285" i="43" s="1"/>
  <c r="CR284" i="43"/>
  <c r="HL285" i="43"/>
  <c r="HK285" i="43" s="1"/>
  <c r="HG285" i="43" s="1"/>
  <c r="DK284" i="43"/>
  <c r="AN284" i="43"/>
  <c r="GQ285" i="43"/>
  <c r="GP285" i="43" s="1"/>
  <c r="GK284" i="43"/>
  <c r="GL285" i="43" l="1"/>
  <c r="GJ285" i="43" s="1"/>
  <c r="GM285" i="43" s="1"/>
  <c r="GU284" i="43"/>
  <c r="HB284" i="43"/>
  <c r="GN284" i="43"/>
  <c r="HI284" i="43"/>
  <c r="AO284" i="43"/>
  <c r="DY284" i="43"/>
  <c r="DZ284" i="43" s="1"/>
  <c r="FF284" i="43" l="1"/>
  <c r="T281" i="45"/>
  <c r="GO285" i="43"/>
  <c r="BB285" i="43" s="1"/>
  <c r="HA285" i="43"/>
  <c r="HC285" i="43" s="1"/>
  <c r="CP285" i="43" s="1"/>
  <c r="GT285" i="43"/>
  <c r="GV285" i="43" s="1"/>
  <c r="BU285" i="43" s="1"/>
  <c r="HH285" i="43"/>
  <c r="HJ285" i="43" s="1"/>
  <c r="DI285" i="43" s="1"/>
  <c r="HL286" i="43" l="1"/>
  <c r="HK286" i="43" s="1"/>
  <c r="HG286" i="43" s="1"/>
  <c r="DK285" i="43"/>
  <c r="BD285" i="43"/>
  <c r="GX286" i="43"/>
  <c r="GW286" i="43" s="1"/>
  <c r="GS286" i="43" s="1"/>
  <c r="BW285" i="43"/>
  <c r="HE286" i="43"/>
  <c r="HD286" i="43" s="1"/>
  <c r="GZ286" i="43" s="1"/>
  <c r="CR285" i="43"/>
  <c r="AN285" i="43"/>
  <c r="GQ286" i="43"/>
  <c r="GP286" i="43" s="1"/>
  <c r="GK285" i="43"/>
  <c r="GL286" i="43" l="1"/>
  <c r="GJ286" i="43" s="1"/>
  <c r="GM286" i="43" s="1"/>
  <c r="GN285" i="43"/>
  <c r="HB285" i="43"/>
  <c r="GU285" i="43"/>
  <c r="HI285" i="43"/>
  <c r="DY285" i="43"/>
  <c r="DZ285" i="43" s="1"/>
  <c r="AO285" i="43"/>
  <c r="FF285" i="43" l="1"/>
  <c r="T282" i="45"/>
  <c r="GO286" i="43"/>
  <c r="BB286" i="43" s="1"/>
  <c r="HA286" i="43"/>
  <c r="HC286" i="43" s="1"/>
  <c r="CP286" i="43" s="1"/>
  <c r="HH286" i="43"/>
  <c r="HJ286" i="43" s="1"/>
  <c r="DI286" i="43" s="1"/>
  <c r="GT286" i="43"/>
  <c r="GV286" i="43" s="1"/>
  <c r="BU286" i="43" s="1"/>
  <c r="BD286" i="43" l="1"/>
  <c r="GX287" i="43"/>
  <c r="GW287" i="43" s="1"/>
  <c r="GS287" i="43" s="1"/>
  <c r="BW286" i="43"/>
  <c r="HL287" i="43"/>
  <c r="HK287" i="43" s="1"/>
  <c r="HG287" i="43" s="1"/>
  <c r="DK286" i="43"/>
  <c r="HE287" i="43"/>
  <c r="HD287" i="43" s="1"/>
  <c r="GZ287" i="43" s="1"/>
  <c r="CR286" i="43"/>
  <c r="AN286" i="43"/>
  <c r="GQ287" i="43"/>
  <c r="GP287" i="43" s="1"/>
  <c r="GK286" i="43"/>
  <c r="GL287" i="43" l="1"/>
  <c r="GJ287" i="43" s="1"/>
  <c r="GM287" i="43" s="1"/>
  <c r="HI286" i="43"/>
  <c r="GU286" i="43"/>
  <c r="GN286" i="43"/>
  <c r="HB286" i="43"/>
  <c r="DY286" i="43"/>
  <c r="DZ286" i="43" s="1"/>
  <c r="AO286" i="43"/>
  <c r="FF286" i="43" l="1"/>
  <c r="T283" i="45"/>
  <c r="GO287" i="43"/>
  <c r="BB287" i="43" s="1"/>
  <c r="HA287" i="43"/>
  <c r="HC287" i="43" s="1"/>
  <c r="CP287" i="43" s="1"/>
  <c r="GT287" i="43"/>
  <c r="GV287" i="43" s="1"/>
  <c r="BU287" i="43" s="1"/>
  <c r="HH287" i="43"/>
  <c r="HJ287" i="43" s="1"/>
  <c r="DI287" i="43" s="1"/>
  <c r="BD287" i="43" l="1"/>
  <c r="HL288" i="43"/>
  <c r="HK288" i="43" s="1"/>
  <c r="HG288" i="43" s="1"/>
  <c r="DK287" i="43"/>
  <c r="GX288" i="43"/>
  <c r="GW288" i="43" s="1"/>
  <c r="GS288" i="43" s="1"/>
  <c r="BW287" i="43"/>
  <c r="HE288" i="43"/>
  <c r="HD288" i="43" s="1"/>
  <c r="GZ288" i="43" s="1"/>
  <c r="CR287" i="43"/>
  <c r="AN287" i="43"/>
  <c r="GQ288" i="43"/>
  <c r="GP288" i="43" s="1"/>
  <c r="GK287" i="43"/>
  <c r="GU287" i="43" l="1"/>
  <c r="GN287" i="43"/>
  <c r="HB287" i="43"/>
  <c r="HI287" i="43"/>
  <c r="AO287" i="43"/>
  <c r="DY287" i="43"/>
  <c r="DZ287" i="43" s="1"/>
  <c r="GL288" i="43"/>
  <c r="GJ288" i="43" s="1"/>
  <c r="FF287" i="43" l="1"/>
  <c r="T284" i="45"/>
  <c r="GT288" i="43"/>
  <c r="GV288" i="43" s="1"/>
  <c r="BU288" i="43" s="1"/>
  <c r="HA288" i="43"/>
  <c r="HC288" i="43" s="1"/>
  <c r="CP288" i="43" s="1"/>
  <c r="HH288" i="43"/>
  <c r="HJ288" i="43" s="1"/>
  <c r="DI288" i="43" s="1"/>
  <c r="GM288" i="43"/>
  <c r="GX289" i="43" l="1"/>
  <c r="GW289" i="43" s="1"/>
  <c r="GS289" i="43" s="1"/>
  <c r="BW288" i="43"/>
  <c r="HL289" i="43"/>
  <c r="HK289" i="43" s="1"/>
  <c r="HG289" i="43" s="1"/>
  <c r="DK288" i="43"/>
  <c r="HE289" i="43"/>
  <c r="HD289" i="43" s="1"/>
  <c r="GZ289" i="43" s="1"/>
  <c r="CR288" i="43"/>
  <c r="GK288" i="43"/>
  <c r="GO288" i="43"/>
  <c r="BB288" i="43" s="1"/>
  <c r="BD288" i="43" l="1"/>
  <c r="AN288" i="43"/>
  <c r="GQ289" i="43"/>
  <c r="GP289" i="43" s="1"/>
  <c r="HI288" i="43"/>
  <c r="HB288" i="43"/>
  <c r="GU288" i="43"/>
  <c r="GN288" i="43"/>
  <c r="GL289" i="43" l="1"/>
  <c r="GJ289" i="43" s="1"/>
  <c r="GM289" i="43" s="1"/>
  <c r="AO288" i="43"/>
  <c r="DY288" i="43"/>
  <c r="DZ288" i="43" s="1"/>
  <c r="FF288" i="43" l="1"/>
  <c r="T285" i="45"/>
  <c r="GO289" i="43"/>
  <c r="BB289" i="43" s="1"/>
  <c r="GT289" i="43"/>
  <c r="GV289" i="43" s="1"/>
  <c r="BU289" i="43" s="1"/>
  <c r="HH289" i="43"/>
  <c r="HJ289" i="43" s="1"/>
  <c r="DI289" i="43" s="1"/>
  <c r="HA289" i="43"/>
  <c r="HC289" i="43" s="1"/>
  <c r="CP289" i="43" s="1"/>
  <c r="BD289" i="43" l="1"/>
  <c r="HE290" i="43"/>
  <c r="HD290" i="43" s="1"/>
  <c r="GZ290" i="43" s="1"/>
  <c r="CR289" i="43"/>
  <c r="HL290" i="43"/>
  <c r="HK290" i="43" s="1"/>
  <c r="HG290" i="43" s="1"/>
  <c r="DK289" i="43"/>
  <c r="GX290" i="43"/>
  <c r="GW290" i="43" s="1"/>
  <c r="GS290" i="43" s="1"/>
  <c r="BW289" i="43"/>
  <c r="AN289" i="43"/>
  <c r="GQ290" i="43"/>
  <c r="GP290" i="43" s="1"/>
  <c r="GK289" i="43"/>
  <c r="GL290" i="43" l="1"/>
  <c r="GJ290" i="43" s="1"/>
  <c r="GM290" i="43" s="1"/>
  <c r="GU289" i="43"/>
  <c r="GN289" i="43"/>
  <c r="HI289" i="43"/>
  <c r="HB289" i="43"/>
  <c r="DY289" i="43"/>
  <c r="DZ289" i="43" s="1"/>
  <c r="AO289" i="43"/>
  <c r="FF289" i="43" l="1"/>
  <c r="T286" i="45"/>
  <c r="GO290" i="43"/>
  <c r="BB290" i="43" s="1"/>
  <c r="HH290" i="43"/>
  <c r="HJ290" i="43" s="1"/>
  <c r="DI290" i="43" s="1"/>
  <c r="HA290" i="43"/>
  <c r="HC290" i="43" s="1"/>
  <c r="CP290" i="43" s="1"/>
  <c r="GT290" i="43"/>
  <c r="GV290" i="43" s="1"/>
  <c r="BU290" i="43" s="1"/>
  <c r="HE291" i="43" l="1"/>
  <c r="HD291" i="43" s="1"/>
  <c r="GZ291" i="43" s="1"/>
  <c r="CR290" i="43"/>
  <c r="BD290" i="43"/>
  <c r="GX291" i="43"/>
  <c r="GW291" i="43" s="1"/>
  <c r="GS291" i="43" s="1"/>
  <c r="BW290" i="43"/>
  <c r="HL291" i="43"/>
  <c r="HK291" i="43" s="1"/>
  <c r="HG291" i="43" s="1"/>
  <c r="DK290" i="43"/>
  <c r="AN290" i="43"/>
  <c r="GQ291" i="43"/>
  <c r="GP291" i="43" s="1"/>
  <c r="GK290" i="43"/>
  <c r="GL291" i="43" l="1"/>
  <c r="GJ291" i="43" s="1"/>
  <c r="GM291" i="43" s="1"/>
  <c r="HI290" i="43"/>
  <c r="HB290" i="43"/>
  <c r="GN290" i="43"/>
  <c r="GU290" i="43"/>
  <c r="DY290" i="43"/>
  <c r="DZ290" i="43" s="1"/>
  <c r="AO290" i="43"/>
  <c r="FF290" i="43" l="1"/>
  <c r="T287" i="45"/>
  <c r="GO291" i="43"/>
  <c r="BB291" i="43" s="1"/>
  <c r="HH291" i="43"/>
  <c r="HJ291" i="43" s="1"/>
  <c r="DI291" i="43" s="1"/>
  <c r="GT291" i="43"/>
  <c r="GV291" i="43" s="1"/>
  <c r="BU291" i="43" s="1"/>
  <c r="HA291" i="43"/>
  <c r="HC291" i="43" s="1"/>
  <c r="CP291" i="43" s="1"/>
  <c r="BD291" i="43" l="1"/>
  <c r="HE292" i="43"/>
  <c r="HD292" i="43" s="1"/>
  <c r="GZ292" i="43" s="1"/>
  <c r="CR291" i="43"/>
  <c r="GX292" i="43"/>
  <c r="GW292" i="43" s="1"/>
  <c r="GS292" i="43" s="1"/>
  <c r="BW291" i="43"/>
  <c r="HL292" i="43"/>
  <c r="HK292" i="43" s="1"/>
  <c r="HG292" i="43" s="1"/>
  <c r="DK291" i="43"/>
  <c r="AN291" i="43"/>
  <c r="GQ292" i="43"/>
  <c r="GP292" i="43" s="1"/>
  <c r="GK291" i="43"/>
  <c r="GL292" i="43" l="1"/>
  <c r="GJ292" i="43" s="1"/>
  <c r="GM292" i="43" s="1"/>
  <c r="GU291" i="43"/>
  <c r="HB291" i="43"/>
  <c r="HI291" i="43"/>
  <c r="GN291" i="43"/>
  <c r="DY291" i="43"/>
  <c r="DZ291" i="43" s="1"/>
  <c r="AO291" i="43"/>
  <c r="FF291" i="43" l="1"/>
  <c r="T288" i="45"/>
  <c r="GO292" i="43"/>
  <c r="BB292" i="43" s="1"/>
  <c r="GT292" i="43"/>
  <c r="GV292" i="43" s="1"/>
  <c r="BU292" i="43" s="1"/>
  <c r="HA292" i="43"/>
  <c r="HC292" i="43" s="1"/>
  <c r="CP292" i="43" s="1"/>
  <c r="HH292" i="43"/>
  <c r="HJ292" i="43" s="1"/>
  <c r="DI292" i="43" s="1"/>
  <c r="BD292" i="43" l="1"/>
  <c r="HL293" i="43"/>
  <c r="HK293" i="43" s="1"/>
  <c r="HG293" i="43" s="1"/>
  <c r="DK292" i="43"/>
  <c r="HE293" i="43"/>
  <c r="HD293" i="43" s="1"/>
  <c r="GZ293" i="43" s="1"/>
  <c r="CR292" i="43"/>
  <c r="GX293" i="43"/>
  <c r="GW293" i="43" s="1"/>
  <c r="GS293" i="43" s="1"/>
  <c r="BW292" i="43"/>
  <c r="AN292" i="43"/>
  <c r="GQ293" i="43"/>
  <c r="GP293" i="43" s="1"/>
  <c r="GK292" i="43"/>
  <c r="GL293" i="43" l="1"/>
  <c r="GJ293" i="43" s="1"/>
  <c r="GM293" i="43" s="1"/>
  <c r="HI292" i="43"/>
  <c r="GU292" i="43"/>
  <c r="HB292" i="43"/>
  <c r="GN292" i="43"/>
  <c r="AO292" i="43"/>
  <c r="DY292" i="43"/>
  <c r="DZ292" i="43" s="1"/>
  <c r="FF292" i="43" l="1"/>
  <c r="T289" i="45"/>
  <c r="GO293" i="43"/>
  <c r="BB293" i="43" s="1"/>
  <c r="GT293" i="43"/>
  <c r="GV293" i="43" s="1"/>
  <c r="BU293" i="43" s="1"/>
  <c r="HA293" i="43"/>
  <c r="HC293" i="43" s="1"/>
  <c r="CP293" i="43" s="1"/>
  <c r="HH293" i="43"/>
  <c r="HJ293" i="43" s="1"/>
  <c r="DI293" i="43" s="1"/>
  <c r="HL294" i="43" l="1"/>
  <c r="HK294" i="43" s="1"/>
  <c r="HG294" i="43" s="1"/>
  <c r="DK293" i="43"/>
  <c r="BD293" i="43"/>
  <c r="HE294" i="43"/>
  <c r="HD294" i="43" s="1"/>
  <c r="GZ294" i="43" s="1"/>
  <c r="CR293" i="43"/>
  <c r="GX294" i="43"/>
  <c r="GW294" i="43" s="1"/>
  <c r="GS294" i="43" s="1"/>
  <c r="BW293" i="43"/>
  <c r="AN293" i="43"/>
  <c r="GQ294" i="43"/>
  <c r="GP294" i="43" s="1"/>
  <c r="GK293" i="43"/>
  <c r="GL294" i="43" l="1"/>
  <c r="GJ294" i="43" s="1"/>
  <c r="GM294" i="43" s="1"/>
  <c r="GU293" i="43"/>
  <c r="HB293" i="43"/>
  <c r="GN293" i="43"/>
  <c r="HI293" i="43"/>
  <c r="AO293" i="43"/>
  <c r="DY293" i="43"/>
  <c r="DZ293" i="43" s="1"/>
  <c r="FF293" i="43" l="1"/>
  <c r="T290" i="45"/>
  <c r="GO294" i="43"/>
  <c r="BB294" i="43" s="1"/>
  <c r="HA294" i="43"/>
  <c r="HC294" i="43" s="1"/>
  <c r="CP294" i="43" s="1"/>
  <c r="HH294" i="43"/>
  <c r="HJ294" i="43" s="1"/>
  <c r="DI294" i="43" s="1"/>
  <c r="GT294" i="43"/>
  <c r="GV294" i="43" s="1"/>
  <c r="BU294" i="43" s="1"/>
  <c r="GX295" i="43" l="1"/>
  <c r="GW295" i="43" s="1"/>
  <c r="GS295" i="43" s="1"/>
  <c r="BW294" i="43"/>
  <c r="BD294" i="43"/>
  <c r="HL295" i="43"/>
  <c r="HK295" i="43" s="1"/>
  <c r="HG295" i="43" s="1"/>
  <c r="DK294" i="43"/>
  <c r="HE295" i="43"/>
  <c r="HD295" i="43" s="1"/>
  <c r="GZ295" i="43" s="1"/>
  <c r="CR294" i="43"/>
  <c r="AN294" i="43"/>
  <c r="GQ295" i="43"/>
  <c r="GP295" i="43" s="1"/>
  <c r="GK294" i="43"/>
  <c r="GL295" i="43" l="1"/>
  <c r="GJ295" i="43" s="1"/>
  <c r="GM295" i="43" s="1"/>
  <c r="HI294" i="43"/>
  <c r="GN294" i="43"/>
  <c r="HB294" i="43"/>
  <c r="GU294" i="43"/>
  <c r="AO294" i="43"/>
  <c r="DY294" i="43"/>
  <c r="DZ294" i="43" s="1"/>
  <c r="FF294" i="43" l="1"/>
  <c r="T291" i="45"/>
  <c r="GO295" i="43"/>
  <c r="BB295" i="43" s="1"/>
  <c r="HH295" i="43"/>
  <c r="HJ295" i="43" s="1"/>
  <c r="DI295" i="43" s="1"/>
  <c r="GT295" i="43"/>
  <c r="GV295" i="43" s="1"/>
  <c r="BU295" i="43" s="1"/>
  <c r="HA295" i="43"/>
  <c r="HC295" i="43" s="1"/>
  <c r="CP295" i="43" s="1"/>
  <c r="BD295" i="43" l="1"/>
  <c r="HE296" i="43"/>
  <c r="HD296" i="43" s="1"/>
  <c r="GZ296" i="43" s="1"/>
  <c r="CR295" i="43"/>
  <c r="GX296" i="43"/>
  <c r="GW296" i="43" s="1"/>
  <c r="GS296" i="43" s="1"/>
  <c r="BW295" i="43"/>
  <c r="HL296" i="43"/>
  <c r="HK296" i="43" s="1"/>
  <c r="HG296" i="43" s="1"/>
  <c r="DK295" i="43"/>
  <c r="AN295" i="43"/>
  <c r="GQ296" i="43"/>
  <c r="GP296" i="43" s="1"/>
  <c r="GK295" i="43"/>
  <c r="GL296" i="43" l="1"/>
  <c r="GJ296" i="43" s="1"/>
  <c r="GM296" i="43" s="1"/>
  <c r="GN295" i="43"/>
  <c r="HI295" i="43"/>
  <c r="GU295" i="43"/>
  <c r="HB295" i="43"/>
  <c r="DY295" i="43"/>
  <c r="DZ295" i="43" s="1"/>
  <c r="AO295" i="43"/>
  <c r="FF295" i="43" l="1"/>
  <c r="T292" i="45"/>
  <c r="GO296" i="43"/>
  <c r="BB296" i="43" s="1"/>
  <c r="HH296" i="43"/>
  <c r="HJ296" i="43" s="1"/>
  <c r="DI296" i="43" s="1"/>
  <c r="HA296" i="43"/>
  <c r="HC296" i="43" s="1"/>
  <c r="CP296" i="43" s="1"/>
  <c r="GT296" i="43"/>
  <c r="GV296" i="43" s="1"/>
  <c r="BU296" i="43" s="1"/>
  <c r="HE297" i="43" l="1"/>
  <c r="HD297" i="43" s="1"/>
  <c r="GZ297" i="43" s="1"/>
  <c r="CR296" i="43"/>
  <c r="BD296" i="43"/>
  <c r="GX297" i="43"/>
  <c r="GW297" i="43" s="1"/>
  <c r="GS297" i="43" s="1"/>
  <c r="BW296" i="43"/>
  <c r="HL297" i="43"/>
  <c r="HK297" i="43" s="1"/>
  <c r="HG297" i="43" s="1"/>
  <c r="DK296" i="43"/>
  <c r="AN296" i="43"/>
  <c r="GQ297" i="43"/>
  <c r="GP297" i="43" s="1"/>
  <c r="GK296" i="43"/>
  <c r="GL297" i="43" l="1"/>
  <c r="GJ297" i="43" s="1"/>
  <c r="GM297" i="43" s="1"/>
  <c r="HI296" i="43"/>
  <c r="GU296" i="43"/>
  <c r="HB296" i="43"/>
  <c r="GN296" i="43"/>
  <c r="AO296" i="43"/>
  <c r="DY296" i="43"/>
  <c r="DZ296" i="43" s="1"/>
  <c r="FF296" i="43" l="1"/>
  <c r="T293" i="45"/>
  <c r="W293" i="45" s="1"/>
  <c r="GO297" i="43"/>
  <c r="BB297" i="43" s="1"/>
  <c r="HA297" i="43"/>
  <c r="HC297" i="43" s="1"/>
  <c r="CP297" i="43" s="1"/>
  <c r="GT297" i="43"/>
  <c r="GV297" i="43" s="1"/>
  <c r="BU297" i="43" s="1"/>
  <c r="HH297" i="43"/>
  <c r="HJ297" i="43" s="1"/>
  <c r="DI297" i="43" s="1"/>
  <c r="BD297" i="43" l="1"/>
  <c r="HL298" i="43"/>
  <c r="HK298" i="43" s="1"/>
  <c r="HG298" i="43" s="1"/>
  <c r="DK297" i="43"/>
  <c r="GX298" i="43"/>
  <c r="GW298" i="43" s="1"/>
  <c r="GS298" i="43" s="1"/>
  <c r="BW297" i="43"/>
  <c r="HE298" i="43"/>
  <c r="HD298" i="43" s="1"/>
  <c r="GZ298" i="43" s="1"/>
  <c r="CR297" i="43"/>
  <c r="Z293" i="45"/>
  <c r="AN297" i="43"/>
  <c r="GQ298" i="43"/>
  <c r="GP298" i="43" s="1"/>
  <c r="GK297" i="43"/>
  <c r="GL298" i="43" l="1"/>
  <c r="GJ298" i="43" s="1"/>
  <c r="GM298" i="43" s="1"/>
  <c r="GU297" i="43"/>
  <c r="HI297" i="43"/>
  <c r="HB297" i="43"/>
  <c r="GN297" i="43"/>
  <c r="AO297" i="43"/>
  <c r="DY297" i="43"/>
  <c r="DZ297" i="43" s="1"/>
  <c r="FF297" i="43" l="1"/>
  <c r="T294" i="45"/>
  <c r="W294" i="45" s="1"/>
  <c r="GO298" i="43"/>
  <c r="BB298" i="43" s="1"/>
  <c r="HA298" i="43"/>
  <c r="HC298" i="43" s="1"/>
  <c r="CP298" i="43" s="1"/>
  <c r="HH298" i="43"/>
  <c r="HJ298" i="43" s="1"/>
  <c r="DI298" i="43" s="1"/>
  <c r="GT298" i="43"/>
  <c r="GV298" i="43" s="1"/>
  <c r="BU298" i="43" s="1"/>
  <c r="BD298" i="43" l="1"/>
  <c r="GX299" i="43"/>
  <c r="GW299" i="43" s="1"/>
  <c r="GS299" i="43" s="1"/>
  <c r="BW298" i="43"/>
  <c r="HL299" i="43"/>
  <c r="HK299" i="43" s="1"/>
  <c r="HG299" i="43" s="1"/>
  <c r="DK298" i="43"/>
  <c r="HE299" i="43"/>
  <c r="HD299" i="43" s="1"/>
  <c r="GZ299" i="43" s="1"/>
  <c r="CR298" i="43"/>
  <c r="Z294" i="45"/>
  <c r="X294" i="45"/>
  <c r="AN298" i="43"/>
  <c r="GQ299" i="43"/>
  <c r="GP299" i="43" s="1"/>
  <c r="GK298" i="43"/>
  <c r="GL299" i="43" l="1"/>
  <c r="GJ299" i="43" s="1"/>
  <c r="GM299" i="43" s="1"/>
  <c r="HB298" i="43"/>
  <c r="GN298" i="43"/>
  <c r="HI298" i="43"/>
  <c r="GU298" i="43"/>
  <c r="DY298" i="43"/>
  <c r="DZ298" i="43" s="1"/>
  <c r="AO298" i="43"/>
  <c r="FF298" i="43" l="1"/>
  <c r="T295" i="45"/>
  <c r="W295" i="45" s="1"/>
  <c r="GO299" i="43"/>
  <c r="BB299" i="43" s="1"/>
  <c r="HA299" i="43"/>
  <c r="HC299" i="43" s="1"/>
  <c r="CP299" i="43" s="1"/>
  <c r="HH299" i="43"/>
  <c r="HJ299" i="43" s="1"/>
  <c r="DI299" i="43" s="1"/>
  <c r="GT299" i="43"/>
  <c r="GV299" i="43" s="1"/>
  <c r="BU299" i="43" s="1"/>
  <c r="GX300" i="43" l="1"/>
  <c r="GW300" i="43" s="1"/>
  <c r="GS300" i="43" s="1"/>
  <c r="BW299" i="43"/>
  <c r="BD299" i="43"/>
  <c r="HL300" i="43"/>
  <c r="HK300" i="43" s="1"/>
  <c r="HG300" i="43" s="1"/>
  <c r="DK299" i="43"/>
  <c r="HE300" i="43"/>
  <c r="HD300" i="43" s="1"/>
  <c r="GZ300" i="43" s="1"/>
  <c r="CR299" i="43"/>
  <c r="Z295" i="45"/>
  <c r="X295" i="45"/>
  <c r="AN299" i="43"/>
  <c r="GQ300" i="43"/>
  <c r="GP300" i="43" s="1"/>
  <c r="GK299" i="43"/>
  <c r="GL300" i="43" l="1"/>
  <c r="GJ300" i="43" s="1"/>
  <c r="GM300" i="43" s="1"/>
  <c r="HB299" i="43"/>
  <c r="GU299" i="43"/>
  <c r="GN299" i="43"/>
  <c r="HI299" i="43"/>
  <c r="AO299" i="43"/>
  <c r="DY299" i="43"/>
  <c r="DZ299" i="43" s="1"/>
  <c r="FF299" i="43" l="1"/>
  <c r="T296" i="45"/>
  <c r="W296" i="45" s="1"/>
  <c r="GO300" i="43"/>
  <c r="BB300" i="43" s="1"/>
  <c r="HA300" i="43"/>
  <c r="HC300" i="43" s="1"/>
  <c r="CP300" i="43" s="1"/>
  <c r="GT300" i="43"/>
  <c r="GV300" i="43" s="1"/>
  <c r="BU300" i="43" s="1"/>
  <c r="HH300" i="43"/>
  <c r="HJ300" i="43" s="1"/>
  <c r="DI300" i="43" s="1"/>
  <c r="GX301" i="43" l="1"/>
  <c r="GW301" i="43" s="1"/>
  <c r="GS301" i="43" s="1"/>
  <c r="BW300" i="43"/>
  <c r="BD300" i="43"/>
  <c r="HL301" i="43"/>
  <c r="HK301" i="43" s="1"/>
  <c r="HG301" i="43" s="1"/>
  <c r="DK300" i="43"/>
  <c r="HE301" i="43"/>
  <c r="HD301" i="43" s="1"/>
  <c r="GZ301" i="43" s="1"/>
  <c r="CR300" i="43"/>
  <c r="Z296" i="45"/>
  <c r="X296" i="45"/>
  <c r="AN300" i="43"/>
  <c r="GQ301" i="43"/>
  <c r="GP301" i="43" s="1"/>
  <c r="GK300" i="43"/>
  <c r="GL301" i="43" l="1"/>
  <c r="GJ301" i="43" s="1"/>
  <c r="GM301" i="43" s="1"/>
  <c r="HI300" i="43"/>
  <c r="GN300" i="43"/>
  <c r="HB300" i="43"/>
  <c r="GU300" i="43"/>
  <c r="DY300" i="43"/>
  <c r="DZ300" i="43" s="1"/>
  <c r="AO300" i="43"/>
  <c r="FF300" i="43" l="1"/>
  <c r="T297" i="45"/>
  <c r="W297" i="45" s="1"/>
  <c r="GO301" i="43"/>
  <c r="BB301" i="43" s="1"/>
  <c r="HA301" i="43"/>
  <c r="HC301" i="43" s="1"/>
  <c r="CP301" i="43" s="1"/>
  <c r="HH301" i="43"/>
  <c r="HJ301" i="43" s="1"/>
  <c r="DI301" i="43" s="1"/>
  <c r="GT301" i="43"/>
  <c r="GV301" i="43" s="1"/>
  <c r="BU301" i="43" s="1"/>
  <c r="BD301" i="43" l="1"/>
  <c r="GX302" i="43"/>
  <c r="GW302" i="43" s="1"/>
  <c r="GS302" i="43" s="1"/>
  <c r="BW301" i="43"/>
  <c r="HL302" i="43"/>
  <c r="HK302" i="43" s="1"/>
  <c r="HG302" i="43" s="1"/>
  <c r="DK301" i="43"/>
  <c r="HE302" i="43"/>
  <c r="HD302" i="43" s="1"/>
  <c r="GZ302" i="43" s="1"/>
  <c r="CR301" i="43"/>
  <c r="Z297" i="45"/>
  <c r="X297" i="45"/>
  <c r="AN301" i="43"/>
  <c r="GQ302" i="43"/>
  <c r="GP302" i="43" s="1"/>
  <c r="GK301" i="43"/>
  <c r="GL302" i="43" l="1"/>
  <c r="GJ302" i="43" s="1"/>
  <c r="GM302" i="43" s="1"/>
  <c r="HB301" i="43"/>
  <c r="GU301" i="43"/>
  <c r="HI301" i="43"/>
  <c r="GN301" i="43"/>
  <c r="DY301" i="43"/>
  <c r="DZ301" i="43" s="1"/>
  <c r="AO301" i="43"/>
  <c r="FF301" i="43" l="1"/>
  <c r="T298" i="45"/>
  <c r="W298" i="45" s="1"/>
  <c r="GO302" i="43"/>
  <c r="BB302" i="43" s="1"/>
  <c r="HH302" i="43"/>
  <c r="HJ302" i="43" s="1"/>
  <c r="DI302" i="43" s="1"/>
  <c r="GT302" i="43"/>
  <c r="GV302" i="43" s="1"/>
  <c r="BU302" i="43" s="1"/>
  <c r="HA302" i="43"/>
  <c r="HC302" i="43" s="1"/>
  <c r="CP302" i="43" s="1"/>
  <c r="HE303" i="43" l="1"/>
  <c r="HD303" i="43" s="1"/>
  <c r="GZ303" i="43" s="1"/>
  <c r="CR302" i="43"/>
  <c r="BD302" i="43"/>
  <c r="GX303" i="43"/>
  <c r="GW303" i="43" s="1"/>
  <c r="GS303" i="43" s="1"/>
  <c r="BW302" i="43"/>
  <c r="HL303" i="43"/>
  <c r="HK303" i="43" s="1"/>
  <c r="HG303" i="43" s="1"/>
  <c r="DK302" i="43"/>
  <c r="Z298" i="45"/>
  <c r="X298" i="45"/>
  <c r="AN302" i="43"/>
  <c r="GQ303" i="43"/>
  <c r="GP303" i="43" s="1"/>
  <c r="GK302" i="43"/>
  <c r="GL303" i="43" l="1"/>
  <c r="GJ303" i="43" s="1"/>
  <c r="GM303" i="43" s="1"/>
  <c r="GN302" i="43"/>
  <c r="HB302" i="43"/>
  <c r="GU302" i="43"/>
  <c r="HI302" i="43"/>
  <c r="AO302" i="43"/>
  <c r="DY302" i="43"/>
  <c r="DZ302" i="43" s="1"/>
  <c r="FF302" i="43" l="1"/>
  <c r="T299" i="45"/>
  <c r="GO303" i="43"/>
  <c r="BB303" i="43" s="1"/>
  <c r="GT303" i="43"/>
  <c r="GV303" i="43" s="1"/>
  <c r="BU303" i="43" s="1"/>
  <c r="HA303" i="43"/>
  <c r="HC303" i="43" s="1"/>
  <c r="CP303" i="43" s="1"/>
  <c r="HH303" i="43"/>
  <c r="HJ303" i="43" s="1"/>
  <c r="DI303" i="43" s="1"/>
  <c r="HL304" i="43" l="1"/>
  <c r="HK304" i="43" s="1"/>
  <c r="HG304" i="43" s="1"/>
  <c r="DK303" i="43"/>
  <c r="BD303" i="43"/>
  <c r="HE304" i="43"/>
  <c r="HD304" i="43" s="1"/>
  <c r="GZ304" i="43" s="1"/>
  <c r="CR303" i="43"/>
  <c r="GX304" i="43"/>
  <c r="GW304" i="43" s="1"/>
  <c r="GS304" i="43" s="1"/>
  <c r="BW303" i="43"/>
  <c r="W299" i="45"/>
  <c r="AB299" i="45" s="1"/>
  <c r="AN303" i="43"/>
  <c r="GQ304" i="43"/>
  <c r="GP304" i="43" s="1"/>
  <c r="GK303" i="43"/>
  <c r="AC299" i="45" l="1"/>
  <c r="AA299" i="45"/>
  <c r="Y299" i="45"/>
  <c r="Z299" i="45" s="1"/>
  <c r="GL304" i="43"/>
  <c r="GJ304" i="43" s="1"/>
  <c r="GM304" i="43" s="1"/>
  <c r="GU303" i="43"/>
  <c r="GN303" i="43"/>
  <c r="HI303" i="43"/>
  <c r="HB303" i="43"/>
  <c r="DY303" i="43"/>
  <c r="DZ303" i="43" s="1"/>
  <c r="AO303" i="43"/>
  <c r="FF303" i="43" l="1"/>
  <c r="T300" i="45"/>
  <c r="GO304" i="43"/>
  <c r="BB304" i="43" s="1"/>
  <c r="HH304" i="43"/>
  <c r="HJ304" i="43" s="1"/>
  <c r="DI304" i="43" s="1"/>
  <c r="HA304" i="43"/>
  <c r="HC304" i="43" s="1"/>
  <c r="CP304" i="43" s="1"/>
  <c r="GT304" i="43"/>
  <c r="GV304" i="43" s="1"/>
  <c r="BU304" i="43" s="1"/>
  <c r="BD304" i="43" l="1"/>
  <c r="GX305" i="43"/>
  <c r="GW305" i="43" s="1"/>
  <c r="GS305" i="43" s="1"/>
  <c r="BW304" i="43"/>
  <c r="HE305" i="43"/>
  <c r="HD305" i="43" s="1"/>
  <c r="GZ305" i="43" s="1"/>
  <c r="CR304" i="43"/>
  <c r="HL305" i="43"/>
  <c r="HK305" i="43" s="1"/>
  <c r="HG305" i="43" s="1"/>
  <c r="DK304" i="43"/>
  <c r="W300" i="45"/>
  <c r="AB300" i="45" s="1"/>
  <c r="AN304" i="43"/>
  <c r="GQ305" i="43"/>
  <c r="GP305" i="43" s="1"/>
  <c r="GK304" i="43"/>
  <c r="AC300" i="45" l="1"/>
  <c r="AA300" i="45"/>
  <c r="Y300" i="45"/>
  <c r="Z300" i="45" s="1"/>
  <c r="GL305" i="43"/>
  <c r="GJ305" i="43" s="1"/>
  <c r="GM305" i="43" s="1"/>
  <c r="GU304" i="43"/>
  <c r="HB304" i="43"/>
  <c r="GN304" i="43"/>
  <c r="HI304" i="43"/>
  <c r="DY304" i="43"/>
  <c r="DZ304" i="43" s="1"/>
  <c r="AO304" i="43"/>
  <c r="FF304" i="43" l="1"/>
  <c r="T301" i="45"/>
  <c r="GO305" i="43"/>
  <c r="BB305" i="43" s="1"/>
  <c r="HH305" i="43"/>
  <c r="HJ305" i="43" s="1"/>
  <c r="DI305" i="43" s="1"/>
  <c r="GT305" i="43"/>
  <c r="GV305" i="43" s="1"/>
  <c r="BU305" i="43" s="1"/>
  <c r="HA305" i="43"/>
  <c r="HC305" i="43" s="1"/>
  <c r="CP305" i="43" s="1"/>
  <c r="BD305" i="43" l="1"/>
  <c r="HE306" i="43"/>
  <c r="HD306" i="43" s="1"/>
  <c r="GZ306" i="43" s="1"/>
  <c r="CR305" i="43"/>
  <c r="GX306" i="43"/>
  <c r="GW306" i="43" s="1"/>
  <c r="GS306" i="43" s="1"/>
  <c r="BW305" i="43"/>
  <c r="HL306" i="43"/>
  <c r="HK306" i="43" s="1"/>
  <c r="HG306" i="43" s="1"/>
  <c r="DK305" i="43"/>
  <c r="W301" i="45"/>
  <c r="AB301" i="45" s="1"/>
  <c r="AN305" i="43"/>
  <c r="GQ306" i="43"/>
  <c r="GP306" i="43" s="1"/>
  <c r="GK305" i="43"/>
  <c r="AC301" i="45" l="1"/>
  <c r="AA301" i="45"/>
  <c r="Y301" i="45"/>
  <c r="Z301" i="45" s="1"/>
  <c r="GN305" i="43"/>
  <c r="HB305" i="43"/>
  <c r="HI305" i="43"/>
  <c r="GU305" i="43"/>
  <c r="AO305" i="43"/>
  <c r="DY305" i="43"/>
  <c r="DZ305" i="43" s="1"/>
  <c r="GL306" i="43"/>
  <c r="GJ306" i="43" s="1"/>
  <c r="GM306" i="43" s="1"/>
  <c r="FF305" i="43" l="1"/>
  <c r="T302" i="45"/>
  <c r="GO306" i="43"/>
  <c r="BB306" i="43" s="1"/>
  <c r="GT306" i="43"/>
  <c r="GV306" i="43" s="1"/>
  <c r="BU306" i="43" s="1"/>
  <c r="HH306" i="43"/>
  <c r="HJ306" i="43" s="1"/>
  <c r="DI306" i="43" s="1"/>
  <c r="HA306" i="43"/>
  <c r="HC306" i="43" s="1"/>
  <c r="CP306" i="43" s="1"/>
  <c r="HE307" i="43" l="1"/>
  <c r="HD307" i="43" s="1"/>
  <c r="GZ307" i="43" s="1"/>
  <c r="CR306" i="43"/>
  <c r="BD306" i="43"/>
  <c r="HL307" i="43"/>
  <c r="HK307" i="43" s="1"/>
  <c r="HG307" i="43" s="1"/>
  <c r="DK306" i="43"/>
  <c r="GX307" i="43"/>
  <c r="GW307" i="43" s="1"/>
  <c r="GS307" i="43" s="1"/>
  <c r="BW306" i="43"/>
  <c r="W302" i="45"/>
  <c r="AB302" i="45" s="1"/>
  <c r="AN306" i="43"/>
  <c r="GQ307" i="43"/>
  <c r="GP307" i="43" s="1"/>
  <c r="GK306" i="43"/>
  <c r="AC302" i="45" l="1"/>
  <c r="AA302" i="45"/>
  <c r="Y302" i="45"/>
  <c r="Z302" i="45" s="1"/>
  <c r="GN306" i="43"/>
  <c r="GU306" i="43"/>
  <c r="HB306" i="43"/>
  <c r="HI306" i="43"/>
  <c r="GL307" i="43"/>
  <c r="GJ307" i="43" s="1"/>
  <c r="GM307" i="43" s="1"/>
  <c r="AO306" i="43"/>
  <c r="DY306" i="43"/>
  <c r="DZ306" i="43" s="1"/>
  <c r="FF306" i="43" l="1"/>
  <c r="T303" i="45"/>
  <c r="GO307" i="43"/>
  <c r="BB307" i="43" s="1"/>
  <c r="HH307" i="43"/>
  <c r="HJ307" i="43" s="1"/>
  <c r="DI307" i="43" s="1"/>
  <c r="GT307" i="43"/>
  <c r="GV307" i="43" s="1"/>
  <c r="BU307" i="43" s="1"/>
  <c r="HA307" i="43"/>
  <c r="HC307" i="43" s="1"/>
  <c r="CP307" i="43" s="1"/>
  <c r="BD307" i="43" l="1"/>
  <c r="HE308" i="43"/>
  <c r="HD308" i="43" s="1"/>
  <c r="GZ308" i="43" s="1"/>
  <c r="CR307" i="43"/>
  <c r="GX308" i="43"/>
  <c r="GW308" i="43" s="1"/>
  <c r="GS308" i="43" s="1"/>
  <c r="BW307" i="43"/>
  <c r="HL308" i="43"/>
  <c r="HK308" i="43" s="1"/>
  <c r="HG308" i="43" s="1"/>
  <c r="DK307" i="43"/>
  <c r="W303" i="45"/>
  <c r="AB303" i="45" s="1"/>
  <c r="AN307" i="43"/>
  <c r="GQ308" i="43"/>
  <c r="GP308" i="43" s="1"/>
  <c r="GK307" i="43"/>
  <c r="AC303" i="45" l="1"/>
  <c r="AA303" i="45"/>
  <c r="Y303" i="45"/>
  <c r="Z303" i="45" s="1"/>
  <c r="GL308" i="43"/>
  <c r="GJ308" i="43" s="1"/>
  <c r="GM308" i="43" s="1"/>
  <c r="HB307" i="43"/>
  <c r="HI307" i="43"/>
  <c r="GU307" i="43"/>
  <c r="GN307" i="43"/>
  <c r="DY307" i="43"/>
  <c r="DZ307" i="43" s="1"/>
  <c r="AO307" i="43"/>
  <c r="FF307" i="43" l="1"/>
  <c r="T304" i="45"/>
  <c r="GO308" i="43"/>
  <c r="BB308" i="43" s="1"/>
  <c r="HH308" i="43"/>
  <c r="HJ308" i="43" s="1"/>
  <c r="DI308" i="43" s="1"/>
  <c r="HA308" i="43"/>
  <c r="HC308" i="43" s="1"/>
  <c r="CP308" i="43" s="1"/>
  <c r="GT308" i="43"/>
  <c r="GV308" i="43" s="1"/>
  <c r="BU308" i="43" s="1"/>
  <c r="BD308" i="43" l="1"/>
  <c r="GX309" i="43"/>
  <c r="GW309" i="43" s="1"/>
  <c r="GS309" i="43" s="1"/>
  <c r="BW308" i="43"/>
  <c r="HE309" i="43"/>
  <c r="HD309" i="43" s="1"/>
  <c r="GZ309" i="43" s="1"/>
  <c r="CR308" i="43"/>
  <c r="HL309" i="43"/>
  <c r="HK309" i="43" s="1"/>
  <c r="HG309" i="43" s="1"/>
  <c r="DK308" i="43"/>
  <c r="W304" i="45"/>
  <c r="AB304" i="45" s="1"/>
  <c r="AN308" i="43"/>
  <c r="GQ309" i="43"/>
  <c r="GP309" i="43" s="1"/>
  <c r="GK308" i="43"/>
  <c r="AC304" i="45" l="1"/>
  <c r="AA304" i="45"/>
  <c r="Y304" i="45"/>
  <c r="Z304" i="45" s="1"/>
  <c r="GL309" i="43"/>
  <c r="GJ309" i="43" s="1"/>
  <c r="GM309" i="43" s="1"/>
  <c r="HI308" i="43"/>
  <c r="GU308" i="43"/>
  <c r="GN308" i="43"/>
  <c r="HB308" i="43"/>
  <c r="DY308" i="43"/>
  <c r="DZ308" i="43" s="1"/>
  <c r="AO308" i="43"/>
  <c r="FF308" i="43" l="1"/>
  <c r="T305" i="45"/>
  <c r="GO309" i="43"/>
  <c r="BB309" i="43" s="1"/>
  <c r="HA309" i="43"/>
  <c r="HC309" i="43" s="1"/>
  <c r="CP309" i="43" s="1"/>
  <c r="GT309" i="43"/>
  <c r="GV309" i="43" s="1"/>
  <c r="BU309" i="43" s="1"/>
  <c r="HH309" i="43"/>
  <c r="HJ309" i="43" s="1"/>
  <c r="DI309" i="43" s="1"/>
  <c r="HL310" i="43" l="1"/>
  <c r="HK310" i="43" s="1"/>
  <c r="HG310" i="43" s="1"/>
  <c r="DK309" i="43"/>
  <c r="BD309" i="43"/>
  <c r="GX310" i="43"/>
  <c r="GW310" i="43" s="1"/>
  <c r="GS310" i="43" s="1"/>
  <c r="BW309" i="43"/>
  <c r="HE310" i="43"/>
  <c r="HD310" i="43" s="1"/>
  <c r="GZ310" i="43" s="1"/>
  <c r="CR309" i="43"/>
  <c r="W305" i="45"/>
  <c r="Y305" i="45" s="1"/>
  <c r="Z305" i="45" s="1"/>
  <c r="AN309" i="43"/>
  <c r="GQ310" i="43"/>
  <c r="GP310" i="43" s="1"/>
  <c r="GK309" i="43"/>
  <c r="AB305" i="45" l="1"/>
  <c r="AC305" i="45" s="1"/>
  <c r="HB309" i="43"/>
  <c r="GU309" i="43"/>
  <c r="HI309" i="43"/>
  <c r="GN309" i="43"/>
  <c r="DY309" i="43"/>
  <c r="DZ309" i="43" s="1"/>
  <c r="AO309" i="43"/>
  <c r="GL310" i="43"/>
  <c r="GJ310" i="43" s="1"/>
  <c r="AA305" i="45" l="1"/>
  <c r="FF309" i="43"/>
  <c r="T306" i="45"/>
  <c r="GT310" i="43"/>
  <c r="GV310" i="43" s="1"/>
  <c r="BU310" i="43" s="1"/>
  <c r="HA310" i="43"/>
  <c r="HC310" i="43" s="1"/>
  <c r="CP310" i="43" s="1"/>
  <c r="HH310" i="43"/>
  <c r="HJ310" i="43" s="1"/>
  <c r="DI310" i="43" s="1"/>
  <c r="GM310" i="43"/>
  <c r="HE311" i="43" l="1"/>
  <c r="HD311" i="43" s="1"/>
  <c r="GZ311" i="43" s="1"/>
  <c r="CR310" i="43"/>
  <c r="HL311" i="43"/>
  <c r="HK311" i="43" s="1"/>
  <c r="HG311" i="43" s="1"/>
  <c r="DK310" i="43"/>
  <c r="GX311" i="43"/>
  <c r="GW311" i="43" s="1"/>
  <c r="GS311" i="43" s="1"/>
  <c r="BW310" i="43"/>
  <c r="W306" i="45"/>
  <c r="AB306" i="45" s="1"/>
  <c r="GK310" i="43"/>
  <c r="GO310" i="43"/>
  <c r="BB310" i="43" s="1"/>
  <c r="BD310" i="43" l="1"/>
  <c r="AC306" i="45"/>
  <c r="AA306" i="45"/>
  <c r="Y306" i="45"/>
  <c r="Z306" i="45" s="1"/>
  <c r="AN310" i="43"/>
  <c r="GQ311" i="43"/>
  <c r="GP311" i="43" s="1"/>
  <c r="GU310" i="43"/>
  <c r="HI310" i="43"/>
  <c r="HB310" i="43"/>
  <c r="GN310" i="43"/>
  <c r="GL311" i="43" l="1"/>
  <c r="GJ311" i="43" s="1"/>
  <c r="GM311" i="43" s="1"/>
  <c r="DY310" i="43"/>
  <c r="DZ310" i="43" s="1"/>
  <c r="AO310" i="43"/>
  <c r="FF310" i="43" l="1"/>
  <c r="T307" i="45"/>
  <c r="GO311" i="43"/>
  <c r="BB311" i="43" s="1"/>
  <c r="GT311" i="43"/>
  <c r="GV311" i="43" s="1"/>
  <c r="BU311" i="43" s="1"/>
  <c r="HH311" i="43"/>
  <c r="HJ311" i="43" s="1"/>
  <c r="DI311" i="43" s="1"/>
  <c r="HA311" i="43"/>
  <c r="HC311" i="43" s="1"/>
  <c r="CP311" i="43" s="1"/>
  <c r="HL312" i="43" l="1"/>
  <c r="HK312" i="43" s="1"/>
  <c r="HG312" i="43" s="1"/>
  <c r="DK311" i="43"/>
  <c r="BD311" i="43"/>
  <c r="HE312" i="43"/>
  <c r="HD312" i="43" s="1"/>
  <c r="GZ312" i="43" s="1"/>
  <c r="CR311" i="43"/>
  <c r="GX312" i="43"/>
  <c r="GW312" i="43" s="1"/>
  <c r="GS312" i="43" s="1"/>
  <c r="BW311" i="43"/>
  <c r="W307" i="45"/>
  <c r="AB307" i="45" s="1"/>
  <c r="AN311" i="43"/>
  <c r="GQ312" i="43"/>
  <c r="GP312" i="43" s="1"/>
  <c r="GK311" i="43"/>
  <c r="AC307" i="45" l="1"/>
  <c r="AA307" i="45"/>
  <c r="Y307" i="45"/>
  <c r="Z307" i="45" s="1"/>
  <c r="GL312" i="43"/>
  <c r="GJ312" i="43" s="1"/>
  <c r="GM312" i="43" s="1"/>
  <c r="GN311" i="43"/>
  <c r="HI311" i="43"/>
  <c r="HB311" i="43"/>
  <c r="GU311" i="43"/>
  <c r="AO311" i="43"/>
  <c r="DY311" i="43"/>
  <c r="DZ311" i="43" s="1"/>
  <c r="FF311" i="43" l="1"/>
  <c r="T308" i="45"/>
  <c r="GO312" i="43"/>
  <c r="BB312" i="43" s="1"/>
  <c r="HA312" i="43"/>
  <c r="HC312" i="43" s="1"/>
  <c r="CP312" i="43" s="1"/>
  <c r="HH312" i="43"/>
  <c r="HJ312" i="43" s="1"/>
  <c r="DI312" i="43" s="1"/>
  <c r="GT312" i="43"/>
  <c r="GV312" i="43" s="1"/>
  <c r="BU312" i="43" s="1"/>
  <c r="GX313" i="43" l="1"/>
  <c r="GW313" i="43" s="1"/>
  <c r="GS313" i="43" s="1"/>
  <c r="BW312" i="43"/>
  <c r="HL313" i="43"/>
  <c r="HK313" i="43" s="1"/>
  <c r="HG313" i="43" s="1"/>
  <c r="DK312" i="43"/>
  <c r="BD312" i="43"/>
  <c r="HE313" i="43"/>
  <c r="HD313" i="43" s="1"/>
  <c r="GZ313" i="43" s="1"/>
  <c r="CR312" i="43"/>
  <c r="W308" i="45"/>
  <c r="AB308" i="45" s="1"/>
  <c r="AN312" i="43"/>
  <c r="GQ313" i="43"/>
  <c r="GP313" i="43" s="1"/>
  <c r="GK312" i="43"/>
  <c r="AC308" i="45" l="1"/>
  <c r="AA308" i="45"/>
  <c r="Y308" i="45"/>
  <c r="Z308" i="45" s="1"/>
  <c r="GL313" i="43"/>
  <c r="GJ313" i="43" s="1"/>
  <c r="GM313" i="43" s="1"/>
  <c r="GU312" i="43"/>
  <c r="GN312" i="43"/>
  <c r="HB312" i="43"/>
  <c r="HI312" i="43"/>
  <c r="DY312" i="43"/>
  <c r="DZ312" i="43" s="1"/>
  <c r="AO312" i="43"/>
  <c r="FF312" i="43" l="1"/>
  <c r="T309" i="45"/>
  <c r="GO313" i="43"/>
  <c r="BB313" i="43" s="1"/>
  <c r="HA313" i="43"/>
  <c r="HC313" i="43" s="1"/>
  <c r="CP313" i="43" s="1"/>
  <c r="HH313" i="43"/>
  <c r="HJ313" i="43" s="1"/>
  <c r="DI313" i="43" s="1"/>
  <c r="GT313" i="43"/>
  <c r="GV313" i="43" s="1"/>
  <c r="BU313" i="43" s="1"/>
  <c r="GX314" i="43" l="1"/>
  <c r="GW314" i="43" s="1"/>
  <c r="GS314" i="43" s="1"/>
  <c r="BW313" i="43"/>
  <c r="BD313" i="43"/>
  <c r="HL314" i="43"/>
  <c r="HK314" i="43" s="1"/>
  <c r="HG314" i="43" s="1"/>
  <c r="DK313" i="43"/>
  <c r="HE314" i="43"/>
  <c r="HD314" i="43" s="1"/>
  <c r="GZ314" i="43" s="1"/>
  <c r="CR313" i="43"/>
  <c r="W309" i="45"/>
  <c r="AB309" i="45" s="1"/>
  <c r="AN313" i="43"/>
  <c r="GQ314" i="43"/>
  <c r="GP314" i="43" s="1"/>
  <c r="GK313" i="43"/>
  <c r="AC309" i="45" l="1"/>
  <c r="AA309" i="45"/>
  <c r="Y309" i="45"/>
  <c r="Z309" i="45" s="1"/>
  <c r="GL314" i="43"/>
  <c r="GJ314" i="43" s="1"/>
  <c r="GM314" i="43" s="1"/>
  <c r="HB313" i="43"/>
  <c r="GN313" i="43"/>
  <c r="HI313" i="43"/>
  <c r="GU313" i="43"/>
  <c r="DY313" i="43"/>
  <c r="DZ313" i="43" s="1"/>
  <c r="AO313" i="43"/>
  <c r="FF313" i="43" l="1"/>
  <c r="T310" i="45"/>
  <c r="GO314" i="43"/>
  <c r="BB314" i="43" s="1"/>
  <c r="HH314" i="43"/>
  <c r="HJ314" i="43" s="1"/>
  <c r="DI314" i="43" s="1"/>
  <c r="GT314" i="43"/>
  <c r="GV314" i="43" s="1"/>
  <c r="BU314" i="43" s="1"/>
  <c r="HA314" i="43"/>
  <c r="HC314" i="43" s="1"/>
  <c r="CP314" i="43" s="1"/>
  <c r="HE315" i="43" l="1"/>
  <c r="HD315" i="43" s="1"/>
  <c r="GZ315" i="43" s="1"/>
  <c r="CR314" i="43"/>
  <c r="BD314" i="43"/>
  <c r="GX315" i="43"/>
  <c r="GW315" i="43" s="1"/>
  <c r="GS315" i="43" s="1"/>
  <c r="BW314" i="43"/>
  <c r="HL315" i="43"/>
  <c r="HK315" i="43" s="1"/>
  <c r="HG315" i="43" s="1"/>
  <c r="DK314" i="43"/>
  <c r="W310" i="45"/>
  <c r="AB310" i="45" s="1"/>
  <c r="AN314" i="43"/>
  <c r="GQ315" i="43"/>
  <c r="GP315" i="43" s="1"/>
  <c r="GK314" i="43"/>
  <c r="AC310" i="45" l="1"/>
  <c r="AA310" i="45"/>
  <c r="Y310" i="45"/>
  <c r="Z310" i="45" s="1"/>
  <c r="GL315" i="43"/>
  <c r="GJ315" i="43" s="1"/>
  <c r="GM315" i="43" s="1"/>
  <c r="GU314" i="43"/>
  <c r="HB314" i="43"/>
  <c r="GN314" i="43"/>
  <c r="HI314" i="43"/>
  <c r="AO314" i="43"/>
  <c r="DY314" i="43"/>
  <c r="DZ314" i="43" s="1"/>
  <c r="FF314" i="43" l="1"/>
  <c r="T311" i="45"/>
  <c r="GO315" i="43"/>
  <c r="BB315" i="43" s="1"/>
  <c r="HH315" i="43"/>
  <c r="HJ315" i="43" s="1"/>
  <c r="DI315" i="43" s="1"/>
  <c r="GT315" i="43"/>
  <c r="GV315" i="43" s="1"/>
  <c r="BU315" i="43" s="1"/>
  <c r="HA315" i="43"/>
  <c r="HC315" i="43" s="1"/>
  <c r="CP315" i="43" s="1"/>
  <c r="E104" i="35" l="1"/>
  <c r="D104" i="35"/>
  <c r="E63" i="35"/>
  <c r="D63" i="35"/>
  <c r="E91" i="35"/>
  <c r="D91" i="35"/>
  <c r="E76" i="35"/>
  <c r="D76" i="35"/>
  <c r="G104" i="35"/>
  <c r="F104" i="35"/>
  <c r="G63" i="35"/>
  <c r="F63" i="35"/>
  <c r="G91" i="35"/>
  <c r="F91" i="35"/>
  <c r="G76" i="35"/>
  <c r="F76" i="35"/>
  <c r="I91" i="35"/>
  <c r="H91" i="35"/>
  <c r="I104" i="35"/>
  <c r="H104" i="35"/>
  <c r="I63" i="35"/>
  <c r="H63" i="35"/>
  <c r="I76" i="35"/>
  <c r="H76" i="35"/>
  <c r="K104" i="35"/>
  <c r="J104" i="35"/>
  <c r="K63" i="35"/>
  <c r="J63" i="35"/>
  <c r="K91" i="35"/>
  <c r="J91" i="35"/>
  <c r="K76" i="35"/>
  <c r="J76" i="35"/>
  <c r="BW315" i="43"/>
  <c r="D77" i="35" s="1"/>
  <c r="L76" i="35"/>
  <c r="BD315" i="43"/>
  <c r="D64" i="35" s="1"/>
  <c r="L63" i="35"/>
  <c r="CR315" i="43"/>
  <c r="D92" i="35" s="1"/>
  <c r="L91" i="35"/>
  <c r="DK315" i="43"/>
  <c r="D105" i="35" s="1"/>
  <c r="L104" i="35"/>
  <c r="W311" i="45"/>
  <c r="AB311" i="45" s="1"/>
  <c r="GK315" i="43"/>
  <c r="AN315" i="43"/>
  <c r="D40" i="35" s="1"/>
  <c r="F40" i="35" l="1"/>
  <c r="E40" i="35"/>
  <c r="F105" i="35"/>
  <c r="E105" i="35"/>
  <c r="F64" i="35"/>
  <c r="E64" i="35"/>
  <c r="F92" i="35"/>
  <c r="E92" i="35"/>
  <c r="F77" i="35"/>
  <c r="E77" i="35"/>
  <c r="H40" i="35"/>
  <c r="G40" i="35"/>
  <c r="H105" i="35"/>
  <c r="G105" i="35"/>
  <c r="H64" i="35"/>
  <c r="G64" i="35"/>
  <c r="H92" i="35"/>
  <c r="G92" i="35"/>
  <c r="H77" i="35"/>
  <c r="G77" i="35"/>
  <c r="J40" i="35"/>
  <c r="I40" i="35"/>
  <c r="J105" i="35"/>
  <c r="I105" i="35"/>
  <c r="J64" i="35"/>
  <c r="I64" i="35"/>
  <c r="J92" i="35"/>
  <c r="I92" i="35"/>
  <c r="J77" i="35"/>
  <c r="I77" i="35"/>
  <c r="L40" i="35"/>
  <c r="K40" i="35"/>
  <c r="L105" i="35"/>
  <c r="K105" i="35"/>
  <c r="L64" i="35"/>
  <c r="K64" i="35"/>
  <c r="L92" i="35"/>
  <c r="K92" i="35"/>
  <c r="L77" i="35"/>
  <c r="K77" i="35"/>
  <c r="AC311" i="45"/>
  <c r="AA311" i="45"/>
  <c r="Y311" i="45"/>
  <c r="Z311" i="45" s="1"/>
  <c r="DY315" i="43"/>
  <c r="DZ315" i="43" s="1"/>
  <c r="AO315" i="43"/>
  <c r="GN315" i="43"/>
  <c r="HB315" i="43"/>
  <c r="GU315" i="43"/>
  <c r="HI315" i="43"/>
  <c r="Z201" i="45"/>
  <c r="AC201" i="45"/>
  <c r="Z202" i="45"/>
  <c r="AA202" i="45"/>
  <c r="AB204" i="45"/>
  <c r="E39" i="35" l="1"/>
  <c r="D39" i="35"/>
  <c r="G39" i="35"/>
  <c r="F39" i="35"/>
  <c r="I39" i="35"/>
  <c r="H39" i="35"/>
  <c r="K39" i="35"/>
  <c r="J39" i="35"/>
  <c r="FF315" i="43"/>
  <c r="T312" i="45"/>
  <c r="L39" i="35"/>
  <c r="AC204" i="45"/>
  <c r="AA204" i="45"/>
  <c r="AC203" i="45"/>
  <c r="AA203" i="45"/>
  <c r="Z204" i="45"/>
  <c r="AC202" i="45"/>
  <c r="Z203" i="45"/>
  <c r="AA201" i="45"/>
  <c r="AB205" i="45"/>
  <c r="W312" i="45" l="1"/>
  <c r="AB312" i="45" s="1"/>
  <c r="Z205" i="45"/>
  <c r="AB206" i="45"/>
  <c r="AC312" i="45" l="1"/>
  <c r="AA312" i="45"/>
  <c r="Y312" i="45"/>
  <c r="Z312" i="45" s="1"/>
  <c r="AA205" i="45"/>
  <c r="AC205" i="45"/>
  <c r="AB207" i="45"/>
  <c r="Z206" i="45"/>
  <c r="AA206" i="45" l="1"/>
  <c r="AC206" i="45"/>
  <c r="Z207" i="45"/>
  <c r="AA207" i="45" l="1"/>
  <c r="AC207" i="45"/>
  <c r="Z208" i="45"/>
  <c r="AB208" i="45"/>
  <c r="Z209" i="45" l="1"/>
  <c r="AB209" i="45"/>
  <c r="AA208" i="45"/>
  <c r="AC208" i="45"/>
  <c r="AA209" i="45" l="1"/>
  <c r="AC209" i="45"/>
  <c r="Z210" i="45"/>
  <c r="AB210" i="45"/>
  <c r="AB211" i="45" l="1"/>
  <c r="Z211" i="45"/>
  <c r="AC210" i="45"/>
  <c r="AA210" i="45"/>
  <c r="AC211" i="45" l="1"/>
  <c r="AA211" i="45"/>
  <c r="Z212" i="45"/>
  <c r="AB212" i="45"/>
  <c r="AA212" i="45" l="1"/>
  <c r="AC212" i="45"/>
  <c r="Z213" i="45"/>
  <c r="AB213" i="45"/>
  <c r="AC213" i="45" l="1"/>
  <c r="AA213" i="45"/>
  <c r="AA250" i="45"/>
  <c r="W250" i="45"/>
  <c r="X250" i="45" s="1"/>
  <c r="AA251" i="45"/>
  <c r="AA252" i="45"/>
  <c r="W253" i="45"/>
  <c r="Z253" i="45" s="1"/>
  <c r="AA253" i="45"/>
  <c r="AA254" i="45"/>
  <c r="W254" i="45"/>
  <c r="Z254" i="45" s="1"/>
  <c r="AA255" i="45"/>
  <c r="AA256" i="45"/>
  <c r="AA257" i="45"/>
  <c r="W257" i="45"/>
  <c r="AA258" i="45"/>
  <c r="W258" i="45"/>
  <c r="AA259" i="45"/>
  <c r="AA260" i="45"/>
  <c r="AA261" i="45"/>
  <c r="W261" i="45"/>
  <c r="Z261" i="45" s="1"/>
  <c r="AA262" i="45"/>
  <c r="W262" i="45"/>
  <c r="Z262" i="45" s="1"/>
  <c r="AA263" i="45"/>
  <c r="AA264" i="45"/>
  <c r="AA265" i="45"/>
  <c r="W265" i="45"/>
  <c r="AA266" i="45"/>
  <c r="W266" i="45"/>
  <c r="AA267" i="45"/>
  <c r="AA268" i="45"/>
  <c r="AA269" i="45"/>
  <c r="W269" i="45"/>
  <c r="Z269" i="45" s="1"/>
  <c r="AA270" i="45"/>
  <c r="W270" i="45"/>
  <c r="AA271" i="45"/>
  <c r="AA272" i="45"/>
  <c r="AA273" i="45"/>
  <c r="W273" i="45"/>
  <c r="AA274" i="45"/>
  <c r="W274" i="45"/>
  <c r="AA275" i="45"/>
  <c r="AA276" i="45"/>
  <c r="AA277" i="45"/>
  <c r="Z277" i="45"/>
  <c r="AA278" i="45"/>
  <c r="W278" i="45"/>
  <c r="Z278" i="45" s="1"/>
  <c r="AA279" i="45"/>
  <c r="W279" i="45"/>
  <c r="Z279" i="45" s="1"/>
  <c r="AA280" i="45"/>
  <c r="AA281" i="45"/>
  <c r="AA282" i="45"/>
  <c r="W282" i="45"/>
  <c r="W283" i="45"/>
  <c r="AA283" i="45"/>
  <c r="AA284" i="45"/>
  <c r="AA285" i="45"/>
  <c r="AA286" i="45"/>
  <c r="W286" i="45"/>
  <c r="Z286" i="45" s="1"/>
  <c r="AA287" i="45"/>
  <c r="AA288" i="45"/>
  <c r="AA289" i="45"/>
  <c r="W289" i="45"/>
  <c r="AA290" i="45"/>
  <c r="W290" i="45"/>
  <c r="AA291" i="45"/>
  <c r="W291" i="45"/>
  <c r="Z291" i="45" s="1"/>
  <c r="AA292" i="45"/>
  <c r="W252" i="45"/>
  <c r="W256" i="45"/>
  <c r="Z256" i="45" s="1"/>
  <c r="W260" i="45"/>
  <c r="Z260" i="45" s="1"/>
  <c r="W264" i="45"/>
  <c r="Z264" i="45" s="1"/>
  <c r="W268" i="45"/>
  <c r="W272" i="45"/>
  <c r="Z272" i="45" s="1"/>
  <c r="W276" i="45"/>
  <c r="Z276" i="45" s="1"/>
  <c r="W280" i="45"/>
  <c r="Z280" i="45" s="1"/>
  <c r="W284" i="45"/>
  <c r="W288" i="45"/>
  <c r="Z288" i="45" s="1"/>
  <c r="W251" i="45"/>
  <c r="Z251" i="45" s="1"/>
  <c r="W255" i="45"/>
  <c r="W259" i="45"/>
  <c r="W263" i="45"/>
  <c r="Z263" i="45" s="1"/>
  <c r="W267" i="45"/>
  <c r="Z267" i="45" s="1"/>
  <c r="W271" i="45"/>
  <c r="Z271" i="45" s="1"/>
  <c r="W275" i="45"/>
  <c r="W281" i="45"/>
  <c r="Z281" i="45" s="1"/>
  <c r="W285" i="45"/>
  <c r="Z285" i="45" s="1"/>
  <c r="W287" i="45"/>
  <c r="Z287" i="45" s="1"/>
  <c r="W292" i="45"/>
  <c r="Z292" i="45" l="1"/>
  <c r="X293" i="45"/>
  <c r="X256" i="45"/>
  <c r="X286" i="45"/>
  <c r="X252" i="45"/>
  <c r="X268" i="45"/>
  <c r="X253" i="45"/>
  <c r="X291" i="45"/>
  <c r="X283" i="45"/>
  <c r="X267" i="45"/>
  <c r="X259" i="45"/>
  <c r="X276" i="45"/>
  <c r="X288" i="45"/>
  <c r="X277" i="45"/>
  <c r="X285" i="45"/>
  <c r="X261" i="45"/>
  <c r="X290" i="45"/>
  <c r="X274" i="45"/>
  <c r="X270" i="45"/>
  <c r="X266" i="45"/>
  <c r="X258" i="45"/>
  <c r="X280" i="45"/>
  <c r="X275" i="45"/>
  <c r="X282" i="45"/>
  <c r="X260" i="45"/>
  <c r="X284" i="45"/>
  <c r="Z250" i="45"/>
  <c r="X272" i="45"/>
  <c r="Z255" i="45"/>
  <c r="X269" i="45"/>
  <c r="X292" i="45"/>
  <c r="X264" i="45"/>
  <c r="X289" i="45"/>
  <c r="X273" i="45"/>
  <c r="X257" i="45"/>
  <c r="Z283" i="45"/>
  <c r="Z273" i="45"/>
  <c r="Z265" i="45"/>
  <c r="Z257" i="45"/>
  <c r="Z290" i="45"/>
  <c r="Z282" i="45"/>
  <c r="Z274" i="45"/>
  <c r="Z266" i="45"/>
  <c r="Z258" i="45"/>
  <c r="X251" i="45"/>
  <c r="X262" i="45"/>
  <c r="X254" i="45"/>
  <c r="X287" i="45"/>
  <c r="X279" i="45"/>
  <c r="X271" i="45"/>
  <c r="X263" i="45"/>
  <c r="X255" i="45"/>
  <c r="X278" i="45"/>
  <c r="Z284" i="45"/>
  <c r="X281" i="45"/>
  <c r="Z268" i="45"/>
  <c r="X265" i="45"/>
  <c r="Z252" i="45"/>
  <c r="Z270" i="45"/>
  <c r="Z289" i="45"/>
  <c r="Z275" i="45"/>
  <c r="Z259" i="45"/>
</calcChain>
</file>

<file path=xl/comments1.xml><?xml version="1.0" encoding="utf-8"?>
<comments xmlns="http://schemas.openxmlformats.org/spreadsheetml/2006/main">
  <authors>
    <author>cnelson</author>
    <author>Johnson, Christopher</author>
    <author>jmoline</author>
    <author>Moline, Jason</author>
  </authors>
  <commentList>
    <comment ref="R2" authorId="0">
      <text>
        <r>
          <rPr>
            <b/>
            <sz val="10"/>
            <color indexed="81"/>
            <rFont val="Tahoma"/>
            <family val="2"/>
          </rPr>
          <t>cnelson:</t>
        </r>
        <r>
          <rPr>
            <sz val="10"/>
            <color indexed="81"/>
            <rFont val="Tahoma"/>
            <family val="2"/>
          </rPr>
          <t xml:space="preserve">
Changed Dead Storage from 1220 AF to 619 AF per updated capacity chart and COE.  619 AF equals 1075-ft.</t>
        </r>
      </text>
    </comment>
    <comment ref="T2" authorId="1">
      <text>
        <r>
          <rPr>
            <b/>
            <sz val="9"/>
            <color indexed="81"/>
            <rFont val="Tahoma"/>
            <family val="2"/>
          </rPr>
          <t>Johnson, Christopher:</t>
        </r>
        <r>
          <rPr>
            <sz val="9"/>
            <color indexed="81"/>
            <rFont val="Tahoma"/>
            <family val="2"/>
          </rPr>
          <t xml:space="preserve">
Based on usage.</t>
        </r>
      </text>
    </comment>
    <comment ref="W2" authorId="2">
      <text>
        <r>
          <rPr>
            <b/>
            <sz val="8"/>
            <color indexed="81"/>
            <rFont val="Tahoma"/>
            <family val="2"/>
          </rPr>
          <t>jmoline:</t>
        </r>
        <r>
          <rPr>
            <sz val="8"/>
            <color indexed="81"/>
            <rFont val="Tahoma"/>
            <family val="2"/>
          </rPr>
          <t xml:space="preserve">
Some manual manipulation of this column will be needed around the July 1 time.</t>
        </r>
      </text>
    </comment>
    <comment ref="X2" authorId="2">
      <text>
        <r>
          <rPr>
            <b/>
            <sz val="8"/>
            <color indexed="81"/>
            <rFont val="Tahoma"/>
            <family val="2"/>
          </rPr>
          <t>jmoline:</t>
        </r>
        <r>
          <rPr>
            <sz val="8"/>
            <color indexed="81"/>
            <rFont val="Tahoma"/>
            <family val="2"/>
          </rPr>
          <t xml:space="preserve">
Some manual manipulation of this column will be needed around the July 1 time.</t>
        </r>
      </text>
    </comment>
    <comment ref="AB2" authorId="0">
      <text>
        <r>
          <rPr>
            <b/>
            <sz val="10"/>
            <color indexed="81"/>
            <rFont val="Tahoma"/>
            <family val="2"/>
          </rPr>
          <t>cnelson:1/13/14</t>
        </r>
        <r>
          <rPr>
            <sz val="10"/>
            <color indexed="81"/>
            <rFont val="Tahoma"/>
            <family val="2"/>
          </rPr>
          <t xml:space="preserve">
Changed equation from R-T-W to Q-T-W</t>
        </r>
      </text>
    </comment>
    <comment ref="S5" authorId="0">
      <text>
        <r>
          <rPr>
            <b/>
            <sz val="10"/>
            <color indexed="81"/>
            <rFont val="Tahoma"/>
            <family val="2"/>
          </rPr>
          <t>cnelson:</t>
        </r>
        <r>
          <rPr>
            <sz val="10"/>
            <color indexed="81"/>
            <rFont val="Tahoma"/>
            <family val="2"/>
          </rPr>
          <t xml:space="preserve">
First day set to 0
</t>
        </r>
      </text>
    </comment>
    <comment ref="AI9" authorId="3">
      <text>
        <r>
          <rPr>
            <b/>
            <sz val="9"/>
            <color indexed="81"/>
            <rFont val="Tahoma"/>
            <family val="2"/>
          </rPr>
          <t>Moline, Jason:</t>
        </r>
        <r>
          <rPr>
            <sz val="9"/>
            <color indexed="81"/>
            <rFont val="Tahoma"/>
            <family val="2"/>
          </rPr>
          <t xml:space="preserve">
formula changed 9/27/17</t>
        </r>
      </text>
    </comment>
    <comment ref="W135" authorId="3">
      <text>
        <r>
          <rPr>
            <b/>
            <sz val="9"/>
            <color indexed="81"/>
            <rFont val="Tahoma"/>
            <family val="2"/>
          </rPr>
          <t>Moline, Jason:</t>
        </r>
        <r>
          <rPr>
            <sz val="9"/>
            <color indexed="81"/>
            <rFont val="Tahoma"/>
            <family val="2"/>
          </rPr>
          <t xml:space="preserve">
set to 5000</t>
        </r>
      </text>
    </comment>
    <comment ref="W182" authorId="3">
      <text>
        <r>
          <rPr>
            <b/>
            <sz val="9"/>
            <color indexed="81"/>
            <rFont val="Tahoma"/>
            <family val="2"/>
          </rPr>
          <t>Moline, Jason:</t>
        </r>
        <r>
          <rPr>
            <sz val="9"/>
            <color indexed="81"/>
            <rFont val="Tahoma"/>
            <family val="2"/>
          </rPr>
          <t xml:space="preserve">
10,000 AF donation</t>
        </r>
      </text>
    </comment>
    <comment ref="X183" authorId="3">
      <text>
        <r>
          <rPr>
            <b/>
            <sz val="9"/>
            <color indexed="81"/>
            <rFont val="Tahoma"/>
            <family val="2"/>
          </rPr>
          <t>Moline, Jason:</t>
        </r>
        <r>
          <rPr>
            <sz val="9"/>
            <color indexed="81"/>
            <rFont val="Tahoma"/>
            <family val="2"/>
          </rPr>
          <t xml:space="preserve">
revised to stay on guide curve</t>
        </r>
      </text>
    </comment>
    <comment ref="AB190" authorId="3">
      <text>
        <r>
          <rPr>
            <b/>
            <sz val="9"/>
            <color indexed="81"/>
            <rFont val="Tahoma"/>
            <family val="2"/>
          </rPr>
          <t>Moline, Jason:</t>
        </r>
        <r>
          <rPr>
            <sz val="9"/>
            <color indexed="81"/>
            <rFont val="Tahoma"/>
            <family val="2"/>
          </rPr>
          <t xml:space="preserve">
revised to stay on guide curve</t>
        </r>
      </text>
    </comment>
    <comment ref="AC190" authorId="3">
      <text>
        <r>
          <rPr>
            <b/>
            <sz val="9"/>
            <color indexed="81"/>
            <rFont val="Tahoma"/>
            <family val="2"/>
          </rPr>
          <t>Moline, Jason:</t>
        </r>
        <r>
          <rPr>
            <sz val="9"/>
            <color indexed="81"/>
            <rFont val="Tahoma"/>
            <family val="2"/>
          </rPr>
          <t xml:space="preserve">
revised formula to use 1135 water to stay on guide curve</t>
        </r>
      </text>
    </comment>
    <comment ref="X235" authorId="3">
      <text>
        <r>
          <rPr>
            <b/>
            <sz val="9"/>
            <color indexed="81"/>
            <rFont val="Tahoma"/>
            <family val="2"/>
          </rPr>
          <t>Moline, Jason:</t>
        </r>
        <r>
          <rPr>
            <sz val="9"/>
            <color indexed="81"/>
            <rFont val="Tahoma"/>
            <family val="2"/>
          </rPr>
          <t xml:space="preserve">
revised to stay on guide curve</t>
        </r>
      </text>
    </comment>
    <comment ref="AB235" authorId="3">
      <text>
        <r>
          <rPr>
            <b/>
            <sz val="9"/>
            <color indexed="81"/>
            <rFont val="Tahoma"/>
            <family val="2"/>
          </rPr>
          <t>Moline, Jason:</t>
        </r>
        <r>
          <rPr>
            <sz val="9"/>
            <color indexed="81"/>
            <rFont val="Tahoma"/>
            <family val="2"/>
          </rPr>
          <t xml:space="preserve">
revised to stay on guide curve</t>
        </r>
      </text>
    </comment>
    <comment ref="AC235" authorId="3">
      <text>
        <r>
          <rPr>
            <b/>
            <sz val="9"/>
            <color indexed="81"/>
            <rFont val="Tahoma"/>
            <family val="2"/>
          </rPr>
          <t>Moline, Jason:</t>
        </r>
        <r>
          <rPr>
            <sz val="9"/>
            <color indexed="81"/>
            <rFont val="Tahoma"/>
            <family val="2"/>
          </rPr>
          <t xml:space="preserve">
manually adjusted</t>
        </r>
      </text>
    </comment>
    <comment ref="AC236" authorId="3">
      <text>
        <r>
          <rPr>
            <b/>
            <sz val="9"/>
            <color indexed="81"/>
            <rFont val="Tahoma"/>
            <family val="2"/>
          </rPr>
          <t>Moline, Jason:</t>
        </r>
        <r>
          <rPr>
            <sz val="9"/>
            <color indexed="81"/>
            <rFont val="Tahoma"/>
            <family val="2"/>
          </rPr>
          <t xml:space="preserve">
revised formula to use 1135 water to stay on guide curve</t>
        </r>
      </text>
    </comment>
    <comment ref="AN241" authorId="0">
      <text>
        <r>
          <rPr>
            <b/>
            <sz val="10"/>
            <color indexed="81"/>
            <rFont val="Tahoma"/>
            <family val="2"/>
          </rPr>
          <t>cnelson: 2014.
values obtained from ACOE.</t>
        </r>
      </text>
    </comment>
    <comment ref="AN246" authorId="0">
      <text>
        <r>
          <rPr>
            <b/>
            <sz val="10"/>
            <color indexed="81"/>
            <rFont val="Tahoma"/>
            <family val="2"/>
          </rPr>
          <t>cnelson:</t>
        </r>
        <r>
          <rPr>
            <sz val="10"/>
            <color indexed="81"/>
            <rFont val="Tahoma"/>
            <family val="2"/>
          </rPr>
          <t xml:space="preserve">
Revised 1135 numbers per phone call with Ken with ACOE.</t>
        </r>
      </text>
    </comment>
    <comment ref="Y249" authorId="3">
      <text>
        <r>
          <rPr>
            <b/>
            <sz val="9"/>
            <color indexed="81"/>
            <rFont val="Tahoma"/>
            <family val="2"/>
          </rPr>
          <t>Moline, Jason:</t>
        </r>
        <r>
          <rPr>
            <sz val="9"/>
            <color indexed="81"/>
            <rFont val="Tahoma"/>
            <family val="2"/>
          </rPr>
          <t xml:space="preserve">
transfer of 2500 AF per Glen George</t>
        </r>
      </text>
    </comment>
  </commentList>
</comments>
</file>

<file path=xl/comments10.xml><?xml version="1.0" encoding="utf-8"?>
<comments xmlns="http://schemas.openxmlformats.org/spreadsheetml/2006/main">
  <authors>
    <author>cnelson</author>
  </authors>
  <commentList>
    <comment ref="M47" authorId="0">
      <text>
        <r>
          <rPr>
            <b/>
            <sz val="10"/>
            <color indexed="81"/>
            <rFont val="Tahoma"/>
            <family val="2"/>
          </rPr>
          <t>cnelson:</t>
        </r>
        <r>
          <rPr>
            <sz val="10"/>
            <color indexed="81"/>
            <rFont val="Tahoma"/>
            <family val="2"/>
          </rPr>
          <t xml:space="preserve">
must be current year.</t>
        </r>
      </text>
    </comment>
  </commentList>
</comments>
</file>

<file path=xl/comments2.xml><?xml version="1.0" encoding="utf-8"?>
<comments xmlns="http://schemas.openxmlformats.org/spreadsheetml/2006/main">
  <authors>
    <author>cnelson</author>
  </authors>
  <commentList>
    <comment ref="A17" authorId="0">
      <text>
        <r>
          <rPr>
            <b/>
            <sz val="10"/>
            <color indexed="81"/>
            <rFont val="Tahoma"/>
            <family val="2"/>
          </rPr>
          <t>cnelson:</t>
        </r>
        <r>
          <rPr>
            <sz val="10"/>
            <color indexed="81"/>
            <rFont val="Tahoma"/>
            <family val="2"/>
          </rPr>
          <t xml:space="preserve">
Only when pulling off of PL1.</t>
        </r>
      </text>
    </comment>
  </commentList>
</comments>
</file>

<file path=xl/comments3.xml><?xml version="1.0" encoding="utf-8"?>
<comments xmlns="http://schemas.openxmlformats.org/spreadsheetml/2006/main">
  <authors>
    <author>cjohnso2</author>
  </authors>
  <commentList>
    <comment ref="B109" authorId="0">
      <text>
        <r>
          <rPr>
            <b/>
            <sz val="8"/>
            <color indexed="81"/>
            <rFont val="Tahoma"/>
            <family val="2"/>
          </rPr>
          <t>cjohnso2:</t>
        </r>
        <r>
          <rPr>
            <sz val="8"/>
            <color indexed="81"/>
            <rFont val="Tahoma"/>
            <family val="2"/>
          </rPr>
          <t xml:space="preserve">
If above 1% check P1/P5 averages.</t>
        </r>
      </text>
    </comment>
  </commentList>
</comments>
</file>

<file path=xl/comments4.xml><?xml version="1.0" encoding="utf-8"?>
<comments xmlns="http://schemas.openxmlformats.org/spreadsheetml/2006/main">
  <authors>
    <author>jmoline</author>
  </authors>
  <commentList>
    <comment ref="V9" authorId="0">
      <text>
        <r>
          <rPr>
            <b/>
            <sz val="8"/>
            <color indexed="81"/>
            <rFont val="Tahoma"/>
            <family val="2"/>
          </rPr>
          <t>jmoline:</t>
        </r>
        <r>
          <rPr>
            <sz val="8"/>
            <color indexed="81"/>
            <rFont val="Tahoma"/>
            <family val="2"/>
          </rPr>
          <t xml:space="preserve">
changed reference from Sheet1!DT$8:DT$385 to 'Calculations II'!$BP$8:$BP$385 on 8-22-11</t>
        </r>
      </text>
    </comment>
  </commentList>
</comments>
</file>

<file path=xl/comments5.xml><?xml version="1.0" encoding="utf-8"?>
<comments xmlns="http://schemas.openxmlformats.org/spreadsheetml/2006/main">
  <authors>
    <author>Moline, Jason</author>
    <author>Nelson, Corey</author>
    <author>Vaughan, Stuart</author>
  </authors>
  <commentList>
    <comment ref="BJ7" authorId="0">
      <text>
        <r>
          <rPr>
            <b/>
            <sz val="9"/>
            <color indexed="81"/>
            <rFont val="Tahoma"/>
            <family val="2"/>
          </rPr>
          <t>Moline, Jason:</t>
        </r>
        <r>
          <rPr>
            <sz val="9"/>
            <color indexed="81"/>
            <rFont val="Tahoma"/>
            <family val="2"/>
          </rPr>
          <t xml:space="preserve">
not part of error calc</t>
        </r>
      </text>
    </comment>
    <comment ref="AB9" authorId="0">
      <text>
        <r>
          <rPr>
            <b/>
            <sz val="9"/>
            <color indexed="81"/>
            <rFont val="Tahoma"/>
            <family val="2"/>
          </rPr>
          <t>Moline, Jason:</t>
        </r>
        <r>
          <rPr>
            <sz val="9"/>
            <color indexed="81"/>
            <rFont val="Tahoma"/>
            <family val="2"/>
          </rPr>
          <t xml:space="preserve">
changed from 27.96 per SCADA</t>
        </r>
      </text>
    </comment>
    <comment ref="BI9" authorId="0">
      <text>
        <r>
          <rPr>
            <b/>
            <sz val="9"/>
            <color indexed="81"/>
            <rFont val="Tahoma"/>
            <family val="2"/>
          </rPr>
          <t>Moline, Jason:</t>
        </r>
        <r>
          <rPr>
            <sz val="9"/>
            <color indexed="81"/>
            <rFont val="Tahoma"/>
            <family val="2"/>
          </rPr>
          <t xml:space="preserve">
changed from 1.01 per SCADA</t>
        </r>
      </text>
    </comment>
    <comment ref="BK9" authorId="0">
      <text>
        <r>
          <rPr>
            <b/>
            <sz val="9"/>
            <color indexed="81"/>
            <rFont val="Tahoma"/>
            <family val="2"/>
          </rPr>
          <t>Moline, Jason:</t>
        </r>
        <r>
          <rPr>
            <sz val="9"/>
            <color indexed="81"/>
            <rFont val="Tahoma"/>
            <family val="2"/>
          </rPr>
          <t xml:space="preserve">
changed from 3.19 per SCADA</t>
        </r>
      </text>
    </comment>
    <comment ref="BL9" authorId="0">
      <text>
        <r>
          <rPr>
            <b/>
            <sz val="9"/>
            <color indexed="81"/>
            <rFont val="Tahoma"/>
            <family val="2"/>
          </rPr>
          <t>Moline, Jason:</t>
        </r>
        <r>
          <rPr>
            <sz val="9"/>
            <color indexed="81"/>
            <rFont val="Tahoma"/>
            <family val="2"/>
          </rPr>
          <t xml:space="preserve">
changed from 3.79 per SCADA</t>
        </r>
      </text>
    </comment>
    <comment ref="BN9" authorId="0">
      <text>
        <r>
          <rPr>
            <b/>
            <sz val="9"/>
            <color indexed="81"/>
            <rFont val="Tahoma"/>
            <family val="2"/>
          </rPr>
          <t>Moline, Jason:</t>
        </r>
        <r>
          <rPr>
            <sz val="9"/>
            <color indexed="81"/>
            <rFont val="Tahoma"/>
            <family val="2"/>
          </rPr>
          <t xml:space="preserve">
changed from 18.1 per SCADA</t>
        </r>
      </text>
    </comment>
    <comment ref="F15" authorId="0">
      <text>
        <r>
          <rPr>
            <b/>
            <sz val="9"/>
            <color indexed="81"/>
            <rFont val="Tahoma"/>
            <family val="2"/>
          </rPr>
          <t>Moline, Jason:</t>
        </r>
        <r>
          <rPr>
            <sz val="9"/>
            <color indexed="81"/>
            <rFont val="Tahoma"/>
            <family val="2"/>
          </rPr>
          <t xml:space="preserve">
changed from 2 to 20</t>
        </r>
      </text>
    </comment>
    <comment ref="E16" authorId="0">
      <text>
        <r>
          <rPr>
            <b/>
            <sz val="9"/>
            <color indexed="81"/>
            <rFont val="Tahoma"/>
            <family val="2"/>
          </rPr>
          <t>Moline, Jason:</t>
        </r>
        <r>
          <rPr>
            <sz val="9"/>
            <color indexed="81"/>
            <rFont val="Tahoma"/>
            <family val="2"/>
          </rPr>
          <t xml:space="preserve">
changed from 34.6 to 1.45</t>
        </r>
      </text>
    </comment>
    <comment ref="F16" authorId="0">
      <text>
        <r>
          <rPr>
            <b/>
            <sz val="9"/>
            <color indexed="81"/>
            <rFont val="Tahoma"/>
            <family val="2"/>
          </rPr>
          <t>Moline, Jason:</t>
        </r>
        <r>
          <rPr>
            <sz val="9"/>
            <color indexed="81"/>
            <rFont val="Tahoma"/>
            <family val="2"/>
          </rPr>
          <t xml:space="preserve">
changed from 1.45 to 34.6</t>
        </r>
      </text>
    </comment>
    <comment ref="EJ24" authorId="0">
      <text>
        <r>
          <rPr>
            <b/>
            <sz val="9"/>
            <color indexed="81"/>
            <rFont val="Tahoma"/>
            <family val="2"/>
          </rPr>
          <t>Moline, Jason:</t>
        </r>
        <r>
          <rPr>
            <sz val="9"/>
            <color indexed="81"/>
            <rFont val="Tahoma"/>
            <family val="2"/>
          </rPr>
          <t xml:space="preserve">
Per Fran, Covington has requested another 0.5 MGD</t>
        </r>
      </text>
    </comment>
    <comment ref="AB30" authorId="1">
      <text>
        <r>
          <rPr>
            <b/>
            <sz val="9"/>
            <color indexed="81"/>
            <rFont val="Tahoma"/>
            <family val="2"/>
          </rPr>
          <t xml:space="preserve">Moline, Jason:
</t>
        </r>
        <r>
          <rPr>
            <sz val="9"/>
            <color indexed="81"/>
            <rFont val="Tahoma"/>
            <family val="2"/>
          </rPr>
          <t>Changed to 25.20 per trend for P1 Valve Ctrl. 2/6/17</t>
        </r>
        <r>
          <rPr>
            <b/>
            <sz val="9"/>
            <color indexed="81"/>
            <rFont val="Tahoma"/>
            <family val="2"/>
          </rPr>
          <t xml:space="preserve">
Nelson, Corey:</t>
        </r>
        <r>
          <rPr>
            <sz val="9"/>
            <color indexed="81"/>
            <rFont val="Tahoma"/>
            <family val="2"/>
          </rPr>
          <t xml:space="preserve">
Changed from 23.16 to 24.9 per WinCC Trend for P5 FCF. 1/23/17</t>
        </r>
      </text>
    </comment>
    <comment ref="BI30" authorId="0">
      <text>
        <r>
          <rPr>
            <b/>
            <sz val="9"/>
            <color indexed="81"/>
            <rFont val="Tahoma"/>
            <family val="2"/>
          </rPr>
          <t>Moline, Jason:</t>
        </r>
        <r>
          <rPr>
            <sz val="9"/>
            <color indexed="81"/>
            <rFont val="Tahoma"/>
            <family val="2"/>
          </rPr>
          <t xml:space="preserve">
changed from 1.02</t>
        </r>
      </text>
    </comment>
    <comment ref="BJ30" authorId="0">
      <text>
        <r>
          <rPr>
            <b/>
            <sz val="9"/>
            <color indexed="81"/>
            <rFont val="Tahoma"/>
            <family val="2"/>
          </rPr>
          <t>Moline, Jason:</t>
        </r>
        <r>
          <rPr>
            <sz val="9"/>
            <color indexed="81"/>
            <rFont val="Tahoma"/>
            <family val="2"/>
          </rPr>
          <t xml:space="preserve">
changed from 21.2</t>
        </r>
      </text>
    </comment>
    <comment ref="BK30" authorId="0">
      <text>
        <r>
          <rPr>
            <b/>
            <sz val="9"/>
            <color indexed="81"/>
            <rFont val="Tahoma"/>
            <family val="2"/>
          </rPr>
          <t>Moline, Jason:</t>
        </r>
        <r>
          <rPr>
            <sz val="9"/>
            <color indexed="81"/>
            <rFont val="Tahoma"/>
            <family val="2"/>
          </rPr>
          <t xml:space="preserve">
changed from 2.69</t>
        </r>
      </text>
    </comment>
    <comment ref="BL30" authorId="0">
      <text>
        <r>
          <rPr>
            <b/>
            <sz val="9"/>
            <color indexed="81"/>
            <rFont val="Tahoma"/>
            <family val="2"/>
          </rPr>
          <t>Moline, Jason:</t>
        </r>
        <r>
          <rPr>
            <sz val="9"/>
            <color indexed="81"/>
            <rFont val="Tahoma"/>
            <family val="2"/>
          </rPr>
          <t xml:space="preserve">
changed from 3.89</t>
        </r>
      </text>
    </comment>
    <comment ref="BN30" authorId="0">
      <text>
        <r>
          <rPr>
            <b/>
            <sz val="9"/>
            <color indexed="81"/>
            <rFont val="Tahoma"/>
            <family val="2"/>
          </rPr>
          <t>Moline, Jason:</t>
        </r>
        <r>
          <rPr>
            <sz val="9"/>
            <color indexed="81"/>
            <rFont val="Tahoma"/>
            <family val="2"/>
          </rPr>
          <t xml:space="preserve">
changed from 14.8</t>
        </r>
      </text>
    </comment>
    <comment ref="G31" authorId="0">
      <text>
        <r>
          <rPr>
            <b/>
            <sz val="9"/>
            <color indexed="81"/>
            <rFont val="Tahoma"/>
            <family val="2"/>
          </rPr>
          <t>Moline, Jason:</t>
        </r>
        <r>
          <rPr>
            <sz val="9"/>
            <color indexed="81"/>
            <rFont val="Tahoma"/>
            <family val="2"/>
          </rPr>
          <t xml:space="preserve">
replaced 0.06 with 0.6</t>
        </r>
      </text>
    </comment>
    <comment ref="AB31" authorId="0">
      <text>
        <r>
          <rPr>
            <b/>
            <sz val="9"/>
            <color indexed="81"/>
            <rFont val="Tahoma"/>
            <family val="2"/>
          </rPr>
          <t>Moline, Jason:</t>
        </r>
        <r>
          <rPr>
            <sz val="9"/>
            <color indexed="81"/>
            <rFont val="Tahoma"/>
            <family val="2"/>
          </rPr>
          <t xml:space="preserve">
changed from 18.85</t>
        </r>
      </text>
    </comment>
    <comment ref="BI31" authorId="0">
      <text>
        <r>
          <rPr>
            <b/>
            <sz val="9"/>
            <color indexed="81"/>
            <rFont val="Tahoma"/>
            <family val="2"/>
          </rPr>
          <t>Moline, Jason:</t>
        </r>
        <r>
          <rPr>
            <sz val="9"/>
            <color indexed="81"/>
            <rFont val="Tahoma"/>
            <family val="2"/>
          </rPr>
          <t xml:space="preserve">
changed from 1.01</t>
        </r>
      </text>
    </comment>
    <comment ref="BJ31" authorId="0">
      <text>
        <r>
          <rPr>
            <b/>
            <sz val="9"/>
            <color indexed="81"/>
            <rFont val="Tahoma"/>
            <family val="2"/>
          </rPr>
          <t>Moline, Jason:</t>
        </r>
        <r>
          <rPr>
            <sz val="9"/>
            <color indexed="81"/>
            <rFont val="Tahoma"/>
            <family val="2"/>
          </rPr>
          <t xml:space="preserve">
changed from 14.9</t>
        </r>
      </text>
    </comment>
    <comment ref="BK31" authorId="0">
      <text>
        <r>
          <rPr>
            <b/>
            <sz val="9"/>
            <color indexed="81"/>
            <rFont val="Tahoma"/>
            <family val="2"/>
          </rPr>
          <t>Moline, Jason:</t>
        </r>
        <r>
          <rPr>
            <sz val="9"/>
            <color indexed="81"/>
            <rFont val="Tahoma"/>
            <family val="2"/>
          </rPr>
          <t xml:space="preserve">
changed from 2.9</t>
        </r>
      </text>
    </comment>
    <comment ref="BL31" authorId="0">
      <text>
        <r>
          <rPr>
            <b/>
            <sz val="9"/>
            <color indexed="81"/>
            <rFont val="Tahoma"/>
            <family val="2"/>
          </rPr>
          <t>Moline, Jason:</t>
        </r>
        <r>
          <rPr>
            <sz val="9"/>
            <color indexed="81"/>
            <rFont val="Tahoma"/>
            <family val="2"/>
          </rPr>
          <t xml:space="preserve">
changed from 3.57</t>
        </r>
      </text>
    </comment>
    <comment ref="BN31" authorId="0">
      <text>
        <r>
          <rPr>
            <b/>
            <sz val="9"/>
            <color indexed="81"/>
            <rFont val="Tahoma"/>
            <family val="2"/>
          </rPr>
          <t>Moline, Jason:</t>
        </r>
        <r>
          <rPr>
            <sz val="9"/>
            <color indexed="81"/>
            <rFont val="Tahoma"/>
            <family val="2"/>
          </rPr>
          <t xml:space="preserve">
changed from 8.6</t>
        </r>
      </text>
    </comment>
    <comment ref="AB32" authorId="0">
      <text>
        <r>
          <rPr>
            <b/>
            <sz val="9"/>
            <color indexed="81"/>
            <rFont val="Tahoma"/>
            <family val="2"/>
          </rPr>
          <t>Moline, Jason:</t>
        </r>
        <r>
          <rPr>
            <sz val="9"/>
            <color indexed="81"/>
            <rFont val="Tahoma"/>
            <family val="2"/>
          </rPr>
          <t xml:space="preserve">
changed from 17</t>
        </r>
      </text>
    </comment>
    <comment ref="BC32" authorId="0">
      <text>
        <r>
          <rPr>
            <b/>
            <sz val="9"/>
            <color indexed="81"/>
            <rFont val="Tahoma"/>
            <family val="2"/>
          </rPr>
          <t>Moline, Jason:</t>
        </r>
        <r>
          <rPr>
            <sz val="9"/>
            <color indexed="81"/>
            <rFont val="Tahoma"/>
            <family val="2"/>
          </rPr>
          <t xml:space="preserve">
changed from 0.49</t>
        </r>
      </text>
    </comment>
    <comment ref="BI32" authorId="0">
      <text>
        <r>
          <rPr>
            <b/>
            <sz val="9"/>
            <color indexed="81"/>
            <rFont val="Tahoma"/>
            <family val="2"/>
          </rPr>
          <t>Moline, Jason:</t>
        </r>
        <r>
          <rPr>
            <sz val="9"/>
            <color indexed="81"/>
            <rFont val="Tahoma"/>
            <family val="2"/>
          </rPr>
          <t xml:space="preserve">
changed from 1.01</t>
        </r>
      </text>
    </comment>
    <comment ref="BJ32" authorId="0">
      <text>
        <r>
          <rPr>
            <b/>
            <sz val="9"/>
            <color indexed="81"/>
            <rFont val="Tahoma"/>
            <family val="2"/>
          </rPr>
          <t>Moline, Jason:</t>
        </r>
        <r>
          <rPr>
            <sz val="9"/>
            <color indexed="81"/>
            <rFont val="Tahoma"/>
            <family val="2"/>
          </rPr>
          <t xml:space="preserve">
changed from 13</t>
        </r>
      </text>
    </comment>
    <comment ref="BK32" authorId="0">
      <text>
        <r>
          <rPr>
            <b/>
            <sz val="9"/>
            <color indexed="81"/>
            <rFont val="Tahoma"/>
            <family val="2"/>
          </rPr>
          <t>Moline, Jason:</t>
        </r>
        <r>
          <rPr>
            <sz val="9"/>
            <color indexed="81"/>
            <rFont val="Tahoma"/>
            <family val="2"/>
          </rPr>
          <t xml:space="preserve">
changed from 2.81</t>
        </r>
      </text>
    </comment>
    <comment ref="BL32" authorId="0">
      <text>
        <r>
          <rPr>
            <b/>
            <sz val="9"/>
            <color indexed="81"/>
            <rFont val="Tahoma"/>
            <family val="2"/>
          </rPr>
          <t>Moline, Jason:</t>
        </r>
        <r>
          <rPr>
            <sz val="9"/>
            <color indexed="81"/>
            <rFont val="Tahoma"/>
            <family val="2"/>
          </rPr>
          <t xml:space="preserve">
changed from 3.68</t>
        </r>
      </text>
    </comment>
    <comment ref="BN32" authorId="0">
      <text>
        <r>
          <rPr>
            <b/>
            <sz val="9"/>
            <color indexed="81"/>
            <rFont val="Tahoma"/>
            <family val="2"/>
          </rPr>
          <t>Moline, Jason:</t>
        </r>
        <r>
          <rPr>
            <sz val="9"/>
            <color indexed="81"/>
            <rFont val="Tahoma"/>
            <family val="2"/>
          </rPr>
          <t xml:space="preserve">
changed from 6.7</t>
        </r>
      </text>
    </comment>
    <comment ref="AB33" authorId="0">
      <text>
        <r>
          <rPr>
            <b/>
            <sz val="9"/>
            <color indexed="81"/>
            <rFont val="Tahoma"/>
            <family val="2"/>
          </rPr>
          <t>Moline, Jason:</t>
        </r>
        <r>
          <rPr>
            <sz val="9"/>
            <color indexed="81"/>
            <rFont val="Tahoma"/>
            <family val="2"/>
          </rPr>
          <t xml:space="preserve">
changed from 17</t>
        </r>
      </text>
    </comment>
    <comment ref="BI33" authorId="0">
      <text>
        <r>
          <rPr>
            <b/>
            <sz val="9"/>
            <color indexed="81"/>
            <rFont val="Tahoma"/>
            <family val="2"/>
          </rPr>
          <t>Moline, Jason:</t>
        </r>
        <r>
          <rPr>
            <sz val="9"/>
            <color indexed="81"/>
            <rFont val="Tahoma"/>
            <family val="2"/>
          </rPr>
          <t xml:space="preserve">
changed from 1.01</t>
        </r>
      </text>
    </comment>
    <comment ref="BJ33" authorId="0">
      <text>
        <r>
          <rPr>
            <b/>
            <sz val="9"/>
            <color indexed="81"/>
            <rFont val="Tahoma"/>
            <family val="2"/>
          </rPr>
          <t>Moline, Jason:</t>
        </r>
        <r>
          <rPr>
            <sz val="9"/>
            <color indexed="81"/>
            <rFont val="Tahoma"/>
            <family val="2"/>
          </rPr>
          <t xml:space="preserve">
changed from 13</t>
        </r>
      </text>
    </comment>
    <comment ref="BK33" authorId="0">
      <text>
        <r>
          <rPr>
            <b/>
            <sz val="9"/>
            <color indexed="81"/>
            <rFont val="Tahoma"/>
            <family val="2"/>
          </rPr>
          <t>Moline, Jason:</t>
        </r>
        <r>
          <rPr>
            <sz val="9"/>
            <color indexed="81"/>
            <rFont val="Tahoma"/>
            <family val="2"/>
          </rPr>
          <t xml:space="preserve">
changed from 2.91</t>
        </r>
      </text>
    </comment>
    <comment ref="BL33" authorId="0">
      <text>
        <r>
          <rPr>
            <b/>
            <sz val="9"/>
            <color indexed="81"/>
            <rFont val="Tahoma"/>
            <family val="2"/>
          </rPr>
          <t>Moline, Jason:</t>
        </r>
        <r>
          <rPr>
            <sz val="9"/>
            <color indexed="81"/>
            <rFont val="Tahoma"/>
            <family val="2"/>
          </rPr>
          <t xml:space="preserve">
changed from 3.57</t>
        </r>
      </text>
    </comment>
    <comment ref="BN33" authorId="0">
      <text>
        <r>
          <rPr>
            <b/>
            <sz val="9"/>
            <color indexed="81"/>
            <rFont val="Tahoma"/>
            <family val="2"/>
          </rPr>
          <t>Moline, Jason:</t>
        </r>
        <r>
          <rPr>
            <sz val="9"/>
            <color indexed="81"/>
            <rFont val="Tahoma"/>
            <family val="2"/>
          </rPr>
          <t xml:space="preserve">
changed from 6.7</t>
        </r>
      </text>
    </comment>
    <comment ref="CS33" authorId="0">
      <text>
        <r>
          <rPr>
            <b/>
            <sz val="9"/>
            <color indexed="81"/>
            <rFont val="Tahoma"/>
            <family val="2"/>
          </rPr>
          <t>Moline, Jason:</t>
        </r>
        <r>
          <rPr>
            <sz val="9"/>
            <color indexed="81"/>
            <rFont val="Tahoma"/>
            <family val="2"/>
          </rPr>
          <t xml:space="preserve">
changed from 0 since Well 8B ran</t>
        </r>
      </text>
    </comment>
    <comment ref="W34" authorId="0">
      <text>
        <r>
          <rPr>
            <b/>
            <sz val="9"/>
            <color indexed="81"/>
            <rFont val="Tahoma"/>
            <family val="2"/>
          </rPr>
          <t>Moline, Jason:</t>
        </r>
        <r>
          <rPr>
            <sz val="9"/>
            <color indexed="81"/>
            <rFont val="Tahoma"/>
            <family val="2"/>
          </rPr>
          <t xml:space="preserve">
changed from #VALUE!</t>
        </r>
      </text>
    </comment>
    <comment ref="AB34" authorId="0">
      <text>
        <r>
          <rPr>
            <b/>
            <sz val="9"/>
            <color indexed="81"/>
            <rFont val="Tahoma"/>
            <family val="2"/>
          </rPr>
          <t>Moline, Jason:</t>
        </r>
        <r>
          <rPr>
            <sz val="9"/>
            <color indexed="81"/>
            <rFont val="Tahoma"/>
            <family val="2"/>
          </rPr>
          <t xml:space="preserve">
changed from 17</t>
        </r>
      </text>
    </comment>
    <comment ref="BF34" authorId="1">
      <text>
        <r>
          <rPr>
            <b/>
            <sz val="9"/>
            <color indexed="81"/>
            <rFont val="Tahoma"/>
            <family val="2"/>
          </rPr>
          <t xml:space="preserve">Moline, Jason:
</t>
        </r>
        <r>
          <rPr>
            <sz val="9"/>
            <color indexed="81"/>
            <rFont val="Tahoma"/>
            <family val="2"/>
          </rPr>
          <t>Changed from 1.0</t>
        </r>
        <r>
          <rPr>
            <b/>
            <sz val="9"/>
            <color indexed="81"/>
            <rFont val="Tahoma"/>
            <family val="2"/>
          </rPr>
          <t xml:space="preserve">
Nelson, Corey:</t>
        </r>
        <r>
          <rPr>
            <sz val="9"/>
            <color indexed="81"/>
            <rFont val="Tahoma"/>
            <family val="2"/>
          </rPr>
          <t xml:space="preserve">
Changed from 0.14 to 1.0mgd.  CN 1/26/17</t>
        </r>
      </text>
    </comment>
    <comment ref="BI34" authorId="0">
      <text>
        <r>
          <rPr>
            <b/>
            <sz val="9"/>
            <color indexed="81"/>
            <rFont val="Tahoma"/>
            <family val="2"/>
          </rPr>
          <t>Moline, Jason:</t>
        </r>
        <r>
          <rPr>
            <sz val="9"/>
            <color indexed="81"/>
            <rFont val="Tahoma"/>
            <family val="2"/>
          </rPr>
          <t xml:space="preserve">
changed from 1.01</t>
        </r>
      </text>
    </comment>
    <comment ref="BJ34" authorId="0">
      <text>
        <r>
          <rPr>
            <b/>
            <sz val="9"/>
            <color indexed="81"/>
            <rFont val="Tahoma"/>
            <family val="2"/>
          </rPr>
          <t>Moline, Jason:</t>
        </r>
        <r>
          <rPr>
            <sz val="9"/>
            <color indexed="81"/>
            <rFont val="Tahoma"/>
            <family val="2"/>
          </rPr>
          <t xml:space="preserve">
changed from 13</t>
        </r>
      </text>
    </comment>
    <comment ref="BK34" authorId="0">
      <text>
        <r>
          <rPr>
            <b/>
            <sz val="9"/>
            <color indexed="81"/>
            <rFont val="Tahoma"/>
            <family val="2"/>
          </rPr>
          <t>Moline, Jason:</t>
        </r>
        <r>
          <rPr>
            <sz val="9"/>
            <color indexed="81"/>
            <rFont val="Tahoma"/>
            <family val="2"/>
          </rPr>
          <t xml:space="preserve">
changed from 2.95</t>
        </r>
      </text>
    </comment>
    <comment ref="BL34" authorId="0">
      <text>
        <r>
          <rPr>
            <b/>
            <sz val="9"/>
            <color indexed="81"/>
            <rFont val="Tahoma"/>
            <family val="2"/>
          </rPr>
          <t>Moline, Jason:</t>
        </r>
        <r>
          <rPr>
            <sz val="9"/>
            <color indexed="81"/>
            <rFont val="Tahoma"/>
            <family val="2"/>
          </rPr>
          <t xml:space="preserve">
changed from 3.53</t>
        </r>
      </text>
    </comment>
    <comment ref="BN34" authorId="0">
      <text>
        <r>
          <rPr>
            <b/>
            <sz val="9"/>
            <color indexed="81"/>
            <rFont val="Tahoma"/>
            <family val="2"/>
          </rPr>
          <t>Moline, Jason:</t>
        </r>
        <r>
          <rPr>
            <sz val="9"/>
            <color indexed="81"/>
            <rFont val="Tahoma"/>
            <family val="2"/>
          </rPr>
          <t xml:space="preserve">
changed from 6.7</t>
        </r>
      </text>
    </comment>
    <comment ref="BF35" authorId="1">
      <text>
        <r>
          <rPr>
            <b/>
            <sz val="9"/>
            <color indexed="81"/>
            <rFont val="Tahoma"/>
            <family val="2"/>
          </rPr>
          <t>Nelson, Corey:</t>
        </r>
        <r>
          <rPr>
            <sz val="9"/>
            <color indexed="81"/>
            <rFont val="Tahoma"/>
            <family val="2"/>
          </rPr>
          <t xml:space="preserve">
Changed from 0.14 to 1.00 due to SCADA issue.  Resolved today with CWD.  1/27/17.</t>
        </r>
      </text>
    </comment>
    <comment ref="AB36" authorId="0">
      <text>
        <r>
          <rPr>
            <b/>
            <sz val="9"/>
            <color indexed="81"/>
            <rFont val="Tahoma"/>
            <family val="2"/>
          </rPr>
          <t>Moline, Jason:</t>
        </r>
        <r>
          <rPr>
            <sz val="9"/>
            <color indexed="81"/>
            <rFont val="Tahoma"/>
            <family val="2"/>
          </rPr>
          <t xml:space="preserve">
changed from 19.96</t>
        </r>
      </text>
    </comment>
    <comment ref="BI36" authorId="0">
      <text>
        <r>
          <rPr>
            <b/>
            <sz val="9"/>
            <color indexed="81"/>
            <rFont val="Tahoma"/>
            <family val="2"/>
          </rPr>
          <t>Moline, Jason:</t>
        </r>
        <r>
          <rPr>
            <sz val="9"/>
            <color indexed="81"/>
            <rFont val="Tahoma"/>
            <family val="2"/>
          </rPr>
          <t xml:space="preserve">
changed from 1.01</t>
        </r>
      </text>
    </comment>
    <comment ref="BJ36" authorId="0">
      <text>
        <r>
          <rPr>
            <b/>
            <sz val="9"/>
            <color indexed="81"/>
            <rFont val="Tahoma"/>
            <family val="2"/>
          </rPr>
          <t>Moline, Jason:</t>
        </r>
        <r>
          <rPr>
            <sz val="9"/>
            <color indexed="81"/>
            <rFont val="Tahoma"/>
            <family val="2"/>
          </rPr>
          <t xml:space="preserve">
changed from 16</t>
        </r>
      </text>
    </comment>
    <comment ref="BK36" authorId="0">
      <text>
        <r>
          <rPr>
            <b/>
            <sz val="9"/>
            <color indexed="81"/>
            <rFont val="Tahoma"/>
            <family val="2"/>
          </rPr>
          <t>Moline, Jason:</t>
        </r>
        <r>
          <rPr>
            <sz val="9"/>
            <color indexed="81"/>
            <rFont val="Tahoma"/>
            <family val="2"/>
          </rPr>
          <t xml:space="preserve">
changed from 2.94</t>
        </r>
      </text>
    </comment>
    <comment ref="BL36" authorId="0">
      <text>
        <r>
          <rPr>
            <b/>
            <sz val="9"/>
            <color indexed="81"/>
            <rFont val="Tahoma"/>
            <family val="2"/>
          </rPr>
          <t>Moline, Jason:</t>
        </r>
        <r>
          <rPr>
            <sz val="9"/>
            <color indexed="81"/>
            <rFont val="Tahoma"/>
            <family val="2"/>
          </rPr>
          <t xml:space="preserve">
changed from 3.53</t>
        </r>
      </text>
    </comment>
    <comment ref="BN36" authorId="0">
      <text>
        <r>
          <rPr>
            <b/>
            <sz val="9"/>
            <color indexed="81"/>
            <rFont val="Tahoma"/>
            <family val="2"/>
          </rPr>
          <t>Moline, Jason:</t>
        </r>
        <r>
          <rPr>
            <sz val="9"/>
            <color indexed="81"/>
            <rFont val="Tahoma"/>
            <family val="2"/>
          </rPr>
          <t xml:space="preserve">
changed from 9.7</t>
        </r>
      </text>
    </comment>
    <comment ref="AB38" authorId="0">
      <text>
        <r>
          <rPr>
            <b/>
            <sz val="9"/>
            <color indexed="81"/>
            <rFont val="Tahoma"/>
            <family val="2"/>
          </rPr>
          <t>Moline, Jason:</t>
        </r>
        <r>
          <rPr>
            <sz val="9"/>
            <color indexed="81"/>
            <rFont val="Tahoma"/>
            <family val="2"/>
          </rPr>
          <t xml:space="preserve">
changed from 19.92</t>
        </r>
      </text>
    </comment>
    <comment ref="BI38" authorId="0">
      <text>
        <r>
          <rPr>
            <b/>
            <sz val="9"/>
            <color indexed="81"/>
            <rFont val="Tahoma"/>
            <family val="2"/>
          </rPr>
          <t>Moline, Jason:</t>
        </r>
        <r>
          <rPr>
            <sz val="9"/>
            <color indexed="81"/>
            <rFont val="Tahoma"/>
            <family val="2"/>
          </rPr>
          <t xml:space="preserve">
changed from 1.01</t>
        </r>
      </text>
    </comment>
    <comment ref="BJ38" authorId="0">
      <text>
        <r>
          <rPr>
            <b/>
            <sz val="9"/>
            <color indexed="81"/>
            <rFont val="Tahoma"/>
            <family val="2"/>
          </rPr>
          <t>Moline, Jason:</t>
        </r>
        <r>
          <rPr>
            <sz val="9"/>
            <color indexed="81"/>
            <rFont val="Tahoma"/>
            <family val="2"/>
          </rPr>
          <t xml:space="preserve">
changed from 16</t>
        </r>
      </text>
    </comment>
    <comment ref="BK38" authorId="0">
      <text>
        <r>
          <rPr>
            <b/>
            <sz val="9"/>
            <color indexed="81"/>
            <rFont val="Tahoma"/>
            <family val="2"/>
          </rPr>
          <t>Moline, Jason:</t>
        </r>
        <r>
          <rPr>
            <sz val="9"/>
            <color indexed="81"/>
            <rFont val="Tahoma"/>
            <family val="2"/>
          </rPr>
          <t xml:space="preserve">
changed from 2.95</t>
        </r>
      </text>
    </comment>
    <comment ref="BL38" authorId="0">
      <text>
        <r>
          <rPr>
            <b/>
            <sz val="9"/>
            <color indexed="81"/>
            <rFont val="Tahoma"/>
            <family val="2"/>
          </rPr>
          <t>Moline, Jason:</t>
        </r>
        <r>
          <rPr>
            <sz val="9"/>
            <color indexed="81"/>
            <rFont val="Tahoma"/>
            <family val="2"/>
          </rPr>
          <t xml:space="preserve">
changed from 3.53</t>
        </r>
      </text>
    </comment>
    <comment ref="BN38" authorId="0">
      <text>
        <r>
          <rPr>
            <b/>
            <sz val="9"/>
            <color indexed="81"/>
            <rFont val="Tahoma"/>
            <family val="2"/>
          </rPr>
          <t>Moline, Jason:</t>
        </r>
        <r>
          <rPr>
            <sz val="9"/>
            <color indexed="81"/>
            <rFont val="Tahoma"/>
            <family val="2"/>
          </rPr>
          <t xml:space="preserve">
changed from 9.7</t>
        </r>
      </text>
    </comment>
    <comment ref="E39" authorId="0">
      <text>
        <r>
          <rPr>
            <b/>
            <sz val="9"/>
            <color indexed="81"/>
            <rFont val="Tahoma"/>
            <family val="2"/>
          </rPr>
          <t>Moline, Jason:</t>
        </r>
        <r>
          <rPr>
            <sz val="9"/>
            <color indexed="81"/>
            <rFont val="Tahoma"/>
            <family val="2"/>
          </rPr>
          <t xml:space="preserve">
replaced 38 with 0</t>
        </r>
      </text>
    </comment>
    <comment ref="J39" authorId="0">
      <text>
        <r>
          <rPr>
            <b/>
            <sz val="9"/>
            <color indexed="81"/>
            <rFont val="Tahoma"/>
            <family val="2"/>
          </rPr>
          <t>Moline, Jason:</t>
        </r>
        <r>
          <rPr>
            <sz val="9"/>
            <color indexed="81"/>
            <rFont val="Tahoma"/>
            <family val="2"/>
          </rPr>
          <t xml:space="preserve">
replacing blank with 0</t>
        </r>
      </text>
    </comment>
    <comment ref="AB41" authorId="0">
      <text>
        <r>
          <rPr>
            <b/>
            <sz val="9"/>
            <color indexed="81"/>
            <rFont val="Tahoma"/>
            <family val="2"/>
          </rPr>
          <t>Moline, Jason:</t>
        </r>
        <r>
          <rPr>
            <sz val="9"/>
            <color indexed="81"/>
            <rFont val="Tahoma"/>
            <family val="2"/>
          </rPr>
          <t xml:space="preserve">
changed from 20.5 per SCADA</t>
        </r>
      </text>
    </comment>
    <comment ref="AB42" authorId="0">
      <text>
        <r>
          <rPr>
            <b/>
            <sz val="9"/>
            <color indexed="81"/>
            <rFont val="Tahoma"/>
            <family val="2"/>
          </rPr>
          <t>Moline, Jason:</t>
        </r>
        <r>
          <rPr>
            <sz val="9"/>
            <color indexed="81"/>
            <rFont val="Tahoma"/>
            <family val="2"/>
          </rPr>
          <t xml:space="preserve">
changed from 24.35</t>
        </r>
      </text>
    </comment>
    <comment ref="BI42" authorId="0">
      <text>
        <r>
          <rPr>
            <b/>
            <sz val="9"/>
            <color indexed="81"/>
            <rFont val="Tahoma"/>
            <family val="2"/>
          </rPr>
          <t>Moline, Jason:</t>
        </r>
        <r>
          <rPr>
            <sz val="9"/>
            <color indexed="81"/>
            <rFont val="Tahoma"/>
            <family val="2"/>
          </rPr>
          <t xml:space="preserve">
changed from 1.31</t>
        </r>
      </text>
    </comment>
    <comment ref="BJ42" authorId="0">
      <text>
        <r>
          <rPr>
            <b/>
            <sz val="9"/>
            <color indexed="81"/>
            <rFont val="Tahoma"/>
            <family val="2"/>
          </rPr>
          <t>Moline, Jason:</t>
        </r>
        <r>
          <rPr>
            <sz val="9"/>
            <color indexed="81"/>
            <rFont val="Tahoma"/>
            <family val="2"/>
          </rPr>
          <t xml:space="preserve">
changed from 20.4</t>
        </r>
      </text>
    </comment>
    <comment ref="BK42" authorId="0">
      <text>
        <r>
          <rPr>
            <b/>
            <sz val="9"/>
            <color indexed="81"/>
            <rFont val="Tahoma"/>
            <family val="2"/>
          </rPr>
          <t>Moline, Jason:</t>
        </r>
        <r>
          <rPr>
            <sz val="9"/>
            <color indexed="81"/>
            <rFont val="Tahoma"/>
            <family val="2"/>
          </rPr>
          <t xml:space="preserve">
changed from 2.95</t>
        </r>
      </text>
    </comment>
    <comment ref="BL42" authorId="0">
      <text>
        <r>
          <rPr>
            <b/>
            <sz val="9"/>
            <color indexed="81"/>
            <rFont val="Tahoma"/>
            <family val="2"/>
          </rPr>
          <t>Moline, Jason:</t>
        </r>
        <r>
          <rPr>
            <sz val="9"/>
            <color indexed="81"/>
            <rFont val="Tahoma"/>
            <family val="2"/>
          </rPr>
          <t xml:space="preserve">
changed from 3.53</t>
        </r>
      </text>
    </comment>
    <comment ref="BN42" authorId="0">
      <text>
        <r>
          <rPr>
            <b/>
            <sz val="9"/>
            <color indexed="81"/>
            <rFont val="Tahoma"/>
            <family val="2"/>
          </rPr>
          <t>Moline, Jason:</t>
        </r>
        <r>
          <rPr>
            <sz val="9"/>
            <color indexed="81"/>
            <rFont val="Tahoma"/>
            <family val="2"/>
          </rPr>
          <t xml:space="preserve">
changed from 14</t>
        </r>
      </text>
    </comment>
    <comment ref="CT43" authorId="0">
      <text>
        <r>
          <rPr>
            <b/>
            <sz val="9"/>
            <color indexed="81"/>
            <rFont val="Tahoma"/>
            <family val="2"/>
          </rPr>
          <t>Moline, Jason:</t>
        </r>
        <r>
          <rPr>
            <sz val="9"/>
            <color indexed="81"/>
            <rFont val="Tahoma"/>
            <family val="2"/>
          </rPr>
          <t xml:space="preserve">
changed from 41 to 13.809</t>
        </r>
      </text>
    </comment>
    <comment ref="CU43" authorId="0">
      <text>
        <r>
          <rPr>
            <b/>
            <sz val="9"/>
            <color indexed="81"/>
            <rFont val="Tahoma"/>
            <family val="2"/>
          </rPr>
          <t>Moline, Jason:</t>
        </r>
        <r>
          <rPr>
            <sz val="9"/>
            <color indexed="81"/>
            <rFont val="Tahoma"/>
            <family val="2"/>
          </rPr>
          <t xml:space="preserve">
changed from 13.809 to 41</t>
        </r>
      </text>
    </comment>
    <comment ref="BC50" authorId="0">
      <text>
        <r>
          <rPr>
            <b/>
            <sz val="9"/>
            <color indexed="81"/>
            <rFont val="Tahoma"/>
            <family val="2"/>
          </rPr>
          <t>Moline, Jason:</t>
        </r>
        <r>
          <rPr>
            <sz val="9"/>
            <color indexed="81"/>
            <rFont val="Tahoma"/>
            <family val="2"/>
          </rPr>
          <t xml:space="preserve">
changed from 0.57 per SCADA</t>
        </r>
      </text>
    </comment>
    <comment ref="BK50" authorId="0">
      <text>
        <r>
          <rPr>
            <b/>
            <sz val="9"/>
            <color indexed="81"/>
            <rFont val="Tahoma"/>
            <family val="2"/>
          </rPr>
          <t>Moline, Jason:</t>
        </r>
        <r>
          <rPr>
            <sz val="9"/>
            <color indexed="81"/>
            <rFont val="Tahoma"/>
            <family val="2"/>
          </rPr>
          <t xml:space="preserve">
changed from 3.32 per SCADA</t>
        </r>
      </text>
    </comment>
    <comment ref="CK50" authorId="1">
      <text>
        <r>
          <rPr>
            <b/>
            <sz val="9"/>
            <color indexed="81"/>
            <rFont val="Tahoma"/>
            <family val="2"/>
          </rPr>
          <t>Nelson, Corey:</t>
        </r>
        <r>
          <rPr>
            <sz val="9"/>
            <color indexed="81"/>
            <rFont val="Tahoma"/>
            <family val="2"/>
          </rPr>
          <t xml:space="preserve">
Generator shut down due to water infliltration into building/hydro lubrication system.  2/13/17.</t>
        </r>
      </text>
    </comment>
    <comment ref="AB51" authorId="0">
      <text>
        <r>
          <rPr>
            <b/>
            <sz val="9"/>
            <color indexed="81"/>
            <rFont val="Tahoma"/>
            <family val="2"/>
          </rPr>
          <t>Moline, Jason:</t>
        </r>
        <r>
          <rPr>
            <sz val="9"/>
            <color indexed="81"/>
            <rFont val="Tahoma"/>
            <family val="2"/>
          </rPr>
          <t xml:space="preserve">
changed from 29.9 per SCADA</t>
        </r>
      </text>
    </comment>
    <comment ref="AB54" authorId="0">
      <text>
        <r>
          <rPr>
            <b/>
            <sz val="9"/>
            <color indexed="81"/>
            <rFont val="Tahoma"/>
            <family val="2"/>
          </rPr>
          <t>Moline, Jason:</t>
        </r>
        <r>
          <rPr>
            <sz val="9"/>
            <color indexed="81"/>
            <rFont val="Tahoma"/>
            <family val="2"/>
          </rPr>
          <t xml:space="preserve">
changed from 29.4 per SCADA</t>
        </r>
      </text>
    </comment>
    <comment ref="L55" authorId="0">
      <text>
        <r>
          <rPr>
            <b/>
            <sz val="9"/>
            <color indexed="81"/>
            <rFont val="Tahoma"/>
            <family val="2"/>
          </rPr>
          <t>Moline, Jason:</t>
        </r>
        <r>
          <rPr>
            <sz val="9"/>
            <color indexed="81"/>
            <rFont val="Tahoma"/>
            <family val="2"/>
          </rPr>
          <t xml:space="preserve">
changed from 29885.31 per SCADA</t>
        </r>
      </text>
    </comment>
    <comment ref="R55" authorId="0">
      <text>
        <r>
          <rPr>
            <b/>
            <sz val="9"/>
            <color indexed="81"/>
            <rFont val="Tahoma"/>
            <family val="2"/>
          </rPr>
          <t>Moline, Jason:</t>
        </r>
        <r>
          <rPr>
            <sz val="9"/>
            <color indexed="81"/>
            <rFont val="Tahoma"/>
            <family val="2"/>
          </rPr>
          <t xml:space="preserve">
changed from 895846.43372093</t>
        </r>
      </text>
    </comment>
    <comment ref="AT55" authorId="1">
      <text>
        <r>
          <rPr>
            <b/>
            <sz val="9"/>
            <color indexed="81"/>
            <rFont val="Tahoma"/>
            <family val="2"/>
          </rPr>
          <t>Nelson, Corey:</t>
        </r>
        <r>
          <rPr>
            <sz val="9"/>
            <color indexed="81"/>
            <rFont val="Tahoma"/>
            <family val="2"/>
          </rPr>
          <t xml:space="preserve">
10/17/17 - added Bonney Lake February consumption based on meter reads provided by Jim Goodman.</t>
        </r>
      </text>
    </comment>
    <comment ref="AB61" authorId="0">
      <text>
        <r>
          <rPr>
            <b/>
            <sz val="9"/>
            <color indexed="81"/>
            <rFont val="Tahoma"/>
            <family val="2"/>
          </rPr>
          <t>Moline, Jason:</t>
        </r>
        <r>
          <rPr>
            <sz val="9"/>
            <color indexed="81"/>
            <rFont val="Tahoma"/>
            <family val="2"/>
          </rPr>
          <t xml:space="preserve">
changed from 29.9 per SCADA</t>
        </r>
      </text>
    </comment>
    <comment ref="CS62" authorId="1">
      <text>
        <r>
          <rPr>
            <b/>
            <sz val="9"/>
            <color indexed="81"/>
            <rFont val="Tahoma"/>
            <family val="2"/>
          </rPr>
          <t>Nelson, Corey: 2017</t>
        </r>
        <r>
          <rPr>
            <sz val="9"/>
            <color indexed="81"/>
            <rFont val="Tahoma"/>
            <family val="2"/>
          </rPr>
          <t xml:space="preserve">
Ran wells to test 5A for electrical and to calibrate treatment meter for upcoming corrosion control evaluation/testing.  C. Nelson.</t>
        </r>
      </text>
    </comment>
    <comment ref="AB69" authorId="0">
      <text>
        <r>
          <rPr>
            <b/>
            <sz val="9"/>
            <color indexed="81"/>
            <rFont val="Tahoma"/>
            <family val="2"/>
          </rPr>
          <t>Moline, Jason:</t>
        </r>
        <r>
          <rPr>
            <sz val="9"/>
            <color indexed="81"/>
            <rFont val="Tahoma"/>
            <family val="2"/>
          </rPr>
          <t xml:space="preserve">
changed from 29.8 per SCADA</t>
        </r>
      </text>
    </comment>
    <comment ref="BI69" authorId="0">
      <text>
        <r>
          <rPr>
            <b/>
            <sz val="9"/>
            <color indexed="81"/>
            <rFont val="Tahoma"/>
            <family val="2"/>
          </rPr>
          <t>Moline, Jason:</t>
        </r>
        <r>
          <rPr>
            <sz val="9"/>
            <color indexed="81"/>
            <rFont val="Tahoma"/>
            <family val="2"/>
          </rPr>
          <t xml:space="preserve">
changed from 0.48 (Yesterday Totatl Flow) per SCADA trending 24-hour average</t>
        </r>
      </text>
    </comment>
    <comment ref="AB77" authorId="0">
      <text>
        <r>
          <rPr>
            <b/>
            <sz val="9"/>
            <color indexed="81"/>
            <rFont val="Tahoma"/>
            <family val="2"/>
          </rPr>
          <t>Moline, Jason:</t>
        </r>
        <r>
          <rPr>
            <sz val="9"/>
            <color indexed="81"/>
            <rFont val="Tahoma"/>
            <family val="2"/>
          </rPr>
          <t xml:space="preserve">
changed from 27.6 per SCADA</t>
        </r>
      </text>
    </comment>
    <comment ref="AB79" authorId="0">
      <text>
        <r>
          <rPr>
            <b/>
            <sz val="9"/>
            <color indexed="81"/>
            <rFont val="Tahoma"/>
            <family val="2"/>
          </rPr>
          <t>Moline, Jason:</t>
        </r>
        <r>
          <rPr>
            <sz val="9"/>
            <color indexed="81"/>
            <rFont val="Tahoma"/>
            <family val="2"/>
          </rPr>
          <t xml:space="preserve">
changed from 26.9 per SCADA</t>
        </r>
      </text>
    </comment>
    <comment ref="AB81" authorId="0">
      <text>
        <r>
          <rPr>
            <b/>
            <sz val="9"/>
            <color indexed="81"/>
            <rFont val="Tahoma"/>
            <family val="2"/>
          </rPr>
          <t>Moline, Jason:</t>
        </r>
        <r>
          <rPr>
            <sz val="9"/>
            <color indexed="81"/>
            <rFont val="Tahoma"/>
            <family val="2"/>
          </rPr>
          <t xml:space="preserve">
changed from 27.87 per SCADA</t>
        </r>
      </text>
    </comment>
    <comment ref="AB82" authorId="0">
      <text>
        <r>
          <rPr>
            <b/>
            <sz val="9"/>
            <color indexed="81"/>
            <rFont val="Tahoma"/>
            <family val="2"/>
          </rPr>
          <t>Moline, Jason:</t>
        </r>
        <r>
          <rPr>
            <sz val="9"/>
            <color indexed="81"/>
            <rFont val="Tahoma"/>
            <family val="2"/>
          </rPr>
          <t xml:space="preserve">
changed from 28.64 per SCADA</t>
        </r>
      </text>
    </comment>
    <comment ref="AA84" authorId="0">
      <text>
        <r>
          <rPr>
            <b/>
            <sz val="9"/>
            <color indexed="81"/>
            <rFont val="Tahoma"/>
            <family val="2"/>
          </rPr>
          <t>Moline, Jason:</t>
        </r>
        <r>
          <rPr>
            <sz val="9"/>
            <color indexed="81"/>
            <rFont val="Tahoma"/>
            <family val="2"/>
          </rPr>
          <t xml:space="preserve">
changed from 24.69</t>
        </r>
      </text>
    </comment>
    <comment ref="AB84" authorId="0">
      <text>
        <r>
          <rPr>
            <b/>
            <sz val="9"/>
            <color indexed="81"/>
            <rFont val="Tahoma"/>
            <family val="2"/>
          </rPr>
          <t>Moline, Jason:</t>
        </r>
        <r>
          <rPr>
            <sz val="9"/>
            <color indexed="81"/>
            <rFont val="Tahoma"/>
            <family val="2"/>
          </rPr>
          <t xml:space="preserve">
changed from 29.6</t>
        </r>
      </text>
    </comment>
    <comment ref="BK86" authorId="0">
      <text>
        <r>
          <rPr>
            <b/>
            <sz val="9"/>
            <color indexed="81"/>
            <rFont val="Tahoma"/>
            <family val="2"/>
          </rPr>
          <t>Moline, Jason:</t>
        </r>
        <r>
          <rPr>
            <sz val="9"/>
            <color indexed="81"/>
            <rFont val="Tahoma"/>
            <family val="2"/>
          </rPr>
          <t xml:space="preserve">
changed from 2.25</t>
        </r>
      </text>
    </comment>
    <comment ref="AS89" authorId="2">
      <text>
        <r>
          <rPr>
            <b/>
            <sz val="9"/>
            <color indexed="81"/>
            <rFont val="Tahoma"/>
            <family val="2"/>
          </rPr>
          <t>Vaughan, Stuart:</t>
        </r>
        <r>
          <rPr>
            <sz val="9"/>
            <color indexed="81"/>
            <rFont val="Tahoma"/>
            <family val="2"/>
          </rPr>
          <t xml:space="preserve">
comm failure from 9am 3/21 to 1 am 3/22
</t>
        </r>
      </text>
    </comment>
    <comment ref="AT89" authorId="1">
      <text>
        <r>
          <rPr>
            <b/>
            <sz val="9"/>
            <color indexed="81"/>
            <rFont val="Tahoma"/>
            <family val="2"/>
          </rPr>
          <t>Nelson, Corey:</t>
        </r>
        <r>
          <rPr>
            <sz val="9"/>
            <color indexed="81"/>
            <rFont val="Tahoma"/>
            <family val="2"/>
          </rPr>
          <t xml:space="preserve">
10/6/17. Changed from 0.0 to 0.58 per WinCC trend.</t>
        </r>
      </text>
    </comment>
    <comment ref="AT90" authorId="1">
      <text>
        <r>
          <rPr>
            <b/>
            <sz val="9"/>
            <color indexed="81"/>
            <rFont val="Tahoma"/>
            <family val="2"/>
          </rPr>
          <t>Nelson, Corey:</t>
        </r>
        <r>
          <rPr>
            <sz val="9"/>
            <color indexed="81"/>
            <rFont val="Tahoma"/>
            <family val="2"/>
          </rPr>
          <t xml:space="preserve">
10/6/17.  Changed from 0.0 to 0.93 per WinCC trend.</t>
        </r>
      </text>
    </comment>
    <comment ref="AT91" authorId="1">
      <text>
        <r>
          <rPr>
            <b/>
            <sz val="9"/>
            <color indexed="81"/>
            <rFont val="Tahoma"/>
            <family val="2"/>
          </rPr>
          <t>Nelson, Corey:</t>
        </r>
        <r>
          <rPr>
            <sz val="9"/>
            <color indexed="81"/>
            <rFont val="Tahoma"/>
            <family val="2"/>
          </rPr>
          <t xml:space="preserve">
10/6/17.  Changed from 0.0 to 0.39 per WinCC trend.</t>
        </r>
      </text>
    </comment>
    <comment ref="D96" authorId="0">
      <text>
        <r>
          <rPr>
            <b/>
            <sz val="9"/>
            <color indexed="81"/>
            <rFont val="Tahoma"/>
            <family val="2"/>
          </rPr>
          <t>Moline, Jason:</t>
        </r>
        <r>
          <rPr>
            <sz val="9"/>
            <color indexed="81"/>
            <rFont val="Tahoma"/>
            <family val="2"/>
          </rPr>
          <t xml:space="preserve">
changed from 58 to 0.58</t>
        </r>
      </text>
    </comment>
    <comment ref="CS98" authorId="0">
      <text>
        <r>
          <rPr>
            <b/>
            <sz val="9"/>
            <color indexed="81"/>
            <rFont val="Tahoma"/>
            <family val="2"/>
          </rPr>
          <t>Moline, Jason:</t>
        </r>
        <r>
          <rPr>
            <sz val="9"/>
            <color indexed="81"/>
            <rFont val="Tahoma"/>
            <family val="2"/>
          </rPr>
          <t xml:space="preserve">
changed from 15.56 to 0</t>
        </r>
      </text>
    </comment>
    <comment ref="CT98" authorId="0">
      <text>
        <r>
          <rPr>
            <b/>
            <sz val="9"/>
            <color indexed="81"/>
            <rFont val="Tahoma"/>
            <family val="2"/>
          </rPr>
          <t>Moline, Jason:</t>
        </r>
        <r>
          <rPr>
            <sz val="9"/>
            <color indexed="81"/>
            <rFont val="Tahoma"/>
            <family val="2"/>
          </rPr>
          <t xml:space="preserve">
changed from 45 to 15.56</t>
        </r>
      </text>
    </comment>
    <comment ref="CU98" authorId="0">
      <text>
        <r>
          <rPr>
            <b/>
            <sz val="9"/>
            <color indexed="81"/>
            <rFont val="Tahoma"/>
            <family val="2"/>
          </rPr>
          <t>Moline, Jason:</t>
        </r>
        <r>
          <rPr>
            <sz val="9"/>
            <color indexed="81"/>
            <rFont val="Tahoma"/>
            <family val="2"/>
          </rPr>
          <t xml:space="preserve">
changed from 0 to 45</t>
        </r>
      </text>
    </comment>
    <comment ref="AB101" authorId="0">
      <text>
        <r>
          <rPr>
            <b/>
            <sz val="9"/>
            <color indexed="81"/>
            <rFont val="Tahoma"/>
            <family val="2"/>
          </rPr>
          <t>Moline, Jason:</t>
        </r>
        <r>
          <rPr>
            <sz val="9"/>
            <color indexed="81"/>
            <rFont val="Tahoma"/>
            <family val="2"/>
          </rPr>
          <t xml:space="preserve">
changed from 26.9</t>
        </r>
      </text>
    </comment>
    <comment ref="AB105" authorId="0">
      <text>
        <r>
          <rPr>
            <b/>
            <sz val="9"/>
            <color indexed="81"/>
            <rFont val="Tahoma"/>
            <family val="2"/>
          </rPr>
          <t>Moline, Jason:</t>
        </r>
        <r>
          <rPr>
            <sz val="9"/>
            <color indexed="81"/>
            <rFont val="Tahoma"/>
            <family val="2"/>
          </rPr>
          <t xml:space="preserve">
changed from 26.9</t>
        </r>
      </text>
    </comment>
    <comment ref="AB107" authorId="0">
      <text>
        <r>
          <rPr>
            <b/>
            <sz val="9"/>
            <color indexed="81"/>
            <rFont val="Tahoma"/>
            <family val="2"/>
          </rPr>
          <t>Moline, Jason:</t>
        </r>
        <r>
          <rPr>
            <sz val="9"/>
            <color indexed="81"/>
            <rFont val="Tahoma"/>
            <family val="2"/>
          </rPr>
          <t xml:space="preserve">
changed from 26.9</t>
        </r>
      </text>
    </comment>
    <comment ref="AB108" authorId="0">
      <text>
        <r>
          <rPr>
            <b/>
            <sz val="9"/>
            <color indexed="81"/>
            <rFont val="Tahoma"/>
            <family val="2"/>
          </rPr>
          <t>Moline, Jason:</t>
        </r>
        <r>
          <rPr>
            <sz val="9"/>
            <color indexed="81"/>
            <rFont val="Tahoma"/>
            <family val="2"/>
          </rPr>
          <t xml:space="preserve">
changed from 26</t>
        </r>
      </text>
    </comment>
    <comment ref="AB109" authorId="0">
      <text>
        <r>
          <rPr>
            <b/>
            <sz val="9"/>
            <color indexed="81"/>
            <rFont val="Tahoma"/>
            <family val="2"/>
          </rPr>
          <t>Moline, Jason:</t>
        </r>
        <r>
          <rPr>
            <sz val="9"/>
            <color indexed="81"/>
            <rFont val="Tahoma"/>
            <family val="2"/>
          </rPr>
          <t xml:space="preserve">
changed from 26.73</t>
        </r>
      </text>
    </comment>
    <comment ref="CD112" authorId="0">
      <text>
        <r>
          <rPr>
            <b/>
            <sz val="9"/>
            <color indexed="81"/>
            <rFont val="Tahoma"/>
            <family val="2"/>
          </rPr>
          <t>Moline, Jason:</t>
        </r>
        <r>
          <rPr>
            <sz val="9"/>
            <color indexed="81"/>
            <rFont val="Tahoma"/>
            <family val="2"/>
          </rPr>
          <t xml:space="preserve">
changed from 8.2</t>
        </r>
      </text>
    </comment>
    <comment ref="CE112" authorId="0">
      <text>
        <r>
          <rPr>
            <b/>
            <sz val="9"/>
            <color indexed="81"/>
            <rFont val="Tahoma"/>
            <family val="2"/>
          </rPr>
          <t>Moline, Jason:</t>
        </r>
        <r>
          <rPr>
            <sz val="9"/>
            <color indexed="81"/>
            <rFont val="Tahoma"/>
            <family val="2"/>
          </rPr>
          <t xml:space="preserve">
changed from 15.2</t>
        </r>
      </text>
    </comment>
    <comment ref="CF112" authorId="0">
      <text>
        <r>
          <rPr>
            <b/>
            <sz val="9"/>
            <color indexed="81"/>
            <rFont val="Tahoma"/>
            <family val="2"/>
          </rPr>
          <t>Moline, Jason:</t>
        </r>
        <r>
          <rPr>
            <sz val="9"/>
            <color indexed="81"/>
            <rFont val="Tahoma"/>
            <family val="2"/>
          </rPr>
          <t xml:space="preserve">
changed from 34.1</t>
        </r>
      </text>
    </comment>
    <comment ref="AB115" authorId="0">
      <text>
        <r>
          <rPr>
            <b/>
            <sz val="9"/>
            <color indexed="81"/>
            <rFont val="Tahoma"/>
            <family val="2"/>
          </rPr>
          <t>Moline, Jason:</t>
        </r>
        <r>
          <rPr>
            <sz val="9"/>
            <color indexed="81"/>
            <rFont val="Tahoma"/>
            <family val="2"/>
          </rPr>
          <t xml:space="preserve">
changed from 27.9</t>
        </r>
      </text>
    </comment>
    <comment ref="BF115" authorId="0">
      <text>
        <r>
          <rPr>
            <b/>
            <sz val="9"/>
            <color indexed="81"/>
            <rFont val="Tahoma"/>
            <family val="2"/>
          </rPr>
          <t>Moline, Jason:</t>
        </r>
        <r>
          <rPr>
            <sz val="9"/>
            <color indexed="81"/>
            <rFont val="Tahoma"/>
            <family val="2"/>
          </rPr>
          <t xml:space="preserve">
changed from 0.99</t>
        </r>
      </text>
    </comment>
    <comment ref="BI115" authorId="0">
      <text>
        <r>
          <rPr>
            <b/>
            <sz val="9"/>
            <color indexed="81"/>
            <rFont val="Tahoma"/>
            <family val="2"/>
          </rPr>
          <t>Moline, Jason:</t>
        </r>
        <r>
          <rPr>
            <sz val="9"/>
            <color indexed="81"/>
            <rFont val="Tahoma"/>
            <family val="2"/>
          </rPr>
          <t xml:space="preserve">
changed from 1.01</t>
        </r>
      </text>
    </comment>
    <comment ref="BJ115" authorId="0">
      <text>
        <r>
          <rPr>
            <b/>
            <sz val="9"/>
            <color indexed="81"/>
            <rFont val="Tahoma"/>
            <family val="2"/>
          </rPr>
          <t>Moline, Jason:</t>
        </r>
        <r>
          <rPr>
            <sz val="9"/>
            <color indexed="81"/>
            <rFont val="Tahoma"/>
            <family val="2"/>
          </rPr>
          <t xml:space="preserve">
changed from 23.5</t>
        </r>
      </text>
    </comment>
    <comment ref="BK115" authorId="0">
      <text>
        <r>
          <rPr>
            <b/>
            <sz val="9"/>
            <color indexed="81"/>
            <rFont val="Tahoma"/>
            <family val="2"/>
          </rPr>
          <t>Moline, Jason:</t>
        </r>
        <r>
          <rPr>
            <sz val="9"/>
            <color indexed="81"/>
            <rFont val="Tahoma"/>
            <family val="2"/>
          </rPr>
          <t xml:space="preserve">
changed from 3.36</t>
        </r>
      </text>
    </comment>
    <comment ref="BN115" authorId="0">
      <text>
        <r>
          <rPr>
            <b/>
            <sz val="9"/>
            <color indexed="81"/>
            <rFont val="Tahoma"/>
            <family val="2"/>
          </rPr>
          <t>Moline, Jason:</t>
        </r>
        <r>
          <rPr>
            <sz val="9"/>
            <color indexed="81"/>
            <rFont val="Tahoma"/>
            <family val="2"/>
          </rPr>
          <t xml:space="preserve">
changed from 17.9</t>
        </r>
      </text>
    </comment>
    <comment ref="AT117" authorId="0">
      <text>
        <r>
          <rPr>
            <b/>
            <sz val="9"/>
            <color indexed="81"/>
            <rFont val="Tahoma"/>
            <family val="2"/>
          </rPr>
          <t>Moline, Jason:</t>
        </r>
        <r>
          <rPr>
            <sz val="9"/>
            <color indexed="81"/>
            <rFont val="Tahoma"/>
            <family val="2"/>
          </rPr>
          <t xml:space="preserve">
changed from 0 and 0.73</t>
        </r>
      </text>
    </comment>
    <comment ref="AT118" authorId="0">
      <text>
        <r>
          <rPr>
            <b/>
            <sz val="9"/>
            <color indexed="81"/>
            <rFont val="Tahoma"/>
            <family val="2"/>
          </rPr>
          <t>Moline, Jason:</t>
        </r>
        <r>
          <rPr>
            <sz val="9"/>
            <color indexed="81"/>
            <rFont val="Tahoma"/>
            <family val="2"/>
          </rPr>
          <t xml:space="preserve">
changed from 0</t>
        </r>
      </text>
    </comment>
    <comment ref="AT119" authorId="0">
      <text>
        <r>
          <rPr>
            <b/>
            <sz val="9"/>
            <color indexed="81"/>
            <rFont val="Tahoma"/>
            <family val="2"/>
          </rPr>
          <t>Moline, Jason:</t>
        </r>
        <r>
          <rPr>
            <sz val="9"/>
            <color indexed="81"/>
            <rFont val="Tahoma"/>
            <family val="2"/>
          </rPr>
          <t xml:space="preserve">
changed from 0</t>
        </r>
      </text>
    </comment>
    <comment ref="AB121" authorId="0">
      <text>
        <r>
          <rPr>
            <b/>
            <sz val="9"/>
            <color indexed="81"/>
            <rFont val="Tahoma"/>
            <family val="2"/>
          </rPr>
          <t>Moline, Jason:</t>
        </r>
        <r>
          <rPr>
            <sz val="9"/>
            <color indexed="81"/>
            <rFont val="Tahoma"/>
            <family val="2"/>
          </rPr>
          <t xml:space="preserve">
changed from 23.93</t>
        </r>
      </text>
    </comment>
    <comment ref="K124" authorId="0">
      <text>
        <r>
          <rPr>
            <b/>
            <sz val="9"/>
            <color indexed="81"/>
            <rFont val="Tahoma"/>
            <family val="2"/>
          </rPr>
          <t>Moline, Jason:</t>
        </r>
        <r>
          <rPr>
            <sz val="9"/>
            <color indexed="81"/>
            <rFont val="Tahoma"/>
            <family val="2"/>
          </rPr>
          <t xml:space="preserve">
changed from 135</t>
        </r>
      </text>
    </comment>
    <comment ref="AB125" authorId="0">
      <text>
        <r>
          <rPr>
            <b/>
            <sz val="9"/>
            <color indexed="81"/>
            <rFont val="Tahoma"/>
            <family val="2"/>
          </rPr>
          <t>Moline, Jason:</t>
        </r>
        <r>
          <rPr>
            <sz val="9"/>
            <color indexed="81"/>
            <rFont val="Tahoma"/>
            <family val="2"/>
          </rPr>
          <t xml:space="preserve">
changed from 24.7</t>
        </r>
      </text>
    </comment>
    <comment ref="BJ125" authorId="0">
      <text>
        <r>
          <rPr>
            <b/>
            <sz val="9"/>
            <color indexed="81"/>
            <rFont val="Tahoma"/>
            <family val="2"/>
          </rPr>
          <t>Moline, Jason:</t>
        </r>
        <r>
          <rPr>
            <sz val="9"/>
            <color indexed="81"/>
            <rFont val="Tahoma"/>
            <family val="2"/>
          </rPr>
          <t xml:space="preserve">
changed from 20.7</t>
        </r>
      </text>
    </comment>
    <comment ref="BL125" authorId="0">
      <text>
        <r>
          <rPr>
            <b/>
            <sz val="9"/>
            <color indexed="81"/>
            <rFont val="Tahoma"/>
            <family val="2"/>
          </rPr>
          <t>Moline, Jason:</t>
        </r>
        <r>
          <rPr>
            <sz val="9"/>
            <color indexed="81"/>
            <rFont val="Tahoma"/>
            <family val="2"/>
          </rPr>
          <t xml:space="preserve">
changed from 3.1</t>
        </r>
      </text>
    </comment>
    <comment ref="BN125" authorId="0">
      <text>
        <r>
          <rPr>
            <b/>
            <sz val="9"/>
            <color indexed="81"/>
            <rFont val="Tahoma"/>
            <family val="2"/>
          </rPr>
          <t>Moline, Jason:</t>
        </r>
        <r>
          <rPr>
            <sz val="9"/>
            <color indexed="81"/>
            <rFont val="Tahoma"/>
            <family val="2"/>
          </rPr>
          <t xml:space="preserve">
changed from 14.4</t>
        </r>
      </text>
    </comment>
    <comment ref="AB128" authorId="0">
      <text>
        <r>
          <rPr>
            <b/>
            <sz val="9"/>
            <color indexed="81"/>
            <rFont val="Tahoma"/>
            <family val="2"/>
          </rPr>
          <t>Moline, Jason:</t>
        </r>
        <r>
          <rPr>
            <sz val="9"/>
            <color indexed="81"/>
            <rFont val="Tahoma"/>
            <family val="2"/>
          </rPr>
          <t xml:space="preserve">
changed from 22.1</t>
        </r>
      </text>
    </comment>
    <comment ref="CD133" authorId="0">
      <text>
        <r>
          <rPr>
            <b/>
            <sz val="9"/>
            <color indexed="81"/>
            <rFont val="Tahoma"/>
            <family val="2"/>
          </rPr>
          <t>Moline, Jason:</t>
        </r>
        <r>
          <rPr>
            <sz val="9"/>
            <color indexed="81"/>
            <rFont val="Tahoma"/>
            <family val="2"/>
          </rPr>
          <t xml:space="preserve">
changed from 16.4; interpolated due to issue with level probe</t>
        </r>
      </text>
    </comment>
    <comment ref="CD134" authorId="0">
      <text>
        <r>
          <rPr>
            <b/>
            <sz val="9"/>
            <color indexed="81"/>
            <rFont val="Tahoma"/>
            <family val="2"/>
          </rPr>
          <t>Moline, Jason:</t>
        </r>
        <r>
          <rPr>
            <sz val="9"/>
            <color indexed="81"/>
            <rFont val="Tahoma"/>
            <family val="2"/>
          </rPr>
          <t xml:space="preserve">
probe read is approx 5.9' high</t>
        </r>
      </text>
    </comment>
    <comment ref="CD135" authorId="0">
      <text>
        <r>
          <rPr>
            <b/>
            <sz val="9"/>
            <color indexed="81"/>
            <rFont val="Tahoma"/>
            <family val="2"/>
          </rPr>
          <t>Moline, Jason:</t>
        </r>
        <r>
          <rPr>
            <sz val="9"/>
            <color indexed="81"/>
            <rFont val="Tahoma"/>
            <family val="2"/>
          </rPr>
          <t xml:space="preserve">
adjusted</t>
        </r>
      </text>
    </comment>
    <comment ref="CD136" authorId="0">
      <text>
        <r>
          <rPr>
            <b/>
            <sz val="9"/>
            <color indexed="81"/>
            <rFont val="Tahoma"/>
            <family val="2"/>
          </rPr>
          <t>Moline, Jason:</t>
        </r>
        <r>
          <rPr>
            <sz val="9"/>
            <color indexed="81"/>
            <rFont val="Tahoma"/>
            <family val="2"/>
          </rPr>
          <t xml:space="preserve">
adjusted</t>
        </r>
      </text>
    </comment>
    <comment ref="L137" authorId="0">
      <text>
        <r>
          <rPr>
            <b/>
            <sz val="9"/>
            <color indexed="81"/>
            <rFont val="Tahoma"/>
            <family val="2"/>
          </rPr>
          <t>Moline, Jason:</t>
        </r>
        <r>
          <rPr>
            <sz val="9"/>
            <color indexed="81"/>
            <rFont val="Tahoma"/>
            <family val="2"/>
          </rPr>
          <t xml:space="preserve">
changed from 30282.21</t>
        </r>
      </text>
    </comment>
    <comment ref="R137" authorId="0">
      <text>
        <r>
          <rPr>
            <b/>
            <sz val="9"/>
            <color indexed="81"/>
            <rFont val="Tahoma"/>
            <family val="2"/>
          </rPr>
          <t>Moline, Jason:</t>
        </r>
        <r>
          <rPr>
            <sz val="9"/>
            <color indexed="81"/>
            <rFont val="Tahoma"/>
            <family val="2"/>
          </rPr>
          <t xml:space="preserve">
changed from 954816</t>
        </r>
      </text>
    </comment>
    <comment ref="Y137" authorId="0">
      <text>
        <r>
          <rPr>
            <b/>
            <sz val="9"/>
            <color indexed="81"/>
            <rFont val="Tahoma"/>
            <family val="2"/>
          </rPr>
          <t>Moline, Jason:</t>
        </r>
        <r>
          <rPr>
            <sz val="9"/>
            <color indexed="81"/>
            <rFont val="Tahoma"/>
            <family val="2"/>
          </rPr>
          <t xml:space="preserve">
changed from 0</t>
        </r>
      </text>
    </comment>
    <comment ref="Z137" authorId="0">
      <text>
        <r>
          <rPr>
            <b/>
            <sz val="9"/>
            <color indexed="81"/>
            <rFont val="Tahoma"/>
            <family val="2"/>
          </rPr>
          <t>Moline, Jason:</t>
        </r>
        <r>
          <rPr>
            <sz val="9"/>
            <color indexed="81"/>
            <rFont val="Tahoma"/>
            <family val="2"/>
          </rPr>
          <t xml:space="preserve">
changed from 0</t>
        </r>
      </text>
    </comment>
    <comment ref="AB138" authorId="0">
      <text>
        <r>
          <rPr>
            <b/>
            <sz val="9"/>
            <color indexed="81"/>
            <rFont val="Tahoma"/>
            <family val="2"/>
          </rPr>
          <t>Moline, Jason:</t>
        </r>
        <r>
          <rPr>
            <sz val="9"/>
            <color indexed="81"/>
            <rFont val="Tahoma"/>
            <family val="2"/>
          </rPr>
          <t xml:space="preserve">
changed from 25.83</t>
        </r>
      </text>
    </comment>
    <comment ref="O139" authorId="0">
      <text>
        <r>
          <rPr>
            <b/>
            <sz val="9"/>
            <color indexed="81"/>
            <rFont val="Tahoma"/>
            <family val="2"/>
          </rPr>
          <t>Moline, Jason:</t>
        </r>
        <r>
          <rPr>
            <sz val="9"/>
            <color indexed="81"/>
            <rFont val="Tahoma"/>
            <family val="2"/>
          </rPr>
          <t xml:space="preserve">
changed from -59.56</t>
        </r>
      </text>
    </comment>
    <comment ref="Z139" authorId="0">
      <text>
        <r>
          <rPr>
            <b/>
            <sz val="9"/>
            <color indexed="81"/>
            <rFont val="Tahoma"/>
            <family val="2"/>
          </rPr>
          <t>Moline, Jason:</t>
        </r>
        <r>
          <rPr>
            <sz val="9"/>
            <color indexed="81"/>
            <rFont val="Tahoma"/>
            <family val="2"/>
          </rPr>
          <t xml:space="preserve">
changed form 25.83</t>
        </r>
      </text>
    </comment>
    <comment ref="AB139" authorId="0">
      <text>
        <r>
          <rPr>
            <b/>
            <sz val="9"/>
            <color indexed="81"/>
            <rFont val="Tahoma"/>
            <family val="2"/>
          </rPr>
          <t>Moline, Jason:</t>
        </r>
        <r>
          <rPr>
            <sz val="9"/>
            <color indexed="81"/>
            <rFont val="Tahoma"/>
            <family val="2"/>
          </rPr>
          <t xml:space="preserve">
changed from 24.08</t>
        </r>
      </text>
    </comment>
    <comment ref="BC139" authorId="0">
      <text>
        <r>
          <rPr>
            <b/>
            <sz val="9"/>
            <color indexed="81"/>
            <rFont val="Tahoma"/>
            <family val="2"/>
          </rPr>
          <t>Moline, Jason:</t>
        </r>
        <r>
          <rPr>
            <sz val="9"/>
            <color indexed="81"/>
            <rFont val="Tahoma"/>
            <family val="2"/>
          </rPr>
          <t xml:space="preserve">
changed from 1</t>
        </r>
      </text>
    </comment>
    <comment ref="BJ139" authorId="0">
      <text>
        <r>
          <rPr>
            <b/>
            <sz val="9"/>
            <color indexed="81"/>
            <rFont val="Tahoma"/>
            <family val="2"/>
          </rPr>
          <t>Moline, Jason:</t>
        </r>
        <r>
          <rPr>
            <sz val="9"/>
            <color indexed="81"/>
            <rFont val="Tahoma"/>
            <family val="2"/>
          </rPr>
          <t xml:space="preserve">
changed from 18.6</t>
        </r>
      </text>
    </comment>
    <comment ref="BK139" authorId="0">
      <text>
        <r>
          <rPr>
            <b/>
            <sz val="9"/>
            <color indexed="81"/>
            <rFont val="Tahoma"/>
            <family val="2"/>
          </rPr>
          <t>Moline, Jason:</t>
        </r>
        <r>
          <rPr>
            <sz val="9"/>
            <color indexed="81"/>
            <rFont val="Tahoma"/>
            <family val="2"/>
          </rPr>
          <t xml:space="preserve">
changed from 3.78</t>
        </r>
      </text>
    </comment>
    <comment ref="BL139" authorId="0">
      <text>
        <r>
          <rPr>
            <b/>
            <sz val="9"/>
            <color indexed="81"/>
            <rFont val="Tahoma"/>
            <family val="2"/>
          </rPr>
          <t>Moline, Jason:</t>
        </r>
        <r>
          <rPr>
            <sz val="9"/>
            <color indexed="81"/>
            <rFont val="Tahoma"/>
            <family val="2"/>
          </rPr>
          <t xml:space="preserve">
changed from 2.65</t>
        </r>
      </text>
    </comment>
    <comment ref="BN139" authorId="0">
      <text>
        <r>
          <rPr>
            <b/>
            <sz val="9"/>
            <color indexed="81"/>
            <rFont val="Tahoma"/>
            <family val="2"/>
          </rPr>
          <t>Moline, Jason:</t>
        </r>
        <r>
          <rPr>
            <sz val="9"/>
            <color indexed="81"/>
            <rFont val="Tahoma"/>
            <family val="2"/>
          </rPr>
          <t xml:space="preserve">
changed from 12.3</t>
        </r>
      </text>
    </comment>
    <comment ref="Z140" authorId="0">
      <text>
        <r>
          <rPr>
            <b/>
            <sz val="9"/>
            <color indexed="81"/>
            <rFont val="Tahoma"/>
            <family val="2"/>
          </rPr>
          <t>Moline, Jason:</t>
        </r>
        <r>
          <rPr>
            <sz val="9"/>
            <color indexed="81"/>
            <rFont val="Tahoma"/>
            <family val="2"/>
          </rPr>
          <t xml:space="preserve">
changed from 24.08</t>
        </r>
      </text>
    </comment>
    <comment ref="AB140" authorId="0">
      <text>
        <r>
          <rPr>
            <b/>
            <sz val="9"/>
            <color indexed="81"/>
            <rFont val="Tahoma"/>
            <family val="2"/>
          </rPr>
          <t>Moline, Jason:</t>
        </r>
        <r>
          <rPr>
            <sz val="9"/>
            <color indexed="81"/>
            <rFont val="Tahoma"/>
            <family val="2"/>
          </rPr>
          <t xml:space="preserve">
changed from 27.9</t>
        </r>
      </text>
    </comment>
    <comment ref="AB141" authorId="0">
      <text>
        <r>
          <rPr>
            <b/>
            <sz val="9"/>
            <color indexed="81"/>
            <rFont val="Tahoma"/>
            <family val="2"/>
          </rPr>
          <t>Moline, Jason:</t>
        </r>
        <r>
          <rPr>
            <sz val="9"/>
            <color indexed="81"/>
            <rFont val="Tahoma"/>
            <family val="2"/>
          </rPr>
          <t xml:space="preserve">
changed from 27.9</t>
        </r>
      </text>
    </comment>
    <comment ref="AB142" authorId="0">
      <text>
        <r>
          <rPr>
            <b/>
            <sz val="9"/>
            <color indexed="81"/>
            <rFont val="Tahoma"/>
            <family val="2"/>
          </rPr>
          <t>Moline, Jason:</t>
        </r>
        <r>
          <rPr>
            <sz val="9"/>
            <color indexed="81"/>
            <rFont val="Tahoma"/>
            <family val="2"/>
          </rPr>
          <t xml:space="preserve">
changed from 27.9</t>
        </r>
      </text>
    </comment>
    <comment ref="AB143" authorId="0">
      <text>
        <r>
          <rPr>
            <b/>
            <sz val="9"/>
            <color indexed="81"/>
            <rFont val="Tahoma"/>
            <family val="2"/>
          </rPr>
          <t>Moline, Jason:</t>
        </r>
        <r>
          <rPr>
            <sz val="9"/>
            <color indexed="81"/>
            <rFont val="Tahoma"/>
            <family val="2"/>
          </rPr>
          <t xml:space="preserve">
changed from 27.9</t>
        </r>
      </text>
    </comment>
    <comment ref="AB146" authorId="0">
      <text>
        <r>
          <rPr>
            <b/>
            <sz val="9"/>
            <color indexed="81"/>
            <rFont val="Tahoma"/>
            <family val="2"/>
          </rPr>
          <t>Moline, Jason:</t>
        </r>
        <r>
          <rPr>
            <sz val="9"/>
            <color indexed="81"/>
            <rFont val="Tahoma"/>
            <family val="2"/>
          </rPr>
          <t xml:space="preserve">
changed from 29.35</t>
        </r>
      </text>
    </comment>
    <comment ref="AB148" authorId="0">
      <text>
        <r>
          <rPr>
            <b/>
            <sz val="9"/>
            <color indexed="81"/>
            <rFont val="Tahoma"/>
            <family val="2"/>
          </rPr>
          <t>Moline, Jason:</t>
        </r>
        <r>
          <rPr>
            <sz val="9"/>
            <color indexed="81"/>
            <rFont val="Tahoma"/>
            <family val="2"/>
          </rPr>
          <t xml:space="preserve">
changed from 26.9</t>
        </r>
      </text>
    </comment>
    <comment ref="AB149" authorId="0">
      <text>
        <r>
          <rPr>
            <b/>
            <sz val="9"/>
            <color indexed="81"/>
            <rFont val="Tahoma"/>
            <family val="2"/>
          </rPr>
          <t>Moline, Jason:</t>
        </r>
        <r>
          <rPr>
            <sz val="9"/>
            <color indexed="81"/>
            <rFont val="Tahoma"/>
            <family val="2"/>
          </rPr>
          <t xml:space="preserve">
changed from 27.9</t>
        </r>
      </text>
    </comment>
    <comment ref="AB150" authorId="0">
      <text>
        <r>
          <rPr>
            <b/>
            <sz val="9"/>
            <color indexed="81"/>
            <rFont val="Tahoma"/>
            <family val="2"/>
          </rPr>
          <t>Moline, Jason:</t>
        </r>
        <r>
          <rPr>
            <sz val="9"/>
            <color indexed="81"/>
            <rFont val="Tahoma"/>
            <family val="2"/>
          </rPr>
          <t xml:space="preserve">
changed from 30.5</t>
        </r>
      </text>
    </comment>
    <comment ref="G152" authorId="0">
      <text>
        <r>
          <rPr>
            <b/>
            <sz val="9"/>
            <color indexed="81"/>
            <rFont val="Tahoma"/>
            <family val="2"/>
          </rPr>
          <t>Moline, Jason:</t>
        </r>
        <r>
          <rPr>
            <sz val="9"/>
            <color indexed="81"/>
            <rFont val="Tahoma"/>
            <family val="2"/>
          </rPr>
          <t xml:space="preserve">
changed from 2225</t>
        </r>
      </text>
    </comment>
    <comment ref="AT152" authorId="0">
      <text>
        <r>
          <rPr>
            <b/>
            <sz val="9"/>
            <color indexed="81"/>
            <rFont val="Tahoma"/>
            <family val="2"/>
          </rPr>
          <t>Moline, Jason:</t>
        </r>
        <r>
          <rPr>
            <sz val="9"/>
            <color indexed="81"/>
            <rFont val="Tahoma"/>
            <family val="2"/>
          </rPr>
          <t xml:space="preserve">
changed from 0</t>
        </r>
      </text>
    </comment>
    <comment ref="AB153" authorId="0">
      <text>
        <r>
          <rPr>
            <b/>
            <sz val="9"/>
            <color indexed="81"/>
            <rFont val="Tahoma"/>
            <family val="2"/>
          </rPr>
          <t>Moline, Jason:</t>
        </r>
        <r>
          <rPr>
            <sz val="9"/>
            <color indexed="81"/>
            <rFont val="Tahoma"/>
            <family val="2"/>
          </rPr>
          <t xml:space="preserve">
changed from 34.7</t>
        </r>
      </text>
    </comment>
    <comment ref="AT153" authorId="0">
      <text>
        <r>
          <rPr>
            <b/>
            <sz val="9"/>
            <color indexed="81"/>
            <rFont val="Tahoma"/>
            <family val="2"/>
          </rPr>
          <t>Moline, Jason:</t>
        </r>
        <r>
          <rPr>
            <sz val="9"/>
            <color indexed="81"/>
            <rFont val="Tahoma"/>
            <family val="2"/>
          </rPr>
          <t xml:space="preserve">
changed from 0</t>
        </r>
      </text>
    </comment>
    <comment ref="BK153" authorId="0">
      <text>
        <r>
          <rPr>
            <b/>
            <sz val="9"/>
            <color indexed="81"/>
            <rFont val="Tahoma"/>
            <family val="2"/>
          </rPr>
          <t>Moline, Jason:</t>
        </r>
        <r>
          <rPr>
            <sz val="9"/>
            <color indexed="81"/>
            <rFont val="Tahoma"/>
            <family val="2"/>
          </rPr>
          <t xml:space="preserve">
changed from 3.59</t>
        </r>
      </text>
    </comment>
    <comment ref="BN153" authorId="0">
      <text>
        <r>
          <rPr>
            <b/>
            <sz val="9"/>
            <color indexed="81"/>
            <rFont val="Tahoma"/>
            <family val="2"/>
          </rPr>
          <t>Moline, Jason:</t>
        </r>
        <r>
          <rPr>
            <sz val="9"/>
            <color indexed="81"/>
            <rFont val="Tahoma"/>
            <family val="2"/>
          </rPr>
          <t xml:space="preserve">
changed from 22.4</t>
        </r>
      </text>
    </comment>
    <comment ref="AT154" authorId="0">
      <text>
        <r>
          <rPr>
            <b/>
            <sz val="9"/>
            <color indexed="81"/>
            <rFont val="Tahoma"/>
            <family val="2"/>
          </rPr>
          <t>Moline, Jason:</t>
        </r>
        <r>
          <rPr>
            <sz val="9"/>
            <color indexed="81"/>
            <rFont val="Tahoma"/>
            <family val="2"/>
          </rPr>
          <t xml:space="preserve">
changed from 0</t>
        </r>
      </text>
    </comment>
    <comment ref="AB157" authorId="0">
      <text>
        <r>
          <rPr>
            <b/>
            <sz val="9"/>
            <color indexed="81"/>
            <rFont val="Tahoma"/>
            <family val="2"/>
          </rPr>
          <t>Moline, Jason:</t>
        </r>
        <r>
          <rPr>
            <sz val="9"/>
            <color indexed="81"/>
            <rFont val="Tahoma"/>
            <family val="2"/>
          </rPr>
          <t xml:space="preserve">
changed from 36.8</t>
        </r>
      </text>
    </comment>
    <comment ref="AB160" authorId="0">
      <text>
        <r>
          <rPr>
            <b/>
            <sz val="9"/>
            <color indexed="81"/>
            <rFont val="Tahoma"/>
            <family val="2"/>
          </rPr>
          <t>Moline, Jason:</t>
        </r>
        <r>
          <rPr>
            <sz val="9"/>
            <color indexed="81"/>
            <rFont val="Tahoma"/>
            <family val="2"/>
          </rPr>
          <t xml:space="preserve">
changed from 32.81</t>
        </r>
      </text>
    </comment>
    <comment ref="AB161" authorId="0">
      <text>
        <r>
          <rPr>
            <b/>
            <sz val="9"/>
            <color indexed="81"/>
            <rFont val="Tahoma"/>
            <family val="2"/>
          </rPr>
          <t>Moline, Jason:</t>
        </r>
        <r>
          <rPr>
            <sz val="9"/>
            <color indexed="81"/>
            <rFont val="Tahoma"/>
            <family val="2"/>
          </rPr>
          <t xml:space="preserve">
changed from 35.63</t>
        </r>
      </text>
    </comment>
    <comment ref="AB163" authorId="0">
      <text>
        <r>
          <rPr>
            <b/>
            <sz val="9"/>
            <color indexed="81"/>
            <rFont val="Tahoma"/>
            <family val="2"/>
          </rPr>
          <t>Moline, Jason:</t>
        </r>
        <r>
          <rPr>
            <sz val="9"/>
            <color indexed="81"/>
            <rFont val="Tahoma"/>
            <family val="2"/>
          </rPr>
          <t xml:space="preserve">
changed from 32.9</t>
        </r>
      </text>
    </comment>
    <comment ref="BI163" authorId="0">
      <text>
        <r>
          <rPr>
            <b/>
            <sz val="9"/>
            <color indexed="81"/>
            <rFont val="Tahoma"/>
            <family val="2"/>
          </rPr>
          <t>Moline, Jason:</t>
        </r>
        <r>
          <rPr>
            <sz val="9"/>
            <color indexed="81"/>
            <rFont val="Tahoma"/>
            <family val="2"/>
          </rPr>
          <t xml:space="preserve">
changed from 1.51</t>
        </r>
      </text>
    </comment>
    <comment ref="AB164" authorId="0">
      <text>
        <r>
          <rPr>
            <b/>
            <sz val="9"/>
            <color indexed="81"/>
            <rFont val="Tahoma"/>
            <family val="2"/>
          </rPr>
          <t>Moline, Jason:</t>
        </r>
        <r>
          <rPr>
            <sz val="9"/>
            <color indexed="81"/>
            <rFont val="Tahoma"/>
            <family val="2"/>
          </rPr>
          <t xml:space="preserve">
changed from 33.4</t>
        </r>
      </text>
    </comment>
    <comment ref="AB165" authorId="0">
      <text>
        <r>
          <rPr>
            <b/>
            <sz val="9"/>
            <color indexed="81"/>
            <rFont val="Tahoma"/>
            <family val="2"/>
          </rPr>
          <t>Moline, Jason:</t>
        </r>
        <r>
          <rPr>
            <sz val="9"/>
            <color indexed="81"/>
            <rFont val="Tahoma"/>
            <family val="2"/>
          </rPr>
          <t xml:space="preserve">
changed from 35.1</t>
        </r>
      </text>
    </comment>
    <comment ref="BF165" authorId="0">
      <text>
        <r>
          <rPr>
            <b/>
            <sz val="9"/>
            <color indexed="81"/>
            <rFont val="Tahoma"/>
            <family val="2"/>
          </rPr>
          <t>Moline, Jason:</t>
        </r>
        <r>
          <rPr>
            <sz val="9"/>
            <color indexed="81"/>
            <rFont val="Tahoma"/>
            <family val="2"/>
          </rPr>
          <t xml:space="preserve">
changed from 1.5</t>
        </r>
      </text>
    </comment>
    <comment ref="AB166" authorId="0">
      <text>
        <r>
          <rPr>
            <b/>
            <sz val="9"/>
            <color indexed="81"/>
            <rFont val="Tahoma"/>
            <family val="2"/>
          </rPr>
          <t>Moline, Jason:</t>
        </r>
        <r>
          <rPr>
            <sz val="9"/>
            <color indexed="81"/>
            <rFont val="Tahoma"/>
            <family val="2"/>
          </rPr>
          <t xml:space="preserve">
changed from 41.19</t>
        </r>
      </text>
    </comment>
    <comment ref="BF166" authorId="0">
      <text>
        <r>
          <rPr>
            <b/>
            <sz val="9"/>
            <color indexed="81"/>
            <rFont val="Tahoma"/>
            <family val="2"/>
          </rPr>
          <t>Moline, Jason:</t>
        </r>
        <r>
          <rPr>
            <sz val="9"/>
            <color indexed="81"/>
            <rFont val="Tahoma"/>
            <family val="2"/>
          </rPr>
          <t xml:space="preserve">
changed from 1.34</t>
        </r>
      </text>
    </comment>
    <comment ref="BF168" authorId="0">
      <text>
        <r>
          <rPr>
            <b/>
            <sz val="9"/>
            <color indexed="81"/>
            <rFont val="Tahoma"/>
            <family val="2"/>
          </rPr>
          <t>Moline, Jason:</t>
        </r>
        <r>
          <rPr>
            <sz val="9"/>
            <color indexed="81"/>
            <rFont val="Tahoma"/>
            <family val="2"/>
          </rPr>
          <t xml:space="preserve">
changed from 0.48</t>
        </r>
      </text>
    </comment>
    <comment ref="BN168" authorId="0">
      <text>
        <r>
          <rPr>
            <b/>
            <sz val="9"/>
            <color indexed="81"/>
            <rFont val="Tahoma"/>
            <family val="2"/>
          </rPr>
          <t>Moline, Jason:</t>
        </r>
        <r>
          <rPr>
            <sz val="9"/>
            <color indexed="81"/>
            <rFont val="Tahoma"/>
            <family val="2"/>
          </rPr>
          <t xml:space="preserve">
changed from 21.6</t>
        </r>
      </text>
    </comment>
    <comment ref="AB169" authorId="1">
      <text>
        <r>
          <rPr>
            <b/>
            <sz val="9"/>
            <color indexed="81"/>
            <rFont val="Tahoma"/>
            <family val="2"/>
          </rPr>
          <t>Nelson, Corey:</t>
        </r>
        <r>
          <rPr>
            <sz val="9"/>
            <color indexed="81"/>
            <rFont val="Tahoma"/>
            <family val="2"/>
          </rPr>
          <t xml:space="preserve">
Changed to meter FIT-505 trend of 33.1.  From 33.7</t>
        </r>
      </text>
    </comment>
    <comment ref="BF169" authorId="1">
      <text>
        <r>
          <rPr>
            <b/>
            <sz val="9"/>
            <color indexed="81"/>
            <rFont val="Tahoma"/>
            <family val="2"/>
          </rPr>
          <t>Nelson, Corey:</t>
        </r>
        <r>
          <rPr>
            <sz val="9"/>
            <color indexed="81"/>
            <rFont val="Tahoma"/>
            <family val="2"/>
          </rPr>
          <t xml:space="preserve">
Changed from 0.96 to 0.50 per trend.
</t>
        </r>
      </text>
    </comment>
    <comment ref="BK169" authorId="0">
      <text>
        <r>
          <rPr>
            <b/>
            <sz val="9"/>
            <color indexed="81"/>
            <rFont val="Tahoma"/>
            <family val="2"/>
          </rPr>
          <t>Moline, Jason:</t>
        </r>
        <r>
          <rPr>
            <sz val="9"/>
            <color indexed="81"/>
            <rFont val="Tahoma"/>
            <family val="2"/>
          </rPr>
          <t xml:space="preserve">
changed from 3.59</t>
        </r>
      </text>
    </comment>
    <comment ref="AB170" authorId="1">
      <text>
        <r>
          <rPr>
            <b/>
            <sz val="9"/>
            <color indexed="81"/>
            <rFont val="Tahoma"/>
            <family val="2"/>
          </rPr>
          <t>Nelson, Corey:</t>
        </r>
        <r>
          <rPr>
            <sz val="9"/>
            <color indexed="81"/>
            <rFont val="Tahoma"/>
            <family val="2"/>
          </rPr>
          <t xml:space="preserve">
Changed form 30.65 to meter FIT-505 trend of 29.4.</t>
        </r>
      </text>
    </comment>
    <comment ref="BF170" authorId="1">
      <text>
        <r>
          <rPr>
            <b/>
            <sz val="9"/>
            <color indexed="81"/>
            <rFont val="Tahoma"/>
            <family val="2"/>
          </rPr>
          <t>Nelson, Corey:</t>
        </r>
        <r>
          <rPr>
            <sz val="9"/>
            <color indexed="81"/>
            <rFont val="Tahoma"/>
            <family val="2"/>
          </rPr>
          <t xml:space="preserve">
changed from .96 to .50 per trend.</t>
        </r>
      </text>
    </comment>
    <comment ref="AB171" authorId="1">
      <text>
        <r>
          <rPr>
            <b/>
            <sz val="9"/>
            <color indexed="81"/>
            <rFont val="Tahoma"/>
            <family val="2"/>
          </rPr>
          <t>Nelson, Corey:</t>
        </r>
        <r>
          <rPr>
            <sz val="9"/>
            <color indexed="81"/>
            <rFont val="Tahoma"/>
            <family val="2"/>
          </rPr>
          <t xml:space="preserve">
Changed from 29.85 to meter FIT-505 trend of 29.4 mgd.</t>
        </r>
      </text>
    </comment>
    <comment ref="BF171" authorId="1">
      <text>
        <r>
          <rPr>
            <b/>
            <sz val="9"/>
            <color indexed="81"/>
            <rFont val="Tahoma"/>
            <family val="2"/>
          </rPr>
          <t>Nelson, Corey:</t>
        </r>
        <r>
          <rPr>
            <sz val="9"/>
            <color indexed="81"/>
            <rFont val="Tahoma"/>
            <family val="2"/>
          </rPr>
          <t xml:space="preserve">
Changed per trend to 0.502
</t>
        </r>
      </text>
    </comment>
    <comment ref="BK171" authorId="0">
      <text>
        <r>
          <rPr>
            <b/>
            <sz val="9"/>
            <color indexed="81"/>
            <rFont val="Tahoma"/>
            <family val="2"/>
          </rPr>
          <t>Moline, Jason:</t>
        </r>
        <r>
          <rPr>
            <sz val="9"/>
            <color indexed="81"/>
            <rFont val="Tahoma"/>
            <family val="2"/>
          </rPr>
          <t xml:space="preserve">
changed from 3.61</t>
        </r>
      </text>
    </comment>
    <comment ref="AB172" authorId="1">
      <text>
        <r>
          <rPr>
            <b/>
            <sz val="9"/>
            <color indexed="81"/>
            <rFont val="Tahoma"/>
            <family val="2"/>
          </rPr>
          <t>Nelson, Corey:</t>
        </r>
        <r>
          <rPr>
            <sz val="9"/>
            <color indexed="81"/>
            <rFont val="Tahoma"/>
            <family val="2"/>
          </rPr>
          <t xml:space="preserve">
Changed read to FIT-505 meter.  From 34.4 to 33.8.</t>
        </r>
      </text>
    </comment>
    <comment ref="BF172" authorId="1">
      <text>
        <r>
          <rPr>
            <b/>
            <sz val="9"/>
            <color indexed="81"/>
            <rFont val="Tahoma"/>
            <family val="2"/>
          </rPr>
          <t>Nelson, Corey:</t>
        </r>
        <r>
          <rPr>
            <sz val="9"/>
            <color indexed="81"/>
            <rFont val="Tahoma"/>
            <family val="2"/>
          </rPr>
          <t xml:space="preserve">
Changed from 0.96 to 0.5 due to totalizer problem.</t>
        </r>
      </text>
    </comment>
    <comment ref="BK172" authorId="0">
      <text>
        <r>
          <rPr>
            <b/>
            <sz val="9"/>
            <color indexed="81"/>
            <rFont val="Tahoma"/>
            <family val="2"/>
          </rPr>
          <t>Moline, Jason:</t>
        </r>
        <r>
          <rPr>
            <sz val="9"/>
            <color indexed="81"/>
            <rFont val="Tahoma"/>
            <family val="2"/>
          </rPr>
          <t xml:space="preserve">
changed from 4.13</t>
        </r>
      </text>
    </comment>
    <comment ref="AB173" authorId="1">
      <text>
        <r>
          <rPr>
            <b/>
            <sz val="9"/>
            <color indexed="81"/>
            <rFont val="Tahoma"/>
            <family val="2"/>
          </rPr>
          <t>Nelson, Corey:</t>
        </r>
        <r>
          <rPr>
            <sz val="9"/>
            <color indexed="81"/>
            <rFont val="Tahoma"/>
            <family val="2"/>
          </rPr>
          <t xml:space="preserve">
Changed from meter FT-501 to totalizer read for FT-505 due to possible meter inaccuracy.
</t>
        </r>
      </text>
    </comment>
    <comment ref="BF173" authorId="1">
      <text>
        <r>
          <rPr>
            <b/>
            <sz val="9"/>
            <color indexed="81"/>
            <rFont val="Tahoma"/>
            <family val="2"/>
          </rPr>
          <t>Nelson, Corey:</t>
        </r>
        <r>
          <rPr>
            <sz val="9"/>
            <color indexed="81"/>
            <rFont val="Tahoma"/>
            <family val="2"/>
          </rPr>
          <t xml:space="preserve">
Change from 0.96 to 0.50 due to totalizer error.  Value from trending.</t>
        </r>
      </text>
    </comment>
    <comment ref="BK173" authorId="0">
      <text>
        <r>
          <rPr>
            <b/>
            <sz val="9"/>
            <color indexed="81"/>
            <rFont val="Tahoma"/>
            <family val="2"/>
          </rPr>
          <t>Moline, Jason:</t>
        </r>
        <r>
          <rPr>
            <sz val="9"/>
            <color indexed="81"/>
            <rFont val="Tahoma"/>
            <family val="2"/>
          </rPr>
          <t xml:space="preserve">
changed from 3.84</t>
        </r>
      </text>
    </comment>
    <comment ref="AB174" authorId="0">
      <text>
        <r>
          <rPr>
            <b/>
            <sz val="9"/>
            <color indexed="81"/>
            <rFont val="Tahoma"/>
            <family val="2"/>
          </rPr>
          <t>Moline, Jason:</t>
        </r>
        <r>
          <rPr>
            <sz val="9"/>
            <color indexed="81"/>
            <rFont val="Tahoma"/>
            <family val="2"/>
          </rPr>
          <t xml:space="preserve">
changed from 37.9</t>
        </r>
      </text>
    </comment>
    <comment ref="BF174" authorId="0">
      <text>
        <r>
          <rPr>
            <b/>
            <sz val="9"/>
            <color indexed="81"/>
            <rFont val="Tahoma"/>
            <family val="2"/>
          </rPr>
          <t>Moline, Jason:</t>
        </r>
        <r>
          <rPr>
            <sz val="9"/>
            <color indexed="81"/>
            <rFont val="Tahoma"/>
            <family val="2"/>
          </rPr>
          <t xml:space="preserve">
changed from 0.94</t>
        </r>
      </text>
    </comment>
    <comment ref="AB175" authorId="0">
      <text>
        <r>
          <rPr>
            <b/>
            <sz val="9"/>
            <color indexed="81"/>
            <rFont val="Tahoma"/>
            <family val="2"/>
          </rPr>
          <t>Moline, Jason:</t>
        </r>
        <r>
          <rPr>
            <sz val="9"/>
            <color indexed="81"/>
            <rFont val="Tahoma"/>
            <family val="2"/>
          </rPr>
          <t xml:space="preserve">
changed from 40.7</t>
        </r>
      </text>
    </comment>
    <comment ref="BF175" authorId="0">
      <text>
        <r>
          <rPr>
            <b/>
            <sz val="9"/>
            <color indexed="81"/>
            <rFont val="Tahoma"/>
            <family val="2"/>
          </rPr>
          <t>Moline, Jason:</t>
        </r>
        <r>
          <rPr>
            <sz val="9"/>
            <color indexed="81"/>
            <rFont val="Tahoma"/>
            <family val="2"/>
          </rPr>
          <t xml:space="preserve">
changed from 0.36</t>
        </r>
      </text>
    </comment>
    <comment ref="AB176" authorId="0">
      <text>
        <r>
          <rPr>
            <b/>
            <sz val="9"/>
            <color indexed="81"/>
            <rFont val="Tahoma"/>
            <family val="2"/>
          </rPr>
          <t>Moline, Jason:</t>
        </r>
        <r>
          <rPr>
            <sz val="9"/>
            <color indexed="81"/>
            <rFont val="Tahoma"/>
            <family val="2"/>
          </rPr>
          <t xml:space="preserve">
changed from 47.08</t>
        </r>
      </text>
    </comment>
    <comment ref="BJ176" authorId="0">
      <text>
        <r>
          <rPr>
            <b/>
            <sz val="9"/>
            <color indexed="81"/>
            <rFont val="Tahoma"/>
            <family val="2"/>
          </rPr>
          <t>Moline, Jason:</t>
        </r>
        <r>
          <rPr>
            <sz val="9"/>
            <color indexed="81"/>
            <rFont val="Tahoma"/>
            <family val="2"/>
          </rPr>
          <t xml:space="preserve">
changed from .41.4</t>
        </r>
      </text>
    </comment>
    <comment ref="BK176" authorId="0">
      <text>
        <r>
          <rPr>
            <b/>
            <sz val="9"/>
            <color indexed="81"/>
            <rFont val="Tahoma"/>
            <family val="2"/>
          </rPr>
          <t>Moline, Jason:</t>
        </r>
        <r>
          <rPr>
            <sz val="9"/>
            <color indexed="81"/>
            <rFont val="Tahoma"/>
            <family val="2"/>
          </rPr>
          <t xml:space="preserve">
changed from 3.82</t>
        </r>
      </text>
    </comment>
    <comment ref="BL176" authorId="0">
      <text>
        <r>
          <rPr>
            <b/>
            <sz val="9"/>
            <color indexed="81"/>
            <rFont val="Tahoma"/>
            <family val="2"/>
          </rPr>
          <t>Moline, Jason:</t>
        </r>
        <r>
          <rPr>
            <sz val="9"/>
            <color indexed="81"/>
            <rFont val="Tahoma"/>
            <family val="2"/>
          </rPr>
          <t xml:space="preserve">
changed from 4.2</t>
        </r>
      </text>
    </comment>
    <comment ref="AB178" authorId="0">
      <text>
        <r>
          <rPr>
            <b/>
            <sz val="9"/>
            <color indexed="81"/>
            <rFont val="Tahoma"/>
            <family val="2"/>
          </rPr>
          <t>Moline, Jason:</t>
        </r>
        <r>
          <rPr>
            <sz val="9"/>
            <color indexed="81"/>
            <rFont val="Tahoma"/>
            <family val="2"/>
          </rPr>
          <t xml:space="preserve">
changed from 32.25</t>
        </r>
      </text>
    </comment>
    <comment ref="BK178" authorId="0">
      <text>
        <r>
          <rPr>
            <b/>
            <sz val="9"/>
            <color indexed="81"/>
            <rFont val="Tahoma"/>
            <family val="2"/>
          </rPr>
          <t>Moline, Jason:</t>
        </r>
        <r>
          <rPr>
            <sz val="9"/>
            <color indexed="81"/>
            <rFont val="Tahoma"/>
            <family val="2"/>
          </rPr>
          <t xml:space="preserve">
changed from 3.37</t>
        </r>
      </text>
    </comment>
    <comment ref="AT180" authorId="1">
      <text>
        <r>
          <rPr>
            <b/>
            <sz val="9"/>
            <color indexed="81"/>
            <rFont val="Tahoma"/>
            <family val="2"/>
          </rPr>
          <t>Nelson, Corey:</t>
        </r>
        <r>
          <rPr>
            <sz val="9"/>
            <color indexed="81"/>
            <rFont val="Tahoma"/>
            <family val="2"/>
          </rPr>
          <t xml:space="preserve">
10/6/17.  Changed from 0.0 to 0.5 per SCADA.</t>
        </r>
      </text>
    </comment>
    <comment ref="AT181" authorId="1">
      <text>
        <r>
          <rPr>
            <b/>
            <sz val="9"/>
            <color indexed="81"/>
            <rFont val="Tahoma"/>
            <family val="2"/>
          </rPr>
          <t>Nelson, Corey:</t>
        </r>
        <r>
          <rPr>
            <sz val="9"/>
            <color indexed="81"/>
            <rFont val="Tahoma"/>
            <family val="2"/>
          </rPr>
          <t xml:space="preserve">
10/6/17.  Changed from 0.0 to 0.838 per SCADA trend.</t>
        </r>
      </text>
    </comment>
    <comment ref="AT182" authorId="1">
      <text>
        <r>
          <rPr>
            <b/>
            <sz val="9"/>
            <color indexed="81"/>
            <rFont val="Tahoma"/>
            <family val="2"/>
          </rPr>
          <t>Nelson, Corey:</t>
        </r>
        <r>
          <rPr>
            <sz val="9"/>
            <color indexed="81"/>
            <rFont val="Tahoma"/>
            <family val="2"/>
          </rPr>
          <t xml:space="preserve">
10/6/17.  Changed from 0.0 to 0.37 per SCADA trend.</t>
        </r>
      </text>
    </comment>
    <comment ref="AB184" authorId="0">
      <text>
        <r>
          <rPr>
            <b/>
            <sz val="9"/>
            <color indexed="81"/>
            <rFont val="Tahoma"/>
            <family val="2"/>
          </rPr>
          <t>Moline, Jason:</t>
        </r>
        <r>
          <rPr>
            <sz val="9"/>
            <color indexed="81"/>
            <rFont val="Tahoma"/>
            <family val="2"/>
          </rPr>
          <t xml:space="preserve">
changed from 49.84</t>
        </r>
      </text>
    </comment>
    <comment ref="AB186" authorId="0">
      <text>
        <r>
          <rPr>
            <b/>
            <sz val="9"/>
            <color indexed="81"/>
            <rFont val="Tahoma"/>
            <family val="2"/>
          </rPr>
          <t>Moline, Jason:</t>
        </r>
        <r>
          <rPr>
            <sz val="9"/>
            <color indexed="81"/>
            <rFont val="Tahoma"/>
            <family val="2"/>
          </rPr>
          <t xml:space="preserve">
changed from 51.84</t>
        </r>
      </text>
    </comment>
    <comment ref="BF186" authorId="0">
      <text>
        <r>
          <rPr>
            <b/>
            <sz val="9"/>
            <color indexed="81"/>
            <rFont val="Tahoma"/>
            <family val="2"/>
          </rPr>
          <t>Moline, Jason:</t>
        </r>
        <r>
          <rPr>
            <sz val="9"/>
            <color indexed="81"/>
            <rFont val="Tahoma"/>
            <family val="2"/>
          </rPr>
          <t xml:space="preserve">
changed from 0</t>
        </r>
      </text>
    </comment>
    <comment ref="BF187" authorId="1">
      <text>
        <r>
          <rPr>
            <b/>
            <sz val="9"/>
            <color indexed="81"/>
            <rFont val="Tahoma"/>
            <family val="2"/>
          </rPr>
          <t>Nelson, Corey:</t>
        </r>
        <r>
          <rPr>
            <sz val="9"/>
            <color indexed="81"/>
            <rFont val="Tahoma"/>
            <family val="2"/>
          </rPr>
          <t xml:space="preserve">
Changed from 0.0 to 1.99 per Covington SCADA page totalizer value.  This fixes the percent error.
</t>
        </r>
      </text>
    </comment>
    <comment ref="AV192" authorId="0">
      <text>
        <r>
          <rPr>
            <b/>
            <sz val="9"/>
            <color indexed="81"/>
            <rFont val="Tahoma"/>
            <family val="2"/>
          </rPr>
          <t>Moline, Jason:</t>
        </r>
        <r>
          <rPr>
            <sz val="9"/>
            <color indexed="81"/>
            <rFont val="Tahoma"/>
            <family val="2"/>
          </rPr>
          <t xml:space="preserve">
shifted value one cell left</t>
        </r>
      </text>
    </comment>
    <comment ref="AW192" authorId="0">
      <text>
        <r>
          <rPr>
            <b/>
            <sz val="9"/>
            <color indexed="81"/>
            <rFont val="Tahoma"/>
            <family val="2"/>
          </rPr>
          <t>Moline, Jason:</t>
        </r>
        <r>
          <rPr>
            <sz val="9"/>
            <color indexed="81"/>
            <rFont val="Tahoma"/>
            <family val="2"/>
          </rPr>
          <t xml:space="preserve">
shifted value one cell left</t>
        </r>
      </text>
    </comment>
    <comment ref="AX192" authorId="0">
      <text>
        <r>
          <rPr>
            <b/>
            <sz val="9"/>
            <color indexed="81"/>
            <rFont val="Tahoma"/>
            <family val="2"/>
          </rPr>
          <t>Moline, Jason:</t>
        </r>
        <r>
          <rPr>
            <sz val="9"/>
            <color indexed="81"/>
            <rFont val="Tahoma"/>
            <family val="2"/>
          </rPr>
          <t xml:space="preserve">
shifted value one cell left</t>
        </r>
      </text>
    </comment>
    <comment ref="CN192" authorId="0">
      <text>
        <r>
          <rPr>
            <b/>
            <sz val="9"/>
            <color indexed="81"/>
            <rFont val="Tahoma"/>
            <family val="2"/>
          </rPr>
          <t>Moline, Jason:</t>
        </r>
        <r>
          <rPr>
            <sz val="9"/>
            <color indexed="81"/>
            <rFont val="Tahoma"/>
            <family val="2"/>
          </rPr>
          <t xml:space="preserve">
changed from 29.4.1</t>
        </r>
      </text>
    </comment>
    <comment ref="BK205" authorId="0">
      <text>
        <r>
          <rPr>
            <b/>
            <sz val="9"/>
            <color indexed="81"/>
            <rFont val="Tahoma"/>
            <family val="2"/>
          </rPr>
          <t>Moline, Jason:</t>
        </r>
        <r>
          <rPr>
            <sz val="9"/>
            <color indexed="81"/>
            <rFont val="Tahoma"/>
            <family val="2"/>
          </rPr>
          <t xml:space="preserve">
changed from 54.9</t>
        </r>
      </text>
    </comment>
    <comment ref="BK209" authorId="0">
      <text>
        <r>
          <rPr>
            <b/>
            <sz val="9"/>
            <color indexed="81"/>
            <rFont val="Tahoma"/>
            <family val="2"/>
          </rPr>
          <t>Moline, Jason:</t>
        </r>
        <r>
          <rPr>
            <sz val="9"/>
            <color indexed="81"/>
            <rFont val="Tahoma"/>
            <family val="2"/>
          </rPr>
          <t xml:space="preserve">
changed from 2.52</t>
        </r>
      </text>
    </comment>
    <comment ref="AV217" authorId="0">
      <text>
        <r>
          <rPr>
            <b/>
            <sz val="9"/>
            <color indexed="81"/>
            <rFont val="Tahoma"/>
            <family val="2"/>
          </rPr>
          <t>Moline, Jason:</t>
        </r>
        <r>
          <rPr>
            <sz val="9"/>
            <color indexed="81"/>
            <rFont val="Tahoma"/>
            <family val="2"/>
          </rPr>
          <t xml:space="preserve">
shifted value one cell right</t>
        </r>
      </text>
    </comment>
    <comment ref="AW217" authorId="0">
      <text>
        <r>
          <rPr>
            <b/>
            <sz val="9"/>
            <color indexed="81"/>
            <rFont val="Tahoma"/>
            <family val="2"/>
          </rPr>
          <t>Moline, Jason:</t>
        </r>
        <r>
          <rPr>
            <sz val="9"/>
            <color indexed="81"/>
            <rFont val="Tahoma"/>
            <family val="2"/>
          </rPr>
          <t xml:space="preserve">
shifted value one cell right</t>
        </r>
      </text>
    </comment>
    <comment ref="AB218" authorId="0">
      <text>
        <r>
          <rPr>
            <b/>
            <sz val="9"/>
            <color indexed="81"/>
            <rFont val="Tahoma"/>
            <family val="2"/>
          </rPr>
          <t>Moline, Jason:</t>
        </r>
        <r>
          <rPr>
            <sz val="9"/>
            <color indexed="81"/>
            <rFont val="Tahoma"/>
            <family val="2"/>
          </rPr>
          <t xml:space="preserve">
changed from 57.5</t>
        </r>
      </text>
    </comment>
    <comment ref="AB219" authorId="0">
      <text>
        <r>
          <rPr>
            <b/>
            <sz val="9"/>
            <color indexed="81"/>
            <rFont val="Tahoma"/>
            <family val="2"/>
          </rPr>
          <t>Moline, Jason:</t>
        </r>
        <r>
          <rPr>
            <sz val="9"/>
            <color indexed="81"/>
            <rFont val="Tahoma"/>
            <family val="2"/>
          </rPr>
          <t xml:space="preserve">
changed from 52</t>
        </r>
      </text>
    </comment>
    <comment ref="AB220" authorId="0">
      <text>
        <r>
          <rPr>
            <b/>
            <sz val="9"/>
            <color indexed="81"/>
            <rFont val="Tahoma"/>
            <family val="2"/>
          </rPr>
          <t>Moline, Jason:</t>
        </r>
        <r>
          <rPr>
            <sz val="9"/>
            <color indexed="81"/>
            <rFont val="Tahoma"/>
            <family val="2"/>
          </rPr>
          <t xml:space="preserve">
changed from 53.76</t>
        </r>
      </text>
    </comment>
    <comment ref="AB221" authorId="0">
      <text>
        <r>
          <rPr>
            <b/>
            <sz val="9"/>
            <color indexed="81"/>
            <rFont val="Tahoma"/>
            <family val="2"/>
          </rPr>
          <t>Moline, Jason:</t>
        </r>
        <r>
          <rPr>
            <sz val="9"/>
            <color indexed="81"/>
            <rFont val="Tahoma"/>
            <family val="2"/>
          </rPr>
          <t xml:space="preserve">
changed from 55.41</t>
        </r>
      </text>
    </comment>
    <comment ref="BB221" authorId="0">
      <text>
        <r>
          <rPr>
            <b/>
            <sz val="9"/>
            <color indexed="81"/>
            <rFont val="Tahoma"/>
            <family val="2"/>
          </rPr>
          <t>Moline, Jason:</t>
        </r>
        <r>
          <rPr>
            <sz val="9"/>
            <color indexed="81"/>
            <rFont val="Tahoma"/>
            <family val="2"/>
          </rPr>
          <t xml:space="preserve">
changed from 0</t>
        </r>
      </text>
    </comment>
    <comment ref="BB222" authorId="0">
      <text>
        <r>
          <rPr>
            <b/>
            <sz val="9"/>
            <color indexed="81"/>
            <rFont val="Tahoma"/>
            <family val="2"/>
          </rPr>
          <t>Moline, Jason:</t>
        </r>
        <r>
          <rPr>
            <sz val="9"/>
            <color indexed="81"/>
            <rFont val="Tahoma"/>
            <family val="2"/>
          </rPr>
          <t xml:space="preserve">
changed from 0</t>
        </r>
      </text>
    </comment>
    <comment ref="BB223" authorId="0">
      <text>
        <r>
          <rPr>
            <b/>
            <sz val="9"/>
            <color indexed="81"/>
            <rFont val="Tahoma"/>
            <family val="2"/>
          </rPr>
          <t>Moline, Jason:</t>
        </r>
        <r>
          <rPr>
            <sz val="9"/>
            <color indexed="81"/>
            <rFont val="Tahoma"/>
            <family val="2"/>
          </rPr>
          <t xml:space="preserve">
changed from 0</t>
        </r>
      </text>
    </comment>
    <comment ref="AB224" authorId="0">
      <text>
        <r>
          <rPr>
            <b/>
            <sz val="9"/>
            <color indexed="81"/>
            <rFont val="Tahoma"/>
            <family val="2"/>
          </rPr>
          <t>Moline, Jason:</t>
        </r>
        <r>
          <rPr>
            <sz val="9"/>
            <color indexed="81"/>
            <rFont val="Tahoma"/>
            <family val="2"/>
          </rPr>
          <t xml:space="preserve">
changed from 54.03</t>
        </r>
      </text>
    </comment>
    <comment ref="AT224" authorId="0">
      <text>
        <r>
          <rPr>
            <b/>
            <sz val="9"/>
            <color indexed="81"/>
            <rFont val="Tahoma"/>
            <family val="2"/>
          </rPr>
          <t>Moline, Jason:</t>
        </r>
        <r>
          <rPr>
            <sz val="9"/>
            <color indexed="81"/>
            <rFont val="Tahoma"/>
            <family val="2"/>
          </rPr>
          <t xml:space="preserve">
changed from 0.6</t>
        </r>
      </text>
    </comment>
    <comment ref="BB224" authorId="0">
      <text>
        <r>
          <rPr>
            <b/>
            <sz val="9"/>
            <color indexed="81"/>
            <rFont val="Tahoma"/>
            <family val="2"/>
          </rPr>
          <t>Moline, Jason:</t>
        </r>
        <r>
          <rPr>
            <sz val="9"/>
            <color indexed="81"/>
            <rFont val="Tahoma"/>
            <family val="2"/>
          </rPr>
          <t xml:space="preserve">
changed from 0</t>
        </r>
      </text>
    </comment>
    <comment ref="BI224" authorId="0">
      <text>
        <r>
          <rPr>
            <b/>
            <sz val="9"/>
            <color indexed="81"/>
            <rFont val="Tahoma"/>
            <family val="2"/>
          </rPr>
          <t>Moline, Jason:</t>
        </r>
        <r>
          <rPr>
            <sz val="9"/>
            <color indexed="81"/>
            <rFont val="Tahoma"/>
            <family val="2"/>
          </rPr>
          <t xml:space="preserve">
changed from 2.02</t>
        </r>
      </text>
    </comment>
    <comment ref="BN224" authorId="0">
      <text>
        <r>
          <rPr>
            <b/>
            <sz val="9"/>
            <color indexed="81"/>
            <rFont val="Tahoma"/>
            <family val="2"/>
          </rPr>
          <t>Moline, Jason:</t>
        </r>
        <r>
          <rPr>
            <sz val="9"/>
            <color indexed="81"/>
            <rFont val="Tahoma"/>
            <family val="2"/>
          </rPr>
          <t xml:space="preserve">
changed from 32.1</t>
        </r>
      </text>
    </comment>
    <comment ref="AT225" authorId="0">
      <text>
        <r>
          <rPr>
            <b/>
            <sz val="9"/>
            <color indexed="81"/>
            <rFont val="Tahoma"/>
            <family val="2"/>
          </rPr>
          <t>Moline, Jason:</t>
        </r>
        <r>
          <rPr>
            <sz val="9"/>
            <color indexed="81"/>
            <rFont val="Tahoma"/>
            <family val="2"/>
          </rPr>
          <t xml:space="preserve">
changed from 0</t>
        </r>
      </text>
    </comment>
    <comment ref="BB225" authorId="0">
      <text>
        <r>
          <rPr>
            <b/>
            <sz val="9"/>
            <color indexed="81"/>
            <rFont val="Tahoma"/>
            <family val="2"/>
          </rPr>
          <t>Moline, Jason:</t>
        </r>
        <r>
          <rPr>
            <sz val="9"/>
            <color indexed="81"/>
            <rFont val="Tahoma"/>
            <family val="2"/>
          </rPr>
          <t xml:space="preserve">
changed from 0</t>
        </r>
      </text>
    </comment>
    <comment ref="CS225" authorId="1">
      <text>
        <r>
          <rPr>
            <b/>
            <sz val="9"/>
            <color indexed="81"/>
            <rFont val="Tahoma"/>
            <family val="2"/>
          </rPr>
          <t>Nelson, Corey:</t>
        </r>
        <r>
          <rPr>
            <sz val="9"/>
            <color indexed="81"/>
            <rFont val="Tahoma"/>
            <family val="2"/>
          </rPr>
          <t xml:space="preserve">
Changed from 14.2 to 9836.5 per T. Wolff email.</t>
        </r>
      </text>
    </comment>
    <comment ref="BB226" authorId="0">
      <text>
        <r>
          <rPr>
            <b/>
            <sz val="9"/>
            <color indexed="81"/>
            <rFont val="Tahoma"/>
            <family val="2"/>
          </rPr>
          <t>Moline, Jason:</t>
        </r>
        <r>
          <rPr>
            <sz val="9"/>
            <color indexed="81"/>
            <rFont val="Tahoma"/>
            <family val="2"/>
          </rPr>
          <t xml:space="preserve">
changed from 0</t>
        </r>
      </text>
    </comment>
    <comment ref="CS226" authorId="1">
      <text>
        <r>
          <rPr>
            <b/>
            <sz val="9"/>
            <color indexed="81"/>
            <rFont val="Tahoma"/>
            <family val="2"/>
          </rPr>
          <t>Nelson, Corey:</t>
        </r>
        <r>
          <rPr>
            <sz val="9"/>
            <color indexed="81"/>
            <rFont val="Tahoma"/>
            <family val="2"/>
          </rPr>
          <t xml:space="preserve">
Changed from 1399.8 to 9714.6 per </t>
        </r>
      </text>
    </comment>
    <comment ref="BB227" authorId="0">
      <text>
        <r>
          <rPr>
            <b/>
            <sz val="9"/>
            <color indexed="81"/>
            <rFont val="Tahoma"/>
            <family val="2"/>
          </rPr>
          <t>Moline, Jason:</t>
        </r>
        <r>
          <rPr>
            <sz val="9"/>
            <color indexed="81"/>
            <rFont val="Tahoma"/>
            <family val="2"/>
          </rPr>
          <t xml:space="preserve">
changed from 0</t>
        </r>
      </text>
    </comment>
    <comment ref="AB231" authorId="0">
      <text>
        <r>
          <rPr>
            <b/>
            <sz val="9"/>
            <color indexed="81"/>
            <rFont val="Tahoma"/>
            <family val="2"/>
          </rPr>
          <t>Moline, Jason:</t>
        </r>
        <r>
          <rPr>
            <sz val="9"/>
            <color indexed="81"/>
            <rFont val="Tahoma"/>
            <family val="2"/>
          </rPr>
          <t xml:space="preserve">
changed from 45.5</t>
        </r>
      </text>
    </comment>
    <comment ref="BK231" authorId="0">
      <text>
        <r>
          <rPr>
            <b/>
            <sz val="9"/>
            <color indexed="81"/>
            <rFont val="Tahoma"/>
            <family val="2"/>
          </rPr>
          <t>Moline, Jason:</t>
        </r>
        <r>
          <rPr>
            <sz val="9"/>
            <color indexed="81"/>
            <rFont val="Tahoma"/>
            <family val="2"/>
          </rPr>
          <t xml:space="preserve">
changed from 6.15</t>
        </r>
      </text>
    </comment>
    <comment ref="AB234" authorId="0">
      <text>
        <r>
          <rPr>
            <b/>
            <sz val="9"/>
            <color indexed="81"/>
            <rFont val="Tahoma"/>
            <family val="2"/>
          </rPr>
          <t>Moline, Jason:</t>
        </r>
        <r>
          <rPr>
            <sz val="9"/>
            <color indexed="81"/>
            <rFont val="Tahoma"/>
            <family val="2"/>
          </rPr>
          <t xml:space="preserve">
changed from 36.3</t>
        </r>
      </text>
    </comment>
    <comment ref="F235" authorId="0">
      <text>
        <r>
          <rPr>
            <b/>
            <sz val="9"/>
            <color indexed="81"/>
            <rFont val="Tahoma"/>
            <family val="2"/>
          </rPr>
          <t>Moline, Jason:</t>
        </r>
        <r>
          <rPr>
            <sz val="9"/>
            <color indexed="81"/>
            <rFont val="Tahoma"/>
            <family val="2"/>
          </rPr>
          <t xml:space="preserve">
changed from 1.2</t>
        </r>
      </text>
    </comment>
    <comment ref="AB235" authorId="0">
      <text>
        <r>
          <rPr>
            <b/>
            <sz val="9"/>
            <color indexed="81"/>
            <rFont val="Tahoma"/>
            <family val="2"/>
          </rPr>
          <t>Moline, Jason:</t>
        </r>
        <r>
          <rPr>
            <sz val="9"/>
            <color indexed="81"/>
            <rFont val="Tahoma"/>
            <family val="2"/>
          </rPr>
          <t xml:space="preserve">
changed from 33.4</t>
        </r>
      </text>
    </comment>
    <comment ref="AB236" authorId="0">
      <text>
        <r>
          <rPr>
            <b/>
            <sz val="9"/>
            <color indexed="81"/>
            <rFont val="Tahoma"/>
            <family val="2"/>
          </rPr>
          <t>Moline, Jason:</t>
        </r>
        <r>
          <rPr>
            <sz val="9"/>
            <color indexed="81"/>
            <rFont val="Tahoma"/>
            <family val="2"/>
          </rPr>
          <t xml:space="preserve">
changed from 32.2</t>
        </r>
      </text>
    </comment>
    <comment ref="BI236" authorId="0">
      <text>
        <r>
          <rPr>
            <b/>
            <sz val="9"/>
            <color indexed="81"/>
            <rFont val="Tahoma"/>
            <family val="2"/>
          </rPr>
          <t>Moline, Jason:</t>
        </r>
        <r>
          <rPr>
            <sz val="9"/>
            <color indexed="81"/>
            <rFont val="Tahoma"/>
            <family val="2"/>
          </rPr>
          <t xml:space="preserve">
changed from 1.75</t>
        </r>
      </text>
    </comment>
    <comment ref="BN236" authorId="0">
      <text>
        <r>
          <rPr>
            <b/>
            <sz val="9"/>
            <color indexed="81"/>
            <rFont val="Tahoma"/>
            <family val="2"/>
          </rPr>
          <t>Moline, Jason:</t>
        </r>
        <r>
          <rPr>
            <sz val="9"/>
            <color indexed="81"/>
            <rFont val="Tahoma"/>
            <family val="2"/>
          </rPr>
          <t xml:space="preserve">
changed from 8</t>
        </r>
      </text>
    </comment>
    <comment ref="AB237" authorId="0">
      <text>
        <r>
          <rPr>
            <b/>
            <sz val="9"/>
            <color indexed="81"/>
            <rFont val="Tahoma"/>
            <family val="2"/>
          </rPr>
          <t>Moline, Jason:</t>
        </r>
        <r>
          <rPr>
            <sz val="9"/>
            <color indexed="81"/>
            <rFont val="Tahoma"/>
            <family val="2"/>
          </rPr>
          <t xml:space="preserve">
changed from 34</t>
        </r>
      </text>
    </comment>
    <comment ref="AB238" authorId="0">
      <text>
        <r>
          <rPr>
            <b/>
            <sz val="9"/>
            <color indexed="81"/>
            <rFont val="Tahoma"/>
            <family val="2"/>
          </rPr>
          <t>Moline, Jason:</t>
        </r>
        <r>
          <rPr>
            <sz val="9"/>
            <color indexed="81"/>
            <rFont val="Tahoma"/>
            <family val="2"/>
          </rPr>
          <t xml:space="preserve">
changed from 36.4</t>
        </r>
      </text>
    </comment>
    <comment ref="AB239" authorId="0">
      <text>
        <r>
          <rPr>
            <b/>
            <sz val="9"/>
            <color indexed="81"/>
            <rFont val="Tahoma"/>
            <family val="2"/>
          </rPr>
          <t>Moline, Jason:</t>
        </r>
        <r>
          <rPr>
            <sz val="9"/>
            <color indexed="81"/>
            <rFont val="Tahoma"/>
            <family val="2"/>
          </rPr>
          <t xml:space="preserve">
changed from 39.02</t>
        </r>
      </text>
    </comment>
    <comment ref="AB240" authorId="0">
      <text>
        <r>
          <rPr>
            <b/>
            <sz val="9"/>
            <color indexed="81"/>
            <rFont val="Tahoma"/>
            <family val="2"/>
          </rPr>
          <t>Moline, Jason:</t>
        </r>
        <r>
          <rPr>
            <sz val="9"/>
            <color indexed="81"/>
            <rFont val="Tahoma"/>
            <family val="2"/>
          </rPr>
          <t xml:space="preserve">
changed from 35.18</t>
        </r>
      </text>
    </comment>
    <comment ref="AB241" authorId="0">
      <text>
        <r>
          <rPr>
            <b/>
            <sz val="9"/>
            <color indexed="81"/>
            <rFont val="Tahoma"/>
            <family val="2"/>
          </rPr>
          <t>Moline, Jason:</t>
        </r>
        <r>
          <rPr>
            <sz val="9"/>
            <color indexed="81"/>
            <rFont val="Tahoma"/>
            <family val="2"/>
          </rPr>
          <t xml:space="preserve">
changed from 33.93</t>
        </r>
      </text>
    </comment>
    <comment ref="AB242" authorId="0">
      <text>
        <r>
          <rPr>
            <b/>
            <sz val="9"/>
            <color indexed="81"/>
            <rFont val="Tahoma"/>
            <family val="2"/>
          </rPr>
          <t>Moline, Jason:</t>
        </r>
        <r>
          <rPr>
            <sz val="9"/>
            <color indexed="81"/>
            <rFont val="Tahoma"/>
            <family val="2"/>
          </rPr>
          <t xml:space="preserve">
changed from 32.82</t>
        </r>
      </text>
    </comment>
    <comment ref="AB243" authorId="1">
      <text>
        <r>
          <rPr>
            <b/>
            <sz val="9"/>
            <color indexed="81"/>
            <rFont val="Tahoma"/>
            <family val="2"/>
          </rPr>
          <t>Nelson, Corey:</t>
        </r>
        <r>
          <rPr>
            <sz val="9"/>
            <color indexed="81"/>
            <rFont val="Tahoma"/>
            <family val="2"/>
          </rPr>
          <t xml:space="preserve">
changed from 32.82 to 35.2 per FIT-501 totalizer read.
</t>
        </r>
        <r>
          <rPr>
            <b/>
            <sz val="9"/>
            <color indexed="81"/>
            <rFont val="Tahoma"/>
            <family val="2"/>
          </rPr>
          <t>Moline, Jason:</t>
        </r>
        <r>
          <rPr>
            <sz val="9"/>
            <color indexed="81"/>
            <rFont val="Tahoma"/>
            <family val="2"/>
          </rPr>
          <t xml:space="preserve">
changed to 35.37 per FIT-501 totalizer read.
</t>
        </r>
      </text>
    </comment>
    <comment ref="BG243" authorId="1">
      <text>
        <r>
          <rPr>
            <b/>
            <sz val="9"/>
            <color indexed="81"/>
            <rFont val="Tahoma"/>
            <family val="2"/>
          </rPr>
          <t>Nelson, Corey:</t>
        </r>
        <r>
          <rPr>
            <sz val="9"/>
            <color indexed="81"/>
            <rFont val="Tahoma"/>
            <family val="2"/>
          </rPr>
          <t xml:space="preserve">
Changed from 0.0 to 4.06 per WinCC trend function.</t>
        </r>
      </text>
    </comment>
    <comment ref="EA243" authorId="1">
      <text>
        <r>
          <rPr>
            <b/>
            <sz val="9"/>
            <color indexed="81"/>
            <rFont val="Tahoma"/>
            <family val="2"/>
          </rPr>
          <t>Nelson, Corey:</t>
        </r>
        <r>
          <rPr>
            <sz val="9"/>
            <color indexed="81"/>
            <rFont val="Tahoma"/>
            <family val="2"/>
          </rPr>
          <t xml:space="preserve">
Donation of 500AF to Lakehaven from Tacoma.</t>
        </r>
      </text>
    </comment>
    <comment ref="P244" authorId="0">
      <text>
        <r>
          <rPr>
            <b/>
            <sz val="9"/>
            <color indexed="81"/>
            <rFont val="Tahoma"/>
            <family val="2"/>
          </rPr>
          <t>Moline, Jason:</t>
        </r>
        <r>
          <rPr>
            <sz val="9"/>
            <color indexed="81"/>
            <rFont val="Tahoma"/>
            <family val="2"/>
          </rPr>
          <t xml:space="preserve">
changed from 1183</t>
        </r>
      </text>
    </comment>
    <comment ref="AB244" authorId="0">
      <text>
        <r>
          <rPr>
            <b/>
            <sz val="9"/>
            <color indexed="81"/>
            <rFont val="Tahoma"/>
            <family val="2"/>
          </rPr>
          <t>Moline, Jason:</t>
        </r>
        <r>
          <rPr>
            <sz val="9"/>
            <color indexed="81"/>
            <rFont val="Tahoma"/>
            <family val="2"/>
          </rPr>
          <t xml:space="preserve">
changed from 34.2</t>
        </r>
      </text>
    </comment>
    <comment ref="AB245" authorId="0">
      <text>
        <r>
          <rPr>
            <b/>
            <sz val="9"/>
            <color indexed="81"/>
            <rFont val="Tahoma"/>
            <family val="2"/>
          </rPr>
          <t>Moline, Jason:</t>
        </r>
        <r>
          <rPr>
            <sz val="9"/>
            <color indexed="81"/>
            <rFont val="Tahoma"/>
            <family val="2"/>
          </rPr>
          <t xml:space="preserve">
changed from 28.91</t>
        </r>
      </text>
    </comment>
    <comment ref="AB246" authorId="0">
      <text>
        <r>
          <rPr>
            <b/>
            <sz val="9"/>
            <color indexed="81"/>
            <rFont val="Tahoma"/>
            <family val="2"/>
          </rPr>
          <t>Moline, Jason:</t>
        </r>
        <r>
          <rPr>
            <sz val="9"/>
            <color indexed="81"/>
            <rFont val="Tahoma"/>
            <family val="2"/>
          </rPr>
          <t xml:space="preserve">
changed from 28.49</t>
        </r>
      </text>
    </comment>
    <comment ref="BO246" authorId="0">
      <text>
        <r>
          <rPr>
            <b/>
            <sz val="9"/>
            <color indexed="81"/>
            <rFont val="Tahoma"/>
            <family val="2"/>
          </rPr>
          <t>Moline, Jason:</t>
        </r>
        <r>
          <rPr>
            <sz val="9"/>
            <color indexed="81"/>
            <rFont val="Tahoma"/>
            <family val="2"/>
          </rPr>
          <t xml:space="preserve">
changed from 23.9.1</t>
        </r>
      </text>
    </comment>
    <comment ref="AB247" authorId="0">
      <text>
        <r>
          <rPr>
            <b/>
            <sz val="9"/>
            <color indexed="81"/>
            <rFont val="Tahoma"/>
            <family val="2"/>
          </rPr>
          <t>Moline, Jason:</t>
        </r>
        <r>
          <rPr>
            <sz val="9"/>
            <color indexed="81"/>
            <rFont val="Tahoma"/>
            <family val="2"/>
          </rPr>
          <t xml:space="preserve">
changed from 28.91</t>
        </r>
      </text>
    </comment>
    <comment ref="BN247" authorId="0">
      <text>
        <r>
          <rPr>
            <b/>
            <sz val="9"/>
            <color indexed="81"/>
            <rFont val="Tahoma"/>
            <family val="2"/>
          </rPr>
          <t>Moline, Jason:</t>
        </r>
        <r>
          <rPr>
            <sz val="9"/>
            <color indexed="81"/>
            <rFont val="Tahoma"/>
            <family val="2"/>
          </rPr>
          <t xml:space="preserve">
changed from 4.7</t>
        </r>
      </text>
    </comment>
    <comment ref="AB248" authorId="0">
      <text>
        <r>
          <rPr>
            <b/>
            <sz val="9"/>
            <color indexed="81"/>
            <rFont val="Tahoma"/>
            <family val="2"/>
          </rPr>
          <t>Moline, Jason:</t>
        </r>
        <r>
          <rPr>
            <sz val="9"/>
            <color indexed="81"/>
            <rFont val="Tahoma"/>
            <family val="2"/>
          </rPr>
          <t xml:space="preserve">
changed from 28.89</t>
        </r>
      </text>
    </comment>
    <comment ref="BN248" authorId="0">
      <text>
        <r>
          <rPr>
            <b/>
            <sz val="9"/>
            <color indexed="81"/>
            <rFont val="Tahoma"/>
            <family val="2"/>
          </rPr>
          <t>Moline, Jason:</t>
        </r>
        <r>
          <rPr>
            <sz val="9"/>
            <color indexed="81"/>
            <rFont val="Tahoma"/>
            <family val="2"/>
          </rPr>
          <t xml:space="preserve">
changed from 4.9</t>
        </r>
      </text>
    </comment>
    <comment ref="AB249" authorId="0">
      <text>
        <r>
          <rPr>
            <b/>
            <sz val="9"/>
            <color indexed="81"/>
            <rFont val="Tahoma"/>
            <family val="2"/>
          </rPr>
          <t>Moline, Jason:</t>
        </r>
        <r>
          <rPr>
            <sz val="9"/>
            <color indexed="81"/>
            <rFont val="Tahoma"/>
            <family val="2"/>
          </rPr>
          <t xml:space="preserve">
changed from 28.9</t>
        </r>
      </text>
    </comment>
    <comment ref="AB250" authorId="0">
      <text>
        <r>
          <rPr>
            <b/>
            <sz val="9"/>
            <color indexed="81"/>
            <rFont val="Tahoma"/>
            <family val="2"/>
          </rPr>
          <t>Moline, Jason:</t>
        </r>
        <r>
          <rPr>
            <sz val="9"/>
            <color indexed="81"/>
            <rFont val="Tahoma"/>
            <family val="2"/>
          </rPr>
          <t xml:space="preserve">
changed from 26.7</t>
        </r>
      </text>
    </comment>
    <comment ref="BN250" authorId="0">
      <text>
        <r>
          <rPr>
            <b/>
            <sz val="9"/>
            <color indexed="81"/>
            <rFont val="Tahoma"/>
            <family val="2"/>
          </rPr>
          <t>Moline, Jason:</t>
        </r>
        <r>
          <rPr>
            <sz val="9"/>
            <color indexed="81"/>
            <rFont val="Tahoma"/>
            <family val="2"/>
          </rPr>
          <t xml:space="preserve">
changed from 1.9</t>
        </r>
      </text>
    </comment>
    <comment ref="CK250" authorId="0">
      <text>
        <r>
          <rPr>
            <b/>
            <sz val="9"/>
            <color indexed="81"/>
            <rFont val="Tahoma"/>
            <family val="2"/>
          </rPr>
          <t>Moline, Jason:</t>
        </r>
        <r>
          <rPr>
            <sz val="9"/>
            <color indexed="81"/>
            <rFont val="Tahoma"/>
            <family val="2"/>
          </rPr>
          <t xml:space="preserve">
changed from 34.47</t>
        </r>
      </text>
    </comment>
    <comment ref="EA251" authorId="0">
      <text>
        <r>
          <rPr>
            <b/>
            <sz val="9"/>
            <color indexed="81"/>
            <rFont val="Tahoma"/>
            <family val="2"/>
          </rPr>
          <t>Moline, Jason:</t>
        </r>
        <r>
          <rPr>
            <sz val="9"/>
            <color indexed="81"/>
            <rFont val="Tahoma"/>
            <family val="2"/>
          </rPr>
          <t xml:space="preserve">
Donation of 500 AF to Lakehaven from Tacoma per Glen George</t>
        </r>
      </text>
    </comment>
    <comment ref="AB252" authorId="0">
      <text>
        <r>
          <rPr>
            <b/>
            <sz val="9"/>
            <color indexed="81"/>
            <rFont val="Tahoma"/>
            <family val="2"/>
          </rPr>
          <t>Moline, Jason:</t>
        </r>
        <r>
          <rPr>
            <sz val="9"/>
            <color indexed="81"/>
            <rFont val="Tahoma"/>
            <family val="2"/>
          </rPr>
          <t xml:space="preserve">
changed from 37.3</t>
        </r>
      </text>
    </comment>
    <comment ref="AB255" authorId="0">
      <text>
        <r>
          <rPr>
            <b/>
            <sz val="9"/>
            <color indexed="81"/>
            <rFont val="Tahoma"/>
            <family val="2"/>
          </rPr>
          <t>Moline, Jason:</t>
        </r>
        <r>
          <rPr>
            <sz val="9"/>
            <color indexed="81"/>
            <rFont val="Tahoma"/>
            <family val="2"/>
          </rPr>
          <t xml:space="preserve">
changed from 46.88</t>
        </r>
      </text>
    </comment>
    <comment ref="BG269" authorId="1">
      <text>
        <r>
          <rPr>
            <b/>
            <sz val="9"/>
            <color indexed="81"/>
            <rFont val="Tahoma"/>
            <family val="2"/>
          </rPr>
          <t>Nelson, Corey:</t>
        </r>
        <r>
          <rPr>
            <sz val="9"/>
            <color indexed="81"/>
            <rFont val="Tahoma"/>
            <family val="2"/>
          </rPr>
          <t xml:space="preserve">
Changed from 0.0 to 3.14 per WinCC trend value.  Totalizer is errored.</t>
        </r>
      </text>
    </comment>
    <comment ref="AB271" authorId="1">
      <text>
        <r>
          <rPr>
            <b/>
            <sz val="9"/>
            <color indexed="81"/>
            <rFont val="Tahoma"/>
            <family val="2"/>
          </rPr>
          <t>Nelson, Corey:</t>
        </r>
        <r>
          <rPr>
            <sz val="9"/>
            <color indexed="81"/>
            <rFont val="Tahoma"/>
            <family val="2"/>
          </rPr>
          <t xml:space="preserve">
Changed from 4.18 to 44.18 per WinCC.</t>
        </r>
      </text>
    </comment>
    <comment ref="EB271" authorId="1">
      <text>
        <r>
          <rPr>
            <b/>
            <sz val="9"/>
            <color indexed="81"/>
            <rFont val="Tahoma"/>
            <family val="2"/>
          </rPr>
          <t>Nelson, Corey:</t>
        </r>
        <r>
          <rPr>
            <sz val="9"/>
            <color indexed="81"/>
            <rFont val="Tahoma"/>
            <family val="2"/>
          </rPr>
          <t xml:space="preserve">
Donation of 307 AF from Kent to Lakehaven per Sean Bauer (9/18/17 email).
</t>
        </r>
      </text>
    </comment>
    <comment ref="Z272" authorId="0">
      <text>
        <r>
          <rPr>
            <b/>
            <sz val="9"/>
            <color indexed="81"/>
            <rFont val="Tahoma"/>
            <family val="2"/>
          </rPr>
          <t>Moline, Jason:</t>
        </r>
        <r>
          <rPr>
            <sz val="9"/>
            <color indexed="81"/>
            <rFont val="Tahoma"/>
            <family val="2"/>
          </rPr>
          <t xml:space="preserve">
changed from 4.18</t>
        </r>
      </text>
    </comment>
    <comment ref="BF273" authorId="1">
      <text>
        <r>
          <rPr>
            <b/>
            <sz val="9"/>
            <color indexed="81"/>
            <rFont val="Tahoma"/>
            <family val="2"/>
          </rPr>
          <t>Nelson, Corey:</t>
        </r>
        <r>
          <rPr>
            <sz val="9"/>
            <color indexed="81"/>
            <rFont val="Tahoma"/>
            <family val="2"/>
          </rPr>
          <t xml:space="preserve">
Changed from 1.99 to 1.06 per WinCC totalizer.  Misread.</t>
        </r>
      </text>
    </comment>
    <comment ref="EA278" authorId="0">
      <text>
        <r>
          <rPr>
            <b/>
            <sz val="9"/>
            <color indexed="81"/>
            <rFont val="Tahoma"/>
            <family val="2"/>
          </rPr>
          <t>Moline, Jason:</t>
        </r>
        <r>
          <rPr>
            <sz val="9"/>
            <color indexed="81"/>
            <rFont val="Tahoma"/>
            <family val="2"/>
          </rPr>
          <t xml:space="preserve">
donation to 1135 per Glen and Corey</t>
        </r>
      </text>
    </comment>
    <comment ref="BN288" authorId="0">
      <text>
        <r>
          <rPr>
            <b/>
            <sz val="9"/>
            <color indexed="81"/>
            <rFont val="Tahoma"/>
            <family val="2"/>
          </rPr>
          <t>Moline, Jason:</t>
        </r>
        <r>
          <rPr>
            <sz val="9"/>
            <color indexed="81"/>
            <rFont val="Tahoma"/>
            <family val="2"/>
          </rPr>
          <t xml:space="preserve">
changed form 21.7</t>
        </r>
      </text>
    </comment>
    <comment ref="EA288" authorId="1">
      <text>
        <r>
          <rPr>
            <b/>
            <sz val="9"/>
            <color indexed="81"/>
            <rFont val="Tahoma"/>
            <family val="2"/>
          </rPr>
          <t>Nelson, Corey:</t>
        </r>
        <r>
          <rPr>
            <sz val="9"/>
            <color indexed="81"/>
            <rFont val="Tahoma"/>
            <family val="2"/>
          </rPr>
          <t xml:space="preserve">
10/6/17: Tacoma donating 153 AF to CWD and 153 AF to Lakhaven.</t>
        </r>
      </text>
    </comment>
    <comment ref="CS291" authorId="1">
      <text>
        <r>
          <rPr>
            <b/>
            <sz val="9"/>
            <color indexed="81"/>
            <rFont val="Tahoma"/>
            <family val="2"/>
          </rPr>
          <t>Nelson, Corey:</t>
        </r>
        <r>
          <rPr>
            <sz val="9"/>
            <color indexed="81"/>
            <rFont val="Tahoma"/>
            <family val="2"/>
          </rPr>
          <t xml:space="preserve">
10/16/17.  Ran SE-11 for maintenance of shaft.</t>
        </r>
      </text>
    </comment>
    <comment ref="EA292" authorId="0">
      <text>
        <r>
          <rPr>
            <b/>
            <sz val="9"/>
            <color indexed="81"/>
            <rFont val="Tahoma"/>
            <family val="2"/>
          </rPr>
          <t>Moline, Jason:</t>
        </r>
        <r>
          <rPr>
            <sz val="9"/>
            <color indexed="81"/>
            <rFont val="Tahoma"/>
            <family val="2"/>
          </rPr>
          <t xml:space="preserve">
donation to 1135 per Glen and Corey</t>
        </r>
      </text>
    </comment>
    <comment ref="BC294" authorId="0">
      <text>
        <r>
          <rPr>
            <b/>
            <sz val="9"/>
            <color indexed="81"/>
            <rFont val="Tahoma"/>
            <family val="2"/>
          </rPr>
          <t>Moline, Jason:</t>
        </r>
        <r>
          <rPr>
            <sz val="9"/>
            <color indexed="81"/>
            <rFont val="Tahoma"/>
            <family val="2"/>
          </rPr>
          <t xml:space="preserve">
changed from 49</t>
        </r>
      </text>
    </comment>
    <comment ref="BD295" authorId="0">
      <text>
        <r>
          <rPr>
            <b/>
            <sz val="9"/>
            <color indexed="81"/>
            <rFont val="Tahoma"/>
            <family val="2"/>
          </rPr>
          <t>Moline, Jason:</t>
        </r>
        <r>
          <rPr>
            <sz val="9"/>
            <color indexed="81"/>
            <rFont val="Tahoma"/>
            <family val="2"/>
          </rPr>
          <t xml:space="preserve">
changed from 1.2</t>
        </r>
      </text>
    </comment>
    <comment ref="AB296" authorId="0">
      <text>
        <r>
          <rPr>
            <b/>
            <sz val="9"/>
            <color indexed="81"/>
            <rFont val="Tahoma"/>
            <family val="2"/>
          </rPr>
          <t>Moline, Jason:</t>
        </r>
        <r>
          <rPr>
            <sz val="9"/>
            <color indexed="81"/>
            <rFont val="Tahoma"/>
            <family val="2"/>
          </rPr>
          <t xml:space="preserve">
changed from 32.9</t>
        </r>
      </text>
    </comment>
    <comment ref="AT299" authorId="1">
      <text>
        <r>
          <rPr>
            <b/>
            <sz val="9"/>
            <color indexed="81"/>
            <rFont val="Tahoma"/>
            <family val="2"/>
          </rPr>
          <t>Nelson, Corey:</t>
        </r>
        <r>
          <rPr>
            <sz val="9"/>
            <color indexed="81"/>
            <rFont val="Tahoma"/>
            <family val="2"/>
          </rPr>
          <t xml:space="preserve">
10/20/17.  SCADA information is bad.  Verify meter read.  (See email to Marc Powell).</t>
        </r>
      </text>
    </comment>
    <comment ref="AB305" authorId="0">
      <text>
        <r>
          <rPr>
            <b/>
            <sz val="9"/>
            <color indexed="81"/>
            <rFont val="Tahoma"/>
            <family val="2"/>
          </rPr>
          <t>Moline, Jason:</t>
        </r>
        <r>
          <rPr>
            <sz val="9"/>
            <color indexed="81"/>
            <rFont val="Tahoma"/>
            <family val="2"/>
          </rPr>
          <t xml:space="preserve">
changed from 26.93</t>
        </r>
      </text>
    </comment>
    <comment ref="DC306" authorId="1">
      <text>
        <r>
          <rPr>
            <b/>
            <sz val="9"/>
            <color indexed="81"/>
            <rFont val="Tahoma"/>
            <family val="2"/>
          </rPr>
          <t>Nelson, Corey:</t>
        </r>
        <r>
          <rPr>
            <sz val="9"/>
            <color indexed="81"/>
            <rFont val="Tahoma"/>
            <family val="2"/>
          </rPr>
          <t xml:space="preserve">
11/2/17.  Changed from 1104 to 1115.82.</t>
        </r>
      </text>
    </comment>
    <comment ref="AB308" authorId="0">
      <text>
        <r>
          <rPr>
            <b/>
            <sz val="9"/>
            <color indexed="81"/>
            <rFont val="Tahoma"/>
            <family val="2"/>
          </rPr>
          <t>Moline, Jason:</t>
        </r>
        <r>
          <rPr>
            <sz val="9"/>
            <color indexed="81"/>
            <rFont val="Tahoma"/>
            <family val="2"/>
          </rPr>
          <t xml:space="preserve">
changed from 26.9</t>
        </r>
      </text>
    </comment>
    <comment ref="BG311" authorId="1">
      <text>
        <r>
          <rPr>
            <b/>
            <sz val="9"/>
            <color indexed="81"/>
            <rFont val="Tahoma"/>
            <family val="2"/>
          </rPr>
          <t>Nelson, Corey:</t>
        </r>
        <r>
          <rPr>
            <sz val="9"/>
            <color indexed="81"/>
            <rFont val="Tahoma"/>
            <family val="2"/>
          </rPr>
          <t xml:space="preserve">
11/2/17.  Corrected from 0.0 to estimated 2.00 due to temporary glitch with daily totalizer read.</t>
        </r>
      </text>
    </comment>
    <comment ref="AB312" authorId="0">
      <text>
        <r>
          <rPr>
            <b/>
            <sz val="9"/>
            <color indexed="81"/>
            <rFont val="Tahoma"/>
            <family val="2"/>
          </rPr>
          <t>Moline, Jason:</t>
        </r>
        <r>
          <rPr>
            <sz val="9"/>
            <color indexed="81"/>
            <rFont val="Tahoma"/>
            <family val="2"/>
          </rPr>
          <t xml:space="preserve">
changed from 32.9</t>
        </r>
      </text>
    </comment>
    <comment ref="DC312" authorId="1">
      <text>
        <r>
          <rPr>
            <b/>
            <sz val="9"/>
            <color indexed="81"/>
            <rFont val="Tahoma"/>
            <family val="2"/>
          </rPr>
          <t>Nelson, Corey:</t>
        </r>
        <r>
          <rPr>
            <sz val="9"/>
            <color indexed="81"/>
            <rFont val="Tahoma"/>
            <family val="2"/>
          </rPr>
          <t xml:space="preserve">
11/2/17 changed from 1088.53 to 1087.35.</t>
        </r>
      </text>
    </comment>
    <comment ref="DC313" authorId="1">
      <text>
        <r>
          <rPr>
            <b/>
            <sz val="9"/>
            <color indexed="81"/>
            <rFont val="Tahoma"/>
            <family val="2"/>
          </rPr>
          <t xml:space="preserve">Nelson, Corey
</t>
        </r>
        <r>
          <rPr>
            <sz val="9"/>
            <color indexed="81"/>
            <rFont val="Tahoma"/>
            <family val="2"/>
          </rPr>
          <t xml:space="preserve">11/2/17 changed from 1083.00 to 1083.46
</t>
        </r>
      </text>
    </comment>
    <comment ref="R318" authorId="0">
      <text>
        <r>
          <rPr>
            <b/>
            <sz val="9"/>
            <color indexed="81"/>
            <rFont val="Tahoma"/>
            <family val="2"/>
          </rPr>
          <t>Moline, Jason:</t>
        </r>
        <r>
          <rPr>
            <sz val="9"/>
            <color indexed="81"/>
            <rFont val="Tahoma"/>
            <family val="2"/>
          </rPr>
          <t xml:space="preserve">
changed from 18919.04</t>
        </r>
      </text>
    </comment>
    <comment ref="AA319" authorId="0">
      <text>
        <r>
          <rPr>
            <b/>
            <sz val="9"/>
            <color indexed="81"/>
            <rFont val="Tahoma"/>
            <family val="2"/>
          </rPr>
          <t>Moline, Jason:</t>
        </r>
        <r>
          <rPr>
            <sz val="9"/>
            <color indexed="81"/>
            <rFont val="Tahoma"/>
            <family val="2"/>
          </rPr>
          <t xml:space="preserve">
changed from 29.2</t>
        </r>
      </text>
    </comment>
    <comment ref="AB319" authorId="0">
      <text>
        <r>
          <rPr>
            <b/>
            <sz val="9"/>
            <color indexed="81"/>
            <rFont val="Tahoma"/>
            <family val="2"/>
          </rPr>
          <t>Moline, Jason:</t>
        </r>
        <r>
          <rPr>
            <sz val="9"/>
            <color indexed="81"/>
            <rFont val="Tahoma"/>
            <family val="2"/>
          </rPr>
          <t xml:space="preserve">
changed from 31.24</t>
        </r>
      </text>
    </comment>
    <comment ref="BC322" authorId="0">
      <text>
        <r>
          <rPr>
            <b/>
            <sz val="9"/>
            <color indexed="81"/>
            <rFont val="Tahoma"/>
            <family val="2"/>
          </rPr>
          <t>Moline, Jason:</t>
        </r>
        <r>
          <rPr>
            <sz val="9"/>
            <color indexed="81"/>
            <rFont val="Tahoma"/>
            <family val="2"/>
          </rPr>
          <t xml:space="preserve">
changed from 0.66</t>
        </r>
      </text>
    </comment>
    <comment ref="BK322" authorId="0">
      <text>
        <r>
          <rPr>
            <b/>
            <sz val="9"/>
            <color indexed="81"/>
            <rFont val="Tahoma"/>
            <family val="2"/>
          </rPr>
          <t>Moline, Jason:</t>
        </r>
        <r>
          <rPr>
            <sz val="9"/>
            <color indexed="81"/>
            <rFont val="Tahoma"/>
            <family val="2"/>
          </rPr>
          <t xml:space="preserve">
changed from 3</t>
        </r>
      </text>
    </comment>
    <comment ref="BL322" authorId="0">
      <text>
        <r>
          <rPr>
            <b/>
            <sz val="9"/>
            <color indexed="81"/>
            <rFont val="Tahoma"/>
            <family val="2"/>
          </rPr>
          <t>Moline, Jason:</t>
        </r>
        <r>
          <rPr>
            <sz val="9"/>
            <color indexed="81"/>
            <rFont val="Tahoma"/>
            <family val="2"/>
          </rPr>
          <t xml:space="preserve">
changed from 4</t>
        </r>
      </text>
    </comment>
    <comment ref="AB330" authorId="0">
      <text>
        <r>
          <rPr>
            <b/>
            <sz val="9"/>
            <color indexed="81"/>
            <rFont val="Tahoma"/>
            <family val="2"/>
          </rPr>
          <t>Moline, Jason:</t>
        </r>
        <r>
          <rPr>
            <sz val="9"/>
            <color indexed="81"/>
            <rFont val="Tahoma"/>
            <family val="2"/>
          </rPr>
          <t xml:space="preserve">
changed from 29.9</t>
        </r>
      </text>
    </comment>
    <comment ref="AB332" authorId="0">
      <text>
        <r>
          <rPr>
            <b/>
            <sz val="9"/>
            <color indexed="81"/>
            <rFont val="Tahoma"/>
            <family val="2"/>
          </rPr>
          <t>Moline, Jason:</t>
        </r>
        <r>
          <rPr>
            <sz val="9"/>
            <color indexed="81"/>
            <rFont val="Tahoma"/>
            <family val="2"/>
          </rPr>
          <t xml:space="preserve">
changed from 29.9</t>
        </r>
      </text>
    </comment>
    <comment ref="L334" authorId="0">
      <text>
        <r>
          <rPr>
            <b/>
            <sz val="9"/>
            <color indexed="81"/>
            <rFont val="Tahoma"/>
            <family val="2"/>
          </rPr>
          <t>Moline, Jason:</t>
        </r>
        <r>
          <rPr>
            <sz val="9"/>
            <color indexed="81"/>
            <rFont val="Tahoma"/>
            <family val="2"/>
          </rPr>
          <t xml:space="preserve">
changed from 62.44 per GRFF - Plant Overview - North Fork Tank Flow in SCADA</t>
        </r>
      </text>
    </comment>
    <comment ref="AB337" authorId="0">
      <text>
        <r>
          <rPr>
            <b/>
            <sz val="9"/>
            <color indexed="81"/>
            <rFont val="Tahoma"/>
            <family val="2"/>
          </rPr>
          <t>Moline, Jason:</t>
        </r>
        <r>
          <rPr>
            <sz val="9"/>
            <color indexed="81"/>
            <rFont val="Tahoma"/>
            <family val="2"/>
          </rPr>
          <t xml:space="preserve">
changed from 29.9</t>
        </r>
      </text>
    </comment>
    <comment ref="AB339" authorId="0">
      <text>
        <r>
          <rPr>
            <b/>
            <sz val="9"/>
            <color indexed="81"/>
            <rFont val="Tahoma"/>
            <family val="2"/>
          </rPr>
          <t>Moline, Jason:</t>
        </r>
        <r>
          <rPr>
            <sz val="9"/>
            <color indexed="81"/>
            <rFont val="Tahoma"/>
            <family val="2"/>
          </rPr>
          <t xml:space="preserve">
changed from 27.9</t>
        </r>
      </text>
    </comment>
    <comment ref="AB340" authorId="0">
      <text>
        <r>
          <rPr>
            <b/>
            <sz val="9"/>
            <color indexed="81"/>
            <rFont val="Tahoma"/>
            <family val="2"/>
          </rPr>
          <t>Moline, Jason:</t>
        </r>
        <r>
          <rPr>
            <sz val="9"/>
            <color indexed="81"/>
            <rFont val="Tahoma"/>
            <family val="2"/>
          </rPr>
          <t xml:space="preserve">
changed from 29.4</t>
        </r>
      </text>
    </comment>
    <comment ref="BC340" authorId="1">
      <text>
        <r>
          <rPr>
            <b/>
            <sz val="9"/>
            <color indexed="81"/>
            <rFont val="Tahoma"/>
            <family val="2"/>
          </rPr>
          <t>Nelson, Corey: 11/28/17.</t>
        </r>
        <r>
          <rPr>
            <sz val="9"/>
            <color indexed="81"/>
            <rFont val="Tahoma"/>
            <family val="2"/>
          </rPr>
          <t xml:space="preserve">
SCADA system down.  Input 1.0 as placeholder.</t>
        </r>
      </text>
    </comment>
    <comment ref="BD340" authorId="1">
      <text>
        <r>
          <rPr>
            <b/>
            <sz val="9"/>
            <color indexed="81"/>
            <rFont val="Tahoma"/>
            <family val="2"/>
          </rPr>
          <t>Nelson, Corey:</t>
        </r>
        <r>
          <rPr>
            <sz val="9"/>
            <color indexed="81"/>
            <rFont val="Tahoma"/>
            <family val="2"/>
          </rPr>
          <t xml:space="preserve">
SCADA system down.  Input 1.0 as placeholder.  11/28/17.</t>
        </r>
      </text>
    </comment>
    <comment ref="BC341" authorId="1">
      <text>
        <r>
          <rPr>
            <b/>
            <sz val="9"/>
            <color indexed="81"/>
            <rFont val="Tahoma"/>
            <family val="2"/>
          </rPr>
          <t>Nelson, Corey:</t>
        </r>
        <r>
          <rPr>
            <sz val="9"/>
            <color indexed="81"/>
            <rFont val="Tahoma"/>
            <family val="2"/>
          </rPr>
          <t xml:space="preserve">
11/29/17: adjusted total flow to meet 3.0 MGD total diversions due to SCADA work.</t>
        </r>
      </text>
    </comment>
    <comment ref="BD341" authorId="1">
      <text>
        <r>
          <rPr>
            <b/>
            <sz val="9"/>
            <color indexed="81"/>
            <rFont val="Tahoma"/>
            <family val="2"/>
          </rPr>
          <t>Nelson, Corey:</t>
        </r>
        <r>
          <rPr>
            <sz val="9"/>
            <color indexed="81"/>
            <rFont val="Tahoma"/>
            <family val="2"/>
          </rPr>
          <t xml:space="preserve">
11/29/17: adjusted flow to meet 3.0 MGD total diversion due to SCADA work.</t>
        </r>
      </text>
    </comment>
    <comment ref="BC342" authorId="1">
      <text>
        <r>
          <rPr>
            <b/>
            <sz val="9"/>
            <color indexed="81"/>
            <rFont val="Tahoma"/>
            <family val="2"/>
          </rPr>
          <t>Nelson, Corey:</t>
        </r>
        <r>
          <rPr>
            <sz val="9"/>
            <color indexed="81"/>
            <rFont val="Tahoma"/>
            <family val="2"/>
          </rPr>
          <t xml:space="preserve">
11/30/17 No available read in SCADA.  Assumed 1.0 to match CWD 'scheduled' flow.</t>
        </r>
      </text>
    </comment>
    <comment ref="BD342" authorId="1">
      <text>
        <r>
          <rPr>
            <b/>
            <sz val="9"/>
            <color indexed="81"/>
            <rFont val="Tahoma"/>
            <family val="2"/>
          </rPr>
          <t>Nelson, Corey:</t>
        </r>
        <r>
          <rPr>
            <sz val="9"/>
            <color indexed="81"/>
            <rFont val="Tahoma"/>
            <family val="2"/>
          </rPr>
          <t xml:space="preserve">
11/30/17 No available read in SCADA.  Assumed 1.0 to match CWD 'scheduled' flow.</t>
        </r>
      </text>
    </comment>
    <comment ref="BF342" authorId="1">
      <text>
        <r>
          <rPr>
            <b/>
            <sz val="9"/>
            <color indexed="81"/>
            <rFont val="Tahoma"/>
            <family val="2"/>
          </rPr>
          <t>Nelson, Corey:</t>
        </r>
        <r>
          <rPr>
            <sz val="9"/>
            <color indexed="81"/>
            <rFont val="Tahoma"/>
            <family val="2"/>
          </rPr>
          <t xml:space="preserve">
11/30/17 No available read in SCADA.  Assumed 1.0 to match CWD 'scheduled' flow.</t>
        </r>
      </text>
    </comment>
    <comment ref="BC343" authorId="1">
      <text>
        <r>
          <rPr>
            <b/>
            <sz val="9"/>
            <color indexed="81"/>
            <rFont val="Tahoma"/>
            <family val="2"/>
          </rPr>
          <t>Nelson, Corey:</t>
        </r>
        <r>
          <rPr>
            <sz val="9"/>
            <color indexed="81"/>
            <rFont val="Tahoma"/>
            <family val="2"/>
          </rPr>
          <t xml:space="preserve">
12/1/17 estimated as per above note.</t>
        </r>
      </text>
    </comment>
    <comment ref="BD343" authorId="1">
      <text>
        <r>
          <rPr>
            <b/>
            <sz val="9"/>
            <color indexed="81"/>
            <rFont val="Tahoma"/>
            <family val="2"/>
          </rPr>
          <t>12/1/17:
estimated as per above note.</t>
        </r>
      </text>
    </comment>
    <comment ref="BC344" authorId="0">
      <text>
        <r>
          <rPr>
            <b/>
            <sz val="9"/>
            <color indexed="81"/>
            <rFont val="Tahoma"/>
            <family val="2"/>
          </rPr>
          <t>Moline, Jason:</t>
        </r>
        <r>
          <rPr>
            <sz val="9"/>
            <color indexed="81"/>
            <rFont val="Tahoma"/>
            <family val="2"/>
          </rPr>
          <t xml:space="preserve">
changed from 0.22</t>
        </r>
      </text>
    </comment>
    <comment ref="BD344" authorId="0">
      <text>
        <r>
          <rPr>
            <b/>
            <sz val="9"/>
            <color indexed="81"/>
            <rFont val="Tahoma"/>
            <family val="2"/>
          </rPr>
          <t>Moline, Jason:</t>
        </r>
        <r>
          <rPr>
            <sz val="9"/>
            <color indexed="81"/>
            <rFont val="Tahoma"/>
            <family val="2"/>
          </rPr>
          <t xml:space="preserve">
changed from 0.44</t>
        </r>
      </text>
    </comment>
    <comment ref="AB346" authorId="0">
      <text>
        <r>
          <rPr>
            <b/>
            <sz val="9"/>
            <color indexed="81"/>
            <rFont val="Tahoma"/>
            <family val="2"/>
          </rPr>
          <t>Moline, Jason:</t>
        </r>
        <r>
          <rPr>
            <sz val="9"/>
            <color indexed="81"/>
            <rFont val="Tahoma"/>
            <family val="2"/>
          </rPr>
          <t xml:space="preserve">
changed from 25.04</t>
        </r>
      </text>
    </comment>
    <comment ref="AA348" authorId="0">
      <text>
        <r>
          <rPr>
            <b/>
            <sz val="9"/>
            <color indexed="81"/>
            <rFont val="Tahoma"/>
            <family val="2"/>
          </rPr>
          <t>Moline, Jason:</t>
        </r>
        <r>
          <rPr>
            <sz val="9"/>
            <color indexed="81"/>
            <rFont val="Tahoma"/>
            <family val="2"/>
          </rPr>
          <t xml:space="preserve">
changed from 28</t>
        </r>
      </text>
    </comment>
    <comment ref="AB348" authorId="0">
      <text>
        <r>
          <rPr>
            <b/>
            <sz val="9"/>
            <color indexed="81"/>
            <rFont val="Tahoma"/>
            <family val="2"/>
          </rPr>
          <t>Moline, Jason:</t>
        </r>
        <r>
          <rPr>
            <sz val="9"/>
            <color indexed="81"/>
            <rFont val="Tahoma"/>
            <family val="2"/>
          </rPr>
          <t xml:space="preserve">
changed from 27.2</t>
        </r>
      </text>
    </comment>
    <comment ref="CJ348" authorId="0">
      <text>
        <r>
          <rPr>
            <b/>
            <sz val="9"/>
            <color indexed="81"/>
            <rFont val="Tahoma"/>
            <family val="2"/>
          </rPr>
          <t>Moline, Jason:</t>
        </r>
        <r>
          <rPr>
            <sz val="9"/>
            <color indexed="81"/>
            <rFont val="Tahoma"/>
            <family val="2"/>
          </rPr>
          <t xml:space="preserve">
changed from 1313</t>
        </r>
      </text>
    </comment>
    <comment ref="AB349" authorId="0">
      <text>
        <r>
          <rPr>
            <b/>
            <sz val="9"/>
            <color indexed="81"/>
            <rFont val="Tahoma"/>
            <family val="2"/>
          </rPr>
          <t>Moline, Jason:</t>
        </r>
        <r>
          <rPr>
            <sz val="9"/>
            <color indexed="81"/>
            <rFont val="Tahoma"/>
            <family val="2"/>
          </rPr>
          <t xml:space="preserve">
changed from 32</t>
        </r>
      </text>
    </comment>
    <comment ref="BF349" authorId="0">
      <text>
        <r>
          <rPr>
            <b/>
            <sz val="9"/>
            <color indexed="81"/>
            <rFont val="Tahoma"/>
            <family val="2"/>
          </rPr>
          <t>Moline, Jason:</t>
        </r>
        <r>
          <rPr>
            <sz val="9"/>
            <color indexed="81"/>
            <rFont val="Tahoma"/>
            <family val="2"/>
          </rPr>
          <t xml:space="preserve">
No available read in SCADA.  Assumed 0.5 to get close to CWD scheduled flow.</t>
        </r>
      </text>
    </comment>
    <comment ref="BN349" authorId="0">
      <text>
        <r>
          <rPr>
            <b/>
            <sz val="9"/>
            <color indexed="81"/>
            <rFont val="Tahoma"/>
            <family val="2"/>
          </rPr>
          <t>Moline, Jason:</t>
        </r>
        <r>
          <rPr>
            <sz val="9"/>
            <color indexed="81"/>
            <rFont val="Tahoma"/>
            <family val="2"/>
          </rPr>
          <t xml:space="preserve">
changed from 21.2</t>
        </r>
      </text>
    </comment>
    <comment ref="AB350" authorId="0">
      <text>
        <r>
          <rPr>
            <b/>
            <sz val="9"/>
            <color indexed="81"/>
            <rFont val="Tahoma"/>
            <family val="2"/>
          </rPr>
          <t>Moline, Jason:</t>
        </r>
        <r>
          <rPr>
            <sz val="9"/>
            <color indexed="81"/>
            <rFont val="Tahoma"/>
            <family val="2"/>
          </rPr>
          <t xml:space="preserve">
changed from 32.9</t>
        </r>
      </text>
    </comment>
    <comment ref="BF350" authorId="0">
      <text>
        <r>
          <rPr>
            <b/>
            <sz val="9"/>
            <color indexed="81"/>
            <rFont val="Tahoma"/>
            <family val="2"/>
          </rPr>
          <t>Moline, Jason:</t>
        </r>
        <r>
          <rPr>
            <sz val="9"/>
            <color indexed="81"/>
            <rFont val="Tahoma"/>
            <family val="2"/>
          </rPr>
          <t xml:space="preserve">
No available read in SCADA.  Assumed 0.5 to match CWD scheduled flow.</t>
        </r>
      </text>
    </comment>
    <comment ref="CF359" authorId="0">
      <text>
        <r>
          <rPr>
            <b/>
            <sz val="9"/>
            <color indexed="81"/>
            <rFont val="Tahoma"/>
            <family val="2"/>
          </rPr>
          <t>Moline, Jason:</t>
        </r>
        <r>
          <rPr>
            <sz val="9"/>
            <color indexed="81"/>
            <rFont val="Tahoma"/>
            <family val="2"/>
          </rPr>
          <t xml:space="preserve">
changed from 0.3 to 13.3 per SCADA</t>
        </r>
      </text>
    </comment>
  </commentList>
</comments>
</file>

<file path=xl/comments6.xml><?xml version="1.0" encoding="utf-8"?>
<comments xmlns="http://schemas.openxmlformats.org/spreadsheetml/2006/main">
  <authors>
    <author>jmoline</author>
    <author>Moline, Jason</author>
    <author>cnelson</author>
    <author>Nelson, Corey</author>
  </authors>
  <commentList>
    <comment ref="A1" authorId="0">
      <text>
        <r>
          <rPr>
            <b/>
            <sz val="8"/>
            <color indexed="81"/>
            <rFont val="Tahoma"/>
            <family val="2"/>
          </rPr>
          <t>jmoline:</t>
        </r>
        <r>
          <rPr>
            <sz val="8"/>
            <color indexed="81"/>
            <rFont val="Tahoma"/>
            <family val="2"/>
          </rPr>
          <t xml:space="preserve">
Must be the year of the report for equations to work properly.</t>
        </r>
      </text>
    </comment>
    <comment ref="GG4" authorId="1">
      <text>
        <r>
          <rPr>
            <b/>
            <sz val="9"/>
            <color indexed="81"/>
            <rFont val="Tahoma"/>
            <family val="2"/>
          </rPr>
          <t>Moline, Jason:</t>
        </r>
        <r>
          <rPr>
            <sz val="9"/>
            <color indexed="81"/>
            <rFont val="Tahoma"/>
            <family val="2"/>
          </rPr>
          <t xml:space="preserve">
set as half max storage</t>
        </r>
      </text>
    </comment>
    <comment ref="Q5" authorId="1">
      <text>
        <r>
          <rPr>
            <b/>
            <sz val="9"/>
            <color indexed="81"/>
            <rFont val="Tahoma"/>
            <family val="2"/>
          </rPr>
          <t>Moline, Jason:</t>
        </r>
        <r>
          <rPr>
            <sz val="9"/>
            <color indexed="81"/>
            <rFont val="Tahoma"/>
            <family val="2"/>
          </rPr>
          <t xml:space="preserve">
If SDWR is not sufficient, or it is storage season, returns total diversion minus SDWR ROR delivered minus stored SDWR delivered.</t>
        </r>
      </text>
    </comment>
    <comment ref="AP5" authorId="1">
      <text>
        <r>
          <rPr>
            <b/>
            <sz val="9"/>
            <color indexed="81"/>
            <rFont val="Tahoma"/>
            <family val="2"/>
          </rPr>
          <t>Moline, Jason:</t>
        </r>
        <r>
          <rPr>
            <sz val="9"/>
            <color indexed="81"/>
            <rFont val="Tahoma"/>
            <family val="2"/>
          </rPr>
          <t xml:space="preserve">
All P5 wholesale plus P5 at 356th</t>
        </r>
      </text>
    </comment>
    <comment ref="AQ5" authorId="2">
      <text>
        <r>
          <rPr>
            <b/>
            <sz val="10"/>
            <color indexed="81"/>
            <rFont val="Tahoma"/>
            <family val="2"/>
          </rPr>
          <t>cnelson:</t>
        </r>
        <r>
          <rPr>
            <sz val="10"/>
            <color indexed="81"/>
            <rFont val="Tahoma"/>
            <family val="2"/>
          </rPr>
          <t xml:space="preserve">
10/21/13 changed to reflect P5 Flow @356th instead of column AP.
</t>
        </r>
      </text>
    </comment>
    <comment ref="GQ5" authorId="0">
      <text>
        <r>
          <rPr>
            <b/>
            <sz val="8"/>
            <color indexed="81"/>
            <rFont val="Tahoma"/>
            <family val="2"/>
          </rPr>
          <t>jmoline:</t>
        </r>
        <r>
          <rPr>
            <sz val="8"/>
            <color indexed="81"/>
            <rFont val="Tahoma"/>
            <family val="2"/>
          </rPr>
          <t xml:space="preserve">
After end of storage date, =0.  Then adds storage adjustment.</t>
        </r>
      </text>
    </comment>
    <comment ref="D7" authorId="0">
      <text>
        <r>
          <rPr>
            <b/>
            <sz val="8"/>
            <color indexed="81"/>
            <rFont val="Tahoma"/>
            <family val="2"/>
          </rPr>
          <t>jmoline:</t>
        </r>
        <r>
          <rPr>
            <sz val="8"/>
            <color indexed="81"/>
            <rFont val="Tahoma"/>
            <family val="2"/>
          </rPr>
          <t xml:space="preserve">
From July 15 to Sept 15, uses 200 cfs, per Section 2.2.1 of MIT Agreement.  From Sept 16 to July 14, uses 300 cfs.</t>
        </r>
      </text>
    </comment>
    <comment ref="E7" authorId="0">
      <text>
        <r>
          <rPr>
            <b/>
            <sz val="8"/>
            <color indexed="81"/>
            <rFont val="Tahoma"/>
            <family val="2"/>
          </rPr>
          <t>jmoline:</t>
        </r>
        <r>
          <rPr>
            <sz val="8"/>
            <color indexed="81"/>
            <rFont val="Tahoma"/>
            <family val="2"/>
          </rPr>
          <t xml:space="preserve">
From July 15 to Sept 15, uses 400 cfs, per Section 2.2.2 of MIT Agreement.  Otherwise uses 250 cfs.</t>
        </r>
      </text>
    </comment>
    <comment ref="H7" authorId="0">
      <text>
        <r>
          <rPr>
            <b/>
            <sz val="8"/>
            <color indexed="81"/>
            <rFont val="Tahoma"/>
            <family val="2"/>
          </rPr>
          <t>jmoline:</t>
        </r>
        <r>
          <rPr>
            <sz val="8"/>
            <color indexed="81"/>
            <rFont val="Tahoma"/>
            <family val="2"/>
          </rPr>
          <t xml:space="preserve">
HH Inflow + 2% must be greater than FDWR (113 cfs) plus Palmer min (200 or 300 cfs) for SDWR.
7/17/17 - Replaced "HH Inflow" in header with "Absent Fisheries Storage"
</t>
        </r>
        <r>
          <rPr>
            <b/>
            <sz val="8"/>
            <color indexed="81"/>
            <rFont val="Tahoma"/>
            <family val="2"/>
          </rPr>
          <t xml:space="preserve">
cnelson:</t>
        </r>
        <r>
          <rPr>
            <sz val="8"/>
            <color indexed="81"/>
            <rFont val="Tahoma"/>
            <family val="2"/>
          </rPr>
          <t xml:space="preserve">
5/15/15 Update:  Inflow in and of itself is not applicable to availability of SDWR per Glen. </t>
        </r>
      </text>
    </comment>
    <comment ref="J7" authorId="0">
      <text>
        <r>
          <rPr>
            <b/>
            <sz val="8"/>
            <color indexed="81"/>
            <rFont val="Tahoma"/>
            <family val="2"/>
          </rPr>
          <t>jmoline:</t>
        </r>
        <r>
          <rPr>
            <sz val="8"/>
            <color indexed="81"/>
            <rFont val="Tahoma"/>
            <family val="2"/>
          </rPr>
          <t xml:space="preserve">
revised on 5/3/10 to use old formula except during refill period, where SDWR=64.64 MGD unless flow at Palmer is below minimum.
5/15/15 Update:  Revised to show the Palmer restriction as the Palmer gage + Tacoma Withdrawal - Palmer minimum.</t>
        </r>
      </text>
    </comment>
    <comment ref="K7" authorId="3">
      <text>
        <r>
          <rPr>
            <b/>
            <sz val="9"/>
            <color indexed="81"/>
            <rFont val="Tahoma"/>
            <family val="2"/>
          </rPr>
          <t>Nelson, Corey:</t>
        </r>
        <r>
          <rPr>
            <sz val="9"/>
            <color indexed="81"/>
            <rFont val="Tahoma"/>
            <family val="2"/>
          </rPr>
          <t xml:space="preserve">
Revised 5/15/15 to exclude the Inflow + 2% (in and of itself) as a condition of SDWR .</t>
        </r>
      </text>
    </comment>
    <comment ref="L7" authorId="1">
      <text>
        <r>
          <rPr>
            <b/>
            <sz val="9"/>
            <color indexed="81"/>
            <rFont val="Tahoma"/>
            <family val="2"/>
          </rPr>
          <t>Moline, Jason:</t>
        </r>
        <r>
          <rPr>
            <sz val="9"/>
            <color indexed="81"/>
            <rFont val="Tahoma"/>
            <family val="2"/>
          </rPr>
          <t xml:space="preserve">
7/8/15 changed to subtract out SDWR use</t>
        </r>
      </text>
    </comment>
    <comment ref="R7" authorId="2">
      <text>
        <r>
          <rPr>
            <b/>
            <sz val="10"/>
            <color indexed="81"/>
            <rFont val="Tahoma"/>
            <family val="2"/>
          </rPr>
          <t>cnelson:</t>
        </r>
        <r>
          <rPr>
            <sz val="10"/>
            <color indexed="81"/>
            <rFont val="Tahoma"/>
            <family val="2"/>
          </rPr>
          <t xml:space="preserve">
Disregard this column for now.</t>
        </r>
      </text>
    </comment>
    <comment ref="S7" authorId="2">
      <text>
        <r>
          <rPr>
            <b/>
            <sz val="10"/>
            <color indexed="81"/>
            <rFont val="Tahoma"/>
            <family val="2"/>
          </rPr>
          <t>cnelson:</t>
        </r>
        <r>
          <rPr>
            <sz val="10"/>
            <color indexed="81"/>
            <rFont val="Tahoma"/>
            <family val="2"/>
          </rPr>
          <t xml:space="preserve">
(3/13/13, cn) adjusted for date after storage begin and before storage attained to equal Partner's metered use (instead of zero).
(7/8/15, jm) added units (MGD)</t>
        </r>
      </text>
    </comment>
    <comment ref="T7" authorId="2">
      <text>
        <r>
          <rPr>
            <b/>
            <sz val="10"/>
            <color indexed="81"/>
            <rFont val="Tahoma"/>
            <family val="2"/>
          </rPr>
          <t xml:space="preserve">cnelson:
</t>
        </r>
        <r>
          <rPr>
            <sz val="10"/>
            <color indexed="81"/>
            <rFont val="Tahoma"/>
            <family val="2"/>
          </rPr>
          <t xml:space="preserve">(3/13/13) changed to Partners metered flow (instead of Partners adjusted flow) due to the 'Total SDWR ROR Taken' column value exceeding water right of 64.64mgd.
 </t>
        </r>
      </text>
    </comment>
    <comment ref="Y7" authorId="1">
      <text>
        <r>
          <rPr>
            <b/>
            <sz val="9"/>
            <color indexed="81"/>
            <rFont val="Tahoma"/>
            <family val="2"/>
          </rPr>
          <t>Moline, Jason:</t>
        </r>
        <r>
          <rPr>
            <sz val="9"/>
            <color indexed="81"/>
            <rFont val="Tahoma"/>
            <family val="2"/>
          </rPr>
          <t xml:space="preserve">
If it is refill season, or if total diversion is greater than SDWR available, returns FALSE.</t>
        </r>
      </text>
    </comment>
    <comment ref="AH7" authorId="0">
      <text>
        <r>
          <rPr>
            <b/>
            <sz val="8"/>
            <color indexed="81"/>
            <rFont val="Tahoma"/>
            <family val="2"/>
          </rPr>
          <t>jmoline:</t>
        </r>
        <r>
          <rPr>
            <sz val="8"/>
            <color indexed="81"/>
            <rFont val="Tahoma"/>
            <family val="2"/>
          </rPr>
          <t xml:space="preserve">
equation changed 7/21/10
sum of Tacoma, Kent, Covington, and Lakehaven storage use</t>
        </r>
      </text>
    </comment>
    <comment ref="AN7" authorId="0">
      <text>
        <r>
          <rPr>
            <b/>
            <sz val="8"/>
            <color indexed="81"/>
            <rFont val="Tahoma"/>
            <family val="2"/>
          </rPr>
          <t>jmoline:</t>
        </r>
        <r>
          <rPr>
            <sz val="8"/>
            <color indexed="81"/>
            <rFont val="Tahoma"/>
            <family val="2"/>
          </rPr>
          <t xml:space="preserve">
If the date is after the begin storage date and before the storage split date, use the sum of all the partners' (incl. Tacoma) storage or the maximum storage, whichever is less.
If the date is the storage split date, use the maximum storage after split.
If the date is after the storage split date and before the end of the storage season, use the sum of all the partners' (incl. Tacoma) storage.
If the date is the end of the storage season or after, use 0.</t>
        </r>
      </text>
    </comment>
    <comment ref="AS7" authorId="0">
      <text>
        <r>
          <rPr>
            <b/>
            <sz val="8"/>
            <color indexed="81"/>
            <rFont val="Tahoma"/>
            <family val="2"/>
          </rPr>
          <t>jmoline:</t>
        </r>
        <r>
          <rPr>
            <sz val="8"/>
            <color indexed="81"/>
            <rFont val="Tahoma"/>
            <family val="2"/>
          </rPr>
          <t xml:space="preserve">
= CWA + Auburn + CWA via Covington</t>
        </r>
      </text>
    </comment>
    <comment ref="AU7" authorId="0">
      <text>
        <r>
          <rPr>
            <b/>
            <sz val="8"/>
            <color indexed="81"/>
            <rFont val="Tahoma"/>
            <family val="2"/>
          </rPr>
          <t>jmoline:</t>
        </r>
        <r>
          <rPr>
            <sz val="8"/>
            <color indexed="81"/>
            <rFont val="Tahoma"/>
            <family val="2"/>
          </rPr>
          <t xml:space="preserve">
If SDW Taken is less than SDWR Available, gets 0.  Otherwise gets P1 plus P5 @ 356th minus SDWR Available minus FDWR (as long as this is greater than the Tacoma Delivery Schedule and is positive).
</t>
        </r>
      </text>
    </comment>
    <comment ref="AZ7" authorId="0">
      <text>
        <r>
          <rPr>
            <b/>
            <sz val="8"/>
            <color indexed="81"/>
            <rFont val="Tahoma"/>
            <family val="2"/>
          </rPr>
          <t>cnelson: adjusted to correct summary page 8/20/13   
jmoline:</t>
        </r>
        <r>
          <rPr>
            <sz val="8"/>
            <color indexed="81"/>
            <rFont val="Tahoma"/>
            <family val="2"/>
          </rPr>
          <t xml:space="preserve">
This is the extra water at Palmer, minus the extra water at Auburn, minus the unused portion of the FDWR.</t>
        </r>
      </text>
    </comment>
    <comment ref="BN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BP7" authorId="0">
      <text>
        <r>
          <rPr>
            <b/>
            <sz val="8"/>
            <color indexed="81"/>
            <rFont val="Tahoma"/>
            <family val="2"/>
          </rPr>
          <t>jmoline:</t>
        </r>
        <r>
          <rPr>
            <sz val="8"/>
            <color indexed="81"/>
            <rFont val="Tahoma"/>
            <family val="2"/>
          </rPr>
          <t xml:space="preserve">
Meter adjusted minus storage drawdown, or zero, whichever is greater.
</t>
        </r>
      </text>
    </comment>
    <comment ref="BQ7" authorId="0">
      <text>
        <r>
          <rPr>
            <b/>
            <sz val="8"/>
            <color indexed="81"/>
            <rFont val="Tahoma"/>
            <family val="2"/>
          </rPr>
          <t>jmoline:</t>
        </r>
        <r>
          <rPr>
            <sz val="8"/>
            <color indexed="81"/>
            <rFont val="Tahoma"/>
            <family val="2"/>
          </rPr>
          <t xml:space="preserve">
Column added 5/6/10, and revised 5/25/10.
Formula per 2/12/10 motion.  Returns 0 if the partner has not asked for North Fork water, or if P1+P5=0 (to avoid DIV/0 message).
Old formula charged for North Fork water unless it looked like the partner was shut off:
=IF(AND($O9&gt;0,BA9&gt;Sheet1!EE9-0.1),(1-($O9-Sheet1!$L9)/$O9)*BB9,0)</t>
        </r>
      </text>
    </comment>
    <comment ref="BR7" authorId="0">
      <text>
        <r>
          <rPr>
            <b/>
            <sz val="8"/>
            <color indexed="81"/>
            <rFont val="Tahoma"/>
            <family val="2"/>
          </rPr>
          <t>jmoline:</t>
        </r>
        <r>
          <rPr>
            <sz val="8"/>
            <color indexed="81"/>
            <rFont val="Tahoma"/>
            <family val="2"/>
          </rPr>
          <t xml:space="preserve">
Added 5/7/10.  Generally this is the adjusted actual minus the partner's North Fork water.  However, if the unadjusted actual is significantly below the schedule, no North Fork water was used that day or the day before, and the schedule is not changing, the schedule is used.
Cnelson; removed the 'scheduled use of storage' portion per discussion with finance. (3/13/15).</t>
        </r>
      </text>
    </comment>
    <comment ref="CI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K7" authorId="0">
      <text>
        <r>
          <rPr>
            <b/>
            <sz val="8"/>
            <color indexed="81"/>
            <rFont val="Tahoma"/>
            <family val="2"/>
          </rPr>
          <t>jmoline:</t>
        </r>
        <r>
          <rPr>
            <sz val="8"/>
            <color indexed="81"/>
            <rFont val="Tahoma"/>
            <family val="2"/>
          </rPr>
          <t xml:space="preserve">
includes both SDWR ROR and any FDWR ROR (such as North Fork Water)</t>
        </r>
      </text>
    </comment>
    <comment ref="CL7" authorId="0">
      <text>
        <r>
          <rPr>
            <b/>
            <sz val="8"/>
            <color indexed="81"/>
            <rFont val="Tahoma"/>
            <family val="2"/>
          </rPr>
          <t>jmoline:</t>
        </r>
        <r>
          <rPr>
            <sz val="8"/>
            <color indexed="81"/>
            <rFont val="Tahoma"/>
            <family val="2"/>
          </rPr>
          <t xml:space="preserve">
added 5/6/10, revised 5/25/10</t>
        </r>
      </text>
    </comment>
    <comment ref="CM7" authorId="0">
      <text>
        <r>
          <rPr>
            <b/>
            <sz val="8"/>
            <color indexed="81"/>
            <rFont val="Tahoma"/>
            <family val="2"/>
          </rPr>
          <t>jmoline:</t>
        </r>
        <r>
          <rPr>
            <sz val="8"/>
            <color indexed="81"/>
            <rFont val="Tahoma"/>
            <family val="2"/>
          </rPr>
          <t xml:space="preserve">
added 5/7/10
Cnelson; removed the 'scheduled use of storage' portion per discussion with finance. (3/13/15).</t>
        </r>
      </text>
    </comment>
    <comment ref="DB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DE7" authorId="0">
      <text>
        <r>
          <rPr>
            <b/>
            <sz val="8"/>
            <color indexed="81"/>
            <rFont val="Tahoma"/>
            <family val="2"/>
          </rPr>
          <t>jmoline:</t>
        </r>
        <r>
          <rPr>
            <sz val="8"/>
            <color indexed="81"/>
            <rFont val="Tahoma"/>
            <family val="2"/>
          </rPr>
          <t xml:space="preserve">
added 5/6/10, revised 5/25/10</t>
        </r>
      </text>
    </comment>
    <comment ref="DF7" authorId="0">
      <text>
        <r>
          <rPr>
            <b/>
            <sz val="8"/>
            <color indexed="81"/>
            <rFont val="Tahoma"/>
            <family val="2"/>
          </rPr>
          <t>jmoline:</t>
        </r>
        <r>
          <rPr>
            <sz val="8"/>
            <color indexed="81"/>
            <rFont val="Tahoma"/>
            <family val="2"/>
          </rPr>
          <t xml:space="preserve">
added 5/7/10
Cnelson; removed the 'scheduled use of storage' portion per discussion with finance. (3/13/15).</t>
        </r>
      </text>
    </comment>
    <comment ref="EB7" authorId="0">
      <text>
        <r>
          <rPr>
            <b/>
            <sz val="8"/>
            <color indexed="81"/>
            <rFont val="Tahoma"/>
            <family val="2"/>
          </rPr>
          <t>jmoline:</t>
        </r>
        <r>
          <rPr>
            <sz val="8"/>
            <color indexed="81"/>
            <rFont val="Tahoma"/>
            <family val="2"/>
          </rPr>
          <t xml:space="preserve">
equals zero during storage use season</t>
        </r>
      </text>
    </comment>
    <comment ref="FO7" authorId="2">
      <text>
        <r>
          <rPr>
            <b/>
            <sz val="10"/>
            <color indexed="81"/>
            <rFont val="Tahoma"/>
            <family val="2"/>
          </rPr>
          <t>cnelson:</t>
        </r>
        <r>
          <rPr>
            <sz val="10"/>
            <color indexed="81"/>
            <rFont val="Tahoma"/>
            <family val="2"/>
          </rPr>
          <t xml:space="preserve">
changed calculation to include gpm to MGD conversion.  Previous calculation just added the two values.</t>
        </r>
      </text>
    </comment>
    <comment ref="FV7" authorId="0">
      <text>
        <r>
          <rPr>
            <b/>
            <sz val="8"/>
            <color indexed="81"/>
            <rFont val="Tahoma"/>
            <family val="2"/>
          </rPr>
          <t>jmoline:</t>
        </r>
        <r>
          <rPr>
            <sz val="8"/>
            <color indexed="81"/>
            <rFont val="Tahoma"/>
            <family val="2"/>
          </rPr>
          <t xml:space="preserve">
column added 7/9/10</t>
        </r>
      </text>
    </comment>
    <comment ref="FW7" authorId="0">
      <text>
        <r>
          <rPr>
            <b/>
            <sz val="8"/>
            <color indexed="81"/>
            <rFont val="Tahoma"/>
            <family val="2"/>
          </rPr>
          <t>jmoline:</t>
        </r>
        <r>
          <rPr>
            <sz val="8"/>
            <color indexed="81"/>
            <rFont val="Tahoma"/>
            <family val="2"/>
          </rPr>
          <t xml:space="preserve">
column added 7/9/10</t>
        </r>
      </text>
    </comment>
    <comment ref="GH7" authorId="2">
      <text>
        <r>
          <rPr>
            <b/>
            <sz val="10"/>
            <color indexed="81"/>
            <rFont val="Tahoma"/>
            <family val="2"/>
          </rPr>
          <t>cnelson:</t>
        </r>
        <r>
          <rPr>
            <sz val="10"/>
            <color indexed="81"/>
            <rFont val="Tahoma"/>
            <family val="2"/>
          </rPr>
          <t xml:space="preserve">
Must select arbitrary dates for "Storage" section for new file to calculate correctly.  Revise as dates become available.
</t>
        </r>
      </text>
    </comment>
    <comment ref="GJ7" authorId="0">
      <text>
        <r>
          <rPr>
            <b/>
            <sz val="8"/>
            <color indexed="81"/>
            <rFont val="Tahoma"/>
            <family val="2"/>
          </rPr>
          <t>jmoline:</t>
        </r>
        <r>
          <rPr>
            <sz val="8"/>
            <color indexed="81"/>
            <rFont val="Tahoma"/>
            <family val="2"/>
          </rPr>
          <t xml:space="preserve">
Distributes extra SDWR ROR from the partners that are full to the partners that are not full, and tops off all the partners on the storage attained date.</t>
        </r>
      </text>
    </comment>
    <comment ref="HB7" authorId="0">
      <text>
        <r>
          <rPr>
            <b/>
            <sz val="8"/>
            <color indexed="81"/>
            <rFont val="Tahoma"/>
            <family val="2"/>
          </rPr>
          <t>jmoline:</t>
        </r>
        <r>
          <rPr>
            <sz val="8"/>
            <color indexed="81"/>
            <rFont val="Tahoma"/>
            <family val="2"/>
          </rPr>
          <t xml:space="preserve">
This is excess SDWR water available after one or more of the partners already has attained full storage.</t>
        </r>
      </text>
    </comment>
    <comment ref="HC7" authorId="0">
      <text>
        <r>
          <rPr>
            <b/>
            <sz val="8"/>
            <color indexed="81"/>
            <rFont val="Tahoma"/>
            <family val="2"/>
          </rPr>
          <t>jmoline:</t>
        </r>
        <r>
          <rPr>
            <sz val="8"/>
            <color indexed="81"/>
            <rFont val="Tahoma"/>
            <family val="2"/>
          </rPr>
          <t xml:space="preserve">
Takes extra water when available, but not more than necessary to fill the partner's storage.</t>
        </r>
      </text>
    </comment>
    <comment ref="HQ7" authorId="1">
      <text>
        <r>
          <rPr>
            <b/>
            <sz val="9"/>
            <color indexed="81"/>
            <rFont val="Tahoma"/>
            <family val="2"/>
          </rPr>
          <t>Moline, Jason:</t>
        </r>
        <r>
          <rPr>
            <sz val="9"/>
            <color indexed="81"/>
            <rFont val="Tahoma"/>
            <family val="2"/>
          </rPr>
          <t xml:space="preserve">
Palmer instream min + FDWR</t>
        </r>
      </text>
    </comment>
    <comment ref="HS7" authorId="1">
      <text>
        <r>
          <rPr>
            <b/>
            <sz val="9"/>
            <color indexed="81"/>
            <rFont val="Tahoma"/>
            <family val="2"/>
          </rPr>
          <t>Moline, Jason:</t>
        </r>
        <r>
          <rPr>
            <sz val="9"/>
            <color indexed="81"/>
            <rFont val="Tahoma"/>
            <family val="2"/>
          </rPr>
          <t xml:space="preserve">
Palmer min + inflow between Auburn &amp; Palmer</t>
        </r>
      </text>
    </comment>
    <comment ref="IH7" authorId="1">
      <text>
        <r>
          <rPr>
            <b/>
            <sz val="9"/>
            <color indexed="81"/>
            <rFont val="Tahoma"/>
            <family val="2"/>
          </rPr>
          <t>Moline, Jason:</t>
        </r>
        <r>
          <rPr>
            <sz val="9"/>
            <color indexed="81"/>
            <rFont val="Tahoma"/>
            <family val="2"/>
          </rPr>
          <t xml:space="preserve">
added 11/15/17</t>
        </r>
      </text>
    </comment>
    <comment ref="II7" authorId="1">
      <text>
        <r>
          <rPr>
            <b/>
            <sz val="9"/>
            <color indexed="81"/>
            <rFont val="Tahoma"/>
            <family val="2"/>
          </rPr>
          <t>Moline, Jason:</t>
        </r>
        <r>
          <rPr>
            <sz val="9"/>
            <color indexed="81"/>
            <rFont val="Tahoma"/>
            <family val="2"/>
          </rPr>
          <t xml:space="preserve">
added 11/15/17</t>
        </r>
      </text>
    </comment>
    <comment ref="GQ10" authorId="3">
      <text>
        <r>
          <rPr>
            <b/>
            <sz val="9"/>
            <color indexed="81"/>
            <rFont val="Tahoma"/>
            <family val="2"/>
          </rPr>
          <t>Nelson, Corey:</t>
        </r>
        <r>
          <rPr>
            <sz val="9"/>
            <color indexed="81"/>
            <rFont val="Tahoma"/>
            <family val="2"/>
          </rPr>
          <t xml:space="preserve">
Changed 'max tacoma' number in equation from 2716.2 to 1392.1 due to not getting full and 'unallocated' share added.
</t>
        </r>
      </text>
    </comment>
    <comment ref="H12" authorId="1">
      <text>
        <r>
          <rPr>
            <b/>
            <sz val="9"/>
            <color indexed="81"/>
            <rFont val="Tahoma"/>
            <family val="2"/>
          </rPr>
          <t>Moline, Jason:</t>
        </r>
        <r>
          <rPr>
            <sz val="9"/>
            <color indexed="81"/>
            <rFont val="Tahoma"/>
            <family val="2"/>
          </rPr>
          <t xml:space="preserve">
Calc revised 10/6/16.
Assumes SDWR is not available if instream flow at Auburn or Palmer would not have been above the minimum without any augmentation from HHD storage.  See letter dated 8/20/07.  Calculation considers estimated FDWR taken for these calculations.
Assumes all Tacoma demand up to 73 MGD is from FDWR during refill and storage season.
Assumes total diversion up to 100 cfs is from SDWR, and only any remainer is from FDWR during flood control season.</t>
        </r>
      </text>
    </comment>
    <comment ref="I12" authorId="1">
      <text>
        <r>
          <rPr>
            <b/>
            <sz val="9"/>
            <color indexed="81"/>
            <rFont val="Tahoma"/>
            <family val="2"/>
          </rPr>
          <t>Moline, Jason:</t>
        </r>
        <r>
          <rPr>
            <sz val="9"/>
            <color indexed="81"/>
            <rFont val="Tahoma"/>
            <family val="2"/>
          </rPr>
          <t xml:space="preserve">
Calc revised 10-5-16.
This is the surplus at Auburn plus the total diversion.  If this would be a negative number, 0 is used instead.</t>
        </r>
      </text>
    </comment>
    <comment ref="J12" authorId="1">
      <text>
        <r>
          <rPr>
            <b/>
            <sz val="9"/>
            <color indexed="81"/>
            <rFont val="Tahoma"/>
            <family val="2"/>
          </rPr>
          <t>Moline, Jason:</t>
        </r>
        <r>
          <rPr>
            <sz val="9"/>
            <color indexed="81"/>
            <rFont val="Tahoma"/>
            <family val="2"/>
          </rPr>
          <t xml:space="preserve">
Calc revised 10-5-16.
This is the surplus at Palmer plus the total diversion.  If this would be a negative number, 0 is used instead.</t>
        </r>
      </text>
    </comment>
    <comment ref="K12" authorId="1">
      <text>
        <r>
          <rPr>
            <b/>
            <sz val="9"/>
            <color indexed="81"/>
            <rFont val="Tahoma"/>
            <family val="2"/>
          </rPr>
          <t>Moline, Jason:</t>
        </r>
        <r>
          <rPr>
            <sz val="9"/>
            <color indexed="81"/>
            <rFont val="Tahoma"/>
            <family val="2"/>
          </rPr>
          <t xml:space="preserve">
revised Aug and Oct 2016</t>
        </r>
      </text>
    </comment>
    <comment ref="N12" authorId="1">
      <text>
        <r>
          <rPr>
            <b/>
            <sz val="9"/>
            <color indexed="81"/>
            <rFont val="Tahoma"/>
            <family val="2"/>
          </rPr>
          <t>Moline, Jason:</t>
        </r>
        <r>
          <rPr>
            <sz val="9"/>
            <color indexed="81"/>
            <rFont val="Tahoma"/>
            <family val="2"/>
          </rPr>
          <t xml:space="preserve">
Calc revised 10-6-16 to use FDWR = 113 cfs max.</t>
        </r>
      </text>
    </comment>
    <comment ref="Q12" authorId="1">
      <text>
        <r>
          <rPr>
            <b/>
            <sz val="9"/>
            <color indexed="81"/>
            <rFont val="Tahoma"/>
            <family val="2"/>
          </rPr>
          <t>Moline, Jason:</t>
        </r>
        <r>
          <rPr>
            <sz val="9"/>
            <color indexed="81"/>
            <rFont val="Tahoma"/>
            <family val="2"/>
          </rPr>
          <t xml:space="preserve">
changed formula to not use more than available</t>
        </r>
      </text>
    </comment>
    <comment ref="U12" authorId="1">
      <text>
        <r>
          <rPr>
            <b/>
            <sz val="9"/>
            <color indexed="81"/>
            <rFont val="Tahoma"/>
            <family val="2"/>
          </rPr>
          <t>Moline, Jason:</t>
        </r>
        <r>
          <rPr>
            <sz val="9"/>
            <color indexed="81"/>
            <rFont val="Tahoma"/>
            <family val="2"/>
          </rPr>
          <t xml:space="preserve">
Calc revised 10-6-16 to use only adjusted SDWR, rather than using scheduled SDWR if higher.</t>
        </r>
      </text>
    </comment>
    <comment ref="AW12" authorId="3">
      <text>
        <r>
          <rPr>
            <b/>
            <sz val="9"/>
            <color indexed="81"/>
            <rFont val="Tahoma"/>
            <family val="2"/>
          </rPr>
          <t>Nelson, Corey:</t>
        </r>
        <r>
          <rPr>
            <sz val="9"/>
            <color indexed="81"/>
            <rFont val="Tahoma"/>
            <family val="2"/>
          </rPr>
          <t xml:space="preserve">
Reverted back to (palmer gage minus 110)
</t>
        </r>
      </text>
    </comment>
    <comment ref="BA12" authorId="3">
      <text>
        <r>
          <rPr>
            <b/>
            <sz val="9"/>
            <color indexed="81"/>
            <rFont val="Tahoma"/>
            <family val="2"/>
          </rPr>
          <t>Nelson, Corey:</t>
        </r>
        <r>
          <rPr>
            <sz val="9"/>
            <color indexed="81"/>
            <rFont val="Tahoma"/>
            <family val="2"/>
          </rPr>
          <t xml:space="preserve">
Changed to HV column
</t>
        </r>
      </text>
    </comment>
    <comment ref="HQ12" authorId="1">
      <text>
        <r>
          <rPr>
            <b/>
            <sz val="9"/>
            <color indexed="81"/>
            <rFont val="Tahoma"/>
            <family val="2"/>
          </rPr>
          <t>Moline, Jason:</t>
        </r>
        <r>
          <rPr>
            <sz val="9"/>
            <color indexed="81"/>
            <rFont val="Tahoma"/>
            <family val="2"/>
          </rPr>
          <t xml:space="preserve">
Revised formula so that before Tacoma contributes to instream flow at Auburn, Corps must pass inflows and drawdown per the guide curve during storage season as needed to maintain instream flow at Auburn.
Also revised to consider 2% side stream flow between HHD and Tacoma's diversion.</t>
        </r>
      </text>
    </comment>
    <comment ref="HR12" authorId="1">
      <text>
        <r>
          <rPr>
            <b/>
            <sz val="9"/>
            <color indexed="81"/>
            <rFont val="Tahoma"/>
            <family val="2"/>
          </rPr>
          <t>Moline, Jason:</t>
        </r>
        <r>
          <rPr>
            <sz val="9"/>
            <color indexed="81"/>
            <rFont val="Tahoma"/>
            <family val="2"/>
          </rPr>
          <t xml:space="preserve">
revised to consider 2% side stream flow</t>
        </r>
      </text>
    </comment>
    <comment ref="H13" authorId="1">
      <text>
        <r>
          <rPr>
            <b/>
            <sz val="9"/>
            <color indexed="81"/>
            <rFont val="Tahoma"/>
            <family val="2"/>
          </rPr>
          <t>Moline, Jason:</t>
        </r>
        <r>
          <rPr>
            <sz val="9"/>
            <color indexed="81"/>
            <rFont val="Tahoma"/>
            <family val="2"/>
          </rPr>
          <t xml:space="preserve">
revised 11/15/17</t>
        </r>
      </text>
    </comment>
    <comment ref="BG17" authorId="1">
      <text>
        <r>
          <rPr>
            <b/>
            <sz val="9"/>
            <color indexed="81"/>
            <rFont val="Tahoma"/>
            <family val="2"/>
          </rPr>
          <t>Moline, Jason:</t>
        </r>
        <r>
          <rPr>
            <sz val="9"/>
            <color indexed="81"/>
            <rFont val="Tahoma"/>
            <family val="2"/>
          </rPr>
          <t xml:space="preserve">
changed since SDWR not available</t>
        </r>
      </text>
    </comment>
    <comment ref="BM17" authorId="1">
      <text>
        <r>
          <rPr>
            <b/>
            <sz val="9"/>
            <color indexed="81"/>
            <rFont val="Tahoma"/>
            <family val="2"/>
          </rPr>
          <t>Moline, Jason:</t>
        </r>
        <r>
          <rPr>
            <sz val="9"/>
            <color indexed="81"/>
            <rFont val="Tahoma"/>
            <family val="2"/>
          </rPr>
          <t xml:space="preserve">
changed since SDWR not available</t>
        </r>
      </text>
    </comment>
    <comment ref="BP17" authorId="1">
      <text>
        <r>
          <rPr>
            <b/>
            <sz val="9"/>
            <color indexed="81"/>
            <rFont val="Tahoma"/>
            <family val="2"/>
          </rPr>
          <t>Moline, Jason:</t>
        </r>
        <r>
          <rPr>
            <sz val="9"/>
            <color indexed="81"/>
            <rFont val="Tahoma"/>
            <family val="2"/>
          </rPr>
          <t xml:space="preserve">
changed since SDWR not available</t>
        </r>
      </text>
    </comment>
    <comment ref="BX17" authorId="1">
      <text>
        <r>
          <rPr>
            <b/>
            <sz val="9"/>
            <color indexed="81"/>
            <rFont val="Tahoma"/>
            <family val="2"/>
          </rPr>
          <t>Moline, Jason:</t>
        </r>
        <r>
          <rPr>
            <sz val="9"/>
            <color indexed="81"/>
            <rFont val="Tahoma"/>
            <family val="2"/>
          </rPr>
          <t xml:space="preserve">
changed since SDWR not available</t>
        </r>
      </text>
    </comment>
    <comment ref="BZ17" authorId="1">
      <text>
        <r>
          <rPr>
            <b/>
            <sz val="9"/>
            <color indexed="81"/>
            <rFont val="Tahoma"/>
            <family val="2"/>
          </rPr>
          <t>Moline, Jason:</t>
        </r>
        <r>
          <rPr>
            <sz val="9"/>
            <color indexed="81"/>
            <rFont val="Tahoma"/>
            <family val="2"/>
          </rPr>
          <t xml:space="preserve">
changed since SDWR not available</t>
        </r>
      </text>
    </comment>
    <comment ref="CH17" authorId="1">
      <text>
        <r>
          <rPr>
            <b/>
            <sz val="9"/>
            <color indexed="81"/>
            <rFont val="Tahoma"/>
            <family val="2"/>
          </rPr>
          <t>Moline, Jason:</t>
        </r>
        <r>
          <rPr>
            <sz val="9"/>
            <color indexed="81"/>
            <rFont val="Tahoma"/>
            <family val="2"/>
          </rPr>
          <t xml:space="preserve">
adjusted since SDWR not available</t>
        </r>
      </text>
    </comment>
    <comment ref="CI17" authorId="1">
      <text>
        <r>
          <rPr>
            <b/>
            <sz val="9"/>
            <color indexed="81"/>
            <rFont val="Tahoma"/>
            <family val="2"/>
          </rPr>
          <t>Moline, Jason:</t>
        </r>
        <r>
          <rPr>
            <sz val="9"/>
            <color indexed="81"/>
            <rFont val="Tahoma"/>
            <family val="2"/>
          </rPr>
          <t xml:space="preserve">
changed since SDWR not available</t>
        </r>
      </text>
    </comment>
    <comment ref="CK17" authorId="1">
      <text>
        <r>
          <rPr>
            <b/>
            <sz val="9"/>
            <color indexed="81"/>
            <rFont val="Tahoma"/>
            <family val="2"/>
          </rPr>
          <t>Moline, Jason:</t>
        </r>
        <r>
          <rPr>
            <sz val="9"/>
            <color indexed="81"/>
            <rFont val="Tahoma"/>
            <family val="2"/>
          </rPr>
          <t xml:space="preserve">
changed since SDWR not available</t>
        </r>
      </text>
    </comment>
    <comment ref="CS17" authorId="1">
      <text>
        <r>
          <rPr>
            <b/>
            <sz val="9"/>
            <color indexed="81"/>
            <rFont val="Tahoma"/>
            <family val="2"/>
          </rPr>
          <t>Moline, Jason:</t>
        </r>
        <r>
          <rPr>
            <sz val="9"/>
            <color indexed="81"/>
            <rFont val="Tahoma"/>
            <family val="2"/>
          </rPr>
          <t xml:space="preserve">
changed since SDWR not available</t>
        </r>
      </text>
    </comment>
    <comment ref="CU17" authorId="1">
      <text>
        <r>
          <rPr>
            <b/>
            <sz val="9"/>
            <color indexed="81"/>
            <rFont val="Tahoma"/>
            <family val="2"/>
          </rPr>
          <t>Moline, Jason:</t>
        </r>
        <r>
          <rPr>
            <sz val="9"/>
            <color indexed="81"/>
            <rFont val="Tahoma"/>
            <family val="2"/>
          </rPr>
          <t xml:space="preserve">
changed since SDWR not available</t>
        </r>
      </text>
    </comment>
    <comment ref="DA17" authorId="1">
      <text>
        <r>
          <rPr>
            <b/>
            <sz val="9"/>
            <color indexed="81"/>
            <rFont val="Tahoma"/>
            <family val="2"/>
          </rPr>
          <t>Moline, Jason:</t>
        </r>
        <r>
          <rPr>
            <sz val="9"/>
            <color indexed="81"/>
            <rFont val="Tahoma"/>
            <family val="2"/>
          </rPr>
          <t xml:space="preserve">
adjusted since SDWR not available</t>
        </r>
      </text>
    </comment>
    <comment ref="DD17" authorId="1">
      <text>
        <r>
          <rPr>
            <b/>
            <sz val="9"/>
            <color indexed="81"/>
            <rFont val="Tahoma"/>
            <family val="2"/>
          </rPr>
          <t>Moline, Jason:</t>
        </r>
        <r>
          <rPr>
            <sz val="9"/>
            <color indexed="81"/>
            <rFont val="Tahoma"/>
            <family val="2"/>
          </rPr>
          <t xml:space="preserve">
changed since SDWR not available</t>
        </r>
      </text>
    </comment>
    <comment ref="BG18" authorId="1">
      <text>
        <r>
          <rPr>
            <b/>
            <sz val="9"/>
            <color indexed="81"/>
            <rFont val="Tahoma"/>
            <family val="2"/>
          </rPr>
          <t>Moline, Jason:</t>
        </r>
        <r>
          <rPr>
            <sz val="9"/>
            <color indexed="81"/>
            <rFont val="Tahoma"/>
            <family val="2"/>
          </rPr>
          <t xml:space="preserve">
changed since SDWR not available</t>
        </r>
      </text>
    </comment>
    <comment ref="BM18" authorId="1">
      <text>
        <r>
          <rPr>
            <b/>
            <sz val="9"/>
            <color indexed="81"/>
            <rFont val="Tahoma"/>
            <family val="2"/>
          </rPr>
          <t>Moline, Jason:</t>
        </r>
        <r>
          <rPr>
            <sz val="9"/>
            <color indexed="81"/>
            <rFont val="Tahoma"/>
            <family val="2"/>
          </rPr>
          <t xml:space="preserve">
changed since SDWR not available</t>
        </r>
      </text>
    </comment>
    <comment ref="BP18" authorId="1">
      <text>
        <r>
          <rPr>
            <b/>
            <sz val="9"/>
            <color indexed="81"/>
            <rFont val="Tahoma"/>
            <family val="2"/>
          </rPr>
          <t>Moline, Jason:</t>
        </r>
        <r>
          <rPr>
            <sz val="9"/>
            <color indexed="81"/>
            <rFont val="Tahoma"/>
            <family val="2"/>
          </rPr>
          <t xml:space="preserve">
changed since SDWR not available</t>
        </r>
      </text>
    </comment>
    <comment ref="BX18" authorId="1">
      <text>
        <r>
          <rPr>
            <b/>
            <sz val="9"/>
            <color indexed="81"/>
            <rFont val="Tahoma"/>
            <family val="2"/>
          </rPr>
          <t>Moline, Jason:</t>
        </r>
        <r>
          <rPr>
            <sz val="9"/>
            <color indexed="81"/>
            <rFont val="Tahoma"/>
            <family val="2"/>
          </rPr>
          <t xml:space="preserve">
changed since SDWR not available</t>
        </r>
      </text>
    </comment>
    <comment ref="BZ18" authorId="1">
      <text>
        <r>
          <rPr>
            <b/>
            <sz val="9"/>
            <color indexed="81"/>
            <rFont val="Tahoma"/>
            <family val="2"/>
          </rPr>
          <t>Moline, Jason:</t>
        </r>
        <r>
          <rPr>
            <sz val="9"/>
            <color indexed="81"/>
            <rFont val="Tahoma"/>
            <family val="2"/>
          </rPr>
          <t xml:space="preserve">
changed since SDWR not available</t>
        </r>
      </text>
    </comment>
    <comment ref="CH18" authorId="1">
      <text>
        <r>
          <rPr>
            <b/>
            <sz val="9"/>
            <color indexed="81"/>
            <rFont val="Tahoma"/>
            <family val="2"/>
          </rPr>
          <t>Moline, Jason:</t>
        </r>
        <r>
          <rPr>
            <sz val="9"/>
            <color indexed="81"/>
            <rFont val="Tahoma"/>
            <family val="2"/>
          </rPr>
          <t xml:space="preserve">
adjusted since SDWR not available</t>
        </r>
      </text>
    </comment>
    <comment ref="CI18" authorId="1">
      <text>
        <r>
          <rPr>
            <b/>
            <sz val="9"/>
            <color indexed="81"/>
            <rFont val="Tahoma"/>
            <family val="2"/>
          </rPr>
          <t>Moline, Jason:</t>
        </r>
        <r>
          <rPr>
            <sz val="9"/>
            <color indexed="81"/>
            <rFont val="Tahoma"/>
            <family val="2"/>
          </rPr>
          <t xml:space="preserve">
changed since SDWR not available</t>
        </r>
      </text>
    </comment>
    <comment ref="CK18" authorId="1">
      <text>
        <r>
          <rPr>
            <b/>
            <sz val="9"/>
            <color indexed="81"/>
            <rFont val="Tahoma"/>
            <family val="2"/>
          </rPr>
          <t>Moline, Jason:</t>
        </r>
        <r>
          <rPr>
            <sz val="9"/>
            <color indexed="81"/>
            <rFont val="Tahoma"/>
            <family val="2"/>
          </rPr>
          <t xml:space="preserve">
changed since SDWR not available</t>
        </r>
      </text>
    </comment>
    <comment ref="CS18" authorId="1">
      <text>
        <r>
          <rPr>
            <b/>
            <sz val="9"/>
            <color indexed="81"/>
            <rFont val="Tahoma"/>
            <family val="2"/>
          </rPr>
          <t>Moline, Jason:</t>
        </r>
        <r>
          <rPr>
            <sz val="9"/>
            <color indexed="81"/>
            <rFont val="Tahoma"/>
            <family val="2"/>
          </rPr>
          <t xml:space="preserve">
changed since SDWR not available</t>
        </r>
      </text>
    </comment>
    <comment ref="CU18" authorId="1">
      <text>
        <r>
          <rPr>
            <b/>
            <sz val="9"/>
            <color indexed="81"/>
            <rFont val="Tahoma"/>
            <family val="2"/>
          </rPr>
          <t>Moline, Jason:</t>
        </r>
        <r>
          <rPr>
            <sz val="9"/>
            <color indexed="81"/>
            <rFont val="Tahoma"/>
            <family val="2"/>
          </rPr>
          <t xml:space="preserve">
changed since SDWR not available</t>
        </r>
      </text>
    </comment>
    <comment ref="DA18" authorId="1">
      <text>
        <r>
          <rPr>
            <b/>
            <sz val="9"/>
            <color indexed="81"/>
            <rFont val="Tahoma"/>
            <family val="2"/>
          </rPr>
          <t>Moline, Jason:</t>
        </r>
        <r>
          <rPr>
            <sz val="9"/>
            <color indexed="81"/>
            <rFont val="Tahoma"/>
            <family val="2"/>
          </rPr>
          <t xml:space="preserve">
adjusted since SDWR not available</t>
        </r>
      </text>
    </comment>
    <comment ref="DD18" authorId="1">
      <text>
        <r>
          <rPr>
            <b/>
            <sz val="9"/>
            <color indexed="81"/>
            <rFont val="Tahoma"/>
            <family val="2"/>
          </rPr>
          <t>Moline, Jason:</t>
        </r>
        <r>
          <rPr>
            <sz val="9"/>
            <color indexed="81"/>
            <rFont val="Tahoma"/>
            <family val="2"/>
          </rPr>
          <t xml:space="preserve">
changed since SDWR not available</t>
        </r>
      </text>
    </comment>
    <comment ref="BG24" authorId="1">
      <text>
        <r>
          <rPr>
            <b/>
            <sz val="9"/>
            <color indexed="81"/>
            <rFont val="Tahoma"/>
            <family val="2"/>
          </rPr>
          <t>Moline, Jason:</t>
        </r>
        <r>
          <rPr>
            <sz val="9"/>
            <color indexed="81"/>
            <rFont val="Tahoma"/>
            <family val="2"/>
          </rPr>
          <t xml:space="preserve">
changed since SDWR not available</t>
        </r>
      </text>
    </comment>
    <comment ref="BM24" authorId="1">
      <text>
        <r>
          <rPr>
            <b/>
            <sz val="9"/>
            <color indexed="81"/>
            <rFont val="Tahoma"/>
            <family val="2"/>
          </rPr>
          <t>Moline, Jason:</t>
        </r>
        <r>
          <rPr>
            <sz val="9"/>
            <color indexed="81"/>
            <rFont val="Tahoma"/>
            <family val="2"/>
          </rPr>
          <t xml:space="preserve">
changed since SDWR not available</t>
        </r>
      </text>
    </comment>
    <comment ref="BP24" authorId="1">
      <text>
        <r>
          <rPr>
            <b/>
            <sz val="9"/>
            <color indexed="81"/>
            <rFont val="Tahoma"/>
            <family val="2"/>
          </rPr>
          <t>Moline, Jason:</t>
        </r>
        <r>
          <rPr>
            <sz val="9"/>
            <color indexed="81"/>
            <rFont val="Tahoma"/>
            <family val="2"/>
          </rPr>
          <t xml:space="preserve">
changed since SDWR not available</t>
        </r>
      </text>
    </comment>
    <comment ref="BX24" authorId="1">
      <text>
        <r>
          <rPr>
            <b/>
            <sz val="9"/>
            <color indexed="81"/>
            <rFont val="Tahoma"/>
            <family val="2"/>
          </rPr>
          <t>Moline, Jason:</t>
        </r>
        <r>
          <rPr>
            <sz val="9"/>
            <color indexed="81"/>
            <rFont val="Tahoma"/>
            <family val="2"/>
          </rPr>
          <t xml:space="preserve">
changed since SDWR not available</t>
        </r>
      </text>
    </comment>
    <comment ref="BZ24" authorId="1">
      <text>
        <r>
          <rPr>
            <b/>
            <sz val="9"/>
            <color indexed="81"/>
            <rFont val="Tahoma"/>
            <family val="2"/>
          </rPr>
          <t>Moline, Jason:</t>
        </r>
        <r>
          <rPr>
            <sz val="9"/>
            <color indexed="81"/>
            <rFont val="Tahoma"/>
            <family val="2"/>
          </rPr>
          <t xml:space="preserve">
changed since SDWR not available</t>
        </r>
      </text>
    </comment>
    <comment ref="CH24" authorId="1">
      <text>
        <r>
          <rPr>
            <b/>
            <sz val="9"/>
            <color indexed="81"/>
            <rFont val="Tahoma"/>
            <family val="2"/>
          </rPr>
          <t>Moline, Jason:</t>
        </r>
        <r>
          <rPr>
            <sz val="9"/>
            <color indexed="81"/>
            <rFont val="Tahoma"/>
            <family val="2"/>
          </rPr>
          <t xml:space="preserve">
adjusted since SDWR not available</t>
        </r>
      </text>
    </comment>
    <comment ref="CI24" authorId="1">
      <text>
        <r>
          <rPr>
            <b/>
            <sz val="9"/>
            <color indexed="81"/>
            <rFont val="Tahoma"/>
            <family val="2"/>
          </rPr>
          <t>Moline, Jason:</t>
        </r>
        <r>
          <rPr>
            <sz val="9"/>
            <color indexed="81"/>
            <rFont val="Tahoma"/>
            <family val="2"/>
          </rPr>
          <t xml:space="preserve">
changed since SDWR not available</t>
        </r>
      </text>
    </comment>
    <comment ref="CK24" authorId="1">
      <text>
        <r>
          <rPr>
            <b/>
            <sz val="9"/>
            <color indexed="81"/>
            <rFont val="Tahoma"/>
            <family val="2"/>
          </rPr>
          <t>Moline, Jason:</t>
        </r>
        <r>
          <rPr>
            <sz val="9"/>
            <color indexed="81"/>
            <rFont val="Tahoma"/>
            <family val="2"/>
          </rPr>
          <t xml:space="preserve">
changed since SDWR not available</t>
        </r>
      </text>
    </comment>
    <comment ref="CS24" authorId="1">
      <text>
        <r>
          <rPr>
            <b/>
            <sz val="9"/>
            <color indexed="81"/>
            <rFont val="Tahoma"/>
            <family val="2"/>
          </rPr>
          <t>Moline, Jason:</t>
        </r>
        <r>
          <rPr>
            <sz val="9"/>
            <color indexed="81"/>
            <rFont val="Tahoma"/>
            <family val="2"/>
          </rPr>
          <t xml:space="preserve">
changed since SDWR not available</t>
        </r>
      </text>
    </comment>
    <comment ref="CU24" authorId="1">
      <text>
        <r>
          <rPr>
            <b/>
            <sz val="9"/>
            <color indexed="81"/>
            <rFont val="Tahoma"/>
            <family val="2"/>
          </rPr>
          <t>Moline, Jason:</t>
        </r>
        <r>
          <rPr>
            <sz val="9"/>
            <color indexed="81"/>
            <rFont val="Tahoma"/>
            <family val="2"/>
          </rPr>
          <t xml:space="preserve">
changed since SDWR not available</t>
        </r>
      </text>
    </comment>
    <comment ref="DA24" authorId="1">
      <text>
        <r>
          <rPr>
            <b/>
            <sz val="9"/>
            <color indexed="81"/>
            <rFont val="Tahoma"/>
            <family val="2"/>
          </rPr>
          <t>Moline, Jason:</t>
        </r>
        <r>
          <rPr>
            <sz val="9"/>
            <color indexed="81"/>
            <rFont val="Tahoma"/>
            <family val="2"/>
          </rPr>
          <t xml:space="preserve">
adjusted since SDWR not available</t>
        </r>
      </text>
    </comment>
    <comment ref="DD24" authorId="1">
      <text>
        <r>
          <rPr>
            <b/>
            <sz val="9"/>
            <color indexed="81"/>
            <rFont val="Tahoma"/>
            <family val="2"/>
          </rPr>
          <t>Moline, Jason:</t>
        </r>
        <r>
          <rPr>
            <sz val="9"/>
            <color indexed="81"/>
            <rFont val="Tahoma"/>
            <family val="2"/>
          </rPr>
          <t xml:space="preserve">
changed since SDWR not available</t>
        </r>
      </text>
    </comment>
    <comment ref="BG25" authorId="1">
      <text>
        <r>
          <rPr>
            <b/>
            <sz val="9"/>
            <color indexed="81"/>
            <rFont val="Tahoma"/>
            <family val="2"/>
          </rPr>
          <t>Moline, Jason:</t>
        </r>
        <r>
          <rPr>
            <sz val="9"/>
            <color indexed="81"/>
            <rFont val="Tahoma"/>
            <family val="2"/>
          </rPr>
          <t xml:space="preserve">
changed since SDWR not available</t>
        </r>
      </text>
    </comment>
    <comment ref="BM25" authorId="1">
      <text>
        <r>
          <rPr>
            <b/>
            <sz val="9"/>
            <color indexed="81"/>
            <rFont val="Tahoma"/>
            <family val="2"/>
          </rPr>
          <t>Moline, Jason:</t>
        </r>
        <r>
          <rPr>
            <sz val="9"/>
            <color indexed="81"/>
            <rFont val="Tahoma"/>
            <family val="2"/>
          </rPr>
          <t xml:space="preserve">
changed since SDWR not available</t>
        </r>
      </text>
    </comment>
    <comment ref="BP25" authorId="1">
      <text>
        <r>
          <rPr>
            <b/>
            <sz val="9"/>
            <color indexed="81"/>
            <rFont val="Tahoma"/>
            <family val="2"/>
          </rPr>
          <t>Moline, Jason:</t>
        </r>
        <r>
          <rPr>
            <sz val="9"/>
            <color indexed="81"/>
            <rFont val="Tahoma"/>
            <family val="2"/>
          </rPr>
          <t xml:space="preserve">
changed since SDWR not available</t>
        </r>
      </text>
    </comment>
    <comment ref="BX25" authorId="1">
      <text>
        <r>
          <rPr>
            <b/>
            <sz val="9"/>
            <color indexed="81"/>
            <rFont val="Tahoma"/>
            <family val="2"/>
          </rPr>
          <t>Moline, Jason:</t>
        </r>
        <r>
          <rPr>
            <sz val="9"/>
            <color indexed="81"/>
            <rFont val="Tahoma"/>
            <family val="2"/>
          </rPr>
          <t xml:space="preserve">
changed since SDWR not available</t>
        </r>
      </text>
    </comment>
    <comment ref="BZ25" authorId="1">
      <text>
        <r>
          <rPr>
            <b/>
            <sz val="9"/>
            <color indexed="81"/>
            <rFont val="Tahoma"/>
            <family val="2"/>
          </rPr>
          <t>Moline, Jason:</t>
        </r>
        <r>
          <rPr>
            <sz val="9"/>
            <color indexed="81"/>
            <rFont val="Tahoma"/>
            <family val="2"/>
          </rPr>
          <t xml:space="preserve">
changed since SDWR not available</t>
        </r>
      </text>
    </comment>
    <comment ref="CH25" authorId="1">
      <text>
        <r>
          <rPr>
            <b/>
            <sz val="9"/>
            <color indexed="81"/>
            <rFont val="Tahoma"/>
            <family val="2"/>
          </rPr>
          <t>Moline, Jason:</t>
        </r>
        <r>
          <rPr>
            <sz val="9"/>
            <color indexed="81"/>
            <rFont val="Tahoma"/>
            <family val="2"/>
          </rPr>
          <t xml:space="preserve">
adjusted since SDWR not available</t>
        </r>
      </text>
    </comment>
    <comment ref="CI25" authorId="1">
      <text>
        <r>
          <rPr>
            <b/>
            <sz val="9"/>
            <color indexed="81"/>
            <rFont val="Tahoma"/>
            <family val="2"/>
          </rPr>
          <t>Moline, Jason:</t>
        </r>
        <r>
          <rPr>
            <sz val="9"/>
            <color indexed="81"/>
            <rFont val="Tahoma"/>
            <family val="2"/>
          </rPr>
          <t xml:space="preserve">
changed since SDWR not available</t>
        </r>
      </text>
    </comment>
    <comment ref="CK25" authorId="1">
      <text>
        <r>
          <rPr>
            <b/>
            <sz val="9"/>
            <color indexed="81"/>
            <rFont val="Tahoma"/>
            <family val="2"/>
          </rPr>
          <t>Moline, Jason:</t>
        </r>
        <r>
          <rPr>
            <sz val="9"/>
            <color indexed="81"/>
            <rFont val="Tahoma"/>
            <family val="2"/>
          </rPr>
          <t xml:space="preserve">
changed since SDWR not available</t>
        </r>
      </text>
    </comment>
    <comment ref="CS25" authorId="1">
      <text>
        <r>
          <rPr>
            <b/>
            <sz val="9"/>
            <color indexed="81"/>
            <rFont val="Tahoma"/>
            <family val="2"/>
          </rPr>
          <t>Moline, Jason:</t>
        </r>
        <r>
          <rPr>
            <sz val="9"/>
            <color indexed="81"/>
            <rFont val="Tahoma"/>
            <family val="2"/>
          </rPr>
          <t xml:space="preserve">
changed since SDWR not available</t>
        </r>
      </text>
    </comment>
    <comment ref="CU25" authorId="1">
      <text>
        <r>
          <rPr>
            <b/>
            <sz val="9"/>
            <color indexed="81"/>
            <rFont val="Tahoma"/>
            <family val="2"/>
          </rPr>
          <t>Moline, Jason:</t>
        </r>
        <r>
          <rPr>
            <sz val="9"/>
            <color indexed="81"/>
            <rFont val="Tahoma"/>
            <family val="2"/>
          </rPr>
          <t xml:space="preserve">
changed since SDWR not available</t>
        </r>
      </text>
    </comment>
    <comment ref="DA25" authorId="1">
      <text>
        <r>
          <rPr>
            <b/>
            <sz val="9"/>
            <color indexed="81"/>
            <rFont val="Tahoma"/>
            <family val="2"/>
          </rPr>
          <t>Moline, Jason:</t>
        </r>
        <r>
          <rPr>
            <sz val="9"/>
            <color indexed="81"/>
            <rFont val="Tahoma"/>
            <family val="2"/>
          </rPr>
          <t xml:space="preserve">
adjusted since SDWR not available</t>
        </r>
      </text>
    </comment>
    <comment ref="DD25" authorId="1">
      <text>
        <r>
          <rPr>
            <b/>
            <sz val="9"/>
            <color indexed="81"/>
            <rFont val="Tahoma"/>
            <family val="2"/>
          </rPr>
          <t>Moline, Jason:</t>
        </r>
        <r>
          <rPr>
            <sz val="9"/>
            <color indexed="81"/>
            <rFont val="Tahoma"/>
            <family val="2"/>
          </rPr>
          <t xml:space="preserve">
changed since SDWR not available</t>
        </r>
      </text>
    </comment>
    <comment ref="BG26" authorId="1">
      <text>
        <r>
          <rPr>
            <b/>
            <sz val="9"/>
            <color indexed="81"/>
            <rFont val="Tahoma"/>
            <family val="2"/>
          </rPr>
          <t>Moline, Jason:</t>
        </r>
        <r>
          <rPr>
            <sz val="9"/>
            <color indexed="81"/>
            <rFont val="Tahoma"/>
            <family val="2"/>
          </rPr>
          <t xml:space="preserve">
changed since SDWR not available</t>
        </r>
      </text>
    </comment>
    <comment ref="BM26" authorId="1">
      <text>
        <r>
          <rPr>
            <b/>
            <sz val="9"/>
            <color indexed="81"/>
            <rFont val="Tahoma"/>
            <family val="2"/>
          </rPr>
          <t>Moline, Jason:</t>
        </r>
        <r>
          <rPr>
            <sz val="9"/>
            <color indexed="81"/>
            <rFont val="Tahoma"/>
            <family val="2"/>
          </rPr>
          <t xml:space="preserve">
changed since SDWR not available</t>
        </r>
      </text>
    </comment>
    <comment ref="BP26" authorId="1">
      <text>
        <r>
          <rPr>
            <b/>
            <sz val="9"/>
            <color indexed="81"/>
            <rFont val="Tahoma"/>
            <family val="2"/>
          </rPr>
          <t>Moline, Jason:</t>
        </r>
        <r>
          <rPr>
            <sz val="9"/>
            <color indexed="81"/>
            <rFont val="Tahoma"/>
            <family val="2"/>
          </rPr>
          <t xml:space="preserve">
changed since SDWR not available</t>
        </r>
      </text>
    </comment>
    <comment ref="BX26" authorId="1">
      <text>
        <r>
          <rPr>
            <b/>
            <sz val="9"/>
            <color indexed="81"/>
            <rFont val="Tahoma"/>
            <family val="2"/>
          </rPr>
          <t>Moline, Jason:</t>
        </r>
        <r>
          <rPr>
            <sz val="9"/>
            <color indexed="81"/>
            <rFont val="Tahoma"/>
            <family val="2"/>
          </rPr>
          <t xml:space="preserve">
changed since SDWR not available</t>
        </r>
      </text>
    </comment>
    <comment ref="BZ26" authorId="1">
      <text>
        <r>
          <rPr>
            <b/>
            <sz val="9"/>
            <color indexed="81"/>
            <rFont val="Tahoma"/>
            <family val="2"/>
          </rPr>
          <t>Moline, Jason:</t>
        </r>
        <r>
          <rPr>
            <sz val="9"/>
            <color indexed="81"/>
            <rFont val="Tahoma"/>
            <family val="2"/>
          </rPr>
          <t xml:space="preserve">
changed since SDWR not available</t>
        </r>
      </text>
    </comment>
    <comment ref="CH26" authorId="1">
      <text>
        <r>
          <rPr>
            <b/>
            <sz val="9"/>
            <color indexed="81"/>
            <rFont val="Tahoma"/>
            <family val="2"/>
          </rPr>
          <t>Moline, Jason:</t>
        </r>
        <r>
          <rPr>
            <sz val="9"/>
            <color indexed="81"/>
            <rFont val="Tahoma"/>
            <family val="2"/>
          </rPr>
          <t xml:space="preserve">
adjusted since SDWR not available</t>
        </r>
      </text>
    </comment>
    <comment ref="CI26" authorId="1">
      <text>
        <r>
          <rPr>
            <b/>
            <sz val="9"/>
            <color indexed="81"/>
            <rFont val="Tahoma"/>
            <family val="2"/>
          </rPr>
          <t>Moline, Jason:</t>
        </r>
        <r>
          <rPr>
            <sz val="9"/>
            <color indexed="81"/>
            <rFont val="Tahoma"/>
            <family val="2"/>
          </rPr>
          <t xml:space="preserve">
changed since SDWR not available</t>
        </r>
      </text>
    </comment>
    <comment ref="CK26" authorId="1">
      <text>
        <r>
          <rPr>
            <b/>
            <sz val="9"/>
            <color indexed="81"/>
            <rFont val="Tahoma"/>
            <family val="2"/>
          </rPr>
          <t>Moline, Jason:</t>
        </r>
        <r>
          <rPr>
            <sz val="9"/>
            <color indexed="81"/>
            <rFont val="Tahoma"/>
            <family val="2"/>
          </rPr>
          <t xml:space="preserve">
changed since SDWR not available</t>
        </r>
      </text>
    </comment>
    <comment ref="CS26" authorId="1">
      <text>
        <r>
          <rPr>
            <b/>
            <sz val="9"/>
            <color indexed="81"/>
            <rFont val="Tahoma"/>
            <family val="2"/>
          </rPr>
          <t>Moline, Jason:</t>
        </r>
        <r>
          <rPr>
            <sz val="9"/>
            <color indexed="81"/>
            <rFont val="Tahoma"/>
            <family val="2"/>
          </rPr>
          <t xml:space="preserve">
changed since SDWR not available</t>
        </r>
      </text>
    </comment>
    <comment ref="CU26" authorId="1">
      <text>
        <r>
          <rPr>
            <b/>
            <sz val="9"/>
            <color indexed="81"/>
            <rFont val="Tahoma"/>
            <family val="2"/>
          </rPr>
          <t>Moline, Jason:</t>
        </r>
        <r>
          <rPr>
            <sz val="9"/>
            <color indexed="81"/>
            <rFont val="Tahoma"/>
            <family val="2"/>
          </rPr>
          <t xml:space="preserve">
changed since SDWR not available</t>
        </r>
      </text>
    </comment>
    <comment ref="DA26" authorId="1">
      <text>
        <r>
          <rPr>
            <b/>
            <sz val="9"/>
            <color indexed="81"/>
            <rFont val="Tahoma"/>
            <family val="2"/>
          </rPr>
          <t>Moline, Jason:</t>
        </r>
        <r>
          <rPr>
            <sz val="9"/>
            <color indexed="81"/>
            <rFont val="Tahoma"/>
            <family val="2"/>
          </rPr>
          <t xml:space="preserve">
adjusted since SDWR not available</t>
        </r>
      </text>
    </comment>
    <comment ref="DD26" authorId="1">
      <text>
        <r>
          <rPr>
            <b/>
            <sz val="9"/>
            <color indexed="81"/>
            <rFont val="Tahoma"/>
            <family val="2"/>
          </rPr>
          <t>Moline, Jason:</t>
        </r>
        <r>
          <rPr>
            <sz val="9"/>
            <color indexed="81"/>
            <rFont val="Tahoma"/>
            <family val="2"/>
          </rPr>
          <t xml:space="preserve">
changed since SDWR not available</t>
        </r>
      </text>
    </comment>
    <comment ref="BG27" authorId="1">
      <text>
        <r>
          <rPr>
            <b/>
            <sz val="9"/>
            <color indexed="81"/>
            <rFont val="Tahoma"/>
            <family val="2"/>
          </rPr>
          <t>Moline, Jason:</t>
        </r>
        <r>
          <rPr>
            <sz val="9"/>
            <color indexed="81"/>
            <rFont val="Tahoma"/>
            <family val="2"/>
          </rPr>
          <t xml:space="preserve">
changed since SDWR not available</t>
        </r>
      </text>
    </comment>
    <comment ref="BM27" authorId="1">
      <text>
        <r>
          <rPr>
            <b/>
            <sz val="9"/>
            <color indexed="81"/>
            <rFont val="Tahoma"/>
            <family val="2"/>
          </rPr>
          <t>Moline, Jason:</t>
        </r>
        <r>
          <rPr>
            <sz val="9"/>
            <color indexed="81"/>
            <rFont val="Tahoma"/>
            <family val="2"/>
          </rPr>
          <t xml:space="preserve">
changed since SDWR not available</t>
        </r>
      </text>
    </comment>
    <comment ref="BP27" authorId="1">
      <text>
        <r>
          <rPr>
            <b/>
            <sz val="9"/>
            <color indexed="81"/>
            <rFont val="Tahoma"/>
            <family val="2"/>
          </rPr>
          <t>Moline, Jason:</t>
        </r>
        <r>
          <rPr>
            <sz val="9"/>
            <color indexed="81"/>
            <rFont val="Tahoma"/>
            <family val="2"/>
          </rPr>
          <t xml:space="preserve">
changed since SDWR not available</t>
        </r>
      </text>
    </comment>
    <comment ref="BX27" authorId="1">
      <text>
        <r>
          <rPr>
            <b/>
            <sz val="9"/>
            <color indexed="81"/>
            <rFont val="Tahoma"/>
            <family val="2"/>
          </rPr>
          <t>Moline, Jason:</t>
        </r>
        <r>
          <rPr>
            <sz val="9"/>
            <color indexed="81"/>
            <rFont val="Tahoma"/>
            <family val="2"/>
          </rPr>
          <t xml:space="preserve">
changed since SDWR not available</t>
        </r>
      </text>
    </comment>
    <comment ref="BZ27" authorId="1">
      <text>
        <r>
          <rPr>
            <b/>
            <sz val="9"/>
            <color indexed="81"/>
            <rFont val="Tahoma"/>
            <family val="2"/>
          </rPr>
          <t>Moline, Jason:</t>
        </r>
        <r>
          <rPr>
            <sz val="9"/>
            <color indexed="81"/>
            <rFont val="Tahoma"/>
            <family val="2"/>
          </rPr>
          <t xml:space="preserve">
changed since SDWR not available</t>
        </r>
      </text>
    </comment>
    <comment ref="CH27" authorId="1">
      <text>
        <r>
          <rPr>
            <b/>
            <sz val="9"/>
            <color indexed="81"/>
            <rFont val="Tahoma"/>
            <family val="2"/>
          </rPr>
          <t>Moline, Jason:</t>
        </r>
        <r>
          <rPr>
            <sz val="9"/>
            <color indexed="81"/>
            <rFont val="Tahoma"/>
            <family val="2"/>
          </rPr>
          <t xml:space="preserve">
adjusted since SDWR not available</t>
        </r>
      </text>
    </comment>
    <comment ref="CI27" authorId="1">
      <text>
        <r>
          <rPr>
            <b/>
            <sz val="9"/>
            <color indexed="81"/>
            <rFont val="Tahoma"/>
            <family val="2"/>
          </rPr>
          <t>Moline, Jason:</t>
        </r>
        <r>
          <rPr>
            <sz val="9"/>
            <color indexed="81"/>
            <rFont val="Tahoma"/>
            <family val="2"/>
          </rPr>
          <t xml:space="preserve">
changed since SDWR not available</t>
        </r>
      </text>
    </comment>
    <comment ref="CK27" authorId="1">
      <text>
        <r>
          <rPr>
            <b/>
            <sz val="9"/>
            <color indexed="81"/>
            <rFont val="Tahoma"/>
            <family val="2"/>
          </rPr>
          <t>Moline, Jason:</t>
        </r>
        <r>
          <rPr>
            <sz val="9"/>
            <color indexed="81"/>
            <rFont val="Tahoma"/>
            <family val="2"/>
          </rPr>
          <t xml:space="preserve">
changed since SDWR not available</t>
        </r>
      </text>
    </comment>
    <comment ref="CS27" authorId="1">
      <text>
        <r>
          <rPr>
            <b/>
            <sz val="9"/>
            <color indexed="81"/>
            <rFont val="Tahoma"/>
            <family val="2"/>
          </rPr>
          <t>Moline, Jason:</t>
        </r>
        <r>
          <rPr>
            <sz val="9"/>
            <color indexed="81"/>
            <rFont val="Tahoma"/>
            <family val="2"/>
          </rPr>
          <t xml:space="preserve">
changed since SDWR not available</t>
        </r>
      </text>
    </comment>
    <comment ref="CU27" authorId="1">
      <text>
        <r>
          <rPr>
            <b/>
            <sz val="9"/>
            <color indexed="81"/>
            <rFont val="Tahoma"/>
            <family val="2"/>
          </rPr>
          <t>Moline, Jason:</t>
        </r>
        <r>
          <rPr>
            <sz val="9"/>
            <color indexed="81"/>
            <rFont val="Tahoma"/>
            <family val="2"/>
          </rPr>
          <t xml:space="preserve">
changed since SDWR not available</t>
        </r>
      </text>
    </comment>
    <comment ref="DA27" authorId="1">
      <text>
        <r>
          <rPr>
            <b/>
            <sz val="9"/>
            <color indexed="81"/>
            <rFont val="Tahoma"/>
            <family val="2"/>
          </rPr>
          <t>Moline, Jason:</t>
        </r>
        <r>
          <rPr>
            <sz val="9"/>
            <color indexed="81"/>
            <rFont val="Tahoma"/>
            <family val="2"/>
          </rPr>
          <t xml:space="preserve">
adjusted since SDWR not available</t>
        </r>
      </text>
    </comment>
    <comment ref="DD27" authorId="1">
      <text>
        <r>
          <rPr>
            <b/>
            <sz val="9"/>
            <color indexed="81"/>
            <rFont val="Tahoma"/>
            <family val="2"/>
          </rPr>
          <t>Moline, Jason:</t>
        </r>
        <r>
          <rPr>
            <sz val="9"/>
            <color indexed="81"/>
            <rFont val="Tahoma"/>
            <family val="2"/>
          </rPr>
          <t xml:space="preserve">
changed since SDWR not available</t>
        </r>
      </text>
    </comment>
    <comment ref="BB164" authorId="3">
      <text>
        <r>
          <rPr>
            <b/>
            <sz val="9"/>
            <color indexed="81"/>
            <rFont val="Tahoma"/>
            <family val="2"/>
          </rPr>
          <t xml:space="preserve">Nelson, Corey:
Changed to include Column BA reduction to total Storage for Tacoma.
</t>
        </r>
      </text>
    </comment>
    <comment ref="BD179" authorId="1">
      <text>
        <r>
          <rPr>
            <b/>
            <sz val="9"/>
            <color indexed="81"/>
            <rFont val="Tahoma"/>
            <family val="2"/>
          </rPr>
          <t>Moline, Jason:</t>
        </r>
        <r>
          <rPr>
            <sz val="9"/>
            <color indexed="81"/>
            <rFont val="Tahoma"/>
            <family val="2"/>
          </rPr>
          <t xml:space="preserve">
returns #N/A on current day</t>
        </r>
      </text>
    </comment>
    <comment ref="BW179" authorId="1">
      <text>
        <r>
          <rPr>
            <b/>
            <sz val="9"/>
            <color indexed="81"/>
            <rFont val="Tahoma"/>
            <family val="2"/>
          </rPr>
          <t>Moline, Jason:</t>
        </r>
        <r>
          <rPr>
            <sz val="9"/>
            <color indexed="81"/>
            <rFont val="Tahoma"/>
            <family val="2"/>
          </rPr>
          <t xml:space="preserve">
returns #N/A on current day</t>
        </r>
      </text>
    </comment>
    <comment ref="CR179" authorId="1">
      <text>
        <r>
          <rPr>
            <b/>
            <sz val="9"/>
            <color indexed="81"/>
            <rFont val="Tahoma"/>
            <family val="2"/>
          </rPr>
          <t>Moline, Jason:</t>
        </r>
        <r>
          <rPr>
            <sz val="9"/>
            <color indexed="81"/>
            <rFont val="Tahoma"/>
            <family val="2"/>
          </rPr>
          <t xml:space="preserve">
returns #N/A on current day</t>
        </r>
      </text>
    </comment>
    <comment ref="DK179" authorId="1">
      <text>
        <r>
          <rPr>
            <b/>
            <sz val="9"/>
            <color indexed="81"/>
            <rFont val="Tahoma"/>
            <family val="2"/>
          </rPr>
          <t>Moline, Jason:</t>
        </r>
        <r>
          <rPr>
            <sz val="9"/>
            <color indexed="81"/>
            <rFont val="Tahoma"/>
            <family val="2"/>
          </rPr>
          <t xml:space="preserve">
return #N/A for current day</t>
        </r>
      </text>
    </comment>
    <comment ref="FJ193" authorId="2">
      <text>
        <r>
          <rPr>
            <b/>
            <sz val="10"/>
            <color indexed="81"/>
            <rFont val="Tahoma"/>
            <family val="2"/>
          </rPr>
          <t>cnelson:</t>
        </r>
        <r>
          <rPr>
            <sz val="10"/>
            <color indexed="81"/>
            <rFont val="Tahoma"/>
            <family val="2"/>
          </rPr>
          <t xml:space="preserve">
Moved values up 1 day.  See Ken's email regarding curve values (8/26/13).  The value listed is for 12 noon of the day listed….not 12 midnight.
</t>
        </r>
      </text>
    </comment>
    <comment ref="K194" authorId="1">
      <text>
        <r>
          <rPr>
            <b/>
            <sz val="9"/>
            <color indexed="81"/>
            <rFont val="Tahoma"/>
            <family val="2"/>
          </rPr>
          <t>Moline, Jason:</t>
        </r>
        <r>
          <rPr>
            <sz val="9"/>
            <color indexed="81"/>
            <rFont val="Tahoma"/>
            <family val="2"/>
          </rPr>
          <t xml:space="preserve">
edited July 2-4 on 11/16/17</t>
        </r>
      </text>
    </comment>
    <comment ref="U197" authorId="1">
      <text>
        <r>
          <rPr>
            <b/>
            <sz val="9"/>
            <color indexed="81"/>
            <rFont val="Tahoma"/>
            <family val="2"/>
          </rPr>
          <t>Moline, Jason:</t>
        </r>
        <r>
          <rPr>
            <sz val="9"/>
            <color indexed="81"/>
            <rFont val="Tahoma"/>
            <family val="2"/>
          </rPr>
          <t xml:space="preserve">
Added in Tacoma scheduled use of SDWR</t>
        </r>
      </text>
    </comment>
    <comment ref="AU214" authorId="1">
      <text>
        <r>
          <rPr>
            <b/>
            <sz val="9"/>
            <color indexed="81"/>
            <rFont val="Tahoma"/>
            <family val="2"/>
          </rPr>
          <t>Moline, Jason:</t>
        </r>
        <r>
          <rPr>
            <sz val="9"/>
            <color indexed="81"/>
            <rFont val="Tahoma"/>
            <family val="2"/>
          </rPr>
          <t xml:space="preserve">
adjusted to actual use on the first day when TW started taking storage</t>
        </r>
      </text>
    </comment>
    <comment ref="AU215" authorId="1">
      <text>
        <r>
          <rPr>
            <b/>
            <sz val="9"/>
            <color indexed="81"/>
            <rFont val="Tahoma"/>
            <family val="2"/>
          </rPr>
          <t>Moline, Jason:</t>
        </r>
        <r>
          <rPr>
            <sz val="9"/>
            <color indexed="81"/>
            <rFont val="Tahoma"/>
            <family val="2"/>
          </rPr>
          <t xml:space="preserve">
revised formula to use max of scheduled and adjusted flow</t>
        </r>
      </text>
    </comment>
    <comment ref="S304" authorId="1">
      <text>
        <r>
          <rPr>
            <b/>
            <sz val="9"/>
            <color indexed="81"/>
            <rFont val="Tahoma"/>
            <family val="2"/>
          </rPr>
          <t>Moline, Jason:</t>
        </r>
        <r>
          <rPr>
            <sz val="9"/>
            <color indexed="81"/>
            <rFont val="Tahoma"/>
            <family val="2"/>
          </rPr>
          <t xml:space="preserve">
Corey called ACOE on 10/18/16 to switch to ROR rather than storage</t>
        </r>
      </text>
    </comment>
    <comment ref="U304" authorId="1">
      <text>
        <r>
          <rPr>
            <b/>
            <sz val="9"/>
            <color indexed="81"/>
            <rFont val="Tahoma"/>
            <family val="2"/>
          </rPr>
          <t>Moline, Jason:</t>
        </r>
        <r>
          <rPr>
            <sz val="9"/>
            <color indexed="81"/>
            <rFont val="Tahoma"/>
            <family val="2"/>
          </rPr>
          <t xml:space="preserve">
Corey called ACOE on 10/18/16 to switch to ROR rather than storage</t>
        </r>
      </text>
    </comment>
    <comment ref="BN304" authorId="1">
      <text>
        <r>
          <rPr>
            <b/>
            <sz val="9"/>
            <color indexed="81"/>
            <rFont val="Tahoma"/>
            <family val="2"/>
          </rPr>
          <t>Moline, Jason:</t>
        </r>
        <r>
          <rPr>
            <sz val="9"/>
            <color indexed="81"/>
            <rFont val="Tahoma"/>
            <family val="2"/>
          </rPr>
          <t xml:space="preserve">
Corey called ACOE on 10/18/16 to switch to ROR rather than storage</t>
        </r>
      </text>
    </comment>
    <comment ref="CI304" authorId="1">
      <text>
        <r>
          <rPr>
            <b/>
            <sz val="9"/>
            <color indexed="81"/>
            <rFont val="Tahoma"/>
            <family val="2"/>
          </rPr>
          <t>Moline, Jason:</t>
        </r>
        <r>
          <rPr>
            <sz val="9"/>
            <color indexed="81"/>
            <rFont val="Tahoma"/>
            <family val="2"/>
          </rPr>
          <t xml:space="preserve">
Corey called ACOE on 10/18/16 to switch to ROR rather than storage</t>
        </r>
      </text>
    </comment>
    <comment ref="DB304" authorId="1">
      <text>
        <r>
          <rPr>
            <b/>
            <sz val="9"/>
            <color indexed="81"/>
            <rFont val="Tahoma"/>
            <family val="2"/>
          </rPr>
          <t>Moline, Jason:</t>
        </r>
        <r>
          <rPr>
            <sz val="9"/>
            <color indexed="81"/>
            <rFont val="Tahoma"/>
            <family val="2"/>
          </rPr>
          <t xml:space="preserve">
Corey called ACOE on 10/18/16 to switch to ROR rather than storage</t>
        </r>
      </text>
    </comment>
    <comment ref="HV335" authorId="1">
      <text>
        <r>
          <rPr>
            <b/>
            <sz val="9"/>
            <color indexed="81"/>
            <rFont val="Tahoma"/>
            <family val="2"/>
          </rPr>
          <t>Moline, Jason:</t>
        </r>
        <r>
          <rPr>
            <sz val="9"/>
            <color indexed="81"/>
            <rFont val="Tahoma"/>
            <family val="2"/>
          </rPr>
          <t xml:space="preserve">
zeroed out due to high river flows</t>
        </r>
      </text>
    </comment>
  </commentList>
</comments>
</file>

<file path=xl/comments7.xml><?xml version="1.0" encoding="utf-8"?>
<comments xmlns="http://schemas.openxmlformats.org/spreadsheetml/2006/main">
  <authors>
    <author>cjohnso2</author>
    <author>cnelson</author>
    <author>jmoline</author>
    <author>Nelson, Corey</author>
  </authors>
  <commentList>
    <comment ref="H7" authorId="0">
      <text>
        <r>
          <rPr>
            <b/>
            <sz val="8"/>
            <color indexed="81"/>
            <rFont val="Tahoma"/>
            <family val="2"/>
          </rPr>
          <t>cjohnso2:</t>
        </r>
        <r>
          <rPr>
            <sz val="8"/>
            <color indexed="81"/>
            <rFont val="Tahoma"/>
            <family val="2"/>
          </rPr>
          <t xml:space="preserve">
Alaska formula was incorrect.  Changed from G6 to H6
</t>
        </r>
      </text>
    </comment>
    <comment ref="I7" authorId="0">
      <text>
        <r>
          <rPr>
            <b/>
            <sz val="8"/>
            <color indexed="81"/>
            <rFont val="Tahoma"/>
            <family val="2"/>
          </rPr>
          <t xml:space="preserve">cjohnso2:
Corrected IH formula to I6
</t>
        </r>
      </text>
    </comment>
    <comment ref="K7" authorId="0">
      <text>
        <r>
          <rPr>
            <b/>
            <sz val="8"/>
            <color indexed="81"/>
            <rFont val="Tahoma"/>
            <family val="2"/>
          </rPr>
          <t>cjohnso2:</t>
        </r>
        <r>
          <rPr>
            <sz val="8"/>
            <color indexed="81"/>
            <rFont val="Tahoma"/>
            <family val="2"/>
          </rPr>
          <t xml:space="preserve">
Corrected IH Formula to K6</t>
        </r>
      </text>
    </comment>
    <comment ref="M7" authorId="0">
      <text>
        <r>
          <rPr>
            <b/>
            <sz val="8"/>
            <color indexed="81"/>
            <rFont val="Tahoma"/>
            <family val="2"/>
          </rPr>
          <t>cjohnso2:</t>
        </r>
        <r>
          <rPr>
            <sz val="8"/>
            <color indexed="81"/>
            <rFont val="Tahoma"/>
            <family val="2"/>
          </rPr>
          <t xml:space="preserve">
Corrected IH Formula to M6
</t>
        </r>
      </text>
    </comment>
    <comment ref="W7" authorId="1">
      <text>
        <r>
          <rPr>
            <b/>
            <sz val="10"/>
            <color indexed="81"/>
            <rFont val="Tahoma"/>
            <family val="2"/>
          </rPr>
          <t>cnelson:</t>
        </r>
        <r>
          <rPr>
            <sz val="10"/>
            <color indexed="81"/>
            <rFont val="Tahoma"/>
            <family val="2"/>
          </rPr>
          <t xml:space="preserve">
changed formula 1-18-13. must manually calculate.</t>
        </r>
      </text>
    </comment>
    <comment ref="X7" authorId="2">
      <text>
        <r>
          <rPr>
            <b/>
            <sz val="8"/>
            <color indexed="81"/>
            <rFont val="Tahoma"/>
            <family val="2"/>
          </rPr>
          <t>jmoline:</t>
        </r>
        <r>
          <rPr>
            <sz val="8"/>
            <color indexed="81"/>
            <rFont val="Tahoma"/>
            <family val="2"/>
          </rPr>
          <t xml:space="preserve">
///CN1-18-13….removed formula with retirement of old reservoirs///
formula changed on 3/14/11 from =(Sheet1!EX9-Sheet1!EX8)/1000.  (New 3.19.12 CN modified formula to 0 starting 3/16 to account for taking both open reservoirs offline.)
</t>
        </r>
      </text>
    </comment>
    <comment ref="AG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H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I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BK7" authorId="2">
      <text>
        <r>
          <rPr>
            <b/>
            <sz val="8"/>
            <color indexed="81"/>
            <rFont val="Tahoma"/>
            <family val="2"/>
          </rPr>
          <t>jmoline:</t>
        </r>
        <r>
          <rPr>
            <sz val="8"/>
            <color indexed="81"/>
            <rFont val="Tahoma"/>
            <family val="2"/>
          </rPr>
          <t xml:space="preserve">
added 3/15/10</t>
        </r>
      </text>
    </comment>
    <comment ref="BM7" authorId="2">
      <text>
        <r>
          <rPr>
            <b/>
            <sz val="8"/>
            <color indexed="81"/>
            <rFont val="Tahoma"/>
            <family val="2"/>
          </rPr>
          <t>jmoline:</t>
        </r>
        <r>
          <rPr>
            <sz val="8"/>
            <color indexed="81"/>
            <rFont val="Tahoma"/>
            <family val="2"/>
          </rPr>
          <t xml:space="preserve">
CN (1/18/13) changed to manual entry.See 2012 file for equation removed.  Added 6/10/10.  Assumes that all water in McMillin below 11.5' goes to the spillway or the cleaning pond.
CN(1/18/13) changed reference cell to new covered reservoir.</t>
        </r>
      </text>
    </comment>
    <comment ref="BN7" authorId="2">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P7" authorId="2">
      <text>
        <r>
          <rPr>
            <b/>
            <sz val="8"/>
            <color indexed="81"/>
            <rFont val="Tahoma"/>
            <family val="2"/>
          </rPr>
          <t>jmoline:</t>
        </r>
        <r>
          <rPr>
            <sz val="8"/>
            <color indexed="81"/>
            <rFont val="Tahoma"/>
            <family val="2"/>
          </rPr>
          <t xml:space="preserve">
CN(1/18/13)…removed equations, must manually enter data///
Added 6/10/10.  Sum of manually entered non-revenue water, draining McMillin below 11.5', and McMillin spillway.</t>
        </r>
      </text>
    </comment>
    <comment ref="C8" authorId="1">
      <text>
        <r>
          <rPr>
            <b/>
            <sz val="10"/>
            <color indexed="81"/>
            <rFont val="Tahoma"/>
            <family val="2"/>
          </rPr>
          <t>cnelson:</t>
        </r>
        <r>
          <rPr>
            <sz val="10"/>
            <color indexed="81"/>
            <rFont val="Tahoma"/>
            <family val="2"/>
          </rPr>
          <t xml:space="preserve">
Changed from 8:00 to 0:00 for 2012
</t>
        </r>
      </text>
    </comment>
    <comment ref="X8" authorId="1">
      <text>
        <r>
          <rPr>
            <b/>
            <sz val="10"/>
            <color indexed="81"/>
            <rFont val="Tahoma"/>
            <family val="2"/>
          </rPr>
          <t>cnelson:</t>
        </r>
        <r>
          <rPr>
            <sz val="10"/>
            <color indexed="81"/>
            <rFont val="Tahoma"/>
            <family val="2"/>
          </rPr>
          <t xml:space="preserve">
Placed o/s.  Equation changed 1/18/13.</t>
        </r>
      </text>
    </comment>
    <comment ref="X14" authorId="1">
      <text>
        <r>
          <rPr>
            <b/>
            <sz val="10"/>
            <color indexed="81"/>
            <rFont val="Tahoma"/>
            <family val="2"/>
          </rPr>
          <t>cnelson:</t>
        </r>
        <r>
          <rPr>
            <sz val="10"/>
            <color indexed="81"/>
            <rFont val="Tahoma"/>
            <family val="2"/>
          </rPr>
          <t xml:space="preserve">
check number</t>
        </r>
      </text>
    </comment>
    <comment ref="X86" authorId="1">
      <text>
        <r>
          <rPr>
            <b/>
            <sz val="10"/>
            <color indexed="81"/>
            <rFont val="Tahoma"/>
            <family val="2"/>
          </rPr>
          <t>cnelson:</t>
        </r>
        <r>
          <rPr>
            <sz val="10"/>
            <color indexed="81"/>
            <rFont val="Tahoma"/>
            <family val="2"/>
          </rPr>
          <t xml:space="preserve">
Modified formula to account for taking both open reservoirs offline.</t>
        </r>
      </text>
    </comment>
    <comment ref="CA303" authorId="3">
      <text>
        <r>
          <rPr>
            <b/>
            <sz val="9"/>
            <color indexed="81"/>
            <rFont val="Tahoma"/>
            <family val="2"/>
          </rPr>
          <t>Nelson, Corey:</t>
        </r>
        <r>
          <rPr>
            <sz val="9"/>
            <color indexed="81"/>
            <rFont val="Tahoma"/>
            <family val="2"/>
          </rPr>
          <t xml:space="preserve">
Average these highlighted cells for report to Seattle.</t>
        </r>
      </text>
    </comment>
    <comment ref="F335" authorId="1">
      <text>
        <r>
          <rPr>
            <b/>
            <sz val="10"/>
            <color indexed="81"/>
            <rFont val="Tahoma"/>
            <family val="2"/>
          </rPr>
          <t>cnelson: 2014</t>
        </r>
        <r>
          <rPr>
            <sz val="10"/>
            <color indexed="81"/>
            <rFont val="Tahoma"/>
            <family val="2"/>
          </rPr>
          <t xml:space="preserve">
Changed to 0 due to capture and drain of turbidity event.</t>
        </r>
      </text>
    </comment>
  </commentList>
</comments>
</file>

<file path=xl/comments8.xml><?xml version="1.0" encoding="utf-8"?>
<comments xmlns="http://schemas.openxmlformats.org/spreadsheetml/2006/main">
  <authors>
    <author>cnelson</author>
  </authors>
  <commentList>
    <comment ref="A1" authorId="0">
      <text>
        <r>
          <rPr>
            <b/>
            <sz val="10"/>
            <color indexed="81"/>
            <rFont val="Tahoma"/>
            <family val="2"/>
          </rPr>
          <t>cnelson:</t>
        </r>
        <r>
          <rPr>
            <sz val="10"/>
            <color indexed="81"/>
            <rFont val="Tahoma"/>
            <family val="2"/>
          </rPr>
          <t xml:space="preserve">
Capacity Table updated 3/30/12 as per COE recommendation.</t>
        </r>
      </text>
    </comment>
  </commentList>
</comments>
</file>

<file path=xl/comments9.xml><?xml version="1.0" encoding="utf-8"?>
<comments xmlns="http://schemas.openxmlformats.org/spreadsheetml/2006/main">
  <authors>
    <author>cnelson</author>
  </authors>
  <commentList>
    <comment ref="A11" authorId="0">
      <text>
        <r>
          <rPr>
            <b/>
            <sz val="10"/>
            <color indexed="81"/>
            <rFont val="Tahoma"/>
            <family val="2"/>
          </rPr>
          <t>cnelson: 3/13/15</t>
        </r>
        <r>
          <rPr>
            <sz val="10"/>
            <color indexed="81"/>
            <rFont val="Tahoma"/>
            <family val="2"/>
          </rPr>
          <t xml:space="preserve">
Changed calculation to show 'adjusted' flow delivered daily.  This excludes the use of 'scheduled water' during storage season.</t>
        </r>
      </text>
    </comment>
  </commentList>
</comments>
</file>

<file path=xl/sharedStrings.xml><?xml version="1.0" encoding="utf-8"?>
<sst xmlns="http://schemas.openxmlformats.org/spreadsheetml/2006/main" count="4629" uniqueCount="923">
  <si>
    <t>Date/Time</t>
  </si>
  <si>
    <t>Date</t>
  </si>
  <si>
    <t>Time</t>
  </si>
  <si>
    <t>Sunday</t>
  </si>
  <si>
    <t>Monday</t>
  </si>
  <si>
    <t>Tuesday</t>
  </si>
  <si>
    <t>Wednesday</t>
  </si>
  <si>
    <t>Thursday</t>
  </si>
  <si>
    <t>Friday</t>
  </si>
  <si>
    <t>Saturday</t>
  </si>
  <si>
    <t xml:space="preserve"> </t>
  </si>
  <si>
    <t>-CFS</t>
  </si>
  <si>
    <t>-FT</t>
  </si>
  <si>
    <t>-MG</t>
  </si>
  <si>
    <t>-PPM</t>
  </si>
  <si>
    <t>-LBS</t>
  </si>
  <si>
    <t>-IN</t>
  </si>
  <si>
    <t>-F</t>
  </si>
  <si>
    <t>Wells</t>
  </si>
  <si>
    <t>Supply</t>
  </si>
  <si>
    <t>McMillin</t>
  </si>
  <si>
    <t>SSP Weekly Midnight (12 am) Operations Report</t>
  </si>
  <si>
    <t>-FEET</t>
  </si>
  <si>
    <t>Howard Hanson Reservoir Storage</t>
  </si>
  <si>
    <t>-AF</t>
  </si>
  <si>
    <t>Change in HH Reservoir Storage</t>
  </si>
  <si>
    <t xml:space="preserve">Howard Hanson Reservoir Inflow </t>
  </si>
  <si>
    <t>Below HHD Dam Outflow (12105900)</t>
  </si>
  <si>
    <t>Min. at Palmer for 2nd Div WR</t>
  </si>
  <si>
    <t>Green River at Auburn (12113000)</t>
  </si>
  <si>
    <t>Min. at Auburn for 2nd Div WR</t>
  </si>
  <si>
    <t>Min. at Auburn for 1st Div WR</t>
  </si>
  <si>
    <t>-MGD</t>
  </si>
  <si>
    <t>Available 1st Water Right Diversion</t>
  </si>
  <si>
    <t xml:space="preserve">  -MG</t>
  </si>
  <si>
    <t xml:space="preserve"> -CFS</t>
  </si>
  <si>
    <t>SDWR Storage Accumulation (+)</t>
  </si>
  <si>
    <t>Total Storage</t>
  </si>
  <si>
    <t>-NTU</t>
  </si>
  <si>
    <t>UVT</t>
  </si>
  <si>
    <t>%</t>
  </si>
  <si>
    <t>Total Tacoma Wholesale</t>
  </si>
  <si>
    <t>Daily Storage Drawdown (-)</t>
  </si>
  <si>
    <t>Daily Storage Accumulation (+)</t>
  </si>
  <si>
    <t>KENT - Meter total</t>
  </si>
  <si>
    <t>KENT - Meter adjusted</t>
  </si>
  <si>
    <t>COVINGTON - Meter total</t>
  </si>
  <si>
    <t>COVINGTON - Meter adjusted</t>
  </si>
  <si>
    <t>LAKEHAVEN  - Meter total</t>
  </si>
  <si>
    <t>LAKEHAVEN  - Meter adjusted</t>
  </si>
  <si>
    <t>TOTAL OF ALL DELIVERY METERS</t>
  </si>
  <si>
    <t>DIFFERENCE FROM P5 METER</t>
  </si>
  <si>
    <t>% OF TOTAL</t>
  </si>
  <si>
    <t>HHD Elevation</t>
  </si>
  <si>
    <t>AF</t>
  </si>
  <si>
    <t>feet</t>
  </si>
  <si>
    <t>cfs</t>
  </si>
  <si>
    <t>SECOND SUPPLY PROJECT</t>
  </si>
  <si>
    <t>PARTNERS</t>
  </si>
  <si>
    <t>First Diversion Right</t>
  </si>
  <si>
    <t>Wet Year</t>
  </si>
  <si>
    <t>Wet to Average Year</t>
  </si>
  <si>
    <t>Average Year</t>
  </si>
  <si>
    <t>Average to Dry Year</t>
  </si>
  <si>
    <t>Drought Year</t>
  </si>
  <si>
    <t>2nd Diversion Water Right</t>
  </si>
  <si>
    <t>Flow at Palmer Gage 12106700</t>
  </si>
  <si>
    <t>Total</t>
  </si>
  <si>
    <t>% of Total Flow</t>
  </si>
  <si>
    <t>Total Adjusted Kent, Covington, Lakehaven</t>
  </si>
  <si>
    <t>TACOMA PUBLIC UTILITIES</t>
  </si>
  <si>
    <t>WATER DIVISION</t>
  </si>
  <si>
    <t>Fennel Creek 705 Pump Station</t>
  </si>
  <si>
    <t>Total Consumption</t>
  </si>
  <si>
    <t>NF No. 6 Well Water Available</t>
  </si>
  <si>
    <t>CL/Day</t>
  </si>
  <si>
    <t>Rainfall</t>
  </si>
  <si>
    <t>Snow</t>
  </si>
  <si>
    <t>Air Temperature</t>
  </si>
  <si>
    <t>Water Temperature</t>
  </si>
  <si>
    <t>Turbidity - Outlet</t>
  </si>
  <si>
    <t>Free Cl Residual - Inlet</t>
  </si>
  <si>
    <t>Free Cl Residual - Below Plant</t>
  </si>
  <si>
    <t>Consumption</t>
  </si>
  <si>
    <t>Total Tacoma Consumption (mg)</t>
  </si>
  <si>
    <t xml:space="preserve">  -PPM</t>
  </si>
  <si>
    <t xml:space="preserve"> -LBS</t>
  </si>
  <si>
    <t xml:space="preserve">  -EL</t>
  </si>
  <si>
    <t>McMillin Reservoir</t>
  </si>
  <si>
    <t>High Service</t>
  </si>
  <si>
    <t>North End Service</t>
  </si>
  <si>
    <t>Middle Service</t>
  </si>
  <si>
    <t>Depth of Indian Hill 0.5 mg Reservoir</t>
  </si>
  <si>
    <t>Depth of Indian Hill 3.5 mg Reservoir</t>
  </si>
  <si>
    <t>Hood Street Reservoir</t>
  </si>
  <si>
    <t>Portland Avenue Reservoir</t>
  </si>
  <si>
    <t>North End Reservoirs</t>
  </si>
  <si>
    <t>Alaska Street Reservoir</t>
  </si>
  <si>
    <t>Northeast Tacoma Reservoirs</t>
  </si>
  <si>
    <t>Flow 48"</t>
  </si>
  <si>
    <t>Flow 24"</t>
  </si>
  <si>
    <t>Generator</t>
  </si>
  <si>
    <t>-kW</t>
  </si>
  <si>
    <t>Headworks</t>
  </si>
  <si>
    <t>Supply Summary</t>
  </si>
  <si>
    <t>SDWR Storage Accumlation (MG)</t>
  </si>
  <si>
    <t>Water Quality</t>
  </si>
  <si>
    <t>Available 2nd Water Right Diversion (Max)</t>
  </si>
  <si>
    <t>Headworks Flow Meter, P1</t>
  </si>
  <si>
    <t>Headworks Flow Meter, P5</t>
  </si>
  <si>
    <t>Northfork Wells</t>
  </si>
  <si>
    <t>Turbidity (Max.) River</t>
  </si>
  <si>
    <t>Height of Water Over Dam</t>
  </si>
  <si>
    <t>Total Diversion (P1+P5)</t>
  </si>
  <si>
    <t>Begin Storage Date</t>
  </si>
  <si>
    <t>Storage Attained Date</t>
  </si>
  <si>
    <t>Maximum Storage (MG)</t>
  </si>
  <si>
    <t>Date of Storage split</t>
  </si>
  <si>
    <t>Maximum Storage after split (MG)</t>
  </si>
  <si>
    <t>End of Storage Season</t>
  </si>
  <si>
    <t>Municipal</t>
  </si>
  <si>
    <t>River Flows</t>
  </si>
  <si>
    <t>Instream flow requirements for Tacoma Diversions</t>
  </si>
  <si>
    <t>Howard Hanson Dam</t>
  </si>
  <si>
    <t>Natural River flow (HHD inflow info) - See USACE website for hourly inflow data</t>
  </si>
  <si>
    <t>Total Diversion            (P1 &amp; P5)</t>
  </si>
  <si>
    <t>Water Stored</t>
  </si>
  <si>
    <t>Stored Water taken</t>
  </si>
  <si>
    <t>Pipeline 1</t>
  </si>
  <si>
    <t>Pipeline 5</t>
  </si>
  <si>
    <t>NF well use</t>
  </si>
  <si>
    <t>Green River Turbidity</t>
  </si>
  <si>
    <r>
      <t xml:space="preserve">Auburn Gage  </t>
    </r>
    <r>
      <rPr>
        <sz val="8"/>
        <rFont val="Arial"/>
        <family val="2"/>
      </rPr>
      <t>(unoficial - see USGS website)</t>
    </r>
  </si>
  <si>
    <r>
      <t xml:space="preserve">Palmer Gage  </t>
    </r>
    <r>
      <rPr>
        <sz val="8"/>
        <rFont val="Arial"/>
        <family val="2"/>
      </rPr>
      <t>(unoficial - see USGS website)</t>
    </r>
  </si>
  <si>
    <t>Auburn / 1st Diversion</t>
  </si>
  <si>
    <t>Auburn / 2nd Diversion</t>
  </si>
  <si>
    <t>Palmer / 2nd Diversion</t>
  </si>
  <si>
    <t>Equivalent 98% guide curve elevation</t>
  </si>
  <si>
    <t>HHD municipal storage</t>
  </si>
  <si>
    <t>HHD 1135+other  resource storage</t>
  </si>
  <si>
    <t>sufficient for 1st Diverson?</t>
  </si>
  <si>
    <t>sufficient for 2nd Diverson?</t>
  </si>
  <si>
    <t>HHD Conservation/Flood Storage Guide Curve</t>
  </si>
  <si>
    <t>ntu</t>
  </si>
  <si>
    <t>ft</t>
  </si>
  <si>
    <t>Yes/No</t>
  </si>
  <si>
    <t>Change In Storage by Elevation (CFS)</t>
  </si>
  <si>
    <t>Change In Municipal Storage (MGD)</t>
  </si>
  <si>
    <t>Change In Municipal Storage (CFS)</t>
  </si>
  <si>
    <t>NF</t>
  </si>
  <si>
    <t>Other</t>
  </si>
  <si>
    <t>Tacoma</t>
  </si>
  <si>
    <t>HW</t>
  </si>
  <si>
    <t>TOTAL</t>
  </si>
  <si>
    <t>PL5</t>
  </si>
  <si>
    <t>Reservoirs</t>
  </si>
  <si>
    <t>General</t>
  </si>
  <si>
    <t>Wholesale</t>
  </si>
  <si>
    <t>Partners</t>
  </si>
  <si>
    <t>Totals</t>
  </si>
  <si>
    <t>DATE</t>
  </si>
  <si>
    <t>AMOUNT</t>
  </si>
  <si>
    <t>Lowest Day In This Month</t>
  </si>
  <si>
    <t>Highest Day In This Month</t>
  </si>
  <si>
    <t>#1 NORTH</t>
  </si>
  <si>
    <t>#1 SOUTH</t>
  </si>
  <si>
    <t>#2 BASIN</t>
  </si>
  <si>
    <t>Ave Diff Per</t>
  </si>
  <si>
    <t>PORTLAND AVE</t>
  </si>
  <si>
    <t>GAGE</t>
  </si>
  <si>
    <t>CAPACITY</t>
  </si>
  <si>
    <t>1/10th Of A Foot</t>
  </si>
  <si>
    <t>RESERVOIR</t>
  </si>
  <si>
    <t>gal</t>
  </si>
  <si>
    <t>Near Spill Condition</t>
  </si>
  <si>
    <t>-</t>
  </si>
  <si>
    <t>* NOTE: red italicized font are estimated values</t>
  </si>
  <si>
    <t>/</t>
  </si>
  <si>
    <t>area =</t>
  </si>
  <si>
    <t>Change in Hood Street Reservoir (MG)</t>
  </si>
  <si>
    <t xml:space="preserve">Change in Alaska Street Reservoir (MG) </t>
  </si>
  <si>
    <t>Change in Northend Reservoir (MG)</t>
  </si>
  <si>
    <t>Change in McMillin 1# N Storage (MG)</t>
  </si>
  <si>
    <t>Change in McMillin 1# S Storage (MG)</t>
  </si>
  <si>
    <t>Change in McMillin 2# Storage (MG)</t>
  </si>
  <si>
    <t>Total Change In Storage at McMillin (MG)</t>
  </si>
  <si>
    <t>Total Change In Portland Avenue (MG)</t>
  </si>
  <si>
    <t>Total Change in other Reservoirs</t>
  </si>
  <si>
    <t>Outflow from McMillin Reservoir</t>
  </si>
  <si>
    <t>Inflow to McMillin Reservoir</t>
  </si>
  <si>
    <t>Net flow minus water used in storage change</t>
  </si>
  <si>
    <t>Spill Test</t>
  </si>
  <si>
    <t>Total Consumption W/ Partners</t>
  </si>
  <si>
    <t>P5</t>
  </si>
  <si>
    <t>Month</t>
  </si>
  <si>
    <t>January</t>
  </si>
  <si>
    <t>February</t>
  </si>
  <si>
    <t>March</t>
  </si>
  <si>
    <t>April</t>
  </si>
  <si>
    <t>May</t>
  </si>
  <si>
    <t>June</t>
  </si>
  <si>
    <t>July</t>
  </si>
  <si>
    <t>August</t>
  </si>
  <si>
    <t>September</t>
  </si>
  <si>
    <t>October</t>
  </si>
  <si>
    <t>November</t>
  </si>
  <si>
    <t>December</t>
  </si>
  <si>
    <t>Daily</t>
  </si>
  <si>
    <t>Averages</t>
  </si>
  <si>
    <t>Non-Revenue</t>
  </si>
  <si>
    <t>Usage</t>
  </si>
  <si>
    <t>Reason For use</t>
  </si>
  <si>
    <t>Tacoma Net</t>
  </si>
  <si>
    <t xml:space="preserve">Reason For </t>
  </si>
  <si>
    <t>Non Revenue Usage</t>
  </si>
  <si>
    <t>OTHER USE</t>
  </si>
  <si>
    <t>Indian Hill Reservoir 3.5 (MG)</t>
  </si>
  <si>
    <t>Storage Manual Adjustment</t>
  </si>
  <si>
    <t>Tacoma Manual Storage Adjustment (AF)</t>
  </si>
  <si>
    <t>Covington Manual Storage Adjustment (AF)</t>
  </si>
  <si>
    <t>Lakehaven Manual Storage Adjustment (AF)</t>
  </si>
  <si>
    <t>Kent Manual Storage Adjustment (AF)</t>
  </si>
  <si>
    <t>Headworks Report</t>
  </si>
  <si>
    <t>Total Manual Adjustment (AF)</t>
  </si>
  <si>
    <t>From Water Control Manual</t>
  </si>
  <si>
    <t>hhdelev_wcm</t>
  </si>
  <si>
    <t>hhdcap_wcm</t>
  </si>
  <si>
    <t>storage</t>
  </si>
  <si>
    <t>stage</t>
  </si>
  <si>
    <t>Kent Daily Storage Drawdown(-) (MG)</t>
  </si>
  <si>
    <t>Kent Daily Storage Accumulation (+) (MG)</t>
  </si>
  <si>
    <t>Covington Daily Storage Drawdown(-) (MG)</t>
  </si>
  <si>
    <t>Covington Daily Storage Accumulation (+) (MG)</t>
  </si>
  <si>
    <t>Lakehaven Daily Storage Accumulation (+) (MG)</t>
  </si>
  <si>
    <t>Tacoma Manual Storage Adjustment (+) (MG)</t>
  </si>
  <si>
    <t>Kent Manual Storage Adjustment (+) (MG)</t>
  </si>
  <si>
    <t>Covington Manual Storage Adjustment (+) (MG)</t>
  </si>
  <si>
    <t>Lakehaven Manual Storage Adjustment (+) (MG)</t>
  </si>
  <si>
    <t>Total Manual Adjustment (MG) (+)</t>
  </si>
  <si>
    <t>Tacoma O&amp;M Share P1</t>
  </si>
  <si>
    <t>Tacoma O&amp;M Share P5</t>
  </si>
  <si>
    <t>Kent O&amp;M Share</t>
  </si>
  <si>
    <t>Covington O&amp;M Share</t>
  </si>
  <si>
    <t>Accounting/Billing</t>
  </si>
  <si>
    <t>Daily Delivery Schedules</t>
  </si>
  <si>
    <t xml:space="preserve">Tacoma </t>
  </si>
  <si>
    <t>Kent</t>
  </si>
  <si>
    <t>Covington</t>
  </si>
  <si>
    <t>Lakehaven</t>
  </si>
  <si>
    <t>Non Revenue Water (MG)</t>
  </si>
  <si>
    <t>Enter Date:</t>
  </si>
  <si>
    <t>Cumberland Pump Station</t>
  </si>
  <si>
    <t>McMillin Valve 271 open 1=Yes</t>
  </si>
  <si>
    <t>Reservoir Level</t>
  </si>
  <si>
    <t>Reservoir Level +248.5</t>
  </si>
  <si>
    <t>Total Storage Net (MG)</t>
  </si>
  <si>
    <t>Total Storage Net (AF)</t>
  </si>
  <si>
    <t>Length =</t>
  </si>
  <si>
    <t>Depth of Indian Hill 1.0 mg Reservoir</t>
  </si>
  <si>
    <t>diameter or width =</t>
  </si>
  <si>
    <t>REGIONAL WATER SUPPLY PROJECT MIDNIGHT OPERATIONS REPORT</t>
  </si>
  <si>
    <t xml:space="preserve">Flow at Auburn Gage 12113000 </t>
  </si>
  <si>
    <t>Look up table</t>
  </si>
  <si>
    <t>Flows to be maintained at Auburn Gage 12113000 July 15-December 7</t>
  </si>
  <si>
    <t>Flowmeter, Headworks Reservoir</t>
  </si>
  <si>
    <t>Indian Hill Reservoir .5 (MG)</t>
  </si>
  <si>
    <t>Rainfall (inches)</t>
  </si>
  <si>
    <t>Snow On Ground (inches)</t>
  </si>
  <si>
    <t>Chlorine (LBS/Day)</t>
  </si>
  <si>
    <t>Flowmeter, P1 Total</t>
  </si>
  <si>
    <t>Total of All Deliveries</t>
  </si>
  <si>
    <t>P5 Fluoride (Average)</t>
  </si>
  <si>
    <t>Total Tacoma P1+P5+Wells</t>
  </si>
  <si>
    <t>* Indicates 8 am reading</t>
  </si>
  <si>
    <t>CL/Day*</t>
  </si>
  <si>
    <t>Fluoride</t>
  </si>
  <si>
    <t>-mg/L</t>
  </si>
  <si>
    <t>P5 Meter-Total Delivery</t>
  </si>
  <si>
    <t>HHD Conservation / Flood Storage (Dead Storage not included)</t>
  </si>
  <si>
    <t>1135 + resource water daily use</t>
  </si>
  <si>
    <t>Does Tacoma Water Need Extra Water?</t>
  </si>
  <si>
    <t>Total Tacoma Storage (MG)</t>
  </si>
  <si>
    <t>Amount of Extra Water Received (MG)</t>
  </si>
  <si>
    <t>Amount of Extra Water that could be received by Tacoma? (MG)</t>
  </si>
  <si>
    <t>Does Covington Water Need Extra Water?</t>
  </si>
  <si>
    <t>Amount of Extra Water that could be received by Covington? (MG)</t>
  </si>
  <si>
    <t>Total Covington Storage (MG)</t>
  </si>
  <si>
    <t>Covington Total Storage with out Extra Water (MG)</t>
  </si>
  <si>
    <t>Tacoma Total Storage with out Extra Water (MG)</t>
  </si>
  <si>
    <t>Does Kent Water Need Extra Water?</t>
  </si>
  <si>
    <t>Amount of Extra Water that could be received by Kent? (MG)</t>
  </si>
  <si>
    <t>Kent Total Storage with out Extra Water (MG)</t>
  </si>
  <si>
    <t>Total Kent Storage (MG)</t>
  </si>
  <si>
    <t>Does Lakehaven Water Need Extra Water?</t>
  </si>
  <si>
    <t>Amount of Extra Water that could be received by Lakehaven? (MG)</t>
  </si>
  <si>
    <t>Lakehaven Total Storage with out Extra Water (MG)</t>
  </si>
  <si>
    <t>Total Lakehaven Storage (MG)</t>
  </si>
  <si>
    <t>Total Extra Water Available</t>
  </si>
  <si>
    <t>Word to look up percentage</t>
  </si>
  <si>
    <t>Extra Water Available from Covington (MG)</t>
  </si>
  <si>
    <t>Extra Water Available from Kent (MG)</t>
  </si>
  <si>
    <t>Extra Water Available from Lakehaven (MG)</t>
  </si>
  <si>
    <t>Tacoma Total Storage with out Extra Water (AF)</t>
  </si>
  <si>
    <t>Total Tacoma Storage (AF)</t>
  </si>
  <si>
    <t>Covington Total Storage with out Extra Water (AF)</t>
  </si>
  <si>
    <t>Total Covington Storage (AF)</t>
  </si>
  <si>
    <t>Kent Total Storage with out Extra Water (AF)</t>
  </si>
  <si>
    <t>Lakehaven Total Storage with out Extra Water (AF)</t>
  </si>
  <si>
    <t>Total Lakehaven Storage (AF)</t>
  </si>
  <si>
    <t>Total Kent Storage (AF)</t>
  </si>
  <si>
    <t>MGD to CFS</t>
  </si>
  <si>
    <t>MG to AF</t>
  </si>
  <si>
    <t>AF per day to CFS</t>
  </si>
  <si>
    <t>AF to MG</t>
  </si>
  <si>
    <t>CFS to MGD</t>
  </si>
  <si>
    <t>FDW taken down P5</t>
  </si>
  <si>
    <t>NE Tacoma Supply (MG)</t>
  </si>
  <si>
    <r>
      <t xml:space="preserve">1  </t>
    </r>
    <r>
      <rPr>
        <sz val="8"/>
        <color indexed="9"/>
        <rFont val="Arial"/>
        <family val="2"/>
      </rPr>
      <t>217th Ave SE 288th ST</t>
    </r>
  </si>
  <si>
    <r>
      <t xml:space="preserve">3  </t>
    </r>
    <r>
      <rPr>
        <sz val="8"/>
        <color indexed="9"/>
        <rFont val="Arial"/>
        <family val="2"/>
      </rPr>
      <t>120TH AVE SE &amp; SE 296TH ST</t>
    </r>
  </si>
  <si>
    <r>
      <t xml:space="preserve">1  </t>
    </r>
    <r>
      <rPr>
        <sz val="8"/>
        <color indexed="9"/>
        <rFont val="Arial"/>
        <family val="2"/>
      </rPr>
      <t>219th Ave SE &amp; SE 304TH ST</t>
    </r>
  </si>
  <si>
    <r>
      <t xml:space="preserve">2  </t>
    </r>
    <r>
      <rPr>
        <sz val="8"/>
        <color indexed="9"/>
        <rFont val="Arial"/>
        <family val="2"/>
      </rPr>
      <t>22048 SE 288th St.</t>
    </r>
  </si>
  <si>
    <r>
      <t xml:space="preserve">1  </t>
    </r>
    <r>
      <rPr>
        <sz val="8"/>
        <color indexed="9"/>
        <rFont val="Arial"/>
        <family val="2"/>
      </rPr>
      <t>44th AVE. S. &amp; 313th SST</t>
    </r>
  </si>
  <si>
    <r>
      <t>2</t>
    </r>
    <r>
      <rPr>
        <sz val="8"/>
        <color indexed="9"/>
        <rFont val="Arial"/>
        <family val="2"/>
      </rPr>
      <t xml:space="preserve">  1ST WAY S &amp; S 332ND ST</t>
    </r>
  </si>
  <si>
    <r>
      <t xml:space="preserve">3  </t>
    </r>
    <r>
      <rPr>
        <sz val="8"/>
        <color indexed="9"/>
        <rFont val="Arial"/>
        <family val="2"/>
      </rPr>
      <t>SW 356TH ST &amp; 15TH AVE SW</t>
    </r>
  </si>
  <si>
    <t>Inlet pH - Online</t>
  </si>
  <si>
    <t>Outlet pH - Online</t>
  </si>
  <si>
    <t>Date for Annual Report</t>
  </si>
  <si>
    <t>Cumberland Pump Station MG</t>
  </si>
  <si>
    <t>214TH STREET PUMP STATION MG</t>
  </si>
  <si>
    <t>198th Avenue E. Pump Station MG</t>
  </si>
  <si>
    <t>Fennel Creek 705 Pump Station MG</t>
  </si>
  <si>
    <t>Orting Valley MG</t>
  </si>
  <si>
    <t>High Cedars MG</t>
  </si>
  <si>
    <t>Marine View Pump Station MG</t>
  </si>
  <si>
    <t>Wells MG</t>
  </si>
  <si>
    <t>356th Pump Station MG</t>
  </si>
  <si>
    <t>McMillin Pump Station No. 2 MG</t>
  </si>
  <si>
    <t>Northend High Service MG</t>
  </si>
  <si>
    <t>Northend End Service MG</t>
  </si>
  <si>
    <t>Alaska Street Middle Service MG</t>
  </si>
  <si>
    <t>GPM To MGD</t>
  </si>
  <si>
    <t>CWA Wholesale</t>
  </si>
  <si>
    <t>Is extra Water Available from Tacoma (MG)</t>
  </si>
  <si>
    <t>Percentage Lookup Table</t>
  </si>
  <si>
    <t>Partner</t>
  </si>
  <si>
    <t>P</t>
  </si>
  <si>
    <t>1 Partner needs</t>
  </si>
  <si>
    <t>PP</t>
  </si>
  <si>
    <t>2 Partner needs</t>
  </si>
  <si>
    <t>PPP</t>
  </si>
  <si>
    <t>3 Partner needs</t>
  </si>
  <si>
    <t>T</t>
  </si>
  <si>
    <t>Tacoma only needs</t>
  </si>
  <si>
    <t>TP</t>
  </si>
  <si>
    <t>Tacoma &amp; 1 partner</t>
  </si>
  <si>
    <t>TPP</t>
  </si>
  <si>
    <t>Tacoma &amp; 2 Partner</t>
  </si>
  <si>
    <t>TPPP</t>
  </si>
  <si>
    <t>all need</t>
  </si>
  <si>
    <t>SDWR Kent Meter Total</t>
  </si>
  <si>
    <t>SDWR Kent Adjusted Flow</t>
  </si>
  <si>
    <t>FM Kent Meter Total</t>
  </si>
  <si>
    <t>FM Kent Meter Adjusted</t>
  </si>
  <si>
    <t>Kent Meter Total (MG)</t>
  </si>
  <si>
    <t>Kent Meter Adjusted (MG)</t>
  </si>
  <si>
    <t>SDWR Covington Meter Total</t>
  </si>
  <si>
    <t>SDWR Covington Adjusted Flow</t>
  </si>
  <si>
    <t>FM Covington Meter Total</t>
  </si>
  <si>
    <t>FM Covington Meter Adjusted</t>
  </si>
  <si>
    <t>Covington CWA Wholesale</t>
  </si>
  <si>
    <t>CWA Water via for Covington (MG)</t>
  </si>
  <si>
    <t>SDWR Lakehaven Meter Total</t>
  </si>
  <si>
    <t>SDWR Lakehaven Adjusted Flow</t>
  </si>
  <si>
    <t>FM Lakehaven Meter Total</t>
  </si>
  <si>
    <t>FM Lakehaven Adjusted Flow</t>
  </si>
  <si>
    <t>Covington Meter Total (MG)</t>
  </si>
  <si>
    <t>Lakehaven Meter Total (MG)</t>
  </si>
  <si>
    <t>Lakehaven Meter Adjusted (MG)</t>
  </si>
  <si>
    <t>Covington Meter Adjusted (MG)</t>
  </si>
  <si>
    <t>CWA Water via Covington Meter</t>
  </si>
  <si>
    <t>PL-1 Trends</t>
  </si>
  <si>
    <t>PL-5 Trends</t>
  </si>
  <si>
    <t>McMillin Trends</t>
  </si>
  <si>
    <t>Intown Reservoir Trends</t>
  </si>
  <si>
    <t>Intown Demands</t>
  </si>
  <si>
    <t>Future</t>
  </si>
  <si>
    <t>IH Supply MG</t>
  </si>
  <si>
    <t>Other Meter Total</t>
  </si>
  <si>
    <t>Other Meter adjusted</t>
  </si>
  <si>
    <t>Other Covington Meter Total</t>
  </si>
  <si>
    <t>Other Covington Meter Adjusted</t>
  </si>
  <si>
    <t>Other Lakehaven Meter Total</t>
  </si>
  <si>
    <t>Other Lakehaven Adjusted Flow</t>
  </si>
  <si>
    <t>HH Dam Reservoir Elevation</t>
  </si>
  <si>
    <t xml:space="preserve">Green River at Palmer </t>
  </si>
  <si>
    <t>CL Residual PL 2*</t>
  </si>
  <si>
    <t>CL Residual PL 4*</t>
  </si>
  <si>
    <t>Total Tacoma Consumption With Partners (mg)</t>
  </si>
  <si>
    <t>PRODUCED BY SOURCES (MG)</t>
  </si>
  <si>
    <t>DELIVERED TO DISTRIBUTION SYSTEM (MG)</t>
  </si>
  <si>
    <t>P1</t>
  </si>
  <si>
    <t>Total w/</t>
  </si>
  <si>
    <t>Total Res</t>
  </si>
  <si>
    <t>Spill</t>
  </si>
  <si>
    <t>(adjusted)</t>
  </si>
  <si>
    <t>Annual</t>
  </si>
  <si>
    <t>Total Change in Reservoirs (McMillin + Other Reservoirs</t>
  </si>
  <si>
    <t>Total Tacoma Produced (City Wells + P1 + P5 - Partners- Wholsale)</t>
  </si>
  <si>
    <t>Total Tacoma Produced, Delivered to Tacoma (P1+P5356+Change In Reservoir+Wells-Partners-Wholesale</t>
  </si>
  <si>
    <t>Total Tacoma W/ Partners</t>
  </si>
  <si>
    <t>CWA</t>
  </si>
  <si>
    <t>Participants Delivery</t>
  </si>
  <si>
    <t>Equivalent 98% guide curve elevation (ft)</t>
  </si>
  <si>
    <t>HHD Conservation/Flood Storage Guide Curve (AF)</t>
  </si>
  <si>
    <t>Change</t>
  </si>
  <si>
    <t>P5 @356</t>
  </si>
  <si>
    <t>Tacoma W/O</t>
  </si>
  <si>
    <t>Total*</t>
  </si>
  <si>
    <t xml:space="preserve">Partners </t>
  </si>
  <si>
    <t>STORAGE ADJUSTMENTS</t>
  </si>
  <si>
    <t>TACOMA WATER</t>
  </si>
  <si>
    <t>Monthly</t>
  </si>
  <si>
    <t>NonNF</t>
  </si>
  <si>
    <t>w/Partners*</t>
  </si>
  <si>
    <t>DAILY PRODUCTION (MG)</t>
  </si>
  <si>
    <t>DAILY DELIVERY TO SYSTEM (MG)</t>
  </si>
  <si>
    <t>Lowest Day In This Month*</t>
  </si>
  <si>
    <t>Highest Day In This Month*</t>
  </si>
  <si>
    <t>TACOMA ONLY</t>
  </si>
  <si>
    <t>*note: these values include changes to reservoir levels</t>
  </si>
  <si>
    <t>calcs</t>
  </si>
  <si>
    <t>2+3+4-10-11</t>
  </si>
  <si>
    <t>2+3+4</t>
  </si>
  <si>
    <t>5+6+7</t>
  </si>
  <si>
    <t>2+3+(5+6+7)+8-9</t>
  </si>
  <si>
    <t>2+3+(5+6+7)+8</t>
  </si>
  <si>
    <t>2+3+(5+6+7)+8+10+11</t>
  </si>
  <si>
    <t>Lowest Day of This Year</t>
  </si>
  <si>
    <t>Highest Day of This Year</t>
  </si>
  <si>
    <t>Enter the 1st day reporting year (ie.1/1/2009)</t>
  </si>
  <si>
    <t>Lowest Day In This Year</t>
  </si>
  <si>
    <t>Highest Day In This Year</t>
  </si>
  <si>
    <t>Highest Day In This Year*</t>
  </si>
  <si>
    <t>Lowest Day In This Year*</t>
  </si>
  <si>
    <t>Total Produced With Partners W/Partners</t>
  </si>
  <si>
    <t>Palmer Minimum for SDWR (cfs)</t>
  </si>
  <si>
    <t>Auburn Minimum for SDWR (cfs)</t>
  </si>
  <si>
    <t>Auburn Minimum for FDWR (cfs)</t>
  </si>
  <si>
    <t>SDWR Available (MGD)</t>
  </si>
  <si>
    <t>FDWR Available (MGD)</t>
  </si>
  <si>
    <t>Headworks Flow Meter, P1            (cfs)</t>
  </si>
  <si>
    <t>Headworks Flow Meter, P5             (cfs)</t>
  </si>
  <si>
    <t>24 Hr. Flow P1          (cfs)</t>
  </si>
  <si>
    <t>24 Hr. Flow P5           (cfs)</t>
  </si>
  <si>
    <t>Flow meter, Reservoir (cfs)</t>
  </si>
  <si>
    <t>SDWR Storage Use   (MG)</t>
  </si>
  <si>
    <t>SDWR Storage Accumulation (cfs)</t>
  </si>
  <si>
    <t>SDWR Storage Use    (cfs)</t>
  </si>
  <si>
    <t>Change In Total Storage (AF)</t>
  </si>
  <si>
    <t>Municipal Total Storage Net    (MG)</t>
  </si>
  <si>
    <t>Municipal Total Storage Net       (AF)</t>
  </si>
  <si>
    <t>Tacoma Meter Total (P5 Total Tacoma Meter + Wholesale) (MG)</t>
  </si>
  <si>
    <t>CWA Meter Total (CWA Meter + Covington CWA Water) (MG)</t>
  </si>
  <si>
    <t>Tacoma      Daily     Storage Accumulation     (+)               (MG)</t>
  </si>
  <si>
    <t>Tacoma Daily Storage Drawdown             (-)               (MG)</t>
  </si>
  <si>
    <t>Total Diversion (P1 +P5) (cfs)</t>
  </si>
  <si>
    <t>2nd Div Auburn Restriction (MGD)</t>
  </si>
  <si>
    <t>2nd Div Palmer Restriction (MGD)</t>
  </si>
  <si>
    <t>Change in Storage (AF)</t>
  </si>
  <si>
    <t>Howard Hanson Storage (AF)</t>
  </si>
  <si>
    <t>HH Inflow+2% (MGD)</t>
  </si>
  <si>
    <t>Total Diversion     (P1 +P5) (MG)</t>
  </si>
  <si>
    <t>Lakehaven Daily Storage Drawdown      (-) (MG)</t>
  </si>
  <si>
    <t>CWA - All Meters total</t>
  </si>
  <si>
    <t>Force Majeure/NF Water for Covington (MG)</t>
  </si>
  <si>
    <t>SDW Taken (ROR)</t>
  </si>
  <si>
    <t>HHD Guide Curve</t>
  </si>
  <si>
    <t>Forecast date to have Municipal Storage at 20000AF (using 10 day moving average)</t>
  </si>
  <si>
    <t>Total Diversion (P1 &amp; P5)</t>
  </si>
  <si>
    <t>Municipal Water Stored</t>
  </si>
  <si>
    <t>Municipal Stored Water taken</t>
  </si>
  <si>
    <t>change in storage</t>
  </si>
  <si>
    <t>Municipal Storage</t>
  </si>
  <si>
    <t>Tacoma Support of Auburn Flow &gt;=250cfs</t>
  </si>
  <si>
    <t>Guide Curve change in storage</t>
  </si>
  <si>
    <t>Natural River Flow -- calculated HHD Inflow (unsmoothed calculated estimate)</t>
  </si>
  <si>
    <t>Forecast date to have Municipal Storage at 0AF (using 10 day moving average)</t>
  </si>
  <si>
    <t>Actual Cumulative Tacoma Storage</t>
  </si>
  <si>
    <t>Actual Cumulative Lakehaven Storage</t>
  </si>
  <si>
    <t>Actual Cumulative Covington Storage</t>
  </si>
  <si>
    <t>Actual Cumulative Kent Storage</t>
  </si>
  <si>
    <t>Forecast date to have Tacoma Storage at 0AF (using 10 day moving average)</t>
  </si>
  <si>
    <t>Forecast date to have Tacoma Storage at 20000AF (using 10 day moving average)</t>
  </si>
  <si>
    <t>Forecast date to have Lakehaven Storage at 0AF (using 10 day moving average)</t>
  </si>
  <si>
    <t>Forecast date to have Lakehaven Storage at 3889AF (using 10 day moving average)</t>
  </si>
  <si>
    <t>Forecast date to have Covington Storage at 0AF (using 10 day moving average)</t>
  </si>
  <si>
    <t>Forecast date to have Covington Storage at 3889AF (using 10 day moving average)</t>
  </si>
  <si>
    <t>Forecast date to have Kent Storage at 0AF (using 10 day moving average)</t>
  </si>
  <si>
    <t>Forecast date to have Kent Storage at 3889AF (using 10 day moving average)</t>
  </si>
  <si>
    <t>HHD total storage (incl. dead storage)</t>
  </si>
  <si>
    <t>HHD Conservation/Flood Storage</t>
  </si>
  <si>
    <t>Natural River Flow (unsmoothed calculated estimate)</t>
  </si>
  <si>
    <t>old 8am line number</t>
  </si>
  <si>
    <t>Total HHD Storage (AF)</t>
  </si>
  <si>
    <t>P5 Flow to Tacoma @ 356th Adjusted  (MG)</t>
  </si>
  <si>
    <t>Total Manual Adjustment (Partners)</t>
  </si>
  <si>
    <t>Amount Borrowed from Corp      (-Pay back, + borrowed)</t>
  </si>
  <si>
    <t>P5 at 356th PS - Meter total</t>
  </si>
  <si>
    <t>P5 at 356th PS - Meter adjusted</t>
  </si>
  <si>
    <t>NE Tacoma (356th PS + Marine View PS)</t>
  </si>
  <si>
    <t>R5 Water Temp. (if operating, R1 if not)</t>
  </si>
  <si>
    <t>Inlet Flow</t>
  </si>
  <si>
    <t>Outlet Flow</t>
  </si>
  <si>
    <t>Mcmillin Recycle Pump Flow</t>
  </si>
  <si>
    <t>Tacoma w/o</t>
  </si>
  <si>
    <t>R5 CL Residual (Average)</t>
  </si>
  <si>
    <t>R1 CL Residual (average)</t>
  </si>
  <si>
    <t>Kent Daily Taken ROR (MG)</t>
  </si>
  <si>
    <t>Covington Daily Taken ROR (MG)</t>
  </si>
  <si>
    <t>Lakehaven Daily Taken ROR (MG)</t>
  </si>
  <si>
    <t>ROR Taken by Lakehaven</t>
  </si>
  <si>
    <t>ROR Taken by Covington</t>
  </si>
  <si>
    <t>ROR Taken by Kent</t>
  </si>
  <si>
    <t>ROR Taken by Tacoma (MG)</t>
  </si>
  <si>
    <t>HHD Elevation (00:00 hrs)</t>
  </si>
  <si>
    <t>Tacoma Total Consumption MG</t>
  </si>
  <si>
    <t>P5 pH (Average) (if operating, R1 if not)</t>
  </si>
  <si>
    <t>Forecasts:</t>
  </si>
  <si>
    <t>North Fork Water Used</t>
  </si>
  <si>
    <t>Kent North Fork Water Used (MG)</t>
  </si>
  <si>
    <t>Covington North Fork Water Used (MG)</t>
  </si>
  <si>
    <t>Lakehaven North Fork Water Used (MG)</t>
  </si>
  <si>
    <t>Covington O&amp;M Share (MG)</t>
  </si>
  <si>
    <t>Lakehaven O&amp;M Share (MG)</t>
  </si>
  <si>
    <t>Kent O&amp;M Share (MG)</t>
  </si>
  <si>
    <t>Air Temperature (degrees Fahrenheit)</t>
  </si>
  <si>
    <t>Water Height Over Dam (ft)</t>
  </si>
  <si>
    <t xml:space="preserve">Turbidity River, Max (ntu) </t>
  </si>
  <si>
    <t>UVT (%)</t>
  </si>
  <si>
    <t>Turbidity Blended Water (max), R1 (ntu)</t>
  </si>
  <si>
    <t>Turbidity Blended Water (max), R5 (ntu)</t>
  </si>
  <si>
    <t>Flow meter, Reservoir (MG)</t>
  </si>
  <si>
    <t>N0. 6 Well Water Available (ft)</t>
  </si>
  <si>
    <t>Chlorine Residual (average), R1 (ppm)</t>
  </si>
  <si>
    <t>Chlorine Dosage, P1 (ppm)</t>
  </si>
  <si>
    <t>Chlorine Residual (average), R5 (ppm)</t>
  </si>
  <si>
    <t>Chlorine Dosage, P5 (ppm)</t>
  </si>
  <si>
    <t>Fluoride (Average), P1 (mg/L)</t>
  </si>
  <si>
    <t>Fluoride (Average), P5 (mg/L)</t>
  </si>
  <si>
    <t>Water Temp. (Grab) SS#5, R1 (degrees Fahrenheit)</t>
  </si>
  <si>
    <t>Water Temp (Grab) SS #5, R5 (degrees Fahrenheit)</t>
  </si>
  <si>
    <t>Headworks Flow Meter, P1 (MGD)</t>
  </si>
  <si>
    <t>Headworks Flow Meter, P5 (MGD)</t>
  </si>
  <si>
    <t>24 Hr. Flow P1 (MG)</t>
  </si>
  <si>
    <t>24 Hr. Flow P5 (MG)</t>
  </si>
  <si>
    <t>Inlet Chlorine Resid. - Online (ppm)</t>
  </si>
  <si>
    <t>Outlet Chlorine Resid. - Online (ppm)</t>
  </si>
  <si>
    <t>Outlet Turbidity - Online (ntu)</t>
  </si>
  <si>
    <t>Tacoma Delivery Schedule (MGD)</t>
  </si>
  <si>
    <t>Kent Delivery Schedule (MGD)</t>
  </si>
  <si>
    <t>Covington Delivery Schedule (MGD)</t>
  </si>
  <si>
    <t>Lakehaven Delivery Schedule (MGD)</t>
  </si>
  <si>
    <t>CWA Delivery Schedule (MGD)</t>
  </si>
  <si>
    <t>Forced Majeure/NF Water Delivered to Kent (MG)</t>
  </si>
  <si>
    <t>Forced Majeure/NF Water Delivered to Covington or CWA via Covington (MG)</t>
  </si>
  <si>
    <t>Forced Majeure/NF Water Delivered to Lakehaven (MG)</t>
  </si>
  <si>
    <t>Hood Street CL2 Res. PL-2 (ppm)</t>
  </si>
  <si>
    <t>Hood Street CL2 Res. PL-4 (ppm)</t>
  </si>
  <si>
    <t>HHD Elev. (ft)</t>
  </si>
  <si>
    <t>Hood Street CL2/Day (lbs)</t>
  </si>
  <si>
    <t>Below HHD Outflow (12105900) (cfs)</t>
  </si>
  <si>
    <t>Green River at Auburn (12113000) (cfs)</t>
  </si>
  <si>
    <t>Green River at Palmer (12106700) (cfs)</t>
  </si>
  <si>
    <t>Cumberland Pump Station (gpm)</t>
  </si>
  <si>
    <t>Palmer Pump Station (gpm) FUTURE</t>
  </si>
  <si>
    <t>214th Street Pump Station (gpm)</t>
  </si>
  <si>
    <t>198th Avenue E. Pump Station (gpm)</t>
  </si>
  <si>
    <t>Fennel Creek Pump Station (gpm)</t>
  </si>
  <si>
    <t>Orting Valley (gpm) FUTURE</t>
  </si>
  <si>
    <t>High Cedars (gpm) FUTURE</t>
  </si>
  <si>
    <t>P1 Flow @ 214th Pump Station (MG)</t>
  </si>
  <si>
    <t>CWA Wholesale (MG) FUTURE</t>
  </si>
  <si>
    <t>1  COV -- 219th Ave SE &amp; SE 304th ST (MG)</t>
  </si>
  <si>
    <t>2  COV -- 22048 SE 288th St. (MG)</t>
  </si>
  <si>
    <t>3  COV -- 188TH AVE SE &amp; SE 304TH ST (MG) FUTURE</t>
  </si>
  <si>
    <t>1  KENT -- 217th Ave SE 288th ST (MG) FUTURE</t>
  </si>
  <si>
    <t>2  KENT -- 124TH AVE SE &amp; SE 296TH ST (MG) FUTURE</t>
  </si>
  <si>
    <t>3  KENT -- 120TH AVE SE &amp; SE 296TH ST (MG)</t>
  </si>
  <si>
    <t>FCF TOTALIZER (MG)</t>
  </si>
  <si>
    <t>1  LH -- 44th AVE. S. &amp; 313th ST (MG)</t>
  </si>
  <si>
    <t>2  LH -- 1ST WAY S &amp; S 332ND ST (MG)</t>
  </si>
  <si>
    <t>3  LH -- SW 356TH ST &amp; 15TH AVE SW (MG) FUTURE</t>
  </si>
  <si>
    <t>P5 Flow at 356th Pump Station (MG)</t>
  </si>
  <si>
    <t>356th Pump Station (gpm)</t>
  </si>
  <si>
    <t>Marine View Pump Station (gpm)</t>
  </si>
  <si>
    <t>McMillin Inflow (MG)</t>
  </si>
  <si>
    <t>McMILLIN outflow (MG)</t>
  </si>
  <si>
    <t>McMillin Pump Station No. 2 (gpm)</t>
  </si>
  <si>
    <t>TURBIDITY UNITS OUTLET max (ntu)</t>
  </si>
  <si>
    <t>FREE CL RESID. INLET Average (ppm)</t>
  </si>
  <si>
    <t>FREE CL RESID. BELOW PLANT Average (ppm)</t>
  </si>
  <si>
    <t>PA Reservoir Staff Gage (ft)</t>
  </si>
  <si>
    <t>Alaska Street Staff Gage (ft)</t>
  </si>
  <si>
    <t>Northend Staff Gage (ft)</t>
  </si>
  <si>
    <t>IH 0.5 mg Reservoir Level (ft)</t>
  </si>
  <si>
    <t>IH 1.0 mg Reservoir Level (ft)</t>
  </si>
  <si>
    <t>IH 3.5 mg Reservoir Level (ft)</t>
  </si>
  <si>
    <t>Hood Street Staff Gage (ft)</t>
  </si>
  <si>
    <t>Hood Street Generator (kW)</t>
  </si>
  <si>
    <t>PA Inlet (MG)</t>
  </si>
  <si>
    <t>PA Outlet (MG)</t>
  </si>
  <si>
    <t>Alaska Street Middle Service (gpm)</t>
  </si>
  <si>
    <t>Hood Street 48" Flow (MG)</t>
  </si>
  <si>
    <t>Hood Street 24" Flow (MG)</t>
  </si>
  <si>
    <t>Wells (gpm)</t>
  </si>
  <si>
    <t>Hood Street CL2/Day (lbs) FUTURE</t>
  </si>
  <si>
    <t>Hood Street CL2 Res. PL-2 (ppm) FUTURE</t>
  </si>
  <si>
    <t>Hood Street CL2 Res. PL-4 (ppm) FUTURE</t>
  </si>
  <si>
    <t>PA CL2/Day (lbs) FUTURE</t>
  </si>
  <si>
    <t>Total Non-Revenue Use MG</t>
  </si>
  <si>
    <t>Non-Revenue Draining of McMillin 1# N (MG)</t>
  </si>
  <si>
    <t>Non-</t>
  </si>
  <si>
    <t>Revenue</t>
  </si>
  <si>
    <t>Non-Revenue Draining of McMillin 1# S (MG)</t>
  </si>
  <si>
    <t>OTHER</t>
  </si>
  <si>
    <t>STORAGE ADJUSTMENTS (MG)</t>
  </si>
  <si>
    <t>Tacoma Daily Storage Drawdown (-)</t>
  </si>
  <si>
    <t>Tacoma Daily Storage Accumulation (+)</t>
  </si>
  <si>
    <t>Tacoma Storage Manual Adjustment</t>
  </si>
  <si>
    <t>Tacoma Total Storage</t>
  </si>
  <si>
    <r>
      <t xml:space="preserve">3  </t>
    </r>
    <r>
      <rPr>
        <sz val="8"/>
        <color indexed="55"/>
        <rFont val="Arial"/>
        <family val="2"/>
      </rPr>
      <t>188TH AVE SE &amp; SE 304TH ST</t>
    </r>
  </si>
  <si>
    <r>
      <t xml:space="preserve">2  </t>
    </r>
    <r>
      <rPr>
        <sz val="8"/>
        <color indexed="55"/>
        <rFont val="Arial"/>
        <family val="2"/>
      </rPr>
      <t>124TH AVE SE &amp; SE 296TH ST</t>
    </r>
  </si>
  <si>
    <t>CWA Meter (T6 meter only) (FUTURE)</t>
  </si>
  <si>
    <t>SDWR Taken (MGD)</t>
  </si>
  <si>
    <t>Storing</t>
  </si>
  <si>
    <t>RWS</t>
  </si>
  <si>
    <t>Storage</t>
  </si>
  <si>
    <t>Started Using Storage Date</t>
  </si>
  <si>
    <t>Stopped Using Storage Date</t>
  </si>
  <si>
    <t>Northend High Service 478 Zone (gpm)</t>
  </si>
  <si>
    <t>Northend End Service 446 Zone (gpm)</t>
  </si>
  <si>
    <t>Water to Support Auburn at 250 cfs</t>
  </si>
  <si>
    <t>Tacoma water to Support Auburn at 250 cfs (MGD)</t>
  </si>
  <si>
    <t>1135 + Resource Water Daily Use</t>
  </si>
  <si>
    <t>Municipal Storage Daily Use</t>
  </si>
  <si>
    <t>Total 1135 + Resource Water</t>
  </si>
  <si>
    <t>Portion of 1135 + Resource Water Available to Tacoma for Maintaining Auburn Gage at 250 cfs Min</t>
  </si>
  <si>
    <t>DELIVERED TO PARTNERS (MG)</t>
  </si>
  <si>
    <t>Other P5 Wholesale</t>
  </si>
  <si>
    <t>Other P5 Wholesale (MG)</t>
  </si>
  <si>
    <r>
      <t xml:space="preserve">6  </t>
    </r>
    <r>
      <rPr>
        <sz val="8"/>
        <color theme="0"/>
        <rFont val="Arial"/>
        <family val="2"/>
      </rPr>
      <t>164th Ave SE &amp; Kent-Black Diamond Rd</t>
    </r>
  </si>
  <si>
    <t>6  COV -- 164th Ave SE &amp; Kent-Black Diamond Rd (MG)</t>
  </si>
  <si>
    <t>Kent Use Blended (Partially NF) Water? 1=Yes</t>
  </si>
  <si>
    <t>Lakehaven Use Blended (Partially NF) Water? 1=Yes</t>
  </si>
  <si>
    <t>Covington Use Blended (Partially NF) Water? 1=Yes</t>
  </si>
  <si>
    <t>Yes</t>
  </si>
  <si>
    <t>No</t>
  </si>
  <si>
    <t>Portion of 1135 + Resource Water for Agency Augmentation of Green River Flows</t>
  </si>
  <si>
    <t>Total Tacoma - Total Non-Revenue Usage</t>
  </si>
  <si>
    <t>Total W/Partners* - Total Non-Revenue Usage</t>
  </si>
  <si>
    <r>
      <t xml:space="preserve">Auburn Gage  </t>
    </r>
    <r>
      <rPr>
        <sz val="8"/>
        <rFont val="Calibri"/>
        <family val="2"/>
        <scheme val="minor"/>
      </rPr>
      <t>(unofficial - see USGS website)</t>
    </r>
  </si>
  <si>
    <r>
      <t xml:space="preserve">Palmer Gage  </t>
    </r>
    <r>
      <rPr>
        <sz val="8"/>
        <rFont val="Calibri"/>
        <family val="2"/>
        <scheme val="minor"/>
      </rPr>
      <t>(unofficial - see USGS website)</t>
    </r>
  </si>
  <si>
    <r>
      <t xml:space="preserve">HHD Outflow </t>
    </r>
    <r>
      <rPr>
        <sz val="8"/>
        <rFont val="Calibri"/>
        <family val="2"/>
        <scheme val="minor"/>
      </rPr>
      <t>(unofficial)</t>
    </r>
  </si>
  <si>
    <t>1135 Daily Use (cfs)</t>
  </si>
  <si>
    <t>1135 + Resource Water (Flexible) AF</t>
  </si>
  <si>
    <t>HHD Inflow Calculation (cfs)</t>
  </si>
  <si>
    <t>Force Majeure/NF/Other Water for Kent (MG)</t>
  </si>
  <si>
    <t>Force Majeure / NF Water for Lakehaven (MG)</t>
  </si>
  <si>
    <t>2011 HHD Total Storage (including 1220 AF dead storage)</t>
  </si>
  <si>
    <t>Reservoir 1</t>
  </si>
  <si>
    <t>Reservoir 2</t>
  </si>
  <si>
    <t>Change In Covered McMillin #1 Storage (MG)</t>
  </si>
  <si>
    <t>Change In Covered McMillin #2 Storage (MG)</t>
  </si>
  <si>
    <t>McMillin Covered Reservoir 1 (ft)</t>
  </si>
  <si>
    <t>McMillin Covered Reservoir 2 (ft)</t>
  </si>
  <si>
    <t>Covered Reservoir 2 Flow Meter (MG)</t>
  </si>
  <si>
    <t>Depth of Covered Reservoir No. 1</t>
  </si>
  <si>
    <t>Depth of Covered Reservoir No. 2</t>
  </si>
  <si>
    <t>Covered Reservoir 1 -  Flow</t>
  </si>
  <si>
    <t>Covered Reservoir 2 -  Flow</t>
  </si>
  <si>
    <t>Total 24-hr Flow  (MG)</t>
  </si>
  <si>
    <t>HHD Total Storage (including 619 AF dead storage)</t>
  </si>
  <si>
    <t>HHD total storage (without 619 AF dead storage)</t>
  </si>
  <si>
    <t>Did we AutoFill</t>
  </si>
  <si>
    <t>alaska</t>
  </si>
  <si>
    <t>hood</t>
  </si>
  <si>
    <t>IH 3.5</t>
  </si>
  <si>
    <t>IH 1</t>
  </si>
  <si>
    <t>Portland</t>
  </si>
  <si>
    <t>North End</t>
  </si>
  <si>
    <t>Indian Hill Reservoir 1.0 (MG)</t>
  </si>
  <si>
    <t>IH 0.5</t>
  </si>
  <si>
    <t>Stored SDWR used for Flow Augmentation</t>
  </si>
  <si>
    <t>SDWR Available (-) Partners Adjusted Metered Flow (MGD)</t>
  </si>
  <si>
    <t>SDWR ROR Placed in Storage (MG)</t>
  </si>
  <si>
    <t>Total SDWR ROR Taken (daily, includes stored, excludes stored used)</t>
  </si>
  <si>
    <t>Is 2nd Diversion Sufficient?</t>
  </si>
  <si>
    <t>check, what is P1 +P5</t>
  </si>
  <si>
    <t>check, what is FDWtaken + SDWROR taken +Stored use</t>
  </si>
  <si>
    <t>FDW Taken by Tacoma,  (MGD)</t>
  </si>
  <si>
    <t>TURBIDITY UNITS INLET  max (ntu)</t>
  </si>
  <si>
    <t>pH INLET</t>
  </si>
  <si>
    <t>pH OUTLET</t>
  </si>
  <si>
    <t>2012 HHD Total Storage (including 619 AF dead storage)</t>
  </si>
  <si>
    <t>Valve 271 open 1=Yes</t>
  </si>
  <si>
    <t>Is McMillin Covered #1 Spilling</t>
  </si>
  <si>
    <t>Is McMillin Covered  #2 Spilling</t>
  </si>
  <si>
    <t>Covered Reservoir 1 Flow Meter (MG)</t>
  </si>
  <si>
    <t>SDWR ROR Delivered to P1/P5</t>
  </si>
  <si>
    <t>SDWR ROR Placed in Storage</t>
  </si>
  <si>
    <t>n</t>
  </si>
  <si>
    <t>Black Diamond</t>
  </si>
  <si>
    <t>Portland Ave</t>
  </si>
  <si>
    <t>Reservoir</t>
  </si>
  <si>
    <t>Hood Street</t>
  </si>
  <si>
    <t>McMillin #1</t>
  </si>
  <si>
    <t>McMillin #2</t>
  </si>
  <si>
    <t>Wholesale Connection</t>
  </si>
  <si>
    <t>Low Alarm</t>
  </si>
  <si>
    <t>CWD</t>
  </si>
  <si>
    <t>Capacity (MG/FT)</t>
  </si>
  <si>
    <t>P5 GE Meter @ 356th</t>
  </si>
  <si>
    <t>Bonney Lake</t>
  </si>
  <si>
    <t>Total McMillin</t>
  </si>
  <si>
    <t>3-day Avg. Outflow</t>
  </si>
  <si>
    <t>24-hr Avg. Outflow</t>
  </si>
  <si>
    <t>Gauge Height (ft)</t>
  </si>
  <si>
    <t>(+)</t>
  </si>
  <si>
    <t>loss in reservoir height (added demand)</t>
  </si>
  <si>
    <t>(-)</t>
  </si>
  <si>
    <t>Increase in reservoir height (subtracted demand)</t>
  </si>
  <si>
    <t>Pump Station</t>
  </si>
  <si>
    <t>Cumberland</t>
  </si>
  <si>
    <t xml:space="preserve">214th </t>
  </si>
  <si>
    <t>198th</t>
  </si>
  <si>
    <t>Fennel</t>
  </si>
  <si>
    <t>3-day Avg Flow (MGD)</t>
  </si>
  <si>
    <t>24-hr Avg Flow (MGD)</t>
  </si>
  <si>
    <t>Auburn</t>
  </si>
  <si>
    <t>Water District #111</t>
  </si>
  <si>
    <t>Buckley</t>
  </si>
  <si>
    <t>SSP Partners</t>
  </si>
  <si>
    <t>3-day Avg. Net Storage (MG/Day)</t>
  </si>
  <si>
    <t>24-hr Avg Net Storage (MG/Day)</t>
  </si>
  <si>
    <t>Scheduled Flow (MGD)</t>
  </si>
  <si>
    <t>24-hr Total (MG)</t>
  </si>
  <si>
    <t>Auburn 'B' St. Flow (MGD)</t>
  </si>
  <si>
    <t>Auburn 'C' St</t>
  </si>
  <si>
    <t>WD #111 Wholesale Flow (MGD)</t>
  </si>
  <si>
    <t>Bonney Lk. Wholesale (MGD)</t>
  </si>
  <si>
    <t>Enumclaw Wholesale (MGD)</t>
  </si>
  <si>
    <t>Total Flow (CFS)</t>
  </si>
  <si>
    <t>PL- 5 Wholesale</t>
  </si>
  <si>
    <t>Black Diamond  Flow (MGD)</t>
  </si>
  <si>
    <t>VOID        FDW Taken Down P5  (MG)</t>
  </si>
  <si>
    <t>1st Diversion water going down P5 (VOID)</t>
  </si>
  <si>
    <t>Stored SDWR Delivered (MG)</t>
  </si>
  <si>
    <t xml:space="preserve">T A C O M A </t>
  </si>
  <si>
    <t xml:space="preserve">K E N T </t>
  </si>
  <si>
    <t>C O V I N G T O N</t>
  </si>
  <si>
    <t xml:space="preserve">L A K E H A V E N </t>
  </si>
  <si>
    <t>24-HOUR DATA MEASUREMENTS (12am to 12am)</t>
  </si>
  <si>
    <t>24 Hour Source Data (measurement taken from 12am to 12am)</t>
  </si>
  <si>
    <t>Instantaneous Source Data (measurement taken at 24:00)</t>
  </si>
  <si>
    <t>INSTANTANEOUS MEASUREMENTS ( 24:00 Read)</t>
  </si>
  <si>
    <t>Howard Hanson Reservoir Elevation</t>
  </si>
  <si>
    <t>Bonney Lk Trend Value</t>
  </si>
  <si>
    <t xml:space="preserve">Bonney Lk Read (mgd) </t>
  </si>
  <si>
    <t>Bonney Lake Wholesale</t>
  </si>
  <si>
    <t>Bonney Lk Wholesale  MG</t>
  </si>
  <si>
    <t>Other P5 Wholesale  MG</t>
  </si>
  <si>
    <t>Other Reservoirs (+ if level decrease)</t>
  </si>
  <si>
    <t>McMillin Pump Station No. 2 (Void)</t>
  </si>
  <si>
    <t>Old Drawdown Curve Values</t>
  </si>
  <si>
    <t>Velocity Formula</t>
  </si>
  <si>
    <t>enter current flow (MGD)</t>
  </si>
  <si>
    <t>PL1</t>
  </si>
  <si>
    <t>Upper Section (78") - Palmer Junct. To Headworks)</t>
  </si>
  <si>
    <t>Bayne to Palmer Junction (63")</t>
  </si>
  <si>
    <t>Cumberland to McMillin</t>
  </si>
  <si>
    <t>Vel.</t>
  </si>
  <si>
    <t>Diam (ft)</t>
  </si>
  <si>
    <t>Diam. (in)</t>
  </si>
  <si>
    <t>d^2</t>
  </si>
  <si>
    <t>P5 (Tacoma Consumption + Wholesale)</t>
  </si>
  <si>
    <t>Other P5 Wholesale (void)</t>
  </si>
  <si>
    <t>-%</t>
  </si>
  <si>
    <t>Total Change in McMillin #2  (MG)</t>
  </si>
  <si>
    <t>Total Change in McMillin Covered #1 (MG)</t>
  </si>
  <si>
    <t>Total Change in McMillin #1 &amp; #2</t>
  </si>
  <si>
    <t>HW P1 Meter (MG)</t>
  </si>
  <si>
    <t>(HW P1 Meter) - (Change in McMillin)</t>
  </si>
  <si>
    <t>McMillin Outflow Meter Check</t>
  </si>
  <si>
    <t>McMillin - Inlet plus change in reservoir</t>
  </si>
  <si>
    <t>McMillin Inflow + Delta Storage (MG)</t>
  </si>
  <si>
    <t>McMillin Outflow Meter Relative Error (decimal)</t>
  </si>
  <si>
    <t>Total P5 Tacoma Wholesale (MG)</t>
  </si>
  <si>
    <t>2013 HHD Total Storage (including 619 AF dead storage)</t>
  </si>
  <si>
    <t>HHD Conservation / Flood Storage (minus 619AF dead storage)</t>
  </si>
  <si>
    <t>Tracking of SDW Storage at 100cfs/day less ROR daily withdrawal</t>
  </si>
  <si>
    <t>Delivery Schedule Total (cfs)</t>
  </si>
  <si>
    <t>Bonney Lk meter read</t>
  </si>
  <si>
    <t>2014 HHD Total Storage (including 619 AF dead storage)</t>
  </si>
  <si>
    <t xml:space="preserve">Unallocated Storage </t>
  </si>
  <si>
    <t>Total flow - North Fork (cfs)</t>
  </si>
  <si>
    <t>Storage Use Estimate (cfs)</t>
  </si>
  <si>
    <t>Storage Use (MG)</t>
  </si>
  <si>
    <t>SDWR ROR Delivered (MGD)</t>
  </si>
  <si>
    <t>P1+P5-NF+    (Auburn Gage - Auburn Minimum) - SDWR Taken (MGD)</t>
  </si>
  <si>
    <t>Corps Release per Guide Curve</t>
  </si>
  <si>
    <t>(Auburn Local Inflows) Auburn flow - Corps Release - Tacoma Diversion</t>
  </si>
  <si>
    <t>Total FDW Taken by Tacoma (cfs)</t>
  </si>
  <si>
    <t>SDWR ROR Available to Tacoma (MG)</t>
  </si>
  <si>
    <t>SDWR ROR Available to Kent (MG)</t>
  </si>
  <si>
    <t>SDWR ROR Available to Covington (MG)</t>
  </si>
  <si>
    <t>SDWR ROR Available to Lakehaven (MG)</t>
  </si>
  <si>
    <t>SDWR Storage Needed to cover deficit (MG)</t>
  </si>
  <si>
    <t>Kent SDWR Storage Needed to Cover Deficit (MG)</t>
  </si>
  <si>
    <t>SDWR Storage Used for Auburn Support (-)</t>
  </si>
  <si>
    <t>SDW Taken Schedules (MGD)</t>
  </si>
  <si>
    <t>SDW Taken Scheduled (CFS)</t>
  </si>
  <si>
    <t>SDWR Scheduled (Storage or ROR)</t>
  </si>
  <si>
    <t>palmer above 110</t>
  </si>
  <si>
    <t>auburn above 250</t>
  </si>
  <si>
    <t>PL1 Total (MG)</t>
  </si>
  <si>
    <t>PL5 Total (MG)</t>
  </si>
  <si>
    <t>Total Change in Reservoirs (MG)</t>
  </si>
  <si>
    <t>Bonney Lake (MG)</t>
  </si>
  <si>
    <t>Auburn (MG)</t>
  </si>
  <si>
    <t>Partners Total (adjusted) (MG)</t>
  </si>
  <si>
    <t>In-Town Wells Total (MG)</t>
  </si>
  <si>
    <t>Total Tacoma Demand (Including Wholesale) (MG)</t>
  </si>
  <si>
    <t>Auburn + Bonney Lake (MGD)</t>
  </si>
  <si>
    <t>Total River Water Delivered to Tacoma (cfs)</t>
  </si>
  <si>
    <t>pH</t>
  </si>
  <si>
    <t>pH (Average), P1</t>
  </si>
  <si>
    <t>pH (Average), P5</t>
  </si>
  <si>
    <t>What is Palmer flow with Corps Min Release (cfs)</t>
  </si>
  <si>
    <t>What is Auburn w/Corps Min Release (cfs)</t>
  </si>
  <si>
    <t>What was Tacoma FDWR Taken (cfs)</t>
  </si>
  <si>
    <t>What is Auburn w/Corps Min Release minus Tacoma FDWR Taken (cfs)</t>
  </si>
  <si>
    <t xml:space="preserve">What is Storage Released for Partners (cfs) </t>
  </si>
  <si>
    <t>What is Tacoma FDWR Taken (cfs)</t>
  </si>
  <si>
    <t>Did Corps release LESS than minimum required Y or N</t>
  </si>
  <si>
    <t>What is Corps Actual Release (Includes SDW Storage Sched for Release) (cfs)</t>
  </si>
  <si>
    <t>What is Corps ACTUAL Release minus SDW Stored Release to Partners (cfs)</t>
  </si>
  <si>
    <t>What is Corps ACTUAL Release minus SDW Stored released to Partners minus Tacoma FDWR Taken</t>
  </si>
  <si>
    <t>What is Palmer Gage Read (cfs)</t>
  </si>
  <si>
    <t>What is Auburn Gage Read (cfs)</t>
  </si>
  <si>
    <t>What is the Corps release below Minim (cfs)</t>
  </si>
  <si>
    <t>What is Corps release ABOVE minimum (cfs)</t>
  </si>
  <si>
    <t xml:space="preserve">Tacoma Support for Auburn (cfs) </t>
  </si>
  <si>
    <t>Wells (AF)</t>
  </si>
  <si>
    <t>WestRock</t>
  </si>
  <si>
    <t>WestRock*</t>
  </si>
  <si>
    <t>WestRock CONSUMPTION (MG)</t>
  </si>
  <si>
    <t>WestRock WATER TEMP. (degrees Fahrenheit)</t>
  </si>
  <si>
    <t>Total Tacoma Without WestRock (City Wells + P1 + P5365 +Change in Reservoir - WestRock - Total Non-Revenue Usage)</t>
  </si>
  <si>
    <t>Tacoma Total Demand plus Partners (MGD)</t>
  </si>
  <si>
    <t>Tacoma Total Demand plus Partners (cfs)</t>
  </si>
  <si>
    <t>Wells (MG)</t>
  </si>
  <si>
    <t>Auburn local inflow (cfs)</t>
  </si>
  <si>
    <t>Lakehaven O&amp;M Share</t>
  </si>
  <si>
    <t>9/7 to 9/13</t>
  </si>
  <si>
    <t>Eagle Lake Storage Additions (cfs)</t>
  </si>
  <si>
    <t>Eagle Lake Storage Addition (AF)</t>
  </si>
  <si>
    <t>Green River at Palmer</t>
  </si>
  <si>
    <t>2015 HHD Total Storage (including 619 AF dead storage)</t>
  </si>
  <si>
    <r>
      <t xml:space="preserve">Palmer </t>
    </r>
    <r>
      <rPr>
        <sz val="10"/>
        <rFont val="Arial"/>
        <family val="2"/>
      </rPr>
      <t xml:space="preserve"> Gage (cfs)</t>
    </r>
  </si>
  <si>
    <t>Conservation / Flood Storage Guide Curve (without 619AF dead storage)</t>
  </si>
  <si>
    <t>HHD Conservation / Flood Storage (including 619 AF dead storage)</t>
  </si>
  <si>
    <t>Delivery Schedule Total (MGD)</t>
  </si>
  <si>
    <t>Turbidity (Max.) Blended Raw</t>
  </si>
  <si>
    <t>HHD Conservation/Flood Storage Guide Curve (including 619 AF dead storage)</t>
  </si>
  <si>
    <t>Turbidity - Blended Raw</t>
  </si>
  <si>
    <t>Turbidity - River</t>
  </si>
  <si>
    <t>Cumulative Tacoma Storage Used to Maintain Auburn Instream Flow (AF)</t>
  </si>
  <si>
    <t>Secondary Axis Elevation (feet)</t>
  </si>
  <si>
    <t>kAF</t>
  </si>
  <si>
    <t>Cumulative Tacoma Storage to Pipelines (AF)</t>
  </si>
  <si>
    <t>Name</t>
  </si>
  <si>
    <t>Example</t>
  </si>
  <si>
    <t>C. Nelson</t>
  </si>
  <si>
    <t>Formated Column DO in 'Calulation' tab to highlight values above 2.0%</t>
  </si>
  <si>
    <t>Change (formatting or calculation change)</t>
  </si>
  <si>
    <t>Added the end of storage date as 11/2/16.  Added the end of storage use as 10/19/16.</t>
  </si>
  <si>
    <t>2016 HHD Total Storage (including 619 AF dead storage)</t>
  </si>
  <si>
    <t>TOTAL KENT/COVINGTON/LAKEHAVEN</t>
  </si>
  <si>
    <t>Total CWD/Kent/Lakehaven Unadjusted flow (MG)</t>
  </si>
  <si>
    <t>Total CWD/Kent/Lakehaven Adjusted flow (MG)</t>
  </si>
  <si>
    <t>Total CWD/Kent/Lakehaven</t>
  </si>
  <si>
    <t>Force Majeure / FDWR to Kent</t>
  </si>
  <si>
    <t>Force Majeure / FDWR to Covington</t>
  </si>
  <si>
    <t>Force Majeure / FDWR to Lakehaven</t>
  </si>
  <si>
    <t>FDWR Taken</t>
  </si>
  <si>
    <t>Kent O&amp;M Share Force Majeure</t>
  </si>
  <si>
    <t>Covington O&amp;M Share Force Majeure</t>
  </si>
  <si>
    <t>Lakehaven O&amp;M Share Force Majeure</t>
  </si>
  <si>
    <t>**Sheet needs to be 3 hole punched**</t>
  </si>
  <si>
    <t>J. Moline</t>
  </si>
  <si>
    <t>Took off the decimals from river flows on the Tacoma and RWS Report Pages</t>
  </si>
  <si>
    <t>Grayed out McMillin outlet turbidity line on Tacoma Report Page</t>
  </si>
  <si>
    <t>McM 1 Cleaning</t>
  </si>
  <si>
    <t>McM 2 Cleaning</t>
  </si>
  <si>
    <t>24:00</t>
  </si>
  <si>
    <t>o/l</t>
  </si>
  <si>
    <t>Enter the month for reporting</t>
  </si>
  <si>
    <t>2nd Div     Absent Fisheries Storage Restriction (MGD)</t>
  </si>
  <si>
    <t>Total Tacoma Demand (Excluding Wholesale from SCADA) (MG)</t>
  </si>
  <si>
    <t>214th Ave E Pump Station</t>
  </si>
  <si>
    <t>198th Ave E Pump Station</t>
  </si>
  <si>
    <t>Revised column AI on the Summary worksheet to refer to the Calculation worksheet</t>
  </si>
  <si>
    <t>Wolff</t>
  </si>
  <si>
    <t>Chapin</t>
  </si>
  <si>
    <t>Palmer without Fisheries storage (cfs)</t>
  </si>
  <si>
    <t>Auburn without Fisheries storage (cfs)</t>
  </si>
  <si>
    <t>Added columns IH and II to the Calculation worksheet - Aub/Pal flow w/o fish storage</t>
  </si>
  <si>
    <t>Revised column H on the Calculation worksheet - SDWR w/o fish storage</t>
  </si>
  <si>
    <t>Per GG and CN, HHD flood storage is not fisheries storage - see next 2 entries below</t>
  </si>
  <si>
    <t>Revised SDWR available on July 2-4 -&gt; 0 since Pal flow w/o fish storage &lt; 300 cfs</t>
  </si>
  <si>
    <t>tr</t>
  </si>
  <si>
    <t>Printed and submitted to SV/GG on 2/6, 3/7, 4/10, 5/2, 6/13, 7/3, 8/15, 9/5, 10/4, 11/7, 12/5, 1/2</t>
  </si>
  <si>
    <t>(unadjusted)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</si>
</sst>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_(* \(#,##0.00\);_(* &quot;-&quot;??_);_(@_)"/>
    <numFmt numFmtId="164" formatCode="mm/dd/yy"/>
    <numFmt numFmtId="165" formatCode="h:mm;@"/>
    <numFmt numFmtId="166" formatCode="0.0"/>
    <numFmt numFmtId="167" formatCode="0.000"/>
    <numFmt numFmtId="168" formatCode="mmmm\-yy"/>
    <numFmt numFmtId="169" formatCode="m/d"/>
    <numFmt numFmtId="170" formatCode="m/d/yy"/>
    <numFmt numFmtId="171" formatCode="[$-409]d\-mmm;@"/>
    <numFmt numFmtId="172" formatCode="m/d;@"/>
    <numFmt numFmtId="173" formatCode="m/d/yy;@"/>
    <numFmt numFmtId="174" formatCode="#,##0.000"/>
    <numFmt numFmtId="175" formatCode="0.0000"/>
    <numFmt numFmtId="176" formatCode="0.0%"/>
    <numFmt numFmtId="177" formatCode="[$-409]d\-mmm\-yy;@"/>
    <numFmt numFmtId="178" formatCode="_(* #,##0_);_(* \(#,##0\);_(* &quot;-&quot;??_);_(@_)"/>
    <numFmt numFmtId="179" formatCode="mmmm"/>
  </numFmts>
  <fonts count="114" x14ac:knownFonts="1">
    <font>
      <sz val="10"/>
      <name val="Arial"/>
    </font>
    <font>
      <sz val="11"/>
      <color theme="1"/>
      <name val="Calibri"/>
      <family val="2"/>
      <scheme val="minor"/>
    </font>
    <font>
      <sz val="11"/>
      <color theme="1"/>
      <name val="Calibri"/>
      <family val="2"/>
      <scheme val="minor"/>
    </font>
    <font>
      <sz val="10"/>
      <name val="Arial"/>
      <family val="2"/>
    </font>
    <font>
      <sz val="10"/>
      <name val="Times New Roman"/>
      <family val="1"/>
    </font>
    <font>
      <sz val="12"/>
      <color indexed="12"/>
      <name val="Times New Roman"/>
      <family val="1"/>
    </font>
    <font>
      <sz val="8"/>
      <color indexed="16"/>
      <name val="Arial"/>
      <family val="2"/>
    </font>
    <font>
      <sz val="10"/>
      <name val="Arial"/>
      <family val="2"/>
    </font>
    <font>
      <sz val="12"/>
      <name val="Arial"/>
      <family val="2"/>
    </font>
    <font>
      <sz val="10"/>
      <name val="Arial"/>
      <family val="2"/>
    </font>
    <font>
      <sz val="10"/>
      <color indexed="12"/>
      <name val="Arial"/>
      <family val="2"/>
    </font>
    <font>
      <sz val="8"/>
      <name val="Arial"/>
      <family val="2"/>
    </font>
    <font>
      <u/>
      <sz val="10"/>
      <color indexed="12"/>
      <name val="Arial"/>
      <family val="2"/>
    </font>
    <font>
      <sz val="10"/>
      <name val="Arial"/>
      <family val="2"/>
    </font>
    <font>
      <b/>
      <sz val="12"/>
      <color indexed="16"/>
      <name val="Arial"/>
      <family val="2"/>
    </font>
    <font>
      <b/>
      <sz val="10"/>
      <color indexed="16"/>
      <name val="Arial"/>
      <family val="2"/>
    </font>
    <font>
      <sz val="10"/>
      <color indexed="16"/>
      <name val="Arial"/>
      <family val="2"/>
    </font>
    <font>
      <b/>
      <sz val="10"/>
      <color indexed="16"/>
      <name val="Arial"/>
      <family val="2"/>
    </font>
    <font>
      <b/>
      <sz val="8"/>
      <color indexed="16"/>
      <name val="Arial"/>
      <family val="2"/>
    </font>
    <font>
      <b/>
      <sz val="8"/>
      <name val="Arial"/>
      <family val="2"/>
    </font>
    <font>
      <sz val="8"/>
      <name val="Arial"/>
      <family val="2"/>
    </font>
    <font>
      <sz val="14"/>
      <color indexed="8"/>
      <name val="Arial"/>
      <family val="2"/>
    </font>
    <font>
      <sz val="17"/>
      <color indexed="8"/>
      <name val="Arial"/>
      <family val="2"/>
    </font>
    <font>
      <b/>
      <sz val="12"/>
      <color indexed="8"/>
      <name val="Arial"/>
      <family val="2"/>
    </font>
    <font>
      <b/>
      <sz val="10"/>
      <color indexed="8"/>
      <name val="Arial"/>
      <family val="2"/>
    </font>
    <font>
      <b/>
      <sz val="8"/>
      <color indexed="8"/>
      <name val="Arial"/>
      <family val="2"/>
    </font>
    <font>
      <i/>
      <sz val="8"/>
      <color indexed="10"/>
      <name val="Arial"/>
      <family val="2"/>
    </font>
    <font>
      <b/>
      <sz val="8"/>
      <name val="Arial"/>
      <family val="2"/>
    </font>
    <font>
      <sz val="10"/>
      <color indexed="12"/>
      <name val="Arial"/>
      <family val="2"/>
    </font>
    <font>
      <sz val="8"/>
      <color indexed="8"/>
      <name val="Arial"/>
      <family val="2"/>
    </font>
    <font>
      <sz val="10"/>
      <color indexed="8"/>
      <name val="Arial"/>
      <family val="2"/>
    </font>
    <font>
      <sz val="10"/>
      <color indexed="16"/>
      <name val="Arial"/>
      <family val="2"/>
    </font>
    <font>
      <sz val="8"/>
      <color indexed="16"/>
      <name val="Arial"/>
      <family val="2"/>
    </font>
    <font>
      <b/>
      <sz val="8"/>
      <color indexed="16"/>
      <name val="Arial"/>
      <family val="2"/>
    </font>
    <font>
      <sz val="8"/>
      <color indexed="9"/>
      <name val="Arial"/>
      <family val="2"/>
    </font>
    <font>
      <sz val="8"/>
      <name val="Arial"/>
      <family val="2"/>
    </font>
    <font>
      <sz val="6"/>
      <name val="Arial"/>
      <family val="2"/>
    </font>
    <font>
      <sz val="6"/>
      <name val="Arial"/>
      <family val="2"/>
    </font>
    <font>
      <sz val="8"/>
      <color indexed="81"/>
      <name val="Tahoma"/>
      <family val="2"/>
    </font>
    <font>
      <b/>
      <sz val="8"/>
      <color indexed="81"/>
      <name val="Tahoma"/>
      <family val="2"/>
    </font>
    <font>
      <sz val="10"/>
      <color indexed="48"/>
      <name val="Arial"/>
      <family val="2"/>
    </font>
    <font>
      <sz val="10"/>
      <name val="MS Sans Serif"/>
      <family val="2"/>
    </font>
    <font>
      <sz val="8"/>
      <name val="Arial"/>
      <family val="2"/>
    </font>
    <font>
      <b/>
      <sz val="10"/>
      <name val="MS Sans Serif"/>
      <family val="2"/>
    </font>
    <font>
      <sz val="8"/>
      <color indexed="55"/>
      <name val="Arial"/>
      <family val="2"/>
    </font>
    <font>
      <sz val="8"/>
      <color theme="0"/>
      <name val="Arial"/>
      <family val="2"/>
    </font>
    <font>
      <b/>
      <sz val="8"/>
      <color theme="0"/>
      <name val="Arial"/>
      <family val="2"/>
    </font>
    <font>
      <b/>
      <sz val="8"/>
      <name val="Calibri"/>
      <family val="2"/>
      <scheme val="minor"/>
    </font>
    <font>
      <sz val="8"/>
      <name val="Calibri"/>
      <family val="2"/>
      <scheme val="minor"/>
    </font>
    <font>
      <sz val="10"/>
      <color indexed="81"/>
      <name val="Tahoma"/>
      <family val="2"/>
    </font>
    <font>
      <b/>
      <sz val="10"/>
      <color indexed="81"/>
      <name val="Tahoma"/>
      <family val="2"/>
    </font>
    <font>
      <sz val="10"/>
      <color rgb="FF050BFB"/>
      <name val="Arial"/>
      <family val="2"/>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sz val="9"/>
      <color indexed="81"/>
      <name val="Tahoma"/>
      <family val="2"/>
    </font>
    <font>
      <b/>
      <sz val="9"/>
      <color indexed="81"/>
      <name val="Tahoma"/>
      <family val="2"/>
    </font>
    <font>
      <b/>
      <sz val="10"/>
      <name val="Arial"/>
      <family val="2"/>
    </font>
    <font>
      <i/>
      <sz val="10"/>
      <name val="Arial"/>
      <family val="2"/>
    </font>
    <font>
      <b/>
      <u/>
      <sz val="10"/>
      <name val="Arial"/>
      <family val="2"/>
    </font>
    <font>
      <sz val="10"/>
      <name val="Arial Unicode MS"/>
      <family val="2"/>
    </font>
    <font>
      <sz val="9"/>
      <name val="Arial"/>
      <family val="2"/>
    </font>
    <font>
      <strike/>
      <sz val="10"/>
      <name val="Arial"/>
      <family val="2"/>
    </font>
    <font>
      <sz val="10"/>
      <name val="Arial"/>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u/>
      <sz val="10"/>
      <color theme="10"/>
      <name val="Arial"/>
      <family val="2"/>
    </font>
    <font>
      <sz val="10"/>
      <color rgb="FF5A5A5A"/>
      <name val="Arial"/>
      <family val="2"/>
    </font>
    <font>
      <sz val="10"/>
      <name val="Arial"/>
      <family val="2"/>
    </font>
  </fonts>
  <fills count="98">
    <fill>
      <patternFill patternType="none"/>
    </fill>
    <fill>
      <patternFill patternType="gray125"/>
    </fill>
    <fill>
      <patternFill patternType="solid">
        <fgColor indexed="9"/>
      </patternFill>
    </fill>
    <fill>
      <patternFill patternType="mediumGray">
        <fgColor indexed="22"/>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55"/>
        <bgColor indexed="64"/>
      </patternFill>
    </fill>
    <fill>
      <patternFill patternType="solid">
        <fgColor indexed="5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99CCFF"/>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1"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66CCFF"/>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6"/>
        <bgColor indexed="64"/>
      </patternFill>
    </fill>
    <fill>
      <patternFill patternType="solid">
        <fgColor rgb="FF01B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CFFFF"/>
        <bgColor indexed="64"/>
      </patternFill>
    </fill>
    <fill>
      <patternFill patternType="solid">
        <fgColor rgb="FF27F92C"/>
        <bgColor indexed="64"/>
      </patternFill>
    </fill>
  </fills>
  <borders count="109">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top/>
      <bottom style="double">
        <color indexed="64"/>
      </bottom>
      <diagonal/>
    </border>
    <border>
      <left/>
      <right style="thin">
        <color indexed="64"/>
      </right>
      <top style="medium">
        <color indexed="64"/>
      </top>
      <bottom/>
      <diagonal/>
    </border>
    <border>
      <left style="thin">
        <color indexed="64"/>
      </left>
      <right style="medium">
        <color indexed="64"/>
      </right>
      <top/>
      <bottom style="double">
        <color indexed="64"/>
      </bottom>
      <diagonal/>
    </border>
    <border>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s>
  <cellStyleXfs count="2590">
    <xf numFmtId="0" fontId="0" fillId="0" borderId="0"/>
    <xf numFmtId="0" fontId="7" fillId="0" borderId="0"/>
    <xf numFmtId="0" fontId="42" fillId="2" borderId="0"/>
    <xf numFmtId="0" fontId="6" fillId="0" borderId="0" applyNumberFormat="0" applyFill="0" applyBorder="0" applyAlignment="0" applyProtection="0"/>
    <xf numFmtId="9" fontId="3" fillId="0" borderId="0" applyFont="0" applyFill="0" applyBorder="0" applyAlignment="0" applyProtection="0"/>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0" fontId="43" fillId="0" borderId="1">
      <alignment horizontal="center"/>
    </xf>
    <xf numFmtId="3" fontId="41" fillId="0" borderId="0" applyFont="0" applyFill="0" applyBorder="0" applyAlignment="0" applyProtection="0"/>
    <xf numFmtId="0" fontId="41" fillId="3" borderId="0" applyNumberFormat="0" applyFont="0" applyBorder="0" applyAlignment="0" applyProtection="0"/>
    <xf numFmtId="0" fontId="3" fillId="0" borderId="0"/>
    <xf numFmtId="0" fontId="53" fillId="0" borderId="0" applyNumberFormat="0" applyFill="0" applyBorder="0" applyAlignment="0" applyProtection="0"/>
    <xf numFmtId="0" fontId="54" fillId="0" borderId="80" applyNumberFormat="0" applyFill="0" applyAlignment="0" applyProtection="0"/>
    <xf numFmtId="0" fontId="55" fillId="0" borderId="81" applyNumberFormat="0" applyFill="0" applyAlignment="0" applyProtection="0"/>
    <xf numFmtId="0" fontId="56" fillId="0" borderId="82" applyNumberFormat="0" applyFill="0" applyAlignment="0" applyProtection="0"/>
    <xf numFmtId="0" fontId="56" fillId="0" borderId="0" applyNumberFormat="0" applyFill="0" applyBorder="0" applyAlignment="0" applyProtection="0"/>
    <xf numFmtId="0" fontId="57" fillId="21" borderId="0" applyNumberFormat="0" applyBorder="0" applyAlignment="0" applyProtection="0"/>
    <xf numFmtId="0" fontId="58" fillId="22" borderId="0" applyNumberFormat="0" applyBorder="0" applyAlignment="0" applyProtection="0"/>
    <xf numFmtId="0" fontId="59" fillId="23" borderId="0" applyNumberFormat="0" applyBorder="0" applyAlignment="0" applyProtection="0"/>
    <xf numFmtId="0" fontId="60" fillId="24" borderId="83" applyNumberFormat="0" applyAlignment="0" applyProtection="0"/>
    <xf numFmtId="0" fontId="61" fillId="25" borderId="84" applyNumberFormat="0" applyAlignment="0" applyProtection="0"/>
    <xf numFmtId="0" fontId="62" fillId="25" borderId="83" applyNumberFormat="0" applyAlignment="0" applyProtection="0"/>
    <xf numFmtId="0" fontId="63" fillId="0" borderId="85" applyNumberFormat="0" applyFill="0" applyAlignment="0" applyProtection="0"/>
    <xf numFmtId="0" fontId="64" fillId="26" borderId="86"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88" applyNumberFormat="0" applyFill="0" applyAlignment="0" applyProtection="0"/>
    <xf numFmtId="0" fontId="68"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68" fillId="31" borderId="0" applyNumberFormat="0" applyBorder="0" applyAlignment="0" applyProtection="0"/>
    <xf numFmtId="0" fontId="68"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68" fillId="51" borderId="0" applyNumberFormat="0" applyBorder="0" applyAlignment="0" applyProtection="0"/>
    <xf numFmtId="0" fontId="2" fillId="0" borderId="0"/>
    <xf numFmtId="0" fontId="2" fillId="27" borderId="87" applyNumberFormat="0" applyFont="0" applyAlignment="0" applyProtection="0"/>
    <xf numFmtId="0" fontId="1" fillId="0" borderId="0"/>
    <xf numFmtId="177" fontId="78" fillId="0" borderId="0"/>
    <xf numFmtId="177" fontId="80" fillId="74" borderId="0" applyNumberFormat="0" applyBorder="0" applyAlignment="0" applyProtection="0"/>
    <xf numFmtId="177" fontId="80" fillId="75" borderId="0" applyNumberFormat="0" applyBorder="0" applyAlignment="0" applyProtection="0"/>
    <xf numFmtId="177" fontId="80" fillId="76" borderId="0" applyNumberFormat="0" applyBorder="0" applyAlignment="0" applyProtection="0"/>
    <xf numFmtId="177" fontId="80" fillId="77" borderId="0" applyNumberFormat="0" applyBorder="0" applyAlignment="0" applyProtection="0"/>
    <xf numFmtId="177" fontId="80" fillId="78" borderId="0" applyNumberFormat="0" applyBorder="0" applyAlignment="0" applyProtection="0"/>
    <xf numFmtId="177" fontId="80" fillId="79" borderId="0" applyNumberFormat="0" applyBorder="0" applyAlignment="0" applyProtection="0"/>
    <xf numFmtId="177" fontId="80" fillId="80" borderId="0" applyNumberFormat="0" applyBorder="0" applyAlignment="0" applyProtection="0"/>
    <xf numFmtId="177" fontId="80" fillId="81" borderId="0" applyNumberFormat="0" applyBorder="0" applyAlignment="0" applyProtection="0"/>
    <xf numFmtId="177" fontId="80" fillId="82" borderId="0" applyNumberFormat="0" applyBorder="0" applyAlignment="0" applyProtection="0"/>
    <xf numFmtId="177" fontId="80" fillId="77" borderId="0" applyNumberFormat="0" applyBorder="0" applyAlignment="0" applyProtection="0"/>
    <xf numFmtId="177" fontId="80" fillId="80" borderId="0" applyNumberFormat="0" applyBorder="0" applyAlignment="0" applyProtection="0"/>
    <xf numFmtId="177" fontId="80" fillId="83" borderId="0" applyNumberFormat="0" applyBorder="0" applyAlignment="0" applyProtection="0"/>
    <xf numFmtId="177" fontId="81" fillId="84" borderId="0" applyNumberFormat="0" applyBorder="0" applyAlignment="0" applyProtection="0"/>
    <xf numFmtId="177" fontId="81" fillId="81" borderId="0" applyNumberFormat="0" applyBorder="0" applyAlignment="0" applyProtection="0"/>
    <xf numFmtId="177" fontId="81" fillId="82" borderId="0" applyNumberFormat="0" applyBorder="0" applyAlignment="0" applyProtection="0"/>
    <xf numFmtId="177" fontId="81" fillId="85" borderId="0" applyNumberFormat="0" applyBorder="0" applyAlignment="0" applyProtection="0"/>
    <xf numFmtId="177" fontId="81" fillId="86" borderId="0" applyNumberFormat="0" applyBorder="0" applyAlignment="0" applyProtection="0"/>
    <xf numFmtId="177" fontId="81" fillId="87" borderId="0" applyNumberFormat="0" applyBorder="0" applyAlignment="0" applyProtection="0"/>
    <xf numFmtId="177" fontId="81" fillId="88" borderId="0" applyNumberFormat="0" applyBorder="0" applyAlignment="0" applyProtection="0"/>
    <xf numFmtId="177" fontId="81" fillId="89" borderId="0" applyNumberFormat="0" applyBorder="0" applyAlignment="0" applyProtection="0"/>
    <xf numFmtId="177" fontId="81" fillId="90" borderId="0" applyNumberFormat="0" applyBorder="0" applyAlignment="0" applyProtection="0"/>
    <xf numFmtId="177" fontId="81" fillId="85" borderId="0" applyNumberFormat="0" applyBorder="0" applyAlignment="0" applyProtection="0"/>
    <xf numFmtId="177" fontId="81" fillId="86" borderId="0" applyNumberFormat="0" applyBorder="0" applyAlignment="0" applyProtection="0"/>
    <xf numFmtId="177" fontId="81" fillId="91" borderId="0" applyNumberFormat="0" applyBorder="0" applyAlignment="0" applyProtection="0"/>
    <xf numFmtId="177" fontId="82" fillId="75" borderId="0" applyNumberFormat="0" applyBorder="0" applyAlignment="0" applyProtection="0"/>
    <xf numFmtId="177" fontId="83" fillId="92" borderId="92" applyNumberFormat="0" applyAlignment="0" applyProtection="0"/>
    <xf numFmtId="177" fontId="84" fillId="93" borderId="93" applyNumberFormat="0" applyAlignment="0" applyProtection="0"/>
    <xf numFmtId="43" fontId="3" fillId="0" borderId="0" applyFont="0" applyFill="0" applyBorder="0" applyAlignment="0" applyProtection="0"/>
    <xf numFmtId="177" fontId="85" fillId="0" borderId="0" applyNumberFormat="0" applyFill="0" applyBorder="0" applyAlignment="0" applyProtection="0"/>
    <xf numFmtId="177" fontId="86" fillId="76" borderId="0" applyNumberFormat="0" applyBorder="0" applyAlignment="0" applyProtection="0"/>
    <xf numFmtId="177" fontId="87" fillId="0" borderId="94" applyNumberFormat="0" applyFill="0" applyAlignment="0" applyProtection="0"/>
    <xf numFmtId="177" fontId="88" fillId="0" borderId="95" applyNumberFormat="0" applyFill="0" applyAlignment="0" applyProtection="0"/>
    <xf numFmtId="177" fontId="89" fillId="0" borderId="96" applyNumberFormat="0" applyFill="0" applyAlignment="0" applyProtection="0"/>
    <xf numFmtId="177" fontId="89" fillId="0" borderId="0" applyNumberFormat="0" applyFill="0" applyBorder="0" applyAlignment="0" applyProtection="0"/>
    <xf numFmtId="177" fontId="90" fillId="79" borderId="92" applyNumberFormat="0" applyAlignment="0" applyProtection="0"/>
    <xf numFmtId="177" fontId="91" fillId="0" borderId="97" applyNumberFormat="0" applyFill="0" applyAlignment="0" applyProtection="0"/>
    <xf numFmtId="177" fontId="92" fillId="94" borderId="0" applyNumberFormat="0" applyBorder="0" applyAlignment="0" applyProtection="0"/>
    <xf numFmtId="177" fontId="11" fillId="95" borderId="98" applyNumberFormat="0" applyFont="0" applyAlignment="0" applyProtection="0"/>
    <xf numFmtId="177" fontId="93" fillId="92" borderId="99" applyNumberFormat="0" applyAlignment="0" applyProtection="0"/>
    <xf numFmtId="9" fontId="3" fillId="0" borderId="0" applyFont="0" applyFill="0" applyBorder="0" applyAlignment="0" applyProtection="0"/>
    <xf numFmtId="177" fontId="41" fillId="0" borderId="0" applyNumberFormat="0" applyFont="0" applyFill="0" applyBorder="0" applyAlignment="0" applyProtection="0">
      <alignment horizontal="left"/>
    </xf>
    <xf numFmtId="177" fontId="43" fillId="0" borderId="1">
      <alignment horizontal="center"/>
    </xf>
    <xf numFmtId="177" fontId="41" fillId="3" borderId="0" applyNumberFormat="0" applyFont="0" applyBorder="0" applyAlignment="0" applyProtection="0"/>
    <xf numFmtId="177" fontId="94" fillId="0" borderId="0" applyNumberFormat="0" applyFill="0" applyBorder="0" applyAlignment="0" applyProtection="0"/>
    <xf numFmtId="177" fontId="95" fillId="0" borderId="100" applyNumberFormat="0" applyFill="0" applyAlignment="0" applyProtection="0"/>
    <xf numFmtId="177" fontId="96" fillId="0" borderId="0" applyNumberFormat="0" applyFill="0" applyBorder="0" applyAlignment="0" applyProtection="0"/>
    <xf numFmtId="177" fontId="79" fillId="0" borderId="0"/>
    <xf numFmtId="177" fontId="79" fillId="0" borderId="0"/>
    <xf numFmtId="177" fontId="53" fillId="0" borderId="0" applyNumberFormat="0" applyFill="0" applyBorder="0" applyAlignment="0" applyProtection="0"/>
    <xf numFmtId="177" fontId="97" fillId="0" borderId="80" applyNumberFormat="0" applyFill="0" applyAlignment="0" applyProtection="0"/>
    <xf numFmtId="177" fontId="98" fillId="0" borderId="81" applyNumberFormat="0" applyFill="0" applyAlignment="0" applyProtection="0"/>
    <xf numFmtId="177" fontId="99" fillId="0" borderId="82" applyNumberFormat="0" applyFill="0" applyAlignment="0" applyProtection="0"/>
    <xf numFmtId="177" fontId="99" fillId="0" borderId="0" applyNumberFormat="0" applyFill="0" applyBorder="0" applyAlignment="0" applyProtection="0"/>
    <xf numFmtId="177" fontId="100" fillId="21" borderId="0" applyNumberFormat="0" applyBorder="0" applyAlignment="0" applyProtection="0"/>
    <xf numFmtId="177" fontId="101" fillId="22" borderId="0" applyNumberFormat="0" applyBorder="0" applyAlignment="0" applyProtection="0"/>
    <xf numFmtId="177" fontId="102" fillId="23" borderId="0" applyNumberFormat="0" applyBorder="0" applyAlignment="0" applyProtection="0"/>
    <xf numFmtId="177" fontId="103" fillId="24" borderId="83" applyNumberFormat="0" applyAlignment="0" applyProtection="0"/>
    <xf numFmtId="177" fontId="104" fillId="25" borderId="84" applyNumberFormat="0" applyAlignment="0" applyProtection="0"/>
    <xf numFmtId="177" fontId="105" fillId="25" borderId="83" applyNumberFormat="0" applyAlignment="0" applyProtection="0"/>
    <xf numFmtId="177" fontId="106" fillId="0" borderId="85" applyNumberFormat="0" applyFill="0" applyAlignment="0" applyProtection="0"/>
    <xf numFmtId="177" fontId="107" fillId="26" borderId="86" applyNumberFormat="0" applyAlignment="0" applyProtection="0"/>
    <xf numFmtId="177" fontId="69" fillId="0" borderId="0" applyNumberFormat="0" applyFill="0" applyBorder="0" applyAlignment="0" applyProtection="0"/>
    <xf numFmtId="177" fontId="79" fillId="27" borderId="87" applyNumberFormat="0" applyFont="0" applyAlignment="0" applyProtection="0"/>
    <xf numFmtId="177" fontId="108" fillId="0" borderId="0" applyNumberFormat="0" applyFill="0" applyBorder="0" applyAlignment="0" applyProtection="0"/>
    <xf numFmtId="177" fontId="109" fillId="0" borderId="88" applyNumberFormat="0" applyFill="0" applyAlignment="0" applyProtection="0"/>
    <xf numFmtId="177" fontId="110" fillId="28" borderId="0" applyNumberFormat="0" applyBorder="0" applyAlignment="0" applyProtection="0"/>
    <xf numFmtId="177" fontId="79" fillId="29" borderId="0" applyNumberFormat="0" applyBorder="0" applyAlignment="0" applyProtection="0"/>
    <xf numFmtId="177" fontId="79" fillId="30" borderId="0" applyNumberFormat="0" applyBorder="0" applyAlignment="0" applyProtection="0"/>
    <xf numFmtId="177" fontId="110" fillId="31" borderId="0" applyNumberFormat="0" applyBorder="0" applyAlignment="0" applyProtection="0"/>
    <xf numFmtId="177" fontId="110" fillId="32" borderId="0" applyNumberFormat="0" applyBorder="0" applyAlignment="0" applyProtection="0"/>
    <xf numFmtId="177" fontId="79" fillId="33" borderId="0" applyNumberFormat="0" applyBorder="0" applyAlignment="0" applyProtection="0"/>
    <xf numFmtId="177" fontId="79" fillId="34" borderId="0" applyNumberFormat="0" applyBorder="0" applyAlignment="0" applyProtection="0"/>
    <xf numFmtId="177" fontId="110" fillId="35" borderId="0" applyNumberFormat="0" applyBorder="0" applyAlignment="0" applyProtection="0"/>
    <xf numFmtId="177" fontId="110" fillId="36" borderId="0" applyNumberFormat="0" applyBorder="0" applyAlignment="0" applyProtection="0"/>
    <xf numFmtId="177" fontId="79" fillId="37" borderId="0" applyNumberFormat="0" applyBorder="0" applyAlignment="0" applyProtection="0"/>
    <xf numFmtId="177" fontId="79" fillId="38" borderId="0" applyNumberFormat="0" applyBorder="0" applyAlignment="0" applyProtection="0"/>
    <xf numFmtId="177" fontId="110" fillId="39" borderId="0" applyNumberFormat="0" applyBorder="0" applyAlignment="0" applyProtection="0"/>
    <xf numFmtId="177" fontId="110" fillId="40" borderId="0" applyNumberFormat="0" applyBorder="0" applyAlignment="0" applyProtection="0"/>
    <xf numFmtId="177" fontId="79" fillId="41" borderId="0" applyNumberFormat="0" applyBorder="0" applyAlignment="0" applyProtection="0"/>
    <xf numFmtId="177" fontId="79" fillId="42" borderId="0" applyNumberFormat="0" applyBorder="0" applyAlignment="0" applyProtection="0"/>
    <xf numFmtId="177" fontId="110" fillId="43" borderId="0" applyNumberFormat="0" applyBorder="0" applyAlignment="0" applyProtection="0"/>
    <xf numFmtId="177" fontId="110" fillId="44" borderId="0" applyNumberFormat="0" applyBorder="0" applyAlignment="0" applyProtection="0"/>
    <xf numFmtId="177" fontId="79" fillId="45" borderId="0" applyNumberFormat="0" applyBorder="0" applyAlignment="0" applyProtection="0"/>
    <xf numFmtId="177" fontId="79" fillId="46" borderId="0" applyNumberFormat="0" applyBorder="0" applyAlignment="0" applyProtection="0"/>
    <xf numFmtId="177" fontId="110" fillId="47" borderId="0" applyNumberFormat="0" applyBorder="0" applyAlignment="0" applyProtection="0"/>
    <xf numFmtId="177" fontId="110" fillId="48" borderId="0" applyNumberFormat="0" applyBorder="0" applyAlignment="0" applyProtection="0"/>
    <xf numFmtId="177" fontId="79" fillId="49" borderId="0" applyNumberFormat="0" applyBorder="0" applyAlignment="0" applyProtection="0"/>
    <xf numFmtId="177" fontId="79" fillId="50" borderId="0" applyNumberFormat="0" applyBorder="0" applyAlignment="0" applyProtection="0"/>
    <xf numFmtId="177" fontId="110" fillId="51" borderId="0" applyNumberFormat="0" applyBorder="0" applyAlignment="0" applyProtection="0"/>
    <xf numFmtId="177" fontId="3" fillId="0" borderId="0"/>
    <xf numFmtId="177" fontId="3" fillId="0" borderId="0"/>
    <xf numFmtId="177" fontId="79" fillId="0" borderId="0"/>
    <xf numFmtId="177" fontId="80" fillId="74" borderId="0" applyNumberFormat="0" applyBorder="0" applyAlignment="0" applyProtection="0"/>
    <xf numFmtId="177" fontId="80" fillId="75" borderId="0" applyNumberFormat="0" applyBorder="0" applyAlignment="0" applyProtection="0"/>
    <xf numFmtId="177" fontId="80" fillId="76" borderId="0" applyNumberFormat="0" applyBorder="0" applyAlignment="0" applyProtection="0"/>
    <xf numFmtId="177" fontId="80" fillId="77" borderId="0" applyNumberFormat="0" applyBorder="0" applyAlignment="0" applyProtection="0"/>
    <xf numFmtId="177" fontId="80" fillId="78" borderId="0" applyNumberFormat="0" applyBorder="0" applyAlignment="0" applyProtection="0"/>
    <xf numFmtId="177" fontId="80" fillId="79" borderId="0" applyNumberFormat="0" applyBorder="0" applyAlignment="0" applyProtection="0"/>
    <xf numFmtId="177" fontId="80" fillId="80" borderId="0" applyNumberFormat="0" applyBorder="0" applyAlignment="0" applyProtection="0"/>
    <xf numFmtId="177" fontId="80" fillId="81" borderId="0" applyNumberFormat="0" applyBorder="0" applyAlignment="0" applyProtection="0"/>
    <xf numFmtId="177" fontId="80" fillId="82" borderId="0" applyNumberFormat="0" applyBorder="0" applyAlignment="0" applyProtection="0"/>
    <xf numFmtId="177" fontId="80" fillId="77" borderId="0" applyNumberFormat="0" applyBorder="0" applyAlignment="0" applyProtection="0"/>
    <xf numFmtId="177" fontId="80" fillId="80" borderId="0" applyNumberFormat="0" applyBorder="0" applyAlignment="0" applyProtection="0"/>
    <xf numFmtId="177" fontId="80" fillId="83" borderId="0" applyNumberFormat="0" applyBorder="0" applyAlignment="0" applyProtection="0"/>
    <xf numFmtId="177" fontId="81" fillId="84" borderId="0" applyNumberFormat="0" applyBorder="0" applyAlignment="0" applyProtection="0"/>
    <xf numFmtId="177" fontId="81" fillId="81" borderId="0" applyNumberFormat="0" applyBorder="0" applyAlignment="0" applyProtection="0"/>
    <xf numFmtId="177" fontId="81" fillId="82" borderId="0" applyNumberFormat="0" applyBorder="0" applyAlignment="0" applyProtection="0"/>
    <xf numFmtId="177" fontId="81" fillId="85" borderId="0" applyNumberFormat="0" applyBorder="0" applyAlignment="0" applyProtection="0"/>
    <xf numFmtId="177" fontId="81" fillId="86" borderId="0" applyNumberFormat="0" applyBorder="0" applyAlignment="0" applyProtection="0"/>
    <xf numFmtId="177" fontId="81" fillId="87" borderId="0" applyNumberFormat="0" applyBorder="0" applyAlignment="0" applyProtection="0"/>
    <xf numFmtId="177" fontId="81" fillId="88" borderId="0" applyNumberFormat="0" applyBorder="0" applyAlignment="0" applyProtection="0"/>
    <xf numFmtId="177" fontId="81" fillId="89" borderId="0" applyNumberFormat="0" applyBorder="0" applyAlignment="0" applyProtection="0"/>
    <xf numFmtId="177" fontId="81" fillId="90" borderId="0" applyNumberFormat="0" applyBorder="0" applyAlignment="0" applyProtection="0"/>
    <xf numFmtId="177" fontId="81" fillId="85" borderId="0" applyNumberFormat="0" applyBorder="0" applyAlignment="0" applyProtection="0"/>
    <xf numFmtId="177" fontId="81" fillId="86" borderId="0" applyNumberFormat="0" applyBorder="0" applyAlignment="0" applyProtection="0"/>
    <xf numFmtId="177" fontId="81" fillId="91" borderId="0" applyNumberFormat="0" applyBorder="0" applyAlignment="0" applyProtection="0"/>
    <xf numFmtId="177" fontId="82" fillId="75" borderId="0" applyNumberFormat="0" applyBorder="0" applyAlignment="0" applyProtection="0"/>
    <xf numFmtId="177" fontId="83" fillId="92" borderId="92" applyNumberFormat="0" applyAlignment="0" applyProtection="0"/>
    <xf numFmtId="177" fontId="84" fillId="93" borderId="93" applyNumberFormat="0" applyAlignment="0" applyProtection="0"/>
    <xf numFmtId="43" fontId="3" fillId="0" borderId="0" applyFont="0" applyFill="0" applyBorder="0" applyAlignment="0" applyProtection="0"/>
    <xf numFmtId="177" fontId="85" fillId="0" borderId="0" applyNumberFormat="0" applyFill="0" applyBorder="0" applyAlignment="0" applyProtection="0"/>
    <xf numFmtId="177" fontId="86" fillId="76" borderId="0" applyNumberFormat="0" applyBorder="0" applyAlignment="0" applyProtection="0"/>
    <xf numFmtId="177" fontId="87" fillId="0" borderId="94" applyNumberFormat="0" applyFill="0" applyAlignment="0" applyProtection="0"/>
    <xf numFmtId="177" fontId="88" fillId="0" borderId="95" applyNumberFormat="0" applyFill="0" applyAlignment="0" applyProtection="0"/>
    <xf numFmtId="177" fontId="89" fillId="0" borderId="96" applyNumberFormat="0" applyFill="0" applyAlignment="0" applyProtection="0"/>
    <xf numFmtId="177" fontId="89" fillId="0" borderId="0" applyNumberFormat="0" applyFill="0" applyBorder="0" applyAlignment="0" applyProtection="0"/>
    <xf numFmtId="177" fontId="90" fillId="79" borderId="92" applyNumberFormat="0" applyAlignment="0" applyProtection="0"/>
    <xf numFmtId="177" fontId="91" fillId="0" borderId="97" applyNumberFormat="0" applyFill="0" applyAlignment="0" applyProtection="0"/>
    <xf numFmtId="177" fontId="92" fillId="94" borderId="0" applyNumberFormat="0" applyBorder="0" applyAlignment="0" applyProtection="0"/>
    <xf numFmtId="177" fontId="11" fillId="95" borderId="98" applyNumberFormat="0" applyFont="0" applyAlignment="0" applyProtection="0"/>
    <xf numFmtId="177" fontId="93" fillId="92" borderId="99" applyNumberFormat="0" applyAlignment="0" applyProtection="0"/>
    <xf numFmtId="9" fontId="3" fillId="0" borderId="0" applyFont="0" applyFill="0" applyBorder="0" applyAlignment="0" applyProtection="0"/>
    <xf numFmtId="177" fontId="94" fillId="0" borderId="0" applyNumberFormat="0" applyFill="0" applyBorder="0" applyAlignment="0" applyProtection="0"/>
    <xf numFmtId="177" fontId="95" fillId="0" borderId="100" applyNumberFormat="0" applyFill="0" applyAlignment="0" applyProtection="0"/>
    <xf numFmtId="177" fontId="96" fillId="0" borderId="0" applyNumberFormat="0" applyFill="0" applyBorder="0" applyAlignment="0" applyProtection="0"/>
    <xf numFmtId="177" fontId="79" fillId="0" borderId="0"/>
    <xf numFmtId="177" fontId="3" fillId="0" borderId="0"/>
    <xf numFmtId="177"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7" fontId="79" fillId="0" borderId="0"/>
    <xf numFmtId="177" fontId="79" fillId="0" borderId="0"/>
    <xf numFmtId="177" fontId="79" fillId="27" borderId="87" applyNumberFormat="0" applyFont="0" applyAlignment="0" applyProtection="0"/>
    <xf numFmtId="177" fontId="79" fillId="29" borderId="0" applyNumberFormat="0" applyBorder="0" applyAlignment="0" applyProtection="0"/>
    <xf numFmtId="177" fontId="79" fillId="30" borderId="0" applyNumberFormat="0" applyBorder="0" applyAlignment="0" applyProtection="0"/>
    <xf numFmtId="177" fontId="79" fillId="33" borderId="0" applyNumberFormat="0" applyBorder="0" applyAlignment="0" applyProtection="0"/>
    <xf numFmtId="177" fontId="79" fillId="34" borderId="0" applyNumberFormat="0" applyBorder="0" applyAlignment="0" applyProtection="0"/>
    <xf numFmtId="177" fontId="79" fillId="37" borderId="0" applyNumberFormat="0" applyBorder="0" applyAlignment="0" applyProtection="0"/>
    <xf numFmtId="177" fontId="79" fillId="38" borderId="0" applyNumberFormat="0" applyBorder="0" applyAlignment="0" applyProtection="0"/>
    <xf numFmtId="177" fontId="79" fillId="41" borderId="0" applyNumberFormat="0" applyBorder="0" applyAlignment="0" applyProtection="0"/>
    <xf numFmtId="177" fontId="79" fillId="42" borderId="0" applyNumberFormat="0" applyBorder="0" applyAlignment="0" applyProtection="0"/>
    <xf numFmtId="177" fontId="79" fillId="45" borderId="0" applyNumberFormat="0" applyBorder="0" applyAlignment="0" applyProtection="0"/>
    <xf numFmtId="177" fontId="79" fillId="46" borderId="0" applyNumberFormat="0" applyBorder="0" applyAlignment="0" applyProtection="0"/>
    <xf numFmtId="177" fontId="79" fillId="49" borderId="0" applyNumberFormat="0" applyBorder="0" applyAlignment="0" applyProtection="0"/>
    <xf numFmtId="177" fontId="79" fillId="50" borderId="0" applyNumberFormat="0" applyBorder="0" applyAlignment="0" applyProtection="0"/>
    <xf numFmtId="177" fontId="3" fillId="0" borderId="0"/>
    <xf numFmtId="177" fontId="3" fillId="0" borderId="0"/>
    <xf numFmtId="177" fontId="79" fillId="0" borderId="0"/>
    <xf numFmtId="43" fontId="3" fillId="0" borderId="0" applyFont="0" applyFill="0" applyBorder="0" applyAlignment="0" applyProtection="0"/>
    <xf numFmtId="9" fontId="3" fillId="0" borderId="0" applyFont="0" applyFill="0" applyBorder="0" applyAlignment="0" applyProtection="0"/>
    <xf numFmtId="177" fontId="79" fillId="0" borderId="0"/>
    <xf numFmtId="177" fontId="3" fillId="0" borderId="0"/>
    <xf numFmtId="177" fontId="3" fillId="0" borderId="0"/>
    <xf numFmtId="9" fontId="3" fillId="0" borderId="0" applyFont="0" applyFill="0" applyBorder="0" applyAlignment="0" applyProtection="0"/>
    <xf numFmtId="43" fontId="3" fillId="0" borderId="0" applyFont="0" applyFill="0" applyBorder="0" applyAlignment="0" applyProtection="0"/>
    <xf numFmtId="177" fontId="3" fillId="0" borderId="0"/>
    <xf numFmtId="177" fontId="3" fillId="0" borderId="0"/>
    <xf numFmtId="177" fontId="41" fillId="0" borderId="0" applyNumberFormat="0" applyFont="0" applyFill="0" applyBorder="0" applyAlignment="0" applyProtection="0">
      <alignment horizontal="left"/>
    </xf>
    <xf numFmtId="177" fontId="43" fillId="0" borderId="1">
      <alignment horizontal="center"/>
    </xf>
    <xf numFmtId="177" fontId="41" fillId="3" borderId="0" applyNumberFormat="0" applyFont="0" applyBorder="0" applyAlignment="0" applyProtection="0"/>
    <xf numFmtId="177" fontId="3" fillId="0" borderId="0"/>
    <xf numFmtId="177" fontId="53" fillId="0" borderId="0" applyNumberFormat="0" applyFill="0" applyBorder="0" applyAlignment="0" applyProtection="0"/>
    <xf numFmtId="177" fontId="54" fillId="0" borderId="80" applyNumberFormat="0" applyFill="0" applyAlignment="0" applyProtection="0"/>
    <xf numFmtId="177" fontId="55" fillId="0" borderId="81" applyNumberFormat="0" applyFill="0" applyAlignment="0" applyProtection="0"/>
    <xf numFmtId="177" fontId="56" fillId="0" borderId="82" applyNumberFormat="0" applyFill="0" applyAlignment="0" applyProtection="0"/>
    <xf numFmtId="177" fontId="56" fillId="0" borderId="0" applyNumberFormat="0" applyFill="0" applyBorder="0" applyAlignment="0" applyProtection="0"/>
    <xf numFmtId="177" fontId="57" fillId="21" borderId="0" applyNumberFormat="0" applyBorder="0" applyAlignment="0" applyProtection="0"/>
    <xf numFmtId="177" fontId="58" fillId="22" borderId="0" applyNumberFormat="0" applyBorder="0" applyAlignment="0" applyProtection="0"/>
    <xf numFmtId="177" fontId="59" fillId="23" borderId="0" applyNumberFormat="0" applyBorder="0" applyAlignment="0" applyProtection="0"/>
    <xf numFmtId="177" fontId="60" fillId="24" borderId="83" applyNumberFormat="0" applyAlignment="0" applyProtection="0"/>
    <xf numFmtId="177" fontId="61" fillId="25" borderId="84" applyNumberFormat="0" applyAlignment="0" applyProtection="0"/>
    <xf numFmtId="177" fontId="62" fillId="25" borderId="83" applyNumberFormat="0" applyAlignment="0" applyProtection="0"/>
    <xf numFmtId="177" fontId="63" fillId="0" borderId="85" applyNumberFormat="0" applyFill="0" applyAlignment="0" applyProtection="0"/>
    <xf numFmtId="177" fontId="64" fillId="26" borderId="86" applyNumberFormat="0" applyAlignment="0" applyProtection="0"/>
    <xf numFmtId="177" fontId="65" fillId="0" borderId="0" applyNumberFormat="0" applyFill="0" applyBorder="0" applyAlignment="0" applyProtection="0"/>
    <xf numFmtId="177" fontId="66" fillId="0" borderId="0" applyNumberFormat="0" applyFill="0" applyBorder="0" applyAlignment="0" applyProtection="0"/>
    <xf numFmtId="177" fontId="67" fillId="0" borderId="88" applyNumberFormat="0" applyFill="0" applyAlignment="0" applyProtection="0"/>
    <xf numFmtId="177" fontId="68" fillId="28" borderId="0" applyNumberFormat="0" applyBorder="0" applyAlignment="0" applyProtection="0"/>
    <xf numFmtId="177" fontId="1" fillId="29" borderId="0" applyNumberFormat="0" applyBorder="0" applyAlignment="0" applyProtection="0"/>
    <xf numFmtId="177" fontId="1" fillId="30" borderId="0" applyNumberFormat="0" applyBorder="0" applyAlignment="0" applyProtection="0"/>
    <xf numFmtId="177" fontId="68" fillId="31" borderId="0" applyNumberFormat="0" applyBorder="0" applyAlignment="0" applyProtection="0"/>
    <xf numFmtId="177" fontId="68" fillId="32"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68" fillId="35" borderId="0" applyNumberFormat="0" applyBorder="0" applyAlignment="0" applyProtection="0"/>
    <xf numFmtId="177" fontId="68" fillId="36"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68" fillId="39" borderId="0" applyNumberFormat="0" applyBorder="0" applyAlignment="0" applyProtection="0"/>
    <xf numFmtId="177" fontId="68" fillId="40"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68" fillId="43" borderId="0" applyNumberFormat="0" applyBorder="0" applyAlignment="0" applyProtection="0"/>
    <xf numFmtId="177" fontId="68" fillId="44"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68" fillId="47" borderId="0" applyNumberFormat="0" applyBorder="0" applyAlignment="0" applyProtection="0"/>
    <xf numFmtId="177" fontId="68" fillId="48"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68" fillId="51" borderId="0" applyNumberFormat="0" applyBorder="0" applyAlignment="0" applyProtection="0"/>
    <xf numFmtId="177" fontId="1" fillId="0" borderId="0"/>
    <xf numFmtId="177" fontId="1" fillId="27" borderId="87" applyNumberFormat="0" applyFont="0" applyAlignment="0" applyProtection="0"/>
    <xf numFmtId="177" fontId="3" fillId="0" borderId="0"/>
    <xf numFmtId="177" fontId="3" fillId="0" borderId="0"/>
    <xf numFmtId="177" fontId="41" fillId="0" borderId="0" applyNumberFormat="0" applyFont="0" applyFill="0" applyBorder="0" applyAlignment="0" applyProtection="0">
      <alignment horizontal="left"/>
    </xf>
    <xf numFmtId="177" fontId="43" fillId="0" borderId="1">
      <alignment horizontal="center"/>
    </xf>
    <xf numFmtId="177" fontId="41" fillId="3" borderId="0" applyNumberFormat="0" applyFont="0" applyBorder="0" applyAlignment="0" applyProtection="0"/>
    <xf numFmtId="177" fontId="3" fillId="0" borderId="0"/>
    <xf numFmtId="177" fontId="53" fillId="0" borderId="0" applyNumberFormat="0" applyFill="0" applyBorder="0" applyAlignment="0" applyProtection="0"/>
    <xf numFmtId="177" fontId="54" fillId="0" borderId="80" applyNumberFormat="0" applyFill="0" applyAlignment="0" applyProtection="0"/>
    <xf numFmtId="177" fontId="55" fillId="0" borderId="81" applyNumberFormat="0" applyFill="0" applyAlignment="0" applyProtection="0"/>
    <xf numFmtId="177" fontId="56" fillId="0" borderId="82" applyNumberFormat="0" applyFill="0" applyAlignment="0" applyProtection="0"/>
    <xf numFmtId="177" fontId="56" fillId="0" borderId="0" applyNumberFormat="0" applyFill="0" applyBorder="0" applyAlignment="0" applyProtection="0"/>
    <xf numFmtId="177" fontId="57" fillId="21" borderId="0" applyNumberFormat="0" applyBorder="0" applyAlignment="0" applyProtection="0"/>
    <xf numFmtId="177" fontId="58" fillId="22" borderId="0" applyNumberFormat="0" applyBorder="0" applyAlignment="0" applyProtection="0"/>
    <xf numFmtId="177" fontId="59" fillId="23" borderId="0" applyNumberFormat="0" applyBorder="0" applyAlignment="0" applyProtection="0"/>
    <xf numFmtId="177" fontId="60" fillId="24" borderId="83" applyNumberFormat="0" applyAlignment="0" applyProtection="0"/>
    <xf numFmtId="177" fontId="61" fillId="25" borderId="84" applyNumberFormat="0" applyAlignment="0" applyProtection="0"/>
    <xf numFmtId="177" fontId="62" fillId="25" borderId="83" applyNumberFormat="0" applyAlignment="0" applyProtection="0"/>
    <xf numFmtId="177" fontId="63" fillId="0" borderId="85" applyNumberFormat="0" applyFill="0" applyAlignment="0" applyProtection="0"/>
    <xf numFmtId="177" fontId="64" fillId="26" borderId="86" applyNumberFormat="0" applyAlignment="0" applyProtection="0"/>
    <xf numFmtId="177" fontId="65" fillId="0" borderId="0" applyNumberFormat="0" applyFill="0" applyBorder="0" applyAlignment="0" applyProtection="0"/>
    <xf numFmtId="177" fontId="66" fillId="0" borderId="0" applyNumberFormat="0" applyFill="0" applyBorder="0" applyAlignment="0" applyProtection="0"/>
    <xf numFmtId="177" fontId="67" fillId="0" borderId="88" applyNumberFormat="0" applyFill="0" applyAlignment="0" applyProtection="0"/>
    <xf numFmtId="177" fontId="68" fillId="28" borderId="0" applyNumberFormat="0" applyBorder="0" applyAlignment="0" applyProtection="0"/>
    <xf numFmtId="177" fontId="1" fillId="29" borderId="0" applyNumberFormat="0" applyBorder="0" applyAlignment="0" applyProtection="0"/>
    <xf numFmtId="177" fontId="1" fillId="30" borderId="0" applyNumberFormat="0" applyBorder="0" applyAlignment="0" applyProtection="0"/>
    <xf numFmtId="177" fontId="68" fillId="31" borderId="0" applyNumberFormat="0" applyBorder="0" applyAlignment="0" applyProtection="0"/>
    <xf numFmtId="177" fontId="68" fillId="32"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68" fillId="35" borderId="0" applyNumberFormat="0" applyBorder="0" applyAlignment="0" applyProtection="0"/>
    <xf numFmtId="177" fontId="68" fillId="36"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68" fillId="39" borderId="0" applyNumberFormat="0" applyBorder="0" applyAlignment="0" applyProtection="0"/>
    <xf numFmtId="177" fontId="68" fillId="40"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68" fillId="43" borderId="0" applyNumberFormat="0" applyBorder="0" applyAlignment="0" applyProtection="0"/>
    <xf numFmtId="177" fontId="68" fillId="44"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68" fillId="47" borderId="0" applyNumberFormat="0" applyBorder="0" applyAlignment="0" applyProtection="0"/>
    <xf numFmtId="177" fontId="68" fillId="48"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68" fillId="51" borderId="0" applyNumberFormat="0" applyBorder="0" applyAlignment="0" applyProtection="0"/>
    <xf numFmtId="177" fontId="1" fillId="0" borderId="0"/>
    <xf numFmtId="177" fontId="1" fillId="27" borderId="87" applyNumberFormat="0" applyFont="0" applyAlignment="0" applyProtection="0"/>
    <xf numFmtId="177" fontId="3" fillId="0" borderId="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79" fillId="0" borderId="0"/>
    <xf numFmtId="177" fontId="1" fillId="0" borderId="0"/>
    <xf numFmtId="177" fontId="1" fillId="0" borderId="0"/>
    <xf numFmtId="177" fontId="1" fillId="0" borderId="0"/>
    <xf numFmtId="177" fontId="3" fillId="0" borderId="0"/>
    <xf numFmtId="177" fontId="3"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3" fillId="0" borderId="0"/>
    <xf numFmtId="177" fontId="3" fillId="0" borderId="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3" fillId="0" borderId="0"/>
    <xf numFmtId="43" fontId="1" fillId="0" borderId="0" applyFont="0" applyFill="0" applyBorder="0" applyAlignment="0" applyProtection="0"/>
    <xf numFmtId="43" fontId="1" fillId="0" borderId="0" applyFont="0" applyFill="0" applyBorder="0" applyAlignment="0" applyProtection="0"/>
    <xf numFmtId="177" fontId="3" fillId="0" borderId="0"/>
    <xf numFmtId="177" fontId="1" fillId="0" borderId="0"/>
    <xf numFmtId="177" fontId="1" fillId="0" borderId="0"/>
    <xf numFmtId="177" fontId="1" fillId="0" borderId="0"/>
    <xf numFmtId="177" fontId="3" fillId="0" borderId="0"/>
    <xf numFmtId="177" fontId="3"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3" fillId="0" borderId="0"/>
    <xf numFmtId="177" fontId="1" fillId="0" borderId="0"/>
    <xf numFmtId="9" fontId="79" fillId="0" borderId="0" applyFont="0" applyFill="0" applyBorder="0" applyAlignment="0" applyProtection="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177" fontId="3" fillId="0" borderId="0"/>
    <xf numFmtId="43" fontId="3"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11" fillId="0" borderId="0" applyNumberFormat="0" applyFill="0" applyBorder="0" applyAlignment="0" applyProtection="0">
      <alignment vertical="top"/>
      <protection locked="0"/>
    </xf>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3"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3"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0" borderId="0"/>
    <xf numFmtId="177" fontId="3" fillId="0" borderId="0"/>
    <xf numFmtId="177" fontId="3" fillId="0" borderId="0"/>
    <xf numFmtId="177" fontId="3" fillId="0" borderId="0"/>
    <xf numFmtId="177" fontId="3" fillId="0" borderId="0"/>
    <xf numFmtId="177" fontId="3" fillId="0" borderId="0"/>
    <xf numFmtId="43" fontId="113" fillId="0" borderId="0" applyFont="0" applyFill="0" applyBorder="0" applyAlignment="0" applyProtection="0"/>
  </cellStyleXfs>
  <cellXfs count="1278">
    <xf numFmtId="0" fontId="0" fillId="0" borderId="0" xfId="0"/>
    <xf numFmtId="0" fontId="3" fillId="0" borderId="0" xfId="0" applyFont="1"/>
    <xf numFmtId="0" fontId="13" fillId="0" borderId="0" xfId="0" applyFont="1"/>
    <xf numFmtId="0" fontId="7" fillId="0" borderId="0" xfId="0" applyFont="1"/>
    <xf numFmtId="0" fontId="7" fillId="0" borderId="0" xfId="0" applyFont="1" applyAlignment="1">
      <alignment wrapText="1"/>
    </xf>
    <xf numFmtId="0" fontId="0" fillId="0" borderId="0" xfId="0" applyNumberFormat="1" applyAlignment="1" applyProtection="1">
      <alignment horizontal="center"/>
    </xf>
    <xf numFmtId="0" fontId="14" fillId="0" borderId="0" xfId="0" applyFont="1" applyFill="1" applyProtection="1"/>
    <xf numFmtId="0" fontId="15" fillId="0" borderId="0" xfId="0" applyFont="1" applyFill="1" applyProtection="1"/>
    <xf numFmtId="168" fontId="16" fillId="0" borderId="0" xfId="3" applyNumberFormat="1" applyFont="1" applyFill="1" applyAlignment="1" applyProtection="1">
      <alignment horizontal="centerContinuous"/>
    </xf>
    <xf numFmtId="168" fontId="16" fillId="0" borderId="0" xfId="3" quotePrefix="1" applyNumberFormat="1" applyFont="1" applyFill="1" applyAlignment="1" applyProtection="1">
      <alignment horizontal="centerContinuous"/>
    </xf>
    <xf numFmtId="168" fontId="6" fillId="0" borderId="0" xfId="3" applyNumberFormat="1" applyFill="1" applyAlignment="1" applyProtection="1">
      <alignment horizontal="centerContinuous"/>
    </xf>
    <xf numFmtId="0" fontId="6" fillId="0" borderId="0" xfId="3" applyFill="1" applyAlignment="1" applyProtection="1">
      <alignment horizontal="centerContinuous"/>
    </xf>
    <xf numFmtId="0" fontId="6" fillId="0" borderId="0" xfId="3" applyFont="1" applyFill="1" applyAlignment="1" applyProtection="1">
      <alignment horizontal="centerContinuous"/>
    </xf>
    <xf numFmtId="0" fontId="6" fillId="0" borderId="0" xfId="3" applyAlignment="1" applyProtection="1">
      <alignment horizontal="centerContinuous"/>
    </xf>
    <xf numFmtId="0" fontId="18" fillId="0" borderId="0" xfId="3" applyFont="1" applyFill="1" applyProtection="1"/>
    <xf numFmtId="0" fontId="6" fillId="0" borderId="0" xfId="3" applyFill="1" applyProtection="1"/>
    <xf numFmtId="14" fontId="18" fillId="0" borderId="0" xfId="3" applyNumberFormat="1" applyFont="1" applyAlignment="1" applyProtection="1">
      <alignment horizontal="center"/>
    </xf>
    <xf numFmtId="0" fontId="6" fillId="0" borderId="0" xfId="0" applyFont="1" applyFill="1" applyProtection="1"/>
    <xf numFmtId="0" fontId="6" fillId="0" borderId="2" xfId="3" applyFill="1" applyBorder="1" applyProtection="1"/>
    <xf numFmtId="0" fontId="6" fillId="0" borderId="3" xfId="3" applyFill="1" applyBorder="1" applyProtection="1"/>
    <xf numFmtId="2" fontId="0" fillId="0" borderId="0" xfId="0" applyNumberFormat="1" applyFill="1" applyProtection="1"/>
    <xf numFmtId="2" fontId="6" fillId="0" borderId="4" xfId="3" applyNumberFormat="1" applyFont="1" applyFill="1" applyBorder="1" applyProtection="1"/>
    <xf numFmtId="2" fontId="6" fillId="0" borderId="5" xfId="3" quotePrefix="1" applyNumberFormat="1" applyFont="1" applyFill="1" applyBorder="1" applyAlignment="1" applyProtection="1">
      <alignment horizontal="right"/>
    </xf>
    <xf numFmtId="2" fontId="6" fillId="0" borderId="5" xfId="3" quotePrefix="1" applyNumberFormat="1" applyFill="1" applyBorder="1" applyAlignment="1" applyProtection="1">
      <alignment horizontal="right"/>
    </xf>
    <xf numFmtId="2" fontId="6" fillId="0" borderId="6" xfId="3" applyNumberFormat="1" applyFont="1" applyFill="1" applyBorder="1" applyAlignment="1" applyProtection="1"/>
    <xf numFmtId="16" fontId="0" fillId="0" borderId="0" xfId="0" applyNumberFormat="1"/>
    <xf numFmtId="0" fontId="16" fillId="0" borderId="0" xfId="3" applyFont="1" applyFill="1" applyAlignment="1" applyProtection="1">
      <alignment horizontal="right"/>
    </xf>
    <xf numFmtId="0" fontId="6" fillId="0" borderId="7" xfId="3" applyFill="1" applyBorder="1" applyProtection="1"/>
    <xf numFmtId="0" fontId="6" fillId="0" borderId="8" xfId="3" applyFill="1" applyBorder="1" applyProtection="1"/>
    <xf numFmtId="169" fontId="0" fillId="0" borderId="0" xfId="0" applyNumberFormat="1"/>
    <xf numFmtId="2" fontId="0" fillId="0" borderId="0" xfId="0" applyNumberFormat="1"/>
    <xf numFmtId="14" fontId="7" fillId="0" borderId="0" xfId="0" applyNumberFormat="1" applyFont="1" applyAlignment="1">
      <alignment wrapText="1"/>
    </xf>
    <xf numFmtId="0" fontId="0" fillId="0" borderId="0" xfId="0" applyAlignment="1">
      <alignment wrapText="1"/>
    </xf>
    <xf numFmtId="0" fontId="9" fillId="0" borderId="0" xfId="0" applyFont="1" applyAlignment="1">
      <alignment wrapText="1"/>
    </xf>
    <xf numFmtId="2" fontId="6" fillId="0" borderId="9" xfId="3" applyNumberFormat="1" applyFont="1" applyFill="1" applyBorder="1" applyAlignment="1" applyProtection="1"/>
    <xf numFmtId="0" fontId="6" fillId="0" borderId="10" xfId="3" applyFont="1" applyFill="1" applyBorder="1" applyAlignment="1" applyProtection="1">
      <alignment horizontal="center"/>
    </xf>
    <xf numFmtId="16" fontId="6" fillId="0" borderId="11" xfId="3" applyNumberFormat="1" applyFill="1" applyBorder="1" applyAlignment="1" applyProtection="1">
      <alignment horizontal="center"/>
    </xf>
    <xf numFmtId="2" fontId="11" fillId="0" borderId="12" xfId="0" applyNumberFormat="1" applyFont="1" applyBorder="1" applyAlignment="1">
      <alignment horizontal="center"/>
    </xf>
    <xf numFmtId="2" fontId="11" fillId="0" borderId="13" xfId="0" applyNumberFormat="1" applyFont="1" applyBorder="1" applyAlignment="1">
      <alignment horizontal="center"/>
    </xf>
    <xf numFmtId="2" fontId="11" fillId="0" borderId="14" xfId="0" applyNumberFormat="1" applyFont="1" applyBorder="1" applyAlignment="1">
      <alignment horizontal="center"/>
    </xf>
    <xf numFmtId="2" fontId="11" fillId="0" borderId="15" xfId="0" applyNumberFormat="1" applyFont="1" applyBorder="1" applyAlignment="1">
      <alignment horizontal="center"/>
    </xf>
    <xf numFmtId="2" fontId="11" fillId="0" borderId="16" xfId="0" applyNumberFormat="1" applyFont="1" applyBorder="1" applyAlignment="1">
      <alignment horizontal="center"/>
    </xf>
    <xf numFmtId="2" fontId="6" fillId="0" borderId="17" xfId="3" quotePrefix="1" applyNumberFormat="1" applyFont="1" applyFill="1" applyBorder="1" applyAlignment="1" applyProtection="1">
      <alignment horizontal="right"/>
    </xf>
    <xf numFmtId="2" fontId="11" fillId="0" borderId="18" xfId="0" applyNumberFormat="1" applyFont="1" applyBorder="1" applyAlignment="1">
      <alignment horizontal="center"/>
    </xf>
    <xf numFmtId="2" fontId="11" fillId="0" borderId="19" xfId="0" applyNumberFormat="1" applyFont="1" applyBorder="1" applyAlignment="1">
      <alignment horizontal="center"/>
    </xf>
    <xf numFmtId="2" fontId="11" fillId="0" borderId="20" xfId="0" applyNumberFormat="1" applyFont="1" applyBorder="1" applyAlignment="1">
      <alignment horizontal="center"/>
    </xf>
    <xf numFmtId="2" fontId="6" fillId="0" borderId="6" xfId="3" applyNumberFormat="1" applyFont="1" applyFill="1" applyBorder="1" applyProtection="1"/>
    <xf numFmtId="0" fontId="0" fillId="0" borderId="0" xfId="0" applyNumberFormat="1" applyFill="1" applyAlignment="1">
      <alignment horizontal="center" wrapText="1"/>
    </xf>
    <xf numFmtId="0" fontId="0" fillId="0" borderId="0" xfId="0" applyNumberFormat="1" applyFill="1" applyAlignment="1">
      <alignment wrapText="1"/>
    </xf>
    <xf numFmtId="0" fontId="0" fillId="0" borderId="0" xfId="0" applyNumberFormat="1" applyFill="1" applyBorder="1" applyAlignment="1">
      <alignment horizontal="center"/>
    </xf>
    <xf numFmtId="0" fontId="0" fillId="0" borderId="21" xfId="0" applyNumberFormat="1" applyFill="1" applyBorder="1" applyAlignment="1">
      <alignment horizontal="center"/>
    </xf>
    <xf numFmtId="0" fontId="0" fillId="0" borderId="0" xfId="0" applyNumberFormat="1"/>
    <xf numFmtId="0" fontId="11" fillId="0" borderId="0" xfId="0" applyNumberFormat="1" applyFont="1" applyFill="1"/>
    <xf numFmtId="0" fontId="11" fillId="0" borderId="0" xfId="0" applyNumberFormat="1" applyFont="1" applyFill="1" applyBorder="1"/>
    <xf numFmtId="0" fontId="11" fillId="0" borderId="1" xfId="0" applyNumberFormat="1" applyFont="1" applyFill="1" applyBorder="1"/>
    <xf numFmtId="0" fontId="11" fillId="0" borderId="0" xfId="0" applyNumberFormat="1" applyFont="1" applyFill="1" applyBorder="1" applyAlignment="1">
      <alignment horizontal="center"/>
    </xf>
    <xf numFmtId="2" fontId="11" fillId="0" borderId="0" xfId="0" applyNumberFormat="1" applyFont="1" applyFill="1" applyBorder="1" applyAlignment="1">
      <alignment horizontal="center"/>
    </xf>
    <xf numFmtId="2" fontId="11" fillId="0" borderId="23" xfId="0" applyNumberFormat="1" applyFont="1" applyFill="1" applyBorder="1" applyAlignment="1">
      <alignment horizontal="center"/>
    </xf>
    <xf numFmtId="0" fontId="11" fillId="0" borderId="24" xfId="0" applyNumberFormat="1" applyFont="1" applyFill="1" applyBorder="1" applyAlignment="1">
      <alignment horizontal="center"/>
    </xf>
    <xf numFmtId="2" fontId="25" fillId="0" borderId="0" xfId="0" applyNumberFormat="1" applyFont="1" applyFill="1" applyBorder="1" applyAlignment="1">
      <alignment horizontal="center"/>
    </xf>
    <xf numFmtId="2" fontId="11" fillId="0" borderId="0" xfId="0" applyNumberFormat="1" applyFont="1" applyFill="1"/>
    <xf numFmtId="166" fontId="0" fillId="0" borderId="0" xfId="0" applyNumberFormat="1" applyFill="1" applyAlignment="1">
      <alignment horizontal="center"/>
    </xf>
    <xf numFmtId="166" fontId="0" fillId="0" borderId="21" xfId="0" applyNumberFormat="1" applyFill="1" applyBorder="1" applyAlignment="1">
      <alignment horizontal="center"/>
    </xf>
    <xf numFmtId="1" fontId="0" fillId="0" borderId="21" xfId="0" applyNumberFormat="1" applyFill="1" applyBorder="1" applyAlignment="1">
      <alignment horizontal="center"/>
    </xf>
    <xf numFmtId="0" fontId="0" fillId="0" borderId="0" xfId="0" applyNumberFormat="1" applyFill="1"/>
    <xf numFmtId="166" fontId="0" fillId="0" borderId="24" xfId="0" applyNumberFormat="1" applyFill="1" applyBorder="1" applyAlignment="1">
      <alignment horizontal="center"/>
    </xf>
    <xf numFmtId="1" fontId="0" fillId="0" borderId="24" xfId="0" applyNumberFormat="1" applyFill="1" applyBorder="1" applyAlignment="1">
      <alignment horizontal="center"/>
    </xf>
    <xf numFmtId="0" fontId="0" fillId="0" borderId="24" xfId="0" applyNumberFormat="1" applyFill="1" applyBorder="1" applyAlignment="1">
      <alignment horizontal="center"/>
    </xf>
    <xf numFmtId="166" fontId="0" fillId="0" borderId="25" xfId="0" applyNumberFormat="1" applyFill="1" applyBorder="1" applyAlignment="1">
      <alignment horizontal="center"/>
    </xf>
    <xf numFmtId="1" fontId="0" fillId="0" borderId="25" xfId="0" applyNumberFormat="1" applyFill="1" applyBorder="1" applyAlignment="1">
      <alignment horizontal="center"/>
    </xf>
    <xf numFmtId="0" fontId="0" fillId="0" borderId="25" xfId="0" applyNumberFormat="1" applyFill="1" applyBorder="1" applyAlignment="1">
      <alignment horizontal="center"/>
    </xf>
    <xf numFmtId="2" fontId="0" fillId="0" borderId="21" xfId="0" applyNumberFormat="1" applyFill="1" applyBorder="1" applyAlignment="1">
      <alignment horizontal="center"/>
    </xf>
    <xf numFmtId="2" fontId="0" fillId="0" borderId="24" xfId="0" applyNumberFormat="1" applyFill="1" applyBorder="1" applyAlignment="1">
      <alignment horizontal="center"/>
    </xf>
    <xf numFmtId="2" fontId="0" fillId="0" borderId="25" xfId="0" applyNumberFormat="1" applyFill="1" applyBorder="1" applyAlignment="1">
      <alignment horizontal="center"/>
    </xf>
    <xf numFmtId="1" fontId="0" fillId="0" borderId="0" xfId="0" applyNumberFormat="1" applyFill="1" applyAlignment="1">
      <alignment horizontal="center"/>
    </xf>
    <xf numFmtId="167" fontId="0" fillId="0" borderId="0" xfId="0" applyNumberFormat="1" applyFill="1" applyBorder="1" applyAlignment="1">
      <alignment horizontal="center"/>
    </xf>
    <xf numFmtId="167" fontId="0" fillId="0" borderId="24" xfId="0" applyNumberFormat="1" applyFill="1" applyBorder="1" applyAlignment="1">
      <alignment horizontal="center"/>
    </xf>
    <xf numFmtId="166" fontId="0" fillId="0" borderId="0" xfId="0" applyNumberFormat="1" applyFill="1" applyAlignment="1">
      <alignment horizontal="left"/>
    </xf>
    <xf numFmtId="0" fontId="0" fillId="0" borderId="0" xfId="0" applyNumberFormat="1" applyFill="1" applyAlignment="1">
      <alignment horizontal="center"/>
    </xf>
    <xf numFmtId="0" fontId="27" fillId="0" borderId="21" xfId="0" quotePrefix="1"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center"/>
      <protection locked="0"/>
    </xf>
    <xf numFmtId="0" fontId="27" fillId="0" borderId="5" xfId="0" quotePrefix="1" applyNumberFormat="1" applyFont="1" applyFill="1" applyBorder="1" applyAlignment="1" applyProtection="1">
      <alignment horizontal="center"/>
      <protection locked="0"/>
    </xf>
    <xf numFmtId="0" fontId="27" fillId="0" borderId="26" xfId="0" applyNumberFormat="1" applyFont="1" applyFill="1" applyBorder="1" applyAlignment="1" applyProtection="1">
      <alignment horizontal="left"/>
      <protection locked="0"/>
    </xf>
    <xf numFmtId="0" fontId="27" fillId="0" borderId="25" xfId="0" quotePrefix="1" applyNumberFormat="1" applyFont="1" applyFill="1" applyBorder="1" applyAlignment="1" applyProtection="1">
      <alignment horizontal="right"/>
      <protection locked="0"/>
    </xf>
    <xf numFmtId="1" fontId="27" fillId="0" borderId="25" xfId="0" applyNumberFormat="1" applyFont="1" applyFill="1" applyBorder="1" applyAlignment="1" applyProtection="1">
      <alignment horizontal="center"/>
      <protection locked="0"/>
    </xf>
    <xf numFmtId="1" fontId="27" fillId="0" borderId="28" xfId="0" applyNumberFormat="1" applyFont="1" applyFill="1" applyBorder="1" applyAlignment="1" applyProtection="1">
      <alignment horizontal="right"/>
      <protection locked="0"/>
    </xf>
    <xf numFmtId="1" fontId="27" fillId="0" borderId="29" xfId="0" quotePrefix="1" applyNumberFormat="1" applyFont="1" applyFill="1" applyBorder="1" applyAlignment="1" applyProtection="1">
      <alignment horizontal="center"/>
      <protection locked="0"/>
    </xf>
    <xf numFmtId="1" fontId="27" fillId="0" borderId="27" xfId="0" applyNumberFormat="1" applyFont="1" applyFill="1" applyBorder="1" applyAlignment="1" applyProtection="1">
      <alignment horizontal="left"/>
      <protection locked="0"/>
    </xf>
    <xf numFmtId="0" fontId="7" fillId="0" borderId="0" xfId="0" applyFont="1" applyAlignment="1">
      <alignment horizontal="center" wrapText="1"/>
    </xf>
    <xf numFmtId="0" fontId="9" fillId="0" borderId="0" xfId="0" applyFont="1" applyBorder="1" applyAlignment="1">
      <alignment horizontal="center"/>
    </xf>
    <xf numFmtId="14" fontId="9" fillId="0" borderId="0" xfId="0" applyNumberFormat="1" applyFont="1" applyBorder="1" applyAlignment="1">
      <alignment horizontal="center"/>
    </xf>
    <xf numFmtId="14" fontId="28" fillId="0" borderId="0" xfId="0" applyNumberFormat="1" applyFont="1" applyBorder="1" applyAlignment="1">
      <alignment horizontal="center"/>
    </xf>
    <xf numFmtId="165" fontId="9" fillId="0" borderId="0" xfId="0" applyNumberFormat="1" applyFont="1" applyBorder="1" applyAlignment="1">
      <alignment horizontal="center"/>
    </xf>
    <xf numFmtId="166" fontId="9"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quotePrefix="1" applyFont="1" applyBorder="1" applyAlignment="1">
      <alignment horizontal="center"/>
    </xf>
    <xf numFmtId="0" fontId="24" fillId="4" borderId="30" xfId="0" applyNumberFormat="1" applyFont="1" applyFill="1" applyBorder="1" applyAlignment="1">
      <alignment horizontal="center"/>
    </xf>
    <xf numFmtId="168" fontId="11" fillId="0" borderId="0" xfId="0" applyNumberFormat="1" applyFont="1" applyFill="1"/>
    <xf numFmtId="0" fontId="9" fillId="0" borderId="10" xfId="0" applyFont="1" applyBorder="1" applyAlignment="1">
      <alignment horizontal="center" wrapText="1"/>
    </xf>
    <xf numFmtId="170" fontId="0" fillId="0" borderId="0" xfId="0" applyNumberFormat="1"/>
    <xf numFmtId="2" fontId="6" fillId="0" borderId="31" xfId="3" applyNumberFormat="1" applyFont="1" applyFill="1" applyBorder="1" applyAlignment="1" applyProtection="1"/>
    <xf numFmtId="2" fontId="6" fillId="0" borderId="32" xfId="3" applyNumberFormat="1" applyFont="1" applyFill="1" applyBorder="1" applyAlignment="1" applyProtection="1"/>
    <xf numFmtId="2" fontId="6" fillId="0" borderId="17" xfId="3" quotePrefix="1" applyNumberFormat="1" applyFill="1" applyBorder="1" applyAlignment="1" applyProtection="1">
      <alignment horizontal="right"/>
    </xf>
    <xf numFmtId="164" fontId="15" fillId="5" borderId="0" xfId="3" applyNumberFormat="1" applyFont="1" applyFill="1" applyAlignment="1" applyProtection="1">
      <alignment horizontal="left"/>
      <protection locked="0"/>
    </xf>
    <xf numFmtId="14" fontId="0" fillId="0" borderId="0" xfId="0" applyNumberFormat="1"/>
    <xf numFmtId="16" fontId="0" fillId="0" borderId="0" xfId="0" applyNumberFormat="1" applyFill="1"/>
    <xf numFmtId="0" fontId="9" fillId="0" borderId="0" xfId="0" applyFont="1"/>
    <xf numFmtId="0" fontId="27" fillId="0" borderId="0" xfId="0" applyNumberFormat="1" applyFont="1" applyFill="1" applyBorder="1" applyAlignment="1" applyProtection="1">
      <alignment horizontal="right"/>
      <protection locked="0"/>
    </xf>
    <xf numFmtId="0" fontId="27" fillId="0" borderId="29" xfId="0" applyNumberFormat="1" applyFont="1" applyFill="1" applyBorder="1" applyAlignment="1" applyProtection="1">
      <alignment horizontal="right"/>
      <protection locked="0"/>
    </xf>
    <xf numFmtId="0" fontId="27" fillId="0" borderId="33" xfId="0"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right"/>
      <protection locked="0"/>
    </xf>
    <xf numFmtId="0" fontId="31" fillId="0" borderId="0" xfId="0" applyFont="1" applyFill="1" applyProtection="1"/>
    <xf numFmtId="2" fontId="9" fillId="0" borderId="0" xfId="0" applyNumberFormat="1" applyFont="1" applyFill="1" applyProtection="1"/>
    <xf numFmtId="2" fontId="6" fillId="0" borderId="34" xfId="3" quotePrefix="1" applyNumberFormat="1" applyFont="1" applyFill="1" applyBorder="1" applyAlignment="1" applyProtection="1">
      <alignment horizontal="right"/>
    </xf>
    <xf numFmtId="168" fontId="32" fillId="0" borderId="0" xfId="3" applyNumberFormat="1" applyFont="1" applyFill="1" applyAlignment="1" applyProtection="1">
      <alignment horizontal="centerContinuous"/>
    </xf>
    <xf numFmtId="0" fontId="32" fillId="0" borderId="0" xfId="3" applyFont="1" applyFill="1" applyAlignment="1" applyProtection="1">
      <alignment horizontal="right"/>
    </xf>
    <xf numFmtId="168" fontId="32" fillId="0" borderId="0" xfId="3" applyNumberFormat="1" applyFont="1" applyFill="1" applyAlignment="1" applyProtection="1">
      <alignment horizontal="left"/>
    </xf>
    <xf numFmtId="168" fontId="32" fillId="0" borderId="0" xfId="3" quotePrefix="1" applyNumberFormat="1" applyFont="1" applyFill="1" applyAlignment="1" applyProtection="1">
      <alignment horizontal="centerContinuous"/>
    </xf>
    <xf numFmtId="0" fontId="11" fillId="0" borderId="0" xfId="0" applyNumberFormat="1" applyFont="1" applyAlignment="1" applyProtection="1">
      <alignment horizontal="center"/>
    </xf>
    <xf numFmtId="0" fontId="32" fillId="0" borderId="2" xfId="3" applyFont="1" applyFill="1" applyBorder="1" applyProtection="1"/>
    <xf numFmtId="0" fontId="32" fillId="0" borderId="7" xfId="3" applyFont="1" applyFill="1" applyBorder="1" applyProtection="1"/>
    <xf numFmtId="0" fontId="32" fillId="0" borderId="10" xfId="3" applyFont="1" applyFill="1" applyBorder="1" applyAlignment="1" applyProtection="1">
      <alignment horizontal="center"/>
    </xf>
    <xf numFmtId="0" fontId="32" fillId="0" borderId="7" xfId="3" applyFont="1" applyFill="1" applyBorder="1" applyAlignment="1" applyProtection="1">
      <alignment horizontal="center"/>
    </xf>
    <xf numFmtId="0" fontId="32" fillId="0" borderId="3" xfId="3" applyFont="1" applyFill="1" applyBorder="1" applyProtection="1"/>
    <xf numFmtId="0" fontId="32" fillId="0" borderId="8" xfId="3" applyFont="1" applyFill="1" applyBorder="1" applyProtection="1"/>
    <xf numFmtId="16" fontId="32" fillId="0" borderId="11" xfId="3" applyNumberFormat="1" applyFont="1" applyFill="1" applyBorder="1" applyAlignment="1" applyProtection="1">
      <alignment horizontal="center"/>
    </xf>
    <xf numFmtId="16" fontId="32" fillId="0" borderId="8" xfId="3" applyNumberFormat="1" applyFont="1" applyFill="1" applyBorder="1" applyAlignment="1" applyProtection="1">
      <alignment horizontal="center"/>
    </xf>
    <xf numFmtId="2" fontId="32" fillId="0" borderId="2" xfId="3" applyNumberFormat="1" applyFont="1" applyFill="1" applyBorder="1" applyProtection="1"/>
    <xf numFmtId="2" fontId="32" fillId="0" borderId="17" xfId="3" quotePrefix="1" applyNumberFormat="1" applyFont="1" applyFill="1" applyBorder="1" applyAlignment="1" applyProtection="1">
      <alignment horizontal="right"/>
    </xf>
    <xf numFmtId="2" fontId="32" fillId="0" borderId="9" xfId="3" applyNumberFormat="1" applyFont="1" applyFill="1" applyBorder="1" applyProtection="1"/>
    <xf numFmtId="2" fontId="32" fillId="0" borderId="35" xfId="3" quotePrefix="1" applyNumberFormat="1" applyFont="1" applyFill="1" applyBorder="1" applyAlignment="1" applyProtection="1">
      <alignment horizontal="right"/>
    </xf>
    <xf numFmtId="2" fontId="32" fillId="0" borderId="34" xfId="3" quotePrefix="1" applyNumberFormat="1" applyFont="1" applyFill="1" applyBorder="1" applyAlignment="1" applyProtection="1">
      <alignment horizontal="right"/>
    </xf>
    <xf numFmtId="2" fontId="32" fillId="0" borderId="5" xfId="3" quotePrefix="1" applyNumberFormat="1" applyFont="1" applyFill="1" applyBorder="1" applyAlignment="1" applyProtection="1">
      <alignment horizontal="right"/>
    </xf>
    <xf numFmtId="2" fontId="11" fillId="0" borderId="4" xfId="0" applyNumberFormat="1" applyFont="1" applyBorder="1" applyAlignment="1">
      <alignment horizontal="center"/>
    </xf>
    <xf numFmtId="2" fontId="32" fillId="0" borderId="4" xfId="3" applyNumberFormat="1" applyFont="1" applyFill="1" applyBorder="1" applyProtection="1"/>
    <xf numFmtId="2" fontId="32" fillId="0" borderId="36" xfId="3" quotePrefix="1" applyNumberFormat="1" applyFont="1" applyFill="1" applyBorder="1" applyAlignment="1" applyProtection="1">
      <alignment horizontal="right"/>
    </xf>
    <xf numFmtId="2" fontId="32" fillId="0" borderId="32" xfId="3" applyNumberFormat="1" applyFont="1" applyFill="1" applyBorder="1" applyProtection="1"/>
    <xf numFmtId="2" fontId="32" fillId="0" borderId="6" xfId="3" applyNumberFormat="1" applyFont="1" applyFill="1" applyBorder="1" applyAlignment="1" applyProtection="1">
      <alignment horizontal="left"/>
    </xf>
    <xf numFmtId="2" fontId="32" fillId="0" borderId="0" xfId="3" quotePrefix="1" applyNumberFormat="1" applyFont="1" applyFill="1" applyBorder="1" applyAlignment="1" applyProtection="1">
      <alignment horizontal="right"/>
    </xf>
    <xf numFmtId="2" fontId="32" fillId="0" borderId="37" xfId="3" applyNumberFormat="1" applyFont="1" applyFill="1" applyBorder="1" applyProtection="1"/>
    <xf numFmtId="2" fontId="32" fillId="0" borderId="29" xfId="3" quotePrefix="1" applyNumberFormat="1" applyFont="1" applyFill="1" applyBorder="1" applyAlignment="1" applyProtection="1">
      <alignment horizontal="right"/>
    </xf>
    <xf numFmtId="2" fontId="32" fillId="0" borderId="37" xfId="3" applyNumberFormat="1" applyFont="1" applyFill="1" applyBorder="1" applyAlignment="1" applyProtection="1"/>
    <xf numFmtId="2" fontId="32" fillId="0" borderId="3" xfId="3" applyNumberFormat="1" applyFont="1" applyFill="1" applyBorder="1" applyAlignment="1" applyProtection="1"/>
    <xf numFmtId="2" fontId="32" fillId="0" borderId="1" xfId="3" quotePrefix="1" applyNumberFormat="1" applyFont="1" applyFill="1" applyBorder="1" applyAlignment="1" applyProtection="1">
      <alignment horizontal="right"/>
    </xf>
    <xf numFmtId="1" fontId="32" fillId="0" borderId="38" xfId="3" quotePrefix="1" applyNumberFormat="1" applyFont="1" applyFill="1" applyBorder="1" applyAlignment="1" applyProtection="1">
      <alignment horizontal="right"/>
    </xf>
    <xf numFmtId="1" fontId="32" fillId="0" borderId="34" xfId="3" quotePrefix="1" applyNumberFormat="1" applyFont="1" applyFill="1" applyBorder="1" applyAlignment="1" applyProtection="1">
      <alignment horizontal="right"/>
    </xf>
    <xf numFmtId="1" fontId="32" fillId="0" borderId="35" xfId="3" quotePrefix="1" applyNumberFormat="1" applyFont="1" applyFill="1" applyBorder="1" applyAlignment="1" applyProtection="1">
      <alignment horizontal="right"/>
    </xf>
    <xf numFmtId="1" fontId="32" fillId="0" borderId="37" xfId="3" applyNumberFormat="1" applyFont="1" applyFill="1" applyBorder="1" applyProtection="1"/>
    <xf numFmtId="1" fontId="32" fillId="0" borderId="39" xfId="3" applyNumberFormat="1" applyFont="1" applyFill="1" applyBorder="1" applyAlignment="1" applyProtection="1">
      <alignment horizontal="right"/>
    </xf>
    <xf numFmtId="1" fontId="32" fillId="0" borderId="40" xfId="3" quotePrefix="1" applyNumberFormat="1" applyFont="1" applyFill="1" applyBorder="1" applyAlignment="1" applyProtection="1">
      <alignment horizontal="right"/>
    </xf>
    <xf numFmtId="2" fontId="32" fillId="0" borderId="37" xfId="0" applyNumberFormat="1" applyFont="1" applyFill="1" applyBorder="1" applyProtection="1"/>
    <xf numFmtId="2" fontId="32" fillId="0" borderId="4" xfId="3" applyNumberFormat="1" applyFont="1" applyFill="1" applyBorder="1" applyAlignment="1" applyProtection="1"/>
    <xf numFmtId="2" fontId="32" fillId="0" borderId="40" xfId="3" quotePrefix="1" applyNumberFormat="1" applyFont="1" applyFill="1" applyBorder="1" applyAlignment="1" applyProtection="1">
      <alignment horizontal="right"/>
    </xf>
    <xf numFmtId="2" fontId="32" fillId="0" borderId="8" xfId="3" quotePrefix="1" applyNumberFormat="1" applyFont="1" applyFill="1" applyBorder="1" applyAlignment="1" applyProtection="1">
      <alignment horizontal="right"/>
    </xf>
    <xf numFmtId="2" fontId="32" fillId="0" borderId="42" xfId="3" applyNumberFormat="1" applyFont="1" applyFill="1" applyBorder="1" applyProtection="1"/>
    <xf numFmtId="2" fontId="32" fillId="0" borderId="7" xfId="3" quotePrefix="1" applyNumberFormat="1" applyFont="1" applyFill="1" applyBorder="1" applyAlignment="1" applyProtection="1">
      <alignment horizontal="right"/>
    </xf>
    <xf numFmtId="2" fontId="11" fillId="0" borderId="42" xfId="0" applyNumberFormat="1" applyFont="1" applyFill="1" applyBorder="1" applyProtection="1"/>
    <xf numFmtId="10" fontId="11" fillId="0" borderId="43" xfId="4" applyNumberFormat="1" applyFont="1" applyBorder="1" applyAlignment="1">
      <alignment horizontal="center"/>
    </xf>
    <xf numFmtId="0" fontId="0" fillId="6" borderId="45" xfId="0" applyNumberFormat="1" applyFill="1" applyBorder="1" applyAlignment="1">
      <alignment horizontal="left"/>
    </xf>
    <xf numFmtId="0" fontId="0" fillId="6" borderId="5" xfId="0" applyNumberFormat="1" applyFill="1" applyBorder="1" applyAlignment="1">
      <alignment horizontal="left"/>
    </xf>
    <xf numFmtId="0" fontId="0" fillId="6" borderId="33" xfId="0" applyNumberFormat="1" applyFill="1" applyBorder="1" applyAlignment="1">
      <alignment horizontal="center"/>
    </xf>
    <xf numFmtId="0" fontId="0" fillId="6" borderId="0" xfId="0" applyNumberFormat="1" applyFill="1" applyBorder="1" applyAlignment="1">
      <alignment horizontal="center"/>
    </xf>
    <xf numFmtId="167" fontId="0" fillId="6" borderId="0" xfId="0" applyNumberFormat="1" applyFill="1" applyBorder="1" applyAlignment="1">
      <alignment horizontal="center"/>
    </xf>
    <xf numFmtId="2" fontId="0" fillId="6" borderId="0" xfId="0" applyNumberFormat="1" applyFill="1" applyBorder="1" applyAlignment="1">
      <alignment horizontal="center"/>
    </xf>
    <xf numFmtId="0" fontId="35" fillId="6" borderId="46" xfId="0" applyNumberFormat="1" applyFont="1" applyFill="1" applyBorder="1" applyAlignment="1">
      <alignment horizontal="center"/>
    </xf>
    <xf numFmtId="0" fontId="0" fillId="6" borderId="36" xfId="0" applyNumberFormat="1" applyFill="1" applyBorder="1" applyAlignment="1">
      <alignment horizontal="center"/>
    </xf>
    <xf numFmtId="167" fontId="0" fillId="6" borderId="36" xfId="0" applyNumberFormat="1" applyFill="1" applyBorder="1" applyAlignment="1">
      <alignment horizontal="center"/>
    </xf>
    <xf numFmtId="0" fontId="0" fillId="6" borderId="45" xfId="0" applyNumberFormat="1" applyFill="1" applyBorder="1" applyAlignment="1">
      <alignment horizontal="center"/>
    </xf>
    <xf numFmtId="167" fontId="0" fillId="6" borderId="5" xfId="0" applyNumberFormat="1" applyFill="1" applyBorder="1" applyAlignment="1">
      <alignment horizontal="center"/>
    </xf>
    <xf numFmtId="0" fontId="0" fillId="6" borderId="28" xfId="0" applyNumberFormat="1" applyFill="1" applyBorder="1" applyAlignment="1">
      <alignment horizontal="center"/>
    </xf>
    <xf numFmtId="167" fontId="0" fillId="6" borderId="29" xfId="0" applyNumberFormat="1" applyFill="1" applyBorder="1" applyAlignment="1">
      <alignment horizontal="center"/>
    </xf>
    <xf numFmtId="2" fontId="11" fillId="0" borderId="12" xfId="0" applyNumberFormat="1" applyFont="1" applyFill="1" applyBorder="1" applyAlignment="1">
      <alignment horizontal="center"/>
    </xf>
    <xf numFmtId="2" fontId="11" fillId="0" borderId="14" xfId="0" applyNumberFormat="1" applyFont="1" applyFill="1" applyBorder="1" applyAlignment="1">
      <alignment horizontal="center"/>
    </xf>
    <xf numFmtId="0" fontId="0" fillId="0" borderId="0" xfId="0" applyAlignment="1"/>
    <xf numFmtId="2" fontId="11" fillId="0" borderId="47" xfId="0" applyNumberFormat="1" applyFont="1" applyBorder="1" applyAlignment="1">
      <alignment horizontal="center"/>
    </xf>
    <xf numFmtId="2" fontId="11" fillId="0" borderId="49" xfId="0" applyNumberFormat="1" applyFont="1" applyBorder="1" applyAlignment="1">
      <alignment horizontal="center"/>
    </xf>
    <xf numFmtId="2" fontId="11" fillId="0" borderId="32" xfId="0" applyNumberFormat="1" applyFont="1" applyBorder="1" applyAlignment="1">
      <alignment horizontal="center"/>
    </xf>
    <xf numFmtId="2" fontId="11" fillId="0" borderId="4" xfId="0" applyNumberFormat="1" applyFont="1" applyFill="1" applyBorder="1" applyAlignment="1">
      <alignment horizontal="center"/>
    </xf>
    <xf numFmtId="2" fontId="11" fillId="0" borderId="47" xfId="0" applyNumberFormat="1" applyFont="1" applyFill="1" applyBorder="1" applyAlignment="1">
      <alignment horizontal="center"/>
    </xf>
    <xf numFmtId="168" fontId="6" fillId="0" borderId="0" xfId="3" applyNumberFormat="1" applyFont="1" applyFill="1" applyAlignment="1" applyProtection="1">
      <alignment horizontal="left"/>
    </xf>
    <xf numFmtId="168" fontId="6" fillId="0" borderId="0" xfId="3" quotePrefix="1" applyNumberFormat="1" applyFont="1" applyFill="1" applyAlignment="1" applyProtection="1">
      <alignment horizontal="centerContinuous"/>
    </xf>
    <xf numFmtId="0" fontId="32" fillId="0" borderId="0" xfId="3" applyFont="1" applyFill="1" applyAlignment="1" applyProtection="1">
      <alignment horizontal="centerContinuous"/>
    </xf>
    <xf numFmtId="0" fontId="33" fillId="0" borderId="0" xfId="0" applyFont="1" applyFill="1" applyProtection="1"/>
    <xf numFmtId="0" fontId="6" fillId="0" borderId="0" xfId="3" applyFont="1" applyAlignment="1" applyProtection="1">
      <alignment horizontal="centerContinuous"/>
    </xf>
    <xf numFmtId="0" fontId="18" fillId="0" borderId="0" xfId="0" applyFont="1" applyFill="1" applyProtection="1"/>
    <xf numFmtId="0" fontId="32" fillId="0" borderId="0" xfId="3" applyFont="1" applyFill="1" applyProtection="1"/>
    <xf numFmtId="14" fontId="33" fillId="0" borderId="0" xfId="3" applyNumberFormat="1" applyFont="1" applyAlignment="1" applyProtection="1">
      <alignment horizontal="center"/>
    </xf>
    <xf numFmtId="0" fontId="6" fillId="0" borderId="2" xfId="3" applyFont="1" applyFill="1" applyBorder="1" applyProtection="1"/>
    <xf numFmtId="0" fontId="6" fillId="0" borderId="7" xfId="3" applyFont="1" applyFill="1" applyBorder="1" applyProtection="1"/>
    <xf numFmtId="0" fontId="6" fillId="0" borderId="3" xfId="3" applyFont="1" applyFill="1" applyBorder="1" applyProtection="1"/>
    <xf numFmtId="0" fontId="6" fillId="0" borderId="8" xfId="3" applyFont="1" applyFill="1" applyBorder="1" applyProtection="1"/>
    <xf numFmtId="16" fontId="6" fillId="0" borderId="11" xfId="3" applyNumberFormat="1" applyFont="1" applyFill="1" applyBorder="1" applyAlignment="1" applyProtection="1">
      <alignment horizontal="center"/>
    </xf>
    <xf numFmtId="2" fontId="32" fillId="0" borderId="31" xfId="3" applyNumberFormat="1" applyFont="1" applyFill="1" applyBorder="1" applyProtection="1"/>
    <xf numFmtId="2" fontId="32" fillId="0" borderId="38" xfId="3" quotePrefix="1" applyNumberFormat="1" applyFont="1" applyFill="1" applyBorder="1" applyAlignment="1" applyProtection="1">
      <alignment horizontal="right"/>
    </xf>
    <xf numFmtId="2" fontId="35" fillId="0" borderId="18" xfId="0" applyNumberFormat="1" applyFont="1" applyBorder="1" applyAlignment="1">
      <alignment horizontal="center"/>
    </xf>
    <xf numFmtId="2" fontId="35" fillId="0" borderId="13" xfId="0" applyNumberFormat="1" applyFont="1" applyBorder="1" applyAlignment="1">
      <alignment horizontal="center"/>
    </xf>
    <xf numFmtId="2" fontId="35" fillId="0" borderId="50" xfId="0" applyNumberFormat="1" applyFont="1" applyBorder="1" applyAlignment="1">
      <alignment horizontal="center"/>
    </xf>
    <xf numFmtId="2" fontId="35" fillId="0" borderId="12" xfId="0" applyNumberFormat="1" applyFont="1" applyBorder="1" applyAlignment="1">
      <alignment horizontal="center"/>
    </xf>
    <xf numFmtId="2" fontId="35" fillId="0" borderId="14" xfId="0" applyNumberFormat="1" applyFont="1" applyBorder="1" applyAlignment="1">
      <alignment horizontal="center"/>
    </xf>
    <xf numFmtId="2" fontId="6" fillId="0" borderId="32" xfId="3" applyNumberFormat="1" applyFont="1" applyFill="1" applyBorder="1" applyProtection="1"/>
    <xf numFmtId="2" fontId="6" fillId="0" borderId="40" xfId="3" quotePrefix="1" applyNumberFormat="1" applyFont="1" applyFill="1" applyBorder="1" applyAlignment="1" applyProtection="1">
      <alignment horizontal="right"/>
    </xf>
    <xf numFmtId="2" fontId="6" fillId="0" borderId="9" xfId="3" applyNumberFormat="1" applyFont="1" applyFill="1" applyBorder="1" applyProtection="1"/>
    <xf numFmtId="2" fontId="6" fillId="0" borderId="35" xfId="3" quotePrefix="1" applyNumberFormat="1" applyFont="1" applyFill="1" applyBorder="1" applyAlignment="1" applyProtection="1">
      <alignment horizontal="right"/>
    </xf>
    <xf numFmtId="2" fontId="6" fillId="0" borderId="37" xfId="3" applyNumberFormat="1" applyFont="1" applyFill="1" applyBorder="1" applyProtection="1"/>
    <xf numFmtId="2" fontId="6" fillId="0" borderId="51" xfId="3" quotePrefix="1" applyNumberFormat="1" applyFont="1" applyFill="1" applyBorder="1" applyAlignment="1" applyProtection="1">
      <alignment horizontal="right"/>
    </xf>
    <xf numFmtId="2" fontId="32" fillId="0" borderId="35" xfId="3" quotePrefix="1" applyNumberFormat="1" applyFont="1" applyFill="1" applyBorder="1" applyAlignment="1" applyProtection="1">
      <alignment horizontal="center"/>
    </xf>
    <xf numFmtId="2" fontId="6" fillId="0" borderId="35" xfId="3" quotePrefix="1" applyNumberFormat="1" applyFont="1" applyFill="1" applyBorder="1" applyProtection="1"/>
    <xf numFmtId="1" fontId="11" fillId="0" borderId="12" xfId="0" applyNumberFormat="1" applyFont="1" applyBorder="1" applyAlignment="1">
      <alignment horizontal="center"/>
    </xf>
    <xf numFmtId="1" fontId="11" fillId="0" borderId="14" xfId="0" applyNumberFormat="1" applyFont="1" applyBorder="1" applyAlignment="1">
      <alignment horizontal="center"/>
    </xf>
    <xf numFmtId="2" fontId="32" fillId="0" borderId="35" xfId="3" quotePrefix="1" applyNumberFormat="1" applyFont="1" applyFill="1" applyBorder="1" applyProtection="1"/>
    <xf numFmtId="1" fontId="35" fillId="0" borderId="15" xfId="0" applyNumberFormat="1" applyFont="1" applyBorder="1" applyAlignment="1">
      <alignment horizontal="center"/>
    </xf>
    <xf numFmtId="1" fontId="35" fillId="0" borderId="16" xfId="0" applyNumberFormat="1" applyFont="1" applyBorder="1" applyAlignment="1">
      <alignment horizontal="center"/>
    </xf>
    <xf numFmtId="1" fontId="6" fillId="0" borderId="3" xfId="3" applyNumberFormat="1" applyFont="1" applyFill="1" applyBorder="1" applyProtection="1"/>
    <xf numFmtId="1" fontId="6" fillId="0" borderId="8" xfId="3" quotePrefix="1" applyNumberFormat="1" applyFont="1" applyFill="1" applyBorder="1" applyAlignment="1" applyProtection="1">
      <alignment horizontal="right"/>
    </xf>
    <xf numFmtId="1" fontId="6" fillId="0" borderId="32" xfId="3" applyNumberFormat="1" applyFont="1" applyFill="1" applyBorder="1" applyProtection="1"/>
    <xf numFmtId="2" fontId="6" fillId="0" borderId="8" xfId="3" quotePrefix="1" applyNumberFormat="1" applyFont="1" applyFill="1" applyBorder="1" applyAlignment="1" applyProtection="1">
      <alignment horizontal="right"/>
    </xf>
    <xf numFmtId="1" fontId="11" fillId="0" borderId="15" xfId="0" applyNumberFormat="1" applyFont="1" applyBorder="1" applyAlignment="1">
      <alignment horizontal="center"/>
    </xf>
    <xf numFmtId="1" fontId="11" fillId="0" borderId="16" xfId="0" applyNumberFormat="1" applyFont="1" applyBorder="1" applyAlignment="1">
      <alignment horizontal="center"/>
    </xf>
    <xf numFmtId="2" fontId="35" fillId="0" borderId="15" xfId="0" applyNumberFormat="1" applyFont="1" applyBorder="1" applyAlignment="1">
      <alignment horizontal="center"/>
    </xf>
    <xf numFmtId="2" fontId="35" fillId="0" borderId="16" xfId="0" applyNumberFormat="1" applyFont="1" applyBorder="1" applyAlignment="1">
      <alignment horizontal="center"/>
    </xf>
    <xf numFmtId="2" fontId="32" fillId="0" borderId="2" xfId="3" applyNumberFormat="1" applyFont="1" applyFill="1" applyBorder="1" applyAlignment="1" applyProtection="1"/>
    <xf numFmtId="2" fontId="6" fillId="0" borderId="52" xfId="3" quotePrefix="1" applyNumberFormat="1" applyFont="1" applyFill="1" applyBorder="1" applyAlignment="1" applyProtection="1">
      <alignment horizontal="right"/>
    </xf>
    <xf numFmtId="2" fontId="6" fillId="0" borderId="4" xfId="3" applyNumberFormat="1" applyFont="1" applyFill="1" applyBorder="1" applyAlignment="1" applyProtection="1"/>
    <xf numFmtId="2" fontId="6" fillId="0" borderId="3" xfId="3" applyNumberFormat="1" applyFont="1" applyFill="1" applyBorder="1" applyAlignment="1" applyProtection="1"/>
    <xf numFmtId="2" fontId="32" fillId="0" borderId="6" xfId="3" applyNumberFormat="1" applyFont="1" applyFill="1" applyBorder="1" applyProtection="1"/>
    <xf numFmtId="2" fontId="32" fillId="0" borderId="3" xfId="3" applyNumberFormat="1" applyFont="1" applyFill="1" applyBorder="1" applyProtection="1"/>
    <xf numFmtId="0" fontId="35" fillId="0" borderId="0" xfId="0" applyFont="1"/>
    <xf numFmtId="2" fontId="6" fillId="0" borderId="0" xfId="3" applyNumberFormat="1" applyFont="1" applyFill="1" applyBorder="1" applyProtection="1"/>
    <xf numFmtId="0" fontId="11" fillId="0" borderId="0" xfId="0" applyFont="1"/>
    <xf numFmtId="2" fontId="35" fillId="0" borderId="31" xfId="0" applyNumberFormat="1" applyFont="1" applyBorder="1" applyAlignment="1">
      <alignment horizontal="center"/>
    </xf>
    <xf numFmtId="2" fontId="35" fillId="0" borderId="4" xfId="0" applyNumberFormat="1" applyFont="1" applyBorder="1" applyAlignment="1">
      <alignment horizontal="center"/>
    </xf>
    <xf numFmtId="2" fontId="35" fillId="0" borderId="48" xfId="0" applyNumberFormat="1" applyFont="1" applyBorder="1" applyAlignment="1">
      <alignment horizontal="center"/>
    </xf>
    <xf numFmtId="2" fontId="35" fillId="0" borderId="47" xfId="0" applyNumberFormat="1" applyFont="1" applyBorder="1" applyAlignment="1">
      <alignment horizontal="center"/>
    </xf>
    <xf numFmtId="1" fontId="35" fillId="0" borderId="32" xfId="0" applyNumberFormat="1" applyFont="1" applyBorder="1" applyAlignment="1">
      <alignment horizontal="center"/>
    </xf>
    <xf numFmtId="1" fontId="35" fillId="0" borderId="49" xfId="0" applyNumberFormat="1" applyFont="1" applyBorder="1" applyAlignment="1">
      <alignment horizontal="center"/>
    </xf>
    <xf numFmtId="1" fontId="11" fillId="0" borderId="32" xfId="0" applyNumberFormat="1" applyFont="1" applyBorder="1" applyAlignment="1">
      <alignment horizontal="center"/>
    </xf>
    <xf numFmtId="1" fontId="11" fillId="0" borderId="49" xfId="0" applyNumberFormat="1" applyFont="1" applyBorder="1" applyAlignment="1">
      <alignment horizontal="center"/>
    </xf>
    <xf numFmtId="2" fontId="35" fillId="0" borderId="32" xfId="0" applyNumberFormat="1" applyFont="1" applyBorder="1" applyAlignment="1">
      <alignment horizontal="center"/>
    </xf>
    <xf numFmtId="2" fontId="35" fillId="0" borderId="49" xfId="0" applyNumberFormat="1" applyFont="1" applyBorder="1" applyAlignment="1">
      <alignment horizontal="center"/>
    </xf>
    <xf numFmtId="2" fontId="6" fillId="0" borderId="36" xfId="3" quotePrefix="1" applyNumberFormat="1" applyFont="1" applyFill="1" applyBorder="1" applyAlignment="1" applyProtection="1">
      <alignment horizontal="center"/>
    </xf>
    <xf numFmtId="2" fontId="6" fillId="0" borderId="40" xfId="3" quotePrefix="1" applyNumberFormat="1" applyFont="1" applyFill="1" applyBorder="1" applyAlignment="1" applyProtection="1">
      <alignment horizontal="center"/>
    </xf>
    <xf numFmtId="0" fontId="21" fillId="0" borderId="0" xfId="0" applyNumberFormat="1" applyFont="1" applyFill="1" applyBorder="1" applyAlignment="1">
      <alignment horizontal="center"/>
    </xf>
    <xf numFmtId="0" fontId="23" fillId="0" borderId="0" xfId="0" applyNumberFormat="1" applyFont="1" applyFill="1" applyBorder="1" applyAlignment="1">
      <alignment horizontal="center"/>
    </xf>
    <xf numFmtId="168" fontId="23" fillId="0" borderId="0" xfId="0" applyNumberFormat="1" applyFont="1" applyFill="1" applyBorder="1" applyAlignment="1">
      <alignment horizontal="center"/>
    </xf>
    <xf numFmtId="0" fontId="11" fillId="0" borderId="0" xfId="0" applyNumberFormat="1" applyFont="1" applyFill="1" applyAlignment="1"/>
    <xf numFmtId="0" fontId="7" fillId="7" borderId="53" xfId="0" applyNumberFormat="1" applyFont="1" applyFill="1" applyBorder="1" applyAlignment="1">
      <alignment horizontal="center"/>
    </xf>
    <xf numFmtId="0" fontId="24" fillId="7" borderId="54" xfId="0" applyNumberFormat="1" applyFont="1" applyFill="1" applyBorder="1" applyAlignment="1">
      <alignment horizontal="center"/>
    </xf>
    <xf numFmtId="0" fontId="24" fillId="7" borderId="53" xfId="0" applyNumberFormat="1" applyFont="1" applyFill="1" applyBorder="1" applyAlignment="1">
      <alignment horizontal="center"/>
    </xf>
    <xf numFmtId="0" fontId="24" fillId="7" borderId="55" xfId="0" applyNumberFormat="1" applyFont="1" applyFill="1" applyBorder="1" applyAlignment="1">
      <alignment horizontal="center"/>
    </xf>
    <xf numFmtId="0" fontId="7" fillId="7" borderId="55" xfId="0" applyNumberFormat="1" applyFont="1" applyFill="1" applyBorder="1" applyAlignment="1">
      <alignment horizontal="center"/>
    </xf>
    <xf numFmtId="0" fontId="24" fillId="7" borderId="56" xfId="0" quotePrefix="1" applyNumberFormat="1" applyFont="1" applyFill="1" applyBorder="1" applyAlignment="1">
      <alignment horizontal="center"/>
    </xf>
    <xf numFmtId="0" fontId="24" fillId="7" borderId="25" xfId="0" applyNumberFormat="1" applyFont="1" applyFill="1" applyBorder="1" applyAlignment="1">
      <alignment horizontal="center"/>
    </xf>
    <xf numFmtId="0" fontId="24" fillId="7" borderId="57" xfId="0" applyNumberFormat="1" applyFont="1" applyFill="1" applyBorder="1" applyAlignment="1">
      <alignment horizontal="center"/>
    </xf>
    <xf numFmtId="2" fontId="11" fillId="0" borderId="58" xfId="0" applyNumberFormat="1" applyFont="1" applyFill="1" applyBorder="1" applyAlignment="1">
      <alignment horizontal="center"/>
    </xf>
    <xf numFmtId="2" fontId="11" fillId="0" borderId="59" xfId="0" applyNumberFormat="1" applyFont="1" applyFill="1" applyBorder="1" applyAlignment="1">
      <alignment horizontal="center"/>
    </xf>
    <xf numFmtId="2" fontId="11" fillId="0" borderId="24" xfId="0" applyNumberFormat="1" applyFont="1" applyFill="1" applyBorder="1" applyAlignment="1">
      <alignment horizontal="center"/>
    </xf>
    <xf numFmtId="2" fontId="11" fillId="9" borderId="24" xfId="0" applyNumberFormat="1" applyFont="1" applyFill="1" applyBorder="1" applyAlignment="1">
      <alignment horizontal="center"/>
    </xf>
    <xf numFmtId="2" fontId="11" fillId="9" borderId="58" xfId="0" applyNumberFormat="1" applyFont="1" applyFill="1" applyBorder="1" applyAlignment="1">
      <alignment horizontal="center"/>
    </xf>
    <xf numFmtId="0" fontId="19" fillId="0" borderId="60" xfId="0" applyNumberFormat="1" applyFont="1" applyFill="1" applyBorder="1" applyAlignment="1">
      <alignment horizontal="left"/>
    </xf>
    <xf numFmtId="2" fontId="25" fillId="9" borderId="25" xfId="0" applyNumberFormat="1" applyFont="1" applyFill="1" applyBorder="1" applyAlignment="1">
      <alignment horizontal="center"/>
    </xf>
    <xf numFmtId="2" fontId="25" fillId="9" borderId="57" xfId="0" applyNumberFormat="1" applyFont="1" applyFill="1" applyBorder="1" applyAlignment="1">
      <alignment horizontal="center"/>
    </xf>
    <xf numFmtId="0" fontId="11" fillId="9" borderId="21" xfId="0" applyNumberFormat="1" applyFont="1" applyFill="1" applyBorder="1"/>
    <xf numFmtId="0" fontId="11" fillId="9" borderId="61" xfId="0" applyNumberFormat="1" applyFont="1" applyFill="1" applyBorder="1"/>
    <xf numFmtId="2" fontId="25" fillId="9" borderId="62" xfId="0" applyNumberFormat="1" applyFont="1" applyFill="1" applyBorder="1" applyAlignment="1">
      <alignment horizontal="center"/>
    </xf>
    <xf numFmtId="2" fontId="25" fillId="9" borderId="63" xfId="0" applyNumberFormat="1" applyFont="1" applyFill="1" applyBorder="1" applyAlignment="1">
      <alignment horizontal="center"/>
    </xf>
    <xf numFmtId="0" fontId="19" fillId="0" borderId="0" xfId="0" applyNumberFormat="1" applyFont="1" applyFill="1" applyBorder="1" applyAlignment="1">
      <alignment horizontal="left"/>
    </xf>
    <xf numFmtId="0" fontId="24" fillId="8" borderId="42" xfId="0" applyNumberFormat="1" applyFont="1" applyFill="1" applyBorder="1" applyAlignment="1">
      <alignment horizontal="left"/>
    </xf>
    <xf numFmtId="0" fontId="24" fillId="8" borderId="64" xfId="0" applyNumberFormat="1" applyFont="1" applyFill="1" applyBorder="1" applyAlignment="1">
      <alignment horizontal="left"/>
    </xf>
    <xf numFmtId="0" fontId="24" fillId="8" borderId="64"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9" borderId="42" xfId="0" applyNumberFormat="1" applyFont="1" applyFill="1" applyBorder="1" applyAlignment="1"/>
    <xf numFmtId="0" fontId="24" fillId="9" borderId="64" xfId="0" applyNumberFormat="1" applyFont="1" applyFill="1" applyBorder="1" applyAlignment="1"/>
    <xf numFmtId="0" fontId="24" fillId="9" borderId="64" xfId="0" applyNumberFormat="1" applyFont="1" applyFill="1" applyBorder="1" applyAlignment="1">
      <alignment horizontal="center"/>
    </xf>
    <xf numFmtId="0" fontId="24" fillId="9" borderId="44" xfId="0" applyNumberFormat="1" applyFont="1" applyFill="1" applyBorder="1" applyAlignment="1">
      <alignment horizontal="center"/>
    </xf>
    <xf numFmtId="0" fontId="25" fillId="8" borderId="6" xfId="0" applyNumberFormat="1" applyFont="1" applyFill="1" applyBorder="1"/>
    <xf numFmtId="0" fontId="25" fillId="8" borderId="0" xfId="0" applyNumberFormat="1" applyFont="1" applyFill="1" applyBorder="1"/>
    <xf numFmtId="0" fontId="36" fillId="8" borderId="0" xfId="0" applyNumberFormat="1" applyFont="1" applyFill="1" applyBorder="1" applyAlignment="1">
      <alignment horizontal="center"/>
    </xf>
    <xf numFmtId="0" fontId="19" fillId="8" borderId="0" xfId="0" applyNumberFormat="1" applyFont="1" applyFill="1" applyBorder="1" applyAlignment="1">
      <alignment horizontal="center"/>
    </xf>
    <xf numFmtId="2" fontId="19" fillId="8" borderId="51" xfId="0" applyNumberFormat="1" applyFont="1" applyFill="1" applyBorder="1" applyAlignment="1">
      <alignment horizontal="center"/>
    </xf>
    <xf numFmtId="0" fontId="25" fillId="9" borderId="6" xfId="0" applyNumberFormat="1" applyFont="1" applyFill="1" applyBorder="1"/>
    <xf numFmtId="0" fontId="25" fillId="9" borderId="0" xfId="0" applyNumberFormat="1" applyFont="1" applyFill="1" applyBorder="1"/>
    <xf numFmtId="0" fontId="36" fillId="9" borderId="0" xfId="0" applyNumberFormat="1" applyFont="1" applyFill="1" applyBorder="1" applyAlignment="1">
      <alignment horizontal="center"/>
    </xf>
    <xf numFmtId="0" fontId="19" fillId="9" borderId="0" xfId="0" applyNumberFormat="1" applyFont="1" applyFill="1" applyBorder="1" applyAlignment="1">
      <alignment horizontal="center"/>
    </xf>
    <xf numFmtId="2" fontId="19" fillId="9" borderId="51" xfId="0" applyNumberFormat="1" applyFont="1" applyFill="1" applyBorder="1" applyAlignment="1">
      <alignment horizontal="center"/>
    </xf>
    <xf numFmtId="0" fontId="11" fillId="0" borderId="0" xfId="0" applyNumberFormat="1" applyFont="1" applyFill="1" applyAlignment="1">
      <alignment horizontal="center"/>
    </xf>
    <xf numFmtId="0" fontId="25" fillId="8" borderId="3" xfId="0" applyNumberFormat="1" applyFont="1" applyFill="1" applyBorder="1"/>
    <xf numFmtId="0" fontId="25" fillId="8" borderId="1" xfId="0" applyNumberFormat="1" applyFont="1" applyFill="1" applyBorder="1"/>
    <xf numFmtId="0" fontId="19" fillId="8" borderId="1" xfId="0" applyNumberFormat="1" applyFont="1" applyFill="1" applyBorder="1" applyAlignment="1">
      <alignment horizontal="center"/>
    </xf>
    <xf numFmtId="2" fontId="19" fillId="8" borderId="8" xfId="0" applyNumberFormat="1" applyFont="1" applyFill="1" applyBorder="1" applyAlignment="1">
      <alignment horizontal="center"/>
    </xf>
    <xf numFmtId="0" fontId="25" fillId="9" borderId="3" xfId="0" applyNumberFormat="1" applyFont="1" applyFill="1" applyBorder="1"/>
    <xf numFmtId="0" fontId="25" fillId="9" borderId="1" xfId="0" applyNumberFormat="1" applyFont="1" applyFill="1" applyBorder="1"/>
    <xf numFmtId="0" fontId="36" fillId="9" borderId="1" xfId="0" applyNumberFormat="1" applyFont="1" applyFill="1" applyBorder="1" applyAlignment="1">
      <alignment horizontal="center"/>
    </xf>
    <xf numFmtId="0" fontId="19" fillId="9" borderId="1" xfId="0" applyNumberFormat="1" applyFont="1" applyFill="1" applyBorder="1" applyAlignment="1">
      <alignment horizontal="center"/>
    </xf>
    <xf numFmtId="2" fontId="19" fillId="9" borderId="8" xfId="0" applyNumberFormat="1" applyFont="1" applyFill="1" applyBorder="1" applyAlignment="1">
      <alignment horizontal="center"/>
    </xf>
    <xf numFmtId="0" fontId="36" fillId="10" borderId="0" xfId="0" applyNumberFormat="1" applyFont="1" applyFill="1" applyAlignment="1">
      <alignment horizontal="center"/>
    </xf>
    <xf numFmtId="0" fontId="37" fillId="0" borderId="0" xfId="0" applyNumberFormat="1" applyFont="1" applyAlignment="1">
      <alignment horizontal="center"/>
    </xf>
    <xf numFmtId="0" fontId="37" fillId="10" borderId="0" xfId="0" applyNumberFormat="1" applyFont="1" applyFill="1" applyAlignment="1">
      <alignment horizontal="center"/>
    </xf>
    <xf numFmtId="0" fontId="11" fillId="10" borderId="0" xfId="0" applyNumberFormat="1" applyFont="1" applyFill="1"/>
    <xf numFmtId="14" fontId="29" fillId="5" borderId="0" xfId="0" applyNumberFormat="1" applyFont="1" applyFill="1" applyBorder="1" applyAlignment="1"/>
    <xf numFmtId="0" fontId="11" fillId="0" borderId="0" xfId="0" applyNumberFormat="1" applyFont="1" applyFill="1" applyBorder="1" applyAlignment="1"/>
    <xf numFmtId="0" fontId="21" fillId="0" borderId="0" xfId="0" applyNumberFormat="1" applyFont="1" applyFill="1" applyBorder="1" applyAlignment="1"/>
    <xf numFmtId="0" fontId="11" fillId="0" borderId="1" xfId="0" applyNumberFormat="1" applyFont="1" applyFill="1" applyBorder="1" applyAlignment="1"/>
    <xf numFmtId="2" fontId="11" fillId="0" borderId="65" xfId="0" applyNumberFormat="1" applyFont="1" applyFill="1" applyBorder="1" applyAlignment="1">
      <alignment horizontal="center"/>
    </xf>
    <xf numFmtId="0" fontId="24" fillId="7" borderId="66" xfId="0" applyNumberFormat="1" applyFont="1" applyFill="1" applyBorder="1" applyAlignment="1">
      <alignment horizontal="center"/>
    </xf>
    <xf numFmtId="0" fontId="24" fillId="7" borderId="28" xfId="0" quotePrefix="1" applyNumberFormat="1" applyFont="1" applyFill="1" applyBorder="1" applyAlignment="1">
      <alignment horizontal="center"/>
    </xf>
    <xf numFmtId="0" fontId="11" fillId="0" borderId="6" xfId="0" applyNumberFormat="1" applyFont="1" applyFill="1" applyBorder="1" applyAlignment="1">
      <alignment horizontal="center"/>
    </xf>
    <xf numFmtId="2" fontId="11" fillId="0" borderId="6" xfId="0" applyNumberFormat="1" applyFont="1" applyFill="1" applyBorder="1" applyAlignment="1">
      <alignment horizontal="center"/>
    </xf>
    <xf numFmtId="2" fontId="11" fillId="0" borderId="67" xfId="0" applyNumberFormat="1" applyFont="1" applyFill="1" applyBorder="1" applyAlignment="1">
      <alignment horizontal="center"/>
    </xf>
    <xf numFmtId="0" fontId="24" fillId="7" borderId="68" xfId="0" applyNumberFormat="1" applyFont="1" applyFill="1" applyBorder="1" applyAlignment="1">
      <alignment horizontal="center"/>
    </xf>
    <xf numFmtId="0" fontId="24" fillId="7" borderId="27" xfId="0" quotePrefix="1" applyNumberFormat="1" applyFont="1" applyFill="1" applyBorder="1" applyAlignment="1">
      <alignment horizontal="center"/>
    </xf>
    <xf numFmtId="2" fontId="11" fillId="0" borderId="51" xfId="0" applyNumberFormat="1" applyFont="1" applyFill="1" applyBorder="1" applyAlignment="1">
      <alignment horizontal="center"/>
    </xf>
    <xf numFmtId="2" fontId="11" fillId="0" borderId="69" xfId="0" applyNumberFormat="1" applyFont="1" applyFill="1" applyBorder="1" applyAlignment="1">
      <alignment horizontal="center"/>
    </xf>
    <xf numFmtId="0" fontId="11" fillId="0" borderId="58" xfId="0" applyNumberFormat="1" applyFont="1" applyFill="1" applyBorder="1" applyAlignment="1">
      <alignment horizontal="center"/>
    </xf>
    <xf numFmtId="0" fontId="24" fillId="0" borderId="1" xfId="0" applyNumberFormat="1" applyFont="1" applyFill="1" applyBorder="1" applyAlignment="1">
      <alignment horizontal="center"/>
    </xf>
    <xf numFmtId="0" fontId="24" fillId="0" borderId="8" xfId="0" applyNumberFormat="1" applyFont="1" applyFill="1" applyBorder="1" applyAlignment="1">
      <alignment horizontal="center"/>
    </xf>
    <xf numFmtId="168" fontId="22" fillId="0" borderId="0" xfId="0" applyNumberFormat="1" applyFont="1" applyFill="1" applyBorder="1" applyAlignment="1">
      <alignment horizontal="center"/>
    </xf>
    <xf numFmtId="2" fontId="25" fillId="0" borderId="61" xfId="0" applyNumberFormat="1" applyFont="1" applyFill="1" applyBorder="1" applyAlignment="1">
      <alignment horizontal="center"/>
    </xf>
    <xf numFmtId="2" fontId="25" fillId="0" borderId="9" xfId="0" applyNumberFormat="1" applyFont="1" applyFill="1" applyBorder="1" applyAlignment="1">
      <alignment horizontal="center"/>
    </xf>
    <xf numFmtId="2" fontId="25" fillId="0" borderId="21" xfId="0" applyNumberFormat="1" applyFont="1" applyFill="1" applyBorder="1" applyAlignment="1">
      <alignment horizontal="center"/>
    </xf>
    <xf numFmtId="2" fontId="25" fillId="0" borderId="26" xfId="0" applyNumberFormat="1" applyFont="1" applyFill="1" applyBorder="1" applyAlignment="1">
      <alignment horizontal="center"/>
    </xf>
    <xf numFmtId="0" fontId="11" fillId="0" borderId="70" xfId="0" applyNumberFormat="1" applyFont="1" applyFill="1" applyBorder="1"/>
    <xf numFmtId="2" fontId="19" fillId="0" borderId="51" xfId="0" applyNumberFormat="1" applyFont="1" applyFill="1" applyBorder="1" applyAlignment="1">
      <alignment horizontal="center"/>
    </xf>
    <xf numFmtId="2" fontId="19" fillId="0" borderId="63" xfId="0" applyNumberFormat="1" applyFont="1" applyFill="1" applyBorder="1" applyAlignment="1">
      <alignment horizontal="center"/>
    </xf>
    <xf numFmtId="2" fontId="19" fillId="0" borderId="3" xfId="0" applyNumberFormat="1" applyFont="1" applyFill="1" applyBorder="1" applyAlignment="1">
      <alignment horizontal="center"/>
    </xf>
    <xf numFmtId="2" fontId="19" fillId="0" borderId="62" xfId="0" applyNumberFormat="1" applyFont="1" applyFill="1" applyBorder="1" applyAlignment="1">
      <alignment horizontal="center"/>
    </xf>
    <xf numFmtId="2" fontId="19" fillId="0" borderId="1" xfId="0" applyNumberFormat="1" applyFont="1" applyFill="1" applyBorder="1" applyAlignment="1">
      <alignment horizontal="center"/>
    </xf>
    <xf numFmtId="0" fontId="24" fillId="7" borderId="56" xfId="0" applyNumberFormat="1" applyFont="1" applyFill="1" applyBorder="1" applyAlignment="1">
      <alignment horizontal="center"/>
    </xf>
    <xf numFmtId="0" fontId="19" fillId="0" borderId="59" xfId="0" applyNumberFormat="1" applyFont="1" applyFill="1" applyBorder="1" applyAlignment="1">
      <alignment horizontal="left"/>
    </xf>
    <xf numFmtId="0" fontId="19" fillId="0" borderId="59" xfId="0" quotePrefix="1" applyNumberFormat="1" applyFont="1" applyFill="1" applyBorder="1" applyAlignment="1">
      <alignment horizontal="left"/>
    </xf>
    <xf numFmtId="2" fontId="19" fillId="0" borderId="71" xfId="0" applyNumberFormat="1" applyFont="1" applyFill="1" applyBorder="1" applyAlignment="1">
      <alignment horizontal="center"/>
    </xf>
    <xf numFmtId="2" fontId="25" fillId="9" borderId="72" xfId="0" applyNumberFormat="1" applyFont="1" applyFill="1" applyBorder="1" applyAlignment="1">
      <alignment horizontal="center"/>
    </xf>
    <xf numFmtId="2" fontId="19" fillId="0" borderId="72" xfId="0" applyNumberFormat="1" applyFont="1" applyFill="1" applyBorder="1" applyAlignment="1">
      <alignment horizontal="center"/>
    </xf>
    <xf numFmtId="2" fontId="11" fillId="0" borderId="59" xfId="0" quotePrefix="1" applyNumberFormat="1" applyFont="1" applyFill="1" applyBorder="1" applyAlignment="1">
      <alignment horizontal="center"/>
    </xf>
    <xf numFmtId="2" fontId="11" fillId="0" borderId="73" xfId="0" applyNumberFormat="1" applyFont="1" applyFill="1" applyBorder="1" applyAlignment="1">
      <alignment horizontal="center"/>
    </xf>
    <xf numFmtId="2" fontId="25" fillId="0" borderId="45" xfId="0" applyNumberFormat="1" applyFont="1" applyFill="1" applyBorder="1" applyAlignment="1">
      <alignment horizontal="center"/>
    </xf>
    <xf numFmtId="2" fontId="25" fillId="0" borderId="60" xfId="0" applyNumberFormat="1" applyFont="1" applyFill="1" applyBorder="1" applyAlignment="1">
      <alignment horizontal="center"/>
    </xf>
    <xf numFmtId="2" fontId="19" fillId="0" borderId="35" xfId="0" applyNumberFormat="1" applyFont="1" applyFill="1" applyBorder="1" applyAlignment="1">
      <alignment horizontal="center"/>
    </xf>
    <xf numFmtId="0" fontId="36" fillId="0" borderId="0" xfId="0" applyNumberFormat="1" applyFont="1" applyAlignment="1">
      <alignment horizontal="center"/>
    </xf>
    <xf numFmtId="170" fontId="19" fillId="8" borderId="1" xfId="0" applyNumberFormat="1" applyFont="1" applyFill="1" applyBorder="1" applyAlignment="1">
      <alignment horizontal="center"/>
    </xf>
    <xf numFmtId="170" fontId="19" fillId="8" borderId="0" xfId="0" applyNumberFormat="1" applyFont="1" applyFill="1" applyBorder="1" applyAlignment="1">
      <alignment horizontal="center"/>
    </xf>
    <xf numFmtId="170" fontId="19" fillId="9" borderId="0" xfId="0" applyNumberFormat="1" applyFont="1" applyFill="1" applyBorder="1" applyAlignment="1">
      <alignment horizontal="center"/>
    </xf>
    <xf numFmtId="170" fontId="19" fillId="9" borderId="1" xfId="0" applyNumberFormat="1" applyFont="1" applyFill="1" applyBorder="1" applyAlignment="1">
      <alignment horizontal="center"/>
    </xf>
    <xf numFmtId="2" fontId="17" fillId="0" borderId="42" xfId="3" applyNumberFormat="1" applyFont="1" applyFill="1" applyBorder="1" applyAlignment="1" applyProtection="1">
      <alignment horizontal="center"/>
    </xf>
    <xf numFmtId="2" fontId="17" fillId="0" borderId="64"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35" fillId="0" borderId="19" xfId="0" applyNumberFormat="1" applyFont="1" applyBorder="1" applyAlignment="1">
      <alignment horizontal="center"/>
    </xf>
    <xf numFmtId="0" fontId="7" fillId="0" borderId="0" xfId="0" applyFont="1" applyAlignment="1">
      <alignment horizontal="right"/>
    </xf>
    <xf numFmtId="0" fontId="7" fillId="0" borderId="0" xfId="0" applyFont="1" applyBorder="1"/>
    <xf numFmtId="0" fontId="7" fillId="0" borderId="0" xfId="0" applyFont="1" applyFill="1" applyBorder="1" applyAlignment="1">
      <alignment horizontal="center"/>
    </xf>
    <xf numFmtId="0" fontId="13" fillId="0" borderId="0" xfId="0" applyFont="1" applyBorder="1"/>
    <xf numFmtId="2" fontId="13" fillId="0" borderId="0" xfId="0" applyNumberFormat="1" applyFont="1" applyBorder="1" applyAlignment="1"/>
    <xf numFmtId="0" fontId="7" fillId="0" borderId="0" xfId="0" applyFont="1" applyFill="1"/>
    <xf numFmtId="0" fontId="13" fillId="0" borderId="0" xfId="0" applyFont="1" applyAlignment="1">
      <alignment horizontal="right"/>
    </xf>
    <xf numFmtId="2" fontId="28" fillId="0" borderId="0" xfId="0" applyNumberFormat="1" applyFont="1" applyAlignment="1">
      <alignment horizontal="right"/>
    </xf>
    <xf numFmtId="2" fontId="7" fillId="0" borderId="0" xfId="0" applyNumberFormat="1" applyFont="1" applyAlignment="1">
      <alignment horizontal="right"/>
    </xf>
    <xf numFmtId="0" fontId="7" fillId="0" borderId="0" xfId="0" applyFont="1" applyBorder="1" applyAlignment="1">
      <alignment horizontal="right"/>
    </xf>
    <xf numFmtId="1" fontId="30" fillId="0" borderId="0" xfId="3" applyNumberFormat="1" applyFont="1" applyFill="1" applyBorder="1" applyAlignment="1" applyProtection="1">
      <alignment horizontal="center" wrapText="1"/>
    </xf>
    <xf numFmtId="2" fontId="7" fillId="0" borderId="0" xfId="0" applyNumberFormat="1" applyFont="1" applyAlignment="1">
      <alignment horizontal="center"/>
    </xf>
    <xf numFmtId="0" fontId="7" fillId="0" borderId="12" xfId="0" applyFont="1" applyFill="1" applyBorder="1" applyAlignment="1">
      <alignment horizontal="center"/>
    </xf>
    <xf numFmtId="0" fontId="13" fillId="0" borderId="12" xfId="0" applyFont="1" applyBorder="1" applyAlignment="1">
      <alignment horizontal="center"/>
    </xf>
    <xf numFmtId="0" fontId="0" fillId="0" borderId="12" xfId="0" applyBorder="1" applyAlignment="1">
      <alignment horizontal="center"/>
    </xf>
    <xf numFmtId="0" fontId="13" fillId="0" borderId="25" xfId="0" applyFont="1" applyFill="1" applyBorder="1" applyAlignment="1">
      <alignment horizontal="center"/>
    </xf>
    <xf numFmtId="0" fontId="13" fillId="0" borderId="29" xfId="0" applyFont="1" applyFill="1" applyBorder="1" applyAlignment="1">
      <alignment horizontal="center"/>
    </xf>
    <xf numFmtId="0" fontId="13" fillId="0" borderId="25" xfId="0" applyFont="1" applyFill="1" applyBorder="1" applyAlignment="1">
      <alignment horizontal="right"/>
    </xf>
    <xf numFmtId="0" fontId="7" fillId="0" borderId="0" xfId="0" applyFont="1" applyFill="1" applyAlignment="1">
      <alignment horizontal="right"/>
    </xf>
    <xf numFmtId="0" fontId="7" fillId="0" borderId="24" xfId="0" applyFont="1" applyFill="1" applyBorder="1" applyAlignment="1" applyProtection="1">
      <alignment horizontal="center" wrapText="1"/>
      <protection locked="0"/>
    </xf>
    <xf numFmtId="2" fontId="7" fillId="0" borderId="24" xfId="0" applyNumberFormat="1" applyFont="1" applyFill="1" applyBorder="1" applyAlignment="1"/>
    <xf numFmtId="0" fontId="13" fillId="0" borderId="25" xfId="0" applyFont="1" applyFill="1" applyBorder="1"/>
    <xf numFmtId="0" fontId="7" fillId="0" borderId="24" xfId="0" applyFont="1" applyFill="1" applyBorder="1"/>
    <xf numFmtId="0" fontId="13" fillId="0" borderId="0" xfId="0" applyFont="1" applyFill="1" applyBorder="1"/>
    <xf numFmtId="0" fontId="42" fillId="0" borderId="0" xfId="2" applyNumberFormat="1" applyFill="1" applyBorder="1" applyAlignment="1">
      <alignment horizontal="center"/>
    </xf>
    <xf numFmtId="0" fontId="42" fillId="0" borderId="0" xfId="2" applyNumberFormat="1" applyFill="1" applyBorder="1"/>
    <xf numFmtId="171" fontId="42" fillId="11" borderId="0" xfId="2" applyNumberFormat="1" applyFill="1" applyBorder="1"/>
    <xf numFmtId="0" fontId="42" fillId="6" borderId="0" xfId="2" applyNumberFormat="1" applyFill="1" applyBorder="1"/>
    <xf numFmtId="0" fontId="42" fillId="11" borderId="0" xfId="2" applyNumberFormat="1" applyFill="1" applyBorder="1"/>
    <xf numFmtId="0" fontId="19" fillId="10" borderId="55" xfId="2" applyNumberFormat="1" applyFont="1" applyFill="1" applyBorder="1" applyAlignment="1">
      <alignment horizontal="center" textRotation="90" wrapText="1"/>
    </xf>
    <xf numFmtId="0" fontId="42" fillId="0" borderId="0" xfId="2" applyNumberFormat="1" applyFill="1" applyBorder="1" applyAlignment="1">
      <alignment textRotation="90"/>
    </xf>
    <xf numFmtId="0" fontId="42" fillId="11" borderId="0" xfId="2" applyNumberFormat="1" applyFill="1" applyBorder="1" applyAlignment="1">
      <alignment textRotation="90" wrapText="1"/>
    </xf>
    <xf numFmtId="171" fontId="11" fillId="11" borderId="33" xfId="3" applyNumberFormat="1" applyFont="1" applyFill="1" applyBorder="1" applyAlignment="1" applyProtection="1">
      <alignment horizontal="center"/>
    </xf>
    <xf numFmtId="171" fontId="42" fillId="0" borderId="0" xfId="2" applyNumberFormat="1" applyFill="1" applyBorder="1"/>
    <xf numFmtId="171" fontId="42" fillId="11" borderId="12" xfId="2" applyNumberFormat="1" applyFill="1" applyBorder="1" applyAlignment="1">
      <alignment horizontal="right"/>
    </xf>
    <xf numFmtId="0" fontId="42" fillId="0" borderId="0" xfId="2" applyNumberFormat="1" applyFill="1" applyBorder="1" applyAlignment="1">
      <alignment horizontal="right"/>
    </xf>
    <xf numFmtId="171" fontId="42" fillId="11" borderId="27" xfId="2" applyNumberFormat="1" applyFill="1" applyBorder="1" applyAlignment="1">
      <alignment horizontal="right"/>
    </xf>
    <xf numFmtId="0" fontId="7" fillId="0" borderId="0" xfId="0" applyFont="1" applyFill="1" applyBorder="1" applyAlignment="1">
      <alignment horizontal="right"/>
    </xf>
    <xf numFmtId="0" fontId="7" fillId="0" borderId="24" xfId="0" applyFont="1" applyFill="1" applyBorder="1" applyAlignment="1" applyProtection="1">
      <alignment horizontal="right" wrapText="1"/>
      <protection locked="0"/>
    </xf>
    <xf numFmtId="2" fontId="13" fillId="0" borderId="24" xfId="0" applyNumberFormat="1" applyFont="1" applyFill="1" applyBorder="1" applyAlignment="1"/>
    <xf numFmtId="2" fontId="28" fillId="0" borderId="24" xfId="0" applyNumberFormat="1" applyFont="1" applyFill="1" applyBorder="1" applyAlignment="1"/>
    <xf numFmtId="0" fontId="13" fillId="0" borderId="0" xfId="0" applyFont="1" applyFill="1"/>
    <xf numFmtId="172" fontId="25" fillId="0" borderId="59" xfId="0" applyNumberFormat="1" applyFont="1" applyFill="1" applyBorder="1" applyAlignment="1">
      <alignment horizontal="center"/>
    </xf>
    <xf numFmtId="172" fontId="19" fillId="0" borderId="59" xfId="0" applyNumberFormat="1" applyFont="1" applyFill="1" applyBorder="1" applyAlignment="1">
      <alignment horizontal="center"/>
    </xf>
    <xf numFmtId="172" fontId="19" fillId="0" borderId="73" xfId="0" applyNumberFormat="1" applyFont="1" applyFill="1" applyBorder="1" applyAlignment="1">
      <alignment horizontal="center"/>
    </xf>
    <xf numFmtId="2" fontId="19" fillId="0" borderId="57" xfId="0" applyNumberFormat="1" applyFont="1" applyFill="1" applyBorder="1" applyAlignment="1">
      <alignment horizontal="center"/>
    </xf>
    <xf numFmtId="2" fontId="19" fillId="0" borderId="37" xfId="0" applyNumberFormat="1" applyFont="1" applyFill="1" applyBorder="1" applyAlignment="1">
      <alignment horizontal="center"/>
    </xf>
    <xf numFmtId="2" fontId="19" fillId="0" borderId="25" xfId="0" applyNumberFormat="1" applyFont="1" applyFill="1" applyBorder="1" applyAlignment="1">
      <alignment horizontal="center"/>
    </xf>
    <xf numFmtId="2" fontId="19" fillId="0" borderId="29" xfId="0" applyNumberFormat="1" applyFont="1" applyFill="1" applyBorder="1" applyAlignment="1">
      <alignment horizontal="center"/>
    </xf>
    <xf numFmtId="2" fontId="25" fillId="9" borderId="28" xfId="0" applyNumberFormat="1" applyFont="1" applyFill="1" applyBorder="1" applyAlignment="1">
      <alignment horizontal="center"/>
    </xf>
    <xf numFmtId="2" fontId="19" fillId="0" borderId="28" xfId="0" applyNumberFormat="1" applyFont="1" applyFill="1" applyBorder="1" applyAlignment="1">
      <alignment horizontal="center"/>
    </xf>
    <xf numFmtId="2" fontId="19" fillId="0" borderId="56" xfId="0" applyNumberFormat="1" applyFont="1" applyFill="1" applyBorder="1" applyAlignment="1">
      <alignment horizontal="center"/>
    </xf>
    <xf numFmtId="166" fontId="11" fillId="10" borderId="24" xfId="3" applyNumberFormat="1" applyFont="1" applyFill="1" applyBorder="1" applyAlignment="1" applyProtection="1">
      <alignment horizontal="center"/>
    </xf>
    <xf numFmtId="0" fontId="42" fillId="10" borderId="1" xfId="2" applyNumberFormat="1" applyFill="1" applyBorder="1" applyAlignment="1">
      <alignment horizontal="center" vertical="center" wrapText="1"/>
    </xf>
    <xf numFmtId="1" fontId="11" fillId="10" borderId="24" xfId="3" applyNumberFormat="1" applyFont="1" applyFill="1" applyBorder="1" applyAlignment="1" applyProtection="1">
      <alignment horizontal="center"/>
    </xf>
    <xf numFmtId="171" fontId="42" fillId="10" borderId="11" xfId="2" applyNumberFormat="1" applyFill="1" applyBorder="1" applyAlignment="1">
      <alignment horizontal="center"/>
    </xf>
    <xf numFmtId="0" fontId="42" fillId="10" borderId="15" xfId="2" applyNumberFormat="1" applyFill="1" applyBorder="1" applyAlignment="1">
      <alignment horizontal="center"/>
    </xf>
    <xf numFmtId="0" fontId="42" fillId="10" borderId="16" xfId="2" applyNumberFormat="1" applyFill="1" applyBorder="1" applyAlignment="1">
      <alignment horizontal="center"/>
    </xf>
    <xf numFmtId="171" fontId="42" fillId="10" borderId="11" xfId="2" applyNumberFormat="1" applyFill="1" applyBorder="1"/>
    <xf numFmtId="171" fontId="42" fillId="10" borderId="0" xfId="2" applyNumberFormat="1" applyFill="1" applyBorder="1"/>
    <xf numFmtId="0" fontId="42" fillId="10" borderId="0" xfId="2" applyNumberFormat="1" applyFill="1" applyBorder="1"/>
    <xf numFmtId="1" fontId="6" fillId="0" borderId="4" xfId="3" applyNumberFormat="1" applyFont="1" applyFill="1" applyBorder="1" applyProtection="1"/>
    <xf numFmtId="0" fontId="21" fillId="0" borderId="0" xfId="0" applyNumberFormat="1" applyFont="1" applyFill="1" applyBorder="1" applyAlignment="1">
      <alignment horizontal="left"/>
    </xf>
    <xf numFmtId="0" fontId="0" fillId="0" borderId="0" xfId="0" applyBorder="1"/>
    <xf numFmtId="0" fontId="42" fillId="11" borderId="28" xfId="2" applyNumberFormat="1" applyFill="1" applyBorder="1"/>
    <xf numFmtId="0" fontId="42" fillId="6" borderId="45" xfId="2" applyNumberFormat="1" applyFill="1" applyBorder="1"/>
    <xf numFmtId="171" fontId="42" fillId="6" borderId="26" xfId="2" applyNumberFormat="1" applyFill="1" applyBorder="1" applyAlignment="1">
      <alignment horizontal="right"/>
    </xf>
    <xf numFmtId="0" fontId="42" fillId="6" borderId="28" xfId="2" applyNumberFormat="1" applyFill="1" applyBorder="1"/>
    <xf numFmtId="0" fontId="42" fillId="6" borderId="29" xfId="2" applyNumberFormat="1" applyFill="1" applyBorder="1"/>
    <xf numFmtId="173" fontId="42" fillId="6" borderId="0" xfId="2" applyNumberFormat="1" applyFill="1" applyBorder="1"/>
    <xf numFmtId="171" fontId="42" fillId="6" borderId="12" xfId="2" applyNumberFormat="1" applyFill="1" applyBorder="1" applyAlignment="1">
      <alignment horizontal="right"/>
    </xf>
    <xf numFmtId="0" fontId="42" fillId="6" borderId="33" xfId="2" applyNumberFormat="1" applyFill="1" applyBorder="1" applyAlignment="1">
      <alignment textRotation="90" wrapText="1"/>
    </xf>
    <xf numFmtId="0" fontId="42" fillId="6" borderId="22" xfId="2" applyNumberFormat="1" applyFill="1" applyBorder="1" applyAlignment="1">
      <alignment textRotation="90" wrapText="1"/>
    </xf>
    <xf numFmtId="0" fontId="42" fillId="12" borderId="33" xfId="2" applyNumberFormat="1" applyFill="1" applyBorder="1" applyAlignment="1">
      <alignment horizontal="center"/>
    </xf>
    <xf numFmtId="0" fontId="42" fillId="12" borderId="0" xfId="2" applyNumberFormat="1" applyFill="1" applyBorder="1" applyAlignment="1">
      <alignment horizontal="center"/>
    </xf>
    <xf numFmtId="0" fontId="42" fillId="12" borderId="22" xfId="2" applyNumberFormat="1" applyFill="1" applyBorder="1" applyAlignment="1">
      <alignment horizontal="center"/>
    </xf>
    <xf numFmtId="0" fontId="42" fillId="11" borderId="6" xfId="2" applyNumberFormat="1" applyFill="1" applyBorder="1" applyAlignment="1">
      <alignment textRotation="90" wrapText="1"/>
    </xf>
    <xf numFmtId="171" fontId="11" fillId="11" borderId="3" xfId="3" applyNumberFormat="1" applyFont="1" applyFill="1" applyBorder="1" applyAlignment="1" applyProtection="1">
      <alignment horizontal="center"/>
    </xf>
    <xf numFmtId="0" fontId="42" fillId="6" borderId="75" xfId="2" applyNumberFormat="1" applyFill="1" applyBorder="1"/>
    <xf numFmtId="0" fontId="42" fillId="6" borderId="72" xfId="2" applyNumberFormat="1" applyFill="1" applyBorder="1"/>
    <xf numFmtId="0" fontId="0" fillId="0" borderId="6" xfId="0" applyBorder="1"/>
    <xf numFmtId="0" fontId="0" fillId="0" borderId="3" xfId="0" applyBorder="1"/>
    <xf numFmtId="0" fontId="42" fillId="0" borderId="51" xfId="2" applyNumberFormat="1" applyFill="1" applyBorder="1"/>
    <xf numFmtId="0" fontId="42" fillId="0" borderId="1" xfId="2" applyNumberFormat="1" applyFill="1" applyBorder="1"/>
    <xf numFmtId="0" fontId="42" fillId="0" borderId="8" xfId="2" applyNumberFormat="1" applyFill="1" applyBorder="1"/>
    <xf numFmtId="0" fontId="42" fillId="0" borderId="33" xfId="2" applyNumberFormat="1" applyFill="1" applyBorder="1"/>
    <xf numFmtId="0" fontId="42" fillId="0" borderId="22" xfId="2" applyNumberFormat="1" applyFill="1" applyBorder="1"/>
    <xf numFmtId="0" fontId="42" fillId="0" borderId="75" xfId="2" applyNumberFormat="1" applyFill="1" applyBorder="1"/>
    <xf numFmtId="0" fontId="42" fillId="0" borderId="72" xfId="2" applyNumberFormat="1" applyFill="1" applyBorder="1"/>
    <xf numFmtId="171" fontId="42" fillId="0" borderId="42" xfId="2" applyNumberFormat="1" applyFont="1" applyFill="1" applyBorder="1" applyAlignment="1">
      <alignment vertical="center"/>
    </xf>
    <xf numFmtId="0" fontId="42" fillId="0" borderId="64" xfId="2" applyNumberFormat="1" applyFill="1" applyBorder="1" applyAlignment="1">
      <alignment horizontal="center"/>
    </xf>
    <xf numFmtId="0" fontId="42" fillId="0" borderId="64" xfId="2" applyNumberFormat="1" applyFill="1" applyBorder="1"/>
    <xf numFmtId="0" fontId="42" fillId="0" borderId="44" xfId="2" applyNumberFormat="1" applyFill="1" applyBorder="1"/>
    <xf numFmtId="0" fontId="0" fillId="0" borderId="1" xfId="0" applyBorder="1"/>
    <xf numFmtId="0" fontId="42" fillId="0" borderId="24" xfId="2" applyNumberFormat="1" applyFill="1" applyBorder="1"/>
    <xf numFmtId="0" fontId="42" fillId="0" borderId="59" xfId="2" applyNumberFormat="1" applyFill="1" applyBorder="1"/>
    <xf numFmtId="0" fontId="42" fillId="0" borderId="58" xfId="2" applyNumberFormat="1" applyFill="1" applyBorder="1"/>
    <xf numFmtId="0" fontId="42" fillId="0" borderId="71" xfId="2" applyNumberFormat="1" applyFill="1" applyBorder="1"/>
    <xf numFmtId="0" fontId="42" fillId="0" borderId="62" xfId="2" applyNumberFormat="1" applyFill="1" applyBorder="1"/>
    <xf numFmtId="0" fontId="42" fillId="0" borderId="63" xfId="2" applyNumberFormat="1" applyFill="1" applyBorder="1"/>
    <xf numFmtId="171" fontId="42" fillId="11" borderId="1" xfId="2" applyNumberFormat="1" applyFill="1" applyBorder="1"/>
    <xf numFmtId="0" fontId="42" fillId="0" borderId="17" xfId="2" applyNumberFormat="1" applyFill="1" applyBorder="1" applyAlignment="1">
      <alignment horizontal="center"/>
    </xf>
    <xf numFmtId="0" fontId="42" fillId="0" borderId="17" xfId="2" applyNumberFormat="1" applyFill="1" applyBorder="1"/>
    <xf numFmtId="0" fontId="42" fillId="12" borderId="18" xfId="2" applyNumberFormat="1" applyFill="1" applyBorder="1" applyAlignment="1">
      <alignment textRotation="90" wrapText="1"/>
    </xf>
    <xf numFmtId="0" fontId="42" fillId="12" borderId="13" xfId="2" applyNumberFormat="1" applyFill="1" applyBorder="1" applyAlignment="1">
      <alignment textRotation="90" wrapText="1"/>
    </xf>
    <xf numFmtId="0" fontId="42" fillId="12" borderId="50" xfId="2" applyNumberFormat="1" applyFill="1" applyBorder="1" applyAlignment="1">
      <alignment textRotation="90" wrapText="1"/>
    </xf>
    <xf numFmtId="0" fontId="42" fillId="12" borderId="20" xfId="2" applyNumberFormat="1" applyFill="1" applyBorder="1" applyAlignment="1">
      <alignment horizontal="center"/>
    </xf>
    <xf numFmtId="0" fontId="42" fillId="12" borderId="15" xfId="2" applyNumberFormat="1" applyFill="1" applyBorder="1" applyAlignment="1">
      <alignment horizontal="center"/>
    </xf>
    <xf numFmtId="0" fontId="42" fillId="12" borderId="16" xfId="2" applyNumberFormat="1" applyFill="1" applyBorder="1" applyAlignment="1">
      <alignment horizontal="center"/>
    </xf>
    <xf numFmtId="0" fontId="19" fillId="0" borderId="0" xfId="2" applyNumberFormat="1" applyFont="1" applyFill="1" applyBorder="1" applyAlignment="1">
      <alignment horizontal="center" textRotation="90" wrapText="1"/>
    </xf>
    <xf numFmtId="2" fontId="15" fillId="0" borderId="42" xfId="3" applyNumberFormat="1" applyFont="1" applyFill="1" applyBorder="1" applyAlignment="1" applyProtection="1">
      <alignment horizontal="center"/>
    </xf>
    <xf numFmtId="0" fontId="19" fillId="0" borderId="71" xfId="0" quotePrefix="1" applyNumberFormat="1" applyFont="1" applyFill="1" applyBorder="1" applyAlignment="1">
      <alignment horizontal="left"/>
    </xf>
    <xf numFmtId="2" fontId="19" fillId="0" borderId="8" xfId="0" applyNumberFormat="1" applyFont="1" applyFill="1" applyBorder="1" applyAlignment="1">
      <alignment horizontal="center"/>
    </xf>
    <xf numFmtId="0" fontId="42" fillId="11" borderId="36" xfId="2" applyNumberFormat="1" applyFill="1" applyBorder="1"/>
    <xf numFmtId="2" fontId="11" fillId="0" borderId="33" xfId="0" applyNumberFormat="1" applyFont="1" applyFill="1" applyBorder="1" applyAlignment="1">
      <alignment horizontal="center"/>
    </xf>
    <xf numFmtId="2" fontId="11" fillId="0" borderId="76" xfId="0" applyNumberFormat="1" applyFont="1" applyFill="1" applyBorder="1" applyAlignment="1">
      <alignment horizontal="center"/>
    </xf>
    <xf numFmtId="0" fontId="24" fillId="7" borderId="10" xfId="0" applyNumberFormat="1" applyFont="1" applyFill="1" applyBorder="1" applyAlignment="1">
      <alignment horizontal="center"/>
    </xf>
    <xf numFmtId="0" fontId="24" fillId="7" borderId="77" xfId="0" applyNumberFormat="1" applyFont="1" applyFill="1" applyBorder="1" applyAlignment="1">
      <alignment horizontal="center"/>
    </xf>
    <xf numFmtId="2" fontId="11" fillId="0" borderId="74" xfId="0" quotePrefix="1" applyNumberFormat="1" applyFont="1" applyFill="1" applyBorder="1" applyAlignment="1">
      <alignment horizontal="center"/>
    </xf>
    <xf numFmtId="0" fontId="11" fillId="0" borderId="74" xfId="0" applyNumberFormat="1" applyFont="1" applyFill="1" applyBorder="1" applyAlignment="1">
      <alignment horizontal="center"/>
    </xf>
    <xf numFmtId="2" fontId="19" fillId="0" borderId="77" xfId="0" applyNumberFormat="1" applyFont="1" applyFill="1" applyBorder="1" applyAlignment="1">
      <alignment horizontal="center"/>
    </xf>
    <xf numFmtId="2" fontId="25" fillId="0" borderId="78" xfId="0" applyNumberFormat="1" applyFont="1" applyFill="1" applyBorder="1" applyAlignment="1">
      <alignment horizontal="center"/>
    </xf>
    <xf numFmtId="2" fontId="19" fillId="0" borderId="11" xfId="0" applyNumberFormat="1" applyFont="1" applyFill="1" applyBorder="1" applyAlignment="1">
      <alignment horizontal="center"/>
    </xf>
    <xf numFmtId="2" fontId="11" fillId="9" borderId="65" xfId="0" applyNumberFormat="1" applyFont="1" applyFill="1" applyBorder="1" applyAlignment="1">
      <alignment horizontal="center"/>
    </xf>
    <xf numFmtId="2" fontId="11" fillId="9" borderId="69" xfId="0" applyNumberFormat="1" applyFont="1" applyFill="1" applyBorder="1" applyAlignment="1">
      <alignment horizontal="center"/>
    </xf>
    <xf numFmtId="0" fontId="24" fillId="7" borderId="27" xfId="0" applyNumberFormat="1" applyFont="1" applyFill="1" applyBorder="1" applyAlignment="1">
      <alignment horizontal="center"/>
    </xf>
    <xf numFmtId="2" fontId="11" fillId="0" borderId="22" xfId="0" applyNumberFormat="1" applyFont="1" applyFill="1" applyBorder="1" applyAlignment="1">
      <alignment horizontal="center"/>
    </xf>
    <xf numFmtId="2" fontId="19" fillId="0" borderId="27" xfId="0" applyNumberFormat="1" applyFont="1" applyFill="1" applyBorder="1" applyAlignment="1">
      <alignment horizontal="center"/>
    </xf>
    <xf numFmtId="2" fontId="19" fillId="0" borderId="75" xfId="0" applyNumberFormat="1" applyFont="1" applyFill="1" applyBorder="1" applyAlignment="1">
      <alignment horizontal="center"/>
    </xf>
    <xf numFmtId="2" fontId="11" fillId="0" borderId="74" xfId="0" applyNumberFormat="1" applyFont="1" applyFill="1" applyBorder="1" applyAlignment="1">
      <alignment horizontal="center"/>
    </xf>
    <xf numFmtId="2" fontId="11" fillId="0" borderId="79" xfId="0" applyNumberFormat="1" applyFont="1" applyFill="1" applyBorder="1" applyAlignment="1">
      <alignment horizontal="center"/>
    </xf>
    <xf numFmtId="2" fontId="6" fillId="13" borderId="31" xfId="3" applyNumberFormat="1" applyFont="1" applyFill="1" applyBorder="1" applyProtection="1"/>
    <xf numFmtId="2" fontId="32" fillId="13" borderId="38" xfId="3" quotePrefix="1" applyNumberFormat="1" applyFont="1" applyFill="1" applyBorder="1" applyAlignment="1" applyProtection="1">
      <alignment horizontal="right"/>
    </xf>
    <xf numFmtId="2" fontId="35" fillId="13" borderId="31" xfId="0" applyNumberFormat="1" applyFont="1" applyFill="1" applyBorder="1" applyAlignment="1">
      <alignment horizontal="center"/>
    </xf>
    <xf numFmtId="2" fontId="35" fillId="13" borderId="13" xfId="0" applyNumberFormat="1" applyFont="1" applyFill="1" applyBorder="1" applyAlignment="1">
      <alignment horizontal="center"/>
    </xf>
    <xf numFmtId="2" fontId="35" fillId="13" borderId="48" xfId="0" applyNumberFormat="1" applyFont="1" applyFill="1" applyBorder="1" applyAlignment="1">
      <alignment horizontal="center"/>
    </xf>
    <xf numFmtId="2" fontId="35" fillId="13" borderId="50" xfId="0" applyNumberFormat="1" applyFont="1" applyFill="1" applyBorder="1" applyAlignment="1">
      <alignment horizontal="center"/>
    </xf>
    <xf numFmtId="2" fontId="6" fillId="13" borderId="4" xfId="3" applyNumberFormat="1" applyFont="1" applyFill="1" applyBorder="1" applyProtection="1"/>
    <xf numFmtId="2" fontId="32" fillId="13" borderId="34" xfId="3" quotePrefix="1" applyNumberFormat="1" applyFont="1" applyFill="1" applyBorder="1" applyAlignment="1" applyProtection="1">
      <alignment horizontal="right"/>
    </xf>
    <xf numFmtId="2" fontId="35" fillId="13" borderId="4" xfId="0" applyNumberFormat="1" applyFont="1" applyFill="1" applyBorder="1" applyAlignment="1">
      <alignment horizontal="center"/>
    </xf>
    <xf numFmtId="2" fontId="35" fillId="13" borderId="12" xfId="0" applyNumberFormat="1" applyFont="1" applyFill="1" applyBorder="1" applyAlignment="1">
      <alignment horizontal="center"/>
    </xf>
    <xf numFmtId="2" fontId="11" fillId="13" borderId="14" xfId="0" applyNumberFormat="1" applyFont="1" applyFill="1" applyBorder="1" applyAlignment="1">
      <alignment horizontal="center"/>
    </xf>
    <xf numFmtId="2" fontId="35" fillId="13" borderId="14" xfId="0" applyNumberFormat="1" applyFont="1" applyFill="1" applyBorder="1" applyAlignment="1">
      <alignment horizontal="center"/>
    </xf>
    <xf numFmtId="2" fontId="6" fillId="13" borderId="34" xfId="3" quotePrefix="1" applyNumberFormat="1" applyFont="1" applyFill="1" applyBorder="1" applyAlignment="1" applyProtection="1">
      <alignment horizontal="right"/>
    </xf>
    <xf numFmtId="2" fontId="11" fillId="13" borderId="12" xfId="0" applyNumberFormat="1" applyFont="1" applyFill="1" applyBorder="1" applyAlignment="1">
      <alignment horizontal="center"/>
    </xf>
    <xf numFmtId="2" fontId="32" fillId="13" borderId="36" xfId="3" quotePrefix="1" applyNumberFormat="1" applyFont="1" applyFill="1" applyBorder="1" applyAlignment="1" applyProtection="1">
      <alignment horizontal="right"/>
    </xf>
    <xf numFmtId="2" fontId="6" fillId="13" borderId="4" xfId="3" applyNumberFormat="1" applyFont="1" applyFill="1" applyBorder="1" applyAlignment="1" applyProtection="1"/>
    <xf numFmtId="164" fontId="33" fillId="14" borderId="0" xfId="3" applyNumberFormat="1" applyFont="1" applyFill="1" applyAlignment="1" applyProtection="1">
      <alignment horizontal="left"/>
      <protection locked="0"/>
    </xf>
    <xf numFmtId="164" fontId="18" fillId="14" borderId="0" xfId="3" applyNumberFormat="1" applyFont="1" applyFill="1" applyAlignment="1" applyProtection="1">
      <alignment horizontal="left"/>
      <protection locked="0"/>
    </xf>
    <xf numFmtId="2" fontId="6" fillId="0" borderId="37" xfId="3" applyNumberFormat="1" applyFont="1" applyFill="1" applyBorder="1" applyAlignment="1" applyProtection="1"/>
    <xf numFmtId="4" fontId="0" fillId="0" borderId="0" xfId="0" applyNumberFormat="1"/>
    <xf numFmtId="4" fontId="11" fillId="0" borderId="0" xfId="0" applyNumberFormat="1" applyFont="1" applyFill="1"/>
    <xf numFmtId="0" fontId="13" fillId="0" borderId="24" xfId="0" applyFont="1" applyFill="1" applyBorder="1"/>
    <xf numFmtId="0" fontId="7" fillId="0" borderId="0" xfId="0" applyFont="1" applyFill="1" applyBorder="1"/>
    <xf numFmtId="0" fontId="7" fillId="0" borderId="2" xfId="0" applyFont="1" applyFill="1" applyBorder="1" applyAlignment="1">
      <alignment horizontal="center"/>
    </xf>
    <xf numFmtId="0" fontId="7" fillId="0" borderId="17" xfId="0" applyFont="1" applyFill="1" applyBorder="1" applyAlignment="1"/>
    <xf numFmtId="0" fontId="7" fillId="0" borderId="0" xfId="0" applyFont="1" applyFill="1" applyBorder="1" applyAlignment="1"/>
    <xf numFmtId="0" fontId="7" fillId="0" borderId="6" xfId="0" applyFont="1" applyFill="1" applyBorder="1" applyAlignment="1"/>
    <xf numFmtId="0" fontId="7" fillId="0" borderId="0" xfId="0" applyFont="1" applyFill="1" applyAlignment="1"/>
    <xf numFmtId="0" fontId="7" fillId="0" borderId="0" xfId="0" applyFont="1" applyFill="1" applyAlignment="1">
      <alignment horizontal="center"/>
    </xf>
    <xf numFmtId="0" fontId="7" fillId="0" borderId="29" xfId="0" applyFont="1" applyFill="1" applyBorder="1"/>
    <xf numFmtId="0" fontId="7" fillId="0" borderId="56" xfId="0" applyFont="1" applyFill="1" applyBorder="1" applyAlignment="1">
      <alignment horizontal="right"/>
    </xf>
    <xf numFmtId="2" fontId="10" fillId="0" borderId="25" xfId="0" applyNumberFormat="1" applyFont="1" applyFill="1" applyBorder="1" applyAlignment="1">
      <alignment horizontal="right"/>
    </xf>
    <xf numFmtId="2" fontId="13" fillId="0" borderId="25" xfId="0" applyNumberFormat="1" applyFont="1" applyFill="1" applyBorder="1" applyAlignment="1">
      <alignment horizontal="right"/>
    </xf>
    <xf numFmtId="0" fontId="13" fillId="0" borderId="29" xfId="0" applyFont="1" applyFill="1" applyBorder="1"/>
    <xf numFmtId="0" fontId="7" fillId="0" borderId="24" xfId="0" applyFont="1" applyFill="1" applyBorder="1" applyAlignment="1">
      <alignment wrapText="1"/>
    </xf>
    <xf numFmtId="0" fontId="9" fillId="0" borderId="0" xfId="0" applyFont="1" applyFill="1" applyAlignment="1">
      <alignment wrapText="1"/>
    </xf>
    <xf numFmtId="0" fontId="13" fillId="0" borderId="24" xfId="0" applyFont="1" applyFill="1" applyBorder="1" applyAlignment="1">
      <alignment wrapText="1"/>
    </xf>
    <xf numFmtId="0" fontId="13" fillId="0" borderId="24" xfId="0" applyFont="1" applyFill="1" applyBorder="1" applyAlignment="1" applyProtection="1">
      <alignment horizontal="center" wrapText="1"/>
      <protection locked="0"/>
    </xf>
    <xf numFmtId="0" fontId="7" fillId="0" borderId="24" xfId="0" applyFont="1" applyFill="1" applyBorder="1" applyAlignment="1" applyProtection="1">
      <alignment horizontal="center" wrapText="1"/>
    </xf>
    <xf numFmtId="0" fontId="9" fillId="0" borderId="24" xfId="0" applyFont="1" applyFill="1" applyBorder="1" applyAlignment="1" applyProtection="1">
      <alignment horizontal="center" wrapText="1"/>
    </xf>
    <xf numFmtId="0" fontId="9" fillId="0" borderId="0" xfId="0" applyFont="1" applyFill="1" applyBorder="1" applyAlignment="1" applyProtection="1">
      <alignment horizontal="center" wrapText="1"/>
    </xf>
    <xf numFmtId="0" fontId="9" fillId="0" borderId="0" xfId="0" applyFont="1" applyFill="1" applyBorder="1" applyAlignment="1">
      <alignment wrapText="1"/>
    </xf>
    <xf numFmtId="1" fontId="7" fillId="0" borderId="0" xfId="0" applyNumberFormat="1" applyFont="1" applyFill="1" applyAlignment="1">
      <alignment horizontal="center"/>
    </xf>
    <xf numFmtId="2" fontId="7" fillId="0" borderId="0" xfId="0" applyNumberFormat="1" applyFont="1" applyFill="1" applyAlignment="1">
      <alignment horizontal="center"/>
    </xf>
    <xf numFmtId="0" fontId="7" fillId="0" borderId="0" xfId="0" applyFont="1" applyFill="1" applyAlignment="1">
      <alignment horizontal="left"/>
    </xf>
    <xf numFmtId="0" fontId="7" fillId="0" borderId="21" xfId="0" applyFont="1" applyFill="1" applyBorder="1" applyAlignment="1">
      <alignment horizontal="center"/>
    </xf>
    <xf numFmtId="1" fontId="7" fillId="0" borderId="21" xfId="0" applyNumberFormat="1" applyFont="1" applyFill="1" applyBorder="1" applyAlignment="1">
      <alignment horizontal="center"/>
    </xf>
    <xf numFmtId="0" fontId="7" fillId="0" borderId="24" xfId="0" applyFont="1" applyFill="1" applyBorder="1" applyAlignment="1">
      <alignment horizontal="center"/>
    </xf>
    <xf numFmtId="1" fontId="7" fillId="0" borderId="24" xfId="0" applyNumberFormat="1" applyFont="1" applyFill="1" applyBorder="1" applyAlignment="1">
      <alignment horizontal="center"/>
    </xf>
    <xf numFmtId="0" fontId="7" fillId="0" borderId="0" xfId="0" applyFont="1" applyFill="1" applyAlignment="1">
      <alignment horizontal="center" wrapText="1"/>
    </xf>
    <xf numFmtId="1" fontId="7" fillId="0" borderId="25" xfId="0" applyNumberFormat="1" applyFont="1" applyFill="1" applyBorder="1" applyAlignment="1">
      <alignment horizontal="center" wrapText="1"/>
    </xf>
    <xf numFmtId="0" fontId="7" fillId="0" borderId="25" xfId="0" applyNumberFormat="1" applyFont="1" applyFill="1" applyBorder="1" applyAlignment="1">
      <alignment horizontal="center" wrapText="1"/>
    </xf>
    <xf numFmtId="0" fontId="13" fillId="0" borderId="0" xfId="0" applyFont="1" applyFill="1" applyBorder="1" applyAlignment="1">
      <alignment horizontal="center"/>
    </xf>
    <xf numFmtId="14" fontId="28" fillId="0" borderId="25" xfId="0" applyNumberFormat="1" applyFont="1" applyFill="1" applyBorder="1" applyAlignment="1">
      <alignment horizontal="center"/>
    </xf>
    <xf numFmtId="165" fontId="7" fillId="0" borderId="12" xfId="0" applyNumberFormat="1" applyFont="1" applyFill="1" applyBorder="1" applyAlignment="1">
      <alignment horizontal="center"/>
    </xf>
    <xf numFmtId="0" fontId="13" fillId="0" borderId="0" xfId="0" applyFont="1" applyFill="1" applyAlignment="1">
      <alignment horizontal="center"/>
    </xf>
    <xf numFmtId="2" fontId="7" fillId="0" borderId="0" xfId="0" quotePrefix="1" applyNumberFormat="1" applyFont="1" applyFill="1" applyAlignment="1">
      <alignment horizontal="center"/>
    </xf>
    <xf numFmtId="2" fontId="13" fillId="0" borderId="0" xfId="0" applyNumberFormat="1" applyFont="1" applyFill="1" applyAlignment="1">
      <alignment horizontal="center"/>
    </xf>
    <xf numFmtId="165" fontId="13" fillId="0" borderId="12" xfId="0" applyNumberFormat="1" applyFont="1" applyFill="1" applyBorder="1" applyAlignment="1">
      <alignment horizontal="center"/>
    </xf>
    <xf numFmtId="2" fontId="13" fillId="0" borderId="0" xfId="0" quotePrefix="1" applyNumberFormat="1" applyFont="1" applyFill="1" applyAlignment="1">
      <alignment horizontal="center"/>
    </xf>
    <xf numFmtId="2" fontId="13" fillId="0" borderId="0" xfId="0" applyNumberFormat="1" applyFont="1" applyFill="1" applyBorder="1" applyAlignment="1">
      <alignment horizontal="center"/>
    </xf>
    <xf numFmtId="173" fontId="13" fillId="0" borderId="0" xfId="0" applyNumberFormat="1" applyFont="1" applyFill="1" applyAlignment="1">
      <alignment horizontal="center"/>
    </xf>
    <xf numFmtId="0" fontId="0" fillId="0" borderId="0" xfId="0" applyFill="1"/>
    <xf numFmtId="1" fontId="13" fillId="0" borderId="0" xfId="0" applyNumberFormat="1" applyFont="1" applyFill="1" applyAlignment="1">
      <alignment horizontal="center"/>
    </xf>
    <xf numFmtId="2" fontId="7" fillId="0" borderId="0" xfId="0" applyNumberFormat="1" applyFont="1" applyBorder="1" applyAlignment="1"/>
    <xf numFmtId="0" fontId="7" fillId="15" borderId="24" xfId="0" applyFont="1" applyFill="1" applyBorder="1" applyAlignment="1" applyProtection="1">
      <alignment horizontal="center" wrapText="1"/>
      <protection locked="0"/>
    </xf>
    <xf numFmtId="0" fontId="45" fillId="16" borderId="0" xfId="2" applyNumberFormat="1" applyFont="1" applyFill="1" applyBorder="1" applyAlignment="1">
      <alignment horizontal="center"/>
    </xf>
    <xf numFmtId="0" fontId="46" fillId="16" borderId="0" xfId="2" applyNumberFormat="1" applyFont="1" applyFill="1" applyBorder="1" applyAlignment="1">
      <alignment horizontal="center" textRotation="90" wrapText="1"/>
    </xf>
    <xf numFmtId="0" fontId="45" fillId="16" borderId="0" xfId="2" applyNumberFormat="1" applyFont="1" applyFill="1" applyBorder="1"/>
    <xf numFmtId="0" fontId="42" fillId="16" borderId="0" xfId="2" applyNumberFormat="1" applyFill="1" applyBorder="1"/>
    <xf numFmtId="0" fontId="0" fillId="0" borderId="29" xfId="0" applyBorder="1"/>
    <xf numFmtId="0" fontId="11" fillId="0" borderId="29" xfId="0" applyNumberFormat="1" applyFont="1" applyFill="1" applyBorder="1"/>
    <xf numFmtId="0" fontId="7" fillId="15" borderId="0" xfId="0" applyFont="1" applyFill="1" applyAlignment="1">
      <alignment horizontal="right"/>
    </xf>
    <xf numFmtId="2" fontId="13" fillId="15" borderId="24" xfId="0" applyNumberFormat="1" applyFont="1" applyFill="1" applyBorder="1" applyAlignment="1"/>
    <xf numFmtId="0" fontId="3" fillId="0" borderId="24" xfId="0" applyFont="1" applyFill="1" applyBorder="1" applyAlignment="1" applyProtection="1">
      <alignment horizontal="center" wrapText="1"/>
      <protection locked="0"/>
    </xf>
    <xf numFmtId="0" fontId="3" fillId="0" borderId="0" xfId="0" applyFont="1" applyFill="1" applyBorder="1" applyAlignment="1">
      <alignment horizontal="center"/>
    </xf>
    <xf numFmtId="2" fontId="11" fillId="0" borderId="16" xfId="0" applyNumberFormat="1" applyFont="1" applyFill="1" applyBorder="1" applyAlignment="1">
      <alignment horizontal="center"/>
    </xf>
    <xf numFmtId="2" fontId="11" fillId="0" borderId="31" xfId="0" applyNumberFormat="1" applyFont="1" applyFill="1" applyBorder="1" applyAlignment="1">
      <alignment horizontal="center"/>
    </xf>
    <xf numFmtId="2" fontId="11" fillId="0" borderId="13" xfId="0" applyNumberFormat="1" applyFont="1" applyFill="1" applyBorder="1" applyAlignment="1">
      <alignment horizontal="center"/>
    </xf>
    <xf numFmtId="2" fontId="11" fillId="0" borderId="48" xfId="0" applyNumberFormat="1" applyFont="1" applyFill="1" applyBorder="1" applyAlignment="1">
      <alignment horizontal="center"/>
    </xf>
    <xf numFmtId="2" fontId="11" fillId="0" borderId="50" xfId="0" applyNumberFormat="1" applyFont="1" applyFill="1" applyBorder="1" applyAlignment="1">
      <alignment horizontal="center"/>
    </xf>
    <xf numFmtId="2" fontId="11" fillId="0" borderId="19" xfId="0" applyNumberFormat="1" applyFont="1" applyFill="1" applyBorder="1" applyAlignment="1">
      <alignment horizontal="center"/>
    </xf>
    <xf numFmtId="2" fontId="11" fillId="0" borderId="32" xfId="0" applyNumberFormat="1" applyFont="1" applyFill="1" applyBorder="1" applyAlignment="1">
      <alignment horizontal="center"/>
    </xf>
    <xf numFmtId="2" fontId="11" fillId="0" borderId="15" xfId="0" applyNumberFormat="1" applyFont="1" applyFill="1" applyBorder="1" applyAlignment="1">
      <alignment horizontal="center"/>
    </xf>
    <xf numFmtId="2" fontId="11" fillId="0" borderId="49" xfId="0" applyNumberFormat="1" applyFont="1" applyFill="1" applyBorder="1" applyAlignment="1">
      <alignment horizontal="center"/>
    </xf>
    <xf numFmtId="0" fontId="3" fillId="0" borderId="0" xfId="0" applyFont="1" applyAlignment="1">
      <alignment horizontal="center"/>
    </xf>
    <xf numFmtId="0" fontId="3" fillId="10" borderId="21" xfId="0" applyFont="1" applyFill="1" applyBorder="1" applyAlignment="1">
      <alignment horizontal="center"/>
    </xf>
    <xf numFmtId="0" fontId="3" fillId="10" borderId="24" xfId="0" applyFont="1" applyFill="1" applyBorder="1" applyAlignment="1">
      <alignment horizontal="center"/>
    </xf>
    <xf numFmtId="0" fontId="3" fillId="10" borderId="25" xfId="0" applyNumberFormat="1" applyFont="1" applyFill="1" applyBorder="1" applyAlignment="1">
      <alignment horizontal="center" textRotation="90" wrapText="1"/>
    </xf>
    <xf numFmtId="2" fontId="3" fillId="0" borderId="0" xfId="0" applyNumberFormat="1" applyFont="1" applyAlignment="1">
      <alignment horizontal="center"/>
    </xf>
    <xf numFmtId="2" fontId="3" fillId="0" borderId="22" xfId="3" applyNumberFormat="1" applyFont="1" applyFill="1" applyBorder="1" applyAlignment="1" applyProtection="1">
      <alignment horizontal="center"/>
    </xf>
    <xf numFmtId="2" fontId="3" fillId="0" borderId="0" xfId="3" applyNumberFormat="1" applyFont="1" applyFill="1" applyBorder="1" applyAlignment="1" applyProtection="1">
      <alignment horizontal="center"/>
    </xf>
    <xf numFmtId="2" fontId="9" fillId="0" borderId="0" xfId="0" applyNumberFormat="1" applyFont="1"/>
    <xf numFmtId="166" fontId="11" fillId="10" borderId="0" xfId="3" applyNumberFormat="1" applyFont="1" applyFill="1" applyBorder="1" applyAlignment="1" applyProtection="1">
      <alignment horizontal="center"/>
    </xf>
    <xf numFmtId="1" fontId="11" fillId="10" borderId="0" xfId="3" applyNumberFormat="1" applyFont="1" applyFill="1" applyBorder="1" applyAlignment="1" applyProtection="1">
      <alignment horizontal="center"/>
    </xf>
    <xf numFmtId="171" fontId="42" fillId="18" borderId="12" xfId="2" applyNumberFormat="1" applyFill="1" applyBorder="1" applyAlignment="1">
      <alignment horizontal="right"/>
    </xf>
    <xf numFmtId="171" fontId="42" fillId="19" borderId="12" xfId="2" applyNumberFormat="1" applyFill="1" applyBorder="1" applyAlignment="1">
      <alignment horizontal="right"/>
    </xf>
    <xf numFmtId="0" fontId="42" fillId="19" borderId="46" xfId="2" applyNumberFormat="1" applyFill="1" applyBorder="1"/>
    <xf numFmtId="0" fontId="42" fillId="19" borderId="36" xfId="2" applyNumberFormat="1" applyFill="1" applyBorder="1"/>
    <xf numFmtId="171" fontId="42" fillId="19" borderId="47" xfId="2" applyNumberFormat="1" applyFill="1" applyBorder="1" applyAlignment="1">
      <alignment horizontal="right"/>
    </xf>
    <xf numFmtId="0" fontId="42" fillId="19" borderId="0" xfId="2" applyNumberFormat="1" applyFill="1" applyBorder="1" applyAlignment="1">
      <alignment textRotation="90" wrapText="1"/>
    </xf>
    <xf numFmtId="0" fontId="42" fillId="19" borderId="22" xfId="2" applyNumberFormat="1" applyFill="1" applyBorder="1" applyAlignment="1">
      <alignment textRotation="90" wrapText="1"/>
    </xf>
    <xf numFmtId="0" fontId="42" fillId="19" borderId="1" xfId="2" applyNumberFormat="1" applyFill="1" applyBorder="1"/>
    <xf numFmtId="0" fontId="42" fillId="19" borderId="75" xfId="2" applyNumberFormat="1" applyFill="1" applyBorder="1"/>
    <xf numFmtId="0" fontId="42" fillId="18" borderId="33" xfId="2" applyNumberFormat="1" applyFill="1" applyBorder="1" applyAlignment="1">
      <alignment textRotation="90" wrapText="1"/>
    </xf>
    <xf numFmtId="0" fontId="42" fillId="18" borderId="22" xfId="2" applyNumberFormat="1" applyFill="1" applyBorder="1" applyAlignment="1">
      <alignment textRotation="90" wrapText="1"/>
    </xf>
    <xf numFmtId="0" fontId="42" fillId="18" borderId="72" xfId="2" applyNumberFormat="1" applyFill="1" applyBorder="1"/>
    <xf numFmtId="0" fontId="42" fillId="18" borderId="75" xfId="2" applyNumberFormat="1" applyFill="1" applyBorder="1"/>
    <xf numFmtId="0" fontId="42" fillId="18" borderId="46" xfId="2" applyNumberFormat="1" applyFill="1" applyBorder="1"/>
    <xf numFmtId="0" fontId="42" fillId="18" borderId="36" xfId="2" applyNumberFormat="1" applyFill="1" applyBorder="1"/>
    <xf numFmtId="0" fontId="42" fillId="18" borderId="5" xfId="2" applyNumberFormat="1" applyFill="1" applyBorder="1"/>
    <xf numFmtId="0" fontId="42" fillId="18" borderId="45" xfId="2" applyNumberFormat="1" applyFill="1" applyBorder="1"/>
    <xf numFmtId="171" fontId="42" fillId="18" borderId="26" xfId="2" applyNumberFormat="1" applyFill="1" applyBorder="1" applyAlignment="1">
      <alignment horizontal="right"/>
    </xf>
    <xf numFmtId="0" fontId="42" fillId="20" borderId="46" xfId="2" applyNumberFormat="1" applyFill="1" applyBorder="1"/>
    <xf numFmtId="0" fontId="42" fillId="20" borderId="36" xfId="2" applyNumberFormat="1" applyFill="1" applyBorder="1"/>
    <xf numFmtId="171" fontId="42" fillId="20" borderId="47" xfId="2" applyNumberFormat="1" applyFill="1" applyBorder="1" applyAlignment="1">
      <alignment horizontal="right"/>
    </xf>
    <xf numFmtId="171" fontId="42" fillId="20" borderId="12" xfId="2" applyNumberFormat="1" applyFill="1" applyBorder="1" applyAlignment="1">
      <alignment horizontal="right"/>
    </xf>
    <xf numFmtId="0" fontId="42" fillId="20" borderId="33" xfId="2" applyNumberFormat="1" applyFill="1" applyBorder="1" applyAlignment="1">
      <alignment textRotation="90" wrapText="1"/>
    </xf>
    <xf numFmtId="0" fontId="42" fillId="20" borderId="51" xfId="2" applyNumberFormat="1" applyFill="1" applyBorder="1" applyAlignment="1">
      <alignment textRotation="90" wrapText="1"/>
    </xf>
    <xf numFmtId="0" fontId="42" fillId="20" borderId="72" xfId="2" applyNumberFormat="1" applyFill="1" applyBorder="1"/>
    <xf numFmtId="0" fontId="42" fillId="20" borderId="8" xfId="2" applyNumberFormat="1" applyFill="1" applyBorder="1"/>
    <xf numFmtId="0" fontId="47" fillId="10" borderId="55" xfId="2" applyNumberFormat="1" applyFont="1" applyFill="1" applyBorder="1" applyAlignment="1">
      <alignment horizontal="center" textRotation="90" wrapText="1"/>
    </xf>
    <xf numFmtId="0" fontId="47" fillId="10" borderId="54" xfId="2" applyNumberFormat="1" applyFont="1" applyFill="1" applyBorder="1" applyAlignment="1">
      <alignment horizontal="center" textRotation="90" wrapText="1"/>
    </xf>
    <xf numFmtId="171" fontId="48" fillId="10" borderId="10" xfId="2" applyNumberFormat="1" applyFont="1" applyFill="1" applyBorder="1" applyAlignment="1">
      <alignment horizontal="center"/>
    </xf>
    <xf numFmtId="0" fontId="3" fillId="0" borderId="25" xfId="0" applyNumberFormat="1" applyFont="1" applyFill="1" applyBorder="1" applyAlignment="1">
      <alignment horizontal="center" textRotation="90" wrapText="1"/>
    </xf>
    <xf numFmtId="2" fontId="11" fillId="16" borderId="14" xfId="0" applyNumberFormat="1" applyFont="1" applyFill="1" applyBorder="1" applyAlignment="1">
      <alignment horizontal="center"/>
    </xf>
    <xf numFmtId="2" fontId="35" fillId="16" borderId="14" xfId="0" applyNumberFormat="1" applyFont="1" applyFill="1" applyBorder="1" applyAlignment="1">
      <alignment horizontal="center"/>
    </xf>
    <xf numFmtId="2" fontId="35" fillId="16" borderId="16" xfId="0" applyNumberFormat="1" applyFont="1" applyFill="1" applyBorder="1" applyAlignment="1">
      <alignment horizontal="center"/>
    </xf>
    <xf numFmtId="2" fontId="11" fillId="16" borderId="50" xfId="0" applyNumberFormat="1" applyFont="1" applyFill="1" applyBorder="1" applyAlignment="1">
      <alignment horizontal="center"/>
    </xf>
    <xf numFmtId="2" fontId="11" fillId="16" borderId="16" xfId="0" applyNumberFormat="1" applyFont="1" applyFill="1" applyBorder="1" applyAlignment="1">
      <alignment horizontal="center"/>
    </xf>
    <xf numFmtId="0" fontId="13" fillId="0" borderId="24" xfId="0" applyFont="1" applyFill="1" applyBorder="1" applyAlignment="1">
      <alignment horizontal="right"/>
    </xf>
    <xf numFmtId="2" fontId="13" fillId="0" borderId="24" xfId="0" applyNumberFormat="1" applyFont="1" applyFill="1" applyBorder="1" applyAlignment="1">
      <alignment horizontal="right"/>
    </xf>
    <xf numFmtId="2" fontId="51" fillId="0" borderId="24" xfId="0" applyNumberFormat="1" applyFont="1" applyFill="1" applyBorder="1" applyAlignment="1"/>
    <xf numFmtId="166" fontId="7" fillId="0" borderId="24" xfId="0" applyNumberFormat="1" applyFont="1" applyBorder="1"/>
    <xf numFmtId="166" fontId="7" fillId="0" borderId="24" xfId="0" applyNumberFormat="1" applyFont="1" applyFill="1" applyBorder="1" applyAlignment="1"/>
    <xf numFmtId="166" fontId="7" fillId="0" borderId="24" xfId="0" applyNumberFormat="1" applyFont="1" applyFill="1" applyBorder="1"/>
    <xf numFmtId="166" fontId="13" fillId="0" borderId="24" xfId="0" applyNumberFormat="1" applyFont="1" applyFill="1" applyBorder="1" applyAlignment="1"/>
    <xf numFmtId="166" fontId="13" fillId="0" borderId="24" xfId="0" applyNumberFormat="1" applyFont="1" applyFill="1" applyBorder="1"/>
    <xf numFmtId="0" fontId="3" fillId="0" borderId="0" xfId="0" applyFont="1" applyBorder="1" applyAlignment="1">
      <alignment horizontal="center"/>
    </xf>
    <xf numFmtId="2" fontId="11" fillId="0" borderId="59" xfId="3" applyNumberFormat="1" applyFont="1" applyFill="1" applyBorder="1" applyAlignment="1" applyProtection="1">
      <alignment horizontal="center"/>
    </xf>
    <xf numFmtId="2" fontId="11" fillId="0" borderId="24" xfId="3" applyNumberFormat="1" applyFont="1" applyFill="1" applyBorder="1" applyAlignment="1" applyProtection="1">
      <alignment horizontal="center"/>
    </xf>
    <xf numFmtId="2" fontId="11" fillId="0" borderId="58" xfId="3" applyNumberFormat="1" applyFont="1" applyFill="1" applyBorder="1" applyAlignment="1" applyProtection="1">
      <alignment horizontal="center"/>
    </xf>
    <xf numFmtId="0" fontId="52" fillId="0" borderId="59" xfId="3" applyNumberFormat="1" applyFont="1" applyFill="1" applyBorder="1" applyAlignment="1" applyProtection="1">
      <alignment horizontal="center"/>
    </xf>
    <xf numFmtId="166" fontId="3" fillId="0" borderId="0" xfId="0" applyNumberFormat="1" applyFont="1" applyFill="1" applyAlignment="1">
      <alignment horizontal="center"/>
    </xf>
    <xf numFmtId="166" fontId="3" fillId="0" borderId="45" xfId="0" applyNumberFormat="1" applyFont="1" applyFill="1" applyBorder="1" applyAlignment="1">
      <alignment horizontal="center"/>
    </xf>
    <xf numFmtId="166" fontId="3" fillId="0" borderId="5" xfId="0" applyNumberFormat="1" applyFont="1" applyFill="1" applyBorder="1" applyAlignment="1">
      <alignment horizontal="center"/>
    </xf>
    <xf numFmtId="166" fontId="3" fillId="0" borderId="26" xfId="0" applyNumberFormat="1" applyFont="1" applyFill="1" applyBorder="1" applyAlignment="1">
      <alignment horizontal="center"/>
    </xf>
    <xf numFmtId="166" fontId="3" fillId="0" borderId="33" xfId="0" applyNumberFormat="1" applyFont="1" applyFill="1" applyBorder="1" applyAlignment="1">
      <alignment horizontal="center"/>
    </xf>
    <xf numFmtId="2" fontId="0" fillId="0" borderId="33" xfId="0" applyNumberFormat="1" applyFill="1" applyBorder="1" applyAlignment="1">
      <alignment horizontal="center"/>
    </xf>
    <xf numFmtId="2" fontId="0" fillId="0" borderId="28" xfId="0" applyNumberFormat="1" applyFill="1" applyBorder="1" applyAlignment="1">
      <alignment horizontal="center"/>
    </xf>
    <xf numFmtId="2" fontId="0" fillId="0" borderId="45" xfId="0" applyNumberFormat="1" applyFill="1" applyBorder="1" applyAlignment="1">
      <alignment horizontal="center"/>
    </xf>
    <xf numFmtId="0" fontId="3" fillId="0" borderId="0" xfId="0" applyFont="1" applyFill="1" applyBorder="1" applyAlignment="1" applyProtection="1">
      <alignment horizontal="center" wrapText="1"/>
    </xf>
    <xf numFmtId="0" fontId="3" fillId="0" borderId="24" xfId="0" applyFont="1" applyFill="1" applyBorder="1"/>
    <xf numFmtId="0" fontId="3" fillId="0" borderId="0" xfId="0" applyFont="1"/>
    <xf numFmtId="0" fontId="3" fillId="0" borderId="0" xfId="0" applyFont="1" applyFill="1"/>
    <xf numFmtId="0" fontId="3" fillId="0" borderId="0" xfId="0" applyFont="1" applyAlignment="1">
      <alignment horizontal="right"/>
    </xf>
    <xf numFmtId="0" fontId="3" fillId="0" borderId="12" xfId="0" applyFont="1" applyFill="1" applyBorder="1" applyAlignment="1">
      <alignment horizontal="center"/>
    </xf>
    <xf numFmtId="0" fontId="3" fillId="0" borderId="25" xfId="0" applyFont="1" applyFill="1" applyBorder="1" applyAlignment="1">
      <alignment horizontal="center" wrapText="1"/>
    </xf>
    <xf numFmtId="2" fontId="3" fillId="0" borderId="24" xfId="0" applyNumberFormat="1" applyFont="1" applyFill="1" applyBorder="1" applyAlignment="1"/>
    <xf numFmtId="0" fontId="3" fillId="0" borderId="17" xfId="0" applyFont="1" applyFill="1" applyBorder="1" applyAlignment="1"/>
    <xf numFmtId="0" fontId="3" fillId="0" borderId="0" xfId="0" applyFont="1" applyFill="1" applyBorder="1" applyAlignment="1"/>
    <xf numFmtId="0" fontId="3" fillId="0" borderId="0" xfId="0" applyFont="1" applyFill="1" applyAlignment="1"/>
    <xf numFmtId="1" fontId="3" fillId="0" borderId="25" xfId="3" applyNumberFormat="1" applyFont="1" applyFill="1" applyBorder="1" applyAlignment="1" applyProtection="1">
      <alignment horizontal="center" wrapText="1"/>
    </xf>
    <xf numFmtId="0" fontId="3" fillId="0" borderId="21" xfId="0" applyFont="1" applyFill="1" applyBorder="1" applyAlignment="1" applyProtection="1">
      <alignment horizontal="center" wrapText="1"/>
    </xf>
    <xf numFmtId="166" fontId="3" fillId="0" borderId="24" xfId="0" applyNumberFormat="1" applyFont="1" applyFill="1" applyBorder="1"/>
    <xf numFmtId="166" fontId="13" fillId="0" borderId="24" xfId="0" applyNumberFormat="1" applyFont="1" applyFill="1" applyBorder="1" applyAlignment="1">
      <alignment horizontal="right"/>
    </xf>
    <xf numFmtId="166" fontId="3" fillId="0" borderId="24" xfId="0" applyNumberFormat="1" applyFont="1" applyFill="1" applyBorder="1" applyAlignment="1">
      <alignment horizontal="right"/>
    </xf>
    <xf numFmtId="0" fontId="7" fillId="17" borderId="0" xfId="0" applyFont="1" applyFill="1" applyAlignment="1">
      <alignment horizontal="center"/>
    </xf>
    <xf numFmtId="0" fontId="7" fillId="17" borderId="21" xfId="0" applyFont="1" applyFill="1" applyBorder="1" applyAlignment="1">
      <alignment horizontal="center"/>
    </xf>
    <xf numFmtId="0" fontId="7" fillId="17" borderId="24" xfId="0" applyFont="1" applyFill="1" applyBorder="1" applyAlignment="1">
      <alignment horizontal="center"/>
    </xf>
    <xf numFmtId="0" fontId="13" fillId="17" borderId="0" xfId="0" applyFont="1" applyFill="1" applyAlignment="1">
      <alignment horizontal="center"/>
    </xf>
    <xf numFmtId="2" fontId="13" fillId="17" borderId="0" xfId="0" applyNumberFormat="1" applyFont="1" applyFill="1" applyAlignment="1">
      <alignment horizontal="center"/>
    </xf>
    <xf numFmtId="166" fontId="7" fillId="0" borderId="24" xfId="0" applyNumberFormat="1" applyFont="1" applyFill="1" applyBorder="1" applyAlignment="1">
      <alignment horizontal="right"/>
    </xf>
    <xf numFmtId="2" fontId="3" fillId="0" borderId="25" xfId="0" applyNumberFormat="1" applyFont="1" applyFill="1" applyBorder="1" applyAlignment="1">
      <alignment horizontal="right"/>
    </xf>
    <xf numFmtId="2" fontId="3" fillId="0" borderId="25" xfId="3" applyNumberFormat="1" applyFont="1" applyFill="1" applyBorder="1" applyAlignment="1" applyProtection="1">
      <alignment horizontal="center" wrapText="1"/>
    </xf>
    <xf numFmtId="2" fontId="3" fillId="0" borderId="0" xfId="0" applyNumberFormat="1" applyFont="1" applyAlignment="1">
      <alignment horizontal="right"/>
    </xf>
    <xf numFmtId="166" fontId="3" fillId="0" borderId="24" xfId="0" applyNumberFormat="1" applyFont="1" applyFill="1" applyBorder="1" applyAlignment="1"/>
    <xf numFmtId="166" fontId="8" fillId="0" borderId="25" xfId="0" applyNumberFormat="1" applyFont="1" applyFill="1" applyBorder="1" applyAlignment="1" applyProtection="1">
      <alignment horizontal="right" wrapText="1"/>
      <protection locked="0"/>
    </xf>
    <xf numFmtId="2" fontId="13" fillId="0" borderId="0" xfId="0" applyNumberFormat="1" applyFont="1" applyFill="1" applyBorder="1" applyAlignment="1"/>
    <xf numFmtId="0" fontId="2" fillId="0" borderId="0" xfId="52" applyNumberFormat="1" applyFill="1" applyAlignment="1">
      <alignment horizontal="center"/>
    </xf>
    <xf numFmtId="0" fontId="2" fillId="0" borderId="0" xfId="52" applyNumberFormat="1" applyFill="1" applyAlignment="1">
      <alignment horizontal="center"/>
    </xf>
    <xf numFmtId="0" fontId="3" fillId="0" borderId="0" xfId="0" applyFont="1" applyFill="1" applyAlignment="1">
      <alignment wrapText="1"/>
    </xf>
    <xf numFmtId="0" fontId="3" fillId="0" borderId="11" xfId="0" applyFont="1" applyFill="1" applyBorder="1" applyAlignment="1">
      <alignment horizontal="center" wrapText="1"/>
    </xf>
    <xf numFmtId="2" fontId="3" fillId="0" borderId="24" xfId="3" applyNumberFormat="1" applyFont="1" applyFill="1" applyBorder="1" applyAlignment="1" applyProtection="1">
      <alignment horizontal="center" wrapText="1"/>
    </xf>
    <xf numFmtId="14" fontId="8" fillId="0" borderId="12" xfId="0" applyNumberFormat="1" applyFont="1" applyBorder="1" applyAlignment="1">
      <alignment horizontal="center"/>
    </xf>
    <xf numFmtId="0" fontId="24" fillId="0" borderId="30" xfId="0" applyNumberFormat="1" applyFont="1" applyFill="1" applyBorder="1" applyAlignment="1">
      <alignment horizontal="center"/>
    </xf>
    <xf numFmtId="169" fontId="25" fillId="0" borderId="59" xfId="0" applyNumberFormat="1" applyFont="1" applyFill="1" applyBorder="1" applyAlignment="1">
      <alignment horizontal="center"/>
    </xf>
    <xf numFmtId="2" fontId="11" fillId="0" borderId="51" xfId="0" quotePrefix="1" applyNumberFormat="1" applyFont="1" applyFill="1" applyBorder="1" applyAlignment="1">
      <alignment horizontal="center"/>
    </xf>
    <xf numFmtId="2" fontId="11" fillId="0" borderId="0" xfId="0" quotePrefix="1" applyNumberFormat="1" applyFont="1" applyFill="1" applyBorder="1" applyAlignment="1">
      <alignment horizontal="center"/>
    </xf>
    <xf numFmtId="0" fontId="11" fillId="0" borderId="51" xfId="0" applyNumberFormat="1" applyFont="1" applyFill="1" applyBorder="1" applyAlignment="1">
      <alignment horizontal="center"/>
    </xf>
    <xf numFmtId="4" fontId="19" fillId="0" borderId="59" xfId="0" quotePrefix="1" applyNumberFormat="1" applyFont="1" applyFill="1" applyBorder="1" applyAlignment="1">
      <alignment horizontal="left"/>
    </xf>
    <xf numFmtId="4" fontId="25" fillId="0" borderId="58" xfId="0" applyNumberFormat="1" applyFont="1" applyFill="1" applyBorder="1" applyAlignment="1">
      <alignment horizontal="center"/>
    </xf>
    <xf numFmtId="4" fontId="25" fillId="0" borderId="6" xfId="0" applyNumberFormat="1" applyFont="1" applyFill="1" applyBorder="1" applyAlignment="1">
      <alignment horizontal="center"/>
    </xf>
    <xf numFmtId="4" fontId="25" fillId="0" borderId="24" xfId="0" applyNumberFormat="1" applyFont="1" applyFill="1" applyBorder="1" applyAlignment="1">
      <alignment horizontal="center"/>
    </xf>
    <xf numFmtId="4" fontId="25" fillId="0" borderId="0" xfId="0" applyNumberFormat="1" applyFont="1" applyFill="1" applyBorder="1" applyAlignment="1">
      <alignment horizontal="center"/>
    </xf>
    <xf numFmtId="4" fontId="25" fillId="0" borderId="51" xfId="0" applyNumberFormat="1" applyFont="1" applyFill="1" applyBorder="1" applyAlignment="1">
      <alignment horizontal="center"/>
    </xf>
    <xf numFmtId="4" fontId="25" fillId="0" borderId="74" xfId="0" applyNumberFormat="1" applyFont="1" applyFill="1" applyBorder="1" applyAlignment="1">
      <alignment horizontal="center"/>
    </xf>
    <xf numFmtId="2" fontId="25" fillId="0" borderId="35" xfId="0" applyNumberFormat="1" applyFont="1" applyFill="1" applyBorder="1" applyAlignment="1">
      <alignment horizontal="center"/>
    </xf>
    <xf numFmtId="0" fontId="19" fillId="0" borderId="71" xfId="0" applyNumberFormat="1" applyFont="1" applyFill="1" applyBorder="1" applyAlignment="1">
      <alignment horizontal="left"/>
    </xf>
    <xf numFmtId="0" fontId="11" fillId="0" borderId="17" xfId="0" applyNumberFormat="1" applyFont="1" applyFill="1" applyBorder="1"/>
    <xf numFmtId="0" fontId="11" fillId="0" borderId="33" xfId="0" applyNumberFormat="1" applyFont="1" applyFill="1" applyBorder="1" applyAlignment="1"/>
    <xf numFmtId="0" fontId="11" fillId="0" borderId="22" xfId="0" applyNumberFormat="1" applyFont="1" applyFill="1" applyBorder="1"/>
    <xf numFmtId="0" fontId="36" fillId="52" borderId="1" xfId="0" applyNumberFormat="1" applyFont="1" applyFill="1" applyBorder="1" applyAlignment="1">
      <alignment horizontal="center"/>
    </xf>
    <xf numFmtId="2" fontId="11" fillId="52" borderId="24" xfId="0" applyNumberFormat="1" applyFont="1" applyFill="1" applyBorder="1" applyAlignment="1">
      <alignment horizontal="center"/>
    </xf>
    <xf numFmtId="2" fontId="11" fillId="52" borderId="58" xfId="0" applyNumberFormat="1" applyFont="1" applyFill="1" applyBorder="1" applyAlignment="1">
      <alignment horizontal="center"/>
    </xf>
    <xf numFmtId="0" fontId="11" fillId="52" borderId="24" xfId="0" applyNumberFormat="1" applyFont="1" applyFill="1" applyBorder="1" applyAlignment="1">
      <alignment horizontal="center"/>
    </xf>
    <xf numFmtId="0" fontId="11" fillId="52" borderId="58" xfId="0" applyNumberFormat="1" applyFont="1" applyFill="1" applyBorder="1" applyAlignment="1">
      <alignment horizontal="center"/>
    </xf>
    <xf numFmtId="4" fontId="25" fillId="52" borderId="24" xfId="0" applyNumberFormat="1" applyFont="1" applyFill="1" applyBorder="1" applyAlignment="1">
      <alignment horizontal="center"/>
    </xf>
    <xf numFmtId="4" fontId="25" fillId="52" borderId="58" xfId="0" applyNumberFormat="1" applyFont="1" applyFill="1" applyBorder="1" applyAlignment="1">
      <alignment horizontal="center"/>
    </xf>
    <xf numFmtId="2" fontId="25" fillId="52" borderId="21" xfId="0" applyNumberFormat="1" applyFont="1" applyFill="1" applyBorder="1" applyAlignment="1">
      <alignment horizontal="center"/>
    </xf>
    <xf numFmtId="2" fontId="25" fillId="52" borderId="61" xfId="0" applyNumberFormat="1" applyFont="1" applyFill="1" applyBorder="1" applyAlignment="1">
      <alignment horizontal="center"/>
    </xf>
    <xf numFmtId="2" fontId="25" fillId="52" borderId="62" xfId="0" applyNumberFormat="1" applyFont="1" applyFill="1" applyBorder="1" applyAlignment="1">
      <alignment horizontal="center"/>
    </xf>
    <xf numFmtId="2" fontId="25" fillId="52" borderId="63" xfId="0" applyNumberFormat="1" applyFont="1" applyFill="1" applyBorder="1" applyAlignment="1">
      <alignment horizontal="center"/>
    </xf>
    <xf numFmtId="0" fontId="25" fillId="53" borderId="1" xfId="0" applyNumberFormat="1" applyFont="1" applyFill="1" applyBorder="1"/>
    <xf numFmtId="2" fontId="11" fillId="53" borderId="24" xfId="0" applyNumberFormat="1" applyFont="1" applyFill="1" applyBorder="1" applyAlignment="1">
      <alignment horizontal="center"/>
    </xf>
    <xf numFmtId="0" fontId="11" fillId="53" borderId="24" xfId="0" applyNumberFormat="1" applyFont="1" applyFill="1" applyBorder="1" applyAlignment="1">
      <alignment horizontal="center"/>
    </xf>
    <xf numFmtId="4" fontId="25" fillId="53" borderId="25" xfId="0" applyNumberFormat="1" applyFont="1" applyFill="1" applyBorder="1" applyAlignment="1">
      <alignment horizontal="center"/>
    </xf>
    <xf numFmtId="0" fontId="11" fillId="53" borderId="21" xfId="0" applyNumberFormat="1" applyFont="1" applyFill="1" applyBorder="1"/>
    <xf numFmtId="2" fontId="25" fillId="53" borderId="62" xfId="0" applyNumberFormat="1" applyFont="1" applyFill="1" applyBorder="1" applyAlignment="1">
      <alignment horizontal="center"/>
    </xf>
    <xf numFmtId="2" fontId="25" fillId="53" borderId="72" xfId="0" applyNumberFormat="1" applyFont="1" applyFill="1" applyBorder="1" applyAlignment="1">
      <alignment horizontal="center"/>
    </xf>
    <xf numFmtId="2" fontId="11" fillId="53" borderId="58" xfId="0" applyNumberFormat="1" applyFont="1" applyFill="1" applyBorder="1" applyAlignment="1">
      <alignment horizontal="center"/>
    </xf>
    <xf numFmtId="0" fontId="11" fillId="53" borderId="58" xfId="0" applyNumberFormat="1" applyFont="1" applyFill="1" applyBorder="1" applyAlignment="1">
      <alignment horizontal="center"/>
    </xf>
    <xf numFmtId="4" fontId="25" fillId="53" borderId="57" xfId="0" applyNumberFormat="1" applyFont="1" applyFill="1" applyBorder="1" applyAlignment="1">
      <alignment horizontal="center"/>
    </xf>
    <xf numFmtId="0" fontId="11" fillId="53" borderId="61" xfId="0" applyNumberFormat="1" applyFont="1" applyFill="1" applyBorder="1"/>
    <xf numFmtId="2" fontId="25" fillId="53" borderId="63" xfId="0" applyNumberFormat="1" applyFont="1" applyFill="1" applyBorder="1" applyAlignment="1">
      <alignment horizontal="center"/>
    </xf>
    <xf numFmtId="0" fontId="7" fillId="54" borderId="53" xfId="0" applyNumberFormat="1" applyFont="1" applyFill="1" applyBorder="1" applyAlignment="1">
      <alignment horizontal="center"/>
    </xf>
    <xf numFmtId="0" fontId="24" fillId="54" borderId="66" xfId="0" applyNumberFormat="1" applyFont="1" applyFill="1" applyBorder="1" applyAlignment="1">
      <alignment horizontal="center"/>
    </xf>
    <xf numFmtId="0" fontId="24" fillId="54" borderId="53" xfId="0" applyNumberFormat="1" applyFont="1" applyFill="1" applyBorder="1" applyAlignment="1">
      <alignment horizontal="center"/>
    </xf>
    <xf numFmtId="0" fontId="24" fillId="54" borderId="55" xfId="0" applyNumberFormat="1" applyFont="1" applyFill="1" applyBorder="1" applyAlignment="1">
      <alignment horizontal="center"/>
    </xf>
    <xf numFmtId="0" fontId="24" fillId="54" borderId="54" xfId="0" applyNumberFormat="1" applyFont="1" applyFill="1" applyBorder="1" applyAlignment="1">
      <alignment horizontal="center"/>
    </xf>
    <xf numFmtId="0" fontId="24" fillId="54" borderId="68" xfId="0" applyNumberFormat="1" applyFont="1" applyFill="1" applyBorder="1" applyAlignment="1">
      <alignment horizontal="center"/>
    </xf>
    <xf numFmtId="0" fontId="24" fillId="54" borderId="7" xfId="0" quotePrefix="1" applyNumberFormat="1" applyFont="1" applyFill="1" applyBorder="1" applyAlignment="1">
      <alignment horizontal="center"/>
    </xf>
    <xf numFmtId="0" fontId="24" fillId="54" borderId="17" xfId="0" applyNumberFormat="1" applyFont="1" applyFill="1" applyBorder="1" applyAlignment="1">
      <alignment horizontal="center"/>
    </xf>
    <xf numFmtId="0" fontId="7" fillId="54" borderId="55" xfId="0" applyNumberFormat="1" applyFont="1" applyFill="1" applyBorder="1" applyAlignment="1">
      <alignment horizontal="center"/>
    </xf>
    <xf numFmtId="0" fontId="24" fillId="54" borderId="10" xfId="0" applyNumberFormat="1" applyFont="1" applyFill="1" applyBorder="1" applyAlignment="1">
      <alignment horizontal="center"/>
    </xf>
    <xf numFmtId="0" fontId="24" fillId="54" borderId="56" xfId="0" applyNumberFormat="1" applyFont="1" applyFill="1" applyBorder="1" applyAlignment="1">
      <alignment horizontal="center"/>
    </xf>
    <xf numFmtId="0" fontId="24" fillId="54" borderId="28" xfId="0" quotePrefix="1" applyNumberFormat="1" applyFont="1" applyFill="1" applyBorder="1" applyAlignment="1">
      <alignment horizontal="center"/>
    </xf>
    <xf numFmtId="0" fontId="24" fillId="54" borderId="56" xfId="0" quotePrefix="1" applyNumberFormat="1" applyFont="1" applyFill="1" applyBorder="1" applyAlignment="1">
      <alignment horizontal="center"/>
    </xf>
    <xf numFmtId="0" fontId="24" fillId="54" borderId="25" xfId="0" applyNumberFormat="1" applyFont="1" applyFill="1" applyBorder="1" applyAlignment="1">
      <alignment horizontal="center"/>
    </xf>
    <xf numFmtId="0" fontId="24" fillId="54" borderId="57" xfId="0" applyNumberFormat="1" applyFont="1" applyFill="1" applyBorder="1" applyAlignment="1">
      <alignment horizontal="center"/>
    </xf>
    <xf numFmtId="0" fontId="24" fillId="54" borderId="27" xfId="0" quotePrefix="1" applyNumberFormat="1" applyFont="1" applyFill="1" applyBorder="1" applyAlignment="1">
      <alignment horizontal="center"/>
    </xf>
    <xf numFmtId="0" fontId="24" fillId="54" borderId="25" xfId="0" quotePrefix="1" applyNumberFormat="1" applyFont="1" applyFill="1" applyBorder="1" applyAlignment="1">
      <alignment horizontal="center"/>
    </xf>
    <xf numFmtId="0" fontId="24" fillId="54" borderId="39" xfId="0" applyNumberFormat="1" applyFont="1" applyFill="1" applyBorder="1" applyAlignment="1">
      <alignment horizontal="center"/>
    </xf>
    <xf numFmtId="0" fontId="24" fillId="54" borderId="29" xfId="0" applyNumberFormat="1" applyFont="1" applyFill="1" applyBorder="1" applyAlignment="1">
      <alignment horizontal="center"/>
    </xf>
    <xf numFmtId="0" fontId="24" fillId="54" borderId="77" xfId="0" quotePrefix="1" applyNumberFormat="1" applyFont="1" applyFill="1" applyBorder="1" applyAlignment="1">
      <alignment horizontal="center"/>
    </xf>
    <xf numFmtId="2" fontId="7" fillId="0" borderId="0" xfId="0" applyNumberFormat="1" applyFont="1" applyFill="1" applyBorder="1" applyAlignment="1"/>
    <xf numFmtId="2" fontId="0" fillId="0" borderId="0" xfId="0" applyNumberFormat="1" applyAlignment="1">
      <alignment wrapText="1"/>
    </xf>
    <xf numFmtId="1" fontId="0" fillId="0" borderId="0" xfId="0" applyNumberFormat="1"/>
    <xf numFmtId="0" fontId="51" fillId="0" borderId="17" xfId="0" applyFont="1" applyFill="1" applyBorder="1" applyAlignment="1"/>
    <xf numFmtId="0" fontId="51" fillId="0" borderId="0" xfId="0" applyFont="1" applyFill="1" applyAlignment="1"/>
    <xf numFmtId="0" fontId="51" fillId="0" borderId="12" xfId="0" applyFont="1" applyFill="1" applyBorder="1" applyAlignment="1">
      <alignment horizontal="center"/>
    </xf>
    <xf numFmtId="0" fontId="51" fillId="0" borderId="0" xfId="0" applyFont="1" applyFill="1" applyBorder="1" applyAlignment="1"/>
    <xf numFmtId="2" fontId="51" fillId="0" borderId="25" xfId="0" applyNumberFormat="1" applyFont="1" applyFill="1" applyBorder="1" applyAlignment="1">
      <alignment horizontal="right"/>
    </xf>
    <xf numFmtId="2" fontId="51" fillId="0" borderId="0" xfId="0" applyNumberFormat="1" applyFont="1" applyFill="1" applyAlignment="1">
      <alignment horizontal="right"/>
    </xf>
    <xf numFmtId="1" fontId="13" fillId="0" borderId="24" xfId="0" applyNumberFormat="1" applyFont="1" applyFill="1" applyBorder="1" applyAlignment="1"/>
    <xf numFmtId="171" fontId="42" fillId="10" borderId="30" xfId="2" applyNumberFormat="1" applyFill="1" applyBorder="1" applyAlignment="1">
      <alignment horizontal="center" vertical="center" wrapText="1"/>
    </xf>
    <xf numFmtId="1" fontId="13" fillId="0" borderId="24" xfId="0" applyNumberFormat="1" applyFont="1" applyFill="1" applyBorder="1"/>
    <xf numFmtId="0" fontId="3" fillId="0" borderId="29" xfId="0" applyFont="1" applyFill="1" applyBorder="1" applyAlignment="1">
      <alignment horizontal="center"/>
    </xf>
    <xf numFmtId="0" fontId="3" fillId="17" borderId="25" xfId="0" applyFont="1" applyFill="1" applyBorder="1" applyAlignment="1">
      <alignment horizontal="center" wrapText="1"/>
    </xf>
    <xf numFmtId="0" fontId="13" fillId="0" borderId="27" xfId="0" applyFont="1" applyFill="1" applyBorder="1" applyAlignment="1">
      <alignment horizontal="center"/>
    </xf>
    <xf numFmtId="2" fontId="7" fillId="0" borderId="24" xfId="0" applyNumberFormat="1" applyFont="1" applyFill="1" applyBorder="1" applyAlignment="1">
      <alignment horizontal="right"/>
    </xf>
    <xf numFmtId="2" fontId="3" fillId="0" borderId="24" xfId="0" applyNumberFormat="1" applyFont="1" applyFill="1" applyBorder="1" applyAlignment="1">
      <alignment horizontal="right"/>
    </xf>
    <xf numFmtId="0" fontId="0" fillId="17" borderId="0" xfId="0" applyFill="1"/>
    <xf numFmtId="2" fontId="51" fillId="0" borderId="24" xfId="0" applyNumberFormat="1" applyFont="1" applyFill="1" applyBorder="1" applyAlignment="1">
      <alignment horizontal="right"/>
    </xf>
    <xf numFmtId="10" fontId="0" fillId="0" borderId="0" xfId="0" applyNumberFormat="1"/>
    <xf numFmtId="10" fontId="13" fillId="0" borderId="0" xfId="0" applyNumberFormat="1" applyFont="1" applyFill="1" applyAlignment="1">
      <alignment horizontal="center"/>
    </xf>
    <xf numFmtId="0" fontId="69" fillId="0" borderId="0" xfId="0" applyFont="1" applyFill="1" applyAlignment="1">
      <alignment horizontal="center"/>
    </xf>
    <xf numFmtId="2" fontId="69" fillId="0" borderId="0" xfId="0" applyNumberFormat="1" applyFont="1" applyFill="1" applyAlignment="1">
      <alignment horizontal="center"/>
    </xf>
    <xf numFmtId="2" fontId="13" fillId="55" borderId="0" xfId="0" applyNumberFormat="1" applyFont="1" applyFill="1" applyAlignment="1">
      <alignment horizontal="center"/>
    </xf>
    <xf numFmtId="2" fontId="17" fillId="0" borderId="1" xfId="3" applyNumberFormat="1" applyFont="1" applyFill="1" applyBorder="1" applyAlignment="1" applyProtection="1">
      <alignment horizontal="center"/>
    </xf>
    <xf numFmtId="1" fontId="0" fillId="56" borderId="21" xfId="0" applyNumberFormat="1" applyFill="1" applyBorder="1" applyAlignment="1">
      <alignment horizontal="center"/>
    </xf>
    <xf numFmtId="0" fontId="0" fillId="56" borderId="21" xfId="0" applyNumberFormat="1" applyFill="1" applyBorder="1" applyAlignment="1">
      <alignment horizontal="center"/>
    </xf>
    <xf numFmtId="1" fontId="0" fillId="56" borderId="24" xfId="0" applyNumberFormat="1" applyFill="1" applyBorder="1" applyAlignment="1">
      <alignment horizontal="center"/>
    </xf>
    <xf numFmtId="0" fontId="0" fillId="56" borderId="24" xfId="0" applyNumberFormat="1" applyFill="1" applyBorder="1" applyAlignment="1">
      <alignment horizontal="center"/>
    </xf>
    <xf numFmtId="1" fontId="0" fillId="56" borderId="25" xfId="0" applyNumberFormat="1" applyFill="1" applyBorder="1" applyAlignment="1">
      <alignment horizontal="center"/>
    </xf>
    <xf numFmtId="0" fontId="0" fillId="56" borderId="25" xfId="0" applyNumberFormat="1" applyFill="1" applyBorder="1" applyAlignment="1">
      <alignment horizontal="center"/>
    </xf>
    <xf numFmtId="1" fontId="26" fillId="56" borderId="26" xfId="0" applyNumberFormat="1" applyFont="1" applyFill="1" applyBorder="1" applyAlignment="1">
      <alignment horizontal="center"/>
    </xf>
    <xf numFmtId="0" fontId="26" fillId="56" borderId="26" xfId="0" applyNumberFormat="1" applyFont="1" applyFill="1" applyBorder="1" applyAlignment="1">
      <alignment horizontal="center"/>
    </xf>
    <xf numFmtId="1" fontId="26" fillId="56" borderId="22" xfId="0" applyNumberFormat="1" applyFont="1" applyFill="1" applyBorder="1" applyAlignment="1">
      <alignment horizontal="center"/>
    </xf>
    <xf numFmtId="0" fontId="26" fillId="56" borderId="22" xfId="0" applyNumberFormat="1" applyFont="1" applyFill="1" applyBorder="1" applyAlignment="1">
      <alignment horizontal="center"/>
    </xf>
    <xf numFmtId="0" fontId="11" fillId="56" borderId="22" xfId="0" applyNumberFormat="1" applyFont="1" applyFill="1" applyBorder="1" applyAlignment="1">
      <alignment horizontal="center"/>
    </xf>
    <xf numFmtId="1" fontId="11" fillId="56" borderId="22" xfId="0" applyNumberFormat="1" applyFont="1" applyFill="1" applyBorder="1" applyAlignment="1">
      <alignment horizontal="center"/>
    </xf>
    <xf numFmtId="1" fontId="0" fillId="56" borderId="22" xfId="0" applyNumberFormat="1" applyFill="1" applyBorder="1" applyAlignment="1">
      <alignment horizontal="center"/>
    </xf>
    <xf numFmtId="0" fontId="0" fillId="56" borderId="22" xfId="0" applyNumberFormat="1" applyFill="1" applyBorder="1" applyAlignment="1">
      <alignment horizontal="center"/>
    </xf>
    <xf numFmtId="1" fontId="0" fillId="56" borderId="27" xfId="0" applyNumberFormat="1" applyFill="1" applyBorder="1" applyAlignment="1">
      <alignment horizontal="center"/>
    </xf>
    <xf numFmtId="0" fontId="0" fillId="56" borderId="27" xfId="0" applyNumberFormat="1" applyFill="1" applyBorder="1" applyAlignment="1">
      <alignment horizontal="center"/>
    </xf>
    <xf numFmtId="0" fontId="26" fillId="56" borderId="27" xfId="0" applyNumberFormat="1" applyFont="1" applyFill="1" applyBorder="1" applyAlignment="1">
      <alignment horizontal="center"/>
    </xf>
    <xf numFmtId="1" fontId="0" fillId="56" borderId="0" xfId="0" applyNumberFormat="1" applyFill="1" applyAlignment="1">
      <alignment horizontal="center"/>
    </xf>
    <xf numFmtId="0" fontId="0" fillId="56" borderId="0" xfId="0" applyNumberFormat="1" applyFill="1" applyAlignment="1">
      <alignment horizontal="center"/>
    </xf>
    <xf numFmtId="0" fontId="69" fillId="17" borderId="0" xfId="0" applyFont="1" applyFill="1" applyAlignment="1">
      <alignment horizontal="center"/>
    </xf>
    <xf numFmtId="1" fontId="69" fillId="0" borderId="0" xfId="0" applyNumberFormat="1" applyFont="1" applyFill="1" applyAlignment="1">
      <alignment horizontal="center"/>
    </xf>
    <xf numFmtId="0" fontId="69" fillId="0" borderId="0" xfId="0" applyFont="1" applyAlignment="1">
      <alignment horizontal="center"/>
    </xf>
    <xf numFmtId="2" fontId="11" fillId="0" borderId="18" xfId="0" applyNumberFormat="1" applyFont="1" applyFill="1" applyBorder="1" applyAlignment="1">
      <alignment horizontal="center"/>
    </xf>
    <xf numFmtId="2" fontId="32" fillId="0" borderId="52" xfId="3" quotePrefix="1" applyNumberFormat="1" applyFont="1" applyFill="1" applyBorder="1" applyAlignment="1" applyProtection="1">
      <alignment horizontal="right"/>
    </xf>
    <xf numFmtId="2" fontId="11" fillId="0" borderId="20" xfId="0" applyNumberFormat="1" applyFont="1" applyFill="1" applyBorder="1" applyAlignment="1">
      <alignment horizontal="center"/>
    </xf>
    <xf numFmtId="2" fontId="11" fillId="13" borderId="19" xfId="0" applyNumberFormat="1" applyFont="1" applyFill="1" applyBorder="1" applyAlignment="1">
      <alignment horizontal="center"/>
    </xf>
    <xf numFmtId="2" fontId="11" fillId="0" borderId="60" xfId="0" applyNumberFormat="1" applyFont="1" applyBorder="1" applyAlignment="1">
      <alignment horizontal="center"/>
    </xf>
    <xf numFmtId="2" fontId="11" fillId="0" borderId="21" xfId="0" applyNumberFormat="1" applyFont="1" applyBorder="1" applyAlignment="1">
      <alignment horizontal="center"/>
    </xf>
    <xf numFmtId="2" fontId="11" fillId="0" borderId="61" xfId="0" applyNumberFormat="1" applyFont="1" applyBorder="1" applyAlignment="1">
      <alignment horizontal="center"/>
    </xf>
    <xf numFmtId="2" fontId="11" fillId="0" borderId="50" xfId="0" applyNumberFormat="1" applyFont="1" applyBorder="1" applyAlignment="1">
      <alignment horizontal="center"/>
    </xf>
    <xf numFmtId="2" fontId="32" fillId="0" borderId="64" xfId="3" quotePrefix="1" applyNumberFormat="1" applyFont="1" applyFill="1" applyBorder="1" applyAlignment="1" applyProtection="1">
      <alignment horizontal="right"/>
    </xf>
    <xf numFmtId="2" fontId="32" fillId="0" borderId="1" xfId="0" applyNumberFormat="1" applyFont="1" applyFill="1" applyBorder="1" applyAlignment="1" applyProtection="1">
      <alignment horizontal="right"/>
    </xf>
    <xf numFmtId="10" fontId="11" fillId="0" borderId="89" xfId="4" applyNumberFormat="1" applyFont="1" applyBorder="1" applyAlignment="1">
      <alignment horizontal="center"/>
    </xf>
    <xf numFmtId="2" fontId="6" fillId="0" borderId="36" xfId="3" quotePrefix="1" applyNumberFormat="1" applyFont="1" applyFill="1" applyBorder="1" applyAlignment="1" applyProtection="1">
      <alignment horizontal="right"/>
    </xf>
    <xf numFmtId="1" fontId="3" fillId="0" borderId="24" xfId="0" applyNumberFormat="1" applyFont="1" applyFill="1" applyBorder="1" applyAlignment="1">
      <alignment horizontal="right"/>
    </xf>
    <xf numFmtId="2" fontId="40" fillId="0" borderId="24" xfId="0" applyNumberFormat="1" applyFont="1" applyFill="1" applyBorder="1" applyAlignment="1"/>
    <xf numFmtId="2" fontId="28" fillId="0" borderId="24" xfId="0" applyNumberFormat="1" applyFont="1" applyFill="1" applyBorder="1" applyAlignment="1">
      <alignment horizontal="right"/>
    </xf>
    <xf numFmtId="2" fontId="40" fillId="0" borderId="24" xfId="0" applyNumberFormat="1" applyFont="1" applyFill="1" applyBorder="1" applyAlignment="1">
      <alignment horizontal="right"/>
    </xf>
    <xf numFmtId="0" fontId="7" fillId="0" borderId="24" xfId="0" applyFont="1" applyFill="1" applyBorder="1" applyAlignment="1">
      <alignment horizontal="right"/>
    </xf>
    <xf numFmtId="0" fontId="7" fillId="17" borderId="24" xfId="0" applyFont="1" applyFill="1" applyBorder="1" applyAlignment="1" applyProtection="1">
      <alignment horizontal="center" wrapText="1"/>
      <protection locked="0"/>
    </xf>
    <xf numFmtId="0" fontId="3" fillId="0" borderId="25" xfId="0" applyFont="1" applyFill="1" applyBorder="1" applyAlignment="1">
      <alignment horizontal="right"/>
    </xf>
    <xf numFmtId="0" fontId="3" fillId="17" borderId="24" xfId="0" applyFont="1" applyFill="1" applyBorder="1" applyAlignment="1" applyProtection="1">
      <alignment horizontal="center" wrapText="1"/>
      <protection locked="0"/>
    </xf>
    <xf numFmtId="2" fontId="3" fillId="15" borderId="24" xfId="0" applyNumberFormat="1" applyFont="1" applyFill="1" applyBorder="1" applyAlignment="1"/>
    <xf numFmtId="166" fontId="13" fillId="57" borderId="24" xfId="0" applyNumberFormat="1" applyFont="1" applyFill="1" applyBorder="1"/>
    <xf numFmtId="166" fontId="3" fillId="57" borderId="24" xfId="0" applyNumberFormat="1" applyFont="1" applyFill="1" applyBorder="1"/>
    <xf numFmtId="0" fontId="13" fillId="57" borderId="24" xfId="0" applyFont="1" applyFill="1" applyBorder="1"/>
    <xf numFmtId="2" fontId="6" fillId="0" borderId="29" xfId="3" quotePrefix="1" applyNumberFormat="1" applyFont="1" applyFill="1" applyBorder="1" applyAlignment="1" applyProtection="1">
      <alignment horizontal="right"/>
    </xf>
    <xf numFmtId="1" fontId="32" fillId="0" borderId="36" xfId="3" quotePrefix="1" applyNumberFormat="1" applyFont="1" applyFill="1" applyBorder="1" applyAlignment="1" applyProtection="1">
      <alignment horizontal="right"/>
    </xf>
    <xf numFmtId="1" fontId="6" fillId="0" borderId="29" xfId="3" quotePrefix="1" applyNumberFormat="1" applyFont="1" applyFill="1" applyBorder="1" applyAlignment="1" applyProtection="1">
      <alignment horizontal="right"/>
    </xf>
    <xf numFmtId="0" fontId="42" fillId="16" borderId="0" xfId="2" applyNumberFormat="1" applyFill="1" applyBorder="1" applyAlignment="1">
      <alignment horizontal="center"/>
    </xf>
    <xf numFmtId="0" fontId="19" fillId="16" borderId="0" xfId="2" applyNumberFormat="1" applyFont="1" applyFill="1" applyBorder="1" applyAlignment="1">
      <alignment horizontal="center" textRotation="90" wrapText="1"/>
    </xf>
    <xf numFmtId="0" fontId="42" fillId="16" borderId="36" xfId="2" applyNumberFormat="1" applyFill="1" applyBorder="1"/>
    <xf numFmtId="0" fontId="48" fillId="0" borderId="64" xfId="2" applyNumberFormat="1" applyFont="1" applyFill="1" applyBorder="1" applyAlignment="1">
      <alignment horizontal="center" textRotation="90" wrapText="1"/>
    </xf>
    <xf numFmtId="0" fontId="48" fillId="0" borderId="44" xfId="2" applyNumberFormat="1" applyFont="1" applyFill="1" applyBorder="1" applyAlignment="1">
      <alignment horizontal="center" textRotation="90" wrapText="1"/>
    </xf>
    <xf numFmtId="2" fontId="11" fillId="0" borderId="61" xfId="0" applyNumberFormat="1" applyFont="1" applyFill="1" applyBorder="1" applyAlignment="1">
      <alignment horizontal="center"/>
    </xf>
    <xf numFmtId="2" fontId="11" fillId="0" borderId="25" xfId="0" applyNumberFormat="1" applyFont="1" applyBorder="1" applyAlignment="1">
      <alignment horizontal="center"/>
    </xf>
    <xf numFmtId="2" fontId="11" fillId="0" borderId="57" xfId="0" applyNumberFormat="1" applyFont="1" applyBorder="1" applyAlignment="1">
      <alignment horizontal="center"/>
    </xf>
    <xf numFmtId="0" fontId="3" fillId="0" borderId="24" xfId="0" applyFont="1" applyFill="1" applyBorder="1" applyAlignment="1" applyProtection="1">
      <alignment horizontal="center" wrapText="1"/>
    </xf>
    <xf numFmtId="0" fontId="3" fillId="0" borderId="0" xfId="0" applyFont="1" applyAlignment="1">
      <alignment wrapText="1"/>
    </xf>
    <xf numFmtId="0" fontId="7" fillId="59" borderId="0" xfId="0" applyFont="1" applyFill="1" applyAlignment="1">
      <alignment horizontal="center"/>
    </xf>
    <xf numFmtId="0" fontId="69" fillId="59" borderId="0" xfId="0" applyFont="1" applyFill="1" applyAlignment="1">
      <alignment horizontal="center"/>
    </xf>
    <xf numFmtId="0" fontId="7" fillId="59" borderId="21" xfId="0" applyFont="1" applyFill="1" applyBorder="1" applyAlignment="1">
      <alignment horizontal="center"/>
    </xf>
    <xf numFmtId="0" fontId="7" fillId="59" borderId="24" xfId="0" applyFont="1" applyFill="1" applyBorder="1" applyAlignment="1">
      <alignment horizontal="center"/>
    </xf>
    <xf numFmtId="0" fontId="3" fillId="59" borderId="25" xfId="0" applyFont="1" applyFill="1" applyBorder="1" applyAlignment="1">
      <alignment horizontal="center" wrapText="1"/>
    </xf>
    <xf numFmtId="2" fontId="13" fillId="59" borderId="0" xfId="0" applyNumberFormat="1" applyFont="1" applyFill="1" applyAlignment="1">
      <alignment horizontal="center"/>
    </xf>
    <xf numFmtId="0" fontId="13" fillId="59" borderId="0" xfId="0" applyFont="1" applyFill="1" applyAlignment="1">
      <alignment horizontal="center"/>
    </xf>
    <xf numFmtId="0" fontId="7" fillId="58" borderId="0" xfId="0" applyFont="1" applyFill="1" applyAlignment="1">
      <alignment horizontal="center"/>
    </xf>
    <xf numFmtId="0" fontId="7" fillId="58" borderId="21" xfId="0" applyFont="1" applyFill="1" applyBorder="1" applyAlignment="1">
      <alignment horizontal="center"/>
    </xf>
    <xf numFmtId="0" fontId="7" fillId="58" borderId="24" xfId="0" applyFont="1" applyFill="1" applyBorder="1" applyAlignment="1">
      <alignment horizontal="center"/>
    </xf>
    <xf numFmtId="0" fontId="7" fillId="58" borderId="25" xfId="0" applyFont="1" applyFill="1" applyBorder="1" applyAlignment="1">
      <alignment horizontal="center" wrapText="1"/>
    </xf>
    <xf numFmtId="2" fontId="7" fillId="58" borderId="0" xfId="0" applyNumberFormat="1" applyFont="1" applyFill="1" applyAlignment="1">
      <alignment horizontal="center"/>
    </xf>
    <xf numFmtId="0" fontId="13" fillId="58" borderId="0" xfId="0" applyFont="1" applyFill="1" applyAlignment="1">
      <alignment horizontal="center"/>
    </xf>
    <xf numFmtId="0" fontId="3" fillId="60" borderId="0" xfId="0" applyFont="1" applyFill="1" applyAlignment="1">
      <alignment horizontal="center"/>
    </xf>
    <xf numFmtId="0" fontId="3" fillId="60" borderId="21" xfId="0" applyFont="1" applyFill="1" applyBorder="1" applyAlignment="1">
      <alignment horizontal="center"/>
    </xf>
    <xf numFmtId="0" fontId="3" fillId="60" borderId="24" xfId="0" applyFont="1" applyFill="1" applyBorder="1" applyAlignment="1">
      <alignment horizontal="center"/>
    </xf>
    <xf numFmtId="0" fontId="3" fillId="60" borderId="25" xfId="0" applyFont="1" applyFill="1" applyBorder="1" applyAlignment="1">
      <alignment horizontal="center" wrapText="1"/>
    </xf>
    <xf numFmtId="2" fontId="3" fillId="60" borderId="0" xfId="0" applyNumberFormat="1" applyFont="1" applyFill="1" applyAlignment="1">
      <alignment horizontal="center"/>
    </xf>
    <xf numFmtId="2" fontId="3" fillId="0" borderId="0" xfId="0" applyNumberFormat="1" applyFont="1" applyFill="1" applyAlignment="1">
      <alignment horizontal="center"/>
    </xf>
    <xf numFmtId="2" fontId="6" fillId="16" borderId="4" xfId="3" applyNumberFormat="1" applyFont="1" applyFill="1" applyBorder="1" applyAlignment="1" applyProtection="1"/>
    <xf numFmtId="2" fontId="32" fillId="16" borderId="36" xfId="3" quotePrefix="1" applyNumberFormat="1" applyFont="1" applyFill="1" applyBorder="1" applyAlignment="1" applyProtection="1">
      <alignment horizontal="right"/>
    </xf>
    <xf numFmtId="2" fontId="11" fillId="16" borderId="19" xfId="0" applyNumberFormat="1" applyFont="1" applyFill="1" applyBorder="1" applyAlignment="1">
      <alignment horizontal="center"/>
    </xf>
    <xf numFmtId="2" fontId="11" fillId="0" borderId="21" xfId="0" applyNumberFormat="1" applyFont="1" applyFill="1" applyBorder="1" applyAlignment="1">
      <alignment horizontal="center"/>
    </xf>
    <xf numFmtId="2" fontId="11" fillId="0" borderId="56" xfId="0" applyNumberFormat="1" applyFont="1" applyBorder="1" applyAlignment="1">
      <alignment horizontal="center"/>
    </xf>
    <xf numFmtId="2" fontId="11" fillId="16" borderId="12" xfId="0" applyNumberFormat="1" applyFont="1" applyFill="1" applyBorder="1" applyAlignment="1">
      <alignment horizontal="center"/>
    </xf>
    <xf numFmtId="167" fontId="13" fillId="0" borderId="24" xfId="0" applyNumberFormat="1" applyFont="1" applyFill="1" applyBorder="1" applyAlignment="1"/>
    <xf numFmtId="0" fontId="47" fillId="61" borderId="53" xfId="2" applyNumberFormat="1" applyFont="1" applyFill="1" applyBorder="1" applyAlignment="1">
      <alignment horizontal="center" textRotation="90" wrapText="1"/>
    </xf>
    <xf numFmtId="0" fontId="47" fillId="61" borderId="66" xfId="2" applyNumberFormat="1" applyFont="1" applyFill="1" applyBorder="1" applyAlignment="1">
      <alignment horizontal="center" textRotation="90" wrapText="1"/>
    </xf>
    <xf numFmtId="0" fontId="47" fillId="61" borderId="50" xfId="2" applyNumberFormat="1" applyFont="1" applyFill="1" applyBorder="1" applyAlignment="1">
      <alignment horizontal="center" textRotation="90" wrapText="1"/>
    </xf>
    <xf numFmtId="0" fontId="42" fillId="61" borderId="20" xfId="2" applyNumberFormat="1" applyFill="1" applyBorder="1" applyAlignment="1">
      <alignment horizontal="center"/>
    </xf>
    <xf numFmtId="0" fontId="42" fillId="61" borderId="15" xfId="2" applyNumberFormat="1" applyFill="1" applyBorder="1" applyAlignment="1">
      <alignment horizontal="center"/>
    </xf>
    <xf numFmtId="0" fontId="42" fillId="61" borderId="16" xfId="2" applyNumberFormat="1" applyFill="1" applyBorder="1" applyAlignment="1">
      <alignment horizontal="center"/>
    </xf>
    <xf numFmtId="0" fontId="19" fillId="61" borderId="68" xfId="2" applyNumberFormat="1" applyFont="1" applyFill="1" applyBorder="1" applyAlignment="1">
      <alignment horizontal="center" textRotation="90" wrapText="1"/>
    </xf>
    <xf numFmtId="0" fontId="19" fillId="61" borderId="54" xfId="2" applyNumberFormat="1" applyFont="1" applyFill="1" applyBorder="1" applyAlignment="1">
      <alignment horizontal="center" textRotation="90" wrapText="1"/>
    </xf>
    <xf numFmtId="1" fontId="11" fillId="61" borderId="24" xfId="3" applyNumberFormat="1" applyFont="1" applyFill="1" applyBorder="1" applyAlignment="1" applyProtection="1">
      <alignment horizontal="center"/>
    </xf>
    <xf numFmtId="0" fontId="42" fillId="61" borderId="0" xfId="2" applyNumberFormat="1" applyFill="1" applyBorder="1"/>
    <xf numFmtId="1" fontId="11" fillId="61" borderId="0" xfId="3" applyNumberFormat="1" applyFont="1" applyFill="1" applyBorder="1" applyAlignment="1" applyProtection="1">
      <alignment horizontal="center"/>
    </xf>
    <xf numFmtId="0" fontId="47" fillId="61" borderId="55" xfId="2" applyNumberFormat="1" applyFont="1" applyFill="1" applyBorder="1" applyAlignment="1">
      <alignment horizontal="center" textRotation="90" wrapText="1"/>
    </xf>
    <xf numFmtId="0" fontId="47" fillId="61" borderId="54" xfId="2" applyNumberFormat="1" applyFont="1" applyFill="1" applyBorder="1" applyAlignment="1">
      <alignment horizontal="center" textRotation="90" wrapText="1"/>
    </xf>
    <xf numFmtId="0" fontId="19" fillId="61" borderId="55" xfId="2" applyNumberFormat="1" applyFont="1" applyFill="1" applyBorder="1" applyAlignment="1">
      <alignment horizontal="center" textRotation="90" wrapText="1"/>
    </xf>
    <xf numFmtId="166" fontId="11" fillId="61" borderId="24" xfId="3" applyNumberFormat="1" applyFont="1" applyFill="1" applyBorder="1" applyAlignment="1" applyProtection="1">
      <alignment horizontal="center"/>
    </xf>
    <xf numFmtId="166" fontId="11" fillId="61" borderId="0" xfId="3" applyNumberFormat="1" applyFont="1" applyFill="1" applyBorder="1" applyAlignment="1" applyProtection="1">
      <alignment horizontal="center"/>
    </xf>
    <xf numFmtId="0" fontId="47" fillId="62" borderId="53" xfId="2" applyNumberFormat="1" applyFont="1" applyFill="1" applyBorder="1" applyAlignment="1">
      <alignment horizontal="center" textRotation="90" wrapText="1"/>
    </xf>
    <xf numFmtId="0" fontId="47" fillId="62" borderId="68" xfId="2" applyNumberFormat="1" applyFont="1" applyFill="1" applyBorder="1" applyAlignment="1">
      <alignment horizontal="center" textRotation="90" wrapText="1"/>
    </xf>
    <xf numFmtId="0" fontId="47" fillId="62" borderId="55" xfId="2" applyNumberFormat="1" applyFont="1" applyFill="1" applyBorder="1" applyAlignment="1">
      <alignment horizontal="center" textRotation="90" wrapText="1"/>
    </xf>
    <xf numFmtId="0" fontId="47" fillId="62" borderId="54" xfId="2" applyNumberFormat="1" applyFont="1" applyFill="1" applyBorder="1" applyAlignment="1">
      <alignment horizontal="center" textRotation="90" wrapText="1"/>
    </xf>
    <xf numFmtId="0" fontId="42" fillId="62" borderId="20" xfId="2" applyNumberFormat="1" applyFill="1" applyBorder="1" applyAlignment="1">
      <alignment horizontal="center"/>
    </xf>
    <xf numFmtId="0" fontId="42" fillId="62" borderId="49" xfId="2" applyNumberFormat="1" applyFill="1" applyBorder="1" applyAlignment="1">
      <alignment horizontal="center"/>
    </xf>
    <xf numFmtId="0" fontId="42" fillId="62" borderId="15" xfId="2" applyNumberFormat="1" applyFill="1" applyBorder="1" applyAlignment="1">
      <alignment horizontal="center"/>
    </xf>
    <xf numFmtId="0" fontId="42" fillId="62" borderId="16" xfId="2" applyNumberFormat="1" applyFill="1" applyBorder="1" applyAlignment="1">
      <alignment horizontal="center"/>
    </xf>
    <xf numFmtId="0" fontId="19" fillId="62" borderId="53" xfId="2" applyNumberFormat="1" applyFont="1" applyFill="1" applyBorder="1" applyAlignment="1">
      <alignment horizontal="center" textRotation="90" wrapText="1"/>
    </xf>
    <xf numFmtId="0" fontId="19" fillId="62" borderId="68" xfId="2" applyNumberFormat="1" applyFont="1" applyFill="1" applyBorder="1" applyAlignment="1">
      <alignment horizontal="center" textRotation="90" wrapText="1"/>
    </xf>
    <xf numFmtId="0" fontId="19" fillId="62" borderId="55" xfId="2" applyNumberFormat="1" applyFont="1" applyFill="1" applyBorder="1" applyAlignment="1">
      <alignment horizontal="center" textRotation="90" wrapText="1"/>
    </xf>
    <xf numFmtId="166" fontId="11" fillId="62" borderId="24" xfId="3" applyNumberFormat="1" applyFont="1" applyFill="1" applyBorder="1" applyAlignment="1" applyProtection="1">
      <alignment horizontal="center"/>
    </xf>
    <xf numFmtId="2" fontId="11" fillId="62" borderId="24" xfId="3" applyNumberFormat="1" applyFont="1" applyFill="1" applyBorder="1" applyAlignment="1" applyProtection="1">
      <alignment horizontal="center"/>
    </xf>
    <xf numFmtId="0" fontId="42" fillId="62" borderId="0" xfId="2" applyNumberFormat="1" applyFill="1" applyBorder="1"/>
    <xf numFmtId="166" fontId="11" fillId="62" borderId="0" xfId="3" applyNumberFormat="1" applyFont="1" applyFill="1" applyBorder="1" applyAlignment="1" applyProtection="1">
      <alignment horizontal="center"/>
    </xf>
    <xf numFmtId="2" fontId="11" fillId="62" borderId="0" xfId="3" applyNumberFormat="1" applyFont="1" applyFill="1" applyBorder="1" applyAlignment="1" applyProtection="1">
      <alignment horizontal="center"/>
    </xf>
    <xf numFmtId="1" fontId="11" fillId="62" borderId="24" xfId="3" applyNumberFormat="1" applyFont="1" applyFill="1" applyBorder="1" applyAlignment="1" applyProtection="1">
      <alignment horizontal="center"/>
    </xf>
    <xf numFmtId="1" fontId="11" fillId="62" borderId="0" xfId="3" applyNumberFormat="1" applyFont="1" applyFill="1" applyBorder="1" applyAlignment="1" applyProtection="1">
      <alignment horizontal="center"/>
    </xf>
    <xf numFmtId="166" fontId="11" fillId="0" borderId="0" xfId="3" applyNumberFormat="1" applyFont="1" applyFill="1" applyBorder="1" applyAlignment="1" applyProtection="1">
      <alignment horizontal="center"/>
    </xf>
    <xf numFmtId="0" fontId="11" fillId="0" borderId="0" xfId="2" applyNumberFormat="1" applyFont="1" applyFill="1" applyBorder="1"/>
    <xf numFmtId="166" fontId="45" fillId="16" borderId="0" xfId="3" applyNumberFormat="1" applyFont="1" applyFill="1" applyBorder="1" applyAlignment="1" applyProtection="1">
      <alignment horizontal="center"/>
    </xf>
    <xf numFmtId="2" fontId="45" fillId="16" borderId="0" xfId="3" applyNumberFormat="1" applyFont="1" applyFill="1" applyBorder="1" applyAlignment="1" applyProtection="1">
      <alignment horizontal="center"/>
    </xf>
    <xf numFmtId="2" fontId="11" fillId="0" borderId="59" xfId="0" applyNumberFormat="1" applyFont="1" applyBorder="1" applyAlignment="1">
      <alignment horizontal="center"/>
    </xf>
    <xf numFmtId="2" fontId="11" fillId="0" borderId="24" xfId="0" applyNumberFormat="1" applyFont="1" applyBorder="1" applyAlignment="1">
      <alignment horizontal="center"/>
    </xf>
    <xf numFmtId="2" fontId="11" fillId="0" borderId="58" xfId="0" applyNumberFormat="1" applyFont="1" applyBorder="1" applyAlignment="1">
      <alignment horizontal="center"/>
    </xf>
    <xf numFmtId="0" fontId="0" fillId="0" borderId="24" xfId="0" applyBorder="1"/>
    <xf numFmtId="0" fontId="0" fillId="0" borderId="24" xfId="0" applyBorder="1" applyAlignment="1">
      <alignment horizontal="right"/>
    </xf>
    <xf numFmtId="2" fontId="0" fillId="0" borderId="0" xfId="0" applyNumberFormat="1" applyAlignment="1">
      <alignment horizontal="right"/>
    </xf>
    <xf numFmtId="1" fontId="13" fillId="0" borderId="24" xfId="0" applyNumberFormat="1" applyFont="1" applyFill="1" applyBorder="1" applyAlignment="1">
      <alignment horizontal="right"/>
    </xf>
    <xf numFmtId="0" fontId="0" fillId="0" borderId="0" xfId="0" applyAlignment="1">
      <alignment horizontal="right"/>
    </xf>
    <xf numFmtId="1" fontId="0" fillId="0" borderId="24" xfId="0" applyNumberFormat="1" applyBorder="1" applyAlignment="1">
      <alignment horizontal="right"/>
    </xf>
    <xf numFmtId="166" fontId="0" fillId="0" borderId="0" xfId="0" applyNumberFormat="1" applyAlignment="1">
      <alignment horizontal="right"/>
    </xf>
    <xf numFmtId="2" fontId="0" fillId="0" borderId="24" xfId="0" applyNumberFormat="1" applyBorder="1" applyAlignment="1">
      <alignment horizontal="right"/>
    </xf>
    <xf numFmtId="0" fontId="47" fillId="63" borderId="53" xfId="2" applyNumberFormat="1" applyFont="1" applyFill="1" applyBorder="1" applyAlignment="1">
      <alignment horizontal="center" textRotation="90" wrapText="1"/>
    </xf>
    <xf numFmtId="0" fontId="47" fillId="63" borderId="55" xfId="2" applyNumberFormat="1" applyFont="1" applyFill="1" applyBorder="1" applyAlignment="1">
      <alignment horizontal="center" textRotation="90" wrapText="1"/>
    </xf>
    <xf numFmtId="0" fontId="47" fillId="63" borderId="66" xfId="2" applyNumberFormat="1" applyFont="1" applyFill="1" applyBorder="1" applyAlignment="1">
      <alignment horizontal="center" textRotation="90" wrapText="1"/>
    </xf>
    <xf numFmtId="0" fontId="42" fillId="63" borderId="20" xfId="2" applyNumberFormat="1" applyFill="1" applyBorder="1" applyAlignment="1">
      <alignment horizontal="center"/>
    </xf>
    <xf numFmtId="0" fontId="42" fillId="63" borderId="15" xfId="2" applyNumberFormat="1" applyFill="1" applyBorder="1" applyAlignment="1">
      <alignment horizontal="center"/>
    </xf>
    <xf numFmtId="0" fontId="19" fillId="63" borderId="55" xfId="2" applyNumberFormat="1" applyFont="1" applyFill="1" applyBorder="1" applyAlignment="1">
      <alignment horizontal="center" textRotation="90" wrapText="1"/>
    </xf>
    <xf numFmtId="2" fontId="11" fillId="63" borderId="24" xfId="3" applyNumberFormat="1" applyFont="1" applyFill="1" applyBorder="1" applyAlignment="1" applyProtection="1">
      <alignment horizontal="center"/>
    </xf>
    <xf numFmtId="2" fontId="11" fillId="63" borderId="55" xfId="3" applyNumberFormat="1" applyFont="1" applyFill="1" applyBorder="1" applyAlignment="1" applyProtection="1">
      <alignment horizontal="center"/>
    </xf>
    <xf numFmtId="166" fontId="11" fillId="63" borderId="24" xfId="3" applyNumberFormat="1" applyFont="1" applyFill="1" applyBorder="1" applyAlignment="1" applyProtection="1">
      <alignment horizontal="center"/>
    </xf>
    <xf numFmtId="0" fontId="42" fillId="63" borderId="0" xfId="2" applyNumberFormat="1" applyFill="1" applyBorder="1"/>
    <xf numFmtId="2" fontId="11" fillId="63" borderId="0" xfId="3" applyNumberFormat="1" applyFont="1" applyFill="1" applyBorder="1" applyAlignment="1" applyProtection="1">
      <alignment horizontal="center"/>
    </xf>
    <xf numFmtId="166" fontId="11" fillId="63" borderId="0" xfId="3" applyNumberFormat="1" applyFont="1" applyFill="1" applyBorder="1" applyAlignment="1" applyProtection="1">
      <alignment horizontal="center"/>
    </xf>
    <xf numFmtId="166" fontId="42" fillId="0" borderId="0" xfId="2" applyNumberFormat="1" applyFill="1" applyBorder="1"/>
    <xf numFmtId="166" fontId="11" fillId="17" borderId="24" xfId="3" applyNumberFormat="1" applyFont="1" applyFill="1" applyBorder="1" applyAlignment="1" applyProtection="1">
      <alignment horizontal="center"/>
    </xf>
    <xf numFmtId="167" fontId="13" fillId="0" borderId="0" xfId="0" applyNumberFormat="1" applyFont="1" applyFill="1" applyBorder="1" applyAlignment="1"/>
    <xf numFmtId="167" fontId="13" fillId="0" borderId="0" xfId="0" applyNumberFormat="1" applyFont="1"/>
    <xf numFmtId="0" fontId="72" fillId="0" borderId="0" xfId="0" applyFont="1"/>
    <xf numFmtId="0" fontId="3" fillId="0" borderId="0" xfId="0" applyFont="1" applyAlignment="1">
      <alignment horizontal="center" wrapText="1"/>
    </xf>
    <xf numFmtId="0" fontId="0" fillId="0" borderId="0" xfId="0" applyAlignment="1">
      <alignment horizontal="center"/>
    </xf>
    <xf numFmtId="167" fontId="13" fillId="0" borderId="0" xfId="0" applyNumberFormat="1" applyFont="1" applyFill="1"/>
    <xf numFmtId="0" fontId="73" fillId="0" borderId="0" xfId="0" applyFont="1" applyAlignment="1">
      <alignment horizontal="right"/>
    </xf>
    <xf numFmtId="0" fontId="73" fillId="0" borderId="0" xfId="0" applyFont="1" applyAlignment="1">
      <alignment horizontal="center"/>
    </xf>
    <xf numFmtId="2" fontId="0" fillId="0" borderId="0" xfId="0" applyNumberFormat="1" applyAlignment="1">
      <alignment horizontal="center"/>
    </xf>
    <xf numFmtId="2" fontId="73" fillId="0" borderId="0" xfId="0" applyNumberFormat="1" applyFont="1" applyAlignment="1">
      <alignment horizontal="center"/>
    </xf>
    <xf numFmtId="0" fontId="74" fillId="0" borderId="0" xfId="0" applyFont="1"/>
    <xf numFmtId="0" fontId="73" fillId="0" borderId="0" xfId="0" applyFont="1" applyAlignment="1">
      <alignment horizontal="center" wrapText="1"/>
    </xf>
    <xf numFmtId="14" fontId="0" fillId="64" borderId="0" xfId="0" applyNumberFormat="1" applyFill="1"/>
    <xf numFmtId="167" fontId="73" fillId="0" borderId="0" xfId="0" applyNumberFormat="1" applyFont="1" applyAlignment="1">
      <alignment horizontal="center"/>
    </xf>
    <xf numFmtId="0" fontId="0" fillId="0" borderId="0" xfId="0" applyAlignment="1">
      <alignment horizontal="center" wrapText="1"/>
    </xf>
    <xf numFmtId="0" fontId="3" fillId="0" borderId="29" xfId="0" applyFont="1" applyFill="1" applyBorder="1" applyAlignment="1">
      <alignment horizontal="left"/>
    </xf>
    <xf numFmtId="166" fontId="11" fillId="0" borderId="0" xfId="2" applyNumberFormat="1" applyFont="1" applyFill="1" applyBorder="1"/>
    <xf numFmtId="0" fontId="11" fillId="0" borderId="0" xfId="2" applyNumberFormat="1" applyFont="1" applyFill="1" applyBorder="1" applyAlignment="1">
      <alignment textRotation="90"/>
    </xf>
    <xf numFmtId="0" fontId="47" fillId="17" borderId="55" xfId="2" applyNumberFormat="1" applyFont="1" applyFill="1" applyBorder="1" applyAlignment="1">
      <alignment horizontal="center" textRotation="90" wrapText="1"/>
    </xf>
    <xf numFmtId="0" fontId="42" fillId="17" borderId="15" xfId="2" applyNumberFormat="1" applyFill="1" applyBorder="1" applyAlignment="1">
      <alignment horizontal="center"/>
    </xf>
    <xf numFmtId="0" fontId="19" fillId="17" borderId="55" xfId="2" applyNumberFormat="1" applyFont="1" applyFill="1" applyBorder="1" applyAlignment="1">
      <alignment horizontal="center" textRotation="90" wrapText="1"/>
    </xf>
    <xf numFmtId="0" fontId="42" fillId="17" borderId="0" xfId="2" applyNumberFormat="1" applyFill="1" applyBorder="1"/>
    <xf numFmtId="166" fontId="11" fillId="17" borderId="0" xfId="3" applyNumberFormat="1" applyFont="1" applyFill="1" applyBorder="1" applyAlignment="1" applyProtection="1">
      <alignment horizontal="center"/>
    </xf>
    <xf numFmtId="0" fontId="47" fillId="17" borderId="54" xfId="2" applyNumberFormat="1" applyFont="1" applyFill="1" applyBorder="1" applyAlignment="1">
      <alignment horizontal="center" textRotation="90" wrapText="1"/>
    </xf>
    <xf numFmtId="0" fontId="42" fillId="17" borderId="16" xfId="2" applyNumberFormat="1" applyFill="1" applyBorder="1" applyAlignment="1">
      <alignment horizontal="center"/>
    </xf>
    <xf numFmtId="2" fontId="6" fillId="65" borderId="4" xfId="3" applyNumberFormat="1" applyFont="1" applyFill="1" applyBorder="1" applyAlignment="1" applyProtection="1"/>
    <xf numFmtId="2" fontId="32" fillId="65" borderId="36" xfId="3" quotePrefix="1" applyNumberFormat="1" applyFont="1" applyFill="1" applyBorder="1" applyAlignment="1" applyProtection="1">
      <alignment horizontal="right"/>
    </xf>
    <xf numFmtId="2" fontId="11" fillId="65" borderId="19" xfId="0" applyNumberFormat="1" applyFont="1" applyFill="1" applyBorder="1" applyAlignment="1">
      <alignment horizontal="center"/>
    </xf>
    <xf numFmtId="2" fontId="11" fillId="65" borderId="12" xfId="0" applyNumberFormat="1" applyFont="1" applyFill="1" applyBorder="1" applyAlignment="1">
      <alignment horizontal="center"/>
    </xf>
    <xf numFmtId="2" fontId="11" fillId="65" borderId="14" xfId="0" applyNumberFormat="1" applyFont="1" applyFill="1" applyBorder="1" applyAlignment="1">
      <alignment horizontal="center"/>
    </xf>
    <xf numFmtId="2" fontId="6" fillId="0" borderId="2" xfId="3" applyNumberFormat="1" applyFont="1" applyFill="1" applyBorder="1" applyProtection="1"/>
    <xf numFmtId="175" fontId="13" fillId="0" borderId="24" xfId="0" applyNumberFormat="1" applyFont="1" applyFill="1" applyBorder="1" applyAlignment="1"/>
    <xf numFmtId="0" fontId="24" fillId="52" borderId="55" xfId="0" applyNumberFormat="1" applyFont="1" applyFill="1" applyBorder="1" applyAlignment="1">
      <alignment horizontal="center"/>
    </xf>
    <xf numFmtId="0" fontId="24" fillId="52" borderId="54" xfId="0" applyNumberFormat="1" applyFont="1" applyFill="1" applyBorder="1" applyAlignment="1">
      <alignment horizontal="center"/>
    </xf>
    <xf numFmtId="0" fontId="24" fillId="52" borderId="25" xfId="0" applyNumberFormat="1" applyFont="1" applyFill="1" applyBorder="1" applyAlignment="1">
      <alignment horizontal="center"/>
    </xf>
    <xf numFmtId="0" fontId="24" fillId="52" borderId="57" xfId="0" applyNumberFormat="1" applyFont="1" applyFill="1" applyBorder="1" applyAlignment="1">
      <alignment horizontal="center"/>
    </xf>
    <xf numFmtId="2" fontId="11" fillId="52" borderId="65" xfId="0" applyNumberFormat="1" applyFont="1" applyFill="1" applyBorder="1" applyAlignment="1">
      <alignment horizontal="center"/>
    </xf>
    <xf numFmtId="2" fontId="11" fillId="52" borderId="69" xfId="0" applyNumberFormat="1" applyFont="1" applyFill="1" applyBorder="1" applyAlignment="1">
      <alignment horizontal="center"/>
    </xf>
    <xf numFmtId="2" fontId="25" fillId="52" borderId="25" xfId="0" applyNumberFormat="1" applyFont="1" applyFill="1" applyBorder="1" applyAlignment="1">
      <alignment horizontal="center"/>
    </xf>
    <xf numFmtId="2" fontId="25" fillId="52" borderId="57" xfId="0" applyNumberFormat="1" applyFont="1" applyFill="1" applyBorder="1" applyAlignment="1">
      <alignment horizontal="center"/>
    </xf>
    <xf numFmtId="0" fontId="0" fillId="17" borderId="30" xfId="0" applyFill="1" applyBorder="1"/>
    <xf numFmtId="0" fontId="0" fillId="0" borderId="17" xfId="0" applyBorder="1"/>
    <xf numFmtId="0" fontId="0" fillId="0" borderId="17" xfId="0" applyBorder="1" applyAlignment="1">
      <alignment horizontal="right"/>
    </xf>
    <xf numFmtId="0" fontId="0" fillId="0" borderId="0" xfId="0" applyBorder="1" applyAlignment="1">
      <alignment horizontal="right"/>
    </xf>
    <xf numFmtId="0" fontId="72" fillId="0" borderId="0" xfId="0" applyFont="1" applyBorder="1"/>
    <xf numFmtId="0" fontId="0" fillId="0" borderId="1" xfId="0" applyBorder="1" applyAlignment="1">
      <alignment horizontal="right"/>
    </xf>
    <xf numFmtId="0" fontId="3" fillId="0" borderId="17" xfId="0" applyFont="1" applyBorder="1"/>
    <xf numFmtId="167" fontId="0" fillId="0" borderId="0" xfId="0" applyNumberFormat="1" applyBorder="1"/>
    <xf numFmtId="0" fontId="69" fillId="0" borderId="10" xfId="0" applyFont="1" applyBorder="1" applyAlignment="1">
      <alignment horizontal="center"/>
    </xf>
    <xf numFmtId="166" fontId="69" fillId="0" borderId="74" xfId="0" applyNumberFormat="1" applyFont="1" applyBorder="1" applyAlignment="1">
      <alignment horizontal="center"/>
    </xf>
    <xf numFmtId="0" fontId="0" fillId="0" borderId="74" xfId="0" applyBorder="1"/>
    <xf numFmtId="0" fontId="0" fillId="0" borderId="11" xfId="0" applyBorder="1"/>
    <xf numFmtId="0" fontId="19" fillId="0" borderId="0" xfId="0" applyFont="1" applyBorder="1" applyAlignment="1">
      <alignment horizontal="right"/>
    </xf>
    <xf numFmtId="0" fontId="3" fillId="0" borderId="0" xfId="0" applyFont="1" applyFill="1" applyBorder="1"/>
    <xf numFmtId="0" fontId="3" fillId="0" borderId="29" xfId="0" applyFont="1" applyBorder="1" applyAlignment="1">
      <alignment wrapText="1"/>
    </xf>
    <xf numFmtId="0" fontId="3" fillId="0" borderId="37" xfId="0" applyFont="1" applyBorder="1" applyAlignment="1">
      <alignment wrapText="1"/>
    </xf>
    <xf numFmtId="167" fontId="9" fillId="0" borderId="0" xfId="0" applyNumberFormat="1" applyFont="1" applyBorder="1" applyAlignment="1">
      <alignment horizontal="center"/>
    </xf>
    <xf numFmtId="167" fontId="0" fillId="0" borderId="0" xfId="0" applyNumberFormat="1"/>
    <xf numFmtId="2" fontId="35" fillId="0" borderId="56" xfId="0" applyNumberFormat="1" applyFont="1" applyBorder="1" applyAlignment="1">
      <alignment horizontal="center"/>
    </xf>
    <xf numFmtId="2" fontId="35" fillId="0" borderId="25" xfId="0" applyNumberFormat="1" applyFont="1" applyBorder="1" applyAlignment="1">
      <alignment horizontal="center"/>
    </xf>
    <xf numFmtId="2" fontId="35" fillId="0" borderId="57" xfId="0" applyNumberFormat="1" applyFont="1" applyBorder="1" applyAlignment="1">
      <alignment horizontal="center"/>
    </xf>
    <xf numFmtId="0" fontId="2" fillId="17" borderId="0" xfId="52" applyNumberFormat="1" applyFill="1" applyAlignment="1">
      <alignment horizontal="center"/>
    </xf>
    <xf numFmtId="0" fontId="0" fillId="17" borderId="0" xfId="0" applyNumberFormat="1" applyFill="1" applyAlignment="1">
      <alignment horizontal="center"/>
    </xf>
    <xf numFmtId="0" fontId="0" fillId="17" borderId="0" xfId="0" applyNumberFormat="1" applyFill="1"/>
    <xf numFmtId="176" fontId="11" fillId="13" borderId="9" xfId="0" applyNumberFormat="1" applyFont="1" applyFill="1" applyBorder="1" applyAlignment="1">
      <alignment horizontal="center"/>
    </xf>
    <xf numFmtId="176" fontId="11" fillId="13" borderId="21" xfId="0" applyNumberFormat="1" applyFont="1" applyFill="1" applyBorder="1" applyAlignment="1">
      <alignment horizontal="center"/>
    </xf>
    <xf numFmtId="176" fontId="11" fillId="13" borderId="26" xfId="0" applyNumberFormat="1" applyFont="1" applyFill="1" applyBorder="1" applyAlignment="1">
      <alignment horizontal="center"/>
    </xf>
    <xf numFmtId="176" fontId="11" fillId="13" borderId="61" xfId="0" applyNumberFormat="1" applyFont="1" applyFill="1" applyBorder="1" applyAlignment="1">
      <alignment horizontal="center"/>
    </xf>
    <xf numFmtId="2" fontId="11" fillId="0" borderId="31" xfId="0" applyNumberFormat="1" applyFont="1" applyBorder="1" applyAlignment="1">
      <alignment horizontal="center"/>
    </xf>
    <xf numFmtId="2" fontId="11" fillId="0" borderId="90" xfId="0" applyNumberFormat="1" applyFont="1" applyBorder="1" applyAlignment="1">
      <alignment horizontal="center"/>
    </xf>
    <xf numFmtId="0" fontId="75" fillId="0" borderId="0" xfId="0" applyFont="1"/>
    <xf numFmtId="2" fontId="35" fillId="0" borderId="19" xfId="0" applyNumberFormat="1" applyFont="1" applyFill="1" applyBorder="1" applyAlignment="1">
      <alignment horizontal="center"/>
    </xf>
    <xf numFmtId="2" fontId="35" fillId="0" borderId="12" xfId="0" applyNumberFormat="1" applyFont="1" applyFill="1" applyBorder="1" applyAlignment="1">
      <alignment horizontal="center"/>
    </xf>
    <xf numFmtId="2" fontId="35" fillId="0" borderId="14" xfId="0" applyNumberFormat="1" applyFont="1" applyFill="1" applyBorder="1" applyAlignment="1">
      <alignment horizontal="center"/>
    </xf>
    <xf numFmtId="2" fontId="7" fillId="0" borderId="24" xfId="0" applyNumberFormat="1" applyFont="1" applyFill="1" applyBorder="1"/>
    <xf numFmtId="2" fontId="40" fillId="0" borderId="24" xfId="0" applyNumberFormat="1" applyFont="1" applyFill="1" applyBorder="1" applyAlignment="1">
      <alignment horizontal="center"/>
    </xf>
    <xf numFmtId="166" fontId="11" fillId="67" borderId="24" xfId="3" applyNumberFormat="1" applyFont="1" applyFill="1" applyBorder="1" applyAlignment="1" applyProtection="1">
      <alignment horizontal="center"/>
    </xf>
    <xf numFmtId="0" fontId="0" fillId="66" borderId="0" xfId="0" applyNumberFormat="1" applyFill="1"/>
    <xf numFmtId="2" fontId="13" fillId="66" borderId="0" xfId="0" applyNumberFormat="1" applyFont="1" applyFill="1" applyAlignment="1">
      <alignment horizontal="center"/>
    </xf>
    <xf numFmtId="167" fontId="7" fillId="0" borderId="24" xfId="0" applyNumberFormat="1" applyFont="1" applyFill="1" applyBorder="1" applyAlignment="1"/>
    <xf numFmtId="174" fontId="3" fillId="0" borderId="0" xfId="0" applyNumberFormat="1" applyFont="1" applyFill="1" applyBorder="1" applyAlignment="1">
      <alignment horizontal="right"/>
    </xf>
    <xf numFmtId="0" fontId="47" fillId="66" borderId="54" xfId="2" applyNumberFormat="1" applyFont="1" applyFill="1" applyBorder="1" applyAlignment="1">
      <alignment horizontal="center" textRotation="90" wrapText="1"/>
    </xf>
    <xf numFmtId="0" fontId="42" fillId="66" borderId="16" xfId="2" applyNumberFormat="1" applyFill="1" applyBorder="1" applyAlignment="1">
      <alignment horizontal="center"/>
    </xf>
    <xf numFmtId="0" fontId="19" fillId="66" borderId="55" xfId="2" applyNumberFormat="1" applyFont="1" applyFill="1" applyBorder="1" applyAlignment="1">
      <alignment horizontal="center" textRotation="90" wrapText="1"/>
    </xf>
    <xf numFmtId="1" fontId="11" fillId="66" borderId="24" xfId="3" applyNumberFormat="1" applyFont="1" applyFill="1" applyBorder="1" applyAlignment="1" applyProtection="1">
      <alignment horizontal="center"/>
    </xf>
    <xf numFmtId="166" fontId="11" fillId="64" borderId="24" xfId="3" applyNumberFormat="1" applyFont="1" applyFill="1" applyBorder="1" applyAlignment="1" applyProtection="1">
      <alignment horizontal="center"/>
    </xf>
    <xf numFmtId="10" fontId="11" fillId="0" borderId="43" xfId="4" applyNumberFormat="1" applyFont="1" applyFill="1" applyBorder="1" applyAlignment="1">
      <alignment horizontal="center"/>
    </xf>
    <xf numFmtId="10" fontId="11" fillId="0" borderId="41" xfId="4" applyNumberFormat="1" applyFont="1" applyFill="1" applyBorder="1" applyAlignment="1">
      <alignment horizontal="center"/>
    </xf>
    <xf numFmtId="166" fontId="0" fillId="0" borderId="24" xfId="0" applyNumberFormat="1" applyBorder="1"/>
    <xf numFmtId="166" fontId="11" fillId="19" borderId="24" xfId="3" applyNumberFormat="1" applyFont="1" applyFill="1" applyBorder="1" applyAlignment="1" applyProtection="1">
      <alignment horizontal="center"/>
    </xf>
    <xf numFmtId="2" fontId="75" fillId="0" borderId="0" xfId="0" applyNumberFormat="1" applyFont="1"/>
    <xf numFmtId="2" fontId="13" fillId="0" borderId="0" xfId="0" applyNumberFormat="1" applyFont="1" applyFill="1" applyBorder="1"/>
    <xf numFmtId="2" fontId="3" fillId="0" borderId="0" xfId="0" applyNumberFormat="1" applyFont="1" applyFill="1" applyBorder="1" applyAlignment="1"/>
    <xf numFmtId="167" fontId="3" fillId="0" borderId="24" xfId="0" applyNumberFormat="1" applyFont="1" applyFill="1" applyBorder="1" applyAlignment="1"/>
    <xf numFmtId="0" fontId="3" fillId="0" borderId="24" xfId="0" applyFont="1" applyFill="1" applyBorder="1" applyAlignment="1">
      <alignment horizontal="right"/>
    </xf>
    <xf numFmtId="2" fontId="3" fillId="17" borderId="56" xfId="3" applyNumberFormat="1" applyFont="1" applyFill="1" applyBorder="1" applyAlignment="1" applyProtection="1">
      <alignment horizontal="center" wrapText="1"/>
    </xf>
    <xf numFmtId="0" fontId="51" fillId="17" borderId="25" xfId="0" applyFont="1" applyFill="1" applyBorder="1" applyAlignment="1">
      <alignment horizontal="center" wrapText="1"/>
    </xf>
    <xf numFmtId="2" fontId="11" fillId="0" borderId="36" xfId="0" applyNumberFormat="1" applyFont="1" applyBorder="1" applyAlignment="1">
      <alignment horizontal="center"/>
    </xf>
    <xf numFmtId="0" fontId="11" fillId="63" borderId="91" xfId="2" applyNumberFormat="1" applyFont="1" applyFill="1" applyBorder="1" applyAlignment="1">
      <alignment horizontal="center"/>
    </xf>
    <xf numFmtId="166" fontId="13" fillId="0" borderId="0" xfId="0" quotePrefix="1" applyNumberFormat="1" applyFont="1" applyFill="1" applyAlignment="1">
      <alignment horizontal="center"/>
    </xf>
    <xf numFmtId="2" fontId="76" fillId="0" borderId="0" xfId="0" applyNumberFormat="1" applyFont="1" applyAlignment="1">
      <alignment horizontal="left"/>
    </xf>
    <xf numFmtId="2" fontId="76" fillId="0" borderId="0" xfId="0" applyNumberFormat="1" applyFont="1" applyFill="1" applyBorder="1" applyAlignment="1">
      <alignment horizontal="left"/>
    </xf>
    <xf numFmtId="0" fontId="9" fillId="0" borderId="0" xfId="0" applyFont="1" applyFill="1"/>
    <xf numFmtId="2" fontId="9" fillId="0" borderId="0" xfId="0" applyNumberFormat="1" applyFont="1" applyFill="1"/>
    <xf numFmtId="0" fontId="48" fillId="0" borderId="0" xfId="2" applyNumberFormat="1" applyFont="1" applyFill="1" applyBorder="1" applyAlignment="1">
      <alignment horizontal="center" textRotation="90" wrapText="1"/>
    </xf>
    <xf numFmtId="0" fontId="42" fillId="11" borderId="29" xfId="2" applyNumberFormat="1" applyFill="1" applyBorder="1"/>
    <xf numFmtId="166" fontId="0" fillId="0" borderId="24" xfId="0" applyNumberFormat="1" applyFill="1" applyBorder="1"/>
    <xf numFmtId="0" fontId="77" fillId="69" borderId="0" xfId="0" applyFont="1" applyFill="1" applyAlignment="1">
      <alignment horizontal="center"/>
    </xf>
    <xf numFmtId="0" fontId="77" fillId="69" borderId="21" xfId="0" applyFont="1" applyFill="1" applyBorder="1" applyAlignment="1">
      <alignment horizontal="center"/>
    </xf>
    <xf numFmtId="0" fontId="77" fillId="69" borderId="24" xfId="0" applyFont="1" applyFill="1" applyBorder="1" applyAlignment="1">
      <alignment horizontal="center"/>
    </xf>
    <xf numFmtId="0" fontId="7" fillId="70" borderId="0" xfId="0" applyFont="1" applyFill="1" applyAlignment="1">
      <alignment horizontal="center"/>
    </xf>
    <xf numFmtId="0" fontId="69" fillId="70" borderId="0" xfId="0" applyFont="1" applyFill="1" applyAlignment="1">
      <alignment horizontal="center"/>
    </xf>
    <xf numFmtId="0" fontId="7" fillId="70" borderId="21" xfId="0" applyFont="1" applyFill="1" applyBorder="1" applyAlignment="1">
      <alignment horizontal="center"/>
    </xf>
    <xf numFmtId="0" fontId="7" fillId="70" borderId="24" xfId="0" applyFont="1" applyFill="1" applyBorder="1" applyAlignment="1">
      <alignment horizontal="center"/>
    </xf>
    <xf numFmtId="0" fontId="7" fillId="70" borderId="25" xfId="0" applyFont="1" applyFill="1" applyBorder="1" applyAlignment="1">
      <alignment horizontal="center" wrapText="1"/>
    </xf>
    <xf numFmtId="2" fontId="7" fillId="70" borderId="0" xfId="0" applyNumberFormat="1" applyFont="1" applyFill="1" applyAlignment="1">
      <alignment horizontal="center"/>
    </xf>
    <xf numFmtId="2" fontId="13" fillId="70" borderId="0" xfId="0" applyNumberFormat="1" applyFont="1" applyFill="1" applyAlignment="1">
      <alignment horizontal="center"/>
    </xf>
    <xf numFmtId="0" fontId="13" fillId="70" borderId="0" xfId="0" applyFont="1" applyFill="1" applyAlignment="1">
      <alignment horizontal="center"/>
    </xf>
    <xf numFmtId="1" fontId="3" fillId="0" borderId="24" xfId="0" applyNumberFormat="1" applyFont="1" applyFill="1" applyBorder="1" applyAlignment="1"/>
    <xf numFmtId="2" fontId="13" fillId="68" borderId="0" xfId="0" applyNumberFormat="1" applyFont="1" applyFill="1" applyAlignment="1">
      <alignment horizontal="center"/>
    </xf>
    <xf numFmtId="166" fontId="13" fillId="0" borderId="0" xfId="0" applyNumberFormat="1" applyFont="1" applyBorder="1"/>
    <xf numFmtId="0" fontId="7" fillId="0" borderId="25" xfId="0" applyFont="1" applyFill="1" applyBorder="1" applyAlignment="1">
      <alignment horizontal="center" wrapText="1"/>
    </xf>
    <xf numFmtId="0" fontId="7" fillId="17" borderId="25" xfId="0" applyFont="1" applyFill="1" applyBorder="1" applyAlignment="1">
      <alignment horizontal="center" wrapText="1"/>
    </xf>
    <xf numFmtId="166" fontId="13" fillId="0" borderId="0" xfId="0" applyNumberFormat="1" applyFont="1" applyFill="1" applyAlignment="1">
      <alignment horizontal="center"/>
    </xf>
    <xf numFmtId="0" fontId="7" fillId="68" borderId="0" xfId="0" applyFont="1" applyFill="1" applyAlignment="1">
      <alignment horizontal="center"/>
    </xf>
    <xf numFmtId="0" fontId="69" fillId="68" borderId="0" xfId="0" applyFont="1" applyFill="1" applyAlignment="1">
      <alignment horizontal="center"/>
    </xf>
    <xf numFmtId="0" fontId="7" fillId="68" borderId="21" xfId="0" applyFont="1" applyFill="1" applyBorder="1" applyAlignment="1">
      <alignment horizontal="center"/>
    </xf>
    <xf numFmtId="0" fontId="7" fillId="68" borderId="24" xfId="0" applyFont="1" applyFill="1" applyBorder="1" applyAlignment="1">
      <alignment horizontal="center"/>
    </xf>
    <xf numFmtId="0" fontId="13" fillId="68" borderId="0" xfId="0" applyFont="1" applyFill="1" applyAlignment="1">
      <alignment horizontal="center"/>
    </xf>
    <xf numFmtId="0" fontId="3" fillId="68" borderId="25" xfId="0" applyFont="1" applyFill="1" applyBorder="1" applyAlignment="1">
      <alignment horizontal="center" wrapText="1"/>
    </xf>
    <xf numFmtId="0" fontId="3" fillId="0" borderId="25" xfId="0" applyFont="1" applyFill="1" applyBorder="1" applyAlignment="1">
      <alignment horizontal="center" textRotation="90" wrapText="1"/>
    </xf>
    <xf numFmtId="0" fontId="3" fillId="0" borderId="0" xfId="0" applyFont="1" applyFill="1" applyAlignment="1">
      <alignment horizontal="center" wrapText="1"/>
    </xf>
    <xf numFmtId="0" fontId="3" fillId="71" borderId="0" xfId="0" applyFont="1" applyFill="1" applyAlignment="1">
      <alignment horizontal="center" wrapText="1"/>
    </xf>
    <xf numFmtId="1" fontId="13" fillId="17" borderId="0" xfId="0" applyNumberFormat="1" applyFont="1" applyFill="1" applyAlignment="1">
      <alignment horizontal="center"/>
    </xf>
    <xf numFmtId="0" fontId="7" fillId="17" borderId="25" xfId="0" applyFont="1" applyFill="1" applyBorder="1" applyAlignment="1">
      <alignment horizontal="center" wrapText="1"/>
    </xf>
    <xf numFmtId="0" fontId="7" fillId="72" borderId="0" xfId="0" applyFont="1" applyFill="1" applyAlignment="1">
      <alignment horizontal="center"/>
    </xf>
    <xf numFmtId="0" fontId="69" fillId="72" borderId="0" xfId="0" applyFont="1" applyFill="1" applyAlignment="1">
      <alignment horizontal="center"/>
    </xf>
    <xf numFmtId="0" fontId="7" fillId="72" borderId="21" xfId="0" applyFont="1" applyFill="1" applyBorder="1" applyAlignment="1">
      <alignment horizontal="center"/>
    </xf>
    <xf numFmtId="0" fontId="7" fillId="72" borderId="24" xfId="0" applyFont="1" applyFill="1" applyBorder="1" applyAlignment="1">
      <alignment horizontal="center"/>
    </xf>
    <xf numFmtId="2" fontId="13" fillId="72" borderId="0" xfId="0" applyNumberFormat="1" applyFont="1" applyFill="1" applyAlignment="1">
      <alignment horizontal="center"/>
    </xf>
    <xf numFmtId="0" fontId="13" fillId="72" borderId="0" xfId="0" applyFont="1" applyFill="1" applyAlignment="1">
      <alignment horizontal="center"/>
    </xf>
    <xf numFmtId="0" fontId="3" fillId="72" borderId="0" xfId="0" applyFont="1" applyFill="1" applyAlignment="1">
      <alignment horizontal="center" wrapText="1"/>
    </xf>
    <xf numFmtId="0" fontId="7" fillId="72" borderId="25" xfId="0" applyFont="1" applyFill="1" applyBorder="1" applyAlignment="1">
      <alignment horizontal="center" wrapText="1"/>
    </xf>
    <xf numFmtId="0" fontId="3" fillId="72" borderId="25" xfId="0" applyFont="1" applyFill="1" applyBorder="1" applyAlignment="1">
      <alignment horizontal="center" wrapText="1"/>
    </xf>
    <xf numFmtId="2" fontId="7" fillId="72" borderId="0" xfId="0" applyNumberFormat="1" applyFont="1" applyFill="1" applyAlignment="1">
      <alignment horizontal="center"/>
    </xf>
    <xf numFmtId="166" fontId="13" fillId="72" borderId="0" xfId="0" applyNumberFormat="1" applyFont="1" applyFill="1" applyAlignment="1">
      <alignment horizontal="center"/>
    </xf>
    <xf numFmtId="2" fontId="6" fillId="63" borderId="9" xfId="3" applyNumberFormat="1" applyFont="1" applyFill="1" applyBorder="1" applyProtection="1"/>
    <xf numFmtId="2" fontId="6" fillId="63" borderId="5" xfId="3" quotePrefix="1" applyNumberFormat="1" applyFont="1" applyFill="1" applyBorder="1" applyAlignment="1" applyProtection="1">
      <alignment horizontal="right"/>
    </xf>
    <xf numFmtId="2" fontId="11" fillId="63" borderId="19" xfId="0" applyNumberFormat="1" applyFont="1" applyFill="1" applyBorder="1" applyAlignment="1">
      <alignment horizontal="center"/>
    </xf>
    <xf numFmtId="2" fontId="11" fillId="63" borderId="12" xfId="0" applyNumberFormat="1" applyFont="1" applyFill="1" applyBorder="1" applyAlignment="1">
      <alignment horizontal="center"/>
    </xf>
    <xf numFmtId="2" fontId="11" fillId="63" borderId="14" xfId="0" applyNumberFormat="1" applyFont="1" applyFill="1" applyBorder="1" applyAlignment="1">
      <alignment horizontal="center"/>
    </xf>
    <xf numFmtId="2" fontId="32" fillId="63" borderId="36" xfId="3" quotePrefix="1" applyNumberFormat="1" applyFont="1" applyFill="1" applyBorder="1" applyAlignment="1" applyProtection="1">
      <alignment horizontal="right"/>
    </xf>
    <xf numFmtId="2" fontId="32" fillId="63" borderId="37" xfId="3" applyNumberFormat="1" applyFont="1" applyFill="1" applyBorder="1" applyAlignment="1" applyProtection="1"/>
    <xf numFmtId="2" fontId="6" fillId="63" borderId="4" xfId="3" applyNumberFormat="1" applyFont="1" applyFill="1" applyBorder="1" applyProtection="1"/>
    <xf numFmtId="2" fontId="32" fillId="63" borderId="5" xfId="3" quotePrefix="1" applyNumberFormat="1" applyFont="1" applyFill="1" applyBorder="1" applyAlignment="1" applyProtection="1">
      <alignment horizontal="right"/>
    </xf>
    <xf numFmtId="2" fontId="11" fillId="63" borderId="60" xfId="0" applyNumberFormat="1" applyFont="1" applyFill="1" applyBorder="1" applyAlignment="1">
      <alignment horizontal="center"/>
    </xf>
    <xf numFmtId="2" fontId="11" fillId="63" borderId="21" xfId="0" applyNumberFormat="1" applyFont="1" applyFill="1" applyBorder="1" applyAlignment="1">
      <alignment horizontal="center"/>
    </xf>
    <xf numFmtId="2" fontId="11" fillId="63" borderId="61" xfId="0" applyNumberFormat="1" applyFont="1" applyFill="1" applyBorder="1" applyAlignment="1">
      <alignment horizontal="center"/>
    </xf>
    <xf numFmtId="0" fontId="7" fillId="63" borderId="0" xfId="0" applyFont="1" applyFill="1" applyAlignment="1">
      <alignment horizontal="center"/>
    </xf>
    <xf numFmtId="0" fontId="69" fillId="63" borderId="0" xfId="0" applyFont="1" applyFill="1" applyAlignment="1">
      <alignment horizontal="center"/>
    </xf>
    <xf numFmtId="0" fontId="7" fillId="63" borderId="21" xfId="0" applyFont="1" applyFill="1" applyBorder="1" applyAlignment="1">
      <alignment horizontal="center"/>
    </xf>
    <xf numFmtId="0" fontId="7" fillId="63" borderId="24" xfId="0" applyFont="1" applyFill="1" applyBorder="1" applyAlignment="1">
      <alignment horizontal="center"/>
    </xf>
    <xf numFmtId="0" fontId="7" fillId="63" borderId="25" xfId="0" applyFont="1" applyFill="1" applyBorder="1" applyAlignment="1">
      <alignment horizontal="center" wrapText="1"/>
    </xf>
    <xf numFmtId="2" fontId="13" fillId="63" borderId="0" xfId="0" applyNumberFormat="1" applyFont="1" applyFill="1" applyAlignment="1">
      <alignment horizontal="center"/>
    </xf>
    <xf numFmtId="0" fontId="13" fillId="63" borderId="0" xfId="0" applyFont="1" applyFill="1" applyAlignment="1">
      <alignment horizontal="center"/>
    </xf>
    <xf numFmtId="0" fontId="3" fillId="63" borderId="25" xfId="0" applyFont="1" applyFill="1" applyBorder="1" applyAlignment="1">
      <alignment horizontal="center" wrapText="1"/>
    </xf>
    <xf numFmtId="0" fontId="0" fillId="0" borderId="0" xfId="0" applyFont="1" applyAlignment="1">
      <alignment wrapText="1"/>
    </xf>
    <xf numFmtId="2" fontId="9" fillId="68" borderId="0" xfId="0" applyNumberFormat="1" applyFont="1" applyFill="1" applyBorder="1" applyAlignment="1">
      <alignment horizontal="center"/>
    </xf>
    <xf numFmtId="166" fontId="9" fillId="68" borderId="0" xfId="0" applyNumberFormat="1" applyFont="1" applyFill="1" applyBorder="1" applyAlignment="1">
      <alignment horizontal="center"/>
    </xf>
    <xf numFmtId="0" fontId="7" fillId="0" borderId="21" xfId="0" applyFont="1" applyFill="1" applyBorder="1" applyAlignment="1">
      <alignment horizontal="center"/>
    </xf>
    <xf numFmtId="0" fontId="7" fillId="0" borderId="25" xfId="0" applyFont="1" applyFill="1" applyBorder="1" applyAlignment="1">
      <alignment horizontal="center" wrapText="1"/>
    </xf>
    <xf numFmtId="0" fontId="3" fillId="0" borderId="0" xfId="0" applyFont="1" applyFill="1" applyAlignment="1">
      <alignment horizontal="center"/>
    </xf>
    <xf numFmtId="166" fontId="7" fillId="0" borderId="0" xfId="0" applyNumberFormat="1" applyFont="1" applyFill="1" applyAlignment="1">
      <alignment horizontal="center"/>
    </xf>
    <xf numFmtId="2" fontId="7" fillId="0" borderId="0" xfId="0" applyNumberFormat="1" applyFont="1" applyFill="1" applyBorder="1" applyAlignment="1">
      <alignment horizontal="center"/>
    </xf>
    <xf numFmtId="0" fontId="3" fillId="70" borderId="0" xfId="0" applyFont="1" applyFill="1" applyBorder="1" applyAlignment="1">
      <alignment horizontal="center" wrapText="1"/>
    </xf>
    <xf numFmtId="0" fontId="3" fillId="70" borderId="0" xfId="0" applyFont="1" applyFill="1" applyAlignment="1">
      <alignment horizontal="center" wrapText="1"/>
    </xf>
    <xf numFmtId="0" fontId="7" fillId="66" borderId="0" xfId="0" applyFont="1" applyFill="1" applyBorder="1" applyAlignment="1">
      <alignment horizontal="center"/>
    </xf>
    <xf numFmtId="2" fontId="3" fillId="69" borderId="25" xfId="0" applyNumberFormat="1" applyFont="1" applyFill="1" applyBorder="1" applyAlignment="1">
      <alignment horizontal="center" wrapText="1"/>
    </xf>
    <xf numFmtId="2" fontId="3" fillId="69" borderId="0" xfId="0" applyNumberFormat="1" applyFont="1" applyFill="1" applyAlignment="1">
      <alignment horizontal="center" wrapText="1"/>
    </xf>
    <xf numFmtId="0" fontId="7" fillId="0" borderId="25" xfId="0" applyFont="1" applyFill="1" applyBorder="1" applyAlignment="1">
      <alignment horizontal="center" wrapText="1"/>
    </xf>
    <xf numFmtId="1" fontId="0" fillId="0" borderId="12" xfId="0" applyNumberFormat="1" applyBorder="1" applyAlignment="1">
      <alignment horizontal="center"/>
    </xf>
    <xf numFmtId="1" fontId="9" fillId="0" borderId="0" xfId="0" applyNumberFormat="1" applyFont="1" applyBorder="1" applyAlignment="1">
      <alignment horizontal="center"/>
    </xf>
    <xf numFmtId="2" fontId="13" fillId="16" borderId="0" xfId="0" applyNumberFormat="1" applyFont="1" applyFill="1" applyAlignment="1">
      <alignment horizontal="center"/>
    </xf>
    <xf numFmtId="166" fontId="42" fillId="73" borderId="0" xfId="2" applyNumberFormat="1" applyFill="1" applyBorder="1"/>
    <xf numFmtId="2" fontId="9" fillId="17" borderId="0" xfId="0" applyNumberFormat="1" applyFont="1" applyFill="1" applyBorder="1" applyAlignment="1">
      <alignment horizontal="center"/>
    </xf>
    <xf numFmtId="0" fontId="13" fillId="17" borderId="12" xfId="0" applyFont="1" applyFill="1" applyBorder="1" applyAlignment="1">
      <alignment horizontal="center"/>
    </xf>
    <xf numFmtId="0" fontId="13" fillId="17" borderId="0" xfId="0" applyFont="1" applyFill="1"/>
    <xf numFmtId="0" fontId="7" fillId="17" borderId="0" xfId="0" applyFont="1" applyFill="1"/>
    <xf numFmtId="0" fontId="3" fillId="17" borderId="0" xfId="0" applyFont="1" applyFill="1" applyAlignment="1">
      <alignment wrapText="1"/>
    </xf>
    <xf numFmtId="0" fontId="9" fillId="17" borderId="0" xfId="0" applyFont="1" applyFill="1" applyBorder="1" applyAlignment="1">
      <alignment horizontal="center"/>
    </xf>
    <xf numFmtId="167" fontId="9" fillId="17" borderId="0" xfId="0" applyNumberFormat="1" applyFont="1" applyFill="1" applyBorder="1" applyAlignment="1">
      <alignment horizontal="center"/>
    </xf>
    <xf numFmtId="9" fontId="9" fillId="17" borderId="0" xfId="0" applyNumberFormat="1" applyFont="1" applyFill="1" applyBorder="1" applyAlignment="1">
      <alignment horizontal="center"/>
    </xf>
    <xf numFmtId="0" fontId="3" fillId="0" borderId="0" xfId="0" applyFont="1" applyBorder="1"/>
    <xf numFmtId="0" fontId="0" fillId="0" borderId="24" xfId="0" applyFill="1" applyBorder="1"/>
    <xf numFmtId="0" fontId="3" fillId="0" borderId="24" xfId="0" applyFont="1" applyFill="1" applyBorder="1" applyAlignment="1" applyProtection="1">
      <alignment horizontal="right" wrapText="1"/>
      <protection locked="0"/>
    </xf>
    <xf numFmtId="0" fontId="19" fillId="0" borderId="102" xfId="0" applyNumberFormat="1" applyFont="1" applyFill="1" applyBorder="1" applyAlignment="1">
      <alignment horizontal="left"/>
    </xf>
    <xf numFmtId="0" fontId="11" fillId="0" borderId="103" xfId="0" applyNumberFormat="1" applyFont="1" applyFill="1" applyBorder="1" applyAlignment="1">
      <alignment horizontal="center"/>
    </xf>
    <xf numFmtId="0" fontId="11" fillId="0" borderId="104" xfId="0" applyNumberFormat="1" applyFont="1" applyFill="1" applyBorder="1" applyAlignment="1">
      <alignment horizontal="center"/>
    </xf>
    <xf numFmtId="0" fontId="11" fillId="0" borderId="105" xfId="0" applyNumberFormat="1" applyFont="1" applyFill="1" applyBorder="1" applyAlignment="1">
      <alignment horizontal="center"/>
    </xf>
    <xf numFmtId="0" fontId="11" fillId="0" borderId="106" xfId="0" applyNumberFormat="1" applyFont="1" applyFill="1" applyBorder="1" applyAlignment="1">
      <alignment horizontal="center"/>
    </xf>
    <xf numFmtId="0" fontId="11" fillId="52" borderId="105" xfId="0" applyNumberFormat="1" applyFont="1" applyFill="1" applyBorder="1" applyAlignment="1">
      <alignment horizontal="center"/>
    </xf>
    <xf numFmtId="0" fontId="11" fillId="52" borderId="103" xfId="0" applyNumberFormat="1" applyFont="1" applyFill="1" applyBorder="1" applyAlignment="1">
      <alignment horizontal="center"/>
    </xf>
    <xf numFmtId="0" fontId="11" fillId="0" borderId="107" xfId="0" applyNumberFormat="1" applyFont="1" applyFill="1" applyBorder="1" applyAlignment="1">
      <alignment horizontal="center"/>
    </xf>
    <xf numFmtId="0" fontId="11" fillId="0" borderId="101" xfId="0" applyNumberFormat="1" applyFont="1" applyFill="1" applyBorder="1" applyAlignment="1">
      <alignment horizontal="center"/>
    </xf>
    <xf numFmtId="0" fontId="11" fillId="0" borderId="108" xfId="0" applyNumberFormat="1" applyFont="1" applyFill="1" applyBorder="1" applyAlignment="1">
      <alignment horizontal="center"/>
    </xf>
    <xf numFmtId="0" fontId="11" fillId="9" borderId="105" xfId="0" applyNumberFormat="1" applyFont="1" applyFill="1" applyBorder="1" applyAlignment="1">
      <alignment horizontal="center"/>
    </xf>
    <xf numFmtId="2" fontId="11" fillId="9" borderId="103" xfId="0" applyNumberFormat="1" applyFont="1" applyFill="1" applyBorder="1" applyAlignment="1">
      <alignment horizontal="center"/>
    </xf>
    <xf numFmtId="0" fontId="11" fillId="0" borderId="102" xfId="0" applyNumberFormat="1" applyFont="1" applyFill="1" applyBorder="1" applyAlignment="1">
      <alignment horizontal="center"/>
    </xf>
    <xf numFmtId="0" fontId="3" fillId="0" borderId="0" xfId="11"/>
    <xf numFmtId="0" fontId="7" fillId="0" borderId="21" xfId="0" applyFont="1" applyFill="1" applyBorder="1" applyAlignment="1">
      <alignment horizontal="center"/>
    </xf>
    <xf numFmtId="0" fontId="7" fillId="0" borderId="25" xfId="0" applyFont="1" applyFill="1" applyBorder="1" applyAlignment="1">
      <alignment horizontal="center" wrapText="1"/>
    </xf>
    <xf numFmtId="14" fontId="7" fillId="67" borderId="0" xfId="0" applyNumberFormat="1" applyFont="1" applyFill="1" applyAlignment="1">
      <alignment horizontal="center"/>
    </xf>
    <xf numFmtId="14" fontId="3" fillId="67" borderId="0" xfId="0" applyNumberFormat="1" applyFont="1" applyFill="1" applyAlignment="1">
      <alignment horizontal="center"/>
    </xf>
    <xf numFmtId="173" fontId="7" fillId="0" borderId="0" xfId="0" applyNumberFormat="1" applyFont="1" applyFill="1" applyAlignment="1">
      <alignment horizontal="center"/>
    </xf>
    <xf numFmtId="2" fontId="13" fillId="67" borderId="0" xfId="0" applyNumberFormat="1" applyFont="1" applyFill="1" applyAlignment="1">
      <alignment horizontal="center"/>
    </xf>
    <xf numFmtId="0" fontId="112" fillId="0" borderId="0" xfId="0" applyFont="1"/>
    <xf numFmtId="178" fontId="0" fillId="0" borderId="0" xfId="2589" applyNumberFormat="1" applyFont="1" applyFill="1"/>
    <xf numFmtId="2" fontId="0" fillId="0" borderId="0" xfId="0" applyNumberFormat="1" applyFill="1"/>
    <xf numFmtId="1" fontId="0" fillId="0" borderId="0" xfId="0" applyNumberFormat="1" applyFill="1"/>
    <xf numFmtId="2" fontId="7" fillId="17" borderId="0" xfId="0" applyNumberFormat="1" applyFont="1" applyFill="1" applyAlignment="1">
      <alignment horizontal="center"/>
    </xf>
    <xf numFmtId="2" fontId="10" fillId="0" borderId="24" xfId="0" applyNumberFormat="1" applyFont="1" applyFill="1" applyBorder="1" applyAlignment="1"/>
    <xf numFmtId="0" fontId="3" fillId="57" borderId="24" xfId="0" applyFont="1" applyFill="1" applyBorder="1"/>
    <xf numFmtId="2" fontId="6" fillId="0" borderId="42" xfId="3" applyNumberFormat="1" applyFont="1" applyFill="1" applyBorder="1" applyProtection="1"/>
    <xf numFmtId="0" fontId="7" fillId="17" borderId="25" xfId="0" applyFont="1" applyFill="1" applyBorder="1" applyAlignment="1">
      <alignment horizontal="center" wrapText="1"/>
    </xf>
    <xf numFmtId="166" fontId="0" fillId="0" borderId="0" xfId="0" applyNumberFormat="1" applyFill="1"/>
    <xf numFmtId="1" fontId="35" fillId="0" borderId="31" xfId="0" applyNumberFormat="1" applyFont="1" applyBorder="1" applyAlignment="1">
      <alignment horizontal="center"/>
    </xf>
    <xf numFmtId="1" fontId="35" fillId="0" borderId="13" xfId="0" applyNumberFormat="1" applyFont="1" applyBorder="1" applyAlignment="1">
      <alignment horizontal="center"/>
    </xf>
    <xf numFmtId="1" fontId="35" fillId="0" borderId="48" xfId="0" applyNumberFormat="1" applyFont="1" applyBorder="1" applyAlignment="1">
      <alignment horizontal="center"/>
    </xf>
    <xf numFmtId="1" fontId="35" fillId="0" borderId="50" xfId="0" applyNumberFormat="1" applyFont="1" applyBorder="1" applyAlignment="1">
      <alignment horizontal="center"/>
    </xf>
    <xf numFmtId="1" fontId="11" fillId="0" borderId="19" xfId="0" applyNumberFormat="1" applyFont="1" applyFill="1" applyBorder="1" applyAlignment="1">
      <alignment horizontal="center"/>
    </xf>
    <xf numFmtId="1" fontId="11" fillId="0" borderId="12" xfId="0" applyNumberFormat="1" applyFont="1" applyFill="1" applyBorder="1" applyAlignment="1">
      <alignment horizontal="center"/>
    </xf>
    <xf numFmtId="1" fontId="11" fillId="0" borderId="14" xfId="0" applyNumberFormat="1" applyFont="1" applyFill="1" applyBorder="1" applyAlignment="1">
      <alignment horizontal="center"/>
    </xf>
    <xf numFmtId="1" fontId="3" fillId="66" borderId="24" xfId="0" applyNumberFormat="1" applyFont="1" applyFill="1" applyBorder="1" applyAlignment="1">
      <alignment horizontal="right"/>
    </xf>
    <xf numFmtId="2" fontId="3" fillId="0" borderId="0" xfId="11" applyNumberFormat="1"/>
    <xf numFmtId="166" fontId="13" fillId="17" borderId="24" xfId="0" applyNumberFormat="1" applyFont="1" applyFill="1" applyBorder="1" applyAlignment="1">
      <alignment horizontal="right"/>
    </xf>
    <xf numFmtId="2" fontId="13" fillId="0" borderId="24" xfId="0" applyNumberFormat="1" applyFont="1" applyFill="1" applyBorder="1"/>
    <xf numFmtId="49" fontId="3" fillId="0" borderId="24" xfId="0" applyNumberFormat="1" applyFont="1" applyBorder="1" applyAlignment="1">
      <alignment horizontal="right"/>
    </xf>
    <xf numFmtId="166" fontId="3" fillId="0" borderId="29" xfId="0" applyNumberFormat="1" applyFont="1" applyFill="1" applyBorder="1" applyAlignment="1">
      <alignment horizontal="center"/>
    </xf>
    <xf numFmtId="166" fontId="3" fillId="0" borderId="27" xfId="0" applyNumberFormat="1" applyFont="1" applyFill="1" applyBorder="1" applyAlignment="1">
      <alignment horizontal="center"/>
    </xf>
    <xf numFmtId="3" fontId="0" fillId="0" borderId="24" xfId="2589" applyNumberFormat="1" applyFont="1" applyFill="1" applyBorder="1" applyAlignment="1">
      <alignment horizontal="center"/>
    </xf>
    <xf numFmtId="3" fontId="0" fillId="0" borderId="25" xfId="2589" applyNumberFormat="1" applyFont="1" applyFill="1" applyBorder="1" applyAlignment="1">
      <alignment horizontal="center"/>
    </xf>
    <xf numFmtId="3" fontId="0" fillId="0" borderId="21" xfId="2589" applyNumberFormat="1" applyFont="1" applyFill="1" applyBorder="1" applyAlignment="1">
      <alignment horizontal="center"/>
    </xf>
    <xf numFmtId="3" fontId="0" fillId="0" borderId="25" xfId="0" applyNumberFormat="1" applyFill="1" applyBorder="1" applyAlignment="1">
      <alignment horizontal="center"/>
    </xf>
    <xf numFmtId="2" fontId="13" fillId="0" borderId="24" xfId="0" applyNumberFormat="1" applyFont="1" applyFill="1" applyBorder="1" applyAlignment="1">
      <alignment horizontal="center"/>
    </xf>
    <xf numFmtId="0" fontId="7" fillId="96" borderId="0" xfId="0" applyFont="1" applyFill="1"/>
    <xf numFmtId="0" fontId="7" fillId="96" borderId="12" xfId="0" applyFont="1" applyFill="1" applyBorder="1" applyAlignment="1">
      <alignment horizontal="center"/>
    </xf>
    <xf numFmtId="0" fontId="69" fillId="96" borderId="0" xfId="0" applyFont="1" applyFill="1" applyAlignment="1">
      <alignment horizontal="center"/>
    </xf>
    <xf numFmtId="0" fontId="7" fillId="96" borderId="0" xfId="0" applyFont="1" applyFill="1" applyBorder="1"/>
    <xf numFmtId="0" fontId="13" fillId="96" borderId="25" xfId="0" applyFont="1" applyFill="1" applyBorder="1"/>
    <xf numFmtId="0" fontId="3" fillId="96" borderId="24" xfId="0" applyFont="1" applyFill="1" applyBorder="1" applyAlignment="1" applyProtection="1">
      <alignment horizontal="center" wrapText="1"/>
      <protection locked="0"/>
    </xf>
    <xf numFmtId="166" fontId="3" fillId="96" borderId="24" xfId="0" applyNumberFormat="1" applyFont="1" applyFill="1" applyBorder="1"/>
    <xf numFmtId="166" fontId="7" fillId="96" borderId="24" xfId="0" applyNumberFormat="1" applyFont="1" applyFill="1" applyBorder="1"/>
    <xf numFmtId="0" fontId="7" fillId="96" borderId="0" xfId="0" applyFont="1" applyFill="1" applyBorder="1" applyAlignment="1">
      <alignment horizontal="center"/>
    </xf>
    <xf numFmtId="0" fontId="13" fillId="96" borderId="29" xfId="0" applyFont="1" applyFill="1" applyBorder="1"/>
    <xf numFmtId="0" fontId="9" fillId="96" borderId="24" xfId="0" applyFont="1" applyFill="1" applyBorder="1" applyAlignment="1" applyProtection="1">
      <alignment horizontal="center" wrapText="1"/>
      <protection locked="0"/>
    </xf>
    <xf numFmtId="0" fontId="7" fillId="96" borderId="24" xfId="0" applyFont="1" applyFill="1" applyBorder="1" applyAlignment="1" applyProtection="1">
      <alignment horizontal="right" wrapText="1"/>
      <protection locked="0"/>
    </xf>
    <xf numFmtId="0" fontId="3" fillId="96" borderId="0" xfId="0" applyFont="1" applyFill="1" applyAlignment="1">
      <alignment wrapText="1"/>
    </xf>
    <xf numFmtId="2" fontId="3" fillId="96" borderId="24" xfId="0" applyNumberFormat="1" applyFont="1" applyFill="1" applyBorder="1"/>
    <xf numFmtId="1" fontId="3" fillId="96" borderId="24" xfId="0" applyNumberFormat="1" applyFont="1" applyFill="1" applyBorder="1"/>
    <xf numFmtId="0" fontId="3" fillId="96" borderId="24" xfId="0" applyFont="1" applyFill="1" applyBorder="1"/>
    <xf numFmtId="0" fontId="7" fillId="96" borderId="0" xfId="0" applyFont="1" applyFill="1" applyBorder="1" applyAlignment="1"/>
    <xf numFmtId="0" fontId="13" fillId="96" borderId="29" xfId="0" applyFont="1" applyFill="1" applyBorder="1" applyAlignment="1">
      <alignment horizontal="center"/>
    </xf>
    <xf numFmtId="0" fontId="3" fillId="96" borderId="29" xfId="0" applyFont="1" applyFill="1" applyBorder="1" applyAlignment="1">
      <alignment horizontal="left"/>
    </xf>
    <xf numFmtId="1" fontId="30" fillId="96" borderId="0" xfId="3" applyNumberFormat="1" applyFont="1" applyFill="1" applyBorder="1" applyAlignment="1" applyProtection="1">
      <alignment horizontal="center" wrapText="1"/>
    </xf>
    <xf numFmtId="2" fontId="3" fillId="96" borderId="0" xfId="0" applyNumberFormat="1" applyFont="1" applyFill="1" applyBorder="1" applyAlignment="1"/>
    <xf numFmtId="0" fontId="7" fillId="96" borderId="0" xfId="0" applyFont="1" applyFill="1" applyBorder="1" applyAlignment="1">
      <alignment horizontal="right"/>
    </xf>
    <xf numFmtId="16" fontId="11" fillId="0" borderId="0" xfId="0" applyNumberFormat="1" applyFont="1" applyFill="1"/>
    <xf numFmtId="179" fontId="0" fillId="0" borderId="0" xfId="0" applyNumberFormat="1"/>
    <xf numFmtId="166" fontId="11" fillId="73" borderId="24" xfId="3" applyNumberFormat="1" applyFont="1" applyFill="1" applyBorder="1" applyAlignment="1" applyProtection="1">
      <alignment horizontal="center"/>
    </xf>
    <xf numFmtId="166" fontId="11" fillId="97" borderId="24" xfId="3" applyNumberFormat="1" applyFont="1" applyFill="1" applyBorder="1" applyAlignment="1" applyProtection="1">
      <alignment horizontal="center"/>
    </xf>
    <xf numFmtId="1" fontId="11" fillId="97" borderId="24" xfId="3" applyNumberFormat="1" applyFont="1" applyFill="1" applyBorder="1" applyAlignment="1" applyProtection="1">
      <alignment horizontal="center"/>
    </xf>
    <xf numFmtId="1" fontId="3" fillId="96" borderId="0" xfId="0" applyNumberFormat="1" applyFont="1" applyFill="1" applyBorder="1"/>
    <xf numFmtId="1" fontId="11" fillId="63" borderId="19" xfId="0" applyNumberFormat="1" applyFont="1" applyFill="1" applyBorder="1" applyAlignment="1">
      <alignment horizontal="center"/>
    </xf>
    <xf numFmtId="1" fontId="11" fillId="63" borderId="12" xfId="0" applyNumberFormat="1" applyFont="1" applyFill="1" applyBorder="1" applyAlignment="1">
      <alignment horizontal="center"/>
    </xf>
    <xf numFmtId="1" fontId="11" fillId="63" borderId="14" xfId="0" applyNumberFormat="1" applyFont="1" applyFill="1" applyBorder="1" applyAlignment="1">
      <alignment horizontal="center"/>
    </xf>
    <xf numFmtId="2" fontId="13" fillId="17" borderId="24" xfId="0" applyNumberFormat="1" applyFont="1" applyFill="1" applyBorder="1" applyAlignment="1"/>
    <xf numFmtId="175" fontId="3" fillId="0" borderId="24" xfId="0" applyNumberFormat="1" applyFont="1" applyFill="1" applyBorder="1" applyAlignment="1"/>
    <xf numFmtId="2" fontId="69" fillId="0" borderId="24" xfId="0" applyNumberFormat="1" applyFont="1" applyFill="1" applyBorder="1" applyAlignment="1"/>
    <xf numFmtId="0" fontId="74" fillId="0" borderId="0" xfId="0" applyFont="1" applyAlignment="1">
      <alignment horizontal="left"/>
    </xf>
    <xf numFmtId="0" fontId="0" fillId="0" borderId="0" xfId="0" applyAlignment="1">
      <alignment horizontal="left"/>
    </xf>
    <xf numFmtId="14" fontId="0" fillId="0" borderId="0" xfId="0" applyNumberFormat="1" applyAlignment="1">
      <alignment horizontal="left"/>
    </xf>
    <xf numFmtId="0" fontId="3" fillId="0" borderId="0" xfId="0" applyFont="1" applyAlignment="1">
      <alignment horizontal="left"/>
    </xf>
    <xf numFmtId="0" fontId="42" fillId="0" borderId="46" xfId="2" applyNumberFormat="1" applyFill="1" applyBorder="1" applyAlignment="1">
      <alignment horizontal="center"/>
    </xf>
    <xf numFmtId="0" fontId="42" fillId="0" borderId="47" xfId="2" applyNumberFormat="1" applyFill="1" applyBorder="1" applyAlignment="1">
      <alignment horizontal="center"/>
    </xf>
    <xf numFmtId="0" fontId="42" fillId="61" borderId="42" xfId="2" applyNumberFormat="1" applyFill="1" applyBorder="1" applyAlignment="1">
      <alignment horizontal="center" wrapText="1"/>
    </xf>
    <xf numFmtId="0" fontId="42" fillId="61" borderId="64" xfId="2" applyNumberFormat="1" applyFill="1" applyBorder="1" applyAlignment="1">
      <alignment horizontal="center" wrapText="1"/>
    </xf>
    <xf numFmtId="0" fontId="42" fillId="61" borderId="44" xfId="2" applyNumberFormat="1" applyFill="1" applyBorder="1" applyAlignment="1">
      <alignment horizontal="center" wrapText="1"/>
    </xf>
    <xf numFmtId="0" fontId="42" fillId="62" borderId="42" xfId="2" applyNumberFormat="1" applyFill="1" applyBorder="1" applyAlignment="1">
      <alignment horizontal="center" vertical="center" wrapText="1"/>
    </xf>
    <xf numFmtId="0" fontId="42" fillId="62" borderId="64" xfId="2" applyNumberFormat="1" applyFill="1" applyBorder="1" applyAlignment="1">
      <alignment horizontal="center" vertical="center" wrapText="1"/>
    </xf>
    <xf numFmtId="0" fontId="42" fillId="62" borderId="44" xfId="2" applyNumberFormat="1" applyFill="1" applyBorder="1" applyAlignment="1">
      <alignment horizontal="center" vertical="center" wrapText="1"/>
    </xf>
    <xf numFmtId="0" fontId="42" fillId="62" borderId="42" xfId="2" applyNumberFormat="1" applyFill="1" applyBorder="1" applyAlignment="1">
      <alignment horizontal="center" vertical="center"/>
    </xf>
    <xf numFmtId="0" fontId="42" fillId="62" borderId="64" xfId="2" applyNumberFormat="1" applyFill="1" applyBorder="1" applyAlignment="1">
      <alignment horizontal="center" vertical="center"/>
    </xf>
    <xf numFmtId="0" fontId="42" fillId="62" borderId="44" xfId="2" applyNumberFormat="1" applyFill="1" applyBorder="1" applyAlignment="1">
      <alignment horizontal="center" vertical="center"/>
    </xf>
    <xf numFmtId="0" fontId="42" fillId="63" borderId="3" xfId="2" applyNumberFormat="1" applyFill="1" applyBorder="1" applyAlignment="1">
      <alignment horizontal="center" vertical="center" wrapText="1"/>
    </xf>
    <xf numFmtId="0" fontId="42" fillId="63" borderId="1" xfId="2" applyNumberFormat="1" applyFill="1" applyBorder="1" applyAlignment="1">
      <alignment horizontal="center" vertical="center" wrapText="1"/>
    </xf>
    <xf numFmtId="0" fontId="42" fillId="63" borderId="8" xfId="2" applyNumberFormat="1" applyFill="1" applyBorder="1" applyAlignment="1">
      <alignment horizontal="center" vertical="center" wrapText="1"/>
    </xf>
    <xf numFmtId="0" fontId="42" fillId="61" borderId="42" xfId="2" applyNumberFormat="1" applyFill="1" applyBorder="1" applyAlignment="1">
      <alignment horizontal="center" vertical="center" wrapText="1"/>
    </xf>
    <xf numFmtId="0" fontId="42" fillId="61" borderId="64" xfId="2" applyNumberFormat="1" applyFill="1" applyBorder="1" applyAlignment="1">
      <alignment horizontal="center" vertical="center" wrapText="1"/>
    </xf>
    <xf numFmtId="0" fontId="42" fillId="61" borderId="44" xfId="2" applyNumberFormat="1" applyFill="1" applyBorder="1" applyAlignment="1">
      <alignment horizontal="center" vertical="center" wrapText="1"/>
    </xf>
    <xf numFmtId="2" fontId="18" fillId="0" borderId="42" xfId="3" applyNumberFormat="1" applyFont="1" applyFill="1" applyBorder="1" applyAlignment="1" applyProtection="1">
      <alignment horizontal="center"/>
    </xf>
    <xf numFmtId="0" fontId="0" fillId="0" borderId="64" xfId="0" applyBorder="1"/>
    <xf numFmtId="0" fontId="0" fillId="0" borderId="44" xfId="0" applyBorder="1"/>
    <xf numFmtId="2" fontId="18" fillId="0" borderId="64" xfId="3" applyNumberFormat="1" applyFont="1" applyFill="1" applyBorder="1" applyAlignment="1" applyProtection="1">
      <alignment horizontal="center"/>
    </xf>
    <xf numFmtId="2" fontId="18" fillId="0" borderId="44" xfId="3" applyNumberFormat="1" applyFont="1" applyFill="1" applyBorder="1" applyAlignment="1" applyProtection="1">
      <alignment horizontal="center"/>
    </xf>
    <xf numFmtId="0" fontId="18" fillId="0" borderId="0" xfId="3" applyFont="1" applyFill="1" applyAlignment="1" applyProtection="1">
      <alignment horizontal="center"/>
    </xf>
    <xf numFmtId="0" fontId="20" fillId="0" borderId="0" xfId="0" applyFont="1" applyAlignment="1">
      <alignment horizontal="center"/>
    </xf>
    <xf numFmtId="2" fontId="18" fillId="0" borderId="17" xfId="3" applyNumberFormat="1" applyFont="1" applyFill="1" applyBorder="1" applyAlignment="1" applyProtection="1">
      <alignment horizontal="center"/>
    </xf>
    <xf numFmtId="2" fontId="18" fillId="0" borderId="7" xfId="3" applyNumberFormat="1" applyFont="1" applyFill="1" applyBorder="1" applyAlignment="1" applyProtection="1">
      <alignment horizontal="center"/>
    </xf>
    <xf numFmtId="2" fontId="18" fillId="0" borderId="1" xfId="3" applyNumberFormat="1" applyFont="1" applyFill="1" applyBorder="1" applyAlignment="1" applyProtection="1">
      <alignment horizontal="center"/>
    </xf>
    <xf numFmtId="2" fontId="18" fillId="0" borderId="8" xfId="3" applyNumberFormat="1" applyFont="1" applyFill="1" applyBorder="1" applyAlignment="1" applyProtection="1">
      <alignment horizontal="center"/>
    </xf>
    <xf numFmtId="0" fontId="14" fillId="0" borderId="0" xfId="3" applyFont="1" applyFill="1" applyAlignment="1" applyProtection="1">
      <alignment horizontal="center"/>
    </xf>
    <xf numFmtId="2" fontId="17" fillId="0" borderId="42" xfId="3" applyNumberFormat="1" applyFont="1" applyFill="1" applyBorder="1" applyAlignment="1" applyProtection="1">
      <alignment horizontal="center"/>
    </xf>
    <xf numFmtId="2" fontId="17" fillId="0" borderId="64"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17" fillId="0" borderId="8" xfId="3" applyNumberFormat="1" applyFont="1" applyFill="1" applyBorder="1" applyAlignment="1" applyProtection="1">
      <alignment horizontal="center"/>
    </xf>
    <xf numFmtId="2" fontId="15" fillId="0" borderId="1" xfId="3" applyNumberFormat="1" applyFont="1" applyFill="1" applyBorder="1" applyAlignment="1" applyProtection="1">
      <alignment horizontal="center"/>
    </xf>
    <xf numFmtId="2" fontId="17" fillId="0" borderId="0" xfId="3" applyNumberFormat="1" applyFont="1" applyFill="1" applyBorder="1" applyAlignment="1" applyProtection="1">
      <alignment horizontal="center"/>
    </xf>
    <xf numFmtId="2" fontId="15" fillId="0" borderId="42" xfId="3" applyNumberFormat="1" applyFont="1" applyFill="1" applyBorder="1" applyAlignment="1" applyProtection="1">
      <alignment horizontal="center"/>
    </xf>
    <xf numFmtId="2" fontId="17" fillId="0" borderId="51" xfId="3" applyNumberFormat="1" applyFont="1" applyFill="1" applyBorder="1" applyAlignment="1" applyProtection="1">
      <alignment horizontal="center"/>
    </xf>
    <xf numFmtId="0" fontId="11" fillId="63" borderId="10" xfId="0" applyFont="1" applyFill="1" applyBorder="1" applyAlignment="1">
      <alignment textRotation="90"/>
    </xf>
    <xf numFmtId="0" fontId="11" fillId="63" borderId="74" xfId="0" applyFont="1" applyFill="1" applyBorder="1" applyAlignment="1">
      <alignment textRotation="90"/>
    </xf>
    <xf numFmtId="0" fontId="11" fillId="63" borderId="11" xfId="0" applyFont="1" applyFill="1" applyBorder="1" applyAlignment="1">
      <alignment textRotation="90"/>
    </xf>
    <xf numFmtId="0" fontId="3" fillId="63" borderId="10" xfId="0" applyFont="1" applyFill="1" applyBorder="1" applyAlignment="1">
      <alignment horizontal="center" vertical="center" textRotation="90"/>
    </xf>
    <xf numFmtId="0" fontId="0" fillId="63" borderId="74" xfId="0" applyFill="1" applyBorder="1" applyAlignment="1">
      <alignment horizontal="center" vertical="center" textRotation="90"/>
    </xf>
    <xf numFmtId="0" fontId="0" fillId="63" borderId="11" xfId="0" applyFill="1" applyBorder="1" applyAlignment="1">
      <alignment horizontal="center" vertical="center" textRotation="90"/>
    </xf>
    <xf numFmtId="0" fontId="3" fillId="0" borderId="10" xfId="0" applyFont="1" applyBorder="1" applyAlignment="1">
      <alignment horizontal="center" vertical="center" textRotation="90"/>
    </xf>
    <xf numFmtId="0" fontId="0" fillId="0" borderId="74" xfId="0" applyBorder="1" applyAlignment="1">
      <alignment horizontal="center" vertical="center" textRotation="90"/>
    </xf>
    <xf numFmtId="0" fontId="0" fillId="0" borderId="11" xfId="0" applyBorder="1" applyAlignment="1">
      <alignment horizontal="center" vertical="center" textRotation="90"/>
    </xf>
    <xf numFmtId="0" fontId="11" fillId="63" borderId="10" xfId="0" applyFont="1" applyFill="1" applyBorder="1" applyAlignment="1">
      <alignment vertical="center" textRotation="90"/>
    </xf>
    <xf numFmtId="0" fontId="11" fillId="63" borderId="74" xfId="0" applyFont="1" applyFill="1" applyBorder="1"/>
    <xf numFmtId="0" fontId="11" fillId="63" borderId="11" xfId="0" applyFont="1" applyFill="1" applyBorder="1"/>
    <xf numFmtId="0" fontId="24" fillId="53" borderId="42" xfId="0" applyNumberFormat="1" applyFont="1" applyFill="1" applyBorder="1" applyAlignment="1">
      <alignment horizontal="center"/>
    </xf>
    <xf numFmtId="0" fontId="24" fillId="53" borderId="64" xfId="0" applyNumberFormat="1" applyFont="1" applyFill="1" applyBorder="1" applyAlignment="1">
      <alignment horizontal="center"/>
    </xf>
    <xf numFmtId="0" fontId="24" fillId="53" borderId="44" xfId="0" applyNumberFormat="1" applyFont="1" applyFill="1" applyBorder="1" applyAlignment="1">
      <alignment horizontal="center"/>
    </xf>
    <xf numFmtId="0" fontId="0" fillId="53" borderId="64" xfId="0" applyFill="1" applyBorder="1" applyAlignment="1">
      <alignment horizontal="center"/>
    </xf>
    <xf numFmtId="0" fontId="0" fillId="53" borderId="44" xfId="0" applyFill="1" applyBorder="1" applyAlignment="1">
      <alignment horizontal="center"/>
    </xf>
    <xf numFmtId="0" fontId="21" fillId="0" borderId="0" xfId="0" applyNumberFormat="1" applyFont="1" applyFill="1" applyBorder="1" applyAlignment="1">
      <alignment horizontal="center"/>
    </xf>
    <xf numFmtId="168" fontId="22" fillId="0" borderId="0" xfId="0" applyNumberFormat="1" applyFont="1" applyFill="1" applyBorder="1" applyAlignment="1">
      <alignment horizontal="center"/>
    </xf>
    <xf numFmtId="0" fontId="24" fillId="52" borderId="42" xfId="0" applyNumberFormat="1" applyFont="1" applyFill="1" applyBorder="1" applyAlignment="1">
      <alignment horizontal="center"/>
    </xf>
    <xf numFmtId="0" fontId="24" fillId="52" borderId="64" xfId="0" applyNumberFormat="1" applyFont="1" applyFill="1" applyBorder="1" applyAlignment="1">
      <alignment horizontal="center"/>
    </xf>
    <xf numFmtId="0" fontId="24" fillId="52" borderId="44" xfId="0" applyNumberFormat="1" applyFont="1" applyFill="1" applyBorder="1" applyAlignment="1">
      <alignment horizontal="center"/>
    </xf>
    <xf numFmtId="0" fontId="24" fillId="0" borderId="42" xfId="0" applyNumberFormat="1" applyFont="1" applyFill="1" applyBorder="1" applyAlignment="1">
      <alignment horizontal="center"/>
    </xf>
    <xf numFmtId="0" fontId="24" fillId="0" borderId="64" xfId="0" applyNumberFormat="1" applyFont="1" applyFill="1" applyBorder="1" applyAlignment="1">
      <alignment horizontal="center"/>
    </xf>
    <xf numFmtId="0" fontId="24" fillId="0" borderId="44" xfId="0" applyNumberFormat="1" applyFont="1" applyFill="1" applyBorder="1" applyAlignment="1">
      <alignment horizontal="center"/>
    </xf>
    <xf numFmtId="0" fontId="7" fillId="0" borderId="74" xfId="0" applyFont="1" applyFill="1" applyBorder="1" applyAlignment="1">
      <alignment horizontal="center"/>
    </xf>
    <xf numFmtId="0" fontId="7" fillId="0" borderId="6" xfId="0" applyFont="1" applyFill="1" applyBorder="1" applyAlignment="1">
      <alignment horizontal="center"/>
    </xf>
    <xf numFmtId="0" fontId="7" fillId="0" borderId="37" xfId="0" applyFont="1" applyFill="1" applyBorder="1" applyAlignment="1">
      <alignment horizontal="center"/>
    </xf>
    <xf numFmtId="0" fontId="7" fillId="0" borderId="39" xfId="0" applyFont="1" applyFill="1" applyBorder="1" applyAlignment="1">
      <alignment horizontal="center"/>
    </xf>
    <xf numFmtId="179" fontId="29" fillId="5" borderId="0" xfId="0" applyNumberFormat="1" applyFont="1" applyFill="1" applyBorder="1" applyAlignment="1">
      <alignment horizontal="right"/>
    </xf>
    <xf numFmtId="0" fontId="24" fillId="4" borderId="42" xfId="0" applyNumberFormat="1" applyFont="1" applyFill="1" applyBorder="1" applyAlignment="1">
      <alignment horizontal="center"/>
    </xf>
    <xf numFmtId="0" fontId="24" fillId="4" borderId="44" xfId="0" applyNumberFormat="1" applyFont="1" applyFill="1" applyBorder="1" applyAlignment="1">
      <alignment horizontal="center"/>
    </xf>
    <xf numFmtId="0" fontId="24" fillId="8" borderId="42" xfId="0" applyNumberFormat="1" applyFont="1" applyFill="1" applyBorder="1" applyAlignment="1">
      <alignment horizontal="center"/>
    </xf>
    <xf numFmtId="0" fontId="24" fillId="8" borderId="64"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4" borderId="64" xfId="0" applyNumberFormat="1" applyFont="1" applyFill="1" applyBorder="1" applyAlignment="1">
      <alignment horizontal="center"/>
    </xf>
    <xf numFmtId="0" fontId="24" fillId="9" borderId="42" xfId="0" applyNumberFormat="1" applyFont="1" applyFill="1" applyBorder="1" applyAlignment="1">
      <alignment horizontal="center"/>
    </xf>
    <xf numFmtId="0" fontId="24" fillId="9" borderId="64" xfId="0" applyNumberFormat="1" applyFont="1" applyFill="1" applyBorder="1" applyAlignment="1">
      <alignment horizontal="center"/>
    </xf>
    <xf numFmtId="0" fontId="24" fillId="9" borderId="44" xfId="0" applyNumberFormat="1" applyFont="1" applyFill="1" applyBorder="1" applyAlignment="1">
      <alignment horizontal="center"/>
    </xf>
    <xf numFmtId="0" fontId="7" fillId="0" borderId="21" xfId="0" applyFont="1" applyFill="1" applyBorder="1" applyAlignment="1">
      <alignment horizontal="center"/>
    </xf>
    <xf numFmtId="0" fontId="7" fillId="0" borderId="33" xfId="0" applyFont="1" applyFill="1" applyBorder="1" applyAlignment="1">
      <alignment horizontal="left"/>
    </xf>
    <xf numFmtId="0" fontId="7" fillId="0" borderId="22" xfId="0" applyFont="1" applyFill="1" applyBorder="1" applyAlignment="1">
      <alignment horizontal="left"/>
    </xf>
    <xf numFmtId="0" fontId="3" fillId="59" borderId="21" xfId="0" applyFont="1" applyFill="1" applyBorder="1" applyAlignment="1">
      <alignment horizontal="center" wrapText="1"/>
    </xf>
    <xf numFmtId="0" fontId="0" fillId="59" borderId="24" xfId="0" applyFill="1" applyBorder="1" applyAlignment="1">
      <alignment horizontal="center" wrapText="1"/>
    </xf>
    <xf numFmtId="0" fontId="0" fillId="59" borderId="25" xfId="0" applyFill="1" applyBorder="1" applyAlignment="1">
      <alignment horizontal="center" wrapText="1"/>
    </xf>
    <xf numFmtId="0" fontId="7" fillId="0" borderId="21" xfId="0" applyFont="1" applyFill="1" applyBorder="1" applyAlignment="1">
      <alignment horizontal="center" wrapText="1"/>
    </xf>
    <xf numFmtId="0" fontId="0" fillId="0" borderId="24" xfId="0" applyFill="1" applyBorder="1" applyAlignment="1">
      <alignment horizontal="center" wrapText="1"/>
    </xf>
    <xf numFmtId="0" fontId="0" fillId="0" borderId="25" xfId="0" applyFill="1" applyBorder="1" applyAlignment="1">
      <alignment horizontal="center" wrapText="1"/>
    </xf>
    <xf numFmtId="0" fontId="7" fillId="0" borderId="24" xfId="0" applyFont="1" applyFill="1" applyBorder="1" applyAlignment="1">
      <alignment horizontal="center" wrapText="1"/>
    </xf>
    <xf numFmtId="0" fontId="7" fillId="0" borderId="25" xfId="0" applyFont="1" applyFill="1" applyBorder="1" applyAlignment="1">
      <alignment horizontal="center" wrapText="1"/>
    </xf>
    <xf numFmtId="0" fontId="3" fillId="17" borderId="21" xfId="0" applyFont="1" applyFill="1" applyBorder="1" applyAlignment="1">
      <alignment horizontal="center" wrapText="1"/>
    </xf>
    <xf numFmtId="0" fontId="0" fillId="17" borderId="24" xfId="0" applyFill="1" applyBorder="1" applyAlignment="1">
      <alignment horizontal="center" wrapText="1"/>
    </xf>
    <xf numFmtId="0" fontId="0" fillId="17" borderId="25" xfId="0" applyFill="1" applyBorder="1" applyAlignment="1">
      <alignment horizontal="center" wrapText="1"/>
    </xf>
    <xf numFmtId="0" fontId="7" fillId="17" borderId="21" xfId="0" applyFont="1" applyFill="1" applyBorder="1" applyAlignment="1">
      <alignment horizontal="center" wrapText="1"/>
    </xf>
    <xf numFmtId="0" fontId="7" fillId="17" borderId="24" xfId="0" applyFont="1" applyFill="1" applyBorder="1" applyAlignment="1">
      <alignment horizontal="center" wrapText="1"/>
    </xf>
    <xf numFmtId="0" fontId="7" fillId="17" borderId="25" xfId="0" applyFont="1" applyFill="1" applyBorder="1" applyAlignment="1">
      <alignment horizontal="center" wrapText="1"/>
    </xf>
    <xf numFmtId="0" fontId="13" fillId="0" borderId="30" xfId="0" applyFont="1" applyBorder="1" applyAlignment="1">
      <alignment horizontal="center"/>
    </xf>
    <xf numFmtId="0" fontId="4" fillId="0" borderId="42" xfId="0" applyFont="1" applyFill="1" applyBorder="1" applyAlignment="1">
      <alignment horizontal="center"/>
    </xf>
    <xf numFmtId="0" fontId="4" fillId="0" borderId="44" xfId="0" applyFont="1" applyFill="1" applyBorder="1" applyAlignment="1">
      <alignment horizontal="center"/>
    </xf>
    <xf numFmtId="0" fontId="15" fillId="0" borderId="0" xfId="3" applyFont="1" applyFill="1" applyAlignment="1" applyProtection="1">
      <alignment horizontal="center"/>
    </xf>
    <xf numFmtId="0" fontId="0" fillId="0" borderId="0" xfId="0" applyAlignment="1">
      <alignment horizontal="center"/>
    </xf>
  </cellXfs>
  <cellStyles count="2590">
    <cellStyle name="20% - Accent1" xfId="29" builtinId="30" customBuiltin="1"/>
    <cellStyle name="20% - Accent1 10" xfId="320"/>
    <cellStyle name="20% - Accent1 11" xfId="56"/>
    <cellStyle name="20% - Accent1 2" xfId="148"/>
    <cellStyle name="20% - Accent1 2 10" xfId="350"/>
    <cellStyle name="20% - Accent1 2 2" xfId="425"/>
    <cellStyle name="20% - Accent1 2 2 2" xfId="1178"/>
    <cellStyle name="20% - Accent1 2 2 2 2" xfId="2300"/>
    <cellStyle name="20% - Accent1 2 2 3" xfId="802"/>
    <cellStyle name="20% - Accent1 2 2 3 2" xfId="1926"/>
    <cellStyle name="20% - Accent1 2 2 4" xfId="1552"/>
    <cellStyle name="20% - Accent1 2 3" xfId="491"/>
    <cellStyle name="20% - Accent1 2 3 2" xfId="1244"/>
    <cellStyle name="20% - Accent1 2 3 2 2" xfId="2366"/>
    <cellStyle name="20% - Accent1 2 3 3" xfId="868"/>
    <cellStyle name="20% - Accent1 2 3 3 2" xfId="1992"/>
    <cellStyle name="20% - Accent1 2 3 4" xfId="1618"/>
    <cellStyle name="20% - Accent1 2 4" xfId="561"/>
    <cellStyle name="20% - Accent1 2 4 2" xfId="1314"/>
    <cellStyle name="20% - Accent1 2 4 2 2" xfId="2436"/>
    <cellStyle name="20% - Accent1 2 4 3" xfId="938"/>
    <cellStyle name="20% - Accent1 2 4 3 2" xfId="2062"/>
    <cellStyle name="20% - Accent1 2 4 4" xfId="1688"/>
    <cellStyle name="20% - Accent1 2 5" xfId="587"/>
    <cellStyle name="20% - Accent1 2 5 2" xfId="1340"/>
    <cellStyle name="20% - Accent1 2 5 2 2" xfId="2462"/>
    <cellStyle name="20% - Accent1 2 5 3" xfId="964"/>
    <cellStyle name="20% - Accent1 2 5 3 2" xfId="2088"/>
    <cellStyle name="20% - Accent1 2 5 4" xfId="1714"/>
    <cellStyle name="20% - Accent1 2 6" xfId="681"/>
    <cellStyle name="20% - Accent1 2 6 2" xfId="1434"/>
    <cellStyle name="20% - Accent1 2 6 2 2" xfId="2556"/>
    <cellStyle name="20% - Accent1 2 6 3" xfId="1058"/>
    <cellStyle name="20% - Accent1 2 6 3 2" xfId="2182"/>
    <cellStyle name="20% - Accent1 2 6 4" xfId="1808"/>
    <cellStyle name="20% - Accent1 2 7" xfId="1110"/>
    <cellStyle name="20% - Accent1 2 7 2" xfId="2234"/>
    <cellStyle name="20% - Accent1 2 8" xfId="734"/>
    <cellStyle name="20% - Accent1 2 8 2" xfId="1860"/>
    <cellStyle name="20% - Accent1 2 9" xfId="1486"/>
    <cellStyle name="20% - Accent1 3" xfId="122"/>
    <cellStyle name="20% - Accent1 3 2" xfId="201"/>
    <cellStyle name="20% - Accent1 3 2 2" xfId="2267"/>
    <cellStyle name="20% - Accent1 3 2 3" xfId="1145"/>
    <cellStyle name="20% - Accent1 3 3" xfId="769"/>
    <cellStyle name="20% - Accent1 3 3 2" xfId="1893"/>
    <cellStyle name="20% - Accent1 3 4" xfId="1519"/>
    <cellStyle name="20% - Accent1 3 5" xfId="390"/>
    <cellStyle name="20% - Accent1 4" xfId="246"/>
    <cellStyle name="20% - Accent1 4 2" xfId="1211"/>
    <cellStyle name="20% - Accent1 4 2 2" xfId="2333"/>
    <cellStyle name="20% - Accent1 4 3" xfId="835"/>
    <cellStyle name="20% - Accent1 4 3 2" xfId="1959"/>
    <cellStyle name="20% - Accent1 4 4" xfId="1585"/>
    <cellStyle name="20% - Accent1 4 5" xfId="458"/>
    <cellStyle name="20% - Accent1 4 6" xfId="294"/>
    <cellStyle name="20% - Accent1 5" xfId="528"/>
    <cellStyle name="20% - Accent1 5 2" xfId="1281"/>
    <cellStyle name="20% - Accent1 5 2 2" xfId="2403"/>
    <cellStyle name="20% - Accent1 5 3" xfId="905"/>
    <cellStyle name="20% - Accent1 5 3 2" xfId="2029"/>
    <cellStyle name="20% - Accent1 5 4" xfId="1655"/>
    <cellStyle name="20% - Accent1 6" xfId="648"/>
    <cellStyle name="20% - Accent1 6 2" xfId="1401"/>
    <cellStyle name="20% - Accent1 6 2 2" xfId="2523"/>
    <cellStyle name="20% - Accent1 6 3" xfId="1025"/>
    <cellStyle name="20% - Accent1 6 3 2" xfId="2149"/>
    <cellStyle name="20% - Accent1 6 4" xfId="1775"/>
    <cellStyle name="20% - Accent1 7" xfId="1085"/>
    <cellStyle name="20% - Accent1 7 2" xfId="2209"/>
    <cellStyle name="20% - Accent1 8" xfId="709"/>
    <cellStyle name="20% - Accent1 8 2" xfId="1835"/>
    <cellStyle name="20% - Accent1 9" xfId="1461"/>
    <cellStyle name="20% - Accent2" xfId="33" builtinId="34" customBuiltin="1"/>
    <cellStyle name="20% - Accent2 10" xfId="321"/>
    <cellStyle name="20% - Accent2 11" xfId="57"/>
    <cellStyle name="20% - Accent2 2" xfId="149"/>
    <cellStyle name="20% - Accent2 2 10" xfId="352"/>
    <cellStyle name="20% - Accent2 2 2" xfId="427"/>
    <cellStyle name="20% - Accent2 2 2 2" xfId="1180"/>
    <cellStyle name="20% - Accent2 2 2 2 2" xfId="2302"/>
    <cellStyle name="20% - Accent2 2 2 3" xfId="804"/>
    <cellStyle name="20% - Accent2 2 2 3 2" xfId="1928"/>
    <cellStyle name="20% - Accent2 2 2 4" xfId="1554"/>
    <cellStyle name="20% - Accent2 2 3" xfId="493"/>
    <cellStyle name="20% - Accent2 2 3 2" xfId="1246"/>
    <cellStyle name="20% - Accent2 2 3 2 2" xfId="2368"/>
    <cellStyle name="20% - Accent2 2 3 3" xfId="870"/>
    <cellStyle name="20% - Accent2 2 3 3 2" xfId="1994"/>
    <cellStyle name="20% - Accent2 2 3 4" xfId="1620"/>
    <cellStyle name="20% - Accent2 2 4" xfId="563"/>
    <cellStyle name="20% - Accent2 2 4 2" xfId="1316"/>
    <cellStyle name="20% - Accent2 2 4 2 2" xfId="2438"/>
    <cellStyle name="20% - Accent2 2 4 3" xfId="940"/>
    <cellStyle name="20% - Accent2 2 4 3 2" xfId="2064"/>
    <cellStyle name="20% - Accent2 2 4 4" xfId="1690"/>
    <cellStyle name="20% - Accent2 2 5" xfId="588"/>
    <cellStyle name="20% - Accent2 2 5 2" xfId="1341"/>
    <cellStyle name="20% - Accent2 2 5 2 2" xfId="2463"/>
    <cellStyle name="20% - Accent2 2 5 3" xfId="965"/>
    <cellStyle name="20% - Accent2 2 5 3 2" xfId="2089"/>
    <cellStyle name="20% - Accent2 2 5 4" xfId="1715"/>
    <cellStyle name="20% - Accent2 2 6" xfId="683"/>
    <cellStyle name="20% - Accent2 2 6 2" xfId="1436"/>
    <cellStyle name="20% - Accent2 2 6 2 2" xfId="2558"/>
    <cellStyle name="20% - Accent2 2 6 3" xfId="1060"/>
    <cellStyle name="20% - Accent2 2 6 3 2" xfId="2184"/>
    <cellStyle name="20% - Accent2 2 6 4" xfId="1810"/>
    <cellStyle name="20% - Accent2 2 7" xfId="1112"/>
    <cellStyle name="20% - Accent2 2 7 2" xfId="2236"/>
    <cellStyle name="20% - Accent2 2 8" xfId="736"/>
    <cellStyle name="20% - Accent2 2 8 2" xfId="1862"/>
    <cellStyle name="20% - Accent2 2 9" xfId="1488"/>
    <cellStyle name="20% - Accent2 3" xfId="126"/>
    <cellStyle name="20% - Accent2 3 2" xfId="203"/>
    <cellStyle name="20% - Accent2 3 2 2" xfId="2269"/>
    <cellStyle name="20% - Accent2 3 2 3" xfId="1147"/>
    <cellStyle name="20% - Accent2 3 3" xfId="771"/>
    <cellStyle name="20% - Accent2 3 3 2" xfId="1895"/>
    <cellStyle name="20% - Accent2 3 4" xfId="1521"/>
    <cellStyle name="20% - Accent2 3 5" xfId="392"/>
    <cellStyle name="20% - Accent2 4" xfId="250"/>
    <cellStyle name="20% - Accent2 4 2" xfId="1213"/>
    <cellStyle name="20% - Accent2 4 2 2" xfId="2335"/>
    <cellStyle name="20% - Accent2 4 3" xfId="837"/>
    <cellStyle name="20% - Accent2 4 3 2" xfId="1961"/>
    <cellStyle name="20% - Accent2 4 4" xfId="1587"/>
    <cellStyle name="20% - Accent2 4 5" xfId="460"/>
    <cellStyle name="20% - Accent2 4 6" xfId="298"/>
    <cellStyle name="20% - Accent2 5" xfId="530"/>
    <cellStyle name="20% - Accent2 5 2" xfId="1283"/>
    <cellStyle name="20% - Accent2 5 2 2" xfId="2405"/>
    <cellStyle name="20% - Accent2 5 3" xfId="907"/>
    <cellStyle name="20% - Accent2 5 3 2" xfId="2031"/>
    <cellStyle name="20% - Accent2 5 4" xfId="1657"/>
    <cellStyle name="20% - Accent2 6" xfId="650"/>
    <cellStyle name="20% - Accent2 6 2" xfId="1403"/>
    <cellStyle name="20% - Accent2 6 2 2" xfId="2525"/>
    <cellStyle name="20% - Accent2 6 3" xfId="1027"/>
    <cellStyle name="20% - Accent2 6 3 2" xfId="2151"/>
    <cellStyle name="20% - Accent2 6 4" xfId="1777"/>
    <cellStyle name="20% - Accent2 7" xfId="1086"/>
    <cellStyle name="20% - Accent2 7 2" xfId="2210"/>
    <cellStyle name="20% - Accent2 8" xfId="710"/>
    <cellStyle name="20% - Accent2 8 2" xfId="1836"/>
    <cellStyle name="20% - Accent2 9" xfId="1462"/>
    <cellStyle name="20% - Accent3" xfId="37" builtinId="38" customBuiltin="1"/>
    <cellStyle name="20% - Accent3 10" xfId="322"/>
    <cellStyle name="20% - Accent3 11" xfId="58"/>
    <cellStyle name="20% - Accent3 2" xfId="150"/>
    <cellStyle name="20% - Accent3 2 10" xfId="354"/>
    <cellStyle name="20% - Accent3 2 2" xfId="429"/>
    <cellStyle name="20% - Accent3 2 2 2" xfId="1182"/>
    <cellStyle name="20% - Accent3 2 2 2 2" xfId="2304"/>
    <cellStyle name="20% - Accent3 2 2 3" xfId="806"/>
    <cellStyle name="20% - Accent3 2 2 3 2" xfId="1930"/>
    <cellStyle name="20% - Accent3 2 2 4" xfId="1556"/>
    <cellStyle name="20% - Accent3 2 3" xfId="495"/>
    <cellStyle name="20% - Accent3 2 3 2" xfId="1248"/>
    <cellStyle name="20% - Accent3 2 3 2 2" xfId="2370"/>
    <cellStyle name="20% - Accent3 2 3 3" xfId="872"/>
    <cellStyle name="20% - Accent3 2 3 3 2" xfId="1996"/>
    <cellStyle name="20% - Accent3 2 3 4" xfId="1622"/>
    <cellStyle name="20% - Accent3 2 4" xfId="565"/>
    <cellStyle name="20% - Accent3 2 4 2" xfId="1318"/>
    <cellStyle name="20% - Accent3 2 4 2 2" xfId="2440"/>
    <cellStyle name="20% - Accent3 2 4 3" xfId="942"/>
    <cellStyle name="20% - Accent3 2 4 3 2" xfId="2066"/>
    <cellStyle name="20% - Accent3 2 4 4" xfId="1692"/>
    <cellStyle name="20% - Accent3 2 5" xfId="589"/>
    <cellStyle name="20% - Accent3 2 5 2" xfId="1342"/>
    <cellStyle name="20% - Accent3 2 5 2 2" xfId="2464"/>
    <cellStyle name="20% - Accent3 2 5 3" xfId="966"/>
    <cellStyle name="20% - Accent3 2 5 3 2" xfId="2090"/>
    <cellStyle name="20% - Accent3 2 5 4" xfId="1716"/>
    <cellStyle name="20% - Accent3 2 6" xfId="685"/>
    <cellStyle name="20% - Accent3 2 6 2" xfId="1438"/>
    <cellStyle name="20% - Accent3 2 6 2 2" xfId="2560"/>
    <cellStyle name="20% - Accent3 2 6 3" xfId="1062"/>
    <cellStyle name="20% - Accent3 2 6 3 2" xfId="2186"/>
    <cellStyle name="20% - Accent3 2 6 4" xfId="1812"/>
    <cellStyle name="20% - Accent3 2 7" xfId="1114"/>
    <cellStyle name="20% - Accent3 2 7 2" xfId="2238"/>
    <cellStyle name="20% - Accent3 2 8" xfId="738"/>
    <cellStyle name="20% - Accent3 2 8 2" xfId="1864"/>
    <cellStyle name="20% - Accent3 2 9" xfId="1490"/>
    <cellStyle name="20% - Accent3 3" xfId="130"/>
    <cellStyle name="20% - Accent3 3 2" xfId="205"/>
    <cellStyle name="20% - Accent3 3 2 2" xfId="2271"/>
    <cellStyle name="20% - Accent3 3 2 3" xfId="1149"/>
    <cellStyle name="20% - Accent3 3 3" xfId="773"/>
    <cellStyle name="20% - Accent3 3 3 2" xfId="1897"/>
    <cellStyle name="20% - Accent3 3 4" xfId="1523"/>
    <cellStyle name="20% - Accent3 3 5" xfId="394"/>
    <cellStyle name="20% - Accent3 4" xfId="254"/>
    <cellStyle name="20% - Accent3 4 2" xfId="1215"/>
    <cellStyle name="20% - Accent3 4 2 2" xfId="2337"/>
    <cellStyle name="20% - Accent3 4 3" xfId="839"/>
    <cellStyle name="20% - Accent3 4 3 2" xfId="1963"/>
    <cellStyle name="20% - Accent3 4 4" xfId="1589"/>
    <cellStyle name="20% - Accent3 4 5" xfId="462"/>
    <cellStyle name="20% - Accent3 4 6" xfId="302"/>
    <cellStyle name="20% - Accent3 5" xfId="532"/>
    <cellStyle name="20% - Accent3 5 2" xfId="1285"/>
    <cellStyle name="20% - Accent3 5 2 2" xfId="2407"/>
    <cellStyle name="20% - Accent3 5 3" xfId="909"/>
    <cellStyle name="20% - Accent3 5 3 2" xfId="2033"/>
    <cellStyle name="20% - Accent3 5 4" xfId="1659"/>
    <cellStyle name="20% - Accent3 6" xfId="652"/>
    <cellStyle name="20% - Accent3 6 2" xfId="1405"/>
    <cellStyle name="20% - Accent3 6 2 2" xfId="2527"/>
    <cellStyle name="20% - Accent3 6 3" xfId="1029"/>
    <cellStyle name="20% - Accent3 6 3 2" xfId="2153"/>
    <cellStyle name="20% - Accent3 6 4" xfId="1779"/>
    <cellStyle name="20% - Accent3 7" xfId="1087"/>
    <cellStyle name="20% - Accent3 7 2" xfId="2211"/>
    <cellStyle name="20% - Accent3 8" xfId="711"/>
    <cellStyle name="20% - Accent3 8 2" xfId="1837"/>
    <cellStyle name="20% - Accent3 9" xfId="1463"/>
    <cellStyle name="20% - Accent4" xfId="41" builtinId="42" customBuiltin="1"/>
    <cellStyle name="20% - Accent4 10" xfId="323"/>
    <cellStyle name="20% - Accent4 11" xfId="59"/>
    <cellStyle name="20% - Accent4 2" xfId="151"/>
    <cellStyle name="20% - Accent4 2 10" xfId="356"/>
    <cellStyle name="20% - Accent4 2 2" xfId="431"/>
    <cellStyle name="20% - Accent4 2 2 2" xfId="1184"/>
    <cellStyle name="20% - Accent4 2 2 2 2" xfId="2306"/>
    <cellStyle name="20% - Accent4 2 2 3" xfId="808"/>
    <cellStyle name="20% - Accent4 2 2 3 2" xfId="1932"/>
    <cellStyle name="20% - Accent4 2 2 4" xfId="1558"/>
    <cellStyle name="20% - Accent4 2 3" xfId="497"/>
    <cellStyle name="20% - Accent4 2 3 2" xfId="1250"/>
    <cellStyle name="20% - Accent4 2 3 2 2" xfId="2372"/>
    <cellStyle name="20% - Accent4 2 3 3" xfId="874"/>
    <cellStyle name="20% - Accent4 2 3 3 2" xfId="1998"/>
    <cellStyle name="20% - Accent4 2 3 4" xfId="1624"/>
    <cellStyle name="20% - Accent4 2 4" xfId="567"/>
    <cellStyle name="20% - Accent4 2 4 2" xfId="1320"/>
    <cellStyle name="20% - Accent4 2 4 2 2" xfId="2442"/>
    <cellStyle name="20% - Accent4 2 4 3" xfId="944"/>
    <cellStyle name="20% - Accent4 2 4 3 2" xfId="2068"/>
    <cellStyle name="20% - Accent4 2 4 4" xfId="1694"/>
    <cellStyle name="20% - Accent4 2 5" xfId="590"/>
    <cellStyle name="20% - Accent4 2 5 2" xfId="1343"/>
    <cellStyle name="20% - Accent4 2 5 2 2" xfId="2465"/>
    <cellStyle name="20% - Accent4 2 5 3" xfId="967"/>
    <cellStyle name="20% - Accent4 2 5 3 2" xfId="2091"/>
    <cellStyle name="20% - Accent4 2 5 4" xfId="1717"/>
    <cellStyle name="20% - Accent4 2 6" xfId="687"/>
    <cellStyle name="20% - Accent4 2 6 2" xfId="1440"/>
    <cellStyle name="20% - Accent4 2 6 2 2" xfId="2562"/>
    <cellStyle name="20% - Accent4 2 6 3" xfId="1064"/>
    <cellStyle name="20% - Accent4 2 6 3 2" xfId="2188"/>
    <cellStyle name="20% - Accent4 2 6 4" xfId="1814"/>
    <cellStyle name="20% - Accent4 2 7" xfId="1116"/>
    <cellStyle name="20% - Accent4 2 7 2" xfId="2240"/>
    <cellStyle name="20% - Accent4 2 8" xfId="740"/>
    <cellStyle name="20% - Accent4 2 8 2" xfId="1866"/>
    <cellStyle name="20% - Accent4 2 9" xfId="1492"/>
    <cellStyle name="20% - Accent4 3" xfId="134"/>
    <cellStyle name="20% - Accent4 3 2" xfId="207"/>
    <cellStyle name="20% - Accent4 3 2 2" xfId="2273"/>
    <cellStyle name="20% - Accent4 3 2 3" xfId="1151"/>
    <cellStyle name="20% - Accent4 3 3" xfId="775"/>
    <cellStyle name="20% - Accent4 3 3 2" xfId="1899"/>
    <cellStyle name="20% - Accent4 3 4" xfId="1525"/>
    <cellStyle name="20% - Accent4 3 5" xfId="396"/>
    <cellStyle name="20% - Accent4 4" xfId="258"/>
    <cellStyle name="20% - Accent4 4 2" xfId="1217"/>
    <cellStyle name="20% - Accent4 4 2 2" xfId="2339"/>
    <cellStyle name="20% - Accent4 4 3" xfId="841"/>
    <cellStyle name="20% - Accent4 4 3 2" xfId="1965"/>
    <cellStyle name="20% - Accent4 4 4" xfId="1591"/>
    <cellStyle name="20% - Accent4 4 5" xfId="464"/>
    <cellStyle name="20% - Accent4 4 6" xfId="306"/>
    <cellStyle name="20% - Accent4 5" xfId="534"/>
    <cellStyle name="20% - Accent4 5 2" xfId="1287"/>
    <cellStyle name="20% - Accent4 5 2 2" xfId="2409"/>
    <cellStyle name="20% - Accent4 5 3" xfId="911"/>
    <cellStyle name="20% - Accent4 5 3 2" xfId="2035"/>
    <cellStyle name="20% - Accent4 5 4" xfId="1661"/>
    <cellStyle name="20% - Accent4 6" xfId="654"/>
    <cellStyle name="20% - Accent4 6 2" xfId="1407"/>
    <cellStyle name="20% - Accent4 6 2 2" xfId="2529"/>
    <cellStyle name="20% - Accent4 6 3" xfId="1031"/>
    <cellStyle name="20% - Accent4 6 3 2" xfId="2155"/>
    <cellStyle name="20% - Accent4 6 4" xfId="1781"/>
    <cellStyle name="20% - Accent4 7" xfId="1088"/>
    <cellStyle name="20% - Accent4 7 2" xfId="2212"/>
    <cellStyle name="20% - Accent4 8" xfId="712"/>
    <cellStyle name="20% - Accent4 8 2" xfId="1838"/>
    <cellStyle name="20% - Accent4 9" xfId="1464"/>
    <cellStyle name="20% - Accent5" xfId="45" builtinId="46" customBuiltin="1"/>
    <cellStyle name="20% - Accent5 10" xfId="324"/>
    <cellStyle name="20% - Accent5 11" xfId="60"/>
    <cellStyle name="20% - Accent5 2" xfId="152"/>
    <cellStyle name="20% - Accent5 2 10" xfId="358"/>
    <cellStyle name="20% - Accent5 2 2" xfId="433"/>
    <cellStyle name="20% - Accent5 2 2 2" xfId="1186"/>
    <cellStyle name="20% - Accent5 2 2 2 2" xfId="2308"/>
    <cellStyle name="20% - Accent5 2 2 3" xfId="810"/>
    <cellStyle name="20% - Accent5 2 2 3 2" xfId="1934"/>
    <cellStyle name="20% - Accent5 2 2 4" xfId="1560"/>
    <cellStyle name="20% - Accent5 2 3" xfId="499"/>
    <cellStyle name="20% - Accent5 2 3 2" xfId="1252"/>
    <cellStyle name="20% - Accent5 2 3 2 2" xfId="2374"/>
    <cellStyle name="20% - Accent5 2 3 3" xfId="876"/>
    <cellStyle name="20% - Accent5 2 3 3 2" xfId="2000"/>
    <cellStyle name="20% - Accent5 2 3 4" xfId="1626"/>
    <cellStyle name="20% - Accent5 2 4" xfId="569"/>
    <cellStyle name="20% - Accent5 2 4 2" xfId="1322"/>
    <cellStyle name="20% - Accent5 2 4 2 2" xfId="2444"/>
    <cellStyle name="20% - Accent5 2 4 3" xfId="946"/>
    <cellStyle name="20% - Accent5 2 4 3 2" xfId="2070"/>
    <cellStyle name="20% - Accent5 2 4 4" xfId="1696"/>
    <cellStyle name="20% - Accent5 2 5" xfId="591"/>
    <cellStyle name="20% - Accent5 2 5 2" xfId="1344"/>
    <cellStyle name="20% - Accent5 2 5 2 2" xfId="2466"/>
    <cellStyle name="20% - Accent5 2 5 3" xfId="968"/>
    <cellStyle name="20% - Accent5 2 5 3 2" xfId="2092"/>
    <cellStyle name="20% - Accent5 2 5 4" xfId="1718"/>
    <cellStyle name="20% - Accent5 2 6" xfId="689"/>
    <cellStyle name="20% - Accent5 2 6 2" xfId="1442"/>
    <cellStyle name="20% - Accent5 2 6 2 2" xfId="2564"/>
    <cellStyle name="20% - Accent5 2 6 3" xfId="1066"/>
    <cellStyle name="20% - Accent5 2 6 3 2" xfId="2190"/>
    <cellStyle name="20% - Accent5 2 6 4" xfId="1816"/>
    <cellStyle name="20% - Accent5 2 7" xfId="1118"/>
    <cellStyle name="20% - Accent5 2 7 2" xfId="2242"/>
    <cellStyle name="20% - Accent5 2 8" xfId="742"/>
    <cellStyle name="20% - Accent5 2 8 2" xfId="1868"/>
    <cellStyle name="20% - Accent5 2 9" xfId="1494"/>
    <cellStyle name="20% - Accent5 3" xfId="138"/>
    <cellStyle name="20% - Accent5 3 2" xfId="209"/>
    <cellStyle name="20% - Accent5 3 2 2" xfId="2275"/>
    <cellStyle name="20% - Accent5 3 2 3" xfId="1153"/>
    <cellStyle name="20% - Accent5 3 3" xfId="777"/>
    <cellStyle name="20% - Accent5 3 3 2" xfId="1901"/>
    <cellStyle name="20% - Accent5 3 4" xfId="1527"/>
    <cellStyle name="20% - Accent5 3 5" xfId="398"/>
    <cellStyle name="20% - Accent5 4" xfId="262"/>
    <cellStyle name="20% - Accent5 4 2" xfId="1219"/>
    <cellStyle name="20% - Accent5 4 2 2" xfId="2341"/>
    <cellStyle name="20% - Accent5 4 3" xfId="843"/>
    <cellStyle name="20% - Accent5 4 3 2" xfId="1967"/>
    <cellStyle name="20% - Accent5 4 4" xfId="1593"/>
    <cellStyle name="20% - Accent5 4 5" xfId="466"/>
    <cellStyle name="20% - Accent5 4 6" xfId="310"/>
    <cellStyle name="20% - Accent5 5" xfId="536"/>
    <cellStyle name="20% - Accent5 5 2" xfId="1289"/>
    <cellStyle name="20% - Accent5 5 2 2" xfId="2411"/>
    <cellStyle name="20% - Accent5 5 3" xfId="913"/>
    <cellStyle name="20% - Accent5 5 3 2" xfId="2037"/>
    <cellStyle name="20% - Accent5 5 4" xfId="1663"/>
    <cellStyle name="20% - Accent5 6" xfId="656"/>
    <cellStyle name="20% - Accent5 6 2" xfId="1409"/>
    <cellStyle name="20% - Accent5 6 2 2" xfId="2531"/>
    <cellStyle name="20% - Accent5 6 3" xfId="1033"/>
    <cellStyle name="20% - Accent5 6 3 2" xfId="2157"/>
    <cellStyle name="20% - Accent5 6 4" xfId="1783"/>
    <cellStyle name="20% - Accent5 7" xfId="1089"/>
    <cellStyle name="20% - Accent5 7 2" xfId="2213"/>
    <cellStyle name="20% - Accent5 8" xfId="713"/>
    <cellStyle name="20% - Accent5 8 2" xfId="1839"/>
    <cellStyle name="20% - Accent5 9" xfId="1465"/>
    <cellStyle name="20% - Accent6" xfId="49" builtinId="50" customBuiltin="1"/>
    <cellStyle name="20% - Accent6 10" xfId="325"/>
    <cellStyle name="20% - Accent6 11" xfId="61"/>
    <cellStyle name="20% - Accent6 2" xfId="153"/>
    <cellStyle name="20% - Accent6 2 10" xfId="360"/>
    <cellStyle name="20% - Accent6 2 2" xfId="435"/>
    <cellStyle name="20% - Accent6 2 2 2" xfId="1188"/>
    <cellStyle name="20% - Accent6 2 2 2 2" xfId="2310"/>
    <cellStyle name="20% - Accent6 2 2 3" xfId="812"/>
    <cellStyle name="20% - Accent6 2 2 3 2" xfId="1936"/>
    <cellStyle name="20% - Accent6 2 2 4" xfId="1562"/>
    <cellStyle name="20% - Accent6 2 3" xfId="501"/>
    <cellStyle name="20% - Accent6 2 3 2" xfId="1254"/>
    <cellStyle name="20% - Accent6 2 3 2 2" xfId="2376"/>
    <cellStyle name="20% - Accent6 2 3 3" xfId="878"/>
    <cellStyle name="20% - Accent6 2 3 3 2" xfId="2002"/>
    <cellStyle name="20% - Accent6 2 3 4" xfId="1628"/>
    <cellStyle name="20% - Accent6 2 4" xfId="571"/>
    <cellStyle name="20% - Accent6 2 4 2" xfId="1324"/>
    <cellStyle name="20% - Accent6 2 4 2 2" xfId="2446"/>
    <cellStyle name="20% - Accent6 2 4 3" xfId="948"/>
    <cellStyle name="20% - Accent6 2 4 3 2" xfId="2072"/>
    <cellStyle name="20% - Accent6 2 4 4" xfId="1698"/>
    <cellStyle name="20% - Accent6 2 5" xfId="592"/>
    <cellStyle name="20% - Accent6 2 5 2" xfId="1345"/>
    <cellStyle name="20% - Accent6 2 5 2 2" xfId="2467"/>
    <cellStyle name="20% - Accent6 2 5 3" xfId="969"/>
    <cellStyle name="20% - Accent6 2 5 3 2" xfId="2093"/>
    <cellStyle name="20% - Accent6 2 5 4" xfId="1719"/>
    <cellStyle name="20% - Accent6 2 6" xfId="691"/>
    <cellStyle name="20% - Accent6 2 6 2" xfId="1444"/>
    <cellStyle name="20% - Accent6 2 6 2 2" xfId="2566"/>
    <cellStyle name="20% - Accent6 2 6 3" xfId="1068"/>
    <cellStyle name="20% - Accent6 2 6 3 2" xfId="2192"/>
    <cellStyle name="20% - Accent6 2 6 4" xfId="1818"/>
    <cellStyle name="20% - Accent6 2 7" xfId="1120"/>
    <cellStyle name="20% - Accent6 2 7 2" xfId="2244"/>
    <cellStyle name="20% - Accent6 2 8" xfId="744"/>
    <cellStyle name="20% - Accent6 2 8 2" xfId="1870"/>
    <cellStyle name="20% - Accent6 2 9" xfId="1496"/>
    <cellStyle name="20% - Accent6 3" xfId="142"/>
    <cellStyle name="20% - Accent6 3 2" xfId="211"/>
    <cellStyle name="20% - Accent6 3 2 2" xfId="2277"/>
    <cellStyle name="20% - Accent6 3 2 3" xfId="1155"/>
    <cellStyle name="20% - Accent6 3 3" xfId="779"/>
    <cellStyle name="20% - Accent6 3 3 2" xfId="1903"/>
    <cellStyle name="20% - Accent6 3 4" xfId="1529"/>
    <cellStyle name="20% - Accent6 3 5" xfId="400"/>
    <cellStyle name="20% - Accent6 4" xfId="266"/>
    <cellStyle name="20% - Accent6 4 2" xfId="1221"/>
    <cellStyle name="20% - Accent6 4 2 2" xfId="2343"/>
    <cellStyle name="20% - Accent6 4 3" xfId="845"/>
    <cellStyle name="20% - Accent6 4 3 2" xfId="1969"/>
    <cellStyle name="20% - Accent6 4 4" xfId="1595"/>
    <cellStyle name="20% - Accent6 4 5" xfId="468"/>
    <cellStyle name="20% - Accent6 4 6" xfId="314"/>
    <cellStyle name="20% - Accent6 5" xfId="538"/>
    <cellStyle name="20% - Accent6 5 2" xfId="1291"/>
    <cellStyle name="20% - Accent6 5 2 2" xfId="2413"/>
    <cellStyle name="20% - Accent6 5 3" xfId="915"/>
    <cellStyle name="20% - Accent6 5 3 2" xfId="2039"/>
    <cellStyle name="20% - Accent6 5 4" xfId="1665"/>
    <cellStyle name="20% - Accent6 6" xfId="658"/>
    <cellStyle name="20% - Accent6 6 2" xfId="1411"/>
    <cellStyle name="20% - Accent6 6 2 2" xfId="2533"/>
    <cellStyle name="20% - Accent6 6 3" xfId="1035"/>
    <cellStyle name="20% - Accent6 6 3 2" xfId="2159"/>
    <cellStyle name="20% - Accent6 6 4" xfId="1785"/>
    <cellStyle name="20% - Accent6 7" xfId="1090"/>
    <cellStyle name="20% - Accent6 7 2" xfId="2214"/>
    <cellStyle name="20% - Accent6 8" xfId="714"/>
    <cellStyle name="20% - Accent6 8 2" xfId="1840"/>
    <cellStyle name="20% - Accent6 9" xfId="1466"/>
    <cellStyle name="40% - Accent1" xfId="30" builtinId="31" customBuiltin="1"/>
    <cellStyle name="40% - Accent1 10" xfId="326"/>
    <cellStyle name="40% - Accent1 11" xfId="62"/>
    <cellStyle name="40% - Accent1 2" xfId="154"/>
    <cellStyle name="40% - Accent1 2 10" xfId="351"/>
    <cellStyle name="40% - Accent1 2 2" xfId="426"/>
    <cellStyle name="40% - Accent1 2 2 2" xfId="1179"/>
    <cellStyle name="40% - Accent1 2 2 2 2" xfId="2301"/>
    <cellStyle name="40% - Accent1 2 2 3" xfId="803"/>
    <cellStyle name="40% - Accent1 2 2 3 2" xfId="1927"/>
    <cellStyle name="40% - Accent1 2 2 4" xfId="1553"/>
    <cellStyle name="40% - Accent1 2 3" xfId="492"/>
    <cellStyle name="40% - Accent1 2 3 2" xfId="1245"/>
    <cellStyle name="40% - Accent1 2 3 2 2" xfId="2367"/>
    <cellStyle name="40% - Accent1 2 3 3" xfId="869"/>
    <cellStyle name="40% - Accent1 2 3 3 2" xfId="1993"/>
    <cellStyle name="40% - Accent1 2 3 4" xfId="1619"/>
    <cellStyle name="40% - Accent1 2 4" xfId="562"/>
    <cellStyle name="40% - Accent1 2 4 2" xfId="1315"/>
    <cellStyle name="40% - Accent1 2 4 2 2" xfId="2437"/>
    <cellStyle name="40% - Accent1 2 4 3" xfId="939"/>
    <cellStyle name="40% - Accent1 2 4 3 2" xfId="2063"/>
    <cellStyle name="40% - Accent1 2 4 4" xfId="1689"/>
    <cellStyle name="40% - Accent1 2 5" xfId="593"/>
    <cellStyle name="40% - Accent1 2 5 2" xfId="1346"/>
    <cellStyle name="40% - Accent1 2 5 2 2" xfId="2468"/>
    <cellStyle name="40% - Accent1 2 5 3" xfId="970"/>
    <cellStyle name="40% - Accent1 2 5 3 2" xfId="2094"/>
    <cellStyle name="40% - Accent1 2 5 4" xfId="1720"/>
    <cellStyle name="40% - Accent1 2 6" xfId="682"/>
    <cellStyle name="40% - Accent1 2 6 2" xfId="1435"/>
    <cellStyle name="40% - Accent1 2 6 2 2" xfId="2557"/>
    <cellStyle name="40% - Accent1 2 6 3" xfId="1059"/>
    <cellStyle name="40% - Accent1 2 6 3 2" xfId="2183"/>
    <cellStyle name="40% - Accent1 2 6 4" xfId="1809"/>
    <cellStyle name="40% - Accent1 2 7" xfId="1111"/>
    <cellStyle name="40% - Accent1 2 7 2" xfId="2235"/>
    <cellStyle name="40% - Accent1 2 8" xfId="735"/>
    <cellStyle name="40% - Accent1 2 8 2" xfId="1861"/>
    <cellStyle name="40% - Accent1 2 9" xfId="1487"/>
    <cellStyle name="40% - Accent1 3" xfId="123"/>
    <cellStyle name="40% - Accent1 3 2" xfId="202"/>
    <cellStyle name="40% - Accent1 3 2 2" xfId="2268"/>
    <cellStyle name="40% - Accent1 3 2 3" xfId="1146"/>
    <cellStyle name="40% - Accent1 3 3" xfId="770"/>
    <cellStyle name="40% - Accent1 3 3 2" xfId="1894"/>
    <cellStyle name="40% - Accent1 3 4" xfId="1520"/>
    <cellStyle name="40% - Accent1 3 5" xfId="391"/>
    <cellStyle name="40% - Accent1 4" xfId="247"/>
    <cellStyle name="40% - Accent1 4 2" xfId="1212"/>
    <cellStyle name="40% - Accent1 4 2 2" xfId="2334"/>
    <cellStyle name="40% - Accent1 4 3" xfId="836"/>
    <cellStyle name="40% - Accent1 4 3 2" xfId="1960"/>
    <cellStyle name="40% - Accent1 4 4" xfId="1586"/>
    <cellStyle name="40% - Accent1 4 5" xfId="459"/>
    <cellStyle name="40% - Accent1 4 6" xfId="295"/>
    <cellStyle name="40% - Accent1 5" xfId="529"/>
    <cellStyle name="40% - Accent1 5 2" xfId="1282"/>
    <cellStyle name="40% - Accent1 5 2 2" xfId="2404"/>
    <cellStyle name="40% - Accent1 5 3" xfId="906"/>
    <cellStyle name="40% - Accent1 5 3 2" xfId="2030"/>
    <cellStyle name="40% - Accent1 5 4" xfId="1656"/>
    <cellStyle name="40% - Accent1 6" xfId="649"/>
    <cellStyle name="40% - Accent1 6 2" xfId="1402"/>
    <cellStyle name="40% - Accent1 6 2 2" xfId="2524"/>
    <cellStyle name="40% - Accent1 6 3" xfId="1026"/>
    <cellStyle name="40% - Accent1 6 3 2" xfId="2150"/>
    <cellStyle name="40% - Accent1 6 4" xfId="1776"/>
    <cellStyle name="40% - Accent1 7" xfId="1091"/>
    <cellStyle name="40% - Accent1 7 2" xfId="2215"/>
    <cellStyle name="40% - Accent1 8" xfId="715"/>
    <cellStyle name="40% - Accent1 8 2" xfId="1841"/>
    <cellStyle name="40% - Accent1 9" xfId="1467"/>
    <cellStyle name="40% - Accent2" xfId="34" builtinId="35" customBuiltin="1"/>
    <cellStyle name="40% - Accent2 10" xfId="327"/>
    <cellStyle name="40% - Accent2 11" xfId="63"/>
    <cellStyle name="40% - Accent2 2" xfId="155"/>
    <cellStyle name="40% - Accent2 2 10" xfId="353"/>
    <cellStyle name="40% - Accent2 2 2" xfId="428"/>
    <cellStyle name="40% - Accent2 2 2 2" xfId="1181"/>
    <cellStyle name="40% - Accent2 2 2 2 2" xfId="2303"/>
    <cellStyle name="40% - Accent2 2 2 3" xfId="805"/>
    <cellStyle name="40% - Accent2 2 2 3 2" xfId="1929"/>
    <cellStyle name="40% - Accent2 2 2 4" xfId="1555"/>
    <cellStyle name="40% - Accent2 2 3" xfId="494"/>
    <cellStyle name="40% - Accent2 2 3 2" xfId="1247"/>
    <cellStyle name="40% - Accent2 2 3 2 2" xfId="2369"/>
    <cellStyle name="40% - Accent2 2 3 3" xfId="871"/>
    <cellStyle name="40% - Accent2 2 3 3 2" xfId="1995"/>
    <cellStyle name="40% - Accent2 2 3 4" xfId="1621"/>
    <cellStyle name="40% - Accent2 2 4" xfId="564"/>
    <cellStyle name="40% - Accent2 2 4 2" xfId="1317"/>
    <cellStyle name="40% - Accent2 2 4 2 2" xfId="2439"/>
    <cellStyle name="40% - Accent2 2 4 3" xfId="941"/>
    <cellStyle name="40% - Accent2 2 4 3 2" xfId="2065"/>
    <cellStyle name="40% - Accent2 2 4 4" xfId="1691"/>
    <cellStyle name="40% - Accent2 2 5" xfId="594"/>
    <cellStyle name="40% - Accent2 2 5 2" xfId="1347"/>
    <cellStyle name="40% - Accent2 2 5 2 2" xfId="2469"/>
    <cellStyle name="40% - Accent2 2 5 3" xfId="971"/>
    <cellStyle name="40% - Accent2 2 5 3 2" xfId="2095"/>
    <cellStyle name="40% - Accent2 2 5 4" xfId="1721"/>
    <cellStyle name="40% - Accent2 2 6" xfId="684"/>
    <cellStyle name="40% - Accent2 2 6 2" xfId="1437"/>
    <cellStyle name="40% - Accent2 2 6 2 2" xfId="2559"/>
    <cellStyle name="40% - Accent2 2 6 3" xfId="1061"/>
    <cellStyle name="40% - Accent2 2 6 3 2" xfId="2185"/>
    <cellStyle name="40% - Accent2 2 6 4" xfId="1811"/>
    <cellStyle name="40% - Accent2 2 7" xfId="1113"/>
    <cellStyle name="40% - Accent2 2 7 2" xfId="2237"/>
    <cellStyle name="40% - Accent2 2 8" xfId="737"/>
    <cellStyle name="40% - Accent2 2 8 2" xfId="1863"/>
    <cellStyle name="40% - Accent2 2 9" xfId="1489"/>
    <cellStyle name="40% - Accent2 3" xfId="127"/>
    <cellStyle name="40% - Accent2 3 2" xfId="204"/>
    <cellStyle name="40% - Accent2 3 2 2" xfId="2270"/>
    <cellStyle name="40% - Accent2 3 2 3" xfId="1148"/>
    <cellStyle name="40% - Accent2 3 3" xfId="772"/>
    <cellStyle name="40% - Accent2 3 3 2" xfId="1896"/>
    <cellStyle name="40% - Accent2 3 4" xfId="1522"/>
    <cellStyle name="40% - Accent2 3 5" xfId="393"/>
    <cellStyle name="40% - Accent2 4" xfId="251"/>
    <cellStyle name="40% - Accent2 4 2" xfId="1214"/>
    <cellStyle name="40% - Accent2 4 2 2" xfId="2336"/>
    <cellStyle name="40% - Accent2 4 3" xfId="838"/>
    <cellStyle name="40% - Accent2 4 3 2" xfId="1962"/>
    <cellStyle name="40% - Accent2 4 4" xfId="1588"/>
    <cellStyle name="40% - Accent2 4 5" xfId="461"/>
    <cellStyle name="40% - Accent2 4 6" xfId="299"/>
    <cellStyle name="40% - Accent2 5" xfId="531"/>
    <cellStyle name="40% - Accent2 5 2" xfId="1284"/>
    <cellStyle name="40% - Accent2 5 2 2" xfId="2406"/>
    <cellStyle name="40% - Accent2 5 3" xfId="908"/>
    <cellStyle name="40% - Accent2 5 3 2" xfId="2032"/>
    <cellStyle name="40% - Accent2 5 4" xfId="1658"/>
    <cellStyle name="40% - Accent2 6" xfId="651"/>
    <cellStyle name="40% - Accent2 6 2" xfId="1404"/>
    <cellStyle name="40% - Accent2 6 2 2" xfId="2526"/>
    <cellStyle name="40% - Accent2 6 3" xfId="1028"/>
    <cellStyle name="40% - Accent2 6 3 2" xfId="2152"/>
    <cellStyle name="40% - Accent2 6 4" xfId="1778"/>
    <cellStyle name="40% - Accent2 7" xfId="1092"/>
    <cellStyle name="40% - Accent2 7 2" xfId="2216"/>
    <cellStyle name="40% - Accent2 8" xfId="716"/>
    <cellStyle name="40% - Accent2 8 2" xfId="1842"/>
    <cellStyle name="40% - Accent2 9" xfId="1468"/>
    <cellStyle name="40% - Accent3" xfId="38" builtinId="39" customBuiltin="1"/>
    <cellStyle name="40% - Accent3 10" xfId="328"/>
    <cellStyle name="40% - Accent3 11" xfId="64"/>
    <cellStyle name="40% - Accent3 2" xfId="156"/>
    <cellStyle name="40% - Accent3 2 10" xfId="355"/>
    <cellStyle name="40% - Accent3 2 2" xfId="430"/>
    <cellStyle name="40% - Accent3 2 2 2" xfId="1183"/>
    <cellStyle name="40% - Accent3 2 2 2 2" xfId="2305"/>
    <cellStyle name="40% - Accent3 2 2 3" xfId="807"/>
    <cellStyle name="40% - Accent3 2 2 3 2" xfId="1931"/>
    <cellStyle name="40% - Accent3 2 2 4" xfId="1557"/>
    <cellStyle name="40% - Accent3 2 3" xfId="496"/>
    <cellStyle name="40% - Accent3 2 3 2" xfId="1249"/>
    <cellStyle name="40% - Accent3 2 3 2 2" xfId="2371"/>
    <cellStyle name="40% - Accent3 2 3 3" xfId="873"/>
    <cellStyle name="40% - Accent3 2 3 3 2" xfId="1997"/>
    <cellStyle name="40% - Accent3 2 3 4" xfId="1623"/>
    <cellStyle name="40% - Accent3 2 4" xfId="566"/>
    <cellStyle name="40% - Accent3 2 4 2" xfId="1319"/>
    <cellStyle name="40% - Accent3 2 4 2 2" xfId="2441"/>
    <cellStyle name="40% - Accent3 2 4 3" xfId="943"/>
    <cellStyle name="40% - Accent3 2 4 3 2" xfId="2067"/>
    <cellStyle name="40% - Accent3 2 4 4" xfId="1693"/>
    <cellStyle name="40% - Accent3 2 5" xfId="595"/>
    <cellStyle name="40% - Accent3 2 5 2" xfId="1348"/>
    <cellStyle name="40% - Accent3 2 5 2 2" xfId="2470"/>
    <cellStyle name="40% - Accent3 2 5 3" xfId="972"/>
    <cellStyle name="40% - Accent3 2 5 3 2" xfId="2096"/>
    <cellStyle name="40% - Accent3 2 5 4" xfId="1722"/>
    <cellStyle name="40% - Accent3 2 6" xfId="686"/>
    <cellStyle name="40% - Accent3 2 6 2" xfId="1439"/>
    <cellStyle name="40% - Accent3 2 6 2 2" xfId="2561"/>
    <cellStyle name="40% - Accent3 2 6 3" xfId="1063"/>
    <cellStyle name="40% - Accent3 2 6 3 2" xfId="2187"/>
    <cellStyle name="40% - Accent3 2 6 4" xfId="1813"/>
    <cellStyle name="40% - Accent3 2 7" xfId="1115"/>
    <cellStyle name="40% - Accent3 2 7 2" xfId="2239"/>
    <cellStyle name="40% - Accent3 2 8" xfId="739"/>
    <cellStyle name="40% - Accent3 2 8 2" xfId="1865"/>
    <cellStyle name="40% - Accent3 2 9" xfId="1491"/>
    <cellStyle name="40% - Accent3 3" xfId="131"/>
    <cellStyle name="40% - Accent3 3 2" xfId="206"/>
    <cellStyle name="40% - Accent3 3 2 2" xfId="2272"/>
    <cellStyle name="40% - Accent3 3 2 3" xfId="1150"/>
    <cellStyle name="40% - Accent3 3 3" xfId="774"/>
    <cellStyle name="40% - Accent3 3 3 2" xfId="1898"/>
    <cellStyle name="40% - Accent3 3 4" xfId="1524"/>
    <cellStyle name="40% - Accent3 3 5" xfId="395"/>
    <cellStyle name="40% - Accent3 4" xfId="255"/>
    <cellStyle name="40% - Accent3 4 2" xfId="1216"/>
    <cellStyle name="40% - Accent3 4 2 2" xfId="2338"/>
    <cellStyle name="40% - Accent3 4 3" xfId="840"/>
    <cellStyle name="40% - Accent3 4 3 2" xfId="1964"/>
    <cellStyle name="40% - Accent3 4 4" xfId="1590"/>
    <cellStyle name="40% - Accent3 4 5" xfId="463"/>
    <cellStyle name="40% - Accent3 4 6" xfId="303"/>
    <cellStyle name="40% - Accent3 5" xfId="533"/>
    <cellStyle name="40% - Accent3 5 2" xfId="1286"/>
    <cellStyle name="40% - Accent3 5 2 2" xfId="2408"/>
    <cellStyle name="40% - Accent3 5 3" xfId="910"/>
    <cellStyle name="40% - Accent3 5 3 2" xfId="2034"/>
    <cellStyle name="40% - Accent3 5 4" xfId="1660"/>
    <cellStyle name="40% - Accent3 6" xfId="653"/>
    <cellStyle name="40% - Accent3 6 2" xfId="1406"/>
    <cellStyle name="40% - Accent3 6 2 2" xfId="2528"/>
    <cellStyle name="40% - Accent3 6 3" xfId="1030"/>
    <cellStyle name="40% - Accent3 6 3 2" xfId="2154"/>
    <cellStyle name="40% - Accent3 6 4" xfId="1780"/>
    <cellStyle name="40% - Accent3 7" xfId="1093"/>
    <cellStyle name="40% - Accent3 7 2" xfId="2217"/>
    <cellStyle name="40% - Accent3 8" xfId="717"/>
    <cellStyle name="40% - Accent3 8 2" xfId="1843"/>
    <cellStyle name="40% - Accent3 9" xfId="1469"/>
    <cellStyle name="40% - Accent4" xfId="42" builtinId="43" customBuiltin="1"/>
    <cellStyle name="40% - Accent4 10" xfId="329"/>
    <cellStyle name="40% - Accent4 11" xfId="65"/>
    <cellStyle name="40% - Accent4 2" xfId="157"/>
    <cellStyle name="40% - Accent4 2 10" xfId="357"/>
    <cellStyle name="40% - Accent4 2 2" xfId="432"/>
    <cellStyle name="40% - Accent4 2 2 2" xfId="1185"/>
    <cellStyle name="40% - Accent4 2 2 2 2" xfId="2307"/>
    <cellStyle name="40% - Accent4 2 2 3" xfId="809"/>
    <cellStyle name="40% - Accent4 2 2 3 2" xfId="1933"/>
    <cellStyle name="40% - Accent4 2 2 4" xfId="1559"/>
    <cellStyle name="40% - Accent4 2 3" xfId="498"/>
    <cellStyle name="40% - Accent4 2 3 2" xfId="1251"/>
    <cellStyle name="40% - Accent4 2 3 2 2" xfId="2373"/>
    <cellStyle name="40% - Accent4 2 3 3" xfId="875"/>
    <cellStyle name="40% - Accent4 2 3 3 2" xfId="1999"/>
    <cellStyle name="40% - Accent4 2 3 4" xfId="1625"/>
    <cellStyle name="40% - Accent4 2 4" xfId="568"/>
    <cellStyle name="40% - Accent4 2 4 2" xfId="1321"/>
    <cellStyle name="40% - Accent4 2 4 2 2" xfId="2443"/>
    <cellStyle name="40% - Accent4 2 4 3" xfId="945"/>
    <cellStyle name="40% - Accent4 2 4 3 2" xfId="2069"/>
    <cellStyle name="40% - Accent4 2 4 4" xfId="1695"/>
    <cellStyle name="40% - Accent4 2 5" xfId="596"/>
    <cellStyle name="40% - Accent4 2 5 2" xfId="1349"/>
    <cellStyle name="40% - Accent4 2 5 2 2" xfId="2471"/>
    <cellStyle name="40% - Accent4 2 5 3" xfId="973"/>
    <cellStyle name="40% - Accent4 2 5 3 2" xfId="2097"/>
    <cellStyle name="40% - Accent4 2 5 4" xfId="1723"/>
    <cellStyle name="40% - Accent4 2 6" xfId="688"/>
    <cellStyle name="40% - Accent4 2 6 2" xfId="1441"/>
    <cellStyle name="40% - Accent4 2 6 2 2" xfId="2563"/>
    <cellStyle name="40% - Accent4 2 6 3" xfId="1065"/>
    <cellStyle name="40% - Accent4 2 6 3 2" xfId="2189"/>
    <cellStyle name="40% - Accent4 2 6 4" xfId="1815"/>
    <cellStyle name="40% - Accent4 2 7" xfId="1117"/>
    <cellStyle name="40% - Accent4 2 7 2" xfId="2241"/>
    <cellStyle name="40% - Accent4 2 8" xfId="741"/>
    <cellStyle name="40% - Accent4 2 8 2" xfId="1867"/>
    <cellStyle name="40% - Accent4 2 9" xfId="1493"/>
    <cellStyle name="40% - Accent4 3" xfId="135"/>
    <cellStyle name="40% - Accent4 3 2" xfId="208"/>
    <cellStyle name="40% - Accent4 3 2 2" xfId="2274"/>
    <cellStyle name="40% - Accent4 3 2 3" xfId="1152"/>
    <cellStyle name="40% - Accent4 3 3" xfId="776"/>
    <cellStyle name="40% - Accent4 3 3 2" xfId="1900"/>
    <cellStyle name="40% - Accent4 3 4" xfId="1526"/>
    <cellStyle name="40% - Accent4 3 5" xfId="397"/>
    <cellStyle name="40% - Accent4 4" xfId="259"/>
    <cellStyle name="40% - Accent4 4 2" xfId="1218"/>
    <cellStyle name="40% - Accent4 4 2 2" xfId="2340"/>
    <cellStyle name="40% - Accent4 4 3" xfId="842"/>
    <cellStyle name="40% - Accent4 4 3 2" xfId="1966"/>
    <cellStyle name="40% - Accent4 4 4" xfId="1592"/>
    <cellStyle name="40% - Accent4 4 5" xfId="465"/>
    <cellStyle name="40% - Accent4 4 6" xfId="307"/>
    <cellStyle name="40% - Accent4 5" xfId="535"/>
    <cellStyle name="40% - Accent4 5 2" xfId="1288"/>
    <cellStyle name="40% - Accent4 5 2 2" xfId="2410"/>
    <cellStyle name="40% - Accent4 5 3" xfId="912"/>
    <cellStyle name="40% - Accent4 5 3 2" xfId="2036"/>
    <cellStyle name="40% - Accent4 5 4" xfId="1662"/>
    <cellStyle name="40% - Accent4 6" xfId="655"/>
    <cellStyle name="40% - Accent4 6 2" xfId="1408"/>
    <cellStyle name="40% - Accent4 6 2 2" xfId="2530"/>
    <cellStyle name="40% - Accent4 6 3" xfId="1032"/>
    <cellStyle name="40% - Accent4 6 3 2" xfId="2156"/>
    <cellStyle name="40% - Accent4 6 4" xfId="1782"/>
    <cellStyle name="40% - Accent4 7" xfId="1094"/>
    <cellStyle name="40% - Accent4 7 2" xfId="2218"/>
    <cellStyle name="40% - Accent4 8" xfId="718"/>
    <cellStyle name="40% - Accent4 8 2" xfId="1844"/>
    <cellStyle name="40% - Accent4 9" xfId="1470"/>
    <cellStyle name="40% - Accent5" xfId="46" builtinId="47" customBuiltin="1"/>
    <cellStyle name="40% - Accent5 10" xfId="330"/>
    <cellStyle name="40% - Accent5 11" xfId="66"/>
    <cellStyle name="40% - Accent5 2" xfId="158"/>
    <cellStyle name="40% - Accent5 2 10" xfId="359"/>
    <cellStyle name="40% - Accent5 2 2" xfId="434"/>
    <cellStyle name="40% - Accent5 2 2 2" xfId="1187"/>
    <cellStyle name="40% - Accent5 2 2 2 2" xfId="2309"/>
    <cellStyle name="40% - Accent5 2 2 3" xfId="811"/>
    <cellStyle name="40% - Accent5 2 2 3 2" xfId="1935"/>
    <cellStyle name="40% - Accent5 2 2 4" xfId="1561"/>
    <cellStyle name="40% - Accent5 2 3" xfId="500"/>
    <cellStyle name="40% - Accent5 2 3 2" xfId="1253"/>
    <cellStyle name="40% - Accent5 2 3 2 2" xfId="2375"/>
    <cellStyle name="40% - Accent5 2 3 3" xfId="877"/>
    <cellStyle name="40% - Accent5 2 3 3 2" xfId="2001"/>
    <cellStyle name="40% - Accent5 2 3 4" xfId="1627"/>
    <cellStyle name="40% - Accent5 2 4" xfId="570"/>
    <cellStyle name="40% - Accent5 2 4 2" xfId="1323"/>
    <cellStyle name="40% - Accent5 2 4 2 2" xfId="2445"/>
    <cellStyle name="40% - Accent5 2 4 3" xfId="947"/>
    <cellStyle name="40% - Accent5 2 4 3 2" xfId="2071"/>
    <cellStyle name="40% - Accent5 2 4 4" xfId="1697"/>
    <cellStyle name="40% - Accent5 2 5" xfId="597"/>
    <cellStyle name="40% - Accent5 2 5 2" xfId="1350"/>
    <cellStyle name="40% - Accent5 2 5 2 2" xfId="2472"/>
    <cellStyle name="40% - Accent5 2 5 3" xfId="974"/>
    <cellStyle name="40% - Accent5 2 5 3 2" xfId="2098"/>
    <cellStyle name="40% - Accent5 2 5 4" xfId="1724"/>
    <cellStyle name="40% - Accent5 2 6" xfId="690"/>
    <cellStyle name="40% - Accent5 2 6 2" xfId="1443"/>
    <cellStyle name="40% - Accent5 2 6 2 2" xfId="2565"/>
    <cellStyle name="40% - Accent5 2 6 3" xfId="1067"/>
    <cellStyle name="40% - Accent5 2 6 3 2" xfId="2191"/>
    <cellStyle name="40% - Accent5 2 6 4" xfId="1817"/>
    <cellStyle name="40% - Accent5 2 7" xfId="1119"/>
    <cellStyle name="40% - Accent5 2 7 2" xfId="2243"/>
    <cellStyle name="40% - Accent5 2 8" xfId="743"/>
    <cellStyle name="40% - Accent5 2 8 2" xfId="1869"/>
    <cellStyle name="40% - Accent5 2 9" xfId="1495"/>
    <cellStyle name="40% - Accent5 3" xfId="139"/>
    <cellStyle name="40% - Accent5 3 2" xfId="210"/>
    <cellStyle name="40% - Accent5 3 2 2" xfId="2276"/>
    <cellStyle name="40% - Accent5 3 2 3" xfId="1154"/>
    <cellStyle name="40% - Accent5 3 3" xfId="778"/>
    <cellStyle name="40% - Accent5 3 3 2" xfId="1902"/>
    <cellStyle name="40% - Accent5 3 4" xfId="1528"/>
    <cellStyle name="40% - Accent5 3 5" xfId="399"/>
    <cellStyle name="40% - Accent5 4" xfId="263"/>
    <cellStyle name="40% - Accent5 4 2" xfId="1220"/>
    <cellStyle name="40% - Accent5 4 2 2" xfId="2342"/>
    <cellStyle name="40% - Accent5 4 3" xfId="844"/>
    <cellStyle name="40% - Accent5 4 3 2" xfId="1968"/>
    <cellStyle name="40% - Accent5 4 4" xfId="1594"/>
    <cellStyle name="40% - Accent5 4 5" xfId="467"/>
    <cellStyle name="40% - Accent5 4 6" xfId="311"/>
    <cellStyle name="40% - Accent5 5" xfId="537"/>
    <cellStyle name="40% - Accent5 5 2" xfId="1290"/>
    <cellStyle name="40% - Accent5 5 2 2" xfId="2412"/>
    <cellStyle name="40% - Accent5 5 3" xfId="914"/>
    <cellStyle name="40% - Accent5 5 3 2" xfId="2038"/>
    <cellStyle name="40% - Accent5 5 4" xfId="1664"/>
    <cellStyle name="40% - Accent5 6" xfId="657"/>
    <cellStyle name="40% - Accent5 6 2" xfId="1410"/>
    <cellStyle name="40% - Accent5 6 2 2" xfId="2532"/>
    <cellStyle name="40% - Accent5 6 3" xfId="1034"/>
    <cellStyle name="40% - Accent5 6 3 2" xfId="2158"/>
    <cellStyle name="40% - Accent5 6 4" xfId="1784"/>
    <cellStyle name="40% - Accent5 7" xfId="1095"/>
    <cellStyle name="40% - Accent5 7 2" xfId="2219"/>
    <cellStyle name="40% - Accent5 8" xfId="719"/>
    <cellStyle name="40% - Accent5 8 2" xfId="1845"/>
    <cellStyle name="40% - Accent5 9" xfId="1471"/>
    <cellStyle name="40% - Accent6" xfId="50" builtinId="51" customBuiltin="1"/>
    <cellStyle name="40% - Accent6 10" xfId="331"/>
    <cellStyle name="40% - Accent6 11" xfId="67"/>
    <cellStyle name="40% - Accent6 2" xfId="159"/>
    <cellStyle name="40% - Accent6 2 10" xfId="361"/>
    <cellStyle name="40% - Accent6 2 2" xfId="436"/>
    <cellStyle name="40% - Accent6 2 2 2" xfId="1189"/>
    <cellStyle name="40% - Accent6 2 2 2 2" xfId="2311"/>
    <cellStyle name="40% - Accent6 2 2 3" xfId="813"/>
    <cellStyle name="40% - Accent6 2 2 3 2" xfId="1937"/>
    <cellStyle name="40% - Accent6 2 2 4" xfId="1563"/>
    <cellStyle name="40% - Accent6 2 3" xfId="502"/>
    <cellStyle name="40% - Accent6 2 3 2" xfId="1255"/>
    <cellStyle name="40% - Accent6 2 3 2 2" xfId="2377"/>
    <cellStyle name="40% - Accent6 2 3 3" xfId="879"/>
    <cellStyle name="40% - Accent6 2 3 3 2" xfId="2003"/>
    <cellStyle name="40% - Accent6 2 3 4" xfId="1629"/>
    <cellStyle name="40% - Accent6 2 4" xfId="572"/>
    <cellStyle name="40% - Accent6 2 4 2" xfId="1325"/>
    <cellStyle name="40% - Accent6 2 4 2 2" xfId="2447"/>
    <cellStyle name="40% - Accent6 2 4 3" xfId="949"/>
    <cellStyle name="40% - Accent6 2 4 3 2" xfId="2073"/>
    <cellStyle name="40% - Accent6 2 4 4" xfId="1699"/>
    <cellStyle name="40% - Accent6 2 5" xfId="598"/>
    <cellStyle name="40% - Accent6 2 5 2" xfId="1351"/>
    <cellStyle name="40% - Accent6 2 5 2 2" xfId="2473"/>
    <cellStyle name="40% - Accent6 2 5 3" xfId="975"/>
    <cellStyle name="40% - Accent6 2 5 3 2" xfId="2099"/>
    <cellStyle name="40% - Accent6 2 5 4" xfId="1725"/>
    <cellStyle name="40% - Accent6 2 6" xfId="692"/>
    <cellStyle name="40% - Accent6 2 6 2" xfId="1445"/>
    <cellStyle name="40% - Accent6 2 6 2 2" xfId="2567"/>
    <cellStyle name="40% - Accent6 2 6 3" xfId="1069"/>
    <cellStyle name="40% - Accent6 2 6 3 2" xfId="2193"/>
    <cellStyle name="40% - Accent6 2 6 4" xfId="1819"/>
    <cellStyle name="40% - Accent6 2 7" xfId="1121"/>
    <cellStyle name="40% - Accent6 2 7 2" xfId="2245"/>
    <cellStyle name="40% - Accent6 2 8" xfId="745"/>
    <cellStyle name="40% - Accent6 2 8 2" xfId="1871"/>
    <cellStyle name="40% - Accent6 2 9" xfId="1497"/>
    <cellStyle name="40% - Accent6 3" xfId="143"/>
    <cellStyle name="40% - Accent6 3 2" xfId="212"/>
    <cellStyle name="40% - Accent6 3 2 2" xfId="2278"/>
    <cellStyle name="40% - Accent6 3 2 3" xfId="1156"/>
    <cellStyle name="40% - Accent6 3 3" xfId="780"/>
    <cellStyle name="40% - Accent6 3 3 2" xfId="1904"/>
    <cellStyle name="40% - Accent6 3 4" xfId="1530"/>
    <cellStyle name="40% - Accent6 3 5" xfId="401"/>
    <cellStyle name="40% - Accent6 4" xfId="267"/>
    <cellStyle name="40% - Accent6 4 2" xfId="1222"/>
    <cellStyle name="40% - Accent6 4 2 2" xfId="2344"/>
    <cellStyle name="40% - Accent6 4 3" xfId="846"/>
    <cellStyle name="40% - Accent6 4 3 2" xfId="1970"/>
    <cellStyle name="40% - Accent6 4 4" xfId="1596"/>
    <cellStyle name="40% - Accent6 4 5" xfId="469"/>
    <cellStyle name="40% - Accent6 4 6" xfId="315"/>
    <cellStyle name="40% - Accent6 5" xfId="539"/>
    <cellStyle name="40% - Accent6 5 2" xfId="1292"/>
    <cellStyle name="40% - Accent6 5 2 2" xfId="2414"/>
    <cellStyle name="40% - Accent6 5 3" xfId="916"/>
    <cellStyle name="40% - Accent6 5 3 2" xfId="2040"/>
    <cellStyle name="40% - Accent6 5 4" xfId="1666"/>
    <cellStyle name="40% - Accent6 6" xfId="659"/>
    <cellStyle name="40% - Accent6 6 2" xfId="1412"/>
    <cellStyle name="40% - Accent6 6 2 2" xfId="2534"/>
    <cellStyle name="40% - Accent6 6 3" xfId="1036"/>
    <cellStyle name="40% - Accent6 6 3 2" xfId="2160"/>
    <cellStyle name="40% - Accent6 6 4" xfId="1786"/>
    <cellStyle name="40% - Accent6 7" xfId="1096"/>
    <cellStyle name="40% - Accent6 7 2" xfId="2220"/>
    <cellStyle name="40% - Accent6 8" xfId="720"/>
    <cellStyle name="40% - Accent6 8 2" xfId="1846"/>
    <cellStyle name="40% - Accent6 9" xfId="1472"/>
    <cellStyle name="60% - Accent1" xfId="31" builtinId="32" customBuiltin="1"/>
    <cellStyle name="60% - Accent1 2" xfId="160"/>
    <cellStyle name="60% - Accent1 3" xfId="124"/>
    <cellStyle name="60% - Accent1 4" xfId="248"/>
    <cellStyle name="60% - Accent1 4 2" xfId="296"/>
    <cellStyle name="60% - Accent1 5" xfId="68"/>
    <cellStyle name="60% - Accent2" xfId="35" builtinId="36" customBuiltin="1"/>
    <cellStyle name="60% - Accent2 2" xfId="161"/>
    <cellStyle name="60% - Accent2 3" xfId="128"/>
    <cellStyle name="60% - Accent2 4" xfId="252"/>
    <cellStyle name="60% - Accent2 4 2" xfId="300"/>
    <cellStyle name="60% - Accent2 5" xfId="69"/>
    <cellStyle name="60% - Accent3" xfId="39" builtinId="40" customBuiltin="1"/>
    <cellStyle name="60% - Accent3 2" xfId="162"/>
    <cellStyle name="60% - Accent3 3" xfId="132"/>
    <cellStyle name="60% - Accent3 4" xfId="256"/>
    <cellStyle name="60% - Accent3 4 2" xfId="304"/>
    <cellStyle name="60% - Accent3 5" xfId="70"/>
    <cellStyle name="60% - Accent4" xfId="43" builtinId="44" customBuiltin="1"/>
    <cellStyle name="60% - Accent4 2" xfId="163"/>
    <cellStyle name="60% - Accent4 3" xfId="136"/>
    <cellStyle name="60% - Accent4 4" xfId="260"/>
    <cellStyle name="60% - Accent4 4 2" xfId="308"/>
    <cellStyle name="60% - Accent4 5" xfId="71"/>
    <cellStyle name="60% - Accent5" xfId="47" builtinId="48" customBuiltin="1"/>
    <cellStyle name="60% - Accent5 2" xfId="164"/>
    <cellStyle name="60% - Accent5 3" xfId="140"/>
    <cellStyle name="60% - Accent5 4" xfId="264"/>
    <cellStyle name="60% - Accent5 4 2" xfId="312"/>
    <cellStyle name="60% - Accent5 5" xfId="72"/>
    <cellStyle name="60% - Accent6" xfId="51" builtinId="52" customBuiltin="1"/>
    <cellStyle name="60% - Accent6 2" xfId="165"/>
    <cellStyle name="60% - Accent6 3" xfId="144"/>
    <cellStyle name="60% - Accent6 4" xfId="268"/>
    <cellStyle name="60% - Accent6 4 2" xfId="316"/>
    <cellStyle name="60% - Accent6 5" xfId="73"/>
    <cellStyle name="Accent1" xfId="28" builtinId="29" customBuiltin="1"/>
    <cellStyle name="Accent1 2" xfId="166"/>
    <cellStyle name="Accent1 3" xfId="121"/>
    <cellStyle name="Accent1 4" xfId="245"/>
    <cellStyle name="Accent1 4 2" xfId="293"/>
    <cellStyle name="Accent1 5" xfId="74"/>
    <cellStyle name="Accent2" xfId="32" builtinId="33" customBuiltin="1"/>
    <cellStyle name="Accent2 2" xfId="167"/>
    <cellStyle name="Accent2 3" xfId="125"/>
    <cellStyle name="Accent2 4" xfId="249"/>
    <cellStyle name="Accent2 4 2" xfId="297"/>
    <cellStyle name="Accent2 5" xfId="75"/>
    <cellStyle name="Accent3" xfId="36" builtinId="37" customBuiltin="1"/>
    <cellStyle name="Accent3 2" xfId="168"/>
    <cellStyle name="Accent3 3" xfId="129"/>
    <cellStyle name="Accent3 4" xfId="253"/>
    <cellStyle name="Accent3 4 2" xfId="301"/>
    <cellStyle name="Accent3 5" xfId="76"/>
    <cellStyle name="Accent4" xfId="40" builtinId="41" customBuiltin="1"/>
    <cellStyle name="Accent4 2" xfId="169"/>
    <cellStyle name="Accent4 3" xfId="133"/>
    <cellStyle name="Accent4 4" xfId="257"/>
    <cellStyle name="Accent4 4 2" xfId="305"/>
    <cellStyle name="Accent4 5" xfId="77"/>
    <cellStyle name="Accent5" xfId="44" builtinId="45" customBuiltin="1"/>
    <cellStyle name="Accent5 2" xfId="170"/>
    <cellStyle name="Accent5 3" xfId="137"/>
    <cellStyle name="Accent5 4" xfId="261"/>
    <cellStyle name="Accent5 4 2" xfId="309"/>
    <cellStyle name="Accent5 5" xfId="78"/>
    <cellStyle name="Accent6" xfId="48" builtinId="49" customBuiltin="1"/>
    <cellStyle name="Accent6 2" xfId="171"/>
    <cellStyle name="Accent6 3" xfId="141"/>
    <cellStyle name="Accent6 4" xfId="265"/>
    <cellStyle name="Accent6 4 2" xfId="313"/>
    <cellStyle name="Accent6 5" xfId="79"/>
    <cellStyle name="Bad" xfId="18" builtinId="27" customBuiltin="1"/>
    <cellStyle name="Bad 2" xfId="172"/>
    <cellStyle name="Bad 3" xfId="110"/>
    <cellStyle name="Bad 4" xfId="235"/>
    <cellStyle name="Bad 4 2" xfId="283"/>
    <cellStyle name="Bad 5" xfId="80"/>
    <cellStyle name="Calculation" xfId="22" builtinId="22" customBuiltin="1"/>
    <cellStyle name="Calculation 2" xfId="173"/>
    <cellStyle name="Calculation 3" xfId="114"/>
    <cellStyle name="Calculation 4" xfId="239"/>
    <cellStyle name="Calculation 4 2" xfId="287"/>
    <cellStyle name="Calculation 5" xfId="81"/>
    <cellStyle name="Check Cell" xfId="24" builtinId="23" customBuiltin="1"/>
    <cellStyle name="Check Cell 2" xfId="174"/>
    <cellStyle name="Check Cell 3" xfId="116"/>
    <cellStyle name="Check Cell 4" xfId="241"/>
    <cellStyle name="Check Cell 4 2" xfId="289"/>
    <cellStyle name="Check Cell 5" xfId="82"/>
    <cellStyle name="Comma" xfId="2589" builtinId="3"/>
    <cellStyle name="Comma 2" xfId="175"/>
    <cellStyle name="Comma 2 10" xfId="586"/>
    <cellStyle name="Comma 2 10 2" xfId="1339"/>
    <cellStyle name="Comma 2 10 2 2" xfId="2461"/>
    <cellStyle name="Comma 2 10 3" xfId="963"/>
    <cellStyle name="Comma 2 10 3 2" xfId="2087"/>
    <cellStyle name="Comma 2 10 4" xfId="1713"/>
    <cellStyle name="Comma 2 11" xfId="639"/>
    <cellStyle name="Comma 2 11 2" xfId="1392"/>
    <cellStyle name="Comma 2 11 2 2" xfId="2514"/>
    <cellStyle name="Comma 2 11 3" xfId="1016"/>
    <cellStyle name="Comma 2 11 3 2" xfId="2140"/>
    <cellStyle name="Comma 2 11 4" xfId="1766"/>
    <cellStyle name="Comma 2 12" xfId="1097"/>
    <cellStyle name="Comma 2 12 2" xfId="2221"/>
    <cellStyle name="Comma 2 13" xfId="721"/>
    <cellStyle name="Comma 2 13 2" xfId="1847"/>
    <cellStyle name="Comma 2 14" xfId="1473"/>
    <cellStyle name="Comma 2 15" xfId="332"/>
    <cellStyle name="Comma 2 2" xfId="216"/>
    <cellStyle name="Comma 2 2 10" xfId="722"/>
    <cellStyle name="Comma 2 2 10 2" xfId="1848"/>
    <cellStyle name="Comma 2 2 11" xfId="1474"/>
    <cellStyle name="Comma 2 2 12" xfId="333"/>
    <cellStyle name="Comma 2 2 2" xfId="364"/>
    <cellStyle name="Comma 2 2 2 10" xfId="1499"/>
    <cellStyle name="Comma 2 2 2 2" xfId="443"/>
    <cellStyle name="Comma 2 2 2 2 2" xfId="509"/>
    <cellStyle name="Comma 2 2 2 2 2 2" xfId="1262"/>
    <cellStyle name="Comma 2 2 2 2 2 2 2" xfId="2384"/>
    <cellStyle name="Comma 2 2 2 2 2 3" xfId="886"/>
    <cellStyle name="Comma 2 2 2 2 2 3 2" xfId="2010"/>
    <cellStyle name="Comma 2 2 2 2 2 4" xfId="1636"/>
    <cellStyle name="Comma 2 2 2 2 3" xfId="579"/>
    <cellStyle name="Comma 2 2 2 2 3 2" xfId="1332"/>
    <cellStyle name="Comma 2 2 2 2 3 2 2" xfId="2454"/>
    <cellStyle name="Comma 2 2 2 2 3 3" xfId="956"/>
    <cellStyle name="Comma 2 2 2 2 3 3 2" xfId="2080"/>
    <cellStyle name="Comma 2 2 2 2 3 4" xfId="1706"/>
    <cellStyle name="Comma 2 2 2 2 4" xfId="601"/>
    <cellStyle name="Comma 2 2 2 2 4 2" xfId="1354"/>
    <cellStyle name="Comma 2 2 2 2 4 2 2" xfId="2476"/>
    <cellStyle name="Comma 2 2 2 2 4 3" xfId="978"/>
    <cellStyle name="Comma 2 2 2 2 4 3 2" xfId="2102"/>
    <cellStyle name="Comma 2 2 2 2 4 4" xfId="1728"/>
    <cellStyle name="Comma 2 2 2 2 5" xfId="699"/>
    <cellStyle name="Comma 2 2 2 2 5 2" xfId="1452"/>
    <cellStyle name="Comma 2 2 2 2 5 2 2" xfId="2574"/>
    <cellStyle name="Comma 2 2 2 2 5 3" xfId="1076"/>
    <cellStyle name="Comma 2 2 2 2 5 3 2" xfId="2200"/>
    <cellStyle name="Comma 2 2 2 2 5 4" xfId="1826"/>
    <cellStyle name="Comma 2 2 2 2 6" xfId="1196"/>
    <cellStyle name="Comma 2 2 2 2 6 2" xfId="2318"/>
    <cellStyle name="Comma 2 2 2 2 7" xfId="820"/>
    <cellStyle name="Comma 2 2 2 2 7 2" xfId="1944"/>
    <cellStyle name="Comma 2 2 2 2 8" xfId="1570"/>
    <cellStyle name="Comma 2 2 2 3" xfId="410"/>
    <cellStyle name="Comma 2 2 2 3 2" xfId="1163"/>
    <cellStyle name="Comma 2 2 2 3 2 2" xfId="2285"/>
    <cellStyle name="Comma 2 2 2 3 3" xfId="787"/>
    <cellStyle name="Comma 2 2 2 3 3 2" xfId="1911"/>
    <cellStyle name="Comma 2 2 2 3 4" xfId="1537"/>
    <cellStyle name="Comma 2 2 2 4" xfId="476"/>
    <cellStyle name="Comma 2 2 2 4 2" xfId="1229"/>
    <cellStyle name="Comma 2 2 2 4 2 2" xfId="2351"/>
    <cellStyle name="Comma 2 2 2 4 3" xfId="853"/>
    <cellStyle name="Comma 2 2 2 4 3 2" xfId="1977"/>
    <cellStyle name="Comma 2 2 2 4 4" xfId="1603"/>
    <cellStyle name="Comma 2 2 2 5" xfId="546"/>
    <cellStyle name="Comma 2 2 2 5 2" xfId="1299"/>
    <cellStyle name="Comma 2 2 2 5 2 2" xfId="2421"/>
    <cellStyle name="Comma 2 2 2 5 3" xfId="923"/>
    <cellStyle name="Comma 2 2 2 5 3 2" xfId="2047"/>
    <cellStyle name="Comma 2 2 2 5 4" xfId="1673"/>
    <cellStyle name="Comma 2 2 2 6" xfId="600"/>
    <cellStyle name="Comma 2 2 2 6 2" xfId="1353"/>
    <cellStyle name="Comma 2 2 2 6 2 2" xfId="2475"/>
    <cellStyle name="Comma 2 2 2 6 3" xfId="977"/>
    <cellStyle name="Comma 2 2 2 6 3 2" xfId="2101"/>
    <cellStyle name="Comma 2 2 2 6 4" xfId="1727"/>
    <cellStyle name="Comma 2 2 2 7" xfId="666"/>
    <cellStyle name="Comma 2 2 2 7 2" xfId="1419"/>
    <cellStyle name="Comma 2 2 2 7 2 2" xfId="2541"/>
    <cellStyle name="Comma 2 2 2 7 3" xfId="1043"/>
    <cellStyle name="Comma 2 2 2 7 3 2" xfId="2167"/>
    <cellStyle name="Comma 2 2 2 7 4" xfId="1793"/>
    <cellStyle name="Comma 2 2 2 8" xfId="1124"/>
    <cellStyle name="Comma 2 2 2 8 2" xfId="2247"/>
    <cellStyle name="Comma 2 2 2 9" xfId="748"/>
    <cellStyle name="Comma 2 2 2 9 2" xfId="1873"/>
    <cellStyle name="Comma 2 2 3" xfId="419"/>
    <cellStyle name="Comma 2 2 3 2" xfId="485"/>
    <cellStyle name="Comma 2 2 3 2 2" xfId="1238"/>
    <cellStyle name="Comma 2 2 3 2 2 2" xfId="2360"/>
    <cellStyle name="Comma 2 2 3 2 3" xfId="862"/>
    <cellStyle name="Comma 2 2 3 2 3 2" xfId="1986"/>
    <cellStyle name="Comma 2 2 3 2 4" xfId="1612"/>
    <cellStyle name="Comma 2 2 3 3" xfId="555"/>
    <cellStyle name="Comma 2 2 3 3 2" xfId="1308"/>
    <cellStyle name="Comma 2 2 3 3 2 2" xfId="2430"/>
    <cellStyle name="Comma 2 2 3 3 3" xfId="932"/>
    <cellStyle name="Comma 2 2 3 3 3 2" xfId="2056"/>
    <cellStyle name="Comma 2 2 3 3 4" xfId="1682"/>
    <cellStyle name="Comma 2 2 3 4" xfId="602"/>
    <cellStyle name="Comma 2 2 3 4 2" xfId="1355"/>
    <cellStyle name="Comma 2 2 3 4 2 2" xfId="2477"/>
    <cellStyle name="Comma 2 2 3 4 3" xfId="979"/>
    <cellStyle name="Comma 2 2 3 4 3 2" xfId="2103"/>
    <cellStyle name="Comma 2 2 3 4 4" xfId="1729"/>
    <cellStyle name="Comma 2 2 3 5" xfId="675"/>
    <cellStyle name="Comma 2 2 3 5 2" xfId="1428"/>
    <cellStyle name="Comma 2 2 3 5 2 2" xfId="2550"/>
    <cellStyle name="Comma 2 2 3 5 3" xfId="1052"/>
    <cellStyle name="Comma 2 2 3 5 3 2" xfId="2176"/>
    <cellStyle name="Comma 2 2 3 5 4" xfId="1802"/>
    <cellStyle name="Comma 2 2 3 6" xfId="1172"/>
    <cellStyle name="Comma 2 2 3 6 2" xfId="2294"/>
    <cellStyle name="Comma 2 2 3 7" xfId="796"/>
    <cellStyle name="Comma 2 2 3 7 2" xfId="1920"/>
    <cellStyle name="Comma 2 2 3 8" xfId="1546"/>
    <cellStyle name="Comma 2 2 4" xfId="381"/>
    <cellStyle name="Comma 2 2 4 2" xfId="1139"/>
    <cellStyle name="Comma 2 2 4 2 2" xfId="2261"/>
    <cellStyle name="Comma 2 2 4 3" xfId="763"/>
    <cellStyle name="Comma 2 2 4 3 2" xfId="1887"/>
    <cellStyle name="Comma 2 2 4 4" xfId="1513"/>
    <cellStyle name="Comma 2 2 5" xfId="452"/>
    <cellStyle name="Comma 2 2 5 2" xfId="1205"/>
    <cellStyle name="Comma 2 2 5 2 2" xfId="2327"/>
    <cellStyle name="Comma 2 2 5 3" xfId="829"/>
    <cellStyle name="Comma 2 2 5 3 2" xfId="1953"/>
    <cellStyle name="Comma 2 2 5 4" xfId="1579"/>
    <cellStyle name="Comma 2 2 6" xfId="522"/>
    <cellStyle name="Comma 2 2 6 2" xfId="1275"/>
    <cellStyle name="Comma 2 2 6 2 2" xfId="2397"/>
    <cellStyle name="Comma 2 2 6 3" xfId="899"/>
    <cellStyle name="Comma 2 2 6 3 2" xfId="2023"/>
    <cellStyle name="Comma 2 2 6 4" xfId="1649"/>
    <cellStyle name="Comma 2 2 7" xfId="599"/>
    <cellStyle name="Comma 2 2 7 2" xfId="1352"/>
    <cellStyle name="Comma 2 2 7 2 2" xfId="2474"/>
    <cellStyle name="Comma 2 2 7 3" xfId="976"/>
    <cellStyle name="Comma 2 2 7 3 2" xfId="2100"/>
    <cellStyle name="Comma 2 2 7 4" xfId="1726"/>
    <cellStyle name="Comma 2 2 8" xfId="642"/>
    <cellStyle name="Comma 2 2 8 2" xfId="1395"/>
    <cellStyle name="Comma 2 2 8 2 2" xfId="2517"/>
    <cellStyle name="Comma 2 2 8 3" xfId="1019"/>
    <cellStyle name="Comma 2 2 8 3 2" xfId="2143"/>
    <cellStyle name="Comma 2 2 8 4" xfId="1769"/>
    <cellStyle name="Comma 2 2 9" xfId="1098"/>
    <cellStyle name="Comma 2 2 9 2" xfId="2222"/>
    <cellStyle name="Comma 2 3" xfId="348"/>
    <cellStyle name="Comma 2 3 10" xfId="1484"/>
    <cellStyle name="Comma 2 3 2" xfId="377"/>
    <cellStyle name="Comma 2 3 2 2" xfId="440"/>
    <cellStyle name="Comma 2 3 2 2 2" xfId="1193"/>
    <cellStyle name="Comma 2 3 2 2 2 2" xfId="2315"/>
    <cellStyle name="Comma 2 3 2 2 3" xfId="817"/>
    <cellStyle name="Comma 2 3 2 2 3 2" xfId="1941"/>
    <cellStyle name="Comma 2 3 2 2 4" xfId="1567"/>
    <cellStyle name="Comma 2 3 2 3" xfId="506"/>
    <cellStyle name="Comma 2 3 2 3 2" xfId="1259"/>
    <cellStyle name="Comma 2 3 2 3 2 2" xfId="2381"/>
    <cellStyle name="Comma 2 3 2 3 3" xfId="883"/>
    <cellStyle name="Comma 2 3 2 3 3 2" xfId="2007"/>
    <cellStyle name="Comma 2 3 2 3 4" xfId="1633"/>
    <cellStyle name="Comma 2 3 2 4" xfId="576"/>
    <cellStyle name="Comma 2 3 2 4 2" xfId="1329"/>
    <cellStyle name="Comma 2 3 2 4 2 2" xfId="2451"/>
    <cellStyle name="Comma 2 3 2 4 3" xfId="953"/>
    <cellStyle name="Comma 2 3 2 4 3 2" xfId="2077"/>
    <cellStyle name="Comma 2 3 2 4 4" xfId="1703"/>
    <cellStyle name="Comma 2 3 2 5" xfId="604"/>
    <cellStyle name="Comma 2 3 2 5 2" xfId="1357"/>
    <cellStyle name="Comma 2 3 2 5 2 2" xfId="2479"/>
    <cellStyle name="Comma 2 3 2 5 3" xfId="981"/>
    <cellStyle name="Comma 2 3 2 5 3 2" xfId="2105"/>
    <cellStyle name="Comma 2 3 2 5 4" xfId="1731"/>
    <cellStyle name="Comma 2 3 2 6" xfId="696"/>
    <cellStyle name="Comma 2 3 2 6 2" xfId="1449"/>
    <cellStyle name="Comma 2 3 2 6 2 2" xfId="2571"/>
    <cellStyle name="Comma 2 3 2 6 3" xfId="1073"/>
    <cellStyle name="Comma 2 3 2 6 3 2" xfId="2197"/>
    <cellStyle name="Comma 2 3 2 6 4" xfId="1823"/>
    <cellStyle name="Comma 2 3 2 7" xfId="1134"/>
    <cellStyle name="Comma 2 3 2 7 2" xfId="2257"/>
    <cellStyle name="Comma 2 3 2 8" xfId="758"/>
    <cellStyle name="Comma 2 3 2 8 2" xfId="1883"/>
    <cellStyle name="Comma 2 3 2 9" xfId="1509"/>
    <cellStyle name="Comma 2 3 3" xfId="407"/>
    <cellStyle name="Comma 2 3 3 2" xfId="1160"/>
    <cellStyle name="Comma 2 3 3 2 2" xfId="2282"/>
    <cellStyle name="Comma 2 3 3 3" xfId="784"/>
    <cellStyle name="Comma 2 3 3 3 2" xfId="1908"/>
    <cellStyle name="Comma 2 3 3 4" xfId="1534"/>
    <cellStyle name="Comma 2 3 4" xfId="473"/>
    <cellStyle name="Comma 2 3 4 2" xfId="1226"/>
    <cellStyle name="Comma 2 3 4 2 2" xfId="2348"/>
    <cellStyle name="Comma 2 3 4 3" xfId="850"/>
    <cellStyle name="Comma 2 3 4 3 2" xfId="1974"/>
    <cellStyle name="Comma 2 3 4 4" xfId="1600"/>
    <cellStyle name="Comma 2 3 5" xfId="543"/>
    <cellStyle name="Comma 2 3 5 2" xfId="1296"/>
    <cellStyle name="Comma 2 3 5 2 2" xfId="2418"/>
    <cellStyle name="Comma 2 3 5 3" xfId="920"/>
    <cellStyle name="Comma 2 3 5 3 2" xfId="2044"/>
    <cellStyle name="Comma 2 3 5 4" xfId="1670"/>
    <cellStyle name="Comma 2 3 6" xfId="603"/>
    <cellStyle name="Comma 2 3 6 2" xfId="1356"/>
    <cellStyle name="Comma 2 3 6 2 2" xfId="2478"/>
    <cellStyle name="Comma 2 3 6 3" xfId="980"/>
    <cellStyle name="Comma 2 3 6 3 2" xfId="2104"/>
    <cellStyle name="Comma 2 3 6 4" xfId="1730"/>
    <cellStyle name="Comma 2 3 7" xfId="663"/>
    <cellStyle name="Comma 2 3 7 2" xfId="1416"/>
    <cellStyle name="Comma 2 3 7 2 2" xfId="2538"/>
    <cellStyle name="Comma 2 3 7 3" xfId="1040"/>
    <cellStyle name="Comma 2 3 7 3 2" xfId="2164"/>
    <cellStyle name="Comma 2 3 7 4" xfId="1790"/>
    <cellStyle name="Comma 2 3 8" xfId="1108"/>
    <cellStyle name="Comma 2 3 8 2" xfId="2232"/>
    <cellStyle name="Comma 2 3 9" xfId="732"/>
    <cellStyle name="Comma 2 3 9 2" xfId="1858"/>
    <cellStyle name="Comma 2 4" xfId="363"/>
    <cellStyle name="Comma 2 4 2" xfId="416"/>
    <cellStyle name="Comma 2 4 2 2" xfId="1169"/>
    <cellStyle name="Comma 2 4 2 2 2" xfId="2291"/>
    <cellStyle name="Comma 2 4 2 3" xfId="793"/>
    <cellStyle name="Comma 2 4 2 3 2" xfId="1917"/>
    <cellStyle name="Comma 2 4 2 4" xfId="1543"/>
    <cellStyle name="Comma 2 4 3" xfId="482"/>
    <cellStyle name="Comma 2 4 3 2" xfId="1235"/>
    <cellStyle name="Comma 2 4 3 2 2" xfId="2357"/>
    <cellStyle name="Comma 2 4 3 3" xfId="859"/>
    <cellStyle name="Comma 2 4 3 3 2" xfId="1983"/>
    <cellStyle name="Comma 2 4 3 4" xfId="1609"/>
    <cellStyle name="Comma 2 4 4" xfId="552"/>
    <cellStyle name="Comma 2 4 4 2" xfId="1305"/>
    <cellStyle name="Comma 2 4 4 2 2" xfId="2427"/>
    <cellStyle name="Comma 2 4 4 3" xfId="929"/>
    <cellStyle name="Comma 2 4 4 3 2" xfId="2053"/>
    <cellStyle name="Comma 2 4 4 4" xfId="1679"/>
    <cellStyle name="Comma 2 4 5" xfId="605"/>
    <cellStyle name="Comma 2 4 5 2" xfId="1358"/>
    <cellStyle name="Comma 2 4 5 2 2" xfId="2480"/>
    <cellStyle name="Comma 2 4 5 3" xfId="982"/>
    <cellStyle name="Comma 2 4 5 3 2" xfId="2106"/>
    <cellStyle name="Comma 2 4 5 4" xfId="1732"/>
    <cellStyle name="Comma 2 4 6" xfId="672"/>
    <cellStyle name="Comma 2 4 6 2" xfId="1425"/>
    <cellStyle name="Comma 2 4 6 2 2" xfId="2547"/>
    <cellStyle name="Comma 2 4 6 3" xfId="1049"/>
    <cellStyle name="Comma 2 4 6 3 2" xfId="2173"/>
    <cellStyle name="Comma 2 4 6 4" xfId="1799"/>
    <cellStyle name="Comma 2 4 7" xfId="1123"/>
    <cellStyle name="Comma 2 4 7 2" xfId="2246"/>
    <cellStyle name="Comma 2 4 8" xfId="747"/>
    <cellStyle name="Comma 2 4 8 2" xfId="1872"/>
    <cellStyle name="Comma 2 4 9" xfId="1498"/>
    <cellStyle name="Comma 2 5" xfId="378"/>
    <cellStyle name="Comma 2 5 2" xfId="1136"/>
    <cellStyle name="Comma 2 5 2 2" xfId="2258"/>
    <cellStyle name="Comma 2 5 3" xfId="760"/>
    <cellStyle name="Comma 2 5 3 2" xfId="1884"/>
    <cellStyle name="Comma 2 5 4" xfId="1510"/>
    <cellStyle name="Comma 2 6" xfId="449"/>
    <cellStyle name="Comma 2 6 2" xfId="1202"/>
    <cellStyle name="Comma 2 6 2 2" xfId="2324"/>
    <cellStyle name="Comma 2 6 3" xfId="826"/>
    <cellStyle name="Comma 2 6 3 2" xfId="1950"/>
    <cellStyle name="Comma 2 6 4" xfId="1576"/>
    <cellStyle name="Comma 2 7" xfId="516"/>
    <cellStyle name="Comma 2 7 2" xfId="1269"/>
    <cellStyle name="Comma 2 7 2 2" xfId="2391"/>
    <cellStyle name="Comma 2 7 3" xfId="893"/>
    <cellStyle name="Comma 2 7 3 2" xfId="2017"/>
    <cellStyle name="Comma 2 7 4" xfId="1643"/>
    <cellStyle name="Comma 2 8" xfId="518"/>
    <cellStyle name="Comma 2 8 2" xfId="1271"/>
    <cellStyle name="Comma 2 8 2 2" xfId="2393"/>
    <cellStyle name="Comma 2 8 3" xfId="895"/>
    <cellStyle name="Comma 2 8 3 2" xfId="2019"/>
    <cellStyle name="Comma 2 8 4" xfId="1645"/>
    <cellStyle name="Comma 2 9" xfId="519"/>
    <cellStyle name="Comma 2 9 2" xfId="1272"/>
    <cellStyle name="Comma 2 9 2 2" xfId="2394"/>
    <cellStyle name="Comma 2 9 3" xfId="896"/>
    <cellStyle name="Comma 2 9 3 2" xfId="2020"/>
    <cellStyle name="Comma 2 9 4" xfId="1646"/>
    <cellStyle name="Comma 3" xfId="195"/>
    <cellStyle name="Comma 3 2" xfId="222"/>
    <cellStyle name="Comma 3 3" xfId="384"/>
    <cellStyle name="Comma 4" xfId="196"/>
    <cellStyle name="Comma 4 10" xfId="759"/>
    <cellStyle name="Comma 4 2" xfId="413"/>
    <cellStyle name="Comma 4 2 2" xfId="446"/>
    <cellStyle name="Comma 4 2 2 2" xfId="512"/>
    <cellStyle name="Comma 4 2 2 2 2" xfId="1265"/>
    <cellStyle name="Comma 4 2 2 2 2 2" xfId="2387"/>
    <cellStyle name="Comma 4 2 2 2 3" xfId="889"/>
    <cellStyle name="Comma 4 2 2 2 3 2" xfId="2013"/>
    <cellStyle name="Comma 4 2 2 2 4" xfId="1639"/>
    <cellStyle name="Comma 4 2 2 3" xfId="582"/>
    <cellStyle name="Comma 4 2 2 3 2" xfId="1335"/>
    <cellStyle name="Comma 4 2 2 3 2 2" xfId="2457"/>
    <cellStyle name="Comma 4 2 2 3 3" xfId="959"/>
    <cellStyle name="Comma 4 2 2 3 3 2" xfId="2083"/>
    <cellStyle name="Comma 4 2 2 3 4" xfId="1709"/>
    <cellStyle name="Comma 4 2 2 4" xfId="608"/>
    <cellStyle name="Comma 4 2 2 4 2" xfId="1361"/>
    <cellStyle name="Comma 4 2 2 4 2 2" xfId="2483"/>
    <cellStyle name="Comma 4 2 2 4 3" xfId="985"/>
    <cellStyle name="Comma 4 2 2 4 3 2" xfId="2109"/>
    <cellStyle name="Comma 4 2 2 4 4" xfId="1735"/>
    <cellStyle name="Comma 4 2 2 5" xfId="702"/>
    <cellStyle name="Comma 4 2 2 5 2" xfId="1455"/>
    <cellStyle name="Comma 4 2 2 5 2 2" xfId="2577"/>
    <cellStyle name="Comma 4 2 2 5 3" xfId="1079"/>
    <cellStyle name="Comma 4 2 2 5 3 2" xfId="2203"/>
    <cellStyle name="Comma 4 2 2 5 4" xfId="1829"/>
    <cellStyle name="Comma 4 2 2 6" xfId="1199"/>
    <cellStyle name="Comma 4 2 2 6 2" xfId="2321"/>
    <cellStyle name="Comma 4 2 2 7" xfId="823"/>
    <cellStyle name="Comma 4 2 2 7 2" xfId="1947"/>
    <cellStyle name="Comma 4 2 2 8" xfId="1573"/>
    <cellStyle name="Comma 4 2 3" xfId="479"/>
    <cellStyle name="Comma 4 2 3 2" xfId="1232"/>
    <cellStyle name="Comma 4 2 3 2 2" xfId="2354"/>
    <cellStyle name="Comma 4 2 3 3" xfId="856"/>
    <cellStyle name="Comma 4 2 3 3 2" xfId="1980"/>
    <cellStyle name="Comma 4 2 3 4" xfId="1606"/>
    <cellStyle name="Comma 4 2 4" xfId="549"/>
    <cellStyle name="Comma 4 2 4 2" xfId="1302"/>
    <cellStyle name="Comma 4 2 4 2 2" xfId="2424"/>
    <cellStyle name="Comma 4 2 4 3" xfId="926"/>
    <cellStyle name="Comma 4 2 4 3 2" xfId="2050"/>
    <cellStyle name="Comma 4 2 4 4" xfId="1676"/>
    <cellStyle name="Comma 4 2 5" xfId="607"/>
    <cellStyle name="Comma 4 2 5 2" xfId="1360"/>
    <cellStyle name="Comma 4 2 5 2 2" xfId="2482"/>
    <cellStyle name="Comma 4 2 5 3" xfId="984"/>
    <cellStyle name="Comma 4 2 5 3 2" xfId="2108"/>
    <cellStyle name="Comma 4 2 5 4" xfId="1734"/>
    <cellStyle name="Comma 4 2 6" xfId="669"/>
    <cellStyle name="Comma 4 2 6 2" xfId="1422"/>
    <cellStyle name="Comma 4 2 6 2 2" xfId="2544"/>
    <cellStyle name="Comma 4 2 6 3" xfId="1046"/>
    <cellStyle name="Comma 4 2 6 3 2" xfId="2170"/>
    <cellStyle name="Comma 4 2 6 4" xfId="1796"/>
    <cellStyle name="Comma 4 2 7" xfId="1166"/>
    <cellStyle name="Comma 4 2 7 2" xfId="2288"/>
    <cellStyle name="Comma 4 2 8" xfId="790"/>
    <cellStyle name="Comma 4 2 8 2" xfId="1914"/>
    <cellStyle name="Comma 4 2 9" xfId="1540"/>
    <cellStyle name="Comma 4 3" xfId="422"/>
    <cellStyle name="Comma 4 3 2" xfId="488"/>
    <cellStyle name="Comma 4 3 2 2" xfId="1241"/>
    <cellStyle name="Comma 4 3 2 2 2" xfId="2363"/>
    <cellStyle name="Comma 4 3 2 3" xfId="865"/>
    <cellStyle name="Comma 4 3 2 3 2" xfId="1989"/>
    <cellStyle name="Comma 4 3 2 4" xfId="1615"/>
    <cellStyle name="Comma 4 3 3" xfId="558"/>
    <cellStyle name="Comma 4 3 3 2" xfId="1311"/>
    <cellStyle name="Comma 4 3 3 2 2" xfId="2433"/>
    <cellStyle name="Comma 4 3 3 3" xfId="935"/>
    <cellStyle name="Comma 4 3 3 3 2" xfId="2059"/>
    <cellStyle name="Comma 4 3 3 4" xfId="1685"/>
    <cellStyle name="Comma 4 3 4" xfId="609"/>
    <cellStyle name="Comma 4 3 4 2" xfId="1362"/>
    <cellStyle name="Comma 4 3 4 2 2" xfId="2484"/>
    <cellStyle name="Comma 4 3 4 3" xfId="986"/>
    <cellStyle name="Comma 4 3 4 3 2" xfId="2110"/>
    <cellStyle name="Comma 4 3 4 4" xfId="1736"/>
    <cellStyle name="Comma 4 3 5" xfId="678"/>
    <cellStyle name="Comma 4 3 5 2" xfId="1431"/>
    <cellStyle name="Comma 4 3 5 2 2" xfId="2553"/>
    <cellStyle name="Comma 4 3 5 3" xfId="1055"/>
    <cellStyle name="Comma 4 3 5 3 2" xfId="2179"/>
    <cellStyle name="Comma 4 3 5 4" xfId="1805"/>
    <cellStyle name="Comma 4 3 6" xfId="1175"/>
    <cellStyle name="Comma 4 3 6 2" xfId="2297"/>
    <cellStyle name="Comma 4 3 7" xfId="799"/>
    <cellStyle name="Comma 4 3 7 2" xfId="1923"/>
    <cellStyle name="Comma 4 3 8" xfId="1549"/>
    <cellStyle name="Comma 4 4" xfId="385"/>
    <cellStyle name="Comma 4 4 2" xfId="1142"/>
    <cellStyle name="Comma 4 4 2 2" xfId="2264"/>
    <cellStyle name="Comma 4 4 3" xfId="766"/>
    <cellStyle name="Comma 4 4 3 2" xfId="1890"/>
    <cellStyle name="Comma 4 4 4" xfId="1516"/>
    <cellStyle name="Comma 4 5" xfId="455"/>
    <cellStyle name="Comma 4 5 2" xfId="1208"/>
    <cellStyle name="Comma 4 5 2 2" xfId="2330"/>
    <cellStyle name="Comma 4 5 3" xfId="832"/>
    <cellStyle name="Comma 4 5 3 2" xfId="1956"/>
    <cellStyle name="Comma 4 5 4" xfId="1582"/>
    <cellStyle name="Comma 4 6" xfId="525"/>
    <cellStyle name="Comma 4 6 2" xfId="1278"/>
    <cellStyle name="Comma 4 6 2 2" xfId="2400"/>
    <cellStyle name="Comma 4 6 3" xfId="902"/>
    <cellStyle name="Comma 4 6 3 2" xfId="2026"/>
    <cellStyle name="Comma 4 6 4" xfId="1652"/>
    <cellStyle name="Comma 4 7" xfId="606"/>
    <cellStyle name="Comma 4 7 2" xfId="1359"/>
    <cellStyle name="Comma 4 7 2 2" xfId="2481"/>
    <cellStyle name="Comma 4 7 3" xfId="983"/>
    <cellStyle name="Comma 4 7 3 2" xfId="2107"/>
    <cellStyle name="Comma 4 7 4" xfId="1733"/>
    <cellStyle name="Comma 4 8" xfId="645"/>
    <cellStyle name="Comma 4 8 2" xfId="1398"/>
    <cellStyle name="Comma 4 8 2 2" xfId="2520"/>
    <cellStyle name="Comma 4 8 3" xfId="1022"/>
    <cellStyle name="Comma 4 8 3 2" xfId="2146"/>
    <cellStyle name="Comma 4 8 4" xfId="1772"/>
    <cellStyle name="Comma 4 9" xfId="1135"/>
    <cellStyle name="Comma 5" xfId="386"/>
    <cellStyle name="Comma 5 10" xfId="1517"/>
    <cellStyle name="Comma 5 2" xfId="414"/>
    <cellStyle name="Comma 5 2 2" xfId="447"/>
    <cellStyle name="Comma 5 2 2 2" xfId="513"/>
    <cellStyle name="Comma 5 2 2 2 2" xfId="1266"/>
    <cellStyle name="Comma 5 2 2 2 2 2" xfId="2388"/>
    <cellStyle name="Comma 5 2 2 2 3" xfId="890"/>
    <cellStyle name="Comma 5 2 2 2 3 2" xfId="2014"/>
    <cellStyle name="Comma 5 2 2 2 4" xfId="1640"/>
    <cellStyle name="Comma 5 2 2 3" xfId="583"/>
    <cellStyle name="Comma 5 2 2 3 2" xfId="1336"/>
    <cellStyle name="Comma 5 2 2 3 2 2" xfId="2458"/>
    <cellStyle name="Comma 5 2 2 3 3" xfId="960"/>
    <cellStyle name="Comma 5 2 2 3 3 2" xfId="2084"/>
    <cellStyle name="Comma 5 2 2 3 4" xfId="1710"/>
    <cellStyle name="Comma 5 2 2 4" xfId="612"/>
    <cellStyle name="Comma 5 2 2 4 2" xfId="1365"/>
    <cellStyle name="Comma 5 2 2 4 2 2" xfId="2487"/>
    <cellStyle name="Comma 5 2 2 4 3" xfId="989"/>
    <cellStyle name="Comma 5 2 2 4 3 2" xfId="2113"/>
    <cellStyle name="Comma 5 2 2 4 4" xfId="1739"/>
    <cellStyle name="Comma 5 2 2 5" xfId="703"/>
    <cellStyle name="Comma 5 2 2 5 2" xfId="1456"/>
    <cellStyle name="Comma 5 2 2 5 2 2" xfId="2578"/>
    <cellStyle name="Comma 5 2 2 5 3" xfId="1080"/>
    <cellStyle name="Comma 5 2 2 5 3 2" xfId="2204"/>
    <cellStyle name="Comma 5 2 2 5 4" xfId="1830"/>
    <cellStyle name="Comma 5 2 2 6" xfId="1200"/>
    <cellStyle name="Comma 5 2 2 6 2" xfId="2322"/>
    <cellStyle name="Comma 5 2 2 7" xfId="824"/>
    <cellStyle name="Comma 5 2 2 7 2" xfId="1948"/>
    <cellStyle name="Comma 5 2 2 8" xfId="1574"/>
    <cellStyle name="Comma 5 2 3" xfId="480"/>
    <cellStyle name="Comma 5 2 3 2" xfId="1233"/>
    <cellStyle name="Comma 5 2 3 2 2" xfId="2355"/>
    <cellStyle name="Comma 5 2 3 3" xfId="857"/>
    <cellStyle name="Comma 5 2 3 3 2" xfId="1981"/>
    <cellStyle name="Comma 5 2 3 4" xfId="1607"/>
    <cellStyle name="Comma 5 2 4" xfId="550"/>
    <cellStyle name="Comma 5 2 4 2" xfId="1303"/>
    <cellStyle name="Comma 5 2 4 2 2" xfId="2425"/>
    <cellStyle name="Comma 5 2 4 3" xfId="927"/>
    <cellStyle name="Comma 5 2 4 3 2" xfId="2051"/>
    <cellStyle name="Comma 5 2 4 4" xfId="1677"/>
    <cellStyle name="Comma 5 2 5" xfId="611"/>
    <cellStyle name="Comma 5 2 5 2" xfId="1364"/>
    <cellStyle name="Comma 5 2 5 2 2" xfId="2486"/>
    <cellStyle name="Comma 5 2 5 3" xfId="988"/>
    <cellStyle name="Comma 5 2 5 3 2" xfId="2112"/>
    <cellStyle name="Comma 5 2 5 4" xfId="1738"/>
    <cellStyle name="Comma 5 2 6" xfId="670"/>
    <cellStyle name="Comma 5 2 6 2" xfId="1423"/>
    <cellStyle name="Comma 5 2 6 2 2" xfId="2545"/>
    <cellStyle name="Comma 5 2 6 3" xfId="1047"/>
    <cellStyle name="Comma 5 2 6 3 2" xfId="2171"/>
    <cellStyle name="Comma 5 2 6 4" xfId="1797"/>
    <cellStyle name="Comma 5 2 7" xfId="1167"/>
    <cellStyle name="Comma 5 2 7 2" xfId="2289"/>
    <cellStyle name="Comma 5 2 8" xfId="791"/>
    <cellStyle name="Comma 5 2 8 2" xfId="1915"/>
    <cellStyle name="Comma 5 2 9" xfId="1541"/>
    <cellStyle name="Comma 5 3" xfId="423"/>
    <cellStyle name="Comma 5 3 2" xfId="489"/>
    <cellStyle name="Comma 5 3 2 2" xfId="1242"/>
    <cellStyle name="Comma 5 3 2 2 2" xfId="2364"/>
    <cellStyle name="Comma 5 3 2 3" xfId="866"/>
    <cellStyle name="Comma 5 3 2 3 2" xfId="1990"/>
    <cellStyle name="Comma 5 3 2 4" xfId="1616"/>
    <cellStyle name="Comma 5 3 3" xfId="559"/>
    <cellStyle name="Comma 5 3 3 2" xfId="1312"/>
    <cellStyle name="Comma 5 3 3 2 2" xfId="2434"/>
    <cellStyle name="Comma 5 3 3 3" xfId="936"/>
    <cellStyle name="Comma 5 3 3 3 2" xfId="2060"/>
    <cellStyle name="Comma 5 3 3 4" xfId="1686"/>
    <cellStyle name="Comma 5 3 4" xfId="613"/>
    <cellStyle name="Comma 5 3 4 2" xfId="1366"/>
    <cellStyle name="Comma 5 3 4 2 2" xfId="2488"/>
    <cellStyle name="Comma 5 3 4 3" xfId="990"/>
    <cellStyle name="Comma 5 3 4 3 2" xfId="2114"/>
    <cellStyle name="Comma 5 3 4 4" xfId="1740"/>
    <cellStyle name="Comma 5 3 5" xfId="679"/>
    <cellStyle name="Comma 5 3 5 2" xfId="1432"/>
    <cellStyle name="Comma 5 3 5 2 2" xfId="2554"/>
    <cellStyle name="Comma 5 3 5 3" xfId="1056"/>
    <cellStyle name="Comma 5 3 5 3 2" xfId="2180"/>
    <cellStyle name="Comma 5 3 5 4" xfId="1806"/>
    <cellStyle name="Comma 5 3 6" xfId="1176"/>
    <cellStyle name="Comma 5 3 6 2" xfId="2298"/>
    <cellStyle name="Comma 5 3 7" xfId="800"/>
    <cellStyle name="Comma 5 3 7 2" xfId="1924"/>
    <cellStyle name="Comma 5 3 8" xfId="1550"/>
    <cellStyle name="Comma 5 4" xfId="456"/>
    <cellStyle name="Comma 5 4 2" xfId="1209"/>
    <cellStyle name="Comma 5 4 2 2" xfId="2331"/>
    <cellStyle name="Comma 5 4 3" xfId="833"/>
    <cellStyle name="Comma 5 4 3 2" xfId="1957"/>
    <cellStyle name="Comma 5 4 4" xfId="1583"/>
    <cellStyle name="Comma 5 5" xfId="526"/>
    <cellStyle name="Comma 5 5 2" xfId="1279"/>
    <cellStyle name="Comma 5 5 2 2" xfId="2401"/>
    <cellStyle name="Comma 5 5 3" xfId="903"/>
    <cellStyle name="Comma 5 5 3 2" xfId="2027"/>
    <cellStyle name="Comma 5 5 4" xfId="1653"/>
    <cellStyle name="Comma 5 6" xfId="610"/>
    <cellStyle name="Comma 5 6 2" xfId="1363"/>
    <cellStyle name="Comma 5 6 2 2" xfId="2485"/>
    <cellStyle name="Comma 5 6 3" xfId="987"/>
    <cellStyle name="Comma 5 6 3 2" xfId="2111"/>
    <cellStyle name="Comma 5 6 4" xfId="1737"/>
    <cellStyle name="Comma 5 7" xfId="646"/>
    <cellStyle name="Comma 5 7 2" xfId="1399"/>
    <cellStyle name="Comma 5 7 2 2" xfId="2521"/>
    <cellStyle name="Comma 5 7 3" xfId="1023"/>
    <cellStyle name="Comma 5 7 3 2" xfId="2147"/>
    <cellStyle name="Comma 5 7 4" xfId="1773"/>
    <cellStyle name="Comma 5 8" xfId="1143"/>
    <cellStyle name="Comma 5 8 2" xfId="2265"/>
    <cellStyle name="Comma 5 9" xfId="767"/>
    <cellStyle name="Comma 5 9 2" xfId="1891"/>
    <cellStyle name="Comma 6" xfId="406"/>
    <cellStyle name="Comma 7" xfId="403"/>
    <cellStyle name="Comma 7 10" xfId="1532"/>
    <cellStyle name="Comma 7 2" xfId="438"/>
    <cellStyle name="Comma 7 2 2" xfId="504"/>
    <cellStyle name="Comma 7 2 2 2" xfId="1257"/>
    <cellStyle name="Comma 7 2 2 2 2" xfId="2379"/>
    <cellStyle name="Comma 7 2 2 3" xfId="881"/>
    <cellStyle name="Comma 7 2 2 3 2" xfId="2005"/>
    <cellStyle name="Comma 7 2 2 4" xfId="1631"/>
    <cellStyle name="Comma 7 2 3" xfId="574"/>
    <cellStyle name="Comma 7 2 3 2" xfId="1327"/>
    <cellStyle name="Comma 7 2 3 2 2" xfId="2449"/>
    <cellStyle name="Comma 7 2 3 3" xfId="951"/>
    <cellStyle name="Comma 7 2 3 3 2" xfId="2075"/>
    <cellStyle name="Comma 7 2 3 4" xfId="1701"/>
    <cellStyle name="Comma 7 2 4" xfId="615"/>
    <cellStyle name="Comma 7 2 4 2" xfId="1368"/>
    <cellStyle name="Comma 7 2 4 2 2" xfId="2490"/>
    <cellStyle name="Comma 7 2 4 3" xfId="992"/>
    <cellStyle name="Comma 7 2 4 3 2" xfId="2116"/>
    <cellStyle name="Comma 7 2 4 4" xfId="1742"/>
    <cellStyle name="Comma 7 2 5" xfId="694"/>
    <cellStyle name="Comma 7 2 5 2" xfId="1447"/>
    <cellStyle name="Comma 7 2 5 2 2" xfId="2569"/>
    <cellStyle name="Comma 7 2 5 3" xfId="1071"/>
    <cellStyle name="Comma 7 2 5 3 2" xfId="2195"/>
    <cellStyle name="Comma 7 2 5 4" xfId="1821"/>
    <cellStyle name="Comma 7 2 6" xfId="1191"/>
    <cellStyle name="Comma 7 2 6 2" xfId="2313"/>
    <cellStyle name="Comma 7 2 7" xfId="815"/>
    <cellStyle name="Comma 7 2 7 2" xfId="1939"/>
    <cellStyle name="Comma 7 2 8" xfId="1565"/>
    <cellStyle name="Comma 7 3" xfId="471"/>
    <cellStyle name="Comma 7 3 2" xfId="1224"/>
    <cellStyle name="Comma 7 3 2 2" xfId="2346"/>
    <cellStyle name="Comma 7 3 3" xfId="848"/>
    <cellStyle name="Comma 7 3 3 2" xfId="1972"/>
    <cellStyle name="Comma 7 3 4" xfId="1598"/>
    <cellStyle name="Comma 7 4" xfId="541"/>
    <cellStyle name="Comma 7 4 2" xfId="1294"/>
    <cellStyle name="Comma 7 4 2 2" xfId="2416"/>
    <cellStyle name="Comma 7 4 3" xfId="918"/>
    <cellStyle name="Comma 7 4 3 2" xfId="2042"/>
    <cellStyle name="Comma 7 4 4" xfId="1668"/>
    <cellStyle name="Comma 7 5" xfId="614"/>
    <cellStyle name="Comma 7 5 2" xfId="1367"/>
    <cellStyle name="Comma 7 5 2 2" xfId="2489"/>
    <cellStyle name="Comma 7 5 3" xfId="991"/>
    <cellStyle name="Comma 7 5 3 2" xfId="2115"/>
    <cellStyle name="Comma 7 5 4" xfId="1741"/>
    <cellStyle name="Comma 7 6" xfId="661"/>
    <cellStyle name="Comma 7 6 2" xfId="1414"/>
    <cellStyle name="Comma 7 6 2 2" xfId="2536"/>
    <cellStyle name="Comma 7 6 3" xfId="1038"/>
    <cellStyle name="Comma 7 6 3 2" xfId="2162"/>
    <cellStyle name="Comma 7 6 4" xfId="1788"/>
    <cellStyle name="Comma 7 7" xfId="706"/>
    <cellStyle name="Comma 7 7 2" xfId="1459"/>
    <cellStyle name="Comma 7 7 2 2" xfId="2581"/>
    <cellStyle name="Comma 7 7 3" xfId="1083"/>
    <cellStyle name="Comma 7 7 3 2" xfId="2207"/>
    <cellStyle name="Comma 7 7 4" xfId="1833"/>
    <cellStyle name="Comma 7 8" xfId="1158"/>
    <cellStyle name="Comma 7 8 2" xfId="2280"/>
    <cellStyle name="Comma 7 9" xfId="782"/>
    <cellStyle name="Comma 7 9 2" xfId="1906"/>
    <cellStyle name="Comma 8" xfId="83"/>
    <cellStyle name="Explanatory Text" xfId="26" builtinId="53" customBuiltin="1"/>
    <cellStyle name="Explanatory Text 2" xfId="176"/>
    <cellStyle name="Explanatory Text 3" xfId="119"/>
    <cellStyle name="Explanatory Text 4" xfId="243"/>
    <cellStyle name="Explanatory Text 4 2" xfId="291"/>
    <cellStyle name="Explanatory Text 5" xfId="84"/>
    <cellStyle name="Good" xfId="17" builtinId="26" customBuiltin="1"/>
    <cellStyle name="Good 2" xfId="177"/>
    <cellStyle name="Good 3" xfId="109"/>
    <cellStyle name="Good 4" xfId="234"/>
    <cellStyle name="Good 4 2" xfId="282"/>
    <cellStyle name="Good 5" xfId="85"/>
    <cellStyle name="Heading 1" xfId="13" builtinId="16" customBuiltin="1"/>
    <cellStyle name="Heading 1 2" xfId="178"/>
    <cellStyle name="Heading 1 3" xfId="105"/>
    <cellStyle name="Heading 1 4" xfId="230"/>
    <cellStyle name="Heading 1 4 2" xfId="278"/>
    <cellStyle name="Heading 1 5" xfId="86"/>
    <cellStyle name="Heading 2" xfId="14" builtinId="17" customBuiltin="1"/>
    <cellStyle name="Heading 2 2" xfId="179"/>
    <cellStyle name="Heading 2 3" xfId="106"/>
    <cellStyle name="Heading 2 4" xfId="231"/>
    <cellStyle name="Heading 2 4 2" xfId="279"/>
    <cellStyle name="Heading 2 5" xfId="87"/>
    <cellStyle name="Heading 3" xfId="15" builtinId="18" customBuiltin="1"/>
    <cellStyle name="Heading 3 2" xfId="180"/>
    <cellStyle name="Heading 3 3" xfId="107"/>
    <cellStyle name="Heading 3 4" xfId="232"/>
    <cellStyle name="Heading 3 4 2" xfId="280"/>
    <cellStyle name="Heading 3 5" xfId="88"/>
    <cellStyle name="Heading 4" xfId="16" builtinId="19" customBuiltin="1"/>
    <cellStyle name="Heading 4 2" xfId="181"/>
    <cellStyle name="Heading 4 3" xfId="108"/>
    <cellStyle name="Heading 4 4" xfId="233"/>
    <cellStyle name="Heading 4 4 2" xfId="281"/>
    <cellStyle name="Heading 4 5" xfId="89"/>
    <cellStyle name="Hyperlink 2" xfId="708"/>
    <cellStyle name="Input" xfId="20" builtinId="20" customBuiltin="1"/>
    <cellStyle name="Input 2" xfId="182"/>
    <cellStyle name="Input 3" xfId="112"/>
    <cellStyle name="Input 4" xfId="237"/>
    <cellStyle name="Input 4 2" xfId="285"/>
    <cellStyle name="Input 5" xfId="90"/>
    <cellStyle name="Linked Cell" xfId="23" builtinId="24" customBuiltin="1"/>
    <cellStyle name="Linked Cell 2" xfId="183"/>
    <cellStyle name="Linked Cell 3" xfId="115"/>
    <cellStyle name="Linked Cell 4" xfId="240"/>
    <cellStyle name="Linked Cell 4 2" xfId="288"/>
    <cellStyle name="Linked Cell 5" xfId="91"/>
    <cellStyle name="Neutral" xfId="19" builtinId="28" customBuiltin="1"/>
    <cellStyle name="Neutral 2" xfId="184"/>
    <cellStyle name="Neutral 3" xfId="111"/>
    <cellStyle name="Neutral 4" xfId="236"/>
    <cellStyle name="Neutral 4 2" xfId="284"/>
    <cellStyle name="Neutral 5" xfId="92"/>
    <cellStyle name="Normal" xfId="0" builtinId="0"/>
    <cellStyle name="Normal 10" xfId="349"/>
    <cellStyle name="Normal 10 2" xfId="1109"/>
    <cellStyle name="Normal 10 2 2" xfId="2233"/>
    <cellStyle name="Normal 10 3" xfId="733"/>
    <cellStyle name="Normal 10 3 2" xfId="1859"/>
    <cellStyle name="Normal 10 4" xfId="1485"/>
    <cellStyle name="Normal 11" xfId="319"/>
    <cellStyle name="Normal 12" xfId="345"/>
    <cellStyle name="Normal 13" xfId="2584"/>
    <cellStyle name="Normal 14" xfId="2586"/>
    <cellStyle name="Normal 15" xfId="2588"/>
    <cellStyle name="Normal 16" xfId="2585"/>
    <cellStyle name="Normal 17" xfId="2587"/>
    <cellStyle name="Normal 18" xfId="55"/>
    <cellStyle name="Normal 19" xfId="54"/>
    <cellStyle name="Normal 2" xfId="1"/>
    <cellStyle name="Normal 2 2" xfId="11"/>
    <cellStyle name="Normal 2 2 2" xfId="218"/>
    <cellStyle name="Normal 2 2 2 2" xfId="365"/>
    <cellStyle name="Normal 2 2 3" xfId="228"/>
    <cellStyle name="Normal 2 2 3 2" xfId="276"/>
    <cellStyle name="Normal 2 2 4" xfId="191"/>
    <cellStyle name="Normal 2 3" xfId="146"/>
    <cellStyle name="Normal 2 3 2" xfId="214"/>
    <cellStyle name="Normal 2 3 3" xfId="346"/>
    <cellStyle name="Normal 2 4" xfId="193"/>
    <cellStyle name="Normal 2 4 2" xfId="220"/>
    <cellStyle name="Normal 2 5" xfId="198"/>
    <cellStyle name="Normal 2 6" xfId="224"/>
    <cellStyle name="Normal 2 6 2" xfId="272"/>
    <cellStyle name="Normal 2 7" xfId="102"/>
    <cellStyle name="Normal 3" xfId="52"/>
    <cellStyle name="Normal 3 2" xfId="215"/>
    <cellStyle name="Normal 3 2 2" xfId="387"/>
    <cellStyle name="Normal 3 3" xfId="269"/>
    <cellStyle name="Normal 3 3 2" xfId="317"/>
    <cellStyle name="Normal 3 4" xfId="334"/>
    <cellStyle name="Normal 3 5" xfId="147"/>
    <cellStyle name="Normal 4" xfId="145"/>
    <cellStyle name="Normal 4 10" xfId="585"/>
    <cellStyle name="Normal 4 10 2" xfId="1338"/>
    <cellStyle name="Normal 4 10 2 2" xfId="2460"/>
    <cellStyle name="Normal 4 10 3" xfId="962"/>
    <cellStyle name="Normal 4 10 3 2" xfId="2086"/>
    <cellStyle name="Normal 4 10 4" xfId="1712"/>
    <cellStyle name="Normal 4 11" xfId="640"/>
    <cellStyle name="Normal 4 11 2" xfId="1393"/>
    <cellStyle name="Normal 4 11 2 2" xfId="2515"/>
    <cellStyle name="Normal 4 11 3" xfId="1017"/>
    <cellStyle name="Normal 4 11 3 2" xfId="2141"/>
    <cellStyle name="Normal 4 11 4" xfId="1767"/>
    <cellStyle name="Normal 4 12" xfId="1099"/>
    <cellStyle name="Normal 4 12 2" xfId="2223"/>
    <cellStyle name="Normal 4 13" xfId="723"/>
    <cellStyle name="Normal 4 13 2" xfId="1849"/>
    <cellStyle name="Normal 4 14" xfId="1475"/>
    <cellStyle name="Normal 4 15" xfId="335"/>
    <cellStyle name="Normal 4 2" xfId="213"/>
    <cellStyle name="Normal 4 2 10" xfId="724"/>
    <cellStyle name="Normal 4 2 10 2" xfId="1850"/>
    <cellStyle name="Normal 4 2 11" xfId="1476"/>
    <cellStyle name="Normal 4 2 12" xfId="336"/>
    <cellStyle name="Normal 4 2 2" xfId="337"/>
    <cellStyle name="Normal 4 2 2 10" xfId="1477"/>
    <cellStyle name="Normal 4 2 2 2" xfId="368"/>
    <cellStyle name="Normal 4 2 2 2 2" xfId="444"/>
    <cellStyle name="Normal 4 2 2 2 2 2" xfId="1197"/>
    <cellStyle name="Normal 4 2 2 2 2 2 2" xfId="2319"/>
    <cellStyle name="Normal 4 2 2 2 2 3" xfId="821"/>
    <cellStyle name="Normal 4 2 2 2 2 3 2" xfId="1945"/>
    <cellStyle name="Normal 4 2 2 2 2 4" xfId="1571"/>
    <cellStyle name="Normal 4 2 2 2 3" xfId="510"/>
    <cellStyle name="Normal 4 2 2 2 3 2" xfId="1263"/>
    <cellStyle name="Normal 4 2 2 2 3 2 2" xfId="2385"/>
    <cellStyle name="Normal 4 2 2 2 3 3" xfId="887"/>
    <cellStyle name="Normal 4 2 2 2 3 3 2" xfId="2011"/>
    <cellStyle name="Normal 4 2 2 2 3 4" xfId="1637"/>
    <cellStyle name="Normal 4 2 2 2 4" xfId="580"/>
    <cellStyle name="Normal 4 2 2 2 4 2" xfId="1333"/>
    <cellStyle name="Normal 4 2 2 2 4 2 2" xfId="2455"/>
    <cellStyle name="Normal 4 2 2 2 4 3" xfId="957"/>
    <cellStyle name="Normal 4 2 2 2 4 3 2" xfId="2081"/>
    <cellStyle name="Normal 4 2 2 2 4 4" xfId="1707"/>
    <cellStyle name="Normal 4 2 2 2 5" xfId="618"/>
    <cellStyle name="Normal 4 2 2 2 5 2" xfId="1371"/>
    <cellStyle name="Normal 4 2 2 2 5 2 2" xfId="2493"/>
    <cellStyle name="Normal 4 2 2 2 5 3" xfId="995"/>
    <cellStyle name="Normal 4 2 2 2 5 3 2" xfId="2119"/>
    <cellStyle name="Normal 4 2 2 2 5 4" xfId="1745"/>
    <cellStyle name="Normal 4 2 2 2 6" xfId="700"/>
    <cellStyle name="Normal 4 2 2 2 6 2" xfId="1453"/>
    <cellStyle name="Normal 4 2 2 2 6 2 2" xfId="2575"/>
    <cellStyle name="Normal 4 2 2 2 6 3" xfId="1077"/>
    <cellStyle name="Normal 4 2 2 2 6 3 2" xfId="2201"/>
    <cellStyle name="Normal 4 2 2 2 6 4" xfId="1827"/>
    <cellStyle name="Normal 4 2 2 2 7" xfId="1127"/>
    <cellStyle name="Normal 4 2 2 2 7 2" xfId="2250"/>
    <cellStyle name="Normal 4 2 2 2 8" xfId="751"/>
    <cellStyle name="Normal 4 2 2 2 8 2" xfId="1876"/>
    <cellStyle name="Normal 4 2 2 2 9" xfId="1502"/>
    <cellStyle name="Normal 4 2 2 3" xfId="411"/>
    <cellStyle name="Normal 4 2 2 3 2" xfId="1164"/>
    <cellStyle name="Normal 4 2 2 3 2 2" xfId="2286"/>
    <cellStyle name="Normal 4 2 2 3 3" xfId="788"/>
    <cellStyle name="Normal 4 2 2 3 3 2" xfId="1912"/>
    <cellStyle name="Normal 4 2 2 3 4" xfId="1538"/>
    <cellStyle name="Normal 4 2 2 4" xfId="477"/>
    <cellStyle name="Normal 4 2 2 4 2" xfId="1230"/>
    <cellStyle name="Normal 4 2 2 4 2 2" xfId="2352"/>
    <cellStyle name="Normal 4 2 2 4 3" xfId="854"/>
    <cellStyle name="Normal 4 2 2 4 3 2" xfId="1978"/>
    <cellStyle name="Normal 4 2 2 4 4" xfId="1604"/>
    <cellStyle name="Normal 4 2 2 5" xfId="547"/>
    <cellStyle name="Normal 4 2 2 5 2" xfId="1300"/>
    <cellStyle name="Normal 4 2 2 5 2 2" xfId="2422"/>
    <cellStyle name="Normal 4 2 2 5 3" xfId="924"/>
    <cellStyle name="Normal 4 2 2 5 3 2" xfId="2048"/>
    <cellStyle name="Normal 4 2 2 5 4" xfId="1674"/>
    <cellStyle name="Normal 4 2 2 6" xfId="617"/>
    <cellStyle name="Normal 4 2 2 6 2" xfId="1370"/>
    <cellStyle name="Normal 4 2 2 6 2 2" xfId="2492"/>
    <cellStyle name="Normal 4 2 2 6 3" xfId="994"/>
    <cellStyle name="Normal 4 2 2 6 3 2" xfId="2118"/>
    <cellStyle name="Normal 4 2 2 6 4" xfId="1744"/>
    <cellStyle name="Normal 4 2 2 7" xfId="667"/>
    <cellStyle name="Normal 4 2 2 7 2" xfId="1420"/>
    <cellStyle name="Normal 4 2 2 7 2 2" xfId="2542"/>
    <cellStyle name="Normal 4 2 2 7 3" xfId="1044"/>
    <cellStyle name="Normal 4 2 2 7 3 2" xfId="2168"/>
    <cellStyle name="Normal 4 2 2 7 4" xfId="1794"/>
    <cellStyle name="Normal 4 2 2 8" xfId="1101"/>
    <cellStyle name="Normal 4 2 2 8 2" xfId="2225"/>
    <cellStyle name="Normal 4 2 2 9" xfId="725"/>
    <cellStyle name="Normal 4 2 2 9 2" xfId="1851"/>
    <cellStyle name="Normal 4 2 3" xfId="367"/>
    <cellStyle name="Normal 4 2 3 2" xfId="420"/>
    <cellStyle name="Normal 4 2 3 2 2" xfId="1173"/>
    <cellStyle name="Normal 4 2 3 2 2 2" xfId="2295"/>
    <cellStyle name="Normal 4 2 3 2 3" xfId="797"/>
    <cellStyle name="Normal 4 2 3 2 3 2" xfId="1921"/>
    <cellStyle name="Normal 4 2 3 2 4" xfId="1547"/>
    <cellStyle name="Normal 4 2 3 3" xfId="486"/>
    <cellStyle name="Normal 4 2 3 3 2" xfId="1239"/>
    <cellStyle name="Normal 4 2 3 3 2 2" xfId="2361"/>
    <cellStyle name="Normal 4 2 3 3 3" xfId="863"/>
    <cellStyle name="Normal 4 2 3 3 3 2" xfId="1987"/>
    <cellStyle name="Normal 4 2 3 3 4" xfId="1613"/>
    <cellStyle name="Normal 4 2 3 4" xfId="556"/>
    <cellStyle name="Normal 4 2 3 4 2" xfId="1309"/>
    <cellStyle name="Normal 4 2 3 4 2 2" xfId="2431"/>
    <cellStyle name="Normal 4 2 3 4 3" xfId="933"/>
    <cellStyle name="Normal 4 2 3 4 3 2" xfId="2057"/>
    <cellStyle name="Normal 4 2 3 4 4" xfId="1683"/>
    <cellStyle name="Normal 4 2 3 5" xfId="619"/>
    <cellStyle name="Normal 4 2 3 5 2" xfId="1372"/>
    <cellStyle name="Normal 4 2 3 5 2 2" xfId="2494"/>
    <cellStyle name="Normal 4 2 3 5 3" xfId="996"/>
    <cellStyle name="Normal 4 2 3 5 3 2" xfId="2120"/>
    <cellStyle name="Normal 4 2 3 5 4" xfId="1746"/>
    <cellStyle name="Normal 4 2 3 6" xfId="676"/>
    <cellStyle name="Normal 4 2 3 6 2" xfId="1429"/>
    <cellStyle name="Normal 4 2 3 6 2 2" xfId="2551"/>
    <cellStyle name="Normal 4 2 3 6 3" xfId="1053"/>
    <cellStyle name="Normal 4 2 3 6 3 2" xfId="2177"/>
    <cellStyle name="Normal 4 2 3 6 4" xfId="1803"/>
    <cellStyle name="Normal 4 2 3 7" xfId="1126"/>
    <cellStyle name="Normal 4 2 3 7 2" xfId="2249"/>
    <cellStyle name="Normal 4 2 3 8" xfId="750"/>
    <cellStyle name="Normal 4 2 3 8 2" xfId="1875"/>
    <cellStyle name="Normal 4 2 3 9" xfId="1501"/>
    <cellStyle name="Normal 4 2 4" xfId="382"/>
    <cellStyle name="Normal 4 2 4 2" xfId="1140"/>
    <cellStyle name="Normal 4 2 4 2 2" xfId="2262"/>
    <cellStyle name="Normal 4 2 4 3" xfId="764"/>
    <cellStyle name="Normal 4 2 4 3 2" xfId="1888"/>
    <cellStyle name="Normal 4 2 4 4" xfId="1514"/>
    <cellStyle name="Normal 4 2 5" xfId="453"/>
    <cellStyle name="Normal 4 2 5 2" xfId="1206"/>
    <cellStyle name="Normal 4 2 5 2 2" xfId="2328"/>
    <cellStyle name="Normal 4 2 5 3" xfId="830"/>
    <cellStyle name="Normal 4 2 5 3 2" xfId="1954"/>
    <cellStyle name="Normal 4 2 5 4" xfId="1580"/>
    <cellStyle name="Normal 4 2 6" xfId="523"/>
    <cellStyle name="Normal 4 2 6 2" xfId="1276"/>
    <cellStyle name="Normal 4 2 6 2 2" xfId="2398"/>
    <cellStyle name="Normal 4 2 6 3" xfId="900"/>
    <cellStyle name="Normal 4 2 6 3 2" xfId="2024"/>
    <cellStyle name="Normal 4 2 6 4" xfId="1650"/>
    <cellStyle name="Normal 4 2 7" xfId="616"/>
    <cellStyle name="Normal 4 2 7 2" xfId="1369"/>
    <cellStyle name="Normal 4 2 7 2 2" xfId="2491"/>
    <cellStyle name="Normal 4 2 7 3" xfId="993"/>
    <cellStyle name="Normal 4 2 7 3 2" xfId="2117"/>
    <cellStyle name="Normal 4 2 7 4" xfId="1743"/>
    <cellStyle name="Normal 4 2 8" xfId="643"/>
    <cellStyle name="Normal 4 2 8 2" xfId="1396"/>
    <cellStyle name="Normal 4 2 8 2 2" xfId="2518"/>
    <cellStyle name="Normal 4 2 8 3" xfId="1020"/>
    <cellStyle name="Normal 4 2 8 3 2" xfId="2144"/>
    <cellStyle name="Normal 4 2 8 4" xfId="1770"/>
    <cellStyle name="Normal 4 2 9" xfId="1100"/>
    <cellStyle name="Normal 4 2 9 2" xfId="2224"/>
    <cellStyle name="Normal 4 3" xfId="347"/>
    <cellStyle name="Normal 4 3 10" xfId="1483"/>
    <cellStyle name="Normal 4 3 2" xfId="376"/>
    <cellStyle name="Normal 4 3 2 2" xfId="441"/>
    <cellStyle name="Normal 4 3 2 2 2" xfId="1194"/>
    <cellStyle name="Normal 4 3 2 2 2 2" xfId="2316"/>
    <cellStyle name="Normal 4 3 2 2 3" xfId="818"/>
    <cellStyle name="Normal 4 3 2 2 3 2" xfId="1942"/>
    <cellStyle name="Normal 4 3 2 2 4" xfId="1568"/>
    <cellStyle name="Normal 4 3 2 3" xfId="507"/>
    <cellStyle name="Normal 4 3 2 3 2" xfId="1260"/>
    <cellStyle name="Normal 4 3 2 3 2 2" xfId="2382"/>
    <cellStyle name="Normal 4 3 2 3 3" xfId="884"/>
    <cellStyle name="Normal 4 3 2 3 3 2" xfId="2008"/>
    <cellStyle name="Normal 4 3 2 3 4" xfId="1634"/>
    <cellStyle name="Normal 4 3 2 4" xfId="577"/>
    <cellStyle name="Normal 4 3 2 4 2" xfId="1330"/>
    <cellStyle name="Normal 4 3 2 4 2 2" xfId="2452"/>
    <cellStyle name="Normal 4 3 2 4 3" xfId="954"/>
    <cellStyle name="Normal 4 3 2 4 3 2" xfId="2078"/>
    <cellStyle name="Normal 4 3 2 4 4" xfId="1704"/>
    <cellStyle name="Normal 4 3 2 5" xfId="621"/>
    <cellStyle name="Normal 4 3 2 5 2" xfId="1374"/>
    <cellStyle name="Normal 4 3 2 5 2 2" xfId="2496"/>
    <cellStyle name="Normal 4 3 2 5 3" xfId="998"/>
    <cellStyle name="Normal 4 3 2 5 3 2" xfId="2122"/>
    <cellStyle name="Normal 4 3 2 5 4" xfId="1748"/>
    <cellStyle name="Normal 4 3 2 6" xfId="697"/>
    <cellStyle name="Normal 4 3 2 6 2" xfId="1450"/>
    <cellStyle name="Normal 4 3 2 6 2 2" xfId="2572"/>
    <cellStyle name="Normal 4 3 2 6 3" xfId="1074"/>
    <cellStyle name="Normal 4 3 2 6 3 2" xfId="2198"/>
    <cellStyle name="Normal 4 3 2 6 4" xfId="1824"/>
    <cellStyle name="Normal 4 3 2 7" xfId="1133"/>
    <cellStyle name="Normal 4 3 2 7 2" xfId="2256"/>
    <cellStyle name="Normal 4 3 2 8" xfId="757"/>
    <cellStyle name="Normal 4 3 2 8 2" xfId="1882"/>
    <cellStyle name="Normal 4 3 2 9" xfId="1508"/>
    <cellStyle name="Normal 4 3 3" xfId="408"/>
    <cellStyle name="Normal 4 3 3 2" xfId="1161"/>
    <cellStyle name="Normal 4 3 3 2 2" xfId="2283"/>
    <cellStyle name="Normal 4 3 3 3" xfId="785"/>
    <cellStyle name="Normal 4 3 3 3 2" xfId="1909"/>
    <cellStyle name="Normal 4 3 3 4" xfId="1535"/>
    <cellStyle name="Normal 4 3 4" xfId="474"/>
    <cellStyle name="Normal 4 3 4 2" xfId="1227"/>
    <cellStyle name="Normal 4 3 4 2 2" xfId="2349"/>
    <cellStyle name="Normal 4 3 4 3" xfId="851"/>
    <cellStyle name="Normal 4 3 4 3 2" xfId="1975"/>
    <cellStyle name="Normal 4 3 4 4" xfId="1601"/>
    <cellStyle name="Normal 4 3 5" xfId="544"/>
    <cellStyle name="Normal 4 3 5 2" xfId="1297"/>
    <cellStyle name="Normal 4 3 5 2 2" xfId="2419"/>
    <cellStyle name="Normal 4 3 5 3" xfId="921"/>
    <cellStyle name="Normal 4 3 5 3 2" xfId="2045"/>
    <cellStyle name="Normal 4 3 5 4" xfId="1671"/>
    <cellStyle name="Normal 4 3 6" xfId="620"/>
    <cellStyle name="Normal 4 3 6 2" xfId="1373"/>
    <cellStyle name="Normal 4 3 6 2 2" xfId="2495"/>
    <cellStyle name="Normal 4 3 6 3" xfId="997"/>
    <cellStyle name="Normal 4 3 6 3 2" xfId="2121"/>
    <cellStyle name="Normal 4 3 6 4" xfId="1747"/>
    <cellStyle name="Normal 4 3 7" xfId="664"/>
    <cellStyle name="Normal 4 3 7 2" xfId="1417"/>
    <cellStyle name="Normal 4 3 7 2 2" xfId="2539"/>
    <cellStyle name="Normal 4 3 7 3" xfId="1041"/>
    <cellStyle name="Normal 4 3 7 3 2" xfId="2165"/>
    <cellStyle name="Normal 4 3 7 4" xfId="1791"/>
    <cellStyle name="Normal 4 3 8" xfId="1107"/>
    <cellStyle name="Normal 4 3 8 2" xfId="2231"/>
    <cellStyle name="Normal 4 3 9" xfId="731"/>
    <cellStyle name="Normal 4 3 9 2" xfId="1857"/>
    <cellStyle name="Normal 4 4" xfId="366"/>
    <cellStyle name="Normal 4 4 2" xfId="417"/>
    <cellStyle name="Normal 4 4 2 2" xfId="1170"/>
    <cellStyle name="Normal 4 4 2 2 2" xfId="2292"/>
    <cellStyle name="Normal 4 4 2 3" xfId="794"/>
    <cellStyle name="Normal 4 4 2 3 2" xfId="1918"/>
    <cellStyle name="Normal 4 4 2 4" xfId="1544"/>
    <cellStyle name="Normal 4 4 3" xfId="483"/>
    <cellStyle name="Normal 4 4 3 2" xfId="1236"/>
    <cellStyle name="Normal 4 4 3 2 2" xfId="2358"/>
    <cellStyle name="Normal 4 4 3 3" xfId="860"/>
    <cellStyle name="Normal 4 4 3 3 2" xfId="1984"/>
    <cellStyle name="Normal 4 4 3 4" xfId="1610"/>
    <cellStyle name="Normal 4 4 4" xfId="553"/>
    <cellStyle name="Normal 4 4 4 2" xfId="1306"/>
    <cellStyle name="Normal 4 4 4 2 2" xfId="2428"/>
    <cellStyle name="Normal 4 4 4 3" xfId="930"/>
    <cellStyle name="Normal 4 4 4 3 2" xfId="2054"/>
    <cellStyle name="Normal 4 4 4 4" xfId="1680"/>
    <cellStyle name="Normal 4 4 5" xfId="622"/>
    <cellStyle name="Normal 4 4 5 2" xfId="1375"/>
    <cellStyle name="Normal 4 4 5 2 2" xfId="2497"/>
    <cellStyle name="Normal 4 4 5 3" xfId="999"/>
    <cellStyle name="Normal 4 4 5 3 2" xfId="2123"/>
    <cellStyle name="Normal 4 4 5 4" xfId="1749"/>
    <cellStyle name="Normal 4 4 6" xfId="673"/>
    <cellStyle name="Normal 4 4 6 2" xfId="1426"/>
    <cellStyle name="Normal 4 4 6 2 2" xfId="2548"/>
    <cellStyle name="Normal 4 4 6 3" xfId="1050"/>
    <cellStyle name="Normal 4 4 6 3 2" xfId="2174"/>
    <cellStyle name="Normal 4 4 6 4" xfId="1800"/>
    <cellStyle name="Normal 4 4 7" xfId="1125"/>
    <cellStyle name="Normal 4 4 7 2" xfId="2248"/>
    <cellStyle name="Normal 4 4 8" xfId="749"/>
    <cellStyle name="Normal 4 4 8 2" xfId="1874"/>
    <cellStyle name="Normal 4 4 9" xfId="1500"/>
    <cellStyle name="Normal 4 5" xfId="379"/>
    <cellStyle name="Normal 4 5 2" xfId="1137"/>
    <cellStyle name="Normal 4 5 2 2" xfId="2259"/>
    <cellStyle name="Normal 4 5 3" xfId="761"/>
    <cellStyle name="Normal 4 5 3 2" xfId="1885"/>
    <cellStyle name="Normal 4 5 4" xfId="1511"/>
    <cellStyle name="Normal 4 6" xfId="450"/>
    <cellStyle name="Normal 4 6 2" xfId="1203"/>
    <cellStyle name="Normal 4 6 2 2" xfId="2325"/>
    <cellStyle name="Normal 4 6 3" xfId="827"/>
    <cellStyle name="Normal 4 6 3 2" xfId="1951"/>
    <cellStyle name="Normal 4 6 4" xfId="1577"/>
    <cellStyle name="Normal 4 7" xfId="515"/>
    <cellStyle name="Normal 4 7 2" xfId="1268"/>
    <cellStyle name="Normal 4 7 2 2" xfId="2390"/>
    <cellStyle name="Normal 4 7 3" xfId="892"/>
    <cellStyle name="Normal 4 7 3 2" xfId="2016"/>
    <cellStyle name="Normal 4 7 4" xfId="1642"/>
    <cellStyle name="Normal 4 8" xfId="517"/>
    <cellStyle name="Normal 4 8 2" xfId="1270"/>
    <cellStyle name="Normal 4 8 2 2" xfId="2392"/>
    <cellStyle name="Normal 4 8 3" xfId="894"/>
    <cellStyle name="Normal 4 8 3 2" xfId="2018"/>
    <cellStyle name="Normal 4 8 4" xfId="1644"/>
    <cellStyle name="Normal 4 9" xfId="520"/>
    <cellStyle name="Normal 4 9 2" xfId="1273"/>
    <cellStyle name="Normal 4 9 2 2" xfId="2395"/>
    <cellStyle name="Normal 4 9 3" xfId="897"/>
    <cellStyle name="Normal 4 9 3 2" xfId="2021"/>
    <cellStyle name="Normal 4 9 4" xfId="1647"/>
    <cellStyle name="Normal 5" xfId="103"/>
    <cellStyle name="Normal 5 2" xfId="199"/>
    <cellStyle name="Normal 5 2 2" xfId="369"/>
    <cellStyle name="Normal 5 3" xfId="338"/>
    <cellStyle name="Normal 6" xfId="192"/>
    <cellStyle name="Normal 6 2" xfId="219"/>
    <cellStyle name="Normal 6 2 2" xfId="448"/>
    <cellStyle name="Normal 6 2 2 2" xfId="514"/>
    <cellStyle name="Normal 6 2 2 2 2" xfId="1267"/>
    <cellStyle name="Normal 6 2 2 2 2 2" xfId="2389"/>
    <cellStyle name="Normal 6 2 2 2 3" xfId="891"/>
    <cellStyle name="Normal 6 2 2 2 3 2" xfId="2015"/>
    <cellStyle name="Normal 6 2 2 2 4" xfId="1641"/>
    <cellStyle name="Normal 6 2 2 3" xfId="584"/>
    <cellStyle name="Normal 6 2 2 3 2" xfId="1337"/>
    <cellStyle name="Normal 6 2 2 3 2 2" xfId="2459"/>
    <cellStyle name="Normal 6 2 2 3 3" xfId="961"/>
    <cellStyle name="Normal 6 2 2 3 3 2" xfId="2085"/>
    <cellStyle name="Normal 6 2 2 3 4" xfId="1711"/>
    <cellStyle name="Normal 6 2 2 4" xfId="625"/>
    <cellStyle name="Normal 6 2 2 4 2" xfId="1378"/>
    <cellStyle name="Normal 6 2 2 4 2 2" xfId="2500"/>
    <cellStyle name="Normal 6 2 2 4 3" xfId="1002"/>
    <cellStyle name="Normal 6 2 2 4 3 2" xfId="2126"/>
    <cellStyle name="Normal 6 2 2 4 4" xfId="1752"/>
    <cellStyle name="Normal 6 2 2 5" xfId="704"/>
    <cellStyle name="Normal 6 2 2 5 2" xfId="1457"/>
    <cellStyle name="Normal 6 2 2 5 2 2" xfId="2579"/>
    <cellStyle name="Normal 6 2 2 5 3" xfId="1081"/>
    <cellStyle name="Normal 6 2 2 5 3 2" xfId="2205"/>
    <cellStyle name="Normal 6 2 2 5 4" xfId="1831"/>
    <cellStyle name="Normal 6 2 2 6" xfId="1201"/>
    <cellStyle name="Normal 6 2 2 6 2" xfId="2323"/>
    <cellStyle name="Normal 6 2 2 7" xfId="825"/>
    <cellStyle name="Normal 6 2 2 7 2" xfId="1949"/>
    <cellStyle name="Normal 6 2 2 8" xfId="1575"/>
    <cellStyle name="Normal 6 2 3" xfId="415"/>
    <cellStyle name="Normal 6 2 3 2" xfId="1168"/>
    <cellStyle name="Normal 6 2 3 2 2" xfId="2290"/>
    <cellStyle name="Normal 6 2 3 3" xfId="792"/>
    <cellStyle name="Normal 6 2 3 3 2" xfId="1916"/>
    <cellStyle name="Normal 6 2 3 4" xfId="1542"/>
    <cellStyle name="Normal 6 2 4" xfId="481"/>
    <cellStyle name="Normal 6 2 4 2" xfId="1234"/>
    <cellStyle name="Normal 6 2 4 2 2" xfId="2356"/>
    <cellStyle name="Normal 6 2 4 3" xfId="858"/>
    <cellStyle name="Normal 6 2 4 3 2" xfId="1982"/>
    <cellStyle name="Normal 6 2 4 4" xfId="1608"/>
    <cellStyle name="Normal 6 2 5" xfId="551"/>
    <cellStyle name="Normal 6 2 5 2" xfId="1304"/>
    <cellStyle name="Normal 6 2 5 2 2" xfId="2426"/>
    <cellStyle name="Normal 6 2 5 3" xfId="928"/>
    <cellStyle name="Normal 6 2 5 3 2" xfId="2052"/>
    <cellStyle name="Normal 6 2 5 4" xfId="1678"/>
    <cellStyle name="Normal 6 2 6" xfId="624"/>
    <cellStyle name="Normal 6 2 6 2" xfId="1377"/>
    <cellStyle name="Normal 6 2 6 2 2" xfId="2499"/>
    <cellStyle name="Normal 6 2 6 3" xfId="1001"/>
    <cellStyle name="Normal 6 2 6 3 2" xfId="2125"/>
    <cellStyle name="Normal 6 2 6 4" xfId="1751"/>
    <cellStyle name="Normal 6 2 7" xfId="671"/>
    <cellStyle name="Normal 6 2 7 2" xfId="1424"/>
    <cellStyle name="Normal 6 2 7 2 2" xfId="2546"/>
    <cellStyle name="Normal 6 2 7 3" xfId="1048"/>
    <cellStyle name="Normal 6 2 7 3 2" xfId="2172"/>
    <cellStyle name="Normal 6 2 7 4" xfId="1798"/>
    <cellStyle name="Normal 6 2 8" xfId="370"/>
    <cellStyle name="Normal 6 3" xfId="424"/>
    <cellStyle name="Normal 6 3 2" xfId="490"/>
    <cellStyle name="Normal 6 3 2 2" xfId="1243"/>
    <cellStyle name="Normal 6 3 2 2 2" xfId="2365"/>
    <cellStyle name="Normal 6 3 2 3" xfId="867"/>
    <cellStyle name="Normal 6 3 2 3 2" xfId="1991"/>
    <cellStyle name="Normal 6 3 2 4" xfId="1617"/>
    <cellStyle name="Normal 6 3 3" xfId="560"/>
    <cellStyle name="Normal 6 3 3 2" xfId="1313"/>
    <cellStyle name="Normal 6 3 3 2 2" xfId="2435"/>
    <cellStyle name="Normal 6 3 3 3" xfId="937"/>
    <cellStyle name="Normal 6 3 3 3 2" xfId="2061"/>
    <cellStyle name="Normal 6 3 3 4" xfId="1687"/>
    <cellStyle name="Normal 6 3 4" xfId="626"/>
    <cellStyle name="Normal 6 3 4 2" xfId="1379"/>
    <cellStyle name="Normal 6 3 4 2 2" xfId="2501"/>
    <cellStyle name="Normal 6 3 4 3" xfId="1003"/>
    <cellStyle name="Normal 6 3 4 3 2" xfId="2127"/>
    <cellStyle name="Normal 6 3 4 4" xfId="1753"/>
    <cellStyle name="Normal 6 3 5" xfId="680"/>
    <cellStyle name="Normal 6 3 5 2" xfId="1433"/>
    <cellStyle name="Normal 6 3 5 2 2" xfId="2555"/>
    <cellStyle name="Normal 6 3 5 3" xfId="1057"/>
    <cellStyle name="Normal 6 3 5 3 2" xfId="2181"/>
    <cellStyle name="Normal 6 3 5 4" xfId="1807"/>
    <cellStyle name="Normal 6 3 6" xfId="1177"/>
    <cellStyle name="Normal 6 3 6 2" xfId="2299"/>
    <cellStyle name="Normal 6 3 7" xfId="801"/>
    <cellStyle name="Normal 6 3 7 2" xfId="1925"/>
    <cellStyle name="Normal 6 3 8" xfId="1551"/>
    <cellStyle name="Normal 6 4" xfId="388"/>
    <cellStyle name="Normal 6 4 2" xfId="1144"/>
    <cellStyle name="Normal 6 4 2 2" xfId="2266"/>
    <cellStyle name="Normal 6 4 3" xfId="768"/>
    <cellStyle name="Normal 6 4 3 2" xfId="1892"/>
    <cellStyle name="Normal 6 4 4" xfId="1518"/>
    <cellStyle name="Normal 6 5" xfId="457"/>
    <cellStyle name="Normal 6 5 2" xfId="1210"/>
    <cellStyle name="Normal 6 5 2 2" xfId="2332"/>
    <cellStyle name="Normal 6 5 3" xfId="834"/>
    <cellStyle name="Normal 6 5 3 2" xfId="1958"/>
    <cellStyle name="Normal 6 5 4" xfId="1584"/>
    <cellStyle name="Normal 6 6" xfId="527"/>
    <cellStyle name="Normal 6 6 2" xfId="1280"/>
    <cellStyle name="Normal 6 6 2 2" xfId="2402"/>
    <cellStyle name="Normal 6 6 3" xfId="904"/>
    <cellStyle name="Normal 6 6 3 2" xfId="2028"/>
    <cellStyle name="Normal 6 6 4" xfId="1654"/>
    <cellStyle name="Normal 6 7" xfId="623"/>
    <cellStyle name="Normal 6 7 2" xfId="1376"/>
    <cellStyle name="Normal 6 7 2 2" xfId="2498"/>
    <cellStyle name="Normal 6 7 3" xfId="1000"/>
    <cellStyle name="Normal 6 7 3 2" xfId="2124"/>
    <cellStyle name="Normal 6 7 4" xfId="1750"/>
    <cellStyle name="Normal 6 8" xfId="647"/>
    <cellStyle name="Normal 6 8 2" xfId="1400"/>
    <cellStyle name="Normal 6 8 2 2" xfId="2522"/>
    <cellStyle name="Normal 6 8 3" xfId="1024"/>
    <cellStyle name="Normal 6 8 3 2" xfId="2148"/>
    <cellStyle name="Normal 6 8 4" xfId="1774"/>
    <cellStyle name="Normal 6 9" xfId="339"/>
    <cellStyle name="Normal 7" xfId="223"/>
    <cellStyle name="Normal 7 2" xfId="371"/>
    <cellStyle name="Normal 7 2 2" xfId="1128"/>
    <cellStyle name="Normal 7 2 2 2" xfId="2251"/>
    <cellStyle name="Normal 7 2 3" xfId="752"/>
    <cellStyle name="Normal 7 2 3 2" xfId="1877"/>
    <cellStyle name="Normal 7 2 4" xfId="1503"/>
    <cellStyle name="Normal 7 3" xfId="405"/>
    <cellStyle name="Normal 7 4" xfId="1102"/>
    <cellStyle name="Normal 7 4 2" xfId="2226"/>
    <cellStyle name="Normal 7 5" xfId="726"/>
    <cellStyle name="Normal 7 5 2" xfId="1852"/>
    <cellStyle name="Normal 7 6" xfId="1478"/>
    <cellStyle name="Normal 7 7" xfId="340"/>
    <cellStyle name="Normal 7 8" xfId="271"/>
    <cellStyle name="Normal 8" xfId="341"/>
    <cellStyle name="Normal 8 10" xfId="727"/>
    <cellStyle name="Normal 8 10 2" xfId="1853"/>
    <cellStyle name="Normal 8 11" xfId="1479"/>
    <cellStyle name="Normal 8 2" xfId="372"/>
    <cellStyle name="Normal 8 2 2" xfId="437"/>
    <cellStyle name="Normal 8 2 2 2" xfId="1190"/>
    <cellStyle name="Normal 8 2 2 2 2" xfId="2312"/>
    <cellStyle name="Normal 8 2 2 3" xfId="814"/>
    <cellStyle name="Normal 8 2 2 3 2" xfId="1938"/>
    <cellStyle name="Normal 8 2 2 4" xfId="1564"/>
    <cellStyle name="Normal 8 2 3" xfId="503"/>
    <cellStyle name="Normal 8 2 3 2" xfId="1256"/>
    <cellStyle name="Normal 8 2 3 2 2" xfId="2378"/>
    <cellStyle name="Normal 8 2 3 3" xfId="880"/>
    <cellStyle name="Normal 8 2 3 3 2" xfId="2004"/>
    <cellStyle name="Normal 8 2 3 4" xfId="1630"/>
    <cellStyle name="Normal 8 2 4" xfId="573"/>
    <cellStyle name="Normal 8 2 4 2" xfId="1326"/>
    <cellStyle name="Normal 8 2 4 2 2" xfId="2448"/>
    <cellStyle name="Normal 8 2 4 3" xfId="950"/>
    <cellStyle name="Normal 8 2 4 3 2" xfId="2074"/>
    <cellStyle name="Normal 8 2 4 4" xfId="1700"/>
    <cellStyle name="Normal 8 2 5" xfId="628"/>
    <cellStyle name="Normal 8 2 5 2" xfId="1381"/>
    <cellStyle name="Normal 8 2 5 2 2" xfId="2503"/>
    <cellStyle name="Normal 8 2 5 3" xfId="1005"/>
    <cellStyle name="Normal 8 2 5 3 2" xfId="2129"/>
    <cellStyle name="Normal 8 2 5 4" xfId="1755"/>
    <cellStyle name="Normal 8 2 6" xfId="693"/>
    <cellStyle name="Normal 8 2 6 2" xfId="1446"/>
    <cellStyle name="Normal 8 2 6 2 2" xfId="2568"/>
    <cellStyle name="Normal 8 2 6 3" xfId="1070"/>
    <cellStyle name="Normal 8 2 6 3 2" xfId="2194"/>
    <cellStyle name="Normal 8 2 6 4" xfId="1820"/>
    <cellStyle name="Normal 8 2 7" xfId="1129"/>
    <cellStyle name="Normal 8 2 7 2" xfId="2252"/>
    <cellStyle name="Normal 8 2 8" xfId="753"/>
    <cellStyle name="Normal 8 2 8 2" xfId="1878"/>
    <cellStyle name="Normal 8 2 9" xfId="1504"/>
    <cellStyle name="Normal 8 3" xfId="402"/>
    <cellStyle name="Normal 8 3 2" xfId="1157"/>
    <cellStyle name="Normal 8 3 2 2" xfId="2279"/>
    <cellStyle name="Normal 8 3 3" xfId="781"/>
    <cellStyle name="Normal 8 3 3 2" xfId="1905"/>
    <cellStyle name="Normal 8 3 4" xfId="1531"/>
    <cellStyle name="Normal 8 4" xfId="470"/>
    <cellStyle name="Normal 8 4 2" xfId="1223"/>
    <cellStyle name="Normal 8 4 2 2" xfId="2345"/>
    <cellStyle name="Normal 8 4 3" xfId="847"/>
    <cellStyle name="Normal 8 4 3 2" xfId="1971"/>
    <cellStyle name="Normal 8 4 4" xfId="1597"/>
    <cellStyle name="Normal 8 5" xfId="540"/>
    <cellStyle name="Normal 8 5 2" xfId="1293"/>
    <cellStyle name="Normal 8 5 2 2" xfId="2415"/>
    <cellStyle name="Normal 8 5 3" xfId="917"/>
    <cellStyle name="Normal 8 5 3 2" xfId="2041"/>
    <cellStyle name="Normal 8 5 4" xfId="1667"/>
    <cellStyle name="Normal 8 6" xfId="627"/>
    <cellStyle name="Normal 8 6 2" xfId="1380"/>
    <cellStyle name="Normal 8 6 2 2" xfId="2502"/>
    <cellStyle name="Normal 8 6 3" xfId="1004"/>
    <cellStyle name="Normal 8 6 3 2" xfId="2128"/>
    <cellStyle name="Normal 8 6 4" xfId="1754"/>
    <cellStyle name="Normal 8 7" xfId="660"/>
    <cellStyle name="Normal 8 7 2" xfId="1413"/>
    <cellStyle name="Normal 8 7 2 2" xfId="2535"/>
    <cellStyle name="Normal 8 7 3" xfId="1037"/>
    <cellStyle name="Normal 8 7 3 2" xfId="2161"/>
    <cellStyle name="Normal 8 7 4" xfId="1787"/>
    <cellStyle name="Normal 8 8" xfId="705"/>
    <cellStyle name="Normal 8 8 2" xfId="1458"/>
    <cellStyle name="Normal 8 8 2 2" xfId="2580"/>
    <cellStyle name="Normal 8 8 3" xfId="1082"/>
    <cellStyle name="Normal 8 8 3 2" xfId="2206"/>
    <cellStyle name="Normal 8 8 4" xfId="1832"/>
    <cellStyle name="Normal 8 9" xfId="1103"/>
    <cellStyle name="Normal 8 9 2" xfId="2227"/>
    <cellStyle name="Normal 9" xfId="362"/>
    <cellStyle name="Normal 9 2" xfId="1122"/>
    <cellStyle name="Normal 9 3" xfId="746"/>
    <cellStyle name="Normal 9 4" xfId="2583"/>
    <cellStyle name="Normal_REPORT09" xfId="2"/>
    <cellStyle name="Note 2" xfId="53"/>
    <cellStyle name="Note 2 10" xfId="1480"/>
    <cellStyle name="Note 2 11" xfId="342"/>
    <cellStyle name="Note 2 12" xfId="185"/>
    <cellStyle name="Note 2 2" xfId="270"/>
    <cellStyle name="Note 2 2 10" xfId="373"/>
    <cellStyle name="Note 2 2 11" xfId="318"/>
    <cellStyle name="Note 2 2 2" xfId="439"/>
    <cellStyle name="Note 2 2 2 2" xfId="1192"/>
    <cellStyle name="Note 2 2 2 2 2" xfId="2314"/>
    <cellStyle name="Note 2 2 2 3" xfId="816"/>
    <cellStyle name="Note 2 2 2 3 2" xfId="1940"/>
    <cellStyle name="Note 2 2 2 4" xfId="1566"/>
    <cellStyle name="Note 2 2 3" xfId="505"/>
    <cellStyle name="Note 2 2 3 2" xfId="1258"/>
    <cellStyle name="Note 2 2 3 2 2" xfId="2380"/>
    <cellStyle name="Note 2 2 3 3" xfId="882"/>
    <cellStyle name="Note 2 2 3 3 2" xfId="2006"/>
    <cellStyle name="Note 2 2 3 4" xfId="1632"/>
    <cellStyle name="Note 2 2 4" xfId="575"/>
    <cellStyle name="Note 2 2 4 2" xfId="1328"/>
    <cellStyle name="Note 2 2 4 2 2" xfId="2450"/>
    <cellStyle name="Note 2 2 4 3" xfId="952"/>
    <cellStyle name="Note 2 2 4 3 2" xfId="2076"/>
    <cellStyle name="Note 2 2 4 4" xfId="1702"/>
    <cellStyle name="Note 2 2 5" xfId="630"/>
    <cellStyle name="Note 2 2 5 2" xfId="1383"/>
    <cellStyle name="Note 2 2 5 2 2" xfId="2505"/>
    <cellStyle name="Note 2 2 5 3" xfId="1007"/>
    <cellStyle name="Note 2 2 5 3 2" xfId="2131"/>
    <cellStyle name="Note 2 2 5 4" xfId="1757"/>
    <cellStyle name="Note 2 2 6" xfId="695"/>
    <cellStyle name="Note 2 2 6 2" xfId="1448"/>
    <cellStyle name="Note 2 2 6 2 2" xfId="2570"/>
    <cellStyle name="Note 2 2 6 3" xfId="1072"/>
    <cellStyle name="Note 2 2 6 3 2" xfId="2196"/>
    <cellStyle name="Note 2 2 6 4" xfId="1822"/>
    <cellStyle name="Note 2 2 7" xfId="1130"/>
    <cellStyle name="Note 2 2 7 2" xfId="2253"/>
    <cellStyle name="Note 2 2 8" xfId="754"/>
    <cellStyle name="Note 2 2 8 2" xfId="1879"/>
    <cellStyle name="Note 2 2 9" xfId="1505"/>
    <cellStyle name="Note 2 3" xfId="404"/>
    <cellStyle name="Note 2 3 2" xfId="1159"/>
    <cellStyle name="Note 2 3 2 2" xfId="2281"/>
    <cellStyle name="Note 2 3 3" xfId="783"/>
    <cellStyle name="Note 2 3 3 2" xfId="1907"/>
    <cellStyle name="Note 2 3 4" xfId="1533"/>
    <cellStyle name="Note 2 4" xfId="472"/>
    <cellStyle name="Note 2 4 2" xfId="1225"/>
    <cellStyle name="Note 2 4 2 2" xfId="2347"/>
    <cellStyle name="Note 2 4 3" xfId="849"/>
    <cellStyle name="Note 2 4 3 2" xfId="1973"/>
    <cellStyle name="Note 2 4 4" xfId="1599"/>
    <cellStyle name="Note 2 5" xfId="542"/>
    <cellStyle name="Note 2 5 2" xfId="1295"/>
    <cellStyle name="Note 2 5 2 2" xfId="2417"/>
    <cellStyle name="Note 2 5 3" xfId="919"/>
    <cellStyle name="Note 2 5 3 2" xfId="2043"/>
    <cellStyle name="Note 2 5 4" xfId="1669"/>
    <cellStyle name="Note 2 6" xfId="629"/>
    <cellStyle name="Note 2 6 2" xfId="1382"/>
    <cellStyle name="Note 2 6 2 2" xfId="2504"/>
    <cellStyle name="Note 2 6 3" xfId="1006"/>
    <cellStyle name="Note 2 6 3 2" xfId="2130"/>
    <cellStyle name="Note 2 6 4" xfId="1756"/>
    <cellStyle name="Note 2 7" xfId="662"/>
    <cellStyle name="Note 2 7 2" xfId="1415"/>
    <cellStyle name="Note 2 7 2 2" xfId="2537"/>
    <cellStyle name="Note 2 7 3" xfId="1039"/>
    <cellStyle name="Note 2 7 3 2" xfId="2163"/>
    <cellStyle name="Note 2 7 4" xfId="1789"/>
    <cellStyle name="Note 2 8" xfId="1104"/>
    <cellStyle name="Note 2 8 2" xfId="2228"/>
    <cellStyle name="Note 2 9" xfId="728"/>
    <cellStyle name="Note 2 9 2" xfId="1854"/>
    <cellStyle name="Note 3" xfId="118"/>
    <cellStyle name="Note 3 2" xfId="200"/>
    <cellStyle name="Note 3 2 2" xfId="2582"/>
    <cellStyle name="Note 3 2 3" xfId="1460"/>
    <cellStyle name="Note 3 3" xfId="1084"/>
    <cellStyle name="Note 3 3 2" xfId="2208"/>
    <cellStyle name="Note 3 4" xfId="1834"/>
    <cellStyle name="Note 3 5" xfId="707"/>
    <cellStyle name="Note 4" xfId="93"/>
    <cellStyle name="OP_REPORT" xfId="3"/>
    <cellStyle name="Output" xfId="21" builtinId="21" customBuiltin="1"/>
    <cellStyle name="Output 2" xfId="186"/>
    <cellStyle name="Output 3" xfId="113"/>
    <cellStyle name="Output 4" xfId="238"/>
    <cellStyle name="Output 4 2" xfId="286"/>
    <cellStyle name="Output 5" xfId="94"/>
    <cellStyle name="Percent" xfId="4" builtinId="5"/>
    <cellStyle name="Percent 2" xfId="187"/>
    <cellStyle name="Percent 2 10" xfId="1105"/>
    <cellStyle name="Percent 2 10 2" xfId="2229"/>
    <cellStyle name="Percent 2 11" xfId="729"/>
    <cellStyle name="Percent 2 11 2" xfId="1855"/>
    <cellStyle name="Percent 2 12" xfId="1481"/>
    <cellStyle name="Percent 2 13" xfId="343"/>
    <cellStyle name="Percent 2 2" xfId="217"/>
    <cellStyle name="Percent 2 2 10" xfId="730"/>
    <cellStyle name="Percent 2 2 10 2" xfId="1856"/>
    <cellStyle name="Percent 2 2 11" xfId="1482"/>
    <cellStyle name="Percent 2 2 12" xfId="344"/>
    <cellStyle name="Percent 2 2 2" xfId="375"/>
    <cellStyle name="Percent 2 2 2 10" xfId="1507"/>
    <cellStyle name="Percent 2 2 2 2" xfId="445"/>
    <cellStyle name="Percent 2 2 2 2 2" xfId="511"/>
    <cellStyle name="Percent 2 2 2 2 2 2" xfId="1264"/>
    <cellStyle name="Percent 2 2 2 2 2 2 2" xfId="2386"/>
    <cellStyle name="Percent 2 2 2 2 2 3" xfId="888"/>
    <cellStyle name="Percent 2 2 2 2 2 3 2" xfId="2012"/>
    <cellStyle name="Percent 2 2 2 2 2 4" xfId="1638"/>
    <cellStyle name="Percent 2 2 2 2 3" xfId="581"/>
    <cellStyle name="Percent 2 2 2 2 3 2" xfId="1334"/>
    <cellStyle name="Percent 2 2 2 2 3 2 2" xfId="2456"/>
    <cellStyle name="Percent 2 2 2 2 3 3" xfId="958"/>
    <cellStyle name="Percent 2 2 2 2 3 3 2" xfId="2082"/>
    <cellStyle name="Percent 2 2 2 2 3 4" xfId="1708"/>
    <cellStyle name="Percent 2 2 2 2 4" xfId="634"/>
    <cellStyle name="Percent 2 2 2 2 4 2" xfId="1387"/>
    <cellStyle name="Percent 2 2 2 2 4 2 2" xfId="2509"/>
    <cellStyle name="Percent 2 2 2 2 4 3" xfId="1011"/>
    <cellStyle name="Percent 2 2 2 2 4 3 2" xfId="2135"/>
    <cellStyle name="Percent 2 2 2 2 4 4" xfId="1761"/>
    <cellStyle name="Percent 2 2 2 2 5" xfId="701"/>
    <cellStyle name="Percent 2 2 2 2 5 2" xfId="1454"/>
    <cellStyle name="Percent 2 2 2 2 5 2 2" xfId="2576"/>
    <cellStyle name="Percent 2 2 2 2 5 3" xfId="1078"/>
    <cellStyle name="Percent 2 2 2 2 5 3 2" xfId="2202"/>
    <cellStyle name="Percent 2 2 2 2 5 4" xfId="1828"/>
    <cellStyle name="Percent 2 2 2 2 6" xfId="1198"/>
    <cellStyle name="Percent 2 2 2 2 6 2" xfId="2320"/>
    <cellStyle name="Percent 2 2 2 2 7" xfId="822"/>
    <cellStyle name="Percent 2 2 2 2 7 2" xfId="1946"/>
    <cellStyle name="Percent 2 2 2 2 8" xfId="1572"/>
    <cellStyle name="Percent 2 2 2 3" xfId="412"/>
    <cellStyle name="Percent 2 2 2 3 2" xfId="1165"/>
    <cellStyle name="Percent 2 2 2 3 2 2" xfId="2287"/>
    <cellStyle name="Percent 2 2 2 3 3" xfId="789"/>
    <cellStyle name="Percent 2 2 2 3 3 2" xfId="1913"/>
    <cellStyle name="Percent 2 2 2 3 4" xfId="1539"/>
    <cellStyle name="Percent 2 2 2 4" xfId="478"/>
    <cellStyle name="Percent 2 2 2 4 2" xfId="1231"/>
    <cellStyle name="Percent 2 2 2 4 2 2" xfId="2353"/>
    <cellStyle name="Percent 2 2 2 4 3" xfId="855"/>
    <cellStyle name="Percent 2 2 2 4 3 2" xfId="1979"/>
    <cellStyle name="Percent 2 2 2 4 4" xfId="1605"/>
    <cellStyle name="Percent 2 2 2 5" xfId="548"/>
    <cellStyle name="Percent 2 2 2 5 2" xfId="1301"/>
    <cellStyle name="Percent 2 2 2 5 2 2" xfId="2423"/>
    <cellStyle name="Percent 2 2 2 5 3" xfId="925"/>
    <cellStyle name="Percent 2 2 2 5 3 2" xfId="2049"/>
    <cellStyle name="Percent 2 2 2 5 4" xfId="1675"/>
    <cellStyle name="Percent 2 2 2 6" xfId="633"/>
    <cellStyle name="Percent 2 2 2 6 2" xfId="1386"/>
    <cellStyle name="Percent 2 2 2 6 2 2" xfId="2508"/>
    <cellStyle name="Percent 2 2 2 6 3" xfId="1010"/>
    <cellStyle name="Percent 2 2 2 6 3 2" xfId="2134"/>
    <cellStyle name="Percent 2 2 2 6 4" xfId="1760"/>
    <cellStyle name="Percent 2 2 2 7" xfId="668"/>
    <cellStyle name="Percent 2 2 2 7 2" xfId="1421"/>
    <cellStyle name="Percent 2 2 2 7 2 2" xfId="2543"/>
    <cellStyle name="Percent 2 2 2 7 3" xfId="1045"/>
    <cellStyle name="Percent 2 2 2 7 3 2" xfId="2169"/>
    <cellStyle name="Percent 2 2 2 7 4" xfId="1795"/>
    <cellStyle name="Percent 2 2 2 8" xfId="1132"/>
    <cellStyle name="Percent 2 2 2 8 2" xfId="2255"/>
    <cellStyle name="Percent 2 2 2 9" xfId="756"/>
    <cellStyle name="Percent 2 2 2 9 2" xfId="1881"/>
    <cellStyle name="Percent 2 2 3" xfId="421"/>
    <cellStyle name="Percent 2 2 3 2" xfId="487"/>
    <cellStyle name="Percent 2 2 3 2 2" xfId="1240"/>
    <cellStyle name="Percent 2 2 3 2 2 2" xfId="2362"/>
    <cellStyle name="Percent 2 2 3 2 3" xfId="864"/>
    <cellStyle name="Percent 2 2 3 2 3 2" xfId="1988"/>
    <cellStyle name="Percent 2 2 3 2 4" xfId="1614"/>
    <cellStyle name="Percent 2 2 3 3" xfId="557"/>
    <cellStyle name="Percent 2 2 3 3 2" xfId="1310"/>
    <cellStyle name="Percent 2 2 3 3 2 2" xfId="2432"/>
    <cellStyle name="Percent 2 2 3 3 3" xfId="934"/>
    <cellStyle name="Percent 2 2 3 3 3 2" xfId="2058"/>
    <cellStyle name="Percent 2 2 3 3 4" xfId="1684"/>
    <cellStyle name="Percent 2 2 3 4" xfId="635"/>
    <cellStyle name="Percent 2 2 3 4 2" xfId="1388"/>
    <cellStyle name="Percent 2 2 3 4 2 2" xfId="2510"/>
    <cellStyle name="Percent 2 2 3 4 3" xfId="1012"/>
    <cellStyle name="Percent 2 2 3 4 3 2" xfId="2136"/>
    <cellStyle name="Percent 2 2 3 4 4" xfId="1762"/>
    <cellStyle name="Percent 2 2 3 5" xfId="677"/>
    <cellStyle name="Percent 2 2 3 5 2" xfId="1430"/>
    <cellStyle name="Percent 2 2 3 5 2 2" xfId="2552"/>
    <cellStyle name="Percent 2 2 3 5 3" xfId="1054"/>
    <cellStyle name="Percent 2 2 3 5 3 2" xfId="2178"/>
    <cellStyle name="Percent 2 2 3 5 4" xfId="1804"/>
    <cellStyle name="Percent 2 2 3 6" xfId="1174"/>
    <cellStyle name="Percent 2 2 3 6 2" xfId="2296"/>
    <cellStyle name="Percent 2 2 3 7" xfId="798"/>
    <cellStyle name="Percent 2 2 3 7 2" xfId="1922"/>
    <cellStyle name="Percent 2 2 3 8" xfId="1548"/>
    <cellStyle name="Percent 2 2 4" xfId="383"/>
    <cellStyle name="Percent 2 2 4 2" xfId="1141"/>
    <cellStyle name="Percent 2 2 4 2 2" xfId="2263"/>
    <cellStyle name="Percent 2 2 4 3" xfId="765"/>
    <cellStyle name="Percent 2 2 4 3 2" xfId="1889"/>
    <cellStyle name="Percent 2 2 4 4" xfId="1515"/>
    <cellStyle name="Percent 2 2 5" xfId="454"/>
    <cellStyle name="Percent 2 2 5 2" xfId="1207"/>
    <cellStyle name="Percent 2 2 5 2 2" xfId="2329"/>
    <cellStyle name="Percent 2 2 5 3" xfId="831"/>
    <cellStyle name="Percent 2 2 5 3 2" xfId="1955"/>
    <cellStyle name="Percent 2 2 5 4" xfId="1581"/>
    <cellStyle name="Percent 2 2 6" xfId="524"/>
    <cellStyle name="Percent 2 2 6 2" xfId="1277"/>
    <cellStyle name="Percent 2 2 6 2 2" xfId="2399"/>
    <cellStyle name="Percent 2 2 6 3" xfId="901"/>
    <cellStyle name="Percent 2 2 6 3 2" xfId="2025"/>
    <cellStyle name="Percent 2 2 6 4" xfId="1651"/>
    <cellStyle name="Percent 2 2 7" xfId="632"/>
    <cellStyle name="Percent 2 2 7 2" xfId="1385"/>
    <cellStyle name="Percent 2 2 7 2 2" xfId="2507"/>
    <cellStyle name="Percent 2 2 7 3" xfId="1009"/>
    <cellStyle name="Percent 2 2 7 3 2" xfId="2133"/>
    <cellStyle name="Percent 2 2 7 4" xfId="1759"/>
    <cellStyle name="Percent 2 2 8" xfId="644"/>
    <cellStyle name="Percent 2 2 8 2" xfId="1397"/>
    <cellStyle name="Percent 2 2 8 2 2" xfId="2519"/>
    <cellStyle name="Percent 2 2 8 3" xfId="1021"/>
    <cellStyle name="Percent 2 2 8 3 2" xfId="2145"/>
    <cellStyle name="Percent 2 2 8 4" xfId="1771"/>
    <cellStyle name="Percent 2 2 9" xfId="1106"/>
    <cellStyle name="Percent 2 2 9 2" xfId="2230"/>
    <cellStyle name="Percent 2 3" xfId="374"/>
    <cellStyle name="Percent 2 3 10" xfId="1506"/>
    <cellStyle name="Percent 2 3 2" xfId="442"/>
    <cellStyle name="Percent 2 3 2 2" xfId="508"/>
    <cellStyle name="Percent 2 3 2 2 2" xfId="1261"/>
    <cellStyle name="Percent 2 3 2 2 2 2" xfId="2383"/>
    <cellStyle name="Percent 2 3 2 2 3" xfId="885"/>
    <cellStyle name="Percent 2 3 2 2 3 2" xfId="2009"/>
    <cellStyle name="Percent 2 3 2 2 4" xfId="1635"/>
    <cellStyle name="Percent 2 3 2 3" xfId="578"/>
    <cellStyle name="Percent 2 3 2 3 2" xfId="1331"/>
    <cellStyle name="Percent 2 3 2 3 2 2" xfId="2453"/>
    <cellStyle name="Percent 2 3 2 3 3" xfId="955"/>
    <cellStyle name="Percent 2 3 2 3 3 2" xfId="2079"/>
    <cellStyle name="Percent 2 3 2 3 4" xfId="1705"/>
    <cellStyle name="Percent 2 3 2 4" xfId="637"/>
    <cellStyle name="Percent 2 3 2 4 2" xfId="1390"/>
    <cellStyle name="Percent 2 3 2 4 2 2" xfId="2512"/>
    <cellStyle name="Percent 2 3 2 4 3" xfId="1014"/>
    <cellStyle name="Percent 2 3 2 4 3 2" xfId="2138"/>
    <cellStyle name="Percent 2 3 2 4 4" xfId="1764"/>
    <cellStyle name="Percent 2 3 2 5" xfId="698"/>
    <cellStyle name="Percent 2 3 2 5 2" xfId="1451"/>
    <cellStyle name="Percent 2 3 2 5 2 2" xfId="2573"/>
    <cellStyle name="Percent 2 3 2 5 3" xfId="1075"/>
    <cellStyle name="Percent 2 3 2 5 3 2" xfId="2199"/>
    <cellStyle name="Percent 2 3 2 5 4" xfId="1825"/>
    <cellStyle name="Percent 2 3 2 6" xfId="1195"/>
    <cellStyle name="Percent 2 3 2 6 2" xfId="2317"/>
    <cellStyle name="Percent 2 3 2 7" xfId="819"/>
    <cellStyle name="Percent 2 3 2 7 2" xfId="1943"/>
    <cellStyle name="Percent 2 3 2 8" xfId="1569"/>
    <cellStyle name="Percent 2 3 3" xfId="409"/>
    <cellStyle name="Percent 2 3 3 2" xfId="1162"/>
    <cellStyle name="Percent 2 3 3 2 2" xfId="2284"/>
    <cellStyle name="Percent 2 3 3 3" xfId="786"/>
    <cellStyle name="Percent 2 3 3 3 2" xfId="1910"/>
    <cellStyle name="Percent 2 3 3 4" xfId="1536"/>
    <cellStyle name="Percent 2 3 4" xfId="475"/>
    <cellStyle name="Percent 2 3 4 2" xfId="1228"/>
    <cellStyle name="Percent 2 3 4 2 2" xfId="2350"/>
    <cellStyle name="Percent 2 3 4 3" xfId="852"/>
    <cellStyle name="Percent 2 3 4 3 2" xfId="1976"/>
    <cellStyle name="Percent 2 3 4 4" xfId="1602"/>
    <cellStyle name="Percent 2 3 5" xfId="545"/>
    <cellStyle name="Percent 2 3 5 2" xfId="1298"/>
    <cellStyle name="Percent 2 3 5 2 2" xfId="2420"/>
    <cellStyle name="Percent 2 3 5 3" xfId="922"/>
    <cellStyle name="Percent 2 3 5 3 2" xfId="2046"/>
    <cellStyle name="Percent 2 3 5 4" xfId="1672"/>
    <cellStyle name="Percent 2 3 6" xfId="636"/>
    <cellStyle name="Percent 2 3 6 2" xfId="1389"/>
    <cellStyle name="Percent 2 3 6 2 2" xfId="2511"/>
    <cellStyle name="Percent 2 3 6 3" xfId="1013"/>
    <cellStyle name="Percent 2 3 6 3 2" xfId="2137"/>
    <cellStyle name="Percent 2 3 6 4" xfId="1763"/>
    <cellStyle name="Percent 2 3 7" xfId="665"/>
    <cellStyle name="Percent 2 3 7 2" xfId="1418"/>
    <cellStyle name="Percent 2 3 7 2 2" xfId="2540"/>
    <cellStyle name="Percent 2 3 7 3" xfId="1042"/>
    <cellStyle name="Percent 2 3 7 3 2" xfId="2166"/>
    <cellStyle name="Percent 2 3 7 4" xfId="1792"/>
    <cellStyle name="Percent 2 3 8" xfId="1131"/>
    <cellStyle name="Percent 2 3 8 2" xfId="2254"/>
    <cellStyle name="Percent 2 3 9" xfId="755"/>
    <cellStyle name="Percent 2 3 9 2" xfId="1880"/>
    <cellStyle name="Percent 2 4" xfId="418"/>
    <cellStyle name="Percent 2 4 2" xfId="484"/>
    <cellStyle name="Percent 2 4 2 2" xfId="1237"/>
    <cellStyle name="Percent 2 4 2 2 2" xfId="2359"/>
    <cellStyle name="Percent 2 4 2 3" xfId="861"/>
    <cellStyle name="Percent 2 4 2 3 2" xfId="1985"/>
    <cellStyle name="Percent 2 4 2 4" xfId="1611"/>
    <cellStyle name="Percent 2 4 3" xfId="554"/>
    <cellStyle name="Percent 2 4 3 2" xfId="1307"/>
    <cellStyle name="Percent 2 4 3 2 2" xfId="2429"/>
    <cellStyle name="Percent 2 4 3 3" xfId="931"/>
    <cellStyle name="Percent 2 4 3 3 2" xfId="2055"/>
    <cellStyle name="Percent 2 4 3 4" xfId="1681"/>
    <cellStyle name="Percent 2 4 4" xfId="638"/>
    <cellStyle name="Percent 2 4 4 2" xfId="1391"/>
    <cellStyle name="Percent 2 4 4 2 2" xfId="2513"/>
    <cellStyle name="Percent 2 4 4 3" xfId="1015"/>
    <cellStyle name="Percent 2 4 4 3 2" xfId="2139"/>
    <cellStyle name="Percent 2 4 4 4" xfId="1765"/>
    <cellStyle name="Percent 2 4 5" xfId="674"/>
    <cellStyle name="Percent 2 4 5 2" xfId="1427"/>
    <cellStyle name="Percent 2 4 5 2 2" xfId="2549"/>
    <cellStyle name="Percent 2 4 5 3" xfId="1051"/>
    <cellStyle name="Percent 2 4 5 3 2" xfId="2175"/>
    <cellStyle name="Percent 2 4 5 4" xfId="1801"/>
    <cellStyle name="Percent 2 4 6" xfId="1171"/>
    <cellStyle name="Percent 2 4 6 2" xfId="2293"/>
    <cellStyle name="Percent 2 4 7" xfId="795"/>
    <cellStyle name="Percent 2 4 7 2" xfId="1919"/>
    <cellStyle name="Percent 2 4 8" xfId="1545"/>
    <cellStyle name="Percent 2 5" xfId="380"/>
    <cellStyle name="Percent 2 5 2" xfId="1138"/>
    <cellStyle name="Percent 2 5 2 2" xfId="2260"/>
    <cellStyle name="Percent 2 5 3" xfId="762"/>
    <cellStyle name="Percent 2 5 3 2" xfId="1886"/>
    <cellStyle name="Percent 2 5 4" xfId="1512"/>
    <cellStyle name="Percent 2 6" xfId="451"/>
    <cellStyle name="Percent 2 6 2" xfId="1204"/>
    <cellStyle name="Percent 2 6 2 2" xfId="2326"/>
    <cellStyle name="Percent 2 6 3" xfId="828"/>
    <cellStyle name="Percent 2 6 3 2" xfId="1952"/>
    <cellStyle name="Percent 2 6 4" xfId="1578"/>
    <cellStyle name="Percent 2 7" xfId="521"/>
    <cellStyle name="Percent 2 7 2" xfId="1274"/>
    <cellStyle name="Percent 2 7 2 2" xfId="2396"/>
    <cellStyle name="Percent 2 7 3" xfId="898"/>
    <cellStyle name="Percent 2 7 3 2" xfId="2022"/>
    <cellStyle name="Percent 2 7 4" xfId="1648"/>
    <cellStyle name="Percent 2 8" xfId="631"/>
    <cellStyle name="Percent 2 8 2" xfId="1384"/>
    <cellStyle name="Percent 2 8 2 2" xfId="2506"/>
    <cellStyle name="Percent 2 8 3" xfId="1008"/>
    <cellStyle name="Percent 2 8 3 2" xfId="2132"/>
    <cellStyle name="Percent 2 8 4" xfId="1758"/>
    <cellStyle name="Percent 2 9" xfId="641"/>
    <cellStyle name="Percent 2 9 2" xfId="1394"/>
    <cellStyle name="Percent 2 9 2 2" xfId="2516"/>
    <cellStyle name="Percent 2 9 3" xfId="1018"/>
    <cellStyle name="Percent 2 9 3 2" xfId="2142"/>
    <cellStyle name="Percent 2 9 4" xfId="1768"/>
    <cellStyle name="Percent 3" xfId="194"/>
    <cellStyle name="Percent 3 2" xfId="221"/>
    <cellStyle name="Percent 3 3" xfId="389"/>
    <cellStyle name="Percent 4" xfId="197"/>
    <cellStyle name="Percent 5" xfId="95"/>
    <cellStyle name="PSChar" xfId="5"/>
    <cellStyle name="PSChar 2" xfId="225"/>
    <cellStyle name="PSChar 2 2" xfId="273"/>
    <cellStyle name="PSChar 3" xfId="96"/>
    <cellStyle name="PSDate" xfId="6"/>
    <cellStyle name="PSDec" xfId="7"/>
    <cellStyle name="PSHeading" xfId="8"/>
    <cellStyle name="PSHeading 2" xfId="226"/>
    <cellStyle name="PSHeading 2 2" xfId="274"/>
    <cellStyle name="PSHeading 3" xfId="97"/>
    <cellStyle name="PSInt" xfId="9"/>
    <cellStyle name="PSSpacer" xfId="10"/>
    <cellStyle name="PSSpacer 2" xfId="227"/>
    <cellStyle name="PSSpacer 2 2" xfId="275"/>
    <cellStyle name="PSSpacer 3" xfId="98"/>
    <cellStyle name="Title" xfId="12" builtinId="15" customBuiltin="1"/>
    <cellStyle name="Title 2" xfId="188"/>
    <cellStyle name="Title 3" xfId="104"/>
    <cellStyle name="Title 4" xfId="229"/>
    <cellStyle name="Title 4 2" xfId="277"/>
    <cellStyle name="Title 5" xfId="99"/>
    <cellStyle name="Total" xfId="27" builtinId="25" customBuiltin="1"/>
    <cellStyle name="Total 2" xfId="189"/>
    <cellStyle name="Total 3" xfId="120"/>
    <cellStyle name="Total 4" xfId="244"/>
    <cellStyle name="Total 4 2" xfId="292"/>
    <cellStyle name="Total 5" xfId="100"/>
    <cellStyle name="Warning Text" xfId="25" builtinId="11" customBuiltin="1"/>
    <cellStyle name="Warning Text 2" xfId="190"/>
    <cellStyle name="Warning Text 3" xfId="117"/>
    <cellStyle name="Warning Text 4" xfId="242"/>
    <cellStyle name="Warning Text 4 2" xfId="290"/>
    <cellStyle name="Warning Text 5" xfId="101"/>
  </cellStyles>
  <dxfs count="1024">
    <dxf>
      <font>
        <color rgb="FF9C0006"/>
      </font>
      <fill>
        <patternFill>
          <bgColor rgb="FFFFC7CE"/>
        </patternFill>
      </fill>
    </dxf>
    <dxf>
      <fill>
        <patternFill>
          <bgColor rgb="FFFF0000"/>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C0006"/>
      </font>
      <fill>
        <patternFill>
          <bgColor rgb="FFFFC7CE"/>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lor theme="0"/>
      </font>
      <fill>
        <patternFill>
          <bgColor theme="0"/>
        </patternFill>
      </fill>
    </dxf>
    <dxf>
      <font>
        <color rgb="FF99CCFF"/>
      </font>
    </dxf>
    <dxf>
      <font>
        <color rgb="FFCCFFCC"/>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41"/>
      </font>
    </dxf>
    <dxf>
      <font>
        <condense val="0"/>
        <extend val="0"/>
        <color indexed="8"/>
      </font>
    </dxf>
    <dxf>
      <font>
        <condense val="0"/>
        <extend val="0"/>
        <color indexed="41"/>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b/>
        <i val="0"/>
      </font>
    </dxf>
    <dxf>
      <font>
        <b/>
        <i val="0"/>
      </font>
    </dxf>
  </dxfs>
  <tableStyles count="1" defaultTableStyle="TableStyleMedium9" defaultPivotStyle="PivotStyleLight16">
    <tableStyle name="Table Style 1" pivot="0" count="2">
      <tableStyleElement type="firstRowStripe" dxfId="1023"/>
      <tableStyleElement type="firstColumnStripe" dxfId="1022"/>
    </tableStyle>
  </tableStyles>
  <colors>
    <mruColors>
      <color rgb="FFCCFFFF"/>
      <color rgb="FF27F92C"/>
      <color rgb="FF01BCFF"/>
      <color rgb="FF66CCFF"/>
      <color rgb="FF0669FA"/>
      <color rgb="FF050BFB"/>
      <color rgb="FF99CCFF"/>
      <color rgb="FFFFFFCC"/>
      <color rgb="FFCCFFCC"/>
      <color rgb="FF9B9ED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worksheet" Target="worksheets/sheet15.xml"/><Relationship Id="rId3" Type="http://schemas.openxmlformats.org/officeDocument/2006/relationships/chartsheet" Target="chartsheets/sheet2.xml"/><Relationship Id="rId21" Type="http://schemas.openxmlformats.org/officeDocument/2006/relationships/styles" Target="styles.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2" Type="http://schemas.openxmlformats.org/officeDocument/2006/relationships/chartsheet" Target="chartsheets/sheet1.xml"/><Relationship Id="rId16" Type="http://schemas.openxmlformats.org/officeDocument/2006/relationships/worksheet" Target="worksheets/sheet1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3.xml"/><Relationship Id="rId11" Type="http://schemas.openxmlformats.org/officeDocument/2006/relationships/worksheet" Target="worksheets/sheet8.xml"/><Relationship Id="rId5" Type="http://schemas.openxmlformats.org/officeDocument/2006/relationships/worksheet" Target="worksheets/sheet2.xml"/><Relationship Id="rId15" Type="http://schemas.openxmlformats.org/officeDocument/2006/relationships/worksheet" Target="worksheets/sheet12.xml"/><Relationship Id="rId23" Type="http://schemas.openxmlformats.org/officeDocument/2006/relationships/calcChain" Target="calcChain.xml"/><Relationship Id="rId10" Type="http://schemas.openxmlformats.org/officeDocument/2006/relationships/worksheet" Target="worksheets/sheet7.xml"/><Relationship Id="rId19" Type="http://schemas.openxmlformats.org/officeDocument/2006/relationships/externalLink" Target="externalLinks/externalLink1.xml"/><Relationship Id="rId4" Type="http://schemas.openxmlformats.org/officeDocument/2006/relationships/chartsheet" Target="chartsheets/sheet3.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2017</a:t>
            </a:r>
            <a:r>
              <a:rPr lang="en-US" baseline="0"/>
              <a:t> </a:t>
            </a:r>
            <a:r>
              <a:rPr lang="en-US"/>
              <a:t>Storage</a:t>
            </a:r>
          </a:p>
        </c:rich>
      </c:tx>
      <c:layout>
        <c:manualLayout>
          <c:xMode val="edge"/>
          <c:yMode val="edge"/>
          <c:x val="0.43311001555072676"/>
          <c:y val="1.5387317830407386E-2"/>
        </c:manualLayout>
      </c:layout>
      <c:overlay val="0"/>
    </c:title>
    <c:autoTitleDeleted val="0"/>
    <c:plotArea>
      <c:layout>
        <c:manualLayout>
          <c:layoutTarget val="inner"/>
          <c:xMode val="edge"/>
          <c:yMode val="edge"/>
          <c:x val="7.2322699567542184E-2"/>
          <c:y val="7.371919419163514E-2"/>
          <c:w val="0.84713042104891279"/>
          <c:h val="0.68350024340342674"/>
        </c:manualLayout>
      </c:layout>
      <c:lineChart>
        <c:grouping val="standard"/>
        <c:varyColors val="0"/>
        <c:ser>
          <c:idx val="10"/>
          <c:order val="2"/>
          <c:tx>
            <c:v>2015</c:v>
          </c:tx>
          <c:spPr>
            <a:ln w="19050">
              <a:prstDash val="dash"/>
            </a:ln>
          </c:spPr>
          <c:marker>
            <c:symbol val="none"/>
          </c:marker>
          <c:val>
            <c:numRef>
              <c:f>Summary!$AO$9:$AO$373</c:f>
              <c:numCache>
                <c:formatCode>General</c:formatCode>
                <c:ptCount val="365"/>
                <c:pt idx="0">
                  <c:v>2323.0000000057707</c:v>
                </c:pt>
                <c:pt idx="1">
                  <c:v>1968.0000000048021</c:v>
                </c:pt>
                <c:pt idx="2">
                  <c:v>1523.0000000038517</c:v>
                </c:pt>
                <c:pt idx="3">
                  <c:v>1203.0000000033106</c:v>
                </c:pt>
                <c:pt idx="4">
                  <c:v>15565.000000037202</c:v>
                </c:pt>
                <c:pt idx="5">
                  <c:v>16236.000000039918</c:v>
                </c:pt>
                <c:pt idx="6">
                  <c:v>12736.200000030029</c:v>
                </c:pt>
                <c:pt idx="7">
                  <c:v>9343.0000000208638</c:v>
                </c:pt>
                <c:pt idx="8">
                  <c:v>7159.0000000150749</c:v>
                </c:pt>
                <c:pt idx="9">
                  <c:v>5424.0000000120326</c:v>
                </c:pt>
                <c:pt idx="10">
                  <c:v>4134.0000000092041</c:v>
                </c:pt>
                <c:pt idx="11">
                  <c:v>3196.000000007592</c:v>
                </c:pt>
                <c:pt idx="12">
                  <c:v>2083.0000000052182</c:v>
                </c:pt>
                <c:pt idx="13">
                  <c:v>1257.0000000035971</c:v>
                </c:pt>
                <c:pt idx="14">
                  <c:v>888.80000000278301</c:v>
                </c:pt>
                <c:pt idx="15">
                  <c:v>937.00000000281034</c:v>
                </c:pt>
                <c:pt idx="16">
                  <c:v>1177.000000003281</c:v>
                </c:pt>
                <c:pt idx="17">
                  <c:v>2484.0000000058935</c:v>
                </c:pt>
                <c:pt idx="18">
                  <c:v>3259.0000000080036</c:v>
                </c:pt>
                <c:pt idx="19">
                  <c:v>3287.3000000076877</c:v>
                </c:pt>
                <c:pt idx="20">
                  <c:v>2217.3000000053344</c:v>
                </c:pt>
                <c:pt idx="21">
                  <c:v>1235.2000000033402</c:v>
                </c:pt>
                <c:pt idx="22">
                  <c:v>1257.0000000035971</c:v>
                </c:pt>
                <c:pt idx="23">
                  <c:v>2748.0000000068212</c:v>
                </c:pt>
                <c:pt idx="24">
                  <c:v>2998.0000000070486</c:v>
                </c:pt>
                <c:pt idx="25">
                  <c:v>2394.0000000058117</c:v>
                </c:pt>
                <c:pt idx="26">
                  <c:v>2394.0000000058117</c:v>
                </c:pt>
                <c:pt idx="27">
                  <c:v>1640.0000000042292</c:v>
                </c:pt>
                <c:pt idx="28">
                  <c:v>1161.4000000032515</c:v>
                </c:pt>
                <c:pt idx="29">
                  <c:v>1284.0000000036289</c:v>
                </c:pt>
                <c:pt idx="30">
                  <c:v>1352.0000000036925</c:v>
                </c:pt>
                <c:pt idx="31">
                  <c:v>1281.4000000033698</c:v>
                </c:pt>
                <c:pt idx="32">
                  <c:v>997.7000000031037</c:v>
                </c:pt>
                <c:pt idx="33">
                  <c:v>762.00000000242608</c:v>
                </c:pt>
                <c:pt idx="34">
                  <c:v>680.70000000235109</c:v>
                </c:pt>
                <c:pt idx="35">
                  <c:v>751.20000000264668</c:v>
                </c:pt>
                <c:pt idx="36">
                  <c:v>866.00000000275577</c:v>
                </c:pt>
                <c:pt idx="37">
                  <c:v>1257.0000000035971</c:v>
                </c:pt>
                <c:pt idx="38">
                  <c:v>1581.0000000041609</c:v>
                </c:pt>
                <c:pt idx="39">
                  <c:v>1152.3000000032514</c:v>
                </c:pt>
                <c:pt idx="40">
                  <c:v>1080.0000000029468</c:v>
                </c:pt>
                <c:pt idx="41">
                  <c:v>1038.6000000031331</c:v>
                </c:pt>
                <c:pt idx="42">
                  <c:v>1020.1000000031332</c:v>
                </c:pt>
                <c:pt idx="43">
                  <c:v>1036.0000000031332</c:v>
                </c:pt>
                <c:pt idx="44">
                  <c:v>974.00000000283762</c:v>
                </c:pt>
                <c:pt idx="45">
                  <c:v>914.00000000278305</c:v>
                </c:pt>
                <c:pt idx="46">
                  <c:v>926.00000000257614</c:v>
                </c:pt>
                <c:pt idx="47">
                  <c:v>739.00000000240107</c:v>
                </c:pt>
                <c:pt idx="48">
                  <c:v>627.80000000230098</c:v>
                </c:pt>
                <c:pt idx="49">
                  <c:v>924.80000000281029</c:v>
                </c:pt>
                <c:pt idx="50">
                  <c:v>1732.0000000042974</c:v>
                </c:pt>
                <c:pt idx="51">
                  <c:v>2412.0000000058526</c:v>
                </c:pt>
                <c:pt idx="52">
                  <c:v>2907.0000000069576</c:v>
                </c:pt>
                <c:pt idx="53">
                  <c:v>3389.0000000077353</c:v>
                </c:pt>
                <c:pt idx="54">
                  <c:v>3931.2000000093858</c:v>
                </c:pt>
                <c:pt idx="55">
                  <c:v>4368.7000000094131</c:v>
                </c:pt>
                <c:pt idx="56">
                  <c:v>4903.5000000106866</c:v>
                </c:pt>
                <c:pt idx="57">
                  <c:v>5556.0000000121554</c:v>
                </c:pt>
                <c:pt idx="58">
                  <c:v>6319.0000000133696</c:v>
                </c:pt>
                <c:pt idx="59">
                  <c:v>6966.500000014441</c:v>
                </c:pt>
                <c:pt idx="60">
                  <c:v>7590.0000000154841</c:v>
                </c:pt>
                <c:pt idx="61">
                  <c:v>8064.6000000169533</c:v>
                </c:pt>
                <c:pt idx="62">
                  <c:v>8450.3000000178581</c:v>
                </c:pt>
                <c:pt idx="63">
                  <c:v>8776.200000018709</c:v>
                </c:pt>
                <c:pt idx="64">
                  <c:v>9024.0000000199725</c:v>
                </c:pt>
                <c:pt idx="65">
                  <c:v>9237.000000019656</c:v>
                </c:pt>
                <c:pt idx="66">
                  <c:v>9380.0000000202999</c:v>
                </c:pt>
                <c:pt idx="67">
                  <c:v>9486.3000000210322</c:v>
                </c:pt>
                <c:pt idx="68">
                  <c:v>9533.4000000210326</c:v>
                </c:pt>
                <c:pt idx="69">
                  <c:v>9577.4000000205451</c:v>
                </c:pt>
                <c:pt idx="70">
                  <c:v>9606.4000000211163</c:v>
                </c:pt>
                <c:pt idx="71">
                  <c:v>9610.100000021117</c:v>
                </c:pt>
                <c:pt idx="72">
                  <c:v>10280.000000022879</c:v>
                </c:pt>
                <c:pt idx="73">
                  <c:v>11963.400000027412</c:v>
                </c:pt>
                <c:pt idx="74">
                  <c:v>14381.80000003476</c:v>
                </c:pt>
                <c:pt idx="75">
                  <c:v>16316.20000004075</c:v>
                </c:pt>
                <c:pt idx="76">
                  <c:v>17788.400000044243</c:v>
                </c:pt>
                <c:pt idx="77">
                  <c:v>18946.400000047441</c:v>
                </c:pt>
                <c:pt idx="78">
                  <c:v>20043.000000050728</c:v>
                </c:pt>
                <c:pt idx="79">
                  <c:v>21060.000000053184</c:v>
                </c:pt>
                <c:pt idx="80">
                  <c:v>21973.000000056316</c:v>
                </c:pt>
                <c:pt idx="81">
                  <c:v>22795.200000057928</c:v>
                </c:pt>
                <c:pt idx="82">
                  <c:v>23801.000000061173</c:v>
                </c:pt>
                <c:pt idx="83">
                  <c:v>25499.100000065206</c:v>
                </c:pt>
                <c:pt idx="84">
                  <c:v>28092.000000072476</c:v>
                </c:pt>
                <c:pt idx="85">
                  <c:v>30256.000000077911</c:v>
                </c:pt>
                <c:pt idx="86">
                  <c:v>32245.000000081523</c:v>
                </c:pt>
                <c:pt idx="87">
                  <c:v>33902.00000008662</c:v>
                </c:pt>
                <c:pt idx="88">
                  <c:v>35150.400000088623</c:v>
                </c:pt>
                <c:pt idx="89">
                  <c:v>36129.000000091357</c:v>
                </c:pt>
                <c:pt idx="90">
                  <c:v>36944.700000093195</c:v>
                </c:pt>
                <c:pt idx="91">
                  <c:v>37648.40000009576</c:v>
                </c:pt>
                <c:pt idx="92">
                  <c:v>38310.000000096225</c:v>
                </c:pt>
                <c:pt idx="93">
                  <c:v>38816.000000097636</c:v>
                </c:pt>
                <c:pt idx="94">
                  <c:v>39294.400000098103</c:v>
                </c:pt>
                <c:pt idx="95">
                  <c:v>39682.500000099535</c:v>
                </c:pt>
                <c:pt idx="96">
                  <c:v>40013.100000099766</c:v>
                </c:pt>
                <c:pt idx="97">
                  <c:v>40384.900000100002</c:v>
                </c:pt>
                <c:pt idx="98">
                  <c:v>40665.000000101209</c:v>
                </c:pt>
                <c:pt idx="99">
                  <c:v>40874.000000102424</c:v>
                </c:pt>
                <c:pt idx="100">
                  <c:v>41188.000000102656</c:v>
                </c:pt>
                <c:pt idx="101">
                  <c:v>41398.000000101922</c:v>
                </c:pt>
                <c:pt idx="102">
                  <c:v>41649.40000010412</c:v>
                </c:pt>
                <c:pt idx="103">
                  <c:v>42031.000000104599</c:v>
                </c:pt>
                <c:pt idx="104">
                  <c:v>42349.000000104839</c:v>
                </c:pt>
                <c:pt idx="105">
                  <c:v>42763.300000106072</c:v>
                </c:pt>
                <c:pt idx="106">
                  <c:v>43095.000000106564</c:v>
                </c:pt>
                <c:pt idx="107">
                  <c:v>43309.000000106564</c:v>
                </c:pt>
                <c:pt idx="108">
                  <c:v>43597.900000106805</c:v>
                </c:pt>
                <c:pt idx="109">
                  <c:v>43801.800000108051</c:v>
                </c:pt>
                <c:pt idx="110">
                  <c:v>43953.000000109299</c:v>
                </c:pt>
                <c:pt idx="111">
                  <c:v>44105.200000108292</c:v>
                </c:pt>
                <c:pt idx="112">
                  <c:v>44224.000000108543</c:v>
                </c:pt>
                <c:pt idx="113">
                  <c:v>44386.000000108543</c:v>
                </c:pt>
                <c:pt idx="114">
                  <c:v>44711.00000010903</c:v>
                </c:pt>
                <c:pt idx="115">
                  <c:v>44862.60000011004</c:v>
                </c:pt>
                <c:pt idx="116">
                  <c:v>44994.0000001113</c:v>
                </c:pt>
                <c:pt idx="117">
                  <c:v>45147.000000110289</c:v>
                </c:pt>
                <c:pt idx="118">
                  <c:v>45333.000000111548</c:v>
                </c:pt>
                <c:pt idx="119">
                  <c:v>45453.200000110533</c:v>
                </c:pt>
                <c:pt idx="120">
                  <c:v>45584.000000110784</c:v>
                </c:pt>
                <c:pt idx="121">
                  <c:v>45693.000000111802</c:v>
                </c:pt>
                <c:pt idx="122">
                  <c:v>45781.00000011205</c:v>
                </c:pt>
                <c:pt idx="123">
                  <c:v>45879.300000111034</c:v>
                </c:pt>
                <c:pt idx="124">
                  <c:v>46022.000000113068</c:v>
                </c:pt>
                <c:pt idx="125">
                  <c:v>46155.000000112297</c:v>
                </c:pt>
                <c:pt idx="126">
                  <c:v>46210.000000112297</c:v>
                </c:pt>
                <c:pt idx="127">
                  <c:v>46287.400000113317</c:v>
                </c:pt>
                <c:pt idx="128">
                  <c:v>46331.800000113573</c:v>
                </c:pt>
                <c:pt idx="129">
                  <c:v>46365.000000112552</c:v>
                </c:pt>
                <c:pt idx="130">
                  <c:v>46376.000000112552</c:v>
                </c:pt>
                <c:pt idx="131">
                  <c:v>46442.000000112552</c:v>
                </c:pt>
                <c:pt idx="132">
                  <c:v>46618.400000113827</c:v>
                </c:pt>
                <c:pt idx="133">
                  <c:v>46740.000000112799</c:v>
                </c:pt>
                <c:pt idx="134">
                  <c:v>46795.000000113825</c:v>
                </c:pt>
                <c:pt idx="135" formatCode="0.0">
                  <c:v>46839.400000113827</c:v>
                </c:pt>
                <c:pt idx="136" formatCode="0.0">
                  <c:v>46894.900000114081</c:v>
                </c:pt>
                <c:pt idx="137" formatCode="0.0">
                  <c:v>46928.000000113054</c:v>
                </c:pt>
                <c:pt idx="138" formatCode="0.0">
                  <c:v>46928.000000113054</c:v>
                </c:pt>
                <c:pt idx="139" formatCode="0.0">
                  <c:v>46928.000000113054</c:v>
                </c:pt>
                <c:pt idx="140" formatCode="0.0">
                  <c:v>46961.000000113054</c:v>
                </c:pt>
                <c:pt idx="141">
                  <c:v>47016.000000115106</c:v>
                </c:pt>
                <c:pt idx="142">
                  <c:v>47072.000000115106</c:v>
                </c:pt>
                <c:pt idx="143">
                  <c:v>47128.00000011408</c:v>
                </c:pt>
                <c:pt idx="144">
                  <c:v>47183.500000114327</c:v>
                </c:pt>
                <c:pt idx="145">
                  <c:v>47250.200000115357</c:v>
                </c:pt>
                <c:pt idx="146">
                  <c:v>47272.600000115359</c:v>
                </c:pt>
                <c:pt idx="147">
                  <c:v>47272.600000115359</c:v>
                </c:pt>
                <c:pt idx="148">
                  <c:v>47272.600000115359</c:v>
                </c:pt>
                <c:pt idx="149">
                  <c:v>47283.800000115363</c:v>
                </c:pt>
                <c:pt idx="150">
                  <c:v>47283.800000115363</c:v>
                </c:pt>
                <c:pt idx="151">
                  <c:v>47283.800000115363</c:v>
                </c:pt>
                <c:pt idx="152">
                  <c:v>47328.600000115359</c:v>
                </c:pt>
                <c:pt idx="153">
                  <c:v>47351.000000114327</c:v>
                </c:pt>
                <c:pt idx="154">
                  <c:v>47351.000000114327</c:v>
                </c:pt>
                <c:pt idx="155">
                  <c:v>47351.000000114327</c:v>
                </c:pt>
                <c:pt idx="156">
                  <c:v>47351.000000114327</c:v>
                </c:pt>
                <c:pt idx="157">
                  <c:v>47239.00000011536</c:v>
                </c:pt>
                <c:pt idx="158">
                  <c:v>47261.400000115362</c:v>
                </c:pt>
                <c:pt idx="159">
                  <c:v>47239.00000011536</c:v>
                </c:pt>
                <c:pt idx="160">
                  <c:v>47194.600000114333</c:v>
                </c:pt>
                <c:pt idx="161">
                  <c:v>47172.400000114329</c:v>
                </c:pt>
                <c:pt idx="162">
                  <c:v>47128.00000011408</c:v>
                </c:pt>
                <c:pt idx="163">
                  <c:v>47128.00000011408</c:v>
                </c:pt>
                <c:pt idx="164">
                  <c:v>47128.00000011408</c:v>
                </c:pt>
                <c:pt idx="165">
                  <c:v>47116.800000115109</c:v>
                </c:pt>
                <c:pt idx="166">
                  <c:v>47083.200000115103</c:v>
                </c:pt>
                <c:pt idx="167">
                  <c:v>47049.600000115104</c:v>
                </c:pt>
                <c:pt idx="168">
                  <c:v>46961.000000113054</c:v>
                </c:pt>
                <c:pt idx="169">
                  <c:v>46906.000000113054</c:v>
                </c:pt>
                <c:pt idx="170">
                  <c:v>46817.200000113822</c:v>
                </c:pt>
                <c:pt idx="171">
                  <c:v>46784.000000112799</c:v>
                </c:pt>
                <c:pt idx="172">
                  <c:v>46596.200000113575</c:v>
                </c:pt>
                <c:pt idx="173">
                  <c:v>46464.000000112552</c:v>
                </c:pt>
                <c:pt idx="174">
                  <c:v>46331.800000113573</c:v>
                </c:pt>
                <c:pt idx="175">
                  <c:v>46199.000000112297</c:v>
                </c:pt>
                <c:pt idx="176">
                  <c:v>46066.400000113317</c:v>
                </c:pt>
                <c:pt idx="177">
                  <c:v>45868.400000111033</c:v>
                </c:pt>
                <c:pt idx="178">
                  <c:v>45671.200000110781</c:v>
                </c:pt>
                <c:pt idx="179">
                  <c:v>45485.900000110538</c:v>
                </c:pt>
                <c:pt idx="180">
                  <c:v>45355.000000111548</c:v>
                </c:pt>
                <c:pt idx="181">
                  <c:v>45201.500000110289</c:v>
                </c:pt>
                <c:pt idx="182">
                  <c:v>45070.700000110286</c:v>
                </c:pt>
                <c:pt idx="183">
                  <c:v>44917.10000011004</c:v>
                </c:pt>
                <c:pt idx="184">
                  <c:v>44743.400000109032</c:v>
                </c:pt>
                <c:pt idx="185">
                  <c:v>44559.400000109788</c:v>
                </c:pt>
                <c:pt idx="186">
                  <c:v>44375.20000010854</c:v>
                </c:pt>
                <c:pt idx="187">
                  <c:v>44170.000000108543</c:v>
                </c:pt>
                <c:pt idx="188">
                  <c:v>43953.000000109299</c:v>
                </c:pt>
                <c:pt idx="189">
                  <c:v>43758.600000108047</c:v>
                </c:pt>
                <c:pt idx="190">
                  <c:v>43544.400000106805</c:v>
                </c:pt>
                <c:pt idx="191">
                  <c:v>43394.600000106802</c:v>
                </c:pt>
                <c:pt idx="192">
                  <c:v>43234.100000106562</c:v>
                </c:pt>
                <c:pt idx="193">
                  <c:v>43062.900000106318</c:v>
                </c:pt>
                <c:pt idx="194">
                  <c:v>42891.700000106321</c:v>
                </c:pt>
                <c:pt idx="195">
                  <c:v>42709.800000106072</c:v>
                </c:pt>
                <c:pt idx="196">
                  <c:v>42539.800000105082</c:v>
                </c:pt>
                <c:pt idx="197">
                  <c:v>42317.200000104844</c:v>
                </c:pt>
                <c:pt idx="198">
                  <c:v>42115.800000104602</c:v>
                </c:pt>
                <c:pt idx="199">
                  <c:v>41914.400000104361</c:v>
                </c:pt>
                <c:pt idx="200">
                  <c:v>41723.600000104117</c:v>
                </c:pt>
                <c:pt idx="201">
                  <c:v>41523.000000103137</c:v>
                </c:pt>
                <c:pt idx="202">
                  <c:v>41324.500000102897</c:v>
                </c:pt>
                <c:pt idx="203">
                  <c:v>41156.800000101684</c:v>
                </c:pt>
                <c:pt idx="204">
                  <c:v>40989.500000102656</c:v>
                </c:pt>
                <c:pt idx="205">
                  <c:v>40884.500000102424</c:v>
                </c:pt>
                <c:pt idx="206">
                  <c:v>40790.000000102424</c:v>
                </c:pt>
                <c:pt idx="207">
                  <c:v>40644.000000102184</c:v>
                </c:pt>
                <c:pt idx="208">
                  <c:v>40529.100000100232</c:v>
                </c:pt>
                <c:pt idx="209">
                  <c:v>40374.600000099999</c:v>
                </c:pt>
                <c:pt idx="210">
                  <c:v>40188.200000099998</c:v>
                </c:pt>
                <c:pt idx="211">
                  <c:v>39961.600000099766</c:v>
                </c:pt>
                <c:pt idx="212">
                  <c:v>39775.600000100501</c:v>
                </c:pt>
                <c:pt idx="213">
                  <c:v>39589.800000099298</c:v>
                </c:pt>
                <c:pt idx="214">
                  <c:v>39375.500000097141</c:v>
                </c:pt>
                <c:pt idx="215">
                  <c:v>39172.000000098102</c:v>
                </c:pt>
                <c:pt idx="216">
                  <c:v>38999.600000097867</c:v>
                </c:pt>
                <c:pt idx="217" formatCode="0.0">
                  <c:v>38826.20000009764</c:v>
                </c:pt>
                <c:pt idx="218" formatCode="0.0">
                  <c:v>38572.200000097408</c:v>
                </c:pt>
                <c:pt idx="219" formatCode="0.0">
                  <c:v>38320.100000096223</c:v>
                </c:pt>
                <c:pt idx="220" formatCode="0.0">
                  <c:v>38070.000000095039</c:v>
                </c:pt>
                <c:pt idx="221" formatCode="0.0">
                  <c:v>37799.000000094813</c:v>
                </c:pt>
                <c:pt idx="222" formatCode="0.0">
                  <c:v>37538.000000094587</c:v>
                </c:pt>
                <c:pt idx="223" formatCode="0.0">
                  <c:v>37329.800000093419</c:v>
                </c:pt>
                <c:pt idx="224" formatCode="0.0">
                  <c:v>37063.000000092252</c:v>
                </c:pt>
                <c:pt idx="225" formatCode="0.0">
                  <c:v>36865.500000092965</c:v>
                </c:pt>
                <c:pt idx="226" formatCode="0.0">
                  <c:v>36736.800000092968</c:v>
                </c:pt>
                <c:pt idx="227" formatCode="0.0">
                  <c:v>36558.600000092738</c:v>
                </c:pt>
                <c:pt idx="228" formatCode="0.0">
                  <c:v>36373.000000091582</c:v>
                </c:pt>
                <c:pt idx="229" formatCode="0.0">
                  <c:v>36178.000000091582</c:v>
                </c:pt>
                <c:pt idx="230" formatCode="0.0">
                  <c:v>35973.200000091361</c:v>
                </c:pt>
                <c:pt idx="231" formatCode="0.0">
                  <c:v>35729.300000090203</c:v>
                </c:pt>
                <c:pt idx="232" formatCode="0.0">
                  <c:v>35515.200000089055</c:v>
                </c:pt>
                <c:pt idx="233" formatCode="0.0">
                  <c:v>35284.800000088842</c:v>
                </c:pt>
                <c:pt idx="234" formatCode="0.0">
                  <c:v>35005.800000089541</c:v>
                </c:pt>
                <c:pt idx="235" formatCode="0.0">
                  <c:v>34765.400000088404</c:v>
                </c:pt>
                <c:pt idx="236" formatCode="0.0">
                  <c:v>34516.500000087268</c:v>
                </c:pt>
                <c:pt idx="237" formatCode="0.0">
                  <c:v>34270.800000086136</c:v>
                </c:pt>
                <c:pt idx="238" formatCode="0.0">
                  <c:v>34005.60000008592</c:v>
                </c:pt>
                <c:pt idx="239" formatCode="0.0">
                  <c:v>33797.800000085706</c:v>
                </c:pt>
                <c:pt idx="240" formatCode="0.0">
                  <c:v>33553.300000084586</c:v>
                </c:pt>
                <c:pt idx="241" formatCode="0.0">
                  <c:v>33450.000000085281</c:v>
                </c:pt>
                <c:pt idx="242" formatCode="0.0">
                  <c:v>33264.000000084161</c:v>
                </c:pt>
                <c:pt idx="243" formatCode="0.0">
                  <c:v>33114.600000085062</c:v>
                </c:pt>
                <c:pt idx="244" formatCode="0.0">
                  <c:v>33030.50000008395</c:v>
                </c:pt>
                <c:pt idx="245" formatCode="0.0">
                  <c:v>32872.200000084849</c:v>
                </c:pt>
                <c:pt idx="246" formatCode="0.0">
                  <c:v>32722.600000083738</c:v>
                </c:pt>
                <c:pt idx="247" formatCode="0.0">
                  <c:v>32501.600000082628</c:v>
                </c:pt>
                <c:pt idx="248" formatCode="0.0">
                  <c:v>32281.400000081521</c:v>
                </c:pt>
                <c:pt idx="249" formatCode="0.0">
                  <c:v>32033.400000082209</c:v>
                </c:pt>
                <c:pt idx="250" formatCode="0.0">
                  <c:v>31794.200000082001</c:v>
                </c:pt>
                <c:pt idx="251" formatCode="0.0">
                  <c:v>31550.000000080014</c:v>
                </c:pt>
                <c:pt idx="252" formatCode="0.0">
                  <c:v>31278.400000080695</c:v>
                </c:pt>
                <c:pt idx="253" formatCode="0.0">
                  <c:v>30998.000000079603</c:v>
                </c:pt>
                <c:pt idx="254" formatCode="0.0">
                  <c:v>30710.900000078313</c:v>
                </c:pt>
                <c:pt idx="255" formatCode="0.0">
                  <c:v>30398.400000078112</c:v>
                </c:pt>
                <c:pt idx="256" formatCode="0.0">
                  <c:v>30077.000000077707</c:v>
                </c:pt>
                <c:pt idx="257" formatCode="0.0">
                  <c:v>29777.200000075762</c:v>
                </c:pt>
                <c:pt idx="258" formatCode="0.0">
                  <c:v>29461.000000076434</c:v>
                </c:pt>
                <c:pt idx="259" formatCode="0.0">
                  <c:v>29189.200000076034</c:v>
                </c:pt>
                <c:pt idx="260" formatCode="0.0">
                  <c:v>28851.000000074109</c:v>
                </c:pt>
                <c:pt idx="261" formatCode="0.0">
                  <c:v>28470.200000074576</c:v>
                </c:pt>
                <c:pt idx="262" formatCode="0.0">
                  <c:v>28168.500000072669</c:v>
                </c:pt>
                <c:pt idx="263" formatCode="0.0">
                  <c:v>27870.000000072283</c:v>
                </c:pt>
                <c:pt idx="264" formatCode="0.0">
                  <c:v>27486.500000071894</c:v>
                </c:pt>
                <c:pt idx="265" formatCode="0.0">
                  <c:v>26984.300000069827</c:v>
                </c:pt>
                <c:pt idx="266" formatCode="0.0">
                  <c:v>26404.200000068427</c:v>
                </c:pt>
                <c:pt idx="267" formatCode="0.0">
                  <c:v>25826.000000067866</c:v>
                </c:pt>
                <c:pt idx="268" formatCode="0.0">
                  <c:v>25349.000000065025</c:v>
                </c:pt>
                <c:pt idx="269" formatCode="0.0">
                  <c:v>24797.000000063668</c:v>
                </c:pt>
                <c:pt idx="270" formatCode="0.0">
                  <c:v>24278.400000063313</c:v>
                </c:pt>
                <c:pt idx="271" formatCode="0.0">
                  <c:v>23763.500000060369</c:v>
                </c:pt>
                <c:pt idx="272" formatCode="0.0">
                  <c:v>23256.100000058261</c:v>
                </c:pt>
                <c:pt idx="273" formatCode="0.0">
                  <c:v>22751.400000057762</c:v>
                </c:pt>
                <c:pt idx="274" formatCode="0.0">
                  <c:v>22246.600000056642</c:v>
                </c:pt>
                <c:pt idx="275" formatCode="0.0">
                  <c:v>21782.000000054592</c:v>
                </c:pt>
                <c:pt idx="276" formatCode="0.0">
                  <c:v>21281.000000054115</c:v>
                </c:pt>
                <c:pt idx="277" formatCode="0.0">
                  <c:v>20778.100000052873</c:v>
                </c:pt>
                <c:pt idx="278" formatCode="0.0">
                  <c:v>20257.400000050882</c:v>
                </c:pt>
                <c:pt idx="279" formatCode="0.0">
                  <c:v>19732.50000004892</c:v>
                </c:pt>
                <c:pt idx="280" formatCode="0.0">
                  <c:v>19168.800000046842</c:v>
                </c:pt>
                <c:pt idx="281" formatCode="0.0">
                  <c:v>18549.600000045673</c:v>
                </c:pt>
                <c:pt idx="282" formatCode="0.0">
                  <c:v>18006.000000045111</c:v>
                </c:pt>
                <c:pt idx="283" formatCode="0.0">
                  <c:v>17511.000000043248</c:v>
                </c:pt>
                <c:pt idx="284" formatCode="0.0">
                  <c:v>16966.400000041987</c:v>
                </c:pt>
                <c:pt idx="285" formatCode="0.0">
                  <c:v>16420.400000040048</c:v>
                </c:pt>
                <c:pt idx="286" formatCode="0.0">
                  <c:v>15831.600000039529</c:v>
                </c:pt>
                <c:pt idx="287" formatCode="0.0">
                  <c:v>15160.400000036834</c:v>
                </c:pt>
                <c:pt idx="288" formatCode="0.0">
                  <c:v>14480.600000034879</c:v>
                </c:pt>
                <c:pt idx="289" formatCode="0.0">
                  <c:v>13784.200000033628</c:v>
                </c:pt>
                <c:pt idx="290" formatCode="0.0">
                  <c:v>13110.000000030996</c:v>
                </c:pt>
                <c:pt idx="291" formatCode="0.0">
                  <c:v>12472.400000029182</c:v>
                </c:pt>
                <c:pt idx="292" formatCode="0.0">
                  <c:v>11834.800000027311</c:v>
                </c:pt>
                <c:pt idx="293" formatCode="0.0">
                  <c:v>11231.200000025498</c:v>
                </c:pt>
                <c:pt idx="294" formatCode="0.0">
                  <c:v>10659.000000023829</c:v>
                </c:pt>
                <c:pt idx="295" formatCode="0.0">
                  <c:v>10074.600000022119</c:v>
                </c:pt>
                <c:pt idx="296" formatCode="0.0">
                  <c:v>9493.600000020464</c:v>
                </c:pt>
                <c:pt idx="297" formatCode="0.0">
                  <c:v>8944.5000000193377</c:v>
                </c:pt>
                <c:pt idx="298" formatCode="0.0">
                  <c:v>8613.000000018008</c:v>
                </c:pt>
                <c:pt idx="299" formatCode="0.0">
                  <c:v>8239.1000000176336</c:v>
                </c:pt>
                <c:pt idx="300" formatCode="0.0">
                  <c:v>7779.300000016141</c:v>
                </c:pt>
                <c:pt idx="301" formatCode="0.0">
                  <c:v>7378.300000015789</c:v>
                </c:pt>
                <c:pt idx="302" formatCode="0.0">
                  <c:v>7028.4000000144406</c:v>
                </c:pt>
                <c:pt idx="303" formatCode="0.0">
                  <c:v>12632.20000003056</c:v>
                </c:pt>
                <c:pt idx="304" formatCode="0.0">
                  <c:v>12235.200000028972</c:v>
                </c:pt>
                <c:pt idx="305" formatCode="0.0">
                  <c:v>9131.000000019576</c:v>
                </c:pt>
                <c:pt idx="306" formatCode="0.0">
                  <c:v>6239.8000000137154</c:v>
                </c:pt>
                <c:pt idx="307" formatCode="0.0">
                  <c:v>4411.8000000098227</c:v>
                </c:pt>
                <c:pt idx="308" formatCode="0.0">
                  <c:v>3450.9000000078308</c:v>
                </c:pt>
                <c:pt idx="309" formatCode="0.0">
                  <c:v>3191.8000000075922</c:v>
                </c:pt>
                <c:pt idx="310" formatCode="0.0">
                  <c:v>2661.0000000067303</c:v>
                </c:pt>
                <c:pt idx="311" formatCode="0.0">
                  <c:v>2294.2000000057296</c:v>
                </c:pt>
                <c:pt idx="312" formatCode="0.0">
                  <c:v>2046.8000000048748</c:v>
                </c:pt>
                <c:pt idx="313" formatCode="0.0">
                  <c:v>1742.5000000043315</c:v>
                </c:pt>
                <c:pt idx="314" formatCode="0.0">
                  <c:v>1537.0000000041268</c:v>
                </c:pt>
                <c:pt idx="315" formatCode="0.0">
                  <c:v>1307.1000000033991</c:v>
                </c:pt>
                <c:pt idx="316" formatCode="0.0">
                  <c:v>3276.6000000080035</c:v>
                </c:pt>
                <c:pt idx="317" formatCode="0.0">
                  <c:v>6063.4000000131145</c:v>
                </c:pt>
                <c:pt idx="318" formatCode="0.0">
                  <c:v>4387.8000000098227</c:v>
                </c:pt>
                <c:pt idx="319" formatCode="0.0">
                  <c:v>2494.8000000059346</c:v>
                </c:pt>
                <c:pt idx="320" formatCode="0.0">
                  <c:v>16972.300000041989</c:v>
                </c:pt>
                <c:pt idx="321" formatCode="0.0">
                  <c:v>21824.000000054592</c:v>
                </c:pt>
                <c:pt idx="322" formatCode="0.0">
                  <c:v>18699.600000046412</c:v>
                </c:pt>
                <c:pt idx="323" formatCode="0.0">
                  <c:v>14501.400000034879</c:v>
                </c:pt>
                <c:pt idx="324" formatCode="0.0">
                  <c:v>10198.200000022205</c:v>
                </c:pt>
                <c:pt idx="325" formatCode="0.0">
                  <c:v>5756.50000001234</c:v>
                </c:pt>
                <c:pt idx="326" formatCode="0.0">
                  <c:v>2556.2000000059752</c:v>
                </c:pt>
                <c:pt idx="327" formatCode="0.0">
                  <c:v>1371.6000000037243</c:v>
                </c:pt>
                <c:pt idx="328" formatCode="0.0">
                  <c:v>1404.5000000039904</c:v>
                </c:pt>
                <c:pt idx="329" formatCode="0.0">
                  <c:v>1664.6000000045474</c:v>
                </c:pt>
                <c:pt idx="330" formatCode="0.0">
                  <c:v>1784.0000000043656</c:v>
                </c:pt>
                <c:pt idx="331" formatCode="0.0">
                  <c:v>1770.0000000046202</c:v>
                </c:pt>
                <c:pt idx="332" formatCode="0.0">
                  <c:v>1653.5000000042292</c:v>
                </c:pt>
                <c:pt idx="333" formatCode="0.0">
                  <c:v>1404.5000000039904</c:v>
                </c:pt>
                <c:pt idx="334" formatCode="0.0">
                  <c:v>1036.0000000031332</c:v>
                </c:pt>
                <c:pt idx="335" formatCode="0.0">
                  <c:v>644.00000000211458</c:v>
                </c:pt>
                <c:pt idx="336" formatCode="0.0">
                  <c:v>665.300000002351</c:v>
                </c:pt>
                <c:pt idx="337" formatCode="0.0">
                  <c:v>790.00000000267391</c:v>
                </c:pt>
                <c:pt idx="338" formatCode="0.0">
                  <c:v>945.40000000281032</c:v>
                </c:pt>
                <c:pt idx="339" formatCode="0.0">
                  <c:v>935.90000000257612</c:v>
                </c:pt>
                <c:pt idx="340" formatCode="0.0">
                  <c:v>5108.8000000113507</c:v>
                </c:pt>
                <c:pt idx="341" formatCode="0.0">
                  <c:v>9423.4000000209471</c:v>
                </c:pt>
                <c:pt idx="342" formatCode="0.0">
                  <c:v>28608.400000074773</c:v>
                </c:pt>
                <c:pt idx="343" formatCode="0.0">
                  <c:v>27972.000000072476</c:v>
                </c:pt>
                <c:pt idx="344" formatCode="0.0">
                  <c:v>22412.200000056644</c:v>
                </c:pt>
                <c:pt idx="345" formatCode="0.0">
                  <c:v>16247.400000039917</c:v>
                </c:pt>
                <c:pt idx="346" formatCode="0.0">
                  <c:v>11214.400000025498</c:v>
                </c:pt>
                <c:pt idx="347" formatCode="0.0">
                  <c:v>7617.1000000160002</c:v>
                </c:pt>
                <c:pt idx="348" formatCode="0.0">
                  <c:v>4507.0000000103455</c:v>
                </c:pt>
                <c:pt idx="349" formatCode="0.0">
                  <c:v>2171.4000000052956</c:v>
                </c:pt>
                <c:pt idx="350" formatCode="0.0">
                  <c:v>1183.500000003281</c:v>
                </c:pt>
                <c:pt idx="351" formatCode="0.0">
                  <c:v>1446.800000003788</c:v>
                </c:pt>
                <c:pt idx="352" formatCode="0.0">
                  <c:v>1502.0000000040927</c:v>
                </c:pt>
                <c:pt idx="353" formatCode="0.0">
                  <c:v>1420.2000000037563</c:v>
                </c:pt>
                <c:pt idx="354" formatCode="0.0">
                  <c:v>1221.6000000035651</c:v>
                </c:pt>
                <c:pt idx="355" formatCode="0.0">
                  <c:v>1089.9000000031924</c:v>
                </c:pt>
                <c:pt idx="356" formatCode="0.0">
                  <c:v>1326.4000000036608</c:v>
                </c:pt>
                <c:pt idx="357" formatCode="0.0">
                  <c:v>1698.0000000042974</c:v>
                </c:pt>
                <c:pt idx="358" formatCode="0.0">
                  <c:v>1852.8000000047293</c:v>
                </c:pt>
                <c:pt idx="359" formatCode="0.0">
                  <c:v>1812.2000000046567</c:v>
                </c:pt>
                <c:pt idx="360" formatCode="0.0">
                  <c:v>1664.6000000045474</c:v>
                </c:pt>
                <c:pt idx="361" formatCode="0.0">
                  <c:v>1438.4000000037563</c:v>
                </c:pt>
                <c:pt idx="362" formatCode="0.0">
                  <c:v>1300.6000000033696</c:v>
                </c:pt>
                <c:pt idx="363" formatCode="0.0">
                  <c:v>1303.2000000033993</c:v>
                </c:pt>
                <c:pt idx="364" formatCode="0.0">
                  <c:v>1385.6000000037243</c:v>
                </c:pt>
              </c:numCache>
            </c:numRef>
          </c:val>
          <c:smooth val="0"/>
        </c:ser>
        <c:ser>
          <c:idx val="9"/>
          <c:order val="3"/>
          <c:tx>
            <c:v>2014</c:v>
          </c:tx>
          <c:spPr>
            <a:ln w="19050">
              <a:prstDash val="dash"/>
            </a:ln>
          </c:spPr>
          <c:marker>
            <c:symbol val="none"/>
          </c:marker>
          <c:val>
            <c:numRef>
              <c:f>Summary!$AN$9:$AN$373</c:f>
              <c:numCache>
                <c:formatCode>General</c:formatCode>
                <c:ptCount val="365"/>
                <c:pt idx="0">
                  <c:v>878.00000000275577</c:v>
                </c:pt>
                <c:pt idx="1">
                  <c:v>872.00000000275577</c:v>
                </c:pt>
                <c:pt idx="2">
                  <c:v>1325.0000000036607</c:v>
                </c:pt>
                <c:pt idx="3">
                  <c:v>1479.0000000038199</c:v>
                </c:pt>
                <c:pt idx="4">
                  <c:v>1437.0000000037562</c:v>
                </c:pt>
                <c:pt idx="5">
                  <c:v>1158.8000000032514</c:v>
                </c:pt>
                <c:pt idx="6">
                  <c:v>792.760000002693</c:v>
                </c:pt>
                <c:pt idx="7">
                  <c:v>773.00000000245109</c:v>
                </c:pt>
                <c:pt idx="8">
                  <c:v>911.60000000278308</c:v>
                </c:pt>
                <c:pt idx="9">
                  <c:v>949.00000000283762</c:v>
                </c:pt>
                <c:pt idx="10">
                  <c:v>1099.0000000031923</c:v>
                </c:pt>
                <c:pt idx="11">
                  <c:v>2310.4000000057708</c:v>
                </c:pt>
                <c:pt idx="12">
                  <c:v>4212.2000000096587</c:v>
                </c:pt>
                <c:pt idx="13">
                  <c:v>3697.0000000087857</c:v>
                </c:pt>
                <c:pt idx="14">
                  <c:v>2236.0000000053728</c:v>
                </c:pt>
                <c:pt idx="15">
                  <c:v>1456.600000003788</c:v>
                </c:pt>
                <c:pt idx="16">
                  <c:v>1465.000000003788</c:v>
                </c:pt>
                <c:pt idx="17">
                  <c:v>1523.0000000038517</c:v>
                </c:pt>
                <c:pt idx="18">
                  <c:v>1271.0000000033697</c:v>
                </c:pt>
                <c:pt idx="19">
                  <c:v>828.90000000250109</c:v>
                </c:pt>
                <c:pt idx="20">
                  <c:v>662.00000000235104</c:v>
                </c:pt>
                <c:pt idx="21">
                  <c:v>673.00000000235104</c:v>
                </c:pt>
                <c:pt idx="22">
                  <c:v>727.00000000261934</c:v>
                </c:pt>
                <c:pt idx="23">
                  <c:v>842.00000000272848</c:v>
                </c:pt>
                <c:pt idx="24">
                  <c:v>902.00000000278305</c:v>
                </c:pt>
                <c:pt idx="25">
                  <c:v>866.00000000275577</c:v>
                </c:pt>
                <c:pt idx="26">
                  <c:v>787.60000000267394</c:v>
                </c:pt>
                <c:pt idx="27">
                  <c:v>753.60000000264665</c:v>
                </c:pt>
                <c:pt idx="28">
                  <c:v>1033.6000000028921</c:v>
                </c:pt>
                <c:pt idx="29">
                  <c:v>1266.800000003597</c:v>
                </c:pt>
                <c:pt idx="30">
                  <c:v>1366.0000000036925</c:v>
                </c:pt>
                <c:pt idx="31">
                  <c:v>1437.0000000037562</c:v>
                </c:pt>
                <c:pt idx="32">
                  <c:v>1305.8000000033992</c:v>
                </c:pt>
                <c:pt idx="33">
                  <c:v>1045.1000000031627</c:v>
                </c:pt>
                <c:pt idx="34">
                  <c:v>801.5000000024761</c:v>
                </c:pt>
                <c:pt idx="35">
                  <c:v>684.00000000235104</c:v>
                </c:pt>
                <c:pt idx="36">
                  <c:v>867.20000000275581</c:v>
                </c:pt>
                <c:pt idx="37">
                  <c:v>1086.0000000031923</c:v>
                </c:pt>
                <c:pt idx="38">
                  <c:v>1112.0000000032219</c:v>
                </c:pt>
                <c:pt idx="39">
                  <c:v>1074.0000000029468</c:v>
                </c:pt>
                <c:pt idx="40">
                  <c:v>926.00000000257614</c:v>
                </c:pt>
                <c:pt idx="41">
                  <c:v>963.60000000307411</c:v>
                </c:pt>
                <c:pt idx="42">
                  <c:v>1257.0000000035971</c:v>
                </c:pt>
                <c:pt idx="43">
                  <c:v>1299.3000000033696</c:v>
                </c:pt>
                <c:pt idx="44">
                  <c:v>986.00000000310365</c:v>
                </c:pt>
                <c:pt idx="45">
                  <c:v>1061.0000000031628</c:v>
                </c:pt>
                <c:pt idx="46">
                  <c:v>1216.0000000035652</c:v>
                </c:pt>
                <c:pt idx="47">
                  <c:v>1409.0000000037562</c:v>
                </c:pt>
                <c:pt idx="48">
                  <c:v>1350.7000000034288</c:v>
                </c:pt>
                <c:pt idx="49">
                  <c:v>1135.4000000032515</c:v>
                </c:pt>
                <c:pt idx="50">
                  <c:v>1068.8000000031627</c:v>
                </c:pt>
                <c:pt idx="51">
                  <c:v>1537.0000000041268</c:v>
                </c:pt>
                <c:pt idx="52">
                  <c:v>1888.0000000047294</c:v>
                </c:pt>
                <c:pt idx="53">
                  <c:v>2067.0000000049113</c:v>
                </c:pt>
                <c:pt idx="54">
                  <c:v>2317.6000000057707</c:v>
                </c:pt>
                <c:pt idx="55">
                  <c:v>2621.6000000063505</c:v>
                </c:pt>
                <c:pt idx="56">
                  <c:v>2852.0000000069122</c:v>
                </c:pt>
                <c:pt idx="57">
                  <c:v>2983.8000000074012</c:v>
                </c:pt>
                <c:pt idx="58">
                  <c:v>3238.0000000076398</c:v>
                </c:pt>
                <c:pt idx="59">
                  <c:v>3608.0000000083037</c:v>
                </c:pt>
                <c:pt idx="60">
                  <c:v>3936.000000009386</c:v>
                </c:pt>
                <c:pt idx="61">
                  <c:v>4579.4000000099859</c:v>
                </c:pt>
                <c:pt idx="62">
                  <c:v>5734.9000000123397</c:v>
                </c:pt>
                <c:pt idx="63">
                  <c:v>6597.2000000141106</c:v>
                </c:pt>
                <c:pt idx="64">
                  <c:v>7657.4000000160704</c:v>
                </c:pt>
                <c:pt idx="65">
                  <c:v>8480.0000000178588</c:v>
                </c:pt>
                <c:pt idx="66">
                  <c:v>8681.0000000185537</c:v>
                </c:pt>
                <c:pt idx="67">
                  <c:v>14299.300000034093</c:v>
                </c:pt>
                <c:pt idx="68">
                  <c:v>15379.000000037766</c:v>
                </c:pt>
                <c:pt idx="69">
                  <c:v>14626.400000036343</c:v>
                </c:pt>
                <c:pt idx="70">
                  <c:v>14648.00000003567</c:v>
                </c:pt>
                <c:pt idx="71">
                  <c:v>14195.600000034643</c:v>
                </c:pt>
                <c:pt idx="72">
                  <c:v>14914.000000036589</c:v>
                </c:pt>
                <c:pt idx="73">
                  <c:v>15619.000000038017</c:v>
                </c:pt>
                <c:pt idx="74">
                  <c:v>16708.600000041013</c:v>
                </c:pt>
                <c:pt idx="75">
                  <c:v>17637.900000044105</c:v>
                </c:pt>
                <c:pt idx="76">
                  <c:v>17921.000000043518</c:v>
                </c:pt>
                <c:pt idx="77">
                  <c:v>18568.200000045676</c:v>
                </c:pt>
                <c:pt idx="78">
                  <c:v>19054.40000004684</c:v>
                </c:pt>
                <c:pt idx="79">
                  <c:v>19518.000000048771</c:v>
                </c:pt>
                <c:pt idx="80">
                  <c:v>19844.000000049069</c:v>
                </c:pt>
                <c:pt idx="81">
                  <c:v>19817.600000049672</c:v>
                </c:pt>
                <c:pt idx="82">
                  <c:v>19824.200000049674</c:v>
                </c:pt>
                <c:pt idx="83">
                  <c:v>20083.200000050729</c:v>
                </c:pt>
                <c:pt idx="84">
                  <c:v>20378.000000050273</c:v>
                </c:pt>
                <c:pt idx="85">
                  <c:v>20736.700000052871</c:v>
                </c:pt>
                <c:pt idx="86">
                  <c:v>21267.000000054115</c:v>
                </c:pt>
                <c:pt idx="87">
                  <c:v>21831.000000055374</c:v>
                </c:pt>
                <c:pt idx="88">
                  <c:v>22261.000000056643</c:v>
                </c:pt>
                <c:pt idx="89">
                  <c:v>22462.600000056806</c:v>
                </c:pt>
                <c:pt idx="90">
                  <c:v>22766.000000057764</c:v>
                </c:pt>
                <c:pt idx="91">
                  <c:v>23059.000000058095</c:v>
                </c:pt>
                <c:pt idx="92">
                  <c:v>23530.000000060198</c:v>
                </c:pt>
                <c:pt idx="93">
                  <c:v>23952.00000006054</c:v>
                </c:pt>
                <c:pt idx="94">
                  <c:v>24488.000000062679</c:v>
                </c:pt>
                <c:pt idx="95">
                  <c:v>26817.400000070476</c:v>
                </c:pt>
                <c:pt idx="96">
                  <c:v>28075.000000072476</c:v>
                </c:pt>
                <c:pt idx="97">
                  <c:v>28678.000000073916</c:v>
                </c:pt>
                <c:pt idx="98">
                  <c:v>29619.400000076435</c:v>
                </c:pt>
                <c:pt idx="99">
                  <c:v>29970.400000076836</c:v>
                </c:pt>
                <c:pt idx="100">
                  <c:v>30345.000000078111</c:v>
                </c:pt>
                <c:pt idx="101">
                  <c:v>30702.000000078315</c:v>
                </c:pt>
                <c:pt idx="102">
                  <c:v>30746.500000078315</c:v>
                </c:pt>
                <c:pt idx="103">
                  <c:v>30880.000000080283</c:v>
                </c:pt>
                <c:pt idx="104">
                  <c:v>31242.000000080694</c:v>
                </c:pt>
                <c:pt idx="105">
                  <c:v>31913.80000008221</c:v>
                </c:pt>
                <c:pt idx="106">
                  <c:v>33282.60000008416</c:v>
                </c:pt>
                <c:pt idx="107">
                  <c:v>34110.000000086831</c:v>
                </c:pt>
                <c:pt idx="108">
                  <c:v>34299.00000008705</c:v>
                </c:pt>
                <c:pt idx="109">
                  <c:v>33958.600000085709</c:v>
                </c:pt>
                <c:pt idx="110">
                  <c:v>33826.00000008662</c:v>
                </c:pt>
                <c:pt idx="111">
                  <c:v>34394.000000086133</c:v>
                </c:pt>
                <c:pt idx="112">
                  <c:v>35160.000000088621</c:v>
                </c:pt>
                <c:pt idx="113">
                  <c:v>36717.000000092965</c:v>
                </c:pt>
                <c:pt idx="114">
                  <c:v>37809.000000094813</c:v>
                </c:pt>
                <c:pt idx="115">
                  <c:v>38210.000000095271</c:v>
                </c:pt>
                <c:pt idx="116">
                  <c:v>38270.000000095271</c:v>
                </c:pt>
                <c:pt idx="117">
                  <c:v>38511.000000097411</c:v>
                </c:pt>
                <c:pt idx="118">
                  <c:v>38887.400000097638</c:v>
                </c:pt>
                <c:pt idx="119">
                  <c:v>39131.200000097873</c:v>
                </c:pt>
                <c:pt idx="120">
                  <c:v>39477.000000098335</c:v>
                </c:pt>
                <c:pt idx="121">
                  <c:v>39631.000000099302</c:v>
                </c:pt>
                <c:pt idx="122">
                  <c:v>39426.000000098335</c:v>
                </c:pt>
                <c:pt idx="123">
                  <c:v>39274.000000098102</c:v>
                </c:pt>
                <c:pt idx="124">
                  <c:v>39651.600000099301</c:v>
                </c:pt>
                <c:pt idx="125">
                  <c:v>40312.40000010097</c:v>
                </c:pt>
                <c:pt idx="126">
                  <c:v>40727.400000101443</c:v>
                </c:pt>
                <c:pt idx="127">
                  <c:v>41324.500000102897</c:v>
                </c:pt>
                <c:pt idx="128">
                  <c:v>42455.000000104839</c:v>
                </c:pt>
                <c:pt idx="129">
                  <c:v>43416.000000106804</c:v>
                </c:pt>
                <c:pt idx="130">
                  <c:v>43855.800000108051</c:v>
                </c:pt>
                <c:pt idx="131">
                  <c:v>44062.000000108295</c:v>
                </c:pt>
                <c:pt idx="132">
                  <c:v>44483.200000108787</c:v>
                </c:pt>
                <c:pt idx="133">
                  <c:v>44862.60000011004</c:v>
                </c:pt>
                <c:pt idx="134">
                  <c:v>45311.000000111548</c:v>
                </c:pt>
                <c:pt idx="135" formatCode="0.0">
                  <c:v>45693.000000111802</c:v>
                </c:pt>
                <c:pt idx="136" formatCode="0.0">
                  <c:v>45803.000000111031</c:v>
                </c:pt>
                <c:pt idx="137" formatCode="0.0">
                  <c:v>45868.400000111033</c:v>
                </c:pt>
                <c:pt idx="138" formatCode="0.0">
                  <c:v>46133.000000112297</c:v>
                </c:pt>
                <c:pt idx="139" formatCode="0.0">
                  <c:v>46464.000000112552</c:v>
                </c:pt>
                <c:pt idx="140" formatCode="0.0">
                  <c:v>46906.000000113054</c:v>
                </c:pt>
                <c:pt idx="141">
                  <c:v>47306.200000115357</c:v>
                </c:pt>
                <c:pt idx="142">
                  <c:v>47908.00000011587</c:v>
                </c:pt>
                <c:pt idx="143">
                  <c:v>48356.000000117419</c:v>
                </c:pt>
                <c:pt idx="144">
                  <c:v>48581.000000117674</c:v>
                </c:pt>
                <c:pt idx="145">
                  <c:v>49088.000000116888</c:v>
                </c:pt>
                <c:pt idx="146">
                  <c:v>49325.400000119233</c:v>
                </c:pt>
                <c:pt idx="147">
                  <c:v>49405.200000119497</c:v>
                </c:pt>
                <c:pt idx="148">
                  <c:v>49325.400000119233</c:v>
                </c:pt>
                <c:pt idx="149">
                  <c:v>49314.000000119238</c:v>
                </c:pt>
                <c:pt idx="150">
                  <c:v>49393.800000119234</c:v>
                </c:pt>
                <c:pt idx="151">
                  <c:v>49428.000000119493</c:v>
                </c:pt>
                <c:pt idx="152">
                  <c:v>49416.600000119492</c:v>
                </c:pt>
                <c:pt idx="153">
                  <c:v>49359.600000119237</c:v>
                </c:pt>
                <c:pt idx="154">
                  <c:v>49268.400000119233</c:v>
                </c:pt>
                <c:pt idx="155">
                  <c:v>49302.600000119237</c:v>
                </c:pt>
                <c:pt idx="156">
                  <c:v>49485.000000118445</c:v>
                </c:pt>
                <c:pt idx="157">
                  <c:v>49485.000000118445</c:v>
                </c:pt>
                <c:pt idx="158">
                  <c:v>49496.300000118448</c:v>
                </c:pt>
                <c:pt idx="159">
                  <c:v>49462.200000119497</c:v>
                </c:pt>
                <c:pt idx="160">
                  <c:v>49382.400000119233</c:v>
                </c:pt>
                <c:pt idx="161">
                  <c:v>49257.000000119238</c:v>
                </c:pt>
                <c:pt idx="162">
                  <c:v>49155.300000118186</c:v>
                </c:pt>
                <c:pt idx="163">
                  <c:v>49359.600000119237</c:v>
                </c:pt>
                <c:pt idx="164">
                  <c:v>49405.200000119497</c:v>
                </c:pt>
                <c:pt idx="165">
                  <c:v>49485.000000118445</c:v>
                </c:pt>
                <c:pt idx="166">
                  <c:v>49666.400000119495</c:v>
                </c:pt>
                <c:pt idx="167">
                  <c:v>49677.800000119496</c:v>
                </c:pt>
                <c:pt idx="168">
                  <c:v>49666.400000119495</c:v>
                </c:pt>
                <c:pt idx="169">
                  <c:v>49348.200000119235</c:v>
                </c:pt>
                <c:pt idx="170">
                  <c:v>49257.000000119238</c:v>
                </c:pt>
                <c:pt idx="171">
                  <c:v>49032.000000116888</c:v>
                </c:pt>
                <c:pt idx="172">
                  <c:v>49088.000000116888</c:v>
                </c:pt>
                <c:pt idx="173">
                  <c:v>48863.000000116888</c:v>
                </c:pt>
                <c:pt idx="174">
                  <c:v>48547.40000011638</c:v>
                </c:pt>
                <c:pt idx="175">
                  <c:v>48255.200000116121</c:v>
                </c:pt>
                <c:pt idx="176">
                  <c:v>47941.600000115868</c:v>
                </c:pt>
                <c:pt idx="177">
                  <c:v>47685.000000115615</c:v>
                </c:pt>
                <c:pt idx="178">
                  <c:v>47574.000000114582</c:v>
                </c:pt>
                <c:pt idx="179">
                  <c:v>47618.400000114583</c:v>
                </c:pt>
                <c:pt idx="180">
                  <c:v>47551.600000115614</c:v>
                </c:pt>
                <c:pt idx="181">
                  <c:v>47540.400000115616</c:v>
                </c:pt>
                <c:pt idx="182">
                  <c:v>47518.000000115615</c:v>
                </c:pt>
                <c:pt idx="183">
                  <c:v>47439.800000114585</c:v>
                </c:pt>
                <c:pt idx="184">
                  <c:v>47384.30000011433</c:v>
                </c:pt>
                <c:pt idx="185">
                  <c:v>47295.00000011536</c:v>
                </c:pt>
                <c:pt idx="186">
                  <c:v>47172.400000114329</c:v>
                </c:pt>
                <c:pt idx="187">
                  <c:v>47083.200000115103</c:v>
                </c:pt>
                <c:pt idx="188">
                  <c:v>46961.000000113054</c:v>
                </c:pt>
                <c:pt idx="189">
                  <c:v>46806.100000113824</c:v>
                </c:pt>
                <c:pt idx="190">
                  <c:v>46629.500000113825</c:v>
                </c:pt>
                <c:pt idx="191">
                  <c:v>46464.000000112552</c:v>
                </c:pt>
                <c:pt idx="192">
                  <c:v>46320.70000011332</c:v>
                </c:pt>
                <c:pt idx="193">
                  <c:v>46199.000000112297</c:v>
                </c:pt>
                <c:pt idx="194">
                  <c:v>46055.300000113319</c:v>
                </c:pt>
                <c:pt idx="195">
                  <c:v>45879.300000111034</c:v>
                </c:pt>
                <c:pt idx="196">
                  <c:v>45704.000000111802</c:v>
                </c:pt>
                <c:pt idx="197">
                  <c:v>45529.500000110784</c:v>
                </c:pt>
                <c:pt idx="198">
                  <c:v>45366.000000110536</c:v>
                </c:pt>
                <c:pt idx="199">
                  <c:v>45256.000000111548</c:v>
                </c:pt>
                <c:pt idx="200">
                  <c:v>45103.40000011029</c:v>
                </c:pt>
                <c:pt idx="201">
                  <c:v>44972.0000001113</c:v>
                </c:pt>
                <c:pt idx="202">
                  <c:v>44808.200000109027</c:v>
                </c:pt>
                <c:pt idx="203">
                  <c:v>44928.000000111046</c:v>
                </c:pt>
                <c:pt idx="204">
                  <c:v>44994.0000001113</c:v>
                </c:pt>
                <c:pt idx="205">
                  <c:v>44917.10000011004</c:v>
                </c:pt>
                <c:pt idx="206">
                  <c:v>44808.200000109027</c:v>
                </c:pt>
                <c:pt idx="207">
                  <c:v>44689.400000109032</c:v>
                </c:pt>
                <c:pt idx="208">
                  <c:v>44494.000000109794</c:v>
                </c:pt>
                <c:pt idx="209">
                  <c:v>44299.600000108541</c:v>
                </c:pt>
                <c:pt idx="210">
                  <c:v>44062.000000108295</c:v>
                </c:pt>
                <c:pt idx="211">
                  <c:v>43791.000000108048</c:v>
                </c:pt>
                <c:pt idx="212">
                  <c:v>43523.000000106804</c:v>
                </c:pt>
                <c:pt idx="213">
                  <c:v>43309.000000106564</c:v>
                </c:pt>
                <c:pt idx="214">
                  <c:v>43030.800000106319</c:v>
                </c:pt>
                <c:pt idx="215">
                  <c:v>42774.000000106076</c:v>
                </c:pt>
                <c:pt idx="216">
                  <c:v>42508.000000104839</c:v>
                </c:pt>
                <c:pt idx="217">
                  <c:v>42243.000000104599</c:v>
                </c:pt>
                <c:pt idx="218">
                  <c:v>41956.800000104362</c:v>
                </c:pt>
                <c:pt idx="219">
                  <c:v>41660.000000104119</c:v>
                </c:pt>
                <c:pt idx="220">
                  <c:v>41293.000000102897</c:v>
                </c:pt>
                <c:pt idx="221">
                  <c:v>41031.500000102656</c:v>
                </c:pt>
                <c:pt idx="222">
                  <c:v>40717.000000101441</c:v>
                </c:pt>
                <c:pt idx="223">
                  <c:v>40477.600000100232</c:v>
                </c:pt>
                <c:pt idx="224">
                  <c:v>40498.200000100238</c:v>
                </c:pt>
                <c:pt idx="225">
                  <c:v>40270.800000100971</c:v>
                </c:pt>
                <c:pt idx="226">
                  <c:v>40044.000000099768</c:v>
                </c:pt>
                <c:pt idx="227">
                  <c:v>39734.000000100496</c:v>
                </c:pt>
                <c:pt idx="228">
                  <c:v>39375.500000097141</c:v>
                </c:pt>
                <c:pt idx="229">
                  <c:v>38867.000000097636</c:v>
                </c:pt>
                <c:pt idx="230">
                  <c:v>38724.20000009764</c:v>
                </c:pt>
                <c:pt idx="231" formatCode="0.0">
                  <c:v>38330.200000096222</c:v>
                </c:pt>
                <c:pt idx="232" formatCode="0.0">
                  <c:v>38020.000000095039</c:v>
                </c:pt>
                <c:pt idx="233" formatCode="0.0">
                  <c:v>37608.000000095533</c:v>
                </c:pt>
                <c:pt idx="234" formatCode="0.0">
                  <c:v>37310.000000093416</c:v>
                </c:pt>
                <c:pt idx="235" formatCode="0.0">
                  <c:v>36865.500000092965</c:v>
                </c:pt>
                <c:pt idx="236" formatCode="0.0">
                  <c:v>36499.600000090868</c:v>
                </c:pt>
                <c:pt idx="237" formatCode="0.0">
                  <c:v>36109.600000090424</c:v>
                </c:pt>
                <c:pt idx="238" formatCode="0.0">
                  <c:v>35690.500000090207</c:v>
                </c:pt>
                <c:pt idx="239" formatCode="0.0">
                  <c:v>35265.600000088838</c:v>
                </c:pt>
                <c:pt idx="240" formatCode="0.0">
                  <c:v>34871.000000088403</c:v>
                </c:pt>
                <c:pt idx="241" formatCode="0.0">
                  <c:v>34775.000000088403</c:v>
                </c:pt>
                <c:pt idx="242" formatCode="0.0">
                  <c:v>34583.000000088185</c:v>
                </c:pt>
                <c:pt idx="243" formatCode="0.0">
                  <c:v>34327.50000008705</c:v>
                </c:pt>
                <c:pt idx="244" formatCode="0.0">
                  <c:v>34062.500000086831</c:v>
                </c:pt>
                <c:pt idx="245" formatCode="0.0">
                  <c:v>33986.800000085706</c:v>
                </c:pt>
                <c:pt idx="246" formatCode="0.0">
                  <c:v>33779.000000085704</c:v>
                </c:pt>
                <c:pt idx="247" formatCode="0.0">
                  <c:v>33450.000000085281</c:v>
                </c:pt>
                <c:pt idx="248" formatCode="0.0">
                  <c:v>33264.000000084161</c:v>
                </c:pt>
                <c:pt idx="249" formatCode="0.0">
                  <c:v>32937.50000008395</c:v>
                </c:pt>
                <c:pt idx="250">
                  <c:v>32612.000000082837</c:v>
                </c:pt>
                <c:pt idx="251">
                  <c:v>32281.400000081521</c:v>
                </c:pt>
                <c:pt idx="252">
                  <c:v>31895.400000082001</c:v>
                </c:pt>
                <c:pt idx="253">
                  <c:v>31477.600000080904</c:v>
                </c:pt>
                <c:pt idx="254">
                  <c:v>31061.000000080487</c:v>
                </c:pt>
                <c:pt idx="255">
                  <c:v>30612.000000079195</c:v>
                </c:pt>
                <c:pt idx="256">
                  <c:v>30202.000000078784</c:v>
                </c:pt>
                <c:pt idx="257">
                  <c:v>29777.200000075762</c:v>
                </c:pt>
                <c:pt idx="258">
                  <c:v>29355.600000075367</c:v>
                </c:pt>
                <c:pt idx="259">
                  <c:v>28919.800000074109</c:v>
                </c:pt>
                <c:pt idx="260">
                  <c:v>28478.900000074576</c:v>
                </c:pt>
                <c:pt idx="261">
                  <c:v>27989.000000073327</c:v>
                </c:pt>
                <c:pt idx="262">
                  <c:v>27393.000000071894</c:v>
                </c:pt>
                <c:pt idx="263">
                  <c:v>26825.800000070478</c:v>
                </c:pt>
                <c:pt idx="264">
                  <c:v>26241.200000068238</c:v>
                </c:pt>
                <c:pt idx="265">
                  <c:v>25626.000000066029</c:v>
                </c:pt>
                <c:pt idx="266">
                  <c:v>24983.600000064664</c:v>
                </c:pt>
                <c:pt idx="267">
                  <c:v>24301.800000063315</c:v>
                </c:pt>
                <c:pt idx="268">
                  <c:v>23651.000000060198</c:v>
                </c:pt>
                <c:pt idx="269">
                  <c:v>22986.000000058095</c:v>
                </c:pt>
                <c:pt idx="270">
                  <c:v>22246.600000056642</c:v>
                </c:pt>
                <c:pt idx="271">
                  <c:v>21584.50000005521</c:v>
                </c:pt>
                <c:pt idx="272">
                  <c:v>21039.300000053187</c:v>
                </c:pt>
                <c:pt idx="273">
                  <c:v>20430.800000050273</c:v>
                </c:pt>
                <c:pt idx="274">
                  <c:v>19771.50000004892</c:v>
                </c:pt>
                <c:pt idx="275">
                  <c:v>19131.000000046843</c:v>
                </c:pt>
                <c:pt idx="276">
                  <c:v>18500.000000045533</c:v>
                </c:pt>
                <c:pt idx="277">
                  <c:v>17867.000000043518</c:v>
                </c:pt>
                <c:pt idx="278">
                  <c:v>17220.100000042257</c:v>
                </c:pt>
                <c:pt idx="279">
                  <c:v>16524.000000040884</c:v>
                </c:pt>
                <c:pt idx="280">
                  <c:v>15746.800000038835</c:v>
                </c:pt>
                <c:pt idx="281">
                  <c:v>14994.500000036032</c:v>
                </c:pt>
                <c:pt idx="282">
                  <c:v>14180.000000034643</c:v>
                </c:pt>
                <c:pt idx="283">
                  <c:v>13624.000000032742</c:v>
                </c:pt>
                <c:pt idx="284">
                  <c:v>13105.200000030996</c:v>
                </c:pt>
                <c:pt idx="285">
                  <c:v>12499.500000028547</c:v>
                </c:pt>
                <c:pt idx="286">
                  <c:v>11812.800000027311</c:v>
                </c:pt>
                <c:pt idx="287">
                  <c:v>11103.000000025402</c:v>
                </c:pt>
                <c:pt idx="288">
                  <c:v>10486.300000024237</c:v>
                </c:pt>
                <c:pt idx="289">
                  <c:v>9935.0000000219461</c:v>
                </c:pt>
                <c:pt idx="290">
                  <c:v>9822.0000000218606</c:v>
                </c:pt>
                <c:pt idx="291">
                  <c:v>9438.2000000209482</c:v>
                </c:pt>
                <c:pt idx="292">
                  <c:v>8845.200000018709</c:v>
                </c:pt>
                <c:pt idx="293">
                  <c:v>8087.000000016953</c:v>
                </c:pt>
                <c:pt idx="294">
                  <c:v>7927.0000000168075</c:v>
                </c:pt>
                <c:pt idx="295">
                  <c:v>8370.1000000177828</c:v>
                </c:pt>
                <c:pt idx="296">
                  <c:v>8216.0000000176333</c:v>
                </c:pt>
                <c:pt idx="297">
                  <c:v>7129.0000000150749</c:v>
                </c:pt>
                <c:pt idx="298">
                  <c:v>6394.6000000134336</c:v>
                </c:pt>
                <c:pt idx="299">
                  <c:v>5959.0000000125237</c:v>
                </c:pt>
                <c:pt idx="300">
                  <c:v>4687.0000000105156</c:v>
                </c:pt>
                <c:pt idx="301">
                  <c:v>3497.0000000082036</c:v>
                </c:pt>
                <c:pt idx="302">
                  <c:v>2168.0000000052955</c:v>
                </c:pt>
                <c:pt idx="303">
                  <c:v>1640.0000000042292</c:v>
                </c:pt>
                <c:pt idx="304">
                  <c:v>1717.0000000042974</c:v>
                </c:pt>
                <c:pt idx="305">
                  <c:v>1444.000000003788</c:v>
                </c:pt>
                <c:pt idx="306">
                  <c:v>1547.5000000041268</c:v>
                </c:pt>
                <c:pt idx="307">
                  <c:v>2758.0000000068212</c:v>
                </c:pt>
                <c:pt idx="308">
                  <c:v>2971.2000000073531</c:v>
                </c:pt>
                <c:pt idx="309">
                  <c:v>2543.6000000059753</c:v>
                </c:pt>
                <c:pt idx="310">
                  <c:v>2341.0000000054501</c:v>
                </c:pt>
                <c:pt idx="311">
                  <c:v>2001.0000000048385</c:v>
                </c:pt>
                <c:pt idx="312">
                  <c:v>2042.0000000048749</c:v>
                </c:pt>
                <c:pt idx="313">
                  <c:v>2202.0000000053342</c:v>
                </c:pt>
                <c:pt idx="314">
                  <c:v>1608.000000004195</c:v>
                </c:pt>
                <c:pt idx="315">
                  <c:v>903.2000000027831</c:v>
                </c:pt>
                <c:pt idx="316">
                  <c:v>784.00000000267391</c:v>
                </c:pt>
                <c:pt idx="317">
                  <c:v>1011.0000000031332</c:v>
                </c:pt>
                <c:pt idx="318">
                  <c:v>1024.0000000028922</c:v>
                </c:pt>
                <c:pt idx="319">
                  <c:v>927.10000000257617</c:v>
                </c:pt>
                <c:pt idx="320">
                  <c:v>716.00000000240107</c:v>
                </c:pt>
                <c:pt idx="321">
                  <c:v>619.00000000230102</c:v>
                </c:pt>
                <c:pt idx="322">
                  <c:v>641.00000000211458</c:v>
                </c:pt>
                <c:pt idx="323">
                  <c:v>674.10000000235107</c:v>
                </c:pt>
                <c:pt idx="324">
                  <c:v>999.00000000286491</c:v>
                </c:pt>
                <c:pt idx="325">
                  <c:v>1625.0000000042292</c:v>
                </c:pt>
                <c:pt idx="326">
                  <c:v>2496.6000000059344</c:v>
                </c:pt>
                <c:pt idx="327">
                  <c:v>2195.200000005334</c:v>
                </c:pt>
                <c:pt idx="328">
                  <c:v>8025.3000000174079</c:v>
                </c:pt>
                <c:pt idx="329">
                  <c:v>11673.000000026594</c:v>
                </c:pt>
                <c:pt idx="330">
                  <c:v>6574.0000000140444</c:v>
                </c:pt>
                <c:pt idx="331">
                  <c:v>2287.0000000057298</c:v>
                </c:pt>
                <c:pt idx="332">
                  <c:v>727.00000000261934</c:v>
                </c:pt>
                <c:pt idx="333">
                  <c:v>900.80000000278301</c:v>
                </c:pt>
                <c:pt idx="334">
                  <c:v>996.40000000310363</c:v>
                </c:pt>
                <c:pt idx="335">
                  <c:v>1027.6000000028921</c:v>
                </c:pt>
                <c:pt idx="336">
                  <c:v>904.40000000278303</c:v>
                </c:pt>
                <c:pt idx="337">
                  <c:v>764.20000000242612</c:v>
                </c:pt>
                <c:pt idx="338">
                  <c:v>750.00000000264663</c:v>
                </c:pt>
                <c:pt idx="339">
                  <c:v>1086.0000000031923</c:v>
                </c:pt>
                <c:pt idx="340">
                  <c:v>1311.0000000036607</c:v>
                </c:pt>
                <c:pt idx="341">
                  <c:v>1227.2000000035653</c:v>
                </c:pt>
                <c:pt idx="342">
                  <c:v>1112.0000000032219</c:v>
                </c:pt>
                <c:pt idx="343">
                  <c:v>1055.0000000029195</c:v>
                </c:pt>
                <c:pt idx="344">
                  <c:v>966.20000000307414</c:v>
                </c:pt>
                <c:pt idx="345">
                  <c:v>1125.0000000032219</c:v>
                </c:pt>
                <c:pt idx="346">
                  <c:v>1465.000000003788</c:v>
                </c:pt>
                <c:pt idx="347">
                  <c:v>1626.5000000042292</c:v>
                </c:pt>
                <c:pt idx="348">
                  <c:v>1508.0000000040927</c:v>
                </c:pt>
                <c:pt idx="349">
                  <c:v>1152.3000000032514</c:v>
                </c:pt>
                <c:pt idx="350">
                  <c:v>882.80000000275572</c:v>
                </c:pt>
                <c:pt idx="351">
                  <c:v>739.00000000240107</c:v>
                </c:pt>
                <c:pt idx="352">
                  <c:v>727.00000000261934</c:v>
                </c:pt>
                <c:pt idx="353">
                  <c:v>999.00000000286491</c:v>
                </c:pt>
                <c:pt idx="354">
                  <c:v>4080.1000000091517</c:v>
                </c:pt>
                <c:pt idx="355">
                  <c:v>3503.6000000082536</c:v>
                </c:pt>
                <c:pt idx="356">
                  <c:v>5281.0000000114687</c:v>
                </c:pt>
                <c:pt idx="357">
                  <c:v>10436.000000022465</c:v>
                </c:pt>
                <c:pt idx="358">
                  <c:v>9900.8000000219454</c:v>
                </c:pt>
                <c:pt idx="359">
                  <c:v>8055.000000016953</c:v>
                </c:pt>
                <c:pt idx="360">
                  <c:v>6347.0000000133696</c:v>
                </c:pt>
                <c:pt idx="361">
                  <c:v>5244.6000000114691</c:v>
                </c:pt>
                <c:pt idx="362">
                  <c:v>4687.0000000105156</c:v>
                </c:pt>
                <c:pt idx="363">
                  <c:v>2710.0000000064369</c:v>
                </c:pt>
                <c:pt idx="364">
                  <c:v>2540.0000000059754</c:v>
                </c:pt>
              </c:numCache>
            </c:numRef>
          </c:val>
          <c:smooth val="0"/>
        </c:ser>
        <c:ser>
          <c:idx val="2"/>
          <c:order val="4"/>
          <c:tx>
            <c:v>2013</c:v>
          </c:tx>
          <c:spPr>
            <a:ln w="19050">
              <a:prstDash val="dash"/>
            </a:ln>
          </c:spPr>
          <c:marker>
            <c:symbol val="none"/>
          </c:marker>
          <c:val>
            <c:numRef>
              <c:f>Summary!$AL$9:$AL$373</c:f>
              <c:numCache>
                <c:formatCode>0.00</c:formatCode>
                <c:ptCount val="365"/>
                <c:pt idx="0">
                  <c:v>928.20000000257619</c:v>
                </c:pt>
                <c:pt idx="1">
                  <c:v>763.1000000024261</c:v>
                </c:pt>
                <c:pt idx="2">
                  <c:v>653.20000000232608</c:v>
                </c:pt>
                <c:pt idx="3">
                  <c:v>701.60000000237608</c:v>
                </c:pt>
                <c:pt idx="4">
                  <c:v>807.0000000027012</c:v>
                </c:pt>
                <c:pt idx="5">
                  <c:v>887.60000000278308</c:v>
                </c:pt>
                <c:pt idx="6">
                  <c:v>1230.0000000033106</c:v>
                </c:pt>
                <c:pt idx="7">
                  <c:v>1299.3000000033696</c:v>
                </c:pt>
                <c:pt idx="8">
                  <c:v>1417.4000000037563</c:v>
                </c:pt>
                <c:pt idx="9">
                  <c:v>1088.6000000031922</c:v>
                </c:pt>
                <c:pt idx="10">
                  <c:v>1034.8000000028921</c:v>
                </c:pt>
                <c:pt idx="11">
                  <c:v>1110.7000000032219</c:v>
                </c:pt>
                <c:pt idx="12">
                  <c:v>947.80000000283758</c:v>
                </c:pt>
                <c:pt idx="13">
                  <c:v>722.60000000240109</c:v>
                </c:pt>
                <c:pt idx="14">
                  <c:v>659.800000002351</c:v>
                </c:pt>
                <c:pt idx="15">
                  <c:v>650.00000000211458</c:v>
                </c:pt>
                <c:pt idx="16">
                  <c:v>648.00000000211458</c:v>
                </c:pt>
                <c:pt idx="17">
                  <c:v>775.20000000245113</c:v>
                </c:pt>
                <c:pt idx="18">
                  <c:v>953.80000000283758</c:v>
                </c:pt>
                <c:pt idx="19">
                  <c:v>1158.8000000032514</c:v>
                </c:pt>
                <c:pt idx="20">
                  <c:v>1460.800000003788</c:v>
                </c:pt>
                <c:pt idx="21">
                  <c:v>1407.5000000040245</c:v>
                </c:pt>
                <c:pt idx="22">
                  <c:v>1045.1000000031627</c:v>
                </c:pt>
                <c:pt idx="23">
                  <c:v>857.60000000275579</c:v>
                </c:pt>
                <c:pt idx="24">
                  <c:v>974.00000000283762</c:v>
                </c:pt>
                <c:pt idx="25">
                  <c:v>1151.0000000032514</c:v>
                </c:pt>
                <c:pt idx="26">
                  <c:v>1339.0000000034288</c:v>
                </c:pt>
                <c:pt idx="27">
                  <c:v>1047.7000000031628</c:v>
                </c:pt>
                <c:pt idx="28">
                  <c:v>892.40000000278303</c:v>
                </c:pt>
                <c:pt idx="29">
                  <c:v>1374.4000000037245</c:v>
                </c:pt>
                <c:pt idx="30">
                  <c:v>1518.5000000041268</c:v>
                </c:pt>
                <c:pt idx="31">
                  <c:v>1971.2000000048022</c:v>
                </c:pt>
                <c:pt idx="32">
                  <c:v>2028.9000000051797</c:v>
                </c:pt>
                <c:pt idx="33">
                  <c:v>1565.5000000041609</c:v>
                </c:pt>
                <c:pt idx="34">
                  <c:v>1071.4000000031924</c:v>
                </c:pt>
                <c:pt idx="35">
                  <c:v>890.00000000278305</c:v>
                </c:pt>
                <c:pt idx="36">
                  <c:v>910.40000000278303</c:v>
                </c:pt>
                <c:pt idx="37">
                  <c:v>888.80000000278301</c:v>
                </c:pt>
                <c:pt idx="38">
                  <c:v>1101.6000000031922</c:v>
                </c:pt>
                <c:pt idx="39">
                  <c:v>1307.1000000033991</c:v>
                </c:pt>
                <c:pt idx="40">
                  <c:v>1190.000000003281</c:v>
                </c:pt>
                <c:pt idx="41">
                  <c:v>825.60000000247612</c:v>
                </c:pt>
                <c:pt idx="42">
                  <c:v>673.00000000235104</c:v>
                </c:pt>
                <c:pt idx="43">
                  <c:v>1062.3000000031627</c:v>
                </c:pt>
                <c:pt idx="44">
                  <c:v>1099.0000000031923</c:v>
                </c:pt>
                <c:pt idx="45">
                  <c:v>1139.3000000032514</c:v>
                </c:pt>
                <c:pt idx="46">
                  <c:v>1323.6000000036606</c:v>
                </c:pt>
                <c:pt idx="47">
                  <c:v>1421.6000000037561</c:v>
                </c:pt>
                <c:pt idx="48">
                  <c:v>1277.5000000033697</c:v>
                </c:pt>
                <c:pt idx="49">
                  <c:v>1170.500000003281</c:v>
                </c:pt>
                <c:pt idx="50">
                  <c:v>1224.4000000035653</c:v>
                </c:pt>
                <c:pt idx="51">
                  <c:v>1252.800000003597</c:v>
                </c:pt>
                <c:pt idx="52">
                  <c:v>1318.4200000036512</c:v>
                </c:pt>
                <c:pt idx="53">
                  <c:v>1368.8000000036925</c:v>
                </c:pt>
                <c:pt idx="54">
                  <c:v>1437.0000000037562</c:v>
                </c:pt>
                <c:pt idx="55">
                  <c:v>1556.5000000041609</c:v>
                </c:pt>
                <c:pt idx="56">
                  <c:v>1712.2000000045839</c:v>
                </c:pt>
                <c:pt idx="57">
                  <c:v>1961.2000000051023</c:v>
                </c:pt>
                <c:pt idx="58">
                  <c:v>2381.4000000058118</c:v>
                </c:pt>
                <c:pt idx="59">
                  <c:v>3692.6000000084036</c:v>
                </c:pt>
                <c:pt idx="60">
                  <c:v>4439.0000000102882</c:v>
                </c:pt>
                <c:pt idx="61">
                  <c:v>4504.5000000103455</c:v>
                </c:pt>
                <c:pt idx="62">
                  <c:v>4419.0000000102318</c:v>
                </c:pt>
                <c:pt idx="63">
                  <c:v>4441.5000000102882</c:v>
                </c:pt>
                <c:pt idx="64">
                  <c:v>4431.5000000102882</c:v>
                </c:pt>
                <c:pt idx="65">
                  <c:v>4729.5000000105156</c:v>
                </c:pt>
                <c:pt idx="66">
                  <c:v>5119.0000000109139</c:v>
                </c:pt>
                <c:pt idx="67">
                  <c:v>5535.200000011705</c:v>
                </c:pt>
                <c:pt idx="68">
                  <c:v>5802.4000000124006</c:v>
                </c:pt>
                <c:pt idx="69">
                  <c:v>6071.7000000126463</c:v>
                </c:pt>
                <c:pt idx="70">
                  <c:v>6640.4000000136239</c:v>
                </c:pt>
                <c:pt idx="71">
                  <c:v>8051.700000017483</c:v>
                </c:pt>
                <c:pt idx="72">
                  <c:v>9010.0000000194177</c:v>
                </c:pt>
                <c:pt idx="73">
                  <c:v>9758.1000000212844</c:v>
                </c:pt>
                <c:pt idx="74">
                  <c:v>10983.200000025307</c:v>
                </c:pt>
                <c:pt idx="75">
                  <c:v>10607.000000023738</c:v>
                </c:pt>
                <c:pt idx="76">
                  <c:v>10311.200000022878</c:v>
                </c:pt>
                <c:pt idx="77">
                  <c:v>10070.800000022118</c:v>
                </c:pt>
                <c:pt idx="78">
                  <c:v>10070.800000022118</c:v>
                </c:pt>
                <c:pt idx="79">
                  <c:v>10607.000000023738</c:v>
                </c:pt>
                <c:pt idx="80">
                  <c:v>11210.200000025498</c:v>
                </c:pt>
                <c:pt idx="81">
                  <c:v>11804.000000027312</c:v>
                </c:pt>
                <c:pt idx="82">
                  <c:v>12003.000000027512</c:v>
                </c:pt>
                <c:pt idx="83">
                  <c:v>12203.000000028867</c:v>
                </c:pt>
                <c:pt idx="84">
                  <c:v>12449.400000029182</c:v>
                </c:pt>
                <c:pt idx="85">
                  <c:v>12689.200000030029</c:v>
                </c:pt>
                <c:pt idx="86">
                  <c:v>12878.200000030136</c:v>
                </c:pt>
                <c:pt idx="87">
                  <c:v>13138.900000031641</c:v>
                </c:pt>
                <c:pt idx="88">
                  <c:v>13563.200000032088</c:v>
                </c:pt>
                <c:pt idx="89">
                  <c:v>14485.800000034878</c:v>
                </c:pt>
                <c:pt idx="90">
                  <c:v>15297.400000036958</c:v>
                </c:pt>
                <c:pt idx="91">
                  <c:v>15592.000000037202</c:v>
                </c:pt>
                <c:pt idx="92">
                  <c:v>15592.000000037202</c:v>
                </c:pt>
                <c:pt idx="93">
                  <c:v>15537.500000037891</c:v>
                </c:pt>
                <c:pt idx="94">
                  <c:v>16111.800000039089</c:v>
                </c:pt>
                <c:pt idx="95">
                  <c:v>17060.800000042123</c:v>
                </c:pt>
                <c:pt idx="96">
                  <c:v>17975.500000044383</c:v>
                </c:pt>
                <c:pt idx="97">
                  <c:v>18345.50000004466</c:v>
                </c:pt>
                <c:pt idx="98">
                  <c:v>18475.200000045534</c:v>
                </c:pt>
                <c:pt idx="99">
                  <c:v>19322.000000049222</c:v>
                </c:pt>
                <c:pt idx="100">
                  <c:v>21046.200000053184</c:v>
                </c:pt>
                <c:pt idx="101">
                  <c:v>21817.000000054592</c:v>
                </c:pt>
                <c:pt idx="102">
                  <c:v>21880.700000055371</c:v>
                </c:pt>
                <c:pt idx="103">
                  <c:v>21944.600000055532</c:v>
                </c:pt>
                <c:pt idx="104">
                  <c:v>22304.200000056644</c:v>
                </c:pt>
                <c:pt idx="105">
                  <c:v>23139.300000058094</c:v>
                </c:pt>
                <c:pt idx="106">
                  <c:v>23703.500000060198</c:v>
                </c:pt>
                <c:pt idx="107">
                  <c:v>24371.500000062504</c:v>
                </c:pt>
                <c:pt idx="108">
                  <c:v>28245.000000074378</c:v>
                </c:pt>
                <c:pt idx="109">
                  <c:v>28357.800000073719</c:v>
                </c:pt>
                <c:pt idx="110">
                  <c:v>28738.200000073914</c:v>
                </c:pt>
                <c:pt idx="111">
                  <c:v>28721.000000073916</c:v>
                </c:pt>
                <c:pt idx="112">
                  <c:v>28937.000000074971</c:v>
                </c:pt>
                <c:pt idx="113">
                  <c:v>29461.000000076434</c:v>
                </c:pt>
                <c:pt idx="114">
                  <c:v>29856.000000076634</c:v>
                </c:pt>
                <c:pt idx="115">
                  <c:v>30282.700000077908</c:v>
                </c:pt>
                <c:pt idx="116">
                  <c:v>30835.500000078515</c:v>
                </c:pt>
                <c:pt idx="117">
                  <c:v>31722.000000080217</c:v>
                </c:pt>
                <c:pt idx="118">
                  <c:v>32372.800000082629</c:v>
                </c:pt>
                <c:pt idx="119">
                  <c:v>32418.800000082629</c:v>
                </c:pt>
                <c:pt idx="120">
                  <c:v>32974.700000083947</c:v>
                </c:pt>
                <c:pt idx="121">
                  <c:v>33440.700000084369</c:v>
                </c:pt>
                <c:pt idx="122">
                  <c:v>33684.500000086402</c:v>
                </c:pt>
                <c:pt idx="123">
                  <c:v>34015.000000086831</c:v>
                </c:pt>
                <c:pt idx="124">
                  <c:v>34803.800000088406</c:v>
                </c:pt>
                <c:pt idx="125">
                  <c:v>35034.900000089547</c:v>
                </c:pt>
                <c:pt idx="126">
                  <c:v>35352.000000088839</c:v>
                </c:pt>
                <c:pt idx="127">
                  <c:v>35856.400000090209</c:v>
                </c:pt>
                <c:pt idx="128">
                  <c:v>36236.700000090648</c:v>
                </c:pt>
                <c:pt idx="129">
                  <c:v>36627.900000092741</c:v>
                </c:pt>
                <c:pt idx="130">
                  <c:v>36855.600000092963</c:v>
                </c:pt>
                <c:pt idx="131">
                  <c:v>37131.800000093193</c:v>
                </c:pt>
                <c:pt idx="132">
                  <c:v>37468.400000093643</c:v>
                </c:pt>
                <c:pt idx="133">
                  <c:v>37869.000000094813</c:v>
                </c:pt>
                <c:pt idx="134">
                  <c:v>38270.000000095271</c:v>
                </c:pt>
                <c:pt idx="135">
                  <c:v>38938.40000009787</c:v>
                </c:pt>
                <c:pt idx="136">
                  <c:v>39682.500000099535</c:v>
                </c:pt>
                <c:pt idx="137">
                  <c:v>40002.800000099764</c:v>
                </c:pt>
                <c:pt idx="138">
                  <c:v>40405.500000100001</c:v>
                </c:pt>
                <c:pt idx="139">
                  <c:v>41021.000000102656</c:v>
                </c:pt>
                <c:pt idx="140">
                  <c:v>41819.000000104359</c:v>
                </c:pt>
                <c:pt idx="141">
                  <c:v>42720.500000106076</c:v>
                </c:pt>
                <c:pt idx="142">
                  <c:v>43330.400000106558</c:v>
                </c:pt>
                <c:pt idx="143">
                  <c:v>44029.300000109295</c:v>
                </c:pt>
                <c:pt idx="144">
                  <c:v>44732.600000109029</c:v>
                </c:pt>
                <c:pt idx="145">
                  <c:v>45464.100000110535</c:v>
                </c:pt>
                <c:pt idx="146">
                  <c:v>46298.500000113323</c:v>
                </c:pt>
                <c:pt idx="147">
                  <c:v>47128.00000011408</c:v>
                </c:pt>
                <c:pt idx="148">
                  <c:v>47930.400000115871</c:v>
                </c:pt>
                <c:pt idx="149">
                  <c:v>48829.400000116635</c:v>
                </c:pt>
                <c:pt idx="150">
                  <c:v>49359.600000119237</c:v>
                </c:pt>
                <c:pt idx="151">
                  <c:v>49279.800000119234</c:v>
                </c:pt>
                <c:pt idx="152">
                  <c:v>49020.700000117933</c:v>
                </c:pt>
                <c:pt idx="153">
                  <c:v>48930.300000117932</c:v>
                </c:pt>
                <c:pt idx="154">
                  <c:v>49155.300000118186</c:v>
                </c:pt>
                <c:pt idx="155">
                  <c:v>49382.400000119233</c:v>
                </c:pt>
                <c:pt idx="156">
                  <c:v>49518.900000118447</c:v>
                </c:pt>
                <c:pt idx="157">
                  <c:v>49598.000000119493</c:v>
                </c:pt>
                <c:pt idx="158">
                  <c:v>49586.700000118442</c:v>
                </c:pt>
                <c:pt idx="159">
                  <c:v>49462.200000119497</c:v>
                </c:pt>
                <c:pt idx="160">
                  <c:v>49359.600000119237</c:v>
                </c:pt>
                <c:pt idx="161">
                  <c:v>49336.800000119234</c:v>
                </c:pt>
                <c:pt idx="162">
                  <c:v>49291.200000119235</c:v>
                </c:pt>
                <c:pt idx="163">
                  <c:v>49211.800000118186</c:v>
                </c:pt>
                <c:pt idx="164">
                  <c:v>49268.400000119233</c:v>
                </c:pt>
                <c:pt idx="165">
                  <c:v>49200.500000118191</c:v>
                </c:pt>
                <c:pt idx="166">
                  <c:v>49020.700000117933</c:v>
                </c:pt>
                <c:pt idx="167">
                  <c:v>48851.800000116891</c:v>
                </c:pt>
                <c:pt idx="168">
                  <c:v>48682.700000117678</c:v>
                </c:pt>
                <c:pt idx="169">
                  <c:v>48469.000000116379</c:v>
                </c:pt>
                <c:pt idx="170">
                  <c:v>48389.900000117421</c:v>
                </c:pt>
                <c:pt idx="171">
                  <c:v>48525.000000116379</c:v>
                </c:pt>
                <c:pt idx="172">
                  <c:v>48389.900000117421</c:v>
                </c:pt>
                <c:pt idx="173">
                  <c:v>48232.700000117162</c:v>
                </c:pt>
                <c:pt idx="174">
                  <c:v>48198.80000011716</c:v>
                </c:pt>
                <c:pt idx="175">
                  <c:v>48131.000000117157</c:v>
                </c:pt>
                <c:pt idx="176">
                  <c:v>48097.700000115088</c:v>
                </c:pt>
                <c:pt idx="177">
                  <c:v>48008.800000116127</c:v>
                </c:pt>
                <c:pt idx="178">
                  <c:v>47785.800000115873</c:v>
                </c:pt>
                <c:pt idx="179">
                  <c:v>47428.700000114331</c:v>
                </c:pt>
                <c:pt idx="180">
                  <c:v>47016.000000115106</c:v>
                </c:pt>
                <c:pt idx="181">
                  <c:v>46541.000000112552</c:v>
                </c:pt>
                <c:pt idx="182">
                  <c:v>46033.100000113067</c:v>
                </c:pt>
                <c:pt idx="183">
                  <c:v>45573.100000110782</c:v>
                </c:pt>
                <c:pt idx="184">
                  <c:v>45081.600000110288</c:v>
                </c:pt>
                <c:pt idx="185">
                  <c:v>44624.600000108781</c:v>
                </c:pt>
                <c:pt idx="186">
                  <c:v>44202.400000108537</c:v>
                </c:pt>
                <c:pt idx="187">
                  <c:v>43737.000000108048</c:v>
                </c:pt>
                <c:pt idx="188">
                  <c:v>43373.200000106801</c:v>
                </c:pt>
                <c:pt idx="189">
                  <c:v>43169.900000106558</c:v>
                </c:pt>
                <c:pt idx="190">
                  <c:v>43020.100000106315</c:v>
                </c:pt>
                <c:pt idx="191">
                  <c:v>42891.700000106321</c:v>
                </c:pt>
                <c:pt idx="192">
                  <c:v>42774.000000106076</c:v>
                </c:pt>
                <c:pt idx="193">
                  <c:v>42645.800000105082</c:v>
                </c:pt>
                <c:pt idx="194">
                  <c:v>42497.400000104841</c:v>
                </c:pt>
                <c:pt idx="195">
                  <c:v>42338.400000104841</c:v>
                </c:pt>
                <c:pt idx="196">
                  <c:v>42179.400000104601</c:v>
                </c:pt>
                <c:pt idx="197">
                  <c:v>42031.000000104599</c:v>
                </c:pt>
                <c:pt idx="198">
                  <c:v>41861.400000104361</c:v>
                </c:pt>
                <c:pt idx="199">
                  <c:v>41723.600000104117</c:v>
                </c:pt>
                <c:pt idx="200">
                  <c:v>41586.000000103137</c:v>
                </c:pt>
                <c:pt idx="201">
                  <c:v>41429.200000101919</c:v>
                </c:pt>
                <c:pt idx="202">
                  <c:v>41282.500000102897</c:v>
                </c:pt>
                <c:pt idx="203">
                  <c:v>41146.400000101683</c:v>
                </c:pt>
                <c:pt idx="204">
                  <c:v>40989.500000102656</c:v>
                </c:pt>
                <c:pt idx="205">
                  <c:v>40853.000000102424</c:v>
                </c:pt>
                <c:pt idx="206">
                  <c:v>40665.000000101209</c:v>
                </c:pt>
                <c:pt idx="207">
                  <c:v>40457.000000100234</c:v>
                </c:pt>
                <c:pt idx="208">
                  <c:v>40239.700000099998</c:v>
                </c:pt>
                <c:pt idx="209">
                  <c:v>40033.700000099765</c:v>
                </c:pt>
                <c:pt idx="210">
                  <c:v>39858.600000099534</c:v>
                </c:pt>
                <c:pt idx="211">
                  <c:v>39661.900000099529</c:v>
                </c:pt>
                <c:pt idx="212">
                  <c:v>39466.800000098337</c:v>
                </c:pt>
                <c:pt idx="213">
                  <c:v>39274.000000098102</c:v>
                </c:pt>
                <c:pt idx="214">
                  <c:v>39080.600000096914</c:v>
                </c:pt>
                <c:pt idx="215">
                  <c:v>38897.600000097867</c:v>
                </c:pt>
                <c:pt idx="216">
                  <c:v>38683.70000009668</c:v>
                </c:pt>
                <c:pt idx="217">
                  <c:v>38441.000000095497</c:v>
                </c:pt>
                <c:pt idx="218">
                  <c:v>38210.000000095271</c:v>
                </c:pt>
                <c:pt idx="219">
                  <c:v>37919.10000009599</c:v>
                </c:pt>
                <c:pt idx="220">
                  <c:v>37638.300000095762</c:v>
                </c:pt>
                <c:pt idx="221">
                  <c:v>37379.300000093419</c:v>
                </c:pt>
                <c:pt idx="222">
                  <c:v>37121.900000093192</c:v>
                </c:pt>
                <c:pt idx="223">
                  <c:v>36895.200000093195</c:v>
                </c:pt>
                <c:pt idx="224">
                  <c:v>36618.000000092739</c:v>
                </c:pt>
                <c:pt idx="225">
                  <c:v>36333.800000091578</c:v>
                </c:pt>
                <c:pt idx="226">
                  <c:v>36061.100000090424</c:v>
                </c:pt>
                <c:pt idx="227">
                  <c:v>35778.200000091136</c:v>
                </c:pt>
                <c:pt idx="228">
                  <c:v>35476.800000089061</c:v>
                </c:pt>
                <c:pt idx="229">
                  <c:v>35169.60000008862</c:v>
                </c:pt>
                <c:pt idx="230">
                  <c:v>34851.800000088406</c:v>
                </c:pt>
                <c:pt idx="231">
                  <c:v>34526.000000087268</c:v>
                </c:pt>
                <c:pt idx="232">
                  <c:v>34214.400000085923</c:v>
                </c:pt>
                <c:pt idx="233">
                  <c:v>33873.50000008662</c:v>
                </c:pt>
                <c:pt idx="234">
                  <c:v>33515.800000085277</c:v>
                </c:pt>
                <c:pt idx="235">
                  <c:v>33152.200000085068</c:v>
                </c:pt>
                <c:pt idx="236">
                  <c:v>32787.700000083736</c:v>
                </c:pt>
                <c:pt idx="237">
                  <c:v>32437.200000082627</c:v>
                </c:pt>
                <c:pt idx="238">
                  <c:v>32125.400000082209</c:v>
                </c:pt>
                <c:pt idx="239">
                  <c:v>31849.400000082001</c:v>
                </c:pt>
                <c:pt idx="240">
                  <c:v>31758.000000080217</c:v>
                </c:pt>
                <c:pt idx="241">
                  <c:v>31658.600000080904</c:v>
                </c:pt>
                <c:pt idx="242">
                  <c:v>31387.00000007981</c:v>
                </c:pt>
                <c:pt idx="243">
                  <c:v>31088.30000008049</c:v>
                </c:pt>
                <c:pt idx="244">
                  <c:v>30764.300000078314</c:v>
                </c:pt>
                <c:pt idx="245">
                  <c:v>30505.200000078112</c:v>
                </c:pt>
                <c:pt idx="246">
                  <c:v>30202.000000078784</c:v>
                </c:pt>
                <c:pt idx="247">
                  <c:v>29970.400000076836</c:v>
                </c:pt>
                <c:pt idx="248">
                  <c:v>30130.400000077909</c:v>
                </c:pt>
                <c:pt idx="249">
                  <c:v>29988.000000077707</c:v>
                </c:pt>
                <c:pt idx="250">
                  <c:v>29759.800000075764</c:v>
                </c:pt>
                <c:pt idx="251">
                  <c:v>29522.600000076432</c:v>
                </c:pt>
                <c:pt idx="252">
                  <c:v>29224.400000076235</c:v>
                </c:pt>
                <c:pt idx="253">
                  <c:v>28876.800000074109</c:v>
                </c:pt>
                <c:pt idx="254">
                  <c:v>28505.00000007372</c:v>
                </c:pt>
                <c:pt idx="255">
                  <c:v>28075.000000072476</c:v>
                </c:pt>
                <c:pt idx="256">
                  <c:v>27649.00000007209</c:v>
                </c:pt>
                <c:pt idx="257">
                  <c:v>27226.000000070861</c:v>
                </c:pt>
                <c:pt idx="258">
                  <c:v>26851.000000070475</c:v>
                </c:pt>
                <c:pt idx="259">
                  <c:v>26469.800000068612</c:v>
                </c:pt>
                <c:pt idx="260">
                  <c:v>26095.300000067407</c:v>
                </c:pt>
                <c:pt idx="261">
                  <c:v>25681.800000065385</c:v>
                </c:pt>
                <c:pt idx="262">
                  <c:v>25237.400000064845</c:v>
                </c:pt>
                <c:pt idx="263">
                  <c:v>24804.800000063668</c:v>
                </c:pt>
                <c:pt idx="264">
                  <c:v>24480.200000063491</c:v>
                </c:pt>
                <c:pt idx="265">
                  <c:v>24133.000000060711</c:v>
                </c:pt>
                <c:pt idx="266">
                  <c:v>23582.600000061</c:v>
                </c:pt>
                <c:pt idx="267">
                  <c:v>22882.800000057927</c:v>
                </c:pt>
                <c:pt idx="268">
                  <c:v>22138.600000056478</c:v>
                </c:pt>
                <c:pt idx="269">
                  <c:v>21170.400000053185</c:v>
                </c:pt>
                <c:pt idx="270">
                  <c:v>20757.400000052872</c:v>
                </c:pt>
                <c:pt idx="271">
                  <c:v>21478.00000005505</c:v>
                </c:pt>
                <c:pt idx="272">
                  <c:v>23651.000000060198</c:v>
                </c:pt>
                <c:pt idx="273">
                  <c:v>24488.000000062679</c:v>
                </c:pt>
                <c:pt idx="274">
                  <c:v>23658.500000060198</c:v>
                </c:pt>
                <c:pt idx="275">
                  <c:v>22253.800000056643</c:v>
                </c:pt>
                <c:pt idx="276">
                  <c:v>20557.900000051188</c:v>
                </c:pt>
                <c:pt idx="277">
                  <c:v>18972.000000047439</c:v>
                </c:pt>
                <c:pt idx="278">
                  <c:v>17487.000000043248</c:v>
                </c:pt>
                <c:pt idx="279">
                  <c:v>16179.000000039918</c:v>
                </c:pt>
                <c:pt idx="280">
                  <c:v>15685.200000038709</c:v>
                </c:pt>
                <c:pt idx="281">
                  <c:v>15253.500000037642</c:v>
                </c:pt>
                <c:pt idx="282">
                  <c:v>14615.600000036344</c:v>
                </c:pt>
                <c:pt idx="283">
                  <c:v>14081.200000034525</c:v>
                </c:pt>
                <c:pt idx="284">
                  <c:v>13563.200000032088</c:v>
                </c:pt>
                <c:pt idx="285">
                  <c:v>13066.800000030995</c:v>
                </c:pt>
                <c:pt idx="286">
                  <c:v>12380.500000028445</c:v>
                </c:pt>
                <c:pt idx="287">
                  <c:v>11777.600000027312</c:v>
                </c:pt>
                <c:pt idx="288">
                  <c:v>11301.900000026202</c:v>
                </c:pt>
                <c:pt idx="289">
                  <c:v>10856.000000024011</c:v>
                </c:pt>
                <c:pt idx="290">
                  <c:v>10474.000000024238</c:v>
                </c:pt>
                <c:pt idx="291">
                  <c:v>10010.000000022032</c:v>
                </c:pt>
                <c:pt idx="292">
                  <c:v>9577.4000000205451</c:v>
                </c:pt>
                <c:pt idx="293">
                  <c:v>9155.500000019576</c:v>
                </c:pt>
                <c:pt idx="294">
                  <c:v>8783.0000000192595</c:v>
                </c:pt>
                <c:pt idx="295">
                  <c:v>8413.0000000183209</c:v>
                </c:pt>
                <c:pt idx="296">
                  <c:v>8055.000000016953</c:v>
                </c:pt>
                <c:pt idx="297">
                  <c:v>7707.0000000165892</c:v>
                </c:pt>
                <c:pt idx="298">
                  <c:v>7369.0000000157888</c:v>
                </c:pt>
                <c:pt idx="299">
                  <c:v>7040.0000000145064</c:v>
                </c:pt>
                <c:pt idx="300">
                  <c:v>6674.5000000141772</c:v>
                </c:pt>
                <c:pt idx="301">
                  <c:v>6324.6000000133699</c:v>
                </c:pt>
                <c:pt idx="302">
                  <c:v>5956.2000000129874</c:v>
                </c:pt>
                <c:pt idx="303">
                  <c:v>5598.6000000117647</c:v>
                </c:pt>
                <c:pt idx="304">
                  <c:v>5063.0000000108575</c:v>
                </c:pt>
                <c:pt idx="305">
                  <c:v>4638.0000000104592</c:v>
                </c:pt>
                <c:pt idx="306">
                  <c:v>4266.400000009713</c:v>
                </c:pt>
                <c:pt idx="307">
                  <c:v>3915.2000000086036</c:v>
                </c:pt>
                <c:pt idx="308">
                  <c:v>3677.2000000084035</c:v>
                </c:pt>
                <c:pt idx="309">
                  <c:v>3414.4000000081537</c:v>
                </c:pt>
                <c:pt idx="310">
                  <c:v>3291.5000000076875</c:v>
                </c:pt>
                <c:pt idx="311">
                  <c:v>3586.0000000083037</c:v>
                </c:pt>
                <c:pt idx="312">
                  <c:v>3091.0000000074965</c:v>
                </c:pt>
                <c:pt idx="313">
                  <c:v>2151.0000000052955</c:v>
                </c:pt>
                <c:pt idx="314">
                  <c:v>1339.0000000034288</c:v>
                </c:pt>
                <c:pt idx="315">
                  <c:v>910.40000000278303</c:v>
                </c:pt>
                <c:pt idx="316">
                  <c:v>742.30000000242603</c:v>
                </c:pt>
                <c:pt idx="317">
                  <c:v>686.20000000235109</c:v>
                </c:pt>
                <c:pt idx="318">
                  <c:v>926.00000000257614</c:v>
                </c:pt>
                <c:pt idx="319">
                  <c:v>1380.0000000037244</c:v>
                </c:pt>
                <c:pt idx="320">
                  <c:v>1276.2000000033697</c:v>
                </c:pt>
                <c:pt idx="321">
                  <c:v>1549.0000000041609</c:v>
                </c:pt>
                <c:pt idx="322">
                  <c:v>2931.0000000070031</c:v>
                </c:pt>
                <c:pt idx="323">
                  <c:v>2018.7000000051796</c:v>
                </c:pt>
                <c:pt idx="324">
                  <c:v>1344.2000000034288</c:v>
                </c:pt>
                <c:pt idx="325">
                  <c:v>1311.0000000036607</c:v>
                </c:pt>
                <c:pt idx="326">
                  <c:v>1271.0000000033697</c:v>
                </c:pt>
                <c:pt idx="327">
                  <c:v>982.40000000286489</c:v>
                </c:pt>
                <c:pt idx="328">
                  <c:v>706.00000000216005</c:v>
                </c:pt>
                <c:pt idx="329">
                  <c:v>696.10000000237608</c:v>
                </c:pt>
                <c:pt idx="330">
                  <c:v>777.40000000245107</c:v>
                </c:pt>
                <c:pt idx="331">
                  <c:v>821.20000000247614</c:v>
                </c:pt>
                <c:pt idx="332">
                  <c:v>765.30000000242603</c:v>
                </c:pt>
                <c:pt idx="333">
                  <c:v>679.60000000235107</c:v>
                </c:pt>
                <c:pt idx="334">
                  <c:v>2692.0000000067757</c:v>
                </c:pt>
                <c:pt idx="335">
                  <c:v>4380.6000000098229</c:v>
                </c:pt>
                <c:pt idx="336">
                  <c:v>2394.0000000058117</c:v>
                </c:pt>
                <c:pt idx="337">
                  <c:v>1089.9000000031924</c:v>
                </c:pt>
                <c:pt idx="338">
                  <c:v>809.40000000270118</c:v>
                </c:pt>
                <c:pt idx="339">
                  <c:v>784.00000000267391</c:v>
                </c:pt>
                <c:pt idx="340">
                  <c:v>762.00000000242608</c:v>
                </c:pt>
                <c:pt idx="341">
                  <c:v>857.60000000275579</c:v>
                </c:pt>
                <c:pt idx="342">
                  <c:v>868.40000000275575</c:v>
                </c:pt>
                <c:pt idx="343">
                  <c:v>677.40000000235102</c:v>
                </c:pt>
                <c:pt idx="344">
                  <c:v>668.60000000235107</c:v>
                </c:pt>
                <c:pt idx="345">
                  <c:v>699.40000000237603</c:v>
                </c:pt>
                <c:pt idx="346">
                  <c:v>807.0000000027012</c:v>
                </c:pt>
                <c:pt idx="347">
                  <c:v>784.00000000267391</c:v>
                </c:pt>
                <c:pt idx="348">
                  <c:v>760.80000000264658</c:v>
                </c:pt>
                <c:pt idx="349">
                  <c:v>768.6000000024261</c:v>
                </c:pt>
                <c:pt idx="350">
                  <c:v>750.00000000264663</c:v>
                </c:pt>
                <c:pt idx="351">
                  <c:v>727.00000000261934</c:v>
                </c:pt>
                <c:pt idx="352">
                  <c:v>748.90000000242605</c:v>
                </c:pt>
                <c:pt idx="353">
                  <c:v>1074.0000000029468</c:v>
                </c:pt>
                <c:pt idx="354">
                  <c:v>2270.0000000054115</c:v>
                </c:pt>
                <c:pt idx="355">
                  <c:v>2830.0000000069122</c:v>
                </c:pt>
                <c:pt idx="356">
                  <c:v>4064.0000000090995</c:v>
                </c:pt>
                <c:pt idx="357">
                  <c:v>3653.0000000083537</c:v>
                </c:pt>
                <c:pt idx="358">
                  <c:v>1809.0000000046566</c:v>
                </c:pt>
                <c:pt idx="359">
                  <c:v>1021.4000000031332</c:v>
                </c:pt>
                <c:pt idx="360">
                  <c:v>1437.0000000037562</c:v>
                </c:pt>
                <c:pt idx="361">
                  <c:v>1625.0000000042292</c:v>
                </c:pt>
                <c:pt idx="362">
                  <c:v>1467.800000003788</c:v>
                </c:pt>
                <c:pt idx="363">
                  <c:v>1164.0000000032514</c:v>
                </c:pt>
                <c:pt idx="364">
                  <c:v>974.00000000283762</c:v>
                </c:pt>
              </c:numCache>
            </c:numRef>
          </c:val>
          <c:smooth val="0"/>
        </c:ser>
        <c:ser>
          <c:idx val="1"/>
          <c:order val="5"/>
          <c:tx>
            <c:v>2012</c:v>
          </c:tx>
          <c:spPr>
            <a:ln w="19050">
              <a:prstDash val="dash"/>
            </a:ln>
          </c:spPr>
          <c:marker>
            <c:symbol val="none"/>
          </c:marker>
          <c:val>
            <c:numRef>
              <c:f>Summary!$AK$9:$AK$373</c:f>
              <c:numCache>
                <c:formatCode>0.00</c:formatCode>
                <c:ptCount val="365"/>
                <c:pt idx="0">
                  <c:v>2595.0000000063505</c:v>
                </c:pt>
                <c:pt idx="1">
                  <c:v>1859.2000000047294</c:v>
                </c:pt>
                <c:pt idx="2">
                  <c:v>1075.2000000029468</c:v>
                </c:pt>
                <c:pt idx="3">
                  <c:v>777.40000000245107</c:v>
                </c:pt>
                <c:pt idx="4">
                  <c:v>781.80000000245104</c:v>
                </c:pt>
                <c:pt idx="5">
                  <c:v>888.80000000278301</c:v>
                </c:pt>
                <c:pt idx="6">
                  <c:v>987.30000000310361</c:v>
                </c:pt>
                <c:pt idx="7">
                  <c:v>898.40000000278303</c:v>
                </c:pt>
                <c:pt idx="8">
                  <c:v>782.90000000245107</c:v>
                </c:pt>
                <c:pt idx="9">
                  <c:v>742.30000000242603</c:v>
                </c:pt>
                <c:pt idx="10">
                  <c:v>717.10000000240109</c:v>
                </c:pt>
                <c:pt idx="11">
                  <c:v>735.40000000261932</c:v>
                </c:pt>
                <c:pt idx="12">
                  <c:v>788.80000000267387</c:v>
                </c:pt>
                <c:pt idx="13">
                  <c:v>933.70000000257619</c:v>
                </c:pt>
                <c:pt idx="14">
                  <c:v>962.30000000307405</c:v>
                </c:pt>
                <c:pt idx="15">
                  <c:v>908.00000000278305</c:v>
                </c:pt>
                <c:pt idx="16">
                  <c:v>886.40000000275575</c:v>
                </c:pt>
                <c:pt idx="17">
                  <c:v>884.00000000275577</c:v>
                </c:pt>
                <c:pt idx="18">
                  <c:v>916.40000000278303</c:v>
                </c:pt>
                <c:pt idx="19">
                  <c:v>926.00000000257614</c:v>
                </c:pt>
                <c:pt idx="20">
                  <c:v>1001.4000000028649</c:v>
                </c:pt>
                <c:pt idx="21">
                  <c:v>880.40000000275575</c:v>
                </c:pt>
                <c:pt idx="22">
                  <c:v>768.6000000024261</c:v>
                </c:pt>
                <c:pt idx="23">
                  <c:v>972.70000000307414</c:v>
                </c:pt>
                <c:pt idx="24">
                  <c:v>1884.8000000047293</c:v>
                </c:pt>
                <c:pt idx="25">
                  <c:v>1527.2000000038518</c:v>
                </c:pt>
                <c:pt idx="26">
                  <c:v>1322.2000000036608</c:v>
                </c:pt>
                <c:pt idx="27">
                  <c:v>1204.3000000033105</c:v>
                </c:pt>
                <c:pt idx="28">
                  <c:v>1883.2000000047294</c:v>
                </c:pt>
                <c:pt idx="29">
                  <c:v>3713.1000000087856</c:v>
                </c:pt>
                <c:pt idx="30">
                  <c:v>2577.0000000059754</c:v>
                </c:pt>
                <c:pt idx="31">
                  <c:v>1762.0000000046202</c:v>
                </c:pt>
                <c:pt idx="32">
                  <c:v>1316.6000000036606</c:v>
                </c:pt>
                <c:pt idx="33">
                  <c:v>1326.4000000036608</c:v>
                </c:pt>
                <c:pt idx="34">
                  <c:v>1340.3000000034287</c:v>
                </c:pt>
                <c:pt idx="35">
                  <c:v>1106.8000000032218</c:v>
                </c:pt>
                <c:pt idx="36">
                  <c:v>819.0000000024761</c:v>
                </c:pt>
                <c:pt idx="37">
                  <c:v>686.20000000235109</c:v>
                </c:pt>
                <c:pt idx="38">
                  <c:v>723.70000000240111</c:v>
                </c:pt>
                <c:pt idx="39">
                  <c:v>743.40000000242605</c:v>
                </c:pt>
                <c:pt idx="40">
                  <c:v>769.70000000242612</c:v>
                </c:pt>
                <c:pt idx="41">
                  <c:v>874.40000000275575</c:v>
                </c:pt>
                <c:pt idx="42">
                  <c:v>929.3000000025761</c:v>
                </c:pt>
                <c:pt idx="43">
                  <c:v>836.00000000272848</c:v>
                </c:pt>
                <c:pt idx="44">
                  <c:v>746.70000000242612</c:v>
                </c:pt>
                <c:pt idx="45">
                  <c:v>728.20000000261939</c:v>
                </c:pt>
                <c:pt idx="46">
                  <c:v>758.40000000264661</c:v>
                </c:pt>
                <c:pt idx="47">
                  <c:v>845.60000000272851</c:v>
                </c:pt>
                <c:pt idx="48">
                  <c:v>1097.7000000031924</c:v>
                </c:pt>
                <c:pt idx="49">
                  <c:v>1132.8000000032218</c:v>
                </c:pt>
                <c:pt idx="50">
                  <c:v>864.80000000275572</c:v>
                </c:pt>
                <c:pt idx="51">
                  <c:v>4087.0000000095497</c:v>
                </c:pt>
                <c:pt idx="52">
                  <c:v>19962.600000050577</c:v>
                </c:pt>
                <c:pt idx="53">
                  <c:v>18006.000000045111</c:v>
                </c:pt>
                <c:pt idx="54">
                  <c:v>11989.800000027411</c:v>
                </c:pt>
                <c:pt idx="55">
                  <c:v>7339.0000000152795</c:v>
                </c:pt>
                <c:pt idx="56">
                  <c:v>4043.3000000090997</c:v>
                </c:pt>
                <c:pt idx="57">
                  <c:v>2502.0000000062641</c:v>
                </c:pt>
                <c:pt idx="58">
                  <c:v>1567.0000000038835</c:v>
                </c:pt>
                <c:pt idx="59">
                  <c:v>1268.2000000036289</c:v>
                </c:pt>
                <c:pt idx="60">
                  <c:v>1284.0000000036289</c:v>
                </c:pt>
                <c:pt idx="61">
                  <c:v>1466.4000000037881</c:v>
                </c:pt>
                <c:pt idx="62">
                  <c:v>2142.000000005607</c:v>
                </c:pt>
                <c:pt idx="63">
                  <c:v>2651.0000000067303</c:v>
                </c:pt>
                <c:pt idx="64">
                  <c:v>2824.1000000065665</c:v>
                </c:pt>
                <c:pt idx="65">
                  <c:v>2900.7000000073053</c:v>
                </c:pt>
                <c:pt idx="66">
                  <c:v>3006.0000000070486</c:v>
                </c:pt>
                <c:pt idx="67">
                  <c:v>3166.6000000075442</c:v>
                </c:pt>
                <c:pt idx="68">
                  <c:v>3283.1000000076397</c:v>
                </c:pt>
                <c:pt idx="69">
                  <c:v>3418.8000000081538</c:v>
                </c:pt>
                <c:pt idx="70">
                  <c:v>3619.0000000083537</c:v>
                </c:pt>
                <c:pt idx="71">
                  <c:v>3742.000000008838</c:v>
                </c:pt>
                <c:pt idx="72">
                  <c:v>4034.1000000090994</c:v>
                </c:pt>
                <c:pt idx="73">
                  <c:v>4331.2000000097678</c:v>
                </c:pt>
                <c:pt idx="74">
                  <c:v>4959.4000000111728</c:v>
                </c:pt>
                <c:pt idx="75">
                  <c:v>5748.4000000123397</c:v>
                </c:pt>
                <c:pt idx="76">
                  <c:v>6093.3000000126467</c:v>
                </c:pt>
                <c:pt idx="77">
                  <c:v>6165.0000000131786</c:v>
                </c:pt>
                <c:pt idx="78">
                  <c:v>6408.6000000134336</c:v>
                </c:pt>
                <c:pt idx="79">
                  <c:v>6790.5000000142427</c:v>
                </c:pt>
                <c:pt idx="80">
                  <c:v>7019.7000000144408</c:v>
                </c:pt>
                <c:pt idx="81">
                  <c:v>7375.2000000157886</c:v>
                </c:pt>
                <c:pt idx="82">
                  <c:v>7657.4000000160704</c:v>
                </c:pt>
                <c:pt idx="83">
                  <c:v>7939.8000000168076</c:v>
                </c:pt>
                <c:pt idx="84">
                  <c:v>8370.1000000177828</c:v>
                </c:pt>
                <c:pt idx="85">
                  <c:v>8606.4000000180076</c:v>
                </c:pt>
                <c:pt idx="86">
                  <c:v>8566.4000000184769</c:v>
                </c:pt>
                <c:pt idx="87">
                  <c:v>8563.0000000184773</c:v>
                </c:pt>
                <c:pt idx="88">
                  <c:v>8944.5000000193377</c:v>
                </c:pt>
                <c:pt idx="89">
                  <c:v>9848.6000000218592</c:v>
                </c:pt>
                <c:pt idx="90">
                  <c:v>9419.7000000209482</c:v>
                </c:pt>
                <c:pt idx="91">
                  <c:v>9233.500000019656</c:v>
                </c:pt>
                <c:pt idx="92">
                  <c:v>9606.4000000211163</c:v>
                </c:pt>
                <c:pt idx="93">
                  <c:v>10059.400000022119</c:v>
                </c:pt>
                <c:pt idx="94">
                  <c:v>10559.000000023738</c:v>
                </c:pt>
                <c:pt idx="95">
                  <c:v>11177.30000002489</c:v>
                </c:pt>
                <c:pt idx="96">
                  <c:v>11852.500000027932</c:v>
                </c:pt>
                <c:pt idx="97">
                  <c:v>12394.200000029077</c:v>
                </c:pt>
                <c:pt idx="98">
                  <c:v>12826.000000030777</c:v>
                </c:pt>
                <c:pt idx="99">
                  <c:v>13392.700000031975</c:v>
                </c:pt>
                <c:pt idx="100">
                  <c:v>14242.400000034642</c:v>
                </c:pt>
                <c:pt idx="101">
                  <c:v>15068.700000036153</c:v>
                </c:pt>
                <c:pt idx="102">
                  <c:v>15685.200000038709</c:v>
                </c:pt>
                <c:pt idx="103">
                  <c:v>16179.000000039918</c:v>
                </c:pt>
                <c:pt idx="104">
                  <c:v>16599.100000040307</c:v>
                </c:pt>
                <c:pt idx="105">
                  <c:v>16883.800000041854</c:v>
                </c:pt>
                <c:pt idx="106">
                  <c:v>17607.400000043966</c:v>
                </c:pt>
                <c:pt idx="107">
                  <c:v>18369.900000044661</c:v>
                </c:pt>
                <c:pt idx="108">
                  <c:v>18794.800000047293</c:v>
                </c:pt>
                <c:pt idx="109">
                  <c:v>19388.000000048625</c:v>
                </c:pt>
                <c:pt idx="110">
                  <c:v>21627.000000054431</c:v>
                </c:pt>
                <c:pt idx="111">
                  <c:v>22469.800000056806</c:v>
                </c:pt>
                <c:pt idx="112">
                  <c:v>23073.600000058093</c:v>
                </c:pt>
                <c:pt idx="113">
                  <c:v>24488.000000062679</c:v>
                </c:pt>
                <c:pt idx="114">
                  <c:v>25325.000000065847</c:v>
                </c:pt>
                <c:pt idx="115">
                  <c:v>25396.400000065023</c:v>
                </c:pt>
                <c:pt idx="116">
                  <c:v>26224.900000067406</c:v>
                </c:pt>
                <c:pt idx="117">
                  <c:v>27059.000000070668</c:v>
                </c:pt>
                <c:pt idx="118">
                  <c:v>27537.50000007209</c:v>
                </c:pt>
                <c:pt idx="119">
                  <c:v>27580.200000072939</c:v>
                </c:pt>
                <c:pt idx="120">
                  <c:v>28202.500000072669</c:v>
                </c:pt>
                <c:pt idx="121">
                  <c:v>29645.800000076433</c:v>
                </c:pt>
                <c:pt idx="122">
                  <c:v>30434.000000078111</c:v>
                </c:pt>
                <c:pt idx="123">
                  <c:v>31215.000000079603</c:v>
                </c:pt>
                <c:pt idx="124">
                  <c:v>32428.000000082626</c:v>
                </c:pt>
                <c:pt idx="125">
                  <c:v>33142.800000085066</c:v>
                </c:pt>
                <c:pt idx="126">
                  <c:v>33329.100000084371</c:v>
                </c:pt>
                <c:pt idx="127">
                  <c:v>33769.600000085709</c:v>
                </c:pt>
                <c:pt idx="128">
                  <c:v>34698.200000088182</c:v>
                </c:pt>
                <c:pt idx="129">
                  <c:v>35642.000000089989</c:v>
                </c:pt>
                <c:pt idx="130">
                  <c:v>36070.800000090429</c:v>
                </c:pt>
                <c:pt idx="131">
                  <c:v>36499.600000090868</c:v>
                </c:pt>
                <c:pt idx="132">
                  <c:v>36746.700000092969</c:v>
                </c:pt>
                <c:pt idx="133">
                  <c:v>37121.900000093192</c:v>
                </c:pt>
                <c:pt idx="134">
                  <c:v>38090.000000095039</c:v>
                </c:pt>
                <c:pt idx="135">
                  <c:v>39192.400000098103</c:v>
                </c:pt>
                <c:pt idx="136">
                  <c:v>39817.2000001005</c:v>
                </c:pt>
                <c:pt idx="137">
                  <c:v>40354.000000100001</c:v>
                </c:pt>
                <c:pt idx="138">
                  <c:v>40905.500000102424</c:v>
                </c:pt>
                <c:pt idx="139">
                  <c:v>41240.500000102897</c:v>
                </c:pt>
                <c:pt idx="140">
                  <c:v>41460.400000101916</c:v>
                </c:pt>
                <c:pt idx="141">
                  <c:v>41925.000000104359</c:v>
                </c:pt>
                <c:pt idx="142">
                  <c:v>42774.000000106076</c:v>
                </c:pt>
                <c:pt idx="143">
                  <c:v>43801.800000108051</c:v>
                </c:pt>
                <c:pt idx="144">
                  <c:v>44386.000000108543</c:v>
                </c:pt>
                <c:pt idx="145">
                  <c:v>44429.200000108787</c:v>
                </c:pt>
                <c:pt idx="146">
                  <c:v>44797.400000109032</c:v>
                </c:pt>
                <c:pt idx="147">
                  <c:v>45311.000000111548</c:v>
                </c:pt>
                <c:pt idx="148">
                  <c:v>45605.800000110787</c:v>
                </c:pt>
                <c:pt idx="149">
                  <c:v>45803.000000111031</c:v>
                </c:pt>
                <c:pt idx="150">
                  <c:v>46210.000000112297</c:v>
                </c:pt>
                <c:pt idx="151">
                  <c:v>46707.000000112799</c:v>
                </c:pt>
                <c:pt idx="152">
                  <c:v>47205.700000114331</c:v>
                </c:pt>
                <c:pt idx="153">
                  <c:v>47997.600000116123</c:v>
                </c:pt>
                <c:pt idx="154">
                  <c:v>48142.30000011716</c:v>
                </c:pt>
                <c:pt idx="155">
                  <c:v>47896.900000114838</c:v>
                </c:pt>
                <c:pt idx="156">
                  <c:v>48053.300000115087</c:v>
                </c:pt>
                <c:pt idx="157">
                  <c:v>48232.700000117162</c:v>
                </c:pt>
                <c:pt idx="158">
                  <c:v>48525.000000116379</c:v>
                </c:pt>
                <c:pt idx="159">
                  <c:v>48907.800000116891</c:v>
                </c:pt>
                <c:pt idx="160">
                  <c:v>49314.000000119238</c:v>
                </c:pt>
                <c:pt idx="161">
                  <c:v>49575.400000118447</c:v>
                </c:pt>
                <c:pt idx="162">
                  <c:v>49530.200000118442</c:v>
                </c:pt>
                <c:pt idx="163">
                  <c:v>49257.000000119238</c:v>
                </c:pt>
                <c:pt idx="164">
                  <c:v>49245.700000118188</c:v>
                </c:pt>
                <c:pt idx="165">
                  <c:v>49110.40000011689</c:v>
                </c:pt>
                <c:pt idx="166">
                  <c:v>49155.300000118186</c:v>
                </c:pt>
                <c:pt idx="167">
                  <c:v>49371.000000119238</c:v>
                </c:pt>
                <c:pt idx="168">
                  <c:v>49643.600000119492</c:v>
                </c:pt>
                <c:pt idx="169">
                  <c:v>49848.800000119751</c:v>
                </c:pt>
                <c:pt idx="170">
                  <c:v>49700.600000119754</c:v>
                </c:pt>
                <c:pt idx="171">
                  <c:v>49393.800000119234</c:v>
                </c:pt>
                <c:pt idx="172">
                  <c:v>49371.000000119238</c:v>
                </c:pt>
                <c:pt idx="173">
                  <c:v>49712.000000119755</c:v>
                </c:pt>
                <c:pt idx="174">
                  <c:v>50031.200000120014</c:v>
                </c:pt>
                <c:pt idx="175">
                  <c:v>50110.500000118962</c:v>
                </c:pt>
                <c:pt idx="176">
                  <c:v>49997.00000012001</c:v>
                </c:pt>
                <c:pt idx="177">
                  <c:v>49791.800000119751</c:v>
                </c:pt>
                <c:pt idx="178">
                  <c:v>49485.000000118445</c:v>
                </c:pt>
                <c:pt idx="179">
                  <c:v>49314.000000119238</c:v>
                </c:pt>
                <c:pt idx="180">
                  <c:v>49405.200000119497</c:v>
                </c:pt>
                <c:pt idx="181">
                  <c:v>49586.700000118442</c:v>
                </c:pt>
                <c:pt idx="182">
                  <c:v>49586.700000118442</c:v>
                </c:pt>
                <c:pt idx="183">
                  <c:v>49348.200000119235</c:v>
                </c:pt>
                <c:pt idx="184">
                  <c:v>49382.400000119233</c:v>
                </c:pt>
                <c:pt idx="185">
                  <c:v>49382.400000119233</c:v>
                </c:pt>
                <c:pt idx="186">
                  <c:v>49405.200000119497</c:v>
                </c:pt>
                <c:pt idx="187">
                  <c:v>49279.800000119234</c:v>
                </c:pt>
                <c:pt idx="188">
                  <c:v>49245.700000118188</c:v>
                </c:pt>
                <c:pt idx="189">
                  <c:v>49144.000000118191</c:v>
                </c:pt>
                <c:pt idx="190">
                  <c:v>48975.500000117929</c:v>
                </c:pt>
                <c:pt idx="191">
                  <c:v>48784.400000117676</c:v>
                </c:pt>
                <c:pt idx="192">
                  <c:v>48581.000000117674</c:v>
                </c:pt>
                <c:pt idx="193">
                  <c:v>48300.000000116379</c:v>
                </c:pt>
                <c:pt idx="194">
                  <c:v>47941.600000115868</c:v>
                </c:pt>
                <c:pt idx="195">
                  <c:v>47551.600000115614</c:v>
                </c:pt>
                <c:pt idx="196">
                  <c:v>47060.800000115109</c:v>
                </c:pt>
                <c:pt idx="197">
                  <c:v>46651.700000113822</c:v>
                </c:pt>
                <c:pt idx="198">
                  <c:v>46155.000000112297</c:v>
                </c:pt>
                <c:pt idx="199">
                  <c:v>45748.000000111802</c:v>
                </c:pt>
                <c:pt idx="200">
                  <c:v>45420.500000110536</c:v>
                </c:pt>
                <c:pt idx="201">
                  <c:v>45267.000000111548</c:v>
                </c:pt>
                <c:pt idx="202">
                  <c:v>45038.000000110289</c:v>
                </c:pt>
                <c:pt idx="203">
                  <c:v>44743.400000109032</c:v>
                </c:pt>
                <c:pt idx="204">
                  <c:v>44450.800000108786</c:v>
                </c:pt>
                <c:pt idx="205">
                  <c:v>44051.100000109298</c:v>
                </c:pt>
                <c:pt idx="206">
                  <c:v>43544.400000106805</c:v>
                </c:pt>
                <c:pt idx="207">
                  <c:v>43095.000000106564</c:v>
                </c:pt>
                <c:pt idx="208">
                  <c:v>42433.800000104842</c:v>
                </c:pt>
                <c:pt idx="209">
                  <c:v>41914.400000104361</c:v>
                </c:pt>
                <c:pt idx="210">
                  <c:v>41398.000000101922</c:v>
                </c:pt>
                <c:pt idx="211">
                  <c:v>40842.500000102424</c:v>
                </c:pt>
                <c:pt idx="212">
                  <c:v>40467.300000100237</c:v>
                </c:pt>
                <c:pt idx="213">
                  <c:v>40085.200000099765</c:v>
                </c:pt>
                <c:pt idx="214">
                  <c:v>39889.500000099535</c:v>
                </c:pt>
                <c:pt idx="215">
                  <c:v>39817.2000001005</c:v>
                </c:pt>
                <c:pt idx="216">
                  <c:v>39775.600000100501</c:v>
                </c:pt>
                <c:pt idx="217">
                  <c:v>39713.400000099529</c:v>
                </c:pt>
                <c:pt idx="218">
                  <c:v>39661.900000099529</c:v>
                </c:pt>
                <c:pt idx="219">
                  <c:v>39558.900000099296</c:v>
                </c:pt>
                <c:pt idx="220">
                  <c:v>39466.800000098337</c:v>
                </c:pt>
                <c:pt idx="221">
                  <c:v>39365.400000097143</c:v>
                </c:pt>
                <c:pt idx="222">
                  <c:v>39192.400000098103</c:v>
                </c:pt>
                <c:pt idx="223">
                  <c:v>38989.40000009787</c:v>
                </c:pt>
                <c:pt idx="224">
                  <c:v>38775.20000009764</c:v>
                </c:pt>
                <c:pt idx="225">
                  <c:v>38562.000000097411</c:v>
                </c:pt>
                <c:pt idx="226">
                  <c:v>38360.500000096225</c:v>
                </c:pt>
                <c:pt idx="227">
                  <c:v>38150.000000095271</c:v>
                </c:pt>
                <c:pt idx="228">
                  <c:v>37919.10000009599</c:v>
                </c:pt>
                <c:pt idx="229">
                  <c:v>37648.40000009576</c:v>
                </c:pt>
                <c:pt idx="230">
                  <c:v>37319.900000093417</c:v>
                </c:pt>
                <c:pt idx="231">
                  <c:v>37004.100000093189</c:v>
                </c:pt>
                <c:pt idx="232">
                  <c:v>36717.000000092965</c:v>
                </c:pt>
                <c:pt idx="233">
                  <c:v>36441.400000090871</c:v>
                </c:pt>
                <c:pt idx="234">
                  <c:v>36178.000000091582</c:v>
                </c:pt>
                <c:pt idx="235">
                  <c:v>35904.900000090209</c:v>
                </c:pt>
                <c:pt idx="236">
                  <c:v>35612.600000090912</c:v>
                </c:pt>
                <c:pt idx="237">
                  <c:v>35313.600000088838</c:v>
                </c:pt>
                <c:pt idx="238">
                  <c:v>35015.500000089545</c:v>
                </c:pt>
                <c:pt idx="239">
                  <c:v>34755.800000088406</c:v>
                </c:pt>
                <c:pt idx="240">
                  <c:v>34564.000000087268</c:v>
                </c:pt>
                <c:pt idx="241">
                  <c:v>34167.000000086831</c:v>
                </c:pt>
                <c:pt idx="242">
                  <c:v>33996.200000085919</c:v>
                </c:pt>
                <c:pt idx="243">
                  <c:v>33544.000000084583</c:v>
                </c:pt>
                <c:pt idx="244">
                  <c:v>33217.500000084161</c:v>
                </c:pt>
                <c:pt idx="245">
                  <c:v>32891.00000008395</c:v>
                </c:pt>
                <c:pt idx="246">
                  <c:v>32566.000000082626</c:v>
                </c:pt>
                <c:pt idx="247">
                  <c:v>32245.000000081523</c:v>
                </c:pt>
                <c:pt idx="248">
                  <c:v>31913.80000008221</c:v>
                </c:pt>
                <c:pt idx="249">
                  <c:v>31559.000000080014</c:v>
                </c:pt>
                <c:pt idx="250">
                  <c:v>31179.000000079603</c:v>
                </c:pt>
                <c:pt idx="251">
                  <c:v>30782.100000078517</c:v>
                </c:pt>
                <c:pt idx="252">
                  <c:v>30398.400000078112</c:v>
                </c:pt>
                <c:pt idx="253">
                  <c:v>30094.800000077706</c:v>
                </c:pt>
                <c:pt idx="254">
                  <c:v>29777.200000075762</c:v>
                </c:pt>
                <c:pt idx="255">
                  <c:v>29443.400000076435</c:v>
                </c:pt>
                <c:pt idx="256">
                  <c:v>29110.000000076034</c:v>
                </c:pt>
                <c:pt idx="257">
                  <c:v>28755.400000073914</c:v>
                </c:pt>
                <c:pt idx="258">
                  <c:v>28383.600000073719</c:v>
                </c:pt>
                <c:pt idx="259">
                  <c:v>27997.600000073329</c:v>
                </c:pt>
                <c:pt idx="260">
                  <c:v>27623.200000072939</c:v>
                </c:pt>
                <c:pt idx="261">
                  <c:v>27242.80000007086</c:v>
                </c:pt>
                <c:pt idx="262">
                  <c:v>26851.000000070475</c:v>
                </c:pt>
                <c:pt idx="263">
                  <c:v>26396.000000068427</c:v>
                </c:pt>
                <c:pt idx="264">
                  <c:v>25826.000000067866</c:v>
                </c:pt>
                <c:pt idx="265">
                  <c:v>25150.500000064843</c:v>
                </c:pt>
                <c:pt idx="266">
                  <c:v>24449.000000063315</c:v>
                </c:pt>
                <c:pt idx="267">
                  <c:v>23831.400000061174</c:v>
                </c:pt>
                <c:pt idx="268">
                  <c:v>23175.800000058262</c:v>
                </c:pt>
                <c:pt idx="269">
                  <c:v>22520.200000056808</c:v>
                </c:pt>
                <c:pt idx="270">
                  <c:v>21859.400000055371</c:v>
                </c:pt>
                <c:pt idx="271">
                  <c:v>21191.100000053342</c:v>
                </c:pt>
                <c:pt idx="272">
                  <c:v>20524.400000051188</c:v>
                </c:pt>
                <c:pt idx="273">
                  <c:v>19863.500000049069</c:v>
                </c:pt>
                <c:pt idx="274">
                  <c:v>19194.000000046984</c:v>
                </c:pt>
                <c:pt idx="275">
                  <c:v>18524.800000045532</c:v>
                </c:pt>
                <c:pt idx="276">
                  <c:v>17849.000000043518</c:v>
                </c:pt>
                <c:pt idx="277">
                  <c:v>17202.400000042257</c:v>
                </c:pt>
                <c:pt idx="278">
                  <c:v>16599.100000040307</c:v>
                </c:pt>
                <c:pt idx="279">
                  <c:v>16011.000000038963</c:v>
                </c:pt>
                <c:pt idx="280">
                  <c:v>15438.800000037079</c:v>
                </c:pt>
                <c:pt idx="281">
                  <c:v>14871.600000035911</c:v>
                </c:pt>
                <c:pt idx="282">
                  <c:v>14278.80000003476</c:v>
                </c:pt>
                <c:pt idx="283">
                  <c:v>13618.900000033396</c:v>
                </c:pt>
                <c:pt idx="284">
                  <c:v>12925.200000030243</c:v>
                </c:pt>
                <c:pt idx="285">
                  <c:v>12212.200000028868</c:v>
                </c:pt>
                <c:pt idx="286">
                  <c:v>11553.600000026398</c:v>
                </c:pt>
                <c:pt idx="287">
                  <c:v>10945.700000024704</c:v>
                </c:pt>
                <c:pt idx="288">
                  <c:v>10381.400000022966</c:v>
                </c:pt>
                <c:pt idx="289">
                  <c:v>9871.100000021368</c:v>
                </c:pt>
                <c:pt idx="290">
                  <c:v>9308.000000019736</c:v>
                </c:pt>
                <c:pt idx="291">
                  <c:v>8797.0000000192595</c:v>
                </c:pt>
                <c:pt idx="292">
                  <c:v>8532.8000000179327</c:v>
                </c:pt>
                <c:pt idx="293">
                  <c:v>8499.8000000178581</c:v>
                </c:pt>
                <c:pt idx="294">
                  <c:v>8190.4000000170254</c:v>
                </c:pt>
                <c:pt idx="295">
                  <c:v>7707.0000000165892</c:v>
                </c:pt>
                <c:pt idx="296">
                  <c:v>7177.0000000150749</c:v>
                </c:pt>
                <c:pt idx="297">
                  <c:v>6657.200000013624</c:v>
                </c:pt>
                <c:pt idx="298">
                  <c:v>6121.2000000131784</c:v>
                </c:pt>
                <c:pt idx="299">
                  <c:v>5601.2000000117641</c:v>
                </c:pt>
                <c:pt idx="300">
                  <c:v>5572.2000000122171</c:v>
                </c:pt>
                <c:pt idx="301">
                  <c:v>6703.5000000141772</c:v>
                </c:pt>
                <c:pt idx="302">
                  <c:v>5770.000000012401</c:v>
                </c:pt>
                <c:pt idx="303">
                  <c:v>3324.0000000076875</c:v>
                </c:pt>
                <c:pt idx="304">
                  <c:v>2376.0000000058117</c:v>
                </c:pt>
                <c:pt idx="305">
                  <c:v>1496.0000000040927</c:v>
                </c:pt>
                <c:pt idx="306">
                  <c:v>1329.2000000036608</c:v>
                </c:pt>
                <c:pt idx="307">
                  <c:v>1236.5000000033401</c:v>
                </c:pt>
                <c:pt idx="308">
                  <c:v>976.4000000028376</c:v>
                </c:pt>
                <c:pt idx="309">
                  <c:v>995.10000000310367</c:v>
                </c:pt>
                <c:pt idx="310">
                  <c:v>1082.4000000029469</c:v>
                </c:pt>
                <c:pt idx="311">
                  <c:v>1049.0000000029195</c:v>
                </c:pt>
                <c:pt idx="312">
                  <c:v>964.90000000307407</c:v>
                </c:pt>
                <c:pt idx="313">
                  <c:v>992.50000000310365</c:v>
                </c:pt>
                <c:pt idx="314">
                  <c:v>1046.4000000031629</c:v>
                </c:pt>
                <c:pt idx="315">
                  <c:v>1097.7000000031924</c:v>
                </c:pt>
                <c:pt idx="316">
                  <c:v>1212.1000000033105</c:v>
                </c:pt>
                <c:pt idx="317">
                  <c:v>993.80000000310361</c:v>
                </c:pt>
                <c:pt idx="318">
                  <c:v>995.10000000310367</c:v>
                </c:pt>
                <c:pt idx="319">
                  <c:v>625.60000000230104</c:v>
                </c:pt>
                <c:pt idx="320">
                  <c:v>619.00000000230102</c:v>
                </c:pt>
                <c:pt idx="321">
                  <c:v>599.0000000020691</c:v>
                </c:pt>
                <c:pt idx="322">
                  <c:v>716.00000000240107</c:v>
                </c:pt>
                <c:pt idx="323">
                  <c:v>1655.0000000045111</c:v>
                </c:pt>
                <c:pt idx="324">
                  <c:v>2073.4000000049114</c:v>
                </c:pt>
                <c:pt idx="325">
                  <c:v>1687.5000000042633</c:v>
                </c:pt>
                <c:pt idx="326">
                  <c:v>1056.2000000029195</c:v>
                </c:pt>
                <c:pt idx="327">
                  <c:v>1337.6000000036925</c:v>
                </c:pt>
                <c:pt idx="328">
                  <c:v>3283.1000000076397</c:v>
                </c:pt>
                <c:pt idx="329">
                  <c:v>2907.0000000069576</c:v>
                </c:pt>
                <c:pt idx="330">
                  <c:v>1672.5000000042633</c:v>
                </c:pt>
                <c:pt idx="331">
                  <c:v>991.2000000031037</c:v>
                </c:pt>
                <c:pt idx="332">
                  <c:v>866.00000000275577</c:v>
                </c:pt>
                <c:pt idx="333">
                  <c:v>773.00000000245109</c:v>
                </c:pt>
                <c:pt idx="334">
                  <c:v>743.40000000242605</c:v>
                </c:pt>
                <c:pt idx="335">
                  <c:v>724.80000000240102</c:v>
                </c:pt>
                <c:pt idx="336">
                  <c:v>981.20000000286495</c:v>
                </c:pt>
                <c:pt idx="337">
                  <c:v>1250.0000000035971</c:v>
                </c:pt>
                <c:pt idx="338">
                  <c:v>1787.0000000043656</c:v>
                </c:pt>
                <c:pt idx="339">
                  <c:v>2149.2000000056069</c:v>
                </c:pt>
                <c:pt idx="340">
                  <c:v>1776.4000000046567</c:v>
                </c:pt>
                <c:pt idx="341">
                  <c:v>1931.2000000047658</c:v>
                </c:pt>
                <c:pt idx="342">
                  <c:v>1672.5000000042633</c:v>
                </c:pt>
                <c:pt idx="343">
                  <c:v>926.00000000257614</c:v>
                </c:pt>
                <c:pt idx="344">
                  <c:v>734.20000000261939</c:v>
                </c:pt>
                <c:pt idx="345">
                  <c:v>810.60000000270122</c:v>
                </c:pt>
                <c:pt idx="346">
                  <c:v>931.50000000257614</c:v>
                </c:pt>
                <c:pt idx="347">
                  <c:v>866.00000000275577</c:v>
                </c:pt>
                <c:pt idx="348">
                  <c:v>974.00000000283762</c:v>
                </c:pt>
                <c:pt idx="349">
                  <c:v>937.00000000281034</c:v>
                </c:pt>
                <c:pt idx="350">
                  <c:v>926.00000000257614</c:v>
                </c:pt>
                <c:pt idx="351">
                  <c:v>937.00000000281034</c:v>
                </c:pt>
                <c:pt idx="352">
                  <c:v>916.40000000278303</c:v>
                </c:pt>
                <c:pt idx="353">
                  <c:v>902.00000000278305</c:v>
                </c:pt>
                <c:pt idx="354">
                  <c:v>920.00000000281034</c:v>
                </c:pt>
                <c:pt idx="355">
                  <c:v>999.00000000286491</c:v>
                </c:pt>
                <c:pt idx="356">
                  <c:v>1132.8000000032218</c:v>
                </c:pt>
                <c:pt idx="357">
                  <c:v>1182.200000003281</c:v>
                </c:pt>
                <c:pt idx="358">
                  <c:v>1216.0000000035652</c:v>
                </c:pt>
                <c:pt idx="359">
                  <c:v>1192.6000000032809</c:v>
                </c:pt>
                <c:pt idx="360">
                  <c:v>1119.8000000032218</c:v>
                </c:pt>
                <c:pt idx="361">
                  <c:v>1131.5000000032219</c:v>
                </c:pt>
                <c:pt idx="362">
                  <c:v>1114.6000000032218</c:v>
                </c:pt>
                <c:pt idx="363">
                  <c:v>1095.1000000031922</c:v>
                </c:pt>
                <c:pt idx="364">
                  <c:v>1020.1000000031332</c:v>
                </c:pt>
              </c:numCache>
            </c:numRef>
          </c:val>
          <c:smooth val="0"/>
        </c:ser>
        <c:ser>
          <c:idx val="8"/>
          <c:order val="6"/>
          <c:tx>
            <c:v>Guide Curve</c:v>
          </c:tx>
          <c:spPr>
            <a:effectLst>
              <a:glow>
                <a:schemeClr val="accent1"/>
              </a:glow>
              <a:outerShdw blurRad="50800" dist="50800" dir="5400000" algn="ctr" rotWithShape="0">
                <a:srgbClr val="000000">
                  <a:alpha val="0"/>
                </a:srgbClr>
              </a:outerShdw>
              <a:softEdge rad="0"/>
            </a:effectLst>
          </c:spPr>
          <c:marker>
            <c:symbol val="none"/>
          </c:marker>
          <c:val>
            <c:numRef>
              <c:f>Summary!$AF$9:$AF$373</c:f>
              <c:numCache>
                <c:formatCode>0.0</c:formatCode>
                <c:ptCount val="365"/>
                <c:pt idx="181">
                  <c:v>24119</c:v>
                </c:pt>
                <c:pt idx="182">
                  <c:v>24035</c:v>
                </c:pt>
                <c:pt idx="183">
                  <c:v>23951</c:v>
                </c:pt>
                <c:pt idx="184">
                  <c:v>23867</c:v>
                </c:pt>
                <c:pt idx="185">
                  <c:v>23783</c:v>
                </c:pt>
                <c:pt idx="186">
                  <c:v>23699</c:v>
                </c:pt>
                <c:pt idx="187">
                  <c:v>23615</c:v>
                </c:pt>
                <c:pt idx="188">
                  <c:v>23531</c:v>
                </c:pt>
                <c:pt idx="189">
                  <c:v>23448</c:v>
                </c:pt>
                <c:pt idx="190">
                  <c:v>23364</c:v>
                </c:pt>
                <c:pt idx="191">
                  <c:v>23280</c:v>
                </c:pt>
                <c:pt idx="192">
                  <c:v>23196</c:v>
                </c:pt>
                <c:pt idx="193">
                  <c:v>23112</c:v>
                </c:pt>
                <c:pt idx="194">
                  <c:v>23028</c:v>
                </c:pt>
                <c:pt idx="195">
                  <c:v>22944</c:v>
                </c:pt>
                <c:pt idx="196">
                  <c:v>22860</c:v>
                </c:pt>
                <c:pt idx="197">
                  <c:v>22777</c:v>
                </c:pt>
                <c:pt idx="198">
                  <c:v>22693</c:v>
                </c:pt>
                <c:pt idx="199">
                  <c:v>22609</c:v>
                </c:pt>
                <c:pt idx="200">
                  <c:v>22525</c:v>
                </c:pt>
                <c:pt idx="201">
                  <c:v>22441</c:v>
                </c:pt>
                <c:pt idx="202">
                  <c:v>22357</c:v>
                </c:pt>
                <c:pt idx="203">
                  <c:v>22273</c:v>
                </c:pt>
                <c:pt idx="204">
                  <c:v>22189</c:v>
                </c:pt>
                <c:pt idx="205">
                  <c:v>22106</c:v>
                </c:pt>
                <c:pt idx="206">
                  <c:v>22022</c:v>
                </c:pt>
                <c:pt idx="207">
                  <c:v>21938</c:v>
                </c:pt>
                <c:pt idx="208">
                  <c:v>21854</c:v>
                </c:pt>
                <c:pt idx="209">
                  <c:v>21770</c:v>
                </c:pt>
                <c:pt idx="210">
                  <c:v>21686</c:v>
                </c:pt>
                <c:pt idx="211">
                  <c:v>21602</c:v>
                </c:pt>
                <c:pt idx="212">
                  <c:v>21519</c:v>
                </c:pt>
                <c:pt idx="213">
                  <c:v>21351</c:v>
                </c:pt>
                <c:pt idx="214">
                  <c:v>21183</c:v>
                </c:pt>
                <c:pt idx="215">
                  <c:v>21015</c:v>
                </c:pt>
                <c:pt idx="216">
                  <c:v>20848</c:v>
                </c:pt>
                <c:pt idx="217">
                  <c:v>20680</c:v>
                </c:pt>
                <c:pt idx="218">
                  <c:v>20512</c:v>
                </c:pt>
                <c:pt idx="219">
                  <c:v>20344</c:v>
                </c:pt>
                <c:pt idx="220">
                  <c:v>20177</c:v>
                </c:pt>
                <c:pt idx="221">
                  <c:v>20009</c:v>
                </c:pt>
                <c:pt idx="222">
                  <c:v>19841</c:v>
                </c:pt>
                <c:pt idx="223">
                  <c:v>19673</c:v>
                </c:pt>
                <c:pt idx="224">
                  <c:v>19506</c:v>
                </c:pt>
                <c:pt idx="225">
                  <c:v>19338</c:v>
                </c:pt>
                <c:pt idx="226">
                  <c:v>19170</c:v>
                </c:pt>
                <c:pt idx="227">
                  <c:v>19002</c:v>
                </c:pt>
                <c:pt idx="228">
                  <c:v>18835</c:v>
                </c:pt>
                <c:pt idx="229">
                  <c:v>18667</c:v>
                </c:pt>
                <c:pt idx="230">
                  <c:v>18499</c:v>
                </c:pt>
                <c:pt idx="231">
                  <c:v>18331</c:v>
                </c:pt>
                <c:pt idx="232">
                  <c:v>18164</c:v>
                </c:pt>
                <c:pt idx="233">
                  <c:v>17996</c:v>
                </c:pt>
                <c:pt idx="234">
                  <c:v>17828</c:v>
                </c:pt>
                <c:pt idx="235">
                  <c:v>17660</c:v>
                </c:pt>
                <c:pt idx="236">
                  <c:v>17493</c:v>
                </c:pt>
                <c:pt idx="237">
                  <c:v>17325</c:v>
                </c:pt>
                <c:pt idx="238">
                  <c:v>17157</c:v>
                </c:pt>
                <c:pt idx="239">
                  <c:v>16989</c:v>
                </c:pt>
                <c:pt idx="240">
                  <c:v>16822</c:v>
                </c:pt>
                <c:pt idx="241">
                  <c:v>16654</c:v>
                </c:pt>
                <c:pt idx="242">
                  <c:v>16486</c:v>
                </c:pt>
                <c:pt idx="243">
                  <c:v>16319</c:v>
                </c:pt>
                <c:pt idx="244">
                  <c:v>16102</c:v>
                </c:pt>
                <c:pt idx="245">
                  <c:v>15885</c:v>
                </c:pt>
                <c:pt idx="246">
                  <c:v>15669</c:v>
                </c:pt>
                <c:pt idx="247">
                  <c:v>15452</c:v>
                </c:pt>
                <c:pt idx="248">
                  <c:v>15235</c:v>
                </c:pt>
                <c:pt idx="249">
                  <c:v>15019</c:v>
                </c:pt>
                <c:pt idx="250">
                  <c:v>14802</c:v>
                </c:pt>
                <c:pt idx="251">
                  <c:v>14585</c:v>
                </c:pt>
                <c:pt idx="252">
                  <c:v>14369</c:v>
                </c:pt>
                <c:pt idx="253">
                  <c:v>14152</c:v>
                </c:pt>
                <c:pt idx="254">
                  <c:v>13935</c:v>
                </c:pt>
                <c:pt idx="255">
                  <c:v>13719</c:v>
                </c:pt>
                <c:pt idx="256">
                  <c:v>13502</c:v>
                </c:pt>
                <c:pt idx="257">
                  <c:v>13285</c:v>
                </c:pt>
                <c:pt idx="258">
                  <c:v>13069</c:v>
                </c:pt>
                <c:pt idx="259">
                  <c:v>12852</c:v>
                </c:pt>
                <c:pt idx="260">
                  <c:v>12635</c:v>
                </c:pt>
                <c:pt idx="261">
                  <c:v>12419</c:v>
                </c:pt>
                <c:pt idx="262">
                  <c:v>12202</c:v>
                </c:pt>
                <c:pt idx="263">
                  <c:v>11985</c:v>
                </c:pt>
                <c:pt idx="264">
                  <c:v>11769</c:v>
                </c:pt>
                <c:pt idx="265">
                  <c:v>11552</c:v>
                </c:pt>
                <c:pt idx="266">
                  <c:v>11335</c:v>
                </c:pt>
                <c:pt idx="267">
                  <c:v>11119</c:v>
                </c:pt>
                <c:pt idx="268">
                  <c:v>10902</c:v>
                </c:pt>
                <c:pt idx="269">
                  <c:v>10685</c:v>
                </c:pt>
                <c:pt idx="270">
                  <c:v>10469</c:v>
                </c:pt>
                <c:pt idx="271">
                  <c:v>10252</c:v>
                </c:pt>
                <c:pt idx="272">
                  <c:v>10035</c:v>
                </c:pt>
                <c:pt idx="273">
                  <c:v>9819</c:v>
                </c:pt>
                <c:pt idx="274">
                  <c:v>9609</c:v>
                </c:pt>
                <c:pt idx="275">
                  <c:v>9399</c:v>
                </c:pt>
                <c:pt idx="276">
                  <c:v>9189</c:v>
                </c:pt>
                <c:pt idx="277">
                  <c:v>8980</c:v>
                </c:pt>
                <c:pt idx="278">
                  <c:v>8770</c:v>
                </c:pt>
                <c:pt idx="279">
                  <c:v>8560</c:v>
                </c:pt>
                <c:pt idx="280">
                  <c:v>8351</c:v>
                </c:pt>
                <c:pt idx="281">
                  <c:v>8141</c:v>
                </c:pt>
                <c:pt idx="282">
                  <c:v>7931</c:v>
                </c:pt>
                <c:pt idx="283">
                  <c:v>7722</c:v>
                </c:pt>
                <c:pt idx="284">
                  <c:v>7512</c:v>
                </c:pt>
                <c:pt idx="285">
                  <c:v>7302</c:v>
                </c:pt>
                <c:pt idx="286">
                  <c:v>7093</c:v>
                </c:pt>
                <c:pt idx="287">
                  <c:v>6883</c:v>
                </c:pt>
                <c:pt idx="288">
                  <c:v>6673</c:v>
                </c:pt>
                <c:pt idx="289">
                  <c:v>6464</c:v>
                </c:pt>
                <c:pt idx="290">
                  <c:v>6254</c:v>
                </c:pt>
                <c:pt idx="291">
                  <c:v>6044</c:v>
                </c:pt>
                <c:pt idx="292">
                  <c:v>5835</c:v>
                </c:pt>
                <c:pt idx="293">
                  <c:v>5625</c:v>
                </c:pt>
                <c:pt idx="294">
                  <c:v>5415</c:v>
                </c:pt>
                <c:pt idx="295">
                  <c:v>5206</c:v>
                </c:pt>
                <c:pt idx="296">
                  <c:v>4996</c:v>
                </c:pt>
                <c:pt idx="297">
                  <c:v>4786</c:v>
                </c:pt>
                <c:pt idx="298">
                  <c:v>4577</c:v>
                </c:pt>
                <c:pt idx="299">
                  <c:v>4367</c:v>
                </c:pt>
                <c:pt idx="300">
                  <c:v>4157</c:v>
                </c:pt>
                <c:pt idx="301">
                  <c:v>3948</c:v>
                </c:pt>
                <c:pt idx="302">
                  <c:v>3738</c:v>
                </c:pt>
                <c:pt idx="303">
                  <c:v>3528</c:v>
                </c:pt>
                <c:pt idx="304">
                  <c:v>3319</c:v>
                </c:pt>
                <c:pt idx="305">
                  <c:v>3229</c:v>
                </c:pt>
                <c:pt idx="306">
                  <c:v>3139</c:v>
                </c:pt>
                <c:pt idx="307">
                  <c:v>3049</c:v>
                </c:pt>
                <c:pt idx="308">
                  <c:v>2959</c:v>
                </c:pt>
                <c:pt idx="309">
                  <c:v>2869</c:v>
                </c:pt>
                <c:pt idx="310">
                  <c:v>2779</c:v>
                </c:pt>
                <c:pt idx="311">
                  <c:v>2689</c:v>
                </c:pt>
                <c:pt idx="312">
                  <c:v>2599</c:v>
                </c:pt>
                <c:pt idx="313">
                  <c:v>2509</c:v>
                </c:pt>
                <c:pt idx="314">
                  <c:v>2419</c:v>
                </c:pt>
                <c:pt idx="315">
                  <c:v>2329</c:v>
                </c:pt>
                <c:pt idx="316">
                  <c:v>2239</c:v>
                </c:pt>
                <c:pt idx="317">
                  <c:v>2149</c:v>
                </c:pt>
                <c:pt idx="318">
                  <c:v>2059</c:v>
                </c:pt>
                <c:pt idx="319">
                  <c:v>1969</c:v>
                </c:pt>
                <c:pt idx="320">
                  <c:v>1879</c:v>
                </c:pt>
                <c:pt idx="321">
                  <c:v>1789</c:v>
                </c:pt>
                <c:pt idx="322">
                  <c:v>1699</c:v>
                </c:pt>
                <c:pt idx="323">
                  <c:v>1609</c:v>
                </c:pt>
                <c:pt idx="324">
                  <c:v>1519</c:v>
                </c:pt>
                <c:pt idx="325">
                  <c:v>1429</c:v>
                </c:pt>
                <c:pt idx="326">
                  <c:v>1339</c:v>
                </c:pt>
                <c:pt idx="327">
                  <c:v>1249</c:v>
                </c:pt>
                <c:pt idx="328">
                  <c:v>1159</c:v>
                </c:pt>
                <c:pt idx="329">
                  <c:v>1069</c:v>
                </c:pt>
                <c:pt idx="330">
                  <c:v>979</c:v>
                </c:pt>
                <c:pt idx="331">
                  <c:v>889</c:v>
                </c:pt>
                <c:pt idx="332">
                  <c:v>799</c:v>
                </c:pt>
                <c:pt idx="333">
                  <c:v>709</c:v>
                </c:pt>
                <c:pt idx="334">
                  <c:v>619</c:v>
                </c:pt>
              </c:numCache>
            </c:numRef>
          </c:val>
          <c:smooth val="0"/>
        </c:ser>
        <c:ser>
          <c:idx val="4"/>
          <c:order val="7"/>
          <c:tx>
            <c:v>Conservation / Flood</c:v>
          </c:tx>
          <c:spPr>
            <a:ln>
              <a:solidFill>
                <a:srgbClr val="FF0000"/>
              </a:solidFill>
            </a:ln>
            <a:effectLst>
              <a:softEdge rad="0"/>
            </a:effectLst>
          </c:spPr>
          <c:marker>
            <c:symbol val="none"/>
          </c:marker>
          <c:val>
            <c:numRef>
              <c:f>Summary!$AB$9:$AB$373</c:f>
              <c:numCache>
                <c:formatCode>0.0</c:formatCode>
                <c:ptCount val="365"/>
                <c:pt idx="0">
                  <c:v>1574.0000000038835</c:v>
                </c:pt>
                <c:pt idx="1">
                  <c:v>1337.6000000036925</c:v>
                </c:pt>
                <c:pt idx="2">
                  <c:v>807.0000000027012</c:v>
                </c:pt>
                <c:pt idx="3">
                  <c:v>538.00000000202363</c:v>
                </c:pt>
                <c:pt idx="4">
                  <c:v>592.40000000227599</c:v>
                </c:pt>
                <c:pt idx="5">
                  <c:v>794.80000000267387</c:v>
                </c:pt>
                <c:pt idx="6">
                  <c:v>1114.6000000032218</c:v>
                </c:pt>
                <c:pt idx="7">
                  <c:v>1265.4000000035971</c:v>
                </c:pt>
                <c:pt idx="8">
                  <c:v>1096.4000000031924</c:v>
                </c:pt>
                <c:pt idx="9">
                  <c:v>807.0000000027012</c:v>
                </c:pt>
                <c:pt idx="10">
                  <c:v>617.00000000209184</c:v>
                </c:pt>
                <c:pt idx="11">
                  <c:v>621.20000000230107</c:v>
                </c:pt>
                <c:pt idx="12">
                  <c:v>720.40000000240104</c:v>
                </c:pt>
                <c:pt idx="13">
                  <c:v>861.20000000275581</c:v>
                </c:pt>
                <c:pt idx="14">
                  <c:v>940.60000000281036</c:v>
                </c:pt>
                <c:pt idx="15">
                  <c:v>987.30000000310361</c:v>
                </c:pt>
                <c:pt idx="16">
                  <c:v>1050.2000000029195</c:v>
                </c:pt>
                <c:pt idx="17">
                  <c:v>1594.500000004195</c:v>
                </c:pt>
                <c:pt idx="18">
                  <c:v>1227.2000000035653</c:v>
                </c:pt>
                <c:pt idx="19">
                  <c:v>1224.4000000035653</c:v>
                </c:pt>
                <c:pt idx="20">
                  <c:v>1307.1000000033991</c:v>
                </c:pt>
                <c:pt idx="21">
                  <c:v>1330.6000000036606</c:v>
                </c:pt>
                <c:pt idx="22">
                  <c:v>1252.800000003597</c:v>
                </c:pt>
                <c:pt idx="23">
                  <c:v>1156.2000000032515</c:v>
                </c:pt>
                <c:pt idx="24">
                  <c:v>1112.0000000032219</c:v>
                </c:pt>
                <c:pt idx="25">
                  <c:v>1091.2000000031924</c:v>
                </c:pt>
                <c:pt idx="26">
                  <c:v>1112.0000000032219</c:v>
                </c:pt>
                <c:pt idx="27">
                  <c:v>1183.500000003281</c:v>
                </c:pt>
                <c:pt idx="28">
                  <c:v>1240.4000000033402</c:v>
                </c:pt>
                <c:pt idx="29">
                  <c:v>1309.7000000033993</c:v>
                </c:pt>
                <c:pt idx="30">
                  <c:v>1282.7000000033697</c:v>
                </c:pt>
                <c:pt idx="31">
                  <c:v>1224.4000000035653</c:v>
                </c:pt>
                <c:pt idx="32">
                  <c:v>1151.0000000032514</c:v>
                </c:pt>
                <c:pt idx="33">
                  <c:v>1051.4000000029196</c:v>
                </c:pt>
                <c:pt idx="34">
                  <c:v>1024.0000000028922</c:v>
                </c:pt>
                <c:pt idx="35">
                  <c:v>1199.1000000032809</c:v>
                </c:pt>
                <c:pt idx="36">
                  <c:v>1151.0000000032514</c:v>
                </c:pt>
                <c:pt idx="37">
                  <c:v>995.10000000310367</c:v>
                </c:pt>
                <c:pt idx="38">
                  <c:v>966.20000000307414</c:v>
                </c:pt>
                <c:pt idx="39">
                  <c:v>1937.500000004502</c:v>
                </c:pt>
                <c:pt idx="40">
                  <c:v>2925.0000000070031</c:v>
                </c:pt>
                <c:pt idx="41">
                  <c:v>2690.0000000067757</c:v>
                </c:pt>
                <c:pt idx="42">
                  <c:v>2010.6000000048384</c:v>
                </c:pt>
                <c:pt idx="43">
                  <c:v>1410.4000000037563</c:v>
                </c:pt>
                <c:pt idx="44">
                  <c:v>1018.8000000031332</c:v>
                </c:pt>
                <c:pt idx="45">
                  <c:v>1600.500000004195</c:v>
                </c:pt>
                <c:pt idx="46">
                  <c:v>3452.7516076679281</c:v>
                </c:pt>
                <c:pt idx="47">
                  <c:v>4500.571381451382</c:v>
                </c:pt>
                <c:pt idx="48">
                  <c:v>3899.3098901076883</c:v>
                </c:pt>
                <c:pt idx="49">
                  <c:v>2654.4987857921942</c:v>
                </c:pt>
                <c:pt idx="50">
                  <c:v>1109.9579271432242</c:v>
                </c:pt>
                <c:pt idx="51">
                  <c:v>310.13967323369423</c:v>
                </c:pt>
                <c:pt idx="52">
                  <c:v>139.29235594643069</c:v>
                </c:pt>
                <c:pt idx="53">
                  <c:v>141.85935490788802</c:v>
                </c:pt>
                <c:pt idx="54">
                  <c:v>299.57639551955799</c:v>
                </c:pt>
                <c:pt idx="55">
                  <c:v>402.51880380726334</c:v>
                </c:pt>
                <c:pt idx="56">
                  <c:v>373.03699382401828</c:v>
                </c:pt>
                <c:pt idx="57">
                  <c:v>295.13212963804904</c:v>
                </c:pt>
                <c:pt idx="58">
                  <c:v>236.75162127795693</c:v>
                </c:pt>
                <c:pt idx="59">
                  <c:v>251.64009594511936</c:v>
                </c:pt>
                <c:pt idx="60">
                  <c:v>344.36057951715247</c:v>
                </c:pt>
                <c:pt idx="61">
                  <c:v>594.59583533662408</c:v>
                </c:pt>
                <c:pt idx="62">
                  <c:v>1063.4611614452169</c:v>
                </c:pt>
                <c:pt idx="63">
                  <c:v>1371.0656806472871</c:v>
                </c:pt>
                <c:pt idx="64">
                  <c:v>1539.7786360864352</c:v>
                </c:pt>
                <c:pt idx="65">
                  <c:v>1630.6551243126773</c:v>
                </c:pt>
                <c:pt idx="66">
                  <c:v>1675.2458062415762</c:v>
                </c:pt>
                <c:pt idx="67">
                  <c:v>1731.4372659977348</c:v>
                </c:pt>
                <c:pt idx="68">
                  <c:v>2388.7355918122717</c:v>
                </c:pt>
                <c:pt idx="69">
                  <c:v>2729.5056370310699</c:v>
                </c:pt>
                <c:pt idx="70">
                  <c:v>3460.2941628626895</c:v>
                </c:pt>
                <c:pt idx="71">
                  <c:v>4137.0730162169029</c:v>
                </c:pt>
                <c:pt idx="72">
                  <c:v>5471.6649519657585</c:v>
                </c:pt>
                <c:pt idx="73">
                  <c:v>6047.6875828503798</c:v>
                </c:pt>
                <c:pt idx="74">
                  <c:v>6133.6902916749732</c:v>
                </c:pt>
                <c:pt idx="75">
                  <c:v>5268.950333969181</c:v>
                </c:pt>
                <c:pt idx="76">
                  <c:v>5474.9676034846043</c:v>
                </c:pt>
                <c:pt idx="77">
                  <c:v>6829.4218307315705</c:v>
                </c:pt>
                <c:pt idx="78">
                  <c:v>7189.5529280491719</c:v>
                </c:pt>
                <c:pt idx="79">
                  <c:v>7662.5023753096148</c:v>
                </c:pt>
                <c:pt idx="80">
                  <c:v>8030.853875859998</c:v>
                </c:pt>
                <c:pt idx="81">
                  <c:v>8514.9246950845227</c:v>
                </c:pt>
                <c:pt idx="82">
                  <c:v>9215.289036377475</c:v>
                </c:pt>
                <c:pt idx="83">
                  <c:v>9906.0369672047818</c:v>
                </c:pt>
                <c:pt idx="84">
                  <c:v>10358.137068383188</c:v>
                </c:pt>
                <c:pt idx="85">
                  <c:v>10806.428724384445</c:v>
                </c:pt>
                <c:pt idx="86">
                  <c:v>11268.686320508823</c:v>
                </c:pt>
                <c:pt idx="87">
                  <c:v>12551.854206790511</c:v>
                </c:pt>
                <c:pt idx="88">
                  <c:v>14058.402109628489</c:v>
                </c:pt>
                <c:pt idx="89">
                  <c:v>14840.474211144869</c:v>
                </c:pt>
                <c:pt idx="90">
                  <c:v>15661.609413984619</c:v>
                </c:pt>
                <c:pt idx="91">
                  <c:v>16120.347975388591</c:v>
                </c:pt>
                <c:pt idx="92">
                  <c:v>16316.900833870754</c:v>
                </c:pt>
                <c:pt idx="93">
                  <c:v>16426.742616169737</c:v>
                </c:pt>
                <c:pt idx="94">
                  <c:v>16524.054696169915</c:v>
                </c:pt>
                <c:pt idx="95">
                  <c:v>16699.171159645659</c:v>
                </c:pt>
                <c:pt idx="96">
                  <c:v>17506.195068008084</c:v>
                </c:pt>
                <c:pt idx="97">
                  <c:v>18435.330270848826</c:v>
                </c:pt>
                <c:pt idx="98">
                  <c:v>18748.601630483834</c:v>
                </c:pt>
                <c:pt idx="99">
                  <c:v>18762.460755783424</c:v>
                </c:pt>
                <c:pt idx="100">
                  <c:v>18723.691556904581</c:v>
                </c:pt>
                <c:pt idx="101">
                  <c:v>18856.038078840262</c:v>
                </c:pt>
                <c:pt idx="102">
                  <c:v>19492.745808302476</c:v>
                </c:pt>
                <c:pt idx="103">
                  <c:v>20175.495042872026</c:v>
                </c:pt>
                <c:pt idx="104">
                  <c:v>20667.059588912249</c:v>
                </c:pt>
                <c:pt idx="105">
                  <c:v>20886.313771257992</c:v>
                </c:pt>
                <c:pt idx="106">
                  <c:v>21018.540156523122</c:v>
                </c:pt>
                <c:pt idx="107">
                  <c:v>21314.092152136625</c:v>
                </c:pt>
                <c:pt idx="108">
                  <c:v>21512.371017056856</c:v>
                </c:pt>
                <c:pt idx="109">
                  <c:v>21686.130293309445</c:v>
                </c:pt>
                <c:pt idx="110">
                  <c:v>21934.307755310758</c:v>
                </c:pt>
                <c:pt idx="111">
                  <c:v>22096.025576930799</c:v>
                </c:pt>
                <c:pt idx="112">
                  <c:v>22416.51802373711</c:v>
                </c:pt>
                <c:pt idx="113">
                  <c:v>22608.749766613601</c:v>
                </c:pt>
                <c:pt idx="114">
                  <c:v>22565.28844115814</c:v>
                </c:pt>
                <c:pt idx="115">
                  <c:v>22692.202988523597</c:v>
                </c:pt>
                <c:pt idx="116">
                  <c:v>23049.548521797289</c:v>
                </c:pt>
                <c:pt idx="117">
                  <c:v>23268.290877934582</c:v>
                </c:pt>
                <c:pt idx="118">
                  <c:v>23217.214293367506</c:v>
                </c:pt>
                <c:pt idx="119">
                  <c:v>23252.545473861959</c:v>
                </c:pt>
                <c:pt idx="120">
                  <c:v>23594.06650158608</c:v>
                </c:pt>
                <c:pt idx="121">
                  <c:v>23663.409835924991</c:v>
                </c:pt>
                <c:pt idx="122">
                  <c:v>23820.868470145026</c:v>
                </c:pt>
                <c:pt idx="123">
                  <c:v>24178</c:v>
                </c:pt>
                <c:pt idx="124">
                  <c:v>24178</c:v>
                </c:pt>
                <c:pt idx="125">
                  <c:v>24178</c:v>
                </c:pt>
                <c:pt idx="126">
                  <c:v>21789.791323137113</c:v>
                </c:pt>
                <c:pt idx="127">
                  <c:v>20225.295612608432</c:v>
                </c:pt>
                <c:pt idx="128">
                  <c:v>19786.915260608206</c:v>
                </c:pt>
                <c:pt idx="129">
                  <c:v>19909.88072340926</c:v>
                </c:pt>
                <c:pt idx="130">
                  <c:v>20337.310113038384</c:v>
                </c:pt>
                <c:pt idx="131">
                  <c:v>20586.510192714453</c:v>
                </c:pt>
                <c:pt idx="132">
                  <c:v>20744.557687898909</c:v>
                </c:pt>
                <c:pt idx="133">
                  <c:v>20449.005183084097</c:v>
                </c:pt>
                <c:pt idx="134">
                  <c:v>20275.761672386419</c:v>
                </c:pt>
                <c:pt idx="135">
                  <c:v>21067.005663752716</c:v>
                </c:pt>
                <c:pt idx="136">
                  <c:v>21955.275239948656</c:v>
                </c:pt>
                <c:pt idx="137">
                  <c:v>22555.915674912962</c:v>
                </c:pt>
                <c:pt idx="138">
                  <c:v>22897.600995443638</c:v>
                </c:pt>
                <c:pt idx="139">
                  <c:v>23392.515656178733</c:v>
                </c:pt>
                <c:pt idx="140">
                  <c:v>24056.50483707169</c:v>
                </c:pt>
                <c:pt idx="141">
                  <c:v>24257</c:v>
                </c:pt>
                <c:pt idx="142">
                  <c:v>24257</c:v>
                </c:pt>
                <c:pt idx="143">
                  <c:v>24257</c:v>
                </c:pt>
                <c:pt idx="144">
                  <c:v>24257</c:v>
                </c:pt>
                <c:pt idx="145">
                  <c:v>24257</c:v>
                </c:pt>
                <c:pt idx="146">
                  <c:v>24257</c:v>
                </c:pt>
                <c:pt idx="147">
                  <c:v>24257</c:v>
                </c:pt>
                <c:pt idx="148">
                  <c:v>24257</c:v>
                </c:pt>
                <c:pt idx="149">
                  <c:v>24257</c:v>
                </c:pt>
                <c:pt idx="150">
                  <c:v>24257</c:v>
                </c:pt>
                <c:pt idx="151">
                  <c:v>24257</c:v>
                </c:pt>
                <c:pt idx="152">
                  <c:v>24257</c:v>
                </c:pt>
                <c:pt idx="153">
                  <c:v>24257</c:v>
                </c:pt>
                <c:pt idx="154">
                  <c:v>24257</c:v>
                </c:pt>
                <c:pt idx="155">
                  <c:v>24257</c:v>
                </c:pt>
                <c:pt idx="156">
                  <c:v>24257</c:v>
                </c:pt>
                <c:pt idx="157">
                  <c:v>24257</c:v>
                </c:pt>
                <c:pt idx="158">
                  <c:v>24257</c:v>
                </c:pt>
                <c:pt idx="159">
                  <c:v>24257</c:v>
                </c:pt>
                <c:pt idx="160">
                  <c:v>24257</c:v>
                </c:pt>
                <c:pt idx="161">
                  <c:v>24257</c:v>
                </c:pt>
                <c:pt idx="162">
                  <c:v>24257</c:v>
                </c:pt>
                <c:pt idx="163">
                  <c:v>24257</c:v>
                </c:pt>
                <c:pt idx="164">
                  <c:v>24257</c:v>
                </c:pt>
                <c:pt idx="165">
                  <c:v>24257</c:v>
                </c:pt>
                <c:pt idx="166">
                  <c:v>24257</c:v>
                </c:pt>
                <c:pt idx="167">
                  <c:v>24257</c:v>
                </c:pt>
                <c:pt idx="168">
                  <c:v>24257</c:v>
                </c:pt>
                <c:pt idx="169">
                  <c:v>24257</c:v>
                </c:pt>
                <c:pt idx="170">
                  <c:v>24257</c:v>
                </c:pt>
                <c:pt idx="171">
                  <c:v>24257</c:v>
                </c:pt>
                <c:pt idx="172">
                  <c:v>24253.640000119238</c:v>
                </c:pt>
                <c:pt idx="173">
                  <c:v>24257</c:v>
                </c:pt>
                <c:pt idx="174">
                  <c:v>24257</c:v>
                </c:pt>
                <c:pt idx="175">
                  <c:v>24257</c:v>
                </c:pt>
                <c:pt idx="176">
                  <c:v>24257</c:v>
                </c:pt>
                <c:pt idx="177">
                  <c:v>24257</c:v>
                </c:pt>
                <c:pt idx="178">
                  <c:v>24257</c:v>
                </c:pt>
                <c:pt idx="179">
                  <c:v>24257</c:v>
                </c:pt>
                <c:pt idx="180">
                  <c:v>24257</c:v>
                </c:pt>
                <c:pt idx="181">
                  <c:v>24119</c:v>
                </c:pt>
                <c:pt idx="182">
                  <c:v>24035</c:v>
                </c:pt>
                <c:pt idx="183">
                  <c:v>23951</c:v>
                </c:pt>
                <c:pt idx="184">
                  <c:v>23867</c:v>
                </c:pt>
                <c:pt idx="185">
                  <c:v>23783</c:v>
                </c:pt>
                <c:pt idx="186">
                  <c:v>23699</c:v>
                </c:pt>
                <c:pt idx="187">
                  <c:v>23615</c:v>
                </c:pt>
                <c:pt idx="188">
                  <c:v>23531</c:v>
                </c:pt>
                <c:pt idx="189">
                  <c:v>23448</c:v>
                </c:pt>
                <c:pt idx="190">
                  <c:v>23364</c:v>
                </c:pt>
                <c:pt idx="191">
                  <c:v>23280</c:v>
                </c:pt>
                <c:pt idx="192">
                  <c:v>23202.059476019174</c:v>
                </c:pt>
                <c:pt idx="193">
                  <c:v>23114.069675239225</c:v>
                </c:pt>
                <c:pt idx="194">
                  <c:v>23059.630928090162</c:v>
                </c:pt>
                <c:pt idx="195">
                  <c:v>22983.508443744875</c:v>
                </c:pt>
                <c:pt idx="196">
                  <c:v>22906.889572063905</c:v>
                </c:pt>
                <c:pt idx="197">
                  <c:v>22821.161872497018</c:v>
                </c:pt>
                <c:pt idx="198">
                  <c:v>22745.829055030612</c:v>
                </c:pt>
                <c:pt idx="199">
                  <c:v>22671.502986648986</c:v>
                </c:pt>
                <c:pt idx="200">
                  <c:v>22620.470986648987</c:v>
                </c:pt>
                <c:pt idx="201">
                  <c:v>22546.800986648741</c:v>
                </c:pt>
                <c:pt idx="202">
                  <c:v>22485.030986648744</c:v>
                </c:pt>
                <c:pt idx="203">
                  <c:v>22411.5609866495</c:v>
                </c:pt>
                <c:pt idx="204">
                  <c:v>22317.190986647482</c:v>
                </c:pt>
                <c:pt idx="205">
                  <c:v>22224.220986647233</c:v>
                </c:pt>
                <c:pt idx="206">
                  <c:v>22141.089179386028</c:v>
                </c:pt>
                <c:pt idx="207">
                  <c:v>22069.758920212451</c:v>
                </c:pt>
                <c:pt idx="208">
                  <c:v>21998.473700344395</c:v>
                </c:pt>
                <c:pt idx="209">
                  <c:v>21927.042034216305</c:v>
                </c:pt>
                <c:pt idx="210">
                  <c:v>21854.78040045884</c:v>
                </c:pt>
                <c:pt idx="211">
                  <c:v>21772.610400458594</c:v>
                </c:pt>
                <c:pt idx="212">
                  <c:v>21658.16165565735</c:v>
                </c:pt>
                <c:pt idx="213">
                  <c:v>21484.408016673457</c:v>
                </c:pt>
                <c:pt idx="214">
                  <c:v>21310.820634845571</c:v>
                </c:pt>
                <c:pt idx="215">
                  <c:v>21137.314596578275</c:v>
                </c:pt>
                <c:pt idx="216">
                  <c:v>20949.29059657803</c:v>
                </c:pt>
                <c:pt idx="217">
                  <c:v>20761.286173669112</c:v>
                </c:pt>
                <c:pt idx="218">
                  <c:v>20554.854173668864</c:v>
                </c:pt>
                <c:pt idx="219">
                  <c:v>20349.622173666663</c:v>
                </c:pt>
                <c:pt idx="220">
                  <c:v>20157.290173667403</c:v>
                </c:pt>
                <c:pt idx="221">
                  <c:v>19954.941144470424</c:v>
                </c:pt>
                <c:pt idx="222">
                  <c:v>19750.913144470185</c:v>
                </c:pt>
                <c:pt idx="223">
                  <c:v>19529.085144468976</c:v>
                </c:pt>
                <c:pt idx="224">
                  <c:v>19349.457144467764</c:v>
                </c:pt>
                <c:pt idx="225">
                  <c:v>19139.029144468499</c:v>
                </c:pt>
                <c:pt idx="226">
                  <c:v>19140</c:v>
                </c:pt>
                <c:pt idx="227">
                  <c:v>19002</c:v>
                </c:pt>
                <c:pt idx="228">
                  <c:v>18835</c:v>
                </c:pt>
                <c:pt idx="229">
                  <c:v>18667</c:v>
                </c:pt>
                <c:pt idx="230">
                  <c:v>18499</c:v>
                </c:pt>
                <c:pt idx="231">
                  <c:v>18331</c:v>
                </c:pt>
                <c:pt idx="232">
                  <c:v>18164</c:v>
                </c:pt>
                <c:pt idx="233">
                  <c:v>17996</c:v>
                </c:pt>
                <c:pt idx="234">
                  <c:v>17828</c:v>
                </c:pt>
                <c:pt idx="235">
                  <c:v>17660</c:v>
                </c:pt>
                <c:pt idx="236">
                  <c:v>17493</c:v>
                </c:pt>
                <c:pt idx="237">
                  <c:v>17325</c:v>
                </c:pt>
                <c:pt idx="238">
                  <c:v>17157</c:v>
                </c:pt>
                <c:pt idx="239">
                  <c:v>16989</c:v>
                </c:pt>
                <c:pt idx="240">
                  <c:v>16822</c:v>
                </c:pt>
                <c:pt idx="241">
                  <c:v>16654</c:v>
                </c:pt>
                <c:pt idx="242">
                  <c:v>16486</c:v>
                </c:pt>
                <c:pt idx="243">
                  <c:v>16319</c:v>
                </c:pt>
                <c:pt idx="244">
                  <c:v>16102</c:v>
                </c:pt>
                <c:pt idx="245">
                  <c:v>15885</c:v>
                </c:pt>
                <c:pt idx="246">
                  <c:v>15669</c:v>
                </c:pt>
                <c:pt idx="247">
                  <c:v>15452</c:v>
                </c:pt>
                <c:pt idx="248">
                  <c:v>15235</c:v>
                </c:pt>
                <c:pt idx="249">
                  <c:v>15019</c:v>
                </c:pt>
                <c:pt idx="250">
                  <c:v>14802</c:v>
                </c:pt>
                <c:pt idx="251">
                  <c:v>14585</c:v>
                </c:pt>
                <c:pt idx="252">
                  <c:v>14369</c:v>
                </c:pt>
                <c:pt idx="253">
                  <c:v>14152</c:v>
                </c:pt>
                <c:pt idx="254">
                  <c:v>13935</c:v>
                </c:pt>
                <c:pt idx="255">
                  <c:v>13719</c:v>
                </c:pt>
                <c:pt idx="256">
                  <c:v>13502</c:v>
                </c:pt>
                <c:pt idx="257">
                  <c:v>13285</c:v>
                </c:pt>
                <c:pt idx="258">
                  <c:v>13069</c:v>
                </c:pt>
                <c:pt idx="259">
                  <c:v>12852</c:v>
                </c:pt>
                <c:pt idx="260">
                  <c:v>12635</c:v>
                </c:pt>
                <c:pt idx="261">
                  <c:v>12419</c:v>
                </c:pt>
                <c:pt idx="262">
                  <c:v>12202</c:v>
                </c:pt>
                <c:pt idx="263">
                  <c:v>11985</c:v>
                </c:pt>
                <c:pt idx="264">
                  <c:v>11769</c:v>
                </c:pt>
                <c:pt idx="265">
                  <c:v>11552</c:v>
                </c:pt>
                <c:pt idx="266">
                  <c:v>11335</c:v>
                </c:pt>
                <c:pt idx="267">
                  <c:v>11119</c:v>
                </c:pt>
                <c:pt idx="268">
                  <c:v>10902</c:v>
                </c:pt>
                <c:pt idx="269">
                  <c:v>10685</c:v>
                </c:pt>
                <c:pt idx="270">
                  <c:v>10469</c:v>
                </c:pt>
                <c:pt idx="271">
                  <c:v>10252</c:v>
                </c:pt>
                <c:pt idx="272">
                  <c:v>10035</c:v>
                </c:pt>
                <c:pt idx="273">
                  <c:v>9819</c:v>
                </c:pt>
                <c:pt idx="274">
                  <c:v>9609</c:v>
                </c:pt>
                <c:pt idx="275">
                  <c:v>9399</c:v>
                </c:pt>
                <c:pt idx="276">
                  <c:v>9189</c:v>
                </c:pt>
                <c:pt idx="277">
                  <c:v>8980</c:v>
                </c:pt>
                <c:pt idx="278">
                  <c:v>8770</c:v>
                </c:pt>
                <c:pt idx="279">
                  <c:v>8560</c:v>
                </c:pt>
                <c:pt idx="280">
                  <c:v>8351</c:v>
                </c:pt>
                <c:pt idx="281">
                  <c:v>8141</c:v>
                </c:pt>
                <c:pt idx="282">
                  <c:v>7931</c:v>
                </c:pt>
                <c:pt idx="283">
                  <c:v>7722</c:v>
                </c:pt>
                <c:pt idx="284">
                  <c:v>7512</c:v>
                </c:pt>
                <c:pt idx="285">
                  <c:v>7302</c:v>
                </c:pt>
                <c:pt idx="286">
                  <c:v>7093</c:v>
                </c:pt>
                <c:pt idx="287">
                  <c:v>6883</c:v>
                </c:pt>
                <c:pt idx="288">
                  <c:v>6673</c:v>
                </c:pt>
                <c:pt idx="289">
                  <c:v>6464</c:v>
                </c:pt>
                <c:pt idx="290">
                  <c:v>7295.1604797203563</c:v>
                </c:pt>
                <c:pt idx="291">
                  <c:v>8013.6831340579856</c:v>
                </c:pt>
                <c:pt idx="292">
                  <c:v>7051.6555696172172</c:v>
                </c:pt>
                <c:pt idx="293">
                  <c:v>5729.6421509084594</c:v>
                </c:pt>
                <c:pt idx="294">
                  <c:v>15703.455393059608</c:v>
                </c:pt>
                <c:pt idx="295">
                  <c:v>13725.146109658781</c:v>
                </c:pt>
                <c:pt idx="296">
                  <c:v>9957.4337495591535</c:v>
                </c:pt>
                <c:pt idx="297">
                  <c:v>7164.5981649368105</c:v>
                </c:pt>
                <c:pt idx="298">
                  <c:v>5756.1858007074788</c:v>
                </c:pt>
                <c:pt idx="299">
                  <c:v>5070.9035760487513</c:v>
                </c:pt>
                <c:pt idx="300">
                  <c:v>4435.9141727169663</c:v>
                </c:pt>
                <c:pt idx="301">
                  <c:v>3667.4615077335056</c:v>
                </c:pt>
                <c:pt idx="302">
                  <c:v>2887.6922405487285</c:v>
                </c:pt>
                <c:pt idx="303">
                  <c:v>2358.3314727753504</c:v>
                </c:pt>
                <c:pt idx="304">
                  <c:v>1233.9000000033402</c:v>
                </c:pt>
                <c:pt idx="305">
                  <c:v>916.40000000278303</c:v>
                </c:pt>
                <c:pt idx="306">
                  <c:v>932.60000000257617</c:v>
                </c:pt>
                <c:pt idx="307">
                  <c:v>1096.4000000031924</c:v>
                </c:pt>
                <c:pt idx="308">
                  <c:v>1272.3000000033696</c:v>
                </c:pt>
                <c:pt idx="309">
                  <c:v>1118.5000000032219</c:v>
                </c:pt>
                <c:pt idx="310">
                  <c:v>756.00000000264663</c:v>
                </c:pt>
                <c:pt idx="311">
                  <c:v>641.00000000211458</c:v>
                </c:pt>
                <c:pt idx="312">
                  <c:v>823.40000000247608</c:v>
                </c:pt>
                <c:pt idx="313">
                  <c:v>1059.8000000029194</c:v>
                </c:pt>
                <c:pt idx="314">
                  <c:v>1244.4000000035971</c:v>
                </c:pt>
                <c:pt idx="315">
                  <c:v>1437.0000000037562</c:v>
                </c:pt>
                <c:pt idx="316">
                  <c:v>1496.0000000040927</c:v>
                </c:pt>
                <c:pt idx="317">
                  <c:v>1359.0000000036925</c:v>
                </c:pt>
                <c:pt idx="318">
                  <c:v>1086.0000000031923</c:v>
                </c:pt>
                <c:pt idx="319">
                  <c:v>1011.0000000031332</c:v>
                </c:pt>
                <c:pt idx="320">
                  <c:v>957.4000000028376</c:v>
                </c:pt>
                <c:pt idx="321">
                  <c:v>724.80000000240102</c:v>
                </c:pt>
                <c:pt idx="322">
                  <c:v>930.40000000257612</c:v>
                </c:pt>
                <c:pt idx="323">
                  <c:v>3708.5000000087857</c:v>
                </c:pt>
                <c:pt idx="324">
                  <c:v>2445.3000000055663</c:v>
                </c:pt>
                <c:pt idx="325">
                  <c:v>2253.0000000053728</c:v>
                </c:pt>
                <c:pt idx="326">
                  <c:v>6813.7000000143089</c:v>
                </c:pt>
                <c:pt idx="327">
                  <c:v>9544.5000000210312</c:v>
                </c:pt>
                <c:pt idx="328">
                  <c:v>8106.2000000169528</c:v>
                </c:pt>
                <c:pt idx="329">
                  <c:v>5265.4000000114684</c:v>
                </c:pt>
                <c:pt idx="330">
                  <c:v>2769.9000000064802</c:v>
                </c:pt>
                <c:pt idx="331">
                  <c:v>1779.5000000043656</c:v>
                </c:pt>
                <c:pt idx="332">
                  <c:v>1441.2000000037881</c:v>
                </c:pt>
                <c:pt idx="333">
                  <c:v>1364.6000000036925</c:v>
                </c:pt>
                <c:pt idx="334">
                  <c:v>1404.5000000039904</c:v>
                </c:pt>
                <c:pt idx="335">
                  <c:v>1319.4000000036608</c:v>
                </c:pt>
                <c:pt idx="336">
                  <c:v>1109.400000003222</c:v>
                </c:pt>
                <c:pt idx="337">
                  <c:v>779.60000000245111</c:v>
                </c:pt>
                <c:pt idx="338">
                  <c:v>684.00000000235104</c:v>
                </c:pt>
                <c:pt idx="339">
                  <c:v>788.80000000267387</c:v>
                </c:pt>
                <c:pt idx="340">
                  <c:v>875.60000000275579</c:v>
                </c:pt>
                <c:pt idx="341">
                  <c:v>950.20000000283767</c:v>
                </c:pt>
                <c:pt idx="342">
                  <c:v>989.90000000310363</c:v>
                </c:pt>
                <c:pt idx="343">
                  <c:v>900.80000000278301</c:v>
                </c:pt>
                <c:pt idx="344">
                  <c:v>902.00000000278305</c:v>
                </c:pt>
                <c:pt idx="345">
                  <c:v>892.40000000278303</c:v>
                </c:pt>
                <c:pt idx="346">
                  <c:v>843.20000000272853</c:v>
                </c:pt>
                <c:pt idx="347">
                  <c:v>849.20000000272853</c:v>
                </c:pt>
                <c:pt idx="348">
                  <c:v>952.60000000283765</c:v>
                </c:pt>
                <c:pt idx="349">
                  <c:v>1027.6000000028921</c:v>
                </c:pt>
                <c:pt idx="350">
                  <c:v>1319.4000000036608</c:v>
                </c:pt>
                <c:pt idx="351">
                  <c:v>3895.1000000089425</c:v>
                </c:pt>
                <c:pt idx="352">
                  <c:v>5815.9000000124006</c:v>
                </c:pt>
                <c:pt idx="353">
                  <c:v>5477.0000000116461</c:v>
                </c:pt>
                <c:pt idx="354">
                  <c:v>4684.6000000100958</c:v>
                </c:pt>
                <c:pt idx="355">
                  <c:v>4475.2000000098769</c:v>
                </c:pt>
                <c:pt idx="356">
                  <c:v>4159.4000000096039</c:v>
                </c:pt>
                <c:pt idx="357">
                  <c:v>3548.6000000082536</c:v>
                </c:pt>
                <c:pt idx="358">
                  <c:v>2803.0000000068667</c:v>
                </c:pt>
                <c:pt idx="359">
                  <c:v>2015.400000004875</c:v>
                </c:pt>
                <c:pt idx="360">
                  <c:v>1403.0000000039904</c:v>
                </c:pt>
                <c:pt idx="361">
                  <c:v>1145.8000000032514</c:v>
                </c:pt>
                <c:pt idx="362">
                  <c:v>5002.0000000108002</c:v>
                </c:pt>
                <c:pt idx="363">
                  <c:v>7168.0000000150749</c:v>
                </c:pt>
                <c:pt idx="364">
                  <c:v>6239.8000000137154</c:v>
                </c:pt>
              </c:numCache>
            </c:numRef>
          </c:val>
          <c:smooth val="0"/>
        </c:ser>
        <c:ser>
          <c:idx val="5"/>
          <c:order val="8"/>
          <c:tx>
            <c:v>1135 + Resource</c:v>
          </c:tx>
          <c:marker>
            <c:symbol val="none"/>
          </c:marker>
          <c:val>
            <c:numRef>
              <c:f>Summary!$W$9:$W$373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889.3940642541711</c:v>
                </c:pt>
                <c:pt idx="124">
                  <c:v>3830.9225435204826</c:v>
                </c:pt>
                <c:pt idx="125">
                  <c:v>4287.6554362396855</c:v>
                </c:pt>
                <c:pt idx="126">
                  <c:v>5000</c:v>
                </c:pt>
                <c:pt idx="127">
                  <c:v>5000</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5000</c:v>
                </c:pt>
                <c:pt idx="169">
                  <c:v>5000</c:v>
                </c:pt>
                <c:pt idx="170">
                  <c:v>5000</c:v>
                </c:pt>
                <c:pt idx="171">
                  <c:v>5000</c:v>
                </c:pt>
                <c:pt idx="172">
                  <c:v>5000</c:v>
                </c:pt>
                <c:pt idx="173">
                  <c:v>15000</c:v>
                </c:pt>
                <c:pt idx="174">
                  <c:v>14930.520000118187</c:v>
                </c:pt>
                <c:pt idx="175">
                  <c:v>14773.320000116888</c:v>
                </c:pt>
                <c:pt idx="176">
                  <c:v>14626.720000116889</c:v>
                </c:pt>
                <c:pt idx="177">
                  <c:v>14604.320000116888</c:v>
                </c:pt>
                <c:pt idx="178">
                  <c:v>14593.120000116891</c:v>
                </c:pt>
                <c:pt idx="179">
                  <c:v>14537.020000117678</c:v>
                </c:pt>
                <c:pt idx="180">
                  <c:v>14412.720000117675</c:v>
                </c:pt>
                <c:pt idx="181">
                  <c:v>14348.320000116379</c:v>
                </c:pt>
                <c:pt idx="182">
                  <c:v>14251.266453763987</c:v>
                </c:pt>
                <c:pt idx="183">
                  <c:v>14188.902390053707</c:v>
                </c:pt>
                <c:pt idx="184">
                  <c:v>14205.071446932772</c:v>
                </c:pt>
                <c:pt idx="185">
                  <c:v>14188.07282676726</c:v>
                </c:pt>
                <c:pt idx="186">
                  <c:v>14160.614997474084</c:v>
                </c:pt>
                <c:pt idx="187">
                  <c:v>14132.145372165061</c:v>
                </c:pt>
                <c:pt idx="188">
                  <c:v>14136.856944759478</c:v>
                </c:pt>
                <c:pt idx="189">
                  <c:v>14118.876782499545</c:v>
                </c:pt>
                <c:pt idx="190">
                  <c:v>14081.723779002074</c:v>
                </c:pt>
                <c:pt idx="191">
                  <c:v>14058.264396152517</c:v>
                </c:pt>
                <c:pt idx="192">
                  <c:v>14058.264396152517</c:v>
                </c:pt>
                <c:pt idx="193">
                  <c:v>14058.264396152517</c:v>
                </c:pt>
                <c:pt idx="194">
                  <c:v>14058.264396152517</c:v>
                </c:pt>
                <c:pt idx="195">
                  <c:v>14058.264396152517</c:v>
                </c:pt>
                <c:pt idx="196">
                  <c:v>14058.264396152517</c:v>
                </c:pt>
                <c:pt idx="197">
                  <c:v>14058.264396152517</c:v>
                </c:pt>
                <c:pt idx="198">
                  <c:v>14058.264396152517</c:v>
                </c:pt>
                <c:pt idx="199">
                  <c:v>14058.264396152517</c:v>
                </c:pt>
                <c:pt idx="200">
                  <c:v>14058.264396152517</c:v>
                </c:pt>
                <c:pt idx="201">
                  <c:v>14058.264396152517</c:v>
                </c:pt>
                <c:pt idx="202">
                  <c:v>14058.264396152517</c:v>
                </c:pt>
                <c:pt idx="203">
                  <c:v>14058.264396152517</c:v>
                </c:pt>
                <c:pt idx="204">
                  <c:v>14058.264396152517</c:v>
                </c:pt>
                <c:pt idx="205">
                  <c:v>14058.264396152517</c:v>
                </c:pt>
                <c:pt idx="206">
                  <c:v>14058.264396152517</c:v>
                </c:pt>
                <c:pt idx="207">
                  <c:v>14058.264396152517</c:v>
                </c:pt>
                <c:pt idx="208">
                  <c:v>14058.264396152517</c:v>
                </c:pt>
                <c:pt idx="209">
                  <c:v>14058.264396152517</c:v>
                </c:pt>
                <c:pt idx="210">
                  <c:v>14058.264396152517</c:v>
                </c:pt>
                <c:pt idx="211">
                  <c:v>14058.264396152517</c:v>
                </c:pt>
                <c:pt idx="212">
                  <c:v>14058.264396152517</c:v>
                </c:pt>
                <c:pt idx="213">
                  <c:v>14058.264396152517</c:v>
                </c:pt>
                <c:pt idx="214">
                  <c:v>14058.264396152517</c:v>
                </c:pt>
                <c:pt idx="215">
                  <c:v>14058.264396152517</c:v>
                </c:pt>
                <c:pt idx="216">
                  <c:v>14058.264396152517</c:v>
                </c:pt>
                <c:pt idx="217">
                  <c:v>14058.264396152517</c:v>
                </c:pt>
                <c:pt idx="218">
                  <c:v>14058.264396152517</c:v>
                </c:pt>
                <c:pt idx="219">
                  <c:v>14058.264396152517</c:v>
                </c:pt>
                <c:pt idx="220">
                  <c:v>14058.264396152517</c:v>
                </c:pt>
                <c:pt idx="221">
                  <c:v>14058.264396152517</c:v>
                </c:pt>
                <c:pt idx="222">
                  <c:v>14058.264396152517</c:v>
                </c:pt>
                <c:pt idx="223">
                  <c:v>14058.264396152517</c:v>
                </c:pt>
                <c:pt idx="224">
                  <c:v>14058.264396152517</c:v>
                </c:pt>
                <c:pt idx="225">
                  <c:v>14058.264396152517</c:v>
                </c:pt>
                <c:pt idx="226">
                  <c:v>13817.26554061885</c:v>
                </c:pt>
                <c:pt idx="227">
                  <c:v>13688.637540617434</c:v>
                </c:pt>
                <c:pt idx="228">
                  <c:v>13598.409540618155</c:v>
                </c:pt>
                <c:pt idx="229">
                  <c:v>13470.743540616742</c:v>
                </c:pt>
                <c:pt idx="230">
                  <c:v>13326.077540616508</c:v>
                </c:pt>
                <c:pt idx="231">
                  <c:v>13170.711540615106</c:v>
                </c:pt>
                <c:pt idx="232">
                  <c:v>13029.245540613938</c:v>
                </c:pt>
                <c:pt idx="233">
                  <c:v>12880.479540613487</c:v>
                </c:pt>
                <c:pt idx="234">
                  <c:v>12713.413540612102</c:v>
                </c:pt>
                <c:pt idx="235">
                  <c:v>12540.247540611876</c:v>
                </c:pt>
                <c:pt idx="236">
                  <c:v>12370.938602728365</c:v>
                </c:pt>
                <c:pt idx="237">
                  <c:v>12208.329447172371</c:v>
                </c:pt>
                <c:pt idx="238">
                  <c:v>12054.173447171943</c:v>
                </c:pt>
                <c:pt idx="239">
                  <c:v>11896.817447169891</c:v>
                </c:pt>
                <c:pt idx="240">
                  <c:v>11730.812008089008</c:v>
                </c:pt>
                <c:pt idx="241">
                  <c:v>11562.239462396214</c:v>
                </c:pt>
                <c:pt idx="242">
                  <c:v>11393.383462395796</c:v>
                </c:pt>
                <c:pt idx="243">
                  <c:v>11241.629203811193</c:v>
                </c:pt>
                <c:pt idx="244">
                  <c:v>11144.14937198969</c:v>
                </c:pt>
                <c:pt idx="245">
                  <c:v>11040.341371987492</c:v>
                </c:pt>
                <c:pt idx="246">
                  <c:v>10929.633371987969</c:v>
                </c:pt>
                <c:pt idx="247">
                  <c:v>10817.226819722084</c:v>
                </c:pt>
                <c:pt idx="248">
                  <c:v>10706.454243022774</c:v>
                </c:pt>
                <c:pt idx="249">
                  <c:v>10590.365858165293</c:v>
                </c:pt>
                <c:pt idx="250">
                  <c:v>10469.524112401934</c:v>
                </c:pt>
                <c:pt idx="251">
                  <c:v>10368.204112400672</c:v>
                </c:pt>
                <c:pt idx="252">
                  <c:v>10267.692395944268</c:v>
                </c:pt>
                <c:pt idx="253">
                  <c:v>10163.472395943027</c:v>
                </c:pt>
                <c:pt idx="254">
                  <c:v>10027.852395942446</c:v>
                </c:pt>
                <c:pt idx="255">
                  <c:v>9898.6323959403744</c:v>
                </c:pt>
                <c:pt idx="256">
                  <c:v>9772.81239594</c:v>
                </c:pt>
                <c:pt idx="257">
                  <c:v>9640.7923959379586</c:v>
                </c:pt>
                <c:pt idx="258">
                  <c:v>9518.0723959359311</c:v>
                </c:pt>
                <c:pt idx="259">
                  <c:v>9421.7523959363971</c:v>
                </c:pt>
                <c:pt idx="260">
                  <c:v>9380.1024424276948</c:v>
                </c:pt>
                <c:pt idx="261">
                  <c:v>9365.8523204192024</c:v>
                </c:pt>
                <c:pt idx="262">
                  <c:v>9337.5134396098001</c:v>
                </c:pt>
                <c:pt idx="263">
                  <c:v>9234.0730300814648</c:v>
                </c:pt>
                <c:pt idx="264">
                  <c:v>8955.1453157326723</c:v>
                </c:pt>
                <c:pt idx="265">
                  <c:v>8601.6673157313817</c:v>
                </c:pt>
                <c:pt idx="266">
                  <c:v>8235.6893157307277</c:v>
                </c:pt>
                <c:pt idx="267">
                  <c:v>7872.664584214308</c:v>
                </c:pt>
                <c:pt idx="268">
                  <c:v>8017.5951102223953</c:v>
                </c:pt>
                <c:pt idx="269">
                  <c:v>7610.4171102202527</c:v>
                </c:pt>
                <c:pt idx="270">
                  <c:v>7187.8723570385519</c:v>
                </c:pt>
                <c:pt idx="271">
                  <c:v>6767.0719570364818</c:v>
                </c:pt>
                <c:pt idx="272">
                  <c:v>6365.6552854029142</c:v>
                </c:pt>
                <c:pt idx="273">
                  <c:v>6238.2538155932089</c:v>
                </c:pt>
                <c:pt idx="274">
                  <c:v>5926.6398155919487</c:v>
                </c:pt>
                <c:pt idx="275">
                  <c:v>5539.1379152639292</c:v>
                </c:pt>
                <c:pt idx="276">
                  <c:v>5119.3849526772774</c:v>
                </c:pt>
                <c:pt idx="277">
                  <c:v>4682.1709526745835</c:v>
                </c:pt>
                <c:pt idx="278">
                  <c:v>4240.9868848402657</c:v>
                </c:pt>
                <c:pt idx="279">
                  <c:v>3904.5048848390161</c:v>
                </c:pt>
                <c:pt idx="280">
                  <c:v>3815.8228848367089</c:v>
                </c:pt>
                <c:pt idx="281">
                  <c:v>3568.0408848356292</c:v>
                </c:pt>
                <c:pt idx="282">
                  <c:v>3532.1092848344633</c:v>
                </c:pt>
                <c:pt idx="283">
                  <c:v>3113.1439170260928</c:v>
                </c:pt>
                <c:pt idx="284">
                  <c:v>2796.5619170237715</c:v>
                </c:pt>
                <c:pt idx="285">
                  <c:v>2857.7457825184265</c:v>
                </c:pt>
                <c:pt idx="286">
                  <c:v>2673.3214742666314</c:v>
                </c:pt>
                <c:pt idx="287">
                  <c:v>2363.6869371220691</c:v>
                </c:pt>
                <c:pt idx="288">
                  <c:v>1947.0177728346207</c:v>
                </c:pt>
                <c:pt idx="289">
                  <c:v>1432.7357728322559</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ser>
        <c:ser>
          <c:idx val="3"/>
          <c:order val="9"/>
          <c:tx>
            <c:v>Municipal</c:v>
          </c:tx>
          <c:spPr>
            <a:ln>
              <a:solidFill>
                <a:srgbClr val="FFC000"/>
              </a:solidFill>
            </a:ln>
          </c:spPr>
          <c:marker>
            <c:symbol val="none"/>
          </c:marker>
          <c:val>
            <c:numRef>
              <c:f>Summary!$T$9:$T$373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166.24839234042551</c:v>
                </c:pt>
                <c:pt idx="47">
                  <c:v>332.92861855924826</c:v>
                </c:pt>
                <c:pt idx="48">
                  <c:v>498.09010990213403</c:v>
                </c:pt>
                <c:pt idx="49">
                  <c:v>662.90121421585957</c:v>
                </c:pt>
                <c:pt idx="50">
                  <c:v>827.5420728612778</c:v>
                </c:pt>
                <c:pt idx="51">
                  <c:v>993.06032676970506</c:v>
                </c:pt>
                <c:pt idx="52">
                  <c:v>1158.707644056939</c:v>
                </c:pt>
                <c:pt idx="53">
                  <c:v>1324.5406450959001</c:v>
                </c:pt>
                <c:pt idx="54">
                  <c:v>1490.4236044848076</c:v>
                </c:pt>
                <c:pt idx="55">
                  <c:v>1655.9811961979549</c:v>
                </c:pt>
                <c:pt idx="56">
                  <c:v>1820.4630061813159</c:v>
                </c:pt>
                <c:pt idx="57">
                  <c:v>1986.7678703673625</c:v>
                </c:pt>
                <c:pt idx="58">
                  <c:v>2153.6483787278548</c:v>
                </c:pt>
                <c:pt idx="59">
                  <c:v>2319.6599040611882</c:v>
                </c:pt>
                <c:pt idx="60">
                  <c:v>2485.6394204897597</c:v>
                </c:pt>
                <c:pt idx="61">
                  <c:v>2651.8041646710158</c:v>
                </c:pt>
                <c:pt idx="62">
                  <c:v>2817.8388385637259</c:v>
                </c:pt>
                <c:pt idx="63">
                  <c:v>2983.834319362074</c:v>
                </c:pt>
                <c:pt idx="64">
                  <c:v>3149.7213639240804</c:v>
                </c:pt>
                <c:pt idx="65">
                  <c:v>3315.7448756984954</c:v>
                </c:pt>
                <c:pt idx="66">
                  <c:v>3481.9541937697741</c:v>
                </c:pt>
                <c:pt idx="67">
                  <c:v>3648.3627340138523</c:v>
                </c:pt>
                <c:pt idx="68">
                  <c:v>3814.5644082004978</c:v>
                </c:pt>
                <c:pt idx="69">
                  <c:v>3979.7943629831066</c:v>
                </c:pt>
                <c:pt idx="70">
                  <c:v>4144.7058371527946</c:v>
                </c:pt>
                <c:pt idx="71">
                  <c:v>4309.9269838009559</c:v>
                </c:pt>
                <c:pt idx="72">
                  <c:v>4474.7350480562745</c:v>
                </c:pt>
                <c:pt idx="73">
                  <c:v>4639.3124171734489</c:v>
                </c:pt>
                <c:pt idx="74">
                  <c:v>4803.8097083497305</c:v>
                </c:pt>
                <c:pt idx="75">
                  <c:v>4968.1496660536968</c:v>
                </c:pt>
                <c:pt idx="76">
                  <c:v>5132.0323965391335</c:v>
                </c:pt>
                <c:pt idx="77">
                  <c:v>5296.7781692960425</c:v>
                </c:pt>
                <c:pt idx="78">
                  <c:v>5461.8470719813868</c:v>
                </c:pt>
                <c:pt idx="79">
                  <c:v>5628.0976247215995</c:v>
                </c:pt>
                <c:pt idx="80">
                  <c:v>5794.1461241729712</c:v>
                </c:pt>
                <c:pt idx="81">
                  <c:v>5960.475304950357</c:v>
                </c:pt>
                <c:pt idx="82">
                  <c:v>6125.3109636596046</c:v>
                </c:pt>
                <c:pt idx="83">
                  <c:v>6290.0630328351363</c:v>
                </c:pt>
                <c:pt idx="84">
                  <c:v>6454.8629316586657</c:v>
                </c:pt>
                <c:pt idx="85">
                  <c:v>6620.5712756586663</c:v>
                </c:pt>
                <c:pt idx="86">
                  <c:v>6786.9136795362874</c:v>
                </c:pt>
                <c:pt idx="87">
                  <c:v>6953.1457932582607</c:v>
                </c:pt>
                <c:pt idx="88">
                  <c:v>7118.8978904246978</c:v>
                </c:pt>
                <c:pt idx="89">
                  <c:v>7283.7257889116108</c:v>
                </c:pt>
                <c:pt idx="90">
                  <c:v>7448.4905860734743</c:v>
                </c:pt>
                <c:pt idx="91">
                  <c:v>7613.1520246717764</c:v>
                </c:pt>
                <c:pt idx="92">
                  <c:v>7778.4991661907652</c:v>
                </c:pt>
                <c:pt idx="93">
                  <c:v>7944.7573838927665</c:v>
                </c:pt>
                <c:pt idx="94">
                  <c:v>8110.2453038927652</c:v>
                </c:pt>
                <c:pt idx="95">
                  <c:v>8276.5288404190051</c:v>
                </c:pt>
                <c:pt idx="96">
                  <c:v>8442.3049320591381</c:v>
                </c:pt>
                <c:pt idx="97">
                  <c:v>8607.0697292210007</c:v>
                </c:pt>
                <c:pt idx="98">
                  <c:v>8771.8983695882544</c:v>
                </c:pt>
                <c:pt idx="99">
                  <c:v>8937.5392442886641</c:v>
                </c:pt>
                <c:pt idx="100">
                  <c:v>9103.8084431676998</c:v>
                </c:pt>
                <c:pt idx="101">
                  <c:v>9269.9619212322159</c:v>
                </c:pt>
                <c:pt idx="102">
                  <c:v>9435.6541917716349</c:v>
                </c:pt>
                <c:pt idx="103">
                  <c:v>9601.704957203734</c:v>
                </c:pt>
                <c:pt idx="104">
                  <c:v>9766.9404111658641</c:v>
                </c:pt>
                <c:pt idx="105">
                  <c:v>9931.3862288205255</c:v>
                </c:pt>
                <c:pt idx="106">
                  <c:v>10097.059843557368</c:v>
                </c:pt>
                <c:pt idx="107">
                  <c:v>10262.907847943387</c:v>
                </c:pt>
                <c:pt idx="108">
                  <c:v>10429.028983025353</c:v>
                </c:pt>
                <c:pt idx="109">
                  <c:v>10595.269706772076</c:v>
                </c:pt>
                <c:pt idx="110">
                  <c:v>10760.492244772076</c:v>
                </c:pt>
                <c:pt idx="111">
                  <c:v>10925.174423153148</c:v>
                </c:pt>
                <c:pt idx="112">
                  <c:v>11089.881976348168</c:v>
                </c:pt>
                <c:pt idx="113">
                  <c:v>11255.25023347302</c:v>
                </c:pt>
                <c:pt idx="114">
                  <c:v>11421.511558927567</c:v>
                </c:pt>
                <c:pt idx="115">
                  <c:v>11587.99701156254</c:v>
                </c:pt>
                <c:pt idx="116">
                  <c:v>11754.251478291117</c:v>
                </c:pt>
                <c:pt idx="117">
                  <c:v>11920.509122154261</c:v>
                </c:pt>
                <c:pt idx="118">
                  <c:v>12086.785706721332</c:v>
                </c:pt>
                <c:pt idx="119">
                  <c:v>12253.054526227097</c:v>
                </c:pt>
                <c:pt idx="120">
                  <c:v>12418.333498505277</c:v>
                </c:pt>
                <c:pt idx="121">
                  <c:v>12582.990164165654</c:v>
                </c:pt>
                <c:pt idx="122">
                  <c:v>12747.631529947712</c:v>
                </c:pt>
                <c:pt idx="123">
                  <c:v>12912.305935841827</c:v>
                </c:pt>
                <c:pt idx="124">
                  <c:v>13075.077456581199</c:v>
                </c:pt>
                <c:pt idx="125">
                  <c:v>13236.744563864435</c:v>
                </c:pt>
                <c:pt idx="126">
                  <c:v>13398.408676962887</c:v>
                </c:pt>
                <c:pt idx="127">
                  <c:v>13560.104387489206</c:v>
                </c:pt>
                <c:pt idx="128">
                  <c:v>13724.084739489206</c:v>
                </c:pt>
                <c:pt idx="129">
                  <c:v>13885.719276688384</c:v>
                </c:pt>
                <c:pt idx="130">
                  <c:v>14048.289887058756</c:v>
                </c:pt>
                <c:pt idx="131">
                  <c:v>14209.889807386044</c:v>
                </c:pt>
                <c:pt idx="132">
                  <c:v>14371.542312200858</c:v>
                </c:pt>
                <c:pt idx="133">
                  <c:v>14533.19481701567</c:v>
                </c:pt>
                <c:pt idx="134">
                  <c:v>14696.138327713348</c:v>
                </c:pt>
                <c:pt idx="135">
                  <c:v>14859.49433634971</c:v>
                </c:pt>
                <c:pt idx="136">
                  <c:v>15022.724760155705</c:v>
                </c:pt>
                <c:pt idx="137">
                  <c:v>15185.984325193114</c:v>
                </c:pt>
                <c:pt idx="138">
                  <c:v>15347.19900466292</c:v>
                </c:pt>
                <c:pt idx="139">
                  <c:v>15506.484343929562</c:v>
                </c:pt>
                <c:pt idx="140">
                  <c:v>15665.295163037345</c:v>
                </c:pt>
                <c:pt idx="141">
                  <c:v>15825.232251369718</c:v>
                </c:pt>
                <c:pt idx="142">
                  <c:v>15985.324811772067</c:v>
                </c:pt>
                <c:pt idx="143">
                  <c:v>16147.102124906396</c:v>
                </c:pt>
                <c:pt idx="144">
                  <c:v>16309.961037187782</c:v>
                </c:pt>
                <c:pt idx="145">
                  <c:v>16470.718872868332</c:v>
                </c:pt>
                <c:pt idx="146">
                  <c:v>16699.490326075225</c:v>
                </c:pt>
                <c:pt idx="147">
                  <c:v>16854.938991135856</c:v>
                </c:pt>
                <c:pt idx="148">
                  <c:v>17010.594530083225</c:v>
                </c:pt>
                <c:pt idx="149">
                  <c:v>17166.970714024832</c:v>
                </c:pt>
                <c:pt idx="150">
                  <c:v>17323.057915087953</c:v>
                </c:pt>
                <c:pt idx="151">
                  <c:v>17455.276746667187</c:v>
                </c:pt>
                <c:pt idx="152">
                  <c:v>17611.000181265768</c:v>
                </c:pt>
                <c:pt idx="153">
                  <c:v>17765.264826265768</c:v>
                </c:pt>
                <c:pt idx="154">
                  <c:v>17919.226745075295</c:v>
                </c:pt>
                <c:pt idx="155">
                  <c:v>18074.347406509001</c:v>
                </c:pt>
                <c:pt idx="156">
                  <c:v>18229.461735242628</c:v>
                </c:pt>
                <c:pt idx="157">
                  <c:v>18395.415555515003</c:v>
                </c:pt>
                <c:pt idx="158">
                  <c:v>18551.930945848242</c:v>
                </c:pt>
                <c:pt idx="159">
                  <c:v>18711.444938189845</c:v>
                </c:pt>
                <c:pt idx="160">
                  <c:v>18869.756944650653</c:v>
                </c:pt>
                <c:pt idx="161">
                  <c:v>19037.652500589331</c:v>
                </c:pt>
                <c:pt idx="162">
                  <c:v>19193.543120289389</c:v>
                </c:pt>
                <c:pt idx="163">
                  <c:v>19349.531309688053</c:v>
                </c:pt>
                <c:pt idx="164">
                  <c:v>19506.26018270677</c:v>
                </c:pt>
                <c:pt idx="165">
                  <c:v>19663.146995138806</c:v>
                </c:pt>
                <c:pt idx="166">
                  <c:v>19817.808284027698</c:v>
                </c:pt>
                <c:pt idx="167">
                  <c:v>19970.672501245313</c:v>
                </c:pt>
                <c:pt idx="168">
                  <c:v>20003.36</c:v>
                </c:pt>
                <c:pt idx="169">
                  <c:v>20003.36</c:v>
                </c:pt>
                <c:pt idx="170">
                  <c:v>20003.36</c:v>
                </c:pt>
                <c:pt idx="171">
                  <c:v>20003.36</c:v>
                </c:pt>
                <c:pt idx="172">
                  <c:v>20003.36</c:v>
                </c:pt>
                <c:pt idx="173">
                  <c:v>10001.68</c:v>
                </c:pt>
                <c:pt idx="174">
                  <c:v>10001.68</c:v>
                </c:pt>
                <c:pt idx="175">
                  <c:v>10001.68</c:v>
                </c:pt>
                <c:pt idx="176">
                  <c:v>10001.68</c:v>
                </c:pt>
                <c:pt idx="177">
                  <c:v>10001.68</c:v>
                </c:pt>
                <c:pt idx="178">
                  <c:v>10001.68</c:v>
                </c:pt>
                <c:pt idx="179">
                  <c:v>10001.68</c:v>
                </c:pt>
                <c:pt idx="180">
                  <c:v>10001.68</c:v>
                </c:pt>
                <c:pt idx="181">
                  <c:v>10001.68</c:v>
                </c:pt>
                <c:pt idx="182">
                  <c:v>9946.4335463531752</c:v>
                </c:pt>
                <c:pt idx="183">
                  <c:v>9891.1976100613829</c:v>
                </c:pt>
                <c:pt idx="184">
                  <c:v>9835.9285531830956</c:v>
                </c:pt>
                <c:pt idx="185">
                  <c:v>9769.9271733486094</c:v>
                </c:pt>
                <c:pt idx="186">
                  <c:v>9703.1850026415377</c:v>
                </c:pt>
                <c:pt idx="187">
                  <c:v>9637.154627949265</c:v>
                </c:pt>
                <c:pt idx="188">
                  <c:v>9571.1430553558821</c:v>
                </c:pt>
                <c:pt idx="189">
                  <c:v>9505.1232176155627</c:v>
                </c:pt>
                <c:pt idx="190">
                  <c:v>9438.0762211120018</c:v>
                </c:pt>
                <c:pt idx="191">
                  <c:v>9368.7356039602801</c:v>
                </c:pt>
                <c:pt idx="192">
                  <c:v>9302.6761279408638</c:v>
                </c:pt>
                <c:pt idx="193">
                  <c:v>9236.6659287208058</c:v>
                </c:pt>
                <c:pt idx="194">
                  <c:v>9158.4046758706409</c:v>
                </c:pt>
                <c:pt idx="195">
                  <c:v>9080.127160215925</c:v>
                </c:pt>
                <c:pt idx="196">
                  <c:v>9001.8460318956295</c:v>
                </c:pt>
                <c:pt idx="197">
                  <c:v>8923.5737314614962</c:v>
                </c:pt>
                <c:pt idx="198">
                  <c:v>8845.3065489276523</c:v>
                </c:pt>
                <c:pt idx="199">
                  <c:v>8767.0326173090307</c:v>
                </c:pt>
                <c:pt idx="200">
                  <c:v>8687.2646173090307</c:v>
                </c:pt>
                <c:pt idx="201">
                  <c:v>8618.23461730903</c:v>
                </c:pt>
                <c:pt idx="202">
                  <c:v>8549.2046173090293</c:v>
                </c:pt>
                <c:pt idx="203">
                  <c:v>8480.1746173090305</c:v>
                </c:pt>
                <c:pt idx="204">
                  <c:v>8411.1446173090299</c:v>
                </c:pt>
                <c:pt idx="205">
                  <c:v>8342.1146173090292</c:v>
                </c:pt>
                <c:pt idx="206">
                  <c:v>8273.0464245702406</c:v>
                </c:pt>
                <c:pt idx="207">
                  <c:v>8203.9766837435727</c:v>
                </c:pt>
                <c:pt idx="208">
                  <c:v>8134.8619036116297</c:v>
                </c:pt>
                <c:pt idx="209">
                  <c:v>8065.7935697404755</c:v>
                </c:pt>
                <c:pt idx="210">
                  <c:v>7996.7552034969322</c:v>
                </c:pt>
                <c:pt idx="211">
                  <c:v>7927.7252034969324</c:v>
                </c:pt>
                <c:pt idx="212">
                  <c:v>7817.2739482969337</c:v>
                </c:pt>
                <c:pt idx="213">
                  <c:v>7691.4275872805893</c:v>
                </c:pt>
                <c:pt idx="214">
                  <c:v>7565.4149691082257</c:v>
                </c:pt>
                <c:pt idx="215">
                  <c:v>7439.6210073742932</c:v>
                </c:pt>
                <c:pt idx="216">
                  <c:v>7341.4450073742937</c:v>
                </c:pt>
                <c:pt idx="217">
                  <c:v>7243.2494302829755</c:v>
                </c:pt>
                <c:pt idx="218">
                  <c:v>7163.4814302829755</c:v>
                </c:pt>
                <c:pt idx="219">
                  <c:v>7083.7134302829754</c:v>
                </c:pt>
                <c:pt idx="220">
                  <c:v>7003.9454302829754</c:v>
                </c:pt>
                <c:pt idx="221">
                  <c:v>6923.7944594794826</c:v>
                </c:pt>
                <c:pt idx="222">
                  <c:v>6834.8224594794819</c:v>
                </c:pt>
                <c:pt idx="223">
                  <c:v>6745.8504594794822</c:v>
                </c:pt>
                <c:pt idx="224">
                  <c:v>6656.8784594794824</c:v>
                </c:pt>
                <c:pt idx="225">
                  <c:v>6567.9064594794827</c:v>
                </c:pt>
                <c:pt idx="226">
                  <c:v>6478.934459479482</c:v>
                </c:pt>
                <c:pt idx="227">
                  <c:v>6389.9624594794823</c:v>
                </c:pt>
                <c:pt idx="228">
                  <c:v>6300.9904594794825</c:v>
                </c:pt>
                <c:pt idx="229">
                  <c:v>6222.7564594794812</c:v>
                </c:pt>
                <c:pt idx="230">
                  <c:v>6144.5224594794818</c:v>
                </c:pt>
                <c:pt idx="231">
                  <c:v>6066.2884594794814</c:v>
                </c:pt>
                <c:pt idx="232">
                  <c:v>5988.0544594794819</c:v>
                </c:pt>
                <c:pt idx="233">
                  <c:v>5909.8204594794815</c:v>
                </c:pt>
                <c:pt idx="234">
                  <c:v>5831.5864594794812</c:v>
                </c:pt>
                <c:pt idx="235">
                  <c:v>5753.3524594794817</c:v>
                </c:pt>
                <c:pt idx="236">
                  <c:v>5651.2613973606904</c:v>
                </c:pt>
                <c:pt idx="237">
                  <c:v>5549.8705529162453</c:v>
                </c:pt>
                <c:pt idx="238">
                  <c:v>5448.6265529162447</c:v>
                </c:pt>
                <c:pt idx="239">
                  <c:v>5347.382552916245</c:v>
                </c:pt>
                <c:pt idx="240">
                  <c:v>5235.5879919966974</c:v>
                </c:pt>
                <c:pt idx="241">
                  <c:v>5131.4605376881545</c:v>
                </c:pt>
                <c:pt idx="242">
                  <c:v>5030.2165376881549</c:v>
                </c:pt>
                <c:pt idx="243">
                  <c:v>4894.9707962714347</c:v>
                </c:pt>
                <c:pt idx="244">
                  <c:v>4759.6506280925214</c:v>
                </c:pt>
                <c:pt idx="245">
                  <c:v>4624.6586280925212</c:v>
                </c:pt>
                <c:pt idx="246">
                  <c:v>4489.666628092521</c:v>
                </c:pt>
                <c:pt idx="247">
                  <c:v>4351.7731803571096</c:v>
                </c:pt>
                <c:pt idx="248">
                  <c:v>4206.7457570551351</c:v>
                </c:pt>
                <c:pt idx="249">
                  <c:v>4071.6341419113419</c:v>
                </c:pt>
                <c:pt idx="250">
                  <c:v>3961.6758876742997</c:v>
                </c:pt>
                <c:pt idx="251">
                  <c:v>3854.2958876742996</c:v>
                </c:pt>
                <c:pt idx="252">
                  <c:v>3746.9076041294497</c:v>
                </c:pt>
                <c:pt idx="253">
                  <c:v>3639.5276041294496</c:v>
                </c:pt>
                <c:pt idx="254">
                  <c:v>3532.1476041294495</c:v>
                </c:pt>
                <c:pt idx="255">
                  <c:v>3424.7676041294499</c:v>
                </c:pt>
                <c:pt idx="256">
                  <c:v>3317.3876041294498</c:v>
                </c:pt>
                <c:pt idx="257">
                  <c:v>3210.0076041294496</c:v>
                </c:pt>
                <c:pt idx="258">
                  <c:v>3102.6276041294495</c:v>
                </c:pt>
                <c:pt idx="259">
                  <c:v>2995.2476041294499</c:v>
                </c:pt>
                <c:pt idx="260">
                  <c:v>2898.3975576353323</c:v>
                </c:pt>
                <c:pt idx="261">
                  <c:v>2803.247679643473</c:v>
                </c:pt>
                <c:pt idx="262">
                  <c:v>2707.7865604525268</c:v>
                </c:pt>
                <c:pt idx="263">
                  <c:v>2612.3269699797083</c:v>
                </c:pt>
                <c:pt idx="264">
                  <c:v>2561.1546843255883</c:v>
                </c:pt>
                <c:pt idx="265">
                  <c:v>2510.5326843255884</c:v>
                </c:pt>
                <c:pt idx="266">
                  <c:v>2459.9106843255886</c:v>
                </c:pt>
                <c:pt idx="267">
                  <c:v>2409.2354158407397</c:v>
                </c:pt>
                <c:pt idx="268">
                  <c:v>1858.5048898304783</c:v>
                </c:pt>
                <c:pt idx="269">
                  <c:v>1807.8828898304782</c:v>
                </c:pt>
                <c:pt idx="270">
                  <c:v>1757.1276430100731</c:v>
                </c:pt>
                <c:pt idx="271">
                  <c:v>1712.0280430100729</c:v>
                </c:pt>
                <c:pt idx="272">
                  <c:v>1667.3447146414687</c:v>
                </c:pt>
                <c:pt idx="273">
                  <c:v>1622.746184450174</c:v>
                </c:pt>
                <c:pt idx="274">
                  <c:v>1578.2601844501739</c:v>
                </c:pt>
                <c:pt idx="275">
                  <c:v>1533.6620847769534</c:v>
                </c:pt>
                <c:pt idx="276">
                  <c:v>1483.3150473622513</c:v>
                </c:pt>
                <c:pt idx="277">
                  <c:v>1438.8290473622515</c:v>
                </c:pt>
                <c:pt idx="278">
                  <c:v>1396.8131151946131</c:v>
                </c:pt>
                <c:pt idx="279">
                  <c:v>1355.3951151946133</c:v>
                </c:pt>
                <c:pt idx="280">
                  <c:v>1313.9771151946134</c:v>
                </c:pt>
                <c:pt idx="281">
                  <c:v>1272.5591151946132</c:v>
                </c:pt>
                <c:pt idx="282">
                  <c:v>931.09071519461338</c:v>
                </c:pt>
                <c:pt idx="283">
                  <c:v>889.65608300111887</c:v>
                </c:pt>
                <c:pt idx="284">
                  <c:v>848.23808300111887</c:v>
                </c:pt>
                <c:pt idx="285">
                  <c:v>806.65421750687995</c:v>
                </c:pt>
                <c:pt idx="286">
                  <c:v>764.67852575710651</c:v>
                </c:pt>
                <c:pt idx="287">
                  <c:v>722.51306289996364</c:v>
                </c:pt>
                <c:pt idx="288">
                  <c:v>680.78222718567793</c:v>
                </c:pt>
                <c:pt idx="289">
                  <c:v>639.36422718567792</c:v>
                </c:pt>
                <c:pt idx="290">
                  <c:v>597.63952029645179</c:v>
                </c:pt>
                <c:pt idx="291">
                  <c:v>556.1168659604906</c:v>
                </c:pt>
                <c:pt idx="292">
                  <c:v>449.34443039819905</c:v>
                </c:pt>
                <c:pt idx="293">
                  <c:v>339.35784910418755</c:v>
                </c:pt>
                <c:pt idx="294">
                  <c:v>240.34460697935361</c:v>
                </c:pt>
                <c:pt idx="295">
                  <c:v>149.85389037418756</c:v>
                </c:pt>
                <c:pt idx="296">
                  <c:v>60.16625046287934</c:v>
                </c:pt>
                <c:pt idx="297">
                  <c:v>-29.598164921735997</c:v>
                </c:pt>
                <c:pt idx="298">
                  <c:v>-120.18580069565544</c:v>
                </c:pt>
                <c:pt idx="299">
                  <c:v>-217.4035760381212</c:v>
                </c:pt>
                <c:pt idx="300">
                  <c:v>-324.9141727078154</c:v>
                </c:pt>
                <c:pt idx="301">
                  <c:v>-431.56150772586591</c:v>
                </c:pt>
                <c:pt idx="302">
                  <c:v>-538.19224054327822</c:v>
                </c:pt>
                <c:pt idx="303">
                  <c:v>-647.73147277076657</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ser>
        <c:ser>
          <c:idx val="0"/>
          <c:order val="10"/>
          <c:tx>
            <c:v>Unallocated</c:v>
          </c:tx>
          <c:spPr>
            <a:ln>
              <a:solidFill>
                <a:srgbClr val="7030A0"/>
              </a:solidFill>
            </a:ln>
          </c:spPr>
          <c:marker>
            <c:symbol val="none"/>
          </c:marker>
          <c:val>
            <c:numRef>
              <c:f>Summary!$AA$9:$AA$374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556.26774874106559</c:v>
                </c:pt>
                <c:pt idx="142">
                  <c:v>1022.8751883412551</c:v>
                </c:pt>
                <c:pt idx="143">
                  <c:v>1070.8978752061557</c:v>
                </c:pt>
                <c:pt idx="144">
                  <c:v>543.83896292553618</c:v>
                </c:pt>
                <c:pt idx="145">
                  <c:v>526.38112724498933</c:v>
                </c:pt>
                <c:pt idx="146">
                  <c:v>739.50967403757386</c:v>
                </c:pt>
                <c:pt idx="147">
                  <c:v>1183.0610089795045</c:v>
                </c:pt>
                <c:pt idx="148">
                  <c:v>1785.7054700318622</c:v>
                </c:pt>
                <c:pt idx="149">
                  <c:v>2157.0292860928421</c:v>
                </c:pt>
                <c:pt idx="150">
                  <c:v>2046.1420850297254</c:v>
                </c:pt>
                <c:pt idx="151">
                  <c:v>2004.3232534504859</c:v>
                </c:pt>
                <c:pt idx="152">
                  <c:v>2062.2998188521633</c:v>
                </c:pt>
                <c:pt idx="153">
                  <c:v>2121.735173852423</c:v>
                </c:pt>
                <c:pt idx="154">
                  <c:v>1979.0732550428911</c:v>
                </c:pt>
                <c:pt idx="155">
                  <c:v>1756.652593607887</c:v>
                </c:pt>
                <c:pt idx="156">
                  <c:v>1623.9382648742612</c:v>
                </c:pt>
                <c:pt idx="157">
                  <c:v>1446.7844446018826</c:v>
                </c:pt>
                <c:pt idx="158">
                  <c:v>1346.3690542699442</c:v>
                </c:pt>
                <c:pt idx="159">
                  <c:v>1164.355061927301</c:v>
                </c:pt>
                <c:pt idx="160">
                  <c:v>848.74305546727555</c:v>
                </c:pt>
                <c:pt idx="161">
                  <c:v>545.94749952755592</c:v>
                </c:pt>
                <c:pt idx="162">
                  <c:v>479.75687982854288</c:v>
                </c:pt>
                <c:pt idx="163">
                  <c:v>436.66869042883263</c:v>
                </c:pt>
                <c:pt idx="164">
                  <c:v>324.73981741011812</c:v>
                </c:pt>
                <c:pt idx="165">
                  <c:v>416.6530049804278</c:v>
                </c:pt>
                <c:pt idx="166">
                  <c:v>830.99171609205223</c:v>
                </c:pt>
                <c:pt idx="167">
                  <c:v>723.72749887444297</c:v>
                </c:pt>
                <c:pt idx="168">
                  <c:v>463.04000011975586</c:v>
                </c:pt>
                <c:pt idx="169">
                  <c:v>201.84000011949684</c:v>
                </c:pt>
                <c:pt idx="170">
                  <c:v>99.240000119236356</c:v>
                </c:pt>
                <c:pt idx="171">
                  <c:v>8.0400001192319905</c:v>
                </c:pt>
                <c:pt idx="172">
                  <c:v>0</c:v>
                </c:pt>
                <c:pt idx="173">
                  <c:v>9.7200001192322816</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63202048"/>
        <c:axId val="63203584"/>
      </c:lineChart>
      <c:lineChart>
        <c:grouping val="standard"/>
        <c:varyColors val="0"/>
        <c:ser>
          <c:idx val="6"/>
          <c:order val="0"/>
          <c:tx>
            <c:v>2017</c:v>
          </c:tx>
          <c:spPr>
            <a:ln>
              <a:solidFill>
                <a:srgbClr val="0669FA"/>
              </a:solidFill>
            </a:ln>
          </c:spPr>
          <c:marker>
            <c:symbol val="none"/>
          </c:marker>
          <c:val>
            <c:numRef>
              <c:f>Summary!$Q$9:$Q$373</c:f>
              <c:numCache>
                <c:formatCode>0.0</c:formatCode>
                <c:ptCount val="365"/>
                <c:pt idx="0">
                  <c:v>1574.0000000038835</c:v>
                </c:pt>
                <c:pt idx="1">
                  <c:v>1337.6000000036925</c:v>
                </c:pt>
                <c:pt idx="2">
                  <c:v>807.0000000027012</c:v>
                </c:pt>
                <c:pt idx="3">
                  <c:v>538.00000000202363</c:v>
                </c:pt>
                <c:pt idx="4">
                  <c:v>592.40000000227599</c:v>
                </c:pt>
                <c:pt idx="5">
                  <c:v>794.80000000267387</c:v>
                </c:pt>
                <c:pt idx="6">
                  <c:v>1114.6000000032218</c:v>
                </c:pt>
                <c:pt idx="7">
                  <c:v>1265.4000000035971</c:v>
                </c:pt>
                <c:pt idx="8">
                  <c:v>1096.4000000031924</c:v>
                </c:pt>
                <c:pt idx="9">
                  <c:v>807.0000000027012</c:v>
                </c:pt>
                <c:pt idx="10">
                  <c:v>617.00000000209184</c:v>
                </c:pt>
                <c:pt idx="11">
                  <c:v>621.20000000230107</c:v>
                </c:pt>
                <c:pt idx="12">
                  <c:v>720.40000000240104</c:v>
                </c:pt>
                <c:pt idx="13">
                  <c:v>861.20000000275581</c:v>
                </c:pt>
                <c:pt idx="14">
                  <c:v>940.60000000281036</c:v>
                </c:pt>
                <c:pt idx="15">
                  <c:v>987.30000000310361</c:v>
                </c:pt>
                <c:pt idx="16">
                  <c:v>1050.2000000029195</c:v>
                </c:pt>
                <c:pt idx="17">
                  <c:v>1594.500000004195</c:v>
                </c:pt>
                <c:pt idx="18">
                  <c:v>1227.2000000035653</c:v>
                </c:pt>
                <c:pt idx="19">
                  <c:v>1224.4000000035653</c:v>
                </c:pt>
                <c:pt idx="20">
                  <c:v>1307.1000000033991</c:v>
                </c:pt>
                <c:pt idx="21">
                  <c:v>1330.6000000036606</c:v>
                </c:pt>
                <c:pt idx="22">
                  <c:v>1252.800000003597</c:v>
                </c:pt>
                <c:pt idx="23">
                  <c:v>1156.2000000032515</c:v>
                </c:pt>
                <c:pt idx="24">
                  <c:v>1112.0000000032219</c:v>
                </c:pt>
                <c:pt idx="25">
                  <c:v>1091.2000000031924</c:v>
                </c:pt>
                <c:pt idx="26">
                  <c:v>1112.0000000032219</c:v>
                </c:pt>
                <c:pt idx="27">
                  <c:v>1183.500000003281</c:v>
                </c:pt>
                <c:pt idx="28">
                  <c:v>1240.4000000033402</c:v>
                </c:pt>
                <c:pt idx="29">
                  <c:v>1309.7000000033993</c:v>
                </c:pt>
                <c:pt idx="30">
                  <c:v>1282.7000000033697</c:v>
                </c:pt>
                <c:pt idx="31">
                  <c:v>1224.4000000035653</c:v>
                </c:pt>
                <c:pt idx="32">
                  <c:v>1151.0000000032514</c:v>
                </c:pt>
                <c:pt idx="33">
                  <c:v>1051.4000000029196</c:v>
                </c:pt>
                <c:pt idx="34">
                  <c:v>1024.0000000028922</c:v>
                </c:pt>
                <c:pt idx="35">
                  <c:v>1199.1000000032809</c:v>
                </c:pt>
                <c:pt idx="36">
                  <c:v>1151.0000000032514</c:v>
                </c:pt>
                <c:pt idx="37">
                  <c:v>995.10000000310367</c:v>
                </c:pt>
                <c:pt idx="38">
                  <c:v>966.20000000307414</c:v>
                </c:pt>
                <c:pt idx="39">
                  <c:v>1937.500000004502</c:v>
                </c:pt>
                <c:pt idx="40">
                  <c:v>2925.0000000070031</c:v>
                </c:pt>
                <c:pt idx="41">
                  <c:v>2690.0000000067757</c:v>
                </c:pt>
                <c:pt idx="42">
                  <c:v>2010.6000000048384</c:v>
                </c:pt>
                <c:pt idx="43">
                  <c:v>1410.4000000037563</c:v>
                </c:pt>
                <c:pt idx="44">
                  <c:v>1018.8000000031332</c:v>
                </c:pt>
                <c:pt idx="45">
                  <c:v>1600.500000004195</c:v>
                </c:pt>
                <c:pt idx="46">
                  <c:v>3619.0000000083537</c:v>
                </c:pt>
                <c:pt idx="47">
                  <c:v>4833.5000000106302</c:v>
                </c:pt>
                <c:pt idx="48">
                  <c:v>4397.4000000098222</c:v>
                </c:pt>
                <c:pt idx="49">
                  <c:v>3317.4000000080537</c:v>
                </c:pt>
                <c:pt idx="50">
                  <c:v>1937.500000004502</c:v>
                </c:pt>
                <c:pt idx="51">
                  <c:v>1303.2000000033993</c:v>
                </c:pt>
                <c:pt idx="52">
                  <c:v>1298.0000000033697</c:v>
                </c:pt>
                <c:pt idx="53">
                  <c:v>1466.4000000037881</c:v>
                </c:pt>
                <c:pt idx="54">
                  <c:v>1790.0000000043656</c:v>
                </c:pt>
                <c:pt idx="55">
                  <c:v>2058.5000000052182</c:v>
                </c:pt>
                <c:pt idx="56">
                  <c:v>2193.5000000053342</c:v>
                </c:pt>
                <c:pt idx="57">
                  <c:v>2281.9000000054116</c:v>
                </c:pt>
                <c:pt idx="58">
                  <c:v>2390.4000000058118</c:v>
                </c:pt>
                <c:pt idx="59">
                  <c:v>2571.3000000063075</c:v>
                </c:pt>
                <c:pt idx="60">
                  <c:v>2830.0000000069122</c:v>
                </c:pt>
                <c:pt idx="61">
                  <c:v>3246.4000000076398</c:v>
                </c:pt>
                <c:pt idx="62">
                  <c:v>3881.3000000089428</c:v>
                </c:pt>
                <c:pt idx="63">
                  <c:v>4354.9000000093611</c:v>
                </c:pt>
                <c:pt idx="64">
                  <c:v>4689.5000000105156</c:v>
                </c:pt>
                <c:pt idx="65">
                  <c:v>4946.4000000111728</c:v>
                </c:pt>
                <c:pt idx="66">
                  <c:v>5157.2000000113503</c:v>
                </c:pt>
                <c:pt idx="67">
                  <c:v>5379.8000000115871</c:v>
                </c:pt>
                <c:pt idx="68">
                  <c:v>6203.3000000127695</c:v>
                </c:pt>
                <c:pt idx="69">
                  <c:v>6709.3000000141765</c:v>
                </c:pt>
                <c:pt idx="70">
                  <c:v>7605.0000000154841</c:v>
                </c:pt>
                <c:pt idx="71">
                  <c:v>8447.0000000178588</c:v>
                </c:pt>
                <c:pt idx="72">
                  <c:v>9946.4000000220331</c:v>
                </c:pt>
                <c:pt idx="73">
                  <c:v>10687.000000023829</c:v>
                </c:pt>
                <c:pt idx="74">
                  <c:v>10937.500000024704</c:v>
                </c:pt>
                <c:pt idx="75">
                  <c:v>10237.100000022878</c:v>
                </c:pt>
                <c:pt idx="76">
                  <c:v>10607.000000023738</c:v>
                </c:pt>
                <c:pt idx="77">
                  <c:v>12126.200000027613</c:v>
                </c:pt>
                <c:pt idx="78">
                  <c:v>12651.400000030559</c:v>
                </c:pt>
                <c:pt idx="79">
                  <c:v>13290.600000031214</c:v>
                </c:pt>
                <c:pt idx="80">
                  <c:v>13825.000000032969</c:v>
                </c:pt>
                <c:pt idx="81">
                  <c:v>14475.400000034879</c:v>
                </c:pt>
                <c:pt idx="82">
                  <c:v>15340.60000003708</c:v>
                </c:pt>
                <c:pt idx="83">
                  <c:v>16196.100000039918</c:v>
                </c:pt>
                <c:pt idx="84">
                  <c:v>16813.000000041855</c:v>
                </c:pt>
                <c:pt idx="85">
                  <c:v>17427.00000004311</c:v>
                </c:pt>
                <c:pt idx="86">
                  <c:v>18055.600000045109</c:v>
                </c:pt>
                <c:pt idx="87">
                  <c:v>19505.000000048771</c:v>
                </c:pt>
                <c:pt idx="88">
                  <c:v>21177.300000053187</c:v>
                </c:pt>
                <c:pt idx="89">
                  <c:v>22124.20000005648</c:v>
                </c:pt>
                <c:pt idx="90">
                  <c:v>23110.100000058093</c:v>
                </c:pt>
                <c:pt idx="91">
                  <c:v>23733.500000060369</c:v>
                </c:pt>
                <c:pt idx="92">
                  <c:v>24095.40000006152</c:v>
                </c:pt>
                <c:pt idx="93">
                  <c:v>24371.500000062504</c:v>
                </c:pt>
                <c:pt idx="94">
                  <c:v>24634.300000062678</c:v>
                </c:pt>
                <c:pt idx="95">
                  <c:v>24975.700000064666</c:v>
                </c:pt>
                <c:pt idx="96">
                  <c:v>25948.500000067223</c:v>
                </c:pt>
                <c:pt idx="97">
                  <c:v>27042.400000069825</c:v>
                </c:pt>
                <c:pt idx="98">
                  <c:v>27520.50000007209</c:v>
                </c:pt>
                <c:pt idx="99">
                  <c:v>27700.00000007209</c:v>
                </c:pt>
                <c:pt idx="100">
                  <c:v>27827.500000072283</c:v>
                </c:pt>
                <c:pt idx="101">
                  <c:v>28126.000000072476</c:v>
                </c:pt>
                <c:pt idx="102">
                  <c:v>28928.400000074111</c:v>
                </c:pt>
                <c:pt idx="103">
                  <c:v>29777.200000075762</c:v>
                </c:pt>
                <c:pt idx="104">
                  <c:v>30434.000000078111</c:v>
                </c:pt>
                <c:pt idx="105">
                  <c:v>30817.700000078516</c:v>
                </c:pt>
                <c:pt idx="106">
                  <c:v>31115.600000080489</c:v>
                </c:pt>
                <c:pt idx="107">
                  <c:v>31577.000000080014</c:v>
                </c:pt>
                <c:pt idx="108">
                  <c:v>31941.400000082209</c:v>
                </c:pt>
                <c:pt idx="109">
                  <c:v>32281.400000081521</c:v>
                </c:pt>
                <c:pt idx="110">
                  <c:v>32694.800000082836</c:v>
                </c:pt>
                <c:pt idx="111">
                  <c:v>33021.200000083947</c:v>
                </c:pt>
                <c:pt idx="112">
                  <c:v>33506.400000085276</c:v>
                </c:pt>
                <c:pt idx="113">
                  <c:v>33864.00000008662</c:v>
                </c:pt>
                <c:pt idx="114">
                  <c:v>33986.800000085706</c:v>
                </c:pt>
                <c:pt idx="115">
                  <c:v>34280.200000086137</c:v>
                </c:pt>
                <c:pt idx="116">
                  <c:v>34803.800000088406</c:v>
                </c:pt>
                <c:pt idx="117">
                  <c:v>35188.800000088842</c:v>
                </c:pt>
                <c:pt idx="118">
                  <c:v>35304.000000088839</c:v>
                </c:pt>
                <c:pt idx="119">
                  <c:v>35505.600000089056</c:v>
                </c:pt>
                <c:pt idx="120">
                  <c:v>36012.400000091358</c:v>
                </c:pt>
                <c:pt idx="121">
                  <c:v>36246.400000090645</c:v>
                </c:pt>
                <c:pt idx="122">
                  <c:v>36568.500000092739</c:v>
                </c:pt>
                <c:pt idx="123">
                  <c:v>37979.700000095996</c:v>
                </c:pt>
                <c:pt idx="124">
                  <c:v>41084.000000101682</c:v>
                </c:pt>
                <c:pt idx="125">
                  <c:v>41702.40000010412</c:v>
                </c:pt>
                <c:pt idx="126">
                  <c:v>40188.200000099998</c:v>
                </c:pt>
                <c:pt idx="127">
                  <c:v>38785.400000097638</c:v>
                </c:pt>
                <c:pt idx="128">
                  <c:v>38511.000000097411</c:v>
                </c:pt>
                <c:pt idx="129">
                  <c:v>38795.600000097642</c:v>
                </c:pt>
                <c:pt idx="130">
                  <c:v>39385.60000009714</c:v>
                </c:pt>
                <c:pt idx="131">
                  <c:v>39796.400000100497</c:v>
                </c:pt>
                <c:pt idx="132">
                  <c:v>40116.100000099766</c:v>
                </c:pt>
                <c:pt idx="133">
                  <c:v>39982.200000099765</c:v>
                </c:pt>
                <c:pt idx="134">
                  <c:v>39971.900000099769</c:v>
                </c:pt>
                <c:pt idx="135">
                  <c:v>40926.500000102424</c:v>
                </c:pt>
                <c:pt idx="136">
                  <c:v>41978.000000104359</c:v>
                </c:pt>
                <c:pt idx="137">
                  <c:v>42741.900000106078</c:v>
                </c:pt>
                <c:pt idx="138">
                  <c:v>43244.800000106559</c:v>
                </c:pt>
                <c:pt idx="139">
                  <c:v>43899.000000108295</c:v>
                </c:pt>
                <c:pt idx="140">
                  <c:v>44721.800000109033</c:v>
                </c:pt>
                <c:pt idx="141">
                  <c:v>45638.500000110784</c:v>
                </c:pt>
                <c:pt idx="142">
                  <c:v>46265.20000011332</c:v>
                </c:pt>
                <c:pt idx="143">
                  <c:v>46475.000000112552</c:v>
                </c:pt>
                <c:pt idx="144">
                  <c:v>46110.800000113319</c:v>
                </c:pt>
                <c:pt idx="145">
                  <c:v>46254.100000113322</c:v>
                </c:pt>
                <c:pt idx="146">
                  <c:v>46696.000000112799</c:v>
                </c:pt>
                <c:pt idx="147">
                  <c:v>47295.00000011536</c:v>
                </c:pt>
                <c:pt idx="148">
                  <c:v>48053.300000115087</c:v>
                </c:pt>
                <c:pt idx="149">
                  <c:v>48581.000000117674</c:v>
                </c:pt>
                <c:pt idx="150">
                  <c:v>48626.200000117678</c:v>
                </c:pt>
                <c:pt idx="151">
                  <c:v>48716.600000117673</c:v>
                </c:pt>
                <c:pt idx="152">
                  <c:v>48930.300000117932</c:v>
                </c:pt>
                <c:pt idx="153">
                  <c:v>49144.000000118191</c:v>
                </c:pt>
                <c:pt idx="154">
                  <c:v>49155.300000118186</c:v>
                </c:pt>
                <c:pt idx="155">
                  <c:v>49088.000000116888</c:v>
                </c:pt>
                <c:pt idx="156">
                  <c:v>49110.40000011689</c:v>
                </c:pt>
                <c:pt idx="157">
                  <c:v>49099.200000116885</c:v>
                </c:pt>
                <c:pt idx="158">
                  <c:v>49155.300000118186</c:v>
                </c:pt>
                <c:pt idx="159">
                  <c:v>49132.800000117146</c:v>
                </c:pt>
                <c:pt idx="160">
                  <c:v>48975.500000117929</c:v>
                </c:pt>
                <c:pt idx="161">
                  <c:v>48840.600000116887</c:v>
                </c:pt>
                <c:pt idx="162">
                  <c:v>48930.300000117932</c:v>
                </c:pt>
                <c:pt idx="163">
                  <c:v>49043.200000116885</c:v>
                </c:pt>
                <c:pt idx="164">
                  <c:v>49088.000000116888</c:v>
                </c:pt>
                <c:pt idx="165">
                  <c:v>49336.800000119234</c:v>
                </c:pt>
                <c:pt idx="166">
                  <c:v>49905.800000119751</c:v>
                </c:pt>
                <c:pt idx="167">
                  <c:v>49951.400000119756</c:v>
                </c:pt>
                <c:pt idx="168">
                  <c:v>49723.400000119756</c:v>
                </c:pt>
                <c:pt idx="169">
                  <c:v>49462.200000119497</c:v>
                </c:pt>
                <c:pt idx="170">
                  <c:v>49359.600000119237</c:v>
                </c:pt>
                <c:pt idx="171">
                  <c:v>49268.400000119233</c:v>
                </c:pt>
                <c:pt idx="172">
                  <c:v>49257.000000119238</c:v>
                </c:pt>
                <c:pt idx="173">
                  <c:v>49268.400000119233</c:v>
                </c:pt>
                <c:pt idx="174">
                  <c:v>49189.200000118188</c:v>
                </c:pt>
                <c:pt idx="175">
                  <c:v>49032.000000116888</c:v>
                </c:pt>
                <c:pt idx="176">
                  <c:v>48885.40000011689</c:v>
                </c:pt>
                <c:pt idx="177">
                  <c:v>48863.000000116888</c:v>
                </c:pt>
                <c:pt idx="178">
                  <c:v>48851.800000116891</c:v>
                </c:pt>
                <c:pt idx="179">
                  <c:v>48795.700000117678</c:v>
                </c:pt>
                <c:pt idx="180">
                  <c:v>48671.400000117676</c:v>
                </c:pt>
                <c:pt idx="181">
                  <c:v>48469.000000116379</c:v>
                </c:pt>
                <c:pt idx="182">
                  <c:v>48232.700000117162</c:v>
                </c:pt>
                <c:pt idx="183">
                  <c:v>48031.10000011509</c:v>
                </c:pt>
                <c:pt idx="184">
                  <c:v>47908.00000011587</c:v>
                </c:pt>
                <c:pt idx="185">
                  <c:v>47741.00000011587</c:v>
                </c:pt>
                <c:pt idx="186">
                  <c:v>47562.800000115618</c:v>
                </c:pt>
                <c:pt idx="187">
                  <c:v>47384.30000011433</c:v>
                </c:pt>
                <c:pt idx="188">
                  <c:v>47239.00000011536</c:v>
                </c:pt>
                <c:pt idx="189">
                  <c:v>47072.000000115106</c:v>
                </c:pt>
                <c:pt idx="190">
                  <c:v>46883.800000114075</c:v>
                </c:pt>
                <c:pt idx="191">
                  <c:v>46707.000000112799</c:v>
                </c:pt>
                <c:pt idx="192">
                  <c:v>46563.000000112552</c:v>
                </c:pt>
                <c:pt idx="193">
                  <c:v>46409.000000112552</c:v>
                </c:pt>
                <c:pt idx="194">
                  <c:v>46276.300000113319</c:v>
                </c:pt>
                <c:pt idx="195">
                  <c:v>46121.900000113317</c:v>
                </c:pt>
                <c:pt idx="196">
                  <c:v>45967.00000011205</c:v>
                </c:pt>
                <c:pt idx="197">
                  <c:v>45803.000000111031</c:v>
                </c:pt>
                <c:pt idx="198">
                  <c:v>45649.400000110785</c:v>
                </c:pt>
                <c:pt idx="199">
                  <c:v>45496.800000110532</c:v>
                </c:pt>
                <c:pt idx="200">
                  <c:v>45366.000000110536</c:v>
                </c:pt>
                <c:pt idx="201">
                  <c:v>45223.300000110285</c:v>
                </c:pt>
                <c:pt idx="202">
                  <c:v>45092.500000110289</c:v>
                </c:pt>
                <c:pt idx="203">
                  <c:v>44950.000000111046</c:v>
                </c:pt>
                <c:pt idx="204">
                  <c:v>44786.600000109029</c:v>
                </c:pt>
                <c:pt idx="205">
                  <c:v>44624.600000108781</c:v>
                </c:pt>
                <c:pt idx="206">
                  <c:v>44472.400000108784</c:v>
                </c:pt>
                <c:pt idx="207">
                  <c:v>44332.000000108543</c:v>
                </c:pt>
                <c:pt idx="208">
                  <c:v>44191.600000108541</c:v>
                </c:pt>
                <c:pt idx="209">
                  <c:v>44051.100000109298</c:v>
                </c:pt>
                <c:pt idx="210">
                  <c:v>43909.800000108291</c:v>
                </c:pt>
                <c:pt idx="211">
                  <c:v>43758.600000108047</c:v>
                </c:pt>
                <c:pt idx="212">
                  <c:v>43533.700000106801</c:v>
                </c:pt>
                <c:pt idx="213">
                  <c:v>43234.100000106562</c:v>
                </c:pt>
                <c:pt idx="214">
                  <c:v>42934.500000106316</c:v>
                </c:pt>
                <c:pt idx="215">
                  <c:v>42635.200000105084</c:v>
                </c:pt>
                <c:pt idx="216">
                  <c:v>42349.000000104839</c:v>
                </c:pt>
                <c:pt idx="217">
                  <c:v>42062.800000104602</c:v>
                </c:pt>
                <c:pt idx="218">
                  <c:v>41776.600000104358</c:v>
                </c:pt>
                <c:pt idx="219">
                  <c:v>41491.600000102153</c:v>
                </c:pt>
                <c:pt idx="220">
                  <c:v>41219.500000102897</c:v>
                </c:pt>
                <c:pt idx="221">
                  <c:v>40937.000000102424</c:v>
                </c:pt>
                <c:pt idx="222">
                  <c:v>40644.000000102184</c:v>
                </c:pt>
                <c:pt idx="223">
                  <c:v>40333.200000100973</c:v>
                </c:pt>
                <c:pt idx="224">
                  <c:v>40064.600000099766</c:v>
                </c:pt>
                <c:pt idx="225">
                  <c:v>39765.2000001005</c:v>
                </c:pt>
                <c:pt idx="226">
                  <c:v>39436.200000098332</c:v>
                </c:pt>
                <c:pt idx="227">
                  <c:v>39080.600000096914</c:v>
                </c:pt>
                <c:pt idx="228">
                  <c:v>38734.400000097638</c:v>
                </c:pt>
                <c:pt idx="229">
                  <c:v>38360.500000096225</c:v>
                </c:pt>
                <c:pt idx="230">
                  <c:v>37969.60000009599</c:v>
                </c:pt>
                <c:pt idx="231">
                  <c:v>37568.000000094587</c:v>
                </c:pt>
                <c:pt idx="232">
                  <c:v>37181.300000093419</c:v>
                </c:pt>
                <c:pt idx="233">
                  <c:v>36786.300000092968</c:v>
                </c:pt>
                <c:pt idx="234">
                  <c:v>36373.000000091582</c:v>
                </c:pt>
                <c:pt idx="235">
                  <c:v>35953.600000091355</c:v>
                </c:pt>
                <c:pt idx="236">
                  <c:v>35515.200000089055</c:v>
                </c:pt>
                <c:pt idx="237">
                  <c:v>35083.200000088618</c:v>
                </c:pt>
                <c:pt idx="238">
                  <c:v>34659.800000088188</c:v>
                </c:pt>
                <c:pt idx="239">
                  <c:v>34233.200000086137</c:v>
                </c:pt>
                <c:pt idx="240">
                  <c:v>33788.400000085705</c:v>
                </c:pt>
                <c:pt idx="241">
                  <c:v>33347.700000084369</c:v>
                </c:pt>
                <c:pt idx="242">
                  <c:v>32909.600000083949</c:v>
                </c:pt>
                <c:pt idx="243">
                  <c:v>32455.600000082628</c:v>
                </c:pt>
                <c:pt idx="244">
                  <c:v>32005.80000008221</c:v>
                </c:pt>
                <c:pt idx="245">
                  <c:v>31550.000000080014</c:v>
                </c:pt>
                <c:pt idx="246">
                  <c:v>31088.30000008049</c:v>
                </c:pt>
                <c:pt idx="247">
                  <c:v>30621.000000079195</c:v>
                </c:pt>
                <c:pt idx="248">
                  <c:v>30148.200000077908</c:v>
                </c:pt>
                <c:pt idx="249">
                  <c:v>29681.000000076634</c:v>
                </c:pt>
                <c:pt idx="250">
                  <c:v>29233.200000076235</c:v>
                </c:pt>
                <c:pt idx="251">
                  <c:v>28807.500000074971</c:v>
                </c:pt>
                <c:pt idx="252">
                  <c:v>28383.600000073719</c:v>
                </c:pt>
                <c:pt idx="253">
                  <c:v>27955.000000072476</c:v>
                </c:pt>
                <c:pt idx="254">
                  <c:v>27495.000000071894</c:v>
                </c:pt>
                <c:pt idx="255">
                  <c:v>27042.400000069825</c:v>
                </c:pt>
                <c:pt idx="256">
                  <c:v>26592.20000006945</c:v>
                </c:pt>
                <c:pt idx="257">
                  <c:v>26135.800000067407</c:v>
                </c:pt>
                <c:pt idx="258">
                  <c:v>25689.700000065382</c:v>
                </c:pt>
                <c:pt idx="259">
                  <c:v>25269.000000065847</c:v>
                </c:pt>
                <c:pt idx="260">
                  <c:v>24913.500000063028</c:v>
                </c:pt>
                <c:pt idx="261">
                  <c:v>24588.100000062677</c:v>
                </c:pt>
                <c:pt idx="262">
                  <c:v>24247.300000062329</c:v>
                </c:pt>
                <c:pt idx="263">
                  <c:v>23831.400000061174</c:v>
                </c:pt>
                <c:pt idx="264">
                  <c:v>23285.300000058262</c:v>
                </c:pt>
                <c:pt idx="265">
                  <c:v>22664.200000056971</c:v>
                </c:pt>
                <c:pt idx="266">
                  <c:v>22030.600000056314</c:v>
                </c:pt>
                <c:pt idx="267">
                  <c:v>21400.900000055048</c:v>
                </c:pt>
                <c:pt idx="268">
                  <c:v>20778.100000052873</c:v>
                </c:pt>
                <c:pt idx="269">
                  <c:v>20103.300000050731</c:v>
                </c:pt>
                <c:pt idx="270">
                  <c:v>19414.000000048625</c:v>
                </c:pt>
                <c:pt idx="271">
                  <c:v>18731.100000046554</c:v>
                </c:pt>
                <c:pt idx="272">
                  <c:v>18068.000000044383</c:v>
                </c:pt>
                <c:pt idx="273">
                  <c:v>17680.000000043383</c:v>
                </c:pt>
                <c:pt idx="274">
                  <c:v>17113.900000042122</c:v>
                </c:pt>
                <c:pt idx="275">
                  <c:v>16471.800000040883</c:v>
                </c:pt>
                <c:pt idx="276">
                  <c:v>15791.700000039529</c:v>
                </c:pt>
                <c:pt idx="277">
                  <c:v>15101.000000036835</c:v>
                </c:pt>
                <c:pt idx="278">
                  <c:v>14407.800000034878</c:v>
                </c:pt>
                <c:pt idx="279">
                  <c:v>13819.900000033629</c:v>
                </c:pt>
                <c:pt idx="280">
                  <c:v>13480.800000031322</c:v>
                </c:pt>
                <c:pt idx="281">
                  <c:v>12981.600000030243</c:v>
                </c:pt>
                <c:pt idx="282">
                  <c:v>12394.200000029077</c:v>
                </c:pt>
                <c:pt idx="283">
                  <c:v>11724.800000027211</c:v>
                </c:pt>
                <c:pt idx="284">
                  <c:v>11156.80000002489</c:v>
                </c:pt>
                <c:pt idx="285">
                  <c:v>10966.400000025307</c:v>
                </c:pt>
                <c:pt idx="286">
                  <c:v>10531.000000023738</c:v>
                </c:pt>
                <c:pt idx="287">
                  <c:v>9969.2000000220323</c:v>
                </c:pt>
                <c:pt idx="288">
                  <c:v>9300.8000000202992</c:v>
                </c:pt>
                <c:pt idx="289">
                  <c:v>8536.1000000179338</c:v>
                </c:pt>
                <c:pt idx="290">
                  <c:v>7892.8000000168076</c:v>
                </c:pt>
                <c:pt idx="291">
                  <c:v>8569.8000000184766</c:v>
                </c:pt>
                <c:pt idx="292">
                  <c:v>7501.0000000154159</c:v>
                </c:pt>
                <c:pt idx="293">
                  <c:v>6069.0000000126465</c:v>
                </c:pt>
                <c:pt idx="294">
                  <c:v>15943.800000038962</c:v>
                </c:pt>
                <c:pt idx="295">
                  <c:v>13875.000000032969</c:v>
                </c:pt>
                <c:pt idx="296">
                  <c:v>10017.600000022032</c:v>
                </c:pt>
                <c:pt idx="297">
                  <c:v>7135.0000000150749</c:v>
                </c:pt>
                <c:pt idx="298">
                  <c:v>5636.0000000118234</c:v>
                </c:pt>
                <c:pt idx="299">
                  <c:v>4853.5000000106302</c:v>
                </c:pt>
                <c:pt idx="300">
                  <c:v>4111.0000000091513</c:v>
                </c:pt>
                <c:pt idx="301">
                  <c:v>3235.9000000076398</c:v>
                </c:pt>
                <c:pt idx="302">
                  <c:v>2349.5000000054501</c:v>
                </c:pt>
                <c:pt idx="303">
                  <c:v>1710.6000000045838</c:v>
                </c:pt>
                <c:pt idx="304">
                  <c:v>1233.9000000033402</c:v>
                </c:pt>
                <c:pt idx="305">
                  <c:v>916.40000000278303</c:v>
                </c:pt>
                <c:pt idx="306">
                  <c:v>932.60000000257617</c:v>
                </c:pt>
                <c:pt idx="307">
                  <c:v>1096.4000000031924</c:v>
                </c:pt>
                <c:pt idx="308">
                  <c:v>1272.3000000033696</c:v>
                </c:pt>
                <c:pt idx="309">
                  <c:v>1118.5000000032219</c:v>
                </c:pt>
                <c:pt idx="310">
                  <c:v>756.00000000264663</c:v>
                </c:pt>
                <c:pt idx="311">
                  <c:v>641.00000000211458</c:v>
                </c:pt>
                <c:pt idx="312">
                  <c:v>823.40000000247608</c:v>
                </c:pt>
                <c:pt idx="313">
                  <c:v>1059.8000000029194</c:v>
                </c:pt>
                <c:pt idx="314">
                  <c:v>1244.4000000035971</c:v>
                </c:pt>
                <c:pt idx="315">
                  <c:v>1437.0000000037562</c:v>
                </c:pt>
                <c:pt idx="316">
                  <c:v>1496.0000000040927</c:v>
                </c:pt>
                <c:pt idx="317">
                  <c:v>1359.0000000036925</c:v>
                </c:pt>
                <c:pt idx="318">
                  <c:v>1086.0000000031923</c:v>
                </c:pt>
                <c:pt idx="319">
                  <c:v>1011.0000000031332</c:v>
                </c:pt>
                <c:pt idx="320">
                  <c:v>957.4000000028376</c:v>
                </c:pt>
                <c:pt idx="321">
                  <c:v>724.80000000240102</c:v>
                </c:pt>
                <c:pt idx="322">
                  <c:v>930.40000000257612</c:v>
                </c:pt>
                <c:pt idx="323">
                  <c:v>3708.5000000087857</c:v>
                </c:pt>
                <c:pt idx="324">
                  <c:v>2445.3000000055663</c:v>
                </c:pt>
                <c:pt idx="325">
                  <c:v>2253.0000000053728</c:v>
                </c:pt>
                <c:pt idx="326">
                  <c:v>6813.7000000143089</c:v>
                </c:pt>
                <c:pt idx="327">
                  <c:v>9544.5000000210312</c:v>
                </c:pt>
                <c:pt idx="328">
                  <c:v>8106.2000000169528</c:v>
                </c:pt>
                <c:pt idx="329">
                  <c:v>5265.4000000114684</c:v>
                </c:pt>
                <c:pt idx="330">
                  <c:v>2769.9000000064802</c:v>
                </c:pt>
                <c:pt idx="331">
                  <c:v>1779.5000000043656</c:v>
                </c:pt>
                <c:pt idx="332">
                  <c:v>1441.2000000037881</c:v>
                </c:pt>
                <c:pt idx="333">
                  <c:v>1364.6000000036925</c:v>
                </c:pt>
                <c:pt idx="334">
                  <c:v>1404.5000000039904</c:v>
                </c:pt>
                <c:pt idx="335">
                  <c:v>1319.4000000036608</c:v>
                </c:pt>
                <c:pt idx="336">
                  <c:v>1109.400000003222</c:v>
                </c:pt>
                <c:pt idx="337">
                  <c:v>779.60000000245111</c:v>
                </c:pt>
                <c:pt idx="338">
                  <c:v>684.00000000235104</c:v>
                </c:pt>
                <c:pt idx="339">
                  <c:v>788.80000000267387</c:v>
                </c:pt>
                <c:pt idx="340">
                  <c:v>875.60000000275579</c:v>
                </c:pt>
                <c:pt idx="341">
                  <c:v>950.20000000283767</c:v>
                </c:pt>
                <c:pt idx="342">
                  <c:v>989.90000000310363</c:v>
                </c:pt>
                <c:pt idx="343">
                  <c:v>900.80000000278301</c:v>
                </c:pt>
                <c:pt idx="344">
                  <c:v>902.00000000278305</c:v>
                </c:pt>
                <c:pt idx="345">
                  <c:v>892.40000000278303</c:v>
                </c:pt>
                <c:pt idx="346">
                  <c:v>843.20000000272853</c:v>
                </c:pt>
                <c:pt idx="347">
                  <c:v>849.20000000272853</c:v>
                </c:pt>
                <c:pt idx="348">
                  <c:v>952.60000000283765</c:v>
                </c:pt>
                <c:pt idx="349">
                  <c:v>1027.6000000028921</c:v>
                </c:pt>
                <c:pt idx="350">
                  <c:v>1319.4000000036608</c:v>
                </c:pt>
                <c:pt idx="351">
                  <c:v>3895.1000000089425</c:v>
                </c:pt>
                <c:pt idx="352">
                  <c:v>5815.9000000124006</c:v>
                </c:pt>
                <c:pt idx="353">
                  <c:v>5477.0000000116461</c:v>
                </c:pt>
                <c:pt idx="354">
                  <c:v>4684.6000000100958</c:v>
                </c:pt>
                <c:pt idx="355">
                  <c:v>4475.2000000098769</c:v>
                </c:pt>
                <c:pt idx="356">
                  <c:v>4159.4000000096039</c:v>
                </c:pt>
                <c:pt idx="357">
                  <c:v>3548.6000000082536</c:v>
                </c:pt>
                <c:pt idx="358">
                  <c:v>2803.0000000068667</c:v>
                </c:pt>
                <c:pt idx="359">
                  <c:v>2015.400000004875</c:v>
                </c:pt>
                <c:pt idx="360">
                  <c:v>1403.0000000039904</c:v>
                </c:pt>
                <c:pt idx="361">
                  <c:v>1145.8000000032514</c:v>
                </c:pt>
                <c:pt idx="362">
                  <c:v>5002.0000000108002</c:v>
                </c:pt>
                <c:pt idx="363">
                  <c:v>7168.0000000150749</c:v>
                </c:pt>
                <c:pt idx="364">
                  <c:v>6239.8000000137154</c:v>
                </c:pt>
              </c:numCache>
            </c:numRef>
          </c:val>
          <c:smooth val="0"/>
        </c:ser>
        <c:ser>
          <c:idx val="7"/>
          <c:order val="1"/>
          <c:tx>
            <c:v>2016</c:v>
          </c:tx>
          <c:spPr>
            <a:ln w="19050">
              <a:solidFill>
                <a:srgbClr val="7030A0"/>
              </a:solidFill>
              <a:prstDash val="dashDot"/>
            </a:ln>
          </c:spPr>
          <c:marker>
            <c:symbol val="none"/>
          </c:marker>
          <c:val>
            <c:numRef>
              <c:f>Summary!$AP$9:$AP$373</c:f>
              <c:numCache>
                <c:formatCode>General</c:formatCode>
                <c:ptCount val="365"/>
                <c:pt idx="0">
                  <c:v>1543.0000000041268</c:v>
                </c:pt>
                <c:pt idx="1">
                  <c:v>1644.5000000042292</c:v>
                </c:pt>
                <c:pt idx="2">
                  <c:v>1698.0000000042974</c:v>
                </c:pt>
                <c:pt idx="3">
                  <c:v>1591.500000004195</c:v>
                </c:pt>
                <c:pt idx="4">
                  <c:v>1288.2000000036289</c:v>
                </c:pt>
                <c:pt idx="5">
                  <c:v>923.60000000281036</c:v>
                </c:pt>
                <c:pt idx="6">
                  <c:v>828.90000000250109</c:v>
                </c:pt>
                <c:pt idx="7">
                  <c:v>1006.200000002865</c:v>
                </c:pt>
                <c:pt idx="8">
                  <c:v>1141.9000000032515</c:v>
                </c:pt>
                <c:pt idx="9">
                  <c:v>1251.4000000035971</c:v>
                </c:pt>
                <c:pt idx="10">
                  <c:v>1236.5000000033401</c:v>
                </c:pt>
                <c:pt idx="11">
                  <c:v>1212.1000000033105</c:v>
                </c:pt>
                <c:pt idx="12">
                  <c:v>1248.600000003597</c:v>
                </c:pt>
                <c:pt idx="13">
                  <c:v>1197.800000003281</c:v>
                </c:pt>
                <c:pt idx="14">
                  <c:v>1077.6000000029467</c:v>
                </c:pt>
                <c:pt idx="15">
                  <c:v>1248.600000003597</c:v>
                </c:pt>
                <c:pt idx="16">
                  <c:v>1474.800000003788</c:v>
                </c:pt>
                <c:pt idx="17">
                  <c:v>1469.2000000037881</c:v>
                </c:pt>
                <c:pt idx="18">
                  <c:v>1240.4000000033402</c:v>
                </c:pt>
                <c:pt idx="19">
                  <c:v>1187.4000000032811</c:v>
                </c:pt>
                <c:pt idx="20">
                  <c:v>2727.1000000064801</c:v>
                </c:pt>
                <c:pt idx="21">
                  <c:v>2773.7000000065232</c:v>
                </c:pt>
                <c:pt idx="22">
                  <c:v>2591.4000000060164</c:v>
                </c:pt>
                <c:pt idx="23">
                  <c:v>2285.3000000054117</c:v>
                </c:pt>
                <c:pt idx="24">
                  <c:v>1505.0000000040927</c:v>
                </c:pt>
                <c:pt idx="25">
                  <c:v>902.00000000278305</c:v>
                </c:pt>
                <c:pt idx="26">
                  <c:v>999.00000000286491</c:v>
                </c:pt>
                <c:pt idx="27">
                  <c:v>3512.4000000082538</c:v>
                </c:pt>
                <c:pt idx="28">
                  <c:v>4609.0000000104592</c:v>
                </c:pt>
                <c:pt idx="29">
                  <c:v>3776.500000008838</c:v>
                </c:pt>
                <c:pt idx="30">
                  <c:v>2552.6000000059753</c:v>
                </c:pt>
                <c:pt idx="31">
                  <c:v>2043.6000000048748</c:v>
                </c:pt>
                <c:pt idx="32">
                  <c:v>1476.2000000038199</c:v>
                </c:pt>
                <c:pt idx="33">
                  <c:v>1088.6000000031922</c:v>
                </c:pt>
                <c:pt idx="34">
                  <c:v>1130.2000000032219</c:v>
                </c:pt>
                <c:pt idx="35">
                  <c:v>1391.2000000037244</c:v>
                </c:pt>
                <c:pt idx="36">
                  <c:v>1720.0000000042974</c:v>
                </c:pt>
                <c:pt idx="37">
                  <c:v>1184.800000003281</c:v>
                </c:pt>
                <c:pt idx="38">
                  <c:v>628.900000002301</c:v>
                </c:pt>
                <c:pt idx="39">
                  <c:v>778.50000000245109</c:v>
                </c:pt>
                <c:pt idx="40">
                  <c:v>850.40000000272846</c:v>
                </c:pt>
                <c:pt idx="41">
                  <c:v>861.20000000275581</c:v>
                </c:pt>
                <c:pt idx="42">
                  <c:v>1132.8000000032218</c:v>
                </c:pt>
                <c:pt idx="43">
                  <c:v>1330.6000000036606</c:v>
                </c:pt>
                <c:pt idx="44">
                  <c:v>3908.6000000086037</c:v>
                </c:pt>
                <c:pt idx="45">
                  <c:v>11477.200000026398</c:v>
                </c:pt>
                <c:pt idx="46">
                  <c:v>14759.400000036467</c:v>
                </c:pt>
                <c:pt idx="47">
                  <c:v>12526.600000029181</c:v>
                </c:pt>
                <c:pt idx="48">
                  <c:v>8892.8000000187858</c:v>
                </c:pt>
                <c:pt idx="49">
                  <c:v>5583.0000000117643</c:v>
                </c:pt>
                <c:pt idx="50">
                  <c:v>3302.0000000080536</c:v>
                </c:pt>
                <c:pt idx="51">
                  <c:v>1609.500000004195</c:v>
                </c:pt>
                <c:pt idx="52">
                  <c:v>1388.4000000037245</c:v>
                </c:pt>
                <c:pt idx="53">
                  <c:v>1684.5000000042633</c:v>
                </c:pt>
                <c:pt idx="54">
                  <c:v>1924.8000000047657</c:v>
                </c:pt>
                <c:pt idx="55">
                  <c:v>2236.0000000053728</c:v>
                </c:pt>
                <c:pt idx="56">
                  <c:v>2515.3000000062643</c:v>
                </c:pt>
                <c:pt idx="57">
                  <c:v>3103.6000000074964</c:v>
                </c:pt>
                <c:pt idx="58">
                  <c:v>4077.800000009152</c:v>
                </c:pt>
                <c:pt idx="59">
                  <c:v>4938.6000000111735</c:v>
                </c:pt>
                <c:pt idx="60">
                  <c:v>5453.6000000116464</c:v>
                </c:pt>
                <c:pt idx="61">
                  <c:v>6200.6000000127697</c:v>
                </c:pt>
                <c:pt idx="62">
                  <c:v>6568.2000000140451</c:v>
                </c:pt>
                <c:pt idx="63">
                  <c:v>6603.0000000141108</c:v>
                </c:pt>
                <c:pt idx="64">
                  <c:v>6990.0000000149385</c:v>
                </c:pt>
                <c:pt idx="65">
                  <c:v>7390.7000000157886</c:v>
                </c:pt>
                <c:pt idx="66">
                  <c:v>7943.0000000168075</c:v>
                </c:pt>
                <c:pt idx="67">
                  <c:v>8749.0000000186301</c:v>
                </c:pt>
                <c:pt idx="68">
                  <c:v>9401.6000000203821</c:v>
                </c:pt>
                <c:pt idx="69">
                  <c:v>9946.4000000220331</c:v>
                </c:pt>
                <c:pt idx="70">
                  <c:v>10531.000000023738</c:v>
                </c:pt>
                <c:pt idx="71">
                  <c:v>10958.000000025306</c:v>
                </c:pt>
                <c:pt idx="72">
                  <c:v>11434.2000000263</c:v>
                </c:pt>
                <c:pt idx="73">
                  <c:v>12077.800000027511</c:v>
                </c:pt>
                <c:pt idx="74">
                  <c:v>12882.900000030137</c:v>
                </c:pt>
                <c:pt idx="75">
                  <c:v>13618.900000033396</c:v>
                </c:pt>
                <c:pt idx="76">
                  <c:v>14258.000000034643</c:v>
                </c:pt>
                <c:pt idx="77">
                  <c:v>14903.400000035912</c:v>
                </c:pt>
                <c:pt idx="78">
                  <c:v>15499.000000037891</c:v>
                </c:pt>
                <c:pt idx="79">
                  <c:v>16151.00000003909</c:v>
                </c:pt>
                <c:pt idx="80">
                  <c:v>16766.600000041144</c:v>
                </c:pt>
                <c:pt idx="81">
                  <c:v>17571.000000043248</c:v>
                </c:pt>
                <c:pt idx="82">
                  <c:v>18705.900000046553</c:v>
                </c:pt>
                <c:pt idx="83">
                  <c:v>19674.00000004892</c:v>
                </c:pt>
                <c:pt idx="84">
                  <c:v>20640.100000052713</c:v>
                </c:pt>
                <c:pt idx="85">
                  <c:v>21386.700000055051</c:v>
                </c:pt>
                <c:pt idx="86">
                  <c:v>21852.300000055373</c:v>
                </c:pt>
                <c:pt idx="87">
                  <c:v>22138.600000056478</c:v>
                </c:pt>
                <c:pt idx="88">
                  <c:v>22412.200000056644</c:v>
                </c:pt>
                <c:pt idx="89">
                  <c:v>22700.300000057763</c:v>
                </c:pt>
                <c:pt idx="90">
                  <c:v>23132.000000058095</c:v>
                </c:pt>
                <c:pt idx="91">
                  <c:v>23839.000000061173</c:v>
                </c:pt>
                <c:pt idx="92">
                  <c:v>24673.200000063669</c:v>
                </c:pt>
                <c:pt idx="93">
                  <c:v>25269.000000065847</c:v>
                </c:pt>
                <c:pt idx="94">
                  <c:v>25586.000000066029</c:v>
                </c:pt>
                <c:pt idx="95">
                  <c:v>25891.600000068054</c:v>
                </c:pt>
                <c:pt idx="96">
                  <c:v>26526.600000067774</c:v>
                </c:pt>
                <c:pt idx="97">
                  <c:v>27418.500000071897</c:v>
                </c:pt>
                <c:pt idx="98">
                  <c:v>28487.600000074577</c:v>
                </c:pt>
                <c:pt idx="99">
                  <c:v>29215.600000076032</c:v>
                </c:pt>
                <c:pt idx="100">
                  <c:v>29628.200000076435</c:v>
                </c:pt>
                <c:pt idx="101">
                  <c:v>30077.000000077707</c:v>
                </c:pt>
                <c:pt idx="102">
                  <c:v>30630.000000079195</c:v>
                </c:pt>
                <c:pt idx="103">
                  <c:v>31115.600000080489</c:v>
                </c:pt>
                <c:pt idx="104">
                  <c:v>31568.000000080014</c:v>
                </c:pt>
                <c:pt idx="105">
                  <c:v>32005.80000008221</c:v>
                </c:pt>
                <c:pt idx="106">
                  <c:v>32400.400000082627</c:v>
                </c:pt>
                <c:pt idx="107">
                  <c:v>33124.000000085063</c:v>
                </c:pt>
                <c:pt idx="108">
                  <c:v>34441.000000086133</c:v>
                </c:pt>
                <c:pt idx="109">
                  <c:v>36138.80000009136</c:v>
                </c:pt>
                <c:pt idx="110">
                  <c:v>37989.800000095995</c:v>
                </c:pt>
                <c:pt idx="111">
                  <c:v>39517.800000098337</c:v>
                </c:pt>
                <c:pt idx="112">
                  <c:v>40487.900000100235</c:v>
                </c:pt>
                <c:pt idx="113">
                  <c:v>41429.200000101919</c:v>
                </c:pt>
                <c:pt idx="114">
                  <c:v>42094.600000104598</c:v>
                </c:pt>
                <c:pt idx="115">
                  <c:v>42444.400000104841</c:v>
                </c:pt>
                <c:pt idx="116">
                  <c:v>42795.400000106078</c:v>
                </c:pt>
                <c:pt idx="117">
                  <c:v>43223.400000106558</c:v>
                </c:pt>
                <c:pt idx="118">
                  <c:v>43640.700000107048</c:v>
                </c:pt>
                <c:pt idx="119">
                  <c:v>44018.400000109294</c:v>
                </c:pt>
                <c:pt idx="120">
                  <c:v>44418.400000108784</c:v>
                </c:pt>
                <c:pt idx="121">
                  <c:v>44939.000000111046</c:v>
                </c:pt>
                <c:pt idx="122">
                  <c:v>45693.000000111802</c:v>
                </c:pt>
                <c:pt idx="123">
                  <c:v>46519.000000112552</c:v>
                </c:pt>
                <c:pt idx="124">
                  <c:v>47194.600000114333</c:v>
                </c:pt>
                <c:pt idx="125">
                  <c:v>47618.400000114583</c:v>
                </c:pt>
                <c:pt idx="126">
                  <c:v>48020.000000115091</c:v>
                </c:pt>
                <c:pt idx="127">
                  <c:v>48423.800000117415</c:v>
                </c:pt>
                <c:pt idx="128">
                  <c:v>48750.500000117674</c:v>
                </c:pt>
                <c:pt idx="129">
                  <c:v>48919.000000117929</c:v>
                </c:pt>
                <c:pt idx="130">
                  <c:v>49032.000000116888</c:v>
                </c:pt>
                <c:pt idx="131">
                  <c:v>49166.600000118189</c:v>
                </c:pt>
                <c:pt idx="132">
                  <c:v>49314.000000119238</c:v>
                </c:pt>
                <c:pt idx="133">
                  <c:v>49564.100000118444</c:v>
                </c:pt>
                <c:pt idx="134">
                  <c:v>49803.200000119752</c:v>
                </c:pt>
                <c:pt idx="135" formatCode="0.0">
                  <c:v>49826.000000119755</c:v>
                </c:pt>
                <c:pt idx="136" formatCode="0.0">
                  <c:v>49769.000000119755</c:v>
                </c:pt>
                <c:pt idx="137" formatCode="0.0">
                  <c:v>49643.600000119492</c:v>
                </c:pt>
                <c:pt idx="138" formatCode="0.0">
                  <c:v>49530.200000118442</c:v>
                </c:pt>
                <c:pt idx="139" formatCode="0.0">
                  <c:v>49518.900000118447</c:v>
                </c:pt>
                <c:pt idx="140" formatCode="0.0">
                  <c:v>49746.200000119752</c:v>
                </c:pt>
                <c:pt idx="141">
                  <c:v>50019.800000120013</c:v>
                </c:pt>
                <c:pt idx="142">
                  <c:v>49997.00000012001</c:v>
                </c:pt>
                <c:pt idx="143">
                  <c:v>49894.400000119756</c:v>
                </c:pt>
                <c:pt idx="144">
                  <c:v>49826.000000119755</c:v>
                </c:pt>
                <c:pt idx="145">
                  <c:v>49643.600000119492</c:v>
                </c:pt>
                <c:pt idx="146">
                  <c:v>49552.800000118448</c:v>
                </c:pt>
                <c:pt idx="147">
                  <c:v>49677.800000119496</c:v>
                </c:pt>
                <c:pt idx="148">
                  <c:v>49723.400000119756</c:v>
                </c:pt>
                <c:pt idx="149">
                  <c:v>49700.600000119754</c:v>
                </c:pt>
                <c:pt idx="150">
                  <c:v>49496.300000118448</c:v>
                </c:pt>
                <c:pt idx="151">
                  <c:v>49485.000000118445</c:v>
                </c:pt>
                <c:pt idx="152">
                  <c:v>49496.300000118448</c:v>
                </c:pt>
                <c:pt idx="153">
                  <c:v>49439.400000119495</c:v>
                </c:pt>
                <c:pt idx="154">
                  <c:v>49416.600000119492</c:v>
                </c:pt>
                <c:pt idx="155">
                  <c:v>49348.200000119235</c:v>
                </c:pt>
                <c:pt idx="156">
                  <c:v>49291.200000119235</c:v>
                </c:pt>
                <c:pt idx="157">
                  <c:v>49302.600000119237</c:v>
                </c:pt>
                <c:pt idx="158">
                  <c:v>49279.800000119234</c:v>
                </c:pt>
                <c:pt idx="159">
                  <c:v>49291.200000119235</c:v>
                </c:pt>
                <c:pt idx="160">
                  <c:v>49359.600000119237</c:v>
                </c:pt>
                <c:pt idx="161">
                  <c:v>49473.600000119492</c:v>
                </c:pt>
                <c:pt idx="162">
                  <c:v>49507.600000118444</c:v>
                </c:pt>
                <c:pt idx="163">
                  <c:v>49541.500000118445</c:v>
                </c:pt>
                <c:pt idx="164">
                  <c:v>49643.600000119492</c:v>
                </c:pt>
                <c:pt idx="165">
                  <c:v>49689.200000119752</c:v>
                </c:pt>
                <c:pt idx="166">
                  <c:v>49723.400000119756</c:v>
                </c:pt>
                <c:pt idx="167">
                  <c:v>49689.200000119752</c:v>
                </c:pt>
                <c:pt idx="168">
                  <c:v>49700.600000119754</c:v>
                </c:pt>
                <c:pt idx="169">
                  <c:v>49746.200000119752</c:v>
                </c:pt>
                <c:pt idx="170">
                  <c:v>49712.000000119755</c:v>
                </c:pt>
                <c:pt idx="171">
                  <c:v>49677.800000119496</c:v>
                </c:pt>
                <c:pt idx="172">
                  <c:v>49586.700000118442</c:v>
                </c:pt>
                <c:pt idx="173">
                  <c:v>49598.000000119493</c:v>
                </c:pt>
                <c:pt idx="174">
                  <c:v>49997.00000012001</c:v>
                </c:pt>
                <c:pt idx="175">
                  <c:v>50360.800000120274</c:v>
                </c:pt>
                <c:pt idx="176">
                  <c:v>50258.200000120269</c:v>
                </c:pt>
                <c:pt idx="177">
                  <c:v>50008.400000120011</c:v>
                </c:pt>
                <c:pt idx="178">
                  <c:v>49746.200000119752</c:v>
                </c:pt>
                <c:pt idx="179">
                  <c:v>49586.700000118442</c:v>
                </c:pt>
                <c:pt idx="180">
                  <c:v>49507.600000118444</c:v>
                </c:pt>
                <c:pt idx="181">
                  <c:v>49496.300000118448</c:v>
                </c:pt>
                <c:pt idx="182">
                  <c:v>49462.200000119497</c:v>
                </c:pt>
                <c:pt idx="183">
                  <c:v>49405.200000119497</c:v>
                </c:pt>
                <c:pt idx="184">
                  <c:v>49302.600000119237</c:v>
                </c:pt>
                <c:pt idx="185">
                  <c:v>49257.000000119238</c:v>
                </c:pt>
                <c:pt idx="186">
                  <c:v>49279.800000119234</c:v>
                </c:pt>
                <c:pt idx="187">
                  <c:v>49291.200000119235</c:v>
                </c:pt>
                <c:pt idx="188">
                  <c:v>49325.400000119233</c:v>
                </c:pt>
                <c:pt idx="189">
                  <c:v>49462.200000119497</c:v>
                </c:pt>
                <c:pt idx="190">
                  <c:v>49496.300000118448</c:v>
                </c:pt>
                <c:pt idx="191">
                  <c:v>49485.000000118445</c:v>
                </c:pt>
                <c:pt idx="192">
                  <c:v>49439.400000119495</c:v>
                </c:pt>
                <c:pt idx="193">
                  <c:v>49393.800000119234</c:v>
                </c:pt>
                <c:pt idx="194">
                  <c:v>49336.800000119234</c:v>
                </c:pt>
                <c:pt idx="195">
                  <c:v>49200.500000118191</c:v>
                </c:pt>
                <c:pt idx="196">
                  <c:v>49043.200000116885</c:v>
                </c:pt>
                <c:pt idx="197">
                  <c:v>48874.200000116885</c:v>
                </c:pt>
                <c:pt idx="198">
                  <c:v>48807.000000116634</c:v>
                </c:pt>
                <c:pt idx="199">
                  <c:v>48671.400000117676</c:v>
                </c:pt>
                <c:pt idx="200">
                  <c:v>48502.600000116377</c:v>
                </c:pt>
                <c:pt idx="201">
                  <c:v>48300.000000116379</c:v>
                </c:pt>
                <c:pt idx="202">
                  <c:v>48075.500000115091</c:v>
                </c:pt>
                <c:pt idx="203">
                  <c:v>47852.500000114836</c:v>
                </c:pt>
                <c:pt idx="204">
                  <c:v>47540.400000115616</c:v>
                </c:pt>
                <c:pt idx="205">
                  <c:v>47261.400000115362</c:v>
                </c:pt>
                <c:pt idx="206">
                  <c:v>46928.000000113054</c:v>
                </c:pt>
                <c:pt idx="207">
                  <c:v>46596.200000113575</c:v>
                </c:pt>
                <c:pt idx="208">
                  <c:v>46265.20000011332</c:v>
                </c:pt>
                <c:pt idx="209">
                  <c:v>45912.00000011205</c:v>
                </c:pt>
                <c:pt idx="210">
                  <c:v>45540.400000110785</c:v>
                </c:pt>
                <c:pt idx="211">
                  <c:v>45168.800000110285</c:v>
                </c:pt>
                <c:pt idx="212">
                  <c:v>44786.600000109029</c:v>
                </c:pt>
                <c:pt idx="213">
                  <c:v>44548.500000109794</c:v>
                </c:pt>
                <c:pt idx="214">
                  <c:v>44310.400000108537</c:v>
                </c:pt>
                <c:pt idx="215">
                  <c:v>43996.600000109298</c:v>
                </c:pt>
                <c:pt idx="216">
                  <c:v>43640.700000107048</c:v>
                </c:pt>
                <c:pt idx="217" formatCode="0.0">
                  <c:v>43266.200000106561</c:v>
                </c:pt>
                <c:pt idx="218" formatCode="0.0">
                  <c:v>42902.400000106318</c:v>
                </c:pt>
                <c:pt idx="219" formatCode="0.0">
                  <c:v>42582.200000105084</c:v>
                </c:pt>
                <c:pt idx="220" formatCode="0.0">
                  <c:v>42253.600000104598</c:v>
                </c:pt>
                <c:pt idx="221" formatCode="0.0">
                  <c:v>41925.000000104359</c:v>
                </c:pt>
                <c:pt idx="222" formatCode="0.0">
                  <c:v>41565.000000103137</c:v>
                </c:pt>
                <c:pt idx="223" formatCode="0.0">
                  <c:v>41167.200000101679</c:v>
                </c:pt>
                <c:pt idx="224" formatCode="0.0">
                  <c:v>40748.200000101446</c:v>
                </c:pt>
                <c:pt idx="225" formatCode="0.0">
                  <c:v>40312.40000010097</c:v>
                </c:pt>
                <c:pt idx="226" formatCode="0.0">
                  <c:v>39858.600000099534</c:v>
                </c:pt>
                <c:pt idx="227" formatCode="0.0">
                  <c:v>39385.60000009714</c:v>
                </c:pt>
                <c:pt idx="228" formatCode="0.0">
                  <c:v>38918.000000097869</c:v>
                </c:pt>
                <c:pt idx="229" formatCode="0.0">
                  <c:v>38441.000000095497</c:v>
                </c:pt>
                <c:pt idx="230" formatCode="0.0">
                  <c:v>37949.400000095993</c:v>
                </c:pt>
                <c:pt idx="231" formatCode="0.0">
                  <c:v>37418.900000093643</c:v>
                </c:pt>
                <c:pt idx="232" formatCode="0.0">
                  <c:v>36865.500000092965</c:v>
                </c:pt>
                <c:pt idx="233" formatCode="0.0">
                  <c:v>36324.000000091582</c:v>
                </c:pt>
                <c:pt idx="234" formatCode="0.0">
                  <c:v>35788.000000091139</c:v>
                </c:pt>
                <c:pt idx="235" formatCode="0.0">
                  <c:v>35284.800000088842</c:v>
                </c:pt>
                <c:pt idx="236" formatCode="0.0">
                  <c:v>34784.600000088401</c:v>
                </c:pt>
                <c:pt idx="237" formatCode="0.0">
                  <c:v>34270.800000086136</c:v>
                </c:pt>
                <c:pt idx="238" formatCode="0.0">
                  <c:v>33732.000000085493</c:v>
                </c:pt>
                <c:pt idx="239" formatCode="0.0">
                  <c:v>33198.900000084162</c:v>
                </c:pt>
                <c:pt idx="240" formatCode="0.0">
                  <c:v>32667.200000082838</c:v>
                </c:pt>
                <c:pt idx="241" formatCode="0.0">
                  <c:v>32143.800000082418</c:v>
                </c:pt>
                <c:pt idx="242" formatCode="0.0">
                  <c:v>31622.200000080902</c:v>
                </c:pt>
                <c:pt idx="243" formatCode="0.0">
                  <c:v>31133.80000008049</c:v>
                </c:pt>
                <c:pt idx="244" formatCode="0.0">
                  <c:v>30719.800000078314</c:v>
                </c:pt>
                <c:pt idx="245" formatCode="0.0">
                  <c:v>30264.900000077909</c:v>
                </c:pt>
                <c:pt idx="246" formatCode="0.0">
                  <c:v>29794.600000075763</c:v>
                </c:pt>
                <c:pt idx="247" formatCode="0.0">
                  <c:v>29286.000000075368</c:v>
                </c:pt>
                <c:pt idx="248" formatCode="0.0">
                  <c:v>28902.600000074111</c:v>
                </c:pt>
                <c:pt idx="249" formatCode="0.0">
                  <c:v>28565.200000073721</c:v>
                </c:pt>
                <c:pt idx="250" formatCode="0.0">
                  <c:v>28219.500000072669</c:v>
                </c:pt>
                <c:pt idx="251" formatCode="0.0">
                  <c:v>27844.500000072283</c:v>
                </c:pt>
                <c:pt idx="252" formatCode="0.0">
                  <c:v>27427.000000071894</c:v>
                </c:pt>
                <c:pt idx="253" formatCode="0.0">
                  <c:v>27025.800000069827</c:v>
                </c:pt>
                <c:pt idx="254" formatCode="0.0">
                  <c:v>26608.800000069448</c:v>
                </c:pt>
                <c:pt idx="255" formatCode="0.0">
                  <c:v>26192.500000067408</c:v>
                </c:pt>
                <c:pt idx="256" formatCode="0.0">
                  <c:v>25769.30000006704</c:v>
                </c:pt>
                <c:pt idx="257" formatCode="0.0">
                  <c:v>25333.000000065847</c:v>
                </c:pt>
                <c:pt idx="258" formatCode="0.0">
                  <c:v>24836.000000063668</c:v>
                </c:pt>
                <c:pt idx="259" formatCode="0.0">
                  <c:v>24665.40000006367</c:v>
                </c:pt>
                <c:pt idx="260" formatCode="0.0">
                  <c:v>24603.500000062679</c:v>
                </c:pt>
                <c:pt idx="261" formatCode="0.0">
                  <c:v>24386.900000062502</c:v>
                </c:pt>
                <c:pt idx="262" formatCode="0.0">
                  <c:v>24034.600000061346</c:v>
                </c:pt>
                <c:pt idx="263" formatCode="0.0">
                  <c:v>23545.000000060198</c:v>
                </c:pt>
                <c:pt idx="264" formatCode="0.0">
                  <c:v>23029.800000058094</c:v>
                </c:pt>
                <c:pt idx="265" formatCode="0.0">
                  <c:v>22513.000000056807</c:v>
                </c:pt>
                <c:pt idx="266" formatCode="0.0">
                  <c:v>21973.000000056316</c:v>
                </c:pt>
                <c:pt idx="267" formatCode="0.0">
                  <c:v>21436.000000054275</c:v>
                </c:pt>
                <c:pt idx="268" formatCode="0.0">
                  <c:v>20881.600000053029</c:v>
                </c:pt>
                <c:pt idx="269" formatCode="0.0">
                  <c:v>20277.500000050881</c:v>
                </c:pt>
                <c:pt idx="270" formatCode="0.0">
                  <c:v>19596.000000048771</c:v>
                </c:pt>
                <c:pt idx="271" formatCode="0.0">
                  <c:v>18908.500000046697</c:v>
                </c:pt>
                <c:pt idx="272" formatCode="0.0">
                  <c:v>18215.800000045252</c:v>
                </c:pt>
                <c:pt idx="273" formatCode="0.0">
                  <c:v>17517.000000043248</c:v>
                </c:pt>
                <c:pt idx="274" formatCode="0.0">
                  <c:v>16824.800000041854</c:v>
                </c:pt>
                <c:pt idx="275" formatCode="0.0">
                  <c:v>16139.800000039089</c:v>
                </c:pt>
                <c:pt idx="276" formatCode="0.0">
                  <c:v>15477.000000037891</c:v>
                </c:pt>
                <c:pt idx="277" formatCode="0.0">
                  <c:v>14722.200000035791</c:v>
                </c:pt>
                <c:pt idx="278" formatCode="0.0">
                  <c:v>14091.600000034525</c:v>
                </c:pt>
                <c:pt idx="279" formatCode="0.0">
                  <c:v>13749.000000032855</c:v>
                </c:pt>
                <c:pt idx="280" formatCode="0.0">
                  <c:v>12873.500000030137</c:v>
                </c:pt>
                <c:pt idx="281" formatCode="0.0">
                  <c:v>12431.000000029077</c:v>
                </c:pt>
                <c:pt idx="282" formatCode="0.0">
                  <c:v>12130.600000027613</c:v>
                </c:pt>
                <c:pt idx="283" formatCode="0.0">
                  <c:v>11545.000000026397</c:v>
                </c:pt>
                <c:pt idx="284" formatCode="0.0">
                  <c:v>10583.000000023738</c:v>
                </c:pt>
                <c:pt idx="285" formatCode="0.0">
                  <c:v>9942.6000000219465</c:v>
                </c:pt>
                <c:pt idx="286" formatCode="0.0">
                  <c:v>9980.4000000214528</c:v>
                </c:pt>
                <c:pt idx="287" formatCode="0.0">
                  <c:v>9897.0000000219461</c:v>
                </c:pt>
                <c:pt idx="288" formatCode="0.0">
                  <c:v>9500.8000000204629</c:v>
                </c:pt>
                <c:pt idx="289" formatCode="0.0">
                  <c:v>9003.0000000194177</c:v>
                </c:pt>
                <c:pt idx="290" formatCode="0.0">
                  <c:v>8603.1000000179338</c:v>
                </c:pt>
                <c:pt idx="291" formatCode="0.0">
                  <c:v>7911.5000000162818</c:v>
                </c:pt>
                <c:pt idx="292" formatCode="0.0">
                  <c:v>9091.5000000194977</c:v>
                </c:pt>
                <c:pt idx="293" formatCode="0.0">
                  <c:v>9548.2000000210319</c:v>
                </c:pt>
                <c:pt idx="294" formatCode="0.0">
                  <c:v>8045.1000000174827</c:v>
                </c:pt>
                <c:pt idx="295" formatCode="0.0">
                  <c:v>6603.0000000141108</c:v>
                </c:pt>
                <c:pt idx="296" formatCode="0.0">
                  <c:v>5732.2000000123398</c:v>
                </c:pt>
                <c:pt idx="297" formatCode="0.0">
                  <c:v>4923.500000010743</c:v>
                </c:pt>
                <c:pt idx="298" formatCode="0.0">
                  <c:v>4468.0000000098771</c:v>
                </c:pt>
                <c:pt idx="299" formatCode="0.0">
                  <c:v>4366.4000000094129</c:v>
                </c:pt>
                <c:pt idx="300" formatCode="0.0">
                  <c:v>4018.0000000090995</c:v>
                </c:pt>
                <c:pt idx="301" formatCode="0.0">
                  <c:v>3627.8000000083539</c:v>
                </c:pt>
                <c:pt idx="302" formatCode="0.0">
                  <c:v>3065.8000000074489</c:v>
                </c:pt>
                <c:pt idx="303" formatCode="0.0">
                  <c:v>2595.0000000063505</c:v>
                </c:pt>
                <c:pt idx="304" formatCode="0.0">
                  <c:v>2294.2000000057296</c:v>
                </c:pt>
                <c:pt idx="305" formatCode="0.0">
                  <c:v>2195.200000005334</c:v>
                </c:pt>
                <c:pt idx="306" formatCode="0.0">
                  <c:v>2023.8000000051795</c:v>
                </c:pt>
                <c:pt idx="307" formatCode="0.0">
                  <c:v>1754.5000000043315</c:v>
                </c:pt>
                <c:pt idx="308" formatCode="0.0">
                  <c:v>1576.8000000038835</c:v>
                </c:pt>
                <c:pt idx="309" formatCode="0.0">
                  <c:v>1744.0000000043315</c:v>
                </c:pt>
                <c:pt idx="310" formatCode="0.0">
                  <c:v>1672.5000000042633</c:v>
                </c:pt>
                <c:pt idx="311" formatCode="0.0">
                  <c:v>1438.4000000037563</c:v>
                </c:pt>
                <c:pt idx="312" formatCode="0.0">
                  <c:v>1197.800000003281</c:v>
                </c:pt>
                <c:pt idx="313" formatCode="0.0">
                  <c:v>1151.0000000032514</c:v>
                </c:pt>
                <c:pt idx="314" formatCode="0.0">
                  <c:v>1151.0000000032514</c:v>
                </c:pt>
                <c:pt idx="315" formatCode="0.0">
                  <c:v>1074.0000000029468</c:v>
                </c:pt>
                <c:pt idx="316" formatCode="0.0">
                  <c:v>999.00000000286491</c:v>
                </c:pt>
                <c:pt idx="317" formatCode="0.0">
                  <c:v>1409.0000000037562</c:v>
                </c:pt>
                <c:pt idx="318" formatCode="0.0">
                  <c:v>1218.8000000035652</c:v>
                </c:pt>
                <c:pt idx="319" formatCode="0.0">
                  <c:v>1086.0000000031923</c:v>
                </c:pt>
                <c:pt idx="320" formatCode="0.0">
                  <c:v>928.20000000257619</c:v>
                </c:pt>
                <c:pt idx="321" formatCode="0.0">
                  <c:v>977.60000000286493</c:v>
                </c:pt>
                <c:pt idx="322" formatCode="0.0">
                  <c:v>554.00000000202363</c:v>
                </c:pt>
                <c:pt idx="323" formatCode="0.0">
                  <c:v>414.00000000152795</c:v>
                </c:pt>
                <c:pt idx="324" formatCode="0.0">
                  <c:v>874.40000000275575</c:v>
                </c:pt>
                <c:pt idx="325" formatCode="0.0">
                  <c:v>1014.9000000031332</c:v>
                </c:pt>
                <c:pt idx="326" formatCode="0.0">
                  <c:v>1082.4000000029469</c:v>
                </c:pt>
                <c:pt idx="327" formatCode="0.0">
                  <c:v>1000.200000002865</c:v>
                </c:pt>
                <c:pt idx="328" formatCode="0.0">
                  <c:v>1038.6000000031331</c:v>
                </c:pt>
                <c:pt idx="329" formatCode="0.0">
                  <c:v>1066.2000000031628</c:v>
                </c:pt>
                <c:pt idx="330" formatCode="0.0">
                  <c:v>1122.400000003222</c:v>
                </c:pt>
                <c:pt idx="331" formatCode="0.0">
                  <c:v>1177.000000003281</c:v>
                </c:pt>
                <c:pt idx="332" formatCode="0.0">
                  <c:v>1251.4000000035971</c:v>
                </c:pt>
                <c:pt idx="333" formatCode="0.0">
                  <c:v>1368.8000000036925</c:v>
                </c:pt>
                <c:pt idx="334" formatCode="0.0">
                  <c:v>1354.8000000036925</c:v>
                </c:pt>
                <c:pt idx="335" formatCode="0.0">
                  <c:v>1292.400000003629</c:v>
                </c:pt>
                <c:pt idx="336" formatCode="0.0">
                  <c:v>1813.8000000046929</c:v>
                </c:pt>
                <c:pt idx="337" formatCode="0.0">
                  <c:v>2002.6000000048384</c:v>
                </c:pt>
                <c:pt idx="338" formatCode="0.0">
                  <c:v>1428.6000000037561</c:v>
                </c:pt>
                <c:pt idx="339" formatCode="0.0">
                  <c:v>1296.6000000036288</c:v>
                </c:pt>
                <c:pt idx="340" formatCode="0.0">
                  <c:v>1220.2000000035653</c:v>
                </c:pt>
                <c:pt idx="341" formatCode="0.0">
                  <c:v>1139.3000000032514</c:v>
                </c:pt>
                <c:pt idx="342" formatCode="0.0">
                  <c:v>1209.5000000033106</c:v>
                </c:pt>
                <c:pt idx="343" formatCode="0.0">
                  <c:v>1258.4000000035971</c:v>
                </c:pt>
                <c:pt idx="344" formatCode="0.0">
                  <c:v>1228.6000000035651</c:v>
                </c:pt>
                <c:pt idx="345" formatCode="0.0">
                  <c:v>1169.200000003281</c:v>
                </c:pt>
                <c:pt idx="346" formatCode="0.0">
                  <c:v>1086.0000000031923</c:v>
                </c:pt>
                <c:pt idx="347" formatCode="0.0">
                  <c:v>1039.9000000031629</c:v>
                </c:pt>
                <c:pt idx="348" formatCode="0.0">
                  <c:v>1053.8000000029194</c:v>
                </c:pt>
                <c:pt idx="349" formatCode="0.0">
                  <c:v>1088.6000000031922</c:v>
                </c:pt>
                <c:pt idx="350" formatCode="0.0">
                  <c:v>1131.5000000032219</c:v>
                </c:pt>
                <c:pt idx="351" formatCode="0.0">
                  <c:v>1127.6000000032218</c:v>
                </c:pt>
                <c:pt idx="352" formatCode="0.0">
                  <c:v>1050.2000000029195</c:v>
                </c:pt>
                <c:pt idx="353" formatCode="0.0">
                  <c:v>1323.6000000036606</c:v>
                </c:pt>
                <c:pt idx="354" formatCode="0.0">
                  <c:v>1115.900000003222</c:v>
                </c:pt>
                <c:pt idx="355" formatCode="0.0">
                  <c:v>971.40000000307407</c:v>
                </c:pt>
                <c:pt idx="356" formatCode="0.0">
                  <c:v>1055.0000000029195</c:v>
                </c:pt>
                <c:pt idx="357" formatCode="0.0">
                  <c:v>1205.6000000033105</c:v>
                </c:pt>
                <c:pt idx="358" formatCode="0.0">
                  <c:v>1156.2000000032515</c:v>
                </c:pt>
                <c:pt idx="359" formatCode="0.0">
                  <c:v>1003.8000000028649</c:v>
                </c:pt>
                <c:pt idx="360" formatCode="0.0">
                  <c:v>926.00000000257614</c:v>
                </c:pt>
                <c:pt idx="361" formatCode="0.0">
                  <c:v>850.40000000272846</c:v>
                </c:pt>
                <c:pt idx="362" formatCode="0.0">
                  <c:v>959.80000000283758</c:v>
                </c:pt>
                <c:pt idx="363" formatCode="0.0">
                  <c:v>1368.8000000036925</c:v>
                </c:pt>
                <c:pt idx="364" formatCode="0.0">
                  <c:v>1514.0000000041268</c:v>
                </c:pt>
              </c:numCache>
            </c:numRef>
          </c:val>
          <c:smooth val="0"/>
        </c:ser>
        <c:dLbls>
          <c:showLegendKey val="0"/>
          <c:showVal val="0"/>
          <c:showCatName val="0"/>
          <c:showSerName val="0"/>
          <c:showPercent val="0"/>
          <c:showBubbleSize val="0"/>
        </c:dLbls>
        <c:marker val="1"/>
        <c:smooth val="0"/>
        <c:axId val="63211776"/>
        <c:axId val="63210240"/>
      </c:lineChart>
      <c:dateAx>
        <c:axId val="63202048"/>
        <c:scaling>
          <c:orientation val="minMax"/>
        </c:scaling>
        <c:delete val="0"/>
        <c:axPos val="b"/>
        <c:majorGridlines/>
        <c:numFmt formatCode="[$-409]d\-mmm;@" sourceLinked="0"/>
        <c:majorTickMark val="out"/>
        <c:minorTickMark val="none"/>
        <c:tickLblPos val="nextTo"/>
        <c:txPr>
          <a:bodyPr rot="-5400000" vert="horz"/>
          <a:lstStyle/>
          <a:p>
            <a:pPr>
              <a:defRPr/>
            </a:pPr>
            <a:endParaRPr lang="en-US"/>
          </a:p>
        </c:txPr>
        <c:crossAx val="63203584"/>
        <c:crosses val="autoZero"/>
        <c:auto val="0"/>
        <c:lblOffset val="100"/>
        <c:baseTimeUnit val="days"/>
        <c:majorUnit val="14"/>
        <c:minorUnit val="14"/>
      </c:dateAx>
      <c:valAx>
        <c:axId val="63203584"/>
        <c:scaling>
          <c:orientation val="minMax"/>
          <c:max val="55000"/>
          <c:min val="0"/>
        </c:scaling>
        <c:delete val="0"/>
        <c:axPos val="l"/>
        <c:majorGridlines/>
        <c:title>
          <c:tx>
            <c:rich>
              <a:bodyPr/>
              <a:lstStyle/>
              <a:p>
                <a:pPr>
                  <a:defRPr/>
                </a:pPr>
                <a:r>
                  <a:rPr lang="en-US" sz="1200"/>
                  <a:t>Thousand</a:t>
                </a:r>
                <a:r>
                  <a:rPr lang="en-US" sz="1200" baseline="0"/>
                  <a:t> Acre-Feet</a:t>
                </a:r>
                <a:endParaRPr lang="en-US" sz="1200"/>
              </a:p>
            </c:rich>
          </c:tx>
          <c:layout>
            <c:manualLayout>
              <c:xMode val="edge"/>
              <c:yMode val="edge"/>
              <c:x val="1.6104533845383337E-2"/>
              <c:y val="0.33000779497578381"/>
            </c:manualLayout>
          </c:layout>
          <c:overlay val="0"/>
        </c:title>
        <c:numFmt formatCode="0" sourceLinked="0"/>
        <c:majorTickMark val="out"/>
        <c:minorTickMark val="none"/>
        <c:tickLblPos val="nextTo"/>
        <c:txPr>
          <a:bodyPr rot="0" vert="horz"/>
          <a:lstStyle/>
          <a:p>
            <a:pPr>
              <a:defRPr/>
            </a:pPr>
            <a:endParaRPr lang="en-US"/>
          </a:p>
        </c:txPr>
        <c:crossAx val="63202048"/>
        <c:crosses val="autoZero"/>
        <c:crossBetween val="between"/>
        <c:majorUnit val="5000"/>
        <c:minorUnit val="1000"/>
        <c:dispUnits>
          <c:builtInUnit val="thousands"/>
        </c:dispUnits>
      </c:valAx>
      <c:valAx>
        <c:axId val="63210240"/>
        <c:scaling>
          <c:orientation val="minMax"/>
        </c:scaling>
        <c:delete val="1"/>
        <c:axPos val="r"/>
        <c:numFmt formatCode="0.0" sourceLinked="1"/>
        <c:majorTickMark val="out"/>
        <c:minorTickMark val="none"/>
        <c:tickLblPos val="nextTo"/>
        <c:crossAx val="63211776"/>
        <c:crosses val="max"/>
        <c:crossBetween val="between"/>
      </c:valAx>
      <c:catAx>
        <c:axId val="63211776"/>
        <c:scaling>
          <c:orientation val="minMax"/>
        </c:scaling>
        <c:delete val="1"/>
        <c:axPos val="b"/>
        <c:majorTickMark val="out"/>
        <c:minorTickMark val="none"/>
        <c:tickLblPos val="nextTo"/>
        <c:crossAx val="63210240"/>
        <c:crosses val="autoZero"/>
        <c:auto val="1"/>
        <c:lblAlgn val="ctr"/>
        <c:lblOffset val="100"/>
        <c:noMultiLvlLbl val="0"/>
      </c:catAx>
      <c:spPr>
        <a:noFill/>
        <a:ln>
          <a:solidFill>
            <a:schemeClr val="tx1"/>
          </a:solidFill>
        </a:ln>
      </c:spPr>
    </c:plotArea>
    <c:legend>
      <c:legendPos val="b"/>
      <c:layout>
        <c:manualLayout>
          <c:xMode val="edge"/>
          <c:yMode val="edge"/>
          <c:x val="3.1666485527123867E-2"/>
          <c:y val="0.85487774344714296"/>
          <c:w val="0.93798777022076318"/>
          <c:h val="0.12259547786174343"/>
        </c:manualLayout>
      </c:layout>
      <c:overlay val="0"/>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1135 + Resource Storage for 2017</a:t>
            </a:r>
          </a:p>
        </c:rich>
      </c:tx>
      <c:layout>
        <c:manualLayout>
          <c:xMode val="edge"/>
          <c:yMode val="edge"/>
          <c:x val="0.37260018083023932"/>
          <c:y val="3.4815796540283959E-2"/>
        </c:manualLayout>
      </c:layout>
      <c:overlay val="0"/>
      <c:spPr>
        <a:noFill/>
        <a:ln w="25400">
          <a:noFill/>
        </a:ln>
      </c:spPr>
    </c:title>
    <c:autoTitleDeleted val="0"/>
    <c:plotArea>
      <c:layout>
        <c:manualLayout>
          <c:layoutTarget val="inner"/>
          <c:xMode val="edge"/>
          <c:yMode val="edge"/>
          <c:x val="0.12005277044872543"/>
          <c:y val="0.11764812325288609"/>
          <c:w val="0.85092348284960462"/>
          <c:h val="0.72906608625141367"/>
        </c:manualLayout>
      </c:layout>
      <c:lineChart>
        <c:grouping val="standard"/>
        <c:varyColors val="0"/>
        <c:ser>
          <c:idx val="2"/>
          <c:order val="0"/>
          <c:tx>
            <c:strRef>
              <c:f>Summary!$W$2</c:f>
              <c:strCache>
                <c:ptCount val="1"/>
                <c:pt idx="0">
                  <c:v>Total 1135 + Resource Water</c:v>
                </c:pt>
              </c:strCache>
            </c:strRef>
          </c:tx>
          <c:marker>
            <c:symbol val="none"/>
          </c:marker>
          <c:cat>
            <c:numRef>
              <c:f>Summary!$A$9:$A$374</c:f>
              <c:numCache>
                <c:formatCode>[$-409]d\-mmm;@</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Summary!$W$9:$W$374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889.3940642541711</c:v>
                </c:pt>
                <c:pt idx="124">
                  <c:v>3830.9225435204826</c:v>
                </c:pt>
                <c:pt idx="125">
                  <c:v>4287.6554362396855</c:v>
                </c:pt>
                <c:pt idx="126">
                  <c:v>5000</c:v>
                </c:pt>
                <c:pt idx="127">
                  <c:v>5000</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5000</c:v>
                </c:pt>
                <c:pt idx="169">
                  <c:v>5000</c:v>
                </c:pt>
                <c:pt idx="170">
                  <c:v>5000</c:v>
                </c:pt>
                <c:pt idx="171">
                  <c:v>5000</c:v>
                </c:pt>
                <c:pt idx="172">
                  <c:v>5000</c:v>
                </c:pt>
                <c:pt idx="173">
                  <c:v>15000</c:v>
                </c:pt>
                <c:pt idx="174">
                  <c:v>14930.520000118187</c:v>
                </c:pt>
                <c:pt idx="175">
                  <c:v>14773.320000116888</c:v>
                </c:pt>
                <c:pt idx="176">
                  <c:v>14626.720000116889</c:v>
                </c:pt>
                <c:pt idx="177">
                  <c:v>14604.320000116888</c:v>
                </c:pt>
                <c:pt idx="178">
                  <c:v>14593.120000116891</c:v>
                </c:pt>
                <c:pt idx="179">
                  <c:v>14537.020000117678</c:v>
                </c:pt>
                <c:pt idx="180">
                  <c:v>14412.720000117675</c:v>
                </c:pt>
                <c:pt idx="181">
                  <c:v>14348.320000116379</c:v>
                </c:pt>
                <c:pt idx="182">
                  <c:v>14251.266453763987</c:v>
                </c:pt>
                <c:pt idx="183">
                  <c:v>14188.902390053707</c:v>
                </c:pt>
                <c:pt idx="184">
                  <c:v>14205.071446932772</c:v>
                </c:pt>
                <c:pt idx="185">
                  <c:v>14188.07282676726</c:v>
                </c:pt>
                <c:pt idx="186">
                  <c:v>14160.614997474084</c:v>
                </c:pt>
                <c:pt idx="187">
                  <c:v>14132.145372165061</c:v>
                </c:pt>
                <c:pt idx="188">
                  <c:v>14136.856944759478</c:v>
                </c:pt>
                <c:pt idx="189">
                  <c:v>14118.876782499545</c:v>
                </c:pt>
                <c:pt idx="190">
                  <c:v>14081.723779002074</c:v>
                </c:pt>
                <c:pt idx="191">
                  <c:v>14058.264396152517</c:v>
                </c:pt>
                <c:pt idx="192">
                  <c:v>14058.264396152517</c:v>
                </c:pt>
                <c:pt idx="193">
                  <c:v>14058.264396152517</c:v>
                </c:pt>
                <c:pt idx="194">
                  <c:v>14058.264396152517</c:v>
                </c:pt>
                <c:pt idx="195">
                  <c:v>14058.264396152517</c:v>
                </c:pt>
                <c:pt idx="196">
                  <c:v>14058.264396152517</c:v>
                </c:pt>
                <c:pt idx="197">
                  <c:v>14058.264396152517</c:v>
                </c:pt>
                <c:pt idx="198">
                  <c:v>14058.264396152517</c:v>
                </c:pt>
                <c:pt idx="199">
                  <c:v>14058.264396152517</c:v>
                </c:pt>
                <c:pt idx="200">
                  <c:v>14058.264396152517</c:v>
                </c:pt>
                <c:pt idx="201">
                  <c:v>14058.264396152517</c:v>
                </c:pt>
                <c:pt idx="202">
                  <c:v>14058.264396152517</c:v>
                </c:pt>
                <c:pt idx="203">
                  <c:v>14058.264396152517</c:v>
                </c:pt>
                <c:pt idx="204">
                  <c:v>14058.264396152517</c:v>
                </c:pt>
                <c:pt idx="205">
                  <c:v>14058.264396152517</c:v>
                </c:pt>
                <c:pt idx="206">
                  <c:v>14058.264396152517</c:v>
                </c:pt>
                <c:pt idx="207">
                  <c:v>14058.264396152517</c:v>
                </c:pt>
                <c:pt idx="208">
                  <c:v>14058.264396152517</c:v>
                </c:pt>
                <c:pt idx="209">
                  <c:v>14058.264396152517</c:v>
                </c:pt>
                <c:pt idx="210">
                  <c:v>14058.264396152517</c:v>
                </c:pt>
                <c:pt idx="211">
                  <c:v>14058.264396152517</c:v>
                </c:pt>
                <c:pt idx="212">
                  <c:v>14058.264396152517</c:v>
                </c:pt>
                <c:pt idx="213">
                  <c:v>14058.264396152517</c:v>
                </c:pt>
                <c:pt idx="214">
                  <c:v>14058.264396152517</c:v>
                </c:pt>
                <c:pt idx="215">
                  <c:v>14058.264396152517</c:v>
                </c:pt>
                <c:pt idx="216">
                  <c:v>14058.264396152517</c:v>
                </c:pt>
                <c:pt idx="217">
                  <c:v>14058.264396152517</c:v>
                </c:pt>
                <c:pt idx="218">
                  <c:v>14058.264396152517</c:v>
                </c:pt>
                <c:pt idx="219">
                  <c:v>14058.264396152517</c:v>
                </c:pt>
                <c:pt idx="220">
                  <c:v>14058.264396152517</c:v>
                </c:pt>
                <c:pt idx="221">
                  <c:v>14058.264396152517</c:v>
                </c:pt>
                <c:pt idx="222">
                  <c:v>14058.264396152517</c:v>
                </c:pt>
                <c:pt idx="223">
                  <c:v>14058.264396152517</c:v>
                </c:pt>
                <c:pt idx="224">
                  <c:v>14058.264396152517</c:v>
                </c:pt>
                <c:pt idx="225">
                  <c:v>14058.264396152517</c:v>
                </c:pt>
                <c:pt idx="226">
                  <c:v>13817.26554061885</c:v>
                </c:pt>
                <c:pt idx="227">
                  <c:v>13688.637540617434</c:v>
                </c:pt>
                <c:pt idx="228">
                  <c:v>13598.409540618155</c:v>
                </c:pt>
                <c:pt idx="229">
                  <c:v>13470.743540616742</c:v>
                </c:pt>
                <c:pt idx="230">
                  <c:v>13326.077540616508</c:v>
                </c:pt>
                <c:pt idx="231">
                  <c:v>13170.711540615106</c:v>
                </c:pt>
                <c:pt idx="232">
                  <c:v>13029.245540613938</c:v>
                </c:pt>
                <c:pt idx="233">
                  <c:v>12880.479540613487</c:v>
                </c:pt>
                <c:pt idx="234">
                  <c:v>12713.413540612102</c:v>
                </c:pt>
                <c:pt idx="235">
                  <c:v>12540.247540611876</c:v>
                </c:pt>
                <c:pt idx="236">
                  <c:v>12370.938602728365</c:v>
                </c:pt>
                <c:pt idx="237">
                  <c:v>12208.329447172371</c:v>
                </c:pt>
                <c:pt idx="238">
                  <c:v>12054.173447171943</c:v>
                </c:pt>
                <c:pt idx="239">
                  <c:v>11896.817447169891</c:v>
                </c:pt>
                <c:pt idx="240">
                  <c:v>11730.812008089008</c:v>
                </c:pt>
                <c:pt idx="241">
                  <c:v>11562.239462396214</c:v>
                </c:pt>
                <c:pt idx="242">
                  <c:v>11393.383462395796</c:v>
                </c:pt>
                <c:pt idx="243">
                  <c:v>11241.629203811193</c:v>
                </c:pt>
                <c:pt idx="244">
                  <c:v>11144.14937198969</c:v>
                </c:pt>
                <c:pt idx="245">
                  <c:v>11040.341371987492</c:v>
                </c:pt>
                <c:pt idx="246">
                  <c:v>10929.633371987969</c:v>
                </c:pt>
                <c:pt idx="247">
                  <c:v>10817.226819722084</c:v>
                </c:pt>
                <c:pt idx="248">
                  <c:v>10706.454243022774</c:v>
                </c:pt>
                <c:pt idx="249">
                  <c:v>10590.365858165293</c:v>
                </c:pt>
                <c:pt idx="250">
                  <c:v>10469.524112401934</c:v>
                </c:pt>
                <c:pt idx="251">
                  <c:v>10368.204112400672</c:v>
                </c:pt>
                <c:pt idx="252">
                  <c:v>10267.692395944268</c:v>
                </c:pt>
                <c:pt idx="253">
                  <c:v>10163.472395943027</c:v>
                </c:pt>
                <c:pt idx="254">
                  <c:v>10027.852395942446</c:v>
                </c:pt>
                <c:pt idx="255">
                  <c:v>9898.6323959403744</c:v>
                </c:pt>
                <c:pt idx="256">
                  <c:v>9772.81239594</c:v>
                </c:pt>
                <c:pt idx="257">
                  <c:v>9640.7923959379586</c:v>
                </c:pt>
                <c:pt idx="258">
                  <c:v>9518.0723959359311</c:v>
                </c:pt>
                <c:pt idx="259">
                  <c:v>9421.7523959363971</c:v>
                </c:pt>
                <c:pt idx="260">
                  <c:v>9380.1024424276948</c:v>
                </c:pt>
                <c:pt idx="261">
                  <c:v>9365.8523204192024</c:v>
                </c:pt>
                <c:pt idx="262">
                  <c:v>9337.5134396098001</c:v>
                </c:pt>
                <c:pt idx="263">
                  <c:v>9234.0730300814648</c:v>
                </c:pt>
                <c:pt idx="264">
                  <c:v>8955.1453157326723</c:v>
                </c:pt>
                <c:pt idx="265">
                  <c:v>8601.6673157313817</c:v>
                </c:pt>
                <c:pt idx="266">
                  <c:v>8235.6893157307277</c:v>
                </c:pt>
                <c:pt idx="267">
                  <c:v>7872.664584214308</c:v>
                </c:pt>
                <c:pt idx="268">
                  <c:v>8017.5951102223953</c:v>
                </c:pt>
                <c:pt idx="269">
                  <c:v>7610.4171102202527</c:v>
                </c:pt>
                <c:pt idx="270">
                  <c:v>7187.8723570385519</c:v>
                </c:pt>
                <c:pt idx="271">
                  <c:v>6767.0719570364818</c:v>
                </c:pt>
                <c:pt idx="272">
                  <c:v>6365.6552854029142</c:v>
                </c:pt>
                <c:pt idx="273">
                  <c:v>6238.2538155932089</c:v>
                </c:pt>
                <c:pt idx="274">
                  <c:v>5926.6398155919487</c:v>
                </c:pt>
                <c:pt idx="275">
                  <c:v>5539.1379152639292</c:v>
                </c:pt>
                <c:pt idx="276">
                  <c:v>5119.3849526772774</c:v>
                </c:pt>
                <c:pt idx="277">
                  <c:v>4682.1709526745835</c:v>
                </c:pt>
                <c:pt idx="278">
                  <c:v>4240.9868848402657</c:v>
                </c:pt>
                <c:pt idx="279">
                  <c:v>3904.5048848390161</c:v>
                </c:pt>
                <c:pt idx="280">
                  <c:v>3815.8228848367089</c:v>
                </c:pt>
                <c:pt idx="281">
                  <c:v>3568.0408848356292</c:v>
                </c:pt>
                <c:pt idx="282">
                  <c:v>3532.1092848344633</c:v>
                </c:pt>
                <c:pt idx="283">
                  <c:v>3113.1439170260928</c:v>
                </c:pt>
                <c:pt idx="284">
                  <c:v>2796.5619170237715</c:v>
                </c:pt>
                <c:pt idx="285">
                  <c:v>2857.7457825184265</c:v>
                </c:pt>
                <c:pt idx="286">
                  <c:v>2673.3214742666314</c:v>
                </c:pt>
                <c:pt idx="287">
                  <c:v>2363.6869371220691</c:v>
                </c:pt>
                <c:pt idx="288">
                  <c:v>1947.0177728346207</c:v>
                </c:pt>
                <c:pt idx="289">
                  <c:v>1432.7357728322559</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0"/>
          <c:order val="1"/>
          <c:tx>
            <c:strRef>
              <c:f>Summary!$Y$2</c:f>
              <c:strCache>
                <c:ptCount val="1"/>
                <c:pt idx="0">
                  <c:v>Portion of 1135 + Resource Water Available to Tacoma for Maintaining Auburn Gage at 250 cfs Min</c:v>
                </c:pt>
              </c:strCache>
            </c:strRef>
          </c:tx>
          <c:marker>
            <c:symbol val="none"/>
          </c:marker>
          <c:cat>
            <c:numRef>
              <c:f>Summary!$A$9:$A$374</c:f>
              <c:numCache>
                <c:formatCode>[$-409]d\-mmm;@</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Summary!$Y$9:$Y$374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444.69703212708555</c:v>
                </c:pt>
                <c:pt idx="124">
                  <c:v>1915.4612717602413</c:v>
                </c:pt>
                <c:pt idx="125">
                  <c:v>2143.8277181198428</c:v>
                </c:pt>
                <c:pt idx="126">
                  <c:v>2500</c:v>
                </c:pt>
                <c:pt idx="127">
                  <c:v>2500</c:v>
                </c:pt>
                <c:pt idx="128">
                  <c:v>2500</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2500</c:v>
                </c:pt>
                <c:pt idx="179">
                  <c:v>2500</c:v>
                </c:pt>
                <c:pt idx="180">
                  <c:v>2500</c:v>
                </c:pt>
                <c:pt idx="181">
                  <c:v>2500</c:v>
                </c:pt>
                <c:pt idx="182">
                  <c:v>2500</c:v>
                </c:pt>
                <c:pt idx="183">
                  <c:v>2500</c:v>
                </c:pt>
                <c:pt idx="184">
                  <c:v>2500</c:v>
                </c:pt>
                <c:pt idx="185">
                  <c:v>2500</c:v>
                </c:pt>
                <c:pt idx="186">
                  <c:v>2500</c:v>
                </c:pt>
                <c:pt idx="187">
                  <c:v>2500</c:v>
                </c:pt>
                <c:pt idx="188">
                  <c:v>2500</c:v>
                </c:pt>
                <c:pt idx="189">
                  <c:v>2500</c:v>
                </c:pt>
                <c:pt idx="190">
                  <c:v>2500</c:v>
                </c:pt>
                <c:pt idx="191">
                  <c:v>2500</c:v>
                </c:pt>
                <c:pt idx="192">
                  <c:v>2500</c:v>
                </c:pt>
                <c:pt idx="193">
                  <c:v>2500</c:v>
                </c:pt>
                <c:pt idx="194">
                  <c:v>2500</c:v>
                </c:pt>
                <c:pt idx="195">
                  <c:v>2500</c:v>
                </c:pt>
                <c:pt idx="196">
                  <c:v>2500</c:v>
                </c:pt>
                <c:pt idx="197">
                  <c:v>2500</c:v>
                </c:pt>
                <c:pt idx="198">
                  <c:v>2500</c:v>
                </c:pt>
                <c:pt idx="199">
                  <c:v>2500</c:v>
                </c:pt>
                <c:pt idx="200">
                  <c:v>2500</c:v>
                </c:pt>
                <c:pt idx="201">
                  <c:v>2500</c:v>
                </c:pt>
                <c:pt idx="202">
                  <c:v>2500</c:v>
                </c:pt>
                <c:pt idx="203">
                  <c:v>2500</c:v>
                </c:pt>
                <c:pt idx="204">
                  <c:v>2500</c:v>
                </c:pt>
                <c:pt idx="205">
                  <c:v>2500</c:v>
                </c:pt>
                <c:pt idx="206">
                  <c:v>2500</c:v>
                </c:pt>
                <c:pt idx="207">
                  <c:v>2500</c:v>
                </c:pt>
                <c:pt idx="208">
                  <c:v>2500</c:v>
                </c:pt>
                <c:pt idx="209">
                  <c:v>2500</c:v>
                </c:pt>
                <c:pt idx="210">
                  <c:v>2500</c:v>
                </c:pt>
                <c:pt idx="211">
                  <c:v>2500</c:v>
                </c:pt>
                <c:pt idx="212">
                  <c:v>2500</c:v>
                </c:pt>
                <c:pt idx="213">
                  <c:v>2500</c:v>
                </c:pt>
                <c:pt idx="214">
                  <c:v>2500</c:v>
                </c:pt>
                <c:pt idx="215">
                  <c:v>2500</c:v>
                </c:pt>
                <c:pt idx="216">
                  <c:v>2500</c:v>
                </c:pt>
                <c:pt idx="217">
                  <c:v>2500</c:v>
                </c:pt>
                <c:pt idx="218">
                  <c:v>2500</c:v>
                </c:pt>
                <c:pt idx="219">
                  <c:v>2500</c:v>
                </c:pt>
                <c:pt idx="220">
                  <c:v>2500</c:v>
                </c:pt>
                <c:pt idx="221">
                  <c:v>2500</c:v>
                </c:pt>
                <c:pt idx="222">
                  <c:v>2500</c:v>
                </c:pt>
                <c:pt idx="223">
                  <c:v>2500</c:v>
                </c:pt>
                <c:pt idx="224">
                  <c:v>2500</c:v>
                </c:pt>
                <c:pt idx="225">
                  <c:v>2500</c:v>
                </c:pt>
                <c:pt idx="226">
                  <c:v>2500</c:v>
                </c:pt>
                <c:pt idx="227">
                  <c:v>2500</c:v>
                </c:pt>
                <c:pt idx="228">
                  <c:v>2500</c:v>
                </c:pt>
                <c:pt idx="229">
                  <c:v>2500</c:v>
                </c:pt>
                <c:pt idx="230">
                  <c:v>2500</c:v>
                </c:pt>
                <c:pt idx="231">
                  <c:v>2500</c:v>
                </c:pt>
                <c:pt idx="232">
                  <c:v>2500</c:v>
                </c:pt>
                <c:pt idx="233">
                  <c:v>2500</c:v>
                </c:pt>
                <c:pt idx="234">
                  <c:v>2500</c:v>
                </c:pt>
                <c:pt idx="235">
                  <c:v>2500</c:v>
                </c:pt>
                <c:pt idx="236">
                  <c:v>2500</c:v>
                </c:pt>
                <c:pt idx="237">
                  <c:v>2500</c:v>
                </c:pt>
                <c:pt idx="238">
                  <c:v>2500</c:v>
                </c:pt>
                <c:pt idx="239">
                  <c:v>2500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1"/>
          <c:order val="2"/>
          <c:tx>
            <c:strRef>
              <c:f>Summary!$Z$2</c:f>
              <c:strCache>
                <c:ptCount val="1"/>
                <c:pt idx="0">
                  <c:v>Portion of 1135 + Resource Water for Agency Augmentation of Green River Flows</c:v>
                </c:pt>
              </c:strCache>
            </c:strRef>
          </c:tx>
          <c:marker>
            <c:symbol val="none"/>
          </c:marker>
          <c:cat>
            <c:numRef>
              <c:f>Summary!$A$9:$A$374</c:f>
              <c:numCache>
                <c:formatCode>[$-409]d\-mmm;@</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Summary!$Z$9:$Z$374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444.69703212708555</c:v>
                </c:pt>
                <c:pt idx="124">
                  <c:v>1915.4612717602413</c:v>
                </c:pt>
                <c:pt idx="125">
                  <c:v>2143.8277181198428</c:v>
                </c:pt>
                <c:pt idx="126">
                  <c:v>2500</c:v>
                </c:pt>
                <c:pt idx="127">
                  <c:v>2500</c:v>
                </c:pt>
                <c:pt idx="128">
                  <c:v>2500</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12500</c:v>
                </c:pt>
                <c:pt idx="174">
                  <c:v>12430.520000118187</c:v>
                </c:pt>
                <c:pt idx="175">
                  <c:v>12273.320000116888</c:v>
                </c:pt>
                <c:pt idx="176">
                  <c:v>12126.720000116889</c:v>
                </c:pt>
                <c:pt idx="177">
                  <c:v>12104.320000116888</c:v>
                </c:pt>
                <c:pt idx="178">
                  <c:v>12093.120000116891</c:v>
                </c:pt>
                <c:pt idx="179">
                  <c:v>12037.020000117678</c:v>
                </c:pt>
                <c:pt idx="180">
                  <c:v>11912.720000117675</c:v>
                </c:pt>
                <c:pt idx="181">
                  <c:v>11848.320000116379</c:v>
                </c:pt>
                <c:pt idx="182">
                  <c:v>11751.266453763987</c:v>
                </c:pt>
                <c:pt idx="183">
                  <c:v>11688.902390053707</c:v>
                </c:pt>
                <c:pt idx="184">
                  <c:v>11705.071446932772</c:v>
                </c:pt>
                <c:pt idx="185">
                  <c:v>11688.07282676726</c:v>
                </c:pt>
                <c:pt idx="186">
                  <c:v>11660.614997474084</c:v>
                </c:pt>
                <c:pt idx="187">
                  <c:v>11632.145372165061</c:v>
                </c:pt>
                <c:pt idx="188">
                  <c:v>11636.856944759478</c:v>
                </c:pt>
                <c:pt idx="189">
                  <c:v>11618.876782499545</c:v>
                </c:pt>
                <c:pt idx="190">
                  <c:v>11581.723779002074</c:v>
                </c:pt>
                <c:pt idx="191">
                  <c:v>11558.264396152517</c:v>
                </c:pt>
                <c:pt idx="192">
                  <c:v>11558.264396152517</c:v>
                </c:pt>
                <c:pt idx="193">
                  <c:v>11558.264396152517</c:v>
                </c:pt>
                <c:pt idx="194">
                  <c:v>11558.264396152517</c:v>
                </c:pt>
                <c:pt idx="195">
                  <c:v>11558.264396152517</c:v>
                </c:pt>
                <c:pt idx="196">
                  <c:v>11558.264396152517</c:v>
                </c:pt>
                <c:pt idx="197">
                  <c:v>11558.264396152517</c:v>
                </c:pt>
                <c:pt idx="198">
                  <c:v>11558.264396152517</c:v>
                </c:pt>
                <c:pt idx="199">
                  <c:v>11558.264396152517</c:v>
                </c:pt>
                <c:pt idx="200">
                  <c:v>11558.264396152517</c:v>
                </c:pt>
                <c:pt idx="201">
                  <c:v>11558.264396152517</c:v>
                </c:pt>
                <c:pt idx="202">
                  <c:v>11558.264396152517</c:v>
                </c:pt>
                <c:pt idx="203">
                  <c:v>11558.264396152517</c:v>
                </c:pt>
                <c:pt idx="204">
                  <c:v>11558.264396152517</c:v>
                </c:pt>
                <c:pt idx="205">
                  <c:v>11558.264396152517</c:v>
                </c:pt>
                <c:pt idx="206">
                  <c:v>11558.264396152517</c:v>
                </c:pt>
                <c:pt idx="207">
                  <c:v>11558.264396152517</c:v>
                </c:pt>
                <c:pt idx="208">
                  <c:v>11558.264396152517</c:v>
                </c:pt>
                <c:pt idx="209">
                  <c:v>11558.264396152517</c:v>
                </c:pt>
                <c:pt idx="210">
                  <c:v>11558.264396152517</c:v>
                </c:pt>
                <c:pt idx="211">
                  <c:v>11558.264396152517</c:v>
                </c:pt>
                <c:pt idx="212">
                  <c:v>11558.264396152517</c:v>
                </c:pt>
                <c:pt idx="213">
                  <c:v>11558.264396152517</c:v>
                </c:pt>
                <c:pt idx="214">
                  <c:v>11558.264396152517</c:v>
                </c:pt>
                <c:pt idx="215">
                  <c:v>11558.264396152517</c:v>
                </c:pt>
                <c:pt idx="216">
                  <c:v>11558.264396152517</c:v>
                </c:pt>
                <c:pt idx="217">
                  <c:v>11558.264396152517</c:v>
                </c:pt>
                <c:pt idx="218">
                  <c:v>11558.264396152517</c:v>
                </c:pt>
                <c:pt idx="219">
                  <c:v>11558.264396152517</c:v>
                </c:pt>
                <c:pt idx="220">
                  <c:v>11558.264396152517</c:v>
                </c:pt>
                <c:pt idx="221">
                  <c:v>11558.264396152517</c:v>
                </c:pt>
                <c:pt idx="222">
                  <c:v>11558.264396152517</c:v>
                </c:pt>
                <c:pt idx="223">
                  <c:v>11558.264396152517</c:v>
                </c:pt>
                <c:pt idx="224">
                  <c:v>11558.264396152517</c:v>
                </c:pt>
                <c:pt idx="225">
                  <c:v>11558.264396152517</c:v>
                </c:pt>
                <c:pt idx="226">
                  <c:v>11317.26554061885</c:v>
                </c:pt>
                <c:pt idx="227">
                  <c:v>11188.637540617434</c:v>
                </c:pt>
                <c:pt idx="228">
                  <c:v>11098.409540618155</c:v>
                </c:pt>
                <c:pt idx="229">
                  <c:v>10970.743540616742</c:v>
                </c:pt>
                <c:pt idx="230">
                  <c:v>10826.077540616508</c:v>
                </c:pt>
                <c:pt idx="231">
                  <c:v>10670.711540615106</c:v>
                </c:pt>
                <c:pt idx="232">
                  <c:v>10529.245540613938</c:v>
                </c:pt>
                <c:pt idx="233">
                  <c:v>10380.479540613487</c:v>
                </c:pt>
                <c:pt idx="234">
                  <c:v>10213.413540612102</c:v>
                </c:pt>
                <c:pt idx="235">
                  <c:v>10040.247540611876</c:v>
                </c:pt>
                <c:pt idx="236">
                  <c:v>9870.9386027283654</c:v>
                </c:pt>
                <c:pt idx="237">
                  <c:v>9708.3294471723711</c:v>
                </c:pt>
                <c:pt idx="238">
                  <c:v>9554.1734471719428</c:v>
                </c:pt>
                <c:pt idx="239">
                  <c:v>9396.8174471698912</c:v>
                </c:pt>
                <c:pt idx="240">
                  <c:v>11730.812008089008</c:v>
                </c:pt>
                <c:pt idx="241">
                  <c:v>11562.239462396214</c:v>
                </c:pt>
                <c:pt idx="242">
                  <c:v>11393.383462395796</c:v>
                </c:pt>
                <c:pt idx="243">
                  <c:v>11241.629203811193</c:v>
                </c:pt>
                <c:pt idx="244">
                  <c:v>11144.14937198969</c:v>
                </c:pt>
                <c:pt idx="245">
                  <c:v>11040.341371987492</c:v>
                </c:pt>
                <c:pt idx="246">
                  <c:v>10929.633371987969</c:v>
                </c:pt>
                <c:pt idx="247">
                  <c:v>10817.226819722084</c:v>
                </c:pt>
                <c:pt idx="248">
                  <c:v>10706.454243022774</c:v>
                </c:pt>
                <c:pt idx="249">
                  <c:v>10590.365858165293</c:v>
                </c:pt>
                <c:pt idx="250">
                  <c:v>10469.524112401934</c:v>
                </c:pt>
                <c:pt idx="251">
                  <c:v>10368.204112400672</c:v>
                </c:pt>
                <c:pt idx="252">
                  <c:v>10267.692395944268</c:v>
                </c:pt>
                <c:pt idx="253">
                  <c:v>10163.472395943027</c:v>
                </c:pt>
                <c:pt idx="254">
                  <c:v>10027.852395942446</c:v>
                </c:pt>
                <c:pt idx="255">
                  <c:v>9898.6323959403744</c:v>
                </c:pt>
                <c:pt idx="256">
                  <c:v>9772.81239594</c:v>
                </c:pt>
                <c:pt idx="257">
                  <c:v>9640.7923959379586</c:v>
                </c:pt>
                <c:pt idx="258">
                  <c:v>9518.0723959359311</c:v>
                </c:pt>
                <c:pt idx="259">
                  <c:v>9421.7523959363971</c:v>
                </c:pt>
                <c:pt idx="260">
                  <c:v>9380.1024424276948</c:v>
                </c:pt>
                <c:pt idx="261">
                  <c:v>9365.8523204192024</c:v>
                </c:pt>
                <c:pt idx="262">
                  <c:v>9337.5134396098001</c:v>
                </c:pt>
                <c:pt idx="263">
                  <c:v>9234.0730300814648</c:v>
                </c:pt>
                <c:pt idx="264">
                  <c:v>8955.1453157326723</c:v>
                </c:pt>
                <c:pt idx="265">
                  <c:v>8601.6673157313817</c:v>
                </c:pt>
                <c:pt idx="266">
                  <c:v>8235.6893157307277</c:v>
                </c:pt>
                <c:pt idx="267">
                  <c:v>7872.664584214308</c:v>
                </c:pt>
                <c:pt idx="268">
                  <c:v>8017.5951102223953</c:v>
                </c:pt>
                <c:pt idx="269">
                  <c:v>7610.4171102202527</c:v>
                </c:pt>
                <c:pt idx="270">
                  <c:v>7187.8723570385519</c:v>
                </c:pt>
                <c:pt idx="271">
                  <c:v>6767.0719570364818</c:v>
                </c:pt>
                <c:pt idx="272">
                  <c:v>6365.6552854029142</c:v>
                </c:pt>
                <c:pt idx="273">
                  <c:v>6238.2538155932089</c:v>
                </c:pt>
                <c:pt idx="274">
                  <c:v>5926.6398155919487</c:v>
                </c:pt>
                <c:pt idx="275">
                  <c:v>5539.1379152639292</c:v>
                </c:pt>
                <c:pt idx="276">
                  <c:v>5119.3849526772774</c:v>
                </c:pt>
                <c:pt idx="277">
                  <c:v>4682.1709526745835</c:v>
                </c:pt>
                <c:pt idx="278">
                  <c:v>4240.9868848402657</c:v>
                </c:pt>
                <c:pt idx="279">
                  <c:v>3904.5048848390161</c:v>
                </c:pt>
                <c:pt idx="280">
                  <c:v>3815.8228848367089</c:v>
                </c:pt>
                <c:pt idx="281">
                  <c:v>3568.0408848356292</c:v>
                </c:pt>
                <c:pt idx="282">
                  <c:v>3532.1092848344633</c:v>
                </c:pt>
                <c:pt idx="283">
                  <c:v>3113.1439170260928</c:v>
                </c:pt>
                <c:pt idx="284">
                  <c:v>2796.5619170237715</c:v>
                </c:pt>
                <c:pt idx="285">
                  <c:v>2857.7457825184265</c:v>
                </c:pt>
                <c:pt idx="286">
                  <c:v>2673.3214742666314</c:v>
                </c:pt>
                <c:pt idx="287">
                  <c:v>2363.6869371220691</c:v>
                </c:pt>
                <c:pt idx="288">
                  <c:v>1947.0177728346207</c:v>
                </c:pt>
                <c:pt idx="289">
                  <c:v>1432.7357728322559</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123218944"/>
        <c:axId val="123224832"/>
      </c:lineChart>
      <c:dateAx>
        <c:axId val="123218944"/>
        <c:scaling>
          <c:orientation val="minMax"/>
        </c:scaling>
        <c:delete val="0"/>
        <c:axPos val="b"/>
        <c:majorGridlines/>
        <c:numFmt formatCode="[$-409]d\-mmm;@" sourceLinked="0"/>
        <c:majorTickMark val="out"/>
        <c:minorTickMark val="none"/>
        <c:tickLblPos val="nextTo"/>
        <c:txPr>
          <a:bodyPr rot="-5400000" vert="horz"/>
          <a:lstStyle/>
          <a:p>
            <a:pPr>
              <a:defRPr/>
            </a:pPr>
            <a:endParaRPr lang="en-US"/>
          </a:p>
        </c:txPr>
        <c:crossAx val="123224832"/>
        <c:crossesAt val="-1"/>
        <c:auto val="1"/>
        <c:lblOffset val="100"/>
        <c:baseTimeUnit val="days"/>
        <c:majorUnit val="12"/>
        <c:minorUnit val="1"/>
      </c:dateAx>
      <c:valAx>
        <c:axId val="123224832"/>
        <c:scaling>
          <c:orientation val="minMax"/>
          <c:max val="18000"/>
          <c:min val="0"/>
        </c:scaling>
        <c:delete val="0"/>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218944"/>
        <c:crosses val="autoZero"/>
        <c:crossBetween val="between"/>
        <c:majorUnit val="1000"/>
        <c:minorUnit val="500"/>
      </c:valAx>
      <c:spPr>
        <a:noFill/>
        <a:ln w="12700">
          <a:solidFill>
            <a:srgbClr val="808080"/>
          </a:solidFill>
          <a:prstDash val="solid"/>
        </a:ln>
      </c:spPr>
    </c:plotArea>
    <c:legend>
      <c:legendPos val="r"/>
      <c:layout>
        <c:manualLayout>
          <c:xMode val="edge"/>
          <c:yMode val="edge"/>
          <c:x val="0.14975845410651994"/>
          <c:y val="0.14026402640264041"/>
          <c:w val="0.31878112225938382"/>
          <c:h val="0.29163656523132908"/>
        </c:manualLayout>
      </c:layout>
      <c:overlay val="0"/>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Partner Storage for 2017</a:t>
            </a:r>
          </a:p>
        </c:rich>
      </c:tx>
      <c:layout>
        <c:manualLayout>
          <c:xMode val="edge"/>
          <c:yMode val="edge"/>
          <c:x val="0.37260018083023932"/>
          <c:y val="3.4815796540283959E-2"/>
        </c:manualLayout>
      </c:layout>
      <c:overlay val="0"/>
      <c:spPr>
        <a:noFill/>
        <a:ln w="25400">
          <a:noFill/>
        </a:ln>
      </c:spPr>
    </c:title>
    <c:autoTitleDeleted val="0"/>
    <c:plotArea>
      <c:layout>
        <c:manualLayout>
          <c:layoutTarget val="inner"/>
          <c:xMode val="edge"/>
          <c:yMode val="edge"/>
          <c:x val="0.12005277044872541"/>
          <c:y val="0.11764812325288609"/>
          <c:w val="0.85092348284960462"/>
          <c:h val="0.72906608625141367"/>
        </c:manualLayout>
      </c:layout>
      <c:lineChart>
        <c:grouping val="standard"/>
        <c:varyColors val="0"/>
        <c:ser>
          <c:idx val="5"/>
          <c:order val="0"/>
          <c:tx>
            <c:v>Total Tacoma (AF)</c:v>
          </c:tx>
          <c:spPr>
            <a:ln w="25400">
              <a:solidFill>
                <a:srgbClr val="7030A0"/>
              </a:solidFill>
              <a:prstDash val="solid"/>
            </a:ln>
          </c:spPr>
          <c:marker>
            <c:symbol val="none"/>
          </c:marker>
          <c:cat>
            <c:numRef>
              <c:f>Calculation!$B$12:$B$377</c:f>
              <c:numCache>
                <c:formatCode>m/d/yyyy</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Calculation!$BD$12:$BD$377</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82.631466666666668</c:v>
                </c:pt>
                <c:pt idx="47">
                  <c:v>165.26293333333334</c:v>
                </c:pt>
                <c:pt idx="48">
                  <c:v>247.89439999999999</c:v>
                </c:pt>
                <c:pt idx="49">
                  <c:v>330.52586666666667</c:v>
                </c:pt>
                <c:pt idx="50">
                  <c:v>413.15733333333333</c:v>
                </c:pt>
                <c:pt idx="51">
                  <c:v>495.78879999999998</c:v>
                </c:pt>
                <c:pt idx="52">
                  <c:v>578.42026666666663</c:v>
                </c:pt>
                <c:pt idx="53">
                  <c:v>661.05173333333335</c:v>
                </c:pt>
                <c:pt idx="54">
                  <c:v>743.68320000000006</c:v>
                </c:pt>
                <c:pt idx="55">
                  <c:v>826.31466666666665</c:v>
                </c:pt>
                <c:pt idx="56">
                  <c:v>908.94613333333325</c:v>
                </c:pt>
                <c:pt idx="57">
                  <c:v>991.57759999999996</c:v>
                </c:pt>
                <c:pt idx="58">
                  <c:v>1074.2090666666666</c:v>
                </c:pt>
                <c:pt idx="59">
                  <c:v>1156.8405333333333</c:v>
                </c:pt>
                <c:pt idx="60">
                  <c:v>1239.472</c:v>
                </c:pt>
                <c:pt idx="61">
                  <c:v>1322.1034666666667</c:v>
                </c:pt>
                <c:pt idx="62">
                  <c:v>1404.7349333333334</c:v>
                </c:pt>
                <c:pt idx="63">
                  <c:v>1487.3664000000001</c:v>
                </c:pt>
                <c:pt idx="64">
                  <c:v>1569.9978666666668</c:v>
                </c:pt>
                <c:pt idx="65">
                  <c:v>1652.6293333333333</c:v>
                </c:pt>
                <c:pt idx="66">
                  <c:v>1735.2607999999998</c:v>
                </c:pt>
                <c:pt idx="67">
                  <c:v>1817.8922666666663</c:v>
                </c:pt>
                <c:pt idx="68">
                  <c:v>1900.5237333333328</c:v>
                </c:pt>
                <c:pt idx="69">
                  <c:v>1983.1551999999992</c:v>
                </c:pt>
                <c:pt idx="70">
                  <c:v>2065.786666666666</c:v>
                </c:pt>
                <c:pt idx="71">
                  <c:v>2148.4181333333322</c:v>
                </c:pt>
                <c:pt idx="72">
                  <c:v>2231.0495999999989</c:v>
                </c:pt>
                <c:pt idx="73">
                  <c:v>2313.6810666666652</c:v>
                </c:pt>
                <c:pt idx="74">
                  <c:v>2396.3125333333319</c:v>
                </c:pt>
                <c:pt idx="75">
                  <c:v>2478.9439999999981</c:v>
                </c:pt>
                <c:pt idx="76">
                  <c:v>2561.5754666666649</c:v>
                </c:pt>
                <c:pt idx="77">
                  <c:v>2644.2069333333311</c:v>
                </c:pt>
                <c:pt idx="78">
                  <c:v>2726.8383999999978</c:v>
                </c:pt>
                <c:pt idx="79">
                  <c:v>2809.4698666666645</c:v>
                </c:pt>
                <c:pt idx="80">
                  <c:v>2892.1013333333308</c:v>
                </c:pt>
                <c:pt idx="81">
                  <c:v>2974.7327999999975</c:v>
                </c:pt>
                <c:pt idx="82">
                  <c:v>3057.3642666666638</c:v>
                </c:pt>
                <c:pt idx="83">
                  <c:v>3139.9957333333305</c:v>
                </c:pt>
                <c:pt idx="84">
                  <c:v>3222.6271999999967</c:v>
                </c:pt>
                <c:pt idx="85">
                  <c:v>3305.2586666666639</c:v>
                </c:pt>
                <c:pt idx="86">
                  <c:v>3387.8901333333306</c:v>
                </c:pt>
                <c:pt idx="87">
                  <c:v>3470.5215999999973</c:v>
                </c:pt>
                <c:pt idx="88">
                  <c:v>3553.1530666666645</c:v>
                </c:pt>
                <c:pt idx="89">
                  <c:v>3635.7845333333312</c:v>
                </c:pt>
                <c:pt idx="90">
                  <c:v>3718.4159999999979</c:v>
                </c:pt>
                <c:pt idx="91">
                  <c:v>3801.0474666666651</c:v>
                </c:pt>
                <c:pt idx="92">
                  <c:v>3883.6789333333318</c:v>
                </c:pt>
                <c:pt idx="93">
                  <c:v>3966.3103999999985</c:v>
                </c:pt>
                <c:pt idx="94">
                  <c:v>4048.9418666666652</c:v>
                </c:pt>
                <c:pt idx="95">
                  <c:v>4131.5733333333319</c:v>
                </c:pt>
                <c:pt idx="96">
                  <c:v>4214.2047999999995</c:v>
                </c:pt>
                <c:pt idx="97">
                  <c:v>4296.8362666666662</c:v>
                </c:pt>
                <c:pt idx="98">
                  <c:v>4379.4677333333329</c:v>
                </c:pt>
                <c:pt idx="99">
                  <c:v>4462.0991999999997</c:v>
                </c:pt>
                <c:pt idx="100">
                  <c:v>4544.7306666666664</c:v>
                </c:pt>
                <c:pt idx="101">
                  <c:v>4627.3621333333331</c:v>
                </c:pt>
                <c:pt idx="102">
                  <c:v>4709.9935999999998</c:v>
                </c:pt>
                <c:pt idx="103">
                  <c:v>4792.6250666666674</c:v>
                </c:pt>
                <c:pt idx="104">
                  <c:v>4875.2565333333341</c:v>
                </c:pt>
                <c:pt idx="105">
                  <c:v>4957.8880000000008</c:v>
                </c:pt>
                <c:pt idx="106">
                  <c:v>5040.5194666666675</c:v>
                </c:pt>
                <c:pt idx="107">
                  <c:v>5123.1509333333343</c:v>
                </c:pt>
                <c:pt idx="108">
                  <c:v>5205.782400000001</c:v>
                </c:pt>
                <c:pt idx="109">
                  <c:v>5288.4138666666686</c:v>
                </c:pt>
                <c:pt idx="110">
                  <c:v>5371.0453333333353</c:v>
                </c:pt>
                <c:pt idx="111">
                  <c:v>5453.676800000002</c:v>
                </c:pt>
                <c:pt idx="112">
                  <c:v>5536.3082666666687</c:v>
                </c:pt>
                <c:pt idx="113">
                  <c:v>5618.9397333333354</c:v>
                </c:pt>
                <c:pt idx="114">
                  <c:v>5701.5712000000021</c:v>
                </c:pt>
                <c:pt idx="115">
                  <c:v>5784.2026666666698</c:v>
                </c:pt>
                <c:pt idx="116">
                  <c:v>5866.8341333333365</c:v>
                </c:pt>
                <c:pt idx="117">
                  <c:v>5949.4656000000032</c:v>
                </c:pt>
                <c:pt idx="118">
                  <c:v>6032.0970666666699</c:v>
                </c:pt>
                <c:pt idx="119">
                  <c:v>6114.7285333333366</c:v>
                </c:pt>
                <c:pt idx="120">
                  <c:v>6197.3600000000033</c:v>
                </c:pt>
                <c:pt idx="121">
                  <c:v>6279.99146666667</c:v>
                </c:pt>
                <c:pt idx="122">
                  <c:v>6362.6229333333367</c:v>
                </c:pt>
                <c:pt idx="123">
                  <c:v>6445.2544000000034</c:v>
                </c:pt>
                <c:pt idx="124">
                  <c:v>6527.8858666666702</c:v>
                </c:pt>
                <c:pt idx="125">
                  <c:v>6610.5173333333369</c:v>
                </c:pt>
                <c:pt idx="126">
                  <c:v>6693.1488000000045</c:v>
                </c:pt>
                <c:pt idx="127">
                  <c:v>6775.7802666666712</c:v>
                </c:pt>
                <c:pt idx="128">
                  <c:v>6858.4117333333379</c:v>
                </c:pt>
                <c:pt idx="129">
                  <c:v>6941.0432000000046</c:v>
                </c:pt>
                <c:pt idx="130">
                  <c:v>7023.6746666666713</c:v>
                </c:pt>
                <c:pt idx="131">
                  <c:v>7106.306133333338</c:v>
                </c:pt>
                <c:pt idx="132">
                  <c:v>7188.9376000000047</c:v>
                </c:pt>
                <c:pt idx="133">
                  <c:v>7271.5690666666724</c:v>
                </c:pt>
                <c:pt idx="134">
                  <c:v>7354.2005333333391</c:v>
                </c:pt>
                <c:pt idx="135">
                  <c:v>7436.8320000000058</c:v>
                </c:pt>
                <c:pt idx="136">
                  <c:v>7519.4634666666725</c:v>
                </c:pt>
                <c:pt idx="137">
                  <c:v>7602.0949333333392</c:v>
                </c:pt>
                <c:pt idx="138">
                  <c:v>7684.7264000000059</c:v>
                </c:pt>
                <c:pt idx="139">
                  <c:v>7767.3578666666735</c:v>
                </c:pt>
                <c:pt idx="140">
                  <c:v>7849.9893333333403</c:v>
                </c:pt>
                <c:pt idx="141">
                  <c:v>7932.620800000007</c:v>
                </c:pt>
                <c:pt idx="142">
                  <c:v>8015.2522666666737</c:v>
                </c:pt>
                <c:pt idx="143">
                  <c:v>8097.8837333333404</c:v>
                </c:pt>
                <c:pt idx="144">
                  <c:v>8180.5152000000071</c:v>
                </c:pt>
                <c:pt idx="145">
                  <c:v>8263.1466666666747</c:v>
                </c:pt>
                <c:pt idx="146">
                  <c:v>8334.7333333333336</c:v>
                </c:pt>
                <c:pt idx="147">
                  <c:v>8334.7333333333336</c:v>
                </c:pt>
                <c:pt idx="148">
                  <c:v>8334.7333333333336</c:v>
                </c:pt>
                <c:pt idx="149">
                  <c:v>8334.7333333333336</c:v>
                </c:pt>
                <c:pt idx="150">
                  <c:v>8334.7333333333336</c:v>
                </c:pt>
                <c:pt idx="151">
                  <c:v>8334.7333333333336</c:v>
                </c:pt>
                <c:pt idx="152">
                  <c:v>8334.7333333333336</c:v>
                </c:pt>
                <c:pt idx="153">
                  <c:v>8334.7333333333336</c:v>
                </c:pt>
                <c:pt idx="154">
                  <c:v>8334.7333333333336</c:v>
                </c:pt>
                <c:pt idx="155">
                  <c:v>8334.7333333333336</c:v>
                </c:pt>
                <c:pt idx="156">
                  <c:v>8334.7333333333336</c:v>
                </c:pt>
                <c:pt idx="157">
                  <c:v>8334.7333333333336</c:v>
                </c:pt>
                <c:pt idx="158">
                  <c:v>8334.7333333333336</c:v>
                </c:pt>
                <c:pt idx="159">
                  <c:v>8334.7333333333336</c:v>
                </c:pt>
                <c:pt idx="160">
                  <c:v>8334.7333333333336</c:v>
                </c:pt>
                <c:pt idx="161">
                  <c:v>8334.7333333333336</c:v>
                </c:pt>
                <c:pt idx="162">
                  <c:v>8334.7333333333336</c:v>
                </c:pt>
                <c:pt idx="163">
                  <c:v>8334.7333333333336</c:v>
                </c:pt>
                <c:pt idx="164">
                  <c:v>8334.7333333333336</c:v>
                </c:pt>
                <c:pt idx="165">
                  <c:v>8334.7333333333336</c:v>
                </c:pt>
                <c:pt idx="166">
                  <c:v>8334.7333333333336</c:v>
                </c:pt>
                <c:pt idx="167">
                  <c:v>8334.7333333333336</c:v>
                </c:pt>
                <c:pt idx="168">
                  <c:v>8334.7333333333336</c:v>
                </c:pt>
                <c:pt idx="169">
                  <c:v>8334.7333333333336</c:v>
                </c:pt>
                <c:pt idx="170">
                  <c:v>8334.7333333333336</c:v>
                </c:pt>
                <c:pt idx="171">
                  <c:v>8334.7333333333336</c:v>
                </c:pt>
                <c:pt idx="172">
                  <c:v>8334.7333333333336</c:v>
                </c:pt>
                <c:pt idx="173">
                  <c:v>4167.3666666666668</c:v>
                </c:pt>
                <c:pt idx="174">
                  <c:v>4167.3666666666668</c:v>
                </c:pt>
                <c:pt idx="175">
                  <c:v>4167.3666666666668</c:v>
                </c:pt>
                <c:pt idx="176">
                  <c:v>4167.3666666666668</c:v>
                </c:pt>
                <c:pt idx="177">
                  <c:v>4167.3666666666668</c:v>
                </c:pt>
                <c:pt idx="178">
                  <c:v>4167.3666666666668</c:v>
                </c:pt>
                <c:pt idx="179">
                  <c:v>4167.3666666666668</c:v>
                </c:pt>
                <c:pt idx="180">
                  <c:v>4167.3666666666668</c:v>
                </c:pt>
                <c:pt idx="181">
                  <c:v>4167.3666666666668</c:v>
                </c:pt>
                <c:pt idx="182">
                  <c:v>4167.3666666666668</c:v>
                </c:pt>
                <c:pt idx="183">
                  <c:v>4167.3666666666668</c:v>
                </c:pt>
                <c:pt idx="184">
                  <c:v>4167.3666666666668</c:v>
                </c:pt>
                <c:pt idx="185">
                  <c:v>4156.6286666666674</c:v>
                </c:pt>
                <c:pt idx="186">
                  <c:v>4145.8906666666671</c:v>
                </c:pt>
                <c:pt idx="187">
                  <c:v>4139.7546666666676</c:v>
                </c:pt>
                <c:pt idx="188">
                  <c:v>4135.1526666666668</c:v>
                </c:pt>
                <c:pt idx="189">
                  <c:v>4130.550666666667</c:v>
                </c:pt>
                <c:pt idx="190">
                  <c:v>4124.4146666666675</c:v>
                </c:pt>
                <c:pt idx="191">
                  <c:v>4118.278666666667</c:v>
                </c:pt>
                <c:pt idx="192">
                  <c:v>4112.1426666666675</c:v>
                </c:pt>
                <c:pt idx="193">
                  <c:v>4106.0066666666671</c:v>
                </c:pt>
                <c:pt idx="194">
                  <c:v>4090.6666666666674</c:v>
                </c:pt>
                <c:pt idx="195">
                  <c:v>4075.3266666666673</c:v>
                </c:pt>
                <c:pt idx="196">
                  <c:v>4059.9866666666671</c:v>
                </c:pt>
                <c:pt idx="197">
                  <c:v>4044.646666666667</c:v>
                </c:pt>
                <c:pt idx="198">
                  <c:v>4029.3066666666673</c:v>
                </c:pt>
                <c:pt idx="199">
                  <c:v>4013.9666666666672</c:v>
                </c:pt>
                <c:pt idx="200">
                  <c:v>3998.626666666667</c:v>
                </c:pt>
                <c:pt idx="201">
                  <c:v>3995.5586666666672</c:v>
                </c:pt>
                <c:pt idx="202">
                  <c:v>3992.490666666667</c:v>
                </c:pt>
                <c:pt idx="203">
                  <c:v>3989.4226666666673</c:v>
                </c:pt>
                <c:pt idx="204">
                  <c:v>3986.3546666666671</c:v>
                </c:pt>
                <c:pt idx="205">
                  <c:v>3983.2866666666673</c:v>
                </c:pt>
                <c:pt idx="206">
                  <c:v>3980.2186666666671</c:v>
                </c:pt>
                <c:pt idx="207">
                  <c:v>3977.1506666666673</c:v>
                </c:pt>
                <c:pt idx="208">
                  <c:v>3974.0826666666671</c:v>
                </c:pt>
                <c:pt idx="209">
                  <c:v>3971.0146666666674</c:v>
                </c:pt>
                <c:pt idx="210">
                  <c:v>3967.9466666666672</c:v>
                </c:pt>
                <c:pt idx="211">
                  <c:v>3964.8786666666674</c:v>
                </c:pt>
                <c:pt idx="212">
                  <c:v>3920.3926666666671</c:v>
                </c:pt>
                <c:pt idx="213">
                  <c:v>3860.5666666666671</c:v>
                </c:pt>
                <c:pt idx="214">
                  <c:v>3800.740666666667</c:v>
                </c:pt>
                <c:pt idx="215">
                  <c:v>3742.4486666666671</c:v>
                </c:pt>
                <c:pt idx="216">
                  <c:v>3711.7686666666673</c:v>
                </c:pt>
                <c:pt idx="217">
                  <c:v>3681.088666666667</c:v>
                </c:pt>
                <c:pt idx="218">
                  <c:v>3681.088666666667</c:v>
                </c:pt>
                <c:pt idx="219">
                  <c:v>3681.088666666667</c:v>
                </c:pt>
                <c:pt idx="220">
                  <c:v>3681.088666666667</c:v>
                </c:pt>
                <c:pt idx="221">
                  <c:v>3681.088666666667</c:v>
                </c:pt>
                <c:pt idx="222">
                  <c:v>3671.8846666666673</c:v>
                </c:pt>
                <c:pt idx="223">
                  <c:v>3662.6806666666671</c:v>
                </c:pt>
                <c:pt idx="224">
                  <c:v>3653.4766666666674</c:v>
                </c:pt>
                <c:pt idx="225">
                  <c:v>3644.2726666666672</c:v>
                </c:pt>
                <c:pt idx="226">
                  <c:v>3635.068666666667</c:v>
                </c:pt>
                <c:pt idx="227">
                  <c:v>3625.8646666666673</c:v>
                </c:pt>
                <c:pt idx="228">
                  <c:v>3616.6606666666671</c:v>
                </c:pt>
                <c:pt idx="229">
                  <c:v>3616.6606666666671</c:v>
                </c:pt>
                <c:pt idx="230">
                  <c:v>3616.6606666666671</c:v>
                </c:pt>
                <c:pt idx="231">
                  <c:v>3616.6606666666671</c:v>
                </c:pt>
                <c:pt idx="232">
                  <c:v>3616.6606666666671</c:v>
                </c:pt>
                <c:pt idx="233">
                  <c:v>3116.5766666666673</c:v>
                </c:pt>
                <c:pt idx="234">
                  <c:v>3116.5766666666673</c:v>
                </c:pt>
                <c:pt idx="235">
                  <c:v>3116.5766666666673</c:v>
                </c:pt>
                <c:pt idx="236">
                  <c:v>3090.4986666666673</c:v>
                </c:pt>
                <c:pt idx="237">
                  <c:v>3064.4206666666673</c:v>
                </c:pt>
                <c:pt idx="238">
                  <c:v>3038.3426666666674</c:v>
                </c:pt>
                <c:pt idx="239">
                  <c:v>3015.3326666666671</c:v>
                </c:pt>
                <c:pt idx="240">
                  <c:v>2981.772105747119</c:v>
                </c:pt>
                <c:pt idx="241">
                  <c:v>2455.7946514385762</c:v>
                </c:pt>
                <c:pt idx="242">
                  <c:v>2432.784651438576</c:v>
                </c:pt>
                <c:pt idx="243">
                  <c:v>2372.958651438576</c:v>
                </c:pt>
                <c:pt idx="244">
                  <c:v>2314.6666514385761</c:v>
                </c:pt>
                <c:pt idx="245">
                  <c:v>2256.3746514385762</c:v>
                </c:pt>
                <c:pt idx="246">
                  <c:v>2198.0826514385762</c:v>
                </c:pt>
                <c:pt idx="247">
                  <c:v>2129.052651438576</c:v>
                </c:pt>
                <c:pt idx="248">
                  <c:v>2050.1449500972353</c:v>
                </c:pt>
                <c:pt idx="249">
                  <c:v>1981.1149500972354</c:v>
                </c:pt>
                <c:pt idx="250">
                  <c:v>1932.0269500972354</c:v>
                </c:pt>
                <c:pt idx="251">
                  <c:v>1882.9389500972354</c:v>
                </c:pt>
                <c:pt idx="252">
                  <c:v>1833.8509500972355</c:v>
                </c:pt>
                <c:pt idx="253">
                  <c:v>1784.7629500972353</c:v>
                </c:pt>
                <c:pt idx="254">
                  <c:v>1735.6749500972353</c:v>
                </c:pt>
                <c:pt idx="255">
                  <c:v>1686.5869500972353</c:v>
                </c:pt>
                <c:pt idx="256">
                  <c:v>1637.4989500972354</c:v>
                </c:pt>
                <c:pt idx="257">
                  <c:v>1588.4109500972354</c:v>
                </c:pt>
                <c:pt idx="258">
                  <c:v>1539.3229500972354</c:v>
                </c:pt>
                <c:pt idx="259">
                  <c:v>1490.2349500972352</c:v>
                </c:pt>
                <c:pt idx="260">
                  <c:v>1445.7489500972354</c:v>
                </c:pt>
                <c:pt idx="261">
                  <c:v>1401.2629500972353</c:v>
                </c:pt>
                <c:pt idx="262">
                  <c:v>1353.7089500972354</c:v>
                </c:pt>
                <c:pt idx="263">
                  <c:v>1309.2229500972353</c:v>
                </c:pt>
                <c:pt idx="264">
                  <c:v>1307.6889500972354</c:v>
                </c:pt>
                <c:pt idx="265">
                  <c:v>1306.1549500972353</c:v>
                </c:pt>
                <c:pt idx="266">
                  <c:v>1304.6209500972354</c:v>
                </c:pt>
                <c:pt idx="267">
                  <c:v>1303.0869500972353</c:v>
                </c:pt>
                <c:pt idx="268">
                  <c:v>801.46895009723528</c:v>
                </c:pt>
                <c:pt idx="269">
                  <c:v>799.93495009723529</c:v>
                </c:pt>
                <c:pt idx="270">
                  <c:v>798.4009500972353</c:v>
                </c:pt>
                <c:pt idx="271">
                  <c:v>798.4009500972353</c:v>
                </c:pt>
                <c:pt idx="272">
                  <c:v>798.4009500972353</c:v>
                </c:pt>
                <c:pt idx="273">
                  <c:v>798.4009500972353</c:v>
                </c:pt>
                <c:pt idx="274">
                  <c:v>798.4009500972353</c:v>
                </c:pt>
                <c:pt idx="275">
                  <c:v>798.4009500972353</c:v>
                </c:pt>
                <c:pt idx="276">
                  <c:v>792.26495009723533</c:v>
                </c:pt>
                <c:pt idx="277">
                  <c:v>792.26495009723533</c:v>
                </c:pt>
                <c:pt idx="278">
                  <c:v>486.21354209723529</c:v>
                </c:pt>
                <c:pt idx="279">
                  <c:v>486.21354209723529</c:v>
                </c:pt>
                <c:pt idx="280">
                  <c:v>486.21354209723529</c:v>
                </c:pt>
                <c:pt idx="281">
                  <c:v>486.21354209723529</c:v>
                </c:pt>
                <c:pt idx="282">
                  <c:v>186.16314209723532</c:v>
                </c:pt>
                <c:pt idx="283">
                  <c:v>184.62914209723533</c:v>
                </c:pt>
                <c:pt idx="284">
                  <c:v>184.62914209723533</c:v>
                </c:pt>
                <c:pt idx="285">
                  <c:v>184.62914209723533</c:v>
                </c:pt>
                <c:pt idx="286">
                  <c:v>184.62914209723533</c:v>
                </c:pt>
                <c:pt idx="287">
                  <c:v>184.62914209723533</c:v>
                </c:pt>
                <c:pt idx="288">
                  <c:v>184.62914209723533</c:v>
                </c:pt>
                <c:pt idx="289">
                  <c:v>184.62914209723533</c:v>
                </c:pt>
                <c:pt idx="290">
                  <c:v>184.62914209723533</c:v>
                </c:pt>
                <c:pt idx="291">
                  <c:v>184.62914209723533</c:v>
                </c:pt>
                <c:pt idx="292">
                  <c:v>77.856706534943712</c:v>
                </c:pt>
                <c:pt idx="293">
                  <c:v>-32.129874759067725</c:v>
                </c:pt>
                <c:pt idx="294">
                  <c:v>-131.14311688390171</c:v>
                </c:pt>
                <c:pt idx="295">
                  <c:v>-221.63383348906777</c:v>
                </c:pt>
                <c:pt idx="296">
                  <c:v>-311.32147340037596</c:v>
                </c:pt>
                <c:pt idx="297">
                  <c:v>-401.08588878499131</c:v>
                </c:pt>
                <c:pt idx="298">
                  <c:v>-491.67352455891074</c:v>
                </c:pt>
                <c:pt idx="299">
                  <c:v>-588.89129990137656</c:v>
                </c:pt>
                <c:pt idx="300">
                  <c:v>-696.40189657107078</c:v>
                </c:pt>
                <c:pt idx="301">
                  <c:v>-803.04923158912129</c:v>
                </c:pt>
                <c:pt idx="302">
                  <c:v>-909.6799644065336</c:v>
                </c:pt>
                <c:pt idx="303">
                  <c:v>-1019.2191966340217</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formatCode="0.00">
                  <c:v>0</c:v>
                </c:pt>
                <c:pt idx="362" formatCode="0.00">
                  <c:v>0</c:v>
                </c:pt>
                <c:pt idx="363" formatCode="0.00">
                  <c:v>0</c:v>
                </c:pt>
                <c:pt idx="364" formatCode="0.00">
                  <c:v>0</c:v>
                </c:pt>
                <c:pt idx="365" formatCode="0.00">
                  <c:v>0</c:v>
                </c:pt>
              </c:numCache>
            </c:numRef>
          </c:val>
          <c:smooth val="0"/>
        </c:ser>
        <c:ser>
          <c:idx val="3"/>
          <c:order val="1"/>
          <c:tx>
            <c:strRef>
              <c:f>Calculation!$AY$7</c:f>
              <c:strCache>
                <c:ptCount val="1"/>
                <c:pt idx="0">
                  <c:v>Cumulative Tacoma Storage Used to Maintain Auburn Instream Flow (AF)</c:v>
                </c:pt>
              </c:strCache>
            </c:strRef>
          </c:tx>
          <c:spPr>
            <a:ln>
              <a:solidFill>
                <a:srgbClr val="92D050"/>
              </a:solidFill>
            </a:ln>
          </c:spPr>
          <c:marker>
            <c:symbol val="none"/>
          </c:marker>
          <c:val>
            <c:numRef>
              <c:f>Calculation!$AY$12:$AY$377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10.5505609195482</c:v>
                </c:pt>
                <c:pt idx="241">
                  <c:v>13.434015228090965</c:v>
                </c:pt>
                <c:pt idx="242">
                  <c:v>13.434015228090965</c:v>
                </c:pt>
                <c:pt idx="243">
                  <c:v>13.434015228090965</c:v>
                </c:pt>
                <c:pt idx="244">
                  <c:v>13.434015228090965</c:v>
                </c:pt>
                <c:pt idx="245">
                  <c:v>13.434015228090965</c:v>
                </c:pt>
                <c:pt idx="246">
                  <c:v>13.434015228090965</c:v>
                </c:pt>
                <c:pt idx="247">
                  <c:v>13.434015228090965</c:v>
                </c:pt>
                <c:pt idx="248">
                  <c:v>23.311716569431731</c:v>
                </c:pt>
                <c:pt idx="249">
                  <c:v>23.311716569431731</c:v>
                </c:pt>
                <c:pt idx="250">
                  <c:v>23.311716569431731</c:v>
                </c:pt>
                <c:pt idx="251">
                  <c:v>23.311716569431731</c:v>
                </c:pt>
                <c:pt idx="252">
                  <c:v>23.311716569431731</c:v>
                </c:pt>
                <c:pt idx="253">
                  <c:v>23.311716569431731</c:v>
                </c:pt>
                <c:pt idx="254">
                  <c:v>23.311716569431731</c:v>
                </c:pt>
                <c:pt idx="255">
                  <c:v>23.311716569431731</c:v>
                </c:pt>
                <c:pt idx="256">
                  <c:v>23.311716569431731</c:v>
                </c:pt>
                <c:pt idx="257">
                  <c:v>23.311716569431731</c:v>
                </c:pt>
                <c:pt idx="258">
                  <c:v>23.311716569431731</c:v>
                </c:pt>
                <c:pt idx="259">
                  <c:v>23.311716569431731</c:v>
                </c:pt>
                <c:pt idx="260">
                  <c:v>23.311716569431731</c:v>
                </c:pt>
                <c:pt idx="261">
                  <c:v>23.311716569431731</c:v>
                </c:pt>
                <c:pt idx="262">
                  <c:v>23.311716569431731</c:v>
                </c:pt>
                <c:pt idx="263">
                  <c:v>23.311716569431731</c:v>
                </c:pt>
                <c:pt idx="264">
                  <c:v>23.311716569431731</c:v>
                </c:pt>
                <c:pt idx="265">
                  <c:v>23.311716569431731</c:v>
                </c:pt>
                <c:pt idx="266">
                  <c:v>23.311716569431731</c:v>
                </c:pt>
                <c:pt idx="267">
                  <c:v>23.311716569431731</c:v>
                </c:pt>
                <c:pt idx="268">
                  <c:v>23.311716569431731</c:v>
                </c:pt>
                <c:pt idx="269">
                  <c:v>23.311716569431731</c:v>
                </c:pt>
                <c:pt idx="270">
                  <c:v>23.311716569431731</c:v>
                </c:pt>
                <c:pt idx="271">
                  <c:v>23.311716569431731</c:v>
                </c:pt>
                <c:pt idx="272">
                  <c:v>23.311716569431731</c:v>
                </c:pt>
                <c:pt idx="273">
                  <c:v>23.311716569431731</c:v>
                </c:pt>
                <c:pt idx="274">
                  <c:v>23.311716569431731</c:v>
                </c:pt>
                <c:pt idx="275">
                  <c:v>23.311716569431731</c:v>
                </c:pt>
                <c:pt idx="276">
                  <c:v>23.311716569431731</c:v>
                </c:pt>
                <c:pt idx="277">
                  <c:v>23.311716569431731</c:v>
                </c:pt>
                <c:pt idx="278">
                  <c:v>23.311716569431731</c:v>
                </c:pt>
                <c:pt idx="279">
                  <c:v>23.311716569431731</c:v>
                </c:pt>
                <c:pt idx="280">
                  <c:v>23.311716569431731</c:v>
                </c:pt>
                <c:pt idx="281">
                  <c:v>23.311716569431731</c:v>
                </c:pt>
                <c:pt idx="282">
                  <c:v>23.311716569431731</c:v>
                </c:pt>
                <c:pt idx="283">
                  <c:v>23.311716569431731</c:v>
                </c:pt>
                <c:pt idx="284">
                  <c:v>23.311716569431731</c:v>
                </c:pt>
                <c:pt idx="285">
                  <c:v>23.311716569431731</c:v>
                </c:pt>
                <c:pt idx="286">
                  <c:v>23.311716569431731</c:v>
                </c:pt>
                <c:pt idx="287">
                  <c:v>23.311716569431731</c:v>
                </c:pt>
                <c:pt idx="288">
                  <c:v>23.311716569431731</c:v>
                </c:pt>
                <c:pt idx="289">
                  <c:v>23.311716569431731</c:v>
                </c:pt>
                <c:pt idx="290">
                  <c:v>23.311716569431731</c:v>
                </c:pt>
                <c:pt idx="291">
                  <c:v>23.311716569431731</c:v>
                </c:pt>
                <c:pt idx="292">
                  <c:v>23.311716569431731</c:v>
                </c:pt>
                <c:pt idx="293">
                  <c:v>23.311716569431731</c:v>
                </c:pt>
                <c:pt idx="294">
                  <c:v>23.311716569431731</c:v>
                </c:pt>
                <c:pt idx="295">
                  <c:v>23.311716569431731</c:v>
                </c:pt>
                <c:pt idx="296">
                  <c:v>23.311716569431731</c:v>
                </c:pt>
                <c:pt idx="297">
                  <c:v>23.311716569431731</c:v>
                </c:pt>
                <c:pt idx="298">
                  <c:v>23.311716569431731</c:v>
                </c:pt>
                <c:pt idx="299">
                  <c:v>23.311716569431731</c:v>
                </c:pt>
                <c:pt idx="300">
                  <c:v>23.311716569431731</c:v>
                </c:pt>
                <c:pt idx="301">
                  <c:v>23.311716569431731</c:v>
                </c:pt>
                <c:pt idx="302">
                  <c:v>23.311716569431731</c:v>
                </c:pt>
                <c:pt idx="303">
                  <c:v>23.311716569431731</c:v>
                </c:pt>
                <c:pt idx="304">
                  <c:v>23.311716569431731</c:v>
                </c:pt>
                <c:pt idx="305">
                  <c:v>23.311716569431731</c:v>
                </c:pt>
                <c:pt idx="306">
                  <c:v>23.311716569431731</c:v>
                </c:pt>
                <c:pt idx="307">
                  <c:v>23.311716569431731</c:v>
                </c:pt>
                <c:pt idx="308">
                  <c:v>23.311716569431731</c:v>
                </c:pt>
                <c:pt idx="309">
                  <c:v>23.311716569431731</c:v>
                </c:pt>
                <c:pt idx="310">
                  <c:v>23.311716569431731</c:v>
                </c:pt>
                <c:pt idx="311">
                  <c:v>23.311716569431731</c:v>
                </c:pt>
                <c:pt idx="312">
                  <c:v>23.311716569431731</c:v>
                </c:pt>
                <c:pt idx="313">
                  <c:v>23.311716569431731</c:v>
                </c:pt>
                <c:pt idx="314">
                  <c:v>23.311716569431731</c:v>
                </c:pt>
                <c:pt idx="315">
                  <c:v>23.311716569431731</c:v>
                </c:pt>
                <c:pt idx="316">
                  <c:v>23.311716569431731</c:v>
                </c:pt>
                <c:pt idx="317">
                  <c:v>23.311716569431731</c:v>
                </c:pt>
                <c:pt idx="318">
                  <c:v>23.311716569431731</c:v>
                </c:pt>
                <c:pt idx="319">
                  <c:v>23.311716569431731</c:v>
                </c:pt>
                <c:pt idx="320">
                  <c:v>23.311716569431731</c:v>
                </c:pt>
                <c:pt idx="321">
                  <c:v>23.311716569431731</c:v>
                </c:pt>
                <c:pt idx="322">
                  <c:v>23.311716569431731</c:v>
                </c:pt>
                <c:pt idx="323">
                  <c:v>23.311716569431731</c:v>
                </c:pt>
                <c:pt idx="324">
                  <c:v>23.311716569431731</c:v>
                </c:pt>
                <c:pt idx="325">
                  <c:v>23.311716569431731</c:v>
                </c:pt>
                <c:pt idx="326">
                  <c:v>23.311716569431731</c:v>
                </c:pt>
                <c:pt idx="327">
                  <c:v>23.311716569431731</c:v>
                </c:pt>
                <c:pt idx="328">
                  <c:v>23.311716569431731</c:v>
                </c:pt>
                <c:pt idx="329">
                  <c:v>23.311716569431731</c:v>
                </c:pt>
                <c:pt idx="330">
                  <c:v>23.311716569431731</c:v>
                </c:pt>
                <c:pt idx="331">
                  <c:v>23.311716569431731</c:v>
                </c:pt>
                <c:pt idx="332">
                  <c:v>23.311716569431731</c:v>
                </c:pt>
                <c:pt idx="333">
                  <c:v>23.311716569431731</c:v>
                </c:pt>
                <c:pt idx="334">
                  <c:v>23.311716569431731</c:v>
                </c:pt>
                <c:pt idx="335">
                  <c:v>23.311716569431731</c:v>
                </c:pt>
                <c:pt idx="336">
                  <c:v>23.311716569431731</c:v>
                </c:pt>
                <c:pt idx="337">
                  <c:v>23.311716569431731</c:v>
                </c:pt>
                <c:pt idx="338">
                  <c:v>23.311716569431731</c:v>
                </c:pt>
                <c:pt idx="339">
                  <c:v>23.311716569431731</c:v>
                </c:pt>
                <c:pt idx="340">
                  <c:v>23.311716569431731</c:v>
                </c:pt>
                <c:pt idx="341">
                  <c:v>23.311716569431731</c:v>
                </c:pt>
                <c:pt idx="342">
                  <c:v>23.311716569431731</c:v>
                </c:pt>
                <c:pt idx="343">
                  <c:v>23.311716569431731</c:v>
                </c:pt>
                <c:pt idx="344">
                  <c:v>23.311716569431731</c:v>
                </c:pt>
                <c:pt idx="345">
                  <c:v>23.311716569431731</c:v>
                </c:pt>
                <c:pt idx="346">
                  <c:v>23.311716569431731</c:v>
                </c:pt>
                <c:pt idx="347">
                  <c:v>23.311716569431731</c:v>
                </c:pt>
                <c:pt idx="348">
                  <c:v>23.311716569431731</c:v>
                </c:pt>
                <c:pt idx="349">
                  <c:v>23.311716569431731</c:v>
                </c:pt>
                <c:pt idx="350">
                  <c:v>23.311716569431731</c:v>
                </c:pt>
                <c:pt idx="351">
                  <c:v>23.311716569431731</c:v>
                </c:pt>
                <c:pt idx="352">
                  <c:v>23.311716569431731</c:v>
                </c:pt>
                <c:pt idx="353">
                  <c:v>23.311716569431731</c:v>
                </c:pt>
                <c:pt idx="354">
                  <c:v>23.311716569431731</c:v>
                </c:pt>
                <c:pt idx="355">
                  <c:v>23.311716569431731</c:v>
                </c:pt>
                <c:pt idx="356">
                  <c:v>23.311716569431731</c:v>
                </c:pt>
                <c:pt idx="357">
                  <c:v>23.311716569431731</c:v>
                </c:pt>
                <c:pt idx="358">
                  <c:v>23.311716569431731</c:v>
                </c:pt>
                <c:pt idx="359">
                  <c:v>23.311716569431731</c:v>
                </c:pt>
                <c:pt idx="360">
                  <c:v>23.311716569431731</c:v>
                </c:pt>
                <c:pt idx="361">
                  <c:v>23.311716569431731</c:v>
                </c:pt>
                <c:pt idx="362">
                  <c:v>23.311716569431731</c:v>
                </c:pt>
                <c:pt idx="363">
                  <c:v>23.311716569431731</c:v>
                </c:pt>
                <c:pt idx="364">
                  <c:v>23.311716569431731</c:v>
                </c:pt>
                <c:pt idx="365">
                  <c:v>23.311716569431731</c:v>
                </c:pt>
              </c:numCache>
            </c:numRef>
          </c:val>
          <c:smooth val="0"/>
        </c:ser>
        <c:ser>
          <c:idx val="2"/>
          <c:order val="2"/>
          <c:tx>
            <c:v>Total Kent (AF)</c:v>
          </c:tx>
          <c:spPr>
            <a:ln w="25400">
              <a:solidFill>
                <a:srgbClr val="FF9900"/>
              </a:solidFill>
              <a:prstDash val="solid"/>
            </a:ln>
          </c:spPr>
          <c:marker>
            <c:symbol val="none"/>
          </c:marker>
          <c:cat>
            <c:numRef>
              <c:f>Calculation!$B$12:$B$377</c:f>
              <c:numCache>
                <c:formatCode>m/d/yyyy</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Calculation!$BW$12:$BW$377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35.470912281323876</c:v>
                </c:pt>
                <c:pt idx="47">
                  <c:v>70.981608254423676</c:v>
                </c:pt>
                <c:pt idx="48">
                  <c:v>106.44531191468508</c:v>
                </c:pt>
                <c:pt idx="49">
                  <c:v>141.8970630257962</c:v>
                </c:pt>
                <c:pt idx="50">
                  <c:v>177.34152170662841</c:v>
                </c:pt>
                <c:pt idx="51">
                  <c:v>212.7880486637913</c:v>
                </c:pt>
                <c:pt idx="52">
                  <c:v>248.22940288660453</c:v>
                </c:pt>
                <c:pt idx="53">
                  <c:v>283.70445633537798</c:v>
                </c:pt>
                <c:pt idx="54">
                  <c:v>319.14787984768469</c:v>
                </c:pt>
                <c:pt idx="55">
                  <c:v>354.62289629744117</c:v>
                </c:pt>
                <c:pt idx="56">
                  <c:v>390.06113571470871</c:v>
                </c:pt>
                <c:pt idx="57">
                  <c:v>425.54336659990622</c:v>
                </c:pt>
                <c:pt idx="58">
                  <c:v>461.90089995245398</c:v>
                </c:pt>
                <c:pt idx="59">
                  <c:v>497.20137613023172</c:v>
                </c:pt>
                <c:pt idx="60">
                  <c:v>532.65700938420002</c:v>
                </c:pt>
                <c:pt idx="61">
                  <c:v>568.1040403305326</c:v>
                </c:pt>
                <c:pt idx="62">
                  <c:v>600.50212970849373</c:v>
                </c:pt>
                <c:pt idx="63">
                  <c:v>635.94165885126347</c:v>
                </c:pt>
                <c:pt idx="64">
                  <c:v>671.3854750946316</c:v>
                </c:pt>
                <c:pt idx="65">
                  <c:v>706.83360802142363</c:v>
                </c:pt>
                <c:pt idx="66">
                  <c:v>742.28200039039632</c:v>
                </c:pt>
                <c:pt idx="67">
                  <c:v>777.73196341823393</c:v>
                </c:pt>
                <c:pt idx="68">
                  <c:v>813.17665204317757</c:v>
                </c:pt>
                <c:pt idx="69">
                  <c:v>848.6247857629844</c:v>
                </c:pt>
                <c:pt idx="70">
                  <c:v>884.17731656952697</c:v>
                </c:pt>
                <c:pt idx="71">
                  <c:v>919.58976275350403</c:v>
                </c:pt>
                <c:pt idx="72">
                  <c:v>955.06891620504064</c:v>
                </c:pt>
                <c:pt idx="73">
                  <c:v>990.51597646542939</c:v>
                </c:pt>
                <c:pt idx="74">
                  <c:v>1025.9499845665503</c:v>
                </c:pt>
                <c:pt idx="75">
                  <c:v>1061.4226481962037</c:v>
                </c:pt>
                <c:pt idx="76">
                  <c:v>1096.8759068024606</c:v>
                </c:pt>
                <c:pt idx="77">
                  <c:v>1132.3300762268248</c:v>
                </c:pt>
                <c:pt idx="78">
                  <c:v>1167.7716895586395</c:v>
                </c:pt>
                <c:pt idx="79">
                  <c:v>1203.2486961999998</c:v>
                </c:pt>
                <c:pt idx="80">
                  <c:v>1238.6962950916595</c:v>
                </c:pt>
                <c:pt idx="81">
                  <c:v>1274.1808650013572</c:v>
                </c:pt>
                <c:pt idx="82">
                  <c:v>1309.6263896054822</c:v>
                </c:pt>
                <c:pt idx="83">
                  <c:v>1345.0698245197848</c:v>
                </c:pt>
                <c:pt idx="84">
                  <c:v>1380.5510321014842</c:v>
                </c:pt>
                <c:pt idx="85">
                  <c:v>1416.020059479262</c:v>
                </c:pt>
                <c:pt idx="86">
                  <c:v>1451.5029694765883</c:v>
                </c:pt>
                <c:pt idx="87">
                  <c:v>1487.2505232782823</c:v>
                </c:pt>
                <c:pt idx="88">
                  <c:v>1522.7323746644965</c:v>
                </c:pt>
                <c:pt idx="89">
                  <c:v>1558.216155463668</c:v>
                </c:pt>
                <c:pt idx="90">
                  <c:v>1593.7163092355331</c:v>
                </c:pt>
                <c:pt idx="91">
                  <c:v>1629.1904103724648</c:v>
                </c:pt>
                <c:pt idx="92">
                  <c:v>1664.6628874329429</c:v>
                </c:pt>
                <c:pt idx="93">
                  <c:v>1700.1347466241134</c:v>
                </c:pt>
                <c:pt idx="94">
                  <c:v>1735.5974177352246</c:v>
                </c:pt>
                <c:pt idx="95">
                  <c:v>1771.0658144191368</c:v>
                </c:pt>
                <c:pt idx="96">
                  <c:v>1806.5296327646056</c:v>
                </c:pt>
                <c:pt idx="97">
                  <c:v>1841.9685625896855</c:v>
                </c:pt>
                <c:pt idx="98">
                  <c:v>1877.4077366235206</c:v>
                </c:pt>
                <c:pt idx="99">
                  <c:v>1912.8761737934333</c:v>
                </c:pt>
                <c:pt idx="100">
                  <c:v>1948.3520354543848</c:v>
                </c:pt>
                <c:pt idx="101">
                  <c:v>1983.8197044364636</c:v>
                </c:pt>
                <c:pt idx="102">
                  <c:v>2019.2813865019316</c:v>
                </c:pt>
                <c:pt idx="103">
                  <c:v>2054.7568093825903</c:v>
                </c:pt>
                <c:pt idx="104">
                  <c:v>2090.2216946273202</c:v>
                </c:pt>
                <c:pt idx="105">
                  <c:v>2125.6090963386159</c:v>
                </c:pt>
                <c:pt idx="106">
                  <c:v>2161.0777340992777</c:v>
                </c:pt>
                <c:pt idx="107">
                  <c:v>2196.5367019776431</c:v>
                </c:pt>
                <c:pt idx="108">
                  <c:v>2231.9864426804083</c:v>
                </c:pt>
                <c:pt idx="109">
                  <c:v>2267.4595626937298</c:v>
                </c:pt>
                <c:pt idx="110">
                  <c:v>2302.9261071548412</c:v>
                </c:pt>
                <c:pt idx="111">
                  <c:v>2338.4270996109085</c:v>
                </c:pt>
                <c:pt idx="112">
                  <c:v>2373.9026283153808</c:v>
                </c:pt>
                <c:pt idx="113">
                  <c:v>2409.4104796234201</c:v>
                </c:pt>
                <c:pt idx="114">
                  <c:v>2444.9073761890768</c:v>
                </c:pt>
                <c:pt idx="115">
                  <c:v>2480.3775380656994</c:v>
                </c:pt>
                <c:pt idx="116">
                  <c:v>2515.8519812831846</c:v>
                </c:pt>
                <c:pt idx="117">
                  <c:v>2551.3267304020915</c:v>
                </c:pt>
                <c:pt idx="118">
                  <c:v>2586.8033031731397</c:v>
                </c:pt>
                <c:pt idx="119">
                  <c:v>2622.2761841030315</c:v>
                </c:pt>
                <c:pt idx="120">
                  <c:v>2657.7537169887232</c:v>
                </c:pt>
                <c:pt idx="121">
                  <c:v>2693.224573292287</c:v>
                </c:pt>
                <c:pt idx="122">
                  <c:v>2728.7190615420191</c:v>
                </c:pt>
                <c:pt idx="123">
                  <c:v>2764.2249072847485</c:v>
                </c:pt>
                <c:pt idx="124">
                  <c:v>2799.7352713348614</c:v>
                </c:pt>
                <c:pt idx="125">
                  <c:v>2835.2068981685156</c:v>
                </c:pt>
                <c:pt idx="126">
                  <c:v>2870.7063105242764</c:v>
                </c:pt>
                <c:pt idx="127">
                  <c:v>2906.1445675163945</c:v>
                </c:pt>
                <c:pt idx="128">
                  <c:v>2941.6096222275055</c:v>
                </c:pt>
                <c:pt idx="129">
                  <c:v>2977.1015621846127</c:v>
                </c:pt>
                <c:pt idx="130">
                  <c:v>3012.5719579253537</c:v>
                </c:pt>
                <c:pt idx="131">
                  <c:v>3048.0456524445044</c:v>
                </c:pt>
                <c:pt idx="132">
                  <c:v>3083.5160481852454</c:v>
                </c:pt>
                <c:pt idx="133">
                  <c:v>3118.9864439259864</c:v>
                </c:pt>
                <c:pt idx="134">
                  <c:v>3154.4546582929111</c:v>
                </c:pt>
                <c:pt idx="135">
                  <c:v>3189.9654412222044</c:v>
                </c:pt>
                <c:pt idx="136">
                  <c:v>3225.4427238254007</c:v>
                </c:pt>
                <c:pt idx="137">
                  <c:v>3260.9198837769109</c:v>
                </c:pt>
                <c:pt idx="138">
                  <c:v>3296.3691578040748</c:v>
                </c:pt>
                <c:pt idx="139">
                  <c:v>3331.8178596307425</c:v>
                </c:pt>
                <c:pt idx="140">
                  <c:v>3367.2886028486596</c:v>
                </c:pt>
                <c:pt idx="141">
                  <c:v>3402.7943463429219</c:v>
                </c:pt>
                <c:pt idx="142">
                  <c:v>3438.2954124582238</c:v>
                </c:pt>
                <c:pt idx="143">
                  <c:v>3473.7940471514244</c:v>
                </c:pt>
                <c:pt idx="144">
                  <c:v>3509.252176963073</c:v>
                </c:pt>
                <c:pt idx="145">
                  <c:v>3544.6708834469619</c:v>
                </c:pt>
                <c:pt idx="146">
                  <c:v>3606.8807524183339</c:v>
                </c:pt>
                <c:pt idx="147">
                  <c:v>3668.3657293948904</c:v>
                </c:pt>
                <c:pt idx="148">
                  <c:v>3729.8532273598025</c:v>
                </c:pt>
                <c:pt idx="149">
                  <c:v>3791.3426282843775</c:v>
                </c:pt>
                <c:pt idx="150">
                  <c:v>3852.8305125811662</c:v>
                </c:pt>
                <c:pt idx="151">
                  <c:v>3889.5422222222223</c:v>
                </c:pt>
                <c:pt idx="152">
                  <c:v>3889.5422222222223</c:v>
                </c:pt>
                <c:pt idx="153">
                  <c:v>3889.5422222222223</c:v>
                </c:pt>
                <c:pt idx="154">
                  <c:v>3889.5422222222223</c:v>
                </c:pt>
                <c:pt idx="155">
                  <c:v>3889.5422222222223</c:v>
                </c:pt>
                <c:pt idx="156">
                  <c:v>3889.5422222222223</c:v>
                </c:pt>
                <c:pt idx="157">
                  <c:v>3889.5422222222223</c:v>
                </c:pt>
                <c:pt idx="158">
                  <c:v>3889.5422222222223</c:v>
                </c:pt>
                <c:pt idx="159">
                  <c:v>3889.5422222222223</c:v>
                </c:pt>
                <c:pt idx="160">
                  <c:v>3889.5422222222223</c:v>
                </c:pt>
                <c:pt idx="161">
                  <c:v>3889.5422222222223</c:v>
                </c:pt>
                <c:pt idx="162">
                  <c:v>3889.5422222222223</c:v>
                </c:pt>
                <c:pt idx="163">
                  <c:v>3889.5422222222223</c:v>
                </c:pt>
                <c:pt idx="164">
                  <c:v>3889.5422222222223</c:v>
                </c:pt>
                <c:pt idx="165">
                  <c:v>3889.5422222222223</c:v>
                </c:pt>
                <c:pt idx="166">
                  <c:v>3889.5422222222223</c:v>
                </c:pt>
                <c:pt idx="167">
                  <c:v>3889.5422222222223</c:v>
                </c:pt>
                <c:pt idx="168">
                  <c:v>3889.5422222222223</c:v>
                </c:pt>
                <c:pt idx="169">
                  <c:v>3889.5422222222223</c:v>
                </c:pt>
                <c:pt idx="170">
                  <c:v>3889.5422222222223</c:v>
                </c:pt>
                <c:pt idx="171">
                  <c:v>3889.5422222222223</c:v>
                </c:pt>
                <c:pt idx="172">
                  <c:v>3889.5422222222223</c:v>
                </c:pt>
                <c:pt idx="173">
                  <c:v>1944.7711111111112</c:v>
                </c:pt>
                <c:pt idx="174">
                  <c:v>1944.7711111111112</c:v>
                </c:pt>
                <c:pt idx="175">
                  <c:v>1944.7711111111112</c:v>
                </c:pt>
                <c:pt idx="176">
                  <c:v>1944.7711111111112</c:v>
                </c:pt>
                <c:pt idx="177">
                  <c:v>1944.7711111111112</c:v>
                </c:pt>
                <c:pt idx="178">
                  <c:v>1944.7711111111112</c:v>
                </c:pt>
                <c:pt idx="179">
                  <c:v>1944.7711111111112</c:v>
                </c:pt>
                <c:pt idx="180">
                  <c:v>1944.7711111111112</c:v>
                </c:pt>
                <c:pt idx="181">
                  <c:v>1944.7711111111112</c:v>
                </c:pt>
                <c:pt idx="182">
                  <c:v>1938.6126574642876</c:v>
                </c:pt>
                <c:pt idx="183">
                  <c:v>1932.4647211724944</c:v>
                </c:pt>
                <c:pt idx="184">
                  <c:v>1926.2836642942061</c:v>
                </c:pt>
                <c:pt idx="185">
                  <c:v>1920.1082844597188</c:v>
                </c:pt>
                <c:pt idx="186">
                  <c:v>1913.1921137526481</c:v>
                </c:pt>
                <c:pt idx="187">
                  <c:v>1905.4537390603753</c:v>
                </c:pt>
                <c:pt idx="188">
                  <c:v>1897.7341664669918</c:v>
                </c:pt>
                <c:pt idx="189">
                  <c:v>1890.006328726673</c:v>
                </c:pt>
                <c:pt idx="190">
                  <c:v>1882.2901948560473</c:v>
                </c:pt>
                <c:pt idx="191">
                  <c:v>1874.5636324731743</c:v>
                </c:pt>
                <c:pt idx="192">
                  <c:v>1866.8393095120093</c:v>
                </c:pt>
                <c:pt idx="193">
                  <c:v>1859.1211102919533</c:v>
                </c:pt>
                <c:pt idx="194">
                  <c:v>1851.423857441788</c:v>
                </c:pt>
                <c:pt idx="195">
                  <c:v>1843.7103417870717</c:v>
                </c:pt>
                <c:pt idx="196">
                  <c:v>1835.9932134667772</c:v>
                </c:pt>
                <c:pt idx="197">
                  <c:v>1828.2849130326429</c:v>
                </c:pt>
                <c:pt idx="198">
                  <c:v>1820.5817304988004</c:v>
                </c:pt>
                <c:pt idx="199">
                  <c:v>1812.8717988801752</c:v>
                </c:pt>
                <c:pt idx="200">
                  <c:v>1803.6677988801753</c:v>
                </c:pt>
                <c:pt idx="201">
                  <c:v>1794.4637988801751</c:v>
                </c:pt>
                <c:pt idx="202">
                  <c:v>1785.2597988801751</c:v>
                </c:pt>
                <c:pt idx="203">
                  <c:v>1776.0557988801752</c:v>
                </c:pt>
                <c:pt idx="204">
                  <c:v>1766.8517988801752</c:v>
                </c:pt>
                <c:pt idx="205">
                  <c:v>1757.6477988801753</c:v>
                </c:pt>
                <c:pt idx="206">
                  <c:v>1748.4056061413855</c:v>
                </c:pt>
                <c:pt idx="207">
                  <c:v>1739.1618653147186</c:v>
                </c:pt>
                <c:pt idx="208">
                  <c:v>1729.8852453286077</c:v>
                </c:pt>
                <c:pt idx="209">
                  <c:v>1720.6429114574551</c:v>
                </c:pt>
                <c:pt idx="210">
                  <c:v>1711.4305452139126</c:v>
                </c:pt>
                <c:pt idx="211">
                  <c:v>1702.2265452139127</c:v>
                </c:pt>
                <c:pt idx="212">
                  <c:v>1693.0192900139125</c:v>
                </c:pt>
                <c:pt idx="213">
                  <c:v>1683.756928997567</c:v>
                </c:pt>
                <c:pt idx="214">
                  <c:v>1674.4330581803308</c:v>
                </c:pt>
                <c:pt idx="215">
                  <c:v>1665.2230964463997</c:v>
                </c:pt>
                <c:pt idx="216">
                  <c:v>1656.0190964463998</c:v>
                </c:pt>
                <c:pt idx="217">
                  <c:v>1646.7955193550806</c:v>
                </c:pt>
                <c:pt idx="218">
                  <c:v>1625.3195193550805</c:v>
                </c:pt>
                <c:pt idx="219">
                  <c:v>1603.8435193550806</c:v>
                </c:pt>
                <c:pt idx="220">
                  <c:v>1582.3675193550805</c:v>
                </c:pt>
                <c:pt idx="221">
                  <c:v>1560.8915193550806</c:v>
                </c:pt>
                <c:pt idx="222">
                  <c:v>1539.4155193550805</c:v>
                </c:pt>
                <c:pt idx="223">
                  <c:v>1517.9395193550806</c:v>
                </c:pt>
                <c:pt idx="224">
                  <c:v>1496.4635193550805</c:v>
                </c:pt>
                <c:pt idx="225">
                  <c:v>1474.9875193550806</c:v>
                </c:pt>
                <c:pt idx="226">
                  <c:v>1453.5115193550805</c:v>
                </c:pt>
                <c:pt idx="227">
                  <c:v>1432.0355193550806</c:v>
                </c:pt>
                <c:pt idx="228">
                  <c:v>1410.5595193550805</c:v>
                </c:pt>
                <c:pt idx="229">
                  <c:v>1389.0835193550806</c:v>
                </c:pt>
                <c:pt idx="230">
                  <c:v>1367.6075193550805</c:v>
                </c:pt>
                <c:pt idx="231">
                  <c:v>1346.1315193550806</c:v>
                </c:pt>
                <c:pt idx="232">
                  <c:v>1324.6555193550805</c:v>
                </c:pt>
                <c:pt idx="233">
                  <c:v>1303.1795193550806</c:v>
                </c:pt>
                <c:pt idx="234">
                  <c:v>1281.7035193550805</c:v>
                </c:pt>
                <c:pt idx="235">
                  <c:v>1260.2275193550806</c:v>
                </c:pt>
                <c:pt idx="236">
                  <c:v>1240.9724572362893</c:v>
                </c:pt>
                <c:pt idx="237">
                  <c:v>1222.4176127918447</c:v>
                </c:pt>
                <c:pt idx="238">
                  <c:v>1204.0096127918448</c:v>
                </c:pt>
                <c:pt idx="239">
                  <c:v>1182.5336127918449</c:v>
                </c:pt>
                <c:pt idx="240">
                  <c:v>1161.0576127918448</c:v>
                </c:pt>
                <c:pt idx="241">
                  <c:v>1139.5816127918447</c:v>
                </c:pt>
                <c:pt idx="242">
                  <c:v>1118.1056127918448</c:v>
                </c:pt>
                <c:pt idx="243">
                  <c:v>1099.4438713751249</c:v>
                </c:pt>
                <c:pt idx="244">
                  <c:v>1080.7077031962112</c:v>
                </c:pt>
                <c:pt idx="245">
                  <c:v>1062.2997031962113</c:v>
                </c:pt>
                <c:pt idx="246">
                  <c:v>1043.8917031962112</c:v>
                </c:pt>
                <c:pt idx="247">
                  <c:v>1025.4837031962113</c:v>
                </c:pt>
                <c:pt idx="248">
                  <c:v>1007.0757031962113</c:v>
                </c:pt>
                <c:pt idx="249">
                  <c:v>988.54808805241805</c:v>
                </c:pt>
                <c:pt idx="250">
                  <c:v>970.08492743625277</c:v>
                </c:pt>
                <c:pt idx="251">
                  <c:v>951.67692743625275</c:v>
                </c:pt>
                <c:pt idx="252">
                  <c:v>933.26892743625274</c:v>
                </c:pt>
                <c:pt idx="253">
                  <c:v>914.86092743625272</c:v>
                </c:pt>
                <c:pt idx="254">
                  <c:v>896.45292743625271</c:v>
                </c:pt>
                <c:pt idx="255">
                  <c:v>878.04492743625269</c:v>
                </c:pt>
                <c:pt idx="256">
                  <c:v>859.63692743625279</c:v>
                </c:pt>
                <c:pt idx="257">
                  <c:v>841.22892743625277</c:v>
                </c:pt>
                <c:pt idx="258">
                  <c:v>822.82092743625276</c:v>
                </c:pt>
                <c:pt idx="259">
                  <c:v>804.41292743625274</c:v>
                </c:pt>
                <c:pt idx="260">
                  <c:v>789.04055823154692</c:v>
                </c:pt>
                <c:pt idx="261">
                  <c:v>466.64898223154694</c:v>
                </c:pt>
                <c:pt idx="262">
                  <c:v>454.04838931076677</c:v>
                </c:pt>
                <c:pt idx="263">
                  <c:v>438.70838931076673</c:v>
                </c:pt>
                <c:pt idx="264">
                  <c:v>423.36838931076676</c:v>
                </c:pt>
                <c:pt idx="265">
                  <c:v>408.02838931076673</c:v>
                </c:pt>
                <c:pt idx="266">
                  <c:v>392.68838931076675</c:v>
                </c:pt>
                <c:pt idx="267">
                  <c:v>377.34838931076672</c:v>
                </c:pt>
                <c:pt idx="268">
                  <c:v>362.00838931076674</c:v>
                </c:pt>
                <c:pt idx="269">
                  <c:v>346.66838931076677</c:v>
                </c:pt>
                <c:pt idx="270">
                  <c:v>331.32838931076674</c:v>
                </c:pt>
                <c:pt idx="271">
                  <c:v>319.05638931076675</c:v>
                </c:pt>
                <c:pt idx="272">
                  <c:v>306.78438931076676</c:v>
                </c:pt>
                <c:pt idx="273">
                  <c:v>294.51238931076676</c:v>
                </c:pt>
                <c:pt idx="274">
                  <c:v>282.24038931076677</c:v>
                </c:pt>
                <c:pt idx="275">
                  <c:v>269.96838931076672</c:v>
                </c:pt>
                <c:pt idx="276">
                  <c:v>257.97135189606496</c:v>
                </c:pt>
                <c:pt idx="277">
                  <c:v>245.69935189606494</c:v>
                </c:pt>
                <c:pt idx="278">
                  <c:v>233.42735189606495</c:v>
                </c:pt>
                <c:pt idx="279">
                  <c:v>221.15535189606493</c:v>
                </c:pt>
                <c:pt idx="280">
                  <c:v>208.88335189606494</c:v>
                </c:pt>
                <c:pt idx="281">
                  <c:v>196.61135189606495</c:v>
                </c:pt>
                <c:pt idx="282">
                  <c:v>184.33935189606493</c:v>
                </c:pt>
                <c:pt idx="283">
                  <c:v>173.60135189606493</c:v>
                </c:pt>
                <c:pt idx="284">
                  <c:v>161.32935189606494</c:v>
                </c:pt>
                <c:pt idx="285">
                  <c:v>149.05735189606494</c:v>
                </c:pt>
                <c:pt idx="286">
                  <c:v>136.78535189606495</c:v>
                </c:pt>
                <c:pt idx="287">
                  <c:v>124.51335189606493</c:v>
                </c:pt>
                <c:pt idx="288">
                  <c:v>112.24135189606494</c:v>
                </c:pt>
                <c:pt idx="289">
                  <c:v>99.969351896064936</c:v>
                </c:pt>
                <c:pt idx="290">
                  <c:v>87.697351896064944</c:v>
                </c:pt>
                <c:pt idx="291">
                  <c:v>75.425351896064939</c:v>
                </c:pt>
                <c:pt idx="292">
                  <c:v>75.425351896064939</c:v>
                </c:pt>
                <c:pt idx="293">
                  <c:v>75.425351896064939</c:v>
                </c:pt>
                <c:pt idx="294">
                  <c:v>75.425351896064939</c:v>
                </c:pt>
                <c:pt idx="295">
                  <c:v>75.425351896064939</c:v>
                </c:pt>
                <c:pt idx="296">
                  <c:v>75.425351896064939</c:v>
                </c:pt>
                <c:pt idx="297">
                  <c:v>75.425351896064939</c:v>
                </c:pt>
                <c:pt idx="298">
                  <c:v>75.425351896064939</c:v>
                </c:pt>
                <c:pt idx="299">
                  <c:v>75.425351896064939</c:v>
                </c:pt>
                <c:pt idx="300">
                  <c:v>75.425351896064939</c:v>
                </c:pt>
                <c:pt idx="301">
                  <c:v>75.425351896064939</c:v>
                </c:pt>
                <c:pt idx="302">
                  <c:v>75.425351896064939</c:v>
                </c:pt>
                <c:pt idx="303">
                  <c:v>75.425351896064939</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1"/>
          <c:order val="3"/>
          <c:tx>
            <c:v>Total Covington (AF)</c:v>
          </c:tx>
          <c:spPr>
            <a:ln w="25400">
              <a:solidFill>
                <a:schemeClr val="accent2">
                  <a:lumMod val="75000"/>
                </a:schemeClr>
              </a:solidFill>
              <a:prstDash val="solid"/>
            </a:ln>
          </c:spPr>
          <c:marker>
            <c:symbol val="none"/>
          </c:marker>
          <c:cat>
            <c:numRef>
              <c:f>Calculation!$B$12:$B$377</c:f>
              <c:numCache>
                <c:formatCode>m/d/yyyy</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Calculation!$CR$12:$CR$381</c:f>
              <c:numCache>
                <c:formatCode>0.00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29.381829834515369</c:v>
                </c:pt>
                <c:pt idx="47">
                  <c:v>58.852228634352784</c:v>
                </c:pt>
                <c:pt idx="48">
                  <c:v>87.231213867423236</c:v>
                </c:pt>
                <c:pt idx="49">
                  <c:v>115.15285517461278</c:v>
                </c:pt>
                <c:pt idx="50">
                  <c:v>143.01898716221791</c:v>
                </c:pt>
                <c:pt idx="51">
                  <c:v>171.93049089443053</c:v>
                </c:pt>
                <c:pt idx="52">
                  <c:v>201.31538056937146</c:v>
                </c:pt>
                <c:pt idx="53">
                  <c:v>230.74006830385918</c:v>
                </c:pt>
                <c:pt idx="54">
                  <c:v>260.13104412436917</c:v>
                </c:pt>
                <c:pt idx="55">
                  <c:v>289.55562232711372</c:v>
                </c:pt>
                <c:pt idx="56">
                  <c:v>318.93135080927311</c:v>
                </c:pt>
                <c:pt idx="57">
                  <c:v>348.34680025925468</c:v>
                </c:pt>
                <c:pt idx="58">
                  <c:v>377.69496879637177</c:v>
                </c:pt>
                <c:pt idx="59">
                  <c:v>407.08320444081619</c:v>
                </c:pt>
                <c:pt idx="60">
                  <c:v>436.51009126621307</c:v>
                </c:pt>
                <c:pt idx="61">
                  <c:v>465.88114463616387</c:v>
                </c:pt>
                <c:pt idx="62">
                  <c:v>498.34025640752253</c:v>
                </c:pt>
                <c:pt idx="63">
                  <c:v>527.71977819998256</c:v>
                </c:pt>
                <c:pt idx="64">
                  <c:v>557.1119091118494</c:v>
                </c:pt>
                <c:pt idx="65">
                  <c:v>586.4862144045286</c:v>
                </c:pt>
                <c:pt idx="66">
                  <c:v>615.86128530599603</c:v>
                </c:pt>
                <c:pt idx="67">
                  <c:v>645.24099119097662</c:v>
                </c:pt>
                <c:pt idx="68">
                  <c:v>674.63568793100694</c:v>
                </c:pt>
                <c:pt idx="69">
                  <c:v>703.03329991168323</c:v>
                </c:pt>
                <c:pt idx="70">
                  <c:v>731.15588670082195</c:v>
                </c:pt>
                <c:pt idx="71">
                  <c:v>758.88130026856038</c:v>
                </c:pt>
                <c:pt idx="72">
                  <c:v>786.76176840094809</c:v>
                </c:pt>
                <c:pt idx="73">
                  <c:v>814.63682737722775</c:v>
                </c:pt>
                <c:pt idx="74">
                  <c:v>842.49775975807779</c:v>
                </c:pt>
                <c:pt idx="75">
                  <c:v>870.35573840869233</c:v>
                </c:pt>
                <c:pt idx="76">
                  <c:v>898.25206621883262</c:v>
                </c:pt>
                <c:pt idx="77">
                  <c:v>926.15151938522376</c:v>
                </c:pt>
                <c:pt idx="78">
                  <c:v>954.49725855236488</c:v>
                </c:pt>
                <c:pt idx="79">
                  <c:v>983.89719044639423</c:v>
                </c:pt>
                <c:pt idx="80">
                  <c:v>1013.3309737769567</c:v>
                </c:pt>
                <c:pt idx="81">
                  <c:v>1042.7533708244637</c:v>
                </c:pt>
                <c:pt idx="82">
                  <c:v>1071.4173906780898</c:v>
                </c:pt>
                <c:pt idx="83">
                  <c:v>1099.3411453530307</c:v>
                </c:pt>
                <c:pt idx="84">
                  <c:v>1127.2287317582595</c:v>
                </c:pt>
                <c:pt idx="85">
                  <c:v>1156.0844727360372</c:v>
                </c:pt>
                <c:pt idx="86">
                  <c:v>1185.501939350758</c:v>
                </c:pt>
                <c:pt idx="87">
                  <c:v>1214.8572796995372</c:v>
                </c:pt>
                <c:pt idx="88">
                  <c:v>1244.271601924816</c:v>
                </c:pt>
                <c:pt idx="89">
                  <c:v>1272.7165832976696</c:v>
                </c:pt>
                <c:pt idx="90">
                  <c:v>1300.6249676682041</c:v>
                </c:pt>
                <c:pt idx="91">
                  <c:v>1328.4879277796842</c:v>
                </c:pt>
                <c:pt idx="92">
                  <c:v>1357.0792497768714</c:v>
                </c:pt>
                <c:pt idx="93">
                  <c:v>1386.4944812438016</c:v>
                </c:pt>
                <c:pt idx="94">
                  <c:v>1415.8825123549127</c:v>
                </c:pt>
                <c:pt idx="95">
                  <c:v>1445.2874934290689</c:v>
                </c:pt>
                <c:pt idx="96">
                  <c:v>1474.1575539070814</c:v>
                </c:pt>
                <c:pt idx="97">
                  <c:v>1502.0353263042234</c:v>
                </c:pt>
                <c:pt idx="98">
                  <c:v>1529.9751534367576</c:v>
                </c:pt>
                <c:pt idx="99">
                  <c:v>1558.7984190696402</c:v>
                </c:pt>
                <c:pt idx="100">
                  <c:v>1588.2254994322591</c:v>
                </c:pt>
                <c:pt idx="101">
                  <c:v>1617.5976957046603</c:v>
                </c:pt>
                <c:pt idx="102">
                  <c:v>1646.9214192639042</c:v>
                </c:pt>
                <c:pt idx="103">
                  <c:v>1676.1944319388015</c:v>
                </c:pt>
                <c:pt idx="104">
                  <c:v>1704.6386173478763</c:v>
                </c:pt>
                <c:pt idx="105">
                  <c:v>1732.4939929834563</c:v>
                </c:pt>
                <c:pt idx="106">
                  <c:v>1761.3178901792917</c:v>
                </c:pt>
                <c:pt idx="107">
                  <c:v>1790.3263582667996</c:v>
                </c:pt>
                <c:pt idx="108">
                  <c:v>1819.6761102482535</c:v>
                </c:pt>
                <c:pt idx="109">
                  <c:v>1849.0644977025645</c:v>
                </c:pt>
                <c:pt idx="110">
                  <c:v>1877.4834626636755</c:v>
                </c:pt>
                <c:pt idx="111">
                  <c:v>1905.3029548955838</c:v>
                </c:pt>
                <c:pt idx="112">
                  <c:v>1933.1403093261968</c:v>
                </c:pt>
                <c:pt idx="113">
                  <c:v>1961.5945760891395</c:v>
                </c:pt>
                <c:pt idx="114">
                  <c:v>1991.0544972002508</c:v>
                </c:pt>
                <c:pt idx="115">
                  <c:v>2020.4034922759065</c:v>
                </c:pt>
                <c:pt idx="116">
                  <c:v>2049.7958100396136</c:v>
                </c:pt>
                <c:pt idx="117">
                  <c:v>2079.1890364214046</c:v>
                </c:pt>
                <c:pt idx="118">
                  <c:v>2108.5876795917352</c:v>
                </c:pt>
                <c:pt idx="119">
                  <c:v>2137.9753568972451</c:v>
                </c:pt>
                <c:pt idx="120">
                  <c:v>2166.3998005743033</c:v>
                </c:pt>
                <c:pt idx="121">
                  <c:v>2194.2515162137165</c:v>
                </c:pt>
                <c:pt idx="122">
                  <c:v>2222.0788473100019</c:v>
                </c:pt>
                <c:pt idx="123">
                  <c:v>2249.9459296317759</c:v>
                </c:pt>
                <c:pt idx="124">
                  <c:v>2275.7846646985245</c:v>
                </c:pt>
                <c:pt idx="125">
                  <c:v>2300.6105088732193</c:v>
                </c:pt>
                <c:pt idx="126">
                  <c:v>2325.4237549728059</c:v>
                </c:pt>
                <c:pt idx="127">
                  <c:v>2350.2373682463885</c:v>
                </c:pt>
                <c:pt idx="128">
                  <c:v>2377.2719129574998</c:v>
                </c:pt>
                <c:pt idx="129">
                  <c:v>2402.1576698180975</c:v>
                </c:pt>
                <c:pt idx="130">
                  <c:v>2426.9474375958757</c:v>
                </c:pt>
                <c:pt idx="131">
                  <c:v>2451.7824737585697</c:v>
                </c:pt>
                <c:pt idx="132">
                  <c:v>2476.6028450548665</c:v>
                </c:pt>
                <c:pt idx="133">
                  <c:v>2501.4232163511629</c:v>
                </c:pt>
                <c:pt idx="134">
                  <c:v>2527.5201451366925</c:v>
                </c:pt>
                <c:pt idx="135">
                  <c:v>2553.9402348841672</c:v>
                </c:pt>
                <c:pt idx="136">
                  <c:v>2580.3179886224252</c:v>
                </c:pt>
                <c:pt idx="137">
                  <c:v>2606.6952578258056</c:v>
                </c:pt>
                <c:pt idx="138">
                  <c:v>2632.1370682889051</c:v>
                </c:pt>
                <c:pt idx="139">
                  <c:v>2656.0506580614615</c:v>
                </c:pt>
                <c:pt idx="140">
                  <c:v>2679.2813700192023</c:v>
                </c:pt>
                <c:pt idx="141">
                  <c:v>2703.5424774834582</c:v>
                </c:pt>
                <c:pt idx="142">
                  <c:v>2728.3325461134295</c:v>
                </c:pt>
                <c:pt idx="143">
                  <c:v>2755.1330661797642</c:v>
                </c:pt>
                <c:pt idx="144">
                  <c:v>2782.9714050778807</c:v>
                </c:pt>
                <c:pt idx="145">
                  <c:v>2809.7632439576309</c:v>
                </c:pt>
                <c:pt idx="146">
                  <c:v>2861.698097486033</c:v>
                </c:pt>
                <c:pt idx="147">
                  <c:v>2912.5046073863296</c:v>
                </c:pt>
                <c:pt idx="148">
                  <c:v>2963.319464930189</c:v>
                </c:pt>
                <c:pt idx="149">
                  <c:v>3015.1493686284857</c:v>
                </c:pt>
                <c:pt idx="150">
                  <c:v>3067.4944090714534</c:v>
                </c:pt>
                <c:pt idx="151">
                  <c:v>3119.8664591522106</c:v>
                </c:pt>
                <c:pt idx="152">
                  <c:v>3202.9410306762961</c:v>
                </c:pt>
                <c:pt idx="153">
                  <c:v>3285.1690172387957</c:v>
                </c:pt>
                <c:pt idx="154">
                  <c:v>3366.7229858697483</c:v>
                </c:pt>
                <c:pt idx="155">
                  <c:v>3449.2661629746472</c:v>
                </c:pt>
                <c:pt idx="156">
                  <c:v>3532.2311797432062</c:v>
                </c:pt>
                <c:pt idx="157">
                  <c:v>3620.2992127928169</c:v>
                </c:pt>
                <c:pt idx="158">
                  <c:v>3704.3676191999857</c:v>
                </c:pt>
                <c:pt idx="159">
                  <c:v>3792.4459181283269</c:v>
                </c:pt>
                <c:pt idx="160">
                  <c:v>3878.549738935928</c:v>
                </c:pt>
                <c:pt idx="161">
                  <c:v>3889.5422222222223</c:v>
                </c:pt>
                <c:pt idx="162">
                  <c:v>3889.5422222222223</c:v>
                </c:pt>
                <c:pt idx="163">
                  <c:v>3889.5422222222223</c:v>
                </c:pt>
                <c:pt idx="164">
                  <c:v>3889.5422222222223</c:v>
                </c:pt>
                <c:pt idx="165">
                  <c:v>3889.5422222222223</c:v>
                </c:pt>
                <c:pt idx="166">
                  <c:v>3889.5422222222223</c:v>
                </c:pt>
                <c:pt idx="167">
                  <c:v>3889.5422222222223</c:v>
                </c:pt>
                <c:pt idx="168">
                  <c:v>3889.5422222222223</c:v>
                </c:pt>
                <c:pt idx="169">
                  <c:v>3889.5422222222223</c:v>
                </c:pt>
                <c:pt idx="170">
                  <c:v>3889.5422222222223</c:v>
                </c:pt>
                <c:pt idx="171">
                  <c:v>3889.5422222222223</c:v>
                </c:pt>
                <c:pt idx="172">
                  <c:v>3889.5422222222223</c:v>
                </c:pt>
                <c:pt idx="173">
                  <c:v>1944.7711111111112</c:v>
                </c:pt>
                <c:pt idx="174">
                  <c:v>1944.7711111111112</c:v>
                </c:pt>
                <c:pt idx="175">
                  <c:v>1944.7711111111112</c:v>
                </c:pt>
                <c:pt idx="176">
                  <c:v>1944.7711111111112</c:v>
                </c:pt>
                <c:pt idx="177">
                  <c:v>1944.7711111111112</c:v>
                </c:pt>
                <c:pt idx="178">
                  <c:v>1944.7711111111112</c:v>
                </c:pt>
                <c:pt idx="179">
                  <c:v>1944.7711111111112</c:v>
                </c:pt>
                <c:pt idx="180">
                  <c:v>1944.7711111111112</c:v>
                </c:pt>
                <c:pt idx="181">
                  <c:v>1944.7711111111112</c:v>
                </c:pt>
                <c:pt idx="182">
                  <c:v>1926.3631111111113</c:v>
                </c:pt>
                <c:pt idx="183">
                  <c:v>1907.9551111111111</c:v>
                </c:pt>
                <c:pt idx="184">
                  <c:v>1889.5471111111112</c:v>
                </c:pt>
                <c:pt idx="185">
                  <c:v>1871.1391111111113</c:v>
                </c:pt>
                <c:pt idx="186">
                  <c:v>1852.7311111111112</c:v>
                </c:pt>
                <c:pt idx="187">
                  <c:v>1832.7891111111112</c:v>
                </c:pt>
                <c:pt idx="188">
                  <c:v>1811.3131111111113</c:v>
                </c:pt>
                <c:pt idx="189">
                  <c:v>1789.8371111111112</c:v>
                </c:pt>
                <c:pt idx="190">
                  <c:v>1769.8951111111112</c:v>
                </c:pt>
                <c:pt idx="191">
                  <c:v>1749.9531111111112</c:v>
                </c:pt>
                <c:pt idx="192">
                  <c:v>1729.9679580528589</c:v>
                </c:pt>
                <c:pt idx="193">
                  <c:v>1710.0259580528589</c:v>
                </c:pt>
                <c:pt idx="194">
                  <c:v>1688.549958052859</c:v>
                </c:pt>
                <c:pt idx="195">
                  <c:v>1667.0739580528589</c:v>
                </c:pt>
                <c:pt idx="196">
                  <c:v>1645.597958052859</c:v>
                </c:pt>
                <c:pt idx="197">
                  <c:v>1624.1219580528589</c:v>
                </c:pt>
                <c:pt idx="198">
                  <c:v>1602.645958052859</c:v>
                </c:pt>
                <c:pt idx="199">
                  <c:v>1581.1699580528589</c:v>
                </c:pt>
                <c:pt idx="200">
                  <c:v>1559.6939580528588</c:v>
                </c:pt>
                <c:pt idx="201">
                  <c:v>1538.2179580528589</c:v>
                </c:pt>
                <c:pt idx="202">
                  <c:v>1516.7419580528588</c:v>
                </c:pt>
                <c:pt idx="203">
                  <c:v>1495.2659580528589</c:v>
                </c:pt>
                <c:pt idx="204">
                  <c:v>1473.7899580528588</c:v>
                </c:pt>
                <c:pt idx="205">
                  <c:v>1452.3139580528589</c:v>
                </c:pt>
                <c:pt idx="206">
                  <c:v>1430.8379580528588</c:v>
                </c:pt>
                <c:pt idx="207">
                  <c:v>1409.3619580528589</c:v>
                </c:pt>
                <c:pt idx="208">
                  <c:v>1387.8859580528588</c:v>
                </c:pt>
                <c:pt idx="209">
                  <c:v>1366.4099580528589</c:v>
                </c:pt>
                <c:pt idx="210">
                  <c:v>1344.9339580528588</c:v>
                </c:pt>
                <c:pt idx="211">
                  <c:v>1323.4579580528589</c:v>
                </c:pt>
                <c:pt idx="212">
                  <c:v>1301.9819580528588</c:v>
                </c:pt>
                <c:pt idx="213">
                  <c:v>1280.5059580528589</c:v>
                </c:pt>
                <c:pt idx="214">
                  <c:v>1258.9252106977326</c:v>
                </c:pt>
                <c:pt idx="215">
                  <c:v>1237.4492106977325</c:v>
                </c:pt>
                <c:pt idx="216">
                  <c:v>1215.9732106977326</c:v>
                </c:pt>
                <c:pt idx="217">
                  <c:v>1194.4972106977325</c:v>
                </c:pt>
                <c:pt idx="218">
                  <c:v>1173.0212106977326</c:v>
                </c:pt>
                <c:pt idx="219">
                  <c:v>1151.5452106977325</c:v>
                </c:pt>
                <c:pt idx="220">
                  <c:v>1130.0692106977326</c:v>
                </c:pt>
                <c:pt idx="221">
                  <c:v>1108.5932106977325</c:v>
                </c:pt>
                <c:pt idx="222">
                  <c:v>1087.1172106977326</c:v>
                </c:pt>
                <c:pt idx="223">
                  <c:v>1065.6412106977325</c:v>
                </c:pt>
                <c:pt idx="224">
                  <c:v>1044.1652106977326</c:v>
                </c:pt>
                <c:pt idx="225">
                  <c:v>1022.6892106977325</c:v>
                </c:pt>
                <c:pt idx="226">
                  <c:v>1001.2132106977325</c:v>
                </c:pt>
                <c:pt idx="227">
                  <c:v>979.73721069773251</c:v>
                </c:pt>
                <c:pt idx="228">
                  <c:v>958.26121069773251</c:v>
                </c:pt>
                <c:pt idx="229">
                  <c:v>938.3192106977325</c:v>
                </c:pt>
                <c:pt idx="230">
                  <c:v>918.37721069773249</c:v>
                </c:pt>
                <c:pt idx="231">
                  <c:v>898.43521069773249</c:v>
                </c:pt>
                <c:pt idx="232">
                  <c:v>878.49321069773248</c:v>
                </c:pt>
                <c:pt idx="233">
                  <c:v>858.55121069773247</c:v>
                </c:pt>
                <c:pt idx="234">
                  <c:v>838.60921069773246</c:v>
                </c:pt>
                <c:pt idx="235">
                  <c:v>818.66721069773257</c:v>
                </c:pt>
                <c:pt idx="236">
                  <c:v>798.72521069773256</c:v>
                </c:pt>
                <c:pt idx="237">
                  <c:v>778.78321069773256</c:v>
                </c:pt>
                <c:pt idx="238">
                  <c:v>758.84121069773255</c:v>
                </c:pt>
                <c:pt idx="239">
                  <c:v>738.89921069773254</c:v>
                </c:pt>
                <c:pt idx="240">
                  <c:v>718.95721069773253</c:v>
                </c:pt>
                <c:pt idx="241">
                  <c:v>699.01521069773253</c:v>
                </c:pt>
                <c:pt idx="242">
                  <c:v>679.07321069773252</c:v>
                </c:pt>
                <c:pt idx="243">
                  <c:v>659.13121069773251</c:v>
                </c:pt>
                <c:pt idx="244">
                  <c:v>637.65521069773251</c:v>
                </c:pt>
                <c:pt idx="245">
                  <c:v>616.17921069773251</c:v>
                </c:pt>
                <c:pt idx="246">
                  <c:v>594.70321069773252</c:v>
                </c:pt>
                <c:pt idx="247">
                  <c:v>574.20855706385839</c:v>
                </c:pt>
                <c:pt idx="248">
                  <c:v>554.2665570638585</c:v>
                </c:pt>
                <c:pt idx="249">
                  <c:v>534.32455706385849</c:v>
                </c:pt>
                <c:pt idx="250">
                  <c:v>517.51481381630504</c:v>
                </c:pt>
                <c:pt idx="251">
                  <c:v>502.174813816305</c:v>
                </c:pt>
                <c:pt idx="252">
                  <c:v>486.83481381630503</c:v>
                </c:pt>
                <c:pt idx="253">
                  <c:v>471.494813816305</c:v>
                </c:pt>
                <c:pt idx="254">
                  <c:v>456.15481381630502</c:v>
                </c:pt>
                <c:pt idx="255">
                  <c:v>440.81481381630505</c:v>
                </c:pt>
                <c:pt idx="256">
                  <c:v>425.47481381630502</c:v>
                </c:pt>
                <c:pt idx="257">
                  <c:v>410.13481381630504</c:v>
                </c:pt>
                <c:pt idx="258">
                  <c:v>394.79481381630501</c:v>
                </c:pt>
                <c:pt idx="259">
                  <c:v>379.45481381630503</c:v>
                </c:pt>
                <c:pt idx="260">
                  <c:v>365.09297884218739</c:v>
                </c:pt>
                <c:pt idx="261">
                  <c:v>351.28697884218741</c:v>
                </c:pt>
                <c:pt idx="262">
                  <c:v>337.48097884218737</c:v>
                </c:pt>
                <c:pt idx="263">
                  <c:v>323.67497884218739</c:v>
                </c:pt>
                <c:pt idx="264">
                  <c:v>310.90499212989465</c:v>
                </c:pt>
                <c:pt idx="265">
                  <c:v>298.63299212989466</c:v>
                </c:pt>
                <c:pt idx="266">
                  <c:v>286.36099212989467</c:v>
                </c:pt>
                <c:pt idx="267">
                  <c:v>274.08899212989468</c:v>
                </c:pt>
                <c:pt idx="268">
                  <c:v>261.81699212989469</c:v>
                </c:pt>
                <c:pt idx="269">
                  <c:v>249.54499212989467</c:v>
                </c:pt>
                <c:pt idx="270">
                  <c:v>237.27299212989465</c:v>
                </c:pt>
                <c:pt idx="271">
                  <c:v>226.04411212989467</c:v>
                </c:pt>
                <c:pt idx="272">
                  <c:v>215.30611212989467</c:v>
                </c:pt>
                <c:pt idx="273">
                  <c:v>204.56811212989467</c:v>
                </c:pt>
                <c:pt idx="274">
                  <c:v>193.83011212989467</c:v>
                </c:pt>
                <c:pt idx="275">
                  <c:v>183.09211212989467</c:v>
                </c:pt>
                <c:pt idx="276">
                  <c:v>172.35411212989467</c:v>
                </c:pt>
                <c:pt idx="277">
                  <c:v>161.61611212989467</c:v>
                </c:pt>
                <c:pt idx="278">
                  <c:v>304.9513469653096</c:v>
                </c:pt>
                <c:pt idx="279">
                  <c:v>295.74734696530959</c:v>
                </c:pt>
                <c:pt idx="280">
                  <c:v>286.54334696530958</c:v>
                </c:pt>
                <c:pt idx="281">
                  <c:v>277.33934696530957</c:v>
                </c:pt>
                <c:pt idx="282">
                  <c:v>268.13534696530962</c:v>
                </c:pt>
                <c:pt idx="283">
                  <c:v>258.93134696530961</c:v>
                </c:pt>
                <c:pt idx="284">
                  <c:v>249.72734696530961</c:v>
                </c:pt>
                <c:pt idx="285">
                  <c:v>240.5233469653096</c:v>
                </c:pt>
                <c:pt idx="286">
                  <c:v>231.31934696530959</c:v>
                </c:pt>
                <c:pt idx="287">
                  <c:v>222.11534696530958</c:v>
                </c:pt>
                <c:pt idx="288">
                  <c:v>212.9113469653096</c:v>
                </c:pt>
                <c:pt idx="289">
                  <c:v>203.7073469653096</c:v>
                </c:pt>
                <c:pt idx="290">
                  <c:v>194.50334696530959</c:v>
                </c:pt>
                <c:pt idx="291">
                  <c:v>185.29934696530958</c:v>
                </c:pt>
                <c:pt idx="292">
                  <c:v>185.29934696530958</c:v>
                </c:pt>
                <c:pt idx="293">
                  <c:v>185.29934696530958</c:v>
                </c:pt>
                <c:pt idx="294">
                  <c:v>185.29934696530958</c:v>
                </c:pt>
                <c:pt idx="295">
                  <c:v>185.29934696530958</c:v>
                </c:pt>
                <c:pt idx="296">
                  <c:v>185.29934696530958</c:v>
                </c:pt>
                <c:pt idx="297">
                  <c:v>185.29934696530958</c:v>
                </c:pt>
                <c:pt idx="298">
                  <c:v>185.29934696530958</c:v>
                </c:pt>
                <c:pt idx="299">
                  <c:v>185.29934696530958</c:v>
                </c:pt>
                <c:pt idx="300">
                  <c:v>185.29934696530958</c:v>
                </c:pt>
                <c:pt idx="301">
                  <c:v>185.29934696530958</c:v>
                </c:pt>
                <c:pt idx="302">
                  <c:v>185.29934696530958</c:v>
                </c:pt>
                <c:pt idx="303">
                  <c:v>185.29934696530958</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smooth val="0"/>
        </c:ser>
        <c:ser>
          <c:idx val="0"/>
          <c:order val="4"/>
          <c:tx>
            <c:v>Total Lakehaven (AF)</c:v>
          </c:tx>
          <c:marker>
            <c:symbol val="none"/>
          </c:marker>
          <c:cat>
            <c:numRef>
              <c:f>Calculation!$B$12:$B$377</c:f>
              <c:numCache>
                <c:formatCode>m/d/yyyy</c:formatCode>
                <c:ptCount val="366"/>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numCache>
            </c:numRef>
          </c:cat>
          <c:val>
            <c:numRef>
              <c:f>Calculation!$DK$12:$DK$377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18.764183557919623</c:v>
                </c:pt>
                <c:pt idx="47">
                  <c:v>37.831848337138481</c:v>
                </c:pt>
                <c:pt idx="48">
                  <c:v>56.51918412002567</c:v>
                </c:pt>
                <c:pt idx="49">
                  <c:v>75.325429348783842</c:v>
                </c:pt>
                <c:pt idx="50">
                  <c:v>94.024230659098151</c:v>
                </c:pt>
                <c:pt idx="51">
                  <c:v>112.55298721148331</c:v>
                </c:pt>
                <c:pt idx="52">
                  <c:v>130.74259393429654</c:v>
                </c:pt>
                <c:pt idx="53">
                  <c:v>149.04438712332976</c:v>
                </c:pt>
                <c:pt idx="54">
                  <c:v>167.4614805127537</c:v>
                </c:pt>
                <c:pt idx="55">
                  <c:v>185.48801090673334</c:v>
                </c:pt>
                <c:pt idx="56">
                  <c:v>202.52438632400086</c:v>
                </c:pt>
                <c:pt idx="57">
                  <c:v>221.30010350820166</c:v>
                </c:pt>
                <c:pt idx="58">
                  <c:v>239.84344331236235</c:v>
                </c:pt>
                <c:pt idx="59">
                  <c:v>258.53479015680682</c:v>
                </c:pt>
                <c:pt idx="60">
                  <c:v>277.00031983934645</c:v>
                </c:pt>
                <c:pt idx="61">
                  <c:v>295.7155130376529</c:v>
                </c:pt>
                <c:pt idx="62">
                  <c:v>314.26151911437609</c:v>
                </c:pt>
                <c:pt idx="63">
                  <c:v>332.8064823108279</c:v>
                </c:pt>
                <c:pt idx="64">
                  <c:v>351.2261130509325</c:v>
                </c:pt>
                <c:pt idx="65">
                  <c:v>369.79571993921002</c:v>
                </c:pt>
                <c:pt idx="66">
                  <c:v>388.55010807338192</c:v>
                </c:pt>
                <c:pt idx="67">
                  <c:v>407.49751273797477</c:v>
                </c:pt>
                <c:pt idx="68">
                  <c:v>426.22833489298114</c:v>
                </c:pt>
                <c:pt idx="69">
                  <c:v>444.98107730844009</c:v>
                </c:pt>
                <c:pt idx="70">
                  <c:v>463.58596721578033</c:v>
                </c:pt>
                <c:pt idx="71">
                  <c:v>483.03778744555905</c:v>
                </c:pt>
                <c:pt idx="72">
                  <c:v>501.85476345028718</c:v>
                </c:pt>
                <c:pt idx="73">
                  <c:v>520.47854666412707</c:v>
                </c:pt>
                <c:pt idx="74">
                  <c:v>539.04943069177057</c:v>
                </c:pt>
                <c:pt idx="75">
                  <c:v>557.42727944880244</c:v>
                </c:pt>
                <c:pt idx="76">
                  <c:v>575.32895685117558</c:v>
                </c:pt>
                <c:pt idx="77">
                  <c:v>594.08964035066367</c:v>
                </c:pt>
                <c:pt idx="78">
                  <c:v>612.73972387038441</c:v>
                </c:pt>
                <c:pt idx="79">
                  <c:v>631.48187140854168</c:v>
                </c:pt>
                <c:pt idx="80">
                  <c:v>650.01752197102439</c:v>
                </c:pt>
                <c:pt idx="81">
                  <c:v>668.80826912453836</c:v>
                </c:pt>
                <c:pt idx="82">
                  <c:v>686.9029167093687</c:v>
                </c:pt>
                <c:pt idx="83">
                  <c:v>705.65632962899053</c:v>
                </c:pt>
                <c:pt idx="84">
                  <c:v>724.45596779892514</c:v>
                </c:pt>
                <c:pt idx="85">
                  <c:v>743.20807677670291</c:v>
                </c:pt>
                <c:pt idx="86">
                  <c:v>762.01863737561052</c:v>
                </c:pt>
                <c:pt idx="87">
                  <c:v>780.5163902804436</c:v>
                </c:pt>
                <c:pt idx="88">
                  <c:v>798.74084716872119</c:v>
                </c:pt>
                <c:pt idx="89">
                  <c:v>817.00851681694246</c:v>
                </c:pt>
                <c:pt idx="90">
                  <c:v>835.73330916973862</c:v>
                </c:pt>
                <c:pt idx="91">
                  <c:v>854.4262198529633</c:v>
                </c:pt>
                <c:pt idx="92">
                  <c:v>873.07809564761874</c:v>
                </c:pt>
                <c:pt idx="93">
                  <c:v>891.817756024853</c:v>
                </c:pt>
                <c:pt idx="94">
                  <c:v>909.82350713596406</c:v>
                </c:pt>
                <c:pt idx="95">
                  <c:v>928.60219923746683</c:v>
                </c:pt>
                <c:pt idx="96">
                  <c:v>947.4129453874524</c:v>
                </c:pt>
                <c:pt idx="97">
                  <c:v>966.2295736604259</c:v>
                </c:pt>
                <c:pt idx="98">
                  <c:v>985.04774619464331</c:v>
                </c:pt>
                <c:pt idx="99">
                  <c:v>1003.7654514255906</c:v>
                </c:pt>
                <c:pt idx="100">
                  <c:v>1022.500241614389</c:v>
                </c:pt>
                <c:pt idx="101">
                  <c:v>1041.1823877577581</c:v>
                </c:pt>
                <c:pt idx="102">
                  <c:v>1059.4577860057989</c:v>
                </c:pt>
                <c:pt idx="103">
                  <c:v>1078.1286492156753</c:v>
                </c:pt>
                <c:pt idx="104">
                  <c:v>1096.8235658573331</c:v>
                </c:pt>
                <c:pt idx="105">
                  <c:v>1115.3951394984533</c:v>
                </c:pt>
                <c:pt idx="106">
                  <c:v>1134.1447526121319</c:v>
                </c:pt>
                <c:pt idx="107">
                  <c:v>1152.8938543656093</c:v>
                </c:pt>
                <c:pt idx="108">
                  <c:v>1171.5840300966906</c:v>
                </c:pt>
                <c:pt idx="109">
                  <c:v>1190.3317797091131</c:v>
                </c:pt>
                <c:pt idx="110">
                  <c:v>1209.0373416202244</c:v>
                </c:pt>
                <c:pt idx="111">
                  <c:v>1227.767568646653</c:v>
                </c:pt>
                <c:pt idx="112">
                  <c:v>1246.5307720399219</c:v>
                </c:pt>
                <c:pt idx="113">
                  <c:v>1265.3054444271258</c:v>
                </c:pt>
                <c:pt idx="114">
                  <c:v>1283.978485538237</c:v>
                </c:pt>
                <c:pt idx="115">
                  <c:v>1303.0133145542634</c:v>
                </c:pt>
                <c:pt idx="116">
                  <c:v>1321.769553634982</c:v>
                </c:pt>
                <c:pt idx="117">
                  <c:v>1340.5277553307617</c:v>
                </c:pt>
                <c:pt idx="118">
                  <c:v>1359.2976572897867</c:v>
                </c:pt>
                <c:pt idx="119">
                  <c:v>1378.0744518934844</c:v>
                </c:pt>
                <c:pt idx="120">
                  <c:v>1396.8199809422451</c:v>
                </c:pt>
                <c:pt idx="121">
                  <c:v>1415.5226079929789</c:v>
                </c:pt>
                <c:pt idx="122">
                  <c:v>1434.2106877623555</c:v>
                </c:pt>
                <c:pt idx="123">
                  <c:v>1452.8806989252994</c:v>
                </c:pt>
                <c:pt idx="124">
                  <c:v>1471.6716538811424</c:v>
                </c:pt>
                <c:pt idx="125">
                  <c:v>1490.4098234893634</c:v>
                </c:pt>
                <c:pt idx="126">
                  <c:v>1509.129811465802</c:v>
                </c:pt>
                <c:pt idx="127">
                  <c:v>1527.9421850597507</c:v>
                </c:pt>
                <c:pt idx="128">
                  <c:v>1546.7914709708616</c:v>
                </c:pt>
                <c:pt idx="129">
                  <c:v>1565.4168446856688</c:v>
                </c:pt>
                <c:pt idx="130">
                  <c:v>1585.0958248708541</c:v>
                </c:pt>
                <c:pt idx="131">
                  <c:v>1603.7555478496279</c:v>
                </c:pt>
                <c:pt idx="132">
                  <c:v>1622.4858189607389</c:v>
                </c:pt>
                <c:pt idx="133">
                  <c:v>1641.21609007185</c:v>
                </c:pt>
                <c:pt idx="134">
                  <c:v>1659.9629909504031</c:v>
                </c:pt>
                <c:pt idx="135">
                  <c:v>1678.7566602433324</c:v>
                </c:pt>
                <c:pt idx="136">
                  <c:v>1697.5005810412067</c:v>
                </c:pt>
                <c:pt idx="137">
                  <c:v>1716.2742502570561</c:v>
                </c:pt>
                <c:pt idx="138">
                  <c:v>1733.9663785699345</c:v>
                </c:pt>
                <c:pt idx="139">
                  <c:v>1751.2579595706859</c:v>
                </c:pt>
                <c:pt idx="140">
                  <c:v>1768.735856836144</c:v>
                </c:pt>
                <c:pt idx="141">
                  <c:v>1786.2746275433312</c:v>
                </c:pt>
                <c:pt idx="142">
                  <c:v>1803.4445865337382</c:v>
                </c:pt>
                <c:pt idx="143">
                  <c:v>1820.2912782418643</c:v>
                </c:pt>
                <c:pt idx="144">
                  <c:v>1837.2222551468201</c:v>
                </c:pt>
                <c:pt idx="145">
                  <c:v>1853.1380787970663</c:v>
                </c:pt>
                <c:pt idx="146">
                  <c:v>1896.178142837525</c:v>
                </c:pt>
                <c:pt idx="147">
                  <c:v>1939.3353210213029</c:v>
                </c:pt>
                <c:pt idx="148">
                  <c:v>1982.6885044598994</c:v>
                </c:pt>
                <c:pt idx="149">
                  <c:v>2025.7453837786341</c:v>
                </c:pt>
                <c:pt idx="150">
                  <c:v>2067.9996601020007</c:v>
                </c:pt>
                <c:pt idx="151">
                  <c:v>2111.134731959422</c:v>
                </c:pt>
                <c:pt idx="152">
                  <c:v>2183.7835950339154</c:v>
                </c:pt>
                <c:pt idx="153">
                  <c:v>2255.8202534714155</c:v>
                </c:pt>
                <c:pt idx="154">
                  <c:v>2328.2282036499869</c:v>
                </c:pt>
                <c:pt idx="155">
                  <c:v>2400.8056879787996</c:v>
                </c:pt>
                <c:pt idx="156">
                  <c:v>2472.954999943865</c:v>
                </c:pt>
                <c:pt idx="157">
                  <c:v>2550.8407871666277</c:v>
                </c:pt>
                <c:pt idx="158">
                  <c:v>2623.2877710926987</c:v>
                </c:pt>
                <c:pt idx="159">
                  <c:v>2694.7234645059607</c:v>
                </c:pt>
                <c:pt idx="160">
                  <c:v>2766.9316501591675</c:v>
                </c:pt>
                <c:pt idx="161">
                  <c:v>2923.8347228115495</c:v>
                </c:pt>
                <c:pt idx="162">
                  <c:v>3079.7253425116091</c:v>
                </c:pt>
                <c:pt idx="163">
                  <c:v>3235.7135319102736</c:v>
                </c:pt>
                <c:pt idx="164">
                  <c:v>3392.4424049289919</c:v>
                </c:pt>
                <c:pt idx="165">
                  <c:v>3549.3292173610271</c:v>
                </c:pt>
                <c:pt idx="166">
                  <c:v>3703.9905062499165</c:v>
                </c:pt>
                <c:pt idx="167">
                  <c:v>3856.8547234675348</c:v>
                </c:pt>
                <c:pt idx="168">
                  <c:v>3889.5422222222223</c:v>
                </c:pt>
                <c:pt idx="169">
                  <c:v>3889.5422222222223</c:v>
                </c:pt>
                <c:pt idx="170">
                  <c:v>3889.5422222222223</c:v>
                </c:pt>
                <c:pt idx="171">
                  <c:v>3889.5422222222223</c:v>
                </c:pt>
                <c:pt idx="172">
                  <c:v>3889.5422222222223</c:v>
                </c:pt>
                <c:pt idx="173">
                  <c:v>1944.7711111111112</c:v>
                </c:pt>
                <c:pt idx="174">
                  <c:v>1944.7711111111112</c:v>
                </c:pt>
                <c:pt idx="175">
                  <c:v>1944.7711111111112</c:v>
                </c:pt>
                <c:pt idx="176">
                  <c:v>1944.7711111111112</c:v>
                </c:pt>
                <c:pt idx="177">
                  <c:v>1944.7711111111112</c:v>
                </c:pt>
                <c:pt idx="178">
                  <c:v>1944.7711111111112</c:v>
                </c:pt>
                <c:pt idx="179">
                  <c:v>1944.7711111111112</c:v>
                </c:pt>
                <c:pt idx="180">
                  <c:v>1944.7711111111112</c:v>
                </c:pt>
                <c:pt idx="181">
                  <c:v>1944.7711111111112</c:v>
                </c:pt>
                <c:pt idx="182">
                  <c:v>1914.0911111111113</c:v>
                </c:pt>
                <c:pt idx="183">
                  <c:v>1883.4111111111113</c:v>
                </c:pt>
                <c:pt idx="184">
                  <c:v>1852.7311111111112</c:v>
                </c:pt>
                <c:pt idx="185">
                  <c:v>1822.0511111111111</c:v>
                </c:pt>
                <c:pt idx="186">
                  <c:v>1791.3711111111113</c:v>
                </c:pt>
                <c:pt idx="187">
                  <c:v>1759.1571111111111</c:v>
                </c:pt>
                <c:pt idx="188">
                  <c:v>1726.9431111111112</c:v>
                </c:pt>
                <c:pt idx="189">
                  <c:v>1694.7291111111113</c:v>
                </c:pt>
                <c:pt idx="190">
                  <c:v>1661.476248478177</c:v>
                </c:pt>
                <c:pt idx="191">
                  <c:v>1625.940193709328</c:v>
                </c:pt>
                <c:pt idx="192">
                  <c:v>1593.7261937093281</c:v>
                </c:pt>
                <c:pt idx="193">
                  <c:v>1561.5121937093279</c:v>
                </c:pt>
                <c:pt idx="194">
                  <c:v>1527.7641937093281</c:v>
                </c:pt>
                <c:pt idx="195">
                  <c:v>1494.016193709328</c:v>
                </c:pt>
                <c:pt idx="196">
                  <c:v>1460.268193709328</c:v>
                </c:pt>
                <c:pt idx="197">
                  <c:v>1426.5201937093279</c:v>
                </c:pt>
                <c:pt idx="198">
                  <c:v>1392.7721937093279</c:v>
                </c:pt>
                <c:pt idx="199">
                  <c:v>1359.0241937093281</c:v>
                </c:pt>
                <c:pt idx="200">
                  <c:v>1325.276193709328</c:v>
                </c:pt>
                <c:pt idx="201">
                  <c:v>1289.9941937093281</c:v>
                </c:pt>
                <c:pt idx="202">
                  <c:v>1254.7121937093279</c:v>
                </c:pt>
                <c:pt idx="203">
                  <c:v>1219.430193709328</c:v>
                </c:pt>
                <c:pt idx="204">
                  <c:v>1184.1481937093281</c:v>
                </c:pt>
                <c:pt idx="205">
                  <c:v>1148.8661937093279</c:v>
                </c:pt>
                <c:pt idx="206">
                  <c:v>1113.584193709328</c:v>
                </c:pt>
                <c:pt idx="207">
                  <c:v>1078.3021937093281</c:v>
                </c:pt>
                <c:pt idx="208">
                  <c:v>1043.0080335634946</c:v>
                </c:pt>
                <c:pt idx="209">
                  <c:v>1007.7260335634946</c:v>
                </c:pt>
                <c:pt idx="210">
                  <c:v>972.4440335634946</c:v>
                </c:pt>
                <c:pt idx="211">
                  <c:v>937.16203356349456</c:v>
                </c:pt>
                <c:pt idx="212">
                  <c:v>901.88003356349464</c:v>
                </c:pt>
                <c:pt idx="213">
                  <c:v>866.5980335634946</c:v>
                </c:pt>
                <c:pt idx="214">
                  <c:v>831.31603356349456</c:v>
                </c:pt>
                <c:pt idx="215">
                  <c:v>794.50003356349464</c:v>
                </c:pt>
                <c:pt idx="216">
                  <c:v>757.68403356349461</c:v>
                </c:pt>
                <c:pt idx="217">
                  <c:v>720.86803356349458</c:v>
                </c:pt>
                <c:pt idx="218">
                  <c:v>684.05203356349466</c:v>
                </c:pt>
                <c:pt idx="219">
                  <c:v>647.23603356349463</c:v>
                </c:pt>
                <c:pt idx="220">
                  <c:v>610.4200335634946</c:v>
                </c:pt>
                <c:pt idx="221">
                  <c:v>573.22106276000113</c:v>
                </c:pt>
                <c:pt idx="222">
                  <c:v>536.4050627600011</c:v>
                </c:pt>
                <c:pt idx="223">
                  <c:v>499.58906276000113</c:v>
                </c:pt>
                <c:pt idx="224">
                  <c:v>462.7730627600011</c:v>
                </c:pt>
                <c:pt idx="225">
                  <c:v>425.95706276000112</c:v>
                </c:pt>
                <c:pt idx="226">
                  <c:v>389.14106276000109</c:v>
                </c:pt>
                <c:pt idx="227">
                  <c:v>352.32506276000112</c:v>
                </c:pt>
                <c:pt idx="228">
                  <c:v>315.50906276000109</c:v>
                </c:pt>
                <c:pt idx="229">
                  <c:v>278.69306276000111</c:v>
                </c:pt>
                <c:pt idx="230">
                  <c:v>241.87706276000111</c:v>
                </c:pt>
                <c:pt idx="231">
                  <c:v>205.06106276000111</c:v>
                </c:pt>
                <c:pt idx="232">
                  <c:v>168.2450627600011</c:v>
                </c:pt>
                <c:pt idx="233">
                  <c:v>631.51306276000116</c:v>
                </c:pt>
                <c:pt idx="234">
                  <c:v>594.69706276000113</c:v>
                </c:pt>
                <c:pt idx="235">
                  <c:v>557.8810627600011</c:v>
                </c:pt>
                <c:pt idx="236">
                  <c:v>521.06506276000107</c:v>
                </c:pt>
                <c:pt idx="237">
                  <c:v>484.2490627600011</c:v>
                </c:pt>
                <c:pt idx="238">
                  <c:v>447.43306276000112</c:v>
                </c:pt>
                <c:pt idx="239">
                  <c:v>410.61706276000109</c:v>
                </c:pt>
                <c:pt idx="240">
                  <c:v>373.80106276000112</c:v>
                </c:pt>
                <c:pt idx="241">
                  <c:v>837.06906276000109</c:v>
                </c:pt>
                <c:pt idx="242">
                  <c:v>800.25306276000117</c:v>
                </c:pt>
                <c:pt idx="243">
                  <c:v>763.43706276000114</c:v>
                </c:pt>
                <c:pt idx="244">
                  <c:v>726.62106276000111</c:v>
                </c:pt>
                <c:pt idx="245">
                  <c:v>689.80506276000108</c:v>
                </c:pt>
                <c:pt idx="246">
                  <c:v>652.98906276000116</c:v>
                </c:pt>
                <c:pt idx="247">
                  <c:v>623.02826865846328</c:v>
                </c:pt>
                <c:pt idx="248">
                  <c:v>595.25854669783041</c:v>
                </c:pt>
                <c:pt idx="249">
                  <c:v>567.64654669783033</c:v>
                </c:pt>
                <c:pt idx="250">
                  <c:v>542.04919632450662</c:v>
                </c:pt>
                <c:pt idx="251">
                  <c:v>517.50519632450664</c:v>
                </c:pt>
                <c:pt idx="252">
                  <c:v>492.95291277965674</c:v>
                </c:pt>
                <c:pt idx="253">
                  <c:v>468.40891277965676</c:v>
                </c:pt>
                <c:pt idx="254">
                  <c:v>443.86491277965672</c:v>
                </c:pt>
                <c:pt idx="255">
                  <c:v>419.32091277965674</c:v>
                </c:pt>
                <c:pt idx="256">
                  <c:v>394.77691277965675</c:v>
                </c:pt>
                <c:pt idx="257">
                  <c:v>370.23291277965677</c:v>
                </c:pt>
                <c:pt idx="258">
                  <c:v>345.68891277965673</c:v>
                </c:pt>
                <c:pt idx="259">
                  <c:v>321.14491277965675</c:v>
                </c:pt>
                <c:pt idx="260">
                  <c:v>298.51507046436262</c:v>
                </c:pt>
                <c:pt idx="261">
                  <c:v>584.04876847250375</c:v>
                </c:pt>
                <c:pt idx="262">
                  <c:v>562.54824220233763</c:v>
                </c:pt>
                <c:pt idx="263">
                  <c:v>540.72065172951841</c:v>
                </c:pt>
                <c:pt idx="264">
                  <c:v>519.19235278769156</c:v>
                </c:pt>
                <c:pt idx="265">
                  <c:v>497.71635278769156</c:v>
                </c:pt>
                <c:pt idx="266">
                  <c:v>476.24035278769156</c:v>
                </c:pt>
                <c:pt idx="267">
                  <c:v>454.71108430284306</c:v>
                </c:pt>
                <c:pt idx="268">
                  <c:v>433.21055829258165</c:v>
                </c:pt>
                <c:pt idx="269">
                  <c:v>411.73455829258165</c:v>
                </c:pt>
                <c:pt idx="270">
                  <c:v>390.12531147217635</c:v>
                </c:pt>
                <c:pt idx="271">
                  <c:v>368.52659147217634</c:v>
                </c:pt>
                <c:pt idx="272">
                  <c:v>346.85326310357198</c:v>
                </c:pt>
                <c:pt idx="273">
                  <c:v>325.26473291227722</c:v>
                </c:pt>
                <c:pt idx="274">
                  <c:v>303.78873291227723</c:v>
                </c:pt>
                <c:pt idx="275">
                  <c:v>282.20063323905651</c:v>
                </c:pt>
                <c:pt idx="276">
                  <c:v>260.72463323905652</c:v>
                </c:pt>
                <c:pt idx="277">
                  <c:v>239.24863323905655</c:v>
                </c:pt>
                <c:pt idx="278">
                  <c:v>372.22087423600351</c:v>
                </c:pt>
                <c:pt idx="279">
                  <c:v>352.27887423600356</c:v>
                </c:pt>
                <c:pt idx="280">
                  <c:v>332.33687423600355</c:v>
                </c:pt>
                <c:pt idx="281">
                  <c:v>312.39487423600355</c:v>
                </c:pt>
                <c:pt idx="282">
                  <c:v>292.45287423600354</c:v>
                </c:pt>
                <c:pt idx="283">
                  <c:v>272.49424204250897</c:v>
                </c:pt>
                <c:pt idx="284">
                  <c:v>252.55224204250894</c:v>
                </c:pt>
                <c:pt idx="285">
                  <c:v>232.44437654827001</c:v>
                </c:pt>
                <c:pt idx="286">
                  <c:v>211.94468479849667</c:v>
                </c:pt>
                <c:pt idx="287">
                  <c:v>191.2552219413538</c:v>
                </c:pt>
                <c:pt idx="288">
                  <c:v>171.00038622706808</c:v>
                </c:pt>
                <c:pt idx="289">
                  <c:v>151.0583862270681</c:v>
                </c:pt>
                <c:pt idx="290">
                  <c:v>130.80967933784197</c:v>
                </c:pt>
                <c:pt idx="291">
                  <c:v>110.76302500188079</c:v>
                </c:pt>
                <c:pt idx="292">
                  <c:v>110.76302500188079</c:v>
                </c:pt>
                <c:pt idx="293">
                  <c:v>110.76302500188079</c:v>
                </c:pt>
                <c:pt idx="294">
                  <c:v>110.76302500188079</c:v>
                </c:pt>
                <c:pt idx="295">
                  <c:v>110.76302500188079</c:v>
                </c:pt>
                <c:pt idx="296">
                  <c:v>110.76302500188079</c:v>
                </c:pt>
                <c:pt idx="297">
                  <c:v>110.76302500188079</c:v>
                </c:pt>
                <c:pt idx="298">
                  <c:v>110.76302500188079</c:v>
                </c:pt>
                <c:pt idx="299">
                  <c:v>110.76302500188079</c:v>
                </c:pt>
                <c:pt idx="300">
                  <c:v>110.76302500188079</c:v>
                </c:pt>
                <c:pt idx="301">
                  <c:v>110.76302500188079</c:v>
                </c:pt>
                <c:pt idx="302">
                  <c:v>110.76302500188079</c:v>
                </c:pt>
                <c:pt idx="303">
                  <c:v>110.76302500188079</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108676224"/>
        <c:axId val="108677760"/>
      </c:lineChart>
      <c:dateAx>
        <c:axId val="108676224"/>
        <c:scaling>
          <c:orientation val="minMax"/>
        </c:scaling>
        <c:delete val="0"/>
        <c:axPos val="b"/>
        <c:majorGridlines/>
        <c:numFmt formatCode="[$-409]d\-mmm;@"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08677760"/>
        <c:crossesAt val="-1"/>
        <c:auto val="1"/>
        <c:lblOffset val="100"/>
        <c:baseTimeUnit val="days"/>
      </c:dateAx>
      <c:valAx>
        <c:axId val="108677760"/>
        <c:scaling>
          <c:orientation val="minMax"/>
          <c:max val="8500"/>
          <c:min val="0"/>
        </c:scaling>
        <c:delete val="0"/>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8676224"/>
        <c:crosses val="autoZero"/>
        <c:crossBetween val="between"/>
        <c:majorUnit val="500"/>
        <c:minorUnit val="500"/>
      </c:valAx>
      <c:spPr>
        <a:noFill/>
        <a:ln w="12700">
          <a:solidFill>
            <a:srgbClr val="808080"/>
          </a:solidFill>
          <a:prstDash val="solid"/>
        </a:ln>
      </c:spPr>
    </c:plotArea>
    <c:legend>
      <c:legendPos val="r"/>
      <c:layout>
        <c:manualLayout>
          <c:xMode val="edge"/>
          <c:yMode val="edge"/>
          <c:x val="0.64771460423634364"/>
          <c:y val="0.14026402640264041"/>
          <c:w val="0.30014186628447248"/>
          <c:h val="0.34242732751695726"/>
        </c:manualLayout>
      </c:layout>
      <c:overlay val="0"/>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codeName="Chart1"/>
  <sheetViews>
    <sheetView workbookViewId="0"/>
  </sheetViews>
  <pageMargins left="0" right="0" top="0" bottom="0"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9624060" cy="73380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0.08591</cdr:x>
      <cdr:y>0.05271</cdr:y>
    </cdr:from>
    <cdr:to>
      <cdr:x>0.92761</cdr:x>
      <cdr:y>0.12713</cdr:y>
    </cdr:to>
    <cdr:sp macro="" textlink="">
      <cdr:nvSpPr>
        <cdr:cNvPr id="2" name="TextBox 1"/>
        <cdr:cNvSpPr txBox="1"/>
      </cdr:nvSpPr>
      <cdr:spPr>
        <a:xfrm xmlns:a="http://schemas.openxmlformats.org/drawingml/2006/main">
          <a:off x="847751" y="323830"/>
          <a:ext cx="8305774" cy="4572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b="1"/>
        </a:p>
      </cdr:txBody>
    </cdr:sp>
  </cdr:relSizeAnchor>
  <cdr:relSizeAnchor xmlns:cdr="http://schemas.openxmlformats.org/drawingml/2006/chartDrawing">
    <cdr:from>
      <cdr:x>0.01882</cdr:x>
      <cdr:y>0.25814</cdr:y>
    </cdr:from>
    <cdr:to>
      <cdr:x>0.05212</cdr:x>
      <cdr:y>0.68295</cdr:y>
    </cdr:to>
    <cdr:sp macro="" textlink="">
      <cdr:nvSpPr>
        <cdr:cNvPr id="4" name="TextBox 3"/>
        <cdr:cNvSpPr txBox="1"/>
      </cdr:nvSpPr>
      <cdr:spPr>
        <a:xfrm xmlns:a="http://schemas.openxmlformats.org/drawingml/2006/main" rot="16200000">
          <a:off x="-954877" y="2726531"/>
          <a:ext cx="2609850" cy="3286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0.91115</cdr:x>
      <cdr:y>0.05549</cdr:y>
    </cdr:from>
    <cdr:to>
      <cdr:x>0.96578</cdr:x>
      <cdr:y>0.09184</cdr:y>
    </cdr:to>
    <cdr:sp macro="" textlink="">
      <cdr:nvSpPr>
        <cdr:cNvPr id="3" name="TextBox 2"/>
        <cdr:cNvSpPr txBox="1"/>
      </cdr:nvSpPr>
      <cdr:spPr>
        <a:xfrm xmlns:a="http://schemas.openxmlformats.org/drawingml/2006/main">
          <a:off x="8756793" y="406464"/>
          <a:ext cx="525034" cy="266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100"/>
            <a:t>1172'</a:t>
          </a:r>
        </a:p>
      </cdr:txBody>
    </cdr:sp>
  </cdr:relSizeAnchor>
  <cdr:relSizeAnchor xmlns:cdr="http://schemas.openxmlformats.org/drawingml/2006/chartDrawing">
    <cdr:from>
      <cdr:x>0.9645</cdr:x>
      <cdr:y>0.29491</cdr:y>
    </cdr:from>
    <cdr:to>
      <cdr:x>0.99221</cdr:x>
      <cdr:y>0.54517</cdr:y>
    </cdr:to>
    <cdr:sp macro="" textlink="">
      <cdr:nvSpPr>
        <cdr:cNvPr id="9" name="TextBox 1"/>
        <cdr:cNvSpPr txBox="1"/>
      </cdr:nvSpPr>
      <cdr:spPr>
        <a:xfrm xmlns:a="http://schemas.openxmlformats.org/drawingml/2006/main" rot="16200000">
          <a:off x="8497570" y="2948940"/>
          <a:ext cx="183642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baseline="0"/>
            <a:t>Overall Pool Elevation</a:t>
          </a:r>
          <a:endParaRPr lang="en-US" sz="1200" b="1"/>
        </a:p>
      </cdr:txBody>
    </cdr:sp>
  </cdr:relSizeAnchor>
  <cdr:relSizeAnchor xmlns:cdr="http://schemas.openxmlformats.org/drawingml/2006/chartDrawing">
    <cdr:from>
      <cdr:x>0.91211</cdr:x>
      <cdr:y>0.11596</cdr:y>
    </cdr:from>
    <cdr:to>
      <cdr:x>0.96991</cdr:x>
      <cdr:y>0.1523</cdr:y>
    </cdr:to>
    <cdr:sp macro="" textlink="">
      <cdr:nvSpPr>
        <cdr:cNvPr id="10" name="TextBox 1"/>
        <cdr:cNvSpPr txBox="1"/>
      </cdr:nvSpPr>
      <cdr:spPr>
        <a:xfrm xmlns:a="http://schemas.openxmlformats.org/drawingml/2006/main">
          <a:off x="8778240" y="850900"/>
          <a:ext cx="55626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1168'</a:t>
          </a:r>
        </a:p>
      </cdr:txBody>
    </cdr:sp>
  </cdr:relSizeAnchor>
  <cdr:relSizeAnchor xmlns:cdr="http://schemas.openxmlformats.org/drawingml/2006/chartDrawing">
    <cdr:from>
      <cdr:x>0.91123</cdr:x>
      <cdr:y>0.17942</cdr:y>
    </cdr:from>
    <cdr:to>
      <cdr:x>0.96903</cdr:x>
      <cdr:y>0.21577</cdr:y>
    </cdr:to>
    <cdr:sp macro="" textlink="">
      <cdr:nvSpPr>
        <cdr:cNvPr id="18" name="TextBox 1"/>
        <cdr:cNvSpPr txBox="1"/>
      </cdr:nvSpPr>
      <cdr:spPr>
        <a:xfrm xmlns:a="http://schemas.openxmlformats.org/drawingml/2006/main">
          <a:off x="8757558" y="1314171"/>
          <a:ext cx="555499"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1163'</a:t>
          </a:r>
        </a:p>
      </cdr:txBody>
    </cdr:sp>
  </cdr:relSizeAnchor>
  <cdr:relSizeAnchor xmlns:cdr="http://schemas.openxmlformats.org/drawingml/2006/chartDrawing">
    <cdr:from>
      <cdr:x>0.91144</cdr:x>
      <cdr:y>0.24103</cdr:y>
    </cdr:from>
    <cdr:to>
      <cdr:x>0.96923</cdr:x>
      <cdr:y>0.27737</cdr:y>
    </cdr:to>
    <cdr:sp macro="" textlink="">
      <cdr:nvSpPr>
        <cdr:cNvPr id="19" name="TextBox 1"/>
        <cdr:cNvSpPr txBox="1"/>
      </cdr:nvSpPr>
      <cdr:spPr>
        <a:xfrm xmlns:a="http://schemas.openxmlformats.org/drawingml/2006/main">
          <a:off x="8759585" y="1765493"/>
          <a:ext cx="555404" cy="26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1158'</a:t>
          </a:r>
        </a:p>
      </cdr:txBody>
    </cdr:sp>
  </cdr:relSizeAnchor>
  <cdr:relSizeAnchor xmlns:cdr="http://schemas.openxmlformats.org/drawingml/2006/chartDrawing">
    <cdr:from>
      <cdr:x>0.91216</cdr:x>
      <cdr:y>0.30403</cdr:y>
    </cdr:from>
    <cdr:to>
      <cdr:x>0.96894</cdr:x>
      <cdr:y>0.3428</cdr:y>
    </cdr:to>
    <cdr:sp macro="" textlink="">
      <cdr:nvSpPr>
        <cdr:cNvPr id="20" name="TextBox 1"/>
        <cdr:cNvSpPr txBox="1"/>
      </cdr:nvSpPr>
      <cdr:spPr>
        <a:xfrm xmlns:a="http://schemas.openxmlformats.org/drawingml/2006/main">
          <a:off x="8766500" y="2226905"/>
          <a:ext cx="545697" cy="283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1153'</a:t>
          </a:r>
        </a:p>
      </cdr:txBody>
    </cdr:sp>
  </cdr:relSizeAnchor>
  <cdr:relSizeAnchor xmlns:cdr="http://schemas.openxmlformats.org/drawingml/2006/chartDrawing">
    <cdr:from>
      <cdr:x>0.91115</cdr:x>
      <cdr:y>0.36506</cdr:y>
    </cdr:from>
    <cdr:to>
      <cdr:x>0.96894</cdr:x>
      <cdr:y>0.4014</cdr:y>
    </cdr:to>
    <cdr:sp macro="" textlink="">
      <cdr:nvSpPr>
        <cdr:cNvPr id="21" name="TextBox 1"/>
        <cdr:cNvSpPr txBox="1"/>
      </cdr:nvSpPr>
      <cdr:spPr>
        <a:xfrm xmlns:a="http://schemas.openxmlformats.org/drawingml/2006/main">
          <a:off x="8756780" y="2673994"/>
          <a:ext cx="555404" cy="26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1148'</a:t>
          </a:r>
        </a:p>
      </cdr:txBody>
    </cdr:sp>
  </cdr:relSizeAnchor>
  <cdr:relSizeAnchor xmlns:cdr="http://schemas.openxmlformats.org/drawingml/2006/chartDrawing">
    <cdr:from>
      <cdr:x>0.9122</cdr:x>
      <cdr:y>0.4291</cdr:y>
    </cdr:from>
    <cdr:to>
      <cdr:x>0.97</cdr:x>
      <cdr:y>0.46544</cdr:y>
    </cdr:to>
    <cdr:sp macro="" textlink="">
      <cdr:nvSpPr>
        <cdr:cNvPr id="22" name="TextBox 1"/>
        <cdr:cNvSpPr txBox="1"/>
      </cdr:nvSpPr>
      <cdr:spPr>
        <a:xfrm xmlns:a="http://schemas.openxmlformats.org/drawingml/2006/main">
          <a:off x="8766899" y="3143021"/>
          <a:ext cx="555500" cy="26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1142'</a:t>
          </a:r>
        </a:p>
      </cdr:txBody>
    </cdr:sp>
  </cdr:relSizeAnchor>
  <cdr:relSizeAnchor xmlns:cdr="http://schemas.openxmlformats.org/drawingml/2006/chartDrawing">
    <cdr:from>
      <cdr:x>0.91169</cdr:x>
      <cdr:y>0.49053</cdr:y>
    </cdr:from>
    <cdr:to>
      <cdr:x>0.96948</cdr:x>
      <cdr:y>0.52411</cdr:y>
    </cdr:to>
    <cdr:sp macro="" textlink="">
      <cdr:nvSpPr>
        <cdr:cNvPr id="23" name="TextBox 1"/>
        <cdr:cNvSpPr txBox="1"/>
      </cdr:nvSpPr>
      <cdr:spPr>
        <a:xfrm xmlns:a="http://schemas.openxmlformats.org/drawingml/2006/main">
          <a:off x="8761978" y="3592997"/>
          <a:ext cx="555404" cy="245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1135'</a:t>
          </a:r>
        </a:p>
      </cdr:txBody>
    </cdr:sp>
  </cdr:relSizeAnchor>
  <cdr:relSizeAnchor xmlns:cdr="http://schemas.openxmlformats.org/drawingml/2006/chartDrawing">
    <cdr:from>
      <cdr:x>0.91203</cdr:x>
      <cdr:y>0.55267</cdr:y>
    </cdr:from>
    <cdr:to>
      <cdr:x>0.96982</cdr:x>
      <cdr:y>0.58902</cdr:y>
    </cdr:to>
    <cdr:sp macro="" textlink="">
      <cdr:nvSpPr>
        <cdr:cNvPr id="24" name="TextBox 1"/>
        <cdr:cNvSpPr txBox="1"/>
      </cdr:nvSpPr>
      <cdr:spPr>
        <a:xfrm xmlns:a="http://schemas.openxmlformats.org/drawingml/2006/main">
          <a:off x="8765247" y="4048140"/>
          <a:ext cx="555404"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1127'</a:t>
          </a:r>
        </a:p>
      </cdr:txBody>
    </cdr:sp>
  </cdr:relSizeAnchor>
  <cdr:relSizeAnchor xmlns:cdr="http://schemas.openxmlformats.org/drawingml/2006/chartDrawing">
    <cdr:from>
      <cdr:x>0.91203</cdr:x>
      <cdr:y>0.61324</cdr:y>
    </cdr:from>
    <cdr:to>
      <cdr:x>0.96982</cdr:x>
      <cdr:y>0.64958</cdr:y>
    </cdr:to>
    <cdr:sp macro="" textlink="">
      <cdr:nvSpPr>
        <cdr:cNvPr id="25" name="TextBox 1"/>
        <cdr:cNvSpPr txBox="1"/>
      </cdr:nvSpPr>
      <cdr:spPr>
        <a:xfrm xmlns:a="http://schemas.openxmlformats.org/drawingml/2006/main">
          <a:off x="8765246" y="4491844"/>
          <a:ext cx="555404" cy="2661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1116'</a:t>
          </a:r>
        </a:p>
      </cdr:txBody>
    </cdr:sp>
  </cdr:relSizeAnchor>
  <cdr:relSizeAnchor xmlns:cdr="http://schemas.openxmlformats.org/drawingml/2006/chartDrawing">
    <cdr:from>
      <cdr:x>0.91203</cdr:x>
      <cdr:y>0.67636</cdr:y>
    </cdr:from>
    <cdr:to>
      <cdr:x>0.96982</cdr:x>
      <cdr:y>0.71271</cdr:y>
    </cdr:to>
    <cdr:sp macro="" textlink="">
      <cdr:nvSpPr>
        <cdr:cNvPr id="26" name="TextBox 1"/>
        <cdr:cNvSpPr txBox="1"/>
      </cdr:nvSpPr>
      <cdr:spPr>
        <a:xfrm xmlns:a="http://schemas.openxmlformats.org/drawingml/2006/main">
          <a:off x="8765246" y="4954186"/>
          <a:ext cx="555404"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1099'</a:t>
          </a:r>
        </a:p>
      </cdr:txBody>
    </cdr:sp>
  </cdr:relSizeAnchor>
  <cdr:relSizeAnchor xmlns:cdr="http://schemas.openxmlformats.org/drawingml/2006/chartDrawing">
    <cdr:from>
      <cdr:x>0.90801</cdr:x>
      <cdr:y>0.73062</cdr:y>
    </cdr:from>
    <cdr:to>
      <cdr:x>0.96614</cdr:x>
      <cdr:y>0.77472</cdr:y>
    </cdr:to>
    <cdr:sp macro="" textlink="">
      <cdr:nvSpPr>
        <cdr:cNvPr id="17" name="TextBox 1"/>
        <cdr:cNvSpPr txBox="1"/>
      </cdr:nvSpPr>
      <cdr:spPr>
        <a:xfrm xmlns:a="http://schemas.openxmlformats.org/drawingml/2006/main">
          <a:off x="8730571" y="5354782"/>
          <a:ext cx="558902" cy="3231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-1075'</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564880" cy="58140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64880" cy="58140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01\wtr-8am.rpt\REPORT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TORAGE 2009"/>
      <sheetName val="Partner Storage"/>
      <sheetName val="Summary"/>
      <sheetName val="Tacoma (JAN-JUNE)"/>
      <sheetName val="SSP a (JAN-JUNE)"/>
      <sheetName val="SSP b (JAN-JUNE)"/>
      <sheetName val="Tacoma (JULY-DEC)"/>
      <sheetName val="SSP a (JULY-DEC)"/>
      <sheetName val="SSP b (JULY-DEC)"/>
      <sheetName val="JAN"/>
      <sheetName val="FEB"/>
      <sheetName val="MARCH"/>
      <sheetName val="APRIL"/>
      <sheetName val="MAY"/>
      <sheetName val="JUNE"/>
      <sheetName val="JULY"/>
      <sheetName val="AUG"/>
      <sheetName val="SEPT"/>
      <sheetName val="OCT"/>
      <sheetName val="NOV"/>
      <sheetName val="DEC"/>
      <sheetName val="Annual Production Report"/>
      <sheetName val="HHD Capacity Table"/>
      <sheetName val="lookup"/>
      <sheetName val="WORK SHEET"/>
      <sheetName val="Worksheet 2"/>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G3">
            <v>1050</v>
          </cell>
          <cell r="H3">
            <v>64</v>
          </cell>
          <cell r="I3">
            <v>1050.0999999999999</v>
          </cell>
          <cell r="J3">
            <v>66</v>
          </cell>
        </row>
        <row r="4">
          <cell r="G4">
            <v>1050.0999999999999</v>
          </cell>
          <cell r="H4">
            <v>66</v>
          </cell>
          <cell r="I4">
            <v>1050.2</v>
          </cell>
          <cell r="J4">
            <v>68</v>
          </cell>
        </row>
        <row r="5">
          <cell r="G5">
            <v>1050.2</v>
          </cell>
          <cell r="H5">
            <v>68</v>
          </cell>
          <cell r="I5">
            <v>1050.3</v>
          </cell>
          <cell r="J5">
            <v>70</v>
          </cell>
        </row>
        <row r="6">
          <cell r="G6">
            <v>1050.3</v>
          </cell>
          <cell r="H6">
            <v>70</v>
          </cell>
          <cell r="I6">
            <v>1050.4000000000001</v>
          </cell>
          <cell r="J6">
            <v>72</v>
          </cell>
        </row>
        <row r="7">
          <cell r="G7">
            <v>1050.4000000000001</v>
          </cell>
          <cell r="H7">
            <v>72</v>
          </cell>
          <cell r="I7">
            <v>1050.5</v>
          </cell>
          <cell r="J7">
            <v>74</v>
          </cell>
        </row>
        <row r="8">
          <cell r="G8">
            <v>1050.5</v>
          </cell>
          <cell r="H8">
            <v>74</v>
          </cell>
          <cell r="I8">
            <v>1050.5999999999999</v>
          </cell>
          <cell r="J8">
            <v>76</v>
          </cell>
        </row>
        <row r="9">
          <cell r="G9">
            <v>1050.5999999999999</v>
          </cell>
          <cell r="H9">
            <v>76</v>
          </cell>
          <cell r="I9">
            <v>1050.7</v>
          </cell>
          <cell r="J9">
            <v>78</v>
          </cell>
        </row>
        <row r="10">
          <cell r="G10">
            <v>1050.7</v>
          </cell>
          <cell r="H10">
            <v>78</v>
          </cell>
          <cell r="I10">
            <v>1050.8</v>
          </cell>
          <cell r="J10">
            <v>80</v>
          </cell>
        </row>
        <row r="11">
          <cell r="G11">
            <v>1050.8</v>
          </cell>
          <cell r="H11">
            <v>80</v>
          </cell>
          <cell r="I11">
            <v>1050.9000000000001</v>
          </cell>
          <cell r="J11">
            <v>82</v>
          </cell>
        </row>
        <row r="12">
          <cell r="G12">
            <v>1050.9000000000001</v>
          </cell>
          <cell r="H12">
            <v>82</v>
          </cell>
          <cell r="I12">
            <v>1051</v>
          </cell>
          <cell r="J12">
            <v>84</v>
          </cell>
        </row>
        <row r="13">
          <cell r="G13">
            <v>1051</v>
          </cell>
          <cell r="H13">
            <v>84</v>
          </cell>
          <cell r="I13">
            <v>1051.0999999999999</v>
          </cell>
          <cell r="J13">
            <v>86.2</v>
          </cell>
        </row>
        <row r="14">
          <cell r="G14">
            <v>1051.0999999999999</v>
          </cell>
          <cell r="H14">
            <v>86.2</v>
          </cell>
          <cell r="I14">
            <v>1051.2</v>
          </cell>
          <cell r="J14">
            <v>88.4</v>
          </cell>
        </row>
        <row r="15">
          <cell r="G15">
            <v>1051.2</v>
          </cell>
          <cell r="H15">
            <v>88.4</v>
          </cell>
          <cell r="I15">
            <v>1051.3</v>
          </cell>
          <cell r="J15">
            <v>90.6</v>
          </cell>
        </row>
        <row r="16">
          <cell r="G16">
            <v>1051.3</v>
          </cell>
          <cell r="H16">
            <v>90.6</v>
          </cell>
          <cell r="I16">
            <v>1051.4000000000001</v>
          </cell>
          <cell r="J16">
            <v>92.8</v>
          </cell>
        </row>
        <row r="17">
          <cell r="G17">
            <v>1051.4000000000001</v>
          </cell>
          <cell r="H17">
            <v>92.8</v>
          </cell>
          <cell r="I17">
            <v>1051.5</v>
          </cell>
          <cell r="J17">
            <v>95</v>
          </cell>
        </row>
        <row r="18">
          <cell r="G18">
            <v>1051.5</v>
          </cell>
          <cell r="H18">
            <v>95</v>
          </cell>
          <cell r="I18">
            <v>1051.5999999999999</v>
          </cell>
          <cell r="J18">
            <v>97.2</v>
          </cell>
        </row>
        <row r="19">
          <cell r="G19">
            <v>1051.5999999999999</v>
          </cell>
          <cell r="H19">
            <v>97.2</v>
          </cell>
          <cell r="I19">
            <v>1051.7</v>
          </cell>
          <cell r="J19">
            <v>99.4</v>
          </cell>
        </row>
        <row r="20">
          <cell r="G20">
            <v>1051.7</v>
          </cell>
          <cell r="H20">
            <v>99.4</v>
          </cell>
          <cell r="I20">
            <v>1051.8</v>
          </cell>
          <cell r="J20">
            <v>101.6</v>
          </cell>
        </row>
        <row r="21">
          <cell r="G21">
            <v>1051.8</v>
          </cell>
          <cell r="H21">
            <v>101.6</v>
          </cell>
          <cell r="I21">
            <v>1051.9000000000001</v>
          </cell>
          <cell r="J21">
            <v>103.8</v>
          </cell>
        </row>
        <row r="22">
          <cell r="G22">
            <v>1051.9000000000001</v>
          </cell>
          <cell r="H22">
            <v>103.8</v>
          </cell>
          <cell r="I22">
            <v>1052</v>
          </cell>
          <cell r="J22">
            <v>106</v>
          </cell>
        </row>
        <row r="23">
          <cell r="G23">
            <v>1052</v>
          </cell>
          <cell r="H23">
            <v>106</v>
          </cell>
          <cell r="I23">
            <v>1052.0999999999999</v>
          </cell>
          <cell r="J23">
            <v>108.7</v>
          </cell>
        </row>
        <row r="24">
          <cell r="G24">
            <v>1052.0999999999999</v>
          </cell>
          <cell r="H24">
            <v>108.7</v>
          </cell>
          <cell r="I24">
            <v>1052.2</v>
          </cell>
          <cell r="J24">
            <v>111.4</v>
          </cell>
        </row>
        <row r="25">
          <cell r="G25">
            <v>1052.2</v>
          </cell>
          <cell r="H25">
            <v>111.4</v>
          </cell>
          <cell r="I25">
            <v>1052.3</v>
          </cell>
          <cell r="J25">
            <v>114.1</v>
          </cell>
        </row>
        <row r="26">
          <cell r="G26">
            <v>1052.3</v>
          </cell>
          <cell r="H26">
            <v>114.1</v>
          </cell>
          <cell r="I26">
            <v>1052.4000000000001</v>
          </cell>
          <cell r="J26">
            <v>116.8</v>
          </cell>
        </row>
        <row r="27">
          <cell r="G27">
            <v>1052.4000000000001</v>
          </cell>
          <cell r="H27">
            <v>116.8</v>
          </cell>
          <cell r="I27">
            <v>1052.5</v>
          </cell>
          <cell r="J27">
            <v>119.5</v>
          </cell>
        </row>
        <row r="28">
          <cell r="G28">
            <v>1052.5</v>
          </cell>
          <cell r="H28">
            <v>119.5</v>
          </cell>
          <cell r="I28">
            <v>1052.5999999999999</v>
          </cell>
          <cell r="J28">
            <v>122.2</v>
          </cell>
        </row>
        <row r="29">
          <cell r="G29">
            <v>1052.5999999999999</v>
          </cell>
          <cell r="H29">
            <v>122.2</v>
          </cell>
          <cell r="I29">
            <v>1052.7</v>
          </cell>
          <cell r="J29">
            <v>124.9</v>
          </cell>
        </row>
        <row r="30">
          <cell r="G30">
            <v>1052.7</v>
          </cell>
          <cell r="H30">
            <v>124.9</v>
          </cell>
          <cell r="I30">
            <v>1052.8</v>
          </cell>
          <cell r="J30">
            <v>127.6</v>
          </cell>
        </row>
        <row r="31">
          <cell r="G31">
            <v>1052.8</v>
          </cell>
          <cell r="H31">
            <v>127.6</v>
          </cell>
          <cell r="I31">
            <v>1052.9000000000001</v>
          </cell>
          <cell r="J31">
            <v>130.30000000000001</v>
          </cell>
        </row>
        <row r="32">
          <cell r="G32">
            <v>1052.9000000000001</v>
          </cell>
          <cell r="H32">
            <v>130.30000000000001</v>
          </cell>
          <cell r="I32">
            <v>1053</v>
          </cell>
          <cell r="J32">
            <v>133</v>
          </cell>
        </row>
        <row r="33">
          <cell r="G33">
            <v>1053</v>
          </cell>
          <cell r="H33">
            <v>133</v>
          </cell>
          <cell r="I33">
            <v>1053.0999999999999</v>
          </cell>
          <cell r="J33">
            <v>135.9</v>
          </cell>
        </row>
        <row r="34">
          <cell r="G34">
            <v>1053.0999999999999</v>
          </cell>
          <cell r="H34">
            <v>135.9</v>
          </cell>
          <cell r="I34">
            <v>1053.2</v>
          </cell>
          <cell r="J34">
            <v>138.80000000000001</v>
          </cell>
        </row>
        <row r="35">
          <cell r="G35">
            <v>1053.2</v>
          </cell>
          <cell r="H35">
            <v>138.80000000000001</v>
          </cell>
          <cell r="I35">
            <v>1053.3</v>
          </cell>
          <cell r="J35">
            <v>141.69999999999999</v>
          </cell>
        </row>
        <row r="36">
          <cell r="G36">
            <v>1053.3</v>
          </cell>
          <cell r="H36">
            <v>141.69999999999999</v>
          </cell>
          <cell r="I36">
            <v>1053.4000000000001</v>
          </cell>
          <cell r="J36">
            <v>144.6</v>
          </cell>
        </row>
        <row r="37">
          <cell r="G37">
            <v>1053.4000000000001</v>
          </cell>
          <cell r="H37">
            <v>144.6</v>
          </cell>
          <cell r="I37">
            <v>1053.5</v>
          </cell>
          <cell r="J37">
            <v>147.5</v>
          </cell>
        </row>
        <row r="38">
          <cell r="G38">
            <v>1053.5</v>
          </cell>
          <cell r="H38">
            <v>147.5</v>
          </cell>
          <cell r="I38">
            <v>1053.5999999999999</v>
          </cell>
          <cell r="J38">
            <v>150.4</v>
          </cell>
        </row>
        <row r="39">
          <cell r="G39">
            <v>1053.5999999999999</v>
          </cell>
          <cell r="H39">
            <v>150.4</v>
          </cell>
          <cell r="I39">
            <v>1053.7</v>
          </cell>
          <cell r="J39">
            <v>153.30000000000001</v>
          </cell>
        </row>
        <row r="40">
          <cell r="G40">
            <v>1053.7</v>
          </cell>
          <cell r="H40">
            <v>153.30000000000001</v>
          </cell>
          <cell r="I40">
            <v>1053.8</v>
          </cell>
          <cell r="J40">
            <v>156.19999999999999</v>
          </cell>
        </row>
        <row r="41">
          <cell r="G41">
            <v>1053.8</v>
          </cell>
          <cell r="H41">
            <v>156.19999999999999</v>
          </cell>
          <cell r="I41">
            <v>1053.9000000000001</v>
          </cell>
          <cell r="J41">
            <v>159.1</v>
          </cell>
        </row>
        <row r="42">
          <cell r="G42">
            <v>1053.9000000000001</v>
          </cell>
          <cell r="H42">
            <v>159.1</v>
          </cell>
          <cell r="I42">
            <v>1054</v>
          </cell>
          <cell r="J42">
            <v>162</v>
          </cell>
        </row>
        <row r="43">
          <cell r="G43">
            <v>1054</v>
          </cell>
          <cell r="H43">
            <v>162</v>
          </cell>
          <cell r="I43">
            <v>1054.0999999999999</v>
          </cell>
          <cell r="J43">
            <v>165.9</v>
          </cell>
        </row>
        <row r="44">
          <cell r="G44">
            <v>1054.0999999999999</v>
          </cell>
          <cell r="H44">
            <v>165.9</v>
          </cell>
          <cell r="I44">
            <v>1054.2</v>
          </cell>
          <cell r="J44">
            <v>169.8</v>
          </cell>
        </row>
        <row r="45">
          <cell r="G45">
            <v>1054.2</v>
          </cell>
          <cell r="H45">
            <v>169.8</v>
          </cell>
          <cell r="I45">
            <v>1054.3</v>
          </cell>
          <cell r="J45">
            <v>173.7</v>
          </cell>
        </row>
        <row r="46">
          <cell r="G46">
            <v>1054.3</v>
          </cell>
          <cell r="H46">
            <v>173.7</v>
          </cell>
          <cell r="I46">
            <v>1054.4000000000001</v>
          </cell>
          <cell r="J46">
            <v>177.6</v>
          </cell>
        </row>
        <row r="47">
          <cell r="G47">
            <v>1054.4000000000001</v>
          </cell>
          <cell r="H47">
            <v>177.6</v>
          </cell>
          <cell r="I47">
            <v>1054.5</v>
          </cell>
          <cell r="J47">
            <v>181.5</v>
          </cell>
        </row>
        <row r="48">
          <cell r="G48">
            <v>1054.5</v>
          </cell>
          <cell r="H48">
            <v>181.5</v>
          </cell>
          <cell r="I48">
            <v>1054.5999999999999</v>
          </cell>
          <cell r="J48">
            <v>185.4</v>
          </cell>
        </row>
        <row r="49">
          <cell r="G49">
            <v>1054.5999999999999</v>
          </cell>
          <cell r="H49">
            <v>185.4</v>
          </cell>
          <cell r="I49">
            <v>1054.7</v>
          </cell>
          <cell r="J49">
            <v>189.3</v>
          </cell>
        </row>
        <row r="50">
          <cell r="G50">
            <v>1054.7</v>
          </cell>
          <cell r="H50">
            <v>189.3</v>
          </cell>
          <cell r="I50">
            <v>1054.8</v>
          </cell>
          <cell r="J50">
            <v>193.2</v>
          </cell>
        </row>
        <row r="51">
          <cell r="G51">
            <v>1054.8</v>
          </cell>
          <cell r="H51">
            <v>193.2</v>
          </cell>
          <cell r="I51">
            <v>1054.9000000000001</v>
          </cell>
          <cell r="J51">
            <v>197.1</v>
          </cell>
        </row>
        <row r="52">
          <cell r="G52">
            <v>1054.9000000000001</v>
          </cell>
          <cell r="H52">
            <v>197.1</v>
          </cell>
          <cell r="I52">
            <v>1055</v>
          </cell>
          <cell r="J52">
            <v>201</v>
          </cell>
        </row>
        <row r="53">
          <cell r="G53">
            <v>1055</v>
          </cell>
          <cell r="H53">
            <v>201</v>
          </cell>
          <cell r="I53">
            <v>1055.0999999999999</v>
          </cell>
          <cell r="J53">
            <v>204.8</v>
          </cell>
        </row>
        <row r="54">
          <cell r="G54">
            <v>1055.0999999999999</v>
          </cell>
          <cell r="H54">
            <v>204.8</v>
          </cell>
          <cell r="I54">
            <v>1055.2</v>
          </cell>
          <cell r="J54">
            <v>208.6</v>
          </cell>
        </row>
        <row r="55">
          <cell r="G55">
            <v>1055.2</v>
          </cell>
          <cell r="H55">
            <v>208.6</v>
          </cell>
          <cell r="I55">
            <v>1055.3</v>
          </cell>
          <cell r="J55">
            <v>212.4</v>
          </cell>
        </row>
        <row r="56">
          <cell r="G56">
            <v>1055.3</v>
          </cell>
          <cell r="H56">
            <v>212.4</v>
          </cell>
          <cell r="I56">
            <v>1055.4000000000001</v>
          </cell>
          <cell r="J56">
            <v>216.2</v>
          </cell>
        </row>
        <row r="57">
          <cell r="G57">
            <v>1055.4000000000001</v>
          </cell>
          <cell r="H57">
            <v>216.2</v>
          </cell>
          <cell r="I57">
            <v>1055.5</v>
          </cell>
          <cell r="J57">
            <v>220</v>
          </cell>
        </row>
        <row r="58">
          <cell r="G58">
            <v>1055.5</v>
          </cell>
          <cell r="H58">
            <v>220</v>
          </cell>
          <cell r="I58">
            <v>1055.5999999999999</v>
          </cell>
          <cell r="J58">
            <v>223.8</v>
          </cell>
        </row>
        <row r="59">
          <cell r="G59">
            <v>1055.5999999999999</v>
          </cell>
          <cell r="H59">
            <v>223.8</v>
          </cell>
          <cell r="I59">
            <v>1055.7</v>
          </cell>
          <cell r="J59">
            <v>227.6</v>
          </cell>
        </row>
        <row r="60">
          <cell r="G60">
            <v>1055.7</v>
          </cell>
          <cell r="H60">
            <v>227.6</v>
          </cell>
          <cell r="I60">
            <v>1055.8</v>
          </cell>
          <cell r="J60">
            <v>231.4</v>
          </cell>
        </row>
        <row r="61">
          <cell r="G61">
            <v>1055.8</v>
          </cell>
          <cell r="H61">
            <v>231.4</v>
          </cell>
          <cell r="I61">
            <v>1055.9000000000001</v>
          </cell>
          <cell r="J61">
            <v>235.2</v>
          </cell>
        </row>
        <row r="62">
          <cell r="G62">
            <v>1055.9000000000001</v>
          </cell>
          <cell r="H62">
            <v>235.2</v>
          </cell>
          <cell r="I62">
            <v>1056</v>
          </cell>
          <cell r="J62">
            <v>239</v>
          </cell>
        </row>
        <row r="63">
          <cell r="G63">
            <v>1056</v>
          </cell>
          <cell r="H63">
            <v>239</v>
          </cell>
          <cell r="I63">
            <v>1056.0999999999999</v>
          </cell>
          <cell r="J63">
            <v>244.1</v>
          </cell>
        </row>
        <row r="64">
          <cell r="G64">
            <v>1056.0999999999999</v>
          </cell>
          <cell r="H64">
            <v>244.1</v>
          </cell>
          <cell r="I64">
            <v>1056.2</v>
          </cell>
          <cell r="J64">
            <v>249.2</v>
          </cell>
        </row>
        <row r="65">
          <cell r="G65">
            <v>1056.2</v>
          </cell>
          <cell r="H65">
            <v>249.2</v>
          </cell>
          <cell r="I65">
            <v>1056.3</v>
          </cell>
          <cell r="J65">
            <v>254.3</v>
          </cell>
        </row>
        <row r="66">
          <cell r="G66">
            <v>1056.3</v>
          </cell>
          <cell r="H66">
            <v>254.3</v>
          </cell>
          <cell r="I66">
            <v>1056.4000000000001</v>
          </cell>
          <cell r="J66">
            <v>259.39999999999998</v>
          </cell>
        </row>
        <row r="67">
          <cell r="G67">
            <v>1056.4000000000001</v>
          </cell>
          <cell r="H67">
            <v>259.39999999999998</v>
          </cell>
          <cell r="I67">
            <v>1056.5</v>
          </cell>
          <cell r="J67">
            <v>264.5</v>
          </cell>
        </row>
        <row r="68">
          <cell r="G68">
            <v>1056.5</v>
          </cell>
          <cell r="H68">
            <v>264.5</v>
          </cell>
          <cell r="I68">
            <v>1056.5999999999999</v>
          </cell>
          <cell r="J68">
            <v>269.60000000000002</v>
          </cell>
        </row>
        <row r="69">
          <cell r="G69">
            <v>1056.5999999999999</v>
          </cell>
          <cell r="H69">
            <v>269.60000000000002</v>
          </cell>
          <cell r="I69">
            <v>1056.7</v>
          </cell>
          <cell r="J69">
            <v>274.7</v>
          </cell>
        </row>
        <row r="70">
          <cell r="G70">
            <v>1056.7</v>
          </cell>
          <cell r="H70">
            <v>274.7</v>
          </cell>
          <cell r="I70">
            <v>1056.8</v>
          </cell>
          <cell r="J70">
            <v>279.8</v>
          </cell>
        </row>
        <row r="71">
          <cell r="G71">
            <v>1056.8</v>
          </cell>
          <cell r="H71">
            <v>279.8</v>
          </cell>
          <cell r="I71">
            <v>1056.9000000000001</v>
          </cell>
          <cell r="J71">
            <v>284.89999999999998</v>
          </cell>
        </row>
        <row r="72">
          <cell r="G72">
            <v>1056.9000000000001</v>
          </cell>
          <cell r="H72">
            <v>284.89999999999998</v>
          </cell>
          <cell r="I72">
            <v>1057</v>
          </cell>
          <cell r="J72">
            <v>290</v>
          </cell>
        </row>
        <row r="73">
          <cell r="G73">
            <v>1057</v>
          </cell>
          <cell r="H73">
            <v>290</v>
          </cell>
          <cell r="I73">
            <v>1057.0999999999999</v>
          </cell>
          <cell r="J73">
            <v>294</v>
          </cell>
        </row>
        <row r="74">
          <cell r="G74">
            <v>1057.0999999999999</v>
          </cell>
          <cell r="H74">
            <v>294</v>
          </cell>
          <cell r="I74">
            <v>1057.2</v>
          </cell>
          <cell r="J74">
            <v>298</v>
          </cell>
        </row>
        <row r="75">
          <cell r="G75">
            <v>1057.2</v>
          </cell>
          <cell r="H75">
            <v>298</v>
          </cell>
          <cell r="I75">
            <v>1057.3</v>
          </cell>
          <cell r="J75">
            <v>302</v>
          </cell>
        </row>
        <row r="76">
          <cell r="G76">
            <v>1057.3</v>
          </cell>
          <cell r="H76">
            <v>302</v>
          </cell>
          <cell r="I76">
            <v>1057.4000000000001</v>
          </cell>
          <cell r="J76">
            <v>306</v>
          </cell>
        </row>
        <row r="77">
          <cell r="G77">
            <v>1057.4000000000001</v>
          </cell>
          <cell r="H77">
            <v>306</v>
          </cell>
          <cell r="I77">
            <v>1057.5</v>
          </cell>
          <cell r="J77">
            <v>310</v>
          </cell>
        </row>
        <row r="78">
          <cell r="G78">
            <v>1057.5</v>
          </cell>
          <cell r="H78">
            <v>310</v>
          </cell>
          <cell r="I78">
            <v>1057.5999999999949</v>
          </cell>
          <cell r="J78">
            <v>314</v>
          </cell>
        </row>
        <row r="79">
          <cell r="G79">
            <v>1057.5999999999949</v>
          </cell>
          <cell r="H79">
            <v>314</v>
          </cell>
          <cell r="I79">
            <v>1057.6999999999948</v>
          </cell>
          <cell r="J79">
            <v>318</v>
          </cell>
        </row>
        <row r="80">
          <cell r="G80">
            <v>1057.6999999999948</v>
          </cell>
          <cell r="H80">
            <v>318</v>
          </cell>
          <cell r="I80">
            <v>1057.7999999999947</v>
          </cell>
          <cell r="J80">
            <v>322</v>
          </cell>
        </row>
        <row r="81">
          <cell r="G81">
            <v>1057.7999999999947</v>
          </cell>
          <cell r="H81">
            <v>322</v>
          </cell>
          <cell r="I81">
            <v>1057.8999999999946</v>
          </cell>
          <cell r="J81">
            <v>326</v>
          </cell>
        </row>
        <row r="82">
          <cell r="G82">
            <v>1057.8999999999946</v>
          </cell>
          <cell r="H82">
            <v>326</v>
          </cell>
          <cell r="I82">
            <v>1057.9999999999945</v>
          </cell>
          <cell r="J82">
            <v>330</v>
          </cell>
        </row>
        <row r="83">
          <cell r="G83">
            <v>1057.9999999999945</v>
          </cell>
          <cell r="H83">
            <v>330</v>
          </cell>
          <cell r="I83">
            <v>1058.0999999999945</v>
          </cell>
          <cell r="J83">
            <v>335.3</v>
          </cell>
        </row>
        <row r="84">
          <cell r="G84">
            <v>1058.0999999999945</v>
          </cell>
          <cell r="H84">
            <v>335.3</v>
          </cell>
          <cell r="I84">
            <v>1058.1999999999944</v>
          </cell>
          <cell r="J84">
            <v>340.6</v>
          </cell>
        </row>
        <row r="85">
          <cell r="G85">
            <v>1058.1999999999944</v>
          </cell>
          <cell r="H85">
            <v>340.6</v>
          </cell>
          <cell r="I85">
            <v>1058.2999999999943</v>
          </cell>
          <cell r="J85">
            <v>345.9</v>
          </cell>
        </row>
        <row r="86">
          <cell r="G86">
            <v>1058.2999999999943</v>
          </cell>
          <cell r="H86">
            <v>345.9</v>
          </cell>
          <cell r="I86">
            <v>1058.3999999999942</v>
          </cell>
          <cell r="J86">
            <v>351.2</v>
          </cell>
        </row>
        <row r="87">
          <cell r="G87">
            <v>1058.3999999999942</v>
          </cell>
          <cell r="H87">
            <v>351.2</v>
          </cell>
          <cell r="I87">
            <v>1058.4999999999941</v>
          </cell>
          <cell r="J87">
            <v>356.5</v>
          </cell>
        </row>
        <row r="88">
          <cell r="G88">
            <v>1058.4999999999941</v>
          </cell>
          <cell r="H88">
            <v>356.5</v>
          </cell>
          <cell r="I88">
            <v>1058.599999999994</v>
          </cell>
          <cell r="J88">
            <v>361.8</v>
          </cell>
        </row>
        <row r="89">
          <cell r="G89">
            <v>1058.599999999994</v>
          </cell>
          <cell r="H89">
            <v>361.8</v>
          </cell>
          <cell r="I89">
            <v>1058.6999999999939</v>
          </cell>
          <cell r="J89">
            <v>367.1</v>
          </cell>
        </row>
        <row r="90">
          <cell r="G90">
            <v>1058.6999999999939</v>
          </cell>
          <cell r="H90">
            <v>367.1</v>
          </cell>
          <cell r="I90">
            <v>1058.7999999999938</v>
          </cell>
          <cell r="J90">
            <v>372.4</v>
          </cell>
        </row>
        <row r="91">
          <cell r="G91">
            <v>1058.7999999999938</v>
          </cell>
          <cell r="H91">
            <v>372.4</v>
          </cell>
          <cell r="I91">
            <v>1058.8999999999937</v>
          </cell>
          <cell r="J91">
            <v>377.7</v>
          </cell>
        </row>
        <row r="92">
          <cell r="G92">
            <v>1058.8999999999937</v>
          </cell>
          <cell r="H92">
            <v>377.7</v>
          </cell>
          <cell r="I92">
            <v>1058.9999999999936</v>
          </cell>
          <cell r="J92">
            <v>383</v>
          </cell>
        </row>
        <row r="93">
          <cell r="G93">
            <v>1058.9999999999936</v>
          </cell>
          <cell r="H93">
            <v>383</v>
          </cell>
          <cell r="I93">
            <v>1059.0999999999935</v>
          </cell>
          <cell r="J93">
            <v>388.6</v>
          </cell>
        </row>
        <row r="94">
          <cell r="G94">
            <v>1059.0999999999935</v>
          </cell>
          <cell r="H94">
            <v>388.6</v>
          </cell>
          <cell r="I94">
            <v>1059.1999999999935</v>
          </cell>
          <cell r="J94">
            <v>394.2</v>
          </cell>
        </row>
        <row r="95">
          <cell r="G95">
            <v>1059.1999999999935</v>
          </cell>
          <cell r="H95">
            <v>394.2</v>
          </cell>
          <cell r="I95">
            <v>1059.2999999999934</v>
          </cell>
          <cell r="J95">
            <v>399.8</v>
          </cell>
        </row>
        <row r="96">
          <cell r="G96">
            <v>1059.2999999999934</v>
          </cell>
          <cell r="H96">
            <v>399.8</v>
          </cell>
          <cell r="I96">
            <v>1059.3999999999933</v>
          </cell>
          <cell r="J96">
            <v>405.4</v>
          </cell>
        </row>
        <row r="97">
          <cell r="G97">
            <v>1059.3999999999933</v>
          </cell>
          <cell r="H97">
            <v>405.4</v>
          </cell>
          <cell r="I97">
            <v>1059.4999999999932</v>
          </cell>
          <cell r="J97">
            <v>411</v>
          </cell>
        </row>
        <row r="98">
          <cell r="G98">
            <v>1059.4999999999932</v>
          </cell>
          <cell r="H98">
            <v>411</v>
          </cell>
          <cell r="I98">
            <v>1059.5999999999931</v>
          </cell>
          <cell r="J98">
            <v>416.6</v>
          </cell>
        </row>
        <row r="99">
          <cell r="G99">
            <v>1059.5999999999931</v>
          </cell>
          <cell r="H99">
            <v>416.6</v>
          </cell>
          <cell r="I99">
            <v>1059.699999999993</v>
          </cell>
          <cell r="J99">
            <v>422.2</v>
          </cell>
        </row>
        <row r="100">
          <cell r="G100">
            <v>1059.699999999993</v>
          </cell>
          <cell r="H100">
            <v>422.2</v>
          </cell>
          <cell r="I100">
            <v>1059.7999999999929</v>
          </cell>
          <cell r="J100">
            <v>427.8</v>
          </cell>
        </row>
        <row r="101">
          <cell r="G101">
            <v>1059.7999999999929</v>
          </cell>
          <cell r="H101">
            <v>427.8</v>
          </cell>
          <cell r="I101">
            <v>1059.8999999999928</v>
          </cell>
          <cell r="J101">
            <v>433.4</v>
          </cell>
        </row>
        <row r="102">
          <cell r="G102">
            <v>1059.8999999999928</v>
          </cell>
          <cell r="H102">
            <v>433.4</v>
          </cell>
          <cell r="I102">
            <v>1059.9999999999927</v>
          </cell>
          <cell r="J102">
            <v>439</v>
          </cell>
        </row>
        <row r="103">
          <cell r="G103">
            <v>1059.9999999999927</v>
          </cell>
          <cell r="H103">
            <v>439</v>
          </cell>
          <cell r="I103">
            <v>1060.0999999999926</v>
          </cell>
          <cell r="J103">
            <v>445</v>
          </cell>
        </row>
        <row r="104">
          <cell r="G104">
            <v>1060.0999999999926</v>
          </cell>
          <cell r="H104">
            <v>445</v>
          </cell>
          <cell r="I104">
            <v>1060.1999999999925</v>
          </cell>
          <cell r="J104">
            <v>451</v>
          </cell>
        </row>
        <row r="105">
          <cell r="G105">
            <v>1060.1999999999925</v>
          </cell>
          <cell r="H105">
            <v>451</v>
          </cell>
          <cell r="I105">
            <v>1060.2999999999925</v>
          </cell>
          <cell r="J105">
            <v>457</v>
          </cell>
        </row>
        <row r="106">
          <cell r="G106">
            <v>1060.2999999999925</v>
          </cell>
          <cell r="H106">
            <v>457</v>
          </cell>
          <cell r="I106">
            <v>1060.3999999999924</v>
          </cell>
          <cell r="J106">
            <v>463</v>
          </cell>
        </row>
        <row r="107">
          <cell r="G107">
            <v>1060.3999999999924</v>
          </cell>
          <cell r="H107">
            <v>463</v>
          </cell>
          <cell r="I107">
            <v>1060.4999999999923</v>
          </cell>
          <cell r="J107">
            <v>469</v>
          </cell>
        </row>
        <row r="108">
          <cell r="G108">
            <v>1060.4999999999923</v>
          </cell>
          <cell r="H108">
            <v>469</v>
          </cell>
          <cell r="I108">
            <v>1060.5999999999922</v>
          </cell>
          <cell r="J108">
            <v>475</v>
          </cell>
        </row>
        <row r="109">
          <cell r="G109">
            <v>1060.5999999999922</v>
          </cell>
          <cell r="H109">
            <v>475</v>
          </cell>
          <cell r="I109">
            <v>1060.6999999999921</v>
          </cell>
          <cell r="J109">
            <v>481</v>
          </cell>
        </row>
        <row r="110">
          <cell r="G110">
            <v>1060.6999999999921</v>
          </cell>
          <cell r="H110">
            <v>481</v>
          </cell>
          <cell r="I110">
            <v>1060.799999999992</v>
          </cell>
          <cell r="J110">
            <v>487</v>
          </cell>
        </row>
        <row r="111">
          <cell r="G111">
            <v>1060.799999999992</v>
          </cell>
          <cell r="H111">
            <v>487</v>
          </cell>
          <cell r="I111">
            <v>1060.8999999999919</v>
          </cell>
          <cell r="J111">
            <v>493</v>
          </cell>
        </row>
        <row r="112">
          <cell r="G112">
            <v>1060.8999999999919</v>
          </cell>
          <cell r="H112">
            <v>493</v>
          </cell>
          <cell r="I112">
            <v>1060.9999999999918</v>
          </cell>
          <cell r="J112">
            <v>499</v>
          </cell>
        </row>
        <row r="113">
          <cell r="G113">
            <v>1060.9999999999918</v>
          </cell>
          <cell r="H113">
            <v>499</v>
          </cell>
          <cell r="I113">
            <v>1061.0999999999917</v>
          </cell>
          <cell r="J113">
            <v>505.4</v>
          </cell>
        </row>
        <row r="114">
          <cell r="G114">
            <v>1061.0999999999917</v>
          </cell>
          <cell r="H114">
            <v>505.4</v>
          </cell>
          <cell r="I114">
            <v>1061.1999999999916</v>
          </cell>
          <cell r="J114">
            <v>511.8</v>
          </cell>
        </row>
        <row r="115">
          <cell r="G115">
            <v>1061.1999999999916</v>
          </cell>
          <cell r="H115">
            <v>511.8</v>
          </cell>
          <cell r="I115">
            <v>1061.2999999999915</v>
          </cell>
          <cell r="J115">
            <v>518.20000000000005</v>
          </cell>
        </row>
        <row r="116">
          <cell r="G116">
            <v>1061.2999999999915</v>
          </cell>
          <cell r="H116">
            <v>518.20000000000005</v>
          </cell>
          <cell r="I116">
            <v>1061.3999999999915</v>
          </cell>
          <cell r="J116">
            <v>524.6</v>
          </cell>
        </row>
        <row r="117">
          <cell r="G117">
            <v>1061.3999999999915</v>
          </cell>
          <cell r="H117">
            <v>524.6</v>
          </cell>
          <cell r="I117">
            <v>1061.4999999999914</v>
          </cell>
          <cell r="J117">
            <v>531</v>
          </cell>
        </row>
        <row r="118">
          <cell r="G118">
            <v>1061.4999999999914</v>
          </cell>
          <cell r="H118">
            <v>531</v>
          </cell>
          <cell r="I118">
            <v>1061.5999999999913</v>
          </cell>
          <cell r="J118">
            <v>537.4</v>
          </cell>
        </row>
        <row r="119">
          <cell r="G119">
            <v>1061.5999999999913</v>
          </cell>
          <cell r="H119">
            <v>537.4</v>
          </cell>
          <cell r="I119">
            <v>1061.6999999999912</v>
          </cell>
          <cell r="J119">
            <v>543.79999999999995</v>
          </cell>
        </row>
        <row r="120">
          <cell r="G120">
            <v>1061.6999999999912</v>
          </cell>
          <cell r="H120">
            <v>543.79999999999995</v>
          </cell>
          <cell r="I120">
            <v>1061.7999999999911</v>
          </cell>
          <cell r="J120">
            <v>550.20000000000005</v>
          </cell>
        </row>
        <row r="121">
          <cell r="G121">
            <v>1061.7999999999911</v>
          </cell>
          <cell r="H121">
            <v>550.20000000000005</v>
          </cell>
          <cell r="I121">
            <v>1061.899999999991</v>
          </cell>
          <cell r="J121">
            <v>556.6</v>
          </cell>
        </row>
        <row r="122">
          <cell r="G122">
            <v>1061.899999999991</v>
          </cell>
          <cell r="H122">
            <v>556.6</v>
          </cell>
          <cell r="I122">
            <v>1061.9999999999909</v>
          </cell>
          <cell r="J122">
            <v>563</v>
          </cell>
        </row>
        <row r="123">
          <cell r="G123">
            <v>1061.9999999999909</v>
          </cell>
          <cell r="H123">
            <v>563</v>
          </cell>
          <cell r="I123">
            <v>1062.0999999999908</v>
          </cell>
          <cell r="J123">
            <v>569.70000000000005</v>
          </cell>
        </row>
        <row r="124">
          <cell r="G124">
            <v>1062.0999999999908</v>
          </cell>
          <cell r="H124">
            <v>569.70000000000005</v>
          </cell>
          <cell r="I124">
            <v>1062.1999999999907</v>
          </cell>
          <cell r="J124">
            <v>576.4</v>
          </cell>
        </row>
        <row r="125">
          <cell r="G125">
            <v>1062.1999999999907</v>
          </cell>
          <cell r="H125">
            <v>576.4</v>
          </cell>
          <cell r="I125">
            <v>1062.2999999999906</v>
          </cell>
          <cell r="J125">
            <v>583.1</v>
          </cell>
        </row>
        <row r="126">
          <cell r="G126">
            <v>1062.2999999999906</v>
          </cell>
          <cell r="H126">
            <v>583.1</v>
          </cell>
          <cell r="I126">
            <v>1062.3999999999905</v>
          </cell>
          <cell r="J126">
            <v>589.79999999999995</v>
          </cell>
        </row>
        <row r="127">
          <cell r="G127">
            <v>1062.3999999999905</v>
          </cell>
          <cell r="H127">
            <v>589.79999999999995</v>
          </cell>
          <cell r="I127">
            <v>1062.4999999999905</v>
          </cell>
          <cell r="J127">
            <v>596.5</v>
          </cell>
        </row>
        <row r="128">
          <cell r="G128">
            <v>1062.4999999999905</v>
          </cell>
          <cell r="H128">
            <v>596.5</v>
          </cell>
          <cell r="I128">
            <v>1062.5999999999904</v>
          </cell>
          <cell r="J128">
            <v>603.20000000000005</v>
          </cell>
        </row>
        <row r="129">
          <cell r="G129">
            <v>1062.5999999999904</v>
          </cell>
          <cell r="H129">
            <v>603.20000000000005</v>
          </cell>
          <cell r="I129">
            <v>1062.6999999999903</v>
          </cell>
          <cell r="J129">
            <v>609.9</v>
          </cell>
        </row>
        <row r="130">
          <cell r="G130">
            <v>1062.6999999999903</v>
          </cell>
          <cell r="H130">
            <v>609.9</v>
          </cell>
          <cell r="I130">
            <v>1062.7999999999902</v>
          </cell>
          <cell r="J130">
            <v>616.6</v>
          </cell>
        </row>
        <row r="131">
          <cell r="G131">
            <v>1062.7999999999902</v>
          </cell>
          <cell r="H131">
            <v>616.6</v>
          </cell>
          <cell r="I131">
            <v>1062.8999999999901</v>
          </cell>
          <cell r="J131">
            <v>623.29999999999995</v>
          </cell>
        </row>
        <row r="132">
          <cell r="G132">
            <v>1062.8999999999901</v>
          </cell>
          <cell r="H132">
            <v>623.29999999999995</v>
          </cell>
          <cell r="I132">
            <v>1062.99999999999</v>
          </cell>
          <cell r="J132">
            <v>630</v>
          </cell>
        </row>
        <row r="133">
          <cell r="G133">
            <v>1062.99999999999</v>
          </cell>
          <cell r="H133">
            <v>630</v>
          </cell>
          <cell r="I133">
            <v>1063.0999999999899</v>
          </cell>
          <cell r="J133">
            <v>637.20000000000005</v>
          </cell>
        </row>
        <row r="134">
          <cell r="G134">
            <v>1063.0999999999899</v>
          </cell>
          <cell r="H134">
            <v>637.20000000000005</v>
          </cell>
          <cell r="I134">
            <v>1063.1999999999898</v>
          </cell>
          <cell r="J134">
            <v>644.4</v>
          </cell>
        </row>
        <row r="135">
          <cell r="G135">
            <v>1063.1999999999898</v>
          </cell>
          <cell r="H135">
            <v>644.4</v>
          </cell>
          <cell r="I135">
            <v>1063.2999999999897</v>
          </cell>
          <cell r="J135">
            <v>651.6</v>
          </cell>
        </row>
        <row r="136">
          <cell r="G136">
            <v>1063.2999999999897</v>
          </cell>
          <cell r="H136">
            <v>651.6</v>
          </cell>
          <cell r="I136">
            <v>1063.3999999999896</v>
          </cell>
          <cell r="J136">
            <v>658.8</v>
          </cell>
        </row>
        <row r="137">
          <cell r="G137">
            <v>1063.3999999999896</v>
          </cell>
          <cell r="H137">
            <v>658.8</v>
          </cell>
          <cell r="I137">
            <v>1063.4999999999895</v>
          </cell>
          <cell r="J137">
            <v>666</v>
          </cell>
        </row>
        <row r="138">
          <cell r="G138">
            <v>1063.4999999999895</v>
          </cell>
          <cell r="H138">
            <v>666</v>
          </cell>
          <cell r="I138">
            <v>1063.5999999999894</v>
          </cell>
          <cell r="J138">
            <v>673.2</v>
          </cell>
        </row>
        <row r="139">
          <cell r="G139">
            <v>1063.5999999999894</v>
          </cell>
          <cell r="H139">
            <v>673.2</v>
          </cell>
          <cell r="I139">
            <v>1063.6999999999894</v>
          </cell>
          <cell r="J139">
            <v>680.4</v>
          </cell>
        </row>
        <row r="140">
          <cell r="G140">
            <v>1063.6999999999894</v>
          </cell>
          <cell r="H140">
            <v>680.4</v>
          </cell>
          <cell r="I140">
            <v>1063.7999999999893</v>
          </cell>
          <cell r="J140">
            <v>687.6</v>
          </cell>
        </row>
        <row r="141">
          <cell r="G141">
            <v>1063.7999999999893</v>
          </cell>
          <cell r="H141">
            <v>687.6</v>
          </cell>
          <cell r="I141">
            <v>1063.8999999999892</v>
          </cell>
          <cell r="J141">
            <v>694.8</v>
          </cell>
        </row>
        <row r="142">
          <cell r="G142">
            <v>1063.8999999999892</v>
          </cell>
          <cell r="H142">
            <v>694.8</v>
          </cell>
          <cell r="I142">
            <v>1063.9999999999891</v>
          </cell>
          <cell r="J142">
            <v>702</v>
          </cell>
        </row>
        <row r="143">
          <cell r="G143">
            <v>1063.9999999999891</v>
          </cell>
          <cell r="H143">
            <v>702</v>
          </cell>
          <cell r="I143">
            <v>1064.099999999989</v>
          </cell>
          <cell r="J143">
            <v>709.5</v>
          </cell>
        </row>
        <row r="144">
          <cell r="G144">
            <v>1064.099999999989</v>
          </cell>
          <cell r="H144">
            <v>709.5</v>
          </cell>
          <cell r="I144">
            <v>1064.1999999999889</v>
          </cell>
          <cell r="J144">
            <v>717</v>
          </cell>
        </row>
        <row r="145">
          <cell r="G145">
            <v>1064.1999999999889</v>
          </cell>
          <cell r="H145">
            <v>717</v>
          </cell>
          <cell r="I145">
            <v>1064.2999999999888</v>
          </cell>
          <cell r="J145">
            <v>724.5</v>
          </cell>
        </row>
        <row r="146">
          <cell r="G146">
            <v>1064.2999999999888</v>
          </cell>
          <cell r="H146">
            <v>724.5</v>
          </cell>
          <cell r="I146">
            <v>1064.3999999999887</v>
          </cell>
          <cell r="J146">
            <v>732</v>
          </cell>
        </row>
        <row r="147">
          <cell r="G147">
            <v>1064.3999999999887</v>
          </cell>
          <cell r="H147">
            <v>732</v>
          </cell>
          <cell r="I147">
            <v>1064.4999999999886</v>
          </cell>
          <cell r="J147">
            <v>739.5</v>
          </cell>
        </row>
        <row r="148">
          <cell r="G148">
            <v>1064.4999999999886</v>
          </cell>
          <cell r="H148">
            <v>739.5</v>
          </cell>
          <cell r="I148">
            <v>1064.5999999999885</v>
          </cell>
          <cell r="J148">
            <v>747</v>
          </cell>
        </row>
        <row r="149">
          <cell r="G149">
            <v>1064.5999999999885</v>
          </cell>
          <cell r="H149">
            <v>747</v>
          </cell>
          <cell r="I149">
            <v>1064.6999999999884</v>
          </cell>
          <cell r="J149">
            <v>754.5</v>
          </cell>
        </row>
        <row r="150">
          <cell r="G150">
            <v>1064.6999999999884</v>
          </cell>
          <cell r="H150">
            <v>754.5</v>
          </cell>
          <cell r="I150">
            <v>1064.7999999999884</v>
          </cell>
          <cell r="J150">
            <v>762</v>
          </cell>
        </row>
        <row r="151">
          <cell r="G151">
            <v>1064.7999999999884</v>
          </cell>
          <cell r="H151">
            <v>762</v>
          </cell>
          <cell r="I151">
            <v>1064.8999999999883</v>
          </cell>
          <cell r="J151">
            <v>769.5</v>
          </cell>
        </row>
        <row r="152">
          <cell r="G152">
            <v>1064.8999999999883</v>
          </cell>
          <cell r="H152">
            <v>769.5</v>
          </cell>
          <cell r="I152">
            <v>1064.9999999999882</v>
          </cell>
          <cell r="J152">
            <v>777</v>
          </cell>
        </row>
        <row r="153">
          <cell r="G153">
            <v>1064.9999999999882</v>
          </cell>
          <cell r="H153">
            <v>777</v>
          </cell>
          <cell r="I153">
            <v>1065.0999999999881</v>
          </cell>
          <cell r="J153">
            <v>785</v>
          </cell>
        </row>
        <row r="154">
          <cell r="G154">
            <v>1065.0999999999881</v>
          </cell>
          <cell r="H154">
            <v>785</v>
          </cell>
          <cell r="I154">
            <v>1065.199999999988</v>
          </cell>
          <cell r="J154">
            <v>793</v>
          </cell>
        </row>
        <row r="155">
          <cell r="G155">
            <v>1065.199999999988</v>
          </cell>
          <cell r="H155">
            <v>793</v>
          </cell>
          <cell r="I155">
            <v>1065.2999999999879</v>
          </cell>
          <cell r="J155">
            <v>801</v>
          </cell>
        </row>
        <row r="156">
          <cell r="G156">
            <v>1065.2999999999879</v>
          </cell>
          <cell r="H156">
            <v>801</v>
          </cell>
          <cell r="I156">
            <v>1065.3999999999878</v>
          </cell>
          <cell r="J156">
            <v>809</v>
          </cell>
        </row>
        <row r="157">
          <cell r="G157">
            <v>1065.3999999999878</v>
          </cell>
          <cell r="H157">
            <v>809</v>
          </cell>
          <cell r="I157">
            <v>1065.4999999999877</v>
          </cell>
          <cell r="J157">
            <v>817</v>
          </cell>
        </row>
        <row r="158">
          <cell r="G158">
            <v>1065.4999999999877</v>
          </cell>
          <cell r="H158">
            <v>817</v>
          </cell>
          <cell r="I158">
            <v>1065.5999999999876</v>
          </cell>
          <cell r="J158">
            <v>825</v>
          </cell>
        </row>
        <row r="159">
          <cell r="G159">
            <v>1065.5999999999876</v>
          </cell>
          <cell r="H159">
            <v>825</v>
          </cell>
          <cell r="I159">
            <v>1065.6999999999875</v>
          </cell>
          <cell r="J159">
            <v>833</v>
          </cell>
        </row>
        <row r="160">
          <cell r="G160">
            <v>1065.6999999999875</v>
          </cell>
          <cell r="H160">
            <v>833</v>
          </cell>
          <cell r="I160">
            <v>1065.7999999999874</v>
          </cell>
          <cell r="J160">
            <v>841</v>
          </cell>
        </row>
        <row r="161">
          <cell r="G161">
            <v>1065.7999999999874</v>
          </cell>
          <cell r="H161">
            <v>841</v>
          </cell>
          <cell r="I161">
            <v>1065.8999999999874</v>
          </cell>
          <cell r="J161">
            <v>849</v>
          </cell>
        </row>
        <row r="162">
          <cell r="G162">
            <v>1065.8999999999874</v>
          </cell>
          <cell r="H162">
            <v>849</v>
          </cell>
          <cell r="I162">
            <v>1065.9999999999873</v>
          </cell>
          <cell r="J162">
            <v>857</v>
          </cell>
        </row>
        <row r="163">
          <cell r="G163">
            <v>1065.9999999999873</v>
          </cell>
          <cell r="H163">
            <v>857</v>
          </cell>
          <cell r="I163">
            <v>1066.0999999999872</v>
          </cell>
          <cell r="J163">
            <v>865.4</v>
          </cell>
        </row>
        <row r="164">
          <cell r="G164">
            <v>1066.0999999999872</v>
          </cell>
          <cell r="H164">
            <v>865.4</v>
          </cell>
          <cell r="I164">
            <v>1066.1999999999871</v>
          </cell>
          <cell r="J164">
            <v>873.8</v>
          </cell>
        </row>
        <row r="165">
          <cell r="G165">
            <v>1066.1999999999871</v>
          </cell>
          <cell r="H165">
            <v>873.8</v>
          </cell>
          <cell r="I165">
            <v>1066.299999999987</v>
          </cell>
          <cell r="J165">
            <v>882.2</v>
          </cell>
        </row>
        <row r="166">
          <cell r="G166">
            <v>1066.299999999987</v>
          </cell>
          <cell r="H166">
            <v>882.2</v>
          </cell>
          <cell r="I166">
            <v>1066.3999999999869</v>
          </cell>
          <cell r="J166">
            <v>890.6</v>
          </cell>
        </row>
        <row r="167">
          <cell r="G167">
            <v>1066.3999999999869</v>
          </cell>
          <cell r="H167">
            <v>890.6</v>
          </cell>
          <cell r="I167">
            <v>1066.4999999999868</v>
          </cell>
          <cell r="J167">
            <v>899</v>
          </cell>
        </row>
        <row r="168">
          <cell r="G168">
            <v>1066.4999999999868</v>
          </cell>
          <cell r="H168">
            <v>899</v>
          </cell>
          <cell r="I168">
            <v>1066.5999999999867</v>
          </cell>
          <cell r="J168">
            <v>907.4</v>
          </cell>
        </row>
        <row r="169">
          <cell r="G169">
            <v>1066.5999999999867</v>
          </cell>
          <cell r="H169">
            <v>907.4</v>
          </cell>
          <cell r="I169">
            <v>1066.6999999999866</v>
          </cell>
          <cell r="J169">
            <v>915.8</v>
          </cell>
        </row>
        <row r="170">
          <cell r="G170">
            <v>1066.6999999999866</v>
          </cell>
          <cell r="H170">
            <v>915.8</v>
          </cell>
          <cell r="I170">
            <v>1066.7999999999865</v>
          </cell>
          <cell r="J170">
            <v>924.2</v>
          </cell>
        </row>
        <row r="171">
          <cell r="G171">
            <v>1066.7999999999865</v>
          </cell>
          <cell r="H171">
            <v>924.2</v>
          </cell>
          <cell r="I171">
            <v>1066.8999999999864</v>
          </cell>
          <cell r="J171">
            <v>932.6</v>
          </cell>
        </row>
        <row r="172">
          <cell r="G172">
            <v>1066.8999999999864</v>
          </cell>
          <cell r="H172">
            <v>932.6</v>
          </cell>
          <cell r="I172">
            <v>1066.9999999999864</v>
          </cell>
          <cell r="J172">
            <v>941</v>
          </cell>
        </row>
        <row r="173">
          <cell r="G173">
            <v>1066.9999999999864</v>
          </cell>
          <cell r="H173">
            <v>941</v>
          </cell>
          <cell r="I173">
            <v>1067.0999999999863</v>
          </cell>
          <cell r="J173">
            <v>949.8</v>
          </cell>
        </row>
        <row r="174">
          <cell r="G174">
            <v>1067.0999999999863</v>
          </cell>
          <cell r="H174">
            <v>949.8</v>
          </cell>
          <cell r="I174">
            <v>1067.1999999999862</v>
          </cell>
          <cell r="J174">
            <v>958.6</v>
          </cell>
        </row>
        <row r="175">
          <cell r="G175">
            <v>1067.1999999999862</v>
          </cell>
          <cell r="H175">
            <v>958.6</v>
          </cell>
          <cell r="I175">
            <v>1067.2999999999861</v>
          </cell>
          <cell r="J175">
            <v>967.4</v>
          </cell>
        </row>
        <row r="176">
          <cell r="G176">
            <v>1067.2999999999861</v>
          </cell>
          <cell r="H176">
            <v>967.4</v>
          </cell>
          <cell r="I176">
            <v>1067.399999999986</v>
          </cell>
          <cell r="J176">
            <v>976.2</v>
          </cell>
        </row>
        <row r="177">
          <cell r="G177">
            <v>1067.399999999986</v>
          </cell>
          <cell r="H177">
            <v>976.2</v>
          </cell>
          <cell r="I177">
            <v>1067.4999999999859</v>
          </cell>
          <cell r="J177">
            <v>985</v>
          </cell>
        </row>
        <row r="178">
          <cell r="G178">
            <v>1067.4999999999859</v>
          </cell>
          <cell r="H178">
            <v>985</v>
          </cell>
          <cell r="I178">
            <v>1067.5999999999858</v>
          </cell>
          <cell r="J178">
            <v>993.8</v>
          </cell>
        </row>
        <row r="179">
          <cell r="G179">
            <v>1067.5999999999858</v>
          </cell>
          <cell r="H179">
            <v>993.8</v>
          </cell>
          <cell r="I179">
            <v>1067.6999999999857</v>
          </cell>
          <cell r="J179">
            <v>1002.6</v>
          </cell>
        </row>
        <row r="180">
          <cell r="G180">
            <v>1067.6999999999857</v>
          </cell>
          <cell r="H180">
            <v>1002.6</v>
          </cell>
          <cell r="I180">
            <v>1067.7999999999856</v>
          </cell>
          <cell r="J180">
            <v>1011.4</v>
          </cell>
        </row>
        <row r="181">
          <cell r="G181">
            <v>1067.7999999999856</v>
          </cell>
          <cell r="H181">
            <v>1011.4</v>
          </cell>
          <cell r="I181">
            <v>1067.8999999999855</v>
          </cell>
          <cell r="J181">
            <v>1020.2</v>
          </cell>
        </row>
        <row r="182">
          <cell r="G182">
            <v>1067.8999999999855</v>
          </cell>
          <cell r="H182">
            <v>1020.2</v>
          </cell>
          <cell r="I182">
            <v>1067.9999999999854</v>
          </cell>
          <cell r="J182">
            <v>1029</v>
          </cell>
        </row>
        <row r="183">
          <cell r="G183">
            <v>1067.9999999999854</v>
          </cell>
          <cell r="H183">
            <v>1029</v>
          </cell>
          <cell r="I183">
            <v>1068.0999999999854</v>
          </cell>
          <cell r="J183">
            <v>1038.3</v>
          </cell>
        </row>
        <row r="184">
          <cell r="G184">
            <v>1068.0999999999854</v>
          </cell>
          <cell r="H184">
            <v>1038.3</v>
          </cell>
          <cell r="I184">
            <v>1068.1999999999853</v>
          </cell>
          <cell r="J184">
            <v>1047.5999999999999</v>
          </cell>
        </row>
        <row r="185">
          <cell r="G185">
            <v>1068.1999999999853</v>
          </cell>
          <cell r="H185">
            <v>1047.5999999999999</v>
          </cell>
          <cell r="I185">
            <v>1068.2999999999852</v>
          </cell>
          <cell r="J185">
            <v>1056.9000000000001</v>
          </cell>
        </row>
        <row r="186">
          <cell r="G186">
            <v>1068.2999999999852</v>
          </cell>
          <cell r="H186">
            <v>1056.9000000000001</v>
          </cell>
          <cell r="I186">
            <v>1068.3999999999851</v>
          </cell>
          <cell r="J186">
            <v>1066.2</v>
          </cell>
        </row>
        <row r="187">
          <cell r="G187">
            <v>1068.3999999999851</v>
          </cell>
          <cell r="H187">
            <v>1066.2</v>
          </cell>
          <cell r="I187">
            <v>1068.499999999985</v>
          </cell>
          <cell r="J187">
            <v>1075.5</v>
          </cell>
        </row>
        <row r="188">
          <cell r="G188">
            <v>1068.499999999985</v>
          </cell>
          <cell r="H188">
            <v>1075.5</v>
          </cell>
          <cell r="I188">
            <v>1068.5999999999849</v>
          </cell>
          <cell r="J188">
            <v>1084.8</v>
          </cell>
        </row>
        <row r="189">
          <cell r="G189">
            <v>1068.5999999999849</v>
          </cell>
          <cell r="H189">
            <v>1084.8</v>
          </cell>
          <cell r="I189">
            <v>1068.6999999999848</v>
          </cell>
          <cell r="J189">
            <v>1094.0999999999999</v>
          </cell>
        </row>
        <row r="190">
          <cell r="G190">
            <v>1068.6999999999848</v>
          </cell>
          <cell r="H190">
            <v>1094.0999999999999</v>
          </cell>
          <cell r="I190">
            <v>1068.7999999999847</v>
          </cell>
          <cell r="J190">
            <v>1103.4000000000001</v>
          </cell>
        </row>
        <row r="191">
          <cell r="G191">
            <v>1068.7999999999847</v>
          </cell>
          <cell r="H191">
            <v>1103.4000000000001</v>
          </cell>
          <cell r="I191">
            <v>1068.8999999999846</v>
          </cell>
          <cell r="J191">
            <v>1112.7</v>
          </cell>
        </row>
        <row r="192">
          <cell r="G192">
            <v>1068.8999999999846</v>
          </cell>
          <cell r="H192">
            <v>1112.7</v>
          </cell>
          <cell r="I192">
            <v>1068.9999999999845</v>
          </cell>
          <cell r="J192">
            <v>1122</v>
          </cell>
        </row>
        <row r="193">
          <cell r="G193">
            <v>1068.9999999999845</v>
          </cell>
          <cell r="H193">
            <v>1122</v>
          </cell>
          <cell r="I193">
            <v>1069.0999999999844</v>
          </cell>
          <cell r="J193">
            <v>1131.8</v>
          </cell>
        </row>
        <row r="194">
          <cell r="G194">
            <v>1069.0999999999844</v>
          </cell>
          <cell r="H194">
            <v>1131.8</v>
          </cell>
          <cell r="I194">
            <v>1069.1999999999844</v>
          </cell>
          <cell r="J194">
            <v>1141.5999999999999</v>
          </cell>
        </row>
        <row r="195">
          <cell r="G195">
            <v>1069.1999999999844</v>
          </cell>
          <cell r="H195">
            <v>1141.5999999999999</v>
          </cell>
          <cell r="I195">
            <v>1069.2999999999843</v>
          </cell>
          <cell r="J195">
            <v>1151.4000000000001</v>
          </cell>
        </row>
        <row r="196">
          <cell r="G196">
            <v>1069.2999999999843</v>
          </cell>
          <cell r="H196">
            <v>1151.4000000000001</v>
          </cell>
          <cell r="I196">
            <v>1069.3999999999842</v>
          </cell>
          <cell r="J196">
            <v>1161.2</v>
          </cell>
        </row>
        <row r="197">
          <cell r="G197">
            <v>1069.3999999999842</v>
          </cell>
          <cell r="H197">
            <v>1161.2</v>
          </cell>
          <cell r="I197">
            <v>1069.4999999999841</v>
          </cell>
          <cell r="J197">
            <v>1171</v>
          </cell>
        </row>
        <row r="198">
          <cell r="G198">
            <v>1069.4999999999841</v>
          </cell>
          <cell r="H198">
            <v>1171</v>
          </cell>
          <cell r="I198">
            <v>1069.599999999984</v>
          </cell>
          <cell r="J198">
            <v>1180.8</v>
          </cell>
        </row>
        <row r="199">
          <cell r="G199">
            <v>1069.599999999984</v>
          </cell>
          <cell r="H199">
            <v>1180.8</v>
          </cell>
          <cell r="I199">
            <v>1069.6999999999839</v>
          </cell>
          <cell r="J199">
            <v>1190.5999999999999</v>
          </cell>
        </row>
        <row r="200">
          <cell r="G200">
            <v>1069.6999999999839</v>
          </cell>
          <cell r="H200">
            <v>1190.5999999999999</v>
          </cell>
          <cell r="I200">
            <v>1069.7999999999838</v>
          </cell>
          <cell r="J200">
            <v>1200.4000000000001</v>
          </cell>
        </row>
        <row r="201">
          <cell r="G201">
            <v>1069.7999999999838</v>
          </cell>
          <cell r="H201">
            <v>1200.4000000000001</v>
          </cell>
          <cell r="I201">
            <v>1069.8999999999837</v>
          </cell>
          <cell r="J201">
            <v>1210.2</v>
          </cell>
        </row>
        <row r="202">
          <cell r="G202">
            <v>1069.8999999999837</v>
          </cell>
          <cell r="H202">
            <v>1210.2</v>
          </cell>
          <cell r="I202">
            <v>1069.9999999999836</v>
          </cell>
          <cell r="J202">
            <v>1220</v>
          </cell>
        </row>
        <row r="203">
          <cell r="G203">
            <v>1069.9999999999836</v>
          </cell>
          <cell r="H203">
            <v>1220</v>
          </cell>
          <cell r="I203">
            <v>1070.0999999999835</v>
          </cell>
          <cell r="J203">
            <v>1230.2</v>
          </cell>
        </row>
        <row r="204">
          <cell r="G204">
            <v>1070.0999999999835</v>
          </cell>
          <cell r="H204">
            <v>1230.2</v>
          </cell>
          <cell r="I204">
            <v>1070.1999999999834</v>
          </cell>
          <cell r="J204">
            <v>1240.4000000000001</v>
          </cell>
        </row>
        <row r="205">
          <cell r="G205">
            <v>1070.1999999999834</v>
          </cell>
          <cell r="H205">
            <v>1240.4000000000001</v>
          </cell>
          <cell r="I205">
            <v>1070.2999999999834</v>
          </cell>
          <cell r="J205">
            <v>1250.5999999999999</v>
          </cell>
        </row>
        <row r="206">
          <cell r="G206">
            <v>1070.2999999999834</v>
          </cell>
          <cell r="H206">
            <v>1250.5999999999999</v>
          </cell>
          <cell r="I206">
            <v>1070.3999999999833</v>
          </cell>
          <cell r="J206">
            <v>1260.8</v>
          </cell>
        </row>
        <row r="207">
          <cell r="G207">
            <v>1070.3999999999833</v>
          </cell>
          <cell r="H207">
            <v>1260.8</v>
          </cell>
          <cell r="I207">
            <v>1070.4999999999832</v>
          </cell>
          <cell r="J207">
            <v>1271</v>
          </cell>
        </row>
        <row r="208">
          <cell r="G208">
            <v>1070.4999999999832</v>
          </cell>
          <cell r="H208">
            <v>1271</v>
          </cell>
          <cell r="I208">
            <v>1070.5999999999831</v>
          </cell>
          <cell r="J208">
            <v>1281.2</v>
          </cell>
        </row>
        <row r="209">
          <cell r="G209">
            <v>1070.5999999999831</v>
          </cell>
          <cell r="H209">
            <v>1281.2</v>
          </cell>
          <cell r="I209">
            <v>1070.699999999983</v>
          </cell>
          <cell r="J209">
            <v>1291.4000000000001</v>
          </cell>
        </row>
        <row r="210">
          <cell r="G210">
            <v>1070.699999999983</v>
          </cell>
          <cell r="H210">
            <v>1291.4000000000001</v>
          </cell>
          <cell r="I210">
            <v>1070.7999999999829</v>
          </cell>
          <cell r="J210">
            <v>1301.5999999999999</v>
          </cell>
        </row>
        <row r="211">
          <cell r="G211">
            <v>1070.7999999999829</v>
          </cell>
          <cell r="H211">
            <v>1301.5999999999999</v>
          </cell>
          <cell r="I211">
            <v>1070.8999999999828</v>
          </cell>
          <cell r="J211">
            <v>1311.8</v>
          </cell>
        </row>
        <row r="212">
          <cell r="G212">
            <v>1070.8999999999828</v>
          </cell>
          <cell r="H212">
            <v>1311.8</v>
          </cell>
          <cell r="I212">
            <v>1070.9999999999827</v>
          </cell>
          <cell r="J212">
            <v>1322</v>
          </cell>
        </row>
        <row r="213">
          <cell r="G213">
            <v>1070.9999999999827</v>
          </cell>
          <cell r="H213">
            <v>1322</v>
          </cell>
          <cell r="I213">
            <v>1071.0999999999826</v>
          </cell>
          <cell r="J213">
            <v>1332.6</v>
          </cell>
        </row>
        <row r="214">
          <cell r="G214">
            <v>1071.0999999999826</v>
          </cell>
          <cell r="H214">
            <v>1332.6</v>
          </cell>
          <cell r="I214">
            <v>1071.1999999999825</v>
          </cell>
          <cell r="J214">
            <v>1343.2</v>
          </cell>
        </row>
        <row r="215">
          <cell r="G215">
            <v>1071.1999999999825</v>
          </cell>
          <cell r="H215">
            <v>1343.2</v>
          </cell>
          <cell r="I215">
            <v>1071.2999999999824</v>
          </cell>
          <cell r="J215">
            <v>1353.8</v>
          </cell>
        </row>
        <row r="216">
          <cell r="G216">
            <v>1071.2999999999824</v>
          </cell>
          <cell r="H216">
            <v>1353.8</v>
          </cell>
          <cell r="I216">
            <v>1071.3999999999824</v>
          </cell>
          <cell r="J216">
            <v>1364.4</v>
          </cell>
        </row>
        <row r="217">
          <cell r="G217">
            <v>1071.3999999999824</v>
          </cell>
          <cell r="H217">
            <v>1364.4</v>
          </cell>
          <cell r="I217">
            <v>1071.4999999999823</v>
          </cell>
          <cell r="J217">
            <v>1375</v>
          </cell>
        </row>
        <row r="218">
          <cell r="G218">
            <v>1071.4999999999823</v>
          </cell>
          <cell r="H218">
            <v>1375</v>
          </cell>
          <cell r="I218">
            <v>1071.5999999999822</v>
          </cell>
          <cell r="J218">
            <v>1385.6</v>
          </cell>
        </row>
        <row r="219">
          <cell r="G219">
            <v>1071.5999999999822</v>
          </cell>
          <cell r="H219">
            <v>1385.6</v>
          </cell>
          <cell r="I219">
            <v>1071.6999999999821</v>
          </cell>
          <cell r="J219">
            <v>1396.2</v>
          </cell>
        </row>
        <row r="220">
          <cell r="G220">
            <v>1071.6999999999821</v>
          </cell>
          <cell r="H220">
            <v>1396.2</v>
          </cell>
          <cell r="I220">
            <v>1071.799999999982</v>
          </cell>
          <cell r="J220">
            <v>1406.8</v>
          </cell>
        </row>
        <row r="221">
          <cell r="G221">
            <v>1071.799999999982</v>
          </cell>
          <cell r="H221">
            <v>1406.8</v>
          </cell>
          <cell r="I221">
            <v>1071.8999999999819</v>
          </cell>
          <cell r="J221">
            <v>1417.4</v>
          </cell>
        </row>
        <row r="222">
          <cell r="G222">
            <v>1071.8999999999819</v>
          </cell>
          <cell r="H222">
            <v>1417.4</v>
          </cell>
          <cell r="I222">
            <v>1071.9999999999818</v>
          </cell>
          <cell r="J222">
            <v>1428</v>
          </cell>
        </row>
        <row r="223">
          <cell r="G223">
            <v>1071.9999999999818</v>
          </cell>
          <cell r="H223">
            <v>1428</v>
          </cell>
          <cell r="I223">
            <v>1072.0999999999817</v>
          </cell>
          <cell r="J223">
            <v>1438.9</v>
          </cell>
        </row>
        <row r="224">
          <cell r="G224">
            <v>1072.0999999999817</v>
          </cell>
          <cell r="H224">
            <v>1438.9</v>
          </cell>
          <cell r="I224">
            <v>1072.1999999999816</v>
          </cell>
          <cell r="J224">
            <v>1449.8</v>
          </cell>
        </row>
        <row r="225">
          <cell r="G225">
            <v>1072.1999999999816</v>
          </cell>
          <cell r="H225">
            <v>1449.8</v>
          </cell>
          <cell r="I225">
            <v>1072.2999999999815</v>
          </cell>
          <cell r="J225">
            <v>1460.7</v>
          </cell>
        </row>
        <row r="226">
          <cell r="G226">
            <v>1072.2999999999815</v>
          </cell>
          <cell r="H226">
            <v>1460.7</v>
          </cell>
          <cell r="I226">
            <v>1072.3999999999814</v>
          </cell>
          <cell r="J226">
            <v>1471.6</v>
          </cell>
        </row>
        <row r="227">
          <cell r="G227">
            <v>1072.3999999999814</v>
          </cell>
          <cell r="H227">
            <v>1471.6</v>
          </cell>
          <cell r="I227">
            <v>1072.4999999999814</v>
          </cell>
          <cell r="J227">
            <v>1482.5</v>
          </cell>
        </row>
        <row r="228">
          <cell r="G228">
            <v>1072.4999999999814</v>
          </cell>
          <cell r="H228">
            <v>1482.5</v>
          </cell>
          <cell r="I228">
            <v>1072.5999999999813</v>
          </cell>
          <cell r="J228">
            <v>1493.4</v>
          </cell>
        </row>
        <row r="229">
          <cell r="G229">
            <v>1072.5999999999813</v>
          </cell>
          <cell r="H229">
            <v>1493.4</v>
          </cell>
          <cell r="I229">
            <v>1072.6999999999812</v>
          </cell>
          <cell r="J229">
            <v>1504.3</v>
          </cell>
        </row>
        <row r="230">
          <cell r="G230">
            <v>1072.6999999999812</v>
          </cell>
          <cell r="H230">
            <v>1504.3</v>
          </cell>
          <cell r="I230">
            <v>1072.7999999999811</v>
          </cell>
          <cell r="J230">
            <v>1515.2</v>
          </cell>
        </row>
        <row r="231">
          <cell r="G231">
            <v>1072.7999999999811</v>
          </cell>
          <cell r="H231">
            <v>1515.2</v>
          </cell>
          <cell r="I231">
            <v>1072.899999999981</v>
          </cell>
          <cell r="J231">
            <v>1526.1</v>
          </cell>
        </row>
        <row r="232">
          <cell r="G232">
            <v>1072.899999999981</v>
          </cell>
          <cell r="H232">
            <v>1526.1</v>
          </cell>
          <cell r="I232">
            <v>1072.9999999999809</v>
          </cell>
          <cell r="J232">
            <v>1537</v>
          </cell>
        </row>
        <row r="233">
          <cell r="G233">
            <v>1072.9999999999809</v>
          </cell>
          <cell r="H233">
            <v>1537</v>
          </cell>
          <cell r="I233">
            <v>1073.0999999999808</v>
          </cell>
          <cell r="J233">
            <v>1548.4</v>
          </cell>
        </row>
        <row r="234">
          <cell r="G234">
            <v>1073.0999999999808</v>
          </cell>
          <cell r="H234">
            <v>1548.4</v>
          </cell>
          <cell r="I234">
            <v>1073.1999999999807</v>
          </cell>
          <cell r="J234">
            <v>1559.8</v>
          </cell>
        </row>
        <row r="235">
          <cell r="G235">
            <v>1073.1999999999807</v>
          </cell>
          <cell r="H235">
            <v>1559.8</v>
          </cell>
          <cell r="I235">
            <v>1073.2999999999806</v>
          </cell>
          <cell r="J235">
            <v>1571.2</v>
          </cell>
        </row>
        <row r="236">
          <cell r="G236">
            <v>1073.2999999999806</v>
          </cell>
          <cell r="H236">
            <v>1571.2</v>
          </cell>
          <cell r="I236">
            <v>1073.3999999999805</v>
          </cell>
          <cell r="J236">
            <v>1582.6</v>
          </cell>
        </row>
        <row r="237">
          <cell r="G237">
            <v>1073.3999999999805</v>
          </cell>
          <cell r="H237">
            <v>1582.6</v>
          </cell>
          <cell r="I237">
            <v>1073.4999999999804</v>
          </cell>
          <cell r="J237">
            <v>1594</v>
          </cell>
        </row>
        <row r="238">
          <cell r="G238">
            <v>1073.4999999999804</v>
          </cell>
          <cell r="H238">
            <v>1594</v>
          </cell>
          <cell r="I238">
            <v>1073.5999999999804</v>
          </cell>
          <cell r="J238">
            <v>1605.4</v>
          </cell>
        </row>
        <row r="239">
          <cell r="G239">
            <v>1073.5999999999804</v>
          </cell>
          <cell r="H239">
            <v>1605.4</v>
          </cell>
          <cell r="I239">
            <v>1073.6999999999803</v>
          </cell>
          <cell r="J239">
            <v>1616.8</v>
          </cell>
        </row>
        <row r="240">
          <cell r="G240">
            <v>1073.6999999999803</v>
          </cell>
          <cell r="H240">
            <v>1616.8</v>
          </cell>
          <cell r="I240">
            <v>1073.7999999999802</v>
          </cell>
          <cell r="J240">
            <v>1628.2</v>
          </cell>
        </row>
        <row r="241">
          <cell r="G241">
            <v>1073.7999999999802</v>
          </cell>
          <cell r="H241">
            <v>1628.2</v>
          </cell>
          <cell r="I241">
            <v>1073.8999999999801</v>
          </cell>
          <cell r="J241">
            <v>1639.6</v>
          </cell>
        </row>
        <row r="242">
          <cell r="G242">
            <v>1073.8999999999801</v>
          </cell>
          <cell r="H242">
            <v>1639.6</v>
          </cell>
          <cell r="I242">
            <v>1073.99999999998</v>
          </cell>
          <cell r="J242">
            <v>1651</v>
          </cell>
        </row>
        <row r="243">
          <cell r="G243">
            <v>1073.99999999998</v>
          </cell>
          <cell r="H243">
            <v>1651</v>
          </cell>
          <cell r="I243">
            <v>1074.0999999999799</v>
          </cell>
          <cell r="J243">
            <v>1662.8</v>
          </cell>
        </row>
        <row r="244">
          <cell r="G244">
            <v>1074.0999999999799</v>
          </cell>
          <cell r="H244">
            <v>1662.8</v>
          </cell>
          <cell r="I244">
            <v>1074.1999999999798</v>
          </cell>
          <cell r="J244">
            <v>1674.6</v>
          </cell>
        </row>
        <row r="245">
          <cell r="G245">
            <v>1074.1999999999798</v>
          </cell>
          <cell r="H245">
            <v>1674.6</v>
          </cell>
          <cell r="I245">
            <v>1074.2999999999797</v>
          </cell>
          <cell r="J245">
            <v>1686.4</v>
          </cell>
        </row>
        <row r="246">
          <cell r="G246">
            <v>1074.2999999999797</v>
          </cell>
          <cell r="H246">
            <v>1686.4</v>
          </cell>
          <cell r="I246">
            <v>1074.3999999999796</v>
          </cell>
          <cell r="J246">
            <v>1698.2</v>
          </cell>
        </row>
        <row r="247">
          <cell r="G247">
            <v>1074.3999999999796</v>
          </cell>
          <cell r="H247">
            <v>1698.2</v>
          </cell>
          <cell r="I247">
            <v>1074.4999999999795</v>
          </cell>
          <cell r="J247">
            <v>1710</v>
          </cell>
        </row>
        <row r="248">
          <cell r="G248">
            <v>1074.4999999999795</v>
          </cell>
          <cell r="H248">
            <v>1710</v>
          </cell>
          <cell r="I248">
            <v>1074.5999999999794</v>
          </cell>
          <cell r="J248">
            <v>1721.8</v>
          </cell>
        </row>
        <row r="249">
          <cell r="G249">
            <v>1074.5999999999794</v>
          </cell>
          <cell r="H249">
            <v>1721.8</v>
          </cell>
          <cell r="I249">
            <v>1074.6999999999794</v>
          </cell>
          <cell r="J249">
            <v>1733.6</v>
          </cell>
        </row>
        <row r="250">
          <cell r="G250">
            <v>1074.6999999999794</v>
          </cell>
          <cell r="H250">
            <v>1733.6</v>
          </cell>
          <cell r="I250">
            <v>1074.7999999999793</v>
          </cell>
          <cell r="J250">
            <v>1745.4</v>
          </cell>
        </row>
        <row r="251">
          <cell r="G251">
            <v>1074.7999999999793</v>
          </cell>
          <cell r="H251">
            <v>1745.4</v>
          </cell>
          <cell r="I251">
            <v>1074.8999999999792</v>
          </cell>
          <cell r="J251">
            <v>1757.2</v>
          </cell>
        </row>
        <row r="252">
          <cell r="G252">
            <v>1074.8999999999792</v>
          </cell>
          <cell r="H252">
            <v>1757.2</v>
          </cell>
          <cell r="I252">
            <v>1074.9999999999791</v>
          </cell>
          <cell r="J252">
            <v>1769</v>
          </cell>
        </row>
        <row r="253">
          <cell r="G253">
            <v>1074.9999999999791</v>
          </cell>
          <cell r="H253">
            <v>1769</v>
          </cell>
          <cell r="I253">
            <v>1075.099999999979</v>
          </cell>
          <cell r="J253">
            <v>1781.2</v>
          </cell>
        </row>
        <row r="254">
          <cell r="G254">
            <v>1075.099999999979</v>
          </cell>
          <cell r="H254">
            <v>1781.2</v>
          </cell>
          <cell r="I254">
            <v>1075.1999999999789</v>
          </cell>
          <cell r="J254">
            <v>1793.4</v>
          </cell>
        </row>
        <row r="255">
          <cell r="G255">
            <v>1075.1999999999789</v>
          </cell>
          <cell r="H255">
            <v>1793.4</v>
          </cell>
          <cell r="I255">
            <v>1075.2999999999788</v>
          </cell>
          <cell r="J255">
            <v>1805.6</v>
          </cell>
        </row>
        <row r="256">
          <cell r="G256">
            <v>1075.2999999999788</v>
          </cell>
          <cell r="H256">
            <v>1805.6</v>
          </cell>
          <cell r="I256">
            <v>1075.3999999999787</v>
          </cell>
          <cell r="J256">
            <v>1817.8</v>
          </cell>
        </row>
        <row r="257">
          <cell r="G257">
            <v>1075.3999999999787</v>
          </cell>
          <cell r="H257">
            <v>1817.8</v>
          </cell>
          <cell r="I257">
            <v>1075.4999999999786</v>
          </cell>
          <cell r="J257">
            <v>1830</v>
          </cell>
        </row>
        <row r="258">
          <cell r="G258">
            <v>1075.4999999999786</v>
          </cell>
          <cell r="H258">
            <v>1830</v>
          </cell>
          <cell r="I258">
            <v>1075.5999999999785</v>
          </cell>
          <cell r="J258">
            <v>1842.2</v>
          </cell>
        </row>
        <row r="259">
          <cell r="G259">
            <v>1075.5999999999785</v>
          </cell>
          <cell r="H259">
            <v>1842.2</v>
          </cell>
          <cell r="I259">
            <v>1075.6999999999784</v>
          </cell>
          <cell r="J259">
            <v>1854.4</v>
          </cell>
        </row>
        <row r="260">
          <cell r="G260">
            <v>1075.6999999999784</v>
          </cell>
          <cell r="H260">
            <v>1854.4</v>
          </cell>
          <cell r="I260">
            <v>1075.7999999999784</v>
          </cell>
          <cell r="J260">
            <v>1866.6</v>
          </cell>
        </row>
        <row r="261">
          <cell r="G261">
            <v>1075.7999999999784</v>
          </cell>
          <cell r="H261">
            <v>1866.6</v>
          </cell>
          <cell r="I261">
            <v>1075.8999999999783</v>
          </cell>
          <cell r="J261">
            <v>1878.8</v>
          </cell>
        </row>
        <row r="262">
          <cell r="G262">
            <v>1075.8999999999783</v>
          </cell>
          <cell r="H262">
            <v>1878.8</v>
          </cell>
          <cell r="I262">
            <v>1075.9999999999782</v>
          </cell>
          <cell r="J262">
            <v>1891</v>
          </cell>
        </row>
        <row r="263">
          <cell r="G263">
            <v>1075.9999999999782</v>
          </cell>
          <cell r="H263">
            <v>1891</v>
          </cell>
          <cell r="I263">
            <v>1076.0999999999781</v>
          </cell>
          <cell r="J263">
            <v>1903.6</v>
          </cell>
        </row>
        <row r="264">
          <cell r="G264">
            <v>1076.0999999999781</v>
          </cell>
          <cell r="H264">
            <v>1903.6</v>
          </cell>
          <cell r="I264">
            <v>1076.199999999978</v>
          </cell>
          <cell r="J264">
            <v>1916.2</v>
          </cell>
        </row>
        <row r="265">
          <cell r="G265">
            <v>1076.199999999978</v>
          </cell>
          <cell r="H265">
            <v>1916.2</v>
          </cell>
          <cell r="I265">
            <v>1076.2999999999779</v>
          </cell>
          <cell r="J265">
            <v>1928.8</v>
          </cell>
        </row>
        <row r="266">
          <cell r="G266">
            <v>1076.2999999999779</v>
          </cell>
          <cell r="H266">
            <v>1928.8</v>
          </cell>
          <cell r="I266">
            <v>1076.3999999999778</v>
          </cell>
          <cell r="J266">
            <v>1941.4</v>
          </cell>
        </row>
        <row r="267">
          <cell r="G267">
            <v>1076.3999999999778</v>
          </cell>
          <cell r="H267">
            <v>1941.4</v>
          </cell>
          <cell r="I267">
            <v>1076.4999999999777</v>
          </cell>
          <cell r="J267">
            <v>1954</v>
          </cell>
        </row>
        <row r="268">
          <cell r="G268">
            <v>1076.4999999999777</v>
          </cell>
          <cell r="H268">
            <v>1954</v>
          </cell>
          <cell r="I268">
            <v>1076.5999999999776</v>
          </cell>
          <cell r="J268">
            <v>1966.6</v>
          </cell>
        </row>
        <row r="269">
          <cell r="G269">
            <v>1076.5999999999776</v>
          </cell>
          <cell r="H269">
            <v>1966.6</v>
          </cell>
          <cell r="I269">
            <v>1076.6999999999775</v>
          </cell>
          <cell r="J269">
            <v>1979.2</v>
          </cell>
        </row>
        <row r="270">
          <cell r="G270">
            <v>1076.6999999999775</v>
          </cell>
          <cell r="H270">
            <v>1979.2</v>
          </cell>
          <cell r="I270">
            <v>1076.7999999999774</v>
          </cell>
          <cell r="J270">
            <v>1991.8</v>
          </cell>
        </row>
        <row r="271">
          <cell r="G271">
            <v>1076.7999999999774</v>
          </cell>
          <cell r="H271">
            <v>1991.8</v>
          </cell>
          <cell r="I271">
            <v>1076.8999999999774</v>
          </cell>
          <cell r="J271">
            <v>2004.4</v>
          </cell>
        </row>
        <row r="272">
          <cell r="G272">
            <v>1076.8999999999774</v>
          </cell>
          <cell r="H272">
            <v>2004.4</v>
          </cell>
          <cell r="I272">
            <v>1076.9999999999773</v>
          </cell>
          <cell r="J272">
            <v>2017</v>
          </cell>
        </row>
        <row r="273">
          <cell r="G273">
            <v>1076.9999999999773</v>
          </cell>
          <cell r="H273">
            <v>2017</v>
          </cell>
          <cell r="I273">
            <v>1077.0999999999772</v>
          </cell>
          <cell r="J273">
            <v>2030</v>
          </cell>
        </row>
        <row r="274">
          <cell r="G274">
            <v>1077.0999999999772</v>
          </cell>
          <cell r="H274">
            <v>2030</v>
          </cell>
          <cell r="I274">
            <v>1077.1999999999771</v>
          </cell>
          <cell r="J274">
            <v>2043</v>
          </cell>
        </row>
        <row r="275">
          <cell r="G275">
            <v>1077.1999999999771</v>
          </cell>
          <cell r="H275">
            <v>2043</v>
          </cell>
          <cell r="I275">
            <v>1077.299999999977</v>
          </cell>
          <cell r="J275">
            <v>2056</v>
          </cell>
        </row>
        <row r="276">
          <cell r="G276">
            <v>1077.299999999977</v>
          </cell>
          <cell r="H276">
            <v>2056</v>
          </cell>
          <cell r="I276">
            <v>1077.3999999999769</v>
          </cell>
          <cell r="J276">
            <v>2069</v>
          </cell>
        </row>
        <row r="277">
          <cell r="G277">
            <v>1077.3999999999769</v>
          </cell>
          <cell r="H277">
            <v>2069</v>
          </cell>
          <cell r="I277">
            <v>1077.4999999999768</v>
          </cell>
          <cell r="J277">
            <v>2082</v>
          </cell>
        </row>
        <row r="278">
          <cell r="G278">
            <v>1077.4999999999768</v>
          </cell>
          <cell r="H278">
            <v>2082</v>
          </cell>
          <cell r="I278">
            <v>1077.5999999999767</v>
          </cell>
          <cell r="J278">
            <v>2095</v>
          </cell>
        </row>
        <row r="279">
          <cell r="G279">
            <v>1077.5999999999767</v>
          </cell>
          <cell r="H279">
            <v>2095</v>
          </cell>
          <cell r="I279">
            <v>1077.6999999999766</v>
          </cell>
          <cell r="J279">
            <v>2108</v>
          </cell>
        </row>
        <row r="280">
          <cell r="G280">
            <v>1077.6999999999766</v>
          </cell>
          <cell r="H280">
            <v>2108</v>
          </cell>
          <cell r="I280">
            <v>1077.7999999999765</v>
          </cell>
          <cell r="J280">
            <v>2121</v>
          </cell>
        </row>
        <row r="281">
          <cell r="G281">
            <v>1077.7999999999765</v>
          </cell>
          <cell r="H281">
            <v>2121</v>
          </cell>
          <cell r="I281">
            <v>1077.8999999999764</v>
          </cell>
          <cell r="J281">
            <v>2134</v>
          </cell>
        </row>
        <row r="282">
          <cell r="G282">
            <v>1077.8999999999764</v>
          </cell>
          <cell r="H282">
            <v>2134</v>
          </cell>
          <cell r="I282">
            <v>1077.9999999999764</v>
          </cell>
          <cell r="J282">
            <v>2147</v>
          </cell>
        </row>
        <row r="283">
          <cell r="G283">
            <v>1077.9999999999764</v>
          </cell>
          <cell r="H283">
            <v>2147</v>
          </cell>
          <cell r="I283">
            <v>1078.0999999999763</v>
          </cell>
          <cell r="J283">
            <v>2160.5</v>
          </cell>
        </row>
        <row r="284">
          <cell r="G284">
            <v>1078.0999999999763</v>
          </cell>
          <cell r="H284">
            <v>2160.5</v>
          </cell>
          <cell r="I284">
            <v>1078.1999999999762</v>
          </cell>
          <cell r="J284">
            <v>2174</v>
          </cell>
        </row>
        <row r="285">
          <cell r="G285">
            <v>1078.1999999999762</v>
          </cell>
          <cell r="H285">
            <v>2174</v>
          </cell>
          <cell r="I285">
            <v>1078.2999999999761</v>
          </cell>
          <cell r="J285">
            <v>2187.5</v>
          </cell>
        </row>
        <row r="286">
          <cell r="G286">
            <v>1078.2999999999761</v>
          </cell>
          <cell r="H286">
            <v>2187.5</v>
          </cell>
          <cell r="I286">
            <v>1078.399999999976</v>
          </cell>
          <cell r="J286">
            <v>2201</v>
          </cell>
        </row>
        <row r="287">
          <cell r="G287">
            <v>1078.399999999976</v>
          </cell>
          <cell r="H287">
            <v>2201</v>
          </cell>
          <cell r="I287">
            <v>1078.4999999999759</v>
          </cell>
          <cell r="J287">
            <v>2214.5</v>
          </cell>
        </row>
        <row r="288">
          <cell r="G288">
            <v>1078.4999999999759</v>
          </cell>
          <cell r="H288">
            <v>2214.5</v>
          </cell>
          <cell r="I288">
            <v>1078.5999999999758</v>
          </cell>
          <cell r="J288">
            <v>2228</v>
          </cell>
        </row>
        <row r="289">
          <cell r="G289">
            <v>1078.5999999999758</v>
          </cell>
          <cell r="H289">
            <v>2228</v>
          </cell>
          <cell r="I289">
            <v>1078.6999999999757</v>
          </cell>
          <cell r="J289">
            <v>2241.5</v>
          </cell>
        </row>
        <row r="290">
          <cell r="G290">
            <v>1078.6999999999757</v>
          </cell>
          <cell r="H290">
            <v>2241.5</v>
          </cell>
          <cell r="I290">
            <v>1078.7999999999756</v>
          </cell>
          <cell r="J290">
            <v>2255</v>
          </cell>
        </row>
        <row r="291">
          <cell r="G291">
            <v>1078.7999999999756</v>
          </cell>
          <cell r="H291">
            <v>2255</v>
          </cell>
          <cell r="I291">
            <v>1078.8999999999755</v>
          </cell>
          <cell r="J291">
            <v>2268.5</v>
          </cell>
        </row>
        <row r="292">
          <cell r="G292">
            <v>1078.8999999999755</v>
          </cell>
          <cell r="H292">
            <v>2268.5</v>
          </cell>
          <cell r="I292">
            <v>1078.9999999999754</v>
          </cell>
          <cell r="J292">
            <v>2282</v>
          </cell>
        </row>
        <row r="293">
          <cell r="G293">
            <v>1078.9999999999754</v>
          </cell>
          <cell r="H293">
            <v>2282</v>
          </cell>
          <cell r="I293">
            <v>1079.0999999999754</v>
          </cell>
          <cell r="J293">
            <v>2296</v>
          </cell>
        </row>
        <row r="294">
          <cell r="G294">
            <v>1079.0999999999754</v>
          </cell>
          <cell r="H294">
            <v>2296</v>
          </cell>
          <cell r="I294">
            <v>1079.1999999999753</v>
          </cell>
          <cell r="J294">
            <v>2310</v>
          </cell>
        </row>
        <row r="295">
          <cell r="G295">
            <v>1079.1999999999753</v>
          </cell>
          <cell r="H295">
            <v>2310</v>
          </cell>
          <cell r="I295">
            <v>1079.2999999999752</v>
          </cell>
          <cell r="J295">
            <v>2324</v>
          </cell>
        </row>
        <row r="296">
          <cell r="G296">
            <v>1079.2999999999752</v>
          </cell>
          <cell r="H296">
            <v>2324</v>
          </cell>
          <cell r="I296">
            <v>1079.3999999999751</v>
          </cell>
          <cell r="J296">
            <v>2338</v>
          </cell>
        </row>
        <row r="297">
          <cell r="G297">
            <v>1079.3999999999751</v>
          </cell>
          <cell r="H297">
            <v>2338</v>
          </cell>
          <cell r="I297">
            <v>1079.499999999975</v>
          </cell>
          <cell r="J297">
            <v>2352</v>
          </cell>
        </row>
        <row r="298">
          <cell r="G298">
            <v>1079.499999999975</v>
          </cell>
          <cell r="H298">
            <v>2352</v>
          </cell>
          <cell r="I298">
            <v>1079.5999999999749</v>
          </cell>
          <cell r="J298">
            <v>2366</v>
          </cell>
        </row>
        <row r="299">
          <cell r="G299">
            <v>1079.5999999999749</v>
          </cell>
          <cell r="H299">
            <v>2366</v>
          </cell>
          <cell r="I299">
            <v>1079.6999999999748</v>
          </cell>
          <cell r="J299">
            <v>2380</v>
          </cell>
        </row>
        <row r="300">
          <cell r="G300">
            <v>1079.6999999999748</v>
          </cell>
          <cell r="H300">
            <v>2380</v>
          </cell>
          <cell r="I300">
            <v>1079.7999999999747</v>
          </cell>
          <cell r="J300">
            <v>2394</v>
          </cell>
        </row>
        <row r="301">
          <cell r="G301">
            <v>1079.7999999999747</v>
          </cell>
          <cell r="H301">
            <v>2394</v>
          </cell>
          <cell r="I301">
            <v>1079.8999999999746</v>
          </cell>
          <cell r="J301">
            <v>2408</v>
          </cell>
        </row>
        <row r="302">
          <cell r="G302">
            <v>1079.8999999999746</v>
          </cell>
          <cell r="H302">
            <v>2408</v>
          </cell>
          <cell r="I302">
            <v>1079.9999999999745</v>
          </cell>
          <cell r="J302">
            <v>2422</v>
          </cell>
        </row>
        <row r="303">
          <cell r="G303">
            <v>1079.9999999999745</v>
          </cell>
          <cell r="H303">
            <v>2422</v>
          </cell>
          <cell r="I303">
            <v>1080.0999999999744</v>
          </cell>
          <cell r="J303">
            <v>2436.3000000000002</v>
          </cell>
        </row>
        <row r="304">
          <cell r="G304">
            <v>1080.0999999999744</v>
          </cell>
          <cell r="H304">
            <v>2436.3000000000002</v>
          </cell>
          <cell r="I304">
            <v>1080.1999999999744</v>
          </cell>
          <cell r="J304">
            <v>2450.6</v>
          </cell>
        </row>
        <row r="305">
          <cell r="G305">
            <v>1080.1999999999744</v>
          </cell>
          <cell r="H305">
            <v>2450.6</v>
          </cell>
          <cell r="I305">
            <v>1080.2999999999743</v>
          </cell>
          <cell r="J305">
            <v>2464.9</v>
          </cell>
        </row>
        <row r="306">
          <cell r="G306">
            <v>1080.2999999999743</v>
          </cell>
          <cell r="H306">
            <v>2464.9</v>
          </cell>
          <cell r="I306">
            <v>1080.3999999999742</v>
          </cell>
          <cell r="J306">
            <v>2479.1999999999998</v>
          </cell>
        </row>
        <row r="307">
          <cell r="G307">
            <v>1080.3999999999742</v>
          </cell>
          <cell r="H307">
            <v>2479.1999999999998</v>
          </cell>
          <cell r="I307">
            <v>1080.4999999999741</v>
          </cell>
          <cell r="J307">
            <v>2493.5</v>
          </cell>
        </row>
        <row r="308">
          <cell r="G308">
            <v>1080.4999999999741</v>
          </cell>
          <cell r="H308">
            <v>2493.5</v>
          </cell>
          <cell r="I308">
            <v>1080.599999999974</v>
          </cell>
          <cell r="J308">
            <v>2507.8000000000002</v>
          </cell>
        </row>
        <row r="309">
          <cell r="G309">
            <v>1080.599999999974</v>
          </cell>
          <cell r="H309">
            <v>2507.8000000000002</v>
          </cell>
          <cell r="I309">
            <v>1080.6999999999739</v>
          </cell>
          <cell r="J309">
            <v>2522.1</v>
          </cell>
        </row>
        <row r="310">
          <cell r="G310">
            <v>1080.6999999999739</v>
          </cell>
          <cell r="H310">
            <v>2522.1</v>
          </cell>
          <cell r="I310">
            <v>1080.7999999999738</v>
          </cell>
          <cell r="J310">
            <v>2536.4</v>
          </cell>
        </row>
        <row r="311">
          <cell r="G311">
            <v>1080.7999999999738</v>
          </cell>
          <cell r="H311">
            <v>2536.4</v>
          </cell>
          <cell r="I311">
            <v>1080.8999999999737</v>
          </cell>
          <cell r="J311">
            <v>2550.6999999999998</v>
          </cell>
        </row>
        <row r="312">
          <cell r="G312">
            <v>1080.8999999999737</v>
          </cell>
          <cell r="H312">
            <v>2550.6999999999998</v>
          </cell>
          <cell r="I312">
            <v>1080.9999999999736</v>
          </cell>
          <cell r="J312">
            <v>2565</v>
          </cell>
        </row>
        <row r="313">
          <cell r="G313">
            <v>1080.9999999999736</v>
          </cell>
          <cell r="H313">
            <v>2565</v>
          </cell>
          <cell r="I313">
            <v>1081.0999999999735</v>
          </cell>
          <cell r="J313">
            <v>2579.9</v>
          </cell>
        </row>
        <row r="314">
          <cell r="G314">
            <v>1081.0999999999735</v>
          </cell>
          <cell r="H314">
            <v>2579.9</v>
          </cell>
          <cell r="I314">
            <v>1081.1999999999734</v>
          </cell>
          <cell r="J314">
            <v>2594.8000000000002</v>
          </cell>
        </row>
        <row r="315">
          <cell r="G315">
            <v>1081.1999999999734</v>
          </cell>
          <cell r="H315">
            <v>2594.8000000000002</v>
          </cell>
          <cell r="I315">
            <v>1081.2999999999734</v>
          </cell>
          <cell r="J315">
            <v>2609.6999999999998</v>
          </cell>
        </row>
        <row r="316">
          <cell r="G316">
            <v>1081.2999999999734</v>
          </cell>
          <cell r="H316">
            <v>2609.6999999999998</v>
          </cell>
          <cell r="I316">
            <v>1081.3999999999733</v>
          </cell>
          <cell r="J316">
            <v>2624.6</v>
          </cell>
        </row>
        <row r="317">
          <cell r="G317">
            <v>1081.3999999999733</v>
          </cell>
          <cell r="H317">
            <v>2624.6</v>
          </cell>
          <cell r="I317">
            <v>1081.4999999999732</v>
          </cell>
          <cell r="J317">
            <v>2639.5</v>
          </cell>
        </row>
        <row r="318">
          <cell r="G318">
            <v>1081.4999999999732</v>
          </cell>
          <cell r="H318">
            <v>2639.5</v>
          </cell>
          <cell r="I318">
            <v>1081.5999999999731</v>
          </cell>
          <cell r="J318">
            <v>2654.4</v>
          </cell>
        </row>
        <row r="319">
          <cell r="G319">
            <v>1081.5999999999731</v>
          </cell>
          <cell r="H319">
            <v>2654.4</v>
          </cell>
          <cell r="I319">
            <v>1081.699999999973</v>
          </cell>
          <cell r="J319">
            <v>2669.3</v>
          </cell>
        </row>
        <row r="320">
          <cell r="G320">
            <v>1081.699999999973</v>
          </cell>
          <cell r="H320">
            <v>2669.3</v>
          </cell>
          <cell r="I320">
            <v>1081.7999999999729</v>
          </cell>
          <cell r="J320">
            <v>2684.2</v>
          </cell>
        </row>
        <row r="321">
          <cell r="G321">
            <v>1081.7999999999729</v>
          </cell>
          <cell r="H321">
            <v>2684.2</v>
          </cell>
          <cell r="I321">
            <v>1081.8999999999728</v>
          </cell>
          <cell r="J321">
            <v>2699.1</v>
          </cell>
        </row>
        <row r="322">
          <cell r="G322">
            <v>1081.8999999999728</v>
          </cell>
          <cell r="H322">
            <v>2699.1</v>
          </cell>
          <cell r="I322">
            <v>1081.9999999999727</v>
          </cell>
          <cell r="J322">
            <v>2714</v>
          </cell>
        </row>
        <row r="323">
          <cell r="G323">
            <v>1081.9999999999727</v>
          </cell>
          <cell r="H323">
            <v>2714</v>
          </cell>
          <cell r="I323">
            <v>1082.0999999999726</v>
          </cell>
          <cell r="J323">
            <v>2729.3</v>
          </cell>
        </row>
        <row r="324">
          <cell r="G324">
            <v>1082.0999999999726</v>
          </cell>
          <cell r="H324">
            <v>2729.3</v>
          </cell>
          <cell r="I324">
            <v>1082.1999999999725</v>
          </cell>
          <cell r="J324">
            <v>2744.6</v>
          </cell>
        </row>
        <row r="325">
          <cell r="G325">
            <v>1082.1999999999725</v>
          </cell>
          <cell r="H325">
            <v>2744.6</v>
          </cell>
          <cell r="I325">
            <v>1082.2999999999724</v>
          </cell>
          <cell r="J325">
            <v>2759.9</v>
          </cell>
        </row>
        <row r="326">
          <cell r="G326">
            <v>1082.2999999999724</v>
          </cell>
          <cell r="H326">
            <v>2759.9</v>
          </cell>
          <cell r="I326">
            <v>1082.3999999999724</v>
          </cell>
          <cell r="J326">
            <v>2775.2</v>
          </cell>
        </row>
        <row r="327">
          <cell r="G327">
            <v>1082.3999999999724</v>
          </cell>
          <cell r="H327">
            <v>2775.2</v>
          </cell>
          <cell r="I327">
            <v>1082.4999999999723</v>
          </cell>
          <cell r="J327">
            <v>2790.5</v>
          </cell>
        </row>
        <row r="328">
          <cell r="G328">
            <v>1082.4999999999723</v>
          </cell>
          <cell r="H328">
            <v>2790.5</v>
          </cell>
          <cell r="I328">
            <v>1082.5999999999722</v>
          </cell>
          <cell r="J328">
            <v>2805.8</v>
          </cell>
        </row>
        <row r="329">
          <cell r="G329">
            <v>1082.5999999999722</v>
          </cell>
          <cell r="H329">
            <v>2805.8</v>
          </cell>
          <cell r="I329">
            <v>1082.6999999999721</v>
          </cell>
          <cell r="J329">
            <v>2821.1</v>
          </cell>
        </row>
        <row r="330">
          <cell r="G330">
            <v>1082.6999999999721</v>
          </cell>
          <cell r="H330">
            <v>2821.1</v>
          </cell>
          <cell r="I330">
            <v>1082.799999999972</v>
          </cell>
          <cell r="J330">
            <v>2836.4</v>
          </cell>
        </row>
        <row r="331">
          <cell r="G331">
            <v>1082.799999999972</v>
          </cell>
          <cell r="H331">
            <v>2836.4</v>
          </cell>
          <cell r="I331">
            <v>1082.8999999999719</v>
          </cell>
          <cell r="J331">
            <v>2851.7</v>
          </cell>
        </row>
        <row r="332">
          <cell r="G332">
            <v>1082.8999999999719</v>
          </cell>
          <cell r="H332">
            <v>2851.7</v>
          </cell>
          <cell r="I332">
            <v>1082.9999999999718</v>
          </cell>
          <cell r="J332">
            <v>2867</v>
          </cell>
        </row>
        <row r="333">
          <cell r="G333">
            <v>1082.9999999999718</v>
          </cell>
          <cell r="H333">
            <v>2867</v>
          </cell>
          <cell r="I333">
            <v>1083.0999999999717</v>
          </cell>
          <cell r="J333">
            <v>2882.8</v>
          </cell>
        </row>
        <row r="334">
          <cell r="G334">
            <v>1083.0999999999717</v>
          </cell>
          <cell r="H334">
            <v>2882.8</v>
          </cell>
          <cell r="I334">
            <v>1083.1999999999716</v>
          </cell>
          <cell r="J334">
            <v>2898.6</v>
          </cell>
        </row>
        <row r="335">
          <cell r="G335">
            <v>1083.1999999999716</v>
          </cell>
          <cell r="H335">
            <v>2898.6</v>
          </cell>
          <cell r="I335">
            <v>1083.2999999999715</v>
          </cell>
          <cell r="J335">
            <v>2914.4</v>
          </cell>
        </row>
        <row r="336">
          <cell r="G336">
            <v>1083.2999999999715</v>
          </cell>
          <cell r="H336">
            <v>2914.4</v>
          </cell>
          <cell r="I336">
            <v>1083.3999999999714</v>
          </cell>
          <cell r="J336">
            <v>2930.2</v>
          </cell>
        </row>
        <row r="337">
          <cell r="G337">
            <v>1083.3999999999714</v>
          </cell>
          <cell r="H337">
            <v>2930.2</v>
          </cell>
          <cell r="I337">
            <v>1083.4999999999714</v>
          </cell>
          <cell r="J337">
            <v>2946</v>
          </cell>
        </row>
        <row r="338">
          <cell r="G338">
            <v>1083.4999999999714</v>
          </cell>
          <cell r="H338">
            <v>2946</v>
          </cell>
          <cell r="I338">
            <v>1083.5999999999713</v>
          </cell>
          <cell r="J338">
            <v>2961.8</v>
          </cell>
        </row>
        <row r="339">
          <cell r="G339">
            <v>1083.5999999999713</v>
          </cell>
          <cell r="H339">
            <v>2961.8</v>
          </cell>
          <cell r="I339">
            <v>1083.6999999999712</v>
          </cell>
          <cell r="J339">
            <v>2977.6</v>
          </cell>
        </row>
        <row r="340">
          <cell r="G340">
            <v>1083.6999999999712</v>
          </cell>
          <cell r="H340">
            <v>2977.6</v>
          </cell>
          <cell r="I340">
            <v>1083.7999999999711</v>
          </cell>
          <cell r="J340">
            <v>2993.4</v>
          </cell>
        </row>
        <row r="341">
          <cell r="G341">
            <v>1083.7999999999711</v>
          </cell>
          <cell r="H341">
            <v>2993.4</v>
          </cell>
          <cell r="I341">
            <v>1083.899999999971</v>
          </cell>
          <cell r="J341">
            <v>3009.2</v>
          </cell>
        </row>
        <row r="342">
          <cell r="G342">
            <v>1083.899999999971</v>
          </cell>
          <cell r="H342">
            <v>3009.2</v>
          </cell>
          <cell r="I342">
            <v>1083.9999999999709</v>
          </cell>
          <cell r="J342">
            <v>3025</v>
          </cell>
        </row>
        <row r="343">
          <cell r="G343">
            <v>1083.9999999999709</v>
          </cell>
          <cell r="H343">
            <v>3025</v>
          </cell>
          <cell r="I343">
            <v>1084.0999999999708</v>
          </cell>
          <cell r="J343">
            <v>3041.2</v>
          </cell>
        </row>
        <row r="344">
          <cell r="G344">
            <v>1084.0999999999708</v>
          </cell>
          <cell r="H344">
            <v>3041.2</v>
          </cell>
          <cell r="I344">
            <v>1084.1999999999707</v>
          </cell>
          <cell r="J344">
            <v>3057.4</v>
          </cell>
        </row>
        <row r="345">
          <cell r="G345">
            <v>1084.1999999999707</v>
          </cell>
          <cell r="H345">
            <v>3057.4</v>
          </cell>
          <cell r="I345">
            <v>1084.2999999999706</v>
          </cell>
          <cell r="J345">
            <v>3073.6</v>
          </cell>
        </row>
        <row r="346">
          <cell r="G346">
            <v>1084.2999999999706</v>
          </cell>
          <cell r="H346">
            <v>3073.6</v>
          </cell>
          <cell r="I346">
            <v>1084.3999999999705</v>
          </cell>
          <cell r="J346">
            <v>3089.8</v>
          </cell>
        </row>
        <row r="347">
          <cell r="G347">
            <v>1084.3999999999705</v>
          </cell>
          <cell r="H347">
            <v>3089.8</v>
          </cell>
          <cell r="I347">
            <v>1084.4999999999704</v>
          </cell>
          <cell r="J347">
            <v>3106</v>
          </cell>
        </row>
        <row r="348">
          <cell r="G348">
            <v>1084.4999999999704</v>
          </cell>
          <cell r="H348">
            <v>3106</v>
          </cell>
          <cell r="I348">
            <v>1084.5999999999704</v>
          </cell>
          <cell r="J348">
            <v>3122.2</v>
          </cell>
        </row>
        <row r="349">
          <cell r="G349">
            <v>1084.5999999999704</v>
          </cell>
          <cell r="H349">
            <v>3122.2</v>
          </cell>
          <cell r="I349">
            <v>1084.6999999999703</v>
          </cell>
          <cell r="J349">
            <v>3138.4</v>
          </cell>
        </row>
        <row r="350">
          <cell r="G350">
            <v>1084.6999999999703</v>
          </cell>
          <cell r="H350">
            <v>3138.4</v>
          </cell>
          <cell r="I350">
            <v>1084.7999999999702</v>
          </cell>
          <cell r="J350">
            <v>3154.6</v>
          </cell>
        </row>
        <row r="351">
          <cell r="G351">
            <v>1084.7999999999702</v>
          </cell>
          <cell r="H351">
            <v>3154.6</v>
          </cell>
          <cell r="I351">
            <v>1084.8999999999701</v>
          </cell>
          <cell r="J351">
            <v>3170.8</v>
          </cell>
        </row>
        <row r="352">
          <cell r="G352">
            <v>1084.8999999999701</v>
          </cell>
          <cell r="H352">
            <v>3170.8</v>
          </cell>
          <cell r="I352">
            <v>1084.99999999997</v>
          </cell>
          <cell r="J352">
            <v>3187</v>
          </cell>
        </row>
        <row r="353">
          <cell r="G353">
            <v>1084.99999999997</v>
          </cell>
          <cell r="H353">
            <v>3187</v>
          </cell>
          <cell r="I353">
            <v>1085.0999999999699</v>
          </cell>
          <cell r="J353">
            <v>3203.8</v>
          </cell>
        </row>
        <row r="354">
          <cell r="G354">
            <v>1085.0999999999699</v>
          </cell>
          <cell r="H354">
            <v>3203.8</v>
          </cell>
          <cell r="I354">
            <v>1085.1999999999698</v>
          </cell>
          <cell r="J354">
            <v>3220.6</v>
          </cell>
        </row>
        <row r="355">
          <cell r="G355">
            <v>1085.1999999999698</v>
          </cell>
          <cell r="H355">
            <v>3220.6</v>
          </cell>
          <cell r="I355">
            <v>1085.2999999999697</v>
          </cell>
          <cell r="J355">
            <v>3237.4</v>
          </cell>
        </row>
        <row r="356">
          <cell r="G356">
            <v>1085.2999999999697</v>
          </cell>
          <cell r="H356">
            <v>3237.4</v>
          </cell>
          <cell r="I356">
            <v>1085.3999999999696</v>
          </cell>
          <cell r="J356">
            <v>3254.2</v>
          </cell>
        </row>
        <row r="357">
          <cell r="G357">
            <v>1085.3999999999696</v>
          </cell>
          <cell r="H357">
            <v>3254.2</v>
          </cell>
          <cell r="I357">
            <v>1085.4999999999695</v>
          </cell>
          <cell r="J357">
            <v>3271</v>
          </cell>
        </row>
        <row r="358">
          <cell r="G358">
            <v>1085.4999999999695</v>
          </cell>
          <cell r="H358">
            <v>3271</v>
          </cell>
          <cell r="I358">
            <v>1085.5999999999694</v>
          </cell>
          <cell r="J358">
            <v>3287.8</v>
          </cell>
        </row>
        <row r="359">
          <cell r="G359">
            <v>1085.5999999999694</v>
          </cell>
          <cell r="H359">
            <v>3287.8</v>
          </cell>
          <cell r="I359">
            <v>1085.6999999999694</v>
          </cell>
          <cell r="J359">
            <v>3304.6</v>
          </cell>
        </row>
        <row r="360">
          <cell r="G360">
            <v>1085.6999999999694</v>
          </cell>
          <cell r="H360">
            <v>3304.6</v>
          </cell>
          <cell r="I360">
            <v>1085.7999999999693</v>
          </cell>
          <cell r="J360">
            <v>3321.4</v>
          </cell>
        </row>
        <row r="361">
          <cell r="G361">
            <v>1085.7999999999693</v>
          </cell>
          <cell r="H361">
            <v>3321.4</v>
          </cell>
          <cell r="I361">
            <v>1085.8999999999692</v>
          </cell>
          <cell r="J361">
            <v>3338.2</v>
          </cell>
        </row>
        <row r="362">
          <cell r="G362">
            <v>1085.8999999999692</v>
          </cell>
          <cell r="H362">
            <v>3338.2</v>
          </cell>
          <cell r="I362">
            <v>1085.9999999999691</v>
          </cell>
          <cell r="J362">
            <v>3355</v>
          </cell>
        </row>
        <row r="363">
          <cell r="G363">
            <v>1085.9999999999691</v>
          </cell>
          <cell r="H363">
            <v>3355</v>
          </cell>
          <cell r="I363">
            <v>1086.099999999969</v>
          </cell>
          <cell r="J363">
            <v>3372.3</v>
          </cell>
        </row>
        <row r="364">
          <cell r="G364">
            <v>1086.099999999969</v>
          </cell>
          <cell r="H364">
            <v>3372.3</v>
          </cell>
          <cell r="I364">
            <v>1086.1999999999689</v>
          </cell>
          <cell r="J364">
            <v>3389.6</v>
          </cell>
        </row>
        <row r="365">
          <cell r="G365">
            <v>1086.1999999999689</v>
          </cell>
          <cell r="H365">
            <v>3389.6</v>
          </cell>
          <cell r="I365">
            <v>1086.2999999999688</v>
          </cell>
          <cell r="J365">
            <v>3406.9</v>
          </cell>
        </row>
        <row r="366">
          <cell r="G366">
            <v>1086.2999999999688</v>
          </cell>
          <cell r="H366">
            <v>3406.9</v>
          </cell>
          <cell r="I366">
            <v>1086.3999999999687</v>
          </cell>
          <cell r="J366">
            <v>3424.2</v>
          </cell>
        </row>
        <row r="367">
          <cell r="G367">
            <v>1086.3999999999687</v>
          </cell>
          <cell r="H367">
            <v>3424.2</v>
          </cell>
          <cell r="I367">
            <v>1086.4999999999686</v>
          </cell>
          <cell r="J367">
            <v>3441.5</v>
          </cell>
        </row>
        <row r="368">
          <cell r="G368">
            <v>1086.4999999999686</v>
          </cell>
          <cell r="H368">
            <v>3441.5</v>
          </cell>
          <cell r="I368">
            <v>1086.5999999999685</v>
          </cell>
          <cell r="J368">
            <v>3458.8</v>
          </cell>
        </row>
        <row r="369">
          <cell r="G369">
            <v>1086.5999999999685</v>
          </cell>
          <cell r="H369">
            <v>3458.8</v>
          </cell>
          <cell r="I369">
            <v>1086.6999999999684</v>
          </cell>
          <cell r="J369">
            <v>3476.1</v>
          </cell>
        </row>
        <row r="370">
          <cell r="G370">
            <v>1086.6999999999684</v>
          </cell>
          <cell r="H370">
            <v>3476.1</v>
          </cell>
          <cell r="I370">
            <v>1086.7999999999683</v>
          </cell>
          <cell r="J370">
            <v>3493.4</v>
          </cell>
        </row>
        <row r="371">
          <cell r="G371">
            <v>1086.7999999999683</v>
          </cell>
          <cell r="H371">
            <v>3493.4</v>
          </cell>
          <cell r="I371">
            <v>1086.8999999999683</v>
          </cell>
          <cell r="J371">
            <v>3510.7</v>
          </cell>
        </row>
        <row r="372">
          <cell r="G372">
            <v>1086.8999999999683</v>
          </cell>
          <cell r="H372">
            <v>3510.7</v>
          </cell>
          <cell r="I372">
            <v>1086.9999999999682</v>
          </cell>
          <cell r="J372">
            <v>3528</v>
          </cell>
        </row>
        <row r="373">
          <cell r="G373">
            <v>1086.9999999999682</v>
          </cell>
          <cell r="H373">
            <v>3528</v>
          </cell>
          <cell r="I373">
            <v>1087.0999999999681</v>
          </cell>
          <cell r="J373">
            <v>3545.9</v>
          </cell>
        </row>
        <row r="374">
          <cell r="G374">
            <v>1087.0999999999681</v>
          </cell>
          <cell r="H374">
            <v>3545.9</v>
          </cell>
          <cell r="I374">
            <v>1087.199999999968</v>
          </cell>
          <cell r="J374">
            <v>3563.8</v>
          </cell>
        </row>
        <row r="375">
          <cell r="G375">
            <v>1087.199999999968</v>
          </cell>
          <cell r="H375">
            <v>3563.8</v>
          </cell>
          <cell r="I375">
            <v>1087.2999999999679</v>
          </cell>
          <cell r="J375">
            <v>3581.7</v>
          </cell>
        </row>
        <row r="376">
          <cell r="G376">
            <v>1087.2999999999679</v>
          </cell>
          <cell r="H376">
            <v>3581.7</v>
          </cell>
          <cell r="I376">
            <v>1087.3999999999678</v>
          </cell>
          <cell r="J376">
            <v>3599.6</v>
          </cell>
        </row>
        <row r="377">
          <cell r="G377">
            <v>1087.3999999999678</v>
          </cell>
          <cell r="H377">
            <v>3599.6</v>
          </cell>
          <cell r="I377">
            <v>1087.4999999999677</v>
          </cell>
          <cell r="J377">
            <v>3617.5</v>
          </cell>
        </row>
        <row r="378">
          <cell r="G378">
            <v>1087.4999999999677</v>
          </cell>
          <cell r="H378">
            <v>3617.5</v>
          </cell>
          <cell r="I378">
            <v>1087.5999999999676</v>
          </cell>
          <cell r="J378">
            <v>3635.4</v>
          </cell>
        </row>
        <row r="379">
          <cell r="G379">
            <v>1087.5999999999676</v>
          </cell>
          <cell r="H379">
            <v>3635.4</v>
          </cell>
          <cell r="I379">
            <v>1087.6999999999675</v>
          </cell>
          <cell r="J379">
            <v>3653.3</v>
          </cell>
        </row>
        <row r="380">
          <cell r="G380">
            <v>1087.6999999999675</v>
          </cell>
          <cell r="H380">
            <v>3653.3</v>
          </cell>
          <cell r="I380">
            <v>1087.7999999999674</v>
          </cell>
          <cell r="J380">
            <v>3671.2</v>
          </cell>
        </row>
        <row r="381">
          <cell r="G381">
            <v>1087.7999999999674</v>
          </cell>
          <cell r="H381">
            <v>3671.2</v>
          </cell>
          <cell r="I381">
            <v>1087.8999999999673</v>
          </cell>
          <cell r="J381">
            <v>3689.1</v>
          </cell>
        </row>
        <row r="382">
          <cell r="G382">
            <v>1087.8999999999673</v>
          </cell>
          <cell r="H382">
            <v>3689.1</v>
          </cell>
          <cell r="I382">
            <v>1087.9999999999673</v>
          </cell>
          <cell r="J382">
            <v>3707</v>
          </cell>
        </row>
        <row r="383">
          <cell r="G383">
            <v>1087.9999999999673</v>
          </cell>
          <cell r="H383">
            <v>3707</v>
          </cell>
          <cell r="I383">
            <v>1088.0999999999672</v>
          </cell>
          <cell r="J383">
            <v>3725.4</v>
          </cell>
        </row>
        <row r="384">
          <cell r="G384">
            <v>1088.0999999999672</v>
          </cell>
          <cell r="H384">
            <v>3725.4</v>
          </cell>
          <cell r="I384">
            <v>1088.1999999999671</v>
          </cell>
          <cell r="J384">
            <v>3743.8</v>
          </cell>
        </row>
        <row r="385">
          <cell r="G385">
            <v>1088.1999999999671</v>
          </cell>
          <cell r="H385">
            <v>3743.8</v>
          </cell>
          <cell r="I385">
            <v>1088.299999999967</v>
          </cell>
          <cell r="J385">
            <v>3762.2</v>
          </cell>
        </row>
        <row r="386">
          <cell r="G386">
            <v>1088.299999999967</v>
          </cell>
          <cell r="H386">
            <v>3762.2</v>
          </cell>
          <cell r="I386">
            <v>1088.3999999999669</v>
          </cell>
          <cell r="J386">
            <v>3780.6</v>
          </cell>
        </row>
        <row r="387">
          <cell r="G387">
            <v>1088.3999999999669</v>
          </cell>
          <cell r="H387">
            <v>3780.6</v>
          </cell>
          <cell r="I387">
            <v>1088.4999999999668</v>
          </cell>
          <cell r="J387">
            <v>3799</v>
          </cell>
        </row>
        <row r="388">
          <cell r="G388">
            <v>1088.4999999999668</v>
          </cell>
          <cell r="H388">
            <v>3799</v>
          </cell>
          <cell r="I388">
            <v>1088.5999999999667</v>
          </cell>
          <cell r="J388">
            <v>3817.4</v>
          </cell>
        </row>
        <row r="389">
          <cell r="G389">
            <v>1088.5999999999667</v>
          </cell>
          <cell r="H389">
            <v>3817.4</v>
          </cell>
          <cell r="I389">
            <v>1088.6999999999666</v>
          </cell>
          <cell r="J389">
            <v>3835.8</v>
          </cell>
        </row>
        <row r="390">
          <cell r="G390">
            <v>1088.6999999999666</v>
          </cell>
          <cell r="H390">
            <v>3835.8</v>
          </cell>
          <cell r="I390">
            <v>1088.7999999999665</v>
          </cell>
          <cell r="J390">
            <v>3854.2</v>
          </cell>
        </row>
        <row r="391">
          <cell r="G391">
            <v>1088.7999999999665</v>
          </cell>
          <cell r="H391">
            <v>3854.2</v>
          </cell>
          <cell r="I391">
            <v>1088.8999999999664</v>
          </cell>
          <cell r="J391">
            <v>3872.6</v>
          </cell>
        </row>
        <row r="392">
          <cell r="G392">
            <v>1088.8999999999664</v>
          </cell>
          <cell r="H392">
            <v>3872.6</v>
          </cell>
          <cell r="I392">
            <v>1088.9999999999663</v>
          </cell>
          <cell r="J392">
            <v>3891</v>
          </cell>
        </row>
        <row r="393">
          <cell r="G393">
            <v>1088.9999999999663</v>
          </cell>
          <cell r="H393">
            <v>3891</v>
          </cell>
          <cell r="I393">
            <v>1089.0999999999663</v>
          </cell>
          <cell r="J393">
            <v>3910</v>
          </cell>
        </row>
        <row r="394">
          <cell r="G394">
            <v>1089.0999999999663</v>
          </cell>
          <cell r="H394">
            <v>3910</v>
          </cell>
          <cell r="I394">
            <v>1089.1999999999662</v>
          </cell>
          <cell r="J394">
            <v>3929</v>
          </cell>
        </row>
        <row r="395">
          <cell r="G395">
            <v>1089.1999999999662</v>
          </cell>
          <cell r="H395">
            <v>3929</v>
          </cell>
          <cell r="I395">
            <v>1089.2999999999661</v>
          </cell>
          <cell r="J395">
            <v>3948</v>
          </cell>
        </row>
        <row r="396">
          <cell r="G396">
            <v>1089.2999999999661</v>
          </cell>
          <cell r="H396">
            <v>3948</v>
          </cell>
          <cell r="I396">
            <v>1089.399999999966</v>
          </cell>
          <cell r="J396">
            <v>3967</v>
          </cell>
        </row>
        <row r="397">
          <cell r="G397">
            <v>1089.399999999966</v>
          </cell>
          <cell r="H397">
            <v>3967</v>
          </cell>
          <cell r="I397">
            <v>1089.4999999999659</v>
          </cell>
          <cell r="J397">
            <v>3986</v>
          </cell>
        </row>
        <row r="398">
          <cell r="G398">
            <v>1089.4999999999659</v>
          </cell>
          <cell r="H398">
            <v>3986</v>
          </cell>
          <cell r="I398">
            <v>1089.5999999999658</v>
          </cell>
          <cell r="J398">
            <v>4005</v>
          </cell>
        </row>
        <row r="399">
          <cell r="G399">
            <v>1089.5999999999658</v>
          </cell>
          <cell r="H399">
            <v>4005</v>
          </cell>
          <cell r="I399">
            <v>1089.6999999999657</v>
          </cell>
          <cell r="J399">
            <v>4024</v>
          </cell>
        </row>
        <row r="400">
          <cell r="G400">
            <v>1089.6999999999657</v>
          </cell>
          <cell r="H400">
            <v>4024</v>
          </cell>
          <cell r="I400">
            <v>1089.7999999999656</v>
          </cell>
          <cell r="J400">
            <v>4043</v>
          </cell>
        </row>
        <row r="401">
          <cell r="G401">
            <v>1089.7999999999656</v>
          </cell>
          <cell r="H401">
            <v>4043</v>
          </cell>
          <cell r="I401">
            <v>1089.8999999999655</v>
          </cell>
          <cell r="J401">
            <v>4062</v>
          </cell>
        </row>
        <row r="402">
          <cell r="G402">
            <v>1089.8999999999655</v>
          </cell>
          <cell r="H402">
            <v>4062</v>
          </cell>
          <cell r="I402">
            <v>1089.9999999999654</v>
          </cell>
          <cell r="J402">
            <v>4081</v>
          </cell>
        </row>
        <row r="403">
          <cell r="G403">
            <v>1089.9999999999654</v>
          </cell>
          <cell r="H403">
            <v>4081</v>
          </cell>
          <cell r="I403">
            <v>1090.0999999999653</v>
          </cell>
          <cell r="J403">
            <v>4100.6000000000004</v>
          </cell>
        </row>
        <row r="404">
          <cell r="G404">
            <v>1090.0999999999653</v>
          </cell>
          <cell r="H404">
            <v>4100.6000000000004</v>
          </cell>
          <cell r="I404">
            <v>1090.1999999999653</v>
          </cell>
          <cell r="J404">
            <v>4120.2</v>
          </cell>
        </row>
        <row r="405">
          <cell r="G405">
            <v>1090.1999999999653</v>
          </cell>
          <cell r="H405">
            <v>4120.2</v>
          </cell>
          <cell r="I405">
            <v>1090.2999999999652</v>
          </cell>
          <cell r="J405">
            <v>4139.8</v>
          </cell>
        </row>
        <row r="406">
          <cell r="G406">
            <v>1090.2999999999652</v>
          </cell>
          <cell r="H406">
            <v>4139.8</v>
          </cell>
          <cell r="I406">
            <v>1090.3999999999651</v>
          </cell>
          <cell r="J406">
            <v>4159.3999999999996</v>
          </cell>
        </row>
        <row r="407">
          <cell r="G407">
            <v>1090.3999999999651</v>
          </cell>
          <cell r="H407">
            <v>4159.3999999999996</v>
          </cell>
          <cell r="I407">
            <v>1090.499999999965</v>
          </cell>
          <cell r="J407">
            <v>4179</v>
          </cell>
        </row>
        <row r="408">
          <cell r="G408">
            <v>1090.499999999965</v>
          </cell>
          <cell r="H408">
            <v>4179</v>
          </cell>
          <cell r="I408">
            <v>1090.5999999999649</v>
          </cell>
          <cell r="J408">
            <v>4198.6000000000004</v>
          </cell>
        </row>
        <row r="409">
          <cell r="G409">
            <v>1090.5999999999649</v>
          </cell>
          <cell r="H409">
            <v>4198.6000000000004</v>
          </cell>
          <cell r="I409">
            <v>1090.6999999999648</v>
          </cell>
          <cell r="J409">
            <v>4218.2</v>
          </cell>
        </row>
        <row r="410">
          <cell r="G410">
            <v>1090.6999999999648</v>
          </cell>
          <cell r="H410">
            <v>4218.2</v>
          </cell>
          <cell r="I410">
            <v>1090.7999999999647</v>
          </cell>
          <cell r="J410">
            <v>4237.8</v>
          </cell>
        </row>
        <row r="411">
          <cell r="G411">
            <v>1090.7999999999647</v>
          </cell>
          <cell r="H411">
            <v>4237.8</v>
          </cell>
          <cell r="I411">
            <v>1090.8999999999646</v>
          </cell>
          <cell r="J411">
            <v>4257.3999999999996</v>
          </cell>
        </row>
        <row r="412">
          <cell r="G412">
            <v>1090.8999999999646</v>
          </cell>
          <cell r="H412">
            <v>4257.3999999999996</v>
          </cell>
          <cell r="I412">
            <v>1090.9999999999645</v>
          </cell>
          <cell r="J412">
            <v>4277</v>
          </cell>
        </row>
        <row r="413">
          <cell r="G413">
            <v>1090.9999999999645</v>
          </cell>
          <cell r="H413">
            <v>4277</v>
          </cell>
          <cell r="I413">
            <v>1091.0999999999644</v>
          </cell>
          <cell r="J413">
            <v>4297.1000000000004</v>
          </cell>
        </row>
        <row r="414">
          <cell r="G414">
            <v>1091.0999999999644</v>
          </cell>
          <cell r="H414">
            <v>4297.1000000000004</v>
          </cell>
          <cell r="I414">
            <v>1091.1999999999643</v>
          </cell>
          <cell r="J414">
            <v>4317.2</v>
          </cell>
        </row>
        <row r="415">
          <cell r="G415">
            <v>1091.1999999999643</v>
          </cell>
          <cell r="H415">
            <v>4317.2</v>
          </cell>
          <cell r="I415">
            <v>1091.2999999999643</v>
          </cell>
          <cell r="J415">
            <v>4337.3</v>
          </cell>
        </row>
        <row r="416">
          <cell r="G416">
            <v>1091.2999999999643</v>
          </cell>
          <cell r="H416">
            <v>4337.3</v>
          </cell>
          <cell r="I416">
            <v>1091.3999999999642</v>
          </cell>
          <cell r="J416">
            <v>4357.3999999999996</v>
          </cell>
        </row>
        <row r="417">
          <cell r="G417">
            <v>1091.3999999999642</v>
          </cell>
          <cell r="H417">
            <v>4357.3999999999996</v>
          </cell>
          <cell r="I417">
            <v>1091.4999999999641</v>
          </cell>
          <cell r="J417">
            <v>4377.5</v>
          </cell>
        </row>
        <row r="418">
          <cell r="G418">
            <v>1091.4999999999641</v>
          </cell>
          <cell r="H418">
            <v>4377.5</v>
          </cell>
          <cell r="I418">
            <v>1091.599999999964</v>
          </cell>
          <cell r="J418">
            <v>4397.6000000000004</v>
          </cell>
        </row>
        <row r="419">
          <cell r="G419">
            <v>1091.599999999964</v>
          </cell>
          <cell r="H419">
            <v>4397.6000000000004</v>
          </cell>
          <cell r="I419">
            <v>1091.6999999999639</v>
          </cell>
          <cell r="J419">
            <v>4417.7</v>
          </cell>
        </row>
        <row r="420">
          <cell r="G420">
            <v>1091.6999999999639</v>
          </cell>
          <cell r="H420">
            <v>4417.7</v>
          </cell>
          <cell r="I420">
            <v>1091.7999999999638</v>
          </cell>
          <cell r="J420">
            <v>4437.8</v>
          </cell>
        </row>
        <row r="421">
          <cell r="G421">
            <v>1091.7999999999638</v>
          </cell>
          <cell r="H421">
            <v>4437.8</v>
          </cell>
          <cell r="I421">
            <v>1091.8999999999637</v>
          </cell>
          <cell r="J421">
            <v>4457.8999999999996</v>
          </cell>
        </row>
        <row r="422">
          <cell r="G422">
            <v>1091.8999999999637</v>
          </cell>
          <cell r="H422">
            <v>4457.8999999999996</v>
          </cell>
          <cell r="I422">
            <v>1091.9999999999636</v>
          </cell>
          <cell r="J422">
            <v>4478</v>
          </cell>
        </row>
        <row r="423">
          <cell r="G423">
            <v>1091.9999999999636</v>
          </cell>
          <cell r="H423">
            <v>4478</v>
          </cell>
          <cell r="I423">
            <v>1092.0999999999635</v>
          </cell>
          <cell r="J423">
            <v>4498.8</v>
          </cell>
        </row>
        <row r="424">
          <cell r="G424">
            <v>1092.0999999999635</v>
          </cell>
          <cell r="H424">
            <v>4498.8</v>
          </cell>
          <cell r="I424">
            <v>1092.1999999999634</v>
          </cell>
          <cell r="J424">
            <v>4519.6000000000004</v>
          </cell>
        </row>
        <row r="425">
          <cell r="G425">
            <v>1092.1999999999634</v>
          </cell>
          <cell r="H425">
            <v>4519.6000000000004</v>
          </cell>
          <cell r="I425">
            <v>1092.2999999999633</v>
          </cell>
          <cell r="J425">
            <v>4540.3999999999996</v>
          </cell>
        </row>
        <row r="426">
          <cell r="G426">
            <v>1092.2999999999633</v>
          </cell>
          <cell r="H426">
            <v>4540.3999999999996</v>
          </cell>
          <cell r="I426">
            <v>1092.3999999999633</v>
          </cell>
          <cell r="J426">
            <v>4561.2</v>
          </cell>
        </row>
        <row r="427">
          <cell r="G427">
            <v>1092.3999999999633</v>
          </cell>
          <cell r="H427">
            <v>4561.2</v>
          </cell>
          <cell r="I427">
            <v>1092.4999999999632</v>
          </cell>
          <cell r="J427">
            <v>4582</v>
          </cell>
        </row>
        <row r="428">
          <cell r="G428">
            <v>1092.4999999999632</v>
          </cell>
          <cell r="H428">
            <v>4582</v>
          </cell>
          <cell r="I428">
            <v>1092.5999999999631</v>
          </cell>
          <cell r="J428">
            <v>4602.8</v>
          </cell>
        </row>
        <row r="429">
          <cell r="G429">
            <v>1092.5999999999631</v>
          </cell>
          <cell r="H429">
            <v>4602.8</v>
          </cell>
          <cell r="I429">
            <v>1092.699999999963</v>
          </cell>
          <cell r="J429">
            <v>4623.6000000000004</v>
          </cell>
        </row>
        <row r="430">
          <cell r="G430">
            <v>1092.699999999963</v>
          </cell>
          <cell r="H430">
            <v>4623.6000000000004</v>
          </cell>
          <cell r="I430">
            <v>1092.7999999999629</v>
          </cell>
          <cell r="J430">
            <v>4644.3999999999996</v>
          </cell>
        </row>
        <row r="431">
          <cell r="G431">
            <v>1092.7999999999629</v>
          </cell>
          <cell r="H431">
            <v>4644.3999999999996</v>
          </cell>
          <cell r="I431">
            <v>1092.8999999999628</v>
          </cell>
          <cell r="J431">
            <v>4665.2</v>
          </cell>
        </row>
        <row r="432">
          <cell r="G432">
            <v>1092.8999999999628</v>
          </cell>
          <cell r="H432">
            <v>4665.2</v>
          </cell>
          <cell r="I432">
            <v>1092.9999999999627</v>
          </cell>
          <cell r="J432">
            <v>4686</v>
          </cell>
        </row>
        <row r="433">
          <cell r="G433">
            <v>1092.9999999999627</v>
          </cell>
          <cell r="H433">
            <v>4686</v>
          </cell>
          <cell r="I433">
            <v>1093.0999999999626</v>
          </cell>
          <cell r="J433">
            <v>4707.3</v>
          </cell>
        </row>
        <row r="434">
          <cell r="G434">
            <v>1093.0999999999626</v>
          </cell>
          <cell r="H434">
            <v>4707.3</v>
          </cell>
          <cell r="I434">
            <v>1093.1999999999625</v>
          </cell>
          <cell r="J434">
            <v>4728.6000000000004</v>
          </cell>
        </row>
        <row r="435">
          <cell r="G435">
            <v>1093.1999999999625</v>
          </cell>
          <cell r="H435">
            <v>4728.6000000000004</v>
          </cell>
          <cell r="I435">
            <v>1093.2999999999624</v>
          </cell>
          <cell r="J435">
            <v>4749.8999999999996</v>
          </cell>
        </row>
        <row r="436">
          <cell r="G436">
            <v>1093.2999999999624</v>
          </cell>
          <cell r="H436">
            <v>4749.8999999999996</v>
          </cell>
          <cell r="I436">
            <v>1093.3999999999623</v>
          </cell>
          <cell r="J436">
            <v>4771.2</v>
          </cell>
        </row>
        <row r="437">
          <cell r="G437">
            <v>1093.3999999999623</v>
          </cell>
          <cell r="H437">
            <v>4771.2</v>
          </cell>
          <cell r="I437">
            <v>1093.4999999999623</v>
          </cell>
          <cell r="J437">
            <v>4792.5</v>
          </cell>
        </row>
        <row r="438">
          <cell r="G438">
            <v>1093.4999999999623</v>
          </cell>
          <cell r="H438">
            <v>4792.5</v>
          </cell>
          <cell r="I438">
            <v>1093.5999999999622</v>
          </cell>
          <cell r="J438">
            <v>4813.8</v>
          </cell>
        </row>
        <row r="439">
          <cell r="G439">
            <v>1093.5999999999622</v>
          </cell>
          <cell r="H439">
            <v>4813.8</v>
          </cell>
          <cell r="I439">
            <v>1093.6999999999621</v>
          </cell>
          <cell r="J439">
            <v>4835.1000000000004</v>
          </cell>
        </row>
        <row r="440">
          <cell r="G440">
            <v>1093.6999999999621</v>
          </cell>
          <cell r="H440">
            <v>4835.1000000000004</v>
          </cell>
          <cell r="I440">
            <v>1093.799999999962</v>
          </cell>
          <cell r="J440">
            <v>4856.3999999999996</v>
          </cell>
        </row>
        <row r="441">
          <cell r="G441">
            <v>1093.799999999962</v>
          </cell>
          <cell r="H441">
            <v>4856.3999999999996</v>
          </cell>
          <cell r="I441">
            <v>1093.8999999999619</v>
          </cell>
          <cell r="J441">
            <v>4877.7</v>
          </cell>
        </row>
        <row r="442">
          <cell r="G442">
            <v>1093.8999999999619</v>
          </cell>
          <cell r="H442">
            <v>4877.7</v>
          </cell>
          <cell r="I442">
            <v>1093.9999999999618</v>
          </cell>
          <cell r="J442">
            <v>4899</v>
          </cell>
        </row>
        <row r="443">
          <cell r="G443">
            <v>1093.9999999999618</v>
          </cell>
          <cell r="H443">
            <v>4899</v>
          </cell>
          <cell r="I443">
            <v>1094.0999999999617</v>
          </cell>
          <cell r="J443">
            <v>4921</v>
          </cell>
        </row>
        <row r="444">
          <cell r="G444">
            <v>1094.0999999999617</v>
          </cell>
          <cell r="H444">
            <v>4921</v>
          </cell>
          <cell r="I444">
            <v>1094.1999999999616</v>
          </cell>
          <cell r="J444">
            <v>4943</v>
          </cell>
        </row>
        <row r="445">
          <cell r="G445">
            <v>1094.1999999999616</v>
          </cell>
          <cell r="H445">
            <v>4943</v>
          </cell>
          <cell r="I445">
            <v>1094.2999999999615</v>
          </cell>
          <cell r="J445">
            <v>4965</v>
          </cell>
        </row>
        <row r="446">
          <cell r="G446">
            <v>1094.2999999999615</v>
          </cell>
          <cell r="H446">
            <v>4965</v>
          </cell>
          <cell r="I446">
            <v>1094.3999999999614</v>
          </cell>
          <cell r="J446">
            <v>4987</v>
          </cell>
        </row>
        <row r="447">
          <cell r="G447">
            <v>1094.3999999999614</v>
          </cell>
          <cell r="H447">
            <v>4987</v>
          </cell>
          <cell r="I447">
            <v>1094.4999999999613</v>
          </cell>
          <cell r="J447">
            <v>5009</v>
          </cell>
        </row>
        <row r="448">
          <cell r="G448">
            <v>1094.4999999999613</v>
          </cell>
          <cell r="H448">
            <v>5009</v>
          </cell>
          <cell r="I448">
            <v>1094.5999999999613</v>
          </cell>
          <cell r="J448">
            <v>5031</v>
          </cell>
        </row>
        <row r="449">
          <cell r="G449">
            <v>1094.5999999999613</v>
          </cell>
          <cell r="H449">
            <v>5031</v>
          </cell>
          <cell r="I449">
            <v>1094.6999999999612</v>
          </cell>
          <cell r="J449">
            <v>5053</v>
          </cell>
        </row>
        <row r="450">
          <cell r="G450">
            <v>1094.6999999999612</v>
          </cell>
          <cell r="H450">
            <v>5053</v>
          </cell>
          <cell r="I450">
            <v>1094.7999999999611</v>
          </cell>
          <cell r="J450">
            <v>5075</v>
          </cell>
        </row>
        <row r="451">
          <cell r="G451">
            <v>1094.7999999999611</v>
          </cell>
          <cell r="H451">
            <v>5075</v>
          </cell>
          <cell r="I451">
            <v>1094.899999999961</v>
          </cell>
          <cell r="J451">
            <v>5097</v>
          </cell>
        </row>
        <row r="452">
          <cell r="G452">
            <v>1094.899999999961</v>
          </cell>
          <cell r="H452">
            <v>5097</v>
          </cell>
          <cell r="I452">
            <v>1094.9999999999609</v>
          </cell>
          <cell r="J452">
            <v>5119</v>
          </cell>
        </row>
        <row r="453">
          <cell r="G453">
            <v>1094.9999999999609</v>
          </cell>
          <cell r="H453">
            <v>5119</v>
          </cell>
          <cell r="I453">
            <v>1095.0999999999608</v>
          </cell>
          <cell r="J453">
            <v>5141.6000000000004</v>
          </cell>
        </row>
        <row r="454">
          <cell r="G454">
            <v>1095.0999999999608</v>
          </cell>
          <cell r="H454">
            <v>5141.6000000000004</v>
          </cell>
          <cell r="I454">
            <v>1095.1999999999607</v>
          </cell>
          <cell r="J454">
            <v>5164.2</v>
          </cell>
        </row>
        <row r="455">
          <cell r="G455">
            <v>1095.1999999999607</v>
          </cell>
          <cell r="H455">
            <v>5164.2</v>
          </cell>
          <cell r="I455">
            <v>1095.2999999999606</v>
          </cell>
          <cell r="J455">
            <v>5186.8</v>
          </cell>
        </row>
        <row r="456">
          <cell r="G456">
            <v>1095.2999999999606</v>
          </cell>
          <cell r="H456">
            <v>5186.8</v>
          </cell>
          <cell r="I456">
            <v>1095.3999999999605</v>
          </cell>
          <cell r="J456">
            <v>5209.3999999999996</v>
          </cell>
        </row>
        <row r="457">
          <cell r="G457">
            <v>1095.3999999999605</v>
          </cell>
          <cell r="H457">
            <v>5209.3999999999996</v>
          </cell>
          <cell r="I457">
            <v>1095.4999999999604</v>
          </cell>
          <cell r="J457">
            <v>5232</v>
          </cell>
        </row>
        <row r="458">
          <cell r="G458">
            <v>1095.4999999999604</v>
          </cell>
          <cell r="H458">
            <v>5232</v>
          </cell>
          <cell r="I458">
            <v>1095.5999999999603</v>
          </cell>
          <cell r="J458">
            <v>5254.6</v>
          </cell>
        </row>
        <row r="459">
          <cell r="G459">
            <v>1095.5999999999603</v>
          </cell>
          <cell r="H459">
            <v>5254.6</v>
          </cell>
          <cell r="I459">
            <v>1095.6999999999603</v>
          </cell>
          <cell r="J459">
            <v>5277.2</v>
          </cell>
        </row>
        <row r="460">
          <cell r="G460">
            <v>1095.6999999999603</v>
          </cell>
          <cell r="H460">
            <v>5277.2</v>
          </cell>
          <cell r="I460">
            <v>1095.7999999999602</v>
          </cell>
          <cell r="J460">
            <v>5299.8</v>
          </cell>
        </row>
        <row r="461">
          <cell r="G461">
            <v>1095.7999999999602</v>
          </cell>
          <cell r="H461">
            <v>5299.8</v>
          </cell>
          <cell r="I461">
            <v>1095.8999999999601</v>
          </cell>
          <cell r="J461">
            <v>5322.4</v>
          </cell>
        </row>
        <row r="462">
          <cell r="G462">
            <v>1095.8999999999601</v>
          </cell>
          <cell r="H462">
            <v>5322.4</v>
          </cell>
          <cell r="I462">
            <v>1095.99999999996</v>
          </cell>
          <cell r="J462">
            <v>5345</v>
          </cell>
        </row>
        <row r="463">
          <cell r="G463">
            <v>1095.99999999996</v>
          </cell>
          <cell r="H463">
            <v>5345</v>
          </cell>
          <cell r="I463">
            <v>1096.0999999999599</v>
          </cell>
          <cell r="J463">
            <v>5368.2</v>
          </cell>
        </row>
        <row r="464">
          <cell r="G464">
            <v>1096.0999999999599</v>
          </cell>
          <cell r="H464">
            <v>5368.2</v>
          </cell>
          <cell r="I464">
            <v>1096.1999999999598</v>
          </cell>
          <cell r="J464">
            <v>5391.4</v>
          </cell>
        </row>
        <row r="465">
          <cell r="G465">
            <v>1096.1999999999598</v>
          </cell>
          <cell r="H465">
            <v>5391.4</v>
          </cell>
          <cell r="I465">
            <v>1096.2999999999597</v>
          </cell>
          <cell r="J465">
            <v>5414.6</v>
          </cell>
        </row>
        <row r="466">
          <cell r="G466">
            <v>1096.2999999999597</v>
          </cell>
          <cell r="H466">
            <v>5414.6</v>
          </cell>
          <cell r="I466">
            <v>1096.3999999999596</v>
          </cell>
          <cell r="J466">
            <v>5437.8</v>
          </cell>
        </row>
        <row r="467">
          <cell r="G467">
            <v>1096.3999999999596</v>
          </cell>
          <cell r="H467">
            <v>5437.8</v>
          </cell>
          <cell r="I467">
            <v>1096.4999999999595</v>
          </cell>
          <cell r="J467">
            <v>5461</v>
          </cell>
        </row>
        <row r="468">
          <cell r="G468">
            <v>1096.4999999999595</v>
          </cell>
          <cell r="H468">
            <v>5461</v>
          </cell>
          <cell r="I468">
            <v>1096.5999999999594</v>
          </cell>
          <cell r="J468">
            <v>5484.2</v>
          </cell>
        </row>
        <row r="469">
          <cell r="G469">
            <v>1096.5999999999594</v>
          </cell>
          <cell r="H469">
            <v>5484.2</v>
          </cell>
          <cell r="I469">
            <v>1096.6999999999593</v>
          </cell>
          <cell r="J469">
            <v>5507.4</v>
          </cell>
        </row>
        <row r="470">
          <cell r="G470">
            <v>1096.6999999999593</v>
          </cell>
          <cell r="H470">
            <v>5507.4</v>
          </cell>
          <cell r="I470">
            <v>1096.7999999999593</v>
          </cell>
          <cell r="J470">
            <v>5530.6</v>
          </cell>
        </row>
        <row r="471">
          <cell r="G471">
            <v>1096.7999999999593</v>
          </cell>
          <cell r="H471">
            <v>5530.6</v>
          </cell>
          <cell r="I471">
            <v>1096.8999999999592</v>
          </cell>
          <cell r="J471">
            <v>5553.8</v>
          </cell>
        </row>
        <row r="472">
          <cell r="G472">
            <v>1096.8999999999592</v>
          </cell>
          <cell r="H472">
            <v>5553.8</v>
          </cell>
          <cell r="I472">
            <v>1096.9999999999591</v>
          </cell>
          <cell r="J472">
            <v>5577</v>
          </cell>
        </row>
        <row r="473">
          <cell r="G473">
            <v>1096.9999999999591</v>
          </cell>
          <cell r="H473">
            <v>5577</v>
          </cell>
          <cell r="I473">
            <v>1097.099999999959</v>
          </cell>
          <cell r="J473">
            <v>5600.9</v>
          </cell>
        </row>
        <row r="474">
          <cell r="G474">
            <v>1097.099999999959</v>
          </cell>
          <cell r="H474">
            <v>5600.9</v>
          </cell>
          <cell r="I474">
            <v>1097.1999999999589</v>
          </cell>
          <cell r="J474">
            <v>5624.8</v>
          </cell>
        </row>
        <row r="475">
          <cell r="G475">
            <v>1097.1999999999589</v>
          </cell>
          <cell r="H475">
            <v>5624.8</v>
          </cell>
          <cell r="I475">
            <v>1097.2999999999588</v>
          </cell>
          <cell r="J475">
            <v>5648.7</v>
          </cell>
        </row>
        <row r="476">
          <cell r="G476">
            <v>1097.2999999999588</v>
          </cell>
          <cell r="H476">
            <v>5648.7</v>
          </cell>
          <cell r="I476">
            <v>1097.3999999999587</v>
          </cell>
          <cell r="J476">
            <v>5672.6</v>
          </cell>
        </row>
        <row r="477">
          <cell r="G477">
            <v>1097.3999999999587</v>
          </cell>
          <cell r="H477">
            <v>5672.6</v>
          </cell>
          <cell r="I477">
            <v>1097.4999999999586</v>
          </cell>
          <cell r="J477">
            <v>5696.5</v>
          </cell>
        </row>
        <row r="478">
          <cell r="G478">
            <v>1097.4999999999586</v>
          </cell>
          <cell r="H478">
            <v>5696.5</v>
          </cell>
          <cell r="I478">
            <v>1097.5999999999585</v>
          </cell>
          <cell r="J478">
            <v>5720.4</v>
          </cell>
        </row>
        <row r="479">
          <cell r="G479">
            <v>1097.5999999999585</v>
          </cell>
          <cell r="H479">
            <v>5720.4</v>
          </cell>
          <cell r="I479">
            <v>1097.6999999999584</v>
          </cell>
          <cell r="J479">
            <v>5744.3</v>
          </cell>
        </row>
        <row r="480">
          <cell r="G480">
            <v>1097.6999999999584</v>
          </cell>
          <cell r="H480">
            <v>5744.3</v>
          </cell>
          <cell r="I480">
            <v>1097.7999999999583</v>
          </cell>
          <cell r="J480">
            <v>5768.2</v>
          </cell>
        </row>
        <row r="481">
          <cell r="G481">
            <v>1097.7999999999583</v>
          </cell>
          <cell r="H481">
            <v>5768.2</v>
          </cell>
          <cell r="I481">
            <v>1097.8999999999583</v>
          </cell>
          <cell r="J481">
            <v>5792.1</v>
          </cell>
        </row>
        <row r="482">
          <cell r="G482">
            <v>1097.8999999999583</v>
          </cell>
          <cell r="H482">
            <v>5792.1</v>
          </cell>
          <cell r="I482">
            <v>1097.9999999999582</v>
          </cell>
          <cell r="J482">
            <v>5816</v>
          </cell>
        </row>
        <row r="483">
          <cell r="G483">
            <v>1097.9999999999582</v>
          </cell>
          <cell r="H483">
            <v>5816</v>
          </cell>
          <cell r="I483">
            <v>1098.0999999999581</v>
          </cell>
          <cell r="J483">
            <v>5840.5</v>
          </cell>
        </row>
        <row r="484">
          <cell r="G484">
            <v>1098.0999999999581</v>
          </cell>
          <cell r="H484">
            <v>5840.5</v>
          </cell>
          <cell r="I484">
            <v>1098.199999999958</v>
          </cell>
          <cell r="J484">
            <v>5865</v>
          </cell>
        </row>
        <row r="485">
          <cell r="G485">
            <v>1098.199999999958</v>
          </cell>
          <cell r="H485">
            <v>5865</v>
          </cell>
          <cell r="I485">
            <v>1098.2999999999579</v>
          </cell>
          <cell r="J485">
            <v>5889.5</v>
          </cell>
        </row>
        <row r="486">
          <cell r="G486">
            <v>1098.2999999999579</v>
          </cell>
          <cell r="H486">
            <v>5889.5</v>
          </cell>
          <cell r="I486">
            <v>1098.3999999999578</v>
          </cell>
          <cell r="J486">
            <v>5914</v>
          </cell>
        </row>
        <row r="487">
          <cell r="G487">
            <v>1098.3999999999578</v>
          </cell>
          <cell r="H487">
            <v>5914</v>
          </cell>
          <cell r="I487">
            <v>1098.4999999999577</v>
          </cell>
          <cell r="J487">
            <v>5938.5</v>
          </cell>
        </row>
        <row r="488">
          <cell r="G488">
            <v>1098.4999999999577</v>
          </cell>
          <cell r="H488">
            <v>5938.5</v>
          </cell>
          <cell r="I488">
            <v>1098.5999999999576</v>
          </cell>
          <cell r="J488">
            <v>5963</v>
          </cell>
        </row>
        <row r="489">
          <cell r="G489">
            <v>1098.5999999999576</v>
          </cell>
          <cell r="H489">
            <v>5963</v>
          </cell>
          <cell r="I489">
            <v>1098.6999999999575</v>
          </cell>
          <cell r="J489">
            <v>5987.5</v>
          </cell>
        </row>
        <row r="490">
          <cell r="G490">
            <v>1098.6999999999575</v>
          </cell>
          <cell r="H490">
            <v>5987.5</v>
          </cell>
          <cell r="I490">
            <v>1098.7999999999574</v>
          </cell>
          <cell r="J490">
            <v>6012</v>
          </cell>
        </row>
        <row r="491">
          <cell r="G491">
            <v>1098.7999999999574</v>
          </cell>
          <cell r="H491">
            <v>6012</v>
          </cell>
          <cell r="I491">
            <v>1098.8999999999573</v>
          </cell>
          <cell r="J491">
            <v>6036.5</v>
          </cell>
        </row>
        <row r="492">
          <cell r="G492">
            <v>1098.8999999999573</v>
          </cell>
          <cell r="H492">
            <v>6036.5</v>
          </cell>
          <cell r="I492">
            <v>1098.9999999999573</v>
          </cell>
          <cell r="J492">
            <v>6061</v>
          </cell>
        </row>
        <row r="493">
          <cell r="G493">
            <v>1098.9999999999573</v>
          </cell>
          <cell r="H493">
            <v>6061</v>
          </cell>
          <cell r="I493">
            <v>1099.0999999999572</v>
          </cell>
          <cell r="J493">
            <v>6086.2</v>
          </cell>
        </row>
        <row r="494">
          <cell r="G494">
            <v>1099.0999999999572</v>
          </cell>
          <cell r="H494">
            <v>6086.2</v>
          </cell>
          <cell r="I494">
            <v>1099.1999999999571</v>
          </cell>
          <cell r="J494">
            <v>6111.4</v>
          </cell>
        </row>
        <row r="495">
          <cell r="G495">
            <v>1099.1999999999571</v>
          </cell>
          <cell r="H495">
            <v>6111.4</v>
          </cell>
          <cell r="I495">
            <v>1099.299999999957</v>
          </cell>
          <cell r="J495">
            <v>6136.6</v>
          </cell>
        </row>
        <row r="496">
          <cell r="G496">
            <v>1099.299999999957</v>
          </cell>
          <cell r="H496">
            <v>6136.6</v>
          </cell>
          <cell r="I496">
            <v>1099.3999999999569</v>
          </cell>
          <cell r="J496">
            <v>6161.8</v>
          </cell>
        </row>
        <row r="497">
          <cell r="G497">
            <v>1099.3999999999569</v>
          </cell>
          <cell r="H497">
            <v>6161.8</v>
          </cell>
          <cell r="I497">
            <v>1099.4999999999568</v>
          </cell>
          <cell r="J497">
            <v>6187</v>
          </cell>
        </row>
        <row r="498">
          <cell r="G498">
            <v>1099.4999999999568</v>
          </cell>
          <cell r="H498">
            <v>6187</v>
          </cell>
          <cell r="I498">
            <v>1099.5999999999567</v>
          </cell>
          <cell r="J498">
            <v>6212.2</v>
          </cell>
        </row>
        <row r="499">
          <cell r="G499">
            <v>1099.5999999999567</v>
          </cell>
          <cell r="H499">
            <v>6212.2</v>
          </cell>
          <cell r="I499">
            <v>1099.6999999999566</v>
          </cell>
          <cell r="J499">
            <v>6237.4</v>
          </cell>
        </row>
        <row r="500">
          <cell r="G500">
            <v>1099.6999999999566</v>
          </cell>
          <cell r="H500">
            <v>6237.4</v>
          </cell>
          <cell r="I500">
            <v>1099.7999999999565</v>
          </cell>
          <cell r="J500">
            <v>6262.6</v>
          </cell>
        </row>
        <row r="501">
          <cell r="G501">
            <v>1099.7999999999565</v>
          </cell>
          <cell r="H501">
            <v>6262.6</v>
          </cell>
          <cell r="I501">
            <v>1099.8999999999564</v>
          </cell>
          <cell r="J501">
            <v>6287.8</v>
          </cell>
        </row>
        <row r="502">
          <cell r="G502">
            <v>1099.8999999999564</v>
          </cell>
          <cell r="H502">
            <v>6287.8</v>
          </cell>
          <cell r="I502">
            <v>1099.9999999999563</v>
          </cell>
          <cell r="J502">
            <v>6313</v>
          </cell>
        </row>
        <row r="503">
          <cell r="G503">
            <v>1099.9999999999563</v>
          </cell>
          <cell r="H503">
            <v>6313</v>
          </cell>
          <cell r="I503">
            <v>1100.0999999999563</v>
          </cell>
          <cell r="J503">
            <v>6338.9</v>
          </cell>
        </row>
        <row r="504">
          <cell r="G504">
            <v>1100.0999999999563</v>
          </cell>
          <cell r="H504">
            <v>6338.9</v>
          </cell>
          <cell r="I504">
            <v>1100.1999999999562</v>
          </cell>
          <cell r="J504">
            <v>6364.8</v>
          </cell>
        </row>
        <row r="505">
          <cell r="G505">
            <v>1100.1999999999562</v>
          </cell>
          <cell r="H505">
            <v>6364.8</v>
          </cell>
          <cell r="I505">
            <v>1100.2999999999561</v>
          </cell>
          <cell r="J505">
            <v>6390.7</v>
          </cell>
        </row>
        <row r="506">
          <cell r="G506">
            <v>1100.2999999999561</v>
          </cell>
          <cell r="H506">
            <v>6390.7</v>
          </cell>
          <cell r="I506">
            <v>1100.399999999956</v>
          </cell>
          <cell r="J506">
            <v>6416.6</v>
          </cell>
        </row>
        <row r="507">
          <cell r="G507">
            <v>1100.399999999956</v>
          </cell>
          <cell r="H507">
            <v>6416.6</v>
          </cell>
          <cell r="I507">
            <v>1100.4999999999559</v>
          </cell>
          <cell r="J507">
            <v>6442.5</v>
          </cell>
        </row>
        <row r="508">
          <cell r="G508">
            <v>1100.4999999999559</v>
          </cell>
          <cell r="H508">
            <v>6442.5</v>
          </cell>
          <cell r="I508">
            <v>1100.5999999999558</v>
          </cell>
          <cell r="J508">
            <v>6468.4</v>
          </cell>
        </row>
        <row r="509">
          <cell r="G509">
            <v>1100.5999999999558</v>
          </cell>
          <cell r="H509">
            <v>6468.4</v>
          </cell>
          <cell r="I509">
            <v>1100.6999999999557</v>
          </cell>
          <cell r="J509">
            <v>6494.3</v>
          </cell>
        </row>
        <row r="510">
          <cell r="G510">
            <v>1100.6999999999557</v>
          </cell>
          <cell r="H510">
            <v>6494.3</v>
          </cell>
          <cell r="I510">
            <v>1100.7999999999556</v>
          </cell>
          <cell r="J510">
            <v>6520.2</v>
          </cell>
        </row>
        <row r="511">
          <cell r="G511">
            <v>1100.7999999999556</v>
          </cell>
          <cell r="H511">
            <v>6520.2</v>
          </cell>
          <cell r="I511">
            <v>1100.8999999999555</v>
          </cell>
          <cell r="J511">
            <v>6546.1</v>
          </cell>
        </row>
        <row r="512">
          <cell r="G512">
            <v>1100.8999999999555</v>
          </cell>
          <cell r="H512">
            <v>6546.1</v>
          </cell>
          <cell r="I512">
            <v>1100.9999999999554</v>
          </cell>
          <cell r="J512">
            <v>6572</v>
          </cell>
        </row>
        <row r="513">
          <cell r="G513">
            <v>1100.9999999999554</v>
          </cell>
          <cell r="H513">
            <v>6572</v>
          </cell>
          <cell r="I513">
            <v>1101.0999999999553</v>
          </cell>
          <cell r="J513">
            <v>6598.6</v>
          </cell>
        </row>
        <row r="514">
          <cell r="G514">
            <v>1101.0999999999553</v>
          </cell>
          <cell r="H514">
            <v>6598.6</v>
          </cell>
          <cell r="I514">
            <v>1101.1999999999553</v>
          </cell>
          <cell r="J514">
            <v>6625.2</v>
          </cell>
        </row>
        <row r="515">
          <cell r="G515">
            <v>1101.1999999999553</v>
          </cell>
          <cell r="H515">
            <v>6625.2</v>
          </cell>
          <cell r="I515">
            <v>1101.2999999999552</v>
          </cell>
          <cell r="J515">
            <v>6651.8</v>
          </cell>
        </row>
        <row r="516">
          <cell r="G516">
            <v>1101.2999999999552</v>
          </cell>
          <cell r="H516">
            <v>6651.8</v>
          </cell>
          <cell r="I516">
            <v>1101.3999999999551</v>
          </cell>
          <cell r="J516">
            <v>6678.4</v>
          </cell>
        </row>
        <row r="517">
          <cell r="G517">
            <v>1101.3999999999551</v>
          </cell>
          <cell r="H517">
            <v>6678.4</v>
          </cell>
          <cell r="I517">
            <v>1101.499999999955</v>
          </cell>
          <cell r="J517">
            <v>6705</v>
          </cell>
        </row>
        <row r="518">
          <cell r="G518">
            <v>1101.499999999955</v>
          </cell>
          <cell r="H518">
            <v>6705</v>
          </cell>
          <cell r="I518">
            <v>1101.5999999999549</v>
          </cell>
          <cell r="J518">
            <v>6731.6</v>
          </cell>
        </row>
        <row r="519">
          <cell r="G519">
            <v>1101.5999999999549</v>
          </cell>
          <cell r="H519">
            <v>6731.6</v>
          </cell>
          <cell r="I519">
            <v>1101.6999999999548</v>
          </cell>
          <cell r="J519">
            <v>6758.2</v>
          </cell>
        </row>
        <row r="520">
          <cell r="G520">
            <v>1101.6999999999548</v>
          </cell>
          <cell r="H520">
            <v>6758.2</v>
          </cell>
          <cell r="I520">
            <v>1101.7999999999547</v>
          </cell>
          <cell r="J520">
            <v>6784.8</v>
          </cell>
        </row>
        <row r="521">
          <cell r="G521">
            <v>1101.7999999999547</v>
          </cell>
          <cell r="H521">
            <v>6784.8</v>
          </cell>
          <cell r="I521">
            <v>1101.8999999999546</v>
          </cell>
          <cell r="J521">
            <v>6811.4</v>
          </cell>
        </row>
        <row r="522">
          <cell r="G522">
            <v>1101.8999999999546</v>
          </cell>
          <cell r="H522">
            <v>6811.4</v>
          </cell>
          <cell r="I522">
            <v>1101.9999999999545</v>
          </cell>
          <cell r="J522">
            <v>6838</v>
          </cell>
        </row>
        <row r="523">
          <cell r="G523">
            <v>1101.9999999999545</v>
          </cell>
          <cell r="H523">
            <v>6838</v>
          </cell>
          <cell r="I523">
            <v>1102.0999999999544</v>
          </cell>
          <cell r="J523">
            <v>6865.5</v>
          </cell>
        </row>
        <row r="524">
          <cell r="G524">
            <v>1102.0999999999544</v>
          </cell>
          <cell r="H524">
            <v>6865.5</v>
          </cell>
          <cell r="I524">
            <v>1102.1999999999543</v>
          </cell>
          <cell r="J524">
            <v>6893</v>
          </cell>
        </row>
        <row r="525">
          <cell r="G525">
            <v>1102.1999999999543</v>
          </cell>
          <cell r="H525">
            <v>6893</v>
          </cell>
          <cell r="I525">
            <v>1102.2999999999543</v>
          </cell>
          <cell r="J525">
            <v>6920.5</v>
          </cell>
        </row>
        <row r="526">
          <cell r="G526">
            <v>1102.2999999999543</v>
          </cell>
          <cell r="H526">
            <v>6920.5</v>
          </cell>
          <cell r="I526">
            <v>1102.3999999999542</v>
          </cell>
          <cell r="J526">
            <v>6948</v>
          </cell>
        </row>
        <row r="527">
          <cell r="G527">
            <v>1102.3999999999542</v>
          </cell>
          <cell r="H527">
            <v>6948</v>
          </cell>
          <cell r="I527">
            <v>1102.4999999999541</v>
          </cell>
          <cell r="J527">
            <v>6975.5</v>
          </cell>
        </row>
        <row r="528">
          <cell r="G528">
            <v>1102.4999999999541</v>
          </cell>
          <cell r="H528">
            <v>6975.5</v>
          </cell>
          <cell r="I528">
            <v>1102.599999999954</v>
          </cell>
          <cell r="J528">
            <v>7003</v>
          </cell>
        </row>
        <row r="529">
          <cell r="G529">
            <v>1102.599999999954</v>
          </cell>
          <cell r="H529">
            <v>7003</v>
          </cell>
          <cell r="I529">
            <v>1102.6999999999539</v>
          </cell>
          <cell r="J529">
            <v>7030.5</v>
          </cell>
        </row>
        <row r="530">
          <cell r="G530">
            <v>1102.6999999999539</v>
          </cell>
          <cell r="H530">
            <v>7030.5</v>
          </cell>
          <cell r="I530">
            <v>1102.7999999999538</v>
          </cell>
          <cell r="J530">
            <v>7058</v>
          </cell>
        </row>
        <row r="531">
          <cell r="G531">
            <v>1102.7999999999538</v>
          </cell>
          <cell r="H531">
            <v>7058</v>
          </cell>
          <cell r="I531">
            <v>1102.8999999999537</v>
          </cell>
          <cell r="J531">
            <v>7085.5</v>
          </cell>
        </row>
        <row r="532">
          <cell r="G532">
            <v>1102.8999999999537</v>
          </cell>
          <cell r="H532">
            <v>7085.5</v>
          </cell>
          <cell r="I532">
            <v>1102.9999999999536</v>
          </cell>
          <cell r="J532">
            <v>7113</v>
          </cell>
        </row>
        <row r="533">
          <cell r="G533">
            <v>1102.9999999999536</v>
          </cell>
          <cell r="H533">
            <v>7113</v>
          </cell>
          <cell r="I533">
            <v>1103.0999999999535</v>
          </cell>
          <cell r="J533">
            <v>7141.3</v>
          </cell>
        </row>
        <row r="534">
          <cell r="G534">
            <v>1103.0999999999535</v>
          </cell>
          <cell r="H534">
            <v>7141.3</v>
          </cell>
          <cell r="I534">
            <v>1103.1999999999534</v>
          </cell>
          <cell r="J534">
            <v>7169.6</v>
          </cell>
        </row>
        <row r="535">
          <cell r="G535">
            <v>1103.1999999999534</v>
          </cell>
          <cell r="H535">
            <v>7169.6</v>
          </cell>
          <cell r="I535">
            <v>1103.2999999999533</v>
          </cell>
          <cell r="J535">
            <v>7197.9</v>
          </cell>
        </row>
        <row r="536">
          <cell r="G536">
            <v>1103.2999999999533</v>
          </cell>
          <cell r="H536">
            <v>7197.9</v>
          </cell>
          <cell r="I536">
            <v>1103.3999999999533</v>
          </cell>
          <cell r="J536">
            <v>7226.2</v>
          </cell>
        </row>
        <row r="537">
          <cell r="G537">
            <v>1103.3999999999533</v>
          </cell>
          <cell r="H537">
            <v>7226.2</v>
          </cell>
          <cell r="I537">
            <v>1103.4999999999532</v>
          </cell>
          <cell r="J537">
            <v>7254.5</v>
          </cell>
        </row>
        <row r="538">
          <cell r="G538">
            <v>1103.4999999999532</v>
          </cell>
          <cell r="H538">
            <v>7254.5</v>
          </cell>
          <cell r="I538">
            <v>1103.5999999999531</v>
          </cell>
          <cell r="J538">
            <v>7282.8</v>
          </cell>
        </row>
        <row r="539">
          <cell r="G539">
            <v>1103.5999999999531</v>
          </cell>
          <cell r="H539">
            <v>7282.8</v>
          </cell>
          <cell r="I539">
            <v>1103.699999999953</v>
          </cell>
          <cell r="J539">
            <v>7311.1</v>
          </cell>
        </row>
        <row r="540">
          <cell r="G540">
            <v>1103.699999999953</v>
          </cell>
          <cell r="H540">
            <v>7311.1</v>
          </cell>
          <cell r="I540">
            <v>1103.7999999999529</v>
          </cell>
          <cell r="J540">
            <v>7339.4</v>
          </cell>
        </row>
        <row r="541">
          <cell r="G541">
            <v>1103.7999999999529</v>
          </cell>
          <cell r="H541">
            <v>7339.4</v>
          </cell>
          <cell r="I541">
            <v>1103.8999999999528</v>
          </cell>
          <cell r="J541">
            <v>7367.7</v>
          </cell>
        </row>
        <row r="542">
          <cell r="G542">
            <v>1103.8999999999528</v>
          </cell>
          <cell r="H542">
            <v>7367.7</v>
          </cell>
          <cell r="I542">
            <v>1103.9999999999527</v>
          </cell>
          <cell r="J542">
            <v>7396</v>
          </cell>
        </row>
        <row r="543">
          <cell r="G543">
            <v>1103.9999999999527</v>
          </cell>
          <cell r="H543">
            <v>7396</v>
          </cell>
          <cell r="I543">
            <v>1104.0999999999526</v>
          </cell>
          <cell r="J543">
            <v>7425.1</v>
          </cell>
        </row>
        <row r="544">
          <cell r="G544">
            <v>1104.0999999999526</v>
          </cell>
          <cell r="H544">
            <v>7425.1</v>
          </cell>
          <cell r="I544">
            <v>1104.1999999999525</v>
          </cell>
          <cell r="J544">
            <v>7454.2</v>
          </cell>
        </row>
        <row r="545">
          <cell r="G545">
            <v>1104.1999999999525</v>
          </cell>
          <cell r="H545">
            <v>7454.2</v>
          </cell>
          <cell r="I545">
            <v>1104.2999999999524</v>
          </cell>
          <cell r="J545">
            <v>7483.3</v>
          </cell>
        </row>
        <row r="546">
          <cell r="G546">
            <v>1104.2999999999524</v>
          </cell>
          <cell r="H546">
            <v>7483.3</v>
          </cell>
          <cell r="I546">
            <v>1104.3999999999523</v>
          </cell>
          <cell r="J546">
            <v>7512.4</v>
          </cell>
        </row>
        <row r="547">
          <cell r="G547">
            <v>1104.3999999999523</v>
          </cell>
          <cell r="H547">
            <v>7512.4</v>
          </cell>
          <cell r="I547">
            <v>1104.4999999999523</v>
          </cell>
          <cell r="J547">
            <v>7541.5</v>
          </cell>
        </row>
        <row r="548">
          <cell r="G548">
            <v>1104.4999999999523</v>
          </cell>
          <cell r="H548">
            <v>7541.5</v>
          </cell>
          <cell r="I548">
            <v>1104.5999999999522</v>
          </cell>
          <cell r="J548">
            <v>7570.6</v>
          </cell>
        </row>
        <row r="549">
          <cell r="G549">
            <v>1104.5999999999522</v>
          </cell>
          <cell r="H549">
            <v>7570.6</v>
          </cell>
          <cell r="I549">
            <v>1104.6999999999521</v>
          </cell>
          <cell r="J549">
            <v>7599.7</v>
          </cell>
        </row>
        <row r="550">
          <cell r="G550">
            <v>1104.6999999999521</v>
          </cell>
          <cell r="H550">
            <v>7599.7</v>
          </cell>
          <cell r="I550">
            <v>1104.799999999952</v>
          </cell>
          <cell r="J550">
            <v>7628.8</v>
          </cell>
        </row>
        <row r="551">
          <cell r="G551">
            <v>1104.799999999952</v>
          </cell>
          <cell r="H551">
            <v>7628.8</v>
          </cell>
          <cell r="I551">
            <v>1104.8999999999519</v>
          </cell>
          <cell r="J551">
            <v>7657.9</v>
          </cell>
        </row>
        <row r="552">
          <cell r="G552">
            <v>1104.8999999999519</v>
          </cell>
          <cell r="H552">
            <v>7657.9</v>
          </cell>
          <cell r="I552">
            <v>1104.9999999999518</v>
          </cell>
          <cell r="J552">
            <v>7687</v>
          </cell>
        </row>
        <row r="553">
          <cell r="G553">
            <v>1104.9999999999518</v>
          </cell>
          <cell r="H553">
            <v>7687</v>
          </cell>
          <cell r="I553">
            <v>1105.0999999999517</v>
          </cell>
          <cell r="J553">
            <v>7717</v>
          </cell>
        </row>
        <row r="554">
          <cell r="G554">
            <v>1105.0999999999517</v>
          </cell>
          <cell r="H554">
            <v>7717</v>
          </cell>
          <cell r="I554">
            <v>1105.1999999999516</v>
          </cell>
          <cell r="J554">
            <v>7747</v>
          </cell>
        </row>
        <row r="555">
          <cell r="G555">
            <v>1105.1999999999516</v>
          </cell>
          <cell r="H555">
            <v>7747</v>
          </cell>
          <cell r="I555">
            <v>1105.2999999999515</v>
          </cell>
          <cell r="J555">
            <v>7777</v>
          </cell>
        </row>
        <row r="556">
          <cell r="G556">
            <v>1105.2999999999515</v>
          </cell>
          <cell r="H556">
            <v>7777</v>
          </cell>
          <cell r="I556">
            <v>1105.3999999999514</v>
          </cell>
          <cell r="J556">
            <v>7807</v>
          </cell>
        </row>
        <row r="557">
          <cell r="G557">
            <v>1105.3999999999514</v>
          </cell>
          <cell r="H557">
            <v>7807</v>
          </cell>
          <cell r="I557">
            <v>1105.4999999999513</v>
          </cell>
          <cell r="J557">
            <v>7837</v>
          </cell>
        </row>
        <row r="558">
          <cell r="G558">
            <v>1105.4999999999513</v>
          </cell>
          <cell r="H558">
            <v>7837</v>
          </cell>
          <cell r="I558">
            <v>1105.5999999999513</v>
          </cell>
          <cell r="J558">
            <v>7867</v>
          </cell>
        </row>
        <row r="559">
          <cell r="G559">
            <v>1105.5999999999513</v>
          </cell>
          <cell r="H559">
            <v>7867</v>
          </cell>
          <cell r="I559">
            <v>1105.6999999999512</v>
          </cell>
          <cell r="J559">
            <v>7897</v>
          </cell>
        </row>
        <row r="560">
          <cell r="G560">
            <v>1105.6999999999512</v>
          </cell>
          <cell r="H560">
            <v>7897</v>
          </cell>
          <cell r="I560">
            <v>1105.7999999999511</v>
          </cell>
          <cell r="J560">
            <v>7927</v>
          </cell>
        </row>
        <row r="561">
          <cell r="G561">
            <v>1105.7999999999511</v>
          </cell>
          <cell r="H561">
            <v>7927</v>
          </cell>
          <cell r="I561">
            <v>1105.899999999951</v>
          </cell>
          <cell r="J561">
            <v>7957</v>
          </cell>
        </row>
        <row r="562">
          <cell r="G562">
            <v>1105.899999999951</v>
          </cell>
          <cell r="H562">
            <v>7957</v>
          </cell>
          <cell r="I562">
            <v>1105.9999999999509</v>
          </cell>
          <cell r="J562">
            <v>7987</v>
          </cell>
        </row>
        <row r="563">
          <cell r="G563">
            <v>1105.9999999999509</v>
          </cell>
          <cell r="H563">
            <v>7987</v>
          </cell>
          <cell r="I563">
            <v>1106.0999999999508</v>
          </cell>
          <cell r="J563">
            <v>8017.8</v>
          </cell>
        </row>
        <row r="564">
          <cell r="G564">
            <v>1106.0999999999508</v>
          </cell>
          <cell r="H564">
            <v>8017.8</v>
          </cell>
          <cell r="I564">
            <v>1106.1999999999507</v>
          </cell>
          <cell r="J564">
            <v>8048.6</v>
          </cell>
        </row>
        <row r="565">
          <cell r="G565">
            <v>1106.1999999999507</v>
          </cell>
          <cell r="H565">
            <v>8048.6</v>
          </cell>
          <cell r="I565">
            <v>1106.2999999999506</v>
          </cell>
          <cell r="J565">
            <v>8079.4</v>
          </cell>
        </row>
        <row r="566">
          <cell r="G566">
            <v>1106.2999999999506</v>
          </cell>
          <cell r="H566">
            <v>8079.4</v>
          </cell>
          <cell r="I566">
            <v>1106.3999999999505</v>
          </cell>
          <cell r="J566">
            <v>8110.2</v>
          </cell>
        </row>
        <row r="567">
          <cell r="G567">
            <v>1106.3999999999505</v>
          </cell>
          <cell r="H567">
            <v>8110.2</v>
          </cell>
          <cell r="I567">
            <v>1106.4999999999504</v>
          </cell>
          <cell r="J567">
            <v>8141</v>
          </cell>
        </row>
        <row r="568">
          <cell r="G568">
            <v>1106.4999999999504</v>
          </cell>
          <cell r="H568">
            <v>8141</v>
          </cell>
          <cell r="I568">
            <v>1106.5999999999503</v>
          </cell>
          <cell r="J568">
            <v>8171.8</v>
          </cell>
        </row>
        <row r="569">
          <cell r="G569">
            <v>1106.5999999999503</v>
          </cell>
          <cell r="H569">
            <v>8171.8</v>
          </cell>
          <cell r="I569">
            <v>1106.6999999999503</v>
          </cell>
          <cell r="J569">
            <v>8202.6</v>
          </cell>
        </row>
        <row r="570">
          <cell r="G570">
            <v>1106.6999999999503</v>
          </cell>
          <cell r="H570">
            <v>8202.6</v>
          </cell>
          <cell r="I570">
            <v>1106.7999999999502</v>
          </cell>
          <cell r="J570">
            <v>8233.4</v>
          </cell>
        </row>
        <row r="571">
          <cell r="G571">
            <v>1106.7999999999502</v>
          </cell>
          <cell r="H571">
            <v>8233.4</v>
          </cell>
          <cell r="I571">
            <v>1106.8999999999501</v>
          </cell>
          <cell r="J571">
            <v>8264.2000000000007</v>
          </cell>
        </row>
        <row r="572">
          <cell r="G572">
            <v>1106.8999999999501</v>
          </cell>
          <cell r="H572">
            <v>8264.2000000000007</v>
          </cell>
          <cell r="I572">
            <v>1106.99999999995</v>
          </cell>
          <cell r="J572">
            <v>8295</v>
          </cell>
        </row>
        <row r="573">
          <cell r="G573">
            <v>1106.99999999995</v>
          </cell>
          <cell r="H573">
            <v>8295</v>
          </cell>
          <cell r="I573">
            <v>1107.0999999999499</v>
          </cell>
          <cell r="J573">
            <v>8326.7000000000007</v>
          </cell>
        </row>
        <row r="574">
          <cell r="G574">
            <v>1107.0999999999499</v>
          </cell>
          <cell r="H574">
            <v>8326.7000000000007</v>
          </cell>
          <cell r="I574">
            <v>1107.1999999999498</v>
          </cell>
          <cell r="J574">
            <v>8358.4</v>
          </cell>
        </row>
        <row r="575">
          <cell r="G575">
            <v>1107.1999999999498</v>
          </cell>
          <cell r="H575">
            <v>8358.4</v>
          </cell>
          <cell r="I575">
            <v>1107.2999999999497</v>
          </cell>
          <cell r="J575">
            <v>8390.1</v>
          </cell>
        </row>
        <row r="576">
          <cell r="G576">
            <v>1107.2999999999497</v>
          </cell>
          <cell r="H576">
            <v>8390.1</v>
          </cell>
          <cell r="I576">
            <v>1107.3999999999496</v>
          </cell>
          <cell r="J576">
            <v>8421.7999999999993</v>
          </cell>
        </row>
        <row r="577">
          <cell r="G577">
            <v>1107.3999999999496</v>
          </cell>
          <cell r="H577">
            <v>8421.7999999999993</v>
          </cell>
          <cell r="I577">
            <v>1107.4999999999495</v>
          </cell>
          <cell r="J577">
            <v>8453.5</v>
          </cell>
        </row>
        <row r="578">
          <cell r="G578">
            <v>1107.4999999999495</v>
          </cell>
          <cell r="H578">
            <v>8453.5</v>
          </cell>
          <cell r="I578">
            <v>1107.5999999999494</v>
          </cell>
          <cell r="J578">
            <v>8485.2000000000007</v>
          </cell>
        </row>
        <row r="579">
          <cell r="G579">
            <v>1107.5999999999494</v>
          </cell>
          <cell r="H579">
            <v>8485.2000000000007</v>
          </cell>
          <cell r="I579">
            <v>1107.6999999999493</v>
          </cell>
          <cell r="J579">
            <v>8516.9</v>
          </cell>
        </row>
        <row r="580">
          <cell r="G580">
            <v>1107.6999999999493</v>
          </cell>
          <cell r="H580">
            <v>8516.9</v>
          </cell>
          <cell r="I580">
            <v>1107.7999999999493</v>
          </cell>
          <cell r="J580">
            <v>8548.6000000000058</v>
          </cell>
        </row>
        <row r="581">
          <cell r="G581">
            <v>1107.7999999999493</v>
          </cell>
          <cell r="H581">
            <v>8548.6000000000058</v>
          </cell>
          <cell r="I581">
            <v>1107.8999999999492</v>
          </cell>
          <cell r="J581">
            <v>8580.3000000000065</v>
          </cell>
        </row>
        <row r="582">
          <cell r="G582">
            <v>1107.8999999999492</v>
          </cell>
          <cell r="H582">
            <v>8580.3000000000065</v>
          </cell>
          <cell r="I582">
            <v>1107.9999999999491</v>
          </cell>
          <cell r="J582">
            <v>8612</v>
          </cell>
        </row>
        <row r="583">
          <cell r="G583">
            <v>1107.9999999999491</v>
          </cell>
          <cell r="H583">
            <v>8612</v>
          </cell>
          <cell r="I583">
            <v>1108.099999999949</v>
          </cell>
          <cell r="J583">
            <v>8644.5</v>
          </cell>
        </row>
        <row r="584">
          <cell r="G584">
            <v>1108.099999999949</v>
          </cell>
          <cell r="H584">
            <v>8644.5</v>
          </cell>
          <cell r="I584">
            <v>1108.1999999999489</v>
          </cell>
          <cell r="J584">
            <v>8677</v>
          </cell>
        </row>
        <row r="585">
          <cell r="G585">
            <v>1108.1999999999489</v>
          </cell>
          <cell r="H585">
            <v>8677</v>
          </cell>
          <cell r="I585">
            <v>1108.2999999999488</v>
          </cell>
          <cell r="J585">
            <v>8709.5</v>
          </cell>
        </row>
        <row r="586">
          <cell r="G586">
            <v>1108.2999999999488</v>
          </cell>
          <cell r="H586">
            <v>8709.5</v>
          </cell>
          <cell r="I586">
            <v>1108.3999999999487</v>
          </cell>
          <cell r="J586">
            <v>8742</v>
          </cell>
        </row>
        <row r="587">
          <cell r="G587">
            <v>1108.3999999999487</v>
          </cell>
          <cell r="H587">
            <v>8742</v>
          </cell>
          <cell r="I587">
            <v>1108.4999999999486</v>
          </cell>
          <cell r="J587">
            <v>8774.5</v>
          </cell>
        </row>
        <row r="588">
          <cell r="G588">
            <v>1108.4999999999486</v>
          </cell>
          <cell r="H588">
            <v>8774.5</v>
          </cell>
          <cell r="I588">
            <v>1108.5999999999485</v>
          </cell>
          <cell r="J588">
            <v>8807</v>
          </cell>
        </row>
        <row r="589">
          <cell r="G589">
            <v>1108.5999999999485</v>
          </cell>
          <cell r="H589">
            <v>8807</v>
          </cell>
          <cell r="I589">
            <v>1108.6999999999484</v>
          </cell>
          <cell r="J589">
            <v>8839.5</v>
          </cell>
        </row>
        <row r="590">
          <cell r="G590">
            <v>1108.6999999999484</v>
          </cell>
          <cell r="H590">
            <v>8839.5</v>
          </cell>
          <cell r="I590">
            <v>1108.7999999999483</v>
          </cell>
          <cell r="J590">
            <v>8872</v>
          </cell>
        </row>
        <row r="591">
          <cell r="G591">
            <v>1108.7999999999483</v>
          </cell>
          <cell r="H591">
            <v>8872</v>
          </cell>
          <cell r="I591">
            <v>1108.8999999999482</v>
          </cell>
          <cell r="J591">
            <v>8904.5</v>
          </cell>
        </row>
        <row r="592">
          <cell r="G592">
            <v>1108.8999999999482</v>
          </cell>
          <cell r="H592">
            <v>8904.5</v>
          </cell>
          <cell r="I592">
            <v>1108.9999999999482</v>
          </cell>
          <cell r="J592">
            <v>8937</v>
          </cell>
        </row>
        <row r="593">
          <cell r="G593">
            <v>1108.9999999999482</v>
          </cell>
          <cell r="H593">
            <v>8937</v>
          </cell>
          <cell r="I593">
            <v>1109.0999999999481</v>
          </cell>
          <cell r="J593">
            <v>8970.4</v>
          </cell>
        </row>
        <row r="594">
          <cell r="G594">
            <v>1109.0999999999481</v>
          </cell>
          <cell r="H594">
            <v>8970.4</v>
          </cell>
          <cell r="I594">
            <v>1109.199999999948</v>
          </cell>
          <cell r="J594">
            <v>9003.7999999999993</v>
          </cell>
        </row>
        <row r="595">
          <cell r="G595">
            <v>1109.199999999948</v>
          </cell>
          <cell r="H595">
            <v>9003.7999999999993</v>
          </cell>
          <cell r="I595">
            <v>1109.2999999999479</v>
          </cell>
          <cell r="J595">
            <v>9037.2000000000007</v>
          </cell>
        </row>
        <row r="596">
          <cell r="G596">
            <v>1109.2999999999479</v>
          </cell>
          <cell r="H596">
            <v>9037.2000000000007</v>
          </cell>
          <cell r="I596">
            <v>1109.3999999999478</v>
          </cell>
          <cell r="J596">
            <v>9070.6</v>
          </cell>
        </row>
        <row r="597">
          <cell r="G597">
            <v>1109.3999999999478</v>
          </cell>
          <cell r="H597">
            <v>9070.6</v>
          </cell>
          <cell r="I597">
            <v>1109.4999999999477</v>
          </cell>
          <cell r="J597">
            <v>9104</v>
          </cell>
        </row>
        <row r="598">
          <cell r="G598">
            <v>1109.4999999999477</v>
          </cell>
          <cell r="H598">
            <v>9104</v>
          </cell>
          <cell r="I598">
            <v>1109.5999999999476</v>
          </cell>
          <cell r="J598">
            <v>9137.4</v>
          </cell>
        </row>
        <row r="599">
          <cell r="G599">
            <v>1109.5999999999476</v>
          </cell>
          <cell r="H599">
            <v>9137.4</v>
          </cell>
          <cell r="I599">
            <v>1109.6999999999475</v>
          </cell>
          <cell r="J599">
            <v>9170.7999999999993</v>
          </cell>
        </row>
        <row r="600">
          <cell r="G600">
            <v>1109.6999999999475</v>
          </cell>
          <cell r="H600">
            <v>9170.7999999999993</v>
          </cell>
          <cell r="I600">
            <v>1109.7999999999474</v>
          </cell>
          <cell r="J600">
            <v>9204.2000000000007</v>
          </cell>
        </row>
        <row r="601">
          <cell r="G601">
            <v>1109.7999999999474</v>
          </cell>
          <cell r="H601">
            <v>9204.2000000000007</v>
          </cell>
          <cell r="I601">
            <v>1109.8999999999473</v>
          </cell>
          <cell r="J601">
            <v>9237.6</v>
          </cell>
        </row>
        <row r="602">
          <cell r="G602">
            <v>1109.8999999999473</v>
          </cell>
          <cell r="H602">
            <v>9237.6</v>
          </cell>
          <cell r="I602">
            <v>1109.9999999999472</v>
          </cell>
          <cell r="J602">
            <v>9271</v>
          </cell>
        </row>
        <row r="603">
          <cell r="G603">
            <v>1109.9999999999472</v>
          </cell>
          <cell r="H603">
            <v>9271</v>
          </cell>
          <cell r="I603">
            <v>1110.0999999999472</v>
          </cell>
          <cell r="J603">
            <v>9305.4</v>
          </cell>
        </row>
        <row r="604">
          <cell r="G604">
            <v>1110.0999999999472</v>
          </cell>
          <cell r="H604">
            <v>9305.4</v>
          </cell>
          <cell r="I604">
            <v>1110.1999999999471</v>
          </cell>
          <cell r="J604">
            <v>9339.7999999999993</v>
          </cell>
        </row>
        <row r="605">
          <cell r="G605">
            <v>1110.1999999999471</v>
          </cell>
          <cell r="H605">
            <v>9339.7999999999993</v>
          </cell>
          <cell r="I605">
            <v>1110.299999999947</v>
          </cell>
          <cell r="J605">
            <v>9374.2000000000007</v>
          </cell>
        </row>
        <row r="606">
          <cell r="G606">
            <v>1110.299999999947</v>
          </cell>
          <cell r="H606">
            <v>9374.2000000000007</v>
          </cell>
          <cell r="I606">
            <v>1110.3999999999469</v>
          </cell>
          <cell r="J606">
            <v>9408.6</v>
          </cell>
        </row>
        <row r="607">
          <cell r="G607">
            <v>1110.3999999999469</v>
          </cell>
          <cell r="H607">
            <v>9408.6</v>
          </cell>
          <cell r="I607">
            <v>1110.4999999999468</v>
          </cell>
          <cell r="J607">
            <v>9443</v>
          </cell>
        </row>
        <row r="608">
          <cell r="G608">
            <v>1110.4999999999468</v>
          </cell>
          <cell r="H608">
            <v>9443</v>
          </cell>
          <cell r="I608">
            <v>1110.5999999999467</v>
          </cell>
          <cell r="J608">
            <v>9477.4</v>
          </cell>
        </row>
        <row r="609">
          <cell r="G609">
            <v>1110.5999999999467</v>
          </cell>
          <cell r="H609">
            <v>9477.4</v>
          </cell>
          <cell r="I609">
            <v>1110.6999999999466</v>
          </cell>
          <cell r="J609">
            <v>9511.7999999999993</v>
          </cell>
        </row>
        <row r="610">
          <cell r="G610">
            <v>1110.6999999999466</v>
          </cell>
          <cell r="H610">
            <v>9511.7999999999993</v>
          </cell>
          <cell r="I610">
            <v>1110.7999999999465</v>
          </cell>
          <cell r="J610">
            <v>9546.2000000000007</v>
          </cell>
        </row>
        <row r="611">
          <cell r="G611">
            <v>1110.7999999999465</v>
          </cell>
          <cell r="H611">
            <v>9546.2000000000007</v>
          </cell>
          <cell r="I611">
            <v>1110.8999999999464</v>
          </cell>
          <cell r="J611">
            <v>9580.6</v>
          </cell>
        </row>
        <row r="612">
          <cell r="G612">
            <v>1110.8999999999464</v>
          </cell>
          <cell r="H612">
            <v>9580.6</v>
          </cell>
          <cell r="I612">
            <v>1110.9999999999463</v>
          </cell>
          <cell r="J612">
            <v>9615</v>
          </cell>
        </row>
        <row r="613">
          <cell r="G613">
            <v>1110.9999999999463</v>
          </cell>
          <cell r="H613">
            <v>9615</v>
          </cell>
          <cell r="I613">
            <v>1111.0999999999462</v>
          </cell>
          <cell r="J613">
            <v>9650.2000000000007</v>
          </cell>
        </row>
        <row r="614">
          <cell r="G614">
            <v>1111.0999999999462</v>
          </cell>
          <cell r="H614">
            <v>9650.2000000000007</v>
          </cell>
          <cell r="I614">
            <v>1111.1999999999462</v>
          </cell>
          <cell r="J614">
            <v>9685.4</v>
          </cell>
        </row>
        <row r="615">
          <cell r="G615">
            <v>1111.1999999999462</v>
          </cell>
          <cell r="H615">
            <v>9685.4</v>
          </cell>
          <cell r="I615">
            <v>1111.2999999999461</v>
          </cell>
          <cell r="J615">
            <v>9720.6</v>
          </cell>
        </row>
        <row r="616">
          <cell r="G616">
            <v>1111.2999999999461</v>
          </cell>
          <cell r="H616">
            <v>9720.6</v>
          </cell>
          <cell r="I616">
            <v>1111.399999999946</v>
          </cell>
          <cell r="J616">
            <v>9755.7999999999993</v>
          </cell>
        </row>
        <row r="617">
          <cell r="G617">
            <v>1111.399999999946</v>
          </cell>
          <cell r="H617">
            <v>9755.7999999999993</v>
          </cell>
          <cell r="I617">
            <v>1111.4999999999459</v>
          </cell>
          <cell r="J617">
            <v>9791</v>
          </cell>
        </row>
        <row r="618">
          <cell r="G618">
            <v>1111.4999999999459</v>
          </cell>
          <cell r="H618">
            <v>9791</v>
          </cell>
          <cell r="I618">
            <v>1111.5999999999458</v>
          </cell>
          <cell r="J618">
            <v>9826.2000000000007</v>
          </cell>
        </row>
        <row r="619">
          <cell r="G619">
            <v>1111.5999999999458</v>
          </cell>
          <cell r="H619">
            <v>9826.2000000000007</v>
          </cell>
          <cell r="I619">
            <v>1111.6999999999457</v>
          </cell>
          <cell r="J619">
            <v>9861.4</v>
          </cell>
        </row>
        <row r="620">
          <cell r="G620">
            <v>1111.6999999999457</v>
          </cell>
          <cell r="H620">
            <v>9861.4</v>
          </cell>
          <cell r="I620">
            <v>1111.7999999999456</v>
          </cell>
          <cell r="J620">
            <v>9896.6000000000058</v>
          </cell>
        </row>
        <row r="621">
          <cell r="G621">
            <v>1111.7999999999456</v>
          </cell>
          <cell r="H621">
            <v>9896.6000000000058</v>
          </cell>
          <cell r="I621">
            <v>1111.8999999999455</v>
          </cell>
          <cell r="J621">
            <v>9931.8000000000065</v>
          </cell>
        </row>
        <row r="622">
          <cell r="G622">
            <v>1111.8999999999455</v>
          </cell>
          <cell r="H622">
            <v>9931.8000000000065</v>
          </cell>
          <cell r="I622">
            <v>1111.9999999999454</v>
          </cell>
          <cell r="J622">
            <v>9967</v>
          </cell>
        </row>
        <row r="623">
          <cell r="G623">
            <v>1111.9999999999454</v>
          </cell>
          <cell r="H623">
            <v>9967</v>
          </cell>
          <cell r="I623">
            <v>1112.0999999999453</v>
          </cell>
          <cell r="J623">
            <v>10003.1</v>
          </cell>
        </row>
        <row r="624">
          <cell r="G624">
            <v>1112.0999999999453</v>
          </cell>
          <cell r="H624">
            <v>10003.1</v>
          </cell>
          <cell r="I624">
            <v>1112.1999999999452</v>
          </cell>
          <cell r="J624">
            <v>10039.200000000001</v>
          </cell>
        </row>
        <row r="625">
          <cell r="G625">
            <v>1112.1999999999452</v>
          </cell>
          <cell r="H625">
            <v>10039.200000000001</v>
          </cell>
          <cell r="I625">
            <v>1112.2999999999452</v>
          </cell>
          <cell r="J625">
            <v>10075.299999999999</v>
          </cell>
        </row>
        <row r="626">
          <cell r="G626">
            <v>1112.2999999999452</v>
          </cell>
          <cell r="H626">
            <v>10075.299999999999</v>
          </cell>
          <cell r="I626">
            <v>1112.3999999999451</v>
          </cell>
          <cell r="J626">
            <v>10111.4</v>
          </cell>
        </row>
        <row r="627">
          <cell r="G627">
            <v>1112.3999999999451</v>
          </cell>
          <cell r="H627">
            <v>10111.4</v>
          </cell>
          <cell r="I627">
            <v>1112.499999999945</v>
          </cell>
          <cell r="J627">
            <v>10147.5</v>
          </cell>
        </row>
        <row r="628">
          <cell r="G628">
            <v>1112.499999999945</v>
          </cell>
          <cell r="H628">
            <v>10147.5</v>
          </cell>
          <cell r="I628">
            <v>1112.5999999999449</v>
          </cell>
          <cell r="J628">
            <v>10183.6</v>
          </cell>
        </row>
        <row r="629">
          <cell r="G629">
            <v>1112.5999999999449</v>
          </cell>
          <cell r="H629">
            <v>10183.6</v>
          </cell>
          <cell r="I629">
            <v>1112.6999999999448</v>
          </cell>
          <cell r="J629">
            <v>10219.700000000001</v>
          </cell>
        </row>
        <row r="630">
          <cell r="G630">
            <v>1112.6999999999448</v>
          </cell>
          <cell r="H630">
            <v>10219.700000000001</v>
          </cell>
          <cell r="I630">
            <v>1112.7999999999447</v>
          </cell>
          <cell r="J630">
            <v>10255.799999999999</v>
          </cell>
        </row>
        <row r="631">
          <cell r="G631">
            <v>1112.7999999999447</v>
          </cell>
          <cell r="H631">
            <v>10255.799999999999</v>
          </cell>
          <cell r="I631">
            <v>1112.8999999999446</v>
          </cell>
          <cell r="J631">
            <v>10291.9</v>
          </cell>
        </row>
        <row r="632">
          <cell r="G632">
            <v>1112.8999999999446</v>
          </cell>
          <cell r="H632">
            <v>10291.9</v>
          </cell>
          <cell r="I632">
            <v>1112.9999999999445</v>
          </cell>
          <cell r="J632">
            <v>10328</v>
          </cell>
        </row>
        <row r="633">
          <cell r="G633">
            <v>1112.9999999999445</v>
          </cell>
          <cell r="H633">
            <v>10328</v>
          </cell>
          <cell r="I633">
            <v>1113.0999999999444</v>
          </cell>
          <cell r="J633">
            <v>10365.1</v>
          </cell>
        </row>
        <row r="634">
          <cell r="G634">
            <v>1113.0999999999444</v>
          </cell>
          <cell r="H634">
            <v>10365.1</v>
          </cell>
          <cell r="I634">
            <v>1113.1999999999443</v>
          </cell>
          <cell r="J634">
            <v>10402.200000000001</v>
          </cell>
        </row>
        <row r="635">
          <cell r="G635">
            <v>1113.1999999999443</v>
          </cell>
          <cell r="H635">
            <v>10402.200000000001</v>
          </cell>
          <cell r="I635">
            <v>1113.2999999999442</v>
          </cell>
          <cell r="J635">
            <v>10439.299999999999</v>
          </cell>
        </row>
        <row r="636">
          <cell r="G636">
            <v>1113.2999999999442</v>
          </cell>
          <cell r="H636">
            <v>10439.299999999999</v>
          </cell>
          <cell r="I636">
            <v>1113.3999999999442</v>
          </cell>
          <cell r="J636">
            <v>10476.4</v>
          </cell>
        </row>
        <row r="637">
          <cell r="G637">
            <v>1113.3999999999442</v>
          </cell>
          <cell r="H637">
            <v>10476.4</v>
          </cell>
          <cell r="I637">
            <v>1113.4999999999441</v>
          </cell>
          <cell r="J637">
            <v>10513.5</v>
          </cell>
        </row>
        <row r="638">
          <cell r="G638">
            <v>1113.4999999999441</v>
          </cell>
          <cell r="H638">
            <v>10513.5</v>
          </cell>
          <cell r="I638">
            <v>1113.599999999944</v>
          </cell>
          <cell r="J638">
            <v>10550.6</v>
          </cell>
        </row>
        <row r="639">
          <cell r="G639">
            <v>1113.599999999944</v>
          </cell>
          <cell r="H639">
            <v>10550.6</v>
          </cell>
          <cell r="I639">
            <v>1113.6999999999439</v>
          </cell>
          <cell r="J639">
            <v>10587.7</v>
          </cell>
        </row>
        <row r="640">
          <cell r="G640">
            <v>1113.6999999999439</v>
          </cell>
          <cell r="H640">
            <v>10587.7</v>
          </cell>
          <cell r="I640">
            <v>1113.7999999999438</v>
          </cell>
          <cell r="J640">
            <v>10624.8</v>
          </cell>
        </row>
        <row r="641">
          <cell r="G641">
            <v>1113.7999999999438</v>
          </cell>
          <cell r="H641">
            <v>10624.8</v>
          </cell>
          <cell r="I641">
            <v>1113.8999999999437</v>
          </cell>
          <cell r="J641">
            <v>10661.9</v>
          </cell>
        </row>
        <row r="642">
          <cell r="G642">
            <v>1113.8999999999437</v>
          </cell>
          <cell r="H642">
            <v>10661.9</v>
          </cell>
          <cell r="I642">
            <v>1113.9999999999436</v>
          </cell>
          <cell r="J642">
            <v>10699</v>
          </cell>
        </row>
        <row r="643">
          <cell r="G643">
            <v>1113.9999999999436</v>
          </cell>
          <cell r="H643">
            <v>10699</v>
          </cell>
          <cell r="I643">
            <v>1114.0999999999435</v>
          </cell>
          <cell r="J643">
            <v>10737</v>
          </cell>
        </row>
        <row r="644">
          <cell r="G644">
            <v>1114.0999999999435</v>
          </cell>
          <cell r="H644">
            <v>10737</v>
          </cell>
          <cell r="I644">
            <v>1114.1999999999434</v>
          </cell>
          <cell r="J644">
            <v>10775</v>
          </cell>
        </row>
        <row r="645">
          <cell r="G645">
            <v>1114.1999999999434</v>
          </cell>
          <cell r="H645">
            <v>10775</v>
          </cell>
          <cell r="I645">
            <v>1114.2999999999433</v>
          </cell>
          <cell r="J645">
            <v>10813</v>
          </cell>
        </row>
        <row r="646">
          <cell r="G646">
            <v>1114.2999999999433</v>
          </cell>
          <cell r="H646">
            <v>10813</v>
          </cell>
          <cell r="I646">
            <v>1114.3999999999432</v>
          </cell>
          <cell r="J646">
            <v>10851</v>
          </cell>
        </row>
        <row r="647">
          <cell r="G647">
            <v>1114.3999999999432</v>
          </cell>
          <cell r="H647">
            <v>10851</v>
          </cell>
          <cell r="I647">
            <v>1114.4999999999432</v>
          </cell>
          <cell r="J647">
            <v>10889</v>
          </cell>
        </row>
        <row r="648">
          <cell r="G648">
            <v>1114.4999999999432</v>
          </cell>
          <cell r="H648">
            <v>10889</v>
          </cell>
          <cell r="I648">
            <v>1114.5999999999431</v>
          </cell>
          <cell r="J648">
            <v>10927</v>
          </cell>
        </row>
        <row r="649">
          <cell r="G649">
            <v>1114.5999999999431</v>
          </cell>
          <cell r="H649">
            <v>10927</v>
          </cell>
          <cell r="I649">
            <v>1114.699999999943</v>
          </cell>
          <cell r="J649">
            <v>10965</v>
          </cell>
        </row>
        <row r="650">
          <cell r="G650">
            <v>1114.699999999943</v>
          </cell>
          <cell r="H650">
            <v>10965</v>
          </cell>
          <cell r="I650">
            <v>1114.7999999999429</v>
          </cell>
          <cell r="J650">
            <v>11003</v>
          </cell>
        </row>
        <row r="651">
          <cell r="G651">
            <v>1114.7999999999429</v>
          </cell>
          <cell r="H651">
            <v>11003</v>
          </cell>
          <cell r="I651">
            <v>1114.8999999999428</v>
          </cell>
          <cell r="J651">
            <v>11041</v>
          </cell>
        </row>
        <row r="652">
          <cell r="G652">
            <v>1114.8999999999428</v>
          </cell>
          <cell r="H652">
            <v>11041</v>
          </cell>
          <cell r="I652">
            <v>1114.9999999999427</v>
          </cell>
          <cell r="J652">
            <v>11079</v>
          </cell>
        </row>
        <row r="653">
          <cell r="G653">
            <v>1114.9999999999427</v>
          </cell>
          <cell r="H653">
            <v>11079</v>
          </cell>
          <cell r="I653">
            <v>1115.0999999999426</v>
          </cell>
          <cell r="J653">
            <v>11118.1</v>
          </cell>
        </row>
        <row r="654">
          <cell r="G654">
            <v>1115.0999999999426</v>
          </cell>
          <cell r="H654">
            <v>11118.1</v>
          </cell>
          <cell r="I654">
            <v>1115.1999999999425</v>
          </cell>
          <cell r="J654">
            <v>11157.2</v>
          </cell>
        </row>
        <row r="655">
          <cell r="G655">
            <v>1115.1999999999425</v>
          </cell>
          <cell r="H655">
            <v>11157.2</v>
          </cell>
          <cell r="I655">
            <v>1115.2999999999424</v>
          </cell>
          <cell r="J655">
            <v>11196.3</v>
          </cell>
        </row>
        <row r="656">
          <cell r="G656">
            <v>1115.2999999999424</v>
          </cell>
          <cell r="H656">
            <v>11196.3</v>
          </cell>
          <cell r="I656">
            <v>1115.3999999999423</v>
          </cell>
          <cell r="J656">
            <v>11235.4</v>
          </cell>
        </row>
        <row r="657">
          <cell r="G657">
            <v>1115.3999999999423</v>
          </cell>
          <cell r="H657">
            <v>11235.4</v>
          </cell>
          <cell r="I657">
            <v>1115.4999999999422</v>
          </cell>
          <cell r="J657">
            <v>11274.5</v>
          </cell>
        </row>
        <row r="658">
          <cell r="G658">
            <v>1115.4999999999422</v>
          </cell>
          <cell r="H658">
            <v>11274.5</v>
          </cell>
          <cell r="I658">
            <v>1115.5999999999422</v>
          </cell>
          <cell r="J658">
            <v>11313.6</v>
          </cell>
        </row>
        <row r="659">
          <cell r="G659">
            <v>1115.5999999999422</v>
          </cell>
          <cell r="H659">
            <v>11313.6</v>
          </cell>
          <cell r="I659">
            <v>1115.6999999999421</v>
          </cell>
          <cell r="J659">
            <v>11352.7</v>
          </cell>
        </row>
        <row r="660">
          <cell r="G660">
            <v>1115.6999999999421</v>
          </cell>
          <cell r="H660">
            <v>11352.7</v>
          </cell>
          <cell r="I660">
            <v>1115.799999999942</v>
          </cell>
          <cell r="J660">
            <v>11391.8</v>
          </cell>
        </row>
        <row r="661">
          <cell r="G661">
            <v>1115.799999999942</v>
          </cell>
          <cell r="H661">
            <v>11391.8</v>
          </cell>
          <cell r="I661">
            <v>1115.8999999999419</v>
          </cell>
          <cell r="J661">
            <v>11430.9</v>
          </cell>
        </row>
        <row r="662">
          <cell r="G662">
            <v>1115.8999999999419</v>
          </cell>
          <cell r="H662">
            <v>11430.9</v>
          </cell>
          <cell r="I662">
            <v>1115.9999999999418</v>
          </cell>
          <cell r="J662">
            <v>11470</v>
          </cell>
        </row>
        <row r="663">
          <cell r="G663">
            <v>1115.9999999999418</v>
          </cell>
          <cell r="H663">
            <v>11470</v>
          </cell>
          <cell r="I663">
            <v>1116.0999999999417</v>
          </cell>
          <cell r="J663">
            <v>11510.1</v>
          </cell>
        </row>
        <row r="664">
          <cell r="G664">
            <v>1116.0999999999417</v>
          </cell>
          <cell r="H664">
            <v>11510.1</v>
          </cell>
          <cell r="I664">
            <v>1116.1999999999416</v>
          </cell>
          <cell r="J664">
            <v>11550.2</v>
          </cell>
        </row>
        <row r="665">
          <cell r="G665">
            <v>1116.1999999999416</v>
          </cell>
          <cell r="H665">
            <v>11550.2</v>
          </cell>
          <cell r="I665">
            <v>1116.2999999999415</v>
          </cell>
          <cell r="J665">
            <v>11590.3</v>
          </cell>
        </row>
        <row r="666">
          <cell r="G666">
            <v>1116.2999999999415</v>
          </cell>
          <cell r="H666">
            <v>11590.3</v>
          </cell>
          <cell r="I666">
            <v>1116.3999999999414</v>
          </cell>
          <cell r="J666">
            <v>11630.4</v>
          </cell>
        </row>
        <row r="667">
          <cell r="G667">
            <v>1116.3999999999414</v>
          </cell>
          <cell r="H667">
            <v>11630.4</v>
          </cell>
          <cell r="I667">
            <v>1116.4999999999413</v>
          </cell>
          <cell r="J667">
            <v>11670.5</v>
          </cell>
        </row>
        <row r="668">
          <cell r="G668">
            <v>1116.4999999999413</v>
          </cell>
          <cell r="H668">
            <v>11670.5</v>
          </cell>
          <cell r="I668">
            <v>1116.5999999999412</v>
          </cell>
          <cell r="J668">
            <v>11710.6</v>
          </cell>
        </row>
        <row r="669">
          <cell r="G669">
            <v>1116.5999999999412</v>
          </cell>
          <cell r="H669">
            <v>11710.6</v>
          </cell>
          <cell r="I669">
            <v>1116.6999999999412</v>
          </cell>
          <cell r="J669">
            <v>11750.7</v>
          </cell>
        </row>
        <row r="670">
          <cell r="G670">
            <v>1116.6999999999412</v>
          </cell>
          <cell r="H670">
            <v>11750.7</v>
          </cell>
          <cell r="I670">
            <v>1116.7999999999411</v>
          </cell>
          <cell r="J670">
            <v>11790.8</v>
          </cell>
        </row>
        <row r="671">
          <cell r="G671">
            <v>1116.7999999999411</v>
          </cell>
          <cell r="H671">
            <v>11790.8</v>
          </cell>
          <cell r="I671">
            <v>1116.899999999941</v>
          </cell>
          <cell r="J671">
            <v>11830.9</v>
          </cell>
        </row>
        <row r="672">
          <cell r="G672">
            <v>1116.899999999941</v>
          </cell>
          <cell r="H672">
            <v>11830.9</v>
          </cell>
          <cell r="I672">
            <v>1116.9999999999409</v>
          </cell>
          <cell r="J672">
            <v>11871</v>
          </cell>
        </row>
        <row r="673">
          <cell r="G673">
            <v>1116.9999999999409</v>
          </cell>
          <cell r="H673">
            <v>11871</v>
          </cell>
          <cell r="I673">
            <v>1117.0999999999408</v>
          </cell>
          <cell r="J673">
            <v>11912.2</v>
          </cell>
        </row>
        <row r="674">
          <cell r="G674">
            <v>1117.0999999999408</v>
          </cell>
          <cell r="H674">
            <v>11912.2</v>
          </cell>
          <cell r="I674">
            <v>1117.1999999999407</v>
          </cell>
          <cell r="J674">
            <v>11953.4</v>
          </cell>
        </row>
        <row r="675">
          <cell r="G675">
            <v>1117.1999999999407</v>
          </cell>
          <cell r="H675">
            <v>11953.4</v>
          </cell>
          <cell r="I675">
            <v>1117.2999999999406</v>
          </cell>
          <cell r="J675">
            <v>11994.6</v>
          </cell>
        </row>
        <row r="676">
          <cell r="G676">
            <v>1117.2999999999406</v>
          </cell>
          <cell r="H676">
            <v>11994.6</v>
          </cell>
          <cell r="I676">
            <v>1117.3999999999405</v>
          </cell>
          <cell r="J676">
            <v>12035.8</v>
          </cell>
        </row>
        <row r="677">
          <cell r="G677">
            <v>1117.3999999999405</v>
          </cell>
          <cell r="H677">
            <v>12035.8</v>
          </cell>
          <cell r="I677">
            <v>1117.4999999999404</v>
          </cell>
          <cell r="J677">
            <v>12077</v>
          </cell>
        </row>
        <row r="678">
          <cell r="G678">
            <v>1117.4999999999404</v>
          </cell>
          <cell r="H678">
            <v>12077</v>
          </cell>
          <cell r="I678">
            <v>1117.5999999999403</v>
          </cell>
          <cell r="J678">
            <v>12118.2</v>
          </cell>
        </row>
        <row r="679">
          <cell r="G679">
            <v>1117.5999999999403</v>
          </cell>
          <cell r="H679">
            <v>12118.2</v>
          </cell>
          <cell r="I679">
            <v>1117.6999999999402</v>
          </cell>
          <cell r="J679">
            <v>12159.4</v>
          </cell>
        </row>
        <row r="680">
          <cell r="G680">
            <v>1117.6999999999402</v>
          </cell>
          <cell r="H680">
            <v>12159.4</v>
          </cell>
          <cell r="I680">
            <v>1117.7999999999402</v>
          </cell>
          <cell r="J680">
            <v>12200.6</v>
          </cell>
        </row>
        <row r="681">
          <cell r="G681">
            <v>1117.7999999999402</v>
          </cell>
          <cell r="H681">
            <v>12200.6</v>
          </cell>
          <cell r="I681">
            <v>1117.8999999999401</v>
          </cell>
          <cell r="J681">
            <v>12241.8</v>
          </cell>
        </row>
        <row r="682">
          <cell r="G682">
            <v>1117.8999999999401</v>
          </cell>
          <cell r="H682">
            <v>12241.8</v>
          </cell>
          <cell r="I682">
            <v>1117.99999999994</v>
          </cell>
          <cell r="J682">
            <v>12283</v>
          </cell>
        </row>
        <row r="683">
          <cell r="G683">
            <v>1117.99999999994</v>
          </cell>
          <cell r="H683">
            <v>12283</v>
          </cell>
          <cell r="I683">
            <v>1118.0999999999399</v>
          </cell>
          <cell r="J683">
            <v>12325.3</v>
          </cell>
        </row>
        <row r="684">
          <cell r="G684">
            <v>1118.0999999999399</v>
          </cell>
          <cell r="H684">
            <v>12325.3</v>
          </cell>
          <cell r="I684">
            <v>1118.1999999999398</v>
          </cell>
          <cell r="J684">
            <v>12367.6</v>
          </cell>
        </row>
        <row r="685">
          <cell r="G685">
            <v>1118.1999999999398</v>
          </cell>
          <cell r="H685">
            <v>12367.6</v>
          </cell>
          <cell r="I685">
            <v>1118.2999999999397</v>
          </cell>
          <cell r="J685">
            <v>12409.9</v>
          </cell>
        </row>
        <row r="686">
          <cell r="G686">
            <v>1118.2999999999397</v>
          </cell>
          <cell r="H686">
            <v>12409.9</v>
          </cell>
          <cell r="I686">
            <v>1118.3999999999396</v>
          </cell>
          <cell r="J686">
            <v>12452.2</v>
          </cell>
        </row>
        <row r="687">
          <cell r="G687">
            <v>1118.3999999999396</v>
          </cell>
          <cell r="H687">
            <v>12452.2</v>
          </cell>
          <cell r="I687">
            <v>1118.4999999999395</v>
          </cell>
          <cell r="J687">
            <v>12494.5</v>
          </cell>
        </row>
        <row r="688">
          <cell r="G688">
            <v>1118.4999999999395</v>
          </cell>
          <cell r="H688">
            <v>12494.5</v>
          </cell>
          <cell r="I688">
            <v>1118.5999999999394</v>
          </cell>
          <cell r="J688">
            <v>12536.8</v>
          </cell>
        </row>
        <row r="689">
          <cell r="G689">
            <v>1118.5999999999394</v>
          </cell>
          <cell r="H689">
            <v>12536.8</v>
          </cell>
          <cell r="I689">
            <v>1118.6999999999393</v>
          </cell>
          <cell r="J689">
            <v>12579.1</v>
          </cell>
        </row>
        <row r="690">
          <cell r="G690">
            <v>1118.6999999999393</v>
          </cell>
          <cell r="H690">
            <v>12579.1</v>
          </cell>
          <cell r="I690">
            <v>1118.7999999999392</v>
          </cell>
          <cell r="J690">
            <v>12621.4</v>
          </cell>
        </row>
        <row r="691">
          <cell r="G691">
            <v>1118.7999999999392</v>
          </cell>
          <cell r="H691">
            <v>12621.4</v>
          </cell>
          <cell r="I691">
            <v>1118.8999999999392</v>
          </cell>
          <cell r="J691">
            <v>12663.7</v>
          </cell>
        </row>
        <row r="692">
          <cell r="G692">
            <v>1118.8999999999392</v>
          </cell>
          <cell r="H692">
            <v>12663.7</v>
          </cell>
          <cell r="I692">
            <v>1118.9999999999391</v>
          </cell>
          <cell r="J692">
            <v>12706</v>
          </cell>
        </row>
        <row r="693">
          <cell r="G693">
            <v>1118.9999999999391</v>
          </cell>
          <cell r="H693">
            <v>12706</v>
          </cell>
          <cell r="I693">
            <v>1119.099999999939</v>
          </cell>
          <cell r="J693">
            <v>12749.4</v>
          </cell>
        </row>
        <row r="694">
          <cell r="G694">
            <v>1119.099999999939</v>
          </cell>
          <cell r="H694">
            <v>12749.4</v>
          </cell>
          <cell r="I694">
            <v>1119.1999999999389</v>
          </cell>
          <cell r="J694">
            <v>12792.8</v>
          </cell>
        </row>
        <row r="695">
          <cell r="G695">
            <v>1119.1999999999389</v>
          </cell>
          <cell r="H695">
            <v>12792.8</v>
          </cell>
          <cell r="I695">
            <v>1119.2999999999388</v>
          </cell>
          <cell r="J695">
            <v>12836.2</v>
          </cell>
        </row>
        <row r="696">
          <cell r="G696">
            <v>1119.2999999999388</v>
          </cell>
          <cell r="H696">
            <v>12836.2</v>
          </cell>
          <cell r="I696">
            <v>1119.3999999999387</v>
          </cell>
          <cell r="J696">
            <v>12879.6</v>
          </cell>
        </row>
        <row r="697">
          <cell r="G697">
            <v>1119.3999999999387</v>
          </cell>
          <cell r="H697">
            <v>12879.6</v>
          </cell>
          <cell r="I697">
            <v>1119.4999999999386</v>
          </cell>
          <cell r="J697">
            <v>12923</v>
          </cell>
        </row>
        <row r="698">
          <cell r="G698">
            <v>1119.4999999999386</v>
          </cell>
          <cell r="H698">
            <v>12923</v>
          </cell>
          <cell r="I698">
            <v>1119.5999999999385</v>
          </cell>
          <cell r="J698">
            <v>12966.4</v>
          </cell>
        </row>
        <row r="699">
          <cell r="G699">
            <v>1119.5999999999385</v>
          </cell>
          <cell r="H699">
            <v>12966.4</v>
          </cell>
          <cell r="I699">
            <v>1119.6999999999384</v>
          </cell>
          <cell r="J699">
            <v>13009.8</v>
          </cell>
        </row>
        <row r="700">
          <cell r="G700">
            <v>1119.6999999999384</v>
          </cell>
          <cell r="H700">
            <v>13009.8</v>
          </cell>
          <cell r="I700">
            <v>1119.7999999999383</v>
          </cell>
          <cell r="J700">
            <v>13053.2</v>
          </cell>
        </row>
        <row r="701">
          <cell r="G701">
            <v>1119.7999999999383</v>
          </cell>
          <cell r="H701">
            <v>13053.2</v>
          </cell>
          <cell r="I701">
            <v>1119.8999999999382</v>
          </cell>
          <cell r="J701">
            <v>13096.6</v>
          </cell>
        </row>
        <row r="702">
          <cell r="G702">
            <v>1119.8999999999382</v>
          </cell>
          <cell r="H702">
            <v>13096.6</v>
          </cell>
          <cell r="I702">
            <v>1119.9999999999382</v>
          </cell>
          <cell r="J702">
            <v>13140</v>
          </cell>
        </row>
        <row r="703">
          <cell r="G703">
            <v>1119.9999999999382</v>
          </cell>
          <cell r="H703">
            <v>13140</v>
          </cell>
          <cell r="I703">
            <v>1120.0999999999381</v>
          </cell>
          <cell r="J703">
            <v>13184.5</v>
          </cell>
        </row>
        <row r="704">
          <cell r="G704">
            <v>1120.0999999999381</v>
          </cell>
          <cell r="H704">
            <v>13184.5</v>
          </cell>
          <cell r="I704">
            <v>1120.199999999938</v>
          </cell>
          <cell r="J704">
            <v>13229</v>
          </cell>
        </row>
        <row r="705">
          <cell r="G705">
            <v>1120.199999999938</v>
          </cell>
          <cell r="H705">
            <v>13229</v>
          </cell>
          <cell r="I705">
            <v>1120.2999999999379</v>
          </cell>
          <cell r="J705">
            <v>13273.5</v>
          </cell>
        </row>
        <row r="706">
          <cell r="G706">
            <v>1120.2999999999379</v>
          </cell>
          <cell r="H706">
            <v>13273.5</v>
          </cell>
          <cell r="I706">
            <v>1120.3999999999378</v>
          </cell>
          <cell r="J706">
            <v>13318</v>
          </cell>
        </row>
        <row r="707">
          <cell r="G707">
            <v>1120.3999999999378</v>
          </cell>
          <cell r="H707">
            <v>13318</v>
          </cell>
          <cell r="I707">
            <v>1120.4999999999377</v>
          </cell>
          <cell r="J707">
            <v>13362.5</v>
          </cell>
        </row>
        <row r="708">
          <cell r="G708">
            <v>1120.4999999999377</v>
          </cell>
          <cell r="H708">
            <v>13362.5</v>
          </cell>
          <cell r="I708">
            <v>1120.5999999999376</v>
          </cell>
          <cell r="J708">
            <v>13407</v>
          </cell>
        </row>
        <row r="709">
          <cell r="G709">
            <v>1120.5999999999376</v>
          </cell>
          <cell r="H709">
            <v>13407</v>
          </cell>
          <cell r="I709">
            <v>1120.6999999999375</v>
          </cell>
          <cell r="J709">
            <v>13451.5</v>
          </cell>
        </row>
        <row r="710">
          <cell r="G710">
            <v>1120.6999999999375</v>
          </cell>
          <cell r="H710">
            <v>13451.5</v>
          </cell>
          <cell r="I710">
            <v>1120.7999999999374</v>
          </cell>
          <cell r="J710">
            <v>13496</v>
          </cell>
        </row>
        <row r="711">
          <cell r="G711">
            <v>1120.7999999999374</v>
          </cell>
          <cell r="H711">
            <v>13496</v>
          </cell>
          <cell r="I711">
            <v>1120.8999999999373</v>
          </cell>
          <cell r="J711">
            <v>13540.5</v>
          </cell>
        </row>
        <row r="712">
          <cell r="G712">
            <v>1120.8999999999373</v>
          </cell>
          <cell r="H712">
            <v>13540.5</v>
          </cell>
          <cell r="I712">
            <v>1120.9999999999372</v>
          </cell>
          <cell r="J712">
            <v>13585</v>
          </cell>
        </row>
        <row r="713">
          <cell r="G713">
            <v>1120.9999999999372</v>
          </cell>
          <cell r="H713">
            <v>13585</v>
          </cell>
          <cell r="I713">
            <v>1121.0999999999372</v>
          </cell>
          <cell r="J713">
            <v>13630.7</v>
          </cell>
        </row>
        <row r="714">
          <cell r="G714">
            <v>1121.0999999999372</v>
          </cell>
          <cell r="H714">
            <v>13630.7</v>
          </cell>
          <cell r="I714">
            <v>1121.1999999999371</v>
          </cell>
          <cell r="J714">
            <v>13676.4</v>
          </cell>
        </row>
        <row r="715">
          <cell r="G715">
            <v>1121.1999999999371</v>
          </cell>
          <cell r="H715">
            <v>13676.4</v>
          </cell>
          <cell r="I715">
            <v>1121.299999999937</v>
          </cell>
          <cell r="J715">
            <v>13722.1</v>
          </cell>
        </row>
        <row r="716">
          <cell r="G716">
            <v>1121.299999999937</v>
          </cell>
          <cell r="H716">
            <v>13722.1</v>
          </cell>
          <cell r="I716">
            <v>1121.3999999999369</v>
          </cell>
          <cell r="J716">
            <v>13767.8</v>
          </cell>
        </row>
        <row r="717">
          <cell r="G717">
            <v>1121.3999999999369</v>
          </cell>
          <cell r="H717">
            <v>13767.8</v>
          </cell>
          <cell r="I717">
            <v>1121.4999999999368</v>
          </cell>
          <cell r="J717">
            <v>13813.5</v>
          </cell>
        </row>
        <row r="718">
          <cell r="G718">
            <v>1121.4999999999368</v>
          </cell>
          <cell r="H718">
            <v>13813.5</v>
          </cell>
          <cell r="I718">
            <v>1121.5999999999367</v>
          </cell>
          <cell r="J718">
            <v>13859.2</v>
          </cell>
        </row>
        <row r="719">
          <cell r="G719">
            <v>1121.5999999999367</v>
          </cell>
          <cell r="H719">
            <v>13859.2</v>
          </cell>
          <cell r="I719">
            <v>1121.6999999999366</v>
          </cell>
          <cell r="J719">
            <v>13904.9</v>
          </cell>
        </row>
        <row r="720">
          <cell r="G720">
            <v>1121.6999999999366</v>
          </cell>
          <cell r="H720">
            <v>13904.9</v>
          </cell>
          <cell r="I720">
            <v>1121.7999999999365</v>
          </cell>
          <cell r="J720">
            <v>13950.6</v>
          </cell>
        </row>
        <row r="721">
          <cell r="G721">
            <v>1121.7999999999365</v>
          </cell>
          <cell r="H721">
            <v>13950.6</v>
          </cell>
          <cell r="I721">
            <v>1121.8999999999364</v>
          </cell>
          <cell r="J721">
            <v>13996.3</v>
          </cell>
        </row>
        <row r="722">
          <cell r="G722">
            <v>1121.8999999999364</v>
          </cell>
          <cell r="H722">
            <v>13996.3</v>
          </cell>
          <cell r="I722">
            <v>1121.9999999999363</v>
          </cell>
          <cell r="J722">
            <v>14042</v>
          </cell>
        </row>
        <row r="723">
          <cell r="G723">
            <v>1121.9999999999363</v>
          </cell>
          <cell r="H723">
            <v>14042</v>
          </cell>
          <cell r="I723">
            <v>1122.0999999999362</v>
          </cell>
          <cell r="J723">
            <v>14088.8</v>
          </cell>
        </row>
        <row r="724">
          <cell r="G724">
            <v>1122.0999999999362</v>
          </cell>
          <cell r="H724">
            <v>14088.8</v>
          </cell>
          <cell r="I724">
            <v>1122.1999999999362</v>
          </cell>
          <cell r="J724">
            <v>14135.6</v>
          </cell>
        </row>
        <row r="725">
          <cell r="G725">
            <v>1122.1999999999362</v>
          </cell>
          <cell r="H725">
            <v>14135.6</v>
          </cell>
          <cell r="I725">
            <v>1122.2999999999361</v>
          </cell>
          <cell r="J725">
            <v>14182.4</v>
          </cell>
        </row>
        <row r="726">
          <cell r="G726">
            <v>1122.2999999999361</v>
          </cell>
          <cell r="H726">
            <v>14182.4</v>
          </cell>
          <cell r="I726">
            <v>1122.399999999936</v>
          </cell>
          <cell r="J726">
            <v>14229.2</v>
          </cell>
        </row>
        <row r="727">
          <cell r="G727">
            <v>1122.399999999936</v>
          </cell>
          <cell r="H727">
            <v>14229.2</v>
          </cell>
          <cell r="I727">
            <v>1122.4999999999359</v>
          </cell>
          <cell r="J727">
            <v>14276</v>
          </cell>
        </row>
        <row r="728">
          <cell r="G728">
            <v>1122.4999999999359</v>
          </cell>
          <cell r="H728">
            <v>14276</v>
          </cell>
          <cell r="I728">
            <v>1122.5999999999358</v>
          </cell>
          <cell r="J728">
            <v>14322.8</v>
          </cell>
        </row>
        <row r="729">
          <cell r="G729">
            <v>1122.5999999999358</v>
          </cell>
          <cell r="H729">
            <v>14322.8</v>
          </cell>
          <cell r="I729">
            <v>1122.6999999999357</v>
          </cell>
          <cell r="J729">
            <v>14369.6</v>
          </cell>
        </row>
        <row r="730">
          <cell r="G730">
            <v>1122.6999999999357</v>
          </cell>
          <cell r="H730">
            <v>14369.6</v>
          </cell>
          <cell r="I730">
            <v>1122.7999999999356</v>
          </cell>
          <cell r="J730">
            <v>14416.4</v>
          </cell>
        </row>
        <row r="731">
          <cell r="G731">
            <v>1122.7999999999356</v>
          </cell>
          <cell r="H731">
            <v>14416.4</v>
          </cell>
          <cell r="I731">
            <v>1122.8999999999355</v>
          </cell>
          <cell r="J731">
            <v>14463.2</v>
          </cell>
        </row>
        <row r="732">
          <cell r="G732">
            <v>1122.8999999999355</v>
          </cell>
          <cell r="H732">
            <v>14463.2</v>
          </cell>
          <cell r="I732">
            <v>1122.9999999999354</v>
          </cell>
          <cell r="J732">
            <v>14510</v>
          </cell>
        </row>
        <row r="733">
          <cell r="G733">
            <v>1122.9999999999354</v>
          </cell>
          <cell r="H733">
            <v>14510</v>
          </cell>
          <cell r="I733">
            <v>1123.0999999999353</v>
          </cell>
          <cell r="J733">
            <v>14558</v>
          </cell>
        </row>
        <row r="734">
          <cell r="G734">
            <v>1123.0999999999353</v>
          </cell>
          <cell r="H734">
            <v>14558</v>
          </cell>
          <cell r="I734">
            <v>1123.1999999999352</v>
          </cell>
          <cell r="J734">
            <v>14606</v>
          </cell>
        </row>
        <row r="735">
          <cell r="G735">
            <v>1123.1999999999352</v>
          </cell>
          <cell r="H735">
            <v>14606</v>
          </cell>
          <cell r="I735">
            <v>1123.2999999999352</v>
          </cell>
          <cell r="J735">
            <v>14654</v>
          </cell>
        </row>
        <row r="736">
          <cell r="G736">
            <v>1123.2999999999352</v>
          </cell>
          <cell r="H736">
            <v>14654</v>
          </cell>
          <cell r="I736">
            <v>1123.3999999999351</v>
          </cell>
          <cell r="J736">
            <v>14702</v>
          </cell>
        </row>
        <row r="737">
          <cell r="G737">
            <v>1123.3999999999351</v>
          </cell>
          <cell r="H737">
            <v>14702</v>
          </cell>
          <cell r="I737">
            <v>1123.499999999935</v>
          </cell>
          <cell r="J737">
            <v>14750</v>
          </cell>
        </row>
        <row r="738">
          <cell r="G738">
            <v>1123.499999999935</v>
          </cell>
          <cell r="H738">
            <v>14750</v>
          </cell>
          <cell r="I738">
            <v>1123.5999999999349</v>
          </cell>
          <cell r="J738">
            <v>14798</v>
          </cell>
        </row>
        <row r="739">
          <cell r="G739">
            <v>1123.5999999999349</v>
          </cell>
          <cell r="H739">
            <v>14798</v>
          </cell>
          <cell r="I739">
            <v>1123.6999999999348</v>
          </cell>
          <cell r="J739">
            <v>14846</v>
          </cell>
        </row>
        <row r="740">
          <cell r="G740">
            <v>1123.6999999999348</v>
          </cell>
          <cell r="H740">
            <v>14846</v>
          </cell>
          <cell r="I740">
            <v>1123.7999999999347</v>
          </cell>
          <cell r="J740">
            <v>14894</v>
          </cell>
        </row>
        <row r="741">
          <cell r="G741">
            <v>1123.7999999999347</v>
          </cell>
          <cell r="H741">
            <v>14894</v>
          </cell>
          <cell r="I741">
            <v>1123.8999999999346</v>
          </cell>
          <cell r="J741">
            <v>14942</v>
          </cell>
        </row>
        <row r="742">
          <cell r="G742">
            <v>1123.8999999999346</v>
          </cell>
          <cell r="H742">
            <v>14942</v>
          </cell>
          <cell r="I742">
            <v>1123.9999999999345</v>
          </cell>
          <cell r="J742">
            <v>14990</v>
          </cell>
        </row>
        <row r="743">
          <cell r="G743">
            <v>1123.9999999999345</v>
          </cell>
          <cell r="H743">
            <v>14990</v>
          </cell>
          <cell r="I743">
            <v>1124.0999999999344</v>
          </cell>
          <cell r="J743">
            <v>15039.2</v>
          </cell>
        </row>
        <row r="744">
          <cell r="G744">
            <v>1124.0999999999344</v>
          </cell>
          <cell r="H744">
            <v>15039.2</v>
          </cell>
          <cell r="I744">
            <v>1124.1999999999343</v>
          </cell>
          <cell r="J744">
            <v>15088.4</v>
          </cell>
        </row>
        <row r="745">
          <cell r="G745">
            <v>1124.1999999999343</v>
          </cell>
          <cell r="H745">
            <v>15088.4</v>
          </cell>
          <cell r="I745">
            <v>1124.2999999999342</v>
          </cell>
          <cell r="J745">
            <v>15137.6</v>
          </cell>
        </row>
        <row r="746">
          <cell r="G746">
            <v>1124.2999999999342</v>
          </cell>
          <cell r="H746">
            <v>15137.6</v>
          </cell>
          <cell r="I746">
            <v>1124.3999999999342</v>
          </cell>
          <cell r="J746">
            <v>15186.8</v>
          </cell>
        </row>
        <row r="747">
          <cell r="G747">
            <v>1124.3999999999342</v>
          </cell>
          <cell r="H747">
            <v>15186.8</v>
          </cell>
          <cell r="I747">
            <v>1124.4999999999341</v>
          </cell>
          <cell r="J747">
            <v>15236</v>
          </cell>
        </row>
        <row r="748">
          <cell r="G748">
            <v>1124.4999999999341</v>
          </cell>
          <cell r="H748">
            <v>15236</v>
          </cell>
          <cell r="I748">
            <v>1124.599999999934</v>
          </cell>
          <cell r="J748">
            <v>15285.2</v>
          </cell>
        </row>
        <row r="749">
          <cell r="G749">
            <v>1124.599999999934</v>
          </cell>
          <cell r="H749">
            <v>15285.2</v>
          </cell>
          <cell r="I749">
            <v>1124.6999999999339</v>
          </cell>
          <cell r="J749">
            <v>15334.4</v>
          </cell>
        </row>
        <row r="750">
          <cell r="G750">
            <v>1124.6999999999339</v>
          </cell>
          <cell r="H750">
            <v>15334.4</v>
          </cell>
          <cell r="I750">
            <v>1124.7999999999338</v>
          </cell>
          <cell r="J750">
            <v>15383.6</v>
          </cell>
        </row>
        <row r="751">
          <cell r="G751">
            <v>1124.7999999999338</v>
          </cell>
          <cell r="H751">
            <v>15383.6</v>
          </cell>
          <cell r="I751">
            <v>1124.8999999999337</v>
          </cell>
          <cell r="J751">
            <v>15432.8</v>
          </cell>
        </row>
        <row r="752">
          <cell r="G752">
            <v>1124.8999999999337</v>
          </cell>
          <cell r="H752">
            <v>15432.8</v>
          </cell>
          <cell r="I752">
            <v>1124.9999999999336</v>
          </cell>
          <cell r="J752">
            <v>15482</v>
          </cell>
        </row>
        <row r="753">
          <cell r="G753">
            <v>1124.9999999999336</v>
          </cell>
          <cell r="H753">
            <v>15482</v>
          </cell>
          <cell r="I753">
            <v>1125.0999999999335</v>
          </cell>
          <cell r="J753">
            <v>15532.4</v>
          </cell>
        </row>
        <row r="754">
          <cell r="G754">
            <v>1125.0999999999335</v>
          </cell>
          <cell r="H754">
            <v>15532.4</v>
          </cell>
          <cell r="I754">
            <v>1125.1999999999334</v>
          </cell>
          <cell r="J754">
            <v>15582.8</v>
          </cell>
        </row>
        <row r="755">
          <cell r="G755">
            <v>1125.1999999999334</v>
          </cell>
          <cell r="H755">
            <v>15582.8</v>
          </cell>
          <cell r="I755">
            <v>1125.2999999999333</v>
          </cell>
          <cell r="J755">
            <v>15633.2</v>
          </cell>
        </row>
        <row r="756">
          <cell r="G756">
            <v>1125.2999999999333</v>
          </cell>
          <cell r="H756">
            <v>15633.2</v>
          </cell>
          <cell r="I756">
            <v>1125.3999999999332</v>
          </cell>
          <cell r="J756">
            <v>15683.6</v>
          </cell>
        </row>
        <row r="757">
          <cell r="G757">
            <v>1125.3999999999332</v>
          </cell>
          <cell r="H757">
            <v>15683.6</v>
          </cell>
          <cell r="I757">
            <v>1125.4999999999332</v>
          </cell>
          <cell r="J757">
            <v>15734</v>
          </cell>
        </row>
        <row r="758">
          <cell r="G758">
            <v>1125.4999999999332</v>
          </cell>
          <cell r="H758">
            <v>15734</v>
          </cell>
          <cell r="I758">
            <v>1125.5999999999331</v>
          </cell>
          <cell r="J758">
            <v>15784.4</v>
          </cell>
        </row>
        <row r="759">
          <cell r="G759">
            <v>1125.5999999999331</v>
          </cell>
          <cell r="H759">
            <v>15784.4</v>
          </cell>
          <cell r="I759">
            <v>1125.699999999933</v>
          </cell>
          <cell r="J759">
            <v>15834.8</v>
          </cell>
        </row>
        <row r="760">
          <cell r="G760">
            <v>1125.699999999933</v>
          </cell>
          <cell r="H760">
            <v>15834.8</v>
          </cell>
          <cell r="I760">
            <v>1125.7999999999329</v>
          </cell>
          <cell r="J760">
            <v>15885.2</v>
          </cell>
        </row>
        <row r="761">
          <cell r="G761">
            <v>1125.7999999999329</v>
          </cell>
          <cell r="H761">
            <v>15885.2</v>
          </cell>
          <cell r="I761">
            <v>1125.8999999999328</v>
          </cell>
          <cell r="J761">
            <v>15935.6</v>
          </cell>
        </row>
        <row r="762">
          <cell r="G762">
            <v>1125.8999999999328</v>
          </cell>
          <cell r="H762">
            <v>15935.6</v>
          </cell>
          <cell r="I762">
            <v>1125.9999999999327</v>
          </cell>
          <cell r="J762">
            <v>15986</v>
          </cell>
        </row>
        <row r="763">
          <cell r="G763">
            <v>1125.9999999999327</v>
          </cell>
          <cell r="H763">
            <v>15986</v>
          </cell>
          <cell r="I763">
            <v>1126.0999999999326</v>
          </cell>
          <cell r="J763">
            <v>16037.7</v>
          </cell>
        </row>
        <row r="764">
          <cell r="G764">
            <v>1126.0999999999326</v>
          </cell>
          <cell r="H764">
            <v>16037.7</v>
          </cell>
          <cell r="I764">
            <v>1126.1999999999325</v>
          </cell>
          <cell r="J764">
            <v>16089.4</v>
          </cell>
        </row>
        <row r="765">
          <cell r="G765">
            <v>1126.1999999999325</v>
          </cell>
          <cell r="H765">
            <v>16089.4</v>
          </cell>
          <cell r="I765">
            <v>1126.2999999999324</v>
          </cell>
          <cell r="J765">
            <v>16141.1</v>
          </cell>
        </row>
        <row r="766">
          <cell r="G766">
            <v>1126.2999999999324</v>
          </cell>
          <cell r="H766">
            <v>16141.1</v>
          </cell>
          <cell r="I766">
            <v>1126.3999999999323</v>
          </cell>
          <cell r="J766">
            <v>16192.8</v>
          </cell>
        </row>
        <row r="767">
          <cell r="G767">
            <v>1126.3999999999323</v>
          </cell>
          <cell r="H767">
            <v>16192.8</v>
          </cell>
          <cell r="I767">
            <v>1126.4999999999322</v>
          </cell>
          <cell r="J767">
            <v>16244.5</v>
          </cell>
        </row>
        <row r="768">
          <cell r="G768">
            <v>1126.4999999999322</v>
          </cell>
          <cell r="H768">
            <v>16244.5</v>
          </cell>
          <cell r="I768">
            <v>1126.5999999999322</v>
          </cell>
          <cell r="J768">
            <v>16296.2</v>
          </cell>
        </row>
        <row r="769">
          <cell r="G769">
            <v>1126.5999999999322</v>
          </cell>
          <cell r="H769">
            <v>16296.2</v>
          </cell>
          <cell r="I769">
            <v>1126.6999999999321</v>
          </cell>
          <cell r="J769">
            <v>16347.9</v>
          </cell>
        </row>
        <row r="770">
          <cell r="G770">
            <v>1126.6999999999321</v>
          </cell>
          <cell r="H770">
            <v>16347.9</v>
          </cell>
          <cell r="I770">
            <v>1126.799999999932</v>
          </cell>
          <cell r="J770">
            <v>16399.599999999999</v>
          </cell>
        </row>
        <row r="771">
          <cell r="G771">
            <v>1126.799999999932</v>
          </cell>
          <cell r="H771">
            <v>16399.599999999999</v>
          </cell>
          <cell r="I771">
            <v>1126.8999999999319</v>
          </cell>
          <cell r="J771">
            <v>16451.3</v>
          </cell>
        </row>
        <row r="772">
          <cell r="G772">
            <v>1126.8999999999319</v>
          </cell>
          <cell r="H772">
            <v>16451.3</v>
          </cell>
          <cell r="I772">
            <v>1126.9999999999318</v>
          </cell>
          <cell r="J772">
            <v>16503</v>
          </cell>
        </row>
        <row r="773">
          <cell r="G773">
            <v>1126.9999999999318</v>
          </cell>
          <cell r="H773">
            <v>16503</v>
          </cell>
          <cell r="I773">
            <v>1127.0999999999317</v>
          </cell>
          <cell r="J773">
            <v>16555.8</v>
          </cell>
        </row>
        <row r="774">
          <cell r="G774">
            <v>1127.0999999999317</v>
          </cell>
          <cell r="H774">
            <v>16555.8</v>
          </cell>
          <cell r="I774">
            <v>1127.1999999999316</v>
          </cell>
          <cell r="J774">
            <v>16608.599999999999</v>
          </cell>
        </row>
        <row r="775">
          <cell r="G775">
            <v>1127.1999999999316</v>
          </cell>
          <cell r="H775">
            <v>16608.599999999999</v>
          </cell>
          <cell r="I775">
            <v>1127.2999999999315</v>
          </cell>
          <cell r="J775">
            <v>16661.400000000001</v>
          </cell>
        </row>
        <row r="776">
          <cell r="G776">
            <v>1127.2999999999315</v>
          </cell>
          <cell r="H776">
            <v>16661.400000000001</v>
          </cell>
          <cell r="I776">
            <v>1127.3999999999314</v>
          </cell>
          <cell r="J776">
            <v>16714.2</v>
          </cell>
        </row>
        <row r="777">
          <cell r="G777">
            <v>1127.3999999999314</v>
          </cell>
          <cell r="H777">
            <v>16714.2</v>
          </cell>
          <cell r="I777">
            <v>1127.4999999999313</v>
          </cell>
          <cell r="J777">
            <v>16767</v>
          </cell>
        </row>
        <row r="778">
          <cell r="G778">
            <v>1127.4999999999313</v>
          </cell>
          <cell r="H778">
            <v>16767</v>
          </cell>
          <cell r="I778">
            <v>1127.5999999999312</v>
          </cell>
          <cell r="J778">
            <v>16819.8</v>
          </cell>
        </row>
        <row r="779">
          <cell r="G779">
            <v>1127.5999999999312</v>
          </cell>
          <cell r="H779">
            <v>16819.8</v>
          </cell>
          <cell r="I779">
            <v>1127.6999999999312</v>
          </cell>
          <cell r="J779">
            <v>16872.599999999999</v>
          </cell>
        </row>
        <row r="780">
          <cell r="G780">
            <v>1127.6999999999312</v>
          </cell>
          <cell r="H780">
            <v>16872.599999999999</v>
          </cell>
          <cell r="I780">
            <v>1127.7999999999311</v>
          </cell>
          <cell r="J780">
            <v>16925.400000000001</v>
          </cell>
        </row>
        <row r="781">
          <cell r="G781">
            <v>1127.7999999999311</v>
          </cell>
          <cell r="H781">
            <v>16925.400000000001</v>
          </cell>
          <cell r="I781">
            <v>1127.899999999931</v>
          </cell>
          <cell r="J781">
            <v>16978.2</v>
          </cell>
        </row>
        <row r="782">
          <cell r="G782">
            <v>1127.899999999931</v>
          </cell>
          <cell r="H782">
            <v>16978.2</v>
          </cell>
          <cell r="I782">
            <v>1127.9999999999309</v>
          </cell>
          <cell r="J782">
            <v>17031</v>
          </cell>
        </row>
        <row r="783">
          <cell r="G783">
            <v>1127.9999999999309</v>
          </cell>
          <cell r="H783">
            <v>17031</v>
          </cell>
          <cell r="I783">
            <v>1128.0999999999308</v>
          </cell>
          <cell r="J783">
            <v>17085.099999999999</v>
          </cell>
        </row>
        <row r="784">
          <cell r="G784">
            <v>1128.0999999999308</v>
          </cell>
          <cell r="H784">
            <v>17085.099999999999</v>
          </cell>
          <cell r="I784">
            <v>1128.1999999999307</v>
          </cell>
          <cell r="J784">
            <v>17139.2</v>
          </cell>
        </row>
        <row r="785">
          <cell r="G785">
            <v>1128.1999999999307</v>
          </cell>
          <cell r="H785">
            <v>17139.2</v>
          </cell>
          <cell r="I785">
            <v>1128.2999999999306</v>
          </cell>
          <cell r="J785">
            <v>17193.3</v>
          </cell>
        </row>
        <row r="786">
          <cell r="G786">
            <v>1128.2999999999306</v>
          </cell>
          <cell r="H786">
            <v>17193.3</v>
          </cell>
          <cell r="I786">
            <v>1128.3999999999305</v>
          </cell>
          <cell r="J786">
            <v>17247.400000000001</v>
          </cell>
        </row>
        <row r="787">
          <cell r="G787">
            <v>1128.3999999999305</v>
          </cell>
          <cell r="H787">
            <v>17247.400000000001</v>
          </cell>
          <cell r="I787">
            <v>1128.4999999999304</v>
          </cell>
          <cell r="J787">
            <v>17301.5</v>
          </cell>
        </row>
        <row r="788">
          <cell r="G788">
            <v>1128.4999999999304</v>
          </cell>
          <cell r="H788">
            <v>17301.5</v>
          </cell>
          <cell r="I788">
            <v>1128.5999999999303</v>
          </cell>
          <cell r="J788">
            <v>17355.599999999999</v>
          </cell>
        </row>
        <row r="789">
          <cell r="G789">
            <v>1128.5999999999303</v>
          </cell>
          <cell r="H789">
            <v>17355.599999999999</v>
          </cell>
          <cell r="I789">
            <v>1128.6999999999302</v>
          </cell>
          <cell r="J789">
            <v>17409.7</v>
          </cell>
        </row>
        <row r="790">
          <cell r="G790">
            <v>1128.6999999999302</v>
          </cell>
          <cell r="H790">
            <v>17409.7</v>
          </cell>
          <cell r="I790">
            <v>1128.7999999999302</v>
          </cell>
          <cell r="J790">
            <v>17463.8</v>
          </cell>
        </row>
        <row r="791">
          <cell r="G791">
            <v>1128.7999999999302</v>
          </cell>
          <cell r="H791">
            <v>17463.8</v>
          </cell>
          <cell r="I791">
            <v>1128.8999999999301</v>
          </cell>
          <cell r="J791">
            <v>17517.900000000001</v>
          </cell>
        </row>
        <row r="792">
          <cell r="G792">
            <v>1128.8999999999301</v>
          </cell>
          <cell r="H792">
            <v>17517.900000000001</v>
          </cell>
          <cell r="I792">
            <v>1128.99999999993</v>
          </cell>
          <cell r="J792">
            <v>17572</v>
          </cell>
        </row>
        <row r="793">
          <cell r="G793">
            <v>1128.99999999993</v>
          </cell>
          <cell r="H793">
            <v>17572</v>
          </cell>
          <cell r="I793">
            <v>1129.0999999999299</v>
          </cell>
          <cell r="J793">
            <v>17627.400000000001</v>
          </cell>
        </row>
        <row r="794">
          <cell r="G794">
            <v>1129.0999999999299</v>
          </cell>
          <cell r="H794">
            <v>17627.400000000001</v>
          </cell>
          <cell r="I794">
            <v>1129.1999999999298</v>
          </cell>
          <cell r="J794">
            <v>17682.8</v>
          </cell>
        </row>
        <row r="795">
          <cell r="G795">
            <v>1129.1999999999298</v>
          </cell>
          <cell r="H795">
            <v>17682.8</v>
          </cell>
          <cell r="I795">
            <v>1129.2999999999297</v>
          </cell>
          <cell r="J795">
            <v>17738.2</v>
          </cell>
        </row>
        <row r="796">
          <cell r="G796">
            <v>1129.2999999999297</v>
          </cell>
          <cell r="H796">
            <v>17738.2</v>
          </cell>
          <cell r="I796">
            <v>1129.3999999999296</v>
          </cell>
          <cell r="J796">
            <v>17793.599999999999</v>
          </cell>
        </row>
        <row r="797">
          <cell r="G797">
            <v>1129.3999999999296</v>
          </cell>
          <cell r="H797">
            <v>17793.599999999999</v>
          </cell>
          <cell r="I797">
            <v>1129.4999999999295</v>
          </cell>
          <cell r="J797">
            <v>17849</v>
          </cell>
        </row>
        <row r="798">
          <cell r="G798">
            <v>1129.4999999999295</v>
          </cell>
          <cell r="H798">
            <v>17849</v>
          </cell>
          <cell r="I798">
            <v>1129.5999999999294</v>
          </cell>
          <cell r="J798">
            <v>17904.400000000001</v>
          </cell>
        </row>
        <row r="799">
          <cell r="G799">
            <v>1129.5999999999294</v>
          </cell>
          <cell r="H799">
            <v>17904.400000000001</v>
          </cell>
          <cell r="I799">
            <v>1129.6999999999293</v>
          </cell>
          <cell r="J799">
            <v>17959.8</v>
          </cell>
        </row>
        <row r="800">
          <cell r="G800">
            <v>1129.6999999999293</v>
          </cell>
          <cell r="H800">
            <v>17959.8</v>
          </cell>
          <cell r="I800">
            <v>1129.7999999999292</v>
          </cell>
          <cell r="J800">
            <v>18015.2</v>
          </cell>
        </row>
        <row r="801">
          <cell r="G801">
            <v>1129.7999999999292</v>
          </cell>
          <cell r="H801">
            <v>18015.2</v>
          </cell>
          <cell r="I801">
            <v>1129.8999999999292</v>
          </cell>
          <cell r="J801">
            <v>18070.599999999999</v>
          </cell>
        </row>
        <row r="802">
          <cell r="G802">
            <v>1129.8999999999292</v>
          </cell>
          <cell r="H802">
            <v>18070.599999999999</v>
          </cell>
          <cell r="I802">
            <v>1129.9999999999291</v>
          </cell>
          <cell r="J802">
            <v>18126</v>
          </cell>
        </row>
        <row r="803">
          <cell r="G803">
            <v>1129.9999999999291</v>
          </cell>
          <cell r="H803">
            <v>18126</v>
          </cell>
          <cell r="I803">
            <v>1130.099999999929</v>
          </cell>
          <cell r="J803">
            <v>18182.900000000001</v>
          </cell>
        </row>
        <row r="804">
          <cell r="G804">
            <v>1130.099999999929</v>
          </cell>
          <cell r="H804">
            <v>18182.900000000001</v>
          </cell>
          <cell r="I804">
            <v>1130.1999999999289</v>
          </cell>
          <cell r="J804">
            <v>18239.8</v>
          </cell>
        </row>
        <row r="805">
          <cell r="G805">
            <v>1130.1999999999289</v>
          </cell>
          <cell r="H805">
            <v>18239.8</v>
          </cell>
          <cell r="I805">
            <v>1130.2999999999288</v>
          </cell>
          <cell r="J805">
            <v>18296.7</v>
          </cell>
        </row>
        <row r="806">
          <cell r="G806">
            <v>1130.2999999999288</v>
          </cell>
          <cell r="H806">
            <v>18296.7</v>
          </cell>
          <cell r="I806">
            <v>1130.3999999999287</v>
          </cell>
          <cell r="J806">
            <v>18353.599999999999</v>
          </cell>
        </row>
        <row r="807">
          <cell r="G807">
            <v>1130.3999999999287</v>
          </cell>
          <cell r="H807">
            <v>18353.599999999999</v>
          </cell>
          <cell r="I807">
            <v>1130.4999999999286</v>
          </cell>
          <cell r="J807">
            <v>18410.5</v>
          </cell>
        </row>
        <row r="808">
          <cell r="G808">
            <v>1130.4999999999286</v>
          </cell>
          <cell r="H808">
            <v>18410.5</v>
          </cell>
          <cell r="I808">
            <v>1130.5999999999285</v>
          </cell>
          <cell r="J808">
            <v>18467.400000000001</v>
          </cell>
        </row>
        <row r="809">
          <cell r="G809">
            <v>1130.5999999999285</v>
          </cell>
          <cell r="H809">
            <v>18467.400000000001</v>
          </cell>
          <cell r="I809">
            <v>1130.6999999999284</v>
          </cell>
          <cell r="J809">
            <v>18524.3</v>
          </cell>
        </row>
        <row r="810">
          <cell r="G810">
            <v>1130.6999999999284</v>
          </cell>
          <cell r="H810">
            <v>18524.3</v>
          </cell>
          <cell r="I810">
            <v>1130.7999999999283</v>
          </cell>
          <cell r="J810">
            <v>18581.2</v>
          </cell>
        </row>
        <row r="811">
          <cell r="G811">
            <v>1130.7999999999283</v>
          </cell>
          <cell r="H811">
            <v>18581.2</v>
          </cell>
          <cell r="I811">
            <v>1130.8999999999282</v>
          </cell>
          <cell r="J811">
            <v>18638.099999999999</v>
          </cell>
        </row>
        <row r="812">
          <cell r="G812">
            <v>1130.8999999999282</v>
          </cell>
          <cell r="H812">
            <v>18638.099999999999</v>
          </cell>
          <cell r="I812">
            <v>1130.9999999999281</v>
          </cell>
          <cell r="J812">
            <v>18695</v>
          </cell>
        </row>
        <row r="813">
          <cell r="G813">
            <v>1130.9999999999281</v>
          </cell>
          <cell r="H813">
            <v>18695</v>
          </cell>
          <cell r="I813">
            <v>1131.0999999999281</v>
          </cell>
          <cell r="J813">
            <v>18753.5</v>
          </cell>
        </row>
        <row r="814">
          <cell r="G814">
            <v>1131.0999999999281</v>
          </cell>
          <cell r="H814">
            <v>18753.5</v>
          </cell>
          <cell r="I814">
            <v>1131.199999999928</v>
          </cell>
          <cell r="J814">
            <v>18812</v>
          </cell>
        </row>
        <row r="815">
          <cell r="G815">
            <v>1131.199999999928</v>
          </cell>
          <cell r="H815">
            <v>18812</v>
          </cell>
          <cell r="I815">
            <v>1131.2999999999279</v>
          </cell>
          <cell r="J815">
            <v>18870.5</v>
          </cell>
        </row>
        <row r="816">
          <cell r="G816">
            <v>1131.2999999999279</v>
          </cell>
          <cell r="H816">
            <v>18870.5</v>
          </cell>
          <cell r="I816">
            <v>1131.3999999999278</v>
          </cell>
          <cell r="J816">
            <v>18929</v>
          </cell>
        </row>
        <row r="817">
          <cell r="G817">
            <v>1131.3999999999278</v>
          </cell>
          <cell r="H817">
            <v>18929</v>
          </cell>
          <cell r="I817">
            <v>1131.4999999999277</v>
          </cell>
          <cell r="J817">
            <v>18987.5</v>
          </cell>
        </row>
        <row r="818">
          <cell r="G818">
            <v>1131.4999999999277</v>
          </cell>
          <cell r="H818">
            <v>18987.5</v>
          </cell>
          <cell r="I818">
            <v>1131.5999999999276</v>
          </cell>
          <cell r="J818">
            <v>19046</v>
          </cell>
        </row>
        <row r="819">
          <cell r="G819">
            <v>1131.5999999999276</v>
          </cell>
          <cell r="H819">
            <v>19046</v>
          </cell>
          <cell r="I819">
            <v>1131.6999999999275</v>
          </cell>
          <cell r="J819">
            <v>19104.5</v>
          </cell>
        </row>
        <row r="820">
          <cell r="G820">
            <v>1131.6999999999275</v>
          </cell>
          <cell r="H820">
            <v>19104.5</v>
          </cell>
          <cell r="I820">
            <v>1131.7999999999274</v>
          </cell>
          <cell r="J820">
            <v>19163</v>
          </cell>
        </row>
        <row r="821">
          <cell r="G821">
            <v>1131.7999999999274</v>
          </cell>
          <cell r="H821">
            <v>19163</v>
          </cell>
          <cell r="I821">
            <v>1131.8999999999273</v>
          </cell>
          <cell r="J821">
            <v>19221.5</v>
          </cell>
        </row>
        <row r="822">
          <cell r="G822">
            <v>1131.8999999999273</v>
          </cell>
          <cell r="H822">
            <v>19221.5</v>
          </cell>
          <cell r="I822">
            <v>1131.9999999999272</v>
          </cell>
          <cell r="J822">
            <v>19280</v>
          </cell>
        </row>
        <row r="823">
          <cell r="G823">
            <v>1131.9999999999272</v>
          </cell>
          <cell r="H823">
            <v>19280</v>
          </cell>
          <cell r="I823">
            <v>1132.0999999999271</v>
          </cell>
          <cell r="J823">
            <v>19340.400000000001</v>
          </cell>
        </row>
        <row r="824">
          <cell r="G824">
            <v>1132.0999999999271</v>
          </cell>
          <cell r="H824">
            <v>19340.400000000001</v>
          </cell>
          <cell r="I824">
            <v>1132.1999999999271</v>
          </cell>
          <cell r="J824">
            <v>19400.8</v>
          </cell>
        </row>
        <row r="825">
          <cell r="G825">
            <v>1132.1999999999271</v>
          </cell>
          <cell r="H825">
            <v>19400.8</v>
          </cell>
          <cell r="I825">
            <v>1132.299999999927</v>
          </cell>
          <cell r="J825">
            <v>19461.2</v>
          </cell>
        </row>
        <row r="826">
          <cell r="G826">
            <v>1132.299999999927</v>
          </cell>
          <cell r="H826">
            <v>19461.2</v>
          </cell>
          <cell r="I826">
            <v>1132.3999999999269</v>
          </cell>
          <cell r="J826">
            <v>19521.599999999999</v>
          </cell>
        </row>
        <row r="827">
          <cell r="G827">
            <v>1132.3999999999269</v>
          </cell>
          <cell r="H827">
            <v>19521.599999999999</v>
          </cell>
          <cell r="I827">
            <v>1132.4999999999268</v>
          </cell>
          <cell r="J827">
            <v>19582</v>
          </cell>
        </row>
        <row r="828">
          <cell r="G828">
            <v>1132.4999999999268</v>
          </cell>
          <cell r="H828">
            <v>19582</v>
          </cell>
          <cell r="I828">
            <v>1132.5999999999267</v>
          </cell>
          <cell r="J828">
            <v>19642.400000000001</v>
          </cell>
        </row>
        <row r="829">
          <cell r="G829">
            <v>1132.5999999999267</v>
          </cell>
          <cell r="H829">
            <v>19642.400000000001</v>
          </cell>
          <cell r="I829">
            <v>1132.6999999999266</v>
          </cell>
          <cell r="J829">
            <v>19702.8</v>
          </cell>
        </row>
        <row r="830">
          <cell r="G830">
            <v>1132.6999999999266</v>
          </cell>
          <cell r="H830">
            <v>19702.8</v>
          </cell>
          <cell r="I830">
            <v>1132.7999999999265</v>
          </cell>
          <cell r="J830">
            <v>19763.2</v>
          </cell>
        </row>
        <row r="831">
          <cell r="G831">
            <v>1132.7999999999265</v>
          </cell>
          <cell r="H831">
            <v>19763.2</v>
          </cell>
          <cell r="I831">
            <v>1132.8999999999264</v>
          </cell>
          <cell r="J831">
            <v>19823.599999999999</v>
          </cell>
        </row>
        <row r="832">
          <cell r="G832">
            <v>1132.8999999999264</v>
          </cell>
          <cell r="H832">
            <v>19823.599999999999</v>
          </cell>
          <cell r="I832">
            <v>1132.9999999999263</v>
          </cell>
          <cell r="J832">
            <v>19884</v>
          </cell>
        </row>
        <row r="833">
          <cell r="G833">
            <v>1132.9999999999263</v>
          </cell>
          <cell r="H833">
            <v>19884</v>
          </cell>
          <cell r="I833">
            <v>1133.0999999999262</v>
          </cell>
          <cell r="J833">
            <v>19946.099999999999</v>
          </cell>
        </row>
        <row r="834">
          <cell r="G834">
            <v>1133.0999999999262</v>
          </cell>
          <cell r="H834">
            <v>19946.099999999999</v>
          </cell>
          <cell r="I834">
            <v>1133.1999999999261</v>
          </cell>
          <cell r="J834">
            <v>20008.2</v>
          </cell>
        </row>
        <row r="835">
          <cell r="G835">
            <v>1133.1999999999261</v>
          </cell>
          <cell r="H835">
            <v>20008.2</v>
          </cell>
          <cell r="I835">
            <v>1133.2999999999261</v>
          </cell>
          <cell r="J835">
            <v>20070.3</v>
          </cell>
        </row>
        <row r="836">
          <cell r="G836">
            <v>1133.2999999999261</v>
          </cell>
          <cell r="H836">
            <v>20070.3</v>
          </cell>
          <cell r="I836">
            <v>1133.399999999926</v>
          </cell>
          <cell r="J836">
            <v>20132.400000000001</v>
          </cell>
        </row>
        <row r="837">
          <cell r="G837">
            <v>1133.399999999926</v>
          </cell>
          <cell r="H837">
            <v>20132.400000000001</v>
          </cell>
          <cell r="I837">
            <v>1133.4999999999259</v>
          </cell>
          <cell r="J837">
            <v>20194.5</v>
          </cell>
        </row>
        <row r="838">
          <cell r="G838">
            <v>1133.4999999999259</v>
          </cell>
          <cell r="H838">
            <v>20194.5</v>
          </cell>
          <cell r="I838">
            <v>1133.5999999999258</v>
          </cell>
          <cell r="J838">
            <v>20256.599999999999</v>
          </cell>
        </row>
        <row r="839">
          <cell r="G839">
            <v>1133.5999999999258</v>
          </cell>
          <cell r="H839">
            <v>20256.599999999999</v>
          </cell>
          <cell r="I839">
            <v>1133.6999999999257</v>
          </cell>
          <cell r="J839">
            <v>20318.7</v>
          </cell>
        </row>
        <row r="840">
          <cell r="G840">
            <v>1133.6999999999257</v>
          </cell>
          <cell r="H840">
            <v>20318.7</v>
          </cell>
          <cell r="I840">
            <v>1133.7999999999256</v>
          </cell>
          <cell r="J840">
            <v>20380.8</v>
          </cell>
        </row>
        <row r="841">
          <cell r="G841">
            <v>1133.7999999999256</v>
          </cell>
          <cell r="H841">
            <v>20380.8</v>
          </cell>
          <cell r="I841">
            <v>1133.8999999999255</v>
          </cell>
          <cell r="J841">
            <v>20442.900000000001</v>
          </cell>
        </row>
        <row r="842">
          <cell r="G842">
            <v>1133.8999999999255</v>
          </cell>
          <cell r="H842">
            <v>20442.900000000001</v>
          </cell>
          <cell r="I842">
            <v>1133.9999999999254</v>
          </cell>
          <cell r="J842">
            <v>20505</v>
          </cell>
        </row>
        <row r="843">
          <cell r="G843">
            <v>1133.9999999999254</v>
          </cell>
          <cell r="H843">
            <v>20505</v>
          </cell>
          <cell r="I843">
            <v>1134.0999999999253</v>
          </cell>
          <cell r="J843">
            <v>20569</v>
          </cell>
        </row>
        <row r="844">
          <cell r="G844">
            <v>1134.0999999999253</v>
          </cell>
          <cell r="H844">
            <v>20569</v>
          </cell>
          <cell r="I844">
            <v>1134.1999999999252</v>
          </cell>
          <cell r="J844">
            <v>20633</v>
          </cell>
        </row>
        <row r="845">
          <cell r="G845">
            <v>1134.1999999999252</v>
          </cell>
          <cell r="H845">
            <v>20633</v>
          </cell>
          <cell r="I845">
            <v>1134.2999999999251</v>
          </cell>
          <cell r="J845">
            <v>20697</v>
          </cell>
        </row>
        <row r="846">
          <cell r="G846">
            <v>1134.2999999999251</v>
          </cell>
          <cell r="H846">
            <v>20697</v>
          </cell>
          <cell r="I846">
            <v>1134.3999999999251</v>
          </cell>
          <cell r="J846">
            <v>20761</v>
          </cell>
        </row>
        <row r="847">
          <cell r="G847">
            <v>1134.3999999999251</v>
          </cell>
          <cell r="H847">
            <v>20761</v>
          </cell>
          <cell r="I847">
            <v>1134.499999999925</v>
          </cell>
          <cell r="J847">
            <v>20825</v>
          </cell>
        </row>
        <row r="848">
          <cell r="G848">
            <v>1134.499999999925</v>
          </cell>
          <cell r="H848">
            <v>20825</v>
          </cell>
          <cell r="I848">
            <v>1134.5999999999249</v>
          </cell>
          <cell r="J848">
            <v>20889</v>
          </cell>
        </row>
        <row r="849">
          <cell r="G849">
            <v>1134.5999999999249</v>
          </cell>
          <cell r="H849">
            <v>20889</v>
          </cell>
          <cell r="I849">
            <v>1134.6999999999248</v>
          </cell>
          <cell r="J849">
            <v>20953</v>
          </cell>
        </row>
        <row r="850">
          <cell r="G850">
            <v>1134.6999999999248</v>
          </cell>
          <cell r="H850">
            <v>20953</v>
          </cell>
          <cell r="I850">
            <v>1134.7999999999247</v>
          </cell>
          <cell r="J850">
            <v>21017</v>
          </cell>
        </row>
        <row r="851">
          <cell r="G851">
            <v>1134.7999999999247</v>
          </cell>
          <cell r="H851">
            <v>21017</v>
          </cell>
          <cell r="I851">
            <v>1134.8999999999246</v>
          </cell>
          <cell r="J851">
            <v>21081</v>
          </cell>
        </row>
        <row r="852">
          <cell r="G852">
            <v>1134.8999999999246</v>
          </cell>
          <cell r="H852">
            <v>21081</v>
          </cell>
          <cell r="I852">
            <v>1134.9999999999245</v>
          </cell>
          <cell r="J852">
            <v>21145</v>
          </cell>
        </row>
        <row r="853">
          <cell r="G853">
            <v>1134.9999999999245</v>
          </cell>
          <cell r="H853">
            <v>21145</v>
          </cell>
          <cell r="I853">
            <v>1135.0999999999244</v>
          </cell>
          <cell r="J853">
            <v>21210.7</v>
          </cell>
        </row>
        <row r="854">
          <cell r="G854">
            <v>1135.0999999999244</v>
          </cell>
          <cell r="H854">
            <v>21210.7</v>
          </cell>
          <cell r="I854">
            <v>1135.1999999999243</v>
          </cell>
          <cell r="J854">
            <v>21276.400000000001</v>
          </cell>
        </row>
        <row r="855">
          <cell r="G855">
            <v>1135.1999999999243</v>
          </cell>
          <cell r="H855">
            <v>21276.400000000001</v>
          </cell>
          <cell r="I855">
            <v>1135.2999999999242</v>
          </cell>
          <cell r="J855">
            <v>21342.1</v>
          </cell>
        </row>
        <row r="856">
          <cell r="G856">
            <v>1135.2999999999242</v>
          </cell>
          <cell r="H856">
            <v>21342.1</v>
          </cell>
          <cell r="I856">
            <v>1135.3999999999241</v>
          </cell>
          <cell r="J856">
            <v>21407.8</v>
          </cell>
        </row>
        <row r="857">
          <cell r="G857">
            <v>1135.3999999999241</v>
          </cell>
          <cell r="H857">
            <v>21407.8</v>
          </cell>
          <cell r="I857">
            <v>1135.4999999999241</v>
          </cell>
          <cell r="J857">
            <v>21473.5</v>
          </cell>
        </row>
        <row r="858">
          <cell r="G858">
            <v>1135.4999999999241</v>
          </cell>
          <cell r="H858">
            <v>21473.5</v>
          </cell>
          <cell r="I858">
            <v>1135.599999999924</v>
          </cell>
          <cell r="J858">
            <v>21539.200000000001</v>
          </cell>
        </row>
        <row r="859">
          <cell r="G859">
            <v>1135.599999999924</v>
          </cell>
          <cell r="H859">
            <v>21539.200000000001</v>
          </cell>
          <cell r="I859">
            <v>1135.6999999999239</v>
          </cell>
          <cell r="J859">
            <v>21604.9</v>
          </cell>
        </row>
        <row r="860">
          <cell r="G860">
            <v>1135.6999999999239</v>
          </cell>
          <cell r="H860">
            <v>21604.9</v>
          </cell>
          <cell r="I860">
            <v>1135.7999999999238</v>
          </cell>
          <cell r="J860">
            <v>21670.6</v>
          </cell>
        </row>
        <row r="861">
          <cell r="G861">
            <v>1135.7999999999238</v>
          </cell>
          <cell r="H861">
            <v>21670.6</v>
          </cell>
          <cell r="I861">
            <v>1135.8999999999237</v>
          </cell>
          <cell r="J861">
            <v>21736.3</v>
          </cell>
        </row>
        <row r="862">
          <cell r="G862">
            <v>1135.8999999999237</v>
          </cell>
          <cell r="H862">
            <v>21736.3</v>
          </cell>
          <cell r="I862">
            <v>1135.9999999999236</v>
          </cell>
          <cell r="J862">
            <v>21802</v>
          </cell>
        </row>
        <row r="863">
          <cell r="G863">
            <v>1135.9999999999236</v>
          </cell>
          <cell r="H863">
            <v>21802</v>
          </cell>
          <cell r="I863">
            <v>1136.0999999999235</v>
          </cell>
          <cell r="J863">
            <v>21869.7</v>
          </cell>
        </row>
        <row r="864">
          <cell r="G864">
            <v>1136.0999999999235</v>
          </cell>
          <cell r="H864">
            <v>21869.7</v>
          </cell>
          <cell r="I864">
            <v>1136.1999999999234</v>
          </cell>
          <cell r="J864">
            <v>21937.4</v>
          </cell>
        </row>
        <row r="865">
          <cell r="G865">
            <v>1136.1999999999234</v>
          </cell>
          <cell r="H865">
            <v>21937.4</v>
          </cell>
          <cell r="I865">
            <v>1136.2999999999233</v>
          </cell>
          <cell r="J865">
            <v>22005.1</v>
          </cell>
        </row>
        <row r="866">
          <cell r="G866">
            <v>1136.2999999999233</v>
          </cell>
          <cell r="H866">
            <v>22005.1</v>
          </cell>
          <cell r="I866">
            <v>1136.3999999999232</v>
          </cell>
          <cell r="J866">
            <v>22072.799999999999</v>
          </cell>
        </row>
        <row r="867">
          <cell r="G867">
            <v>1136.3999999999232</v>
          </cell>
          <cell r="H867">
            <v>22072.799999999999</v>
          </cell>
          <cell r="I867">
            <v>1136.4999999999231</v>
          </cell>
          <cell r="J867">
            <v>22140.5</v>
          </cell>
        </row>
        <row r="868">
          <cell r="G868">
            <v>1136.4999999999231</v>
          </cell>
          <cell r="H868">
            <v>22140.5</v>
          </cell>
          <cell r="I868">
            <v>1136.5999999999231</v>
          </cell>
          <cell r="J868">
            <v>22208.2</v>
          </cell>
        </row>
        <row r="869">
          <cell r="G869">
            <v>1136.5999999999231</v>
          </cell>
          <cell r="H869">
            <v>22208.2</v>
          </cell>
          <cell r="I869">
            <v>1136.699999999923</v>
          </cell>
          <cell r="J869">
            <v>22275.9</v>
          </cell>
        </row>
        <row r="870">
          <cell r="G870">
            <v>1136.699999999923</v>
          </cell>
          <cell r="H870">
            <v>22275.9</v>
          </cell>
          <cell r="I870">
            <v>1136.7999999999229</v>
          </cell>
          <cell r="J870">
            <v>22343.599999999999</v>
          </cell>
        </row>
        <row r="871">
          <cell r="G871">
            <v>1136.7999999999229</v>
          </cell>
          <cell r="H871">
            <v>22343.599999999999</v>
          </cell>
          <cell r="I871">
            <v>1136.8999999999228</v>
          </cell>
          <cell r="J871">
            <v>22411.3</v>
          </cell>
        </row>
        <row r="872">
          <cell r="G872">
            <v>1136.8999999999228</v>
          </cell>
          <cell r="H872">
            <v>22411.3</v>
          </cell>
          <cell r="I872">
            <v>1136.9999999999227</v>
          </cell>
          <cell r="J872">
            <v>22479</v>
          </cell>
        </row>
        <row r="873">
          <cell r="G873">
            <v>1136.9999999999227</v>
          </cell>
          <cell r="H873">
            <v>22479</v>
          </cell>
          <cell r="I873">
            <v>1137.0999999999226</v>
          </cell>
          <cell r="J873">
            <v>22548.5</v>
          </cell>
        </row>
        <row r="874">
          <cell r="G874">
            <v>1137.0999999999226</v>
          </cell>
          <cell r="H874">
            <v>22548.5</v>
          </cell>
          <cell r="I874">
            <v>1137.1999999999225</v>
          </cell>
          <cell r="J874">
            <v>22618</v>
          </cell>
        </row>
        <row r="875">
          <cell r="G875">
            <v>1137.1999999999225</v>
          </cell>
          <cell r="H875">
            <v>22618</v>
          </cell>
          <cell r="I875">
            <v>1137.2999999999224</v>
          </cell>
          <cell r="J875">
            <v>22687.5</v>
          </cell>
        </row>
        <row r="876">
          <cell r="G876">
            <v>1137.2999999999224</v>
          </cell>
          <cell r="H876">
            <v>22687.5</v>
          </cell>
          <cell r="I876">
            <v>1137.3999999999223</v>
          </cell>
          <cell r="J876">
            <v>22757</v>
          </cell>
        </row>
        <row r="877">
          <cell r="G877">
            <v>1137.3999999999223</v>
          </cell>
          <cell r="H877">
            <v>22757</v>
          </cell>
          <cell r="I877">
            <v>1137.4999999999222</v>
          </cell>
          <cell r="J877">
            <v>22826.5</v>
          </cell>
        </row>
        <row r="878">
          <cell r="G878">
            <v>1137.4999999999222</v>
          </cell>
          <cell r="H878">
            <v>22826.5</v>
          </cell>
          <cell r="I878">
            <v>1137.5999999999221</v>
          </cell>
          <cell r="J878">
            <v>22896</v>
          </cell>
        </row>
        <row r="879">
          <cell r="G879">
            <v>1137.5999999999221</v>
          </cell>
          <cell r="H879">
            <v>22896</v>
          </cell>
          <cell r="I879">
            <v>1137.6999999999221</v>
          </cell>
          <cell r="J879">
            <v>22965.5</v>
          </cell>
        </row>
        <row r="880">
          <cell r="G880">
            <v>1137.6999999999221</v>
          </cell>
          <cell r="H880">
            <v>22965.5</v>
          </cell>
          <cell r="I880">
            <v>1137.799999999922</v>
          </cell>
          <cell r="J880">
            <v>23035</v>
          </cell>
        </row>
        <row r="881">
          <cell r="G881">
            <v>1137.799999999922</v>
          </cell>
          <cell r="H881">
            <v>23035</v>
          </cell>
          <cell r="I881">
            <v>1137.8999999999219</v>
          </cell>
          <cell r="J881">
            <v>23104.5</v>
          </cell>
        </row>
        <row r="882">
          <cell r="G882">
            <v>1137.8999999999219</v>
          </cell>
          <cell r="H882">
            <v>23104.5</v>
          </cell>
          <cell r="I882">
            <v>1137.9999999999218</v>
          </cell>
          <cell r="J882">
            <v>23174</v>
          </cell>
        </row>
        <row r="883">
          <cell r="G883">
            <v>1137.9999999999218</v>
          </cell>
          <cell r="H883">
            <v>23174</v>
          </cell>
          <cell r="I883">
            <v>1138.0999999999217</v>
          </cell>
          <cell r="J883">
            <v>23245.4</v>
          </cell>
        </row>
        <row r="884">
          <cell r="G884">
            <v>1138.0999999999217</v>
          </cell>
          <cell r="H884">
            <v>23245.4</v>
          </cell>
          <cell r="I884">
            <v>1138.1999999999216</v>
          </cell>
          <cell r="J884">
            <v>23316.799999999999</v>
          </cell>
        </row>
        <row r="885">
          <cell r="G885">
            <v>1138.1999999999216</v>
          </cell>
          <cell r="H885">
            <v>23316.799999999999</v>
          </cell>
          <cell r="I885">
            <v>1138.2999999999215</v>
          </cell>
          <cell r="J885">
            <v>23388.2</v>
          </cell>
        </row>
        <row r="886">
          <cell r="G886">
            <v>1138.2999999999215</v>
          </cell>
          <cell r="H886">
            <v>23388.2</v>
          </cell>
          <cell r="I886">
            <v>1138.3999999999214</v>
          </cell>
          <cell r="J886">
            <v>23459.599999999999</v>
          </cell>
        </row>
        <row r="887">
          <cell r="G887">
            <v>1138.3999999999214</v>
          </cell>
          <cell r="H887">
            <v>23459.599999999999</v>
          </cell>
          <cell r="I887">
            <v>1138.4999999999213</v>
          </cell>
          <cell r="J887">
            <v>23531</v>
          </cell>
        </row>
        <row r="888">
          <cell r="G888">
            <v>1138.4999999999213</v>
          </cell>
          <cell r="H888">
            <v>23531</v>
          </cell>
          <cell r="I888">
            <v>1138.5999999999212</v>
          </cell>
          <cell r="J888">
            <v>23602.400000000001</v>
          </cell>
        </row>
        <row r="889">
          <cell r="G889">
            <v>1138.5999999999212</v>
          </cell>
          <cell r="H889">
            <v>23602.400000000001</v>
          </cell>
          <cell r="I889">
            <v>1138.6999999999211</v>
          </cell>
          <cell r="J889">
            <v>23673.8</v>
          </cell>
        </row>
        <row r="890">
          <cell r="G890">
            <v>1138.6999999999211</v>
          </cell>
          <cell r="H890">
            <v>23673.8</v>
          </cell>
          <cell r="I890">
            <v>1138.7999999999211</v>
          </cell>
          <cell r="J890">
            <v>23745.200000000001</v>
          </cell>
        </row>
        <row r="891">
          <cell r="G891">
            <v>1138.7999999999211</v>
          </cell>
          <cell r="H891">
            <v>23745.200000000001</v>
          </cell>
          <cell r="I891">
            <v>1138.899999999921</v>
          </cell>
          <cell r="J891">
            <v>23816.6</v>
          </cell>
        </row>
        <row r="892">
          <cell r="G892">
            <v>1138.899999999921</v>
          </cell>
          <cell r="H892">
            <v>23816.6</v>
          </cell>
          <cell r="I892">
            <v>1138.9999999999209</v>
          </cell>
          <cell r="J892">
            <v>23888</v>
          </cell>
        </row>
        <row r="893">
          <cell r="G893">
            <v>1138.9999999999209</v>
          </cell>
          <cell r="H893">
            <v>23888</v>
          </cell>
          <cell r="I893">
            <v>1139.0999999999208</v>
          </cell>
          <cell r="J893">
            <v>23961.4</v>
          </cell>
        </row>
        <row r="894">
          <cell r="G894">
            <v>1139.0999999999208</v>
          </cell>
          <cell r="H894">
            <v>23961.4</v>
          </cell>
          <cell r="I894">
            <v>1139.1999999999207</v>
          </cell>
          <cell r="J894">
            <v>24034.799999999999</v>
          </cell>
        </row>
        <row r="895">
          <cell r="G895">
            <v>1139.1999999999207</v>
          </cell>
          <cell r="H895">
            <v>24034.799999999999</v>
          </cell>
          <cell r="I895">
            <v>1139.2999999999206</v>
          </cell>
          <cell r="J895">
            <v>24108.2</v>
          </cell>
        </row>
        <row r="896">
          <cell r="G896">
            <v>1139.2999999999206</v>
          </cell>
          <cell r="H896">
            <v>24108.2</v>
          </cell>
          <cell r="I896">
            <v>1139.3999999999205</v>
          </cell>
          <cell r="J896">
            <v>24181.599999999999</v>
          </cell>
        </row>
        <row r="897">
          <cell r="G897">
            <v>1139.3999999999205</v>
          </cell>
          <cell r="H897">
            <v>24181.599999999999</v>
          </cell>
          <cell r="I897">
            <v>1139.4999999999204</v>
          </cell>
          <cell r="J897">
            <v>24255</v>
          </cell>
        </row>
        <row r="898">
          <cell r="G898">
            <v>1139.4999999999204</v>
          </cell>
          <cell r="H898">
            <v>24255</v>
          </cell>
          <cell r="I898">
            <v>1139.5999999999203</v>
          </cell>
          <cell r="J898">
            <v>24328.400000000001</v>
          </cell>
        </row>
        <row r="899">
          <cell r="G899">
            <v>1139.5999999999203</v>
          </cell>
          <cell r="H899">
            <v>24328.400000000001</v>
          </cell>
          <cell r="I899">
            <v>1139.6999999999202</v>
          </cell>
          <cell r="J899">
            <v>24401.8</v>
          </cell>
        </row>
        <row r="900">
          <cell r="G900">
            <v>1139.6999999999202</v>
          </cell>
          <cell r="H900">
            <v>24401.8</v>
          </cell>
          <cell r="I900">
            <v>1139.7999999999201</v>
          </cell>
          <cell r="J900">
            <v>24475.200000000001</v>
          </cell>
        </row>
        <row r="901">
          <cell r="G901">
            <v>1139.7999999999201</v>
          </cell>
          <cell r="H901">
            <v>24475.200000000001</v>
          </cell>
          <cell r="I901">
            <v>1139.8999999999201</v>
          </cell>
          <cell r="J901">
            <v>24548.6</v>
          </cell>
        </row>
        <row r="902">
          <cell r="G902">
            <v>1139.8999999999201</v>
          </cell>
          <cell r="H902">
            <v>24548.6</v>
          </cell>
          <cell r="I902">
            <v>1139.99999999992</v>
          </cell>
          <cell r="J902">
            <v>24622</v>
          </cell>
        </row>
        <row r="903">
          <cell r="G903">
            <v>1139.99999999992</v>
          </cell>
          <cell r="H903">
            <v>24622</v>
          </cell>
          <cell r="I903">
            <v>1140.0999999999199</v>
          </cell>
          <cell r="J903">
            <v>24697.3</v>
          </cell>
        </row>
        <row r="904">
          <cell r="G904">
            <v>1140.0999999999199</v>
          </cell>
          <cell r="H904">
            <v>24697.3</v>
          </cell>
          <cell r="I904">
            <v>1140.1999999999198</v>
          </cell>
          <cell r="J904">
            <v>24772.6</v>
          </cell>
        </row>
        <row r="905">
          <cell r="G905">
            <v>1140.1999999999198</v>
          </cell>
          <cell r="H905">
            <v>24772.6</v>
          </cell>
          <cell r="I905">
            <v>1140.2999999999197</v>
          </cell>
          <cell r="J905">
            <v>24847.9</v>
          </cell>
        </row>
        <row r="906">
          <cell r="G906">
            <v>1140.2999999999197</v>
          </cell>
          <cell r="H906">
            <v>24847.9</v>
          </cell>
          <cell r="I906">
            <v>1140.3999999999196</v>
          </cell>
          <cell r="J906">
            <v>24923.200000000001</v>
          </cell>
        </row>
        <row r="907">
          <cell r="G907">
            <v>1140.3999999999196</v>
          </cell>
          <cell r="H907">
            <v>24923.200000000001</v>
          </cell>
          <cell r="I907">
            <v>1140.4999999999195</v>
          </cell>
          <cell r="J907">
            <v>24998.5</v>
          </cell>
        </row>
        <row r="908">
          <cell r="G908">
            <v>1140.4999999999195</v>
          </cell>
          <cell r="H908">
            <v>24998.5</v>
          </cell>
          <cell r="I908">
            <v>1140.5999999999194</v>
          </cell>
          <cell r="J908">
            <v>25073.8</v>
          </cell>
        </row>
        <row r="909">
          <cell r="G909">
            <v>1140.5999999999194</v>
          </cell>
          <cell r="H909">
            <v>25073.8</v>
          </cell>
          <cell r="I909">
            <v>1140.6999999999193</v>
          </cell>
          <cell r="J909">
            <v>25149.1</v>
          </cell>
        </row>
        <row r="910">
          <cell r="G910">
            <v>1140.6999999999193</v>
          </cell>
          <cell r="H910">
            <v>25149.1</v>
          </cell>
          <cell r="I910">
            <v>1140.7999999999192</v>
          </cell>
          <cell r="J910">
            <v>25224.400000000001</v>
          </cell>
        </row>
        <row r="911">
          <cell r="G911">
            <v>1140.7999999999192</v>
          </cell>
          <cell r="H911">
            <v>25224.400000000001</v>
          </cell>
          <cell r="I911">
            <v>1140.8999999999191</v>
          </cell>
          <cell r="J911">
            <v>25299.7</v>
          </cell>
        </row>
        <row r="912">
          <cell r="G912">
            <v>1140.8999999999191</v>
          </cell>
          <cell r="H912">
            <v>25299.7</v>
          </cell>
          <cell r="I912">
            <v>1140.9999999999191</v>
          </cell>
          <cell r="J912">
            <v>25375</v>
          </cell>
        </row>
        <row r="913">
          <cell r="G913">
            <v>1140.9999999999191</v>
          </cell>
          <cell r="H913">
            <v>25375</v>
          </cell>
          <cell r="I913">
            <v>1141.099999999919</v>
          </cell>
          <cell r="J913">
            <v>25452.400000000001</v>
          </cell>
        </row>
        <row r="914">
          <cell r="G914">
            <v>1141.099999999919</v>
          </cell>
          <cell r="H914">
            <v>25452.400000000001</v>
          </cell>
          <cell r="I914">
            <v>1141.1999999999189</v>
          </cell>
          <cell r="J914">
            <v>25529.8</v>
          </cell>
        </row>
        <row r="915">
          <cell r="G915">
            <v>1141.1999999999189</v>
          </cell>
          <cell r="H915">
            <v>25529.8</v>
          </cell>
          <cell r="I915">
            <v>1141.2999999999188</v>
          </cell>
          <cell r="J915">
            <v>25607.200000000001</v>
          </cell>
        </row>
        <row r="916">
          <cell r="G916">
            <v>1141.2999999999188</v>
          </cell>
          <cell r="H916">
            <v>25607.200000000001</v>
          </cell>
          <cell r="I916">
            <v>1141.3999999999187</v>
          </cell>
          <cell r="J916">
            <v>25684.6</v>
          </cell>
        </row>
        <row r="917">
          <cell r="G917">
            <v>1141.3999999999187</v>
          </cell>
          <cell r="H917">
            <v>25684.6</v>
          </cell>
          <cell r="I917">
            <v>1141.4999999999186</v>
          </cell>
          <cell r="J917">
            <v>25762</v>
          </cell>
        </row>
        <row r="918">
          <cell r="G918">
            <v>1141.4999999999186</v>
          </cell>
          <cell r="H918">
            <v>25762</v>
          </cell>
          <cell r="I918">
            <v>1141.5999999999185</v>
          </cell>
          <cell r="J918">
            <v>25839.4</v>
          </cell>
        </row>
        <row r="919">
          <cell r="G919">
            <v>1141.5999999999185</v>
          </cell>
          <cell r="H919">
            <v>25839.4</v>
          </cell>
          <cell r="I919">
            <v>1141.6999999999184</v>
          </cell>
          <cell r="J919">
            <v>25916.799999999999</v>
          </cell>
        </row>
        <row r="920">
          <cell r="G920">
            <v>1141.6999999999184</v>
          </cell>
          <cell r="H920">
            <v>25916.799999999999</v>
          </cell>
          <cell r="I920">
            <v>1141.7999999999183</v>
          </cell>
          <cell r="J920">
            <v>25994.2</v>
          </cell>
        </row>
        <row r="921">
          <cell r="G921">
            <v>1141.7999999999183</v>
          </cell>
          <cell r="H921">
            <v>25994.2</v>
          </cell>
          <cell r="I921">
            <v>1141.8999999999182</v>
          </cell>
          <cell r="J921">
            <v>26071.599999999999</v>
          </cell>
        </row>
        <row r="922">
          <cell r="G922">
            <v>1141.8999999999182</v>
          </cell>
          <cell r="H922">
            <v>26071.599999999999</v>
          </cell>
          <cell r="I922">
            <v>1141.9999999999181</v>
          </cell>
          <cell r="J922">
            <v>26149</v>
          </cell>
        </row>
        <row r="923">
          <cell r="G923">
            <v>1141.9999999999181</v>
          </cell>
          <cell r="H923">
            <v>26149</v>
          </cell>
          <cell r="I923">
            <v>1142.0999999999181</v>
          </cell>
          <cell r="J923">
            <v>26228.3</v>
          </cell>
        </row>
        <row r="924">
          <cell r="G924">
            <v>1142.0999999999181</v>
          </cell>
          <cell r="H924">
            <v>26228.3</v>
          </cell>
          <cell r="I924">
            <v>1142.199999999918</v>
          </cell>
          <cell r="J924">
            <v>26307.599999999999</v>
          </cell>
        </row>
        <row r="925">
          <cell r="G925">
            <v>1142.199999999918</v>
          </cell>
          <cell r="H925">
            <v>26307.599999999999</v>
          </cell>
          <cell r="I925">
            <v>1142.2999999999179</v>
          </cell>
          <cell r="J925">
            <v>26386.9</v>
          </cell>
        </row>
        <row r="926">
          <cell r="G926">
            <v>1142.2999999999179</v>
          </cell>
          <cell r="H926">
            <v>26386.9</v>
          </cell>
          <cell r="I926">
            <v>1142.3999999999178</v>
          </cell>
          <cell r="J926">
            <v>26466.2</v>
          </cell>
        </row>
        <row r="927">
          <cell r="G927">
            <v>1142.3999999999178</v>
          </cell>
          <cell r="H927">
            <v>26466.2</v>
          </cell>
          <cell r="I927">
            <v>1142.4999999999177</v>
          </cell>
          <cell r="J927">
            <v>26545.5</v>
          </cell>
        </row>
        <row r="928">
          <cell r="G928">
            <v>1142.4999999999177</v>
          </cell>
          <cell r="H928">
            <v>26545.5</v>
          </cell>
          <cell r="I928">
            <v>1142.5999999999176</v>
          </cell>
          <cell r="J928">
            <v>26624.799999999999</v>
          </cell>
        </row>
        <row r="929">
          <cell r="G929">
            <v>1142.5999999999176</v>
          </cell>
          <cell r="H929">
            <v>26624.799999999999</v>
          </cell>
          <cell r="I929">
            <v>1142.6999999999175</v>
          </cell>
          <cell r="J929">
            <v>26704.1</v>
          </cell>
        </row>
        <row r="930">
          <cell r="G930">
            <v>1142.6999999999175</v>
          </cell>
          <cell r="H930">
            <v>26704.1</v>
          </cell>
          <cell r="I930">
            <v>1142.7999999999174</v>
          </cell>
          <cell r="J930">
            <v>26783.4</v>
          </cell>
        </row>
        <row r="931">
          <cell r="G931">
            <v>1142.7999999999174</v>
          </cell>
          <cell r="H931">
            <v>26783.4</v>
          </cell>
          <cell r="I931">
            <v>1142.8999999999173</v>
          </cell>
          <cell r="J931">
            <v>26862.7</v>
          </cell>
        </row>
        <row r="932">
          <cell r="G932">
            <v>1142.8999999999173</v>
          </cell>
          <cell r="H932">
            <v>26862.7</v>
          </cell>
          <cell r="I932">
            <v>1142.9999999999172</v>
          </cell>
          <cell r="J932">
            <v>26942</v>
          </cell>
        </row>
        <row r="933">
          <cell r="G933">
            <v>1142.9999999999172</v>
          </cell>
          <cell r="H933">
            <v>26942</v>
          </cell>
          <cell r="I933">
            <v>1143.0999999999171</v>
          </cell>
          <cell r="J933">
            <v>27023.4</v>
          </cell>
        </row>
        <row r="934">
          <cell r="G934">
            <v>1143.0999999999171</v>
          </cell>
          <cell r="H934">
            <v>27023.4</v>
          </cell>
          <cell r="I934">
            <v>1143.1999999999171</v>
          </cell>
          <cell r="J934">
            <v>27104.799999999999</v>
          </cell>
        </row>
        <row r="935">
          <cell r="G935">
            <v>1143.1999999999171</v>
          </cell>
          <cell r="H935">
            <v>27104.799999999999</v>
          </cell>
          <cell r="I935">
            <v>1143.299999999917</v>
          </cell>
          <cell r="J935">
            <v>27186.2</v>
          </cell>
        </row>
        <row r="936">
          <cell r="G936">
            <v>1143.299999999917</v>
          </cell>
          <cell r="H936">
            <v>27186.2</v>
          </cell>
          <cell r="I936">
            <v>1143.3999999999169</v>
          </cell>
          <cell r="J936">
            <v>27267.599999999999</v>
          </cell>
        </row>
        <row r="937">
          <cell r="G937">
            <v>1143.3999999999169</v>
          </cell>
          <cell r="H937">
            <v>27267.599999999999</v>
          </cell>
          <cell r="I937">
            <v>1143.4999999999168</v>
          </cell>
          <cell r="J937">
            <v>27349</v>
          </cell>
        </row>
        <row r="938">
          <cell r="G938">
            <v>1143.4999999999168</v>
          </cell>
          <cell r="H938">
            <v>27349</v>
          </cell>
          <cell r="I938">
            <v>1143.5999999999167</v>
          </cell>
          <cell r="J938">
            <v>27430.400000000001</v>
          </cell>
        </row>
        <row r="939">
          <cell r="G939">
            <v>1143.5999999999167</v>
          </cell>
          <cell r="H939">
            <v>27430.400000000001</v>
          </cell>
          <cell r="I939">
            <v>1143.6999999999166</v>
          </cell>
          <cell r="J939">
            <v>27511.8</v>
          </cell>
        </row>
        <row r="940">
          <cell r="G940">
            <v>1143.6999999999166</v>
          </cell>
          <cell r="H940">
            <v>27511.8</v>
          </cell>
          <cell r="I940">
            <v>1143.7999999999165</v>
          </cell>
          <cell r="J940">
            <v>27593.200000000001</v>
          </cell>
        </row>
        <row r="941">
          <cell r="G941">
            <v>1143.7999999999165</v>
          </cell>
          <cell r="H941">
            <v>27593.200000000001</v>
          </cell>
          <cell r="I941">
            <v>1143.8999999999164</v>
          </cell>
          <cell r="J941">
            <v>27674.6</v>
          </cell>
        </row>
        <row r="942">
          <cell r="G942">
            <v>1143.8999999999164</v>
          </cell>
          <cell r="H942">
            <v>27674.6</v>
          </cell>
          <cell r="I942">
            <v>1143.9999999999163</v>
          </cell>
          <cell r="J942">
            <v>27756</v>
          </cell>
        </row>
        <row r="943">
          <cell r="G943">
            <v>1143.9999999999163</v>
          </cell>
          <cell r="H943">
            <v>27756</v>
          </cell>
          <cell r="I943">
            <v>1144.0999999999162</v>
          </cell>
          <cell r="J943">
            <v>27839.4</v>
          </cell>
        </row>
        <row r="944">
          <cell r="G944">
            <v>1144.0999999999162</v>
          </cell>
          <cell r="H944">
            <v>27839.4</v>
          </cell>
          <cell r="I944">
            <v>1144.1999999999161</v>
          </cell>
          <cell r="J944">
            <v>27922.799999999999</v>
          </cell>
        </row>
        <row r="945">
          <cell r="G945">
            <v>1144.1999999999161</v>
          </cell>
          <cell r="H945">
            <v>27922.799999999999</v>
          </cell>
          <cell r="I945">
            <v>1144.2999999999161</v>
          </cell>
          <cell r="J945">
            <v>28006.2</v>
          </cell>
        </row>
        <row r="946">
          <cell r="G946">
            <v>1144.2999999999161</v>
          </cell>
          <cell r="H946">
            <v>28006.2</v>
          </cell>
          <cell r="I946">
            <v>1144.399999999916</v>
          </cell>
          <cell r="J946">
            <v>28089.599999999999</v>
          </cell>
        </row>
        <row r="947">
          <cell r="G947">
            <v>1144.399999999916</v>
          </cell>
          <cell r="H947">
            <v>28089.599999999999</v>
          </cell>
          <cell r="I947">
            <v>1144.4999999999159</v>
          </cell>
          <cell r="J947">
            <v>28173</v>
          </cell>
        </row>
        <row r="948">
          <cell r="G948">
            <v>1144.4999999999159</v>
          </cell>
          <cell r="H948">
            <v>28173</v>
          </cell>
          <cell r="I948">
            <v>1144.5999999999158</v>
          </cell>
          <cell r="J948">
            <v>28256.400000000001</v>
          </cell>
        </row>
        <row r="949">
          <cell r="G949">
            <v>1144.5999999999158</v>
          </cell>
          <cell r="H949">
            <v>28256.400000000001</v>
          </cell>
          <cell r="I949">
            <v>1144.6999999999157</v>
          </cell>
          <cell r="J949">
            <v>28339.8</v>
          </cell>
        </row>
        <row r="950">
          <cell r="G950">
            <v>1144.6999999999157</v>
          </cell>
          <cell r="H950">
            <v>28339.8</v>
          </cell>
          <cell r="I950">
            <v>1144.7999999999156</v>
          </cell>
          <cell r="J950">
            <v>28423.200000000001</v>
          </cell>
        </row>
        <row r="951">
          <cell r="G951">
            <v>1144.7999999999156</v>
          </cell>
          <cell r="H951">
            <v>28423.200000000001</v>
          </cell>
          <cell r="I951">
            <v>1144.8999999999155</v>
          </cell>
          <cell r="J951">
            <v>28506.6</v>
          </cell>
        </row>
        <row r="952">
          <cell r="G952">
            <v>1144.8999999999155</v>
          </cell>
          <cell r="H952">
            <v>28506.6</v>
          </cell>
          <cell r="I952">
            <v>1144.9999999999154</v>
          </cell>
          <cell r="J952">
            <v>28590</v>
          </cell>
        </row>
        <row r="953">
          <cell r="G953">
            <v>1144.9999999999154</v>
          </cell>
          <cell r="H953">
            <v>28590</v>
          </cell>
          <cell r="I953">
            <v>1145.0999999999153</v>
          </cell>
          <cell r="J953">
            <v>28675.200000000001</v>
          </cell>
        </row>
        <row r="954">
          <cell r="G954">
            <v>1145.0999999999153</v>
          </cell>
          <cell r="H954">
            <v>28675.200000000001</v>
          </cell>
          <cell r="I954">
            <v>1145.1999999999152</v>
          </cell>
          <cell r="J954">
            <v>28760.400000000001</v>
          </cell>
        </row>
        <row r="955">
          <cell r="G955">
            <v>1145.1999999999152</v>
          </cell>
          <cell r="H955">
            <v>28760.400000000001</v>
          </cell>
          <cell r="I955">
            <v>1145.2999999999151</v>
          </cell>
          <cell r="J955">
            <v>28845.599999999999</v>
          </cell>
        </row>
        <row r="956">
          <cell r="G956">
            <v>1145.2999999999151</v>
          </cell>
          <cell r="H956">
            <v>28845.599999999999</v>
          </cell>
          <cell r="I956">
            <v>1145.3999999999151</v>
          </cell>
          <cell r="J956">
            <v>28930.799999999999</v>
          </cell>
        </row>
        <row r="957">
          <cell r="G957">
            <v>1145.3999999999151</v>
          </cell>
          <cell r="H957">
            <v>28930.799999999999</v>
          </cell>
          <cell r="I957">
            <v>1145.499999999915</v>
          </cell>
          <cell r="J957">
            <v>29016</v>
          </cell>
        </row>
        <row r="958">
          <cell r="G958">
            <v>1145.499999999915</v>
          </cell>
          <cell r="H958">
            <v>29016</v>
          </cell>
          <cell r="I958">
            <v>1145.5999999999149</v>
          </cell>
          <cell r="J958">
            <v>29101.200000000001</v>
          </cell>
        </row>
        <row r="959">
          <cell r="G959">
            <v>1145.5999999999149</v>
          </cell>
          <cell r="H959">
            <v>29101.200000000001</v>
          </cell>
          <cell r="I959">
            <v>1145.6999999999148</v>
          </cell>
          <cell r="J959">
            <v>29186.400000000001</v>
          </cell>
        </row>
        <row r="960">
          <cell r="G960">
            <v>1145.6999999999148</v>
          </cell>
          <cell r="H960">
            <v>29186.400000000001</v>
          </cell>
          <cell r="I960">
            <v>1145.7999999999147</v>
          </cell>
          <cell r="J960">
            <v>29271.599999999999</v>
          </cell>
        </row>
        <row r="961">
          <cell r="G961">
            <v>1145.7999999999147</v>
          </cell>
          <cell r="H961">
            <v>29271.599999999999</v>
          </cell>
          <cell r="I961">
            <v>1145.8999999999146</v>
          </cell>
          <cell r="J961">
            <v>29356.799999999999</v>
          </cell>
        </row>
        <row r="962">
          <cell r="G962">
            <v>1145.8999999999146</v>
          </cell>
          <cell r="H962">
            <v>29356.799999999999</v>
          </cell>
          <cell r="I962">
            <v>1145.9999999999145</v>
          </cell>
          <cell r="J962">
            <v>29442</v>
          </cell>
        </row>
        <row r="963">
          <cell r="G963">
            <v>1145.9999999999145</v>
          </cell>
          <cell r="H963">
            <v>29442</v>
          </cell>
          <cell r="I963">
            <v>1146.0999999999144</v>
          </cell>
          <cell r="J963">
            <v>29528.5</v>
          </cell>
        </row>
        <row r="964">
          <cell r="G964">
            <v>1146.0999999999144</v>
          </cell>
          <cell r="H964">
            <v>29528.5</v>
          </cell>
          <cell r="I964">
            <v>1146.1999999999143</v>
          </cell>
          <cell r="J964">
            <v>29615</v>
          </cell>
        </row>
        <row r="965">
          <cell r="G965">
            <v>1146.1999999999143</v>
          </cell>
          <cell r="H965">
            <v>29615</v>
          </cell>
          <cell r="I965">
            <v>1146.2999999999142</v>
          </cell>
          <cell r="J965">
            <v>29701.5</v>
          </cell>
        </row>
        <row r="966">
          <cell r="G966">
            <v>1146.2999999999142</v>
          </cell>
          <cell r="H966">
            <v>29701.5</v>
          </cell>
          <cell r="I966">
            <v>1146.3999999999141</v>
          </cell>
          <cell r="J966">
            <v>29788</v>
          </cell>
        </row>
        <row r="967">
          <cell r="G967">
            <v>1146.3999999999141</v>
          </cell>
          <cell r="H967">
            <v>29788</v>
          </cell>
          <cell r="I967">
            <v>1146.4999999999141</v>
          </cell>
          <cell r="J967">
            <v>29874.5</v>
          </cell>
        </row>
        <row r="968">
          <cell r="G968">
            <v>1146.4999999999141</v>
          </cell>
          <cell r="H968">
            <v>29874.5</v>
          </cell>
          <cell r="I968">
            <v>1146.599999999914</v>
          </cell>
          <cell r="J968">
            <v>29961</v>
          </cell>
        </row>
        <row r="969">
          <cell r="G969">
            <v>1146.599999999914</v>
          </cell>
          <cell r="H969">
            <v>29961</v>
          </cell>
          <cell r="I969">
            <v>1146.6999999999139</v>
          </cell>
          <cell r="J969">
            <v>30047.5</v>
          </cell>
        </row>
        <row r="970">
          <cell r="G970">
            <v>1146.6999999999139</v>
          </cell>
          <cell r="H970">
            <v>30047.5</v>
          </cell>
          <cell r="I970">
            <v>1146.7999999999138</v>
          </cell>
          <cell r="J970">
            <v>30134</v>
          </cell>
        </row>
        <row r="971">
          <cell r="G971">
            <v>1146.7999999999138</v>
          </cell>
          <cell r="H971">
            <v>30134</v>
          </cell>
          <cell r="I971">
            <v>1146.8999999999137</v>
          </cell>
          <cell r="J971">
            <v>30220.5</v>
          </cell>
        </row>
        <row r="972">
          <cell r="G972">
            <v>1146.8999999999137</v>
          </cell>
          <cell r="H972">
            <v>30220.5</v>
          </cell>
          <cell r="I972">
            <v>1146.9999999999136</v>
          </cell>
          <cell r="J972">
            <v>30307</v>
          </cell>
        </row>
        <row r="973">
          <cell r="G973">
            <v>1146.9999999999136</v>
          </cell>
          <cell r="H973">
            <v>30307</v>
          </cell>
          <cell r="I973">
            <v>1147.0999999999135</v>
          </cell>
          <cell r="J973">
            <v>30394.799999999999</v>
          </cell>
        </row>
        <row r="974">
          <cell r="G974">
            <v>1147.0999999999135</v>
          </cell>
          <cell r="H974">
            <v>30394.799999999999</v>
          </cell>
          <cell r="I974">
            <v>1147.1999999999134</v>
          </cell>
          <cell r="J974">
            <v>30482.6</v>
          </cell>
        </row>
        <row r="975">
          <cell r="G975">
            <v>1147.1999999999134</v>
          </cell>
          <cell r="H975">
            <v>30482.6</v>
          </cell>
          <cell r="I975">
            <v>1147.2999999999133</v>
          </cell>
          <cell r="J975">
            <v>30570.400000000001</v>
          </cell>
        </row>
        <row r="976">
          <cell r="G976">
            <v>1147.2999999999133</v>
          </cell>
          <cell r="H976">
            <v>30570.400000000001</v>
          </cell>
          <cell r="I976">
            <v>1147.3999999999132</v>
          </cell>
          <cell r="J976">
            <v>30658.2</v>
          </cell>
        </row>
        <row r="977">
          <cell r="G977">
            <v>1147.3999999999132</v>
          </cell>
          <cell r="H977">
            <v>30658.2</v>
          </cell>
          <cell r="I977">
            <v>1147.4999999999131</v>
          </cell>
          <cell r="J977">
            <v>30746</v>
          </cell>
        </row>
        <row r="978">
          <cell r="G978">
            <v>1147.4999999999131</v>
          </cell>
          <cell r="H978">
            <v>30746</v>
          </cell>
          <cell r="I978">
            <v>1147.5999999999131</v>
          </cell>
          <cell r="J978">
            <v>30833.8</v>
          </cell>
        </row>
        <row r="979">
          <cell r="G979">
            <v>1147.5999999999131</v>
          </cell>
          <cell r="H979">
            <v>30833.8</v>
          </cell>
          <cell r="I979">
            <v>1147.699999999913</v>
          </cell>
          <cell r="J979">
            <v>30921.599999999999</v>
          </cell>
        </row>
        <row r="980">
          <cell r="G980">
            <v>1147.699999999913</v>
          </cell>
          <cell r="H980">
            <v>30921.599999999999</v>
          </cell>
          <cell r="I980">
            <v>1147.7999999999129</v>
          </cell>
          <cell r="J980">
            <v>31009.4</v>
          </cell>
        </row>
        <row r="981">
          <cell r="G981">
            <v>1147.7999999999129</v>
          </cell>
          <cell r="H981">
            <v>31009.4</v>
          </cell>
          <cell r="I981">
            <v>1147.8999999999128</v>
          </cell>
          <cell r="J981">
            <v>31097.200000000001</v>
          </cell>
        </row>
        <row r="982">
          <cell r="G982">
            <v>1147.8999999999128</v>
          </cell>
          <cell r="H982">
            <v>31097.200000000001</v>
          </cell>
          <cell r="I982">
            <v>1147.9999999999127</v>
          </cell>
          <cell r="J982">
            <v>31185</v>
          </cell>
        </row>
        <row r="983">
          <cell r="G983">
            <v>1147.9999999999127</v>
          </cell>
          <cell r="H983">
            <v>31185</v>
          </cell>
          <cell r="I983">
            <v>1148.0999999999126</v>
          </cell>
          <cell r="J983">
            <v>31274.2</v>
          </cell>
        </row>
        <row r="984">
          <cell r="G984">
            <v>1148.0999999999126</v>
          </cell>
          <cell r="H984">
            <v>31274.2</v>
          </cell>
          <cell r="I984">
            <v>1148.1999999999125</v>
          </cell>
          <cell r="J984">
            <v>31363.4</v>
          </cell>
        </row>
        <row r="985">
          <cell r="G985">
            <v>1148.1999999999125</v>
          </cell>
          <cell r="H985">
            <v>31363.4</v>
          </cell>
          <cell r="I985">
            <v>1148.2999999999124</v>
          </cell>
          <cell r="J985">
            <v>31452.6</v>
          </cell>
        </row>
        <row r="986">
          <cell r="G986">
            <v>1148.2999999999124</v>
          </cell>
          <cell r="H986">
            <v>31452.6</v>
          </cell>
          <cell r="I986">
            <v>1148.3999999999123</v>
          </cell>
          <cell r="J986">
            <v>31541.8</v>
          </cell>
        </row>
        <row r="987">
          <cell r="G987">
            <v>1148.3999999999123</v>
          </cell>
          <cell r="H987">
            <v>31541.8</v>
          </cell>
          <cell r="I987">
            <v>1148.4999999999122</v>
          </cell>
          <cell r="J987">
            <v>31631</v>
          </cell>
        </row>
        <row r="988">
          <cell r="G988">
            <v>1148.4999999999122</v>
          </cell>
          <cell r="H988">
            <v>31631</v>
          </cell>
          <cell r="I988">
            <v>1148.5999999999121</v>
          </cell>
          <cell r="J988">
            <v>31720.2</v>
          </cell>
        </row>
        <row r="989">
          <cell r="G989">
            <v>1148.5999999999121</v>
          </cell>
          <cell r="H989">
            <v>31720.2</v>
          </cell>
          <cell r="I989">
            <v>1148.6999999999121</v>
          </cell>
          <cell r="J989">
            <v>31809.4</v>
          </cell>
        </row>
        <row r="990">
          <cell r="G990">
            <v>1148.6999999999121</v>
          </cell>
          <cell r="H990">
            <v>31809.4</v>
          </cell>
          <cell r="I990">
            <v>1148.799999999912</v>
          </cell>
          <cell r="J990">
            <v>31898.6</v>
          </cell>
        </row>
        <row r="991">
          <cell r="G991">
            <v>1148.799999999912</v>
          </cell>
          <cell r="H991">
            <v>31898.6</v>
          </cell>
          <cell r="I991">
            <v>1148.8999999999119</v>
          </cell>
          <cell r="J991">
            <v>31987.8</v>
          </cell>
        </row>
        <row r="992">
          <cell r="G992">
            <v>1148.8999999999119</v>
          </cell>
          <cell r="H992">
            <v>31987.8</v>
          </cell>
          <cell r="I992">
            <v>1148.9999999999118</v>
          </cell>
          <cell r="J992">
            <v>32077</v>
          </cell>
        </row>
        <row r="993">
          <cell r="G993">
            <v>1148.9999999999118</v>
          </cell>
          <cell r="H993">
            <v>32077</v>
          </cell>
          <cell r="I993">
            <v>1149.0999999999117</v>
          </cell>
          <cell r="J993">
            <v>32167.5</v>
          </cell>
        </row>
        <row r="994">
          <cell r="G994">
            <v>1149.0999999999117</v>
          </cell>
          <cell r="H994">
            <v>32167.5</v>
          </cell>
          <cell r="I994">
            <v>1149.1999999999116</v>
          </cell>
          <cell r="J994">
            <v>32258</v>
          </cell>
        </row>
        <row r="995">
          <cell r="G995">
            <v>1149.1999999999116</v>
          </cell>
          <cell r="H995">
            <v>32258</v>
          </cell>
          <cell r="I995">
            <v>1149.2999999999115</v>
          </cell>
          <cell r="J995">
            <v>32348.5</v>
          </cell>
        </row>
        <row r="996">
          <cell r="G996">
            <v>1149.2999999999115</v>
          </cell>
          <cell r="H996">
            <v>32348.5</v>
          </cell>
          <cell r="I996">
            <v>1149.3999999999114</v>
          </cell>
          <cell r="J996">
            <v>32439</v>
          </cell>
        </row>
        <row r="997">
          <cell r="G997">
            <v>1149.3999999999114</v>
          </cell>
          <cell r="H997">
            <v>32439</v>
          </cell>
          <cell r="I997">
            <v>1149.4999999999113</v>
          </cell>
          <cell r="J997">
            <v>32529.5</v>
          </cell>
        </row>
        <row r="998">
          <cell r="G998">
            <v>1149.4999999999113</v>
          </cell>
          <cell r="H998">
            <v>32529.5</v>
          </cell>
          <cell r="I998">
            <v>1149.5999999999112</v>
          </cell>
          <cell r="J998">
            <v>32620</v>
          </cell>
        </row>
        <row r="999">
          <cell r="G999">
            <v>1149.5999999999112</v>
          </cell>
          <cell r="H999">
            <v>32620</v>
          </cell>
          <cell r="I999">
            <v>1149.6999999999111</v>
          </cell>
          <cell r="J999">
            <v>32710.5</v>
          </cell>
        </row>
        <row r="1000">
          <cell r="G1000">
            <v>1149.6999999999111</v>
          </cell>
          <cell r="H1000">
            <v>32710.5</v>
          </cell>
          <cell r="I1000">
            <v>1149.7999999999111</v>
          </cell>
          <cell r="J1000">
            <v>32801</v>
          </cell>
        </row>
        <row r="1001">
          <cell r="G1001">
            <v>1149.7999999999111</v>
          </cell>
          <cell r="H1001">
            <v>32801</v>
          </cell>
          <cell r="I1001">
            <v>1149.899999999911</v>
          </cell>
          <cell r="J1001">
            <v>32891.5</v>
          </cell>
        </row>
        <row r="1002">
          <cell r="G1002">
            <v>1149.899999999911</v>
          </cell>
          <cell r="H1002">
            <v>32891.5</v>
          </cell>
          <cell r="I1002">
            <v>1149.9999999999109</v>
          </cell>
          <cell r="J1002">
            <v>32982</v>
          </cell>
        </row>
        <row r="1003">
          <cell r="G1003">
            <v>1149.9999999999109</v>
          </cell>
          <cell r="H1003">
            <v>32982</v>
          </cell>
          <cell r="I1003">
            <v>1150.0999999999108</v>
          </cell>
          <cell r="J1003">
            <v>33073.9</v>
          </cell>
        </row>
        <row r="1004">
          <cell r="G1004">
            <v>1150.0999999999108</v>
          </cell>
          <cell r="H1004">
            <v>33073.9</v>
          </cell>
          <cell r="I1004">
            <v>1150.1999999999107</v>
          </cell>
          <cell r="J1004">
            <v>33165.800000000003</v>
          </cell>
        </row>
        <row r="1005">
          <cell r="G1005">
            <v>1150.1999999999107</v>
          </cell>
          <cell r="H1005">
            <v>33165.800000000003</v>
          </cell>
          <cell r="I1005">
            <v>1150.2999999999106</v>
          </cell>
          <cell r="J1005">
            <v>33257.699999999997</v>
          </cell>
        </row>
        <row r="1006">
          <cell r="G1006">
            <v>1150.2999999999106</v>
          </cell>
          <cell r="H1006">
            <v>33257.699999999997</v>
          </cell>
          <cell r="I1006">
            <v>1150.3999999999105</v>
          </cell>
          <cell r="J1006">
            <v>33349.599999999999</v>
          </cell>
        </row>
        <row r="1007">
          <cell r="G1007">
            <v>1150.3999999999105</v>
          </cell>
          <cell r="H1007">
            <v>33349.599999999999</v>
          </cell>
          <cell r="I1007">
            <v>1150.4999999999104</v>
          </cell>
          <cell r="J1007">
            <v>33441.5</v>
          </cell>
        </row>
        <row r="1008">
          <cell r="G1008">
            <v>1150.4999999999104</v>
          </cell>
          <cell r="H1008">
            <v>33441.5</v>
          </cell>
          <cell r="I1008">
            <v>1150.5999999999103</v>
          </cell>
          <cell r="J1008">
            <v>33533.4</v>
          </cell>
        </row>
        <row r="1009">
          <cell r="G1009">
            <v>1150.5999999999103</v>
          </cell>
          <cell r="H1009">
            <v>33533.4</v>
          </cell>
          <cell r="I1009">
            <v>1150.6999999999102</v>
          </cell>
          <cell r="J1009">
            <v>33625.300000000003</v>
          </cell>
        </row>
        <row r="1010">
          <cell r="G1010">
            <v>1150.6999999999102</v>
          </cell>
          <cell r="H1010">
            <v>33625.300000000003</v>
          </cell>
          <cell r="I1010">
            <v>1150.7999999999101</v>
          </cell>
          <cell r="J1010">
            <v>33717.199999999997</v>
          </cell>
        </row>
        <row r="1011">
          <cell r="G1011">
            <v>1150.7999999999101</v>
          </cell>
          <cell r="H1011">
            <v>33717.199999999997</v>
          </cell>
          <cell r="I1011">
            <v>1150.8999999999101</v>
          </cell>
          <cell r="J1011">
            <v>33809.1</v>
          </cell>
        </row>
        <row r="1012">
          <cell r="G1012">
            <v>1150.8999999999101</v>
          </cell>
          <cell r="H1012">
            <v>33809.1</v>
          </cell>
          <cell r="I1012">
            <v>1150.99999999991</v>
          </cell>
          <cell r="J1012">
            <v>33901</v>
          </cell>
        </row>
        <row r="1013">
          <cell r="G1013">
            <v>1150.99999999991</v>
          </cell>
          <cell r="H1013">
            <v>33901</v>
          </cell>
          <cell r="I1013">
            <v>1151.0999999999099</v>
          </cell>
          <cell r="J1013">
            <v>33994.300000000003</v>
          </cell>
        </row>
        <row r="1014">
          <cell r="G1014">
            <v>1151.0999999999099</v>
          </cell>
          <cell r="H1014">
            <v>33994.300000000003</v>
          </cell>
          <cell r="I1014">
            <v>1151.1999999999098</v>
          </cell>
          <cell r="J1014">
            <v>34087.599999999999</v>
          </cell>
        </row>
        <row r="1015">
          <cell r="G1015">
            <v>1151.1999999999098</v>
          </cell>
          <cell r="H1015">
            <v>34087.599999999999</v>
          </cell>
          <cell r="I1015">
            <v>1151.2999999999097</v>
          </cell>
          <cell r="J1015">
            <v>34180.9</v>
          </cell>
        </row>
        <row r="1016">
          <cell r="G1016">
            <v>1151.2999999999097</v>
          </cell>
          <cell r="H1016">
            <v>34180.9</v>
          </cell>
          <cell r="I1016">
            <v>1151.3999999999096</v>
          </cell>
          <cell r="J1016">
            <v>34274.199999999997</v>
          </cell>
        </row>
        <row r="1017">
          <cell r="G1017">
            <v>1151.3999999999096</v>
          </cell>
          <cell r="H1017">
            <v>34274.199999999997</v>
          </cell>
          <cell r="I1017">
            <v>1151.4999999999095</v>
          </cell>
          <cell r="J1017">
            <v>34367.5</v>
          </cell>
        </row>
        <row r="1018">
          <cell r="G1018">
            <v>1151.4999999999095</v>
          </cell>
          <cell r="H1018">
            <v>34367.5</v>
          </cell>
          <cell r="I1018">
            <v>1151.5999999999094</v>
          </cell>
          <cell r="J1018">
            <v>34460.800000000003</v>
          </cell>
        </row>
        <row r="1019">
          <cell r="G1019">
            <v>1151.5999999999094</v>
          </cell>
          <cell r="H1019">
            <v>34460.800000000003</v>
          </cell>
          <cell r="I1019">
            <v>1151.6999999999093</v>
          </cell>
          <cell r="J1019">
            <v>34554.1</v>
          </cell>
        </row>
        <row r="1020">
          <cell r="G1020">
            <v>1151.6999999999093</v>
          </cell>
          <cell r="H1020">
            <v>34554.1</v>
          </cell>
          <cell r="I1020">
            <v>1151.7999999999092</v>
          </cell>
          <cell r="J1020">
            <v>34647.4</v>
          </cell>
        </row>
        <row r="1021">
          <cell r="G1021">
            <v>1151.7999999999092</v>
          </cell>
          <cell r="H1021">
            <v>34647.4</v>
          </cell>
          <cell r="I1021">
            <v>1151.8999999999091</v>
          </cell>
          <cell r="J1021">
            <v>34740.699999999997</v>
          </cell>
        </row>
        <row r="1022">
          <cell r="G1022">
            <v>1151.8999999999091</v>
          </cell>
          <cell r="H1022">
            <v>34740.699999999997</v>
          </cell>
          <cell r="I1022">
            <v>1151.9999999999091</v>
          </cell>
          <cell r="J1022">
            <v>34834</v>
          </cell>
        </row>
        <row r="1023">
          <cell r="G1023">
            <v>1151.9999999999091</v>
          </cell>
          <cell r="H1023">
            <v>34834</v>
          </cell>
          <cell r="I1023">
            <v>1152.099999999909</v>
          </cell>
          <cell r="J1023">
            <v>34928.6</v>
          </cell>
        </row>
        <row r="1024">
          <cell r="G1024">
            <v>1152.099999999909</v>
          </cell>
          <cell r="H1024">
            <v>34928.6</v>
          </cell>
          <cell r="I1024">
            <v>1152.1999999999089</v>
          </cell>
          <cell r="J1024">
            <v>35023.199999999997</v>
          </cell>
        </row>
        <row r="1025">
          <cell r="G1025">
            <v>1152.1999999999089</v>
          </cell>
          <cell r="H1025">
            <v>35023.199999999997</v>
          </cell>
          <cell r="I1025">
            <v>1152.2999999999088</v>
          </cell>
          <cell r="J1025">
            <v>35117.800000000003</v>
          </cell>
        </row>
        <row r="1026">
          <cell r="G1026">
            <v>1152.2999999999088</v>
          </cell>
          <cell r="H1026">
            <v>35117.800000000003</v>
          </cell>
          <cell r="I1026">
            <v>1152.3999999999087</v>
          </cell>
          <cell r="J1026">
            <v>35212.400000000001</v>
          </cell>
        </row>
        <row r="1027">
          <cell r="G1027">
            <v>1152.3999999999087</v>
          </cell>
          <cell r="H1027">
            <v>35212.400000000001</v>
          </cell>
          <cell r="I1027">
            <v>1152.4999999999086</v>
          </cell>
          <cell r="J1027">
            <v>35307</v>
          </cell>
        </row>
        <row r="1028">
          <cell r="G1028">
            <v>1152.4999999999086</v>
          </cell>
          <cell r="H1028">
            <v>35307</v>
          </cell>
          <cell r="I1028">
            <v>1152.5999999999085</v>
          </cell>
          <cell r="J1028">
            <v>35401.599999999999</v>
          </cell>
        </row>
        <row r="1029">
          <cell r="G1029">
            <v>1152.5999999999085</v>
          </cell>
          <cell r="H1029">
            <v>35401.599999999999</v>
          </cell>
          <cell r="I1029">
            <v>1152.6999999999084</v>
          </cell>
          <cell r="J1029">
            <v>35496.199999999997</v>
          </cell>
        </row>
        <row r="1030">
          <cell r="G1030">
            <v>1152.6999999999084</v>
          </cell>
          <cell r="H1030">
            <v>35496.199999999997</v>
          </cell>
          <cell r="I1030">
            <v>1152.7999999999083</v>
          </cell>
          <cell r="J1030">
            <v>35590.800000000003</v>
          </cell>
        </row>
        <row r="1031">
          <cell r="G1031">
            <v>1152.7999999999083</v>
          </cell>
          <cell r="H1031">
            <v>35590.800000000003</v>
          </cell>
          <cell r="I1031">
            <v>1152.8999999999082</v>
          </cell>
          <cell r="J1031">
            <v>35685.4</v>
          </cell>
        </row>
        <row r="1032">
          <cell r="G1032">
            <v>1152.8999999999082</v>
          </cell>
          <cell r="H1032">
            <v>35685.4</v>
          </cell>
          <cell r="I1032">
            <v>1152.9999999999081</v>
          </cell>
          <cell r="J1032">
            <v>35780</v>
          </cell>
        </row>
        <row r="1033">
          <cell r="G1033">
            <v>1152.9999999999081</v>
          </cell>
          <cell r="H1033">
            <v>35780</v>
          </cell>
          <cell r="I1033">
            <v>1153.0999999999081</v>
          </cell>
          <cell r="J1033">
            <v>35876.1</v>
          </cell>
        </row>
        <row r="1034">
          <cell r="G1034">
            <v>1153.0999999999081</v>
          </cell>
          <cell r="H1034">
            <v>35876.1</v>
          </cell>
          <cell r="I1034">
            <v>1153.199999999908</v>
          </cell>
          <cell r="J1034">
            <v>35972.199999999997</v>
          </cell>
        </row>
        <row r="1035">
          <cell r="G1035">
            <v>1153.199999999908</v>
          </cell>
          <cell r="H1035">
            <v>35972.199999999997</v>
          </cell>
          <cell r="I1035">
            <v>1153.2999999999079</v>
          </cell>
          <cell r="J1035">
            <v>36068.300000000003</v>
          </cell>
        </row>
        <row r="1036">
          <cell r="G1036">
            <v>1153.2999999999079</v>
          </cell>
          <cell r="H1036">
            <v>36068.300000000003</v>
          </cell>
          <cell r="I1036">
            <v>1153.3999999999078</v>
          </cell>
          <cell r="J1036">
            <v>36164.400000000001</v>
          </cell>
        </row>
        <row r="1037">
          <cell r="G1037">
            <v>1153.3999999999078</v>
          </cell>
          <cell r="H1037">
            <v>36164.400000000001</v>
          </cell>
          <cell r="I1037">
            <v>1153.4999999999077</v>
          </cell>
          <cell r="J1037">
            <v>36260.5</v>
          </cell>
        </row>
        <row r="1038">
          <cell r="G1038">
            <v>1153.4999999999077</v>
          </cell>
          <cell r="H1038">
            <v>36260.5</v>
          </cell>
          <cell r="I1038">
            <v>1153.5999999999076</v>
          </cell>
          <cell r="J1038">
            <v>36356.6</v>
          </cell>
        </row>
        <row r="1039">
          <cell r="G1039">
            <v>1153.5999999999076</v>
          </cell>
          <cell r="H1039">
            <v>36356.6</v>
          </cell>
          <cell r="I1039">
            <v>1153.6999999999075</v>
          </cell>
          <cell r="J1039">
            <v>36452.699999999997</v>
          </cell>
        </row>
        <row r="1040">
          <cell r="G1040">
            <v>1153.6999999999075</v>
          </cell>
          <cell r="H1040">
            <v>36452.699999999997</v>
          </cell>
          <cell r="I1040">
            <v>1153.7999999999074</v>
          </cell>
          <cell r="J1040">
            <v>36548.800000000003</v>
          </cell>
        </row>
        <row r="1041">
          <cell r="G1041">
            <v>1153.7999999999074</v>
          </cell>
          <cell r="H1041">
            <v>36548.800000000003</v>
          </cell>
          <cell r="I1041">
            <v>1153.8999999999073</v>
          </cell>
          <cell r="J1041">
            <v>36644.9</v>
          </cell>
        </row>
        <row r="1042">
          <cell r="G1042">
            <v>1153.8999999999073</v>
          </cell>
          <cell r="H1042">
            <v>36644.9</v>
          </cell>
          <cell r="I1042">
            <v>1153.9999999999072</v>
          </cell>
          <cell r="J1042">
            <v>36741</v>
          </cell>
        </row>
        <row r="1043">
          <cell r="G1043">
            <v>1153.9999999999072</v>
          </cell>
          <cell r="H1043">
            <v>36741</v>
          </cell>
          <cell r="I1043">
            <v>1154.0999999999071</v>
          </cell>
          <cell r="J1043">
            <v>36838.5</v>
          </cell>
        </row>
        <row r="1044">
          <cell r="G1044">
            <v>1154.0999999999071</v>
          </cell>
          <cell r="H1044">
            <v>36838.5</v>
          </cell>
          <cell r="I1044">
            <v>1154.199999999907</v>
          </cell>
          <cell r="J1044">
            <v>36936</v>
          </cell>
        </row>
        <row r="1045">
          <cell r="G1045">
            <v>1154.199999999907</v>
          </cell>
          <cell r="H1045">
            <v>36936</v>
          </cell>
          <cell r="I1045">
            <v>1154.299999999907</v>
          </cell>
          <cell r="J1045">
            <v>37033.5</v>
          </cell>
        </row>
        <row r="1046">
          <cell r="G1046">
            <v>1154.299999999907</v>
          </cell>
          <cell r="H1046">
            <v>37033.5</v>
          </cell>
          <cell r="I1046">
            <v>1154.3999999999069</v>
          </cell>
          <cell r="J1046">
            <v>37131</v>
          </cell>
        </row>
        <row r="1047">
          <cell r="G1047">
            <v>1154.3999999999069</v>
          </cell>
          <cell r="H1047">
            <v>37131</v>
          </cell>
          <cell r="I1047">
            <v>1154.4999999999068</v>
          </cell>
          <cell r="J1047">
            <v>37228.5</v>
          </cell>
        </row>
        <row r="1048">
          <cell r="G1048">
            <v>1154.4999999999068</v>
          </cell>
          <cell r="H1048">
            <v>37228.5</v>
          </cell>
          <cell r="I1048">
            <v>1154.5999999999067</v>
          </cell>
          <cell r="J1048">
            <v>37326</v>
          </cell>
        </row>
        <row r="1049">
          <cell r="G1049">
            <v>1154.5999999999067</v>
          </cell>
          <cell r="H1049">
            <v>37326</v>
          </cell>
          <cell r="I1049">
            <v>1154.6999999999066</v>
          </cell>
          <cell r="J1049">
            <v>37423.5</v>
          </cell>
        </row>
        <row r="1050">
          <cell r="G1050">
            <v>1154.6999999999066</v>
          </cell>
          <cell r="H1050">
            <v>37423.5</v>
          </cell>
          <cell r="I1050">
            <v>1154.7999999999065</v>
          </cell>
          <cell r="J1050">
            <v>37521</v>
          </cell>
        </row>
        <row r="1051">
          <cell r="G1051">
            <v>1154.7999999999065</v>
          </cell>
          <cell r="H1051">
            <v>37521</v>
          </cell>
          <cell r="I1051">
            <v>1154.8999999999064</v>
          </cell>
          <cell r="J1051">
            <v>37618.5</v>
          </cell>
        </row>
        <row r="1052">
          <cell r="G1052">
            <v>1154.8999999999064</v>
          </cell>
          <cell r="H1052">
            <v>37618.5</v>
          </cell>
          <cell r="I1052">
            <v>1154.9999999999063</v>
          </cell>
          <cell r="J1052">
            <v>37716</v>
          </cell>
        </row>
        <row r="1053">
          <cell r="G1053">
            <v>1154.9999999999063</v>
          </cell>
          <cell r="H1053">
            <v>37716</v>
          </cell>
          <cell r="I1053">
            <v>1155.0999999999062</v>
          </cell>
          <cell r="J1053">
            <v>37814.9</v>
          </cell>
        </row>
        <row r="1054">
          <cell r="G1054">
            <v>1155.0999999999062</v>
          </cell>
          <cell r="H1054">
            <v>37814.9</v>
          </cell>
          <cell r="I1054">
            <v>1155.1999999999061</v>
          </cell>
          <cell r="J1054">
            <v>37913.800000000003</v>
          </cell>
        </row>
        <row r="1055">
          <cell r="G1055">
            <v>1155.1999999999061</v>
          </cell>
          <cell r="H1055">
            <v>37913.800000000003</v>
          </cell>
          <cell r="I1055">
            <v>1155.299999999906</v>
          </cell>
          <cell r="J1055">
            <v>38012.699999999997</v>
          </cell>
        </row>
        <row r="1056">
          <cell r="G1056">
            <v>1155.299999999906</v>
          </cell>
          <cell r="H1056">
            <v>38012.699999999997</v>
          </cell>
          <cell r="I1056">
            <v>1155.399999999906</v>
          </cell>
          <cell r="J1056">
            <v>38111.599999999999</v>
          </cell>
        </row>
        <row r="1057">
          <cell r="G1057">
            <v>1155.399999999906</v>
          </cell>
          <cell r="H1057">
            <v>38111.599999999999</v>
          </cell>
          <cell r="I1057">
            <v>1155.4999999999059</v>
          </cell>
          <cell r="J1057">
            <v>38210.5</v>
          </cell>
        </row>
        <row r="1058">
          <cell r="G1058">
            <v>1155.4999999999059</v>
          </cell>
          <cell r="H1058">
            <v>38210.5</v>
          </cell>
          <cell r="I1058">
            <v>1155.5999999999058</v>
          </cell>
          <cell r="J1058">
            <v>38309.4</v>
          </cell>
        </row>
        <row r="1059">
          <cell r="G1059">
            <v>1155.5999999999058</v>
          </cell>
          <cell r="H1059">
            <v>38309.4</v>
          </cell>
          <cell r="I1059">
            <v>1155.6999999999057</v>
          </cell>
          <cell r="J1059">
            <v>38408.300000000003</v>
          </cell>
        </row>
        <row r="1060">
          <cell r="G1060">
            <v>1155.6999999999057</v>
          </cell>
          <cell r="H1060">
            <v>38408.300000000003</v>
          </cell>
          <cell r="I1060">
            <v>1155.7999999999056</v>
          </cell>
          <cell r="J1060">
            <v>38507.199999999997</v>
          </cell>
        </row>
        <row r="1061">
          <cell r="G1061">
            <v>1155.7999999999056</v>
          </cell>
          <cell r="H1061">
            <v>38507.199999999997</v>
          </cell>
          <cell r="I1061">
            <v>1155.8999999999055</v>
          </cell>
          <cell r="J1061">
            <v>38606.1</v>
          </cell>
        </row>
        <row r="1062">
          <cell r="G1062">
            <v>1155.8999999999055</v>
          </cell>
          <cell r="H1062">
            <v>38606.1</v>
          </cell>
          <cell r="I1062">
            <v>1155.9999999999054</v>
          </cell>
          <cell r="J1062">
            <v>38705</v>
          </cell>
        </row>
        <row r="1063">
          <cell r="G1063">
            <v>1155.9999999999054</v>
          </cell>
          <cell r="H1063">
            <v>38705</v>
          </cell>
          <cell r="I1063">
            <v>1156.0999999999053</v>
          </cell>
          <cell r="J1063">
            <v>38805.300000000003</v>
          </cell>
        </row>
        <row r="1064">
          <cell r="G1064">
            <v>1156.0999999999053</v>
          </cell>
          <cell r="H1064">
            <v>38805.300000000003</v>
          </cell>
          <cell r="I1064">
            <v>1156.1999999999052</v>
          </cell>
          <cell r="J1064">
            <v>38905.599999999999</v>
          </cell>
        </row>
        <row r="1065">
          <cell r="G1065">
            <v>1156.1999999999052</v>
          </cell>
          <cell r="H1065">
            <v>38905.599999999999</v>
          </cell>
          <cell r="I1065">
            <v>1156.2999999999051</v>
          </cell>
          <cell r="J1065">
            <v>39005.9</v>
          </cell>
        </row>
        <row r="1066">
          <cell r="G1066">
            <v>1156.2999999999051</v>
          </cell>
          <cell r="H1066">
            <v>39005.9</v>
          </cell>
          <cell r="I1066">
            <v>1156.399999999905</v>
          </cell>
          <cell r="J1066">
            <v>39106.199999999997</v>
          </cell>
        </row>
        <row r="1067">
          <cell r="G1067">
            <v>1156.399999999905</v>
          </cell>
          <cell r="H1067">
            <v>39106.199999999997</v>
          </cell>
          <cell r="I1067">
            <v>1156.499999999905</v>
          </cell>
          <cell r="J1067">
            <v>39206.5</v>
          </cell>
        </row>
        <row r="1068">
          <cell r="G1068">
            <v>1156.499999999905</v>
          </cell>
          <cell r="H1068">
            <v>39206.5</v>
          </cell>
          <cell r="I1068">
            <v>1156.5999999999049</v>
          </cell>
          <cell r="J1068">
            <v>39306.800000000003</v>
          </cell>
        </row>
        <row r="1069">
          <cell r="G1069">
            <v>1156.5999999999049</v>
          </cell>
          <cell r="H1069">
            <v>39306.800000000003</v>
          </cell>
          <cell r="I1069">
            <v>1156.6999999999048</v>
          </cell>
          <cell r="J1069">
            <v>39407.1</v>
          </cell>
        </row>
        <row r="1070">
          <cell r="G1070">
            <v>1156.6999999999048</v>
          </cell>
          <cell r="H1070">
            <v>39407.1</v>
          </cell>
          <cell r="I1070">
            <v>1156.7999999999047</v>
          </cell>
          <cell r="J1070">
            <v>39507.4</v>
          </cell>
        </row>
        <row r="1071">
          <cell r="G1071">
            <v>1156.7999999999047</v>
          </cell>
          <cell r="H1071">
            <v>39507.4</v>
          </cell>
          <cell r="I1071">
            <v>1156.8999999999046</v>
          </cell>
          <cell r="J1071">
            <v>39607.699999999997</v>
          </cell>
        </row>
        <row r="1072">
          <cell r="G1072">
            <v>1156.8999999999046</v>
          </cell>
          <cell r="H1072">
            <v>39607.699999999997</v>
          </cell>
          <cell r="I1072">
            <v>1156.9999999999045</v>
          </cell>
          <cell r="J1072">
            <v>39708</v>
          </cell>
        </row>
        <row r="1073">
          <cell r="G1073">
            <v>1156.9999999999045</v>
          </cell>
          <cell r="H1073">
            <v>39708</v>
          </cell>
          <cell r="I1073">
            <v>1157.0999999999044</v>
          </cell>
          <cell r="J1073">
            <v>39809.699999999997</v>
          </cell>
        </row>
        <row r="1074">
          <cell r="G1074">
            <v>1157.0999999999044</v>
          </cell>
          <cell r="H1074">
            <v>39809.699999999997</v>
          </cell>
          <cell r="I1074">
            <v>1157.1999999999043</v>
          </cell>
          <cell r="J1074">
            <v>39911.4</v>
          </cell>
        </row>
        <row r="1075">
          <cell r="G1075">
            <v>1157.1999999999043</v>
          </cell>
          <cell r="H1075">
            <v>39911.4</v>
          </cell>
          <cell r="I1075">
            <v>1157.2999999999042</v>
          </cell>
          <cell r="J1075">
            <v>40013.1</v>
          </cell>
        </row>
        <row r="1076">
          <cell r="G1076">
            <v>1157.2999999999042</v>
          </cell>
          <cell r="H1076">
            <v>40013.1</v>
          </cell>
          <cell r="I1076">
            <v>1157.3999999999041</v>
          </cell>
          <cell r="J1076">
            <v>40114.800000000003</v>
          </cell>
        </row>
        <row r="1077">
          <cell r="G1077">
            <v>1157.3999999999041</v>
          </cell>
          <cell r="H1077">
            <v>40114.800000000003</v>
          </cell>
          <cell r="I1077">
            <v>1157.499999999904</v>
          </cell>
          <cell r="J1077">
            <v>40216.5</v>
          </cell>
        </row>
        <row r="1078">
          <cell r="G1078">
            <v>1157.499999999904</v>
          </cell>
          <cell r="H1078">
            <v>40216.5</v>
          </cell>
          <cell r="I1078">
            <v>1157.599999999904</v>
          </cell>
          <cell r="J1078">
            <v>40318.199999999997</v>
          </cell>
        </row>
        <row r="1079">
          <cell r="G1079">
            <v>1157.599999999904</v>
          </cell>
          <cell r="H1079">
            <v>40318.199999999997</v>
          </cell>
          <cell r="I1079">
            <v>1157.6999999999039</v>
          </cell>
          <cell r="J1079">
            <v>40419.9</v>
          </cell>
        </row>
        <row r="1080">
          <cell r="G1080">
            <v>1157.6999999999039</v>
          </cell>
          <cell r="H1080">
            <v>40419.9</v>
          </cell>
          <cell r="I1080">
            <v>1157.7999999999038</v>
          </cell>
          <cell r="J1080">
            <v>40521.599999999999</v>
          </cell>
        </row>
        <row r="1081">
          <cell r="G1081">
            <v>1157.7999999999038</v>
          </cell>
          <cell r="H1081">
            <v>40521.599999999999</v>
          </cell>
          <cell r="I1081">
            <v>1157.8999999999037</v>
          </cell>
          <cell r="J1081">
            <v>40623.300000000003</v>
          </cell>
        </row>
        <row r="1082">
          <cell r="G1082">
            <v>1157.8999999999037</v>
          </cell>
          <cell r="H1082">
            <v>40623.300000000003</v>
          </cell>
          <cell r="I1082">
            <v>1157.9999999999036</v>
          </cell>
          <cell r="J1082">
            <v>40725</v>
          </cell>
        </row>
        <row r="1083">
          <cell r="G1083">
            <v>1157.9999999999036</v>
          </cell>
          <cell r="H1083">
            <v>40725</v>
          </cell>
          <cell r="I1083">
            <v>1158.0999999999035</v>
          </cell>
          <cell r="J1083">
            <v>40828.199999999997</v>
          </cell>
        </row>
        <row r="1084">
          <cell r="G1084">
            <v>1158.0999999999035</v>
          </cell>
          <cell r="H1084">
            <v>40828.199999999997</v>
          </cell>
          <cell r="I1084">
            <v>1158.1999999999034</v>
          </cell>
          <cell r="J1084">
            <v>40931.4</v>
          </cell>
        </row>
        <row r="1085">
          <cell r="G1085">
            <v>1158.1999999999034</v>
          </cell>
          <cell r="H1085">
            <v>40931.4</v>
          </cell>
          <cell r="I1085">
            <v>1158.2999999999033</v>
          </cell>
          <cell r="J1085">
            <v>41034.6</v>
          </cell>
        </row>
        <row r="1086">
          <cell r="G1086">
            <v>1158.2999999999033</v>
          </cell>
          <cell r="H1086">
            <v>41034.6</v>
          </cell>
          <cell r="I1086">
            <v>1158.3999999999032</v>
          </cell>
          <cell r="J1086">
            <v>41137.800000000003</v>
          </cell>
        </row>
        <row r="1087">
          <cell r="G1087">
            <v>1158.3999999999032</v>
          </cell>
          <cell r="H1087">
            <v>41137.800000000003</v>
          </cell>
          <cell r="I1087">
            <v>1158.4999999999031</v>
          </cell>
          <cell r="J1087">
            <v>41241</v>
          </cell>
        </row>
        <row r="1088">
          <cell r="G1088">
            <v>1158.4999999999031</v>
          </cell>
          <cell r="H1088">
            <v>41241</v>
          </cell>
          <cell r="I1088">
            <v>1158.599999999903</v>
          </cell>
          <cell r="J1088">
            <v>41344.199999999997</v>
          </cell>
        </row>
        <row r="1089">
          <cell r="G1089">
            <v>1158.599999999903</v>
          </cell>
          <cell r="H1089">
            <v>41344.199999999997</v>
          </cell>
          <cell r="I1089">
            <v>1158.699999999903</v>
          </cell>
          <cell r="J1089">
            <v>41447.4</v>
          </cell>
        </row>
        <row r="1090">
          <cell r="G1090">
            <v>1158.699999999903</v>
          </cell>
          <cell r="H1090">
            <v>41447.4</v>
          </cell>
          <cell r="I1090">
            <v>1158.7999999999029</v>
          </cell>
          <cell r="J1090">
            <v>41550.6</v>
          </cell>
        </row>
        <row r="1091">
          <cell r="G1091">
            <v>1158.7999999999029</v>
          </cell>
          <cell r="H1091">
            <v>41550.6</v>
          </cell>
          <cell r="I1091">
            <v>1158.8999999999028</v>
          </cell>
          <cell r="J1091">
            <v>41653.800000000003</v>
          </cell>
        </row>
        <row r="1092">
          <cell r="G1092">
            <v>1158.8999999999028</v>
          </cell>
          <cell r="H1092">
            <v>41653.800000000003</v>
          </cell>
          <cell r="I1092">
            <v>1158.9999999999027</v>
          </cell>
          <cell r="J1092">
            <v>41757</v>
          </cell>
        </row>
        <row r="1093">
          <cell r="G1093">
            <v>1158.9999999999027</v>
          </cell>
          <cell r="H1093">
            <v>41757</v>
          </cell>
          <cell r="I1093">
            <v>1159.0999999999026</v>
          </cell>
          <cell r="J1093">
            <v>41861.699999999997</v>
          </cell>
        </row>
        <row r="1094">
          <cell r="G1094">
            <v>1159.0999999999026</v>
          </cell>
          <cell r="H1094">
            <v>41861.699999999997</v>
          </cell>
          <cell r="I1094">
            <v>1159.1999999999025</v>
          </cell>
          <cell r="J1094">
            <v>41966.400000000001</v>
          </cell>
        </row>
        <row r="1095">
          <cell r="G1095">
            <v>1159.1999999999025</v>
          </cell>
          <cell r="H1095">
            <v>41966.400000000001</v>
          </cell>
          <cell r="I1095">
            <v>1159.2999999999024</v>
          </cell>
          <cell r="J1095">
            <v>42071.1</v>
          </cell>
        </row>
        <row r="1096">
          <cell r="G1096">
            <v>1159.2999999999024</v>
          </cell>
          <cell r="H1096">
            <v>42071.1</v>
          </cell>
          <cell r="I1096">
            <v>1159.3999999999023</v>
          </cell>
          <cell r="J1096">
            <v>42175.8</v>
          </cell>
        </row>
        <row r="1097">
          <cell r="G1097">
            <v>1159.3999999999023</v>
          </cell>
          <cell r="H1097">
            <v>42175.8</v>
          </cell>
          <cell r="I1097">
            <v>1159.4999999999022</v>
          </cell>
          <cell r="J1097">
            <v>42280.5</v>
          </cell>
        </row>
        <row r="1098">
          <cell r="G1098">
            <v>1159.4999999999022</v>
          </cell>
          <cell r="H1098">
            <v>42280.5</v>
          </cell>
          <cell r="I1098">
            <v>1159.5999999999021</v>
          </cell>
          <cell r="J1098">
            <v>42385.2</v>
          </cell>
        </row>
        <row r="1099">
          <cell r="G1099">
            <v>1159.5999999999021</v>
          </cell>
          <cell r="H1099">
            <v>42385.2</v>
          </cell>
          <cell r="I1099">
            <v>1159.699999999902</v>
          </cell>
          <cell r="J1099">
            <v>42489.9</v>
          </cell>
        </row>
        <row r="1100">
          <cell r="G1100">
            <v>1159.699999999902</v>
          </cell>
          <cell r="H1100">
            <v>42489.9</v>
          </cell>
          <cell r="I1100">
            <v>1159.799999999902</v>
          </cell>
          <cell r="J1100">
            <v>42594.6</v>
          </cell>
        </row>
        <row r="1101">
          <cell r="G1101">
            <v>1159.799999999902</v>
          </cell>
          <cell r="H1101">
            <v>42594.6</v>
          </cell>
          <cell r="I1101">
            <v>1159.8999999999019</v>
          </cell>
          <cell r="J1101">
            <v>42699.3</v>
          </cell>
        </row>
        <row r="1102">
          <cell r="G1102">
            <v>1159.8999999999019</v>
          </cell>
          <cell r="H1102">
            <v>42699.3</v>
          </cell>
          <cell r="I1102">
            <v>1159.9999999999018</v>
          </cell>
          <cell r="J1102">
            <v>42804</v>
          </cell>
        </row>
        <row r="1103">
          <cell r="G1103">
            <v>1159.9999999999018</v>
          </cell>
          <cell r="H1103">
            <v>42804</v>
          </cell>
          <cell r="I1103">
            <v>1160.0999999999017</v>
          </cell>
          <cell r="J1103">
            <v>42910</v>
          </cell>
        </row>
        <row r="1104">
          <cell r="G1104">
            <v>1160.0999999999017</v>
          </cell>
          <cell r="H1104">
            <v>42910</v>
          </cell>
          <cell r="I1104">
            <v>1160.1999999999016</v>
          </cell>
          <cell r="J1104">
            <v>43016</v>
          </cell>
        </row>
        <row r="1105">
          <cell r="G1105">
            <v>1160.1999999999016</v>
          </cell>
          <cell r="H1105">
            <v>43016</v>
          </cell>
          <cell r="I1105">
            <v>1160.2999999999015</v>
          </cell>
          <cell r="J1105">
            <v>43122</v>
          </cell>
        </row>
        <row r="1106">
          <cell r="G1106">
            <v>1160.2999999999015</v>
          </cell>
          <cell r="H1106">
            <v>43122</v>
          </cell>
          <cell r="I1106">
            <v>1160.3999999999014</v>
          </cell>
          <cell r="J1106">
            <v>43228</v>
          </cell>
        </row>
        <row r="1107">
          <cell r="G1107">
            <v>1160.3999999999014</v>
          </cell>
          <cell r="H1107">
            <v>43228</v>
          </cell>
          <cell r="I1107">
            <v>1160.4999999999013</v>
          </cell>
          <cell r="J1107">
            <v>43334</v>
          </cell>
        </row>
        <row r="1108">
          <cell r="G1108">
            <v>1160.4999999999013</v>
          </cell>
          <cell r="H1108">
            <v>43334</v>
          </cell>
          <cell r="I1108">
            <v>1160.5999999999012</v>
          </cell>
          <cell r="J1108">
            <v>43440</v>
          </cell>
        </row>
        <row r="1109">
          <cell r="G1109">
            <v>1160.5999999999012</v>
          </cell>
          <cell r="H1109">
            <v>43440</v>
          </cell>
          <cell r="I1109">
            <v>1160.6999999999011</v>
          </cell>
          <cell r="J1109">
            <v>43546</v>
          </cell>
        </row>
        <row r="1110">
          <cell r="G1110">
            <v>1160.6999999999011</v>
          </cell>
          <cell r="H1110">
            <v>43546</v>
          </cell>
          <cell r="I1110">
            <v>1160.799999999901</v>
          </cell>
          <cell r="J1110">
            <v>43652</v>
          </cell>
        </row>
        <row r="1111">
          <cell r="G1111">
            <v>1160.799999999901</v>
          </cell>
          <cell r="H1111">
            <v>43652</v>
          </cell>
          <cell r="I1111">
            <v>1160.899999999901</v>
          </cell>
          <cell r="J1111">
            <v>43758</v>
          </cell>
        </row>
        <row r="1112">
          <cell r="G1112">
            <v>1160.899999999901</v>
          </cell>
          <cell r="H1112">
            <v>43758</v>
          </cell>
          <cell r="I1112">
            <v>1160.9999999999009</v>
          </cell>
          <cell r="J1112">
            <v>43864</v>
          </cell>
        </row>
        <row r="1113">
          <cell r="G1113">
            <v>1160.9999999999009</v>
          </cell>
          <cell r="H1113">
            <v>43864</v>
          </cell>
          <cell r="I1113">
            <v>1161.0999999999008</v>
          </cell>
          <cell r="J1113">
            <v>43971</v>
          </cell>
        </row>
        <row r="1114">
          <cell r="G1114">
            <v>1161.0999999999008</v>
          </cell>
          <cell r="H1114">
            <v>43971</v>
          </cell>
          <cell r="I1114">
            <v>1161.1999999999007</v>
          </cell>
          <cell r="J1114">
            <v>44078</v>
          </cell>
        </row>
        <row r="1115">
          <cell r="G1115">
            <v>1161.1999999999007</v>
          </cell>
          <cell r="H1115">
            <v>44078</v>
          </cell>
          <cell r="I1115">
            <v>1161.2999999999006</v>
          </cell>
          <cell r="J1115">
            <v>44185</v>
          </cell>
        </row>
        <row r="1116">
          <cell r="G1116">
            <v>1161.2999999999006</v>
          </cell>
          <cell r="H1116">
            <v>44185</v>
          </cell>
          <cell r="I1116">
            <v>1161.3999999999005</v>
          </cell>
          <cell r="J1116">
            <v>44292</v>
          </cell>
        </row>
        <row r="1117">
          <cell r="G1117">
            <v>1161.3999999999005</v>
          </cell>
          <cell r="H1117">
            <v>44292</v>
          </cell>
          <cell r="I1117">
            <v>1161.4999999999004</v>
          </cell>
          <cell r="J1117">
            <v>44399</v>
          </cell>
        </row>
        <row r="1118">
          <cell r="G1118">
            <v>1161.4999999999004</v>
          </cell>
          <cell r="H1118">
            <v>44399</v>
          </cell>
          <cell r="I1118">
            <v>1161.5999999999003</v>
          </cell>
          <cell r="J1118">
            <v>44506</v>
          </cell>
        </row>
        <row r="1119">
          <cell r="G1119">
            <v>1161.5999999999003</v>
          </cell>
          <cell r="H1119">
            <v>44506</v>
          </cell>
          <cell r="I1119">
            <v>1161.6999999999002</v>
          </cell>
          <cell r="J1119">
            <v>44613</v>
          </cell>
        </row>
        <row r="1120">
          <cell r="G1120">
            <v>1161.6999999999002</v>
          </cell>
          <cell r="H1120">
            <v>44613</v>
          </cell>
          <cell r="I1120">
            <v>1161.7999999999001</v>
          </cell>
          <cell r="J1120">
            <v>44720</v>
          </cell>
        </row>
        <row r="1121">
          <cell r="G1121">
            <v>1161.7999999999001</v>
          </cell>
          <cell r="H1121">
            <v>44720</v>
          </cell>
          <cell r="I1121">
            <v>1161.8999999999</v>
          </cell>
          <cell r="J1121">
            <v>44827</v>
          </cell>
        </row>
        <row r="1122">
          <cell r="G1122">
            <v>1161.8999999999</v>
          </cell>
          <cell r="H1122">
            <v>44827</v>
          </cell>
          <cell r="I1122">
            <v>1161.9999999999</v>
          </cell>
          <cell r="J1122">
            <v>44934</v>
          </cell>
        </row>
        <row r="1123">
          <cell r="G1123">
            <v>1161.9999999999</v>
          </cell>
          <cell r="H1123">
            <v>44934</v>
          </cell>
          <cell r="I1123">
            <v>1162.0999999998999</v>
          </cell>
          <cell r="J1123">
            <v>45042.2</v>
          </cell>
        </row>
        <row r="1124">
          <cell r="G1124">
            <v>1162.0999999998999</v>
          </cell>
          <cell r="H1124">
            <v>45042.2</v>
          </cell>
          <cell r="I1124">
            <v>1162.1999999998998</v>
          </cell>
          <cell r="J1124">
            <v>45150.400000000001</v>
          </cell>
        </row>
        <row r="1125">
          <cell r="G1125">
            <v>1162.1999999998998</v>
          </cell>
          <cell r="H1125">
            <v>45150.400000000001</v>
          </cell>
          <cell r="I1125">
            <v>1162.2999999998997</v>
          </cell>
          <cell r="J1125">
            <v>45258.6</v>
          </cell>
        </row>
        <row r="1126">
          <cell r="G1126">
            <v>1162.2999999998997</v>
          </cell>
          <cell r="H1126">
            <v>45258.6</v>
          </cell>
          <cell r="I1126">
            <v>1162.3999999998996</v>
          </cell>
          <cell r="J1126">
            <v>45366.8</v>
          </cell>
        </row>
        <row r="1127">
          <cell r="G1127">
            <v>1162.3999999998996</v>
          </cell>
          <cell r="H1127">
            <v>45366.8</v>
          </cell>
          <cell r="I1127">
            <v>1162.4999999998995</v>
          </cell>
          <cell r="J1127">
            <v>45475</v>
          </cell>
        </row>
        <row r="1128">
          <cell r="G1128">
            <v>1162.4999999998995</v>
          </cell>
          <cell r="H1128">
            <v>45475</v>
          </cell>
          <cell r="I1128">
            <v>1162.5999999998994</v>
          </cell>
          <cell r="J1128">
            <v>45583.199999999997</v>
          </cell>
        </row>
        <row r="1129">
          <cell r="G1129">
            <v>1162.5999999998994</v>
          </cell>
          <cell r="H1129">
            <v>45583.199999999997</v>
          </cell>
          <cell r="I1129">
            <v>1162.6999999998993</v>
          </cell>
          <cell r="J1129">
            <v>45691.4</v>
          </cell>
        </row>
        <row r="1130">
          <cell r="G1130">
            <v>1162.6999999998993</v>
          </cell>
          <cell r="H1130">
            <v>45691.4</v>
          </cell>
          <cell r="I1130">
            <v>1162.7999999998992</v>
          </cell>
          <cell r="J1130">
            <v>45799.6</v>
          </cell>
        </row>
        <row r="1131">
          <cell r="G1131">
            <v>1162.7999999998992</v>
          </cell>
          <cell r="H1131">
            <v>45799.6</v>
          </cell>
          <cell r="I1131">
            <v>1162.8999999998991</v>
          </cell>
          <cell r="J1131">
            <v>45907.8</v>
          </cell>
        </row>
        <row r="1132">
          <cell r="G1132">
            <v>1162.8999999998991</v>
          </cell>
          <cell r="H1132">
            <v>45907.8</v>
          </cell>
          <cell r="I1132">
            <v>1162.999999999899</v>
          </cell>
          <cell r="J1132">
            <v>46016</v>
          </cell>
        </row>
        <row r="1133">
          <cell r="G1133">
            <v>1162.999999999899</v>
          </cell>
          <cell r="H1133">
            <v>46016</v>
          </cell>
          <cell r="I1133">
            <v>1163.099999999899</v>
          </cell>
          <cell r="J1133">
            <v>46125.3</v>
          </cell>
        </row>
        <row r="1134">
          <cell r="G1134">
            <v>1163.099999999899</v>
          </cell>
          <cell r="H1134">
            <v>46125.3</v>
          </cell>
          <cell r="I1134">
            <v>1163.1999999998989</v>
          </cell>
          <cell r="J1134">
            <v>46234.6</v>
          </cell>
        </row>
        <row r="1135">
          <cell r="G1135">
            <v>1163.1999999998989</v>
          </cell>
          <cell r="H1135">
            <v>46234.6</v>
          </cell>
          <cell r="I1135">
            <v>1163.2999999998988</v>
          </cell>
          <cell r="J1135">
            <v>46343.9</v>
          </cell>
        </row>
        <row r="1136">
          <cell r="G1136">
            <v>1163.2999999998988</v>
          </cell>
          <cell r="H1136">
            <v>46343.9</v>
          </cell>
          <cell r="I1136">
            <v>1163.3999999998987</v>
          </cell>
          <cell r="J1136">
            <v>46453.2</v>
          </cell>
        </row>
        <row r="1137">
          <cell r="G1137">
            <v>1163.3999999998987</v>
          </cell>
          <cell r="H1137">
            <v>46453.2</v>
          </cell>
          <cell r="I1137">
            <v>1163.4999999998986</v>
          </cell>
          <cell r="J1137">
            <v>46562.5</v>
          </cell>
        </row>
        <row r="1138">
          <cell r="G1138">
            <v>1163.4999999998986</v>
          </cell>
          <cell r="H1138">
            <v>46562.5</v>
          </cell>
          <cell r="I1138">
            <v>1163.5999999998985</v>
          </cell>
          <cell r="J1138">
            <v>46671.8</v>
          </cell>
        </row>
        <row r="1139">
          <cell r="G1139">
            <v>1163.5999999998985</v>
          </cell>
          <cell r="H1139">
            <v>46671.8</v>
          </cell>
          <cell r="I1139">
            <v>1163.6999999998984</v>
          </cell>
          <cell r="J1139">
            <v>46781.1</v>
          </cell>
        </row>
        <row r="1140">
          <cell r="G1140">
            <v>1163.6999999998984</v>
          </cell>
          <cell r="H1140">
            <v>46781.1</v>
          </cell>
          <cell r="I1140">
            <v>1163.7999999998983</v>
          </cell>
          <cell r="J1140">
            <v>46890.400000000001</v>
          </cell>
        </row>
        <row r="1141">
          <cell r="G1141">
            <v>1163.7999999998983</v>
          </cell>
          <cell r="H1141">
            <v>46890.400000000001</v>
          </cell>
          <cell r="I1141">
            <v>1163.8999999998982</v>
          </cell>
          <cell r="J1141">
            <v>46999.7</v>
          </cell>
        </row>
        <row r="1142">
          <cell r="G1142">
            <v>1163.8999999998982</v>
          </cell>
          <cell r="H1142">
            <v>46999.7</v>
          </cell>
          <cell r="I1142">
            <v>1163.9999999998981</v>
          </cell>
          <cell r="J1142">
            <v>47109</v>
          </cell>
        </row>
        <row r="1143">
          <cell r="G1143">
            <v>1163.9999999998981</v>
          </cell>
          <cell r="H1143">
            <v>47109</v>
          </cell>
          <cell r="I1143">
            <v>1164.099999999898</v>
          </cell>
          <cell r="J1143">
            <v>47219.4</v>
          </cell>
        </row>
        <row r="1144">
          <cell r="G1144">
            <v>1164.099999999898</v>
          </cell>
          <cell r="H1144">
            <v>47219.4</v>
          </cell>
          <cell r="I1144">
            <v>1164.199999999898</v>
          </cell>
          <cell r="J1144">
            <v>47329.8</v>
          </cell>
        </row>
        <row r="1145">
          <cell r="G1145">
            <v>1164.199999999898</v>
          </cell>
          <cell r="H1145">
            <v>47329.8</v>
          </cell>
          <cell r="I1145">
            <v>1164.2999999998979</v>
          </cell>
          <cell r="J1145">
            <v>47440.2</v>
          </cell>
        </row>
        <row r="1146">
          <cell r="G1146">
            <v>1164.2999999998979</v>
          </cell>
          <cell r="H1146">
            <v>47440.2</v>
          </cell>
          <cell r="I1146">
            <v>1164.3999999998978</v>
          </cell>
          <cell r="J1146">
            <v>47550.6</v>
          </cell>
        </row>
        <row r="1147">
          <cell r="G1147">
            <v>1164.3999999998978</v>
          </cell>
          <cell r="H1147">
            <v>47550.6</v>
          </cell>
          <cell r="I1147">
            <v>1164.4999999998977</v>
          </cell>
          <cell r="J1147">
            <v>47661</v>
          </cell>
        </row>
        <row r="1148">
          <cell r="G1148">
            <v>1164.4999999998977</v>
          </cell>
          <cell r="H1148">
            <v>47661</v>
          </cell>
          <cell r="I1148">
            <v>1164.5999999998976</v>
          </cell>
          <cell r="J1148">
            <v>47771.4</v>
          </cell>
        </row>
        <row r="1149">
          <cell r="G1149">
            <v>1164.5999999998976</v>
          </cell>
          <cell r="H1149">
            <v>47771.4</v>
          </cell>
          <cell r="I1149">
            <v>1164.6999999998975</v>
          </cell>
          <cell r="J1149">
            <v>47881.8</v>
          </cell>
        </row>
        <row r="1150">
          <cell r="G1150">
            <v>1164.6999999998975</v>
          </cell>
          <cell r="H1150">
            <v>47881.8</v>
          </cell>
          <cell r="I1150">
            <v>1164.7999999998974</v>
          </cell>
          <cell r="J1150">
            <v>47992.2</v>
          </cell>
        </row>
        <row r="1151">
          <cell r="G1151">
            <v>1164.7999999998974</v>
          </cell>
          <cell r="H1151">
            <v>47992.2</v>
          </cell>
          <cell r="I1151">
            <v>1164.8999999998973</v>
          </cell>
          <cell r="J1151">
            <v>48102.6</v>
          </cell>
        </row>
        <row r="1152">
          <cell r="G1152">
            <v>1164.8999999998973</v>
          </cell>
          <cell r="H1152">
            <v>48102.6</v>
          </cell>
          <cell r="I1152">
            <v>1164.9999999998972</v>
          </cell>
          <cell r="J1152">
            <v>48213</v>
          </cell>
        </row>
        <row r="1153">
          <cell r="G1153">
            <v>1164.9999999998972</v>
          </cell>
          <cell r="H1153">
            <v>48213</v>
          </cell>
          <cell r="I1153">
            <v>1165.0999999998971</v>
          </cell>
          <cell r="J1153">
            <v>48324.5</v>
          </cell>
        </row>
        <row r="1154">
          <cell r="G1154">
            <v>1165.0999999998971</v>
          </cell>
          <cell r="H1154">
            <v>48324.5</v>
          </cell>
          <cell r="I1154">
            <v>1165.199999999897</v>
          </cell>
          <cell r="J1154">
            <v>48436</v>
          </cell>
        </row>
        <row r="1155">
          <cell r="G1155">
            <v>1165.199999999897</v>
          </cell>
          <cell r="H1155">
            <v>48436</v>
          </cell>
          <cell r="I1155">
            <v>1165.299999999897</v>
          </cell>
          <cell r="J1155">
            <v>48547.5</v>
          </cell>
        </row>
        <row r="1156">
          <cell r="G1156">
            <v>1165.299999999897</v>
          </cell>
          <cell r="H1156">
            <v>48547.5</v>
          </cell>
          <cell r="I1156">
            <v>1165.3999999998969</v>
          </cell>
          <cell r="J1156">
            <v>48659</v>
          </cell>
        </row>
        <row r="1157">
          <cell r="G1157">
            <v>1165.3999999998969</v>
          </cell>
          <cell r="H1157">
            <v>48659</v>
          </cell>
          <cell r="I1157">
            <v>1165.4999999998968</v>
          </cell>
          <cell r="J1157">
            <v>48770.5</v>
          </cell>
        </row>
        <row r="1158">
          <cell r="G1158">
            <v>1165.4999999998968</v>
          </cell>
          <cell r="H1158">
            <v>48770.5</v>
          </cell>
          <cell r="I1158">
            <v>1165.5999999998967</v>
          </cell>
          <cell r="J1158">
            <v>48882</v>
          </cell>
        </row>
        <row r="1159">
          <cell r="G1159">
            <v>1165.5999999998967</v>
          </cell>
          <cell r="H1159">
            <v>48882</v>
          </cell>
          <cell r="I1159">
            <v>1165.6999999998966</v>
          </cell>
          <cell r="J1159">
            <v>48993.5</v>
          </cell>
        </row>
        <row r="1160">
          <cell r="G1160">
            <v>1165.6999999998966</v>
          </cell>
          <cell r="H1160">
            <v>48993.5</v>
          </cell>
          <cell r="I1160">
            <v>1165.7999999998965</v>
          </cell>
          <cell r="J1160">
            <v>49105</v>
          </cell>
        </row>
        <row r="1161">
          <cell r="G1161">
            <v>1165.7999999998965</v>
          </cell>
          <cell r="H1161">
            <v>49105</v>
          </cell>
          <cell r="I1161">
            <v>1165.8999999998964</v>
          </cell>
          <cell r="J1161">
            <v>49216.5</v>
          </cell>
        </row>
        <row r="1162">
          <cell r="G1162">
            <v>1165.8999999998964</v>
          </cell>
          <cell r="H1162">
            <v>49216.5</v>
          </cell>
          <cell r="I1162">
            <v>1165.9999999998963</v>
          </cell>
          <cell r="J1162">
            <v>49328</v>
          </cell>
        </row>
        <row r="1163">
          <cell r="G1163">
            <v>1165.9999999998963</v>
          </cell>
          <cell r="H1163">
            <v>49328</v>
          </cell>
          <cell r="I1163">
            <v>1166.0999999998962</v>
          </cell>
          <cell r="J1163">
            <v>49440.6</v>
          </cell>
        </row>
        <row r="1164">
          <cell r="G1164">
            <v>1166.0999999998962</v>
          </cell>
          <cell r="H1164">
            <v>49440.6</v>
          </cell>
          <cell r="I1164">
            <v>1166.1999999998961</v>
          </cell>
          <cell r="J1164">
            <v>49553.2</v>
          </cell>
        </row>
        <row r="1165">
          <cell r="G1165">
            <v>1166.1999999998961</v>
          </cell>
          <cell r="H1165">
            <v>49553.2</v>
          </cell>
          <cell r="I1165">
            <v>1166.299999999896</v>
          </cell>
          <cell r="J1165">
            <v>49665.8</v>
          </cell>
        </row>
        <row r="1166">
          <cell r="G1166">
            <v>1166.299999999896</v>
          </cell>
          <cell r="H1166">
            <v>49665.8</v>
          </cell>
          <cell r="I1166">
            <v>1166.399999999896</v>
          </cell>
          <cell r="J1166">
            <v>49778.400000000001</v>
          </cell>
        </row>
        <row r="1167">
          <cell r="G1167">
            <v>1166.399999999896</v>
          </cell>
          <cell r="H1167">
            <v>49778.400000000001</v>
          </cell>
          <cell r="I1167">
            <v>1166.4999999998959</v>
          </cell>
          <cell r="J1167">
            <v>49891</v>
          </cell>
        </row>
        <row r="1168">
          <cell r="G1168">
            <v>1166.4999999998959</v>
          </cell>
          <cell r="H1168">
            <v>49891</v>
          </cell>
          <cell r="I1168">
            <v>1166.5999999998958</v>
          </cell>
          <cell r="J1168">
            <v>50003.6</v>
          </cell>
        </row>
        <row r="1169">
          <cell r="G1169">
            <v>1166.5999999998958</v>
          </cell>
          <cell r="H1169">
            <v>50003.6</v>
          </cell>
          <cell r="I1169">
            <v>1166.6999999998957</v>
          </cell>
          <cell r="J1169">
            <v>50116.2</v>
          </cell>
        </row>
        <row r="1170">
          <cell r="G1170">
            <v>1166.6999999998957</v>
          </cell>
          <cell r="H1170">
            <v>50116.2</v>
          </cell>
          <cell r="I1170">
            <v>1166.7999999998956</v>
          </cell>
          <cell r="J1170">
            <v>50228.800000000003</v>
          </cell>
        </row>
        <row r="1171">
          <cell r="G1171">
            <v>1166.7999999998956</v>
          </cell>
          <cell r="H1171">
            <v>50228.800000000003</v>
          </cell>
          <cell r="I1171">
            <v>1166.8999999998955</v>
          </cell>
          <cell r="J1171">
            <v>50341.4</v>
          </cell>
        </row>
        <row r="1172">
          <cell r="G1172">
            <v>1166.8999999998955</v>
          </cell>
          <cell r="H1172">
            <v>50341.4</v>
          </cell>
          <cell r="I1172">
            <v>1166.9999999998954</v>
          </cell>
          <cell r="J1172">
            <v>50454</v>
          </cell>
        </row>
        <row r="1173">
          <cell r="G1173">
            <v>1166.9999999998954</v>
          </cell>
          <cell r="H1173">
            <v>50454</v>
          </cell>
          <cell r="I1173">
            <v>1167.0999999998953</v>
          </cell>
          <cell r="J1173">
            <v>50567.8</v>
          </cell>
        </row>
        <row r="1174">
          <cell r="G1174">
            <v>1167.0999999998953</v>
          </cell>
          <cell r="H1174">
            <v>50567.8</v>
          </cell>
          <cell r="I1174">
            <v>1167.1999999998952</v>
          </cell>
          <cell r="J1174">
            <v>50681.599999999999</v>
          </cell>
        </row>
        <row r="1175">
          <cell r="G1175">
            <v>1167.1999999998952</v>
          </cell>
          <cell r="H1175">
            <v>50681.599999999999</v>
          </cell>
          <cell r="I1175">
            <v>1167.2999999998951</v>
          </cell>
          <cell r="J1175">
            <v>50795.4</v>
          </cell>
        </row>
        <row r="1176">
          <cell r="G1176">
            <v>1167.2999999998951</v>
          </cell>
          <cell r="H1176">
            <v>50795.4</v>
          </cell>
          <cell r="I1176">
            <v>1167.399999999895</v>
          </cell>
          <cell r="J1176">
            <v>50909.2</v>
          </cell>
        </row>
        <row r="1177">
          <cell r="G1177">
            <v>1167.399999999895</v>
          </cell>
          <cell r="H1177">
            <v>50909.2</v>
          </cell>
          <cell r="I1177">
            <v>1167.499999999895</v>
          </cell>
          <cell r="J1177">
            <v>51023</v>
          </cell>
        </row>
        <row r="1178">
          <cell r="G1178">
            <v>1167.499999999895</v>
          </cell>
          <cell r="H1178">
            <v>51023</v>
          </cell>
          <cell r="I1178">
            <v>1167.5999999998949</v>
          </cell>
          <cell r="J1178">
            <v>51136.800000000003</v>
          </cell>
        </row>
        <row r="1179">
          <cell r="G1179">
            <v>1167.5999999998949</v>
          </cell>
          <cell r="H1179">
            <v>51136.800000000003</v>
          </cell>
          <cell r="I1179">
            <v>1167.6999999998948</v>
          </cell>
          <cell r="J1179">
            <v>51250.6</v>
          </cell>
        </row>
        <row r="1180">
          <cell r="G1180">
            <v>1167.6999999998948</v>
          </cell>
          <cell r="H1180">
            <v>51250.6</v>
          </cell>
          <cell r="I1180">
            <v>1167.7999999998947</v>
          </cell>
          <cell r="J1180">
            <v>51364.4</v>
          </cell>
        </row>
        <row r="1181">
          <cell r="G1181">
            <v>1167.7999999998947</v>
          </cell>
          <cell r="H1181">
            <v>51364.4</v>
          </cell>
          <cell r="I1181">
            <v>1167.8999999998946</v>
          </cell>
          <cell r="J1181">
            <v>51478.2</v>
          </cell>
        </row>
        <row r="1182">
          <cell r="G1182">
            <v>1167.8999999998946</v>
          </cell>
          <cell r="H1182">
            <v>51478.2</v>
          </cell>
          <cell r="I1182">
            <v>1167.9999999998945</v>
          </cell>
          <cell r="J1182">
            <v>51592</v>
          </cell>
        </row>
        <row r="1183">
          <cell r="G1183">
            <v>1167.9999999998945</v>
          </cell>
          <cell r="H1183">
            <v>51592</v>
          </cell>
          <cell r="I1183">
            <v>1168.0999999998944</v>
          </cell>
          <cell r="J1183">
            <v>51706.9</v>
          </cell>
        </row>
        <row r="1184">
          <cell r="G1184">
            <v>1168.0999999998944</v>
          </cell>
          <cell r="H1184">
            <v>51706.9</v>
          </cell>
          <cell r="I1184">
            <v>1168.1999999998943</v>
          </cell>
          <cell r="J1184">
            <v>51821.8</v>
          </cell>
        </row>
        <row r="1185">
          <cell r="G1185">
            <v>1168.1999999998943</v>
          </cell>
          <cell r="H1185">
            <v>51821.8</v>
          </cell>
          <cell r="I1185">
            <v>1168.2999999998942</v>
          </cell>
          <cell r="J1185">
            <v>51936.7</v>
          </cell>
        </row>
        <row r="1186">
          <cell r="G1186">
            <v>1168.2999999998942</v>
          </cell>
          <cell r="H1186">
            <v>51936.7</v>
          </cell>
          <cell r="I1186">
            <v>1168.3999999998941</v>
          </cell>
          <cell r="J1186">
            <v>52051.6</v>
          </cell>
        </row>
        <row r="1187">
          <cell r="G1187">
            <v>1168.3999999998941</v>
          </cell>
          <cell r="H1187">
            <v>52051.6</v>
          </cell>
          <cell r="I1187">
            <v>1168.499999999894</v>
          </cell>
          <cell r="J1187">
            <v>52166.5</v>
          </cell>
        </row>
        <row r="1188">
          <cell r="G1188">
            <v>1168.499999999894</v>
          </cell>
          <cell r="H1188">
            <v>52166.5</v>
          </cell>
          <cell r="I1188">
            <v>1168.599999999894</v>
          </cell>
          <cell r="J1188">
            <v>52281.4</v>
          </cell>
        </row>
        <row r="1189">
          <cell r="G1189">
            <v>1168.599999999894</v>
          </cell>
          <cell r="H1189">
            <v>52281.4</v>
          </cell>
          <cell r="I1189">
            <v>1168.6999999998939</v>
          </cell>
          <cell r="J1189">
            <v>52396.3</v>
          </cell>
        </row>
        <row r="1190">
          <cell r="G1190">
            <v>1168.6999999998939</v>
          </cell>
          <cell r="H1190">
            <v>52396.3</v>
          </cell>
          <cell r="I1190">
            <v>1168.7999999998938</v>
          </cell>
          <cell r="J1190">
            <v>52511.199999999997</v>
          </cell>
        </row>
        <row r="1191">
          <cell r="G1191">
            <v>1168.7999999998938</v>
          </cell>
          <cell r="H1191">
            <v>52511.199999999997</v>
          </cell>
          <cell r="I1191">
            <v>1168.8999999998937</v>
          </cell>
          <cell r="J1191">
            <v>52626.1</v>
          </cell>
        </row>
        <row r="1192">
          <cell r="G1192">
            <v>1168.8999999998937</v>
          </cell>
          <cell r="H1192">
            <v>52626.1</v>
          </cell>
          <cell r="I1192">
            <v>1168.9999999998936</v>
          </cell>
          <cell r="J1192">
            <v>52741</v>
          </cell>
        </row>
        <row r="1193">
          <cell r="G1193">
            <v>1168.9999999998936</v>
          </cell>
          <cell r="H1193">
            <v>52741</v>
          </cell>
          <cell r="I1193">
            <v>1169.0999999998935</v>
          </cell>
          <cell r="J1193">
            <v>52857.1</v>
          </cell>
        </row>
        <row r="1194">
          <cell r="G1194">
            <v>1169.0999999998935</v>
          </cell>
          <cell r="H1194">
            <v>52857.1</v>
          </cell>
          <cell r="I1194">
            <v>1169.1999999998934</v>
          </cell>
          <cell r="J1194">
            <v>52973.2</v>
          </cell>
        </row>
        <row r="1195">
          <cell r="G1195">
            <v>1169.1999999998934</v>
          </cell>
          <cell r="H1195">
            <v>52973.2</v>
          </cell>
          <cell r="I1195">
            <v>1169.2999999998933</v>
          </cell>
          <cell r="J1195">
            <v>53089.3</v>
          </cell>
        </row>
        <row r="1196">
          <cell r="G1196">
            <v>1169.2999999998933</v>
          </cell>
          <cell r="H1196">
            <v>53089.3</v>
          </cell>
          <cell r="I1196">
            <v>1169.3999999998932</v>
          </cell>
          <cell r="J1196">
            <v>53205.4</v>
          </cell>
        </row>
        <row r="1197">
          <cell r="G1197">
            <v>1169.3999999998932</v>
          </cell>
          <cell r="H1197">
            <v>53205.4</v>
          </cell>
          <cell r="I1197">
            <v>1169.4999999998931</v>
          </cell>
          <cell r="J1197">
            <v>53321.5</v>
          </cell>
        </row>
        <row r="1198">
          <cell r="G1198">
            <v>1169.4999999998931</v>
          </cell>
          <cell r="H1198">
            <v>53321.5</v>
          </cell>
          <cell r="I1198">
            <v>1169.599999999893</v>
          </cell>
          <cell r="J1198">
            <v>53437.599999999999</v>
          </cell>
        </row>
        <row r="1199">
          <cell r="G1199">
            <v>1169.599999999893</v>
          </cell>
          <cell r="H1199">
            <v>53437.599999999999</v>
          </cell>
          <cell r="I1199">
            <v>1169.699999999893</v>
          </cell>
          <cell r="J1199">
            <v>53553.7</v>
          </cell>
        </row>
        <row r="1200">
          <cell r="G1200">
            <v>1169.699999999893</v>
          </cell>
          <cell r="H1200">
            <v>53553.7</v>
          </cell>
          <cell r="I1200">
            <v>1169.7999999998929</v>
          </cell>
          <cell r="J1200">
            <v>53669.8</v>
          </cell>
        </row>
        <row r="1201">
          <cell r="G1201">
            <v>1169.7999999998929</v>
          </cell>
          <cell r="H1201">
            <v>53669.8</v>
          </cell>
          <cell r="I1201">
            <v>1169.8999999998928</v>
          </cell>
          <cell r="J1201">
            <v>53785.9</v>
          </cell>
        </row>
        <row r="1202">
          <cell r="G1202">
            <v>1169.8999999998928</v>
          </cell>
          <cell r="H1202">
            <v>53785.9</v>
          </cell>
          <cell r="I1202">
            <v>1169.9999999998927</v>
          </cell>
          <cell r="J1202">
            <v>53902</v>
          </cell>
        </row>
        <row r="1203">
          <cell r="G1203">
            <v>1169.9999999998927</v>
          </cell>
          <cell r="H1203">
            <v>53902</v>
          </cell>
          <cell r="I1203">
            <v>1170.0999999998926</v>
          </cell>
          <cell r="J1203">
            <v>54019.3</v>
          </cell>
        </row>
        <row r="1204">
          <cell r="G1204">
            <v>1170.0999999998926</v>
          </cell>
          <cell r="H1204">
            <v>54019.3</v>
          </cell>
          <cell r="I1204">
            <v>1170.1999999998925</v>
          </cell>
          <cell r="J1204">
            <v>54136.6</v>
          </cell>
        </row>
        <row r="1205">
          <cell r="G1205">
            <v>1170.1999999998925</v>
          </cell>
          <cell r="H1205">
            <v>54136.6</v>
          </cell>
          <cell r="I1205">
            <v>1170.2999999998924</v>
          </cell>
          <cell r="J1205">
            <v>54253.9</v>
          </cell>
        </row>
        <row r="1206">
          <cell r="G1206">
            <v>1170.2999999998924</v>
          </cell>
          <cell r="H1206">
            <v>54253.9</v>
          </cell>
          <cell r="I1206">
            <v>1170.3999999998923</v>
          </cell>
          <cell r="J1206">
            <v>54371.199999999997</v>
          </cell>
        </row>
        <row r="1207">
          <cell r="G1207">
            <v>1170.3999999998923</v>
          </cell>
          <cell r="H1207">
            <v>54371.199999999997</v>
          </cell>
          <cell r="I1207">
            <v>1170.4999999998922</v>
          </cell>
          <cell r="J1207">
            <v>54488.5</v>
          </cell>
        </row>
        <row r="1208">
          <cell r="G1208">
            <v>1170.4999999998922</v>
          </cell>
          <cell r="H1208">
            <v>54488.5</v>
          </cell>
          <cell r="I1208">
            <v>1170.5999999998921</v>
          </cell>
          <cell r="J1208">
            <v>54605.8</v>
          </cell>
        </row>
        <row r="1209">
          <cell r="G1209">
            <v>1170.5999999998921</v>
          </cell>
          <cell r="H1209">
            <v>54605.8</v>
          </cell>
          <cell r="I1209">
            <v>1170.699999999892</v>
          </cell>
          <cell r="J1209">
            <v>54723.1</v>
          </cell>
        </row>
        <row r="1210">
          <cell r="G1210">
            <v>1170.699999999892</v>
          </cell>
          <cell r="H1210">
            <v>54723.1</v>
          </cell>
          <cell r="I1210">
            <v>1170.799999999892</v>
          </cell>
          <cell r="J1210">
            <v>54840.4</v>
          </cell>
        </row>
        <row r="1211">
          <cell r="G1211">
            <v>1170.799999999892</v>
          </cell>
          <cell r="H1211">
            <v>54840.4</v>
          </cell>
          <cell r="I1211">
            <v>1170.8999999998919</v>
          </cell>
          <cell r="J1211">
            <v>54957.7</v>
          </cell>
        </row>
        <row r="1212">
          <cell r="G1212">
            <v>1170.8999999998919</v>
          </cell>
          <cell r="H1212">
            <v>54957.7</v>
          </cell>
          <cell r="I1212">
            <v>1170.9999999998918</v>
          </cell>
          <cell r="J1212">
            <v>55075</v>
          </cell>
        </row>
        <row r="1213">
          <cell r="G1213">
            <v>1170.9999999998918</v>
          </cell>
          <cell r="H1213">
            <v>55075</v>
          </cell>
          <cell r="I1213">
            <v>1171.0999999998917</v>
          </cell>
          <cell r="J1213">
            <v>55193.4</v>
          </cell>
        </row>
        <row r="1214">
          <cell r="G1214">
            <v>1171.0999999998917</v>
          </cell>
          <cell r="H1214">
            <v>55193.4</v>
          </cell>
          <cell r="I1214">
            <v>1171.1999999998916</v>
          </cell>
          <cell r="J1214">
            <v>55311.8</v>
          </cell>
        </row>
        <row r="1215">
          <cell r="G1215">
            <v>1171.1999999998916</v>
          </cell>
          <cell r="H1215">
            <v>55311.8</v>
          </cell>
          <cell r="I1215">
            <v>1171.2999999998915</v>
          </cell>
          <cell r="J1215">
            <v>55430.2</v>
          </cell>
        </row>
        <row r="1216">
          <cell r="G1216">
            <v>1171.2999999998915</v>
          </cell>
          <cell r="H1216">
            <v>55430.2</v>
          </cell>
          <cell r="I1216">
            <v>1171.3999999998914</v>
          </cell>
          <cell r="J1216">
            <v>55548.6</v>
          </cell>
        </row>
        <row r="1217">
          <cell r="G1217">
            <v>1171.3999999998914</v>
          </cell>
          <cell r="H1217">
            <v>55548.6</v>
          </cell>
          <cell r="I1217">
            <v>1171.4999999998913</v>
          </cell>
          <cell r="J1217">
            <v>55667</v>
          </cell>
        </row>
        <row r="1218">
          <cell r="G1218">
            <v>1171.4999999998913</v>
          </cell>
          <cell r="H1218">
            <v>55667</v>
          </cell>
          <cell r="I1218">
            <v>1171.5999999998912</v>
          </cell>
          <cell r="J1218">
            <v>55785.4</v>
          </cell>
        </row>
        <row r="1219">
          <cell r="G1219">
            <v>1171.5999999998912</v>
          </cell>
          <cell r="H1219">
            <v>55785.4</v>
          </cell>
          <cell r="I1219">
            <v>1171.6999999998911</v>
          </cell>
          <cell r="J1219">
            <v>55903.8</v>
          </cell>
        </row>
        <row r="1220">
          <cell r="G1220">
            <v>1171.6999999998911</v>
          </cell>
          <cell r="H1220">
            <v>55903.8</v>
          </cell>
          <cell r="I1220">
            <v>1171.799999999891</v>
          </cell>
          <cell r="J1220">
            <v>56022.2</v>
          </cell>
        </row>
        <row r="1221">
          <cell r="G1221">
            <v>1171.799999999891</v>
          </cell>
          <cell r="H1221">
            <v>56022.2</v>
          </cell>
          <cell r="I1221">
            <v>1171.899999999891</v>
          </cell>
          <cell r="J1221">
            <v>56140.6</v>
          </cell>
        </row>
        <row r="1222">
          <cell r="G1222">
            <v>1171.899999999891</v>
          </cell>
          <cell r="H1222">
            <v>56140.6</v>
          </cell>
          <cell r="I1222">
            <v>1171.9999999998909</v>
          </cell>
          <cell r="J1222">
            <v>56259</v>
          </cell>
        </row>
        <row r="1223">
          <cell r="G1223">
            <v>1171.9999999998909</v>
          </cell>
          <cell r="H1223">
            <v>56259</v>
          </cell>
          <cell r="I1223">
            <v>1172.0999999998908</v>
          </cell>
          <cell r="J1223">
            <v>56378.5</v>
          </cell>
        </row>
        <row r="1224">
          <cell r="G1224">
            <v>1172.0999999998908</v>
          </cell>
          <cell r="H1224">
            <v>56378.5</v>
          </cell>
          <cell r="I1224">
            <v>1172.1999999998907</v>
          </cell>
          <cell r="J1224">
            <v>56498</v>
          </cell>
        </row>
        <row r="1225">
          <cell r="G1225">
            <v>1172.1999999998907</v>
          </cell>
          <cell r="H1225">
            <v>56498</v>
          </cell>
          <cell r="I1225">
            <v>1172.2999999998906</v>
          </cell>
          <cell r="J1225">
            <v>56617.5</v>
          </cell>
        </row>
        <row r="1226">
          <cell r="G1226">
            <v>1172.2999999998906</v>
          </cell>
          <cell r="H1226">
            <v>56617.5</v>
          </cell>
          <cell r="I1226">
            <v>1172.3999999998905</v>
          </cell>
          <cell r="J1226">
            <v>56737</v>
          </cell>
        </row>
        <row r="1227">
          <cell r="G1227">
            <v>1172.3999999998905</v>
          </cell>
          <cell r="H1227">
            <v>56737</v>
          </cell>
          <cell r="I1227">
            <v>1172.4999999998904</v>
          </cell>
          <cell r="J1227">
            <v>56856.5</v>
          </cell>
        </row>
        <row r="1228">
          <cell r="G1228">
            <v>1172.4999999998904</v>
          </cell>
          <cell r="H1228">
            <v>56856.5</v>
          </cell>
          <cell r="I1228">
            <v>1172.5999999998903</v>
          </cell>
          <cell r="J1228">
            <v>56976</v>
          </cell>
        </row>
        <row r="1229">
          <cell r="G1229">
            <v>1172.5999999998903</v>
          </cell>
          <cell r="H1229">
            <v>56976</v>
          </cell>
          <cell r="I1229">
            <v>1172.6999999998902</v>
          </cell>
          <cell r="J1229">
            <v>57095.5</v>
          </cell>
        </row>
        <row r="1230">
          <cell r="G1230">
            <v>1172.6999999998902</v>
          </cell>
          <cell r="H1230">
            <v>57095.5</v>
          </cell>
          <cell r="I1230">
            <v>1172.7999999998901</v>
          </cell>
          <cell r="J1230">
            <v>57215</v>
          </cell>
        </row>
        <row r="1231">
          <cell r="G1231">
            <v>1172.7999999998901</v>
          </cell>
          <cell r="H1231">
            <v>57215</v>
          </cell>
          <cell r="I1231">
            <v>1172.89999999989</v>
          </cell>
          <cell r="J1231">
            <v>57334.5</v>
          </cell>
        </row>
        <row r="1232">
          <cell r="G1232">
            <v>1172.89999999989</v>
          </cell>
          <cell r="H1232">
            <v>57334.5</v>
          </cell>
          <cell r="I1232">
            <v>1172.99999999989</v>
          </cell>
          <cell r="J1232">
            <v>57454</v>
          </cell>
        </row>
        <row r="1233">
          <cell r="G1233">
            <v>1172.99999999989</v>
          </cell>
          <cell r="H1233">
            <v>57454</v>
          </cell>
          <cell r="I1233">
            <v>1173.0999999998899</v>
          </cell>
          <cell r="J1233">
            <v>57574.8</v>
          </cell>
        </row>
        <row r="1234">
          <cell r="G1234">
            <v>1173.0999999998899</v>
          </cell>
          <cell r="H1234">
            <v>57574.8</v>
          </cell>
          <cell r="I1234">
            <v>1173.1999999998898</v>
          </cell>
          <cell r="J1234">
            <v>57695.6</v>
          </cell>
        </row>
        <row r="1235">
          <cell r="G1235">
            <v>1173.1999999998898</v>
          </cell>
          <cell r="H1235">
            <v>57695.6</v>
          </cell>
          <cell r="I1235">
            <v>1173.2999999998897</v>
          </cell>
          <cell r="J1235">
            <v>57816.4</v>
          </cell>
        </row>
        <row r="1236">
          <cell r="G1236">
            <v>1173.2999999998897</v>
          </cell>
          <cell r="H1236">
            <v>57816.4</v>
          </cell>
          <cell r="I1236">
            <v>1173.3999999998896</v>
          </cell>
          <cell r="J1236">
            <v>57937.2</v>
          </cell>
        </row>
        <row r="1237">
          <cell r="G1237">
            <v>1173.3999999998896</v>
          </cell>
          <cell r="H1237">
            <v>57937.2</v>
          </cell>
          <cell r="I1237">
            <v>1173.4999999998895</v>
          </cell>
          <cell r="J1237">
            <v>58058</v>
          </cell>
        </row>
        <row r="1238">
          <cell r="G1238">
            <v>1173.4999999998895</v>
          </cell>
          <cell r="H1238">
            <v>58058</v>
          </cell>
          <cell r="I1238">
            <v>1173.5999999998894</v>
          </cell>
          <cell r="J1238">
            <v>58178.8</v>
          </cell>
        </row>
        <row r="1239">
          <cell r="G1239">
            <v>1173.5999999998894</v>
          </cell>
          <cell r="H1239">
            <v>58178.8</v>
          </cell>
          <cell r="I1239">
            <v>1173.6999999998893</v>
          </cell>
          <cell r="J1239">
            <v>58299.6</v>
          </cell>
        </row>
        <row r="1240">
          <cell r="G1240">
            <v>1173.6999999998893</v>
          </cell>
          <cell r="H1240">
            <v>58299.6</v>
          </cell>
          <cell r="I1240">
            <v>1173.7999999998892</v>
          </cell>
          <cell r="J1240">
            <v>58420.4</v>
          </cell>
        </row>
        <row r="1241">
          <cell r="G1241">
            <v>1173.7999999998892</v>
          </cell>
          <cell r="H1241">
            <v>58420.4</v>
          </cell>
          <cell r="I1241">
            <v>1173.8999999998891</v>
          </cell>
          <cell r="J1241">
            <v>58541.2</v>
          </cell>
        </row>
        <row r="1242">
          <cell r="G1242">
            <v>1173.8999999998891</v>
          </cell>
          <cell r="H1242">
            <v>58541.2</v>
          </cell>
          <cell r="I1242">
            <v>1173.999999999889</v>
          </cell>
          <cell r="J1242">
            <v>58662</v>
          </cell>
        </row>
        <row r="1243">
          <cell r="G1243">
            <v>1173.999999999889</v>
          </cell>
          <cell r="H1243">
            <v>58662</v>
          </cell>
          <cell r="I1243">
            <v>1174.099999999889</v>
          </cell>
          <cell r="J1243">
            <v>58783.9</v>
          </cell>
        </row>
        <row r="1244">
          <cell r="G1244">
            <v>1174.099999999889</v>
          </cell>
          <cell r="H1244">
            <v>58783.9</v>
          </cell>
          <cell r="I1244">
            <v>1174.1999999998889</v>
          </cell>
          <cell r="J1244">
            <v>58905.8</v>
          </cell>
        </row>
        <row r="1245">
          <cell r="G1245">
            <v>1174.1999999998889</v>
          </cell>
          <cell r="H1245">
            <v>58905.8</v>
          </cell>
          <cell r="I1245">
            <v>1174.2999999998888</v>
          </cell>
          <cell r="J1245">
            <v>59027.7</v>
          </cell>
        </row>
        <row r="1246">
          <cell r="G1246">
            <v>1174.2999999998888</v>
          </cell>
          <cell r="H1246">
            <v>59027.7</v>
          </cell>
          <cell r="I1246">
            <v>1174.3999999998887</v>
          </cell>
          <cell r="J1246">
            <v>59149.599999999999</v>
          </cell>
        </row>
        <row r="1247">
          <cell r="G1247">
            <v>1174.3999999998887</v>
          </cell>
          <cell r="H1247">
            <v>59149.599999999999</v>
          </cell>
          <cell r="I1247">
            <v>1174.4999999998886</v>
          </cell>
          <cell r="J1247">
            <v>59271.5</v>
          </cell>
        </row>
        <row r="1248">
          <cell r="G1248">
            <v>1174.4999999998886</v>
          </cell>
          <cell r="H1248">
            <v>59271.5</v>
          </cell>
          <cell r="I1248">
            <v>1174.5999999998885</v>
          </cell>
          <cell r="J1248">
            <v>59393.4</v>
          </cell>
        </row>
        <row r="1249">
          <cell r="G1249">
            <v>1174.5999999998885</v>
          </cell>
          <cell r="H1249">
            <v>59393.4</v>
          </cell>
          <cell r="I1249">
            <v>1174.6999999998884</v>
          </cell>
          <cell r="J1249">
            <v>59515.3</v>
          </cell>
        </row>
        <row r="1250">
          <cell r="G1250">
            <v>1174.6999999998884</v>
          </cell>
          <cell r="H1250">
            <v>59515.3</v>
          </cell>
          <cell r="I1250">
            <v>1174.7999999998883</v>
          </cell>
          <cell r="J1250">
            <v>59637.2</v>
          </cell>
        </row>
        <row r="1251">
          <cell r="G1251">
            <v>1174.7999999998883</v>
          </cell>
          <cell r="H1251">
            <v>59637.2</v>
          </cell>
          <cell r="I1251">
            <v>1174.8999999998882</v>
          </cell>
          <cell r="J1251">
            <v>59759.1</v>
          </cell>
        </row>
        <row r="1252">
          <cell r="G1252">
            <v>1174.8999999998882</v>
          </cell>
          <cell r="H1252">
            <v>59759.1</v>
          </cell>
          <cell r="I1252">
            <v>1174.9999999998881</v>
          </cell>
          <cell r="J1252">
            <v>59881</v>
          </cell>
        </row>
        <row r="1253">
          <cell r="G1253">
            <v>1174.9999999998881</v>
          </cell>
          <cell r="H1253">
            <v>59881</v>
          </cell>
          <cell r="I1253">
            <v>1175.099999999888</v>
          </cell>
          <cell r="J1253">
            <v>60004.2</v>
          </cell>
        </row>
        <row r="1254">
          <cell r="G1254">
            <v>1175.099999999888</v>
          </cell>
          <cell r="H1254">
            <v>60004.2</v>
          </cell>
          <cell r="I1254">
            <v>1175.199999999888</v>
          </cell>
          <cell r="J1254">
            <v>60127.4</v>
          </cell>
        </row>
        <row r="1255">
          <cell r="G1255">
            <v>1175.199999999888</v>
          </cell>
          <cell r="H1255">
            <v>60127.4</v>
          </cell>
          <cell r="I1255">
            <v>1175.2999999998879</v>
          </cell>
          <cell r="J1255">
            <v>60250.6</v>
          </cell>
        </row>
        <row r="1256">
          <cell r="G1256">
            <v>1175.2999999998879</v>
          </cell>
          <cell r="H1256">
            <v>60250.6</v>
          </cell>
          <cell r="I1256">
            <v>1175.3999999998878</v>
          </cell>
          <cell r="J1256">
            <v>60373.8</v>
          </cell>
        </row>
        <row r="1257">
          <cell r="G1257">
            <v>1175.3999999998878</v>
          </cell>
          <cell r="H1257">
            <v>60373.8</v>
          </cell>
          <cell r="I1257">
            <v>1175.4999999998877</v>
          </cell>
          <cell r="J1257">
            <v>60497</v>
          </cell>
        </row>
        <row r="1258">
          <cell r="G1258">
            <v>1175.4999999998877</v>
          </cell>
          <cell r="H1258">
            <v>60497</v>
          </cell>
          <cell r="I1258">
            <v>1175.5999999998876</v>
          </cell>
          <cell r="J1258">
            <v>60620.2</v>
          </cell>
        </row>
        <row r="1259">
          <cell r="G1259">
            <v>1175.5999999998876</v>
          </cell>
          <cell r="H1259">
            <v>60620.2</v>
          </cell>
          <cell r="I1259">
            <v>1175.6999999998875</v>
          </cell>
          <cell r="J1259">
            <v>60743.4</v>
          </cell>
        </row>
        <row r="1260">
          <cell r="G1260">
            <v>1175.6999999998875</v>
          </cell>
          <cell r="H1260">
            <v>60743.4</v>
          </cell>
          <cell r="I1260">
            <v>1175.7999999998874</v>
          </cell>
          <cell r="J1260">
            <v>60866.6</v>
          </cell>
        </row>
        <row r="1261">
          <cell r="G1261">
            <v>1175.7999999998874</v>
          </cell>
          <cell r="H1261">
            <v>60866.6</v>
          </cell>
          <cell r="I1261">
            <v>1175.8999999998873</v>
          </cell>
          <cell r="J1261">
            <v>60989.8</v>
          </cell>
        </row>
        <row r="1262">
          <cell r="G1262">
            <v>1175.8999999998873</v>
          </cell>
          <cell r="H1262">
            <v>60989.8</v>
          </cell>
          <cell r="I1262">
            <v>1175.9999999998872</v>
          </cell>
          <cell r="J1262">
            <v>61113</v>
          </cell>
        </row>
        <row r="1263">
          <cell r="G1263">
            <v>1175.9999999998872</v>
          </cell>
          <cell r="H1263">
            <v>61113</v>
          </cell>
          <cell r="I1263">
            <v>1176.0999999998871</v>
          </cell>
          <cell r="J1263">
            <v>61237.599999999999</v>
          </cell>
        </row>
        <row r="1264">
          <cell r="G1264">
            <v>1176.0999999998871</v>
          </cell>
          <cell r="H1264">
            <v>61237.599999999999</v>
          </cell>
          <cell r="I1264">
            <v>1176.199999999887</v>
          </cell>
          <cell r="J1264">
            <v>61362.2</v>
          </cell>
        </row>
        <row r="1265">
          <cell r="G1265">
            <v>1176.199999999887</v>
          </cell>
          <cell r="H1265">
            <v>61362.2</v>
          </cell>
          <cell r="I1265">
            <v>1176.2999999998869</v>
          </cell>
          <cell r="J1265">
            <v>61486.8</v>
          </cell>
        </row>
        <row r="1266">
          <cell r="G1266">
            <v>1176.2999999998869</v>
          </cell>
          <cell r="H1266">
            <v>61486.8</v>
          </cell>
          <cell r="I1266">
            <v>1176.3999999998869</v>
          </cell>
          <cell r="J1266">
            <v>61611.4</v>
          </cell>
        </row>
        <row r="1267">
          <cell r="G1267">
            <v>1176.3999999998869</v>
          </cell>
          <cell r="H1267">
            <v>61611.4</v>
          </cell>
          <cell r="I1267">
            <v>1176.4999999998868</v>
          </cell>
          <cell r="J1267">
            <v>61736</v>
          </cell>
        </row>
        <row r="1268">
          <cell r="G1268">
            <v>1176.4999999998868</v>
          </cell>
          <cell r="H1268">
            <v>61736</v>
          </cell>
          <cell r="I1268">
            <v>1176.5999999998867</v>
          </cell>
          <cell r="J1268">
            <v>61860.6</v>
          </cell>
        </row>
        <row r="1269">
          <cell r="G1269">
            <v>1176.5999999998867</v>
          </cell>
          <cell r="H1269">
            <v>61860.6</v>
          </cell>
          <cell r="I1269">
            <v>1176.6999999998866</v>
          </cell>
          <cell r="J1269">
            <v>61985.2</v>
          </cell>
        </row>
        <row r="1270">
          <cell r="G1270">
            <v>1176.6999999998866</v>
          </cell>
          <cell r="H1270">
            <v>61985.2</v>
          </cell>
          <cell r="I1270">
            <v>1176.7999999998865</v>
          </cell>
          <cell r="J1270">
            <v>62109.8</v>
          </cell>
        </row>
        <row r="1271">
          <cell r="G1271">
            <v>1176.7999999998865</v>
          </cell>
          <cell r="H1271">
            <v>62109.8</v>
          </cell>
          <cell r="I1271">
            <v>1176.8999999998864</v>
          </cell>
          <cell r="J1271">
            <v>62234.400000000001</v>
          </cell>
        </row>
        <row r="1272">
          <cell r="G1272">
            <v>1176.8999999998864</v>
          </cell>
          <cell r="H1272">
            <v>62234.400000000001</v>
          </cell>
          <cell r="I1272">
            <v>1176.9999999998863</v>
          </cell>
          <cell r="J1272">
            <v>62359</v>
          </cell>
        </row>
        <row r="1273">
          <cell r="G1273">
            <v>1176.9999999998863</v>
          </cell>
          <cell r="H1273">
            <v>62359</v>
          </cell>
          <cell r="I1273">
            <v>1177.0999999998862</v>
          </cell>
          <cell r="J1273">
            <v>62485.1</v>
          </cell>
        </row>
        <row r="1274">
          <cell r="G1274">
            <v>1177.0999999998862</v>
          </cell>
          <cell r="H1274">
            <v>62485.1</v>
          </cell>
          <cell r="I1274">
            <v>1177.1999999998861</v>
          </cell>
          <cell r="J1274">
            <v>62611.199999999997</v>
          </cell>
        </row>
        <row r="1275">
          <cell r="G1275">
            <v>1177.1999999998861</v>
          </cell>
          <cell r="H1275">
            <v>62611.199999999997</v>
          </cell>
          <cell r="I1275">
            <v>1177.299999999886</v>
          </cell>
          <cell r="J1275">
            <v>62737.3</v>
          </cell>
        </row>
        <row r="1276">
          <cell r="G1276">
            <v>1177.299999999886</v>
          </cell>
          <cell r="H1276">
            <v>62737.3</v>
          </cell>
          <cell r="I1276">
            <v>1177.3999999998859</v>
          </cell>
          <cell r="J1276">
            <v>62863.4</v>
          </cell>
        </row>
        <row r="1277">
          <cell r="G1277">
            <v>1177.3999999998859</v>
          </cell>
          <cell r="H1277">
            <v>62863.4</v>
          </cell>
          <cell r="I1277">
            <v>1177.4999999998859</v>
          </cell>
          <cell r="J1277">
            <v>62989.5</v>
          </cell>
        </row>
        <row r="1278">
          <cell r="G1278">
            <v>1177.4999999998859</v>
          </cell>
          <cell r="H1278">
            <v>62989.5</v>
          </cell>
          <cell r="I1278">
            <v>1177.5999999998858</v>
          </cell>
          <cell r="J1278">
            <v>63115.6</v>
          </cell>
        </row>
        <row r="1279">
          <cell r="G1279">
            <v>1177.5999999998858</v>
          </cell>
          <cell r="H1279">
            <v>63115.6</v>
          </cell>
          <cell r="I1279">
            <v>1177.6999999998857</v>
          </cell>
          <cell r="J1279">
            <v>63241.7</v>
          </cell>
        </row>
        <row r="1280">
          <cell r="G1280">
            <v>1177.6999999998857</v>
          </cell>
          <cell r="H1280">
            <v>63241.7</v>
          </cell>
          <cell r="I1280">
            <v>1177.7999999998856</v>
          </cell>
          <cell r="J1280">
            <v>63367.8</v>
          </cell>
        </row>
        <row r="1281">
          <cell r="G1281">
            <v>1177.7999999998856</v>
          </cell>
          <cell r="H1281">
            <v>63367.8</v>
          </cell>
          <cell r="I1281">
            <v>1177.8999999998855</v>
          </cell>
          <cell r="J1281">
            <v>63493.9</v>
          </cell>
        </row>
        <row r="1282">
          <cell r="G1282">
            <v>1177.8999999998855</v>
          </cell>
          <cell r="H1282">
            <v>63493.9</v>
          </cell>
          <cell r="I1282">
            <v>1177.9999999998854</v>
          </cell>
          <cell r="J1282">
            <v>63620</v>
          </cell>
        </row>
        <row r="1283">
          <cell r="G1283">
            <v>1177.9999999998854</v>
          </cell>
          <cell r="H1283">
            <v>63620</v>
          </cell>
          <cell r="I1283">
            <v>1178.0999999998853</v>
          </cell>
          <cell r="J1283">
            <v>63747.6</v>
          </cell>
        </row>
        <row r="1284">
          <cell r="G1284">
            <v>1178.0999999998853</v>
          </cell>
          <cell r="H1284">
            <v>63747.6</v>
          </cell>
          <cell r="I1284">
            <v>1178.1999999998852</v>
          </cell>
          <cell r="J1284">
            <v>63875.199999999997</v>
          </cell>
        </row>
        <row r="1285">
          <cell r="G1285">
            <v>1178.1999999998852</v>
          </cell>
          <cell r="H1285">
            <v>63875.199999999997</v>
          </cell>
          <cell r="I1285">
            <v>1178.2999999998851</v>
          </cell>
          <cell r="J1285">
            <v>64002.8</v>
          </cell>
        </row>
        <row r="1286">
          <cell r="G1286">
            <v>1178.2999999998851</v>
          </cell>
          <cell r="H1286">
            <v>64002.8</v>
          </cell>
          <cell r="I1286">
            <v>1178.399999999885</v>
          </cell>
          <cell r="J1286">
            <v>64130.400000000001</v>
          </cell>
        </row>
        <row r="1287">
          <cell r="G1287">
            <v>1178.399999999885</v>
          </cell>
          <cell r="H1287">
            <v>64130.400000000001</v>
          </cell>
          <cell r="I1287">
            <v>1178.4999999998849</v>
          </cell>
          <cell r="J1287">
            <v>64258</v>
          </cell>
        </row>
        <row r="1288">
          <cell r="G1288">
            <v>1178.4999999998849</v>
          </cell>
          <cell r="H1288">
            <v>64258</v>
          </cell>
          <cell r="I1288">
            <v>1178.5999999998849</v>
          </cell>
          <cell r="J1288">
            <v>64385.599999999999</v>
          </cell>
        </row>
        <row r="1289">
          <cell r="G1289">
            <v>1178.5999999998849</v>
          </cell>
          <cell r="H1289">
            <v>64385.599999999999</v>
          </cell>
          <cell r="I1289">
            <v>1178.6999999998848</v>
          </cell>
          <cell r="J1289">
            <v>64513.2</v>
          </cell>
        </row>
        <row r="1290">
          <cell r="G1290">
            <v>1178.6999999998848</v>
          </cell>
          <cell r="H1290">
            <v>64513.2</v>
          </cell>
          <cell r="I1290">
            <v>1178.7999999998847</v>
          </cell>
          <cell r="J1290">
            <v>64640.800000000003</v>
          </cell>
        </row>
        <row r="1291">
          <cell r="G1291">
            <v>1178.7999999998847</v>
          </cell>
          <cell r="H1291">
            <v>64640.800000000003</v>
          </cell>
          <cell r="I1291">
            <v>1178.8999999998846</v>
          </cell>
          <cell r="J1291">
            <v>64768.4</v>
          </cell>
        </row>
        <row r="1292">
          <cell r="G1292">
            <v>1178.8999999998846</v>
          </cell>
          <cell r="H1292">
            <v>64768.4</v>
          </cell>
          <cell r="I1292">
            <v>1178.9999999998845</v>
          </cell>
          <cell r="J1292">
            <v>64896</v>
          </cell>
        </row>
        <row r="1293">
          <cell r="G1293">
            <v>1178.9999999998845</v>
          </cell>
          <cell r="H1293">
            <v>64896</v>
          </cell>
          <cell r="I1293">
            <v>1179.0999999998844</v>
          </cell>
          <cell r="J1293">
            <v>65025</v>
          </cell>
        </row>
        <row r="1294">
          <cell r="G1294">
            <v>1179.0999999998844</v>
          </cell>
          <cell r="H1294">
            <v>65025</v>
          </cell>
          <cell r="I1294">
            <v>1179.1999999998843</v>
          </cell>
          <cell r="J1294">
            <v>65154</v>
          </cell>
        </row>
        <row r="1295">
          <cell r="G1295">
            <v>1179.1999999998843</v>
          </cell>
          <cell r="H1295">
            <v>65154</v>
          </cell>
          <cell r="I1295">
            <v>1179.2999999998842</v>
          </cell>
          <cell r="J1295">
            <v>65283</v>
          </cell>
        </row>
        <row r="1296">
          <cell r="G1296">
            <v>1179.2999999998842</v>
          </cell>
          <cell r="H1296">
            <v>65283</v>
          </cell>
          <cell r="I1296">
            <v>1179.3999999998841</v>
          </cell>
          <cell r="J1296">
            <v>65412</v>
          </cell>
        </row>
        <row r="1297">
          <cell r="G1297">
            <v>1179.3999999998841</v>
          </cell>
          <cell r="H1297">
            <v>65412</v>
          </cell>
          <cell r="I1297">
            <v>1179.499999999884</v>
          </cell>
          <cell r="J1297">
            <v>65541</v>
          </cell>
        </row>
        <row r="1298">
          <cell r="G1298">
            <v>1179.499999999884</v>
          </cell>
          <cell r="H1298">
            <v>65541</v>
          </cell>
          <cell r="I1298">
            <v>1179.5999999998839</v>
          </cell>
          <cell r="J1298">
            <v>65670</v>
          </cell>
        </row>
        <row r="1299">
          <cell r="G1299">
            <v>1179.5999999998839</v>
          </cell>
          <cell r="H1299">
            <v>65670</v>
          </cell>
          <cell r="I1299">
            <v>1179.6999999998839</v>
          </cell>
          <cell r="J1299">
            <v>65799</v>
          </cell>
        </row>
        <row r="1300">
          <cell r="G1300">
            <v>1179.6999999998839</v>
          </cell>
          <cell r="H1300">
            <v>65799</v>
          </cell>
          <cell r="I1300">
            <v>1179.7999999998838</v>
          </cell>
          <cell r="J1300">
            <v>65928</v>
          </cell>
        </row>
        <row r="1301">
          <cell r="G1301">
            <v>1179.7999999998838</v>
          </cell>
          <cell r="H1301">
            <v>65928</v>
          </cell>
          <cell r="I1301">
            <v>1179.8999999998837</v>
          </cell>
          <cell r="J1301">
            <v>66057</v>
          </cell>
        </row>
        <row r="1302">
          <cell r="G1302">
            <v>1179.8999999998837</v>
          </cell>
          <cell r="H1302">
            <v>66057</v>
          </cell>
          <cell r="I1302">
            <v>1179.9999999998836</v>
          </cell>
          <cell r="J1302">
            <v>66186</v>
          </cell>
        </row>
        <row r="1303">
          <cell r="G1303">
            <v>1179.9999999998836</v>
          </cell>
          <cell r="H1303">
            <v>66186</v>
          </cell>
          <cell r="I1303">
            <v>1180.0999999998835</v>
          </cell>
          <cell r="J1303">
            <v>66316.5</v>
          </cell>
        </row>
        <row r="1304">
          <cell r="G1304">
            <v>1180.0999999998835</v>
          </cell>
          <cell r="H1304">
            <v>66316.5</v>
          </cell>
          <cell r="I1304">
            <v>1180.1999999998834</v>
          </cell>
          <cell r="J1304">
            <v>66447</v>
          </cell>
        </row>
        <row r="1305">
          <cell r="G1305">
            <v>1180.1999999998834</v>
          </cell>
          <cell r="H1305">
            <v>66447</v>
          </cell>
          <cell r="I1305">
            <v>1180.2999999998833</v>
          </cell>
          <cell r="J1305">
            <v>66577.5</v>
          </cell>
        </row>
        <row r="1306">
          <cell r="G1306">
            <v>1180.2999999998833</v>
          </cell>
          <cell r="H1306">
            <v>66577.5</v>
          </cell>
          <cell r="I1306">
            <v>1180.3999999998832</v>
          </cell>
          <cell r="J1306">
            <v>66708</v>
          </cell>
        </row>
        <row r="1307">
          <cell r="G1307">
            <v>1180.3999999998832</v>
          </cell>
          <cell r="H1307">
            <v>66708</v>
          </cell>
          <cell r="I1307">
            <v>1180.4999999998831</v>
          </cell>
          <cell r="J1307">
            <v>66838.5</v>
          </cell>
        </row>
        <row r="1308">
          <cell r="G1308">
            <v>1180.4999999998831</v>
          </cell>
          <cell r="H1308">
            <v>66838.5</v>
          </cell>
          <cell r="I1308">
            <v>1180.599999999883</v>
          </cell>
          <cell r="J1308">
            <v>66969</v>
          </cell>
        </row>
        <row r="1309">
          <cell r="G1309">
            <v>1180.599999999883</v>
          </cell>
          <cell r="H1309">
            <v>66969</v>
          </cell>
          <cell r="I1309">
            <v>1180.6999999998829</v>
          </cell>
          <cell r="J1309">
            <v>67099.5</v>
          </cell>
        </row>
        <row r="1310">
          <cell r="G1310">
            <v>1180.6999999998829</v>
          </cell>
          <cell r="H1310">
            <v>67099.5</v>
          </cell>
          <cell r="I1310">
            <v>1180.7999999998829</v>
          </cell>
          <cell r="J1310">
            <v>67230</v>
          </cell>
        </row>
        <row r="1311">
          <cell r="G1311">
            <v>1180.7999999998829</v>
          </cell>
          <cell r="H1311">
            <v>67230</v>
          </cell>
          <cell r="I1311">
            <v>1180.8999999998828</v>
          </cell>
          <cell r="J1311">
            <v>67360.5</v>
          </cell>
        </row>
        <row r="1312">
          <cell r="G1312">
            <v>1180.8999999998828</v>
          </cell>
          <cell r="H1312">
            <v>67360.5</v>
          </cell>
          <cell r="I1312">
            <v>1180.9999999998827</v>
          </cell>
          <cell r="J1312">
            <v>67491</v>
          </cell>
        </row>
        <row r="1313">
          <cell r="G1313">
            <v>1180.9999999998827</v>
          </cell>
          <cell r="H1313">
            <v>67491</v>
          </cell>
          <cell r="I1313">
            <v>1181.0999999998826</v>
          </cell>
          <cell r="J1313">
            <v>67623</v>
          </cell>
        </row>
        <row r="1314">
          <cell r="G1314">
            <v>1181.0999999998826</v>
          </cell>
          <cell r="H1314">
            <v>67623</v>
          </cell>
          <cell r="I1314">
            <v>1181.1999999998825</v>
          </cell>
          <cell r="J1314">
            <v>67755</v>
          </cell>
        </row>
        <row r="1315">
          <cell r="G1315">
            <v>1181.1999999998825</v>
          </cell>
          <cell r="H1315">
            <v>67755</v>
          </cell>
          <cell r="I1315">
            <v>1181.2999999998824</v>
          </cell>
          <cell r="J1315">
            <v>67887</v>
          </cell>
        </row>
        <row r="1316">
          <cell r="G1316">
            <v>1181.2999999998824</v>
          </cell>
          <cell r="H1316">
            <v>67887</v>
          </cell>
          <cell r="I1316">
            <v>1181.3999999998823</v>
          </cell>
          <cell r="J1316">
            <v>68019</v>
          </cell>
        </row>
        <row r="1317">
          <cell r="G1317">
            <v>1181.3999999998823</v>
          </cell>
          <cell r="H1317">
            <v>68019</v>
          </cell>
          <cell r="I1317">
            <v>1181.4999999998822</v>
          </cell>
          <cell r="J1317">
            <v>68151</v>
          </cell>
        </row>
        <row r="1318">
          <cell r="G1318">
            <v>1181.4999999998822</v>
          </cell>
          <cell r="H1318">
            <v>68151</v>
          </cell>
          <cell r="I1318">
            <v>1181.5999999998821</v>
          </cell>
          <cell r="J1318">
            <v>68283</v>
          </cell>
        </row>
        <row r="1319">
          <cell r="G1319">
            <v>1181.5999999998821</v>
          </cell>
          <cell r="H1319">
            <v>68283</v>
          </cell>
          <cell r="I1319">
            <v>1181.699999999882</v>
          </cell>
          <cell r="J1319">
            <v>68415</v>
          </cell>
        </row>
        <row r="1320">
          <cell r="G1320">
            <v>1181.699999999882</v>
          </cell>
          <cell r="H1320">
            <v>68415</v>
          </cell>
          <cell r="I1320">
            <v>1181.7999999998819</v>
          </cell>
          <cell r="J1320">
            <v>68547</v>
          </cell>
        </row>
        <row r="1321">
          <cell r="G1321">
            <v>1181.7999999998819</v>
          </cell>
          <cell r="H1321">
            <v>68547</v>
          </cell>
          <cell r="I1321">
            <v>1181.8999999998819</v>
          </cell>
          <cell r="J1321">
            <v>68679</v>
          </cell>
        </row>
        <row r="1322">
          <cell r="G1322">
            <v>1181.8999999998819</v>
          </cell>
          <cell r="H1322">
            <v>68679</v>
          </cell>
          <cell r="I1322">
            <v>1181.9999999998818</v>
          </cell>
          <cell r="J1322">
            <v>68811</v>
          </cell>
        </row>
        <row r="1323">
          <cell r="G1323">
            <v>1181.9999999998818</v>
          </cell>
          <cell r="H1323">
            <v>68811</v>
          </cell>
          <cell r="I1323">
            <v>1182.0999999998817</v>
          </cell>
          <cell r="J1323">
            <v>68944.5</v>
          </cell>
        </row>
        <row r="1324">
          <cell r="G1324">
            <v>1182.0999999998817</v>
          </cell>
          <cell r="H1324">
            <v>68944.5</v>
          </cell>
          <cell r="I1324">
            <v>1182.1999999998816</v>
          </cell>
          <cell r="J1324">
            <v>69078</v>
          </cell>
        </row>
        <row r="1325">
          <cell r="G1325">
            <v>1182.1999999998816</v>
          </cell>
          <cell r="H1325">
            <v>69078</v>
          </cell>
          <cell r="I1325">
            <v>1182.2999999998815</v>
          </cell>
          <cell r="J1325">
            <v>69211.5</v>
          </cell>
        </row>
        <row r="1326">
          <cell r="G1326">
            <v>1182.2999999998815</v>
          </cell>
          <cell r="H1326">
            <v>69211.5</v>
          </cell>
          <cell r="I1326">
            <v>1182.3999999998814</v>
          </cell>
          <cell r="J1326">
            <v>69345</v>
          </cell>
        </row>
        <row r="1327">
          <cell r="G1327">
            <v>1182.3999999998814</v>
          </cell>
          <cell r="H1327">
            <v>69345</v>
          </cell>
          <cell r="I1327">
            <v>1182.4999999998813</v>
          </cell>
          <cell r="J1327">
            <v>69478.5</v>
          </cell>
        </row>
        <row r="1328">
          <cell r="G1328">
            <v>1182.4999999998813</v>
          </cell>
          <cell r="H1328">
            <v>69478.5</v>
          </cell>
          <cell r="I1328">
            <v>1182.5999999998812</v>
          </cell>
          <cell r="J1328">
            <v>69612</v>
          </cell>
        </row>
        <row r="1329">
          <cell r="G1329">
            <v>1182.5999999998812</v>
          </cell>
          <cell r="H1329">
            <v>69612</v>
          </cell>
          <cell r="I1329">
            <v>1182.6999999998811</v>
          </cell>
          <cell r="J1329">
            <v>69745.5</v>
          </cell>
        </row>
        <row r="1330">
          <cell r="G1330">
            <v>1182.6999999998811</v>
          </cell>
          <cell r="H1330">
            <v>69745.5</v>
          </cell>
          <cell r="I1330">
            <v>1182.799999999881</v>
          </cell>
          <cell r="J1330">
            <v>69879</v>
          </cell>
        </row>
        <row r="1331">
          <cell r="G1331">
            <v>1182.799999999881</v>
          </cell>
          <cell r="H1331">
            <v>69879</v>
          </cell>
          <cell r="I1331">
            <v>1182.8999999998809</v>
          </cell>
          <cell r="J1331">
            <v>70012.5</v>
          </cell>
        </row>
        <row r="1332">
          <cell r="G1332">
            <v>1182.8999999998809</v>
          </cell>
          <cell r="H1332">
            <v>70012.5</v>
          </cell>
          <cell r="I1332">
            <v>1182.9999999998809</v>
          </cell>
          <cell r="J1332">
            <v>70146</v>
          </cell>
        </row>
        <row r="1333">
          <cell r="G1333">
            <v>1182.9999999998809</v>
          </cell>
          <cell r="H1333">
            <v>70146</v>
          </cell>
          <cell r="I1333">
            <v>1183.0999999998808</v>
          </cell>
          <cell r="J1333">
            <v>70280.899999999994</v>
          </cell>
        </row>
        <row r="1334">
          <cell r="G1334">
            <v>1183.0999999998808</v>
          </cell>
          <cell r="H1334">
            <v>70280.899999999994</v>
          </cell>
          <cell r="I1334">
            <v>1183.1999999998807</v>
          </cell>
          <cell r="J1334">
            <v>70415.8</v>
          </cell>
        </row>
        <row r="1335">
          <cell r="G1335">
            <v>1183.1999999998807</v>
          </cell>
          <cell r="H1335">
            <v>70415.8</v>
          </cell>
          <cell r="I1335">
            <v>1183.2999999998806</v>
          </cell>
          <cell r="J1335">
            <v>70550.7</v>
          </cell>
        </row>
        <row r="1336">
          <cell r="G1336">
            <v>1183.2999999998806</v>
          </cell>
          <cell r="H1336">
            <v>70550.7</v>
          </cell>
          <cell r="I1336">
            <v>1183.3999999998805</v>
          </cell>
          <cell r="J1336">
            <v>70685.600000000006</v>
          </cell>
        </row>
        <row r="1337">
          <cell r="G1337">
            <v>1183.3999999998805</v>
          </cell>
          <cell r="H1337">
            <v>70685.600000000006</v>
          </cell>
          <cell r="I1337">
            <v>1183.4999999998804</v>
          </cell>
          <cell r="J1337">
            <v>70820.5</v>
          </cell>
        </row>
        <row r="1338">
          <cell r="G1338">
            <v>1183.4999999998804</v>
          </cell>
          <cell r="H1338">
            <v>70820.5</v>
          </cell>
          <cell r="I1338">
            <v>1183.5999999998803</v>
          </cell>
          <cell r="J1338">
            <v>70955.399999999994</v>
          </cell>
        </row>
        <row r="1339">
          <cell r="G1339">
            <v>1183.5999999998803</v>
          </cell>
          <cell r="H1339">
            <v>70955.399999999994</v>
          </cell>
          <cell r="I1339">
            <v>1183.6999999998802</v>
          </cell>
          <cell r="J1339">
            <v>71090.3</v>
          </cell>
        </row>
        <row r="1340">
          <cell r="G1340">
            <v>1183.6999999998802</v>
          </cell>
          <cell r="H1340">
            <v>71090.3</v>
          </cell>
          <cell r="I1340">
            <v>1183.7999999998801</v>
          </cell>
          <cell r="J1340">
            <v>71225.2</v>
          </cell>
        </row>
        <row r="1341">
          <cell r="G1341">
            <v>1183.7999999998801</v>
          </cell>
          <cell r="H1341">
            <v>71225.2</v>
          </cell>
          <cell r="I1341">
            <v>1183.89999999988</v>
          </cell>
          <cell r="J1341">
            <v>71360.099999999948</v>
          </cell>
        </row>
        <row r="1342">
          <cell r="G1342">
            <v>1183.89999999988</v>
          </cell>
          <cell r="H1342">
            <v>71360.099999999948</v>
          </cell>
          <cell r="I1342">
            <v>1183.9999999998799</v>
          </cell>
          <cell r="J1342">
            <v>71495</v>
          </cell>
        </row>
        <row r="1343">
          <cell r="G1343">
            <v>1183.9999999998799</v>
          </cell>
          <cell r="H1343">
            <v>71495</v>
          </cell>
          <cell r="I1343">
            <v>1184.0999999998799</v>
          </cell>
          <cell r="J1343">
            <v>71631.5</v>
          </cell>
        </row>
        <row r="1344">
          <cell r="G1344">
            <v>1184.0999999998799</v>
          </cell>
          <cell r="H1344">
            <v>71631.5</v>
          </cell>
          <cell r="I1344">
            <v>1184.1999999998798</v>
          </cell>
          <cell r="J1344">
            <v>71768</v>
          </cell>
        </row>
        <row r="1345">
          <cell r="G1345">
            <v>1184.1999999998798</v>
          </cell>
          <cell r="H1345">
            <v>71768</v>
          </cell>
          <cell r="I1345">
            <v>1184.2999999998797</v>
          </cell>
          <cell r="J1345">
            <v>71904.5</v>
          </cell>
        </row>
        <row r="1346">
          <cell r="G1346">
            <v>1184.2999999998797</v>
          </cell>
          <cell r="H1346">
            <v>71904.5</v>
          </cell>
          <cell r="I1346">
            <v>1184.3999999998796</v>
          </cell>
          <cell r="J1346">
            <v>72041</v>
          </cell>
        </row>
        <row r="1347">
          <cell r="G1347">
            <v>1184.3999999998796</v>
          </cell>
          <cell r="H1347">
            <v>72041</v>
          </cell>
          <cell r="I1347">
            <v>1184.4999999998795</v>
          </cell>
          <cell r="J1347">
            <v>72177.5</v>
          </cell>
        </row>
        <row r="1348">
          <cell r="G1348">
            <v>1184.4999999998795</v>
          </cell>
          <cell r="H1348">
            <v>72177.5</v>
          </cell>
          <cell r="I1348">
            <v>1184.5999999998794</v>
          </cell>
          <cell r="J1348">
            <v>72314</v>
          </cell>
        </row>
        <row r="1349">
          <cell r="G1349">
            <v>1184.5999999998794</v>
          </cell>
          <cell r="H1349">
            <v>72314</v>
          </cell>
          <cell r="I1349">
            <v>1184.6999999998793</v>
          </cell>
          <cell r="J1349">
            <v>72450.5</v>
          </cell>
        </row>
        <row r="1350">
          <cell r="G1350">
            <v>1184.6999999998793</v>
          </cell>
          <cell r="H1350">
            <v>72450.5</v>
          </cell>
          <cell r="I1350">
            <v>1184.7999999998792</v>
          </cell>
          <cell r="J1350">
            <v>72587</v>
          </cell>
        </row>
        <row r="1351">
          <cell r="G1351">
            <v>1184.7999999998792</v>
          </cell>
          <cell r="H1351">
            <v>72587</v>
          </cell>
          <cell r="I1351">
            <v>1184.8999999998791</v>
          </cell>
          <cell r="J1351">
            <v>72723.5</v>
          </cell>
        </row>
        <row r="1352">
          <cell r="G1352">
            <v>1184.8999999998791</v>
          </cell>
          <cell r="H1352">
            <v>72723.5</v>
          </cell>
          <cell r="I1352">
            <v>1184.999999999879</v>
          </cell>
          <cell r="J1352">
            <v>72860</v>
          </cell>
        </row>
        <row r="1353">
          <cell r="G1353">
            <v>1184.999999999879</v>
          </cell>
          <cell r="H1353">
            <v>72860</v>
          </cell>
          <cell r="I1353">
            <v>1185.0999999998789</v>
          </cell>
          <cell r="J1353">
            <v>72998</v>
          </cell>
        </row>
        <row r="1354">
          <cell r="G1354">
            <v>1185.0999999998789</v>
          </cell>
          <cell r="H1354">
            <v>72998</v>
          </cell>
          <cell r="I1354">
            <v>1185.1999999998789</v>
          </cell>
          <cell r="J1354">
            <v>73136</v>
          </cell>
        </row>
        <row r="1355">
          <cell r="G1355">
            <v>1185.1999999998789</v>
          </cell>
          <cell r="H1355">
            <v>73136</v>
          </cell>
          <cell r="I1355">
            <v>1185.2999999998788</v>
          </cell>
          <cell r="J1355">
            <v>73274</v>
          </cell>
        </row>
        <row r="1356">
          <cell r="G1356">
            <v>1185.2999999998788</v>
          </cell>
          <cell r="H1356">
            <v>73274</v>
          </cell>
          <cell r="I1356">
            <v>1185.3999999998787</v>
          </cell>
          <cell r="J1356">
            <v>73412</v>
          </cell>
        </row>
        <row r="1357">
          <cell r="G1357">
            <v>1185.3999999998787</v>
          </cell>
          <cell r="H1357">
            <v>73412</v>
          </cell>
          <cell r="I1357">
            <v>1185.4999999998786</v>
          </cell>
          <cell r="J1357">
            <v>73550</v>
          </cell>
        </row>
        <row r="1358">
          <cell r="G1358">
            <v>1185.4999999998786</v>
          </cell>
          <cell r="H1358">
            <v>73550</v>
          </cell>
          <cell r="I1358">
            <v>1185.5999999998785</v>
          </cell>
          <cell r="J1358">
            <v>73688</v>
          </cell>
        </row>
        <row r="1359">
          <cell r="G1359">
            <v>1185.5999999998785</v>
          </cell>
          <cell r="H1359">
            <v>73688</v>
          </cell>
          <cell r="I1359">
            <v>1185.6999999998784</v>
          </cell>
          <cell r="J1359">
            <v>73826</v>
          </cell>
        </row>
        <row r="1360">
          <cell r="G1360">
            <v>1185.6999999998784</v>
          </cell>
          <cell r="H1360">
            <v>73826</v>
          </cell>
          <cell r="I1360">
            <v>1185.7999999998783</v>
          </cell>
          <cell r="J1360">
            <v>73964</v>
          </cell>
        </row>
        <row r="1361">
          <cell r="G1361">
            <v>1185.7999999998783</v>
          </cell>
          <cell r="H1361">
            <v>73964</v>
          </cell>
          <cell r="I1361">
            <v>1185.8999999998782</v>
          </cell>
          <cell r="J1361">
            <v>74102</v>
          </cell>
        </row>
        <row r="1362">
          <cell r="G1362">
            <v>1185.8999999998782</v>
          </cell>
          <cell r="H1362">
            <v>74102</v>
          </cell>
          <cell r="I1362">
            <v>1185.9999999998781</v>
          </cell>
          <cell r="J1362">
            <v>74240</v>
          </cell>
        </row>
        <row r="1363">
          <cell r="G1363">
            <v>1185.9999999998781</v>
          </cell>
          <cell r="H1363">
            <v>74240</v>
          </cell>
          <cell r="I1363">
            <v>1186.099999999878</v>
          </cell>
          <cell r="J1363">
            <v>74379.5</v>
          </cell>
        </row>
        <row r="1364">
          <cell r="G1364">
            <v>1186.099999999878</v>
          </cell>
          <cell r="H1364">
            <v>74379.5</v>
          </cell>
          <cell r="I1364">
            <v>1186.1999999998779</v>
          </cell>
          <cell r="J1364">
            <v>74519</v>
          </cell>
        </row>
        <row r="1365">
          <cell r="G1365">
            <v>1186.1999999998779</v>
          </cell>
          <cell r="H1365">
            <v>74519</v>
          </cell>
          <cell r="I1365">
            <v>1186.2999999998779</v>
          </cell>
          <cell r="J1365">
            <v>74658.5</v>
          </cell>
        </row>
        <row r="1366">
          <cell r="G1366">
            <v>1186.2999999998779</v>
          </cell>
          <cell r="H1366">
            <v>74658.5</v>
          </cell>
          <cell r="I1366">
            <v>1186.3999999998778</v>
          </cell>
          <cell r="J1366">
            <v>74798</v>
          </cell>
        </row>
        <row r="1367">
          <cell r="G1367">
            <v>1186.3999999998778</v>
          </cell>
          <cell r="H1367">
            <v>74798</v>
          </cell>
          <cell r="I1367">
            <v>1186.4999999998777</v>
          </cell>
          <cell r="J1367">
            <v>74937.5</v>
          </cell>
        </row>
        <row r="1368">
          <cell r="G1368">
            <v>1186.4999999998777</v>
          </cell>
          <cell r="H1368">
            <v>74937.5</v>
          </cell>
          <cell r="I1368">
            <v>1186.5999999998776</v>
          </cell>
          <cell r="J1368">
            <v>75077</v>
          </cell>
        </row>
        <row r="1369">
          <cell r="G1369">
            <v>1186.5999999998776</v>
          </cell>
          <cell r="H1369">
            <v>75077</v>
          </cell>
          <cell r="I1369">
            <v>1186.6999999998775</v>
          </cell>
          <cell r="J1369">
            <v>75216.5</v>
          </cell>
        </row>
        <row r="1370">
          <cell r="G1370">
            <v>1186.6999999998775</v>
          </cell>
          <cell r="H1370">
            <v>75216.5</v>
          </cell>
          <cell r="I1370">
            <v>1186.7999999998774</v>
          </cell>
          <cell r="J1370">
            <v>75356</v>
          </cell>
        </row>
        <row r="1371">
          <cell r="G1371">
            <v>1186.7999999998774</v>
          </cell>
          <cell r="H1371">
            <v>75356</v>
          </cell>
          <cell r="I1371">
            <v>1186.8999999998773</v>
          </cell>
          <cell r="J1371">
            <v>75495.5</v>
          </cell>
        </row>
        <row r="1372">
          <cell r="G1372">
            <v>1186.8999999998773</v>
          </cell>
          <cell r="H1372">
            <v>75495.5</v>
          </cell>
          <cell r="I1372">
            <v>1186.9999999998772</v>
          </cell>
          <cell r="J1372">
            <v>75635</v>
          </cell>
        </row>
        <row r="1373">
          <cell r="G1373">
            <v>1186.9999999998772</v>
          </cell>
          <cell r="H1373">
            <v>75635</v>
          </cell>
          <cell r="I1373">
            <v>1187.0999999998771</v>
          </cell>
          <cell r="J1373">
            <v>75776</v>
          </cell>
        </row>
        <row r="1374">
          <cell r="G1374">
            <v>1187.0999999998771</v>
          </cell>
          <cell r="H1374">
            <v>75776</v>
          </cell>
          <cell r="I1374">
            <v>1187.199999999877</v>
          </cell>
          <cell r="J1374">
            <v>75917</v>
          </cell>
        </row>
        <row r="1375">
          <cell r="G1375">
            <v>1187.199999999877</v>
          </cell>
          <cell r="H1375">
            <v>75917</v>
          </cell>
          <cell r="I1375">
            <v>1187.2999999998769</v>
          </cell>
          <cell r="J1375">
            <v>76058</v>
          </cell>
        </row>
        <row r="1376">
          <cell r="G1376">
            <v>1187.2999999998769</v>
          </cell>
          <cell r="H1376">
            <v>76058</v>
          </cell>
          <cell r="I1376">
            <v>1187.3999999998769</v>
          </cell>
          <cell r="J1376">
            <v>76199</v>
          </cell>
        </row>
        <row r="1377">
          <cell r="G1377">
            <v>1187.3999999998769</v>
          </cell>
          <cell r="H1377">
            <v>76199</v>
          </cell>
          <cell r="I1377">
            <v>1187.4999999998768</v>
          </cell>
          <cell r="J1377">
            <v>76340</v>
          </cell>
        </row>
        <row r="1378">
          <cell r="G1378">
            <v>1187.4999999998768</v>
          </cell>
          <cell r="H1378">
            <v>76340</v>
          </cell>
          <cell r="I1378">
            <v>1187.5999999998767</v>
          </cell>
          <cell r="J1378">
            <v>76481</v>
          </cell>
        </row>
        <row r="1379">
          <cell r="G1379">
            <v>1187.5999999998767</v>
          </cell>
          <cell r="H1379">
            <v>76481</v>
          </cell>
          <cell r="I1379">
            <v>1187.6999999998766</v>
          </cell>
          <cell r="J1379">
            <v>76622</v>
          </cell>
        </row>
        <row r="1380">
          <cell r="G1380">
            <v>1187.6999999998766</v>
          </cell>
          <cell r="H1380">
            <v>76622</v>
          </cell>
          <cell r="I1380">
            <v>1187.7999999998765</v>
          </cell>
          <cell r="J1380">
            <v>76763</v>
          </cell>
        </row>
        <row r="1381">
          <cell r="G1381">
            <v>1187.7999999998765</v>
          </cell>
          <cell r="H1381">
            <v>76763</v>
          </cell>
          <cell r="I1381">
            <v>1187.8999999998764</v>
          </cell>
          <cell r="J1381">
            <v>76904</v>
          </cell>
        </row>
        <row r="1382">
          <cell r="G1382">
            <v>1187.8999999998764</v>
          </cell>
          <cell r="H1382">
            <v>76904</v>
          </cell>
          <cell r="I1382">
            <v>1187.9999999998763</v>
          </cell>
          <cell r="J1382">
            <v>77045</v>
          </cell>
        </row>
        <row r="1383">
          <cell r="G1383">
            <v>1187.9999999998763</v>
          </cell>
          <cell r="H1383">
            <v>77045</v>
          </cell>
          <cell r="I1383">
            <v>1188.0999999998762</v>
          </cell>
          <cell r="J1383">
            <v>77187.600000000006</v>
          </cell>
        </row>
        <row r="1384">
          <cell r="G1384">
            <v>1188.0999999998762</v>
          </cell>
          <cell r="H1384">
            <v>77187.600000000006</v>
          </cell>
          <cell r="I1384">
            <v>1188.1999999998761</v>
          </cell>
          <cell r="J1384">
            <v>77330.2</v>
          </cell>
        </row>
        <row r="1385">
          <cell r="G1385">
            <v>1188.1999999998761</v>
          </cell>
          <cell r="H1385">
            <v>77330.2</v>
          </cell>
          <cell r="I1385">
            <v>1188.299999999876</v>
          </cell>
          <cell r="J1385">
            <v>77472.800000000003</v>
          </cell>
        </row>
        <row r="1386">
          <cell r="G1386">
            <v>1188.299999999876</v>
          </cell>
          <cell r="H1386">
            <v>77472.800000000003</v>
          </cell>
          <cell r="I1386">
            <v>1188.3999999998759</v>
          </cell>
          <cell r="J1386">
            <v>77615.399999999994</v>
          </cell>
        </row>
        <row r="1387">
          <cell r="G1387">
            <v>1188.3999999998759</v>
          </cell>
          <cell r="H1387">
            <v>77615.399999999994</v>
          </cell>
          <cell r="I1387">
            <v>1188.4999999998759</v>
          </cell>
          <cell r="J1387">
            <v>77758</v>
          </cell>
        </row>
        <row r="1388">
          <cell r="G1388">
            <v>1188.4999999998759</v>
          </cell>
          <cell r="H1388">
            <v>77758</v>
          </cell>
          <cell r="I1388">
            <v>1188.5999999998758</v>
          </cell>
          <cell r="J1388">
            <v>77900.600000000006</v>
          </cell>
        </row>
        <row r="1389">
          <cell r="G1389">
            <v>1188.5999999998758</v>
          </cell>
          <cell r="H1389">
            <v>77900.600000000006</v>
          </cell>
          <cell r="I1389">
            <v>1188.6999999998757</v>
          </cell>
          <cell r="J1389">
            <v>78043.199999999997</v>
          </cell>
        </row>
        <row r="1390">
          <cell r="G1390">
            <v>1188.6999999998757</v>
          </cell>
          <cell r="H1390">
            <v>78043.199999999997</v>
          </cell>
          <cell r="I1390">
            <v>1188.7999999998756</v>
          </cell>
          <cell r="J1390">
            <v>78185.8</v>
          </cell>
        </row>
        <row r="1391">
          <cell r="G1391">
            <v>1188.7999999998756</v>
          </cell>
          <cell r="H1391">
            <v>78185.8</v>
          </cell>
          <cell r="I1391">
            <v>1188.8999999998755</v>
          </cell>
          <cell r="J1391">
            <v>78328.400000000052</v>
          </cell>
        </row>
        <row r="1392">
          <cell r="G1392">
            <v>1188.8999999998755</v>
          </cell>
          <cell r="H1392">
            <v>78328.400000000052</v>
          </cell>
          <cell r="I1392">
            <v>1188.9999999998754</v>
          </cell>
          <cell r="J1392">
            <v>78471</v>
          </cell>
        </row>
        <row r="1393">
          <cell r="G1393">
            <v>1188.9999999998754</v>
          </cell>
          <cell r="H1393">
            <v>78471</v>
          </cell>
          <cell r="I1393">
            <v>1189.0999999998753</v>
          </cell>
          <cell r="J1393">
            <v>78615.100000000006</v>
          </cell>
        </row>
        <row r="1394">
          <cell r="G1394">
            <v>1189.0999999998753</v>
          </cell>
          <cell r="H1394">
            <v>78615.100000000006</v>
          </cell>
          <cell r="I1394">
            <v>1189.1999999998752</v>
          </cell>
          <cell r="J1394">
            <v>78759.199999999997</v>
          </cell>
        </row>
        <row r="1395">
          <cell r="G1395">
            <v>1189.1999999998752</v>
          </cell>
          <cell r="H1395">
            <v>78759.199999999997</v>
          </cell>
          <cell r="I1395">
            <v>1189.2999999998751</v>
          </cell>
          <cell r="J1395">
            <v>78903.3</v>
          </cell>
        </row>
        <row r="1396">
          <cell r="G1396">
            <v>1189.2999999998751</v>
          </cell>
          <cell r="H1396">
            <v>78903.3</v>
          </cell>
          <cell r="I1396">
            <v>1189.399999999875</v>
          </cell>
          <cell r="J1396">
            <v>79047.399999999994</v>
          </cell>
        </row>
        <row r="1397">
          <cell r="G1397">
            <v>1189.399999999875</v>
          </cell>
          <cell r="H1397">
            <v>79047.399999999994</v>
          </cell>
          <cell r="I1397">
            <v>1189.4999999998749</v>
          </cell>
          <cell r="J1397">
            <v>79191.5</v>
          </cell>
        </row>
        <row r="1398">
          <cell r="G1398">
            <v>1189.4999999998749</v>
          </cell>
          <cell r="H1398">
            <v>79191.5</v>
          </cell>
          <cell r="I1398">
            <v>1189.5999999998749</v>
          </cell>
          <cell r="J1398">
            <v>79335.600000000006</v>
          </cell>
        </row>
        <row r="1399">
          <cell r="G1399">
            <v>1189.5999999998749</v>
          </cell>
          <cell r="H1399">
            <v>79335.600000000006</v>
          </cell>
          <cell r="I1399">
            <v>1189.6999999998748</v>
          </cell>
          <cell r="J1399">
            <v>79479.7</v>
          </cell>
        </row>
        <row r="1400">
          <cell r="G1400">
            <v>1189.6999999998748</v>
          </cell>
          <cell r="H1400">
            <v>79479.7</v>
          </cell>
          <cell r="I1400">
            <v>1189.7999999998747</v>
          </cell>
          <cell r="J1400">
            <v>79623.8</v>
          </cell>
        </row>
        <row r="1401">
          <cell r="G1401">
            <v>1189.7999999998747</v>
          </cell>
          <cell r="H1401">
            <v>79623.8</v>
          </cell>
          <cell r="I1401">
            <v>1189.8999999998746</v>
          </cell>
          <cell r="J1401">
            <v>79767.900000000052</v>
          </cell>
        </row>
        <row r="1402">
          <cell r="G1402">
            <v>1189.8999999998746</v>
          </cell>
          <cell r="H1402">
            <v>79767.900000000052</v>
          </cell>
          <cell r="I1402">
            <v>1189.9999999998745</v>
          </cell>
          <cell r="J1402">
            <v>79912</v>
          </cell>
        </row>
        <row r="1403">
          <cell r="G1403">
            <v>1189.9999999998745</v>
          </cell>
          <cell r="H1403">
            <v>79912</v>
          </cell>
          <cell r="I1403">
            <v>1190.0999999998744</v>
          </cell>
          <cell r="J1403">
            <v>80057.8</v>
          </cell>
        </row>
        <row r="1404">
          <cell r="G1404">
            <v>1190.0999999998744</v>
          </cell>
          <cell r="H1404">
            <v>80057.8</v>
          </cell>
          <cell r="I1404">
            <v>1190.1999999998743</v>
          </cell>
          <cell r="J1404">
            <v>80203.600000000006</v>
          </cell>
        </row>
        <row r="1405">
          <cell r="G1405">
            <v>1190.1999999998743</v>
          </cell>
          <cell r="H1405">
            <v>80203.600000000006</v>
          </cell>
          <cell r="I1405">
            <v>1190.2999999998742</v>
          </cell>
          <cell r="J1405">
            <v>80349.399999999994</v>
          </cell>
        </row>
        <row r="1406">
          <cell r="G1406">
            <v>1190.2999999998742</v>
          </cell>
          <cell r="H1406">
            <v>80349.399999999994</v>
          </cell>
          <cell r="I1406">
            <v>1190.3999999998741</v>
          </cell>
          <cell r="J1406">
            <v>80495.199999999997</v>
          </cell>
        </row>
        <row r="1407">
          <cell r="G1407">
            <v>1190.3999999998741</v>
          </cell>
          <cell r="H1407">
            <v>80495.199999999997</v>
          </cell>
          <cell r="I1407">
            <v>1190.499999999874</v>
          </cell>
          <cell r="J1407">
            <v>80641</v>
          </cell>
        </row>
        <row r="1408">
          <cell r="G1408">
            <v>1190.499999999874</v>
          </cell>
          <cell r="H1408">
            <v>80641</v>
          </cell>
          <cell r="I1408">
            <v>1190.5999999998739</v>
          </cell>
          <cell r="J1408">
            <v>80786.8</v>
          </cell>
        </row>
        <row r="1409">
          <cell r="G1409">
            <v>1190.5999999998739</v>
          </cell>
          <cell r="H1409">
            <v>80786.8</v>
          </cell>
          <cell r="I1409">
            <v>1190.6999999998739</v>
          </cell>
          <cell r="J1409">
            <v>80932.600000000006</v>
          </cell>
        </row>
        <row r="1410">
          <cell r="G1410">
            <v>1190.6999999998739</v>
          </cell>
          <cell r="H1410">
            <v>80932.600000000006</v>
          </cell>
          <cell r="I1410">
            <v>1190.7999999998738</v>
          </cell>
          <cell r="J1410">
            <v>81078.399999999994</v>
          </cell>
        </row>
        <row r="1411">
          <cell r="G1411">
            <v>1190.7999999998738</v>
          </cell>
          <cell r="H1411">
            <v>81078.399999999994</v>
          </cell>
          <cell r="I1411">
            <v>1190.8999999998737</v>
          </cell>
          <cell r="J1411">
            <v>81224.2</v>
          </cell>
        </row>
        <row r="1412">
          <cell r="G1412">
            <v>1190.8999999998737</v>
          </cell>
          <cell r="H1412">
            <v>81224.2</v>
          </cell>
          <cell r="I1412">
            <v>1190.9999999998736</v>
          </cell>
          <cell r="J1412">
            <v>81370</v>
          </cell>
        </row>
        <row r="1413">
          <cell r="G1413">
            <v>1190.9999999998736</v>
          </cell>
          <cell r="H1413">
            <v>81370</v>
          </cell>
          <cell r="I1413">
            <v>1191.0999999998735</v>
          </cell>
          <cell r="J1413">
            <v>81517.600000000006</v>
          </cell>
        </row>
        <row r="1414">
          <cell r="G1414">
            <v>1191.0999999998735</v>
          </cell>
          <cell r="H1414">
            <v>81517.600000000006</v>
          </cell>
          <cell r="I1414">
            <v>1191.1999999998734</v>
          </cell>
          <cell r="J1414">
            <v>81665.2</v>
          </cell>
        </row>
        <row r="1415">
          <cell r="G1415">
            <v>1191.1999999998734</v>
          </cell>
          <cell r="H1415">
            <v>81665.2</v>
          </cell>
          <cell r="I1415">
            <v>1191.2999999998733</v>
          </cell>
          <cell r="J1415">
            <v>81812.800000000003</v>
          </cell>
        </row>
        <row r="1416">
          <cell r="G1416">
            <v>1191.2999999998733</v>
          </cell>
          <cell r="H1416">
            <v>81812.800000000003</v>
          </cell>
          <cell r="I1416">
            <v>1191.3999999998732</v>
          </cell>
          <cell r="J1416">
            <v>81960.399999999994</v>
          </cell>
        </row>
        <row r="1417">
          <cell r="G1417">
            <v>1191.3999999998732</v>
          </cell>
          <cell r="H1417">
            <v>81960.399999999994</v>
          </cell>
          <cell r="I1417">
            <v>1191.4999999998731</v>
          </cell>
          <cell r="J1417">
            <v>82108</v>
          </cell>
        </row>
        <row r="1418">
          <cell r="G1418">
            <v>1191.4999999998731</v>
          </cell>
          <cell r="H1418">
            <v>82108</v>
          </cell>
          <cell r="I1418">
            <v>1191.599999999873</v>
          </cell>
          <cell r="J1418">
            <v>82255.600000000006</v>
          </cell>
        </row>
        <row r="1419">
          <cell r="G1419">
            <v>1191.599999999873</v>
          </cell>
          <cell r="H1419">
            <v>82255.600000000006</v>
          </cell>
          <cell r="I1419">
            <v>1191.6999999998729</v>
          </cell>
          <cell r="J1419">
            <v>82403.199999999997</v>
          </cell>
        </row>
        <row r="1420">
          <cell r="G1420">
            <v>1191.6999999998729</v>
          </cell>
          <cell r="H1420">
            <v>82403.199999999997</v>
          </cell>
          <cell r="I1420">
            <v>1191.7999999998729</v>
          </cell>
          <cell r="J1420">
            <v>82550.8</v>
          </cell>
        </row>
        <row r="1421">
          <cell r="G1421">
            <v>1191.7999999998729</v>
          </cell>
          <cell r="H1421">
            <v>82550.8</v>
          </cell>
          <cell r="I1421">
            <v>1191.8999999998728</v>
          </cell>
          <cell r="J1421">
            <v>82698.400000000052</v>
          </cell>
        </row>
        <row r="1422">
          <cell r="G1422">
            <v>1191.8999999998728</v>
          </cell>
          <cell r="H1422">
            <v>82698.400000000052</v>
          </cell>
          <cell r="I1422">
            <v>1191.9999999998727</v>
          </cell>
          <cell r="J1422">
            <v>82846</v>
          </cell>
        </row>
        <row r="1423">
          <cell r="G1423">
            <v>1191.9999999998727</v>
          </cell>
          <cell r="H1423">
            <v>82846</v>
          </cell>
          <cell r="I1423">
            <v>1192.0999999998726</v>
          </cell>
          <cell r="J1423">
            <v>82995.399999999994</v>
          </cell>
        </row>
        <row r="1424">
          <cell r="G1424">
            <v>1192.0999999998726</v>
          </cell>
          <cell r="H1424">
            <v>82995.399999999994</v>
          </cell>
          <cell r="I1424">
            <v>1192.1999999998725</v>
          </cell>
          <cell r="J1424">
            <v>83144.800000000003</v>
          </cell>
        </row>
        <row r="1425">
          <cell r="G1425">
            <v>1192.1999999998725</v>
          </cell>
          <cell r="H1425">
            <v>83144.800000000003</v>
          </cell>
          <cell r="I1425">
            <v>1192.2999999998724</v>
          </cell>
          <cell r="J1425">
            <v>83294.2</v>
          </cell>
        </row>
        <row r="1426">
          <cell r="G1426">
            <v>1192.2999999998724</v>
          </cell>
          <cell r="H1426">
            <v>83294.2</v>
          </cell>
          <cell r="I1426">
            <v>1192.3999999998723</v>
          </cell>
          <cell r="J1426">
            <v>83443.600000000006</v>
          </cell>
        </row>
        <row r="1427">
          <cell r="G1427">
            <v>1192.3999999998723</v>
          </cell>
          <cell r="H1427">
            <v>83443.600000000006</v>
          </cell>
          <cell r="I1427">
            <v>1192.4999999998722</v>
          </cell>
          <cell r="J1427">
            <v>83593</v>
          </cell>
        </row>
        <row r="1428">
          <cell r="G1428">
            <v>1192.4999999998722</v>
          </cell>
          <cell r="H1428">
            <v>83593</v>
          </cell>
          <cell r="I1428">
            <v>1192.5999999998721</v>
          </cell>
          <cell r="J1428">
            <v>83742.399999999994</v>
          </cell>
        </row>
        <row r="1429">
          <cell r="G1429">
            <v>1192.5999999998721</v>
          </cell>
          <cell r="H1429">
            <v>83742.399999999994</v>
          </cell>
          <cell r="I1429">
            <v>1192.699999999872</v>
          </cell>
          <cell r="J1429">
            <v>83891.8</v>
          </cell>
        </row>
        <row r="1430">
          <cell r="G1430">
            <v>1192.699999999872</v>
          </cell>
          <cell r="H1430">
            <v>83891.8</v>
          </cell>
          <cell r="I1430">
            <v>1192.7999999998719</v>
          </cell>
          <cell r="J1430">
            <v>84041.2</v>
          </cell>
        </row>
        <row r="1431">
          <cell r="G1431">
            <v>1192.7999999998719</v>
          </cell>
          <cell r="H1431">
            <v>84041.2</v>
          </cell>
          <cell r="I1431">
            <v>1192.8999999998719</v>
          </cell>
          <cell r="J1431">
            <v>84190.599999999948</v>
          </cell>
        </row>
        <row r="1432">
          <cell r="G1432">
            <v>1192.8999999998719</v>
          </cell>
          <cell r="H1432">
            <v>84190.599999999948</v>
          </cell>
          <cell r="I1432">
            <v>1192.9999999998718</v>
          </cell>
          <cell r="J1432">
            <v>84340</v>
          </cell>
        </row>
        <row r="1433">
          <cell r="G1433">
            <v>1192.9999999998718</v>
          </cell>
          <cell r="H1433">
            <v>84340</v>
          </cell>
          <cell r="I1433">
            <v>1193.0999999998717</v>
          </cell>
          <cell r="J1433">
            <v>84491.3</v>
          </cell>
        </row>
        <row r="1434">
          <cell r="G1434">
            <v>1193.0999999998717</v>
          </cell>
          <cell r="H1434">
            <v>84491.3</v>
          </cell>
          <cell r="I1434">
            <v>1193.1999999998716</v>
          </cell>
          <cell r="J1434">
            <v>84642.6</v>
          </cell>
        </row>
        <row r="1435">
          <cell r="G1435">
            <v>1193.1999999998716</v>
          </cell>
          <cell r="H1435">
            <v>84642.6</v>
          </cell>
          <cell r="I1435">
            <v>1193.2999999998715</v>
          </cell>
          <cell r="J1435">
            <v>84793.9</v>
          </cell>
        </row>
        <row r="1436">
          <cell r="G1436">
            <v>1193.2999999998715</v>
          </cell>
          <cell r="H1436">
            <v>84793.9</v>
          </cell>
          <cell r="I1436">
            <v>1193.3999999998714</v>
          </cell>
          <cell r="J1436">
            <v>84945.2</v>
          </cell>
        </row>
        <row r="1437">
          <cell r="G1437">
            <v>1193.3999999998714</v>
          </cell>
          <cell r="H1437">
            <v>84945.2</v>
          </cell>
          <cell r="I1437">
            <v>1193.4999999998713</v>
          </cell>
          <cell r="J1437">
            <v>85096.5</v>
          </cell>
        </row>
        <row r="1438">
          <cell r="G1438">
            <v>1193.4999999998713</v>
          </cell>
          <cell r="H1438">
            <v>85096.5</v>
          </cell>
          <cell r="I1438">
            <v>1193.5999999998712</v>
          </cell>
          <cell r="J1438">
            <v>85247.8</v>
          </cell>
        </row>
        <row r="1439">
          <cell r="G1439">
            <v>1193.5999999998712</v>
          </cell>
          <cell r="H1439">
            <v>85247.8</v>
          </cell>
          <cell r="I1439">
            <v>1193.6999999998711</v>
          </cell>
          <cell r="J1439">
            <v>85399.1</v>
          </cell>
        </row>
        <row r="1440">
          <cell r="G1440">
            <v>1193.6999999998711</v>
          </cell>
          <cell r="H1440">
            <v>85399.1</v>
          </cell>
          <cell r="I1440">
            <v>1193.799999999871</v>
          </cell>
          <cell r="J1440">
            <v>85550.399999999994</v>
          </cell>
        </row>
        <row r="1441">
          <cell r="G1441">
            <v>1193.799999999871</v>
          </cell>
          <cell r="H1441">
            <v>85550.399999999994</v>
          </cell>
          <cell r="I1441">
            <v>1193.8999999998709</v>
          </cell>
          <cell r="J1441">
            <v>85701.7</v>
          </cell>
        </row>
        <row r="1442">
          <cell r="G1442">
            <v>1193.8999999998709</v>
          </cell>
          <cell r="H1442">
            <v>85701.7</v>
          </cell>
          <cell r="I1442">
            <v>1193.9999999998709</v>
          </cell>
          <cell r="J1442">
            <v>85853</v>
          </cell>
        </row>
        <row r="1443">
          <cell r="G1443">
            <v>1193.9999999998709</v>
          </cell>
          <cell r="H1443">
            <v>85853</v>
          </cell>
          <cell r="I1443">
            <v>1194.0999999998708</v>
          </cell>
          <cell r="J1443">
            <v>86006</v>
          </cell>
        </row>
        <row r="1444">
          <cell r="G1444">
            <v>1194.0999999998708</v>
          </cell>
          <cell r="H1444">
            <v>86006</v>
          </cell>
          <cell r="I1444">
            <v>1194.1999999998707</v>
          </cell>
          <cell r="J1444">
            <v>86159</v>
          </cell>
        </row>
        <row r="1445">
          <cell r="G1445">
            <v>1194.1999999998707</v>
          </cell>
          <cell r="H1445">
            <v>86159</v>
          </cell>
          <cell r="I1445">
            <v>1194.2999999998706</v>
          </cell>
          <cell r="J1445">
            <v>86312</v>
          </cell>
        </row>
        <row r="1446">
          <cell r="G1446">
            <v>1194.2999999998706</v>
          </cell>
          <cell r="H1446">
            <v>86312</v>
          </cell>
          <cell r="I1446">
            <v>1194.3999999998705</v>
          </cell>
          <cell r="J1446">
            <v>86465</v>
          </cell>
        </row>
        <row r="1447">
          <cell r="G1447">
            <v>1194.3999999998705</v>
          </cell>
          <cell r="H1447">
            <v>86465</v>
          </cell>
          <cell r="I1447">
            <v>1194.4999999998704</v>
          </cell>
          <cell r="J1447">
            <v>86618</v>
          </cell>
        </row>
        <row r="1448">
          <cell r="G1448">
            <v>1194.4999999998704</v>
          </cell>
          <cell r="H1448">
            <v>86618</v>
          </cell>
          <cell r="I1448">
            <v>1194.5999999998703</v>
          </cell>
          <cell r="J1448">
            <v>86771</v>
          </cell>
        </row>
        <row r="1449">
          <cell r="G1449">
            <v>1194.5999999998703</v>
          </cell>
          <cell r="H1449">
            <v>86771</v>
          </cell>
          <cell r="I1449">
            <v>1194.6999999998702</v>
          </cell>
          <cell r="J1449">
            <v>86924</v>
          </cell>
        </row>
        <row r="1450">
          <cell r="G1450">
            <v>1194.6999999998702</v>
          </cell>
          <cell r="H1450">
            <v>86924</v>
          </cell>
          <cell r="I1450">
            <v>1194.7999999998701</v>
          </cell>
          <cell r="J1450">
            <v>87077</v>
          </cell>
        </row>
        <row r="1451">
          <cell r="G1451">
            <v>1194.7999999998701</v>
          </cell>
          <cell r="H1451">
            <v>87077</v>
          </cell>
          <cell r="I1451">
            <v>1194.89999999987</v>
          </cell>
          <cell r="J1451">
            <v>87230</v>
          </cell>
        </row>
        <row r="1452">
          <cell r="G1452">
            <v>1194.89999999987</v>
          </cell>
          <cell r="H1452">
            <v>87230</v>
          </cell>
          <cell r="I1452">
            <v>1194.9999999998699</v>
          </cell>
          <cell r="J1452">
            <v>87383</v>
          </cell>
        </row>
        <row r="1453">
          <cell r="G1453">
            <v>1194.9999999998699</v>
          </cell>
          <cell r="H1453">
            <v>87383</v>
          </cell>
          <cell r="I1453">
            <v>1195.0999999998699</v>
          </cell>
          <cell r="J1453">
            <v>87537.9</v>
          </cell>
        </row>
        <row r="1454">
          <cell r="G1454">
            <v>1195.0999999998699</v>
          </cell>
          <cell r="H1454">
            <v>87537.9</v>
          </cell>
          <cell r="I1454">
            <v>1195.1999999998698</v>
          </cell>
          <cell r="J1454">
            <v>87692.800000000003</v>
          </cell>
        </row>
        <row r="1455">
          <cell r="G1455">
            <v>1195.1999999998698</v>
          </cell>
          <cell r="H1455">
            <v>87692.800000000003</v>
          </cell>
          <cell r="I1455">
            <v>1195.2999999998697</v>
          </cell>
          <cell r="J1455">
            <v>87847.7</v>
          </cell>
        </row>
        <row r="1456">
          <cell r="G1456">
            <v>1195.2999999998697</v>
          </cell>
          <cell r="H1456">
            <v>87847.7</v>
          </cell>
          <cell r="I1456">
            <v>1195.3999999998696</v>
          </cell>
          <cell r="J1456">
            <v>88002.6</v>
          </cell>
        </row>
        <row r="1457">
          <cell r="G1457">
            <v>1195.3999999998696</v>
          </cell>
          <cell r="H1457">
            <v>88002.6</v>
          </cell>
          <cell r="I1457">
            <v>1195.4999999998695</v>
          </cell>
          <cell r="J1457">
            <v>88157.5</v>
          </cell>
        </row>
        <row r="1458">
          <cell r="G1458">
            <v>1195.4999999998695</v>
          </cell>
          <cell r="H1458">
            <v>88157.5</v>
          </cell>
          <cell r="I1458">
            <v>1195.5999999998694</v>
          </cell>
          <cell r="J1458">
            <v>88312.4</v>
          </cell>
        </row>
        <row r="1459">
          <cell r="G1459">
            <v>1195.5999999998694</v>
          </cell>
          <cell r="H1459">
            <v>88312.4</v>
          </cell>
          <cell r="I1459">
            <v>1195.6999999998693</v>
          </cell>
          <cell r="J1459">
            <v>88467.3</v>
          </cell>
        </row>
        <row r="1460">
          <cell r="G1460">
            <v>1195.6999999998693</v>
          </cell>
          <cell r="H1460">
            <v>88467.3</v>
          </cell>
          <cell r="I1460">
            <v>1195.7999999998692</v>
          </cell>
          <cell r="J1460">
            <v>88622.2</v>
          </cell>
        </row>
        <row r="1461">
          <cell r="G1461">
            <v>1195.7999999998692</v>
          </cell>
          <cell r="H1461">
            <v>88622.2</v>
          </cell>
          <cell r="I1461">
            <v>1195.8999999998691</v>
          </cell>
          <cell r="J1461">
            <v>88777.099999999948</v>
          </cell>
        </row>
        <row r="1462">
          <cell r="G1462">
            <v>1195.8999999998691</v>
          </cell>
          <cell r="H1462">
            <v>88777.099999999948</v>
          </cell>
          <cell r="I1462">
            <v>1195.999999999869</v>
          </cell>
          <cell r="J1462">
            <v>88932</v>
          </cell>
        </row>
        <row r="1463">
          <cell r="G1463">
            <v>1195.999999999869</v>
          </cell>
          <cell r="H1463">
            <v>88932</v>
          </cell>
          <cell r="I1463">
            <v>1196.0999999998689</v>
          </cell>
          <cell r="J1463">
            <v>89088.8</v>
          </cell>
        </row>
        <row r="1464">
          <cell r="G1464">
            <v>1196.0999999998689</v>
          </cell>
          <cell r="H1464">
            <v>89088.8</v>
          </cell>
          <cell r="I1464">
            <v>1196.1999999998689</v>
          </cell>
          <cell r="J1464">
            <v>89245.6</v>
          </cell>
        </row>
        <row r="1465">
          <cell r="G1465">
            <v>1196.1999999998689</v>
          </cell>
          <cell r="H1465">
            <v>89245.6</v>
          </cell>
          <cell r="I1465">
            <v>1196.2999999998688</v>
          </cell>
          <cell r="J1465">
            <v>89402.4</v>
          </cell>
        </row>
        <row r="1466">
          <cell r="G1466">
            <v>1196.2999999998688</v>
          </cell>
          <cell r="H1466">
            <v>89402.4</v>
          </cell>
          <cell r="I1466">
            <v>1196.3999999998687</v>
          </cell>
          <cell r="J1466">
            <v>89559.2</v>
          </cell>
        </row>
        <row r="1467">
          <cell r="G1467">
            <v>1196.3999999998687</v>
          </cell>
          <cell r="H1467">
            <v>89559.2</v>
          </cell>
          <cell r="I1467">
            <v>1196.4999999998686</v>
          </cell>
          <cell r="J1467">
            <v>89716</v>
          </cell>
        </row>
        <row r="1468">
          <cell r="G1468">
            <v>1196.4999999998686</v>
          </cell>
          <cell r="H1468">
            <v>89716</v>
          </cell>
          <cell r="I1468">
            <v>1196.5999999998685</v>
          </cell>
          <cell r="J1468">
            <v>89872.8</v>
          </cell>
        </row>
        <row r="1469">
          <cell r="G1469">
            <v>1196.5999999998685</v>
          </cell>
          <cell r="H1469">
            <v>89872.8</v>
          </cell>
          <cell r="I1469">
            <v>1196.6999999998684</v>
          </cell>
          <cell r="J1469">
            <v>90029.6</v>
          </cell>
        </row>
        <row r="1470">
          <cell r="G1470">
            <v>1196.6999999998684</v>
          </cell>
          <cell r="H1470">
            <v>90029.6</v>
          </cell>
          <cell r="I1470">
            <v>1196.7999999998683</v>
          </cell>
          <cell r="J1470">
            <v>90186.4</v>
          </cell>
        </row>
        <row r="1471">
          <cell r="G1471">
            <v>1196.7999999998683</v>
          </cell>
          <cell r="H1471">
            <v>90186.4</v>
          </cell>
          <cell r="I1471">
            <v>1196.8999999998682</v>
          </cell>
          <cell r="J1471">
            <v>90343.2</v>
          </cell>
        </row>
        <row r="1472">
          <cell r="G1472">
            <v>1196.8999999998682</v>
          </cell>
          <cell r="H1472">
            <v>90343.2</v>
          </cell>
          <cell r="I1472">
            <v>1196.9999999998681</v>
          </cell>
          <cell r="J1472">
            <v>90500</v>
          </cell>
        </row>
        <row r="1473">
          <cell r="G1473">
            <v>1196.9999999998681</v>
          </cell>
          <cell r="H1473">
            <v>90500</v>
          </cell>
          <cell r="I1473">
            <v>1197.099999999868</v>
          </cell>
          <cell r="J1473">
            <v>90658.7</v>
          </cell>
        </row>
        <row r="1474">
          <cell r="G1474">
            <v>1197.099999999868</v>
          </cell>
          <cell r="H1474">
            <v>90658.7</v>
          </cell>
          <cell r="I1474">
            <v>1197.1999999998679</v>
          </cell>
          <cell r="J1474">
            <v>90817.4</v>
          </cell>
        </row>
        <row r="1475">
          <cell r="G1475">
            <v>1197.1999999998679</v>
          </cell>
          <cell r="H1475">
            <v>90817.4</v>
          </cell>
          <cell r="I1475">
            <v>1197.2999999998679</v>
          </cell>
          <cell r="J1475">
            <v>90976.1</v>
          </cell>
        </row>
        <row r="1476">
          <cell r="G1476">
            <v>1197.2999999998679</v>
          </cell>
          <cell r="H1476">
            <v>90976.1</v>
          </cell>
          <cell r="I1476">
            <v>1197.3999999998678</v>
          </cell>
          <cell r="J1476">
            <v>91134.8</v>
          </cell>
        </row>
        <row r="1477">
          <cell r="G1477">
            <v>1197.3999999998678</v>
          </cell>
          <cell r="H1477">
            <v>91134.8</v>
          </cell>
          <cell r="I1477">
            <v>1197.4999999998677</v>
          </cell>
          <cell r="J1477">
            <v>91293.5</v>
          </cell>
        </row>
        <row r="1478">
          <cell r="G1478">
            <v>1197.4999999998677</v>
          </cell>
          <cell r="H1478">
            <v>91293.5</v>
          </cell>
          <cell r="I1478">
            <v>1197.5999999998676</v>
          </cell>
          <cell r="J1478">
            <v>91452.2</v>
          </cell>
        </row>
        <row r="1479">
          <cell r="G1479">
            <v>1197.5999999998676</v>
          </cell>
          <cell r="H1479">
            <v>91452.2</v>
          </cell>
          <cell r="I1479">
            <v>1197.6999999998675</v>
          </cell>
          <cell r="J1479">
            <v>91610.9</v>
          </cell>
        </row>
        <row r="1480">
          <cell r="G1480">
            <v>1197.6999999998675</v>
          </cell>
          <cell r="H1480">
            <v>91610.9</v>
          </cell>
          <cell r="I1480">
            <v>1197.7999999998674</v>
          </cell>
          <cell r="J1480">
            <v>91769.600000000006</v>
          </cell>
        </row>
        <row r="1481">
          <cell r="G1481">
            <v>1197.7999999998674</v>
          </cell>
          <cell r="H1481">
            <v>91769.600000000006</v>
          </cell>
          <cell r="I1481">
            <v>1197.8999999998673</v>
          </cell>
          <cell r="J1481">
            <v>91928.3</v>
          </cell>
        </row>
        <row r="1482">
          <cell r="G1482">
            <v>1197.8999999998673</v>
          </cell>
          <cell r="H1482">
            <v>91928.3</v>
          </cell>
          <cell r="I1482">
            <v>1197.9999999998672</v>
          </cell>
          <cell r="J1482">
            <v>92087</v>
          </cell>
        </row>
        <row r="1483">
          <cell r="G1483">
            <v>1197.9999999998672</v>
          </cell>
          <cell r="H1483">
            <v>92087</v>
          </cell>
          <cell r="I1483">
            <v>1198.0999999998671</v>
          </cell>
          <cell r="J1483">
            <v>92247.5</v>
          </cell>
        </row>
        <row r="1484">
          <cell r="G1484">
            <v>1198.0999999998671</v>
          </cell>
          <cell r="H1484">
            <v>92247.5</v>
          </cell>
          <cell r="I1484">
            <v>1198.199999999867</v>
          </cell>
          <cell r="J1484">
            <v>92408</v>
          </cell>
        </row>
        <row r="1485">
          <cell r="G1485">
            <v>1198.199999999867</v>
          </cell>
          <cell r="H1485">
            <v>92408</v>
          </cell>
          <cell r="I1485">
            <v>1198.2999999998669</v>
          </cell>
          <cell r="J1485">
            <v>92568.5</v>
          </cell>
        </row>
        <row r="1486">
          <cell r="G1486">
            <v>1198.2999999998669</v>
          </cell>
          <cell r="H1486">
            <v>92568.5</v>
          </cell>
          <cell r="I1486">
            <v>1198.3999999998668</v>
          </cell>
          <cell r="J1486">
            <v>92729</v>
          </cell>
        </row>
        <row r="1487">
          <cell r="G1487">
            <v>1198.3999999998668</v>
          </cell>
          <cell r="H1487">
            <v>92729</v>
          </cell>
          <cell r="I1487">
            <v>1198.4999999998668</v>
          </cell>
          <cell r="J1487">
            <v>92889.5</v>
          </cell>
        </row>
        <row r="1488">
          <cell r="G1488">
            <v>1198.4999999998668</v>
          </cell>
          <cell r="H1488">
            <v>92889.5</v>
          </cell>
          <cell r="I1488">
            <v>1198.5999999998667</v>
          </cell>
          <cell r="J1488">
            <v>93050</v>
          </cell>
        </row>
        <row r="1489">
          <cell r="G1489">
            <v>1198.5999999998667</v>
          </cell>
          <cell r="H1489">
            <v>93050</v>
          </cell>
          <cell r="I1489">
            <v>1198.6999999998666</v>
          </cell>
          <cell r="J1489">
            <v>93210.5</v>
          </cell>
        </row>
        <row r="1490">
          <cell r="G1490">
            <v>1198.6999999998666</v>
          </cell>
          <cell r="H1490">
            <v>93210.5</v>
          </cell>
          <cell r="I1490">
            <v>1198.7999999998665</v>
          </cell>
          <cell r="J1490">
            <v>93371</v>
          </cell>
        </row>
        <row r="1491">
          <cell r="G1491">
            <v>1198.7999999998665</v>
          </cell>
          <cell r="H1491">
            <v>93371</v>
          </cell>
          <cell r="I1491">
            <v>1198.8999999998664</v>
          </cell>
          <cell r="J1491">
            <v>93531.5</v>
          </cell>
        </row>
        <row r="1492">
          <cell r="G1492">
            <v>1198.8999999998664</v>
          </cell>
          <cell r="H1492">
            <v>93531.5</v>
          </cell>
          <cell r="I1492">
            <v>1198.9999999998663</v>
          </cell>
          <cell r="J1492">
            <v>93692</v>
          </cell>
        </row>
        <row r="1493">
          <cell r="G1493">
            <v>1198.9999999998663</v>
          </cell>
          <cell r="H1493">
            <v>93692</v>
          </cell>
          <cell r="I1493">
            <v>1199.0999999998662</v>
          </cell>
          <cell r="J1493">
            <v>93854.399999999994</v>
          </cell>
        </row>
        <row r="1494">
          <cell r="G1494">
            <v>1199.0999999998662</v>
          </cell>
          <cell r="H1494">
            <v>93854.399999999994</v>
          </cell>
          <cell r="I1494">
            <v>1199.1999999998661</v>
          </cell>
          <cell r="J1494">
            <v>94016.8</v>
          </cell>
        </row>
        <row r="1495">
          <cell r="G1495">
            <v>1199.1999999998661</v>
          </cell>
          <cell r="H1495">
            <v>94016.8</v>
          </cell>
          <cell r="I1495">
            <v>1199.299999999866</v>
          </cell>
          <cell r="J1495">
            <v>94179.199999999997</v>
          </cell>
        </row>
        <row r="1496">
          <cell r="G1496">
            <v>1199.299999999866</v>
          </cell>
          <cell r="H1496">
            <v>94179.199999999997</v>
          </cell>
          <cell r="I1496">
            <v>1199.3999999998659</v>
          </cell>
          <cell r="J1496">
            <v>94341.6</v>
          </cell>
        </row>
        <row r="1497">
          <cell r="G1497">
            <v>1199.3999999998659</v>
          </cell>
          <cell r="H1497">
            <v>94341.6</v>
          </cell>
          <cell r="I1497">
            <v>1199.4999999998658</v>
          </cell>
          <cell r="J1497">
            <v>94504</v>
          </cell>
        </row>
        <row r="1498">
          <cell r="G1498">
            <v>1199.4999999998658</v>
          </cell>
          <cell r="H1498">
            <v>94504</v>
          </cell>
          <cell r="I1498">
            <v>1199.5999999998658</v>
          </cell>
          <cell r="J1498">
            <v>94666.4</v>
          </cell>
        </row>
        <row r="1499">
          <cell r="G1499">
            <v>1199.5999999998658</v>
          </cell>
          <cell r="H1499">
            <v>94666.4</v>
          </cell>
          <cell r="I1499">
            <v>1199.6999999998657</v>
          </cell>
          <cell r="J1499">
            <v>94828.800000000003</v>
          </cell>
        </row>
        <row r="1500">
          <cell r="G1500">
            <v>1199.6999999998657</v>
          </cell>
          <cell r="H1500">
            <v>94828.800000000003</v>
          </cell>
          <cell r="I1500">
            <v>1199.7999999998656</v>
          </cell>
          <cell r="J1500">
            <v>94991.2</v>
          </cell>
        </row>
        <row r="1501">
          <cell r="G1501">
            <v>1199.7999999998656</v>
          </cell>
          <cell r="H1501">
            <v>94991.2</v>
          </cell>
          <cell r="I1501">
            <v>1199.8999999998655</v>
          </cell>
          <cell r="J1501">
            <v>95153.599999999948</v>
          </cell>
        </row>
        <row r="1502">
          <cell r="G1502">
            <v>1199.8999999998655</v>
          </cell>
          <cell r="H1502">
            <v>95153.599999999948</v>
          </cell>
          <cell r="I1502">
            <v>1199.9999999998654</v>
          </cell>
          <cell r="J1502">
            <v>95316</v>
          </cell>
        </row>
        <row r="1503">
          <cell r="G1503">
            <v>1199.9999999998654</v>
          </cell>
          <cell r="H1503">
            <v>95316</v>
          </cell>
          <cell r="I1503">
            <v>1200.0999999998653</v>
          </cell>
          <cell r="J1503">
            <v>95480.3</v>
          </cell>
        </row>
        <row r="1504">
          <cell r="G1504">
            <v>1200.0999999998653</v>
          </cell>
          <cell r="H1504">
            <v>95480.3</v>
          </cell>
          <cell r="I1504">
            <v>1200.1999999998652</v>
          </cell>
          <cell r="J1504">
            <v>95644.6</v>
          </cell>
        </row>
        <row r="1505">
          <cell r="G1505">
            <v>1200.1999999998652</v>
          </cell>
          <cell r="H1505">
            <v>95644.6</v>
          </cell>
          <cell r="I1505">
            <v>1200.2999999998651</v>
          </cell>
          <cell r="J1505">
            <v>95808.9</v>
          </cell>
        </row>
        <row r="1506">
          <cell r="G1506">
            <v>1200.2999999998651</v>
          </cell>
          <cell r="H1506">
            <v>95808.9</v>
          </cell>
          <cell r="I1506">
            <v>1200.399999999865</v>
          </cell>
          <cell r="J1506">
            <v>95973.2</v>
          </cell>
        </row>
        <row r="1507">
          <cell r="G1507">
            <v>1200.399999999865</v>
          </cell>
          <cell r="H1507">
            <v>95973.2</v>
          </cell>
          <cell r="I1507">
            <v>1200.4999999998649</v>
          </cell>
          <cell r="J1507">
            <v>96137.5</v>
          </cell>
        </row>
        <row r="1508">
          <cell r="G1508">
            <v>1200.4999999998649</v>
          </cell>
          <cell r="H1508">
            <v>96137.5</v>
          </cell>
          <cell r="I1508">
            <v>1200.5999999998648</v>
          </cell>
          <cell r="J1508">
            <v>96301.8</v>
          </cell>
        </row>
        <row r="1509">
          <cell r="G1509">
            <v>1200.5999999998648</v>
          </cell>
          <cell r="H1509">
            <v>96301.8</v>
          </cell>
          <cell r="I1509">
            <v>1200.6999999998648</v>
          </cell>
          <cell r="J1509">
            <v>96466.1</v>
          </cell>
        </row>
        <row r="1510">
          <cell r="G1510">
            <v>1200.6999999998648</v>
          </cell>
          <cell r="H1510">
            <v>96466.1</v>
          </cell>
          <cell r="I1510">
            <v>1200.7999999998647</v>
          </cell>
          <cell r="J1510">
            <v>96630.399999999994</v>
          </cell>
        </row>
        <row r="1511">
          <cell r="G1511">
            <v>1200.7999999998647</v>
          </cell>
          <cell r="H1511">
            <v>96630.399999999994</v>
          </cell>
          <cell r="I1511">
            <v>1200.8999999998646</v>
          </cell>
          <cell r="J1511">
            <v>96794.7</v>
          </cell>
        </row>
        <row r="1512">
          <cell r="G1512">
            <v>1200.8999999998646</v>
          </cell>
          <cell r="H1512">
            <v>96794.7</v>
          </cell>
          <cell r="I1512">
            <v>1200.9999999998645</v>
          </cell>
          <cell r="J1512">
            <v>96959</v>
          </cell>
        </row>
        <row r="1513">
          <cell r="G1513">
            <v>1200.9999999998645</v>
          </cell>
          <cell r="H1513">
            <v>96959</v>
          </cell>
          <cell r="I1513">
            <v>1201.0999999998644</v>
          </cell>
          <cell r="J1513">
            <v>97125.2</v>
          </cell>
        </row>
        <row r="1514">
          <cell r="G1514">
            <v>1201.0999999998644</v>
          </cell>
          <cell r="H1514">
            <v>97125.2</v>
          </cell>
          <cell r="I1514">
            <v>1201.1999999998643</v>
          </cell>
          <cell r="J1514">
            <v>97291.4</v>
          </cell>
        </row>
        <row r="1515">
          <cell r="G1515">
            <v>1201.1999999998643</v>
          </cell>
          <cell r="H1515">
            <v>97291.4</v>
          </cell>
          <cell r="I1515">
            <v>1201.2999999998642</v>
          </cell>
          <cell r="J1515">
            <v>97457.600000000006</v>
          </cell>
        </row>
        <row r="1516">
          <cell r="G1516">
            <v>1201.2999999998642</v>
          </cell>
          <cell r="H1516">
            <v>97457.600000000006</v>
          </cell>
          <cell r="I1516">
            <v>1201.3999999998641</v>
          </cell>
          <cell r="J1516">
            <v>97623.8</v>
          </cell>
        </row>
        <row r="1517">
          <cell r="G1517">
            <v>1201.3999999998641</v>
          </cell>
          <cell r="H1517">
            <v>97623.8</v>
          </cell>
          <cell r="I1517">
            <v>1201.499999999864</v>
          </cell>
          <cell r="J1517">
            <v>97790</v>
          </cell>
        </row>
        <row r="1518">
          <cell r="G1518">
            <v>1201.499999999864</v>
          </cell>
          <cell r="H1518">
            <v>97790</v>
          </cell>
          <cell r="I1518">
            <v>1201.5999999998639</v>
          </cell>
          <cell r="J1518">
            <v>97956.2</v>
          </cell>
        </row>
        <row r="1519">
          <cell r="G1519">
            <v>1201.5999999998639</v>
          </cell>
          <cell r="H1519">
            <v>97956.2</v>
          </cell>
          <cell r="I1519">
            <v>1201.6999999998638</v>
          </cell>
          <cell r="J1519">
            <v>98122.4</v>
          </cell>
        </row>
        <row r="1520">
          <cell r="G1520">
            <v>1201.6999999998638</v>
          </cell>
          <cell r="H1520">
            <v>98122.4</v>
          </cell>
          <cell r="I1520">
            <v>1201.7999999998638</v>
          </cell>
          <cell r="J1520">
            <v>98288.6</v>
          </cell>
        </row>
        <row r="1521">
          <cell r="G1521">
            <v>1201.7999999998638</v>
          </cell>
          <cell r="H1521">
            <v>98288.6</v>
          </cell>
          <cell r="I1521">
            <v>1201.8999999998637</v>
          </cell>
          <cell r="J1521">
            <v>98454.8</v>
          </cell>
        </row>
        <row r="1522">
          <cell r="G1522">
            <v>1201.8999999998637</v>
          </cell>
          <cell r="H1522">
            <v>98454.8</v>
          </cell>
          <cell r="I1522">
            <v>1201.9999999998636</v>
          </cell>
          <cell r="J1522">
            <v>98621</v>
          </cell>
        </row>
        <row r="1523">
          <cell r="G1523">
            <v>1201.9999999998636</v>
          </cell>
          <cell r="H1523">
            <v>98621</v>
          </cell>
          <cell r="I1523">
            <v>1202.0999999998635</v>
          </cell>
          <cell r="J1523">
            <v>98789.2</v>
          </cell>
        </row>
        <row r="1524">
          <cell r="G1524">
            <v>1202.0999999998635</v>
          </cell>
          <cell r="H1524">
            <v>98789.2</v>
          </cell>
          <cell r="I1524">
            <v>1202.1999999998634</v>
          </cell>
          <cell r="J1524">
            <v>98957.4</v>
          </cell>
        </row>
        <row r="1525">
          <cell r="G1525">
            <v>1202.1999999998634</v>
          </cell>
          <cell r="H1525">
            <v>98957.4</v>
          </cell>
          <cell r="I1525">
            <v>1202.2999999998633</v>
          </cell>
          <cell r="J1525">
            <v>99125.6</v>
          </cell>
        </row>
        <row r="1526">
          <cell r="G1526">
            <v>1202.2999999998633</v>
          </cell>
          <cell r="H1526">
            <v>99125.6</v>
          </cell>
          <cell r="I1526">
            <v>1202.3999999998632</v>
          </cell>
          <cell r="J1526">
            <v>99293.8</v>
          </cell>
        </row>
        <row r="1527">
          <cell r="G1527">
            <v>1202.3999999998632</v>
          </cell>
          <cell r="H1527">
            <v>99293.8</v>
          </cell>
          <cell r="I1527">
            <v>1202.4999999998631</v>
          </cell>
          <cell r="J1527">
            <v>99462</v>
          </cell>
        </row>
        <row r="1528">
          <cell r="G1528">
            <v>1202.4999999998631</v>
          </cell>
          <cell r="H1528">
            <v>99462</v>
          </cell>
          <cell r="I1528">
            <v>1202.599999999863</v>
          </cell>
          <cell r="J1528">
            <v>99630.2</v>
          </cell>
        </row>
        <row r="1529">
          <cell r="G1529">
            <v>1202.599999999863</v>
          </cell>
          <cell r="H1529">
            <v>99630.2</v>
          </cell>
          <cell r="I1529">
            <v>1202.6999999998629</v>
          </cell>
          <cell r="J1529">
            <v>99798.399999999994</v>
          </cell>
        </row>
        <row r="1530">
          <cell r="G1530">
            <v>1202.6999999998629</v>
          </cell>
          <cell r="H1530">
            <v>99798.399999999994</v>
          </cell>
          <cell r="I1530">
            <v>1202.7999999998628</v>
          </cell>
          <cell r="J1530">
            <v>99966.6</v>
          </cell>
        </row>
        <row r="1531">
          <cell r="G1531">
            <v>1202.7999999998628</v>
          </cell>
          <cell r="H1531">
            <v>99966.6</v>
          </cell>
          <cell r="I1531">
            <v>1202.8999999998628</v>
          </cell>
          <cell r="J1531">
            <v>100134.8</v>
          </cell>
        </row>
        <row r="1532">
          <cell r="G1532">
            <v>1202.8999999998628</v>
          </cell>
          <cell r="H1532">
            <v>100134.8</v>
          </cell>
          <cell r="I1532">
            <v>1202.9999999998627</v>
          </cell>
          <cell r="J1532">
            <v>100303</v>
          </cell>
        </row>
        <row r="1533">
          <cell r="G1533">
            <v>1202.9999999998627</v>
          </cell>
          <cell r="H1533">
            <v>100303</v>
          </cell>
          <cell r="I1533">
            <v>1203.0999999998626</v>
          </cell>
          <cell r="J1533">
            <v>100473</v>
          </cell>
        </row>
        <row r="1534">
          <cell r="G1534">
            <v>1203.0999999998626</v>
          </cell>
          <cell r="H1534">
            <v>100473</v>
          </cell>
          <cell r="I1534">
            <v>1203.1999999998625</v>
          </cell>
          <cell r="J1534">
            <v>100643</v>
          </cell>
        </row>
        <row r="1535">
          <cell r="G1535">
            <v>1203.1999999998625</v>
          </cell>
          <cell r="H1535">
            <v>100643</v>
          </cell>
          <cell r="I1535">
            <v>1203.2999999998624</v>
          </cell>
          <cell r="J1535">
            <v>100813</v>
          </cell>
        </row>
        <row r="1536">
          <cell r="G1536">
            <v>1203.2999999998624</v>
          </cell>
          <cell r="H1536">
            <v>100813</v>
          </cell>
          <cell r="I1536">
            <v>1203.3999999998623</v>
          </cell>
          <cell r="J1536">
            <v>100983</v>
          </cell>
        </row>
        <row r="1537">
          <cell r="G1537">
            <v>1203.3999999998623</v>
          </cell>
          <cell r="H1537">
            <v>100983</v>
          </cell>
          <cell r="I1537">
            <v>1203.4999999998622</v>
          </cell>
          <cell r="J1537">
            <v>101153</v>
          </cell>
        </row>
        <row r="1538">
          <cell r="G1538">
            <v>1203.4999999998622</v>
          </cell>
          <cell r="H1538">
            <v>101153</v>
          </cell>
          <cell r="I1538">
            <v>1203.5999999998621</v>
          </cell>
          <cell r="J1538">
            <v>101323</v>
          </cell>
        </row>
        <row r="1539">
          <cell r="G1539">
            <v>1203.5999999998621</v>
          </cell>
          <cell r="H1539">
            <v>101323</v>
          </cell>
          <cell r="I1539">
            <v>1203.699999999862</v>
          </cell>
          <cell r="J1539">
            <v>101493</v>
          </cell>
        </row>
        <row r="1540">
          <cell r="G1540">
            <v>1203.699999999862</v>
          </cell>
          <cell r="H1540">
            <v>101493</v>
          </cell>
          <cell r="I1540">
            <v>1203.7999999998619</v>
          </cell>
          <cell r="J1540">
            <v>101663</v>
          </cell>
        </row>
        <row r="1541">
          <cell r="G1541">
            <v>1203.7999999998619</v>
          </cell>
          <cell r="H1541">
            <v>101663</v>
          </cell>
          <cell r="I1541">
            <v>1203.8999999998618</v>
          </cell>
          <cell r="J1541">
            <v>101833</v>
          </cell>
        </row>
        <row r="1542">
          <cell r="G1542">
            <v>1203.8999999998618</v>
          </cell>
          <cell r="H1542">
            <v>101833</v>
          </cell>
          <cell r="I1542">
            <v>1203.9999999998618</v>
          </cell>
          <cell r="J1542">
            <v>102003</v>
          </cell>
        </row>
        <row r="1543">
          <cell r="G1543">
            <v>1203.9999999998618</v>
          </cell>
          <cell r="H1543">
            <v>102003</v>
          </cell>
          <cell r="I1543">
            <v>1204.0999999998617</v>
          </cell>
          <cell r="J1543">
            <v>102175.1</v>
          </cell>
        </row>
        <row r="1544">
          <cell r="G1544">
            <v>1204.0999999998617</v>
          </cell>
          <cell r="H1544">
            <v>102175.1</v>
          </cell>
          <cell r="I1544">
            <v>1204.1999999998616</v>
          </cell>
          <cell r="J1544">
            <v>102347.2</v>
          </cell>
        </row>
        <row r="1545">
          <cell r="G1545">
            <v>1204.1999999998616</v>
          </cell>
          <cell r="H1545">
            <v>102347.2</v>
          </cell>
          <cell r="I1545">
            <v>1204.2999999998615</v>
          </cell>
          <cell r="J1545">
            <v>102519.3</v>
          </cell>
        </row>
        <row r="1546">
          <cell r="G1546">
            <v>1204.2999999998615</v>
          </cell>
          <cell r="H1546">
            <v>102519.3</v>
          </cell>
          <cell r="I1546">
            <v>1204.3999999998614</v>
          </cell>
          <cell r="J1546">
            <v>102691.4</v>
          </cell>
        </row>
        <row r="1547">
          <cell r="G1547">
            <v>1204.3999999998614</v>
          </cell>
          <cell r="H1547">
            <v>102691.4</v>
          </cell>
          <cell r="I1547">
            <v>1204.4999999998613</v>
          </cell>
          <cell r="J1547">
            <v>102863.5</v>
          </cell>
        </row>
        <row r="1548">
          <cell r="G1548">
            <v>1204.4999999998613</v>
          </cell>
          <cell r="H1548">
            <v>102863.5</v>
          </cell>
          <cell r="I1548">
            <v>1204.5999999998612</v>
          </cell>
          <cell r="J1548">
            <v>103035.6</v>
          </cell>
        </row>
        <row r="1549">
          <cell r="G1549">
            <v>1204.5999999998612</v>
          </cell>
          <cell r="H1549">
            <v>103035.6</v>
          </cell>
          <cell r="I1549">
            <v>1204.6999999998611</v>
          </cell>
          <cell r="J1549">
            <v>103207.7</v>
          </cell>
        </row>
        <row r="1550">
          <cell r="G1550">
            <v>1204.6999999998611</v>
          </cell>
          <cell r="H1550">
            <v>103207.7</v>
          </cell>
          <cell r="I1550">
            <v>1204.799999999861</v>
          </cell>
          <cell r="J1550">
            <v>103379.8</v>
          </cell>
        </row>
        <row r="1551">
          <cell r="G1551">
            <v>1204.799999999861</v>
          </cell>
          <cell r="H1551">
            <v>103379.8</v>
          </cell>
          <cell r="I1551">
            <v>1204.8999999998609</v>
          </cell>
          <cell r="J1551">
            <v>103551.9</v>
          </cell>
        </row>
        <row r="1552">
          <cell r="G1552">
            <v>1204.8999999998609</v>
          </cell>
          <cell r="H1552">
            <v>103551.9</v>
          </cell>
          <cell r="I1552">
            <v>1204.9999999998608</v>
          </cell>
          <cell r="J1552">
            <v>103724</v>
          </cell>
        </row>
        <row r="1553">
          <cell r="G1553">
            <v>1204.9999999998608</v>
          </cell>
          <cell r="H1553">
            <v>103724</v>
          </cell>
          <cell r="I1553">
            <v>1205.0999999998608</v>
          </cell>
          <cell r="J1553">
            <v>103897.9</v>
          </cell>
        </row>
        <row r="1554">
          <cell r="G1554">
            <v>1205.0999999998608</v>
          </cell>
          <cell r="H1554">
            <v>103897.9</v>
          </cell>
          <cell r="I1554">
            <v>1205.1999999998607</v>
          </cell>
          <cell r="J1554">
            <v>104071.8</v>
          </cell>
        </row>
        <row r="1555">
          <cell r="G1555">
            <v>1205.1999999998607</v>
          </cell>
          <cell r="H1555">
            <v>104071.8</v>
          </cell>
          <cell r="I1555">
            <v>1205.2999999998606</v>
          </cell>
          <cell r="J1555">
            <v>104245.7</v>
          </cell>
        </row>
        <row r="1556">
          <cell r="G1556">
            <v>1205.2999999998606</v>
          </cell>
          <cell r="H1556">
            <v>104245.7</v>
          </cell>
          <cell r="I1556">
            <v>1205.3999999998605</v>
          </cell>
          <cell r="J1556">
            <v>104419.6</v>
          </cell>
        </row>
        <row r="1557">
          <cell r="G1557">
            <v>1205.3999999998605</v>
          </cell>
          <cell r="H1557">
            <v>104419.6</v>
          </cell>
          <cell r="I1557">
            <v>1205.4999999998604</v>
          </cell>
          <cell r="J1557">
            <v>104593.5</v>
          </cell>
        </row>
        <row r="1558">
          <cell r="G1558">
            <v>1205.4999999998604</v>
          </cell>
          <cell r="H1558">
            <v>104593.5</v>
          </cell>
          <cell r="I1558">
            <v>1205.5999999998603</v>
          </cell>
          <cell r="J1558">
            <v>104767.4</v>
          </cell>
        </row>
        <row r="1559">
          <cell r="G1559">
            <v>1205.5999999998603</v>
          </cell>
          <cell r="H1559">
            <v>104767.4</v>
          </cell>
          <cell r="I1559">
            <v>1205.6999999998602</v>
          </cell>
          <cell r="J1559">
            <v>104941.3</v>
          </cell>
        </row>
        <row r="1560">
          <cell r="G1560">
            <v>1205.6999999998602</v>
          </cell>
          <cell r="H1560">
            <v>104941.3</v>
          </cell>
          <cell r="I1560">
            <v>1205.7999999998601</v>
          </cell>
          <cell r="J1560">
            <v>105115.2</v>
          </cell>
        </row>
        <row r="1561">
          <cell r="G1561">
            <v>1205.7999999998601</v>
          </cell>
          <cell r="H1561">
            <v>105115.2</v>
          </cell>
          <cell r="I1561">
            <v>1205.89999999986</v>
          </cell>
          <cell r="J1561">
            <v>105289.1</v>
          </cell>
        </row>
        <row r="1562">
          <cell r="G1562">
            <v>1205.89999999986</v>
          </cell>
          <cell r="H1562">
            <v>105289.1</v>
          </cell>
          <cell r="I1562">
            <v>1205.9999999998599</v>
          </cell>
          <cell r="J1562">
            <v>105463</v>
          </cell>
        </row>
        <row r="1563">
          <cell r="G1563">
            <v>1205.9999999998599</v>
          </cell>
          <cell r="H1563">
            <v>105463</v>
          </cell>
          <cell r="I1563">
            <v>1206.0999999998598</v>
          </cell>
          <cell r="J1563">
            <v>105639</v>
          </cell>
        </row>
        <row r="1564">
          <cell r="G1564">
            <v>1206.0999999998598</v>
          </cell>
          <cell r="H1564">
            <v>105639</v>
          </cell>
          <cell r="I1564">
            <v>1206.1999999998598</v>
          </cell>
          <cell r="J1564">
            <v>105815</v>
          </cell>
        </row>
        <row r="1565">
          <cell r="G1565">
            <v>1206.1999999998598</v>
          </cell>
          <cell r="H1565">
            <v>105815</v>
          </cell>
          <cell r="I1565">
            <v>1206.2999999998597</v>
          </cell>
          <cell r="J1565">
            <v>105991</v>
          </cell>
        </row>
        <row r="1566">
          <cell r="G1566">
            <v>1206.2999999998597</v>
          </cell>
          <cell r="H1566">
            <v>105991</v>
          </cell>
          <cell r="I1566">
            <v>1206.3999999998596</v>
          </cell>
          <cell r="J1566">
            <v>106167</v>
          </cell>
        </row>
        <row r="1567">
          <cell r="G1567">
            <v>1206.3999999998596</v>
          </cell>
          <cell r="H1567">
            <v>106167</v>
          </cell>
          <cell r="I1567">
            <v>1206.4999999998595</v>
          </cell>
          <cell r="J1567">
            <v>106343</v>
          </cell>
        </row>
        <row r="1568">
          <cell r="G1568">
            <v>1206.4999999998595</v>
          </cell>
          <cell r="H1568">
            <v>106343</v>
          </cell>
          <cell r="I1568">
            <v>1206.5999999998594</v>
          </cell>
          <cell r="J1568">
            <v>106519</v>
          </cell>
        </row>
        <row r="1569">
          <cell r="G1569">
            <v>1206.5999999998594</v>
          </cell>
          <cell r="H1569">
            <v>106519</v>
          </cell>
          <cell r="I1569">
            <v>1206.6999999998593</v>
          </cell>
          <cell r="J1569">
            <v>106695</v>
          </cell>
        </row>
        <row r="1570">
          <cell r="G1570">
            <v>1206.6999999998593</v>
          </cell>
          <cell r="H1570">
            <v>106695</v>
          </cell>
          <cell r="I1570">
            <v>1206.7999999998592</v>
          </cell>
          <cell r="J1570">
            <v>106871</v>
          </cell>
        </row>
        <row r="1571">
          <cell r="G1571">
            <v>1206.7999999998592</v>
          </cell>
          <cell r="H1571">
            <v>106871</v>
          </cell>
          <cell r="I1571">
            <v>1206.8999999998591</v>
          </cell>
          <cell r="J1571">
            <v>107047</v>
          </cell>
        </row>
        <row r="1572">
          <cell r="G1572">
            <v>1206.8999999998591</v>
          </cell>
          <cell r="H1572">
            <v>107047</v>
          </cell>
          <cell r="I1572">
            <v>1206.999999999859</v>
          </cell>
          <cell r="J1572">
            <v>107223</v>
          </cell>
        </row>
        <row r="1573">
          <cell r="G1573">
            <v>1206.999999999859</v>
          </cell>
          <cell r="H1573">
            <v>107223</v>
          </cell>
          <cell r="I1573">
            <v>1207.0999999998589</v>
          </cell>
          <cell r="J1573">
            <v>107401</v>
          </cell>
        </row>
        <row r="1574">
          <cell r="G1574">
            <v>1207.0999999998589</v>
          </cell>
          <cell r="H1574">
            <v>107401</v>
          </cell>
          <cell r="I1574">
            <v>1207.1999999998588</v>
          </cell>
          <cell r="J1574">
            <v>107579</v>
          </cell>
        </row>
        <row r="1575">
          <cell r="G1575">
            <v>1207.1999999998588</v>
          </cell>
          <cell r="H1575">
            <v>107579</v>
          </cell>
          <cell r="I1575">
            <v>1207.2999999998588</v>
          </cell>
          <cell r="J1575">
            <v>107757</v>
          </cell>
        </row>
        <row r="1576">
          <cell r="G1576">
            <v>1207.2999999998588</v>
          </cell>
          <cell r="H1576">
            <v>107757</v>
          </cell>
          <cell r="I1576">
            <v>1207.3999999998587</v>
          </cell>
          <cell r="J1576">
            <v>107935</v>
          </cell>
        </row>
        <row r="1577">
          <cell r="G1577">
            <v>1207.3999999998587</v>
          </cell>
          <cell r="H1577">
            <v>107935</v>
          </cell>
          <cell r="I1577">
            <v>1207.4999999998586</v>
          </cell>
          <cell r="J1577">
            <v>108113</v>
          </cell>
        </row>
        <row r="1578">
          <cell r="G1578">
            <v>1207.4999999998586</v>
          </cell>
          <cell r="H1578">
            <v>108113</v>
          </cell>
          <cell r="I1578">
            <v>1207.5999999998585</v>
          </cell>
          <cell r="J1578">
            <v>108291</v>
          </cell>
        </row>
        <row r="1579">
          <cell r="G1579">
            <v>1207.5999999998585</v>
          </cell>
          <cell r="H1579">
            <v>108291</v>
          </cell>
          <cell r="I1579">
            <v>1207.6999999998584</v>
          </cell>
          <cell r="J1579">
            <v>108469</v>
          </cell>
        </row>
        <row r="1580">
          <cell r="G1580">
            <v>1207.6999999998584</v>
          </cell>
          <cell r="H1580">
            <v>108469</v>
          </cell>
          <cell r="I1580">
            <v>1207.7999999998583</v>
          </cell>
          <cell r="J1580">
            <v>108647</v>
          </cell>
        </row>
        <row r="1581">
          <cell r="G1581">
            <v>1207.7999999998583</v>
          </cell>
          <cell r="H1581">
            <v>108647</v>
          </cell>
          <cell r="I1581">
            <v>1207.8999999998582</v>
          </cell>
          <cell r="J1581">
            <v>108825</v>
          </cell>
        </row>
        <row r="1582">
          <cell r="G1582">
            <v>1207.8999999998582</v>
          </cell>
          <cell r="H1582">
            <v>108825</v>
          </cell>
          <cell r="I1582">
            <v>1207.9999999998581</v>
          </cell>
          <cell r="J1582">
            <v>109003</v>
          </cell>
        </row>
        <row r="1583">
          <cell r="G1583">
            <v>1207.9999999998581</v>
          </cell>
          <cell r="H1583">
            <v>109003</v>
          </cell>
          <cell r="I1583">
            <v>1208.099999999858</v>
          </cell>
          <cell r="J1583">
            <v>109183</v>
          </cell>
        </row>
        <row r="1584">
          <cell r="G1584">
            <v>1208.099999999858</v>
          </cell>
          <cell r="H1584">
            <v>109183</v>
          </cell>
          <cell r="I1584">
            <v>1208.1999999998579</v>
          </cell>
          <cell r="J1584">
            <v>109363</v>
          </cell>
        </row>
        <row r="1585">
          <cell r="G1585">
            <v>1208.1999999998579</v>
          </cell>
          <cell r="H1585">
            <v>109363</v>
          </cell>
          <cell r="I1585">
            <v>1208.2999999998578</v>
          </cell>
          <cell r="J1585">
            <v>109543</v>
          </cell>
        </row>
        <row r="1586">
          <cell r="G1586">
            <v>1208.2999999998578</v>
          </cell>
          <cell r="H1586">
            <v>109543</v>
          </cell>
          <cell r="I1586">
            <v>1208.3999999998578</v>
          </cell>
          <cell r="J1586">
            <v>109723</v>
          </cell>
        </row>
        <row r="1587">
          <cell r="G1587">
            <v>1208.3999999998578</v>
          </cell>
          <cell r="H1587">
            <v>109723</v>
          </cell>
          <cell r="I1587">
            <v>1208.4999999998577</v>
          </cell>
          <cell r="J1587">
            <v>109903</v>
          </cell>
        </row>
        <row r="1588">
          <cell r="G1588">
            <v>1208.4999999998577</v>
          </cell>
          <cell r="H1588">
            <v>109903</v>
          </cell>
          <cell r="I1588">
            <v>1208.5999999998576</v>
          </cell>
          <cell r="J1588">
            <v>110083</v>
          </cell>
        </row>
        <row r="1589">
          <cell r="G1589">
            <v>1208.5999999998576</v>
          </cell>
          <cell r="H1589">
            <v>110083</v>
          </cell>
          <cell r="I1589">
            <v>1208.6999999998575</v>
          </cell>
          <cell r="J1589">
            <v>110263</v>
          </cell>
        </row>
        <row r="1590">
          <cell r="G1590">
            <v>1208.6999999998575</v>
          </cell>
          <cell r="H1590">
            <v>110263</v>
          </cell>
          <cell r="I1590">
            <v>1208.7999999998574</v>
          </cell>
          <cell r="J1590">
            <v>110443</v>
          </cell>
        </row>
        <row r="1591">
          <cell r="G1591">
            <v>1208.7999999998574</v>
          </cell>
          <cell r="H1591">
            <v>110443</v>
          </cell>
          <cell r="I1591">
            <v>1208.8999999998573</v>
          </cell>
          <cell r="J1591">
            <v>110623</v>
          </cell>
        </row>
        <row r="1592">
          <cell r="G1592">
            <v>1208.8999999998573</v>
          </cell>
          <cell r="H1592">
            <v>110623</v>
          </cell>
          <cell r="I1592">
            <v>1208.9999999998572</v>
          </cell>
          <cell r="J1592">
            <v>110803</v>
          </cell>
        </row>
        <row r="1593">
          <cell r="G1593">
            <v>1208.9999999998572</v>
          </cell>
          <cell r="H1593">
            <v>110803</v>
          </cell>
          <cell r="I1593">
            <v>1209.0999999998571</v>
          </cell>
          <cell r="J1593">
            <v>111003.8</v>
          </cell>
        </row>
        <row r="1594">
          <cell r="G1594">
            <v>1209.0999999998571</v>
          </cell>
          <cell r="H1594">
            <v>111003.8</v>
          </cell>
          <cell r="I1594">
            <v>1209.199999999857</v>
          </cell>
          <cell r="J1594">
            <v>111204.6</v>
          </cell>
        </row>
        <row r="1595">
          <cell r="G1595">
            <v>1209.199999999857</v>
          </cell>
          <cell r="H1595">
            <v>111204.6</v>
          </cell>
          <cell r="I1595">
            <v>1209.2999999998569</v>
          </cell>
          <cell r="J1595">
            <v>111405.4</v>
          </cell>
        </row>
        <row r="1596">
          <cell r="G1596">
            <v>1209.2999999998569</v>
          </cell>
          <cell r="H1596">
            <v>111405.4</v>
          </cell>
          <cell r="I1596">
            <v>1209.3999999998568</v>
          </cell>
          <cell r="J1596">
            <v>111606.2</v>
          </cell>
        </row>
        <row r="1597">
          <cell r="G1597">
            <v>1209.3999999998568</v>
          </cell>
          <cell r="H1597">
            <v>111606.2</v>
          </cell>
          <cell r="I1597">
            <v>1209.4999999998568</v>
          </cell>
          <cell r="J1597">
            <v>111807</v>
          </cell>
        </row>
        <row r="1598">
          <cell r="G1598">
            <v>1209.4999999998568</v>
          </cell>
          <cell r="H1598">
            <v>111807</v>
          </cell>
          <cell r="I1598">
            <v>1209.5999999998567</v>
          </cell>
          <cell r="J1598">
            <v>112007.8</v>
          </cell>
        </row>
        <row r="1599">
          <cell r="G1599">
            <v>1209.5999999998567</v>
          </cell>
          <cell r="H1599">
            <v>112007.8</v>
          </cell>
          <cell r="I1599">
            <v>1209.6999999998566</v>
          </cell>
          <cell r="J1599">
            <v>112208.6</v>
          </cell>
        </row>
        <row r="1600">
          <cell r="G1600">
            <v>1209.6999999998566</v>
          </cell>
          <cell r="H1600">
            <v>112208.6</v>
          </cell>
          <cell r="I1600">
            <v>1209.7999999998565</v>
          </cell>
          <cell r="J1600">
            <v>112409.4</v>
          </cell>
        </row>
        <row r="1601">
          <cell r="G1601">
            <v>1209.7999999998565</v>
          </cell>
          <cell r="H1601">
            <v>112409.4</v>
          </cell>
          <cell r="I1601">
            <v>1209.8999999998564</v>
          </cell>
          <cell r="J1601">
            <v>112610.2</v>
          </cell>
        </row>
        <row r="1602">
          <cell r="G1602">
            <v>1209.8999999998564</v>
          </cell>
          <cell r="H1602">
            <v>112610.2</v>
          </cell>
          <cell r="I1602">
            <v>1209.9999999998563</v>
          </cell>
          <cell r="J1602">
            <v>112811</v>
          </cell>
        </row>
        <row r="1603">
          <cell r="G1603">
            <v>1209.9999999998563</v>
          </cell>
          <cell r="H1603">
            <v>112811</v>
          </cell>
          <cell r="I1603">
            <v>1210.0999999998562</v>
          </cell>
          <cell r="J1603">
            <v>112994.5</v>
          </cell>
        </row>
        <row r="1604">
          <cell r="G1604">
            <v>1210.0999999998562</v>
          </cell>
          <cell r="H1604">
            <v>112994.5</v>
          </cell>
          <cell r="I1604">
            <v>1210.1999999998561</v>
          </cell>
          <cell r="J1604">
            <v>113178</v>
          </cell>
        </row>
        <row r="1605">
          <cell r="G1605">
            <v>1210.1999999998561</v>
          </cell>
          <cell r="H1605">
            <v>113178</v>
          </cell>
          <cell r="I1605">
            <v>1210.299999999856</v>
          </cell>
          <cell r="J1605">
            <v>113361.5</v>
          </cell>
        </row>
        <row r="1606">
          <cell r="G1606">
            <v>1210.299999999856</v>
          </cell>
          <cell r="H1606">
            <v>113361.5</v>
          </cell>
          <cell r="I1606">
            <v>1210.3999999998559</v>
          </cell>
          <cell r="J1606">
            <v>113545</v>
          </cell>
        </row>
        <row r="1607">
          <cell r="G1607">
            <v>1210.3999999998559</v>
          </cell>
          <cell r="H1607">
            <v>113545</v>
          </cell>
          <cell r="I1607">
            <v>1210.4999999998558</v>
          </cell>
          <cell r="J1607">
            <v>113728.5</v>
          </cell>
        </row>
        <row r="1608">
          <cell r="G1608">
            <v>1210.4999999998558</v>
          </cell>
          <cell r="H1608">
            <v>113728.5</v>
          </cell>
          <cell r="I1608">
            <v>1210.5999999998558</v>
          </cell>
          <cell r="J1608">
            <v>113912</v>
          </cell>
        </row>
        <row r="1609">
          <cell r="G1609">
            <v>1210.5999999998558</v>
          </cell>
          <cell r="H1609">
            <v>113912</v>
          </cell>
          <cell r="I1609">
            <v>1210.6999999998557</v>
          </cell>
          <cell r="J1609">
            <v>114095.5</v>
          </cell>
        </row>
        <row r="1610">
          <cell r="G1610">
            <v>1210.6999999998557</v>
          </cell>
          <cell r="H1610">
            <v>114095.5</v>
          </cell>
          <cell r="I1610">
            <v>1210.7999999998556</v>
          </cell>
          <cell r="J1610">
            <v>114279</v>
          </cell>
        </row>
        <row r="1611">
          <cell r="G1611">
            <v>1210.7999999998556</v>
          </cell>
          <cell r="H1611">
            <v>114279</v>
          </cell>
          <cell r="I1611">
            <v>1210.8999999998555</v>
          </cell>
          <cell r="J1611">
            <v>114462.5</v>
          </cell>
        </row>
        <row r="1612">
          <cell r="G1612">
            <v>1210.8999999998555</v>
          </cell>
          <cell r="H1612">
            <v>114462.5</v>
          </cell>
          <cell r="I1612">
            <v>1210.9999999998554</v>
          </cell>
          <cell r="J1612">
            <v>114646</v>
          </cell>
        </row>
        <row r="1613">
          <cell r="G1613">
            <v>1210.9999999998554</v>
          </cell>
          <cell r="H1613">
            <v>114646</v>
          </cell>
          <cell r="I1613">
            <v>1211.0999999998553</v>
          </cell>
          <cell r="J1613">
            <v>114831</v>
          </cell>
        </row>
        <row r="1614">
          <cell r="G1614">
            <v>1211.0999999998553</v>
          </cell>
          <cell r="H1614">
            <v>114831</v>
          </cell>
          <cell r="I1614">
            <v>1211.1999999998552</v>
          </cell>
          <cell r="J1614">
            <v>115016</v>
          </cell>
        </row>
        <row r="1615">
          <cell r="G1615">
            <v>1211.1999999998552</v>
          </cell>
          <cell r="H1615">
            <v>115016</v>
          </cell>
          <cell r="I1615">
            <v>1211.2999999998551</v>
          </cell>
          <cell r="J1615">
            <v>115201</v>
          </cell>
        </row>
        <row r="1616">
          <cell r="G1616">
            <v>1211.2999999998551</v>
          </cell>
          <cell r="H1616">
            <v>115201</v>
          </cell>
          <cell r="I1616">
            <v>1211.399999999855</v>
          </cell>
          <cell r="J1616">
            <v>115386</v>
          </cell>
        </row>
        <row r="1617">
          <cell r="G1617">
            <v>1211.399999999855</v>
          </cell>
          <cell r="H1617">
            <v>115386</v>
          </cell>
          <cell r="I1617">
            <v>1211.4999999998549</v>
          </cell>
          <cell r="J1617">
            <v>115571</v>
          </cell>
        </row>
        <row r="1618">
          <cell r="G1618">
            <v>1211.4999999998549</v>
          </cell>
          <cell r="H1618">
            <v>115571</v>
          </cell>
          <cell r="I1618">
            <v>1211.5999999998548</v>
          </cell>
          <cell r="J1618">
            <v>115756</v>
          </cell>
        </row>
        <row r="1619">
          <cell r="G1619">
            <v>1211.5999999998548</v>
          </cell>
          <cell r="H1619">
            <v>115756</v>
          </cell>
          <cell r="I1619">
            <v>1211.6999999998548</v>
          </cell>
          <cell r="J1619">
            <v>115941</v>
          </cell>
        </row>
        <row r="1620">
          <cell r="G1620">
            <v>1211.6999999998548</v>
          </cell>
          <cell r="H1620">
            <v>115941</v>
          </cell>
          <cell r="I1620">
            <v>1211.7999999998547</v>
          </cell>
          <cell r="J1620">
            <v>116126</v>
          </cell>
        </row>
        <row r="1621">
          <cell r="G1621">
            <v>1211.7999999998547</v>
          </cell>
          <cell r="H1621">
            <v>116126</v>
          </cell>
          <cell r="I1621">
            <v>1211.8999999998546</v>
          </cell>
          <cell r="J1621">
            <v>116311</v>
          </cell>
        </row>
        <row r="1622">
          <cell r="G1622">
            <v>1211.8999999998546</v>
          </cell>
          <cell r="H1622">
            <v>116311</v>
          </cell>
          <cell r="I1622">
            <v>1211.9999999998545</v>
          </cell>
          <cell r="J1622">
            <v>116496</v>
          </cell>
        </row>
        <row r="1623">
          <cell r="G1623">
            <v>1211.9999999998545</v>
          </cell>
          <cell r="H1623">
            <v>116496</v>
          </cell>
          <cell r="I1623">
            <v>1212.0999999998544</v>
          </cell>
          <cell r="J1623">
            <v>116682.5</v>
          </cell>
        </row>
        <row r="1624">
          <cell r="G1624">
            <v>1212.0999999998544</v>
          </cell>
          <cell r="H1624">
            <v>116682.5</v>
          </cell>
          <cell r="I1624">
            <v>1212.1999999998543</v>
          </cell>
          <cell r="J1624">
            <v>116869</v>
          </cell>
        </row>
        <row r="1625">
          <cell r="G1625">
            <v>1212.1999999998543</v>
          </cell>
          <cell r="H1625">
            <v>116869</v>
          </cell>
          <cell r="I1625">
            <v>1212.2999999998542</v>
          </cell>
          <cell r="J1625">
            <v>117055.5</v>
          </cell>
        </row>
        <row r="1626">
          <cell r="G1626">
            <v>1212.2999999998542</v>
          </cell>
          <cell r="H1626">
            <v>117055.5</v>
          </cell>
          <cell r="I1626">
            <v>1212.3999999998541</v>
          </cell>
          <cell r="J1626">
            <v>117242</v>
          </cell>
        </row>
        <row r="1627">
          <cell r="G1627">
            <v>1212.3999999998541</v>
          </cell>
          <cell r="H1627">
            <v>117242</v>
          </cell>
          <cell r="I1627">
            <v>1212.499999999854</v>
          </cell>
          <cell r="J1627">
            <v>117428.5</v>
          </cell>
        </row>
        <row r="1628">
          <cell r="G1628">
            <v>1212.499999999854</v>
          </cell>
          <cell r="H1628">
            <v>117428.5</v>
          </cell>
          <cell r="I1628">
            <v>1212.5999999998539</v>
          </cell>
          <cell r="J1628">
            <v>117615</v>
          </cell>
        </row>
        <row r="1629">
          <cell r="G1629">
            <v>1212.5999999998539</v>
          </cell>
          <cell r="H1629">
            <v>117615</v>
          </cell>
          <cell r="I1629">
            <v>1212.6999999998538</v>
          </cell>
          <cell r="J1629">
            <v>117801.5</v>
          </cell>
        </row>
        <row r="1630">
          <cell r="G1630">
            <v>1212.6999999998538</v>
          </cell>
          <cell r="H1630">
            <v>117801.5</v>
          </cell>
          <cell r="I1630">
            <v>1212.7999999998538</v>
          </cell>
          <cell r="J1630">
            <v>117988</v>
          </cell>
        </row>
        <row r="1631">
          <cell r="G1631">
            <v>1212.7999999998538</v>
          </cell>
          <cell r="H1631">
            <v>117988</v>
          </cell>
          <cell r="I1631">
            <v>1212.8999999998537</v>
          </cell>
          <cell r="J1631">
            <v>118174.5</v>
          </cell>
        </row>
        <row r="1632">
          <cell r="G1632">
            <v>1212.8999999998537</v>
          </cell>
          <cell r="H1632">
            <v>118174.5</v>
          </cell>
          <cell r="I1632">
            <v>1212.9999999998536</v>
          </cell>
          <cell r="J1632">
            <v>118361</v>
          </cell>
        </row>
        <row r="1633">
          <cell r="G1633">
            <v>1212.9999999998536</v>
          </cell>
          <cell r="H1633">
            <v>118361</v>
          </cell>
          <cell r="I1633">
            <v>1213.0999999998535</v>
          </cell>
          <cell r="J1633">
            <v>118549</v>
          </cell>
        </row>
        <row r="1634">
          <cell r="G1634">
            <v>1213.0999999998535</v>
          </cell>
          <cell r="H1634">
            <v>118549</v>
          </cell>
          <cell r="I1634">
            <v>1213.1999999998534</v>
          </cell>
          <cell r="J1634">
            <v>118737</v>
          </cell>
        </row>
        <row r="1635">
          <cell r="G1635">
            <v>1213.1999999998534</v>
          </cell>
          <cell r="H1635">
            <v>118737</v>
          </cell>
          <cell r="I1635">
            <v>1213.2999999998533</v>
          </cell>
          <cell r="J1635">
            <v>118925</v>
          </cell>
        </row>
        <row r="1636">
          <cell r="G1636">
            <v>1213.2999999998533</v>
          </cell>
          <cell r="H1636">
            <v>118925</v>
          </cell>
          <cell r="I1636">
            <v>1213.3999999998532</v>
          </cell>
          <cell r="J1636">
            <v>119113</v>
          </cell>
        </row>
        <row r="1637">
          <cell r="G1637">
            <v>1213.3999999998532</v>
          </cell>
          <cell r="H1637">
            <v>119113</v>
          </cell>
          <cell r="I1637">
            <v>1213.4999999998531</v>
          </cell>
          <cell r="J1637">
            <v>119301</v>
          </cell>
        </row>
        <row r="1638">
          <cell r="G1638">
            <v>1213.4999999998531</v>
          </cell>
          <cell r="H1638">
            <v>119301</v>
          </cell>
          <cell r="I1638">
            <v>1213.599999999853</v>
          </cell>
          <cell r="J1638">
            <v>119489</v>
          </cell>
        </row>
        <row r="1639">
          <cell r="G1639">
            <v>1213.599999999853</v>
          </cell>
          <cell r="H1639">
            <v>119489</v>
          </cell>
          <cell r="I1639">
            <v>1213.6999999998529</v>
          </cell>
          <cell r="J1639">
            <v>119677</v>
          </cell>
        </row>
        <row r="1640">
          <cell r="G1640">
            <v>1213.6999999998529</v>
          </cell>
          <cell r="H1640">
            <v>119677</v>
          </cell>
          <cell r="I1640">
            <v>1213.7999999998528</v>
          </cell>
          <cell r="J1640">
            <v>119865</v>
          </cell>
        </row>
        <row r="1641">
          <cell r="G1641">
            <v>1213.7999999998528</v>
          </cell>
          <cell r="H1641">
            <v>119865</v>
          </cell>
          <cell r="I1641">
            <v>1213.8999999998528</v>
          </cell>
          <cell r="J1641">
            <v>120053</v>
          </cell>
        </row>
        <row r="1642">
          <cell r="G1642">
            <v>1213.8999999998528</v>
          </cell>
          <cell r="H1642">
            <v>120053</v>
          </cell>
          <cell r="I1642">
            <v>1213.9999999998527</v>
          </cell>
          <cell r="J1642">
            <v>120241</v>
          </cell>
        </row>
        <row r="1643">
          <cell r="G1643">
            <v>1213.9999999998527</v>
          </cell>
          <cell r="H1643">
            <v>120241</v>
          </cell>
          <cell r="I1643">
            <v>1214.0999999998526</v>
          </cell>
          <cell r="J1643">
            <v>120430.5</v>
          </cell>
        </row>
        <row r="1644">
          <cell r="G1644">
            <v>1214.0999999998526</v>
          </cell>
          <cell r="H1644">
            <v>120430.5</v>
          </cell>
          <cell r="I1644">
            <v>1214.1999999998525</v>
          </cell>
          <cell r="J1644">
            <v>120620</v>
          </cell>
        </row>
        <row r="1645">
          <cell r="G1645">
            <v>1214.1999999998525</v>
          </cell>
          <cell r="H1645">
            <v>120620</v>
          </cell>
          <cell r="I1645">
            <v>1214.2999999998524</v>
          </cell>
          <cell r="J1645">
            <v>120809.5</v>
          </cell>
        </row>
        <row r="1646">
          <cell r="G1646">
            <v>1214.2999999998524</v>
          </cell>
          <cell r="H1646">
            <v>120809.5</v>
          </cell>
          <cell r="I1646">
            <v>1214.3999999998523</v>
          </cell>
          <cell r="J1646">
            <v>120999</v>
          </cell>
        </row>
        <row r="1647">
          <cell r="G1647">
            <v>1214.3999999998523</v>
          </cell>
          <cell r="H1647">
            <v>120999</v>
          </cell>
          <cell r="I1647">
            <v>1214.4999999998522</v>
          </cell>
          <cell r="J1647">
            <v>121188.5</v>
          </cell>
        </row>
        <row r="1648">
          <cell r="G1648">
            <v>1214.4999999998522</v>
          </cell>
          <cell r="H1648">
            <v>121188.5</v>
          </cell>
          <cell r="I1648">
            <v>1214.5999999998521</v>
          </cell>
          <cell r="J1648">
            <v>121378</v>
          </cell>
        </row>
        <row r="1649">
          <cell r="G1649">
            <v>1214.5999999998521</v>
          </cell>
          <cell r="H1649">
            <v>121378</v>
          </cell>
          <cell r="I1649">
            <v>1214.699999999852</v>
          </cell>
          <cell r="J1649">
            <v>121567.5</v>
          </cell>
        </row>
        <row r="1650">
          <cell r="G1650">
            <v>1214.699999999852</v>
          </cell>
          <cell r="H1650">
            <v>121567.5</v>
          </cell>
          <cell r="I1650">
            <v>1214.7999999998519</v>
          </cell>
          <cell r="J1650">
            <v>121757</v>
          </cell>
        </row>
        <row r="1651">
          <cell r="G1651">
            <v>1214.7999999998519</v>
          </cell>
          <cell r="H1651">
            <v>121757</v>
          </cell>
          <cell r="I1651">
            <v>1214.8999999998518</v>
          </cell>
          <cell r="J1651">
            <v>121946.5</v>
          </cell>
        </row>
        <row r="1652">
          <cell r="G1652">
            <v>1214.8999999998518</v>
          </cell>
          <cell r="H1652">
            <v>121946.5</v>
          </cell>
          <cell r="I1652">
            <v>1214.9999999998518</v>
          </cell>
          <cell r="J1652">
            <v>122136</v>
          </cell>
        </row>
        <row r="1653">
          <cell r="G1653">
            <v>1214.9999999998518</v>
          </cell>
          <cell r="H1653">
            <v>122136</v>
          </cell>
          <cell r="I1653">
            <v>1215.0999999998517</v>
          </cell>
          <cell r="J1653">
            <v>122327</v>
          </cell>
        </row>
        <row r="1654">
          <cell r="G1654">
            <v>1215.0999999998517</v>
          </cell>
          <cell r="H1654">
            <v>122327</v>
          </cell>
          <cell r="I1654">
            <v>1215.1999999998516</v>
          </cell>
          <cell r="J1654">
            <v>122518</v>
          </cell>
        </row>
        <row r="1655">
          <cell r="G1655">
            <v>1215.1999999998516</v>
          </cell>
          <cell r="H1655">
            <v>122518</v>
          </cell>
          <cell r="I1655">
            <v>1215.2999999998515</v>
          </cell>
          <cell r="J1655">
            <v>122709</v>
          </cell>
        </row>
        <row r="1656">
          <cell r="G1656">
            <v>1215.2999999998515</v>
          </cell>
          <cell r="H1656">
            <v>122709</v>
          </cell>
          <cell r="I1656">
            <v>1215.3999999998514</v>
          </cell>
          <cell r="J1656">
            <v>122900</v>
          </cell>
        </row>
        <row r="1657">
          <cell r="G1657">
            <v>1215.3999999998514</v>
          </cell>
          <cell r="H1657">
            <v>122900</v>
          </cell>
          <cell r="I1657">
            <v>1215.4999999998513</v>
          </cell>
          <cell r="J1657">
            <v>123091</v>
          </cell>
        </row>
        <row r="1658">
          <cell r="G1658">
            <v>1215.4999999998513</v>
          </cell>
          <cell r="H1658">
            <v>123091</v>
          </cell>
          <cell r="I1658">
            <v>1215.5999999998512</v>
          </cell>
          <cell r="J1658">
            <v>123282</v>
          </cell>
        </row>
        <row r="1659">
          <cell r="G1659">
            <v>1215.5999999998512</v>
          </cell>
          <cell r="H1659">
            <v>123282</v>
          </cell>
          <cell r="I1659">
            <v>1215.6999999998511</v>
          </cell>
          <cell r="J1659">
            <v>123473</v>
          </cell>
        </row>
        <row r="1660">
          <cell r="G1660">
            <v>1215.6999999998511</v>
          </cell>
          <cell r="H1660">
            <v>123473</v>
          </cell>
          <cell r="I1660">
            <v>1215.799999999851</v>
          </cell>
          <cell r="J1660">
            <v>123664</v>
          </cell>
        </row>
        <row r="1661">
          <cell r="G1661">
            <v>1215.799999999851</v>
          </cell>
          <cell r="H1661">
            <v>123664</v>
          </cell>
          <cell r="I1661">
            <v>1215.8999999998509</v>
          </cell>
          <cell r="J1661">
            <v>123855</v>
          </cell>
        </row>
        <row r="1662">
          <cell r="G1662">
            <v>1215.8999999998509</v>
          </cell>
          <cell r="H1662">
            <v>123855</v>
          </cell>
          <cell r="I1662">
            <v>1215.9999999998508</v>
          </cell>
          <cell r="J1662">
            <v>124046</v>
          </cell>
        </row>
        <row r="1663">
          <cell r="G1663">
            <v>1215.9999999998508</v>
          </cell>
          <cell r="H1663">
            <v>124046</v>
          </cell>
          <cell r="I1663">
            <v>1216.0999999998508</v>
          </cell>
          <cell r="J1663">
            <v>124238.5</v>
          </cell>
        </row>
        <row r="1664">
          <cell r="G1664">
            <v>1216.0999999998508</v>
          </cell>
          <cell r="H1664">
            <v>124238.5</v>
          </cell>
          <cell r="I1664">
            <v>1216.1999999998507</v>
          </cell>
          <cell r="J1664">
            <v>124431</v>
          </cell>
        </row>
        <row r="1665">
          <cell r="G1665">
            <v>1216.1999999998507</v>
          </cell>
          <cell r="H1665">
            <v>124431</v>
          </cell>
          <cell r="I1665">
            <v>1216.2999999998506</v>
          </cell>
          <cell r="J1665">
            <v>124623.5</v>
          </cell>
        </row>
        <row r="1666">
          <cell r="G1666">
            <v>1216.2999999998506</v>
          </cell>
          <cell r="H1666">
            <v>124623.5</v>
          </cell>
          <cell r="I1666">
            <v>1216.3999999998505</v>
          </cell>
          <cell r="J1666">
            <v>124816</v>
          </cell>
        </row>
        <row r="1667">
          <cell r="G1667">
            <v>1216.3999999998505</v>
          </cell>
          <cell r="H1667">
            <v>124816</v>
          </cell>
          <cell r="I1667">
            <v>1216.4999999998504</v>
          </cell>
          <cell r="J1667">
            <v>125008.5</v>
          </cell>
        </row>
        <row r="1668">
          <cell r="G1668">
            <v>1216.4999999998504</v>
          </cell>
          <cell r="H1668">
            <v>125008.5</v>
          </cell>
          <cell r="I1668">
            <v>1216.5999999998503</v>
          </cell>
          <cell r="J1668">
            <v>125201</v>
          </cell>
        </row>
        <row r="1669">
          <cell r="G1669">
            <v>1216.5999999998503</v>
          </cell>
          <cell r="H1669">
            <v>125201</v>
          </cell>
          <cell r="I1669">
            <v>1216.6999999998502</v>
          </cell>
          <cell r="J1669">
            <v>125393.5</v>
          </cell>
        </row>
        <row r="1670">
          <cell r="G1670">
            <v>1216.6999999998502</v>
          </cell>
          <cell r="H1670">
            <v>125393.5</v>
          </cell>
          <cell r="I1670">
            <v>1216.7999999998501</v>
          </cell>
          <cell r="J1670">
            <v>125586</v>
          </cell>
        </row>
        <row r="1671">
          <cell r="G1671">
            <v>1216.7999999998501</v>
          </cell>
          <cell r="H1671">
            <v>125586</v>
          </cell>
          <cell r="I1671">
            <v>1216.89999999985</v>
          </cell>
          <cell r="J1671">
            <v>125778.5</v>
          </cell>
        </row>
        <row r="1672">
          <cell r="G1672">
            <v>1216.89999999985</v>
          </cell>
          <cell r="H1672">
            <v>125778.5</v>
          </cell>
          <cell r="I1672">
            <v>1216.9999999998499</v>
          </cell>
          <cell r="J1672">
            <v>125971</v>
          </cell>
        </row>
        <row r="1673">
          <cell r="G1673">
            <v>1216.9999999998499</v>
          </cell>
          <cell r="H1673">
            <v>125971</v>
          </cell>
          <cell r="I1673">
            <v>1217.0999999998498</v>
          </cell>
          <cell r="J1673">
            <v>126165</v>
          </cell>
        </row>
        <row r="1674">
          <cell r="G1674">
            <v>1217.0999999998498</v>
          </cell>
          <cell r="H1674">
            <v>126165</v>
          </cell>
          <cell r="I1674">
            <v>1217.1999999998498</v>
          </cell>
          <cell r="J1674">
            <v>126359</v>
          </cell>
        </row>
        <row r="1675">
          <cell r="G1675">
            <v>1217.1999999998498</v>
          </cell>
          <cell r="H1675">
            <v>126359</v>
          </cell>
          <cell r="I1675">
            <v>1217.2999999998497</v>
          </cell>
          <cell r="J1675">
            <v>126553</v>
          </cell>
        </row>
        <row r="1676">
          <cell r="G1676">
            <v>1217.2999999998497</v>
          </cell>
          <cell r="H1676">
            <v>126553</v>
          </cell>
          <cell r="I1676">
            <v>1217.3999999998496</v>
          </cell>
          <cell r="J1676">
            <v>126747</v>
          </cell>
        </row>
        <row r="1677">
          <cell r="G1677">
            <v>1217.3999999998496</v>
          </cell>
          <cell r="H1677">
            <v>126747</v>
          </cell>
          <cell r="I1677">
            <v>1217.4999999998495</v>
          </cell>
          <cell r="J1677">
            <v>126941</v>
          </cell>
        </row>
        <row r="1678">
          <cell r="G1678">
            <v>1217.4999999998495</v>
          </cell>
          <cell r="H1678">
            <v>126941</v>
          </cell>
          <cell r="I1678">
            <v>1217.5999999998494</v>
          </cell>
          <cell r="J1678">
            <v>127135</v>
          </cell>
        </row>
        <row r="1679">
          <cell r="G1679">
            <v>1217.5999999998494</v>
          </cell>
          <cell r="H1679">
            <v>127135</v>
          </cell>
          <cell r="I1679">
            <v>1217.6999999998493</v>
          </cell>
          <cell r="J1679">
            <v>127329</v>
          </cell>
        </row>
        <row r="1680">
          <cell r="G1680">
            <v>1217.6999999998493</v>
          </cell>
          <cell r="H1680">
            <v>127329</v>
          </cell>
          <cell r="I1680">
            <v>1217.7999999998492</v>
          </cell>
          <cell r="J1680">
            <v>127523</v>
          </cell>
        </row>
        <row r="1681">
          <cell r="G1681">
            <v>1217.7999999998492</v>
          </cell>
          <cell r="H1681">
            <v>127523</v>
          </cell>
          <cell r="I1681">
            <v>1217.8999999998491</v>
          </cell>
          <cell r="J1681">
            <v>127717</v>
          </cell>
        </row>
        <row r="1682">
          <cell r="G1682">
            <v>1217.8999999998491</v>
          </cell>
          <cell r="H1682">
            <v>127717</v>
          </cell>
          <cell r="I1682">
            <v>1217.999999999849</v>
          </cell>
          <cell r="J1682">
            <v>127911</v>
          </cell>
        </row>
        <row r="1683">
          <cell r="G1683">
            <v>1217.999999999849</v>
          </cell>
          <cell r="H1683">
            <v>127911</v>
          </cell>
          <cell r="I1683">
            <v>1218.0999999998489</v>
          </cell>
          <cell r="J1683">
            <v>128106.5</v>
          </cell>
        </row>
        <row r="1684">
          <cell r="G1684">
            <v>1218.0999999998489</v>
          </cell>
          <cell r="H1684">
            <v>128106.5</v>
          </cell>
          <cell r="I1684">
            <v>1218.1999999998488</v>
          </cell>
          <cell r="J1684">
            <v>128302</v>
          </cell>
        </row>
        <row r="1685">
          <cell r="G1685">
            <v>1218.1999999998488</v>
          </cell>
          <cell r="H1685">
            <v>128302</v>
          </cell>
          <cell r="I1685">
            <v>1218.2999999998488</v>
          </cell>
          <cell r="J1685">
            <v>128497.5</v>
          </cell>
        </row>
        <row r="1686">
          <cell r="G1686">
            <v>1218.2999999998488</v>
          </cell>
          <cell r="H1686">
            <v>128497.5</v>
          </cell>
          <cell r="I1686">
            <v>1218.3999999998487</v>
          </cell>
          <cell r="J1686">
            <v>128693</v>
          </cell>
        </row>
        <row r="1687">
          <cell r="G1687">
            <v>1218.3999999998487</v>
          </cell>
          <cell r="H1687">
            <v>128693</v>
          </cell>
          <cell r="I1687">
            <v>1218.4999999998486</v>
          </cell>
          <cell r="J1687">
            <v>128888.5</v>
          </cell>
        </row>
        <row r="1688">
          <cell r="G1688">
            <v>1218.4999999998486</v>
          </cell>
          <cell r="H1688">
            <v>128888.5</v>
          </cell>
          <cell r="I1688">
            <v>1218.5999999998485</v>
          </cell>
          <cell r="J1688">
            <v>129084</v>
          </cell>
        </row>
        <row r="1689">
          <cell r="G1689">
            <v>1218.5999999998485</v>
          </cell>
          <cell r="H1689">
            <v>129084</v>
          </cell>
          <cell r="I1689">
            <v>1218.6999999998484</v>
          </cell>
          <cell r="J1689">
            <v>129279.5</v>
          </cell>
        </row>
        <row r="1690">
          <cell r="G1690">
            <v>1218.6999999998484</v>
          </cell>
          <cell r="H1690">
            <v>129279.5</v>
          </cell>
          <cell r="I1690">
            <v>1218.7999999998483</v>
          </cell>
          <cell r="J1690">
            <v>129475</v>
          </cell>
        </row>
        <row r="1691">
          <cell r="G1691">
            <v>1218.7999999998483</v>
          </cell>
          <cell r="H1691">
            <v>129475</v>
          </cell>
          <cell r="I1691">
            <v>1218.8999999998482</v>
          </cell>
          <cell r="J1691">
            <v>129670.5</v>
          </cell>
        </row>
        <row r="1692">
          <cell r="G1692">
            <v>1218.8999999998482</v>
          </cell>
          <cell r="H1692">
            <v>129670.5</v>
          </cell>
          <cell r="I1692">
            <v>1218.9999999998481</v>
          </cell>
          <cell r="J1692">
            <v>129866</v>
          </cell>
        </row>
        <row r="1693">
          <cell r="G1693">
            <v>1218.9999999998481</v>
          </cell>
          <cell r="H1693">
            <v>129866</v>
          </cell>
          <cell r="I1693">
            <v>1219.099999999848</v>
          </cell>
          <cell r="J1693">
            <v>130063</v>
          </cell>
        </row>
        <row r="1694">
          <cell r="G1694">
            <v>1219.099999999848</v>
          </cell>
          <cell r="H1694">
            <v>130063</v>
          </cell>
          <cell r="I1694">
            <v>1219.1999999998479</v>
          </cell>
          <cell r="J1694">
            <v>130260</v>
          </cell>
        </row>
        <row r="1695">
          <cell r="G1695">
            <v>1219.1999999998479</v>
          </cell>
          <cell r="H1695">
            <v>130260</v>
          </cell>
          <cell r="I1695">
            <v>1219.2999999998478</v>
          </cell>
          <cell r="J1695">
            <v>130457</v>
          </cell>
        </row>
        <row r="1696">
          <cell r="G1696">
            <v>1219.2999999998478</v>
          </cell>
          <cell r="H1696">
            <v>130457</v>
          </cell>
          <cell r="I1696">
            <v>1219.3999999998478</v>
          </cell>
          <cell r="J1696">
            <v>130654</v>
          </cell>
        </row>
        <row r="1697">
          <cell r="G1697">
            <v>1219.3999999998478</v>
          </cell>
          <cell r="H1697">
            <v>130654</v>
          </cell>
          <cell r="I1697">
            <v>1219.4999999998477</v>
          </cell>
          <cell r="J1697">
            <v>130851</v>
          </cell>
        </row>
        <row r="1698">
          <cell r="G1698">
            <v>1219.4999999998477</v>
          </cell>
          <cell r="H1698">
            <v>130851</v>
          </cell>
          <cell r="I1698">
            <v>1219.5999999998476</v>
          </cell>
          <cell r="J1698">
            <v>131048</v>
          </cell>
        </row>
        <row r="1699">
          <cell r="G1699">
            <v>1219.5999999998476</v>
          </cell>
          <cell r="H1699">
            <v>131048</v>
          </cell>
          <cell r="I1699">
            <v>1219.6999999998475</v>
          </cell>
          <cell r="J1699">
            <v>131245</v>
          </cell>
        </row>
        <row r="1700">
          <cell r="G1700">
            <v>1219.6999999998475</v>
          </cell>
          <cell r="H1700">
            <v>131245</v>
          </cell>
          <cell r="I1700">
            <v>1219.7999999998474</v>
          </cell>
          <cell r="J1700">
            <v>131442</v>
          </cell>
        </row>
        <row r="1701">
          <cell r="G1701">
            <v>1219.7999999998474</v>
          </cell>
          <cell r="H1701">
            <v>131442</v>
          </cell>
          <cell r="I1701">
            <v>1219.8999999998473</v>
          </cell>
          <cell r="J1701">
            <v>131639</v>
          </cell>
        </row>
        <row r="1702">
          <cell r="G1702">
            <v>1219.8999999998473</v>
          </cell>
          <cell r="H1702">
            <v>131639</v>
          </cell>
          <cell r="I1702">
            <v>1219.9999999998472</v>
          </cell>
          <cell r="J1702">
            <v>131836</v>
          </cell>
        </row>
        <row r="1703">
          <cell r="G1703">
            <v>1219.9999999998472</v>
          </cell>
          <cell r="H1703">
            <v>131836</v>
          </cell>
          <cell r="I1703">
            <v>1220.0999999998471</v>
          </cell>
          <cell r="J1703">
            <v>132035.70000000001</v>
          </cell>
        </row>
        <row r="1704">
          <cell r="G1704">
            <v>1220.0999999998471</v>
          </cell>
          <cell r="H1704">
            <v>132035.70000000001</v>
          </cell>
          <cell r="I1704">
            <v>1220.199999999847</v>
          </cell>
          <cell r="J1704">
            <v>132235.4</v>
          </cell>
        </row>
        <row r="1705">
          <cell r="G1705">
            <v>1220.199999999847</v>
          </cell>
          <cell r="H1705">
            <v>132235.4</v>
          </cell>
          <cell r="I1705">
            <v>1220.2999999998469</v>
          </cell>
          <cell r="J1705">
            <v>132435.1</v>
          </cell>
        </row>
        <row r="1706">
          <cell r="G1706">
            <v>1220.2999999998469</v>
          </cell>
          <cell r="H1706">
            <v>132435.1</v>
          </cell>
          <cell r="I1706">
            <v>1220.3999999998468</v>
          </cell>
          <cell r="J1706">
            <v>132634.79999999999</v>
          </cell>
        </row>
        <row r="1707">
          <cell r="G1707">
            <v>1220.3999999998468</v>
          </cell>
          <cell r="H1707">
            <v>132634.79999999999</v>
          </cell>
          <cell r="I1707">
            <v>1220.4999999998468</v>
          </cell>
          <cell r="J1707">
            <v>132834.5</v>
          </cell>
        </row>
        <row r="1708">
          <cell r="G1708">
            <v>1220.4999999998468</v>
          </cell>
          <cell r="H1708">
            <v>132834.5</v>
          </cell>
          <cell r="I1708">
            <v>1220.5999999998467</v>
          </cell>
          <cell r="J1708">
            <v>133034.20000000001</v>
          </cell>
        </row>
        <row r="1709">
          <cell r="G1709">
            <v>1220.5999999998467</v>
          </cell>
          <cell r="H1709">
            <v>133034.20000000001</v>
          </cell>
          <cell r="I1709">
            <v>1220.6999999998466</v>
          </cell>
          <cell r="J1709">
            <v>133233.9</v>
          </cell>
        </row>
        <row r="1710">
          <cell r="G1710">
            <v>1220.6999999998466</v>
          </cell>
          <cell r="H1710">
            <v>133233.9</v>
          </cell>
          <cell r="I1710">
            <v>1220.7999999998465</v>
          </cell>
          <cell r="J1710">
            <v>133433.60000000001</v>
          </cell>
        </row>
        <row r="1711">
          <cell r="G1711">
            <v>1220.7999999998465</v>
          </cell>
          <cell r="H1711">
            <v>133433.60000000001</v>
          </cell>
          <cell r="I1711">
            <v>1220.8999999998464</v>
          </cell>
          <cell r="J1711">
            <v>133633.29999999999</v>
          </cell>
        </row>
        <row r="1712">
          <cell r="G1712">
            <v>1220.8999999998464</v>
          </cell>
          <cell r="H1712">
            <v>133633.29999999999</v>
          </cell>
          <cell r="I1712">
            <v>1220.9999999998463</v>
          </cell>
          <cell r="J1712">
            <v>133833</v>
          </cell>
        </row>
        <row r="1713">
          <cell r="G1713">
            <v>1220.9999999998463</v>
          </cell>
          <cell r="H1713">
            <v>133833</v>
          </cell>
          <cell r="I1713">
            <v>1221.0999999998462</v>
          </cell>
          <cell r="J1713">
            <v>134035.4</v>
          </cell>
        </row>
        <row r="1714">
          <cell r="G1714">
            <v>1221.0999999998462</v>
          </cell>
          <cell r="H1714">
            <v>134035.4</v>
          </cell>
          <cell r="I1714">
            <v>1221.1999999998461</v>
          </cell>
          <cell r="J1714">
            <v>134237.79999999999</v>
          </cell>
        </row>
        <row r="1715">
          <cell r="G1715">
            <v>1221.1999999998461</v>
          </cell>
          <cell r="H1715">
            <v>134237.79999999999</v>
          </cell>
          <cell r="I1715">
            <v>1221.299999999846</v>
          </cell>
          <cell r="J1715">
            <v>134440.20000000001</v>
          </cell>
        </row>
        <row r="1716">
          <cell r="G1716">
            <v>1221.299999999846</v>
          </cell>
          <cell r="H1716">
            <v>134440.20000000001</v>
          </cell>
          <cell r="I1716">
            <v>1221.3999999998459</v>
          </cell>
          <cell r="J1716">
            <v>134642.6</v>
          </cell>
        </row>
        <row r="1717">
          <cell r="G1717">
            <v>1221.3999999998459</v>
          </cell>
          <cell r="H1717">
            <v>134642.6</v>
          </cell>
          <cell r="I1717">
            <v>1221.4999999998458</v>
          </cell>
          <cell r="J1717">
            <v>134845</v>
          </cell>
        </row>
        <row r="1718">
          <cell r="G1718">
            <v>1221.4999999998458</v>
          </cell>
          <cell r="H1718">
            <v>134845</v>
          </cell>
          <cell r="I1718">
            <v>1221.5999999998457</v>
          </cell>
          <cell r="J1718">
            <v>135047.4</v>
          </cell>
        </row>
        <row r="1719">
          <cell r="G1719">
            <v>1221.5999999998457</v>
          </cell>
          <cell r="H1719">
            <v>135047.4</v>
          </cell>
          <cell r="I1719">
            <v>1221.6999999998457</v>
          </cell>
          <cell r="J1719">
            <v>135249.79999999999</v>
          </cell>
        </row>
        <row r="1720">
          <cell r="G1720">
            <v>1221.6999999998457</v>
          </cell>
          <cell r="H1720">
            <v>135249.79999999999</v>
          </cell>
          <cell r="I1720">
            <v>1221.7999999998456</v>
          </cell>
          <cell r="J1720">
            <v>135452.20000000001</v>
          </cell>
        </row>
        <row r="1721">
          <cell r="G1721">
            <v>1221.7999999998456</v>
          </cell>
          <cell r="H1721">
            <v>135452.20000000001</v>
          </cell>
          <cell r="I1721">
            <v>1221.8999999998455</v>
          </cell>
          <cell r="J1721">
            <v>135654.6</v>
          </cell>
        </row>
        <row r="1722">
          <cell r="G1722">
            <v>1221.8999999998455</v>
          </cell>
          <cell r="H1722">
            <v>135654.6</v>
          </cell>
          <cell r="I1722">
            <v>1221.9999999998454</v>
          </cell>
          <cell r="J1722">
            <v>135857</v>
          </cell>
        </row>
        <row r="1723">
          <cell r="G1723">
            <v>1221.9999999998454</v>
          </cell>
          <cell r="H1723">
            <v>135857</v>
          </cell>
          <cell r="I1723">
            <v>1222.0999999998453</v>
          </cell>
          <cell r="J1723">
            <v>136062.1</v>
          </cell>
        </row>
        <row r="1724">
          <cell r="G1724">
            <v>1222.0999999998453</v>
          </cell>
          <cell r="H1724">
            <v>136062.1</v>
          </cell>
          <cell r="I1724">
            <v>1222.1999999998452</v>
          </cell>
          <cell r="J1724">
            <v>136267.20000000001</v>
          </cell>
        </row>
        <row r="1725">
          <cell r="G1725">
            <v>1222.1999999998452</v>
          </cell>
          <cell r="H1725">
            <v>136267.20000000001</v>
          </cell>
          <cell r="I1725">
            <v>1222.2999999998451</v>
          </cell>
          <cell r="J1725">
            <v>136472.29999999999</v>
          </cell>
        </row>
        <row r="1726">
          <cell r="G1726">
            <v>1222.2999999998451</v>
          </cell>
          <cell r="H1726">
            <v>136472.29999999999</v>
          </cell>
          <cell r="I1726">
            <v>1222.399999999845</v>
          </cell>
          <cell r="J1726">
            <v>136677.4</v>
          </cell>
        </row>
        <row r="1727">
          <cell r="G1727">
            <v>1222.399999999845</v>
          </cell>
          <cell r="H1727">
            <v>136677.4</v>
          </cell>
          <cell r="I1727">
            <v>1222.4999999998449</v>
          </cell>
          <cell r="J1727">
            <v>136882.5</v>
          </cell>
        </row>
        <row r="1728">
          <cell r="G1728">
            <v>1222.4999999998449</v>
          </cell>
          <cell r="H1728">
            <v>136882.5</v>
          </cell>
          <cell r="I1728">
            <v>1222.5999999998448</v>
          </cell>
          <cell r="J1728">
            <v>137087.6</v>
          </cell>
        </row>
        <row r="1729">
          <cell r="G1729">
            <v>1222.5999999998448</v>
          </cell>
          <cell r="H1729">
            <v>137087.6</v>
          </cell>
          <cell r="I1729">
            <v>1222.6999999998447</v>
          </cell>
          <cell r="J1729">
            <v>137292.70000000001</v>
          </cell>
        </row>
        <row r="1730">
          <cell r="G1730">
            <v>1222.6999999998447</v>
          </cell>
          <cell r="H1730">
            <v>137292.70000000001</v>
          </cell>
          <cell r="I1730">
            <v>1222.7999999998447</v>
          </cell>
          <cell r="J1730">
            <v>137497.79999999999</v>
          </cell>
        </row>
        <row r="1731">
          <cell r="G1731">
            <v>1222.7999999998447</v>
          </cell>
          <cell r="H1731">
            <v>137497.79999999999</v>
          </cell>
          <cell r="I1731">
            <v>1222.8999999998446</v>
          </cell>
          <cell r="J1731">
            <v>137702.9</v>
          </cell>
        </row>
        <row r="1732">
          <cell r="G1732">
            <v>1222.8999999998446</v>
          </cell>
          <cell r="H1732">
            <v>137702.9</v>
          </cell>
          <cell r="I1732">
            <v>1222.9999999998445</v>
          </cell>
          <cell r="J1732">
            <v>137908</v>
          </cell>
        </row>
        <row r="1733">
          <cell r="G1733">
            <v>1222.9999999998445</v>
          </cell>
          <cell r="H1733">
            <v>137908</v>
          </cell>
          <cell r="I1733">
            <v>1223.0999999998444</v>
          </cell>
          <cell r="J1733">
            <v>138115.79999999999</v>
          </cell>
        </row>
        <row r="1734">
          <cell r="G1734">
            <v>1223.0999999998444</v>
          </cell>
          <cell r="H1734">
            <v>138115.79999999999</v>
          </cell>
          <cell r="I1734">
            <v>1223.1999999998443</v>
          </cell>
          <cell r="J1734">
            <v>138323.6</v>
          </cell>
        </row>
        <row r="1735">
          <cell r="G1735">
            <v>1223.1999999998443</v>
          </cell>
          <cell r="H1735">
            <v>138323.6</v>
          </cell>
          <cell r="I1735">
            <v>1223.2999999998442</v>
          </cell>
          <cell r="J1735">
            <v>138531.4</v>
          </cell>
        </row>
        <row r="1736">
          <cell r="G1736">
            <v>1223.2999999998442</v>
          </cell>
          <cell r="H1736">
            <v>138531.4</v>
          </cell>
          <cell r="I1736">
            <v>1223.3999999998441</v>
          </cell>
          <cell r="J1736">
            <v>138739.20000000001</v>
          </cell>
        </row>
        <row r="1737">
          <cell r="G1737">
            <v>1223.3999999998441</v>
          </cell>
          <cell r="H1737">
            <v>138739.20000000001</v>
          </cell>
          <cell r="I1737">
            <v>1223.499999999844</v>
          </cell>
          <cell r="J1737">
            <v>138947</v>
          </cell>
        </row>
        <row r="1738">
          <cell r="G1738">
            <v>1223.499999999844</v>
          </cell>
          <cell r="H1738">
            <v>138947</v>
          </cell>
          <cell r="I1738">
            <v>1223.5999999998439</v>
          </cell>
          <cell r="J1738">
            <v>139154.79999999999</v>
          </cell>
        </row>
        <row r="1739">
          <cell r="G1739">
            <v>1223.5999999998439</v>
          </cell>
          <cell r="H1739">
            <v>139154.79999999999</v>
          </cell>
          <cell r="I1739">
            <v>1223.6999999998438</v>
          </cell>
          <cell r="J1739">
            <v>139362.6</v>
          </cell>
        </row>
        <row r="1740">
          <cell r="G1740">
            <v>1223.6999999998438</v>
          </cell>
          <cell r="H1740">
            <v>139362.6</v>
          </cell>
          <cell r="I1740">
            <v>1223.7999999998437</v>
          </cell>
          <cell r="J1740">
            <v>139570.4</v>
          </cell>
        </row>
        <row r="1741">
          <cell r="G1741">
            <v>1223.7999999998437</v>
          </cell>
          <cell r="H1741">
            <v>139570.4</v>
          </cell>
          <cell r="I1741">
            <v>1223.8999999998437</v>
          </cell>
          <cell r="J1741">
            <v>139778.20000000001</v>
          </cell>
        </row>
        <row r="1742">
          <cell r="G1742">
            <v>1223.8999999998437</v>
          </cell>
          <cell r="H1742">
            <v>139778.20000000001</v>
          </cell>
          <cell r="I1742">
            <v>1223.9999999998436</v>
          </cell>
          <cell r="J1742">
            <v>139986</v>
          </cell>
        </row>
        <row r="1743">
          <cell r="G1743">
            <v>1223.9999999998436</v>
          </cell>
          <cell r="H1743">
            <v>139986</v>
          </cell>
          <cell r="I1743">
            <v>1224.0999999998435</v>
          </cell>
          <cell r="J1743">
            <v>140196.5</v>
          </cell>
        </row>
        <row r="1744">
          <cell r="G1744">
            <v>1224.0999999998435</v>
          </cell>
          <cell r="H1744">
            <v>140196.5</v>
          </cell>
          <cell r="I1744">
            <v>1224.1999999998434</v>
          </cell>
          <cell r="J1744">
            <v>140407</v>
          </cell>
        </row>
        <row r="1745">
          <cell r="G1745">
            <v>1224.1999999998434</v>
          </cell>
          <cell r="H1745">
            <v>140407</v>
          </cell>
          <cell r="I1745">
            <v>1224.2999999998433</v>
          </cell>
          <cell r="J1745">
            <v>140617.5</v>
          </cell>
        </row>
        <row r="1746">
          <cell r="G1746">
            <v>1224.2999999998433</v>
          </cell>
          <cell r="H1746">
            <v>140617.5</v>
          </cell>
          <cell r="I1746">
            <v>1224.3999999998432</v>
          </cell>
          <cell r="J1746">
            <v>140828</v>
          </cell>
        </row>
        <row r="1747">
          <cell r="G1747">
            <v>1224.3999999998432</v>
          </cell>
          <cell r="H1747">
            <v>140828</v>
          </cell>
          <cell r="I1747">
            <v>1224.4999999998431</v>
          </cell>
          <cell r="J1747">
            <v>141038.5</v>
          </cell>
        </row>
        <row r="1748">
          <cell r="G1748">
            <v>1224.4999999998431</v>
          </cell>
          <cell r="H1748">
            <v>141038.5</v>
          </cell>
          <cell r="I1748">
            <v>1224.599999999843</v>
          </cell>
          <cell r="J1748">
            <v>141249</v>
          </cell>
        </row>
        <row r="1749">
          <cell r="G1749">
            <v>1224.599999999843</v>
          </cell>
          <cell r="H1749">
            <v>141249</v>
          </cell>
          <cell r="I1749">
            <v>1224.6999999998429</v>
          </cell>
          <cell r="J1749">
            <v>141459.5</v>
          </cell>
        </row>
        <row r="1750">
          <cell r="G1750">
            <v>1224.6999999998429</v>
          </cell>
          <cell r="H1750">
            <v>141459.5</v>
          </cell>
          <cell r="I1750">
            <v>1224.7999999998428</v>
          </cell>
          <cell r="J1750">
            <v>141670</v>
          </cell>
        </row>
        <row r="1751">
          <cell r="G1751">
            <v>1224.7999999998428</v>
          </cell>
          <cell r="H1751">
            <v>141670</v>
          </cell>
          <cell r="I1751">
            <v>1224.8999999998427</v>
          </cell>
          <cell r="J1751">
            <v>141880.5</v>
          </cell>
        </row>
        <row r="1752">
          <cell r="G1752">
            <v>1224.8999999998427</v>
          </cell>
          <cell r="H1752">
            <v>141880.5</v>
          </cell>
          <cell r="I1752">
            <v>1224.9999999998427</v>
          </cell>
          <cell r="J1752">
            <v>142091</v>
          </cell>
        </row>
        <row r="1753">
          <cell r="G1753">
            <v>1224.9999999998427</v>
          </cell>
          <cell r="H1753">
            <v>142091</v>
          </cell>
          <cell r="I1753">
            <v>1225.0999999998426</v>
          </cell>
          <cell r="J1753">
            <v>142304.20000000001</v>
          </cell>
        </row>
        <row r="1754">
          <cell r="G1754">
            <v>1225.0999999998426</v>
          </cell>
          <cell r="H1754">
            <v>142304.20000000001</v>
          </cell>
          <cell r="I1754">
            <v>1225.1999999998425</v>
          </cell>
          <cell r="J1754">
            <v>142517.4</v>
          </cell>
        </row>
        <row r="1755">
          <cell r="G1755">
            <v>1225.1999999998425</v>
          </cell>
          <cell r="H1755">
            <v>142517.4</v>
          </cell>
          <cell r="I1755">
            <v>1225.2999999998424</v>
          </cell>
          <cell r="J1755">
            <v>142730.6</v>
          </cell>
        </row>
        <row r="1756">
          <cell r="G1756">
            <v>1225.2999999998424</v>
          </cell>
          <cell r="H1756">
            <v>142730.6</v>
          </cell>
          <cell r="I1756">
            <v>1225.3999999998423</v>
          </cell>
          <cell r="J1756">
            <v>142943.79999999999</v>
          </cell>
        </row>
        <row r="1757">
          <cell r="G1757">
            <v>1225.3999999998423</v>
          </cell>
          <cell r="H1757">
            <v>142943.79999999999</v>
          </cell>
          <cell r="I1757">
            <v>1225.4999999998422</v>
          </cell>
          <cell r="J1757">
            <v>143157</v>
          </cell>
        </row>
        <row r="1758">
          <cell r="G1758">
            <v>1225.4999999998422</v>
          </cell>
          <cell r="H1758">
            <v>143157</v>
          </cell>
          <cell r="I1758">
            <v>1225.5999999998421</v>
          </cell>
          <cell r="J1758">
            <v>143370.20000000001</v>
          </cell>
        </row>
        <row r="1759">
          <cell r="G1759">
            <v>1225.5999999998421</v>
          </cell>
          <cell r="H1759">
            <v>143370.20000000001</v>
          </cell>
          <cell r="I1759">
            <v>1225.699999999842</v>
          </cell>
          <cell r="J1759">
            <v>143583.4</v>
          </cell>
        </row>
        <row r="1760">
          <cell r="G1760">
            <v>1225.699999999842</v>
          </cell>
          <cell r="H1760">
            <v>143583.4</v>
          </cell>
          <cell r="I1760">
            <v>1225.7999999998419</v>
          </cell>
          <cell r="J1760">
            <v>143796.6</v>
          </cell>
        </row>
        <row r="1761">
          <cell r="G1761">
            <v>1225.7999999998419</v>
          </cell>
          <cell r="H1761">
            <v>143796.6</v>
          </cell>
          <cell r="I1761">
            <v>1225.8999999998418</v>
          </cell>
          <cell r="J1761">
            <v>144009.79999999999</v>
          </cell>
        </row>
        <row r="1762">
          <cell r="G1762">
            <v>1225.8999999998418</v>
          </cell>
          <cell r="H1762">
            <v>144009.79999999999</v>
          </cell>
          <cell r="I1762">
            <v>1225.9999999998417</v>
          </cell>
          <cell r="J1762">
            <v>144223</v>
          </cell>
        </row>
        <row r="1763">
          <cell r="G1763">
            <v>1225.9999999998417</v>
          </cell>
          <cell r="H1763">
            <v>144223</v>
          </cell>
          <cell r="I1763">
            <v>1226.0999999998417</v>
          </cell>
          <cell r="J1763">
            <v>144438.9</v>
          </cell>
        </row>
        <row r="1764">
          <cell r="G1764">
            <v>1226.0999999998417</v>
          </cell>
          <cell r="H1764">
            <v>144438.9</v>
          </cell>
          <cell r="I1764">
            <v>1226.1999999998416</v>
          </cell>
          <cell r="J1764">
            <v>144654.79999999999</v>
          </cell>
        </row>
        <row r="1765">
          <cell r="G1765">
            <v>1226.1999999998416</v>
          </cell>
          <cell r="H1765">
            <v>144654.79999999999</v>
          </cell>
          <cell r="I1765">
            <v>1226.2999999998415</v>
          </cell>
          <cell r="J1765">
            <v>144870.70000000001</v>
          </cell>
        </row>
        <row r="1766">
          <cell r="G1766">
            <v>1226.2999999998415</v>
          </cell>
          <cell r="H1766">
            <v>144870.70000000001</v>
          </cell>
          <cell r="I1766">
            <v>1226.3999999998414</v>
          </cell>
          <cell r="J1766">
            <v>145086.6</v>
          </cell>
        </row>
        <row r="1767">
          <cell r="G1767">
            <v>1226.3999999998414</v>
          </cell>
          <cell r="H1767">
            <v>145086.6</v>
          </cell>
          <cell r="I1767">
            <v>1226.4999999998413</v>
          </cell>
          <cell r="J1767">
            <v>145302.5</v>
          </cell>
        </row>
        <row r="1768">
          <cell r="G1768">
            <v>1226.4999999998413</v>
          </cell>
          <cell r="H1768">
            <v>145302.5</v>
          </cell>
          <cell r="I1768">
            <v>1226.5999999998412</v>
          </cell>
          <cell r="J1768">
            <v>145518.39999999999</v>
          </cell>
        </row>
        <row r="1769">
          <cell r="G1769">
            <v>1226.5999999998412</v>
          </cell>
          <cell r="H1769">
            <v>145518.39999999999</v>
          </cell>
          <cell r="I1769">
            <v>1226.6999999998411</v>
          </cell>
          <cell r="J1769">
            <v>145734.29999999999</v>
          </cell>
        </row>
        <row r="1770">
          <cell r="G1770">
            <v>1226.6999999998411</v>
          </cell>
          <cell r="H1770">
            <v>145734.29999999999</v>
          </cell>
          <cell r="I1770">
            <v>1226.799999999841</v>
          </cell>
          <cell r="J1770">
            <v>145950.20000000001</v>
          </cell>
        </row>
        <row r="1771">
          <cell r="G1771">
            <v>1226.799999999841</v>
          </cell>
          <cell r="H1771">
            <v>145950.20000000001</v>
          </cell>
          <cell r="I1771">
            <v>1226.8999999998409</v>
          </cell>
          <cell r="J1771">
            <v>146166.1</v>
          </cell>
        </row>
        <row r="1772">
          <cell r="G1772">
            <v>1226.8999999998409</v>
          </cell>
          <cell r="H1772">
            <v>146166.1</v>
          </cell>
          <cell r="I1772">
            <v>1226.9999999998408</v>
          </cell>
          <cell r="J1772">
            <v>146382</v>
          </cell>
        </row>
        <row r="1773">
          <cell r="G1773">
            <v>1226.9999999998408</v>
          </cell>
          <cell r="H1773">
            <v>146382</v>
          </cell>
          <cell r="I1773">
            <v>1227.0999999998407</v>
          </cell>
          <cell r="J1773">
            <v>146600.6</v>
          </cell>
        </row>
        <row r="1774">
          <cell r="G1774">
            <v>1227.0999999998407</v>
          </cell>
          <cell r="H1774">
            <v>146600.6</v>
          </cell>
          <cell r="I1774">
            <v>1227.1999999998407</v>
          </cell>
          <cell r="J1774">
            <v>146819.20000000001</v>
          </cell>
        </row>
        <row r="1775">
          <cell r="G1775">
            <v>1227.1999999998407</v>
          </cell>
          <cell r="H1775">
            <v>146819.20000000001</v>
          </cell>
          <cell r="I1775">
            <v>1227.2999999998406</v>
          </cell>
          <cell r="J1775">
            <v>147037.79999999999</v>
          </cell>
        </row>
        <row r="1776">
          <cell r="G1776">
            <v>1227.2999999998406</v>
          </cell>
          <cell r="H1776">
            <v>147037.79999999999</v>
          </cell>
          <cell r="I1776">
            <v>1227.3999999998405</v>
          </cell>
          <cell r="J1776">
            <v>147256.4</v>
          </cell>
        </row>
        <row r="1777">
          <cell r="G1777">
            <v>1227.3999999998405</v>
          </cell>
          <cell r="H1777">
            <v>147256.4</v>
          </cell>
          <cell r="I1777">
            <v>1227.4999999998404</v>
          </cell>
          <cell r="J1777">
            <v>147475</v>
          </cell>
        </row>
        <row r="1778">
          <cell r="G1778">
            <v>1227.4999999998404</v>
          </cell>
          <cell r="H1778">
            <v>147475</v>
          </cell>
          <cell r="I1778">
            <v>1227.5999999998403</v>
          </cell>
          <cell r="J1778">
            <v>147693.6</v>
          </cell>
        </row>
        <row r="1779">
          <cell r="G1779">
            <v>1227.5999999998403</v>
          </cell>
          <cell r="H1779">
            <v>147693.6</v>
          </cell>
          <cell r="I1779">
            <v>1227.6999999998402</v>
          </cell>
          <cell r="J1779">
            <v>147912.20000000001</v>
          </cell>
        </row>
        <row r="1780">
          <cell r="G1780">
            <v>1227.6999999998402</v>
          </cell>
          <cell r="H1780">
            <v>147912.20000000001</v>
          </cell>
          <cell r="I1780">
            <v>1227.7999999998401</v>
          </cell>
          <cell r="J1780">
            <v>148130.79999999999</v>
          </cell>
        </row>
        <row r="1781">
          <cell r="G1781">
            <v>1227.7999999998401</v>
          </cell>
          <cell r="H1781">
            <v>148130.79999999999</v>
          </cell>
          <cell r="I1781">
            <v>1227.89999999984</v>
          </cell>
          <cell r="J1781">
            <v>148349.4</v>
          </cell>
        </row>
        <row r="1782">
          <cell r="G1782">
            <v>1227.89999999984</v>
          </cell>
          <cell r="H1782">
            <v>148349.4</v>
          </cell>
          <cell r="I1782">
            <v>1227.9999999998399</v>
          </cell>
          <cell r="J1782">
            <v>148568</v>
          </cell>
        </row>
        <row r="1783">
          <cell r="G1783">
            <v>1227.9999999998399</v>
          </cell>
          <cell r="H1783">
            <v>148568</v>
          </cell>
          <cell r="I1783">
            <v>1228.0999999998398</v>
          </cell>
          <cell r="J1783">
            <v>148789.29999999999</v>
          </cell>
        </row>
        <row r="1784">
          <cell r="G1784">
            <v>1228.0999999998398</v>
          </cell>
          <cell r="H1784">
            <v>148789.29999999999</v>
          </cell>
          <cell r="I1784">
            <v>1228.1999999998397</v>
          </cell>
          <cell r="J1784">
            <v>149010.6</v>
          </cell>
        </row>
        <row r="1785">
          <cell r="G1785">
            <v>1228.1999999998397</v>
          </cell>
          <cell r="H1785">
            <v>149010.6</v>
          </cell>
          <cell r="I1785">
            <v>1228.2999999998397</v>
          </cell>
          <cell r="J1785">
            <v>149231.9</v>
          </cell>
        </row>
        <row r="1786">
          <cell r="G1786">
            <v>1228.2999999998397</v>
          </cell>
          <cell r="H1786">
            <v>149231.9</v>
          </cell>
          <cell r="I1786">
            <v>1228.3999999998396</v>
          </cell>
          <cell r="J1786">
            <v>149453.20000000001</v>
          </cell>
        </row>
        <row r="1787">
          <cell r="G1787">
            <v>1228.3999999998396</v>
          </cell>
          <cell r="H1787">
            <v>149453.20000000001</v>
          </cell>
          <cell r="I1787">
            <v>1228.4999999998395</v>
          </cell>
          <cell r="J1787">
            <v>149674.5</v>
          </cell>
        </row>
        <row r="1788">
          <cell r="G1788">
            <v>1228.4999999998395</v>
          </cell>
          <cell r="H1788">
            <v>149674.5</v>
          </cell>
          <cell r="I1788">
            <v>1228.5999999998394</v>
          </cell>
          <cell r="J1788">
            <v>149895.79999999999</v>
          </cell>
        </row>
        <row r="1789">
          <cell r="G1789">
            <v>1228.5999999998394</v>
          </cell>
          <cell r="H1789">
            <v>149895.79999999999</v>
          </cell>
          <cell r="I1789">
            <v>1228.6999999998393</v>
          </cell>
          <cell r="J1789">
            <v>150117.1</v>
          </cell>
        </row>
        <row r="1790">
          <cell r="G1790">
            <v>1228.6999999998393</v>
          </cell>
          <cell r="H1790">
            <v>150117.1</v>
          </cell>
          <cell r="I1790">
            <v>1228.7999999998392</v>
          </cell>
          <cell r="J1790">
            <v>150338.4</v>
          </cell>
        </row>
        <row r="1791">
          <cell r="G1791">
            <v>1228.7999999998392</v>
          </cell>
          <cell r="H1791">
            <v>150338.4</v>
          </cell>
          <cell r="I1791">
            <v>1228.8999999998391</v>
          </cell>
          <cell r="J1791">
            <v>150559.70000000001</v>
          </cell>
        </row>
        <row r="1792">
          <cell r="G1792">
            <v>1228.8999999998391</v>
          </cell>
          <cell r="H1792">
            <v>150559.70000000001</v>
          </cell>
          <cell r="I1792">
            <v>1228.999999999839</v>
          </cell>
          <cell r="J1792">
            <v>150781</v>
          </cell>
        </row>
      </sheetData>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
  <sheetViews>
    <sheetView workbookViewId="0">
      <selection activeCell="C18" sqref="C18"/>
    </sheetView>
  </sheetViews>
  <sheetFormatPr defaultRowHeight="13.2" x14ac:dyDescent="0.25"/>
  <cols>
    <col min="1" max="1" width="12.44140625" style="1175" customWidth="1"/>
    <col min="2" max="2" width="10.5546875" style="1175" customWidth="1"/>
    <col min="3" max="3" width="73.6640625" customWidth="1"/>
  </cols>
  <sheetData>
    <row r="3" spans="1:3" x14ac:dyDescent="0.25">
      <c r="A3" s="1174" t="s">
        <v>1</v>
      </c>
      <c r="B3" s="1174" t="s">
        <v>880</v>
      </c>
      <c r="C3" s="906" t="s">
        <v>884</v>
      </c>
    </row>
    <row r="4" spans="1:3" x14ac:dyDescent="0.25">
      <c r="A4" s="1175" t="s">
        <v>881</v>
      </c>
      <c r="B4" s="1175" t="s">
        <v>882</v>
      </c>
      <c r="C4" t="s">
        <v>883</v>
      </c>
    </row>
    <row r="5" spans="1:3" x14ac:dyDescent="0.25">
      <c r="A5" s="1176">
        <v>42676</v>
      </c>
      <c r="B5" s="1175" t="s">
        <v>882</v>
      </c>
      <c r="C5" t="s">
        <v>885</v>
      </c>
    </row>
    <row r="6" spans="1:3" x14ac:dyDescent="0.25">
      <c r="A6" s="1176">
        <v>42780</v>
      </c>
      <c r="B6" s="1177" t="s">
        <v>899</v>
      </c>
      <c r="C6" s="631" t="s">
        <v>900</v>
      </c>
    </row>
    <row r="7" spans="1:3" x14ac:dyDescent="0.25">
      <c r="A7" s="1176">
        <v>42780</v>
      </c>
      <c r="B7" s="1177" t="s">
        <v>899</v>
      </c>
      <c r="C7" s="631" t="s">
        <v>901</v>
      </c>
    </row>
    <row r="8" spans="1:3" x14ac:dyDescent="0.25">
      <c r="A8" s="1176">
        <v>43006</v>
      </c>
      <c r="B8" s="1175" t="s">
        <v>899</v>
      </c>
      <c r="C8" t="s">
        <v>911</v>
      </c>
    </row>
    <row r="9" spans="1:3" x14ac:dyDescent="0.25">
      <c r="A9" s="1176">
        <v>43054</v>
      </c>
      <c r="B9" s="1175" t="s">
        <v>899</v>
      </c>
      <c r="C9" t="s">
        <v>918</v>
      </c>
    </row>
    <row r="10" spans="1:3" x14ac:dyDescent="0.25">
      <c r="A10" s="1176">
        <v>43054</v>
      </c>
      <c r="B10" s="1175" t="s">
        <v>899</v>
      </c>
      <c r="C10" t="s">
        <v>916</v>
      </c>
    </row>
    <row r="11" spans="1:3" x14ac:dyDescent="0.25">
      <c r="A11" s="1176">
        <v>43054</v>
      </c>
      <c r="B11" s="1175" t="s">
        <v>899</v>
      </c>
      <c r="C11" t="s">
        <v>917</v>
      </c>
    </row>
    <row r="12" spans="1:3" x14ac:dyDescent="0.25">
      <c r="A12" s="1176">
        <v>43055</v>
      </c>
      <c r="B12" s="1175" t="s">
        <v>899</v>
      </c>
      <c r="C12" t="s">
        <v>919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R1794"/>
  <sheetViews>
    <sheetView workbookViewId="0">
      <selection activeCell="R25" sqref="R25"/>
    </sheetView>
  </sheetViews>
  <sheetFormatPr defaultColWidth="9.109375" defaultRowHeight="13.2" x14ac:dyDescent="0.25"/>
  <cols>
    <col min="1" max="1" width="9.109375" style="64"/>
    <col min="2" max="6" width="9.109375" style="78"/>
    <col min="7" max="15" width="9.109375" style="64"/>
    <col min="16" max="16" width="10.44140625" style="64" bestFit="1" customWidth="1"/>
    <col min="17" max="17" width="9.44140625" style="64" bestFit="1" customWidth="1"/>
    <col min="18" max="16384" width="9.109375" style="64"/>
  </cols>
  <sheetData>
    <row r="1" spans="1:18" x14ac:dyDescent="0.25">
      <c r="A1" s="64" t="s">
        <v>224</v>
      </c>
      <c r="O1" s="64" t="s">
        <v>878</v>
      </c>
      <c r="P1" s="64" t="s">
        <v>54</v>
      </c>
      <c r="Q1" s="64" t="s">
        <v>55</v>
      </c>
    </row>
    <row r="2" spans="1:18" ht="14.4" x14ac:dyDescent="0.3">
      <c r="B2" s="78" t="s">
        <v>225</v>
      </c>
      <c r="G2" s="64" t="s">
        <v>226</v>
      </c>
      <c r="J2" s="658"/>
      <c r="L2" s="64" t="s">
        <v>227</v>
      </c>
      <c r="M2" s="64">
        <f>1220+198</f>
        <v>1418</v>
      </c>
      <c r="O2" s="64">
        <f>P2/1000</f>
        <v>0.2</v>
      </c>
      <c r="P2" s="1112">
        <v>200</v>
      </c>
      <c r="Q2" s="1112">
        <f t="shared" ref="Q2:Q14" si="0">VLOOKUP(P2,hhdelev_wcm,4) -(((VLOOKUP(P2,hhdelev_wcm,3)-P2)/(VLOOKUP(P2,hhdelev_wcm,3)-VLOOKUP(P2,hhdelev_wcm,1)))*(VLOOKUP(P2,hhdelev_wcm,4)-VLOOKUP(P2,hhdelev_wcm,2)))</f>
        <v>1069.6599999999839</v>
      </c>
    </row>
    <row r="3" spans="1:18" ht="14.4" x14ac:dyDescent="0.3">
      <c r="B3" s="78">
        <v>0</v>
      </c>
      <c r="C3" s="78">
        <v>1049</v>
      </c>
      <c r="D3" s="658">
        <v>1</v>
      </c>
      <c r="E3" s="658">
        <v>1050</v>
      </c>
      <c r="G3" s="64">
        <v>1050</v>
      </c>
      <c r="H3" s="658">
        <v>1</v>
      </c>
      <c r="I3" s="64">
        <v>1050.0999999999999</v>
      </c>
      <c r="J3" s="658">
        <v>1</v>
      </c>
      <c r="L3" s="64" t="s">
        <v>228</v>
      </c>
      <c r="M3" s="64">
        <f>VLOOKUP(M2,hhdelev_wcm,4) -(((VLOOKUP(M2,hhdelev_wcm,3)-M2)/(VLOOKUP(M2,hhdelev_wcm,3)-VLOOKUP(M2,hhdelev_wcm,1)))*(VLOOKUP(M2,hhdelev_wcm,4)-VLOOKUP(M2,hhdelev_wcm,2)))</f>
        <v>1081.4642857142589</v>
      </c>
      <c r="O3" s="1120">
        <f>P3/1000</f>
        <v>0.61899999999999999</v>
      </c>
      <c r="P3" s="1112">
        <v>619</v>
      </c>
      <c r="Q3" s="1112">
        <f t="shared" si="0"/>
        <v>1074.9999999999791</v>
      </c>
      <c r="R3" s="1113"/>
    </row>
    <row r="4" spans="1:18" ht="14.4" x14ac:dyDescent="0.3">
      <c r="B4" s="657">
        <v>1</v>
      </c>
      <c r="C4" s="657">
        <v>1050</v>
      </c>
      <c r="D4" s="658">
        <v>1</v>
      </c>
      <c r="E4" s="658">
        <v>1050.0999999999999</v>
      </c>
      <c r="G4" s="64">
        <v>1050.0999999999999</v>
      </c>
      <c r="H4" s="658">
        <v>1</v>
      </c>
      <c r="I4" s="64">
        <v>1050.2</v>
      </c>
      <c r="J4" s="658">
        <v>2</v>
      </c>
      <c r="O4" s="64">
        <f t="shared" ref="O4:O14" si="1">P4/1000</f>
        <v>5</v>
      </c>
      <c r="P4" s="1112">
        <v>5000</v>
      </c>
      <c r="Q4" s="1112">
        <f t="shared" si="0"/>
        <v>1099.4519999999568</v>
      </c>
      <c r="R4" s="1114">
        <f>Q4-Q2</f>
        <v>29.791999999972859</v>
      </c>
    </row>
    <row r="5" spans="1:18" ht="14.4" x14ac:dyDescent="0.3">
      <c r="B5" s="657">
        <v>1</v>
      </c>
      <c r="C5" s="657">
        <v>1050.0999999999999</v>
      </c>
      <c r="D5" s="658">
        <v>2</v>
      </c>
      <c r="E5" s="658">
        <v>1050.2</v>
      </c>
      <c r="G5" s="64">
        <v>1050.2</v>
      </c>
      <c r="H5" s="658">
        <v>2</v>
      </c>
      <c r="I5" s="64">
        <v>1050.3</v>
      </c>
      <c r="J5" s="658">
        <v>2</v>
      </c>
      <c r="L5" s="64" t="s">
        <v>228</v>
      </c>
      <c r="M5" s="64">
        <v>1104.71</v>
      </c>
      <c r="O5" s="64">
        <f t="shared" si="1"/>
        <v>10</v>
      </c>
      <c r="P5" s="1112">
        <f t="shared" ref="P5:P13" si="2">P4+5000</f>
        <v>10000</v>
      </c>
      <c r="Q5" s="1112">
        <f t="shared" si="0"/>
        <v>1115.7729729729149</v>
      </c>
      <c r="R5" s="1114">
        <f t="shared" ref="R5:R13" si="3">Q5-Q4</f>
        <v>16.320972972958089</v>
      </c>
    </row>
    <row r="6" spans="1:18" ht="14.4" x14ac:dyDescent="0.3">
      <c r="B6" s="657">
        <v>2</v>
      </c>
      <c r="C6" s="657">
        <v>1050.2</v>
      </c>
      <c r="D6" s="658">
        <v>2</v>
      </c>
      <c r="E6" s="658">
        <v>1050.3</v>
      </c>
      <c r="G6" s="64">
        <v>1050.3</v>
      </c>
      <c r="H6" s="658">
        <v>2</v>
      </c>
      <c r="I6" s="64">
        <v>1050.4000000000001</v>
      </c>
      <c r="J6" s="658">
        <v>2</v>
      </c>
      <c r="L6" s="64" t="s">
        <v>227</v>
      </c>
      <c r="M6" s="64">
        <f>(VLOOKUP(M5,hhdcap_wcm,4)-(((VLOOKUP(M5,hhdcap_wcm,3)-M5)/(VLOOKUP(M5,hhdcap_wcm,3)-VLOOKUP(M5,hhdcap_wcm,1)))*(VLOOKUP(M5,hhdcap_wcm,4)-VLOOKUP(M5,hhdcap_wcm,2))))</f>
        <v>6405.8000000134334</v>
      </c>
      <c r="O6" s="64">
        <f t="shared" si="1"/>
        <v>15</v>
      </c>
      <c r="P6" s="1112">
        <f t="shared" si="2"/>
        <v>15000</v>
      </c>
      <c r="Q6" s="1112">
        <f t="shared" si="0"/>
        <v>1126.7603773584226</v>
      </c>
      <c r="R6" s="1114">
        <f t="shared" si="3"/>
        <v>10.987404385507716</v>
      </c>
    </row>
    <row r="7" spans="1:18" ht="14.4" x14ac:dyDescent="0.3">
      <c r="B7" s="657">
        <v>2</v>
      </c>
      <c r="C7" s="657">
        <v>1050.3</v>
      </c>
      <c r="D7" s="658">
        <v>2</v>
      </c>
      <c r="E7" s="658">
        <v>1050.4000000000001</v>
      </c>
      <c r="G7" s="64">
        <v>1050.4000000000001</v>
      </c>
      <c r="H7" s="658">
        <v>2</v>
      </c>
      <c r="I7" s="64">
        <v>1050.5</v>
      </c>
      <c r="J7" s="658">
        <v>2</v>
      </c>
      <c r="O7" s="64">
        <f t="shared" si="1"/>
        <v>20</v>
      </c>
      <c r="P7" s="1112">
        <f t="shared" si="2"/>
        <v>20000</v>
      </c>
      <c r="Q7" s="1112">
        <f t="shared" si="0"/>
        <v>1135.1358208954468</v>
      </c>
      <c r="R7" s="1114">
        <f t="shared" si="3"/>
        <v>8.375443537024239</v>
      </c>
    </row>
    <row r="8" spans="1:18" ht="14.4" x14ac:dyDescent="0.3">
      <c r="B8" s="657">
        <v>2</v>
      </c>
      <c r="C8" s="657">
        <v>1050.4000000000001</v>
      </c>
      <c r="D8" s="658">
        <v>2</v>
      </c>
      <c r="E8" s="658">
        <v>1050.5</v>
      </c>
      <c r="G8" s="64">
        <v>1050.5</v>
      </c>
      <c r="H8" s="658">
        <v>2</v>
      </c>
      <c r="I8" s="64">
        <v>1050.5999999999999</v>
      </c>
      <c r="J8" s="658">
        <v>2</v>
      </c>
      <c r="O8" s="64">
        <f t="shared" si="1"/>
        <v>25</v>
      </c>
      <c r="P8" s="1112">
        <f t="shared" si="2"/>
        <v>25000</v>
      </c>
      <c r="Q8" s="1112">
        <f t="shared" si="0"/>
        <v>1142.0607594935889</v>
      </c>
      <c r="R8" s="1114">
        <f t="shared" si="3"/>
        <v>6.9249385981420346</v>
      </c>
    </row>
    <row r="9" spans="1:18" ht="14.4" x14ac:dyDescent="0.3">
      <c r="B9" s="657">
        <v>2</v>
      </c>
      <c r="C9" s="657">
        <v>1050.5</v>
      </c>
      <c r="D9" s="658">
        <v>2</v>
      </c>
      <c r="E9" s="658">
        <v>1050.5999999999999</v>
      </c>
      <c r="G9" s="64">
        <v>1050.5999999999999</v>
      </c>
      <c r="H9" s="658">
        <v>2</v>
      </c>
      <c r="I9" s="64">
        <v>1050.7</v>
      </c>
      <c r="J9" s="658">
        <v>2</v>
      </c>
      <c r="M9" s="105"/>
      <c r="O9" s="64">
        <f t="shared" si="1"/>
        <v>30</v>
      </c>
      <c r="P9" s="1112">
        <f t="shared" si="2"/>
        <v>30000</v>
      </c>
      <c r="Q9" s="1112">
        <f t="shared" si="0"/>
        <v>1148.01348314598</v>
      </c>
      <c r="R9" s="1114">
        <f t="shared" si="3"/>
        <v>5.9527236523911142</v>
      </c>
    </row>
    <row r="10" spans="1:18" ht="14.4" x14ac:dyDescent="0.3">
      <c r="B10" s="657">
        <v>2</v>
      </c>
      <c r="C10" s="657">
        <v>1050.5999999999999</v>
      </c>
      <c r="D10" s="658">
        <v>2</v>
      </c>
      <c r="E10" s="658">
        <v>1050.7</v>
      </c>
      <c r="G10" s="64">
        <v>1050.7</v>
      </c>
      <c r="H10" s="658">
        <v>2</v>
      </c>
      <c r="I10" s="64">
        <v>1050.8</v>
      </c>
      <c r="J10" s="658">
        <v>2</v>
      </c>
      <c r="M10" s="105"/>
      <c r="O10" s="64">
        <f t="shared" si="1"/>
        <v>35</v>
      </c>
      <c r="P10" s="1112">
        <f t="shared" si="2"/>
        <v>35000</v>
      </c>
      <c r="Q10" s="1112">
        <f t="shared" si="0"/>
        <v>1153.4340206184645</v>
      </c>
      <c r="R10" s="1114">
        <f t="shared" si="3"/>
        <v>5.4205374724845115</v>
      </c>
    </row>
    <row r="11" spans="1:18" ht="14.4" x14ac:dyDescent="0.3">
      <c r="B11" s="657">
        <v>2</v>
      </c>
      <c r="C11" s="657">
        <v>1050.7</v>
      </c>
      <c r="D11" s="658">
        <v>2</v>
      </c>
      <c r="E11" s="658">
        <v>1050.8</v>
      </c>
      <c r="G11" s="64">
        <v>1050.8</v>
      </c>
      <c r="H11" s="658">
        <v>2</v>
      </c>
      <c r="I11" s="64">
        <v>1050.9000000000001</v>
      </c>
      <c r="J11" s="658">
        <v>2</v>
      </c>
      <c r="M11" s="105"/>
      <c r="O11" s="64">
        <f t="shared" si="1"/>
        <v>40</v>
      </c>
      <c r="P11" s="1112">
        <f t="shared" si="2"/>
        <v>40000</v>
      </c>
      <c r="Q11" s="1112">
        <f t="shared" si="0"/>
        <v>1158.4572815533013</v>
      </c>
      <c r="R11" s="1114">
        <f t="shared" si="3"/>
        <v>5.0232609348367987</v>
      </c>
    </row>
    <row r="12" spans="1:18" ht="14.4" x14ac:dyDescent="0.3">
      <c r="B12" s="657">
        <v>2</v>
      </c>
      <c r="C12" s="657">
        <v>1050.8</v>
      </c>
      <c r="D12" s="658">
        <v>2</v>
      </c>
      <c r="E12" s="658">
        <v>1050.9000000000001</v>
      </c>
      <c r="G12" s="64">
        <v>1050.9000000000001</v>
      </c>
      <c r="H12" s="658">
        <v>2</v>
      </c>
      <c r="I12" s="64">
        <v>1051</v>
      </c>
      <c r="J12" s="658">
        <v>2</v>
      </c>
      <c r="M12" s="105"/>
      <c r="O12" s="64">
        <f t="shared" si="1"/>
        <v>45</v>
      </c>
      <c r="P12" s="1112">
        <f t="shared" si="2"/>
        <v>45000</v>
      </c>
      <c r="Q12" s="1112">
        <f t="shared" si="0"/>
        <v>1163.1654545453534</v>
      </c>
      <c r="R12" s="1114">
        <f t="shared" si="3"/>
        <v>4.7081729920521411</v>
      </c>
    </row>
    <row r="13" spans="1:18" ht="14.4" x14ac:dyDescent="0.3">
      <c r="B13" s="657">
        <v>2</v>
      </c>
      <c r="C13" s="657">
        <v>1050.9000000000001</v>
      </c>
      <c r="D13" s="658">
        <v>2</v>
      </c>
      <c r="E13" s="658">
        <v>1051</v>
      </c>
      <c r="G13" s="64">
        <v>1051</v>
      </c>
      <c r="H13" s="658">
        <v>2</v>
      </c>
      <c r="I13" s="64">
        <v>1051.0999999999999</v>
      </c>
      <c r="J13" s="658">
        <v>2</v>
      </c>
      <c r="O13" s="64">
        <f t="shared" si="1"/>
        <v>50</v>
      </c>
      <c r="P13" s="1112">
        <f t="shared" si="2"/>
        <v>50000</v>
      </c>
      <c r="Q13" s="1112">
        <f t="shared" si="0"/>
        <v>1167.6526315788421</v>
      </c>
      <c r="R13" s="1114">
        <f t="shared" si="3"/>
        <v>4.487177033488706</v>
      </c>
    </row>
    <row r="14" spans="1:18" ht="14.4" x14ac:dyDescent="0.3">
      <c r="B14" s="657">
        <v>2</v>
      </c>
      <c r="C14" s="657">
        <v>1051</v>
      </c>
      <c r="D14" s="658">
        <v>2</v>
      </c>
      <c r="E14" s="658">
        <v>1051.0999999999999</v>
      </c>
      <c r="G14" s="64">
        <v>1051.0999999999999</v>
      </c>
      <c r="H14" s="658">
        <v>2</v>
      </c>
      <c r="I14" s="64">
        <v>1051.2</v>
      </c>
      <c r="J14" s="658">
        <v>2</v>
      </c>
      <c r="O14" s="64">
        <f t="shared" si="1"/>
        <v>55</v>
      </c>
      <c r="P14" s="1112">
        <f>P13+5000</f>
        <v>55000</v>
      </c>
      <c r="Q14" s="1112">
        <f t="shared" si="0"/>
        <v>1171.9474576270095</v>
      </c>
      <c r="R14" s="1114">
        <f>Q14-Q13</f>
        <v>4.2948260481673515</v>
      </c>
    </row>
    <row r="15" spans="1:18" ht="14.4" x14ac:dyDescent="0.3">
      <c r="B15" s="657">
        <v>2</v>
      </c>
      <c r="C15" s="657">
        <v>1051.0999999999999</v>
      </c>
      <c r="D15" s="658">
        <v>2</v>
      </c>
      <c r="E15" s="658">
        <v>1051.2</v>
      </c>
      <c r="G15" s="64">
        <v>1051.2</v>
      </c>
      <c r="H15" s="658">
        <v>2</v>
      </c>
      <c r="I15" s="64">
        <v>1051.3</v>
      </c>
      <c r="J15" s="658">
        <v>2</v>
      </c>
    </row>
    <row r="16" spans="1:18" ht="14.4" x14ac:dyDescent="0.3">
      <c r="B16" s="657">
        <v>2</v>
      </c>
      <c r="C16" s="657">
        <v>1051.2</v>
      </c>
      <c r="D16" s="658">
        <v>2</v>
      </c>
      <c r="E16" s="658">
        <v>1051.3</v>
      </c>
      <c r="G16" s="64">
        <v>1051.3</v>
      </c>
      <c r="H16" s="658">
        <v>2</v>
      </c>
      <c r="I16" s="64">
        <v>1051.4000000000001</v>
      </c>
      <c r="J16" s="658">
        <v>2</v>
      </c>
    </row>
    <row r="17" spans="2:10" ht="14.4" x14ac:dyDescent="0.3">
      <c r="B17" s="657">
        <v>2</v>
      </c>
      <c r="C17" s="657">
        <v>1051.3</v>
      </c>
      <c r="D17" s="658">
        <v>2</v>
      </c>
      <c r="E17" s="658">
        <v>1051.4000000000001</v>
      </c>
      <c r="G17" s="64">
        <v>1051.4000000000001</v>
      </c>
      <c r="H17" s="658">
        <v>2</v>
      </c>
      <c r="I17" s="64">
        <v>1051.5</v>
      </c>
      <c r="J17" s="658">
        <v>2</v>
      </c>
    </row>
    <row r="18" spans="2:10" ht="14.4" x14ac:dyDescent="0.3">
      <c r="B18" s="657">
        <v>2</v>
      </c>
      <c r="C18" s="657">
        <v>1051.4000000000001</v>
      </c>
      <c r="D18" s="658">
        <v>2</v>
      </c>
      <c r="E18" s="658">
        <v>1051.5</v>
      </c>
      <c r="G18" s="64">
        <v>1051.5</v>
      </c>
      <c r="H18" s="658">
        <v>2</v>
      </c>
      <c r="I18" s="64">
        <v>1051.5999999999999</v>
      </c>
      <c r="J18" s="658">
        <v>2</v>
      </c>
    </row>
    <row r="19" spans="2:10" ht="14.4" x14ac:dyDescent="0.3">
      <c r="B19" s="657">
        <v>2</v>
      </c>
      <c r="C19" s="657">
        <v>1051.5</v>
      </c>
      <c r="D19" s="658">
        <v>2</v>
      </c>
      <c r="E19" s="658">
        <v>1051.5999999999999</v>
      </c>
      <c r="G19" s="64">
        <v>1051.5999999999999</v>
      </c>
      <c r="H19" s="658">
        <v>2</v>
      </c>
      <c r="I19" s="64">
        <v>1051.7</v>
      </c>
      <c r="J19" s="658">
        <v>2</v>
      </c>
    </row>
    <row r="20" spans="2:10" ht="14.4" x14ac:dyDescent="0.3">
      <c r="B20" s="657">
        <v>2</v>
      </c>
      <c r="C20" s="657">
        <v>1051.5999999999999</v>
      </c>
      <c r="D20" s="658">
        <v>2</v>
      </c>
      <c r="E20" s="658">
        <v>1051.7</v>
      </c>
      <c r="G20" s="64">
        <v>1051.7</v>
      </c>
      <c r="H20" s="658">
        <v>2</v>
      </c>
      <c r="I20" s="64">
        <v>1051.8</v>
      </c>
      <c r="J20" s="658">
        <v>2</v>
      </c>
    </row>
    <row r="21" spans="2:10" ht="14.4" x14ac:dyDescent="0.3">
      <c r="B21" s="657">
        <v>2</v>
      </c>
      <c r="C21" s="657">
        <v>1051.7</v>
      </c>
      <c r="D21" s="658">
        <v>2</v>
      </c>
      <c r="E21" s="658">
        <v>1051.8</v>
      </c>
      <c r="G21" s="64">
        <v>1051.8</v>
      </c>
      <c r="H21" s="658">
        <v>2</v>
      </c>
      <c r="I21" s="64">
        <v>1051.9000000000001</v>
      </c>
      <c r="J21" s="658">
        <v>2</v>
      </c>
    </row>
    <row r="22" spans="2:10" ht="14.4" x14ac:dyDescent="0.3">
      <c r="B22" s="657">
        <v>2</v>
      </c>
      <c r="C22" s="657">
        <v>1051.8</v>
      </c>
      <c r="D22" s="658">
        <v>2</v>
      </c>
      <c r="E22" s="658">
        <v>1051.9000000000001</v>
      </c>
      <c r="G22" s="64">
        <v>1051.9000000000001</v>
      </c>
      <c r="H22" s="658">
        <v>2</v>
      </c>
      <c r="I22" s="64">
        <v>1052</v>
      </c>
      <c r="J22" s="658">
        <v>2</v>
      </c>
    </row>
    <row r="23" spans="2:10" ht="14.4" x14ac:dyDescent="0.3">
      <c r="B23" s="657">
        <v>2</v>
      </c>
      <c r="C23" s="657">
        <v>1051.9000000000001</v>
      </c>
      <c r="D23" s="658">
        <v>2</v>
      </c>
      <c r="E23" s="658">
        <v>1052</v>
      </c>
      <c r="G23" s="64">
        <v>1052</v>
      </c>
      <c r="H23" s="658">
        <v>2</v>
      </c>
      <c r="I23" s="64">
        <v>1052.0999999999999</v>
      </c>
      <c r="J23" s="658">
        <v>2</v>
      </c>
    </row>
    <row r="24" spans="2:10" ht="14.4" x14ac:dyDescent="0.3">
      <c r="B24" s="657">
        <v>2</v>
      </c>
      <c r="C24" s="657">
        <v>1052</v>
      </c>
      <c r="D24" s="658">
        <v>2</v>
      </c>
      <c r="E24" s="658">
        <v>1052.0999999999999</v>
      </c>
      <c r="G24" s="64">
        <v>1052.0999999999999</v>
      </c>
      <c r="H24" s="658">
        <v>2</v>
      </c>
      <c r="I24" s="64">
        <v>1052.2</v>
      </c>
      <c r="J24" s="658">
        <v>2</v>
      </c>
    </row>
    <row r="25" spans="2:10" ht="14.4" x14ac:dyDescent="0.3">
      <c r="B25" s="657">
        <v>2</v>
      </c>
      <c r="C25" s="657">
        <v>1052.0999999999999</v>
      </c>
      <c r="D25" s="658">
        <v>2</v>
      </c>
      <c r="E25" s="658">
        <v>1052.2</v>
      </c>
      <c r="G25" s="64">
        <v>1052.2</v>
      </c>
      <c r="H25" s="658">
        <v>2</v>
      </c>
      <c r="I25" s="64">
        <v>1052.3</v>
      </c>
      <c r="J25" s="658">
        <v>2</v>
      </c>
    </row>
    <row r="26" spans="2:10" ht="14.4" x14ac:dyDescent="0.3">
      <c r="B26" s="657">
        <v>2</v>
      </c>
      <c r="C26" s="657">
        <v>1052.2</v>
      </c>
      <c r="D26" s="658">
        <v>2</v>
      </c>
      <c r="E26" s="658">
        <v>1052.3</v>
      </c>
      <c r="G26" s="64">
        <v>1052.3</v>
      </c>
      <c r="H26" s="658">
        <v>2</v>
      </c>
      <c r="I26" s="64">
        <v>1052.4000000000001</v>
      </c>
      <c r="J26" s="658">
        <v>2</v>
      </c>
    </row>
    <row r="27" spans="2:10" ht="14.4" x14ac:dyDescent="0.3">
      <c r="B27" s="657">
        <v>2</v>
      </c>
      <c r="C27" s="657">
        <v>1052.3</v>
      </c>
      <c r="D27" s="658">
        <v>2</v>
      </c>
      <c r="E27" s="658">
        <v>1052.4000000000001</v>
      </c>
      <c r="G27" s="64">
        <v>1052.4000000000001</v>
      </c>
      <c r="H27" s="658">
        <v>2</v>
      </c>
      <c r="I27" s="64">
        <v>1052.5</v>
      </c>
      <c r="J27" s="658">
        <v>2</v>
      </c>
    </row>
    <row r="28" spans="2:10" ht="14.4" x14ac:dyDescent="0.3">
      <c r="B28" s="657">
        <v>2</v>
      </c>
      <c r="C28" s="657">
        <v>1052.4000000000001</v>
      </c>
      <c r="D28" s="658">
        <v>2</v>
      </c>
      <c r="E28" s="658">
        <v>1052.5</v>
      </c>
      <c r="G28" s="64">
        <v>1052.5</v>
      </c>
      <c r="H28" s="658">
        <v>2</v>
      </c>
      <c r="I28" s="64">
        <v>1052.5999999999999</v>
      </c>
      <c r="J28" s="658">
        <v>2</v>
      </c>
    </row>
    <row r="29" spans="2:10" ht="14.4" x14ac:dyDescent="0.3">
      <c r="B29" s="657">
        <v>2</v>
      </c>
      <c r="C29" s="657">
        <v>1052.5</v>
      </c>
      <c r="D29" s="658">
        <v>2</v>
      </c>
      <c r="E29" s="658">
        <v>1052.5999999999999</v>
      </c>
      <c r="G29" s="64">
        <v>1052.5999999999999</v>
      </c>
      <c r="H29" s="658">
        <v>2</v>
      </c>
      <c r="I29" s="64">
        <v>1052.7</v>
      </c>
      <c r="J29" s="658">
        <v>2</v>
      </c>
    </row>
    <row r="30" spans="2:10" ht="14.4" x14ac:dyDescent="0.3">
      <c r="B30" s="657">
        <v>2</v>
      </c>
      <c r="C30" s="657">
        <v>1052.5999999999999</v>
      </c>
      <c r="D30" s="658">
        <v>2</v>
      </c>
      <c r="E30" s="658">
        <v>1052.7</v>
      </c>
      <c r="G30" s="64">
        <v>1052.7</v>
      </c>
      <c r="H30" s="658">
        <v>2</v>
      </c>
      <c r="I30" s="64">
        <v>1052.8</v>
      </c>
      <c r="J30" s="658">
        <v>2</v>
      </c>
    </row>
    <row r="31" spans="2:10" ht="14.4" x14ac:dyDescent="0.3">
      <c r="B31" s="657">
        <v>2</v>
      </c>
      <c r="C31" s="657">
        <v>1052.7</v>
      </c>
      <c r="D31" s="658">
        <v>2</v>
      </c>
      <c r="E31" s="658">
        <v>1052.8</v>
      </c>
      <c r="G31" s="64">
        <v>1052.8</v>
      </c>
      <c r="H31" s="658">
        <v>2</v>
      </c>
      <c r="I31" s="64">
        <v>1052.9000000000001</v>
      </c>
      <c r="J31" s="658">
        <v>2</v>
      </c>
    </row>
    <row r="32" spans="2:10" ht="14.4" x14ac:dyDescent="0.3">
      <c r="B32" s="657">
        <v>2</v>
      </c>
      <c r="C32" s="657">
        <v>1052.8</v>
      </c>
      <c r="D32" s="658">
        <v>2</v>
      </c>
      <c r="E32" s="658">
        <v>1052.9000000000001</v>
      </c>
      <c r="G32" s="64">
        <v>1052.9000000000001</v>
      </c>
      <c r="H32" s="658">
        <v>2</v>
      </c>
      <c r="I32" s="64">
        <v>1053</v>
      </c>
      <c r="J32" s="658">
        <v>2</v>
      </c>
    </row>
    <row r="33" spans="2:10" ht="14.4" x14ac:dyDescent="0.3">
      <c r="B33" s="657">
        <v>2</v>
      </c>
      <c r="C33" s="657">
        <v>1052.9000000000001</v>
      </c>
      <c r="D33" s="658">
        <v>2</v>
      </c>
      <c r="E33" s="658">
        <v>1053</v>
      </c>
      <c r="G33" s="64">
        <v>1053</v>
      </c>
      <c r="H33" s="658">
        <v>2</v>
      </c>
      <c r="I33" s="64">
        <v>1053.0999999999999</v>
      </c>
      <c r="J33" s="658">
        <v>2</v>
      </c>
    </row>
    <row r="34" spans="2:10" ht="14.4" x14ac:dyDescent="0.3">
      <c r="B34" s="657">
        <v>2</v>
      </c>
      <c r="C34" s="657">
        <v>1053</v>
      </c>
      <c r="D34" s="658">
        <v>2</v>
      </c>
      <c r="E34" s="658">
        <v>1053.0999999999999</v>
      </c>
      <c r="G34" s="64">
        <v>1053.0999999999999</v>
      </c>
      <c r="H34" s="658">
        <v>2</v>
      </c>
      <c r="I34" s="64">
        <v>1053.2</v>
      </c>
      <c r="J34" s="658">
        <v>2</v>
      </c>
    </row>
    <row r="35" spans="2:10" ht="14.4" x14ac:dyDescent="0.3">
      <c r="B35" s="657">
        <v>2</v>
      </c>
      <c r="C35" s="657">
        <v>1053.0999999999999</v>
      </c>
      <c r="D35" s="658">
        <v>2</v>
      </c>
      <c r="E35" s="658">
        <v>1053.2</v>
      </c>
      <c r="G35" s="64">
        <v>1053.2</v>
      </c>
      <c r="H35" s="658">
        <v>2</v>
      </c>
      <c r="I35" s="64">
        <v>1053.3</v>
      </c>
      <c r="J35" s="658">
        <v>2</v>
      </c>
    </row>
    <row r="36" spans="2:10" ht="14.4" x14ac:dyDescent="0.3">
      <c r="B36" s="657">
        <v>2</v>
      </c>
      <c r="C36" s="657">
        <v>1053.2</v>
      </c>
      <c r="D36" s="658">
        <v>2</v>
      </c>
      <c r="E36" s="658">
        <v>1053.3</v>
      </c>
      <c r="G36" s="64">
        <v>1053.3</v>
      </c>
      <c r="H36" s="658">
        <v>2</v>
      </c>
      <c r="I36" s="64">
        <v>1053.4000000000001</v>
      </c>
      <c r="J36" s="658">
        <v>2</v>
      </c>
    </row>
    <row r="37" spans="2:10" ht="14.4" x14ac:dyDescent="0.3">
      <c r="B37" s="657">
        <v>2</v>
      </c>
      <c r="C37" s="657">
        <v>1053.3</v>
      </c>
      <c r="D37" s="658">
        <v>2</v>
      </c>
      <c r="E37" s="658">
        <v>1053.4000000000001</v>
      </c>
      <c r="G37" s="64">
        <v>1053.4000000000001</v>
      </c>
      <c r="H37" s="658">
        <v>2</v>
      </c>
      <c r="I37" s="64">
        <v>1053.5</v>
      </c>
      <c r="J37" s="658">
        <v>2</v>
      </c>
    </row>
    <row r="38" spans="2:10" ht="14.4" x14ac:dyDescent="0.3">
      <c r="B38" s="657">
        <v>2</v>
      </c>
      <c r="C38" s="657">
        <v>1053.4000000000001</v>
      </c>
      <c r="D38" s="658">
        <v>2</v>
      </c>
      <c r="E38" s="658">
        <v>1053.5</v>
      </c>
      <c r="G38" s="64">
        <v>1053.5</v>
      </c>
      <c r="H38" s="658">
        <v>2</v>
      </c>
      <c r="I38" s="64">
        <v>1053.5999999999999</v>
      </c>
      <c r="J38" s="658">
        <v>2</v>
      </c>
    </row>
    <row r="39" spans="2:10" ht="14.4" x14ac:dyDescent="0.3">
      <c r="B39" s="657">
        <v>2</v>
      </c>
      <c r="C39" s="657">
        <v>1053.5</v>
      </c>
      <c r="D39" s="658">
        <v>2</v>
      </c>
      <c r="E39" s="658">
        <v>1053.5999999999999</v>
      </c>
      <c r="G39" s="64">
        <v>1053.5999999999999</v>
      </c>
      <c r="H39" s="658">
        <v>2</v>
      </c>
      <c r="I39" s="64">
        <v>1053.7</v>
      </c>
      <c r="J39" s="658">
        <v>2</v>
      </c>
    </row>
    <row r="40" spans="2:10" ht="14.4" x14ac:dyDescent="0.3">
      <c r="B40" s="657">
        <v>2</v>
      </c>
      <c r="C40" s="657">
        <v>1053.5999999999999</v>
      </c>
      <c r="D40" s="658">
        <v>2</v>
      </c>
      <c r="E40" s="658">
        <v>1053.7</v>
      </c>
      <c r="G40" s="64">
        <v>1053.7</v>
      </c>
      <c r="H40" s="658">
        <v>2</v>
      </c>
      <c r="I40" s="64">
        <v>1053.8</v>
      </c>
      <c r="J40" s="658">
        <v>2</v>
      </c>
    </row>
    <row r="41" spans="2:10" ht="14.4" x14ac:dyDescent="0.3">
      <c r="B41" s="657">
        <v>2</v>
      </c>
      <c r="C41" s="657">
        <v>1053.7</v>
      </c>
      <c r="D41" s="658">
        <v>2</v>
      </c>
      <c r="E41" s="658">
        <v>1053.8</v>
      </c>
      <c r="G41" s="64">
        <v>1053.8</v>
      </c>
      <c r="H41" s="658">
        <v>2</v>
      </c>
      <c r="I41" s="64">
        <v>1053.9000000000001</v>
      </c>
      <c r="J41" s="658">
        <v>2</v>
      </c>
    </row>
    <row r="42" spans="2:10" ht="14.4" x14ac:dyDescent="0.3">
      <c r="B42" s="657">
        <v>2</v>
      </c>
      <c r="C42" s="657">
        <v>1053.8</v>
      </c>
      <c r="D42" s="658">
        <v>2</v>
      </c>
      <c r="E42" s="658">
        <v>1053.9000000000001</v>
      </c>
      <c r="G42" s="64">
        <v>1053.9000000000001</v>
      </c>
      <c r="H42" s="658">
        <v>2</v>
      </c>
      <c r="I42" s="64">
        <v>1054</v>
      </c>
      <c r="J42" s="658">
        <v>3</v>
      </c>
    </row>
    <row r="43" spans="2:10" ht="14.4" x14ac:dyDescent="0.3">
      <c r="B43" s="657">
        <v>2</v>
      </c>
      <c r="C43" s="657">
        <v>1053.9000000000001</v>
      </c>
      <c r="D43" s="658">
        <v>3</v>
      </c>
      <c r="E43" s="658">
        <v>1054</v>
      </c>
      <c r="G43" s="64">
        <v>1054</v>
      </c>
      <c r="H43" s="658">
        <v>3</v>
      </c>
      <c r="I43" s="64">
        <v>1054.0999999999999</v>
      </c>
      <c r="J43" s="658">
        <v>3</v>
      </c>
    </row>
    <row r="44" spans="2:10" ht="14.4" x14ac:dyDescent="0.3">
      <c r="B44" s="657">
        <v>3</v>
      </c>
      <c r="C44" s="657">
        <v>1054</v>
      </c>
      <c r="D44" s="658">
        <v>3</v>
      </c>
      <c r="E44" s="658">
        <v>1054.0999999999999</v>
      </c>
      <c r="G44" s="64">
        <v>1054.0999999999999</v>
      </c>
      <c r="H44" s="658">
        <v>3</v>
      </c>
      <c r="I44" s="64">
        <v>1054.2</v>
      </c>
      <c r="J44" s="658">
        <v>3</v>
      </c>
    </row>
    <row r="45" spans="2:10" ht="14.4" x14ac:dyDescent="0.3">
      <c r="B45" s="657">
        <v>3</v>
      </c>
      <c r="C45" s="657">
        <v>1054.0999999999999</v>
      </c>
      <c r="D45" s="658">
        <v>3</v>
      </c>
      <c r="E45" s="658">
        <v>1054.2</v>
      </c>
      <c r="G45" s="64">
        <v>1054.2</v>
      </c>
      <c r="H45" s="658">
        <v>3</v>
      </c>
      <c r="I45" s="64">
        <v>1054.3</v>
      </c>
      <c r="J45" s="658">
        <v>3</v>
      </c>
    </row>
    <row r="46" spans="2:10" ht="14.4" x14ac:dyDescent="0.3">
      <c r="B46" s="657">
        <v>3</v>
      </c>
      <c r="C46" s="657">
        <v>1054.2</v>
      </c>
      <c r="D46" s="658">
        <v>3</v>
      </c>
      <c r="E46" s="658">
        <v>1054.3</v>
      </c>
      <c r="G46" s="64">
        <v>1054.3</v>
      </c>
      <c r="H46" s="658">
        <v>3</v>
      </c>
      <c r="I46" s="64">
        <v>1054.4000000000001</v>
      </c>
      <c r="J46" s="658">
        <v>3</v>
      </c>
    </row>
    <row r="47" spans="2:10" ht="14.4" x14ac:dyDescent="0.3">
      <c r="B47" s="657">
        <v>3</v>
      </c>
      <c r="C47" s="657">
        <v>1054.3</v>
      </c>
      <c r="D47" s="658">
        <v>3</v>
      </c>
      <c r="E47" s="658">
        <v>1054.4000000000001</v>
      </c>
      <c r="G47" s="64">
        <v>1054.4000000000001</v>
      </c>
      <c r="H47" s="658">
        <v>3</v>
      </c>
      <c r="I47" s="64">
        <v>1054.5</v>
      </c>
      <c r="J47" s="658">
        <v>3</v>
      </c>
    </row>
    <row r="48" spans="2:10" ht="14.4" x14ac:dyDescent="0.3">
      <c r="B48" s="657">
        <v>3</v>
      </c>
      <c r="C48" s="657">
        <v>1054.4000000000001</v>
      </c>
      <c r="D48" s="658">
        <v>3</v>
      </c>
      <c r="E48" s="658">
        <v>1054.5</v>
      </c>
      <c r="G48" s="64">
        <v>1054.5</v>
      </c>
      <c r="H48" s="658">
        <v>3</v>
      </c>
      <c r="I48" s="64">
        <v>1054.5999999999999</v>
      </c>
      <c r="J48" s="658">
        <v>3</v>
      </c>
    </row>
    <row r="49" spans="2:10" ht="14.4" x14ac:dyDescent="0.3">
      <c r="B49" s="657">
        <v>3</v>
      </c>
      <c r="C49" s="657">
        <v>1054.5</v>
      </c>
      <c r="D49" s="658">
        <v>3</v>
      </c>
      <c r="E49" s="658">
        <v>1054.5999999999999</v>
      </c>
      <c r="G49" s="64">
        <v>1054.5999999999999</v>
      </c>
      <c r="H49" s="658">
        <v>3</v>
      </c>
      <c r="I49" s="64">
        <v>1054.7</v>
      </c>
      <c r="J49" s="658">
        <v>3</v>
      </c>
    </row>
    <row r="50" spans="2:10" ht="14.4" x14ac:dyDescent="0.3">
      <c r="B50" s="657">
        <v>3</v>
      </c>
      <c r="C50" s="657">
        <v>1054.5999999999999</v>
      </c>
      <c r="D50" s="658">
        <v>3</v>
      </c>
      <c r="E50" s="658">
        <v>1054.7</v>
      </c>
      <c r="G50" s="64">
        <v>1054.7</v>
      </c>
      <c r="H50" s="658">
        <v>3</v>
      </c>
      <c r="I50" s="64">
        <v>1054.8</v>
      </c>
      <c r="J50" s="658">
        <v>3</v>
      </c>
    </row>
    <row r="51" spans="2:10" ht="14.4" x14ac:dyDescent="0.3">
      <c r="B51" s="657">
        <v>3</v>
      </c>
      <c r="C51" s="657">
        <v>1054.7</v>
      </c>
      <c r="D51" s="658">
        <v>3</v>
      </c>
      <c r="E51" s="658">
        <v>1054.8</v>
      </c>
      <c r="G51" s="64">
        <v>1054.8</v>
      </c>
      <c r="H51" s="658">
        <v>3</v>
      </c>
      <c r="I51" s="64">
        <v>1054.9000000000001</v>
      </c>
      <c r="J51" s="658">
        <v>3</v>
      </c>
    </row>
    <row r="52" spans="2:10" ht="14.4" x14ac:dyDescent="0.3">
      <c r="B52" s="657">
        <v>3</v>
      </c>
      <c r="C52" s="657">
        <v>1054.8</v>
      </c>
      <c r="D52" s="658">
        <v>3</v>
      </c>
      <c r="E52" s="658">
        <v>1054.9000000000001</v>
      </c>
      <c r="G52" s="64">
        <v>1054.9000000000001</v>
      </c>
      <c r="H52" s="658">
        <v>3</v>
      </c>
      <c r="I52" s="64">
        <v>1055</v>
      </c>
      <c r="J52" s="658">
        <v>3</v>
      </c>
    </row>
    <row r="53" spans="2:10" ht="14.4" x14ac:dyDescent="0.3">
      <c r="B53" s="657">
        <v>3</v>
      </c>
      <c r="C53" s="657">
        <v>1054.9000000000001</v>
      </c>
      <c r="D53" s="658">
        <v>3</v>
      </c>
      <c r="E53" s="658">
        <v>1055</v>
      </c>
      <c r="G53" s="64">
        <v>1055</v>
      </c>
      <c r="H53" s="658">
        <v>3</v>
      </c>
      <c r="I53" s="64">
        <v>1055.0999999999999</v>
      </c>
      <c r="J53" s="658">
        <v>3</v>
      </c>
    </row>
    <row r="54" spans="2:10" ht="14.4" x14ac:dyDescent="0.3">
      <c r="B54" s="657">
        <v>3</v>
      </c>
      <c r="C54" s="657">
        <v>1055</v>
      </c>
      <c r="D54" s="658">
        <v>3</v>
      </c>
      <c r="E54" s="658">
        <v>1055.0999999999999</v>
      </c>
      <c r="G54" s="64">
        <v>1055.0999999999999</v>
      </c>
      <c r="H54" s="658">
        <v>3</v>
      </c>
      <c r="I54" s="64">
        <v>1055.2</v>
      </c>
      <c r="J54" s="658">
        <v>3</v>
      </c>
    </row>
    <row r="55" spans="2:10" ht="14.4" x14ac:dyDescent="0.3">
      <c r="B55" s="657">
        <v>3</v>
      </c>
      <c r="C55" s="657">
        <v>1055.0999999999999</v>
      </c>
      <c r="D55" s="658">
        <v>3</v>
      </c>
      <c r="E55" s="658">
        <v>1055.2</v>
      </c>
      <c r="G55" s="64">
        <v>1055.2</v>
      </c>
      <c r="H55" s="658">
        <v>3</v>
      </c>
      <c r="I55" s="64">
        <v>1055.3</v>
      </c>
      <c r="J55" s="658">
        <v>3</v>
      </c>
    </row>
    <row r="56" spans="2:10" ht="14.4" x14ac:dyDescent="0.3">
      <c r="B56" s="657">
        <v>3</v>
      </c>
      <c r="C56" s="657">
        <v>1055.2</v>
      </c>
      <c r="D56" s="658">
        <v>3</v>
      </c>
      <c r="E56" s="658">
        <v>1055.3</v>
      </c>
      <c r="G56" s="64">
        <v>1055.3</v>
      </c>
      <c r="H56" s="658">
        <v>3</v>
      </c>
      <c r="I56" s="64">
        <v>1055.4000000000001</v>
      </c>
      <c r="J56" s="658">
        <v>3</v>
      </c>
    </row>
    <row r="57" spans="2:10" ht="14.4" x14ac:dyDescent="0.3">
      <c r="B57" s="657">
        <v>3</v>
      </c>
      <c r="C57" s="657">
        <v>1055.3</v>
      </c>
      <c r="D57" s="658">
        <v>3</v>
      </c>
      <c r="E57" s="658">
        <v>1055.4000000000001</v>
      </c>
      <c r="G57" s="64">
        <v>1055.4000000000001</v>
      </c>
      <c r="H57" s="658">
        <v>3</v>
      </c>
      <c r="I57" s="64">
        <v>1055.5</v>
      </c>
      <c r="J57" s="658">
        <v>3</v>
      </c>
    </row>
    <row r="58" spans="2:10" ht="14.4" x14ac:dyDescent="0.3">
      <c r="B58" s="657">
        <v>3</v>
      </c>
      <c r="C58" s="657">
        <v>1055.4000000000001</v>
      </c>
      <c r="D58" s="658">
        <v>3</v>
      </c>
      <c r="E58" s="658">
        <v>1055.5</v>
      </c>
      <c r="G58" s="64">
        <v>1055.5</v>
      </c>
      <c r="H58" s="658">
        <v>3</v>
      </c>
      <c r="I58" s="64">
        <v>1055.5999999999999</v>
      </c>
      <c r="J58" s="658">
        <v>3</v>
      </c>
    </row>
    <row r="59" spans="2:10" ht="14.4" x14ac:dyDescent="0.3">
      <c r="B59" s="657">
        <v>3</v>
      </c>
      <c r="C59" s="657">
        <v>1055.5</v>
      </c>
      <c r="D59" s="658">
        <v>3</v>
      </c>
      <c r="E59" s="658">
        <v>1055.5999999999999</v>
      </c>
      <c r="G59" s="64">
        <v>1055.5999999999999</v>
      </c>
      <c r="H59" s="658">
        <v>3</v>
      </c>
      <c r="I59" s="64">
        <v>1055.7</v>
      </c>
      <c r="J59" s="658">
        <v>3</v>
      </c>
    </row>
    <row r="60" spans="2:10" ht="14.4" x14ac:dyDescent="0.3">
      <c r="B60" s="657">
        <v>3</v>
      </c>
      <c r="C60" s="657">
        <v>1055.5999999999999</v>
      </c>
      <c r="D60" s="658">
        <v>3</v>
      </c>
      <c r="E60" s="658">
        <v>1055.7</v>
      </c>
      <c r="G60" s="64">
        <v>1055.7</v>
      </c>
      <c r="H60" s="658">
        <v>3</v>
      </c>
      <c r="I60" s="64">
        <v>1055.8</v>
      </c>
      <c r="J60" s="658">
        <v>3</v>
      </c>
    </row>
    <row r="61" spans="2:10" ht="14.4" x14ac:dyDescent="0.3">
      <c r="B61" s="657">
        <v>3</v>
      </c>
      <c r="C61" s="657">
        <v>1055.7</v>
      </c>
      <c r="D61" s="658">
        <v>3</v>
      </c>
      <c r="E61" s="658">
        <v>1055.8</v>
      </c>
      <c r="G61" s="64">
        <v>1055.8</v>
      </c>
      <c r="H61" s="658">
        <v>3</v>
      </c>
      <c r="I61" s="64">
        <v>1055.9000000000001</v>
      </c>
      <c r="J61" s="658">
        <v>3</v>
      </c>
    </row>
    <row r="62" spans="2:10" ht="14.4" x14ac:dyDescent="0.3">
      <c r="B62" s="657">
        <v>3</v>
      </c>
      <c r="C62" s="657">
        <v>1055.8</v>
      </c>
      <c r="D62" s="658">
        <v>3</v>
      </c>
      <c r="E62" s="658">
        <v>1055.9000000000001</v>
      </c>
      <c r="G62" s="64">
        <v>1055.9000000000001</v>
      </c>
      <c r="H62" s="658">
        <v>3</v>
      </c>
      <c r="I62" s="64">
        <v>1056</v>
      </c>
      <c r="J62" s="658">
        <v>3</v>
      </c>
    </row>
    <row r="63" spans="2:10" ht="14.4" x14ac:dyDescent="0.3">
      <c r="B63" s="657">
        <v>3</v>
      </c>
      <c r="C63" s="657">
        <v>1055.9000000000001</v>
      </c>
      <c r="D63" s="658">
        <v>3</v>
      </c>
      <c r="E63" s="658">
        <v>1056</v>
      </c>
      <c r="G63" s="64">
        <v>1056</v>
      </c>
      <c r="H63" s="658">
        <v>3</v>
      </c>
      <c r="I63" s="64">
        <v>1056.0999999999999</v>
      </c>
      <c r="J63" s="658">
        <v>3</v>
      </c>
    </row>
    <row r="64" spans="2:10" ht="14.4" x14ac:dyDescent="0.3">
      <c r="B64" s="657">
        <v>3</v>
      </c>
      <c r="C64" s="657">
        <v>1056</v>
      </c>
      <c r="D64" s="658">
        <v>3</v>
      </c>
      <c r="E64" s="658">
        <v>1056.0999999999999</v>
      </c>
      <c r="G64" s="64">
        <v>1056.0999999999999</v>
      </c>
      <c r="H64" s="658">
        <v>3</v>
      </c>
      <c r="I64" s="64">
        <v>1056.2</v>
      </c>
      <c r="J64" s="658">
        <v>4</v>
      </c>
    </row>
    <row r="65" spans="2:10" ht="14.4" x14ac:dyDescent="0.3">
      <c r="B65" s="657">
        <v>3</v>
      </c>
      <c r="C65" s="657">
        <v>1056.0999999999999</v>
      </c>
      <c r="D65" s="658">
        <v>4</v>
      </c>
      <c r="E65" s="658">
        <v>1056.2</v>
      </c>
      <c r="G65" s="64">
        <v>1056.2</v>
      </c>
      <c r="H65" s="658">
        <v>4</v>
      </c>
      <c r="I65" s="64">
        <v>1056.3</v>
      </c>
      <c r="J65" s="658">
        <v>4</v>
      </c>
    </row>
    <row r="66" spans="2:10" ht="14.4" x14ac:dyDescent="0.3">
      <c r="B66" s="657">
        <v>4</v>
      </c>
      <c r="C66" s="657">
        <v>1056.2</v>
      </c>
      <c r="D66" s="658">
        <v>4</v>
      </c>
      <c r="E66" s="658">
        <v>1056.3</v>
      </c>
      <c r="G66" s="64">
        <v>1056.3</v>
      </c>
      <c r="H66" s="658">
        <v>4</v>
      </c>
      <c r="I66" s="64">
        <v>1056.4000000000001</v>
      </c>
      <c r="J66" s="658">
        <v>4</v>
      </c>
    </row>
    <row r="67" spans="2:10" ht="14.4" x14ac:dyDescent="0.3">
      <c r="B67" s="657">
        <v>4</v>
      </c>
      <c r="C67" s="657">
        <v>1056.3</v>
      </c>
      <c r="D67" s="658">
        <v>4</v>
      </c>
      <c r="E67" s="658">
        <v>1056.4000000000001</v>
      </c>
      <c r="G67" s="64">
        <v>1056.4000000000001</v>
      </c>
      <c r="H67" s="658">
        <v>4</v>
      </c>
      <c r="I67" s="64">
        <v>1056.5</v>
      </c>
      <c r="J67" s="658">
        <v>4</v>
      </c>
    </row>
    <row r="68" spans="2:10" ht="14.4" x14ac:dyDescent="0.3">
      <c r="B68" s="657">
        <v>4</v>
      </c>
      <c r="C68" s="657">
        <v>1056.4000000000001</v>
      </c>
      <c r="D68" s="658">
        <v>4</v>
      </c>
      <c r="E68" s="658">
        <v>1056.5</v>
      </c>
      <c r="G68" s="64">
        <v>1056.5</v>
      </c>
      <c r="H68" s="658">
        <v>4</v>
      </c>
      <c r="I68" s="64">
        <v>1056.5999999999999</v>
      </c>
      <c r="J68" s="658">
        <v>4</v>
      </c>
    </row>
    <row r="69" spans="2:10" ht="14.4" x14ac:dyDescent="0.3">
      <c r="B69" s="657">
        <v>4</v>
      </c>
      <c r="C69" s="657">
        <v>1056.5</v>
      </c>
      <c r="D69" s="658">
        <v>4</v>
      </c>
      <c r="E69" s="658">
        <v>1056.5999999999999</v>
      </c>
      <c r="G69" s="64">
        <v>1056.5999999999999</v>
      </c>
      <c r="H69" s="658">
        <v>4</v>
      </c>
      <c r="I69" s="64">
        <v>1056.7</v>
      </c>
      <c r="J69" s="658">
        <v>4</v>
      </c>
    </row>
    <row r="70" spans="2:10" ht="14.4" x14ac:dyDescent="0.3">
      <c r="B70" s="657">
        <v>4</v>
      </c>
      <c r="C70" s="657">
        <v>1056.5999999999999</v>
      </c>
      <c r="D70" s="658">
        <v>4</v>
      </c>
      <c r="E70" s="658">
        <v>1056.7</v>
      </c>
      <c r="G70" s="64">
        <v>1056.7</v>
      </c>
      <c r="H70" s="658">
        <v>4</v>
      </c>
      <c r="I70" s="64">
        <v>1056.8</v>
      </c>
      <c r="J70" s="658">
        <v>4</v>
      </c>
    </row>
    <row r="71" spans="2:10" ht="14.4" x14ac:dyDescent="0.3">
      <c r="B71" s="657">
        <v>4</v>
      </c>
      <c r="C71" s="657">
        <v>1056.7</v>
      </c>
      <c r="D71" s="658">
        <v>4</v>
      </c>
      <c r="E71" s="658">
        <v>1056.8</v>
      </c>
      <c r="G71" s="64">
        <v>1056.8</v>
      </c>
      <c r="H71" s="658">
        <v>4</v>
      </c>
      <c r="I71" s="64">
        <v>1056.9000000000001</v>
      </c>
      <c r="J71" s="658">
        <v>4</v>
      </c>
    </row>
    <row r="72" spans="2:10" ht="14.4" x14ac:dyDescent="0.3">
      <c r="B72" s="657">
        <v>4</v>
      </c>
      <c r="C72" s="657">
        <v>1056.8</v>
      </c>
      <c r="D72" s="658">
        <v>4</v>
      </c>
      <c r="E72" s="658">
        <v>1056.9000000000001</v>
      </c>
      <c r="G72" s="64">
        <v>1056.9000000000001</v>
      </c>
      <c r="H72" s="658">
        <v>4</v>
      </c>
      <c r="I72" s="64">
        <v>1057</v>
      </c>
      <c r="J72" s="658">
        <v>4</v>
      </c>
    </row>
    <row r="73" spans="2:10" ht="14.4" x14ac:dyDescent="0.3">
      <c r="B73" s="657">
        <v>4</v>
      </c>
      <c r="C73" s="657">
        <v>1056.9000000000001</v>
      </c>
      <c r="D73" s="658">
        <v>4</v>
      </c>
      <c r="E73" s="658">
        <v>1057</v>
      </c>
      <c r="G73" s="64">
        <v>1057</v>
      </c>
      <c r="H73" s="658">
        <v>4</v>
      </c>
      <c r="I73" s="64">
        <v>1057.0999999999999</v>
      </c>
      <c r="J73" s="658">
        <v>4</v>
      </c>
    </row>
    <row r="74" spans="2:10" ht="14.4" x14ac:dyDescent="0.3">
      <c r="B74" s="657">
        <v>4</v>
      </c>
      <c r="C74" s="657">
        <v>1057</v>
      </c>
      <c r="D74" s="658">
        <v>4</v>
      </c>
      <c r="E74" s="658">
        <v>1057.0999999999999</v>
      </c>
      <c r="G74" s="64">
        <v>1057.0999999999999</v>
      </c>
      <c r="H74" s="658">
        <v>4</v>
      </c>
      <c r="I74" s="64">
        <v>1057.2</v>
      </c>
      <c r="J74" s="658">
        <v>4</v>
      </c>
    </row>
    <row r="75" spans="2:10" ht="14.4" x14ac:dyDescent="0.3">
      <c r="B75" s="657">
        <v>4</v>
      </c>
      <c r="C75" s="657">
        <v>1057.0999999999999</v>
      </c>
      <c r="D75" s="658">
        <v>4</v>
      </c>
      <c r="E75" s="658">
        <v>1057.2</v>
      </c>
      <c r="G75" s="64">
        <v>1057.2</v>
      </c>
      <c r="H75" s="658">
        <v>4</v>
      </c>
      <c r="I75" s="64">
        <v>1057.3</v>
      </c>
      <c r="J75" s="658">
        <v>4</v>
      </c>
    </row>
    <row r="76" spans="2:10" ht="14.4" x14ac:dyDescent="0.3">
      <c r="B76" s="657">
        <v>4</v>
      </c>
      <c r="C76" s="657">
        <v>1057.2</v>
      </c>
      <c r="D76" s="658">
        <v>4</v>
      </c>
      <c r="E76" s="658">
        <v>1057.3</v>
      </c>
      <c r="G76" s="64">
        <v>1057.3</v>
      </c>
      <c r="H76" s="658">
        <v>4</v>
      </c>
      <c r="I76" s="64">
        <v>1057.4000000000001</v>
      </c>
      <c r="J76" s="658">
        <v>5</v>
      </c>
    </row>
    <row r="77" spans="2:10" ht="14.4" x14ac:dyDescent="0.3">
      <c r="B77" s="657">
        <v>4</v>
      </c>
      <c r="C77" s="657">
        <v>1057.3</v>
      </c>
      <c r="D77" s="658">
        <v>5</v>
      </c>
      <c r="E77" s="658">
        <v>1057.4000000000001</v>
      </c>
      <c r="G77" s="64">
        <v>1057.4000000000001</v>
      </c>
      <c r="H77" s="658">
        <v>5</v>
      </c>
      <c r="I77" s="64">
        <v>1057.5</v>
      </c>
      <c r="J77" s="658">
        <v>5</v>
      </c>
    </row>
    <row r="78" spans="2:10" ht="14.4" x14ac:dyDescent="0.3">
      <c r="B78" s="657">
        <v>5</v>
      </c>
      <c r="C78" s="657">
        <v>1057.4000000000001</v>
      </c>
      <c r="D78" s="658">
        <v>5</v>
      </c>
      <c r="E78" s="658">
        <v>1057.5</v>
      </c>
      <c r="G78" s="64">
        <v>1057.5</v>
      </c>
      <c r="H78" s="658">
        <v>5</v>
      </c>
      <c r="I78" s="64">
        <v>1057.5999999999949</v>
      </c>
      <c r="J78" s="658">
        <v>5</v>
      </c>
    </row>
    <row r="79" spans="2:10" ht="14.4" x14ac:dyDescent="0.3">
      <c r="B79" s="657">
        <v>5</v>
      </c>
      <c r="C79" s="657">
        <v>1057.5</v>
      </c>
      <c r="D79" s="658">
        <v>5</v>
      </c>
      <c r="E79" s="658">
        <v>1057.5999999999949</v>
      </c>
      <c r="G79" s="64">
        <v>1057.5999999999949</v>
      </c>
      <c r="H79" s="658">
        <v>5</v>
      </c>
      <c r="I79" s="64">
        <v>1057.6999999999948</v>
      </c>
      <c r="J79" s="658">
        <v>5</v>
      </c>
    </row>
    <row r="80" spans="2:10" ht="14.4" x14ac:dyDescent="0.3">
      <c r="B80" s="657">
        <v>5</v>
      </c>
      <c r="C80" s="657">
        <v>1057.5999999999949</v>
      </c>
      <c r="D80" s="658">
        <v>5</v>
      </c>
      <c r="E80" s="658">
        <v>1057.6999999999948</v>
      </c>
      <c r="G80" s="64">
        <v>1057.6999999999948</v>
      </c>
      <c r="H80" s="658">
        <v>5</v>
      </c>
      <c r="I80" s="64">
        <v>1057.7999999999947</v>
      </c>
      <c r="J80" s="658">
        <v>5</v>
      </c>
    </row>
    <row r="81" spans="2:10" ht="14.4" x14ac:dyDescent="0.3">
      <c r="B81" s="657">
        <v>5</v>
      </c>
      <c r="C81" s="657">
        <v>1057.6999999999948</v>
      </c>
      <c r="D81" s="658">
        <v>5</v>
      </c>
      <c r="E81" s="658">
        <v>1057.7999999999947</v>
      </c>
      <c r="G81" s="64">
        <v>1057.7999999999947</v>
      </c>
      <c r="H81" s="658">
        <v>5</v>
      </c>
      <c r="I81" s="64">
        <v>1057.8999999999946</v>
      </c>
      <c r="J81" s="658">
        <v>5</v>
      </c>
    </row>
    <row r="82" spans="2:10" ht="14.4" x14ac:dyDescent="0.3">
      <c r="B82" s="657">
        <v>5</v>
      </c>
      <c r="C82" s="657">
        <v>1057.7999999999947</v>
      </c>
      <c r="D82" s="658">
        <v>5</v>
      </c>
      <c r="E82" s="658">
        <v>1057.8999999999946</v>
      </c>
      <c r="G82" s="64">
        <v>1057.8999999999946</v>
      </c>
      <c r="H82" s="658">
        <v>5</v>
      </c>
      <c r="I82" s="64">
        <v>1057.9999999999945</v>
      </c>
      <c r="J82" s="658">
        <v>5</v>
      </c>
    </row>
    <row r="83" spans="2:10" ht="14.4" x14ac:dyDescent="0.3">
      <c r="B83" s="657">
        <v>5</v>
      </c>
      <c r="C83" s="657">
        <v>1057.8999999999946</v>
      </c>
      <c r="D83" s="658">
        <v>5</v>
      </c>
      <c r="E83" s="658">
        <v>1057.9999999999945</v>
      </c>
      <c r="G83" s="64">
        <v>1057.9999999999945</v>
      </c>
      <c r="H83" s="658">
        <v>5</v>
      </c>
      <c r="I83" s="64">
        <v>1058.0999999999945</v>
      </c>
      <c r="J83" s="658">
        <v>5</v>
      </c>
    </row>
    <row r="84" spans="2:10" ht="14.4" x14ac:dyDescent="0.3">
      <c r="B84" s="657">
        <v>5</v>
      </c>
      <c r="C84" s="657">
        <v>1057.9999999999945</v>
      </c>
      <c r="D84" s="658">
        <v>5</v>
      </c>
      <c r="E84" s="658">
        <v>1058.0999999999945</v>
      </c>
      <c r="G84" s="64">
        <v>1058.0999999999945</v>
      </c>
      <c r="H84" s="658">
        <v>5</v>
      </c>
      <c r="I84" s="64">
        <v>1058.1999999999944</v>
      </c>
      <c r="J84" s="658">
        <v>6</v>
      </c>
    </row>
    <row r="85" spans="2:10" ht="14.4" x14ac:dyDescent="0.3">
      <c r="B85" s="657">
        <v>5</v>
      </c>
      <c r="C85" s="657">
        <v>1058.0999999999945</v>
      </c>
      <c r="D85" s="658">
        <v>6</v>
      </c>
      <c r="E85" s="658">
        <v>1058.1999999999944</v>
      </c>
      <c r="G85" s="64">
        <v>1058.1999999999944</v>
      </c>
      <c r="H85" s="658">
        <v>6</v>
      </c>
      <c r="I85" s="64">
        <v>1058.2999999999943</v>
      </c>
      <c r="J85" s="658">
        <v>6</v>
      </c>
    </row>
    <row r="86" spans="2:10" ht="14.4" x14ac:dyDescent="0.3">
      <c r="B86" s="657">
        <v>6</v>
      </c>
      <c r="C86" s="657">
        <v>1058.1999999999944</v>
      </c>
      <c r="D86" s="658">
        <v>6</v>
      </c>
      <c r="E86" s="658">
        <v>1058.2999999999943</v>
      </c>
      <c r="G86" s="64">
        <v>1058.2999999999943</v>
      </c>
      <c r="H86" s="658">
        <v>6</v>
      </c>
      <c r="I86" s="64">
        <v>1058.3999999999942</v>
      </c>
      <c r="J86" s="658">
        <v>6</v>
      </c>
    </row>
    <row r="87" spans="2:10" ht="14.4" x14ac:dyDescent="0.3">
      <c r="B87" s="657">
        <v>6</v>
      </c>
      <c r="C87" s="657">
        <v>1058.2999999999943</v>
      </c>
      <c r="D87" s="658">
        <v>6</v>
      </c>
      <c r="E87" s="658">
        <v>1058.3999999999942</v>
      </c>
      <c r="G87" s="64">
        <v>1058.3999999999942</v>
      </c>
      <c r="H87" s="658">
        <v>6</v>
      </c>
      <c r="I87" s="64">
        <v>1058.4999999999941</v>
      </c>
      <c r="J87" s="658">
        <v>6</v>
      </c>
    </row>
    <row r="88" spans="2:10" ht="14.4" x14ac:dyDescent="0.3">
      <c r="B88" s="657">
        <v>6</v>
      </c>
      <c r="C88" s="657">
        <v>1058.3999999999942</v>
      </c>
      <c r="D88" s="658">
        <v>6</v>
      </c>
      <c r="E88" s="658">
        <v>1058.4999999999941</v>
      </c>
      <c r="G88" s="64">
        <v>1058.4999999999941</v>
      </c>
      <c r="H88" s="658">
        <v>6</v>
      </c>
      <c r="I88" s="64">
        <v>1058.599999999994</v>
      </c>
      <c r="J88" s="658">
        <v>6</v>
      </c>
    </row>
    <row r="89" spans="2:10" ht="14.4" x14ac:dyDescent="0.3">
      <c r="B89" s="657">
        <v>6</v>
      </c>
      <c r="C89" s="657">
        <v>1058.4999999999941</v>
      </c>
      <c r="D89" s="658">
        <v>6</v>
      </c>
      <c r="E89" s="658">
        <v>1058.599999999994</v>
      </c>
      <c r="G89" s="64">
        <v>1058.599999999994</v>
      </c>
      <c r="H89" s="658">
        <v>6</v>
      </c>
      <c r="I89" s="64">
        <v>1058.6999999999939</v>
      </c>
      <c r="J89" s="658">
        <v>7</v>
      </c>
    </row>
    <row r="90" spans="2:10" ht="14.4" x14ac:dyDescent="0.3">
      <c r="B90" s="657">
        <v>6</v>
      </c>
      <c r="C90" s="657">
        <v>1058.599999999994</v>
      </c>
      <c r="D90" s="658">
        <v>7</v>
      </c>
      <c r="E90" s="658">
        <v>1058.6999999999939</v>
      </c>
      <c r="G90" s="64">
        <v>1058.6999999999939</v>
      </c>
      <c r="H90" s="658">
        <v>7</v>
      </c>
      <c r="I90" s="64">
        <v>1058.7999999999938</v>
      </c>
      <c r="J90" s="658">
        <v>7</v>
      </c>
    </row>
    <row r="91" spans="2:10" ht="14.4" x14ac:dyDescent="0.3">
      <c r="B91" s="657">
        <v>7</v>
      </c>
      <c r="C91" s="657">
        <v>1058.6999999999939</v>
      </c>
      <c r="D91" s="658">
        <v>7</v>
      </c>
      <c r="E91" s="658">
        <v>1058.7999999999938</v>
      </c>
      <c r="G91" s="64">
        <v>1058.7999999999938</v>
      </c>
      <c r="H91" s="658">
        <v>7</v>
      </c>
      <c r="I91" s="64">
        <v>1058.8999999999937</v>
      </c>
      <c r="J91" s="658">
        <v>7</v>
      </c>
    </row>
    <row r="92" spans="2:10" ht="14.4" x14ac:dyDescent="0.3">
      <c r="B92" s="657">
        <v>7</v>
      </c>
      <c r="C92" s="657">
        <v>1058.7999999999938</v>
      </c>
      <c r="D92" s="658">
        <v>7</v>
      </c>
      <c r="E92" s="658">
        <v>1058.8999999999937</v>
      </c>
      <c r="G92" s="64">
        <v>1058.8999999999937</v>
      </c>
      <c r="H92" s="658">
        <v>7</v>
      </c>
      <c r="I92" s="64">
        <v>1058.9999999999936</v>
      </c>
      <c r="J92" s="658">
        <v>7</v>
      </c>
    </row>
    <row r="93" spans="2:10" ht="14.4" x14ac:dyDescent="0.3">
      <c r="B93" s="657">
        <v>7</v>
      </c>
      <c r="C93" s="657">
        <v>1058.8999999999937</v>
      </c>
      <c r="D93" s="658">
        <v>7</v>
      </c>
      <c r="E93" s="658">
        <v>1058.9999999999936</v>
      </c>
      <c r="G93" s="64">
        <v>1058.9999999999936</v>
      </c>
      <c r="H93" s="658">
        <v>7</v>
      </c>
      <c r="I93" s="64">
        <v>1059.0999999999935</v>
      </c>
      <c r="J93" s="658">
        <v>8</v>
      </c>
    </row>
    <row r="94" spans="2:10" ht="14.4" x14ac:dyDescent="0.3">
      <c r="B94" s="657">
        <v>7</v>
      </c>
      <c r="C94" s="657">
        <v>1058.9999999999936</v>
      </c>
      <c r="D94" s="658">
        <v>8</v>
      </c>
      <c r="E94" s="658">
        <v>1059.0999999999935</v>
      </c>
      <c r="G94" s="64">
        <v>1059.0999999999935</v>
      </c>
      <c r="H94" s="658">
        <v>8</v>
      </c>
      <c r="I94" s="64">
        <v>1059.1999999999935</v>
      </c>
      <c r="J94" s="658">
        <v>8</v>
      </c>
    </row>
    <row r="95" spans="2:10" ht="14.4" x14ac:dyDescent="0.3">
      <c r="B95" s="657">
        <v>8</v>
      </c>
      <c r="C95" s="657">
        <v>1059.0999999999935</v>
      </c>
      <c r="D95" s="658">
        <v>8</v>
      </c>
      <c r="E95" s="658">
        <v>1059.1999999999935</v>
      </c>
      <c r="G95" s="64">
        <v>1059.1999999999935</v>
      </c>
      <c r="H95" s="658">
        <v>8</v>
      </c>
      <c r="I95" s="64">
        <v>1059.2999999999934</v>
      </c>
      <c r="J95" s="658">
        <v>8</v>
      </c>
    </row>
    <row r="96" spans="2:10" ht="14.4" x14ac:dyDescent="0.3">
      <c r="B96" s="657">
        <v>8</v>
      </c>
      <c r="C96" s="657">
        <v>1059.1999999999935</v>
      </c>
      <c r="D96" s="658">
        <v>8</v>
      </c>
      <c r="E96" s="658">
        <v>1059.2999999999934</v>
      </c>
      <c r="G96" s="64">
        <v>1059.2999999999934</v>
      </c>
      <c r="H96" s="658">
        <v>8</v>
      </c>
      <c r="I96" s="64">
        <v>1059.3999999999933</v>
      </c>
      <c r="J96" s="658">
        <v>8</v>
      </c>
    </row>
    <row r="97" spans="2:10" ht="14.4" x14ac:dyDescent="0.3">
      <c r="B97" s="657">
        <v>8</v>
      </c>
      <c r="C97" s="657">
        <v>1059.2999999999934</v>
      </c>
      <c r="D97" s="658">
        <v>8</v>
      </c>
      <c r="E97" s="658">
        <v>1059.3999999999933</v>
      </c>
      <c r="G97" s="64">
        <v>1059.3999999999933</v>
      </c>
      <c r="H97" s="658">
        <v>8</v>
      </c>
      <c r="I97" s="64">
        <v>1059.4999999999932</v>
      </c>
      <c r="J97" s="658">
        <v>9</v>
      </c>
    </row>
    <row r="98" spans="2:10" ht="14.4" x14ac:dyDescent="0.3">
      <c r="B98" s="657">
        <v>8</v>
      </c>
      <c r="C98" s="657">
        <v>1059.3999999999933</v>
      </c>
      <c r="D98" s="658">
        <v>9</v>
      </c>
      <c r="E98" s="658">
        <v>1059.4999999999932</v>
      </c>
      <c r="G98" s="64">
        <v>1059.4999999999932</v>
      </c>
      <c r="H98" s="658">
        <v>9</v>
      </c>
      <c r="I98" s="64">
        <v>1059.5999999999931</v>
      </c>
      <c r="J98" s="658">
        <v>9</v>
      </c>
    </row>
    <row r="99" spans="2:10" ht="14.4" x14ac:dyDescent="0.3">
      <c r="B99" s="657">
        <v>9</v>
      </c>
      <c r="C99" s="657">
        <v>1059.4999999999932</v>
      </c>
      <c r="D99" s="658">
        <v>9</v>
      </c>
      <c r="E99" s="658">
        <v>1059.5999999999931</v>
      </c>
      <c r="G99" s="64">
        <v>1059.5999999999931</v>
      </c>
      <c r="H99" s="658">
        <v>9</v>
      </c>
      <c r="I99" s="64">
        <v>1059.699999999993</v>
      </c>
      <c r="J99" s="658">
        <v>9</v>
      </c>
    </row>
    <row r="100" spans="2:10" ht="14.4" x14ac:dyDescent="0.3">
      <c r="B100" s="657">
        <v>9</v>
      </c>
      <c r="C100" s="657">
        <v>1059.5999999999931</v>
      </c>
      <c r="D100" s="658">
        <v>9</v>
      </c>
      <c r="E100" s="658">
        <v>1059.699999999993</v>
      </c>
      <c r="G100" s="64">
        <v>1059.699999999993</v>
      </c>
      <c r="H100" s="658">
        <v>9</v>
      </c>
      <c r="I100" s="64">
        <v>1059.7999999999929</v>
      </c>
      <c r="J100" s="658">
        <v>10</v>
      </c>
    </row>
    <row r="101" spans="2:10" ht="14.4" x14ac:dyDescent="0.3">
      <c r="B101" s="657">
        <v>9</v>
      </c>
      <c r="C101" s="657">
        <v>1059.699999999993</v>
      </c>
      <c r="D101" s="658">
        <v>10</v>
      </c>
      <c r="E101" s="658">
        <v>1059.7999999999929</v>
      </c>
      <c r="G101" s="64">
        <v>1059.7999999999929</v>
      </c>
      <c r="H101" s="658">
        <v>10</v>
      </c>
      <c r="I101" s="64">
        <v>1059.8999999999928</v>
      </c>
      <c r="J101" s="658">
        <v>10</v>
      </c>
    </row>
    <row r="102" spans="2:10" ht="14.4" x14ac:dyDescent="0.3">
      <c r="B102" s="657">
        <v>10</v>
      </c>
      <c r="C102" s="657">
        <v>1059.7999999999929</v>
      </c>
      <c r="D102" s="658">
        <v>10</v>
      </c>
      <c r="E102" s="658">
        <v>1059.8999999999928</v>
      </c>
      <c r="G102" s="64">
        <v>1059.8999999999928</v>
      </c>
      <c r="H102" s="658">
        <v>10</v>
      </c>
      <c r="I102" s="64">
        <v>1059.9999999999927</v>
      </c>
      <c r="J102" s="658">
        <v>10</v>
      </c>
    </row>
    <row r="103" spans="2:10" ht="14.4" x14ac:dyDescent="0.3">
      <c r="B103" s="657">
        <v>10</v>
      </c>
      <c r="C103" s="657">
        <v>1059.8999999999928</v>
      </c>
      <c r="D103" s="658">
        <v>10</v>
      </c>
      <c r="E103" s="658">
        <v>1059.9999999999927</v>
      </c>
      <c r="G103" s="64">
        <v>1059.9999999999927</v>
      </c>
      <c r="H103" s="658">
        <v>10</v>
      </c>
      <c r="I103" s="64">
        <v>1060.0999999999926</v>
      </c>
      <c r="J103" s="658">
        <v>11</v>
      </c>
    </row>
    <row r="104" spans="2:10" ht="14.4" x14ac:dyDescent="0.3">
      <c r="B104" s="657">
        <v>10</v>
      </c>
      <c r="C104" s="657">
        <v>1059.9999999999927</v>
      </c>
      <c r="D104" s="658">
        <v>11</v>
      </c>
      <c r="E104" s="658">
        <v>1060.0999999999926</v>
      </c>
      <c r="G104" s="64">
        <v>1060.0999999999926</v>
      </c>
      <c r="H104" s="658">
        <v>11</v>
      </c>
      <c r="I104" s="64">
        <v>1060.1999999999925</v>
      </c>
      <c r="J104" s="658">
        <v>11</v>
      </c>
    </row>
    <row r="105" spans="2:10" ht="14.4" x14ac:dyDescent="0.3">
      <c r="B105" s="657">
        <v>11</v>
      </c>
      <c r="C105" s="657">
        <v>1060.0999999999926</v>
      </c>
      <c r="D105" s="658">
        <v>11</v>
      </c>
      <c r="E105" s="658">
        <v>1060.1999999999925</v>
      </c>
      <c r="G105" s="64">
        <v>1060.1999999999925</v>
      </c>
      <c r="H105" s="658">
        <v>11</v>
      </c>
      <c r="I105" s="64">
        <v>1060.2999999999925</v>
      </c>
      <c r="J105" s="658">
        <v>11</v>
      </c>
    </row>
    <row r="106" spans="2:10" ht="14.4" x14ac:dyDescent="0.3">
      <c r="B106" s="657">
        <v>11</v>
      </c>
      <c r="C106" s="657">
        <v>1060.1999999999925</v>
      </c>
      <c r="D106" s="658">
        <v>11</v>
      </c>
      <c r="E106" s="658">
        <v>1060.2999999999925</v>
      </c>
      <c r="G106" s="64">
        <v>1060.2999999999925</v>
      </c>
      <c r="H106" s="658">
        <v>11</v>
      </c>
      <c r="I106" s="64">
        <v>1060.3999999999924</v>
      </c>
      <c r="J106" s="658">
        <v>12</v>
      </c>
    </row>
    <row r="107" spans="2:10" ht="14.4" x14ac:dyDescent="0.3">
      <c r="B107" s="657">
        <v>11</v>
      </c>
      <c r="C107" s="657">
        <v>1060.2999999999925</v>
      </c>
      <c r="D107" s="658">
        <v>12</v>
      </c>
      <c r="E107" s="658">
        <v>1060.3999999999924</v>
      </c>
      <c r="G107" s="64">
        <v>1060.3999999999924</v>
      </c>
      <c r="H107" s="658">
        <v>12</v>
      </c>
      <c r="I107" s="64">
        <v>1060.4999999999923</v>
      </c>
      <c r="J107" s="658">
        <v>12</v>
      </c>
    </row>
    <row r="108" spans="2:10" ht="14.4" x14ac:dyDescent="0.3">
      <c r="B108" s="657">
        <v>12</v>
      </c>
      <c r="C108" s="657">
        <v>1060.3999999999924</v>
      </c>
      <c r="D108" s="658">
        <v>12</v>
      </c>
      <c r="E108" s="658">
        <v>1060.4999999999923</v>
      </c>
      <c r="G108" s="64">
        <v>1060.4999999999923</v>
      </c>
      <c r="H108" s="658">
        <v>12</v>
      </c>
      <c r="I108" s="64">
        <v>1060.5999999999922</v>
      </c>
      <c r="J108" s="658">
        <v>13</v>
      </c>
    </row>
    <row r="109" spans="2:10" ht="14.4" x14ac:dyDescent="0.3">
      <c r="B109" s="657">
        <v>12</v>
      </c>
      <c r="C109" s="657">
        <v>1060.4999999999923</v>
      </c>
      <c r="D109" s="658">
        <v>13</v>
      </c>
      <c r="E109" s="658">
        <v>1060.5999999999922</v>
      </c>
      <c r="G109" s="64">
        <v>1060.5999999999922</v>
      </c>
      <c r="H109" s="658">
        <v>13</v>
      </c>
      <c r="I109" s="64">
        <v>1060.6999999999921</v>
      </c>
      <c r="J109" s="658">
        <v>13</v>
      </c>
    </row>
    <row r="110" spans="2:10" ht="14.4" x14ac:dyDescent="0.3">
      <c r="B110" s="657">
        <v>13</v>
      </c>
      <c r="C110" s="657">
        <v>1060.5999999999922</v>
      </c>
      <c r="D110" s="658">
        <v>13</v>
      </c>
      <c r="E110" s="658">
        <v>1060.6999999999921</v>
      </c>
      <c r="G110" s="64">
        <v>1060.6999999999921</v>
      </c>
      <c r="H110" s="658">
        <v>13</v>
      </c>
      <c r="I110" s="64">
        <v>1060.799999999992</v>
      </c>
      <c r="J110" s="658">
        <v>14</v>
      </c>
    </row>
    <row r="111" spans="2:10" ht="14.4" x14ac:dyDescent="0.3">
      <c r="B111" s="657">
        <v>13</v>
      </c>
      <c r="C111" s="657">
        <v>1060.6999999999921</v>
      </c>
      <c r="D111" s="658">
        <v>14</v>
      </c>
      <c r="E111" s="658">
        <v>1060.799999999992</v>
      </c>
      <c r="G111" s="64">
        <v>1060.799999999992</v>
      </c>
      <c r="H111" s="658">
        <v>14</v>
      </c>
      <c r="I111" s="64">
        <v>1060.8999999999919</v>
      </c>
      <c r="J111" s="658">
        <v>14</v>
      </c>
    </row>
    <row r="112" spans="2:10" ht="14.4" x14ac:dyDescent="0.3">
      <c r="B112" s="657">
        <v>14</v>
      </c>
      <c r="C112" s="657">
        <v>1060.799999999992</v>
      </c>
      <c r="D112" s="658">
        <v>14</v>
      </c>
      <c r="E112" s="658">
        <v>1060.8999999999919</v>
      </c>
      <c r="G112" s="64">
        <v>1060.8999999999919</v>
      </c>
      <c r="H112" s="658">
        <v>14</v>
      </c>
      <c r="I112" s="64">
        <v>1060.9999999999918</v>
      </c>
      <c r="J112" s="658">
        <v>14</v>
      </c>
    </row>
    <row r="113" spans="2:10" ht="14.4" x14ac:dyDescent="0.3">
      <c r="B113" s="657">
        <v>14</v>
      </c>
      <c r="C113" s="657">
        <v>1060.8999999999919</v>
      </c>
      <c r="D113" s="658">
        <v>14</v>
      </c>
      <c r="E113" s="658">
        <v>1060.9999999999918</v>
      </c>
      <c r="G113" s="64">
        <v>1060.9999999999918</v>
      </c>
      <c r="H113" s="658">
        <v>14</v>
      </c>
      <c r="I113" s="64">
        <v>1061.0999999999917</v>
      </c>
      <c r="J113" s="658">
        <v>15</v>
      </c>
    </row>
    <row r="114" spans="2:10" ht="14.4" x14ac:dyDescent="0.3">
      <c r="B114" s="657">
        <v>14</v>
      </c>
      <c r="C114" s="657">
        <v>1060.9999999999918</v>
      </c>
      <c r="D114" s="658">
        <v>15</v>
      </c>
      <c r="E114" s="658">
        <v>1061.0999999999917</v>
      </c>
      <c r="G114" s="64">
        <v>1061.0999999999917</v>
      </c>
      <c r="H114" s="658">
        <v>15</v>
      </c>
      <c r="I114" s="64">
        <v>1061.1999999999916</v>
      </c>
      <c r="J114" s="658">
        <v>15</v>
      </c>
    </row>
    <row r="115" spans="2:10" ht="14.4" x14ac:dyDescent="0.3">
      <c r="B115" s="657">
        <v>15</v>
      </c>
      <c r="C115" s="657">
        <v>1061.0999999999917</v>
      </c>
      <c r="D115" s="658">
        <v>15</v>
      </c>
      <c r="E115" s="658">
        <v>1061.1999999999916</v>
      </c>
      <c r="G115" s="64">
        <v>1061.1999999999916</v>
      </c>
      <c r="H115" s="658">
        <v>15</v>
      </c>
      <c r="I115" s="64">
        <v>1061.2999999999915</v>
      </c>
      <c r="J115" s="658">
        <v>16</v>
      </c>
    </row>
    <row r="116" spans="2:10" ht="14.4" x14ac:dyDescent="0.3">
      <c r="B116" s="657">
        <v>15</v>
      </c>
      <c r="C116" s="657">
        <v>1061.1999999999916</v>
      </c>
      <c r="D116" s="658">
        <v>16</v>
      </c>
      <c r="E116" s="658">
        <v>1061.2999999999915</v>
      </c>
      <c r="G116" s="64">
        <v>1061.2999999999915</v>
      </c>
      <c r="H116" s="658">
        <v>16</v>
      </c>
      <c r="I116" s="64">
        <v>1061.3999999999915</v>
      </c>
      <c r="J116" s="658">
        <v>17</v>
      </c>
    </row>
    <row r="117" spans="2:10" ht="14.4" x14ac:dyDescent="0.3">
      <c r="B117" s="657">
        <v>16</v>
      </c>
      <c r="C117" s="657">
        <v>1061.2999999999915</v>
      </c>
      <c r="D117" s="658">
        <v>17</v>
      </c>
      <c r="E117" s="658">
        <v>1061.3999999999915</v>
      </c>
      <c r="G117" s="64">
        <v>1061.3999999999915</v>
      </c>
      <c r="H117" s="658">
        <v>17</v>
      </c>
      <c r="I117" s="64">
        <v>1061.4999999999914</v>
      </c>
      <c r="J117" s="658">
        <v>17</v>
      </c>
    </row>
    <row r="118" spans="2:10" ht="14.4" x14ac:dyDescent="0.3">
      <c r="B118" s="657">
        <v>17</v>
      </c>
      <c r="C118" s="657">
        <v>1061.3999999999915</v>
      </c>
      <c r="D118" s="658">
        <v>17</v>
      </c>
      <c r="E118" s="658">
        <v>1061.4999999999914</v>
      </c>
      <c r="G118" s="64">
        <v>1061.4999999999914</v>
      </c>
      <c r="H118" s="658">
        <v>17</v>
      </c>
      <c r="I118" s="64">
        <v>1061.5999999999913</v>
      </c>
      <c r="J118" s="658">
        <v>18</v>
      </c>
    </row>
    <row r="119" spans="2:10" ht="14.4" x14ac:dyDescent="0.3">
      <c r="B119" s="657">
        <v>17</v>
      </c>
      <c r="C119" s="657">
        <v>1061.4999999999914</v>
      </c>
      <c r="D119" s="658">
        <v>18</v>
      </c>
      <c r="E119" s="658">
        <v>1061.5999999999913</v>
      </c>
      <c r="G119" s="64">
        <v>1061.5999999999913</v>
      </c>
      <c r="H119" s="658">
        <v>18</v>
      </c>
      <c r="I119" s="64">
        <v>1061.6999999999912</v>
      </c>
      <c r="J119" s="658">
        <v>18</v>
      </c>
    </row>
    <row r="120" spans="2:10" ht="14.4" x14ac:dyDescent="0.3">
      <c r="B120" s="657">
        <v>18</v>
      </c>
      <c r="C120" s="657">
        <v>1061.5999999999913</v>
      </c>
      <c r="D120" s="658">
        <v>18</v>
      </c>
      <c r="E120" s="658">
        <v>1061.6999999999912</v>
      </c>
      <c r="G120" s="64">
        <v>1061.6999999999912</v>
      </c>
      <c r="H120" s="658">
        <v>18</v>
      </c>
      <c r="I120" s="64">
        <v>1061.7999999999911</v>
      </c>
      <c r="J120" s="658">
        <v>19</v>
      </c>
    </row>
    <row r="121" spans="2:10" ht="14.4" x14ac:dyDescent="0.3">
      <c r="B121" s="657">
        <v>18</v>
      </c>
      <c r="C121" s="657">
        <v>1061.6999999999912</v>
      </c>
      <c r="D121" s="658">
        <v>19</v>
      </c>
      <c r="E121" s="658">
        <v>1061.7999999999911</v>
      </c>
      <c r="G121" s="64">
        <v>1061.7999999999911</v>
      </c>
      <c r="H121" s="658">
        <v>19</v>
      </c>
      <c r="I121" s="64">
        <v>1061.899999999991</v>
      </c>
      <c r="J121" s="658">
        <v>20</v>
      </c>
    </row>
    <row r="122" spans="2:10" ht="14.4" x14ac:dyDescent="0.3">
      <c r="B122" s="657">
        <v>19</v>
      </c>
      <c r="C122" s="657">
        <v>1061.7999999999911</v>
      </c>
      <c r="D122" s="658">
        <v>20</v>
      </c>
      <c r="E122" s="658">
        <v>1061.899999999991</v>
      </c>
      <c r="G122" s="64">
        <v>1061.899999999991</v>
      </c>
      <c r="H122" s="658">
        <v>20</v>
      </c>
      <c r="I122" s="64">
        <v>1061.9999999999909</v>
      </c>
      <c r="J122" s="658">
        <v>20</v>
      </c>
    </row>
    <row r="123" spans="2:10" ht="14.4" x14ac:dyDescent="0.3">
      <c r="B123" s="657">
        <v>20</v>
      </c>
      <c r="C123" s="657">
        <v>1061.899999999991</v>
      </c>
      <c r="D123" s="658">
        <v>20</v>
      </c>
      <c r="E123" s="658">
        <v>1061.9999999999909</v>
      </c>
      <c r="G123" s="64">
        <v>1061.9999999999909</v>
      </c>
      <c r="H123" s="658">
        <v>20</v>
      </c>
      <c r="I123" s="64">
        <v>1062.0999999999908</v>
      </c>
      <c r="J123" s="658">
        <v>21</v>
      </c>
    </row>
    <row r="124" spans="2:10" ht="14.4" x14ac:dyDescent="0.3">
      <c r="B124" s="657">
        <v>20</v>
      </c>
      <c r="C124" s="657">
        <v>1061.9999999999909</v>
      </c>
      <c r="D124" s="658">
        <v>21</v>
      </c>
      <c r="E124" s="658">
        <v>1062.0999999999908</v>
      </c>
      <c r="G124" s="64">
        <v>1062.0999999999908</v>
      </c>
      <c r="H124" s="658">
        <v>21</v>
      </c>
      <c r="I124" s="64">
        <v>1062.1999999999907</v>
      </c>
      <c r="J124" s="658">
        <v>22</v>
      </c>
    </row>
    <row r="125" spans="2:10" ht="14.4" x14ac:dyDescent="0.3">
      <c r="B125" s="657">
        <v>21</v>
      </c>
      <c r="C125" s="657">
        <v>1062.0999999999908</v>
      </c>
      <c r="D125" s="658">
        <v>22</v>
      </c>
      <c r="E125" s="658">
        <v>1062.1999999999907</v>
      </c>
      <c r="G125" s="64">
        <v>1062.1999999999907</v>
      </c>
      <c r="H125" s="658">
        <v>22</v>
      </c>
      <c r="I125" s="64">
        <v>1062.2999999999906</v>
      </c>
      <c r="J125" s="658">
        <v>23</v>
      </c>
    </row>
    <row r="126" spans="2:10" ht="14.4" x14ac:dyDescent="0.3">
      <c r="B126" s="657">
        <v>22</v>
      </c>
      <c r="C126" s="657">
        <v>1062.1999999999907</v>
      </c>
      <c r="D126" s="658">
        <v>23</v>
      </c>
      <c r="E126" s="658">
        <v>1062.2999999999906</v>
      </c>
      <c r="G126" s="64">
        <v>1062.2999999999906</v>
      </c>
      <c r="H126" s="658">
        <v>23</v>
      </c>
      <c r="I126" s="64">
        <v>1062.3999999999905</v>
      </c>
      <c r="J126" s="658">
        <v>24</v>
      </c>
    </row>
    <row r="127" spans="2:10" ht="14.4" x14ac:dyDescent="0.3">
      <c r="B127" s="657">
        <v>23</v>
      </c>
      <c r="C127" s="657">
        <v>1062.2999999999906</v>
      </c>
      <c r="D127" s="658">
        <v>24</v>
      </c>
      <c r="E127" s="658">
        <v>1062.3999999999905</v>
      </c>
      <c r="G127" s="64">
        <v>1062.3999999999905</v>
      </c>
      <c r="H127" s="658">
        <v>24</v>
      </c>
      <c r="I127" s="64">
        <v>1062.4999999999905</v>
      </c>
      <c r="J127" s="658">
        <v>25</v>
      </c>
    </row>
    <row r="128" spans="2:10" ht="14.4" x14ac:dyDescent="0.3">
      <c r="B128" s="657">
        <v>24</v>
      </c>
      <c r="C128" s="657">
        <v>1062.3999999999905</v>
      </c>
      <c r="D128" s="658">
        <v>25</v>
      </c>
      <c r="E128" s="658">
        <v>1062.4999999999905</v>
      </c>
      <c r="G128" s="64">
        <v>1062.4999999999905</v>
      </c>
      <c r="H128" s="658">
        <v>25</v>
      </c>
      <c r="I128" s="64">
        <v>1062.5999999999904</v>
      </c>
      <c r="J128" s="658">
        <v>26</v>
      </c>
    </row>
    <row r="129" spans="2:10" ht="14.4" x14ac:dyDescent="0.3">
      <c r="B129" s="657">
        <v>25</v>
      </c>
      <c r="C129" s="657">
        <v>1062.4999999999905</v>
      </c>
      <c r="D129" s="658">
        <v>26</v>
      </c>
      <c r="E129" s="658">
        <v>1062.5999999999904</v>
      </c>
      <c r="G129" s="64">
        <v>1062.5999999999904</v>
      </c>
      <c r="H129" s="658">
        <v>26</v>
      </c>
      <c r="I129" s="64">
        <v>1062.6999999999903</v>
      </c>
      <c r="J129" s="658">
        <v>27</v>
      </c>
    </row>
    <row r="130" spans="2:10" ht="14.4" x14ac:dyDescent="0.3">
      <c r="B130" s="657">
        <v>26</v>
      </c>
      <c r="C130" s="657">
        <v>1062.5999999999904</v>
      </c>
      <c r="D130" s="658">
        <v>27</v>
      </c>
      <c r="E130" s="658">
        <v>1062.6999999999903</v>
      </c>
      <c r="G130" s="64">
        <v>1062.6999999999903</v>
      </c>
      <c r="H130" s="658">
        <v>27</v>
      </c>
      <c r="I130" s="64">
        <v>1062.7999999999902</v>
      </c>
      <c r="J130" s="658">
        <v>28</v>
      </c>
    </row>
    <row r="131" spans="2:10" ht="14.4" x14ac:dyDescent="0.3">
      <c r="B131" s="657">
        <v>27</v>
      </c>
      <c r="C131" s="657">
        <v>1062.6999999999903</v>
      </c>
      <c r="D131" s="658">
        <v>28</v>
      </c>
      <c r="E131" s="658">
        <v>1062.7999999999902</v>
      </c>
      <c r="G131" s="64">
        <v>1062.7999999999902</v>
      </c>
      <c r="H131" s="658">
        <v>28</v>
      </c>
      <c r="I131" s="64">
        <v>1062.8999999999901</v>
      </c>
      <c r="J131" s="658">
        <v>29</v>
      </c>
    </row>
    <row r="132" spans="2:10" ht="14.4" x14ac:dyDescent="0.3">
      <c r="B132" s="657">
        <v>28</v>
      </c>
      <c r="C132" s="657">
        <v>1062.7999999999902</v>
      </c>
      <c r="D132" s="658">
        <v>29</v>
      </c>
      <c r="E132" s="658">
        <v>1062.8999999999901</v>
      </c>
      <c r="G132" s="64">
        <v>1062.8999999999901</v>
      </c>
      <c r="H132" s="658">
        <v>29</v>
      </c>
      <c r="I132" s="64">
        <v>1062.99999999999</v>
      </c>
      <c r="J132" s="658">
        <v>30</v>
      </c>
    </row>
    <row r="133" spans="2:10" ht="14.4" x14ac:dyDescent="0.3">
      <c r="B133" s="657">
        <v>29</v>
      </c>
      <c r="C133" s="657">
        <v>1062.8999999999901</v>
      </c>
      <c r="D133" s="658">
        <v>30</v>
      </c>
      <c r="E133" s="658">
        <v>1062.99999999999</v>
      </c>
      <c r="G133" s="64">
        <v>1062.99999999999</v>
      </c>
      <c r="H133" s="658">
        <v>30</v>
      </c>
      <c r="I133" s="64">
        <v>1063.0999999999899</v>
      </c>
      <c r="J133" s="658">
        <v>31</v>
      </c>
    </row>
    <row r="134" spans="2:10" ht="14.4" x14ac:dyDescent="0.3">
      <c r="B134" s="657">
        <v>30</v>
      </c>
      <c r="C134" s="657">
        <v>1062.99999999999</v>
      </c>
      <c r="D134" s="658">
        <v>31</v>
      </c>
      <c r="E134" s="658">
        <v>1063.0999999999899</v>
      </c>
      <c r="G134" s="64">
        <v>1063.0999999999899</v>
      </c>
      <c r="H134" s="658">
        <v>31</v>
      </c>
      <c r="I134" s="64">
        <v>1063.1999999999898</v>
      </c>
      <c r="J134" s="658">
        <v>32</v>
      </c>
    </row>
    <row r="135" spans="2:10" ht="14.4" x14ac:dyDescent="0.3">
      <c r="B135" s="657">
        <v>31</v>
      </c>
      <c r="C135" s="657">
        <v>1063.0999999999899</v>
      </c>
      <c r="D135" s="658">
        <v>32</v>
      </c>
      <c r="E135" s="658">
        <v>1063.1999999999898</v>
      </c>
      <c r="G135" s="64">
        <v>1063.1999999999898</v>
      </c>
      <c r="H135" s="658">
        <v>32</v>
      </c>
      <c r="I135" s="64">
        <v>1063.2999999999897</v>
      </c>
      <c r="J135" s="658">
        <v>33</v>
      </c>
    </row>
    <row r="136" spans="2:10" ht="14.4" x14ac:dyDescent="0.3">
      <c r="B136" s="657">
        <v>32</v>
      </c>
      <c r="C136" s="657">
        <v>1063.1999999999898</v>
      </c>
      <c r="D136" s="658">
        <v>33</v>
      </c>
      <c r="E136" s="658">
        <v>1063.2999999999897</v>
      </c>
      <c r="G136" s="64">
        <v>1063.2999999999897</v>
      </c>
      <c r="H136" s="658">
        <v>33</v>
      </c>
      <c r="I136" s="64">
        <v>1063.3999999999896</v>
      </c>
      <c r="J136" s="658">
        <v>35</v>
      </c>
    </row>
    <row r="137" spans="2:10" ht="14.4" x14ac:dyDescent="0.3">
      <c r="B137" s="657">
        <v>33</v>
      </c>
      <c r="C137" s="657">
        <v>1063.2999999999897</v>
      </c>
      <c r="D137" s="658">
        <v>35</v>
      </c>
      <c r="E137" s="658">
        <v>1063.3999999999896</v>
      </c>
      <c r="G137" s="64">
        <v>1063.3999999999896</v>
      </c>
      <c r="H137" s="658">
        <v>35</v>
      </c>
      <c r="I137" s="64">
        <v>1063.4999999999895</v>
      </c>
      <c r="J137" s="658">
        <v>36</v>
      </c>
    </row>
    <row r="138" spans="2:10" ht="14.4" x14ac:dyDescent="0.3">
      <c r="B138" s="657">
        <v>35</v>
      </c>
      <c r="C138" s="657">
        <v>1063.3999999999896</v>
      </c>
      <c r="D138" s="658">
        <v>36</v>
      </c>
      <c r="E138" s="658">
        <v>1063.4999999999895</v>
      </c>
      <c r="G138" s="64">
        <v>1063.4999999999895</v>
      </c>
      <c r="H138" s="658">
        <v>36</v>
      </c>
      <c r="I138" s="64">
        <v>1063.5999999999894</v>
      </c>
      <c r="J138" s="658">
        <v>37</v>
      </c>
    </row>
    <row r="139" spans="2:10" ht="14.4" x14ac:dyDescent="0.3">
      <c r="B139" s="657">
        <v>36</v>
      </c>
      <c r="C139" s="657">
        <v>1063.4999999999895</v>
      </c>
      <c r="D139" s="658">
        <v>37</v>
      </c>
      <c r="E139" s="658">
        <v>1063.5999999999894</v>
      </c>
      <c r="G139" s="64">
        <v>1063.5999999999894</v>
      </c>
      <c r="H139" s="658">
        <v>37</v>
      </c>
      <c r="I139" s="64">
        <v>1063.6999999999894</v>
      </c>
      <c r="J139" s="658">
        <v>39</v>
      </c>
    </row>
    <row r="140" spans="2:10" ht="14.4" x14ac:dyDescent="0.3">
      <c r="B140" s="657">
        <v>37</v>
      </c>
      <c r="C140" s="657">
        <v>1063.5999999999894</v>
      </c>
      <c r="D140" s="658">
        <v>39</v>
      </c>
      <c r="E140" s="658">
        <v>1063.6999999999894</v>
      </c>
      <c r="G140" s="64">
        <v>1063.6999999999894</v>
      </c>
      <c r="H140" s="658">
        <v>39</v>
      </c>
      <c r="I140" s="64">
        <v>1063.7999999999893</v>
      </c>
      <c r="J140" s="658">
        <v>40</v>
      </c>
    </row>
    <row r="141" spans="2:10" ht="14.4" x14ac:dyDescent="0.3">
      <c r="B141" s="657">
        <v>39</v>
      </c>
      <c r="C141" s="657">
        <v>1063.6999999999894</v>
      </c>
      <c r="D141" s="658">
        <v>40</v>
      </c>
      <c r="E141" s="658">
        <v>1063.7999999999893</v>
      </c>
      <c r="G141" s="64">
        <v>1063.7999999999893</v>
      </c>
      <c r="H141" s="658">
        <v>40</v>
      </c>
      <c r="I141" s="64">
        <v>1063.8999999999892</v>
      </c>
      <c r="J141" s="658">
        <v>41</v>
      </c>
    </row>
    <row r="142" spans="2:10" ht="14.4" x14ac:dyDescent="0.3">
      <c r="B142" s="657">
        <v>40</v>
      </c>
      <c r="C142" s="657">
        <v>1063.7999999999893</v>
      </c>
      <c r="D142" s="658">
        <v>41</v>
      </c>
      <c r="E142" s="658">
        <v>1063.8999999999892</v>
      </c>
      <c r="G142" s="64">
        <v>1063.8999999999892</v>
      </c>
      <c r="H142" s="658">
        <v>41</v>
      </c>
      <c r="I142" s="64">
        <v>1063.9999999999891</v>
      </c>
      <c r="J142" s="658">
        <v>43</v>
      </c>
    </row>
    <row r="143" spans="2:10" ht="14.4" x14ac:dyDescent="0.3">
      <c r="B143" s="657">
        <v>41</v>
      </c>
      <c r="C143" s="657">
        <v>1063.8999999999892</v>
      </c>
      <c r="D143" s="658">
        <v>43</v>
      </c>
      <c r="E143" s="658">
        <v>1063.9999999999891</v>
      </c>
      <c r="G143" s="64">
        <v>1063.9999999999891</v>
      </c>
      <c r="H143" s="658">
        <v>43</v>
      </c>
      <c r="I143" s="64">
        <v>1064.099999999989</v>
      </c>
      <c r="J143" s="658">
        <v>44</v>
      </c>
    </row>
    <row r="144" spans="2:10" ht="14.4" x14ac:dyDescent="0.3">
      <c r="B144" s="657">
        <v>43</v>
      </c>
      <c r="C144" s="657">
        <v>1063.9999999999891</v>
      </c>
      <c r="D144" s="658">
        <v>44</v>
      </c>
      <c r="E144" s="658">
        <v>1064.099999999989</v>
      </c>
      <c r="G144" s="64">
        <v>1064.099999999989</v>
      </c>
      <c r="H144" s="658">
        <v>44</v>
      </c>
      <c r="I144" s="64">
        <v>1064.1999999999889</v>
      </c>
      <c r="J144" s="658">
        <v>46</v>
      </c>
    </row>
    <row r="145" spans="2:10" ht="14.4" x14ac:dyDescent="0.3">
      <c r="B145" s="657">
        <v>44</v>
      </c>
      <c r="C145" s="657">
        <v>1064.099999999989</v>
      </c>
      <c r="D145" s="658">
        <v>46</v>
      </c>
      <c r="E145" s="658">
        <v>1064.1999999999889</v>
      </c>
      <c r="G145" s="64">
        <v>1064.1999999999889</v>
      </c>
      <c r="H145" s="658">
        <v>46</v>
      </c>
      <c r="I145" s="64">
        <v>1064.2999999999888</v>
      </c>
      <c r="J145" s="658">
        <v>48</v>
      </c>
    </row>
    <row r="146" spans="2:10" ht="14.4" x14ac:dyDescent="0.3">
      <c r="B146" s="657">
        <v>46</v>
      </c>
      <c r="C146" s="657">
        <v>1064.1999999999889</v>
      </c>
      <c r="D146" s="658">
        <v>48</v>
      </c>
      <c r="E146" s="658">
        <v>1064.2999999999888</v>
      </c>
      <c r="G146" s="64">
        <v>1064.2999999999888</v>
      </c>
      <c r="H146" s="658">
        <v>48</v>
      </c>
      <c r="I146" s="64">
        <v>1064.3999999999887</v>
      </c>
      <c r="J146" s="658">
        <v>49</v>
      </c>
    </row>
    <row r="147" spans="2:10" ht="14.4" x14ac:dyDescent="0.3">
      <c r="B147" s="657">
        <v>48</v>
      </c>
      <c r="C147" s="657">
        <v>1064.2999999999888</v>
      </c>
      <c r="D147" s="658">
        <v>49</v>
      </c>
      <c r="E147" s="658">
        <v>1064.3999999999887</v>
      </c>
      <c r="G147" s="64">
        <v>1064.3999999999887</v>
      </c>
      <c r="H147" s="658">
        <v>49</v>
      </c>
      <c r="I147" s="64">
        <v>1064.4999999999886</v>
      </c>
      <c r="J147" s="658">
        <v>51</v>
      </c>
    </row>
    <row r="148" spans="2:10" ht="14.4" x14ac:dyDescent="0.3">
      <c r="B148" s="657">
        <v>49</v>
      </c>
      <c r="C148" s="657">
        <v>1064.3999999999887</v>
      </c>
      <c r="D148" s="658">
        <v>51</v>
      </c>
      <c r="E148" s="658">
        <v>1064.4999999999886</v>
      </c>
      <c r="G148" s="64">
        <v>1064.4999999999886</v>
      </c>
      <c r="H148" s="658">
        <v>51</v>
      </c>
      <c r="I148" s="64">
        <v>1064.5999999999885</v>
      </c>
      <c r="J148" s="658">
        <v>53</v>
      </c>
    </row>
    <row r="149" spans="2:10" ht="14.4" x14ac:dyDescent="0.3">
      <c r="B149" s="657">
        <v>51</v>
      </c>
      <c r="C149" s="657">
        <v>1064.4999999999886</v>
      </c>
      <c r="D149" s="658">
        <v>53</v>
      </c>
      <c r="E149" s="658">
        <v>1064.5999999999885</v>
      </c>
      <c r="G149" s="64">
        <v>1064.5999999999885</v>
      </c>
      <c r="H149" s="658">
        <v>53</v>
      </c>
      <c r="I149" s="64">
        <v>1064.6999999999884</v>
      </c>
      <c r="J149" s="658">
        <v>54</v>
      </c>
    </row>
    <row r="150" spans="2:10" ht="14.4" x14ac:dyDescent="0.3">
      <c r="B150" s="657">
        <v>53</v>
      </c>
      <c r="C150" s="657">
        <v>1064.5999999999885</v>
      </c>
      <c r="D150" s="658">
        <v>54</v>
      </c>
      <c r="E150" s="658">
        <v>1064.6999999999884</v>
      </c>
      <c r="G150" s="64">
        <v>1064.6999999999884</v>
      </c>
      <c r="H150" s="658">
        <v>54</v>
      </c>
      <c r="I150" s="64">
        <v>1064.7999999999884</v>
      </c>
      <c r="J150" s="658">
        <v>56</v>
      </c>
    </row>
    <row r="151" spans="2:10" ht="14.4" x14ac:dyDescent="0.3">
      <c r="B151" s="657">
        <v>54</v>
      </c>
      <c r="C151" s="657">
        <v>1064.6999999999884</v>
      </c>
      <c r="D151" s="658">
        <v>56</v>
      </c>
      <c r="E151" s="658">
        <v>1064.7999999999884</v>
      </c>
      <c r="G151" s="64">
        <v>1064.7999999999884</v>
      </c>
      <c r="H151" s="658">
        <v>56</v>
      </c>
      <c r="I151" s="64">
        <v>1064.8999999999883</v>
      </c>
      <c r="J151" s="658">
        <v>58</v>
      </c>
    </row>
    <row r="152" spans="2:10" ht="14.4" x14ac:dyDescent="0.3">
      <c r="B152" s="657">
        <v>56</v>
      </c>
      <c r="C152" s="657">
        <v>1064.7999999999884</v>
      </c>
      <c r="D152" s="658">
        <v>58</v>
      </c>
      <c r="E152" s="658">
        <v>1064.8999999999883</v>
      </c>
      <c r="G152" s="64">
        <v>1064.8999999999883</v>
      </c>
      <c r="H152" s="658">
        <v>58</v>
      </c>
      <c r="I152" s="64">
        <v>1064.9999999999882</v>
      </c>
      <c r="J152" s="658">
        <v>59</v>
      </c>
    </row>
    <row r="153" spans="2:10" ht="14.4" x14ac:dyDescent="0.3">
      <c r="B153" s="657">
        <v>58</v>
      </c>
      <c r="C153" s="657">
        <v>1064.8999999999883</v>
      </c>
      <c r="D153" s="658">
        <v>59</v>
      </c>
      <c r="E153" s="658">
        <v>1064.9999999999882</v>
      </c>
      <c r="G153" s="64">
        <v>1064.9999999999882</v>
      </c>
      <c r="H153" s="658">
        <v>59</v>
      </c>
      <c r="I153" s="64">
        <v>1065.0999999999881</v>
      </c>
      <c r="J153" s="658">
        <v>61</v>
      </c>
    </row>
    <row r="154" spans="2:10" ht="14.4" x14ac:dyDescent="0.3">
      <c r="B154" s="657">
        <v>59</v>
      </c>
      <c r="C154" s="657">
        <v>1064.9999999999882</v>
      </c>
      <c r="D154" s="658">
        <v>61</v>
      </c>
      <c r="E154" s="658">
        <v>1065.0999999999881</v>
      </c>
      <c r="G154" s="64">
        <v>1065.0999999999881</v>
      </c>
      <c r="H154" s="658">
        <v>61</v>
      </c>
      <c r="I154" s="64">
        <v>1065.199999999988</v>
      </c>
      <c r="J154" s="658">
        <v>64</v>
      </c>
    </row>
    <row r="155" spans="2:10" ht="14.4" x14ac:dyDescent="0.3">
      <c r="B155" s="657">
        <v>61</v>
      </c>
      <c r="C155" s="657">
        <v>1065.0999999999881</v>
      </c>
      <c r="D155" s="658">
        <v>64</v>
      </c>
      <c r="E155" s="658">
        <v>1065.199999999988</v>
      </c>
      <c r="G155" s="64">
        <v>1065.199999999988</v>
      </c>
      <c r="H155" s="658">
        <v>64</v>
      </c>
      <c r="I155" s="64">
        <v>1065.2999999999879</v>
      </c>
      <c r="J155" s="658">
        <v>66</v>
      </c>
    </row>
    <row r="156" spans="2:10" ht="14.4" x14ac:dyDescent="0.3">
      <c r="B156" s="657">
        <v>64</v>
      </c>
      <c r="C156" s="657">
        <v>1065.199999999988</v>
      </c>
      <c r="D156" s="658">
        <v>66</v>
      </c>
      <c r="E156" s="658">
        <v>1065.2999999999879</v>
      </c>
      <c r="G156" s="64">
        <v>1065.2999999999879</v>
      </c>
      <c r="H156" s="658">
        <v>66</v>
      </c>
      <c r="I156" s="64">
        <v>1065.3999999999878</v>
      </c>
      <c r="J156" s="658">
        <v>68</v>
      </c>
    </row>
    <row r="157" spans="2:10" ht="14.4" x14ac:dyDescent="0.3">
      <c r="B157" s="657">
        <v>66</v>
      </c>
      <c r="C157" s="657">
        <v>1065.2999999999879</v>
      </c>
      <c r="D157" s="658">
        <v>68</v>
      </c>
      <c r="E157" s="658">
        <v>1065.3999999999878</v>
      </c>
      <c r="G157" s="64">
        <v>1065.3999999999878</v>
      </c>
      <c r="H157" s="658">
        <v>68</v>
      </c>
      <c r="I157" s="64">
        <v>1065.4999999999877</v>
      </c>
      <c r="J157" s="658">
        <v>70</v>
      </c>
    </row>
    <row r="158" spans="2:10" ht="14.4" x14ac:dyDescent="0.3">
      <c r="B158" s="657">
        <v>68</v>
      </c>
      <c r="C158" s="657">
        <v>1065.3999999999878</v>
      </c>
      <c r="D158" s="658">
        <v>70</v>
      </c>
      <c r="E158" s="658">
        <v>1065.4999999999877</v>
      </c>
      <c r="G158" s="64">
        <v>1065.4999999999877</v>
      </c>
      <c r="H158" s="658">
        <v>70</v>
      </c>
      <c r="I158" s="64">
        <v>1065.5999999999876</v>
      </c>
      <c r="J158" s="658">
        <v>72</v>
      </c>
    </row>
    <row r="159" spans="2:10" ht="14.4" x14ac:dyDescent="0.3">
      <c r="B159" s="657">
        <v>70</v>
      </c>
      <c r="C159" s="657">
        <v>1065.4999999999877</v>
      </c>
      <c r="D159" s="658">
        <v>72</v>
      </c>
      <c r="E159" s="658">
        <v>1065.5999999999876</v>
      </c>
      <c r="G159" s="64">
        <v>1065.5999999999876</v>
      </c>
      <c r="H159" s="658">
        <v>72</v>
      </c>
      <c r="I159" s="64">
        <v>1065.6999999999875</v>
      </c>
      <c r="J159" s="658">
        <v>74</v>
      </c>
    </row>
    <row r="160" spans="2:10" ht="14.4" x14ac:dyDescent="0.3">
      <c r="B160" s="657">
        <v>72</v>
      </c>
      <c r="C160" s="657">
        <v>1065.5999999999876</v>
      </c>
      <c r="D160" s="658">
        <v>74</v>
      </c>
      <c r="E160" s="658">
        <v>1065.6999999999875</v>
      </c>
      <c r="G160" s="64">
        <v>1065.6999999999875</v>
      </c>
      <c r="H160" s="658">
        <v>74</v>
      </c>
      <c r="I160" s="64">
        <v>1065.7999999999874</v>
      </c>
      <c r="J160" s="658">
        <v>76</v>
      </c>
    </row>
    <row r="161" spans="2:10" ht="14.4" x14ac:dyDescent="0.3">
      <c r="B161" s="657">
        <v>74</v>
      </c>
      <c r="C161" s="657">
        <v>1065.6999999999875</v>
      </c>
      <c r="D161" s="658">
        <v>76</v>
      </c>
      <c r="E161" s="658">
        <v>1065.7999999999874</v>
      </c>
      <c r="G161" s="64">
        <v>1065.7999999999874</v>
      </c>
      <c r="H161" s="658">
        <v>76</v>
      </c>
      <c r="I161" s="64">
        <v>1065.8999999999874</v>
      </c>
      <c r="J161" s="658">
        <v>78</v>
      </c>
    </row>
    <row r="162" spans="2:10" ht="14.4" x14ac:dyDescent="0.3">
      <c r="B162" s="657">
        <v>76</v>
      </c>
      <c r="C162" s="657">
        <v>1065.7999999999874</v>
      </c>
      <c r="D162" s="658">
        <v>78</v>
      </c>
      <c r="E162" s="658">
        <v>1065.8999999999874</v>
      </c>
      <c r="G162" s="64">
        <v>1065.8999999999874</v>
      </c>
      <c r="H162" s="658">
        <v>78</v>
      </c>
      <c r="I162" s="64">
        <v>1065.9999999999873</v>
      </c>
      <c r="J162" s="658">
        <v>80</v>
      </c>
    </row>
    <row r="163" spans="2:10" ht="14.4" x14ac:dyDescent="0.3">
      <c r="B163" s="657">
        <v>78</v>
      </c>
      <c r="C163" s="657">
        <v>1065.8999999999874</v>
      </c>
      <c r="D163" s="658">
        <v>80</v>
      </c>
      <c r="E163" s="658">
        <v>1065.9999999999873</v>
      </c>
      <c r="G163" s="64">
        <v>1065.9999999999873</v>
      </c>
      <c r="H163" s="658">
        <v>80</v>
      </c>
      <c r="I163" s="64">
        <v>1066.0999999999872</v>
      </c>
      <c r="J163" s="658">
        <v>82</v>
      </c>
    </row>
    <row r="164" spans="2:10" ht="14.4" x14ac:dyDescent="0.3">
      <c r="B164" s="657">
        <v>80</v>
      </c>
      <c r="C164" s="657">
        <v>1065.9999999999873</v>
      </c>
      <c r="D164" s="658">
        <v>82</v>
      </c>
      <c r="E164" s="658">
        <v>1066.0999999999872</v>
      </c>
      <c r="G164" s="64">
        <v>1066.0999999999872</v>
      </c>
      <c r="H164" s="658">
        <v>82</v>
      </c>
      <c r="I164" s="64">
        <v>1066.1999999999871</v>
      </c>
      <c r="J164" s="658">
        <v>85</v>
      </c>
    </row>
    <row r="165" spans="2:10" ht="14.4" x14ac:dyDescent="0.3">
      <c r="B165" s="657">
        <v>82</v>
      </c>
      <c r="C165" s="657">
        <v>1066.0999999999872</v>
      </c>
      <c r="D165" s="658">
        <v>85</v>
      </c>
      <c r="E165" s="658">
        <v>1066.1999999999871</v>
      </c>
      <c r="G165" s="64">
        <v>1066.1999999999871</v>
      </c>
      <c r="H165" s="658">
        <v>85</v>
      </c>
      <c r="I165" s="64">
        <v>1066.299999999987</v>
      </c>
      <c r="J165" s="658">
        <v>87</v>
      </c>
    </row>
    <row r="166" spans="2:10" ht="14.4" x14ac:dyDescent="0.3">
      <c r="B166" s="657">
        <v>85</v>
      </c>
      <c r="C166" s="657">
        <v>1066.1999999999871</v>
      </c>
      <c r="D166" s="658">
        <v>87</v>
      </c>
      <c r="E166" s="658">
        <v>1066.299999999987</v>
      </c>
      <c r="G166" s="64">
        <v>1066.299999999987</v>
      </c>
      <c r="H166" s="658">
        <v>87</v>
      </c>
      <c r="I166" s="64">
        <v>1066.3999999999869</v>
      </c>
      <c r="J166" s="658">
        <v>90</v>
      </c>
    </row>
    <row r="167" spans="2:10" ht="14.4" x14ac:dyDescent="0.3">
      <c r="B167" s="657">
        <v>87</v>
      </c>
      <c r="C167" s="657">
        <v>1066.299999999987</v>
      </c>
      <c r="D167" s="658">
        <v>90</v>
      </c>
      <c r="E167" s="658">
        <v>1066.3999999999869</v>
      </c>
      <c r="G167" s="64">
        <v>1066.3999999999869</v>
      </c>
      <c r="H167" s="658">
        <v>90</v>
      </c>
      <c r="I167" s="64">
        <v>1066.4999999999868</v>
      </c>
      <c r="J167" s="658">
        <v>92</v>
      </c>
    </row>
    <row r="168" spans="2:10" ht="14.4" x14ac:dyDescent="0.3">
      <c r="B168" s="657">
        <v>90</v>
      </c>
      <c r="C168" s="657">
        <v>1066.3999999999869</v>
      </c>
      <c r="D168" s="658">
        <v>92</v>
      </c>
      <c r="E168" s="658">
        <v>1066.4999999999868</v>
      </c>
      <c r="G168" s="64">
        <v>1066.4999999999868</v>
      </c>
      <c r="H168" s="658">
        <v>92</v>
      </c>
      <c r="I168" s="64">
        <v>1066.5999999999867</v>
      </c>
      <c r="J168" s="658">
        <v>94</v>
      </c>
    </row>
    <row r="169" spans="2:10" ht="14.4" x14ac:dyDescent="0.3">
      <c r="B169" s="657">
        <v>92</v>
      </c>
      <c r="C169" s="657">
        <v>1066.4999999999868</v>
      </c>
      <c r="D169" s="658">
        <v>94</v>
      </c>
      <c r="E169" s="658">
        <v>1066.5999999999867</v>
      </c>
      <c r="G169" s="64">
        <v>1066.5999999999867</v>
      </c>
      <c r="H169" s="658">
        <v>94</v>
      </c>
      <c r="I169" s="64">
        <v>1066.6999999999866</v>
      </c>
      <c r="J169" s="658">
        <v>97</v>
      </c>
    </row>
    <row r="170" spans="2:10" ht="14.4" x14ac:dyDescent="0.3">
      <c r="B170" s="657">
        <v>94</v>
      </c>
      <c r="C170" s="657">
        <v>1066.5999999999867</v>
      </c>
      <c r="D170" s="658">
        <v>97</v>
      </c>
      <c r="E170" s="658">
        <v>1066.6999999999866</v>
      </c>
      <c r="G170" s="64">
        <v>1066.6999999999866</v>
      </c>
      <c r="H170" s="658">
        <v>97</v>
      </c>
      <c r="I170" s="64">
        <v>1066.7999999999865</v>
      </c>
      <c r="J170" s="658">
        <v>99</v>
      </c>
    </row>
    <row r="171" spans="2:10" ht="14.4" x14ac:dyDescent="0.3">
      <c r="B171" s="657">
        <v>97</v>
      </c>
      <c r="C171" s="657">
        <v>1066.6999999999866</v>
      </c>
      <c r="D171" s="658">
        <v>99</v>
      </c>
      <c r="E171" s="658">
        <v>1066.7999999999865</v>
      </c>
      <c r="G171" s="64">
        <v>1066.7999999999865</v>
      </c>
      <c r="H171" s="658">
        <v>99</v>
      </c>
      <c r="I171" s="64">
        <v>1066.8999999999864</v>
      </c>
      <c r="J171" s="658">
        <v>102</v>
      </c>
    </row>
    <row r="172" spans="2:10" ht="14.4" x14ac:dyDescent="0.3">
      <c r="B172" s="657">
        <v>99</v>
      </c>
      <c r="C172" s="657">
        <v>1066.7999999999865</v>
      </c>
      <c r="D172" s="658">
        <v>102</v>
      </c>
      <c r="E172" s="658">
        <v>1066.8999999999864</v>
      </c>
      <c r="G172" s="64">
        <v>1066.8999999999864</v>
      </c>
      <c r="H172" s="658">
        <v>102</v>
      </c>
      <c r="I172" s="64">
        <v>1066.9999999999864</v>
      </c>
      <c r="J172" s="658">
        <v>104</v>
      </c>
    </row>
    <row r="173" spans="2:10" ht="14.4" x14ac:dyDescent="0.3">
      <c r="B173" s="657">
        <v>102</v>
      </c>
      <c r="C173" s="657">
        <v>1066.8999999999864</v>
      </c>
      <c r="D173" s="658">
        <v>104</v>
      </c>
      <c r="E173" s="658">
        <v>1066.9999999999864</v>
      </c>
      <c r="G173" s="64">
        <v>1066.9999999999864</v>
      </c>
      <c r="H173" s="658">
        <v>104</v>
      </c>
      <c r="I173" s="64">
        <v>1067.0999999999863</v>
      </c>
      <c r="J173" s="658">
        <v>107</v>
      </c>
    </row>
    <row r="174" spans="2:10" ht="14.4" x14ac:dyDescent="0.3">
      <c r="B174" s="657">
        <v>104</v>
      </c>
      <c r="C174" s="657">
        <v>1066.9999999999864</v>
      </c>
      <c r="D174" s="658">
        <v>107</v>
      </c>
      <c r="E174" s="658">
        <v>1067.0999999999863</v>
      </c>
      <c r="G174" s="64">
        <v>1067.0999999999863</v>
      </c>
      <c r="H174" s="658">
        <v>107</v>
      </c>
      <c r="I174" s="64">
        <v>1067.1999999999862</v>
      </c>
      <c r="J174" s="658">
        <v>110</v>
      </c>
    </row>
    <row r="175" spans="2:10" ht="14.4" x14ac:dyDescent="0.3">
      <c r="B175" s="657">
        <v>107</v>
      </c>
      <c r="C175" s="657">
        <v>1067.0999999999863</v>
      </c>
      <c r="D175" s="658">
        <v>110</v>
      </c>
      <c r="E175" s="658">
        <v>1067.1999999999862</v>
      </c>
      <c r="G175" s="64">
        <v>1067.1999999999862</v>
      </c>
      <c r="H175" s="658">
        <v>110</v>
      </c>
      <c r="I175" s="64">
        <v>1067.2999999999861</v>
      </c>
      <c r="J175" s="658">
        <v>113</v>
      </c>
    </row>
    <row r="176" spans="2:10" ht="14.4" x14ac:dyDescent="0.3">
      <c r="B176" s="657">
        <v>110</v>
      </c>
      <c r="C176" s="657">
        <v>1067.1999999999862</v>
      </c>
      <c r="D176" s="658">
        <v>113</v>
      </c>
      <c r="E176" s="658">
        <v>1067.2999999999861</v>
      </c>
      <c r="G176" s="64">
        <v>1067.2999999999861</v>
      </c>
      <c r="H176" s="658">
        <v>113</v>
      </c>
      <c r="I176" s="64">
        <v>1067.399999999986</v>
      </c>
      <c r="J176" s="658">
        <v>116</v>
      </c>
    </row>
    <row r="177" spans="2:10" ht="14.4" x14ac:dyDescent="0.3">
      <c r="B177" s="657">
        <v>113</v>
      </c>
      <c r="C177" s="657">
        <v>1067.2999999999861</v>
      </c>
      <c r="D177" s="658">
        <v>116</v>
      </c>
      <c r="E177" s="658">
        <v>1067.399999999986</v>
      </c>
      <c r="G177" s="64">
        <v>1067.399999999986</v>
      </c>
      <c r="H177" s="658">
        <v>116</v>
      </c>
      <c r="I177" s="64">
        <v>1067.4999999999859</v>
      </c>
      <c r="J177" s="658">
        <v>119</v>
      </c>
    </row>
    <row r="178" spans="2:10" ht="14.4" x14ac:dyDescent="0.3">
      <c r="B178" s="657">
        <v>116</v>
      </c>
      <c r="C178" s="657">
        <v>1067.399999999986</v>
      </c>
      <c r="D178" s="658">
        <v>119</v>
      </c>
      <c r="E178" s="658">
        <v>1067.4999999999859</v>
      </c>
      <c r="G178" s="64">
        <v>1067.4999999999859</v>
      </c>
      <c r="H178" s="658">
        <v>119</v>
      </c>
      <c r="I178" s="64">
        <v>1067.5999999999858</v>
      </c>
      <c r="J178" s="658">
        <v>122</v>
      </c>
    </row>
    <row r="179" spans="2:10" ht="14.4" x14ac:dyDescent="0.3">
      <c r="B179" s="657">
        <v>119</v>
      </c>
      <c r="C179" s="657">
        <v>1067.4999999999859</v>
      </c>
      <c r="D179" s="658">
        <v>122</v>
      </c>
      <c r="E179" s="658">
        <v>1067.5999999999858</v>
      </c>
      <c r="G179" s="64">
        <v>1067.5999999999858</v>
      </c>
      <c r="H179" s="658">
        <v>122</v>
      </c>
      <c r="I179" s="64">
        <v>1067.6999999999857</v>
      </c>
      <c r="J179" s="658">
        <v>125</v>
      </c>
    </row>
    <row r="180" spans="2:10" ht="14.4" x14ac:dyDescent="0.3">
      <c r="B180" s="657">
        <v>122</v>
      </c>
      <c r="C180" s="657">
        <v>1067.5999999999858</v>
      </c>
      <c r="D180" s="658">
        <v>125</v>
      </c>
      <c r="E180" s="658">
        <v>1067.6999999999857</v>
      </c>
      <c r="G180" s="64">
        <v>1067.6999999999857</v>
      </c>
      <c r="H180" s="658">
        <v>125</v>
      </c>
      <c r="I180" s="64">
        <v>1067.7999999999856</v>
      </c>
      <c r="J180" s="658">
        <v>127</v>
      </c>
    </row>
    <row r="181" spans="2:10" ht="14.4" x14ac:dyDescent="0.3">
      <c r="B181" s="657">
        <v>125</v>
      </c>
      <c r="C181" s="657">
        <v>1067.6999999999857</v>
      </c>
      <c r="D181" s="658">
        <v>127</v>
      </c>
      <c r="E181" s="658">
        <v>1067.7999999999856</v>
      </c>
      <c r="G181" s="64">
        <v>1067.7999999999856</v>
      </c>
      <c r="H181" s="658">
        <v>127</v>
      </c>
      <c r="I181" s="64">
        <v>1067.8999999999855</v>
      </c>
      <c r="J181" s="658">
        <v>130</v>
      </c>
    </row>
    <row r="182" spans="2:10" ht="14.4" x14ac:dyDescent="0.3">
      <c r="B182" s="657">
        <v>127</v>
      </c>
      <c r="C182" s="657">
        <v>1067.7999999999856</v>
      </c>
      <c r="D182" s="658">
        <v>130</v>
      </c>
      <c r="E182" s="658">
        <v>1067.8999999999855</v>
      </c>
      <c r="G182" s="64">
        <v>1067.8999999999855</v>
      </c>
      <c r="H182" s="658">
        <v>130</v>
      </c>
      <c r="I182" s="64">
        <v>1067.9999999999854</v>
      </c>
      <c r="J182" s="658">
        <v>133</v>
      </c>
    </row>
    <row r="183" spans="2:10" ht="14.4" x14ac:dyDescent="0.3">
      <c r="B183" s="657">
        <v>130</v>
      </c>
      <c r="C183" s="657">
        <v>1067.8999999999855</v>
      </c>
      <c r="D183" s="658">
        <v>133</v>
      </c>
      <c r="E183" s="658">
        <v>1067.9999999999854</v>
      </c>
      <c r="G183" s="64">
        <v>1067.9999999999854</v>
      </c>
      <c r="H183" s="658">
        <v>133</v>
      </c>
      <c r="I183" s="64">
        <v>1068.0999999999854</v>
      </c>
      <c r="J183" s="658">
        <v>137</v>
      </c>
    </row>
    <row r="184" spans="2:10" ht="14.4" x14ac:dyDescent="0.3">
      <c r="B184" s="657">
        <v>133</v>
      </c>
      <c r="C184" s="657">
        <v>1067.9999999999854</v>
      </c>
      <c r="D184" s="658">
        <v>137</v>
      </c>
      <c r="E184" s="658">
        <v>1068.0999999999854</v>
      </c>
      <c r="G184" s="64">
        <v>1068.0999999999854</v>
      </c>
      <c r="H184" s="658">
        <v>137</v>
      </c>
      <c r="I184" s="64">
        <v>1068.1999999999853</v>
      </c>
      <c r="J184" s="658">
        <v>141</v>
      </c>
    </row>
    <row r="185" spans="2:10" ht="14.4" x14ac:dyDescent="0.3">
      <c r="B185" s="657">
        <v>137</v>
      </c>
      <c r="C185" s="657">
        <v>1068.0999999999854</v>
      </c>
      <c r="D185" s="658">
        <v>141</v>
      </c>
      <c r="E185" s="658">
        <v>1068.1999999999853</v>
      </c>
      <c r="G185" s="64">
        <v>1068.1999999999853</v>
      </c>
      <c r="H185" s="658">
        <v>141</v>
      </c>
      <c r="I185" s="64">
        <v>1068.2999999999852</v>
      </c>
      <c r="J185" s="658">
        <v>144</v>
      </c>
    </row>
    <row r="186" spans="2:10" ht="14.4" x14ac:dyDescent="0.3">
      <c r="B186" s="657">
        <v>141</v>
      </c>
      <c r="C186" s="657">
        <v>1068.1999999999853</v>
      </c>
      <c r="D186" s="658">
        <v>144</v>
      </c>
      <c r="E186" s="658">
        <v>1068.2999999999852</v>
      </c>
      <c r="G186" s="64">
        <v>1068.2999999999852</v>
      </c>
      <c r="H186" s="658">
        <v>144</v>
      </c>
      <c r="I186" s="64">
        <v>1068.3999999999851</v>
      </c>
      <c r="J186" s="658">
        <v>148</v>
      </c>
    </row>
    <row r="187" spans="2:10" ht="14.4" x14ac:dyDescent="0.3">
      <c r="B187" s="657">
        <v>144</v>
      </c>
      <c r="C187" s="657">
        <v>1068.2999999999852</v>
      </c>
      <c r="D187" s="658">
        <v>148</v>
      </c>
      <c r="E187" s="658">
        <v>1068.3999999999851</v>
      </c>
      <c r="G187" s="64">
        <v>1068.3999999999851</v>
      </c>
      <c r="H187" s="658">
        <v>148</v>
      </c>
      <c r="I187" s="64">
        <v>1068.499999999985</v>
      </c>
      <c r="J187" s="658">
        <v>152</v>
      </c>
    </row>
    <row r="188" spans="2:10" ht="14.4" x14ac:dyDescent="0.3">
      <c r="B188" s="657">
        <v>148</v>
      </c>
      <c r="C188" s="657">
        <v>1068.3999999999851</v>
      </c>
      <c r="D188" s="658">
        <v>152</v>
      </c>
      <c r="E188" s="658">
        <v>1068.499999999985</v>
      </c>
      <c r="G188" s="64">
        <v>1068.499999999985</v>
      </c>
      <c r="H188" s="658">
        <v>152</v>
      </c>
      <c r="I188" s="64">
        <v>1068.5999999999849</v>
      </c>
      <c r="J188" s="658">
        <v>155</v>
      </c>
    </row>
    <row r="189" spans="2:10" ht="14.4" x14ac:dyDescent="0.3">
      <c r="B189" s="657">
        <v>152</v>
      </c>
      <c r="C189" s="657">
        <v>1068.499999999985</v>
      </c>
      <c r="D189" s="658">
        <v>155</v>
      </c>
      <c r="E189" s="658">
        <v>1068.5999999999849</v>
      </c>
      <c r="G189" s="64">
        <v>1068.5999999999849</v>
      </c>
      <c r="H189" s="658">
        <v>155</v>
      </c>
      <c r="I189" s="64">
        <v>1068.6999999999848</v>
      </c>
      <c r="J189" s="658">
        <v>159</v>
      </c>
    </row>
    <row r="190" spans="2:10" ht="14.4" x14ac:dyDescent="0.3">
      <c r="B190" s="657">
        <v>155</v>
      </c>
      <c r="C190" s="657">
        <v>1068.5999999999849</v>
      </c>
      <c r="D190" s="658">
        <v>159</v>
      </c>
      <c r="E190" s="658">
        <v>1068.6999999999848</v>
      </c>
      <c r="G190" s="64">
        <v>1068.6999999999848</v>
      </c>
      <c r="H190" s="658">
        <v>159</v>
      </c>
      <c r="I190" s="64">
        <v>1068.7999999999847</v>
      </c>
      <c r="J190" s="658">
        <v>163</v>
      </c>
    </row>
    <row r="191" spans="2:10" ht="14.4" x14ac:dyDescent="0.3">
      <c r="B191" s="657">
        <v>159</v>
      </c>
      <c r="C191" s="657">
        <v>1068.6999999999848</v>
      </c>
      <c r="D191" s="658">
        <v>163</v>
      </c>
      <c r="E191" s="658">
        <v>1068.7999999999847</v>
      </c>
      <c r="G191" s="64">
        <v>1068.7999999999847</v>
      </c>
      <c r="H191" s="658">
        <v>163</v>
      </c>
      <c r="I191" s="64">
        <v>1068.8999999999846</v>
      </c>
      <c r="J191" s="658">
        <v>166</v>
      </c>
    </row>
    <row r="192" spans="2:10" ht="14.4" x14ac:dyDescent="0.3">
      <c r="B192" s="657">
        <v>163</v>
      </c>
      <c r="C192" s="657">
        <v>1068.7999999999847</v>
      </c>
      <c r="D192" s="658">
        <v>166</v>
      </c>
      <c r="E192" s="658">
        <v>1068.8999999999846</v>
      </c>
      <c r="G192" s="64">
        <v>1068.8999999999846</v>
      </c>
      <c r="H192" s="658">
        <v>166</v>
      </c>
      <c r="I192" s="64">
        <v>1068.9999999999845</v>
      </c>
      <c r="J192" s="658">
        <v>170</v>
      </c>
    </row>
    <row r="193" spans="2:10" ht="14.4" x14ac:dyDescent="0.3">
      <c r="B193" s="657">
        <v>166</v>
      </c>
      <c r="C193" s="657">
        <v>1068.8999999999846</v>
      </c>
      <c r="D193" s="658">
        <v>170</v>
      </c>
      <c r="E193" s="658">
        <v>1068.9999999999845</v>
      </c>
      <c r="G193" s="64">
        <v>1068.9999999999845</v>
      </c>
      <c r="H193" s="658">
        <v>170</v>
      </c>
      <c r="I193" s="64">
        <v>1069.0999999999844</v>
      </c>
      <c r="J193" s="658">
        <v>174</v>
      </c>
    </row>
    <row r="194" spans="2:10" ht="14.4" x14ac:dyDescent="0.3">
      <c r="B194" s="657">
        <v>170</v>
      </c>
      <c r="C194" s="657">
        <v>1068.9999999999845</v>
      </c>
      <c r="D194" s="658">
        <v>174</v>
      </c>
      <c r="E194" s="658">
        <v>1069.0999999999844</v>
      </c>
      <c r="G194" s="64">
        <v>1069.0999999999844</v>
      </c>
      <c r="H194" s="658">
        <v>174</v>
      </c>
      <c r="I194" s="64">
        <v>1069.1999999999844</v>
      </c>
      <c r="J194" s="658">
        <v>179</v>
      </c>
    </row>
    <row r="195" spans="2:10" ht="14.4" x14ac:dyDescent="0.3">
      <c r="B195" s="657">
        <v>174</v>
      </c>
      <c r="C195" s="657">
        <v>1069.0999999999844</v>
      </c>
      <c r="D195" s="658">
        <v>179</v>
      </c>
      <c r="E195" s="658">
        <v>1069.1999999999844</v>
      </c>
      <c r="G195" s="64">
        <v>1069.1999999999844</v>
      </c>
      <c r="H195" s="658">
        <v>179</v>
      </c>
      <c r="I195" s="64">
        <v>1069.2999999999843</v>
      </c>
      <c r="J195" s="658">
        <v>184</v>
      </c>
    </row>
    <row r="196" spans="2:10" ht="14.4" x14ac:dyDescent="0.3">
      <c r="B196" s="657">
        <v>179</v>
      </c>
      <c r="C196" s="657">
        <v>1069.1999999999844</v>
      </c>
      <c r="D196" s="658">
        <v>184</v>
      </c>
      <c r="E196" s="658">
        <v>1069.2999999999843</v>
      </c>
      <c r="G196" s="64">
        <v>1069.2999999999843</v>
      </c>
      <c r="H196" s="658">
        <v>184</v>
      </c>
      <c r="I196" s="64">
        <v>1069.3999999999842</v>
      </c>
      <c r="J196" s="658">
        <v>188</v>
      </c>
    </row>
    <row r="197" spans="2:10" ht="14.4" x14ac:dyDescent="0.3">
      <c r="B197" s="657">
        <v>184</v>
      </c>
      <c r="C197" s="657">
        <v>1069.2999999999843</v>
      </c>
      <c r="D197" s="658">
        <v>188</v>
      </c>
      <c r="E197" s="658">
        <v>1069.3999999999842</v>
      </c>
      <c r="G197" s="64">
        <v>1069.3999999999842</v>
      </c>
      <c r="H197" s="658">
        <v>188</v>
      </c>
      <c r="I197" s="64">
        <v>1069.4999999999841</v>
      </c>
      <c r="J197" s="658">
        <v>193</v>
      </c>
    </row>
    <row r="198" spans="2:10" ht="14.4" x14ac:dyDescent="0.3">
      <c r="B198" s="657">
        <v>188</v>
      </c>
      <c r="C198" s="657">
        <v>1069.3999999999842</v>
      </c>
      <c r="D198" s="658">
        <v>193</v>
      </c>
      <c r="E198" s="658">
        <v>1069.4999999999841</v>
      </c>
      <c r="G198" s="64">
        <v>1069.4999999999841</v>
      </c>
      <c r="H198" s="658">
        <v>193</v>
      </c>
      <c r="I198" s="64">
        <v>1069.599999999984</v>
      </c>
      <c r="J198" s="658">
        <v>197</v>
      </c>
    </row>
    <row r="199" spans="2:10" ht="14.4" x14ac:dyDescent="0.3">
      <c r="B199" s="657">
        <v>193</v>
      </c>
      <c r="C199" s="657">
        <v>1069.4999999999841</v>
      </c>
      <c r="D199" s="658">
        <v>197</v>
      </c>
      <c r="E199" s="658">
        <v>1069.599999999984</v>
      </c>
      <c r="G199" s="64">
        <v>1069.599999999984</v>
      </c>
      <c r="H199" s="658">
        <v>197</v>
      </c>
      <c r="I199" s="64">
        <v>1069.6999999999839</v>
      </c>
      <c r="J199" s="658">
        <v>202</v>
      </c>
    </row>
    <row r="200" spans="2:10" ht="14.4" x14ac:dyDescent="0.3">
      <c r="B200" s="657">
        <v>197</v>
      </c>
      <c r="C200" s="657">
        <v>1069.599999999984</v>
      </c>
      <c r="D200" s="658">
        <v>202</v>
      </c>
      <c r="E200" s="658">
        <v>1069.6999999999839</v>
      </c>
      <c r="G200" s="64">
        <v>1069.6999999999839</v>
      </c>
      <c r="H200" s="658">
        <v>202</v>
      </c>
      <c r="I200" s="64">
        <v>1069.7999999999838</v>
      </c>
      <c r="J200" s="658">
        <v>206</v>
      </c>
    </row>
    <row r="201" spans="2:10" ht="14.4" x14ac:dyDescent="0.3">
      <c r="B201" s="657">
        <v>202</v>
      </c>
      <c r="C201" s="657">
        <v>1069.6999999999839</v>
      </c>
      <c r="D201" s="658">
        <v>206</v>
      </c>
      <c r="E201" s="658">
        <v>1069.7999999999838</v>
      </c>
      <c r="G201" s="64">
        <v>1069.7999999999838</v>
      </c>
      <c r="H201" s="658">
        <v>206</v>
      </c>
      <c r="I201" s="64">
        <v>1069.8999999999837</v>
      </c>
      <c r="J201" s="658">
        <v>211</v>
      </c>
    </row>
    <row r="202" spans="2:10" ht="14.4" x14ac:dyDescent="0.3">
      <c r="B202" s="657">
        <v>206</v>
      </c>
      <c r="C202" s="657">
        <v>1069.7999999999838</v>
      </c>
      <c r="D202" s="658">
        <v>211</v>
      </c>
      <c r="E202" s="658">
        <v>1069.8999999999837</v>
      </c>
      <c r="G202" s="64">
        <v>1069.8999999999837</v>
      </c>
      <c r="H202" s="658">
        <v>211</v>
      </c>
      <c r="I202" s="64">
        <v>1069.9999999999836</v>
      </c>
      <c r="J202" s="658">
        <v>216</v>
      </c>
    </row>
    <row r="203" spans="2:10" ht="14.4" x14ac:dyDescent="0.3">
      <c r="B203" s="657">
        <v>211</v>
      </c>
      <c r="C203" s="657">
        <v>1069.8999999999837</v>
      </c>
      <c r="D203" s="658">
        <v>216</v>
      </c>
      <c r="E203" s="658">
        <v>1069.9999999999836</v>
      </c>
      <c r="G203" s="64">
        <v>1069.9999999999836</v>
      </c>
      <c r="H203" s="658">
        <v>216</v>
      </c>
      <c r="I203" s="64">
        <v>1070.0999999999835</v>
      </c>
      <c r="J203" s="658">
        <v>221</v>
      </c>
    </row>
    <row r="204" spans="2:10" ht="14.4" x14ac:dyDescent="0.3">
      <c r="B204" s="657">
        <v>216</v>
      </c>
      <c r="C204" s="657">
        <v>1069.9999999999836</v>
      </c>
      <c r="D204" s="658">
        <v>221</v>
      </c>
      <c r="E204" s="658">
        <v>1070.0999999999835</v>
      </c>
      <c r="G204" s="64">
        <v>1070.0999999999835</v>
      </c>
      <c r="H204" s="658">
        <v>221</v>
      </c>
      <c r="I204" s="64">
        <v>1070.1999999999834</v>
      </c>
      <c r="J204" s="658">
        <v>226</v>
      </c>
    </row>
    <row r="205" spans="2:10" ht="14.4" x14ac:dyDescent="0.3">
      <c r="B205" s="657">
        <v>221</v>
      </c>
      <c r="C205" s="657">
        <v>1070.0999999999835</v>
      </c>
      <c r="D205" s="658">
        <v>226</v>
      </c>
      <c r="E205" s="658">
        <v>1070.1999999999834</v>
      </c>
      <c r="G205" s="64">
        <v>1070.1999999999834</v>
      </c>
      <c r="H205" s="658">
        <v>226</v>
      </c>
      <c r="I205" s="64">
        <v>1070.2999999999834</v>
      </c>
      <c r="J205" s="658">
        <v>232</v>
      </c>
    </row>
    <row r="206" spans="2:10" ht="14.4" x14ac:dyDescent="0.3">
      <c r="B206" s="657">
        <v>226</v>
      </c>
      <c r="C206" s="657">
        <v>1070.1999999999834</v>
      </c>
      <c r="D206" s="658">
        <v>232</v>
      </c>
      <c r="E206" s="658">
        <v>1070.2999999999834</v>
      </c>
      <c r="G206" s="64">
        <v>1070.2999999999834</v>
      </c>
      <c r="H206" s="658">
        <v>232</v>
      </c>
      <c r="I206" s="64">
        <v>1070.3999999999833</v>
      </c>
      <c r="J206" s="658">
        <v>237</v>
      </c>
    </row>
    <row r="207" spans="2:10" ht="14.4" x14ac:dyDescent="0.3">
      <c r="B207" s="657">
        <v>232</v>
      </c>
      <c r="C207" s="657">
        <v>1070.2999999999834</v>
      </c>
      <c r="D207" s="658">
        <v>237</v>
      </c>
      <c r="E207" s="658">
        <v>1070.3999999999833</v>
      </c>
      <c r="G207" s="64">
        <v>1070.3999999999833</v>
      </c>
      <c r="H207" s="658">
        <v>237</v>
      </c>
      <c r="I207" s="64">
        <v>1070.4999999999832</v>
      </c>
      <c r="J207" s="658">
        <v>243</v>
      </c>
    </row>
    <row r="208" spans="2:10" ht="14.4" x14ac:dyDescent="0.3">
      <c r="B208" s="657">
        <v>237</v>
      </c>
      <c r="C208" s="657">
        <v>1070.3999999999833</v>
      </c>
      <c r="D208" s="658">
        <v>243</v>
      </c>
      <c r="E208" s="658">
        <v>1070.4999999999832</v>
      </c>
      <c r="G208" s="64">
        <v>1070.4999999999832</v>
      </c>
      <c r="H208" s="658">
        <v>243</v>
      </c>
      <c r="I208" s="64">
        <v>1070.5999999999831</v>
      </c>
      <c r="J208" s="658">
        <v>248</v>
      </c>
    </row>
    <row r="209" spans="2:10" ht="14.4" x14ac:dyDescent="0.3">
      <c r="B209" s="657">
        <v>243</v>
      </c>
      <c r="C209" s="657">
        <v>1070.4999999999832</v>
      </c>
      <c r="D209" s="658">
        <v>248</v>
      </c>
      <c r="E209" s="658">
        <v>1070.5999999999831</v>
      </c>
      <c r="G209" s="64">
        <v>1070.5999999999831</v>
      </c>
      <c r="H209" s="658">
        <v>248</v>
      </c>
      <c r="I209" s="64">
        <v>1070.699999999983</v>
      </c>
      <c r="J209" s="658">
        <v>253</v>
      </c>
    </row>
    <row r="210" spans="2:10" ht="14.4" x14ac:dyDescent="0.3">
      <c r="B210" s="657">
        <v>248</v>
      </c>
      <c r="C210" s="657">
        <v>1070.5999999999831</v>
      </c>
      <c r="D210" s="658">
        <v>253</v>
      </c>
      <c r="E210" s="658">
        <v>1070.699999999983</v>
      </c>
      <c r="G210" s="64">
        <v>1070.699999999983</v>
      </c>
      <c r="H210" s="658">
        <v>253</v>
      </c>
      <c r="I210" s="64">
        <v>1070.7999999999829</v>
      </c>
      <c r="J210" s="658">
        <v>259</v>
      </c>
    </row>
    <row r="211" spans="2:10" ht="14.4" x14ac:dyDescent="0.3">
      <c r="B211" s="657">
        <v>253</v>
      </c>
      <c r="C211" s="657">
        <v>1070.699999999983</v>
      </c>
      <c r="D211" s="658">
        <v>259</v>
      </c>
      <c r="E211" s="658">
        <v>1070.7999999999829</v>
      </c>
      <c r="G211" s="64">
        <v>1070.7999999999829</v>
      </c>
      <c r="H211" s="658">
        <v>259</v>
      </c>
      <c r="I211" s="64">
        <v>1070.8999999999828</v>
      </c>
      <c r="J211" s="658">
        <v>264</v>
      </c>
    </row>
    <row r="212" spans="2:10" ht="14.4" x14ac:dyDescent="0.3">
      <c r="B212" s="657">
        <v>259</v>
      </c>
      <c r="C212" s="657">
        <v>1070.7999999999829</v>
      </c>
      <c r="D212" s="658">
        <v>264</v>
      </c>
      <c r="E212" s="658">
        <v>1070.8999999999828</v>
      </c>
      <c r="G212" s="64">
        <v>1070.8999999999828</v>
      </c>
      <c r="H212" s="658">
        <v>264</v>
      </c>
      <c r="I212" s="64">
        <v>1070.9999999999827</v>
      </c>
      <c r="J212" s="658">
        <v>270</v>
      </c>
    </row>
    <row r="213" spans="2:10" ht="14.4" x14ac:dyDescent="0.3">
      <c r="B213" s="657">
        <v>264</v>
      </c>
      <c r="C213" s="657">
        <v>1070.8999999999828</v>
      </c>
      <c r="D213" s="658">
        <v>270</v>
      </c>
      <c r="E213" s="658">
        <v>1070.9999999999827</v>
      </c>
      <c r="G213" s="64">
        <v>1070.9999999999827</v>
      </c>
      <c r="H213" s="658">
        <v>270</v>
      </c>
      <c r="I213" s="64">
        <v>1071.0999999999826</v>
      </c>
      <c r="J213" s="658">
        <v>277</v>
      </c>
    </row>
    <row r="214" spans="2:10" ht="14.4" x14ac:dyDescent="0.3">
      <c r="B214" s="657">
        <v>270</v>
      </c>
      <c r="C214" s="657">
        <v>1070.9999999999827</v>
      </c>
      <c r="D214" s="658">
        <v>277</v>
      </c>
      <c r="E214" s="658">
        <v>1071.0999999999826</v>
      </c>
      <c r="G214" s="64">
        <v>1071.0999999999826</v>
      </c>
      <c r="H214" s="658">
        <v>277</v>
      </c>
      <c r="I214" s="64">
        <v>1071.1999999999825</v>
      </c>
      <c r="J214" s="658">
        <v>283</v>
      </c>
    </row>
    <row r="215" spans="2:10" ht="14.4" x14ac:dyDescent="0.3">
      <c r="B215" s="657">
        <v>277</v>
      </c>
      <c r="C215" s="657">
        <v>1071.0999999999826</v>
      </c>
      <c r="D215" s="658">
        <v>283</v>
      </c>
      <c r="E215" s="658">
        <v>1071.1999999999825</v>
      </c>
      <c r="G215" s="64">
        <v>1071.1999999999825</v>
      </c>
      <c r="H215" s="658">
        <v>283</v>
      </c>
      <c r="I215" s="64">
        <v>1071.2999999999824</v>
      </c>
      <c r="J215" s="658">
        <v>290</v>
      </c>
    </row>
    <row r="216" spans="2:10" ht="14.4" x14ac:dyDescent="0.3">
      <c r="B216" s="657">
        <v>283</v>
      </c>
      <c r="C216" s="657">
        <v>1071.1999999999825</v>
      </c>
      <c r="D216" s="658">
        <v>290</v>
      </c>
      <c r="E216" s="658">
        <v>1071.2999999999824</v>
      </c>
      <c r="G216" s="64">
        <v>1071.2999999999824</v>
      </c>
      <c r="H216" s="658">
        <v>290</v>
      </c>
      <c r="I216" s="64">
        <v>1071.3999999999824</v>
      </c>
      <c r="J216" s="658">
        <v>297</v>
      </c>
    </row>
    <row r="217" spans="2:10" ht="14.4" x14ac:dyDescent="0.3">
      <c r="B217" s="657">
        <v>290</v>
      </c>
      <c r="C217" s="657">
        <v>1071.2999999999824</v>
      </c>
      <c r="D217" s="658">
        <v>297</v>
      </c>
      <c r="E217" s="658">
        <v>1071.3999999999824</v>
      </c>
      <c r="G217" s="64">
        <v>1071.3999999999824</v>
      </c>
      <c r="H217" s="658">
        <v>297</v>
      </c>
      <c r="I217" s="64">
        <v>1071.4999999999823</v>
      </c>
      <c r="J217" s="658">
        <v>304</v>
      </c>
    </row>
    <row r="218" spans="2:10" ht="14.4" x14ac:dyDescent="0.3">
      <c r="B218" s="657">
        <v>297</v>
      </c>
      <c r="C218" s="657">
        <v>1071.3999999999824</v>
      </c>
      <c r="D218" s="658">
        <v>304</v>
      </c>
      <c r="E218" s="658">
        <v>1071.4999999999823</v>
      </c>
      <c r="G218" s="64">
        <v>1071.4999999999823</v>
      </c>
      <c r="H218" s="658">
        <v>304</v>
      </c>
      <c r="I218" s="64">
        <v>1071.5999999999822</v>
      </c>
      <c r="J218" s="658">
        <v>310</v>
      </c>
    </row>
    <row r="219" spans="2:10" ht="14.4" x14ac:dyDescent="0.3">
      <c r="B219" s="657">
        <v>304</v>
      </c>
      <c r="C219" s="657">
        <v>1071.4999999999823</v>
      </c>
      <c r="D219" s="658">
        <v>310</v>
      </c>
      <c r="E219" s="658">
        <v>1071.5999999999822</v>
      </c>
      <c r="G219" s="64">
        <v>1071.5999999999822</v>
      </c>
      <c r="H219" s="658">
        <v>310</v>
      </c>
      <c r="I219" s="64">
        <v>1071.6999999999821</v>
      </c>
      <c r="J219" s="658">
        <v>317</v>
      </c>
    </row>
    <row r="220" spans="2:10" ht="14.4" x14ac:dyDescent="0.3">
      <c r="B220" s="657">
        <v>310</v>
      </c>
      <c r="C220" s="657">
        <v>1071.5999999999822</v>
      </c>
      <c r="D220" s="658">
        <v>317</v>
      </c>
      <c r="E220" s="658">
        <v>1071.6999999999821</v>
      </c>
      <c r="G220" s="64">
        <v>1071.6999999999821</v>
      </c>
      <c r="H220" s="658">
        <v>317</v>
      </c>
      <c r="I220" s="64">
        <v>1071.799999999982</v>
      </c>
      <c r="J220" s="658">
        <v>324</v>
      </c>
    </row>
    <row r="221" spans="2:10" ht="14.4" x14ac:dyDescent="0.3">
      <c r="B221" s="657">
        <v>317</v>
      </c>
      <c r="C221" s="657">
        <v>1071.6999999999821</v>
      </c>
      <c r="D221" s="658">
        <v>324</v>
      </c>
      <c r="E221" s="658">
        <v>1071.799999999982</v>
      </c>
      <c r="G221" s="64">
        <v>1071.799999999982</v>
      </c>
      <c r="H221" s="658">
        <v>324</v>
      </c>
      <c r="I221" s="64">
        <v>1071.8999999999819</v>
      </c>
      <c r="J221" s="658">
        <v>331</v>
      </c>
    </row>
    <row r="222" spans="2:10" ht="14.4" x14ac:dyDescent="0.3">
      <c r="B222" s="657">
        <v>324</v>
      </c>
      <c r="C222" s="657">
        <v>1071.799999999982</v>
      </c>
      <c r="D222" s="658">
        <v>331</v>
      </c>
      <c r="E222" s="658">
        <v>1071.8999999999819</v>
      </c>
      <c r="G222" s="64">
        <v>1071.8999999999819</v>
      </c>
      <c r="H222" s="658">
        <v>331</v>
      </c>
      <c r="I222" s="64">
        <v>1071.9999999999818</v>
      </c>
      <c r="J222" s="658">
        <v>338</v>
      </c>
    </row>
    <row r="223" spans="2:10" ht="14.4" x14ac:dyDescent="0.3">
      <c r="B223" s="657">
        <v>331</v>
      </c>
      <c r="C223" s="657">
        <v>1071.8999999999819</v>
      </c>
      <c r="D223" s="658">
        <v>338</v>
      </c>
      <c r="E223" s="658">
        <v>1071.9999999999818</v>
      </c>
      <c r="G223" s="64">
        <v>1071.9999999999818</v>
      </c>
      <c r="H223" s="658">
        <v>338</v>
      </c>
      <c r="I223" s="64">
        <v>1072.0999999999817</v>
      </c>
      <c r="J223" s="658">
        <v>346</v>
      </c>
    </row>
    <row r="224" spans="2:10" ht="14.4" x14ac:dyDescent="0.3">
      <c r="B224" s="657">
        <v>338</v>
      </c>
      <c r="C224" s="657">
        <v>1071.9999999999818</v>
      </c>
      <c r="D224" s="658">
        <v>346</v>
      </c>
      <c r="E224" s="658">
        <v>1072.0999999999817</v>
      </c>
      <c r="G224" s="64">
        <v>1072.0999999999817</v>
      </c>
      <c r="H224" s="658">
        <v>346</v>
      </c>
      <c r="I224" s="64">
        <v>1072.1999999999816</v>
      </c>
      <c r="J224" s="658">
        <v>355</v>
      </c>
    </row>
    <row r="225" spans="2:10" ht="14.4" x14ac:dyDescent="0.3">
      <c r="B225" s="657">
        <v>346</v>
      </c>
      <c r="C225" s="657">
        <v>1072.0999999999817</v>
      </c>
      <c r="D225" s="658">
        <v>355</v>
      </c>
      <c r="E225" s="658">
        <v>1072.1999999999816</v>
      </c>
      <c r="G225" s="64">
        <v>1072.1999999999816</v>
      </c>
      <c r="H225" s="658">
        <v>355</v>
      </c>
      <c r="I225" s="64">
        <v>1072.2999999999815</v>
      </c>
      <c r="J225" s="658">
        <v>363</v>
      </c>
    </row>
    <row r="226" spans="2:10" ht="14.4" x14ac:dyDescent="0.3">
      <c r="B226" s="657">
        <v>355</v>
      </c>
      <c r="C226" s="657">
        <v>1072.1999999999816</v>
      </c>
      <c r="D226" s="658">
        <v>363</v>
      </c>
      <c r="E226" s="658">
        <v>1072.2999999999815</v>
      </c>
      <c r="G226" s="64">
        <v>1072.2999999999815</v>
      </c>
      <c r="H226" s="658">
        <v>363</v>
      </c>
      <c r="I226" s="64">
        <v>1072.3999999999814</v>
      </c>
      <c r="J226" s="658">
        <v>371</v>
      </c>
    </row>
    <row r="227" spans="2:10" ht="14.4" x14ac:dyDescent="0.3">
      <c r="B227" s="657">
        <v>363</v>
      </c>
      <c r="C227" s="657">
        <v>1072.2999999999815</v>
      </c>
      <c r="D227" s="658">
        <v>371</v>
      </c>
      <c r="E227" s="658">
        <v>1072.3999999999814</v>
      </c>
      <c r="G227" s="64">
        <v>1072.3999999999814</v>
      </c>
      <c r="H227" s="658">
        <v>371</v>
      </c>
      <c r="I227" s="64">
        <v>1072.4999999999814</v>
      </c>
      <c r="J227" s="658">
        <v>380</v>
      </c>
    </row>
    <row r="228" spans="2:10" ht="14.4" x14ac:dyDescent="0.3">
      <c r="B228" s="657">
        <v>371</v>
      </c>
      <c r="C228" s="657">
        <v>1072.3999999999814</v>
      </c>
      <c r="D228" s="658">
        <v>380</v>
      </c>
      <c r="E228" s="658">
        <v>1072.4999999999814</v>
      </c>
      <c r="G228" s="64">
        <v>1072.4999999999814</v>
      </c>
      <c r="H228" s="658">
        <v>380</v>
      </c>
      <c r="I228" s="64">
        <v>1072.5999999999813</v>
      </c>
      <c r="J228" s="658">
        <v>388</v>
      </c>
    </row>
    <row r="229" spans="2:10" ht="14.4" x14ac:dyDescent="0.3">
      <c r="B229" s="657">
        <v>380</v>
      </c>
      <c r="C229" s="657">
        <v>1072.4999999999814</v>
      </c>
      <c r="D229" s="658">
        <v>388</v>
      </c>
      <c r="E229" s="658">
        <v>1072.5999999999813</v>
      </c>
      <c r="G229" s="64">
        <v>1072.5999999999813</v>
      </c>
      <c r="H229" s="658">
        <v>388</v>
      </c>
      <c r="I229" s="64">
        <v>1072.6999999999812</v>
      </c>
      <c r="J229" s="658">
        <v>397</v>
      </c>
    </row>
    <row r="230" spans="2:10" ht="14.4" x14ac:dyDescent="0.3">
      <c r="B230" s="657">
        <v>388</v>
      </c>
      <c r="C230" s="657">
        <v>1072.5999999999813</v>
      </c>
      <c r="D230" s="658">
        <v>397</v>
      </c>
      <c r="E230" s="658">
        <v>1072.6999999999812</v>
      </c>
      <c r="G230" s="64">
        <v>1072.6999999999812</v>
      </c>
      <c r="H230" s="658">
        <v>397</v>
      </c>
      <c r="I230" s="64">
        <v>1072.7999999999811</v>
      </c>
      <c r="J230" s="658">
        <v>405</v>
      </c>
    </row>
    <row r="231" spans="2:10" ht="14.4" x14ac:dyDescent="0.3">
      <c r="B231" s="657">
        <v>397</v>
      </c>
      <c r="C231" s="657">
        <v>1072.6999999999812</v>
      </c>
      <c r="D231" s="658">
        <v>405</v>
      </c>
      <c r="E231" s="658">
        <v>1072.7999999999811</v>
      </c>
      <c r="G231" s="64">
        <v>1072.7999999999811</v>
      </c>
      <c r="H231" s="658">
        <v>405</v>
      </c>
      <c r="I231" s="64">
        <v>1072.899999999981</v>
      </c>
      <c r="J231" s="658">
        <v>414</v>
      </c>
    </row>
    <row r="232" spans="2:10" ht="14.4" x14ac:dyDescent="0.3">
      <c r="B232" s="657">
        <v>405</v>
      </c>
      <c r="C232" s="657">
        <v>1072.7999999999811</v>
      </c>
      <c r="D232" s="658">
        <v>414</v>
      </c>
      <c r="E232" s="658">
        <v>1072.899999999981</v>
      </c>
      <c r="G232" s="64">
        <v>1072.899999999981</v>
      </c>
      <c r="H232" s="658">
        <v>414</v>
      </c>
      <c r="I232" s="64">
        <v>1072.9999999999809</v>
      </c>
      <c r="J232" s="658">
        <v>422</v>
      </c>
    </row>
    <row r="233" spans="2:10" ht="14.4" x14ac:dyDescent="0.3">
      <c r="B233" s="657">
        <v>414</v>
      </c>
      <c r="C233" s="657">
        <v>1072.899999999981</v>
      </c>
      <c r="D233" s="658">
        <v>422</v>
      </c>
      <c r="E233" s="658">
        <v>1072.9999999999809</v>
      </c>
      <c r="G233" s="64">
        <v>1072.9999999999809</v>
      </c>
      <c r="H233" s="658">
        <v>422</v>
      </c>
      <c r="I233" s="64">
        <v>1073.0999999999808</v>
      </c>
      <c r="J233" s="658">
        <v>432</v>
      </c>
    </row>
    <row r="234" spans="2:10" ht="14.4" x14ac:dyDescent="0.3">
      <c r="B234" s="657">
        <v>422</v>
      </c>
      <c r="C234" s="657">
        <v>1072.9999999999809</v>
      </c>
      <c r="D234" s="658">
        <v>432</v>
      </c>
      <c r="E234" s="658">
        <v>1073.0999999999808</v>
      </c>
      <c r="G234" s="64">
        <v>1073.0999999999808</v>
      </c>
      <c r="H234" s="658">
        <v>432</v>
      </c>
      <c r="I234" s="64">
        <v>1073.1999999999807</v>
      </c>
      <c r="J234" s="658">
        <v>441</v>
      </c>
    </row>
    <row r="235" spans="2:10" ht="14.4" x14ac:dyDescent="0.3">
      <c r="B235" s="657">
        <v>432</v>
      </c>
      <c r="C235" s="657">
        <v>1073.0999999999808</v>
      </c>
      <c r="D235" s="658">
        <v>441</v>
      </c>
      <c r="E235" s="658">
        <v>1073.1999999999807</v>
      </c>
      <c r="G235" s="64">
        <v>1073.1999999999807</v>
      </c>
      <c r="H235" s="658">
        <v>441</v>
      </c>
      <c r="I235" s="64">
        <v>1073.2999999999806</v>
      </c>
      <c r="J235" s="658">
        <v>451</v>
      </c>
    </row>
    <row r="236" spans="2:10" ht="14.4" x14ac:dyDescent="0.3">
      <c r="B236" s="657">
        <v>441</v>
      </c>
      <c r="C236" s="657">
        <v>1073.1999999999807</v>
      </c>
      <c r="D236" s="658">
        <v>451</v>
      </c>
      <c r="E236" s="658">
        <v>1073.2999999999806</v>
      </c>
      <c r="G236" s="64">
        <v>1073.2999999999806</v>
      </c>
      <c r="H236" s="658">
        <v>451</v>
      </c>
      <c r="I236" s="64">
        <v>1073.3999999999805</v>
      </c>
      <c r="J236" s="658">
        <v>460</v>
      </c>
    </row>
    <row r="237" spans="2:10" ht="14.4" x14ac:dyDescent="0.3">
      <c r="B237" s="657">
        <v>451</v>
      </c>
      <c r="C237" s="657">
        <v>1073.2999999999806</v>
      </c>
      <c r="D237" s="658">
        <v>460</v>
      </c>
      <c r="E237" s="658">
        <v>1073.3999999999805</v>
      </c>
      <c r="G237" s="64">
        <v>1073.3999999999805</v>
      </c>
      <c r="H237" s="658">
        <v>460</v>
      </c>
      <c r="I237" s="64">
        <v>1073.4999999999804</v>
      </c>
      <c r="J237" s="658">
        <v>470</v>
      </c>
    </row>
    <row r="238" spans="2:10" ht="14.4" x14ac:dyDescent="0.3">
      <c r="B238" s="657">
        <v>460</v>
      </c>
      <c r="C238" s="657">
        <v>1073.3999999999805</v>
      </c>
      <c r="D238" s="658">
        <v>470</v>
      </c>
      <c r="E238" s="658">
        <v>1073.4999999999804</v>
      </c>
      <c r="G238" s="64">
        <v>1073.4999999999804</v>
      </c>
      <c r="H238" s="658">
        <v>470</v>
      </c>
      <c r="I238" s="64">
        <v>1073.5999999999804</v>
      </c>
      <c r="J238" s="658">
        <v>479</v>
      </c>
    </row>
    <row r="239" spans="2:10" ht="14.4" x14ac:dyDescent="0.3">
      <c r="B239" s="657">
        <v>470</v>
      </c>
      <c r="C239" s="657">
        <v>1073.4999999999804</v>
      </c>
      <c r="D239" s="658">
        <v>479</v>
      </c>
      <c r="E239" s="658">
        <v>1073.5999999999804</v>
      </c>
      <c r="G239" s="64">
        <v>1073.5999999999804</v>
      </c>
      <c r="H239" s="658">
        <v>479</v>
      </c>
      <c r="I239" s="64">
        <v>1073.6999999999803</v>
      </c>
      <c r="J239" s="658">
        <v>489</v>
      </c>
    </row>
    <row r="240" spans="2:10" ht="14.4" x14ac:dyDescent="0.3">
      <c r="B240" s="657">
        <v>479</v>
      </c>
      <c r="C240" s="657">
        <v>1073.5999999999804</v>
      </c>
      <c r="D240" s="658">
        <v>489</v>
      </c>
      <c r="E240" s="658">
        <v>1073.6999999999803</v>
      </c>
      <c r="G240" s="64">
        <v>1073.6999999999803</v>
      </c>
      <c r="H240" s="658">
        <v>489</v>
      </c>
      <c r="I240" s="64">
        <v>1073.7999999999802</v>
      </c>
      <c r="J240" s="658">
        <v>498</v>
      </c>
    </row>
    <row r="241" spans="2:10" ht="14.4" x14ac:dyDescent="0.3">
      <c r="B241" s="657">
        <v>489</v>
      </c>
      <c r="C241" s="657">
        <v>1073.6999999999803</v>
      </c>
      <c r="D241" s="658">
        <v>498</v>
      </c>
      <c r="E241" s="658">
        <v>1073.7999999999802</v>
      </c>
      <c r="G241" s="64">
        <v>1073.7999999999802</v>
      </c>
      <c r="H241" s="658">
        <v>498</v>
      </c>
      <c r="I241" s="64">
        <v>1073.8999999999801</v>
      </c>
      <c r="J241" s="658">
        <v>508</v>
      </c>
    </row>
    <row r="242" spans="2:10" ht="14.4" x14ac:dyDescent="0.3">
      <c r="B242" s="657">
        <v>498</v>
      </c>
      <c r="C242" s="657">
        <v>1073.7999999999802</v>
      </c>
      <c r="D242" s="658">
        <v>508</v>
      </c>
      <c r="E242" s="658">
        <v>1073.8999999999801</v>
      </c>
      <c r="G242" s="64">
        <v>1073.8999999999801</v>
      </c>
      <c r="H242" s="658">
        <v>508</v>
      </c>
      <c r="I242" s="64">
        <v>1073.99999999998</v>
      </c>
      <c r="J242" s="658">
        <v>517</v>
      </c>
    </row>
    <row r="243" spans="2:10" ht="14.4" x14ac:dyDescent="0.3">
      <c r="B243" s="657">
        <v>508</v>
      </c>
      <c r="C243" s="657">
        <v>1073.8999999999801</v>
      </c>
      <c r="D243" s="658">
        <v>517</v>
      </c>
      <c r="E243" s="658">
        <v>1073.99999999998</v>
      </c>
      <c r="G243" s="64">
        <v>1073.99999999998</v>
      </c>
      <c r="H243" s="658">
        <v>517</v>
      </c>
      <c r="I243" s="64">
        <v>1074.0999999999799</v>
      </c>
      <c r="J243" s="658">
        <v>528</v>
      </c>
    </row>
    <row r="244" spans="2:10" ht="14.4" x14ac:dyDescent="0.3">
      <c r="B244" s="657">
        <v>517</v>
      </c>
      <c r="C244" s="657">
        <v>1073.99999999998</v>
      </c>
      <c r="D244" s="658">
        <v>528</v>
      </c>
      <c r="E244" s="658">
        <v>1074.0999999999799</v>
      </c>
      <c r="G244" s="64">
        <v>1074.0999999999799</v>
      </c>
      <c r="H244" s="658">
        <v>528</v>
      </c>
      <c r="I244" s="64">
        <v>1074.1999999999798</v>
      </c>
      <c r="J244" s="658">
        <v>538</v>
      </c>
    </row>
    <row r="245" spans="2:10" ht="14.4" x14ac:dyDescent="0.3">
      <c r="B245" s="657">
        <v>528</v>
      </c>
      <c r="C245" s="657">
        <v>1074.0999999999799</v>
      </c>
      <c r="D245" s="658">
        <v>538</v>
      </c>
      <c r="E245" s="658">
        <v>1074.1999999999798</v>
      </c>
      <c r="G245" s="64">
        <v>1074.1999999999798</v>
      </c>
      <c r="H245" s="658">
        <v>538</v>
      </c>
      <c r="I245" s="64">
        <v>1074.2999999999797</v>
      </c>
      <c r="J245" s="658">
        <v>548</v>
      </c>
    </row>
    <row r="246" spans="2:10" ht="14.4" x14ac:dyDescent="0.3">
      <c r="B246" s="657">
        <v>538</v>
      </c>
      <c r="C246" s="657">
        <v>1074.1999999999798</v>
      </c>
      <c r="D246" s="658">
        <v>548</v>
      </c>
      <c r="E246" s="658">
        <v>1074.2999999999797</v>
      </c>
      <c r="G246" s="64">
        <v>1074.2999999999797</v>
      </c>
      <c r="H246" s="658">
        <v>548</v>
      </c>
      <c r="I246" s="64">
        <v>1074.3999999999796</v>
      </c>
      <c r="J246" s="658">
        <v>558</v>
      </c>
    </row>
    <row r="247" spans="2:10" ht="14.4" x14ac:dyDescent="0.3">
      <c r="B247" s="657">
        <v>548</v>
      </c>
      <c r="C247" s="657">
        <v>1074.2999999999797</v>
      </c>
      <c r="D247" s="658">
        <v>558</v>
      </c>
      <c r="E247" s="658">
        <v>1074.3999999999796</v>
      </c>
      <c r="G247" s="64">
        <v>1074.3999999999796</v>
      </c>
      <c r="H247" s="658">
        <v>558</v>
      </c>
      <c r="I247" s="64">
        <v>1074.4999999999795</v>
      </c>
      <c r="J247" s="658">
        <v>568</v>
      </c>
    </row>
    <row r="248" spans="2:10" ht="14.4" x14ac:dyDescent="0.3">
      <c r="B248" s="657">
        <v>558</v>
      </c>
      <c r="C248" s="657">
        <v>1074.3999999999796</v>
      </c>
      <c r="D248" s="658">
        <v>568</v>
      </c>
      <c r="E248" s="658">
        <v>1074.4999999999795</v>
      </c>
      <c r="G248" s="64">
        <v>1074.4999999999795</v>
      </c>
      <c r="H248" s="658">
        <v>568</v>
      </c>
      <c r="I248" s="64">
        <v>1074.5999999999794</v>
      </c>
      <c r="J248" s="658">
        <v>578</v>
      </c>
    </row>
    <row r="249" spans="2:10" ht="14.4" x14ac:dyDescent="0.3">
      <c r="B249" s="657">
        <v>568</v>
      </c>
      <c r="C249" s="657">
        <v>1074.4999999999795</v>
      </c>
      <c r="D249" s="658">
        <v>578</v>
      </c>
      <c r="E249" s="658">
        <v>1074.5999999999794</v>
      </c>
      <c r="G249" s="64">
        <v>1074.5999999999794</v>
      </c>
      <c r="H249" s="658">
        <v>578</v>
      </c>
      <c r="I249" s="64">
        <v>1074.6999999999794</v>
      </c>
      <c r="J249" s="658">
        <v>588</v>
      </c>
    </row>
    <row r="250" spans="2:10" ht="14.4" x14ac:dyDescent="0.3">
      <c r="B250" s="657">
        <v>578</v>
      </c>
      <c r="C250" s="657">
        <v>1074.5999999999794</v>
      </c>
      <c r="D250" s="658">
        <v>588</v>
      </c>
      <c r="E250" s="658">
        <v>1074.6999999999794</v>
      </c>
      <c r="G250" s="64">
        <v>1074.6999999999794</v>
      </c>
      <c r="H250" s="658">
        <v>588</v>
      </c>
      <c r="I250" s="64">
        <v>1074.7999999999793</v>
      </c>
      <c r="J250" s="658">
        <v>599</v>
      </c>
    </row>
    <row r="251" spans="2:10" ht="14.4" x14ac:dyDescent="0.3">
      <c r="B251" s="657">
        <v>588</v>
      </c>
      <c r="C251" s="657">
        <v>1074.6999999999794</v>
      </c>
      <c r="D251" s="658">
        <v>599</v>
      </c>
      <c r="E251" s="658">
        <v>1074.7999999999793</v>
      </c>
      <c r="G251" s="64">
        <v>1074.7999999999793</v>
      </c>
      <c r="H251" s="658">
        <v>599</v>
      </c>
      <c r="I251" s="64">
        <v>1074.8999999999792</v>
      </c>
      <c r="J251" s="658">
        <v>609</v>
      </c>
    </row>
    <row r="252" spans="2:10" ht="14.4" x14ac:dyDescent="0.3">
      <c r="B252" s="657">
        <v>599</v>
      </c>
      <c r="C252" s="657">
        <v>1074.7999999999793</v>
      </c>
      <c r="D252" s="658">
        <v>609</v>
      </c>
      <c r="E252" s="658">
        <v>1074.8999999999792</v>
      </c>
      <c r="G252" s="64">
        <v>1074.8999999999792</v>
      </c>
      <c r="H252" s="658">
        <v>609</v>
      </c>
      <c r="I252" s="64">
        <v>1074.9999999999791</v>
      </c>
      <c r="J252" s="658">
        <v>619</v>
      </c>
    </row>
    <row r="253" spans="2:10" s="959" customFormat="1" ht="14.4" x14ac:dyDescent="0.3">
      <c r="B253" s="957">
        <v>609</v>
      </c>
      <c r="C253" s="957">
        <v>1074.8999999999792</v>
      </c>
      <c r="D253" s="957">
        <v>619</v>
      </c>
      <c r="E253" s="957">
        <v>1074.9999999999791</v>
      </c>
      <c r="F253" s="958"/>
      <c r="G253" s="959">
        <v>1074.9999999999791</v>
      </c>
      <c r="H253" s="957">
        <v>619</v>
      </c>
      <c r="I253" s="959">
        <v>1075.099999999979</v>
      </c>
      <c r="J253" s="957">
        <v>630</v>
      </c>
    </row>
    <row r="254" spans="2:10" ht="14.4" x14ac:dyDescent="0.3">
      <c r="B254" s="657">
        <v>619</v>
      </c>
      <c r="C254" s="657">
        <v>1074.9999999999791</v>
      </c>
      <c r="D254" s="658">
        <v>630</v>
      </c>
      <c r="E254" s="658">
        <v>1075.099999999979</v>
      </c>
      <c r="G254" s="64">
        <v>1075.099999999979</v>
      </c>
      <c r="H254" s="658">
        <v>630</v>
      </c>
      <c r="I254" s="64">
        <v>1075.1999999999789</v>
      </c>
      <c r="J254" s="658">
        <v>641</v>
      </c>
    </row>
    <row r="255" spans="2:10" ht="14.4" x14ac:dyDescent="0.3">
      <c r="B255" s="657">
        <v>630</v>
      </c>
      <c r="C255" s="657">
        <v>1075.099999999979</v>
      </c>
      <c r="D255" s="658">
        <v>641</v>
      </c>
      <c r="E255" s="658">
        <v>1075.1999999999789</v>
      </c>
      <c r="G255" s="64">
        <v>1075.1999999999789</v>
      </c>
      <c r="H255" s="658">
        <v>641</v>
      </c>
      <c r="I255" s="64">
        <v>1075.2999999999788</v>
      </c>
      <c r="J255" s="658">
        <v>651</v>
      </c>
    </row>
    <row r="256" spans="2:10" ht="14.4" x14ac:dyDescent="0.3">
      <c r="B256" s="657">
        <v>641</v>
      </c>
      <c r="C256" s="657">
        <v>1075.1999999999789</v>
      </c>
      <c r="D256" s="658">
        <v>651</v>
      </c>
      <c r="E256" s="658">
        <v>1075.2999999999788</v>
      </c>
      <c r="G256" s="64">
        <v>1075.2999999999788</v>
      </c>
      <c r="H256" s="658">
        <v>651</v>
      </c>
      <c r="I256" s="64">
        <v>1075.3999999999787</v>
      </c>
      <c r="J256" s="658">
        <v>662</v>
      </c>
    </row>
    <row r="257" spans="2:10" ht="14.4" x14ac:dyDescent="0.3">
      <c r="B257" s="657">
        <v>651</v>
      </c>
      <c r="C257" s="657">
        <v>1075.2999999999788</v>
      </c>
      <c r="D257" s="658">
        <v>662</v>
      </c>
      <c r="E257" s="658">
        <v>1075.3999999999787</v>
      </c>
      <c r="G257" s="64">
        <v>1075.3999999999787</v>
      </c>
      <c r="H257" s="658">
        <v>662</v>
      </c>
      <c r="I257" s="64">
        <v>1075.4999999999786</v>
      </c>
      <c r="J257" s="658">
        <v>673</v>
      </c>
    </row>
    <row r="258" spans="2:10" ht="14.4" x14ac:dyDescent="0.3">
      <c r="B258" s="657">
        <v>662</v>
      </c>
      <c r="C258" s="657">
        <v>1075.3999999999787</v>
      </c>
      <c r="D258" s="658">
        <v>673</v>
      </c>
      <c r="E258" s="658">
        <v>1075.4999999999786</v>
      </c>
      <c r="G258" s="64">
        <v>1075.4999999999786</v>
      </c>
      <c r="H258" s="658">
        <v>673</v>
      </c>
      <c r="I258" s="64">
        <v>1075.5999999999785</v>
      </c>
      <c r="J258" s="658">
        <v>684</v>
      </c>
    </row>
    <row r="259" spans="2:10" ht="14.4" x14ac:dyDescent="0.3">
      <c r="B259" s="657">
        <v>673</v>
      </c>
      <c r="C259" s="657">
        <v>1075.4999999999786</v>
      </c>
      <c r="D259" s="658">
        <v>684</v>
      </c>
      <c r="E259" s="658">
        <v>1075.5999999999785</v>
      </c>
      <c r="G259" s="64">
        <v>1075.5999999999785</v>
      </c>
      <c r="H259" s="658">
        <v>684</v>
      </c>
      <c r="I259" s="64">
        <v>1075.6999999999784</v>
      </c>
      <c r="J259" s="658">
        <v>695</v>
      </c>
    </row>
    <row r="260" spans="2:10" ht="14.4" x14ac:dyDescent="0.3">
      <c r="B260" s="657">
        <v>684</v>
      </c>
      <c r="C260" s="657">
        <v>1075.5999999999785</v>
      </c>
      <c r="D260" s="658">
        <v>695</v>
      </c>
      <c r="E260" s="658">
        <v>1075.6999999999784</v>
      </c>
      <c r="G260" s="64">
        <v>1075.6999999999784</v>
      </c>
      <c r="H260" s="658">
        <v>695</v>
      </c>
      <c r="I260" s="64">
        <v>1075.7999999999784</v>
      </c>
      <c r="J260" s="658">
        <v>706</v>
      </c>
    </row>
    <row r="261" spans="2:10" ht="14.4" x14ac:dyDescent="0.3">
      <c r="B261" s="657">
        <v>695</v>
      </c>
      <c r="C261" s="657">
        <v>1075.6999999999784</v>
      </c>
      <c r="D261" s="658">
        <v>706</v>
      </c>
      <c r="E261" s="658">
        <v>1075.7999999999784</v>
      </c>
      <c r="G261" s="64">
        <v>1075.7999999999784</v>
      </c>
      <c r="H261" s="658">
        <v>706</v>
      </c>
      <c r="I261" s="64">
        <v>1075.8999999999783</v>
      </c>
      <c r="J261" s="658">
        <v>716</v>
      </c>
    </row>
    <row r="262" spans="2:10" ht="14.4" x14ac:dyDescent="0.3">
      <c r="B262" s="657">
        <v>706</v>
      </c>
      <c r="C262" s="657">
        <v>1075.7999999999784</v>
      </c>
      <c r="D262" s="658">
        <v>716</v>
      </c>
      <c r="E262" s="658">
        <v>1075.8999999999783</v>
      </c>
      <c r="G262" s="64">
        <v>1075.8999999999783</v>
      </c>
      <c r="H262" s="658">
        <v>716</v>
      </c>
      <c r="I262" s="64">
        <v>1075.9999999999782</v>
      </c>
      <c r="J262" s="658">
        <v>727</v>
      </c>
    </row>
    <row r="263" spans="2:10" ht="14.4" x14ac:dyDescent="0.3">
      <c r="B263" s="657">
        <v>716</v>
      </c>
      <c r="C263" s="657">
        <v>1075.8999999999783</v>
      </c>
      <c r="D263" s="658">
        <v>727</v>
      </c>
      <c r="E263" s="658">
        <v>1075.9999999999782</v>
      </c>
      <c r="G263" s="64">
        <v>1075.9999999999782</v>
      </c>
      <c r="H263" s="658">
        <v>727</v>
      </c>
      <c r="I263" s="64">
        <v>1076.0999999999781</v>
      </c>
      <c r="J263" s="658">
        <v>739</v>
      </c>
    </row>
    <row r="264" spans="2:10" ht="14.4" x14ac:dyDescent="0.3">
      <c r="B264" s="657">
        <v>727</v>
      </c>
      <c r="C264" s="657">
        <v>1075.9999999999782</v>
      </c>
      <c r="D264" s="658">
        <v>739</v>
      </c>
      <c r="E264" s="658">
        <v>1076.0999999999781</v>
      </c>
      <c r="G264" s="64">
        <v>1076.0999999999781</v>
      </c>
      <c r="H264" s="658">
        <v>739</v>
      </c>
      <c r="I264" s="64">
        <v>1076.199999999978</v>
      </c>
      <c r="J264" s="658">
        <v>750</v>
      </c>
    </row>
    <row r="265" spans="2:10" ht="14.4" x14ac:dyDescent="0.3">
      <c r="B265" s="657">
        <v>739</v>
      </c>
      <c r="C265" s="657">
        <v>1076.0999999999781</v>
      </c>
      <c r="D265" s="658">
        <v>750</v>
      </c>
      <c r="E265" s="658">
        <v>1076.199999999978</v>
      </c>
      <c r="G265" s="64">
        <v>1076.199999999978</v>
      </c>
      <c r="H265" s="658">
        <v>750</v>
      </c>
      <c r="I265" s="64">
        <v>1076.2999999999779</v>
      </c>
      <c r="J265" s="658">
        <v>762</v>
      </c>
    </row>
    <row r="266" spans="2:10" ht="14.4" x14ac:dyDescent="0.3">
      <c r="B266" s="657">
        <v>750</v>
      </c>
      <c r="C266" s="657">
        <v>1076.199999999978</v>
      </c>
      <c r="D266" s="658">
        <v>762</v>
      </c>
      <c r="E266" s="658">
        <v>1076.2999999999779</v>
      </c>
      <c r="G266" s="64">
        <v>1076.2999999999779</v>
      </c>
      <c r="H266" s="658">
        <v>762</v>
      </c>
      <c r="I266" s="64">
        <v>1076.3999999999778</v>
      </c>
      <c r="J266" s="658">
        <v>773</v>
      </c>
    </row>
    <row r="267" spans="2:10" ht="14.4" x14ac:dyDescent="0.3">
      <c r="B267" s="657">
        <v>762</v>
      </c>
      <c r="C267" s="657">
        <v>1076.2999999999779</v>
      </c>
      <c r="D267" s="658">
        <v>773</v>
      </c>
      <c r="E267" s="658">
        <v>1076.3999999999778</v>
      </c>
      <c r="G267" s="64">
        <v>1076.3999999999778</v>
      </c>
      <c r="H267" s="658">
        <v>773</v>
      </c>
      <c r="I267" s="64">
        <v>1076.4999999999777</v>
      </c>
      <c r="J267" s="658">
        <v>784</v>
      </c>
    </row>
    <row r="268" spans="2:10" ht="14.4" x14ac:dyDescent="0.3">
      <c r="B268" s="657">
        <v>773</v>
      </c>
      <c r="C268" s="657">
        <v>1076.3999999999778</v>
      </c>
      <c r="D268" s="658">
        <v>784</v>
      </c>
      <c r="E268" s="658">
        <v>1076.4999999999777</v>
      </c>
      <c r="G268" s="64">
        <v>1076.4999999999777</v>
      </c>
      <c r="H268" s="658">
        <v>784</v>
      </c>
      <c r="I268" s="64">
        <v>1076.5999999999776</v>
      </c>
      <c r="J268" s="658">
        <v>796</v>
      </c>
    </row>
    <row r="269" spans="2:10" ht="14.4" x14ac:dyDescent="0.3">
      <c r="B269" s="657">
        <v>784</v>
      </c>
      <c r="C269" s="657">
        <v>1076.4999999999777</v>
      </c>
      <c r="D269" s="658">
        <v>796</v>
      </c>
      <c r="E269" s="658">
        <v>1076.5999999999776</v>
      </c>
      <c r="G269" s="64">
        <v>1076.5999999999776</v>
      </c>
      <c r="H269" s="658">
        <v>796</v>
      </c>
      <c r="I269" s="64">
        <v>1076.6999999999775</v>
      </c>
      <c r="J269" s="658">
        <v>807</v>
      </c>
    </row>
    <row r="270" spans="2:10" ht="14.4" x14ac:dyDescent="0.3">
      <c r="B270" s="657">
        <v>796</v>
      </c>
      <c r="C270" s="657">
        <v>1076.5999999999776</v>
      </c>
      <c r="D270" s="658">
        <v>807</v>
      </c>
      <c r="E270" s="658">
        <v>1076.6999999999775</v>
      </c>
      <c r="G270" s="64">
        <v>1076.6999999999775</v>
      </c>
      <c r="H270" s="658">
        <v>807</v>
      </c>
      <c r="I270" s="64">
        <v>1076.7999999999774</v>
      </c>
      <c r="J270" s="658">
        <v>819</v>
      </c>
    </row>
    <row r="271" spans="2:10" ht="14.4" x14ac:dyDescent="0.3">
      <c r="B271" s="657">
        <v>807</v>
      </c>
      <c r="C271" s="657">
        <v>1076.6999999999775</v>
      </c>
      <c r="D271" s="658">
        <v>819</v>
      </c>
      <c r="E271" s="658">
        <v>1076.7999999999774</v>
      </c>
      <c r="G271" s="64">
        <v>1076.7999999999774</v>
      </c>
      <c r="H271" s="658">
        <v>819</v>
      </c>
      <c r="I271" s="64">
        <v>1076.8999999999774</v>
      </c>
      <c r="J271" s="658">
        <v>830</v>
      </c>
    </row>
    <row r="272" spans="2:10" ht="14.4" x14ac:dyDescent="0.3">
      <c r="B272" s="657">
        <v>819</v>
      </c>
      <c r="C272" s="657">
        <v>1076.7999999999774</v>
      </c>
      <c r="D272" s="658">
        <v>830</v>
      </c>
      <c r="E272" s="658">
        <v>1076.8999999999774</v>
      </c>
      <c r="G272" s="64">
        <v>1076.8999999999774</v>
      </c>
      <c r="H272" s="658">
        <v>830</v>
      </c>
      <c r="I272" s="64">
        <v>1076.9999999999773</v>
      </c>
      <c r="J272" s="658">
        <v>842</v>
      </c>
    </row>
    <row r="273" spans="2:10" ht="14.4" x14ac:dyDescent="0.3">
      <c r="B273" s="657">
        <v>830</v>
      </c>
      <c r="C273" s="657">
        <v>1076.8999999999774</v>
      </c>
      <c r="D273" s="658">
        <v>842</v>
      </c>
      <c r="E273" s="658">
        <v>1076.9999999999773</v>
      </c>
      <c r="G273" s="64">
        <v>1076.9999999999773</v>
      </c>
      <c r="H273" s="658">
        <v>842</v>
      </c>
      <c r="I273" s="64">
        <v>1077.0999999999772</v>
      </c>
      <c r="J273" s="658">
        <v>854</v>
      </c>
    </row>
    <row r="274" spans="2:10" ht="14.4" x14ac:dyDescent="0.3">
      <c r="B274" s="657">
        <v>842</v>
      </c>
      <c r="C274" s="657">
        <v>1076.9999999999773</v>
      </c>
      <c r="D274" s="658">
        <v>854</v>
      </c>
      <c r="E274" s="658">
        <v>1077.0999999999772</v>
      </c>
      <c r="G274" s="64">
        <v>1077.0999999999772</v>
      </c>
      <c r="H274" s="658">
        <v>854</v>
      </c>
      <c r="I274" s="64">
        <v>1077.1999999999771</v>
      </c>
      <c r="J274" s="658">
        <v>866</v>
      </c>
    </row>
    <row r="275" spans="2:10" ht="14.4" x14ac:dyDescent="0.3">
      <c r="B275" s="657">
        <v>854</v>
      </c>
      <c r="C275" s="657">
        <v>1077.0999999999772</v>
      </c>
      <c r="D275" s="658">
        <v>866</v>
      </c>
      <c r="E275" s="658">
        <v>1077.1999999999771</v>
      </c>
      <c r="G275" s="64">
        <v>1077.1999999999771</v>
      </c>
      <c r="H275" s="658">
        <v>866</v>
      </c>
      <c r="I275" s="64">
        <v>1077.299999999977</v>
      </c>
      <c r="J275" s="658">
        <v>878</v>
      </c>
    </row>
    <row r="276" spans="2:10" ht="14.4" x14ac:dyDescent="0.3">
      <c r="B276" s="657">
        <v>866</v>
      </c>
      <c r="C276" s="657">
        <v>1077.1999999999771</v>
      </c>
      <c r="D276" s="658">
        <v>878</v>
      </c>
      <c r="E276" s="658">
        <v>1077.299999999977</v>
      </c>
      <c r="G276" s="64">
        <v>1077.299999999977</v>
      </c>
      <c r="H276" s="658">
        <v>878</v>
      </c>
      <c r="I276" s="64">
        <v>1077.3999999999769</v>
      </c>
      <c r="J276" s="658">
        <v>890</v>
      </c>
    </row>
    <row r="277" spans="2:10" ht="14.4" x14ac:dyDescent="0.3">
      <c r="B277" s="657">
        <v>878</v>
      </c>
      <c r="C277" s="657">
        <v>1077.299999999977</v>
      </c>
      <c r="D277" s="658">
        <v>890</v>
      </c>
      <c r="E277" s="658">
        <v>1077.3999999999769</v>
      </c>
      <c r="G277" s="64">
        <v>1077.3999999999769</v>
      </c>
      <c r="H277" s="658">
        <v>890</v>
      </c>
      <c r="I277" s="64">
        <v>1077.4999999999768</v>
      </c>
      <c r="J277" s="658">
        <v>902</v>
      </c>
    </row>
    <row r="278" spans="2:10" ht="14.4" x14ac:dyDescent="0.3">
      <c r="B278" s="657">
        <v>890</v>
      </c>
      <c r="C278" s="657">
        <v>1077.3999999999769</v>
      </c>
      <c r="D278" s="658">
        <v>902</v>
      </c>
      <c r="E278" s="658">
        <v>1077.4999999999768</v>
      </c>
      <c r="G278" s="64">
        <v>1077.4999999999768</v>
      </c>
      <c r="H278" s="658">
        <v>902</v>
      </c>
      <c r="I278" s="64">
        <v>1077.5999999999767</v>
      </c>
      <c r="J278" s="658">
        <v>914</v>
      </c>
    </row>
    <row r="279" spans="2:10" ht="14.4" x14ac:dyDescent="0.3">
      <c r="B279" s="657">
        <v>902</v>
      </c>
      <c r="C279" s="657">
        <v>1077.4999999999768</v>
      </c>
      <c r="D279" s="658">
        <v>914</v>
      </c>
      <c r="E279" s="658">
        <v>1077.5999999999767</v>
      </c>
      <c r="G279" s="64">
        <v>1077.5999999999767</v>
      </c>
      <c r="H279" s="658">
        <v>914</v>
      </c>
      <c r="I279" s="64">
        <v>1077.6999999999766</v>
      </c>
      <c r="J279" s="658">
        <v>926</v>
      </c>
    </row>
    <row r="280" spans="2:10" ht="14.4" x14ac:dyDescent="0.3">
      <c r="B280" s="657">
        <v>914</v>
      </c>
      <c r="C280" s="657">
        <v>1077.5999999999767</v>
      </c>
      <c r="D280" s="658">
        <v>926</v>
      </c>
      <c r="E280" s="658">
        <v>1077.6999999999766</v>
      </c>
      <c r="G280" s="64">
        <v>1077.6999999999766</v>
      </c>
      <c r="H280" s="658">
        <v>926</v>
      </c>
      <c r="I280" s="64">
        <v>1077.7999999999765</v>
      </c>
      <c r="J280" s="658">
        <v>937</v>
      </c>
    </row>
    <row r="281" spans="2:10" ht="14.4" x14ac:dyDescent="0.3">
      <c r="B281" s="657">
        <v>926</v>
      </c>
      <c r="C281" s="657">
        <v>1077.6999999999766</v>
      </c>
      <c r="D281" s="658">
        <v>937</v>
      </c>
      <c r="E281" s="658">
        <v>1077.7999999999765</v>
      </c>
      <c r="G281" s="64">
        <v>1077.7999999999765</v>
      </c>
      <c r="H281" s="658">
        <v>937</v>
      </c>
      <c r="I281" s="64">
        <v>1077.8999999999764</v>
      </c>
      <c r="J281" s="658">
        <v>949</v>
      </c>
    </row>
    <row r="282" spans="2:10" ht="14.4" x14ac:dyDescent="0.3">
      <c r="B282" s="657">
        <v>937</v>
      </c>
      <c r="C282" s="657">
        <v>1077.7999999999765</v>
      </c>
      <c r="D282" s="658">
        <v>949</v>
      </c>
      <c r="E282" s="658">
        <v>1077.8999999999764</v>
      </c>
      <c r="G282" s="64">
        <v>1077.8999999999764</v>
      </c>
      <c r="H282" s="658">
        <v>949</v>
      </c>
      <c r="I282" s="64">
        <v>1077.9999999999764</v>
      </c>
      <c r="J282" s="658">
        <v>961</v>
      </c>
    </row>
    <row r="283" spans="2:10" ht="14.4" x14ac:dyDescent="0.3">
      <c r="B283" s="657">
        <v>949</v>
      </c>
      <c r="C283" s="657">
        <v>1077.8999999999764</v>
      </c>
      <c r="D283" s="658">
        <v>961</v>
      </c>
      <c r="E283" s="658">
        <v>1077.9999999999764</v>
      </c>
      <c r="G283" s="64">
        <v>1077.9999999999764</v>
      </c>
      <c r="H283" s="658">
        <v>961</v>
      </c>
      <c r="I283" s="64">
        <v>1078.0999999999763</v>
      </c>
      <c r="J283" s="658">
        <v>974</v>
      </c>
    </row>
    <row r="284" spans="2:10" ht="14.4" x14ac:dyDescent="0.3">
      <c r="B284" s="657">
        <v>961</v>
      </c>
      <c r="C284" s="657">
        <v>1077.9999999999764</v>
      </c>
      <c r="D284" s="658">
        <v>974</v>
      </c>
      <c r="E284" s="658">
        <v>1078.0999999999763</v>
      </c>
      <c r="G284" s="64">
        <v>1078.0999999999763</v>
      </c>
      <c r="H284" s="658">
        <v>974</v>
      </c>
      <c r="I284" s="64">
        <v>1078.1999999999762</v>
      </c>
      <c r="J284" s="658">
        <v>986</v>
      </c>
    </row>
    <row r="285" spans="2:10" ht="14.4" x14ac:dyDescent="0.3">
      <c r="B285" s="657">
        <v>974</v>
      </c>
      <c r="C285" s="657">
        <v>1078.0999999999763</v>
      </c>
      <c r="D285" s="658">
        <v>986</v>
      </c>
      <c r="E285" s="658">
        <v>1078.1999999999762</v>
      </c>
      <c r="G285" s="64">
        <v>1078.1999999999762</v>
      </c>
      <c r="H285" s="658">
        <v>986</v>
      </c>
      <c r="I285" s="64">
        <v>1078.2999999999761</v>
      </c>
      <c r="J285" s="658">
        <v>999</v>
      </c>
    </row>
    <row r="286" spans="2:10" ht="14.4" x14ac:dyDescent="0.3">
      <c r="B286" s="657">
        <v>986</v>
      </c>
      <c r="C286" s="657">
        <v>1078.1999999999762</v>
      </c>
      <c r="D286" s="658">
        <v>999</v>
      </c>
      <c r="E286" s="658">
        <v>1078.2999999999761</v>
      </c>
      <c r="G286" s="64">
        <v>1078.2999999999761</v>
      </c>
      <c r="H286" s="658">
        <v>999</v>
      </c>
      <c r="I286" s="64">
        <v>1078.399999999976</v>
      </c>
      <c r="J286" s="658">
        <v>1011</v>
      </c>
    </row>
    <row r="287" spans="2:10" ht="14.4" x14ac:dyDescent="0.3">
      <c r="B287" s="657">
        <v>999</v>
      </c>
      <c r="C287" s="657">
        <v>1078.2999999999761</v>
      </c>
      <c r="D287" s="658">
        <v>1011</v>
      </c>
      <c r="E287" s="658">
        <v>1078.399999999976</v>
      </c>
      <c r="G287" s="64">
        <v>1078.399999999976</v>
      </c>
      <c r="H287" s="658">
        <v>1011</v>
      </c>
      <c r="I287" s="64">
        <v>1078.4999999999759</v>
      </c>
      <c r="J287" s="658">
        <v>1024</v>
      </c>
    </row>
    <row r="288" spans="2:10" ht="14.4" x14ac:dyDescent="0.3">
      <c r="B288" s="657">
        <v>1011</v>
      </c>
      <c r="C288" s="657">
        <v>1078.399999999976</v>
      </c>
      <c r="D288" s="658">
        <v>1024</v>
      </c>
      <c r="E288" s="658">
        <v>1078.4999999999759</v>
      </c>
      <c r="G288" s="64">
        <v>1078.4999999999759</v>
      </c>
      <c r="H288" s="658">
        <v>1024</v>
      </c>
      <c r="I288" s="64">
        <v>1078.5999999999758</v>
      </c>
      <c r="J288" s="658">
        <v>1036</v>
      </c>
    </row>
    <row r="289" spans="2:10" ht="14.4" x14ac:dyDescent="0.3">
      <c r="B289" s="657">
        <v>1024</v>
      </c>
      <c r="C289" s="657">
        <v>1078.4999999999759</v>
      </c>
      <c r="D289" s="658">
        <v>1036</v>
      </c>
      <c r="E289" s="658">
        <v>1078.5999999999758</v>
      </c>
      <c r="G289" s="64">
        <v>1078.5999999999758</v>
      </c>
      <c r="H289" s="658">
        <v>1036</v>
      </c>
      <c r="I289" s="64">
        <v>1078.6999999999757</v>
      </c>
      <c r="J289" s="658">
        <v>1049</v>
      </c>
    </row>
    <row r="290" spans="2:10" ht="14.4" x14ac:dyDescent="0.3">
      <c r="B290" s="657">
        <v>1036</v>
      </c>
      <c r="C290" s="657">
        <v>1078.5999999999758</v>
      </c>
      <c r="D290" s="658">
        <v>1049</v>
      </c>
      <c r="E290" s="658">
        <v>1078.6999999999757</v>
      </c>
      <c r="G290" s="64">
        <v>1078.6999999999757</v>
      </c>
      <c r="H290" s="658">
        <v>1049</v>
      </c>
      <c r="I290" s="64">
        <v>1078.7999999999756</v>
      </c>
      <c r="J290" s="658">
        <v>1061</v>
      </c>
    </row>
    <row r="291" spans="2:10" ht="14.4" x14ac:dyDescent="0.3">
      <c r="B291" s="657">
        <v>1049</v>
      </c>
      <c r="C291" s="657">
        <v>1078.6999999999757</v>
      </c>
      <c r="D291" s="658">
        <v>1061</v>
      </c>
      <c r="E291" s="658">
        <v>1078.7999999999756</v>
      </c>
      <c r="G291" s="64">
        <v>1078.7999999999756</v>
      </c>
      <c r="H291" s="658">
        <v>1061</v>
      </c>
      <c r="I291" s="64">
        <v>1078.8999999999755</v>
      </c>
      <c r="J291" s="658">
        <v>1074</v>
      </c>
    </row>
    <row r="292" spans="2:10" ht="14.4" x14ac:dyDescent="0.3">
      <c r="B292" s="657">
        <v>1061</v>
      </c>
      <c r="C292" s="657">
        <v>1078.7999999999756</v>
      </c>
      <c r="D292" s="658">
        <v>1074</v>
      </c>
      <c r="E292" s="658">
        <v>1078.8999999999755</v>
      </c>
      <c r="G292" s="64">
        <v>1078.8999999999755</v>
      </c>
      <c r="H292" s="658">
        <v>1074</v>
      </c>
      <c r="I292" s="64">
        <v>1078.9999999999754</v>
      </c>
      <c r="J292" s="658">
        <v>1086</v>
      </c>
    </row>
    <row r="293" spans="2:10" ht="14.4" x14ac:dyDescent="0.3">
      <c r="B293" s="657">
        <v>1074</v>
      </c>
      <c r="C293" s="657">
        <v>1078.8999999999755</v>
      </c>
      <c r="D293" s="658">
        <v>1086</v>
      </c>
      <c r="E293" s="658">
        <v>1078.9999999999754</v>
      </c>
      <c r="G293" s="64">
        <v>1078.9999999999754</v>
      </c>
      <c r="H293" s="658">
        <v>1086</v>
      </c>
      <c r="I293" s="64">
        <v>1079.0999999999754</v>
      </c>
      <c r="J293" s="658">
        <v>1099</v>
      </c>
    </row>
    <row r="294" spans="2:10" ht="14.4" x14ac:dyDescent="0.3">
      <c r="B294" s="657">
        <v>1086</v>
      </c>
      <c r="C294" s="657">
        <v>1078.9999999999754</v>
      </c>
      <c r="D294" s="658">
        <v>1099</v>
      </c>
      <c r="E294" s="658">
        <v>1079.0999999999754</v>
      </c>
      <c r="G294" s="64">
        <v>1079.0999999999754</v>
      </c>
      <c r="H294" s="658">
        <v>1099</v>
      </c>
      <c r="I294" s="64">
        <v>1079.1999999999753</v>
      </c>
      <c r="J294" s="658">
        <v>1112</v>
      </c>
    </row>
    <row r="295" spans="2:10" ht="14.4" x14ac:dyDescent="0.3">
      <c r="B295" s="657">
        <v>1099</v>
      </c>
      <c r="C295" s="657">
        <v>1079.0999999999754</v>
      </c>
      <c r="D295" s="658">
        <v>1112</v>
      </c>
      <c r="E295" s="658">
        <v>1079.1999999999753</v>
      </c>
      <c r="G295" s="64">
        <v>1079.1999999999753</v>
      </c>
      <c r="H295" s="658">
        <v>1112</v>
      </c>
      <c r="I295" s="64">
        <v>1079.2999999999752</v>
      </c>
      <c r="J295" s="658">
        <v>1125</v>
      </c>
    </row>
    <row r="296" spans="2:10" ht="14.4" x14ac:dyDescent="0.3">
      <c r="B296" s="657">
        <v>1112</v>
      </c>
      <c r="C296" s="657">
        <v>1079.1999999999753</v>
      </c>
      <c r="D296" s="658">
        <v>1125</v>
      </c>
      <c r="E296" s="658">
        <v>1079.2999999999752</v>
      </c>
      <c r="G296" s="64">
        <v>1079.2999999999752</v>
      </c>
      <c r="H296" s="658">
        <v>1125</v>
      </c>
      <c r="I296" s="64">
        <v>1079.3999999999751</v>
      </c>
      <c r="J296" s="658">
        <v>1138</v>
      </c>
    </row>
    <row r="297" spans="2:10" ht="14.4" x14ac:dyDescent="0.3">
      <c r="B297" s="657">
        <v>1125</v>
      </c>
      <c r="C297" s="657">
        <v>1079.2999999999752</v>
      </c>
      <c r="D297" s="658">
        <v>1138</v>
      </c>
      <c r="E297" s="658">
        <v>1079.3999999999751</v>
      </c>
      <c r="G297" s="64">
        <v>1079.3999999999751</v>
      </c>
      <c r="H297" s="658">
        <v>1138</v>
      </c>
      <c r="I297" s="64">
        <v>1079.499999999975</v>
      </c>
      <c r="J297" s="658">
        <v>1151</v>
      </c>
    </row>
    <row r="298" spans="2:10" ht="14.4" x14ac:dyDescent="0.3">
      <c r="B298" s="657">
        <v>1138</v>
      </c>
      <c r="C298" s="657">
        <v>1079.3999999999751</v>
      </c>
      <c r="D298" s="658">
        <v>1151</v>
      </c>
      <c r="E298" s="658">
        <v>1079.499999999975</v>
      </c>
      <c r="G298" s="64">
        <v>1079.499999999975</v>
      </c>
      <c r="H298" s="658">
        <v>1151</v>
      </c>
      <c r="I298" s="64">
        <v>1079.5999999999749</v>
      </c>
      <c r="J298" s="658">
        <v>1164</v>
      </c>
    </row>
    <row r="299" spans="2:10" ht="14.4" x14ac:dyDescent="0.3">
      <c r="B299" s="657">
        <v>1151</v>
      </c>
      <c r="C299" s="657">
        <v>1079.499999999975</v>
      </c>
      <c r="D299" s="658">
        <v>1164</v>
      </c>
      <c r="E299" s="658">
        <v>1079.5999999999749</v>
      </c>
      <c r="G299" s="64">
        <v>1079.5999999999749</v>
      </c>
      <c r="H299" s="658">
        <v>1164</v>
      </c>
      <c r="I299" s="64">
        <v>1079.6999999999748</v>
      </c>
      <c r="J299" s="658">
        <v>1177</v>
      </c>
    </row>
    <row r="300" spans="2:10" ht="14.4" x14ac:dyDescent="0.3">
      <c r="B300" s="657">
        <v>1164</v>
      </c>
      <c r="C300" s="657">
        <v>1079.5999999999749</v>
      </c>
      <c r="D300" s="658">
        <v>1177</v>
      </c>
      <c r="E300" s="658">
        <v>1079.6999999999748</v>
      </c>
      <c r="G300" s="64">
        <v>1079.6999999999748</v>
      </c>
      <c r="H300" s="658">
        <v>1177</v>
      </c>
      <c r="I300" s="64">
        <v>1079.7999999999747</v>
      </c>
      <c r="J300" s="658">
        <v>1190</v>
      </c>
    </row>
    <row r="301" spans="2:10" ht="14.4" x14ac:dyDescent="0.3">
      <c r="B301" s="657">
        <v>1177</v>
      </c>
      <c r="C301" s="657">
        <v>1079.6999999999748</v>
      </c>
      <c r="D301" s="658">
        <v>1190</v>
      </c>
      <c r="E301" s="658">
        <v>1079.7999999999747</v>
      </c>
      <c r="G301" s="64">
        <v>1079.7999999999747</v>
      </c>
      <c r="H301" s="658">
        <v>1190</v>
      </c>
      <c r="I301" s="64">
        <v>1079.8999999999746</v>
      </c>
      <c r="J301" s="658">
        <v>1203</v>
      </c>
    </row>
    <row r="302" spans="2:10" ht="14.4" x14ac:dyDescent="0.3">
      <c r="B302" s="657">
        <v>1190</v>
      </c>
      <c r="C302" s="657">
        <v>1079.7999999999747</v>
      </c>
      <c r="D302" s="658">
        <v>1203</v>
      </c>
      <c r="E302" s="658">
        <v>1079.8999999999746</v>
      </c>
      <c r="G302" s="64">
        <v>1079.8999999999746</v>
      </c>
      <c r="H302" s="658">
        <v>1203</v>
      </c>
      <c r="I302" s="64">
        <v>1079.9999999999745</v>
      </c>
      <c r="J302" s="658">
        <v>1216</v>
      </c>
    </row>
    <row r="303" spans="2:10" ht="14.4" x14ac:dyDescent="0.3">
      <c r="B303" s="657">
        <v>1203</v>
      </c>
      <c r="C303" s="657">
        <v>1079.8999999999746</v>
      </c>
      <c r="D303" s="658">
        <v>1216</v>
      </c>
      <c r="E303" s="658">
        <v>1079.9999999999745</v>
      </c>
      <c r="G303" s="64">
        <v>1079.9999999999745</v>
      </c>
      <c r="H303" s="658">
        <v>1216</v>
      </c>
      <c r="I303" s="64">
        <v>1080.0999999999744</v>
      </c>
      <c r="J303" s="658">
        <v>1230</v>
      </c>
    </row>
    <row r="304" spans="2:10" ht="14.4" x14ac:dyDescent="0.3">
      <c r="B304" s="657">
        <v>1216</v>
      </c>
      <c r="C304" s="657">
        <v>1079.9999999999745</v>
      </c>
      <c r="D304" s="658">
        <v>1230</v>
      </c>
      <c r="E304" s="658">
        <v>1080.0999999999744</v>
      </c>
      <c r="G304" s="64">
        <v>1080.0999999999744</v>
      </c>
      <c r="H304" s="658">
        <v>1230</v>
      </c>
      <c r="I304" s="64">
        <v>1080.1999999999744</v>
      </c>
      <c r="J304" s="658">
        <v>1243</v>
      </c>
    </row>
    <row r="305" spans="2:10" ht="14.4" x14ac:dyDescent="0.3">
      <c r="B305" s="657">
        <v>1230</v>
      </c>
      <c r="C305" s="657">
        <v>1080.0999999999744</v>
      </c>
      <c r="D305" s="658">
        <v>1243</v>
      </c>
      <c r="E305" s="658">
        <v>1080.1999999999744</v>
      </c>
      <c r="G305" s="64">
        <v>1080.1999999999744</v>
      </c>
      <c r="H305" s="658">
        <v>1243</v>
      </c>
      <c r="I305" s="64">
        <v>1080.2999999999743</v>
      </c>
      <c r="J305" s="658">
        <v>1257</v>
      </c>
    </row>
    <row r="306" spans="2:10" ht="14.4" x14ac:dyDescent="0.3">
      <c r="B306" s="657">
        <v>1243</v>
      </c>
      <c r="C306" s="657">
        <v>1080.1999999999744</v>
      </c>
      <c r="D306" s="658">
        <v>1257</v>
      </c>
      <c r="E306" s="658">
        <v>1080.2999999999743</v>
      </c>
      <c r="G306" s="64">
        <v>1080.2999999999743</v>
      </c>
      <c r="H306" s="658">
        <v>1257</v>
      </c>
      <c r="I306" s="64">
        <v>1080.3999999999742</v>
      </c>
      <c r="J306" s="658">
        <v>1271</v>
      </c>
    </row>
    <row r="307" spans="2:10" ht="14.4" x14ac:dyDescent="0.3">
      <c r="B307" s="657">
        <v>1257</v>
      </c>
      <c r="C307" s="657">
        <v>1080.2999999999743</v>
      </c>
      <c r="D307" s="658">
        <v>1271</v>
      </c>
      <c r="E307" s="658">
        <v>1080.3999999999742</v>
      </c>
      <c r="G307" s="64">
        <v>1080.3999999999742</v>
      </c>
      <c r="H307" s="658">
        <v>1271</v>
      </c>
      <c r="I307" s="64">
        <v>1080.4999999999741</v>
      </c>
      <c r="J307" s="658">
        <v>1284</v>
      </c>
    </row>
    <row r="308" spans="2:10" ht="14.4" x14ac:dyDescent="0.3">
      <c r="B308" s="657">
        <v>1271</v>
      </c>
      <c r="C308" s="657">
        <v>1080.3999999999742</v>
      </c>
      <c r="D308" s="658">
        <v>1284</v>
      </c>
      <c r="E308" s="658">
        <v>1080.4999999999741</v>
      </c>
      <c r="G308" s="64">
        <v>1080.4999999999741</v>
      </c>
      <c r="H308" s="658">
        <v>1284</v>
      </c>
      <c r="I308" s="64">
        <v>1080.599999999974</v>
      </c>
      <c r="J308" s="658">
        <v>1298</v>
      </c>
    </row>
    <row r="309" spans="2:10" ht="14.4" x14ac:dyDescent="0.3">
      <c r="B309" s="657">
        <v>1284</v>
      </c>
      <c r="C309" s="657">
        <v>1080.4999999999741</v>
      </c>
      <c r="D309" s="658">
        <v>1298</v>
      </c>
      <c r="E309" s="658">
        <v>1080.599999999974</v>
      </c>
      <c r="G309" s="64">
        <v>1080.599999999974</v>
      </c>
      <c r="H309" s="658">
        <v>1298</v>
      </c>
      <c r="I309" s="64">
        <v>1080.6999999999739</v>
      </c>
      <c r="J309" s="658">
        <v>1311</v>
      </c>
    </row>
    <row r="310" spans="2:10" ht="14.4" x14ac:dyDescent="0.3">
      <c r="B310" s="657">
        <v>1298</v>
      </c>
      <c r="C310" s="657">
        <v>1080.599999999974</v>
      </c>
      <c r="D310" s="658">
        <v>1311</v>
      </c>
      <c r="E310" s="658">
        <v>1080.6999999999739</v>
      </c>
      <c r="G310" s="64">
        <v>1080.6999999999739</v>
      </c>
      <c r="H310" s="658">
        <v>1311</v>
      </c>
      <c r="I310" s="64">
        <v>1080.7999999999738</v>
      </c>
      <c r="J310" s="658">
        <v>1325</v>
      </c>
    </row>
    <row r="311" spans="2:10" ht="14.4" x14ac:dyDescent="0.3">
      <c r="B311" s="657">
        <v>1311</v>
      </c>
      <c r="C311" s="657">
        <v>1080.6999999999739</v>
      </c>
      <c r="D311" s="658">
        <v>1325</v>
      </c>
      <c r="E311" s="658">
        <v>1080.7999999999738</v>
      </c>
      <c r="G311" s="64">
        <v>1080.7999999999738</v>
      </c>
      <c r="H311" s="658">
        <v>1325</v>
      </c>
      <c r="I311" s="64">
        <v>1080.8999999999737</v>
      </c>
      <c r="J311" s="658">
        <v>1339</v>
      </c>
    </row>
    <row r="312" spans="2:10" ht="14.4" x14ac:dyDescent="0.3">
      <c r="B312" s="657">
        <v>1325</v>
      </c>
      <c r="C312" s="657">
        <v>1080.7999999999738</v>
      </c>
      <c r="D312" s="658">
        <v>1339</v>
      </c>
      <c r="E312" s="658">
        <v>1080.8999999999737</v>
      </c>
      <c r="G312" s="64">
        <v>1080.8999999999737</v>
      </c>
      <c r="H312" s="658">
        <v>1339</v>
      </c>
      <c r="I312" s="64">
        <v>1080.9999999999736</v>
      </c>
      <c r="J312" s="658">
        <v>1352</v>
      </c>
    </row>
    <row r="313" spans="2:10" ht="14.4" x14ac:dyDescent="0.3">
      <c r="B313" s="657">
        <v>1339</v>
      </c>
      <c r="C313" s="657">
        <v>1080.8999999999737</v>
      </c>
      <c r="D313" s="658">
        <v>1352</v>
      </c>
      <c r="E313" s="658">
        <v>1080.9999999999736</v>
      </c>
      <c r="G313" s="64">
        <v>1080.9999999999736</v>
      </c>
      <c r="H313" s="658">
        <v>1352</v>
      </c>
      <c r="I313" s="64">
        <v>1081.0999999999735</v>
      </c>
      <c r="J313" s="658">
        <v>1366</v>
      </c>
    </row>
    <row r="314" spans="2:10" ht="14.4" x14ac:dyDescent="0.3">
      <c r="B314" s="657">
        <v>1352</v>
      </c>
      <c r="C314" s="657">
        <v>1080.9999999999736</v>
      </c>
      <c r="D314" s="658">
        <v>1366</v>
      </c>
      <c r="E314" s="658">
        <v>1081.0999999999735</v>
      </c>
      <c r="G314" s="64">
        <v>1081.0999999999735</v>
      </c>
      <c r="H314" s="658">
        <v>1366</v>
      </c>
      <c r="I314" s="64">
        <v>1081.1999999999734</v>
      </c>
      <c r="J314" s="658">
        <v>1380</v>
      </c>
    </row>
    <row r="315" spans="2:10" ht="14.4" x14ac:dyDescent="0.3">
      <c r="B315" s="657">
        <v>1366</v>
      </c>
      <c r="C315" s="657">
        <v>1081.0999999999735</v>
      </c>
      <c r="D315" s="658">
        <v>1380</v>
      </c>
      <c r="E315" s="658">
        <v>1081.1999999999734</v>
      </c>
      <c r="G315" s="64">
        <v>1081.1999999999734</v>
      </c>
      <c r="H315" s="658">
        <v>1380</v>
      </c>
      <c r="I315" s="64">
        <v>1081.2999999999734</v>
      </c>
      <c r="J315" s="658">
        <v>1394</v>
      </c>
    </row>
    <row r="316" spans="2:10" ht="14.4" x14ac:dyDescent="0.3">
      <c r="B316" s="657">
        <v>1380</v>
      </c>
      <c r="C316" s="657">
        <v>1081.1999999999734</v>
      </c>
      <c r="D316" s="658">
        <v>1394</v>
      </c>
      <c r="E316" s="658">
        <v>1081.2999999999734</v>
      </c>
      <c r="G316" s="64">
        <v>1081.2999999999734</v>
      </c>
      <c r="H316" s="658">
        <v>1394</v>
      </c>
      <c r="I316" s="64">
        <v>1081.3999999999733</v>
      </c>
      <c r="J316" s="658">
        <v>1409</v>
      </c>
    </row>
    <row r="317" spans="2:10" ht="14.4" x14ac:dyDescent="0.3">
      <c r="B317" s="657">
        <v>1394</v>
      </c>
      <c r="C317" s="657">
        <v>1081.2999999999734</v>
      </c>
      <c r="D317" s="658">
        <v>1409</v>
      </c>
      <c r="E317" s="658">
        <v>1081.3999999999733</v>
      </c>
      <c r="G317" s="64">
        <v>1081.3999999999733</v>
      </c>
      <c r="H317" s="658">
        <v>1409</v>
      </c>
      <c r="I317" s="64">
        <v>1081.4999999999732</v>
      </c>
      <c r="J317" s="658">
        <v>1423</v>
      </c>
    </row>
    <row r="318" spans="2:10" ht="14.4" x14ac:dyDescent="0.3">
      <c r="B318" s="657">
        <v>1409</v>
      </c>
      <c r="C318" s="657">
        <v>1081.3999999999733</v>
      </c>
      <c r="D318" s="658">
        <v>1423</v>
      </c>
      <c r="E318" s="658">
        <v>1081.4999999999732</v>
      </c>
      <c r="G318" s="64">
        <v>1081.4999999999732</v>
      </c>
      <c r="H318" s="658">
        <v>1423</v>
      </c>
      <c r="I318" s="64">
        <v>1081.5999999999731</v>
      </c>
      <c r="J318" s="658">
        <v>1437</v>
      </c>
    </row>
    <row r="319" spans="2:10" ht="14.4" x14ac:dyDescent="0.3">
      <c r="B319" s="657">
        <v>1423</v>
      </c>
      <c r="C319" s="657">
        <v>1081.4999999999732</v>
      </c>
      <c r="D319" s="658">
        <v>1437</v>
      </c>
      <c r="E319" s="658">
        <v>1081.5999999999731</v>
      </c>
      <c r="G319" s="64">
        <v>1081.5999999999731</v>
      </c>
      <c r="H319" s="658">
        <v>1437</v>
      </c>
      <c r="I319" s="64">
        <v>1081.699999999973</v>
      </c>
      <c r="J319" s="658">
        <v>1451</v>
      </c>
    </row>
    <row r="320" spans="2:10" ht="14.4" x14ac:dyDescent="0.3">
      <c r="B320" s="657">
        <v>1437</v>
      </c>
      <c r="C320" s="657">
        <v>1081.5999999999731</v>
      </c>
      <c r="D320" s="658">
        <v>1451</v>
      </c>
      <c r="E320" s="658">
        <v>1081.699999999973</v>
      </c>
      <c r="G320" s="64">
        <v>1081.699999999973</v>
      </c>
      <c r="H320" s="658">
        <v>1451</v>
      </c>
      <c r="I320" s="64">
        <v>1081.7999999999729</v>
      </c>
      <c r="J320" s="658">
        <v>1465</v>
      </c>
    </row>
    <row r="321" spans="2:10" ht="14.4" x14ac:dyDescent="0.3">
      <c r="B321" s="657">
        <v>1451</v>
      </c>
      <c r="C321" s="657">
        <v>1081.699999999973</v>
      </c>
      <c r="D321" s="658">
        <v>1465</v>
      </c>
      <c r="E321" s="658">
        <v>1081.7999999999729</v>
      </c>
      <c r="G321" s="64">
        <v>1081.7999999999729</v>
      </c>
      <c r="H321" s="658">
        <v>1465</v>
      </c>
      <c r="I321" s="64">
        <v>1081.8999999999728</v>
      </c>
      <c r="J321" s="658">
        <v>1479</v>
      </c>
    </row>
    <row r="322" spans="2:10" ht="14.4" x14ac:dyDescent="0.3">
      <c r="B322" s="657">
        <v>1465</v>
      </c>
      <c r="C322" s="657">
        <v>1081.7999999999729</v>
      </c>
      <c r="D322" s="658">
        <v>1479</v>
      </c>
      <c r="E322" s="658">
        <v>1081.8999999999728</v>
      </c>
      <c r="G322" s="64">
        <v>1081.8999999999728</v>
      </c>
      <c r="H322" s="658">
        <v>1479</v>
      </c>
      <c r="I322" s="64">
        <v>1081.9999999999727</v>
      </c>
      <c r="J322" s="658">
        <v>1493</v>
      </c>
    </row>
    <row r="323" spans="2:10" ht="14.4" x14ac:dyDescent="0.3">
      <c r="B323" s="657">
        <v>1479</v>
      </c>
      <c r="C323" s="657">
        <v>1081.8999999999728</v>
      </c>
      <c r="D323" s="658">
        <v>1493</v>
      </c>
      <c r="E323" s="658">
        <v>1081.9999999999727</v>
      </c>
      <c r="G323" s="64">
        <v>1081.9999999999727</v>
      </c>
      <c r="H323" s="658">
        <v>1493</v>
      </c>
      <c r="I323" s="64">
        <v>1082.0999999999726</v>
      </c>
      <c r="J323" s="658">
        <v>1508</v>
      </c>
    </row>
    <row r="324" spans="2:10" ht="14.4" x14ac:dyDescent="0.3">
      <c r="B324" s="657">
        <v>1493</v>
      </c>
      <c r="C324" s="657">
        <v>1081.9999999999727</v>
      </c>
      <c r="D324" s="658">
        <v>1508</v>
      </c>
      <c r="E324" s="658">
        <v>1082.0999999999726</v>
      </c>
      <c r="G324" s="64">
        <v>1082.0999999999726</v>
      </c>
      <c r="H324" s="658">
        <v>1508</v>
      </c>
      <c r="I324" s="64">
        <v>1082.1999999999725</v>
      </c>
      <c r="J324" s="658">
        <v>1523</v>
      </c>
    </row>
    <row r="325" spans="2:10" ht="14.4" x14ac:dyDescent="0.3">
      <c r="B325" s="657">
        <v>1508</v>
      </c>
      <c r="C325" s="657">
        <v>1082.0999999999726</v>
      </c>
      <c r="D325" s="658">
        <v>1523</v>
      </c>
      <c r="E325" s="658">
        <v>1082.1999999999725</v>
      </c>
      <c r="G325" s="64">
        <v>1082.1999999999725</v>
      </c>
      <c r="H325" s="658">
        <v>1523</v>
      </c>
      <c r="I325" s="64">
        <v>1082.2999999999724</v>
      </c>
      <c r="J325" s="658">
        <v>1537</v>
      </c>
    </row>
    <row r="326" spans="2:10" ht="14.4" x14ac:dyDescent="0.3">
      <c r="B326" s="657">
        <v>1523</v>
      </c>
      <c r="C326" s="657">
        <v>1082.1999999999725</v>
      </c>
      <c r="D326" s="658">
        <v>1537</v>
      </c>
      <c r="E326" s="658">
        <v>1082.2999999999724</v>
      </c>
      <c r="G326" s="64">
        <v>1082.2999999999724</v>
      </c>
      <c r="H326" s="658">
        <v>1537</v>
      </c>
      <c r="I326" s="64">
        <v>1082.3999999999724</v>
      </c>
      <c r="J326" s="658">
        <v>1552</v>
      </c>
    </row>
    <row r="327" spans="2:10" ht="14.4" x14ac:dyDescent="0.3">
      <c r="B327" s="657">
        <v>1537</v>
      </c>
      <c r="C327" s="657">
        <v>1082.2999999999724</v>
      </c>
      <c r="D327" s="658">
        <v>1552</v>
      </c>
      <c r="E327" s="658">
        <v>1082.3999999999724</v>
      </c>
      <c r="G327" s="64">
        <v>1082.3999999999724</v>
      </c>
      <c r="H327" s="658">
        <v>1552</v>
      </c>
      <c r="I327" s="64">
        <v>1082.4999999999723</v>
      </c>
      <c r="J327" s="658">
        <v>1567</v>
      </c>
    </row>
    <row r="328" spans="2:10" ht="14.4" x14ac:dyDescent="0.3">
      <c r="B328" s="657">
        <v>1552</v>
      </c>
      <c r="C328" s="657">
        <v>1082.3999999999724</v>
      </c>
      <c r="D328" s="658">
        <v>1567</v>
      </c>
      <c r="E328" s="658">
        <v>1082.4999999999723</v>
      </c>
      <c r="G328" s="64">
        <v>1082.4999999999723</v>
      </c>
      <c r="H328" s="658">
        <v>1567</v>
      </c>
      <c r="I328" s="64">
        <v>1082.5999999999722</v>
      </c>
      <c r="J328" s="658">
        <v>1581</v>
      </c>
    </row>
    <row r="329" spans="2:10" ht="14.4" x14ac:dyDescent="0.3">
      <c r="B329" s="657">
        <v>1567</v>
      </c>
      <c r="C329" s="657">
        <v>1082.4999999999723</v>
      </c>
      <c r="D329" s="658">
        <v>1581</v>
      </c>
      <c r="E329" s="658">
        <v>1082.5999999999722</v>
      </c>
      <c r="G329" s="64">
        <v>1082.5999999999722</v>
      </c>
      <c r="H329" s="658">
        <v>1581</v>
      </c>
      <c r="I329" s="64">
        <v>1082.6999999999721</v>
      </c>
      <c r="J329" s="658">
        <v>1596</v>
      </c>
    </row>
    <row r="330" spans="2:10" ht="14.4" x14ac:dyDescent="0.3">
      <c r="B330" s="657">
        <v>1581</v>
      </c>
      <c r="C330" s="657">
        <v>1082.5999999999722</v>
      </c>
      <c r="D330" s="658">
        <v>1596</v>
      </c>
      <c r="E330" s="658">
        <v>1082.6999999999721</v>
      </c>
      <c r="G330" s="64">
        <v>1082.6999999999721</v>
      </c>
      <c r="H330" s="658">
        <v>1596</v>
      </c>
      <c r="I330" s="64">
        <v>1082.799999999972</v>
      </c>
      <c r="J330" s="658">
        <v>1611</v>
      </c>
    </row>
    <row r="331" spans="2:10" ht="14.4" x14ac:dyDescent="0.3">
      <c r="B331" s="657">
        <v>1596</v>
      </c>
      <c r="C331" s="657">
        <v>1082.6999999999721</v>
      </c>
      <c r="D331" s="658">
        <v>1611</v>
      </c>
      <c r="E331" s="658">
        <v>1082.799999999972</v>
      </c>
      <c r="G331" s="64">
        <v>1082.799999999972</v>
      </c>
      <c r="H331" s="658">
        <v>1611</v>
      </c>
      <c r="I331" s="64">
        <v>1082.8999999999719</v>
      </c>
      <c r="J331" s="658">
        <v>1625</v>
      </c>
    </row>
    <row r="332" spans="2:10" ht="14.4" x14ac:dyDescent="0.3">
      <c r="B332" s="657">
        <v>1611</v>
      </c>
      <c r="C332" s="657">
        <v>1082.799999999972</v>
      </c>
      <c r="D332" s="658">
        <v>1625</v>
      </c>
      <c r="E332" s="658">
        <v>1082.8999999999719</v>
      </c>
      <c r="G332" s="64">
        <v>1082.8999999999719</v>
      </c>
      <c r="H332" s="658">
        <v>1625</v>
      </c>
      <c r="I332" s="64">
        <v>1082.9999999999718</v>
      </c>
      <c r="J332" s="658">
        <v>1640</v>
      </c>
    </row>
    <row r="333" spans="2:10" ht="14.4" x14ac:dyDescent="0.3">
      <c r="B333" s="657">
        <v>1625</v>
      </c>
      <c r="C333" s="657">
        <v>1082.8999999999719</v>
      </c>
      <c r="D333" s="658">
        <v>1640</v>
      </c>
      <c r="E333" s="658">
        <v>1082.9999999999718</v>
      </c>
      <c r="G333" s="64">
        <v>1082.9999999999718</v>
      </c>
      <c r="H333" s="658">
        <v>1640</v>
      </c>
      <c r="I333" s="64">
        <v>1083.0999999999717</v>
      </c>
      <c r="J333" s="658">
        <v>1655</v>
      </c>
    </row>
    <row r="334" spans="2:10" ht="14.4" x14ac:dyDescent="0.3">
      <c r="B334" s="657">
        <v>1640</v>
      </c>
      <c r="C334" s="657">
        <v>1082.9999999999718</v>
      </c>
      <c r="D334" s="658">
        <v>1655</v>
      </c>
      <c r="E334" s="658">
        <v>1083.0999999999717</v>
      </c>
      <c r="G334" s="64">
        <v>1083.0999999999717</v>
      </c>
      <c r="H334" s="658">
        <v>1655</v>
      </c>
      <c r="I334" s="64">
        <v>1083.1999999999716</v>
      </c>
      <c r="J334" s="658">
        <v>1671</v>
      </c>
    </row>
    <row r="335" spans="2:10" ht="14.4" x14ac:dyDescent="0.3">
      <c r="B335" s="657">
        <v>1655</v>
      </c>
      <c r="C335" s="657">
        <v>1083.0999999999717</v>
      </c>
      <c r="D335" s="658">
        <v>1671</v>
      </c>
      <c r="E335" s="658">
        <v>1083.1999999999716</v>
      </c>
      <c r="G335" s="64">
        <v>1083.1999999999716</v>
      </c>
      <c r="H335" s="658">
        <v>1671</v>
      </c>
      <c r="I335" s="64">
        <v>1083.2999999999715</v>
      </c>
      <c r="J335" s="658">
        <v>1686</v>
      </c>
    </row>
    <row r="336" spans="2:10" ht="14.4" x14ac:dyDescent="0.3">
      <c r="B336" s="657">
        <v>1671</v>
      </c>
      <c r="C336" s="657">
        <v>1083.1999999999716</v>
      </c>
      <c r="D336" s="658">
        <v>1686</v>
      </c>
      <c r="E336" s="658">
        <v>1083.2999999999715</v>
      </c>
      <c r="G336" s="64">
        <v>1083.2999999999715</v>
      </c>
      <c r="H336" s="658">
        <v>1686</v>
      </c>
      <c r="I336" s="64">
        <v>1083.3999999999714</v>
      </c>
      <c r="J336" s="658">
        <v>1701</v>
      </c>
    </row>
    <row r="337" spans="2:10" ht="14.4" x14ac:dyDescent="0.3">
      <c r="B337" s="657">
        <v>1686</v>
      </c>
      <c r="C337" s="657">
        <v>1083.2999999999715</v>
      </c>
      <c r="D337" s="658">
        <v>1701</v>
      </c>
      <c r="E337" s="658">
        <v>1083.3999999999714</v>
      </c>
      <c r="G337" s="64">
        <v>1083.3999999999714</v>
      </c>
      <c r="H337" s="658">
        <v>1701</v>
      </c>
      <c r="I337" s="64">
        <v>1083.4999999999714</v>
      </c>
      <c r="J337" s="658">
        <v>1717</v>
      </c>
    </row>
    <row r="338" spans="2:10" ht="14.4" x14ac:dyDescent="0.3">
      <c r="B338" s="657">
        <v>1701</v>
      </c>
      <c r="C338" s="657">
        <v>1083.3999999999714</v>
      </c>
      <c r="D338" s="658">
        <v>1717</v>
      </c>
      <c r="E338" s="658">
        <v>1083.4999999999714</v>
      </c>
      <c r="G338" s="64">
        <v>1083.4999999999714</v>
      </c>
      <c r="H338" s="658">
        <v>1717</v>
      </c>
      <c r="I338" s="64">
        <v>1083.5999999999713</v>
      </c>
      <c r="J338" s="658">
        <v>1732</v>
      </c>
    </row>
    <row r="339" spans="2:10" ht="14.4" x14ac:dyDescent="0.3">
      <c r="B339" s="657">
        <v>1717</v>
      </c>
      <c r="C339" s="657">
        <v>1083.4999999999714</v>
      </c>
      <c r="D339" s="658">
        <v>1732</v>
      </c>
      <c r="E339" s="658">
        <v>1083.5999999999713</v>
      </c>
      <c r="G339" s="64">
        <v>1083.5999999999713</v>
      </c>
      <c r="H339" s="658">
        <v>1732</v>
      </c>
      <c r="I339" s="64">
        <v>1083.6999999999712</v>
      </c>
      <c r="J339" s="658">
        <v>1747</v>
      </c>
    </row>
    <row r="340" spans="2:10" ht="14.4" x14ac:dyDescent="0.3">
      <c r="B340" s="657">
        <v>1732</v>
      </c>
      <c r="C340" s="657">
        <v>1083.5999999999713</v>
      </c>
      <c r="D340" s="658">
        <v>1747</v>
      </c>
      <c r="E340" s="658">
        <v>1083.6999999999712</v>
      </c>
      <c r="G340" s="64">
        <v>1083.6999999999712</v>
      </c>
      <c r="H340" s="658">
        <v>1747</v>
      </c>
      <c r="I340" s="64">
        <v>1083.7999999999711</v>
      </c>
      <c r="J340" s="658">
        <v>1762</v>
      </c>
    </row>
    <row r="341" spans="2:10" ht="14.4" x14ac:dyDescent="0.3">
      <c r="B341" s="657">
        <v>1747</v>
      </c>
      <c r="C341" s="657">
        <v>1083.6999999999712</v>
      </c>
      <c r="D341" s="658">
        <v>1762</v>
      </c>
      <c r="E341" s="658">
        <v>1083.7999999999711</v>
      </c>
      <c r="G341" s="64">
        <v>1083.7999999999711</v>
      </c>
      <c r="H341" s="658">
        <v>1762</v>
      </c>
      <c r="I341" s="64">
        <v>1083.899999999971</v>
      </c>
      <c r="J341" s="658">
        <v>1778</v>
      </c>
    </row>
    <row r="342" spans="2:10" ht="14.4" x14ac:dyDescent="0.3">
      <c r="B342" s="657">
        <v>1762</v>
      </c>
      <c r="C342" s="657">
        <v>1083.7999999999711</v>
      </c>
      <c r="D342" s="658">
        <v>1778</v>
      </c>
      <c r="E342" s="658">
        <v>1083.899999999971</v>
      </c>
      <c r="G342" s="64">
        <v>1083.899999999971</v>
      </c>
      <c r="H342" s="658">
        <v>1778</v>
      </c>
      <c r="I342" s="64">
        <v>1083.9999999999709</v>
      </c>
      <c r="J342" s="658">
        <v>1793</v>
      </c>
    </row>
    <row r="343" spans="2:10" ht="14.4" x14ac:dyDescent="0.3">
      <c r="B343" s="657">
        <v>1778</v>
      </c>
      <c r="C343" s="657">
        <v>1083.899999999971</v>
      </c>
      <c r="D343" s="658">
        <v>1793</v>
      </c>
      <c r="E343" s="658">
        <v>1083.9999999999709</v>
      </c>
      <c r="G343" s="64">
        <v>1083.9999999999709</v>
      </c>
      <c r="H343" s="658">
        <v>1793</v>
      </c>
      <c r="I343" s="64">
        <v>1084.0999999999708</v>
      </c>
      <c r="J343" s="658">
        <v>1809</v>
      </c>
    </row>
    <row r="344" spans="2:10" ht="14.4" x14ac:dyDescent="0.3">
      <c r="B344" s="657">
        <v>1793</v>
      </c>
      <c r="C344" s="657">
        <v>1083.9999999999709</v>
      </c>
      <c r="D344" s="658">
        <v>1809</v>
      </c>
      <c r="E344" s="658">
        <v>1084.0999999999708</v>
      </c>
      <c r="G344" s="64">
        <v>1084.0999999999708</v>
      </c>
      <c r="H344" s="658">
        <v>1809</v>
      </c>
      <c r="I344" s="64">
        <v>1084.1999999999707</v>
      </c>
      <c r="J344" s="658">
        <v>1825</v>
      </c>
    </row>
    <row r="345" spans="2:10" ht="14.4" x14ac:dyDescent="0.3">
      <c r="B345" s="657">
        <v>1809</v>
      </c>
      <c r="C345" s="657">
        <v>1084.0999999999708</v>
      </c>
      <c r="D345" s="658">
        <v>1825</v>
      </c>
      <c r="E345" s="658">
        <v>1084.1999999999707</v>
      </c>
      <c r="G345" s="64">
        <v>1084.1999999999707</v>
      </c>
      <c r="H345" s="658">
        <v>1825</v>
      </c>
      <c r="I345" s="64">
        <v>1084.2999999999706</v>
      </c>
      <c r="J345" s="658">
        <v>1840</v>
      </c>
    </row>
    <row r="346" spans="2:10" ht="14.4" x14ac:dyDescent="0.3">
      <c r="B346" s="657">
        <v>1825</v>
      </c>
      <c r="C346" s="657">
        <v>1084.1999999999707</v>
      </c>
      <c r="D346" s="658">
        <v>1840</v>
      </c>
      <c r="E346" s="658">
        <v>1084.2999999999706</v>
      </c>
      <c r="G346" s="64">
        <v>1084.2999999999706</v>
      </c>
      <c r="H346" s="658">
        <v>1840</v>
      </c>
      <c r="I346" s="64">
        <v>1084.3999999999705</v>
      </c>
      <c r="J346" s="658">
        <v>1856</v>
      </c>
    </row>
    <row r="347" spans="2:10" ht="14.4" x14ac:dyDescent="0.3">
      <c r="B347" s="657">
        <v>1840</v>
      </c>
      <c r="C347" s="657">
        <v>1084.2999999999706</v>
      </c>
      <c r="D347" s="658">
        <v>1856</v>
      </c>
      <c r="E347" s="658">
        <v>1084.3999999999705</v>
      </c>
      <c r="G347" s="64">
        <v>1084.3999999999705</v>
      </c>
      <c r="H347" s="658">
        <v>1856</v>
      </c>
      <c r="I347" s="64">
        <v>1084.4999999999704</v>
      </c>
      <c r="J347" s="658">
        <v>1872</v>
      </c>
    </row>
    <row r="348" spans="2:10" ht="14.4" x14ac:dyDescent="0.3">
      <c r="B348" s="657">
        <v>1856</v>
      </c>
      <c r="C348" s="657">
        <v>1084.3999999999705</v>
      </c>
      <c r="D348" s="658">
        <v>1872</v>
      </c>
      <c r="E348" s="658">
        <v>1084.4999999999704</v>
      </c>
      <c r="G348" s="64">
        <v>1084.4999999999704</v>
      </c>
      <c r="H348" s="658">
        <v>1872</v>
      </c>
      <c r="I348" s="64">
        <v>1084.5999999999704</v>
      </c>
      <c r="J348" s="658">
        <v>1888</v>
      </c>
    </row>
    <row r="349" spans="2:10" ht="14.4" x14ac:dyDescent="0.3">
      <c r="B349" s="657">
        <v>1872</v>
      </c>
      <c r="C349" s="657">
        <v>1084.4999999999704</v>
      </c>
      <c r="D349" s="658">
        <v>1888</v>
      </c>
      <c r="E349" s="658">
        <v>1084.5999999999704</v>
      </c>
      <c r="G349" s="64">
        <v>1084.5999999999704</v>
      </c>
      <c r="H349" s="658">
        <v>1888</v>
      </c>
      <c r="I349" s="64">
        <v>1084.6999999999703</v>
      </c>
      <c r="J349" s="658">
        <v>1904</v>
      </c>
    </row>
    <row r="350" spans="2:10" ht="14.4" x14ac:dyDescent="0.3">
      <c r="B350" s="657">
        <v>1888</v>
      </c>
      <c r="C350" s="657">
        <v>1084.5999999999704</v>
      </c>
      <c r="D350" s="658">
        <v>1904</v>
      </c>
      <c r="E350" s="658">
        <v>1084.6999999999703</v>
      </c>
      <c r="G350" s="64">
        <v>1084.6999999999703</v>
      </c>
      <c r="H350" s="658">
        <v>1904</v>
      </c>
      <c r="I350" s="64">
        <v>1084.7999999999702</v>
      </c>
      <c r="J350" s="658">
        <v>1920</v>
      </c>
    </row>
    <row r="351" spans="2:10" ht="14.4" x14ac:dyDescent="0.3">
      <c r="B351" s="657">
        <v>1904</v>
      </c>
      <c r="C351" s="657">
        <v>1084.6999999999703</v>
      </c>
      <c r="D351" s="658">
        <v>1920</v>
      </c>
      <c r="E351" s="658">
        <v>1084.7999999999702</v>
      </c>
      <c r="G351" s="64">
        <v>1084.7999999999702</v>
      </c>
      <c r="H351" s="658">
        <v>1920</v>
      </c>
      <c r="I351" s="64">
        <v>1084.8999999999701</v>
      </c>
      <c r="J351" s="658">
        <v>1936</v>
      </c>
    </row>
    <row r="352" spans="2:10" ht="14.4" x14ac:dyDescent="0.3">
      <c r="B352" s="657">
        <v>1920</v>
      </c>
      <c r="C352" s="657">
        <v>1084.7999999999702</v>
      </c>
      <c r="D352" s="658">
        <v>1936</v>
      </c>
      <c r="E352" s="658">
        <v>1084.8999999999701</v>
      </c>
      <c r="G352" s="64">
        <v>1084.8999999999701</v>
      </c>
      <c r="H352" s="658">
        <v>1936</v>
      </c>
      <c r="I352" s="64">
        <v>1084.99999999997</v>
      </c>
      <c r="J352" s="658">
        <v>1951</v>
      </c>
    </row>
    <row r="353" spans="2:10" ht="14.4" x14ac:dyDescent="0.3">
      <c r="B353" s="657">
        <v>1936</v>
      </c>
      <c r="C353" s="657">
        <v>1084.8999999999701</v>
      </c>
      <c r="D353" s="658">
        <v>1951</v>
      </c>
      <c r="E353" s="658">
        <v>1084.99999999997</v>
      </c>
      <c r="G353" s="64">
        <v>1084.99999999997</v>
      </c>
      <c r="H353" s="658">
        <v>1951</v>
      </c>
      <c r="I353" s="64">
        <v>1085.0999999999699</v>
      </c>
      <c r="J353" s="658">
        <v>1968</v>
      </c>
    </row>
    <row r="354" spans="2:10" ht="14.4" x14ac:dyDescent="0.3">
      <c r="B354" s="657">
        <v>1951</v>
      </c>
      <c r="C354" s="657">
        <v>1084.99999999997</v>
      </c>
      <c r="D354" s="658">
        <v>1968</v>
      </c>
      <c r="E354" s="658">
        <v>1085.0999999999699</v>
      </c>
      <c r="G354" s="64">
        <v>1085.0999999999699</v>
      </c>
      <c r="H354" s="658">
        <v>1968</v>
      </c>
      <c r="I354" s="64">
        <v>1085.1999999999698</v>
      </c>
      <c r="J354" s="658">
        <v>1984</v>
      </c>
    </row>
    <row r="355" spans="2:10" ht="14.4" x14ac:dyDescent="0.3">
      <c r="B355" s="657">
        <v>1968</v>
      </c>
      <c r="C355" s="657">
        <v>1085.0999999999699</v>
      </c>
      <c r="D355" s="658">
        <v>1984</v>
      </c>
      <c r="E355" s="658">
        <v>1085.1999999999698</v>
      </c>
      <c r="G355" s="64">
        <v>1085.1999999999698</v>
      </c>
      <c r="H355" s="658">
        <v>1984</v>
      </c>
      <c r="I355" s="64">
        <v>1085.2999999999697</v>
      </c>
      <c r="J355" s="658">
        <v>2001</v>
      </c>
    </row>
    <row r="356" spans="2:10" ht="14.4" x14ac:dyDescent="0.3">
      <c r="B356" s="657">
        <v>1984</v>
      </c>
      <c r="C356" s="657">
        <v>1085.1999999999698</v>
      </c>
      <c r="D356" s="658">
        <v>2001</v>
      </c>
      <c r="E356" s="658">
        <v>1085.2999999999697</v>
      </c>
      <c r="G356" s="64">
        <v>1085.2999999999697</v>
      </c>
      <c r="H356" s="658">
        <v>2001</v>
      </c>
      <c r="I356" s="64">
        <v>1085.3999999999696</v>
      </c>
      <c r="J356" s="658">
        <v>2017</v>
      </c>
    </row>
    <row r="357" spans="2:10" ht="14.4" x14ac:dyDescent="0.3">
      <c r="B357" s="657">
        <v>2001</v>
      </c>
      <c r="C357" s="657">
        <v>1085.2999999999697</v>
      </c>
      <c r="D357" s="658">
        <v>2017</v>
      </c>
      <c r="E357" s="658">
        <v>1085.3999999999696</v>
      </c>
      <c r="G357" s="64">
        <v>1085.3999999999696</v>
      </c>
      <c r="H357" s="658">
        <v>2017</v>
      </c>
      <c r="I357" s="64">
        <v>1085.4999999999695</v>
      </c>
      <c r="J357" s="658">
        <v>2034</v>
      </c>
    </row>
    <row r="358" spans="2:10" ht="14.4" x14ac:dyDescent="0.3">
      <c r="B358" s="657">
        <v>2017</v>
      </c>
      <c r="C358" s="657">
        <v>1085.3999999999696</v>
      </c>
      <c r="D358" s="658">
        <v>2034</v>
      </c>
      <c r="E358" s="658">
        <v>1085.4999999999695</v>
      </c>
      <c r="G358" s="64">
        <v>1085.4999999999695</v>
      </c>
      <c r="H358" s="658">
        <v>2034</v>
      </c>
      <c r="I358" s="64">
        <v>1085.5999999999694</v>
      </c>
      <c r="J358" s="658">
        <v>2050</v>
      </c>
    </row>
    <row r="359" spans="2:10" ht="14.4" x14ac:dyDescent="0.3">
      <c r="B359" s="657">
        <v>2034</v>
      </c>
      <c r="C359" s="657">
        <v>1085.4999999999695</v>
      </c>
      <c r="D359" s="658">
        <v>2050</v>
      </c>
      <c r="E359" s="658">
        <v>1085.5999999999694</v>
      </c>
      <c r="G359" s="64">
        <v>1085.5999999999694</v>
      </c>
      <c r="H359" s="658">
        <v>2050</v>
      </c>
      <c r="I359" s="64">
        <v>1085.6999999999694</v>
      </c>
      <c r="J359" s="658">
        <v>2067</v>
      </c>
    </row>
    <row r="360" spans="2:10" ht="14.4" x14ac:dyDescent="0.3">
      <c r="B360" s="657">
        <v>2050</v>
      </c>
      <c r="C360" s="657">
        <v>1085.5999999999694</v>
      </c>
      <c r="D360" s="658">
        <v>2067</v>
      </c>
      <c r="E360" s="658">
        <v>1085.6999999999694</v>
      </c>
      <c r="G360" s="64">
        <v>1085.6999999999694</v>
      </c>
      <c r="H360" s="658">
        <v>2067</v>
      </c>
      <c r="I360" s="64">
        <v>1085.7999999999693</v>
      </c>
      <c r="J360" s="658">
        <v>2083</v>
      </c>
    </row>
    <row r="361" spans="2:10" ht="14.4" x14ac:dyDescent="0.3">
      <c r="B361" s="657">
        <v>2067</v>
      </c>
      <c r="C361" s="657">
        <v>1085.6999999999694</v>
      </c>
      <c r="D361" s="658">
        <v>2083</v>
      </c>
      <c r="E361" s="658">
        <v>1085.7999999999693</v>
      </c>
      <c r="G361" s="64">
        <v>1085.7999999999693</v>
      </c>
      <c r="H361" s="658">
        <v>2083</v>
      </c>
      <c r="I361" s="64">
        <v>1085.8999999999692</v>
      </c>
      <c r="J361" s="658">
        <v>2100</v>
      </c>
    </row>
    <row r="362" spans="2:10" ht="14.4" x14ac:dyDescent="0.3">
      <c r="B362" s="657">
        <v>2083</v>
      </c>
      <c r="C362" s="657">
        <v>1085.7999999999693</v>
      </c>
      <c r="D362" s="658">
        <v>2100</v>
      </c>
      <c r="E362" s="658">
        <v>1085.8999999999692</v>
      </c>
      <c r="G362" s="64">
        <v>1085.8999999999692</v>
      </c>
      <c r="H362" s="658">
        <v>2100</v>
      </c>
      <c r="I362" s="64">
        <v>1085.9999999999691</v>
      </c>
      <c r="J362" s="658">
        <v>2116</v>
      </c>
    </row>
    <row r="363" spans="2:10" ht="14.4" x14ac:dyDescent="0.3">
      <c r="B363" s="657">
        <v>2100</v>
      </c>
      <c r="C363" s="657">
        <v>1085.8999999999692</v>
      </c>
      <c r="D363" s="658">
        <v>2116</v>
      </c>
      <c r="E363" s="658">
        <v>1085.9999999999691</v>
      </c>
      <c r="G363" s="64">
        <v>1085.9999999999691</v>
      </c>
      <c r="H363" s="658">
        <v>2116</v>
      </c>
      <c r="I363" s="64">
        <v>1086.099999999969</v>
      </c>
      <c r="J363" s="658">
        <v>2133</v>
      </c>
    </row>
    <row r="364" spans="2:10" ht="14.4" x14ac:dyDescent="0.3">
      <c r="B364" s="657">
        <v>2116</v>
      </c>
      <c r="C364" s="657">
        <v>1085.9999999999691</v>
      </c>
      <c r="D364" s="658">
        <v>2133</v>
      </c>
      <c r="E364" s="658">
        <v>1086.099999999969</v>
      </c>
      <c r="G364" s="64">
        <v>1086.099999999969</v>
      </c>
      <c r="H364" s="658">
        <v>2133</v>
      </c>
      <c r="I364" s="64">
        <v>1086.1999999999689</v>
      </c>
      <c r="J364" s="658">
        <v>2151</v>
      </c>
    </row>
    <row r="365" spans="2:10" ht="14.4" x14ac:dyDescent="0.3">
      <c r="B365" s="657">
        <v>2133</v>
      </c>
      <c r="C365" s="657">
        <v>1086.099999999969</v>
      </c>
      <c r="D365" s="658">
        <v>2151</v>
      </c>
      <c r="E365" s="658">
        <v>1086.1999999999689</v>
      </c>
      <c r="G365" s="64">
        <v>1086.1999999999689</v>
      </c>
      <c r="H365" s="658">
        <v>2151</v>
      </c>
      <c r="I365" s="64">
        <v>1086.2999999999688</v>
      </c>
      <c r="J365" s="658">
        <v>2168</v>
      </c>
    </row>
    <row r="366" spans="2:10" ht="14.4" x14ac:dyDescent="0.3">
      <c r="B366" s="657">
        <v>2151</v>
      </c>
      <c r="C366" s="657">
        <v>1086.1999999999689</v>
      </c>
      <c r="D366" s="658">
        <v>2168</v>
      </c>
      <c r="E366" s="658">
        <v>1086.2999999999688</v>
      </c>
      <c r="G366" s="64">
        <v>1086.2999999999688</v>
      </c>
      <c r="H366" s="658">
        <v>2168</v>
      </c>
      <c r="I366" s="64">
        <v>1086.3999999999687</v>
      </c>
      <c r="J366" s="658">
        <v>2185</v>
      </c>
    </row>
    <row r="367" spans="2:10" ht="14.4" x14ac:dyDescent="0.3">
      <c r="B367" s="657">
        <v>2168</v>
      </c>
      <c r="C367" s="657">
        <v>1086.2999999999688</v>
      </c>
      <c r="D367" s="658">
        <v>2185</v>
      </c>
      <c r="E367" s="658">
        <v>1086.3999999999687</v>
      </c>
      <c r="G367" s="64">
        <v>1086.3999999999687</v>
      </c>
      <c r="H367" s="658">
        <v>2185</v>
      </c>
      <c r="I367" s="64">
        <v>1086.4999999999686</v>
      </c>
      <c r="J367" s="658">
        <v>2202</v>
      </c>
    </row>
    <row r="368" spans="2:10" ht="14.4" x14ac:dyDescent="0.3">
      <c r="B368" s="657">
        <v>2185</v>
      </c>
      <c r="C368" s="657">
        <v>1086.3999999999687</v>
      </c>
      <c r="D368" s="658">
        <v>2202</v>
      </c>
      <c r="E368" s="658">
        <v>1086.4999999999686</v>
      </c>
      <c r="G368" s="64">
        <v>1086.4999999999686</v>
      </c>
      <c r="H368" s="658">
        <v>2202</v>
      </c>
      <c r="I368" s="64">
        <v>1086.5999999999685</v>
      </c>
      <c r="J368" s="658">
        <v>2219</v>
      </c>
    </row>
    <row r="369" spans="2:10" ht="14.4" x14ac:dyDescent="0.3">
      <c r="B369" s="657">
        <v>2202</v>
      </c>
      <c r="C369" s="657">
        <v>1086.4999999999686</v>
      </c>
      <c r="D369" s="658">
        <v>2219</v>
      </c>
      <c r="E369" s="658">
        <v>1086.5999999999685</v>
      </c>
      <c r="G369" s="64">
        <v>1086.5999999999685</v>
      </c>
      <c r="H369" s="658">
        <v>2219</v>
      </c>
      <c r="I369" s="64">
        <v>1086.6999999999684</v>
      </c>
      <c r="J369" s="658">
        <v>2236</v>
      </c>
    </row>
    <row r="370" spans="2:10" ht="14.4" x14ac:dyDescent="0.3">
      <c r="B370" s="657">
        <v>2219</v>
      </c>
      <c r="C370" s="657">
        <v>1086.5999999999685</v>
      </c>
      <c r="D370" s="658">
        <v>2236</v>
      </c>
      <c r="E370" s="658">
        <v>1086.6999999999684</v>
      </c>
      <c r="G370" s="64">
        <v>1086.6999999999684</v>
      </c>
      <c r="H370" s="658">
        <v>2236</v>
      </c>
      <c r="I370" s="64">
        <v>1086.7999999999683</v>
      </c>
      <c r="J370" s="658">
        <v>2253</v>
      </c>
    </row>
    <row r="371" spans="2:10" ht="14.4" x14ac:dyDescent="0.3">
      <c r="B371" s="657">
        <v>2236</v>
      </c>
      <c r="C371" s="657">
        <v>1086.6999999999684</v>
      </c>
      <c r="D371" s="658">
        <v>2253</v>
      </c>
      <c r="E371" s="658">
        <v>1086.7999999999683</v>
      </c>
      <c r="G371" s="64">
        <v>1086.7999999999683</v>
      </c>
      <c r="H371" s="658">
        <v>2253</v>
      </c>
      <c r="I371" s="64">
        <v>1086.8999999999683</v>
      </c>
      <c r="J371" s="658">
        <v>2270</v>
      </c>
    </row>
    <row r="372" spans="2:10" ht="14.4" x14ac:dyDescent="0.3">
      <c r="B372" s="657">
        <v>2253</v>
      </c>
      <c r="C372" s="657">
        <v>1086.7999999999683</v>
      </c>
      <c r="D372" s="658">
        <v>2270</v>
      </c>
      <c r="E372" s="658">
        <v>1086.8999999999683</v>
      </c>
      <c r="G372" s="64">
        <v>1086.8999999999683</v>
      </c>
      <c r="H372" s="658">
        <v>2270</v>
      </c>
      <c r="I372" s="64">
        <v>1086.9999999999682</v>
      </c>
      <c r="J372" s="658">
        <v>2287</v>
      </c>
    </row>
    <row r="373" spans="2:10" ht="14.4" x14ac:dyDescent="0.3">
      <c r="B373" s="657">
        <v>2270</v>
      </c>
      <c r="C373" s="657">
        <v>1086.8999999999683</v>
      </c>
      <c r="D373" s="658">
        <v>2287</v>
      </c>
      <c r="E373" s="658">
        <v>1086.9999999999682</v>
      </c>
      <c r="G373" s="64">
        <v>1086.9999999999682</v>
      </c>
      <c r="H373" s="658">
        <v>2287</v>
      </c>
      <c r="I373" s="64">
        <v>1087.0999999999681</v>
      </c>
      <c r="J373" s="658">
        <v>2305</v>
      </c>
    </row>
    <row r="374" spans="2:10" ht="14.4" x14ac:dyDescent="0.3">
      <c r="B374" s="657">
        <v>2287</v>
      </c>
      <c r="C374" s="657">
        <v>1086.9999999999682</v>
      </c>
      <c r="D374" s="658">
        <v>2305</v>
      </c>
      <c r="E374" s="658">
        <v>1087.0999999999681</v>
      </c>
      <c r="G374" s="64">
        <v>1087.0999999999681</v>
      </c>
      <c r="H374" s="658">
        <v>2305</v>
      </c>
      <c r="I374" s="64">
        <v>1087.199999999968</v>
      </c>
      <c r="J374" s="658">
        <v>2323</v>
      </c>
    </row>
    <row r="375" spans="2:10" ht="14.4" x14ac:dyDescent="0.3">
      <c r="B375" s="657">
        <v>2305</v>
      </c>
      <c r="C375" s="657">
        <v>1087.0999999999681</v>
      </c>
      <c r="D375" s="658">
        <v>2323</v>
      </c>
      <c r="E375" s="658">
        <v>1087.199999999968</v>
      </c>
      <c r="G375" s="64">
        <v>1087.199999999968</v>
      </c>
      <c r="H375" s="658">
        <v>2323</v>
      </c>
      <c r="I375" s="64">
        <v>1087.2999999999679</v>
      </c>
      <c r="J375" s="658">
        <v>2341</v>
      </c>
    </row>
    <row r="376" spans="2:10" ht="14.4" x14ac:dyDescent="0.3">
      <c r="B376" s="657">
        <v>2323</v>
      </c>
      <c r="C376" s="657">
        <v>1087.199999999968</v>
      </c>
      <c r="D376" s="658">
        <v>2341</v>
      </c>
      <c r="E376" s="658">
        <v>1087.2999999999679</v>
      </c>
      <c r="G376" s="64">
        <v>1087.2999999999679</v>
      </c>
      <c r="H376" s="658">
        <v>2341</v>
      </c>
      <c r="I376" s="64">
        <v>1087.3999999999678</v>
      </c>
      <c r="J376" s="658">
        <v>2358</v>
      </c>
    </row>
    <row r="377" spans="2:10" ht="14.4" x14ac:dyDescent="0.3">
      <c r="B377" s="657">
        <v>2341</v>
      </c>
      <c r="C377" s="657">
        <v>1087.2999999999679</v>
      </c>
      <c r="D377" s="658">
        <v>2358</v>
      </c>
      <c r="E377" s="658">
        <v>1087.3999999999678</v>
      </c>
      <c r="G377" s="64">
        <v>1087.3999999999678</v>
      </c>
      <c r="H377" s="658">
        <v>2358</v>
      </c>
      <c r="I377" s="64">
        <v>1087.4999999999677</v>
      </c>
      <c r="J377" s="658">
        <v>2376</v>
      </c>
    </row>
    <row r="378" spans="2:10" ht="14.4" x14ac:dyDescent="0.3">
      <c r="B378" s="657">
        <v>2358</v>
      </c>
      <c r="C378" s="657">
        <v>1087.3999999999678</v>
      </c>
      <c r="D378" s="658">
        <v>2376</v>
      </c>
      <c r="E378" s="658">
        <v>1087.4999999999677</v>
      </c>
      <c r="G378" s="64">
        <v>1087.4999999999677</v>
      </c>
      <c r="H378" s="658">
        <v>2376</v>
      </c>
      <c r="I378" s="64">
        <v>1087.5999999999676</v>
      </c>
      <c r="J378" s="658">
        <v>2394</v>
      </c>
    </row>
    <row r="379" spans="2:10" ht="14.4" x14ac:dyDescent="0.3">
      <c r="B379" s="657">
        <v>2376</v>
      </c>
      <c r="C379" s="657">
        <v>1087.4999999999677</v>
      </c>
      <c r="D379" s="658">
        <v>2394</v>
      </c>
      <c r="E379" s="658">
        <v>1087.5999999999676</v>
      </c>
      <c r="G379" s="64">
        <v>1087.5999999999676</v>
      </c>
      <c r="H379" s="658">
        <v>2394</v>
      </c>
      <c r="I379" s="64">
        <v>1087.6999999999675</v>
      </c>
      <c r="J379" s="658">
        <v>2412</v>
      </c>
    </row>
    <row r="380" spans="2:10" ht="14.4" x14ac:dyDescent="0.3">
      <c r="B380" s="657">
        <v>2394</v>
      </c>
      <c r="C380" s="657">
        <v>1087.5999999999676</v>
      </c>
      <c r="D380" s="658">
        <v>2412</v>
      </c>
      <c r="E380" s="658">
        <v>1087.6999999999675</v>
      </c>
      <c r="G380" s="64">
        <v>1087.6999999999675</v>
      </c>
      <c r="H380" s="658">
        <v>2412</v>
      </c>
      <c r="I380" s="64">
        <v>1087.7999999999674</v>
      </c>
      <c r="J380" s="658">
        <v>2430</v>
      </c>
    </row>
    <row r="381" spans="2:10" ht="14.4" x14ac:dyDescent="0.3">
      <c r="B381" s="657">
        <v>2412</v>
      </c>
      <c r="C381" s="657">
        <v>1087.6999999999675</v>
      </c>
      <c r="D381" s="658">
        <v>2430</v>
      </c>
      <c r="E381" s="658">
        <v>1087.7999999999674</v>
      </c>
      <c r="G381" s="64">
        <v>1087.7999999999674</v>
      </c>
      <c r="H381" s="658">
        <v>2430</v>
      </c>
      <c r="I381" s="64">
        <v>1087.8999999999673</v>
      </c>
      <c r="J381" s="658">
        <v>2447</v>
      </c>
    </row>
    <row r="382" spans="2:10" ht="14.4" x14ac:dyDescent="0.3">
      <c r="B382" s="657">
        <v>2430</v>
      </c>
      <c r="C382" s="657">
        <v>1087.7999999999674</v>
      </c>
      <c r="D382" s="658">
        <v>2447</v>
      </c>
      <c r="E382" s="658">
        <v>1087.8999999999673</v>
      </c>
      <c r="G382" s="64">
        <v>1087.8999999999673</v>
      </c>
      <c r="H382" s="658">
        <v>2447</v>
      </c>
      <c r="I382" s="64">
        <v>1087.9999999999673</v>
      </c>
      <c r="J382" s="658">
        <v>2465</v>
      </c>
    </row>
    <row r="383" spans="2:10" ht="14.4" x14ac:dyDescent="0.3">
      <c r="B383" s="657">
        <v>2447</v>
      </c>
      <c r="C383" s="657">
        <v>1087.8999999999673</v>
      </c>
      <c r="D383" s="658">
        <v>2465</v>
      </c>
      <c r="E383" s="658">
        <v>1087.9999999999673</v>
      </c>
      <c r="G383" s="64">
        <v>1087.9999999999673</v>
      </c>
      <c r="H383" s="658">
        <v>2465</v>
      </c>
      <c r="I383" s="64">
        <v>1088.0999999999672</v>
      </c>
      <c r="J383" s="658">
        <v>2484</v>
      </c>
    </row>
    <row r="384" spans="2:10" ht="14.4" x14ac:dyDescent="0.3">
      <c r="B384" s="657">
        <v>2465</v>
      </c>
      <c r="C384" s="657">
        <v>1087.9999999999673</v>
      </c>
      <c r="D384" s="658">
        <v>2484</v>
      </c>
      <c r="E384" s="658">
        <v>1088.0999999999672</v>
      </c>
      <c r="G384" s="64">
        <v>1088.0999999999672</v>
      </c>
      <c r="H384" s="658">
        <v>2484</v>
      </c>
      <c r="I384" s="64">
        <v>1088.1999999999671</v>
      </c>
      <c r="J384" s="658">
        <v>2502</v>
      </c>
    </row>
    <row r="385" spans="2:10" ht="14.4" x14ac:dyDescent="0.3">
      <c r="B385" s="657">
        <v>2484</v>
      </c>
      <c r="C385" s="657">
        <v>1088.0999999999672</v>
      </c>
      <c r="D385" s="658">
        <v>2502</v>
      </c>
      <c r="E385" s="658">
        <v>1088.1999999999671</v>
      </c>
      <c r="G385" s="64">
        <v>1088.1999999999671</v>
      </c>
      <c r="H385" s="658">
        <v>2502</v>
      </c>
      <c r="I385" s="64">
        <v>1088.299999999967</v>
      </c>
      <c r="J385" s="658">
        <v>2521</v>
      </c>
    </row>
    <row r="386" spans="2:10" ht="14.4" x14ac:dyDescent="0.3">
      <c r="B386" s="657">
        <v>2502</v>
      </c>
      <c r="C386" s="657">
        <v>1088.1999999999671</v>
      </c>
      <c r="D386" s="658">
        <v>2521</v>
      </c>
      <c r="E386" s="658">
        <v>1088.299999999967</v>
      </c>
      <c r="G386" s="64">
        <v>1088.299999999967</v>
      </c>
      <c r="H386" s="658">
        <v>2521</v>
      </c>
      <c r="I386" s="64">
        <v>1088.3999999999669</v>
      </c>
      <c r="J386" s="658">
        <v>2540</v>
      </c>
    </row>
    <row r="387" spans="2:10" ht="14.4" x14ac:dyDescent="0.3">
      <c r="B387" s="657">
        <v>2521</v>
      </c>
      <c r="C387" s="657">
        <v>1088.299999999967</v>
      </c>
      <c r="D387" s="658">
        <v>2540</v>
      </c>
      <c r="E387" s="658">
        <v>1088.3999999999669</v>
      </c>
      <c r="G387" s="64">
        <v>1088.3999999999669</v>
      </c>
      <c r="H387" s="658">
        <v>2540</v>
      </c>
      <c r="I387" s="64">
        <v>1088.4999999999668</v>
      </c>
      <c r="J387" s="658">
        <v>2558</v>
      </c>
    </row>
    <row r="388" spans="2:10" ht="14.4" x14ac:dyDescent="0.3">
      <c r="B388" s="657">
        <v>2540</v>
      </c>
      <c r="C388" s="657">
        <v>1088.3999999999669</v>
      </c>
      <c r="D388" s="658">
        <v>2558</v>
      </c>
      <c r="E388" s="658">
        <v>1088.4999999999668</v>
      </c>
      <c r="G388" s="64">
        <v>1088.4999999999668</v>
      </c>
      <c r="H388" s="658">
        <v>2558</v>
      </c>
      <c r="I388" s="64">
        <v>1088.5999999999667</v>
      </c>
      <c r="J388" s="658">
        <v>2577</v>
      </c>
    </row>
    <row r="389" spans="2:10" ht="14.4" x14ac:dyDescent="0.3">
      <c r="B389" s="657">
        <v>2558</v>
      </c>
      <c r="C389" s="657">
        <v>1088.4999999999668</v>
      </c>
      <c r="D389" s="658">
        <v>2577</v>
      </c>
      <c r="E389" s="658">
        <v>1088.5999999999667</v>
      </c>
      <c r="G389" s="64">
        <v>1088.5999999999667</v>
      </c>
      <c r="H389" s="658">
        <v>2577</v>
      </c>
      <c r="I389" s="64">
        <v>1088.6999999999666</v>
      </c>
      <c r="J389" s="658">
        <v>2595</v>
      </c>
    </row>
    <row r="390" spans="2:10" ht="14.4" x14ac:dyDescent="0.3">
      <c r="B390" s="657">
        <v>2577</v>
      </c>
      <c r="C390" s="657">
        <v>1088.5999999999667</v>
      </c>
      <c r="D390" s="658">
        <v>2595</v>
      </c>
      <c r="E390" s="658">
        <v>1088.6999999999666</v>
      </c>
      <c r="G390" s="64">
        <v>1088.6999999999666</v>
      </c>
      <c r="H390" s="658">
        <v>2595</v>
      </c>
      <c r="I390" s="64">
        <v>1088.7999999999665</v>
      </c>
      <c r="J390" s="658">
        <v>2614</v>
      </c>
    </row>
    <row r="391" spans="2:10" ht="14.4" x14ac:dyDescent="0.3">
      <c r="B391" s="657">
        <v>2595</v>
      </c>
      <c r="C391" s="657">
        <v>1088.6999999999666</v>
      </c>
      <c r="D391" s="658">
        <v>2614</v>
      </c>
      <c r="E391" s="658">
        <v>1088.7999999999665</v>
      </c>
      <c r="G391" s="64">
        <v>1088.7999999999665</v>
      </c>
      <c r="H391" s="658">
        <v>2614</v>
      </c>
      <c r="I391" s="64">
        <v>1088.8999999999664</v>
      </c>
      <c r="J391" s="658">
        <v>2633</v>
      </c>
    </row>
    <row r="392" spans="2:10" ht="14.4" x14ac:dyDescent="0.3">
      <c r="B392" s="657">
        <v>2614</v>
      </c>
      <c r="C392" s="657">
        <v>1088.7999999999665</v>
      </c>
      <c r="D392" s="658">
        <v>2633</v>
      </c>
      <c r="E392" s="658">
        <v>1088.8999999999664</v>
      </c>
      <c r="G392" s="64">
        <v>1088.8999999999664</v>
      </c>
      <c r="H392" s="658">
        <v>2633</v>
      </c>
      <c r="I392" s="64">
        <v>1088.9999999999663</v>
      </c>
      <c r="J392" s="658">
        <v>2651</v>
      </c>
    </row>
    <row r="393" spans="2:10" ht="14.4" x14ac:dyDescent="0.3">
      <c r="B393" s="657">
        <v>2633</v>
      </c>
      <c r="C393" s="657">
        <v>1088.8999999999664</v>
      </c>
      <c r="D393" s="658">
        <v>2651</v>
      </c>
      <c r="E393" s="658">
        <v>1088.9999999999663</v>
      </c>
      <c r="G393" s="64">
        <v>1088.9999999999663</v>
      </c>
      <c r="H393" s="658">
        <v>2651</v>
      </c>
      <c r="I393" s="64">
        <v>1089.0999999999663</v>
      </c>
      <c r="J393" s="658">
        <v>2671</v>
      </c>
    </row>
    <row r="394" spans="2:10" ht="14.4" x14ac:dyDescent="0.3">
      <c r="B394" s="657">
        <v>2651</v>
      </c>
      <c r="C394" s="657">
        <v>1088.9999999999663</v>
      </c>
      <c r="D394" s="658">
        <v>2671</v>
      </c>
      <c r="E394" s="658">
        <v>1089.0999999999663</v>
      </c>
      <c r="G394" s="64">
        <v>1089.0999999999663</v>
      </c>
      <c r="H394" s="658">
        <v>2671</v>
      </c>
      <c r="I394" s="64">
        <v>1089.1999999999662</v>
      </c>
      <c r="J394" s="658">
        <v>2690</v>
      </c>
    </row>
    <row r="395" spans="2:10" ht="14.4" x14ac:dyDescent="0.3">
      <c r="B395" s="657">
        <v>2671</v>
      </c>
      <c r="C395" s="657">
        <v>1089.0999999999663</v>
      </c>
      <c r="D395" s="658">
        <v>2690</v>
      </c>
      <c r="E395" s="658">
        <v>1089.1999999999662</v>
      </c>
      <c r="G395" s="64">
        <v>1089.1999999999662</v>
      </c>
      <c r="H395" s="658">
        <v>2690</v>
      </c>
      <c r="I395" s="64">
        <v>1089.2999999999661</v>
      </c>
      <c r="J395" s="658">
        <v>2710</v>
      </c>
    </row>
    <row r="396" spans="2:10" ht="14.4" x14ac:dyDescent="0.3">
      <c r="B396" s="657">
        <v>2690</v>
      </c>
      <c r="C396" s="657">
        <v>1089.1999999999662</v>
      </c>
      <c r="D396" s="658">
        <v>2710</v>
      </c>
      <c r="E396" s="658">
        <v>1089.2999999999661</v>
      </c>
      <c r="G396" s="64">
        <v>1089.2999999999661</v>
      </c>
      <c r="H396" s="658">
        <v>2710</v>
      </c>
      <c r="I396" s="64">
        <v>1089.399999999966</v>
      </c>
      <c r="J396" s="658">
        <v>2729</v>
      </c>
    </row>
    <row r="397" spans="2:10" ht="14.4" x14ac:dyDescent="0.3">
      <c r="B397" s="657">
        <v>2710</v>
      </c>
      <c r="C397" s="657">
        <v>1089.2999999999661</v>
      </c>
      <c r="D397" s="658">
        <v>2729</v>
      </c>
      <c r="E397" s="658">
        <v>1089.399999999966</v>
      </c>
      <c r="G397" s="64">
        <v>1089.399999999966</v>
      </c>
      <c r="H397" s="658">
        <v>2729</v>
      </c>
      <c r="I397" s="64">
        <v>1089.4999999999659</v>
      </c>
      <c r="J397" s="658">
        <v>2748</v>
      </c>
    </row>
    <row r="398" spans="2:10" ht="14.4" x14ac:dyDescent="0.3">
      <c r="B398" s="657">
        <v>2729</v>
      </c>
      <c r="C398" s="657">
        <v>1089.399999999966</v>
      </c>
      <c r="D398" s="658">
        <v>2748</v>
      </c>
      <c r="E398" s="658">
        <v>1089.4999999999659</v>
      </c>
      <c r="G398" s="64">
        <v>1089.4999999999659</v>
      </c>
      <c r="H398" s="658">
        <v>2748</v>
      </c>
      <c r="I398" s="64">
        <v>1089.5999999999658</v>
      </c>
      <c r="J398" s="658">
        <v>2768</v>
      </c>
    </row>
    <row r="399" spans="2:10" ht="14.4" x14ac:dyDescent="0.3">
      <c r="B399" s="657">
        <v>2748</v>
      </c>
      <c r="C399" s="657">
        <v>1089.4999999999659</v>
      </c>
      <c r="D399" s="658">
        <v>2768</v>
      </c>
      <c r="E399" s="658">
        <v>1089.5999999999658</v>
      </c>
      <c r="G399" s="64">
        <v>1089.5999999999658</v>
      </c>
      <c r="H399" s="658">
        <v>2768</v>
      </c>
      <c r="I399" s="64">
        <v>1089.6999999999657</v>
      </c>
      <c r="J399" s="658">
        <v>2787</v>
      </c>
    </row>
    <row r="400" spans="2:10" ht="14.4" x14ac:dyDescent="0.3">
      <c r="B400" s="657">
        <v>2768</v>
      </c>
      <c r="C400" s="657">
        <v>1089.5999999999658</v>
      </c>
      <c r="D400" s="658">
        <v>2787</v>
      </c>
      <c r="E400" s="658">
        <v>1089.6999999999657</v>
      </c>
      <c r="G400" s="64">
        <v>1089.6999999999657</v>
      </c>
      <c r="H400" s="658">
        <v>2787</v>
      </c>
      <c r="I400" s="64">
        <v>1089.7999999999656</v>
      </c>
      <c r="J400" s="658">
        <v>2807</v>
      </c>
    </row>
    <row r="401" spans="2:10" ht="14.4" x14ac:dyDescent="0.3">
      <c r="B401" s="657">
        <v>2787</v>
      </c>
      <c r="C401" s="657">
        <v>1089.6999999999657</v>
      </c>
      <c r="D401" s="658">
        <v>2807</v>
      </c>
      <c r="E401" s="658">
        <v>1089.7999999999656</v>
      </c>
      <c r="G401" s="64">
        <v>1089.7999999999656</v>
      </c>
      <c r="H401" s="658">
        <v>2807</v>
      </c>
      <c r="I401" s="64">
        <v>1089.8999999999655</v>
      </c>
      <c r="J401" s="658">
        <v>2826</v>
      </c>
    </row>
    <row r="402" spans="2:10" ht="14.4" x14ac:dyDescent="0.3">
      <c r="B402" s="657">
        <v>2807</v>
      </c>
      <c r="C402" s="657">
        <v>1089.7999999999656</v>
      </c>
      <c r="D402" s="658">
        <v>2826</v>
      </c>
      <c r="E402" s="658">
        <v>1089.8999999999655</v>
      </c>
      <c r="G402" s="64">
        <v>1089.8999999999655</v>
      </c>
      <c r="H402" s="658">
        <v>2826</v>
      </c>
      <c r="I402" s="64">
        <v>1089.9999999999654</v>
      </c>
      <c r="J402" s="658">
        <v>2846</v>
      </c>
    </row>
    <row r="403" spans="2:10" ht="14.4" x14ac:dyDescent="0.3">
      <c r="B403" s="657">
        <v>2826</v>
      </c>
      <c r="C403" s="657">
        <v>1089.8999999999655</v>
      </c>
      <c r="D403" s="658">
        <v>2846</v>
      </c>
      <c r="E403" s="658">
        <v>1089.9999999999654</v>
      </c>
      <c r="G403" s="64">
        <v>1089.9999999999654</v>
      </c>
      <c r="H403" s="658">
        <v>2846</v>
      </c>
      <c r="I403" s="64">
        <v>1090.0999999999653</v>
      </c>
      <c r="J403" s="658">
        <v>2866</v>
      </c>
    </row>
    <row r="404" spans="2:10" ht="14.4" x14ac:dyDescent="0.3">
      <c r="B404" s="657">
        <v>2846</v>
      </c>
      <c r="C404" s="657">
        <v>1089.9999999999654</v>
      </c>
      <c r="D404" s="658">
        <v>2866</v>
      </c>
      <c r="E404" s="658">
        <v>1090.0999999999653</v>
      </c>
      <c r="G404" s="64">
        <v>1090.0999999999653</v>
      </c>
      <c r="H404" s="658">
        <v>2866</v>
      </c>
      <c r="I404" s="64">
        <v>1090.1999999999653</v>
      </c>
      <c r="J404" s="658">
        <v>2886</v>
      </c>
    </row>
    <row r="405" spans="2:10" ht="14.4" x14ac:dyDescent="0.3">
      <c r="B405" s="657">
        <v>2866</v>
      </c>
      <c r="C405" s="657">
        <v>1090.0999999999653</v>
      </c>
      <c r="D405" s="658">
        <v>2886</v>
      </c>
      <c r="E405" s="658">
        <v>1090.1999999999653</v>
      </c>
      <c r="G405" s="64">
        <v>1090.1999999999653</v>
      </c>
      <c r="H405" s="658">
        <v>2886</v>
      </c>
      <c r="I405" s="64">
        <v>1090.2999999999652</v>
      </c>
      <c r="J405" s="658">
        <v>2907</v>
      </c>
    </row>
    <row r="406" spans="2:10" ht="14.4" x14ac:dyDescent="0.3">
      <c r="B406" s="657">
        <v>2886</v>
      </c>
      <c r="C406" s="657">
        <v>1090.1999999999653</v>
      </c>
      <c r="D406" s="658">
        <v>2907</v>
      </c>
      <c r="E406" s="658">
        <v>1090.2999999999652</v>
      </c>
      <c r="G406" s="64">
        <v>1090.2999999999652</v>
      </c>
      <c r="H406" s="658">
        <v>2907</v>
      </c>
      <c r="I406" s="64">
        <v>1090.3999999999651</v>
      </c>
      <c r="J406" s="658">
        <v>2927</v>
      </c>
    </row>
    <row r="407" spans="2:10" ht="14.4" x14ac:dyDescent="0.3">
      <c r="B407" s="657">
        <v>2907</v>
      </c>
      <c r="C407" s="657">
        <v>1090.2999999999652</v>
      </c>
      <c r="D407" s="658">
        <v>2927</v>
      </c>
      <c r="E407" s="658">
        <v>1090.3999999999651</v>
      </c>
      <c r="G407" s="64">
        <v>1090.3999999999651</v>
      </c>
      <c r="H407" s="658">
        <v>2927</v>
      </c>
      <c r="I407" s="64">
        <v>1090.499999999965</v>
      </c>
      <c r="J407" s="658">
        <v>2947</v>
      </c>
    </row>
    <row r="408" spans="2:10" ht="14.4" x14ac:dyDescent="0.3">
      <c r="B408" s="657">
        <v>2927</v>
      </c>
      <c r="C408" s="657">
        <v>1090.3999999999651</v>
      </c>
      <c r="D408" s="658">
        <v>2947</v>
      </c>
      <c r="E408" s="658">
        <v>1090.499999999965</v>
      </c>
      <c r="G408" s="64">
        <v>1090.499999999965</v>
      </c>
      <c r="H408" s="658">
        <v>2947</v>
      </c>
      <c r="I408" s="64">
        <v>1090.5999999999649</v>
      </c>
      <c r="J408" s="658">
        <v>2967</v>
      </c>
    </row>
    <row r="409" spans="2:10" ht="14.4" x14ac:dyDescent="0.3">
      <c r="B409" s="657">
        <v>2947</v>
      </c>
      <c r="C409" s="657">
        <v>1090.499999999965</v>
      </c>
      <c r="D409" s="658">
        <v>2967</v>
      </c>
      <c r="E409" s="658">
        <v>1090.5999999999649</v>
      </c>
      <c r="G409" s="64">
        <v>1090.5999999999649</v>
      </c>
      <c r="H409" s="658">
        <v>2967</v>
      </c>
      <c r="I409" s="64">
        <v>1090.6999999999648</v>
      </c>
      <c r="J409" s="658">
        <v>2988</v>
      </c>
    </row>
    <row r="410" spans="2:10" ht="14.4" x14ac:dyDescent="0.3">
      <c r="B410" s="657">
        <v>2967</v>
      </c>
      <c r="C410" s="657">
        <v>1090.5999999999649</v>
      </c>
      <c r="D410" s="658">
        <v>2988</v>
      </c>
      <c r="E410" s="658">
        <v>1090.6999999999648</v>
      </c>
      <c r="G410" s="64">
        <v>1090.6999999999648</v>
      </c>
      <c r="H410" s="658">
        <v>2988</v>
      </c>
      <c r="I410" s="64">
        <v>1090.7999999999647</v>
      </c>
      <c r="J410" s="658">
        <v>3008</v>
      </c>
    </row>
    <row r="411" spans="2:10" ht="14.4" x14ac:dyDescent="0.3">
      <c r="B411" s="657">
        <v>2988</v>
      </c>
      <c r="C411" s="657">
        <v>1090.6999999999648</v>
      </c>
      <c r="D411" s="658">
        <v>3008</v>
      </c>
      <c r="E411" s="658">
        <v>1090.7999999999647</v>
      </c>
      <c r="G411" s="64">
        <v>1090.7999999999647</v>
      </c>
      <c r="H411" s="658">
        <v>3008</v>
      </c>
      <c r="I411" s="64">
        <v>1090.8999999999646</v>
      </c>
      <c r="J411" s="658">
        <v>3028</v>
      </c>
    </row>
    <row r="412" spans="2:10" ht="14.4" x14ac:dyDescent="0.3">
      <c r="B412" s="657">
        <v>3008</v>
      </c>
      <c r="C412" s="657">
        <v>1090.7999999999647</v>
      </c>
      <c r="D412" s="658">
        <v>3028</v>
      </c>
      <c r="E412" s="658">
        <v>1090.8999999999646</v>
      </c>
      <c r="G412" s="64">
        <v>1090.8999999999646</v>
      </c>
      <c r="H412" s="658">
        <v>3028</v>
      </c>
      <c r="I412" s="64">
        <v>1090.9999999999645</v>
      </c>
      <c r="J412" s="658">
        <v>3049</v>
      </c>
    </row>
    <row r="413" spans="2:10" ht="14.4" x14ac:dyDescent="0.3">
      <c r="B413" s="657">
        <v>3028</v>
      </c>
      <c r="C413" s="657">
        <v>1090.8999999999646</v>
      </c>
      <c r="D413" s="658">
        <v>3049</v>
      </c>
      <c r="E413" s="658">
        <v>1090.9999999999645</v>
      </c>
      <c r="G413" s="64">
        <v>1090.9999999999645</v>
      </c>
      <c r="H413" s="658">
        <v>3049</v>
      </c>
      <c r="I413" s="64">
        <v>1091.0999999999644</v>
      </c>
      <c r="J413" s="658">
        <v>3070</v>
      </c>
    </row>
    <row r="414" spans="2:10" ht="14.4" x14ac:dyDescent="0.3">
      <c r="B414" s="657">
        <v>3049</v>
      </c>
      <c r="C414" s="657">
        <v>1090.9999999999645</v>
      </c>
      <c r="D414" s="658">
        <v>3070</v>
      </c>
      <c r="E414" s="658">
        <v>1091.0999999999644</v>
      </c>
      <c r="G414" s="64">
        <v>1091.0999999999644</v>
      </c>
      <c r="H414" s="658">
        <v>3070</v>
      </c>
      <c r="I414" s="64">
        <v>1091.1999999999643</v>
      </c>
      <c r="J414" s="658">
        <v>3091</v>
      </c>
    </row>
    <row r="415" spans="2:10" ht="14.4" x14ac:dyDescent="0.3">
      <c r="B415" s="657">
        <v>3070</v>
      </c>
      <c r="C415" s="657">
        <v>1091.0999999999644</v>
      </c>
      <c r="D415" s="658">
        <v>3091</v>
      </c>
      <c r="E415" s="658">
        <v>1091.1999999999643</v>
      </c>
      <c r="G415" s="64">
        <v>1091.1999999999643</v>
      </c>
      <c r="H415" s="658">
        <v>3091</v>
      </c>
      <c r="I415" s="64">
        <v>1091.2999999999643</v>
      </c>
      <c r="J415" s="658">
        <v>3112</v>
      </c>
    </row>
    <row r="416" spans="2:10" ht="14.4" x14ac:dyDescent="0.3">
      <c r="B416" s="657">
        <v>3091</v>
      </c>
      <c r="C416" s="657">
        <v>1091.1999999999643</v>
      </c>
      <c r="D416" s="658">
        <v>3112</v>
      </c>
      <c r="E416" s="658">
        <v>1091.2999999999643</v>
      </c>
      <c r="G416" s="64">
        <v>1091.2999999999643</v>
      </c>
      <c r="H416" s="658">
        <v>3112</v>
      </c>
      <c r="I416" s="64">
        <v>1091.3999999999642</v>
      </c>
      <c r="J416" s="658">
        <v>3133</v>
      </c>
    </row>
    <row r="417" spans="2:10" ht="14.4" x14ac:dyDescent="0.3">
      <c r="B417" s="657">
        <v>3112</v>
      </c>
      <c r="C417" s="657">
        <v>1091.2999999999643</v>
      </c>
      <c r="D417" s="658">
        <v>3133</v>
      </c>
      <c r="E417" s="658">
        <v>1091.3999999999642</v>
      </c>
      <c r="G417" s="64">
        <v>1091.3999999999642</v>
      </c>
      <c r="H417" s="658">
        <v>3133</v>
      </c>
      <c r="I417" s="64">
        <v>1091.4999999999641</v>
      </c>
      <c r="J417" s="658">
        <v>3154</v>
      </c>
    </row>
    <row r="418" spans="2:10" ht="14.4" x14ac:dyDescent="0.3">
      <c r="B418" s="657">
        <v>3133</v>
      </c>
      <c r="C418" s="657">
        <v>1091.3999999999642</v>
      </c>
      <c r="D418" s="658">
        <v>3154</v>
      </c>
      <c r="E418" s="658">
        <v>1091.4999999999641</v>
      </c>
      <c r="G418" s="64">
        <v>1091.4999999999641</v>
      </c>
      <c r="H418" s="658">
        <v>3154</v>
      </c>
      <c r="I418" s="64">
        <v>1091.599999999964</v>
      </c>
      <c r="J418" s="658">
        <v>3175</v>
      </c>
    </row>
    <row r="419" spans="2:10" ht="14.4" x14ac:dyDescent="0.3">
      <c r="B419" s="657">
        <v>3154</v>
      </c>
      <c r="C419" s="657">
        <v>1091.4999999999641</v>
      </c>
      <c r="D419" s="658">
        <v>3175</v>
      </c>
      <c r="E419" s="658">
        <v>1091.599999999964</v>
      </c>
      <c r="G419" s="64">
        <v>1091.599999999964</v>
      </c>
      <c r="H419" s="658">
        <v>3175</v>
      </c>
      <c r="I419" s="64">
        <v>1091.6999999999639</v>
      </c>
      <c r="J419" s="658">
        <v>3196</v>
      </c>
    </row>
    <row r="420" spans="2:10" ht="14.4" x14ac:dyDescent="0.3">
      <c r="B420" s="657">
        <v>3175</v>
      </c>
      <c r="C420" s="657">
        <v>1091.599999999964</v>
      </c>
      <c r="D420" s="658">
        <v>3196</v>
      </c>
      <c r="E420" s="658">
        <v>1091.6999999999639</v>
      </c>
      <c r="G420" s="64">
        <v>1091.6999999999639</v>
      </c>
      <c r="H420" s="658">
        <v>3196</v>
      </c>
      <c r="I420" s="64">
        <v>1091.7999999999638</v>
      </c>
      <c r="J420" s="658">
        <v>3217</v>
      </c>
    </row>
    <row r="421" spans="2:10" ht="14.4" x14ac:dyDescent="0.3">
      <c r="B421" s="657">
        <v>3196</v>
      </c>
      <c r="C421" s="657">
        <v>1091.6999999999639</v>
      </c>
      <c r="D421" s="658">
        <v>3217</v>
      </c>
      <c r="E421" s="658">
        <v>1091.7999999999638</v>
      </c>
      <c r="G421" s="64">
        <v>1091.7999999999638</v>
      </c>
      <c r="H421" s="658">
        <v>3217</v>
      </c>
      <c r="I421" s="64">
        <v>1091.8999999999637</v>
      </c>
      <c r="J421" s="658">
        <v>3238</v>
      </c>
    </row>
    <row r="422" spans="2:10" ht="14.4" x14ac:dyDescent="0.3">
      <c r="B422" s="657">
        <v>3217</v>
      </c>
      <c r="C422" s="657">
        <v>1091.7999999999638</v>
      </c>
      <c r="D422" s="658">
        <v>3238</v>
      </c>
      <c r="E422" s="658">
        <v>1091.8999999999637</v>
      </c>
      <c r="G422" s="64">
        <v>1091.8999999999637</v>
      </c>
      <c r="H422" s="658">
        <v>3238</v>
      </c>
      <c r="I422" s="64">
        <v>1091.9999999999636</v>
      </c>
      <c r="J422" s="658">
        <v>3259</v>
      </c>
    </row>
    <row r="423" spans="2:10" ht="14.4" x14ac:dyDescent="0.3">
      <c r="B423" s="657">
        <v>3238</v>
      </c>
      <c r="C423" s="657">
        <v>1091.8999999999637</v>
      </c>
      <c r="D423" s="658">
        <v>3259</v>
      </c>
      <c r="E423" s="658">
        <v>1091.9999999999636</v>
      </c>
      <c r="G423" s="64">
        <v>1091.9999999999636</v>
      </c>
      <c r="H423" s="658">
        <v>3259</v>
      </c>
      <c r="I423" s="64">
        <v>1092.0999999999635</v>
      </c>
      <c r="J423" s="658">
        <v>3281</v>
      </c>
    </row>
    <row r="424" spans="2:10" ht="14.4" x14ac:dyDescent="0.3">
      <c r="B424" s="657">
        <v>3259</v>
      </c>
      <c r="C424" s="657">
        <v>1091.9999999999636</v>
      </c>
      <c r="D424" s="658">
        <v>3281</v>
      </c>
      <c r="E424" s="658">
        <v>1092.0999999999635</v>
      </c>
      <c r="G424" s="64">
        <v>1092.0999999999635</v>
      </c>
      <c r="H424" s="658">
        <v>3281</v>
      </c>
      <c r="I424" s="64">
        <v>1092.1999999999634</v>
      </c>
      <c r="J424" s="658">
        <v>3302</v>
      </c>
    </row>
    <row r="425" spans="2:10" ht="14.4" x14ac:dyDescent="0.3">
      <c r="B425" s="657">
        <v>3281</v>
      </c>
      <c r="C425" s="657">
        <v>1092.0999999999635</v>
      </c>
      <c r="D425" s="658">
        <v>3302</v>
      </c>
      <c r="E425" s="658">
        <v>1092.1999999999634</v>
      </c>
      <c r="G425" s="64">
        <v>1092.1999999999634</v>
      </c>
      <c r="H425" s="658">
        <v>3302</v>
      </c>
      <c r="I425" s="64">
        <v>1092.2999999999633</v>
      </c>
      <c r="J425" s="658">
        <v>3324</v>
      </c>
    </row>
    <row r="426" spans="2:10" ht="14.4" x14ac:dyDescent="0.3">
      <c r="B426" s="657">
        <v>3302</v>
      </c>
      <c r="C426" s="657">
        <v>1092.1999999999634</v>
      </c>
      <c r="D426" s="658">
        <v>3324</v>
      </c>
      <c r="E426" s="658">
        <v>1092.2999999999633</v>
      </c>
      <c r="G426" s="64">
        <v>1092.2999999999633</v>
      </c>
      <c r="H426" s="658">
        <v>3324</v>
      </c>
      <c r="I426" s="64">
        <v>1092.3999999999633</v>
      </c>
      <c r="J426" s="658">
        <v>3345</v>
      </c>
    </row>
    <row r="427" spans="2:10" ht="14.4" x14ac:dyDescent="0.3">
      <c r="B427" s="657">
        <v>3324</v>
      </c>
      <c r="C427" s="657">
        <v>1092.2999999999633</v>
      </c>
      <c r="D427" s="658">
        <v>3345</v>
      </c>
      <c r="E427" s="658">
        <v>1092.3999999999633</v>
      </c>
      <c r="G427" s="64">
        <v>1092.3999999999633</v>
      </c>
      <c r="H427" s="658">
        <v>3345</v>
      </c>
      <c r="I427" s="64">
        <v>1092.4999999999632</v>
      </c>
      <c r="J427" s="658">
        <v>3367</v>
      </c>
    </row>
    <row r="428" spans="2:10" ht="14.4" x14ac:dyDescent="0.3">
      <c r="B428" s="657">
        <v>3345</v>
      </c>
      <c r="C428" s="657">
        <v>1092.3999999999633</v>
      </c>
      <c r="D428" s="658">
        <v>3367</v>
      </c>
      <c r="E428" s="658">
        <v>1092.4999999999632</v>
      </c>
      <c r="G428" s="64">
        <v>1092.4999999999632</v>
      </c>
      <c r="H428" s="658">
        <v>3367</v>
      </c>
      <c r="I428" s="64">
        <v>1092.5999999999631</v>
      </c>
      <c r="J428" s="658">
        <v>3389</v>
      </c>
    </row>
    <row r="429" spans="2:10" ht="14.4" x14ac:dyDescent="0.3">
      <c r="B429" s="657">
        <v>3367</v>
      </c>
      <c r="C429" s="657">
        <v>1092.4999999999632</v>
      </c>
      <c r="D429" s="658">
        <v>3389</v>
      </c>
      <c r="E429" s="658">
        <v>1092.5999999999631</v>
      </c>
      <c r="G429" s="64">
        <v>1092.5999999999631</v>
      </c>
      <c r="H429" s="658">
        <v>3389</v>
      </c>
      <c r="I429" s="64">
        <v>1092.699999999963</v>
      </c>
      <c r="J429" s="658">
        <v>3410</v>
      </c>
    </row>
    <row r="430" spans="2:10" ht="14.4" x14ac:dyDescent="0.3">
      <c r="B430" s="657">
        <v>3389</v>
      </c>
      <c r="C430" s="657">
        <v>1092.5999999999631</v>
      </c>
      <c r="D430" s="658">
        <v>3410</v>
      </c>
      <c r="E430" s="658">
        <v>1092.699999999963</v>
      </c>
      <c r="G430" s="64">
        <v>1092.699999999963</v>
      </c>
      <c r="H430" s="658">
        <v>3410</v>
      </c>
      <c r="I430" s="64">
        <v>1092.7999999999629</v>
      </c>
      <c r="J430" s="658">
        <v>3432</v>
      </c>
    </row>
    <row r="431" spans="2:10" ht="14.4" x14ac:dyDescent="0.3">
      <c r="B431" s="657">
        <v>3410</v>
      </c>
      <c r="C431" s="657">
        <v>1092.699999999963</v>
      </c>
      <c r="D431" s="658">
        <v>3432</v>
      </c>
      <c r="E431" s="658">
        <v>1092.7999999999629</v>
      </c>
      <c r="G431" s="64">
        <v>1092.7999999999629</v>
      </c>
      <c r="H431" s="658">
        <v>3432</v>
      </c>
      <c r="I431" s="64">
        <v>1092.8999999999628</v>
      </c>
      <c r="J431" s="658">
        <v>3453</v>
      </c>
    </row>
    <row r="432" spans="2:10" ht="14.4" x14ac:dyDescent="0.3">
      <c r="B432" s="657">
        <v>3432</v>
      </c>
      <c r="C432" s="657">
        <v>1092.7999999999629</v>
      </c>
      <c r="D432" s="658">
        <v>3453</v>
      </c>
      <c r="E432" s="658">
        <v>1092.8999999999628</v>
      </c>
      <c r="G432" s="64">
        <v>1092.8999999999628</v>
      </c>
      <c r="H432" s="658">
        <v>3453</v>
      </c>
      <c r="I432" s="64">
        <v>1092.9999999999627</v>
      </c>
      <c r="J432" s="658">
        <v>3475</v>
      </c>
    </row>
    <row r="433" spans="2:10" ht="14.4" x14ac:dyDescent="0.3">
      <c r="B433" s="657">
        <v>3453</v>
      </c>
      <c r="C433" s="657">
        <v>1092.8999999999628</v>
      </c>
      <c r="D433" s="658">
        <v>3475</v>
      </c>
      <c r="E433" s="658">
        <v>1092.9999999999627</v>
      </c>
      <c r="G433" s="64">
        <v>1092.9999999999627</v>
      </c>
      <c r="H433" s="658">
        <v>3475</v>
      </c>
      <c r="I433" s="64">
        <v>1093.0999999999626</v>
      </c>
      <c r="J433" s="658">
        <v>3497</v>
      </c>
    </row>
    <row r="434" spans="2:10" ht="14.4" x14ac:dyDescent="0.3">
      <c r="B434" s="657">
        <v>3475</v>
      </c>
      <c r="C434" s="657">
        <v>1092.9999999999627</v>
      </c>
      <c r="D434" s="658">
        <v>3497</v>
      </c>
      <c r="E434" s="658">
        <v>1093.0999999999626</v>
      </c>
      <c r="G434" s="64">
        <v>1093.0999999999626</v>
      </c>
      <c r="H434" s="658">
        <v>3497</v>
      </c>
      <c r="I434" s="64">
        <v>1093.1999999999625</v>
      </c>
      <c r="J434" s="658">
        <v>3519</v>
      </c>
    </row>
    <row r="435" spans="2:10" ht="14.4" x14ac:dyDescent="0.3">
      <c r="B435" s="657">
        <v>3497</v>
      </c>
      <c r="C435" s="657">
        <v>1093.0999999999626</v>
      </c>
      <c r="D435" s="658">
        <v>3519</v>
      </c>
      <c r="E435" s="658">
        <v>1093.1999999999625</v>
      </c>
      <c r="G435" s="64">
        <v>1093.1999999999625</v>
      </c>
      <c r="H435" s="658">
        <v>3519</v>
      </c>
      <c r="I435" s="64">
        <v>1093.2999999999624</v>
      </c>
      <c r="J435" s="658">
        <v>3542</v>
      </c>
    </row>
    <row r="436" spans="2:10" ht="14.4" x14ac:dyDescent="0.3">
      <c r="B436" s="657">
        <v>3519</v>
      </c>
      <c r="C436" s="657">
        <v>1093.1999999999625</v>
      </c>
      <c r="D436" s="658">
        <v>3542</v>
      </c>
      <c r="E436" s="658">
        <v>1093.2999999999624</v>
      </c>
      <c r="G436" s="64">
        <v>1093.2999999999624</v>
      </c>
      <c r="H436" s="658">
        <v>3542</v>
      </c>
      <c r="I436" s="64">
        <v>1093.3999999999623</v>
      </c>
      <c r="J436" s="658">
        <v>3564</v>
      </c>
    </row>
    <row r="437" spans="2:10" ht="14.4" x14ac:dyDescent="0.3">
      <c r="B437" s="657">
        <v>3542</v>
      </c>
      <c r="C437" s="657">
        <v>1093.2999999999624</v>
      </c>
      <c r="D437" s="658">
        <v>3564</v>
      </c>
      <c r="E437" s="658">
        <v>1093.3999999999623</v>
      </c>
      <c r="G437" s="64">
        <v>1093.3999999999623</v>
      </c>
      <c r="H437" s="658">
        <v>3564</v>
      </c>
      <c r="I437" s="64">
        <v>1093.4999999999623</v>
      </c>
      <c r="J437" s="658">
        <v>3586</v>
      </c>
    </row>
    <row r="438" spans="2:10" ht="14.4" x14ac:dyDescent="0.3">
      <c r="B438" s="657">
        <v>3564</v>
      </c>
      <c r="C438" s="657">
        <v>1093.3999999999623</v>
      </c>
      <c r="D438" s="658">
        <v>3586</v>
      </c>
      <c r="E438" s="658">
        <v>1093.4999999999623</v>
      </c>
      <c r="G438" s="64">
        <v>1093.4999999999623</v>
      </c>
      <c r="H438" s="658">
        <v>3586</v>
      </c>
      <c r="I438" s="64">
        <v>1093.5999999999622</v>
      </c>
      <c r="J438" s="658">
        <v>3608</v>
      </c>
    </row>
    <row r="439" spans="2:10" ht="14.4" x14ac:dyDescent="0.3">
      <c r="B439" s="657">
        <v>3586</v>
      </c>
      <c r="C439" s="657">
        <v>1093.4999999999623</v>
      </c>
      <c r="D439" s="658">
        <v>3608</v>
      </c>
      <c r="E439" s="658">
        <v>1093.5999999999622</v>
      </c>
      <c r="G439" s="64">
        <v>1093.5999999999622</v>
      </c>
      <c r="H439" s="658">
        <v>3608</v>
      </c>
      <c r="I439" s="64">
        <v>1093.6999999999621</v>
      </c>
      <c r="J439" s="658">
        <v>3630</v>
      </c>
    </row>
    <row r="440" spans="2:10" ht="14.4" x14ac:dyDescent="0.3">
      <c r="B440" s="657">
        <v>3608</v>
      </c>
      <c r="C440" s="657">
        <v>1093.5999999999622</v>
      </c>
      <c r="D440" s="658">
        <v>3630</v>
      </c>
      <c r="E440" s="658">
        <v>1093.6999999999621</v>
      </c>
      <c r="G440" s="64">
        <v>1093.6999999999621</v>
      </c>
      <c r="H440" s="658">
        <v>3630</v>
      </c>
      <c r="I440" s="64">
        <v>1093.799999999962</v>
      </c>
      <c r="J440" s="658">
        <v>3653</v>
      </c>
    </row>
    <row r="441" spans="2:10" ht="14.4" x14ac:dyDescent="0.3">
      <c r="B441" s="657">
        <v>3630</v>
      </c>
      <c r="C441" s="657">
        <v>1093.6999999999621</v>
      </c>
      <c r="D441" s="658">
        <v>3653</v>
      </c>
      <c r="E441" s="658">
        <v>1093.799999999962</v>
      </c>
      <c r="G441" s="64">
        <v>1093.799999999962</v>
      </c>
      <c r="H441" s="658">
        <v>3653</v>
      </c>
      <c r="I441" s="64">
        <v>1093.8999999999619</v>
      </c>
      <c r="J441" s="658">
        <v>3675</v>
      </c>
    </row>
    <row r="442" spans="2:10" ht="14.4" x14ac:dyDescent="0.3">
      <c r="B442" s="657">
        <v>3653</v>
      </c>
      <c r="C442" s="657">
        <v>1093.799999999962</v>
      </c>
      <c r="D442" s="658">
        <v>3675</v>
      </c>
      <c r="E442" s="658">
        <v>1093.8999999999619</v>
      </c>
      <c r="G442" s="64">
        <v>1093.8999999999619</v>
      </c>
      <c r="H442" s="658">
        <v>3675</v>
      </c>
      <c r="I442" s="64">
        <v>1093.9999999999618</v>
      </c>
      <c r="J442" s="658">
        <v>3697</v>
      </c>
    </row>
    <row r="443" spans="2:10" ht="14.4" x14ac:dyDescent="0.3">
      <c r="B443" s="657">
        <v>3675</v>
      </c>
      <c r="C443" s="657">
        <v>1093.8999999999619</v>
      </c>
      <c r="D443" s="658">
        <v>3697</v>
      </c>
      <c r="E443" s="658">
        <v>1093.9999999999618</v>
      </c>
      <c r="G443" s="64">
        <v>1093.9999999999618</v>
      </c>
      <c r="H443" s="658">
        <v>3697</v>
      </c>
      <c r="I443" s="64">
        <v>1094.0999999999617</v>
      </c>
      <c r="J443" s="658">
        <v>3720</v>
      </c>
    </row>
    <row r="444" spans="2:10" ht="14.4" x14ac:dyDescent="0.3">
      <c r="B444" s="657">
        <v>3697</v>
      </c>
      <c r="C444" s="657">
        <v>1093.9999999999618</v>
      </c>
      <c r="D444" s="658">
        <v>3720</v>
      </c>
      <c r="E444" s="658">
        <v>1094.0999999999617</v>
      </c>
      <c r="G444" s="64">
        <v>1094.0999999999617</v>
      </c>
      <c r="H444" s="658">
        <v>3720</v>
      </c>
      <c r="I444" s="64">
        <v>1094.1999999999616</v>
      </c>
      <c r="J444" s="658">
        <v>3742</v>
      </c>
    </row>
    <row r="445" spans="2:10" ht="14.4" x14ac:dyDescent="0.3">
      <c r="B445" s="657">
        <v>3720</v>
      </c>
      <c r="C445" s="657">
        <v>1094.0999999999617</v>
      </c>
      <c r="D445" s="658">
        <v>3742</v>
      </c>
      <c r="E445" s="658">
        <v>1094.1999999999616</v>
      </c>
      <c r="G445" s="64">
        <v>1094.1999999999616</v>
      </c>
      <c r="H445" s="658">
        <v>3742</v>
      </c>
      <c r="I445" s="64">
        <v>1094.2999999999615</v>
      </c>
      <c r="J445" s="658">
        <v>3765</v>
      </c>
    </row>
    <row r="446" spans="2:10" ht="14.4" x14ac:dyDescent="0.3">
      <c r="B446" s="657">
        <v>3742</v>
      </c>
      <c r="C446" s="657">
        <v>1094.1999999999616</v>
      </c>
      <c r="D446" s="658">
        <v>3765</v>
      </c>
      <c r="E446" s="658">
        <v>1094.2999999999615</v>
      </c>
      <c r="G446" s="64">
        <v>1094.2999999999615</v>
      </c>
      <c r="H446" s="658">
        <v>3765</v>
      </c>
      <c r="I446" s="64">
        <v>1094.3999999999614</v>
      </c>
      <c r="J446" s="658">
        <v>3788</v>
      </c>
    </row>
    <row r="447" spans="2:10" ht="14.4" x14ac:dyDescent="0.3">
      <c r="B447" s="657">
        <v>3765</v>
      </c>
      <c r="C447" s="657">
        <v>1094.2999999999615</v>
      </c>
      <c r="D447" s="658">
        <v>3788</v>
      </c>
      <c r="E447" s="658">
        <v>1094.3999999999614</v>
      </c>
      <c r="G447" s="64">
        <v>1094.3999999999614</v>
      </c>
      <c r="H447" s="658">
        <v>3788</v>
      </c>
      <c r="I447" s="64">
        <v>1094.4999999999613</v>
      </c>
      <c r="J447" s="658">
        <v>3811</v>
      </c>
    </row>
    <row r="448" spans="2:10" ht="14.4" x14ac:dyDescent="0.3">
      <c r="B448" s="657">
        <v>3788</v>
      </c>
      <c r="C448" s="657">
        <v>1094.3999999999614</v>
      </c>
      <c r="D448" s="658">
        <v>3811</v>
      </c>
      <c r="E448" s="658">
        <v>1094.4999999999613</v>
      </c>
      <c r="G448" s="64">
        <v>1094.4999999999613</v>
      </c>
      <c r="H448" s="658">
        <v>3811</v>
      </c>
      <c r="I448" s="64">
        <v>1094.5999999999613</v>
      </c>
      <c r="J448" s="658">
        <v>3833</v>
      </c>
    </row>
    <row r="449" spans="2:10" ht="14.4" x14ac:dyDescent="0.3">
      <c r="B449" s="657">
        <v>3811</v>
      </c>
      <c r="C449" s="657">
        <v>1094.4999999999613</v>
      </c>
      <c r="D449" s="658">
        <v>3833</v>
      </c>
      <c r="E449" s="658">
        <v>1094.5999999999613</v>
      </c>
      <c r="G449" s="64">
        <v>1094.5999999999613</v>
      </c>
      <c r="H449" s="658">
        <v>3833</v>
      </c>
      <c r="I449" s="64">
        <v>1094.6999999999612</v>
      </c>
      <c r="J449" s="658">
        <v>3856</v>
      </c>
    </row>
    <row r="450" spans="2:10" ht="14.4" x14ac:dyDescent="0.3">
      <c r="B450" s="657">
        <v>3833</v>
      </c>
      <c r="C450" s="657">
        <v>1094.5999999999613</v>
      </c>
      <c r="D450" s="658">
        <v>3856</v>
      </c>
      <c r="E450" s="658">
        <v>1094.6999999999612</v>
      </c>
      <c r="G450" s="64">
        <v>1094.6999999999612</v>
      </c>
      <c r="H450" s="658">
        <v>3856</v>
      </c>
      <c r="I450" s="64">
        <v>1094.7999999999611</v>
      </c>
      <c r="J450" s="658">
        <v>3879</v>
      </c>
    </row>
    <row r="451" spans="2:10" ht="14.4" x14ac:dyDescent="0.3">
      <c r="B451" s="657">
        <v>3856</v>
      </c>
      <c r="C451" s="657">
        <v>1094.6999999999612</v>
      </c>
      <c r="D451" s="658">
        <v>3879</v>
      </c>
      <c r="E451" s="658">
        <v>1094.7999999999611</v>
      </c>
      <c r="G451" s="64">
        <v>1094.7999999999611</v>
      </c>
      <c r="H451" s="658">
        <v>3879</v>
      </c>
      <c r="I451" s="64">
        <v>1094.899999999961</v>
      </c>
      <c r="J451" s="658">
        <v>3902</v>
      </c>
    </row>
    <row r="452" spans="2:10" ht="14.4" x14ac:dyDescent="0.3">
      <c r="B452" s="657">
        <v>3879</v>
      </c>
      <c r="C452" s="657">
        <v>1094.7999999999611</v>
      </c>
      <c r="D452" s="658">
        <v>3902</v>
      </c>
      <c r="E452" s="658">
        <v>1094.899999999961</v>
      </c>
      <c r="G452" s="64">
        <v>1094.899999999961</v>
      </c>
      <c r="H452" s="658">
        <v>3902</v>
      </c>
      <c r="I452" s="64">
        <v>1094.9999999999609</v>
      </c>
      <c r="J452" s="658">
        <v>3924</v>
      </c>
    </row>
    <row r="453" spans="2:10" ht="14.4" x14ac:dyDescent="0.3">
      <c r="B453" s="657">
        <v>3902</v>
      </c>
      <c r="C453" s="657">
        <v>1094.899999999961</v>
      </c>
      <c r="D453" s="658">
        <v>3924</v>
      </c>
      <c r="E453" s="658">
        <v>1094.9999999999609</v>
      </c>
      <c r="G453" s="64">
        <v>1094.9999999999609</v>
      </c>
      <c r="H453" s="658">
        <v>3924</v>
      </c>
      <c r="I453" s="64">
        <v>1095.0999999999608</v>
      </c>
      <c r="J453" s="658">
        <v>3948</v>
      </c>
    </row>
    <row r="454" spans="2:10" ht="14.4" x14ac:dyDescent="0.3">
      <c r="B454" s="657">
        <v>3924</v>
      </c>
      <c r="C454" s="657">
        <v>1094.9999999999609</v>
      </c>
      <c r="D454" s="658">
        <v>3948</v>
      </c>
      <c r="E454" s="658">
        <v>1095.0999999999608</v>
      </c>
      <c r="G454" s="64">
        <v>1095.0999999999608</v>
      </c>
      <c r="H454" s="658">
        <v>3948</v>
      </c>
      <c r="I454" s="64">
        <v>1095.1999999999607</v>
      </c>
      <c r="J454" s="658">
        <v>3971</v>
      </c>
    </row>
    <row r="455" spans="2:10" ht="14.4" x14ac:dyDescent="0.3">
      <c r="B455" s="657">
        <v>3948</v>
      </c>
      <c r="C455" s="657">
        <v>1095.0999999999608</v>
      </c>
      <c r="D455" s="658">
        <v>3971</v>
      </c>
      <c r="E455" s="658">
        <v>1095.1999999999607</v>
      </c>
      <c r="G455" s="64">
        <v>1095.1999999999607</v>
      </c>
      <c r="H455" s="658">
        <v>3971</v>
      </c>
      <c r="I455" s="64">
        <v>1095.2999999999606</v>
      </c>
      <c r="J455" s="658">
        <v>3994</v>
      </c>
    </row>
    <row r="456" spans="2:10" ht="14.4" x14ac:dyDescent="0.3">
      <c r="B456" s="657">
        <v>3971</v>
      </c>
      <c r="C456" s="657">
        <v>1095.1999999999607</v>
      </c>
      <c r="D456" s="658">
        <v>3994</v>
      </c>
      <c r="E456" s="658">
        <v>1095.2999999999606</v>
      </c>
      <c r="G456" s="64">
        <v>1095.2999999999606</v>
      </c>
      <c r="H456" s="658">
        <v>3994</v>
      </c>
      <c r="I456" s="64">
        <v>1095.3999999999605</v>
      </c>
      <c r="J456" s="658">
        <v>4018</v>
      </c>
    </row>
    <row r="457" spans="2:10" ht="14.4" x14ac:dyDescent="0.3">
      <c r="B457" s="657">
        <v>3994</v>
      </c>
      <c r="C457" s="657">
        <v>1095.2999999999606</v>
      </c>
      <c r="D457" s="658">
        <v>4018</v>
      </c>
      <c r="E457" s="658">
        <v>1095.3999999999605</v>
      </c>
      <c r="G457" s="64">
        <v>1095.3999999999605</v>
      </c>
      <c r="H457" s="658">
        <v>4018</v>
      </c>
      <c r="I457" s="64">
        <v>1095.4999999999604</v>
      </c>
      <c r="J457" s="658">
        <v>4041</v>
      </c>
    </row>
    <row r="458" spans="2:10" ht="14.4" x14ac:dyDescent="0.3">
      <c r="B458" s="657">
        <v>4018</v>
      </c>
      <c r="C458" s="657">
        <v>1095.3999999999605</v>
      </c>
      <c r="D458" s="658">
        <v>4041</v>
      </c>
      <c r="E458" s="658">
        <v>1095.4999999999604</v>
      </c>
      <c r="G458" s="64">
        <v>1095.4999999999604</v>
      </c>
      <c r="H458" s="658">
        <v>4041</v>
      </c>
      <c r="I458" s="64">
        <v>1095.5999999999603</v>
      </c>
      <c r="J458" s="658">
        <v>4064</v>
      </c>
    </row>
    <row r="459" spans="2:10" ht="14.4" x14ac:dyDescent="0.3">
      <c r="B459" s="657">
        <v>4041</v>
      </c>
      <c r="C459" s="657">
        <v>1095.4999999999604</v>
      </c>
      <c r="D459" s="658">
        <v>4064</v>
      </c>
      <c r="E459" s="658">
        <v>1095.5999999999603</v>
      </c>
      <c r="G459" s="64">
        <v>1095.5999999999603</v>
      </c>
      <c r="H459" s="658">
        <v>4064</v>
      </c>
      <c r="I459" s="64">
        <v>1095.6999999999603</v>
      </c>
      <c r="J459" s="658">
        <v>4087</v>
      </c>
    </row>
    <row r="460" spans="2:10" ht="14.4" x14ac:dyDescent="0.3">
      <c r="B460" s="657">
        <v>4064</v>
      </c>
      <c r="C460" s="657">
        <v>1095.5999999999603</v>
      </c>
      <c r="D460" s="658">
        <v>4087</v>
      </c>
      <c r="E460" s="658">
        <v>1095.6999999999603</v>
      </c>
      <c r="G460" s="64">
        <v>1095.6999999999603</v>
      </c>
      <c r="H460" s="658">
        <v>4087</v>
      </c>
      <c r="I460" s="64">
        <v>1095.7999999999602</v>
      </c>
      <c r="J460" s="658">
        <v>4111</v>
      </c>
    </row>
    <row r="461" spans="2:10" ht="14.4" x14ac:dyDescent="0.3">
      <c r="B461" s="657">
        <v>4087</v>
      </c>
      <c r="C461" s="657">
        <v>1095.6999999999603</v>
      </c>
      <c r="D461" s="658">
        <v>4111</v>
      </c>
      <c r="E461" s="658">
        <v>1095.7999999999602</v>
      </c>
      <c r="G461" s="64">
        <v>1095.7999999999602</v>
      </c>
      <c r="H461" s="658">
        <v>4111</v>
      </c>
      <c r="I461" s="64">
        <v>1095.8999999999601</v>
      </c>
      <c r="J461" s="658">
        <v>4134</v>
      </c>
    </row>
    <row r="462" spans="2:10" ht="14.4" x14ac:dyDescent="0.3">
      <c r="B462" s="657">
        <v>4111</v>
      </c>
      <c r="C462" s="657">
        <v>1095.7999999999602</v>
      </c>
      <c r="D462" s="658">
        <v>4134</v>
      </c>
      <c r="E462" s="658">
        <v>1095.8999999999601</v>
      </c>
      <c r="G462" s="64">
        <v>1095.8999999999601</v>
      </c>
      <c r="H462" s="658">
        <v>4134</v>
      </c>
      <c r="I462" s="64">
        <v>1095.99999999996</v>
      </c>
      <c r="J462" s="658">
        <v>4157</v>
      </c>
    </row>
    <row r="463" spans="2:10" ht="14.4" x14ac:dyDescent="0.3">
      <c r="B463" s="657">
        <v>4134</v>
      </c>
      <c r="C463" s="657">
        <v>1095.8999999999601</v>
      </c>
      <c r="D463" s="658">
        <v>4157</v>
      </c>
      <c r="E463" s="658">
        <v>1095.99999999996</v>
      </c>
      <c r="G463" s="64">
        <v>1095.99999999996</v>
      </c>
      <c r="H463" s="658">
        <v>4157</v>
      </c>
      <c r="I463" s="64">
        <v>1096.0999999999599</v>
      </c>
      <c r="J463" s="658">
        <v>4181</v>
      </c>
    </row>
    <row r="464" spans="2:10" ht="14.4" x14ac:dyDescent="0.3">
      <c r="B464" s="657">
        <v>4157</v>
      </c>
      <c r="C464" s="657">
        <v>1095.99999999996</v>
      </c>
      <c r="D464" s="658">
        <v>4181</v>
      </c>
      <c r="E464" s="658">
        <v>1096.0999999999599</v>
      </c>
      <c r="G464" s="64">
        <v>1096.0999999999599</v>
      </c>
      <c r="H464" s="658">
        <v>4181</v>
      </c>
      <c r="I464" s="64">
        <v>1096.1999999999598</v>
      </c>
      <c r="J464" s="658">
        <v>4205</v>
      </c>
    </row>
    <row r="465" spans="2:10" ht="14.4" x14ac:dyDescent="0.3">
      <c r="B465" s="657">
        <v>4181</v>
      </c>
      <c r="C465" s="657">
        <v>1096.0999999999599</v>
      </c>
      <c r="D465" s="658">
        <v>4205</v>
      </c>
      <c r="E465" s="658">
        <v>1096.1999999999598</v>
      </c>
      <c r="G465" s="64">
        <v>1096.1999999999598</v>
      </c>
      <c r="H465" s="658">
        <v>4205</v>
      </c>
      <c r="I465" s="64">
        <v>1096.2999999999597</v>
      </c>
      <c r="J465" s="658">
        <v>4229</v>
      </c>
    </row>
    <row r="466" spans="2:10" ht="14.4" x14ac:dyDescent="0.3">
      <c r="B466" s="657">
        <v>4205</v>
      </c>
      <c r="C466" s="657">
        <v>1096.1999999999598</v>
      </c>
      <c r="D466" s="658">
        <v>4229</v>
      </c>
      <c r="E466" s="658">
        <v>1096.2999999999597</v>
      </c>
      <c r="G466" s="64">
        <v>1096.2999999999597</v>
      </c>
      <c r="H466" s="658">
        <v>4229</v>
      </c>
      <c r="I466" s="64">
        <v>1096.3999999999596</v>
      </c>
      <c r="J466" s="658">
        <v>4252</v>
      </c>
    </row>
    <row r="467" spans="2:10" ht="14.4" x14ac:dyDescent="0.3">
      <c r="B467" s="657">
        <v>4229</v>
      </c>
      <c r="C467" s="657">
        <v>1096.2999999999597</v>
      </c>
      <c r="D467" s="658">
        <v>4252</v>
      </c>
      <c r="E467" s="658">
        <v>1096.3999999999596</v>
      </c>
      <c r="G467" s="64">
        <v>1096.3999999999596</v>
      </c>
      <c r="H467" s="658">
        <v>4252</v>
      </c>
      <c r="I467" s="64">
        <v>1096.4999999999595</v>
      </c>
      <c r="J467" s="658">
        <v>4276</v>
      </c>
    </row>
    <row r="468" spans="2:10" ht="14.4" x14ac:dyDescent="0.3">
      <c r="B468" s="657">
        <v>4252</v>
      </c>
      <c r="C468" s="657">
        <v>1096.3999999999596</v>
      </c>
      <c r="D468" s="658">
        <v>4276</v>
      </c>
      <c r="E468" s="658">
        <v>1096.4999999999595</v>
      </c>
      <c r="G468" s="64">
        <v>1096.4999999999595</v>
      </c>
      <c r="H468" s="658">
        <v>4276</v>
      </c>
      <c r="I468" s="64">
        <v>1096.5999999999594</v>
      </c>
      <c r="J468" s="658">
        <v>4300</v>
      </c>
    </row>
    <row r="469" spans="2:10" ht="14.4" x14ac:dyDescent="0.3">
      <c r="B469" s="657">
        <v>4276</v>
      </c>
      <c r="C469" s="657">
        <v>1096.4999999999595</v>
      </c>
      <c r="D469" s="658">
        <v>4300</v>
      </c>
      <c r="E469" s="658">
        <v>1096.5999999999594</v>
      </c>
      <c r="G469" s="64">
        <v>1096.5999999999594</v>
      </c>
      <c r="H469" s="658">
        <v>4300</v>
      </c>
      <c r="I469" s="64">
        <v>1096.6999999999593</v>
      </c>
      <c r="J469" s="658">
        <v>4324</v>
      </c>
    </row>
    <row r="470" spans="2:10" ht="14.4" x14ac:dyDescent="0.3">
      <c r="B470" s="657">
        <v>4300</v>
      </c>
      <c r="C470" s="657">
        <v>1096.5999999999594</v>
      </c>
      <c r="D470" s="658">
        <v>4324</v>
      </c>
      <c r="E470" s="658">
        <v>1096.6999999999593</v>
      </c>
      <c r="G470" s="64">
        <v>1096.6999999999593</v>
      </c>
      <c r="H470" s="658">
        <v>4324</v>
      </c>
      <c r="I470" s="64">
        <v>1096.7999999999593</v>
      </c>
      <c r="J470" s="658">
        <v>4348</v>
      </c>
    </row>
    <row r="471" spans="2:10" ht="14.4" x14ac:dyDescent="0.3">
      <c r="B471" s="657">
        <v>4324</v>
      </c>
      <c r="C471" s="657">
        <v>1096.6999999999593</v>
      </c>
      <c r="D471" s="658">
        <v>4348</v>
      </c>
      <c r="E471" s="658">
        <v>1096.7999999999593</v>
      </c>
      <c r="G471" s="64">
        <v>1096.7999999999593</v>
      </c>
      <c r="H471" s="658">
        <v>4348</v>
      </c>
      <c r="I471" s="64">
        <v>1096.8999999999592</v>
      </c>
      <c r="J471" s="658">
        <v>4371</v>
      </c>
    </row>
    <row r="472" spans="2:10" ht="14.4" x14ac:dyDescent="0.3">
      <c r="B472" s="657">
        <v>4348</v>
      </c>
      <c r="C472" s="657">
        <v>1096.7999999999593</v>
      </c>
      <c r="D472" s="658">
        <v>4371</v>
      </c>
      <c r="E472" s="658">
        <v>1096.8999999999592</v>
      </c>
      <c r="G472" s="64">
        <v>1096.8999999999592</v>
      </c>
      <c r="H472" s="658">
        <v>4371</v>
      </c>
      <c r="I472" s="64">
        <v>1096.9999999999591</v>
      </c>
      <c r="J472" s="658">
        <v>4395</v>
      </c>
    </row>
    <row r="473" spans="2:10" ht="14.4" x14ac:dyDescent="0.3">
      <c r="B473" s="657">
        <v>4371</v>
      </c>
      <c r="C473" s="657">
        <v>1096.8999999999592</v>
      </c>
      <c r="D473" s="658">
        <v>4395</v>
      </c>
      <c r="E473" s="658">
        <v>1096.9999999999591</v>
      </c>
      <c r="G473" s="64">
        <v>1096.9999999999591</v>
      </c>
      <c r="H473" s="658">
        <v>4395</v>
      </c>
      <c r="I473" s="64">
        <v>1097.099999999959</v>
      </c>
      <c r="J473" s="658">
        <v>4419</v>
      </c>
    </row>
    <row r="474" spans="2:10" ht="14.4" x14ac:dyDescent="0.3">
      <c r="B474" s="657">
        <v>4395</v>
      </c>
      <c r="C474" s="657">
        <v>1096.9999999999591</v>
      </c>
      <c r="D474" s="658">
        <v>4419</v>
      </c>
      <c r="E474" s="658">
        <v>1097.099999999959</v>
      </c>
      <c r="G474" s="64">
        <v>1097.099999999959</v>
      </c>
      <c r="H474" s="658">
        <v>4419</v>
      </c>
      <c r="I474" s="64">
        <v>1097.1999999999589</v>
      </c>
      <c r="J474" s="658">
        <v>4444</v>
      </c>
    </row>
    <row r="475" spans="2:10" ht="14.4" x14ac:dyDescent="0.3">
      <c r="B475" s="657">
        <v>4419</v>
      </c>
      <c r="C475" s="657">
        <v>1097.099999999959</v>
      </c>
      <c r="D475" s="658">
        <v>4444</v>
      </c>
      <c r="E475" s="658">
        <v>1097.1999999999589</v>
      </c>
      <c r="G475" s="64">
        <v>1097.1999999999589</v>
      </c>
      <c r="H475" s="658">
        <v>4444</v>
      </c>
      <c r="I475" s="64">
        <v>1097.2999999999588</v>
      </c>
      <c r="J475" s="658">
        <v>4468</v>
      </c>
    </row>
    <row r="476" spans="2:10" ht="14.4" x14ac:dyDescent="0.3">
      <c r="B476" s="657">
        <v>4444</v>
      </c>
      <c r="C476" s="657">
        <v>1097.1999999999589</v>
      </c>
      <c r="D476" s="658">
        <v>4468</v>
      </c>
      <c r="E476" s="658">
        <v>1097.2999999999588</v>
      </c>
      <c r="G476" s="64">
        <v>1097.2999999999588</v>
      </c>
      <c r="H476" s="658">
        <v>4468</v>
      </c>
      <c r="I476" s="64">
        <v>1097.3999999999587</v>
      </c>
      <c r="J476" s="658">
        <v>4492</v>
      </c>
    </row>
    <row r="477" spans="2:10" ht="14.4" x14ac:dyDescent="0.3">
      <c r="B477" s="657">
        <v>4468</v>
      </c>
      <c r="C477" s="657">
        <v>1097.2999999999588</v>
      </c>
      <c r="D477" s="658">
        <v>4492</v>
      </c>
      <c r="E477" s="658">
        <v>1097.3999999999587</v>
      </c>
      <c r="G477" s="64">
        <v>1097.3999999999587</v>
      </c>
      <c r="H477" s="658">
        <v>4492</v>
      </c>
      <c r="I477" s="64">
        <v>1097.4999999999586</v>
      </c>
      <c r="J477" s="658">
        <v>4517</v>
      </c>
    </row>
    <row r="478" spans="2:10" ht="14.4" x14ac:dyDescent="0.3">
      <c r="B478" s="657">
        <v>4492</v>
      </c>
      <c r="C478" s="657">
        <v>1097.3999999999587</v>
      </c>
      <c r="D478" s="658">
        <v>4517</v>
      </c>
      <c r="E478" s="658">
        <v>1097.4999999999586</v>
      </c>
      <c r="G478" s="64">
        <v>1097.4999999999586</v>
      </c>
      <c r="H478" s="658">
        <v>4517</v>
      </c>
      <c r="I478" s="64">
        <v>1097.5999999999585</v>
      </c>
      <c r="J478" s="658">
        <v>4541</v>
      </c>
    </row>
    <row r="479" spans="2:10" ht="14.4" x14ac:dyDescent="0.3">
      <c r="B479" s="657">
        <v>4517</v>
      </c>
      <c r="C479" s="657">
        <v>1097.4999999999586</v>
      </c>
      <c r="D479" s="658">
        <v>4541</v>
      </c>
      <c r="E479" s="658">
        <v>1097.5999999999585</v>
      </c>
      <c r="G479" s="64">
        <v>1097.5999999999585</v>
      </c>
      <c r="H479" s="658">
        <v>4541</v>
      </c>
      <c r="I479" s="64">
        <v>1097.6999999999584</v>
      </c>
      <c r="J479" s="658">
        <v>4565</v>
      </c>
    </row>
    <row r="480" spans="2:10" ht="14.4" x14ac:dyDescent="0.3">
      <c r="B480" s="657">
        <v>4541</v>
      </c>
      <c r="C480" s="657">
        <v>1097.5999999999585</v>
      </c>
      <c r="D480" s="658">
        <v>4565</v>
      </c>
      <c r="E480" s="658">
        <v>1097.6999999999584</v>
      </c>
      <c r="G480" s="64">
        <v>1097.6999999999584</v>
      </c>
      <c r="H480" s="658">
        <v>4565</v>
      </c>
      <c r="I480" s="64">
        <v>1097.7999999999583</v>
      </c>
      <c r="J480" s="658">
        <v>4589</v>
      </c>
    </row>
    <row r="481" spans="2:10" ht="14.4" x14ac:dyDescent="0.3">
      <c r="B481" s="657">
        <v>4565</v>
      </c>
      <c r="C481" s="657">
        <v>1097.6999999999584</v>
      </c>
      <c r="D481" s="658">
        <v>4589</v>
      </c>
      <c r="E481" s="658">
        <v>1097.7999999999583</v>
      </c>
      <c r="G481" s="64">
        <v>1097.7999999999583</v>
      </c>
      <c r="H481" s="658">
        <v>4589</v>
      </c>
      <c r="I481" s="64">
        <v>1097.8999999999583</v>
      </c>
      <c r="J481" s="658">
        <v>4614</v>
      </c>
    </row>
    <row r="482" spans="2:10" ht="14.4" x14ac:dyDescent="0.3">
      <c r="B482" s="657">
        <v>4589</v>
      </c>
      <c r="C482" s="657">
        <v>1097.7999999999583</v>
      </c>
      <c r="D482" s="658">
        <v>4614</v>
      </c>
      <c r="E482" s="658">
        <v>1097.8999999999583</v>
      </c>
      <c r="G482" s="64">
        <v>1097.8999999999583</v>
      </c>
      <c r="H482" s="658">
        <v>4614</v>
      </c>
      <c r="I482" s="64">
        <v>1097.9999999999582</v>
      </c>
      <c r="J482" s="658">
        <v>4638</v>
      </c>
    </row>
    <row r="483" spans="2:10" ht="14.4" x14ac:dyDescent="0.3">
      <c r="B483" s="657">
        <v>4614</v>
      </c>
      <c r="C483" s="657">
        <v>1097.8999999999583</v>
      </c>
      <c r="D483" s="658">
        <v>4638</v>
      </c>
      <c r="E483" s="658">
        <v>1097.9999999999582</v>
      </c>
      <c r="G483" s="64">
        <v>1097.9999999999582</v>
      </c>
      <c r="H483" s="658">
        <v>4638</v>
      </c>
      <c r="I483" s="64">
        <v>1098.0999999999581</v>
      </c>
      <c r="J483" s="658">
        <v>4663</v>
      </c>
    </row>
    <row r="484" spans="2:10" ht="14.4" x14ac:dyDescent="0.3">
      <c r="B484" s="657">
        <v>4638</v>
      </c>
      <c r="C484" s="657">
        <v>1097.9999999999582</v>
      </c>
      <c r="D484" s="658">
        <v>4663</v>
      </c>
      <c r="E484" s="658">
        <v>1098.0999999999581</v>
      </c>
      <c r="G484" s="64">
        <v>1098.0999999999581</v>
      </c>
      <c r="H484" s="658">
        <v>4663</v>
      </c>
      <c r="I484" s="64">
        <v>1098.199999999958</v>
      </c>
      <c r="J484" s="658">
        <v>4687</v>
      </c>
    </row>
    <row r="485" spans="2:10" ht="14.4" x14ac:dyDescent="0.3">
      <c r="B485" s="657">
        <v>4663</v>
      </c>
      <c r="C485" s="657">
        <v>1098.0999999999581</v>
      </c>
      <c r="D485" s="658">
        <v>4687</v>
      </c>
      <c r="E485" s="658">
        <v>1098.199999999958</v>
      </c>
      <c r="G485" s="64">
        <v>1098.199999999958</v>
      </c>
      <c r="H485" s="658">
        <v>4687</v>
      </c>
      <c r="I485" s="64">
        <v>1098.2999999999579</v>
      </c>
      <c r="J485" s="658">
        <v>4712</v>
      </c>
    </row>
    <row r="486" spans="2:10" ht="14.4" x14ac:dyDescent="0.3">
      <c r="B486" s="657">
        <v>4687</v>
      </c>
      <c r="C486" s="657">
        <v>1098.199999999958</v>
      </c>
      <c r="D486" s="658">
        <v>4712</v>
      </c>
      <c r="E486" s="658">
        <v>1098.2999999999579</v>
      </c>
      <c r="G486" s="64">
        <v>1098.2999999999579</v>
      </c>
      <c r="H486" s="658">
        <v>4712</v>
      </c>
      <c r="I486" s="64">
        <v>1098.3999999999578</v>
      </c>
      <c r="J486" s="658">
        <v>4737</v>
      </c>
    </row>
    <row r="487" spans="2:10" ht="14.4" x14ac:dyDescent="0.3">
      <c r="B487" s="657">
        <v>4712</v>
      </c>
      <c r="C487" s="657">
        <v>1098.2999999999579</v>
      </c>
      <c r="D487" s="658">
        <v>4737</v>
      </c>
      <c r="E487" s="658">
        <v>1098.3999999999578</v>
      </c>
      <c r="G487" s="64">
        <v>1098.3999999999578</v>
      </c>
      <c r="H487" s="658">
        <v>4737</v>
      </c>
      <c r="I487" s="64">
        <v>1098.4999999999577</v>
      </c>
      <c r="J487" s="658">
        <v>4762</v>
      </c>
    </row>
    <row r="488" spans="2:10" ht="14.4" x14ac:dyDescent="0.3">
      <c r="B488" s="657">
        <v>4737</v>
      </c>
      <c r="C488" s="657">
        <v>1098.3999999999578</v>
      </c>
      <c r="D488" s="658">
        <v>4762</v>
      </c>
      <c r="E488" s="658">
        <v>1098.4999999999577</v>
      </c>
      <c r="G488" s="64">
        <v>1098.4999999999577</v>
      </c>
      <c r="H488" s="658">
        <v>4762</v>
      </c>
      <c r="I488" s="64">
        <v>1098.5999999999576</v>
      </c>
      <c r="J488" s="658">
        <v>4787</v>
      </c>
    </row>
    <row r="489" spans="2:10" ht="14.4" x14ac:dyDescent="0.3">
      <c r="B489" s="657">
        <v>4762</v>
      </c>
      <c r="C489" s="657">
        <v>1098.4999999999577</v>
      </c>
      <c r="D489" s="658">
        <v>4787</v>
      </c>
      <c r="E489" s="658">
        <v>1098.5999999999576</v>
      </c>
      <c r="G489" s="64">
        <v>1098.5999999999576</v>
      </c>
      <c r="H489" s="658">
        <v>4787</v>
      </c>
      <c r="I489" s="64">
        <v>1098.6999999999575</v>
      </c>
      <c r="J489" s="658">
        <v>4811</v>
      </c>
    </row>
    <row r="490" spans="2:10" ht="14.4" x14ac:dyDescent="0.3">
      <c r="B490" s="657">
        <v>4787</v>
      </c>
      <c r="C490" s="657">
        <v>1098.5999999999576</v>
      </c>
      <c r="D490" s="658">
        <v>4811</v>
      </c>
      <c r="E490" s="658">
        <v>1098.6999999999575</v>
      </c>
      <c r="G490" s="64">
        <v>1098.6999999999575</v>
      </c>
      <c r="H490" s="658">
        <v>4811</v>
      </c>
      <c r="I490" s="64">
        <v>1098.7999999999574</v>
      </c>
      <c r="J490" s="658">
        <v>4836</v>
      </c>
    </row>
    <row r="491" spans="2:10" ht="14.4" x14ac:dyDescent="0.3">
      <c r="B491" s="657">
        <v>4811</v>
      </c>
      <c r="C491" s="657">
        <v>1098.6999999999575</v>
      </c>
      <c r="D491" s="658">
        <v>4836</v>
      </c>
      <c r="E491" s="658">
        <v>1098.7999999999574</v>
      </c>
      <c r="G491" s="64">
        <v>1098.7999999999574</v>
      </c>
      <c r="H491" s="658">
        <v>4836</v>
      </c>
      <c r="I491" s="64">
        <v>1098.8999999999573</v>
      </c>
      <c r="J491" s="658">
        <v>4861</v>
      </c>
    </row>
    <row r="492" spans="2:10" ht="14.4" x14ac:dyDescent="0.3">
      <c r="B492" s="657">
        <v>4836</v>
      </c>
      <c r="C492" s="657">
        <v>1098.7999999999574</v>
      </c>
      <c r="D492" s="658">
        <v>4861</v>
      </c>
      <c r="E492" s="658">
        <v>1098.8999999999573</v>
      </c>
      <c r="G492" s="64">
        <v>1098.8999999999573</v>
      </c>
      <c r="H492" s="658">
        <v>4861</v>
      </c>
      <c r="I492" s="64">
        <v>1098.9999999999573</v>
      </c>
      <c r="J492" s="658">
        <v>4886</v>
      </c>
    </row>
    <row r="493" spans="2:10" ht="14.4" x14ac:dyDescent="0.3">
      <c r="B493" s="657">
        <v>4861</v>
      </c>
      <c r="C493" s="657">
        <v>1098.8999999999573</v>
      </c>
      <c r="D493" s="658">
        <v>4886</v>
      </c>
      <c r="E493" s="658">
        <v>1098.9999999999573</v>
      </c>
      <c r="G493" s="64">
        <v>1098.9999999999573</v>
      </c>
      <c r="H493" s="658">
        <v>4886</v>
      </c>
      <c r="I493" s="64">
        <v>1099.0999999999572</v>
      </c>
      <c r="J493" s="658">
        <v>4911</v>
      </c>
    </row>
    <row r="494" spans="2:10" ht="14.4" x14ac:dyDescent="0.3">
      <c r="B494" s="657">
        <v>4886</v>
      </c>
      <c r="C494" s="657">
        <v>1098.9999999999573</v>
      </c>
      <c r="D494" s="658">
        <v>4911</v>
      </c>
      <c r="E494" s="658">
        <v>1099.0999999999572</v>
      </c>
      <c r="G494" s="64">
        <v>1099.0999999999572</v>
      </c>
      <c r="H494" s="658">
        <v>4911</v>
      </c>
      <c r="I494" s="64">
        <v>1099.1999999999571</v>
      </c>
      <c r="J494" s="658">
        <v>4936</v>
      </c>
    </row>
    <row r="495" spans="2:10" ht="14.4" x14ac:dyDescent="0.3">
      <c r="B495" s="657">
        <v>4911</v>
      </c>
      <c r="C495" s="657">
        <v>1099.0999999999572</v>
      </c>
      <c r="D495" s="658">
        <v>4936</v>
      </c>
      <c r="E495" s="658">
        <v>1099.1999999999571</v>
      </c>
      <c r="G495" s="64">
        <v>1099.1999999999571</v>
      </c>
      <c r="H495" s="658">
        <v>4936</v>
      </c>
      <c r="I495" s="64">
        <v>1099.299999999957</v>
      </c>
      <c r="J495" s="658">
        <v>4962</v>
      </c>
    </row>
    <row r="496" spans="2:10" ht="14.4" x14ac:dyDescent="0.3">
      <c r="B496" s="657">
        <v>4936</v>
      </c>
      <c r="C496" s="657">
        <v>1099.1999999999571</v>
      </c>
      <c r="D496" s="658">
        <v>4962</v>
      </c>
      <c r="E496" s="658">
        <v>1099.299999999957</v>
      </c>
      <c r="G496" s="64">
        <v>1099.299999999957</v>
      </c>
      <c r="H496" s="658">
        <v>4962</v>
      </c>
      <c r="I496" s="64">
        <v>1099.3999999999569</v>
      </c>
      <c r="J496" s="658">
        <v>4987</v>
      </c>
    </row>
    <row r="497" spans="2:10" ht="14.4" x14ac:dyDescent="0.3">
      <c r="B497" s="657">
        <v>4962</v>
      </c>
      <c r="C497" s="657">
        <v>1099.299999999957</v>
      </c>
      <c r="D497" s="658">
        <v>4987</v>
      </c>
      <c r="E497" s="658">
        <v>1099.3999999999569</v>
      </c>
      <c r="G497" s="64">
        <v>1099.3999999999569</v>
      </c>
      <c r="H497" s="658">
        <v>4987</v>
      </c>
      <c r="I497" s="64">
        <v>1099.4999999999568</v>
      </c>
      <c r="J497" s="658">
        <v>5012</v>
      </c>
    </row>
    <row r="498" spans="2:10" ht="14.4" x14ac:dyDescent="0.3">
      <c r="B498" s="657">
        <v>4987</v>
      </c>
      <c r="C498" s="657">
        <v>1099.3999999999569</v>
      </c>
      <c r="D498" s="658">
        <v>5012</v>
      </c>
      <c r="E498" s="658">
        <v>1099.4999999999568</v>
      </c>
      <c r="G498" s="64">
        <v>1099.4999999999568</v>
      </c>
      <c r="H498" s="658">
        <v>5012</v>
      </c>
      <c r="I498" s="64">
        <v>1099.5999999999567</v>
      </c>
      <c r="J498" s="658">
        <v>5038</v>
      </c>
    </row>
    <row r="499" spans="2:10" ht="14.4" x14ac:dyDescent="0.3">
      <c r="B499" s="657">
        <v>5012</v>
      </c>
      <c r="C499" s="657">
        <v>1099.4999999999568</v>
      </c>
      <c r="D499" s="658">
        <v>5038</v>
      </c>
      <c r="E499" s="658">
        <v>1099.5999999999567</v>
      </c>
      <c r="G499" s="64">
        <v>1099.5999999999567</v>
      </c>
      <c r="H499" s="658">
        <v>5038</v>
      </c>
      <c r="I499" s="64">
        <v>1099.6999999999566</v>
      </c>
      <c r="J499" s="658">
        <v>5063</v>
      </c>
    </row>
    <row r="500" spans="2:10" ht="14.4" x14ac:dyDescent="0.3">
      <c r="B500" s="657">
        <v>5038</v>
      </c>
      <c r="C500" s="657">
        <v>1099.5999999999567</v>
      </c>
      <c r="D500" s="658">
        <v>5063</v>
      </c>
      <c r="E500" s="658">
        <v>1099.6999999999566</v>
      </c>
      <c r="G500" s="64">
        <v>1099.6999999999566</v>
      </c>
      <c r="H500" s="658">
        <v>5063</v>
      </c>
      <c r="I500" s="64">
        <v>1099.7999999999565</v>
      </c>
      <c r="J500" s="658">
        <v>5088</v>
      </c>
    </row>
    <row r="501" spans="2:10" ht="14.4" x14ac:dyDescent="0.3">
      <c r="B501" s="657">
        <v>5063</v>
      </c>
      <c r="C501" s="657">
        <v>1099.6999999999566</v>
      </c>
      <c r="D501" s="658">
        <v>5088</v>
      </c>
      <c r="E501" s="658">
        <v>1099.7999999999565</v>
      </c>
      <c r="G501" s="64">
        <v>1099.7999999999565</v>
      </c>
      <c r="H501" s="658">
        <v>5088</v>
      </c>
      <c r="I501" s="64">
        <v>1099.8999999999564</v>
      </c>
      <c r="J501" s="658">
        <v>5114</v>
      </c>
    </row>
    <row r="502" spans="2:10" ht="14.4" x14ac:dyDescent="0.3">
      <c r="B502" s="657">
        <v>5088</v>
      </c>
      <c r="C502" s="657">
        <v>1099.7999999999565</v>
      </c>
      <c r="D502" s="658">
        <v>5114</v>
      </c>
      <c r="E502" s="658">
        <v>1099.8999999999564</v>
      </c>
      <c r="G502" s="64">
        <v>1099.8999999999564</v>
      </c>
      <c r="H502" s="658">
        <v>5114</v>
      </c>
      <c r="I502" s="64">
        <v>1099.9999999999563</v>
      </c>
      <c r="J502" s="658">
        <v>5139</v>
      </c>
    </row>
    <row r="503" spans="2:10" ht="14.4" x14ac:dyDescent="0.3">
      <c r="B503" s="657">
        <v>5114</v>
      </c>
      <c r="C503" s="657">
        <v>1099.8999999999564</v>
      </c>
      <c r="D503" s="658">
        <v>5139</v>
      </c>
      <c r="E503" s="658">
        <v>1099.9999999999563</v>
      </c>
      <c r="G503" s="64">
        <v>1099.9999999999563</v>
      </c>
      <c r="H503" s="658">
        <v>5139</v>
      </c>
      <c r="I503" s="64">
        <v>1100.0999999999563</v>
      </c>
      <c r="J503" s="658">
        <v>5165</v>
      </c>
    </row>
    <row r="504" spans="2:10" ht="14.4" x14ac:dyDescent="0.3">
      <c r="B504" s="657">
        <v>5139</v>
      </c>
      <c r="C504" s="657">
        <v>1099.9999999999563</v>
      </c>
      <c r="D504" s="658">
        <v>5165</v>
      </c>
      <c r="E504" s="658">
        <v>1100.0999999999563</v>
      </c>
      <c r="G504" s="64">
        <v>1100.0999999999563</v>
      </c>
      <c r="H504" s="658">
        <v>5165</v>
      </c>
      <c r="I504" s="64">
        <v>1100.1999999999562</v>
      </c>
      <c r="J504" s="658">
        <v>5191</v>
      </c>
    </row>
    <row r="505" spans="2:10" ht="14.4" x14ac:dyDescent="0.3">
      <c r="B505" s="657">
        <v>5165</v>
      </c>
      <c r="C505" s="657">
        <v>1100.0999999999563</v>
      </c>
      <c r="D505" s="658">
        <v>5191</v>
      </c>
      <c r="E505" s="658">
        <v>1100.1999999999562</v>
      </c>
      <c r="G505" s="64">
        <v>1100.1999999999562</v>
      </c>
      <c r="H505" s="658">
        <v>5191</v>
      </c>
      <c r="I505" s="64">
        <v>1100.2999999999561</v>
      </c>
      <c r="J505" s="658">
        <v>5217</v>
      </c>
    </row>
    <row r="506" spans="2:10" ht="14.4" x14ac:dyDescent="0.3">
      <c r="B506" s="657">
        <v>5191</v>
      </c>
      <c r="C506" s="657">
        <v>1100.1999999999562</v>
      </c>
      <c r="D506" s="658">
        <v>5217</v>
      </c>
      <c r="E506" s="658">
        <v>1100.2999999999561</v>
      </c>
      <c r="G506" s="64">
        <v>1100.2999999999561</v>
      </c>
      <c r="H506" s="658">
        <v>5217</v>
      </c>
      <c r="I506" s="64">
        <v>1100.399999999956</v>
      </c>
      <c r="J506" s="658">
        <v>5242</v>
      </c>
    </row>
    <row r="507" spans="2:10" ht="14.4" x14ac:dyDescent="0.3">
      <c r="B507" s="657">
        <v>5217</v>
      </c>
      <c r="C507" s="657">
        <v>1100.2999999999561</v>
      </c>
      <c r="D507" s="658">
        <v>5242</v>
      </c>
      <c r="E507" s="658">
        <v>1100.399999999956</v>
      </c>
      <c r="G507" s="64">
        <v>1100.399999999956</v>
      </c>
      <c r="H507" s="658">
        <v>5242</v>
      </c>
      <c r="I507" s="64">
        <v>1100.4999999999559</v>
      </c>
      <c r="J507" s="658">
        <v>5268</v>
      </c>
    </row>
    <row r="508" spans="2:10" ht="14.4" x14ac:dyDescent="0.3">
      <c r="B508" s="657">
        <v>5242</v>
      </c>
      <c r="C508" s="657">
        <v>1100.399999999956</v>
      </c>
      <c r="D508" s="658">
        <v>5268</v>
      </c>
      <c r="E508" s="658">
        <v>1100.4999999999559</v>
      </c>
      <c r="G508" s="64">
        <v>1100.4999999999559</v>
      </c>
      <c r="H508" s="658">
        <v>5268</v>
      </c>
      <c r="I508" s="64">
        <v>1100.5999999999558</v>
      </c>
      <c r="J508" s="658">
        <v>5294</v>
      </c>
    </row>
    <row r="509" spans="2:10" ht="14.4" x14ac:dyDescent="0.3">
      <c r="B509" s="657">
        <v>5268</v>
      </c>
      <c r="C509" s="657">
        <v>1100.4999999999559</v>
      </c>
      <c r="D509" s="658">
        <v>5294</v>
      </c>
      <c r="E509" s="658">
        <v>1100.5999999999558</v>
      </c>
      <c r="G509" s="64">
        <v>1100.5999999999558</v>
      </c>
      <c r="H509" s="658">
        <v>5294</v>
      </c>
      <c r="I509" s="64">
        <v>1100.6999999999557</v>
      </c>
      <c r="J509" s="658">
        <v>5320</v>
      </c>
    </row>
    <row r="510" spans="2:10" ht="14.4" x14ac:dyDescent="0.3">
      <c r="B510" s="657">
        <v>5294</v>
      </c>
      <c r="C510" s="657">
        <v>1100.5999999999558</v>
      </c>
      <c r="D510" s="658">
        <v>5320</v>
      </c>
      <c r="E510" s="658">
        <v>1100.6999999999557</v>
      </c>
      <c r="G510" s="64">
        <v>1100.6999999999557</v>
      </c>
      <c r="H510" s="658">
        <v>5320</v>
      </c>
      <c r="I510" s="64">
        <v>1100.7999999999556</v>
      </c>
      <c r="J510" s="658">
        <v>5346</v>
      </c>
    </row>
    <row r="511" spans="2:10" ht="14.4" x14ac:dyDescent="0.3">
      <c r="B511" s="657">
        <v>5320</v>
      </c>
      <c r="C511" s="657">
        <v>1100.6999999999557</v>
      </c>
      <c r="D511" s="658">
        <v>5346</v>
      </c>
      <c r="E511" s="658">
        <v>1100.7999999999556</v>
      </c>
      <c r="G511" s="64">
        <v>1100.7999999999556</v>
      </c>
      <c r="H511" s="658">
        <v>5346</v>
      </c>
      <c r="I511" s="64">
        <v>1100.8999999999555</v>
      </c>
      <c r="J511" s="658">
        <v>5372</v>
      </c>
    </row>
    <row r="512" spans="2:10" ht="14.4" x14ac:dyDescent="0.3">
      <c r="B512" s="657">
        <v>5346</v>
      </c>
      <c r="C512" s="657">
        <v>1100.7999999999556</v>
      </c>
      <c r="D512" s="658">
        <v>5372</v>
      </c>
      <c r="E512" s="658">
        <v>1100.8999999999555</v>
      </c>
      <c r="G512" s="64">
        <v>1100.8999999999555</v>
      </c>
      <c r="H512" s="658">
        <v>5372</v>
      </c>
      <c r="I512" s="64">
        <v>1100.9999999999554</v>
      </c>
      <c r="J512" s="658">
        <v>5398</v>
      </c>
    </row>
    <row r="513" spans="2:10" ht="14.4" x14ac:dyDescent="0.3">
      <c r="B513" s="657">
        <v>5372</v>
      </c>
      <c r="C513" s="657">
        <v>1100.8999999999555</v>
      </c>
      <c r="D513" s="658">
        <v>5398</v>
      </c>
      <c r="E513" s="658">
        <v>1100.9999999999554</v>
      </c>
      <c r="G513" s="64">
        <v>1100.9999999999554</v>
      </c>
      <c r="H513" s="658">
        <v>5398</v>
      </c>
      <c r="I513" s="64">
        <v>1101.0999999999553</v>
      </c>
      <c r="J513" s="658">
        <v>5424</v>
      </c>
    </row>
    <row r="514" spans="2:10" ht="14.4" x14ac:dyDescent="0.3">
      <c r="B514" s="657">
        <v>5398</v>
      </c>
      <c r="C514" s="657">
        <v>1100.9999999999554</v>
      </c>
      <c r="D514" s="658">
        <v>5424</v>
      </c>
      <c r="E514" s="658">
        <v>1101.0999999999553</v>
      </c>
      <c r="G514" s="64">
        <v>1101.0999999999553</v>
      </c>
      <c r="H514" s="658">
        <v>5424</v>
      </c>
      <c r="I514" s="64">
        <v>1101.1999999999553</v>
      </c>
      <c r="J514" s="658">
        <v>5451</v>
      </c>
    </row>
    <row r="515" spans="2:10" ht="14.4" x14ac:dyDescent="0.3">
      <c r="B515" s="657">
        <v>5424</v>
      </c>
      <c r="C515" s="657">
        <v>1101.0999999999553</v>
      </c>
      <c r="D515" s="658">
        <v>5451</v>
      </c>
      <c r="E515" s="658">
        <v>1101.1999999999553</v>
      </c>
      <c r="G515" s="64">
        <v>1101.1999999999553</v>
      </c>
      <c r="H515" s="658">
        <v>5451</v>
      </c>
      <c r="I515" s="64">
        <v>1101.2999999999552</v>
      </c>
      <c r="J515" s="658">
        <v>5477</v>
      </c>
    </row>
    <row r="516" spans="2:10" ht="14.4" x14ac:dyDescent="0.3">
      <c r="B516" s="657">
        <v>5451</v>
      </c>
      <c r="C516" s="657">
        <v>1101.1999999999553</v>
      </c>
      <c r="D516" s="658">
        <v>5477</v>
      </c>
      <c r="E516" s="658">
        <v>1101.2999999999552</v>
      </c>
      <c r="G516" s="64">
        <v>1101.2999999999552</v>
      </c>
      <c r="H516" s="658">
        <v>5477</v>
      </c>
      <c r="I516" s="64">
        <v>1101.3999999999551</v>
      </c>
      <c r="J516" s="658">
        <v>5503</v>
      </c>
    </row>
    <row r="517" spans="2:10" ht="14.4" x14ac:dyDescent="0.3">
      <c r="B517" s="657">
        <v>5477</v>
      </c>
      <c r="C517" s="657">
        <v>1101.2999999999552</v>
      </c>
      <c r="D517" s="658">
        <v>5503</v>
      </c>
      <c r="E517" s="658">
        <v>1101.3999999999551</v>
      </c>
      <c r="G517" s="64">
        <v>1101.3999999999551</v>
      </c>
      <c r="H517" s="658">
        <v>5503</v>
      </c>
      <c r="I517" s="64">
        <v>1101.499999999955</v>
      </c>
      <c r="J517" s="658">
        <v>5530</v>
      </c>
    </row>
    <row r="518" spans="2:10" ht="14.4" x14ac:dyDescent="0.3">
      <c r="B518" s="657">
        <v>5503</v>
      </c>
      <c r="C518" s="657">
        <v>1101.3999999999551</v>
      </c>
      <c r="D518" s="658">
        <v>5530</v>
      </c>
      <c r="E518" s="658">
        <v>1101.499999999955</v>
      </c>
      <c r="G518" s="64">
        <v>1101.499999999955</v>
      </c>
      <c r="H518" s="658">
        <v>5530</v>
      </c>
      <c r="I518" s="64">
        <v>1101.5999999999549</v>
      </c>
      <c r="J518" s="658">
        <v>5556</v>
      </c>
    </row>
    <row r="519" spans="2:10" ht="14.4" x14ac:dyDescent="0.3">
      <c r="B519" s="657">
        <v>5530</v>
      </c>
      <c r="C519" s="657">
        <v>1101.499999999955</v>
      </c>
      <c r="D519" s="658">
        <v>5556</v>
      </c>
      <c r="E519" s="658">
        <v>1101.5999999999549</v>
      </c>
      <c r="G519" s="64">
        <v>1101.5999999999549</v>
      </c>
      <c r="H519" s="658">
        <v>5556</v>
      </c>
      <c r="I519" s="64">
        <v>1101.6999999999548</v>
      </c>
      <c r="J519" s="658">
        <v>5583</v>
      </c>
    </row>
    <row r="520" spans="2:10" ht="14.4" x14ac:dyDescent="0.3">
      <c r="B520" s="657">
        <v>5556</v>
      </c>
      <c r="C520" s="657">
        <v>1101.5999999999549</v>
      </c>
      <c r="D520" s="658">
        <v>5583</v>
      </c>
      <c r="E520" s="658">
        <v>1101.6999999999548</v>
      </c>
      <c r="G520" s="64">
        <v>1101.6999999999548</v>
      </c>
      <c r="H520" s="658">
        <v>5583</v>
      </c>
      <c r="I520" s="64">
        <v>1101.7999999999547</v>
      </c>
      <c r="J520" s="658">
        <v>5609</v>
      </c>
    </row>
    <row r="521" spans="2:10" ht="14.4" x14ac:dyDescent="0.3">
      <c r="B521" s="657">
        <v>5583</v>
      </c>
      <c r="C521" s="657">
        <v>1101.6999999999548</v>
      </c>
      <c r="D521" s="658">
        <v>5609</v>
      </c>
      <c r="E521" s="658">
        <v>1101.7999999999547</v>
      </c>
      <c r="G521" s="64">
        <v>1101.7999999999547</v>
      </c>
      <c r="H521" s="658">
        <v>5609</v>
      </c>
      <c r="I521" s="64">
        <v>1101.8999999999546</v>
      </c>
      <c r="J521" s="658">
        <v>5636</v>
      </c>
    </row>
    <row r="522" spans="2:10" ht="14.4" x14ac:dyDescent="0.3">
      <c r="B522" s="657">
        <v>5609</v>
      </c>
      <c r="C522" s="657">
        <v>1101.7999999999547</v>
      </c>
      <c r="D522" s="658">
        <v>5636</v>
      </c>
      <c r="E522" s="658">
        <v>1101.8999999999546</v>
      </c>
      <c r="G522" s="64">
        <v>1101.8999999999546</v>
      </c>
      <c r="H522" s="658">
        <v>5636</v>
      </c>
      <c r="I522" s="64">
        <v>1101.9999999999545</v>
      </c>
      <c r="J522" s="658">
        <v>5662</v>
      </c>
    </row>
    <row r="523" spans="2:10" ht="14.4" x14ac:dyDescent="0.3">
      <c r="B523" s="657">
        <v>5636</v>
      </c>
      <c r="C523" s="657">
        <v>1101.8999999999546</v>
      </c>
      <c r="D523" s="658">
        <v>5662</v>
      </c>
      <c r="E523" s="658">
        <v>1101.9999999999545</v>
      </c>
      <c r="G523" s="64">
        <v>1101.9999999999545</v>
      </c>
      <c r="H523" s="658">
        <v>5662</v>
      </c>
      <c r="I523" s="64">
        <v>1102.0999999999544</v>
      </c>
      <c r="J523" s="658">
        <v>5689</v>
      </c>
    </row>
    <row r="524" spans="2:10" ht="14.4" x14ac:dyDescent="0.3">
      <c r="B524" s="657">
        <v>5662</v>
      </c>
      <c r="C524" s="657">
        <v>1101.9999999999545</v>
      </c>
      <c r="D524" s="658">
        <v>5689</v>
      </c>
      <c r="E524" s="658">
        <v>1102.0999999999544</v>
      </c>
      <c r="G524" s="64">
        <v>1102.0999999999544</v>
      </c>
      <c r="H524" s="658">
        <v>5689</v>
      </c>
      <c r="I524" s="64">
        <v>1102.1999999999543</v>
      </c>
      <c r="J524" s="658">
        <v>5716</v>
      </c>
    </row>
    <row r="525" spans="2:10" ht="14.4" x14ac:dyDescent="0.3">
      <c r="B525" s="657">
        <v>5689</v>
      </c>
      <c r="C525" s="657">
        <v>1102.0999999999544</v>
      </c>
      <c r="D525" s="658">
        <v>5716</v>
      </c>
      <c r="E525" s="658">
        <v>1102.1999999999543</v>
      </c>
      <c r="G525" s="64">
        <v>1102.1999999999543</v>
      </c>
      <c r="H525" s="658">
        <v>5716</v>
      </c>
      <c r="I525" s="64">
        <v>1102.2999999999543</v>
      </c>
      <c r="J525" s="658">
        <v>5743</v>
      </c>
    </row>
    <row r="526" spans="2:10" ht="14.4" x14ac:dyDescent="0.3">
      <c r="B526" s="657">
        <v>5716</v>
      </c>
      <c r="C526" s="657">
        <v>1102.1999999999543</v>
      </c>
      <c r="D526" s="658">
        <v>5743</v>
      </c>
      <c r="E526" s="658">
        <v>1102.2999999999543</v>
      </c>
      <c r="G526" s="64">
        <v>1102.2999999999543</v>
      </c>
      <c r="H526" s="658">
        <v>5743</v>
      </c>
      <c r="I526" s="64">
        <v>1102.3999999999542</v>
      </c>
      <c r="J526" s="658">
        <v>5770</v>
      </c>
    </row>
    <row r="527" spans="2:10" ht="14.4" x14ac:dyDescent="0.3">
      <c r="B527" s="657">
        <v>5743</v>
      </c>
      <c r="C527" s="657">
        <v>1102.2999999999543</v>
      </c>
      <c r="D527" s="658">
        <v>5770</v>
      </c>
      <c r="E527" s="658">
        <v>1102.3999999999542</v>
      </c>
      <c r="G527" s="64">
        <v>1102.3999999999542</v>
      </c>
      <c r="H527" s="658">
        <v>5770</v>
      </c>
      <c r="I527" s="64">
        <v>1102.4999999999541</v>
      </c>
      <c r="J527" s="658">
        <v>5797</v>
      </c>
    </row>
    <row r="528" spans="2:10" ht="14.4" x14ac:dyDescent="0.3">
      <c r="B528" s="657">
        <v>5770</v>
      </c>
      <c r="C528" s="657">
        <v>1102.3999999999542</v>
      </c>
      <c r="D528" s="658">
        <v>5797</v>
      </c>
      <c r="E528" s="658">
        <v>1102.4999999999541</v>
      </c>
      <c r="G528" s="64">
        <v>1102.4999999999541</v>
      </c>
      <c r="H528" s="658">
        <v>5797</v>
      </c>
      <c r="I528" s="64">
        <v>1102.599999999954</v>
      </c>
      <c r="J528" s="658">
        <v>5824</v>
      </c>
    </row>
    <row r="529" spans="2:10" ht="14.4" x14ac:dyDescent="0.3">
      <c r="B529" s="657">
        <v>5797</v>
      </c>
      <c r="C529" s="657">
        <v>1102.4999999999541</v>
      </c>
      <c r="D529" s="658">
        <v>5824</v>
      </c>
      <c r="E529" s="658">
        <v>1102.599999999954</v>
      </c>
      <c r="G529" s="64">
        <v>1102.599999999954</v>
      </c>
      <c r="H529" s="658">
        <v>5824</v>
      </c>
      <c r="I529" s="64">
        <v>1102.6999999999539</v>
      </c>
      <c r="J529" s="658">
        <v>5850</v>
      </c>
    </row>
    <row r="530" spans="2:10" ht="14.4" x14ac:dyDescent="0.3">
      <c r="B530" s="657">
        <v>5824</v>
      </c>
      <c r="C530" s="657">
        <v>1102.599999999954</v>
      </c>
      <c r="D530" s="658">
        <v>5850</v>
      </c>
      <c r="E530" s="658">
        <v>1102.6999999999539</v>
      </c>
      <c r="G530" s="64">
        <v>1102.6999999999539</v>
      </c>
      <c r="H530" s="658">
        <v>5850</v>
      </c>
      <c r="I530" s="64">
        <v>1102.7999999999538</v>
      </c>
      <c r="J530" s="658">
        <v>5877</v>
      </c>
    </row>
    <row r="531" spans="2:10" ht="14.4" x14ac:dyDescent="0.3">
      <c r="B531" s="657">
        <v>5850</v>
      </c>
      <c r="C531" s="657">
        <v>1102.6999999999539</v>
      </c>
      <c r="D531" s="658">
        <v>5877</v>
      </c>
      <c r="E531" s="658">
        <v>1102.7999999999538</v>
      </c>
      <c r="G531" s="64">
        <v>1102.7999999999538</v>
      </c>
      <c r="H531" s="658">
        <v>5877</v>
      </c>
      <c r="I531" s="64">
        <v>1102.8999999999537</v>
      </c>
      <c r="J531" s="658">
        <v>5904</v>
      </c>
    </row>
    <row r="532" spans="2:10" ht="14.4" x14ac:dyDescent="0.3">
      <c r="B532" s="657">
        <v>5877</v>
      </c>
      <c r="C532" s="657">
        <v>1102.7999999999538</v>
      </c>
      <c r="D532" s="658">
        <v>5904</v>
      </c>
      <c r="E532" s="658">
        <v>1102.8999999999537</v>
      </c>
      <c r="G532" s="64">
        <v>1102.8999999999537</v>
      </c>
      <c r="H532" s="658">
        <v>5904</v>
      </c>
      <c r="I532" s="64">
        <v>1102.9999999999536</v>
      </c>
      <c r="J532" s="658">
        <v>5931</v>
      </c>
    </row>
    <row r="533" spans="2:10" ht="14.4" x14ac:dyDescent="0.3">
      <c r="B533" s="657">
        <v>5904</v>
      </c>
      <c r="C533" s="657">
        <v>1102.8999999999537</v>
      </c>
      <c r="D533" s="658">
        <v>5931</v>
      </c>
      <c r="E533" s="658">
        <v>1102.9999999999536</v>
      </c>
      <c r="G533" s="64">
        <v>1102.9999999999536</v>
      </c>
      <c r="H533" s="658">
        <v>5931</v>
      </c>
      <c r="I533" s="64">
        <v>1103.0999999999535</v>
      </c>
      <c r="J533" s="658">
        <v>5959</v>
      </c>
    </row>
    <row r="534" spans="2:10" ht="14.4" x14ac:dyDescent="0.3">
      <c r="B534" s="657">
        <v>5931</v>
      </c>
      <c r="C534" s="657">
        <v>1102.9999999999536</v>
      </c>
      <c r="D534" s="658">
        <v>5959</v>
      </c>
      <c r="E534" s="658">
        <v>1103.0999999999535</v>
      </c>
      <c r="G534" s="64">
        <v>1103.0999999999535</v>
      </c>
      <c r="H534" s="658">
        <v>5959</v>
      </c>
      <c r="I534" s="64">
        <v>1103.1999999999534</v>
      </c>
      <c r="J534" s="658">
        <v>5986</v>
      </c>
    </row>
    <row r="535" spans="2:10" ht="14.4" x14ac:dyDescent="0.3">
      <c r="B535" s="657">
        <v>5959</v>
      </c>
      <c r="C535" s="657">
        <v>1103.0999999999535</v>
      </c>
      <c r="D535" s="658">
        <v>5986</v>
      </c>
      <c r="E535" s="658">
        <v>1103.1999999999534</v>
      </c>
      <c r="G535" s="64">
        <v>1103.1999999999534</v>
      </c>
      <c r="H535" s="658">
        <v>5986</v>
      </c>
      <c r="I535" s="64">
        <v>1103.2999999999533</v>
      </c>
      <c r="J535" s="658">
        <v>6014</v>
      </c>
    </row>
    <row r="536" spans="2:10" ht="14.4" x14ac:dyDescent="0.3">
      <c r="B536" s="657">
        <v>5986</v>
      </c>
      <c r="C536" s="657">
        <v>1103.1999999999534</v>
      </c>
      <c r="D536" s="658">
        <v>6014</v>
      </c>
      <c r="E536" s="658">
        <v>1103.2999999999533</v>
      </c>
      <c r="G536" s="64">
        <v>1103.2999999999533</v>
      </c>
      <c r="H536" s="658">
        <v>6014</v>
      </c>
      <c r="I536" s="64">
        <v>1103.3999999999533</v>
      </c>
      <c r="J536" s="658">
        <v>6041</v>
      </c>
    </row>
    <row r="537" spans="2:10" ht="14.4" x14ac:dyDescent="0.3">
      <c r="B537" s="657">
        <v>6014</v>
      </c>
      <c r="C537" s="657">
        <v>1103.2999999999533</v>
      </c>
      <c r="D537" s="658">
        <v>6041</v>
      </c>
      <c r="E537" s="658">
        <v>1103.3999999999533</v>
      </c>
      <c r="G537" s="64">
        <v>1103.3999999999533</v>
      </c>
      <c r="H537" s="658">
        <v>6041</v>
      </c>
      <c r="I537" s="64">
        <v>1103.4999999999532</v>
      </c>
      <c r="J537" s="658">
        <v>6069</v>
      </c>
    </row>
    <row r="538" spans="2:10" ht="14.4" x14ac:dyDescent="0.3">
      <c r="B538" s="657">
        <v>6041</v>
      </c>
      <c r="C538" s="657">
        <v>1103.3999999999533</v>
      </c>
      <c r="D538" s="658">
        <v>6069</v>
      </c>
      <c r="E538" s="658">
        <v>1103.4999999999532</v>
      </c>
      <c r="G538" s="64">
        <v>1103.4999999999532</v>
      </c>
      <c r="H538" s="658">
        <v>6069</v>
      </c>
      <c r="I538" s="64">
        <v>1103.5999999999531</v>
      </c>
      <c r="J538" s="658">
        <v>6096</v>
      </c>
    </row>
    <row r="539" spans="2:10" ht="14.4" x14ac:dyDescent="0.3">
      <c r="B539" s="657">
        <v>6069</v>
      </c>
      <c r="C539" s="657">
        <v>1103.4999999999532</v>
      </c>
      <c r="D539" s="658">
        <v>6096</v>
      </c>
      <c r="E539" s="658">
        <v>1103.5999999999531</v>
      </c>
      <c r="G539" s="64">
        <v>1103.5999999999531</v>
      </c>
      <c r="H539" s="658">
        <v>6096</v>
      </c>
      <c r="I539" s="64">
        <v>1103.699999999953</v>
      </c>
      <c r="J539" s="658">
        <v>6124</v>
      </c>
    </row>
    <row r="540" spans="2:10" ht="14.4" x14ac:dyDescent="0.3">
      <c r="B540" s="657">
        <v>6096</v>
      </c>
      <c r="C540" s="657">
        <v>1103.5999999999531</v>
      </c>
      <c r="D540" s="658">
        <v>6124</v>
      </c>
      <c r="E540" s="658">
        <v>1103.699999999953</v>
      </c>
      <c r="G540" s="64">
        <v>1103.699999999953</v>
      </c>
      <c r="H540" s="658">
        <v>6124</v>
      </c>
      <c r="I540" s="64">
        <v>1103.7999999999529</v>
      </c>
      <c r="J540" s="658">
        <v>6151</v>
      </c>
    </row>
    <row r="541" spans="2:10" ht="14.4" x14ac:dyDescent="0.3">
      <c r="B541" s="657">
        <v>6124</v>
      </c>
      <c r="C541" s="657">
        <v>1103.699999999953</v>
      </c>
      <c r="D541" s="658">
        <v>6151</v>
      </c>
      <c r="E541" s="658">
        <v>1103.7999999999529</v>
      </c>
      <c r="G541" s="64">
        <v>1103.7999999999529</v>
      </c>
      <c r="H541" s="658">
        <v>6151</v>
      </c>
      <c r="I541" s="64">
        <v>1103.8999999999528</v>
      </c>
      <c r="J541" s="658">
        <v>6179</v>
      </c>
    </row>
    <row r="542" spans="2:10" ht="14.4" x14ac:dyDescent="0.3">
      <c r="B542" s="657">
        <v>6151</v>
      </c>
      <c r="C542" s="657">
        <v>1103.7999999999529</v>
      </c>
      <c r="D542" s="658">
        <v>6179</v>
      </c>
      <c r="E542" s="658">
        <v>1103.8999999999528</v>
      </c>
      <c r="G542" s="64">
        <v>1103.8999999999528</v>
      </c>
      <c r="H542" s="658">
        <v>6179</v>
      </c>
      <c r="I542" s="64">
        <v>1103.9999999999527</v>
      </c>
      <c r="J542" s="658">
        <v>6206</v>
      </c>
    </row>
    <row r="543" spans="2:10" ht="14.4" x14ac:dyDescent="0.3">
      <c r="B543" s="657">
        <v>6179</v>
      </c>
      <c r="C543" s="657">
        <v>1103.8999999999528</v>
      </c>
      <c r="D543" s="658">
        <v>6206</v>
      </c>
      <c r="E543" s="658">
        <v>1103.9999999999527</v>
      </c>
      <c r="G543" s="64">
        <v>1103.9999999999527</v>
      </c>
      <c r="H543" s="658">
        <v>6206</v>
      </c>
      <c r="I543" s="64">
        <v>1104.0999999999526</v>
      </c>
      <c r="J543" s="658">
        <v>6234</v>
      </c>
    </row>
    <row r="544" spans="2:10" ht="14.4" x14ac:dyDescent="0.3">
      <c r="B544" s="657">
        <v>6206</v>
      </c>
      <c r="C544" s="657">
        <v>1103.9999999999527</v>
      </c>
      <c r="D544" s="658">
        <v>6234</v>
      </c>
      <c r="E544" s="658">
        <v>1104.0999999999526</v>
      </c>
      <c r="G544" s="64">
        <v>1104.0999999999526</v>
      </c>
      <c r="H544" s="658">
        <v>6234</v>
      </c>
      <c r="I544" s="64">
        <v>1104.1999999999525</v>
      </c>
      <c r="J544" s="658">
        <v>6263</v>
      </c>
    </row>
    <row r="545" spans="2:10" ht="14.4" x14ac:dyDescent="0.3">
      <c r="B545" s="657">
        <v>6234</v>
      </c>
      <c r="C545" s="657">
        <v>1104.0999999999526</v>
      </c>
      <c r="D545" s="658">
        <v>6263</v>
      </c>
      <c r="E545" s="658">
        <v>1104.1999999999525</v>
      </c>
      <c r="G545" s="64">
        <v>1104.1999999999525</v>
      </c>
      <c r="H545" s="658">
        <v>6263</v>
      </c>
      <c r="I545" s="64">
        <v>1104.2999999999524</v>
      </c>
      <c r="J545" s="658">
        <v>6291</v>
      </c>
    </row>
    <row r="546" spans="2:10" ht="14.4" x14ac:dyDescent="0.3">
      <c r="B546" s="657">
        <v>6263</v>
      </c>
      <c r="C546" s="657">
        <v>1104.1999999999525</v>
      </c>
      <c r="D546" s="658">
        <v>6291</v>
      </c>
      <c r="E546" s="658">
        <v>1104.2999999999524</v>
      </c>
      <c r="G546" s="64">
        <v>1104.2999999999524</v>
      </c>
      <c r="H546" s="658">
        <v>6291</v>
      </c>
      <c r="I546" s="64">
        <v>1104.3999999999523</v>
      </c>
      <c r="J546" s="658">
        <v>6319</v>
      </c>
    </row>
    <row r="547" spans="2:10" ht="14.4" x14ac:dyDescent="0.3">
      <c r="B547" s="657">
        <v>6291</v>
      </c>
      <c r="C547" s="657">
        <v>1104.2999999999524</v>
      </c>
      <c r="D547" s="658">
        <v>6319</v>
      </c>
      <c r="E547" s="658">
        <v>1104.3999999999523</v>
      </c>
      <c r="G547" s="64">
        <v>1104.3999999999523</v>
      </c>
      <c r="H547" s="658">
        <v>6319</v>
      </c>
      <c r="I547" s="64">
        <v>1104.4999999999523</v>
      </c>
      <c r="J547" s="658">
        <v>6347</v>
      </c>
    </row>
    <row r="548" spans="2:10" ht="14.4" x14ac:dyDescent="0.3">
      <c r="B548" s="657">
        <v>6319</v>
      </c>
      <c r="C548" s="657">
        <v>1104.3999999999523</v>
      </c>
      <c r="D548" s="658">
        <v>6347</v>
      </c>
      <c r="E548" s="658">
        <v>1104.4999999999523</v>
      </c>
      <c r="G548" s="64">
        <v>1104.4999999999523</v>
      </c>
      <c r="H548" s="658">
        <v>6347</v>
      </c>
      <c r="I548" s="64">
        <v>1104.5999999999522</v>
      </c>
      <c r="J548" s="658">
        <v>6375</v>
      </c>
    </row>
    <row r="549" spans="2:10" ht="14.4" x14ac:dyDescent="0.3">
      <c r="B549" s="657">
        <v>6347</v>
      </c>
      <c r="C549" s="657">
        <v>1104.4999999999523</v>
      </c>
      <c r="D549" s="658">
        <v>6375</v>
      </c>
      <c r="E549" s="658">
        <v>1104.5999999999522</v>
      </c>
      <c r="G549" s="64">
        <v>1104.5999999999522</v>
      </c>
      <c r="H549" s="658">
        <v>6375</v>
      </c>
      <c r="I549" s="64">
        <v>1104.6999999999521</v>
      </c>
      <c r="J549" s="658">
        <v>6403</v>
      </c>
    </row>
    <row r="550" spans="2:10" ht="14.4" x14ac:dyDescent="0.3">
      <c r="B550" s="657">
        <v>6375</v>
      </c>
      <c r="C550" s="657">
        <v>1104.5999999999522</v>
      </c>
      <c r="D550" s="658">
        <v>6403</v>
      </c>
      <c r="E550" s="658">
        <v>1104.6999999999521</v>
      </c>
      <c r="G550" s="64">
        <v>1104.6999999999521</v>
      </c>
      <c r="H550" s="658">
        <v>6403</v>
      </c>
      <c r="I550" s="64">
        <v>1104.799999999952</v>
      </c>
      <c r="J550" s="658">
        <v>6431</v>
      </c>
    </row>
    <row r="551" spans="2:10" ht="14.4" x14ac:dyDescent="0.3">
      <c r="B551" s="657">
        <v>6403</v>
      </c>
      <c r="C551" s="657">
        <v>1104.6999999999521</v>
      </c>
      <c r="D551" s="658">
        <v>6431</v>
      </c>
      <c r="E551" s="658">
        <v>1104.799999999952</v>
      </c>
      <c r="G551" s="64">
        <v>1104.799999999952</v>
      </c>
      <c r="H551" s="658">
        <v>6431</v>
      </c>
      <c r="I551" s="64">
        <v>1104.8999999999519</v>
      </c>
      <c r="J551" s="658">
        <v>6459</v>
      </c>
    </row>
    <row r="552" spans="2:10" ht="14.4" x14ac:dyDescent="0.3">
      <c r="B552" s="657">
        <v>6431</v>
      </c>
      <c r="C552" s="657">
        <v>1104.799999999952</v>
      </c>
      <c r="D552" s="658">
        <v>6459</v>
      </c>
      <c r="E552" s="658">
        <v>1104.8999999999519</v>
      </c>
      <c r="G552" s="64">
        <v>1104.8999999999519</v>
      </c>
      <c r="H552" s="658">
        <v>6459</v>
      </c>
      <c r="I552" s="64">
        <v>1104.9999999999518</v>
      </c>
      <c r="J552" s="658">
        <v>6488</v>
      </c>
    </row>
    <row r="553" spans="2:10" ht="14.4" x14ac:dyDescent="0.3">
      <c r="B553" s="657">
        <v>6459</v>
      </c>
      <c r="C553" s="657">
        <v>1104.8999999999519</v>
      </c>
      <c r="D553" s="658">
        <v>6488</v>
      </c>
      <c r="E553" s="658">
        <v>1104.9999999999518</v>
      </c>
      <c r="G553" s="64">
        <v>1104.9999999999518</v>
      </c>
      <c r="H553" s="658">
        <v>6488</v>
      </c>
      <c r="I553" s="64">
        <v>1105.0999999999517</v>
      </c>
      <c r="J553" s="658">
        <v>6516</v>
      </c>
    </row>
    <row r="554" spans="2:10" ht="14.4" x14ac:dyDescent="0.3">
      <c r="B554" s="657">
        <v>6488</v>
      </c>
      <c r="C554" s="657">
        <v>1104.9999999999518</v>
      </c>
      <c r="D554" s="658">
        <v>6516</v>
      </c>
      <c r="E554" s="658">
        <v>1105.0999999999517</v>
      </c>
      <c r="G554" s="64">
        <v>1105.0999999999517</v>
      </c>
      <c r="H554" s="658">
        <v>6516</v>
      </c>
      <c r="I554" s="64">
        <v>1105.1999999999516</v>
      </c>
      <c r="J554" s="658">
        <v>6545</v>
      </c>
    </row>
    <row r="555" spans="2:10" ht="14.4" x14ac:dyDescent="0.3">
      <c r="B555" s="657">
        <v>6516</v>
      </c>
      <c r="C555" s="657">
        <v>1105.0999999999517</v>
      </c>
      <c r="D555" s="658">
        <v>6545</v>
      </c>
      <c r="E555" s="658">
        <v>1105.1999999999516</v>
      </c>
      <c r="G555" s="64">
        <v>1105.1999999999516</v>
      </c>
      <c r="H555" s="658">
        <v>6545</v>
      </c>
      <c r="I555" s="64">
        <v>1105.2999999999515</v>
      </c>
      <c r="J555" s="658">
        <v>6574</v>
      </c>
    </row>
    <row r="556" spans="2:10" ht="14.4" x14ac:dyDescent="0.3">
      <c r="B556" s="657">
        <v>6545</v>
      </c>
      <c r="C556" s="657">
        <v>1105.1999999999516</v>
      </c>
      <c r="D556" s="658">
        <v>6574</v>
      </c>
      <c r="E556" s="658">
        <v>1105.2999999999515</v>
      </c>
      <c r="G556" s="64">
        <v>1105.2999999999515</v>
      </c>
      <c r="H556" s="658">
        <v>6574</v>
      </c>
      <c r="I556" s="64">
        <v>1105.3999999999514</v>
      </c>
      <c r="J556" s="658">
        <v>6603</v>
      </c>
    </row>
    <row r="557" spans="2:10" ht="14.4" x14ac:dyDescent="0.3">
      <c r="B557" s="657">
        <v>6574</v>
      </c>
      <c r="C557" s="657">
        <v>1105.2999999999515</v>
      </c>
      <c r="D557" s="658">
        <v>6603</v>
      </c>
      <c r="E557" s="658">
        <v>1105.3999999999514</v>
      </c>
      <c r="G557" s="64">
        <v>1105.3999999999514</v>
      </c>
      <c r="H557" s="658">
        <v>6603</v>
      </c>
      <c r="I557" s="64">
        <v>1105.4999999999513</v>
      </c>
      <c r="J557" s="658">
        <v>6632</v>
      </c>
    </row>
    <row r="558" spans="2:10" ht="14.4" x14ac:dyDescent="0.3">
      <c r="B558" s="657">
        <v>6603</v>
      </c>
      <c r="C558" s="657">
        <v>1105.3999999999514</v>
      </c>
      <c r="D558" s="658">
        <v>6632</v>
      </c>
      <c r="E558" s="658">
        <v>1105.4999999999513</v>
      </c>
      <c r="G558" s="64">
        <v>1105.4999999999513</v>
      </c>
      <c r="H558" s="658">
        <v>6632</v>
      </c>
      <c r="I558" s="64">
        <v>1105.5999999999513</v>
      </c>
      <c r="J558" s="658">
        <v>6660</v>
      </c>
    </row>
    <row r="559" spans="2:10" ht="14.4" x14ac:dyDescent="0.3">
      <c r="B559" s="657">
        <v>6632</v>
      </c>
      <c r="C559" s="657">
        <v>1105.4999999999513</v>
      </c>
      <c r="D559" s="658">
        <v>6660</v>
      </c>
      <c r="E559" s="658">
        <v>1105.5999999999513</v>
      </c>
      <c r="G559" s="64">
        <v>1105.5999999999513</v>
      </c>
      <c r="H559" s="658">
        <v>6660</v>
      </c>
      <c r="I559" s="64">
        <v>1105.6999999999512</v>
      </c>
      <c r="J559" s="658">
        <v>6689</v>
      </c>
    </row>
    <row r="560" spans="2:10" ht="14.4" x14ac:dyDescent="0.3">
      <c r="B560" s="657">
        <v>6660</v>
      </c>
      <c r="C560" s="657">
        <v>1105.5999999999513</v>
      </c>
      <c r="D560" s="658">
        <v>6689</v>
      </c>
      <c r="E560" s="658">
        <v>1105.6999999999512</v>
      </c>
      <c r="G560" s="64">
        <v>1105.6999999999512</v>
      </c>
      <c r="H560" s="658">
        <v>6689</v>
      </c>
      <c r="I560" s="64">
        <v>1105.7999999999511</v>
      </c>
      <c r="J560" s="658">
        <v>6718</v>
      </c>
    </row>
    <row r="561" spans="2:10" ht="14.4" x14ac:dyDescent="0.3">
      <c r="B561" s="657">
        <v>6689</v>
      </c>
      <c r="C561" s="657">
        <v>1105.6999999999512</v>
      </c>
      <c r="D561" s="658">
        <v>6718</v>
      </c>
      <c r="E561" s="658">
        <v>1105.7999999999511</v>
      </c>
      <c r="G561" s="64">
        <v>1105.7999999999511</v>
      </c>
      <c r="H561" s="658">
        <v>6718</v>
      </c>
      <c r="I561" s="64">
        <v>1105.899999999951</v>
      </c>
      <c r="J561" s="658">
        <v>6747</v>
      </c>
    </row>
    <row r="562" spans="2:10" ht="14.4" x14ac:dyDescent="0.3">
      <c r="B562" s="657">
        <v>6718</v>
      </c>
      <c r="C562" s="657">
        <v>1105.7999999999511</v>
      </c>
      <c r="D562" s="658">
        <v>6747</v>
      </c>
      <c r="E562" s="658">
        <v>1105.899999999951</v>
      </c>
      <c r="G562" s="64">
        <v>1105.899999999951</v>
      </c>
      <c r="H562" s="658">
        <v>6747</v>
      </c>
      <c r="I562" s="64">
        <v>1105.9999999999509</v>
      </c>
      <c r="J562" s="658">
        <v>6776</v>
      </c>
    </row>
    <row r="563" spans="2:10" ht="14.4" x14ac:dyDescent="0.3">
      <c r="B563" s="657">
        <v>6747</v>
      </c>
      <c r="C563" s="657">
        <v>1105.899999999951</v>
      </c>
      <c r="D563" s="658">
        <v>6776</v>
      </c>
      <c r="E563" s="658">
        <v>1105.9999999999509</v>
      </c>
      <c r="G563" s="64">
        <v>1105.9999999999509</v>
      </c>
      <c r="H563" s="658">
        <v>6776</v>
      </c>
      <c r="I563" s="64">
        <v>1106.0999999999508</v>
      </c>
      <c r="J563" s="658">
        <v>6805</v>
      </c>
    </row>
    <row r="564" spans="2:10" ht="14.4" x14ac:dyDescent="0.3">
      <c r="B564" s="657">
        <v>6776</v>
      </c>
      <c r="C564" s="657">
        <v>1105.9999999999509</v>
      </c>
      <c r="D564" s="658">
        <v>6805</v>
      </c>
      <c r="E564" s="658">
        <v>1106.0999999999508</v>
      </c>
      <c r="G564" s="64">
        <v>1106.0999999999508</v>
      </c>
      <c r="H564" s="658">
        <v>6805</v>
      </c>
      <c r="I564" s="64">
        <v>1106.1999999999507</v>
      </c>
      <c r="J564" s="658">
        <v>6834</v>
      </c>
    </row>
    <row r="565" spans="2:10" ht="14.4" x14ac:dyDescent="0.3">
      <c r="B565" s="657">
        <v>6805</v>
      </c>
      <c r="C565" s="657">
        <v>1106.0999999999508</v>
      </c>
      <c r="D565" s="658">
        <v>6834</v>
      </c>
      <c r="E565" s="658">
        <v>1106.1999999999507</v>
      </c>
      <c r="G565" s="64">
        <v>1106.1999999999507</v>
      </c>
      <c r="H565" s="658">
        <v>6834</v>
      </c>
      <c r="I565" s="64">
        <v>1106.2999999999506</v>
      </c>
      <c r="J565" s="658">
        <v>6864</v>
      </c>
    </row>
    <row r="566" spans="2:10" ht="14.4" x14ac:dyDescent="0.3">
      <c r="B566" s="657">
        <v>6834</v>
      </c>
      <c r="C566" s="657">
        <v>1106.1999999999507</v>
      </c>
      <c r="D566" s="658">
        <v>6864</v>
      </c>
      <c r="E566" s="658">
        <v>1106.2999999999506</v>
      </c>
      <c r="G566" s="64">
        <v>1106.2999999999506</v>
      </c>
      <c r="H566" s="658">
        <v>6864</v>
      </c>
      <c r="I566" s="64">
        <v>1106.3999999999505</v>
      </c>
      <c r="J566" s="658">
        <v>6893</v>
      </c>
    </row>
    <row r="567" spans="2:10" ht="14.4" x14ac:dyDescent="0.3">
      <c r="B567" s="657">
        <v>6864</v>
      </c>
      <c r="C567" s="657">
        <v>1106.2999999999506</v>
      </c>
      <c r="D567" s="658">
        <v>6893</v>
      </c>
      <c r="E567" s="658">
        <v>1106.3999999999505</v>
      </c>
      <c r="G567" s="64">
        <v>1106.3999999999505</v>
      </c>
      <c r="H567" s="658">
        <v>6893</v>
      </c>
      <c r="I567" s="64">
        <v>1106.4999999999504</v>
      </c>
      <c r="J567" s="658">
        <v>6922</v>
      </c>
    </row>
    <row r="568" spans="2:10" ht="14.4" x14ac:dyDescent="0.3">
      <c r="B568" s="657">
        <v>6893</v>
      </c>
      <c r="C568" s="657">
        <v>1106.3999999999505</v>
      </c>
      <c r="D568" s="658">
        <v>6922</v>
      </c>
      <c r="E568" s="658">
        <v>1106.4999999999504</v>
      </c>
      <c r="G568" s="64">
        <v>1106.4999999999504</v>
      </c>
      <c r="H568" s="658">
        <v>6922</v>
      </c>
      <c r="I568" s="64">
        <v>1106.5999999999503</v>
      </c>
      <c r="J568" s="658">
        <v>6952</v>
      </c>
    </row>
    <row r="569" spans="2:10" ht="14.4" x14ac:dyDescent="0.3">
      <c r="B569" s="657">
        <v>6922</v>
      </c>
      <c r="C569" s="657">
        <v>1106.4999999999504</v>
      </c>
      <c r="D569" s="658">
        <v>6952</v>
      </c>
      <c r="E569" s="658">
        <v>1106.5999999999503</v>
      </c>
      <c r="G569" s="64">
        <v>1106.5999999999503</v>
      </c>
      <c r="H569" s="658">
        <v>6952</v>
      </c>
      <c r="I569" s="64">
        <v>1106.6999999999503</v>
      </c>
      <c r="J569" s="658">
        <v>6981</v>
      </c>
    </row>
    <row r="570" spans="2:10" ht="14.4" x14ac:dyDescent="0.3">
      <c r="B570" s="657">
        <v>6952</v>
      </c>
      <c r="C570" s="657">
        <v>1106.5999999999503</v>
      </c>
      <c r="D570" s="658">
        <v>6981</v>
      </c>
      <c r="E570" s="658">
        <v>1106.6999999999503</v>
      </c>
      <c r="G570" s="64">
        <v>1106.6999999999503</v>
      </c>
      <c r="H570" s="658">
        <v>6981</v>
      </c>
      <c r="I570" s="64">
        <v>1106.7999999999502</v>
      </c>
      <c r="J570" s="658">
        <v>7011</v>
      </c>
    </row>
    <row r="571" spans="2:10" ht="14.4" x14ac:dyDescent="0.3">
      <c r="B571" s="657">
        <v>6981</v>
      </c>
      <c r="C571" s="657">
        <v>1106.6999999999503</v>
      </c>
      <c r="D571" s="658">
        <v>7011</v>
      </c>
      <c r="E571" s="658">
        <v>1106.7999999999502</v>
      </c>
      <c r="G571" s="64">
        <v>1106.7999999999502</v>
      </c>
      <c r="H571" s="658">
        <v>7011</v>
      </c>
      <c r="I571" s="64">
        <v>1106.8999999999501</v>
      </c>
      <c r="J571" s="658">
        <v>7040</v>
      </c>
    </row>
    <row r="572" spans="2:10" ht="14.4" x14ac:dyDescent="0.3">
      <c r="B572" s="657">
        <v>7011</v>
      </c>
      <c r="C572" s="657">
        <v>1106.7999999999502</v>
      </c>
      <c r="D572" s="658">
        <v>7040</v>
      </c>
      <c r="E572" s="658">
        <v>1106.8999999999501</v>
      </c>
      <c r="G572" s="64">
        <v>1106.8999999999501</v>
      </c>
      <c r="H572" s="658">
        <v>7040</v>
      </c>
      <c r="I572" s="64">
        <v>1106.99999999995</v>
      </c>
      <c r="J572" s="658">
        <v>7069</v>
      </c>
    </row>
    <row r="573" spans="2:10" ht="14.4" x14ac:dyDescent="0.3">
      <c r="B573" s="657">
        <v>7040</v>
      </c>
      <c r="C573" s="657">
        <v>1106.8999999999501</v>
      </c>
      <c r="D573" s="658">
        <v>7069</v>
      </c>
      <c r="E573" s="658">
        <v>1106.99999999995</v>
      </c>
      <c r="G573" s="64">
        <v>1106.99999999995</v>
      </c>
      <c r="H573" s="658">
        <v>7069</v>
      </c>
      <c r="I573" s="64">
        <v>1107.0999999999499</v>
      </c>
      <c r="J573" s="658">
        <v>7099</v>
      </c>
    </row>
    <row r="574" spans="2:10" ht="14.4" x14ac:dyDescent="0.3">
      <c r="B574" s="657">
        <v>7069</v>
      </c>
      <c r="C574" s="657">
        <v>1106.99999999995</v>
      </c>
      <c r="D574" s="658">
        <v>7099</v>
      </c>
      <c r="E574" s="658">
        <v>1107.0999999999499</v>
      </c>
      <c r="G574" s="64">
        <v>1107.0999999999499</v>
      </c>
      <c r="H574" s="658">
        <v>7099</v>
      </c>
      <c r="I574" s="64">
        <v>1107.1999999999498</v>
      </c>
      <c r="J574" s="658">
        <v>7129</v>
      </c>
    </row>
    <row r="575" spans="2:10" ht="14.4" x14ac:dyDescent="0.3">
      <c r="B575" s="657">
        <v>7099</v>
      </c>
      <c r="C575" s="657">
        <v>1107.0999999999499</v>
      </c>
      <c r="D575" s="658">
        <v>7129</v>
      </c>
      <c r="E575" s="658">
        <v>1107.1999999999498</v>
      </c>
      <c r="G575" s="64">
        <v>1107.1999999999498</v>
      </c>
      <c r="H575" s="658">
        <v>7129</v>
      </c>
      <c r="I575" s="64">
        <v>1107.2999999999497</v>
      </c>
      <c r="J575" s="658">
        <v>7159</v>
      </c>
    </row>
    <row r="576" spans="2:10" ht="14.4" x14ac:dyDescent="0.3">
      <c r="B576" s="657">
        <v>7129</v>
      </c>
      <c r="C576" s="657">
        <v>1107.1999999999498</v>
      </c>
      <c r="D576" s="658">
        <v>7159</v>
      </c>
      <c r="E576" s="658">
        <v>1107.2999999999497</v>
      </c>
      <c r="G576" s="64">
        <v>1107.2999999999497</v>
      </c>
      <c r="H576" s="658">
        <v>7159</v>
      </c>
      <c r="I576" s="64">
        <v>1107.3999999999496</v>
      </c>
      <c r="J576" s="658">
        <v>7189</v>
      </c>
    </row>
    <row r="577" spans="2:10" ht="14.4" x14ac:dyDescent="0.3">
      <c r="B577" s="657">
        <v>7159</v>
      </c>
      <c r="C577" s="657">
        <v>1107.2999999999497</v>
      </c>
      <c r="D577" s="658">
        <v>7189</v>
      </c>
      <c r="E577" s="658">
        <v>1107.3999999999496</v>
      </c>
      <c r="G577" s="64">
        <v>1107.3999999999496</v>
      </c>
      <c r="H577" s="658">
        <v>7189</v>
      </c>
      <c r="I577" s="64">
        <v>1107.4999999999495</v>
      </c>
      <c r="J577" s="658">
        <v>7219</v>
      </c>
    </row>
    <row r="578" spans="2:10" ht="14.4" x14ac:dyDescent="0.3">
      <c r="B578" s="657">
        <v>7189</v>
      </c>
      <c r="C578" s="657">
        <v>1107.3999999999496</v>
      </c>
      <c r="D578" s="658">
        <v>7219</v>
      </c>
      <c r="E578" s="658">
        <v>1107.4999999999495</v>
      </c>
      <c r="G578" s="64">
        <v>1107.4999999999495</v>
      </c>
      <c r="H578" s="658">
        <v>7219</v>
      </c>
      <c r="I578" s="64">
        <v>1107.5999999999494</v>
      </c>
      <c r="J578" s="658">
        <v>7249</v>
      </c>
    </row>
    <row r="579" spans="2:10" ht="14.4" x14ac:dyDescent="0.3">
      <c r="B579" s="657">
        <v>7219</v>
      </c>
      <c r="C579" s="657">
        <v>1107.4999999999495</v>
      </c>
      <c r="D579" s="658">
        <v>7249</v>
      </c>
      <c r="E579" s="658">
        <v>1107.5999999999494</v>
      </c>
      <c r="G579" s="64">
        <v>1107.5999999999494</v>
      </c>
      <c r="H579" s="658">
        <v>7249</v>
      </c>
      <c r="I579" s="64">
        <v>1107.6999999999493</v>
      </c>
      <c r="J579" s="658">
        <v>7279</v>
      </c>
    </row>
    <row r="580" spans="2:10" ht="14.4" x14ac:dyDescent="0.3">
      <c r="B580" s="657">
        <v>7249</v>
      </c>
      <c r="C580" s="657">
        <v>1107.5999999999494</v>
      </c>
      <c r="D580" s="658">
        <v>7279</v>
      </c>
      <c r="E580" s="658">
        <v>1107.6999999999493</v>
      </c>
      <c r="G580" s="64">
        <v>1107.6999999999493</v>
      </c>
      <c r="H580" s="658">
        <v>7279</v>
      </c>
      <c r="I580" s="64">
        <v>1107.7999999999493</v>
      </c>
      <c r="J580" s="658">
        <v>7309</v>
      </c>
    </row>
    <row r="581" spans="2:10" ht="14.4" x14ac:dyDescent="0.3">
      <c r="B581" s="657">
        <v>7279</v>
      </c>
      <c r="C581" s="657">
        <v>1107.6999999999493</v>
      </c>
      <c r="D581" s="658">
        <v>7309</v>
      </c>
      <c r="E581" s="658">
        <v>1107.7999999999493</v>
      </c>
      <c r="G581" s="64">
        <v>1107.7999999999493</v>
      </c>
      <c r="H581" s="658">
        <v>7309</v>
      </c>
      <c r="I581" s="64">
        <v>1107.8999999999492</v>
      </c>
      <c r="J581" s="658">
        <v>7339</v>
      </c>
    </row>
    <row r="582" spans="2:10" ht="14.4" x14ac:dyDescent="0.3">
      <c r="B582" s="657">
        <v>7309</v>
      </c>
      <c r="C582" s="657">
        <v>1107.7999999999493</v>
      </c>
      <c r="D582" s="658">
        <v>7339</v>
      </c>
      <c r="E582" s="658">
        <v>1107.8999999999492</v>
      </c>
      <c r="G582" s="64">
        <v>1107.8999999999492</v>
      </c>
      <c r="H582" s="658">
        <v>7339</v>
      </c>
      <c r="I582" s="64">
        <v>1107.9999999999491</v>
      </c>
      <c r="J582" s="658">
        <v>7369</v>
      </c>
    </row>
    <row r="583" spans="2:10" ht="14.4" x14ac:dyDescent="0.3">
      <c r="B583" s="657">
        <v>7339</v>
      </c>
      <c r="C583" s="657">
        <v>1107.8999999999492</v>
      </c>
      <c r="D583" s="658">
        <v>7369</v>
      </c>
      <c r="E583" s="658">
        <v>1107.9999999999491</v>
      </c>
      <c r="G583" s="64">
        <v>1107.9999999999491</v>
      </c>
      <c r="H583" s="658">
        <v>7369</v>
      </c>
      <c r="I583" s="64">
        <v>1108.099999999949</v>
      </c>
      <c r="J583" s="658">
        <v>7400</v>
      </c>
    </row>
    <row r="584" spans="2:10" ht="14.4" x14ac:dyDescent="0.3">
      <c r="B584" s="657">
        <v>7369</v>
      </c>
      <c r="C584" s="657">
        <v>1107.9999999999491</v>
      </c>
      <c r="D584" s="658">
        <v>7400</v>
      </c>
      <c r="E584" s="658">
        <v>1108.099999999949</v>
      </c>
      <c r="G584" s="64">
        <v>1108.099999999949</v>
      </c>
      <c r="H584" s="658">
        <v>7400</v>
      </c>
      <c r="I584" s="64">
        <v>1108.1999999999489</v>
      </c>
      <c r="J584" s="658">
        <v>7430</v>
      </c>
    </row>
    <row r="585" spans="2:10" ht="14.4" x14ac:dyDescent="0.3">
      <c r="B585" s="657">
        <v>7400</v>
      </c>
      <c r="C585" s="657">
        <v>1108.099999999949</v>
      </c>
      <c r="D585" s="658">
        <v>7430</v>
      </c>
      <c r="E585" s="658">
        <v>1108.1999999999489</v>
      </c>
      <c r="G585" s="64">
        <v>1108.1999999999489</v>
      </c>
      <c r="H585" s="658">
        <v>7430</v>
      </c>
      <c r="I585" s="64">
        <v>1108.2999999999488</v>
      </c>
      <c r="J585" s="658">
        <v>7461</v>
      </c>
    </row>
    <row r="586" spans="2:10" ht="14.4" x14ac:dyDescent="0.3">
      <c r="B586" s="657">
        <v>7430</v>
      </c>
      <c r="C586" s="657">
        <v>1108.1999999999489</v>
      </c>
      <c r="D586" s="658">
        <v>7461</v>
      </c>
      <c r="E586" s="658">
        <v>1108.2999999999488</v>
      </c>
      <c r="G586" s="64">
        <v>1108.2999999999488</v>
      </c>
      <c r="H586" s="658">
        <v>7461</v>
      </c>
      <c r="I586" s="64">
        <v>1108.3999999999487</v>
      </c>
      <c r="J586" s="658">
        <v>7492</v>
      </c>
    </row>
    <row r="587" spans="2:10" ht="14.4" x14ac:dyDescent="0.3">
      <c r="B587" s="657">
        <v>7461</v>
      </c>
      <c r="C587" s="657">
        <v>1108.2999999999488</v>
      </c>
      <c r="D587" s="658">
        <v>7492</v>
      </c>
      <c r="E587" s="658">
        <v>1108.3999999999487</v>
      </c>
      <c r="G587" s="64">
        <v>1108.3999999999487</v>
      </c>
      <c r="H587" s="658">
        <v>7492</v>
      </c>
      <c r="I587" s="64">
        <v>1108.4999999999486</v>
      </c>
      <c r="J587" s="658">
        <v>7522</v>
      </c>
    </row>
    <row r="588" spans="2:10" ht="14.4" x14ac:dyDescent="0.3">
      <c r="B588" s="657">
        <v>7492</v>
      </c>
      <c r="C588" s="657">
        <v>1108.3999999999487</v>
      </c>
      <c r="D588" s="658">
        <v>7522</v>
      </c>
      <c r="E588" s="658">
        <v>1108.4999999999486</v>
      </c>
      <c r="G588" s="64">
        <v>1108.4999999999486</v>
      </c>
      <c r="H588" s="658">
        <v>7522</v>
      </c>
      <c r="I588" s="64">
        <v>1108.5999999999485</v>
      </c>
      <c r="J588" s="658">
        <v>7553</v>
      </c>
    </row>
    <row r="589" spans="2:10" ht="14.4" x14ac:dyDescent="0.3">
      <c r="B589" s="657">
        <v>7522</v>
      </c>
      <c r="C589" s="657">
        <v>1108.4999999999486</v>
      </c>
      <c r="D589" s="658">
        <v>7553</v>
      </c>
      <c r="E589" s="658">
        <v>1108.5999999999485</v>
      </c>
      <c r="G589" s="64">
        <v>1108.5999999999485</v>
      </c>
      <c r="H589" s="658">
        <v>7553</v>
      </c>
      <c r="I589" s="64">
        <v>1108.6999999999484</v>
      </c>
      <c r="J589" s="658">
        <v>7584</v>
      </c>
    </row>
    <row r="590" spans="2:10" ht="14.4" x14ac:dyDescent="0.3">
      <c r="B590" s="657">
        <v>7553</v>
      </c>
      <c r="C590" s="657">
        <v>1108.5999999999485</v>
      </c>
      <c r="D590" s="658">
        <v>7584</v>
      </c>
      <c r="E590" s="658">
        <v>1108.6999999999484</v>
      </c>
      <c r="G590" s="64">
        <v>1108.6999999999484</v>
      </c>
      <c r="H590" s="658">
        <v>7584</v>
      </c>
      <c r="I590" s="64">
        <v>1108.7999999999483</v>
      </c>
      <c r="J590" s="658">
        <v>7614</v>
      </c>
    </row>
    <row r="591" spans="2:10" ht="14.4" x14ac:dyDescent="0.3">
      <c r="B591" s="657">
        <v>7584</v>
      </c>
      <c r="C591" s="657">
        <v>1108.6999999999484</v>
      </c>
      <c r="D591" s="658">
        <v>7614</v>
      </c>
      <c r="E591" s="658">
        <v>1108.7999999999483</v>
      </c>
      <c r="G591" s="64">
        <v>1108.7999999999483</v>
      </c>
      <c r="H591" s="658">
        <v>7614</v>
      </c>
      <c r="I591" s="64">
        <v>1108.8999999999482</v>
      </c>
      <c r="J591" s="658">
        <v>7645</v>
      </c>
    </row>
    <row r="592" spans="2:10" ht="14.4" x14ac:dyDescent="0.3">
      <c r="B592" s="657">
        <v>7614</v>
      </c>
      <c r="C592" s="657">
        <v>1108.7999999999483</v>
      </c>
      <c r="D592" s="658">
        <v>7645</v>
      </c>
      <c r="E592" s="658">
        <v>1108.8999999999482</v>
      </c>
      <c r="G592" s="64">
        <v>1108.8999999999482</v>
      </c>
      <c r="H592" s="658">
        <v>7645</v>
      </c>
      <c r="I592" s="64">
        <v>1108.9999999999482</v>
      </c>
      <c r="J592" s="658">
        <v>7676</v>
      </c>
    </row>
    <row r="593" spans="2:10" ht="14.4" x14ac:dyDescent="0.3">
      <c r="B593" s="657">
        <v>7645</v>
      </c>
      <c r="C593" s="657">
        <v>1108.8999999999482</v>
      </c>
      <c r="D593" s="658">
        <v>7676</v>
      </c>
      <c r="E593" s="658">
        <v>1108.9999999999482</v>
      </c>
      <c r="G593" s="64">
        <v>1108.9999999999482</v>
      </c>
      <c r="H593" s="658">
        <v>7676</v>
      </c>
      <c r="I593" s="64">
        <v>1109.0999999999481</v>
      </c>
      <c r="J593" s="658">
        <v>7707</v>
      </c>
    </row>
    <row r="594" spans="2:10" ht="14.4" x14ac:dyDescent="0.3">
      <c r="B594" s="657">
        <v>7676</v>
      </c>
      <c r="C594" s="657">
        <v>1108.9999999999482</v>
      </c>
      <c r="D594" s="658">
        <v>7707</v>
      </c>
      <c r="E594" s="658">
        <v>1109.0999999999481</v>
      </c>
      <c r="G594" s="64">
        <v>1109.0999999999481</v>
      </c>
      <c r="H594" s="658">
        <v>7707</v>
      </c>
      <c r="I594" s="64">
        <v>1109.199999999948</v>
      </c>
      <c r="J594" s="658">
        <v>7739</v>
      </c>
    </row>
    <row r="595" spans="2:10" ht="14.4" x14ac:dyDescent="0.3">
      <c r="B595" s="657">
        <v>7707</v>
      </c>
      <c r="C595" s="657">
        <v>1109.0999999999481</v>
      </c>
      <c r="D595" s="658">
        <v>7739</v>
      </c>
      <c r="E595" s="658">
        <v>1109.199999999948</v>
      </c>
      <c r="G595" s="64">
        <v>1109.199999999948</v>
      </c>
      <c r="H595" s="658">
        <v>7739</v>
      </c>
      <c r="I595" s="64">
        <v>1109.2999999999479</v>
      </c>
      <c r="J595" s="658">
        <v>7770</v>
      </c>
    </row>
    <row r="596" spans="2:10" ht="14.4" x14ac:dyDescent="0.3">
      <c r="B596" s="657">
        <v>7739</v>
      </c>
      <c r="C596" s="657">
        <v>1109.199999999948</v>
      </c>
      <c r="D596" s="658">
        <v>7770</v>
      </c>
      <c r="E596" s="658">
        <v>1109.2999999999479</v>
      </c>
      <c r="G596" s="64">
        <v>1109.2999999999479</v>
      </c>
      <c r="H596" s="658">
        <v>7770</v>
      </c>
      <c r="I596" s="64">
        <v>1109.3999999999478</v>
      </c>
      <c r="J596" s="658">
        <v>7801</v>
      </c>
    </row>
    <row r="597" spans="2:10" ht="14.4" x14ac:dyDescent="0.3">
      <c r="B597" s="657">
        <v>7770</v>
      </c>
      <c r="C597" s="657">
        <v>1109.2999999999479</v>
      </c>
      <c r="D597" s="658">
        <v>7801</v>
      </c>
      <c r="E597" s="658">
        <v>1109.3999999999478</v>
      </c>
      <c r="G597" s="64">
        <v>1109.3999999999478</v>
      </c>
      <c r="H597" s="658">
        <v>7801</v>
      </c>
      <c r="I597" s="64">
        <v>1109.4999999999477</v>
      </c>
      <c r="J597" s="658">
        <v>7833</v>
      </c>
    </row>
    <row r="598" spans="2:10" ht="14.4" x14ac:dyDescent="0.3">
      <c r="B598" s="657">
        <v>7801</v>
      </c>
      <c r="C598" s="657">
        <v>1109.3999999999478</v>
      </c>
      <c r="D598" s="658">
        <v>7833</v>
      </c>
      <c r="E598" s="658">
        <v>1109.4999999999477</v>
      </c>
      <c r="G598" s="64">
        <v>1109.4999999999477</v>
      </c>
      <c r="H598" s="658">
        <v>7833</v>
      </c>
      <c r="I598" s="64">
        <v>1109.5999999999476</v>
      </c>
      <c r="J598" s="658">
        <v>7864</v>
      </c>
    </row>
    <row r="599" spans="2:10" ht="14.4" x14ac:dyDescent="0.3">
      <c r="B599" s="657">
        <v>7833</v>
      </c>
      <c r="C599" s="657">
        <v>1109.4999999999477</v>
      </c>
      <c r="D599" s="658">
        <v>7864</v>
      </c>
      <c r="E599" s="658">
        <v>1109.5999999999476</v>
      </c>
      <c r="G599" s="64">
        <v>1109.5999999999476</v>
      </c>
      <c r="H599" s="658">
        <v>7864</v>
      </c>
      <c r="I599" s="64">
        <v>1109.6999999999475</v>
      </c>
      <c r="J599" s="658">
        <v>7896</v>
      </c>
    </row>
    <row r="600" spans="2:10" ht="14.4" x14ac:dyDescent="0.3">
      <c r="B600" s="657">
        <v>7864</v>
      </c>
      <c r="C600" s="657">
        <v>1109.5999999999476</v>
      </c>
      <c r="D600" s="658">
        <v>7896</v>
      </c>
      <c r="E600" s="658">
        <v>1109.6999999999475</v>
      </c>
      <c r="G600" s="64">
        <v>1109.6999999999475</v>
      </c>
      <c r="H600" s="658">
        <v>7896</v>
      </c>
      <c r="I600" s="64">
        <v>1109.7999999999474</v>
      </c>
      <c r="J600" s="658">
        <v>7927</v>
      </c>
    </row>
    <row r="601" spans="2:10" ht="14.4" x14ac:dyDescent="0.3">
      <c r="B601" s="657">
        <v>7896</v>
      </c>
      <c r="C601" s="657">
        <v>1109.6999999999475</v>
      </c>
      <c r="D601" s="658">
        <v>7927</v>
      </c>
      <c r="E601" s="658">
        <v>1109.7999999999474</v>
      </c>
      <c r="G601" s="64">
        <v>1109.7999999999474</v>
      </c>
      <c r="H601" s="658">
        <v>7927</v>
      </c>
      <c r="I601" s="64">
        <v>1109.8999999999473</v>
      </c>
      <c r="J601" s="658">
        <v>7959</v>
      </c>
    </row>
    <row r="602" spans="2:10" ht="14.4" x14ac:dyDescent="0.3">
      <c r="B602" s="657">
        <v>7927</v>
      </c>
      <c r="C602" s="657">
        <v>1109.7999999999474</v>
      </c>
      <c r="D602" s="658">
        <v>7959</v>
      </c>
      <c r="E602" s="658">
        <v>1109.8999999999473</v>
      </c>
      <c r="G602" s="64">
        <v>1109.8999999999473</v>
      </c>
      <c r="H602" s="658">
        <v>7959</v>
      </c>
      <c r="I602" s="64">
        <v>1109.9999999999472</v>
      </c>
      <c r="J602" s="658">
        <v>7990</v>
      </c>
    </row>
    <row r="603" spans="2:10" ht="14.4" x14ac:dyDescent="0.3">
      <c r="B603" s="657">
        <v>7959</v>
      </c>
      <c r="C603" s="657">
        <v>1109.8999999999473</v>
      </c>
      <c r="D603" s="658">
        <v>7990</v>
      </c>
      <c r="E603" s="658">
        <v>1109.9999999999472</v>
      </c>
      <c r="G603" s="64">
        <v>1109.9999999999472</v>
      </c>
      <c r="H603" s="658">
        <v>7990</v>
      </c>
      <c r="I603" s="64">
        <v>1110.0999999999472</v>
      </c>
      <c r="J603" s="658">
        <v>8022</v>
      </c>
    </row>
    <row r="604" spans="2:10" ht="14.4" x14ac:dyDescent="0.3">
      <c r="B604" s="657">
        <v>7990</v>
      </c>
      <c r="C604" s="657">
        <v>1109.9999999999472</v>
      </c>
      <c r="D604" s="658">
        <v>8022</v>
      </c>
      <c r="E604" s="658">
        <v>1110.0999999999472</v>
      </c>
      <c r="G604" s="64">
        <v>1110.0999999999472</v>
      </c>
      <c r="H604" s="658">
        <v>8022</v>
      </c>
      <c r="I604" s="64">
        <v>1110.1999999999471</v>
      </c>
      <c r="J604" s="658">
        <v>8055</v>
      </c>
    </row>
    <row r="605" spans="2:10" ht="14.4" x14ac:dyDescent="0.3">
      <c r="B605" s="657">
        <v>8022</v>
      </c>
      <c r="C605" s="657">
        <v>1110.0999999999472</v>
      </c>
      <c r="D605" s="658">
        <v>8055</v>
      </c>
      <c r="E605" s="658">
        <v>1110.1999999999471</v>
      </c>
      <c r="G605" s="64">
        <v>1110.1999999999471</v>
      </c>
      <c r="H605" s="658">
        <v>8055</v>
      </c>
      <c r="I605" s="64">
        <v>1110.299999999947</v>
      </c>
      <c r="J605" s="658">
        <v>8087</v>
      </c>
    </row>
    <row r="606" spans="2:10" ht="14.4" x14ac:dyDescent="0.3">
      <c r="B606" s="657">
        <v>8055</v>
      </c>
      <c r="C606" s="657">
        <v>1110.1999999999471</v>
      </c>
      <c r="D606" s="658">
        <v>8087</v>
      </c>
      <c r="E606" s="658">
        <v>1110.299999999947</v>
      </c>
      <c r="G606" s="64">
        <v>1110.299999999947</v>
      </c>
      <c r="H606" s="658">
        <v>8087</v>
      </c>
      <c r="I606" s="64">
        <v>1110.3999999999469</v>
      </c>
      <c r="J606" s="658">
        <v>8119</v>
      </c>
    </row>
    <row r="607" spans="2:10" ht="14.4" x14ac:dyDescent="0.3">
      <c r="B607" s="657">
        <v>8087</v>
      </c>
      <c r="C607" s="657">
        <v>1110.299999999947</v>
      </c>
      <c r="D607" s="658">
        <v>8119</v>
      </c>
      <c r="E607" s="658">
        <v>1110.3999999999469</v>
      </c>
      <c r="G607" s="64">
        <v>1110.3999999999469</v>
      </c>
      <c r="H607" s="658">
        <v>8119</v>
      </c>
      <c r="I607" s="64">
        <v>1110.4999999999468</v>
      </c>
      <c r="J607" s="658">
        <v>8152</v>
      </c>
    </row>
    <row r="608" spans="2:10" ht="14.4" x14ac:dyDescent="0.3">
      <c r="B608" s="657">
        <v>8119</v>
      </c>
      <c r="C608" s="657">
        <v>1110.3999999999469</v>
      </c>
      <c r="D608" s="658">
        <v>8152</v>
      </c>
      <c r="E608" s="658">
        <v>1110.4999999999468</v>
      </c>
      <c r="G608" s="64">
        <v>1110.4999999999468</v>
      </c>
      <c r="H608" s="658">
        <v>8152</v>
      </c>
      <c r="I608" s="64">
        <v>1110.5999999999467</v>
      </c>
      <c r="J608" s="658">
        <v>8184</v>
      </c>
    </row>
    <row r="609" spans="2:10" ht="14.4" x14ac:dyDescent="0.3">
      <c r="B609" s="657">
        <v>8152</v>
      </c>
      <c r="C609" s="657">
        <v>1110.4999999999468</v>
      </c>
      <c r="D609" s="658">
        <v>8184</v>
      </c>
      <c r="E609" s="658">
        <v>1110.5999999999467</v>
      </c>
      <c r="G609" s="64">
        <v>1110.5999999999467</v>
      </c>
      <c r="H609" s="658">
        <v>8184</v>
      </c>
      <c r="I609" s="64">
        <v>1110.6999999999466</v>
      </c>
      <c r="J609" s="658">
        <v>8216</v>
      </c>
    </row>
    <row r="610" spans="2:10" ht="14.4" x14ac:dyDescent="0.3">
      <c r="B610" s="657">
        <v>8184</v>
      </c>
      <c r="C610" s="657">
        <v>1110.5999999999467</v>
      </c>
      <c r="D610" s="658">
        <v>8216</v>
      </c>
      <c r="E610" s="658">
        <v>1110.6999999999466</v>
      </c>
      <c r="G610" s="64">
        <v>1110.6999999999466</v>
      </c>
      <c r="H610" s="658">
        <v>8216</v>
      </c>
      <c r="I610" s="64">
        <v>1110.7999999999465</v>
      </c>
      <c r="J610" s="658">
        <v>8249</v>
      </c>
    </row>
    <row r="611" spans="2:10" ht="14.4" x14ac:dyDescent="0.3">
      <c r="B611" s="657">
        <v>8216</v>
      </c>
      <c r="C611" s="657">
        <v>1110.6999999999466</v>
      </c>
      <c r="D611" s="658">
        <v>8249</v>
      </c>
      <c r="E611" s="658">
        <v>1110.7999999999465</v>
      </c>
      <c r="G611" s="64">
        <v>1110.7999999999465</v>
      </c>
      <c r="H611" s="658">
        <v>8249</v>
      </c>
      <c r="I611" s="64">
        <v>1110.8999999999464</v>
      </c>
      <c r="J611" s="658">
        <v>8281</v>
      </c>
    </row>
    <row r="612" spans="2:10" ht="14.4" x14ac:dyDescent="0.3">
      <c r="B612" s="657">
        <v>8249</v>
      </c>
      <c r="C612" s="657">
        <v>1110.7999999999465</v>
      </c>
      <c r="D612" s="658">
        <v>8281</v>
      </c>
      <c r="E612" s="658">
        <v>1110.8999999999464</v>
      </c>
      <c r="G612" s="64">
        <v>1110.8999999999464</v>
      </c>
      <c r="H612" s="658">
        <v>8281</v>
      </c>
      <c r="I612" s="64">
        <v>1110.9999999999463</v>
      </c>
      <c r="J612" s="658">
        <v>8313</v>
      </c>
    </row>
    <row r="613" spans="2:10" ht="14.4" x14ac:dyDescent="0.3">
      <c r="B613" s="657">
        <v>8281</v>
      </c>
      <c r="C613" s="657">
        <v>1110.8999999999464</v>
      </c>
      <c r="D613" s="658">
        <v>8313</v>
      </c>
      <c r="E613" s="658">
        <v>1110.9999999999463</v>
      </c>
      <c r="G613" s="64">
        <v>1110.9999999999463</v>
      </c>
      <c r="H613" s="658">
        <v>8313</v>
      </c>
      <c r="I613" s="64">
        <v>1111.0999999999462</v>
      </c>
      <c r="J613" s="658">
        <v>8347</v>
      </c>
    </row>
    <row r="614" spans="2:10" ht="14.4" x14ac:dyDescent="0.3">
      <c r="B614" s="657">
        <v>8313</v>
      </c>
      <c r="C614" s="657">
        <v>1110.9999999999463</v>
      </c>
      <c r="D614" s="658">
        <v>8347</v>
      </c>
      <c r="E614" s="658">
        <v>1111.0999999999462</v>
      </c>
      <c r="G614" s="64">
        <v>1111.0999999999462</v>
      </c>
      <c r="H614" s="658">
        <v>8347</v>
      </c>
      <c r="I614" s="64">
        <v>1111.1999999999462</v>
      </c>
      <c r="J614" s="658">
        <v>8380</v>
      </c>
    </row>
    <row r="615" spans="2:10" ht="14.4" x14ac:dyDescent="0.3">
      <c r="B615" s="657">
        <v>8347</v>
      </c>
      <c r="C615" s="657">
        <v>1111.0999999999462</v>
      </c>
      <c r="D615" s="658">
        <v>8380</v>
      </c>
      <c r="E615" s="658">
        <v>1111.1999999999462</v>
      </c>
      <c r="G615" s="64">
        <v>1111.1999999999462</v>
      </c>
      <c r="H615" s="658">
        <v>8380</v>
      </c>
      <c r="I615" s="64">
        <v>1111.2999999999461</v>
      </c>
      <c r="J615" s="658">
        <v>8413</v>
      </c>
    </row>
    <row r="616" spans="2:10" ht="14.4" x14ac:dyDescent="0.3">
      <c r="B616" s="657">
        <v>8380</v>
      </c>
      <c r="C616" s="657">
        <v>1111.1999999999462</v>
      </c>
      <c r="D616" s="658">
        <v>8413</v>
      </c>
      <c r="E616" s="658">
        <v>1111.2999999999461</v>
      </c>
      <c r="G616" s="64">
        <v>1111.2999999999461</v>
      </c>
      <c r="H616" s="658">
        <v>8413</v>
      </c>
      <c r="I616" s="64">
        <v>1111.399999999946</v>
      </c>
      <c r="J616" s="658">
        <v>8447</v>
      </c>
    </row>
    <row r="617" spans="2:10" ht="14.4" x14ac:dyDescent="0.3">
      <c r="B617" s="657">
        <v>8413</v>
      </c>
      <c r="C617" s="657">
        <v>1111.2999999999461</v>
      </c>
      <c r="D617" s="658">
        <v>8447</v>
      </c>
      <c r="E617" s="658">
        <v>1111.399999999946</v>
      </c>
      <c r="G617" s="64">
        <v>1111.399999999946</v>
      </c>
      <c r="H617" s="658">
        <v>8447</v>
      </c>
      <c r="I617" s="64">
        <v>1111.4999999999459</v>
      </c>
      <c r="J617" s="658">
        <v>8480</v>
      </c>
    </row>
    <row r="618" spans="2:10" ht="14.4" x14ac:dyDescent="0.3">
      <c r="B618" s="657">
        <v>8447</v>
      </c>
      <c r="C618" s="657">
        <v>1111.399999999946</v>
      </c>
      <c r="D618" s="658">
        <v>8480</v>
      </c>
      <c r="E618" s="658">
        <v>1111.4999999999459</v>
      </c>
      <c r="G618" s="64">
        <v>1111.4999999999459</v>
      </c>
      <c r="H618" s="658">
        <v>8480</v>
      </c>
      <c r="I618" s="64">
        <v>1111.5999999999458</v>
      </c>
      <c r="J618" s="658">
        <v>8513</v>
      </c>
    </row>
    <row r="619" spans="2:10" ht="14.4" x14ac:dyDescent="0.3">
      <c r="B619" s="657">
        <v>8480</v>
      </c>
      <c r="C619" s="657">
        <v>1111.4999999999459</v>
      </c>
      <c r="D619" s="658">
        <v>8513</v>
      </c>
      <c r="E619" s="658">
        <v>1111.5999999999458</v>
      </c>
      <c r="G619" s="64">
        <v>1111.5999999999458</v>
      </c>
      <c r="H619" s="658">
        <v>8513</v>
      </c>
      <c r="I619" s="64">
        <v>1111.6999999999457</v>
      </c>
      <c r="J619" s="658">
        <v>8546</v>
      </c>
    </row>
    <row r="620" spans="2:10" ht="14.4" x14ac:dyDescent="0.3">
      <c r="B620" s="657">
        <v>8513</v>
      </c>
      <c r="C620" s="657">
        <v>1111.5999999999458</v>
      </c>
      <c r="D620" s="658">
        <v>8546</v>
      </c>
      <c r="E620" s="658">
        <v>1111.6999999999457</v>
      </c>
      <c r="G620" s="64">
        <v>1111.6999999999457</v>
      </c>
      <c r="H620" s="658">
        <v>8546</v>
      </c>
      <c r="I620" s="64">
        <v>1111.7999999999456</v>
      </c>
      <c r="J620" s="658">
        <v>8580</v>
      </c>
    </row>
    <row r="621" spans="2:10" ht="14.4" x14ac:dyDescent="0.3">
      <c r="B621" s="657">
        <v>8546</v>
      </c>
      <c r="C621" s="657">
        <v>1111.6999999999457</v>
      </c>
      <c r="D621" s="658">
        <v>8580</v>
      </c>
      <c r="E621" s="658">
        <v>1111.7999999999456</v>
      </c>
      <c r="G621" s="64">
        <v>1111.7999999999456</v>
      </c>
      <c r="H621" s="658">
        <v>8580</v>
      </c>
      <c r="I621" s="64">
        <v>1111.8999999999455</v>
      </c>
      <c r="J621" s="658">
        <v>8613</v>
      </c>
    </row>
    <row r="622" spans="2:10" ht="14.4" x14ac:dyDescent="0.3">
      <c r="B622" s="657">
        <v>8580</v>
      </c>
      <c r="C622" s="657">
        <v>1111.7999999999456</v>
      </c>
      <c r="D622" s="658">
        <v>8613</v>
      </c>
      <c r="E622" s="658">
        <v>1111.8999999999455</v>
      </c>
      <c r="G622" s="64">
        <v>1111.8999999999455</v>
      </c>
      <c r="H622" s="658">
        <v>8613</v>
      </c>
      <c r="I622" s="64">
        <v>1111.9999999999454</v>
      </c>
      <c r="J622" s="658">
        <v>8646</v>
      </c>
    </row>
    <row r="623" spans="2:10" ht="14.4" x14ac:dyDescent="0.3">
      <c r="B623" s="657">
        <v>8613</v>
      </c>
      <c r="C623" s="657">
        <v>1111.8999999999455</v>
      </c>
      <c r="D623" s="658">
        <v>8646</v>
      </c>
      <c r="E623" s="658">
        <v>1111.9999999999454</v>
      </c>
      <c r="G623" s="64">
        <v>1111.9999999999454</v>
      </c>
      <c r="H623" s="658">
        <v>8646</v>
      </c>
      <c r="I623" s="64">
        <v>1112.0999999999453</v>
      </c>
      <c r="J623" s="658">
        <v>8681</v>
      </c>
    </row>
    <row r="624" spans="2:10" ht="14.4" x14ac:dyDescent="0.3">
      <c r="B624" s="657">
        <v>8646</v>
      </c>
      <c r="C624" s="657">
        <v>1111.9999999999454</v>
      </c>
      <c r="D624" s="658">
        <v>8681</v>
      </c>
      <c r="E624" s="658">
        <v>1112.0999999999453</v>
      </c>
      <c r="G624" s="64">
        <v>1112.0999999999453</v>
      </c>
      <c r="H624" s="658">
        <v>8681</v>
      </c>
      <c r="I624" s="64">
        <v>1112.1999999999452</v>
      </c>
      <c r="J624" s="658">
        <v>8715</v>
      </c>
    </row>
    <row r="625" spans="2:10" ht="14.4" x14ac:dyDescent="0.3">
      <c r="B625" s="657">
        <v>8681</v>
      </c>
      <c r="C625" s="657">
        <v>1112.0999999999453</v>
      </c>
      <c r="D625" s="658">
        <v>8715</v>
      </c>
      <c r="E625" s="658">
        <v>1112.1999999999452</v>
      </c>
      <c r="G625" s="64">
        <v>1112.1999999999452</v>
      </c>
      <c r="H625" s="658">
        <v>8715</v>
      </c>
      <c r="I625" s="64">
        <v>1112.2999999999452</v>
      </c>
      <c r="J625" s="658">
        <v>8749</v>
      </c>
    </row>
    <row r="626" spans="2:10" ht="14.4" x14ac:dyDescent="0.3">
      <c r="B626" s="657">
        <v>8715</v>
      </c>
      <c r="C626" s="657">
        <v>1112.1999999999452</v>
      </c>
      <c r="D626" s="658">
        <v>8749</v>
      </c>
      <c r="E626" s="658">
        <v>1112.2999999999452</v>
      </c>
      <c r="G626" s="64">
        <v>1112.2999999999452</v>
      </c>
      <c r="H626" s="658">
        <v>8749</v>
      </c>
      <c r="I626" s="64">
        <v>1112.3999999999451</v>
      </c>
      <c r="J626" s="658">
        <v>8783</v>
      </c>
    </row>
    <row r="627" spans="2:10" ht="14.4" x14ac:dyDescent="0.3">
      <c r="B627" s="657">
        <v>8749</v>
      </c>
      <c r="C627" s="657">
        <v>1112.2999999999452</v>
      </c>
      <c r="D627" s="658">
        <v>8783</v>
      </c>
      <c r="E627" s="658">
        <v>1112.3999999999451</v>
      </c>
      <c r="G627" s="64">
        <v>1112.3999999999451</v>
      </c>
      <c r="H627" s="658">
        <v>8783</v>
      </c>
      <c r="I627" s="64">
        <v>1112.499999999945</v>
      </c>
      <c r="J627" s="658">
        <v>8818</v>
      </c>
    </row>
    <row r="628" spans="2:10" ht="14.4" x14ac:dyDescent="0.3">
      <c r="B628" s="657">
        <v>8783</v>
      </c>
      <c r="C628" s="657">
        <v>1112.3999999999451</v>
      </c>
      <c r="D628" s="658">
        <v>8818</v>
      </c>
      <c r="E628" s="658">
        <v>1112.499999999945</v>
      </c>
      <c r="G628" s="64">
        <v>1112.499999999945</v>
      </c>
      <c r="H628" s="658">
        <v>8818</v>
      </c>
      <c r="I628" s="64">
        <v>1112.5999999999449</v>
      </c>
      <c r="J628" s="658">
        <v>8852</v>
      </c>
    </row>
    <row r="629" spans="2:10" ht="14.4" x14ac:dyDescent="0.3">
      <c r="B629" s="657">
        <v>8818</v>
      </c>
      <c r="C629" s="657">
        <v>1112.499999999945</v>
      </c>
      <c r="D629" s="658">
        <v>8852</v>
      </c>
      <c r="E629" s="658">
        <v>1112.5999999999449</v>
      </c>
      <c r="G629" s="64">
        <v>1112.5999999999449</v>
      </c>
      <c r="H629" s="658">
        <v>8852</v>
      </c>
      <c r="I629" s="64">
        <v>1112.6999999999448</v>
      </c>
      <c r="J629" s="658">
        <v>8886</v>
      </c>
    </row>
    <row r="630" spans="2:10" ht="14.4" x14ac:dyDescent="0.3">
      <c r="B630" s="657">
        <v>8852</v>
      </c>
      <c r="C630" s="657">
        <v>1112.5999999999449</v>
      </c>
      <c r="D630" s="658">
        <v>8886</v>
      </c>
      <c r="E630" s="658">
        <v>1112.6999999999448</v>
      </c>
      <c r="G630" s="64">
        <v>1112.6999999999448</v>
      </c>
      <c r="H630" s="658">
        <v>8886</v>
      </c>
      <c r="I630" s="64">
        <v>1112.7999999999447</v>
      </c>
      <c r="J630" s="658">
        <v>8920</v>
      </c>
    </row>
    <row r="631" spans="2:10" ht="14.4" x14ac:dyDescent="0.3">
      <c r="B631" s="657">
        <v>8886</v>
      </c>
      <c r="C631" s="657">
        <v>1112.6999999999448</v>
      </c>
      <c r="D631" s="658">
        <v>8920</v>
      </c>
      <c r="E631" s="658">
        <v>1112.7999999999447</v>
      </c>
      <c r="G631" s="64">
        <v>1112.7999999999447</v>
      </c>
      <c r="H631" s="658">
        <v>8920</v>
      </c>
      <c r="I631" s="64">
        <v>1112.8999999999446</v>
      </c>
      <c r="J631" s="658">
        <v>8955</v>
      </c>
    </row>
    <row r="632" spans="2:10" ht="14.4" x14ac:dyDescent="0.3">
      <c r="B632" s="657">
        <v>8920</v>
      </c>
      <c r="C632" s="657">
        <v>1112.7999999999447</v>
      </c>
      <c r="D632" s="658">
        <v>8955</v>
      </c>
      <c r="E632" s="658">
        <v>1112.8999999999446</v>
      </c>
      <c r="G632" s="64">
        <v>1112.8999999999446</v>
      </c>
      <c r="H632" s="658">
        <v>8955</v>
      </c>
      <c r="I632" s="64">
        <v>1112.9999999999445</v>
      </c>
      <c r="J632" s="658">
        <v>8989</v>
      </c>
    </row>
    <row r="633" spans="2:10" ht="14.4" x14ac:dyDescent="0.3">
      <c r="B633" s="657">
        <v>8955</v>
      </c>
      <c r="C633" s="657">
        <v>1112.8999999999446</v>
      </c>
      <c r="D633" s="658">
        <v>8989</v>
      </c>
      <c r="E633" s="658">
        <v>1112.9999999999445</v>
      </c>
      <c r="G633" s="64">
        <v>1112.9999999999445</v>
      </c>
      <c r="H633" s="658">
        <v>8989</v>
      </c>
      <c r="I633" s="64">
        <v>1113.0999999999444</v>
      </c>
      <c r="J633" s="658">
        <v>9024</v>
      </c>
    </row>
    <row r="634" spans="2:10" ht="14.4" x14ac:dyDescent="0.3">
      <c r="B634" s="657">
        <v>8989</v>
      </c>
      <c r="C634" s="657">
        <v>1112.9999999999445</v>
      </c>
      <c r="D634" s="658">
        <v>9024</v>
      </c>
      <c r="E634" s="658">
        <v>1113.0999999999444</v>
      </c>
      <c r="G634" s="64">
        <v>1113.0999999999444</v>
      </c>
      <c r="H634" s="658">
        <v>9024</v>
      </c>
      <c r="I634" s="64">
        <v>1113.1999999999443</v>
      </c>
      <c r="J634" s="658">
        <v>9060</v>
      </c>
    </row>
    <row r="635" spans="2:10" ht="14.4" x14ac:dyDescent="0.3">
      <c r="B635" s="657">
        <v>9024</v>
      </c>
      <c r="C635" s="657">
        <v>1113.0999999999444</v>
      </c>
      <c r="D635" s="658">
        <v>9060</v>
      </c>
      <c r="E635" s="658">
        <v>1113.1999999999443</v>
      </c>
      <c r="G635" s="64">
        <v>1113.1999999999443</v>
      </c>
      <c r="H635" s="658">
        <v>9060</v>
      </c>
      <c r="I635" s="64">
        <v>1113.2999999999442</v>
      </c>
      <c r="J635" s="658">
        <v>9095</v>
      </c>
    </row>
    <row r="636" spans="2:10" ht="14.4" x14ac:dyDescent="0.3">
      <c r="B636" s="657">
        <v>9060</v>
      </c>
      <c r="C636" s="657">
        <v>1113.1999999999443</v>
      </c>
      <c r="D636" s="658">
        <v>9095</v>
      </c>
      <c r="E636" s="658">
        <v>1113.2999999999442</v>
      </c>
      <c r="G636" s="64">
        <v>1113.2999999999442</v>
      </c>
      <c r="H636" s="658">
        <v>9095</v>
      </c>
      <c r="I636" s="64">
        <v>1113.3999999999442</v>
      </c>
      <c r="J636" s="658">
        <v>9131</v>
      </c>
    </row>
    <row r="637" spans="2:10" ht="14.4" x14ac:dyDescent="0.3">
      <c r="B637" s="657">
        <v>9095</v>
      </c>
      <c r="C637" s="657">
        <v>1113.2999999999442</v>
      </c>
      <c r="D637" s="658">
        <v>9131</v>
      </c>
      <c r="E637" s="658">
        <v>1113.3999999999442</v>
      </c>
      <c r="G637" s="64">
        <v>1113.3999999999442</v>
      </c>
      <c r="H637" s="658">
        <v>9131</v>
      </c>
      <c r="I637" s="64">
        <v>1113.4999999999441</v>
      </c>
      <c r="J637" s="658">
        <v>9166</v>
      </c>
    </row>
    <row r="638" spans="2:10" ht="14.4" x14ac:dyDescent="0.3">
      <c r="B638" s="657">
        <v>9131</v>
      </c>
      <c r="C638" s="657">
        <v>1113.3999999999442</v>
      </c>
      <c r="D638" s="658">
        <v>9166</v>
      </c>
      <c r="E638" s="658">
        <v>1113.4999999999441</v>
      </c>
      <c r="G638" s="64">
        <v>1113.4999999999441</v>
      </c>
      <c r="H638" s="658">
        <v>9166</v>
      </c>
      <c r="I638" s="64">
        <v>1113.599999999944</v>
      </c>
      <c r="J638" s="658">
        <v>9202</v>
      </c>
    </row>
    <row r="639" spans="2:10" ht="14.4" x14ac:dyDescent="0.3">
      <c r="B639" s="657">
        <v>9166</v>
      </c>
      <c r="C639" s="657">
        <v>1113.4999999999441</v>
      </c>
      <c r="D639" s="658">
        <v>9202</v>
      </c>
      <c r="E639" s="658">
        <v>1113.599999999944</v>
      </c>
      <c r="G639" s="64">
        <v>1113.599999999944</v>
      </c>
      <c r="H639" s="658">
        <v>9202</v>
      </c>
      <c r="I639" s="64">
        <v>1113.6999999999439</v>
      </c>
      <c r="J639" s="658">
        <v>9237</v>
      </c>
    </row>
    <row r="640" spans="2:10" ht="14.4" x14ac:dyDescent="0.3">
      <c r="B640" s="657">
        <v>9202</v>
      </c>
      <c r="C640" s="657">
        <v>1113.599999999944</v>
      </c>
      <c r="D640" s="658">
        <v>9237</v>
      </c>
      <c r="E640" s="658">
        <v>1113.6999999999439</v>
      </c>
      <c r="G640" s="64">
        <v>1113.6999999999439</v>
      </c>
      <c r="H640" s="658">
        <v>9237</v>
      </c>
      <c r="I640" s="64">
        <v>1113.7999999999438</v>
      </c>
      <c r="J640" s="658">
        <v>9272</v>
      </c>
    </row>
    <row r="641" spans="2:10" ht="14.4" x14ac:dyDescent="0.3">
      <c r="B641" s="657">
        <v>9237</v>
      </c>
      <c r="C641" s="657">
        <v>1113.6999999999439</v>
      </c>
      <c r="D641" s="658">
        <v>9272</v>
      </c>
      <c r="E641" s="658">
        <v>1113.7999999999438</v>
      </c>
      <c r="G641" s="64">
        <v>1113.7999999999438</v>
      </c>
      <c r="H641" s="658">
        <v>9272</v>
      </c>
      <c r="I641" s="64">
        <v>1113.8999999999437</v>
      </c>
      <c r="J641" s="658">
        <v>9308</v>
      </c>
    </row>
    <row r="642" spans="2:10" ht="14.4" x14ac:dyDescent="0.3">
      <c r="B642" s="657">
        <v>9272</v>
      </c>
      <c r="C642" s="657">
        <v>1113.7999999999438</v>
      </c>
      <c r="D642" s="658">
        <v>9308</v>
      </c>
      <c r="E642" s="658">
        <v>1113.8999999999437</v>
      </c>
      <c r="G642" s="64">
        <v>1113.8999999999437</v>
      </c>
      <c r="H642" s="658">
        <v>9308</v>
      </c>
      <c r="I642" s="64">
        <v>1113.9999999999436</v>
      </c>
      <c r="J642" s="658">
        <v>9343</v>
      </c>
    </row>
    <row r="643" spans="2:10" ht="14.4" x14ac:dyDescent="0.3">
      <c r="B643" s="657">
        <v>9308</v>
      </c>
      <c r="C643" s="657">
        <v>1113.8999999999437</v>
      </c>
      <c r="D643" s="658">
        <v>9343</v>
      </c>
      <c r="E643" s="658">
        <v>1113.9999999999436</v>
      </c>
      <c r="G643" s="64">
        <v>1113.9999999999436</v>
      </c>
      <c r="H643" s="658">
        <v>9343</v>
      </c>
      <c r="I643" s="64">
        <v>1114.0999999999435</v>
      </c>
      <c r="J643" s="658">
        <v>9380</v>
      </c>
    </row>
    <row r="644" spans="2:10" ht="14.4" x14ac:dyDescent="0.3">
      <c r="B644" s="657">
        <v>9343</v>
      </c>
      <c r="C644" s="657">
        <v>1113.9999999999436</v>
      </c>
      <c r="D644" s="658">
        <v>9380</v>
      </c>
      <c r="E644" s="658">
        <v>1114.0999999999435</v>
      </c>
      <c r="G644" s="64">
        <v>1114.0999999999435</v>
      </c>
      <c r="H644" s="658">
        <v>9380</v>
      </c>
      <c r="I644" s="64">
        <v>1114.1999999999434</v>
      </c>
      <c r="J644" s="658">
        <v>9416</v>
      </c>
    </row>
    <row r="645" spans="2:10" ht="14.4" x14ac:dyDescent="0.3">
      <c r="B645" s="657">
        <v>9380</v>
      </c>
      <c r="C645" s="657">
        <v>1114.0999999999435</v>
      </c>
      <c r="D645" s="658">
        <v>9416</v>
      </c>
      <c r="E645" s="658">
        <v>1114.1999999999434</v>
      </c>
      <c r="G645" s="64">
        <v>1114.1999999999434</v>
      </c>
      <c r="H645" s="658">
        <v>9416</v>
      </c>
      <c r="I645" s="64">
        <v>1114.2999999999433</v>
      </c>
      <c r="J645" s="658">
        <v>9453</v>
      </c>
    </row>
    <row r="646" spans="2:10" ht="14.4" x14ac:dyDescent="0.3">
      <c r="B646" s="657">
        <v>9416</v>
      </c>
      <c r="C646" s="657">
        <v>1114.1999999999434</v>
      </c>
      <c r="D646" s="658">
        <v>9453</v>
      </c>
      <c r="E646" s="658">
        <v>1114.2999999999433</v>
      </c>
      <c r="G646" s="64">
        <v>1114.2999999999433</v>
      </c>
      <c r="H646" s="658">
        <v>9453</v>
      </c>
      <c r="I646" s="64">
        <v>1114.3999999999432</v>
      </c>
      <c r="J646" s="658">
        <v>9490</v>
      </c>
    </row>
    <row r="647" spans="2:10" ht="14.4" x14ac:dyDescent="0.3">
      <c r="B647" s="657">
        <v>9453</v>
      </c>
      <c r="C647" s="657">
        <v>1114.2999999999433</v>
      </c>
      <c r="D647" s="658">
        <v>9490</v>
      </c>
      <c r="E647" s="658">
        <v>1114.3999999999432</v>
      </c>
      <c r="G647" s="64">
        <v>1114.3999999999432</v>
      </c>
      <c r="H647" s="658">
        <v>9490</v>
      </c>
      <c r="I647" s="64">
        <v>1114.4999999999432</v>
      </c>
      <c r="J647" s="658">
        <v>9526</v>
      </c>
    </row>
    <row r="648" spans="2:10" ht="14.4" x14ac:dyDescent="0.3">
      <c r="B648" s="657">
        <v>9490</v>
      </c>
      <c r="C648" s="657">
        <v>1114.3999999999432</v>
      </c>
      <c r="D648" s="658">
        <v>9526</v>
      </c>
      <c r="E648" s="658">
        <v>1114.4999999999432</v>
      </c>
      <c r="G648" s="64">
        <v>1114.4999999999432</v>
      </c>
      <c r="H648" s="658">
        <v>9526</v>
      </c>
      <c r="I648" s="64">
        <v>1114.5999999999431</v>
      </c>
      <c r="J648" s="658">
        <v>9563</v>
      </c>
    </row>
    <row r="649" spans="2:10" ht="14.4" x14ac:dyDescent="0.3">
      <c r="B649" s="657">
        <v>9526</v>
      </c>
      <c r="C649" s="657">
        <v>1114.4999999999432</v>
      </c>
      <c r="D649" s="658">
        <v>9563</v>
      </c>
      <c r="E649" s="658">
        <v>1114.5999999999431</v>
      </c>
      <c r="G649" s="64">
        <v>1114.5999999999431</v>
      </c>
      <c r="H649" s="658">
        <v>9563</v>
      </c>
      <c r="I649" s="64">
        <v>1114.699999999943</v>
      </c>
      <c r="J649" s="658">
        <v>9599</v>
      </c>
    </row>
    <row r="650" spans="2:10" ht="14.4" x14ac:dyDescent="0.3">
      <c r="B650" s="657">
        <v>9563</v>
      </c>
      <c r="C650" s="657">
        <v>1114.5999999999431</v>
      </c>
      <c r="D650" s="658">
        <v>9599</v>
      </c>
      <c r="E650" s="658">
        <v>1114.699999999943</v>
      </c>
      <c r="G650" s="64">
        <v>1114.699999999943</v>
      </c>
      <c r="H650" s="658">
        <v>9599</v>
      </c>
      <c r="I650" s="64">
        <v>1114.7999999999429</v>
      </c>
      <c r="J650" s="658">
        <v>9636</v>
      </c>
    </row>
    <row r="651" spans="2:10" ht="14.4" x14ac:dyDescent="0.3">
      <c r="B651" s="657">
        <v>9599</v>
      </c>
      <c r="C651" s="657">
        <v>1114.699999999943</v>
      </c>
      <c r="D651" s="658">
        <v>9636</v>
      </c>
      <c r="E651" s="658">
        <v>1114.7999999999429</v>
      </c>
      <c r="G651" s="64">
        <v>1114.7999999999429</v>
      </c>
      <c r="H651" s="658">
        <v>9636</v>
      </c>
      <c r="I651" s="64">
        <v>1114.8999999999428</v>
      </c>
      <c r="J651" s="658">
        <v>9672</v>
      </c>
    </row>
    <row r="652" spans="2:10" ht="14.4" x14ac:dyDescent="0.3">
      <c r="B652" s="657">
        <v>9636</v>
      </c>
      <c r="C652" s="657">
        <v>1114.7999999999429</v>
      </c>
      <c r="D652" s="658">
        <v>9672</v>
      </c>
      <c r="E652" s="658">
        <v>1114.8999999999428</v>
      </c>
      <c r="G652" s="64">
        <v>1114.8999999999428</v>
      </c>
      <c r="H652" s="658">
        <v>9672</v>
      </c>
      <c r="I652" s="64">
        <v>1114.9999999999427</v>
      </c>
      <c r="J652" s="658">
        <v>9709</v>
      </c>
    </row>
    <row r="653" spans="2:10" ht="14.4" x14ac:dyDescent="0.3">
      <c r="B653" s="657">
        <v>9672</v>
      </c>
      <c r="C653" s="657">
        <v>1114.8999999999428</v>
      </c>
      <c r="D653" s="658">
        <v>9709</v>
      </c>
      <c r="E653" s="658">
        <v>1114.9999999999427</v>
      </c>
      <c r="G653" s="64">
        <v>1114.9999999999427</v>
      </c>
      <c r="H653" s="658">
        <v>9709</v>
      </c>
      <c r="I653" s="64">
        <v>1115.0999999999426</v>
      </c>
      <c r="J653" s="658">
        <v>9747</v>
      </c>
    </row>
    <row r="654" spans="2:10" ht="14.4" x14ac:dyDescent="0.3">
      <c r="B654" s="657">
        <v>9709</v>
      </c>
      <c r="C654" s="657">
        <v>1114.9999999999427</v>
      </c>
      <c r="D654" s="658">
        <v>9747</v>
      </c>
      <c r="E654" s="658">
        <v>1115.0999999999426</v>
      </c>
      <c r="G654" s="64">
        <v>1115.0999999999426</v>
      </c>
      <c r="H654" s="658">
        <v>9747</v>
      </c>
      <c r="I654" s="64">
        <v>1115.1999999999425</v>
      </c>
      <c r="J654" s="658">
        <v>9784</v>
      </c>
    </row>
    <row r="655" spans="2:10" ht="14.4" x14ac:dyDescent="0.3">
      <c r="B655" s="657">
        <v>9747</v>
      </c>
      <c r="C655" s="657">
        <v>1115.0999999999426</v>
      </c>
      <c r="D655" s="658">
        <v>9784</v>
      </c>
      <c r="E655" s="658">
        <v>1115.1999999999425</v>
      </c>
      <c r="G655" s="64">
        <v>1115.1999999999425</v>
      </c>
      <c r="H655" s="658">
        <v>9784</v>
      </c>
      <c r="I655" s="64">
        <v>1115.2999999999424</v>
      </c>
      <c r="J655" s="658">
        <v>9822</v>
      </c>
    </row>
    <row r="656" spans="2:10" ht="14.4" x14ac:dyDescent="0.3">
      <c r="B656" s="657">
        <v>9784</v>
      </c>
      <c r="C656" s="657">
        <v>1115.1999999999425</v>
      </c>
      <c r="D656" s="658">
        <v>9822</v>
      </c>
      <c r="E656" s="658">
        <v>1115.2999999999424</v>
      </c>
      <c r="G656" s="64">
        <v>1115.2999999999424</v>
      </c>
      <c r="H656" s="658">
        <v>9822</v>
      </c>
      <c r="I656" s="64">
        <v>1115.3999999999423</v>
      </c>
      <c r="J656" s="658">
        <v>9860</v>
      </c>
    </row>
    <row r="657" spans="2:10" ht="14.4" x14ac:dyDescent="0.3">
      <c r="B657" s="657">
        <v>9822</v>
      </c>
      <c r="C657" s="657">
        <v>1115.2999999999424</v>
      </c>
      <c r="D657" s="658">
        <v>9860</v>
      </c>
      <c r="E657" s="658">
        <v>1115.3999999999423</v>
      </c>
      <c r="G657" s="64">
        <v>1115.3999999999423</v>
      </c>
      <c r="H657" s="658">
        <v>9860</v>
      </c>
      <c r="I657" s="64">
        <v>1115.4999999999422</v>
      </c>
      <c r="J657" s="658">
        <v>9897</v>
      </c>
    </row>
    <row r="658" spans="2:10" ht="14.4" x14ac:dyDescent="0.3">
      <c r="B658" s="657">
        <v>9860</v>
      </c>
      <c r="C658" s="657">
        <v>1115.3999999999423</v>
      </c>
      <c r="D658" s="658">
        <v>9897</v>
      </c>
      <c r="E658" s="658">
        <v>1115.4999999999422</v>
      </c>
      <c r="G658" s="64">
        <v>1115.4999999999422</v>
      </c>
      <c r="H658" s="658">
        <v>9897</v>
      </c>
      <c r="I658" s="64">
        <v>1115.5999999999422</v>
      </c>
      <c r="J658" s="658">
        <v>9935</v>
      </c>
    </row>
    <row r="659" spans="2:10" ht="14.4" x14ac:dyDescent="0.3">
      <c r="B659" s="657">
        <v>9897</v>
      </c>
      <c r="C659" s="657">
        <v>1115.4999999999422</v>
      </c>
      <c r="D659" s="658">
        <v>9935</v>
      </c>
      <c r="E659" s="658">
        <v>1115.5999999999422</v>
      </c>
      <c r="G659" s="64">
        <v>1115.5999999999422</v>
      </c>
      <c r="H659" s="658">
        <v>9935</v>
      </c>
      <c r="I659" s="64">
        <v>1115.6999999999421</v>
      </c>
      <c r="J659" s="658">
        <v>9973</v>
      </c>
    </row>
    <row r="660" spans="2:10" ht="14.4" x14ac:dyDescent="0.3">
      <c r="B660" s="657">
        <v>9935</v>
      </c>
      <c r="C660" s="657">
        <v>1115.5999999999422</v>
      </c>
      <c r="D660" s="658">
        <v>9973</v>
      </c>
      <c r="E660" s="658">
        <v>1115.6999999999421</v>
      </c>
      <c r="G660" s="64">
        <v>1115.6999999999421</v>
      </c>
      <c r="H660" s="658">
        <v>9973</v>
      </c>
      <c r="I660" s="64">
        <v>1115.799999999942</v>
      </c>
      <c r="J660" s="658">
        <v>10010</v>
      </c>
    </row>
    <row r="661" spans="2:10" ht="14.4" x14ac:dyDescent="0.3">
      <c r="B661" s="657">
        <v>9973</v>
      </c>
      <c r="C661" s="657">
        <v>1115.6999999999421</v>
      </c>
      <c r="D661" s="658">
        <v>10010</v>
      </c>
      <c r="E661" s="658">
        <v>1115.799999999942</v>
      </c>
      <c r="G661" s="64">
        <v>1115.799999999942</v>
      </c>
      <c r="H661" s="658">
        <v>10010</v>
      </c>
      <c r="I661" s="64">
        <v>1115.8999999999419</v>
      </c>
      <c r="J661" s="658">
        <v>10048</v>
      </c>
    </row>
    <row r="662" spans="2:10" ht="14.4" x14ac:dyDescent="0.3">
      <c r="B662" s="657">
        <v>10010</v>
      </c>
      <c r="C662" s="657">
        <v>1115.799999999942</v>
      </c>
      <c r="D662" s="658">
        <v>10048</v>
      </c>
      <c r="E662" s="658">
        <v>1115.8999999999419</v>
      </c>
      <c r="G662" s="64">
        <v>1115.8999999999419</v>
      </c>
      <c r="H662" s="658">
        <v>10048</v>
      </c>
      <c r="I662" s="64">
        <v>1115.9999999999418</v>
      </c>
      <c r="J662" s="658">
        <v>10086</v>
      </c>
    </row>
    <row r="663" spans="2:10" ht="14.4" x14ac:dyDescent="0.3">
      <c r="B663" s="657">
        <v>10048</v>
      </c>
      <c r="C663" s="657">
        <v>1115.8999999999419</v>
      </c>
      <c r="D663" s="658">
        <v>10086</v>
      </c>
      <c r="E663" s="658">
        <v>1115.9999999999418</v>
      </c>
      <c r="G663" s="64">
        <v>1115.9999999999418</v>
      </c>
      <c r="H663" s="658">
        <v>10086</v>
      </c>
      <c r="I663" s="64">
        <v>1116.0999999999417</v>
      </c>
      <c r="J663" s="658">
        <v>10125</v>
      </c>
    </row>
    <row r="664" spans="2:10" ht="14.4" x14ac:dyDescent="0.3">
      <c r="B664" s="657">
        <v>10086</v>
      </c>
      <c r="C664" s="657">
        <v>1115.9999999999418</v>
      </c>
      <c r="D664" s="658">
        <v>10125</v>
      </c>
      <c r="E664" s="658">
        <v>1116.0999999999417</v>
      </c>
      <c r="G664" s="64">
        <v>1116.0999999999417</v>
      </c>
      <c r="H664" s="658">
        <v>10125</v>
      </c>
      <c r="I664" s="64">
        <v>1116.1999999999416</v>
      </c>
      <c r="J664" s="658">
        <v>10164</v>
      </c>
    </row>
    <row r="665" spans="2:10" ht="14.4" x14ac:dyDescent="0.3">
      <c r="B665" s="657">
        <v>10125</v>
      </c>
      <c r="C665" s="657">
        <v>1116.0999999999417</v>
      </c>
      <c r="D665" s="658">
        <v>10164</v>
      </c>
      <c r="E665" s="658">
        <v>1116.1999999999416</v>
      </c>
      <c r="G665" s="64">
        <v>1116.1999999999416</v>
      </c>
      <c r="H665" s="658">
        <v>10164</v>
      </c>
      <c r="I665" s="64">
        <v>1116.2999999999415</v>
      </c>
      <c r="J665" s="658">
        <v>10202</v>
      </c>
    </row>
    <row r="666" spans="2:10" ht="14.4" x14ac:dyDescent="0.3">
      <c r="B666" s="657">
        <v>10164</v>
      </c>
      <c r="C666" s="657">
        <v>1116.1999999999416</v>
      </c>
      <c r="D666" s="658">
        <v>10202</v>
      </c>
      <c r="E666" s="658">
        <v>1116.2999999999415</v>
      </c>
      <c r="G666" s="64">
        <v>1116.2999999999415</v>
      </c>
      <c r="H666" s="658">
        <v>10202</v>
      </c>
      <c r="I666" s="64">
        <v>1116.3999999999414</v>
      </c>
      <c r="J666" s="658">
        <v>10241</v>
      </c>
    </row>
    <row r="667" spans="2:10" ht="14.4" x14ac:dyDescent="0.3">
      <c r="B667" s="657">
        <v>10202</v>
      </c>
      <c r="C667" s="657">
        <v>1116.2999999999415</v>
      </c>
      <c r="D667" s="658">
        <v>10241</v>
      </c>
      <c r="E667" s="658">
        <v>1116.3999999999414</v>
      </c>
      <c r="G667" s="64">
        <v>1116.3999999999414</v>
      </c>
      <c r="H667" s="658">
        <v>10241</v>
      </c>
      <c r="I667" s="64">
        <v>1116.4999999999413</v>
      </c>
      <c r="J667" s="658">
        <v>10280</v>
      </c>
    </row>
    <row r="668" spans="2:10" ht="14.4" x14ac:dyDescent="0.3">
      <c r="B668" s="657">
        <v>10241</v>
      </c>
      <c r="C668" s="657">
        <v>1116.3999999999414</v>
      </c>
      <c r="D668" s="658">
        <v>10280</v>
      </c>
      <c r="E668" s="658">
        <v>1116.4999999999413</v>
      </c>
      <c r="G668" s="64">
        <v>1116.4999999999413</v>
      </c>
      <c r="H668" s="658">
        <v>10280</v>
      </c>
      <c r="I668" s="64">
        <v>1116.5999999999412</v>
      </c>
      <c r="J668" s="658">
        <v>10319</v>
      </c>
    </row>
    <row r="669" spans="2:10" ht="14.4" x14ac:dyDescent="0.3">
      <c r="B669" s="657">
        <v>10280</v>
      </c>
      <c r="C669" s="657">
        <v>1116.4999999999413</v>
      </c>
      <c r="D669" s="658">
        <v>10319</v>
      </c>
      <c r="E669" s="658">
        <v>1116.5999999999412</v>
      </c>
      <c r="G669" s="64">
        <v>1116.5999999999412</v>
      </c>
      <c r="H669" s="658">
        <v>10319</v>
      </c>
      <c r="I669" s="64">
        <v>1116.6999999999412</v>
      </c>
      <c r="J669" s="658">
        <v>10358</v>
      </c>
    </row>
    <row r="670" spans="2:10" ht="14.4" x14ac:dyDescent="0.3">
      <c r="B670" s="657">
        <v>10319</v>
      </c>
      <c r="C670" s="657">
        <v>1116.5999999999412</v>
      </c>
      <c r="D670" s="658">
        <v>10358</v>
      </c>
      <c r="E670" s="658">
        <v>1116.6999999999412</v>
      </c>
      <c r="G670" s="64">
        <v>1116.6999999999412</v>
      </c>
      <c r="H670" s="658">
        <v>10358</v>
      </c>
      <c r="I670" s="64">
        <v>1116.7999999999411</v>
      </c>
      <c r="J670" s="658">
        <v>10397</v>
      </c>
    </row>
    <row r="671" spans="2:10" ht="14.4" x14ac:dyDescent="0.3">
      <c r="B671" s="657">
        <v>10358</v>
      </c>
      <c r="C671" s="657">
        <v>1116.6999999999412</v>
      </c>
      <c r="D671" s="658">
        <v>10397</v>
      </c>
      <c r="E671" s="658">
        <v>1116.7999999999411</v>
      </c>
      <c r="G671" s="64">
        <v>1116.7999999999411</v>
      </c>
      <c r="H671" s="658">
        <v>10397</v>
      </c>
      <c r="I671" s="64">
        <v>1116.899999999941</v>
      </c>
      <c r="J671" s="658">
        <v>10436</v>
      </c>
    </row>
    <row r="672" spans="2:10" ht="14.4" x14ac:dyDescent="0.3">
      <c r="B672" s="657">
        <v>10397</v>
      </c>
      <c r="C672" s="657">
        <v>1116.7999999999411</v>
      </c>
      <c r="D672" s="658">
        <v>10436</v>
      </c>
      <c r="E672" s="658">
        <v>1116.899999999941</v>
      </c>
      <c r="G672" s="64">
        <v>1116.899999999941</v>
      </c>
      <c r="H672" s="658">
        <v>10436</v>
      </c>
      <c r="I672" s="64">
        <v>1116.9999999999409</v>
      </c>
      <c r="J672" s="658">
        <v>10474</v>
      </c>
    </row>
    <row r="673" spans="2:10" ht="14.4" x14ac:dyDescent="0.3">
      <c r="B673" s="657">
        <v>10436</v>
      </c>
      <c r="C673" s="657">
        <v>1116.899999999941</v>
      </c>
      <c r="D673" s="658">
        <v>10474</v>
      </c>
      <c r="E673" s="658">
        <v>1116.9999999999409</v>
      </c>
      <c r="G673" s="64">
        <v>1116.9999999999409</v>
      </c>
      <c r="H673" s="658">
        <v>10474</v>
      </c>
      <c r="I673" s="64">
        <v>1117.0999999999408</v>
      </c>
      <c r="J673" s="658">
        <v>10515</v>
      </c>
    </row>
    <row r="674" spans="2:10" ht="14.4" x14ac:dyDescent="0.3">
      <c r="B674" s="657">
        <v>10474</v>
      </c>
      <c r="C674" s="657">
        <v>1116.9999999999409</v>
      </c>
      <c r="D674" s="658">
        <v>10515</v>
      </c>
      <c r="E674" s="658">
        <v>1117.0999999999408</v>
      </c>
      <c r="G674" s="64">
        <v>1117.0999999999408</v>
      </c>
      <c r="H674" s="658">
        <v>10515</v>
      </c>
      <c r="I674" s="64">
        <v>1117.1999999999407</v>
      </c>
      <c r="J674" s="658">
        <v>10555</v>
      </c>
    </row>
    <row r="675" spans="2:10" ht="14.4" x14ac:dyDescent="0.3">
      <c r="B675" s="657">
        <v>10515</v>
      </c>
      <c r="C675" s="657">
        <v>1117.0999999999408</v>
      </c>
      <c r="D675" s="658">
        <v>10555</v>
      </c>
      <c r="E675" s="658">
        <v>1117.1999999999407</v>
      </c>
      <c r="G675" s="64">
        <v>1117.1999999999407</v>
      </c>
      <c r="H675" s="658">
        <v>10555</v>
      </c>
      <c r="I675" s="64">
        <v>1117.2999999999406</v>
      </c>
      <c r="J675" s="658">
        <v>10595</v>
      </c>
    </row>
    <row r="676" spans="2:10" ht="14.4" x14ac:dyDescent="0.3">
      <c r="B676" s="657">
        <v>10555</v>
      </c>
      <c r="C676" s="657">
        <v>1117.1999999999407</v>
      </c>
      <c r="D676" s="658">
        <v>10595</v>
      </c>
      <c r="E676" s="658">
        <v>1117.2999999999406</v>
      </c>
      <c r="G676" s="64">
        <v>1117.2999999999406</v>
      </c>
      <c r="H676" s="658">
        <v>10595</v>
      </c>
      <c r="I676" s="64">
        <v>1117.3999999999405</v>
      </c>
      <c r="J676" s="658">
        <v>10635</v>
      </c>
    </row>
    <row r="677" spans="2:10" ht="14.4" x14ac:dyDescent="0.3">
      <c r="B677" s="657">
        <v>10595</v>
      </c>
      <c r="C677" s="657">
        <v>1117.2999999999406</v>
      </c>
      <c r="D677" s="658">
        <v>10635</v>
      </c>
      <c r="E677" s="658">
        <v>1117.3999999999405</v>
      </c>
      <c r="G677" s="64">
        <v>1117.3999999999405</v>
      </c>
      <c r="H677" s="658">
        <v>10635</v>
      </c>
      <c r="I677" s="64">
        <v>1117.4999999999404</v>
      </c>
      <c r="J677" s="658">
        <v>10675</v>
      </c>
    </row>
    <row r="678" spans="2:10" ht="14.4" x14ac:dyDescent="0.3">
      <c r="B678" s="657">
        <v>10635</v>
      </c>
      <c r="C678" s="657">
        <v>1117.3999999999405</v>
      </c>
      <c r="D678" s="658">
        <v>10675</v>
      </c>
      <c r="E678" s="658">
        <v>1117.4999999999404</v>
      </c>
      <c r="G678" s="64">
        <v>1117.4999999999404</v>
      </c>
      <c r="H678" s="658">
        <v>10675</v>
      </c>
      <c r="I678" s="64">
        <v>1117.5999999999403</v>
      </c>
      <c r="J678" s="658">
        <v>10715</v>
      </c>
    </row>
    <row r="679" spans="2:10" ht="14.4" x14ac:dyDescent="0.3">
      <c r="B679" s="657">
        <v>10675</v>
      </c>
      <c r="C679" s="657">
        <v>1117.4999999999404</v>
      </c>
      <c r="D679" s="658">
        <v>10715</v>
      </c>
      <c r="E679" s="658">
        <v>1117.5999999999403</v>
      </c>
      <c r="G679" s="64">
        <v>1117.5999999999403</v>
      </c>
      <c r="H679" s="658">
        <v>10715</v>
      </c>
      <c r="I679" s="64">
        <v>1117.6999999999402</v>
      </c>
      <c r="J679" s="658">
        <v>10755</v>
      </c>
    </row>
    <row r="680" spans="2:10" ht="14.4" x14ac:dyDescent="0.3">
      <c r="B680" s="657">
        <v>10715</v>
      </c>
      <c r="C680" s="657">
        <v>1117.5999999999403</v>
      </c>
      <c r="D680" s="658">
        <v>10755</v>
      </c>
      <c r="E680" s="658">
        <v>1117.6999999999402</v>
      </c>
      <c r="G680" s="64">
        <v>1117.6999999999402</v>
      </c>
      <c r="H680" s="658">
        <v>10755</v>
      </c>
      <c r="I680" s="64">
        <v>1117.7999999999402</v>
      </c>
      <c r="J680" s="658">
        <v>10795</v>
      </c>
    </row>
    <row r="681" spans="2:10" ht="14.4" x14ac:dyDescent="0.3">
      <c r="B681" s="657">
        <v>10755</v>
      </c>
      <c r="C681" s="657">
        <v>1117.6999999999402</v>
      </c>
      <c r="D681" s="658">
        <v>10795</v>
      </c>
      <c r="E681" s="658">
        <v>1117.7999999999402</v>
      </c>
      <c r="G681" s="64">
        <v>1117.7999999999402</v>
      </c>
      <c r="H681" s="658">
        <v>10795</v>
      </c>
      <c r="I681" s="64">
        <v>1117.8999999999401</v>
      </c>
      <c r="J681" s="658">
        <v>10836</v>
      </c>
    </row>
    <row r="682" spans="2:10" ht="14.4" x14ac:dyDescent="0.3">
      <c r="B682" s="657">
        <v>10795</v>
      </c>
      <c r="C682" s="657">
        <v>1117.7999999999402</v>
      </c>
      <c r="D682" s="658">
        <v>10836</v>
      </c>
      <c r="E682" s="658">
        <v>1117.8999999999401</v>
      </c>
      <c r="G682" s="64">
        <v>1117.8999999999401</v>
      </c>
      <c r="H682" s="658">
        <v>10836</v>
      </c>
      <c r="I682" s="64">
        <v>1117.99999999994</v>
      </c>
      <c r="J682" s="658">
        <v>10876</v>
      </c>
    </row>
    <row r="683" spans="2:10" ht="14.4" x14ac:dyDescent="0.3">
      <c r="B683" s="657">
        <v>10836</v>
      </c>
      <c r="C683" s="657">
        <v>1117.8999999999401</v>
      </c>
      <c r="D683" s="658">
        <v>10876</v>
      </c>
      <c r="E683" s="658">
        <v>1117.99999999994</v>
      </c>
      <c r="G683" s="64">
        <v>1117.99999999994</v>
      </c>
      <c r="H683" s="658">
        <v>10876</v>
      </c>
      <c r="I683" s="64">
        <v>1118.0999999999399</v>
      </c>
      <c r="J683" s="658">
        <v>10917</v>
      </c>
    </row>
    <row r="684" spans="2:10" ht="14.4" x14ac:dyDescent="0.3">
      <c r="B684" s="657">
        <v>10876</v>
      </c>
      <c r="C684" s="657">
        <v>1117.99999999994</v>
      </c>
      <c r="D684" s="658">
        <v>10917</v>
      </c>
      <c r="E684" s="658">
        <v>1118.0999999999399</v>
      </c>
      <c r="G684" s="64">
        <v>1118.0999999999399</v>
      </c>
      <c r="H684" s="658">
        <v>10917</v>
      </c>
      <c r="I684" s="64">
        <v>1118.1999999999398</v>
      </c>
      <c r="J684" s="658">
        <v>10958</v>
      </c>
    </row>
    <row r="685" spans="2:10" ht="14.4" x14ac:dyDescent="0.3">
      <c r="B685" s="657">
        <v>10917</v>
      </c>
      <c r="C685" s="657">
        <v>1118.0999999999399</v>
      </c>
      <c r="D685" s="658">
        <v>10958</v>
      </c>
      <c r="E685" s="658">
        <v>1118.1999999999398</v>
      </c>
      <c r="G685" s="64">
        <v>1118.1999999999398</v>
      </c>
      <c r="H685" s="658">
        <v>10958</v>
      </c>
      <c r="I685" s="64">
        <v>1118.2999999999397</v>
      </c>
      <c r="J685" s="658">
        <v>11000</v>
      </c>
    </row>
    <row r="686" spans="2:10" ht="14.4" x14ac:dyDescent="0.3">
      <c r="B686" s="657">
        <v>10958</v>
      </c>
      <c r="C686" s="657">
        <v>1118.1999999999398</v>
      </c>
      <c r="D686" s="658">
        <v>11000</v>
      </c>
      <c r="E686" s="658">
        <v>1118.2999999999397</v>
      </c>
      <c r="G686" s="64">
        <v>1118.2999999999397</v>
      </c>
      <c r="H686" s="658">
        <v>11000</v>
      </c>
      <c r="I686" s="64">
        <v>1118.3999999999396</v>
      </c>
      <c r="J686" s="658">
        <v>11041</v>
      </c>
    </row>
    <row r="687" spans="2:10" ht="14.4" x14ac:dyDescent="0.3">
      <c r="B687" s="657">
        <v>11000</v>
      </c>
      <c r="C687" s="657">
        <v>1118.2999999999397</v>
      </c>
      <c r="D687" s="658">
        <v>11041</v>
      </c>
      <c r="E687" s="658">
        <v>1118.3999999999396</v>
      </c>
      <c r="G687" s="64">
        <v>1118.3999999999396</v>
      </c>
      <c r="H687" s="658">
        <v>11041</v>
      </c>
      <c r="I687" s="64">
        <v>1118.4999999999395</v>
      </c>
      <c r="J687" s="658">
        <v>11082</v>
      </c>
    </row>
    <row r="688" spans="2:10" ht="14.4" x14ac:dyDescent="0.3">
      <c r="B688" s="657">
        <v>11041</v>
      </c>
      <c r="C688" s="657">
        <v>1118.3999999999396</v>
      </c>
      <c r="D688" s="658">
        <v>11082</v>
      </c>
      <c r="E688" s="658">
        <v>1118.4999999999395</v>
      </c>
      <c r="G688" s="64">
        <v>1118.4999999999395</v>
      </c>
      <c r="H688" s="658">
        <v>11082</v>
      </c>
      <c r="I688" s="64">
        <v>1118.5999999999394</v>
      </c>
      <c r="J688" s="658">
        <v>11124</v>
      </c>
    </row>
    <row r="689" spans="2:10" ht="14.4" x14ac:dyDescent="0.3">
      <c r="B689" s="657">
        <v>11082</v>
      </c>
      <c r="C689" s="657">
        <v>1118.4999999999395</v>
      </c>
      <c r="D689" s="658">
        <v>11124</v>
      </c>
      <c r="E689" s="658">
        <v>1118.5999999999394</v>
      </c>
      <c r="G689" s="64">
        <v>1118.5999999999394</v>
      </c>
      <c r="H689" s="658">
        <v>11124</v>
      </c>
      <c r="I689" s="64">
        <v>1118.6999999999393</v>
      </c>
      <c r="J689" s="658">
        <v>11165</v>
      </c>
    </row>
    <row r="690" spans="2:10" ht="14.4" x14ac:dyDescent="0.3">
      <c r="B690" s="657">
        <v>11124</v>
      </c>
      <c r="C690" s="657">
        <v>1118.5999999999394</v>
      </c>
      <c r="D690" s="658">
        <v>11165</v>
      </c>
      <c r="E690" s="658">
        <v>1118.6999999999393</v>
      </c>
      <c r="G690" s="64">
        <v>1118.6999999999393</v>
      </c>
      <c r="H690" s="658">
        <v>11165</v>
      </c>
      <c r="I690" s="64">
        <v>1118.7999999999392</v>
      </c>
      <c r="J690" s="658">
        <v>11206</v>
      </c>
    </row>
    <row r="691" spans="2:10" ht="14.4" x14ac:dyDescent="0.3">
      <c r="B691" s="657">
        <v>11165</v>
      </c>
      <c r="C691" s="657">
        <v>1118.6999999999393</v>
      </c>
      <c r="D691" s="658">
        <v>11206</v>
      </c>
      <c r="E691" s="658">
        <v>1118.7999999999392</v>
      </c>
      <c r="G691" s="64">
        <v>1118.7999999999392</v>
      </c>
      <c r="H691" s="658">
        <v>11206</v>
      </c>
      <c r="I691" s="64">
        <v>1118.8999999999392</v>
      </c>
      <c r="J691" s="658">
        <v>11248</v>
      </c>
    </row>
    <row r="692" spans="2:10" ht="14.4" x14ac:dyDescent="0.3">
      <c r="B692" s="657">
        <v>11206</v>
      </c>
      <c r="C692" s="657">
        <v>1118.7999999999392</v>
      </c>
      <c r="D692" s="658">
        <v>11248</v>
      </c>
      <c r="E692" s="658">
        <v>1118.8999999999392</v>
      </c>
      <c r="G692" s="64">
        <v>1118.8999999999392</v>
      </c>
      <c r="H692" s="658">
        <v>11248</v>
      </c>
      <c r="I692" s="64">
        <v>1118.9999999999391</v>
      </c>
      <c r="J692" s="658">
        <v>11289</v>
      </c>
    </row>
    <row r="693" spans="2:10" ht="14.4" x14ac:dyDescent="0.3">
      <c r="B693" s="657">
        <v>11248</v>
      </c>
      <c r="C693" s="657">
        <v>1118.8999999999392</v>
      </c>
      <c r="D693" s="658">
        <v>11289</v>
      </c>
      <c r="E693" s="658">
        <v>1118.9999999999391</v>
      </c>
      <c r="G693" s="64">
        <v>1118.9999999999391</v>
      </c>
      <c r="H693" s="658">
        <v>11289</v>
      </c>
      <c r="I693" s="64">
        <v>1119.099999999939</v>
      </c>
      <c r="J693" s="658">
        <v>11332</v>
      </c>
    </row>
    <row r="694" spans="2:10" ht="14.4" x14ac:dyDescent="0.3">
      <c r="B694" s="657">
        <v>11289</v>
      </c>
      <c r="C694" s="657">
        <v>1118.9999999999391</v>
      </c>
      <c r="D694" s="658">
        <v>11332</v>
      </c>
      <c r="E694" s="658">
        <v>1119.099999999939</v>
      </c>
      <c r="G694" s="64">
        <v>1119.099999999939</v>
      </c>
      <c r="H694" s="658">
        <v>11332</v>
      </c>
      <c r="I694" s="64">
        <v>1119.1999999999389</v>
      </c>
      <c r="J694" s="658">
        <v>11375</v>
      </c>
    </row>
    <row r="695" spans="2:10" ht="14.4" x14ac:dyDescent="0.3">
      <c r="B695" s="657">
        <v>11332</v>
      </c>
      <c r="C695" s="657">
        <v>1119.099999999939</v>
      </c>
      <c r="D695" s="658">
        <v>11375</v>
      </c>
      <c r="E695" s="658">
        <v>1119.1999999999389</v>
      </c>
      <c r="G695" s="64">
        <v>1119.1999999999389</v>
      </c>
      <c r="H695" s="658">
        <v>11375</v>
      </c>
      <c r="I695" s="64">
        <v>1119.2999999999388</v>
      </c>
      <c r="J695" s="658">
        <v>11417</v>
      </c>
    </row>
    <row r="696" spans="2:10" ht="14.4" x14ac:dyDescent="0.3">
      <c r="B696" s="657">
        <v>11375</v>
      </c>
      <c r="C696" s="657">
        <v>1119.1999999999389</v>
      </c>
      <c r="D696" s="658">
        <v>11417</v>
      </c>
      <c r="E696" s="658">
        <v>1119.2999999999388</v>
      </c>
      <c r="G696" s="64">
        <v>1119.2999999999388</v>
      </c>
      <c r="H696" s="658">
        <v>11417</v>
      </c>
      <c r="I696" s="64">
        <v>1119.3999999999387</v>
      </c>
      <c r="J696" s="658">
        <v>11460</v>
      </c>
    </row>
    <row r="697" spans="2:10" ht="14.4" x14ac:dyDescent="0.3">
      <c r="B697" s="657">
        <v>11417</v>
      </c>
      <c r="C697" s="657">
        <v>1119.2999999999388</v>
      </c>
      <c r="D697" s="658">
        <v>11460</v>
      </c>
      <c r="E697" s="658">
        <v>1119.3999999999387</v>
      </c>
      <c r="G697" s="64">
        <v>1119.3999999999387</v>
      </c>
      <c r="H697" s="658">
        <v>11460</v>
      </c>
      <c r="I697" s="64">
        <v>1119.4999999999386</v>
      </c>
      <c r="J697" s="658">
        <v>11503</v>
      </c>
    </row>
    <row r="698" spans="2:10" ht="14.4" x14ac:dyDescent="0.3">
      <c r="B698" s="657">
        <v>11460</v>
      </c>
      <c r="C698" s="657">
        <v>1119.3999999999387</v>
      </c>
      <c r="D698" s="658">
        <v>11503</v>
      </c>
      <c r="E698" s="658">
        <v>1119.4999999999386</v>
      </c>
      <c r="G698" s="64">
        <v>1119.4999999999386</v>
      </c>
      <c r="H698" s="658">
        <v>11503</v>
      </c>
      <c r="I698" s="64">
        <v>1119.5999999999385</v>
      </c>
      <c r="J698" s="658">
        <v>11545</v>
      </c>
    </row>
    <row r="699" spans="2:10" ht="14.4" x14ac:dyDescent="0.3">
      <c r="B699" s="657">
        <v>11503</v>
      </c>
      <c r="C699" s="657">
        <v>1119.4999999999386</v>
      </c>
      <c r="D699" s="658">
        <v>11545</v>
      </c>
      <c r="E699" s="658">
        <v>1119.5999999999385</v>
      </c>
      <c r="G699" s="64">
        <v>1119.5999999999385</v>
      </c>
      <c r="H699" s="658">
        <v>11545</v>
      </c>
      <c r="I699" s="64">
        <v>1119.6999999999384</v>
      </c>
      <c r="J699" s="658">
        <v>11588</v>
      </c>
    </row>
    <row r="700" spans="2:10" ht="14.4" x14ac:dyDescent="0.3">
      <c r="B700" s="657">
        <v>11545</v>
      </c>
      <c r="C700" s="657">
        <v>1119.5999999999385</v>
      </c>
      <c r="D700" s="658">
        <v>11588</v>
      </c>
      <c r="E700" s="658">
        <v>1119.6999999999384</v>
      </c>
      <c r="G700" s="64">
        <v>1119.6999999999384</v>
      </c>
      <c r="H700" s="658">
        <v>11588</v>
      </c>
      <c r="I700" s="64">
        <v>1119.7999999999383</v>
      </c>
      <c r="J700" s="658">
        <v>11631</v>
      </c>
    </row>
    <row r="701" spans="2:10" ht="14.4" x14ac:dyDescent="0.3">
      <c r="B701" s="657">
        <v>11588</v>
      </c>
      <c r="C701" s="657">
        <v>1119.6999999999384</v>
      </c>
      <c r="D701" s="658">
        <v>11631</v>
      </c>
      <c r="E701" s="658">
        <v>1119.7999999999383</v>
      </c>
      <c r="G701" s="64">
        <v>1119.7999999999383</v>
      </c>
      <c r="H701" s="658">
        <v>11631</v>
      </c>
      <c r="I701" s="64">
        <v>1119.8999999999382</v>
      </c>
      <c r="J701" s="658">
        <v>11673</v>
      </c>
    </row>
    <row r="702" spans="2:10" ht="14.4" x14ac:dyDescent="0.3">
      <c r="B702" s="657">
        <v>11631</v>
      </c>
      <c r="C702" s="657">
        <v>1119.7999999999383</v>
      </c>
      <c r="D702" s="658">
        <v>11673</v>
      </c>
      <c r="E702" s="658">
        <v>1119.8999999999382</v>
      </c>
      <c r="G702" s="64">
        <v>1119.8999999999382</v>
      </c>
      <c r="H702" s="658">
        <v>11673</v>
      </c>
      <c r="I702" s="64">
        <v>1119.9999999999382</v>
      </c>
      <c r="J702" s="658">
        <v>11716</v>
      </c>
    </row>
    <row r="703" spans="2:10" ht="14.4" x14ac:dyDescent="0.3">
      <c r="B703" s="657">
        <v>11673</v>
      </c>
      <c r="C703" s="657">
        <v>1119.8999999999382</v>
      </c>
      <c r="D703" s="658">
        <v>11716</v>
      </c>
      <c r="E703" s="658">
        <v>1119.9999999999382</v>
      </c>
      <c r="G703" s="64">
        <v>1119.9999999999382</v>
      </c>
      <c r="H703" s="658">
        <v>11716</v>
      </c>
      <c r="I703" s="64">
        <v>1120.0999999999381</v>
      </c>
      <c r="J703" s="658">
        <v>11760</v>
      </c>
    </row>
    <row r="704" spans="2:10" ht="14.4" x14ac:dyDescent="0.3">
      <c r="B704" s="657">
        <v>11716</v>
      </c>
      <c r="C704" s="657">
        <v>1119.9999999999382</v>
      </c>
      <c r="D704" s="658">
        <v>11760</v>
      </c>
      <c r="E704" s="658">
        <v>1120.0999999999381</v>
      </c>
      <c r="G704" s="64">
        <v>1120.0999999999381</v>
      </c>
      <c r="H704" s="658">
        <v>11760</v>
      </c>
      <c r="I704" s="64">
        <v>1120.199999999938</v>
      </c>
      <c r="J704" s="658">
        <v>11804</v>
      </c>
    </row>
    <row r="705" spans="2:10" ht="14.4" x14ac:dyDescent="0.3">
      <c r="B705" s="657">
        <v>11760</v>
      </c>
      <c r="C705" s="657">
        <v>1120.0999999999381</v>
      </c>
      <c r="D705" s="658">
        <v>11804</v>
      </c>
      <c r="E705" s="658">
        <v>1120.199999999938</v>
      </c>
      <c r="G705" s="64">
        <v>1120.199999999938</v>
      </c>
      <c r="H705" s="658">
        <v>11804</v>
      </c>
      <c r="I705" s="64">
        <v>1120.2999999999379</v>
      </c>
      <c r="J705" s="658">
        <v>11848</v>
      </c>
    </row>
    <row r="706" spans="2:10" ht="14.4" x14ac:dyDescent="0.3">
      <c r="B706" s="657">
        <v>11804</v>
      </c>
      <c r="C706" s="657">
        <v>1120.199999999938</v>
      </c>
      <c r="D706" s="658">
        <v>11848</v>
      </c>
      <c r="E706" s="658">
        <v>1120.2999999999379</v>
      </c>
      <c r="G706" s="64">
        <v>1120.2999999999379</v>
      </c>
      <c r="H706" s="658">
        <v>11848</v>
      </c>
      <c r="I706" s="64">
        <v>1120.3999999999378</v>
      </c>
      <c r="J706" s="658">
        <v>11893</v>
      </c>
    </row>
    <row r="707" spans="2:10" ht="14.4" x14ac:dyDescent="0.3">
      <c r="B707" s="657">
        <v>11848</v>
      </c>
      <c r="C707" s="657">
        <v>1120.2999999999379</v>
      </c>
      <c r="D707" s="658">
        <v>11893</v>
      </c>
      <c r="E707" s="658">
        <v>1120.3999999999378</v>
      </c>
      <c r="G707" s="64">
        <v>1120.3999999999378</v>
      </c>
      <c r="H707" s="658">
        <v>11893</v>
      </c>
      <c r="I707" s="64">
        <v>1120.4999999999377</v>
      </c>
      <c r="J707" s="658">
        <v>11937</v>
      </c>
    </row>
    <row r="708" spans="2:10" ht="14.4" x14ac:dyDescent="0.3">
      <c r="B708" s="657">
        <v>11893</v>
      </c>
      <c r="C708" s="657">
        <v>1120.3999999999378</v>
      </c>
      <c r="D708" s="658">
        <v>11937</v>
      </c>
      <c r="E708" s="658">
        <v>1120.4999999999377</v>
      </c>
      <c r="G708" s="64">
        <v>1120.4999999999377</v>
      </c>
      <c r="H708" s="658">
        <v>11937</v>
      </c>
      <c r="I708" s="64">
        <v>1120.5999999999376</v>
      </c>
      <c r="J708" s="658">
        <v>11981</v>
      </c>
    </row>
    <row r="709" spans="2:10" ht="14.4" x14ac:dyDescent="0.3">
      <c r="B709" s="657">
        <v>11937</v>
      </c>
      <c r="C709" s="657">
        <v>1120.4999999999377</v>
      </c>
      <c r="D709" s="658">
        <v>11981</v>
      </c>
      <c r="E709" s="658">
        <v>1120.5999999999376</v>
      </c>
      <c r="G709" s="64">
        <v>1120.5999999999376</v>
      </c>
      <c r="H709" s="658">
        <v>11981</v>
      </c>
      <c r="I709" s="64">
        <v>1120.6999999999375</v>
      </c>
      <c r="J709" s="658">
        <v>12025</v>
      </c>
    </row>
    <row r="710" spans="2:10" ht="14.4" x14ac:dyDescent="0.3">
      <c r="B710" s="657">
        <v>11981</v>
      </c>
      <c r="C710" s="657">
        <v>1120.5999999999376</v>
      </c>
      <c r="D710" s="658">
        <v>12025</v>
      </c>
      <c r="E710" s="658">
        <v>1120.6999999999375</v>
      </c>
      <c r="G710" s="64">
        <v>1120.6999999999375</v>
      </c>
      <c r="H710" s="658">
        <v>12025</v>
      </c>
      <c r="I710" s="64">
        <v>1120.7999999999374</v>
      </c>
      <c r="J710" s="658">
        <v>12069</v>
      </c>
    </row>
    <row r="711" spans="2:10" ht="14.4" x14ac:dyDescent="0.3">
      <c r="B711" s="657">
        <v>12025</v>
      </c>
      <c r="C711" s="657">
        <v>1120.6999999999375</v>
      </c>
      <c r="D711" s="658">
        <v>12069</v>
      </c>
      <c r="E711" s="658">
        <v>1120.7999999999374</v>
      </c>
      <c r="G711" s="64">
        <v>1120.7999999999374</v>
      </c>
      <c r="H711" s="658">
        <v>12069</v>
      </c>
      <c r="I711" s="64">
        <v>1120.8999999999373</v>
      </c>
      <c r="J711" s="658">
        <v>12113</v>
      </c>
    </row>
    <row r="712" spans="2:10" ht="14.4" x14ac:dyDescent="0.3">
      <c r="B712" s="657">
        <v>12069</v>
      </c>
      <c r="C712" s="657">
        <v>1120.7999999999374</v>
      </c>
      <c r="D712" s="658">
        <v>12113</v>
      </c>
      <c r="E712" s="658">
        <v>1120.8999999999373</v>
      </c>
      <c r="G712" s="64">
        <v>1120.8999999999373</v>
      </c>
      <c r="H712" s="658">
        <v>12113</v>
      </c>
      <c r="I712" s="64">
        <v>1120.9999999999372</v>
      </c>
      <c r="J712" s="658">
        <v>12157</v>
      </c>
    </row>
    <row r="713" spans="2:10" ht="14.4" x14ac:dyDescent="0.3">
      <c r="B713" s="657">
        <v>12113</v>
      </c>
      <c r="C713" s="657">
        <v>1120.8999999999373</v>
      </c>
      <c r="D713" s="658">
        <v>12157</v>
      </c>
      <c r="E713" s="658">
        <v>1120.9999999999372</v>
      </c>
      <c r="G713" s="64">
        <v>1120.9999999999372</v>
      </c>
      <c r="H713" s="658">
        <v>12157</v>
      </c>
      <c r="I713" s="64">
        <v>1121.0999999999372</v>
      </c>
      <c r="J713" s="658">
        <v>12203</v>
      </c>
    </row>
    <row r="714" spans="2:10" ht="14.4" x14ac:dyDescent="0.3">
      <c r="B714" s="657">
        <v>12157</v>
      </c>
      <c r="C714" s="657">
        <v>1120.9999999999372</v>
      </c>
      <c r="D714" s="658">
        <v>12203</v>
      </c>
      <c r="E714" s="658">
        <v>1121.0999999999372</v>
      </c>
      <c r="G714" s="64">
        <v>1121.0999999999372</v>
      </c>
      <c r="H714" s="658">
        <v>12203</v>
      </c>
      <c r="I714" s="64">
        <v>1121.1999999999371</v>
      </c>
      <c r="J714" s="658">
        <v>12249</v>
      </c>
    </row>
    <row r="715" spans="2:10" ht="14.4" x14ac:dyDescent="0.3">
      <c r="B715" s="657">
        <v>12203</v>
      </c>
      <c r="C715" s="657">
        <v>1121.0999999999372</v>
      </c>
      <c r="D715" s="658">
        <v>12249</v>
      </c>
      <c r="E715" s="658">
        <v>1121.1999999999371</v>
      </c>
      <c r="G715" s="64">
        <v>1121.1999999999371</v>
      </c>
      <c r="H715" s="658">
        <v>12249</v>
      </c>
      <c r="I715" s="64">
        <v>1121.299999999937</v>
      </c>
      <c r="J715" s="658">
        <v>12294</v>
      </c>
    </row>
    <row r="716" spans="2:10" ht="14.4" x14ac:dyDescent="0.3">
      <c r="B716" s="657">
        <v>12249</v>
      </c>
      <c r="C716" s="657">
        <v>1121.1999999999371</v>
      </c>
      <c r="D716" s="658">
        <v>12294</v>
      </c>
      <c r="E716" s="658">
        <v>1121.299999999937</v>
      </c>
      <c r="G716" s="64">
        <v>1121.299999999937</v>
      </c>
      <c r="H716" s="658">
        <v>12294</v>
      </c>
      <c r="I716" s="64">
        <v>1121.3999999999369</v>
      </c>
      <c r="J716" s="658">
        <v>12340</v>
      </c>
    </row>
    <row r="717" spans="2:10" ht="14.4" x14ac:dyDescent="0.3">
      <c r="B717" s="657">
        <v>12294</v>
      </c>
      <c r="C717" s="657">
        <v>1121.299999999937</v>
      </c>
      <c r="D717" s="658">
        <v>12340</v>
      </c>
      <c r="E717" s="658">
        <v>1121.3999999999369</v>
      </c>
      <c r="G717" s="64">
        <v>1121.3999999999369</v>
      </c>
      <c r="H717" s="658">
        <v>12340</v>
      </c>
      <c r="I717" s="64">
        <v>1121.4999999999368</v>
      </c>
      <c r="J717" s="658">
        <v>12385</v>
      </c>
    </row>
    <row r="718" spans="2:10" ht="14.4" x14ac:dyDescent="0.3">
      <c r="B718" s="657">
        <v>12340</v>
      </c>
      <c r="C718" s="657">
        <v>1121.3999999999369</v>
      </c>
      <c r="D718" s="658">
        <v>12385</v>
      </c>
      <c r="E718" s="658">
        <v>1121.4999999999368</v>
      </c>
      <c r="G718" s="64">
        <v>1121.4999999999368</v>
      </c>
      <c r="H718" s="658">
        <v>12385</v>
      </c>
      <c r="I718" s="64">
        <v>1121.5999999999367</v>
      </c>
      <c r="J718" s="658">
        <v>12431</v>
      </c>
    </row>
    <row r="719" spans="2:10" ht="14.4" x14ac:dyDescent="0.3">
      <c r="B719" s="657">
        <v>12385</v>
      </c>
      <c r="C719" s="657">
        <v>1121.4999999999368</v>
      </c>
      <c r="D719" s="658">
        <v>12431</v>
      </c>
      <c r="E719" s="658">
        <v>1121.5999999999367</v>
      </c>
      <c r="G719" s="64">
        <v>1121.5999999999367</v>
      </c>
      <c r="H719" s="658">
        <v>12431</v>
      </c>
      <c r="I719" s="64">
        <v>1121.6999999999366</v>
      </c>
      <c r="J719" s="658">
        <v>12477</v>
      </c>
    </row>
    <row r="720" spans="2:10" ht="14.4" x14ac:dyDescent="0.3">
      <c r="B720" s="657">
        <v>12431</v>
      </c>
      <c r="C720" s="657">
        <v>1121.5999999999367</v>
      </c>
      <c r="D720" s="658">
        <v>12477</v>
      </c>
      <c r="E720" s="658">
        <v>1121.6999999999366</v>
      </c>
      <c r="G720" s="64">
        <v>1121.6999999999366</v>
      </c>
      <c r="H720" s="658">
        <v>12477</v>
      </c>
      <c r="I720" s="64">
        <v>1121.7999999999365</v>
      </c>
      <c r="J720" s="658">
        <v>12522</v>
      </c>
    </row>
    <row r="721" spans="2:10" ht="14.4" x14ac:dyDescent="0.3">
      <c r="B721" s="657">
        <v>12477</v>
      </c>
      <c r="C721" s="657">
        <v>1121.6999999999366</v>
      </c>
      <c r="D721" s="658">
        <v>12522</v>
      </c>
      <c r="E721" s="658">
        <v>1121.7999999999365</v>
      </c>
      <c r="G721" s="64">
        <v>1121.7999999999365</v>
      </c>
      <c r="H721" s="658">
        <v>12522</v>
      </c>
      <c r="I721" s="64">
        <v>1121.8999999999364</v>
      </c>
      <c r="J721" s="658">
        <v>12568</v>
      </c>
    </row>
    <row r="722" spans="2:10" ht="14.4" x14ac:dyDescent="0.3">
      <c r="B722" s="657">
        <v>12522</v>
      </c>
      <c r="C722" s="657">
        <v>1121.7999999999365</v>
      </c>
      <c r="D722" s="658">
        <v>12568</v>
      </c>
      <c r="E722" s="658">
        <v>1121.8999999999364</v>
      </c>
      <c r="G722" s="64">
        <v>1121.8999999999364</v>
      </c>
      <c r="H722" s="658">
        <v>12568</v>
      </c>
      <c r="I722" s="64">
        <v>1121.9999999999363</v>
      </c>
      <c r="J722" s="658">
        <v>12613</v>
      </c>
    </row>
    <row r="723" spans="2:10" ht="14.4" x14ac:dyDescent="0.3">
      <c r="B723" s="657">
        <v>12568</v>
      </c>
      <c r="C723" s="657">
        <v>1121.8999999999364</v>
      </c>
      <c r="D723" s="658">
        <v>12613</v>
      </c>
      <c r="E723" s="658">
        <v>1121.9999999999363</v>
      </c>
      <c r="G723" s="64">
        <v>1121.9999999999363</v>
      </c>
      <c r="H723" s="658">
        <v>12613</v>
      </c>
      <c r="I723" s="64">
        <v>1122.0999999999362</v>
      </c>
      <c r="J723" s="658">
        <v>12661</v>
      </c>
    </row>
    <row r="724" spans="2:10" ht="14.4" x14ac:dyDescent="0.3">
      <c r="B724" s="657">
        <v>12613</v>
      </c>
      <c r="C724" s="657">
        <v>1121.9999999999363</v>
      </c>
      <c r="D724" s="658">
        <v>12661</v>
      </c>
      <c r="E724" s="658">
        <v>1122.0999999999362</v>
      </c>
      <c r="G724" s="64">
        <v>1122.0999999999362</v>
      </c>
      <c r="H724" s="658">
        <v>12661</v>
      </c>
      <c r="I724" s="64">
        <v>1122.1999999999362</v>
      </c>
      <c r="J724" s="658">
        <v>12708</v>
      </c>
    </row>
    <row r="725" spans="2:10" ht="14.4" x14ac:dyDescent="0.3">
      <c r="B725" s="657">
        <v>12661</v>
      </c>
      <c r="C725" s="657">
        <v>1122.0999999999362</v>
      </c>
      <c r="D725" s="658">
        <v>12708</v>
      </c>
      <c r="E725" s="658">
        <v>1122.1999999999362</v>
      </c>
      <c r="G725" s="64">
        <v>1122.1999999999362</v>
      </c>
      <c r="H725" s="658">
        <v>12708</v>
      </c>
      <c r="I725" s="64">
        <v>1122.2999999999361</v>
      </c>
      <c r="J725" s="658">
        <v>12755</v>
      </c>
    </row>
    <row r="726" spans="2:10" ht="14.4" x14ac:dyDescent="0.3">
      <c r="B726" s="657">
        <v>12708</v>
      </c>
      <c r="C726" s="657">
        <v>1122.1999999999362</v>
      </c>
      <c r="D726" s="658">
        <v>12755</v>
      </c>
      <c r="E726" s="658">
        <v>1122.2999999999361</v>
      </c>
      <c r="G726" s="64">
        <v>1122.2999999999361</v>
      </c>
      <c r="H726" s="658">
        <v>12755</v>
      </c>
      <c r="I726" s="64">
        <v>1122.399999999936</v>
      </c>
      <c r="J726" s="658">
        <v>12802</v>
      </c>
    </row>
    <row r="727" spans="2:10" ht="14.4" x14ac:dyDescent="0.3">
      <c r="B727" s="657">
        <v>12755</v>
      </c>
      <c r="C727" s="657">
        <v>1122.2999999999361</v>
      </c>
      <c r="D727" s="658">
        <v>12802</v>
      </c>
      <c r="E727" s="658">
        <v>1122.399999999936</v>
      </c>
      <c r="G727" s="64">
        <v>1122.399999999936</v>
      </c>
      <c r="H727" s="658">
        <v>12802</v>
      </c>
      <c r="I727" s="64">
        <v>1122.4999999999359</v>
      </c>
      <c r="J727" s="658">
        <v>12850</v>
      </c>
    </row>
    <row r="728" spans="2:10" ht="14.4" x14ac:dyDescent="0.3">
      <c r="B728" s="657">
        <v>12802</v>
      </c>
      <c r="C728" s="657">
        <v>1122.399999999936</v>
      </c>
      <c r="D728" s="658">
        <v>12850</v>
      </c>
      <c r="E728" s="658">
        <v>1122.4999999999359</v>
      </c>
      <c r="G728" s="64">
        <v>1122.4999999999359</v>
      </c>
      <c r="H728" s="658">
        <v>12850</v>
      </c>
      <c r="I728" s="64">
        <v>1122.5999999999358</v>
      </c>
      <c r="J728" s="658">
        <v>12897</v>
      </c>
    </row>
    <row r="729" spans="2:10" ht="14.4" x14ac:dyDescent="0.3">
      <c r="B729" s="657">
        <v>12850</v>
      </c>
      <c r="C729" s="657">
        <v>1122.4999999999359</v>
      </c>
      <c r="D729" s="658">
        <v>12897</v>
      </c>
      <c r="E729" s="658">
        <v>1122.5999999999358</v>
      </c>
      <c r="G729" s="64">
        <v>1122.5999999999358</v>
      </c>
      <c r="H729" s="658">
        <v>12897</v>
      </c>
      <c r="I729" s="64">
        <v>1122.6999999999357</v>
      </c>
      <c r="J729" s="658">
        <v>12944</v>
      </c>
    </row>
    <row r="730" spans="2:10" ht="14.4" x14ac:dyDescent="0.3">
      <c r="B730" s="657">
        <v>12897</v>
      </c>
      <c r="C730" s="657">
        <v>1122.5999999999358</v>
      </c>
      <c r="D730" s="658">
        <v>12944</v>
      </c>
      <c r="E730" s="658">
        <v>1122.6999999999357</v>
      </c>
      <c r="G730" s="64">
        <v>1122.6999999999357</v>
      </c>
      <c r="H730" s="658">
        <v>12944</v>
      </c>
      <c r="I730" s="64">
        <v>1122.7999999999356</v>
      </c>
      <c r="J730" s="658">
        <v>12991</v>
      </c>
    </row>
    <row r="731" spans="2:10" ht="14.4" x14ac:dyDescent="0.3">
      <c r="B731" s="657">
        <v>12944</v>
      </c>
      <c r="C731" s="657">
        <v>1122.6999999999357</v>
      </c>
      <c r="D731" s="658">
        <v>12991</v>
      </c>
      <c r="E731" s="658">
        <v>1122.7999999999356</v>
      </c>
      <c r="G731" s="64">
        <v>1122.7999999999356</v>
      </c>
      <c r="H731" s="658">
        <v>12991</v>
      </c>
      <c r="I731" s="64">
        <v>1122.8999999999355</v>
      </c>
      <c r="J731" s="658">
        <v>13038</v>
      </c>
    </row>
    <row r="732" spans="2:10" ht="14.4" x14ac:dyDescent="0.3">
      <c r="B732" s="657">
        <v>12991</v>
      </c>
      <c r="C732" s="657">
        <v>1122.7999999999356</v>
      </c>
      <c r="D732" s="658">
        <v>13038</v>
      </c>
      <c r="E732" s="658">
        <v>1122.8999999999355</v>
      </c>
      <c r="G732" s="64">
        <v>1122.8999999999355</v>
      </c>
      <c r="H732" s="658">
        <v>13038</v>
      </c>
      <c r="I732" s="64">
        <v>1122.9999999999354</v>
      </c>
      <c r="J732" s="658">
        <v>13086</v>
      </c>
    </row>
    <row r="733" spans="2:10" ht="14.4" x14ac:dyDescent="0.3">
      <c r="B733" s="657">
        <v>13038</v>
      </c>
      <c r="C733" s="657">
        <v>1122.8999999999355</v>
      </c>
      <c r="D733" s="658">
        <v>13086</v>
      </c>
      <c r="E733" s="658">
        <v>1122.9999999999354</v>
      </c>
      <c r="G733" s="64">
        <v>1122.9999999999354</v>
      </c>
      <c r="H733" s="658">
        <v>13086</v>
      </c>
      <c r="I733" s="64">
        <v>1123.0999999999353</v>
      </c>
      <c r="J733" s="658">
        <v>13134</v>
      </c>
    </row>
    <row r="734" spans="2:10" ht="14.4" x14ac:dyDescent="0.3">
      <c r="B734" s="657">
        <v>13086</v>
      </c>
      <c r="C734" s="657">
        <v>1122.9999999999354</v>
      </c>
      <c r="D734" s="658">
        <v>13134</v>
      </c>
      <c r="E734" s="658">
        <v>1123.0999999999353</v>
      </c>
      <c r="G734" s="64">
        <v>1123.0999999999353</v>
      </c>
      <c r="H734" s="658">
        <v>13134</v>
      </c>
      <c r="I734" s="64">
        <v>1123.1999999999352</v>
      </c>
      <c r="J734" s="658">
        <v>13183</v>
      </c>
    </row>
    <row r="735" spans="2:10" ht="14.4" x14ac:dyDescent="0.3">
      <c r="B735" s="657">
        <v>13134</v>
      </c>
      <c r="C735" s="657">
        <v>1123.0999999999353</v>
      </c>
      <c r="D735" s="658">
        <v>13183</v>
      </c>
      <c r="E735" s="658">
        <v>1123.1999999999352</v>
      </c>
      <c r="G735" s="64">
        <v>1123.1999999999352</v>
      </c>
      <c r="H735" s="658">
        <v>13183</v>
      </c>
      <c r="I735" s="64">
        <v>1123.2999999999352</v>
      </c>
      <c r="J735" s="658">
        <v>13232</v>
      </c>
    </row>
    <row r="736" spans="2:10" ht="14.4" x14ac:dyDescent="0.3">
      <c r="B736" s="657">
        <v>13183</v>
      </c>
      <c r="C736" s="657">
        <v>1123.1999999999352</v>
      </c>
      <c r="D736" s="658">
        <v>13232</v>
      </c>
      <c r="E736" s="658">
        <v>1123.2999999999352</v>
      </c>
      <c r="G736" s="64">
        <v>1123.2999999999352</v>
      </c>
      <c r="H736" s="658">
        <v>13232</v>
      </c>
      <c r="I736" s="64">
        <v>1123.3999999999351</v>
      </c>
      <c r="J736" s="658">
        <v>13281</v>
      </c>
    </row>
    <row r="737" spans="2:10" ht="14.4" x14ac:dyDescent="0.3">
      <c r="B737" s="657">
        <v>13232</v>
      </c>
      <c r="C737" s="657">
        <v>1123.2999999999352</v>
      </c>
      <c r="D737" s="658">
        <v>13281</v>
      </c>
      <c r="E737" s="658">
        <v>1123.3999999999351</v>
      </c>
      <c r="G737" s="64">
        <v>1123.3999999999351</v>
      </c>
      <c r="H737" s="658">
        <v>13281</v>
      </c>
      <c r="I737" s="64">
        <v>1123.499999999935</v>
      </c>
      <c r="J737" s="658">
        <v>13329</v>
      </c>
    </row>
    <row r="738" spans="2:10" ht="14.4" x14ac:dyDescent="0.3">
      <c r="B738" s="657">
        <v>13281</v>
      </c>
      <c r="C738" s="657">
        <v>1123.3999999999351</v>
      </c>
      <c r="D738" s="658">
        <v>13329</v>
      </c>
      <c r="E738" s="658">
        <v>1123.499999999935</v>
      </c>
      <c r="G738" s="64">
        <v>1123.499999999935</v>
      </c>
      <c r="H738" s="658">
        <v>13329</v>
      </c>
      <c r="I738" s="64">
        <v>1123.5999999999349</v>
      </c>
      <c r="J738" s="658">
        <v>13378</v>
      </c>
    </row>
    <row r="739" spans="2:10" ht="14.4" x14ac:dyDescent="0.3">
      <c r="B739" s="657">
        <v>13329</v>
      </c>
      <c r="C739" s="657">
        <v>1123.499999999935</v>
      </c>
      <c r="D739" s="658">
        <v>13378</v>
      </c>
      <c r="E739" s="658">
        <v>1123.5999999999349</v>
      </c>
      <c r="G739" s="64">
        <v>1123.5999999999349</v>
      </c>
      <c r="H739" s="658">
        <v>13378</v>
      </c>
      <c r="I739" s="64">
        <v>1123.6999999999348</v>
      </c>
      <c r="J739" s="658">
        <v>13427</v>
      </c>
    </row>
    <row r="740" spans="2:10" ht="14.4" x14ac:dyDescent="0.3">
      <c r="B740" s="657">
        <v>13378</v>
      </c>
      <c r="C740" s="657">
        <v>1123.5999999999349</v>
      </c>
      <c r="D740" s="658">
        <v>13427</v>
      </c>
      <c r="E740" s="658">
        <v>1123.6999999999348</v>
      </c>
      <c r="G740" s="64">
        <v>1123.6999999999348</v>
      </c>
      <c r="H740" s="658">
        <v>13427</v>
      </c>
      <c r="I740" s="64">
        <v>1123.7999999999347</v>
      </c>
      <c r="J740" s="658">
        <v>13476</v>
      </c>
    </row>
    <row r="741" spans="2:10" ht="14.4" x14ac:dyDescent="0.3">
      <c r="B741" s="657">
        <v>13427</v>
      </c>
      <c r="C741" s="657">
        <v>1123.6999999999348</v>
      </c>
      <c r="D741" s="658">
        <v>13476</v>
      </c>
      <c r="E741" s="658">
        <v>1123.7999999999347</v>
      </c>
      <c r="G741" s="64">
        <v>1123.7999999999347</v>
      </c>
      <c r="H741" s="658">
        <v>13476</v>
      </c>
      <c r="I741" s="64">
        <v>1123.8999999999346</v>
      </c>
      <c r="J741" s="658">
        <v>13524</v>
      </c>
    </row>
    <row r="742" spans="2:10" ht="14.4" x14ac:dyDescent="0.3">
      <c r="B742" s="657">
        <v>13476</v>
      </c>
      <c r="C742" s="657">
        <v>1123.7999999999347</v>
      </c>
      <c r="D742" s="658">
        <v>13524</v>
      </c>
      <c r="E742" s="658">
        <v>1123.8999999999346</v>
      </c>
      <c r="G742" s="64">
        <v>1123.8999999999346</v>
      </c>
      <c r="H742" s="658">
        <v>13524</v>
      </c>
      <c r="I742" s="64">
        <v>1123.9999999999345</v>
      </c>
      <c r="J742" s="658">
        <v>13573</v>
      </c>
    </row>
    <row r="743" spans="2:10" ht="14.4" x14ac:dyDescent="0.3">
      <c r="B743" s="657">
        <v>13524</v>
      </c>
      <c r="C743" s="657">
        <v>1123.8999999999346</v>
      </c>
      <c r="D743" s="658">
        <v>13573</v>
      </c>
      <c r="E743" s="658">
        <v>1123.9999999999345</v>
      </c>
      <c r="G743" s="64">
        <v>1123.9999999999345</v>
      </c>
      <c r="H743" s="658">
        <v>13573</v>
      </c>
      <c r="I743" s="64">
        <v>1124.0999999999344</v>
      </c>
      <c r="J743" s="658">
        <v>13624</v>
      </c>
    </row>
    <row r="744" spans="2:10" ht="14.4" x14ac:dyDescent="0.3">
      <c r="B744" s="657">
        <v>13573</v>
      </c>
      <c r="C744" s="657">
        <v>1123.9999999999345</v>
      </c>
      <c r="D744" s="658">
        <v>13624</v>
      </c>
      <c r="E744" s="658">
        <v>1124.0999999999344</v>
      </c>
      <c r="G744" s="64">
        <v>1124.0999999999344</v>
      </c>
      <c r="H744" s="658">
        <v>13624</v>
      </c>
      <c r="I744" s="64">
        <v>1124.1999999999343</v>
      </c>
      <c r="J744" s="658">
        <v>13674</v>
      </c>
    </row>
    <row r="745" spans="2:10" ht="14.4" x14ac:dyDescent="0.3">
      <c r="B745" s="657">
        <v>13624</v>
      </c>
      <c r="C745" s="657">
        <v>1124.0999999999344</v>
      </c>
      <c r="D745" s="658">
        <v>13674</v>
      </c>
      <c r="E745" s="658">
        <v>1124.1999999999343</v>
      </c>
      <c r="G745" s="64">
        <v>1124.1999999999343</v>
      </c>
      <c r="H745" s="658">
        <v>13674</v>
      </c>
      <c r="I745" s="64">
        <v>1124.2999999999342</v>
      </c>
      <c r="J745" s="658">
        <v>13724</v>
      </c>
    </row>
    <row r="746" spans="2:10" ht="14.4" x14ac:dyDescent="0.3">
      <c r="B746" s="657">
        <v>13674</v>
      </c>
      <c r="C746" s="657">
        <v>1124.1999999999343</v>
      </c>
      <c r="D746" s="658">
        <v>13724</v>
      </c>
      <c r="E746" s="658">
        <v>1124.2999999999342</v>
      </c>
      <c r="G746" s="64">
        <v>1124.2999999999342</v>
      </c>
      <c r="H746" s="658">
        <v>13724</v>
      </c>
      <c r="I746" s="64">
        <v>1124.3999999999342</v>
      </c>
      <c r="J746" s="658">
        <v>13774</v>
      </c>
    </row>
    <row r="747" spans="2:10" ht="14.4" x14ac:dyDescent="0.3">
      <c r="B747" s="657">
        <v>13724</v>
      </c>
      <c r="C747" s="657">
        <v>1124.2999999999342</v>
      </c>
      <c r="D747" s="658">
        <v>13774</v>
      </c>
      <c r="E747" s="658">
        <v>1124.3999999999342</v>
      </c>
      <c r="G747" s="64">
        <v>1124.3999999999342</v>
      </c>
      <c r="H747" s="658">
        <v>13774</v>
      </c>
      <c r="I747" s="64">
        <v>1124.4999999999341</v>
      </c>
      <c r="J747" s="658">
        <v>13825</v>
      </c>
    </row>
    <row r="748" spans="2:10" ht="14.4" x14ac:dyDescent="0.3">
      <c r="B748" s="657">
        <v>13774</v>
      </c>
      <c r="C748" s="657">
        <v>1124.3999999999342</v>
      </c>
      <c r="D748" s="658">
        <v>13825</v>
      </c>
      <c r="E748" s="658">
        <v>1124.4999999999341</v>
      </c>
      <c r="G748" s="64">
        <v>1124.4999999999341</v>
      </c>
      <c r="H748" s="658">
        <v>13825</v>
      </c>
      <c r="I748" s="64">
        <v>1124.599999999934</v>
      </c>
      <c r="J748" s="658">
        <v>13875</v>
      </c>
    </row>
    <row r="749" spans="2:10" ht="14.4" x14ac:dyDescent="0.3">
      <c r="B749" s="657">
        <v>13825</v>
      </c>
      <c r="C749" s="657">
        <v>1124.4999999999341</v>
      </c>
      <c r="D749" s="658">
        <v>13875</v>
      </c>
      <c r="E749" s="658">
        <v>1124.599999999934</v>
      </c>
      <c r="G749" s="64">
        <v>1124.599999999934</v>
      </c>
      <c r="H749" s="658">
        <v>13875</v>
      </c>
      <c r="I749" s="64">
        <v>1124.6999999999339</v>
      </c>
      <c r="J749" s="658">
        <v>13925</v>
      </c>
    </row>
    <row r="750" spans="2:10" ht="14.4" x14ac:dyDescent="0.3">
      <c r="B750" s="657">
        <v>13875</v>
      </c>
      <c r="C750" s="657">
        <v>1124.599999999934</v>
      </c>
      <c r="D750" s="658">
        <v>13925</v>
      </c>
      <c r="E750" s="658">
        <v>1124.6999999999339</v>
      </c>
      <c r="G750" s="64">
        <v>1124.6999999999339</v>
      </c>
      <c r="H750" s="658">
        <v>13925</v>
      </c>
      <c r="I750" s="64">
        <v>1124.7999999999338</v>
      </c>
      <c r="J750" s="658">
        <v>13976</v>
      </c>
    </row>
    <row r="751" spans="2:10" ht="14.4" x14ac:dyDescent="0.3">
      <c r="B751" s="657">
        <v>13925</v>
      </c>
      <c r="C751" s="657">
        <v>1124.6999999999339</v>
      </c>
      <c r="D751" s="658">
        <v>13976</v>
      </c>
      <c r="E751" s="658">
        <v>1124.7999999999338</v>
      </c>
      <c r="G751" s="64">
        <v>1124.7999999999338</v>
      </c>
      <c r="H751" s="658">
        <v>13976</v>
      </c>
      <c r="I751" s="64">
        <v>1124.8999999999337</v>
      </c>
      <c r="J751" s="658">
        <v>14026</v>
      </c>
    </row>
    <row r="752" spans="2:10" ht="14.4" x14ac:dyDescent="0.3">
      <c r="B752" s="657">
        <v>13976</v>
      </c>
      <c r="C752" s="657">
        <v>1124.7999999999338</v>
      </c>
      <c r="D752" s="658">
        <v>14026</v>
      </c>
      <c r="E752" s="658">
        <v>1124.8999999999337</v>
      </c>
      <c r="G752" s="64">
        <v>1124.8999999999337</v>
      </c>
      <c r="H752" s="658">
        <v>14026</v>
      </c>
      <c r="I752" s="64">
        <v>1124.9999999999336</v>
      </c>
      <c r="J752" s="658">
        <v>14076</v>
      </c>
    </row>
    <row r="753" spans="2:10" ht="14.4" x14ac:dyDescent="0.3">
      <c r="B753" s="657">
        <v>14026</v>
      </c>
      <c r="C753" s="657">
        <v>1124.8999999999337</v>
      </c>
      <c r="D753" s="658">
        <v>14076</v>
      </c>
      <c r="E753" s="658">
        <v>1124.9999999999336</v>
      </c>
      <c r="G753" s="64">
        <v>1124.9999999999336</v>
      </c>
      <c r="H753" s="658">
        <v>14076</v>
      </c>
      <c r="I753" s="64">
        <v>1125.0999999999335</v>
      </c>
      <c r="J753" s="658">
        <v>14128</v>
      </c>
    </row>
    <row r="754" spans="2:10" ht="14.4" x14ac:dyDescent="0.3">
      <c r="B754" s="657">
        <v>14076</v>
      </c>
      <c r="C754" s="657">
        <v>1124.9999999999336</v>
      </c>
      <c r="D754" s="658">
        <v>14128</v>
      </c>
      <c r="E754" s="658">
        <v>1125.0999999999335</v>
      </c>
      <c r="G754" s="64">
        <v>1125.0999999999335</v>
      </c>
      <c r="H754" s="658">
        <v>14128</v>
      </c>
      <c r="I754" s="64">
        <v>1125.1999999999334</v>
      </c>
      <c r="J754" s="658">
        <v>14180</v>
      </c>
    </row>
    <row r="755" spans="2:10" ht="14.4" x14ac:dyDescent="0.3">
      <c r="B755" s="657">
        <v>14128</v>
      </c>
      <c r="C755" s="657">
        <v>1125.0999999999335</v>
      </c>
      <c r="D755" s="658">
        <v>14180</v>
      </c>
      <c r="E755" s="658">
        <v>1125.1999999999334</v>
      </c>
      <c r="G755" s="64">
        <v>1125.1999999999334</v>
      </c>
      <c r="H755" s="658">
        <v>14180</v>
      </c>
      <c r="I755" s="64">
        <v>1125.2999999999333</v>
      </c>
      <c r="J755" s="658">
        <v>14232</v>
      </c>
    </row>
    <row r="756" spans="2:10" ht="14.4" x14ac:dyDescent="0.3">
      <c r="B756" s="657">
        <v>14180</v>
      </c>
      <c r="C756" s="657">
        <v>1125.1999999999334</v>
      </c>
      <c r="D756" s="658">
        <v>14232</v>
      </c>
      <c r="E756" s="658">
        <v>1125.2999999999333</v>
      </c>
      <c r="G756" s="64">
        <v>1125.2999999999333</v>
      </c>
      <c r="H756" s="658">
        <v>14232</v>
      </c>
      <c r="I756" s="64">
        <v>1125.3999999999332</v>
      </c>
      <c r="J756" s="658">
        <v>14284</v>
      </c>
    </row>
    <row r="757" spans="2:10" ht="14.4" x14ac:dyDescent="0.3">
      <c r="B757" s="657">
        <v>14232</v>
      </c>
      <c r="C757" s="657">
        <v>1125.2999999999333</v>
      </c>
      <c r="D757" s="658">
        <v>14284</v>
      </c>
      <c r="E757" s="658">
        <v>1125.3999999999332</v>
      </c>
      <c r="G757" s="64">
        <v>1125.3999999999332</v>
      </c>
      <c r="H757" s="658">
        <v>14284</v>
      </c>
      <c r="I757" s="64">
        <v>1125.4999999999332</v>
      </c>
      <c r="J757" s="658">
        <v>14335</v>
      </c>
    </row>
    <row r="758" spans="2:10" ht="14.4" x14ac:dyDescent="0.3">
      <c r="B758" s="657">
        <v>14284</v>
      </c>
      <c r="C758" s="657">
        <v>1125.3999999999332</v>
      </c>
      <c r="D758" s="658">
        <v>14335</v>
      </c>
      <c r="E758" s="658">
        <v>1125.4999999999332</v>
      </c>
      <c r="G758" s="64">
        <v>1125.4999999999332</v>
      </c>
      <c r="H758" s="658">
        <v>14335</v>
      </c>
      <c r="I758" s="64">
        <v>1125.5999999999331</v>
      </c>
      <c r="J758" s="658">
        <v>14387</v>
      </c>
    </row>
    <row r="759" spans="2:10" ht="14.4" x14ac:dyDescent="0.3">
      <c r="B759" s="657">
        <v>14335</v>
      </c>
      <c r="C759" s="657">
        <v>1125.4999999999332</v>
      </c>
      <c r="D759" s="658">
        <v>14387</v>
      </c>
      <c r="E759" s="658">
        <v>1125.5999999999331</v>
      </c>
      <c r="G759" s="64">
        <v>1125.5999999999331</v>
      </c>
      <c r="H759" s="658">
        <v>14387</v>
      </c>
      <c r="I759" s="64">
        <v>1125.699999999933</v>
      </c>
      <c r="J759" s="658">
        <v>14439</v>
      </c>
    </row>
    <row r="760" spans="2:10" ht="14.4" x14ac:dyDescent="0.3">
      <c r="B760" s="657">
        <v>14387</v>
      </c>
      <c r="C760" s="657">
        <v>1125.5999999999331</v>
      </c>
      <c r="D760" s="658">
        <v>14439</v>
      </c>
      <c r="E760" s="658">
        <v>1125.699999999933</v>
      </c>
      <c r="G760" s="64">
        <v>1125.699999999933</v>
      </c>
      <c r="H760" s="658">
        <v>14439</v>
      </c>
      <c r="I760" s="64">
        <v>1125.7999999999329</v>
      </c>
      <c r="J760" s="658">
        <v>14491</v>
      </c>
    </row>
    <row r="761" spans="2:10" ht="14.4" x14ac:dyDescent="0.3">
      <c r="B761" s="657">
        <v>14439</v>
      </c>
      <c r="C761" s="657">
        <v>1125.699999999933</v>
      </c>
      <c r="D761" s="658">
        <v>14491</v>
      </c>
      <c r="E761" s="658">
        <v>1125.7999999999329</v>
      </c>
      <c r="G761" s="64">
        <v>1125.7999999999329</v>
      </c>
      <c r="H761" s="658">
        <v>14491</v>
      </c>
      <c r="I761" s="64">
        <v>1125.8999999999328</v>
      </c>
      <c r="J761" s="658">
        <v>14543</v>
      </c>
    </row>
    <row r="762" spans="2:10" ht="14.4" x14ac:dyDescent="0.3">
      <c r="B762" s="657">
        <v>14491</v>
      </c>
      <c r="C762" s="657">
        <v>1125.7999999999329</v>
      </c>
      <c r="D762" s="658">
        <v>14543</v>
      </c>
      <c r="E762" s="658">
        <v>1125.8999999999328</v>
      </c>
      <c r="G762" s="64">
        <v>1125.8999999999328</v>
      </c>
      <c r="H762" s="658">
        <v>14543</v>
      </c>
      <c r="I762" s="64">
        <v>1125.9999999999327</v>
      </c>
      <c r="J762" s="658">
        <v>14594</v>
      </c>
    </row>
    <row r="763" spans="2:10" ht="14.4" x14ac:dyDescent="0.3">
      <c r="B763" s="657">
        <v>14543</v>
      </c>
      <c r="C763" s="657">
        <v>1125.8999999999328</v>
      </c>
      <c r="D763" s="658">
        <v>14594</v>
      </c>
      <c r="E763" s="658">
        <v>1125.9999999999327</v>
      </c>
      <c r="G763" s="64">
        <v>1125.9999999999327</v>
      </c>
      <c r="H763" s="658">
        <v>14594</v>
      </c>
      <c r="I763" s="64">
        <v>1126.0999999999326</v>
      </c>
      <c r="J763" s="658">
        <v>14648</v>
      </c>
    </row>
    <row r="764" spans="2:10" ht="14.4" x14ac:dyDescent="0.3">
      <c r="B764" s="657">
        <v>14594</v>
      </c>
      <c r="C764" s="657">
        <v>1125.9999999999327</v>
      </c>
      <c r="D764" s="658">
        <v>14648</v>
      </c>
      <c r="E764" s="658">
        <v>1126.0999999999326</v>
      </c>
      <c r="G764" s="64">
        <v>1126.0999999999326</v>
      </c>
      <c r="H764" s="658">
        <v>14648</v>
      </c>
      <c r="I764" s="64">
        <v>1126.1999999999325</v>
      </c>
      <c r="J764" s="658">
        <v>14701</v>
      </c>
    </row>
    <row r="765" spans="2:10" ht="14.4" x14ac:dyDescent="0.3">
      <c r="B765" s="657">
        <v>14648</v>
      </c>
      <c r="C765" s="657">
        <v>1126.0999999999326</v>
      </c>
      <c r="D765" s="658">
        <v>14701</v>
      </c>
      <c r="E765" s="658">
        <v>1126.1999999999325</v>
      </c>
      <c r="G765" s="64">
        <v>1126.1999999999325</v>
      </c>
      <c r="H765" s="658">
        <v>14701</v>
      </c>
      <c r="I765" s="64">
        <v>1126.2999999999324</v>
      </c>
      <c r="J765" s="658">
        <v>14754</v>
      </c>
    </row>
    <row r="766" spans="2:10" ht="14.4" x14ac:dyDescent="0.3">
      <c r="B766" s="657">
        <v>14701</v>
      </c>
      <c r="C766" s="657">
        <v>1126.1999999999325</v>
      </c>
      <c r="D766" s="658">
        <v>14754</v>
      </c>
      <c r="E766" s="658">
        <v>1126.2999999999324</v>
      </c>
      <c r="G766" s="64">
        <v>1126.2999999999324</v>
      </c>
      <c r="H766" s="658">
        <v>14754</v>
      </c>
      <c r="I766" s="64">
        <v>1126.3999999999323</v>
      </c>
      <c r="J766" s="658">
        <v>14808</v>
      </c>
    </row>
    <row r="767" spans="2:10" ht="14.4" x14ac:dyDescent="0.3">
      <c r="B767" s="657">
        <v>14754</v>
      </c>
      <c r="C767" s="657">
        <v>1126.2999999999324</v>
      </c>
      <c r="D767" s="658">
        <v>14808</v>
      </c>
      <c r="E767" s="658">
        <v>1126.3999999999323</v>
      </c>
      <c r="G767" s="64">
        <v>1126.3999999999323</v>
      </c>
      <c r="H767" s="658">
        <v>14808</v>
      </c>
      <c r="I767" s="64">
        <v>1126.4999999999322</v>
      </c>
      <c r="J767" s="658">
        <v>14861</v>
      </c>
    </row>
    <row r="768" spans="2:10" ht="14.4" x14ac:dyDescent="0.3">
      <c r="B768" s="657">
        <v>14808</v>
      </c>
      <c r="C768" s="657">
        <v>1126.3999999999323</v>
      </c>
      <c r="D768" s="658">
        <v>14861</v>
      </c>
      <c r="E768" s="658">
        <v>1126.4999999999322</v>
      </c>
      <c r="G768" s="64">
        <v>1126.4999999999322</v>
      </c>
      <c r="H768" s="658">
        <v>14861</v>
      </c>
      <c r="I768" s="64">
        <v>1126.5999999999322</v>
      </c>
      <c r="J768" s="658">
        <v>14914</v>
      </c>
    </row>
    <row r="769" spans="2:10" ht="14.4" x14ac:dyDescent="0.3">
      <c r="B769" s="657">
        <v>14861</v>
      </c>
      <c r="C769" s="657">
        <v>1126.4999999999322</v>
      </c>
      <c r="D769" s="658">
        <v>14914</v>
      </c>
      <c r="E769" s="658">
        <v>1126.5999999999322</v>
      </c>
      <c r="G769" s="64">
        <v>1126.5999999999322</v>
      </c>
      <c r="H769" s="658">
        <v>14914</v>
      </c>
      <c r="I769" s="64">
        <v>1126.6999999999321</v>
      </c>
      <c r="J769" s="658">
        <v>14968</v>
      </c>
    </row>
    <row r="770" spans="2:10" ht="14.4" x14ac:dyDescent="0.3">
      <c r="B770" s="657">
        <v>14914</v>
      </c>
      <c r="C770" s="657">
        <v>1126.5999999999322</v>
      </c>
      <c r="D770" s="658">
        <v>14968</v>
      </c>
      <c r="E770" s="658">
        <v>1126.6999999999321</v>
      </c>
      <c r="G770" s="64">
        <v>1126.6999999999321</v>
      </c>
      <c r="H770" s="658">
        <v>14968</v>
      </c>
      <c r="I770" s="64">
        <v>1126.799999999932</v>
      </c>
      <c r="J770" s="658">
        <v>15021</v>
      </c>
    </row>
    <row r="771" spans="2:10" ht="14.4" x14ac:dyDescent="0.3">
      <c r="B771" s="657">
        <v>14968</v>
      </c>
      <c r="C771" s="657">
        <v>1126.6999999999321</v>
      </c>
      <c r="D771" s="658">
        <v>15021</v>
      </c>
      <c r="E771" s="658">
        <v>1126.799999999932</v>
      </c>
      <c r="G771" s="64">
        <v>1126.799999999932</v>
      </c>
      <c r="H771" s="658">
        <v>15021</v>
      </c>
      <c r="I771" s="64">
        <v>1126.8999999999319</v>
      </c>
      <c r="J771" s="658">
        <v>15074</v>
      </c>
    </row>
    <row r="772" spans="2:10" ht="14.4" x14ac:dyDescent="0.3">
      <c r="B772" s="657">
        <v>15021</v>
      </c>
      <c r="C772" s="657">
        <v>1126.799999999932</v>
      </c>
      <c r="D772" s="658">
        <v>15074</v>
      </c>
      <c r="E772" s="658">
        <v>1126.8999999999319</v>
      </c>
      <c r="G772" s="64">
        <v>1126.8999999999319</v>
      </c>
      <c r="H772" s="658">
        <v>15074</v>
      </c>
      <c r="I772" s="64">
        <v>1126.9999999999318</v>
      </c>
      <c r="J772" s="658">
        <v>15128</v>
      </c>
    </row>
    <row r="773" spans="2:10" ht="14.4" x14ac:dyDescent="0.3">
      <c r="B773" s="657">
        <v>15074</v>
      </c>
      <c r="C773" s="657">
        <v>1126.8999999999319</v>
      </c>
      <c r="D773" s="658">
        <v>15128</v>
      </c>
      <c r="E773" s="658">
        <v>1126.9999999999318</v>
      </c>
      <c r="G773" s="64">
        <v>1126.9999999999318</v>
      </c>
      <c r="H773" s="658">
        <v>15128</v>
      </c>
      <c r="I773" s="64">
        <v>1127.0999999999317</v>
      </c>
      <c r="J773" s="658">
        <v>15182</v>
      </c>
    </row>
    <row r="774" spans="2:10" ht="14.4" x14ac:dyDescent="0.3">
      <c r="B774" s="657">
        <v>15128</v>
      </c>
      <c r="C774" s="657">
        <v>1126.9999999999318</v>
      </c>
      <c r="D774" s="658">
        <v>15182</v>
      </c>
      <c r="E774" s="658">
        <v>1127.0999999999317</v>
      </c>
      <c r="G774" s="64">
        <v>1127.0999999999317</v>
      </c>
      <c r="H774" s="658">
        <v>15182</v>
      </c>
      <c r="I774" s="64">
        <v>1127.1999999999316</v>
      </c>
      <c r="J774" s="658">
        <v>15237</v>
      </c>
    </row>
    <row r="775" spans="2:10" ht="14.4" x14ac:dyDescent="0.3">
      <c r="B775" s="657">
        <v>15182</v>
      </c>
      <c r="C775" s="657">
        <v>1127.0999999999317</v>
      </c>
      <c r="D775" s="658">
        <v>15237</v>
      </c>
      <c r="E775" s="658">
        <v>1127.1999999999316</v>
      </c>
      <c r="G775" s="64">
        <v>1127.1999999999316</v>
      </c>
      <c r="H775" s="658">
        <v>15237</v>
      </c>
      <c r="I775" s="64">
        <v>1127.2999999999315</v>
      </c>
      <c r="J775" s="658">
        <v>15292</v>
      </c>
    </row>
    <row r="776" spans="2:10" ht="14.4" x14ac:dyDescent="0.3">
      <c r="B776" s="657">
        <v>15237</v>
      </c>
      <c r="C776" s="657">
        <v>1127.1999999999316</v>
      </c>
      <c r="D776" s="658">
        <v>15292</v>
      </c>
      <c r="E776" s="658">
        <v>1127.2999999999315</v>
      </c>
      <c r="G776" s="64">
        <v>1127.2999999999315</v>
      </c>
      <c r="H776" s="658">
        <v>15292</v>
      </c>
      <c r="I776" s="64">
        <v>1127.3999999999314</v>
      </c>
      <c r="J776" s="658">
        <v>15346</v>
      </c>
    </row>
    <row r="777" spans="2:10" ht="14.4" x14ac:dyDescent="0.3">
      <c r="B777" s="657">
        <v>15292</v>
      </c>
      <c r="C777" s="657">
        <v>1127.2999999999315</v>
      </c>
      <c r="D777" s="658">
        <v>15346</v>
      </c>
      <c r="E777" s="658">
        <v>1127.3999999999314</v>
      </c>
      <c r="G777" s="64">
        <v>1127.3999999999314</v>
      </c>
      <c r="H777" s="658">
        <v>15346</v>
      </c>
      <c r="I777" s="64">
        <v>1127.4999999999313</v>
      </c>
      <c r="J777" s="658">
        <v>15401</v>
      </c>
    </row>
    <row r="778" spans="2:10" ht="14.4" x14ac:dyDescent="0.3">
      <c r="B778" s="657">
        <v>15346</v>
      </c>
      <c r="C778" s="657">
        <v>1127.3999999999314</v>
      </c>
      <c r="D778" s="658">
        <v>15401</v>
      </c>
      <c r="E778" s="658">
        <v>1127.4999999999313</v>
      </c>
      <c r="G778" s="64">
        <v>1127.4999999999313</v>
      </c>
      <c r="H778" s="658">
        <v>15401</v>
      </c>
      <c r="I778" s="64">
        <v>1127.5999999999312</v>
      </c>
      <c r="J778" s="658">
        <v>15455</v>
      </c>
    </row>
    <row r="779" spans="2:10" ht="14.4" x14ac:dyDescent="0.3">
      <c r="B779" s="657">
        <v>15401</v>
      </c>
      <c r="C779" s="657">
        <v>1127.4999999999313</v>
      </c>
      <c r="D779" s="658">
        <v>15455</v>
      </c>
      <c r="E779" s="658">
        <v>1127.5999999999312</v>
      </c>
      <c r="G779" s="64">
        <v>1127.5999999999312</v>
      </c>
      <c r="H779" s="658">
        <v>15455</v>
      </c>
      <c r="I779" s="64">
        <v>1127.6999999999312</v>
      </c>
      <c r="J779" s="658">
        <v>15510</v>
      </c>
    </row>
    <row r="780" spans="2:10" ht="14.4" x14ac:dyDescent="0.3">
      <c r="B780" s="657">
        <v>15455</v>
      </c>
      <c r="C780" s="657">
        <v>1127.5999999999312</v>
      </c>
      <c r="D780" s="658">
        <v>15510</v>
      </c>
      <c r="E780" s="658">
        <v>1127.6999999999312</v>
      </c>
      <c r="G780" s="64">
        <v>1127.6999999999312</v>
      </c>
      <c r="H780" s="658">
        <v>15510</v>
      </c>
      <c r="I780" s="64">
        <v>1127.7999999999311</v>
      </c>
      <c r="J780" s="658">
        <v>15565</v>
      </c>
    </row>
    <row r="781" spans="2:10" ht="14.4" x14ac:dyDescent="0.3">
      <c r="B781" s="657">
        <v>15510</v>
      </c>
      <c r="C781" s="657">
        <v>1127.6999999999312</v>
      </c>
      <c r="D781" s="658">
        <v>15565</v>
      </c>
      <c r="E781" s="658">
        <v>1127.7999999999311</v>
      </c>
      <c r="G781" s="64">
        <v>1127.7999999999311</v>
      </c>
      <c r="H781" s="658">
        <v>15565</v>
      </c>
      <c r="I781" s="64">
        <v>1127.899999999931</v>
      </c>
      <c r="J781" s="658">
        <v>15619</v>
      </c>
    </row>
    <row r="782" spans="2:10" ht="14.4" x14ac:dyDescent="0.3">
      <c r="B782" s="657">
        <v>15565</v>
      </c>
      <c r="C782" s="657">
        <v>1127.7999999999311</v>
      </c>
      <c r="D782" s="658">
        <v>15619</v>
      </c>
      <c r="E782" s="658">
        <v>1127.899999999931</v>
      </c>
      <c r="G782" s="64">
        <v>1127.899999999931</v>
      </c>
      <c r="H782" s="658">
        <v>15619</v>
      </c>
      <c r="I782" s="64">
        <v>1127.9999999999309</v>
      </c>
      <c r="J782" s="658">
        <v>15674</v>
      </c>
    </row>
    <row r="783" spans="2:10" ht="14.4" x14ac:dyDescent="0.3">
      <c r="B783" s="657">
        <v>15619</v>
      </c>
      <c r="C783" s="657">
        <v>1127.899999999931</v>
      </c>
      <c r="D783" s="658">
        <v>15674</v>
      </c>
      <c r="E783" s="658">
        <v>1127.9999999999309</v>
      </c>
      <c r="G783" s="64">
        <v>1127.9999999999309</v>
      </c>
      <c r="H783" s="658">
        <v>15674</v>
      </c>
      <c r="I783" s="64">
        <v>1128.0999999999308</v>
      </c>
      <c r="J783" s="658">
        <v>15730</v>
      </c>
    </row>
    <row r="784" spans="2:10" ht="14.4" x14ac:dyDescent="0.3">
      <c r="B784" s="657">
        <v>15674</v>
      </c>
      <c r="C784" s="657">
        <v>1127.9999999999309</v>
      </c>
      <c r="D784" s="658">
        <v>15730</v>
      </c>
      <c r="E784" s="658">
        <v>1128.0999999999308</v>
      </c>
      <c r="G784" s="64">
        <v>1128.0999999999308</v>
      </c>
      <c r="H784" s="658">
        <v>15730</v>
      </c>
      <c r="I784" s="64">
        <v>1128.1999999999307</v>
      </c>
      <c r="J784" s="658">
        <v>15786</v>
      </c>
    </row>
    <row r="785" spans="2:10" ht="14.4" x14ac:dyDescent="0.3">
      <c r="B785" s="657">
        <v>15730</v>
      </c>
      <c r="C785" s="657">
        <v>1128.0999999999308</v>
      </c>
      <c r="D785" s="658">
        <v>15786</v>
      </c>
      <c r="E785" s="658">
        <v>1128.1999999999307</v>
      </c>
      <c r="G785" s="64">
        <v>1128.1999999999307</v>
      </c>
      <c r="H785" s="658">
        <v>15786</v>
      </c>
      <c r="I785" s="64">
        <v>1128.2999999999306</v>
      </c>
      <c r="J785" s="658">
        <v>15843</v>
      </c>
    </row>
    <row r="786" spans="2:10" ht="14.4" x14ac:dyDescent="0.3">
      <c r="B786" s="657">
        <v>15786</v>
      </c>
      <c r="C786" s="657">
        <v>1128.1999999999307</v>
      </c>
      <c r="D786" s="658">
        <v>15843</v>
      </c>
      <c r="E786" s="658">
        <v>1128.2999999999306</v>
      </c>
      <c r="G786" s="64">
        <v>1128.2999999999306</v>
      </c>
      <c r="H786" s="658">
        <v>15843</v>
      </c>
      <c r="I786" s="64">
        <v>1128.3999999999305</v>
      </c>
      <c r="J786" s="658">
        <v>15899</v>
      </c>
    </row>
    <row r="787" spans="2:10" ht="14.4" x14ac:dyDescent="0.3">
      <c r="B787" s="657">
        <v>15843</v>
      </c>
      <c r="C787" s="657">
        <v>1128.2999999999306</v>
      </c>
      <c r="D787" s="658">
        <v>15899</v>
      </c>
      <c r="E787" s="658">
        <v>1128.3999999999305</v>
      </c>
      <c r="G787" s="64">
        <v>1128.3999999999305</v>
      </c>
      <c r="H787" s="658">
        <v>15899</v>
      </c>
      <c r="I787" s="64">
        <v>1128.4999999999304</v>
      </c>
      <c r="J787" s="658">
        <v>15955</v>
      </c>
    </row>
    <row r="788" spans="2:10" ht="14.4" x14ac:dyDescent="0.3">
      <c r="B788" s="657">
        <v>15899</v>
      </c>
      <c r="C788" s="657">
        <v>1128.3999999999305</v>
      </c>
      <c r="D788" s="658">
        <v>15955</v>
      </c>
      <c r="E788" s="658">
        <v>1128.4999999999304</v>
      </c>
      <c r="G788" s="64">
        <v>1128.4999999999304</v>
      </c>
      <c r="H788" s="658">
        <v>15955</v>
      </c>
      <c r="I788" s="64">
        <v>1128.5999999999303</v>
      </c>
      <c r="J788" s="658">
        <v>16011</v>
      </c>
    </row>
    <row r="789" spans="2:10" ht="14.4" x14ac:dyDescent="0.3">
      <c r="B789" s="657">
        <v>15955</v>
      </c>
      <c r="C789" s="657">
        <v>1128.4999999999304</v>
      </c>
      <c r="D789" s="658">
        <v>16011</v>
      </c>
      <c r="E789" s="658">
        <v>1128.5999999999303</v>
      </c>
      <c r="G789" s="64">
        <v>1128.5999999999303</v>
      </c>
      <c r="H789" s="658">
        <v>16011</v>
      </c>
      <c r="I789" s="64">
        <v>1128.6999999999302</v>
      </c>
      <c r="J789" s="658">
        <v>16067</v>
      </c>
    </row>
    <row r="790" spans="2:10" ht="14.4" x14ac:dyDescent="0.3">
      <c r="B790" s="657">
        <v>16011</v>
      </c>
      <c r="C790" s="657">
        <v>1128.5999999999303</v>
      </c>
      <c r="D790" s="658">
        <v>16067</v>
      </c>
      <c r="E790" s="658">
        <v>1128.6999999999302</v>
      </c>
      <c r="G790" s="64">
        <v>1128.6999999999302</v>
      </c>
      <c r="H790" s="658">
        <v>16067</v>
      </c>
      <c r="I790" s="64">
        <v>1128.7999999999302</v>
      </c>
      <c r="J790" s="658">
        <v>16123</v>
      </c>
    </row>
    <row r="791" spans="2:10" ht="14.4" x14ac:dyDescent="0.3">
      <c r="B791" s="657">
        <v>16067</v>
      </c>
      <c r="C791" s="657">
        <v>1128.6999999999302</v>
      </c>
      <c r="D791" s="658">
        <v>16123</v>
      </c>
      <c r="E791" s="658">
        <v>1128.7999999999302</v>
      </c>
      <c r="G791" s="64">
        <v>1128.7999999999302</v>
      </c>
      <c r="H791" s="658">
        <v>16123</v>
      </c>
      <c r="I791" s="64">
        <v>1128.8999999999301</v>
      </c>
      <c r="J791" s="658">
        <v>16179</v>
      </c>
    </row>
    <row r="792" spans="2:10" ht="14.4" x14ac:dyDescent="0.3">
      <c r="B792" s="657">
        <v>16123</v>
      </c>
      <c r="C792" s="657">
        <v>1128.7999999999302</v>
      </c>
      <c r="D792" s="658">
        <v>16179</v>
      </c>
      <c r="E792" s="658">
        <v>1128.8999999999301</v>
      </c>
      <c r="G792" s="64">
        <v>1128.8999999999301</v>
      </c>
      <c r="H792" s="658">
        <v>16179</v>
      </c>
      <c r="I792" s="64">
        <v>1128.99999999993</v>
      </c>
      <c r="J792" s="658">
        <v>16236</v>
      </c>
    </row>
    <row r="793" spans="2:10" ht="14.4" x14ac:dyDescent="0.3">
      <c r="B793" s="657">
        <v>16179</v>
      </c>
      <c r="C793" s="657">
        <v>1128.8999999999301</v>
      </c>
      <c r="D793" s="658">
        <v>16236</v>
      </c>
      <c r="E793" s="658">
        <v>1128.99999999993</v>
      </c>
      <c r="G793" s="64">
        <v>1128.99999999993</v>
      </c>
      <c r="H793" s="658">
        <v>16236</v>
      </c>
      <c r="I793" s="64">
        <v>1129.0999999999299</v>
      </c>
      <c r="J793" s="658">
        <v>16293</v>
      </c>
    </row>
    <row r="794" spans="2:10" ht="14.4" x14ac:dyDescent="0.3">
      <c r="B794" s="657">
        <v>16236</v>
      </c>
      <c r="C794" s="657">
        <v>1128.99999999993</v>
      </c>
      <c r="D794" s="658">
        <v>16293</v>
      </c>
      <c r="E794" s="658">
        <v>1129.0999999999299</v>
      </c>
      <c r="G794" s="64">
        <v>1129.0999999999299</v>
      </c>
      <c r="H794" s="658">
        <v>16293</v>
      </c>
      <c r="I794" s="64">
        <v>1129.1999999999298</v>
      </c>
      <c r="J794" s="658">
        <v>16351</v>
      </c>
    </row>
    <row r="795" spans="2:10" ht="14.4" x14ac:dyDescent="0.3">
      <c r="B795" s="657">
        <v>16293</v>
      </c>
      <c r="C795" s="657">
        <v>1129.0999999999299</v>
      </c>
      <c r="D795" s="658">
        <v>16351</v>
      </c>
      <c r="E795" s="658">
        <v>1129.1999999999298</v>
      </c>
      <c r="G795" s="64">
        <v>1129.1999999999298</v>
      </c>
      <c r="H795" s="658">
        <v>16351</v>
      </c>
      <c r="I795" s="64">
        <v>1129.2999999999297</v>
      </c>
      <c r="J795" s="658">
        <v>16409</v>
      </c>
    </row>
    <row r="796" spans="2:10" ht="14.4" x14ac:dyDescent="0.3">
      <c r="B796" s="657">
        <v>16351</v>
      </c>
      <c r="C796" s="657">
        <v>1129.1999999999298</v>
      </c>
      <c r="D796" s="658">
        <v>16409</v>
      </c>
      <c r="E796" s="658">
        <v>1129.2999999999297</v>
      </c>
      <c r="G796" s="64">
        <v>1129.2999999999297</v>
      </c>
      <c r="H796" s="658">
        <v>16409</v>
      </c>
      <c r="I796" s="64">
        <v>1129.3999999999296</v>
      </c>
      <c r="J796" s="658">
        <v>16466</v>
      </c>
    </row>
    <row r="797" spans="2:10" ht="14.4" x14ac:dyDescent="0.3">
      <c r="B797" s="657">
        <v>16409</v>
      </c>
      <c r="C797" s="657">
        <v>1129.2999999999297</v>
      </c>
      <c r="D797" s="658">
        <v>16466</v>
      </c>
      <c r="E797" s="658">
        <v>1129.3999999999296</v>
      </c>
      <c r="G797" s="64">
        <v>1129.3999999999296</v>
      </c>
      <c r="H797" s="658">
        <v>16466</v>
      </c>
      <c r="I797" s="64">
        <v>1129.4999999999295</v>
      </c>
      <c r="J797" s="658">
        <v>16524</v>
      </c>
    </row>
    <row r="798" spans="2:10" ht="14.4" x14ac:dyDescent="0.3">
      <c r="B798" s="657">
        <v>16466</v>
      </c>
      <c r="C798" s="657">
        <v>1129.3999999999296</v>
      </c>
      <c r="D798" s="658">
        <v>16524</v>
      </c>
      <c r="E798" s="658">
        <v>1129.4999999999295</v>
      </c>
      <c r="G798" s="64">
        <v>1129.4999999999295</v>
      </c>
      <c r="H798" s="658">
        <v>16524</v>
      </c>
      <c r="I798" s="64">
        <v>1129.5999999999294</v>
      </c>
      <c r="J798" s="658">
        <v>16582</v>
      </c>
    </row>
    <row r="799" spans="2:10" ht="14.4" x14ac:dyDescent="0.3">
      <c r="B799" s="657">
        <v>16524</v>
      </c>
      <c r="C799" s="657">
        <v>1129.4999999999295</v>
      </c>
      <c r="D799" s="658">
        <v>16582</v>
      </c>
      <c r="E799" s="658">
        <v>1129.5999999999294</v>
      </c>
      <c r="G799" s="64">
        <v>1129.5999999999294</v>
      </c>
      <c r="H799" s="658">
        <v>16582</v>
      </c>
      <c r="I799" s="64">
        <v>1129.6999999999293</v>
      </c>
      <c r="J799" s="658">
        <v>16639</v>
      </c>
    </row>
    <row r="800" spans="2:10" ht="14.4" x14ac:dyDescent="0.3">
      <c r="B800" s="657">
        <v>16582</v>
      </c>
      <c r="C800" s="657">
        <v>1129.5999999999294</v>
      </c>
      <c r="D800" s="658">
        <v>16639</v>
      </c>
      <c r="E800" s="658">
        <v>1129.6999999999293</v>
      </c>
      <c r="G800" s="64">
        <v>1129.6999999999293</v>
      </c>
      <c r="H800" s="658">
        <v>16639</v>
      </c>
      <c r="I800" s="64">
        <v>1129.7999999999292</v>
      </c>
      <c r="J800" s="658">
        <v>16697</v>
      </c>
    </row>
    <row r="801" spans="2:10" ht="14.4" x14ac:dyDescent="0.3">
      <c r="B801" s="657">
        <v>16639</v>
      </c>
      <c r="C801" s="657">
        <v>1129.6999999999293</v>
      </c>
      <c r="D801" s="658">
        <v>16697</v>
      </c>
      <c r="E801" s="658">
        <v>1129.7999999999292</v>
      </c>
      <c r="G801" s="64">
        <v>1129.7999999999292</v>
      </c>
      <c r="H801" s="658">
        <v>16697</v>
      </c>
      <c r="I801" s="64">
        <v>1129.8999999999292</v>
      </c>
      <c r="J801" s="658">
        <v>16755</v>
      </c>
    </row>
    <row r="802" spans="2:10" ht="14.4" x14ac:dyDescent="0.3">
      <c r="B802" s="657">
        <v>16697</v>
      </c>
      <c r="C802" s="657">
        <v>1129.7999999999292</v>
      </c>
      <c r="D802" s="658">
        <v>16755</v>
      </c>
      <c r="E802" s="658">
        <v>1129.8999999999292</v>
      </c>
      <c r="G802" s="64">
        <v>1129.8999999999292</v>
      </c>
      <c r="H802" s="658">
        <v>16755</v>
      </c>
      <c r="I802" s="64">
        <v>1129.9999999999291</v>
      </c>
      <c r="J802" s="658">
        <v>16813</v>
      </c>
    </row>
    <row r="803" spans="2:10" ht="14.4" x14ac:dyDescent="0.3">
      <c r="B803" s="657">
        <v>16755</v>
      </c>
      <c r="C803" s="657">
        <v>1129.8999999999292</v>
      </c>
      <c r="D803" s="658">
        <v>16813</v>
      </c>
      <c r="E803" s="658">
        <v>1129.9999999999291</v>
      </c>
      <c r="G803" s="64">
        <v>1129.9999999999291</v>
      </c>
      <c r="H803" s="658">
        <v>16813</v>
      </c>
      <c r="I803" s="64">
        <v>1130.099999999929</v>
      </c>
      <c r="J803" s="658">
        <v>16872</v>
      </c>
    </row>
    <row r="804" spans="2:10" ht="14.4" x14ac:dyDescent="0.3">
      <c r="B804" s="657">
        <v>16813</v>
      </c>
      <c r="C804" s="657">
        <v>1129.9999999999291</v>
      </c>
      <c r="D804" s="658">
        <v>16872</v>
      </c>
      <c r="E804" s="658">
        <v>1130.099999999929</v>
      </c>
      <c r="G804" s="64">
        <v>1130.099999999929</v>
      </c>
      <c r="H804" s="658">
        <v>16872</v>
      </c>
      <c r="I804" s="64">
        <v>1130.1999999999289</v>
      </c>
      <c r="J804" s="658">
        <v>16931</v>
      </c>
    </row>
    <row r="805" spans="2:10" ht="14.4" x14ac:dyDescent="0.3">
      <c r="B805" s="657">
        <v>16872</v>
      </c>
      <c r="C805" s="657">
        <v>1130.099999999929</v>
      </c>
      <c r="D805" s="658">
        <v>16931</v>
      </c>
      <c r="E805" s="658">
        <v>1130.1999999999289</v>
      </c>
      <c r="G805" s="64">
        <v>1130.1999999999289</v>
      </c>
      <c r="H805" s="658">
        <v>16931</v>
      </c>
      <c r="I805" s="64">
        <v>1130.2999999999288</v>
      </c>
      <c r="J805" s="658">
        <v>16990</v>
      </c>
    </row>
    <row r="806" spans="2:10" ht="14.4" x14ac:dyDescent="0.3">
      <c r="B806" s="657">
        <v>16931</v>
      </c>
      <c r="C806" s="657">
        <v>1130.1999999999289</v>
      </c>
      <c r="D806" s="658">
        <v>16990</v>
      </c>
      <c r="E806" s="658">
        <v>1130.2999999999288</v>
      </c>
      <c r="G806" s="64">
        <v>1130.2999999999288</v>
      </c>
      <c r="H806" s="658">
        <v>16990</v>
      </c>
      <c r="I806" s="64">
        <v>1130.3999999999287</v>
      </c>
      <c r="J806" s="658">
        <v>17049</v>
      </c>
    </row>
    <row r="807" spans="2:10" ht="14.4" x14ac:dyDescent="0.3">
      <c r="B807" s="657">
        <v>16990</v>
      </c>
      <c r="C807" s="657">
        <v>1130.2999999999288</v>
      </c>
      <c r="D807" s="658">
        <v>17049</v>
      </c>
      <c r="E807" s="658">
        <v>1130.3999999999287</v>
      </c>
      <c r="G807" s="64">
        <v>1130.3999999999287</v>
      </c>
      <c r="H807" s="658">
        <v>17049</v>
      </c>
      <c r="I807" s="64">
        <v>1130.4999999999286</v>
      </c>
      <c r="J807" s="658">
        <v>17108</v>
      </c>
    </row>
    <row r="808" spans="2:10" ht="14.4" x14ac:dyDescent="0.3">
      <c r="B808" s="657">
        <v>17049</v>
      </c>
      <c r="C808" s="657">
        <v>1130.3999999999287</v>
      </c>
      <c r="D808" s="658">
        <v>17108</v>
      </c>
      <c r="E808" s="658">
        <v>1130.4999999999286</v>
      </c>
      <c r="G808" s="64">
        <v>1130.4999999999286</v>
      </c>
      <c r="H808" s="658">
        <v>17108</v>
      </c>
      <c r="I808" s="64">
        <v>1130.5999999999285</v>
      </c>
      <c r="J808" s="658">
        <v>17167</v>
      </c>
    </row>
    <row r="809" spans="2:10" ht="14.4" x14ac:dyDescent="0.3">
      <c r="B809" s="657">
        <v>17108</v>
      </c>
      <c r="C809" s="657">
        <v>1130.4999999999286</v>
      </c>
      <c r="D809" s="658">
        <v>17167</v>
      </c>
      <c r="E809" s="658">
        <v>1130.5999999999285</v>
      </c>
      <c r="G809" s="64">
        <v>1130.5999999999285</v>
      </c>
      <c r="H809" s="658">
        <v>17167</v>
      </c>
      <c r="I809" s="64">
        <v>1130.6999999999284</v>
      </c>
      <c r="J809" s="658">
        <v>17226</v>
      </c>
    </row>
    <row r="810" spans="2:10" ht="14.4" x14ac:dyDescent="0.3">
      <c r="B810" s="657">
        <v>17167</v>
      </c>
      <c r="C810" s="657">
        <v>1130.5999999999285</v>
      </c>
      <c r="D810" s="658">
        <v>17226</v>
      </c>
      <c r="E810" s="658">
        <v>1130.6999999999284</v>
      </c>
      <c r="G810" s="64">
        <v>1130.6999999999284</v>
      </c>
      <c r="H810" s="658">
        <v>17226</v>
      </c>
      <c r="I810" s="64">
        <v>1130.7999999999283</v>
      </c>
      <c r="J810" s="658">
        <v>17285</v>
      </c>
    </row>
    <row r="811" spans="2:10" ht="14.4" x14ac:dyDescent="0.3">
      <c r="B811" s="657">
        <v>17226</v>
      </c>
      <c r="C811" s="657">
        <v>1130.6999999999284</v>
      </c>
      <c r="D811" s="658">
        <v>17285</v>
      </c>
      <c r="E811" s="658">
        <v>1130.7999999999283</v>
      </c>
      <c r="G811" s="64">
        <v>1130.7999999999283</v>
      </c>
      <c r="H811" s="658">
        <v>17285</v>
      </c>
      <c r="I811" s="64">
        <v>1130.8999999999282</v>
      </c>
      <c r="J811" s="658">
        <v>17344</v>
      </c>
    </row>
    <row r="812" spans="2:10" ht="14.4" x14ac:dyDescent="0.3">
      <c r="B812" s="657">
        <v>17285</v>
      </c>
      <c r="C812" s="657">
        <v>1130.7999999999283</v>
      </c>
      <c r="D812" s="658">
        <v>17344</v>
      </c>
      <c r="E812" s="658">
        <v>1130.8999999999282</v>
      </c>
      <c r="G812" s="64">
        <v>1130.8999999999282</v>
      </c>
      <c r="H812" s="658">
        <v>17344</v>
      </c>
      <c r="I812" s="64">
        <v>1130.9999999999281</v>
      </c>
      <c r="J812" s="658">
        <v>17403</v>
      </c>
    </row>
    <row r="813" spans="2:10" ht="14.4" x14ac:dyDescent="0.3">
      <c r="B813" s="657">
        <v>17344</v>
      </c>
      <c r="C813" s="657">
        <v>1130.8999999999282</v>
      </c>
      <c r="D813" s="658">
        <v>17403</v>
      </c>
      <c r="E813" s="658">
        <v>1130.9999999999281</v>
      </c>
      <c r="G813" s="64">
        <v>1130.9999999999281</v>
      </c>
      <c r="H813" s="658">
        <v>17403</v>
      </c>
      <c r="I813" s="64">
        <v>1131.0999999999281</v>
      </c>
      <c r="J813" s="658">
        <v>17463</v>
      </c>
    </row>
    <row r="814" spans="2:10" ht="14.4" x14ac:dyDescent="0.3">
      <c r="B814" s="657">
        <v>17403</v>
      </c>
      <c r="C814" s="657">
        <v>1130.9999999999281</v>
      </c>
      <c r="D814" s="658">
        <v>17463</v>
      </c>
      <c r="E814" s="658">
        <v>1131.0999999999281</v>
      </c>
      <c r="G814" s="64">
        <v>1131.0999999999281</v>
      </c>
      <c r="H814" s="658">
        <v>17463</v>
      </c>
      <c r="I814" s="64">
        <v>1131.199999999928</v>
      </c>
      <c r="J814" s="658">
        <v>17523</v>
      </c>
    </row>
    <row r="815" spans="2:10" ht="14.4" x14ac:dyDescent="0.3">
      <c r="B815" s="657">
        <v>17463</v>
      </c>
      <c r="C815" s="657">
        <v>1131.0999999999281</v>
      </c>
      <c r="D815" s="658">
        <v>17523</v>
      </c>
      <c r="E815" s="658">
        <v>1131.199999999928</v>
      </c>
      <c r="G815" s="64">
        <v>1131.199999999928</v>
      </c>
      <c r="H815" s="658">
        <v>17523</v>
      </c>
      <c r="I815" s="64">
        <v>1131.2999999999279</v>
      </c>
      <c r="J815" s="658">
        <v>17583</v>
      </c>
    </row>
    <row r="816" spans="2:10" ht="14.4" x14ac:dyDescent="0.3">
      <c r="B816" s="657">
        <v>17523</v>
      </c>
      <c r="C816" s="657">
        <v>1131.199999999928</v>
      </c>
      <c r="D816" s="658">
        <v>17583</v>
      </c>
      <c r="E816" s="658">
        <v>1131.2999999999279</v>
      </c>
      <c r="G816" s="64">
        <v>1131.2999999999279</v>
      </c>
      <c r="H816" s="658">
        <v>17583</v>
      </c>
      <c r="I816" s="64">
        <v>1131.3999999999278</v>
      </c>
      <c r="J816" s="658">
        <v>17644</v>
      </c>
    </row>
    <row r="817" spans="2:10" ht="14.4" x14ac:dyDescent="0.3">
      <c r="B817" s="657">
        <v>17583</v>
      </c>
      <c r="C817" s="657">
        <v>1131.2999999999279</v>
      </c>
      <c r="D817" s="658">
        <v>17644</v>
      </c>
      <c r="E817" s="658">
        <v>1131.3999999999278</v>
      </c>
      <c r="G817" s="64">
        <v>1131.3999999999278</v>
      </c>
      <c r="H817" s="658">
        <v>17644</v>
      </c>
      <c r="I817" s="64">
        <v>1131.4999999999277</v>
      </c>
      <c r="J817" s="658">
        <v>17704</v>
      </c>
    </row>
    <row r="818" spans="2:10" ht="14.4" x14ac:dyDescent="0.3">
      <c r="B818" s="657">
        <v>17644</v>
      </c>
      <c r="C818" s="657">
        <v>1131.3999999999278</v>
      </c>
      <c r="D818" s="658">
        <v>17704</v>
      </c>
      <c r="E818" s="658">
        <v>1131.4999999999277</v>
      </c>
      <c r="G818" s="64">
        <v>1131.4999999999277</v>
      </c>
      <c r="H818" s="658">
        <v>17704</v>
      </c>
      <c r="I818" s="64">
        <v>1131.5999999999276</v>
      </c>
      <c r="J818" s="658">
        <v>17764</v>
      </c>
    </row>
    <row r="819" spans="2:10" ht="14.4" x14ac:dyDescent="0.3">
      <c r="B819" s="657">
        <v>17704</v>
      </c>
      <c r="C819" s="657">
        <v>1131.4999999999277</v>
      </c>
      <c r="D819" s="658">
        <v>17764</v>
      </c>
      <c r="E819" s="658">
        <v>1131.5999999999276</v>
      </c>
      <c r="G819" s="64">
        <v>1131.5999999999276</v>
      </c>
      <c r="H819" s="658">
        <v>17764</v>
      </c>
      <c r="I819" s="64">
        <v>1131.6999999999275</v>
      </c>
      <c r="J819" s="658">
        <v>17825</v>
      </c>
    </row>
    <row r="820" spans="2:10" ht="14.4" x14ac:dyDescent="0.3">
      <c r="B820" s="657">
        <v>17764</v>
      </c>
      <c r="C820" s="657">
        <v>1131.5999999999276</v>
      </c>
      <c r="D820" s="658">
        <v>17825</v>
      </c>
      <c r="E820" s="658">
        <v>1131.6999999999275</v>
      </c>
      <c r="G820" s="64">
        <v>1131.6999999999275</v>
      </c>
      <c r="H820" s="658">
        <v>17825</v>
      </c>
      <c r="I820" s="64">
        <v>1131.7999999999274</v>
      </c>
      <c r="J820" s="658">
        <v>17885</v>
      </c>
    </row>
    <row r="821" spans="2:10" ht="14.4" x14ac:dyDescent="0.3">
      <c r="B821" s="657">
        <v>17825</v>
      </c>
      <c r="C821" s="657">
        <v>1131.6999999999275</v>
      </c>
      <c r="D821" s="658">
        <v>17885</v>
      </c>
      <c r="E821" s="658">
        <v>1131.7999999999274</v>
      </c>
      <c r="G821" s="64">
        <v>1131.7999999999274</v>
      </c>
      <c r="H821" s="658">
        <v>17885</v>
      </c>
      <c r="I821" s="64">
        <v>1131.8999999999273</v>
      </c>
      <c r="J821" s="658">
        <v>17945</v>
      </c>
    </row>
    <row r="822" spans="2:10" ht="14.4" x14ac:dyDescent="0.3">
      <c r="B822" s="657">
        <v>17885</v>
      </c>
      <c r="C822" s="657">
        <v>1131.7999999999274</v>
      </c>
      <c r="D822" s="658">
        <v>17945</v>
      </c>
      <c r="E822" s="658">
        <v>1131.8999999999273</v>
      </c>
      <c r="G822" s="64">
        <v>1131.8999999999273</v>
      </c>
      <c r="H822" s="658">
        <v>17945</v>
      </c>
      <c r="I822" s="64">
        <v>1131.9999999999272</v>
      </c>
      <c r="J822" s="658">
        <v>18006</v>
      </c>
    </row>
    <row r="823" spans="2:10" ht="14.4" x14ac:dyDescent="0.3">
      <c r="B823" s="657">
        <v>17945</v>
      </c>
      <c r="C823" s="657">
        <v>1131.8999999999273</v>
      </c>
      <c r="D823" s="658">
        <v>18006</v>
      </c>
      <c r="E823" s="658">
        <v>1131.9999999999272</v>
      </c>
      <c r="G823" s="64">
        <v>1131.9999999999272</v>
      </c>
      <c r="H823" s="658">
        <v>18006</v>
      </c>
      <c r="I823" s="64">
        <v>1132.0999999999271</v>
      </c>
      <c r="J823" s="658">
        <v>18068</v>
      </c>
    </row>
    <row r="824" spans="2:10" ht="14.4" x14ac:dyDescent="0.3">
      <c r="B824" s="657">
        <v>18006</v>
      </c>
      <c r="C824" s="657">
        <v>1131.9999999999272</v>
      </c>
      <c r="D824" s="658">
        <v>18068</v>
      </c>
      <c r="E824" s="658">
        <v>1132.0999999999271</v>
      </c>
      <c r="G824" s="64">
        <v>1132.0999999999271</v>
      </c>
      <c r="H824" s="658">
        <v>18068</v>
      </c>
      <c r="I824" s="64">
        <v>1132.1999999999271</v>
      </c>
      <c r="J824" s="658">
        <v>18129</v>
      </c>
    </row>
    <row r="825" spans="2:10" ht="14.4" x14ac:dyDescent="0.3">
      <c r="B825" s="657">
        <v>18068</v>
      </c>
      <c r="C825" s="657">
        <v>1132.0999999999271</v>
      </c>
      <c r="D825" s="658">
        <v>18129</v>
      </c>
      <c r="E825" s="658">
        <v>1132.1999999999271</v>
      </c>
      <c r="G825" s="64">
        <v>1132.1999999999271</v>
      </c>
      <c r="H825" s="658">
        <v>18129</v>
      </c>
      <c r="I825" s="64">
        <v>1132.299999999927</v>
      </c>
      <c r="J825" s="658">
        <v>18191</v>
      </c>
    </row>
    <row r="826" spans="2:10" ht="14.4" x14ac:dyDescent="0.3">
      <c r="B826" s="657">
        <v>18129</v>
      </c>
      <c r="C826" s="657">
        <v>1132.1999999999271</v>
      </c>
      <c r="D826" s="658">
        <v>18191</v>
      </c>
      <c r="E826" s="658">
        <v>1132.299999999927</v>
      </c>
      <c r="G826" s="64">
        <v>1132.299999999927</v>
      </c>
      <c r="H826" s="658">
        <v>18191</v>
      </c>
      <c r="I826" s="64">
        <v>1132.3999999999269</v>
      </c>
      <c r="J826" s="658">
        <v>18253</v>
      </c>
    </row>
    <row r="827" spans="2:10" ht="14.4" x14ac:dyDescent="0.3">
      <c r="B827" s="657">
        <v>18191</v>
      </c>
      <c r="C827" s="657">
        <v>1132.299999999927</v>
      </c>
      <c r="D827" s="658">
        <v>18253</v>
      </c>
      <c r="E827" s="658">
        <v>1132.3999999999269</v>
      </c>
      <c r="G827" s="64">
        <v>1132.3999999999269</v>
      </c>
      <c r="H827" s="658">
        <v>18253</v>
      </c>
      <c r="I827" s="64">
        <v>1132.4999999999268</v>
      </c>
      <c r="J827" s="658">
        <v>18315</v>
      </c>
    </row>
    <row r="828" spans="2:10" ht="14.4" x14ac:dyDescent="0.3">
      <c r="B828" s="657">
        <v>18253</v>
      </c>
      <c r="C828" s="657">
        <v>1132.3999999999269</v>
      </c>
      <c r="D828" s="658">
        <v>18315</v>
      </c>
      <c r="E828" s="658">
        <v>1132.4999999999268</v>
      </c>
      <c r="G828" s="64">
        <v>1132.4999999999268</v>
      </c>
      <c r="H828" s="658">
        <v>18315</v>
      </c>
      <c r="I828" s="64">
        <v>1132.5999999999267</v>
      </c>
      <c r="J828" s="658">
        <v>18376</v>
      </c>
    </row>
    <row r="829" spans="2:10" ht="14.4" x14ac:dyDescent="0.3">
      <c r="B829" s="657">
        <v>18315</v>
      </c>
      <c r="C829" s="657">
        <v>1132.4999999999268</v>
      </c>
      <c r="D829" s="658">
        <v>18376</v>
      </c>
      <c r="E829" s="658">
        <v>1132.5999999999267</v>
      </c>
      <c r="G829" s="64">
        <v>1132.5999999999267</v>
      </c>
      <c r="H829" s="658">
        <v>18376</v>
      </c>
      <c r="I829" s="64">
        <v>1132.6999999999266</v>
      </c>
      <c r="J829" s="658">
        <v>18438</v>
      </c>
    </row>
    <row r="830" spans="2:10" ht="14.4" x14ac:dyDescent="0.3">
      <c r="B830" s="657">
        <v>18376</v>
      </c>
      <c r="C830" s="657">
        <v>1132.5999999999267</v>
      </c>
      <c r="D830" s="658">
        <v>18438</v>
      </c>
      <c r="E830" s="658">
        <v>1132.6999999999266</v>
      </c>
      <c r="G830" s="64">
        <v>1132.6999999999266</v>
      </c>
      <c r="H830" s="658">
        <v>18438</v>
      </c>
      <c r="I830" s="64">
        <v>1132.7999999999265</v>
      </c>
      <c r="J830" s="658">
        <v>18500</v>
      </c>
    </row>
    <row r="831" spans="2:10" ht="14.4" x14ac:dyDescent="0.3">
      <c r="B831" s="657">
        <v>18438</v>
      </c>
      <c r="C831" s="657">
        <v>1132.6999999999266</v>
      </c>
      <c r="D831" s="658">
        <v>18500</v>
      </c>
      <c r="E831" s="658">
        <v>1132.7999999999265</v>
      </c>
      <c r="G831" s="64">
        <v>1132.7999999999265</v>
      </c>
      <c r="H831" s="658">
        <v>18500</v>
      </c>
      <c r="I831" s="64">
        <v>1132.8999999999264</v>
      </c>
      <c r="J831" s="658">
        <v>18562</v>
      </c>
    </row>
    <row r="832" spans="2:10" ht="14.4" x14ac:dyDescent="0.3">
      <c r="B832" s="657">
        <v>18500</v>
      </c>
      <c r="C832" s="657">
        <v>1132.7999999999265</v>
      </c>
      <c r="D832" s="658">
        <v>18562</v>
      </c>
      <c r="E832" s="658">
        <v>1132.8999999999264</v>
      </c>
      <c r="G832" s="64">
        <v>1132.8999999999264</v>
      </c>
      <c r="H832" s="658">
        <v>18562</v>
      </c>
      <c r="I832" s="64">
        <v>1132.9999999999263</v>
      </c>
      <c r="J832" s="658">
        <v>18624</v>
      </c>
    </row>
    <row r="833" spans="2:10" ht="14.4" x14ac:dyDescent="0.3">
      <c r="B833" s="657">
        <v>18562</v>
      </c>
      <c r="C833" s="657">
        <v>1132.8999999999264</v>
      </c>
      <c r="D833" s="658">
        <v>18624</v>
      </c>
      <c r="E833" s="658">
        <v>1132.9999999999263</v>
      </c>
      <c r="G833" s="64">
        <v>1132.9999999999263</v>
      </c>
      <c r="H833" s="658">
        <v>18624</v>
      </c>
      <c r="I833" s="64">
        <v>1133.0999999999262</v>
      </c>
      <c r="J833" s="658">
        <v>18687</v>
      </c>
    </row>
    <row r="834" spans="2:10" ht="14.4" x14ac:dyDescent="0.3">
      <c r="B834" s="657">
        <v>18624</v>
      </c>
      <c r="C834" s="657">
        <v>1132.9999999999263</v>
      </c>
      <c r="D834" s="658">
        <v>18687</v>
      </c>
      <c r="E834" s="658">
        <v>1133.0999999999262</v>
      </c>
      <c r="G834" s="64">
        <v>1133.0999999999262</v>
      </c>
      <c r="H834" s="658">
        <v>18687</v>
      </c>
      <c r="I834" s="64">
        <v>1133.1999999999261</v>
      </c>
      <c r="J834" s="658">
        <v>18750</v>
      </c>
    </row>
    <row r="835" spans="2:10" ht="14.4" x14ac:dyDescent="0.3">
      <c r="B835" s="657">
        <v>18687</v>
      </c>
      <c r="C835" s="657">
        <v>1133.0999999999262</v>
      </c>
      <c r="D835" s="658">
        <v>18750</v>
      </c>
      <c r="E835" s="658">
        <v>1133.1999999999261</v>
      </c>
      <c r="G835" s="64">
        <v>1133.1999999999261</v>
      </c>
      <c r="H835" s="658">
        <v>18750</v>
      </c>
      <c r="I835" s="64">
        <v>1133.2999999999261</v>
      </c>
      <c r="J835" s="658">
        <v>18814</v>
      </c>
    </row>
    <row r="836" spans="2:10" ht="14.4" x14ac:dyDescent="0.3">
      <c r="B836" s="657">
        <v>18750</v>
      </c>
      <c r="C836" s="657">
        <v>1133.1999999999261</v>
      </c>
      <c r="D836" s="658">
        <v>18814</v>
      </c>
      <c r="E836" s="658">
        <v>1133.2999999999261</v>
      </c>
      <c r="G836" s="64">
        <v>1133.2999999999261</v>
      </c>
      <c r="H836" s="658">
        <v>18814</v>
      </c>
      <c r="I836" s="64">
        <v>1133.399999999926</v>
      </c>
      <c r="J836" s="658">
        <v>18877</v>
      </c>
    </row>
    <row r="837" spans="2:10" ht="14.4" x14ac:dyDescent="0.3">
      <c r="B837" s="657">
        <v>18814</v>
      </c>
      <c r="C837" s="657">
        <v>1133.2999999999261</v>
      </c>
      <c r="D837" s="658">
        <v>18877</v>
      </c>
      <c r="E837" s="658">
        <v>1133.399999999926</v>
      </c>
      <c r="G837" s="64">
        <v>1133.399999999926</v>
      </c>
      <c r="H837" s="658">
        <v>18877</v>
      </c>
      <c r="I837" s="64">
        <v>1133.4999999999259</v>
      </c>
      <c r="J837" s="658">
        <v>18940</v>
      </c>
    </row>
    <row r="838" spans="2:10" ht="14.4" x14ac:dyDescent="0.3">
      <c r="B838" s="657">
        <v>18877</v>
      </c>
      <c r="C838" s="657">
        <v>1133.399999999926</v>
      </c>
      <c r="D838" s="658">
        <v>18940</v>
      </c>
      <c r="E838" s="658">
        <v>1133.4999999999259</v>
      </c>
      <c r="G838" s="64">
        <v>1133.4999999999259</v>
      </c>
      <c r="H838" s="658">
        <v>18940</v>
      </c>
      <c r="I838" s="64">
        <v>1133.5999999999258</v>
      </c>
      <c r="J838" s="658">
        <v>19004</v>
      </c>
    </row>
    <row r="839" spans="2:10" ht="14.4" x14ac:dyDescent="0.3">
      <c r="B839" s="657">
        <v>18940</v>
      </c>
      <c r="C839" s="657">
        <v>1133.4999999999259</v>
      </c>
      <c r="D839" s="658">
        <v>19004</v>
      </c>
      <c r="E839" s="658">
        <v>1133.5999999999258</v>
      </c>
      <c r="G839" s="64">
        <v>1133.5999999999258</v>
      </c>
      <c r="H839" s="658">
        <v>19004</v>
      </c>
      <c r="I839" s="64">
        <v>1133.6999999999257</v>
      </c>
      <c r="J839" s="658">
        <v>19067</v>
      </c>
    </row>
    <row r="840" spans="2:10" ht="14.4" x14ac:dyDescent="0.3">
      <c r="B840" s="657">
        <v>19004</v>
      </c>
      <c r="C840" s="657">
        <v>1133.5999999999258</v>
      </c>
      <c r="D840" s="658">
        <v>19067</v>
      </c>
      <c r="E840" s="658">
        <v>1133.6999999999257</v>
      </c>
      <c r="G840" s="64">
        <v>1133.6999999999257</v>
      </c>
      <c r="H840" s="658">
        <v>19067</v>
      </c>
      <c r="I840" s="64">
        <v>1133.7999999999256</v>
      </c>
      <c r="J840" s="658">
        <v>19131</v>
      </c>
    </row>
    <row r="841" spans="2:10" ht="14.4" x14ac:dyDescent="0.3">
      <c r="B841" s="657">
        <v>19067</v>
      </c>
      <c r="C841" s="657">
        <v>1133.6999999999257</v>
      </c>
      <c r="D841" s="658">
        <v>19131</v>
      </c>
      <c r="E841" s="658">
        <v>1133.7999999999256</v>
      </c>
      <c r="G841" s="64">
        <v>1133.7999999999256</v>
      </c>
      <c r="H841" s="658">
        <v>19131</v>
      </c>
      <c r="I841" s="64">
        <v>1133.8999999999255</v>
      </c>
      <c r="J841" s="658">
        <v>19194</v>
      </c>
    </row>
    <row r="842" spans="2:10" ht="14.4" x14ac:dyDescent="0.3">
      <c r="B842" s="657">
        <v>19131</v>
      </c>
      <c r="C842" s="657">
        <v>1133.7999999999256</v>
      </c>
      <c r="D842" s="658">
        <v>19194</v>
      </c>
      <c r="E842" s="658">
        <v>1133.8999999999255</v>
      </c>
      <c r="G842" s="64">
        <v>1133.8999999999255</v>
      </c>
      <c r="H842" s="658">
        <v>19194</v>
      </c>
      <c r="I842" s="64">
        <v>1133.9999999999254</v>
      </c>
      <c r="J842" s="658">
        <v>19257</v>
      </c>
    </row>
    <row r="843" spans="2:10" ht="14.4" x14ac:dyDescent="0.3">
      <c r="B843" s="657">
        <v>19194</v>
      </c>
      <c r="C843" s="657">
        <v>1133.8999999999255</v>
      </c>
      <c r="D843" s="658">
        <v>19257</v>
      </c>
      <c r="E843" s="658">
        <v>1133.9999999999254</v>
      </c>
      <c r="G843" s="64">
        <v>1133.9999999999254</v>
      </c>
      <c r="H843" s="658">
        <v>19257</v>
      </c>
      <c r="I843" s="64">
        <v>1134.0999999999253</v>
      </c>
      <c r="J843" s="658">
        <v>19322</v>
      </c>
    </row>
    <row r="844" spans="2:10" ht="14.4" x14ac:dyDescent="0.3">
      <c r="B844" s="657">
        <v>19257</v>
      </c>
      <c r="C844" s="657">
        <v>1133.9999999999254</v>
      </c>
      <c r="D844" s="658">
        <v>19322</v>
      </c>
      <c r="E844" s="658">
        <v>1134.0999999999253</v>
      </c>
      <c r="G844" s="64">
        <v>1134.0999999999253</v>
      </c>
      <c r="H844" s="658">
        <v>19322</v>
      </c>
      <c r="I844" s="64">
        <v>1134.1999999999252</v>
      </c>
      <c r="J844" s="658">
        <v>19388</v>
      </c>
    </row>
    <row r="845" spans="2:10" ht="14.4" x14ac:dyDescent="0.3">
      <c r="B845" s="657">
        <v>19322</v>
      </c>
      <c r="C845" s="657">
        <v>1134.0999999999253</v>
      </c>
      <c r="D845" s="658">
        <v>19388</v>
      </c>
      <c r="E845" s="658">
        <v>1134.1999999999252</v>
      </c>
      <c r="G845" s="64">
        <v>1134.1999999999252</v>
      </c>
      <c r="H845" s="658">
        <v>19388</v>
      </c>
      <c r="I845" s="64">
        <v>1134.2999999999251</v>
      </c>
      <c r="J845" s="658">
        <v>19453</v>
      </c>
    </row>
    <row r="846" spans="2:10" ht="14.4" x14ac:dyDescent="0.3">
      <c r="B846" s="657">
        <v>19388</v>
      </c>
      <c r="C846" s="657">
        <v>1134.1999999999252</v>
      </c>
      <c r="D846" s="658">
        <v>19453</v>
      </c>
      <c r="E846" s="658">
        <v>1134.2999999999251</v>
      </c>
      <c r="G846" s="64">
        <v>1134.2999999999251</v>
      </c>
      <c r="H846" s="658">
        <v>19453</v>
      </c>
      <c r="I846" s="64">
        <v>1134.3999999999251</v>
      </c>
      <c r="J846" s="658">
        <v>19518</v>
      </c>
    </row>
    <row r="847" spans="2:10" ht="14.4" x14ac:dyDescent="0.3">
      <c r="B847" s="657">
        <v>19453</v>
      </c>
      <c r="C847" s="657">
        <v>1134.2999999999251</v>
      </c>
      <c r="D847" s="658">
        <v>19518</v>
      </c>
      <c r="E847" s="658">
        <v>1134.3999999999251</v>
      </c>
      <c r="G847" s="64">
        <v>1134.3999999999251</v>
      </c>
      <c r="H847" s="658">
        <v>19518</v>
      </c>
      <c r="I847" s="64">
        <v>1134.499999999925</v>
      </c>
      <c r="J847" s="658">
        <v>19583</v>
      </c>
    </row>
    <row r="848" spans="2:10" ht="14.4" x14ac:dyDescent="0.3">
      <c r="B848" s="657">
        <v>19518</v>
      </c>
      <c r="C848" s="657">
        <v>1134.3999999999251</v>
      </c>
      <c r="D848" s="658">
        <v>19583</v>
      </c>
      <c r="E848" s="658">
        <v>1134.499999999925</v>
      </c>
      <c r="G848" s="64">
        <v>1134.499999999925</v>
      </c>
      <c r="H848" s="658">
        <v>19583</v>
      </c>
      <c r="I848" s="64">
        <v>1134.5999999999249</v>
      </c>
      <c r="J848" s="658">
        <v>19648</v>
      </c>
    </row>
    <row r="849" spans="2:10" ht="14.4" x14ac:dyDescent="0.3">
      <c r="B849" s="657">
        <v>19583</v>
      </c>
      <c r="C849" s="657">
        <v>1134.499999999925</v>
      </c>
      <c r="D849" s="658">
        <v>19648</v>
      </c>
      <c r="E849" s="658">
        <v>1134.5999999999249</v>
      </c>
      <c r="G849" s="64">
        <v>1134.5999999999249</v>
      </c>
      <c r="H849" s="658">
        <v>19648</v>
      </c>
      <c r="I849" s="64">
        <v>1134.6999999999248</v>
      </c>
      <c r="J849" s="658">
        <v>19713</v>
      </c>
    </row>
    <row r="850" spans="2:10" ht="14.4" x14ac:dyDescent="0.3">
      <c r="B850" s="657">
        <v>19648</v>
      </c>
      <c r="C850" s="657">
        <v>1134.5999999999249</v>
      </c>
      <c r="D850" s="658">
        <v>19713</v>
      </c>
      <c r="E850" s="658">
        <v>1134.6999999999248</v>
      </c>
      <c r="G850" s="64">
        <v>1134.6999999999248</v>
      </c>
      <c r="H850" s="658">
        <v>19713</v>
      </c>
      <c r="I850" s="64">
        <v>1134.7999999999247</v>
      </c>
      <c r="J850" s="658">
        <v>19778</v>
      </c>
    </row>
    <row r="851" spans="2:10" ht="14.4" x14ac:dyDescent="0.3">
      <c r="B851" s="657">
        <v>19713</v>
      </c>
      <c r="C851" s="657">
        <v>1134.6999999999248</v>
      </c>
      <c r="D851" s="658">
        <v>19778</v>
      </c>
      <c r="E851" s="658">
        <v>1134.7999999999247</v>
      </c>
      <c r="G851" s="64">
        <v>1134.7999999999247</v>
      </c>
      <c r="H851" s="658">
        <v>19778</v>
      </c>
      <c r="I851" s="64">
        <v>1134.8999999999246</v>
      </c>
      <c r="J851" s="658">
        <v>19844</v>
      </c>
    </row>
    <row r="852" spans="2:10" ht="14.4" x14ac:dyDescent="0.3">
      <c r="B852" s="657">
        <v>19778</v>
      </c>
      <c r="C852" s="657">
        <v>1134.7999999999247</v>
      </c>
      <c r="D852" s="658">
        <v>19844</v>
      </c>
      <c r="E852" s="658">
        <v>1134.8999999999246</v>
      </c>
      <c r="G852" s="64">
        <v>1134.8999999999246</v>
      </c>
      <c r="H852" s="658">
        <v>19844</v>
      </c>
      <c r="I852" s="64">
        <v>1134.9999999999245</v>
      </c>
      <c r="J852" s="658">
        <v>19909</v>
      </c>
    </row>
    <row r="853" spans="2:10" ht="14.4" x14ac:dyDescent="0.3">
      <c r="B853" s="657">
        <v>19844</v>
      </c>
      <c r="C853" s="657">
        <v>1134.8999999999246</v>
      </c>
      <c r="D853" s="658">
        <v>19909</v>
      </c>
      <c r="E853" s="658">
        <v>1134.9999999999245</v>
      </c>
      <c r="G853" s="64">
        <v>1134.9999999999245</v>
      </c>
      <c r="H853" s="658">
        <v>19909</v>
      </c>
      <c r="I853" s="64">
        <v>1135.0999999999244</v>
      </c>
      <c r="J853" s="658">
        <v>19976</v>
      </c>
    </row>
    <row r="854" spans="2:10" ht="14.4" x14ac:dyDescent="0.3">
      <c r="B854" s="657">
        <v>19909</v>
      </c>
      <c r="C854" s="657">
        <v>1134.9999999999245</v>
      </c>
      <c r="D854" s="658">
        <v>19976</v>
      </c>
      <c r="E854" s="658">
        <v>1135.0999999999244</v>
      </c>
      <c r="G854" s="64">
        <v>1135.0999999999244</v>
      </c>
      <c r="H854" s="658">
        <v>19976</v>
      </c>
      <c r="I854" s="64">
        <v>1135.1999999999243</v>
      </c>
      <c r="J854" s="658">
        <v>20043</v>
      </c>
    </row>
    <row r="855" spans="2:10" ht="14.4" x14ac:dyDescent="0.3">
      <c r="B855" s="657">
        <v>19976</v>
      </c>
      <c r="C855" s="657">
        <v>1135.0999999999244</v>
      </c>
      <c r="D855" s="658">
        <v>20043</v>
      </c>
      <c r="E855" s="658">
        <v>1135.1999999999243</v>
      </c>
      <c r="G855" s="64">
        <v>1135.1999999999243</v>
      </c>
      <c r="H855" s="658">
        <v>20043</v>
      </c>
      <c r="I855" s="64">
        <v>1135.2999999999242</v>
      </c>
      <c r="J855" s="658">
        <v>20110</v>
      </c>
    </row>
    <row r="856" spans="2:10" ht="14.4" x14ac:dyDescent="0.3">
      <c r="B856" s="657">
        <v>20043</v>
      </c>
      <c r="C856" s="657">
        <v>1135.1999999999243</v>
      </c>
      <c r="D856" s="658">
        <v>20110</v>
      </c>
      <c r="E856" s="658">
        <v>1135.2999999999242</v>
      </c>
      <c r="G856" s="64">
        <v>1135.2999999999242</v>
      </c>
      <c r="H856" s="658">
        <v>20110</v>
      </c>
      <c r="I856" s="64">
        <v>1135.3999999999241</v>
      </c>
      <c r="J856" s="658">
        <v>20177</v>
      </c>
    </row>
    <row r="857" spans="2:10" ht="14.4" x14ac:dyDescent="0.3">
      <c r="B857" s="657">
        <v>20110</v>
      </c>
      <c r="C857" s="657">
        <v>1135.2999999999242</v>
      </c>
      <c r="D857" s="658">
        <v>20177</v>
      </c>
      <c r="E857" s="658">
        <v>1135.3999999999241</v>
      </c>
      <c r="G857" s="64">
        <v>1135.3999999999241</v>
      </c>
      <c r="H857" s="658">
        <v>20177</v>
      </c>
      <c r="I857" s="64">
        <v>1135.4999999999241</v>
      </c>
      <c r="J857" s="658">
        <v>20244</v>
      </c>
    </row>
    <row r="858" spans="2:10" ht="14.4" x14ac:dyDescent="0.3">
      <c r="B858" s="657">
        <v>20177</v>
      </c>
      <c r="C858" s="657">
        <v>1135.3999999999241</v>
      </c>
      <c r="D858" s="658">
        <v>20244</v>
      </c>
      <c r="E858" s="658">
        <v>1135.4999999999241</v>
      </c>
      <c r="G858" s="64">
        <v>1135.4999999999241</v>
      </c>
      <c r="H858" s="658">
        <v>20244</v>
      </c>
      <c r="I858" s="64">
        <v>1135.599999999924</v>
      </c>
      <c r="J858" s="658">
        <v>20311</v>
      </c>
    </row>
    <row r="859" spans="2:10" ht="14.4" x14ac:dyDescent="0.3">
      <c r="B859" s="657">
        <v>20244</v>
      </c>
      <c r="C859" s="657">
        <v>1135.4999999999241</v>
      </c>
      <c r="D859" s="658">
        <v>20311</v>
      </c>
      <c r="E859" s="658">
        <v>1135.599999999924</v>
      </c>
      <c r="G859" s="64">
        <v>1135.599999999924</v>
      </c>
      <c r="H859" s="658">
        <v>20311</v>
      </c>
      <c r="I859" s="64">
        <v>1135.6999999999239</v>
      </c>
      <c r="J859" s="658">
        <v>20378</v>
      </c>
    </row>
    <row r="860" spans="2:10" ht="14.4" x14ac:dyDescent="0.3">
      <c r="B860" s="657">
        <v>20311</v>
      </c>
      <c r="C860" s="657">
        <v>1135.599999999924</v>
      </c>
      <c r="D860" s="658">
        <v>20378</v>
      </c>
      <c r="E860" s="658">
        <v>1135.6999999999239</v>
      </c>
      <c r="G860" s="64">
        <v>1135.6999999999239</v>
      </c>
      <c r="H860" s="658">
        <v>20378</v>
      </c>
      <c r="I860" s="64">
        <v>1135.7999999999238</v>
      </c>
      <c r="J860" s="658">
        <v>20444</v>
      </c>
    </row>
    <row r="861" spans="2:10" ht="14.4" x14ac:dyDescent="0.3">
      <c r="B861" s="657">
        <v>20378</v>
      </c>
      <c r="C861" s="657">
        <v>1135.6999999999239</v>
      </c>
      <c r="D861" s="658">
        <v>20444</v>
      </c>
      <c r="E861" s="658">
        <v>1135.7999999999238</v>
      </c>
      <c r="G861" s="64">
        <v>1135.7999999999238</v>
      </c>
      <c r="H861" s="658">
        <v>20444</v>
      </c>
      <c r="I861" s="64">
        <v>1135.8999999999237</v>
      </c>
      <c r="J861" s="658">
        <v>20511</v>
      </c>
    </row>
    <row r="862" spans="2:10" ht="14.4" x14ac:dyDescent="0.3">
      <c r="B862" s="657">
        <v>20444</v>
      </c>
      <c r="C862" s="657">
        <v>1135.7999999999238</v>
      </c>
      <c r="D862" s="658">
        <v>20511</v>
      </c>
      <c r="E862" s="658">
        <v>1135.8999999999237</v>
      </c>
      <c r="G862" s="64">
        <v>1135.8999999999237</v>
      </c>
      <c r="H862" s="658">
        <v>20511</v>
      </c>
      <c r="I862" s="64">
        <v>1135.9999999999236</v>
      </c>
      <c r="J862" s="658">
        <v>20578</v>
      </c>
    </row>
    <row r="863" spans="2:10" ht="14.4" x14ac:dyDescent="0.3">
      <c r="B863" s="657">
        <v>20511</v>
      </c>
      <c r="C863" s="657">
        <v>1135.8999999999237</v>
      </c>
      <c r="D863" s="658">
        <v>20578</v>
      </c>
      <c r="E863" s="658">
        <v>1135.9999999999236</v>
      </c>
      <c r="G863" s="64">
        <v>1135.9999999999236</v>
      </c>
      <c r="H863" s="658">
        <v>20578</v>
      </c>
      <c r="I863" s="64">
        <v>1136.0999999999235</v>
      </c>
      <c r="J863" s="658">
        <v>20647</v>
      </c>
    </row>
    <row r="864" spans="2:10" ht="14.4" x14ac:dyDescent="0.3">
      <c r="B864" s="657">
        <v>20578</v>
      </c>
      <c r="C864" s="657">
        <v>1135.9999999999236</v>
      </c>
      <c r="D864" s="658">
        <v>20647</v>
      </c>
      <c r="E864" s="658">
        <v>1136.0999999999235</v>
      </c>
      <c r="G864" s="64">
        <v>1136.0999999999235</v>
      </c>
      <c r="H864" s="658">
        <v>20647</v>
      </c>
      <c r="I864" s="64">
        <v>1136.1999999999234</v>
      </c>
      <c r="J864" s="658">
        <v>20716</v>
      </c>
    </row>
    <row r="865" spans="2:10" ht="14.4" x14ac:dyDescent="0.3">
      <c r="B865" s="657">
        <v>20647</v>
      </c>
      <c r="C865" s="657">
        <v>1136.0999999999235</v>
      </c>
      <c r="D865" s="658">
        <v>20716</v>
      </c>
      <c r="E865" s="658">
        <v>1136.1999999999234</v>
      </c>
      <c r="G865" s="64">
        <v>1136.1999999999234</v>
      </c>
      <c r="H865" s="658">
        <v>20716</v>
      </c>
      <c r="I865" s="64">
        <v>1136.2999999999233</v>
      </c>
      <c r="J865" s="658">
        <v>20785</v>
      </c>
    </row>
    <row r="866" spans="2:10" ht="14.4" x14ac:dyDescent="0.3">
      <c r="B866" s="657">
        <v>20716</v>
      </c>
      <c r="C866" s="657">
        <v>1136.1999999999234</v>
      </c>
      <c r="D866" s="658">
        <v>20785</v>
      </c>
      <c r="E866" s="658">
        <v>1136.2999999999233</v>
      </c>
      <c r="G866" s="64">
        <v>1136.2999999999233</v>
      </c>
      <c r="H866" s="658">
        <v>20785</v>
      </c>
      <c r="I866" s="64">
        <v>1136.3999999999232</v>
      </c>
      <c r="J866" s="658">
        <v>20854</v>
      </c>
    </row>
    <row r="867" spans="2:10" ht="14.4" x14ac:dyDescent="0.3">
      <c r="B867" s="657">
        <v>20785</v>
      </c>
      <c r="C867" s="657">
        <v>1136.2999999999233</v>
      </c>
      <c r="D867" s="658">
        <v>20854</v>
      </c>
      <c r="E867" s="658">
        <v>1136.3999999999232</v>
      </c>
      <c r="G867" s="64">
        <v>1136.3999999999232</v>
      </c>
      <c r="H867" s="658">
        <v>20854</v>
      </c>
      <c r="I867" s="64">
        <v>1136.4999999999231</v>
      </c>
      <c r="J867" s="658">
        <v>20923</v>
      </c>
    </row>
    <row r="868" spans="2:10" ht="14.4" x14ac:dyDescent="0.3">
      <c r="B868" s="657">
        <v>20854</v>
      </c>
      <c r="C868" s="657">
        <v>1136.3999999999232</v>
      </c>
      <c r="D868" s="658">
        <v>20923</v>
      </c>
      <c r="E868" s="658">
        <v>1136.4999999999231</v>
      </c>
      <c r="G868" s="64">
        <v>1136.4999999999231</v>
      </c>
      <c r="H868" s="658">
        <v>20923</v>
      </c>
      <c r="I868" s="64">
        <v>1136.5999999999231</v>
      </c>
      <c r="J868" s="658">
        <v>20991</v>
      </c>
    </row>
    <row r="869" spans="2:10" ht="14.4" x14ac:dyDescent="0.3">
      <c r="B869" s="657">
        <v>20923</v>
      </c>
      <c r="C869" s="657">
        <v>1136.4999999999231</v>
      </c>
      <c r="D869" s="658">
        <v>20991</v>
      </c>
      <c r="E869" s="658">
        <v>1136.5999999999231</v>
      </c>
      <c r="G869" s="64">
        <v>1136.5999999999231</v>
      </c>
      <c r="H869" s="658">
        <v>20991</v>
      </c>
      <c r="I869" s="64">
        <v>1136.699999999923</v>
      </c>
      <c r="J869" s="658">
        <v>21060</v>
      </c>
    </row>
    <row r="870" spans="2:10" ht="14.4" x14ac:dyDescent="0.3">
      <c r="B870" s="657">
        <v>20991</v>
      </c>
      <c r="C870" s="657">
        <v>1136.5999999999231</v>
      </c>
      <c r="D870" s="658">
        <v>21060</v>
      </c>
      <c r="E870" s="658">
        <v>1136.699999999923</v>
      </c>
      <c r="G870" s="64">
        <v>1136.699999999923</v>
      </c>
      <c r="H870" s="658">
        <v>21060</v>
      </c>
      <c r="I870" s="64">
        <v>1136.7999999999229</v>
      </c>
      <c r="J870" s="658">
        <v>21129</v>
      </c>
    </row>
    <row r="871" spans="2:10" ht="14.4" x14ac:dyDescent="0.3">
      <c r="B871" s="657">
        <v>21060</v>
      </c>
      <c r="C871" s="657">
        <v>1136.699999999923</v>
      </c>
      <c r="D871" s="658">
        <v>21129</v>
      </c>
      <c r="E871" s="658">
        <v>1136.7999999999229</v>
      </c>
      <c r="G871" s="64">
        <v>1136.7999999999229</v>
      </c>
      <c r="H871" s="658">
        <v>21129</v>
      </c>
      <c r="I871" s="64">
        <v>1136.8999999999228</v>
      </c>
      <c r="J871" s="658">
        <v>21198</v>
      </c>
    </row>
    <row r="872" spans="2:10" ht="14.4" x14ac:dyDescent="0.3">
      <c r="B872" s="657">
        <v>21129</v>
      </c>
      <c r="C872" s="657">
        <v>1136.7999999999229</v>
      </c>
      <c r="D872" s="658">
        <v>21198</v>
      </c>
      <c r="E872" s="658">
        <v>1136.8999999999228</v>
      </c>
      <c r="G872" s="64">
        <v>1136.8999999999228</v>
      </c>
      <c r="H872" s="658">
        <v>21198</v>
      </c>
      <c r="I872" s="64">
        <v>1136.9999999999227</v>
      </c>
      <c r="J872" s="658">
        <v>21267</v>
      </c>
    </row>
    <row r="873" spans="2:10" ht="14.4" x14ac:dyDescent="0.3">
      <c r="B873" s="657">
        <v>21198</v>
      </c>
      <c r="C873" s="657">
        <v>1136.8999999999228</v>
      </c>
      <c r="D873" s="658">
        <v>21267</v>
      </c>
      <c r="E873" s="658">
        <v>1136.9999999999227</v>
      </c>
      <c r="G873" s="64">
        <v>1136.9999999999227</v>
      </c>
      <c r="H873" s="658">
        <v>21267</v>
      </c>
      <c r="I873" s="64">
        <v>1137.0999999999226</v>
      </c>
      <c r="J873" s="658">
        <v>21337</v>
      </c>
    </row>
    <row r="874" spans="2:10" ht="14.4" x14ac:dyDescent="0.3">
      <c r="B874" s="657">
        <v>21267</v>
      </c>
      <c r="C874" s="657">
        <v>1136.9999999999227</v>
      </c>
      <c r="D874" s="658">
        <v>21337</v>
      </c>
      <c r="E874" s="658">
        <v>1137.0999999999226</v>
      </c>
      <c r="G874" s="64">
        <v>1137.0999999999226</v>
      </c>
      <c r="H874" s="658">
        <v>21337</v>
      </c>
      <c r="I874" s="64">
        <v>1137.1999999999225</v>
      </c>
      <c r="J874" s="658">
        <v>21408</v>
      </c>
    </row>
    <row r="875" spans="2:10" ht="14.4" x14ac:dyDescent="0.3">
      <c r="B875" s="657">
        <v>21337</v>
      </c>
      <c r="C875" s="657">
        <v>1137.0999999999226</v>
      </c>
      <c r="D875" s="658">
        <v>21408</v>
      </c>
      <c r="E875" s="658">
        <v>1137.1999999999225</v>
      </c>
      <c r="G875" s="64">
        <v>1137.1999999999225</v>
      </c>
      <c r="H875" s="658">
        <v>21408</v>
      </c>
      <c r="I875" s="64">
        <v>1137.2999999999224</v>
      </c>
      <c r="J875" s="658">
        <v>21478</v>
      </c>
    </row>
    <row r="876" spans="2:10" ht="14.4" x14ac:dyDescent="0.3">
      <c r="B876" s="657">
        <v>21408</v>
      </c>
      <c r="C876" s="657">
        <v>1137.1999999999225</v>
      </c>
      <c r="D876" s="658">
        <v>21478</v>
      </c>
      <c r="E876" s="658">
        <v>1137.2999999999224</v>
      </c>
      <c r="G876" s="64">
        <v>1137.2999999999224</v>
      </c>
      <c r="H876" s="658">
        <v>21478</v>
      </c>
      <c r="I876" s="64">
        <v>1137.3999999999223</v>
      </c>
      <c r="J876" s="658">
        <v>21549</v>
      </c>
    </row>
    <row r="877" spans="2:10" ht="14.4" x14ac:dyDescent="0.3">
      <c r="B877" s="657">
        <v>21478</v>
      </c>
      <c r="C877" s="657">
        <v>1137.2999999999224</v>
      </c>
      <c r="D877" s="658">
        <v>21549</v>
      </c>
      <c r="E877" s="658">
        <v>1137.3999999999223</v>
      </c>
      <c r="G877" s="64">
        <v>1137.3999999999223</v>
      </c>
      <c r="H877" s="658">
        <v>21549</v>
      </c>
      <c r="I877" s="64">
        <v>1137.4999999999222</v>
      </c>
      <c r="J877" s="658">
        <v>21620</v>
      </c>
    </row>
    <row r="878" spans="2:10" ht="14.4" x14ac:dyDescent="0.3">
      <c r="B878" s="657">
        <v>21549</v>
      </c>
      <c r="C878" s="657">
        <v>1137.3999999999223</v>
      </c>
      <c r="D878" s="658">
        <v>21620</v>
      </c>
      <c r="E878" s="658">
        <v>1137.4999999999222</v>
      </c>
      <c r="G878" s="64">
        <v>1137.4999999999222</v>
      </c>
      <c r="H878" s="658">
        <v>21620</v>
      </c>
      <c r="I878" s="64">
        <v>1137.5999999999221</v>
      </c>
      <c r="J878" s="658">
        <v>21690</v>
      </c>
    </row>
    <row r="879" spans="2:10" ht="14.4" x14ac:dyDescent="0.3">
      <c r="B879" s="657">
        <v>21620</v>
      </c>
      <c r="C879" s="657">
        <v>1137.4999999999222</v>
      </c>
      <c r="D879" s="658">
        <v>21690</v>
      </c>
      <c r="E879" s="658">
        <v>1137.5999999999221</v>
      </c>
      <c r="G879" s="64">
        <v>1137.5999999999221</v>
      </c>
      <c r="H879" s="658">
        <v>21690</v>
      </c>
      <c r="I879" s="64">
        <v>1137.6999999999221</v>
      </c>
      <c r="J879" s="658">
        <v>21761</v>
      </c>
    </row>
    <row r="880" spans="2:10" ht="14.4" x14ac:dyDescent="0.3">
      <c r="B880" s="657">
        <v>21690</v>
      </c>
      <c r="C880" s="657">
        <v>1137.5999999999221</v>
      </c>
      <c r="D880" s="658">
        <v>21761</v>
      </c>
      <c r="E880" s="658">
        <v>1137.6999999999221</v>
      </c>
      <c r="G880" s="64">
        <v>1137.6999999999221</v>
      </c>
      <c r="H880" s="658">
        <v>21761</v>
      </c>
      <c r="I880" s="64">
        <v>1137.799999999922</v>
      </c>
      <c r="J880" s="658">
        <v>21831</v>
      </c>
    </row>
    <row r="881" spans="2:10" ht="14.4" x14ac:dyDescent="0.3">
      <c r="B881" s="657">
        <v>21761</v>
      </c>
      <c r="C881" s="657">
        <v>1137.6999999999221</v>
      </c>
      <c r="D881" s="658">
        <v>21831</v>
      </c>
      <c r="E881" s="658">
        <v>1137.799999999922</v>
      </c>
      <c r="G881" s="64">
        <v>1137.799999999922</v>
      </c>
      <c r="H881" s="658">
        <v>21831</v>
      </c>
      <c r="I881" s="64">
        <v>1137.8999999999219</v>
      </c>
      <c r="J881" s="658">
        <v>21902</v>
      </c>
    </row>
    <row r="882" spans="2:10" ht="14.4" x14ac:dyDescent="0.3">
      <c r="B882" s="657">
        <v>21831</v>
      </c>
      <c r="C882" s="657">
        <v>1137.799999999922</v>
      </c>
      <c r="D882" s="658">
        <v>21902</v>
      </c>
      <c r="E882" s="658">
        <v>1137.8999999999219</v>
      </c>
      <c r="G882" s="64">
        <v>1137.8999999999219</v>
      </c>
      <c r="H882" s="658">
        <v>21902</v>
      </c>
      <c r="I882" s="64">
        <v>1137.9999999999218</v>
      </c>
      <c r="J882" s="658">
        <v>21973</v>
      </c>
    </row>
    <row r="883" spans="2:10" ht="14.4" x14ac:dyDescent="0.3">
      <c r="B883" s="657">
        <v>21902</v>
      </c>
      <c r="C883" s="657">
        <v>1137.8999999999219</v>
      </c>
      <c r="D883" s="658">
        <v>21973</v>
      </c>
      <c r="E883" s="658">
        <v>1137.9999999999218</v>
      </c>
      <c r="G883" s="64">
        <v>1137.9999999999218</v>
      </c>
      <c r="H883" s="658">
        <v>21973</v>
      </c>
      <c r="I883" s="64">
        <v>1138.0999999999217</v>
      </c>
      <c r="J883" s="658">
        <v>22045</v>
      </c>
    </row>
    <row r="884" spans="2:10" ht="14.4" x14ac:dyDescent="0.3">
      <c r="B884" s="657">
        <v>21973</v>
      </c>
      <c r="C884" s="657">
        <v>1137.9999999999218</v>
      </c>
      <c r="D884" s="658">
        <v>22045</v>
      </c>
      <c r="E884" s="658">
        <v>1138.0999999999217</v>
      </c>
      <c r="G884" s="64">
        <v>1138.0999999999217</v>
      </c>
      <c r="H884" s="658">
        <v>22045</v>
      </c>
      <c r="I884" s="64">
        <v>1138.1999999999216</v>
      </c>
      <c r="J884" s="658">
        <v>22117</v>
      </c>
    </row>
    <row r="885" spans="2:10" ht="14.4" x14ac:dyDescent="0.3">
      <c r="B885" s="657">
        <v>22045</v>
      </c>
      <c r="C885" s="657">
        <v>1138.0999999999217</v>
      </c>
      <c r="D885" s="658">
        <v>22117</v>
      </c>
      <c r="E885" s="658">
        <v>1138.1999999999216</v>
      </c>
      <c r="G885" s="64">
        <v>1138.1999999999216</v>
      </c>
      <c r="H885" s="658">
        <v>22117</v>
      </c>
      <c r="I885" s="64">
        <v>1138.2999999999215</v>
      </c>
      <c r="J885" s="658">
        <v>22189</v>
      </c>
    </row>
    <row r="886" spans="2:10" ht="14.4" x14ac:dyDescent="0.3">
      <c r="B886" s="657">
        <v>22117</v>
      </c>
      <c r="C886" s="657">
        <v>1138.1999999999216</v>
      </c>
      <c r="D886" s="658">
        <v>22189</v>
      </c>
      <c r="E886" s="658">
        <v>1138.2999999999215</v>
      </c>
      <c r="G886" s="64">
        <v>1138.2999999999215</v>
      </c>
      <c r="H886" s="658">
        <v>22189</v>
      </c>
      <c r="I886" s="64">
        <v>1138.3999999999214</v>
      </c>
      <c r="J886" s="658">
        <v>22261</v>
      </c>
    </row>
    <row r="887" spans="2:10" ht="14.4" x14ac:dyDescent="0.3">
      <c r="B887" s="657">
        <v>22189</v>
      </c>
      <c r="C887" s="657">
        <v>1138.2999999999215</v>
      </c>
      <c r="D887" s="658">
        <v>22261</v>
      </c>
      <c r="E887" s="658">
        <v>1138.3999999999214</v>
      </c>
      <c r="G887" s="64">
        <v>1138.3999999999214</v>
      </c>
      <c r="H887" s="658">
        <v>22261</v>
      </c>
      <c r="I887" s="64">
        <v>1138.4999999999213</v>
      </c>
      <c r="J887" s="658">
        <v>22333</v>
      </c>
    </row>
    <row r="888" spans="2:10" ht="14.4" x14ac:dyDescent="0.3">
      <c r="B888" s="657">
        <v>22261</v>
      </c>
      <c r="C888" s="657">
        <v>1138.3999999999214</v>
      </c>
      <c r="D888" s="658">
        <v>22333</v>
      </c>
      <c r="E888" s="658">
        <v>1138.4999999999213</v>
      </c>
      <c r="G888" s="64">
        <v>1138.4999999999213</v>
      </c>
      <c r="H888" s="658">
        <v>22333</v>
      </c>
      <c r="I888" s="64">
        <v>1138.5999999999212</v>
      </c>
      <c r="J888" s="658">
        <v>22405</v>
      </c>
    </row>
    <row r="889" spans="2:10" ht="14.4" x14ac:dyDescent="0.3">
      <c r="B889" s="657">
        <v>22333</v>
      </c>
      <c r="C889" s="657">
        <v>1138.4999999999213</v>
      </c>
      <c r="D889" s="658">
        <v>22405</v>
      </c>
      <c r="E889" s="658">
        <v>1138.5999999999212</v>
      </c>
      <c r="G889" s="64">
        <v>1138.5999999999212</v>
      </c>
      <c r="H889" s="658">
        <v>22405</v>
      </c>
      <c r="I889" s="64">
        <v>1138.6999999999211</v>
      </c>
      <c r="J889" s="658">
        <v>22477</v>
      </c>
    </row>
    <row r="890" spans="2:10" ht="14.4" x14ac:dyDescent="0.3">
      <c r="B890" s="657">
        <v>22405</v>
      </c>
      <c r="C890" s="657">
        <v>1138.5999999999212</v>
      </c>
      <c r="D890" s="658">
        <v>22477</v>
      </c>
      <c r="E890" s="658">
        <v>1138.6999999999211</v>
      </c>
      <c r="G890" s="64">
        <v>1138.6999999999211</v>
      </c>
      <c r="H890" s="658">
        <v>22477</v>
      </c>
      <c r="I890" s="64">
        <v>1138.7999999999211</v>
      </c>
      <c r="J890" s="658">
        <v>22549</v>
      </c>
    </row>
    <row r="891" spans="2:10" ht="14.4" x14ac:dyDescent="0.3">
      <c r="B891" s="657">
        <v>22477</v>
      </c>
      <c r="C891" s="657">
        <v>1138.6999999999211</v>
      </c>
      <c r="D891" s="658">
        <v>22549</v>
      </c>
      <c r="E891" s="658">
        <v>1138.7999999999211</v>
      </c>
      <c r="G891" s="64">
        <v>1138.7999999999211</v>
      </c>
      <c r="H891" s="658">
        <v>22549</v>
      </c>
      <c r="I891" s="64">
        <v>1138.899999999921</v>
      </c>
      <c r="J891" s="658">
        <v>22621</v>
      </c>
    </row>
    <row r="892" spans="2:10" ht="14.4" x14ac:dyDescent="0.3">
      <c r="B892" s="657">
        <v>22549</v>
      </c>
      <c r="C892" s="657">
        <v>1138.7999999999211</v>
      </c>
      <c r="D892" s="658">
        <v>22621</v>
      </c>
      <c r="E892" s="658">
        <v>1138.899999999921</v>
      </c>
      <c r="G892" s="64">
        <v>1138.899999999921</v>
      </c>
      <c r="H892" s="658">
        <v>22621</v>
      </c>
      <c r="I892" s="64">
        <v>1138.9999999999209</v>
      </c>
      <c r="J892" s="658">
        <v>22693</v>
      </c>
    </row>
    <row r="893" spans="2:10" ht="14.4" x14ac:dyDescent="0.3">
      <c r="B893" s="657">
        <v>22621</v>
      </c>
      <c r="C893" s="657">
        <v>1138.899999999921</v>
      </c>
      <c r="D893" s="658">
        <v>22693</v>
      </c>
      <c r="E893" s="658">
        <v>1138.9999999999209</v>
      </c>
      <c r="G893" s="64">
        <v>1138.9999999999209</v>
      </c>
      <c r="H893" s="658">
        <v>22693</v>
      </c>
      <c r="I893" s="64">
        <v>1139.0999999999208</v>
      </c>
      <c r="J893" s="658">
        <v>22766</v>
      </c>
    </row>
    <row r="894" spans="2:10" ht="14.4" x14ac:dyDescent="0.3">
      <c r="B894" s="657">
        <v>22693</v>
      </c>
      <c r="C894" s="657">
        <v>1138.9999999999209</v>
      </c>
      <c r="D894" s="658">
        <v>22766</v>
      </c>
      <c r="E894" s="658">
        <v>1139.0999999999208</v>
      </c>
      <c r="G894" s="64">
        <v>1139.0999999999208</v>
      </c>
      <c r="H894" s="658">
        <v>22766</v>
      </c>
      <c r="I894" s="64">
        <v>1139.1999999999207</v>
      </c>
      <c r="J894" s="658">
        <v>22839</v>
      </c>
    </row>
    <row r="895" spans="2:10" ht="14.4" x14ac:dyDescent="0.3">
      <c r="B895" s="657">
        <v>22766</v>
      </c>
      <c r="C895" s="657">
        <v>1139.0999999999208</v>
      </c>
      <c r="D895" s="658">
        <v>22839</v>
      </c>
      <c r="E895" s="658">
        <v>1139.1999999999207</v>
      </c>
      <c r="G895" s="64">
        <v>1139.1999999999207</v>
      </c>
      <c r="H895" s="658">
        <v>22839</v>
      </c>
      <c r="I895" s="64">
        <v>1139.2999999999206</v>
      </c>
      <c r="J895" s="658">
        <v>22912</v>
      </c>
    </row>
    <row r="896" spans="2:10" ht="14.4" x14ac:dyDescent="0.3">
      <c r="B896" s="657">
        <v>22839</v>
      </c>
      <c r="C896" s="657">
        <v>1139.1999999999207</v>
      </c>
      <c r="D896" s="658">
        <v>22912</v>
      </c>
      <c r="E896" s="658">
        <v>1139.2999999999206</v>
      </c>
      <c r="G896" s="64">
        <v>1139.2999999999206</v>
      </c>
      <c r="H896" s="658">
        <v>22912</v>
      </c>
      <c r="I896" s="64">
        <v>1139.3999999999205</v>
      </c>
      <c r="J896" s="658">
        <v>22986</v>
      </c>
    </row>
    <row r="897" spans="2:10" ht="14.4" x14ac:dyDescent="0.3">
      <c r="B897" s="657">
        <v>22912</v>
      </c>
      <c r="C897" s="657">
        <v>1139.2999999999206</v>
      </c>
      <c r="D897" s="658">
        <v>22986</v>
      </c>
      <c r="E897" s="658">
        <v>1139.3999999999205</v>
      </c>
      <c r="G897" s="64">
        <v>1139.3999999999205</v>
      </c>
      <c r="H897" s="658">
        <v>22986</v>
      </c>
      <c r="I897" s="64">
        <v>1139.4999999999204</v>
      </c>
      <c r="J897" s="658">
        <v>23059</v>
      </c>
    </row>
    <row r="898" spans="2:10" ht="14.4" x14ac:dyDescent="0.3">
      <c r="B898" s="657">
        <v>22986</v>
      </c>
      <c r="C898" s="657">
        <v>1139.3999999999205</v>
      </c>
      <c r="D898" s="658">
        <v>23059</v>
      </c>
      <c r="E898" s="658">
        <v>1139.4999999999204</v>
      </c>
      <c r="G898" s="64">
        <v>1139.4999999999204</v>
      </c>
      <c r="H898" s="658">
        <v>23059</v>
      </c>
      <c r="I898" s="64">
        <v>1139.5999999999203</v>
      </c>
      <c r="J898" s="658">
        <v>23132</v>
      </c>
    </row>
    <row r="899" spans="2:10" ht="14.4" x14ac:dyDescent="0.3">
      <c r="B899" s="657">
        <v>23059</v>
      </c>
      <c r="C899" s="657">
        <v>1139.4999999999204</v>
      </c>
      <c r="D899" s="658">
        <v>23132</v>
      </c>
      <c r="E899" s="658">
        <v>1139.5999999999203</v>
      </c>
      <c r="G899" s="64">
        <v>1139.5999999999203</v>
      </c>
      <c r="H899" s="658">
        <v>23132</v>
      </c>
      <c r="I899" s="64">
        <v>1139.6999999999202</v>
      </c>
      <c r="J899" s="658">
        <v>23205</v>
      </c>
    </row>
    <row r="900" spans="2:10" ht="14.4" x14ac:dyDescent="0.3">
      <c r="B900" s="657">
        <v>23132</v>
      </c>
      <c r="C900" s="657">
        <v>1139.5999999999203</v>
      </c>
      <c r="D900" s="658">
        <v>23205</v>
      </c>
      <c r="E900" s="658">
        <v>1139.6999999999202</v>
      </c>
      <c r="G900" s="64">
        <v>1139.6999999999202</v>
      </c>
      <c r="H900" s="658">
        <v>23205</v>
      </c>
      <c r="I900" s="64">
        <v>1139.7999999999201</v>
      </c>
      <c r="J900" s="658">
        <v>23278</v>
      </c>
    </row>
    <row r="901" spans="2:10" ht="14.4" x14ac:dyDescent="0.3">
      <c r="B901" s="657">
        <v>23205</v>
      </c>
      <c r="C901" s="657">
        <v>1139.6999999999202</v>
      </c>
      <c r="D901" s="658">
        <v>23278</v>
      </c>
      <c r="E901" s="658">
        <v>1139.7999999999201</v>
      </c>
      <c r="G901" s="64">
        <v>1139.7999999999201</v>
      </c>
      <c r="H901" s="658">
        <v>23278</v>
      </c>
      <c r="I901" s="64">
        <v>1139.8999999999201</v>
      </c>
      <c r="J901" s="658">
        <v>23351</v>
      </c>
    </row>
    <row r="902" spans="2:10" ht="14.4" x14ac:dyDescent="0.3">
      <c r="B902" s="657">
        <v>23278</v>
      </c>
      <c r="C902" s="657">
        <v>1139.7999999999201</v>
      </c>
      <c r="D902" s="658">
        <v>23351</v>
      </c>
      <c r="E902" s="658">
        <v>1139.8999999999201</v>
      </c>
      <c r="G902" s="64">
        <v>1139.8999999999201</v>
      </c>
      <c r="H902" s="658">
        <v>23351</v>
      </c>
      <c r="I902" s="64">
        <v>1139.99999999992</v>
      </c>
      <c r="J902" s="658">
        <v>23425</v>
      </c>
    </row>
    <row r="903" spans="2:10" ht="14.4" x14ac:dyDescent="0.3">
      <c r="B903" s="657">
        <v>23351</v>
      </c>
      <c r="C903" s="657">
        <v>1139.8999999999201</v>
      </c>
      <c r="D903" s="658">
        <v>23425</v>
      </c>
      <c r="E903" s="658">
        <v>1139.99999999992</v>
      </c>
      <c r="G903" s="64">
        <v>1139.99999999992</v>
      </c>
      <c r="H903" s="658">
        <v>23425</v>
      </c>
      <c r="I903" s="64">
        <v>1140.0999999999199</v>
      </c>
      <c r="J903" s="658">
        <v>23500</v>
      </c>
    </row>
    <row r="904" spans="2:10" ht="14.4" x14ac:dyDescent="0.3">
      <c r="B904" s="657">
        <v>23425</v>
      </c>
      <c r="C904" s="657">
        <v>1139.99999999992</v>
      </c>
      <c r="D904" s="658">
        <v>23500</v>
      </c>
      <c r="E904" s="658">
        <v>1140.0999999999199</v>
      </c>
      <c r="G904" s="64">
        <v>1140.0999999999199</v>
      </c>
      <c r="H904" s="658">
        <v>23500</v>
      </c>
      <c r="I904" s="64">
        <v>1140.1999999999198</v>
      </c>
      <c r="J904" s="658">
        <v>23575</v>
      </c>
    </row>
    <row r="905" spans="2:10" ht="14.4" x14ac:dyDescent="0.3">
      <c r="B905" s="657">
        <v>23500</v>
      </c>
      <c r="C905" s="657">
        <v>1140.0999999999199</v>
      </c>
      <c r="D905" s="658">
        <v>23575</v>
      </c>
      <c r="E905" s="658">
        <v>1140.1999999999198</v>
      </c>
      <c r="G905" s="64">
        <v>1140.1999999999198</v>
      </c>
      <c r="H905" s="658">
        <v>23575</v>
      </c>
      <c r="I905" s="64">
        <v>1140.2999999999197</v>
      </c>
      <c r="J905" s="658">
        <v>23651</v>
      </c>
    </row>
    <row r="906" spans="2:10" ht="14.4" x14ac:dyDescent="0.3">
      <c r="B906" s="657">
        <v>23575</v>
      </c>
      <c r="C906" s="657">
        <v>1140.1999999999198</v>
      </c>
      <c r="D906" s="658">
        <v>23651</v>
      </c>
      <c r="E906" s="658">
        <v>1140.2999999999197</v>
      </c>
      <c r="G906" s="64">
        <v>1140.2999999999197</v>
      </c>
      <c r="H906" s="658">
        <v>23651</v>
      </c>
      <c r="I906" s="64">
        <v>1140.3999999999196</v>
      </c>
      <c r="J906" s="658">
        <v>23726</v>
      </c>
    </row>
    <row r="907" spans="2:10" ht="14.4" x14ac:dyDescent="0.3">
      <c r="B907" s="657">
        <v>23651</v>
      </c>
      <c r="C907" s="657">
        <v>1140.2999999999197</v>
      </c>
      <c r="D907" s="658">
        <v>23726</v>
      </c>
      <c r="E907" s="658">
        <v>1140.3999999999196</v>
      </c>
      <c r="G907" s="64">
        <v>1140.3999999999196</v>
      </c>
      <c r="H907" s="658">
        <v>23726</v>
      </c>
      <c r="I907" s="64">
        <v>1140.4999999999195</v>
      </c>
      <c r="J907" s="658">
        <v>23801</v>
      </c>
    </row>
    <row r="908" spans="2:10" ht="14.4" x14ac:dyDescent="0.3">
      <c r="B908" s="657">
        <v>23726</v>
      </c>
      <c r="C908" s="657">
        <v>1140.3999999999196</v>
      </c>
      <c r="D908" s="658">
        <v>23801</v>
      </c>
      <c r="E908" s="658">
        <v>1140.4999999999195</v>
      </c>
      <c r="G908" s="64">
        <v>1140.4999999999195</v>
      </c>
      <c r="H908" s="658">
        <v>23801</v>
      </c>
      <c r="I908" s="64">
        <v>1140.5999999999194</v>
      </c>
      <c r="J908" s="658">
        <v>23877</v>
      </c>
    </row>
    <row r="909" spans="2:10" ht="14.4" x14ac:dyDescent="0.3">
      <c r="B909" s="657">
        <v>23801</v>
      </c>
      <c r="C909" s="657">
        <v>1140.4999999999195</v>
      </c>
      <c r="D909" s="658">
        <v>23877</v>
      </c>
      <c r="E909" s="658">
        <v>1140.5999999999194</v>
      </c>
      <c r="G909" s="64">
        <v>1140.5999999999194</v>
      </c>
      <c r="H909" s="658">
        <v>23877</v>
      </c>
      <c r="I909" s="64">
        <v>1140.6999999999193</v>
      </c>
      <c r="J909" s="658">
        <v>23952</v>
      </c>
    </row>
    <row r="910" spans="2:10" ht="14.4" x14ac:dyDescent="0.3">
      <c r="B910" s="657">
        <v>23877</v>
      </c>
      <c r="C910" s="657">
        <v>1140.5999999999194</v>
      </c>
      <c r="D910" s="658">
        <v>23952</v>
      </c>
      <c r="E910" s="658">
        <v>1140.6999999999193</v>
      </c>
      <c r="G910" s="64">
        <v>1140.6999999999193</v>
      </c>
      <c r="H910" s="658">
        <v>23952</v>
      </c>
      <c r="I910" s="64">
        <v>1140.7999999999192</v>
      </c>
      <c r="J910" s="658">
        <v>24027</v>
      </c>
    </row>
    <row r="911" spans="2:10" ht="14.4" x14ac:dyDescent="0.3">
      <c r="B911" s="657">
        <v>23952</v>
      </c>
      <c r="C911" s="657">
        <v>1140.6999999999193</v>
      </c>
      <c r="D911" s="658">
        <v>24027</v>
      </c>
      <c r="E911" s="658">
        <v>1140.7999999999192</v>
      </c>
      <c r="G911" s="64">
        <v>1140.7999999999192</v>
      </c>
      <c r="H911" s="658">
        <v>24027</v>
      </c>
      <c r="I911" s="64">
        <v>1140.8999999999191</v>
      </c>
      <c r="J911" s="658">
        <v>24103</v>
      </c>
    </row>
    <row r="912" spans="2:10" ht="14.4" x14ac:dyDescent="0.3">
      <c r="B912" s="657">
        <v>24027</v>
      </c>
      <c r="C912" s="657">
        <v>1140.7999999999192</v>
      </c>
      <c r="D912" s="658">
        <v>24103</v>
      </c>
      <c r="E912" s="658">
        <v>1140.8999999999191</v>
      </c>
      <c r="G912" s="64">
        <v>1140.8999999999191</v>
      </c>
      <c r="H912" s="658">
        <v>24103</v>
      </c>
      <c r="I912" s="64">
        <v>1140.9999999999191</v>
      </c>
      <c r="J912" s="658">
        <v>24178</v>
      </c>
    </row>
    <row r="913" spans="2:10" ht="14.4" x14ac:dyDescent="0.3">
      <c r="B913" s="657">
        <v>24103</v>
      </c>
      <c r="C913" s="657">
        <v>1140.8999999999191</v>
      </c>
      <c r="D913" s="658">
        <v>24178</v>
      </c>
      <c r="E913" s="658">
        <v>1140.9999999999191</v>
      </c>
      <c r="G913" s="64">
        <v>1140.9999999999191</v>
      </c>
      <c r="H913" s="658">
        <v>24178</v>
      </c>
      <c r="I913" s="64">
        <v>1141.099999999919</v>
      </c>
      <c r="J913" s="658">
        <v>24255</v>
      </c>
    </row>
    <row r="914" spans="2:10" ht="14.4" x14ac:dyDescent="0.3">
      <c r="B914" s="657">
        <v>24178</v>
      </c>
      <c r="C914" s="657">
        <v>1140.9999999999191</v>
      </c>
      <c r="D914" s="658">
        <v>24255</v>
      </c>
      <c r="E914" s="658">
        <v>1141.099999999919</v>
      </c>
      <c r="G914" s="64">
        <v>1141.099999999919</v>
      </c>
      <c r="H914" s="658">
        <v>24255</v>
      </c>
      <c r="I914" s="64">
        <v>1141.1999999999189</v>
      </c>
      <c r="J914" s="658">
        <v>24333</v>
      </c>
    </row>
    <row r="915" spans="2:10" ht="14.4" x14ac:dyDescent="0.3">
      <c r="B915" s="657">
        <v>24255</v>
      </c>
      <c r="C915" s="657">
        <v>1141.099999999919</v>
      </c>
      <c r="D915" s="658">
        <v>24333</v>
      </c>
      <c r="E915" s="658">
        <v>1141.1999999999189</v>
      </c>
      <c r="G915" s="64">
        <v>1141.1999999999189</v>
      </c>
      <c r="H915" s="658">
        <v>24333</v>
      </c>
      <c r="I915" s="64">
        <v>1141.2999999999188</v>
      </c>
      <c r="J915" s="658">
        <v>24410</v>
      </c>
    </row>
    <row r="916" spans="2:10" ht="14.4" x14ac:dyDescent="0.3">
      <c r="B916" s="657">
        <v>24333</v>
      </c>
      <c r="C916" s="657">
        <v>1141.1999999999189</v>
      </c>
      <c r="D916" s="658">
        <v>24410</v>
      </c>
      <c r="E916" s="658">
        <v>1141.2999999999188</v>
      </c>
      <c r="G916" s="64">
        <v>1141.2999999999188</v>
      </c>
      <c r="H916" s="658">
        <v>24410</v>
      </c>
      <c r="I916" s="64">
        <v>1141.3999999999187</v>
      </c>
      <c r="J916" s="658">
        <v>24488</v>
      </c>
    </row>
    <row r="917" spans="2:10" ht="14.4" x14ac:dyDescent="0.3">
      <c r="B917" s="657">
        <v>24410</v>
      </c>
      <c r="C917" s="657">
        <v>1141.2999999999188</v>
      </c>
      <c r="D917" s="658">
        <v>24488</v>
      </c>
      <c r="E917" s="658">
        <v>1141.3999999999187</v>
      </c>
      <c r="G917" s="64">
        <v>1141.3999999999187</v>
      </c>
      <c r="H917" s="658">
        <v>24488</v>
      </c>
      <c r="I917" s="64">
        <v>1141.4999999999186</v>
      </c>
      <c r="J917" s="658">
        <v>24565</v>
      </c>
    </row>
    <row r="918" spans="2:10" ht="14.4" x14ac:dyDescent="0.3">
      <c r="B918" s="657">
        <v>24488</v>
      </c>
      <c r="C918" s="657">
        <v>1141.3999999999187</v>
      </c>
      <c r="D918" s="658">
        <v>24565</v>
      </c>
      <c r="E918" s="658">
        <v>1141.4999999999186</v>
      </c>
      <c r="G918" s="64">
        <v>1141.4999999999186</v>
      </c>
      <c r="H918" s="658">
        <v>24565</v>
      </c>
      <c r="I918" s="64">
        <v>1141.5999999999185</v>
      </c>
      <c r="J918" s="658">
        <v>24642</v>
      </c>
    </row>
    <row r="919" spans="2:10" ht="14.4" x14ac:dyDescent="0.3">
      <c r="B919" s="657">
        <v>24565</v>
      </c>
      <c r="C919" s="657">
        <v>1141.4999999999186</v>
      </c>
      <c r="D919" s="658">
        <v>24642</v>
      </c>
      <c r="E919" s="658">
        <v>1141.5999999999185</v>
      </c>
      <c r="G919" s="64">
        <v>1141.5999999999185</v>
      </c>
      <c r="H919" s="658">
        <v>24642</v>
      </c>
      <c r="I919" s="64">
        <v>1141.6999999999184</v>
      </c>
      <c r="J919" s="658">
        <v>24720</v>
      </c>
    </row>
    <row r="920" spans="2:10" ht="14.4" x14ac:dyDescent="0.3">
      <c r="B920" s="657">
        <v>24642</v>
      </c>
      <c r="C920" s="657">
        <v>1141.5999999999185</v>
      </c>
      <c r="D920" s="658">
        <v>24720</v>
      </c>
      <c r="E920" s="658">
        <v>1141.6999999999184</v>
      </c>
      <c r="G920" s="64">
        <v>1141.6999999999184</v>
      </c>
      <c r="H920" s="658">
        <v>24720</v>
      </c>
      <c r="I920" s="64">
        <v>1141.7999999999183</v>
      </c>
      <c r="J920" s="658">
        <v>24797</v>
      </c>
    </row>
    <row r="921" spans="2:10" ht="14.4" x14ac:dyDescent="0.3">
      <c r="B921" s="657">
        <v>24720</v>
      </c>
      <c r="C921" s="657">
        <v>1141.6999999999184</v>
      </c>
      <c r="D921" s="658">
        <v>24797</v>
      </c>
      <c r="E921" s="658">
        <v>1141.7999999999183</v>
      </c>
      <c r="G921" s="64">
        <v>1141.7999999999183</v>
      </c>
      <c r="H921" s="658">
        <v>24797</v>
      </c>
      <c r="I921" s="64">
        <v>1141.8999999999182</v>
      </c>
      <c r="J921" s="658">
        <v>24875</v>
      </c>
    </row>
    <row r="922" spans="2:10" ht="14.4" x14ac:dyDescent="0.3">
      <c r="B922" s="657">
        <v>24797</v>
      </c>
      <c r="C922" s="657">
        <v>1141.7999999999183</v>
      </c>
      <c r="D922" s="658">
        <v>24875</v>
      </c>
      <c r="E922" s="658">
        <v>1141.8999999999182</v>
      </c>
      <c r="G922" s="64">
        <v>1141.8999999999182</v>
      </c>
      <c r="H922" s="658">
        <v>24875</v>
      </c>
      <c r="I922" s="64">
        <v>1141.9999999999181</v>
      </c>
      <c r="J922" s="658">
        <v>24952</v>
      </c>
    </row>
    <row r="923" spans="2:10" ht="14.4" x14ac:dyDescent="0.3">
      <c r="B923" s="657">
        <v>24875</v>
      </c>
      <c r="C923" s="657">
        <v>1141.8999999999182</v>
      </c>
      <c r="D923" s="658">
        <v>24952</v>
      </c>
      <c r="E923" s="658">
        <v>1141.9999999999181</v>
      </c>
      <c r="G923" s="64">
        <v>1141.9999999999181</v>
      </c>
      <c r="H923" s="658">
        <v>24952</v>
      </c>
      <c r="I923" s="64">
        <v>1142.0999999999181</v>
      </c>
      <c r="J923" s="658">
        <v>25031</v>
      </c>
    </row>
    <row r="924" spans="2:10" ht="14.4" x14ac:dyDescent="0.3">
      <c r="B924" s="657">
        <v>24952</v>
      </c>
      <c r="C924" s="657">
        <v>1141.9999999999181</v>
      </c>
      <c r="D924" s="658">
        <v>25031</v>
      </c>
      <c r="E924" s="658">
        <v>1142.0999999999181</v>
      </c>
      <c r="G924" s="64">
        <v>1142.0999999999181</v>
      </c>
      <c r="H924" s="658">
        <v>25031</v>
      </c>
      <c r="I924" s="64">
        <v>1142.199999999918</v>
      </c>
      <c r="J924" s="658">
        <v>25111</v>
      </c>
    </row>
    <row r="925" spans="2:10" ht="14.4" x14ac:dyDescent="0.3">
      <c r="B925" s="657">
        <v>25031</v>
      </c>
      <c r="C925" s="657">
        <v>1142.0999999999181</v>
      </c>
      <c r="D925" s="658">
        <v>25111</v>
      </c>
      <c r="E925" s="658">
        <v>1142.199999999918</v>
      </c>
      <c r="G925" s="64">
        <v>1142.199999999918</v>
      </c>
      <c r="H925" s="658">
        <v>25111</v>
      </c>
      <c r="I925" s="64">
        <v>1142.2999999999179</v>
      </c>
      <c r="J925" s="658">
        <v>25190</v>
      </c>
    </row>
    <row r="926" spans="2:10" ht="14.4" x14ac:dyDescent="0.3">
      <c r="B926" s="657">
        <v>25111</v>
      </c>
      <c r="C926" s="657">
        <v>1142.199999999918</v>
      </c>
      <c r="D926" s="658">
        <v>25190</v>
      </c>
      <c r="E926" s="658">
        <v>1142.2999999999179</v>
      </c>
      <c r="G926" s="64">
        <v>1142.2999999999179</v>
      </c>
      <c r="H926" s="658">
        <v>25190</v>
      </c>
      <c r="I926" s="64">
        <v>1142.3999999999178</v>
      </c>
      <c r="J926" s="658">
        <v>25269</v>
      </c>
    </row>
    <row r="927" spans="2:10" ht="14.4" x14ac:dyDescent="0.3">
      <c r="B927" s="657">
        <v>25190</v>
      </c>
      <c r="C927" s="657">
        <v>1142.2999999999179</v>
      </c>
      <c r="D927" s="658">
        <v>25269</v>
      </c>
      <c r="E927" s="658">
        <v>1142.3999999999178</v>
      </c>
      <c r="G927" s="64">
        <v>1142.3999999999178</v>
      </c>
      <c r="H927" s="658">
        <v>25269</v>
      </c>
      <c r="I927" s="64">
        <v>1142.4999999999177</v>
      </c>
      <c r="J927" s="658">
        <v>25349</v>
      </c>
    </row>
    <row r="928" spans="2:10" ht="14.4" x14ac:dyDescent="0.3">
      <c r="B928" s="657">
        <v>25269</v>
      </c>
      <c r="C928" s="657">
        <v>1142.3999999999178</v>
      </c>
      <c r="D928" s="658">
        <v>25349</v>
      </c>
      <c r="E928" s="658">
        <v>1142.4999999999177</v>
      </c>
      <c r="G928" s="64">
        <v>1142.4999999999177</v>
      </c>
      <c r="H928" s="658">
        <v>25349</v>
      </c>
      <c r="I928" s="64">
        <v>1142.5999999999176</v>
      </c>
      <c r="J928" s="658">
        <v>25428</v>
      </c>
    </row>
    <row r="929" spans="2:10" ht="14.4" x14ac:dyDescent="0.3">
      <c r="B929" s="657">
        <v>25349</v>
      </c>
      <c r="C929" s="657">
        <v>1142.4999999999177</v>
      </c>
      <c r="D929" s="658">
        <v>25428</v>
      </c>
      <c r="E929" s="658">
        <v>1142.5999999999176</v>
      </c>
      <c r="G929" s="64">
        <v>1142.5999999999176</v>
      </c>
      <c r="H929" s="658">
        <v>25428</v>
      </c>
      <c r="I929" s="64">
        <v>1142.6999999999175</v>
      </c>
      <c r="J929" s="658">
        <v>25507</v>
      </c>
    </row>
    <row r="930" spans="2:10" ht="14.4" x14ac:dyDescent="0.3">
      <c r="B930" s="657">
        <v>25428</v>
      </c>
      <c r="C930" s="657">
        <v>1142.5999999999176</v>
      </c>
      <c r="D930" s="658">
        <v>25507</v>
      </c>
      <c r="E930" s="658">
        <v>1142.6999999999175</v>
      </c>
      <c r="G930" s="64">
        <v>1142.6999999999175</v>
      </c>
      <c r="H930" s="658">
        <v>25507</v>
      </c>
      <c r="I930" s="64">
        <v>1142.7999999999174</v>
      </c>
      <c r="J930" s="658">
        <v>25586</v>
      </c>
    </row>
    <row r="931" spans="2:10" ht="14.4" x14ac:dyDescent="0.3">
      <c r="B931" s="657">
        <v>25507</v>
      </c>
      <c r="C931" s="657">
        <v>1142.6999999999175</v>
      </c>
      <c r="D931" s="658">
        <v>25586</v>
      </c>
      <c r="E931" s="658">
        <v>1142.7999999999174</v>
      </c>
      <c r="G931" s="64">
        <v>1142.7999999999174</v>
      </c>
      <c r="H931" s="658">
        <v>25586</v>
      </c>
      <c r="I931" s="64">
        <v>1142.8999999999173</v>
      </c>
      <c r="J931" s="658">
        <v>25666</v>
      </c>
    </row>
    <row r="932" spans="2:10" ht="14.4" x14ac:dyDescent="0.3">
      <c r="B932" s="657">
        <v>25586</v>
      </c>
      <c r="C932" s="657">
        <v>1142.7999999999174</v>
      </c>
      <c r="D932" s="658">
        <v>25666</v>
      </c>
      <c r="E932" s="658">
        <v>1142.8999999999173</v>
      </c>
      <c r="G932" s="64">
        <v>1142.8999999999173</v>
      </c>
      <c r="H932" s="658">
        <v>25666</v>
      </c>
      <c r="I932" s="64">
        <v>1142.9999999999172</v>
      </c>
      <c r="J932" s="658">
        <v>25745</v>
      </c>
    </row>
    <row r="933" spans="2:10" ht="14.4" x14ac:dyDescent="0.3">
      <c r="B933" s="657">
        <v>25666</v>
      </c>
      <c r="C933" s="657">
        <v>1142.8999999999173</v>
      </c>
      <c r="D933" s="658">
        <v>25745</v>
      </c>
      <c r="E933" s="658">
        <v>1142.9999999999172</v>
      </c>
      <c r="G933" s="64">
        <v>1142.9999999999172</v>
      </c>
      <c r="H933" s="658">
        <v>25745</v>
      </c>
      <c r="I933" s="64">
        <v>1143.0999999999171</v>
      </c>
      <c r="J933" s="658">
        <v>25826</v>
      </c>
    </row>
    <row r="934" spans="2:10" ht="14.4" x14ac:dyDescent="0.3">
      <c r="B934" s="657">
        <v>25745</v>
      </c>
      <c r="C934" s="657">
        <v>1142.9999999999172</v>
      </c>
      <c r="D934" s="658">
        <v>25826</v>
      </c>
      <c r="E934" s="658">
        <v>1143.0999999999171</v>
      </c>
      <c r="G934" s="64">
        <v>1143.0999999999171</v>
      </c>
      <c r="H934" s="658">
        <v>25826</v>
      </c>
      <c r="I934" s="64">
        <v>1143.1999999999171</v>
      </c>
      <c r="J934" s="658">
        <v>25908</v>
      </c>
    </row>
    <row r="935" spans="2:10" ht="14.4" x14ac:dyDescent="0.3">
      <c r="B935" s="657">
        <v>25826</v>
      </c>
      <c r="C935" s="657">
        <v>1143.0999999999171</v>
      </c>
      <c r="D935" s="658">
        <v>25908</v>
      </c>
      <c r="E935" s="658">
        <v>1143.1999999999171</v>
      </c>
      <c r="G935" s="64">
        <v>1143.1999999999171</v>
      </c>
      <c r="H935" s="658">
        <v>25908</v>
      </c>
      <c r="I935" s="64">
        <v>1143.299999999917</v>
      </c>
      <c r="J935" s="658">
        <v>25989</v>
      </c>
    </row>
    <row r="936" spans="2:10" ht="14.4" x14ac:dyDescent="0.3">
      <c r="B936" s="657">
        <v>25908</v>
      </c>
      <c r="C936" s="657">
        <v>1143.1999999999171</v>
      </c>
      <c r="D936" s="658">
        <v>25989</v>
      </c>
      <c r="E936" s="658">
        <v>1143.299999999917</v>
      </c>
      <c r="G936" s="64">
        <v>1143.299999999917</v>
      </c>
      <c r="H936" s="658">
        <v>25989</v>
      </c>
      <c r="I936" s="64">
        <v>1143.3999999999169</v>
      </c>
      <c r="J936" s="658">
        <v>26071</v>
      </c>
    </row>
    <row r="937" spans="2:10" ht="14.4" x14ac:dyDescent="0.3">
      <c r="B937" s="657">
        <v>25989</v>
      </c>
      <c r="C937" s="657">
        <v>1143.299999999917</v>
      </c>
      <c r="D937" s="658">
        <v>26071</v>
      </c>
      <c r="E937" s="658">
        <v>1143.3999999999169</v>
      </c>
      <c r="G937" s="64">
        <v>1143.3999999999169</v>
      </c>
      <c r="H937" s="658">
        <v>26071</v>
      </c>
      <c r="I937" s="64">
        <v>1143.4999999999168</v>
      </c>
      <c r="J937" s="658">
        <v>26152</v>
      </c>
    </row>
    <row r="938" spans="2:10" ht="14.4" x14ac:dyDescent="0.3">
      <c r="B938" s="657">
        <v>26071</v>
      </c>
      <c r="C938" s="657">
        <v>1143.3999999999169</v>
      </c>
      <c r="D938" s="658">
        <v>26152</v>
      </c>
      <c r="E938" s="658">
        <v>1143.4999999999168</v>
      </c>
      <c r="G938" s="64">
        <v>1143.4999999999168</v>
      </c>
      <c r="H938" s="658">
        <v>26152</v>
      </c>
      <c r="I938" s="64">
        <v>1143.5999999999167</v>
      </c>
      <c r="J938" s="658">
        <v>26233</v>
      </c>
    </row>
    <row r="939" spans="2:10" ht="14.4" x14ac:dyDescent="0.3">
      <c r="B939" s="657">
        <v>26152</v>
      </c>
      <c r="C939" s="657">
        <v>1143.4999999999168</v>
      </c>
      <c r="D939" s="658">
        <v>26233</v>
      </c>
      <c r="E939" s="658">
        <v>1143.5999999999167</v>
      </c>
      <c r="G939" s="64">
        <v>1143.5999999999167</v>
      </c>
      <c r="H939" s="658">
        <v>26233</v>
      </c>
      <c r="I939" s="64">
        <v>1143.6999999999166</v>
      </c>
      <c r="J939" s="658">
        <v>26315</v>
      </c>
    </row>
    <row r="940" spans="2:10" ht="14.4" x14ac:dyDescent="0.3">
      <c r="B940" s="657">
        <v>26233</v>
      </c>
      <c r="C940" s="657">
        <v>1143.5999999999167</v>
      </c>
      <c r="D940" s="658">
        <v>26315</v>
      </c>
      <c r="E940" s="658">
        <v>1143.6999999999166</v>
      </c>
      <c r="G940" s="64">
        <v>1143.6999999999166</v>
      </c>
      <c r="H940" s="658">
        <v>26315</v>
      </c>
      <c r="I940" s="64">
        <v>1143.7999999999165</v>
      </c>
      <c r="J940" s="658">
        <v>26396</v>
      </c>
    </row>
    <row r="941" spans="2:10" ht="14.4" x14ac:dyDescent="0.3">
      <c r="B941" s="657">
        <v>26315</v>
      </c>
      <c r="C941" s="657">
        <v>1143.6999999999166</v>
      </c>
      <c r="D941" s="658">
        <v>26396</v>
      </c>
      <c r="E941" s="658">
        <v>1143.7999999999165</v>
      </c>
      <c r="G941" s="64">
        <v>1143.7999999999165</v>
      </c>
      <c r="H941" s="658">
        <v>26396</v>
      </c>
      <c r="I941" s="64">
        <v>1143.8999999999164</v>
      </c>
      <c r="J941" s="658">
        <v>26478</v>
      </c>
    </row>
    <row r="942" spans="2:10" ht="14.4" x14ac:dyDescent="0.3">
      <c r="B942" s="657">
        <v>26396</v>
      </c>
      <c r="C942" s="657">
        <v>1143.7999999999165</v>
      </c>
      <c r="D942" s="658">
        <v>26478</v>
      </c>
      <c r="E942" s="658">
        <v>1143.8999999999164</v>
      </c>
      <c r="G942" s="64">
        <v>1143.8999999999164</v>
      </c>
      <c r="H942" s="658">
        <v>26478</v>
      </c>
      <c r="I942" s="64">
        <v>1143.9999999999163</v>
      </c>
      <c r="J942" s="658">
        <v>26559</v>
      </c>
    </row>
    <row r="943" spans="2:10" ht="14.4" x14ac:dyDescent="0.3">
      <c r="B943" s="657">
        <v>26478</v>
      </c>
      <c r="C943" s="657">
        <v>1143.8999999999164</v>
      </c>
      <c r="D943" s="658">
        <v>26559</v>
      </c>
      <c r="E943" s="658">
        <v>1143.9999999999163</v>
      </c>
      <c r="G943" s="64">
        <v>1143.9999999999163</v>
      </c>
      <c r="H943" s="658">
        <v>26559</v>
      </c>
      <c r="I943" s="64">
        <v>1144.0999999999162</v>
      </c>
      <c r="J943" s="658">
        <v>26642</v>
      </c>
    </row>
    <row r="944" spans="2:10" ht="14.4" x14ac:dyDescent="0.3">
      <c r="B944" s="657">
        <v>26559</v>
      </c>
      <c r="C944" s="657">
        <v>1143.9999999999163</v>
      </c>
      <c r="D944" s="658">
        <v>26642</v>
      </c>
      <c r="E944" s="658">
        <v>1144.0999999999162</v>
      </c>
      <c r="G944" s="64">
        <v>1144.0999999999162</v>
      </c>
      <c r="H944" s="658">
        <v>26642</v>
      </c>
      <c r="I944" s="64">
        <v>1144.1999999999161</v>
      </c>
      <c r="J944" s="658">
        <v>26726</v>
      </c>
    </row>
    <row r="945" spans="2:10" ht="14.4" x14ac:dyDescent="0.3">
      <c r="B945" s="657">
        <v>26642</v>
      </c>
      <c r="C945" s="657">
        <v>1144.0999999999162</v>
      </c>
      <c r="D945" s="658">
        <v>26726</v>
      </c>
      <c r="E945" s="658">
        <v>1144.1999999999161</v>
      </c>
      <c r="G945" s="64">
        <v>1144.1999999999161</v>
      </c>
      <c r="H945" s="658">
        <v>26726</v>
      </c>
      <c r="I945" s="64">
        <v>1144.2999999999161</v>
      </c>
      <c r="J945" s="658">
        <v>26809</v>
      </c>
    </row>
    <row r="946" spans="2:10" ht="14.4" x14ac:dyDescent="0.3">
      <c r="B946" s="657">
        <v>26726</v>
      </c>
      <c r="C946" s="657">
        <v>1144.1999999999161</v>
      </c>
      <c r="D946" s="658">
        <v>26809</v>
      </c>
      <c r="E946" s="658">
        <v>1144.2999999999161</v>
      </c>
      <c r="G946" s="64">
        <v>1144.2999999999161</v>
      </c>
      <c r="H946" s="658">
        <v>26809</v>
      </c>
      <c r="I946" s="64">
        <v>1144.399999999916</v>
      </c>
      <c r="J946" s="658">
        <v>26893</v>
      </c>
    </row>
    <row r="947" spans="2:10" ht="14.4" x14ac:dyDescent="0.3">
      <c r="B947" s="657">
        <v>26809</v>
      </c>
      <c r="C947" s="657">
        <v>1144.2999999999161</v>
      </c>
      <c r="D947" s="658">
        <v>26893</v>
      </c>
      <c r="E947" s="658">
        <v>1144.399999999916</v>
      </c>
      <c r="G947" s="64">
        <v>1144.399999999916</v>
      </c>
      <c r="H947" s="658">
        <v>26893</v>
      </c>
      <c r="I947" s="64">
        <v>1144.4999999999159</v>
      </c>
      <c r="J947" s="658">
        <v>26976</v>
      </c>
    </row>
    <row r="948" spans="2:10" ht="14.4" x14ac:dyDescent="0.3">
      <c r="B948" s="657">
        <v>26893</v>
      </c>
      <c r="C948" s="657">
        <v>1144.399999999916</v>
      </c>
      <c r="D948" s="658">
        <v>26976</v>
      </c>
      <c r="E948" s="658">
        <v>1144.4999999999159</v>
      </c>
      <c r="G948" s="64">
        <v>1144.4999999999159</v>
      </c>
      <c r="H948" s="658">
        <v>26976</v>
      </c>
      <c r="I948" s="64">
        <v>1144.5999999999158</v>
      </c>
      <c r="J948" s="658">
        <v>27059</v>
      </c>
    </row>
    <row r="949" spans="2:10" ht="14.4" x14ac:dyDescent="0.3">
      <c r="B949" s="657">
        <v>26976</v>
      </c>
      <c r="C949" s="657">
        <v>1144.4999999999159</v>
      </c>
      <c r="D949" s="658">
        <v>27059</v>
      </c>
      <c r="E949" s="658">
        <v>1144.5999999999158</v>
      </c>
      <c r="G949" s="64">
        <v>1144.5999999999158</v>
      </c>
      <c r="H949" s="658">
        <v>27059</v>
      </c>
      <c r="I949" s="64">
        <v>1144.6999999999157</v>
      </c>
      <c r="J949" s="658">
        <v>27143</v>
      </c>
    </row>
    <row r="950" spans="2:10" ht="14.4" x14ac:dyDescent="0.3">
      <c r="B950" s="657">
        <v>27059</v>
      </c>
      <c r="C950" s="657">
        <v>1144.5999999999158</v>
      </c>
      <c r="D950" s="658">
        <v>27143</v>
      </c>
      <c r="E950" s="658">
        <v>1144.6999999999157</v>
      </c>
      <c r="G950" s="64">
        <v>1144.6999999999157</v>
      </c>
      <c r="H950" s="658">
        <v>27143</v>
      </c>
      <c r="I950" s="64">
        <v>1144.7999999999156</v>
      </c>
      <c r="J950" s="658">
        <v>27226</v>
      </c>
    </row>
    <row r="951" spans="2:10" ht="14.4" x14ac:dyDescent="0.3">
      <c r="B951" s="657">
        <v>27143</v>
      </c>
      <c r="C951" s="657">
        <v>1144.6999999999157</v>
      </c>
      <c r="D951" s="658">
        <v>27226</v>
      </c>
      <c r="E951" s="658">
        <v>1144.7999999999156</v>
      </c>
      <c r="G951" s="64">
        <v>1144.7999999999156</v>
      </c>
      <c r="H951" s="658">
        <v>27226</v>
      </c>
      <c r="I951" s="64">
        <v>1144.8999999999155</v>
      </c>
      <c r="J951" s="658">
        <v>27310</v>
      </c>
    </row>
    <row r="952" spans="2:10" ht="14.4" x14ac:dyDescent="0.3">
      <c r="B952" s="657">
        <v>27226</v>
      </c>
      <c r="C952" s="657">
        <v>1144.7999999999156</v>
      </c>
      <c r="D952" s="658">
        <v>27310</v>
      </c>
      <c r="E952" s="658">
        <v>1144.8999999999155</v>
      </c>
      <c r="G952" s="64">
        <v>1144.8999999999155</v>
      </c>
      <c r="H952" s="658">
        <v>27310</v>
      </c>
      <c r="I952" s="64">
        <v>1144.9999999999154</v>
      </c>
      <c r="J952" s="658">
        <v>27393</v>
      </c>
    </row>
    <row r="953" spans="2:10" ht="14.4" x14ac:dyDescent="0.3">
      <c r="B953" s="657">
        <v>27310</v>
      </c>
      <c r="C953" s="657">
        <v>1144.8999999999155</v>
      </c>
      <c r="D953" s="658">
        <v>27393</v>
      </c>
      <c r="E953" s="658">
        <v>1144.9999999999154</v>
      </c>
      <c r="G953" s="64">
        <v>1144.9999999999154</v>
      </c>
      <c r="H953" s="658">
        <v>27393</v>
      </c>
      <c r="I953" s="64">
        <v>1145.0999999999153</v>
      </c>
      <c r="J953" s="658">
        <v>27478</v>
      </c>
    </row>
    <row r="954" spans="2:10" ht="14.4" x14ac:dyDescent="0.3">
      <c r="B954" s="657">
        <v>27393</v>
      </c>
      <c r="C954" s="657">
        <v>1144.9999999999154</v>
      </c>
      <c r="D954" s="658">
        <v>27478</v>
      </c>
      <c r="E954" s="658">
        <v>1145.0999999999153</v>
      </c>
      <c r="G954" s="64">
        <v>1145.0999999999153</v>
      </c>
      <c r="H954" s="658">
        <v>27478</v>
      </c>
      <c r="I954" s="64">
        <v>1145.1999999999152</v>
      </c>
      <c r="J954" s="658">
        <v>27563</v>
      </c>
    </row>
    <row r="955" spans="2:10" ht="14.4" x14ac:dyDescent="0.3">
      <c r="B955" s="657">
        <v>27478</v>
      </c>
      <c r="C955" s="657">
        <v>1145.0999999999153</v>
      </c>
      <c r="D955" s="658">
        <v>27563</v>
      </c>
      <c r="E955" s="658">
        <v>1145.1999999999152</v>
      </c>
      <c r="G955" s="64">
        <v>1145.1999999999152</v>
      </c>
      <c r="H955" s="658">
        <v>27563</v>
      </c>
      <c r="I955" s="64">
        <v>1145.2999999999151</v>
      </c>
      <c r="J955" s="658">
        <v>27649</v>
      </c>
    </row>
    <row r="956" spans="2:10" ht="14.4" x14ac:dyDescent="0.3">
      <c r="B956" s="657">
        <v>27563</v>
      </c>
      <c r="C956" s="657">
        <v>1145.1999999999152</v>
      </c>
      <c r="D956" s="658">
        <v>27649</v>
      </c>
      <c r="E956" s="658">
        <v>1145.2999999999151</v>
      </c>
      <c r="G956" s="64">
        <v>1145.2999999999151</v>
      </c>
      <c r="H956" s="658">
        <v>27649</v>
      </c>
      <c r="I956" s="64">
        <v>1145.3999999999151</v>
      </c>
      <c r="J956" s="658">
        <v>27734</v>
      </c>
    </row>
    <row r="957" spans="2:10" ht="14.4" x14ac:dyDescent="0.3">
      <c r="B957" s="657">
        <v>27649</v>
      </c>
      <c r="C957" s="657">
        <v>1145.2999999999151</v>
      </c>
      <c r="D957" s="658">
        <v>27734</v>
      </c>
      <c r="E957" s="658">
        <v>1145.3999999999151</v>
      </c>
      <c r="G957" s="64">
        <v>1145.3999999999151</v>
      </c>
      <c r="H957" s="658">
        <v>27734</v>
      </c>
      <c r="I957" s="64">
        <v>1145.499999999915</v>
      </c>
      <c r="J957" s="658">
        <v>27819</v>
      </c>
    </row>
    <row r="958" spans="2:10" ht="14.4" x14ac:dyDescent="0.3">
      <c r="B958" s="657">
        <v>27734</v>
      </c>
      <c r="C958" s="657">
        <v>1145.3999999999151</v>
      </c>
      <c r="D958" s="658">
        <v>27819</v>
      </c>
      <c r="E958" s="658">
        <v>1145.499999999915</v>
      </c>
      <c r="G958" s="64">
        <v>1145.499999999915</v>
      </c>
      <c r="H958" s="658">
        <v>27819</v>
      </c>
      <c r="I958" s="64">
        <v>1145.5999999999149</v>
      </c>
      <c r="J958" s="658">
        <v>27904</v>
      </c>
    </row>
    <row r="959" spans="2:10" ht="14.4" x14ac:dyDescent="0.3">
      <c r="B959" s="657">
        <v>27819</v>
      </c>
      <c r="C959" s="657">
        <v>1145.499999999915</v>
      </c>
      <c r="D959" s="658">
        <v>27904</v>
      </c>
      <c r="E959" s="658">
        <v>1145.5999999999149</v>
      </c>
      <c r="G959" s="64">
        <v>1145.5999999999149</v>
      </c>
      <c r="H959" s="658">
        <v>27904</v>
      </c>
      <c r="I959" s="64">
        <v>1145.6999999999148</v>
      </c>
      <c r="J959" s="658">
        <v>27989</v>
      </c>
    </row>
    <row r="960" spans="2:10" ht="14.4" x14ac:dyDescent="0.3">
      <c r="B960" s="657">
        <v>27904</v>
      </c>
      <c r="C960" s="657">
        <v>1145.5999999999149</v>
      </c>
      <c r="D960" s="658">
        <v>27989</v>
      </c>
      <c r="E960" s="658">
        <v>1145.6999999999148</v>
      </c>
      <c r="G960" s="64">
        <v>1145.6999999999148</v>
      </c>
      <c r="H960" s="658">
        <v>27989</v>
      </c>
      <c r="I960" s="64">
        <v>1145.7999999999147</v>
      </c>
      <c r="J960" s="658">
        <v>28075</v>
      </c>
    </row>
    <row r="961" spans="2:10" ht="14.4" x14ac:dyDescent="0.3">
      <c r="B961" s="657">
        <v>27989</v>
      </c>
      <c r="C961" s="657">
        <v>1145.6999999999148</v>
      </c>
      <c r="D961" s="658">
        <v>28075</v>
      </c>
      <c r="E961" s="658">
        <v>1145.7999999999147</v>
      </c>
      <c r="G961" s="64">
        <v>1145.7999999999147</v>
      </c>
      <c r="H961" s="658">
        <v>28075</v>
      </c>
      <c r="I961" s="64">
        <v>1145.8999999999146</v>
      </c>
      <c r="J961" s="658">
        <v>28160</v>
      </c>
    </row>
    <row r="962" spans="2:10" ht="14.4" x14ac:dyDescent="0.3">
      <c r="B962" s="657">
        <v>28075</v>
      </c>
      <c r="C962" s="657">
        <v>1145.7999999999147</v>
      </c>
      <c r="D962" s="658">
        <v>28160</v>
      </c>
      <c r="E962" s="658">
        <v>1145.8999999999146</v>
      </c>
      <c r="G962" s="64">
        <v>1145.8999999999146</v>
      </c>
      <c r="H962" s="658">
        <v>28160</v>
      </c>
      <c r="I962" s="64">
        <v>1145.9999999999145</v>
      </c>
      <c r="J962" s="658">
        <v>28245</v>
      </c>
    </row>
    <row r="963" spans="2:10" ht="14.4" x14ac:dyDescent="0.3">
      <c r="B963" s="657">
        <v>28160</v>
      </c>
      <c r="C963" s="657">
        <v>1145.8999999999146</v>
      </c>
      <c r="D963" s="658">
        <v>28245</v>
      </c>
      <c r="E963" s="658">
        <v>1145.9999999999145</v>
      </c>
      <c r="G963" s="64">
        <v>1145.9999999999145</v>
      </c>
      <c r="H963" s="658">
        <v>28245</v>
      </c>
      <c r="I963" s="64">
        <v>1146.0999999999144</v>
      </c>
      <c r="J963" s="658">
        <v>28332</v>
      </c>
    </row>
    <row r="964" spans="2:10" ht="14.4" x14ac:dyDescent="0.3">
      <c r="B964" s="657">
        <v>28245</v>
      </c>
      <c r="C964" s="657">
        <v>1145.9999999999145</v>
      </c>
      <c r="D964" s="658">
        <v>28332</v>
      </c>
      <c r="E964" s="658">
        <v>1146.0999999999144</v>
      </c>
      <c r="G964" s="64">
        <v>1146.0999999999144</v>
      </c>
      <c r="H964" s="658">
        <v>28332</v>
      </c>
      <c r="I964" s="64">
        <v>1146.1999999999143</v>
      </c>
      <c r="J964" s="658">
        <v>28418</v>
      </c>
    </row>
    <row r="965" spans="2:10" ht="14.4" x14ac:dyDescent="0.3">
      <c r="B965" s="657">
        <v>28332</v>
      </c>
      <c r="C965" s="657">
        <v>1146.0999999999144</v>
      </c>
      <c r="D965" s="658">
        <v>28418</v>
      </c>
      <c r="E965" s="658">
        <v>1146.1999999999143</v>
      </c>
      <c r="G965" s="64">
        <v>1146.1999999999143</v>
      </c>
      <c r="H965" s="658">
        <v>28418</v>
      </c>
      <c r="I965" s="64">
        <v>1146.2999999999142</v>
      </c>
      <c r="J965" s="658">
        <v>28505</v>
      </c>
    </row>
    <row r="966" spans="2:10" ht="14.4" x14ac:dyDescent="0.3">
      <c r="B966" s="657">
        <v>28418</v>
      </c>
      <c r="C966" s="657">
        <v>1146.1999999999143</v>
      </c>
      <c r="D966" s="658">
        <v>28505</v>
      </c>
      <c r="E966" s="658">
        <v>1146.2999999999142</v>
      </c>
      <c r="G966" s="64">
        <v>1146.2999999999142</v>
      </c>
      <c r="H966" s="658">
        <v>28505</v>
      </c>
      <c r="I966" s="64">
        <v>1146.3999999999141</v>
      </c>
      <c r="J966" s="658">
        <v>28591</v>
      </c>
    </row>
    <row r="967" spans="2:10" ht="14.4" x14ac:dyDescent="0.3">
      <c r="B967" s="657">
        <v>28505</v>
      </c>
      <c r="C967" s="657">
        <v>1146.2999999999142</v>
      </c>
      <c r="D967" s="658">
        <v>28591</v>
      </c>
      <c r="E967" s="658">
        <v>1146.3999999999141</v>
      </c>
      <c r="G967" s="64">
        <v>1146.3999999999141</v>
      </c>
      <c r="H967" s="658">
        <v>28591</v>
      </c>
      <c r="I967" s="64">
        <v>1146.4999999999141</v>
      </c>
      <c r="J967" s="658">
        <v>28678</v>
      </c>
    </row>
    <row r="968" spans="2:10" ht="14.4" x14ac:dyDescent="0.3">
      <c r="B968" s="657">
        <v>28591</v>
      </c>
      <c r="C968" s="657">
        <v>1146.3999999999141</v>
      </c>
      <c r="D968" s="658">
        <v>28678</v>
      </c>
      <c r="E968" s="658">
        <v>1146.4999999999141</v>
      </c>
      <c r="G968" s="64">
        <v>1146.4999999999141</v>
      </c>
      <c r="H968" s="658">
        <v>28678</v>
      </c>
      <c r="I968" s="64">
        <v>1146.599999999914</v>
      </c>
      <c r="J968" s="658">
        <v>28764</v>
      </c>
    </row>
    <row r="969" spans="2:10" ht="14.4" x14ac:dyDescent="0.3">
      <c r="B969" s="657">
        <v>28678</v>
      </c>
      <c r="C969" s="657">
        <v>1146.4999999999141</v>
      </c>
      <c r="D969" s="658">
        <v>28764</v>
      </c>
      <c r="E969" s="658">
        <v>1146.599999999914</v>
      </c>
      <c r="G969" s="64">
        <v>1146.599999999914</v>
      </c>
      <c r="H969" s="658">
        <v>28764</v>
      </c>
      <c r="I969" s="64">
        <v>1146.6999999999139</v>
      </c>
      <c r="J969" s="658">
        <v>28851</v>
      </c>
    </row>
    <row r="970" spans="2:10" ht="14.4" x14ac:dyDescent="0.3">
      <c r="B970" s="657">
        <v>28764</v>
      </c>
      <c r="C970" s="657">
        <v>1146.599999999914</v>
      </c>
      <c r="D970" s="658">
        <v>28851</v>
      </c>
      <c r="E970" s="658">
        <v>1146.6999999999139</v>
      </c>
      <c r="G970" s="64">
        <v>1146.6999999999139</v>
      </c>
      <c r="H970" s="658">
        <v>28851</v>
      </c>
      <c r="I970" s="64">
        <v>1146.7999999999138</v>
      </c>
      <c r="J970" s="658">
        <v>28937</v>
      </c>
    </row>
    <row r="971" spans="2:10" ht="14.4" x14ac:dyDescent="0.3">
      <c r="B971" s="657">
        <v>28851</v>
      </c>
      <c r="C971" s="657">
        <v>1146.6999999999139</v>
      </c>
      <c r="D971" s="658">
        <v>28937</v>
      </c>
      <c r="E971" s="658">
        <v>1146.7999999999138</v>
      </c>
      <c r="G971" s="64">
        <v>1146.7999999999138</v>
      </c>
      <c r="H971" s="658">
        <v>28937</v>
      </c>
      <c r="I971" s="64">
        <v>1146.8999999999137</v>
      </c>
      <c r="J971" s="658">
        <v>29024</v>
      </c>
    </row>
    <row r="972" spans="2:10" ht="14.4" x14ac:dyDescent="0.3">
      <c r="B972" s="657">
        <v>28937</v>
      </c>
      <c r="C972" s="657">
        <v>1146.7999999999138</v>
      </c>
      <c r="D972" s="658">
        <v>29024</v>
      </c>
      <c r="E972" s="658">
        <v>1146.8999999999137</v>
      </c>
      <c r="G972" s="64">
        <v>1146.8999999999137</v>
      </c>
      <c r="H972" s="658">
        <v>29024</v>
      </c>
      <c r="I972" s="64">
        <v>1146.9999999999136</v>
      </c>
      <c r="J972" s="658">
        <v>29110</v>
      </c>
    </row>
    <row r="973" spans="2:10" ht="14.4" x14ac:dyDescent="0.3">
      <c r="B973" s="657">
        <v>29024</v>
      </c>
      <c r="C973" s="657">
        <v>1146.8999999999137</v>
      </c>
      <c r="D973" s="658">
        <v>29110</v>
      </c>
      <c r="E973" s="658">
        <v>1146.9999999999136</v>
      </c>
      <c r="G973" s="64">
        <v>1146.9999999999136</v>
      </c>
      <c r="H973" s="658">
        <v>29110</v>
      </c>
      <c r="I973" s="64">
        <v>1147.0999999999135</v>
      </c>
      <c r="J973" s="658">
        <v>29198</v>
      </c>
    </row>
    <row r="974" spans="2:10" ht="14.4" x14ac:dyDescent="0.3">
      <c r="B974" s="657">
        <v>29110</v>
      </c>
      <c r="C974" s="657">
        <v>1146.9999999999136</v>
      </c>
      <c r="D974" s="658">
        <v>29198</v>
      </c>
      <c r="E974" s="658">
        <v>1147.0999999999135</v>
      </c>
      <c r="G974" s="64">
        <v>1147.0999999999135</v>
      </c>
      <c r="H974" s="658">
        <v>29198</v>
      </c>
      <c r="I974" s="64">
        <v>1147.1999999999134</v>
      </c>
      <c r="J974" s="658">
        <v>29286</v>
      </c>
    </row>
    <row r="975" spans="2:10" ht="14.4" x14ac:dyDescent="0.3">
      <c r="B975" s="657">
        <v>29198</v>
      </c>
      <c r="C975" s="657">
        <v>1147.0999999999135</v>
      </c>
      <c r="D975" s="658">
        <v>29286</v>
      </c>
      <c r="E975" s="658">
        <v>1147.1999999999134</v>
      </c>
      <c r="G975" s="64">
        <v>1147.1999999999134</v>
      </c>
      <c r="H975" s="658">
        <v>29286</v>
      </c>
      <c r="I975" s="64">
        <v>1147.2999999999133</v>
      </c>
      <c r="J975" s="658">
        <v>29373</v>
      </c>
    </row>
    <row r="976" spans="2:10" ht="14.4" x14ac:dyDescent="0.3">
      <c r="B976" s="657">
        <v>29286</v>
      </c>
      <c r="C976" s="657">
        <v>1147.1999999999134</v>
      </c>
      <c r="D976" s="658">
        <v>29373</v>
      </c>
      <c r="E976" s="658">
        <v>1147.2999999999133</v>
      </c>
      <c r="G976" s="64">
        <v>1147.2999999999133</v>
      </c>
      <c r="H976" s="658">
        <v>29373</v>
      </c>
      <c r="I976" s="64">
        <v>1147.3999999999132</v>
      </c>
      <c r="J976" s="658">
        <v>29461</v>
      </c>
    </row>
    <row r="977" spans="2:10" ht="14.4" x14ac:dyDescent="0.3">
      <c r="B977" s="657">
        <v>29373</v>
      </c>
      <c r="C977" s="657">
        <v>1147.2999999999133</v>
      </c>
      <c r="D977" s="658">
        <v>29461</v>
      </c>
      <c r="E977" s="658">
        <v>1147.3999999999132</v>
      </c>
      <c r="G977" s="64">
        <v>1147.3999999999132</v>
      </c>
      <c r="H977" s="658">
        <v>29461</v>
      </c>
      <c r="I977" s="64">
        <v>1147.4999999999131</v>
      </c>
      <c r="J977" s="658">
        <v>29549</v>
      </c>
    </row>
    <row r="978" spans="2:10" ht="14.4" x14ac:dyDescent="0.3">
      <c r="B978" s="657">
        <v>29461</v>
      </c>
      <c r="C978" s="657">
        <v>1147.3999999999132</v>
      </c>
      <c r="D978" s="658">
        <v>29549</v>
      </c>
      <c r="E978" s="658">
        <v>1147.4999999999131</v>
      </c>
      <c r="G978" s="64">
        <v>1147.4999999999131</v>
      </c>
      <c r="H978" s="658">
        <v>29549</v>
      </c>
      <c r="I978" s="64">
        <v>1147.5999999999131</v>
      </c>
      <c r="J978" s="658">
        <v>29637</v>
      </c>
    </row>
    <row r="979" spans="2:10" ht="14.4" x14ac:dyDescent="0.3">
      <c r="B979" s="657">
        <v>29549</v>
      </c>
      <c r="C979" s="657">
        <v>1147.4999999999131</v>
      </c>
      <c r="D979" s="658">
        <v>29637</v>
      </c>
      <c r="E979" s="658">
        <v>1147.5999999999131</v>
      </c>
      <c r="G979" s="64">
        <v>1147.5999999999131</v>
      </c>
      <c r="H979" s="658">
        <v>29637</v>
      </c>
      <c r="I979" s="64">
        <v>1147.699999999913</v>
      </c>
      <c r="J979" s="658">
        <v>29725</v>
      </c>
    </row>
    <row r="980" spans="2:10" ht="14.4" x14ac:dyDescent="0.3">
      <c r="B980" s="657">
        <v>29637</v>
      </c>
      <c r="C980" s="657">
        <v>1147.5999999999131</v>
      </c>
      <c r="D980" s="658">
        <v>29725</v>
      </c>
      <c r="E980" s="658">
        <v>1147.699999999913</v>
      </c>
      <c r="G980" s="64">
        <v>1147.699999999913</v>
      </c>
      <c r="H980" s="658">
        <v>29725</v>
      </c>
      <c r="I980" s="64">
        <v>1147.7999999999129</v>
      </c>
      <c r="J980" s="658">
        <v>29812</v>
      </c>
    </row>
    <row r="981" spans="2:10" ht="14.4" x14ac:dyDescent="0.3">
      <c r="B981" s="657">
        <v>29725</v>
      </c>
      <c r="C981" s="657">
        <v>1147.699999999913</v>
      </c>
      <c r="D981" s="658">
        <v>29812</v>
      </c>
      <c r="E981" s="658">
        <v>1147.7999999999129</v>
      </c>
      <c r="G981" s="64">
        <v>1147.7999999999129</v>
      </c>
      <c r="H981" s="658">
        <v>29812</v>
      </c>
      <c r="I981" s="64">
        <v>1147.8999999999128</v>
      </c>
      <c r="J981" s="658">
        <v>29900</v>
      </c>
    </row>
    <row r="982" spans="2:10" ht="14.4" x14ac:dyDescent="0.3">
      <c r="B982" s="657">
        <v>29812</v>
      </c>
      <c r="C982" s="657">
        <v>1147.7999999999129</v>
      </c>
      <c r="D982" s="658">
        <v>29900</v>
      </c>
      <c r="E982" s="658">
        <v>1147.8999999999128</v>
      </c>
      <c r="G982" s="64">
        <v>1147.8999999999128</v>
      </c>
      <c r="H982" s="658">
        <v>29900</v>
      </c>
      <c r="I982" s="64">
        <v>1147.9999999999127</v>
      </c>
      <c r="J982" s="658">
        <v>29988</v>
      </c>
    </row>
    <row r="983" spans="2:10" ht="14.4" x14ac:dyDescent="0.3">
      <c r="B983" s="657">
        <v>29900</v>
      </c>
      <c r="C983" s="657">
        <v>1147.8999999999128</v>
      </c>
      <c r="D983" s="658">
        <v>29988</v>
      </c>
      <c r="E983" s="658">
        <v>1147.9999999999127</v>
      </c>
      <c r="G983" s="64">
        <v>1147.9999999999127</v>
      </c>
      <c r="H983" s="658">
        <v>29988</v>
      </c>
      <c r="I983" s="64">
        <v>1148.0999999999126</v>
      </c>
      <c r="J983" s="658">
        <v>30077</v>
      </c>
    </row>
    <row r="984" spans="2:10" ht="14.4" x14ac:dyDescent="0.3">
      <c r="B984" s="657">
        <v>29988</v>
      </c>
      <c r="C984" s="657">
        <v>1147.9999999999127</v>
      </c>
      <c r="D984" s="658">
        <v>30077</v>
      </c>
      <c r="E984" s="658">
        <v>1148.0999999999126</v>
      </c>
      <c r="G984" s="64">
        <v>1148.0999999999126</v>
      </c>
      <c r="H984" s="658">
        <v>30077</v>
      </c>
      <c r="I984" s="64">
        <v>1148.1999999999125</v>
      </c>
      <c r="J984" s="658">
        <v>30166</v>
      </c>
    </row>
    <row r="985" spans="2:10" ht="14.4" x14ac:dyDescent="0.3">
      <c r="B985" s="657">
        <v>30077</v>
      </c>
      <c r="C985" s="657">
        <v>1148.0999999999126</v>
      </c>
      <c r="D985" s="658">
        <v>30166</v>
      </c>
      <c r="E985" s="658">
        <v>1148.1999999999125</v>
      </c>
      <c r="G985" s="64">
        <v>1148.1999999999125</v>
      </c>
      <c r="H985" s="658">
        <v>30166</v>
      </c>
      <c r="I985" s="64">
        <v>1148.2999999999124</v>
      </c>
      <c r="J985" s="658">
        <v>30256</v>
      </c>
    </row>
    <row r="986" spans="2:10" ht="14.4" x14ac:dyDescent="0.3">
      <c r="B986" s="657">
        <v>30166</v>
      </c>
      <c r="C986" s="657">
        <v>1148.1999999999125</v>
      </c>
      <c r="D986" s="658">
        <v>30256</v>
      </c>
      <c r="E986" s="658">
        <v>1148.2999999999124</v>
      </c>
      <c r="G986" s="64">
        <v>1148.2999999999124</v>
      </c>
      <c r="H986" s="658">
        <v>30256</v>
      </c>
      <c r="I986" s="64">
        <v>1148.3999999999123</v>
      </c>
      <c r="J986" s="658">
        <v>30345</v>
      </c>
    </row>
    <row r="987" spans="2:10" ht="14.4" x14ac:dyDescent="0.3">
      <c r="B987" s="657">
        <v>30256</v>
      </c>
      <c r="C987" s="657">
        <v>1148.2999999999124</v>
      </c>
      <c r="D987" s="658">
        <v>30345</v>
      </c>
      <c r="E987" s="658">
        <v>1148.3999999999123</v>
      </c>
      <c r="G987" s="64">
        <v>1148.3999999999123</v>
      </c>
      <c r="H987" s="658">
        <v>30345</v>
      </c>
      <c r="I987" s="64">
        <v>1148.4999999999122</v>
      </c>
      <c r="J987" s="658">
        <v>30434</v>
      </c>
    </row>
    <row r="988" spans="2:10" ht="14.4" x14ac:dyDescent="0.3">
      <c r="B988" s="657">
        <v>30345</v>
      </c>
      <c r="C988" s="657">
        <v>1148.3999999999123</v>
      </c>
      <c r="D988" s="658">
        <v>30434</v>
      </c>
      <c r="E988" s="658">
        <v>1148.4999999999122</v>
      </c>
      <c r="G988" s="64">
        <v>1148.4999999999122</v>
      </c>
      <c r="H988" s="658">
        <v>30434</v>
      </c>
      <c r="I988" s="64">
        <v>1148.5999999999121</v>
      </c>
      <c r="J988" s="658">
        <v>30523</v>
      </c>
    </row>
    <row r="989" spans="2:10" ht="14.4" x14ac:dyDescent="0.3">
      <c r="B989" s="657">
        <v>30434</v>
      </c>
      <c r="C989" s="657">
        <v>1148.4999999999122</v>
      </c>
      <c r="D989" s="658">
        <v>30523</v>
      </c>
      <c r="E989" s="658">
        <v>1148.5999999999121</v>
      </c>
      <c r="G989" s="64">
        <v>1148.5999999999121</v>
      </c>
      <c r="H989" s="658">
        <v>30523</v>
      </c>
      <c r="I989" s="64">
        <v>1148.6999999999121</v>
      </c>
      <c r="J989" s="658">
        <v>30612</v>
      </c>
    </row>
    <row r="990" spans="2:10" ht="14.4" x14ac:dyDescent="0.3">
      <c r="B990" s="657">
        <v>30523</v>
      </c>
      <c r="C990" s="657">
        <v>1148.5999999999121</v>
      </c>
      <c r="D990" s="658">
        <v>30612</v>
      </c>
      <c r="E990" s="658">
        <v>1148.6999999999121</v>
      </c>
      <c r="G990" s="64">
        <v>1148.6999999999121</v>
      </c>
      <c r="H990" s="658">
        <v>30612</v>
      </c>
      <c r="I990" s="64">
        <v>1148.799999999912</v>
      </c>
      <c r="J990" s="658">
        <v>30702</v>
      </c>
    </row>
    <row r="991" spans="2:10" ht="14.4" x14ac:dyDescent="0.3">
      <c r="B991" s="657">
        <v>30612</v>
      </c>
      <c r="C991" s="657">
        <v>1148.6999999999121</v>
      </c>
      <c r="D991" s="658">
        <v>30702</v>
      </c>
      <c r="E991" s="658">
        <v>1148.799999999912</v>
      </c>
      <c r="G991" s="64">
        <v>1148.799999999912</v>
      </c>
      <c r="H991" s="658">
        <v>30702</v>
      </c>
      <c r="I991" s="64">
        <v>1148.8999999999119</v>
      </c>
      <c r="J991" s="658">
        <v>30791</v>
      </c>
    </row>
    <row r="992" spans="2:10" ht="14.4" x14ac:dyDescent="0.3">
      <c r="B992" s="657">
        <v>30702</v>
      </c>
      <c r="C992" s="657">
        <v>1148.799999999912</v>
      </c>
      <c r="D992" s="658">
        <v>30791</v>
      </c>
      <c r="E992" s="658">
        <v>1148.8999999999119</v>
      </c>
      <c r="G992" s="64">
        <v>1148.8999999999119</v>
      </c>
      <c r="H992" s="658">
        <v>30791</v>
      </c>
      <c r="I992" s="64">
        <v>1148.9999999999118</v>
      </c>
      <c r="J992" s="658">
        <v>30880</v>
      </c>
    </row>
    <row r="993" spans="2:10" ht="14.4" x14ac:dyDescent="0.3">
      <c r="B993" s="657">
        <v>30791</v>
      </c>
      <c r="C993" s="657">
        <v>1148.8999999999119</v>
      </c>
      <c r="D993" s="658">
        <v>30880</v>
      </c>
      <c r="E993" s="658">
        <v>1148.9999999999118</v>
      </c>
      <c r="G993" s="64">
        <v>1148.9999999999118</v>
      </c>
      <c r="H993" s="658">
        <v>30880</v>
      </c>
      <c r="I993" s="64">
        <v>1149.0999999999117</v>
      </c>
      <c r="J993" s="658">
        <v>30971</v>
      </c>
    </row>
    <row r="994" spans="2:10" ht="14.4" x14ac:dyDescent="0.3">
      <c r="B994" s="657">
        <v>30880</v>
      </c>
      <c r="C994" s="657">
        <v>1148.9999999999118</v>
      </c>
      <c r="D994" s="658">
        <v>30971</v>
      </c>
      <c r="E994" s="658">
        <v>1149.0999999999117</v>
      </c>
      <c r="G994" s="64">
        <v>1149.0999999999117</v>
      </c>
      <c r="H994" s="658">
        <v>30971</v>
      </c>
      <c r="I994" s="64">
        <v>1149.1999999999116</v>
      </c>
      <c r="J994" s="658">
        <v>31061</v>
      </c>
    </row>
    <row r="995" spans="2:10" ht="14.4" x14ac:dyDescent="0.3">
      <c r="B995" s="657">
        <v>30971</v>
      </c>
      <c r="C995" s="657">
        <v>1149.0999999999117</v>
      </c>
      <c r="D995" s="658">
        <v>31061</v>
      </c>
      <c r="E995" s="658">
        <v>1149.1999999999116</v>
      </c>
      <c r="G995" s="64">
        <v>1149.1999999999116</v>
      </c>
      <c r="H995" s="658">
        <v>31061</v>
      </c>
      <c r="I995" s="64">
        <v>1149.2999999999115</v>
      </c>
      <c r="J995" s="658">
        <v>31152</v>
      </c>
    </row>
    <row r="996" spans="2:10" ht="14.4" x14ac:dyDescent="0.3">
      <c r="B996" s="657">
        <v>31061</v>
      </c>
      <c r="C996" s="657">
        <v>1149.1999999999116</v>
      </c>
      <c r="D996" s="658">
        <v>31152</v>
      </c>
      <c r="E996" s="658">
        <v>1149.2999999999115</v>
      </c>
      <c r="G996" s="64">
        <v>1149.2999999999115</v>
      </c>
      <c r="H996" s="658">
        <v>31152</v>
      </c>
      <c r="I996" s="64">
        <v>1149.3999999999114</v>
      </c>
      <c r="J996" s="658">
        <v>31242</v>
      </c>
    </row>
    <row r="997" spans="2:10" ht="14.4" x14ac:dyDescent="0.3">
      <c r="B997" s="657">
        <v>31152</v>
      </c>
      <c r="C997" s="657">
        <v>1149.2999999999115</v>
      </c>
      <c r="D997" s="658">
        <v>31242</v>
      </c>
      <c r="E997" s="658">
        <v>1149.3999999999114</v>
      </c>
      <c r="G997" s="64">
        <v>1149.3999999999114</v>
      </c>
      <c r="H997" s="658">
        <v>31242</v>
      </c>
      <c r="I997" s="64">
        <v>1149.4999999999113</v>
      </c>
      <c r="J997" s="658">
        <v>31333</v>
      </c>
    </row>
    <row r="998" spans="2:10" ht="14.4" x14ac:dyDescent="0.3">
      <c r="B998" s="657">
        <v>31242</v>
      </c>
      <c r="C998" s="657">
        <v>1149.3999999999114</v>
      </c>
      <c r="D998" s="658">
        <v>31333</v>
      </c>
      <c r="E998" s="658">
        <v>1149.4999999999113</v>
      </c>
      <c r="G998" s="64">
        <v>1149.4999999999113</v>
      </c>
      <c r="H998" s="658">
        <v>31333</v>
      </c>
      <c r="I998" s="64">
        <v>1149.5999999999112</v>
      </c>
      <c r="J998" s="658">
        <v>31423</v>
      </c>
    </row>
    <row r="999" spans="2:10" ht="14.4" x14ac:dyDescent="0.3">
      <c r="B999" s="657">
        <v>31333</v>
      </c>
      <c r="C999" s="657">
        <v>1149.4999999999113</v>
      </c>
      <c r="D999" s="658">
        <v>31423</v>
      </c>
      <c r="E999" s="658">
        <v>1149.5999999999112</v>
      </c>
      <c r="G999" s="64">
        <v>1149.5999999999112</v>
      </c>
      <c r="H999" s="658">
        <v>31423</v>
      </c>
      <c r="I999" s="64">
        <v>1149.6999999999111</v>
      </c>
      <c r="J999" s="658">
        <v>31514</v>
      </c>
    </row>
    <row r="1000" spans="2:10" ht="14.4" x14ac:dyDescent="0.3">
      <c r="B1000" s="657">
        <v>31423</v>
      </c>
      <c r="C1000" s="657">
        <v>1149.5999999999112</v>
      </c>
      <c r="D1000" s="658">
        <v>31514</v>
      </c>
      <c r="E1000" s="658">
        <v>1149.6999999999111</v>
      </c>
      <c r="G1000" s="64">
        <v>1149.6999999999111</v>
      </c>
      <c r="H1000" s="658">
        <v>31514</v>
      </c>
      <c r="I1000" s="64">
        <v>1149.7999999999111</v>
      </c>
      <c r="J1000" s="658">
        <v>31604</v>
      </c>
    </row>
    <row r="1001" spans="2:10" ht="14.4" x14ac:dyDescent="0.3">
      <c r="B1001" s="657">
        <v>31514</v>
      </c>
      <c r="C1001" s="657">
        <v>1149.6999999999111</v>
      </c>
      <c r="D1001" s="658">
        <v>31604</v>
      </c>
      <c r="E1001" s="658">
        <v>1149.7999999999111</v>
      </c>
      <c r="G1001" s="64">
        <v>1149.7999999999111</v>
      </c>
      <c r="H1001" s="658">
        <v>31604</v>
      </c>
      <c r="I1001" s="64">
        <v>1149.899999999911</v>
      </c>
      <c r="J1001" s="658">
        <v>31695</v>
      </c>
    </row>
    <row r="1002" spans="2:10" ht="14.4" x14ac:dyDescent="0.3">
      <c r="B1002" s="657">
        <v>31604</v>
      </c>
      <c r="C1002" s="657">
        <v>1149.7999999999111</v>
      </c>
      <c r="D1002" s="658">
        <v>31695</v>
      </c>
      <c r="E1002" s="658">
        <v>1149.899999999911</v>
      </c>
      <c r="G1002" s="64">
        <v>1149.899999999911</v>
      </c>
      <c r="H1002" s="658">
        <v>31695</v>
      </c>
      <c r="I1002" s="64">
        <v>1149.9999999999109</v>
      </c>
      <c r="J1002" s="658">
        <v>31785</v>
      </c>
    </row>
    <row r="1003" spans="2:10" ht="14.4" x14ac:dyDescent="0.3">
      <c r="B1003" s="657">
        <v>31695</v>
      </c>
      <c r="C1003" s="657">
        <v>1149.899999999911</v>
      </c>
      <c r="D1003" s="658">
        <v>31785</v>
      </c>
      <c r="E1003" s="658">
        <v>1149.9999999999109</v>
      </c>
      <c r="G1003" s="64">
        <v>1149.9999999999109</v>
      </c>
      <c r="H1003" s="658">
        <v>31785</v>
      </c>
      <c r="I1003" s="64">
        <v>1150.0999999999108</v>
      </c>
      <c r="J1003" s="658">
        <v>31877</v>
      </c>
    </row>
    <row r="1004" spans="2:10" ht="14.4" x14ac:dyDescent="0.3">
      <c r="B1004" s="657">
        <v>31785</v>
      </c>
      <c r="C1004" s="657">
        <v>1149.9999999999109</v>
      </c>
      <c r="D1004" s="658">
        <v>31877</v>
      </c>
      <c r="E1004" s="658">
        <v>1150.0999999999108</v>
      </c>
      <c r="G1004" s="64">
        <v>1150.0999999999108</v>
      </c>
      <c r="H1004" s="658">
        <v>31877</v>
      </c>
      <c r="I1004" s="64">
        <v>1150.1999999999107</v>
      </c>
      <c r="J1004" s="658">
        <v>31969</v>
      </c>
    </row>
    <row r="1005" spans="2:10" ht="14.4" x14ac:dyDescent="0.3">
      <c r="B1005" s="657">
        <v>31877</v>
      </c>
      <c r="C1005" s="657">
        <v>1150.0999999999108</v>
      </c>
      <c r="D1005" s="658">
        <v>31969</v>
      </c>
      <c r="E1005" s="658">
        <v>1150.1999999999107</v>
      </c>
      <c r="G1005" s="64">
        <v>1150.1999999999107</v>
      </c>
      <c r="H1005" s="658">
        <v>31969</v>
      </c>
      <c r="I1005" s="64">
        <v>1150.2999999999106</v>
      </c>
      <c r="J1005" s="658">
        <v>32061</v>
      </c>
    </row>
    <row r="1006" spans="2:10" ht="14.4" x14ac:dyDescent="0.3">
      <c r="B1006" s="657">
        <v>31969</v>
      </c>
      <c r="C1006" s="657">
        <v>1150.1999999999107</v>
      </c>
      <c r="D1006" s="658">
        <v>32061</v>
      </c>
      <c r="E1006" s="658">
        <v>1150.2999999999106</v>
      </c>
      <c r="G1006" s="64">
        <v>1150.2999999999106</v>
      </c>
      <c r="H1006" s="658">
        <v>32061</v>
      </c>
      <c r="I1006" s="64">
        <v>1150.3999999999105</v>
      </c>
      <c r="J1006" s="658">
        <v>32153</v>
      </c>
    </row>
    <row r="1007" spans="2:10" ht="14.4" x14ac:dyDescent="0.3">
      <c r="B1007" s="657">
        <v>32061</v>
      </c>
      <c r="C1007" s="657">
        <v>1150.2999999999106</v>
      </c>
      <c r="D1007" s="658">
        <v>32153</v>
      </c>
      <c r="E1007" s="658">
        <v>1150.3999999999105</v>
      </c>
      <c r="G1007" s="64">
        <v>1150.3999999999105</v>
      </c>
      <c r="H1007" s="658">
        <v>32153</v>
      </c>
      <c r="I1007" s="64">
        <v>1150.4999999999104</v>
      </c>
      <c r="J1007" s="658">
        <v>32245</v>
      </c>
    </row>
    <row r="1008" spans="2:10" ht="14.4" x14ac:dyDescent="0.3">
      <c r="B1008" s="657">
        <v>32153</v>
      </c>
      <c r="C1008" s="657">
        <v>1150.3999999999105</v>
      </c>
      <c r="D1008" s="658">
        <v>32245</v>
      </c>
      <c r="E1008" s="658">
        <v>1150.4999999999104</v>
      </c>
      <c r="G1008" s="64">
        <v>1150.4999999999104</v>
      </c>
      <c r="H1008" s="658">
        <v>32245</v>
      </c>
      <c r="I1008" s="64">
        <v>1150.5999999999103</v>
      </c>
      <c r="J1008" s="658">
        <v>32336</v>
      </c>
    </row>
    <row r="1009" spans="2:10" ht="14.4" x14ac:dyDescent="0.3">
      <c r="B1009" s="657">
        <v>32245</v>
      </c>
      <c r="C1009" s="657">
        <v>1150.4999999999104</v>
      </c>
      <c r="D1009" s="658">
        <v>32336</v>
      </c>
      <c r="E1009" s="658">
        <v>1150.5999999999103</v>
      </c>
      <c r="G1009" s="64">
        <v>1150.5999999999103</v>
      </c>
      <c r="H1009" s="658">
        <v>32336</v>
      </c>
      <c r="I1009" s="64">
        <v>1150.6999999999102</v>
      </c>
      <c r="J1009" s="658">
        <v>32428</v>
      </c>
    </row>
    <row r="1010" spans="2:10" ht="14.4" x14ac:dyDescent="0.3">
      <c r="B1010" s="657">
        <v>32336</v>
      </c>
      <c r="C1010" s="657">
        <v>1150.5999999999103</v>
      </c>
      <c r="D1010" s="658">
        <v>32428</v>
      </c>
      <c r="E1010" s="658">
        <v>1150.6999999999102</v>
      </c>
      <c r="G1010" s="64">
        <v>1150.6999999999102</v>
      </c>
      <c r="H1010" s="658">
        <v>32428</v>
      </c>
      <c r="I1010" s="64">
        <v>1150.7999999999101</v>
      </c>
      <c r="J1010" s="658">
        <v>32520</v>
      </c>
    </row>
    <row r="1011" spans="2:10" ht="14.4" x14ac:dyDescent="0.3">
      <c r="B1011" s="657">
        <v>32428</v>
      </c>
      <c r="C1011" s="657">
        <v>1150.6999999999102</v>
      </c>
      <c r="D1011" s="658">
        <v>32520</v>
      </c>
      <c r="E1011" s="658">
        <v>1150.7999999999101</v>
      </c>
      <c r="G1011" s="64">
        <v>1150.7999999999101</v>
      </c>
      <c r="H1011" s="658">
        <v>32520</v>
      </c>
      <c r="I1011" s="64">
        <v>1150.8999999999101</v>
      </c>
      <c r="J1011" s="658">
        <v>32612</v>
      </c>
    </row>
    <row r="1012" spans="2:10" ht="14.4" x14ac:dyDescent="0.3">
      <c r="B1012" s="657">
        <v>32520</v>
      </c>
      <c r="C1012" s="657">
        <v>1150.7999999999101</v>
      </c>
      <c r="D1012" s="658">
        <v>32612</v>
      </c>
      <c r="E1012" s="658">
        <v>1150.8999999999101</v>
      </c>
      <c r="G1012" s="64">
        <v>1150.8999999999101</v>
      </c>
      <c r="H1012" s="658">
        <v>32612</v>
      </c>
      <c r="I1012" s="64">
        <v>1150.99999999991</v>
      </c>
      <c r="J1012" s="658">
        <v>32704</v>
      </c>
    </row>
    <row r="1013" spans="2:10" ht="14.4" x14ac:dyDescent="0.3">
      <c r="B1013" s="657">
        <v>32612</v>
      </c>
      <c r="C1013" s="657">
        <v>1150.8999999999101</v>
      </c>
      <c r="D1013" s="658">
        <v>32704</v>
      </c>
      <c r="E1013" s="658">
        <v>1150.99999999991</v>
      </c>
      <c r="G1013" s="64">
        <v>1150.99999999991</v>
      </c>
      <c r="H1013" s="658">
        <v>32704</v>
      </c>
      <c r="I1013" s="64">
        <v>1151.0999999999099</v>
      </c>
      <c r="J1013" s="658">
        <v>32797</v>
      </c>
    </row>
    <row r="1014" spans="2:10" ht="14.4" x14ac:dyDescent="0.3">
      <c r="B1014" s="657">
        <v>32704</v>
      </c>
      <c r="C1014" s="657">
        <v>1150.99999999991</v>
      </c>
      <c r="D1014" s="658">
        <v>32797</v>
      </c>
      <c r="E1014" s="658">
        <v>1151.0999999999099</v>
      </c>
      <c r="G1014" s="64">
        <v>1151.0999999999099</v>
      </c>
      <c r="H1014" s="658">
        <v>32797</v>
      </c>
      <c r="I1014" s="64">
        <v>1151.1999999999098</v>
      </c>
      <c r="J1014" s="658">
        <v>32891</v>
      </c>
    </row>
    <row r="1015" spans="2:10" ht="14.4" x14ac:dyDescent="0.3">
      <c r="B1015" s="657">
        <v>32797</v>
      </c>
      <c r="C1015" s="657">
        <v>1151.0999999999099</v>
      </c>
      <c r="D1015" s="658">
        <v>32891</v>
      </c>
      <c r="E1015" s="658">
        <v>1151.1999999999098</v>
      </c>
      <c r="G1015" s="64">
        <v>1151.1999999999098</v>
      </c>
      <c r="H1015" s="658">
        <v>32891</v>
      </c>
      <c r="I1015" s="64">
        <v>1151.2999999999097</v>
      </c>
      <c r="J1015" s="658">
        <v>32984</v>
      </c>
    </row>
    <row r="1016" spans="2:10" ht="14.4" x14ac:dyDescent="0.3">
      <c r="B1016" s="657">
        <v>32891</v>
      </c>
      <c r="C1016" s="657">
        <v>1151.1999999999098</v>
      </c>
      <c r="D1016" s="658">
        <v>32984</v>
      </c>
      <c r="E1016" s="658">
        <v>1151.2999999999097</v>
      </c>
      <c r="G1016" s="64">
        <v>1151.2999999999097</v>
      </c>
      <c r="H1016" s="658">
        <v>32984</v>
      </c>
      <c r="I1016" s="64">
        <v>1151.3999999999096</v>
      </c>
      <c r="J1016" s="658">
        <v>33077</v>
      </c>
    </row>
    <row r="1017" spans="2:10" ht="14.4" x14ac:dyDescent="0.3">
      <c r="B1017" s="657">
        <v>32984</v>
      </c>
      <c r="C1017" s="657">
        <v>1151.2999999999097</v>
      </c>
      <c r="D1017" s="658">
        <v>33077</v>
      </c>
      <c r="E1017" s="658">
        <v>1151.3999999999096</v>
      </c>
      <c r="G1017" s="64">
        <v>1151.3999999999096</v>
      </c>
      <c r="H1017" s="658">
        <v>33077</v>
      </c>
      <c r="I1017" s="64">
        <v>1151.4999999999095</v>
      </c>
      <c r="J1017" s="658">
        <v>33171</v>
      </c>
    </row>
    <row r="1018" spans="2:10" ht="14.4" x14ac:dyDescent="0.3">
      <c r="B1018" s="657">
        <v>33077</v>
      </c>
      <c r="C1018" s="657">
        <v>1151.3999999999096</v>
      </c>
      <c r="D1018" s="658">
        <v>33171</v>
      </c>
      <c r="E1018" s="658">
        <v>1151.4999999999095</v>
      </c>
      <c r="G1018" s="64">
        <v>1151.4999999999095</v>
      </c>
      <c r="H1018" s="658">
        <v>33171</v>
      </c>
      <c r="I1018" s="64">
        <v>1151.5999999999094</v>
      </c>
      <c r="J1018" s="658">
        <v>33264</v>
      </c>
    </row>
    <row r="1019" spans="2:10" ht="14.4" x14ac:dyDescent="0.3">
      <c r="B1019" s="657">
        <v>33171</v>
      </c>
      <c r="C1019" s="657">
        <v>1151.4999999999095</v>
      </c>
      <c r="D1019" s="658">
        <v>33264</v>
      </c>
      <c r="E1019" s="658">
        <v>1151.5999999999094</v>
      </c>
      <c r="G1019" s="64">
        <v>1151.5999999999094</v>
      </c>
      <c r="H1019" s="658">
        <v>33264</v>
      </c>
      <c r="I1019" s="64">
        <v>1151.6999999999093</v>
      </c>
      <c r="J1019" s="658">
        <v>33357</v>
      </c>
    </row>
    <row r="1020" spans="2:10" ht="14.4" x14ac:dyDescent="0.3">
      <c r="B1020" s="657">
        <v>33264</v>
      </c>
      <c r="C1020" s="657">
        <v>1151.5999999999094</v>
      </c>
      <c r="D1020" s="658">
        <v>33357</v>
      </c>
      <c r="E1020" s="658">
        <v>1151.6999999999093</v>
      </c>
      <c r="G1020" s="64">
        <v>1151.6999999999093</v>
      </c>
      <c r="H1020" s="658">
        <v>33357</v>
      </c>
      <c r="I1020" s="64">
        <v>1151.7999999999092</v>
      </c>
      <c r="J1020" s="658">
        <v>33450</v>
      </c>
    </row>
    <row r="1021" spans="2:10" ht="14.4" x14ac:dyDescent="0.3">
      <c r="B1021" s="657">
        <v>33357</v>
      </c>
      <c r="C1021" s="657">
        <v>1151.6999999999093</v>
      </c>
      <c r="D1021" s="658">
        <v>33450</v>
      </c>
      <c r="E1021" s="658">
        <v>1151.7999999999092</v>
      </c>
      <c r="G1021" s="64">
        <v>1151.7999999999092</v>
      </c>
      <c r="H1021" s="658">
        <v>33450</v>
      </c>
      <c r="I1021" s="64">
        <v>1151.8999999999091</v>
      </c>
      <c r="J1021" s="658">
        <v>33544</v>
      </c>
    </row>
    <row r="1022" spans="2:10" ht="14.4" x14ac:dyDescent="0.3">
      <c r="B1022" s="657">
        <v>33450</v>
      </c>
      <c r="C1022" s="657">
        <v>1151.7999999999092</v>
      </c>
      <c r="D1022" s="658">
        <v>33544</v>
      </c>
      <c r="E1022" s="658">
        <v>1151.8999999999091</v>
      </c>
      <c r="G1022" s="64">
        <v>1151.8999999999091</v>
      </c>
      <c r="H1022" s="658">
        <v>33544</v>
      </c>
      <c r="I1022" s="64">
        <v>1151.9999999999091</v>
      </c>
      <c r="J1022" s="658">
        <v>33637</v>
      </c>
    </row>
    <row r="1023" spans="2:10" ht="14.4" x14ac:dyDescent="0.3">
      <c r="B1023" s="657">
        <v>33544</v>
      </c>
      <c r="C1023" s="657">
        <v>1151.8999999999091</v>
      </c>
      <c r="D1023" s="658">
        <v>33637</v>
      </c>
      <c r="E1023" s="658">
        <v>1151.9999999999091</v>
      </c>
      <c r="G1023" s="64">
        <v>1151.9999999999091</v>
      </c>
      <c r="H1023" s="658">
        <v>33637</v>
      </c>
      <c r="I1023" s="64">
        <v>1152.099999999909</v>
      </c>
      <c r="J1023" s="658">
        <v>33732</v>
      </c>
    </row>
    <row r="1024" spans="2:10" ht="14.4" x14ac:dyDescent="0.3">
      <c r="B1024" s="657">
        <v>33637</v>
      </c>
      <c r="C1024" s="657">
        <v>1151.9999999999091</v>
      </c>
      <c r="D1024" s="658">
        <v>33732</v>
      </c>
      <c r="E1024" s="658">
        <v>1152.099999999909</v>
      </c>
      <c r="G1024" s="64">
        <v>1152.099999999909</v>
      </c>
      <c r="H1024" s="658">
        <v>33732</v>
      </c>
      <c r="I1024" s="64">
        <v>1152.1999999999089</v>
      </c>
      <c r="J1024" s="658">
        <v>33826</v>
      </c>
    </row>
    <row r="1025" spans="2:10" ht="14.4" x14ac:dyDescent="0.3">
      <c r="B1025" s="657">
        <v>33732</v>
      </c>
      <c r="C1025" s="657">
        <v>1152.099999999909</v>
      </c>
      <c r="D1025" s="658">
        <v>33826</v>
      </c>
      <c r="E1025" s="658">
        <v>1152.1999999999089</v>
      </c>
      <c r="G1025" s="64">
        <v>1152.1999999999089</v>
      </c>
      <c r="H1025" s="658">
        <v>33826</v>
      </c>
      <c r="I1025" s="64">
        <v>1152.2999999999088</v>
      </c>
      <c r="J1025" s="658">
        <v>33921</v>
      </c>
    </row>
    <row r="1026" spans="2:10" ht="14.4" x14ac:dyDescent="0.3">
      <c r="B1026" s="657">
        <v>33826</v>
      </c>
      <c r="C1026" s="657">
        <v>1152.1999999999089</v>
      </c>
      <c r="D1026" s="658">
        <v>33921</v>
      </c>
      <c r="E1026" s="658">
        <v>1152.2999999999088</v>
      </c>
      <c r="G1026" s="64">
        <v>1152.2999999999088</v>
      </c>
      <c r="H1026" s="658">
        <v>33921</v>
      </c>
      <c r="I1026" s="64">
        <v>1152.3999999999087</v>
      </c>
      <c r="J1026" s="658">
        <v>34015</v>
      </c>
    </row>
    <row r="1027" spans="2:10" ht="14.4" x14ac:dyDescent="0.3">
      <c r="B1027" s="657">
        <v>33921</v>
      </c>
      <c r="C1027" s="657">
        <v>1152.2999999999088</v>
      </c>
      <c r="D1027" s="658">
        <v>34015</v>
      </c>
      <c r="E1027" s="658">
        <v>1152.3999999999087</v>
      </c>
      <c r="G1027" s="64">
        <v>1152.3999999999087</v>
      </c>
      <c r="H1027" s="658">
        <v>34015</v>
      </c>
      <c r="I1027" s="64">
        <v>1152.4999999999086</v>
      </c>
      <c r="J1027" s="658">
        <v>34110</v>
      </c>
    </row>
    <row r="1028" spans="2:10" ht="14.4" x14ac:dyDescent="0.3">
      <c r="B1028" s="657">
        <v>34015</v>
      </c>
      <c r="C1028" s="657">
        <v>1152.3999999999087</v>
      </c>
      <c r="D1028" s="658">
        <v>34110</v>
      </c>
      <c r="E1028" s="658">
        <v>1152.4999999999086</v>
      </c>
      <c r="G1028" s="64">
        <v>1152.4999999999086</v>
      </c>
      <c r="H1028" s="658">
        <v>34110</v>
      </c>
      <c r="I1028" s="64">
        <v>1152.5999999999085</v>
      </c>
      <c r="J1028" s="658">
        <v>34205</v>
      </c>
    </row>
    <row r="1029" spans="2:10" ht="14.4" x14ac:dyDescent="0.3">
      <c r="B1029" s="657">
        <v>34110</v>
      </c>
      <c r="C1029" s="657">
        <v>1152.4999999999086</v>
      </c>
      <c r="D1029" s="658">
        <v>34205</v>
      </c>
      <c r="E1029" s="658">
        <v>1152.5999999999085</v>
      </c>
      <c r="G1029" s="64">
        <v>1152.5999999999085</v>
      </c>
      <c r="H1029" s="658">
        <v>34205</v>
      </c>
      <c r="I1029" s="64">
        <v>1152.6999999999084</v>
      </c>
      <c r="J1029" s="658">
        <v>34299</v>
      </c>
    </row>
    <row r="1030" spans="2:10" ht="14.4" x14ac:dyDescent="0.3">
      <c r="B1030" s="657">
        <v>34205</v>
      </c>
      <c r="C1030" s="657">
        <v>1152.5999999999085</v>
      </c>
      <c r="D1030" s="658">
        <v>34299</v>
      </c>
      <c r="E1030" s="658">
        <v>1152.6999999999084</v>
      </c>
      <c r="G1030" s="64">
        <v>1152.6999999999084</v>
      </c>
      <c r="H1030" s="658">
        <v>34299</v>
      </c>
      <c r="I1030" s="64">
        <v>1152.7999999999083</v>
      </c>
      <c r="J1030" s="658">
        <v>34394</v>
      </c>
    </row>
    <row r="1031" spans="2:10" ht="14.4" x14ac:dyDescent="0.3">
      <c r="B1031" s="657">
        <v>34299</v>
      </c>
      <c r="C1031" s="657">
        <v>1152.6999999999084</v>
      </c>
      <c r="D1031" s="658">
        <v>34394</v>
      </c>
      <c r="E1031" s="658">
        <v>1152.7999999999083</v>
      </c>
      <c r="G1031" s="64">
        <v>1152.7999999999083</v>
      </c>
      <c r="H1031" s="658">
        <v>34394</v>
      </c>
      <c r="I1031" s="64">
        <v>1152.8999999999082</v>
      </c>
      <c r="J1031" s="658">
        <v>34488</v>
      </c>
    </row>
    <row r="1032" spans="2:10" ht="14.4" x14ac:dyDescent="0.3">
      <c r="B1032" s="657">
        <v>34394</v>
      </c>
      <c r="C1032" s="657">
        <v>1152.7999999999083</v>
      </c>
      <c r="D1032" s="658">
        <v>34488</v>
      </c>
      <c r="E1032" s="658">
        <v>1152.8999999999082</v>
      </c>
      <c r="G1032" s="64">
        <v>1152.8999999999082</v>
      </c>
      <c r="H1032" s="658">
        <v>34488</v>
      </c>
      <c r="I1032" s="64">
        <v>1152.9999999999081</v>
      </c>
      <c r="J1032" s="658">
        <v>34583</v>
      </c>
    </row>
    <row r="1033" spans="2:10" ht="14.4" x14ac:dyDescent="0.3">
      <c r="B1033" s="657">
        <v>34488</v>
      </c>
      <c r="C1033" s="657">
        <v>1152.8999999999082</v>
      </c>
      <c r="D1033" s="658">
        <v>34583</v>
      </c>
      <c r="E1033" s="658">
        <v>1152.9999999999081</v>
      </c>
      <c r="G1033" s="64">
        <v>1152.9999999999081</v>
      </c>
      <c r="H1033" s="658">
        <v>34583</v>
      </c>
      <c r="I1033" s="64">
        <v>1153.0999999999081</v>
      </c>
      <c r="J1033" s="658">
        <v>34679</v>
      </c>
    </row>
    <row r="1034" spans="2:10" ht="14.4" x14ac:dyDescent="0.3">
      <c r="B1034" s="657">
        <v>34583</v>
      </c>
      <c r="C1034" s="657">
        <v>1152.9999999999081</v>
      </c>
      <c r="D1034" s="658">
        <v>34679</v>
      </c>
      <c r="E1034" s="658">
        <v>1153.0999999999081</v>
      </c>
      <c r="G1034" s="64">
        <v>1153.0999999999081</v>
      </c>
      <c r="H1034" s="658">
        <v>34679</v>
      </c>
      <c r="I1034" s="64">
        <v>1153.199999999908</v>
      </c>
      <c r="J1034" s="658">
        <v>34775</v>
      </c>
    </row>
    <row r="1035" spans="2:10" ht="14.4" x14ac:dyDescent="0.3">
      <c r="B1035" s="657">
        <v>34679</v>
      </c>
      <c r="C1035" s="657">
        <v>1153.0999999999081</v>
      </c>
      <c r="D1035" s="658">
        <v>34775</v>
      </c>
      <c r="E1035" s="658">
        <v>1153.199999999908</v>
      </c>
      <c r="G1035" s="64">
        <v>1153.199999999908</v>
      </c>
      <c r="H1035" s="658">
        <v>34775</v>
      </c>
      <c r="I1035" s="64">
        <v>1153.2999999999079</v>
      </c>
      <c r="J1035" s="658">
        <v>34871</v>
      </c>
    </row>
    <row r="1036" spans="2:10" ht="14.4" x14ac:dyDescent="0.3">
      <c r="B1036" s="657">
        <v>34775</v>
      </c>
      <c r="C1036" s="657">
        <v>1153.199999999908</v>
      </c>
      <c r="D1036" s="658">
        <v>34871</v>
      </c>
      <c r="E1036" s="658">
        <v>1153.2999999999079</v>
      </c>
      <c r="G1036" s="64">
        <v>1153.2999999999079</v>
      </c>
      <c r="H1036" s="658">
        <v>34871</v>
      </c>
      <c r="I1036" s="64">
        <v>1153.3999999999078</v>
      </c>
      <c r="J1036" s="658">
        <v>34967</v>
      </c>
    </row>
    <row r="1037" spans="2:10" ht="14.4" x14ac:dyDescent="0.3">
      <c r="B1037" s="657">
        <v>34871</v>
      </c>
      <c r="C1037" s="657">
        <v>1153.2999999999079</v>
      </c>
      <c r="D1037" s="658">
        <v>34967</v>
      </c>
      <c r="E1037" s="658">
        <v>1153.3999999999078</v>
      </c>
      <c r="G1037" s="64">
        <v>1153.3999999999078</v>
      </c>
      <c r="H1037" s="658">
        <v>34967</v>
      </c>
      <c r="I1037" s="64">
        <v>1153.4999999999077</v>
      </c>
      <c r="J1037" s="658">
        <v>35064</v>
      </c>
    </row>
    <row r="1038" spans="2:10" ht="14.4" x14ac:dyDescent="0.3">
      <c r="B1038" s="657">
        <v>34967</v>
      </c>
      <c r="C1038" s="657">
        <v>1153.3999999999078</v>
      </c>
      <c r="D1038" s="658">
        <v>35064</v>
      </c>
      <c r="E1038" s="658">
        <v>1153.4999999999077</v>
      </c>
      <c r="G1038" s="64">
        <v>1153.4999999999077</v>
      </c>
      <c r="H1038" s="658">
        <v>35064</v>
      </c>
      <c r="I1038" s="64">
        <v>1153.5999999999076</v>
      </c>
      <c r="J1038" s="658">
        <v>35160</v>
      </c>
    </row>
    <row r="1039" spans="2:10" ht="14.4" x14ac:dyDescent="0.3">
      <c r="B1039" s="657">
        <v>35064</v>
      </c>
      <c r="C1039" s="657">
        <v>1153.4999999999077</v>
      </c>
      <c r="D1039" s="658">
        <v>35160</v>
      </c>
      <c r="E1039" s="658">
        <v>1153.5999999999076</v>
      </c>
      <c r="G1039" s="64">
        <v>1153.5999999999076</v>
      </c>
      <c r="H1039" s="658">
        <v>35160</v>
      </c>
      <c r="I1039" s="64">
        <v>1153.6999999999075</v>
      </c>
      <c r="J1039" s="658">
        <v>35256</v>
      </c>
    </row>
    <row r="1040" spans="2:10" ht="14.4" x14ac:dyDescent="0.3">
      <c r="B1040" s="657">
        <v>35160</v>
      </c>
      <c r="C1040" s="657">
        <v>1153.5999999999076</v>
      </c>
      <c r="D1040" s="658">
        <v>35256</v>
      </c>
      <c r="E1040" s="658">
        <v>1153.6999999999075</v>
      </c>
      <c r="G1040" s="64">
        <v>1153.6999999999075</v>
      </c>
      <c r="H1040" s="658">
        <v>35256</v>
      </c>
      <c r="I1040" s="64">
        <v>1153.7999999999074</v>
      </c>
      <c r="J1040" s="658">
        <v>35352</v>
      </c>
    </row>
    <row r="1041" spans="2:10" ht="14.4" x14ac:dyDescent="0.3">
      <c r="B1041" s="657">
        <v>35256</v>
      </c>
      <c r="C1041" s="657">
        <v>1153.6999999999075</v>
      </c>
      <c r="D1041" s="658">
        <v>35352</v>
      </c>
      <c r="E1041" s="658">
        <v>1153.7999999999074</v>
      </c>
      <c r="G1041" s="64">
        <v>1153.7999999999074</v>
      </c>
      <c r="H1041" s="658">
        <v>35352</v>
      </c>
      <c r="I1041" s="64">
        <v>1153.8999999999073</v>
      </c>
      <c r="J1041" s="658">
        <v>35448</v>
      </c>
    </row>
    <row r="1042" spans="2:10" ht="14.4" x14ac:dyDescent="0.3">
      <c r="B1042" s="657">
        <v>35352</v>
      </c>
      <c r="C1042" s="657">
        <v>1153.7999999999074</v>
      </c>
      <c r="D1042" s="658">
        <v>35448</v>
      </c>
      <c r="E1042" s="658">
        <v>1153.8999999999073</v>
      </c>
      <c r="G1042" s="64">
        <v>1153.8999999999073</v>
      </c>
      <c r="H1042" s="658">
        <v>35448</v>
      </c>
      <c r="I1042" s="64">
        <v>1153.9999999999072</v>
      </c>
      <c r="J1042" s="658">
        <v>35544</v>
      </c>
    </row>
    <row r="1043" spans="2:10" ht="14.4" x14ac:dyDescent="0.3">
      <c r="B1043" s="657">
        <v>35448</v>
      </c>
      <c r="C1043" s="657">
        <v>1153.8999999999073</v>
      </c>
      <c r="D1043" s="658">
        <v>35544</v>
      </c>
      <c r="E1043" s="658">
        <v>1153.9999999999072</v>
      </c>
      <c r="G1043" s="64">
        <v>1153.9999999999072</v>
      </c>
      <c r="H1043" s="658">
        <v>35544</v>
      </c>
      <c r="I1043" s="64">
        <v>1154.0999999999071</v>
      </c>
      <c r="J1043" s="658">
        <v>35642</v>
      </c>
    </row>
    <row r="1044" spans="2:10" ht="14.4" x14ac:dyDescent="0.3">
      <c r="B1044" s="657">
        <v>35544</v>
      </c>
      <c r="C1044" s="657">
        <v>1153.9999999999072</v>
      </c>
      <c r="D1044" s="658">
        <v>35642</v>
      </c>
      <c r="E1044" s="658">
        <v>1154.0999999999071</v>
      </c>
      <c r="G1044" s="64">
        <v>1154.0999999999071</v>
      </c>
      <c r="H1044" s="658">
        <v>35642</v>
      </c>
      <c r="I1044" s="64">
        <v>1154.199999999907</v>
      </c>
      <c r="J1044" s="658">
        <v>35739</v>
      </c>
    </row>
    <row r="1045" spans="2:10" ht="14.4" x14ac:dyDescent="0.3">
      <c r="B1045" s="657">
        <v>35642</v>
      </c>
      <c r="C1045" s="657">
        <v>1154.0999999999071</v>
      </c>
      <c r="D1045" s="658">
        <v>35739</v>
      </c>
      <c r="E1045" s="658">
        <v>1154.199999999907</v>
      </c>
      <c r="G1045" s="64">
        <v>1154.199999999907</v>
      </c>
      <c r="H1045" s="658">
        <v>35739</v>
      </c>
      <c r="I1045" s="64">
        <v>1154.299999999907</v>
      </c>
      <c r="J1045" s="658">
        <v>35837</v>
      </c>
    </row>
    <row r="1046" spans="2:10" ht="14.4" x14ac:dyDescent="0.3">
      <c r="B1046" s="657">
        <v>35739</v>
      </c>
      <c r="C1046" s="657">
        <v>1154.199999999907</v>
      </c>
      <c r="D1046" s="658">
        <v>35837</v>
      </c>
      <c r="E1046" s="658">
        <v>1154.299999999907</v>
      </c>
      <c r="G1046" s="64">
        <v>1154.299999999907</v>
      </c>
      <c r="H1046" s="658">
        <v>35837</v>
      </c>
      <c r="I1046" s="64">
        <v>1154.3999999999069</v>
      </c>
      <c r="J1046" s="658">
        <v>35934</v>
      </c>
    </row>
    <row r="1047" spans="2:10" ht="14.4" x14ac:dyDescent="0.3">
      <c r="B1047" s="657">
        <v>35837</v>
      </c>
      <c r="C1047" s="657">
        <v>1154.299999999907</v>
      </c>
      <c r="D1047" s="658">
        <v>35934</v>
      </c>
      <c r="E1047" s="658">
        <v>1154.3999999999069</v>
      </c>
      <c r="G1047" s="64">
        <v>1154.3999999999069</v>
      </c>
      <c r="H1047" s="658">
        <v>35934</v>
      </c>
      <c r="I1047" s="64">
        <v>1154.4999999999068</v>
      </c>
      <c r="J1047" s="658">
        <v>36032</v>
      </c>
    </row>
    <row r="1048" spans="2:10" ht="14.4" x14ac:dyDescent="0.3">
      <c r="B1048" s="657">
        <v>35934</v>
      </c>
      <c r="C1048" s="657">
        <v>1154.3999999999069</v>
      </c>
      <c r="D1048" s="658">
        <v>36032</v>
      </c>
      <c r="E1048" s="658">
        <v>1154.4999999999068</v>
      </c>
      <c r="G1048" s="64">
        <v>1154.4999999999068</v>
      </c>
      <c r="H1048" s="658">
        <v>36032</v>
      </c>
      <c r="I1048" s="64">
        <v>1154.5999999999067</v>
      </c>
      <c r="J1048" s="658">
        <v>36129</v>
      </c>
    </row>
    <row r="1049" spans="2:10" ht="14.4" x14ac:dyDescent="0.3">
      <c r="B1049" s="657">
        <v>36032</v>
      </c>
      <c r="C1049" s="657">
        <v>1154.4999999999068</v>
      </c>
      <c r="D1049" s="658">
        <v>36129</v>
      </c>
      <c r="E1049" s="658">
        <v>1154.5999999999067</v>
      </c>
      <c r="G1049" s="64">
        <v>1154.5999999999067</v>
      </c>
      <c r="H1049" s="658">
        <v>36129</v>
      </c>
      <c r="I1049" s="64">
        <v>1154.6999999999066</v>
      </c>
      <c r="J1049" s="658">
        <v>36227</v>
      </c>
    </row>
    <row r="1050" spans="2:10" ht="14.4" x14ac:dyDescent="0.3">
      <c r="B1050" s="657">
        <v>36129</v>
      </c>
      <c r="C1050" s="657">
        <v>1154.5999999999067</v>
      </c>
      <c r="D1050" s="658">
        <v>36227</v>
      </c>
      <c r="E1050" s="658">
        <v>1154.6999999999066</v>
      </c>
      <c r="G1050" s="64">
        <v>1154.6999999999066</v>
      </c>
      <c r="H1050" s="658">
        <v>36227</v>
      </c>
      <c r="I1050" s="64">
        <v>1154.7999999999065</v>
      </c>
      <c r="J1050" s="658">
        <v>36324</v>
      </c>
    </row>
    <row r="1051" spans="2:10" ht="14.4" x14ac:dyDescent="0.3">
      <c r="B1051" s="657">
        <v>36227</v>
      </c>
      <c r="C1051" s="657">
        <v>1154.6999999999066</v>
      </c>
      <c r="D1051" s="658">
        <v>36324</v>
      </c>
      <c r="E1051" s="658">
        <v>1154.7999999999065</v>
      </c>
      <c r="G1051" s="64">
        <v>1154.7999999999065</v>
      </c>
      <c r="H1051" s="658">
        <v>36324</v>
      </c>
      <c r="I1051" s="64">
        <v>1154.8999999999064</v>
      </c>
      <c r="J1051" s="658">
        <v>36422</v>
      </c>
    </row>
    <row r="1052" spans="2:10" ht="14.4" x14ac:dyDescent="0.3">
      <c r="B1052" s="657">
        <v>36324</v>
      </c>
      <c r="C1052" s="657">
        <v>1154.7999999999065</v>
      </c>
      <c r="D1052" s="658">
        <v>36422</v>
      </c>
      <c r="E1052" s="658">
        <v>1154.8999999999064</v>
      </c>
      <c r="G1052" s="64">
        <v>1154.8999999999064</v>
      </c>
      <c r="H1052" s="658">
        <v>36422</v>
      </c>
      <c r="I1052" s="64">
        <v>1154.9999999999063</v>
      </c>
      <c r="J1052" s="658">
        <v>36519</v>
      </c>
    </row>
    <row r="1053" spans="2:10" ht="14.4" x14ac:dyDescent="0.3">
      <c r="B1053" s="657">
        <v>36422</v>
      </c>
      <c r="C1053" s="657">
        <v>1154.8999999999064</v>
      </c>
      <c r="D1053" s="658">
        <v>36519</v>
      </c>
      <c r="E1053" s="658">
        <v>1154.9999999999063</v>
      </c>
      <c r="G1053" s="64">
        <v>1154.9999999999063</v>
      </c>
      <c r="H1053" s="658">
        <v>36519</v>
      </c>
      <c r="I1053" s="64">
        <v>1155.0999999999062</v>
      </c>
      <c r="J1053" s="658">
        <v>36618</v>
      </c>
    </row>
    <row r="1054" spans="2:10" ht="14.4" x14ac:dyDescent="0.3">
      <c r="B1054" s="657">
        <v>36519</v>
      </c>
      <c r="C1054" s="657">
        <v>1154.9999999999063</v>
      </c>
      <c r="D1054" s="658">
        <v>36618</v>
      </c>
      <c r="E1054" s="658">
        <v>1155.0999999999062</v>
      </c>
      <c r="G1054" s="64">
        <v>1155.0999999999062</v>
      </c>
      <c r="H1054" s="658">
        <v>36618</v>
      </c>
      <c r="I1054" s="64">
        <v>1155.1999999999061</v>
      </c>
      <c r="J1054" s="658">
        <v>36717</v>
      </c>
    </row>
    <row r="1055" spans="2:10" ht="14.4" x14ac:dyDescent="0.3">
      <c r="B1055" s="657">
        <v>36618</v>
      </c>
      <c r="C1055" s="657">
        <v>1155.0999999999062</v>
      </c>
      <c r="D1055" s="658">
        <v>36717</v>
      </c>
      <c r="E1055" s="658">
        <v>1155.1999999999061</v>
      </c>
      <c r="G1055" s="64">
        <v>1155.1999999999061</v>
      </c>
      <c r="H1055" s="658">
        <v>36717</v>
      </c>
      <c r="I1055" s="64">
        <v>1155.299999999906</v>
      </c>
      <c r="J1055" s="658">
        <v>36816</v>
      </c>
    </row>
    <row r="1056" spans="2:10" ht="14.4" x14ac:dyDescent="0.3">
      <c r="B1056" s="657">
        <v>36717</v>
      </c>
      <c r="C1056" s="657">
        <v>1155.1999999999061</v>
      </c>
      <c r="D1056" s="658">
        <v>36816</v>
      </c>
      <c r="E1056" s="658">
        <v>1155.299999999906</v>
      </c>
      <c r="G1056" s="64">
        <v>1155.299999999906</v>
      </c>
      <c r="H1056" s="658">
        <v>36816</v>
      </c>
      <c r="I1056" s="64">
        <v>1155.399999999906</v>
      </c>
      <c r="J1056" s="658">
        <v>36915</v>
      </c>
    </row>
    <row r="1057" spans="2:10" ht="14.4" x14ac:dyDescent="0.3">
      <c r="B1057" s="657">
        <v>36816</v>
      </c>
      <c r="C1057" s="657">
        <v>1155.299999999906</v>
      </c>
      <c r="D1057" s="658">
        <v>36915</v>
      </c>
      <c r="E1057" s="658">
        <v>1155.399999999906</v>
      </c>
      <c r="G1057" s="64">
        <v>1155.399999999906</v>
      </c>
      <c r="H1057" s="658">
        <v>36915</v>
      </c>
      <c r="I1057" s="64">
        <v>1155.4999999999059</v>
      </c>
      <c r="J1057" s="658">
        <v>37014</v>
      </c>
    </row>
    <row r="1058" spans="2:10" ht="14.4" x14ac:dyDescent="0.3">
      <c r="B1058" s="657">
        <v>36915</v>
      </c>
      <c r="C1058" s="657">
        <v>1155.399999999906</v>
      </c>
      <c r="D1058" s="658">
        <v>37014</v>
      </c>
      <c r="E1058" s="658">
        <v>1155.4999999999059</v>
      </c>
      <c r="G1058" s="64">
        <v>1155.4999999999059</v>
      </c>
      <c r="H1058" s="658">
        <v>37014</v>
      </c>
      <c r="I1058" s="64">
        <v>1155.5999999999058</v>
      </c>
      <c r="J1058" s="658">
        <v>37112</v>
      </c>
    </row>
    <row r="1059" spans="2:10" ht="14.4" x14ac:dyDescent="0.3">
      <c r="B1059" s="657">
        <v>37014</v>
      </c>
      <c r="C1059" s="657">
        <v>1155.4999999999059</v>
      </c>
      <c r="D1059" s="658">
        <v>37112</v>
      </c>
      <c r="E1059" s="658">
        <v>1155.5999999999058</v>
      </c>
      <c r="G1059" s="64">
        <v>1155.5999999999058</v>
      </c>
      <c r="H1059" s="658">
        <v>37112</v>
      </c>
      <c r="I1059" s="64">
        <v>1155.6999999999057</v>
      </c>
      <c r="J1059" s="658">
        <v>37211</v>
      </c>
    </row>
    <row r="1060" spans="2:10" ht="14.4" x14ac:dyDescent="0.3">
      <c r="B1060" s="657">
        <v>37112</v>
      </c>
      <c r="C1060" s="657">
        <v>1155.5999999999058</v>
      </c>
      <c r="D1060" s="658">
        <v>37211</v>
      </c>
      <c r="E1060" s="658">
        <v>1155.6999999999057</v>
      </c>
      <c r="G1060" s="64">
        <v>1155.6999999999057</v>
      </c>
      <c r="H1060" s="658">
        <v>37211</v>
      </c>
      <c r="I1060" s="64">
        <v>1155.7999999999056</v>
      </c>
      <c r="J1060" s="658">
        <v>37310</v>
      </c>
    </row>
    <row r="1061" spans="2:10" ht="14.4" x14ac:dyDescent="0.3">
      <c r="B1061" s="657">
        <v>37211</v>
      </c>
      <c r="C1061" s="657">
        <v>1155.6999999999057</v>
      </c>
      <c r="D1061" s="658">
        <v>37310</v>
      </c>
      <c r="E1061" s="658">
        <v>1155.7999999999056</v>
      </c>
      <c r="G1061" s="64">
        <v>1155.7999999999056</v>
      </c>
      <c r="H1061" s="658">
        <v>37310</v>
      </c>
      <c r="I1061" s="64">
        <v>1155.8999999999055</v>
      </c>
      <c r="J1061" s="658">
        <v>37409</v>
      </c>
    </row>
    <row r="1062" spans="2:10" ht="14.4" x14ac:dyDescent="0.3">
      <c r="B1062" s="657">
        <v>37310</v>
      </c>
      <c r="C1062" s="657">
        <v>1155.7999999999056</v>
      </c>
      <c r="D1062" s="658">
        <v>37409</v>
      </c>
      <c r="E1062" s="658">
        <v>1155.8999999999055</v>
      </c>
      <c r="G1062" s="64">
        <v>1155.8999999999055</v>
      </c>
      <c r="H1062" s="658">
        <v>37409</v>
      </c>
      <c r="I1062" s="64">
        <v>1155.9999999999054</v>
      </c>
      <c r="J1062" s="658">
        <v>37508</v>
      </c>
    </row>
    <row r="1063" spans="2:10" ht="14.4" x14ac:dyDescent="0.3">
      <c r="B1063" s="657">
        <v>37409</v>
      </c>
      <c r="C1063" s="657">
        <v>1155.8999999999055</v>
      </c>
      <c r="D1063" s="658">
        <v>37508</v>
      </c>
      <c r="E1063" s="658">
        <v>1155.9999999999054</v>
      </c>
      <c r="G1063" s="64">
        <v>1155.9999999999054</v>
      </c>
      <c r="H1063" s="658">
        <v>37508</v>
      </c>
      <c r="I1063" s="64">
        <v>1156.0999999999053</v>
      </c>
      <c r="J1063" s="658">
        <v>37608</v>
      </c>
    </row>
    <row r="1064" spans="2:10" ht="14.4" x14ac:dyDescent="0.3">
      <c r="B1064" s="657">
        <v>37508</v>
      </c>
      <c r="C1064" s="657">
        <v>1155.9999999999054</v>
      </c>
      <c r="D1064" s="658">
        <v>37608</v>
      </c>
      <c r="E1064" s="658">
        <v>1156.0999999999053</v>
      </c>
      <c r="G1064" s="64">
        <v>1156.0999999999053</v>
      </c>
      <c r="H1064" s="658">
        <v>37608</v>
      </c>
      <c r="I1064" s="64">
        <v>1156.1999999999052</v>
      </c>
      <c r="J1064" s="658">
        <v>37709</v>
      </c>
    </row>
    <row r="1065" spans="2:10" ht="14.4" x14ac:dyDescent="0.3">
      <c r="B1065" s="657">
        <v>37608</v>
      </c>
      <c r="C1065" s="657">
        <v>1156.0999999999053</v>
      </c>
      <c r="D1065" s="658">
        <v>37709</v>
      </c>
      <c r="E1065" s="658">
        <v>1156.1999999999052</v>
      </c>
      <c r="G1065" s="64">
        <v>1156.1999999999052</v>
      </c>
      <c r="H1065" s="658">
        <v>37709</v>
      </c>
      <c r="I1065" s="64">
        <v>1156.2999999999051</v>
      </c>
      <c r="J1065" s="658">
        <v>37809</v>
      </c>
    </row>
    <row r="1066" spans="2:10" ht="14.4" x14ac:dyDescent="0.3">
      <c r="B1066" s="657">
        <v>37709</v>
      </c>
      <c r="C1066" s="657">
        <v>1156.1999999999052</v>
      </c>
      <c r="D1066" s="658">
        <v>37809</v>
      </c>
      <c r="E1066" s="658">
        <v>1156.2999999999051</v>
      </c>
      <c r="G1066" s="64">
        <v>1156.2999999999051</v>
      </c>
      <c r="H1066" s="658">
        <v>37809</v>
      </c>
      <c r="I1066" s="64">
        <v>1156.399999999905</v>
      </c>
      <c r="J1066" s="658">
        <v>37909</v>
      </c>
    </row>
    <row r="1067" spans="2:10" ht="14.4" x14ac:dyDescent="0.3">
      <c r="B1067" s="657">
        <v>37809</v>
      </c>
      <c r="C1067" s="657">
        <v>1156.2999999999051</v>
      </c>
      <c r="D1067" s="658">
        <v>37909</v>
      </c>
      <c r="E1067" s="658">
        <v>1156.399999999905</v>
      </c>
      <c r="G1067" s="64">
        <v>1156.399999999905</v>
      </c>
      <c r="H1067" s="658">
        <v>37909</v>
      </c>
      <c r="I1067" s="64">
        <v>1156.499999999905</v>
      </c>
      <c r="J1067" s="658">
        <v>38010</v>
      </c>
    </row>
    <row r="1068" spans="2:10" ht="14.4" x14ac:dyDescent="0.3">
      <c r="B1068" s="657">
        <v>37909</v>
      </c>
      <c r="C1068" s="657">
        <v>1156.399999999905</v>
      </c>
      <c r="D1068" s="658">
        <v>38010</v>
      </c>
      <c r="E1068" s="658">
        <v>1156.499999999905</v>
      </c>
      <c r="G1068" s="64">
        <v>1156.499999999905</v>
      </c>
      <c r="H1068" s="658">
        <v>38010</v>
      </c>
      <c r="I1068" s="64">
        <v>1156.5999999999049</v>
      </c>
      <c r="J1068" s="658">
        <v>38110</v>
      </c>
    </row>
    <row r="1069" spans="2:10" ht="14.4" x14ac:dyDescent="0.3">
      <c r="B1069" s="657">
        <v>38010</v>
      </c>
      <c r="C1069" s="657">
        <v>1156.499999999905</v>
      </c>
      <c r="D1069" s="658">
        <v>38110</v>
      </c>
      <c r="E1069" s="658">
        <v>1156.5999999999049</v>
      </c>
      <c r="G1069" s="64">
        <v>1156.5999999999049</v>
      </c>
      <c r="H1069" s="658">
        <v>38110</v>
      </c>
      <c r="I1069" s="64">
        <v>1156.6999999999048</v>
      </c>
      <c r="J1069" s="658">
        <v>38210</v>
      </c>
    </row>
    <row r="1070" spans="2:10" ht="14.4" x14ac:dyDescent="0.3">
      <c r="B1070" s="657">
        <v>38110</v>
      </c>
      <c r="C1070" s="657">
        <v>1156.5999999999049</v>
      </c>
      <c r="D1070" s="658">
        <v>38210</v>
      </c>
      <c r="E1070" s="658">
        <v>1156.6999999999048</v>
      </c>
      <c r="G1070" s="64">
        <v>1156.6999999999048</v>
      </c>
      <c r="H1070" s="658">
        <v>38210</v>
      </c>
      <c r="I1070" s="64">
        <v>1156.7999999999047</v>
      </c>
      <c r="J1070" s="658">
        <v>38310</v>
      </c>
    </row>
    <row r="1071" spans="2:10" ht="14.4" x14ac:dyDescent="0.3">
      <c r="B1071" s="657">
        <v>38210</v>
      </c>
      <c r="C1071" s="657">
        <v>1156.6999999999048</v>
      </c>
      <c r="D1071" s="658">
        <v>38310</v>
      </c>
      <c r="E1071" s="658">
        <v>1156.7999999999047</v>
      </c>
      <c r="G1071" s="64">
        <v>1156.7999999999047</v>
      </c>
      <c r="H1071" s="658">
        <v>38310</v>
      </c>
      <c r="I1071" s="64">
        <v>1156.8999999999046</v>
      </c>
      <c r="J1071" s="658">
        <v>38411</v>
      </c>
    </row>
    <row r="1072" spans="2:10" ht="14.4" x14ac:dyDescent="0.3">
      <c r="B1072" s="657">
        <v>38310</v>
      </c>
      <c r="C1072" s="657">
        <v>1156.7999999999047</v>
      </c>
      <c r="D1072" s="658">
        <v>38411</v>
      </c>
      <c r="E1072" s="658">
        <v>1156.8999999999046</v>
      </c>
      <c r="G1072" s="64">
        <v>1156.8999999999046</v>
      </c>
      <c r="H1072" s="658">
        <v>38411</v>
      </c>
      <c r="I1072" s="64">
        <v>1156.9999999999045</v>
      </c>
      <c r="J1072" s="658">
        <v>38511</v>
      </c>
    </row>
    <row r="1073" spans="2:10" ht="14.4" x14ac:dyDescent="0.3">
      <c r="B1073" s="657">
        <v>38411</v>
      </c>
      <c r="C1073" s="657">
        <v>1156.8999999999046</v>
      </c>
      <c r="D1073" s="658">
        <v>38511</v>
      </c>
      <c r="E1073" s="658">
        <v>1156.9999999999045</v>
      </c>
      <c r="G1073" s="64">
        <v>1156.9999999999045</v>
      </c>
      <c r="H1073" s="658">
        <v>38511</v>
      </c>
      <c r="I1073" s="64">
        <v>1157.0999999999044</v>
      </c>
      <c r="J1073" s="658">
        <v>38613</v>
      </c>
    </row>
    <row r="1074" spans="2:10" ht="14.4" x14ac:dyDescent="0.3">
      <c r="B1074" s="657">
        <v>38511</v>
      </c>
      <c r="C1074" s="657">
        <v>1156.9999999999045</v>
      </c>
      <c r="D1074" s="658">
        <v>38613</v>
      </c>
      <c r="E1074" s="658">
        <v>1157.0999999999044</v>
      </c>
      <c r="G1074" s="64">
        <v>1157.0999999999044</v>
      </c>
      <c r="H1074" s="658">
        <v>38613</v>
      </c>
      <c r="I1074" s="64">
        <v>1157.1999999999043</v>
      </c>
      <c r="J1074" s="658">
        <v>38714</v>
      </c>
    </row>
    <row r="1075" spans="2:10" ht="14.4" x14ac:dyDescent="0.3">
      <c r="B1075" s="657">
        <v>38613</v>
      </c>
      <c r="C1075" s="657">
        <v>1157.0999999999044</v>
      </c>
      <c r="D1075" s="658">
        <v>38714</v>
      </c>
      <c r="E1075" s="658">
        <v>1157.1999999999043</v>
      </c>
      <c r="G1075" s="64">
        <v>1157.1999999999043</v>
      </c>
      <c r="H1075" s="658">
        <v>38714</v>
      </c>
      <c r="I1075" s="64">
        <v>1157.2999999999042</v>
      </c>
      <c r="J1075" s="658">
        <v>38816</v>
      </c>
    </row>
    <row r="1076" spans="2:10" ht="14.4" x14ac:dyDescent="0.3">
      <c r="B1076" s="657">
        <v>38714</v>
      </c>
      <c r="C1076" s="657">
        <v>1157.1999999999043</v>
      </c>
      <c r="D1076" s="658">
        <v>38816</v>
      </c>
      <c r="E1076" s="658">
        <v>1157.2999999999042</v>
      </c>
      <c r="G1076" s="64">
        <v>1157.2999999999042</v>
      </c>
      <c r="H1076" s="658">
        <v>38816</v>
      </c>
      <c r="I1076" s="64">
        <v>1157.3999999999041</v>
      </c>
      <c r="J1076" s="658">
        <v>38918</v>
      </c>
    </row>
    <row r="1077" spans="2:10" ht="14.4" x14ac:dyDescent="0.3">
      <c r="B1077" s="657">
        <v>38816</v>
      </c>
      <c r="C1077" s="657">
        <v>1157.2999999999042</v>
      </c>
      <c r="D1077" s="658">
        <v>38918</v>
      </c>
      <c r="E1077" s="658">
        <v>1157.3999999999041</v>
      </c>
      <c r="G1077" s="64">
        <v>1157.3999999999041</v>
      </c>
      <c r="H1077" s="658">
        <v>38918</v>
      </c>
      <c r="I1077" s="64">
        <v>1157.499999999904</v>
      </c>
      <c r="J1077" s="658">
        <v>39020</v>
      </c>
    </row>
    <row r="1078" spans="2:10" ht="14.4" x14ac:dyDescent="0.3">
      <c r="B1078" s="657">
        <v>38918</v>
      </c>
      <c r="C1078" s="657">
        <v>1157.3999999999041</v>
      </c>
      <c r="D1078" s="658">
        <v>39020</v>
      </c>
      <c r="E1078" s="658">
        <v>1157.499999999904</v>
      </c>
      <c r="G1078" s="64">
        <v>1157.499999999904</v>
      </c>
      <c r="H1078" s="658">
        <v>39020</v>
      </c>
      <c r="I1078" s="64">
        <v>1157.599999999904</v>
      </c>
      <c r="J1078" s="658">
        <v>39121</v>
      </c>
    </row>
    <row r="1079" spans="2:10" ht="14.4" x14ac:dyDescent="0.3">
      <c r="B1079" s="657">
        <v>39020</v>
      </c>
      <c r="C1079" s="657">
        <v>1157.499999999904</v>
      </c>
      <c r="D1079" s="658">
        <v>39121</v>
      </c>
      <c r="E1079" s="658">
        <v>1157.599999999904</v>
      </c>
      <c r="G1079" s="64">
        <v>1157.599999999904</v>
      </c>
      <c r="H1079" s="658">
        <v>39121</v>
      </c>
      <c r="I1079" s="64">
        <v>1157.6999999999039</v>
      </c>
      <c r="J1079" s="658">
        <v>39223</v>
      </c>
    </row>
    <row r="1080" spans="2:10" ht="14.4" x14ac:dyDescent="0.3">
      <c r="B1080" s="657">
        <v>39121</v>
      </c>
      <c r="C1080" s="657">
        <v>1157.599999999904</v>
      </c>
      <c r="D1080" s="658">
        <v>39223</v>
      </c>
      <c r="E1080" s="658">
        <v>1157.6999999999039</v>
      </c>
      <c r="G1080" s="64">
        <v>1157.6999999999039</v>
      </c>
      <c r="H1080" s="658">
        <v>39223</v>
      </c>
      <c r="I1080" s="64">
        <v>1157.7999999999038</v>
      </c>
      <c r="J1080" s="658">
        <v>39325</v>
      </c>
    </row>
    <row r="1081" spans="2:10" ht="14.4" x14ac:dyDescent="0.3">
      <c r="B1081" s="657">
        <v>39223</v>
      </c>
      <c r="C1081" s="657">
        <v>1157.6999999999039</v>
      </c>
      <c r="D1081" s="658">
        <v>39325</v>
      </c>
      <c r="E1081" s="658">
        <v>1157.7999999999038</v>
      </c>
      <c r="G1081" s="64">
        <v>1157.7999999999038</v>
      </c>
      <c r="H1081" s="658">
        <v>39325</v>
      </c>
      <c r="I1081" s="64">
        <v>1157.8999999999037</v>
      </c>
      <c r="J1081" s="658">
        <v>39426</v>
      </c>
    </row>
    <row r="1082" spans="2:10" ht="14.4" x14ac:dyDescent="0.3">
      <c r="B1082" s="657">
        <v>39325</v>
      </c>
      <c r="C1082" s="657">
        <v>1157.7999999999038</v>
      </c>
      <c r="D1082" s="658">
        <v>39426</v>
      </c>
      <c r="E1082" s="658">
        <v>1157.8999999999037</v>
      </c>
      <c r="G1082" s="64">
        <v>1157.8999999999037</v>
      </c>
      <c r="H1082" s="658">
        <v>39426</v>
      </c>
      <c r="I1082" s="64">
        <v>1157.9999999999036</v>
      </c>
      <c r="J1082" s="658">
        <v>39528</v>
      </c>
    </row>
    <row r="1083" spans="2:10" ht="14.4" x14ac:dyDescent="0.3">
      <c r="B1083" s="657">
        <v>39426</v>
      </c>
      <c r="C1083" s="657">
        <v>1157.8999999999037</v>
      </c>
      <c r="D1083" s="658">
        <v>39528</v>
      </c>
      <c r="E1083" s="658">
        <v>1157.9999999999036</v>
      </c>
      <c r="G1083" s="64">
        <v>1157.9999999999036</v>
      </c>
      <c r="H1083" s="658">
        <v>39528</v>
      </c>
      <c r="I1083" s="64">
        <v>1158.0999999999035</v>
      </c>
      <c r="J1083" s="658">
        <v>39631</v>
      </c>
    </row>
    <row r="1084" spans="2:10" ht="14.4" x14ac:dyDescent="0.3">
      <c r="B1084" s="657">
        <v>39528</v>
      </c>
      <c r="C1084" s="657">
        <v>1157.9999999999036</v>
      </c>
      <c r="D1084" s="658">
        <v>39631</v>
      </c>
      <c r="E1084" s="658">
        <v>1158.0999999999035</v>
      </c>
      <c r="G1084" s="64">
        <v>1158.0999999999035</v>
      </c>
      <c r="H1084" s="658">
        <v>39631</v>
      </c>
      <c r="I1084" s="64">
        <v>1158.1999999999034</v>
      </c>
      <c r="J1084" s="658">
        <v>39734</v>
      </c>
    </row>
    <row r="1085" spans="2:10" ht="14.4" x14ac:dyDescent="0.3">
      <c r="B1085" s="657">
        <v>39631</v>
      </c>
      <c r="C1085" s="657">
        <v>1158.0999999999035</v>
      </c>
      <c r="D1085" s="658">
        <v>39734</v>
      </c>
      <c r="E1085" s="658">
        <v>1158.1999999999034</v>
      </c>
      <c r="G1085" s="64">
        <v>1158.1999999999034</v>
      </c>
      <c r="H1085" s="658">
        <v>39734</v>
      </c>
      <c r="I1085" s="64">
        <v>1158.2999999999033</v>
      </c>
      <c r="J1085" s="658">
        <v>39838</v>
      </c>
    </row>
    <row r="1086" spans="2:10" ht="14.4" x14ac:dyDescent="0.3">
      <c r="B1086" s="657">
        <v>39734</v>
      </c>
      <c r="C1086" s="657">
        <v>1158.1999999999034</v>
      </c>
      <c r="D1086" s="658">
        <v>39838</v>
      </c>
      <c r="E1086" s="658">
        <v>1158.2999999999033</v>
      </c>
      <c r="G1086" s="64">
        <v>1158.2999999999033</v>
      </c>
      <c r="H1086" s="658">
        <v>39838</v>
      </c>
      <c r="I1086" s="64">
        <v>1158.3999999999032</v>
      </c>
      <c r="J1086" s="658">
        <v>39941</v>
      </c>
    </row>
    <row r="1087" spans="2:10" ht="14.4" x14ac:dyDescent="0.3">
      <c r="B1087" s="657">
        <v>39838</v>
      </c>
      <c r="C1087" s="657">
        <v>1158.2999999999033</v>
      </c>
      <c r="D1087" s="658">
        <v>39941</v>
      </c>
      <c r="E1087" s="658">
        <v>1158.3999999999032</v>
      </c>
      <c r="G1087" s="64">
        <v>1158.3999999999032</v>
      </c>
      <c r="H1087" s="658">
        <v>39941</v>
      </c>
      <c r="I1087" s="64">
        <v>1158.4999999999031</v>
      </c>
      <c r="J1087" s="658">
        <v>40044</v>
      </c>
    </row>
    <row r="1088" spans="2:10" ht="14.4" x14ac:dyDescent="0.3">
      <c r="B1088" s="657">
        <v>39941</v>
      </c>
      <c r="C1088" s="657">
        <v>1158.3999999999032</v>
      </c>
      <c r="D1088" s="658">
        <v>40044</v>
      </c>
      <c r="E1088" s="658">
        <v>1158.4999999999031</v>
      </c>
      <c r="G1088" s="64">
        <v>1158.4999999999031</v>
      </c>
      <c r="H1088" s="658">
        <v>40044</v>
      </c>
      <c r="I1088" s="64">
        <v>1158.599999999903</v>
      </c>
      <c r="J1088" s="658">
        <v>40147</v>
      </c>
    </row>
    <row r="1089" spans="2:10" ht="14.4" x14ac:dyDescent="0.3">
      <c r="B1089" s="657">
        <v>40044</v>
      </c>
      <c r="C1089" s="657">
        <v>1158.4999999999031</v>
      </c>
      <c r="D1089" s="658">
        <v>40147</v>
      </c>
      <c r="E1089" s="658">
        <v>1158.599999999903</v>
      </c>
      <c r="G1089" s="64">
        <v>1158.599999999903</v>
      </c>
      <c r="H1089" s="658">
        <v>40147</v>
      </c>
      <c r="I1089" s="64">
        <v>1158.699999999903</v>
      </c>
      <c r="J1089" s="658">
        <v>40250</v>
      </c>
    </row>
    <row r="1090" spans="2:10" ht="14.4" x14ac:dyDescent="0.3">
      <c r="B1090" s="657">
        <v>40147</v>
      </c>
      <c r="C1090" s="657">
        <v>1158.599999999903</v>
      </c>
      <c r="D1090" s="658">
        <v>40250</v>
      </c>
      <c r="E1090" s="658">
        <v>1158.699999999903</v>
      </c>
      <c r="G1090" s="64">
        <v>1158.699999999903</v>
      </c>
      <c r="H1090" s="658">
        <v>40250</v>
      </c>
      <c r="I1090" s="64">
        <v>1158.7999999999029</v>
      </c>
      <c r="J1090" s="658">
        <v>40354</v>
      </c>
    </row>
    <row r="1091" spans="2:10" ht="14.4" x14ac:dyDescent="0.3">
      <c r="B1091" s="657">
        <v>40250</v>
      </c>
      <c r="C1091" s="657">
        <v>1158.699999999903</v>
      </c>
      <c r="D1091" s="658">
        <v>40354</v>
      </c>
      <c r="E1091" s="658">
        <v>1158.7999999999029</v>
      </c>
      <c r="G1091" s="64">
        <v>1158.7999999999029</v>
      </c>
      <c r="H1091" s="658">
        <v>40354</v>
      </c>
      <c r="I1091" s="64">
        <v>1158.8999999999028</v>
      </c>
      <c r="J1091" s="658">
        <v>40457</v>
      </c>
    </row>
    <row r="1092" spans="2:10" ht="14.4" x14ac:dyDescent="0.3">
      <c r="B1092" s="657">
        <v>40354</v>
      </c>
      <c r="C1092" s="657">
        <v>1158.7999999999029</v>
      </c>
      <c r="D1092" s="658">
        <v>40457</v>
      </c>
      <c r="E1092" s="658">
        <v>1158.8999999999028</v>
      </c>
      <c r="G1092" s="64">
        <v>1158.8999999999028</v>
      </c>
      <c r="H1092" s="658">
        <v>40457</v>
      </c>
      <c r="I1092" s="64">
        <v>1158.9999999999027</v>
      </c>
      <c r="J1092" s="658">
        <v>40560</v>
      </c>
    </row>
    <row r="1093" spans="2:10" ht="14.4" x14ac:dyDescent="0.3">
      <c r="B1093" s="657">
        <v>40457</v>
      </c>
      <c r="C1093" s="657">
        <v>1158.8999999999028</v>
      </c>
      <c r="D1093" s="658">
        <v>40560</v>
      </c>
      <c r="E1093" s="658">
        <v>1158.9999999999027</v>
      </c>
      <c r="G1093" s="64">
        <v>1158.9999999999027</v>
      </c>
      <c r="H1093" s="658">
        <v>40560</v>
      </c>
      <c r="I1093" s="64">
        <v>1159.0999999999026</v>
      </c>
      <c r="J1093" s="658">
        <v>40665</v>
      </c>
    </row>
    <row r="1094" spans="2:10" ht="14.4" x14ac:dyDescent="0.3">
      <c r="B1094" s="657">
        <v>40560</v>
      </c>
      <c r="C1094" s="657">
        <v>1158.9999999999027</v>
      </c>
      <c r="D1094" s="658">
        <v>40665</v>
      </c>
      <c r="E1094" s="658">
        <v>1159.0999999999026</v>
      </c>
      <c r="G1094" s="64">
        <v>1159.0999999999026</v>
      </c>
      <c r="H1094" s="658">
        <v>40665</v>
      </c>
      <c r="I1094" s="64">
        <v>1159.1999999999025</v>
      </c>
      <c r="J1094" s="658">
        <v>40769</v>
      </c>
    </row>
    <row r="1095" spans="2:10" ht="14.4" x14ac:dyDescent="0.3">
      <c r="B1095" s="657">
        <v>40665</v>
      </c>
      <c r="C1095" s="657">
        <v>1159.0999999999026</v>
      </c>
      <c r="D1095" s="658">
        <v>40769</v>
      </c>
      <c r="E1095" s="658">
        <v>1159.1999999999025</v>
      </c>
      <c r="G1095" s="64">
        <v>1159.1999999999025</v>
      </c>
      <c r="H1095" s="658">
        <v>40769</v>
      </c>
      <c r="I1095" s="64">
        <v>1159.2999999999024</v>
      </c>
      <c r="J1095" s="658">
        <v>40874</v>
      </c>
    </row>
    <row r="1096" spans="2:10" ht="14.4" x14ac:dyDescent="0.3">
      <c r="B1096" s="657">
        <v>40769</v>
      </c>
      <c r="C1096" s="657">
        <v>1159.1999999999025</v>
      </c>
      <c r="D1096" s="658">
        <v>40874</v>
      </c>
      <c r="E1096" s="658">
        <v>1159.2999999999024</v>
      </c>
      <c r="G1096" s="64">
        <v>1159.2999999999024</v>
      </c>
      <c r="H1096" s="658">
        <v>40874</v>
      </c>
      <c r="I1096" s="64">
        <v>1159.3999999999023</v>
      </c>
      <c r="J1096" s="658">
        <v>40979</v>
      </c>
    </row>
    <row r="1097" spans="2:10" ht="14.4" x14ac:dyDescent="0.3">
      <c r="B1097" s="657">
        <v>40874</v>
      </c>
      <c r="C1097" s="657">
        <v>1159.2999999999024</v>
      </c>
      <c r="D1097" s="658">
        <v>40979</v>
      </c>
      <c r="E1097" s="658">
        <v>1159.3999999999023</v>
      </c>
      <c r="G1097" s="64">
        <v>1159.3999999999023</v>
      </c>
      <c r="H1097" s="658">
        <v>40979</v>
      </c>
      <c r="I1097" s="64">
        <v>1159.4999999999022</v>
      </c>
      <c r="J1097" s="658">
        <v>41084</v>
      </c>
    </row>
    <row r="1098" spans="2:10" ht="14.4" x14ac:dyDescent="0.3">
      <c r="B1098" s="657">
        <v>40979</v>
      </c>
      <c r="C1098" s="657">
        <v>1159.3999999999023</v>
      </c>
      <c r="D1098" s="658">
        <v>41084</v>
      </c>
      <c r="E1098" s="658">
        <v>1159.4999999999022</v>
      </c>
      <c r="G1098" s="64">
        <v>1159.4999999999022</v>
      </c>
      <c r="H1098" s="658">
        <v>41084</v>
      </c>
      <c r="I1098" s="64">
        <v>1159.5999999999021</v>
      </c>
      <c r="J1098" s="658">
        <v>41188</v>
      </c>
    </row>
    <row r="1099" spans="2:10" ht="14.4" x14ac:dyDescent="0.3">
      <c r="B1099" s="657">
        <v>41084</v>
      </c>
      <c r="C1099" s="657">
        <v>1159.4999999999022</v>
      </c>
      <c r="D1099" s="658">
        <v>41188</v>
      </c>
      <c r="E1099" s="658">
        <v>1159.5999999999021</v>
      </c>
      <c r="G1099" s="64">
        <v>1159.5999999999021</v>
      </c>
      <c r="H1099" s="658">
        <v>41188</v>
      </c>
      <c r="I1099" s="64">
        <v>1159.699999999902</v>
      </c>
      <c r="J1099" s="658">
        <v>41293</v>
      </c>
    </row>
    <row r="1100" spans="2:10" ht="14.4" x14ac:dyDescent="0.3">
      <c r="B1100" s="657">
        <v>41188</v>
      </c>
      <c r="C1100" s="657">
        <v>1159.5999999999021</v>
      </c>
      <c r="D1100" s="658">
        <v>41293</v>
      </c>
      <c r="E1100" s="658">
        <v>1159.699999999902</v>
      </c>
      <c r="G1100" s="64">
        <v>1159.699999999902</v>
      </c>
      <c r="H1100" s="658">
        <v>41293</v>
      </c>
      <c r="I1100" s="64">
        <v>1159.799999999902</v>
      </c>
      <c r="J1100" s="658">
        <v>41398</v>
      </c>
    </row>
    <row r="1101" spans="2:10" ht="14.4" x14ac:dyDescent="0.3">
      <c r="B1101" s="657">
        <v>41293</v>
      </c>
      <c r="C1101" s="657">
        <v>1159.699999999902</v>
      </c>
      <c r="D1101" s="658">
        <v>41398</v>
      </c>
      <c r="E1101" s="658">
        <v>1159.799999999902</v>
      </c>
      <c r="G1101" s="64">
        <v>1159.799999999902</v>
      </c>
      <c r="H1101" s="658">
        <v>41398</v>
      </c>
      <c r="I1101" s="64">
        <v>1159.8999999999019</v>
      </c>
      <c r="J1101" s="658">
        <v>41502</v>
      </c>
    </row>
    <row r="1102" spans="2:10" ht="14.4" x14ac:dyDescent="0.3">
      <c r="B1102" s="657">
        <v>41398</v>
      </c>
      <c r="C1102" s="657">
        <v>1159.799999999902</v>
      </c>
      <c r="D1102" s="658">
        <v>41502</v>
      </c>
      <c r="E1102" s="658">
        <v>1159.8999999999019</v>
      </c>
      <c r="G1102" s="64">
        <v>1159.8999999999019</v>
      </c>
      <c r="H1102" s="658">
        <v>41502</v>
      </c>
      <c r="I1102" s="64">
        <v>1159.9999999999018</v>
      </c>
      <c r="J1102" s="658">
        <v>41607</v>
      </c>
    </row>
    <row r="1103" spans="2:10" ht="14.4" x14ac:dyDescent="0.3">
      <c r="B1103" s="657">
        <v>41502</v>
      </c>
      <c r="C1103" s="657">
        <v>1159.8999999999019</v>
      </c>
      <c r="D1103" s="658">
        <v>41607</v>
      </c>
      <c r="E1103" s="658">
        <v>1159.9999999999018</v>
      </c>
      <c r="G1103" s="64">
        <v>1159.9999999999018</v>
      </c>
      <c r="H1103" s="658">
        <v>41607</v>
      </c>
      <c r="I1103" s="64">
        <v>1160.0999999999017</v>
      </c>
      <c r="J1103" s="658">
        <v>41713</v>
      </c>
    </row>
    <row r="1104" spans="2:10" ht="14.4" x14ac:dyDescent="0.3">
      <c r="B1104" s="657">
        <v>41607</v>
      </c>
      <c r="C1104" s="657">
        <v>1159.9999999999018</v>
      </c>
      <c r="D1104" s="658">
        <v>41713</v>
      </c>
      <c r="E1104" s="658">
        <v>1160.0999999999017</v>
      </c>
      <c r="G1104" s="64">
        <v>1160.0999999999017</v>
      </c>
      <c r="H1104" s="658">
        <v>41713</v>
      </c>
      <c r="I1104" s="64">
        <v>1160.1999999999016</v>
      </c>
      <c r="J1104" s="658">
        <v>41819</v>
      </c>
    </row>
    <row r="1105" spans="2:10" ht="14.4" x14ac:dyDescent="0.3">
      <c r="B1105" s="657">
        <v>41713</v>
      </c>
      <c r="C1105" s="657">
        <v>1160.0999999999017</v>
      </c>
      <c r="D1105" s="658">
        <v>41819</v>
      </c>
      <c r="E1105" s="658">
        <v>1160.1999999999016</v>
      </c>
      <c r="G1105" s="64">
        <v>1160.1999999999016</v>
      </c>
      <c r="H1105" s="658">
        <v>41819</v>
      </c>
      <c r="I1105" s="64">
        <v>1160.2999999999015</v>
      </c>
      <c r="J1105" s="658">
        <v>41925</v>
      </c>
    </row>
    <row r="1106" spans="2:10" ht="14.4" x14ac:dyDescent="0.3">
      <c r="B1106" s="657">
        <v>41819</v>
      </c>
      <c r="C1106" s="657">
        <v>1160.1999999999016</v>
      </c>
      <c r="D1106" s="658">
        <v>41925</v>
      </c>
      <c r="E1106" s="658">
        <v>1160.2999999999015</v>
      </c>
      <c r="G1106" s="64">
        <v>1160.2999999999015</v>
      </c>
      <c r="H1106" s="658">
        <v>41925</v>
      </c>
      <c r="I1106" s="64">
        <v>1160.3999999999014</v>
      </c>
      <c r="J1106" s="658">
        <v>42031</v>
      </c>
    </row>
    <row r="1107" spans="2:10" ht="14.4" x14ac:dyDescent="0.3">
      <c r="B1107" s="657">
        <v>41925</v>
      </c>
      <c r="C1107" s="657">
        <v>1160.2999999999015</v>
      </c>
      <c r="D1107" s="658">
        <v>42031</v>
      </c>
      <c r="E1107" s="658">
        <v>1160.3999999999014</v>
      </c>
      <c r="G1107" s="64">
        <v>1160.3999999999014</v>
      </c>
      <c r="H1107" s="658">
        <v>42031</v>
      </c>
      <c r="I1107" s="64">
        <v>1160.4999999999013</v>
      </c>
      <c r="J1107" s="658">
        <v>42137</v>
      </c>
    </row>
    <row r="1108" spans="2:10" ht="14.4" x14ac:dyDescent="0.3">
      <c r="B1108" s="657">
        <v>42031</v>
      </c>
      <c r="C1108" s="657">
        <v>1160.3999999999014</v>
      </c>
      <c r="D1108" s="658">
        <v>42137</v>
      </c>
      <c r="E1108" s="658">
        <v>1160.4999999999013</v>
      </c>
      <c r="G1108" s="64">
        <v>1160.4999999999013</v>
      </c>
      <c r="H1108" s="658">
        <v>42137</v>
      </c>
      <c r="I1108" s="64">
        <v>1160.5999999999012</v>
      </c>
      <c r="J1108" s="658">
        <v>42243</v>
      </c>
    </row>
    <row r="1109" spans="2:10" ht="14.4" x14ac:dyDescent="0.3">
      <c r="B1109" s="657">
        <v>42137</v>
      </c>
      <c r="C1109" s="657">
        <v>1160.4999999999013</v>
      </c>
      <c r="D1109" s="658">
        <v>42243</v>
      </c>
      <c r="E1109" s="658">
        <v>1160.5999999999012</v>
      </c>
      <c r="G1109" s="64">
        <v>1160.5999999999012</v>
      </c>
      <c r="H1109" s="658">
        <v>42243</v>
      </c>
      <c r="I1109" s="64">
        <v>1160.6999999999011</v>
      </c>
      <c r="J1109" s="658">
        <v>42349</v>
      </c>
    </row>
    <row r="1110" spans="2:10" ht="14.4" x14ac:dyDescent="0.3">
      <c r="B1110" s="657">
        <v>42243</v>
      </c>
      <c r="C1110" s="657">
        <v>1160.5999999999012</v>
      </c>
      <c r="D1110" s="658">
        <v>42349</v>
      </c>
      <c r="E1110" s="658">
        <v>1160.6999999999011</v>
      </c>
      <c r="G1110" s="64">
        <v>1160.6999999999011</v>
      </c>
      <c r="H1110" s="658">
        <v>42349</v>
      </c>
      <c r="I1110" s="64">
        <v>1160.799999999901</v>
      </c>
      <c r="J1110" s="658">
        <v>42455</v>
      </c>
    </row>
    <row r="1111" spans="2:10" ht="14.4" x14ac:dyDescent="0.3">
      <c r="B1111" s="657">
        <v>42349</v>
      </c>
      <c r="C1111" s="657">
        <v>1160.6999999999011</v>
      </c>
      <c r="D1111" s="658">
        <v>42455</v>
      </c>
      <c r="E1111" s="658">
        <v>1160.799999999901</v>
      </c>
      <c r="G1111" s="64">
        <v>1160.799999999901</v>
      </c>
      <c r="H1111" s="658">
        <v>42455</v>
      </c>
      <c r="I1111" s="64">
        <v>1160.899999999901</v>
      </c>
      <c r="J1111" s="658">
        <v>42561</v>
      </c>
    </row>
    <row r="1112" spans="2:10" ht="14.4" x14ac:dyDescent="0.3">
      <c r="B1112" s="657">
        <v>42455</v>
      </c>
      <c r="C1112" s="657">
        <v>1160.799999999901</v>
      </c>
      <c r="D1112" s="658">
        <v>42561</v>
      </c>
      <c r="E1112" s="658">
        <v>1160.899999999901</v>
      </c>
      <c r="G1112" s="64">
        <v>1160.899999999901</v>
      </c>
      <c r="H1112" s="658">
        <v>42561</v>
      </c>
      <c r="I1112" s="64">
        <v>1160.9999999999009</v>
      </c>
      <c r="J1112" s="658">
        <v>42667</v>
      </c>
    </row>
    <row r="1113" spans="2:10" ht="14.4" x14ac:dyDescent="0.3">
      <c r="B1113" s="657">
        <v>42561</v>
      </c>
      <c r="C1113" s="657">
        <v>1160.899999999901</v>
      </c>
      <c r="D1113" s="658">
        <v>42667</v>
      </c>
      <c r="E1113" s="658">
        <v>1160.9999999999009</v>
      </c>
      <c r="G1113" s="64">
        <v>1160.9999999999009</v>
      </c>
      <c r="H1113" s="658">
        <v>42667</v>
      </c>
      <c r="I1113" s="64">
        <v>1161.0999999999008</v>
      </c>
      <c r="J1113" s="658">
        <v>42774</v>
      </c>
    </row>
    <row r="1114" spans="2:10" ht="14.4" x14ac:dyDescent="0.3">
      <c r="B1114" s="657">
        <v>42667</v>
      </c>
      <c r="C1114" s="657">
        <v>1160.9999999999009</v>
      </c>
      <c r="D1114" s="658">
        <v>42774</v>
      </c>
      <c r="E1114" s="658">
        <v>1161.0999999999008</v>
      </c>
      <c r="G1114" s="64">
        <v>1161.0999999999008</v>
      </c>
      <c r="H1114" s="658">
        <v>42774</v>
      </c>
      <c r="I1114" s="64">
        <v>1161.1999999999007</v>
      </c>
      <c r="J1114" s="658">
        <v>42881</v>
      </c>
    </row>
    <row r="1115" spans="2:10" ht="14.4" x14ac:dyDescent="0.3">
      <c r="B1115" s="657">
        <v>42774</v>
      </c>
      <c r="C1115" s="657">
        <v>1161.0999999999008</v>
      </c>
      <c r="D1115" s="658">
        <v>42881</v>
      </c>
      <c r="E1115" s="658">
        <v>1161.1999999999007</v>
      </c>
      <c r="G1115" s="64">
        <v>1161.1999999999007</v>
      </c>
      <c r="H1115" s="658">
        <v>42881</v>
      </c>
      <c r="I1115" s="64">
        <v>1161.2999999999006</v>
      </c>
      <c r="J1115" s="658">
        <v>42988</v>
      </c>
    </row>
    <row r="1116" spans="2:10" ht="14.4" x14ac:dyDescent="0.3">
      <c r="B1116" s="657">
        <v>42881</v>
      </c>
      <c r="C1116" s="657">
        <v>1161.1999999999007</v>
      </c>
      <c r="D1116" s="658">
        <v>42988</v>
      </c>
      <c r="E1116" s="658">
        <v>1161.2999999999006</v>
      </c>
      <c r="G1116" s="64">
        <v>1161.2999999999006</v>
      </c>
      <c r="H1116" s="658">
        <v>42988</v>
      </c>
      <c r="I1116" s="64">
        <v>1161.3999999999005</v>
      </c>
      <c r="J1116" s="658">
        <v>43095</v>
      </c>
    </row>
    <row r="1117" spans="2:10" ht="14.4" x14ac:dyDescent="0.3">
      <c r="B1117" s="657">
        <v>42988</v>
      </c>
      <c r="C1117" s="657">
        <v>1161.2999999999006</v>
      </c>
      <c r="D1117" s="658">
        <v>43095</v>
      </c>
      <c r="E1117" s="658">
        <v>1161.3999999999005</v>
      </c>
      <c r="G1117" s="64">
        <v>1161.3999999999005</v>
      </c>
      <c r="H1117" s="658">
        <v>43095</v>
      </c>
      <c r="I1117" s="64">
        <v>1161.4999999999004</v>
      </c>
      <c r="J1117" s="658">
        <v>43202</v>
      </c>
    </row>
    <row r="1118" spans="2:10" ht="14.4" x14ac:dyDescent="0.3">
      <c r="B1118" s="657">
        <v>43095</v>
      </c>
      <c r="C1118" s="657">
        <v>1161.3999999999005</v>
      </c>
      <c r="D1118" s="658">
        <v>43202</v>
      </c>
      <c r="E1118" s="658">
        <v>1161.4999999999004</v>
      </c>
      <c r="G1118" s="64">
        <v>1161.4999999999004</v>
      </c>
      <c r="H1118" s="658">
        <v>43202</v>
      </c>
      <c r="I1118" s="64">
        <v>1161.5999999999003</v>
      </c>
      <c r="J1118" s="658">
        <v>43309</v>
      </c>
    </row>
    <row r="1119" spans="2:10" ht="14.4" x14ac:dyDescent="0.3">
      <c r="B1119" s="657">
        <v>43202</v>
      </c>
      <c r="C1119" s="657">
        <v>1161.4999999999004</v>
      </c>
      <c r="D1119" s="658">
        <v>43309</v>
      </c>
      <c r="E1119" s="658">
        <v>1161.5999999999003</v>
      </c>
      <c r="G1119" s="64">
        <v>1161.5999999999003</v>
      </c>
      <c r="H1119" s="658">
        <v>43309</v>
      </c>
      <c r="I1119" s="64">
        <v>1161.6999999999002</v>
      </c>
      <c r="J1119" s="658">
        <v>43416</v>
      </c>
    </row>
    <row r="1120" spans="2:10" ht="14.4" x14ac:dyDescent="0.3">
      <c r="B1120" s="657">
        <v>43309</v>
      </c>
      <c r="C1120" s="657">
        <v>1161.5999999999003</v>
      </c>
      <c r="D1120" s="658">
        <v>43416</v>
      </c>
      <c r="E1120" s="658">
        <v>1161.6999999999002</v>
      </c>
      <c r="G1120" s="64">
        <v>1161.6999999999002</v>
      </c>
      <c r="H1120" s="658">
        <v>43416</v>
      </c>
      <c r="I1120" s="64">
        <v>1161.7999999999001</v>
      </c>
      <c r="J1120" s="658">
        <v>43523</v>
      </c>
    </row>
    <row r="1121" spans="2:10" ht="14.4" x14ac:dyDescent="0.3">
      <c r="B1121" s="657">
        <v>43416</v>
      </c>
      <c r="C1121" s="657">
        <v>1161.6999999999002</v>
      </c>
      <c r="D1121" s="658">
        <v>43523</v>
      </c>
      <c r="E1121" s="658">
        <v>1161.7999999999001</v>
      </c>
      <c r="G1121" s="64">
        <v>1161.7999999999001</v>
      </c>
      <c r="H1121" s="658">
        <v>43523</v>
      </c>
      <c r="I1121" s="64">
        <v>1161.8999999999</v>
      </c>
      <c r="J1121" s="658">
        <v>43630</v>
      </c>
    </row>
    <row r="1122" spans="2:10" ht="14.4" x14ac:dyDescent="0.3">
      <c r="B1122" s="657">
        <v>43523</v>
      </c>
      <c r="C1122" s="657">
        <v>1161.7999999999001</v>
      </c>
      <c r="D1122" s="658">
        <v>43630</v>
      </c>
      <c r="E1122" s="658">
        <v>1161.8999999999</v>
      </c>
      <c r="G1122" s="64">
        <v>1161.8999999999</v>
      </c>
      <c r="H1122" s="658">
        <v>43630</v>
      </c>
      <c r="I1122" s="64">
        <v>1161.9999999999</v>
      </c>
      <c r="J1122" s="658">
        <v>43737</v>
      </c>
    </row>
    <row r="1123" spans="2:10" ht="14.4" x14ac:dyDescent="0.3">
      <c r="B1123" s="657">
        <v>43630</v>
      </c>
      <c r="C1123" s="657">
        <v>1161.8999999999</v>
      </c>
      <c r="D1123" s="658">
        <v>43737</v>
      </c>
      <c r="E1123" s="658">
        <v>1161.9999999999</v>
      </c>
      <c r="G1123" s="64">
        <v>1161.9999999999</v>
      </c>
      <c r="H1123" s="658">
        <v>43737</v>
      </c>
      <c r="I1123" s="64">
        <v>1162.0999999998999</v>
      </c>
      <c r="J1123" s="658">
        <v>43845</v>
      </c>
    </row>
    <row r="1124" spans="2:10" ht="14.4" x14ac:dyDescent="0.3">
      <c r="B1124" s="657">
        <v>43737</v>
      </c>
      <c r="C1124" s="657">
        <v>1161.9999999999</v>
      </c>
      <c r="D1124" s="658">
        <v>43845</v>
      </c>
      <c r="E1124" s="658">
        <v>1162.0999999998999</v>
      </c>
      <c r="G1124" s="64">
        <v>1162.0999999998999</v>
      </c>
      <c r="H1124" s="658">
        <v>43845</v>
      </c>
      <c r="I1124" s="64">
        <v>1162.1999999998998</v>
      </c>
      <c r="J1124" s="658">
        <v>43953</v>
      </c>
    </row>
    <row r="1125" spans="2:10" ht="14.4" x14ac:dyDescent="0.3">
      <c r="B1125" s="657">
        <v>43845</v>
      </c>
      <c r="C1125" s="657">
        <v>1162.0999999998999</v>
      </c>
      <c r="D1125" s="658">
        <v>43953</v>
      </c>
      <c r="E1125" s="658">
        <v>1162.1999999998998</v>
      </c>
      <c r="G1125" s="64">
        <v>1162.1999999998998</v>
      </c>
      <c r="H1125" s="658">
        <v>43953</v>
      </c>
      <c r="I1125" s="64">
        <v>1162.2999999998997</v>
      </c>
      <c r="J1125" s="658">
        <v>44062</v>
      </c>
    </row>
    <row r="1126" spans="2:10" ht="14.4" x14ac:dyDescent="0.3">
      <c r="B1126" s="657">
        <v>43953</v>
      </c>
      <c r="C1126" s="657">
        <v>1162.1999999998998</v>
      </c>
      <c r="D1126" s="658">
        <v>44062</v>
      </c>
      <c r="E1126" s="658">
        <v>1162.2999999998997</v>
      </c>
      <c r="G1126" s="64">
        <v>1162.2999999998997</v>
      </c>
      <c r="H1126" s="658">
        <v>44062</v>
      </c>
      <c r="I1126" s="64">
        <v>1162.3999999998996</v>
      </c>
      <c r="J1126" s="658">
        <v>44170</v>
      </c>
    </row>
    <row r="1127" spans="2:10" ht="14.4" x14ac:dyDescent="0.3">
      <c r="B1127" s="657">
        <v>44062</v>
      </c>
      <c r="C1127" s="657">
        <v>1162.2999999998997</v>
      </c>
      <c r="D1127" s="658">
        <v>44170</v>
      </c>
      <c r="E1127" s="658">
        <v>1162.3999999998996</v>
      </c>
      <c r="G1127" s="64">
        <v>1162.3999999998996</v>
      </c>
      <c r="H1127" s="658">
        <v>44170</v>
      </c>
      <c r="I1127" s="64">
        <v>1162.4999999998995</v>
      </c>
      <c r="J1127" s="658">
        <v>44278</v>
      </c>
    </row>
    <row r="1128" spans="2:10" ht="14.4" x14ac:dyDescent="0.3">
      <c r="B1128" s="657">
        <v>44170</v>
      </c>
      <c r="C1128" s="657">
        <v>1162.3999999998996</v>
      </c>
      <c r="D1128" s="658">
        <v>44278</v>
      </c>
      <c r="E1128" s="658">
        <v>1162.4999999998995</v>
      </c>
      <c r="G1128" s="64">
        <v>1162.4999999998995</v>
      </c>
      <c r="H1128" s="658">
        <v>44278</v>
      </c>
      <c r="I1128" s="64">
        <v>1162.5999999998994</v>
      </c>
      <c r="J1128" s="658">
        <v>44386</v>
      </c>
    </row>
    <row r="1129" spans="2:10" ht="14.4" x14ac:dyDescent="0.3">
      <c r="B1129" s="657">
        <v>44278</v>
      </c>
      <c r="C1129" s="657">
        <v>1162.4999999998995</v>
      </c>
      <c r="D1129" s="658">
        <v>44386</v>
      </c>
      <c r="E1129" s="658">
        <v>1162.5999999998994</v>
      </c>
      <c r="G1129" s="64">
        <v>1162.5999999998994</v>
      </c>
      <c r="H1129" s="658">
        <v>44386</v>
      </c>
      <c r="I1129" s="64">
        <v>1162.6999999998993</v>
      </c>
      <c r="J1129" s="658">
        <v>44494</v>
      </c>
    </row>
    <row r="1130" spans="2:10" ht="14.4" x14ac:dyDescent="0.3">
      <c r="B1130" s="657">
        <v>44386</v>
      </c>
      <c r="C1130" s="657">
        <v>1162.5999999998994</v>
      </c>
      <c r="D1130" s="658">
        <v>44494</v>
      </c>
      <c r="E1130" s="658">
        <v>1162.6999999998993</v>
      </c>
      <c r="G1130" s="64">
        <v>1162.6999999998993</v>
      </c>
      <c r="H1130" s="658">
        <v>44494</v>
      </c>
      <c r="I1130" s="64">
        <v>1162.7999999998992</v>
      </c>
      <c r="J1130" s="658">
        <v>44603</v>
      </c>
    </row>
    <row r="1131" spans="2:10" ht="14.4" x14ac:dyDescent="0.3">
      <c r="B1131" s="657">
        <v>44494</v>
      </c>
      <c r="C1131" s="657">
        <v>1162.6999999998993</v>
      </c>
      <c r="D1131" s="658">
        <v>44603</v>
      </c>
      <c r="E1131" s="658">
        <v>1162.7999999998992</v>
      </c>
      <c r="G1131" s="64">
        <v>1162.7999999998992</v>
      </c>
      <c r="H1131" s="658">
        <v>44603</v>
      </c>
      <c r="I1131" s="64">
        <v>1162.8999999998991</v>
      </c>
      <c r="J1131" s="658">
        <v>44711</v>
      </c>
    </row>
    <row r="1132" spans="2:10" ht="14.4" x14ac:dyDescent="0.3">
      <c r="B1132" s="657">
        <v>44603</v>
      </c>
      <c r="C1132" s="657">
        <v>1162.7999999998992</v>
      </c>
      <c r="D1132" s="658">
        <v>44711</v>
      </c>
      <c r="E1132" s="658">
        <v>1162.8999999998991</v>
      </c>
      <c r="G1132" s="64">
        <v>1162.8999999998991</v>
      </c>
      <c r="H1132" s="658">
        <v>44711</v>
      </c>
      <c r="I1132" s="64">
        <v>1162.999999999899</v>
      </c>
      <c r="J1132" s="658">
        <v>44819</v>
      </c>
    </row>
    <row r="1133" spans="2:10" ht="14.4" x14ac:dyDescent="0.3">
      <c r="B1133" s="657">
        <v>44711</v>
      </c>
      <c r="C1133" s="657">
        <v>1162.8999999998991</v>
      </c>
      <c r="D1133" s="658">
        <v>44819</v>
      </c>
      <c r="E1133" s="658">
        <v>1162.999999999899</v>
      </c>
      <c r="G1133" s="64">
        <v>1162.999999999899</v>
      </c>
      <c r="H1133" s="658">
        <v>44819</v>
      </c>
      <c r="I1133" s="64">
        <v>1163.099999999899</v>
      </c>
      <c r="J1133" s="658">
        <v>44928</v>
      </c>
    </row>
    <row r="1134" spans="2:10" ht="14.4" x14ac:dyDescent="0.3">
      <c r="B1134" s="657">
        <v>44819</v>
      </c>
      <c r="C1134" s="657">
        <v>1162.999999999899</v>
      </c>
      <c r="D1134" s="658">
        <v>44928</v>
      </c>
      <c r="E1134" s="658">
        <v>1163.099999999899</v>
      </c>
      <c r="G1134" s="64">
        <v>1163.099999999899</v>
      </c>
      <c r="H1134" s="658">
        <v>44928</v>
      </c>
      <c r="I1134" s="64">
        <v>1163.1999999998989</v>
      </c>
      <c r="J1134" s="658">
        <v>45038</v>
      </c>
    </row>
    <row r="1135" spans="2:10" ht="14.4" x14ac:dyDescent="0.3">
      <c r="B1135" s="657">
        <v>44928</v>
      </c>
      <c r="C1135" s="657">
        <v>1163.099999999899</v>
      </c>
      <c r="D1135" s="658">
        <v>45038</v>
      </c>
      <c r="E1135" s="658">
        <v>1163.1999999998989</v>
      </c>
      <c r="G1135" s="64">
        <v>1163.1999999998989</v>
      </c>
      <c r="H1135" s="658">
        <v>45038</v>
      </c>
      <c r="I1135" s="64">
        <v>1163.2999999998988</v>
      </c>
      <c r="J1135" s="658">
        <v>45147</v>
      </c>
    </row>
    <row r="1136" spans="2:10" ht="14.4" x14ac:dyDescent="0.3">
      <c r="B1136" s="657">
        <v>45038</v>
      </c>
      <c r="C1136" s="657">
        <v>1163.1999999998989</v>
      </c>
      <c r="D1136" s="658">
        <v>45147</v>
      </c>
      <c r="E1136" s="658">
        <v>1163.2999999998988</v>
      </c>
      <c r="G1136" s="64">
        <v>1163.2999999998988</v>
      </c>
      <c r="H1136" s="658">
        <v>45147</v>
      </c>
      <c r="I1136" s="64">
        <v>1163.3999999998987</v>
      </c>
      <c r="J1136" s="658">
        <v>45256</v>
      </c>
    </row>
    <row r="1137" spans="2:10" ht="14.4" x14ac:dyDescent="0.3">
      <c r="B1137" s="657">
        <v>45147</v>
      </c>
      <c r="C1137" s="657">
        <v>1163.2999999998988</v>
      </c>
      <c r="D1137" s="658">
        <v>45256</v>
      </c>
      <c r="E1137" s="658">
        <v>1163.3999999998987</v>
      </c>
      <c r="G1137" s="64">
        <v>1163.3999999998987</v>
      </c>
      <c r="H1137" s="658">
        <v>45256</v>
      </c>
      <c r="I1137" s="64">
        <v>1163.4999999998986</v>
      </c>
      <c r="J1137" s="658">
        <v>45366</v>
      </c>
    </row>
    <row r="1138" spans="2:10" ht="14.4" x14ac:dyDescent="0.3">
      <c r="B1138" s="657">
        <v>45256</v>
      </c>
      <c r="C1138" s="657">
        <v>1163.3999999998987</v>
      </c>
      <c r="D1138" s="658">
        <v>45366</v>
      </c>
      <c r="E1138" s="658">
        <v>1163.4999999998986</v>
      </c>
      <c r="G1138" s="64">
        <v>1163.4999999998986</v>
      </c>
      <c r="H1138" s="658">
        <v>45366</v>
      </c>
      <c r="I1138" s="64">
        <v>1163.5999999998985</v>
      </c>
      <c r="J1138" s="658">
        <v>45475</v>
      </c>
    </row>
    <row r="1139" spans="2:10" ht="14.4" x14ac:dyDescent="0.3">
      <c r="B1139" s="657">
        <v>45366</v>
      </c>
      <c r="C1139" s="657">
        <v>1163.4999999998986</v>
      </c>
      <c r="D1139" s="658">
        <v>45475</v>
      </c>
      <c r="E1139" s="658">
        <v>1163.5999999998985</v>
      </c>
      <c r="G1139" s="64">
        <v>1163.5999999998985</v>
      </c>
      <c r="H1139" s="658">
        <v>45475</v>
      </c>
      <c r="I1139" s="64">
        <v>1163.6999999998984</v>
      </c>
      <c r="J1139" s="658">
        <v>45584</v>
      </c>
    </row>
    <row r="1140" spans="2:10" ht="14.4" x14ac:dyDescent="0.3">
      <c r="B1140" s="657">
        <v>45475</v>
      </c>
      <c r="C1140" s="657">
        <v>1163.5999999998985</v>
      </c>
      <c r="D1140" s="658">
        <v>45584</v>
      </c>
      <c r="E1140" s="658">
        <v>1163.6999999998984</v>
      </c>
      <c r="G1140" s="64">
        <v>1163.6999999998984</v>
      </c>
      <c r="H1140" s="658">
        <v>45584</v>
      </c>
      <c r="I1140" s="64">
        <v>1163.7999999998983</v>
      </c>
      <c r="J1140" s="658">
        <v>45693</v>
      </c>
    </row>
    <row r="1141" spans="2:10" ht="14.4" x14ac:dyDescent="0.3">
      <c r="B1141" s="657">
        <v>45584</v>
      </c>
      <c r="C1141" s="657">
        <v>1163.6999999998984</v>
      </c>
      <c r="D1141" s="658">
        <v>45693</v>
      </c>
      <c r="E1141" s="658">
        <v>1163.7999999998983</v>
      </c>
      <c r="G1141" s="64">
        <v>1163.7999999998983</v>
      </c>
      <c r="H1141" s="658">
        <v>45693</v>
      </c>
      <c r="I1141" s="64">
        <v>1163.8999999998982</v>
      </c>
      <c r="J1141" s="658">
        <v>45803</v>
      </c>
    </row>
    <row r="1142" spans="2:10" ht="14.4" x14ac:dyDescent="0.3">
      <c r="B1142" s="657">
        <v>45693</v>
      </c>
      <c r="C1142" s="657">
        <v>1163.7999999998983</v>
      </c>
      <c r="D1142" s="658">
        <v>45803</v>
      </c>
      <c r="E1142" s="658">
        <v>1163.8999999998982</v>
      </c>
      <c r="G1142" s="64">
        <v>1163.8999999998982</v>
      </c>
      <c r="H1142" s="658">
        <v>45803</v>
      </c>
      <c r="I1142" s="64">
        <v>1163.9999999998981</v>
      </c>
      <c r="J1142" s="658">
        <v>45912</v>
      </c>
    </row>
    <row r="1143" spans="2:10" ht="14.4" x14ac:dyDescent="0.3">
      <c r="B1143" s="657">
        <v>45803</v>
      </c>
      <c r="C1143" s="657">
        <v>1163.8999999998982</v>
      </c>
      <c r="D1143" s="658">
        <v>45912</v>
      </c>
      <c r="E1143" s="658">
        <v>1163.9999999998981</v>
      </c>
      <c r="G1143" s="64">
        <v>1163.9999999998981</v>
      </c>
      <c r="H1143" s="658">
        <v>45912</v>
      </c>
      <c r="I1143" s="64">
        <v>1164.099999999898</v>
      </c>
      <c r="J1143" s="658">
        <v>46022</v>
      </c>
    </row>
    <row r="1144" spans="2:10" ht="14.4" x14ac:dyDescent="0.3">
      <c r="B1144" s="657">
        <v>45912</v>
      </c>
      <c r="C1144" s="657">
        <v>1163.9999999998981</v>
      </c>
      <c r="D1144" s="658">
        <v>46022</v>
      </c>
      <c r="E1144" s="658">
        <v>1164.099999999898</v>
      </c>
      <c r="G1144" s="64">
        <v>1164.099999999898</v>
      </c>
      <c r="H1144" s="658">
        <v>46022</v>
      </c>
      <c r="I1144" s="64">
        <v>1164.199999999898</v>
      </c>
      <c r="J1144" s="658">
        <v>46133</v>
      </c>
    </row>
    <row r="1145" spans="2:10" ht="14.4" x14ac:dyDescent="0.3">
      <c r="B1145" s="657">
        <v>46022</v>
      </c>
      <c r="C1145" s="657">
        <v>1164.099999999898</v>
      </c>
      <c r="D1145" s="658">
        <v>46133</v>
      </c>
      <c r="E1145" s="658">
        <v>1164.199999999898</v>
      </c>
      <c r="G1145" s="64">
        <v>1164.199999999898</v>
      </c>
      <c r="H1145" s="658">
        <v>46133</v>
      </c>
      <c r="I1145" s="64">
        <v>1164.2999999998979</v>
      </c>
      <c r="J1145" s="658">
        <v>46243</v>
      </c>
    </row>
    <row r="1146" spans="2:10" ht="14.4" x14ac:dyDescent="0.3">
      <c r="B1146" s="657">
        <v>46133</v>
      </c>
      <c r="C1146" s="657">
        <v>1164.199999999898</v>
      </c>
      <c r="D1146" s="658">
        <v>46243</v>
      </c>
      <c r="E1146" s="658">
        <v>1164.2999999998979</v>
      </c>
      <c r="G1146" s="64">
        <v>1164.2999999998979</v>
      </c>
      <c r="H1146" s="658">
        <v>46243</v>
      </c>
      <c r="I1146" s="64">
        <v>1164.3999999998978</v>
      </c>
      <c r="J1146" s="658">
        <v>46354</v>
      </c>
    </row>
    <row r="1147" spans="2:10" ht="14.4" x14ac:dyDescent="0.3">
      <c r="B1147" s="657">
        <v>46243</v>
      </c>
      <c r="C1147" s="657">
        <v>1164.2999999998979</v>
      </c>
      <c r="D1147" s="658">
        <v>46354</v>
      </c>
      <c r="E1147" s="658">
        <v>1164.3999999998978</v>
      </c>
      <c r="G1147" s="64">
        <v>1164.3999999998978</v>
      </c>
      <c r="H1147" s="658">
        <v>46354</v>
      </c>
      <c r="I1147" s="64">
        <v>1164.4999999998977</v>
      </c>
      <c r="J1147" s="658">
        <v>46464</v>
      </c>
    </row>
    <row r="1148" spans="2:10" ht="14.4" x14ac:dyDescent="0.3">
      <c r="B1148" s="657">
        <v>46354</v>
      </c>
      <c r="C1148" s="657">
        <v>1164.3999999998978</v>
      </c>
      <c r="D1148" s="658">
        <v>46464</v>
      </c>
      <c r="E1148" s="658">
        <v>1164.4999999998977</v>
      </c>
      <c r="G1148" s="64">
        <v>1164.4999999998977</v>
      </c>
      <c r="H1148" s="658">
        <v>46464</v>
      </c>
      <c r="I1148" s="64">
        <v>1164.5999999998976</v>
      </c>
      <c r="J1148" s="658">
        <v>46574</v>
      </c>
    </row>
    <row r="1149" spans="2:10" ht="14.4" x14ac:dyDescent="0.3">
      <c r="B1149" s="657">
        <v>46464</v>
      </c>
      <c r="C1149" s="657">
        <v>1164.4999999998977</v>
      </c>
      <c r="D1149" s="658">
        <v>46574</v>
      </c>
      <c r="E1149" s="658">
        <v>1164.5999999998976</v>
      </c>
      <c r="G1149" s="64">
        <v>1164.5999999998976</v>
      </c>
      <c r="H1149" s="658">
        <v>46574</v>
      </c>
      <c r="I1149" s="64">
        <v>1164.6999999998975</v>
      </c>
      <c r="J1149" s="658">
        <v>46685</v>
      </c>
    </row>
    <row r="1150" spans="2:10" ht="14.4" x14ac:dyDescent="0.3">
      <c r="B1150" s="657">
        <v>46574</v>
      </c>
      <c r="C1150" s="657">
        <v>1164.5999999998976</v>
      </c>
      <c r="D1150" s="658">
        <v>46685</v>
      </c>
      <c r="E1150" s="658">
        <v>1164.6999999998975</v>
      </c>
      <c r="G1150" s="64">
        <v>1164.6999999998975</v>
      </c>
      <c r="H1150" s="658">
        <v>46685</v>
      </c>
      <c r="I1150" s="64">
        <v>1164.7999999998974</v>
      </c>
      <c r="J1150" s="658">
        <v>46795</v>
      </c>
    </row>
    <row r="1151" spans="2:10" ht="14.4" x14ac:dyDescent="0.3">
      <c r="B1151" s="657">
        <v>46685</v>
      </c>
      <c r="C1151" s="657">
        <v>1164.6999999998975</v>
      </c>
      <c r="D1151" s="658">
        <v>46795</v>
      </c>
      <c r="E1151" s="658">
        <v>1164.7999999998974</v>
      </c>
      <c r="G1151" s="64">
        <v>1164.7999999998974</v>
      </c>
      <c r="H1151" s="658">
        <v>46795</v>
      </c>
      <c r="I1151" s="64">
        <v>1164.8999999998973</v>
      </c>
      <c r="J1151" s="658">
        <v>46906</v>
      </c>
    </row>
    <row r="1152" spans="2:10" ht="14.4" x14ac:dyDescent="0.3">
      <c r="B1152" s="657">
        <v>46795</v>
      </c>
      <c r="C1152" s="657">
        <v>1164.7999999998974</v>
      </c>
      <c r="D1152" s="658">
        <v>46906</v>
      </c>
      <c r="E1152" s="658">
        <v>1164.8999999998973</v>
      </c>
      <c r="G1152" s="64">
        <v>1164.8999999998973</v>
      </c>
      <c r="H1152" s="658">
        <v>46906</v>
      </c>
      <c r="I1152" s="64">
        <v>1164.9999999998972</v>
      </c>
      <c r="J1152" s="658">
        <v>47016</v>
      </c>
    </row>
    <row r="1153" spans="2:10" ht="14.4" x14ac:dyDescent="0.3">
      <c r="B1153" s="657">
        <v>46906</v>
      </c>
      <c r="C1153" s="657">
        <v>1164.8999999998973</v>
      </c>
      <c r="D1153" s="658">
        <v>47016</v>
      </c>
      <c r="E1153" s="658">
        <v>1164.9999999998972</v>
      </c>
      <c r="G1153" s="64">
        <v>1164.9999999998972</v>
      </c>
      <c r="H1153" s="658">
        <v>47016</v>
      </c>
      <c r="I1153" s="64">
        <v>1165.0999999998971</v>
      </c>
      <c r="J1153" s="658">
        <v>47128</v>
      </c>
    </row>
    <row r="1154" spans="2:10" ht="14.4" x14ac:dyDescent="0.3">
      <c r="B1154" s="657">
        <v>47016</v>
      </c>
      <c r="C1154" s="657">
        <v>1164.9999999998972</v>
      </c>
      <c r="D1154" s="658">
        <v>47128</v>
      </c>
      <c r="E1154" s="658">
        <v>1165.0999999998971</v>
      </c>
      <c r="G1154" s="64">
        <v>1165.0999999998971</v>
      </c>
      <c r="H1154" s="658">
        <v>47128</v>
      </c>
      <c r="I1154" s="64">
        <v>1165.199999999897</v>
      </c>
      <c r="J1154" s="658">
        <v>47239</v>
      </c>
    </row>
    <row r="1155" spans="2:10" ht="14.4" x14ac:dyDescent="0.3">
      <c r="B1155" s="657">
        <v>47128</v>
      </c>
      <c r="C1155" s="657">
        <v>1165.0999999998971</v>
      </c>
      <c r="D1155" s="658">
        <v>47239</v>
      </c>
      <c r="E1155" s="658">
        <v>1165.199999999897</v>
      </c>
      <c r="G1155" s="64">
        <v>1165.199999999897</v>
      </c>
      <c r="H1155" s="658">
        <v>47239</v>
      </c>
      <c r="I1155" s="64">
        <v>1165.299999999897</v>
      </c>
      <c r="J1155" s="658">
        <v>47351</v>
      </c>
    </row>
    <row r="1156" spans="2:10" ht="14.4" x14ac:dyDescent="0.3">
      <c r="B1156" s="657">
        <v>47239</v>
      </c>
      <c r="C1156" s="657">
        <v>1165.199999999897</v>
      </c>
      <c r="D1156" s="658">
        <v>47351</v>
      </c>
      <c r="E1156" s="658">
        <v>1165.299999999897</v>
      </c>
      <c r="G1156" s="64">
        <v>1165.299999999897</v>
      </c>
      <c r="H1156" s="658">
        <v>47351</v>
      </c>
      <c r="I1156" s="64">
        <v>1165.3999999998969</v>
      </c>
      <c r="J1156" s="658">
        <v>47462</v>
      </c>
    </row>
    <row r="1157" spans="2:10" ht="14.4" x14ac:dyDescent="0.3">
      <c r="B1157" s="657">
        <v>47351</v>
      </c>
      <c r="C1157" s="657">
        <v>1165.299999999897</v>
      </c>
      <c r="D1157" s="658">
        <v>47462</v>
      </c>
      <c r="E1157" s="658">
        <v>1165.3999999998969</v>
      </c>
      <c r="G1157" s="64">
        <v>1165.3999999998969</v>
      </c>
      <c r="H1157" s="658">
        <v>47462</v>
      </c>
      <c r="I1157" s="64">
        <v>1165.4999999998968</v>
      </c>
      <c r="J1157" s="658">
        <v>47574</v>
      </c>
    </row>
    <row r="1158" spans="2:10" ht="14.4" x14ac:dyDescent="0.3">
      <c r="B1158" s="657">
        <v>47462</v>
      </c>
      <c r="C1158" s="657">
        <v>1165.3999999998969</v>
      </c>
      <c r="D1158" s="658">
        <v>47574</v>
      </c>
      <c r="E1158" s="658">
        <v>1165.4999999998968</v>
      </c>
      <c r="G1158" s="64">
        <v>1165.4999999998968</v>
      </c>
      <c r="H1158" s="658">
        <v>47574</v>
      </c>
      <c r="I1158" s="64">
        <v>1165.5999999998967</v>
      </c>
      <c r="J1158" s="658">
        <v>47685</v>
      </c>
    </row>
    <row r="1159" spans="2:10" ht="14.4" x14ac:dyDescent="0.3">
      <c r="B1159" s="657">
        <v>47574</v>
      </c>
      <c r="C1159" s="657">
        <v>1165.4999999998968</v>
      </c>
      <c r="D1159" s="658">
        <v>47685</v>
      </c>
      <c r="E1159" s="658">
        <v>1165.5999999998967</v>
      </c>
      <c r="G1159" s="64">
        <v>1165.5999999998967</v>
      </c>
      <c r="H1159" s="658">
        <v>47685</v>
      </c>
      <c r="I1159" s="64">
        <v>1165.6999999998966</v>
      </c>
      <c r="J1159" s="658">
        <v>47797</v>
      </c>
    </row>
    <row r="1160" spans="2:10" ht="14.4" x14ac:dyDescent="0.3">
      <c r="B1160" s="657">
        <v>47685</v>
      </c>
      <c r="C1160" s="657">
        <v>1165.5999999998967</v>
      </c>
      <c r="D1160" s="658">
        <v>47797</v>
      </c>
      <c r="E1160" s="658">
        <v>1165.6999999998966</v>
      </c>
      <c r="G1160" s="64">
        <v>1165.6999999998966</v>
      </c>
      <c r="H1160" s="658">
        <v>47797</v>
      </c>
      <c r="I1160" s="64">
        <v>1165.7999999998965</v>
      </c>
      <c r="J1160" s="658">
        <v>47908</v>
      </c>
    </row>
    <row r="1161" spans="2:10" ht="14.4" x14ac:dyDescent="0.3">
      <c r="B1161" s="657">
        <v>47797</v>
      </c>
      <c r="C1161" s="657">
        <v>1165.6999999998966</v>
      </c>
      <c r="D1161" s="658">
        <v>47908</v>
      </c>
      <c r="E1161" s="658">
        <v>1165.7999999998965</v>
      </c>
      <c r="G1161" s="64">
        <v>1165.7999999998965</v>
      </c>
      <c r="H1161" s="658">
        <v>47908</v>
      </c>
      <c r="I1161" s="64">
        <v>1165.8999999998964</v>
      </c>
      <c r="J1161" s="658">
        <v>48020</v>
      </c>
    </row>
    <row r="1162" spans="2:10" ht="14.4" x14ac:dyDescent="0.3">
      <c r="B1162" s="657">
        <v>47908</v>
      </c>
      <c r="C1162" s="657">
        <v>1165.7999999998965</v>
      </c>
      <c r="D1162" s="658">
        <v>48020</v>
      </c>
      <c r="E1162" s="658">
        <v>1165.8999999998964</v>
      </c>
      <c r="G1162" s="64">
        <v>1165.8999999998964</v>
      </c>
      <c r="H1162" s="658">
        <v>48020</v>
      </c>
      <c r="I1162" s="64">
        <v>1165.9999999998963</v>
      </c>
      <c r="J1162" s="658">
        <v>48131</v>
      </c>
    </row>
    <row r="1163" spans="2:10" ht="14.4" x14ac:dyDescent="0.3">
      <c r="B1163" s="657">
        <v>48020</v>
      </c>
      <c r="C1163" s="657">
        <v>1165.8999999998964</v>
      </c>
      <c r="D1163" s="658">
        <v>48131</v>
      </c>
      <c r="E1163" s="658">
        <v>1165.9999999998963</v>
      </c>
      <c r="G1163" s="64">
        <v>1165.9999999998963</v>
      </c>
      <c r="H1163" s="658">
        <v>48131</v>
      </c>
      <c r="I1163" s="64">
        <v>1166.0999999998962</v>
      </c>
      <c r="J1163" s="658">
        <v>48244</v>
      </c>
    </row>
    <row r="1164" spans="2:10" ht="14.4" x14ac:dyDescent="0.3">
      <c r="B1164" s="657">
        <v>48131</v>
      </c>
      <c r="C1164" s="657">
        <v>1165.9999999998963</v>
      </c>
      <c r="D1164" s="658">
        <v>48244</v>
      </c>
      <c r="E1164" s="658">
        <v>1166.0999999998962</v>
      </c>
      <c r="G1164" s="64">
        <v>1166.0999999998962</v>
      </c>
      <c r="H1164" s="658">
        <v>48244</v>
      </c>
      <c r="I1164" s="64">
        <v>1166.1999999998961</v>
      </c>
      <c r="J1164" s="658">
        <v>48356</v>
      </c>
    </row>
    <row r="1165" spans="2:10" ht="14.4" x14ac:dyDescent="0.3">
      <c r="B1165" s="657">
        <v>48244</v>
      </c>
      <c r="C1165" s="657">
        <v>1166.0999999998962</v>
      </c>
      <c r="D1165" s="658">
        <v>48356</v>
      </c>
      <c r="E1165" s="658">
        <v>1166.1999999998961</v>
      </c>
      <c r="G1165" s="64">
        <v>1166.1999999998961</v>
      </c>
      <c r="H1165" s="658">
        <v>48356</v>
      </c>
      <c r="I1165" s="64">
        <v>1166.299999999896</v>
      </c>
      <c r="J1165" s="658">
        <v>48469</v>
      </c>
    </row>
    <row r="1166" spans="2:10" ht="14.4" x14ac:dyDescent="0.3">
      <c r="B1166" s="657">
        <v>48356</v>
      </c>
      <c r="C1166" s="657">
        <v>1166.1999999998961</v>
      </c>
      <c r="D1166" s="658">
        <v>48469</v>
      </c>
      <c r="E1166" s="658">
        <v>1166.299999999896</v>
      </c>
      <c r="G1166" s="64">
        <v>1166.299999999896</v>
      </c>
      <c r="H1166" s="658">
        <v>48469</v>
      </c>
      <c r="I1166" s="64">
        <v>1166.399999999896</v>
      </c>
      <c r="J1166" s="658">
        <v>48581</v>
      </c>
    </row>
    <row r="1167" spans="2:10" ht="14.4" x14ac:dyDescent="0.3">
      <c r="B1167" s="657">
        <v>48469</v>
      </c>
      <c r="C1167" s="657">
        <v>1166.299999999896</v>
      </c>
      <c r="D1167" s="658">
        <v>48581</v>
      </c>
      <c r="E1167" s="658">
        <v>1166.399999999896</v>
      </c>
      <c r="G1167" s="64">
        <v>1166.399999999896</v>
      </c>
      <c r="H1167" s="658">
        <v>48581</v>
      </c>
      <c r="I1167" s="64">
        <v>1166.4999999998959</v>
      </c>
      <c r="J1167" s="658">
        <v>48694</v>
      </c>
    </row>
    <row r="1168" spans="2:10" ht="14.4" x14ac:dyDescent="0.3">
      <c r="B1168" s="657">
        <v>48581</v>
      </c>
      <c r="C1168" s="657">
        <v>1166.399999999896</v>
      </c>
      <c r="D1168" s="658">
        <v>48694</v>
      </c>
      <c r="E1168" s="658">
        <v>1166.4999999998959</v>
      </c>
      <c r="G1168" s="64">
        <v>1166.4999999998959</v>
      </c>
      <c r="H1168" s="658">
        <v>48694</v>
      </c>
      <c r="I1168" s="64">
        <v>1166.5999999998958</v>
      </c>
      <c r="J1168" s="658">
        <v>48807</v>
      </c>
    </row>
    <row r="1169" spans="2:10" ht="14.4" x14ac:dyDescent="0.3">
      <c r="B1169" s="657">
        <v>48694</v>
      </c>
      <c r="C1169" s="657">
        <v>1166.4999999998959</v>
      </c>
      <c r="D1169" s="658">
        <v>48807</v>
      </c>
      <c r="E1169" s="658">
        <v>1166.5999999998958</v>
      </c>
      <c r="G1169" s="64">
        <v>1166.5999999998958</v>
      </c>
      <c r="H1169" s="658">
        <v>48807</v>
      </c>
      <c r="I1169" s="64">
        <v>1166.6999999998957</v>
      </c>
      <c r="J1169" s="658">
        <v>48919</v>
      </c>
    </row>
    <row r="1170" spans="2:10" ht="14.4" x14ac:dyDescent="0.3">
      <c r="B1170" s="657">
        <v>48807</v>
      </c>
      <c r="C1170" s="657">
        <v>1166.5999999998958</v>
      </c>
      <c r="D1170" s="658">
        <v>48919</v>
      </c>
      <c r="E1170" s="658">
        <v>1166.6999999998957</v>
      </c>
      <c r="G1170" s="64">
        <v>1166.6999999998957</v>
      </c>
      <c r="H1170" s="658">
        <v>48919</v>
      </c>
      <c r="I1170" s="64">
        <v>1166.7999999998956</v>
      </c>
      <c r="J1170" s="658">
        <v>49032</v>
      </c>
    </row>
    <row r="1171" spans="2:10" ht="14.4" x14ac:dyDescent="0.3">
      <c r="B1171" s="657">
        <v>48919</v>
      </c>
      <c r="C1171" s="657">
        <v>1166.6999999998957</v>
      </c>
      <c r="D1171" s="658">
        <v>49032</v>
      </c>
      <c r="E1171" s="658">
        <v>1166.7999999998956</v>
      </c>
      <c r="G1171" s="64">
        <v>1166.7999999998956</v>
      </c>
      <c r="H1171" s="658">
        <v>49032</v>
      </c>
      <c r="I1171" s="64">
        <v>1166.8999999998955</v>
      </c>
      <c r="J1171" s="658">
        <v>49144</v>
      </c>
    </row>
    <row r="1172" spans="2:10" ht="14.4" x14ac:dyDescent="0.3">
      <c r="B1172" s="657">
        <v>49032</v>
      </c>
      <c r="C1172" s="657">
        <v>1166.7999999998956</v>
      </c>
      <c r="D1172" s="658">
        <v>49144</v>
      </c>
      <c r="E1172" s="658">
        <v>1166.8999999998955</v>
      </c>
      <c r="G1172" s="64">
        <v>1166.8999999998955</v>
      </c>
      <c r="H1172" s="658">
        <v>49144</v>
      </c>
      <c r="I1172" s="64">
        <v>1166.9999999998954</v>
      </c>
      <c r="J1172" s="658">
        <v>49257</v>
      </c>
    </row>
    <row r="1173" spans="2:10" ht="14.4" x14ac:dyDescent="0.3">
      <c r="B1173" s="657">
        <v>49144</v>
      </c>
      <c r="C1173" s="657">
        <v>1166.8999999998955</v>
      </c>
      <c r="D1173" s="658">
        <v>49257</v>
      </c>
      <c r="E1173" s="658">
        <v>1166.9999999998954</v>
      </c>
      <c r="G1173" s="64">
        <v>1166.9999999998954</v>
      </c>
      <c r="H1173" s="658">
        <v>49257</v>
      </c>
      <c r="I1173" s="64">
        <v>1167.0999999998953</v>
      </c>
      <c r="J1173" s="658">
        <v>49371</v>
      </c>
    </row>
    <row r="1174" spans="2:10" ht="14.4" x14ac:dyDescent="0.3">
      <c r="B1174" s="657">
        <v>49257</v>
      </c>
      <c r="C1174" s="657">
        <v>1166.9999999998954</v>
      </c>
      <c r="D1174" s="658">
        <v>49371</v>
      </c>
      <c r="E1174" s="658">
        <v>1167.0999999998953</v>
      </c>
      <c r="G1174" s="64">
        <v>1167.0999999998953</v>
      </c>
      <c r="H1174" s="658">
        <v>49371</v>
      </c>
      <c r="I1174" s="64">
        <v>1167.1999999998952</v>
      </c>
      <c r="J1174" s="658">
        <v>49485</v>
      </c>
    </row>
    <row r="1175" spans="2:10" ht="14.4" x14ac:dyDescent="0.3">
      <c r="B1175" s="657">
        <v>49371</v>
      </c>
      <c r="C1175" s="657">
        <v>1167.0999999998953</v>
      </c>
      <c r="D1175" s="658">
        <v>49485</v>
      </c>
      <c r="E1175" s="658">
        <v>1167.1999999998952</v>
      </c>
      <c r="G1175" s="64">
        <v>1167.1999999998952</v>
      </c>
      <c r="H1175" s="658">
        <v>49485</v>
      </c>
      <c r="I1175" s="64">
        <v>1167.2999999998951</v>
      </c>
      <c r="J1175" s="658">
        <v>49598</v>
      </c>
    </row>
    <row r="1176" spans="2:10" ht="14.4" x14ac:dyDescent="0.3">
      <c r="B1176" s="657">
        <v>49485</v>
      </c>
      <c r="C1176" s="657">
        <v>1167.1999999998952</v>
      </c>
      <c r="D1176" s="658">
        <v>49598</v>
      </c>
      <c r="E1176" s="658">
        <v>1167.2999999998951</v>
      </c>
      <c r="G1176" s="64">
        <v>1167.2999999998951</v>
      </c>
      <c r="H1176" s="658">
        <v>49598</v>
      </c>
      <c r="I1176" s="64">
        <v>1167.399999999895</v>
      </c>
      <c r="J1176" s="658">
        <v>49712</v>
      </c>
    </row>
    <row r="1177" spans="2:10" ht="14.4" x14ac:dyDescent="0.3">
      <c r="B1177" s="657">
        <v>49598</v>
      </c>
      <c r="C1177" s="657">
        <v>1167.2999999998951</v>
      </c>
      <c r="D1177" s="658">
        <v>49712</v>
      </c>
      <c r="E1177" s="658">
        <v>1167.399999999895</v>
      </c>
      <c r="G1177" s="64">
        <v>1167.399999999895</v>
      </c>
      <c r="H1177" s="658">
        <v>49712</v>
      </c>
      <c r="I1177" s="64">
        <v>1167.499999999895</v>
      </c>
      <c r="J1177" s="658">
        <v>49826</v>
      </c>
    </row>
    <row r="1178" spans="2:10" ht="14.4" x14ac:dyDescent="0.3">
      <c r="B1178" s="657">
        <v>49712</v>
      </c>
      <c r="C1178" s="657">
        <v>1167.399999999895</v>
      </c>
      <c r="D1178" s="658">
        <v>49826</v>
      </c>
      <c r="E1178" s="658">
        <v>1167.499999999895</v>
      </c>
      <c r="G1178" s="64">
        <v>1167.499999999895</v>
      </c>
      <c r="H1178" s="658">
        <v>49826</v>
      </c>
      <c r="I1178" s="64">
        <v>1167.5999999998949</v>
      </c>
      <c r="J1178" s="658">
        <v>49940</v>
      </c>
    </row>
    <row r="1179" spans="2:10" ht="14.4" x14ac:dyDescent="0.3">
      <c r="B1179" s="657">
        <v>49826</v>
      </c>
      <c r="C1179" s="657">
        <v>1167.499999999895</v>
      </c>
      <c r="D1179" s="658">
        <v>49940</v>
      </c>
      <c r="E1179" s="658">
        <v>1167.5999999998949</v>
      </c>
      <c r="G1179" s="64">
        <v>1167.5999999998949</v>
      </c>
      <c r="H1179" s="658">
        <v>49940</v>
      </c>
      <c r="I1179" s="64">
        <v>1167.6999999998948</v>
      </c>
      <c r="J1179" s="658">
        <v>50054</v>
      </c>
    </row>
    <row r="1180" spans="2:10" ht="14.4" x14ac:dyDescent="0.3">
      <c r="B1180" s="657">
        <v>49940</v>
      </c>
      <c r="C1180" s="657">
        <v>1167.5999999998949</v>
      </c>
      <c r="D1180" s="658">
        <v>50054</v>
      </c>
      <c r="E1180" s="658">
        <v>1167.6999999998948</v>
      </c>
      <c r="G1180" s="64">
        <v>1167.6999999998948</v>
      </c>
      <c r="H1180" s="658">
        <v>50054</v>
      </c>
      <c r="I1180" s="64">
        <v>1167.7999999998947</v>
      </c>
      <c r="J1180" s="658">
        <v>50167</v>
      </c>
    </row>
    <row r="1181" spans="2:10" ht="14.4" x14ac:dyDescent="0.3">
      <c r="B1181" s="657">
        <v>50054</v>
      </c>
      <c r="C1181" s="657">
        <v>1167.6999999998948</v>
      </c>
      <c r="D1181" s="658">
        <v>50167</v>
      </c>
      <c r="E1181" s="658">
        <v>1167.7999999998947</v>
      </c>
      <c r="G1181" s="64">
        <v>1167.7999999998947</v>
      </c>
      <c r="H1181" s="658">
        <v>50167</v>
      </c>
      <c r="I1181" s="64">
        <v>1167.8999999998946</v>
      </c>
      <c r="J1181" s="658">
        <v>50281</v>
      </c>
    </row>
    <row r="1182" spans="2:10" ht="14.4" x14ac:dyDescent="0.3">
      <c r="B1182" s="657">
        <v>50167</v>
      </c>
      <c r="C1182" s="657">
        <v>1167.7999999998947</v>
      </c>
      <c r="D1182" s="658">
        <v>50281</v>
      </c>
      <c r="E1182" s="658">
        <v>1167.8999999998946</v>
      </c>
      <c r="G1182" s="64">
        <v>1167.8999999998946</v>
      </c>
      <c r="H1182" s="658">
        <v>50281</v>
      </c>
      <c r="I1182" s="64">
        <v>1167.9999999998945</v>
      </c>
      <c r="J1182" s="658">
        <v>50395</v>
      </c>
    </row>
    <row r="1183" spans="2:10" ht="14.4" x14ac:dyDescent="0.3">
      <c r="B1183" s="657">
        <v>50281</v>
      </c>
      <c r="C1183" s="657">
        <v>1167.8999999998946</v>
      </c>
      <c r="D1183" s="658">
        <v>50395</v>
      </c>
      <c r="E1183" s="658">
        <v>1167.9999999998945</v>
      </c>
      <c r="G1183" s="64">
        <v>1167.9999999998945</v>
      </c>
      <c r="H1183" s="658">
        <v>50395</v>
      </c>
      <c r="I1183" s="64">
        <v>1168.0999999998944</v>
      </c>
      <c r="J1183" s="658">
        <v>50510</v>
      </c>
    </row>
    <row r="1184" spans="2:10" ht="14.4" x14ac:dyDescent="0.3">
      <c r="B1184" s="657">
        <v>50395</v>
      </c>
      <c r="C1184" s="657">
        <v>1167.9999999998945</v>
      </c>
      <c r="D1184" s="658">
        <v>50510</v>
      </c>
      <c r="E1184" s="658">
        <v>1168.0999999998944</v>
      </c>
      <c r="G1184" s="64">
        <v>1168.0999999998944</v>
      </c>
      <c r="H1184" s="658">
        <v>50510</v>
      </c>
      <c r="I1184" s="64">
        <v>1168.1999999998943</v>
      </c>
      <c r="J1184" s="658">
        <v>50625</v>
      </c>
    </row>
    <row r="1185" spans="2:10" ht="14.4" x14ac:dyDescent="0.3">
      <c r="B1185" s="657">
        <v>50510</v>
      </c>
      <c r="C1185" s="657">
        <v>1168.0999999998944</v>
      </c>
      <c r="D1185" s="658">
        <v>50625</v>
      </c>
      <c r="E1185" s="658">
        <v>1168.1999999998943</v>
      </c>
      <c r="G1185" s="64">
        <v>1168.1999999998943</v>
      </c>
      <c r="H1185" s="658">
        <v>50625</v>
      </c>
      <c r="I1185" s="64">
        <v>1168.2999999998942</v>
      </c>
      <c r="J1185" s="658">
        <v>50740</v>
      </c>
    </row>
    <row r="1186" spans="2:10" ht="14.4" x14ac:dyDescent="0.3">
      <c r="B1186" s="657">
        <v>50625</v>
      </c>
      <c r="C1186" s="657">
        <v>1168.1999999998943</v>
      </c>
      <c r="D1186" s="658">
        <v>50740</v>
      </c>
      <c r="E1186" s="658">
        <v>1168.2999999998942</v>
      </c>
      <c r="G1186" s="64">
        <v>1168.2999999998942</v>
      </c>
      <c r="H1186" s="658">
        <v>50740</v>
      </c>
      <c r="I1186" s="64">
        <v>1168.3999999998941</v>
      </c>
      <c r="J1186" s="658">
        <v>50855</v>
      </c>
    </row>
    <row r="1187" spans="2:10" ht="14.4" x14ac:dyDescent="0.3">
      <c r="B1187" s="657">
        <v>50740</v>
      </c>
      <c r="C1187" s="657">
        <v>1168.2999999998942</v>
      </c>
      <c r="D1187" s="658">
        <v>50855</v>
      </c>
      <c r="E1187" s="658">
        <v>1168.3999999998941</v>
      </c>
      <c r="G1187" s="64">
        <v>1168.3999999998941</v>
      </c>
      <c r="H1187" s="658">
        <v>50855</v>
      </c>
      <c r="I1187" s="64">
        <v>1168.499999999894</v>
      </c>
      <c r="J1187" s="658">
        <v>50970</v>
      </c>
    </row>
    <row r="1188" spans="2:10" ht="14.4" x14ac:dyDescent="0.3">
      <c r="B1188" s="657">
        <v>50855</v>
      </c>
      <c r="C1188" s="657">
        <v>1168.3999999998941</v>
      </c>
      <c r="D1188" s="658">
        <v>50970</v>
      </c>
      <c r="E1188" s="658">
        <v>1168.499999999894</v>
      </c>
      <c r="G1188" s="64">
        <v>1168.499999999894</v>
      </c>
      <c r="H1188" s="658">
        <v>50970</v>
      </c>
      <c r="I1188" s="64">
        <v>1168.599999999894</v>
      </c>
      <c r="J1188" s="658">
        <v>51084</v>
      </c>
    </row>
    <row r="1189" spans="2:10" ht="14.4" x14ac:dyDescent="0.3">
      <c r="B1189" s="657">
        <v>50970</v>
      </c>
      <c r="C1189" s="657">
        <v>1168.499999999894</v>
      </c>
      <c r="D1189" s="658">
        <v>51084</v>
      </c>
      <c r="E1189" s="658">
        <v>1168.599999999894</v>
      </c>
      <c r="G1189" s="64">
        <v>1168.599999999894</v>
      </c>
      <c r="H1189" s="658">
        <v>51084</v>
      </c>
      <c r="I1189" s="64">
        <v>1168.6999999998939</v>
      </c>
      <c r="J1189" s="658">
        <v>51199</v>
      </c>
    </row>
    <row r="1190" spans="2:10" ht="14.4" x14ac:dyDescent="0.3">
      <c r="B1190" s="657">
        <v>51084</v>
      </c>
      <c r="C1190" s="657">
        <v>1168.599999999894</v>
      </c>
      <c r="D1190" s="658">
        <v>51199</v>
      </c>
      <c r="E1190" s="658">
        <v>1168.6999999998939</v>
      </c>
      <c r="G1190" s="64">
        <v>1168.6999999998939</v>
      </c>
      <c r="H1190" s="658">
        <v>51199</v>
      </c>
      <c r="I1190" s="64">
        <v>1168.7999999998938</v>
      </c>
      <c r="J1190" s="658">
        <v>51314</v>
      </c>
    </row>
    <row r="1191" spans="2:10" ht="14.4" x14ac:dyDescent="0.3">
      <c r="B1191" s="657">
        <v>51199</v>
      </c>
      <c r="C1191" s="657">
        <v>1168.6999999998939</v>
      </c>
      <c r="D1191" s="658">
        <v>51314</v>
      </c>
      <c r="E1191" s="658">
        <v>1168.7999999998938</v>
      </c>
      <c r="G1191" s="64">
        <v>1168.7999999998938</v>
      </c>
      <c r="H1191" s="658">
        <v>51314</v>
      </c>
      <c r="I1191" s="64">
        <v>1168.8999999998937</v>
      </c>
      <c r="J1191" s="658">
        <v>51429</v>
      </c>
    </row>
    <row r="1192" spans="2:10" ht="14.4" x14ac:dyDescent="0.3">
      <c r="B1192" s="657">
        <v>51314</v>
      </c>
      <c r="C1192" s="657">
        <v>1168.7999999998938</v>
      </c>
      <c r="D1192" s="658">
        <v>51429</v>
      </c>
      <c r="E1192" s="658">
        <v>1168.8999999998937</v>
      </c>
      <c r="G1192" s="64">
        <v>1168.8999999998937</v>
      </c>
      <c r="H1192" s="658">
        <v>51429</v>
      </c>
      <c r="I1192" s="64">
        <v>1168.9999999998936</v>
      </c>
      <c r="J1192" s="658">
        <v>51544</v>
      </c>
    </row>
    <row r="1193" spans="2:10" ht="14.4" x14ac:dyDescent="0.3">
      <c r="B1193" s="657">
        <v>51429</v>
      </c>
      <c r="C1193" s="657">
        <v>1168.8999999998937</v>
      </c>
      <c r="D1193" s="658">
        <v>51544</v>
      </c>
      <c r="E1193" s="658">
        <v>1168.9999999998936</v>
      </c>
      <c r="G1193" s="64">
        <v>1168.9999999998936</v>
      </c>
      <c r="H1193" s="658">
        <v>51544</v>
      </c>
      <c r="I1193" s="64">
        <v>1169.0999999998935</v>
      </c>
      <c r="J1193" s="658">
        <v>51660</v>
      </c>
    </row>
    <row r="1194" spans="2:10" ht="14.4" x14ac:dyDescent="0.3">
      <c r="B1194" s="657">
        <v>51544</v>
      </c>
      <c r="C1194" s="657">
        <v>1168.9999999998936</v>
      </c>
      <c r="D1194" s="658">
        <v>51660</v>
      </c>
      <c r="E1194" s="658">
        <v>1169.0999999998935</v>
      </c>
      <c r="G1194" s="64">
        <v>1169.0999999998935</v>
      </c>
      <c r="H1194" s="658">
        <v>51660</v>
      </c>
      <c r="I1194" s="64">
        <v>1169.1999999998934</v>
      </c>
      <c r="J1194" s="658">
        <v>51776</v>
      </c>
    </row>
    <row r="1195" spans="2:10" ht="14.4" x14ac:dyDescent="0.3">
      <c r="B1195" s="657">
        <v>51660</v>
      </c>
      <c r="C1195" s="657">
        <v>1169.0999999998935</v>
      </c>
      <c r="D1195" s="658">
        <v>51776</v>
      </c>
      <c r="E1195" s="658">
        <v>1169.1999999998934</v>
      </c>
      <c r="G1195" s="64">
        <v>1169.1999999998934</v>
      </c>
      <c r="H1195" s="658">
        <v>51776</v>
      </c>
      <c r="I1195" s="64">
        <v>1169.2999999998933</v>
      </c>
      <c r="J1195" s="658">
        <v>51892</v>
      </c>
    </row>
    <row r="1196" spans="2:10" ht="14.4" x14ac:dyDescent="0.3">
      <c r="B1196" s="657">
        <v>51776</v>
      </c>
      <c r="C1196" s="657">
        <v>1169.1999999998934</v>
      </c>
      <c r="D1196" s="658">
        <v>51892</v>
      </c>
      <c r="E1196" s="658">
        <v>1169.2999999998933</v>
      </c>
      <c r="G1196" s="64">
        <v>1169.2999999998933</v>
      </c>
      <c r="H1196" s="658">
        <v>51892</v>
      </c>
      <c r="I1196" s="64">
        <v>1169.3999999998932</v>
      </c>
      <c r="J1196" s="658">
        <v>52008</v>
      </c>
    </row>
    <row r="1197" spans="2:10" ht="14.4" x14ac:dyDescent="0.3">
      <c r="B1197" s="657">
        <v>51892</v>
      </c>
      <c r="C1197" s="657">
        <v>1169.2999999998933</v>
      </c>
      <c r="D1197" s="658">
        <v>52008</v>
      </c>
      <c r="E1197" s="658">
        <v>1169.3999999998932</v>
      </c>
      <c r="G1197" s="64">
        <v>1169.3999999998932</v>
      </c>
      <c r="H1197" s="658">
        <v>52008</v>
      </c>
      <c r="I1197" s="64">
        <v>1169.4999999998931</v>
      </c>
      <c r="J1197" s="658">
        <v>52125</v>
      </c>
    </row>
    <row r="1198" spans="2:10" ht="14.4" x14ac:dyDescent="0.3">
      <c r="B1198" s="657">
        <v>52008</v>
      </c>
      <c r="C1198" s="657">
        <v>1169.3999999998932</v>
      </c>
      <c r="D1198" s="658">
        <v>52125</v>
      </c>
      <c r="E1198" s="658">
        <v>1169.4999999998931</v>
      </c>
      <c r="G1198" s="64">
        <v>1169.4999999998931</v>
      </c>
      <c r="H1198" s="658">
        <v>52125</v>
      </c>
      <c r="I1198" s="64">
        <v>1169.599999999893</v>
      </c>
      <c r="J1198" s="658">
        <v>52241</v>
      </c>
    </row>
    <row r="1199" spans="2:10" ht="14.4" x14ac:dyDescent="0.3">
      <c r="B1199" s="657">
        <v>52125</v>
      </c>
      <c r="C1199" s="657">
        <v>1169.4999999998931</v>
      </c>
      <c r="D1199" s="658">
        <v>52241</v>
      </c>
      <c r="E1199" s="658">
        <v>1169.599999999893</v>
      </c>
      <c r="G1199" s="64">
        <v>1169.599999999893</v>
      </c>
      <c r="H1199" s="658">
        <v>52241</v>
      </c>
      <c r="I1199" s="64">
        <v>1169.699999999893</v>
      </c>
      <c r="J1199" s="658">
        <v>52357</v>
      </c>
    </row>
    <row r="1200" spans="2:10" ht="14.4" x14ac:dyDescent="0.3">
      <c r="B1200" s="657">
        <v>52241</v>
      </c>
      <c r="C1200" s="657">
        <v>1169.599999999893</v>
      </c>
      <c r="D1200" s="658">
        <v>52357</v>
      </c>
      <c r="E1200" s="658">
        <v>1169.699999999893</v>
      </c>
      <c r="G1200" s="64">
        <v>1169.699999999893</v>
      </c>
      <c r="H1200" s="658">
        <v>52357</v>
      </c>
      <c r="I1200" s="64">
        <v>1169.7999999998929</v>
      </c>
      <c r="J1200" s="658">
        <v>52473</v>
      </c>
    </row>
    <row r="1201" spans="2:10" ht="14.4" x14ac:dyDescent="0.3">
      <c r="B1201" s="657">
        <v>52357</v>
      </c>
      <c r="C1201" s="657">
        <v>1169.699999999893</v>
      </c>
      <c r="D1201" s="658">
        <v>52473</v>
      </c>
      <c r="E1201" s="658">
        <v>1169.7999999998929</v>
      </c>
      <c r="G1201" s="64">
        <v>1169.7999999998929</v>
      </c>
      <c r="H1201" s="658">
        <v>52473</v>
      </c>
      <c r="I1201" s="64">
        <v>1169.8999999998928</v>
      </c>
      <c r="J1201" s="658">
        <v>52589</v>
      </c>
    </row>
    <row r="1202" spans="2:10" ht="14.4" x14ac:dyDescent="0.3">
      <c r="B1202" s="657">
        <v>52473</v>
      </c>
      <c r="C1202" s="657">
        <v>1169.7999999998929</v>
      </c>
      <c r="D1202" s="658">
        <v>52589</v>
      </c>
      <c r="E1202" s="658">
        <v>1169.8999999998928</v>
      </c>
      <c r="G1202" s="64">
        <v>1169.8999999998928</v>
      </c>
      <c r="H1202" s="658">
        <v>52589</v>
      </c>
      <c r="I1202" s="64">
        <v>1169.9999999998927</v>
      </c>
      <c r="J1202" s="658">
        <v>52705</v>
      </c>
    </row>
    <row r="1203" spans="2:10" ht="14.4" x14ac:dyDescent="0.3">
      <c r="B1203" s="657">
        <v>52589</v>
      </c>
      <c r="C1203" s="657">
        <v>1169.8999999998928</v>
      </c>
      <c r="D1203" s="658">
        <v>52705</v>
      </c>
      <c r="E1203" s="658">
        <v>1169.9999999998927</v>
      </c>
      <c r="G1203" s="64">
        <v>1169.9999999998927</v>
      </c>
      <c r="H1203" s="658">
        <v>52705</v>
      </c>
      <c r="I1203" s="64">
        <v>1170.0999999998926</v>
      </c>
      <c r="J1203" s="658">
        <v>52822</v>
      </c>
    </row>
    <row r="1204" spans="2:10" ht="14.4" x14ac:dyDescent="0.3">
      <c r="B1204" s="657">
        <v>52705</v>
      </c>
      <c r="C1204" s="657">
        <v>1169.9999999998927</v>
      </c>
      <c r="D1204" s="658">
        <v>52822</v>
      </c>
      <c r="E1204" s="658">
        <v>1170.0999999998926</v>
      </c>
      <c r="G1204" s="64">
        <v>1170.0999999998926</v>
      </c>
      <c r="H1204" s="658">
        <v>52822</v>
      </c>
      <c r="I1204" s="64">
        <v>1170.1999999998925</v>
      </c>
      <c r="J1204" s="658">
        <v>52940</v>
      </c>
    </row>
    <row r="1205" spans="2:10" ht="14.4" x14ac:dyDescent="0.3">
      <c r="B1205" s="657">
        <v>52822</v>
      </c>
      <c r="C1205" s="657">
        <v>1170.0999999998926</v>
      </c>
      <c r="D1205" s="658">
        <v>52940</v>
      </c>
      <c r="E1205" s="658">
        <v>1170.1999999998925</v>
      </c>
      <c r="G1205" s="64">
        <v>1170.1999999998925</v>
      </c>
      <c r="H1205" s="658">
        <v>52940</v>
      </c>
      <c r="I1205" s="64">
        <v>1170.2999999998924</v>
      </c>
      <c r="J1205" s="658">
        <v>53057</v>
      </c>
    </row>
    <row r="1206" spans="2:10" ht="14.4" x14ac:dyDescent="0.3">
      <c r="B1206" s="657">
        <v>52940</v>
      </c>
      <c r="C1206" s="657">
        <v>1170.1999999998925</v>
      </c>
      <c r="D1206" s="658">
        <v>53057</v>
      </c>
      <c r="E1206" s="658">
        <v>1170.2999999998924</v>
      </c>
      <c r="G1206" s="64">
        <v>1170.2999999998924</v>
      </c>
      <c r="H1206" s="658">
        <v>53057</v>
      </c>
      <c r="I1206" s="64">
        <v>1170.3999999998923</v>
      </c>
      <c r="J1206" s="658">
        <v>53174</v>
      </c>
    </row>
    <row r="1207" spans="2:10" ht="14.4" x14ac:dyDescent="0.3">
      <c r="B1207" s="657">
        <v>53057</v>
      </c>
      <c r="C1207" s="657">
        <v>1170.2999999998924</v>
      </c>
      <c r="D1207" s="658">
        <v>53174</v>
      </c>
      <c r="E1207" s="658">
        <v>1170.3999999998923</v>
      </c>
      <c r="G1207" s="64">
        <v>1170.3999999998923</v>
      </c>
      <c r="H1207" s="658">
        <v>53174</v>
      </c>
      <c r="I1207" s="64">
        <v>1170.4999999998922</v>
      </c>
      <c r="J1207" s="658">
        <v>53292</v>
      </c>
    </row>
    <row r="1208" spans="2:10" ht="14.4" x14ac:dyDescent="0.3">
      <c r="B1208" s="657">
        <v>53174</v>
      </c>
      <c r="C1208" s="657">
        <v>1170.3999999998923</v>
      </c>
      <c r="D1208" s="658">
        <v>53292</v>
      </c>
      <c r="E1208" s="658">
        <v>1170.4999999998922</v>
      </c>
      <c r="G1208" s="64">
        <v>1170.4999999998922</v>
      </c>
      <c r="H1208" s="658">
        <v>53292</v>
      </c>
      <c r="I1208" s="64">
        <v>1170.5999999998921</v>
      </c>
      <c r="J1208" s="658">
        <v>53409</v>
      </c>
    </row>
    <row r="1209" spans="2:10" ht="14.4" x14ac:dyDescent="0.3">
      <c r="B1209" s="657">
        <v>53292</v>
      </c>
      <c r="C1209" s="657">
        <v>1170.4999999998922</v>
      </c>
      <c r="D1209" s="658">
        <v>53409</v>
      </c>
      <c r="E1209" s="658">
        <v>1170.5999999998921</v>
      </c>
      <c r="G1209" s="64">
        <v>1170.5999999998921</v>
      </c>
      <c r="H1209" s="658">
        <v>53409</v>
      </c>
      <c r="I1209" s="64">
        <v>1170.699999999892</v>
      </c>
      <c r="J1209" s="658">
        <v>53526</v>
      </c>
    </row>
    <row r="1210" spans="2:10" ht="14.4" x14ac:dyDescent="0.3">
      <c r="B1210" s="657">
        <v>53409</v>
      </c>
      <c r="C1210" s="657">
        <v>1170.5999999998921</v>
      </c>
      <c r="D1210" s="658">
        <v>53526</v>
      </c>
      <c r="E1210" s="658">
        <v>1170.699999999892</v>
      </c>
      <c r="G1210" s="64">
        <v>1170.699999999892</v>
      </c>
      <c r="H1210" s="658">
        <v>53526</v>
      </c>
      <c r="I1210" s="64">
        <v>1170.799999999892</v>
      </c>
      <c r="J1210" s="658">
        <v>53643</v>
      </c>
    </row>
    <row r="1211" spans="2:10" ht="14.4" x14ac:dyDescent="0.3">
      <c r="B1211" s="657">
        <v>53526</v>
      </c>
      <c r="C1211" s="657">
        <v>1170.699999999892</v>
      </c>
      <c r="D1211" s="658">
        <v>53643</v>
      </c>
      <c r="E1211" s="658">
        <v>1170.799999999892</v>
      </c>
      <c r="G1211" s="64">
        <v>1170.799999999892</v>
      </c>
      <c r="H1211" s="658">
        <v>53643</v>
      </c>
      <c r="I1211" s="64">
        <v>1170.8999999998919</v>
      </c>
      <c r="J1211" s="658">
        <v>53761</v>
      </c>
    </row>
    <row r="1212" spans="2:10" ht="14.4" x14ac:dyDescent="0.3">
      <c r="B1212" s="657">
        <v>53643</v>
      </c>
      <c r="C1212" s="657">
        <v>1170.799999999892</v>
      </c>
      <c r="D1212" s="658">
        <v>53761</v>
      </c>
      <c r="E1212" s="658">
        <v>1170.8999999998919</v>
      </c>
      <c r="G1212" s="64">
        <v>1170.8999999998919</v>
      </c>
      <c r="H1212" s="658">
        <v>53761</v>
      </c>
      <c r="I1212" s="64">
        <v>1170.9999999998918</v>
      </c>
      <c r="J1212" s="658">
        <v>53878</v>
      </c>
    </row>
    <row r="1213" spans="2:10" ht="14.4" x14ac:dyDescent="0.3">
      <c r="B1213" s="657">
        <v>53761</v>
      </c>
      <c r="C1213" s="657">
        <v>1170.8999999998919</v>
      </c>
      <c r="D1213" s="658">
        <v>53878</v>
      </c>
      <c r="E1213" s="658">
        <v>1170.9999999998918</v>
      </c>
      <c r="G1213" s="64">
        <v>1170.9999999998918</v>
      </c>
      <c r="H1213" s="658">
        <v>53878</v>
      </c>
      <c r="I1213" s="64">
        <v>1171.0999999998917</v>
      </c>
      <c r="J1213" s="658">
        <v>53996</v>
      </c>
    </row>
    <row r="1214" spans="2:10" ht="14.4" x14ac:dyDescent="0.3">
      <c r="B1214" s="657">
        <v>53878</v>
      </c>
      <c r="C1214" s="657">
        <v>1170.9999999998918</v>
      </c>
      <c r="D1214" s="658">
        <v>53996</v>
      </c>
      <c r="E1214" s="658">
        <v>1171.0999999998917</v>
      </c>
      <c r="G1214" s="64">
        <v>1171.0999999998917</v>
      </c>
      <c r="H1214" s="658">
        <v>53996</v>
      </c>
      <c r="I1214" s="64">
        <v>1171.1999999998916</v>
      </c>
      <c r="J1214" s="658">
        <v>54115</v>
      </c>
    </row>
    <row r="1215" spans="2:10" ht="14.4" x14ac:dyDescent="0.3">
      <c r="B1215" s="657">
        <v>53996</v>
      </c>
      <c r="C1215" s="657">
        <v>1171.0999999998917</v>
      </c>
      <c r="D1215" s="658">
        <v>54115</v>
      </c>
      <c r="E1215" s="658">
        <v>1171.1999999998916</v>
      </c>
      <c r="G1215" s="64">
        <v>1171.1999999998916</v>
      </c>
      <c r="H1215" s="658">
        <v>54115</v>
      </c>
      <c r="I1215" s="64">
        <v>1171.2999999998915</v>
      </c>
      <c r="J1215" s="658">
        <v>54233</v>
      </c>
    </row>
    <row r="1216" spans="2:10" ht="14.4" x14ac:dyDescent="0.3">
      <c r="B1216" s="657">
        <v>54115</v>
      </c>
      <c r="C1216" s="657">
        <v>1171.1999999998916</v>
      </c>
      <c r="D1216" s="658">
        <v>54233</v>
      </c>
      <c r="E1216" s="658">
        <v>1171.2999999998915</v>
      </c>
      <c r="G1216" s="64">
        <v>1171.2999999998915</v>
      </c>
      <c r="H1216" s="658">
        <v>54233</v>
      </c>
      <c r="I1216" s="64">
        <v>1171.3999999998914</v>
      </c>
      <c r="J1216" s="658">
        <v>54352</v>
      </c>
    </row>
    <row r="1217" spans="2:10" ht="14.4" x14ac:dyDescent="0.3">
      <c r="B1217" s="657">
        <v>54233</v>
      </c>
      <c r="C1217" s="657">
        <v>1171.2999999998915</v>
      </c>
      <c r="D1217" s="658">
        <v>54352</v>
      </c>
      <c r="E1217" s="658">
        <v>1171.3999999998914</v>
      </c>
      <c r="G1217" s="64">
        <v>1171.3999999998914</v>
      </c>
      <c r="H1217" s="658">
        <v>54352</v>
      </c>
      <c r="I1217" s="64">
        <v>1171.4999999998913</v>
      </c>
      <c r="J1217" s="658">
        <v>54470</v>
      </c>
    </row>
    <row r="1218" spans="2:10" ht="14.4" x14ac:dyDescent="0.3">
      <c r="B1218" s="657">
        <v>54352</v>
      </c>
      <c r="C1218" s="657">
        <v>1171.3999999998914</v>
      </c>
      <c r="D1218" s="658">
        <v>54470</v>
      </c>
      <c r="E1218" s="658">
        <v>1171.4999999998913</v>
      </c>
      <c r="G1218" s="64">
        <v>1171.4999999998913</v>
      </c>
      <c r="H1218" s="658">
        <v>54470</v>
      </c>
      <c r="I1218" s="64">
        <v>1171.5999999998912</v>
      </c>
      <c r="J1218" s="658">
        <v>54588</v>
      </c>
    </row>
    <row r="1219" spans="2:10" ht="14.4" x14ac:dyDescent="0.3">
      <c r="B1219" s="657">
        <v>54470</v>
      </c>
      <c r="C1219" s="657">
        <v>1171.4999999998913</v>
      </c>
      <c r="D1219" s="658">
        <v>54588</v>
      </c>
      <c r="E1219" s="658">
        <v>1171.5999999998912</v>
      </c>
      <c r="G1219" s="64">
        <v>1171.5999999998912</v>
      </c>
      <c r="H1219" s="658">
        <v>54588</v>
      </c>
      <c r="I1219" s="64">
        <v>1171.6999999998911</v>
      </c>
      <c r="J1219" s="658">
        <v>54707</v>
      </c>
    </row>
    <row r="1220" spans="2:10" ht="14.4" x14ac:dyDescent="0.3">
      <c r="B1220" s="657">
        <v>54588</v>
      </c>
      <c r="C1220" s="657">
        <v>1171.5999999998912</v>
      </c>
      <c r="D1220" s="658">
        <v>54707</v>
      </c>
      <c r="E1220" s="658">
        <v>1171.6999999998911</v>
      </c>
      <c r="G1220" s="64">
        <v>1171.6999999998911</v>
      </c>
      <c r="H1220" s="658">
        <v>54707</v>
      </c>
      <c r="I1220" s="64">
        <v>1171.799999999891</v>
      </c>
      <c r="J1220" s="658">
        <v>54825</v>
      </c>
    </row>
    <row r="1221" spans="2:10" ht="14.4" x14ac:dyDescent="0.3">
      <c r="B1221" s="657">
        <v>54707</v>
      </c>
      <c r="C1221" s="657">
        <v>1171.6999999998911</v>
      </c>
      <c r="D1221" s="658">
        <v>54825</v>
      </c>
      <c r="E1221" s="658">
        <v>1171.799999999891</v>
      </c>
      <c r="G1221" s="64">
        <v>1171.799999999891</v>
      </c>
      <c r="H1221" s="658">
        <v>54825</v>
      </c>
      <c r="I1221" s="64">
        <v>1171.899999999891</v>
      </c>
      <c r="J1221" s="658">
        <v>54944</v>
      </c>
    </row>
    <row r="1222" spans="2:10" ht="14.4" x14ac:dyDescent="0.3">
      <c r="B1222" s="657">
        <v>54825</v>
      </c>
      <c r="C1222" s="657">
        <v>1171.799999999891</v>
      </c>
      <c r="D1222" s="658">
        <v>54944</v>
      </c>
      <c r="E1222" s="658">
        <v>1171.899999999891</v>
      </c>
      <c r="G1222" s="64">
        <v>1171.899999999891</v>
      </c>
      <c r="H1222" s="658">
        <v>54944</v>
      </c>
      <c r="I1222" s="64">
        <v>1171.9999999998909</v>
      </c>
      <c r="J1222" s="658">
        <v>55062</v>
      </c>
    </row>
    <row r="1223" spans="2:10" ht="14.4" x14ac:dyDescent="0.3">
      <c r="B1223" s="657">
        <v>54944</v>
      </c>
      <c r="C1223" s="657">
        <v>1171.899999999891</v>
      </c>
      <c r="D1223" s="658">
        <v>55062</v>
      </c>
      <c r="E1223" s="658">
        <v>1171.9999999998909</v>
      </c>
      <c r="G1223" s="64">
        <v>1171.9999999998909</v>
      </c>
      <c r="H1223" s="658">
        <v>55062</v>
      </c>
      <c r="I1223" s="64">
        <v>1172.0999999998908</v>
      </c>
      <c r="J1223" s="658">
        <v>55182</v>
      </c>
    </row>
    <row r="1224" spans="2:10" ht="14.4" x14ac:dyDescent="0.3">
      <c r="B1224" s="657">
        <v>55062</v>
      </c>
      <c r="C1224" s="657">
        <v>1171.9999999998909</v>
      </c>
      <c r="D1224" s="658">
        <v>55182</v>
      </c>
      <c r="E1224" s="658">
        <v>1172.0999999998908</v>
      </c>
      <c r="G1224" s="64">
        <v>1172.0999999998908</v>
      </c>
      <c r="H1224" s="658">
        <v>55182</v>
      </c>
      <c r="I1224" s="64">
        <v>1172.1999999998907</v>
      </c>
      <c r="J1224" s="658">
        <v>55301</v>
      </c>
    </row>
    <row r="1225" spans="2:10" ht="14.4" x14ac:dyDescent="0.3">
      <c r="B1225" s="657">
        <v>55182</v>
      </c>
      <c r="C1225" s="657">
        <v>1172.0999999998908</v>
      </c>
      <c r="D1225" s="658">
        <v>55301</v>
      </c>
      <c r="E1225" s="658">
        <v>1172.1999999998907</v>
      </c>
      <c r="G1225" s="64">
        <v>1172.1999999998907</v>
      </c>
      <c r="H1225" s="658">
        <v>55301</v>
      </c>
      <c r="I1225" s="64">
        <v>1172.2999999998906</v>
      </c>
      <c r="J1225" s="658">
        <v>55421</v>
      </c>
    </row>
    <row r="1226" spans="2:10" ht="14.4" x14ac:dyDescent="0.3">
      <c r="B1226" s="657">
        <v>55301</v>
      </c>
      <c r="C1226" s="657">
        <v>1172.1999999998907</v>
      </c>
      <c r="D1226" s="658">
        <v>55421</v>
      </c>
      <c r="E1226" s="658">
        <v>1172.2999999998906</v>
      </c>
      <c r="G1226" s="64">
        <v>1172.2999999998906</v>
      </c>
      <c r="H1226" s="658">
        <v>55421</v>
      </c>
      <c r="I1226" s="64">
        <v>1172.3999999998905</v>
      </c>
      <c r="J1226" s="658">
        <v>55540</v>
      </c>
    </row>
    <row r="1227" spans="2:10" ht="14.4" x14ac:dyDescent="0.3">
      <c r="B1227" s="657">
        <v>55421</v>
      </c>
      <c r="C1227" s="657">
        <v>1172.2999999998906</v>
      </c>
      <c r="D1227" s="658">
        <v>55540</v>
      </c>
      <c r="E1227" s="658">
        <v>1172.3999999998905</v>
      </c>
      <c r="G1227" s="64">
        <v>1172.3999999998905</v>
      </c>
      <c r="H1227" s="658">
        <v>55540</v>
      </c>
      <c r="I1227" s="64">
        <v>1172.4999999998904</v>
      </c>
      <c r="J1227" s="658">
        <v>55660</v>
      </c>
    </row>
    <row r="1228" spans="2:10" ht="14.4" x14ac:dyDescent="0.3">
      <c r="B1228" s="657">
        <v>55540</v>
      </c>
      <c r="C1228" s="657">
        <v>1172.3999999998905</v>
      </c>
      <c r="D1228" s="658">
        <v>55660</v>
      </c>
      <c r="E1228" s="658">
        <v>1172.4999999998904</v>
      </c>
      <c r="G1228" s="64">
        <v>1172.4999999998904</v>
      </c>
      <c r="H1228" s="658">
        <v>55660</v>
      </c>
      <c r="I1228" s="64">
        <v>1172.5999999998903</v>
      </c>
      <c r="J1228" s="658">
        <v>55779</v>
      </c>
    </row>
    <row r="1229" spans="2:10" ht="14.4" x14ac:dyDescent="0.3">
      <c r="B1229" s="657">
        <v>55660</v>
      </c>
      <c r="C1229" s="657">
        <v>1172.4999999998904</v>
      </c>
      <c r="D1229" s="658">
        <v>55779</v>
      </c>
      <c r="E1229" s="658">
        <v>1172.5999999998903</v>
      </c>
      <c r="G1229" s="64">
        <v>1172.5999999998903</v>
      </c>
      <c r="H1229" s="658">
        <v>55779</v>
      </c>
      <c r="I1229" s="64">
        <v>1172.6999999998902</v>
      </c>
      <c r="J1229" s="658">
        <v>55899</v>
      </c>
    </row>
    <row r="1230" spans="2:10" ht="14.4" x14ac:dyDescent="0.3">
      <c r="B1230" s="657">
        <v>55779</v>
      </c>
      <c r="C1230" s="657">
        <v>1172.5999999998903</v>
      </c>
      <c r="D1230" s="658">
        <v>55899</v>
      </c>
      <c r="E1230" s="658">
        <v>1172.6999999998902</v>
      </c>
      <c r="G1230" s="64">
        <v>1172.6999999998902</v>
      </c>
      <c r="H1230" s="658">
        <v>55899</v>
      </c>
      <c r="I1230" s="64">
        <v>1172.7999999998901</v>
      </c>
      <c r="J1230" s="658">
        <v>56018</v>
      </c>
    </row>
    <row r="1231" spans="2:10" ht="14.4" x14ac:dyDescent="0.3">
      <c r="B1231" s="657">
        <v>55899</v>
      </c>
      <c r="C1231" s="657">
        <v>1172.6999999998902</v>
      </c>
      <c r="D1231" s="658">
        <v>56018</v>
      </c>
      <c r="E1231" s="658">
        <v>1172.7999999998901</v>
      </c>
      <c r="G1231" s="64">
        <v>1172.7999999998901</v>
      </c>
      <c r="H1231" s="658">
        <v>56018</v>
      </c>
      <c r="I1231" s="64">
        <v>1172.89999999989</v>
      </c>
      <c r="J1231" s="658">
        <v>56138</v>
      </c>
    </row>
    <row r="1232" spans="2:10" ht="14.4" x14ac:dyDescent="0.3">
      <c r="B1232" s="657">
        <v>56018</v>
      </c>
      <c r="C1232" s="657">
        <v>1172.7999999998901</v>
      </c>
      <c r="D1232" s="658">
        <v>56138</v>
      </c>
      <c r="E1232" s="658">
        <v>1172.89999999989</v>
      </c>
      <c r="G1232" s="64">
        <v>1172.89999999989</v>
      </c>
      <c r="H1232" s="658">
        <v>56138</v>
      </c>
      <c r="I1232" s="64">
        <v>1172.99999999989</v>
      </c>
      <c r="J1232" s="658">
        <v>56257</v>
      </c>
    </row>
    <row r="1233" spans="2:10" ht="14.4" x14ac:dyDescent="0.3">
      <c r="B1233" s="657">
        <v>56138</v>
      </c>
      <c r="C1233" s="657">
        <v>1172.89999999989</v>
      </c>
      <c r="D1233" s="658">
        <v>56257</v>
      </c>
      <c r="E1233" s="658">
        <v>1172.99999999989</v>
      </c>
      <c r="G1233" s="64">
        <v>1172.99999999989</v>
      </c>
      <c r="H1233" s="658">
        <v>56257</v>
      </c>
      <c r="I1233" s="64">
        <v>1173.0999999998899</v>
      </c>
      <c r="J1233" s="658">
        <v>56378</v>
      </c>
    </row>
    <row r="1234" spans="2:10" ht="14.4" x14ac:dyDescent="0.3">
      <c r="B1234" s="657">
        <v>56257</v>
      </c>
      <c r="C1234" s="657">
        <v>1172.99999999989</v>
      </c>
      <c r="D1234" s="658">
        <v>56378</v>
      </c>
      <c r="E1234" s="658">
        <v>1173.0999999998899</v>
      </c>
      <c r="G1234" s="64">
        <v>1173.0999999998899</v>
      </c>
      <c r="H1234" s="658">
        <v>56378</v>
      </c>
      <c r="I1234" s="64">
        <v>1173.1999999998898</v>
      </c>
      <c r="J1234" s="658">
        <v>56499</v>
      </c>
    </row>
    <row r="1235" spans="2:10" ht="14.4" x14ac:dyDescent="0.3">
      <c r="B1235" s="657">
        <v>56378</v>
      </c>
      <c r="C1235" s="657">
        <v>1173.0999999998899</v>
      </c>
      <c r="D1235" s="658">
        <v>56499</v>
      </c>
      <c r="E1235" s="658">
        <v>1173.1999999998898</v>
      </c>
      <c r="G1235" s="64">
        <v>1173.1999999998898</v>
      </c>
      <c r="H1235" s="658">
        <v>56499</v>
      </c>
      <c r="I1235" s="64">
        <v>1173.2999999998897</v>
      </c>
      <c r="J1235" s="658">
        <v>56619</v>
      </c>
    </row>
    <row r="1236" spans="2:10" ht="14.4" x14ac:dyDescent="0.3">
      <c r="B1236" s="657">
        <v>56499</v>
      </c>
      <c r="C1236" s="657">
        <v>1173.1999999998898</v>
      </c>
      <c r="D1236" s="658">
        <v>56619</v>
      </c>
      <c r="E1236" s="658">
        <v>1173.2999999998897</v>
      </c>
      <c r="G1236" s="64">
        <v>1173.2999999998897</v>
      </c>
      <c r="H1236" s="658">
        <v>56619</v>
      </c>
      <c r="I1236" s="64">
        <v>1173.3999999998896</v>
      </c>
      <c r="J1236" s="658">
        <v>56740</v>
      </c>
    </row>
    <row r="1237" spans="2:10" ht="14.4" x14ac:dyDescent="0.3">
      <c r="B1237" s="657">
        <v>56619</v>
      </c>
      <c r="C1237" s="657">
        <v>1173.2999999998897</v>
      </c>
      <c r="D1237" s="658">
        <v>56740</v>
      </c>
      <c r="E1237" s="658">
        <v>1173.3999999998896</v>
      </c>
      <c r="G1237" s="64">
        <v>1173.3999999998896</v>
      </c>
      <c r="H1237" s="658">
        <v>56740</v>
      </c>
      <c r="I1237" s="64">
        <v>1173.4999999998895</v>
      </c>
      <c r="J1237" s="658">
        <v>56861</v>
      </c>
    </row>
    <row r="1238" spans="2:10" ht="14.4" x14ac:dyDescent="0.3">
      <c r="B1238" s="657">
        <v>56740</v>
      </c>
      <c r="C1238" s="657">
        <v>1173.3999999998896</v>
      </c>
      <c r="D1238" s="658">
        <v>56861</v>
      </c>
      <c r="E1238" s="658">
        <v>1173.4999999998895</v>
      </c>
      <c r="G1238" s="64">
        <v>1173.4999999998895</v>
      </c>
      <c r="H1238" s="658">
        <v>56861</v>
      </c>
      <c r="I1238" s="64">
        <v>1173.5999999998894</v>
      </c>
      <c r="J1238" s="658">
        <v>56982</v>
      </c>
    </row>
    <row r="1239" spans="2:10" ht="14.4" x14ac:dyDescent="0.3">
      <c r="B1239" s="657">
        <v>56861</v>
      </c>
      <c r="C1239" s="657">
        <v>1173.4999999998895</v>
      </c>
      <c r="D1239" s="658">
        <v>56982</v>
      </c>
      <c r="E1239" s="658">
        <v>1173.5999999998894</v>
      </c>
      <c r="G1239" s="64">
        <v>1173.5999999998894</v>
      </c>
      <c r="H1239" s="658">
        <v>56982</v>
      </c>
      <c r="I1239" s="64">
        <v>1173.6999999998893</v>
      </c>
      <c r="J1239" s="658">
        <v>57103</v>
      </c>
    </row>
    <row r="1240" spans="2:10" ht="14.4" x14ac:dyDescent="0.3">
      <c r="B1240" s="657">
        <v>56982</v>
      </c>
      <c r="C1240" s="657">
        <v>1173.5999999998894</v>
      </c>
      <c r="D1240" s="658">
        <v>57103</v>
      </c>
      <c r="E1240" s="658">
        <v>1173.6999999998893</v>
      </c>
      <c r="G1240" s="64">
        <v>1173.6999999998893</v>
      </c>
      <c r="H1240" s="658">
        <v>57103</v>
      </c>
      <c r="I1240" s="64">
        <v>1173.7999999998892</v>
      </c>
      <c r="J1240" s="658">
        <v>57223</v>
      </c>
    </row>
    <row r="1241" spans="2:10" ht="14.4" x14ac:dyDescent="0.3">
      <c r="B1241" s="657">
        <v>57103</v>
      </c>
      <c r="C1241" s="657">
        <v>1173.6999999998893</v>
      </c>
      <c r="D1241" s="658">
        <v>57223</v>
      </c>
      <c r="E1241" s="658">
        <v>1173.7999999998892</v>
      </c>
      <c r="G1241" s="64">
        <v>1173.7999999998892</v>
      </c>
      <c r="H1241" s="658">
        <v>57223</v>
      </c>
      <c r="I1241" s="64">
        <v>1173.8999999998891</v>
      </c>
      <c r="J1241" s="658">
        <v>57344</v>
      </c>
    </row>
    <row r="1242" spans="2:10" ht="14.4" x14ac:dyDescent="0.3">
      <c r="B1242" s="657">
        <v>57223</v>
      </c>
      <c r="C1242" s="657">
        <v>1173.7999999998892</v>
      </c>
      <c r="D1242" s="658">
        <v>57344</v>
      </c>
      <c r="E1242" s="658">
        <v>1173.8999999998891</v>
      </c>
      <c r="G1242" s="64">
        <v>1173.8999999998891</v>
      </c>
      <c r="H1242" s="658">
        <v>57344</v>
      </c>
      <c r="I1242" s="64">
        <v>1173.999999999889</v>
      </c>
      <c r="J1242" s="658">
        <v>57465</v>
      </c>
    </row>
    <row r="1243" spans="2:10" ht="14.4" x14ac:dyDescent="0.3">
      <c r="B1243" s="657">
        <v>57344</v>
      </c>
      <c r="C1243" s="657">
        <v>1173.8999999998891</v>
      </c>
      <c r="D1243" s="658">
        <v>57465</v>
      </c>
      <c r="E1243" s="658">
        <v>1173.999999999889</v>
      </c>
      <c r="G1243" s="64">
        <v>1173.999999999889</v>
      </c>
      <c r="H1243" s="658">
        <v>57465</v>
      </c>
      <c r="I1243" s="64">
        <v>1174.099999999889</v>
      </c>
      <c r="J1243" s="658">
        <v>57587</v>
      </c>
    </row>
    <row r="1244" spans="2:10" ht="14.4" x14ac:dyDescent="0.3">
      <c r="B1244" s="657">
        <v>57465</v>
      </c>
      <c r="C1244" s="657">
        <v>1173.999999999889</v>
      </c>
      <c r="D1244" s="658">
        <v>57587</v>
      </c>
      <c r="E1244" s="658">
        <v>1174.099999999889</v>
      </c>
      <c r="G1244" s="64">
        <v>1174.099999999889</v>
      </c>
      <c r="H1244" s="658">
        <v>57587</v>
      </c>
      <c r="I1244" s="64">
        <v>1174.1999999998889</v>
      </c>
      <c r="J1244" s="658">
        <v>57709</v>
      </c>
    </row>
    <row r="1245" spans="2:10" ht="14.4" x14ac:dyDescent="0.3">
      <c r="B1245" s="657">
        <v>57587</v>
      </c>
      <c r="C1245" s="657">
        <v>1174.099999999889</v>
      </c>
      <c r="D1245" s="658">
        <v>57709</v>
      </c>
      <c r="E1245" s="658">
        <v>1174.1999999998889</v>
      </c>
      <c r="G1245" s="64">
        <v>1174.1999999998889</v>
      </c>
      <c r="H1245" s="658">
        <v>57709</v>
      </c>
      <c r="I1245" s="64">
        <v>1174.2999999998888</v>
      </c>
      <c r="J1245" s="658">
        <v>57831</v>
      </c>
    </row>
    <row r="1246" spans="2:10" ht="14.4" x14ac:dyDescent="0.3">
      <c r="B1246" s="657">
        <v>57709</v>
      </c>
      <c r="C1246" s="657">
        <v>1174.1999999998889</v>
      </c>
      <c r="D1246" s="658">
        <v>57831</v>
      </c>
      <c r="E1246" s="658">
        <v>1174.2999999998888</v>
      </c>
      <c r="G1246" s="64">
        <v>1174.2999999998888</v>
      </c>
      <c r="H1246" s="658">
        <v>57831</v>
      </c>
      <c r="I1246" s="64">
        <v>1174.3999999998887</v>
      </c>
      <c r="J1246" s="658">
        <v>57953</v>
      </c>
    </row>
    <row r="1247" spans="2:10" ht="14.4" x14ac:dyDescent="0.3">
      <c r="B1247" s="657">
        <v>57831</v>
      </c>
      <c r="C1247" s="657">
        <v>1174.2999999998888</v>
      </c>
      <c r="D1247" s="658">
        <v>57953</v>
      </c>
      <c r="E1247" s="658">
        <v>1174.3999999998887</v>
      </c>
      <c r="G1247" s="64">
        <v>1174.3999999998887</v>
      </c>
      <c r="H1247" s="658">
        <v>57953</v>
      </c>
      <c r="I1247" s="64">
        <v>1174.4999999998886</v>
      </c>
      <c r="J1247" s="658">
        <v>58075</v>
      </c>
    </row>
    <row r="1248" spans="2:10" ht="14.4" x14ac:dyDescent="0.3">
      <c r="B1248" s="657">
        <v>57953</v>
      </c>
      <c r="C1248" s="657">
        <v>1174.3999999998887</v>
      </c>
      <c r="D1248" s="658">
        <v>58075</v>
      </c>
      <c r="E1248" s="658">
        <v>1174.4999999998886</v>
      </c>
      <c r="G1248" s="64">
        <v>1174.4999999998886</v>
      </c>
      <c r="H1248" s="658">
        <v>58075</v>
      </c>
      <c r="I1248" s="64">
        <v>1174.5999999998885</v>
      </c>
      <c r="J1248" s="658">
        <v>58196</v>
      </c>
    </row>
    <row r="1249" spans="2:10" ht="14.4" x14ac:dyDescent="0.3">
      <c r="B1249" s="657">
        <v>58075</v>
      </c>
      <c r="C1249" s="657">
        <v>1174.4999999998886</v>
      </c>
      <c r="D1249" s="658">
        <v>58196</v>
      </c>
      <c r="E1249" s="658">
        <v>1174.5999999998885</v>
      </c>
      <c r="G1249" s="64">
        <v>1174.5999999998885</v>
      </c>
      <c r="H1249" s="658">
        <v>58196</v>
      </c>
      <c r="I1249" s="64">
        <v>1174.6999999998884</v>
      </c>
      <c r="J1249" s="658">
        <v>58318</v>
      </c>
    </row>
    <row r="1250" spans="2:10" ht="14.4" x14ac:dyDescent="0.3">
      <c r="B1250" s="657">
        <v>58196</v>
      </c>
      <c r="C1250" s="657">
        <v>1174.5999999998885</v>
      </c>
      <c r="D1250" s="658">
        <v>58318</v>
      </c>
      <c r="E1250" s="658">
        <v>1174.6999999998884</v>
      </c>
      <c r="G1250" s="64">
        <v>1174.6999999998884</v>
      </c>
      <c r="H1250" s="658">
        <v>58318</v>
      </c>
      <c r="I1250" s="64">
        <v>1174.7999999998883</v>
      </c>
      <c r="J1250" s="658">
        <v>58440</v>
      </c>
    </row>
    <row r="1251" spans="2:10" ht="14.4" x14ac:dyDescent="0.3">
      <c r="B1251" s="657">
        <v>58318</v>
      </c>
      <c r="C1251" s="657">
        <v>1174.6999999998884</v>
      </c>
      <c r="D1251" s="658">
        <v>58440</v>
      </c>
      <c r="E1251" s="658">
        <v>1174.7999999998883</v>
      </c>
      <c r="G1251" s="64">
        <v>1174.7999999998883</v>
      </c>
      <c r="H1251" s="658">
        <v>58440</v>
      </c>
      <c r="I1251" s="64">
        <v>1174.8999999998882</v>
      </c>
      <c r="J1251" s="658">
        <v>58562</v>
      </c>
    </row>
    <row r="1252" spans="2:10" ht="14.4" x14ac:dyDescent="0.3">
      <c r="B1252" s="657">
        <v>58440</v>
      </c>
      <c r="C1252" s="657">
        <v>1174.7999999998883</v>
      </c>
      <c r="D1252" s="658">
        <v>58562</v>
      </c>
      <c r="E1252" s="658">
        <v>1174.8999999998882</v>
      </c>
      <c r="G1252" s="64">
        <v>1174.8999999998882</v>
      </c>
      <c r="H1252" s="658">
        <v>58562</v>
      </c>
      <c r="I1252" s="64">
        <v>1174.9999999998881</v>
      </c>
      <c r="J1252" s="658">
        <v>58684</v>
      </c>
    </row>
    <row r="1253" spans="2:10" ht="14.4" x14ac:dyDescent="0.3">
      <c r="B1253" s="657">
        <v>58562</v>
      </c>
      <c r="C1253" s="657">
        <v>1174.8999999998882</v>
      </c>
      <c r="D1253" s="658">
        <v>58684</v>
      </c>
      <c r="E1253" s="658">
        <v>1174.9999999998881</v>
      </c>
      <c r="G1253" s="64">
        <v>1174.9999999998881</v>
      </c>
      <c r="H1253" s="658">
        <v>58684</v>
      </c>
      <c r="I1253" s="64">
        <v>1175.099999999888</v>
      </c>
      <c r="J1253" s="658">
        <v>58807</v>
      </c>
    </row>
    <row r="1254" spans="2:10" ht="14.4" x14ac:dyDescent="0.3">
      <c r="B1254" s="657">
        <v>58684</v>
      </c>
      <c r="C1254" s="657">
        <v>1174.9999999998881</v>
      </c>
      <c r="D1254" s="658">
        <v>58807</v>
      </c>
      <c r="E1254" s="658">
        <v>1175.099999999888</v>
      </c>
      <c r="G1254" s="64">
        <v>1175.099999999888</v>
      </c>
      <c r="H1254" s="658">
        <v>58807</v>
      </c>
      <c r="I1254" s="64">
        <v>1175.199999999888</v>
      </c>
      <c r="J1254" s="658">
        <v>58930</v>
      </c>
    </row>
    <row r="1255" spans="2:10" ht="14.4" x14ac:dyDescent="0.3">
      <c r="B1255" s="657">
        <v>58807</v>
      </c>
      <c r="C1255" s="657">
        <v>1175.099999999888</v>
      </c>
      <c r="D1255" s="658">
        <v>58930</v>
      </c>
      <c r="E1255" s="658">
        <v>1175.199999999888</v>
      </c>
      <c r="G1255" s="64">
        <v>1175.199999999888</v>
      </c>
      <c r="H1255" s="658">
        <v>58930</v>
      </c>
      <c r="I1255" s="64">
        <v>1175.2999999998879</v>
      </c>
      <c r="J1255" s="658">
        <v>59054</v>
      </c>
    </row>
    <row r="1256" spans="2:10" ht="14.4" x14ac:dyDescent="0.3">
      <c r="B1256" s="657">
        <v>58930</v>
      </c>
      <c r="C1256" s="657">
        <v>1175.199999999888</v>
      </c>
      <c r="D1256" s="658">
        <v>59054</v>
      </c>
      <c r="E1256" s="658">
        <v>1175.2999999998879</v>
      </c>
      <c r="G1256" s="64">
        <v>1175.2999999998879</v>
      </c>
      <c r="H1256" s="658">
        <v>59054</v>
      </c>
      <c r="I1256" s="64">
        <v>1175.3999999998878</v>
      </c>
      <c r="J1256" s="658">
        <v>59177</v>
      </c>
    </row>
    <row r="1257" spans="2:10" ht="14.4" x14ac:dyDescent="0.3">
      <c r="B1257" s="657">
        <v>59054</v>
      </c>
      <c r="C1257" s="657">
        <v>1175.2999999998879</v>
      </c>
      <c r="D1257" s="658">
        <v>59177</v>
      </c>
      <c r="E1257" s="658">
        <v>1175.3999999998878</v>
      </c>
      <c r="G1257" s="64">
        <v>1175.3999999998878</v>
      </c>
      <c r="H1257" s="658">
        <v>59177</v>
      </c>
      <c r="I1257" s="64">
        <v>1175.4999999998877</v>
      </c>
      <c r="J1257" s="658">
        <v>59300</v>
      </c>
    </row>
    <row r="1258" spans="2:10" ht="14.4" x14ac:dyDescent="0.3">
      <c r="B1258" s="657">
        <v>59177</v>
      </c>
      <c r="C1258" s="657">
        <v>1175.3999999998878</v>
      </c>
      <c r="D1258" s="658">
        <v>59300</v>
      </c>
      <c r="E1258" s="658">
        <v>1175.4999999998877</v>
      </c>
      <c r="G1258" s="64">
        <v>1175.4999999998877</v>
      </c>
      <c r="H1258" s="658">
        <v>59300</v>
      </c>
      <c r="I1258" s="64">
        <v>1175.5999999998876</v>
      </c>
      <c r="J1258" s="658">
        <v>59423</v>
      </c>
    </row>
    <row r="1259" spans="2:10" ht="14.4" x14ac:dyDescent="0.3">
      <c r="B1259" s="657">
        <v>59300</v>
      </c>
      <c r="C1259" s="657">
        <v>1175.4999999998877</v>
      </c>
      <c r="D1259" s="658">
        <v>59423</v>
      </c>
      <c r="E1259" s="658">
        <v>1175.5999999998876</v>
      </c>
      <c r="G1259" s="64">
        <v>1175.5999999998876</v>
      </c>
      <c r="H1259" s="658">
        <v>59423</v>
      </c>
      <c r="I1259" s="64">
        <v>1175.6999999998875</v>
      </c>
      <c r="J1259" s="658">
        <v>59546</v>
      </c>
    </row>
    <row r="1260" spans="2:10" ht="14.4" x14ac:dyDescent="0.3">
      <c r="B1260" s="657">
        <v>59423</v>
      </c>
      <c r="C1260" s="657">
        <v>1175.5999999998876</v>
      </c>
      <c r="D1260" s="658">
        <v>59546</v>
      </c>
      <c r="E1260" s="658">
        <v>1175.6999999998875</v>
      </c>
      <c r="G1260" s="64">
        <v>1175.6999999998875</v>
      </c>
      <c r="H1260" s="658">
        <v>59546</v>
      </c>
      <c r="I1260" s="64">
        <v>1175.7999999998874</v>
      </c>
      <c r="J1260" s="658">
        <v>59670</v>
      </c>
    </row>
    <row r="1261" spans="2:10" ht="14.4" x14ac:dyDescent="0.3">
      <c r="B1261" s="657">
        <v>59546</v>
      </c>
      <c r="C1261" s="657">
        <v>1175.6999999998875</v>
      </c>
      <c r="D1261" s="658">
        <v>59670</v>
      </c>
      <c r="E1261" s="658">
        <v>1175.7999999998874</v>
      </c>
      <c r="G1261" s="64">
        <v>1175.7999999998874</v>
      </c>
      <c r="H1261" s="658">
        <v>59670</v>
      </c>
      <c r="I1261" s="64">
        <v>1175.8999999998873</v>
      </c>
      <c r="J1261" s="658">
        <v>59793</v>
      </c>
    </row>
    <row r="1262" spans="2:10" ht="14.4" x14ac:dyDescent="0.3">
      <c r="B1262" s="657">
        <v>59670</v>
      </c>
      <c r="C1262" s="657">
        <v>1175.7999999998874</v>
      </c>
      <c r="D1262" s="658">
        <v>59793</v>
      </c>
      <c r="E1262" s="658">
        <v>1175.8999999998873</v>
      </c>
      <c r="G1262" s="64">
        <v>1175.8999999998873</v>
      </c>
      <c r="H1262" s="658">
        <v>59793</v>
      </c>
      <c r="I1262" s="64">
        <v>1175.9999999998872</v>
      </c>
      <c r="J1262" s="658">
        <v>59916</v>
      </c>
    </row>
    <row r="1263" spans="2:10" ht="14.4" x14ac:dyDescent="0.3">
      <c r="B1263" s="657">
        <v>59793</v>
      </c>
      <c r="C1263" s="657">
        <v>1175.8999999998873</v>
      </c>
      <c r="D1263" s="658">
        <v>59916</v>
      </c>
      <c r="E1263" s="658">
        <v>1175.9999999998872</v>
      </c>
      <c r="G1263" s="64">
        <v>1175.9999999998872</v>
      </c>
      <c r="H1263" s="658">
        <v>59916</v>
      </c>
      <c r="I1263" s="64">
        <v>1176.0999999998871</v>
      </c>
      <c r="J1263" s="658">
        <v>60041</v>
      </c>
    </row>
    <row r="1264" spans="2:10" ht="14.4" x14ac:dyDescent="0.3">
      <c r="B1264" s="657">
        <v>59916</v>
      </c>
      <c r="C1264" s="657">
        <v>1175.9999999998872</v>
      </c>
      <c r="D1264" s="658">
        <v>60041</v>
      </c>
      <c r="E1264" s="658">
        <v>1176.0999999998871</v>
      </c>
      <c r="G1264" s="64">
        <v>1176.0999999998871</v>
      </c>
      <c r="H1264" s="658">
        <v>60041</v>
      </c>
      <c r="I1264" s="64">
        <v>1176.199999999887</v>
      </c>
      <c r="J1264" s="658">
        <v>60165</v>
      </c>
    </row>
    <row r="1265" spans="2:10" ht="14.4" x14ac:dyDescent="0.3">
      <c r="B1265" s="657">
        <v>60041</v>
      </c>
      <c r="C1265" s="657">
        <v>1176.0999999998871</v>
      </c>
      <c r="D1265" s="658">
        <v>60165</v>
      </c>
      <c r="E1265" s="658">
        <v>1176.199999999887</v>
      </c>
      <c r="G1265" s="64">
        <v>1176.199999999887</v>
      </c>
      <c r="H1265" s="658">
        <v>60165</v>
      </c>
      <c r="I1265" s="64">
        <v>1176.2999999998869</v>
      </c>
      <c r="J1265" s="658">
        <v>60290</v>
      </c>
    </row>
    <row r="1266" spans="2:10" ht="14.4" x14ac:dyDescent="0.3">
      <c r="B1266" s="657">
        <v>60165</v>
      </c>
      <c r="C1266" s="657">
        <v>1176.199999999887</v>
      </c>
      <c r="D1266" s="658">
        <v>60290</v>
      </c>
      <c r="E1266" s="658">
        <v>1176.2999999998869</v>
      </c>
      <c r="G1266" s="64">
        <v>1176.2999999998869</v>
      </c>
      <c r="H1266" s="658">
        <v>60290</v>
      </c>
      <c r="I1266" s="64">
        <v>1176.3999999998869</v>
      </c>
      <c r="J1266" s="658">
        <v>60414</v>
      </c>
    </row>
    <row r="1267" spans="2:10" ht="14.4" x14ac:dyDescent="0.3">
      <c r="B1267" s="657">
        <v>60290</v>
      </c>
      <c r="C1267" s="657">
        <v>1176.2999999998869</v>
      </c>
      <c r="D1267" s="658">
        <v>60414</v>
      </c>
      <c r="E1267" s="658">
        <v>1176.3999999998869</v>
      </c>
      <c r="G1267" s="64">
        <v>1176.3999999998869</v>
      </c>
      <c r="H1267" s="658">
        <v>60414</v>
      </c>
      <c r="I1267" s="64">
        <v>1176.4999999998868</v>
      </c>
      <c r="J1267" s="658">
        <v>60539</v>
      </c>
    </row>
    <row r="1268" spans="2:10" ht="14.4" x14ac:dyDescent="0.3">
      <c r="B1268" s="657">
        <v>60414</v>
      </c>
      <c r="C1268" s="657">
        <v>1176.3999999998869</v>
      </c>
      <c r="D1268" s="658">
        <v>60539</v>
      </c>
      <c r="E1268" s="658">
        <v>1176.4999999998868</v>
      </c>
      <c r="G1268" s="64">
        <v>1176.4999999998868</v>
      </c>
      <c r="H1268" s="658">
        <v>60539</v>
      </c>
      <c r="I1268" s="64">
        <v>1176.5999999998867</v>
      </c>
      <c r="J1268" s="658">
        <v>60664</v>
      </c>
    </row>
    <row r="1269" spans="2:10" ht="14.4" x14ac:dyDescent="0.3">
      <c r="B1269" s="657">
        <v>60539</v>
      </c>
      <c r="C1269" s="657">
        <v>1176.4999999998868</v>
      </c>
      <c r="D1269" s="658">
        <v>60664</v>
      </c>
      <c r="E1269" s="658">
        <v>1176.5999999998867</v>
      </c>
      <c r="G1269" s="64">
        <v>1176.5999999998867</v>
      </c>
      <c r="H1269" s="658">
        <v>60664</v>
      </c>
      <c r="I1269" s="64">
        <v>1176.6999999998866</v>
      </c>
      <c r="J1269" s="658">
        <v>60788</v>
      </c>
    </row>
    <row r="1270" spans="2:10" ht="14.4" x14ac:dyDescent="0.3">
      <c r="B1270" s="657">
        <v>60664</v>
      </c>
      <c r="C1270" s="657">
        <v>1176.5999999998867</v>
      </c>
      <c r="D1270" s="658">
        <v>60788</v>
      </c>
      <c r="E1270" s="658">
        <v>1176.6999999998866</v>
      </c>
      <c r="G1270" s="64">
        <v>1176.6999999998866</v>
      </c>
      <c r="H1270" s="658">
        <v>60788</v>
      </c>
      <c r="I1270" s="64">
        <v>1176.7999999998865</v>
      </c>
      <c r="J1270" s="658">
        <v>60913</v>
      </c>
    </row>
    <row r="1271" spans="2:10" ht="14.4" x14ac:dyDescent="0.3">
      <c r="B1271" s="657">
        <v>60788</v>
      </c>
      <c r="C1271" s="657">
        <v>1176.6999999998866</v>
      </c>
      <c r="D1271" s="658">
        <v>60913</v>
      </c>
      <c r="E1271" s="658">
        <v>1176.7999999998865</v>
      </c>
      <c r="G1271" s="64">
        <v>1176.7999999998865</v>
      </c>
      <c r="H1271" s="658">
        <v>60913</v>
      </c>
      <c r="I1271" s="64">
        <v>1176.8999999998864</v>
      </c>
      <c r="J1271" s="658">
        <v>61037</v>
      </c>
    </row>
    <row r="1272" spans="2:10" ht="14.4" x14ac:dyDescent="0.3">
      <c r="B1272" s="657">
        <v>60913</v>
      </c>
      <c r="C1272" s="657">
        <v>1176.7999999998865</v>
      </c>
      <c r="D1272" s="658">
        <v>61037</v>
      </c>
      <c r="E1272" s="658">
        <v>1176.8999999998864</v>
      </c>
      <c r="G1272" s="64">
        <v>1176.8999999998864</v>
      </c>
      <c r="H1272" s="658">
        <v>61037</v>
      </c>
      <c r="I1272" s="64">
        <v>1176.9999999998863</v>
      </c>
      <c r="J1272" s="658">
        <v>61162</v>
      </c>
    </row>
    <row r="1273" spans="2:10" ht="14.4" x14ac:dyDescent="0.3">
      <c r="B1273" s="657">
        <v>61037</v>
      </c>
      <c r="C1273" s="657">
        <v>1176.8999999998864</v>
      </c>
      <c r="D1273" s="658">
        <v>61162</v>
      </c>
      <c r="E1273" s="658">
        <v>1176.9999999998863</v>
      </c>
      <c r="G1273" s="64">
        <v>1176.9999999998863</v>
      </c>
      <c r="H1273" s="658">
        <v>61162</v>
      </c>
      <c r="I1273" s="64">
        <v>1177.0999999998862</v>
      </c>
      <c r="J1273" s="658">
        <v>61288</v>
      </c>
    </row>
    <row r="1274" spans="2:10" ht="14.4" x14ac:dyDescent="0.3">
      <c r="B1274" s="657">
        <v>61162</v>
      </c>
      <c r="C1274" s="657">
        <v>1176.9999999998863</v>
      </c>
      <c r="D1274" s="658">
        <v>61288</v>
      </c>
      <c r="E1274" s="658">
        <v>1177.0999999998862</v>
      </c>
      <c r="G1274" s="64">
        <v>1177.0999999998862</v>
      </c>
      <c r="H1274" s="658">
        <v>61288</v>
      </c>
      <c r="I1274" s="64">
        <v>1177.1999999998861</v>
      </c>
      <c r="J1274" s="658">
        <v>61414</v>
      </c>
    </row>
    <row r="1275" spans="2:10" ht="14.4" x14ac:dyDescent="0.3">
      <c r="B1275" s="657">
        <v>61288</v>
      </c>
      <c r="C1275" s="657">
        <v>1177.0999999998862</v>
      </c>
      <c r="D1275" s="658">
        <v>61414</v>
      </c>
      <c r="E1275" s="658">
        <v>1177.1999999998861</v>
      </c>
      <c r="G1275" s="64">
        <v>1177.1999999998861</v>
      </c>
      <c r="H1275" s="658">
        <v>61414</v>
      </c>
      <c r="I1275" s="64">
        <v>1177.299999999886</v>
      </c>
      <c r="J1275" s="658">
        <v>61540</v>
      </c>
    </row>
    <row r="1276" spans="2:10" ht="14.4" x14ac:dyDescent="0.3">
      <c r="B1276" s="657">
        <v>61414</v>
      </c>
      <c r="C1276" s="657">
        <v>1177.1999999998861</v>
      </c>
      <c r="D1276" s="658">
        <v>61540</v>
      </c>
      <c r="E1276" s="658">
        <v>1177.299999999886</v>
      </c>
      <c r="G1276" s="64">
        <v>1177.299999999886</v>
      </c>
      <c r="H1276" s="658">
        <v>61540</v>
      </c>
      <c r="I1276" s="64">
        <v>1177.3999999998859</v>
      </c>
      <c r="J1276" s="658">
        <v>61666</v>
      </c>
    </row>
    <row r="1277" spans="2:10" ht="14.4" x14ac:dyDescent="0.3">
      <c r="B1277" s="657">
        <v>61540</v>
      </c>
      <c r="C1277" s="657">
        <v>1177.299999999886</v>
      </c>
      <c r="D1277" s="658">
        <v>61666</v>
      </c>
      <c r="E1277" s="658">
        <v>1177.3999999998859</v>
      </c>
      <c r="G1277" s="64">
        <v>1177.3999999998859</v>
      </c>
      <c r="H1277" s="658">
        <v>61666</v>
      </c>
      <c r="I1277" s="64">
        <v>1177.4999999998859</v>
      </c>
      <c r="J1277" s="658">
        <v>61793</v>
      </c>
    </row>
    <row r="1278" spans="2:10" ht="14.4" x14ac:dyDescent="0.3">
      <c r="B1278" s="657">
        <v>61666</v>
      </c>
      <c r="C1278" s="657">
        <v>1177.3999999998859</v>
      </c>
      <c r="D1278" s="658">
        <v>61793</v>
      </c>
      <c r="E1278" s="658">
        <v>1177.4999999998859</v>
      </c>
      <c r="G1278" s="64">
        <v>1177.4999999998859</v>
      </c>
      <c r="H1278" s="658">
        <v>61793</v>
      </c>
      <c r="I1278" s="64">
        <v>1177.5999999998858</v>
      </c>
      <c r="J1278" s="658">
        <v>61919</v>
      </c>
    </row>
    <row r="1279" spans="2:10" ht="14.4" x14ac:dyDescent="0.3">
      <c r="B1279" s="657">
        <v>61793</v>
      </c>
      <c r="C1279" s="657">
        <v>1177.4999999998859</v>
      </c>
      <c r="D1279" s="658">
        <v>61919</v>
      </c>
      <c r="E1279" s="658">
        <v>1177.5999999998858</v>
      </c>
      <c r="G1279" s="64">
        <v>1177.5999999998858</v>
      </c>
      <c r="H1279" s="658">
        <v>61919</v>
      </c>
      <c r="I1279" s="64">
        <v>1177.6999999998857</v>
      </c>
      <c r="J1279" s="658">
        <v>62045</v>
      </c>
    </row>
    <row r="1280" spans="2:10" ht="14.4" x14ac:dyDescent="0.3">
      <c r="B1280" s="657">
        <v>61919</v>
      </c>
      <c r="C1280" s="657">
        <v>1177.5999999998858</v>
      </c>
      <c r="D1280" s="658">
        <v>62045</v>
      </c>
      <c r="E1280" s="658">
        <v>1177.6999999998857</v>
      </c>
      <c r="G1280" s="64">
        <v>1177.6999999998857</v>
      </c>
      <c r="H1280" s="658">
        <v>62045</v>
      </c>
      <c r="I1280" s="64">
        <v>1177.7999999998856</v>
      </c>
      <c r="J1280" s="658">
        <v>62171</v>
      </c>
    </row>
    <row r="1281" spans="2:10" ht="14.4" x14ac:dyDescent="0.3">
      <c r="B1281" s="657">
        <v>62045</v>
      </c>
      <c r="C1281" s="657">
        <v>1177.6999999998857</v>
      </c>
      <c r="D1281" s="658">
        <v>62171</v>
      </c>
      <c r="E1281" s="658">
        <v>1177.7999999998856</v>
      </c>
      <c r="G1281" s="64">
        <v>1177.7999999998856</v>
      </c>
      <c r="H1281" s="658">
        <v>62171</v>
      </c>
      <c r="I1281" s="64">
        <v>1177.8999999998855</v>
      </c>
      <c r="J1281" s="658">
        <v>62297</v>
      </c>
    </row>
    <row r="1282" spans="2:10" ht="14.4" x14ac:dyDescent="0.3">
      <c r="B1282" s="657">
        <v>62171</v>
      </c>
      <c r="C1282" s="657">
        <v>1177.7999999998856</v>
      </c>
      <c r="D1282" s="658">
        <v>62297</v>
      </c>
      <c r="E1282" s="658">
        <v>1177.8999999998855</v>
      </c>
      <c r="G1282" s="64">
        <v>1177.8999999998855</v>
      </c>
      <c r="H1282" s="658">
        <v>62297</v>
      </c>
      <c r="I1282" s="64">
        <v>1177.9999999998854</v>
      </c>
      <c r="J1282" s="658">
        <v>62423</v>
      </c>
    </row>
    <row r="1283" spans="2:10" ht="14.4" x14ac:dyDescent="0.3">
      <c r="B1283" s="657">
        <v>62297</v>
      </c>
      <c r="C1283" s="657">
        <v>1177.8999999998855</v>
      </c>
      <c r="D1283" s="658">
        <v>62423</v>
      </c>
      <c r="E1283" s="658">
        <v>1177.9999999998854</v>
      </c>
      <c r="G1283" s="64">
        <v>1177.9999999998854</v>
      </c>
      <c r="H1283" s="658">
        <v>62423</v>
      </c>
      <c r="I1283" s="64">
        <v>1178.0999999998853</v>
      </c>
      <c r="J1283" s="658">
        <v>62551</v>
      </c>
    </row>
    <row r="1284" spans="2:10" ht="14.4" x14ac:dyDescent="0.3">
      <c r="B1284" s="657">
        <v>62423</v>
      </c>
      <c r="C1284" s="657">
        <v>1177.9999999998854</v>
      </c>
      <c r="D1284" s="658">
        <v>62551</v>
      </c>
      <c r="E1284" s="658">
        <v>1178.0999999998853</v>
      </c>
      <c r="G1284" s="64">
        <v>1178.0999999998853</v>
      </c>
      <c r="H1284" s="658">
        <v>62551</v>
      </c>
      <c r="I1284" s="64">
        <v>1178.1999999998852</v>
      </c>
      <c r="J1284" s="658">
        <v>62678</v>
      </c>
    </row>
    <row r="1285" spans="2:10" ht="14.4" x14ac:dyDescent="0.3">
      <c r="B1285" s="657">
        <v>62551</v>
      </c>
      <c r="C1285" s="657">
        <v>1178.0999999998853</v>
      </c>
      <c r="D1285" s="658">
        <v>62678</v>
      </c>
      <c r="E1285" s="658">
        <v>1178.1999999998852</v>
      </c>
      <c r="G1285" s="64">
        <v>1178.1999999998852</v>
      </c>
      <c r="H1285" s="658">
        <v>62678</v>
      </c>
      <c r="I1285" s="64">
        <v>1178.2999999998851</v>
      </c>
      <c r="J1285" s="658">
        <v>62806</v>
      </c>
    </row>
    <row r="1286" spans="2:10" ht="14.4" x14ac:dyDescent="0.3">
      <c r="B1286" s="657">
        <v>62678</v>
      </c>
      <c r="C1286" s="657">
        <v>1178.1999999998852</v>
      </c>
      <c r="D1286" s="658">
        <v>62806</v>
      </c>
      <c r="E1286" s="658">
        <v>1178.2999999998851</v>
      </c>
      <c r="G1286" s="64">
        <v>1178.2999999998851</v>
      </c>
      <c r="H1286" s="658">
        <v>62806</v>
      </c>
      <c r="I1286" s="64">
        <v>1178.399999999885</v>
      </c>
      <c r="J1286" s="658">
        <v>62933</v>
      </c>
    </row>
    <row r="1287" spans="2:10" ht="14.4" x14ac:dyDescent="0.3">
      <c r="B1287" s="657">
        <v>62806</v>
      </c>
      <c r="C1287" s="657">
        <v>1178.2999999998851</v>
      </c>
      <c r="D1287" s="658">
        <v>62933</v>
      </c>
      <c r="E1287" s="658">
        <v>1178.399999999885</v>
      </c>
      <c r="G1287" s="64">
        <v>1178.399999999885</v>
      </c>
      <c r="H1287" s="658">
        <v>62933</v>
      </c>
      <c r="I1287" s="64">
        <v>1178.4999999998849</v>
      </c>
      <c r="J1287" s="658">
        <v>63061</v>
      </c>
    </row>
    <row r="1288" spans="2:10" ht="14.4" x14ac:dyDescent="0.3">
      <c r="B1288" s="657">
        <v>62933</v>
      </c>
      <c r="C1288" s="657">
        <v>1178.399999999885</v>
      </c>
      <c r="D1288" s="658">
        <v>63061</v>
      </c>
      <c r="E1288" s="658">
        <v>1178.4999999998849</v>
      </c>
      <c r="G1288" s="64">
        <v>1178.4999999998849</v>
      </c>
      <c r="H1288" s="658">
        <v>63061</v>
      </c>
      <c r="I1288" s="64">
        <v>1178.5999999998849</v>
      </c>
      <c r="J1288" s="658">
        <v>63189</v>
      </c>
    </row>
    <row r="1289" spans="2:10" ht="14.4" x14ac:dyDescent="0.3">
      <c r="B1289" s="657">
        <v>63061</v>
      </c>
      <c r="C1289" s="657">
        <v>1178.4999999998849</v>
      </c>
      <c r="D1289" s="658">
        <v>63189</v>
      </c>
      <c r="E1289" s="658">
        <v>1178.5999999998849</v>
      </c>
      <c r="G1289" s="64">
        <v>1178.5999999998849</v>
      </c>
      <c r="H1289" s="658">
        <v>63189</v>
      </c>
      <c r="I1289" s="64">
        <v>1178.6999999998848</v>
      </c>
      <c r="J1289" s="658">
        <v>63316</v>
      </c>
    </row>
    <row r="1290" spans="2:10" ht="14.4" x14ac:dyDescent="0.3">
      <c r="B1290" s="657">
        <v>63189</v>
      </c>
      <c r="C1290" s="657">
        <v>1178.5999999998849</v>
      </c>
      <c r="D1290" s="658">
        <v>63316</v>
      </c>
      <c r="E1290" s="658">
        <v>1178.6999999998848</v>
      </c>
      <c r="G1290" s="64">
        <v>1178.6999999998848</v>
      </c>
      <c r="H1290" s="658">
        <v>63316</v>
      </c>
      <c r="I1290" s="64">
        <v>1178.7999999998847</v>
      </c>
      <c r="J1290" s="658">
        <v>63444</v>
      </c>
    </row>
    <row r="1291" spans="2:10" ht="14.4" x14ac:dyDescent="0.3">
      <c r="B1291" s="657">
        <v>63316</v>
      </c>
      <c r="C1291" s="657">
        <v>1178.6999999998848</v>
      </c>
      <c r="D1291" s="658">
        <v>63444</v>
      </c>
      <c r="E1291" s="658">
        <v>1178.7999999998847</v>
      </c>
      <c r="G1291" s="64">
        <v>1178.7999999998847</v>
      </c>
      <c r="H1291" s="658">
        <v>63444</v>
      </c>
      <c r="I1291" s="64">
        <v>1178.8999999998846</v>
      </c>
      <c r="J1291" s="658">
        <v>63571</v>
      </c>
    </row>
    <row r="1292" spans="2:10" ht="14.4" x14ac:dyDescent="0.3">
      <c r="B1292" s="657">
        <v>63444</v>
      </c>
      <c r="C1292" s="657">
        <v>1178.7999999998847</v>
      </c>
      <c r="D1292" s="658">
        <v>63571</v>
      </c>
      <c r="E1292" s="658">
        <v>1178.8999999998846</v>
      </c>
      <c r="G1292" s="64">
        <v>1178.8999999998846</v>
      </c>
      <c r="H1292" s="658">
        <v>63571</v>
      </c>
      <c r="I1292" s="64">
        <v>1178.9999999998845</v>
      </c>
      <c r="J1292" s="658">
        <v>63699</v>
      </c>
    </row>
    <row r="1293" spans="2:10" ht="14.4" x14ac:dyDescent="0.3">
      <c r="B1293" s="657">
        <v>63571</v>
      </c>
      <c r="C1293" s="657">
        <v>1178.8999999998846</v>
      </c>
      <c r="D1293" s="658">
        <v>63699</v>
      </c>
      <c r="E1293" s="658">
        <v>1178.9999999998845</v>
      </c>
      <c r="G1293" s="64">
        <v>1178.9999999998845</v>
      </c>
      <c r="H1293" s="658">
        <v>63699</v>
      </c>
      <c r="I1293" s="64">
        <v>1179.0999999998844</v>
      </c>
      <c r="J1293" s="658">
        <v>63828</v>
      </c>
    </row>
    <row r="1294" spans="2:10" ht="14.4" x14ac:dyDescent="0.3">
      <c r="B1294" s="657">
        <v>63699</v>
      </c>
      <c r="C1294" s="657">
        <v>1178.9999999998845</v>
      </c>
      <c r="D1294" s="658">
        <v>63828</v>
      </c>
      <c r="E1294" s="658">
        <v>1179.0999999998844</v>
      </c>
      <c r="G1294" s="64">
        <v>1179.0999999998844</v>
      </c>
      <c r="H1294" s="658">
        <v>63828</v>
      </c>
      <c r="I1294" s="64">
        <v>1179.1999999998843</v>
      </c>
      <c r="J1294" s="658">
        <v>63957</v>
      </c>
    </row>
    <row r="1295" spans="2:10" ht="14.4" x14ac:dyDescent="0.3">
      <c r="B1295" s="657">
        <v>63828</v>
      </c>
      <c r="C1295" s="657">
        <v>1179.0999999998844</v>
      </c>
      <c r="D1295" s="658">
        <v>63957</v>
      </c>
      <c r="E1295" s="658">
        <v>1179.1999999998843</v>
      </c>
      <c r="G1295" s="64">
        <v>1179.1999999998843</v>
      </c>
      <c r="H1295" s="658">
        <v>63957</v>
      </c>
      <c r="I1295" s="64">
        <v>1179.2999999998842</v>
      </c>
      <c r="J1295" s="658">
        <v>64086</v>
      </c>
    </row>
    <row r="1296" spans="2:10" ht="14.4" x14ac:dyDescent="0.3">
      <c r="B1296" s="657">
        <v>63957</v>
      </c>
      <c r="C1296" s="657">
        <v>1179.1999999998843</v>
      </c>
      <c r="D1296" s="658">
        <v>64086</v>
      </c>
      <c r="E1296" s="658">
        <v>1179.2999999998842</v>
      </c>
      <c r="G1296" s="64">
        <v>1179.2999999998842</v>
      </c>
      <c r="H1296" s="658">
        <v>64086</v>
      </c>
      <c r="I1296" s="64">
        <v>1179.3999999998841</v>
      </c>
      <c r="J1296" s="658">
        <v>64215</v>
      </c>
    </row>
    <row r="1297" spans="2:10" ht="14.4" x14ac:dyDescent="0.3">
      <c r="B1297" s="657">
        <v>64086</v>
      </c>
      <c r="C1297" s="657">
        <v>1179.2999999998842</v>
      </c>
      <c r="D1297" s="658">
        <v>64215</v>
      </c>
      <c r="E1297" s="658">
        <v>1179.3999999998841</v>
      </c>
      <c r="G1297" s="64">
        <v>1179.3999999998841</v>
      </c>
      <c r="H1297" s="658">
        <v>64215</v>
      </c>
      <c r="I1297" s="64">
        <v>1179.499999999884</v>
      </c>
      <c r="J1297" s="658">
        <v>64344</v>
      </c>
    </row>
    <row r="1298" spans="2:10" ht="14.4" x14ac:dyDescent="0.3">
      <c r="B1298" s="657">
        <v>64215</v>
      </c>
      <c r="C1298" s="657">
        <v>1179.3999999998841</v>
      </c>
      <c r="D1298" s="658">
        <v>64344</v>
      </c>
      <c r="E1298" s="658">
        <v>1179.499999999884</v>
      </c>
      <c r="G1298" s="64">
        <v>1179.499999999884</v>
      </c>
      <c r="H1298" s="658">
        <v>64344</v>
      </c>
      <c r="I1298" s="64">
        <v>1179.5999999998839</v>
      </c>
      <c r="J1298" s="658">
        <v>64473</v>
      </c>
    </row>
    <row r="1299" spans="2:10" ht="14.4" x14ac:dyDescent="0.3">
      <c r="B1299" s="657">
        <v>64344</v>
      </c>
      <c r="C1299" s="657">
        <v>1179.499999999884</v>
      </c>
      <c r="D1299" s="658">
        <v>64473</v>
      </c>
      <c r="E1299" s="658">
        <v>1179.5999999998839</v>
      </c>
      <c r="G1299" s="64">
        <v>1179.5999999998839</v>
      </c>
      <c r="H1299" s="658">
        <v>64473</v>
      </c>
      <c r="I1299" s="64">
        <v>1179.6999999998839</v>
      </c>
      <c r="J1299" s="658">
        <v>64602</v>
      </c>
    </row>
    <row r="1300" spans="2:10" ht="14.4" x14ac:dyDescent="0.3">
      <c r="B1300" s="657">
        <v>64473</v>
      </c>
      <c r="C1300" s="657">
        <v>1179.5999999998839</v>
      </c>
      <c r="D1300" s="658">
        <v>64602</v>
      </c>
      <c r="E1300" s="658">
        <v>1179.6999999998839</v>
      </c>
      <c r="G1300" s="64">
        <v>1179.6999999998839</v>
      </c>
      <c r="H1300" s="658">
        <v>64602</v>
      </c>
      <c r="I1300" s="64">
        <v>1179.7999999998838</v>
      </c>
      <c r="J1300" s="658">
        <v>64731</v>
      </c>
    </row>
    <row r="1301" spans="2:10" ht="14.4" x14ac:dyDescent="0.3">
      <c r="B1301" s="657">
        <v>64602</v>
      </c>
      <c r="C1301" s="657">
        <v>1179.6999999998839</v>
      </c>
      <c r="D1301" s="658">
        <v>64731</v>
      </c>
      <c r="E1301" s="658">
        <v>1179.7999999998838</v>
      </c>
      <c r="G1301" s="64">
        <v>1179.7999999998838</v>
      </c>
      <c r="H1301" s="658">
        <v>64731</v>
      </c>
      <c r="I1301" s="64">
        <v>1179.8999999998837</v>
      </c>
      <c r="J1301" s="658">
        <v>64860</v>
      </c>
    </row>
    <row r="1302" spans="2:10" ht="14.4" x14ac:dyDescent="0.3">
      <c r="B1302" s="657">
        <v>64731</v>
      </c>
      <c r="C1302" s="657">
        <v>1179.7999999998838</v>
      </c>
      <c r="D1302" s="658">
        <v>64860</v>
      </c>
      <c r="E1302" s="658">
        <v>1179.8999999998837</v>
      </c>
      <c r="G1302" s="64">
        <v>1179.8999999998837</v>
      </c>
      <c r="H1302" s="658">
        <v>64860</v>
      </c>
      <c r="I1302" s="64">
        <v>1179.9999999998836</v>
      </c>
      <c r="J1302" s="658">
        <v>64989</v>
      </c>
    </row>
    <row r="1303" spans="2:10" ht="14.4" x14ac:dyDescent="0.3">
      <c r="B1303" s="657">
        <v>64860</v>
      </c>
      <c r="C1303" s="657">
        <v>1179.8999999998837</v>
      </c>
      <c r="D1303" s="658">
        <v>64989</v>
      </c>
      <c r="E1303" s="658">
        <v>1179.9999999998836</v>
      </c>
      <c r="G1303" s="64">
        <v>1179.9999999998836</v>
      </c>
      <c r="H1303" s="658">
        <v>64989</v>
      </c>
      <c r="I1303" s="64">
        <v>1180.0999999998835</v>
      </c>
      <c r="J1303" s="658">
        <v>65120</v>
      </c>
    </row>
    <row r="1304" spans="2:10" ht="14.4" x14ac:dyDescent="0.3">
      <c r="B1304" s="657">
        <v>64989</v>
      </c>
      <c r="C1304" s="657">
        <v>1179.9999999998836</v>
      </c>
      <c r="D1304" s="658">
        <v>65120</v>
      </c>
      <c r="E1304" s="658">
        <v>1180.0999999998835</v>
      </c>
      <c r="G1304" s="64">
        <v>1180.0999999998835</v>
      </c>
      <c r="H1304" s="658">
        <v>65120</v>
      </c>
      <c r="I1304" s="64">
        <v>1180.1999999998834</v>
      </c>
      <c r="J1304" s="658">
        <v>65250</v>
      </c>
    </row>
    <row r="1305" spans="2:10" ht="14.4" x14ac:dyDescent="0.3">
      <c r="B1305" s="657">
        <v>65120</v>
      </c>
      <c r="C1305" s="657">
        <v>1180.0999999998835</v>
      </c>
      <c r="D1305" s="658">
        <v>65250</v>
      </c>
      <c r="E1305" s="658">
        <v>1180.1999999998834</v>
      </c>
      <c r="G1305" s="64">
        <v>1180.1999999998834</v>
      </c>
      <c r="H1305" s="658">
        <v>65250</v>
      </c>
      <c r="I1305" s="64">
        <v>1180.2999999998833</v>
      </c>
      <c r="J1305" s="658">
        <v>65381</v>
      </c>
    </row>
    <row r="1306" spans="2:10" ht="14.4" x14ac:dyDescent="0.3">
      <c r="B1306" s="657">
        <v>65250</v>
      </c>
      <c r="C1306" s="657">
        <v>1180.1999999998834</v>
      </c>
      <c r="D1306" s="658">
        <v>65381</v>
      </c>
      <c r="E1306" s="658">
        <v>1180.2999999998833</v>
      </c>
      <c r="G1306" s="64">
        <v>1180.2999999998833</v>
      </c>
      <c r="H1306" s="658">
        <v>65381</v>
      </c>
      <c r="I1306" s="64">
        <v>1180.3999999998832</v>
      </c>
      <c r="J1306" s="658">
        <v>65511</v>
      </c>
    </row>
    <row r="1307" spans="2:10" ht="14.4" x14ac:dyDescent="0.3">
      <c r="B1307" s="657">
        <v>65381</v>
      </c>
      <c r="C1307" s="657">
        <v>1180.2999999998833</v>
      </c>
      <c r="D1307" s="658">
        <v>65511</v>
      </c>
      <c r="E1307" s="658">
        <v>1180.3999999998832</v>
      </c>
      <c r="G1307" s="64">
        <v>1180.3999999998832</v>
      </c>
      <c r="H1307" s="658">
        <v>65511</v>
      </c>
      <c r="I1307" s="64">
        <v>1180.4999999998831</v>
      </c>
      <c r="J1307" s="658">
        <v>65642</v>
      </c>
    </row>
    <row r="1308" spans="2:10" ht="14.4" x14ac:dyDescent="0.3">
      <c r="B1308" s="657">
        <v>65511</v>
      </c>
      <c r="C1308" s="657">
        <v>1180.3999999998832</v>
      </c>
      <c r="D1308" s="658">
        <v>65642</v>
      </c>
      <c r="E1308" s="658">
        <v>1180.4999999998831</v>
      </c>
      <c r="G1308" s="64">
        <v>1180.4999999998831</v>
      </c>
      <c r="H1308" s="658">
        <v>65642</v>
      </c>
      <c r="I1308" s="64">
        <v>1180.599999999883</v>
      </c>
      <c r="J1308" s="658">
        <v>65772</v>
      </c>
    </row>
    <row r="1309" spans="2:10" ht="14.4" x14ac:dyDescent="0.3">
      <c r="B1309" s="657">
        <v>65642</v>
      </c>
      <c r="C1309" s="657">
        <v>1180.4999999998831</v>
      </c>
      <c r="D1309" s="658">
        <v>65772</v>
      </c>
      <c r="E1309" s="658">
        <v>1180.599999999883</v>
      </c>
      <c r="G1309" s="64">
        <v>1180.599999999883</v>
      </c>
      <c r="H1309" s="658">
        <v>65772</v>
      </c>
      <c r="I1309" s="64">
        <v>1180.6999999998829</v>
      </c>
      <c r="J1309" s="658">
        <v>65903</v>
      </c>
    </row>
    <row r="1310" spans="2:10" ht="14.4" x14ac:dyDescent="0.3">
      <c r="B1310" s="657">
        <v>65772</v>
      </c>
      <c r="C1310" s="657">
        <v>1180.599999999883</v>
      </c>
      <c r="D1310" s="658">
        <v>65903</v>
      </c>
      <c r="E1310" s="658">
        <v>1180.6999999998829</v>
      </c>
      <c r="G1310" s="64">
        <v>1180.6999999998829</v>
      </c>
      <c r="H1310" s="658">
        <v>65903</v>
      </c>
      <c r="I1310" s="64">
        <v>1180.7999999998829</v>
      </c>
      <c r="J1310" s="658">
        <v>66033</v>
      </c>
    </row>
    <row r="1311" spans="2:10" ht="14.4" x14ac:dyDescent="0.3">
      <c r="B1311" s="657">
        <v>65903</v>
      </c>
      <c r="C1311" s="657">
        <v>1180.6999999998829</v>
      </c>
      <c r="D1311" s="658">
        <v>66033</v>
      </c>
      <c r="E1311" s="658">
        <v>1180.7999999998829</v>
      </c>
      <c r="G1311" s="64">
        <v>1180.7999999998829</v>
      </c>
      <c r="H1311" s="658">
        <v>66033</v>
      </c>
      <c r="I1311" s="64">
        <v>1180.8999999998828</v>
      </c>
      <c r="J1311" s="658">
        <v>66164</v>
      </c>
    </row>
    <row r="1312" spans="2:10" ht="14.4" x14ac:dyDescent="0.3">
      <c r="B1312" s="657">
        <v>66033</v>
      </c>
      <c r="C1312" s="657">
        <v>1180.7999999998829</v>
      </c>
      <c r="D1312" s="658">
        <v>66164</v>
      </c>
      <c r="E1312" s="658">
        <v>1180.8999999998828</v>
      </c>
      <c r="G1312" s="64">
        <v>1180.8999999998828</v>
      </c>
      <c r="H1312" s="658">
        <v>66164</v>
      </c>
      <c r="I1312" s="64">
        <v>1180.9999999998827</v>
      </c>
      <c r="J1312" s="658">
        <v>66294</v>
      </c>
    </row>
    <row r="1313" spans="2:10" ht="14.4" x14ac:dyDescent="0.3">
      <c r="B1313" s="657">
        <v>66164</v>
      </c>
      <c r="C1313" s="657">
        <v>1180.8999999998828</v>
      </c>
      <c r="D1313" s="658">
        <v>66294</v>
      </c>
      <c r="E1313" s="658">
        <v>1180.9999999998827</v>
      </c>
      <c r="G1313" s="64">
        <v>1180.9999999998827</v>
      </c>
      <c r="H1313" s="658">
        <v>66294</v>
      </c>
      <c r="I1313" s="64">
        <v>1181.0999999998826</v>
      </c>
      <c r="J1313" s="658">
        <v>66426</v>
      </c>
    </row>
    <row r="1314" spans="2:10" ht="14.4" x14ac:dyDescent="0.3">
      <c r="B1314" s="657">
        <v>66294</v>
      </c>
      <c r="C1314" s="657">
        <v>1180.9999999998827</v>
      </c>
      <c r="D1314" s="658">
        <v>66426</v>
      </c>
      <c r="E1314" s="658">
        <v>1181.0999999998826</v>
      </c>
      <c r="G1314" s="64">
        <v>1181.0999999998826</v>
      </c>
      <c r="H1314" s="658">
        <v>66426</v>
      </c>
      <c r="I1314" s="64">
        <v>1181.1999999998825</v>
      </c>
      <c r="J1314" s="658">
        <v>66558</v>
      </c>
    </row>
    <row r="1315" spans="2:10" ht="14.4" x14ac:dyDescent="0.3">
      <c r="B1315" s="657">
        <v>66426</v>
      </c>
      <c r="C1315" s="657">
        <v>1181.0999999998826</v>
      </c>
      <c r="D1315" s="658">
        <v>66558</v>
      </c>
      <c r="E1315" s="658">
        <v>1181.1999999998825</v>
      </c>
      <c r="G1315" s="64">
        <v>1181.1999999998825</v>
      </c>
      <c r="H1315" s="658">
        <v>66558</v>
      </c>
      <c r="I1315" s="64">
        <v>1181.2999999998824</v>
      </c>
      <c r="J1315" s="658">
        <v>66690</v>
      </c>
    </row>
    <row r="1316" spans="2:10" ht="14.4" x14ac:dyDescent="0.3">
      <c r="B1316" s="657">
        <v>66558</v>
      </c>
      <c r="C1316" s="657">
        <v>1181.1999999998825</v>
      </c>
      <c r="D1316" s="658">
        <v>66690</v>
      </c>
      <c r="E1316" s="658">
        <v>1181.2999999998824</v>
      </c>
      <c r="G1316" s="64">
        <v>1181.2999999998824</v>
      </c>
      <c r="H1316" s="658">
        <v>66690</v>
      </c>
      <c r="I1316" s="64">
        <v>1181.3999999998823</v>
      </c>
      <c r="J1316" s="658">
        <v>66822</v>
      </c>
    </row>
    <row r="1317" spans="2:10" ht="14.4" x14ac:dyDescent="0.3">
      <c r="B1317" s="657">
        <v>66690</v>
      </c>
      <c r="C1317" s="657">
        <v>1181.2999999998824</v>
      </c>
      <c r="D1317" s="658">
        <v>66822</v>
      </c>
      <c r="E1317" s="658">
        <v>1181.3999999998823</v>
      </c>
      <c r="G1317" s="64">
        <v>1181.3999999998823</v>
      </c>
      <c r="H1317" s="658">
        <v>66822</v>
      </c>
      <c r="I1317" s="64">
        <v>1181.4999999998822</v>
      </c>
      <c r="J1317" s="658">
        <v>66954</v>
      </c>
    </row>
    <row r="1318" spans="2:10" ht="14.4" x14ac:dyDescent="0.3">
      <c r="B1318" s="657">
        <v>66822</v>
      </c>
      <c r="C1318" s="657">
        <v>1181.3999999998823</v>
      </c>
      <c r="D1318" s="658">
        <v>66954</v>
      </c>
      <c r="E1318" s="658">
        <v>1181.4999999998822</v>
      </c>
      <c r="G1318" s="64">
        <v>1181.4999999998822</v>
      </c>
      <c r="H1318" s="658">
        <v>66954</v>
      </c>
      <c r="I1318" s="64">
        <v>1181.5999999998821</v>
      </c>
      <c r="J1318" s="658">
        <v>67086</v>
      </c>
    </row>
    <row r="1319" spans="2:10" ht="14.4" x14ac:dyDescent="0.3">
      <c r="B1319" s="657">
        <v>66954</v>
      </c>
      <c r="C1319" s="657">
        <v>1181.4999999998822</v>
      </c>
      <c r="D1319" s="658">
        <v>67086</v>
      </c>
      <c r="E1319" s="658">
        <v>1181.5999999998821</v>
      </c>
      <c r="G1319" s="64">
        <v>1181.5999999998821</v>
      </c>
      <c r="H1319" s="658">
        <v>67086</v>
      </c>
      <c r="I1319" s="64">
        <v>1181.699999999882</v>
      </c>
      <c r="J1319" s="658">
        <v>67218</v>
      </c>
    </row>
    <row r="1320" spans="2:10" ht="14.4" x14ac:dyDescent="0.3">
      <c r="B1320" s="657">
        <v>67086</v>
      </c>
      <c r="C1320" s="657">
        <v>1181.5999999998821</v>
      </c>
      <c r="D1320" s="658">
        <v>67218</v>
      </c>
      <c r="E1320" s="658">
        <v>1181.699999999882</v>
      </c>
      <c r="G1320" s="64">
        <v>1181.699999999882</v>
      </c>
      <c r="H1320" s="658">
        <v>67218</v>
      </c>
      <c r="I1320" s="64">
        <v>1181.7999999998819</v>
      </c>
      <c r="J1320" s="658">
        <v>67350</v>
      </c>
    </row>
    <row r="1321" spans="2:10" ht="14.4" x14ac:dyDescent="0.3">
      <c r="B1321" s="657">
        <v>67218</v>
      </c>
      <c r="C1321" s="657">
        <v>1181.699999999882</v>
      </c>
      <c r="D1321" s="658">
        <v>67350</v>
      </c>
      <c r="E1321" s="658">
        <v>1181.7999999998819</v>
      </c>
      <c r="G1321" s="64">
        <v>1181.7999999998819</v>
      </c>
      <c r="H1321" s="658">
        <v>67350</v>
      </c>
      <c r="I1321" s="64">
        <v>1181.8999999998819</v>
      </c>
      <c r="J1321" s="658">
        <v>67482</v>
      </c>
    </row>
    <row r="1322" spans="2:10" ht="14.4" x14ac:dyDescent="0.3">
      <c r="B1322" s="657">
        <v>67350</v>
      </c>
      <c r="C1322" s="657">
        <v>1181.7999999998819</v>
      </c>
      <c r="D1322" s="658">
        <v>67482</v>
      </c>
      <c r="E1322" s="658">
        <v>1181.8999999998819</v>
      </c>
      <c r="G1322" s="64">
        <v>1181.8999999998819</v>
      </c>
      <c r="H1322" s="658">
        <v>67482</v>
      </c>
      <c r="I1322" s="64">
        <v>1181.9999999998818</v>
      </c>
      <c r="J1322" s="658">
        <v>67614</v>
      </c>
    </row>
    <row r="1323" spans="2:10" ht="14.4" x14ac:dyDescent="0.3">
      <c r="B1323" s="657">
        <v>67482</v>
      </c>
      <c r="C1323" s="657">
        <v>1181.8999999998819</v>
      </c>
      <c r="D1323" s="658">
        <v>67614</v>
      </c>
      <c r="E1323" s="658">
        <v>1181.9999999998818</v>
      </c>
      <c r="G1323" s="64">
        <v>1181.9999999998818</v>
      </c>
      <c r="H1323" s="658">
        <v>67614</v>
      </c>
      <c r="I1323" s="64">
        <v>1182.0999999998817</v>
      </c>
      <c r="J1323" s="658">
        <v>67748</v>
      </c>
    </row>
    <row r="1324" spans="2:10" ht="14.4" x14ac:dyDescent="0.3">
      <c r="B1324" s="657">
        <v>67614</v>
      </c>
      <c r="C1324" s="657">
        <v>1181.9999999998818</v>
      </c>
      <c r="D1324" s="658">
        <v>67748</v>
      </c>
      <c r="E1324" s="658">
        <v>1182.0999999998817</v>
      </c>
      <c r="G1324" s="64">
        <v>1182.0999999998817</v>
      </c>
      <c r="H1324" s="658">
        <v>67748</v>
      </c>
      <c r="I1324" s="64">
        <v>1182.1999999998816</v>
      </c>
      <c r="J1324" s="658">
        <v>67881</v>
      </c>
    </row>
    <row r="1325" spans="2:10" ht="14.4" x14ac:dyDescent="0.3">
      <c r="B1325" s="657">
        <v>67748</v>
      </c>
      <c r="C1325" s="657">
        <v>1182.0999999998817</v>
      </c>
      <c r="D1325" s="658">
        <v>67881</v>
      </c>
      <c r="E1325" s="658">
        <v>1182.1999999998816</v>
      </c>
      <c r="G1325" s="64">
        <v>1182.1999999998816</v>
      </c>
      <c r="H1325" s="658">
        <v>67881</v>
      </c>
      <c r="I1325" s="64">
        <v>1182.2999999998815</v>
      </c>
      <c r="J1325" s="658">
        <v>68015</v>
      </c>
    </row>
    <row r="1326" spans="2:10" ht="14.4" x14ac:dyDescent="0.3">
      <c r="B1326" s="657">
        <v>67881</v>
      </c>
      <c r="C1326" s="657">
        <v>1182.1999999998816</v>
      </c>
      <c r="D1326" s="658">
        <v>68015</v>
      </c>
      <c r="E1326" s="658">
        <v>1182.2999999998815</v>
      </c>
      <c r="G1326" s="64">
        <v>1182.2999999998815</v>
      </c>
      <c r="H1326" s="658">
        <v>68015</v>
      </c>
      <c r="I1326" s="64">
        <v>1182.3999999998814</v>
      </c>
      <c r="J1326" s="658">
        <v>68148</v>
      </c>
    </row>
    <row r="1327" spans="2:10" ht="14.4" x14ac:dyDescent="0.3">
      <c r="B1327" s="657">
        <v>68015</v>
      </c>
      <c r="C1327" s="657">
        <v>1182.2999999998815</v>
      </c>
      <c r="D1327" s="658">
        <v>68148</v>
      </c>
      <c r="E1327" s="658">
        <v>1182.3999999998814</v>
      </c>
      <c r="G1327" s="64">
        <v>1182.3999999998814</v>
      </c>
      <c r="H1327" s="658">
        <v>68148</v>
      </c>
      <c r="I1327" s="64">
        <v>1182.4999999998813</v>
      </c>
      <c r="J1327" s="658">
        <v>68282</v>
      </c>
    </row>
    <row r="1328" spans="2:10" ht="14.4" x14ac:dyDescent="0.3">
      <c r="B1328" s="657">
        <v>68148</v>
      </c>
      <c r="C1328" s="657">
        <v>1182.3999999998814</v>
      </c>
      <c r="D1328" s="658">
        <v>68282</v>
      </c>
      <c r="E1328" s="658">
        <v>1182.4999999998813</v>
      </c>
      <c r="G1328" s="64">
        <v>1182.4999999998813</v>
      </c>
      <c r="H1328" s="658">
        <v>68282</v>
      </c>
      <c r="I1328" s="64">
        <v>1182.5999999998812</v>
      </c>
      <c r="J1328" s="658">
        <v>68415</v>
      </c>
    </row>
    <row r="1329" spans="2:10" ht="14.4" x14ac:dyDescent="0.3">
      <c r="B1329" s="657">
        <v>68282</v>
      </c>
      <c r="C1329" s="657">
        <v>1182.4999999998813</v>
      </c>
      <c r="D1329" s="658">
        <v>68415</v>
      </c>
      <c r="E1329" s="658">
        <v>1182.5999999998812</v>
      </c>
      <c r="G1329" s="64">
        <v>1182.5999999998812</v>
      </c>
      <c r="H1329" s="658">
        <v>68415</v>
      </c>
      <c r="I1329" s="64">
        <v>1182.6999999998811</v>
      </c>
      <c r="J1329" s="658">
        <v>68549</v>
      </c>
    </row>
    <row r="1330" spans="2:10" ht="14.4" x14ac:dyDescent="0.3">
      <c r="B1330" s="657">
        <v>68415</v>
      </c>
      <c r="C1330" s="657">
        <v>1182.5999999998812</v>
      </c>
      <c r="D1330" s="658">
        <v>68549</v>
      </c>
      <c r="E1330" s="658">
        <v>1182.6999999998811</v>
      </c>
      <c r="G1330" s="64">
        <v>1182.6999999998811</v>
      </c>
      <c r="H1330" s="658">
        <v>68549</v>
      </c>
      <c r="I1330" s="64">
        <v>1182.799999999881</v>
      </c>
      <c r="J1330" s="658">
        <v>68682</v>
      </c>
    </row>
    <row r="1331" spans="2:10" ht="14.4" x14ac:dyDescent="0.3">
      <c r="B1331" s="657">
        <v>68549</v>
      </c>
      <c r="C1331" s="657">
        <v>1182.6999999998811</v>
      </c>
      <c r="D1331" s="658">
        <v>68682</v>
      </c>
      <c r="E1331" s="658">
        <v>1182.799999999881</v>
      </c>
      <c r="G1331" s="64">
        <v>1182.799999999881</v>
      </c>
      <c r="H1331" s="658">
        <v>68682</v>
      </c>
      <c r="I1331" s="64">
        <v>1182.8999999998809</v>
      </c>
      <c r="J1331" s="658">
        <v>68816</v>
      </c>
    </row>
    <row r="1332" spans="2:10" ht="14.4" x14ac:dyDescent="0.3">
      <c r="B1332" s="657">
        <v>68682</v>
      </c>
      <c r="C1332" s="657">
        <v>1182.799999999881</v>
      </c>
      <c r="D1332" s="658">
        <v>68816</v>
      </c>
      <c r="E1332" s="658">
        <v>1182.8999999998809</v>
      </c>
      <c r="G1332" s="64">
        <v>1182.8999999998809</v>
      </c>
      <c r="H1332" s="658">
        <v>68816</v>
      </c>
      <c r="I1332" s="64">
        <v>1182.9999999998809</v>
      </c>
      <c r="J1332" s="658">
        <v>68949</v>
      </c>
    </row>
    <row r="1333" spans="2:10" ht="14.4" x14ac:dyDescent="0.3">
      <c r="B1333" s="657">
        <v>68816</v>
      </c>
      <c r="C1333" s="657">
        <v>1182.8999999998809</v>
      </c>
      <c r="D1333" s="658">
        <v>68949</v>
      </c>
      <c r="E1333" s="658">
        <v>1182.9999999998809</v>
      </c>
      <c r="G1333" s="64">
        <v>1182.9999999998809</v>
      </c>
      <c r="H1333" s="658">
        <v>68949</v>
      </c>
      <c r="I1333" s="64">
        <v>1183.0999999998808</v>
      </c>
      <c r="J1333" s="658">
        <v>69084</v>
      </c>
    </row>
    <row r="1334" spans="2:10" ht="14.4" x14ac:dyDescent="0.3">
      <c r="B1334" s="657">
        <v>68949</v>
      </c>
      <c r="C1334" s="657">
        <v>1182.9999999998809</v>
      </c>
      <c r="D1334" s="658">
        <v>69084</v>
      </c>
      <c r="E1334" s="658">
        <v>1183.0999999998808</v>
      </c>
      <c r="G1334" s="64">
        <v>1183.0999999998808</v>
      </c>
      <c r="H1334" s="658">
        <v>69084</v>
      </c>
      <c r="I1334" s="64">
        <v>1183.1999999998807</v>
      </c>
      <c r="J1334" s="658">
        <v>69219</v>
      </c>
    </row>
    <row r="1335" spans="2:10" ht="14.4" x14ac:dyDescent="0.3">
      <c r="B1335" s="657">
        <v>69084</v>
      </c>
      <c r="C1335" s="657">
        <v>1183.0999999998808</v>
      </c>
      <c r="D1335" s="658">
        <v>69219</v>
      </c>
      <c r="E1335" s="658">
        <v>1183.1999999998807</v>
      </c>
      <c r="G1335" s="64">
        <v>1183.1999999998807</v>
      </c>
      <c r="H1335" s="658">
        <v>69219</v>
      </c>
      <c r="I1335" s="64">
        <v>1183.2999999998806</v>
      </c>
      <c r="J1335" s="658">
        <v>69354</v>
      </c>
    </row>
    <row r="1336" spans="2:10" ht="14.4" x14ac:dyDescent="0.3">
      <c r="B1336" s="657">
        <v>69219</v>
      </c>
      <c r="C1336" s="657">
        <v>1183.1999999998807</v>
      </c>
      <c r="D1336" s="658">
        <v>69354</v>
      </c>
      <c r="E1336" s="658">
        <v>1183.2999999998806</v>
      </c>
      <c r="G1336" s="64">
        <v>1183.2999999998806</v>
      </c>
      <c r="H1336" s="658">
        <v>69354</v>
      </c>
      <c r="I1336" s="64">
        <v>1183.3999999998805</v>
      </c>
      <c r="J1336" s="658">
        <v>69489</v>
      </c>
    </row>
    <row r="1337" spans="2:10" ht="14.4" x14ac:dyDescent="0.3">
      <c r="B1337" s="657">
        <v>69354</v>
      </c>
      <c r="C1337" s="657">
        <v>1183.2999999998806</v>
      </c>
      <c r="D1337" s="658">
        <v>69489</v>
      </c>
      <c r="E1337" s="658">
        <v>1183.3999999998805</v>
      </c>
      <c r="G1337" s="64">
        <v>1183.3999999998805</v>
      </c>
      <c r="H1337" s="658">
        <v>69489</v>
      </c>
      <c r="I1337" s="64">
        <v>1183.4999999998804</v>
      </c>
      <c r="J1337" s="658">
        <v>69624</v>
      </c>
    </row>
    <row r="1338" spans="2:10" ht="14.4" x14ac:dyDescent="0.3">
      <c r="B1338" s="657">
        <v>69489</v>
      </c>
      <c r="C1338" s="657">
        <v>1183.3999999998805</v>
      </c>
      <c r="D1338" s="658">
        <v>69624</v>
      </c>
      <c r="E1338" s="658">
        <v>1183.4999999998804</v>
      </c>
      <c r="G1338" s="64">
        <v>1183.4999999998804</v>
      </c>
      <c r="H1338" s="658">
        <v>69624</v>
      </c>
      <c r="I1338" s="64">
        <v>1183.5999999998803</v>
      </c>
      <c r="J1338" s="658">
        <v>69758</v>
      </c>
    </row>
    <row r="1339" spans="2:10" ht="14.4" x14ac:dyDescent="0.3">
      <c r="B1339" s="657">
        <v>69624</v>
      </c>
      <c r="C1339" s="657">
        <v>1183.4999999998804</v>
      </c>
      <c r="D1339" s="658">
        <v>69758</v>
      </c>
      <c r="E1339" s="658">
        <v>1183.5999999998803</v>
      </c>
      <c r="G1339" s="64">
        <v>1183.5999999998803</v>
      </c>
      <c r="H1339" s="658">
        <v>69758</v>
      </c>
      <c r="I1339" s="64">
        <v>1183.6999999998802</v>
      </c>
      <c r="J1339" s="658">
        <v>69893</v>
      </c>
    </row>
    <row r="1340" spans="2:10" ht="14.4" x14ac:dyDescent="0.3">
      <c r="B1340" s="657">
        <v>69758</v>
      </c>
      <c r="C1340" s="657">
        <v>1183.5999999998803</v>
      </c>
      <c r="D1340" s="658">
        <v>69893</v>
      </c>
      <c r="E1340" s="658">
        <v>1183.6999999998802</v>
      </c>
      <c r="G1340" s="64">
        <v>1183.6999999998802</v>
      </c>
      <c r="H1340" s="658">
        <v>69893</v>
      </c>
      <c r="I1340" s="64">
        <v>1183.7999999998801</v>
      </c>
      <c r="J1340" s="658">
        <v>70028</v>
      </c>
    </row>
    <row r="1341" spans="2:10" ht="14.4" x14ac:dyDescent="0.3">
      <c r="B1341" s="657">
        <v>69893</v>
      </c>
      <c r="C1341" s="657">
        <v>1183.6999999998802</v>
      </c>
      <c r="D1341" s="658">
        <v>70028</v>
      </c>
      <c r="E1341" s="658">
        <v>1183.7999999998801</v>
      </c>
      <c r="G1341" s="64">
        <v>1183.7999999998801</v>
      </c>
      <c r="H1341" s="658">
        <v>70028</v>
      </c>
      <c r="I1341" s="64">
        <v>1183.89999999988</v>
      </c>
      <c r="J1341" s="658">
        <v>70163</v>
      </c>
    </row>
    <row r="1342" spans="2:10" ht="14.4" x14ac:dyDescent="0.3">
      <c r="B1342" s="657">
        <v>70028</v>
      </c>
      <c r="C1342" s="657">
        <v>1183.7999999998801</v>
      </c>
      <c r="D1342" s="658">
        <v>70163</v>
      </c>
      <c r="E1342" s="658">
        <v>1183.89999999988</v>
      </c>
      <c r="G1342" s="64">
        <v>1183.89999999988</v>
      </c>
      <c r="H1342" s="658">
        <v>70163</v>
      </c>
      <c r="I1342" s="64">
        <v>1183.9999999998799</v>
      </c>
      <c r="J1342" s="658">
        <v>70298</v>
      </c>
    </row>
    <row r="1343" spans="2:10" ht="14.4" x14ac:dyDescent="0.3">
      <c r="B1343" s="657">
        <v>70163</v>
      </c>
      <c r="C1343" s="657">
        <v>1183.89999999988</v>
      </c>
      <c r="D1343" s="658">
        <v>70298</v>
      </c>
      <c r="E1343" s="658">
        <v>1183.9999999998799</v>
      </c>
      <c r="G1343" s="64">
        <v>1183.9999999998799</v>
      </c>
      <c r="H1343" s="658">
        <v>70298</v>
      </c>
      <c r="I1343" s="64">
        <v>1184.0999999998799</v>
      </c>
      <c r="J1343" s="658">
        <v>70435</v>
      </c>
    </row>
    <row r="1344" spans="2:10" ht="14.4" x14ac:dyDescent="0.3">
      <c r="B1344" s="657">
        <v>70298</v>
      </c>
      <c r="C1344" s="657">
        <v>1183.9999999998799</v>
      </c>
      <c r="D1344" s="658">
        <v>70435</v>
      </c>
      <c r="E1344" s="658">
        <v>1184.0999999998799</v>
      </c>
      <c r="G1344" s="64">
        <v>1184.0999999998799</v>
      </c>
      <c r="H1344" s="658">
        <v>70435</v>
      </c>
      <c r="I1344" s="64">
        <v>1184.1999999998798</v>
      </c>
      <c r="J1344" s="658">
        <v>70571</v>
      </c>
    </row>
    <row r="1345" spans="2:10" ht="14.4" x14ac:dyDescent="0.3">
      <c r="B1345" s="657">
        <v>70435</v>
      </c>
      <c r="C1345" s="657">
        <v>1184.0999999998799</v>
      </c>
      <c r="D1345" s="658">
        <v>70571</v>
      </c>
      <c r="E1345" s="658">
        <v>1184.1999999998798</v>
      </c>
      <c r="G1345" s="64">
        <v>1184.1999999998798</v>
      </c>
      <c r="H1345" s="658">
        <v>70571</v>
      </c>
      <c r="I1345" s="64">
        <v>1184.2999999998797</v>
      </c>
      <c r="J1345" s="658">
        <v>70708</v>
      </c>
    </row>
    <row r="1346" spans="2:10" ht="14.4" x14ac:dyDescent="0.3">
      <c r="B1346" s="657">
        <v>70571</v>
      </c>
      <c r="C1346" s="657">
        <v>1184.1999999998798</v>
      </c>
      <c r="D1346" s="658">
        <v>70708</v>
      </c>
      <c r="E1346" s="658">
        <v>1184.2999999998797</v>
      </c>
      <c r="G1346" s="64">
        <v>1184.2999999998797</v>
      </c>
      <c r="H1346" s="658">
        <v>70708</v>
      </c>
      <c r="I1346" s="64">
        <v>1184.3999999998796</v>
      </c>
      <c r="J1346" s="658">
        <v>70844</v>
      </c>
    </row>
    <row r="1347" spans="2:10" ht="14.4" x14ac:dyDescent="0.3">
      <c r="B1347" s="657">
        <v>70708</v>
      </c>
      <c r="C1347" s="657">
        <v>1184.2999999998797</v>
      </c>
      <c r="D1347" s="658">
        <v>70844</v>
      </c>
      <c r="E1347" s="658">
        <v>1184.3999999998796</v>
      </c>
      <c r="G1347" s="64">
        <v>1184.3999999998796</v>
      </c>
      <c r="H1347" s="658">
        <v>70844</v>
      </c>
      <c r="I1347" s="64">
        <v>1184.4999999998795</v>
      </c>
      <c r="J1347" s="658">
        <v>70981</v>
      </c>
    </row>
    <row r="1348" spans="2:10" ht="14.4" x14ac:dyDescent="0.3">
      <c r="B1348" s="657">
        <v>70844</v>
      </c>
      <c r="C1348" s="657">
        <v>1184.3999999998796</v>
      </c>
      <c r="D1348" s="658">
        <v>70981</v>
      </c>
      <c r="E1348" s="658">
        <v>1184.4999999998795</v>
      </c>
      <c r="G1348" s="64">
        <v>1184.4999999998795</v>
      </c>
      <c r="H1348" s="658">
        <v>70981</v>
      </c>
      <c r="I1348" s="64">
        <v>1184.5999999998794</v>
      </c>
      <c r="J1348" s="658">
        <v>71117</v>
      </c>
    </row>
    <row r="1349" spans="2:10" ht="14.4" x14ac:dyDescent="0.3">
      <c r="B1349" s="657">
        <v>70981</v>
      </c>
      <c r="C1349" s="657">
        <v>1184.4999999998795</v>
      </c>
      <c r="D1349" s="658">
        <v>71117</v>
      </c>
      <c r="E1349" s="658">
        <v>1184.5999999998794</v>
      </c>
      <c r="G1349" s="64">
        <v>1184.5999999998794</v>
      </c>
      <c r="H1349" s="658">
        <v>71117</v>
      </c>
      <c r="I1349" s="64">
        <v>1184.6999999998793</v>
      </c>
      <c r="J1349" s="658">
        <v>71254</v>
      </c>
    </row>
    <row r="1350" spans="2:10" ht="14.4" x14ac:dyDescent="0.3">
      <c r="B1350" s="657">
        <v>71117</v>
      </c>
      <c r="C1350" s="657">
        <v>1184.5999999998794</v>
      </c>
      <c r="D1350" s="658">
        <v>71254</v>
      </c>
      <c r="E1350" s="658">
        <v>1184.6999999998793</v>
      </c>
      <c r="G1350" s="64">
        <v>1184.6999999998793</v>
      </c>
      <c r="H1350" s="658">
        <v>71254</v>
      </c>
      <c r="I1350" s="64">
        <v>1184.7999999998792</v>
      </c>
      <c r="J1350" s="658">
        <v>71390</v>
      </c>
    </row>
    <row r="1351" spans="2:10" ht="14.4" x14ac:dyDescent="0.3">
      <c r="B1351" s="657">
        <v>71254</v>
      </c>
      <c r="C1351" s="657">
        <v>1184.6999999998793</v>
      </c>
      <c r="D1351" s="658">
        <v>71390</v>
      </c>
      <c r="E1351" s="658">
        <v>1184.7999999998792</v>
      </c>
      <c r="G1351" s="64">
        <v>1184.7999999998792</v>
      </c>
      <c r="H1351" s="658">
        <v>71390</v>
      </c>
      <c r="I1351" s="64">
        <v>1184.8999999998791</v>
      </c>
      <c r="J1351" s="658">
        <v>71527</v>
      </c>
    </row>
    <row r="1352" spans="2:10" ht="14.4" x14ac:dyDescent="0.3">
      <c r="B1352" s="657">
        <v>71390</v>
      </c>
      <c r="C1352" s="657">
        <v>1184.7999999998792</v>
      </c>
      <c r="D1352" s="658">
        <v>71527</v>
      </c>
      <c r="E1352" s="658">
        <v>1184.8999999998791</v>
      </c>
      <c r="G1352" s="64">
        <v>1184.8999999998791</v>
      </c>
      <c r="H1352" s="658">
        <v>71527</v>
      </c>
      <c r="I1352" s="64">
        <v>1184.999999999879</v>
      </c>
      <c r="J1352" s="658">
        <v>71663</v>
      </c>
    </row>
    <row r="1353" spans="2:10" ht="14.4" x14ac:dyDescent="0.3">
      <c r="B1353" s="657">
        <v>71527</v>
      </c>
      <c r="C1353" s="657">
        <v>1184.8999999998791</v>
      </c>
      <c r="D1353" s="658">
        <v>71663</v>
      </c>
      <c r="E1353" s="658">
        <v>1184.999999999879</v>
      </c>
      <c r="G1353" s="64">
        <v>1184.999999999879</v>
      </c>
      <c r="H1353" s="658">
        <v>71663</v>
      </c>
      <c r="I1353" s="64">
        <v>1185.0999999998789</v>
      </c>
      <c r="J1353" s="658">
        <v>71801</v>
      </c>
    </row>
    <row r="1354" spans="2:10" ht="14.4" x14ac:dyDescent="0.3">
      <c r="B1354" s="657">
        <v>71663</v>
      </c>
      <c r="C1354" s="657">
        <v>1184.999999999879</v>
      </c>
      <c r="D1354" s="658">
        <v>71801</v>
      </c>
      <c r="E1354" s="658">
        <v>1185.0999999998789</v>
      </c>
      <c r="G1354" s="64">
        <v>1185.0999999998789</v>
      </c>
      <c r="H1354" s="658">
        <v>71801</v>
      </c>
      <c r="I1354" s="64">
        <v>1185.1999999998789</v>
      </c>
      <c r="J1354" s="658">
        <v>71939</v>
      </c>
    </row>
    <row r="1355" spans="2:10" ht="14.4" x14ac:dyDescent="0.3">
      <c r="B1355" s="657">
        <v>71801</v>
      </c>
      <c r="C1355" s="657">
        <v>1185.0999999998789</v>
      </c>
      <c r="D1355" s="658">
        <v>71939</v>
      </c>
      <c r="E1355" s="658">
        <v>1185.1999999998789</v>
      </c>
      <c r="G1355" s="64">
        <v>1185.1999999998789</v>
      </c>
      <c r="H1355" s="658">
        <v>71939</v>
      </c>
      <c r="I1355" s="64">
        <v>1185.2999999998788</v>
      </c>
      <c r="J1355" s="658">
        <v>72077</v>
      </c>
    </row>
    <row r="1356" spans="2:10" ht="14.4" x14ac:dyDescent="0.3">
      <c r="B1356" s="657">
        <v>71939</v>
      </c>
      <c r="C1356" s="657">
        <v>1185.1999999998789</v>
      </c>
      <c r="D1356" s="658">
        <v>72077</v>
      </c>
      <c r="E1356" s="658">
        <v>1185.2999999998788</v>
      </c>
      <c r="G1356" s="64">
        <v>1185.2999999998788</v>
      </c>
      <c r="H1356" s="658">
        <v>72077</v>
      </c>
      <c r="I1356" s="64">
        <v>1185.3999999998787</v>
      </c>
      <c r="J1356" s="658">
        <v>72215</v>
      </c>
    </row>
    <row r="1357" spans="2:10" ht="14.4" x14ac:dyDescent="0.3">
      <c r="B1357" s="657">
        <v>72077</v>
      </c>
      <c r="C1357" s="657">
        <v>1185.2999999998788</v>
      </c>
      <c r="D1357" s="658">
        <v>72215</v>
      </c>
      <c r="E1357" s="658">
        <v>1185.3999999998787</v>
      </c>
      <c r="G1357" s="64">
        <v>1185.3999999998787</v>
      </c>
      <c r="H1357" s="658">
        <v>72215</v>
      </c>
      <c r="I1357" s="64">
        <v>1185.4999999998786</v>
      </c>
      <c r="J1357" s="658">
        <v>72353</v>
      </c>
    </row>
    <row r="1358" spans="2:10" ht="14.4" x14ac:dyDescent="0.3">
      <c r="B1358" s="657">
        <v>72215</v>
      </c>
      <c r="C1358" s="657">
        <v>1185.3999999998787</v>
      </c>
      <c r="D1358" s="658">
        <v>72353</v>
      </c>
      <c r="E1358" s="658">
        <v>1185.4999999998786</v>
      </c>
      <c r="G1358" s="64">
        <v>1185.4999999998786</v>
      </c>
      <c r="H1358" s="658">
        <v>72353</v>
      </c>
      <c r="I1358" s="64">
        <v>1185.5999999998785</v>
      </c>
      <c r="J1358" s="658">
        <v>72491</v>
      </c>
    </row>
    <row r="1359" spans="2:10" ht="14.4" x14ac:dyDescent="0.3">
      <c r="B1359" s="657">
        <v>72353</v>
      </c>
      <c r="C1359" s="657">
        <v>1185.4999999998786</v>
      </c>
      <c r="D1359" s="658">
        <v>72491</v>
      </c>
      <c r="E1359" s="658">
        <v>1185.5999999998785</v>
      </c>
      <c r="G1359" s="64">
        <v>1185.5999999998785</v>
      </c>
      <c r="H1359" s="658">
        <v>72491</v>
      </c>
      <c r="I1359" s="64">
        <v>1185.6999999998784</v>
      </c>
      <c r="J1359" s="658">
        <v>72629</v>
      </c>
    </row>
    <row r="1360" spans="2:10" ht="14.4" x14ac:dyDescent="0.3">
      <c r="B1360" s="657">
        <v>72491</v>
      </c>
      <c r="C1360" s="657">
        <v>1185.5999999998785</v>
      </c>
      <c r="D1360" s="658">
        <v>72629</v>
      </c>
      <c r="E1360" s="658">
        <v>1185.6999999998784</v>
      </c>
      <c r="G1360" s="64">
        <v>1185.6999999998784</v>
      </c>
      <c r="H1360" s="658">
        <v>72629</v>
      </c>
      <c r="I1360" s="64">
        <v>1185.7999999998783</v>
      </c>
      <c r="J1360" s="658">
        <v>72767</v>
      </c>
    </row>
    <row r="1361" spans="2:10" ht="14.4" x14ac:dyDescent="0.3">
      <c r="B1361" s="657">
        <v>72629</v>
      </c>
      <c r="C1361" s="657">
        <v>1185.6999999998784</v>
      </c>
      <c r="D1361" s="658">
        <v>72767</v>
      </c>
      <c r="E1361" s="658">
        <v>1185.7999999998783</v>
      </c>
      <c r="G1361" s="64">
        <v>1185.7999999998783</v>
      </c>
      <c r="H1361" s="658">
        <v>72767</v>
      </c>
      <c r="I1361" s="64">
        <v>1185.8999999998782</v>
      </c>
      <c r="J1361" s="658">
        <v>72905</v>
      </c>
    </row>
    <row r="1362" spans="2:10" ht="14.4" x14ac:dyDescent="0.3">
      <c r="B1362" s="657">
        <v>72767</v>
      </c>
      <c r="C1362" s="657">
        <v>1185.7999999998783</v>
      </c>
      <c r="D1362" s="658">
        <v>72905</v>
      </c>
      <c r="E1362" s="658">
        <v>1185.8999999998782</v>
      </c>
      <c r="G1362" s="64">
        <v>1185.8999999998782</v>
      </c>
      <c r="H1362" s="658">
        <v>72905</v>
      </c>
      <c r="I1362" s="64">
        <v>1185.9999999998781</v>
      </c>
      <c r="J1362" s="658">
        <v>73043</v>
      </c>
    </row>
    <row r="1363" spans="2:10" ht="14.4" x14ac:dyDescent="0.3">
      <c r="B1363" s="657">
        <v>72905</v>
      </c>
      <c r="C1363" s="657">
        <v>1185.8999999998782</v>
      </c>
      <c r="D1363" s="658">
        <v>73043</v>
      </c>
      <c r="E1363" s="658">
        <v>1185.9999999998781</v>
      </c>
      <c r="G1363" s="64">
        <v>1185.9999999998781</v>
      </c>
      <c r="H1363" s="658">
        <v>73043</v>
      </c>
      <c r="I1363" s="64">
        <v>1186.099999999878</v>
      </c>
      <c r="J1363" s="658">
        <v>73183</v>
      </c>
    </row>
    <row r="1364" spans="2:10" ht="14.4" x14ac:dyDescent="0.3">
      <c r="B1364" s="657">
        <v>73043</v>
      </c>
      <c r="C1364" s="657">
        <v>1185.9999999998781</v>
      </c>
      <c r="D1364" s="658">
        <v>73183</v>
      </c>
      <c r="E1364" s="658">
        <v>1186.099999999878</v>
      </c>
      <c r="G1364" s="64">
        <v>1186.099999999878</v>
      </c>
      <c r="H1364" s="658">
        <v>73183</v>
      </c>
      <c r="I1364" s="64">
        <v>1186.1999999998779</v>
      </c>
      <c r="J1364" s="658">
        <v>73322</v>
      </c>
    </row>
    <row r="1365" spans="2:10" ht="14.4" x14ac:dyDescent="0.3">
      <c r="B1365" s="657">
        <v>73183</v>
      </c>
      <c r="C1365" s="657">
        <v>1186.099999999878</v>
      </c>
      <c r="D1365" s="658">
        <v>73322</v>
      </c>
      <c r="E1365" s="658">
        <v>1186.1999999998779</v>
      </c>
      <c r="G1365" s="64">
        <v>1186.1999999998779</v>
      </c>
      <c r="H1365" s="658">
        <v>73322</v>
      </c>
      <c r="I1365" s="64">
        <v>1186.2999999998779</v>
      </c>
      <c r="J1365" s="658">
        <v>73462</v>
      </c>
    </row>
    <row r="1366" spans="2:10" ht="14.4" x14ac:dyDescent="0.3">
      <c r="B1366" s="657">
        <v>73322</v>
      </c>
      <c r="C1366" s="657">
        <v>1186.1999999998779</v>
      </c>
      <c r="D1366" s="658">
        <v>73462</v>
      </c>
      <c r="E1366" s="658">
        <v>1186.2999999998779</v>
      </c>
      <c r="G1366" s="64">
        <v>1186.2999999998779</v>
      </c>
      <c r="H1366" s="658">
        <v>73462</v>
      </c>
      <c r="I1366" s="64">
        <v>1186.3999999998778</v>
      </c>
      <c r="J1366" s="658">
        <v>73601</v>
      </c>
    </row>
    <row r="1367" spans="2:10" ht="14.4" x14ac:dyDescent="0.3">
      <c r="B1367" s="657">
        <v>73462</v>
      </c>
      <c r="C1367" s="657">
        <v>1186.2999999998779</v>
      </c>
      <c r="D1367" s="658">
        <v>73601</v>
      </c>
      <c r="E1367" s="658">
        <v>1186.3999999998778</v>
      </c>
      <c r="G1367" s="64">
        <v>1186.3999999998778</v>
      </c>
      <c r="H1367" s="658">
        <v>73601</v>
      </c>
      <c r="I1367" s="64">
        <v>1186.4999999998777</v>
      </c>
      <c r="J1367" s="658">
        <v>73741</v>
      </c>
    </row>
    <row r="1368" spans="2:10" ht="14.4" x14ac:dyDescent="0.3">
      <c r="B1368" s="657">
        <v>73601</v>
      </c>
      <c r="C1368" s="657">
        <v>1186.3999999998778</v>
      </c>
      <c r="D1368" s="658">
        <v>73741</v>
      </c>
      <c r="E1368" s="658">
        <v>1186.4999999998777</v>
      </c>
      <c r="G1368" s="64">
        <v>1186.4999999998777</v>
      </c>
      <c r="H1368" s="658">
        <v>73741</v>
      </c>
      <c r="I1368" s="64">
        <v>1186.5999999998776</v>
      </c>
      <c r="J1368" s="658">
        <v>73880</v>
      </c>
    </row>
    <row r="1369" spans="2:10" ht="14.4" x14ac:dyDescent="0.3">
      <c r="B1369" s="657">
        <v>73741</v>
      </c>
      <c r="C1369" s="657">
        <v>1186.4999999998777</v>
      </c>
      <c r="D1369" s="658">
        <v>73880</v>
      </c>
      <c r="E1369" s="658">
        <v>1186.5999999998776</v>
      </c>
      <c r="G1369" s="64">
        <v>1186.5999999998776</v>
      </c>
      <c r="H1369" s="658">
        <v>73880</v>
      </c>
      <c r="I1369" s="64">
        <v>1186.6999999998775</v>
      </c>
      <c r="J1369" s="658">
        <v>74020</v>
      </c>
    </row>
    <row r="1370" spans="2:10" ht="14.4" x14ac:dyDescent="0.3">
      <c r="B1370" s="657">
        <v>73880</v>
      </c>
      <c r="C1370" s="657">
        <v>1186.5999999998776</v>
      </c>
      <c r="D1370" s="658">
        <v>74020</v>
      </c>
      <c r="E1370" s="658">
        <v>1186.6999999998775</v>
      </c>
      <c r="G1370" s="64">
        <v>1186.6999999998775</v>
      </c>
      <c r="H1370" s="658">
        <v>74020</v>
      </c>
      <c r="I1370" s="64">
        <v>1186.7999999998774</v>
      </c>
      <c r="J1370" s="658">
        <v>74159</v>
      </c>
    </row>
    <row r="1371" spans="2:10" ht="14.4" x14ac:dyDescent="0.3">
      <c r="B1371" s="657">
        <v>74020</v>
      </c>
      <c r="C1371" s="657">
        <v>1186.6999999998775</v>
      </c>
      <c r="D1371" s="658">
        <v>74159</v>
      </c>
      <c r="E1371" s="658">
        <v>1186.7999999998774</v>
      </c>
      <c r="G1371" s="64">
        <v>1186.7999999998774</v>
      </c>
      <c r="H1371" s="658">
        <v>74159</v>
      </c>
      <c r="I1371" s="64">
        <v>1186.8999999998773</v>
      </c>
      <c r="J1371" s="658">
        <v>74299</v>
      </c>
    </row>
    <row r="1372" spans="2:10" ht="14.4" x14ac:dyDescent="0.3">
      <c r="B1372" s="657">
        <v>74159</v>
      </c>
      <c r="C1372" s="657">
        <v>1186.7999999998774</v>
      </c>
      <c r="D1372" s="658">
        <v>74299</v>
      </c>
      <c r="E1372" s="658">
        <v>1186.8999999998773</v>
      </c>
      <c r="G1372" s="64">
        <v>1186.8999999998773</v>
      </c>
      <c r="H1372" s="658">
        <v>74299</v>
      </c>
      <c r="I1372" s="64">
        <v>1186.9999999998772</v>
      </c>
      <c r="J1372" s="658">
        <v>74438</v>
      </c>
    </row>
    <row r="1373" spans="2:10" ht="14.4" x14ac:dyDescent="0.3">
      <c r="B1373" s="657">
        <v>74299</v>
      </c>
      <c r="C1373" s="657">
        <v>1186.8999999998773</v>
      </c>
      <c r="D1373" s="658">
        <v>74438</v>
      </c>
      <c r="E1373" s="658">
        <v>1186.9999999998772</v>
      </c>
      <c r="G1373" s="64">
        <v>1186.9999999998772</v>
      </c>
      <c r="H1373" s="658">
        <v>74438</v>
      </c>
      <c r="I1373" s="64">
        <v>1187.0999999998771</v>
      </c>
      <c r="J1373" s="658">
        <v>74579</v>
      </c>
    </row>
    <row r="1374" spans="2:10" ht="14.4" x14ac:dyDescent="0.3">
      <c r="B1374" s="657">
        <v>74438</v>
      </c>
      <c r="C1374" s="657">
        <v>1186.9999999998772</v>
      </c>
      <c r="D1374" s="658">
        <v>74579</v>
      </c>
      <c r="E1374" s="658">
        <v>1187.0999999998771</v>
      </c>
      <c r="G1374" s="64">
        <v>1187.0999999998771</v>
      </c>
      <c r="H1374" s="658">
        <v>74579</v>
      </c>
      <c r="I1374" s="64">
        <v>1187.199999999877</v>
      </c>
      <c r="J1374" s="658">
        <v>74720</v>
      </c>
    </row>
    <row r="1375" spans="2:10" ht="14.4" x14ac:dyDescent="0.3">
      <c r="B1375" s="657">
        <v>74579</v>
      </c>
      <c r="C1375" s="657">
        <v>1187.0999999998771</v>
      </c>
      <c r="D1375" s="658">
        <v>74720</v>
      </c>
      <c r="E1375" s="658">
        <v>1187.199999999877</v>
      </c>
      <c r="G1375" s="64">
        <v>1187.199999999877</v>
      </c>
      <c r="H1375" s="658">
        <v>74720</v>
      </c>
      <c r="I1375" s="64">
        <v>1187.2999999998769</v>
      </c>
      <c r="J1375" s="658">
        <v>74861</v>
      </c>
    </row>
    <row r="1376" spans="2:10" ht="14.4" x14ac:dyDescent="0.3">
      <c r="B1376" s="657">
        <v>74720</v>
      </c>
      <c r="C1376" s="657">
        <v>1187.199999999877</v>
      </c>
      <c r="D1376" s="658">
        <v>74861</v>
      </c>
      <c r="E1376" s="658">
        <v>1187.2999999998769</v>
      </c>
      <c r="G1376" s="64">
        <v>1187.2999999998769</v>
      </c>
      <c r="H1376" s="658">
        <v>74861</v>
      </c>
      <c r="I1376" s="64">
        <v>1187.3999999998769</v>
      </c>
      <c r="J1376" s="658">
        <v>75002</v>
      </c>
    </row>
    <row r="1377" spans="2:10" ht="14.4" x14ac:dyDescent="0.3">
      <c r="B1377" s="657">
        <v>74861</v>
      </c>
      <c r="C1377" s="657">
        <v>1187.2999999998769</v>
      </c>
      <c r="D1377" s="658">
        <v>75002</v>
      </c>
      <c r="E1377" s="658">
        <v>1187.3999999998769</v>
      </c>
      <c r="G1377" s="64">
        <v>1187.3999999998769</v>
      </c>
      <c r="H1377" s="658">
        <v>75002</v>
      </c>
      <c r="I1377" s="64">
        <v>1187.4999999998768</v>
      </c>
      <c r="J1377" s="658">
        <v>75143</v>
      </c>
    </row>
    <row r="1378" spans="2:10" ht="14.4" x14ac:dyDescent="0.3">
      <c r="B1378" s="657">
        <v>75002</v>
      </c>
      <c r="C1378" s="657">
        <v>1187.3999999998769</v>
      </c>
      <c r="D1378" s="658">
        <v>75143</v>
      </c>
      <c r="E1378" s="658">
        <v>1187.4999999998768</v>
      </c>
      <c r="G1378" s="64">
        <v>1187.4999999998768</v>
      </c>
      <c r="H1378" s="658">
        <v>75143</v>
      </c>
      <c r="I1378" s="64">
        <v>1187.5999999998767</v>
      </c>
      <c r="J1378" s="658">
        <v>75284</v>
      </c>
    </row>
    <row r="1379" spans="2:10" ht="14.4" x14ac:dyDescent="0.3">
      <c r="B1379" s="657">
        <v>75143</v>
      </c>
      <c r="C1379" s="657">
        <v>1187.4999999998768</v>
      </c>
      <c r="D1379" s="658">
        <v>75284</v>
      </c>
      <c r="E1379" s="658">
        <v>1187.5999999998767</v>
      </c>
      <c r="G1379" s="64">
        <v>1187.5999999998767</v>
      </c>
      <c r="H1379" s="658">
        <v>75284</v>
      </c>
      <c r="I1379" s="64">
        <v>1187.6999999998766</v>
      </c>
      <c r="J1379" s="658">
        <v>75425</v>
      </c>
    </row>
    <row r="1380" spans="2:10" ht="14.4" x14ac:dyDescent="0.3">
      <c r="B1380" s="657">
        <v>75284</v>
      </c>
      <c r="C1380" s="657">
        <v>1187.5999999998767</v>
      </c>
      <c r="D1380" s="658">
        <v>75425</v>
      </c>
      <c r="E1380" s="658">
        <v>1187.6999999998766</v>
      </c>
      <c r="G1380" s="64">
        <v>1187.6999999998766</v>
      </c>
      <c r="H1380" s="658">
        <v>75425</v>
      </c>
      <c r="I1380" s="64">
        <v>1187.7999999998765</v>
      </c>
      <c r="J1380" s="658">
        <v>75566</v>
      </c>
    </row>
    <row r="1381" spans="2:10" ht="14.4" x14ac:dyDescent="0.3">
      <c r="B1381" s="657">
        <v>75425</v>
      </c>
      <c r="C1381" s="657">
        <v>1187.6999999998766</v>
      </c>
      <c r="D1381" s="658">
        <v>75566</v>
      </c>
      <c r="E1381" s="658">
        <v>1187.7999999998765</v>
      </c>
      <c r="G1381" s="64">
        <v>1187.7999999998765</v>
      </c>
      <c r="H1381" s="658">
        <v>75566</v>
      </c>
      <c r="I1381" s="64">
        <v>1187.8999999998764</v>
      </c>
      <c r="J1381" s="658">
        <v>75707</v>
      </c>
    </row>
    <row r="1382" spans="2:10" ht="14.4" x14ac:dyDescent="0.3">
      <c r="B1382" s="657">
        <v>75566</v>
      </c>
      <c r="C1382" s="657">
        <v>1187.7999999998765</v>
      </c>
      <c r="D1382" s="658">
        <v>75707</v>
      </c>
      <c r="E1382" s="658">
        <v>1187.8999999998764</v>
      </c>
      <c r="G1382" s="64">
        <v>1187.8999999998764</v>
      </c>
      <c r="H1382" s="658">
        <v>75707</v>
      </c>
      <c r="I1382" s="64">
        <v>1187.9999999998763</v>
      </c>
      <c r="J1382" s="658">
        <v>75848</v>
      </c>
    </row>
    <row r="1383" spans="2:10" ht="14.4" x14ac:dyDescent="0.3">
      <c r="B1383" s="657">
        <v>75707</v>
      </c>
      <c r="C1383" s="657">
        <v>1187.8999999998764</v>
      </c>
      <c r="D1383" s="658">
        <v>75848</v>
      </c>
      <c r="E1383" s="658">
        <v>1187.9999999998763</v>
      </c>
      <c r="G1383" s="64">
        <v>1187.9999999998763</v>
      </c>
      <c r="H1383" s="658">
        <v>75848</v>
      </c>
      <c r="I1383" s="64">
        <v>1188.0999999998762</v>
      </c>
      <c r="J1383" s="658">
        <v>75991</v>
      </c>
    </row>
    <row r="1384" spans="2:10" ht="14.4" x14ac:dyDescent="0.3">
      <c r="B1384" s="657">
        <v>75848</v>
      </c>
      <c r="C1384" s="657">
        <v>1187.9999999998763</v>
      </c>
      <c r="D1384" s="658">
        <v>75991</v>
      </c>
      <c r="E1384" s="658">
        <v>1188.0999999998762</v>
      </c>
      <c r="G1384" s="64">
        <v>1188.0999999998762</v>
      </c>
      <c r="H1384" s="658">
        <v>75991</v>
      </c>
      <c r="I1384" s="64">
        <v>1188.1999999998761</v>
      </c>
      <c r="J1384" s="658">
        <v>76133</v>
      </c>
    </row>
    <row r="1385" spans="2:10" ht="14.4" x14ac:dyDescent="0.3">
      <c r="B1385" s="657">
        <v>75991</v>
      </c>
      <c r="C1385" s="657">
        <v>1188.0999999998762</v>
      </c>
      <c r="D1385" s="658">
        <v>76133</v>
      </c>
      <c r="E1385" s="658">
        <v>1188.1999999998761</v>
      </c>
      <c r="G1385" s="64">
        <v>1188.1999999998761</v>
      </c>
      <c r="H1385" s="658">
        <v>76133</v>
      </c>
      <c r="I1385" s="64">
        <v>1188.299999999876</v>
      </c>
      <c r="J1385" s="658">
        <v>76276</v>
      </c>
    </row>
    <row r="1386" spans="2:10" ht="14.4" x14ac:dyDescent="0.3">
      <c r="B1386" s="657">
        <v>76133</v>
      </c>
      <c r="C1386" s="657">
        <v>1188.1999999998761</v>
      </c>
      <c r="D1386" s="658">
        <v>76276</v>
      </c>
      <c r="E1386" s="658">
        <v>1188.299999999876</v>
      </c>
      <c r="G1386" s="64">
        <v>1188.299999999876</v>
      </c>
      <c r="H1386" s="658">
        <v>76276</v>
      </c>
      <c r="I1386" s="64">
        <v>1188.3999999998759</v>
      </c>
      <c r="J1386" s="658">
        <v>76418</v>
      </c>
    </row>
    <row r="1387" spans="2:10" ht="14.4" x14ac:dyDescent="0.3">
      <c r="B1387" s="657">
        <v>76276</v>
      </c>
      <c r="C1387" s="657">
        <v>1188.299999999876</v>
      </c>
      <c r="D1387" s="658">
        <v>76418</v>
      </c>
      <c r="E1387" s="658">
        <v>1188.3999999998759</v>
      </c>
      <c r="G1387" s="64">
        <v>1188.3999999998759</v>
      </c>
      <c r="H1387" s="658">
        <v>76418</v>
      </c>
      <c r="I1387" s="64">
        <v>1188.4999999998759</v>
      </c>
      <c r="J1387" s="658">
        <v>76561</v>
      </c>
    </row>
    <row r="1388" spans="2:10" ht="14.4" x14ac:dyDescent="0.3">
      <c r="B1388" s="657">
        <v>76418</v>
      </c>
      <c r="C1388" s="657">
        <v>1188.3999999998759</v>
      </c>
      <c r="D1388" s="658">
        <v>76561</v>
      </c>
      <c r="E1388" s="658">
        <v>1188.4999999998759</v>
      </c>
      <c r="G1388" s="64">
        <v>1188.4999999998759</v>
      </c>
      <c r="H1388" s="658">
        <v>76561</v>
      </c>
      <c r="I1388" s="64">
        <v>1188.5999999998758</v>
      </c>
      <c r="J1388" s="658">
        <v>76704</v>
      </c>
    </row>
    <row r="1389" spans="2:10" ht="14.4" x14ac:dyDescent="0.3">
      <c r="B1389" s="657">
        <v>76561</v>
      </c>
      <c r="C1389" s="657">
        <v>1188.4999999998759</v>
      </c>
      <c r="D1389" s="658">
        <v>76704</v>
      </c>
      <c r="E1389" s="658">
        <v>1188.5999999998758</v>
      </c>
      <c r="G1389" s="64">
        <v>1188.5999999998758</v>
      </c>
      <c r="H1389" s="658">
        <v>76704</v>
      </c>
      <c r="I1389" s="64">
        <v>1188.6999999998757</v>
      </c>
      <c r="J1389" s="658">
        <v>76846</v>
      </c>
    </row>
    <row r="1390" spans="2:10" ht="14.4" x14ac:dyDescent="0.3">
      <c r="B1390" s="657">
        <v>76704</v>
      </c>
      <c r="C1390" s="657">
        <v>1188.5999999998758</v>
      </c>
      <c r="D1390" s="658">
        <v>76846</v>
      </c>
      <c r="E1390" s="658">
        <v>1188.6999999998757</v>
      </c>
      <c r="G1390" s="64">
        <v>1188.6999999998757</v>
      </c>
      <c r="H1390" s="658">
        <v>76846</v>
      </c>
      <c r="I1390" s="64">
        <v>1188.7999999998756</v>
      </c>
      <c r="J1390" s="658">
        <v>76989</v>
      </c>
    </row>
    <row r="1391" spans="2:10" ht="14.4" x14ac:dyDescent="0.3">
      <c r="B1391" s="657">
        <v>76846</v>
      </c>
      <c r="C1391" s="657">
        <v>1188.6999999998757</v>
      </c>
      <c r="D1391" s="658">
        <v>76989</v>
      </c>
      <c r="E1391" s="658">
        <v>1188.7999999998756</v>
      </c>
      <c r="G1391" s="64">
        <v>1188.7999999998756</v>
      </c>
      <c r="H1391" s="658">
        <v>76989</v>
      </c>
      <c r="I1391" s="64">
        <v>1188.8999999998755</v>
      </c>
      <c r="J1391" s="658">
        <v>77131</v>
      </c>
    </row>
    <row r="1392" spans="2:10" ht="14.4" x14ac:dyDescent="0.3">
      <c r="B1392" s="657">
        <v>76989</v>
      </c>
      <c r="C1392" s="657">
        <v>1188.7999999998756</v>
      </c>
      <c r="D1392" s="658">
        <v>77131</v>
      </c>
      <c r="E1392" s="658">
        <v>1188.8999999998755</v>
      </c>
      <c r="G1392" s="64">
        <v>1188.8999999998755</v>
      </c>
      <c r="H1392" s="658">
        <v>77131</v>
      </c>
      <c r="I1392" s="64">
        <v>1188.9999999998754</v>
      </c>
      <c r="J1392" s="658">
        <v>77274</v>
      </c>
    </row>
    <row r="1393" spans="2:10" ht="14.4" x14ac:dyDescent="0.3">
      <c r="B1393" s="657">
        <v>77131</v>
      </c>
      <c r="C1393" s="657">
        <v>1188.8999999998755</v>
      </c>
      <c r="D1393" s="658">
        <v>77274</v>
      </c>
      <c r="E1393" s="658">
        <v>1188.9999999998754</v>
      </c>
      <c r="G1393" s="64">
        <v>1188.9999999998754</v>
      </c>
      <c r="H1393" s="658">
        <v>77274</v>
      </c>
      <c r="I1393" s="64">
        <v>1189.0999999998753</v>
      </c>
      <c r="J1393" s="658">
        <v>77418</v>
      </c>
    </row>
    <row r="1394" spans="2:10" ht="14.4" x14ac:dyDescent="0.3">
      <c r="B1394" s="657">
        <v>77274</v>
      </c>
      <c r="C1394" s="657">
        <v>1188.9999999998754</v>
      </c>
      <c r="D1394" s="658">
        <v>77418</v>
      </c>
      <c r="E1394" s="658">
        <v>1189.0999999998753</v>
      </c>
      <c r="G1394" s="64">
        <v>1189.0999999998753</v>
      </c>
      <c r="H1394" s="658">
        <v>77418</v>
      </c>
      <c r="I1394" s="64">
        <v>1189.1999999998752</v>
      </c>
      <c r="J1394" s="658">
        <v>77562</v>
      </c>
    </row>
    <row r="1395" spans="2:10" ht="14.4" x14ac:dyDescent="0.3">
      <c r="B1395" s="657">
        <v>77418</v>
      </c>
      <c r="C1395" s="657">
        <v>1189.0999999998753</v>
      </c>
      <c r="D1395" s="658">
        <v>77562</v>
      </c>
      <c r="E1395" s="658">
        <v>1189.1999999998752</v>
      </c>
      <c r="G1395" s="64">
        <v>1189.1999999998752</v>
      </c>
      <c r="H1395" s="658">
        <v>77562</v>
      </c>
      <c r="I1395" s="64">
        <v>1189.2999999998751</v>
      </c>
      <c r="J1395" s="658">
        <v>77706</v>
      </c>
    </row>
    <row r="1396" spans="2:10" ht="14.4" x14ac:dyDescent="0.3">
      <c r="B1396" s="657">
        <v>77562</v>
      </c>
      <c r="C1396" s="657">
        <v>1189.1999999998752</v>
      </c>
      <c r="D1396" s="658">
        <v>77706</v>
      </c>
      <c r="E1396" s="658">
        <v>1189.2999999998751</v>
      </c>
      <c r="G1396" s="64">
        <v>1189.2999999998751</v>
      </c>
      <c r="H1396" s="658">
        <v>77706</v>
      </c>
      <c r="I1396" s="64">
        <v>1189.399999999875</v>
      </c>
      <c r="J1396" s="658">
        <v>77850</v>
      </c>
    </row>
    <row r="1397" spans="2:10" ht="14.4" x14ac:dyDescent="0.3">
      <c r="B1397" s="657">
        <v>77706</v>
      </c>
      <c r="C1397" s="657">
        <v>1189.2999999998751</v>
      </c>
      <c r="D1397" s="658">
        <v>77850</v>
      </c>
      <c r="E1397" s="658">
        <v>1189.399999999875</v>
      </c>
      <c r="G1397" s="64">
        <v>1189.399999999875</v>
      </c>
      <c r="H1397" s="658">
        <v>77850</v>
      </c>
      <c r="I1397" s="64">
        <v>1189.4999999998749</v>
      </c>
      <c r="J1397" s="658">
        <v>77995</v>
      </c>
    </row>
    <row r="1398" spans="2:10" ht="14.4" x14ac:dyDescent="0.3">
      <c r="B1398" s="657">
        <v>77850</v>
      </c>
      <c r="C1398" s="657">
        <v>1189.399999999875</v>
      </c>
      <c r="D1398" s="658">
        <v>77995</v>
      </c>
      <c r="E1398" s="658">
        <v>1189.4999999998749</v>
      </c>
      <c r="G1398" s="64">
        <v>1189.4999999998749</v>
      </c>
      <c r="H1398" s="658">
        <v>77995</v>
      </c>
      <c r="I1398" s="64">
        <v>1189.5999999998749</v>
      </c>
      <c r="J1398" s="658">
        <v>78139</v>
      </c>
    </row>
    <row r="1399" spans="2:10" ht="14.4" x14ac:dyDescent="0.3">
      <c r="B1399" s="657">
        <v>77995</v>
      </c>
      <c r="C1399" s="657">
        <v>1189.4999999998749</v>
      </c>
      <c r="D1399" s="658">
        <v>78139</v>
      </c>
      <c r="E1399" s="658">
        <v>1189.5999999998749</v>
      </c>
      <c r="G1399" s="64">
        <v>1189.5999999998749</v>
      </c>
      <c r="H1399" s="658">
        <v>78139</v>
      </c>
      <c r="I1399" s="64">
        <v>1189.6999999998748</v>
      </c>
      <c r="J1399" s="658">
        <v>78283</v>
      </c>
    </row>
    <row r="1400" spans="2:10" ht="14.4" x14ac:dyDescent="0.3">
      <c r="B1400" s="657">
        <v>78139</v>
      </c>
      <c r="C1400" s="657">
        <v>1189.5999999998749</v>
      </c>
      <c r="D1400" s="658">
        <v>78283</v>
      </c>
      <c r="E1400" s="658">
        <v>1189.6999999998748</v>
      </c>
      <c r="G1400" s="64">
        <v>1189.6999999998748</v>
      </c>
      <c r="H1400" s="658">
        <v>78283</v>
      </c>
      <c r="I1400" s="64">
        <v>1189.7999999998747</v>
      </c>
      <c r="J1400" s="658">
        <v>78427</v>
      </c>
    </row>
    <row r="1401" spans="2:10" ht="14.4" x14ac:dyDescent="0.3">
      <c r="B1401" s="657">
        <v>78283</v>
      </c>
      <c r="C1401" s="657">
        <v>1189.6999999998748</v>
      </c>
      <c r="D1401" s="658">
        <v>78427</v>
      </c>
      <c r="E1401" s="658">
        <v>1189.7999999998747</v>
      </c>
      <c r="G1401" s="64">
        <v>1189.7999999998747</v>
      </c>
      <c r="H1401" s="658">
        <v>78427</v>
      </c>
      <c r="I1401" s="64">
        <v>1189.8999999998746</v>
      </c>
      <c r="J1401" s="658">
        <v>78571</v>
      </c>
    </row>
    <row r="1402" spans="2:10" ht="14.4" x14ac:dyDescent="0.3">
      <c r="B1402" s="657">
        <v>78427</v>
      </c>
      <c r="C1402" s="657">
        <v>1189.7999999998747</v>
      </c>
      <c r="D1402" s="658">
        <v>78571</v>
      </c>
      <c r="E1402" s="658">
        <v>1189.8999999998746</v>
      </c>
      <c r="G1402" s="64">
        <v>1189.8999999998746</v>
      </c>
      <c r="H1402" s="658">
        <v>78571</v>
      </c>
      <c r="I1402" s="64">
        <v>1189.9999999998745</v>
      </c>
      <c r="J1402" s="658">
        <v>78715</v>
      </c>
    </row>
    <row r="1403" spans="2:10" ht="14.4" x14ac:dyDescent="0.3">
      <c r="B1403" s="657">
        <v>78571</v>
      </c>
      <c r="C1403" s="657">
        <v>1189.8999999998746</v>
      </c>
      <c r="D1403" s="658">
        <v>78715</v>
      </c>
      <c r="E1403" s="658">
        <v>1189.9999999998745</v>
      </c>
      <c r="G1403" s="64">
        <v>1189.9999999998745</v>
      </c>
      <c r="H1403" s="658">
        <v>78715</v>
      </c>
      <c r="I1403" s="64">
        <v>1190.0999999998744</v>
      </c>
      <c r="J1403" s="658">
        <v>78861</v>
      </c>
    </row>
    <row r="1404" spans="2:10" ht="14.4" x14ac:dyDescent="0.3">
      <c r="B1404" s="657">
        <v>78715</v>
      </c>
      <c r="C1404" s="657">
        <v>1189.9999999998745</v>
      </c>
      <c r="D1404" s="658">
        <v>78861</v>
      </c>
      <c r="E1404" s="658">
        <v>1190.0999999998744</v>
      </c>
      <c r="G1404" s="64">
        <v>1190.0999999998744</v>
      </c>
      <c r="H1404" s="658">
        <v>78861</v>
      </c>
      <c r="I1404" s="64">
        <v>1190.1999999998743</v>
      </c>
      <c r="J1404" s="658">
        <v>79007</v>
      </c>
    </row>
    <row r="1405" spans="2:10" ht="14.4" x14ac:dyDescent="0.3">
      <c r="B1405" s="657">
        <v>78861</v>
      </c>
      <c r="C1405" s="657">
        <v>1190.0999999998744</v>
      </c>
      <c r="D1405" s="658">
        <v>79007</v>
      </c>
      <c r="E1405" s="658">
        <v>1190.1999999998743</v>
      </c>
      <c r="G1405" s="64">
        <v>1190.1999999998743</v>
      </c>
      <c r="H1405" s="658">
        <v>79007</v>
      </c>
      <c r="I1405" s="64">
        <v>1190.2999999998742</v>
      </c>
      <c r="J1405" s="658">
        <v>79152</v>
      </c>
    </row>
    <row r="1406" spans="2:10" ht="14.4" x14ac:dyDescent="0.3">
      <c r="B1406" s="657">
        <v>79007</v>
      </c>
      <c r="C1406" s="657">
        <v>1190.1999999998743</v>
      </c>
      <c r="D1406" s="658">
        <v>79152</v>
      </c>
      <c r="E1406" s="658">
        <v>1190.2999999998742</v>
      </c>
      <c r="G1406" s="64">
        <v>1190.2999999998742</v>
      </c>
      <c r="H1406" s="658">
        <v>79152</v>
      </c>
      <c r="I1406" s="64">
        <v>1190.3999999998741</v>
      </c>
      <c r="J1406" s="658">
        <v>79298</v>
      </c>
    </row>
    <row r="1407" spans="2:10" ht="14.4" x14ac:dyDescent="0.3">
      <c r="B1407" s="657">
        <v>79152</v>
      </c>
      <c r="C1407" s="657">
        <v>1190.2999999998742</v>
      </c>
      <c r="D1407" s="658">
        <v>79298</v>
      </c>
      <c r="E1407" s="658">
        <v>1190.3999999998741</v>
      </c>
      <c r="G1407" s="64">
        <v>1190.3999999998741</v>
      </c>
      <c r="H1407" s="658">
        <v>79298</v>
      </c>
      <c r="I1407" s="64">
        <v>1190.499999999874</v>
      </c>
      <c r="J1407" s="658">
        <v>79444</v>
      </c>
    </row>
    <row r="1408" spans="2:10" ht="14.4" x14ac:dyDescent="0.3">
      <c r="B1408" s="657">
        <v>79298</v>
      </c>
      <c r="C1408" s="657">
        <v>1190.3999999998741</v>
      </c>
      <c r="D1408" s="658">
        <v>79444</v>
      </c>
      <c r="E1408" s="658">
        <v>1190.499999999874</v>
      </c>
      <c r="G1408" s="64">
        <v>1190.499999999874</v>
      </c>
      <c r="H1408" s="658">
        <v>79444</v>
      </c>
      <c r="I1408" s="64">
        <v>1190.5999999998739</v>
      </c>
      <c r="J1408" s="658">
        <v>79590</v>
      </c>
    </row>
    <row r="1409" spans="2:10" ht="14.4" x14ac:dyDescent="0.3">
      <c r="B1409" s="657">
        <v>79444</v>
      </c>
      <c r="C1409" s="657">
        <v>1190.499999999874</v>
      </c>
      <c r="D1409" s="658">
        <v>79590</v>
      </c>
      <c r="E1409" s="658">
        <v>1190.5999999998739</v>
      </c>
      <c r="G1409" s="64">
        <v>1190.5999999998739</v>
      </c>
      <c r="H1409" s="658">
        <v>79590</v>
      </c>
      <c r="I1409" s="64">
        <v>1190.6999999998739</v>
      </c>
      <c r="J1409" s="658">
        <v>79736</v>
      </c>
    </row>
    <row r="1410" spans="2:10" ht="14.4" x14ac:dyDescent="0.3">
      <c r="B1410" s="657">
        <v>79590</v>
      </c>
      <c r="C1410" s="657">
        <v>1190.5999999998739</v>
      </c>
      <c r="D1410" s="658">
        <v>79736</v>
      </c>
      <c r="E1410" s="658">
        <v>1190.6999999998739</v>
      </c>
      <c r="G1410" s="64">
        <v>1190.6999999998739</v>
      </c>
      <c r="H1410" s="658">
        <v>79736</v>
      </c>
      <c r="I1410" s="64">
        <v>1190.7999999998738</v>
      </c>
      <c r="J1410" s="658">
        <v>79881</v>
      </c>
    </row>
    <row r="1411" spans="2:10" ht="14.4" x14ac:dyDescent="0.3">
      <c r="B1411" s="657">
        <v>79736</v>
      </c>
      <c r="C1411" s="657">
        <v>1190.6999999998739</v>
      </c>
      <c r="D1411" s="658">
        <v>79881</v>
      </c>
      <c r="E1411" s="658">
        <v>1190.7999999998738</v>
      </c>
      <c r="G1411" s="64">
        <v>1190.7999999998738</v>
      </c>
      <c r="H1411" s="658">
        <v>79881</v>
      </c>
      <c r="I1411" s="64">
        <v>1190.8999999998737</v>
      </c>
      <c r="J1411" s="658">
        <v>80027</v>
      </c>
    </row>
    <row r="1412" spans="2:10" ht="14.4" x14ac:dyDescent="0.3">
      <c r="B1412" s="657">
        <v>79881</v>
      </c>
      <c r="C1412" s="657">
        <v>1190.7999999998738</v>
      </c>
      <c r="D1412" s="658">
        <v>80027</v>
      </c>
      <c r="E1412" s="658">
        <v>1190.8999999998737</v>
      </c>
      <c r="G1412" s="64">
        <v>1190.8999999998737</v>
      </c>
      <c r="H1412" s="658">
        <v>80027</v>
      </c>
      <c r="I1412" s="64">
        <v>1190.9999999998736</v>
      </c>
      <c r="J1412" s="658">
        <v>80173</v>
      </c>
    </row>
    <row r="1413" spans="2:10" ht="14.4" x14ac:dyDescent="0.3">
      <c r="B1413" s="657">
        <v>80027</v>
      </c>
      <c r="C1413" s="657">
        <v>1190.8999999998737</v>
      </c>
      <c r="D1413" s="658">
        <v>80173</v>
      </c>
      <c r="E1413" s="658">
        <v>1190.9999999998736</v>
      </c>
      <c r="G1413" s="64">
        <v>1190.9999999998736</v>
      </c>
      <c r="H1413" s="658">
        <v>80173</v>
      </c>
      <c r="I1413" s="64">
        <v>1191.0999999998735</v>
      </c>
      <c r="J1413" s="658">
        <v>80321</v>
      </c>
    </row>
    <row r="1414" spans="2:10" ht="14.4" x14ac:dyDescent="0.3">
      <c r="B1414" s="657">
        <v>80173</v>
      </c>
      <c r="C1414" s="657">
        <v>1190.9999999998736</v>
      </c>
      <c r="D1414" s="658">
        <v>80321</v>
      </c>
      <c r="E1414" s="658">
        <v>1191.0999999998735</v>
      </c>
      <c r="G1414" s="64">
        <v>1191.0999999998735</v>
      </c>
      <c r="H1414" s="658">
        <v>80321</v>
      </c>
      <c r="I1414" s="64">
        <v>1191.1999999998734</v>
      </c>
      <c r="J1414" s="658">
        <v>80468</v>
      </c>
    </row>
    <row r="1415" spans="2:10" ht="14.4" x14ac:dyDescent="0.3">
      <c r="B1415" s="657">
        <v>80321</v>
      </c>
      <c r="C1415" s="657">
        <v>1191.0999999998735</v>
      </c>
      <c r="D1415" s="658">
        <v>80468</v>
      </c>
      <c r="E1415" s="658">
        <v>1191.1999999998734</v>
      </c>
      <c r="G1415" s="64">
        <v>1191.1999999998734</v>
      </c>
      <c r="H1415" s="658">
        <v>80468</v>
      </c>
      <c r="I1415" s="64">
        <v>1191.2999999998733</v>
      </c>
      <c r="J1415" s="658">
        <v>80616</v>
      </c>
    </row>
    <row r="1416" spans="2:10" ht="14.4" x14ac:dyDescent="0.3">
      <c r="B1416" s="657">
        <v>80468</v>
      </c>
      <c r="C1416" s="657">
        <v>1191.1999999998734</v>
      </c>
      <c r="D1416" s="658">
        <v>80616</v>
      </c>
      <c r="E1416" s="658">
        <v>1191.2999999998733</v>
      </c>
      <c r="G1416" s="64">
        <v>1191.2999999998733</v>
      </c>
      <c r="H1416" s="658">
        <v>80616</v>
      </c>
      <c r="I1416" s="64">
        <v>1191.3999999998732</v>
      </c>
      <c r="J1416" s="658">
        <v>80763</v>
      </c>
    </row>
    <row r="1417" spans="2:10" ht="14.4" x14ac:dyDescent="0.3">
      <c r="B1417" s="657">
        <v>80616</v>
      </c>
      <c r="C1417" s="657">
        <v>1191.2999999998733</v>
      </c>
      <c r="D1417" s="658">
        <v>80763</v>
      </c>
      <c r="E1417" s="658">
        <v>1191.3999999998732</v>
      </c>
      <c r="G1417" s="64">
        <v>1191.3999999998732</v>
      </c>
      <c r="H1417" s="658">
        <v>80763</v>
      </c>
      <c r="I1417" s="64">
        <v>1191.4999999998731</v>
      </c>
      <c r="J1417" s="658">
        <v>80911</v>
      </c>
    </row>
    <row r="1418" spans="2:10" ht="14.4" x14ac:dyDescent="0.3">
      <c r="B1418" s="657">
        <v>80763</v>
      </c>
      <c r="C1418" s="657">
        <v>1191.3999999998732</v>
      </c>
      <c r="D1418" s="658">
        <v>80911</v>
      </c>
      <c r="E1418" s="658">
        <v>1191.4999999998731</v>
      </c>
      <c r="G1418" s="64">
        <v>1191.4999999998731</v>
      </c>
      <c r="H1418" s="658">
        <v>80911</v>
      </c>
      <c r="I1418" s="64">
        <v>1191.599999999873</v>
      </c>
      <c r="J1418" s="658">
        <v>81059</v>
      </c>
    </row>
    <row r="1419" spans="2:10" ht="14.4" x14ac:dyDescent="0.3">
      <c r="B1419" s="657">
        <v>80911</v>
      </c>
      <c r="C1419" s="657">
        <v>1191.4999999998731</v>
      </c>
      <c r="D1419" s="658">
        <v>81059</v>
      </c>
      <c r="E1419" s="658">
        <v>1191.599999999873</v>
      </c>
      <c r="G1419" s="64">
        <v>1191.599999999873</v>
      </c>
      <c r="H1419" s="658">
        <v>81059</v>
      </c>
      <c r="I1419" s="64">
        <v>1191.6999999998729</v>
      </c>
      <c r="J1419" s="658">
        <v>81206</v>
      </c>
    </row>
    <row r="1420" spans="2:10" ht="14.4" x14ac:dyDescent="0.3">
      <c r="B1420" s="657">
        <v>81059</v>
      </c>
      <c r="C1420" s="657">
        <v>1191.599999999873</v>
      </c>
      <c r="D1420" s="658">
        <v>81206</v>
      </c>
      <c r="E1420" s="658">
        <v>1191.6999999998729</v>
      </c>
      <c r="G1420" s="64">
        <v>1191.6999999998729</v>
      </c>
      <c r="H1420" s="658">
        <v>81206</v>
      </c>
      <c r="I1420" s="64">
        <v>1191.7999999998729</v>
      </c>
      <c r="J1420" s="658">
        <v>81354</v>
      </c>
    </row>
    <row r="1421" spans="2:10" ht="14.4" x14ac:dyDescent="0.3">
      <c r="B1421" s="657">
        <v>81206</v>
      </c>
      <c r="C1421" s="657">
        <v>1191.6999999998729</v>
      </c>
      <c r="D1421" s="658">
        <v>81354</v>
      </c>
      <c r="E1421" s="658">
        <v>1191.7999999998729</v>
      </c>
      <c r="G1421" s="64">
        <v>1191.7999999998729</v>
      </c>
      <c r="H1421" s="658">
        <v>81354</v>
      </c>
      <c r="I1421" s="64">
        <v>1191.8999999998728</v>
      </c>
      <c r="J1421" s="658">
        <v>81501</v>
      </c>
    </row>
    <row r="1422" spans="2:10" ht="14.4" x14ac:dyDescent="0.3">
      <c r="B1422" s="657">
        <v>81354</v>
      </c>
      <c r="C1422" s="657">
        <v>1191.7999999998729</v>
      </c>
      <c r="D1422" s="658">
        <v>81501</v>
      </c>
      <c r="E1422" s="658">
        <v>1191.8999999998728</v>
      </c>
      <c r="G1422" s="64">
        <v>1191.8999999998728</v>
      </c>
      <c r="H1422" s="658">
        <v>81501</v>
      </c>
      <c r="I1422" s="64">
        <v>1191.9999999998727</v>
      </c>
      <c r="J1422" s="658">
        <v>81649</v>
      </c>
    </row>
    <row r="1423" spans="2:10" ht="14.4" x14ac:dyDescent="0.3">
      <c r="B1423" s="657">
        <v>81501</v>
      </c>
      <c r="C1423" s="657">
        <v>1191.8999999998728</v>
      </c>
      <c r="D1423" s="658">
        <v>81649</v>
      </c>
      <c r="E1423" s="658">
        <v>1191.9999999998727</v>
      </c>
      <c r="G1423" s="64">
        <v>1191.9999999998727</v>
      </c>
      <c r="H1423" s="658">
        <v>81649</v>
      </c>
      <c r="I1423" s="64">
        <v>1192.0999999998726</v>
      </c>
      <c r="J1423" s="658">
        <v>81798</v>
      </c>
    </row>
    <row r="1424" spans="2:10" ht="14.4" x14ac:dyDescent="0.3">
      <c r="B1424" s="657">
        <v>81649</v>
      </c>
      <c r="C1424" s="657">
        <v>1191.9999999998727</v>
      </c>
      <c r="D1424" s="658">
        <v>81798</v>
      </c>
      <c r="E1424" s="658">
        <v>1192.0999999998726</v>
      </c>
      <c r="G1424" s="64">
        <v>1192.0999999998726</v>
      </c>
      <c r="H1424" s="658">
        <v>81798</v>
      </c>
      <c r="I1424" s="64">
        <v>1192.1999999998725</v>
      </c>
      <c r="J1424" s="658">
        <v>81948</v>
      </c>
    </row>
    <row r="1425" spans="2:10" ht="14.4" x14ac:dyDescent="0.3">
      <c r="B1425" s="657">
        <v>81798</v>
      </c>
      <c r="C1425" s="657">
        <v>1192.0999999998726</v>
      </c>
      <c r="D1425" s="658">
        <v>81948</v>
      </c>
      <c r="E1425" s="658">
        <v>1192.1999999998725</v>
      </c>
      <c r="G1425" s="64">
        <v>1192.1999999998725</v>
      </c>
      <c r="H1425" s="658">
        <v>81948</v>
      </c>
      <c r="I1425" s="64">
        <v>1192.2999999998724</v>
      </c>
      <c r="J1425" s="658">
        <v>82097</v>
      </c>
    </row>
    <row r="1426" spans="2:10" ht="14.4" x14ac:dyDescent="0.3">
      <c r="B1426" s="657">
        <v>81948</v>
      </c>
      <c r="C1426" s="657">
        <v>1192.1999999998725</v>
      </c>
      <c r="D1426" s="658">
        <v>82097</v>
      </c>
      <c r="E1426" s="658">
        <v>1192.2999999998724</v>
      </c>
      <c r="G1426" s="64">
        <v>1192.2999999998724</v>
      </c>
      <c r="H1426" s="658">
        <v>82097</v>
      </c>
      <c r="I1426" s="64">
        <v>1192.3999999998723</v>
      </c>
      <c r="J1426" s="658">
        <v>82247</v>
      </c>
    </row>
    <row r="1427" spans="2:10" ht="14.4" x14ac:dyDescent="0.3">
      <c r="B1427" s="657">
        <v>82097</v>
      </c>
      <c r="C1427" s="657">
        <v>1192.2999999998724</v>
      </c>
      <c r="D1427" s="658">
        <v>82247</v>
      </c>
      <c r="E1427" s="658">
        <v>1192.3999999998723</v>
      </c>
      <c r="G1427" s="64">
        <v>1192.3999999998723</v>
      </c>
      <c r="H1427" s="658">
        <v>82247</v>
      </c>
      <c r="I1427" s="64">
        <v>1192.4999999998722</v>
      </c>
      <c r="J1427" s="658">
        <v>82396</v>
      </c>
    </row>
    <row r="1428" spans="2:10" ht="14.4" x14ac:dyDescent="0.3">
      <c r="B1428" s="657">
        <v>82247</v>
      </c>
      <c r="C1428" s="657">
        <v>1192.3999999998723</v>
      </c>
      <c r="D1428" s="658">
        <v>82396</v>
      </c>
      <c r="E1428" s="658">
        <v>1192.4999999998722</v>
      </c>
      <c r="G1428" s="64">
        <v>1192.4999999998722</v>
      </c>
      <c r="H1428" s="658">
        <v>82396</v>
      </c>
      <c r="I1428" s="64">
        <v>1192.5999999998721</v>
      </c>
      <c r="J1428" s="658">
        <v>82545</v>
      </c>
    </row>
    <row r="1429" spans="2:10" ht="14.4" x14ac:dyDescent="0.3">
      <c r="B1429" s="657">
        <v>82396</v>
      </c>
      <c r="C1429" s="657">
        <v>1192.4999999998722</v>
      </c>
      <c r="D1429" s="658">
        <v>82545</v>
      </c>
      <c r="E1429" s="658">
        <v>1192.5999999998721</v>
      </c>
      <c r="G1429" s="64">
        <v>1192.5999999998721</v>
      </c>
      <c r="H1429" s="658">
        <v>82545</v>
      </c>
      <c r="I1429" s="64">
        <v>1192.699999999872</v>
      </c>
      <c r="J1429" s="658">
        <v>82695</v>
      </c>
    </row>
    <row r="1430" spans="2:10" ht="14.4" x14ac:dyDescent="0.3">
      <c r="B1430" s="657">
        <v>82545</v>
      </c>
      <c r="C1430" s="657">
        <v>1192.5999999998721</v>
      </c>
      <c r="D1430" s="658">
        <v>82695</v>
      </c>
      <c r="E1430" s="658">
        <v>1192.699999999872</v>
      </c>
      <c r="G1430" s="64">
        <v>1192.699999999872</v>
      </c>
      <c r="H1430" s="658">
        <v>82695</v>
      </c>
      <c r="I1430" s="64">
        <v>1192.7999999998719</v>
      </c>
      <c r="J1430" s="658">
        <v>82844</v>
      </c>
    </row>
    <row r="1431" spans="2:10" ht="14.4" x14ac:dyDescent="0.3">
      <c r="B1431" s="657">
        <v>82695</v>
      </c>
      <c r="C1431" s="657">
        <v>1192.699999999872</v>
      </c>
      <c r="D1431" s="658">
        <v>82844</v>
      </c>
      <c r="E1431" s="658">
        <v>1192.7999999998719</v>
      </c>
      <c r="G1431" s="64">
        <v>1192.7999999998719</v>
      </c>
      <c r="H1431" s="658">
        <v>82844</v>
      </c>
      <c r="I1431" s="64">
        <v>1192.8999999998719</v>
      </c>
      <c r="J1431" s="658">
        <v>82994</v>
      </c>
    </row>
    <row r="1432" spans="2:10" ht="14.4" x14ac:dyDescent="0.3">
      <c r="B1432" s="657">
        <v>82844</v>
      </c>
      <c r="C1432" s="657">
        <v>1192.7999999998719</v>
      </c>
      <c r="D1432" s="658">
        <v>82994</v>
      </c>
      <c r="E1432" s="658">
        <v>1192.8999999998719</v>
      </c>
      <c r="G1432" s="64">
        <v>1192.8999999998719</v>
      </c>
      <c r="H1432" s="658">
        <v>82994</v>
      </c>
      <c r="I1432" s="64">
        <v>1192.9999999998718</v>
      </c>
      <c r="J1432" s="658">
        <v>83143</v>
      </c>
    </row>
    <row r="1433" spans="2:10" ht="14.4" x14ac:dyDescent="0.3">
      <c r="B1433" s="657">
        <v>82994</v>
      </c>
      <c r="C1433" s="657">
        <v>1192.8999999998719</v>
      </c>
      <c r="D1433" s="658">
        <v>83143</v>
      </c>
      <c r="E1433" s="658">
        <v>1192.9999999998718</v>
      </c>
      <c r="G1433" s="64">
        <v>1192.9999999998718</v>
      </c>
      <c r="H1433" s="658">
        <v>83143</v>
      </c>
      <c r="I1433" s="64">
        <v>1193.0999999998717</v>
      </c>
      <c r="J1433" s="658">
        <v>83294</v>
      </c>
    </row>
    <row r="1434" spans="2:10" ht="14.4" x14ac:dyDescent="0.3">
      <c r="B1434" s="657">
        <v>83143</v>
      </c>
      <c r="C1434" s="657">
        <v>1192.9999999998718</v>
      </c>
      <c r="D1434" s="658">
        <v>83294</v>
      </c>
      <c r="E1434" s="658">
        <v>1193.0999999998717</v>
      </c>
      <c r="G1434" s="64">
        <v>1193.0999999998717</v>
      </c>
      <c r="H1434" s="658">
        <v>83294</v>
      </c>
      <c r="I1434" s="64">
        <v>1193.1999999998716</v>
      </c>
      <c r="J1434" s="658">
        <v>83446</v>
      </c>
    </row>
    <row r="1435" spans="2:10" ht="14.4" x14ac:dyDescent="0.3">
      <c r="B1435" s="657">
        <v>83294</v>
      </c>
      <c r="C1435" s="657">
        <v>1193.0999999998717</v>
      </c>
      <c r="D1435" s="658">
        <v>83446</v>
      </c>
      <c r="E1435" s="658">
        <v>1193.1999999998716</v>
      </c>
      <c r="G1435" s="64">
        <v>1193.1999999998716</v>
      </c>
      <c r="H1435" s="658">
        <v>83446</v>
      </c>
      <c r="I1435" s="64">
        <v>1193.2999999998715</v>
      </c>
      <c r="J1435" s="658">
        <v>83597</v>
      </c>
    </row>
    <row r="1436" spans="2:10" ht="14.4" x14ac:dyDescent="0.3">
      <c r="B1436" s="657">
        <v>83446</v>
      </c>
      <c r="C1436" s="657">
        <v>1193.1999999998716</v>
      </c>
      <c r="D1436" s="658">
        <v>83597</v>
      </c>
      <c r="E1436" s="658">
        <v>1193.2999999998715</v>
      </c>
      <c r="G1436" s="64">
        <v>1193.2999999998715</v>
      </c>
      <c r="H1436" s="658">
        <v>83597</v>
      </c>
      <c r="I1436" s="64">
        <v>1193.3999999998714</v>
      </c>
      <c r="J1436" s="658">
        <v>83748</v>
      </c>
    </row>
    <row r="1437" spans="2:10" ht="14.4" x14ac:dyDescent="0.3">
      <c r="B1437" s="657">
        <v>83597</v>
      </c>
      <c r="C1437" s="657">
        <v>1193.2999999998715</v>
      </c>
      <c r="D1437" s="658">
        <v>83748</v>
      </c>
      <c r="E1437" s="658">
        <v>1193.3999999998714</v>
      </c>
      <c r="G1437" s="64">
        <v>1193.3999999998714</v>
      </c>
      <c r="H1437" s="658">
        <v>83748</v>
      </c>
      <c r="I1437" s="64">
        <v>1193.4999999998713</v>
      </c>
      <c r="J1437" s="658">
        <v>83900</v>
      </c>
    </row>
    <row r="1438" spans="2:10" ht="14.4" x14ac:dyDescent="0.3">
      <c r="B1438" s="657">
        <v>83748</v>
      </c>
      <c r="C1438" s="657">
        <v>1193.3999999998714</v>
      </c>
      <c r="D1438" s="658">
        <v>83900</v>
      </c>
      <c r="E1438" s="658">
        <v>1193.4999999998713</v>
      </c>
      <c r="G1438" s="64">
        <v>1193.4999999998713</v>
      </c>
      <c r="H1438" s="658">
        <v>83900</v>
      </c>
      <c r="I1438" s="64">
        <v>1193.5999999998712</v>
      </c>
      <c r="J1438" s="658">
        <v>84051</v>
      </c>
    </row>
    <row r="1439" spans="2:10" ht="14.4" x14ac:dyDescent="0.3">
      <c r="B1439" s="657">
        <v>83900</v>
      </c>
      <c r="C1439" s="657">
        <v>1193.4999999998713</v>
      </c>
      <c r="D1439" s="658">
        <v>84051</v>
      </c>
      <c r="E1439" s="658">
        <v>1193.5999999998712</v>
      </c>
      <c r="G1439" s="64">
        <v>1193.5999999998712</v>
      </c>
      <c r="H1439" s="658">
        <v>84051</v>
      </c>
      <c r="I1439" s="64">
        <v>1193.6999999998711</v>
      </c>
      <c r="J1439" s="658">
        <v>84202</v>
      </c>
    </row>
    <row r="1440" spans="2:10" ht="14.4" x14ac:dyDescent="0.3">
      <c r="B1440" s="657">
        <v>84051</v>
      </c>
      <c r="C1440" s="657">
        <v>1193.5999999998712</v>
      </c>
      <c r="D1440" s="658">
        <v>84202</v>
      </c>
      <c r="E1440" s="658">
        <v>1193.6999999998711</v>
      </c>
      <c r="G1440" s="64">
        <v>1193.6999999998711</v>
      </c>
      <c r="H1440" s="658">
        <v>84202</v>
      </c>
      <c r="I1440" s="64">
        <v>1193.799999999871</v>
      </c>
      <c r="J1440" s="658">
        <v>84353</v>
      </c>
    </row>
    <row r="1441" spans="2:10" ht="14.4" x14ac:dyDescent="0.3">
      <c r="B1441" s="657">
        <v>84202</v>
      </c>
      <c r="C1441" s="657">
        <v>1193.6999999998711</v>
      </c>
      <c r="D1441" s="658">
        <v>84353</v>
      </c>
      <c r="E1441" s="658">
        <v>1193.799999999871</v>
      </c>
      <c r="G1441" s="64">
        <v>1193.799999999871</v>
      </c>
      <c r="H1441" s="658">
        <v>84353</v>
      </c>
      <c r="I1441" s="64">
        <v>1193.8999999998709</v>
      </c>
      <c r="J1441" s="658">
        <v>84505</v>
      </c>
    </row>
    <row r="1442" spans="2:10" ht="14.4" x14ac:dyDescent="0.3">
      <c r="B1442" s="657">
        <v>84353</v>
      </c>
      <c r="C1442" s="657">
        <v>1193.799999999871</v>
      </c>
      <c r="D1442" s="658">
        <v>84505</v>
      </c>
      <c r="E1442" s="658">
        <v>1193.8999999998709</v>
      </c>
      <c r="G1442" s="64">
        <v>1193.8999999998709</v>
      </c>
      <c r="H1442" s="658">
        <v>84505</v>
      </c>
      <c r="I1442" s="64">
        <v>1193.9999999998709</v>
      </c>
      <c r="J1442" s="658">
        <v>84656</v>
      </c>
    </row>
    <row r="1443" spans="2:10" ht="14.4" x14ac:dyDescent="0.3">
      <c r="B1443" s="657">
        <v>84505</v>
      </c>
      <c r="C1443" s="657">
        <v>1193.8999999998709</v>
      </c>
      <c r="D1443" s="658">
        <v>84656</v>
      </c>
      <c r="E1443" s="658">
        <v>1193.9999999998709</v>
      </c>
      <c r="G1443" s="64">
        <v>1193.9999999998709</v>
      </c>
      <c r="H1443" s="658">
        <v>84656</v>
      </c>
      <c r="I1443" s="64">
        <v>1194.0999999998708</v>
      </c>
      <c r="J1443" s="658">
        <v>84809</v>
      </c>
    </row>
    <row r="1444" spans="2:10" ht="14.4" x14ac:dyDescent="0.3">
      <c r="B1444" s="657">
        <v>84656</v>
      </c>
      <c r="C1444" s="657">
        <v>1193.9999999998709</v>
      </c>
      <c r="D1444" s="658">
        <v>84809</v>
      </c>
      <c r="E1444" s="658">
        <v>1194.0999999998708</v>
      </c>
      <c r="G1444" s="64">
        <v>1194.0999999998708</v>
      </c>
      <c r="H1444" s="658">
        <v>84809</v>
      </c>
      <c r="I1444" s="64">
        <v>1194.1999999998707</v>
      </c>
      <c r="J1444" s="658">
        <v>84962</v>
      </c>
    </row>
    <row r="1445" spans="2:10" ht="14.4" x14ac:dyDescent="0.3">
      <c r="B1445" s="657">
        <v>84809</v>
      </c>
      <c r="C1445" s="657">
        <v>1194.0999999998708</v>
      </c>
      <c r="D1445" s="658">
        <v>84962</v>
      </c>
      <c r="E1445" s="658">
        <v>1194.1999999998707</v>
      </c>
      <c r="G1445" s="64">
        <v>1194.1999999998707</v>
      </c>
      <c r="H1445" s="658">
        <v>84962</v>
      </c>
      <c r="I1445" s="64">
        <v>1194.2999999998706</v>
      </c>
      <c r="J1445" s="658">
        <v>85115</v>
      </c>
    </row>
    <row r="1446" spans="2:10" ht="14.4" x14ac:dyDescent="0.3">
      <c r="B1446" s="657">
        <v>84962</v>
      </c>
      <c r="C1446" s="657">
        <v>1194.1999999998707</v>
      </c>
      <c r="D1446" s="658">
        <v>85115</v>
      </c>
      <c r="E1446" s="658">
        <v>1194.2999999998706</v>
      </c>
      <c r="G1446" s="64">
        <v>1194.2999999998706</v>
      </c>
      <c r="H1446" s="658">
        <v>85115</v>
      </c>
      <c r="I1446" s="64">
        <v>1194.3999999998705</v>
      </c>
      <c r="J1446" s="658">
        <v>85268</v>
      </c>
    </row>
    <row r="1447" spans="2:10" ht="14.4" x14ac:dyDescent="0.3">
      <c r="B1447" s="657">
        <v>85115</v>
      </c>
      <c r="C1447" s="657">
        <v>1194.2999999998706</v>
      </c>
      <c r="D1447" s="658">
        <v>85268</v>
      </c>
      <c r="E1447" s="658">
        <v>1194.3999999998705</v>
      </c>
      <c r="G1447" s="64">
        <v>1194.3999999998705</v>
      </c>
      <c r="H1447" s="658">
        <v>85268</v>
      </c>
      <c r="I1447" s="64">
        <v>1194.4999999998704</v>
      </c>
      <c r="J1447" s="658">
        <v>85421</v>
      </c>
    </row>
    <row r="1448" spans="2:10" ht="14.4" x14ac:dyDescent="0.3">
      <c r="B1448" s="657">
        <v>85268</v>
      </c>
      <c r="C1448" s="657">
        <v>1194.3999999998705</v>
      </c>
      <c r="D1448" s="658">
        <v>85421</v>
      </c>
      <c r="E1448" s="658">
        <v>1194.4999999998704</v>
      </c>
      <c r="G1448" s="64">
        <v>1194.4999999998704</v>
      </c>
      <c r="H1448" s="658">
        <v>85421</v>
      </c>
      <c r="I1448" s="64">
        <v>1194.5999999998703</v>
      </c>
      <c r="J1448" s="658">
        <v>85574</v>
      </c>
    </row>
    <row r="1449" spans="2:10" ht="14.4" x14ac:dyDescent="0.3">
      <c r="B1449" s="657">
        <v>85421</v>
      </c>
      <c r="C1449" s="657">
        <v>1194.4999999998704</v>
      </c>
      <c r="D1449" s="658">
        <v>85574</v>
      </c>
      <c r="E1449" s="658">
        <v>1194.5999999998703</v>
      </c>
      <c r="G1449" s="64">
        <v>1194.5999999998703</v>
      </c>
      <c r="H1449" s="658">
        <v>85574</v>
      </c>
      <c r="I1449" s="64">
        <v>1194.6999999998702</v>
      </c>
      <c r="J1449" s="658">
        <v>85727</v>
      </c>
    </row>
    <row r="1450" spans="2:10" ht="14.4" x14ac:dyDescent="0.3">
      <c r="B1450" s="657">
        <v>85574</v>
      </c>
      <c r="C1450" s="657">
        <v>1194.5999999998703</v>
      </c>
      <c r="D1450" s="658">
        <v>85727</v>
      </c>
      <c r="E1450" s="658">
        <v>1194.6999999998702</v>
      </c>
      <c r="G1450" s="64">
        <v>1194.6999999998702</v>
      </c>
      <c r="H1450" s="658">
        <v>85727</v>
      </c>
      <c r="I1450" s="64">
        <v>1194.7999999998701</v>
      </c>
      <c r="J1450" s="658">
        <v>85880</v>
      </c>
    </row>
    <row r="1451" spans="2:10" ht="14.4" x14ac:dyDescent="0.3">
      <c r="B1451" s="657">
        <v>85727</v>
      </c>
      <c r="C1451" s="657">
        <v>1194.6999999998702</v>
      </c>
      <c r="D1451" s="658">
        <v>85880</v>
      </c>
      <c r="E1451" s="658">
        <v>1194.7999999998701</v>
      </c>
      <c r="G1451" s="64">
        <v>1194.7999999998701</v>
      </c>
      <c r="H1451" s="658">
        <v>85880</v>
      </c>
      <c r="I1451" s="64">
        <v>1194.89999999987</v>
      </c>
      <c r="J1451" s="658">
        <v>86033</v>
      </c>
    </row>
    <row r="1452" spans="2:10" ht="14.4" x14ac:dyDescent="0.3">
      <c r="B1452" s="657">
        <v>85880</v>
      </c>
      <c r="C1452" s="657">
        <v>1194.7999999998701</v>
      </c>
      <c r="D1452" s="658">
        <v>86033</v>
      </c>
      <c r="E1452" s="658">
        <v>1194.89999999987</v>
      </c>
      <c r="G1452" s="64">
        <v>1194.89999999987</v>
      </c>
      <c r="H1452" s="658">
        <v>86033</v>
      </c>
      <c r="I1452" s="64">
        <v>1194.9999999998699</v>
      </c>
      <c r="J1452" s="658">
        <v>86186</v>
      </c>
    </row>
    <row r="1453" spans="2:10" ht="14.4" x14ac:dyDescent="0.3">
      <c r="B1453" s="657">
        <v>86033</v>
      </c>
      <c r="C1453" s="657">
        <v>1194.89999999987</v>
      </c>
      <c r="D1453" s="658">
        <v>86186</v>
      </c>
      <c r="E1453" s="658">
        <v>1194.9999999998699</v>
      </c>
      <c r="G1453" s="64">
        <v>1194.9999999998699</v>
      </c>
      <c r="H1453" s="658">
        <v>86186</v>
      </c>
      <c r="I1453" s="64">
        <v>1195.0999999998699</v>
      </c>
      <c r="J1453" s="658">
        <v>86341</v>
      </c>
    </row>
    <row r="1454" spans="2:10" ht="14.4" x14ac:dyDescent="0.3">
      <c r="B1454" s="657">
        <v>86186</v>
      </c>
      <c r="C1454" s="657">
        <v>1194.9999999998699</v>
      </c>
      <c r="D1454" s="658">
        <v>86341</v>
      </c>
      <c r="E1454" s="658">
        <v>1195.0999999998699</v>
      </c>
      <c r="G1454" s="64">
        <v>1195.0999999998699</v>
      </c>
      <c r="H1454" s="658">
        <v>86341</v>
      </c>
      <c r="I1454" s="64">
        <v>1195.1999999998698</v>
      </c>
      <c r="J1454" s="658">
        <v>86496</v>
      </c>
    </row>
    <row r="1455" spans="2:10" ht="14.4" x14ac:dyDescent="0.3">
      <c r="B1455" s="657">
        <v>86341</v>
      </c>
      <c r="C1455" s="657">
        <v>1195.0999999998699</v>
      </c>
      <c r="D1455" s="658">
        <v>86496</v>
      </c>
      <c r="E1455" s="658">
        <v>1195.1999999998698</v>
      </c>
      <c r="G1455" s="64">
        <v>1195.1999999998698</v>
      </c>
      <c r="H1455" s="658">
        <v>86496</v>
      </c>
      <c r="I1455" s="64">
        <v>1195.2999999998697</v>
      </c>
      <c r="J1455" s="658">
        <v>86651</v>
      </c>
    </row>
    <row r="1456" spans="2:10" ht="14.4" x14ac:dyDescent="0.3">
      <c r="B1456" s="657">
        <v>86496</v>
      </c>
      <c r="C1456" s="657">
        <v>1195.1999999998698</v>
      </c>
      <c r="D1456" s="658">
        <v>86651</v>
      </c>
      <c r="E1456" s="658">
        <v>1195.2999999998697</v>
      </c>
      <c r="G1456" s="64">
        <v>1195.2999999998697</v>
      </c>
      <c r="H1456" s="658">
        <v>86651</v>
      </c>
      <c r="I1456" s="64">
        <v>1195.3999999998696</v>
      </c>
      <c r="J1456" s="658">
        <v>86806</v>
      </c>
    </row>
    <row r="1457" spans="2:10" ht="14.4" x14ac:dyDescent="0.3">
      <c r="B1457" s="657">
        <v>86651</v>
      </c>
      <c r="C1457" s="657">
        <v>1195.2999999998697</v>
      </c>
      <c r="D1457" s="658">
        <v>86806</v>
      </c>
      <c r="E1457" s="658">
        <v>1195.3999999998696</v>
      </c>
      <c r="G1457" s="64">
        <v>1195.3999999998696</v>
      </c>
      <c r="H1457" s="658">
        <v>86806</v>
      </c>
      <c r="I1457" s="64">
        <v>1195.4999999998695</v>
      </c>
      <c r="J1457" s="658">
        <v>86961</v>
      </c>
    </row>
    <row r="1458" spans="2:10" ht="14.4" x14ac:dyDescent="0.3">
      <c r="B1458" s="657">
        <v>86806</v>
      </c>
      <c r="C1458" s="657">
        <v>1195.3999999998696</v>
      </c>
      <c r="D1458" s="658">
        <v>86961</v>
      </c>
      <c r="E1458" s="658">
        <v>1195.4999999998695</v>
      </c>
      <c r="G1458" s="64">
        <v>1195.4999999998695</v>
      </c>
      <c r="H1458" s="658">
        <v>86961</v>
      </c>
      <c r="I1458" s="64">
        <v>1195.5999999998694</v>
      </c>
      <c r="J1458" s="658">
        <v>87115</v>
      </c>
    </row>
    <row r="1459" spans="2:10" ht="14.4" x14ac:dyDescent="0.3">
      <c r="B1459" s="657">
        <v>86961</v>
      </c>
      <c r="C1459" s="657">
        <v>1195.4999999998695</v>
      </c>
      <c r="D1459" s="658">
        <v>87115</v>
      </c>
      <c r="E1459" s="658">
        <v>1195.5999999998694</v>
      </c>
      <c r="G1459" s="64">
        <v>1195.5999999998694</v>
      </c>
      <c r="H1459" s="658">
        <v>87115</v>
      </c>
      <c r="I1459" s="64">
        <v>1195.6999999998693</v>
      </c>
      <c r="J1459" s="658">
        <v>87270</v>
      </c>
    </row>
    <row r="1460" spans="2:10" ht="14.4" x14ac:dyDescent="0.3">
      <c r="B1460" s="657">
        <v>87115</v>
      </c>
      <c r="C1460" s="657">
        <v>1195.5999999998694</v>
      </c>
      <c r="D1460" s="658">
        <v>87270</v>
      </c>
      <c r="E1460" s="658">
        <v>1195.6999999998693</v>
      </c>
      <c r="G1460" s="64">
        <v>1195.6999999998693</v>
      </c>
      <c r="H1460" s="658">
        <v>87270</v>
      </c>
      <c r="I1460" s="64">
        <v>1195.7999999998692</v>
      </c>
      <c r="J1460" s="658">
        <v>87425</v>
      </c>
    </row>
    <row r="1461" spans="2:10" ht="14.4" x14ac:dyDescent="0.3">
      <c r="B1461" s="657">
        <v>87270</v>
      </c>
      <c r="C1461" s="657">
        <v>1195.6999999998693</v>
      </c>
      <c r="D1461" s="658">
        <v>87425</v>
      </c>
      <c r="E1461" s="658">
        <v>1195.7999999998692</v>
      </c>
      <c r="G1461" s="64">
        <v>1195.7999999998692</v>
      </c>
      <c r="H1461" s="658">
        <v>87425</v>
      </c>
      <c r="I1461" s="64">
        <v>1195.8999999998691</v>
      </c>
      <c r="J1461" s="658">
        <v>87580</v>
      </c>
    </row>
    <row r="1462" spans="2:10" ht="14.4" x14ac:dyDescent="0.3">
      <c r="B1462" s="657">
        <v>87425</v>
      </c>
      <c r="C1462" s="657">
        <v>1195.7999999998692</v>
      </c>
      <c r="D1462" s="658">
        <v>87580</v>
      </c>
      <c r="E1462" s="658">
        <v>1195.8999999998691</v>
      </c>
      <c r="G1462" s="64">
        <v>1195.8999999998691</v>
      </c>
      <c r="H1462" s="658">
        <v>87580</v>
      </c>
      <c r="I1462" s="64">
        <v>1195.999999999869</v>
      </c>
      <c r="J1462" s="658">
        <v>87735</v>
      </c>
    </row>
    <row r="1463" spans="2:10" ht="14.4" x14ac:dyDescent="0.3">
      <c r="B1463" s="657">
        <v>87580</v>
      </c>
      <c r="C1463" s="657">
        <v>1195.8999999998691</v>
      </c>
      <c r="D1463" s="658">
        <v>87735</v>
      </c>
      <c r="E1463" s="658">
        <v>1195.999999999869</v>
      </c>
      <c r="G1463" s="64">
        <v>1195.999999999869</v>
      </c>
      <c r="H1463" s="658">
        <v>87735</v>
      </c>
      <c r="I1463" s="64">
        <v>1196.0999999998689</v>
      </c>
      <c r="J1463" s="658">
        <v>87892</v>
      </c>
    </row>
    <row r="1464" spans="2:10" ht="14.4" x14ac:dyDescent="0.3">
      <c r="B1464" s="657">
        <v>87735</v>
      </c>
      <c r="C1464" s="657">
        <v>1195.999999999869</v>
      </c>
      <c r="D1464" s="658">
        <v>87892</v>
      </c>
      <c r="E1464" s="658">
        <v>1196.0999999998689</v>
      </c>
      <c r="G1464" s="64">
        <v>1196.0999999998689</v>
      </c>
      <c r="H1464" s="658">
        <v>87892</v>
      </c>
      <c r="I1464" s="64">
        <v>1196.1999999998689</v>
      </c>
      <c r="J1464" s="658">
        <v>88049</v>
      </c>
    </row>
    <row r="1465" spans="2:10" ht="14.4" x14ac:dyDescent="0.3">
      <c r="B1465" s="657">
        <v>87892</v>
      </c>
      <c r="C1465" s="657">
        <v>1196.0999999998689</v>
      </c>
      <c r="D1465" s="658">
        <v>88049</v>
      </c>
      <c r="E1465" s="658">
        <v>1196.1999999998689</v>
      </c>
      <c r="G1465" s="64">
        <v>1196.1999999998689</v>
      </c>
      <c r="H1465" s="658">
        <v>88049</v>
      </c>
      <c r="I1465" s="64">
        <v>1196.2999999998688</v>
      </c>
      <c r="J1465" s="658">
        <v>88205</v>
      </c>
    </row>
    <row r="1466" spans="2:10" ht="14.4" x14ac:dyDescent="0.3">
      <c r="B1466" s="657">
        <v>88049</v>
      </c>
      <c r="C1466" s="657">
        <v>1196.1999999998689</v>
      </c>
      <c r="D1466" s="658">
        <v>88205</v>
      </c>
      <c r="E1466" s="658">
        <v>1196.2999999998688</v>
      </c>
      <c r="G1466" s="64">
        <v>1196.2999999998688</v>
      </c>
      <c r="H1466" s="658">
        <v>88205</v>
      </c>
      <c r="I1466" s="64">
        <v>1196.3999999998687</v>
      </c>
      <c r="J1466" s="658">
        <v>88362</v>
      </c>
    </row>
    <row r="1467" spans="2:10" ht="14.4" x14ac:dyDescent="0.3">
      <c r="B1467" s="657">
        <v>88205</v>
      </c>
      <c r="C1467" s="657">
        <v>1196.2999999998688</v>
      </c>
      <c r="D1467" s="658">
        <v>88362</v>
      </c>
      <c r="E1467" s="658">
        <v>1196.3999999998687</v>
      </c>
      <c r="G1467" s="64">
        <v>1196.3999999998687</v>
      </c>
      <c r="H1467" s="658">
        <v>88362</v>
      </c>
      <c r="I1467" s="64">
        <v>1196.4999999998686</v>
      </c>
      <c r="J1467" s="658">
        <v>88519</v>
      </c>
    </row>
    <row r="1468" spans="2:10" ht="14.4" x14ac:dyDescent="0.3">
      <c r="B1468" s="657">
        <v>88362</v>
      </c>
      <c r="C1468" s="657">
        <v>1196.3999999998687</v>
      </c>
      <c r="D1468" s="658">
        <v>88519</v>
      </c>
      <c r="E1468" s="658">
        <v>1196.4999999998686</v>
      </c>
      <c r="G1468" s="64">
        <v>1196.4999999998686</v>
      </c>
      <c r="H1468" s="658">
        <v>88519</v>
      </c>
      <c r="I1468" s="64">
        <v>1196.5999999998685</v>
      </c>
      <c r="J1468" s="658">
        <v>88676</v>
      </c>
    </row>
    <row r="1469" spans="2:10" ht="14.4" x14ac:dyDescent="0.3">
      <c r="B1469" s="657">
        <v>88519</v>
      </c>
      <c r="C1469" s="657">
        <v>1196.4999999998686</v>
      </c>
      <c r="D1469" s="658">
        <v>88676</v>
      </c>
      <c r="E1469" s="658">
        <v>1196.5999999998685</v>
      </c>
      <c r="G1469" s="64">
        <v>1196.5999999998685</v>
      </c>
      <c r="H1469" s="658">
        <v>88676</v>
      </c>
      <c r="I1469" s="64">
        <v>1196.6999999998684</v>
      </c>
      <c r="J1469" s="658">
        <v>88833</v>
      </c>
    </row>
    <row r="1470" spans="2:10" ht="14.4" x14ac:dyDescent="0.3">
      <c r="B1470" s="657">
        <v>88676</v>
      </c>
      <c r="C1470" s="657">
        <v>1196.5999999998685</v>
      </c>
      <c r="D1470" s="658">
        <v>88833</v>
      </c>
      <c r="E1470" s="658">
        <v>1196.6999999998684</v>
      </c>
      <c r="G1470" s="64">
        <v>1196.6999999998684</v>
      </c>
      <c r="H1470" s="658">
        <v>88833</v>
      </c>
      <c r="I1470" s="64">
        <v>1196.7999999998683</v>
      </c>
      <c r="J1470" s="658">
        <v>88989</v>
      </c>
    </row>
    <row r="1471" spans="2:10" ht="14.4" x14ac:dyDescent="0.3">
      <c r="B1471" s="657">
        <v>88833</v>
      </c>
      <c r="C1471" s="657">
        <v>1196.6999999998684</v>
      </c>
      <c r="D1471" s="658">
        <v>88989</v>
      </c>
      <c r="E1471" s="658">
        <v>1196.7999999998683</v>
      </c>
      <c r="G1471" s="64">
        <v>1196.7999999998683</v>
      </c>
      <c r="H1471" s="658">
        <v>88989</v>
      </c>
      <c r="I1471" s="64">
        <v>1196.8999999998682</v>
      </c>
      <c r="J1471" s="658">
        <v>89146</v>
      </c>
    </row>
    <row r="1472" spans="2:10" ht="14.4" x14ac:dyDescent="0.3">
      <c r="B1472" s="657">
        <v>88989</v>
      </c>
      <c r="C1472" s="657">
        <v>1196.7999999998683</v>
      </c>
      <c r="D1472" s="658">
        <v>89146</v>
      </c>
      <c r="E1472" s="658">
        <v>1196.8999999998682</v>
      </c>
      <c r="G1472" s="64">
        <v>1196.8999999998682</v>
      </c>
      <c r="H1472" s="658">
        <v>89146</v>
      </c>
      <c r="I1472" s="64">
        <v>1196.9999999998681</v>
      </c>
      <c r="J1472" s="658">
        <v>89303</v>
      </c>
    </row>
    <row r="1473" spans="2:10" ht="14.4" x14ac:dyDescent="0.3">
      <c r="B1473" s="657">
        <v>89146</v>
      </c>
      <c r="C1473" s="657">
        <v>1196.8999999998682</v>
      </c>
      <c r="D1473" s="658">
        <v>89303</v>
      </c>
      <c r="E1473" s="658">
        <v>1196.9999999998681</v>
      </c>
      <c r="G1473" s="64">
        <v>1196.9999999998681</v>
      </c>
      <c r="H1473" s="658">
        <v>89303</v>
      </c>
      <c r="I1473" s="64">
        <v>1197.099999999868</v>
      </c>
      <c r="J1473" s="658">
        <v>89462</v>
      </c>
    </row>
    <row r="1474" spans="2:10" ht="14.4" x14ac:dyDescent="0.3">
      <c r="B1474" s="657">
        <v>89303</v>
      </c>
      <c r="C1474" s="657">
        <v>1196.9999999998681</v>
      </c>
      <c r="D1474" s="658">
        <v>89462</v>
      </c>
      <c r="E1474" s="658">
        <v>1197.099999999868</v>
      </c>
      <c r="G1474" s="64">
        <v>1197.099999999868</v>
      </c>
      <c r="H1474" s="658">
        <v>89462</v>
      </c>
      <c r="I1474" s="64">
        <v>1197.1999999998679</v>
      </c>
      <c r="J1474" s="658">
        <v>89620</v>
      </c>
    </row>
    <row r="1475" spans="2:10" ht="14.4" x14ac:dyDescent="0.3">
      <c r="B1475" s="657">
        <v>89462</v>
      </c>
      <c r="C1475" s="657">
        <v>1197.099999999868</v>
      </c>
      <c r="D1475" s="658">
        <v>89620</v>
      </c>
      <c r="E1475" s="658">
        <v>1197.1999999998679</v>
      </c>
      <c r="G1475" s="64">
        <v>1197.1999999998679</v>
      </c>
      <c r="H1475" s="658">
        <v>89620</v>
      </c>
      <c r="I1475" s="64">
        <v>1197.2999999998679</v>
      </c>
      <c r="J1475" s="658">
        <v>89779</v>
      </c>
    </row>
    <row r="1476" spans="2:10" ht="14.4" x14ac:dyDescent="0.3">
      <c r="B1476" s="657">
        <v>89620</v>
      </c>
      <c r="C1476" s="657">
        <v>1197.1999999998679</v>
      </c>
      <c r="D1476" s="658">
        <v>89779</v>
      </c>
      <c r="E1476" s="658">
        <v>1197.2999999998679</v>
      </c>
      <c r="G1476" s="64">
        <v>1197.2999999998679</v>
      </c>
      <c r="H1476" s="658">
        <v>89779</v>
      </c>
      <c r="I1476" s="64">
        <v>1197.3999999998678</v>
      </c>
      <c r="J1476" s="658">
        <v>89938</v>
      </c>
    </row>
    <row r="1477" spans="2:10" ht="14.4" x14ac:dyDescent="0.3">
      <c r="B1477" s="657">
        <v>89779</v>
      </c>
      <c r="C1477" s="657">
        <v>1197.2999999998679</v>
      </c>
      <c r="D1477" s="658">
        <v>89938</v>
      </c>
      <c r="E1477" s="658">
        <v>1197.3999999998678</v>
      </c>
      <c r="G1477" s="64">
        <v>1197.3999999998678</v>
      </c>
      <c r="H1477" s="658">
        <v>89938</v>
      </c>
      <c r="I1477" s="64">
        <v>1197.4999999998677</v>
      </c>
      <c r="J1477" s="658">
        <v>90097</v>
      </c>
    </row>
    <row r="1478" spans="2:10" ht="14.4" x14ac:dyDescent="0.3">
      <c r="B1478" s="657">
        <v>89938</v>
      </c>
      <c r="C1478" s="657">
        <v>1197.3999999998678</v>
      </c>
      <c r="D1478" s="658">
        <v>90097</v>
      </c>
      <c r="E1478" s="658">
        <v>1197.4999999998677</v>
      </c>
      <c r="G1478" s="64">
        <v>1197.4999999998677</v>
      </c>
      <c r="H1478" s="658">
        <v>90097</v>
      </c>
      <c r="I1478" s="64">
        <v>1197.5999999998676</v>
      </c>
      <c r="J1478" s="658">
        <v>90255</v>
      </c>
    </row>
    <row r="1479" spans="2:10" ht="14.4" x14ac:dyDescent="0.3">
      <c r="B1479" s="657">
        <v>90097</v>
      </c>
      <c r="C1479" s="657">
        <v>1197.4999999998677</v>
      </c>
      <c r="D1479" s="658">
        <v>90255</v>
      </c>
      <c r="E1479" s="658">
        <v>1197.5999999998676</v>
      </c>
      <c r="G1479" s="64">
        <v>1197.5999999998676</v>
      </c>
      <c r="H1479" s="658">
        <v>90255</v>
      </c>
      <c r="I1479" s="64">
        <v>1197.6999999998675</v>
      </c>
      <c r="J1479" s="658">
        <v>90414</v>
      </c>
    </row>
    <row r="1480" spans="2:10" ht="14.4" x14ac:dyDescent="0.3">
      <c r="B1480" s="657">
        <v>90255</v>
      </c>
      <c r="C1480" s="657">
        <v>1197.5999999998676</v>
      </c>
      <c r="D1480" s="658">
        <v>90414</v>
      </c>
      <c r="E1480" s="658">
        <v>1197.6999999998675</v>
      </c>
      <c r="G1480" s="64">
        <v>1197.6999999998675</v>
      </c>
      <c r="H1480" s="658">
        <v>90414</v>
      </c>
      <c r="I1480" s="64">
        <v>1197.7999999998674</v>
      </c>
      <c r="J1480" s="658">
        <v>90573</v>
      </c>
    </row>
    <row r="1481" spans="2:10" ht="14.4" x14ac:dyDescent="0.3">
      <c r="B1481" s="657">
        <v>90414</v>
      </c>
      <c r="C1481" s="657">
        <v>1197.6999999998675</v>
      </c>
      <c r="D1481" s="658">
        <v>90573</v>
      </c>
      <c r="E1481" s="658">
        <v>1197.7999999998674</v>
      </c>
      <c r="G1481" s="64">
        <v>1197.7999999998674</v>
      </c>
      <c r="H1481" s="658">
        <v>90573</v>
      </c>
      <c r="I1481" s="64">
        <v>1197.8999999998673</v>
      </c>
      <c r="J1481" s="658">
        <v>90731</v>
      </c>
    </row>
    <row r="1482" spans="2:10" ht="14.4" x14ac:dyDescent="0.3">
      <c r="B1482" s="657">
        <v>90573</v>
      </c>
      <c r="C1482" s="657">
        <v>1197.7999999998674</v>
      </c>
      <c r="D1482" s="658">
        <v>90731</v>
      </c>
      <c r="E1482" s="658">
        <v>1197.8999999998673</v>
      </c>
      <c r="G1482" s="64">
        <v>1197.8999999998673</v>
      </c>
      <c r="H1482" s="658">
        <v>90731</v>
      </c>
      <c r="I1482" s="64">
        <v>1197.9999999998672</v>
      </c>
      <c r="J1482" s="658">
        <v>90890</v>
      </c>
    </row>
    <row r="1483" spans="2:10" ht="14.4" x14ac:dyDescent="0.3">
      <c r="B1483" s="657">
        <v>90731</v>
      </c>
      <c r="C1483" s="657">
        <v>1197.8999999998673</v>
      </c>
      <c r="D1483" s="658">
        <v>90890</v>
      </c>
      <c r="E1483" s="658">
        <v>1197.9999999998672</v>
      </c>
      <c r="G1483" s="64">
        <v>1197.9999999998672</v>
      </c>
      <c r="H1483" s="658">
        <v>90890</v>
      </c>
      <c r="I1483" s="64">
        <v>1198.0999999998671</v>
      </c>
      <c r="J1483" s="658">
        <v>91051</v>
      </c>
    </row>
    <row r="1484" spans="2:10" ht="14.4" x14ac:dyDescent="0.3">
      <c r="B1484" s="657">
        <v>90890</v>
      </c>
      <c r="C1484" s="657">
        <v>1197.9999999998672</v>
      </c>
      <c r="D1484" s="658">
        <v>91051</v>
      </c>
      <c r="E1484" s="658">
        <v>1198.0999999998671</v>
      </c>
      <c r="G1484" s="64">
        <v>1198.0999999998671</v>
      </c>
      <c r="H1484" s="658">
        <v>91051</v>
      </c>
      <c r="I1484" s="64">
        <v>1198.199999999867</v>
      </c>
      <c r="J1484" s="658">
        <v>91211</v>
      </c>
    </row>
    <row r="1485" spans="2:10" ht="14.4" x14ac:dyDescent="0.3">
      <c r="B1485" s="657">
        <v>91051</v>
      </c>
      <c r="C1485" s="657">
        <v>1198.0999999998671</v>
      </c>
      <c r="D1485" s="658">
        <v>91211</v>
      </c>
      <c r="E1485" s="658">
        <v>1198.199999999867</v>
      </c>
      <c r="G1485" s="64">
        <v>1198.199999999867</v>
      </c>
      <c r="H1485" s="658">
        <v>91211</v>
      </c>
      <c r="I1485" s="64">
        <v>1198.2999999998669</v>
      </c>
      <c r="J1485" s="658">
        <v>91372</v>
      </c>
    </row>
    <row r="1486" spans="2:10" ht="14.4" x14ac:dyDescent="0.3">
      <c r="B1486" s="657">
        <v>91211</v>
      </c>
      <c r="C1486" s="657">
        <v>1198.199999999867</v>
      </c>
      <c r="D1486" s="658">
        <v>91372</v>
      </c>
      <c r="E1486" s="658">
        <v>1198.2999999998669</v>
      </c>
      <c r="G1486" s="64">
        <v>1198.2999999998669</v>
      </c>
      <c r="H1486" s="658">
        <v>91372</v>
      </c>
      <c r="I1486" s="64">
        <v>1198.3999999998668</v>
      </c>
      <c r="J1486" s="658">
        <v>91532</v>
      </c>
    </row>
    <row r="1487" spans="2:10" ht="14.4" x14ac:dyDescent="0.3">
      <c r="B1487" s="657">
        <v>91372</v>
      </c>
      <c r="C1487" s="657">
        <v>1198.2999999998669</v>
      </c>
      <c r="D1487" s="658">
        <v>91532</v>
      </c>
      <c r="E1487" s="658">
        <v>1198.3999999998668</v>
      </c>
      <c r="G1487" s="64">
        <v>1198.3999999998668</v>
      </c>
      <c r="H1487" s="658">
        <v>91532</v>
      </c>
      <c r="I1487" s="64">
        <v>1198.4999999998668</v>
      </c>
      <c r="J1487" s="658">
        <v>91693</v>
      </c>
    </row>
    <row r="1488" spans="2:10" ht="14.4" x14ac:dyDescent="0.3">
      <c r="B1488" s="657">
        <v>91532</v>
      </c>
      <c r="C1488" s="657">
        <v>1198.3999999998668</v>
      </c>
      <c r="D1488" s="658">
        <v>91693</v>
      </c>
      <c r="E1488" s="658">
        <v>1198.4999999998668</v>
      </c>
      <c r="G1488" s="64">
        <v>1198.4999999998668</v>
      </c>
      <c r="H1488" s="658">
        <v>91693</v>
      </c>
      <c r="I1488" s="64">
        <v>1198.5999999998667</v>
      </c>
      <c r="J1488" s="658">
        <v>91853</v>
      </c>
    </row>
    <row r="1489" spans="2:10" ht="14.4" x14ac:dyDescent="0.3">
      <c r="B1489" s="657">
        <v>91693</v>
      </c>
      <c r="C1489" s="657">
        <v>1198.4999999998668</v>
      </c>
      <c r="D1489" s="658">
        <v>91853</v>
      </c>
      <c r="E1489" s="658">
        <v>1198.5999999998667</v>
      </c>
      <c r="G1489" s="64">
        <v>1198.5999999998667</v>
      </c>
      <c r="H1489" s="658">
        <v>91853</v>
      </c>
      <c r="I1489" s="64">
        <v>1198.6999999998666</v>
      </c>
      <c r="J1489" s="658">
        <v>92014</v>
      </c>
    </row>
    <row r="1490" spans="2:10" ht="14.4" x14ac:dyDescent="0.3">
      <c r="B1490" s="657">
        <v>91853</v>
      </c>
      <c r="C1490" s="657">
        <v>1198.5999999998667</v>
      </c>
      <c r="D1490" s="658">
        <v>92014</v>
      </c>
      <c r="E1490" s="658">
        <v>1198.6999999998666</v>
      </c>
      <c r="G1490" s="64">
        <v>1198.6999999998666</v>
      </c>
      <c r="H1490" s="658">
        <v>92014</v>
      </c>
      <c r="I1490" s="64">
        <v>1198.7999999998665</v>
      </c>
      <c r="J1490" s="658">
        <v>92174</v>
      </c>
    </row>
    <row r="1491" spans="2:10" ht="14.4" x14ac:dyDescent="0.3">
      <c r="B1491" s="657">
        <v>92014</v>
      </c>
      <c r="C1491" s="657">
        <v>1198.6999999998666</v>
      </c>
      <c r="D1491" s="658">
        <v>92174</v>
      </c>
      <c r="E1491" s="658">
        <v>1198.7999999998665</v>
      </c>
      <c r="G1491" s="64">
        <v>1198.7999999998665</v>
      </c>
      <c r="H1491" s="658">
        <v>92174</v>
      </c>
      <c r="I1491" s="64">
        <v>1198.8999999998664</v>
      </c>
      <c r="J1491" s="658">
        <v>92335</v>
      </c>
    </row>
    <row r="1492" spans="2:10" ht="14.4" x14ac:dyDescent="0.3">
      <c r="B1492" s="657">
        <v>92174</v>
      </c>
      <c r="C1492" s="657">
        <v>1198.7999999998665</v>
      </c>
      <c r="D1492" s="658">
        <v>92335</v>
      </c>
      <c r="E1492" s="658">
        <v>1198.8999999998664</v>
      </c>
      <c r="G1492" s="64">
        <v>1198.8999999998664</v>
      </c>
      <c r="H1492" s="658">
        <v>92335</v>
      </c>
      <c r="I1492" s="64">
        <v>1198.9999999998663</v>
      </c>
      <c r="J1492" s="658">
        <v>92495</v>
      </c>
    </row>
    <row r="1493" spans="2:10" ht="14.4" x14ac:dyDescent="0.3">
      <c r="B1493" s="657">
        <v>92335</v>
      </c>
      <c r="C1493" s="657">
        <v>1198.8999999998664</v>
      </c>
      <c r="D1493" s="658">
        <v>92495</v>
      </c>
      <c r="E1493" s="658">
        <v>1198.9999999998663</v>
      </c>
      <c r="G1493" s="64">
        <v>1198.9999999998663</v>
      </c>
      <c r="H1493" s="658">
        <v>92495</v>
      </c>
      <c r="I1493" s="64">
        <v>1199.0999999998662</v>
      </c>
      <c r="J1493" s="658">
        <v>92657</v>
      </c>
    </row>
    <row r="1494" spans="2:10" ht="14.4" x14ac:dyDescent="0.3">
      <c r="B1494" s="657">
        <v>92495</v>
      </c>
      <c r="C1494" s="657">
        <v>1198.9999999998663</v>
      </c>
      <c r="D1494" s="658">
        <v>92657</v>
      </c>
      <c r="E1494" s="658">
        <v>1199.0999999998662</v>
      </c>
      <c r="G1494" s="64">
        <v>1199.0999999998662</v>
      </c>
      <c r="H1494" s="658">
        <v>92657</v>
      </c>
      <c r="I1494" s="64">
        <v>1199.1999999998661</v>
      </c>
      <c r="J1494" s="658">
        <v>92820</v>
      </c>
    </row>
    <row r="1495" spans="2:10" ht="14.4" x14ac:dyDescent="0.3">
      <c r="B1495" s="657">
        <v>92657</v>
      </c>
      <c r="C1495" s="657">
        <v>1199.0999999998662</v>
      </c>
      <c r="D1495" s="658">
        <v>92820</v>
      </c>
      <c r="E1495" s="658">
        <v>1199.1999999998661</v>
      </c>
      <c r="G1495" s="64">
        <v>1199.1999999998661</v>
      </c>
      <c r="H1495" s="658">
        <v>92820</v>
      </c>
      <c r="I1495" s="64">
        <v>1199.299999999866</v>
      </c>
      <c r="J1495" s="658">
        <v>92982</v>
      </c>
    </row>
    <row r="1496" spans="2:10" ht="14.4" x14ac:dyDescent="0.3">
      <c r="B1496" s="657">
        <v>92820</v>
      </c>
      <c r="C1496" s="657">
        <v>1199.1999999998661</v>
      </c>
      <c r="D1496" s="658">
        <v>92982</v>
      </c>
      <c r="E1496" s="658">
        <v>1199.299999999866</v>
      </c>
      <c r="G1496" s="64">
        <v>1199.299999999866</v>
      </c>
      <c r="H1496" s="658">
        <v>92982</v>
      </c>
      <c r="I1496" s="64">
        <v>1199.3999999998659</v>
      </c>
      <c r="J1496" s="658">
        <v>93145</v>
      </c>
    </row>
    <row r="1497" spans="2:10" ht="14.4" x14ac:dyDescent="0.3">
      <c r="B1497" s="657">
        <v>92982</v>
      </c>
      <c r="C1497" s="657">
        <v>1199.299999999866</v>
      </c>
      <c r="D1497" s="658">
        <v>93145</v>
      </c>
      <c r="E1497" s="658">
        <v>1199.3999999998659</v>
      </c>
      <c r="G1497" s="64">
        <v>1199.3999999998659</v>
      </c>
      <c r="H1497" s="658">
        <v>93145</v>
      </c>
      <c r="I1497" s="64">
        <v>1199.4999999998658</v>
      </c>
      <c r="J1497" s="658">
        <v>93307</v>
      </c>
    </row>
    <row r="1498" spans="2:10" ht="14.4" x14ac:dyDescent="0.3">
      <c r="B1498" s="657">
        <v>93145</v>
      </c>
      <c r="C1498" s="657">
        <v>1199.3999999998659</v>
      </c>
      <c r="D1498" s="658">
        <v>93307</v>
      </c>
      <c r="E1498" s="658">
        <v>1199.4999999998658</v>
      </c>
      <c r="G1498" s="64">
        <v>1199.4999999998658</v>
      </c>
      <c r="H1498" s="658">
        <v>93307</v>
      </c>
      <c r="I1498" s="64">
        <v>1199.5999999998658</v>
      </c>
      <c r="J1498" s="658">
        <v>93469</v>
      </c>
    </row>
    <row r="1499" spans="2:10" ht="14.4" x14ac:dyDescent="0.3">
      <c r="B1499" s="657">
        <v>93307</v>
      </c>
      <c r="C1499" s="657">
        <v>1199.4999999998658</v>
      </c>
      <c r="D1499" s="658">
        <v>93469</v>
      </c>
      <c r="E1499" s="658">
        <v>1199.5999999998658</v>
      </c>
      <c r="G1499" s="64">
        <v>1199.5999999998658</v>
      </c>
      <c r="H1499" s="658">
        <v>93469</v>
      </c>
      <c r="I1499" s="64">
        <v>1199.6999999998657</v>
      </c>
      <c r="J1499" s="658">
        <v>93632</v>
      </c>
    </row>
    <row r="1500" spans="2:10" ht="14.4" x14ac:dyDescent="0.3">
      <c r="B1500" s="657">
        <v>93469</v>
      </c>
      <c r="C1500" s="657">
        <v>1199.5999999998658</v>
      </c>
      <c r="D1500" s="658">
        <v>93632</v>
      </c>
      <c r="E1500" s="658">
        <v>1199.6999999998657</v>
      </c>
      <c r="G1500" s="64">
        <v>1199.6999999998657</v>
      </c>
      <c r="H1500" s="658">
        <v>93632</v>
      </c>
      <c r="I1500" s="64">
        <v>1199.7999999998656</v>
      </c>
      <c r="J1500" s="658">
        <v>93794</v>
      </c>
    </row>
    <row r="1501" spans="2:10" ht="14.4" x14ac:dyDescent="0.3">
      <c r="B1501" s="657">
        <v>93632</v>
      </c>
      <c r="C1501" s="657">
        <v>1199.6999999998657</v>
      </c>
      <c r="D1501" s="658">
        <v>93794</v>
      </c>
      <c r="E1501" s="658">
        <v>1199.7999999998656</v>
      </c>
      <c r="G1501" s="64">
        <v>1199.7999999998656</v>
      </c>
      <c r="H1501" s="658">
        <v>93794</v>
      </c>
      <c r="I1501" s="64">
        <v>1199.8999999998655</v>
      </c>
      <c r="J1501" s="658">
        <v>93957</v>
      </c>
    </row>
    <row r="1502" spans="2:10" ht="14.4" x14ac:dyDescent="0.3">
      <c r="B1502" s="657">
        <v>93794</v>
      </c>
      <c r="C1502" s="657">
        <v>1199.7999999998656</v>
      </c>
      <c r="D1502" s="658">
        <v>93957</v>
      </c>
      <c r="E1502" s="658">
        <v>1199.8999999998655</v>
      </c>
      <c r="G1502" s="64">
        <v>1199.8999999998655</v>
      </c>
      <c r="H1502" s="658">
        <v>93957</v>
      </c>
      <c r="I1502" s="64">
        <v>1199.9999999998654</v>
      </c>
      <c r="J1502" s="658">
        <v>94119</v>
      </c>
    </row>
    <row r="1503" spans="2:10" ht="14.4" x14ac:dyDescent="0.3">
      <c r="B1503" s="657">
        <v>93957</v>
      </c>
      <c r="C1503" s="657">
        <v>1199.8999999998655</v>
      </c>
      <c r="D1503" s="658">
        <v>94119</v>
      </c>
      <c r="E1503" s="658">
        <v>1199.9999999998654</v>
      </c>
      <c r="G1503" s="64">
        <v>1199.9999999998654</v>
      </c>
      <c r="H1503" s="658">
        <v>94119</v>
      </c>
      <c r="I1503" s="64">
        <v>1200.0999999998653</v>
      </c>
      <c r="J1503" s="658">
        <v>94283</v>
      </c>
    </row>
    <row r="1504" spans="2:10" ht="14.4" x14ac:dyDescent="0.3">
      <c r="B1504" s="657">
        <v>94119</v>
      </c>
      <c r="C1504" s="657">
        <v>1199.9999999998654</v>
      </c>
      <c r="D1504" s="658">
        <v>94283</v>
      </c>
      <c r="E1504" s="658">
        <v>1200.0999999998653</v>
      </c>
      <c r="G1504" s="64">
        <v>1200.0999999998653</v>
      </c>
      <c r="H1504" s="658">
        <v>94283</v>
      </c>
      <c r="I1504" s="64">
        <v>1200.1999999998652</v>
      </c>
      <c r="J1504" s="658">
        <v>94448</v>
      </c>
    </row>
    <row r="1505" spans="2:10" ht="14.4" x14ac:dyDescent="0.3">
      <c r="B1505" s="657">
        <v>94283</v>
      </c>
      <c r="C1505" s="657">
        <v>1200.0999999998653</v>
      </c>
      <c r="D1505" s="658">
        <v>94448</v>
      </c>
      <c r="E1505" s="658">
        <v>1200.1999999998652</v>
      </c>
      <c r="G1505" s="64">
        <v>1200.1999999998652</v>
      </c>
      <c r="H1505" s="658">
        <v>94448</v>
      </c>
      <c r="I1505" s="64">
        <v>1200.2999999998651</v>
      </c>
      <c r="J1505" s="658">
        <v>94612</v>
      </c>
    </row>
    <row r="1506" spans="2:10" ht="14.4" x14ac:dyDescent="0.3">
      <c r="B1506" s="657">
        <v>94448</v>
      </c>
      <c r="C1506" s="657">
        <v>1200.1999999998652</v>
      </c>
      <c r="D1506" s="658">
        <v>94612</v>
      </c>
      <c r="E1506" s="658">
        <v>1200.2999999998651</v>
      </c>
      <c r="G1506" s="64">
        <v>1200.2999999998651</v>
      </c>
      <c r="H1506" s="658">
        <v>94612</v>
      </c>
      <c r="I1506" s="64">
        <v>1200.399999999865</v>
      </c>
      <c r="J1506" s="658">
        <v>94776</v>
      </c>
    </row>
    <row r="1507" spans="2:10" ht="14.4" x14ac:dyDescent="0.3">
      <c r="B1507" s="657">
        <v>94612</v>
      </c>
      <c r="C1507" s="657">
        <v>1200.2999999998651</v>
      </c>
      <c r="D1507" s="658">
        <v>94776</v>
      </c>
      <c r="E1507" s="658">
        <v>1200.399999999865</v>
      </c>
      <c r="G1507" s="64">
        <v>1200.399999999865</v>
      </c>
      <c r="H1507" s="658">
        <v>94776</v>
      </c>
      <c r="I1507" s="64">
        <v>1200.4999999998649</v>
      </c>
      <c r="J1507" s="658">
        <v>94941</v>
      </c>
    </row>
    <row r="1508" spans="2:10" ht="14.4" x14ac:dyDescent="0.3">
      <c r="B1508" s="657">
        <v>94776</v>
      </c>
      <c r="C1508" s="657">
        <v>1200.399999999865</v>
      </c>
      <c r="D1508" s="658">
        <v>94941</v>
      </c>
      <c r="E1508" s="658">
        <v>1200.4999999998649</v>
      </c>
      <c r="G1508" s="64">
        <v>1200.4999999998649</v>
      </c>
      <c r="H1508" s="658">
        <v>94941</v>
      </c>
      <c r="I1508" s="64">
        <v>1200.5999999998648</v>
      </c>
      <c r="J1508" s="658">
        <v>95105</v>
      </c>
    </row>
    <row r="1509" spans="2:10" ht="14.4" x14ac:dyDescent="0.3">
      <c r="B1509" s="657">
        <v>94941</v>
      </c>
      <c r="C1509" s="657">
        <v>1200.4999999998649</v>
      </c>
      <c r="D1509" s="658">
        <v>95105</v>
      </c>
      <c r="E1509" s="658">
        <v>1200.5999999998648</v>
      </c>
      <c r="G1509" s="64">
        <v>1200.5999999998648</v>
      </c>
      <c r="H1509" s="658">
        <v>95105</v>
      </c>
      <c r="I1509" s="64">
        <v>1200.6999999998648</v>
      </c>
      <c r="J1509" s="658">
        <v>95269</v>
      </c>
    </row>
    <row r="1510" spans="2:10" ht="14.4" x14ac:dyDescent="0.3">
      <c r="B1510" s="657">
        <v>95105</v>
      </c>
      <c r="C1510" s="657">
        <v>1200.5999999998648</v>
      </c>
      <c r="D1510" s="658">
        <v>95269</v>
      </c>
      <c r="E1510" s="658">
        <v>1200.6999999998648</v>
      </c>
      <c r="G1510" s="64">
        <v>1200.6999999998648</v>
      </c>
      <c r="H1510" s="658">
        <v>95269</v>
      </c>
      <c r="I1510" s="64">
        <v>1200.7999999998647</v>
      </c>
      <c r="J1510" s="658">
        <v>95433</v>
      </c>
    </row>
    <row r="1511" spans="2:10" ht="14.4" x14ac:dyDescent="0.3">
      <c r="B1511" s="657">
        <v>95269</v>
      </c>
      <c r="C1511" s="657">
        <v>1200.6999999998648</v>
      </c>
      <c r="D1511" s="658">
        <v>95433</v>
      </c>
      <c r="E1511" s="658">
        <v>1200.7999999998647</v>
      </c>
      <c r="G1511" s="64">
        <v>1200.7999999998647</v>
      </c>
      <c r="H1511" s="658">
        <v>95433</v>
      </c>
      <c r="I1511" s="64">
        <v>1200.8999999998646</v>
      </c>
      <c r="J1511" s="658">
        <v>95598</v>
      </c>
    </row>
    <row r="1512" spans="2:10" ht="14.4" x14ac:dyDescent="0.3">
      <c r="B1512" s="657">
        <v>95433</v>
      </c>
      <c r="C1512" s="657">
        <v>1200.7999999998647</v>
      </c>
      <c r="D1512" s="658">
        <v>95598</v>
      </c>
      <c r="E1512" s="658">
        <v>1200.8999999998646</v>
      </c>
      <c r="G1512" s="64">
        <v>1200.8999999998646</v>
      </c>
      <c r="H1512" s="658">
        <v>95598</v>
      </c>
      <c r="I1512" s="64">
        <v>1200.9999999998645</v>
      </c>
      <c r="J1512" s="658">
        <v>95762</v>
      </c>
    </row>
    <row r="1513" spans="2:10" ht="14.4" x14ac:dyDescent="0.3">
      <c r="B1513" s="657">
        <v>95598</v>
      </c>
      <c r="C1513" s="657">
        <v>1200.8999999998646</v>
      </c>
      <c r="D1513" s="658">
        <v>95762</v>
      </c>
      <c r="E1513" s="658">
        <v>1200.9999999998645</v>
      </c>
      <c r="G1513" s="64">
        <v>1200.9999999998645</v>
      </c>
      <c r="H1513" s="658">
        <v>95762</v>
      </c>
      <c r="I1513" s="64">
        <v>1201.0999999998644</v>
      </c>
      <c r="J1513" s="658">
        <v>95928</v>
      </c>
    </row>
    <row r="1514" spans="2:10" ht="14.4" x14ac:dyDescent="0.3">
      <c r="B1514" s="657">
        <v>95762</v>
      </c>
      <c r="C1514" s="657">
        <v>1200.9999999998645</v>
      </c>
      <c r="D1514" s="658">
        <v>95928</v>
      </c>
      <c r="E1514" s="658">
        <v>1201.0999999998644</v>
      </c>
      <c r="G1514" s="64">
        <v>1201.0999999998644</v>
      </c>
      <c r="H1514" s="658">
        <v>95928</v>
      </c>
      <c r="I1514" s="64">
        <v>1201.1999999998643</v>
      </c>
      <c r="J1514" s="658">
        <v>96094</v>
      </c>
    </row>
    <row r="1515" spans="2:10" ht="14.4" x14ac:dyDescent="0.3">
      <c r="B1515" s="657">
        <v>95928</v>
      </c>
      <c r="C1515" s="657">
        <v>1201.0999999998644</v>
      </c>
      <c r="D1515" s="658">
        <v>96094</v>
      </c>
      <c r="E1515" s="658">
        <v>1201.1999999998643</v>
      </c>
      <c r="G1515" s="64">
        <v>1201.1999999998643</v>
      </c>
      <c r="H1515" s="658">
        <v>96094</v>
      </c>
      <c r="I1515" s="64">
        <v>1201.2999999998642</v>
      </c>
      <c r="J1515" s="658">
        <v>96261</v>
      </c>
    </row>
    <row r="1516" spans="2:10" ht="14.4" x14ac:dyDescent="0.3">
      <c r="B1516" s="657">
        <v>96094</v>
      </c>
      <c r="C1516" s="657">
        <v>1201.1999999998643</v>
      </c>
      <c r="D1516" s="658">
        <v>96261</v>
      </c>
      <c r="E1516" s="658">
        <v>1201.2999999998642</v>
      </c>
      <c r="G1516" s="64">
        <v>1201.2999999998642</v>
      </c>
      <c r="H1516" s="658">
        <v>96261</v>
      </c>
      <c r="I1516" s="64">
        <v>1201.3999999998641</v>
      </c>
      <c r="J1516" s="658">
        <v>96427</v>
      </c>
    </row>
    <row r="1517" spans="2:10" ht="14.4" x14ac:dyDescent="0.3">
      <c r="B1517" s="657">
        <v>96261</v>
      </c>
      <c r="C1517" s="657">
        <v>1201.2999999998642</v>
      </c>
      <c r="D1517" s="658">
        <v>96427</v>
      </c>
      <c r="E1517" s="658">
        <v>1201.3999999998641</v>
      </c>
      <c r="G1517" s="64">
        <v>1201.3999999998641</v>
      </c>
      <c r="H1517" s="658">
        <v>96427</v>
      </c>
      <c r="I1517" s="64">
        <v>1201.499999999864</v>
      </c>
      <c r="J1517" s="658">
        <v>96593</v>
      </c>
    </row>
    <row r="1518" spans="2:10" ht="14.4" x14ac:dyDescent="0.3">
      <c r="B1518" s="657">
        <v>96427</v>
      </c>
      <c r="C1518" s="657">
        <v>1201.3999999998641</v>
      </c>
      <c r="D1518" s="658">
        <v>96593</v>
      </c>
      <c r="E1518" s="658">
        <v>1201.499999999864</v>
      </c>
      <c r="G1518" s="64">
        <v>1201.499999999864</v>
      </c>
      <c r="H1518" s="658">
        <v>96593</v>
      </c>
      <c r="I1518" s="64">
        <v>1201.5999999998639</v>
      </c>
      <c r="J1518" s="658">
        <v>96759</v>
      </c>
    </row>
    <row r="1519" spans="2:10" ht="14.4" x14ac:dyDescent="0.3">
      <c r="B1519" s="657">
        <v>96593</v>
      </c>
      <c r="C1519" s="657">
        <v>1201.499999999864</v>
      </c>
      <c r="D1519" s="658">
        <v>96759</v>
      </c>
      <c r="E1519" s="658">
        <v>1201.5999999998639</v>
      </c>
      <c r="G1519" s="64">
        <v>1201.5999999998639</v>
      </c>
      <c r="H1519" s="658">
        <v>96759</v>
      </c>
      <c r="I1519" s="64">
        <v>1201.6999999998638</v>
      </c>
      <c r="J1519" s="658">
        <v>96925</v>
      </c>
    </row>
    <row r="1520" spans="2:10" ht="14.4" x14ac:dyDescent="0.3">
      <c r="B1520" s="657">
        <v>96759</v>
      </c>
      <c r="C1520" s="657">
        <v>1201.5999999998639</v>
      </c>
      <c r="D1520" s="658">
        <v>96925</v>
      </c>
      <c r="E1520" s="658">
        <v>1201.6999999998638</v>
      </c>
      <c r="G1520" s="64">
        <v>1201.6999999998638</v>
      </c>
      <c r="H1520" s="658">
        <v>96925</v>
      </c>
      <c r="I1520" s="64">
        <v>1201.7999999998638</v>
      </c>
      <c r="J1520" s="658">
        <v>97092</v>
      </c>
    </row>
    <row r="1521" spans="2:10" ht="14.4" x14ac:dyDescent="0.3">
      <c r="B1521" s="657">
        <v>96925</v>
      </c>
      <c r="C1521" s="657">
        <v>1201.6999999998638</v>
      </c>
      <c r="D1521" s="658">
        <v>97092</v>
      </c>
      <c r="E1521" s="658">
        <v>1201.7999999998638</v>
      </c>
      <c r="G1521" s="64">
        <v>1201.7999999998638</v>
      </c>
      <c r="H1521" s="658">
        <v>97092</v>
      </c>
      <c r="I1521" s="64">
        <v>1201.8999999998637</v>
      </c>
      <c r="J1521" s="658">
        <v>97258</v>
      </c>
    </row>
    <row r="1522" spans="2:10" ht="14.4" x14ac:dyDescent="0.3">
      <c r="B1522" s="657">
        <v>97092</v>
      </c>
      <c r="C1522" s="657">
        <v>1201.7999999998638</v>
      </c>
      <c r="D1522" s="658">
        <v>97258</v>
      </c>
      <c r="E1522" s="658">
        <v>1201.8999999998637</v>
      </c>
      <c r="G1522" s="64">
        <v>1201.8999999998637</v>
      </c>
      <c r="H1522" s="658">
        <v>97258</v>
      </c>
      <c r="I1522" s="64">
        <v>1201.9999999998636</v>
      </c>
      <c r="J1522" s="658">
        <v>97424</v>
      </c>
    </row>
    <row r="1523" spans="2:10" ht="14.4" x14ac:dyDescent="0.3">
      <c r="B1523" s="657">
        <v>97258</v>
      </c>
      <c r="C1523" s="657">
        <v>1201.8999999998637</v>
      </c>
      <c r="D1523" s="658">
        <v>97424</v>
      </c>
      <c r="E1523" s="658">
        <v>1201.9999999998636</v>
      </c>
      <c r="G1523" s="64">
        <v>1201.9999999998636</v>
      </c>
      <c r="H1523" s="658">
        <v>97424</v>
      </c>
      <c r="I1523" s="64">
        <v>1202.0999999998635</v>
      </c>
      <c r="J1523" s="658">
        <v>97592</v>
      </c>
    </row>
    <row r="1524" spans="2:10" ht="14.4" x14ac:dyDescent="0.3">
      <c r="B1524" s="657">
        <v>97424</v>
      </c>
      <c r="C1524" s="657">
        <v>1201.9999999998636</v>
      </c>
      <c r="D1524" s="658">
        <v>97592</v>
      </c>
      <c r="E1524" s="658">
        <v>1202.0999999998635</v>
      </c>
      <c r="G1524" s="64">
        <v>1202.0999999998635</v>
      </c>
      <c r="H1524" s="658">
        <v>97592</v>
      </c>
      <c r="I1524" s="64">
        <v>1202.1999999998634</v>
      </c>
      <c r="J1524" s="658">
        <v>97760</v>
      </c>
    </row>
    <row r="1525" spans="2:10" ht="14.4" x14ac:dyDescent="0.3">
      <c r="B1525" s="657">
        <v>97592</v>
      </c>
      <c r="C1525" s="657">
        <v>1202.0999999998635</v>
      </c>
      <c r="D1525" s="658">
        <v>97760</v>
      </c>
      <c r="E1525" s="658">
        <v>1202.1999999998634</v>
      </c>
      <c r="G1525" s="64">
        <v>1202.1999999998634</v>
      </c>
      <c r="H1525" s="658">
        <v>97760</v>
      </c>
      <c r="I1525" s="64">
        <v>1202.2999999998633</v>
      </c>
      <c r="J1525" s="658">
        <v>97929</v>
      </c>
    </row>
    <row r="1526" spans="2:10" ht="14.4" x14ac:dyDescent="0.3">
      <c r="B1526" s="657">
        <v>97760</v>
      </c>
      <c r="C1526" s="657">
        <v>1202.1999999998634</v>
      </c>
      <c r="D1526" s="658">
        <v>97929</v>
      </c>
      <c r="E1526" s="658">
        <v>1202.2999999998633</v>
      </c>
      <c r="G1526" s="64">
        <v>1202.2999999998633</v>
      </c>
      <c r="H1526" s="658">
        <v>97929</v>
      </c>
      <c r="I1526" s="64">
        <v>1202.3999999998632</v>
      </c>
      <c r="J1526" s="658">
        <v>98097</v>
      </c>
    </row>
    <row r="1527" spans="2:10" ht="14.4" x14ac:dyDescent="0.3">
      <c r="B1527" s="657">
        <v>97929</v>
      </c>
      <c r="C1527" s="657">
        <v>1202.2999999998633</v>
      </c>
      <c r="D1527" s="658">
        <v>98097</v>
      </c>
      <c r="E1527" s="658">
        <v>1202.3999999998632</v>
      </c>
      <c r="G1527" s="64">
        <v>1202.3999999998632</v>
      </c>
      <c r="H1527" s="658">
        <v>98097</v>
      </c>
      <c r="I1527" s="64">
        <v>1202.4999999998631</v>
      </c>
      <c r="J1527" s="658">
        <v>98265</v>
      </c>
    </row>
    <row r="1528" spans="2:10" ht="14.4" x14ac:dyDescent="0.3">
      <c r="B1528" s="657">
        <v>98097</v>
      </c>
      <c r="C1528" s="657">
        <v>1202.3999999998632</v>
      </c>
      <c r="D1528" s="658">
        <v>98265</v>
      </c>
      <c r="E1528" s="658">
        <v>1202.4999999998631</v>
      </c>
      <c r="G1528" s="64">
        <v>1202.4999999998631</v>
      </c>
      <c r="H1528" s="658">
        <v>98265</v>
      </c>
      <c r="I1528" s="64">
        <v>1202.599999999863</v>
      </c>
      <c r="J1528" s="658">
        <v>98433</v>
      </c>
    </row>
    <row r="1529" spans="2:10" ht="14.4" x14ac:dyDescent="0.3">
      <c r="B1529" s="657">
        <v>98265</v>
      </c>
      <c r="C1529" s="657">
        <v>1202.4999999998631</v>
      </c>
      <c r="D1529" s="658">
        <v>98433</v>
      </c>
      <c r="E1529" s="658">
        <v>1202.599999999863</v>
      </c>
      <c r="G1529" s="64">
        <v>1202.599999999863</v>
      </c>
      <c r="H1529" s="658">
        <v>98433</v>
      </c>
      <c r="I1529" s="64">
        <v>1202.6999999998629</v>
      </c>
      <c r="J1529" s="658">
        <v>98601</v>
      </c>
    </row>
    <row r="1530" spans="2:10" ht="14.4" x14ac:dyDescent="0.3">
      <c r="B1530" s="657">
        <v>98433</v>
      </c>
      <c r="C1530" s="657">
        <v>1202.599999999863</v>
      </c>
      <c r="D1530" s="658">
        <v>98601</v>
      </c>
      <c r="E1530" s="658">
        <v>1202.6999999998629</v>
      </c>
      <c r="G1530" s="64">
        <v>1202.6999999998629</v>
      </c>
      <c r="H1530" s="658">
        <v>98601</v>
      </c>
      <c r="I1530" s="64">
        <v>1202.7999999998628</v>
      </c>
      <c r="J1530" s="658">
        <v>98770</v>
      </c>
    </row>
    <row r="1531" spans="2:10" ht="14.4" x14ac:dyDescent="0.3">
      <c r="B1531" s="657">
        <v>98601</v>
      </c>
      <c r="C1531" s="657">
        <v>1202.6999999998629</v>
      </c>
      <c r="D1531" s="658">
        <v>98770</v>
      </c>
      <c r="E1531" s="658">
        <v>1202.7999999998628</v>
      </c>
      <c r="G1531" s="64">
        <v>1202.7999999998628</v>
      </c>
      <c r="H1531" s="658">
        <v>98770</v>
      </c>
      <c r="I1531" s="64">
        <v>1202.8999999998628</v>
      </c>
      <c r="J1531" s="658">
        <v>98938</v>
      </c>
    </row>
    <row r="1532" spans="2:10" ht="14.4" x14ac:dyDescent="0.3">
      <c r="B1532" s="657">
        <v>98770</v>
      </c>
      <c r="C1532" s="657">
        <v>1202.7999999998628</v>
      </c>
      <c r="D1532" s="658">
        <v>98938</v>
      </c>
      <c r="E1532" s="658">
        <v>1202.8999999998628</v>
      </c>
      <c r="G1532" s="64">
        <v>1202.8999999998628</v>
      </c>
      <c r="H1532" s="658">
        <v>98938</v>
      </c>
      <c r="I1532" s="64">
        <v>1202.9999999998627</v>
      </c>
      <c r="J1532" s="658">
        <v>99106</v>
      </c>
    </row>
    <row r="1533" spans="2:10" ht="14.4" x14ac:dyDescent="0.3">
      <c r="B1533" s="657">
        <v>98938</v>
      </c>
      <c r="C1533" s="657">
        <v>1202.8999999998628</v>
      </c>
      <c r="D1533" s="658">
        <v>99106</v>
      </c>
      <c r="E1533" s="658">
        <v>1202.9999999998627</v>
      </c>
      <c r="G1533" s="64">
        <v>1202.9999999998627</v>
      </c>
      <c r="H1533" s="658">
        <v>99106</v>
      </c>
      <c r="I1533" s="64">
        <v>1203.0999999998626</v>
      </c>
      <c r="J1533" s="658">
        <v>99276</v>
      </c>
    </row>
    <row r="1534" spans="2:10" ht="14.4" x14ac:dyDescent="0.3">
      <c r="B1534" s="657">
        <v>99106</v>
      </c>
      <c r="C1534" s="657">
        <v>1202.9999999998627</v>
      </c>
      <c r="D1534" s="658">
        <v>99276</v>
      </c>
      <c r="E1534" s="658">
        <v>1203.0999999998626</v>
      </c>
      <c r="G1534" s="64">
        <v>1203.0999999998626</v>
      </c>
      <c r="H1534" s="658">
        <v>99276</v>
      </c>
      <c r="I1534" s="64">
        <v>1203.1999999998625</v>
      </c>
      <c r="J1534" s="658">
        <v>99446</v>
      </c>
    </row>
    <row r="1535" spans="2:10" ht="14.4" x14ac:dyDescent="0.3">
      <c r="B1535" s="657">
        <v>99276</v>
      </c>
      <c r="C1535" s="657">
        <v>1203.0999999998626</v>
      </c>
      <c r="D1535" s="658">
        <v>99446</v>
      </c>
      <c r="E1535" s="658">
        <v>1203.1999999998625</v>
      </c>
      <c r="G1535" s="64">
        <v>1203.1999999998625</v>
      </c>
      <c r="H1535" s="658">
        <v>99446</v>
      </c>
      <c r="I1535" s="64">
        <v>1203.2999999998624</v>
      </c>
      <c r="J1535" s="658">
        <v>99616</v>
      </c>
    </row>
    <row r="1536" spans="2:10" ht="14.4" x14ac:dyDescent="0.3">
      <c r="B1536" s="657">
        <v>99446</v>
      </c>
      <c r="C1536" s="657">
        <v>1203.1999999998625</v>
      </c>
      <c r="D1536" s="658">
        <v>99616</v>
      </c>
      <c r="E1536" s="658">
        <v>1203.2999999998624</v>
      </c>
      <c r="G1536" s="64">
        <v>1203.2999999998624</v>
      </c>
      <c r="H1536" s="658">
        <v>99616</v>
      </c>
      <c r="I1536" s="64">
        <v>1203.3999999998623</v>
      </c>
      <c r="J1536" s="658">
        <v>99786</v>
      </c>
    </row>
    <row r="1537" spans="2:10" ht="14.4" x14ac:dyDescent="0.3">
      <c r="B1537" s="657">
        <v>99616</v>
      </c>
      <c r="C1537" s="657">
        <v>1203.2999999998624</v>
      </c>
      <c r="D1537" s="658">
        <v>99786</v>
      </c>
      <c r="E1537" s="658">
        <v>1203.3999999998623</v>
      </c>
      <c r="G1537" s="64">
        <v>1203.3999999998623</v>
      </c>
      <c r="H1537" s="658">
        <v>99786</v>
      </c>
      <c r="I1537" s="64">
        <v>1203.4999999998622</v>
      </c>
      <c r="J1537" s="658">
        <v>99956</v>
      </c>
    </row>
    <row r="1538" spans="2:10" ht="14.4" x14ac:dyDescent="0.3">
      <c r="B1538" s="657">
        <v>99786</v>
      </c>
      <c r="C1538" s="657">
        <v>1203.3999999998623</v>
      </c>
      <c r="D1538" s="658">
        <v>99956</v>
      </c>
      <c r="E1538" s="658">
        <v>1203.4999999998622</v>
      </c>
      <c r="G1538" s="64">
        <v>1203.4999999998622</v>
      </c>
      <c r="H1538" s="658">
        <v>99956</v>
      </c>
      <c r="I1538" s="64">
        <v>1203.5999999998621</v>
      </c>
      <c r="J1538" s="658">
        <v>100126</v>
      </c>
    </row>
    <row r="1539" spans="2:10" ht="14.4" x14ac:dyDescent="0.3">
      <c r="B1539" s="657">
        <v>99956</v>
      </c>
      <c r="C1539" s="657">
        <v>1203.4999999998622</v>
      </c>
      <c r="D1539" s="658">
        <v>100126</v>
      </c>
      <c r="E1539" s="658">
        <v>1203.5999999998621</v>
      </c>
      <c r="G1539" s="64">
        <v>1203.5999999998621</v>
      </c>
      <c r="H1539" s="658">
        <v>100126</v>
      </c>
      <c r="I1539" s="64">
        <v>1203.699999999862</v>
      </c>
      <c r="J1539" s="658">
        <v>100296</v>
      </c>
    </row>
    <row r="1540" spans="2:10" ht="14.4" x14ac:dyDescent="0.3">
      <c r="B1540" s="657">
        <v>100126</v>
      </c>
      <c r="C1540" s="657">
        <v>1203.5999999998621</v>
      </c>
      <c r="D1540" s="658">
        <v>100296</v>
      </c>
      <c r="E1540" s="658">
        <v>1203.699999999862</v>
      </c>
      <c r="G1540" s="64">
        <v>1203.699999999862</v>
      </c>
      <c r="H1540" s="658">
        <v>100296</v>
      </c>
      <c r="I1540" s="64">
        <v>1203.7999999998619</v>
      </c>
      <c r="J1540" s="658">
        <v>100466</v>
      </c>
    </row>
    <row r="1541" spans="2:10" ht="14.4" x14ac:dyDescent="0.3">
      <c r="B1541" s="657">
        <v>100296</v>
      </c>
      <c r="C1541" s="657">
        <v>1203.699999999862</v>
      </c>
      <c r="D1541" s="658">
        <v>100466</v>
      </c>
      <c r="E1541" s="658">
        <v>1203.7999999998619</v>
      </c>
      <c r="G1541" s="64">
        <v>1203.7999999998619</v>
      </c>
      <c r="H1541" s="658">
        <v>100466</v>
      </c>
      <c r="I1541" s="64">
        <v>1203.8999999998618</v>
      </c>
      <c r="J1541" s="658">
        <v>100636</v>
      </c>
    </row>
    <row r="1542" spans="2:10" ht="14.4" x14ac:dyDescent="0.3">
      <c r="B1542" s="657">
        <v>100466</v>
      </c>
      <c r="C1542" s="657">
        <v>1203.7999999998619</v>
      </c>
      <c r="D1542" s="658">
        <v>100636</v>
      </c>
      <c r="E1542" s="658">
        <v>1203.8999999998618</v>
      </c>
      <c r="G1542" s="64">
        <v>1203.8999999998618</v>
      </c>
      <c r="H1542" s="658">
        <v>100636</v>
      </c>
      <c r="I1542" s="64">
        <v>1203.9999999998618</v>
      </c>
      <c r="J1542" s="658">
        <v>100806</v>
      </c>
    </row>
    <row r="1543" spans="2:10" ht="14.4" x14ac:dyDescent="0.3">
      <c r="B1543" s="657">
        <v>100636</v>
      </c>
      <c r="C1543" s="657">
        <v>1203.8999999998618</v>
      </c>
      <c r="D1543" s="658">
        <v>100806</v>
      </c>
      <c r="E1543" s="658">
        <v>1203.9999999998618</v>
      </c>
      <c r="G1543" s="64">
        <v>1203.9999999998618</v>
      </c>
      <c r="H1543" s="658">
        <v>100806</v>
      </c>
      <c r="I1543" s="64">
        <v>1204.0999999998617</v>
      </c>
      <c r="J1543" s="658">
        <v>100978</v>
      </c>
    </row>
    <row r="1544" spans="2:10" ht="14.4" x14ac:dyDescent="0.3">
      <c r="B1544" s="657">
        <v>100806</v>
      </c>
      <c r="C1544" s="657">
        <v>1203.9999999998618</v>
      </c>
      <c r="D1544" s="658">
        <v>100978</v>
      </c>
      <c r="E1544" s="658">
        <v>1204.0999999998617</v>
      </c>
      <c r="G1544" s="64">
        <v>1204.0999999998617</v>
      </c>
      <c r="H1544" s="658">
        <v>100978</v>
      </c>
      <c r="I1544" s="64">
        <v>1204.1999999998616</v>
      </c>
      <c r="J1544" s="658">
        <v>101150</v>
      </c>
    </row>
    <row r="1545" spans="2:10" ht="14.4" x14ac:dyDescent="0.3">
      <c r="B1545" s="657">
        <v>100978</v>
      </c>
      <c r="C1545" s="657">
        <v>1204.0999999998617</v>
      </c>
      <c r="D1545" s="658">
        <v>101150</v>
      </c>
      <c r="E1545" s="658">
        <v>1204.1999999998616</v>
      </c>
      <c r="G1545" s="64">
        <v>1204.1999999998616</v>
      </c>
      <c r="H1545" s="658">
        <v>101150</v>
      </c>
      <c r="I1545" s="64">
        <v>1204.2999999998615</v>
      </c>
      <c r="J1545" s="658">
        <v>101322</v>
      </c>
    </row>
    <row r="1546" spans="2:10" ht="14.4" x14ac:dyDescent="0.3">
      <c r="B1546" s="657">
        <v>101150</v>
      </c>
      <c r="C1546" s="657">
        <v>1204.1999999998616</v>
      </c>
      <c r="D1546" s="658">
        <v>101322</v>
      </c>
      <c r="E1546" s="658">
        <v>1204.2999999998615</v>
      </c>
      <c r="G1546" s="64">
        <v>1204.2999999998615</v>
      </c>
      <c r="H1546" s="658">
        <v>101322</v>
      </c>
      <c r="I1546" s="64">
        <v>1204.3999999998614</v>
      </c>
      <c r="J1546" s="658">
        <v>101494</v>
      </c>
    </row>
    <row r="1547" spans="2:10" ht="14.4" x14ac:dyDescent="0.3">
      <c r="B1547" s="657">
        <v>101322</v>
      </c>
      <c r="C1547" s="657">
        <v>1204.2999999998615</v>
      </c>
      <c r="D1547" s="658">
        <v>101494</v>
      </c>
      <c r="E1547" s="658">
        <v>1204.3999999998614</v>
      </c>
      <c r="G1547" s="64">
        <v>1204.3999999998614</v>
      </c>
      <c r="H1547" s="658">
        <v>101494</v>
      </c>
      <c r="I1547" s="64">
        <v>1204.4999999998613</v>
      </c>
      <c r="J1547" s="658">
        <v>101667</v>
      </c>
    </row>
    <row r="1548" spans="2:10" ht="14.4" x14ac:dyDescent="0.3">
      <c r="B1548" s="657">
        <v>101494</v>
      </c>
      <c r="C1548" s="657">
        <v>1204.3999999998614</v>
      </c>
      <c r="D1548" s="658">
        <v>101667</v>
      </c>
      <c r="E1548" s="658">
        <v>1204.4999999998613</v>
      </c>
      <c r="G1548" s="64">
        <v>1204.4999999998613</v>
      </c>
      <c r="H1548" s="658">
        <v>101667</v>
      </c>
      <c r="I1548" s="64">
        <v>1204.5999999998612</v>
      </c>
      <c r="J1548" s="658">
        <v>101839</v>
      </c>
    </row>
    <row r="1549" spans="2:10" ht="14.4" x14ac:dyDescent="0.3">
      <c r="B1549" s="657">
        <v>101667</v>
      </c>
      <c r="C1549" s="657">
        <v>1204.4999999998613</v>
      </c>
      <c r="D1549" s="658">
        <v>101839</v>
      </c>
      <c r="E1549" s="658">
        <v>1204.5999999998612</v>
      </c>
      <c r="G1549" s="64">
        <v>1204.5999999998612</v>
      </c>
      <c r="H1549" s="658">
        <v>101839</v>
      </c>
      <c r="I1549" s="64">
        <v>1204.6999999998611</v>
      </c>
      <c r="J1549" s="658">
        <v>102011</v>
      </c>
    </row>
    <row r="1550" spans="2:10" ht="14.4" x14ac:dyDescent="0.3">
      <c r="B1550" s="657">
        <v>101839</v>
      </c>
      <c r="C1550" s="657">
        <v>1204.5999999998612</v>
      </c>
      <c r="D1550" s="658">
        <v>102011</v>
      </c>
      <c r="E1550" s="658">
        <v>1204.6999999998611</v>
      </c>
      <c r="G1550" s="64">
        <v>1204.6999999998611</v>
      </c>
      <c r="H1550" s="658">
        <v>102011</v>
      </c>
      <c r="I1550" s="64">
        <v>1204.799999999861</v>
      </c>
      <c r="J1550" s="658">
        <v>102183</v>
      </c>
    </row>
    <row r="1551" spans="2:10" ht="14.4" x14ac:dyDescent="0.3">
      <c r="B1551" s="657">
        <v>102011</v>
      </c>
      <c r="C1551" s="657">
        <v>1204.6999999998611</v>
      </c>
      <c r="D1551" s="658">
        <v>102183</v>
      </c>
      <c r="E1551" s="658">
        <v>1204.799999999861</v>
      </c>
      <c r="G1551" s="64">
        <v>1204.799999999861</v>
      </c>
      <c r="H1551" s="658">
        <v>102183</v>
      </c>
      <c r="I1551" s="64">
        <v>1204.8999999998609</v>
      </c>
      <c r="J1551" s="658">
        <v>102355</v>
      </c>
    </row>
    <row r="1552" spans="2:10" ht="14.4" x14ac:dyDescent="0.3">
      <c r="B1552" s="657">
        <v>102183</v>
      </c>
      <c r="C1552" s="657">
        <v>1204.799999999861</v>
      </c>
      <c r="D1552" s="658">
        <v>102355</v>
      </c>
      <c r="E1552" s="658">
        <v>1204.8999999998609</v>
      </c>
      <c r="G1552" s="64">
        <v>1204.8999999998609</v>
      </c>
      <c r="H1552" s="658">
        <v>102355</v>
      </c>
      <c r="I1552" s="64">
        <v>1204.9999999998608</v>
      </c>
      <c r="J1552" s="658">
        <v>102527</v>
      </c>
    </row>
    <row r="1553" spans="2:10" ht="14.4" x14ac:dyDescent="0.3">
      <c r="B1553" s="657">
        <v>102355</v>
      </c>
      <c r="C1553" s="657">
        <v>1204.8999999998609</v>
      </c>
      <c r="D1553" s="658">
        <v>102527</v>
      </c>
      <c r="E1553" s="658">
        <v>1204.9999999998608</v>
      </c>
      <c r="G1553" s="64">
        <v>1204.9999999998608</v>
      </c>
      <c r="H1553" s="658">
        <v>102527</v>
      </c>
      <c r="I1553" s="64">
        <v>1205.0999999998608</v>
      </c>
      <c r="J1553" s="658">
        <v>102701</v>
      </c>
    </row>
    <row r="1554" spans="2:10" ht="14.4" x14ac:dyDescent="0.3">
      <c r="B1554" s="657">
        <v>102527</v>
      </c>
      <c r="C1554" s="657">
        <v>1204.9999999998608</v>
      </c>
      <c r="D1554" s="658">
        <v>102701</v>
      </c>
      <c r="E1554" s="658">
        <v>1205.0999999998608</v>
      </c>
      <c r="G1554" s="64">
        <v>1205.0999999998608</v>
      </c>
      <c r="H1554" s="658">
        <v>102701</v>
      </c>
      <c r="I1554" s="64">
        <v>1205.1999999998607</v>
      </c>
      <c r="J1554" s="658">
        <v>102875</v>
      </c>
    </row>
    <row r="1555" spans="2:10" ht="14.4" x14ac:dyDescent="0.3">
      <c r="B1555" s="657">
        <v>102701</v>
      </c>
      <c r="C1555" s="657">
        <v>1205.0999999998608</v>
      </c>
      <c r="D1555" s="658">
        <v>102875</v>
      </c>
      <c r="E1555" s="658">
        <v>1205.1999999998607</v>
      </c>
      <c r="G1555" s="64">
        <v>1205.1999999998607</v>
      </c>
      <c r="H1555" s="658">
        <v>102875</v>
      </c>
      <c r="I1555" s="64">
        <v>1205.2999999998606</v>
      </c>
      <c r="J1555" s="658">
        <v>103049</v>
      </c>
    </row>
    <row r="1556" spans="2:10" ht="14.4" x14ac:dyDescent="0.3">
      <c r="B1556" s="657">
        <v>102875</v>
      </c>
      <c r="C1556" s="657">
        <v>1205.1999999998607</v>
      </c>
      <c r="D1556" s="658">
        <v>103049</v>
      </c>
      <c r="E1556" s="658">
        <v>1205.2999999998606</v>
      </c>
      <c r="G1556" s="64">
        <v>1205.2999999998606</v>
      </c>
      <c r="H1556" s="658">
        <v>103049</v>
      </c>
      <c r="I1556" s="64">
        <v>1205.3999999998605</v>
      </c>
      <c r="J1556" s="658">
        <v>103223</v>
      </c>
    </row>
    <row r="1557" spans="2:10" ht="14.4" x14ac:dyDescent="0.3">
      <c r="B1557" s="657">
        <v>103049</v>
      </c>
      <c r="C1557" s="657">
        <v>1205.2999999998606</v>
      </c>
      <c r="D1557" s="658">
        <v>103223</v>
      </c>
      <c r="E1557" s="658">
        <v>1205.3999999998605</v>
      </c>
      <c r="G1557" s="64">
        <v>1205.3999999998605</v>
      </c>
      <c r="H1557" s="658">
        <v>103223</v>
      </c>
      <c r="I1557" s="64">
        <v>1205.4999999998604</v>
      </c>
      <c r="J1557" s="658">
        <v>103397</v>
      </c>
    </row>
    <row r="1558" spans="2:10" ht="14.4" x14ac:dyDescent="0.3">
      <c r="B1558" s="657">
        <v>103223</v>
      </c>
      <c r="C1558" s="657">
        <v>1205.3999999998605</v>
      </c>
      <c r="D1558" s="658">
        <v>103397</v>
      </c>
      <c r="E1558" s="658">
        <v>1205.4999999998604</v>
      </c>
      <c r="G1558" s="64">
        <v>1205.4999999998604</v>
      </c>
      <c r="H1558" s="658">
        <v>103397</v>
      </c>
      <c r="I1558" s="64">
        <v>1205.5999999998603</v>
      </c>
      <c r="J1558" s="658">
        <v>103570</v>
      </c>
    </row>
    <row r="1559" spans="2:10" ht="14.4" x14ac:dyDescent="0.3">
      <c r="B1559" s="657">
        <v>103397</v>
      </c>
      <c r="C1559" s="657">
        <v>1205.4999999998604</v>
      </c>
      <c r="D1559" s="658">
        <v>103570</v>
      </c>
      <c r="E1559" s="658">
        <v>1205.5999999998603</v>
      </c>
      <c r="G1559" s="64">
        <v>1205.5999999998603</v>
      </c>
      <c r="H1559" s="658">
        <v>103570</v>
      </c>
      <c r="I1559" s="64">
        <v>1205.6999999998602</v>
      </c>
      <c r="J1559" s="658">
        <v>103744</v>
      </c>
    </row>
    <row r="1560" spans="2:10" ht="14.4" x14ac:dyDescent="0.3">
      <c r="B1560" s="657">
        <v>103570</v>
      </c>
      <c r="C1560" s="657">
        <v>1205.5999999998603</v>
      </c>
      <c r="D1560" s="658">
        <v>103744</v>
      </c>
      <c r="E1560" s="658">
        <v>1205.6999999998602</v>
      </c>
      <c r="G1560" s="64">
        <v>1205.6999999998602</v>
      </c>
      <c r="H1560" s="658">
        <v>103744</v>
      </c>
      <c r="I1560" s="64">
        <v>1205.7999999998601</v>
      </c>
      <c r="J1560" s="658">
        <v>103918</v>
      </c>
    </row>
    <row r="1561" spans="2:10" ht="14.4" x14ac:dyDescent="0.3">
      <c r="B1561" s="657">
        <v>103744</v>
      </c>
      <c r="C1561" s="657">
        <v>1205.6999999998602</v>
      </c>
      <c r="D1561" s="658">
        <v>103918</v>
      </c>
      <c r="E1561" s="658">
        <v>1205.7999999998601</v>
      </c>
      <c r="G1561" s="64">
        <v>1205.7999999998601</v>
      </c>
      <c r="H1561" s="658">
        <v>103918</v>
      </c>
      <c r="I1561" s="64">
        <v>1205.89999999986</v>
      </c>
      <c r="J1561" s="658">
        <v>104092</v>
      </c>
    </row>
    <row r="1562" spans="2:10" ht="14.4" x14ac:dyDescent="0.3">
      <c r="B1562" s="657">
        <v>103918</v>
      </c>
      <c r="C1562" s="657">
        <v>1205.7999999998601</v>
      </c>
      <c r="D1562" s="658">
        <v>104092</v>
      </c>
      <c r="E1562" s="658">
        <v>1205.89999999986</v>
      </c>
      <c r="G1562" s="64">
        <v>1205.89999999986</v>
      </c>
      <c r="H1562" s="658">
        <v>104092</v>
      </c>
      <c r="I1562" s="64">
        <v>1205.9999999998599</v>
      </c>
      <c r="J1562" s="658">
        <v>104266</v>
      </c>
    </row>
    <row r="1563" spans="2:10" ht="14.4" x14ac:dyDescent="0.3">
      <c r="B1563" s="657">
        <v>104092</v>
      </c>
      <c r="C1563" s="657">
        <v>1205.89999999986</v>
      </c>
      <c r="D1563" s="658">
        <v>104266</v>
      </c>
      <c r="E1563" s="658">
        <v>1205.9999999998599</v>
      </c>
      <c r="G1563" s="64">
        <v>1205.9999999998599</v>
      </c>
      <c r="H1563" s="658">
        <v>104266</v>
      </c>
      <c r="I1563" s="64">
        <v>1206.0999999998598</v>
      </c>
      <c r="J1563" s="658">
        <v>104442</v>
      </c>
    </row>
    <row r="1564" spans="2:10" ht="14.4" x14ac:dyDescent="0.3">
      <c r="B1564" s="657">
        <v>104266</v>
      </c>
      <c r="C1564" s="657">
        <v>1205.9999999998599</v>
      </c>
      <c r="D1564" s="658">
        <v>104442</v>
      </c>
      <c r="E1564" s="658">
        <v>1206.0999999998598</v>
      </c>
      <c r="G1564" s="64">
        <v>1206.0999999998598</v>
      </c>
      <c r="H1564" s="658">
        <v>104442</v>
      </c>
      <c r="I1564" s="64">
        <v>1206.1999999998598</v>
      </c>
      <c r="J1564" s="658">
        <v>104618</v>
      </c>
    </row>
    <row r="1565" spans="2:10" ht="14.4" x14ac:dyDescent="0.3">
      <c r="B1565" s="657">
        <v>104442</v>
      </c>
      <c r="C1565" s="657">
        <v>1206.0999999998598</v>
      </c>
      <c r="D1565" s="658">
        <v>104618</v>
      </c>
      <c r="E1565" s="658">
        <v>1206.1999999998598</v>
      </c>
      <c r="G1565" s="64">
        <v>1206.1999999998598</v>
      </c>
      <c r="H1565" s="658">
        <v>104618</v>
      </c>
      <c r="I1565" s="64">
        <v>1206.2999999998597</v>
      </c>
      <c r="J1565" s="658">
        <v>104794</v>
      </c>
    </row>
    <row r="1566" spans="2:10" ht="14.4" x14ac:dyDescent="0.3">
      <c r="B1566" s="657">
        <v>104618</v>
      </c>
      <c r="C1566" s="657">
        <v>1206.1999999998598</v>
      </c>
      <c r="D1566" s="658">
        <v>104794</v>
      </c>
      <c r="E1566" s="658">
        <v>1206.2999999998597</v>
      </c>
      <c r="G1566" s="64">
        <v>1206.2999999998597</v>
      </c>
      <c r="H1566" s="658">
        <v>104794</v>
      </c>
      <c r="I1566" s="64">
        <v>1206.3999999998596</v>
      </c>
      <c r="J1566" s="658">
        <v>104970</v>
      </c>
    </row>
    <row r="1567" spans="2:10" ht="14.4" x14ac:dyDescent="0.3">
      <c r="B1567" s="657">
        <v>104794</v>
      </c>
      <c r="C1567" s="657">
        <v>1206.2999999998597</v>
      </c>
      <c r="D1567" s="658">
        <v>104970</v>
      </c>
      <c r="E1567" s="658">
        <v>1206.3999999998596</v>
      </c>
      <c r="G1567" s="64">
        <v>1206.3999999998596</v>
      </c>
      <c r="H1567" s="658">
        <v>104970</v>
      </c>
      <c r="I1567" s="64">
        <v>1206.4999999998595</v>
      </c>
      <c r="J1567" s="658">
        <v>105146</v>
      </c>
    </row>
    <row r="1568" spans="2:10" ht="14.4" x14ac:dyDescent="0.3">
      <c r="B1568" s="657">
        <v>104970</v>
      </c>
      <c r="C1568" s="657">
        <v>1206.3999999998596</v>
      </c>
      <c r="D1568" s="658">
        <v>105146</v>
      </c>
      <c r="E1568" s="658">
        <v>1206.4999999998595</v>
      </c>
      <c r="G1568" s="64">
        <v>1206.4999999998595</v>
      </c>
      <c r="H1568" s="658">
        <v>105146</v>
      </c>
      <c r="I1568" s="64">
        <v>1206.5999999998594</v>
      </c>
      <c r="J1568" s="658">
        <v>105322</v>
      </c>
    </row>
    <row r="1569" spans="2:10" ht="14.4" x14ac:dyDescent="0.3">
      <c r="B1569" s="657">
        <v>105146</v>
      </c>
      <c r="C1569" s="657">
        <v>1206.4999999998595</v>
      </c>
      <c r="D1569" s="658">
        <v>105322</v>
      </c>
      <c r="E1569" s="658">
        <v>1206.5999999998594</v>
      </c>
      <c r="G1569" s="64">
        <v>1206.5999999998594</v>
      </c>
      <c r="H1569" s="658">
        <v>105322</v>
      </c>
      <c r="I1569" s="64">
        <v>1206.6999999998593</v>
      </c>
      <c r="J1569" s="658">
        <v>105498</v>
      </c>
    </row>
    <row r="1570" spans="2:10" ht="14.4" x14ac:dyDescent="0.3">
      <c r="B1570" s="657">
        <v>105322</v>
      </c>
      <c r="C1570" s="657">
        <v>1206.5999999998594</v>
      </c>
      <c r="D1570" s="658">
        <v>105498</v>
      </c>
      <c r="E1570" s="658">
        <v>1206.6999999998593</v>
      </c>
      <c r="G1570" s="64">
        <v>1206.6999999998593</v>
      </c>
      <c r="H1570" s="658">
        <v>105498</v>
      </c>
      <c r="I1570" s="64">
        <v>1206.7999999998592</v>
      </c>
      <c r="J1570" s="658">
        <v>105674</v>
      </c>
    </row>
    <row r="1571" spans="2:10" ht="14.4" x14ac:dyDescent="0.3">
      <c r="B1571" s="657">
        <v>105498</v>
      </c>
      <c r="C1571" s="657">
        <v>1206.6999999998593</v>
      </c>
      <c r="D1571" s="658">
        <v>105674</v>
      </c>
      <c r="E1571" s="658">
        <v>1206.7999999998592</v>
      </c>
      <c r="G1571" s="64">
        <v>1206.7999999998592</v>
      </c>
      <c r="H1571" s="658">
        <v>105674</v>
      </c>
      <c r="I1571" s="64">
        <v>1206.8999999998591</v>
      </c>
      <c r="J1571" s="658">
        <v>105850</v>
      </c>
    </row>
    <row r="1572" spans="2:10" ht="14.4" x14ac:dyDescent="0.3">
      <c r="B1572" s="657">
        <v>105674</v>
      </c>
      <c r="C1572" s="657">
        <v>1206.7999999998592</v>
      </c>
      <c r="D1572" s="658">
        <v>105850</v>
      </c>
      <c r="E1572" s="658">
        <v>1206.8999999998591</v>
      </c>
      <c r="G1572" s="64">
        <v>1206.8999999998591</v>
      </c>
      <c r="H1572" s="658">
        <v>105850</v>
      </c>
      <c r="I1572" s="64">
        <v>1206.999999999859</v>
      </c>
      <c r="J1572" s="658">
        <v>106026</v>
      </c>
    </row>
    <row r="1573" spans="2:10" ht="14.4" x14ac:dyDescent="0.3">
      <c r="B1573" s="657">
        <v>105850</v>
      </c>
      <c r="C1573" s="657">
        <v>1206.8999999998591</v>
      </c>
      <c r="D1573" s="658">
        <v>106026</v>
      </c>
      <c r="E1573" s="658">
        <v>1206.999999999859</v>
      </c>
      <c r="G1573" s="64">
        <v>1206.999999999859</v>
      </c>
      <c r="H1573" s="658">
        <v>106026</v>
      </c>
      <c r="I1573" s="64">
        <v>1207.0999999998589</v>
      </c>
      <c r="J1573" s="658">
        <v>106204</v>
      </c>
    </row>
    <row r="1574" spans="2:10" ht="14.4" x14ac:dyDescent="0.3">
      <c r="B1574" s="657">
        <v>106026</v>
      </c>
      <c r="C1574" s="657">
        <v>1206.999999999859</v>
      </c>
      <c r="D1574" s="658">
        <v>106204</v>
      </c>
      <c r="E1574" s="658">
        <v>1207.0999999998589</v>
      </c>
      <c r="G1574" s="64">
        <v>1207.0999999998589</v>
      </c>
      <c r="H1574" s="658">
        <v>106204</v>
      </c>
      <c r="I1574" s="64">
        <v>1207.1999999998588</v>
      </c>
      <c r="J1574" s="658">
        <v>106382</v>
      </c>
    </row>
    <row r="1575" spans="2:10" ht="14.4" x14ac:dyDescent="0.3">
      <c r="B1575" s="657">
        <v>106204</v>
      </c>
      <c r="C1575" s="657">
        <v>1207.0999999998589</v>
      </c>
      <c r="D1575" s="658">
        <v>106382</v>
      </c>
      <c r="E1575" s="658">
        <v>1207.1999999998588</v>
      </c>
      <c r="G1575" s="64">
        <v>1207.1999999998588</v>
      </c>
      <c r="H1575" s="658">
        <v>106382</v>
      </c>
      <c r="I1575" s="64">
        <v>1207.2999999998588</v>
      </c>
      <c r="J1575" s="658">
        <v>106560</v>
      </c>
    </row>
    <row r="1576" spans="2:10" ht="14.4" x14ac:dyDescent="0.3">
      <c r="B1576" s="657">
        <v>106382</v>
      </c>
      <c r="C1576" s="657">
        <v>1207.1999999998588</v>
      </c>
      <c r="D1576" s="658">
        <v>106560</v>
      </c>
      <c r="E1576" s="658">
        <v>1207.2999999998588</v>
      </c>
      <c r="G1576" s="64">
        <v>1207.2999999998588</v>
      </c>
      <c r="H1576" s="658">
        <v>106560</v>
      </c>
      <c r="I1576" s="64">
        <v>1207.3999999998587</v>
      </c>
      <c r="J1576" s="658">
        <v>106738</v>
      </c>
    </row>
    <row r="1577" spans="2:10" ht="14.4" x14ac:dyDescent="0.3">
      <c r="B1577" s="657">
        <v>106560</v>
      </c>
      <c r="C1577" s="657">
        <v>1207.2999999998588</v>
      </c>
      <c r="D1577" s="658">
        <v>106738</v>
      </c>
      <c r="E1577" s="658">
        <v>1207.3999999998587</v>
      </c>
      <c r="G1577" s="64">
        <v>1207.3999999998587</v>
      </c>
      <c r="H1577" s="658">
        <v>106738</v>
      </c>
      <c r="I1577" s="64">
        <v>1207.4999999998586</v>
      </c>
      <c r="J1577" s="658">
        <v>106916</v>
      </c>
    </row>
    <row r="1578" spans="2:10" ht="14.4" x14ac:dyDescent="0.3">
      <c r="B1578" s="657">
        <v>106738</v>
      </c>
      <c r="C1578" s="657">
        <v>1207.3999999998587</v>
      </c>
      <c r="D1578" s="658">
        <v>106916</v>
      </c>
      <c r="E1578" s="658">
        <v>1207.4999999998586</v>
      </c>
      <c r="G1578" s="64">
        <v>1207.4999999998586</v>
      </c>
      <c r="H1578" s="658">
        <v>106916</v>
      </c>
      <c r="I1578" s="64">
        <v>1207.5999999998585</v>
      </c>
      <c r="J1578" s="658">
        <v>107094</v>
      </c>
    </row>
    <row r="1579" spans="2:10" ht="14.4" x14ac:dyDescent="0.3">
      <c r="B1579" s="657">
        <v>106916</v>
      </c>
      <c r="C1579" s="657">
        <v>1207.4999999998586</v>
      </c>
      <c r="D1579" s="658">
        <v>107094</v>
      </c>
      <c r="E1579" s="658">
        <v>1207.5999999998585</v>
      </c>
      <c r="G1579" s="64">
        <v>1207.5999999998585</v>
      </c>
      <c r="H1579" s="658">
        <v>107094</v>
      </c>
      <c r="I1579" s="64">
        <v>1207.6999999998584</v>
      </c>
      <c r="J1579" s="658">
        <v>107272</v>
      </c>
    </row>
    <row r="1580" spans="2:10" ht="14.4" x14ac:dyDescent="0.3">
      <c r="B1580" s="657">
        <v>107094</v>
      </c>
      <c r="C1580" s="657">
        <v>1207.5999999998585</v>
      </c>
      <c r="D1580" s="658">
        <v>107272</v>
      </c>
      <c r="E1580" s="658">
        <v>1207.6999999998584</v>
      </c>
      <c r="G1580" s="64">
        <v>1207.6999999998584</v>
      </c>
      <c r="H1580" s="658">
        <v>107272</v>
      </c>
      <c r="I1580" s="64">
        <v>1207.7999999998583</v>
      </c>
      <c r="J1580" s="658">
        <v>107450</v>
      </c>
    </row>
    <row r="1581" spans="2:10" ht="14.4" x14ac:dyDescent="0.3">
      <c r="B1581" s="657">
        <v>107272</v>
      </c>
      <c r="C1581" s="657">
        <v>1207.6999999998584</v>
      </c>
      <c r="D1581" s="658">
        <v>107450</v>
      </c>
      <c r="E1581" s="658">
        <v>1207.7999999998583</v>
      </c>
      <c r="G1581" s="64">
        <v>1207.7999999998583</v>
      </c>
      <c r="H1581" s="658">
        <v>107450</v>
      </c>
      <c r="I1581" s="64">
        <v>1207.8999999998582</v>
      </c>
      <c r="J1581" s="658">
        <v>107628</v>
      </c>
    </row>
    <row r="1582" spans="2:10" ht="14.4" x14ac:dyDescent="0.3">
      <c r="B1582" s="657">
        <v>107450</v>
      </c>
      <c r="C1582" s="657">
        <v>1207.7999999998583</v>
      </c>
      <c r="D1582" s="658">
        <v>107628</v>
      </c>
      <c r="E1582" s="658">
        <v>1207.8999999998582</v>
      </c>
      <c r="G1582" s="64">
        <v>1207.8999999998582</v>
      </c>
      <c r="H1582" s="658">
        <v>107628</v>
      </c>
      <c r="I1582" s="64">
        <v>1207.9999999998581</v>
      </c>
      <c r="J1582" s="658">
        <v>107806</v>
      </c>
    </row>
    <row r="1583" spans="2:10" ht="14.4" x14ac:dyDescent="0.3">
      <c r="B1583" s="657">
        <v>107628</v>
      </c>
      <c r="C1583" s="657">
        <v>1207.8999999998582</v>
      </c>
      <c r="D1583" s="658">
        <v>107806</v>
      </c>
      <c r="E1583" s="658">
        <v>1207.9999999998581</v>
      </c>
      <c r="G1583" s="64">
        <v>1207.9999999998581</v>
      </c>
      <c r="H1583" s="658">
        <v>107806</v>
      </c>
      <c r="I1583" s="64">
        <v>1208.099999999858</v>
      </c>
      <c r="J1583" s="658">
        <v>107986</v>
      </c>
    </row>
    <row r="1584" spans="2:10" ht="14.4" x14ac:dyDescent="0.3">
      <c r="B1584" s="657">
        <v>107806</v>
      </c>
      <c r="C1584" s="657">
        <v>1207.9999999998581</v>
      </c>
      <c r="D1584" s="658">
        <v>107986</v>
      </c>
      <c r="E1584" s="658">
        <v>1208.099999999858</v>
      </c>
      <c r="G1584" s="64">
        <v>1208.099999999858</v>
      </c>
      <c r="H1584" s="658">
        <v>107986</v>
      </c>
      <c r="I1584" s="64">
        <v>1208.1999999998579</v>
      </c>
      <c r="J1584" s="658">
        <v>108166</v>
      </c>
    </row>
    <row r="1585" spans="2:10" ht="14.4" x14ac:dyDescent="0.3">
      <c r="B1585" s="657">
        <v>107986</v>
      </c>
      <c r="C1585" s="657">
        <v>1208.099999999858</v>
      </c>
      <c r="D1585" s="658">
        <v>108166</v>
      </c>
      <c r="E1585" s="658">
        <v>1208.1999999998579</v>
      </c>
      <c r="G1585" s="64">
        <v>1208.1999999998579</v>
      </c>
      <c r="H1585" s="658">
        <v>108166</v>
      </c>
      <c r="I1585" s="64">
        <v>1208.2999999998578</v>
      </c>
      <c r="J1585" s="658">
        <v>108346</v>
      </c>
    </row>
    <row r="1586" spans="2:10" ht="14.4" x14ac:dyDescent="0.3">
      <c r="B1586" s="657">
        <v>108166</v>
      </c>
      <c r="C1586" s="657">
        <v>1208.1999999998579</v>
      </c>
      <c r="D1586" s="658">
        <v>108346</v>
      </c>
      <c r="E1586" s="658">
        <v>1208.2999999998578</v>
      </c>
      <c r="G1586" s="64">
        <v>1208.2999999998578</v>
      </c>
      <c r="H1586" s="658">
        <v>108346</v>
      </c>
      <c r="I1586" s="64">
        <v>1208.3999999998578</v>
      </c>
      <c r="J1586" s="658">
        <v>108526</v>
      </c>
    </row>
    <row r="1587" spans="2:10" ht="14.4" x14ac:dyDescent="0.3">
      <c r="B1587" s="657">
        <v>108346</v>
      </c>
      <c r="C1587" s="657">
        <v>1208.2999999998578</v>
      </c>
      <c r="D1587" s="658">
        <v>108526</v>
      </c>
      <c r="E1587" s="658">
        <v>1208.3999999998578</v>
      </c>
      <c r="G1587" s="64">
        <v>1208.3999999998578</v>
      </c>
      <c r="H1587" s="658">
        <v>108526</v>
      </c>
      <c r="I1587" s="64">
        <v>1208.4999999998577</v>
      </c>
      <c r="J1587" s="658">
        <v>108706</v>
      </c>
    </row>
    <row r="1588" spans="2:10" ht="14.4" x14ac:dyDescent="0.3">
      <c r="B1588" s="657">
        <v>108526</v>
      </c>
      <c r="C1588" s="657">
        <v>1208.3999999998578</v>
      </c>
      <c r="D1588" s="658">
        <v>108706</v>
      </c>
      <c r="E1588" s="658">
        <v>1208.4999999998577</v>
      </c>
      <c r="G1588" s="64">
        <v>1208.4999999998577</v>
      </c>
      <c r="H1588" s="658">
        <v>108706</v>
      </c>
      <c r="I1588" s="64">
        <v>1208.5999999998576</v>
      </c>
      <c r="J1588" s="658">
        <v>108886</v>
      </c>
    </row>
    <row r="1589" spans="2:10" ht="14.4" x14ac:dyDescent="0.3">
      <c r="B1589" s="657">
        <v>108706</v>
      </c>
      <c r="C1589" s="657">
        <v>1208.4999999998577</v>
      </c>
      <c r="D1589" s="658">
        <v>108886</v>
      </c>
      <c r="E1589" s="658">
        <v>1208.5999999998576</v>
      </c>
      <c r="G1589" s="64">
        <v>1208.5999999998576</v>
      </c>
      <c r="H1589" s="658">
        <v>108886</v>
      </c>
      <c r="I1589" s="64">
        <v>1208.6999999998575</v>
      </c>
      <c r="J1589" s="658">
        <v>109066</v>
      </c>
    </row>
    <row r="1590" spans="2:10" ht="14.4" x14ac:dyDescent="0.3">
      <c r="B1590" s="657">
        <v>108886</v>
      </c>
      <c r="C1590" s="657">
        <v>1208.5999999998576</v>
      </c>
      <c r="D1590" s="658">
        <v>109066</v>
      </c>
      <c r="E1590" s="658">
        <v>1208.6999999998575</v>
      </c>
      <c r="G1590" s="64">
        <v>1208.6999999998575</v>
      </c>
      <c r="H1590" s="658">
        <v>109066</v>
      </c>
      <c r="I1590" s="64">
        <v>1208.7999999998574</v>
      </c>
      <c r="J1590" s="658">
        <v>109246</v>
      </c>
    </row>
    <row r="1591" spans="2:10" ht="14.4" x14ac:dyDescent="0.3">
      <c r="B1591" s="657">
        <v>109066</v>
      </c>
      <c r="C1591" s="657">
        <v>1208.6999999998575</v>
      </c>
      <c r="D1591" s="658">
        <v>109246</v>
      </c>
      <c r="E1591" s="658">
        <v>1208.7999999998574</v>
      </c>
      <c r="G1591" s="64">
        <v>1208.7999999998574</v>
      </c>
      <c r="H1591" s="658">
        <v>109246</v>
      </c>
      <c r="I1591" s="64">
        <v>1208.8999999998573</v>
      </c>
      <c r="J1591" s="658">
        <v>109426</v>
      </c>
    </row>
    <row r="1592" spans="2:10" ht="14.4" x14ac:dyDescent="0.3">
      <c r="B1592" s="657">
        <v>109246</v>
      </c>
      <c r="C1592" s="657">
        <v>1208.7999999998574</v>
      </c>
      <c r="D1592" s="658">
        <v>109426</v>
      </c>
      <c r="E1592" s="658">
        <v>1208.8999999998573</v>
      </c>
      <c r="G1592" s="64">
        <v>1208.8999999998573</v>
      </c>
      <c r="H1592" s="658">
        <v>109426</v>
      </c>
      <c r="I1592" s="64">
        <v>1208.9999999998572</v>
      </c>
      <c r="J1592" s="658">
        <v>109606</v>
      </c>
    </row>
    <row r="1593" spans="2:10" ht="14.4" x14ac:dyDescent="0.3">
      <c r="B1593" s="657">
        <v>109426</v>
      </c>
      <c r="C1593" s="657">
        <v>1208.8999999998573</v>
      </c>
      <c r="D1593" s="658">
        <v>109606</v>
      </c>
      <c r="E1593" s="658">
        <v>1208.9999999998572</v>
      </c>
      <c r="G1593" s="64">
        <v>1208.9999999998572</v>
      </c>
      <c r="H1593" s="658">
        <v>109606</v>
      </c>
      <c r="I1593" s="64">
        <v>1209.0999999998571</v>
      </c>
      <c r="J1593" s="658">
        <v>109788</v>
      </c>
    </row>
    <row r="1594" spans="2:10" ht="14.4" x14ac:dyDescent="0.3">
      <c r="B1594" s="657">
        <v>109606</v>
      </c>
      <c r="C1594" s="657">
        <v>1208.9999999998572</v>
      </c>
      <c r="D1594" s="658">
        <v>109788</v>
      </c>
      <c r="E1594" s="658">
        <v>1209.0999999998571</v>
      </c>
      <c r="G1594" s="64">
        <v>1209.0999999998571</v>
      </c>
      <c r="H1594" s="658">
        <v>109788</v>
      </c>
      <c r="I1594" s="64">
        <v>1209.199999999857</v>
      </c>
      <c r="J1594" s="658">
        <v>109970</v>
      </c>
    </row>
    <row r="1595" spans="2:10" ht="14.4" x14ac:dyDescent="0.3">
      <c r="B1595" s="657">
        <v>109788</v>
      </c>
      <c r="C1595" s="657">
        <v>1209.0999999998571</v>
      </c>
      <c r="D1595" s="658">
        <v>109970</v>
      </c>
      <c r="E1595" s="658">
        <v>1209.199999999857</v>
      </c>
      <c r="G1595" s="64">
        <v>1209.199999999857</v>
      </c>
      <c r="H1595" s="658">
        <v>109970</v>
      </c>
      <c r="I1595" s="64">
        <v>1209.2999999998569</v>
      </c>
      <c r="J1595" s="658">
        <v>110151</v>
      </c>
    </row>
    <row r="1596" spans="2:10" ht="14.4" x14ac:dyDescent="0.3">
      <c r="B1596" s="657">
        <v>109970</v>
      </c>
      <c r="C1596" s="657">
        <v>1209.199999999857</v>
      </c>
      <c r="D1596" s="658">
        <v>110151</v>
      </c>
      <c r="E1596" s="658">
        <v>1209.2999999998569</v>
      </c>
      <c r="G1596" s="64">
        <v>1209.2999999998569</v>
      </c>
      <c r="H1596" s="658">
        <v>110151</v>
      </c>
      <c r="I1596" s="64">
        <v>1209.3999999998568</v>
      </c>
      <c r="J1596" s="658">
        <v>110333</v>
      </c>
    </row>
    <row r="1597" spans="2:10" ht="14.4" x14ac:dyDescent="0.3">
      <c r="B1597" s="657">
        <v>110151</v>
      </c>
      <c r="C1597" s="657">
        <v>1209.2999999998569</v>
      </c>
      <c r="D1597" s="658">
        <v>110333</v>
      </c>
      <c r="E1597" s="658">
        <v>1209.3999999998568</v>
      </c>
      <c r="G1597" s="64">
        <v>1209.3999999998568</v>
      </c>
      <c r="H1597" s="658">
        <v>110333</v>
      </c>
      <c r="I1597" s="64">
        <v>1209.4999999998568</v>
      </c>
      <c r="J1597" s="658">
        <v>110515</v>
      </c>
    </row>
    <row r="1598" spans="2:10" ht="14.4" x14ac:dyDescent="0.3">
      <c r="B1598" s="657">
        <v>110333</v>
      </c>
      <c r="C1598" s="657">
        <v>1209.3999999998568</v>
      </c>
      <c r="D1598" s="658">
        <v>110515</v>
      </c>
      <c r="E1598" s="658">
        <v>1209.4999999998568</v>
      </c>
      <c r="G1598" s="64">
        <v>1209.4999999998568</v>
      </c>
      <c r="H1598" s="658">
        <v>110515</v>
      </c>
      <c r="I1598" s="64">
        <v>1209.5999999998567</v>
      </c>
      <c r="J1598" s="658">
        <v>110697</v>
      </c>
    </row>
    <row r="1599" spans="2:10" ht="14.4" x14ac:dyDescent="0.3">
      <c r="B1599" s="657">
        <v>110515</v>
      </c>
      <c r="C1599" s="657">
        <v>1209.4999999998568</v>
      </c>
      <c r="D1599" s="658">
        <v>110697</v>
      </c>
      <c r="E1599" s="658">
        <v>1209.5999999998567</v>
      </c>
      <c r="G1599" s="64">
        <v>1209.5999999998567</v>
      </c>
      <c r="H1599" s="658">
        <v>110697</v>
      </c>
      <c r="I1599" s="64">
        <v>1209.6999999998566</v>
      </c>
      <c r="J1599" s="658">
        <v>110879</v>
      </c>
    </row>
    <row r="1600" spans="2:10" ht="14.4" x14ac:dyDescent="0.3">
      <c r="B1600" s="657">
        <v>110697</v>
      </c>
      <c r="C1600" s="657">
        <v>1209.5999999998567</v>
      </c>
      <c r="D1600" s="658">
        <v>110879</v>
      </c>
      <c r="E1600" s="658">
        <v>1209.6999999998566</v>
      </c>
      <c r="G1600" s="64">
        <v>1209.6999999998566</v>
      </c>
      <c r="H1600" s="658">
        <v>110879</v>
      </c>
      <c r="I1600" s="64">
        <v>1209.7999999998565</v>
      </c>
      <c r="J1600" s="658">
        <v>111060</v>
      </c>
    </row>
    <row r="1601" spans="2:10" ht="14.4" x14ac:dyDescent="0.3">
      <c r="B1601" s="657">
        <v>110879</v>
      </c>
      <c r="C1601" s="657">
        <v>1209.6999999998566</v>
      </c>
      <c r="D1601" s="658">
        <v>111060</v>
      </c>
      <c r="E1601" s="658">
        <v>1209.7999999998565</v>
      </c>
      <c r="G1601" s="64">
        <v>1209.7999999998565</v>
      </c>
      <c r="H1601" s="658">
        <v>111060</v>
      </c>
      <c r="I1601" s="64">
        <v>1209.8999999998564</v>
      </c>
      <c r="J1601" s="658">
        <v>111242</v>
      </c>
    </row>
    <row r="1602" spans="2:10" ht="14.4" x14ac:dyDescent="0.3">
      <c r="B1602" s="657">
        <v>111060</v>
      </c>
      <c r="C1602" s="657">
        <v>1209.7999999998565</v>
      </c>
      <c r="D1602" s="658">
        <v>111242</v>
      </c>
      <c r="E1602" s="658">
        <v>1209.8999999998564</v>
      </c>
      <c r="G1602" s="64">
        <v>1209.8999999998564</v>
      </c>
      <c r="H1602" s="658">
        <v>111242</v>
      </c>
      <c r="I1602" s="64">
        <v>1209.9999999998563</v>
      </c>
      <c r="J1602" s="658">
        <v>111424</v>
      </c>
    </row>
    <row r="1603" spans="2:10" ht="14.4" x14ac:dyDescent="0.3">
      <c r="B1603" s="657">
        <v>111242</v>
      </c>
      <c r="C1603" s="657">
        <v>1209.8999999998564</v>
      </c>
      <c r="D1603" s="658">
        <v>111424</v>
      </c>
      <c r="E1603" s="658">
        <v>1209.9999999998563</v>
      </c>
      <c r="G1603" s="64">
        <v>1209.9999999998563</v>
      </c>
      <c r="H1603" s="658">
        <v>111424</v>
      </c>
      <c r="I1603" s="64">
        <v>1210.0999999998562</v>
      </c>
      <c r="J1603" s="658">
        <v>111608</v>
      </c>
    </row>
    <row r="1604" spans="2:10" ht="14.4" x14ac:dyDescent="0.3">
      <c r="B1604" s="657">
        <v>111424</v>
      </c>
      <c r="C1604" s="657">
        <v>1209.9999999998563</v>
      </c>
      <c r="D1604" s="658">
        <v>111608</v>
      </c>
      <c r="E1604" s="658">
        <v>1210.0999999998562</v>
      </c>
      <c r="G1604" s="64">
        <v>1210.0999999998562</v>
      </c>
      <c r="H1604" s="658">
        <v>111608</v>
      </c>
      <c r="I1604" s="64">
        <v>1210.1999999998561</v>
      </c>
      <c r="J1604" s="658">
        <v>111791</v>
      </c>
    </row>
    <row r="1605" spans="2:10" ht="14.4" x14ac:dyDescent="0.3">
      <c r="B1605" s="657">
        <v>111608</v>
      </c>
      <c r="C1605" s="657">
        <v>1210.0999999998562</v>
      </c>
      <c r="D1605" s="658">
        <v>111791</v>
      </c>
      <c r="E1605" s="658">
        <v>1210.1999999998561</v>
      </c>
      <c r="G1605" s="64">
        <v>1210.1999999998561</v>
      </c>
      <c r="H1605" s="658">
        <v>111791</v>
      </c>
      <c r="I1605" s="64">
        <v>1210.299999999856</v>
      </c>
      <c r="J1605" s="658">
        <v>111975</v>
      </c>
    </row>
    <row r="1606" spans="2:10" ht="14.4" x14ac:dyDescent="0.3">
      <c r="B1606" s="657">
        <v>111791</v>
      </c>
      <c r="C1606" s="657">
        <v>1210.1999999998561</v>
      </c>
      <c r="D1606" s="658">
        <v>111975</v>
      </c>
      <c r="E1606" s="658">
        <v>1210.299999999856</v>
      </c>
      <c r="G1606" s="64">
        <v>1210.299999999856</v>
      </c>
      <c r="H1606" s="658">
        <v>111975</v>
      </c>
      <c r="I1606" s="64">
        <v>1210.3999999998559</v>
      </c>
      <c r="J1606" s="658">
        <v>112158</v>
      </c>
    </row>
    <row r="1607" spans="2:10" ht="14.4" x14ac:dyDescent="0.3">
      <c r="B1607" s="657">
        <v>111975</v>
      </c>
      <c r="C1607" s="657">
        <v>1210.299999999856</v>
      </c>
      <c r="D1607" s="658">
        <v>112158</v>
      </c>
      <c r="E1607" s="658">
        <v>1210.3999999998559</v>
      </c>
      <c r="G1607" s="64">
        <v>1210.3999999998559</v>
      </c>
      <c r="H1607" s="658">
        <v>112158</v>
      </c>
      <c r="I1607" s="64">
        <v>1210.4999999998558</v>
      </c>
      <c r="J1607" s="658">
        <v>112342</v>
      </c>
    </row>
    <row r="1608" spans="2:10" ht="14.4" x14ac:dyDescent="0.3">
      <c r="B1608" s="657">
        <v>112158</v>
      </c>
      <c r="C1608" s="657">
        <v>1210.3999999998559</v>
      </c>
      <c r="D1608" s="658">
        <v>112342</v>
      </c>
      <c r="E1608" s="658">
        <v>1210.4999999998558</v>
      </c>
      <c r="G1608" s="64">
        <v>1210.4999999998558</v>
      </c>
      <c r="H1608" s="658">
        <v>112342</v>
      </c>
      <c r="I1608" s="64">
        <v>1210.5999999998558</v>
      </c>
      <c r="J1608" s="658">
        <v>112525</v>
      </c>
    </row>
    <row r="1609" spans="2:10" ht="14.4" x14ac:dyDescent="0.3">
      <c r="B1609" s="657">
        <v>112342</v>
      </c>
      <c r="C1609" s="657">
        <v>1210.4999999998558</v>
      </c>
      <c r="D1609" s="658">
        <v>112525</v>
      </c>
      <c r="E1609" s="658">
        <v>1210.5999999998558</v>
      </c>
      <c r="G1609" s="64">
        <v>1210.5999999998558</v>
      </c>
      <c r="H1609" s="658">
        <v>112525</v>
      </c>
      <c r="I1609" s="64">
        <v>1210.6999999998557</v>
      </c>
      <c r="J1609" s="658">
        <v>112709</v>
      </c>
    </row>
    <row r="1610" spans="2:10" ht="14.4" x14ac:dyDescent="0.3">
      <c r="B1610" s="657">
        <v>112525</v>
      </c>
      <c r="C1610" s="657">
        <v>1210.5999999998558</v>
      </c>
      <c r="D1610" s="658">
        <v>112709</v>
      </c>
      <c r="E1610" s="658">
        <v>1210.6999999998557</v>
      </c>
      <c r="G1610" s="64">
        <v>1210.6999999998557</v>
      </c>
      <c r="H1610" s="658">
        <v>112709</v>
      </c>
      <c r="I1610" s="64">
        <v>1210.7999999998556</v>
      </c>
      <c r="J1610" s="658">
        <v>112892</v>
      </c>
    </row>
    <row r="1611" spans="2:10" ht="14.4" x14ac:dyDescent="0.3">
      <c r="B1611" s="657">
        <v>112709</v>
      </c>
      <c r="C1611" s="657">
        <v>1210.6999999998557</v>
      </c>
      <c r="D1611" s="658">
        <v>112892</v>
      </c>
      <c r="E1611" s="658">
        <v>1210.7999999998556</v>
      </c>
      <c r="G1611" s="64">
        <v>1210.7999999998556</v>
      </c>
      <c r="H1611" s="658">
        <v>112892</v>
      </c>
      <c r="I1611" s="64">
        <v>1210.8999999998555</v>
      </c>
      <c r="J1611" s="658">
        <v>113076</v>
      </c>
    </row>
    <row r="1612" spans="2:10" ht="14.4" x14ac:dyDescent="0.3">
      <c r="B1612" s="657">
        <v>112892</v>
      </c>
      <c r="C1612" s="657">
        <v>1210.7999999998556</v>
      </c>
      <c r="D1612" s="658">
        <v>113076</v>
      </c>
      <c r="E1612" s="658">
        <v>1210.8999999998555</v>
      </c>
      <c r="G1612" s="64">
        <v>1210.8999999998555</v>
      </c>
      <c r="H1612" s="658">
        <v>113076</v>
      </c>
      <c r="I1612" s="64">
        <v>1210.9999999998554</v>
      </c>
      <c r="J1612" s="658">
        <v>113259</v>
      </c>
    </row>
    <row r="1613" spans="2:10" ht="14.4" x14ac:dyDescent="0.3">
      <c r="B1613" s="657">
        <v>113076</v>
      </c>
      <c r="C1613" s="657">
        <v>1210.8999999998555</v>
      </c>
      <c r="D1613" s="658">
        <v>113259</v>
      </c>
      <c r="E1613" s="658">
        <v>1210.9999999998554</v>
      </c>
      <c r="G1613" s="64">
        <v>1210.9999999998554</v>
      </c>
      <c r="H1613" s="658">
        <v>113259</v>
      </c>
      <c r="I1613" s="64">
        <v>1211.0999999998553</v>
      </c>
      <c r="J1613" s="658">
        <v>113444</v>
      </c>
    </row>
    <row r="1614" spans="2:10" ht="14.4" x14ac:dyDescent="0.3">
      <c r="B1614" s="657">
        <v>113259</v>
      </c>
      <c r="C1614" s="657">
        <v>1210.9999999998554</v>
      </c>
      <c r="D1614" s="658">
        <v>113444</v>
      </c>
      <c r="E1614" s="658">
        <v>1211.0999999998553</v>
      </c>
      <c r="G1614" s="64">
        <v>1211.0999999998553</v>
      </c>
      <c r="H1614" s="658">
        <v>113444</v>
      </c>
      <c r="I1614" s="64">
        <v>1211.1999999998552</v>
      </c>
      <c r="J1614" s="658">
        <v>113629</v>
      </c>
    </row>
    <row r="1615" spans="2:10" ht="14.4" x14ac:dyDescent="0.3">
      <c r="B1615" s="657">
        <v>113444</v>
      </c>
      <c r="C1615" s="657">
        <v>1211.0999999998553</v>
      </c>
      <c r="D1615" s="658">
        <v>113629</v>
      </c>
      <c r="E1615" s="658">
        <v>1211.1999999998552</v>
      </c>
      <c r="G1615" s="64">
        <v>1211.1999999998552</v>
      </c>
      <c r="H1615" s="658">
        <v>113629</v>
      </c>
      <c r="I1615" s="64">
        <v>1211.2999999998551</v>
      </c>
      <c r="J1615" s="658">
        <v>113814</v>
      </c>
    </row>
    <row r="1616" spans="2:10" ht="14.4" x14ac:dyDescent="0.3">
      <c r="B1616" s="657">
        <v>113629</v>
      </c>
      <c r="C1616" s="657">
        <v>1211.1999999998552</v>
      </c>
      <c r="D1616" s="658">
        <v>113814</v>
      </c>
      <c r="E1616" s="658">
        <v>1211.2999999998551</v>
      </c>
      <c r="G1616" s="64">
        <v>1211.2999999998551</v>
      </c>
      <c r="H1616" s="658">
        <v>113814</v>
      </c>
      <c r="I1616" s="64">
        <v>1211.399999999855</v>
      </c>
      <c r="J1616" s="658">
        <v>113999</v>
      </c>
    </row>
    <row r="1617" spans="2:10" ht="14.4" x14ac:dyDescent="0.3">
      <c r="B1617" s="657">
        <v>113814</v>
      </c>
      <c r="C1617" s="657">
        <v>1211.2999999998551</v>
      </c>
      <c r="D1617" s="658">
        <v>113999</v>
      </c>
      <c r="E1617" s="658">
        <v>1211.399999999855</v>
      </c>
      <c r="G1617" s="64">
        <v>1211.399999999855</v>
      </c>
      <c r="H1617" s="658">
        <v>113999</v>
      </c>
      <c r="I1617" s="64">
        <v>1211.4999999998549</v>
      </c>
      <c r="J1617" s="658">
        <v>114184</v>
      </c>
    </row>
    <row r="1618" spans="2:10" ht="14.4" x14ac:dyDescent="0.3">
      <c r="B1618" s="657">
        <v>113999</v>
      </c>
      <c r="C1618" s="657">
        <v>1211.399999999855</v>
      </c>
      <c r="D1618" s="658">
        <v>114184</v>
      </c>
      <c r="E1618" s="658">
        <v>1211.4999999998549</v>
      </c>
      <c r="G1618" s="64">
        <v>1211.4999999998549</v>
      </c>
      <c r="H1618" s="658">
        <v>114184</v>
      </c>
      <c r="I1618" s="64">
        <v>1211.5999999998548</v>
      </c>
      <c r="J1618" s="658">
        <v>114369</v>
      </c>
    </row>
    <row r="1619" spans="2:10" ht="14.4" x14ac:dyDescent="0.3">
      <c r="B1619" s="657">
        <v>114184</v>
      </c>
      <c r="C1619" s="657">
        <v>1211.4999999998549</v>
      </c>
      <c r="D1619" s="658">
        <v>114369</v>
      </c>
      <c r="E1619" s="658">
        <v>1211.5999999998548</v>
      </c>
      <c r="G1619" s="64">
        <v>1211.5999999998548</v>
      </c>
      <c r="H1619" s="658">
        <v>114369</v>
      </c>
      <c r="I1619" s="64">
        <v>1211.6999999998548</v>
      </c>
      <c r="J1619" s="658">
        <v>114554</v>
      </c>
    </row>
    <row r="1620" spans="2:10" ht="14.4" x14ac:dyDescent="0.3">
      <c r="B1620" s="657">
        <v>114369</v>
      </c>
      <c r="C1620" s="657">
        <v>1211.5999999998548</v>
      </c>
      <c r="D1620" s="658">
        <v>114554</v>
      </c>
      <c r="E1620" s="658">
        <v>1211.6999999998548</v>
      </c>
      <c r="G1620" s="64">
        <v>1211.6999999998548</v>
      </c>
      <c r="H1620" s="658">
        <v>114554</v>
      </c>
      <c r="I1620" s="64">
        <v>1211.7999999998547</v>
      </c>
      <c r="J1620" s="658">
        <v>114739</v>
      </c>
    </row>
    <row r="1621" spans="2:10" ht="14.4" x14ac:dyDescent="0.3">
      <c r="B1621" s="657">
        <v>114554</v>
      </c>
      <c r="C1621" s="657">
        <v>1211.6999999998548</v>
      </c>
      <c r="D1621" s="658">
        <v>114739</v>
      </c>
      <c r="E1621" s="658">
        <v>1211.7999999998547</v>
      </c>
      <c r="G1621" s="64">
        <v>1211.7999999998547</v>
      </c>
      <c r="H1621" s="658">
        <v>114739</v>
      </c>
      <c r="I1621" s="64">
        <v>1211.8999999998546</v>
      </c>
      <c r="J1621" s="658">
        <v>114924</v>
      </c>
    </row>
    <row r="1622" spans="2:10" ht="14.4" x14ac:dyDescent="0.3">
      <c r="B1622" s="657">
        <v>114739</v>
      </c>
      <c r="C1622" s="657">
        <v>1211.7999999998547</v>
      </c>
      <c r="D1622" s="658">
        <v>114924</v>
      </c>
      <c r="E1622" s="658">
        <v>1211.8999999998546</v>
      </c>
      <c r="G1622" s="64">
        <v>1211.8999999998546</v>
      </c>
      <c r="H1622" s="658">
        <v>114924</v>
      </c>
      <c r="I1622" s="64">
        <v>1211.9999999998545</v>
      </c>
      <c r="J1622" s="658">
        <v>115109</v>
      </c>
    </row>
    <row r="1623" spans="2:10" ht="14.4" x14ac:dyDescent="0.3">
      <c r="B1623" s="657">
        <v>114924</v>
      </c>
      <c r="C1623" s="657">
        <v>1211.8999999998546</v>
      </c>
      <c r="D1623" s="658">
        <v>115109</v>
      </c>
      <c r="E1623" s="658">
        <v>1211.9999999998545</v>
      </c>
      <c r="G1623" s="64">
        <v>1211.9999999998545</v>
      </c>
      <c r="H1623" s="658">
        <v>115109</v>
      </c>
      <c r="I1623" s="64">
        <v>1212.0999999998544</v>
      </c>
      <c r="J1623" s="658">
        <v>115296</v>
      </c>
    </row>
    <row r="1624" spans="2:10" ht="14.4" x14ac:dyDescent="0.3">
      <c r="B1624" s="657">
        <v>115109</v>
      </c>
      <c r="C1624" s="657">
        <v>1211.9999999998545</v>
      </c>
      <c r="D1624" s="658">
        <v>115296</v>
      </c>
      <c r="E1624" s="658">
        <v>1212.0999999998544</v>
      </c>
      <c r="G1624" s="64">
        <v>1212.0999999998544</v>
      </c>
      <c r="H1624" s="658">
        <v>115296</v>
      </c>
      <c r="I1624" s="64">
        <v>1212.1999999998543</v>
      </c>
      <c r="J1624" s="658">
        <v>115482</v>
      </c>
    </row>
    <row r="1625" spans="2:10" ht="14.4" x14ac:dyDescent="0.3">
      <c r="B1625" s="657">
        <v>115296</v>
      </c>
      <c r="C1625" s="657">
        <v>1212.0999999998544</v>
      </c>
      <c r="D1625" s="658">
        <v>115482</v>
      </c>
      <c r="E1625" s="658">
        <v>1212.1999999998543</v>
      </c>
      <c r="G1625" s="64">
        <v>1212.1999999998543</v>
      </c>
      <c r="H1625" s="658">
        <v>115482</v>
      </c>
      <c r="I1625" s="64">
        <v>1212.2999999998542</v>
      </c>
      <c r="J1625" s="658">
        <v>115669</v>
      </c>
    </row>
    <row r="1626" spans="2:10" ht="14.4" x14ac:dyDescent="0.3">
      <c r="B1626" s="657">
        <v>115482</v>
      </c>
      <c r="C1626" s="657">
        <v>1212.1999999998543</v>
      </c>
      <c r="D1626" s="658">
        <v>115669</v>
      </c>
      <c r="E1626" s="658">
        <v>1212.2999999998542</v>
      </c>
      <c r="G1626" s="64">
        <v>1212.2999999998542</v>
      </c>
      <c r="H1626" s="658">
        <v>115669</v>
      </c>
      <c r="I1626" s="64">
        <v>1212.3999999998541</v>
      </c>
      <c r="J1626" s="658">
        <v>115855</v>
      </c>
    </row>
    <row r="1627" spans="2:10" ht="14.4" x14ac:dyDescent="0.3">
      <c r="B1627" s="657">
        <v>115669</v>
      </c>
      <c r="C1627" s="657">
        <v>1212.2999999998542</v>
      </c>
      <c r="D1627" s="658">
        <v>115855</v>
      </c>
      <c r="E1627" s="658">
        <v>1212.3999999998541</v>
      </c>
      <c r="G1627" s="64">
        <v>1212.3999999998541</v>
      </c>
      <c r="H1627" s="658">
        <v>115855</v>
      </c>
      <c r="I1627" s="64">
        <v>1212.499999999854</v>
      </c>
      <c r="J1627" s="658">
        <v>116042</v>
      </c>
    </row>
    <row r="1628" spans="2:10" ht="14.4" x14ac:dyDescent="0.3">
      <c r="B1628" s="657">
        <v>115855</v>
      </c>
      <c r="C1628" s="657">
        <v>1212.3999999998541</v>
      </c>
      <c r="D1628" s="658">
        <v>116042</v>
      </c>
      <c r="E1628" s="658">
        <v>1212.499999999854</v>
      </c>
      <c r="G1628" s="64">
        <v>1212.499999999854</v>
      </c>
      <c r="H1628" s="658">
        <v>116042</v>
      </c>
      <c r="I1628" s="64">
        <v>1212.5999999998539</v>
      </c>
      <c r="J1628" s="658">
        <v>116228</v>
      </c>
    </row>
    <row r="1629" spans="2:10" ht="14.4" x14ac:dyDescent="0.3">
      <c r="B1629" s="657">
        <v>116042</v>
      </c>
      <c r="C1629" s="657">
        <v>1212.499999999854</v>
      </c>
      <c r="D1629" s="658">
        <v>116228</v>
      </c>
      <c r="E1629" s="658">
        <v>1212.5999999998539</v>
      </c>
      <c r="G1629" s="64">
        <v>1212.5999999998539</v>
      </c>
      <c r="H1629" s="658">
        <v>116228</v>
      </c>
      <c r="I1629" s="64">
        <v>1212.6999999998538</v>
      </c>
      <c r="J1629" s="658">
        <v>116415</v>
      </c>
    </row>
    <row r="1630" spans="2:10" ht="14.4" x14ac:dyDescent="0.3">
      <c r="B1630" s="657">
        <v>116228</v>
      </c>
      <c r="C1630" s="657">
        <v>1212.5999999998539</v>
      </c>
      <c r="D1630" s="658">
        <v>116415</v>
      </c>
      <c r="E1630" s="658">
        <v>1212.6999999998538</v>
      </c>
      <c r="G1630" s="64">
        <v>1212.6999999998538</v>
      </c>
      <c r="H1630" s="658">
        <v>116415</v>
      </c>
      <c r="I1630" s="64">
        <v>1212.7999999998538</v>
      </c>
      <c r="J1630" s="658">
        <v>116601</v>
      </c>
    </row>
    <row r="1631" spans="2:10" ht="14.4" x14ac:dyDescent="0.3">
      <c r="B1631" s="657">
        <v>116415</v>
      </c>
      <c r="C1631" s="657">
        <v>1212.6999999998538</v>
      </c>
      <c r="D1631" s="658">
        <v>116601</v>
      </c>
      <c r="E1631" s="658">
        <v>1212.7999999998538</v>
      </c>
      <c r="G1631" s="64">
        <v>1212.7999999998538</v>
      </c>
      <c r="H1631" s="658">
        <v>116601</v>
      </c>
      <c r="I1631" s="64">
        <v>1212.8999999998537</v>
      </c>
      <c r="J1631" s="658">
        <v>116788</v>
      </c>
    </row>
    <row r="1632" spans="2:10" ht="14.4" x14ac:dyDescent="0.3">
      <c r="B1632" s="657">
        <v>116601</v>
      </c>
      <c r="C1632" s="657">
        <v>1212.7999999998538</v>
      </c>
      <c r="D1632" s="658">
        <v>116788</v>
      </c>
      <c r="E1632" s="658">
        <v>1212.8999999998537</v>
      </c>
      <c r="G1632" s="64">
        <v>1212.8999999998537</v>
      </c>
      <c r="H1632" s="658">
        <v>116788</v>
      </c>
      <c r="I1632" s="64">
        <v>1212.9999999998536</v>
      </c>
      <c r="J1632" s="658">
        <v>116974</v>
      </c>
    </row>
    <row r="1633" spans="2:10" ht="14.4" x14ac:dyDescent="0.3">
      <c r="B1633" s="657">
        <v>116788</v>
      </c>
      <c r="C1633" s="657">
        <v>1212.8999999998537</v>
      </c>
      <c r="D1633" s="658">
        <v>116974</v>
      </c>
      <c r="E1633" s="658">
        <v>1212.9999999998536</v>
      </c>
      <c r="G1633" s="64">
        <v>1212.9999999998536</v>
      </c>
      <c r="H1633" s="658">
        <v>116974</v>
      </c>
      <c r="I1633" s="64">
        <v>1213.0999999998535</v>
      </c>
      <c r="J1633" s="658">
        <v>117162</v>
      </c>
    </row>
    <row r="1634" spans="2:10" ht="14.4" x14ac:dyDescent="0.3">
      <c r="B1634" s="657">
        <v>116974</v>
      </c>
      <c r="C1634" s="657">
        <v>1212.9999999998536</v>
      </c>
      <c r="D1634" s="658">
        <v>117162</v>
      </c>
      <c r="E1634" s="658">
        <v>1213.0999999998535</v>
      </c>
      <c r="G1634" s="64">
        <v>1213.0999999998535</v>
      </c>
      <c r="H1634" s="658">
        <v>117162</v>
      </c>
      <c r="I1634" s="64">
        <v>1213.1999999998534</v>
      </c>
      <c r="J1634" s="658">
        <v>117350</v>
      </c>
    </row>
    <row r="1635" spans="2:10" ht="14.4" x14ac:dyDescent="0.3">
      <c r="B1635" s="657">
        <v>117162</v>
      </c>
      <c r="C1635" s="657">
        <v>1213.0999999998535</v>
      </c>
      <c r="D1635" s="658">
        <v>117350</v>
      </c>
      <c r="E1635" s="658">
        <v>1213.1999999998534</v>
      </c>
      <c r="G1635" s="64">
        <v>1213.1999999998534</v>
      </c>
      <c r="H1635" s="658">
        <v>117350</v>
      </c>
      <c r="I1635" s="64">
        <v>1213.2999999998533</v>
      </c>
      <c r="J1635" s="658">
        <v>117538</v>
      </c>
    </row>
    <row r="1636" spans="2:10" ht="14.4" x14ac:dyDescent="0.3">
      <c r="B1636" s="657">
        <v>117350</v>
      </c>
      <c r="C1636" s="657">
        <v>1213.1999999998534</v>
      </c>
      <c r="D1636" s="658">
        <v>117538</v>
      </c>
      <c r="E1636" s="658">
        <v>1213.2999999998533</v>
      </c>
      <c r="G1636" s="64">
        <v>1213.2999999998533</v>
      </c>
      <c r="H1636" s="658">
        <v>117538</v>
      </c>
      <c r="I1636" s="64">
        <v>1213.3999999998532</v>
      </c>
      <c r="J1636" s="658">
        <v>117726</v>
      </c>
    </row>
    <row r="1637" spans="2:10" ht="14.4" x14ac:dyDescent="0.3">
      <c r="B1637" s="657">
        <v>117538</v>
      </c>
      <c r="C1637" s="657">
        <v>1213.2999999998533</v>
      </c>
      <c r="D1637" s="658">
        <v>117726</v>
      </c>
      <c r="E1637" s="658">
        <v>1213.3999999998532</v>
      </c>
      <c r="G1637" s="64">
        <v>1213.3999999998532</v>
      </c>
      <c r="H1637" s="658">
        <v>117726</v>
      </c>
      <c r="I1637" s="64">
        <v>1213.4999999998531</v>
      </c>
      <c r="J1637" s="658">
        <v>117914</v>
      </c>
    </row>
    <row r="1638" spans="2:10" ht="14.4" x14ac:dyDescent="0.3">
      <c r="B1638" s="657">
        <v>117726</v>
      </c>
      <c r="C1638" s="657">
        <v>1213.3999999998532</v>
      </c>
      <c r="D1638" s="658">
        <v>117914</v>
      </c>
      <c r="E1638" s="658">
        <v>1213.4999999998531</v>
      </c>
      <c r="G1638" s="64">
        <v>1213.4999999998531</v>
      </c>
      <c r="H1638" s="658">
        <v>117914</v>
      </c>
      <c r="I1638" s="64">
        <v>1213.599999999853</v>
      </c>
      <c r="J1638" s="658">
        <v>118102</v>
      </c>
    </row>
    <row r="1639" spans="2:10" ht="14.4" x14ac:dyDescent="0.3">
      <c r="B1639" s="657">
        <v>117914</v>
      </c>
      <c r="C1639" s="657">
        <v>1213.4999999998531</v>
      </c>
      <c r="D1639" s="658">
        <v>118102</v>
      </c>
      <c r="E1639" s="658">
        <v>1213.599999999853</v>
      </c>
      <c r="G1639" s="64">
        <v>1213.599999999853</v>
      </c>
      <c r="H1639" s="658">
        <v>118102</v>
      </c>
      <c r="I1639" s="64">
        <v>1213.6999999998529</v>
      </c>
      <c r="J1639" s="658">
        <v>118290</v>
      </c>
    </row>
    <row r="1640" spans="2:10" ht="14.4" x14ac:dyDescent="0.3">
      <c r="B1640" s="657">
        <v>118102</v>
      </c>
      <c r="C1640" s="657">
        <v>1213.599999999853</v>
      </c>
      <c r="D1640" s="658">
        <v>118290</v>
      </c>
      <c r="E1640" s="658">
        <v>1213.6999999998529</v>
      </c>
      <c r="G1640" s="64">
        <v>1213.6999999998529</v>
      </c>
      <c r="H1640" s="658">
        <v>118290</v>
      </c>
      <c r="I1640" s="64">
        <v>1213.7999999998528</v>
      </c>
      <c r="J1640" s="658">
        <v>118478</v>
      </c>
    </row>
    <row r="1641" spans="2:10" ht="14.4" x14ac:dyDescent="0.3">
      <c r="B1641" s="657">
        <v>118290</v>
      </c>
      <c r="C1641" s="657">
        <v>1213.6999999998529</v>
      </c>
      <c r="D1641" s="658">
        <v>118478</v>
      </c>
      <c r="E1641" s="658">
        <v>1213.7999999998528</v>
      </c>
      <c r="G1641" s="64">
        <v>1213.7999999998528</v>
      </c>
      <c r="H1641" s="658">
        <v>118478</v>
      </c>
      <c r="I1641" s="64">
        <v>1213.8999999998528</v>
      </c>
      <c r="J1641" s="658">
        <v>118666</v>
      </c>
    </row>
    <row r="1642" spans="2:10" ht="14.4" x14ac:dyDescent="0.3">
      <c r="B1642" s="657">
        <v>118478</v>
      </c>
      <c r="C1642" s="657">
        <v>1213.7999999998528</v>
      </c>
      <c r="D1642" s="658">
        <v>118666</v>
      </c>
      <c r="E1642" s="658">
        <v>1213.8999999998528</v>
      </c>
      <c r="G1642" s="64">
        <v>1213.8999999998528</v>
      </c>
      <c r="H1642" s="658">
        <v>118666</v>
      </c>
      <c r="I1642" s="64">
        <v>1213.9999999998527</v>
      </c>
      <c r="J1642" s="658">
        <v>118854</v>
      </c>
    </row>
    <row r="1643" spans="2:10" ht="14.4" x14ac:dyDescent="0.3">
      <c r="B1643" s="657">
        <v>118666</v>
      </c>
      <c r="C1643" s="657">
        <v>1213.8999999998528</v>
      </c>
      <c r="D1643" s="658">
        <v>118854</v>
      </c>
      <c r="E1643" s="658">
        <v>1213.9999999998527</v>
      </c>
      <c r="G1643" s="64">
        <v>1213.9999999998527</v>
      </c>
      <c r="H1643" s="658">
        <v>118854</v>
      </c>
      <c r="I1643" s="64">
        <v>1214.0999999998526</v>
      </c>
      <c r="J1643" s="658">
        <v>119044</v>
      </c>
    </row>
    <row r="1644" spans="2:10" ht="14.4" x14ac:dyDescent="0.3">
      <c r="B1644" s="657">
        <v>118854</v>
      </c>
      <c r="C1644" s="657">
        <v>1213.9999999998527</v>
      </c>
      <c r="D1644" s="658">
        <v>119044</v>
      </c>
      <c r="E1644" s="658">
        <v>1214.0999999998526</v>
      </c>
      <c r="G1644" s="64">
        <v>1214.0999999998526</v>
      </c>
      <c r="H1644" s="658">
        <v>119044</v>
      </c>
      <c r="I1644" s="64">
        <v>1214.1999999998525</v>
      </c>
      <c r="J1644" s="658">
        <v>119233</v>
      </c>
    </row>
    <row r="1645" spans="2:10" ht="14.4" x14ac:dyDescent="0.3">
      <c r="B1645" s="657">
        <v>119044</v>
      </c>
      <c r="C1645" s="657">
        <v>1214.0999999998526</v>
      </c>
      <c r="D1645" s="658">
        <v>119233</v>
      </c>
      <c r="E1645" s="658">
        <v>1214.1999999998525</v>
      </c>
      <c r="G1645" s="64">
        <v>1214.1999999998525</v>
      </c>
      <c r="H1645" s="658">
        <v>119233</v>
      </c>
      <c r="I1645" s="64">
        <v>1214.2999999998524</v>
      </c>
      <c r="J1645" s="658">
        <v>119423</v>
      </c>
    </row>
    <row r="1646" spans="2:10" ht="14.4" x14ac:dyDescent="0.3">
      <c r="B1646" s="657">
        <v>119233</v>
      </c>
      <c r="C1646" s="657">
        <v>1214.1999999998525</v>
      </c>
      <c r="D1646" s="658">
        <v>119423</v>
      </c>
      <c r="E1646" s="658">
        <v>1214.2999999998524</v>
      </c>
      <c r="G1646" s="64">
        <v>1214.2999999998524</v>
      </c>
      <c r="H1646" s="658">
        <v>119423</v>
      </c>
      <c r="I1646" s="64">
        <v>1214.3999999998523</v>
      </c>
      <c r="J1646" s="658">
        <v>119612</v>
      </c>
    </row>
    <row r="1647" spans="2:10" ht="14.4" x14ac:dyDescent="0.3">
      <c r="B1647" s="657">
        <v>119423</v>
      </c>
      <c r="C1647" s="657">
        <v>1214.2999999998524</v>
      </c>
      <c r="D1647" s="658">
        <v>119612</v>
      </c>
      <c r="E1647" s="658">
        <v>1214.3999999998523</v>
      </c>
      <c r="G1647" s="64">
        <v>1214.3999999998523</v>
      </c>
      <c r="H1647" s="658">
        <v>119612</v>
      </c>
      <c r="I1647" s="64">
        <v>1214.4999999998522</v>
      </c>
      <c r="J1647" s="658">
        <v>119802</v>
      </c>
    </row>
    <row r="1648" spans="2:10" ht="14.4" x14ac:dyDescent="0.3">
      <c r="B1648" s="657">
        <v>119612</v>
      </c>
      <c r="C1648" s="657">
        <v>1214.3999999998523</v>
      </c>
      <c r="D1648" s="658">
        <v>119802</v>
      </c>
      <c r="E1648" s="658">
        <v>1214.4999999998522</v>
      </c>
      <c r="G1648" s="64">
        <v>1214.4999999998522</v>
      </c>
      <c r="H1648" s="658">
        <v>119802</v>
      </c>
      <c r="I1648" s="64">
        <v>1214.5999999998521</v>
      </c>
      <c r="J1648" s="658">
        <v>119991</v>
      </c>
    </row>
    <row r="1649" spans="2:10" ht="14.4" x14ac:dyDescent="0.3">
      <c r="B1649" s="657">
        <v>119802</v>
      </c>
      <c r="C1649" s="657">
        <v>1214.4999999998522</v>
      </c>
      <c r="D1649" s="658">
        <v>119991</v>
      </c>
      <c r="E1649" s="658">
        <v>1214.5999999998521</v>
      </c>
      <c r="G1649" s="64">
        <v>1214.5999999998521</v>
      </c>
      <c r="H1649" s="658">
        <v>119991</v>
      </c>
      <c r="I1649" s="64">
        <v>1214.699999999852</v>
      </c>
      <c r="J1649" s="658">
        <v>120181</v>
      </c>
    </row>
    <row r="1650" spans="2:10" ht="14.4" x14ac:dyDescent="0.3">
      <c r="B1650" s="657">
        <v>119991</v>
      </c>
      <c r="C1650" s="657">
        <v>1214.5999999998521</v>
      </c>
      <c r="D1650" s="658">
        <v>120181</v>
      </c>
      <c r="E1650" s="658">
        <v>1214.699999999852</v>
      </c>
      <c r="G1650" s="64">
        <v>1214.699999999852</v>
      </c>
      <c r="H1650" s="658">
        <v>120181</v>
      </c>
      <c r="I1650" s="64">
        <v>1214.7999999998519</v>
      </c>
      <c r="J1650" s="658">
        <v>120370</v>
      </c>
    </row>
    <row r="1651" spans="2:10" ht="14.4" x14ac:dyDescent="0.3">
      <c r="B1651" s="657">
        <v>120181</v>
      </c>
      <c r="C1651" s="657">
        <v>1214.699999999852</v>
      </c>
      <c r="D1651" s="658">
        <v>120370</v>
      </c>
      <c r="E1651" s="658">
        <v>1214.7999999998519</v>
      </c>
      <c r="G1651" s="64">
        <v>1214.7999999998519</v>
      </c>
      <c r="H1651" s="658">
        <v>120370</v>
      </c>
      <c r="I1651" s="64">
        <v>1214.8999999998518</v>
      </c>
      <c r="J1651" s="658">
        <v>120560</v>
      </c>
    </row>
    <row r="1652" spans="2:10" ht="14.4" x14ac:dyDescent="0.3">
      <c r="B1652" s="657">
        <v>120370</v>
      </c>
      <c r="C1652" s="657">
        <v>1214.7999999998519</v>
      </c>
      <c r="D1652" s="658">
        <v>120560</v>
      </c>
      <c r="E1652" s="658">
        <v>1214.8999999998518</v>
      </c>
      <c r="G1652" s="64">
        <v>1214.8999999998518</v>
      </c>
      <c r="H1652" s="658">
        <v>120560</v>
      </c>
      <c r="I1652" s="64">
        <v>1214.9999999998518</v>
      </c>
      <c r="J1652" s="658">
        <v>120749</v>
      </c>
    </row>
    <row r="1653" spans="2:10" ht="14.4" x14ac:dyDescent="0.3">
      <c r="B1653" s="657">
        <v>120560</v>
      </c>
      <c r="C1653" s="657">
        <v>1214.8999999998518</v>
      </c>
      <c r="D1653" s="658">
        <v>120749</v>
      </c>
      <c r="E1653" s="658">
        <v>1214.9999999998518</v>
      </c>
      <c r="G1653" s="64">
        <v>1214.9999999998518</v>
      </c>
      <c r="H1653" s="658">
        <v>120749</v>
      </c>
      <c r="I1653" s="64">
        <v>1215.0999999998517</v>
      </c>
      <c r="J1653" s="658">
        <v>120940</v>
      </c>
    </row>
    <row r="1654" spans="2:10" ht="14.4" x14ac:dyDescent="0.3">
      <c r="B1654" s="657">
        <v>120749</v>
      </c>
      <c r="C1654" s="657">
        <v>1214.9999999998518</v>
      </c>
      <c r="D1654" s="658">
        <v>120940</v>
      </c>
      <c r="E1654" s="658">
        <v>1215.0999999998517</v>
      </c>
      <c r="G1654" s="64">
        <v>1215.0999999998517</v>
      </c>
      <c r="H1654" s="658">
        <v>120940</v>
      </c>
      <c r="I1654" s="64">
        <v>1215.1999999998516</v>
      </c>
      <c r="J1654" s="658">
        <v>121131</v>
      </c>
    </row>
    <row r="1655" spans="2:10" ht="14.4" x14ac:dyDescent="0.3">
      <c r="B1655" s="657">
        <v>120940</v>
      </c>
      <c r="C1655" s="657">
        <v>1215.0999999998517</v>
      </c>
      <c r="D1655" s="658">
        <v>121131</v>
      </c>
      <c r="E1655" s="658">
        <v>1215.1999999998516</v>
      </c>
      <c r="G1655" s="64">
        <v>1215.1999999998516</v>
      </c>
      <c r="H1655" s="658">
        <v>121131</v>
      </c>
      <c r="I1655" s="64">
        <v>1215.2999999998515</v>
      </c>
      <c r="J1655" s="658">
        <v>121322</v>
      </c>
    </row>
    <row r="1656" spans="2:10" ht="14.4" x14ac:dyDescent="0.3">
      <c r="B1656" s="657">
        <v>121131</v>
      </c>
      <c r="C1656" s="657">
        <v>1215.1999999998516</v>
      </c>
      <c r="D1656" s="658">
        <v>121322</v>
      </c>
      <c r="E1656" s="658">
        <v>1215.2999999998515</v>
      </c>
      <c r="G1656" s="64">
        <v>1215.2999999998515</v>
      </c>
      <c r="H1656" s="658">
        <v>121322</v>
      </c>
      <c r="I1656" s="64">
        <v>1215.3999999998514</v>
      </c>
      <c r="J1656" s="658">
        <v>121513</v>
      </c>
    </row>
    <row r="1657" spans="2:10" ht="14.4" x14ac:dyDescent="0.3">
      <c r="B1657" s="657">
        <v>121322</v>
      </c>
      <c r="C1657" s="657">
        <v>1215.2999999998515</v>
      </c>
      <c r="D1657" s="658">
        <v>121513</v>
      </c>
      <c r="E1657" s="658">
        <v>1215.3999999998514</v>
      </c>
      <c r="G1657" s="64">
        <v>1215.3999999998514</v>
      </c>
      <c r="H1657" s="658">
        <v>121513</v>
      </c>
      <c r="I1657" s="64">
        <v>1215.4999999998513</v>
      </c>
      <c r="J1657" s="658">
        <v>121704</v>
      </c>
    </row>
    <row r="1658" spans="2:10" ht="14.4" x14ac:dyDescent="0.3">
      <c r="B1658" s="657">
        <v>121513</v>
      </c>
      <c r="C1658" s="657">
        <v>1215.3999999998514</v>
      </c>
      <c r="D1658" s="658">
        <v>121704</v>
      </c>
      <c r="E1658" s="658">
        <v>1215.4999999998513</v>
      </c>
      <c r="G1658" s="64">
        <v>1215.4999999998513</v>
      </c>
      <c r="H1658" s="658">
        <v>121704</v>
      </c>
      <c r="I1658" s="64">
        <v>1215.5999999998512</v>
      </c>
      <c r="J1658" s="658">
        <v>121895</v>
      </c>
    </row>
    <row r="1659" spans="2:10" ht="14.4" x14ac:dyDescent="0.3">
      <c r="B1659" s="657">
        <v>121704</v>
      </c>
      <c r="C1659" s="657">
        <v>1215.4999999998513</v>
      </c>
      <c r="D1659" s="658">
        <v>121895</v>
      </c>
      <c r="E1659" s="658">
        <v>1215.5999999998512</v>
      </c>
      <c r="G1659" s="64">
        <v>1215.5999999998512</v>
      </c>
      <c r="H1659" s="658">
        <v>121895</v>
      </c>
      <c r="I1659" s="64">
        <v>1215.6999999998511</v>
      </c>
      <c r="J1659" s="658">
        <v>122086</v>
      </c>
    </row>
    <row r="1660" spans="2:10" ht="14.4" x14ac:dyDescent="0.3">
      <c r="B1660" s="657">
        <v>121895</v>
      </c>
      <c r="C1660" s="657">
        <v>1215.5999999998512</v>
      </c>
      <c r="D1660" s="658">
        <v>122086</v>
      </c>
      <c r="E1660" s="658">
        <v>1215.6999999998511</v>
      </c>
      <c r="G1660" s="64">
        <v>1215.6999999998511</v>
      </c>
      <c r="H1660" s="658">
        <v>122086</v>
      </c>
      <c r="I1660" s="64">
        <v>1215.799999999851</v>
      </c>
      <c r="J1660" s="658">
        <v>122277</v>
      </c>
    </row>
    <row r="1661" spans="2:10" ht="14.4" x14ac:dyDescent="0.3">
      <c r="B1661" s="657">
        <v>122086</v>
      </c>
      <c r="C1661" s="657">
        <v>1215.6999999998511</v>
      </c>
      <c r="D1661" s="658">
        <v>122277</v>
      </c>
      <c r="E1661" s="658">
        <v>1215.799999999851</v>
      </c>
      <c r="G1661" s="64">
        <v>1215.799999999851</v>
      </c>
      <c r="H1661" s="658">
        <v>122277</v>
      </c>
      <c r="I1661" s="64">
        <v>1215.8999999998509</v>
      </c>
      <c r="J1661" s="658">
        <v>122468</v>
      </c>
    </row>
    <row r="1662" spans="2:10" ht="14.4" x14ac:dyDescent="0.3">
      <c r="B1662" s="657">
        <v>122277</v>
      </c>
      <c r="C1662" s="657">
        <v>1215.799999999851</v>
      </c>
      <c r="D1662" s="658">
        <v>122468</v>
      </c>
      <c r="E1662" s="658">
        <v>1215.8999999998509</v>
      </c>
      <c r="G1662" s="64">
        <v>1215.8999999998509</v>
      </c>
      <c r="H1662" s="658">
        <v>122468</v>
      </c>
      <c r="I1662" s="64">
        <v>1215.9999999998508</v>
      </c>
      <c r="J1662" s="658">
        <v>122659</v>
      </c>
    </row>
    <row r="1663" spans="2:10" ht="14.4" x14ac:dyDescent="0.3">
      <c r="B1663" s="657">
        <v>122468</v>
      </c>
      <c r="C1663" s="657">
        <v>1215.8999999998509</v>
      </c>
      <c r="D1663" s="658">
        <v>122659</v>
      </c>
      <c r="E1663" s="658">
        <v>1215.9999999998508</v>
      </c>
      <c r="G1663" s="64">
        <v>1215.9999999998508</v>
      </c>
      <c r="H1663" s="658">
        <v>122659</v>
      </c>
      <c r="I1663" s="64">
        <v>1216.0999999998508</v>
      </c>
      <c r="J1663" s="658">
        <v>122852</v>
      </c>
    </row>
    <row r="1664" spans="2:10" ht="14.4" x14ac:dyDescent="0.3">
      <c r="B1664" s="657">
        <v>122659</v>
      </c>
      <c r="C1664" s="657">
        <v>1215.9999999998508</v>
      </c>
      <c r="D1664" s="658">
        <v>122852</v>
      </c>
      <c r="E1664" s="658">
        <v>1216.0999999998508</v>
      </c>
      <c r="G1664" s="64">
        <v>1216.0999999998508</v>
      </c>
      <c r="H1664" s="658">
        <v>122852</v>
      </c>
      <c r="I1664" s="64">
        <v>1216.1999999998507</v>
      </c>
      <c r="J1664" s="658">
        <v>123044</v>
      </c>
    </row>
    <row r="1665" spans="2:10" ht="14.4" x14ac:dyDescent="0.3">
      <c r="B1665" s="657">
        <v>122852</v>
      </c>
      <c r="C1665" s="657">
        <v>1216.0999999998508</v>
      </c>
      <c r="D1665" s="658">
        <v>123044</v>
      </c>
      <c r="E1665" s="658">
        <v>1216.1999999998507</v>
      </c>
      <c r="G1665" s="64">
        <v>1216.1999999998507</v>
      </c>
      <c r="H1665" s="658">
        <v>123044</v>
      </c>
      <c r="I1665" s="64">
        <v>1216.2999999998506</v>
      </c>
      <c r="J1665" s="658">
        <v>123237</v>
      </c>
    </row>
    <row r="1666" spans="2:10" ht="14.4" x14ac:dyDescent="0.3">
      <c r="B1666" s="657">
        <v>123044</v>
      </c>
      <c r="C1666" s="657">
        <v>1216.1999999998507</v>
      </c>
      <c r="D1666" s="658">
        <v>123237</v>
      </c>
      <c r="E1666" s="658">
        <v>1216.2999999998506</v>
      </c>
      <c r="G1666" s="64">
        <v>1216.2999999998506</v>
      </c>
      <c r="H1666" s="658">
        <v>123237</v>
      </c>
      <c r="I1666" s="64">
        <v>1216.3999999998505</v>
      </c>
      <c r="J1666" s="658">
        <v>123429</v>
      </c>
    </row>
    <row r="1667" spans="2:10" ht="14.4" x14ac:dyDescent="0.3">
      <c r="B1667" s="657">
        <v>123237</v>
      </c>
      <c r="C1667" s="657">
        <v>1216.2999999998506</v>
      </c>
      <c r="D1667" s="658">
        <v>123429</v>
      </c>
      <c r="E1667" s="658">
        <v>1216.3999999998505</v>
      </c>
      <c r="G1667" s="64">
        <v>1216.3999999998505</v>
      </c>
      <c r="H1667" s="658">
        <v>123429</v>
      </c>
      <c r="I1667" s="64">
        <v>1216.4999999998504</v>
      </c>
      <c r="J1667" s="658">
        <v>123622</v>
      </c>
    </row>
    <row r="1668" spans="2:10" ht="14.4" x14ac:dyDescent="0.3">
      <c r="B1668" s="657">
        <v>123429</v>
      </c>
      <c r="C1668" s="657">
        <v>1216.3999999998505</v>
      </c>
      <c r="D1668" s="658">
        <v>123622</v>
      </c>
      <c r="E1668" s="658">
        <v>1216.4999999998504</v>
      </c>
      <c r="G1668" s="64">
        <v>1216.4999999998504</v>
      </c>
      <c r="H1668" s="658">
        <v>123622</v>
      </c>
      <c r="I1668" s="64">
        <v>1216.5999999998503</v>
      </c>
      <c r="J1668" s="658">
        <v>123814</v>
      </c>
    </row>
    <row r="1669" spans="2:10" ht="14.4" x14ac:dyDescent="0.3">
      <c r="B1669" s="657">
        <v>123622</v>
      </c>
      <c r="C1669" s="657">
        <v>1216.4999999998504</v>
      </c>
      <c r="D1669" s="658">
        <v>123814</v>
      </c>
      <c r="E1669" s="658">
        <v>1216.5999999998503</v>
      </c>
      <c r="G1669" s="64">
        <v>1216.5999999998503</v>
      </c>
      <c r="H1669" s="658">
        <v>123814</v>
      </c>
      <c r="I1669" s="64">
        <v>1216.6999999998502</v>
      </c>
      <c r="J1669" s="658">
        <v>124007</v>
      </c>
    </row>
    <row r="1670" spans="2:10" ht="14.4" x14ac:dyDescent="0.3">
      <c r="B1670" s="657">
        <v>123814</v>
      </c>
      <c r="C1670" s="657">
        <v>1216.5999999998503</v>
      </c>
      <c r="D1670" s="658">
        <v>124007</v>
      </c>
      <c r="E1670" s="658">
        <v>1216.6999999998502</v>
      </c>
      <c r="G1670" s="64">
        <v>1216.6999999998502</v>
      </c>
      <c r="H1670" s="658">
        <v>124007</v>
      </c>
      <c r="I1670" s="64">
        <v>1216.7999999998501</v>
      </c>
      <c r="J1670" s="658">
        <v>124199</v>
      </c>
    </row>
    <row r="1671" spans="2:10" ht="14.4" x14ac:dyDescent="0.3">
      <c r="B1671" s="657">
        <v>124007</v>
      </c>
      <c r="C1671" s="657">
        <v>1216.6999999998502</v>
      </c>
      <c r="D1671" s="658">
        <v>124199</v>
      </c>
      <c r="E1671" s="658">
        <v>1216.7999999998501</v>
      </c>
      <c r="G1671" s="64">
        <v>1216.7999999998501</v>
      </c>
      <c r="H1671" s="658">
        <v>124199</v>
      </c>
      <c r="I1671" s="64">
        <v>1216.89999999985</v>
      </c>
      <c r="J1671" s="658">
        <v>124392</v>
      </c>
    </row>
    <row r="1672" spans="2:10" ht="14.4" x14ac:dyDescent="0.3">
      <c r="B1672" s="657">
        <v>124199</v>
      </c>
      <c r="C1672" s="657">
        <v>1216.7999999998501</v>
      </c>
      <c r="D1672" s="658">
        <v>124392</v>
      </c>
      <c r="E1672" s="658">
        <v>1216.89999999985</v>
      </c>
      <c r="G1672" s="64">
        <v>1216.89999999985</v>
      </c>
      <c r="H1672" s="658">
        <v>124392</v>
      </c>
      <c r="I1672" s="64">
        <v>1216.9999999998499</v>
      </c>
      <c r="J1672" s="658">
        <v>124584</v>
      </c>
    </row>
    <row r="1673" spans="2:10" ht="14.4" x14ac:dyDescent="0.3">
      <c r="B1673" s="657">
        <v>124392</v>
      </c>
      <c r="C1673" s="657">
        <v>1216.89999999985</v>
      </c>
      <c r="D1673" s="658">
        <v>124584</v>
      </c>
      <c r="E1673" s="658">
        <v>1216.9999999998499</v>
      </c>
      <c r="G1673" s="64">
        <v>1216.9999999998499</v>
      </c>
      <c r="H1673" s="658">
        <v>124584</v>
      </c>
      <c r="I1673" s="64">
        <v>1217.0999999998498</v>
      </c>
      <c r="J1673" s="658">
        <v>124778</v>
      </c>
    </row>
    <row r="1674" spans="2:10" ht="14.4" x14ac:dyDescent="0.3">
      <c r="B1674" s="657">
        <v>124584</v>
      </c>
      <c r="C1674" s="657">
        <v>1216.9999999998499</v>
      </c>
      <c r="D1674" s="658">
        <v>124778</v>
      </c>
      <c r="E1674" s="658">
        <v>1217.0999999998498</v>
      </c>
      <c r="G1674" s="64">
        <v>1217.0999999998498</v>
      </c>
      <c r="H1674" s="658">
        <v>124778</v>
      </c>
      <c r="I1674" s="64">
        <v>1217.1999999998498</v>
      </c>
      <c r="J1674" s="658">
        <v>124972</v>
      </c>
    </row>
    <row r="1675" spans="2:10" ht="14.4" x14ac:dyDescent="0.3">
      <c r="B1675" s="657">
        <v>124778</v>
      </c>
      <c r="C1675" s="657">
        <v>1217.0999999998498</v>
      </c>
      <c r="D1675" s="658">
        <v>124972</v>
      </c>
      <c r="E1675" s="658">
        <v>1217.1999999998498</v>
      </c>
      <c r="G1675" s="64">
        <v>1217.1999999998498</v>
      </c>
      <c r="H1675" s="658">
        <v>124972</v>
      </c>
      <c r="I1675" s="64">
        <v>1217.2999999998497</v>
      </c>
      <c r="J1675" s="658">
        <v>125166</v>
      </c>
    </row>
    <row r="1676" spans="2:10" ht="14.4" x14ac:dyDescent="0.3">
      <c r="B1676" s="657">
        <v>124972</v>
      </c>
      <c r="C1676" s="657">
        <v>1217.1999999998498</v>
      </c>
      <c r="D1676" s="658">
        <v>125166</v>
      </c>
      <c r="E1676" s="658">
        <v>1217.2999999998497</v>
      </c>
      <c r="G1676" s="64">
        <v>1217.2999999998497</v>
      </c>
      <c r="H1676" s="658">
        <v>125166</v>
      </c>
      <c r="I1676" s="64">
        <v>1217.3999999998496</v>
      </c>
      <c r="J1676" s="658">
        <v>125360</v>
      </c>
    </row>
    <row r="1677" spans="2:10" ht="14.4" x14ac:dyDescent="0.3">
      <c r="B1677" s="657">
        <v>125166</v>
      </c>
      <c r="C1677" s="657">
        <v>1217.2999999998497</v>
      </c>
      <c r="D1677" s="658">
        <v>125360</v>
      </c>
      <c r="E1677" s="658">
        <v>1217.3999999998496</v>
      </c>
      <c r="G1677" s="64">
        <v>1217.3999999998496</v>
      </c>
      <c r="H1677" s="658">
        <v>125360</v>
      </c>
      <c r="I1677" s="64">
        <v>1217.4999999998495</v>
      </c>
      <c r="J1677" s="658">
        <v>125554</v>
      </c>
    </row>
    <row r="1678" spans="2:10" ht="14.4" x14ac:dyDescent="0.3">
      <c r="B1678" s="657">
        <v>125360</v>
      </c>
      <c r="C1678" s="657">
        <v>1217.3999999998496</v>
      </c>
      <c r="D1678" s="658">
        <v>125554</v>
      </c>
      <c r="E1678" s="658">
        <v>1217.4999999998495</v>
      </c>
      <c r="G1678" s="64">
        <v>1217.4999999998495</v>
      </c>
      <c r="H1678" s="658">
        <v>125554</v>
      </c>
      <c r="I1678" s="64">
        <v>1217.5999999998494</v>
      </c>
      <c r="J1678" s="658">
        <v>125748</v>
      </c>
    </row>
    <row r="1679" spans="2:10" ht="14.4" x14ac:dyDescent="0.3">
      <c r="B1679" s="657">
        <v>125554</v>
      </c>
      <c r="C1679" s="657">
        <v>1217.4999999998495</v>
      </c>
      <c r="D1679" s="658">
        <v>125748</v>
      </c>
      <c r="E1679" s="658">
        <v>1217.5999999998494</v>
      </c>
      <c r="G1679" s="64">
        <v>1217.5999999998494</v>
      </c>
      <c r="H1679" s="658">
        <v>125748</v>
      </c>
      <c r="I1679" s="64">
        <v>1217.6999999998493</v>
      </c>
      <c r="J1679" s="658">
        <v>125942</v>
      </c>
    </row>
    <row r="1680" spans="2:10" ht="14.4" x14ac:dyDescent="0.3">
      <c r="B1680" s="657">
        <v>125748</v>
      </c>
      <c r="C1680" s="657">
        <v>1217.5999999998494</v>
      </c>
      <c r="D1680" s="658">
        <v>125942</v>
      </c>
      <c r="E1680" s="658">
        <v>1217.6999999998493</v>
      </c>
      <c r="G1680" s="64">
        <v>1217.6999999998493</v>
      </c>
      <c r="H1680" s="658">
        <v>125942</v>
      </c>
      <c r="I1680" s="64">
        <v>1217.7999999998492</v>
      </c>
      <c r="J1680" s="658">
        <v>126136</v>
      </c>
    </row>
    <row r="1681" spans="2:10" ht="14.4" x14ac:dyDescent="0.3">
      <c r="B1681" s="657">
        <v>125942</v>
      </c>
      <c r="C1681" s="657">
        <v>1217.6999999998493</v>
      </c>
      <c r="D1681" s="658">
        <v>126136</v>
      </c>
      <c r="E1681" s="658">
        <v>1217.7999999998492</v>
      </c>
      <c r="G1681" s="64">
        <v>1217.7999999998492</v>
      </c>
      <c r="H1681" s="658">
        <v>126136</v>
      </c>
      <c r="I1681" s="64">
        <v>1217.8999999998491</v>
      </c>
      <c r="J1681" s="658">
        <v>126330</v>
      </c>
    </row>
    <row r="1682" spans="2:10" ht="14.4" x14ac:dyDescent="0.3">
      <c r="B1682" s="657">
        <v>126136</v>
      </c>
      <c r="C1682" s="657">
        <v>1217.7999999998492</v>
      </c>
      <c r="D1682" s="658">
        <v>126330</v>
      </c>
      <c r="E1682" s="658">
        <v>1217.8999999998491</v>
      </c>
      <c r="G1682" s="64">
        <v>1217.8999999998491</v>
      </c>
      <c r="H1682" s="658">
        <v>126330</v>
      </c>
      <c r="I1682" s="64">
        <v>1217.999999999849</v>
      </c>
      <c r="J1682" s="658">
        <v>126524</v>
      </c>
    </row>
    <row r="1683" spans="2:10" ht="14.4" x14ac:dyDescent="0.3">
      <c r="B1683" s="657">
        <v>126330</v>
      </c>
      <c r="C1683" s="657">
        <v>1217.8999999998491</v>
      </c>
      <c r="D1683" s="658">
        <v>126524</v>
      </c>
      <c r="E1683" s="658">
        <v>1217.999999999849</v>
      </c>
      <c r="G1683" s="64">
        <v>1217.999999999849</v>
      </c>
      <c r="H1683" s="658">
        <v>126524</v>
      </c>
      <c r="I1683" s="64">
        <v>1218.0999999998489</v>
      </c>
      <c r="J1683" s="658">
        <v>126720</v>
      </c>
    </row>
    <row r="1684" spans="2:10" ht="14.4" x14ac:dyDescent="0.3">
      <c r="B1684" s="657">
        <v>126524</v>
      </c>
      <c r="C1684" s="657">
        <v>1217.999999999849</v>
      </c>
      <c r="D1684" s="658">
        <v>126720</v>
      </c>
      <c r="E1684" s="658">
        <v>1218.0999999998489</v>
      </c>
      <c r="G1684" s="64">
        <v>1218.0999999998489</v>
      </c>
      <c r="H1684" s="658">
        <v>126720</v>
      </c>
      <c r="I1684" s="64">
        <v>1218.1999999998488</v>
      </c>
      <c r="J1684" s="658">
        <v>126915</v>
      </c>
    </row>
    <row r="1685" spans="2:10" ht="14.4" x14ac:dyDescent="0.3">
      <c r="B1685" s="657">
        <v>126720</v>
      </c>
      <c r="C1685" s="657">
        <v>1218.0999999998489</v>
      </c>
      <c r="D1685" s="658">
        <v>126915</v>
      </c>
      <c r="E1685" s="658">
        <v>1218.1999999998488</v>
      </c>
      <c r="G1685" s="64">
        <v>1218.1999999998488</v>
      </c>
      <c r="H1685" s="658">
        <v>126915</v>
      </c>
      <c r="I1685" s="64">
        <v>1218.2999999998488</v>
      </c>
      <c r="J1685" s="658">
        <v>127111</v>
      </c>
    </row>
    <row r="1686" spans="2:10" ht="14.4" x14ac:dyDescent="0.3">
      <c r="B1686" s="657">
        <v>126915</v>
      </c>
      <c r="C1686" s="657">
        <v>1218.1999999998488</v>
      </c>
      <c r="D1686" s="658">
        <v>127111</v>
      </c>
      <c r="E1686" s="658">
        <v>1218.2999999998488</v>
      </c>
      <c r="G1686" s="64">
        <v>1218.2999999998488</v>
      </c>
      <c r="H1686" s="658">
        <v>127111</v>
      </c>
      <c r="I1686" s="64">
        <v>1218.3999999998487</v>
      </c>
      <c r="J1686" s="658">
        <v>127306</v>
      </c>
    </row>
    <row r="1687" spans="2:10" ht="14.4" x14ac:dyDescent="0.3">
      <c r="B1687" s="657">
        <v>127111</v>
      </c>
      <c r="C1687" s="657">
        <v>1218.2999999998488</v>
      </c>
      <c r="D1687" s="658">
        <v>127306</v>
      </c>
      <c r="E1687" s="658">
        <v>1218.3999999998487</v>
      </c>
      <c r="G1687" s="64">
        <v>1218.3999999998487</v>
      </c>
      <c r="H1687" s="658">
        <v>127306</v>
      </c>
      <c r="I1687" s="64">
        <v>1218.4999999998486</v>
      </c>
      <c r="J1687" s="658">
        <v>127502</v>
      </c>
    </row>
    <row r="1688" spans="2:10" ht="14.4" x14ac:dyDescent="0.3">
      <c r="B1688" s="657">
        <v>127306</v>
      </c>
      <c r="C1688" s="657">
        <v>1218.3999999998487</v>
      </c>
      <c r="D1688" s="658">
        <v>127502</v>
      </c>
      <c r="E1688" s="658">
        <v>1218.4999999998486</v>
      </c>
      <c r="G1688" s="64">
        <v>1218.4999999998486</v>
      </c>
      <c r="H1688" s="658">
        <v>127502</v>
      </c>
      <c r="I1688" s="64">
        <v>1218.5999999998485</v>
      </c>
      <c r="J1688" s="658">
        <v>127697</v>
      </c>
    </row>
    <row r="1689" spans="2:10" ht="14.4" x14ac:dyDescent="0.3">
      <c r="B1689" s="657">
        <v>127502</v>
      </c>
      <c r="C1689" s="657">
        <v>1218.4999999998486</v>
      </c>
      <c r="D1689" s="658">
        <v>127697</v>
      </c>
      <c r="E1689" s="658">
        <v>1218.5999999998485</v>
      </c>
      <c r="G1689" s="64">
        <v>1218.5999999998485</v>
      </c>
      <c r="H1689" s="658">
        <v>127697</v>
      </c>
      <c r="I1689" s="64">
        <v>1218.6999999998484</v>
      </c>
      <c r="J1689" s="658">
        <v>127893</v>
      </c>
    </row>
    <row r="1690" spans="2:10" ht="14.4" x14ac:dyDescent="0.3">
      <c r="B1690" s="657">
        <v>127697</v>
      </c>
      <c r="C1690" s="657">
        <v>1218.5999999998485</v>
      </c>
      <c r="D1690" s="658">
        <v>127893</v>
      </c>
      <c r="E1690" s="658">
        <v>1218.6999999998484</v>
      </c>
      <c r="G1690" s="64">
        <v>1218.6999999998484</v>
      </c>
      <c r="H1690" s="658">
        <v>127893</v>
      </c>
      <c r="I1690" s="64">
        <v>1218.7999999998483</v>
      </c>
      <c r="J1690" s="658">
        <v>128088</v>
      </c>
    </row>
    <row r="1691" spans="2:10" ht="14.4" x14ac:dyDescent="0.3">
      <c r="B1691" s="657">
        <v>127893</v>
      </c>
      <c r="C1691" s="657">
        <v>1218.6999999998484</v>
      </c>
      <c r="D1691" s="658">
        <v>128088</v>
      </c>
      <c r="E1691" s="658">
        <v>1218.7999999998483</v>
      </c>
      <c r="G1691" s="64">
        <v>1218.7999999998483</v>
      </c>
      <c r="H1691" s="658">
        <v>128088</v>
      </c>
      <c r="I1691" s="64">
        <v>1218.8999999998482</v>
      </c>
      <c r="J1691" s="658">
        <v>128284</v>
      </c>
    </row>
    <row r="1692" spans="2:10" ht="14.4" x14ac:dyDescent="0.3">
      <c r="B1692" s="657">
        <v>128088</v>
      </c>
      <c r="C1692" s="657">
        <v>1218.7999999998483</v>
      </c>
      <c r="D1692" s="658">
        <v>128284</v>
      </c>
      <c r="E1692" s="658">
        <v>1218.8999999998482</v>
      </c>
      <c r="G1692" s="64">
        <v>1218.8999999998482</v>
      </c>
      <c r="H1692" s="658">
        <v>128284</v>
      </c>
      <c r="I1692" s="64">
        <v>1218.9999999998481</v>
      </c>
      <c r="J1692" s="658">
        <v>128479</v>
      </c>
    </row>
    <row r="1693" spans="2:10" ht="14.4" x14ac:dyDescent="0.3">
      <c r="B1693" s="657">
        <v>128284</v>
      </c>
      <c r="C1693" s="657">
        <v>1218.8999999998482</v>
      </c>
      <c r="D1693" s="658">
        <v>128479</v>
      </c>
      <c r="E1693" s="658">
        <v>1218.9999999998481</v>
      </c>
      <c r="G1693" s="64">
        <v>1218.9999999998481</v>
      </c>
      <c r="H1693" s="658">
        <v>128479</v>
      </c>
      <c r="I1693" s="64">
        <v>1219.099999999848</v>
      </c>
      <c r="J1693" s="658">
        <v>128676</v>
      </c>
    </row>
    <row r="1694" spans="2:10" ht="14.4" x14ac:dyDescent="0.3">
      <c r="B1694" s="657">
        <v>128479</v>
      </c>
      <c r="C1694" s="657">
        <v>1218.9999999998481</v>
      </c>
      <c r="D1694" s="658">
        <v>128676</v>
      </c>
      <c r="E1694" s="658">
        <v>1219.099999999848</v>
      </c>
      <c r="G1694" s="64">
        <v>1219.099999999848</v>
      </c>
      <c r="H1694" s="658">
        <v>128676</v>
      </c>
      <c r="I1694" s="64">
        <v>1219.1999999998479</v>
      </c>
      <c r="J1694" s="658">
        <v>128873</v>
      </c>
    </row>
    <row r="1695" spans="2:10" ht="14.4" x14ac:dyDescent="0.3">
      <c r="B1695" s="657">
        <v>128676</v>
      </c>
      <c r="C1695" s="657">
        <v>1219.099999999848</v>
      </c>
      <c r="D1695" s="658">
        <v>128873</v>
      </c>
      <c r="E1695" s="658">
        <v>1219.1999999998479</v>
      </c>
      <c r="G1695" s="64">
        <v>1219.1999999998479</v>
      </c>
      <c r="H1695" s="658">
        <v>128873</v>
      </c>
      <c r="I1695" s="64">
        <v>1219.2999999998478</v>
      </c>
      <c r="J1695" s="658">
        <v>129070</v>
      </c>
    </row>
    <row r="1696" spans="2:10" ht="14.4" x14ac:dyDescent="0.3">
      <c r="B1696" s="657">
        <v>128873</v>
      </c>
      <c r="C1696" s="657">
        <v>1219.1999999998479</v>
      </c>
      <c r="D1696" s="658">
        <v>129070</v>
      </c>
      <c r="E1696" s="658">
        <v>1219.2999999998478</v>
      </c>
      <c r="G1696" s="64">
        <v>1219.2999999998478</v>
      </c>
      <c r="H1696" s="658">
        <v>129070</v>
      </c>
      <c r="I1696" s="64">
        <v>1219.3999999998478</v>
      </c>
      <c r="J1696" s="658">
        <v>129267</v>
      </c>
    </row>
    <row r="1697" spans="2:10" ht="14.4" x14ac:dyDescent="0.3">
      <c r="B1697" s="657">
        <v>129070</v>
      </c>
      <c r="C1697" s="657">
        <v>1219.2999999998478</v>
      </c>
      <c r="D1697" s="658">
        <v>129267</v>
      </c>
      <c r="E1697" s="658">
        <v>1219.3999999998478</v>
      </c>
      <c r="G1697" s="64">
        <v>1219.3999999998478</v>
      </c>
      <c r="H1697" s="658">
        <v>129267</v>
      </c>
      <c r="I1697" s="64">
        <v>1219.4999999998477</v>
      </c>
      <c r="J1697" s="658">
        <v>129464</v>
      </c>
    </row>
    <row r="1698" spans="2:10" ht="14.4" x14ac:dyDescent="0.3">
      <c r="B1698" s="657">
        <v>129267</v>
      </c>
      <c r="C1698" s="657">
        <v>1219.3999999998478</v>
      </c>
      <c r="D1698" s="658">
        <v>129464</v>
      </c>
      <c r="E1698" s="658">
        <v>1219.4999999998477</v>
      </c>
      <c r="G1698" s="64">
        <v>1219.4999999998477</v>
      </c>
      <c r="H1698" s="658">
        <v>129464</v>
      </c>
      <c r="I1698" s="64">
        <v>1219.5999999998476</v>
      </c>
      <c r="J1698" s="658">
        <v>129661</v>
      </c>
    </row>
    <row r="1699" spans="2:10" ht="14.4" x14ac:dyDescent="0.3">
      <c r="B1699" s="657">
        <v>129464</v>
      </c>
      <c r="C1699" s="657">
        <v>1219.4999999998477</v>
      </c>
      <c r="D1699" s="658">
        <v>129661</v>
      </c>
      <c r="E1699" s="658">
        <v>1219.5999999998476</v>
      </c>
      <c r="G1699" s="64">
        <v>1219.5999999998476</v>
      </c>
      <c r="H1699" s="658">
        <v>129661</v>
      </c>
      <c r="I1699" s="64">
        <v>1219.6999999998475</v>
      </c>
      <c r="J1699" s="658">
        <v>129858</v>
      </c>
    </row>
    <row r="1700" spans="2:10" ht="14.4" x14ac:dyDescent="0.3">
      <c r="B1700" s="657">
        <v>129661</v>
      </c>
      <c r="C1700" s="657">
        <v>1219.5999999998476</v>
      </c>
      <c r="D1700" s="658">
        <v>129858</v>
      </c>
      <c r="E1700" s="658">
        <v>1219.6999999998475</v>
      </c>
      <c r="G1700" s="64">
        <v>1219.6999999998475</v>
      </c>
      <c r="H1700" s="658">
        <v>129858</v>
      </c>
      <c r="I1700" s="64">
        <v>1219.7999999998474</v>
      </c>
      <c r="J1700" s="658">
        <v>130055</v>
      </c>
    </row>
    <row r="1701" spans="2:10" ht="14.4" x14ac:dyDescent="0.3">
      <c r="B1701" s="657">
        <v>129858</v>
      </c>
      <c r="C1701" s="657">
        <v>1219.6999999998475</v>
      </c>
      <c r="D1701" s="658">
        <v>130055</v>
      </c>
      <c r="E1701" s="658">
        <v>1219.7999999998474</v>
      </c>
      <c r="G1701" s="64">
        <v>1219.7999999998474</v>
      </c>
      <c r="H1701" s="658">
        <v>130055</v>
      </c>
      <c r="I1701" s="64">
        <v>1219.8999999998473</v>
      </c>
      <c r="J1701" s="658">
        <v>130252</v>
      </c>
    </row>
    <row r="1702" spans="2:10" ht="14.4" x14ac:dyDescent="0.3">
      <c r="B1702" s="657">
        <v>130055</v>
      </c>
      <c r="C1702" s="657">
        <v>1219.7999999998474</v>
      </c>
      <c r="D1702" s="658">
        <v>130252</v>
      </c>
      <c r="E1702" s="658">
        <v>1219.8999999998473</v>
      </c>
      <c r="G1702" s="64">
        <v>1219.8999999998473</v>
      </c>
      <c r="H1702" s="658">
        <v>130252</v>
      </c>
      <c r="I1702" s="64">
        <v>1219.9999999998472</v>
      </c>
      <c r="J1702" s="658">
        <v>130449</v>
      </c>
    </row>
    <row r="1703" spans="2:10" ht="14.4" x14ac:dyDescent="0.3">
      <c r="B1703" s="657">
        <v>130252</v>
      </c>
      <c r="C1703" s="657">
        <v>1219.8999999998473</v>
      </c>
      <c r="D1703" s="658">
        <v>130449</v>
      </c>
      <c r="E1703" s="658">
        <v>1219.9999999998472</v>
      </c>
      <c r="G1703" s="64">
        <v>1219.9999999998472</v>
      </c>
      <c r="H1703" s="658">
        <v>130449</v>
      </c>
      <c r="I1703" s="64">
        <v>1220.0999999998471</v>
      </c>
      <c r="J1703" s="658">
        <v>130649</v>
      </c>
    </row>
    <row r="1704" spans="2:10" ht="14.4" x14ac:dyDescent="0.3">
      <c r="B1704" s="657">
        <v>130449</v>
      </c>
      <c r="C1704" s="657">
        <v>1219.9999999998472</v>
      </c>
      <c r="D1704" s="658">
        <v>130649</v>
      </c>
      <c r="E1704" s="658">
        <v>1220.0999999998471</v>
      </c>
      <c r="G1704" s="64">
        <v>1220.0999999998471</v>
      </c>
      <c r="H1704" s="658">
        <v>130649</v>
      </c>
      <c r="I1704" s="64">
        <v>1220.199999999847</v>
      </c>
      <c r="J1704" s="658">
        <v>130848</v>
      </c>
    </row>
    <row r="1705" spans="2:10" ht="14.4" x14ac:dyDescent="0.3">
      <c r="B1705" s="657">
        <v>130649</v>
      </c>
      <c r="C1705" s="657">
        <v>1220.0999999998471</v>
      </c>
      <c r="D1705" s="658">
        <v>130848</v>
      </c>
      <c r="E1705" s="658">
        <v>1220.199999999847</v>
      </c>
      <c r="G1705" s="64">
        <v>1220.199999999847</v>
      </c>
      <c r="H1705" s="658">
        <v>130848</v>
      </c>
      <c r="I1705" s="64">
        <v>1220.2999999998469</v>
      </c>
      <c r="J1705" s="658">
        <v>131048</v>
      </c>
    </row>
    <row r="1706" spans="2:10" ht="14.4" x14ac:dyDescent="0.3">
      <c r="B1706" s="657">
        <v>130848</v>
      </c>
      <c r="C1706" s="657">
        <v>1220.199999999847</v>
      </c>
      <c r="D1706" s="658">
        <v>131048</v>
      </c>
      <c r="E1706" s="658">
        <v>1220.2999999998469</v>
      </c>
      <c r="G1706" s="64">
        <v>1220.2999999998469</v>
      </c>
      <c r="H1706" s="658">
        <v>131048</v>
      </c>
      <c r="I1706" s="64">
        <v>1220.3999999998468</v>
      </c>
      <c r="J1706" s="658">
        <v>131248</v>
      </c>
    </row>
    <row r="1707" spans="2:10" ht="14.4" x14ac:dyDescent="0.3">
      <c r="B1707" s="657">
        <v>131048</v>
      </c>
      <c r="C1707" s="657">
        <v>1220.2999999998469</v>
      </c>
      <c r="D1707" s="658">
        <v>131248</v>
      </c>
      <c r="E1707" s="658">
        <v>1220.3999999998468</v>
      </c>
      <c r="G1707" s="64">
        <v>1220.3999999998468</v>
      </c>
      <c r="H1707" s="658">
        <v>131248</v>
      </c>
      <c r="I1707" s="64">
        <v>1220.4999999998468</v>
      </c>
      <c r="J1707" s="658">
        <v>131448</v>
      </c>
    </row>
    <row r="1708" spans="2:10" ht="14.4" x14ac:dyDescent="0.3">
      <c r="B1708" s="657">
        <v>131248</v>
      </c>
      <c r="C1708" s="657">
        <v>1220.3999999998468</v>
      </c>
      <c r="D1708" s="658">
        <v>131448</v>
      </c>
      <c r="E1708" s="658">
        <v>1220.4999999998468</v>
      </c>
      <c r="G1708" s="64">
        <v>1220.4999999998468</v>
      </c>
      <c r="H1708" s="658">
        <v>131448</v>
      </c>
      <c r="I1708" s="64">
        <v>1220.5999999998467</v>
      </c>
      <c r="J1708" s="658">
        <v>131647</v>
      </c>
    </row>
    <row r="1709" spans="2:10" ht="14.4" x14ac:dyDescent="0.3">
      <c r="B1709" s="657">
        <v>131448</v>
      </c>
      <c r="C1709" s="657">
        <v>1220.4999999998468</v>
      </c>
      <c r="D1709" s="658">
        <v>131647</v>
      </c>
      <c r="E1709" s="658">
        <v>1220.5999999998467</v>
      </c>
      <c r="G1709" s="64">
        <v>1220.5999999998467</v>
      </c>
      <c r="H1709" s="658">
        <v>131647</v>
      </c>
      <c r="I1709" s="64">
        <v>1220.6999999998466</v>
      </c>
      <c r="J1709" s="658">
        <v>131847</v>
      </c>
    </row>
    <row r="1710" spans="2:10" ht="14.4" x14ac:dyDescent="0.3">
      <c r="B1710" s="657">
        <v>131647</v>
      </c>
      <c r="C1710" s="657">
        <v>1220.5999999998467</v>
      </c>
      <c r="D1710" s="658">
        <v>131847</v>
      </c>
      <c r="E1710" s="658">
        <v>1220.6999999998466</v>
      </c>
      <c r="G1710" s="64">
        <v>1220.6999999998466</v>
      </c>
      <c r="H1710" s="658">
        <v>131847</v>
      </c>
      <c r="I1710" s="64">
        <v>1220.7999999998465</v>
      </c>
      <c r="J1710" s="658">
        <v>132047</v>
      </c>
    </row>
    <row r="1711" spans="2:10" ht="14.4" x14ac:dyDescent="0.3">
      <c r="B1711" s="657">
        <v>131847</v>
      </c>
      <c r="C1711" s="657">
        <v>1220.6999999998466</v>
      </c>
      <c r="D1711" s="658">
        <v>132047</v>
      </c>
      <c r="E1711" s="658">
        <v>1220.7999999998465</v>
      </c>
      <c r="G1711" s="64">
        <v>1220.7999999998465</v>
      </c>
      <c r="H1711" s="658">
        <v>132047</v>
      </c>
      <c r="I1711" s="64">
        <v>1220.8999999998464</v>
      </c>
      <c r="J1711" s="658">
        <v>132246</v>
      </c>
    </row>
    <row r="1712" spans="2:10" ht="14.4" x14ac:dyDescent="0.3">
      <c r="B1712" s="657">
        <v>132047</v>
      </c>
      <c r="C1712" s="657">
        <v>1220.7999999998465</v>
      </c>
      <c r="D1712" s="658">
        <v>132246</v>
      </c>
      <c r="E1712" s="658">
        <v>1220.8999999998464</v>
      </c>
      <c r="G1712" s="64">
        <v>1220.8999999998464</v>
      </c>
      <c r="H1712" s="658">
        <v>132246</v>
      </c>
      <c r="I1712" s="64">
        <v>1220.9999999998463</v>
      </c>
      <c r="J1712" s="658">
        <v>132446</v>
      </c>
    </row>
    <row r="1713" spans="2:10" ht="14.4" x14ac:dyDescent="0.3">
      <c r="B1713" s="657">
        <v>132246</v>
      </c>
      <c r="C1713" s="657">
        <v>1220.8999999998464</v>
      </c>
      <c r="D1713" s="658">
        <v>132446</v>
      </c>
      <c r="E1713" s="658">
        <v>1220.9999999998463</v>
      </c>
      <c r="G1713" s="64">
        <v>1220.9999999998463</v>
      </c>
      <c r="H1713" s="658">
        <v>132446</v>
      </c>
      <c r="I1713" s="64">
        <v>1221.0999999998462</v>
      </c>
      <c r="J1713" s="658">
        <v>132648</v>
      </c>
    </row>
    <row r="1714" spans="2:10" ht="14.4" x14ac:dyDescent="0.3">
      <c r="B1714" s="657">
        <v>132446</v>
      </c>
      <c r="C1714" s="657">
        <v>1220.9999999998463</v>
      </c>
      <c r="D1714" s="658">
        <v>132648</v>
      </c>
      <c r="E1714" s="658">
        <v>1221.0999999998462</v>
      </c>
      <c r="G1714" s="64">
        <v>1221.0999999998462</v>
      </c>
      <c r="H1714" s="658">
        <v>132648</v>
      </c>
      <c r="I1714" s="64">
        <v>1221.1999999998461</v>
      </c>
      <c r="J1714" s="658">
        <v>132851</v>
      </c>
    </row>
    <row r="1715" spans="2:10" ht="14.4" x14ac:dyDescent="0.3">
      <c r="B1715" s="657">
        <v>132648</v>
      </c>
      <c r="C1715" s="657">
        <v>1221.0999999998462</v>
      </c>
      <c r="D1715" s="658">
        <v>132851</v>
      </c>
      <c r="E1715" s="658">
        <v>1221.1999999998461</v>
      </c>
      <c r="G1715" s="64">
        <v>1221.1999999998461</v>
      </c>
      <c r="H1715" s="658">
        <v>132851</v>
      </c>
      <c r="I1715" s="64">
        <v>1221.299999999846</v>
      </c>
      <c r="J1715" s="658">
        <v>133053</v>
      </c>
    </row>
    <row r="1716" spans="2:10" ht="14.4" x14ac:dyDescent="0.3">
      <c r="B1716" s="657">
        <v>132851</v>
      </c>
      <c r="C1716" s="657">
        <v>1221.1999999998461</v>
      </c>
      <c r="D1716" s="658">
        <v>133053</v>
      </c>
      <c r="E1716" s="658">
        <v>1221.299999999846</v>
      </c>
      <c r="G1716" s="64">
        <v>1221.299999999846</v>
      </c>
      <c r="H1716" s="658">
        <v>133053</v>
      </c>
      <c r="I1716" s="64">
        <v>1221.3999999998459</v>
      </c>
      <c r="J1716" s="658">
        <v>133256</v>
      </c>
    </row>
    <row r="1717" spans="2:10" ht="14.4" x14ac:dyDescent="0.3">
      <c r="B1717" s="657">
        <v>133053</v>
      </c>
      <c r="C1717" s="657">
        <v>1221.299999999846</v>
      </c>
      <c r="D1717" s="658">
        <v>133256</v>
      </c>
      <c r="E1717" s="658">
        <v>1221.3999999998459</v>
      </c>
      <c r="G1717" s="64">
        <v>1221.3999999998459</v>
      </c>
      <c r="H1717" s="658">
        <v>133256</v>
      </c>
      <c r="I1717" s="64">
        <v>1221.4999999998458</v>
      </c>
      <c r="J1717" s="658">
        <v>133458</v>
      </c>
    </row>
    <row r="1718" spans="2:10" ht="14.4" x14ac:dyDescent="0.3">
      <c r="B1718" s="657">
        <v>133256</v>
      </c>
      <c r="C1718" s="657">
        <v>1221.3999999998459</v>
      </c>
      <c r="D1718" s="658">
        <v>133458</v>
      </c>
      <c r="E1718" s="658">
        <v>1221.4999999998458</v>
      </c>
      <c r="G1718" s="64">
        <v>1221.4999999998458</v>
      </c>
      <c r="H1718" s="658">
        <v>133458</v>
      </c>
      <c r="I1718" s="64">
        <v>1221.5999999998457</v>
      </c>
      <c r="J1718" s="658">
        <v>133660</v>
      </c>
    </row>
    <row r="1719" spans="2:10" ht="14.4" x14ac:dyDescent="0.3">
      <c r="B1719" s="657">
        <v>133458</v>
      </c>
      <c r="C1719" s="657">
        <v>1221.4999999998458</v>
      </c>
      <c r="D1719" s="658">
        <v>133660</v>
      </c>
      <c r="E1719" s="658">
        <v>1221.5999999998457</v>
      </c>
      <c r="G1719" s="64">
        <v>1221.5999999998457</v>
      </c>
      <c r="H1719" s="658">
        <v>133660</v>
      </c>
      <c r="I1719" s="64">
        <v>1221.6999999998457</v>
      </c>
      <c r="J1719" s="658">
        <v>133863</v>
      </c>
    </row>
    <row r="1720" spans="2:10" ht="14.4" x14ac:dyDescent="0.3">
      <c r="B1720" s="657">
        <v>133660</v>
      </c>
      <c r="C1720" s="657">
        <v>1221.5999999998457</v>
      </c>
      <c r="D1720" s="658">
        <v>133863</v>
      </c>
      <c r="E1720" s="658">
        <v>1221.6999999998457</v>
      </c>
      <c r="G1720" s="64">
        <v>1221.6999999998457</v>
      </c>
      <c r="H1720" s="658">
        <v>133863</v>
      </c>
      <c r="I1720" s="64">
        <v>1221.7999999998456</v>
      </c>
      <c r="J1720" s="658">
        <v>134065</v>
      </c>
    </row>
    <row r="1721" spans="2:10" ht="14.4" x14ac:dyDescent="0.3">
      <c r="B1721" s="657">
        <v>133863</v>
      </c>
      <c r="C1721" s="657">
        <v>1221.6999999998457</v>
      </c>
      <c r="D1721" s="658">
        <v>134065</v>
      </c>
      <c r="E1721" s="658">
        <v>1221.7999999998456</v>
      </c>
      <c r="G1721" s="64">
        <v>1221.7999999998456</v>
      </c>
      <c r="H1721" s="658">
        <v>134065</v>
      </c>
      <c r="I1721" s="64">
        <v>1221.8999999998455</v>
      </c>
      <c r="J1721" s="658">
        <v>134268</v>
      </c>
    </row>
    <row r="1722" spans="2:10" ht="14.4" x14ac:dyDescent="0.3">
      <c r="B1722" s="657">
        <v>134065</v>
      </c>
      <c r="C1722" s="657">
        <v>1221.7999999998456</v>
      </c>
      <c r="D1722" s="658">
        <v>134268</v>
      </c>
      <c r="E1722" s="658">
        <v>1221.8999999998455</v>
      </c>
      <c r="G1722" s="64">
        <v>1221.8999999998455</v>
      </c>
      <c r="H1722" s="658">
        <v>134268</v>
      </c>
      <c r="I1722" s="64">
        <v>1221.9999999998454</v>
      </c>
      <c r="J1722" s="658">
        <v>134470</v>
      </c>
    </row>
    <row r="1723" spans="2:10" ht="14.4" x14ac:dyDescent="0.3">
      <c r="B1723" s="657">
        <v>134268</v>
      </c>
      <c r="C1723" s="657">
        <v>1221.8999999998455</v>
      </c>
      <c r="D1723" s="658">
        <v>134470</v>
      </c>
      <c r="E1723" s="658">
        <v>1221.9999999998454</v>
      </c>
      <c r="G1723" s="64">
        <v>1221.9999999998454</v>
      </c>
      <c r="H1723" s="658">
        <v>134470</v>
      </c>
      <c r="I1723" s="64">
        <v>1222.0999999998453</v>
      </c>
      <c r="J1723" s="658">
        <v>134675</v>
      </c>
    </row>
    <row r="1724" spans="2:10" ht="14.4" x14ac:dyDescent="0.3">
      <c r="B1724" s="657">
        <v>134470</v>
      </c>
      <c r="C1724" s="657">
        <v>1221.9999999998454</v>
      </c>
      <c r="D1724" s="658">
        <v>134675</v>
      </c>
      <c r="E1724" s="658">
        <v>1222.0999999998453</v>
      </c>
      <c r="G1724" s="64">
        <v>1222.0999999998453</v>
      </c>
      <c r="H1724" s="658">
        <v>134675</v>
      </c>
      <c r="I1724" s="64">
        <v>1222.1999999998452</v>
      </c>
      <c r="J1724" s="658">
        <v>134880</v>
      </c>
    </row>
    <row r="1725" spans="2:10" ht="14.4" x14ac:dyDescent="0.3">
      <c r="B1725" s="657">
        <v>134675</v>
      </c>
      <c r="C1725" s="657">
        <v>1222.0999999998453</v>
      </c>
      <c r="D1725" s="658">
        <v>134880</v>
      </c>
      <c r="E1725" s="658">
        <v>1222.1999999998452</v>
      </c>
      <c r="G1725" s="64">
        <v>1222.1999999998452</v>
      </c>
      <c r="H1725" s="658">
        <v>134880</v>
      </c>
      <c r="I1725" s="64">
        <v>1222.2999999998451</v>
      </c>
      <c r="J1725" s="658">
        <v>135085</v>
      </c>
    </row>
    <row r="1726" spans="2:10" ht="14.4" x14ac:dyDescent="0.3">
      <c r="B1726" s="657">
        <v>134880</v>
      </c>
      <c r="C1726" s="657">
        <v>1222.1999999998452</v>
      </c>
      <c r="D1726" s="658">
        <v>135085</v>
      </c>
      <c r="E1726" s="658">
        <v>1222.2999999998451</v>
      </c>
      <c r="G1726" s="64">
        <v>1222.2999999998451</v>
      </c>
      <c r="H1726" s="658">
        <v>135085</v>
      </c>
      <c r="I1726" s="64">
        <v>1222.399999999845</v>
      </c>
      <c r="J1726" s="658">
        <v>135290</v>
      </c>
    </row>
    <row r="1727" spans="2:10" ht="14.4" x14ac:dyDescent="0.3">
      <c r="B1727" s="657">
        <v>135085</v>
      </c>
      <c r="C1727" s="657">
        <v>1222.2999999998451</v>
      </c>
      <c r="D1727" s="658">
        <v>135290</v>
      </c>
      <c r="E1727" s="658">
        <v>1222.399999999845</v>
      </c>
      <c r="G1727" s="64">
        <v>1222.399999999845</v>
      </c>
      <c r="H1727" s="658">
        <v>135290</v>
      </c>
      <c r="I1727" s="64">
        <v>1222.4999999998449</v>
      </c>
      <c r="J1727" s="658">
        <v>135496</v>
      </c>
    </row>
    <row r="1728" spans="2:10" ht="14.4" x14ac:dyDescent="0.3">
      <c r="B1728" s="657">
        <v>135290</v>
      </c>
      <c r="C1728" s="657">
        <v>1222.399999999845</v>
      </c>
      <c r="D1728" s="658">
        <v>135496</v>
      </c>
      <c r="E1728" s="658">
        <v>1222.4999999998449</v>
      </c>
      <c r="G1728" s="64">
        <v>1222.4999999998449</v>
      </c>
      <c r="H1728" s="658">
        <v>135496</v>
      </c>
      <c r="I1728" s="64">
        <v>1222.5999999998448</v>
      </c>
      <c r="J1728" s="658">
        <v>135701</v>
      </c>
    </row>
    <row r="1729" spans="2:10" ht="14.4" x14ac:dyDescent="0.3">
      <c r="B1729" s="657">
        <v>135496</v>
      </c>
      <c r="C1729" s="657">
        <v>1222.4999999998449</v>
      </c>
      <c r="D1729" s="658">
        <v>135701</v>
      </c>
      <c r="E1729" s="658">
        <v>1222.5999999998448</v>
      </c>
      <c r="G1729" s="64">
        <v>1222.5999999998448</v>
      </c>
      <c r="H1729" s="658">
        <v>135701</v>
      </c>
      <c r="I1729" s="64">
        <v>1222.6999999998447</v>
      </c>
      <c r="J1729" s="658">
        <v>135906</v>
      </c>
    </row>
    <row r="1730" spans="2:10" ht="14.4" x14ac:dyDescent="0.3">
      <c r="B1730" s="657">
        <v>135701</v>
      </c>
      <c r="C1730" s="657">
        <v>1222.5999999998448</v>
      </c>
      <c r="D1730" s="658">
        <v>135906</v>
      </c>
      <c r="E1730" s="658">
        <v>1222.6999999998447</v>
      </c>
      <c r="G1730" s="64">
        <v>1222.6999999998447</v>
      </c>
      <c r="H1730" s="658">
        <v>135906</v>
      </c>
      <c r="I1730" s="64">
        <v>1222.7999999998447</v>
      </c>
      <c r="J1730" s="658">
        <v>136111</v>
      </c>
    </row>
    <row r="1731" spans="2:10" ht="14.4" x14ac:dyDescent="0.3">
      <c r="B1731" s="657">
        <v>135906</v>
      </c>
      <c r="C1731" s="657">
        <v>1222.6999999998447</v>
      </c>
      <c r="D1731" s="658">
        <v>136111</v>
      </c>
      <c r="E1731" s="658">
        <v>1222.7999999998447</v>
      </c>
      <c r="G1731" s="64">
        <v>1222.7999999998447</v>
      </c>
      <c r="H1731" s="658">
        <v>136111</v>
      </c>
      <c r="I1731" s="64">
        <v>1222.8999999998446</v>
      </c>
      <c r="J1731" s="658">
        <v>136316</v>
      </c>
    </row>
    <row r="1732" spans="2:10" ht="14.4" x14ac:dyDescent="0.3">
      <c r="B1732" s="657">
        <v>136111</v>
      </c>
      <c r="C1732" s="657">
        <v>1222.7999999998447</v>
      </c>
      <c r="D1732" s="658">
        <v>136316</v>
      </c>
      <c r="E1732" s="658">
        <v>1222.8999999998446</v>
      </c>
      <c r="G1732" s="64">
        <v>1222.8999999998446</v>
      </c>
      <c r="H1732" s="658">
        <v>136316</v>
      </c>
      <c r="I1732" s="64">
        <v>1222.9999999998445</v>
      </c>
      <c r="J1732" s="658">
        <v>136521</v>
      </c>
    </row>
    <row r="1733" spans="2:10" ht="14.4" x14ac:dyDescent="0.3">
      <c r="B1733" s="657">
        <v>136316</v>
      </c>
      <c r="C1733" s="657">
        <v>1222.8999999998446</v>
      </c>
      <c r="D1733" s="658">
        <v>136521</v>
      </c>
      <c r="E1733" s="658">
        <v>1222.9999999998445</v>
      </c>
      <c r="G1733" s="64">
        <v>1222.9999999998445</v>
      </c>
      <c r="H1733" s="658">
        <v>136521</v>
      </c>
      <c r="I1733" s="64">
        <v>1223.0999999998444</v>
      </c>
      <c r="J1733" s="658">
        <v>136729</v>
      </c>
    </row>
    <row r="1734" spans="2:10" ht="14.4" x14ac:dyDescent="0.3">
      <c r="B1734" s="657">
        <v>136521</v>
      </c>
      <c r="C1734" s="657">
        <v>1222.9999999998445</v>
      </c>
      <c r="D1734" s="658">
        <v>136729</v>
      </c>
      <c r="E1734" s="658">
        <v>1223.0999999998444</v>
      </c>
      <c r="G1734" s="64">
        <v>1223.0999999998444</v>
      </c>
      <c r="H1734" s="658">
        <v>136729</v>
      </c>
      <c r="I1734" s="64">
        <v>1223.1999999998443</v>
      </c>
      <c r="J1734" s="658">
        <v>136937</v>
      </c>
    </row>
    <row r="1735" spans="2:10" ht="14.4" x14ac:dyDescent="0.3">
      <c r="B1735" s="657">
        <v>136729</v>
      </c>
      <c r="C1735" s="657">
        <v>1223.0999999998444</v>
      </c>
      <c r="D1735" s="658">
        <v>136937</v>
      </c>
      <c r="E1735" s="658">
        <v>1223.1999999998443</v>
      </c>
      <c r="G1735" s="64">
        <v>1223.1999999998443</v>
      </c>
      <c r="H1735" s="658">
        <v>136937</v>
      </c>
      <c r="I1735" s="64">
        <v>1223.2999999998442</v>
      </c>
      <c r="J1735" s="658">
        <v>137144</v>
      </c>
    </row>
    <row r="1736" spans="2:10" ht="14.4" x14ac:dyDescent="0.3">
      <c r="B1736" s="657">
        <v>136937</v>
      </c>
      <c r="C1736" s="657">
        <v>1223.1999999998443</v>
      </c>
      <c r="D1736" s="658">
        <v>137144</v>
      </c>
      <c r="E1736" s="658">
        <v>1223.2999999998442</v>
      </c>
      <c r="G1736" s="64">
        <v>1223.2999999998442</v>
      </c>
      <c r="H1736" s="658">
        <v>137144</v>
      </c>
      <c r="I1736" s="64">
        <v>1223.3999999998441</v>
      </c>
      <c r="J1736" s="658">
        <v>137352</v>
      </c>
    </row>
    <row r="1737" spans="2:10" ht="14.4" x14ac:dyDescent="0.3">
      <c r="B1737" s="657">
        <v>137144</v>
      </c>
      <c r="C1737" s="657">
        <v>1223.2999999998442</v>
      </c>
      <c r="D1737" s="658">
        <v>137352</v>
      </c>
      <c r="E1737" s="658">
        <v>1223.3999999998441</v>
      </c>
      <c r="G1737" s="64">
        <v>1223.3999999998441</v>
      </c>
      <c r="H1737" s="658">
        <v>137352</v>
      </c>
      <c r="I1737" s="64">
        <v>1223.499999999844</v>
      </c>
      <c r="J1737" s="658">
        <v>137560</v>
      </c>
    </row>
    <row r="1738" spans="2:10" ht="14.4" x14ac:dyDescent="0.3">
      <c r="B1738" s="657">
        <v>137352</v>
      </c>
      <c r="C1738" s="657">
        <v>1223.3999999998441</v>
      </c>
      <c r="D1738" s="658">
        <v>137560</v>
      </c>
      <c r="E1738" s="658">
        <v>1223.499999999844</v>
      </c>
      <c r="G1738" s="64">
        <v>1223.499999999844</v>
      </c>
      <c r="H1738" s="658">
        <v>137560</v>
      </c>
      <c r="I1738" s="64">
        <v>1223.5999999998439</v>
      </c>
      <c r="J1738" s="658">
        <v>137768</v>
      </c>
    </row>
    <row r="1739" spans="2:10" ht="14.4" x14ac:dyDescent="0.3">
      <c r="B1739" s="657">
        <v>137560</v>
      </c>
      <c r="C1739" s="657">
        <v>1223.499999999844</v>
      </c>
      <c r="D1739" s="658">
        <v>137768</v>
      </c>
      <c r="E1739" s="658">
        <v>1223.5999999998439</v>
      </c>
      <c r="G1739" s="64">
        <v>1223.5999999998439</v>
      </c>
      <c r="H1739" s="658">
        <v>137768</v>
      </c>
      <c r="I1739" s="64">
        <v>1223.6999999998438</v>
      </c>
      <c r="J1739" s="658">
        <v>137976</v>
      </c>
    </row>
    <row r="1740" spans="2:10" ht="14.4" x14ac:dyDescent="0.3">
      <c r="B1740" s="657">
        <v>137768</v>
      </c>
      <c r="C1740" s="657">
        <v>1223.5999999998439</v>
      </c>
      <c r="D1740" s="658">
        <v>137976</v>
      </c>
      <c r="E1740" s="658">
        <v>1223.6999999998438</v>
      </c>
      <c r="G1740" s="64">
        <v>1223.6999999998438</v>
      </c>
      <c r="H1740" s="658">
        <v>137976</v>
      </c>
      <c r="I1740" s="64">
        <v>1223.7999999998437</v>
      </c>
      <c r="J1740" s="658">
        <v>138183</v>
      </c>
    </row>
    <row r="1741" spans="2:10" ht="14.4" x14ac:dyDescent="0.3">
      <c r="B1741" s="657">
        <v>137976</v>
      </c>
      <c r="C1741" s="657">
        <v>1223.6999999998438</v>
      </c>
      <c r="D1741" s="658">
        <v>138183</v>
      </c>
      <c r="E1741" s="658">
        <v>1223.7999999998437</v>
      </c>
      <c r="G1741" s="64">
        <v>1223.7999999998437</v>
      </c>
      <c r="H1741" s="658">
        <v>138183</v>
      </c>
      <c r="I1741" s="64">
        <v>1223.8999999998437</v>
      </c>
      <c r="J1741" s="658">
        <v>138391</v>
      </c>
    </row>
    <row r="1742" spans="2:10" ht="14.4" x14ac:dyDescent="0.3">
      <c r="B1742" s="657">
        <v>138183</v>
      </c>
      <c r="C1742" s="657">
        <v>1223.7999999998437</v>
      </c>
      <c r="D1742" s="658">
        <v>138391</v>
      </c>
      <c r="E1742" s="658">
        <v>1223.8999999998437</v>
      </c>
      <c r="G1742" s="64">
        <v>1223.8999999998437</v>
      </c>
      <c r="H1742" s="658">
        <v>138391</v>
      </c>
      <c r="I1742" s="64">
        <v>1223.9999999998436</v>
      </c>
      <c r="J1742" s="658">
        <v>138599</v>
      </c>
    </row>
    <row r="1743" spans="2:10" ht="14.4" x14ac:dyDescent="0.3">
      <c r="B1743" s="657">
        <v>138391</v>
      </c>
      <c r="C1743" s="657">
        <v>1223.8999999998437</v>
      </c>
      <c r="D1743" s="658">
        <v>138599</v>
      </c>
      <c r="E1743" s="658">
        <v>1223.9999999998436</v>
      </c>
      <c r="G1743" s="64">
        <v>1223.9999999998436</v>
      </c>
      <c r="H1743" s="658">
        <v>138599</v>
      </c>
      <c r="I1743" s="64">
        <v>1224.0999999998435</v>
      </c>
      <c r="J1743" s="658">
        <v>138810</v>
      </c>
    </row>
    <row r="1744" spans="2:10" ht="14.4" x14ac:dyDescent="0.3">
      <c r="B1744" s="657">
        <v>138599</v>
      </c>
      <c r="C1744" s="657">
        <v>1223.9999999998436</v>
      </c>
      <c r="D1744" s="658">
        <v>138810</v>
      </c>
      <c r="E1744" s="658">
        <v>1224.0999999998435</v>
      </c>
      <c r="G1744" s="64">
        <v>1224.0999999998435</v>
      </c>
      <c r="H1744" s="658">
        <v>138810</v>
      </c>
      <c r="I1744" s="64">
        <v>1224.1999999998434</v>
      </c>
      <c r="J1744" s="658">
        <v>139020</v>
      </c>
    </row>
    <row r="1745" spans="2:10" ht="14.4" x14ac:dyDescent="0.3">
      <c r="B1745" s="657">
        <v>138810</v>
      </c>
      <c r="C1745" s="657">
        <v>1224.0999999998435</v>
      </c>
      <c r="D1745" s="658">
        <v>139020</v>
      </c>
      <c r="E1745" s="658">
        <v>1224.1999999998434</v>
      </c>
      <c r="G1745" s="64">
        <v>1224.1999999998434</v>
      </c>
      <c r="H1745" s="658">
        <v>139020</v>
      </c>
      <c r="I1745" s="64">
        <v>1224.2999999998433</v>
      </c>
      <c r="J1745" s="658">
        <v>139231</v>
      </c>
    </row>
    <row r="1746" spans="2:10" ht="14.4" x14ac:dyDescent="0.3">
      <c r="B1746" s="657">
        <v>139020</v>
      </c>
      <c r="C1746" s="657">
        <v>1224.1999999998434</v>
      </c>
      <c r="D1746" s="658">
        <v>139231</v>
      </c>
      <c r="E1746" s="658">
        <v>1224.2999999998433</v>
      </c>
      <c r="G1746" s="64">
        <v>1224.2999999998433</v>
      </c>
      <c r="H1746" s="658">
        <v>139231</v>
      </c>
      <c r="I1746" s="64">
        <v>1224.3999999998432</v>
      </c>
      <c r="J1746" s="658">
        <v>139441</v>
      </c>
    </row>
    <row r="1747" spans="2:10" ht="14.4" x14ac:dyDescent="0.3">
      <c r="B1747" s="657">
        <v>139231</v>
      </c>
      <c r="C1747" s="657">
        <v>1224.2999999998433</v>
      </c>
      <c r="D1747" s="658">
        <v>139441</v>
      </c>
      <c r="E1747" s="658">
        <v>1224.3999999998432</v>
      </c>
      <c r="G1747" s="64">
        <v>1224.3999999998432</v>
      </c>
      <c r="H1747" s="658">
        <v>139441</v>
      </c>
      <c r="I1747" s="64">
        <v>1224.4999999998431</v>
      </c>
      <c r="J1747" s="658">
        <v>139652</v>
      </c>
    </row>
    <row r="1748" spans="2:10" ht="14.4" x14ac:dyDescent="0.3">
      <c r="B1748" s="657">
        <v>139441</v>
      </c>
      <c r="C1748" s="657">
        <v>1224.3999999998432</v>
      </c>
      <c r="D1748" s="658">
        <v>139652</v>
      </c>
      <c r="E1748" s="658">
        <v>1224.4999999998431</v>
      </c>
      <c r="G1748" s="64">
        <v>1224.4999999998431</v>
      </c>
      <c r="H1748" s="658">
        <v>139652</v>
      </c>
      <c r="I1748" s="64">
        <v>1224.599999999843</v>
      </c>
      <c r="J1748" s="658">
        <v>139862</v>
      </c>
    </row>
    <row r="1749" spans="2:10" ht="14.4" x14ac:dyDescent="0.3">
      <c r="B1749" s="657">
        <v>139652</v>
      </c>
      <c r="C1749" s="657">
        <v>1224.4999999998431</v>
      </c>
      <c r="D1749" s="658">
        <v>139862</v>
      </c>
      <c r="E1749" s="658">
        <v>1224.599999999843</v>
      </c>
      <c r="G1749" s="64">
        <v>1224.599999999843</v>
      </c>
      <c r="H1749" s="658">
        <v>139862</v>
      </c>
      <c r="I1749" s="64">
        <v>1224.6999999998429</v>
      </c>
      <c r="J1749" s="658">
        <v>140073</v>
      </c>
    </row>
    <row r="1750" spans="2:10" ht="14.4" x14ac:dyDescent="0.3">
      <c r="B1750" s="657">
        <v>139862</v>
      </c>
      <c r="C1750" s="657">
        <v>1224.599999999843</v>
      </c>
      <c r="D1750" s="658">
        <v>140073</v>
      </c>
      <c r="E1750" s="658">
        <v>1224.6999999998429</v>
      </c>
      <c r="G1750" s="64">
        <v>1224.6999999998429</v>
      </c>
      <c r="H1750" s="658">
        <v>140073</v>
      </c>
      <c r="I1750" s="64">
        <v>1224.7999999998428</v>
      </c>
      <c r="J1750" s="658">
        <v>140283</v>
      </c>
    </row>
    <row r="1751" spans="2:10" ht="14.4" x14ac:dyDescent="0.3">
      <c r="B1751" s="657">
        <v>140073</v>
      </c>
      <c r="C1751" s="657">
        <v>1224.6999999998429</v>
      </c>
      <c r="D1751" s="658">
        <v>140283</v>
      </c>
      <c r="E1751" s="658">
        <v>1224.7999999998428</v>
      </c>
      <c r="G1751" s="64">
        <v>1224.7999999998428</v>
      </c>
      <c r="H1751" s="658">
        <v>140283</v>
      </c>
      <c r="I1751" s="64">
        <v>1224.8999999998427</v>
      </c>
      <c r="J1751" s="658">
        <v>140494</v>
      </c>
    </row>
    <row r="1752" spans="2:10" ht="14.4" x14ac:dyDescent="0.3">
      <c r="B1752" s="657">
        <v>140283</v>
      </c>
      <c r="C1752" s="657">
        <v>1224.7999999998428</v>
      </c>
      <c r="D1752" s="658">
        <v>140494</v>
      </c>
      <c r="E1752" s="658">
        <v>1224.8999999998427</v>
      </c>
      <c r="G1752" s="64">
        <v>1224.8999999998427</v>
      </c>
      <c r="H1752" s="658">
        <v>140494</v>
      </c>
      <c r="I1752" s="64">
        <v>1224.9999999998427</v>
      </c>
      <c r="J1752" s="658">
        <v>140704</v>
      </c>
    </row>
    <row r="1753" spans="2:10" ht="14.4" x14ac:dyDescent="0.3">
      <c r="B1753" s="657">
        <v>140494</v>
      </c>
      <c r="C1753" s="657">
        <v>1224.8999999998427</v>
      </c>
      <c r="D1753" s="658">
        <v>140704</v>
      </c>
      <c r="E1753" s="658">
        <v>1224.9999999998427</v>
      </c>
      <c r="G1753" s="64">
        <v>1224.9999999998427</v>
      </c>
      <c r="H1753" s="658">
        <v>140704</v>
      </c>
      <c r="I1753" s="64">
        <v>1225.0999999998426</v>
      </c>
      <c r="J1753" s="658">
        <v>140917</v>
      </c>
    </row>
    <row r="1754" spans="2:10" ht="14.4" x14ac:dyDescent="0.3">
      <c r="B1754" s="657">
        <v>140704</v>
      </c>
      <c r="C1754" s="657">
        <v>1224.9999999998427</v>
      </c>
      <c r="D1754" s="658">
        <v>140917</v>
      </c>
      <c r="E1754" s="658">
        <v>1225.0999999998426</v>
      </c>
      <c r="G1754" s="64">
        <v>1225.0999999998426</v>
      </c>
      <c r="H1754" s="658">
        <v>140917</v>
      </c>
      <c r="I1754" s="64">
        <v>1225.1999999998425</v>
      </c>
      <c r="J1754" s="658">
        <v>141130</v>
      </c>
    </row>
    <row r="1755" spans="2:10" ht="14.4" x14ac:dyDescent="0.3">
      <c r="B1755" s="657">
        <v>140917</v>
      </c>
      <c r="C1755" s="657">
        <v>1225.0999999998426</v>
      </c>
      <c r="D1755" s="658">
        <v>141130</v>
      </c>
      <c r="E1755" s="658">
        <v>1225.1999999998425</v>
      </c>
      <c r="G1755" s="64">
        <v>1225.1999999998425</v>
      </c>
      <c r="H1755" s="658">
        <v>141130</v>
      </c>
      <c r="I1755" s="64">
        <v>1225.2999999998424</v>
      </c>
      <c r="J1755" s="658">
        <v>141344</v>
      </c>
    </row>
    <row r="1756" spans="2:10" ht="14.4" x14ac:dyDescent="0.3">
      <c r="B1756" s="657">
        <v>141130</v>
      </c>
      <c r="C1756" s="657">
        <v>1225.1999999998425</v>
      </c>
      <c r="D1756" s="658">
        <v>141344</v>
      </c>
      <c r="E1756" s="658">
        <v>1225.2999999998424</v>
      </c>
      <c r="G1756" s="64">
        <v>1225.2999999998424</v>
      </c>
      <c r="H1756" s="658">
        <v>141344</v>
      </c>
      <c r="I1756" s="64">
        <v>1225.3999999998423</v>
      </c>
      <c r="J1756" s="658">
        <v>141557</v>
      </c>
    </row>
    <row r="1757" spans="2:10" ht="14.4" x14ac:dyDescent="0.3">
      <c r="B1757" s="657">
        <v>141344</v>
      </c>
      <c r="C1757" s="657">
        <v>1225.2999999998424</v>
      </c>
      <c r="D1757" s="658">
        <v>141557</v>
      </c>
      <c r="E1757" s="658">
        <v>1225.3999999998423</v>
      </c>
      <c r="G1757" s="64">
        <v>1225.3999999998423</v>
      </c>
      <c r="H1757" s="658">
        <v>141557</v>
      </c>
      <c r="I1757" s="64">
        <v>1225.4999999998422</v>
      </c>
      <c r="J1757" s="658">
        <v>141770</v>
      </c>
    </row>
    <row r="1758" spans="2:10" ht="14.4" x14ac:dyDescent="0.3">
      <c r="B1758" s="657">
        <v>141557</v>
      </c>
      <c r="C1758" s="657">
        <v>1225.3999999998423</v>
      </c>
      <c r="D1758" s="658">
        <v>141770</v>
      </c>
      <c r="E1758" s="658">
        <v>1225.4999999998422</v>
      </c>
      <c r="G1758" s="64">
        <v>1225.4999999998422</v>
      </c>
      <c r="H1758" s="658">
        <v>141770</v>
      </c>
      <c r="I1758" s="64">
        <v>1225.5999999998421</v>
      </c>
      <c r="J1758" s="658">
        <v>141983</v>
      </c>
    </row>
    <row r="1759" spans="2:10" ht="14.4" x14ac:dyDescent="0.3">
      <c r="B1759" s="657">
        <v>141770</v>
      </c>
      <c r="C1759" s="657">
        <v>1225.4999999998422</v>
      </c>
      <c r="D1759" s="658">
        <v>141983</v>
      </c>
      <c r="E1759" s="658">
        <v>1225.5999999998421</v>
      </c>
      <c r="G1759" s="64">
        <v>1225.5999999998421</v>
      </c>
      <c r="H1759" s="658">
        <v>141983</v>
      </c>
      <c r="I1759" s="64">
        <v>1225.699999999842</v>
      </c>
      <c r="J1759" s="658">
        <v>142196</v>
      </c>
    </row>
    <row r="1760" spans="2:10" ht="14.4" x14ac:dyDescent="0.3">
      <c r="B1760" s="657">
        <v>141983</v>
      </c>
      <c r="C1760" s="657">
        <v>1225.5999999998421</v>
      </c>
      <c r="D1760" s="658">
        <v>142196</v>
      </c>
      <c r="E1760" s="658">
        <v>1225.699999999842</v>
      </c>
      <c r="G1760" s="64">
        <v>1225.699999999842</v>
      </c>
      <c r="H1760" s="658">
        <v>142196</v>
      </c>
      <c r="I1760" s="64">
        <v>1225.7999999998419</v>
      </c>
      <c r="J1760" s="658">
        <v>142410</v>
      </c>
    </row>
    <row r="1761" spans="2:10" ht="14.4" x14ac:dyDescent="0.3">
      <c r="B1761" s="657">
        <v>142196</v>
      </c>
      <c r="C1761" s="657">
        <v>1225.699999999842</v>
      </c>
      <c r="D1761" s="658">
        <v>142410</v>
      </c>
      <c r="E1761" s="658">
        <v>1225.7999999998419</v>
      </c>
      <c r="G1761" s="64">
        <v>1225.7999999998419</v>
      </c>
      <c r="H1761" s="658">
        <v>142410</v>
      </c>
      <c r="I1761" s="64">
        <v>1225.8999999998418</v>
      </c>
      <c r="J1761" s="658">
        <v>142623</v>
      </c>
    </row>
    <row r="1762" spans="2:10" ht="14.4" x14ac:dyDescent="0.3">
      <c r="B1762" s="657">
        <v>142410</v>
      </c>
      <c r="C1762" s="657">
        <v>1225.7999999998419</v>
      </c>
      <c r="D1762" s="658">
        <v>142623</v>
      </c>
      <c r="E1762" s="658">
        <v>1225.8999999998418</v>
      </c>
      <c r="G1762" s="64">
        <v>1225.8999999998418</v>
      </c>
      <c r="H1762" s="658">
        <v>142623</v>
      </c>
      <c r="I1762" s="64">
        <v>1225.9999999998417</v>
      </c>
      <c r="J1762" s="658">
        <v>142836</v>
      </c>
    </row>
    <row r="1763" spans="2:10" ht="14.4" x14ac:dyDescent="0.3">
      <c r="B1763" s="657">
        <v>142623</v>
      </c>
      <c r="C1763" s="657">
        <v>1225.8999999998418</v>
      </c>
      <c r="D1763" s="658">
        <v>142836</v>
      </c>
      <c r="E1763" s="658">
        <v>1225.9999999998417</v>
      </c>
      <c r="G1763" s="64">
        <v>1225.9999999998417</v>
      </c>
      <c r="H1763" s="658">
        <v>142836</v>
      </c>
      <c r="I1763" s="64">
        <v>1226.0999999998417</v>
      </c>
      <c r="J1763" s="658">
        <v>143052</v>
      </c>
    </row>
    <row r="1764" spans="2:10" ht="14.4" x14ac:dyDescent="0.3">
      <c r="B1764" s="657">
        <v>142836</v>
      </c>
      <c r="C1764" s="657">
        <v>1225.9999999998417</v>
      </c>
      <c r="D1764" s="658">
        <v>143052</v>
      </c>
      <c r="E1764" s="658">
        <v>1226.0999999998417</v>
      </c>
      <c r="G1764" s="64">
        <v>1226.0999999998417</v>
      </c>
      <c r="H1764" s="658">
        <v>143052</v>
      </c>
      <c r="I1764" s="64">
        <v>1226.1999999998416</v>
      </c>
      <c r="J1764" s="658">
        <v>143268</v>
      </c>
    </row>
    <row r="1765" spans="2:10" ht="14.4" x14ac:dyDescent="0.3">
      <c r="B1765" s="657">
        <v>143052</v>
      </c>
      <c r="C1765" s="657">
        <v>1226.0999999998417</v>
      </c>
      <c r="D1765" s="658">
        <v>143268</v>
      </c>
      <c r="E1765" s="658">
        <v>1226.1999999998416</v>
      </c>
      <c r="G1765" s="64">
        <v>1226.1999999998416</v>
      </c>
      <c r="H1765" s="658">
        <v>143268</v>
      </c>
      <c r="I1765" s="64">
        <v>1226.2999999998415</v>
      </c>
      <c r="J1765" s="658">
        <v>143484</v>
      </c>
    </row>
    <row r="1766" spans="2:10" ht="14.4" x14ac:dyDescent="0.3">
      <c r="B1766" s="657">
        <v>143268</v>
      </c>
      <c r="C1766" s="657">
        <v>1226.1999999998416</v>
      </c>
      <c r="D1766" s="658">
        <v>143484</v>
      </c>
      <c r="E1766" s="658">
        <v>1226.2999999998415</v>
      </c>
      <c r="G1766" s="64">
        <v>1226.2999999998415</v>
      </c>
      <c r="H1766" s="658">
        <v>143484</v>
      </c>
      <c r="I1766" s="64">
        <v>1226.3999999998414</v>
      </c>
      <c r="J1766" s="658">
        <v>143700</v>
      </c>
    </row>
    <row r="1767" spans="2:10" ht="14.4" x14ac:dyDescent="0.3">
      <c r="B1767" s="657">
        <v>143484</v>
      </c>
      <c r="C1767" s="657">
        <v>1226.2999999998415</v>
      </c>
      <c r="D1767" s="658">
        <v>143700</v>
      </c>
      <c r="E1767" s="658">
        <v>1226.3999999998414</v>
      </c>
      <c r="G1767" s="64">
        <v>1226.3999999998414</v>
      </c>
      <c r="H1767" s="658">
        <v>143700</v>
      </c>
      <c r="I1767" s="64">
        <v>1226.4999999998413</v>
      </c>
      <c r="J1767" s="658">
        <v>143916</v>
      </c>
    </row>
    <row r="1768" spans="2:10" ht="14.4" x14ac:dyDescent="0.3">
      <c r="B1768" s="657">
        <v>143700</v>
      </c>
      <c r="C1768" s="657">
        <v>1226.3999999998414</v>
      </c>
      <c r="D1768" s="658">
        <v>143916</v>
      </c>
      <c r="E1768" s="658">
        <v>1226.4999999998413</v>
      </c>
      <c r="G1768" s="64">
        <v>1226.4999999998413</v>
      </c>
      <c r="H1768" s="658">
        <v>143916</v>
      </c>
      <c r="I1768" s="64">
        <v>1226.5999999998412</v>
      </c>
      <c r="J1768" s="658">
        <v>144131</v>
      </c>
    </row>
    <row r="1769" spans="2:10" ht="14.4" x14ac:dyDescent="0.3">
      <c r="B1769" s="657">
        <v>143916</v>
      </c>
      <c r="C1769" s="657">
        <v>1226.4999999998413</v>
      </c>
      <c r="D1769" s="658">
        <v>144131</v>
      </c>
      <c r="E1769" s="658">
        <v>1226.5999999998412</v>
      </c>
      <c r="G1769" s="64">
        <v>1226.5999999998412</v>
      </c>
      <c r="H1769" s="658">
        <v>144131</v>
      </c>
      <c r="I1769" s="64">
        <v>1226.6999999998411</v>
      </c>
      <c r="J1769" s="658">
        <v>144347</v>
      </c>
    </row>
    <row r="1770" spans="2:10" ht="14.4" x14ac:dyDescent="0.3">
      <c r="B1770" s="657">
        <v>144131</v>
      </c>
      <c r="C1770" s="657">
        <v>1226.5999999998412</v>
      </c>
      <c r="D1770" s="658">
        <v>144347</v>
      </c>
      <c r="E1770" s="658">
        <v>1226.6999999998411</v>
      </c>
      <c r="G1770" s="64">
        <v>1226.6999999998411</v>
      </c>
      <c r="H1770" s="658">
        <v>144347</v>
      </c>
      <c r="I1770" s="64">
        <v>1226.799999999841</v>
      </c>
      <c r="J1770" s="658">
        <v>144563</v>
      </c>
    </row>
    <row r="1771" spans="2:10" ht="14.4" x14ac:dyDescent="0.3">
      <c r="B1771" s="657">
        <v>144347</v>
      </c>
      <c r="C1771" s="657">
        <v>1226.6999999998411</v>
      </c>
      <c r="D1771" s="658">
        <v>144563</v>
      </c>
      <c r="E1771" s="658">
        <v>1226.799999999841</v>
      </c>
      <c r="G1771" s="64">
        <v>1226.799999999841</v>
      </c>
      <c r="H1771" s="658">
        <v>144563</v>
      </c>
      <c r="I1771" s="64">
        <v>1226.8999999998409</v>
      </c>
      <c r="J1771" s="658">
        <v>144779</v>
      </c>
    </row>
    <row r="1772" spans="2:10" ht="14.4" x14ac:dyDescent="0.3">
      <c r="B1772" s="657">
        <v>144563</v>
      </c>
      <c r="C1772" s="657">
        <v>1226.799999999841</v>
      </c>
      <c r="D1772" s="658">
        <v>144779</v>
      </c>
      <c r="E1772" s="658">
        <v>1226.8999999998409</v>
      </c>
      <c r="G1772" s="64">
        <v>1226.8999999998409</v>
      </c>
      <c r="H1772" s="658">
        <v>144779</v>
      </c>
      <c r="I1772" s="64">
        <v>1226.9999999998408</v>
      </c>
      <c r="J1772" s="658">
        <v>144995</v>
      </c>
    </row>
    <row r="1773" spans="2:10" ht="14.4" x14ac:dyDescent="0.3">
      <c r="B1773" s="657">
        <v>144779</v>
      </c>
      <c r="C1773" s="657">
        <v>1226.8999999998409</v>
      </c>
      <c r="D1773" s="658">
        <v>144995</v>
      </c>
      <c r="E1773" s="658">
        <v>1226.9999999998408</v>
      </c>
      <c r="G1773" s="64">
        <v>1226.9999999998408</v>
      </c>
      <c r="H1773" s="658">
        <v>144995</v>
      </c>
      <c r="I1773" s="64">
        <v>1227.0999999998407</v>
      </c>
      <c r="J1773" s="658">
        <v>145214</v>
      </c>
    </row>
    <row r="1774" spans="2:10" ht="14.4" x14ac:dyDescent="0.3">
      <c r="B1774" s="657">
        <v>144995</v>
      </c>
      <c r="C1774" s="657">
        <v>1226.9999999998408</v>
      </c>
      <c r="D1774" s="658">
        <v>145214</v>
      </c>
      <c r="E1774" s="658">
        <v>1227.0999999998407</v>
      </c>
      <c r="G1774" s="64">
        <v>1227.0999999998407</v>
      </c>
      <c r="H1774" s="658">
        <v>145214</v>
      </c>
      <c r="I1774" s="64">
        <v>1227.1999999998407</v>
      </c>
      <c r="J1774" s="658">
        <v>145432</v>
      </c>
    </row>
    <row r="1775" spans="2:10" ht="14.4" x14ac:dyDescent="0.3">
      <c r="B1775" s="657">
        <v>145214</v>
      </c>
      <c r="C1775" s="657">
        <v>1227.0999999998407</v>
      </c>
      <c r="D1775" s="658">
        <v>145432</v>
      </c>
      <c r="E1775" s="658">
        <v>1227.1999999998407</v>
      </c>
      <c r="G1775" s="64">
        <v>1227.1999999998407</v>
      </c>
      <c r="H1775" s="658">
        <v>145432</v>
      </c>
      <c r="I1775" s="64">
        <v>1227.2999999998406</v>
      </c>
      <c r="J1775" s="658">
        <v>145651</v>
      </c>
    </row>
    <row r="1776" spans="2:10" ht="14.4" x14ac:dyDescent="0.3">
      <c r="B1776" s="657">
        <v>145432</v>
      </c>
      <c r="C1776" s="657">
        <v>1227.1999999998407</v>
      </c>
      <c r="D1776" s="658">
        <v>145651</v>
      </c>
      <c r="E1776" s="658">
        <v>1227.2999999998406</v>
      </c>
      <c r="G1776" s="64">
        <v>1227.2999999998406</v>
      </c>
      <c r="H1776" s="658">
        <v>145651</v>
      </c>
      <c r="I1776" s="64">
        <v>1227.3999999998405</v>
      </c>
      <c r="J1776" s="658">
        <v>145869</v>
      </c>
    </row>
    <row r="1777" spans="2:10" ht="14.4" x14ac:dyDescent="0.3">
      <c r="B1777" s="657">
        <v>145651</v>
      </c>
      <c r="C1777" s="657">
        <v>1227.2999999998406</v>
      </c>
      <c r="D1777" s="658">
        <v>145869</v>
      </c>
      <c r="E1777" s="658">
        <v>1227.3999999998405</v>
      </c>
      <c r="G1777" s="64">
        <v>1227.3999999998405</v>
      </c>
      <c r="H1777" s="658">
        <v>145869</v>
      </c>
      <c r="I1777" s="64">
        <v>1227.4999999998404</v>
      </c>
      <c r="J1777" s="658">
        <v>146088</v>
      </c>
    </row>
    <row r="1778" spans="2:10" ht="14.4" x14ac:dyDescent="0.3">
      <c r="B1778" s="657">
        <v>145869</v>
      </c>
      <c r="C1778" s="657">
        <v>1227.3999999998405</v>
      </c>
      <c r="D1778" s="658">
        <v>146088</v>
      </c>
      <c r="E1778" s="658">
        <v>1227.4999999998404</v>
      </c>
      <c r="G1778" s="64">
        <v>1227.4999999998404</v>
      </c>
      <c r="H1778" s="658">
        <v>146088</v>
      </c>
      <c r="I1778" s="64">
        <v>1227.5999999998403</v>
      </c>
      <c r="J1778" s="658">
        <v>146307</v>
      </c>
    </row>
    <row r="1779" spans="2:10" ht="14.4" x14ac:dyDescent="0.3">
      <c r="B1779" s="657">
        <v>146088</v>
      </c>
      <c r="C1779" s="657">
        <v>1227.4999999998404</v>
      </c>
      <c r="D1779" s="658">
        <v>146307</v>
      </c>
      <c r="E1779" s="658">
        <v>1227.5999999998403</v>
      </c>
      <c r="G1779" s="64">
        <v>1227.5999999998403</v>
      </c>
      <c r="H1779" s="658">
        <v>146307</v>
      </c>
      <c r="I1779" s="64">
        <v>1227.6999999998402</v>
      </c>
      <c r="J1779" s="658">
        <v>146525</v>
      </c>
    </row>
    <row r="1780" spans="2:10" ht="14.4" x14ac:dyDescent="0.3">
      <c r="B1780" s="657">
        <v>146307</v>
      </c>
      <c r="C1780" s="657">
        <v>1227.5999999998403</v>
      </c>
      <c r="D1780" s="658">
        <v>146525</v>
      </c>
      <c r="E1780" s="658">
        <v>1227.6999999998402</v>
      </c>
      <c r="G1780" s="64">
        <v>1227.6999999998402</v>
      </c>
      <c r="H1780" s="658">
        <v>146525</v>
      </c>
      <c r="I1780" s="64">
        <v>1227.7999999998401</v>
      </c>
      <c r="J1780" s="658">
        <v>146744</v>
      </c>
    </row>
    <row r="1781" spans="2:10" ht="14.4" x14ac:dyDescent="0.3">
      <c r="B1781" s="657">
        <v>146525</v>
      </c>
      <c r="C1781" s="657">
        <v>1227.6999999998402</v>
      </c>
      <c r="D1781" s="658">
        <v>146744</v>
      </c>
      <c r="E1781" s="658">
        <v>1227.7999999998401</v>
      </c>
      <c r="G1781" s="64">
        <v>1227.7999999998401</v>
      </c>
      <c r="H1781" s="658">
        <v>146744</v>
      </c>
      <c r="I1781" s="64">
        <v>1227.89999999984</v>
      </c>
      <c r="J1781" s="658">
        <v>146962</v>
      </c>
    </row>
    <row r="1782" spans="2:10" ht="14.4" x14ac:dyDescent="0.3">
      <c r="B1782" s="657">
        <v>146744</v>
      </c>
      <c r="C1782" s="657">
        <v>1227.7999999998401</v>
      </c>
      <c r="D1782" s="658">
        <v>146962</v>
      </c>
      <c r="E1782" s="658">
        <v>1227.89999999984</v>
      </c>
      <c r="G1782" s="64">
        <v>1227.89999999984</v>
      </c>
      <c r="H1782" s="658">
        <v>146962</v>
      </c>
      <c r="I1782" s="64">
        <v>1227.9999999998399</v>
      </c>
      <c r="J1782" s="658">
        <v>147181</v>
      </c>
    </row>
    <row r="1783" spans="2:10" ht="14.4" x14ac:dyDescent="0.3">
      <c r="B1783" s="657">
        <v>146962</v>
      </c>
      <c r="C1783" s="657">
        <v>1227.89999999984</v>
      </c>
      <c r="D1783" s="658">
        <v>147181</v>
      </c>
      <c r="E1783" s="658">
        <v>1227.9999999998399</v>
      </c>
      <c r="G1783" s="64">
        <v>1227.9999999998399</v>
      </c>
      <c r="H1783" s="658">
        <v>147181</v>
      </c>
      <c r="I1783" s="64">
        <v>1228.0999999998398</v>
      </c>
      <c r="J1783" s="658">
        <v>147402</v>
      </c>
    </row>
    <row r="1784" spans="2:10" ht="14.4" x14ac:dyDescent="0.3">
      <c r="B1784" s="657">
        <v>147181</v>
      </c>
      <c r="C1784" s="657">
        <v>1227.9999999998399</v>
      </c>
      <c r="D1784" s="658">
        <v>147402</v>
      </c>
      <c r="E1784" s="658">
        <v>1228.0999999998398</v>
      </c>
      <c r="G1784" s="64">
        <v>1228.0999999998398</v>
      </c>
      <c r="H1784" s="658">
        <v>147402</v>
      </c>
      <c r="I1784" s="64">
        <v>1228.1999999998397</v>
      </c>
      <c r="J1784" s="658">
        <v>147624</v>
      </c>
    </row>
    <row r="1785" spans="2:10" ht="14.4" x14ac:dyDescent="0.3">
      <c r="B1785" s="657">
        <v>147402</v>
      </c>
      <c r="C1785" s="657">
        <v>1228.0999999998398</v>
      </c>
      <c r="D1785" s="658">
        <v>147624</v>
      </c>
      <c r="E1785" s="658">
        <v>1228.1999999998397</v>
      </c>
      <c r="G1785" s="64">
        <v>1228.1999999998397</v>
      </c>
      <c r="H1785" s="658">
        <v>147624</v>
      </c>
      <c r="I1785" s="64">
        <v>1228.2999999998397</v>
      </c>
      <c r="J1785" s="658">
        <v>147845</v>
      </c>
    </row>
    <row r="1786" spans="2:10" ht="14.4" x14ac:dyDescent="0.3">
      <c r="B1786" s="657">
        <v>147624</v>
      </c>
      <c r="C1786" s="657">
        <v>1228.1999999998397</v>
      </c>
      <c r="D1786" s="658">
        <v>147845</v>
      </c>
      <c r="E1786" s="658">
        <v>1228.2999999998397</v>
      </c>
      <c r="G1786" s="64">
        <v>1228.2999999998397</v>
      </c>
      <c r="H1786" s="658">
        <v>147845</v>
      </c>
      <c r="I1786" s="64">
        <v>1228.3999999998396</v>
      </c>
      <c r="J1786" s="658">
        <v>148066</v>
      </c>
    </row>
    <row r="1787" spans="2:10" ht="14.4" x14ac:dyDescent="0.3">
      <c r="B1787" s="657">
        <v>147845</v>
      </c>
      <c r="C1787" s="657">
        <v>1228.2999999998397</v>
      </c>
      <c r="D1787" s="658">
        <v>148066</v>
      </c>
      <c r="E1787" s="658">
        <v>1228.3999999998396</v>
      </c>
      <c r="G1787" s="64">
        <v>1228.3999999998396</v>
      </c>
      <c r="H1787" s="658">
        <v>148066</v>
      </c>
      <c r="I1787" s="64">
        <v>1228.4999999998395</v>
      </c>
      <c r="J1787" s="658">
        <v>148288</v>
      </c>
    </row>
    <row r="1788" spans="2:10" ht="14.4" x14ac:dyDescent="0.3">
      <c r="B1788" s="657">
        <v>148066</v>
      </c>
      <c r="C1788" s="657">
        <v>1228.3999999998396</v>
      </c>
      <c r="D1788" s="658">
        <v>148288</v>
      </c>
      <c r="E1788" s="658">
        <v>1228.4999999998395</v>
      </c>
      <c r="G1788" s="64">
        <v>1228.4999999998395</v>
      </c>
      <c r="H1788" s="658">
        <v>148288</v>
      </c>
      <c r="I1788" s="64">
        <v>1228.5999999998394</v>
      </c>
      <c r="J1788" s="658">
        <v>148509</v>
      </c>
    </row>
    <row r="1789" spans="2:10" ht="14.4" x14ac:dyDescent="0.3">
      <c r="B1789" s="657">
        <v>148288</v>
      </c>
      <c r="C1789" s="657">
        <v>1228.4999999998395</v>
      </c>
      <c r="D1789" s="658">
        <v>148509</v>
      </c>
      <c r="E1789" s="658">
        <v>1228.5999999998394</v>
      </c>
      <c r="G1789" s="64">
        <v>1228.5999999998394</v>
      </c>
      <c r="H1789" s="658">
        <v>148509</v>
      </c>
      <c r="I1789" s="64">
        <v>1228.6999999998393</v>
      </c>
      <c r="J1789" s="658">
        <v>148730</v>
      </c>
    </row>
    <row r="1790" spans="2:10" ht="14.4" x14ac:dyDescent="0.3">
      <c r="B1790" s="657">
        <v>148509</v>
      </c>
      <c r="C1790" s="657">
        <v>1228.5999999998394</v>
      </c>
      <c r="D1790" s="658">
        <v>148730</v>
      </c>
      <c r="E1790" s="658">
        <v>1228.6999999998393</v>
      </c>
      <c r="G1790" s="64">
        <v>1228.6999999998393</v>
      </c>
      <c r="H1790" s="658">
        <v>148730</v>
      </c>
      <c r="I1790" s="64">
        <v>1228.7999999998392</v>
      </c>
      <c r="J1790" s="658">
        <v>148951</v>
      </c>
    </row>
    <row r="1791" spans="2:10" ht="14.4" x14ac:dyDescent="0.3">
      <c r="B1791" s="657">
        <v>148730</v>
      </c>
      <c r="C1791" s="657">
        <v>1228.6999999998393</v>
      </c>
      <c r="D1791" s="658">
        <v>148951</v>
      </c>
      <c r="E1791" s="658">
        <v>1228.7999999998392</v>
      </c>
      <c r="G1791" s="64">
        <v>1228.7999999998392</v>
      </c>
      <c r="H1791" s="658">
        <v>148951</v>
      </c>
      <c r="I1791" s="64">
        <v>1228.8999999998391</v>
      </c>
      <c r="J1791" s="658">
        <v>149173</v>
      </c>
    </row>
    <row r="1792" spans="2:10" ht="14.4" x14ac:dyDescent="0.3">
      <c r="B1792" s="657">
        <v>148951</v>
      </c>
      <c r="C1792" s="657">
        <v>1228.7999999998392</v>
      </c>
      <c r="D1792" s="658">
        <v>149173</v>
      </c>
      <c r="E1792" s="658">
        <v>1228.8999999998391</v>
      </c>
      <c r="G1792" s="64">
        <v>1228.8999999998391</v>
      </c>
      <c r="H1792" s="658">
        <v>149173</v>
      </c>
      <c r="I1792" s="64">
        <v>1228.999999999839</v>
      </c>
      <c r="J1792" s="658">
        <v>149394</v>
      </c>
    </row>
    <row r="1793" spans="2:8" ht="14.4" x14ac:dyDescent="0.3">
      <c r="B1793" s="657">
        <v>149173</v>
      </c>
      <c r="C1793" s="657">
        <v>1228.8999999998391</v>
      </c>
      <c r="D1793" s="658">
        <v>149394</v>
      </c>
      <c r="E1793" s="658">
        <v>1229</v>
      </c>
      <c r="H1793" s="658">
        <v>149394</v>
      </c>
    </row>
    <row r="1794" spans="2:8" ht="14.4" x14ac:dyDescent="0.3">
      <c r="B1794" s="657">
        <v>149394</v>
      </c>
      <c r="C1794" s="657">
        <v>1229</v>
      </c>
    </row>
  </sheetData>
  <phoneticPr fontId="20" type="noConversion"/>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H29"/>
  <sheetViews>
    <sheetView workbookViewId="0">
      <pane xSplit="2" ySplit="2" topLeftCell="C3" activePane="bottomRight" state="frozen"/>
      <selection activeCell="AR9" sqref="AR9"/>
      <selection pane="topRight" activeCell="AR9" sqref="AR9"/>
      <selection pane="bottomLeft" activeCell="AR9" sqref="AR9"/>
      <selection pane="bottomRight" activeCell="D4" sqref="D4"/>
    </sheetView>
  </sheetViews>
  <sheetFormatPr defaultRowHeight="13.2" x14ac:dyDescent="0.25"/>
  <cols>
    <col min="1" max="1" width="32.44140625" customWidth="1"/>
    <col min="2" max="2" width="4.5546875" customWidth="1"/>
    <col min="3" max="3" width="12.5546875" bestFit="1" customWidth="1"/>
    <col min="4" max="4" width="12" bestFit="1" customWidth="1"/>
    <col min="5" max="5" width="10.88671875" bestFit="1" customWidth="1"/>
    <col min="6" max="6" width="9.44140625" bestFit="1" customWidth="1"/>
    <col min="7" max="9" width="10.5546875" bestFit="1" customWidth="1"/>
    <col min="10" max="33" width="12.5546875" customWidth="1"/>
  </cols>
  <sheetData>
    <row r="1" spans="1:34" s="6" customFormat="1" ht="15.6" x14ac:dyDescent="0.3">
      <c r="A1" s="1206" t="s">
        <v>57</v>
      </c>
      <c r="B1" s="1206"/>
      <c r="C1" s="1206"/>
      <c r="D1" s="1206"/>
      <c r="E1" s="1206"/>
      <c r="F1" s="1206"/>
      <c r="G1" s="1206"/>
      <c r="H1" s="1206"/>
      <c r="I1" s="1206"/>
    </row>
    <row r="2" spans="1:34" s="7" customFormat="1" x14ac:dyDescent="0.25">
      <c r="A2" s="1276" t="s">
        <v>58</v>
      </c>
      <c r="B2" s="1277"/>
      <c r="C2" s="1277"/>
      <c r="D2" s="1277"/>
      <c r="E2" s="1277"/>
      <c r="F2" s="1277"/>
      <c r="G2" s="1277"/>
      <c r="H2" s="1277"/>
      <c r="I2" s="1277"/>
    </row>
    <row r="3" spans="1:34" s="7" customFormat="1" x14ac:dyDescent="0.25">
      <c r="A3" s="8"/>
      <c r="B3" s="8"/>
      <c r="C3" s="26" t="s">
        <v>250</v>
      </c>
      <c r="D3" s="103">
        <v>42979</v>
      </c>
      <c r="E3" s="9"/>
      <c r="F3" s="9"/>
      <c r="G3" s="9"/>
      <c r="H3" s="9"/>
      <c r="I3" s="5"/>
    </row>
    <row r="4" spans="1:34" s="7" customFormat="1" ht="12" customHeight="1" x14ac:dyDescent="0.25">
      <c r="A4" s="10"/>
      <c r="B4" s="10"/>
      <c r="C4" s="11"/>
      <c r="D4" s="12"/>
      <c r="G4" s="13"/>
      <c r="H4" s="13"/>
    </row>
    <row r="5" spans="1:34" s="17" customFormat="1" ht="10.8" thickBot="1" x14ac:dyDescent="0.25">
      <c r="A5" s="14" t="s">
        <v>21</v>
      </c>
      <c r="B5" s="14"/>
      <c r="C5" s="15"/>
      <c r="D5" s="15"/>
      <c r="E5" s="16"/>
      <c r="F5" s="16"/>
      <c r="G5" s="16"/>
      <c r="H5" s="16"/>
      <c r="I5" s="16" t="s">
        <v>10</v>
      </c>
    </row>
    <row r="6" spans="1:34" s="17" customFormat="1" ht="13.5" customHeight="1" x14ac:dyDescent="0.2">
      <c r="A6" s="18"/>
      <c r="B6" s="27"/>
      <c r="C6" s="35" t="str">
        <f t="shared" ref="C6:AG6" si="0">CHOOSE(WEEKDAY(C7,2),"Monday","Tuesday","Wednesday","Thursday","Friday","Saturday","Sunday")</f>
        <v>Friday</v>
      </c>
      <c r="D6" s="35" t="str">
        <f t="shared" si="0"/>
        <v>Saturday</v>
      </c>
      <c r="E6" s="35" t="str">
        <f t="shared" si="0"/>
        <v>Sunday</v>
      </c>
      <c r="F6" s="35" t="str">
        <f t="shared" si="0"/>
        <v>Monday</v>
      </c>
      <c r="G6" s="35" t="str">
        <f t="shared" si="0"/>
        <v>Tuesday</v>
      </c>
      <c r="H6" s="35" t="str">
        <f t="shared" si="0"/>
        <v>Wednesday</v>
      </c>
      <c r="I6" s="35" t="str">
        <f t="shared" si="0"/>
        <v>Thursday</v>
      </c>
      <c r="J6" s="35" t="str">
        <f t="shared" si="0"/>
        <v>Friday</v>
      </c>
      <c r="K6" s="35" t="str">
        <f t="shared" si="0"/>
        <v>Saturday</v>
      </c>
      <c r="L6" s="35" t="str">
        <f t="shared" si="0"/>
        <v>Sunday</v>
      </c>
      <c r="M6" s="35" t="str">
        <f t="shared" si="0"/>
        <v>Monday</v>
      </c>
      <c r="N6" s="35" t="str">
        <f t="shared" si="0"/>
        <v>Tuesday</v>
      </c>
      <c r="O6" s="35" t="str">
        <f t="shared" si="0"/>
        <v>Wednesday</v>
      </c>
      <c r="P6" s="35" t="str">
        <f t="shared" si="0"/>
        <v>Thursday</v>
      </c>
      <c r="Q6" s="35" t="str">
        <f t="shared" si="0"/>
        <v>Friday</v>
      </c>
      <c r="R6" s="35" t="str">
        <f t="shared" si="0"/>
        <v>Saturday</v>
      </c>
      <c r="S6" s="35" t="str">
        <f t="shared" si="0"/>
        <v>Sunday</v>
      </c>
      <c r="T6" s="35" t="str">
        <f t="shared" si="0"/>
        <v>Monday</v>
      </c>
      <c r="U6" s="35" t="str">
        <f t="shared" si="0"/>
        <v>Tuesday</v>
      </c>
      <c r="V6" s="35" t="str">
        <f t="shared" si="0"/>
        <v>Wednesday</v>
      </c>
      <c r="W6" s="35" t="str">
        <f t="shared" si="0"/>
        <v>Thursday</v>
      </c>
      <c r="X6" s="35" t="str">
        <f t="shared" si="0"/>
        <v>Friday</v>
      </c>
      <c r="Y6" s="35" t="str">
        <f t="shared" si="0"/>
        <v>Saturday</v>
      </c>
      <c r="Z6" s="35" t="str">
        <f t="shared" si="0"/>
        <v>Sunday</v>
      </c>
      <c r="AA6" s="35" t="str">
        <f t="shared" si="0"/>
        <v>Monday</v>
      </c>
      <c r="AB6" s="35" t="str">
        <f t="shared" si="0"/>
        <v>Tuesday</v>
      </c>
      <c r="AC6" s="35" t="str">
        <f t="shared" si="0"/>
        <v>Wednesday</v>
      </c>
      <c r="AD6" s="35" t="str">
        <f t="shared" si="0"/>
        <v>Thursday</v>
      </c>
      <c r="AE6" s="35" t="str">
        <f t="shared" si="0"/>
        <v>Friday</v>
      </c>
      <c r="AF6" s="35" t="str">
        <f t="shared" si="0"/>
        <v>Saturday</v>
      </c>
      <c r="AG6" s="35" t="str">
        <f t="shared" si="0"/>
        <v>Sunday</v>
      </c>
    </row>
    <row r="7" spans="1:34" s="17" customFormat="1" ht="15" customHeight="1" thickBot="1" x14ac:dyDescent="0.25">
      <c r="A7" s="19"/>
      <c r="B7" s="28"/>
      <c r="C7" s="36">
        <f>D3</f>
        <v>42979</v>
      </c>
      <c r="D7" s="36">
        <f>C7+1</f>
        <v>42980</v>
      </c>
      <c r="E7" s="36">
        <f t="shared" ref="E7:AG7" si="1">D7+1</f>
        <v>42981</v>
      </c>
      <c r="F7" s="36">
        <f t="shared" si="1"/>
        <v>42982</v>
      </c>
      <c r="G7" s="36">
        <f t="shared" si="1"/>
        <v>42983</v>
      </c>
      <c r="H7" s="36">
        <f t="shared" si="1"/>
        <v>42984</v>
      </c>
      <c r="I7" s="36">
        <f t="shared" si="1"/>
        <v>42985</v>
      </c>
      <c r="J7" s="36">
        <f t="shared" si="1"/>
        <v>42986</v>
      </c>
      <c r="K7" s="36">
        <f t="shared" si="1"/>
        <v>42987</v>
      </c>
      <c r="L7" s="36">
        <f t="shared" si="1"/>
        <v>42988</v>
      </c>
      <c r="M7" s="36">
        <f t="shared" si="1"/>
        <v>42989</v>
      </c>
      <c r="N7" s="36">
        <f t="shared" si="1"/>
        <v>42990</v>
      </c>
      <c r="O7" s="36">
        <f t="shared" si="1"/>
        <v>42991</v>
      </c>
      <c r="P7" s="36">
        <f t="shared" si="1"/>
        <v>42992</v>
      </c>
      <c r="Q7" s="36">
        <f t="shared" si="1"/>
        <v>42993</v>
      </c>
      <c r="R7" s="36">
        <f t="shared" si="1"/>
        <v>42994</v>
      </c>
      <c r="S7" s="36">
        <f t="shared" si="1"/>
        <v>42995</v>
      </c>
      <c r="T7" s="36">
        <f t="shared" si="1"/>
        <v>42996</v>
      </c>
      <c r="U7" s="36">
        <f t="shared" si="1"/>
        <v>42997</v>
      </c>
      <c r="V7" s="36">
        <f t="shared" si="1"/>
        <v>42998</v>
      </c>
      <c r="W7" s="36">
        <f t="shared" si="1"/>
        <v>42999</v>
      </c>
      <c r="X7" s="36">
        <f t="shared" si="1"/>
        <v>43000</v>
      </c>
      <c r="Y7" s="36">
        <f t="shared" si="1"/>
        <v>43001</v>
      </c>
      <c r="Z7" s="36">
        <f t="shared" si="1"/>
        <v>43002</v>
      </c>
      <c r="AA7" s="36">
        <f t="shared" si="1"/>
        <v>43003</v>
      </c>
      <c r="AB7" s="36">
        <f t="shared" si="1"/>
        <v>43004</v>
      </c>
      <c r="AC7" s="36">
        <f t="shared" si="1"/>
        <v>43005</v>
      </c>
      <c r="AD7" s="36">
        <f t="shared" si="1"/>
        <v>43006</v>
      </c>
      <c r="AE7" s="36">
        <f t="shared" si="1"/>
        <v>43007</v>
      </c>
      <c r="AF7" s="36">
        <f t="shared" si="1"/>
        <v>43008</v>
      </c>
      <c r="AG7" s="36">
        <f t="shared" si="1"/>
        <v>43009</v>
      </c>
    </row>
    <row r="8" spans="1:34" s="20" customFormat="1" ht="13.8" thickBot="1" x14ac:dyDescent="0.3">
      <c r="A8" s="345" t="s">
        <v>243</v>
      </c>
      <c r="B8" s="345"/>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row>
    <row r="9" spans="1:34" x14ac:dyDescent="0.25">
      <c r="A9" s="21" t="s">
        <v>239</v>
      </c>
      <c r="B9" s="42" t="s">
        <v>13</v>
      </c>
      <c r="C9" s="43">
        <f>VLOOKUP(C7,Sheet1!$B$8:$HT$524,26,FALSE)</f>
        <v>48</v>
      </c>
      <c r="D9" s="38">
        <f>VLOOKUP(D7,Sheet1!$B$8:$HT$524,26,FALSE)</f>
        <v>48.05</v>
      </c>
      <c r="E9" s="38">
        <f>VLOOKUP(E7,Sheet1!$B$8:$HT$524,26,FALSE)</f>
        <v>48</v>
      </c>
      <c r="F9" s="38">
        <f>VLOOKUP(F7,Sheet1!$B$8:$HT$524,26,FALSE)</f>
        <v>48.04</v>
      </c>
      <c r="G9" s="38">
        <f>VLOOKUP(G7,Sheet1!$B$8:$HT$524,26,FALSE)</f>
        <v>46.5</v>
      </c>
      <c r="H9" s="38">
        <f>VLOOKUP(H7,Sheet1!$B$8:$HT$524,26,FALSE)</f>
        <v>41.96</v>
      </c>
      <c r="I9" s="38">
        <f>VLOOKUP(I7,Sheet1!$B$8:$HT$524,26,FALSE)</f>
        <v>30.3</v>
      </c>
      <c r="J9" s="38">
        <f>VLOOKUP(J7,Sheet1!$B$8:$HT$524,26,FALSE)</f>
        <v>26.79</v>
      </c>
      <c r="K9" s="38">
        <f>VLOOKUP(K7,Sheet1!$B$8:$HT$524,26,FALSE)</f>
        <v>25.41</v>
      </c>
      <c r="L9" s="38">
        <f>VLOOKUP(L7,Sheet1!$B$8:$HT$524,26,FALSE)</f>
        <v>25.38</v>
      </c>
      <c r="M9" s="38">
        <f>VLOOKUP(M7,Sheet1!$B$8:$HT$524,26,FALSE)</f>
        <v>26.42</v>
      </c>
      <c r="N9" s="38">
        <f>VLOOKUP(N7,Sheet1!$B$8:$HT$524,26,FALSE)</f>
        <v>28.4</v>
      </c>
      <c r="O9" s="38">
        <f>VLOOKUP(O7,Sheet1!$B$8:$HT$524,26,FALSE)</f>
        <v>28.5</v>
      </c>
      <c r="P9" s="38">
        <f>VLOOKUP(P7,Sheet1!$B$8:$HT$524,26,FALSE)</f>
        <v>28.5</v>
      </c>
      <c r="Q9" s="38">
        <f>VLOOKUP(Q7,Sheet1!$B$8:$HT$524,26,FALSE)</f>
        <v>28.4</v>
      </c>
      <c r="R9" s="38">
        <f>VLOOKUP(R7,Sheet1!$B$8:$HT$524,26,FALSE)</f>
        <v>28.5</v>
      </c>
      <c r="S9" s="38">
        <f>VLOOKUP(S7,Sheet1!$B$8:$HT$524,26,FALSE)</f>
        <v>28.5</v>
      </c>
      <c r="T9" s="38">
        <f>VLOOKUP(T7,Sheet1!$B$8:$HT$524,26,FALSE)</f>
        <v>28.5</v>
      </c>
      <c r="U9" s="38">
        <f>VLOOKUP(U7,Sheet1!$B$8:$HT$524,26,FALSE)</f>
        <v>28.4</v>
      </c>
      <c r="V9" s="38">
        <f>VLOOKUP(V7,Sheet1!$B$8:$HT$524,26,FALSE)</f>
        <v>28.36</v>
      </c>
      <c r="W9" s="38">
        <f>VLOOKUP(W7,Sheet1!$B$8:$HT$524,26,FALSE)</f>
        <v>28.4</v>
      </c>
      <c r="X9" s="38">
        <f>VLOOKUP(X7,Sheet1!$B$8:$HT$524,26,FALSE)</f>
        <v>28.4</v>
      </c>
      <c r="Y9" s="38">
        <f>VLOOKUP(Y7,Sheet1!$B$8:$HT$524,26,FALSE)</f>
        <v>28.4</v>
      </c>
      <c r="Z9" s="38">
        <f>VLOOKUP(Z7,Sheet1!$B$8:$HT$524,26,FALSE)</f>
        <v>28.4</v>
      </c>
      <c r="AA9" s="38">
        <f>VLOOKUP(AA7,Sheet1!$B$8:$HT$524,26,FALSE)</f>
        <v>28.4</v>
      </c>
      <c r="AB9" s="38">
        <f>VLOOKUP(AB7,Sheet1!$B$8:$HT$524,26,FALSE)</f>
        <v>28.4</v>
      </c>
      <c r="AC9" s="38">
        <f>VLOOKUP(AC7,Sheet1!$B$8:$HT$524,26,FALSE)</f>
        <v>28.3</v>
      </c>
      <c r="AD9" s="38">
        <f>VLOOKUP(AD7,Sheet1!$B$8:$HT$524,26,FALSE)</f>
        <v>28.4</v>
      </c>
      <c r="AE9" s="38">
        <f>VLOOKUP(AE7,Sheet1!$B$8:$HT$524,26,FALSE)</f>
        <v>28.3</v>
      </c>
      <c r="AF9" s="38">
        <f>VLOOKUP(AF7,Sheet1!$B$8:$HT$524,26,FALSE)</f>
        <v>28.3</v>
      </c>
      <c r="AG9" s="777">
        <f>VLOOKUP(AG7,Sheet1!$B$8:$HT$524,26,FALSE)</f>
        <v>28.3</v>
      </c>
    </row>
    <row r="10" spans="1:34" x14ac:dyDescent="0.25">
      <c r="A10" s="21" t="s">
        <v>240</v>
      </c>
      <c r="B10" s="22" t="s">
        <v>13</v>
      </c>
      <c r="C10" s="44">
        <f>VLOOKUP(C7,Calculation!$B$8:$JO$517,42,FALSE)</f>
        <v>22.499042756860241</v>
      </c>
      <c r="D10" s="37">
        <f>VLOOKUP(D7,Calculation!$B$8:$JO$517,42,FALSE)</f>
        <v>22.252502662406815</v>
      </c>
      <c r="E10" s="37">
        <f>VLOOKUP(E7,Calculation!$B$8:$JO$517,42,FALSE)</f>
        <v>22.629274611398966</v>
      </c>
      <c r="F10" s="37">
        <f>VLOOKUP(F7,Calculation!$B$8:$JO$517,42,FALSE)</f>
        <v>20.223481152993344</v>
      </c>
      <c r="G10" s="37">
        <f>VLOOKUP(G7,Calculation!$B$8:$JO$517,42,FALSE)</f>
        <v>24.963134611333473</v>
      </c>
      <c r="H10" s="37">
        <f>VLOOKUP(H7,Calculation!$B$8:$JO$517,42,FALSE)</f>
        <v>30.669239675800849</v>
      </c>
      <c r="I10" s="37">
        <f>VLOOKUP(I7,Calculation!$B$8:$JO$517,42,FALSE)</f>
        <v>33.339206406989447</v>
      </c>
      <c r="J10" s="37">
        <f>VLOOKUP(J7,Calculation!$B$8:$JO$517,42,FALSE)</f>
        <v>35.229630300833641</v>
      </c>
      <c r="K10" s="37">
        <f>VLOOKUP(K7,Calculation!$B$8:$JO$517,42,FALSE)</f>
        <v>36.193406193078324</v>
      </c>
      <c r="L10" s="37">
        <f>VLOOKUP(L7,Calculation!$B$8:$JO$517,42,FALSE)</f>
        <v>36.720618371382344</v>
      </c>
      <c r="M10" s="37">
        <f>VLOOKUP(M7,Calculation!$B$8:$JO$517,42,FALSE)</f>
        <v>35.775506479284545</v>
      </c>
      <c r="N10" s="37">
        <f>VLOOKUP(N7,Calculation!$B$8:$JO$517,42,FALSE)</f>
        <v>33.097767513471901</v>
      </c>
      <c r="O10" s="37">
        <f>VLOOKUP(O7,Calculation!$B$8:$JO$517,42,FALSE)</f>
        <v>33.219209257473487</v>
      </c>
      <c r="P10" s="37">
        <f>VLOOKUP(P7,Calculation!$B$8:$JO$517,42,FALSE)</f>
        <v>30.687600969305333</v>
      </c>
      <c r="Q10" s="37">
        <f>VLOOKUP(Q7,Calculation!$B$8:$JO$517,42,FALSE)</f>
        <v>26.89430187037842</v>
      </c>
      <c r="R10" s="37">
        <f>VLOOKUP(R7,Calculation!$B$8:$JO$517,42,FALSE)</f>
        <v>27.440178377202521</v>
      </c>
      <c r="S10" s="37">
        <f>VLOOKUP(S7,Calculation!$B$8:$JO$517,42,FALSE)</f>
        <v>26.170905845604644</v>
      </c>
      <c r="T10" s="37">
        <f>VLOOKUP(T7,Calculation!$B$8:$JO$517,42,FALSE)</f>
        <v>25.352188235294118</v>
      </c>
      <c r="U10" s="37">
        <f>VLOOKUP(U7,Calculation!$B$8:$JO$517,42,FALSE)</f>
        <v>27.974672094075078</v>
      </c>
      <c r="V10" s="37">
        <f>VLOOKUP(V7,Calculation!$B$8:$JO$517,42,FALSE)</f>
        <v>25.818926077534311</v>
      </c>
      <c r="W10" s="37">
        <f>VLOOKUP(W7,Calculation!$B$8:$JO$517,42,FALSE)</f>
        <v>23.082477876106196</v>
      </c>
      <c r="X10" s="37">
        <f>VLOOKUP(X7,Calculation!$B$8:$JO$517,42,FALSE)</f>
        <v>21.859647275598846</v>
      </c>
      <c r="Y10" s="37">
        <f>VLOOKUP(Y7,Calculation!$B$8:$JO$517,42,FALSE)</f>
        <v>22.516824395373291</v>
      </c>
      <c r="Z10" s="37">
        <f>VLOOKUP(Z7,Calculation!$B$8:$JO$517,42,FALSE)</f>
        <v>22.763962065331928</v>
      </c>
      <c r="AA10" s="37">
        <f>VLOOKUP(AA7,Calculation!$B$8:$JO$517,42,FALSE)</f>
        <v>22.958654340010273</v>
      </c>
      <c r="AB10" s="37">
        <f>VLOOKUP(AB7,Calculation!$B$8:$JO$517,42,FALSE)</f>
        <v>24.957244075250426</v>
      </c>
      <c r="AC10" s="37">
        <f>VLOOKUP(AC7,Calculation!$B$8:$JO$517,42,FALSE)</f>
        <v>26.006852248394008</v>
      </c>
      <c r="AD10" s="37">
        <f>VLOOKUP(AD7,Calculation!$B$8:$JO$517,42,FALSE)</f>
        <v>27.274563242487773</v>
      </c>
      <c r="AE10" s="37">
        <f>VLOOKUP(AE7,Calculation!$B$8:$JO$517,42,FALSE)</f>
        <v>27.1</v>
      </c>
      <c r="AF10" s="37">
        <f>VLOOKUP(AF7,Calculation!$B$8:$JO$517,42,FALSE)</f>
        <v>22.781676935440665</v>
      </c>
      <c r="AG10" s="39">
        <f>VLOOKUP(AG7,Calculation!$B$8:$JO$517,42,FALSE)</f>
        <v>21.896312725256443</v>
      </c>
    </row>
    <row r="11" spans="1:34" x14ac:dyDescent="0.25">
      <c r="A11" s="46" t="s">
        <v>241</v>
      </c>
      <c r="B11" s="22" t="s">
        <v>13</v>
      </c>
      <c r="C11" s="44">
        <f>VLOOKUP(C7,Calculation!$B$8:$JO$517,69,FALSE)</f>
        <v>6.0827058072750475</v>
      </c>
      <c r="D11" s="37">
        <f>VLOOKUP(D7,Calculation!$B$8:$JO$517,69,FALSE)</f>
        <v>6.1069648562300314</v>
      </c>
      <c r="E11" s="37">
        <f>VLOOKUP(E7,Calculation!$B$8:$JO$517,69,FALSE)</f>
        <v>5.6973704663212432</v>
      </c>
      <c r="F11" s="37">
        <f>VLOOKUP(F7,Calculation!$B$8:$JO$517,69,FALSE)</f>
        <v>5.8976851441241669</v>
      </c>
      <c r="G11" s="37">
        <f>VLOOKUP(G7,Calculation!$B$8:$JO$517,69,FALSE)</f>
        <v>5.9911523067200338</v>
      </c>
      <c r="H11" s="37">
        <f>VLOOKUP(H7,Calculation!$B$8:$JO$517,69,FALSE)</f>
        <v>5.4169046700115784</v>
      </c>
      <c r="I11" s="37">
        <f>VLOOKUP(I7,Calculation!$B$8:$JO$517,69,FALSE)</f>
        <v>6.0389879868947949</v>
      </c>
      <c r="J11" s="37">
        <f>VLOOKUP(J7,Calculation!$B$8:$JO$517,69,FALSE)</f>
        <v>6.0179793403407036</v>
      </c>
      <c r="K11" s="37">
        <f>VLOOKUP(K7,Calculation!$B$8:$JO$517,69,FALSE)</f>
        <v>5.7589508196721306</v>
      </c>
      <c r="L11" s="37">
        <f>VLOOKUP(L7,Calculation!$B$8:$JO$517,69,FALSE)</f>
        <v>5.8074456228653606</v>
      </c>
      <c r="M11" s="37">
        <f>VLOOKUP(M7,Calculation!$B$8:$JO$517,69,FALSE)</f>
        <v>5.8895053841941962</v>
      </c>
      <c r="N11" s="37">
        <f>VLOOKUP(N7,Calculation!$B$8:$JO$517,69,FALSE)</f>
        <v>5.7422632794457265</v>
      </c>
      <c r="O11" s="37">
        <f>VLOOKUP(O7,Calculation!$B$8:$JO$517,69,FALSE)</f>
        <v>5.6932921890067503</v>
      </c>
      <c r="P11" s="37">
        <f>VLOOKUP(P7,Calculation!$B$8:$JO$517,69,FALSE)</f>
        <v>5.827645395799677</v>
      </c>
      <c r="Q11" s="37">
        <f>VLOOKUP(Q7,Calculation!$B$8:$JO$517,69,FALSE)</f>
        <v>5.9765115267507607</v>
      </c>
      <c r="R11" s="37">
        <f>VLOOKUP(R7,Calculation!$B$8:$JO$517,69,FALSE)</f>
        <v>5.4581009353926468</v>
      </c>
      <c r="S11" s="37">
        <f>VLOOKUP(S7,Calculation!$B$8:$JO$517,69,FALSE)</f>
        <v>5.4829540383757251</v>
      </c>
      <c r="T11" s="37">
        <f>VLOOKUP(T7,Calculation!$B$8:$JO$517,69,FALSE)</f>
        <v>5.0105505882352936</v>
      </c>
      <c r="U11" s="37">
        <f>VLOOKUP(U7,Calculation!$B$8:$JO$517,69,FALSE)</f>
        <v>4.6957485300768882</v>
      </c>
      <c r="V11" s="37">
        <f>VLOOKUP(V7,Calculation!$B$8:$JO$517,69,FALSE)</f>
        <v>4.1071032988201299</v>
      </c>
      <c r="W11" s="37">
        <f>VLOOKUP(W7,Calculation!$B$8:$JO$517,69,FALSE)</f>
        <v>4.9162680151706697</v>
      </c>
      <c r="X11" s="37">
        <f>VLOOKUP(X7,Calculation!$B$8:$JO$517,69,FALSE)</f>
        <v>4.8809897341405639</v>
      </c>
      <c r="Y11" s="37">
        <f>VLOOKUP(Y7,Calculation!$B$8:$JO$517,69,FALSE)</f>
        <v>4.4136961093585692</v>
      </c>
      <c r="Z11" s="37">
        <f>VLOOKUP(Z7,Calculation!$B$8:$JO$517,69,FALSE)</f>
        <v>4.3630927291886188</v>
      </c>
      <c r="AA11" s="37">
        <f>VLOOKUP(AA7,Calculation!$B$8:$JO$517,69,FALSE)</f>
        <v>4.9211376476630715</v>
      </c>
      <c r="AB11" s="37">
        <f>VLOOKUP(AB7,Calculation!$B$8:$JO$517,69,FALSE)</f>
        <v>4.9215685316393838</v>
      </c>
      <c r="AC11" s="37">
        <f>VLOOKUP(AC7,Calculation!$B$8:$JO$517,69,FALSE)</f>
        <v>4.9124054246966455</v>
      </c>
      <c r="AD11" s="37">
        <f>VLOOKUP(AD7,Calculation!$B$8:$JO$517,69,FALSE)</f>
        <v>4.5857232704402513</v>
      </c>
      <c r="AE11" s="37">
        <f>VLOOKUP(AE7,Calculation!$B$8:$JO$517,69,FALSE)</f>
        <v>4</v>
      </c>
      <c r="AF11" s="37">
        <f>VLOOKUP(AF7,Calculation!$B$8:$JO$517,69,FALSE)</f>
        <v>3.9967854272702921</v>
      </c>
      <c r="AG11" s="993">
        <f>VLOOKUP(AG7,Calculation!$B$8:$JO$517,69,FALSE)</f>
        <v>3.4934571666204599</v>
      </c>
    </row>
    <row r="12" spans="1:34" x14ac:dyDescent="0.25">
      <c r="A12" s="21" t="s">
        <v>242</v>
      </c>
      <c r="B12" s="22" t="s">
        <v>13</v>
      </c>
      <c r="C12" s="44">
        <f>VLOOKUP(C7,Calculation!$B$8:$JO$517,90,FALSE)</f>
        <v>6.4610082961072104</v>
      </c>
      <c r="D12" s="37">
        <f>VLOOKUP(D7,Calculation!$B$8:$JO$517,90,FALSE)</f>
        <v>6.7855165069222583</v>
      </c>
      <c r="E12" s="37">
        <f>VLOOKUP(E7,Calculation!$B$8:$JO$517,90,FALSE)</f>
        <v>6.9990544041450784</v>
      </c>
      <c r="F12" s="37">
        <f>VLOOKUP(F7,Calculation!$B$8:$JO$517,90,FALSE)</f>
        <v>6.9636518847006643</v>
      </c>
      <c r="G12" s="37">
        <f>VLOOKUP(G7,Calculation!$B$8:$JO$517,90,FALSE)</f>
        <v>6.680134821992838</v>
      </c>
      <c r="H12" s="37">
        <f>VLOOKUP(H7,Calculation!$B$8:$JO$517,90,FALSE)</f>
        <v>6.4624469316866078</v>
      </c>
      <c r="I12" s="37">
        <f>VLOOKUP(I7,Calculation!$B$8:$JO$517,90,FALSE)</f>
        <v>6.4781871132144166</v>
      </c>
      <c r="J12" s="37">
        <f>VLOOKUP(J7,Calculation!$B$8:$JO$517,90,FALSE)</f>
        <v>5.4790558173251185</v>
      </c>
      <c r="K12" s="37">
        <f>VLOOKUP(K7,Calculation!$B$8:$JO$517,90,FALSE)</f>
        <v>4.9790928961748637</v>
      </c>
      <c r="L12" s="37">
        <f>VLOOKUP(L7,Calculation!$B$8:$JO$517,90,FALSE)</f>
        <v>4.9792360237282045</v>
      </c>
      <c r="M12" s="37">
        <f>VLOOKUP(M7,Calculation!$B$8:$JO$517,90,FALSE)</f>
        <v>4.9726957473991611</v>
      </c>
      <c r="N12" s="37">
        <f>VLOOKUP(N7,Calculation!$B$8:$JO$517,90,FALSE)</f>
        <v>4.9746343341031558</v>
      </c>
      <c r="O12" s="37">
        <f>VLOOKUP(O7,Calculation!$B$8:$JO$517,90,FALSE)</f>
        <v>4.9928871745419485</v>
      </c>
      <c r="P12" s="37">
        <f>VLOOKUP(P7,Calculation!$B$8:$JO$517,90,FALSE)</f>
        <v>4.98798465266559</v>
      </c>
      <c r="Q12" s="37">
        <f>VLOOKUP(Q7,Calculation!$B$8:$JO$517,90,FALSE)</f>
        <v>4.9704654197477156</v>
      </c>
      <c r="R12" s="37">
        <f>VLOOKUP(R7,Calculation!$B$8:$JO$517,90,FALSE)</f>
        <v>4.9791450946269302</v>
      </c>
      <c r="S12" s="37">
        <f>VLOOKUP(S7,Calculation!$B$8:$JO$517,90,FALSE)</f>
        <v>4.9655064703257477</v>
      </c>
      <c r="T12" s="37">
        <f>VLOOKUP(T7,Calculation!$B$8:$JO$517,90,FALSE)</f>
        <v>4.6811717647058817</v>
      </c>
      <c r="U12" s="37">
        <f>VLOOKUP(U7,Calculation!$B$8:$JO$517,90,FALSE)</f>
        <v>4.4959294436906374</v>
      </c>
      <c r="V12" s="37">
        <f>VLOOKUP(V7,Calculation!$B$8:$JO$517,90,FALSE)</f>
        <v>4.4659764026005302</v>
      </c>
      <c r="W12" s="37">
        <f>VLOOKUP(W7,Calculation!$B$8:$JO$517,90,FALSE)</f>
        <v>4.4066548672566368</v>
      </c>
      <c r="X12" s="37">
        <f>VLOOKUP(X7,Calculation!$B$8:$JO$517,90,FALSE)</f>
        <v>4.1623163990523828</v>
      </c>
      <c r="Y12" s="37">
        <f>VLOOKUP(Y7,Calculation!$B$8:$JO$517,90,FALSE)</f>
        <v>3.9753154574132492</v>
      </c>
      <c r="Z12" s="37">
        <f>VLOOKUP(Z7,Calculation!$B$8:$JO$517,90,FALSE)</f>
        <v>3.9936775553213906</v>
      </c>
      <c r="AA12" s="37">
        <f>VLOOKUP(AA7,Calculation!$B$8:$JO$517,90,FALSE)</f>
        <v>3.9728454031843867</v>
      </c>
      <c r="AB12" s="37">
        <f>VLOOKUP(AB7,Calculation!$B$8:$JO$517,90,FALSE)</f>
        <v>3.9731932567798687</v>
      </c>
      <c r="AC12" s="37">
        <f>VLOOKUP(AC7,Calculation!$B$8:$JO$517,90,FALSE)</f>
        <v>3.965795860099929</v>
      </c>
      <c r="AD12" s="37">
        <f>VLOOKUP(AD7,Calculation!$B$8:$JO$517,90,FALSE)</f>
        <v>3.9862823200559054</v>
      </c>
      <c r="AE12" s="37">
        <f>VLOOKUP(AE7,Calculation!$B$8:$JO$517,90,FALSE)</f>
        <v>3.66</v>
      </c>
      <c r="AF12" s="37">
        <f>VLOOKUP(AF7,Calculation!$B$8:$JO$517,90,FALSE)</f>
        <v>3.4572193945888023</v>
      </c>
      <c r="AG12" s="993">
        <f>VLOOKUP(AG7,Calculation!$B$8:$JO$517,90,FALSE)</f>
        <v>3.4735514277793182</v>
      </c>
    </row>
    <row r="13" spans="1:34" x14ac:dyDescent="0.25">
      <c r="A13" s="21" t="s">
        <v>862</v>
      </c>
      <c r="B13" s="22" t="s">
        <v>13</v>
      </c>
      <c r="C13" s="44">
        <f>VLOOKUP(C7,Calculation!$B$8:$JO$517,109,FALSE)</f>
        <v>11.757243139757497</v>
      </c>
      <c r="D13" s="37">
        <f>VLOOKUP(D7,Calculation!$B$8:$JO$517,109,FALSE)</f>
        <v>11.705015974440895</v>
      </c>
      <c r="E13" s="37">
        <f>VLOOKUP(E7,Calculation!$B$8:$JO$517,109,FALSE)</f>
        <v>11.054300518134715</v>
      </c>
      <c r="F13" s="37">
        <f>VLOOKUP(F7,Calculation!$B$8:$JO$517,109,FALSE)</f>
        <v>11.845181818181816</v>
      </c>
      <c r="G13" s="37">
        <f>VLOOKUP(G7,Calculation!$B$8:$JO$517,109,FALSE)</f>
        <v>9.7655782599536547</v>
      </c>
      <c r="H13" s="37">
        <f>VLOOKUP(H7,Calculation!$B$8:$JO$517,109,FALSE)</f>
        <v>9.0514087225009643</v>
      </c>
      <c r="I13" s="37">
        <f>VLOOKUP(I7,Calculation!$B$8:$JO$517,109,FALSE)</f>
        <v>8.9836184929013481</v>
      </c>
      <c r="J13" s="37">
        <f>VLOOKUP(J7,Calculation!$B$8:$JO$517,109,FALSE)</f>
        <v>8.3433345415005444</v>
      </c>
      <c r="K13" s="37">
        <f>VLOOKUP(K7,Calculation!$B$8:$JO$517,109,FALSE)</f>
        <v>7.9585500910746791</v>
      </c>
      <c r="L13" s="37">
        <f>VLOOKUP(L7,Calculation!$B$8:$JO$517,109,FALSE)</f>
        <v>8.0026999820240885</v>
      </c>
      <c r="M13" s="37">
        <f>VLOOKUP(M7,Calculation!$B$8:$JO$517,109,FALSE)</f>
        <v>7.9622923891221031</v>
      </c>
      <c r="N13" s="37">
        <f>VLOOKUP(N7,Calculation!$B$8:$JO$517,109,FALSE)</f>
        <v>7.9853348729792142</v>
      </c>
      <c r="O13" s="37">
        <f>VLOOKUP(O7,Calculation!$B$8:$JO$517,109,FALSE)</f>
        <v>7.9746113789778201</v>
      </c>
      <c r="P13" s="37">
        <f>VLOOKUP(P7,Calculation!$B$8:$JO$517,109,FALSE)</f>
        <v>7.996768982229403</v>
      </c>
      <c r="Q13" s="37">
        <f>VLOOKUP(Q7,Calculation!$B$8:$JO$517,109,FALSE)</f>
        <v>7.958721183123096</v>
      </c>
      <c r="R13" s="37">
        <f>VLOOKUP(R7,Calculation!$B$8:$JO$517,109,FALSE)</f>
        <v>7.9925755927778983</v>
      </c>
      <c r="S13" s="37">
        <f>VLOOKUP(S7,Calculation!$B$8:$JO$517,109,FALSE)</f>
        <v>7.980633645693886</v>
      </c>
      <c r="T13" s="37">
        <f>VLOOKUP(T7,Calculation!$B$8:$JO$517,109,FALSE)</f>
        <v>7.3760894117647062</v>
      </c>
      <c r="U13" s="37">
        <f>VLOOKUP(U7,Calculation!$B$8:$JO$517,109,FALSE)</f>
        <v>7.0136499321573949</v>
      </c>
      <c r="V13" s="37">
        <f>VLOOKUP(V7,Calculation!$B$8:$JO$517,109,FALSE)</f>
        <v>7.0079942210450268</v>
      </c>
      <c r="W13" s="37">
        <f>VLOOKUP(W7,Calculation!$B$8:$JO$517,109,FALSE)</f>
        <v>7.1145992414664976</v>
      </c>
      <c r="X13" s="37">
        <f>VLOOKUP(X7,Calculation!$B$8:$JO$517,109,FALSE)</f>
        <v>7.0170465912082136</v>
      </c>
      <c r="Y13" s="37">
        <f>VLOOKUP(Y7,Calculation!$B$8:$JO$517,109,FALSE)</f>
        <v>6.9941640378548895</v>
      </c>
      <c r="Z13" s="37">
        <f>VLOOKUP(Z7,Calculation!$B$8:$JO$517,109,FALSE)</f>
        <v>6.7792676501580607</v>
      </c>
      <c r="AA13" s="37">
        <f>VLOOKUP(AA7,Calculation!$B$8:$JO$517,109,FALSE)</f>
        <v>7.0173626091422694</v>
      </c>
      <c r="AB13" s="37">
        <f>VLOOKUP(AB7,Calculation!$B$8:$JO$517,109,FALSE)</f>
        <v>7.0079941363303195</v>
      </c>
      <c r="AC13" s="37">
        <f>VLOOKUP(AC7,Calculation!$B$8:$JO$517,109,FALSE)</f>
        <v>6.9949464668094219</v>
      </c>
      <c r="AD13" s="37">
        <f>VLOOKUP(AD7,Calculation!$B$8:$JO$517,109,FALSE)</f>
        <v>7.043431167016073</v>
      </c>
      <c r="AE13" s="37">
        <f>VLOOKUP(AE7,Calculation!$B$8:$JO$517,109,FALSE)</f>
        <v>7.04</v>
      </c>
      <c r="AF13" s="37">
        <f>VLOOKUP(AF7,Calculation!$B$8:$JO$517,109,FALSE)</f>
        <v>7.0643182427002413</v>
      </c>
      <c r="AG13" s="993">
        <f>VLOOKUP(AG7,Calculation!$B$8:$JO$517,109,FALSE)</f>
        <v>7.0366786803437762</v>
      </c>
      <c r="AH13" s="30"/>
    </row>
    <row r="14" spans="1:34" x14ac:dyDescent="0.25">
      <c r="A14" s="21" t="s">
        <v>895</v>
      </c>
      <c r="B14" s="22" t="s">
        <v>13</v>
      </c>
      <c r="C14" s="44">
        <f>VLOOKUP(C7,Calculation!$B$8:$JO$517,59,FALSE)</f>
        <v>0</v>
      </c>
      <c r="D14" s="37">
        <f>VLOOKUP(D7,Calculation!$B$8:$JO$517,59,FALSE)</f>
        <v>0</v>
      </c>
      <c r="E14" s="37">
        <f>VLOOKUP(E7,Calculation!$B$8:$JO$517,59,FALSE)</f>
        <v>0</v>
      </c>
      <c r="F14" s="37">
        <f>VLOOKUP(F7,Calculation!$B$8:$JO$517,59,FALSE)</f>
        <v>0</v>
      </c>
      <c r="G14" s="37">
        <f>VLOOKUP(G7,Calculation!$B$8:$JO$517,59,FALSE)</f>
        <v>0</v>
      </c>
      <c r="H14" s="37">
        <f>VLOOKUP(H7,Calculation!$B$8:$JO$517,59,FALSE)</f>
        <v>0</v>
      </c>
      <c r="I14" s="37">
        <f>VLOOKUP(I7,Calculation!$B$8:$JO$517,59,FALSE)</f>
        <v>0</v>
      </c>
      <c r="J14" s="37">
        <f>VLOOKUP(J7,Calculation!$B$8:$JO$517,59,FALSE)</f>
        <v>0</v>
      </c>
      <c r="K14" s="37">
        <f>VLOOKUP(K7,Calculation!$B$8:$JO$517,59,FALSE)</f>
        <v>0</v>
      </c>
      <c r="L14" s="37">
        <f>VLOOKUP(L7,Calculation!$B$8:$JO$517,59,FALSE)</f>
        <v>0</v>
      </c>
      <c r="M14" s="37">
        <f>VLOOKUP(M7,Calculation!$B$8:$JO$517,59,FALSE)</f>
        <v>0</v>
      </c>
      <c r="N14" s="37">
        <f>VLOOKUP(N7,Calculation!$B$8:$JO$517,59,FALSE)</f>
        <v>0</v>
      </c>
      <c r="O14" s="37">
        <f>VLOOKUP(O7,Calculation!$B$8:$JO$517,59,FALSE)</f>
        <v>0</v>
      </c>
      <c r="P14" s="37">
        <f>VLOOKUP(P7,Calculation!$B$8:$JO$517,59,FALSE)</f>
        <v>0</v>
      </c>
      <c r="Q14" s="37">
        <f>VLOOKUP(Q7,Calculation!$B$8:$JO$517,59,FALSE)</f>
        <v>0</v>
      </c>
      <c r="R14" s="37">
        <f>VLOOKUP(R7,Calculation!$B$8:$JO$517,59,FALSE)</f>
        <v>0</v>
      </c>
      <c r="S14" s="37">
        <f>VLOOKUP(S7,Calculation!$B$8:$JO$517,59,FALSE)</f>
        <v>0</v>
      </c>
      <c r="T14" s="37">
        <f>VLOOKUP(T7,Calculation!$B$8:$JO$517,59,FALSE)</f>
        <v>0</v>
      </c>
      <c r="U14" s="37">
        <f>VLOOKUP(U7,Calculation!$B$8:$JO$517,59,FALSE)</f>
        <v>0</v>
      </c>
      <c r="V14" s="37">
        <f>VLOOKUP(V7,Calculation!$B$8:$JO$517,59,FALSE)</f>
        <v>0</v>
      </c>
      <c r="W14" s="37">
        <f>VLOOKUP(W7,Calculation!$B$8:$JO$517,59,FALSE)</f>
        <v>0</v>
      </c>
      <c r="X14" s="37">
        <f>VLOOKUP(X7,Calculation!$B$8:$JO$517,59,FALSE)</f>
        <v>0</v>
      </c>
      <c r="Y14" s="37">
        <f>VLOOKUP(Y7,Calculation!$B$8:$JO$517,59,FALSE)</f>
        <v>0</v>
      </c>
      <c r="Z14" s="37">
        <f>VLOOKUP(Z7,Calculation!$B$8:$JO$517,59,FALSE)</f>
        <v>0</v>
      </c>
      <c r="AA14" s="37">
        <f>VLOOKUP(AA7,Calculation!$B$8:$JO$517,59,FALSE)</f>
        <v>0</v>
      </c>
      <c r="AB14" s="37">
        <f>VLOOKUP(AB7,Calculation!$B$8:$JO$517,59,FALSE)</f>
        <v>0</v>
      </c>
      <c r="AC14" s="37">
        <f>VLOOKUP(AC7,Calculation!$B$8:$JO$517,59,FALSE)</f>
        <v>0</v>
      </c>
      <c r="AD14" s="37">
        <f>VLOOKUP(AD7,Calculation!$B$8:$JO$517,59,FALSE)</f>
        <v>0</v>
      </c>
      <c r="AE14" s="37">
        <f>VLOOKUP(AE7,Calculation!$B$8:$JO$517,59,FALSE)</f>
        <v>0</v>
      </c>
      <c r="AF14" s="37">
        <f>VLOOKUP(AF7,Calculation!$B$8:$JO$517,59,FALSE)</f>
        <v>0</v>
      </c>
      <c r="AG14" s="39">
        <f>VLOOKUP(AG7,Calculation!$B$8:$JO$517,59,FALSE)</f>
        <v>0</v>
      </c>
    </row>
    <row r="15" spans="1:34" x14ac:dyDescent="0.25">
      <c r="A15" s="21" t="s">
        <v>896</v>
      </c>
      <c r="B15" s="22" t="s">
        <v>13</v>
      </c>
      <c r="C15" s="44">
        <f>VLOOKUP(C7,Calculation!$B$8:$JO$517,78,FALSE)</f>
        <v>0</v>
      </c>
      <c r="D15" s="37">
        <f>VLOOKUP(D7,Calculation!$B$8:$JO$517,78,FALSE)</f>
        <v>0</v>
      </c>
      <c r="E15" s="37">
        <f>VLOOKUP(E7,Calculation!$B$8:$JO$517,78,FALSE)</f>
        <v>0</v>
      </c>
      <c r="F15" s="37">
        <f>VLOOKUP(F7,Calculation!$B$8:$JO$517,78,FALSE)</f>
        <v>0</v>
      </c>
      <c r="G15" s="37">
        <f>VLOOKUP(G7,Calculation!$B$8:$JO$517,78,FALSE)</f>
        <v>0</v>
      </c>
      <c r="H15" s="37">
        <f>VLOOKUP(H7,Calculation!$B$8:$JO$517,78,FALSE)</f>
        <v>0</v>
      </c>
      <c r="I15" s="37">
        <f>VLOOKUP(I7,Calculation!$B$8:$JO$517,78,FALSE)</f>
        <v>0</v>
      </c>
      <c r="J15" s="37">
        <f>VLOOKUP(J7,Calculation!$B$8:$JO$517,78,FALSE)</f>
        <v>0</v>
      </c>
      <c r="K15" s="37">
        <f>VLOOKUP(K7,Calculation!$B$8:$JO$517,78,FALSE)</f>
        <v>0</v>
      </c>
      <c r="L15" s="37">
        <f>VLOOKUP(L7,Calculation!$B$8:$JO$517,78,FALSE)</f>
        <v>0</v>
      </c>
      <c r="M15" s="37">
        <f>VLOOKUP(M7,Calculation!$B$8:$JO$517,78,FALSE)</f>
        <v>0</v>
      </c>
      <c r="N15" s="37">
        <f>VLOOKUP(N7,Calculation!$B$8:$JO$517,78,FALSE)</f>
        <v>0</v>
      </c>
      <c r="O15" s="37">
        <f>VLOOKUP(O7,Calculation!$B$8:$JO$517,78,FALSE)</f>
        <v>0</v>
      </c>
      <c r="P15" s="37">
        <f>VLOOKUP(P7,Calculation!$B$8:$JO$517,78,FALSE)</f>
        <v>0</v>
      </c>
      <c r="Q15" s="37">
        <f>VLOOKUP(Q7,Calculation!$B$8:$JO$517,78,FALSE)</f>
        <v>0</v>
      </c>
      <c r="R15" s="37">
        <f>VLOOKUP(R7,Calculation!$B$8:$JO$517,78,FALSE)</f>
        <v>0</v>
      </c>
      <c r="S15" s="37">
        <f>VLOOKUP(S7,Calculation!$B$8:$JO$517,78,FALSE)</f>
        <v>0</v>
      </c>
      <c r="T15" s="37">
        <f>VLOOKUP(T7,Calculation!$B$8:$JO$517,78,FALSE)</f>
        <v>0</v>
      </c>
      <c r="U15" s="37">
        <f>VLOOKUP(U7,Calculation!$B$8:$JO$517,78,FALSE)</f>
        <v>0</v>
      </c>
      <c r="V15" s="37">
        <f>VLOOKUP(V7,Calculation!$B$8:$JO$517,78,FALSE)</f>
        <v>0</v>
      </c>
      <c r="W15" s="37">
        <f>VLOOKUP(W7,Calculation!$B$8:$JO$517,78,FALSE)</f>
        <v>0</v>
      </c>
      <c r="X15" s="37">
        <f>VLOOKUP(X7,Calculation!$B$8:$JO$517,78,FALSE)</f>
        <v>0</v>
      </c>
      <c r="Y15" s="37">
        <f>VLOOKUP(Y7,Calculation!$B$8:$JO$517,78,FALSE)</f>
        <v>0</v>
      </c>
      <c r="Z15" s="37">
        <f>VLOOKUP(Z7,Calculation!$B$8:$JO$517,78,FALSE)</f>
        <v>0</v>
      </c>
      <c r="AA15" s="37">
        <f>VLOOKUP(AA7,Calculation!$B$8:$JO$517,78,FALSE)</f>
        <v>0</v>
      </c>
      <c r="AB15" s="37">
        <f>VLOOKUP(AB7,Calculation!$B$8:$JO$517,78,FALSE)</f>
        <v>0</v>
      </c>
      <c r="AC15" s="37">
        <f>VLOOKUP(AC7,Calculation!$B$8:$JO$517,78,FALSE)</f>
        <v>0</v>
      </c>
      <c r="AD15" s="37">
        <f>VLOOKUP(AD7,Calculation!$B$8:$JO$517,78,FALSE)</f>
        <v>0</v>
      </c>
      <c r="AE15" s="37">
        <f>VLOOKUP(AE7,Calculation!$B$8:$JO$517,78,FALSE)</f>
        <v>0</v>
      </c>
      <c r="AF15" s="37">
        <f>VLOOKUP(AF7,Calculation!$B$8:$JO$517,78,FALSE)</f>
        <v>0</v>
      </c>
      <c r="AG15" s="39">
        <f>VLOOKUP(AG7,Calculation!$B$8:$JO$517,78,FALSE)</f>
        <v>0</v>
      </c>
    </row>
    <row r="16" spans="1:34" x14ac:dyDescent="0.25">
      <c r="A16" s="21" t="s">
        <v>897</v>
      </c>
      <c r="B16" s="781" t="s">
        <v>13</v>
      </c>
      <c r="C16" s="44">
        <f>VLOOKUP(C7,Calculation!$B$8:$JO$517,99,FALSE)</f>
        <v>0</v>
      </c>
      <c r="D16" s="37">
        <f>VLOOKUP(D7,Calculation!$B$8:$JO$517,99,FALSE)</f>
        <v>0</v>
      </c>
      <c r="E16" s="37">
        <f>VLOOKUP(E7,Calculation!$B$8:$JO$517,99,FALSE)</f>
        <v>0</v>
      </c>
      <c r="F16" s="37">
        <f>VLOOKUP(F7,Calculation!$B$8:$JO$517,99,FALSE)</f>
        <v>0</v>
      </c>
      <c r="G16" s="37">
        <f>VLOOKUP(G7,Calculation!$B$8:$JO$517,99,FALSE)</f>
        <v>0</v>
      </c>
      <c r="H16" s="37">
        <f>VLOOKUP(H7,Calculation!$B$8:$JO$517,99,FALSE)</f>
        <v>0</v>
      </c>
      <c r="I16" s="37">
        <f>VLOOKUP(I7,Calculation!$B$8:$JO$517,99,FALSE)</f>
        <v>0</v>
      </c>
      <c r="J16" s="37">
        <f>VLOOKUP(J7,Calculation!$B$8:$JO$517,99,FALSE)</f>
        <v>0</v>
      </c>
      <c r="K16" s="37">
        <f>VLOOKUP(K7,Calculation!$B$8:$JO$517,99,FALSE)</f>
        <v>0</v>
      </c>
      <c r="L16" s="37">
        <f>VLOOKUP(L7,Calculation!$B$8:$JO$517,99,FALSE)</f>
        <v>0</v>
      </c>
      <c r="M16" s="37">
        <f>VLOOKUP(M7,Calculation!$B$8:$JO$517,99,FALSE)</f>
        <v>0</v>
      </c>
      <c r="N16" s="37">
        <f>VLOOKUP(N7,Calculation!$B$8:$JO$517,99,FALSE)</f>
        <v>0</v>
      </c>
      <c r="O16" s="37">
        <f>VLOOKUP(O7,Calculation!$B$8:$JO$517,99,FALSE)</f>
        <v>0</v>
      </c>
      <c r="P16" s="37">
        <f>VLOOKUP(P7,Calculation!$B$8:$JO$517,99,FALSE)</f>
        <v>0</v>
      </c>
      <c r="Q16" s="37">
        <f>VLOOKUP(Q7,Calculation!$B$8:$JO$517,99,FALSE)</f>
        <v>0</v>
      </c>
      <c r="R16" s="37">
        <f>VLOOKUP(R7,Calculation!$B$8:$JO$517,99,FALSE)</f>
        <v>0</v>
      </c>
      <c r="S16" s="37">
        <f>VLOOKUP(S7,Calculation!$B$8:$JO$517,99,FALSE)</f>
        <v>0</v>
      </c>
      <c r="T16" s="37">
        <f>VLOOKUP(T7,Calculation!$B$8:$JO$517,99,FALSE)</f>
        <v>0</v>
      </c>
      <c r="U16" s="37">
        <f>VLOOKUP(U7,Calculation!$B$8:$JO$517,99,FALSE)</f>
        <v>0</v>
      </c>
      <c r="V16" s="37">
        <f>VLOOKUP(V7,Calculation!$B$8:$JO$517,99,FALSE)</f>
        <v>0</v>
      </c>
      <c r="W16" s="37">
        <f>VLOOKUP(W7,Calculation!$B$8:$JO$517,99,FALSE)</f>
        <v>0</v>
      </c>
      <c r="X16" s="37">
        <f>VLOOKUP(X7,Calculation!$B$8:$JO$517,99,FALSE)</f>
        <v>0</v>
      </c>
      <c r="Y16" s="37">
        <f>VLOOKUP(Y7,Calculation!$B$8:$JO$517,99,FALSE)</f>
        <v>0</v>
      </c>
      <c r="Z16" s="37">
        <f>VLOOKUP(Z7,Calculation!$B$8:$JO$517,99,FALSE)</f>
        <v>0</v>
      </c>
      <c r="AA16" s="37">
        <f>VLOOKUP(AA7,Calculation!$B$8:$JO$517,99,FALSE)</f>
        <v>0</v>
      </c>
      <c r="AB16" s="37">
        <f>VLOOKUP(AB7,Calculation!$B$8:$JO$517,99,FALSE)</f>
        <v>0</v>
      </c>
      <c r="AC16" s="37">
        <f>VLOOKUP(AC7,Calculation!$B$8:$JO$517,99,FALSE)</f>
        <v>0</v>
      </c>
      <c r="AD16" s="37">
        <f>VLOOKUP(AD7,Calculation!$B$8:$JO$517,99,FALSE)</f>
        <v>0</v>
      </c>
      <c r="AE16" s="37">
        <f>VLOOKUP(AE7,Calculation!$B$8:$JO$517,99,FALSE)</f>
        <v>0</v>
      </c>
      <c r="AF16" s="37">
        <f>VLOOKUP(AF7,Calculation!$B$8:$JO$517,99,FALSE)</f>
        <v>0</v>
      </c>
      <c r="AG16" s="39">
        <f>VLOOKUP(AG7,Calculation!$B$8:$JO$517,99,FALSE)</f>
        <v>0</v>
      </c>
    </row>
    <row r="17" spans="1:33" ht="13.8" thickBot="1" x14ac:dyDescent="0.3">
      <c r="A17" s="46" t="s">
        <v>341</v>
      </c>
      <c r="B17" s="781" t="s">
        <v>13</v>
      </c>
      <c r="C17" s="45">
        <f>VLOOKUP(C7,Calculation!$B$8:$JO$517,43,FALSE)</f>
        <v>0</v>
      </c>
      <c r="D17" s="40">
        <f>VLOOKUP(D7,Calculation!$B$8:$JO$517,43,FALSE)</f>
        <v>0</v>
      </c>
      <c r="E17" s="40">
        <f>VLOOKUP(E7,Calculation!$B$8:$JO$517,43,FALSE)</f>
        <v>0</v>
      </c>
      <c r="F17" s="40">
        <f>VLOOKUP(F7,Calculation!$B$8:$JO$517,43,FALSE)</f>
        <v>0</v>
      </c>
      <c r="G17" s="40">
        <f>VLOOKUP(G7,Calculation!$B$8:$JO$517,43,FALSE)</f>
        <v>0</v>
      </c>
      <c r="H17" s="40">
        <f>VLOOKUP(H7,Calculation!$B$8:$JO$517,43,FALSE)</f>
        <v>0</v>
      </c>
      <c r="I17" s="40">
        <f>VLOOKUP(I7,Calculation!$B$8:$JO$517,43,FALSE)</f>
        <v>0</v>
      </c>
      <c r="J17" s="40">
        <f>VLOOKUP(J7,Calculation!$B$8:$JO$517,43,FALSE)</f>
        <v>0</v>
      </c>
      <c r="K17" s="40">
        <f>VLOOKUP(K7,Calculation!$B$8:$JO$517,43,FALSE)</f>
        <v>0</v>
      </c>
      <c r="L17" s="40">
        <f>VLOOKUP(L7,Calculation!$B$8:$JO$517,43,FALSE)</f>
        <v>0</v>
      </c>
      <c r="M17" s="40">
        <f>VLOOKUP(M7,Calculation!$B$8:$JO$517,43,FALSE)</f>
        <v>0</v>
      </c>
      <c r="N17" s="40">
        <f>VLOOKUP(N7,Calculation!$B$8:$JO$517,43,FALSE)</f>
        <v>0</v>
      </c>
      <c r="O17" s="40">
        <f>VLOOKUP(O7,Calculation!$B$8:$JO$517,43,FALSE)</f>
        <v>0</v>
      </c>
      <c r="P17" s="40">
        <f>VLOOKUP(P7,Calculation!$B$8:$JO$517,43,FALSE)</f>
        <v>0</v>
      </c>
      <c r="Q17" s="40">
        <f>VLOOKUP(Q7,Calculation!$B$8:$JO$517,43,FALSE)</f>
        <v>0</v>
      </c>
      <c r="R17" s="40">
        <f>VLOOKUP(R7,Calculation!$B$8:$JO$517,43,FALSE)</f>
        <v>0</v>
      </c>
      <c r="S17" s="40">
        <f>VLOOKUP(S7,Calculation!$B$8:$JO$517,43,FALSE)</f>
        <v>0</v>
      </c>
      <c r="T17" s="40">
        <f>VLOOKUP(T7,Calculation!$B$8:$JO$517,43,FALSE)</f>
        <v>0</v>
      </c>
      <c r="U17" s="40">
        <f>VLOOKUP(U7,Calculation!$B$8:$JO$517,43,FALSE)</f>
        <v>0</v>
      </c>
      <c r="V17" s="40">
        <f>VLOOKUP(V7,Calculation!$B$8:$JO$517,43,FALSE)</f>
        <v>0</v>
      </c>
      <c r="W17" s="40">
        <f>VLOOKUP(W7,Calculation!$B$8:$JO$517,43,FALSE)</f>
        <v>0</v>
      </c>
      <c r="X17" s="40">
        <f>VLOOKUP(X7,Calculation!$B$8:$JO$517,43,FALSE)</f>
        <v>0</v>
      </c>
      <c r="Y17" s="40">
        <f>VLOOKUP(Y7,Calculation!$B$8:$JO$517,43,FALSE)</f>
        <v>0</v>
      </c>
      <c r="Z17" s="40">
        <f>VLOOKUP(Z7,Calculation!$B$8:$JO$517,43,FALSE)</f>
        <v>0</v>
      </c>
      <c r="AA17" s="40">
        <f>VLOOKUP(AA7,Calculation!$B$8:$JO$517,43,FALSE)</f>
        <v>0</v>
      </c>
      <c r="AB17" s="40">
        <f>VLOOKUP(AB7,Calculation!$B$8:$JO$517,43,FALSE)</f>
        <v>0</v>
      </c>
      <c r="AC17" s="40">
        <f>VLOOKUP(AC7,Calculation!$B$8:$JO$517,43,FALSE)</f>
        <v>0</v>
      </c>
      <c r="AD17" s="40">
        <f>VLOOKUP(AD7,Calculation!$B$8:$JO$517,43,FALSE)</f>
        <v>0</v>
      </c>
      <c r="AE17" s="40">
        <f>VLOOKUP(AE7,Calculation!$B$8:$JO$517,43,FALSE)</f>
        <v>0</v>
      </c>
      <c r="AF17" s="40">
        <f>VLOOKUP(AF7,Calculation!$B$8:$JO$517,43,FALSE)</f>
        <v>0</v>
      </c>
      <c r="AG17" s="41">
        <f>VLOOKUP(AG7,Calculation!$B$8:$JO$517,43,FALSE)</f>
        <v>0</v>
      </c>
    </row>
    <row r="18" spans="1:33" ht="13.8" thickBot="1" x14ac:dyDescent="0.3">
      <c r="A18" s="342" t="s">
        <v>244</v>
      </c>
      <c r="B18" s="343"/>
      <c r="C18" s="747"/>
      <c r="D18" s="747"/>
      <c r="E18" s="747"/>
      <c r="F18" s="747"/>
      <c r="G18" s="747"/>
      <c r="H18" s="747"/>
      <c r="I18" s="747"/>
      <c r="J18" s="747"/>
      <c r="K18" s="747"/>
      <c r="L18" s="747"/>
      <c r="M18" s="747"/>
      <c r="N18" s="747"/>
      <c r="O18" s="747"/>
      <c r="P18" s="747"/>
      <c r="Q18" s="747"/>
      <c r="R18" s="747"/>
      <c r="S18" s="747"/>
      <c r="T18" s="747"/>
      <c r="U18" s="747"/>
      <c r="V18" s="747"/>
      <c r="W18" s="747"/>
      <c r="X18" s="747"/>
      <c r="Y18" s="747"/>
      <c r="Z18" s="747"/>
      <c r="AA18" s="747"/>
      <c r="AB18" s="747"/>
      <c r="AC18" s="747"/>
      <c r="AD18" s="747"/>
      <c r="AE18" s="747"/>
      <c r="AF18" s="747"/>
      <c r="AG18" s="747"/>
    </row>
    <row r="19" spans="1:33" x14ac:dyDescent="0.25">
      <c r="A19" s="100" t="s">
        <v>245</v>
      </c>
      <c r="B19" s="102" t="s">
        <v>13</v>
      </c>
      <c r="C19" s="43">
        <f>VLOOKUP(C7,Sheet1!$B$8:$HT$524,137,FALSE)</f>
        <v>19.5</v>
      </c>
      <c r="D19" s="38">
        <f>VLOOKUP(D7,Sheet1!$B$8:$HT$524,137,FALSE)</f>
        <v>19</v>
      </c>
      <c r="E19" s="38">
        <f>VLOOKUP(E7,Sheet1!$B$8:$HT$524,137,FALSE)</f>
        <v>19</v>
      </c>
      <c r="F19" s="38">
        <f>VLOOKUP(F7,Sheet1!$B$8:$HT$524,137,FALSE)</f>
        <v>19</v>
      </c>
      <c r="G19" s="38">
        <f>VLOOKUP(G7,Sheet1!$B$8:$HT$524,137,FALSE)</f>
        <v>22.5</v>
      </c>
      <c r="H19" s="38">
        <f>VLOOKUP(H7,Sheet1!$B$8:$HT$524,137,FALSE)</f>
        <v>22.5</v>
      </c>
      <c r="I19" s="38">
        <f>VLOOKUP(I7,Sheet1!$B$8:$HT$524,137,FALSE)</f>
        <v>22.5</v>
      </c>
      <c r="J19" s="38">
        <f>VLOOKUP(J7,Sheet1!$B$8:$HT$524,137,FALSE)</f>
        <v>16</v>
      </c>
      <c r="K19" s="38">
        <f>VLOOKUP(K7,Sheet1!$B$8:$HT$524,137,FALSE)</f>
        <v>16</v>
      </c>
      <c r="L19" s="38">
        <f>VLOOKUP(L7,Sheet1!$B$8:$HT$524,137,FALSE)</f>
        <v>16</v>
      </c>
      <c r="M19" s="38">
        <f>VLOOKUP(M7,Sheet1!$B$8:$HT$524,137,FALSE)</f>
        <v>16</v>
      </c>
      <c r="N19" s="38">
        <f>VLOOKUP(N7,Sheet1!$B$8:$HT$524,137,FALSE)</f>
        <v>16</v>
      </c>
      <c r="O19" s="38">
        <f>VLOOKUP(O7,Sheet1!$B$8:$HT$524,137,FALSE)</f>
        <v>16</v>
      </c>
      <c r="P19" s="38">
        <f>VLOOKUP(P7,Sheet1!$B$8:$HT$524,137,FALSE)</f>
        <v>16</v>
      </c>
      <c r="Q19" s="38">
        <f>VLOOKUP(Q7,Sheet1!$B$8:$HT$524,137,FALSE)</f>
        <v>16</v>
      </c>
      <c r="R19" s="38">
        <f>VLOOKUP(R7,Sheet1!$B$8:$HT$524,137,FALSE)</f>
        <v>16</v>
      </c>
      <c r="S19" s="38">
        <f>VLOOKUP(S7,Sheet1!$B$8:$HT$524,137,FALSE)</f>
        <v>16</v>
      </c>
      <c r="T19" s="38">
        <f>VLOOKUP(T7,Sheet1!$B$8:$HT$524,137,FALSE)</f>
        <v>14.5</v>
      </c>
      <c r="U19" s="38">
        <f>VLOOKUP(U7,Sheet1!$B$8:$HT$524,137,FALSE)</f>
        <v>14.5</v>
      </c>
      <c r="V19" s="38">
        <f>VLOOKUP(V7,Sheet1!$B$8:$HT$524,137,FALSE)</f>
        <v>15.5</v>
      </c>
      <c r="W19" s="38">
        <f>VLOOKUP(W7,Sheet1!$B$8:$HT$524,137,FALSE)</f>
        <v>14.5</v>
      </c>
      <c r="X19" s="38">
        <f>VLOOKUP(X7,Sheet1!$B$8:$HT$524,137,FALSE)</f>
        <v>0.5</v>
      </c>
      <c r="Y19" s="38">
        <f>VLOOKUP(Y7,Sheet1!$B$8:$HT$524,137,FALSE)</f>
        <v>0.5</v>
      </c>
      <c r="Z19" s="38">
        <f>VLOOKUP(Z7,Sheet1!$B$8:$HT$524,137,FALSE)</f>
        <v>0.5</v>
      </c>
      <c r="AA19" s="38">
        <f>VLOOKUP(AA7,Sheet1!$B$8:$HT$524,137,FALSE)</f>
        <v>0.5</v>
      </c>
      <c r="AB19" s="38">
        <f>VLOOKUP(AB7,Sheet1!$B$8:$HT$524,137,FALSE)</f>
        <v>0.5</v>
      </c>
      <c r="AC19" s="38">
        <f>VLOOKUP(AC7,Sheet1!$B$8:$HT$524,137,FALSE)</f>
        <v>0.5</v>
      </c>
      <c r="AD19" s="38">
        <f>VLOOKUP(AD7,Sheet1!$B$8:$HT$524,137,FALSE)</f>
        <v>0.5</v>
      </c>
      <c r="AE19" s="38">
        <f>VLOOKUP(AE7,Sheet1!$B$8:$HT$524,137,FALSE)</f>
        <v>0</v>
      </c>
      <c r="AF19" s="38">
        <f>VLOOKUP(AF7,Sheet1!$B$8:$HT$524,137,FALSE)</f>
        <v>0</v>
      </c>
      <c r="AG19" s="38">
        <f>VLOOKUP(AG7,Sheet1!$B$8:$HT$524,137,FALSE)</f>
        <v>0</v>
      </c>
    </row>
    <row r="20" spans="1:33" x14ac:dyDescent="0.25">
      <c r="A20" s="24" t="s">
        <v>246</v>
      </c>
      <c r="B20" s="23" t="s">
        <v>13</v>
      </c>
      <c r="C20" s="44">
        <f>VLOOKUP(C7,Sheet1!$B$8:$HT$524,138,FALSE)</f>
        <v>6</v>
      </c>
      <c r="D20" s="37">
        <f>VLOOKUP(D7,Sheet1!$B$8:$HT$524,138,FALSE)</f>
        <v>6</v>
      </c>
      <c r="E20" s="37">
        <f>VLOOKUP(E7,Sheet1!$B$8:$HT$524,138,FALSE)</f>
        <v>6</v>
      </c>
      <c r="F20" s="37">
        <f>VLOOKUP(F7,Sheet1!$B$8:$HT$524,138,FALSE)</f>
        <v>6</v>
      </c>
      <c r="G20" s="37">
        <f>VLOOKUP(G7,Sheet1!$B$8:$HT$524,138,FALSE)</f>
        <v>6</v>
      </c>
      <c r="H20" s="37">
        <f>VLOOKUP(H7,Sheet1!$B$8:$HT$524,138,FALSE)</f>
        <v>6</v>
      </c>
      <c r="I20" s="37">
        <f>VLOOKUP(I7,Sheet1!$B$8:$HT$524,138,FALSE)</f>
        <v>6</v>
      </c>
      <c r="J20" s="37">
        <f>VLOOKUP(J7,Sheet1!$B$8:$HT$524,138,FALSE)</f>
        <v>6</v>
      </c>
      <c r="K20" s="37">
        <f>VLOOKUP(K7,Sheet1!$B$8:$HT$524,138,FALSE)</f>
        <v>6</v>
      </c>
      <c r="L20" s="37">
        <f>VLOOKUP(L7,Sheet1!$B$8:$HT$524,138,FALSE)</f>
        <v>6</v>
      </c>
      <c r="M20" s="37">
        <f>VLOOKUP(M7,Sheet1!$B$8:$HT$524,138,FALSE)</f>
        <v>6</v>
      </c>
      <c r="N20" s="37">
        <f>VLOOKUP(N7,Sheet1!$B$8:$HT$524,138,FALSE)</f>
        <v>6</v>
      </c>
      <c r="O20" s="37">
        <f>VLOOKUP(O7,Sheet1!$B$8:$HT$524,138,FALSE)</f>
        <v>6</v>
      </c>
      <c r="P20" s="37">
        <f>VLOOKUP(P7,Sheet1!$B$8:$HT$524,138,FALSE)</f>
        <v>6</v>
      </c>
      <c r="Q20" s="37">
        <f>VLOOKUP(Q7,Sheet1!$B$8:$HT$524,138,FALSE)</f>
        <v>6</v>
      </c>
      <c r="R20" s="37">
        <f>VLOOKUP(R7,Sheet1!$B$8:$HT$524,138,FALSE)</f>
        <v>6</v>
      </c>
      <c r="S20" s="37">
        <f>VLOOKUP(S7,Sheet1!$B$8:$HT$524,138,FALSE)</f>
        <v>6</v>
      </c>
      <c r="T20" s="37">
        <f>VLOOKUP(T7,Sheet1!$B$8:$HT$524,138,FALSE)</f>
        <v>5</v>
      </c>
      <c r="U20" s="37">
        <f>VLOOKUP(U7,Sheet1!$B$8:$HT$524,138,FALSE)</f>
        <v>5</v>
      </c>
      <c r="V20" s="37">
        <f>VLOOKUP(V7,Sheet1!$B$8:$HT$524,138,FALSE)</f>
        <v>4</v>
      </c>
      <c r="W20" s="37">
        <f>VLOOKUP(W7,Sheet1!$B$8:$HT$524,138,FALSE)</f>
        <v>5</v>
      </c>
      <c r="X20" s="37">
        <f>VLOOKUP(X7,Sheet1!$B$8:$HT$524,138,FALSE)</f>
        <v>5</v>
      </c>
      <c r="Y20" s="37">
        <f>VLOOKUP(Y7,Sheet1!$B$8:$HT$524,138,FALSE)</f>
        <v>5</v>
      </c>
      <c r="Z20" s="37">
        <f>VLOOKUP(Z7,Sheet1!$B$8:$HT$524,138,FALSE)</f>
        <v>5</v>
      </c>
      <c r="AA20" s="37">
        <f>VLOOKUP(AA7,Sheet1!$B$8:$HT$524,138,FALSE)</f>
        <v>5</v>
      </c>
      <c r="AB20" s="37">
        <f>VLOOKUP(AB7,Sheet1!$B$8:$HT$524,138,FALSE)</f>
        <v>5</v>
      </c>
      <c r="AC20" s="37">
        <f>VLOOKUP(AC7,Sheet1!$B$8:$HT$524,138,FALSE)</f>
        <v>5</v>
      </c>
      <c r="AD20" s="37">
        <f>VLOOKUP(AD7,Sheet1!$B$8:$HT$524,138,FALSE)</f>
        <v>5</v>
      </c>
      <c r="AE20" s="37">
        <f>VLOOKUP(AE7,Sheet1!$B$8:$HT$524,138,FALSE)</f>
        <v>4</v>
      </c>
      <c r="AF20" s="37">
        <f>VLOOKUP(AF7,Sheet1!$B$8:$HT$524,138,FALSE)</f>
        <v>4</v>
      </c>
      <c r="AG20" s="37">
        <f>VLOOKUP(AG7,Sheet1!$B$8:$HT$524,138,FALSE)</f>
        <v>4</v>
      </c>
    </row>
    <row r="21" spans="1:33" x14ac:dyDescent="0.25">
      <c r="A21" s="34" t="s">
        <v>247</v>
      </c>
      <c r="B21" s="23" t="s">
        <v>13</v>
      </c>
      <c r="C21" s="44">
        <f>VLOOKUP(C7,Sheet1!$B$8:$HT$524,139,FALSE)</f>
        <v>6.5</v>
      </c>
      <c r="D21" s="37">
        <f>VLOOKUP(D7,Sheet1!$B$8:$HT$524,139,FALSE)</f>
        <v>7</v>
      </c>
      <c r="E21" s="37">
        <f>VLOOKUP(E7,Sheet1!$B$8:$HT$524,139,FALSE)</f>
        <v>7</v>
      </c>
      <c r="F21" s="37">
        <f>VLOOKUP(F7,Sheet1!$B$8:$HT$524,139,FALSE)</f>
        <v>7</v>
      </c>
      <c r="G21" s="37">
        <f>VLOOKUP(G7,Sheet1!$B$8:$HT$524,139,FALSE)</f>
        <v>6.5</v>
      </c>
      <c r="H21" s="37">
        <f>VLOOKUP(H7,Sheet1!$B$8:$HT$524,139,FALSE)</f>
        <v>6.5</v>
      </c>
      <c r="I21" s="37">
        <f>VLOOKUP(I7,Sheet1!$B$8:$HT$524,139,FALSE)</f>
        <v>6.5</v>
      </c>
      <c r="J21" s="37">
        <f>VLOOKUP(J7,Sheet1!$B$8:$HT$524,139,FALSE)</f>
        <v>5</v>
      </c>
      <c r="K21" s="37">
        <f>VLOOKUP(K7,Sheet1!$B$8:$HT$524,139,FALSE)</f>
        <v>5</v>
      </c>
      <c r="L21" s="37">
        <f>VLOOKUP(L7,Sheet1!$B$8:$HT$524,139,FALSE)</f>
        <v>5</v>
      </c>
      <c r="M21" s="37">
        <f>VLOOKUP(M7,Sheet1!$B$8:$HT$524,139,FALSE)</f>
        <v>5</v>
      </c>
      <c r="N21" s="37">
        <f>VLOOKUP(N7,Sheet1!$B$8:$HT$524,139,FALSE)</f>
        <v>5</v>
      </c>
      <c r="O21" s="37">
        <f>VLOOKUP(O7,Sheet1!$B$8:$HT$524,139,FALSE)</f>
        <v>5</v>
      </c>
      <c r="P21" s="37">
        <f>VLOOKUP(P7,Sheet1!$B$8:$HT$524,139,FALSE)</f>
        <v>5</v>
      </c>
      <c r="Q21" s="37">
        <f>VLOOKUP(Q7,Sheet1!$B$8:$HT$524,139,FALSE)</f>
        <v>5</v>
      </c>
      <c r="R21" s="37">
        <f>VLOOKUP(R7,Sheet1!$B$8:$HT$524,139,FALSE)</f>
        <v>5</v>
      </c>
      <c r="S21" s="37">
        <f>VLOOKUP(S7,Sheet1!$B$8:$HT$524,139,FALSE)</f>
        <v>5</v>
      </c>
      <c r="T21" s="37">
        <f>VLOOKUP(T7,Sheet1!$B$8:$HT$524,139,FALSE)</f>
        <v>4.5</v>
      </c>
      <c r="U21" s="37">
        <f>VLOOKUP(U7,Sheet1!$B$8:$HT$524,139,FALSE)</f>
        <v>4.5</v>
      </c>
      <c r="V21" s="37">
        <f>VLOOKUP(V7,Sheet1!$B$8:$HT$524,139,FALSE)</f>
        <v>4.5</v>
      </c>
      <c r="W21" s="37">
        <f>VLOOKUP(W7,Sheet1!$B$8:$HT$524,139,FALSE)</f>
        <v>4.5</v>
      </c>
      <c r="X21" s="37">
        <f>VLOOKUP(X7,Sheet1!$B$8:$HT$524,139,FALSE)</f>
        <v>4</v>
      </c>
      <c r="Y21" s="37">
        <f>VLOOKUP(Y7,Sheet1!$B$8:$HT$524,139,FALSE)</f>
        <v>4</v>
      </c>
      <c r="Z21" s="37">
        <f>VLOOKUP(Z7,Sheet1!$B$8:$HT$524,139,FALSE)</f>
        <v>4</v>
      </c>
      <c r="AA21" s="37">
        <f>VLOOKUP(AA7,Sheet1!$B$8:$HT$524,139,FALSE)</f>
        <v>4</v>
      </c>
      <c r="AB21" s="37">
        <f>VLOOKUP(AB7,Sheet1!$B$8:$HT$524,139,FALSE)</f>
        <v>4</v>
      </c>
      <c r="AC21" s="37">
        <f>VLOOKUP(AC7,Sheet1!$B$8:$HT$524,139,FALSE)</f>
        <v>4</v>
      </c>
      <c r="AD21" s="37">
        <f>VLOOKUP(AD7,Sheet1!$B$8:$HT$524,139,FALSE)</f>
        <v>4</v>
      </c>
      <c r="AE21" s="37">
        <f>VLOOKUP(AE7,Sheet1!$B$8:$HT$524,139,FALSE)</f>
        <v>3.5</v>
      </c>
      <c r="AF21" s="37">
        <f>VLOOKUP(AF7,Sheet1!$B$8:$HT$524,139,FALSE)</f>
        <v>3.5</v>
      </c>
      <c r="AG21" s="37">
        <f>VLOOKUP(AG7,Sheet1!$B$8:$HT$524,139,FALSE)</f>
        <v>3.5</v>
      </c>
    </row>
    <row r="22" spans="1:33" x14ac:dyDescent="0.25">
      <c r="A22" s="222" t="s">
        <v>248</v>
      </c>
      <c r="B22" s="239" t="s">
        <v>34</v>
      </c>
      <c r="C22" s="44">
        <f>VLOOKUP(C7,Sheet1!$B$8:$HT$524,140,FALSE)</f>
        <v>12</v>
      </c>
      <c r="D22" s="37">
        <f>VLOOKUP(D7,Sheet1!$B$8:$HT$524,140,FALSE)</f>
        <v>12</v>
      </c>
      <c r="E22" s="37">
        <f>VLOOKUP(E7,Sheet1!$B$8:$HT$524,140,FALSE)</f>
        <v>12</v>
      </c>
      <c r="F22" s="37">
        <f>VLOOKUP(F7,Sheet1!$B$8:$HT$524,140,FALSE)</f>
        <v>12</v>
      </c>
      <c r="G22" s="37">
        <f>VLOOKUP(G7,Sheet1!$B$8:$HT$524,140,FALSE)</f>
        <v>9</v>
      </c>
      <c r="H22" s="37">
        <f>VLOOKUP(H7,Sheet1!$B$8:$HT$524,140,FALSE)</f>
        <v>9</v>
      </c>
      <c r="I22" s="37">
        <f>VLOOKUP(I7,Sheet1!$B$8:$HT$524,140,FALSE)</f>
        <v>9</v>
      </c>
      <c r="J22" s="37">
        <f>VLOOKUP(J7,Sheet1!$B$8:$HT$524,140,FALSE)</f>
        <v>8</v>
      </c>
      <c r="K22" s="37">
        <f>VLOOKUP(K7,Sheet1!$B$8:$HT$524,140,FALSE)</f>
        <v>8</v>
      </c>
      <c r="L22" s="37">
        <f>VLOOKUP(L7,Sheet1!$B$8:$HT$524,140,FALSE)</f>
        <v>8</v>
      </c>
      <c r="M22" s="37">
        <f>VLOOKUP(M7,Sheet1!$B$8:$HT$524,140,FALSE)</f>
        <v>8</v>
      </c>
      <c r="N22" s="37">
        <f>VLOOKUP(N7,Sheet1!$B$8:$HT$524,140,FALSE)</f>
        <v>8</v>
      </c>
      <c r="O22" s="37">
        <f>VLOOKUP(O7,Sheet1!$B$8:$HT$524,140,FALSE)</f>
        <v>8</v>
      </c>
      <c r="P22" s="37">
        <f>VLOOKUP(P7,Sheet1!$B$8:$HT$524,140,FALSE)</f>
        <v>8</v>
      </c>
      <c r="Q22" s="37">
        <f>VLOOKUP(Q7,Sheet1!$B$8:$HT$524,140,FALSE)</f>
        <v>8</v>
      </c>
      <c r="R22" s="37">
        <f>VLOOKUP(R7,Sheet1!$B$8:$HT$524,140,FALSE)</f>
        <v>8</v>
      </c>
      <c r="S22" s="37">
        <f>VLOOKUP(S7,Sheet1!$B$8:$HT$524,140,FALSE)</f>
        <v>8</v>
      </c>
      <c r="T22" s="37">
        <f>VLOOKUP(T7,Sheet1!$B$8:$HT$524,140,FALSE)</f>
        <v>7</v>
      </c>
      <c r="U22" s="37">
        <f>VLOOKUP(U7,Sheet1!$B$8:$HT$524,140,FALSE)</f>
        <v>7</v>
      </c>
      <c r="V22" s="37">
        <f>VLOOKUP(V7,Sheet1!$B$8:$HT$524,140,FALSE)</f>
        <v>7</v>
      </c>
      <c r="W22" s="37">
        <f>VLOOKUP(W7,Sheet1!$B$8:$HT$524,140,FALSE)</f>
        <v>7</v>
      </c>
      <c r="X22" s="37">
        <f>VLOOKUP(X7,Sheet1!$B$8:$HT$524,140,FALSE)</f>
        <v>7</v>
      </c>
      <c r="Y22" s="37">
        <f>VLOOKUP(Y7,Sheet1!$B$8:$HT$524,140,FALSE)</f>
        <v>7</v>
      </c>
      <c r="Z22" s="37">
        <f>VLOOKUP(Z7,Sheet1!$B$8:$HT$524,140,FALSE)</f>
        <v>7</v>
      </c>
      <c r="AA22" s="37">
        <f>VLOOKUP(AA7,Sheet1!$B$8:$HT$524,140,FALSE)</f>
        <v>7</v>
      </c>
      <c r="AB22" s="37">
        <f>VLOOKUP(AB7,Sheet1!$B$8:$HT$524,140,FALSE)</f>
        <v>7</v>
      </c>
      <c r="AC22" s="37">
        <f>VLOOKUP(AC7,Sheet1!$B$8:$HT$524,140,FALSE)</f>
        <v>7</v>
      </c>
      <c r="AD22" s="37">
        <f>VLOOKUP(AD7,Sheet1!$B$8:$HT$524,140,FALSE)</f>
        <v>7</v>
      </c>
      <c r="AE22" s="37">
        <f>VLOOKUP(AE7,Sheet1!$B$8:$HT$524,140,FALSE)</f>
        <v>7</v>
      </c>
      <c r="AF22" s="37">
        <f>VLOOKUP(AF7,Sheet1!$B$8:$HT$524,140,FALSE)</f>
        <v>7</v>
      </c>
      <c r="AG22" s="37">
        <f>VLOOKUP(AG7,Sheet1!$B$8:$HT$524,140,FALSE)</f>
        <v>7</v>
      </c>
    </row>
    <row r="23" spans="1:33" ht="13.8" thickBot="1" x14ac:dyDescent="0.3">
      <c r="A23" s="101" t="s">
        <v>410</v>
      </c>
      <c r="B23" s="240" t="s">
        <v>34</v>
      </c>
      <c r="C23" s="45">
        <f>VLOOKUP(C7,Sheet1!$B$8:$HT$524,141,FALSE)</f>
        <v>0</v>
      </c>
      <c r="D23" s="40">
        <f>VLOOKUP(D7,Sheet1!$B$8:$HT$524,141,FALSE)</f>
        <v>0</v>
      </c>
      <c r="E23" s="40">
        <f>VLOOKUP(E7,Sheet1!$B$8:$HT$524,141,FALSE)</f>
        <v>0</v>
      </c>
      <c r="F23" s="40">
        <f>VLOOKUP(F7,Sheet1!$B$8:$HT$524,141,FALSE)</f>
        <v>0</v>
      </c>
      <c r="G23" s="40">
        <f>VLOOKUP(G7,Sheet1!$B$8:$HT$524,141,FALSE)</f>
        <v>0</v>
      </c>
      <c r="H23" s="40">
        <f>VLOOKUP(H7,Sheet1!$B$8:$HT$524,141,FALSE)</f>
        <v>0</v>
      </c>
      <c r="I23" s="40">
        <f>VLOOKUP(I7,Sheet1!$B$8:$HT$524,141,FALSE)</f>
        <v>0</v>
      </c>
      <c r="J23" s="40">
        <f>VLOOKUP(J7,Sheet1!$B$8:$HT$524,141,FALSE)</f>
        <v>0</v>
      </c>
      <c r="K23" s="40">
        <f>VLOOKUP(K7,Sheet1!$B$8:$HT$524,141,FALSE)</f>
        <v>0</v>
      </c>
      <c r="L23" s="40">
        <f>VLOOKUP(L7,Sheet1!$B$8:$HT$524,141,FALSE)</f>
        <v>0</v>
      </c>
      <c r="M23" s="40">
        <f>VLOOKUP(M7,Sheet1!$B$8:$HT$524,141,FALSE)</f>
        <v>0</v>
      </c>
      <c r="N23" s="40">
        <f>VLOOKUP(N7,Sheet1!$B$8:$HT$524,141,FALSE)</f>
        <v>0</v>
      </c>
      <c r="O23" s="40">
        <f>VLOOKUP(O7,Sheet1!$B$8:$HT$524,141,FALSE)</f>
        <v>0</v>
      </c>
      <c r="P23" s="40">
        <f>VLOOKUP(P7,Sheet1!$B$8:$HT$524,141,FALSE)</f>
        <v>0</v>
      </c>
      <c r="Q23" s="40">
        <f>VLOOKUP(Q7,Sheet1!$B$8:$HT$524,141,FALSE)</f>
        <v>0</v>
      </c>
      <c r="R23" s="40">
        <f>VLOOKUP(R7,Sheet1!$B$8:$HT$524,141,FALSE)</f>
        <v>0</v>
      </c>
      <c r="S23" s="40">
        <f>VLOOKUP(S7,Sheet1!$B$8:$HT$524,141,FALSE)</f>
        <v>0</v>
      </c>
      <c r="T23" s="40">
        <f>VLOOKUP(T7,Sheet1!$B$8:$HT$524,141,FALSE)</f>
        <v>0</v>
      </c>
      <c r="U23" s="40">
        <f>VLOOKUP(U7,Sheet1!$B$8:$HT$524,141,FALSE)</f>
        <v>0</v>
      </c>
      <c r="V23" s="40">
        <f>VLOOKUP(V7,Sheet1!$B$8:$HT$524,141,FALSE)</f>
        <v>0</v>
      </c>
      <c r="W23" s="40">
        <f>VLOOKUP(W7,Sheet1!$B$8:$HT$524,141,FALSE)</f>
        <v>0</v>
      </c>
      <c r="X23" s="40">
        <f>VLOOKUP(X7,Sheet1!$B$8:$HT$524,141,FALSE)</f>
        <v>0</v>
      </c>
      <c r="Y23" s="40">
        <f>VLOOKUP(Y7,Sheet1!$B$8:$HT$524,141,FALSE)</f>
        <v>0</v>
      </c>
      <c r="Z23" s="40">
        <f>VLOOKUP(Z7,Sheet1!$B$8:$HT$524,141,FALSE)</f>
        <v>0</v>
      </c>
      <c r="AA23" s="40">
        <f>VLOOKUP(AA7,Sheet1!$B$8:$HT$524,141,FALSE)</f>
        <v>0</v>
      </c>
      <c r="AB23" s="40">
        <f>VLOOKUP(AB7,Sheet1!$B$8:$HT$524,141,FALSE)</f>
        <v>0</v>
      </c>
      <c r="AC23" s="40">
        <f>VLOOKUP(AC7,Sheet1!$B$8:$HT$524,141,FALSE)</f>
        <v>0</v>
      </c>
      <c r="AD23" s="40">
        <f>VLOOKUP(AD7,Sheet1!$B$8:$HT$524,141,FALSE)</f>
        <v>0</v>
      </c>
      <c r="AE23" s="40">
        <f>VLOOKUP(AE7,Sheet1!$B$8:$HT$524,141,FALSE)</f>
        <v>0</v>
      </c>
      <c r="AF23" s="40">
        <f>VLOOKUP(AF7,Sheet1!$B$8:$HT$524,141,FALSE)</f>
        <v>0</v>
      </c>
      <c r="AG23" s="40">
        <f>VLOOKUP(AG7,Sheet1!$B$8:$HT$524,141,FALSE)</f>
        <v>0</v>
      </c>
    </row>
    <row r="24" spans="1:33" ht="13.8" thickBot="1" x14ac:dyDescent="0.3">
      <c r="A24" s="457" t="s">
        <v>528</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row>
    <row r="25" spans="1:33" x14ac:dyDescent="0.25">
      <c r="A25" s="100" t="s">
        <v>245</v>
      </c>
      <c r="B25" s="102" t="s">
        <v>13</v>
      </c>
      <c r="C25" s="43">
        <v>0</v>
      </c>
      <c r="D25" s="38">
        <v>0</v>
      </c>
      <c r="E25" s="38">
        <v>0</v>
      </c>
      <c r="F25" s="38">
        <v>0</v>
      </c>
      <c r="G25" s="38">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row>
    <row r="26" spans="1:33" x14ac:dyDescent="0.25">
      <c r="A26" s="24" t="s">
        <v>246</v>
      </c>
      <c r="B26" s="23" t="s">
        <v>13</v>
      </c>
      <c r="C26" s="44">
        <f>VLOOKUP(C7,Calculation!$B$8:$JO$517,68,FALSE)</f>
        <v>0</v>
      </c>
      <c r="D26" s="37">
        <f>VLOOKUP(D7,Calculation!$B$8:$JO$517,68,FALSE)</f>
        <v>0</v>
      </c>
      <c r="E26" s="37">
        <f>VLOOKUP(E7,Calculation!$B$8:$JO$517,68,FALSE)</f>
        <v>0</v>
      </c>
      <c r="F26" s="37">
        <f>VLOOKUP(F7,Calculation!$B$8:$JO$517,68,FALSE)</f>
        <v>0</v>
      </c>
      <c r="G26" s="37">
        <f>VLOOKUP(G7,Calculation!$B$8:$JO$517,68,FALSE)</f>
        <v>0</v>
      </c>
      <c r="H26" s="37">
        <f>VLOOKUP(H7,Calculation!$B$8:$JO$517,68,FALSE)</f>
        <v>0</v>
      </c>
      <c r="I26" s="37">
        <f>VLOOKUP(I7,Calculation!$B$8:$JO$517,68,FALSE)</f>
        <v>0</v>
      </c>
      <c r="J26" s="37">
        <f>VLOOKUP(J7,Calculation!$B$8:$JO$517,68,FALSE)</f>
        <v>0</v>
      </c>
      <c r="K26" s="37">
        <f>VLOOKUP(K7,Calculation!$B$8:$JO$517,68,FALSE)</f>
        <v>0</v>
      </c>
      <c r="L26" s="37">
        <f>VLOOKUP(L7,Calculation!$B$8:$JO$517,68,FALSE)</f>
        <v>0</v>
      </c>
      <c r="M26" s="37">
        <f>VLOOKUP(M7,Calculation!$B$8:$JO$517,68,FALSE)</f>
        <v>0</v>
      </c>
      <c r="N26" s="37">
        <f>VLOOKUP(N7,Calculation!$B$8:$JO$517,68,FALSE)</f>
        <v>0</v>
      </c>
      <c r="O26" s="37">
        <f>VLOOKUP(O7,Calculation!$B$8:$JO$517,68,FALSE)</f>
        <v>0</v>
      </c>
      <c r="P26" s="37">
        <f>VLOOKUP(P7,Calculation!$B$8:$JO$517,68,FALSE)</f>
        <v>0</v>
      </c>
      <c r="Q26" s="37">
        <f>VLOOKUP(Q7,Calculation!$B$8:$JO$517,68,FALSE)</f>
        <v>0</v>
      </c>
      <c r="R26" s="37">
        <f>VLOOKUP(R7,Calculation!$B$8:$JO$517,68,FALSE)</f>
        <v>0</v>
      </c>
      <c r="S26" s="37">
        <f>VLOOKUP(S7,Calculation!$B$8:$JO$517,68,FALSE)</f>
        <v>0</v>
      </c>
      <c r="T26" s="37">
        <f>VLOOKUP(T7,Calculation!$B$8:$JO$517,68,FALSE)</f>
        <v>0</v>
      </c>
      <c r="U26" s="37">
        <f>VLOOKUP(U7,Calculation!$B$8:$JO$517,68,FALSE)</f>
        <v>0</v>
      </c>
      <c r="V26" s="37">
        <f>VLOOKUP(V7,Calculation!$B$8:$JO$517,68,FALSE)</f>
        <v>0</v>
      </c>
      <c r="W26" s="37">
        <f>VLOOKUP(W7,Calculation!$B$8:$JO$517,68,FALSE)</f>
        <v>0</v>
      </c>
      <c r="X26" s="37">
        <f>VLOOKUP(X7,Calculation!$B$8:$JO$517,68,FALSE)</f>
        <v>0</v>
      </c>
      <c r="Y26" s="37">
        <f>VLOOKUP(Y7,Calculation!$B$8:$JO$517,68,FALSE)</f>
        <v>0</v>
      </c>
      <c r="Z26" s="37">
        <f>VLOOKUP(Z7,Calculation!$B$8:$JO$517,68,FALSE)</f>
        <v>0</v>
      </c>
      <c r="AA26" s="37">
        <f>VLOOKUP(AA7,Calculation!$B$8:$JO$517,68,FALSE)</f>
        <v>0</v>
      </c>
      <c r="AB26" s="37">
        <f>VLOOKUP(AB7,Calculation!$B$8:$JO$517,68,FALSE)</f>
        <v>0</v>
      </c>
      <c r="AC26" s="37">
        <f>VLOOKUP(AC7,Calculation!$B$8:$JO$517,68,FALSE)</f>
        <v>0</v>
      </c>
      <c r="AD26" s="37">
        <f>VLOOKUP(AD7,Calculation!$B$8:$JO$517,68,FALSE)</f>
        <v>0</v>
      </c>
      <c r="AE26" s="37">
        <f>VLOOKUP(AE7,Calculation!$B$8:$JO$517,68,FALSE)</f>
        <v>0</v>
      </c>
      <c r="AF26" s="37">
        <f>VLOOKUP(AF7,Calculation!$B$8:$JO$517,68,FALSE)</f>
        <v>0</v>
      </c>
      <c r="AG26" s="37">
        <f>VLOOKUP(AG7,Calculation!$B$8:$JO$517,68,FALSE)</f>
        <v>0</v>
      </c>
    </row>
    <row r="27" spans="1:33" x14ac:dyDescent="0.25">
      <c r="A27" s="34" t="s">
        <v>247</v>
      </c>
      <c r="B27" s="23" t="s">
        <v>13</v>
      </c>
      <c r="C27" s="44">
        <f>VLOOKUP(C7,Calculation!$B$8:$JO$517,89,FALSE)</f>
        <v>0</v>
      </c>
      <c r="D27" s="37">
        <f>VLOOKUP(D7,Calculation!$B$8:$JO$517,89,FALSE)</f>
        <v>0</v>
      </c>
      <c r="E27" s="37">
        <f>VLOOKUP(E7,Calculation!$B$8:$JO$517,89,FALSE)</f>
        <v>0</v>
      </c>
      <c r="F27" s="37">
        <f>VLOOKUP(F7,Calculation!$B$8:$JO$517,89,FALSE)</f>
        <v>0</v>
      </c>
      <c r="G27" s="37">
        <f>VLOOKUP(G7,Calculation!$B$8:$JO$517,89,FALSE)</f>
        <v>0</v>
      </c>
      <c r="H27" s="37">
        <f>VLOOKUP(H7,Calculation!$B$8:$JO$517,89,FALSE)</f>
        <v>0</v>
      </c>
      <c r="I27" s="37">
        <f>VLOOKUP(I7,Calculation!$B$8:$JO$517,89,FALSE)</f>
        <v>0</v>
      </c>
      <c r="J27" s="37">
        <f>VLOOKUP(J7,Calculation!$B$8:$JO$517,89,FALSE)</f>
        <v>0</v>
      </c>
      <c r="K27" s="37">
        <f>VLOOKUP(K7,Calculation!$B$8:$JO$517,89,FALSE)</f>
        <v>0</v>
      </c>
      <c r="L27" s="37">
        <f>VLOOKUP(L7,Calculation!$B$8:$JO$517,89,FALSE)</f>
        <v>0</v>
      </c>
      <c r="M27" s="37">
        <f>VLOOKUP(M7,Calculation!$B$8:$JO$517,89,FALSE)</f>
        <v>0</v>
      </c>
      <c r="N27" s="37">
        <f>VLOOKUP(N7,Calculation!$B$8:$JO$517,89,FALSE)</f>
        <v>0</v>
      </c>
      <c r="O27" s="37">
        <f>VLOOKUP(O7,Calculation!$B$8:$JO$517,89,FALSE)</f>
        <v>0</v>
      </c>
      <c r="P27" s="37">
        <f>VLOOKUP(P7,Calculation!$B$8:$JO$517,89,FALSE)</f>
        <v>0</v>
      </c>
      <c r="Q27" s="37">
        <f>VLOOKUP(Q7,Calculation!$B$8:$JO$517,89,FALSE)</f>
        <v>0</v>
      </c>
      <c r="R27" s="37">
        <f>VLOOKUP(R7,Calculation!$B$8:$JO$517,89,FALSE)</f>
        <v>0</v>
      </c>
      <c r="S27" s="37">
        <f>VLOOKUP(S7,Calculation!$B$8:$JO$517,89,FALSE)</f>
        <v>0</v>
      </c>
      <c r="T27" s="37">
        <f>VLOOKUP(T7,Calculation!$B$8:$JO$517,89,FALSE)</f>
        <v>0</v>
      </c>
      <c r="U27" s="37">
        <f>VLOOKUP(U7,Calculation!$B$8:$JO$517,89,FALSE)</f>
        <v>0</v>
      </c>
      <c r="V27" s="37">
        <f>VLOOKUP(V7,Calculation!$B$8:$JO$517,89,FALSE)</f>
        <v>0</v>
      </c>
      <c r="W27" s="37">
        <f>VLOOKUP(W7,Calculation!$B$8:$JO$517,89,FALSE)</f>
        <v>0</v>
      </c>
      <c r="X27" s="37">
        <f>VLOOKUP(X7,Calculation!$B$8:$JO$517,89,FALSE)</f>
        <v>0</v>
      </c>
      <c r="Y27" s="37">
        <f>VLOOKUP(Y7,Calculation!$B$8:$JO$517,89,FALSE)</f>
        <v>0</v>
      </c>
      <c r="Z27" s="37">
        <f>VLOOKUP(Z7,Calculation!$B$8:$JO$517,89,FALSE)</f>
        <v>0</v>
      </c>
      <c r="AA27" s="37">
        <f>VLOOKUP(AA7,Calculation!$B$8:$JO$517,89,FALSE)</f>
        <v>0</v>
      </c>
      <c r="AB27" s="37">
        <f>VLOOKUP(AB7,Calculation!$B$8:$JO$517,89,FALSE)</f>
        <v>0</v>
      </c>
      <c r="AC27" s="37">
        <f>VLOOKUP(AC7,Calculation!$B$8:$JO$517,89,FALSE)</f>
        <v>0</v>
      </c>
      <c r="AD27" s="37">
        <f>VLOOKUP(AD7,Calculation!$B$8:$JO$517,89,FALSE)</f>
        <v>0</v>
      </c>
      <c r="AE27" s="37">
        <f>VLOOKUP(AE7,Calculation!$B$8:$JO$517,89,FALSE)</f>
        <v>0</v>
      </c>
      <c r="AF27" s="37">
        <f>VLOOKUP(AF7,Calculation!$B$8:$JO$517,89,FALSE)</f>
        <v>0</v>
      </c>
      <c r="AG27" s="37">
        <f>VLOOKUP(AG7,Calculation!$B$8:$JO$517,89,FALSE)</f>
        <v>0</v>
      </c>
    </row>
    <row r="28" spans="1:33" x14ac:dyDescent="0.25">
      <c r="A28" s="222" t="s">
        <v>248</v>
      </c>
      <c r="B28" s="23" t="s">
        <v>34</v>
      </c>
      <c r="C28" s="44">
        <f>VLOOKUP(C7,Calculation!$B$8:$JO$517,108,FALSE)</f>
        <v>0</v>
      </c>
      <c r="D28" s="37">
        <f>VLOOKUP(D7,Calculation!$B$8:$JO$517,108,FALSE)</f>
        <v>0</v>
      </c>
      <c r="E28" s="37">
        <f>VLOOKUP(E7,Calculation!$B$8:$JO$517,108,FALSE)</f>
        <v>0</v>
      </c>
      <c r="F28" s="37">
        <f>VLOOKUP(F7,Calculation!$B$8:$JO$517,108,FALSE)</f>
        <v>0</v>
      </c>
      <c r="G28" s="37">
        <f>VLOOKUP(G7,Calculation!$B$8:$JO$517,108,FALSE)</f>
        <v>0</v>
      </c>
      <c r="H28" s="37">
        <f>VLOOKUP(H7,Calculation!$B$8:$JO$517,108,FALSE)</f>
        <v>0</v>
      </c>
      <c r="I28" s="37">
        <f>VLOOKUP(I7,Calculation!$B$8:$JO$517,108,FALSE)</f>
        <v>0</v>
      </c>
      <c r="J28" s="37">
        <f>VLOOKUP(J7,Calculation!$B$8:$JO$517,108,FALSE)</f>
        <v>0</v>
      </c>
      <c r="K28" s="37">
        <f>VLOOKUP(K7,Calculation!$B$8:$JO$517,108,FALSE)</f>
        <v>0</v>
      </c>
      <c r="L28" s="37">
        <f>VLOOKUP(L7,Calculation!$B$8:$JO$517,108,FALSE)</f>
        <v>0</v>
      </c>
      <c r="M28" s="37">
        <f>VLOOKUP(M7,Calculation!$B$8:$JO$517,108,FALSE)</f>
        <v>0</v>
      </c>
      <c r="N28" s="37">
        <f>VLOOKUP(N7,Calculation!$B$8:$JO$517,108,FALSE)</f>
        <v>0</v>
      </c>
      <c r="O28" s="37">
        <f>VLOOKUP(O7,Calculation!$B$8:$JO$517,108,FALSE)</f>
        <v>0</v>
      </c>
      <c r="P28" s="37">
        <f>VLOOKUP(P7,Calculation!$B$8:$JO$517,108,FALSE)</f>
        <v>0</v>
      </c>
      <c r="Q28" s="37">
        <f>VLOOKUP(Q7,Calculation!$B$8:$JO$517,108,FALSE)</f>
        <v>0</v>
      </c>
      <c r="R28" s="37">
        <f>VLOOKUP(R7,Calculation!$B$8:$JO$517,108,FALSE)</f>
        <v>0</v>
      </c>
      <c r="S28" s="37">
        <f>VLOOKUP(S7,Calculation!$B$8:$JO$517,108,FALSE)</f>
        <v>0</v>
      </c>
      <c r="T28" s="37">
        <f>VLOOKUP(T7,Calculation!$B$8:$JO$517,108,FALSE)</f>
        <v>0</v>
      </c>
      <c r="U28" s="37">
        <f>VLOOKUP(U7,Calculation!$B$8:$JO$517,108,FALSE)</f>
        <v>0</v>
      </c>
      <c r="V28" s="37">
        <f>VLOOKUP(V7,Calculation!$B$8:$JO$517,108,FALSE)</f>
        <v>0</v>
      </c>
      <c r="W28" s="37">
        <f>VLOOKUP(W7,Calculation!$B$8:$JO$517,108,FALSE)</f>
        <v>0</v>
      </c>
      <c r="X28" s="37">
        <f>VLOOKUP(X7,Calculation!$B$8:$JO$517,108,FALSE)</f>
        <v>0</v>
      </c>
      <c r="Y28" s="37">
        <f>VLOOKUP(Y7,Calculation!$B$8:$JO$517,108,FALSE)</f>
        <v>0</v>
      </c>
      <c r="Z28" s="37">
        <f>VLOOKUP(Z7,Calculation!$B$8:$JO$517,108,FALSE)</f>
        <v>0</v>
      </c>
      <c r="AA28" s="37">
        <f>VLOOKUP(AA7,Calculation!$B$8:$JO$517,108,FALSE)</f>
        <v>0</v>
      </c>
      <c r="AB28" s="37">
        <f>VLOOKUP(AB7,Calculation!$B$8:$JO$517,108,FALSE)</f>
        <v>0</v>
      </c>
      <c r="AC28" s="37">
        <f>VLOOKUP(AC7,Calculation!$B$8:$JO$517,108,FALSE)</f>
        <v>0</v>
      </c>
      <c r="AD28" s="37">
        <f>VLOOKUP(AD7,Calculation!$B$8:$JO$517,108,FALSE)</f>
        <v>0</v>
      </c>
      <c r="AE28" s="37">
        <f>VLOOKUP(AE7,Calculation!$B$8:$JO$517,108,FALSE)</f>
        <v>0</v>
      </c>
      <c r="AF28" s="37">
        <f>VLOOKUP(AF7,Calculation!$B$8:$JO$517,108,FALSE)</f>
        <v>0</v>
      </c>
      <c r="AG28" s="37">
        <f>VLOOKUP(AG7,Calculation!$B$8:$JO$517,108,FALSE)</f>
        <v>0</v>
      </c>
    </row>
    <row r="29" spans="1:33" ht="13.8" thickBot="1" x14ac:dyDescent="0.3">
      <c r="A29" s="101" t="s">
        <v>410</v>
      </c>
      <c r="B29" s="240" t="s">
        <v>34</v>
      </c>
      <c r="C29" s="45">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v>0</v>
      </c>
      <c r="AC29" s="40">
        <v>0</v>
      </c>
      <c r="AD29" s="40">
        <v>0</v>
      </c>
      <c r="AE29" s="40">
        <v>0</v>
      </c>
      <c r="AF29" s="40">
        <v>0</v>
      </c>
      <c r="AG29" s="40">
        <v>0</v>
      </c>
    </row>
  </sheetData>
  <mergeCells count="2">
    <mergeCell ref="A1:I1"/>
    <mergeCell ref="A2:I2"/>
  </mergeCells>
  <phoneticPr fontId="12" type="noConversion"/>
  <pageMargins left="0.75" right="0.75" top="1" bottom="1" header="0.5" footer="0.5"/>
  <pageSetup paperSize="5" scale="74"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N34"/>
  <sheetViews>
    <sheetView workbookViewId="0">
      <selection activeCell="U55" sqref="U55"/>
    </sheetView>
  </sheetViews>
  <sheetFormatPr defaultRowHeight="13.2" x14ac:dyDescent="0.25"/>
  <cols>
    <col min="2" max="2" width="17.5546875" customWidth="1"/>
    <col min="3" max="3" width="10.109375" customWidth="1"/>
  </cols>
  <sheetData>
    <row r="3" spans="1:14" x14ac:dyDescent="0.25">
      <c r="I3" s="47"/>
      <c r="J3" s="47"/>
      <c r="K3" s="47"/>
      <c r="L3" s="47"/>
      <c r="M3" s="47"/>
      <c r="N3" s="48"/>
    </row>
    <row r="4" spans="1:14" x14ac:dyDescent="0.25">
      <c r="A4" t="s">
        <v>59</v>
      </c>
      <c r="I4" s="99"/>
      <c r="J4" s="99"/>
      <c r="K4" s="99"/>
      <c r="L4" s="99"/>
      <c r="M4" s="99"/>
      <c r="N4" s="99"/>
    </row>
    <row r="5" spans="1:14" x14ac:dyDescent="0.25">
      <c r="A5" t="s">
        <v>263</v>
      </c>
    </row>
    <row r="7" spans="1:14" x14ac:dyDescent="0.25">
      <c r="A7">
        <v>1</v>
      </c>
      <c r="B7" t="s">
        <v>60</v>
      </c>
      <c r="C7">
        <v>350</v>
      </c>
      <c r="D7" t="s">
        <v>56</v>
      </c>
    </row>
    <row r="8" spans="1:14" x14ac:dyDescent="0.25">
      <c r="A8">
        <v>2</v>
      </c>
      <c r="B8" s="25" t="s">
        <v>61</v>
      </c>
      <c r="C8">
        <v>300</v>
      </c>
      <c r="D8" t="s">
        <v>56</v>
      </c>
    </row>
    <row r="9" spans="1:14" x14ac:dyDescent="0.25">
      <c r="A9">
        <v>3</v>
      </c>
      <c r="B9" t="s">
        <v>62</v>
      </c>
      <c r="C9">
        <v>250</v>
      </c>
      <c r="D9" t="s">
        <v>56</v>
      </c>
    </row>
    <row r="10" spans="1:14" x14ac:dyDescent="0.25">
      <c r="A10">
        <v>4</v>
      </c>
      <c r="B10" t="s">
        <v>63</v>
      </c>
      <c r="C10">
        <v>250</v>
      </c>
      <c r="D10" t="s">
        <v>56</v>
      </c>
    </row>
    <row r="11" spans="1:14" x14ac:dyDescent="0.25">
      <c r="A11">
        <v>5</v>
      </c>
      <c r="B11" t="s">
        <v>64</v>
      </c>
      <c r="C11">
        <v>250</v>
      </c>
      <c r="D11" t="s">
        <v>56</v>
      </c>
    </row>
    <row r="13" spans="1:14" x14ac:dyDescent="0.25">
      <c r="B13" s="25">
        <v>41981</v>
      </c>
      <c r="C13" s="25">
        <v>41835</v>
      </c>
      <c r="D13">
        <v>250</v>
      </c>
    </row>
    <row r="22" spans="1:5" x14ac:dyDescent="0.25">
      <c r="A22" t="s">
        <v>65</v>
      </c>
    </row>
    <row r="24" spans="1:5" x14ac:dyDescent="0.25">
      <c r="A24" t="s">
        <v>261</v>
      </c>
    </row>
    <row r="26" spans="1:5" x14ac:dyDescent="0.25">
      <c r="A26">
        <v>1</v>
      </c>
      <c r="B26" s="25">
        <v>41898</v>
      </c>
      <c r="C26" s="25">
        <v>41834</v>
      </c>
      <c r="D26" t="s">
        <v>262</v>
      </c>
    </row>
    <row r="27" spans="1:5" x14ac:dyDescent="0.25">
      <c r="A27">
        <v>2</v>
      </c>
      <c r="B27" s="25">
        <v>41835</v>
      </c>
      <c r="C27" s="25">
        <v>41897</v>
      </c>
      <c r="D27">
        <v>400</v>
      </c>
      <c r="E27" t="s">
        <v>56</v>
      </c>
    </row>
    <row r="29" spans="1:5" x14ac:dyDescent="0.25">
      <c r="A29" t="s">
        <v>66</v>
      </c>
    </row>
    <row r="31" spans="1:5" x14ac:dyDescent="0.25">
      <c r="A31">
        <v>1</v>
      </c>
      <c r="B31" s="25">
        <v>41835</v>
      </c>
      <c r="C31" s="29">
        <v>41897</v>
      </c>
      <c r="D31">
        <v>200</v>
      </c>
      <c r="E31" t="s">
        <v>56</v>
      </c>
    </row>
    <row r="32" spans="1:5" x14ac:dyDescent="0.25">
      <c r="A32">
        <v>2</v>
      </c>
      <c r="B32" s="25">
        <v>41898</v>
      </c>
      <c r="C32" s="29">
        <v>41834</v>
      </c>
      <c r="D32">
        <v>300</v>
      </c>
      <c r="E32" t="s">
        <v>56</v>
      </c>
    </row>
    <row r="34" spans="2:3" x14ac:dyDescent="0.25">
      <c r="B34" s="25"/>
      <c r="C34" s="29"/>
    </row>
  </sheetData>
  <phoneticPr fontId="5"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Q262"/>
  <sheetViews>
    <sheetView zoomScale="80" zoomScaleNormal="80" workbookViewId="0">
      <selection activeCell="L28" sqref="L28"/>
    </sheetView>
  </sheetViews>
  <sheetFormatPr defaultColWidth="12.5546875" defaultRowHeight="13.2" x14ac:dyDescent="0.25"/>
  <cols>
    <col min="1" max="1" width="4.5546875" style="61" customWidth="1"/>
    <col min="2" max="2" width="14.109375" style="61" customWidth="1"/>
    <col min="3" max="3" width="12.5546875" style="765" customWidth="1"/>
    <col min="4" max="6" width="12.5546875" style="766" customWidth="1"/>
    <col min="7" max="7" width="16.44140625" style="78" customWidth="1"/>
    <col min="8" max="8" width="12.5546875" style="78" customWidth="1"/>
    <col min="9" max="9" width="14.109375" style="61" customWidth="1"/>
    <col min="10" max="10" width="15" style="74" bestFit="1" customWidth="1"/>
    <col min="11" max="11" width="12.5546875" style="61"/>
    <col min="12" max="12" width="20.5546875" style="61" customWidth="1"/>
    <col min="13" max="13" width="12.5546875" style="61" customWidth="1"/>
    <col min="14" max="16384" width="12.5546875" style="61"/>
  </cols>
  <sheetData>
    <row r="1" spans="2:17" x14ac:dyDescent="0.25">
      <c r="B1" s="62"/>
      <c r="C1" s="748" t="s">
        <v>164</v>
      </c>
      <c r="D1" s="749" t="s">
        <v>165</v>
      </c>
      <c r="E1" s="749" t="s">
        <v>166</v>
      </c>
      <c r="F1" s="749" t="s">
        <v>153</v>
      </c>
      <c r="G1" s="50" t="s">
        <v>167</v>
      </c>
      <c r="H1" s="64"/>
      <c r="I1" s="62"/>
      <c r="J1" s="63" t="s">
        <v>168</v>
      </c>
      <c r="P1" s="621" t="s">
        <v>20</v>
      </c>
    </row>
    <row r="2" spans="2:17" x14ac:dyDescent="0.25">
      <c r="B2" s="65" t="s">
        <v>169</v>
      </c>
      <c r="C2" s="750" t="s">
        <v>170</v>
      </c>
      <c r="D2" s="751" t="s">
        <v>170</v>
      </c>
      <c r="E2" s="751" t="s">
        <v>170</v>
      </c>
      <c r="F2" s="751" t="s">
        <v>170</v>
      </c>
      <c r="G2" s="67" t="s">
        <v>171</v>
      </c>
      <c r="H2" s="64"/>
      <c r="I2" s="65" t="s">
        <v>169</v>
      </c>
      <c r="J2" s="66" t="s">
        <v>172</v>
      </c>
      <c r="O2" s="622" t="s">
        <v>169</v>
      </c>
      <c r="P2" s="623" t="s">
        <v>669</v>
      </c>
      <c r="Q2" s="624" t="s">
        <v>670</v>
      </c>
    </row>
    <row r="3" spans="2:17" x14ac:dyDescent="0.25">
      <c r="B3" s="68" t="s">
        <v>55</v>
      </c>
      <c r="C3" s="752" t="s">
        <v>173</v>
      </c>
      <c r="D3" s="753" t="s">
        <v>173</v>
      </c>
      <c r="E3" s="753" t="s">
        <v>173</v>
      </c>
      <c r="F3" s="753" t="s">
        <v>173</v>
      </c>
      <c r="G3" s="70" t="s">
        <v>174</v>
      </c>
      <c r="H3" s="64"/>
      <c r="I3" s="68" t="s">
        <v>55</v>
      </c>
      <c r="J3" s="69" t="s">
        <v>173</v>
      </c>
      <c r="O3" s="625" t="s">
        <v>55</v>
      </c>
      <c r="P3" s="1133" t="s">
        <v>173</v>
      </c>
      <c r="Q3" s="1134" t="s">
        <v>173</v>
      </c>
    </row>
    <row r="4" spans="2:17" x14ac:dyDescent="0.25">
      <c r="B4" s="62">
        <v>0</v>
      </c>
      <c r="C4" s="754">
        <v>0</v>
      </c>
      <c r="D4" s="755">
        <v>0</v>
      </c>
      <c r="E4" s="755">
        <v>0</v>
      </c>
      <c r="F4" s="754">
        <f t="shared" ref="F4:F67" si="0">C4+D4+E4</f>
        <v>0</v>
      </c>
      <c r="G4" s="50" t="s">
        <v>175</v>
      </c>
      <c r="H4" s="64"/>
      <c r="I4" s="71">
        <v>0</v>
      </c>
      <c r="J4" s="1137">
        <v>0</v>
      </c>
      <c r="K4" s="64"/>
      <c r="O4" s="628">
        <v>0</v>
      </c>
      <c r="P4" s="1135">
        <v>0</v>
      </c>
      <c r="Q4" s="1135">
        <v>0</v>
      </c>
    </row>
    <row r="5" spans="2:17" x14ac:dyDescent="0.25">
      <c r="B5" s="65">
        <v>0.1</v>
      </c>
      <c r="C5" s="756">
        <v>217953</v>
      </c>
      <c r="D5" s="757">
        <v>225078</v>
      </c>
      <c r="E5" s="757">
        <v>430600</v>
      </c>
      <c r="F5" s="757">
        <f t="shared" si="0"/>
        <v>873631</v>
      </c>
      <c r="G5" s="67" t="s">
        <v>175</v>
      </c>
      <c r="H5" s="64"/>
      <c r="I5" s="72">
        <v>0.1</v>
      </c>
      <c r="J5" s="1135">
        <v>68422.138547800001</v>
      </c>
      <c r="K5" s="64"/>
      <c r="O5" s="626">
        <v>0.10000000000000142</v>
      </c>
      <c r="P5" s="1135">
        <v>8778.5521302802372</v>
      </c>
      <c r="Q5" s="1135">
        <v>8778.5521302802372</v>
      </c>
    </row>
    <row r="6" spans="2:17" x14ac:dyDescent="0.25">
      <c r="B6" s="65">
        <v>0.2</v>
      </c>
      <c r="C6" s="756">
        <v>435906</v>
      </c>
      <c r="D6" s="757">
        <v>450156</v>
      </c>
      <c r="E6" s="758">
        <v>861200</v>
      </c>
      <c r="F6" s="757">
        <f t="shared" si="0"/>
        <v>1747262</v>
      </c>
      <c r="G6" s="67" t="s">
        <v>175</v>
      </c>
      <c r="H6" s="64"/>
      <c r="I6" s="72">
        <v>0.2</v>
      </c>
      <c r="J6" s="1135">
        <v>136844.2770956</v>
      </c>
      <c r="K6" s="64"/>
      <c r="O6" s="626">
        <v>0.20000000000000284</v>
      </c>
      <c r="P6" s="1135">
        <v>17144.756917606952</v>
      </c>
      <c r="Q6" s="1135">
        <v>17144.756917606952</v>
      </c>
    </row>
    <row r="7" spans="2:17" x14ac:dyDescent="0.25">
      <c r="B7" s="65">
        <v>0.3</v>
      </c>
      <c r="C7" s="756">
        <v>653859</v>
      </c>
      <c r="D7" s="757">
        <v>675234</v>
      </c>
      <c r="E7" s="758">
        <v>1305400</v>
      </c>
      <c r="F7" s="757">
        <f t="shared" si="0"/>
        <v>2634493</v>
      </c>
      <c r="G7" s="67" t="s">
        <v>175</v>
      </c>
      <c r="H7" s="64"/>
      <c r="I7" s="72">
        <v>0.3</v>
      </c>
      <c r="J7" s="1135">
        <v>205266.41564339999</v>
      </c>
      <c r="K7" s="64"/>
      <c r="O7" s="626">
        <v>0.30000000000000426</v>
      </c>
      <c r="P7" s="1135">
        <v>33423.729180690556</v>
      </c>
      <c r="Q7" s="1135">
        <v>33423.729180690556</v>
      </c>
    </row>
    <row r="8" spans="2:17" x14ac:dyDescent="0.25">
      <c r="B8" s="65">
        <v>0.4</v>
      </c>
      <c r="C8" s="756">
        <v>871813</v>
      </c>
      <c r="D8" s="757">
        <v>900312</v>
      </c>
      <c r="E8" s="758">
        <v>1750000</v>
      </c>
      <c r="F8" s="757">
        <f t="shared" si="0"/>
        <v>3522125</v>
      </c>
      <c r="G8" s="67" t="s">
        <v>175</v>
      </c>
      <c r="H8" s="64"/>
      <c r="I8" s="72">
        <v>0.4</v>
      </c>
      <c r="J8" s="1135">
        <v>273688.5541912</v>
      </c>
      <c r="K8" s="158" t="s">
        <v>343</v>
      </c>
      <c r="L8" s="159"/>
      <c r="M8" s="159"/>
      <c r="N8" s="159"/>
      <c r="O8" s="626">
        <v>0.40000000000000568</v>
      </c>
      <c r="P8" s="1135">
        <v>55368.605298682531</v>
      </c>
      <c r="Q8" s="1135">
        <v>55368.605298682531</v>
      </c>
    </row>
    <row r="9" spans="2:17" x14ac:dyDescent="0.25">
      <c r="B9" s="65">
        <v>0.5</v>
      </c>
      <c r="C9" s="756">
        <v>1089766</v>
      </c>
      <c r="D9" s="757">
        <v>1125390</v>
      </c>
      <c r="E9" s="758">
        <v>2195100</v>
      </c>
      <c r="F9" s="757">
        <f t="shared" si="0"/>
        <v>4410256</v>
      </c>
      <c r="G9" s="67" t="s">
        <v>175</v>
      </c>
      <c r="H9" s="64"/>
      <c r="I9" s="72">
        <v>0.5</v>
      </c>
      <c r="J9" s="1135">
        <v>342110.69273900002</v>
      </c>
      <c r="K9" s="160"/>
      <c r="L9" s="161"/>
      <c r="M9" s="162">
        <f>15/7</f>
        <v>2.1428571428571428</v>
      </c>
      <c r="N9" s="162">
        <v>1</v>
      </c>
      <c r="O9" s="626">
        <v>0.50000000000000711</v>
      </c>
      <c r="P9" s="1135">
        <v>83695.807846542812</v>
      </c>
      <c r="Q9" s="1135">
        <v>83695.807846542812</v>
      </c>
    </row>
    <row r="10" spans="2:17" x14ac:dyDescent="0.25">
      <c r="B10" s="65">
        <v>0.6</v>
      </c>
      <c r="C10" s="756">
        <v>1307719</v>
      </c>
      <c r="D10" s="757">
        <v>1350468</v>
      </c>
      <c r="E10" s="758">
        <v>2644600</v>
      </c>
      <c r="F10" s="757">
        <f t="shared" si="0"/>
        <v>5302787</v>
      </c>
      <c r="G10" s="67" t="s">
        <v>175</v>
      </c>
      <c r="H10" s="64"/>
      <c r="I10" s="72">
        <v>0.6</v>
      </c>
      <c r="J10" s="1135">
        <v>410532.83128680004</v>
      </c>
      <c r="K10" s="160"/>
      <c r="L10" s="163">
        <v>1</v>
      </c>
      <c r="M10" s="162">
        <f>15/36</f>
        <v>0.41666666666666669</v>
      </c>
      <c r="N10" s="162">
        <f>7/36</f>
        <v>0.19444444444444445</v>
      </c>
      <c r="O10" s="626">
        <v>0.60000000000000853</v>
      </c>
      <c r="P10" s="1135">
        <v>118410.51242969118</v>
      </c>
      <c r="Q10" s="1135">
        <v>118410.51242969118</v>
      </c>
    </row>
    <row r="11" spans="2:17" x14ac:dyDescent="0.25">
      <c r="B11" s="65">
        <v>0.7</v>
      </c>
      <c r="C11" s="756">
        <v>1525672</v>
      </c>
      <c r="D11" s="757">
        <v>1575545</v>
      </c>
      <c r="E11" s="758">
        <v>3086500</v>
      </c>
      <c r="F11" s="757">
        <f t="shared" si="0"/>
        <v>6187717</v>
      </c>
      <c r="G11" s="67" t="s">
        <v>175</v>
      </c>
      <c r="H11" s="64"/>
      <c r="I11" s="72">
        <v>0.7</v>
      </c>
      <c r="J11" s="1135">
        <v>478954.96983460005</v>
      </c>
      <c r="K11" s="164"/>
      <c r="L11" s="165"/>
      <c r="M11" s="166" t="s">
        <v>151</v>
      </c>
      <c r="N11" s="166" t="s">
        <v>344</v>
      </c>
      <c r="O11" s="626">
        <v>0.70000000000000995</v>
      </c>
      <c r="P11" s="1135">
        <v>158994.69862428337</v>
      </c>
      <c r="Q11" s="1135">
        <v>158994.69862428337</v>
      </c>
    </row>
    <row r="12" spans="2:17" x14ac:dyDescent="0.25">
      <c r="B12" s="65">
        <v>0.8</v>
      </c>
      <c r="C12" s="756">
        <v>1743625</v>
      </c>
      <c r="D12" s="757">
        <v>1800623</v>
      </c>
      <c r="E12" s="758">
        <v>3532800</v>
      </c>
      <c r="F12" s="757">
        <f t="shared" si="0"/>
        <v>7077048</v>
      </c>
      <c r="G12" s="67" t="s">
        <v>175</v>
      </c>
      <c r="H12" s="64"/>
      <c r="I12" s="72">
        <v>0.8</v>
      </c>
      <c r="J12" s="1135">
        <v>547377.10838240001</v>
      </c>
      <c r="K12" s="167" t="s">
        <v>345</v>
      </c>
      <c r="L12" s="167" t="s">
        <v>346</v>
      </c>
      <c r="M12" s="168">
        <v>0</v>
      </c>
      <c r="N12" s="168">
        <f>L10</f>
        <v>1</v>
      </c>
      <c r="O12" s="626">
        <v>0.80000000000001137</v>
      </c>
      <c r="P12" s="1135">
        <v>205323.06574371253</v>
      </c>
      <c r="Q12" s="1135">
        <v>205323.06574371253</v>
      </c>
    </row>
    <row r="13" spans="2:17" x14ac:dyDescent="0.25">
      <c r="B13" s="65">
        <v>0.9</v>
      </c>
      <c r="C13" s="756">
        <v>1961578</v>
      </c>
      <c r="D13" s="757">
        <v>2025701</v>
      </c>
      <c r="E13" s="758">
        <v>3979600</v>
      </c>
      <c r="F13" s="757">
        <f t="shared" si="0"/>
        <v>7966879</v>
      </c>
      <c r="G13" s="67" t="s">
        <v>175</v>
      </c>
      <c r="H13" s="64"/>
      <c r="I13" s="72">
        <v>0.9</v>
      </c>
      <c r="J13" s="1135">
        <v>615799.24693020002</v>
      </c>
      <c r="K13" s="160" t="s">
        <v>347</v>
      </c>
      <c r="L13" s="160" t="s">
        <v>348</v>
      </c>
      <c r="M13" s="162">
        <v>0</v>
      </c>
      <c r="N13" s="162">
        <f>L10/2</f>
        <v>0.5</v>
      </c>
      <c r="O13" s="626">
        <v>0.90000000000001279</v>
      </c>
      <c r="P13" s="1135">
        <v>257465.72964833427</v>
      </c>
      <c r="Q13" s="1135">
        <v>257465.72964833427</v>
      </c>
    </row>
    <row r="14" spans="2:17" x14ac:dyDescent="0.25">
      <c r="B14" s="65">
        <v>1</v>
      </c>
      <c r="C14" s="756">
        <v>2179532</v>
      </c>
      <c r="D14" s="758">
        <v>2385300</v>
      </c>
      <c r="E14" s="758">
        <v>4426700</v>
      </c>
      <c r="F14" s="757">
        <f t="shared" si="0"/>
        <v>8991532</v>
      </c>
      <c r="G14" s="67" t="s">
        <v>175</v>
      </c>
      <c r="H14" s="64"/>
      <c r="I14" s="72">
        <v>1</v>
      </c>
      <c r="J14" s="1135">
        <v>684221.38547800004</v>
      </c>
      <c r="K14" s="160" t="s">
        <v>349</v>
      </c>
      <c r="L14" s="160" t="s">
        <v>350</v>
      </c>
      <c r="M14" s="162">
        <v>0</v>
      </c>
      <c r="N14" s="162">
        <f>L10/3</f>
        <v>0.33333333333333331</v>
      </c>
      <c r="O14" s="626">
        <v>1.0000000000000142</v>
      </c>
      <c r="P14" s="1135">
        <v>314916.88344846206</v>
      </c>
      <c r="Q14" s="1135">
        <v>314916.88344846206</v>
      </c>
    </row>
    <row r="15" spans="2:17" x14ac:dyDescent="0.25">
      <c r="B15" s="65">
        <v>1.1000000000000001</v>
      </c>
      <c r="C15" s="756">
        <v>2397485</v>
      </c>
      <c r="D15" s="758">
        <v>2601000</v>
      </c>
      <c r="E15" s="758">
        <v>4874400</v>
      </c>
      <c r="F15" s="757">
        <f t="shared" si="0"/>
        <v>9872885</v>
      </c>
      <c r="G15" s="67" t="s">
        <v>175</v>
      </c>
      <c r="H15" s="64"/>
      <c r="I15" s="72">
        <v>1.1000000000000001</v>
      </c>
      <c r="J15" s="1135">
        <v>753316.12402580003</v>
      </c>
      <c r="K15" s="160" t="s">
        <v>351</v>
      </c>
      <c r="L15" s="160" t="s">
        <v>352</v>
      </c>
      <c r="M15" s="162">
        <f>L10</f>
        <v>1</v>
      </c>
      <c r="N15" s="162">
        <v>0</v>
      </c>
      <c r="O15" s="626">
        <v>1.1000000000000156</v>
      </c>
      <c r="P15" s="1135">
        <v>377531.36705236294</v>
      </c>
      <c r="Q15" s="1135">
        <v>377531.36705236294</v>
      </c>
    </row>
    <row r="16" spans="2:17" x14ac:dyDescent="0.25">
      <c r="B16" s="65">
        <v>1.2</v>
      </c>
      <c r="C16" s="756">
        <v>2615438</v>
      </c>
      <c r="D16" s="758">
        <v>2816700</v>
      </c>
      <c r="E16" s="758">
        <v>5322400</v>
      </c>
      <c r="F16" s="757">
        <f t="shared" si="0"/>
        <v>10754538</v>
      </c>
      <c r="G16" s="67" t="s">
        <v>175</v>
      </c>
      <c r="H16" s="64"/>
      <c r="I16" s="72">
        <v>1.2</v>
      </c>
      <c r="J16" s="1135">
        <v>822410.86257360002</v>
      </c>
      <c r="K16" s="160" t="s">
        <v>353</v>
      </c>
      <c r="L16" s="160" t="s">
        <v>354</v>
      </c>
      <c r="M16" s="162">
        <f>L10-N16</f>
        <v>0.68181818181818188</v>
      </c>
      <c r="N16" s="162">
        <f>L10/(M9+1)</f>
        <v>0.31818181818181818</v>
      </c>
      <c r="O16" s="626">
        <v>1.2000000000000171</v>
      </c>
      <c r="P16" s="1135">
        <v>445243.45798896375</v>
      </c>
      <c r="Q16" s="1135">
        <v>445243.45798896375</v>
      </c>
    </row>
    <row r="17" spans="2:17" x14ac:dyDescent="0.25">
      <c r="B17" s="65">
        <v>1.3</v>
      </c>
      <c r="C17" s="756">
        <v>2833391</v>
      </c>
      <c r="D17" s="758">
        <v>3032400</v>
      </c>
      <c r="E17" s="758">
        <v>5770900</v>
      </c>
      <c r="F17" s="757">
        <f t="shared" si="0"/>
        <v>11636691</v>
      </c>
      <c r="G17" s="67" t="s">
        <v>175</v>
      </c>
      <c r="H17" s="64"/>
      <c r="I17" s="72">
        <v>1.3</v>
      </c>
      <c r="J17" s="1135">
        <v>891505.60112140002</v>
      </c>
      <c r="K17" s="160" t="s">
        <v>355</v>
      </c>
      <c r="L17" s="160" t="s">
        <v>356</v>
      </c>
      <c r="M17" s="162">
        <f>L10-N17*2</f>
        <v>0.51724137931034475</v>
      </c>
      <c r="N17" s="162">
        <f>L10/(M9+2)</f>
        <v>0.24137931034482762</v>
      </c>
      <c r="O17" s="626">
        <v>1.3000000000000185</v>
      </c>
      <c r="P17" s="1135">
        <v>517798.17365593073</v>
      </c>
      <c r="Q17" s="1135">
        <v>517798.17365593073</v>
      </c>
    </row>
    <row r="18" spans="2:17" x14ac:dyDescent="0.25">
      <c r="B18" s="65">
        <v>1.4</v>
      </c>
      <c r="C18" s="756">
        <v>3051344</v>
      </c>
      <c r="D18" s="758">
        <v>3248100</v>
      </c>
      <c r="E18" s="758">
        <v>6219800</v>
      </c>
      <c r="F18" s="757">
        <f t="shared" si="0"/>
        <v>12519244</v>
      </c>
      <c r="G18" s="67" t="s">
        <v>175</v>
      </c>
      <c r="H18" s="64"/>
      <c r="I18" s="72">
        <v>1.4</v>
      </c>
      <c r="J18" s="1135">
        <v>960600.33966920001</v>
      </c>
      <c r="K18" s="169" t="s">
        <v>357</v>
      </c>
      <c r="L18" s="169" t="s">
        <v>358</v>
      </c>
      <c r="M18" s="170">
        <f>L10*(M10)</f>
        <v>0.41666666666666669</v>
      </c>
      <c r="N18" s="170">
        <f>L10*(N10)</f>
        <v>0.19444444444444445</v>
      </c>
      <c r="O18" s="626">
        <v>1.4000000000000199</v>
      </c>
      <c r="P18" s="1135">
        <v>595201.54543990875</v>
      </c>
      <c r="Q18" s="1135">
        <v>595201.54543990875</v>
      </c>
    </row>
    <row r="19" spans="2:17" x14ac:dyDescent="0.25">
      <c r="B19" s="65">
        <v>1.5</v>
      </c>
      <c r="C19" s="756">
        <v>3269297</v>
      </c>
      <c r="D19" s="758">
        <v>3463800</v>
      </c>
      <c r="E19" s="758">
        <v>6669100</v>
      </c>
      <c r="F19" s="757">
        <f t="shared" si="0"/>
        <v>13402197</v>
      </c>
      <c r="G19" s="67" t="s">
        <v>175</v>
      </c>
      <c r="H19" s="64"/>
      <c r="I19" s="72">
        <v>1.5</v>
      </c>
      <c r="J19" s="1135">
        <v>1029695.078217</v>
      </c>
      <c r="K19" s="64"/>
      <c r="O19" s="626">
        <v>1.5000000000000213</v>
      </c>
      <c r="P19" s="1135">
        <v>677373.54580552818</v>
      </c>
      <c r="Q19" s="1135">
        <v>677373.54580552818</v>
      </c>
    </row>
    <row r="20" spans="2:17" x14ac:dyDescent="0.25">
      <c r="B20" s="65">
        <v>1.6</v>
      </c>
      <c r="C20" s="756">
        <v>3487250</v>
      </c>
      <c r="D20" s="758">
        <v>3679500</v>
      </c>
      <c r="E20" s="758">
        <v>7118800</v>
      </c>
      <c r="F20" s="757">
        <f t="shared" si="0"/>
        <v>14285550</v>
      </c>
      <c r="G20" s="67" t="s">
        <v>175</v>
      </c>
      <c r="H20" s="64"/>
      <c r="I20" s="72">
        <v>1.6</v>
      </c>
      <c r="J20" s="1135">
        <v>1098789.8167648001</v>
      </c>
      <c r="K20" s="64"/>
      <c r="O20" s="626">
        <v>1.6000000000000227</v>
      </c>
      <c r="P20" s="1135">
        <v>764385.16795261879</v>
      </c>
      <c r="Q20" s="1135">
        <v>764385.16795261879</v>
      </c>
    </row>
    <row r="21" spans="2:17" x14ac:dyDescent="0.25">
      <c r="B21" s="65">
        <v>1.7</v>
      </c>
      <c r="C21" s="759">
        <v>3689900</v>
      </c>
      <c r="D21" s="758">
        <v>3895200</v>
      </c>
      <c r="E21" s="758">
        <v>7569000</v>
      </c>
      <c r="F21" s="758">
        <f t="shared" si="0"/>
        <v>15154100</v>
      </c>
      <c r="G21" s="67" t="s">
        <v>175</v>
      </c>
      <c r="H21" s="64"/>
      <c r="I21" s="72">
        <v>1.7</v>
      </c>
      <c r="J21" s="1135">
        <v>1167884.5553126002</v>
      </c>
      <c r="K21" s="64"/>
      <c r="O21" s="626">
        <v>1.7000000000000242</v>
      </c>
      <c r="P21" s="1135">
        <v>855882.32085858658</v>
      </c>
      <c r="Q21" s="1135">
        <v>855882.32085858658</v>
      </c>
    </row>
    <row r="22" spans="2:17" x14ac:dyDescent="0.25">
      <c r="B22" s="65">
        <v>1.8</v>
      </c>
      <c r="C22" s="760">
        <v>3905700</v>
      </c>
      <c r="D22" s="761">
        <v>4110900</v>
      </c>
      <c r="E22" s="761">
        <v>8019700</v>
      </c>
      <c r="F22" s="761">
        <f t="shared" si="0"/>
        <v>16036300</v>
      </c>
      <c r="G22" s="67" t="s">
        <v>175</v>
      </c>
      <c r="H22" s="64"/>
      <c r="I22" s="72">
        <v>1.8</v>
      </c>
      <c r="J22" s="1135">
        <v>1236979.2938604003</v>
      </c>
      <c r="K22" s="64"/>
      <c r="O22" s="626">
        <v>1.8000000000000256</v>
      </c>
      <c r="P22" s="1135">
        <v>951399.58743347647</v>
      </c>
      <c r="Q22" s="1135">
        <v>951399.58743347647</v>
      </c>
    </row>
    <row r="23" spans="2:17" x14ac:dyDescent="0.25">
      <c r="B23" s="65">
        <v>1.9</v>
      </c>
      <c r="C23" s="760">
        <v>4121500</v>
      </c>
      <c r="D23" s="761">
        <v>4326600</v>
      </c>
      <c r="E23" s="761">
        <v>8470700</v>
      </c>
      <c r="F23" s="761">
        <f t="shared" si="0"/>
        <v>16918800</v>
      </c>
      <c r="G23" s="67" t="s">
        <v>175</v>
      </c>
      <c r="H23" s="64"/>
      <c r="I23" s="72">
        <v>1.9</v>
      </c>
      <c r="J23" s="1135">
        <v>1306074.0324082004</v>
      </c>
      <c r="K23" s="64"/>
      <c r="O23" s="626">
        <v>1.900000000000027</v>
      </c>
      <c r="P23" s="1135">
        <v>1050995.6485155674</v>
      </c>
      <c r="Q23" s="1135">
        <v>1050995.6485155674</v>
      </c>
    </row>
    <row r="24" spans="2:17" x14ac:dyDescent="0.25">
      <c r="B24" s="65">
        <v>2</v>
      </c>
      <c r="C24" s="760">
        <v>4339800</v>
      </c>
      <c r="D24" s="761">
        <v>4542300</v>
      </c>
      <c r="E24" s="761">
        <v>8922200</v>
      </c>
      <c r="F24" s="761">
        <f t="shared" si="0"/>
        <v>17804300</v>
      </c>
      <c r="G24" s="67" t="s">
        <v>175</v>
      </c>
      <c r="H24" s="64"/>
      <c r="I24" s="72">
        <v>2</v>
      </c>
      <c r="J24" s="1135">
        <v>1375168.7709560001</v>
      </c>
      <c r="K24" s="64"/>
      <c r="O24" s="626">
        <v>2.0000000000000284</v>
      </c>
      <c r="P24" s="1135">
        <v>1154604.9755274386</v>
      </c>
      <c r="Q24" s="1135">
        <v>1154604.9755274386</v>
      </c>
    </row>
    <row r="25" spans="2:17" x14ac:dyDescent="0.25">
      <c r="B25" s="65">
        <v>2.1</v>
      </c>
      <c r="C25" s="760">
        <v>4558700</v>
      </c>
      <c r="D25" s="761">
        <v>4761100</v>
      </c>
      <c r="E25" s="761">
        <v>9374100</v>
      </c>
      <c r="F25" s="761">
        <f t="shared" si="0"/>
        <v>18693900</v>
      </c>
      <c r="G25" s="67" t="s">
        <v>175</v>
      </c>
      <c r="H25" s="64"/>
      <c r="I25" s="72">
        <v>2.1</v>
      </c>
      <c r="J25" s="1135">
        <v>1444263.5095038002</v>
      </c>
      <c r="K25" s="64"/>
      <c r="O25" s="626">
        <v>2.1000000000000298</v>
      </c>
      <c r="P25" s="1135">
        <v>1261680.8876332853</v>
      </c>
      <c r="Q25" s="1135">
        <v>1261680.8876332853</v>
      </c>
    </row>
    <row r="26" spans="2:17" x14ac:dyDescent="0.25">
      <c r="B26" s="65">
        <v>2.2000000000000002</v>
      </c>
      <c r="C26" s="760">
        <v>4777600</v>
      </c>
      <c r="D26" s="761">
        <v>4979900</v>
      </c>
      <c r="E26" s="761">
        <v>9826400</v>
      </c>
      <c r="F26" s="761">
        <f t="shared" si="0"/>
        <v>19583900</v>
      </c>
      <c r="G26" s="67" t="s">
        <v>175</v>
      </c>
      <c r="H26" s="64"/>
      <c r="I26" s="72">
        <v>2.2000000000000002</v>
      </c>
      <c r="J26" s="1135">
        <v>1513358.2480516003</v>
      </c>
      <c r="K26" s="64"/>
      <c r="O26" s="626">
        <v>2.2000000000000313</v>
      </c>
      <c r="P26" s="1135">
        <v>1372044.8679912956</v>
      </c>
      <c r="Q26" s="1135">
        <v>1372044.8679912956</v>
      </c>
    </row>
    <row r="27" spans="2:17" x14ac:dyDescent="0.25">
      <c r="B27" s="65">
        <v>2.2999999999999998</v>
      </c>
      <c r="C27" s="760">
        <v>4996500</v>
      </c>
      <c r="D27" s="761">
        <v>5198700</v>
      </c>
      <c r="E27" s="761">
        <v>10279200</v>
      </c>
      <c r="F27" s="761">
        <f t="shared" si="0"/>
        <v>20474400</v>
      </c>
      <c r="G27" s="67" t="s">
        <v>175</v>
      </c>
      <c r="H27" s="49"/>
      <c r="I27" s="72">
        <v>2.2999999999999998</v>
      </c>
      <c r="J27" s="1135">
        <v>1582452.9865994004</v>
      </c>
      <c r="K27" s="64"/>
      <c r="O27" s="626">
        <v>2.3000000000000327</v>
      </c>
      <c r="P27" s="1135">
        <v>1485738.3608862625</v>
      </c>
      <c r="Q27" s="1135">
        <v>1485738.3608862625</v>
      </c>
    </row>
    <row r="28" spans="2:17" x14ac:dyDescent="0.25">
      <c r="B28" s="65">
        <v>2.4</v>
      </c>
      <c r="C28" s="760">
        <v>5215400</v>
      </c>
      <c r="D28" s="761">
        <v>5417500</v>
      </c>
      <c r="E28" s="761">
        <v>10732400</v>
      </c>
      <c r="F28" s="761">
        <f t="shared" si="0"/>
        <v>21365300</v>
      </c>
      <c r="G28" s="67" t="s">
        <v>175</v>
      </c>
      <c r="H28" s="49"/>
      <c r="I28" s="72">
        <v>2.4</v>
      </c>
      <c r="J28" s="1135">
        <v>1651547.7251472005</v>
      </c>
      <c r="K28" s="64"/>
      <c r="O28" s="626">
        <v>2.4000000000000341</v>
      </c>
      <c r="P28" s="1135">
        <v>1602479.1810312315</v>
      </c>
      <c r="Q28" s="1135">
        <v>1602479.1810312315</v>
      </c>
    </row>
    <row r="29" spans="2:17" x14ac:dyDescent="0.25">
      <c r="B29" s="65">
        <v>2.5</v>
      </c>
      <c r="C29" s="760">
        <v>5434300</v>
      </c>
      <c r="D29" s="761">
        <v>5636300</v>
      </c>
      <c r="E29" s="761">
        <v>11186000</v>
      </c>
      <c r="F29" s="761">
        <f t="shared" si="0"/>
        <v>22256600</v>
      </c>
      <c r="G29" s="67" t="s">
        <v>175</v>
      </c>
      <c r="H29" s="49"/>
      <c r="I29" s="72">
        <v>2.5</v>
      </c>
      <c r="J29" s="1135">
        <v>1720642.4636950006</v>
      </c>
      <c r="K29" s="64"/>
      <c r="O29" s="626">
        <v>2.5000000000000355</v>
      </c>
      <c r="P29" s="1135">
        <v>1721825.388325939</v>
      </c>
      <c r="Q29" s="1135">
        <v>1721825.388325939</v>
      </c>
    </row>
    <row r="30" spans="2:17" x14ac:dyDescent="0.25">
      <c r="B30" s="65">
        <v>2.6</v>
      </c>
      <c r="C30" s="760">
        <v>5653200</v>
      </c>
      <c r="D30" s="761">
        <v>5855100</v>
      </c>
      <c r="E30" s="761">
        <v>11640000</v>
      </c>
      <c r="F30" s="761">
        <f t="shared" si="0"/>
        <v>23148300</v>
      </c>
      <c r="G30" s="67" t="s">
        <v>175</v>
      </c>
      <c r="H30" s="49"/>
      <c r="I30" s="72">
        <v>2.6</v>
      </c>
      <c r="J30" s="1135">
        <v>1789737.2022428007</v>
      </c>
      <c r="K30" s="64"/>
      <c r="O30" s="626">
        <v>2.6000000000000369</v>
      </c>
      <c r="P30" s="1135">
        <v>1843729.8329560589</v>
      </c>
      <c r="Q30" s="1135">
        <v>1843729.8329560589</v>
      </c>
    </row>
    <row r="31" spans="2:17" x14ac:dyDescent="0.25">
      <c r="B31" s="65">
        <v>2.7</v>
      </c>
      <c r="C31" s="760">
        <v>5872100</v>
      </c>
      <c r="D31" s="761">
        <v>6073900</v>
      </c>
      <c r="E31" s="761">
        <v>12094500</v>
      </c>
      <c r="F31" s="761">
        <f t="shared" si="0"/>
        <v>24040500</v>
      </c>
      <c r="G31" s="67" t="s">
        <v>175</v>
      </c>
      <c r="H31" s="49"/>
      <c r="I31" s="72">
        <v>2.7</v>
      </c>
      <c r="J31" s="1135">
        <v>1858831.9407906008</v>
      </c>
      <c r="K31" s="64"/>
      <c r="O31" s="626">
        <v>2.7000000000000384</v>
      </c>
      <c r="P31" s="1135">
        <v>1968175.1160238613</v>
      </c>
      <c r="Q31" s="1135">
        <v>1968175.1160238613</v>
      </c>
    </row>
    <row r="32" spans="2:17" x14ac:dyDescent="0.25">
      <c r="B32" s="65">
        <v>2.8</v>
      </c>
      <c r="C32" s="760">
        <v>6091000</v>
      </c>
      <c r="D32" s="761">
        <v>6292700</v>
      </c>
      <c r="E32" s="761">
        <v>12549500</v>
      </c>
      <c r="F32" s="761">
        <f t="shared" si="0"/>
        <v>24933200</v>
      </c>
      <c r="G32" s="67" t="s">
        <v>175</v>
      </c>
      <c r="H32" s="49"/>
      <c r="I32" s="72">
        <v>2.8</v>
      </c>
      <c r="J32" s="1135">
        <v>1927926.679338401</v>
      </c>
      <c r="K32" s="64"/>
      <c r="O32" s="626">
        <v>2.8000000000000398</v>
      </c>
      <c r="P32" s="1135">
        <v>2094672.4709494247</v>
      </c>
      <c r="Q32" s="1135">
        <v>2094672.4709494247</v>
      </c>
    </row>
    <row r="33" spans="2:17" x14ac:dyDescent="0.25">
      <c r="B33" s="65">
        <v>2.9</v>
      </c>
      <c r="C33" s="760">
        <v>6309900</v>
      </c>
      <c r="D33" s="761">
        <v>6511500</v>
      </c>
      <c r="E33" s="761">
        <v>13004800</v>
      </c>
      <c r="F33" s="761">
        <f t="shared" si="0"/>
        <v>25826200</v>
      </c>
      <c r="G33" s="67" t="s">
        <v>175</v>
      </c>
      <c r="H33" s="49"/>
      <c r="I33" s="72">
        <v>2.9</v>
      </c>
      <c r="J33" s="1135">
        <v>1997021.4178862011</v>
      </c>
      <c r="K33" s="64"/>
      <c r="O33" s="626">
        <v>2.9000000000000412</v>
      </c>
      <c r="P33" s="1135">
        <v>2222996.04029945</v>
      </c>
      <c r="Q33" s="1135">
        <v>2222996.04029945</v>
      </c>
    </row>
    <row r="34" spans="2:17" x14ac:dyDescent="0.25">
      <c r="B34" s="65">
        <v>3</v>
      </c>
      <c r="C34" s="760">
        <v>6528800</v>
      </c>
      <c r="D34" s="761">
        <v>6730300</v>
      </c>
      <c r="E34" s="761">
        <v>13460600</v>
      </c>
      <c r="F34" s="761">
        <f t="shared" si="0"/>
        <v>26719700</v>
      </c>
      <c r="G34" s="67" t="s">
        <v>175</v>
      </c>
      <c r="H34" s="49"/>
      <c r="I34" s="72">
        <v>3</v>
      </c>
      <c r="J34" s="1135">
        <v>2066116.1564340005</v>
      </c>
      <c r="K34" s="64"/>
      <c r="O34" s="626">
        <v>3.0000000000000426</v>
      </c>
      <c r="P34" s="1135">
        <v>2353195.1157615115</v>
      </c>
      <c r="Q34" s="1135">
        <v>2353195.1157615115</v>
      </c>
    </row>
    <row r="35" spans="2:17" x14ac:dyDescent="0.25">
      <c r="B35" s="65">
        <v>3.1</v>
      </c>
      <c r="C35" s="760">
        <v>6750800</v>
      </c>
      <c r="D35" s="761">
        <v>6952100</v>
      </c>
      <c r="E35" s="761">
        <v>13916800</v>
      </c>
      <c r="F35" s="761">
        <f t="shared" si="0"/>
        <v>27619700</v>
      </c>
      <c r="G35" s="67" t="s">
        <v>175</v>
      </c>
      <c r="H35" s="49"/>
      <c r="I35" s="72">
        <v>3.1</v>
      </c>
      <c r="J35" s="1135">
        <v>2164571.6913851579</v>
      </c>
      <c r="K35" s="64"/>
      <c r="O35" s="626">
        <v>3.1000000000000441</v>
      </c>
      <c r="P35" s="1135">
        <v>2484952.2692427295</v>
      </c>
      <c r="Q35" s="1135">
        <v>2484952.2692427295</v>
      </c>
    </row>
    <row r="36" spans="2:17" x14ac:dyDescent="0.25">
      <c r="B36" s="65">
        <v>3.2</v>
      </c>
      <c r="C36" s="760">
        <v>6972800</v>
      </c>
      <c r="D36" s="761">
        <v>7173900</v>
      </c>
      <c r="E36" s="761">
        <v>14373400</v>
      </c>
      <c r="F36" s="761">
        <f t="shared" si="0"/>
        <v>28520100</v>
      </c>
      <c r="G36" s="67" t="s">
        <v>175</v>
      </c>
      <c r="H36" s="49"/>
      <c r="I36" s="72">
        <v>3.2</v>
      </c>
      <c r="J36" s="1135">
        <v>2263027.2263363153</v>
      </c>
      <c r="K36" s="64"/>
      <c r="O36" s="626">
        <v>3.2000000000000455</v>
      </c>
      <c r="P36" s="1135">
        <v>2617903.9095215793</v>
      </c>
      <c r="Q36" s="1135">
        <v>2617903.9095215793</v>
      </c>
    </row>
    <row r="37" spans="2:17" x14ac:dyDescent="0.25">
      <c r="B37" s="65">
        <v>3.3</v>
      </c>
      <c r="C37" s="760">
        <v>7194800</v>
      </c>
      <c r="D37" s="761">
        <v>7395700</v>
      </c>
      <c r="E37" s="761">
        <v>14830500</v>
      </c>
      <c r="F37" s="761">
        <f t="shared" si="0"/>
        <v>29421000</v>
      </c>
      <c r="G37" s="67" t="s">
        <v>175</v>
      </c>
      <c r="H37" s="49"/>
      <c r="I37" s="72">
        <v>3.3</v>
      </c>
      <c r="J37" s="1135">
        <v>2361482.7612874727</v>
      </c>
      <c r="K37" s="64"/>
      <c r="O37" s="626">
        <v>3.3000000000000469</v>
      </c>
      <c r="P37" s="1135">
        <v>2751966.2444185219</v>
      </c>
      <c r="Q37" s="1135">
        <v>2751966.2444185219</v>
      </c>
    </row>
    <row r="38" spans="2:17" x14ac:dyDescent="0.25">
      <c r="B38" s="65">
        <v>3.4</v>
      </c>
      <c r="C38" s="760">
        <v>7416800</v>
      </c>
      <c r="D38" s="761">
        <v>7617500</v>
      </c>
      <c r="E38" s="761">
        <v>15288000</v>
      </c>
      <c r="F38" s="761">
        <f t="shared" si="0"/>
        <v>30322300</v>
      </c>
      <c r="G38" s="67" t="s">
        <v>175</v>
      </c>
      <c r="H38" s="49"/>
      <c r="I38" s="72">
        <v>3.4</v>
      </c>
      <c r="J38" s="1135">
        <v>2459938.2962386301</v>
      </c>
      <c r="K38" s="64"/>
      <c r="O38" s="626">
        <v>3.4000000000000483</v>
      </c>
      <c r="P38" s="1135">
        <v>2887014.7664480852</v>
      </c>
      <c r="Q38" s="1135">
        <v>2887014.7664480852</v>
      </c>
    </row>
    <row r="39" spans="2:17" x14ac:dyDescent="0.25">
      <c r="B39" s="65">
        <v>3.5</v>
      </c>
      <c r="C39" s="760">
        <v>7638800</v>
      </c>
      <c r="D39" s="761">
        <v>7839300</v>
      </c>
      <c r="E39" s="761">
        <v>15746000</v>
      </c>
      <c r="F39" s="761">
        <f t="shared" si="0"/>
        <v>31224100</v>
      </c>
      <c r="G39" s="67" t="s">
        <v>175</v>
      </c>
      <c r="H39" s="49"/>
      <c r="I39" s="72">
        <v>3.5</v>
      </c>
      <c r="J39" s="1135">
        <v>2558393.8311897875</v>
      </c>
      <c r="K39" s="64"/>
      <c r="O39" s="626">
        <v>3.5000000000000497</v>
      </c>
      <c r="P39" s="1135">
        <v>3022759.8324703402</v>
      </c>
      <c r="Q39" s="1135">
        <v>3022759.8324703402</v>
      </c>
    </row>
    <row r="40" spans="2:17" x14ac:dyDescent="0.25">
      <c r="B40" s="65">
        <v>3.6</v>
      </c>
      <c r="C40" s="760">
        <v>7860800</v>
      </c>
      <c r="D40" s="761">
        <v>8061100</v>
      </c>
      <c r="E40" s="761">
        <v>16204300</v>
      </c>
      <c r="F40" s="761">
        <f t="shared" si="0"/>
        <v>32126200</v>
      </c>
      <c r="G40" s="67" t="s">
        <v>175</v>
      </c>
      <c r="H40" s="49"/>
      <c r="I40" s="72">
        <v>3.6</v>
      </c>
      <c r="J40" s="1135">
        <v>2656849.3661409449</v>
      </c>
      <c r="K40" s="64"/>
      <c r="O40" s="626">
        <v>3.6000000000000512</v>
      </c>
      <c r="P40" s="1135">
        <v>3158863.8670845567</v>
      </c>
      <c r="Q40" s="1135">
        <v>3158863.8670845567</v>
      </c>
    </row>
    <row r="41" spans="2:17" x14ac:dyDescent="0.25">
      <c r="B41" s="65">
        <v>3.7</v>
      </c>
      <c r="C41" s="760">
        <v>8082800</v>
      </c>
      <c r="D41" s="761">
        <v>8282900</v>
      </c>
      <c r="E41" s="761">
        <v>16663200</v>
      </c>
      <c r="F41" s="761">
        <f t="shared" si="0"/>
        <v>33028900</v>
      </c>
      <c r="G41" s="67" t="s">
        <v>175</v>
      </c>
      <c r="H41" s="49"/>
      <c r="I41" s="72">
        <v>3.7</v>
      </c>
      <c r="J41" s="1135">
        <v>2755304.9010921023</v>
      </c>
      <c r="K41" s="64"/>
      <c r="O41" s="626">
        <v>3.7000000000000526</v>
      </c>
      <c r="P41" s="1135">
        <v>3295312.6436533453</v>
      </c>
      <c r="Q41" s="1135">
        <v>3295312.6436533453</v>
      </c>
    </row>
    <row r="42" spans="2:17" x14ac:dyDescent="0.25">
      <c r="B42" s="65">
        <v>3.8</v>
      </c>
      <c r="C42" s="760">
        <v>8304800</v>
      </c>
      <c r="D42" s="761">
        <v>8504700</v>
      </c>
      <c r="E42" s="761">
        <v>17122400</v>
      </c>
      <c r="F42" s="761">
        <f t="shared" si="0"/>
        <v>33931900</v>
      </c>
      <c r="G42" s="67" t="s">
        <v>175</v>
      </c>
      <c r="H42" s="49"/>
      <c r="I42" s="72">
        <v>3.8</v>
      </c>
      <c r="J42" s="1135">
        <v>2853760.4360432597</v>
      </c>
      <c r="K42" s="64"/>
      <c r="O42" s="626">
        <v>3.800000000000054</v>
      </c>
      <c r="P42" s="1135">
        <v>3431996.3787232139</v>
      </c>
      <c r="Q42" s="1135">
        <v>3431996.3787232139</v>
      </c>
    </row>
    <row r="43" spans="2:17" x14ac:dyDescent="0.25">
      <c r="B43" s="65">
        <v>3.9</v>
      </c>
      <c r="C43" s="760">
        <v>8526800</v>
      </c>
      <c r="D43" s="761">
        <v>8726500</v>
      </c>
      <c r="E43" s="761">
        <v>17582100</v>
      </c>
      <c r="F43" s="761">
        <f t="shared" si="0"/>
        <v>34835400</v>
      </c>
      <c r="G43" s="67" t="s">
        <v>175</v>
      </c>
      <c r="H43" s="49"/>
      <c r="I43" s="72">
        <v>3.9</v>
      </c>
      <c r="J43" s="1135">
        <v>2952215.9709944171</v>
      </c>
      <c r="K43" s="64"/>
      <c r="O43" s="626">
        <v>3.9000000000000554</v>
      </c>
      <c r="P43" s="1135">
        <v>3568689.0044068703</v>
      </c>
      <c r="Q43" s="1135">
        <v>3568689.0044068703</v>
      </c>
    </row>
    <row r="44" spans="2:17" x14ac:dyDescent="0.25">
      <c r="B44" s="65">
        <v>4</v>
      </c>
      <c r="C44" s="760">
        <v>8750800</v>
      </c>
      <c r="D44" s="761">
        <v>8948300</v>
      </c>
      <c r="E44" s="761">
        <v>18042200</v>
      </c>
      <c r="F44" s="761">
        <f t="shared" si="0"/>
        <v>35741300</v>
      </c>
      <c r="G44" s="67" t="s">
        <v>175</v>
      </c>
      <c r="H44" s="49"/>
      <c r="I44" s="72">
        <v>4</v>
      </c>
      <c r="J44" s="1135">
        <v>3050671.5059455754</v>
      </c>
      <c r="K44" s="64"/>
      <c r="O44" s="626">
        <v>4.0000000000000568</v>
      </c>
      <c r="P44" s="1135">
        <v>3705573.5258583482</v>
      </c>
      <c r="Q44" s="1135">
        <v>3705573.5258583482</v>
      </c>
    </row>
    <row r="45" spans="2:17" x14ac:dyDescent="0.25">
      <c r="B45" s="65">
        <v>4.0999999999999996</v>
      </c>
      <c r="C45" s="760">
        <v>8975900</v>
      </c>
      <c r="D45" s="761">
        <v>9173200</v>
      </c>
      <c r="E45" s="761">
        <v>18502700</v>
      </c>
      <c r="F45" s="761">
        <f t="shared" si="0"/>
        <v>36651800</v>
      </c>
      <c r="G45" s="67" t="s">
        <v>175</v>
      </c>
      <c r="H45" s="49"/>
      <c r="I45" s="72">
        <v>4.0999999999999996</v>
      </c>
      <c r="J45" s="1135">
        <v>3154662.6444933754</v>
      </c>
      <c r="K45" s="64"/>
      <c r="O45" s="626">
        <v>4.1000000000000583</v>
      </c>
      <c r="P45" s="1135">
        <v>3842603.0009971256</v>
      </c>
      <c r="Q45" s="1135">
        <v>3842603.0009971256</v>
      </c>
    </row>
    <row r="46" spans="2:17" x14ac:dyDescent="0.25">
      <c r="B46" s="65">
        <v>4.2</v>
      </c>
      <c r="C46" s="760">
        <v>9201000</v>
      </c>
      <c r="D46" s="761">
        <v>9398100</v>
      </c>
      <c r="E46" s="761">
        <v>18963700</v>
      </c>
      <c r="F46" s="761">
        <f t="shared" si="0"/>
        <v>37562800</v>
      </c>
      <c r="G46" s="67" t="s">
        <v>175</v>
      </c>
      <c r="H46" s="49"/>
      <c r="I46" s="72">
        <v>4.2</v>
      </c>
      <c r="J46" s="1135">
        <v>3258653.7830411755</v>
      </c>
      <c r="K46" s="64"/>
      <c r="O46" s="626">
        <v>4.2000000000000597</v>
      </c>
      <c r="P46" s="1135">
        <v>3979709.7434776425</v>
      </c>
      <c r="Q46" s="1135">
        <v>3979709.7434776425</v>
      </c>
    </row>
    <row r="47" spans="2:17" x14ac:dyDescent="0.25">
      <c r="B47" s="65">
        <v>4.3</v>
      </c>
      <c r="C47" s="760">
        <v>9426100</v>
      </c>
      <c r="D47" s="761">
        <v>9623000</v>
      </c>
      <c r="E47" s="761">
        <v>19425100</v>
      </c>
      <c r="F47" s="761">
        <f t="shared" si="0"/>
        <v>38474200</v>
      </c>
      <c r="G47" s="67" t="s">
        <v>175</v>
      </c>
      <c r="H47" s="49"/>
      <c r="I47" s="72">
        <v>4.3</v>
      </c>
      <c r="J47" s="1135">
        <v>3362644.9215889755</v>
      </c>
      <c r="K47" s="64"/>
      <c r="O47" s="626">
        <v>4.3000000000000611</v>
      </c>
      <c r="P47" s="1135">
        <v>4116895.445610038</v>
      </c>
      <c r="Q47" s="1135">
        <v>4116895.445610038</v>
      </c>
    </row>
    <row r="48" spans="2:17" x14ac:dyDescent="0.25">
      <c r="B48" s="65">
        <v>4.4000000000000004</v>
      </c>
      <c r="C48" s="760">
        <v>9651200</v>
      </c>
      <c r="D48" s="761">
        <v>9847900</v>
      </c>
      <c r="E48" s="761">
        <v>19886900</v>
      </c>
      <c r="F48" s="761">
        <f t="shared" si="0"/>
        <v>39386000</v>
      </c>
      <c r="G48" s="67" t="s">
        <v>175</v>
      </c>
      <c r="H48" s="49"/>
      <c r="I48" s="72">
        <v>4.4000000000000004</v>
      </c>
      <c r="J48" s="1135">
        <v>3466636.0601367755</v>
      </c>
      <c r="K48" s="64"/>
      <c r="O48" s="626">
        <v>4.4000000000000625</v>
      </c>
      <c r="P48" s="1135">
        <v>4254148.4504237939</v>
      </c>
      <c r="Q48" s="1135">
        <v>4254148.4504237939</v>
      </c>
    </row>
    <row r="49" spans="2:17" x14ac:dyDescent="0.25">
      <c r="B49" s="65">
        <v>4.5</v>
      </c>
      <c r="C49" s="760">
        <v>9876300</v>
      </c>
      <c r="D49" s="761">
        <v>10072800</v>
      </c>
      <c r="E49" s="761">
        <v>20349200</v>
      </c>
      <c r="F49" s="761">
        <f t="shared" si="0"/>
        <v>40298300</v>
      </c>
      <c r="G49" s="67" t="s">
        <v>175</v>
      </c>
      <c r="H49" s="49"/>
      <c r="I49" s="72">
        <v>4.5</v>
      </c>
      <c r="J49" s="1135">
        <v>3570627.1986845755</v>
      </c>
      <c r="K49" s="64"/>
      <c r="O49" s="626">
        <v>4.5000000000000639</v>
      </c>
      <c r="P49" s="1135">
        <v>4391534.9404158024</v>
      </c>
      <c r="Q49" s="1135">
        <v>4391534.9404158024</v>
      </c>
    </row>
    <row r="50" spans="2:17" x14ac:dyDescent="0.25">
      <c r="B50" s="65">
        <v>4.5999999999999996</v>
      </c>
      <c r="C50" s="760">
        <v>10101400</v>
      </c>
      <c r="D50" s="761">
        <v>10297700</v>
      </c>
      <c r="E50" s="761">
        <v>20811900</v>
      </c>
      <c r="F50" s="761">
        <f t="shared" si="0"/>
        <v>41211000</v>
      </c>
      <c r="G50" s="67" t="s">
        <v>175</v>
      </c>
      <c r="H50" s="49"/>
      <c r="I50" s="72">
        <v>4.5999999999999996</v>
      </c>
      <c r="J50" s="1135">
        <v>3674618.3372323755</v>
      </c>
      <c r="K50" s="64"/>
      <c r="O50" s="626">
        <v>4.6000000000000654</v>
      </c>
      <c r="P50" s="1135">
        <v>4528927.8155407486</v>
      </c>
      <c r="Q50" s="1135">
        <v>4528927.8155407486</v>
      </c>
    </row>
    <row r="51" spans="2:17" x14ac:dyDescent="0.25">
      <c r="B51" s="65">
        <v>4.7</v>
      </c>
      <c r="C51" s="760">
        <v>10326500</v>
      </c>
      <c r="D51" s="761">
        <v>10522600</v>
      </c>
      <c r="E51" s="761">
        <v>21275100</v>
      </c>
      <c r="F51" s="761">
        <f t="shared" si="0"/>
        <v>42124200</v>
      </c>
      <c r="G51" s="67" t="s">
        <v>175</v>
      </c>
      <c r="H51" s="49"/>
      <c r="I51" s="72">
        <v>4.7</v>
      </c>
      <c r="J51" s="1135">
        <v>3778609.4757801755</v>
      </c>
      <c r="K51" s="64"/>
      <c r="O51" s="626">
        <v>4.7000000000000668</v>
      </c>
      <c r="P51" s="1135">
        <v>4666349.9201379428</v>
      </c>
      <c r="Q51" s="1135">
        <v>4666349.9201379428</v>
      </c>
    </row>
    <row r="52" spans="2:17" x14ac:dyDescent="0.25">
      <c r="B52" s="65">
        <v>4.8</v>
      </c>
      <c r="C52" s="760">
        <v>10551600</v>
      </c>
      <c r="D52" s="761">
        <v>10747500</v>
      </c>
      <c r="E52" s="761">
        <v>21738700</v>
      </c>
      <c r="F52" s="761">
        <f t="shared" si="0"/>
        <v>43037800</v>
      </c>
      <c r="G52" s="67" t="s">
        <v>175</v>
      </c>
      <c r="H52" s="49"/>
      <c r="I52" s="72">
        <v>4.8</v>
      </c>
      <c r="J52" s="1135">
        <v>3882600.6143279755</v>
      </c>
      <c r="K52" s="64"/>
      <c r="O52" s="626">
        <v>4.8000000000000682</v>
      </c>
      <c r="P52" s="1135">
        <v>4803849.5749907335</v>
      </c>
      <c r="Q52" s="1135">
        <v>4803849.5749907335</v>
      </c>
    </row>
    <row r="53" spans="2:17" x14ac:dyDescent="0.25">
      <c r="B53" s="65">
        <v>4.9000000000000004</v>
      </c>
      <c r="C53" s="760">
        <v>10776700</v>
      </c>
      <c r="D53" s="761">
        <v>10972400</v>
      </c>
      <c r="E53" s="761">
        <v>22202700</v>
      </c>
      <c r="F53" s="761">
        <f t="shared" si="0"/>
        <v>43951800</v>
      </c>
      <c r="G53" s="67" t="s">
        <v>175</v>
      </c>
      <c r="H53" s="49"/>
      <c r="I53" s="72">
        <v>4.9000000000000004</v>
      </c>
      <c r="J53" s="1135">
        <v>3986591.7528757756</v>
      </c>
      <c r="K53" s="64"/>
      <c r="O53" s="626">
        <v>4.9000000000000696</v>
      </c>
      <c r="P53" s="1135">
        <v>4941355.6154198665</v>
      </c>
      <c r="Q53" s="1135">
        <v>4941355.6154198665</v>
      </c>
    </row>
    <row r="54" spans="2:17" x14ac:dyDescent="0.25">
      <c r="B54" s="65">
        <v>5</v>
      </c>
      <c r="C54" s="760">
        <v>11001800</v>
      </c>
      <c r="D54" s="761">
        <v>11197300</v>
      </c>
      <c r="E54" s="761">
        <v>22667100</v>
      </c>
      <c r="F54" s="761">
        <f t="shared" si="0"/>
        <v>44866200</v>
      </c>
      <c r="G54" s="67" t="s">
        <v>175</v>
      </c>
      <c r="H54" s="49"/>
      <c r="I54" s="72">
        <v>5</v>
      </c>
      <c r="J54" s="1135">
        <v>4090582.8914235751</v>
      </c>
      <c r="K54" s="64"/>
      <c r="O54" s="626">
        <v>5.0000000000000711</v>
      </c>
      <c r="P54" s="1135">
        <v>5078868.041573138</v>
      </c>
      <c r="Q54" s="1135">
        <v>5078868.041573138</v>
      </c>
    </row>
    <row r="55" spans="2:17" x14ac:dyDescent="0.25">
      <c r="B55" s="65">
        <v>5.0999999999999996</v>
      </c>
      <c r="C55" s="760">
        <v>11230000</v>
      </c>
      <c r="D55" s="761">
        <v>11425200</v>
      </c>
      <c r="E55" s="761">
        <v>23132000</v>
      </c>
      <c r="F55" s="761">
        <f t="shared" si="0"/>
        <v>45787200</v>
      </c>
      <c r="G55" s="67" t="s">
        <v>175</v>
      </c>
      <c r="H55" s="49"/>
      <c r="I55" s="72">
        <v>5.0999999999999996</v>
      </c>
      <c r="J55" s="1135">
        <v>4194219.8299713754</v>
      </c>
      <c r="K55" s="64"/>
      <c r="O55" s="626">
        <v>5.1000000000000725</v>
      </c>
      <c r="P55" s="1135">
        <v>5216386.8535983488</v>
      </c>
      <c r="Q55" s="1135">
        <v>5216386.8535983488</v>
      </c>
    </row>
    <row r="56" spans="2:17" x14ac:dyDescent="0.25">
      <c r="B56" s="65">
        <v>5.2</v>
      </c>
      <c r="C56" s="760">
        <v>11458200</v>
      </c>
      <c r="D56" s="761">
        <v>11653100</v>
      </c>
      <c r="E56" s="761">
        <v>23597300</v>
      </c>
      <c r="F56" s="761">
        <f t="shared" si="0"/>
        <v>46708600</v>
      </c>
      <c r="G56" s="67" t="s">
        <v>175</v>
      </c>
      <c r="H56" s="49"/>
      <c r="I56" s="72">
        <v>5.1999999999999904</v>
      </c>
      <c r="J56" s="1135">
        <v>4297856.7685191752</v>
      </c>
      <c r="K56" s="64"/>
      <c r="O56" s="626">
        <v>5.2000000000000739</v>
      </c>
      <c r="P56" s="1135">
        <v>5353912.0516432999</v>
      </c>
      <c r="Q56" s="1135">
        <v>5353912.0516432999</v>
      </c>
    </row>
    <row r="57" spans="2:17" x14ac:dyDescent="0.25">
      <c r="B57" s="65">
        <v>5.3</v>
      </c>
      <c r="C57" s="760">
        <v>11686400</v>
      </c>
      <c r="D57" s="761">
        <v>11881000</v>
      </c>
      <c r="E57" s="761">
        <v>24063100</v>
      </c>
      <c r="F57" s="761">
        <f t="shared" si="0"/>
        <v>47630500</v>
      </c>
      <c r="G57" s="67" t="s">
        <v>175</v>
      </c>
      <c r="H57" s="49"/>
      <c r="I57" s="72">
        <v>5.2999999999999901</v>
      </c>
      <c r="J57" s="1135">
        <v>4401493.7070669755</v>
      </c>
      <c r="K57" s="64"/>
      <c r="O57" s="626">
        <v>5.3000000000000753</v>
      </c>
      <c r="P57" s="1135">
        <v>5491443.6358557902</v>
      </c>
      <c r="Q57" s="1135">
        <v>5491443.6358557902</v>
      </c>
    </row>
    <row r="58" spans="2:17" x14ac:dyDescent="0.25">
      <c r="B58" s="65">
        <v>5.4</v>
      </c>
      <c r="C58" s="760">
        <v>11914600</v>
      </c>
      <c r="D58" s="761">
        <v>12108900</v>
      </c>
      <c r="E58" s="761">
        <v>24529300</v>
      </c>
      <c r="F58" s="761">
        <f t="shared" si="0"/>
        <v>48552800</v>
      </c>
      <c r="G58" s="67" t="s">
        <v>175</v>
      </c>
      <c r="H58" s="49"/>
      <c r="I58" s="72">
        <v>5.3999999999999897</v>
      </c>
      <c r="J58" s="1135">
        <v>4505130.6456147758</v>
      </c>
      <c r="K58" s="64"/>
      <c r="O58" s="626">
        <v>5.4000000000000767</v>
      </c>
      <c r="P58" s="1135">
        <v>5628981.6063836217</v>
      </c>
      <c r="Q58" s="1135">
        <v>5628981.6063836217</v>
      </c>
    </row>
    <row r="59" spans="2:17" x14ac:dyDescent="0.25">
      <c r="B59" s="65">
        <v>5.5</v>
      </c>
      <c r="C59" s="760">
        <v>12142800</v>
      </c>
      <c r="D59" s="761">
        <v>12336800</v>
      </c>
      <c r="E59" s="761">
        <v>24995900</v>
      </c>
      <c r="F59" s="761">
        <f t="shared" si="0"/>
        <v>49475500</v>
      </c>
      <c r="G59" s="67" t="s">
        <v>175</v>
      </c>
      <c r="H59" s="49"/>
      <c r="I59" s="72">
        <v>5.4999999999999902</v>
      </c>
      <c r="J59" s="1135">
        <v>4608767.5841625761</v>
      </c>
      <c r="K59" s="64"/>
      <c r="O59" s="626">
        <v>5.5000000000000782</v>
      </c>
      <c r="P59" s="1135">
        <v>5766525.9633745914</v>
      </c>
      <c r="Q59" s="1135">
        <v>5766525.9633745914</v>
      </c>
    </row>
    <row r="60" spans="2:17" x14ac:dyDescent="0.25">
      <c r="B60" s="65">
        <v>5.6</v>
      </c>
      <c r="C60" s="760">
        <v>12371000</v>
      </c>
      <c r="D60" s="761">
        <v>12564700</v>
      </c>
      <c r="E60" s="761">
        <v>25463000</v>
      </c>
      <c r="F60" s="761">
        <f t="shared" si="0"/>
        <v>50398700</v>
      </c>
      <c r="G60" s="67" t="s">
        <v>175</v>
      </c>
      <c r="H60" s="49"/>
      <c r="I60" s="72">
        <v>5.5999999999999899</v>
      </c>
      <c r="J60" s="1135">
        <v>4712404.5227103764</v>
      </c>
      <c r="K60" s="64"/>
      <c r="O60" s="626">
        <v>5.6000000000000796</v>
      </c>
      <c r="P60" s="1135">
        <v>5904076.7069765003</v>
      </c>
      <c r="Q60" s="1135">
        <v>5904076.7069765003</v>
      </c>
    </row>
    <row r="61" spans="2:17" x14ac:dyDescent="0.25">
      <c r="B61" s="65">
        <v>5.7</v>
      </c>
      <c r="C61" s="760">
        <v>12599200</v>
      </c>
      <c r="D61" s="761">
        <v>12792600</v>
      </c>
      <c r="E61" s="761">
        <v>25930500</v>
      </c>
      <c r="F61" s="761">
        <f t="shared" si="0"/>
        <v>51322300</v>
      </c>
      <c r="G61" s="67" t="s">
        <v>175</v>
      </c>
      <c r="H61" s="49"/>
      <c r="I61" s="72">
        <v>5.6999999999999904</v>
      </c>
      <c r="J61" s="1135">
        <v>4816041.4612581767</v>
      </c>
      <c r="K61" s="64"/>
      <c r="O61" s="626">
        <v>5.700000000000081</v>
      </c>
      <c r="P61" s="1135">
        <v>6041633.8373371521</v>
      </c>
      <c r="Q61" s="1135">
        <v>6041633.8373371521</v>
      </c>
    </row>
    <row r="62" spans="2:17" x14ac:dyDescent="0.25">
      <c r="B62" s="65">
        <v>5.8</v>
      </c>
      <c r="C62" s="760">
        <v>12827400</v>
      </c>
      <c r="D62" s="761">
        <v>13020500</v>
      </c>
      <c r="E62" s="761">
        <v>26398400</v>
      </c>
      <c r="F62" s="761">
        <f t="shared" si="0"/>
        <v>52246300</v>
      </c>
      <c r="G62" s="67" t="s">
        <v>175</v>
      </c>
      <c r="H62" s="49"/>
      <c r="I62" s="72">
        <v>5.7999999999999901</v>
      </c>
      <c r="J62" s="1135">
        <v>4919678.399805977</v>
      </c>
      <c r="K62" s="64"/>
      <c r="O62" s="626">
        <v>5.8000000000000824</v>
      </c>
      <c r="P62" s="1135">
        <v>6179197.354604343</v>
      </c>
      <c r="Q62" s="1135">
        <v>6179197.354604343</v>
      </c>
    </row>
    <row r="63" spans="2:17" x14ac:dyDescent="0.25">
      <c r="B63" s="65">
        <v>5.9</v>
      </c>
      <c r="C63" s="760">
        <v>13055600</v>
      </c>
      <c r="D63" s="761">
        <v>13248400</v>
      </c>
      <c r="E63" s="761">
        <v>26866800</v>
      </c>
      <c r="F63" s="761">
        <f t="shared" si="0"/>
        <v>53170800</v>
      </c>
      <c r="G63" s="67" t="s">
        <v>175</v>
      </c>
      <c r="H63" s="49"/>
      <c r="I63" s="72">
        <v>5.8999999999999897</v>
      </c>
      <c r="J63" s="1135">
        <v>5023315.3383537773</v>
      </c>
      <c r="K63" s="64"/>
      <c r="O63" s="626">
        <v>5.9000000000000838</v>
      </c>
      <c r="P63" s="1135">
        <v>6316767.2589258701</v>
      </c>
      <c r="Q63" s="1135">
        <v>6316767.2589258701</v>
      </c>
    </row>
    <row r="64" spans="2:17" x14ac:dyDescent="0.25">
      <c r="B64" s="65">
        <v>6</v>
      </c>
      <c r="C64" s="760">
        <v>13283800</v>
      </c>
      <c r="D64" s="761">
        <v>13476300</v>
      </c>
      <c r="E64" s="761">
        <v>27335600</v>
      </c>
      <c r="F64" s="761">
        <f t="shared" si="0"/>
        <v>54095700</v>
      </c>
      <c r="G64" s="67" t="s">
        <v>175</v>
      </c>
      <c r="H64" s="49"/>
      <c r="I64" s="72">
        <v>5.9999999999999902</v>
      </c>
      <c r="J64" s="1135">
        <v>5126952.2769015767</v>
      </c>
      <c r="K64" s="64"/>
      <c r="O64" s="626">
        <v>6.0000000000000853</v>
      </c>
      <c r="P64" s="1135">
        <v>6454343.550449539</v>
      </c>
      <c r="Q64" s="1135">
        <v>6454343.550449539</v>
      </c>
    </row>
    <row r="65" spans="2:17" x14ac:dyDescent="0.25">
      <c r="B65" s="65">
        <v>6.1</v>
      </c>
      <c r="C65" s="760">
        <v>13515100</v>
      </c>
      <c r="D65" s="761">
        <v>13707300</v>
      </c>
      <c r="E65" s="761">
        <v>27804900</v>
      </c>
      <c r="F65" s="761">
        <f t="shared" si="0"/>
        <v>55027300</v>
      </c>
      <c r="G65" s="67" t="s">
        <v>175</v>
      </c>
      <c r="H65" s="49"/>
      <c r="I65" s="72">
        <v>6.0999999999999899</v>
      </c>
      <c r="J65" s="1135">
        <v>5230589.215449377</v>
      </c>
      <c r="K65" s="64"/>
      <c r="O65" s="626">
        <v>6.1000000000000867</v>
      </c>
      <c r="P65" s="1135">
        <v>6591926.2293231497</v>
      </c>
      <c r="Q65" s="1135">
        <v>6591926.2293231497</v>
      </c>
    </row>
    <row r="66" spans="2:17" x14ac:dyDescent="0.25">
      <c r="B66" s="65">
        <v>6.2</v>
      </c>
      <c r="C66" s="760">
        <v>13746400</v>
      </c>
      <c r="D66" s="761">
        <v>13938300</v>
      </c>
      <c r="E66" s="761">
        <v>28274600</v>
      </c>
      <c r="F66" s="761">
        <f t="shared" si="0"/>
        <v>55959300</v>
      </c>
      <c r="G66" s="67" t="s">
        <v>175</v>
      </c>
      <c r="H66" s="49"/>
      <c r="I66" s="72">
        <v>6.1999999999999904</v>
      </c>
      <c r="J66" s="1135">
        <v>5334226.1539971773</v>
      </c>
      <c r="K66" s="64"/>
      <c r="O66" s="626">
        <v>6.2000000000000881</v>
      </c>
      <c r="P66" s="1135">
        <v>6729515.2956944965</v>
      </c>
      <c r="Q66" s="1135">
        <v>6729515.2956944965</v>
      </c>
    </row>
    <row r="67" spans="2:17" x14ac:dyDescent="0.25">
      <c r="B67" s="65">
        <v>6.3</v>
      </c>
      <c r="C67" s="760">
        <v>13977700</v>
      </c>
      <c r="D67" s="761">
        <v>14169300</v>
      </c>
      <c r="E67" s="761">
        <v>28774700</v>
      </c>
      <c r="F67" s="761">
        <f t="shared" si="0"/>
        <v>56921700</v>
      </c>
      <c r="G67" s="67" t="s">
        <v>175</v>
      </c>
      <c r="H67" s="49"/>
      <c r="I67" s="72">
        <v>6.2999999999999901</v>
      </c>
      <c r="J67" s="1135">
        <v>5437863.0925449776</v>
      </c>
      <c r="K67" s="64"/>
      <c r="O67" s="626">
        <v>6.3000000000000895</v>
      </c>
      <c r="P67" s="1135">
        <v>6867110.7497113887</v>
      </c>
      <c r="Q67" s="1135">
        <v>6867110.7497113887</v>
      </c>
    </row>
    <row r="68" spans="2:17" x14ac:dyDescent="0.25">
      <c r="B68" s="65">
        <v>6.4</v>
      </c>
      <c r="C68" s="760">
        <v>14209000</v>
      </c>
      <c r="D68" s="761">
        <v>14400300</v>
      </c>
      <c r="E68" s="761">
        <v>29215300</v>
      </c>
      <c r="F68" s="761">
        <f t="shared" ref="F68:F131" si="1">C68+D68+E68</f>
        <v>57824600</v>
      </c>
      <c r="G68" s="67" t="s">
        <v>175</v>
      </c>
      <c r="H68" s="49"/>
      <c r="I68" s="72">
        <v>6.3999999999999897</v>
      </c>
      <c r="J68" s="1135">
        <v>5541500.0310927778</v>
      </c>
      <c r="K68" s="64"/>
      <c r="O68" s="626">
        <v>6.4000000000000909</v>
      </c>
      <c r="P68" s="1135">
        <v>7004712.5915216161</v>
      </c>
      <c r="Q68" s="1135">
        <v>7004712.5915216161</v>
      </c>
    </row>
    <row r="69" spans="2:17" x14ac:dyDescent="0.25">
      <c r="B69" s="65">
        <v>6.5</v>
      </c>
      <c r="C69" s="760">
        <v>14440300</v>
      </c>
      <c r="D69" s="761">
        <v>14631300</v>
      </c>
      <c r="E69" s="761">
        <v>29686300</v>
      </c>
      <c r="F69" s="761">
        <f t="shared" si="1"/>
        <v>58757900</v>
      </c>
      <c r="G69" s="67" t="s">
        <v>175</v>
      </c>
      <c r="H69" s="49"/>
      <c r="I69" s="72">
        <v>6.4999999999999902</v>
      </c>
      <c r="J69" s="1135">
        <v>5645136.9696405781</v>
      </c>
      <c r="K69" s="64"/>
      <c r="O69" s="626">
        <v>6.5000000000000924</v>
      </c>
      <c r="P69" s="1135">
        <v>7142320.8212729841</v>
      </c>
      <c r="Q69" s="1135">
        <v>7142320.8212729841</v>
      </c>
    </row>
    <row r="70" spans="2:17" x14ac:dyDescent="0.25">
      <c r="B70" s="65">
        <v>6.6</v>
      </c>
      <c r="C70" s="760">
        <v>14671600</v>
      </c>
      <c r="D70" s="761">
        <v>14862300</v>
      </c>
      <c r="E70" s="761">
        <v>30157700</v>
      </c>
      <c r="F70" s="761">
        <f t="shared" si="1"/>
        <v>59691600</v>
      </c>
      <c r="G70" s="67" t="s">
        <v>175</v>
      </c>
      <c r="H70" s="49"/>
      <c r="I70" s="72">
        <v>6.5999999999999899</v>
      </c>
      <c r="J70" s="1135">
        <v>5748773.9081883784</v>
      </c>
      <c r="K70" s="64"/>
      <c r="O70" s="626">
        <v>6.6000000000000938</v>
      </c>
      <c r="P70" s="1135">
        <v>7279935.4391132947</v>
      </c>
      <c r="Q70" s="1135">
        <v>7279935.4391132947</v>
      </c>
    </row>
    <row r="71" spans="2:17" x14ac:dyDescent="0.25">
      <c r="B71" s="65">
        <v>6.7</v>
      </c>
      <c r="C71" s="760">
        <v>14902900</v>
      </c>
      <c r="D71" s="761">
        <v>15093300</v>
      </c>
      <c r="E71" s="761">
        <v>30629600</v>
      </c>
      <c r="F71" s="761">
        <f t="shared" si="1"/>
        <v>60625800</v>
      </c>
      <c r="G71" s="67" t="s">
        <v>175</v>
      </c>
      <c r="H71" s="49"/>
      <c r="I71" s="72">
        <v>6.6999999999999904</v>
      </c>
      <c r="J71" s="1135">
        <v>5852410.8467361787</v>
      </c>
      <c r="K71" s="64"/>
      <c r="O71" s="626">
        <v>6.7000000000000952</v>
      </c>
      <c r="P71" s="1135">
        <v>7417556.4451903393</v>
      </c>
      <c r="Q71" s="1135">
        <v>7417556.4451903393</v>
      </c>
    </row>
    <row r="72" spans="2:17" x14ac:dyDescent="0.25">
      <c r="B72" s="65">
        <v>6.8</v>
      </c>
      <c r="C72" s="760">
        <v>15132400</v>
      </c>
      <c r="D72" s="761">
        <v>15324300</v>
      </c>
      <c r="E72" s="761">
        <v>31101900</v>
      </c>
      <c r="F72" s="761">
        <f t="shared" si="1"/>
        <v>61558600</v>
      </c>
      <c r="G72" s="67" t="s">
        <v>175</v>
      </c>
      <c r="H72" s="49"/>
      <c r="I72" s="72">
        <v>6.7999999999999901</v>
      </c>
      <c r="J72" s="1135">
        <v>5956047.785283979</v>
      </c>
      <c r="K72" s="64"/>
      <c r="O72" s="626">
        <v>6.8000000000000966</v>
      </c>
      <c r="P72" s="1135">
        <v>7555183.8396519292</v>
      </c>
      <c r="Q72" s="1135">
        <v>7555183.8396519292</v>
      </c>
    </row>
    <row r="73" spans="2:17" x14ac:dyDescent="0.25">
      <c r="B73" s="65">
        <v>6.9</v>
      </c>
      <c r="C73" s="760">
        <v>15365500</v>
      </c>
      <c r="D73" s="761">
        <v>15555300</v>
      </c>
      <c r="E73" s="761">
        <v>31574700</v>
      </c>
      <c r="F73" s="761">
        <f t="shared" si="1"/>
        <v>62495500</v>
      </c>
      <c r="G73" s="67" t="s">
        <v>175</v>
      </c>
      <c r="H73" s="49"/>
      <c r="I73" s="72">
        <v>6.8999999999999897</v>
      </c>
      <c r="J73" s="1135">
        <v>6059684.7238317793</v>
      </c>
      <c r="K73" s="64"/>
      <c r="O73" s="626">
        <v>6.9000000000000981</v>
      </c>
      <c r="P73" s="1135">
        <v>7692817.6226458605</v>
      </c>
      <c r="Q73" s="1135">
        <v>7692817.6226458605</v>
      </c>
    </row>
    <row r="74" spans="2:17" x14ac:dyDescent="0.25">
      <c r="B74" s="65">
        <v>7</v>
      </c>
      <c r="C74" s="760">
        <v>15596800</v>
      </c>
      <c r="D74" s="761">
        <v>15786300</v>
      </c>
      <c r="E74" s="761">
        <v>32047900</v>
      </c>
      <c r="F74" s="761">
        <f t="shared" si="1"/>
        <v>63431000</v>
      </c>
      <c r="G74" s="67" t="s">
        <v>175</v>
      </c>
      <c r="H74" s="49"/>
      <c r="I74" s="72">
        <v>6.9999999999999902</v>
      </c>
      <c r="J74" s="1135">
        <v>6163321.6623795759</v>
      </c>
      <c r="K74" s="64"/>
      <c r="O74" s="626">
        <v>7.0000000000000995</v>
      </c>
      <c r="P74" s="1135">
        <v>7830457.7943199268</v>
      </c>
      <c r="Q74" s="1135">
        <v>7830457.7943199268</v>
      </c>
    </row>
    <row r="75" spans="2:17" x14ac:dyDescent="0.25">
      <c r="B75" s="65">
        <v>7.1</v>
      </c>
      <c r="C75" s="760">
        <v>15831300</v>
      </c>
      <c r="D75" s="761">
        <v>16020500</v>
      </c>
      <c r="E75" s="761">
        <v>32521500</v>
      </c>
      <c r="F75" s="761">
        <f t="shared" si="1"/>
        <v>64373300</v>
      </c>
      <c r="G75" s="67" t="s">
        <v>175</v>
      </c>
      <c r="H75" s="49"/>
      <c r="I75" s="72">
        <v>7.0999999999999899</v>
      </c>
      <c r="J75" s="1135">
        <v>6266958.6009273762</v>
      </c>
      <c r="K75" s="64"/>
      <c r="O75" s="626">
        <v>7.1000000000001009</v>
      </c>
      <c r="P75" s="1135">
        <v>7968104.3548219334</v>
      </c>
      <c r="Q75" s="1135">
        <v>7968104.3548219334</v>
      </c>
    </row>
    <row r="76" spans="2:17" x14ac:dyDescent="0.25">
      <c r="B76" s="65">
        <v>7.2</v>
      </c>
      <c r="C76" s="760">
        <v>16065800</v>
      </c>
      <c r="D76" s="761">
        <v>16254700</v>
      </c>
      <c r="E76" s="761">
        <v>32995600</v>
      </c>
      <c r="F76" s="761">
        <f t="shared" si="1"/>
        <v>65316100</v>
      </c>
      <c r="G76" s="67" t="s">
        <v>175</v>
      </c>
      <c r="H76" s="49"/>
      <c r="I76" s="72">
        <v>7.1999999999999904</v>
      </c>
      <c r="J76" s="1135">
        <v>6370595.5394751765</v>
      </c>
      <c r="K76" s="64"/>
      <c r="O76" s="626">
        <v>7.2000000000001023</v>
      </c>
      <c r="P76" s="1135">
        <v>8105757.3042996842</v>
      </c>
      <c r="Q76" s="1135">
        <v>8105757.3042996842</v>
      </c>
    </row>
    <row r="77" spans="2:17" x14ac:dyDescent="0.25">
      <c r="B77" s="65">
        <v>7.3</v>
      </c>
      <c r="C77" s="760">
        <v>16300300</v>
      </c>
      <c r="D77" s="761">
        <v>16488900</v>
      </c>
      <c r="E77" s="761">
        <v>33470100</v>
      </c>
      <c r="F77" s="761">
        <f t="shared" si="1"/>
        <v>66259300</v>
      </c>
      <c r="G77" s="67" t="s">
        <v>175</v>
      </c>
      <c r="H77" s="49"/>
      <c r="I77" s="72">
        <v>7.2999999999999901</v>
      </c>
      <c r="J77" s="1135">
        <v>6474232.4780229768</v>
      </c>
      <c r="K77" s="64"/>
      <c r="O77" s="626">
        <v>7.3000000000001037</v>
      </c>
      <c r="P77" s="1135">
        <v>8243416.6429009726</v>
      </c>
      <c r="Q77" s="1135">
        <v>8243416.6429009726</v>
      </c>
    </row>
    <row r="78" spans="2:17" x14ac:dyDescent="0.25">
      <c r="B78" s="65">
        <v>7.4</v>
      </c>
      <c r="C78" s="760">
        <v>16534800</v>
      </c>
      <c r="D78" s="761">
        <v>16723100</v>
      </c>
      <c r="E78" s="761">
        <v>33945000</v>
      </c>
      <c r="F78" s="761">
        <f t="shared" si="1"/>
        <v>67202900</v>
      </c>
      <c r="G78" s="67" t="s">
        <v>175</v>
      </c>
      <c r="H78" s="49"/>
      <c r="I78" s="72">
        <v>7.3999999999999897</v>
      </c>
      <c r="J78" s="1135">
        <v>6577869.4165707771</v>
      </c>
      <c r="K78" s="64"/>
      <c r="O78" s="626">
        <v>7.4000000000001052</v>
      </c>
      <c r="P78" s="1135">
        <v>8381082.3707736013</v>
      </c>
      <c r="Q78" s="1135">
        <v>8381082.3707736013</v>
      </c>
    </row>
    <row r="79" spans="2:17" x14ac:dyDescent="0.25">
      <c r="B79" s="65">
        <v>7.5</v>
      </c>
      <c r="C79" s="760">
        <v>16769300</v>
      </c>
      <c r="D79" s="761">
        <v>16957300</v>
      </c>
      <c r="E79" s="761">
        <v>34420400</v>
      </c>
      <c r="F79" s="761">
        <f t="shared" si="1"/>
        <v>68147000</v>
      </c>
      <c r="G79" s="67" t="s">
        <v>175</v>
      </c>
      <c r="H79" s="49"/>
      <c r="I79" s="72">
        <v>7.4999999999999902</v>
      </c>
      <c r="J79" s="1135">
        <v>6681506.3551185774</v>
      </c>
      <c r="K79" s="64"/>
      <c r="O79" s="626">
        <v>7.5000000000001066</v>
      </c>
      <c r="P79" s="1135">
        <v>8518754.4880653676</v>
      </c>
      <c r="Q79" s="1135">
        <v>8518754.4880653676</v>
      </c>
    </row>
    <row r="80" spans="2:17" x14ac:dyDescent="0.25">
      <c r="B80" s="65">
        <v>7.6</v>
      </c>
      <c r="C80" s="760">
        <v>17003800</v>
      </c>
      <c r="D80" s="761">
        <v>17191500</v>
      </c>
      <c r="E80" s="761">
        <v>34896300</v>
      </c>
      <c r="F80" s="761">
        <f t="shared" si="1"/>
        <v>69091600</v>
      </c>
      <c r="G80" s="67" t="s">
        <v>175</v>
      </c>
      <c r="H80" s="49"/>
      <c r="I80" s="72">
        <v>7.5999999999999899</v>
      </c>
      <c r="J80" s="1135">
        <v>6785143.2936663777</v>
      </c>
      <c r="K80" s="64"/>
      <c r="O80" s="626">
        <v>7.600000000000108</v>
      </c>
      <c r="P80" s="1135">
        <v>8656432.994924074</v>
      </c>
      <c r="Q80" s="1135">
        <v>8656432.994924074</v>
      </c>
    </row>
    <row r="81" spans="2:17" x14ac:dyDescent="0.25">
      <c r="B81" s="65">
        <v>7.7</v>
      </c>
      <c r="C81" s="760">
        <v>17238300</v>
      </c>
      <c r="D81" s="761">
        <v>17425700</v>
      </c>
      <c r="E81" s="761">
        <v>35372500</v>
      </c>
      <c r="F81" s="761">
        <f t="shared" si="1"/>
        <v>70036500</v>
      </c>
      <c r="G81" s="67" t="s">
        <v>175</v>
      </c>
      <c r="H81" s="49"/>
      <c r="I81" s="72">
        <v>7.6999999999999904</v>
      </c>
      <c r="J81" s="1135">
        <v>6888780.232214178</v>
      </c>
      <c r="K81" s="64"/>
      <c r="O81" s="626">
        <v>7.7000000000001094</v>
      </c>
      <c r="P81" s="1135">
        <v>8794117.8914975245</v>
      </c>
      <c r="Q81" s="1135">
        <v>8794117.8914975245</v>
      </c>
    </row>
    <row r="82" spans="2:17" x14ac:dyDescent="0.25">
      <c r="B82" s="65">
        <v>7.8</v>
      </c>
      <c r="C82" s="760">
        <v>17472800</v>
      </c>
      <c r="D82" s="761">
        <v>17659900</v>
      </c>
      <c r="E82" s="761">
        <v>35849300</v>
      </c>
      <c r="F82" s="761">
        <f t="shared" si="1"/>
        <v>70982000</v>
      </c>
      <c r="G82" s="67" t="s">
        <v>175</v>
      </c>
      <c r="H82" s="49"/>
      <c r="I82" s="72">
        <v>7.7999999999999901</v>
      </c>
      <c r="J82" s="1135">
        <v>6992417.1707619783</v>
      </c>
      <c r="K82" s="64"/>
      <c r="O82" s="626">
        <v>7.8000000000001108</v>
      </c>
      <c r="P82" s="1135">
        <v>8931809.1779335104</v>
      </c>
      <c r="Q82" s="1135">
        <v>8931809.1779335104</v>
      </c>
    </row>
    <row r="83" spans="2:17" x14ac:dyDescent="0.25">
      <c r="B83" s="65">
        <v>7.9</v>
      </c>
      <c r="C83" s="760">
        <v>17707300</v>
      </c>
      <c r="D83" s="761">
        <v>17894100</v>
      </c>
      <c r="E83" s="761">
        <v>36326400</v>
      </c>
      <c r="F83" s="761">
        <f t="shared" si="1"/>
        <v>71927800</v>
      </c>
      <c r="G83" s="67" t="s">
        <v>175</v>
      </c>
      <c r="H83" s="49"/>
      <c r="I83" s="72">
        <v>7.8999999999999897</v>
      </c>
      <c r="J83" s="1135">
        <v>7096054.1093097785</v>
      </c>
      <c r="K83" s="64"/>
      <c r="O83" s="626">
        <v>7.9000000000001123</v>
      </c>
      <c r="P83" s="1135">
        <v>9069506.8543798402</v>
      </c>
      <c r="Q83" s="1135">
        <v>9069506.8543798402</v>
      </c>
    </row>
    <row r="84" spans="2:17" x14ac:dyDescent="0.25">
      <c r="B84" s="65">
        <v>8</v>
      </c>
      <c r="C84" s="760">
        <v>17941800</v>
      </c>
      <c r="D84" s="761">
        <v>18128300</v>
      </c>
      <c r="E84" s="761">
        <v>36804000</v>
      </c>
      <c r="F84" s="761">
        <f t="shared" si="1"/>
        <v>72874100</v>
      </c>
      <c r="G84" s="67" t="s">
        <v>175</v>
      </c>
      <c r="H84" s="49"/>
      <c r="I84" s="72">
        <v>7.9999999999999796</v>
      </c>
      <c r="J84" s="1135">
        <v>7199691.0478575751</v>
      </c>
      <c r="K84" s="64"/>
      <c r="O84" s="626">
        <v>8.0000000000001137</v>
      </c>
      <c r="P84" s="1135">
        <v>9207210.9209843092</v>
      </c>
      <c r="Q84" s="1135">
        <v>9207210.9209843092</v>
      </c>
    </row>
    <row r="85" spans="2:17" x14ac:dyDescent="0.25">
      <c r="B85" s="65">
        <v>8.1</v>
      </c>
      <c r="C85" s="760">
        <v>18179500</v>
      </c>
      <c r="D85" s="761">
        <v>18365600</v>
      </c>
      <c r="E85" s="761">
        <v>37282100</v>
      </c>
      <c r="F85" s="761">
        <f t="shared" si="1"/>
        <v>73827200</v>
      </c>
      <c r="G85" s="67" t="s">
        <v>175</v>
      </c>
      <c r="H85" s="49"/>
      <c r="I85" s="72">
        <v>8.0999999999999801</v>
      </c>
      <c r="J85" s="1135">
        <v>7303327.9864053754</v>
      </c>
      <c r="K85" s="64"/>
      <c r="O85" s="626">
        <v>8.1000000000001151</v>
      </c>
      <c r="P85" s="1135">
        <v>9344921.3778947182</v>
      </c>
      <c r="Q85" s="1135">
        <v>9344921.3778947182</v>
      </c>
    </row>
    <row r="86" spans="2:17" x14ac:dyDescent="0.25">
      <c r="B86" s="65">
        <v>8.1999999999999993</v>
      </c>
      <c r="C86" s="760">
        <v>18417200</v>
      </c>
      <c r="D86" s="761">
        <v>18602900</v>
      </c>
      <c r="E86" s="761">
        <v>37760500</v>
      </c>
      <c r="F86" s="761">
        <f t="shared" si="1"/>
        <v>74780600</v>
      </c>
      <c r="G86" s="67" t="s">
        <v>175</v>
      </c>
      <c r="H86" s="49"/>
      <c r="I86" s="72">
        <v>8.1999999999999797</v>
      </c>
      <c r="J86" s="1135">
        <v>7406964.9249531757</v>
      </c>
      <c r="K86" s="64"/>
      <c r="O86" s="626">
        <v>8.2000000000001165</v>
      </c>
      <c r="P86" s="1135">
        <v>9482638.2252588663</v>
      </c>
      <c r="Q86" s="1135">
        <v>9482638.2252588663</v>
      </c>
    </row>
    <row r="87" spans="2:17" x14ac:dyDescent="0.25">
      <c r="B87" s="65">
        <v>8.3000000000000007</v>
      </c>
      <c r="C87" s="760">
        <v>18654900</v>
      </c>
      <c r="D87" s="761">
        <v>18840200</v>
      </c>
      <c r="E87" s="761">
        <v>38239500</v>
      </c>
      <c r="F87" s="761">
        <f t="shared" si="1"/>
        <v>75734600</v>
      </c>
      <c r="G87" s="67" t="s">
        <v>175</v>
      </c>
      <c r="H87" s="49"/>
      <c r="I87" s="72">
        <v>8.2999999999999794</v>
      </c>
      <c r="J87" s="1135">
        <v>7510601.863500976</v>
      </c>
      <c r="K87" s="64"/>
      <c r="O87" s="626">
        <v>8.300000000000118</v>
      </c>
      <c r="P87" s="1135">
        <v>9620361.4632245544</v>
      </c>
      <c r="Q87" s="1135">
        <v>9620361.4632245544</v>
      </c>
    </row>
    <row r="88" spans="2:17" x14ac:dyDescent="0.25">
      <c r="B88" s="65">
        <v>8.4</v>
      </c>
      <c r="C88" s="760">
        <v>18892600</v>
      </c>
      <c r="D88" s="761">
        <v>19077500</v>
      </c>
      <c r="E88" s="761">
        <v>38718800</v>
      </c>
      <c r="F88" s="761">
        <f t="shared" si="1"/>
        <v>76688900</v>
      </c>
      <c r="G88" s="67" t="s">
        <v>175</v>
      </c>
      <c r="H88" s="49"/>
      <c r="I88" s="72">
        <v>8.3999999999999808</v>
      </c>
      <c r="J88" s="1135">
        <v>7614238.8020487763</v>
      </c>
      <c r="K88" s="64"/>
      <c r="O88" s="626">
        <v>8.4000000000001194</v>
      </c>
      <c r="P88" s="1135">
        <v>9758091.0919395853</v>
      </c>
      <c r="Q88" s="1135">
        <v>9758091.0919395853</v>
      </c>
    </row>
    <row r="89" spans="2:17" x14ac:dyDescent="0.25">
      <c r="B89" s="65">
        <v>8.5</v>
      </c>
      <c r="C89" s="760">
        <v>19130300</v>
      </c>
      <c r="D89" s="761">
        <v>19314800</v>
      </c>
      <c r="E89" s="761">
        <v>39198600</v>
      </c>
      <c r="F89" s="761">
        <f t="shared" si="1"/>
        <v>77643700</v>
      </c>
      <c r="G89" s="67" t="s">
        <v>175</v>
      </c>
      <c r="H89" s="49"/>
      <c r="I89" s="72">
        <v>8.4999999999999805</v>
      </c>
      <c r="J89" s="1135">
        <v>7717875.7405965766</v>
      </c>
      <c r="K89" s="64"/>
      <c r="O89" s="626">
        <v>8.5000000000001208</v>
      </c>
      <c r="P89" s="1135">
        <v>9895827.1115517542</v>
      </c>
      <c r="Q89" s="1135">
        <v>9895827.1115517542</v>
      </c>
    </row>
    <row r="90" spans="2:17" x14ac:dyDescent="0.25">
      <c r="B90" s="65">
        <v>8.6</v>
      </c>
      <c r="C90" s="760">
        <v>19368000</v>
      </c>
      <c r="D90" s="761">
        <v>19552100</v>
      </c>
      <c r="E90" s="761">
        <v>39678900</v>
      </c>
      <c r="F90" s="761">
        <f t="shared" si="1"/>
        <v>78599000</v>
      </c>
      <c r="G90" s="67" t="s">
        <v>175</v>
      </c>
      <c r="H90" s="49"/>
      <c r="I90" s="72">
        <v>8.5999999999999801</v>
      </c>
      <c r="J90" s="1135">
        <v>7821512.6791443769</v>
      </c>
      <c r="K90" s="64"/>
      <c r="O90" s="626">
        <v>8.6000000000001222</v>
      </c>
      <c r="P90" s="1135">
        <v>10033569.522208862</v>
      </c>
      <c r="Q90" s="1135">
        <v>10033569.522208862</v>
      </c>
    </row>
    <row r="91" spans="2:17" x14ac:dyDescent="0.25">
      <c r="B91" s="65">
        <v>8.6999999999999993</v>
      </c>
      <c r="C91" s="760">
        <v>19605700</v>
      </c>
      <c r="D91" s="761">
        <v>19789400</v>
      </c>
      <c r="E91" s="761">
        <v>40159600</v>
      </c>
      <c r="F91" s="761">
        <f t="shared" si="1"/>
        <v>79554700</v>
      </c>
      <c r="G91" s="67" t="s">
        <v>175</v>
      </c>
      <c r="H91" s="49"/>
      <c r="I91" s="72">
        <v>8.6999999999999797</v>
      </c>
      <c r="J91" s="1135">
        <v>7925149.6176921772</v>
      </c>
      <c r="K91" s="64"/>
      <c r="O91" s="626">
        <v>8.7000000000001236</v>
      </c>
      <c r="P91" s="1135">
        <v>10171318.324058712</v>
      </c>
      <c r="Q91" s="1135">
        <v>10171318.324058712</v>
      </c>
    </row>
    <row r="92" spans="2:17" x14ac:dyDescent="0.25">
      <c r="B92" s="65">
        <v>8.8000000000000007</v>
      </c>
      <c r="C92" s="760">
        <v>19843400</v>
      </c>
      <c r="D92" s="761">
        <v>20026700</v>
      </c>
      <c r="E92" s="761">
        <v>40640700</v>
      </c>
      <c r="F92" s="761">
        <f t="shared" si="1"/>
        <v>80510800</v>
      </c>
      <c r="G92" s="67" t="s">
        <v>175</v>
      </c>
      <c r="H92" s="49"/>
      <c r="I92" s="72">
        <v>8.7999999999999794</v>
      </c>
      <c r="J92" s="1135">
        <v>8028786.5562399775</v>
      </c>
      <c r="K92" s="64"/>
      <c r="O92" s="626">
        <v>8.8000000000001251</v>
      </c>
      <c r="P92" s="1135">
        <v>10309073.5172491</v>
      </c>
      <c r="Q92" s="1135">
        <v>10309073.5172491</v>
      </c>
    </row>
    <row r="93" spans="2:17" x14ac:dyDescent="0.25">
      <c r="B93" s="65">
        <v>8.9</v>
      </c>
      <c r="C93" s="760">
        <v>20081100</v>
      </c>
      <c r="D93" s="761">
        <v>20264000</v>
      </c>
      <c r="E93" s="761">
        <v>41122300</v>
      </c>
      <c r="F93" s="761">
        <f t="shared" si="1"/>
        <v>81467400</v>
      </c>
      <c r="G93" s="67" t="s">
        <v>175</v>
      </c>
      <c r="H93" s="49"/>
      <c r="I93" s="72">
        <v>8.8999999999999808</v>
      </c>
      <c r="J93" s="1135">
        <v>8132423.4947877778</v>
      </c>
      <c r="K93" s="64"/>
      <c r="O93" s="626">
        <v>8.9000000000001265</v>
      </c>
      <c r="P93" s="1135">
        <v>10446835.101927832</v>
      </c>
      <c r="Q93" s="1135">
        <v>10446835.101927832</v>
      </c>
    </row>
    <row r="94" spans="2:17" x14ac:dyDescent="0.25">
      <c r="B94" s="65">
        <v>9</v>
      </c>
      <c r="C94" s="760">
        <v>20318800</v>
      </c>
      <c r="D94" s="761">
        <v>20501300</v>
      </c>
      <c r="E94" s="761">
        <v>41604300</v>
      </c>
      <c r="F94" s="761">
        <f t="shared" si="1"/>
        <v>82424400</v>
      </c>
      <c r="G94" s="67" t="s">
        <v>175</v>
      </c>
      <c r="H94" s="49"/>
      <c r="I94" s="72">
        <v>8.9999999999999805</v>
      </c>
      <c r="J94" s="1135">
        <v>8236060.4333355762</v>
      </c>
      <c r="K94" s="64"/>
      <c r="O94" s="626">
        <v>9.0000000000001279</v>
      </c>
      <c r="P94" s="1135">
        <v>10584603.078242701</v>
      </c>
      <c r="Q94" s="1135">
        <v>10584603.078242701</v>
      </c>
    </row>
    <row r="95" spans="2:17" x14ac:dyDescent="0.25">
      <c r="B95" s="65">
        <v>9.1</v>
      </c>
      <c r="C95" s="760">
        <v>20559600</v>
      </c>
      <c r="D95" s="761">
        <v>20741800</v>
      </c>
      <c r="E95" s="761">
        <v>42086700</v>
      </c>
      <c r="F95" s="761">
        <f t="shared" si="1"/>
        <v>83388100</v>
      </c>
      <c r="G95" s="67" t="s">
        <v>175</v>
      </c>
      <c r="H95" s="49"/>
      <c r="I95" s="72">
        <v>9.0999999999999801</v>
      </c>
      <c r="J95" s="1135">
        <v>8339697.3718833765</v>
      </c>
      <c r="K95" s="64"/>
      <c r="O95" s="626">
        <v>9.1000000000001293</v>
      </c>
      <c r="P95" s="1135">
        <v>10722377.446341511</v>
      </c>
      <c r="Q95" s="1135">
        <v>10722377.446341511</v>
      </c>
    </row>
    <row r="96" spans="2:17" x14ac:dyDescent="0.25">
      <c r="B96" s="65">
        <v>9.1999999999999993</v>
      </c>
      <c r="C96" s="760">
        <v>20800400</v>
      </c>
      <c r="D96" s="761">
        <v>20982300</v>
      </c>
      <c r="E96" s="761">
        <v>42569700</v>
      </c>
      <c r="F96" s="761">
        <f t="shared" si="1"/>
        <v>84352400</v>
      </c>
      <c r="G96" s="67" t="s">
        <v>175</v>
      </c>
      <c r="H96" s="49"/>
      <c r="I96" s="72">
        <v>9.1999999999999797</v>
      </c>
      <c r="J96" s="1135">
        <v>8443334.3104311768</v>
      </c>
      <c r="K96" s="64"/>
      <c r="O96" s="626">
        <v>9.2000000000001307</v>
      </c>
      <c r="P96" s="1135">
        <v>10860158.206372062</v>
      </c>
      <c r="Q96" s="1135">
        <v>10860158.206372062</v>
      </c>
    </row>
    <row r="97" spans="2:17" x14ac:dyDescent="0.25">
      <c r="B97" s="65">
        <v>9.3000000000000007</v>
      </c>
      <c r="C97" s="760">
        <v>21041200</v>
      </c>
      <c r="D97" s="761">
        <v>21222800</v>
      </c>
      <c r="E97" s="761">
        <v>43053000</v>
      </c>
      <c r="F97" s="761">
        <f t="shared" si="1"/>
        <v>85317000</v>
      </c>
      <c r="G97" s="67" t="s">
        <v>175</v>
      </c>
      <c r="H97" s="49"/>
      <c r="I97" s="72">
        <v>9.2999999999999794</v>
      </c>
      <c r="J97" s="1135">
        <v>8546971.2489789762</v>
      </c>
      <c r="K97" s="64"/>
      <c r="O97" s="626">
        <v>9.3000000000001322</v>
      </c>
      <c r="P97" s="1135">
        <v>10997945.35848215</v>
      </c>
      <c r="Q97" s="1135">
        <v>10997945.35848215</v>
      </c>
    </row>
    <row r="98" spans="2:17" x14ac:dyDescent="0.25">
      <c r="B98" s="65">
        <v>9.4</v>
      </c>
      <c r="C98" s="760">
        <v>21282000</v>
      </c>
      <c r="D98" s="761">
        <v>21463300</v>
      </c>
      <c r="E98" s="761">
        <v>43536800</v>
      </c>
      <c r="F98" s="761">
        <f t="shared" si="1"/>
        <v>86282100</v>
      </c>
      <c r="G98" s="67" t="s">
        <v>175</v>
      </c>
      <c r="H98" s="49"/>
      <c r="I98" s="72">
        <v>9.3999999999999808</v>
      </c>
      <c r="J98" s="1135">
        <v>8650608.1875267755</v>
      </c>
      <c r="K98" s="64"/>
      <c r="O98" s="626">
        <v>9.4000000000001336</v>
      </c>
      <c r="P98" s="1135">
        <v>11135738.902819583</v>
      </c>
      <c r="Q98" s="1135">
        <v>11135738.902819583</v>
      </c>
    </row>
    <row r="99" spans="2:17" x14ac:dyDescent="0.25">
      <c r="B99" s="65">
        <v>9.5</v>
      </c>
      <c r="C99" s="760">
        <v>21522800</v>
      </c>
      <c r="D99" s="761">
        <v>21703800</v>
      </c>
      <c r="E99" s="761">
        <v>44021100</v>
      </c>
      <c r="F99" s="761">
        <f t="shared" si="1"/>
        <v>87247700</v>
      </c>
      <c r="G99" s="67" t="s">
        <v>175</v>
      </c>
      <c r="H99" s="49"/>
      <c r="I99" s="72">
        <v>9.4999999999999805</v>
      </c>
      <c r="J99" s="1135">
        <v>8754245.1260745749</v>
      </c>
      <c r="K99" s="64"/>
      <c r="O99" s="626">
        <v>9.500000000000135</v>
      </c>
      <c r="P99" s="1135">
        <v>11273538.839532152</v>
      </c>
      <c r="Q99" s="1135">
        <v>11273538.839532152</v>
      </c>
    </row>
    <row r="100" spans="2:17" x14ac:dyDescent="0.25">
      <c r="B100" s="65">
        <v>9.6</v>
      </c>
      <c r="C100" s="760">
        <v>21763600</v>
      </c>
      <c r="D100" s="761">
        <v>21944300</v>
      </c>
      <c r="E100" s="761">
        <v>44505700</v>
      </c>
      <c r="F100" s="761">
        <f t="shared" si="1"/>
        <v>88213600</v>
      </c>
      <c r="G100" s="67" t="s">
        <v>175</v>
      </c>
      <c r="H100" s="49"/>
      <c r="I100" s="72">
        <v>9.5999999999999801</v>
      </c>
      <c r="J100" s="1135">
        <v>8857882.0646223743</v>
      </c>
      <c r="K100" s="64"/>
      <c r="O100" s="626">
        <v>9.6000000000001364</v>
      </c>
      <c r="P100" s="1135">
        <v>11411345.168767666</v>
      </c>
      <c r="Q100" s="1135">
        <v>11411345.168767666</v>
      </c>
    </row>
    <row r="101" spans="2:17" x14ac:dyDescent="0.25">
      <c r="B101" s="65">
        <v>9.6999999999999993</v>
      </c>
      <c r="C101" s="760">
        <v>22004400</v>
      </c>
      <c r="D101" s="761">
        <v>22184800</v>
      </c>
      <c r="E101" s="761">
        <v>44990800</v>
      </c>
      <c r="F101" s="761">
        <f t="shared" si="1"/>
        <v>89180000</v>
      </c>
      <c r="G101" s="67" t="s">
        <v>175</v>
      </c>
      <c r="H101" s="49"/>
      <c r="I101" s="72">
        <v>9.6999999999999797</v>
      </c>
      <c r="J101" s="1135">
        <v>8961519.0031701736</v>
      </c>
      <c r="K101" s="64"/>
      <c r="O101" s="626">
        <v>9.7000000000001378</v>
      </c>
      <c r="P101" s="1135">
        <v>11549157.890673917</v>
      </c>
      <c r="Q101" s="1135">
        <v>11549157.890673917</v>
      </c>
    </row>
    <row r="102" spans="2:17" x14ac:dyDescent="0.25">
      <c r="B102" s="65">
        <v>9.8000000000000007</v>
      </c>
      <c r="C102" s="760">
        <v>22245200</v>
      </c>
      <c r="D102" s="761">
        <v>22425300</v>
      </c>
      <c r="E102" s="761">
        <v>45476400</v>
      </c>
      <c r="F102" s="761">
        <f t="shared" si="1"/>
        <v>90146900</v>
      </c>
      <c r="G102" s="67" t="s">
        <v>175</v>
      </c>
      <c r="H102" s="49"/>
      <c r="I102" s="72">
        <v>9.7999999999999794</v>
      </c>
      <c r="J102" s="1135">
        <v>9065155.941717973</v>
      </c>
      <c r="K102" s="64"/>
      <c r="O102" s="626">
        <v>9.8000000000001375</v>
      </c>
      <c r="P102" s="1135">
        <v>11686977.005398709</v>
      </c>
      <c r="Q102" s="1135">
        <v>11686977.005398709</v>
      </c>
    </row>
    <row r="103" spans="2:17" x14ac:dyDescent="0.25">
      <c r="B103" s="65">
        <v>9.9</v>
      </c>
      <c r="C103" s="760">
        <v>22486000</v>
      </c>
      <c r="D103" s="761">
        <v>22665800</v>
      </c>
      <c r="E103" s="761">
        <v>45962400</v>
      </c>
      <c r="F103" s="761">
        <f t="shared" si="1"/>
        <v>91114200</v>
      </c>
      <c r="G103" s="67" t="s">
        <v>175</v>
      </c>
      <c r="H103" s="49"/>
      <c r="I103" s="72">
        <v>9.8999999999999808</v>
      </c>
      <c r="J103" s="1135">
        <v>9168792.8802657723</v>
      </c>
      <c r="K103" s="64"/>
      <c r="O103" s="626">
        <v>9.9000000000001371</v>
      </c>
      <c r="P103" s="1135">
        <v>11824802.513089841</v>
      </c>
      <c r="Q103" s="1135">
        <v>11824802.513089841</v>
      </c>
    </row>
    <row r="104" spans="2:17" x14ac:dyDescent="0.25">
      <c r="B104" s="65">
        <v>10</v>
      </c>
      <c r="C104" s="760">
        <v>22726800</v>
      </c>
      <c r="D104" s="761">
        <v>22906300</v>
      </c>
      <c r="E104" s="761">
        <v>46448900</v>
      </c>
      <c r="F104" s="761">
        <f t="shared" si="1"/>
        <v>92082000</v>
      </c>
      <c r="G104" s="67" t="s">
        <v>175</v>
      </c>
      <c r="H104" s="49"/>
      <c r="I104" s="72">
        <v>9.9999999999999805</v>
      </c>
      <c r="J104" s="1135">
        <v>9272429.8188135754</v>
      </c>
      <c r="K104" s="64"/>
      <c r="O104" s="626">
        <v>10.000000000000137</v>
      </c>
      <c r="P104" s="1135">
        <v>11962634.413895117</v>
      </c>
      <c r="Q104" s="1135">
        <v>11962634.413895117</v>
      </c>
    </row>
    <row r="105" spans="2:17" x14ac:dyDescent="0.25">
      <c r="B105" s="65">
        <v>10.1</v>
      </c>
      <c r="C105" s="760">
        <v>22971200</v>
      </c>
      <c r="D105" s="761">
        <v>23150000</v>
      </c>
      <c r="E105" s="761">
        <v>46935800</v>
      </c>
      <c r="F105" s="761">
        <f t="shared" si="1"/>
        <v>93057000</v>
      </c>
      <c r="G105" s="67" t="s">
        <v>175</v>
      </c>
      <c r="H105" s="49"/>
      <c r="I105" s="72">
        <v>10.1</v>
      </c>
      <c r="J105" s="1135">
        <v>9376066.7573613748</v>
      </c>
      <c r="K105" s="64"/>
      <c r="O105" s="626">
        <v>10.100000000000136</v>
      </c>
      <c r="P105" s="1135">
        <v>12100472.707962327</v>
      </c>
      <c r="Q105" s="1135">
        <v>12100472.707962327</v>
      </c>
    </row>
    <row r="106" spans="2:17" x14ac:dyDescent="0.25">
      <c r="B106" s="65">
        <v>10.199999999999999</v>
      </c>
      <c r="C106" s="760">
        <v>23215600</v>
      </c>
      <c r="D106" s="761">
        <v>23393700</v>
      </c>
      <c r="E106" s="761">
        <v>47423100</v>
      </c>
      <c r="F106" s="761">
        <f t="shared" si="1"/>
        <v>94032400</v>
      </c>
      <c r="G106" s="67" t="s">
        <v>175</v>
      </c>
      <c r="H106" s="49"/>
      <c r="I106" s="72">
        <v>10.199999999999999</v>
      </c>
      <c r="J106" s="1135">
        <v>9479703.6959091742</v>
      </c>
      <c r="K106" s="64"/>
      <c r="O106" s="626">
        <v>10.200000000000136</v>
      </c>
      <c r="P106" s="1135">
        <v>12238317.395439278</v>
      </c>
      <c r="Q106" s="1135">
        <v>12238317.395439278</v>
      </c>
    </row>
    <row r="107" spans="2:17" x14ac:dyDescent="0.25">
      <c r="B107" s="65">
        <v>10.3</v>
      </c>
      <c r="C107" s="760">
        <v>23460000</v>
      </c>
      <c r="D107" s="761">
        <v>23637400</v>
      </c>
      <c r="E107" s="761">
        <v>47910900</v>
      </c>
      <c r="F107" s="761">
        <f t="shared" si="1"/>
        <v>95008300</v>
      </c>
      <c r="G107" s="67" t="s">
        <v>175</v>
      </c>
      <c r="H107" s="49"/>
      <c r="I107" s="72">
        <v>10.3</v>
      </c>
      <c r="J107" s="1135">
        <v>9583340.6344569735</v>
      </c>
      <c r="K107" s="64"/>
      <c r="O107" s="626">
        <v>10.300000000000136</v>
      </c>
      <c r="P107" s="1135">
        <v>12376168.476473775</v>
      </c>
      <c r="Q107" s="1135">
        <v>12376168.476473775</v>
      </c>
    </row>
    <row r="108" spans="2:17" x14ac:dyDescent="0.25">
      <c r="B108" s="65">
        <v>10.4</v>
      </c>
      <c r="C108" s="760">
        <v>23704400</v>
      </c>
      <c r="D108" s="761">
        <v>23881100</v>
      </c>
      <c r="E108" s="761">
        <v>48399100</v>
      </c>
      <c r="F108" s="761">
        <f t="shared" si="1"/>
        <v>95984600</v>
      </c>
      <c r="G108" s="67" t="s">
        <v>175</v>
      </c>
      <c r="H108" s="49"/>
      <c r="I108" s="72">
        <v>10.4</v>
      </c>
      <c r="J108" s="1135">
        <v>9686977.5730047729</v>
      </c>
      <c r="K108" s="64"/>
      <c r="O108" s="626">
        <v>10.400000000000135</v>
      </c>
      <c r="P108" s="1135">
        <v>12514025.951213606</v>
      </c>
      <c r="Q108" s="1135">
        <v>12514025.951213606</v>
      </c>
    </row>
    <row r="109" spans="2:17" x14ac:dyDescent="0.25">
      <c r="B109" s="65">
        <v>10.5</v>
      </c>
      <c r="C109" s="760">
        <v>23948800</v>
      </c>
      <c r="D109" s="761">
        <v>24124800</v>
      </c>
      <c r="E109" s="761">
        <v>48887800</v>
      </c>
      <c r="F109" s="761">
        <f t="shared" si="1"/>
        <v>96961400</v>
      </c>
      <c r="G109" s="67" t="s">
        <v>175</v>
      </c>
      <c r="H109" s="49"/>
      <c r="I109" s="72">
        <v>10.5</v>
      </c>
      <c r="J109" s="1135">
        <v>9790614.5115525723</v>
      </c>
      <c r="K109" s="64"/>
      <c r="O109" s="626">
        <v>10.500000000000135</v>
      </c>
      <c r="P109" s="1135">
        <v>12651889.819806581</v>
      </c>
      <c r="Q109" s="1135">
        <v>12651889.819806581</v>
      </c>
    </row>
    <row r="110" spans="2:17" x14ac:dyDescent="0.25">
      <c r="B110" s="65">
        <v>10.6</v>
      </c>
      <c r="C110" s="760">
        <v>24193200</v>
      </c>
      <c r="D110" s="761">
        <v>24368500</v>
      </c>
      <c r="E110" s="761">
        <v>49376900</v>
      </c>
      <c r="F110" s="761">
        <f t="shared" si="1"/>
        <v>97938600</v>
      </c>
      <c r="G110" s="67" t="s">
        <v>175</v>
      </c>
      <c r="H110" s="49"/>
      <c r="I110" s="72">
        <v>10.6</v>
      </c>
      <c r="J110" s="1135">
        <v>9894251.4501003716</v>
      </c>
      <c r="K110" s="64"/>
      <c r="O110" s="626">
        <v>10.600000000000135</v>
      </c>
      <c r="P110" s="1135">
        <v>12789760.082400495</v>
      </c>
      <c r="Q110" s="1135">
        <v>12789760.082400495</v>
      </c>
    </row>
    <row r="111" spans="2:17" x14ac:dyDescent="0.25">
      <c r="B111" s="65">
        <v>10.7</v>
      </c>
      <c r="C111" s="760">
        <v>24437600</v>
      </c>
      <c r="D111" s="761">
        <v>24612200</v>
      </c>
      <c r="E111" s="761">
        <v>49866500</v>
      </c>
      <c r="F111" s="761">
        <f t="shared" si="1"/>
        <v>98916300</v>
      </c>
      <c r="G111" s="67" t="s">
        <v>175</v>
      </c>
      <c r="H111" s="49"/>
      <c r="I111" s="72">
        <v>10.7</v>
      </c>
      <c r="J111" s="1135">
        <v>9997888.388648171</v>
      </c>
      <c r="K111" s="64"/>
      <c r="O111" s="626">
        <v>10.700000000000134</v>
      </c>
      <c r="P111" s="1135">
        <v>12927636.73914315</v>
      </c>
      <c r="Q111" s="1135">
        <v>12927636.73914315</v>
      </c>
    </row>
    <row r="112" spans="2:17" x14ac:dyDescent="0.25">
      <c r="B112" s="65">
        <v>10.8</v>
      </c>
      <c r="C112" s="760">
        <v>24682000</v>
      </c>
      <c r="D112" s="761">
        <v>24855900</v>
      </c>
      <c r="E112" s="761">
        <v>50356500</v>
      </c>
      <c r="F112" s="761">
        <f t="shared" si="1"/>
        <v>99894400</v>
      </c>
      <c r="G112" s="67" t="s">
        <v>175</v>
      </c>
      <c r="H112" s="49"/>
      <c r="I112" s="72">
        <v>10.8</v>
      </c>
      <c r="J112" s="1135">
        <v>10101525.32719597</v>
      </c>
      <c r="K112" s="64"/>
      <c r="O112" s="626">
        <v>10.800000000000134</v>
      </c>
      <c r="P112" s="1135">
        <v>13065519.790182348</v>
      </c>
      <c r="Q112" s="1135">
        <v>13065519.790182348</v>
      </c>
    </row>
    <row r="113" spans="2:17" x14ac:dyDescent="0.25">
      <c r="B113" s="65">
        <v>10.9</v>
      </c>
      <c r="C113" s="760">
        <v>24926400</v>
      </c>
      <c r="D113" s="761">
        <v>25099600</v>
      </c>
      <c r="E113" s="761">
        <v>50847000</v>
      </c>
      <c r="F113" s="761">
        <f t="shared" si="1"/>
        <v>100873000</v>
      </c>
      <c r="G113" s="67" t="s">
        <v>175</v>
      </c>
      <c r="H113" s="49"/>
      <c r="I113" s="72">
        <v>10.9</v>
      </c>
      <c r="J113" s="1135">
        <v>10205162.26574377</v>
      </c>
      <c r="K113" s="64"/>
      <c r="O113" s="626">
        <v>10.900000000000134</v>
      </c>
      <c r="P113" s="1135">
        <v>13203409.23566588</v>
      </c>
      <c r="Q113" s="1135">
        <v>13203409.23566588</v>
      </c>
    </row>
    <row r="114" spans="2:17" x14ac:dyDescent="0.25">
      <c r="B114" s="65">
        <v>11</v>
      </c>
      <c r="C114" s="760">
        <v>25170800</v>
      </c>
      <c r="D114" s="761">
        <v>25343300</v>
      </c>
      <c r="E114" s="761">
        <v>51337900</v>
      </c>
      <c r="F114" s="761">
        <f t="shared" si="1"/>
        <v>101852000</v>
      </c>
      <c r="G114" s="67" t="s">
        <v>175</v>
      </c>
      <c r="H114" s="49"/>
      <c r="I114" s="72">
        <v>11</v>
      </c>
      <c r="J114" s="1135">
        <v>10308799.204291577</v>
      </c>
      <c r="K114" s="64"/>
      <c r="O114" s="626">
        <v>11.000000000000133</v>
      </c>
      <c r="P114" s="1135">
        <v>13341305.075741557</v>
      </c>
      <c r="Q114" s="1135">
        <v>13341305.075741557</v>
      </c>
    </row>
    <row r="115" spans="2:17" x14ac:dyDescent="0.25">
      <c r="B115" s="65">
        <v>11.1</v>
      </c>
      <c r="C115" s="760">
        <v>25418100</v>
      </c>
      <c r="D115" s="761">
        <v>25590200</v>
      </c>
      <c r="E115" s="761">
        <v>51829300</v>
      </c>
      <c r="F115" s="761">
        <f t="shared" si="1"/>
        <v>102837600</v>
      </c>
      <c r="G115" s="67" t="s">
        <v>175</v>
      </c>
      <c r="H115" s="49"/>
      <c r="I115" s="72">
        <v>11.1</v>
      </c>
      <c r="J115" s="1135">
        <v>10412436.142839376</v>
      </c>
      <c r="K115" s="64"/>
      <c r="O115" s="626">
        <v>11.100000000000133</v>
      </c>
      <c r="P115" s="1135">
        <v>13479207.310557174</v>
      </c>
      <c r="Q115" s="1135">
        <v>13479207.310557174</v>
      </c>
    </row>
    <row r="116" spans="2:17" x14ac:dyDescent="0.25">
      <c r="B116" s="65">
        <v>11.2</v>
      </c>
      <c r="C116" s="760">
        <v>25665400</v>
      </c>
      <c r="D116" s="761">
        <v>25837100</v>
      </c>
      <c r="E116" s="761">
        <v>52321100</v>
      </c>
      <c r="F116" s="761">
        <f t="shared" si="1"/>
        <v>103823600</v>
      </c>
      <c r="G116" s="67" t="s">
        <v>175</v>
      </c>
      <c r="H116" s="49"/>
      <c r="I116" s="72">
        <v>11.2</v>
      </c>
      <c r="J116" s="1135">
        <v>10516073.081387175</v>
      </c>
      <c r="K116" s="64"/>
      <c r="O116" s="626">
        <v>11.200000000000133</v>
      </c>
      <c r="P116" s="1135">
        <v>13617115.940260531</v>
      </c>
      <c r="Q116" s="1135">
        <v>13617115.940260531</v>
      </c>
    </row>
    <row r="117" spans="2:17" x14ac:dyDescent="0.25">
      <c r="B117" s="65">
        <v>11.3</v>
      </c>
      <c r="C117" s="760">
        <v>25912700</v>
      </c>
      <c r="D117" s="761">
        <v>26084000</v>
      </c>
      <c r="E117" s="761">
        <v>52813300</v>
      </c>
      <c r="F117" s="761">
        <f t="shared" si="1"/>
        <v>104810000</v>
      </c>
      <c r="G117" s="67" t="s">
        <v>175</v>
      </c>
      <c r="H117" s="49"/>
      <c r="I117" s="72">
        <v>11.3</v>
      </c>
      <c r="J117" s="1135">
        <v>10619710.019934975</v>
      </c>
      <c r="K117" s="64"/>
      <c r="O117" s="626">
        <v>11.300000000000132</v>
      </c>
      <c r="P117" s="1135">
        <v>13755030.964999426</v>
      </c>
      <c r="Q117" s="1135">
        <v>13755030.964999426</v>
      </c>
    </row>
    <row r="118" spans="2:17" x14ac:dyDescent="0.25">
      <c r="B118" s="65">
        <v>11.4</v>
      </c>
      <c r="C118" s="760">
        <v>26160000</v>
      </c>
      <c r="D118" s="761">
        <v>26330900</v>
      </c>
      <c r="E118" s="761">
        <v>53306000</v>
      </c>
      <c r="F118" s="761">
        <f t="shared" si="1"/>
        <v>105796900</v>
      </c>
      <c r="G118" s="67" t="s">
        <v>175</v>
      </c>
      <c r="H118" s="49"/>
      <c r="I118" s="72">
        <v>11.4</v>
      </c>
      <c r="J118" s="1135">
        <v>10723346.958482774</v>
      </c>
      <c r="K118" s="64"/>
      <c r="O118" s="626">
        <v>11.400000000000132</v>
      </c>
      <c r="P118" s="1135">
        <v>13892952.384921666</v>
      </c>
      <c r="Q118" s="1135">
        <v>13892952.384921666</v>
      </c>
    </row>
    <row r="119" spans="2:17" x14ac:dyDescent="0.25">
      <c r="B119" s="65">
        <v>11.5</v>
      </c>
      <c r="C119" s="760">
        <v>26407300</v>
      </c>
      <c r="D119" s="761">
        <v>26577800</v>
      </c>
      <c r="E119" s="761">
        <v>53799200</v>
      </c>
      <c r="F119" s="761">
        <f t="shared" si="1"/>
        <v>106784300</v>
      </c>
      <c r="G119" s="67" t="s">
        <v>175</v>
      </c>
      <c r="H119" s="49"/>
      <c r="I119" s="72">
        <v>11.5</v>
      </c>
      <c r="J119" s="1135">
        <v>10826983.897030573</v>
      </c>
      <c r="K119" s="64"/>
      <c r="O119" s="626">
        <v>11.500000000000131</v>
      </c>
      <c r="P119" s="1135">
        <v>14030880.200175049</v>
      </c>
      <c r="Q119" s="1135">
        <v>14030880.200175049</v>
      </c>
    </row>
    <row r="120" spans="2:17" x14ac:dyDescent="0.25">
      <c r="B120" s="65">
        <v>11.6</v>
      </c>
      <c r="C120" s="760">
        <v>26654600</v>
      </c>
      <c r="D120" s="761">
        <v>26824700</v>
      </c>
      <c r="E120" s="761">
        <v>54292800</v>
      </c>
      <c r="F120" s="761">
        <f t="shared" si="1"/>
        <v>107772100</v>
      </c>
      <c r="G120" s="67" t="s">
        <v>175</v>
      </c>
      <c r="H120" s="49"/>
      <c r="I120" s="72">
        <v>11.6</v>
      </c>
      <c r="J120" s="1135">
        <v>10930620.835578373</v>
      </c>
      <c r="K120" s="64"/>
      <c r="O120" s="626">
        <v>11.600000000000131</v>
      </c>
      <c r="P120" s="1135">
        <v>14168814.410907362</v>
      </c>
      <c r="Q120" s="1135">
        <v>14168814.410907362</v>
      </c>
    </row>
    <row r="121" spans="2:17" x14ac:dyDescent="0.25">
      <c r="B121" s="65">
        <v>11.7</v>
      </c>
      <c r="C121" s="760">
        <v>26901900</v>
      </c>
      <c r="D121" s="761">
        <v>27071600</v>
      </c>
      <c r="E121" s="761">
        <v>54786800</v>
      </c>
      <c r="F121" s="761">
        <f t="shared" si="1"/>
        <v>108760300</v>
      </c>
      <c r="G121" s="67" t="s">
        <v>175</v>
      </c>
      <c r="H121" s="49"/>
      <c r="I121" s="72">
        <v>11.7</v>
      </c>
      <c r="J121" s="1135">
        <v>11034257.774126172</v>
      </c>
      <c r="K121" s="64"/>
      <c r="O121" s="626">
        <v>11.700000000000131</v>
      </c>
      <c r="P121" s="1135">
        <v>14306755.017266424</v>
      </c>
      <c r="Q121" s="1135">
        <v>14306755.017266424</v>
      </c>
    </row>
    <row r="122" spans="2:17" x14ac:dyDescent="0.25">
      <c r="B122" s="65">
        <v>11.8</v>
      </c>
      <c r="C122" s="760">
        <v>27149200</v>
      </c>
      <c r="D122" s="761">
        <v>27318500</v>
      </c>
      <c r="E122" s="761">
        <v>55281300</v>
      </c>
      <c r="F122" s="761">
        <f t="shared" si="1"/>
        <v>109749000</v>
      </c>
      <c r="G122" s="67" t="s">
        <v>175</v>
      </c>
      <c r="H122" s="49"/>
      <c r="I122" s="72">
        <v>11.8</v>
      </c>
      <c r="J122" s="1135">
        <v>11137894.712673971</v>
      </c>
      <c r="K122" s="64"/>
      <c r="O122" s="626">
        <v>11.80000000000013</v>
      </c>
      <c r="P122" s="1135">
        <v>14444702.019400025</v>
      </c>
      <c r="Q122" s="1135">
        <v>14444702.019400025</v>
      </c>
    </row>
    <row r="123" spans="2:17" x14ac:dyDescent="0.25">
      <c r="B123" s="65">
        <v>11.9</v>
      </c>
      <c r="C123" s="760">
        <v>27396500</v>
      </c>
      <c r="D123" s="761">
        <v>27565400</v>
      </c>
      <c r="E123" s="761">
        <v>55776300</v>
      </c>
      <c r="F123" s="761">
        <f t="shared" si="1"/>
        <v>110738200</v>
      </c>
      <c r="G123" s="67" t="s">
        <v>175</v>
      </c>
      <c r="H123" s="49"/>
      <c r="I123" s="72">
        <v>11.9</v>
      </c>
      <c r="J123" s="1135">
        <v>11241531.651221771</v>
      </c>
      <c r="K123" s="64"/>
      <c r="O123" s="626">
        <v>11.90000000000013</v>
      </c>
      <c r="P123" s="1135">
        <v>14582655.417455964</v>
      </c>
      <c r="Q123" s="1135">
        <v>14582655.417455964</v>
      </c>
    </row>
    <row r="124" spans="2:17" x14ac:dyDescent="0.25">
      <c r="B124" s="65">
        <v>12</v>
      </c>
      <c r="C124" s="760">
        <v>27643800</v>
      </c>
      <c r="D124" s="761">
        <v>27812300</v>
      </c>
      <c r="E124" s="761">
        <v>56271700</v>
      </c>
      <c r="F124" s="761">
        <f t="shared" si="1"/>
        <v>111727800</v>
      </c>
      <c r="G124" s="67" t="s">
        <v>175</v>
      </c>
      <c r="H124" s="49"/>
      <c r="I124" s="72">
        <v>12</v>
      </c>
      <c r="J124" s="1135">
        <v>11345168.589769578</v>
      </c>
      <c r="K124" s="64"/>
      <c r="O124" s="626">
        <v>12.00000000000013</v>
      </c>
      <c r="P124" s="1135">
        <v>14720615.21158205</v>
      </c>
      <c r="Q124" s="1135">
        <v>14720615.21158205</v>
      </c>
    </row>
    <row r="125" spans="2:17" x14ac:dyDescent="0.25">
      <c r="B125" s="65">
        <v>12.1</v>
      </c>
      <c r="C125" s="760">
        <v>27894300</v>
      </c>
      <c r="D125" s="761">
        <v>28062400</v>
      </c>
      <c r="E125" s="761">
        <v>56767500</v>
      </c>
      <c r="F125" s="761">
        <f t="shared" si="1"/>
        <v>112724200</v>
      </c>
      <c r="G125" s="67" t="s">
        <v>175</v>
      </c>
      <c r="H125" s="49"/>
      <c r="I125" s="72">
        <v>12.1</v>
      </c>
      <c r="J125" s="1135">
        <v>11448805.528317377</v>
      </c>
      <c r="K125" s="64"/>
      <c r="O125" s="626">
        <v>12.100000000000129</v>
      </c>
      <c r="P125" s="1135">
        <v>14858581.401926065</v>
      </c>
      <c r="Q125" s="1135">
        <v>14858581.401926065</v>
      </c>
    </row>
    <row r="126" spans="2:17" x14ac:dyDescent="0.25">
      <c r="B126" s="65">
        <v>12.2</v>
      </c>
      <c r="C126" s="760">
        <v>28144800</v>
      </c>
      <c r="D126" s="761">
        <v>28312500</v>
      </c>
      <c r="E126" s="761">
        <v>57263800</v>
      </c>
      <c r="F126" s="761">
        <f t="shared" si="1"/>
        <v>113721100</v>
      </c>
      <c r="G126" s="67" t="s">
        <v>175</v>
      </c>
      <c r="H126" s="49"/>
      <c r="I126" s="72">
        <v>12.2</v>
      </c>
      <c r="J126" s="1135">
        <v>11552442.466865176</v>
      </c>
      <c r="K126" s="64"/>
      <c r="O126" s="626">
        <v>12.200000000000129</v>
      </c>
      <c r="P126" s="1135">
        <v>14996553.988635836</v>
      </c>
      <c r="Q126" s="1135">
        <v>14996553.988635836</v>
      </c>
    </row>
    <row r="127" spans="2:17" x14ac:dyDescent="0.25">
      <c r="B127" s="65">
        <v>12.3</v>
      </c>
      <c r="C127" s="760">
        <v>28395300</v>
      </c>
      <c r="D127" s="761">
        <v>28562600</v>
      </c>
      <c r="E127" s="761">
        <v>57760500</v>
      </c>
      <c r="F127" s="761">
        <f t="shared" si="1"/>
        <v>114718400</v>
      </c>
      <c r="G127" s="67" t="s">
        <v>175</v>
      </c>
      <c r="H127" s="49"/>
      <c r="I127" s="72">
        <v>12.3</v>
      </c>
      <c r="J127" s="1135">
        <v>11656079.405412976</v>
      </c>
      <c r="K127" s="64"/>
      <c r="O127" s="626">
        <v>12.300000000000129</v>
      </c>
      <c r="P127" s="1135">
        <v>15134532.971859127</v>
      </c>
      <c r="Q127" s="1135">
        <v>15134532.971859127</v>
      </c>
    </row>
    <row r="128" spans="2:17" x14ac:dyDescent="0.25">
      <c r="B128" s="65">
        <v>12.4</v>
      </c>
      <c r="C128" s="760">
        <v>28645800</v>
      </c>
      <c r="D128" s="761">
        <v>28812700</v>
      </c>
      <c r="E128" s="761">
        <v>58257700</v>
      </c>
      <c r="F128" s="761">
        <f t="shared" si="1"/>
        <v>115716200</v>
      </c>
      <c r="G128" s="67" t="s">
        <v>175</v>
      </c>
      <c r="H128" s="49"/>
      <c r="I128" s="72">
        <v>12.4</v>
      </c>
      <c r="J128" s="1135">
        <v>11759716.343960775</v>
      </c>
      <c r="K128" s="64"/>
      <c r="O128" s="626">
        <v>12.400000000000128</v>
      </c>
      <c r="P128" s="1135">
        <v>15272518.351743776</v>
      </c>
      <c r="Q128" s="1135">
        <v>15272518.351743776</v>
      </c>
    </row>
    <row r="129" spans="2:17" x14ac:dyDescent="0.25">
      <c r="B129" s="65">
        <v>12.5</v>
      </c>
      <c r="C129" s="760">
        <v>28896300</v>
      </c>
      <c r="D129" s="761">
        <v>29062800</v>
      </c>
      <c r="E129" s="761">
        <v>58755300</v>
      </c>
      <c r="F129" s="761">
        <f t="shared" si="1"/>
        <v>116714400</v>
      </c>
      <c r="G129" s="67" t="s">
        <v>175</v>
      </c>
      <c r="H129" s="49"/>
      <c r="I129" s="72">
        <v>12.5</v>
      </c>
      <c r="J129" s="1135">
        <v>11863353.282508574</v>
      </c>
      <c r="K129" s="64"/>
      <c r="O129" s="626">
        <v>12.500000000000128</v>
      </c>
      <c r="P129" s="1135">
        <v>15410510.128437564</v>
      </c>
      <c r="Q129" s="1135">
        <v>15410510.128437564</v>
      </c>
    </row>
    <row r="130" spans="2:17" x14ac:dyDescent="0.25">
      <c r="B130" s="65">
        <v>12.6</v>
      </c>
      <c r="C130" s="760">
        <v>29146800</v>
      </c>
      <c r="D130" s="761">
        <v>29312900</v>
      </c>
      <c r="E130" s="761">
        <v>59253400</v>
      </c>
      <c r="F130" s="761">
        <f t="shared" si="1"/>
        <v>117713100</v>
      </c>
      <c r="G130" s="67" t="s">
        <v>175</v>
      </c>
      <c r="H130" s="49"/>
      <c r="I130" s="72">
        <v>12.6</v>
      </c>
      <c r="J130" s="1135">
        <v>11966990.221056374</v>
      </c>
      <c r="K130" s="64"/>
      <c r="O130" s="626">
        <v>12.600000000000128</v>
      </c>
      <c r="P130" s="1135">
        <v>15548508.302088285</v>
      </c>
      <c r="Q130" s="1135">
        <v>15548508.302088285</v>
      </c>
    </row>
    <row r="131" spans="2:17" x14ac:dyDescent="0.25">
      <c r="B131" s="65">
        <v>12.7</v>
      </c>
      <c r="C131" s="760">
        <v>29397300</v>
      </c>
      <c r="D131" s="761">
        <v>29563000</v>
      </c>
      <c r="E131" s="761">
        <v>59752000</v>
      </c>
      <c r="F131" s="761">
        <f t="shared" si="1"/>
        <v>118712300</v>
      </c>
      <c r="G131" s="67" t="s">
        <v>175</v>
      </c>
      <c r="H131" s="49"/>
      <c r="I131" s="72">
        <v>12.7</v>
      </c>
      <c r="J131" s="1135">
        <v>12070627.159604173</v>
      </c>
      <c r="K131" s="64"/>
      <c r="O131" s="626">
        <v>12.700000000000127</v>
      </c>
      <c r="P131" s="1135">
        <v>15686512.872843752</v>
      </c>
      <c r="Q131" s="1135">
        <v>15686512.872843752</v>
      </c>
    </row>
    <row r="132" spans="2:17" x14ac:dyDescent="0.25">
      <c r="B132" s="65">
        <v>12.8</v>
      </c>
      <c r="C132" s="760">
        <v>29647800</v>
      </c>
      <c r="D132" s="761">
        <v>29813100</v>
      </c>
      <c r="E132" s="761">
        <v>60250900</v>
      </c>
      <c r="F132" s="761">
        <f t="shared" ref="F132:F195" si="2">C132+D132+E132</f>
        <v>119711800</v>
      </c>
      <c r="G132" s="67" t="s">
        <v>175</v>
      </c>
      <c r="H132" s="49"/>
      <c r="I132" s="72">
        <v>12.8</v>
      </c>
      <c r="J132" s="1135">
        <v>12174264.098151973</v>
      </c>
      <c r="K132" s="64"/>
      <c r="O132" s="626">
        <v>12.800000000000127</v>
      </c>
      <c r="P132" s="1135">
        <v>15824523.840851756</v>
      </c>
      <c r="Q132" s="1135">
        <v>15824523.840851756</v>
      </c>
    </row>
    <row r="133" spans="2:17" x14ac:dyDescent="0.25">
      <c r="B133" s="65">
        <v>12.9</v>
      </c>
      <c r="C133" s="760">
        <v>29898300</v>
      </c>
      <c r="D133" s="761">
        <v>30063200</v>
      </c>
      <c r="E133" s="761">
        <v>60750400</v>
      </c>
      <c r="F133" s="761">
        <f t="shared" si="2"/>
        <v>120711900</v>
      </c>
      <c r="G133" s="67" t="s">
        <v>175</v>
      </c>
      <c r="H133" s="49"/>
      <c r="I133" s="72">
        <v>12.9</v>
      </c>
      <c r="J133" s="1135">
        <v>12277901.036699772</v>
      </c>
      <c r="K133" s="64"/>
      <c r="O133" s="626">
        <v>12.900000000000126</v>
      </c>
      <c r="P133" s="1135">
        <v>15962541.206260104</v>
      </c>
      <c r="Q133" s="1135">
        <v>15962541.206260104</v>
      </c>
    </row>
    <row r="134" spans="2:17" x14ac:dyDescent="0.25">
      <c r="B134" s="65">
        <v>13</v>
      </c>
      <c r="C134" s="760">
        <v>30148800</v>
      </c>
      <c r="D134" s="761">
        <v>30313300</v>
      </c>
      <c r="E134" s="761">
        <v>61250300</v>
      </c>
      <c r="F134" s="761">
        <f t="shared" si="2"/>
        <v>121712400</v>
      </c>
      <c r="G134" s="67" t="s">
        <v>175</v>
      </c>
      <c r="H134" s="49"/>
      <c r="I134" s="72">
        <v>13</v>
      </c>
      <c r="J134" s="1135">
        <v>12381537.975247577</v>
      </c>
      <c r="K134" s="64"/>
      <c r="O134" s="626">
        <v>13.000000000000126</v>
      </c>
      <c r="P134" s="1135">
        <v>16100564.969216589</v>
      </c>
      <c r="Q134" s="1135">
        <v>16100564.969216589</v>
      </c>
    </row>
    <row r="135" spans="2:17" x14ac:dyDescent="0.25">
      <c r="B135" s="65">
        <v>13.1</v>
      </c>
      <c r="C135" s="760">
        <v>30402600</v>
      </c>
      <c r="D135" s="761">
        <v>30566700</v>
      </c>
      <c r="E135" s="761">
        <v>61750600</v>
      </c>
      <c r="F135" s="761">
        <f t="shared" si="2"/>
        <v>122719900</v>
      </c>
      <c r="G135" s="67" t="s">
        <v>175</v>
      </c>
      <c r="H135" s="49"/>
      <c r="I135" s="72">
        <v>13.1</v>
      </c>
      <c r="J135" s="1135">
        <v>12485174.913795376</v>
      </c>
      <c r="K135" s="64"/>
      <c r="O135" s="626">
        <v>13.100000000000126</v>
      </c>
      <c r="P135" s="1135">
        <v>16238595.129869018</v>
      </c>
      <c r="Q135" s="1135">
        <v>16238595.129869018</v>
      </c>
    </row>
    <row r="136" spans="2:17" x14ac:dyDescent="0.25">
      <c r="B136" s="65">
        <v>13.2</v>
      </c>
      <c r="C136" s="760">
        <v>30656400</v>
      </c>
      <c r="D136" s="761">
        <v>30820100</v>
      </c>
      <c r="E136" s="761">
        <v>62251400</v>
      </c>
      <c r="F136" s="761">
        <f t="shared" si="2"/>
        <v>123727900</v>
      </c>
      <c r="G136" s="67" t="s">
        <v>175</v>
      </c>
      <c r="H136" s="49"/>
      <c r="I136" s="72">
        <v>13.2</v>
      </c>
      <c r="J136" s="1135">
        <v>12588811.852343176</v>
      </c>
      <c r="K136" s="64"/>
      <c r="O136" s="626">
        <v>13.200000000000125</v>
      </c>
      <c r="P136" s="1135">
        <v>16376631.688365186</v>
      </c>
      <c r="Q136" s="1135">
        <v>16376631.688365186</v>
      </c>
    </row>
    <row r="137" spans="2:17" x14ac:dyDescent="0.25">
      <c r="B137" s="65">
        <v>13.3</v>
      </c>
      <c r="C137" s="760">
        <v>30910200</v>
      </c>
      <c r="D137" s="761">
        <v>31073500</v>
      </c>
      <c r="E137" s="761">
        <v>62752600</v>
      </c>
      <c r="F137" s="761">
        <f t="shared" si="2"/>
        <v>124736300</v>
      </c>
      <c r="G137" s="67" t="s">
        <v>175</v>
      </c>
      <c r="H137" s="49"/>
      <c r="I137" s="72">
        <v>13.3</v>
      </c>
      <c r="J137" s="1135">
        <v>12692448.790890975</v>
      </c>
      <c r="K137" s="64"/>
      <c r="O137" s="626">
        <v>13.300000000000125</v>
      </c>
      <c r="P137" s="1135">
        <v>16514674.644852897</v>
      </c>
      <c r="Q137" s="1135">
        <v>16514674.644852897</v>
      </c>
    </row>
    <row r="138" spans="2:17" x14ac:dyDescent="0.25">
      <c r="B138" s="65">
        <v>13.4</v>
      </c>
      <c r="C138" s="760">
        <v>31164000</v>
      </c>
      <c r="D138" s="761">
        <v>31326900</v>
      </c>
      <c r="E138" s="761">
        <v>63254300</v>
      </c>
      <c r="F138" s="761">
        <f t="shared" si="2"/>
        <v>125745200</v>
      </c>
      <c r="G138" s="67" t="s">
        <v>175</v>
      </c>
      <c r="H138" s="49"/>
      <c r="I138" s="72">
        <v>13.4</v>
      </c>
      <c r="J138" s="1135">
        <v>12796085.729438774</v>
      </c>
      <c r="K138" s="64"/>
      <c r="O138" s="626">
        <v>13.400000000000125</v>
      </c>
      <c r="P138" s="1135">
        <v>16652723.999479948</v>
      </c>
      <c r="Q138" s="1135">
        <v>16652723.999479948</v>
      </c>
    </row>
    <row r="139" spans="2:17" x14ac:dyDescent="0.25">
      <c r="B139" s="65">
        <v>13.5</v>
      </c>
      <c r="C139" s="760">
        <v>31417800</v>
      </c>
      <c r="D139" s="761">
        <v>31580300</v>
      </c>
      <c r="E139" s="761">
        <v>63756500</v>
      </c>
      <c r="F139" s="761">
        <f t="shared" si="2"/>
        <v>126754600</v>
      </c>
      <c r="G139" s="67" t="s">
        <v>175</v>
      </c>
      <c r="H139" s="49"/>
      <c r="I139" s="72">
        <v>13.5</v>
      </c>
      <c r="J139" s="1135">
        <v>12899722.667986574</v>
      </c>
      <c r="K139" s="64"/>
      <c r="O139" s="626">
        <v>13.500000000000124</v>
      </c>
      <c r="P139" s="1135">
        <v>16790779.752394136</v>
      </c>
      <c r="Q139" s="1135">
        <v>16790779.752394136</v>
      </c>
    </row>
    <row r="140" spans="2:17" x14ac:dyDescent="0.25">
      <c r="B140" s="65">
        <v>13.6</v>
      </c>
      <c r="C140" s="760">
        <v>31671600</v>
      </c>
      <c r="D140" s="761">
        <v>31833700</v>
      </c>
      <c r="E140" s="761">
        <v>64259000</v>
      </c>
      <c r="F140" s="761">
        <f t="shared" si="2"/>
        <v>127764300</v>
      </c>
      <c r="G140" s="67" t="s">
        <v>175</v>
      </c>
      <c r="H140" s="49"/>
      <c r="I140" s="72">
        <v>13.6</v>
      </c>
      <c r="J140" s="1135">
        <v>13003359.606534373</v>
      </c>
      <c r="K140" s="64"/>
      <c r="O140" s="626">
        <v>13.600000000000124</v>
      </c>
      <c r="P140" s="1135">
        <v>16928841.903743267</v>
      </c>
      <c r="Q140" s="1135">
        <v>16928841.903743267</v>
      </c>
    </row>
    <row r="141" spans="2:17" x14ac:dyDescent="0.25">
      <c r="B141" s="65">
        <v>13.7</v>
      </c>
      <c r="C141" s="760">
        <v>31925400</v>
      </c>
      <c r="D141" s="761">
        <v>32087100</v>
      </c>
      <c r="E141" s="761">
        <v>64762100</v>
      </c>
      <c r="F141" s="761">
        <f t="shared" si="2"/>
        <v>128774600</v>
      </c>
      <c r="G141" s="67" t="s">
        <v>175</v>
      </c>
      <c r="H141" s="49"/>
      <c r="I141" s="72">
        <v>13.7</v>
      </c>
      <c r="J141" s="1135">
        <v>13106996.545082172</v>
      </c>
      <c r="K141" s="64"/>
      <c r="O141" s="626">
        <v>13.700000000000124</v>
      </c>
      <c r="P141" s="1135">
        <v>17066910.45367514</v>
      </c>
      <c r="Q141" s="1135">
        <v>17066910.45367514</v>
      </c>
    </row>
    <row r="142" spans="2:17" x14ac:dyDescent="0.25">
      <c r="B142" s="65">
        <v>13.8</v>
      </c>
      <c r="C142" s="760">
        <v>32179200</v>
      </c>
      <c r="D142" s="761">
        <v>32340500</v>
      </c>
      <c r="E142" s="761">
        <v>65265600</v>
      </c>
      <c r="F142" s="761">
        <f t="shared" si="2"/>
        <v>129785300</v>
      </c>
      <c r="G142" s="67" t="s">
        <v>175</v>
      </c>
      <c r="H142" s="49"/>
      <c r="I142" s="72">
        <v>13.8</v>
      </c>
      <c r="J142" s="1135">
        <v>13210633.483629972</v>
      </c>
      <c r="K142" s="64"/>
      <c r="O142" s="626">
        <v>13.800000000000123</v>
      </c>
      <c r="P142" s="1135">
        <v>17204985.402337547</v>
      </c>
      <c r="Q142" s="1135">
        <v>17204985.402337547</v>
      </c>
    </row>
    <row r="143" spans="2:17" x14ac:dyDescent="0.25">
      <c r="B143" s="65">
        <v>13.9</v>
      </c>
      <c r="C143" s="760">
        <v>32433000</v>
      </c>
      <c r="D143" s="761">
        <v>32593900</v>
      </c>
      <c r="E143" s="761">
        <v>65769500</v>
      </c>
      <c r="F143" s="761">
        <f t="shared" si="2"/>
        <v>130796400</v>
      </c>
      <c r="G143" s="67" t="s">
        <v>175</v>
      </c>
      <c r="H143" s="49"/>
      <c r="I143" s="72">
        <v>13.9</v>
      </c>
      <c r="J143" s="1135">
        <v>13314270.422177771</v>
      </c>
      <c r="K143" s="64"/>
      <c r="O143" s="626">
        <v>13.900000000000123</v>
      </c>
      <c r="P143" s="1135">
        <v>17343066.749878306</v>
      </c>
      <c r="Q143" s="1135">
        <v>17343066.749878306</v>
      </c>
    </row>
    <row r="144" spans="2:17" x14ac:dyDescent="0.25">
      <c r="B144" s="65">
        <v>14</v>
      </c>
      <c r="C144" s="760">
        <v>32686800</v>
      </c>
      <c r="D144" s="761">
        <v>32847300</v>
      </c>
      <c r="E144" s="761">
        <v>66273900</v>
      </c>
      <c r="F144" s="761">
        <f t="shared" si="2"/>
        <v>131808000</v>
      </c>
      <c r="G144" s="67" t="s">
        <v>175</v>
      </c>
      <c r="H144" s="49"/>
      <c r="I144" s="72">
        <v>14</v>
      </c>
      <c r="J144" s="1135">
        <v>13417907.360725576</v>
      </c>
      <c r="K144" s="64"/>
      <c r="O144" s="626">
        <v>14.000000000000123</v>
      </c>
      <c r="P144" s="1135">
        <v>17481154.496445198</v>
      </c>
      <c r="Q144" s="1135">
        <v>17481154.496445198</v>
      </c>
    </row>
    <row r="145" spans="2:17" x14ac:dyDescent="0.25">
      <c r="B145" s="65">
        <v>14.1</v>
      </c>
      <c r="C145" s="760">
        <v>32943900</v>
      </c>
      <c r="D145" s="761">
        <v>33104000</v>
      </c>
      <c r="E145" s="761">
        <v>66778800</v>
      </c>
      <c r="F145" s="761">
        <f t="shared" si="2"/>
        <v>132826700</v>
      </c>
      <c r="G145" s="67" t="s">
        <v>175</v>
      </c>
      <c r="H145" s="49"/>
      <c r="I145" s="72">
        <v>14.1</v>
      </c>
      <c r="J145" s="1135">
        <v>13521544.299273375</v>
      </c>
      <c r="K145" s="64"/>
      <c r="O145" s="626">
        <v>14.100000000000122</v>
      </c>
      <c r="P145" s="1135">
        <v>17619248.642186034</v>
      </c>
      <c r="Q145" s="1135">
        <v>17619248.642186034</v>
      </c>
    </row>
    <row r="146" spans="2:17" x14ac:dyDescent="0.25">
      <c r="B146" s="65">
        <v>14.2</v>
      </c>
      <c r="C146" s="760">
        <v>33201000</v>
      </c>
      <c r="D146" s="761">
        <v>33360700</v>
      </c>
      <c r="E146" s="761">
        <v>67284100</v>
      </c>
      <c r="F146" s="761">
        <f t="shared" si="2"/>
        <v>133845800</v>
      </c>
      <c r="G146" s="67" t="s">
        <v>175</v>
      </c>
      <c r="H146" s="49"/>
      <c r="I146" s="72">
        <v>14.2</v>
      </c>
      <c r="J146" s="1135">
        <v>13625181.237821175</v>
      </c>
      <c r="K146" s="64"/>
      <c r="O146" s="626">
        <v>14.200000000000122</v>
      </c>
      <c r="P146" s="1135">
        <v>17757349.18724861</v>
      </c>
      <c r="Q146" s="1135">
        <v>17757349.18724861</v>
      </c>
    </row>
    <row r="147" spans="2:17" x14ac:dyDescent="0.25">
      <c r="B147" s="65">
        <v>14.3</v>
      </c>
      <c r="C147" s="760">
        <v>33458100</v>
      </c>
      <c r="D147" s="761">
        <v>33617400</v>
      </c>
      <c r="E147" s="761">
        <v>67789800</v>
      </c>
      <c r="F147" s="761">
        <f t="shared" si="2"/>
        <v>134865300</v>
      </c>
      <c r="G147" s="67" t="s">
        <v>175</v>
      </c>
      <c r="H147" s="49"/>
      <c r="I147" s="72">
        <v>14.3</v>
      </c>
      <c r="J147" s="1135">
        <v>13728818.176368974</v>
      </c>
      <c r="K147" s="64"/>
      <c r="O147" s="626">
        <v>14.300000000000122</v>
      </c>
      <c r="P147" s="1135">
        <v>17895456.131780729</v>
      </c>
      <c r="Q147" s="1135">
        <v>17895456.131780729</v>
      </c>
    </row>
    <row r="148" spans="2:17" x14ac:dyDescent="0.25">
      <c r="B148" s="65">
        <v>14.4</v>
      </c>
      <c r="C148" s="760">
        <v>33715200</v>
      </c>
      <c r="D148" s="761">
        <v>33874100</v>
      </c>
      <c r="E148" s="761">
        <v>68296000</v>
      </c>
      <c r="F148" s="761">
        <f t="shared" si="2"/>
        <v>135885300</v>
      </c>
      <c r="G148" s="67" t="s">
        <v>175</v>
      </c>
      <c r="H148" s="49"/>
      <c r="I148" s="72">
        <v>14.4</v>
      </c>
      <c r="J148" s="1135">
        <v>13832455.114916774</v>
      </c>
      <c r="K148" s="64"/>
      <c r="O148" s="626">
        <v>14.400000000000121</v>
      </c>
      <c r="P148" s="1135">
        <v>18033569.475930188</v>
      </c>
      <c r="Q148" s="1135">
        <v>18033569.475930188</v>
      </c>
    </row>
    <row r="149" spans="2:17" x14ac:dyDescent="0.25">
      <c r="B149" s="65">
        <v>14.5</v>
      </c>
      <c r="C149" s="760">
        <v>33972300</v>
      </c>
      <c r="D149" s="761">
        <v>34130800</v>
      </c>
      <c r="E149" s="761">
        <v>68102700</v>
      </c>
      <c r="F149" s="761">
        <f t="shared" si="2"/>
        <v>136205800</v>
      </c>
      <c r="G149" s="67" t="s">
        <v>175</v>
      </c>
      <c r="H149" s="49"/>
      <c r="I149" s="72">
        <v>14.5</v>
      </c>
      <c r="J149" s="1135">
        <v>13936092.053464573</v>
      </c>
      <c r="K149" s="64"/>
      <c r="O149" s="626">
        <v>14.500000000000121</v>
      </c>
      <c r="P149" s="1135">
        <v>18171689.219844785</v>
      </c>
      <c r="Q149" s="1135">
        <v>18171689.219844785</v>
      </c>
    </row>
    <row r="150" spans="2:17" x14ac:dyDescent="0.25">
      <c r="B150" s="65">
        <v>14.6</v>
      </c>
      <c r="C150" s="760">
        <v>34229400</v>
      </c>
      <c r="D150" s="761">
        <v>34387500</v>
      </c>
      <c r="E150" s="761">
        <v>69309800</v>
      </c>
      <c r="F150" s="761">
        <f t="shared" si="2"/>
        <v>137926700</v>
      </c>
      <c r="G150" s="67" t="s">
        <v>175</v>
      </c>
      <c r="H150" s="49"/>
      <c r="I150" s="72">
        <v>14.6</v>
      </c>
      <c r="J150" s="1135">
        <v>14039728.992012372</v>
      </c>
      <c r="K150" s="64"/>
      <c r="O150" s="626">
        <v>14.60000000000012</v>
      </c>
      <c r="P150" s="1135">
        <v>18309815.36367232</v>
      </c>
      <c r="Q150" s="1135">
        <v>18309815.36367232</v>
      </c>
    </row>
    <row r="151" spans="2:17" x14ac:dyDescent="0.25">
      <c r="B151" s="65">
        <v>14.7</v>
      </c>
      <c r="C151" s="760">
        <v>34486500</v>
      </c>
      <c r="D151" s="761">
        <v>34644200</v>
      </c>
      <c r="E151" s="761">
        <v>69817400</v>
      </c>
      <c r="F151" s="761">
        <f t="shared" si="2"/>
        <v>138948100</v>
      </c>
      <c r="G151" s="67" t="s">
        <v>175</v>
      </c>
      <c r="H151" s="49"/>
      <c r="I151" s="72">
        <v>14.7</v>
      </c>
      <c r="J151" s="1135">
        <v>14143365.930560172</v>
      </c>
      <c r="K151" s="64"/>
      <c r="O151" s="626">
        <v>14.70000000000012</v>
      </c>
      <c r="P151" s="1135">
        <v>18447947.907560602</v>
      </c>
      <c r="Q151" s="1135">
        <v>18447947.907560602</v>
      </c>
    </row>
    <row r="152" spans="2:17" x14ac:dyDescent="0.25">
      <c r="B152" s="65">
        <v>14.8</v>
      </c>
      <c r="C152" s="760">
        <v>34743600</v>
      </c>
      <c r="D152" s="761">
        <v>34900900</v>
      </c>
      <c r="E152" s="761">
        <v>70325400</v>
      </c>
      <c r="F152" s="761">
        <f t="shared" si="2"/>
        <v>139969900</v>
      </c>
      <c r="G152" s="67" t="s">
        <v>175</v>
      </c>
      <c r="H152" s="49"/>
      <c r="I152" s="72">
        <v>14.8</v>
      </c>
      <c r="J152" s="1135">
        <v>14247002.869107971</v>
      </c>
      <c r="K152" s="64"/>
      <c r="O152" s="626">
        <v>14.80000000000012</v>
      </c>
      <c r="P152" s="1135">
        <v>18586086.851657424</v>
      </c>
      <c r="Q152" s="1135">
        <v>18586086.851657424</v>
      </c>
    </row>
    <row r="153" spans="2:17" x14ac:dyDescent="0.25">
      <c r="B153" s="65">
        <v>14.9</v>
      </c>
      <c r="C153" s="760">
        <v>35000700</v>
      </c>
      <c r="D153" s="761">
        <v>35157600</v>
      </c>
      <c r="E153" s="761">
        <v>70833900</v>
      </c>
      <c r="F153" s="761">
        <f t="shared" si="2"/>
        <v>140992200</v>
      </c>
      <c r="G153" s="67" t="s">
        <v>175</v>
      </c>
      <c r="H153" s="49"/>
      <c r="I153" s="72">
        <v>14.9</v>
      </c>
      <c r="J153" s="1135">
        <v>14350639.80765577</v>
      </c>
      <c r="K153" s="64"/>
      <c r="O153" s="626">
        <v>14.900000000000119</v>
      </c>
      <c r="P153" s="1135">
        <v>18724232.196110584</v>
      </c>
      <c r="Q153" s="1135">
        <v>18724232.196110584</v>
      </c>
    </row>
    <row r="154" spans="2:17" x14ac:dyDescent="0.25">
      <c r="B154" s="65">
        <v>15</v>
      </c>
      <c r="C154" s="760">
        <v>35257800</v>
      </c>
      <c r="D154" s="761">
        <v>35414300</v>
      </c>
      <c r="E154" s="761">
        <v>71342800</v>
      </c>
      <c r="F154" s="761">
        <f t="shared" si="2"/>
        <v>142014900</v>
      </c>
      <c r="G154" s="67" t="s">
        <v>175</v>
      </c>
      <c r="H154" s="49"/>
      <c r="I154" s="72">
        <v>15</v>
      </c>
      <c r="J154" s="1135">
        <v>14454276.746203575</v>
      </c>
      <c r="K154" s="64"/>
      <c r="O154" s="626">
        <v>15.000000000000119</v>
      </c>
      <c r="P154" s="1135">
        <v>18862383.941067889</v>
      </c>
      <c r="Q154" s="1135">
        <v>18862383.941067889</v>
      </c>
    </row>
    <row r="155" spans="2:17" x14ac:dyDescent="0.25">
      <c r="B155" s="65">
        <v>15.1</v>
      </c>
      <c r="C155" s="760">
        <v>35518200</v>
      </c>
      <c r="D155" s="761">
        <v>35674300</v>
      </c>
      <c r="E155" s="761">
        <v>71852200</v>
      </c>
      <c r="F155" s="761">
        <f t="shared" si="2"/>
        <v>143044700</v>
      </c>
      <c r="G155" s="67" t="s">
        <v>175</v>
      </c>
      <c r="H155" s="49"/>
      <c r="I155" s="72">
        <v>15.1</v>
      </c>
      <c r="J155" s="1135">
        <v>14557913.684751375</v>
      </c>
      <c r="K155" s="64"/>
      <c r="O155" s="626">
        <v>15.100000000000119</v>
      </c>
      <c r="P155" s="1135">
        <v>19000542.086677134</v>
      </c>
      <c r="Q155" s="1135">
        <v>19000542.086677134</v>
      </c>
    </row>
    <row r="156" spans="2:17" x14ac:dyDescent="0.25">
      <c r="B156" s="65">
        <v>15.2</v>
      </c>
      <c r="C156" s="760">
        <v>35778600</v>
      </c>
      <c r="D156" s="761">
        <v>35934300</v>
      </c>
      <c r="E156" s="761">
        <v>72362100</v>
      </c>
      <c r="F156" s="761">
        <f t="shared" si="2"/>
        <v>144075000</v>
      </c>
      <c r="G156" s="67" t="s">
        <v>175</v>
      </c>
      <c r="H156" s="49"/>
      <c r="I156" s="72">
        <v>15.2</v>
      </c>
      <c r="J156" s="1135">
        <v>14661550.623299174</v>
      </c>
      <c r="K156" s="64"/>
      <c r="O156" s="626">
        <v>15.200000000000118</v>
      </c>
      <c r="P156" s="1135">
        <v>19138706.633086119</v>
      </c>
      <c r="Q156" s="1135">
        <v>19138706.633086119</v>
      </c>
    </row>
    <row r="157" spans="2:17" x14ac:dyDescent="0.25">
      <c r="B157" s="65">
        <v>15.3</v>
      </c>
      <c r="C157" s="760">
        <v>36039000</v>
      </c>
      <c r="D157" s="761">
        <v>36194300</v>
      </c>
      <c r="E157" s="761">
        <v>72872400</v>
      </c>
      <c r="F157" s="761">
        <f t="shared" si="2"/>
        <v>145105700</v>
      </c>
      <c r="G157" s="67" t="s">
        <v>175</v>
      </c>
      <c r="H157" s="49"/>
      <c r="I157" s="72">
        <v>15.3</v>
      </c>
      <c r="J157" s="1135">
        <v>14765187.561846973</v>
      </c>
      <c r="K157" s="64"/>
      <c r="O157" s="626">
        <v>15.300000000000118</v>
      </c>
      <c r="P157" s="1135">
        <v>19276877.580442641</v>
      </c>
      <c r="Q157" s="1135">
        <v>19276877.580442641</v>
      </c>
    </row>
    <row r="158" spans="2:17" x14ac:dyDescent="0.25">
      <c r="B158" s="65">
        <v>15.4</v>
      </c>
      <c r="C158" s="760">
        <v>36299400</v>
      </c>
      <c r="D158" s="761">
        <v>36454300</v>
      </c>
      <c r="E158" s="761">
        <v>73383100</v>
      </c>
      <c r="F158" s="761">
        <f t="shared" si="2"/>
        <v>146136800</v>
      </c>
      <c r="G158" s="67" t="s">
        <v>175</v>
      </c>
      <c r="H158" s="49"/>
      <c r="I158" s="72">
        <v>15.4</v>
      </c>
      <c r="J158" s="1135">
        <v>14868824.500394773</v>
      </c>
      <c r="K158" s="64"/>
      <c r="O158" s="626">
        <v>15.400000000000118</v>
      </c>
      <c r="P158" s="1135">
        <v>19415054.928894505</v>
      </c>
      <c r="Q158" s="1135">
        <v>19415054.928894505</v>
      </c>
    </row>
    <row r="159" spans="2:17" x14ac:dyDescent="0.25">
      <c r="B159" s="65">
        <v>15.5</v>
      </c>
      <c r="C159" s="760">
        <v>36559800</v>
      </c>
      <c r="D159" s="761">
        <v>36714300</v>
      </c>
      <c r="E159" s="761">
        <v>73894300</v>
      </c>
      <c r="F159" s="761">
        <f t="shared" si="2"/>
        <v>147168400</v>
      </c>
      <c r="G159" s="67" t="s">
        <v>175</v>
      </c>
      <c r="H159" s="49"/>
      <c r="I159" s="72">
        <v>15.5</v>
      </c>
      <c r="J159" s="1135">
        <v>14972461.438942572</v>
      </c>
      <c r="K159" s="64"/>
      <c r="O159" s="626">
        <v>15.500000000000117</v>
      </c>
      <c r="P159" s="1135">
        <v>19553238.678589515</v>
      </c>
      <c r="Q159" s="1135">
        <v>19553238.678589515</v>
      </c>
    </row>
    <row r="160" spans="2:17" x14ac:dyDescent="0.25">
      <c r="B160" s="65">
        <v>15.6</v>
      </c>
      <c r="C160" s="760">
        <v>36820200</v>
      </c>
      <c r="D160" s="761">
        <v>36974300</v>
      </c>
      <c r="E160" s="761">
        <v>74406000</v>
      </c>
      <c r="F160" s="761">
        <f t="shared" si="2"/>
        <v>148200500</v>
      </c>
      <c r="G160" s="67" t="s">
        <v>175</v>
      </c>
      <c r="H160" s="49"/>
      <c r="I160" s="72">
        <v>15.6</v>
      </c>
      <c r="J160" s="1135">
        <v>15076098.377490371</v>
      </c>
      <c r="K160" s="64"/>
      <c r="O160" s="626">
        <v>15.600000000000117</v>
      </c>
      <c r="P160" s="1135">
        <v>19691428.829675462</v>
      </c>
      <c r="Q160" s="1135">
        <v>19691428.829675462</v>
      </c>
    </row>
    <row r="161" spans="2:17" x14ac:dyDescent="0.25">
      <c r="B161" s="65">
        <v>15.7</v>
      </c>
      <c r="C161" s="760">
        <v>37080600</v>
      </c>
      <c r="D161" s="761">
        <v>36234300</v>
      </c>
      <c r="E161" s="761">
        <v>74918100</v>
      </c>
      <c r="F161" s="761">
        <f t="shared" si="2"/>
        <v>148233000</v>
      </c>
      <c r="G161" s="67" t="s">
        <v>175</v>
      </c>
      <c r="H161" s="49"/>
      <c r="I161" s="72">
        <v>15.7</v>
      </c>
      <c r="J161" s="1135">
        <v>15179735.316038171</v>
      </c>
      <c r="K161" s="64"/>
      <c r="O161" s="626">
        <v>15.700000000000117</v>
      </c>
      <c r="P161" s="1135">
        <v>19829625.382300157</v>
      </c>
      <c r="Q161" s="1135">
        <v>19829625.382300157</v>
      </c>
    </row>
    <row r="162" spans="2:17" x14ac:dyDescent="0.25">
      <c r="B162" s="65">
        <v>15.8</v>
      </c>
      <c r="C162" s="760">
        <v>37341000</v>
      </c>
      <c r="D162" s="761">
        <v>37494300</v>
      </c>
      <c r="E162" s="761">
        <v>75430600</v>
      </c>
      <c r="F162" s="761">
        <f t="shared" si="2"/>
        <v>150265900</v>
      </c>
      <c r="G162" s="67" t="s">
        <v>175</v>
      </c>
      <c r="H162" s="49"/>
      <c r="I162" s="72">
        <v>15.8</v>
      </c>
      <c r="J162" s="1135">
        <v>15283372.25458597</v>
      </c>
      <c r="K162" s="64"/>
      <c r="O162" s="626">
        <v>15.800000000000116</v>
      </c>
      <c r="P162" s="1135">
        <v>19967828.336611383</v>
      </c>
      <c r="Q162" s="1135">
        <v>19967828.336611383</v>
      </c>
    </row>
    <row r="163" spans="2:17" x14ac:dyDescent="0.25">
      <c r="B163" s="65">
        <v>15.9</v>
      </c>
      <c r="C163" s="760">
        <v>37601400</v>
      </c>
      <c r="D163" s="761">
        <v>37754300</v>
      </c>
      <c r="E163" s="761">
        <v>75943700</v>
      </c>
      <c r="F163" s="761">
        <f t="shared" si="2"/>
        <v>151299400</v>
      </c>
      <c r="G163" s="67" t="s">
        <v>175</v>
      </c>
      <c r="H163" s="49"/>
      <c r="I163" s="72">
        <v>15.9</v>
      </c>
      <c r="J163" s="1135">
        <v>15387009.19313377</v>
      </c>
      <c r="K163" s="64"/>
      <c r="O163" s="626">
        <v>15.900000000000116</v>
      </c>
      <c r="P163" s="1135">
        <v>20106037.692756951</v>
      </c>
      <c r="Q163" s="1135">
        <v>20106037.692756951</v>
      </c>
    </row>
    <row r="164" spans="2:17" x14ac:dyDescent="0.25">
      <c r="B164" s="65">
        <v>16</v>
      </c>
      <c r="C164" s="760">
        <v>37861800</v>
      </c>
      <c r="D164" s="761">
        <v>38014300</v>
      </c>
      <c r="E164" s="761">
        <v>76457200</v>
      </c>
      <c r="F164" s="761">
        <f t="shared" si="2"/>
        <v>152333300</v>
      </c>
      <c r="G164" s="67" t="s">
        <v>175</v>
      </c>
      <c r="H164" s="49"/>
      <c r="I164" s="72">
        <v>16</v>
      </c>
      <c r="J164" s="1135">
        <v>15490646.131681576</v>
      </c>
      <c r="K164" s="64"/>
      <c r="O164" s="626">
        <v>16.000000000000114</v>
      </c>
      <c r="P164" s="1135">
        <v>20244253.450884666</v>
      </c>
      <c r="Q164" s="1135">
        <v>20244253.450884666</v>
      </c>
    </row>
    <row r="165" spans="2:17" x14ac:dyDescent="0.25">
      <c r="B165" s="65">
        <v>16.100000000000001</v>
      </c>
      <c r="C165" s="760">
        <v>38125500</v>
      </c>
      <c r="D165" s="761">
        <v>38277600</v>
      </c>
      <c r="E165" s="761">
        <v>76971100</v>
      </c>
      <c r="F165" s="761">
        <f t="shared" si="2"/>
        <v>153374200</v>
      </c>
      <c r="G165" s="67" t="s">
        <v>175</v>
      </c>
      <c r="H165" s="49"/>
      <c r="I165" s="72">
        <v>16.100000000000001</v>
      </c>
      <c r="J165" s="1135">
        <v>15594283.070229376</v>
      </c>
      <c r="K165" s="64"/>
      <c r="O165" s="626">
        <v>16.100000000000115</v>
      </c>
      <c r="P165" s="1135">
        <v>20382475.611142326</v>
      </c>
      <c r="Q165" s="1135">
        <v>20382475.611142326</v>
      </c>
    </row>
    <row r="166" spans="2:17" x14ac:dyDescent="0.25">
      <c r="B166" s="65">
        <v>16.2</v>
      </c>
      <c r="C166" s="760">
        <v>38389200</v>
      </c>
      <c r="D166" s="761">
        <v>38540900</v>
      </c>
      <c r="E166" s="761">
        <v>77485500</v>
      </c>
      <c r="F166" s="761">
        <f t="shared" si="2"/>
        <v>154415600</v>
      </c>
      <c r="G166" s="67" t="s">
        <v>175</v>
      </c>
      <c r="H166" s="49"/>
      <c r="I166" s="72">
        <v>16.2</v>
      </c>
      <c r="J166" s="1135">
        <v>15697920.008777175</v>
      </c>
      <c r="K166" s="64"/>
      <c r="O166" s="626">
        <v>16.200000000000117</v>
      </c>
      <c r="P166" s="1135">
        <v>20520704.173677724</v>
      </c>
      <c r="Q166" s="1135">
        <v>20520704.173677724</v>
      </c>
    </row>
    <row r="167" spans="2:17" x14ac:dyDescent="0.25">
      <c r="B167" s="65">
        <v>16.3</v>
      </c>
      <c r="C167" s="760">
        <v>38652900</v>
      </c>
      <c r="D167" s="761">
        <v>38804200</v>
      </c>
      <c r="E167" s="761">
        <v>78000300</v>
      </c>
      <c r="F167" s="761">
        <f t="shared" si="2"/>
        <v>155457400</v>
      </c>
      <c r="G167" s="67" t="s">
        <v>175</v>
      </c>
      <c r="H167" s="49"/>
      <c r="I167" s="72">
        <v>16.3</v>
      </c>
      <c r="J167" s="1135">
        <v>15801556.947324974</v>
      </c>
      <c r="K167" s="64"/>
      <c r="O167" s="626">
        <v>16.300000000000114</v>
      </c>
      <c r="P167" s="1135">
        <v>20658939.138638657</v>
      </c>
      <c r="Q167" s="1135">
        <v>20658939.138638657</v>
      </c>
    </row>
    <row r="168" spans="2:17" x14ac:dyDescent="0.25">
      <c r="B168" s="65">
        <v>16.399999999999999</v>
      </c>
      <c r="C168" s="760">
        <v>38916600</v>
      </c>
      <c r="D168" s="761">
        <v>39067500</v>
      </c>
      <c r="E168" s="761">
        <v>78515600</v>
      </c>
      <c r="F168" s="761">
        <f t="shared" si="2"/>
        <v>156499700</v>
      </c>
      <c r="G168" s="67" t="s">
        <v>175</v>
      </c>
      <c r="H168" s="49"/>
      <c r="I168" s="72">
        <v>16.399999999999999</v>
      </c>
      <c r="J168" s="1135">
        <v>15905193.885872774</v>
      </c>
      <c r="K168" s="64"/>
      <c r="O168" s="626">
        <v>16.400000000000112</v>
      </c>
      <c r="P168" s="1135">
        <v>20797180.506172936</v>
      </c>
      <c r="Q168" s="1135">
        <v>20797180.506172936</v>
      </c>
    </row>
    <row r="169" spans="2:17" x14ac:dyDescent="0.25">
      <c r="B169" s="65">
        <v>16.5</v>
      </c>
      <c r="C169" s="760">
        <v>39180300</v>
      </c>
      <c r="D169" s="761">
        <v>39330800</v>
      </c>
      <c r="E169" s="761">
        <v>79031400</v>
      </c>
      <c r="F169" s="761">
        <f t="shared" si="2"/>
        <v>157542500</v>
      </c>
      <c r="G169" s="67" t="s">
        <v>175</v>
      </c>
      <c r="H169" s="49"/>
      <c r="I169" s="72">
        <v>16.5</v>
      </c>
      <c r="J169" s="1135">
        <v>16008830.824420573</v>
      </c>
      <c r="K169" s="64"/>
      <c r="O169" s="626">
        <v>16.500000000000114</v>
      </c>
      <c r="P169" s="1135">
        <v>20935428.276428353</v>
      </c>
      <c r="Q169" s="1135">
        <v>20935428.276428353</v>
      </c>
    </row>
    <row r="170" spans="2:17" x14ac:dyDescent="0.25">
      <c r="B170" s="65">
        <v>16.600000000000001</v>
      </c>
      <c r="C170" s="760">
        <v>39444000</v>
      </c>
      <c r="D170" s="761">
        <v>39594100</v>
      </c>
      <c r="E170" s="761">
        <v>79547600</v>
      </c>
      <c r="F170" s="761">
        <f t="shared" si="2"/>
        <v>158585700</v>
      </c>
      <c r="G170" s="67" t="s">
        <v>175</v>
      </c>
      <c r="H170" s="49"/>
      <c r="I170" s="72">
        <v>16.600000000000001</v>
      </c>
      <c r="J170" s="1135">
        <v>16112467.762968373</v>
      </c>
      <c r="K170" s="64"/>
      <c r="O170" s="626">
        <v>16.600000000000115</v>
      </c>
      <c r="P170" s="1135">
        <v>21073682.449552715</v>
      </c>
      <c r="Q170" s="1135">
        <v>21073682.449552715</v>
      </c>
    </row>
    <row r="171" spans="2:17" x14ac:dyDescent="0.25">
      <c r="B171" s="65">
        <v>16.7</v>
      </c>
      <c r="C171" s="760">
        <v>39707700</v>
      </c>
      <c r="D171" s="761">
        <v>39857400</v>
      </c>
      <c r="E171" s="761">
        <v>80064300</v>
      </c>
      <c r="F171" s="761">
        <f t="shared" si="2"/>
        <v>159629400</v>
      </c>
      <c r="G171" s="67" t="s">
        <v>175</v>
      </c>
      <c r="H171" s="49"/>
      <c r="I171" s="72">
        <v>16.7</v>
      </c>
      <c r="J171" s="1135">
        <v>16216104.701516172</v>
      </c>
      <c r="K171" s="64"/>
      <c r="O171" s="626">
        <v>16.700000000000113</v>
      </c>
      <c r="P171" s="1135">
        <v>21211943.025693819</v>
      </c>
      <c r="Q171" s="1135">
        <v>21211943.025693819</v>
      </c>
    </row>
    <row r="172" spans="2:17" x14ac:dyDescent="0.25">
      <c r="B172" s="65">
        <v>16.8</v>
      </c>
      <c r="C172" s="760">
        <v>39971400</v>
      </c>
      <c r="D172" s="761">
        <v>40120700</v>
      </c>
      <c r="E172" s="761">
        <v>80581500</v>
      </c>
      <c r="F172" s="761">
        <f t="shared" si="2"/>
        <v>160673600</v>
      </c>
      <c r="G172" s="67" t="s">
        <v>175</v>
      </c>
      <c r="H172" s="49"/>
      <c r="I172" s="72">
        <v>16.8</v>
      </c>
      <c r="J172" s="1135">
        <v>16319741.640063971</v>
      </c>
      <c r="K172" s="64"/>
      <c r="O172" s="626">
        <v>16.800000000000111</v>
      </c>
      <c r="P172" s="1135">
        <v>21350210.004999463</v>
      </c>
      <c r="Q172" s="1135">
        <v>21350210.004999463</v>
      </c>
    </row>
    <row r="173" spans="2:17" x14ac:dyDescent="0.25">
      <c r="B173" s="65">
        <v>16.899999999999999</v>
      </c>
      <c r="C173" s="760">
        <v>40235100</v>
      </c>
      <c r="D173" s="761">
        <v>40384000</v>
      </c>
      <c r="E173" s="761">
        <v>81099000</v>
      </c>
      <c r="F173" s="761">
        <f t="shared" si="2"/>
        <v>161718100</v>
      </c>
      <c r="G173" s="67" t="s">
        <v>175</v>
      </c>
      <c r="H173" s="49"/>
      <c r="I173" s="72">
        <v>16.899999999999999</v>
      </c>
      <c r="J173" s="1135">
        <v>16423378.578611771</v>
      </c>
      <c r="K173" s="64"/>
      <c r="O173" s="626">
        <v>16.900000000000112</v>
      </c>
      <c r="P173" s="1135">
        <v>21488483.38761745</v>
      </c>
      <c r="Q173" s="1135">
        <v>21488483.38761745</v>
      </c>
    </row>
    <row r="174" spans="2:17" x14ac:dyDescent="0.25">
      <c r="B174" s="65">
        <v>17</v>
      </c>
      <c r="C174" s="760">
        <v>40498800</v>
      </c>
      <c r="D174" s="761">
        <v>40647300</v>
      </c>
      <c r="E174" s="761">
        <v>81617100</v>
      </c>
      <c r="F174" s="761">
        <f t="shared" si="2"/>
        <v>162763200</v>
      </c>
      <c r="G174" s="67" t="s">
        <v>175</v>
      </c>
      <c r="H174" s="49"/>
      <c r="I174" s="72">
        <v>17</v>
      </c>
      <c r="J174" s="1135">
        <v>16527015.517159576</v>
      </c>
      <c r="K174" s="64"/>
      <c r="O174" s="626">
        <v>17.000000000000114</v>
      </c>
      <c r="P174" s="1135">
        <v>21626763.173695572</v>
      </c>
      <c r="Q174" s="1135">
        <v>21626763.173695572</v>
      </c>
    </row>
    <row r="175" spans="2:17" x14ac:dyDescent="0.25">
      <c r="B175" s="65">
        <v>17.100000000000001</v>
      </c>
      <c r="C175" s="760">
        <v>40765900</v>
      </c>
      <c r="D175" s="761">
        <v>40913800</v>
      </c>
      <c r="E175" s="761">
        <v>82135600</v>
      </c>
      <c r="F175" s="761">
        <f t="shared" si="2"/>
        <v>163815300</v>
      </c>
      <c r="G175" s="67" t="s">
        <v>175</v>
      </c>
      <c r="H175" s="49"/>
      <c r="I175" s="72">
        <v>17.100000000000001</v>
      </c>
      <c r="J175" s="1135">
        <v>16630652.455707375</v>
      </c>
      <c r="K175" s="64"/>
      <c r="O175" s="626">
        <v>17.100000000000112</v>
      </c>
      <c r="P175" s="1135">
        <v>21765049.363381639</v>
      </c>
      <c r="Q175" s="1135">
        <v>21765049.363381639</v>
      </c>
    </row>
    <row r="176" spans="2:17" x14ac:dyDescent="0.25">
      <c r="B176" s="65">
        <v>17.2</v>
      </c>
      <c r="C176" s="760">
        <v>41033000</v>
      </c>
      <c r="D176" s="761">
        <v>41180500</v>
      </c>
      <c r="E176" s="761">
        <v>82654600</v>
      </c>
      <c r="F176" s="761">
        <f t="shared" si="2"/>
        <v>164868100</v>
      </c>
      <c r="G176" s="67" t="s">
        <v>175</v>
      </c>
      <c r="H176" s="49"/>
      <c r="I176" s="72">
        <v>17.2</v>
      </c>
      <c r="J176" s="1135">
        <v>16734289.394255174</v>
      </c>
      <c r="K176" s="64"/>
      <c r="O176" s="626">
        <v>17.200000000000109</v>
      </c>
      <c r="P176" s="1135">
        <v>21903341.956823438</v>
      </c>
      <c r="Q176" s="1135">
        <v>21903341.956823438</v>
      </c>
    </row>
    <row r="177" spans="2:17" x14ac:dyDescent="0.25">
      <c r="B177" s="65">
        <v>17.3</v>
      </c>
      <c r="C177" s="760">
        <v>41300100</v>
      </c>
      <c r="D177" s="761">
        <v>41447100</v>
      </c>
      <c r="E177" s="761">
        <v>83174000</v>
      </c>
      <c r="F177" s="761">
        <f t="shared" si="2"/>
        <v>165921200</v>
      </c>
      <c r="G177" s="67" t="s">
        <v>175</v>
      </c>
      <c r="H177" s="49"/>
      <c r="I177" s="72">
        <v>17.3</v>
      </c>
      <c r="J177" s="1135">
        <v>16837926.332802974</v>
      </c>
      <c r="K177" s="64"/>
      <c r="O177" s="626">
        <v>17.300000000000111</v>
      </c>
      <c r="P177" s="1135">
        <v>22041640.954168789</v>
      </c>
      <c r="Q177" s="1135">
        <v>22041640.954168789</v>
      </c>
    </row>
    <row r="178" spans="2:17" x14ac:dyDescent="0.25">
      <c r="B178" s="65">
        <v>17.399999999999999</v>
      </c>
      <c r="C178" s="760">
        <v>41567200</v>
      </c>
      <c r="D178" s="761">
        <v>41713700</v>
      </c>
      <c r="E178" s="761">
        <v>83693900</v>
      </c>
      <c r="F178" s="761">
        <f t="shared" si="2"/>
        <v>166974800</v>
      </c>
      <c r="G178" s="67" t="s">
        <v>175</v>
      </c>
      <c r="H178" s="49"/>
      <c r="I178" s="72">
        <v>17.399999999999999</v>
      </c>
      <c r="J178" s="1135">
        <v>16941563.271350775</v>
      </c>
      <c r="K178" s="64"/>
      <c r="O178" s="626">
        <v>17.400000000000112</v>
      </c>
      <c r="P178" s="1135">
        <v>22179946.355565488</v>
      </c>
      <c r="Q178" s="1135">
        <v>22179946.355565488</v>
      </c>
    </row>
    <row r="179" spans="2:17" x14ac:dyDescent="0.25">
      <c r="B179" s="65">
        <v>17.5</v>
      </c>
      <c r="C179" s="760">
        <v>41834300</v>
      </c>
      <c r="D179" s="761">
        <v>41980300</v>
      </c>
      <c r="E179" s="761">
        <v>84214200</v>
      </c>
      <c r="F179" s="761">
        <f t="shared" si="2"/>
        <v>168028800</v>
      </c>
      <c r="G179" s="67" t="s">
        <v>175</v>
      </c>
      <c r="H179" s="49"/>
      <c r="I179" s="72">
        <v>17.5</v>
      </c>
      <c r="J179" s="1135">
        <v>17045200.209898576</v>
      </c>
      <c r="K179" s="64"/>
      <c r="O179" s="626">
        <v>17.50000000000011</v>
      </c>
      <c r="P179" s="1135">
        <v>22318258.161161318</v>
      </c>
      <c r="Q179" s="1135">
        <v>22318258.161161318</v>
      </c>
    </row>
    <row r="180" spans="2:17" x14ac:dyDescent="0.25">
      <c r="B180" s="65">
        <v>17.600000000000001</v>
      </c>
      <c r="C180" s="760">
        <v>42101400</v>
      </c>
      <c r="D180" s="761">
        <v>42246900</v>
      </c>
      <c r="E180" s="761">
        <v>84735000</v>
      </c>
      <c r="F180" s="761">
        <f t="shared" si="2"/>
        <v>169083300</v>
      </c>
      <c r="G180" s="67" t="s">
        <v>175</v>
      </c>
      <c r="H180" s="49"/>
      <c r="I180" s="72">
        <v>17.600000000000001</v>
      </c>
      <c r="J180" s="1135">
        <v>17148837.148446377</v>
      </c>
      <c r="K180" s="64"/>
      <c r="O180" s="626">
        <v>17.600000000000108</v>
      </c>
      <c r="P180" s="1135">
        <v>22456576.371104099</v>
      </c>
      <c r="Q180" s="1135">
        <v>22456576.371104099</v>
      </c>
    </row>
    <row r="181" spans="2:17" x14ac:dyDescent="0.25">
      <c r="B181" s="65">
        <v>17.7</v>
      </c>
      <c r="C181" s="760">
        <v>42368500</v>
      </c>
      <c r="D181" s="761">
        <v>42513900</v>
      </c>
      <c r="E181" s="761">
        <v>85256300</v>
      </c>
      <c r="F181" s="761">
        <f t="shared" si="2"/>
        <v>170138700</v>
      </c>
      <c r="G181" s="67" t="s">
        <v>175</v>
      </c>
      <c r="H181" s="49"/>
      <c r="I181" s="72">
        <v>17.7</v>
      </c>
      <c r="J181" s="1135">
        <v>17252474.086994179</v>
      </c>
      <c r="K181" s="64"/>
      <c r="O181" s="626">
        <v>17.700000000000109</v>
      </c>
      <c r="P181" s="1135">
        <v>22594900.985541601</v>
      </c>
      <c r="Q181" s="1135">
        <v>22594900.985541601</v>
      </c>
    </row>
    <row r="182" spans="2:17" x14ac:dyDescent="0.25">
      <c r="B182" s="65">
        <v>17.8</v>
      </c>
      <c r="C182" s="760">
        <v>42635600</v>
      </c>
      <c r="D182" s="761">
        <v>42780100</v>
      </c>
      <c r="E182" s="761">
        <v>85778000</v>
      </c>
      <c r="F182" s="761">
        <f t="shared" si="2"/>
        <v>171193700</v>
      </c>
      <c r="G182" s="67" t="s">
        <v>175</v>
      </c>
      <c r="H182" s="49"/>
      <c r="I182" s="72">
        <v>17.799999999999901</v>
      </c>
      <c r="J182" s="1135">
        <v>17356111.02554198</v>
      </c>
      <c r="K182" s="64"/>
      <c r="O182" s="626">
        <v>17.800000000000111</v>
      </c>
      <c r="P182" s="1135">
        <v>22733232.004621655</v>
      </c>
      <c r="Q182" s="1135">
        <v>22733232.004621655</v>
      </c>
    </row>
    <row r="183" spans="2:17" x14ac:dyDescent="0.25">
      <c r="B183" s="65">
        <v>17.899999999999999</v>
      </c>
      <c r="C183" s="760">
        <v>42902700</v>
      </c>
      <c r="D183" s="761">
        <v>43046700</v>
      </c>
      <c r="E183" s="761">
        <v>86300200</v>
      </c>
      <c r="F183" s="761">
        <f t="shared" si="2"/>
        <v>172249600</v>
      </c>
      <c r="G183" s="67" t="s">
        <v>175</v>
      </c>
      <c r="H183" s="49"/>
      <c r="I183" s="72">
        <v>17.899999999999899</v>
      </c>
      <c r="J183" s="1135">
        <v>17459747.964089781</v>
      </c>
      <c r="K183" s="64"/>
      <c r="O183" s="626">
        <v>17.900000000000109</v>
      </c>
      <c r="P183" s="1135">
        <v>22871569.428492051</v>
      </c>
      <c r="Q183" s="1135">
        <v>22871569.428492051</v>
      </c>
    </row>
    <row r="184" spans="2:17" x14ac:dyDescent="0.25">
      <c r="B184" s="65">
        <v>18</v>
      </c>
      <c r="C184" s="760">
        <v>43169800</v>
      </c>
      <c r="D184" s="761">
        <v>43313300</v>
      </c>
      <c r="E184" s="761">
        <v>86822800</v>
      </c>
      <c r="F184" s="761">
        <f t="shared" si="2"/>
        <v>173305900</v>
      </c>
      <c r="G184" s="67" t="s">
        <v>175</v>
      </c>
      <c r="H184" s="49"/>
      <c r="I184" s="72">
        <v>17.999999999999901</v>
      </c>
      <c r="J184" s="1135">
        <v>17563384.902637575</v>
      </c>
      <c r="K184" s="64"/>
      <c r="O184" s="626">
        <v>18.000000000000107</v>
      </c>
      <c r="P184" s="1135">
        <v>23009913.257300586</v>
      </c>
      <c r="Q184" s="1135">
        <v>23009913.257300586</v>
      </c>
    </row>
    <row r="185" spans="2:17" x14ac:dyDescent="0.25">
      <c r="B185" s="65">
        <v>18.100000000000001</v>
      </c>
      <c r="C185" s="760">
        <v>43440300</v>
      </c>
      <c r="D185" s="761">
        <v>43583300</v>
      </c>
      <c r="E185" s="761">
        <v>87345900</v>
      </c>
      <c r="F185" s="761">
        <f t="shared" si="2"/>
        <v>174369500</v>
      </c>
      <c r="G185" s="67" t="s">
        <v>175</v>
      </c>
      <c r="H185" s="49"/>
      <c r="I185" s="72">
        <v>18.099999999999898</v>
      </c>
      <c r="J185" s="1135">
        <v>17667021.841185376</v>
      </c>
      <c r="K185" s="64"/>
      <c r="O185" s="626">
        <v>18.100000000000108</v>
      </c>
      <c r="P185" s="1135">
        <v>23148263.491195068</v>
      </c>
      <c r="Q185" s="1135">
        <v>23148263.491195068</v>
      </c>
    </row>
    <row r="186" spans="2:17" x14ac:dyDescent="0.25">
      <c r="B186" s="65">
        <v>18.2</v>
      </c>
      <c r="C186" s="760">
        <v>43710800</v>
      </c>
      <c r="D186" s="761">
        <v>43853300</v>
      </c>
      <c r="E186" s="761">
        <v>87869500</v>
      </c>
      <c r="F186" s="761">
        <f t="shared" si="2"/>
        <v>175433600</v>
      </c>
      <c r="G186" s="67" t="s">
        <v>175</v>
      </c>
      <c r="H186" s="49"/>
      <c r="I186" s="72">
        <v>18.1999999999999</v>
      </c>
      <c r="J186" s="1135">
        <v>17770658.779733177</v>
      </c>
      <c r="K186" s="64"/>
      <c r="O186" s="626">
        <v>18.200000000000109</v>
      </c>
      <c r="P186" s="1135">
        <v>23286620.130323291</v>
      </c>
      <c r="Q186" s="1135">
        <v>23286620.130323291</v>
      </c>
    </row>
    <row r="187" spans="2:17" x14ac:dyDescent="0.25">
      <c r="B187" s="65">
        <v>18.3</v>
      </c>
      <c r="C187" s="760">
        <v>43981300</v>
      </c>
      <c r="D187" s="761">
        <v>44123300</v>
      </c>
      <c r="E187" s="761">
        <v>88393500</v>
      </c>
      <c r="F187" s="761">
        <f t="shared" si="2"/>
        <v>176498100</v>
      </c>
      <c r="G187" s="67" t="s">
        <v>175</v>
      </c>
      <c r="H187" s="49"/>
      <c r="I187" s="72">
        <v>18.299999999999901</v>
      </c>
      <c r="J187" s="1135">
        <v>17874295.718280979</v>
      </c>
      <c r="K187" s="64"/>
      <c r="O187" s="626">
        <v>18.300000000000107</v>
      </c>
      <c r="P187" s="1135">
        <v>23424983.174833052</v>
      </c>
      <c r="Q187" s="1135">
        <v>23424983.174833052</v>
      </c>
    </row>
    <row r="188" spans="2:17" x14ac:dyDescent="0.25">
      <c r="B188" s="65">
        <v>18.399999999999999</v>
      </c>
      <c r="C188" s="760">
        <v>44251800</v>
      </c>
      <c r="D188" s="761">
        <v>44393300</v>
      </c>
      <c r="E188" s="761">
        <v>88918000</v>
      </c>
      <c r="F188" s="761">
        <f t="shared" si="2"/>
        <v>177563100</v>
      </c>
      <c r="G188" s="67" t="s">
        <v>175</v>
      </c>
      <c r="H188" s="49"/>
      <c r="I188" s="72">
        <v>18.399999999999899</v>
      </c>
      <c r="J188" s="1135">
        <v>17977932.65682878</v>
      </c>
      <c r="K188" s="64"/>
      <c r="O188" s="626">
        <v>18.400000000000105</v>
      </c>
      <c r="P188" s="1135">
        <v>23563352.624872155</v>
      </c>
      <c r="Q188" s="1135">
        <v>23563352.624872155</v>
      </c>
    </row>
    <row r="189" spans="2:17" x14ac:dyDescent="0.25">
      <c r="B189" s="65">
        <v>18.5</v>
      </c>
      <c r="C189" s="760">
        <v>44522300</v>
      </c>
      <c r="D189" s="761">
        <v>44663300</v>
      </c>
      <c r="E189" s="761">
        <v>89443000</v>
      </c>
      <c r="F189" s="761">
        <f t="shared" si="2"/>
        <v>178628600</v>
      </c>
      <c r="G189" s="67" t="s">
        <v>175</v>
      </c>
      <c r="H189" s="49"/>
      <c r="I189" s="72">
        <v>18.499999999999901</v>
      </c>
      <c r="J189" s="1135">
        <v>18081569.595376581</v>
      </c>
      <c r="K189" s="64"/>
      <c r="O189" s="626">
        <v>18.500000000000107</v>
      </c>
      <c r="P189" s="1135">
        <v>23701728.480588395</v>
      </c>
      <c r="Q189" s="1135">
        <v>23701728.480588395</v>
      </c>
    </row>
    <row r="190" spans="2:17" x14ac:dyDescent="0.25">
      <c r="B190" s="65">
        <v>18.600000000000001</v>
      </c>
      <c r="C190" s="760">
        <v>44792800</v>
      </c>
      <c r="D190" s="761">
        <v>44933300</v>
      </c>
      <c r="E190" s="761">
        <v>89968400</v>
      </c>
      <c r="F190" s="761">
        <f t="shared" si="2"/>
        <v>179694500</v>
      </c>
      <c r="G190" s="67" t="s">
        <v>175</v>
      </c>
      <c r="H190" s="49"/>
      <c r="I190" s="72">
        <v>18.599999999999898</v>
      </c>
      <c r="J190" s="1135">
        <v>18185206.533924382</v>
      </c>
      <c r="K190" s="64"/>
      <c r="O190" s="626">
        <v>18.600000000000108</v>
      </c>
      <c r="P190" s="1135">
        <v>23840110.742129583</v>
      </c>
      <c r="Q190" s="1135">
        <v>23840110.742129583</v>
      </c>
    </row>
    <row r="191" spans="2:17" x14ac:dyDescent="0.25">
      <c r="B191" s="65">
        <v>18.7</v>
      </c>
      <c r="C191" s="760">
        <v>45063300</v>
      </c>
      <c r="D191" s="761">
        <v>45203300</v>
      </c>
      <c r="E191" s="761">
        <v>90494200</v>
      </c>
      <c r="F191" s="761">
        <f t="shared" si="2"/>
        <v>180760800</v>
      </c>
      <c r="G191" s="67" t="s">
        <v>175</v>
      </c>
      <c r="H191" s="49"/>
      <c r="I191" s="72">
        <v>18.6999999999999</v>
      </c>
      <c r="J191" s="1135">
        <v>18288843.472472183</v>
      </c>
      <c r="K191" s="64"/>
      <c r="O191" s="626">
        <v>18.700000000000106</v>
      </c>
      <c r="P191" s="1135">
        <v>23978499.409643508</v>
      </c>
      <c r="Q191" s="1135">
        <v>23978499.409643508</v>
      </c>
    </row>
    <row r="192" spans="2:17" x14ac:dyDescent="0.25">
      <c r="B192" s="65">
        <v>18.8</v>
      </c>
      <c r="C192" s="760">
        <v>45333800</v>
      </c>
      <c r="D192" s="761">
        <v>45473300</v>
      </c>
      <c r="E192" s="761">
        <v>91020600</v>
      </c>
      <c r="F192" s="761">
        <f t="shared" si="2"/>
        <v>181827700</v>
      </c>
      <c r="G192" s="67" t="s">
        <v>175</v>
      </c>
      <c r="H192" s="49"/>
      <c r="I192" s="72">
        <v>18.799999999999901</v>
      </c>
      <c r="J192" s="1135">
        <v>18392480.411019985</v>
      </c>
      <c r="K192" s="64"/>
      <c r="O192" s="626">
        <v>18.800000000000104</v>
      </c>
      <c r="P192" s="1135">
        <v>24116894.483277977</v>
      </c>
      <c r="Q192" s="1135">
        <v>24116894.483277977</v>
      </c>
    </row>
    <row r="193" spans="2:17" x14ac:dyDescent="0.25">
      <c r="B193" s="65">
        <v>18.899999999999999</v>
      </c>
      <c r="C193" s="760">
        <v>45604800</v>
      </c>
      <c r="D193" s="761">
        <v>45743300</v>
      </c>
      <c r="E193" s="761">
        <v>91547300</v>
      </c>
      <c r="F193" s="761">
        <f t="shared" si="2"/>
        <v>182895400</v>
      </c>
      <c r="G193" s="67" t="s">
        <v>175</v>
      </c>
      <c r="H193" s="49"/>
      <c r="I193" s="72">
        <v>18.899999999999899</v>
      </c>
      <c r="J193" s="1135">
        <v>18496117.349567786</v>
      </c>
      <c r="K193" s="64"/>
      <c r="O193" s="626">
        <v>18.900000000000105</v>
      </c>
      <c r="P193" s="1135">
        <v>24255295.963180792</v>
      </c>
      <c r="Q193" s="1135">
        <v>24255295.963180792</v>
      </c>
    </row>
    <row r="194" spans="2:17" x14ac:dyDescent="0.25">
      <c r="B194" s="65">
        <v>19</v>
      </c>
      <c r="C194" s="760">
        <v>45874800</v>
      </c>
      <c r="D194" s="761">
        <v>46013300</v>
      </c>
      <c r="E194" s="761">
        <v>92074600</v>
      </c>
      <c r="F194" s="761">
        <f t="shared" si="2"/>
        <v>183962700</v>
      </c>
      <c r="G194" s="67" t="s">
        <v>175</v>
      </c>
      <c r="H194" s="49"/>
      <c r="I194" s="72">
        <v>18.999999999999901</v>
      </c>
      <c r="J194" s="1135">
        <v>18599754.288115572</v>
      </c>
      <c r="K194" s="64"/>
      <c r="O194" s="626">
        <v>19.000000000000107</v>
      </c>
      <c r="P194" s="1135">
        <v>24393703.849499736</v>
      </c>
      <c r="Q194" s="1135">
        <v>24393703.849499736</v>
      </c>
    </row>
    <row r="195" spans="2:17" x14ac:dyDescent="0.25">
      <c r="B195" s="65">
        <v>19.100000000000001</v>
      </c>
      <c r="C195" s="760">
        <v>46148600</v>
      </c>
      <c r="D195" s="761">
        <v>46286700</v>
      </c>
      <c r="E195" s="761">
        <v>92602300</v>
      </c>
      <c r="F195" s="761">
        <f t="shared" si="2"/>
        <v>185037600</v>
      </c>
      <c r="G195" s="67" t="s">
        <v>175</v>
      </c>
      <c r="H195" s="49"/>
      <c r="I195" s="72">
        <v>19.099999999999898</v>
      </c>
      <c r="J195" s="1135">
        <v>18703391.226663373</v>
      </c>
      <c r="K195" s="64"/>
      <c r="O195" s="626">
        <v>19.100000000000104</v>
      </c>
      <c r="P195" s="1135">
        <v>24532118.142382625</v>
      </c>
      <c r="Q195" s="1135">
        <v>24532118.142382625</v>
      </c>
    </row>
    <row r="196" spans="2:17" x14ac:dyDescent="0.25">
      <c r="B196" s="65">
        <v>19.2</v>
      </c>
      <c r="C196" s="760">
        <v>46422400</v>
      </c>
      <c r="D196" s="761">
        <v>46560100</v>
      </c>
      <c r="E196" s="761">
        <v>93130500</v>
      </c>
      <c r="F196" s="761">
        <f t="shared" ref="F196:F233" si="3">C196+D196+E196</f>
        <v>186113000</v>
      </c>
      <c r="G196" s="67" t="s">
        <v>175</v>
      </c>
      <c r="H196" s="49"/>
      <c r="I196" s="72">
        <v>19.1999999999999</v>
      </c>
      <c r="J196" s="1135">
        <v>18807028.165211175</v>
      </c>
      <c r="K196" s="64"/>
      <c r="O196" s="626">
        <v>19.200000000000102</v>
      </c>
      <c r="P196" s="1135">
        <v>24670538.841977265</v>
      </c>
      <c r="Q196" s="1135">
        <v>24670538.841977265</v>
      </c>
    </row>
    <row r="197" spans="2:17" x14ac:dyDescent="0.25">
      <c r="B197" s="65">
        <v>19.3</v>
      </c>
      <c r="C197" s="760">
        <v>46696200</v>
      </c>
      <c r="D197" s="761">
        <v>46833500</v>
      </c>
      <c r="E197" s="761">
        <v>93659100</v>
      </c>
      <c r="F197" s="761">
        <f t="shared" si="3"/>
        <v>187188800</v>
      </c>
      <c r="G197" s="67" t="s">
        <v>175</v>
      </c>
      <c r="H197" s="49"/>
      <c r="I197" s="72">
        <v>19.299999999999901</v>
      </c>
      <c r="J197" s="1135">
        <v>18910665.103758976</v>
      </c>
      <c r="K197" s="64"/>
      <c r="O197" s="626">
        <v>19.300000000000104</v>
      </c>
      <c r="P197" s="1135">
        <v>24808965.94843144</v>
      </c>
      <c r="Q197" s="1135">
        <v>24808965.94843144</v>
      </c>
    </row>
    <row r="198" spans="2:17" x14ac:dyDescent="0.25">
      <c r="B198" s="65">
        <v>19.399999999999999</v>
      </c>
      <c r="C198" s="760">
        <v>46970000</v>
      </c>
      <c r="D198" s="761">
        <v>47106900</v>
      </c>
      <c r="E198" s="761">
        <v>94188200</v>
      </c>
      <c r="F198" s="761">
        <f t="shared" si="3"/>
        <v>188265100</v>
      </c>
      <c r="G198" s="67" t="s">
        <v>175</v>
      </c>
      <c r="H198" s="49"/>
      <c r="I198" s="72">
        <v>19.399999999999899</v>
      </c>
      <c r="J198" s="1135">
        <v>19014302.042306777</v>
      </c>
      <c r="K198" s="64"/>
      <c r="O198" s="626">
        <v>19.400000000000105</v>
      </c>
      <c r="P198" s="1135">
        <v>24947399.461892951</v>
      </c>
      <c r="Q198" s="1135">
        <v>24947399.461892951</v>
      </c>
    </row>
    <row r="199" spans="2:17" x14ac:dyDescent="0.25">
      <c r="B199" s="65">
        <v>19.5</v>
      </c>
      <c r="C199" s="760">
        <v>47243800</v>
      </c>
      <c r="D199" s="761">
        <v>47380300</v>
      </c>
      <c r="E199" s="761">
        <v>94717800</v>
      </c>
      <c r="F199" s="761">
        <f t="shared" si="3"/>
        <v>189341900</v>
      </c>
      <c r="G199" s="67" t="s">
        <v>175</v>
      </c>
      <c r="H199" s="49"/>
      <c r="I199" s="72">
        <v>19.499999999999901</v>
      </c>
      <c r="J199" s="1135">
        <v>19117938.980854578</v>
      </c>
      <c r="K199" s="64"/>
      <c r="O199" s="626">
        <v>19.500000000000103</v>
      </c>
      <c r="P199" s="1135">
        <v>25085839.382509612</v>
      </c>
      <c r="Q199" s="1135">
        <v>25085839.382509612</v>
      </c>
    </row>
    <row r="200" spans="2:17" x14ac:dyDescent="0.25">
      <c r="B200" s="65">
        <v>19.600000000000001</v>
      </c>
      <c r="C200" s="760">
        <v>47517600</v>
      </c>
      <c r="D200" s="761">
        <v>47653700</v>
      </c>
      <c r="E200" s="761">
        <v>95247800</v>
      </c>
      <c r="F200" s="761">
        <f t="shared" si="3"/>
        <v>190419100</v>
      </c>
      <c r="G200" s="67" t="s">
        <v>175</v>
      </c>
      <c r="H200" s="49"/>
      <c r="I200" s="72">
        <v>19.599999999999898</v>
      </c>
      <c r="J200" s="1135">
        <v>19221575.91940238</v>
      </c>
      <c r="K200" s="64"/>
      <c r="O200" s="626">
        <v>19.600000000000101</v>
      </c>
      <c r="P200" s="1135">
        <v>25224285.710429206</v>
      </c>
      <c r="Q200" s="1135">
        <v>25224285.710429206</v>
      </c>
    </row>
    <row r="201" spans="2:17" x14ac:dyDescent="0.25">
      <c r="B201" s="65">
        <v>19.7</v>
      </c>
      <c r="C201" s="760">
        <v>47791400</v>
      </c>
      <c r="D201" s="761">
        <v>47927100</v>
      </c>
      <c r="E201" s="761">
        <v>95778300</v>
      </c>
      <c r="F201" s="761">
        <f t="shared" si="3"/>
        <v>191496800</v>
      </c>
      <c r="G201" s="67" t="s">
        <v>175</v>
      </c>
      <c r="H201" s="49"/>
      <c r="I201" s="72">
        <v>19.6999999999999</v>
      </c>
      <c r="J201" s="1135">
        <v>19325212.857950181</v>
      </c>
      <c r="K201" s="64"/>
      <c r="O201" s="626">
        <v>19.700000000000102</v>
      </c>
      <c r="P201" s="1135">
        <v>25362738.445799544</v>
      </c>
      <c r="Q201" s="1135">
        <v>25362738.445799544</v>
      </c>
    </row>
    <row r="202" spans="2:17" x14ac:dyDescent="0.25">
      <c r="B202" s="65">
        <v>19.8</v>
      </c>
      <c r="C202" s="760">
        <v>48065200</v>
      </c>
      <c r="D202" s="761">
        <v>48200500</v>
      </c>
      <c r="E202" s="761">
        <v>96309200</v>
      </c>
      <c r="F202" s="761">
        <f t="shared" si="3"/>
        <v>192574900</v>
      </c>
      <c r="G202" s="67" t="s">
        <v>175</v>
      </c>
      <c r="H202" s="49"/>
      <c r="I202" s="72">
        <v>19.799999999999901</v>
      </c>
      <c r="J202" s="1135">
        <v>19428849.796497982</v>
      </c>
      <c r="K202" s="64"/>
      <c r="O202" s="626">
        <v>19.800000000000104</v>
      </c>
      <c r="P202" s="1135">
        <v>25501197.58876843</v>
      </c>
      <c r="Q202" s="1135">
        <v>25501197.58876843</v>
      </c>
    </row>
    <row r="203" spans="2:17" x14ac:dyDescent="0.25">
      <c r="B203" s="65">
        <v>19.899999999999999</v>
      </c>
      <c r="C203" s="760">
        <v>48339000</v>
      </c>
      <c r="D203" s="761">
        <v>48473900</v>
      </c>
      <c r="E203" s="761">
        <v>96840600</v>
      </c>
      <c r="F203" s="761">
        <f t="shared" si="3"/>
        <v>193653500</v>
      </c>
      <c r="G203" s="67" t="s">
        <v>175</v>
      </c>
      <c r="H203" s="49"/>
      <c r="I203" s="72">
        <v>19.899999999999899</v>
      </c>
      <c r="J203" s="1135">
        <v>19532486.735045783</v>
      </c>
      <c r="K203" s="64"/>
      <c r="O203" s="626">
        <v>19.900000000000102</v>
      </c>
      <c r="P203" s="1135">
        <v>25639663.139483653</v>
      </c>
      <c r="Q203" s="1135">
        <v>25639663.139483653</v>
      </c>
    </row>
    <row r="204" spans="2:17" x14ac:dyDescent="0.25">
      <c r="B204" s="65">
        <v>20</v>
      </c>
      <c r="C204" s="760">
        <v>48612800</v>
      </c>
      <c r="D204" s="761">
        <v>48747300</v>
      </c>
      <c r="E204" s="761">
        <v>97372500</v>
      </c>
      <c r="F204" s="761">
        <f t="shared" si="3"/>
        <v>194732600</v>
      </c>
      <c r="G204" s="67" t="s">
        <v>175</v>
      </c>
      <c r="H204" s="49"/>
      <c r="I204" s="72">
        <v>19.999999999999901</v>
      </c>
      <c r="J204" s="1135">
        <v>19636123.673593573</v>
      </c>
      <c r="K204" s="64"/>
      <c r="O204" s="626">
        <v>20.000000000000099</v>
      </c>
      <c r="P204" s="1135">
        <v>25778135.098093022</v>
      </c>
      <c r="Q204" s="1135">
        <v>25778135.098093022</v>
      </c>
    </row>
    <row r="205" spans="2:17" x14ac:dyDescent="0.25">
      <c r="B205" s="65">
        <v>20.100000000000001</v>
      </c>
      <c r="C205" s="760">
        <v>48890000</v>
      </c>
      <c r="D205" s="761">
        <v>49024100</v>
      </c>
      <c r="E205" s="761">
        <v>97904900</v>
      </c>
      <c r="F205" s="761">
        <f t="shared" si="3"/>
        <v>195819000</v>
      </c>
      <c r="G205" s="67" t="s">
        <v>175</v>
      </c>
      <c r="H205" s="49"/>
      <c r="I205" s="72">
        <v>20.099999999999898</v>
      </c>
      <c r="J205" s="1135">
        <v>19739760.612141374</v>
      </c>
      <c r="K205" s="64"/>
      <c r="O205" s="626">
        <v>20.100000000000101</v>
      </c>
      <c r="P205" s="1135">
        <v>25916613.464744329</v>
      </c>
      <c r="Q205" s="1135">
        <v>25916613.464744329</v>
      </c>
    </row>
    <row r="206" spans="2:17" x14ac:dyDescent="0.25">
      <c r="B206" s="65">
        <v>20.2</v>
      </c>
      <c r="C206" s="760">
        <v>49167200</v>
      </c>
      <c r="D206" s="761">
        <v>49300900</v>
      </c>
      <c r="E206" s="761">
        <v>98437700</v>
      </c>
      <c r="F206" s="761">
        <f t="shared" si="3"/>
        <v>196905800</v>
      </c>
      <c r="G206" s="67" t="s">
        <v>175</v>
      </c>
      <c r="H206" s="49"/>
      <c r="I206" s="72">
        <v>20.1999999999999</v>
      </c>
      <c r="J206" s="1135">
        <v>19843397.550689176</v>
      </c>
      <c r="K206" s="64"/>
      <c r="O206" s="626">
        <v>20.200000000000102</v>
      </c>
      <c r="P206" s="1135">
        <v>26055098.239585374</v>
      </c>
      <c r="Q206" s="1135">
        <v>26055098.239585374</v>
      </c>
    </row>
    <row r="207" spans="2:17" x14ac:dyDescent="0.25">
      <c r="B207" s="65">
        <v>20.3</v>
      </c>
      <c r="C207" s="760">
        <v>49444400</v>
      </c>
      <c r="D207" s="761">
        <v>49577700</v>
      </c>
      <c r="E207" s="761">
        <v>98970900</v>
      </c>
      <c r="F207" s="761">
        <f t="shared" si="3"/>
        <v>197993000</v>
      </c>
      <c r="G207" s="67" t="s">
        <v>175</v>
      </c>
      <c r="H207" s="49"/>
      <c r="I207" s="72">
        <v>20.299999999999901</v>
      </c>
      <c r="J207" s="1135">
        <v>19947034.489236977</v>
      </c>
      <c r="K207" s="64"/>
      <c r="O207" s="626">
        <v>20.3000000000001</v>
      </c>
      <c r="P207" s="1135">
        <v>26193589.422763962</v>
      </c>
      <c r="Q207" s="1135">
        <v>26193589.422763962</v>
      </c>
    </row>
    <row r="208" spans="2:17" x14ac:dyDescent="0.25">
      <c r="B208" s="65">
        <v>20.399999999999999</v>
      </c>
      <c r="C208" s="760">
        <v>49721600</v>
      </c>
      <c r="D208" s="761">
        <v>49854500</v>
      </c>
      <c r="E208" s="761">
        <v>99504700</v>
      </c>
      <c r="F208" s="761">
        <f t="shared" si="3"/>
        <v>199080800</v>
      </c>
      <c r="G208" s="67" t="s">
        <v>175</v>
      </c>
      <c r="H208" s="49"/>
      <c r="I208" s="72">
        <v>20.399999999999899</v>
      </c>
      <c r="J208" s="1135">
        <v>20050671.427784778</v>
      </c>
      <c r="K208" s="64"/>
      <c r="O208" s="626">
        <v>20.400000000000098</v>
      </c>
      <c r="P208" s="1135">
        <v>26332087.014427893</v>
      </c>
      <c r="Q208" s="1135">
        <v>26332087.014427893</v>
      </c>
    </row>
    <row r="209" spans="2:17" x14ac:dyDescent="0.25">
      <c r="B209" s="65">
        <v>20.5</v>
      </c>
      <c r="C209" s="760">
        <v>49998800</v>
      </c>
      <c r="D209" s="761">
        <v>50131300</v>
      </c>
      <c r="E209" s="761">
        <v>100038800</v>
      </c>
      <c r="F209" s="761">
        <f t="shared" si="3"/>
        <v>200168900</v>
      </c>
      <c r="G209" s="67" t="s">
        <v>175</v>
      </c>
      <c r="H209" s="49"/>
      <c r="I209" s="72">
        <v>20.499999999999901</v>
      </c>
      <c r="J209" s="1135">
        <v>20154308.366332579</v>
      </c>
      <c r="K209" s="64"/>
      <c r="O209" s="626">
        <v>20.500000000000099</v>
      </c>
      <c r="P209" s="1135">
        <v>26470591.014724962</v>
      </c>
      <c r="Q209" s="1135">
        <v>26470591.014724962</v>
      </c>
    </row>
    <row r="210" spans="2:17" x14ac:dyDescent="0.25">
      <c r="B210" s="65">
        <v>20.6</v>
      </c>
      <c r="C210" s="760">
        <v>50276000</v>
      </c>
      <c r="D210" s="761">
        <v>50408100</v>
      </c>
      <c r="E210" s="761">
        <v>100573300</v>
      </c>
      <c r="F210" s="761">
        <f t="shared" si="3"/>
        <v>201257400</v>
      </c>
      <c r="G210" s="67" t="s">
        <v>175</v>
      </c>
      <c r="H210" s="49"/>
      <c r="I210" s="72">
        <v>20.599999999999898</v>
      </c>
      <c r="J210" s="1135">
        <v>20257945.304880381</v>
      </c>
      <c r="K210" s="64"/>
      <c r="O210" s="626">
        <v>20.600000000000101</v>
      </c>
      <c r="P210" s="1135">
        <v>26609101.423802976</v>
      </c>
      <c r="Q210" s="1135">
        <v>26609101.423802976</v>
      </c>
    </row>
    <row r="211" spans="2:17" x14ac:dyDescent="0.25">
      <c r="B211" s="65">
        <v>20.7</v>
      </c>
      <c r="C211" s="760">
        <v>50553200</v>
      </c>
      <c r="D211" s="761">
        <v>50684900</v>
      </c>
      <c r="E211" s="761">
        <v>101107700</v>
      </c>
      <c r="F211" s="761">
        <f t="shared" si="3"/>
        <v>202345800</v>
      </c>
      <c r="G211" s="67" t="s">
        <v>175</v>
      </c>
      <c r="H211" s="49"/>
      <c r="I211" s="72">
        <v>20.6999999999999</v>
      </c>
      <c r="J211" s="1135">
        <v>20361582.243428182</v>
      </c>
      <c r="K211" s="64"/>
      <c r="O211" s="626">
        <v>20.700000000000099</v>
      </c>
      <c r="P211" s="1135">
        <v>26747618.241809737</v>
      </c>
      <c r="Q211" s="1135">
        <v>26747618.241809737</v>
      </c>
    </row>
    <row r="212" spans="2:17" x14ac:dyDescent="0.25">
      <c r="B212" s="65">
        <v>20.8</v>
      </c>
      <c r="C212" s="760">
        <v>50830400</v>
      </c>
      <c r="D212" s="761">
        <v>50961700</v>
      </c>
      <c r="E212" s="761">
        <v>101642100</v>
      </c>
      <c r="F212" s="761">
        <f t="shared" si="3"/>
        <v>203434200</v>
      </c>
      <c r="G212" s="67" t="s">
        <v>175</v>
      </c>
      <c r="H212" s="49"/>
      <c r="I212" s="72">
        <v>20.799999999999901</v>
      </c>
      <c r="J212" s="1135">
        <v>20465219.181975983</v>
      </c>
      <c r="K212" s="64"/>
      <c r="O212" s="626">
        <v>20.800000000000097</v>
      </c>
      <c r="P212" s="1135">
        <v>26886141.468893036</v>
      </c>
      <c r="Q212" s="1135">
        <v>26886141.468893036</v>
      </c>
    </row>
    <row r="213" spans="2:17" x14ac:dyDescent="0.25">
      <c r="B213" s="65">
        <v>20.9</v>
      </c>
      <c r="C213" s="760">
        <v>51107600</v>
      </c>
      <c r="D213" s="761">
        <v>51238500</v>
      </c>
      <c r="E213" s="761">
        <v>102176600</v>
      </c>
      <c r="F213" s="761">
        <f t="shared" si="3"/>
        <v>204522700</v>
      </c>
      <c r="G213" s="67" t="s">
        <v>175</v>
      </c>
      <c r="H213" s="49"/>
      <c r="I213" s="72">
        <v>20.899999999999899</v>
      </c>
      <c r="J213" s="1135">
        <v>20568856.120523784</v>
      </c>
      <c r="K213" s="64"/>
      <c r="O213" s="626">
        <v>20.900000000000098</v>
      </c>
      <c r="P213" s="1135">
        <v>27024671.105200671</v>
      </c>
      <c r="Q213" s="1135">
        <v>27024671.105200671</v>
      </c>
    </row>
    <row r="214" spans="2:17" x14ac:dyDescent="0.25">
      <c r="B214" s="65">
        <v>21</v>
      </c>
      <c r="C214" s="760">
        <v>51384800</v>
      </c>
      <c r="D214" s="761">
        <v>51515300</v>
      </c>
      <c r="E214" s="761">
        <v>102711000</v>
      </c>
      <c r="F214" s="761">
        <f t="shared" si="3"/>
        <v>205611100</v>
      </c>
      <c r="G214" s="67" t="s">
        <v>175</v>
      </c>
      <c r="H214" s="49"/>
      <c r="I214" s="73"/>
      <c r="J214" s="1138"/>
      <c r="O214" s="626">
        <v>21.000000000000099</v>
      </c>
      <c r="P214" s="1135">
        <v>27163207.150880445</v>
      </c>
      <c r="Q214" s="1135">
        <v>27163207.150880445</v>
      </c>
    </row>
    <row r="215" spans="2:17" x14ac:dyDescent="0.25">
      <c r="B215" s="65">
        <v>21.1</v>
      </c>
      <c r="C215" s="760">
        <v>51662000</v>
      </c>
      <c r="D215" s="761">
        <v>51792100</v>
      </c>
      <c r="E215" s="761">
        <v>103245400</v>
      </c>
      <c r="F215" s="761">
        <f t="shared" si="3"/>
        <v>206699500</v>
      </c>
      <c r="G215" s="67" t="s">
        <v>175</v>
      </c>
      <c r="H215" s="49"/>
      <c r="O215" s="626">
        <v>21.100000000000097</v>
      </c>
      <c r="P215" s="1135">
        <v>27301749.606080171</v>
      </c>
      <c r="Q215" s="1135">
        <v>27301749.606080171</v>
      </c>
    </row>
    <row r="216" spans="2:17" x14ac:dyDescent="0.25">
      <c r="B216" s="65">
        <v>21.2</v>
      </c>
      <c r="C216" s="760">
        <v>51939200</v>
      </c>
      <c r="D216" s="761">
        <v>52068900</v>
      </c>
      <c r="E216" s="761">
        <v>103780000</v>
      </c>
      <c r="F216" s="761">
        <f t="shared" si="3"/>
        <v>207788100</v>
      </c>
      <c r="G216" s="67" t="s">
        <v>175</v>
      </c>
      <c r="H216" s="49"/>
      <c r="O216" s="626">
        <v>21.200000000000095</v>
      </c>
      <c r="P216" s="1135">
        <v>27440298.470947638</v>
      </c>
      <c r="Q216" s="1135">
        <v>27440298.470947638</v>
      </c>
    </row>
    <row r="217" spans="2:17" x14ac:dyDescent="0.25">
      <c r="B217" s="65">
        <v>21.3</v>
      </c>
      <c r="C217" s="760">
        <v>52216400</v>
      </c>
      <c r="D217" s="761">
        <v>52345700</v>
      </c>
      <c r="E217" s="761">
        <v>104314300</v>
      </c>
      <c r="F217" s="761">
        <f t="shared" si="3"/>
        <v>208876400</v>
      </c>
      <c r="G217" s="67" t="s">
        <v>175</v>
      </c>
      <c r="H217" s="49"/>
      <c r="O217" s="626">
        <v>21.300000000000097</v>
      </c>
      <c r="P217" s="1135">
        <v>27578853.745630641</v>
      </c>
      <c r="Q217" s="1135">
        <v>27578853.745630641</v>
      </c>
    </row>
    <row r="218" spans="2:17" x14ac:dyDescent="0.25">
      <c r="B218" s="65">
        <v>21.4</v>
      </c>
      <c r="C218" s="760">
        <v>52493600</v>
      </c>
      <c r="D218" s="761">
        <v>52622500</v>
      </c>
      <c r="E218" s="761">
        <v>104848600</v>
      </c>
      <c r="F218" s="761">
        <f t="shared" si="3"/>
        <v>209964700</v>
      </c>
      <c r="G218" s="67" t="s">
        <v>175</v>
      </c>
      <c r="H218" s="49"/>
      <c r="O218" s="626">
        <v>21.400000000000098</v>
      </c>
      <c r="P218" s="1135">
        <v>27717415.43027699</v>
      </c>
      <c r="Q218" s="1135">
        <v>27717415.43027699</v>
      </c>
    </row>
    <row r="219" spans="2:17" x14ac:dyDescent="0.25">
      <c r="B219" s="65">
        <v>21.5</v>
      </c>
      <c r="C219" s="760">
        <v>52770800</v>
      </c>
      <c r="D219" s="761">
        <v>52899300</v>
      </c>
      <c r="E219" s="761">
        <v>105383200</v>
      </c>
      <c r="F219" s="761">
        <f t="shared" si="3"/>
        <v>211053300</v>
      </c>
      <c r="G219" s="67" t="s">
        <v>175</v>
      </c>
      <c r="H219" s="75"/>
      <c r="O219" s="626">
        <v>21.500000000000096</v>
      </c>
      <c r="P219" s="1135">
        <v>27855983.525034476</v>
      </c>
      <c r="Q219" s="1135">
        <v>27855983.525034476</v>
      </c>
    </row>
    <row r="220" spans="2:17" x14ac:dyDescent="0.25">
      <c r="B220" s="65">
        <v>21.6</v>
      </c>
      <c r="C220" s="760">
        <v>53048000</v>
      </c>
      <c r="D220" s="761">
        <v>53176100</v>
      </c>
      <c r="E220" s="761">
        <v>105917600</v>
      </c>
      <c r="F220" s="761">
        <f t="shared" si="3"/>
        <v>212141700</v>
      </c>
      <c r="G220" s="76">
        <f>(F220-F219)/1000000</f>
        <v>1.0884</v>
      </c>
      <c r="H220" s="75"/>
      <c r="O220" s="626">
        <v>21.600000000000094</v>
      </c>
      <c r="P220" s="1135">
        <v>27994558.030050904</v>
      </c>
      <c r="Q220" s="1135">
        <v>27994558.030050904</v>
      </c>
    </row>
    <row r="221" spans="2:17" x14ac:dyDescent="0.25">
      <c r="B221" s="65">
        <v>21.7</v>
      </c>
      <c r="C221" s="760">
        <v>53325200</v>
      </c>
      <c r="D221" s="761">
        <v>53452900</v>
      </c>
      <c r="E221" s="761">
        <v>106452000</v>
      </c>
      <c r="F221" s="761">
        <f t="shared" si="3"/>
        <v>213230100</v>
      </c>
      <c r="G221" s="76">
        <f>(F221-F220)/1000000</f>
        <v>1.0884</v>
      </c>
      <c r="H221" s="75"/>
      <c r="O221" s="626">
        <v>21.700000000000095</v>
      </c>
      <c r="P221" s="1135">
        <v>28133138.945474077</v>
      </c>
      <c r="Q221" s="1135">
        <v>28133138.945474077</v>
      </c>
    </row>
    <row r="222" spans="2:17" x14ac:dyDescent="0.25">
      <c r="B222" s="65">
        <v>21.8</v>
      </c>
      <c r="C222" s="760">
        <v>53602400</v>
      </c>
      <c r="D222" s="761">
        <v>53729700</v>
      </c>
      <c r="E222" s="761">
        <v>106986400</v>
      </c>
      <c r="F222" s="761">
        <f t="shared" si="3"/>
        <v>214318500</v>
      </c>
      <c r="G222" s="76">
        <f>(F222-F221)/1000000</f>
        <v>1.0884</v>
      </c>
      <c r="H222" s="75"/>
      <c r="O222" s="626">
        <v>21.800000000000097</v>
      </c>
      <c r="P222" s="1135">
        <v>28271726.271451794</v>
      </c>
      <c r="Q222" s="1135">
        <v>28271726.271451794</v>
      </c>
    </row>
    <row r="223" spans="2:17" x14ac:dyDescent="0.25">
      <c r="B223" s="65">
        <v>21.9</v>
      </c>
      <c r="C223" s="760">
        <v>53879600</v>
      </c>
      <c r="D223" s="761">
        <v>54006500</v>
      </c>
      <c r="E223" s="761">
        <v>107520800</v>
      </c>
      <c r="F223" s="761">
        <f t="shared" si="3"/>
        <v>215406900</v>
      </c>
      <c r="G223" s="67" t="s">
        <v>175</v>
      </c>
      <c r="H223" s="75"/>
      <c r="O223" s="626">
        <v>21.900000000000095</v>
      </c>
      <c r="P223" s="1135">
        <v>28410320.008131843</v>
      </c>
      <c r="Q223" s="1135">
        <v>28410320.008131843</v>
      </c>
    </row>
    <row r="224" spans="2:17" x14ac:dyDescent="0.25">
      <c r="B224" s="65">
        <v>22</v>
      </c>
      <c r="C224" s="760">
        <v>54156800</v>
      </c>
      <c r="D224" s="761">
        <v>54283300</v>
      </c>
      <c r="E224" s="761">
        <v>108055300</v>
      </c>
      <c r="F224" s="761">
        <f t="shared" si="3"/>
        <v>216495400</v>
      </c>
      <c r="G224" s="67" t="s">
        <v>175</v>
      </c>
      <c r="H224" s="75"/>
      <c r="O224" s="626">
        <v>22.000000000000096</v>
      </c>
      <c r="P224" s="1135">
        <v>28548920.155662041</v>
      </c>
      <c r="Q224" s="1135">
        <v>28548920.155662041</v>
      </c>
    </row>
    <row r="225" spans="2:17" x14ac:dyDescent="0.25">
      <c r="B225" s="65">
        <v>22.1</v>
      </c>
      <c r="C225" s="760">
        <v>54434000</v>
      </c>
      <c r="D225" s="761">
        <v>54560100</v>
      </c>
      <c r="E225" s="757">
        <v>108589733.33333333</v>
      </c>
      <c r="F225" s="757">
        <f t="shared" si="3"/>
        <v>217583833.33333331</v>
      </c>
      <c r="G225" s="67" t="s">
        <v>175</v>
      </c>
      <c r="H225" s="49"/>
      <c r="O225" s="626">
        <v>22.100000000000094</v>
      </c>
      <c r="P225" s="1135">
        <v>28687526.714190178</v>
      </c>
      <c r="Q225" s="1135">
        <v>28687526.714190178</v>
      </c>
    </row>
    <row r="226" spans="2:17" x14ac:dyDescent="0.25">
      <c r="B226" s="65">
        <v>22.2</v>
      </c>
      <c r="C226" s="760">
        <v>54711200</v>
      </c>
      <c r="D226" s="761">
        <v>54836900</v>
      </c>
      <c r="E226" s="757">
        <v>109124183.33333333</v>
      </c>
      <c r="F226" s="757">
        <f t="shared" si="3"/>
        <v>218672283.33333331</v>
      </c>
      <c r="G226" s="67" t="s">
        <v>175</v>
      </c>
      <c r="H226" s="49"/>
      <c r="O226" s="626">
        <v>22.200000000000095</v>
      </c>
      <c r="P226" s="1135">
        <v>28826139.683864065</v>
      </c>
      <c r="Q226" s="1135">
        <v>28826139.683864065</v>
      </c>
    </row>
    <row r="227" spans="2:17" x14ac:dyDescent="0.25">
      <c r="B227" s="65">
        <v>22.3</v>
      </c>
      <c r="C227" s="760">
        <v>54988400</v>
      </c>
      <c r="D227" s="761">
        <v>55113700</v>
      </c>
      <c r="E227" s="757">
        <v>109658633.33333333</v>
      </c>
      <c r="F227" s="757">
        <f t="shared" si="3"/>
        <v>219760733.33333331</v>
      </c>
      <c r="G227" s="67" t="s">
        <v>175</v>
      </c>
      <c r="H227" s="49"/>
      <c r="O227" s="626">
        <v>22.300000000000097</v>
      </c>
      <c r="P227" s="1135">
        <v>28964759.064831488</v>
      </c>
      <c r="Q227" s="1135">
        <v>28964759.064831488</v>
      </c>
    </row>
    <row r="228" spans="2:17" x14ac:dyDescent="0.25">
      <c r="B228" s="65">
        <v>22.4</v>
      </c>
      <c r="C228" s="760">
        <v>55265600</v>
      </c>
      <c r="D228" s="761">
        <v>55390500</v>
      </c>
      <c r="E228" s="757">
        <v>110193083.33333333</v>
      </c>
      <c r="F228" s="757">
        <f t="shared" si="3"/>
        <v>220849183.33333331</v>
      </c>
      <c r="G228" s="67" t="s">
        <v>175</v>
      </c>
      <c r="H228" s="49"/>
      <c r="O228" s="626">
        <v>22.400000000000095</v>
      </c>
      <c r="P228" s="1135">
        <v>29103384.857240245</v>
      </c>
      <c r="Q228" s="1135">
        <v>29103384.857240245</v>
      </c>
    </row>
    <row r="229" spans="2:17" x14ac:dyDescent="0.25">
      <c r="B229" s="65">
        <v>22.5</v>
      </c>
      <c r="C229" s="760">
        <v>55542800</v>
      </c>
      <c r="D229" s="761">
        <v>55667300</v>
      </c>
      <c r="E229" s="757">
        <v>110727533.33333333</v>
      </c>
      <c r="F229" s="757">
        <f t="shared" si="3"/>
        <v>221937633.33333331</v>
      </c>
      <c r="G229" s="67" t="s">
        <v>175</v>
      </c>
      <c r="H229" s="49"/>
      <c r="O229" s="626">
        <v>22.500000000000096</v>
      </c>
      <c r="P229" s="1135">
        <v>29242017.061238158</v>
      </c>
      <c r="Q229" s="1135">
        <v>29242017.061238158</v>
      </c>
    </row>
    <row r="230" spans="2:17" x14ac:dyDescent="0.25">
      <c r="B230" s="65">
        <v>22.6</v>
      </c>
      <c r="C230" s="760">
        <v>55820000</v>
      </c>
      <c r="D230" s="761">
        <v>55944100</v>
      </c>
      <c r="E230" s="757">
        <v>111261983.33333322</v>
      </c>
      <c r="F230" s="757">
        <f t="shared" si="3"/>
        <v>223026083.33333322</v>
      </c>
      <c r="G230" s="67" t="s">
        <v>175</v>
      </c>
      <c r="H230" s="49"/>
      <c r="O230" s="626">
        <v>22.600000000000097</v>
      </c>
      <c r="P230" s="1135">
        <v>29380655.676973004</v>
      </c>
      <c r="Q230" s="1135">
        <v>29380655.676973004</v>
      </c>
    </row>
    <row r="231" spans="2:17" x14ac:dyDescent="0.25">
      <c r="B231" s="65">
        <v>22.7</v>
      </c>
      <c r="C231" s="760">
        <v>56097200</v>
      </c>
      <c r="D231" s="761">
        <v>56220900</v>
      </c>
      <c r="E231" s="757">
        <v>111796433.33333321</v>
      </c>
      <c r="F231" s="757">
        <f t="shared" si="3"/>
        <v>224114533.33333319</v>
      </c>
      <c r="G231" s="67" t="s">
        <v>175</v>
      </c>
      <c r="H231" s="49"/>
      <c r="O231" s="626">
        <v>22.700000000000095</v>
      </c>
      <c r="P231" s="1135">
        <v>29519300.704592589</v>
      </c>
      <c r="Q231" s="1135">
        <v>29519300.704592589</v>
      </c>
    </row>
    <row r="232" spans="2:17" x14ac:dyDescent="0.25">
      <c r="B232" s="65">
        <v>22.8</v>
      </c>
      <c r="C232" s="760">
        <v>56374400</v>
      </c>
      <c r="D232" s="761">
        <v>56497700</v>
      </c>
      <c r="E232" s="757">
        <v>112330883.33333318</v>
      </c>
      <c r="F232" s="757">
        <f t="shared" si="3"/>
        <v>225202983.33333319</v>
      </c>
      <c r="G232" s="67" t="s">
        <v>175</v>
      </c>
      <c r="H232" s="49"/>
      <c r="O232" s="626">
        <v>22.800000000000097</v>
      </c>
      <c r="P232" s="1135">
        <v>29657952.144244723</v>
      </c>
      <c r="Q232" s="1135">
        <v>29657952.144244723</v>
      </c>
    </row>
    <row r="233" spans="2:17" x14ac:dyDescent="0.25">
      <c r="B233" s="68">
        <v>22.9</v>
      </c>
      <c r="C233" s="762">
        <v>56651600</v>
      </c>
      <c r="D233" s="763">
        <v>56774500</v>
      </c>
      <c r="E233" s="764">
        <v>112865333.33333315</v>
      </c>
      <c r="F233" s="764">
        <f t="shared" si="3"/>
        <v>226291433.33333313</v>
      </c>
      <c r="G233" s="70" t="s">
        <v>175</v>
      </c>
      <c r="H233" s="49"/>
      <c r="O233" s="626">
        <v>22.900000000000098</v>
      </c>
      <c r="P233" s="1135">
        <v>29796609.996077191</v>
      </c>
      <c r="Q233" s="1135">
        <v>29796609.996077191</v>
      </c>
    </row>
    <row r="234" spans="2:17" x14ac:dyDescent="0.25">
      <c r="B234" s="77" t="s">
        <v>176</v>
      </c>
      <c r="O234" s="626">
        <v>23.000000000000096</v>
      </c>
      <c r="P234" s="1135">
        <v>29935274.260237813</v>
      </c>
      <c r="Q234" s="1135">
        <v>29935274.260237813</v>
      </c>
    </row>
    <row r="235" spans="2:17" x14ac:dyDescent="0.25">
      <c r="O235" s="626">
        <v>23.100000000000097</v>
      </c>
      <c r="P235" s="1135">
        <v>30073944.936874364</v>
      </c>
      <c r="Q235" s="1135">
        <v>30073944.936874364</v>
      </c>
    </row>
    <row r="236" spans="2:17" x14ac:dyDescent="0.25">
      <c r="O236" s="626">
        <v>23.200000000000095</v>
      </c>
      <c r="P236" s="1135">
        <v>30212622.026134659</v>
      </c>
      <c r="Q236" s="1135">
        <v>30212622.026134659</v>
      </c>
    </row>
    <row r="237" spans="2:17" x14ac:dyDescent="0.25">
      <c r="O237" s="626">
        <v>23.300000000000097</v>
      </c>
      <c r="P237" s="1135">
        <v>30351305.528166503</v>
      </c>
      <c r="Q237" s="1135">
        <v>30351305.528166503</v>
      </c>
    </row>
    <row r="238" spans="2:17" x14ac:dyDescent="0.25">
      <c r="O238" s="626">
        <v>23.400000000000098</v>
      </c>
      <c r="P238" s="1135">
        <v>30489995.443117686</v>
      </c>
      <c r="Q238" s="1135">
        <v>30489995.443117686</v>
      </c>
    </row>
    <row r="239" spans="2:17" x14ac:dyDescent="0.25">
      <c r="O239" s="626">
        <v>23.500000000000096</v>
      </c>
      <c r="P239" s="1135">
        <v>30628691.771136012</v>
      </c>
      <c r="Q239" s="1135">
        <v>30628691.771136012</v>
      </c>
    </row>
    <row r="240" spans="2:17" x14ac:dyDescent="0.25">
      <c r="O240" s="626">
        <v>23.600000000000097</v>
      </c>
      <c r="P240" s="1135">
        <v>30767394.512369279</v>
      </c>
      <c r="Q240" s="1135">
        <v>30767394.512369279</v>
      </c>
    </row>
    <row r="241" spans="15:17" x14ac:dyDescent="0.25">
      <c r="O241" s="626">
        <v>23.700000000000095</v>
      </c>
      <c r="P241" s="1135">
        <v>30906103.666965287</v>
      </c>
      <c r="Q241" s="1135">
        <v>30906103.666965287</v>
      </c>
    </row>
    <row r="242" spans="15:17" x14ac:dyDescent="0.25">
      <c r="O242" s="626">
        <v>23.800000000000097</v>
      </c>
      <c r="P242" s="1135">
        <v>31044819.23507183</v>
      </c>
      <c r="Q242" s="1135">
        <v>31044819.23507183</v>
      </c>
    </row>
    <row r="243" spans="15:17" x14ac:dyDescent="0.25">
      <c r="O243" s="626">
        <v>23.900000000000098</v>
      </c>
      <c r="P243" s="1135">
        <v>31183541.216836732</v>
      </c>
      <c r="Q243" s="1135">
        <v>31183541.216836732</v>
      </c>
    </row>
    <row r="244" spans="15:17" x14ac:dyDescent="0.25">
      <c r="O244" s="626">
        <v>24.000000000000096</v>
      </c>
      <c r="P244" s="1135">
        <v>31322269.612407763</v>
      </c>
      <c r="Q244" s="1135">
        <v>31322269.612407763</v>
      </c>
    </row>
    <row r="245" spans="15:17" x14ac:dyDescent="0.25">
      <c r="O245" s="626">
        <v>24.100000000000097</v>
      </c>
      <c r="P245" s="1135">
        <v>31461004.421932731</v>
      </c>
      <c r="Q245" s="1135">
        <v>31461004.421932731</v>
      </c>
    </row>
    <row r="246" spans="15:17" x14ac:dyDescent="0.25">
      <c r="O246" s="626">
        <v>24.200000000000099</v>
      </c>
      <c r="P246" s="1135">
        <v>31599745.645559456</v>
      </c>
      <c r="Q246" s="1135">
        <v>31599745.645559456</v>
      </c>
    </row>
    <row r="247" spans="15:17" x14ac:dyDescent="0.25">
      <c r="O247" s="626">
        <v>24.300000000000097</v>
      </c>
      <c r="P247" s="1135">
        <v>31738493.283435706</v>
      </c>
      <c r="Q247" s="1135">
        <v>31738493.283435706</v>
      </c>
    </row>
    <row r="248" spans="15:17" x14ac:dyDescent="0.25">
      <c r="O248" s="626">
        <v>24.400000000000098</v>
      </c>
      <c r="P248" s="1135">
        <v>31877247.335709311</v>
      </c>
      <c r="Q248" s="1135">
        <v>31877247.335709311</v>
      </c>
    </row>
    <row r="249" spans="15:17" x14ac:dyDescent="0.25">
      <c r="O249" s="626">
        <v>24.500000000000099</v>
      </c>
      <c r="P249" s="1135">
        <v>32016007.80252805</v>
      </c>
      <c r="Q249" s="1135">
        <v>32016007.80252805</v>
      </c>
    </row>
    <row r="250" spans="15:17" x14ac:dyDescent="0.25">
      <c r="O250" s="626">
        <v>24.600000000000097</v>
      </c>
      <c r="P250" s="1135">
        <v>32154774.684039749</v>
      </c>
      <c r="Q250" s="1135">
        <v>32154774.684039749</v>
      </c>
    </row>
    <row r="251" spans="15:17" x14ac:dyDescent="0.25">
      <c r="O251" s="626">
        <v>24.700000000000099</v>
      </c>
      <c r="P251" s="1135">
        <v>32293547.980392165</v>
      </c>
      <c r="Q251" s="1135">
        <v>32293547.980392165</v>
      </c>
    </row>
    <row r="252" spans="15:17" x14ac:dyDescent="0.25">
      <c r="O252" s="626">
        <v>24.800000000000097</v>
      </c>
      <c r="P252" s="1135">
        <v>32432327.69173314</v>
      </c>
      <c r="Q252" s="1135">
        <v>32432327.69173314</v>
      </c>
    </row>
    <row r="253" spans="15:17" x14ac:dyDescent="0.25">
      <c r="O253" s="626">
        <v>24.900000000000098</v>
      </c>
      <c r="P253" s="1135">
        <v>32571113.818210453</v>
      </c>
      <c r="Q253" s="1135">
        <v>32571113.818210453</v>
      </c>
    </row>
    <row r="254" spans="15:17" x14ac:dyDescent="0.25">
      <c r="O254" s="626">
        <v>25.000000000000099</v>
      </c>
      <c r="P254" s="1135">
        <v>32709906.359971907</v>
      </c>
      <c r="Q254" s="1135">
        <v>32709906.359971907</v>
      </c>
    </row>
    <row r="255" spans="15:17" x14ac:dyDescent="0.25">
      <c r="O255" s="626">
        <v>25.100000000000097</v>
      </c>
      <c r="P255" s="1135">
        <v>32848705.317165293</v>
      </c>
      <c r="Q255" s="1135">
        <v>32848705.317165293</v>
      </c>
    </row>
    <row r="256" spans="15:17" x14ac:dyDescent="0.25">
      <c r="O256" s="626">
        <v>25.200000000000099</v>
      </c>
      <c r="P256" s="1135">
        <v>32987510.68993843</v>
      </c>
      <c r="Q256" s="1135">
        <v>32987510.68993843</v>
      </c>
    </row>
    <row r="257" spans="15:17" x14ac:dyDescent="0.25">
      <c r="O257" s="626">
        <v>25.300000000000097</v>
      </c>
      <c r="P257" s="1135">
        <v>33126322.478439111</v>
      </c>
      <c r="Q257" s="1135">
        <v>33126322.478439111</v>
      </c>
    </row>
    <row r="258" spans="15:17" x14ac:dyDescent="0.25">
      <c r="O258" s="626">
        <v>25.400000000000098</v>
      </c>
      <c r="P258" s="1135">
        <v>33265140.682815142</v>
      </c>
      <c r="Q258" s="1135">
        <v>33265140.682815142</v>
      </c>
    </row>
    <row r="259" spans="15:17" x14ac:dyDescent="0.25">
      <c r="O259" s="626">
        <v>25.500000000000099</v>
      </c>
      <c r="P259" s="1135">
        <v>33403965.303214304</v>
      </c>
      <c r="Q259" s="1135">
        <v>33403965.303214304</v>
      </c>
    </row>
    <row r="260" spans="15:17" x14ac:dyDescent="0.25">
      <c r="O260" s="626">
        <v>25.600000000000097</v>
      </c>
      <c r="P260" s="1135">
        <v>33542796.33978441</v>
      </c>
      <c r="Q260" s="1135">
        <v>33542796.33978441</v>
      </c>
    </row>
    <row r="261" spans="15:17" x14ac:dyDescent="0.25">
      <c r="O261" s="626">
        <v>25.700000000000099</v>
      </c>
      <c r="P261" s="1135">
        <v>33681633.79267326</v>
      </c>
      <c r="Q261" s="1135">
        <v>33681633.79267326</v>
      </c>
    </row>
    <row r="262" spans="15:17" x14ac:dyDescent="0.25">
      <c r="O262" s="627">
        <v>25.75</v>
      </c>
      <c r="P262" s="1136">
        <v>33820477.662028648</v>
      </c>
      <c r="Q262" s="1136">
        <v>33820477.662028648</v>
      </c>
    </row>
  </sheetData>
  <phoneticPr fontId="2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C4:BN352"/>
  <sheetViews>
    <sheetView zoomScale="80" zoomScaleNormal="80" workbookViewId="0">
      <selection activeCell="L63" sqref="L63"/>
    </sheetView>
  </sheetViews>
  <sheetFormatPr defaultRowHeight="13.2" x14ac:dyDescent="0.25"/>
  <cols>
    <col min="4" max="4" width="23.44140625" customWidth="1"/>
    <col min="11" max="11" width="9.6640625" bestFit="1" customWidth="1"/>
    <col min="12" max="12" width="9.44140625" bestFit="1" customWidth="1"/>
    <col min="13" max="13" width="10.109375" bestFit="1" customWidth="1"/>
    <col min="14" max="15" width="9.44140625" bestFit="1" customWidth="1"/>
    <col min="18" max="18" width="10.5546875" customWidth="1"/>
    <col min="20" max="20" width="9.88671875" customWidth="1"/>
    <col min="56" max="56" width="12.44140625" customWidth="1"/>
    <col min="60" max="60" width="11.5546875" customWidth="1"/>
    <col min="64" max="64" width="12.44140625" customWidth="1"/>
  </cols>
  <sheetData>
    <row r="4" spans="3:9" x14ac:dyDescent="0.25">
      <c r="C4">
        <v>1.5469999999999999</v>
      </c>
      <c r="D4" t="s">
        <v>310</v>
      </c>
    </row>
    <row r="5" spans="3:9" x14ac:dyDescent="0.25">
      <c r="C5">
        <v>3.0680000000000001</v>
      </c>
      <c r="D5" t="s">
        <v>311</v>
      </c>
    </row>
    <row r="6" spans="3:9" x14ac:dyDescent="0.25">
      <c r="C6">
        <f>1/1.983</f>
        <v>0.50428643469490664</v>
      </c>
      <c r="D6" t="s">
        <v>312</v>
      </c>
    </row>
    <row r="7" spans="3:9" x14ac:dyDescent="0.25">
      <c r="C7">
        <f>ROUND(1/MGtoAF,3)</f>
        <v>0.32600000000000001</v>
      </c>
      <c r="D7" t="s">
        <v>313</v>
      </c>
    </row>
    <row r="8" spans="3:9" ht="51" customHeight="1" x14ac:dyDescent="0.25">
      <c r="C8">
        <f>ROUND(1/MGDtoCFS,4)</f>
        <v>0.64639999999999997</v>
      </c>
      <c r="D8" t="s">
        <v>314</v>
      </c>
      <c r="E8">
        <f>423-113-300</f>
        <v>10</v>
      </c>
      <c r="F8">
        <f>CFStoMGD*E8</f>
        <v>6.4639999999999995</v>
      </c>
      <c r="H8">
        <v>100</v>
      </c>
      <c r="I8">
        <f>CFStoMGD*H8</f>
        <v>64.64</v>
      </c>
    </row>
    <row r="9" spans="3:9" ht="51" customHeight="1" x14ac:dyDescent="0.25">
      <c r="C9">
        <f>1440/1000000</f>
        <v>1.4400000000000001E-3</v>
      </c>
      <c r="D9" t="s">
        <v>340</v>
      </c>
    </row>
    <row r="10" spans="3:9" ht="51" customHeight="1" x14ac:dyDescent="0.25"/>
    <row r="11" spans="3:9" ht="51" customHeight="1" x14ac:dyDescent="0.25"/>
    <row r="12" spans="3:9" ht="51" customHeight="1" x14ac:dyDescent="0.25"/>
    <row r="13" spans="3:9" ht="51" customHeight="1" x14ac:dyDescent="0.25"/>
    <row r="14" spans="3:9" ht="51" customHeight="1" x14ac:dyDescent="0.25"/>
    <row r="15" spans="3:9" ht="51" customHeight="1" x14ac:dyDescent="0.25"/>
    <row r="16" spans="3:9" ht="51" customHeight="1" x14ac:dyDescent="0.25"/>
    <row r="17" ht="51" customHeight="1" x14ac:dyDescent="0.25"/>
    <row r="18" ht="51" customHeight="1" x14ac:dyDescent="0.25"/>
    <row r="19" ht="51" customHeight="1" x14ac:dyDescent="0.25"/>
    <row r="20" ht="51" customHeight="1" x14ac:dyDescent="0.25"/>
    <row r="21" ht="51" customHeight="1" x14ac:dyDescent="0.25"/>
    <row r="22" ht="51" customHeight="1" x14ac:dyDescent="0.25"/>
    <row r="23" ht="51" customHeight="1" x14ac:dyDescent="0.25"/>
    <row r="24" ht="51" customHeight="1" x14ac:dyDescent="0.25"/>
    <row r="25" ht="51" customHeight="1" x14ac:dyDescent="0.25"/>
    <row r="26" ht="51" customHeight="1" x14ac:dyDescent="0.25"/>
    <row r="27" ht="51" customHeight="1" x14ac:dyDescent="0.25"/>
    <row r="28" ht="51" customHeight="1" x14ac:dyDescent="0.25"/>
    <row r="29" ht="51" customHeight="1" x14ac:dyDescent="0.25"/>
    <row r="30" ht="51" customHeight="1" x14ac:dyDescent="0.25"/>
    <row r="31" ht="51" customHeight="1" x14ac:dyDescent="0.25"/>
    <row r="32" ht="51" customHeight="1" x14ac:dyDescent="0.25"/>
    <row r="33" spans="13:13" ht="51" customHeight="1" x14ac:dyDescent="0.25"/>
    <row r="34" spans="13:13" ht="51" customHeight="1" x14ac:dyDescent="0.25"/>
    <row r="35" spans="13:13" ht="51" customHeight="1" x14ac:dyDescent="0.25"/>
    <row r="36" spans="13:13" ht="51" customHeight="1" x14ac:dyDescent="0.25"/>
    <row r="37" spans="13:13" ht="51" customHeight="1" x14ac:dyDescent="0.25"/>
    <row r="38" spans="13:13" ht="51" customHeight="1" x14ac:dyDescent="0.25"/>
    <row r="39" spans="13:13" ht="51" customHeight="1" x14ac:dyDescent="0.25"/>
    <row r="40" spans="13:13" ht="51" customHeight="1" x14ac:dyDescent="0.25"/>
    <row r="41" spans="13:13" ht="51" customHeight="1" x14ac:dyDescent="0.25"/>
    <row r="42" spans="13:13" ht="51" customHeight="1" x14ac:dyDescent="0.25"/>
    <row r="43" spans="13:13" ht="51" customHeight="1" x14ac:dyDescent="0.25"/>
    <row r="44" spans="13:13" ht="51" customHeight="1" x14ac:dyDescent="0.25"/>
    <row r="45" spans="13:13" ht="51" customHeight="1" x14ac:dyDescent="0.25"/>
    <row r="46" spans="13:13" ht="51" customHeight="1" x14ac:dyDescent="0.25"/>
    <row r="47" spans="13:13" ht="51" customHeight="1" x14ac:dyDescent="0.25">
      <c r="M47" s="973">
        <v>2017</v>
      </c>
    </row>
    <row r="48" spans="13:13" ht="51" customHeight="1" x14ac:dyDescent="0.25"/>
    <row r="49" spans="11:66" ht="51" customHeight="1" x14ac:dyDescent="0.25"/>
    <row r="50" spans="11:66" ht="51" customHeight="1" x14ac:dyDescent="0.25">
      <c r="L50" s="104" t="s">
        <v>326</v>
      </c>
      <c r="M50" s="104"/>
      <c r="N50" s="104"/>
      <c r="O50" s="104"/>
      <c r="R50">
        <v>1</v>
      </c>
      <c r="S50">
        <v>2</v>
      </c>
      <c r="T50">
        <v>3</v>
      </c>
      <c r="U50">
        <v>4</v>
      </c>
      <c r="V50">
        <v>5</v>
      </c>
      <c r="W50">
        <v>6</v>
      </c>
      <c r="X50">
        <v>7</v>
      </c>
      <c r="Y50">
        <v>8</v>
      </c>
      <c r="Z50">
        <v>9</v>
      </c>
      <c r="AA50">
        <v>10</v>
      </c>
      <c r="AB50">
        <v>11</v>
      </c>
      <c r="AC50">
        <v>12</v>
      </c>
      <c r="AD50">
        <v>13</v>
      </c>
      <c r="AE50">
        <v>14</v>
      </c>
      <c r="AF50">
        <v>15</v>
      </c>
      <c r="AG50">
        <v>16</v>
      </c>
      <c r="AH50">
        <v>17</v>
      </c>
      <c r="AI50">
        <v>18</v>
      </c>
      <c r="AJ50">
        <v>19</v>
      </c>
      <c r="AK50">
        <v>20</v>
      </c>
      <c r="AL50">
        <v>21</v>
      </c>
      <c r="AM50">
        <v>22</v>
      </c>
      <c r="AN50">
        <v>23</v>
      </c>
      <c r="AO50">
        <v>24</v>
      </c>
      <c r="AP50">
        <v>25</v>
      </c>
      <c r="AQ50">
        <v>26</v>
      </c>
      <c r="AR50">
        <v>27</v>
      </c>
      <c r="AS50">
        <v>28</v>
      </c>
      <c r="AT50">
        <v>29</v>
      </c>
      <c r="AU50">
        <v>30</v>
      </c>
      <c r="AV50">
        <v>31</v>
      </c>
      <c r="AW50">
        <v>32</v>
      </c>
      <c r="AX50">
        <v>33</v>
      </c>
      <c r="AY50">
        <v>34</v>
      </c>
      <c r="AZ50">
        <v>35</v>
      </c>
      <c r="BA50">
        <v>36</v>
      </c>
      <c r="BB50">
        <v>37</v>
      </c>
      <c r="BC50">
        <v>38</v>
      </c>
      <c r="BD50">
        <v>39</v>
      </c>
      <c r="BE50">
        <v>40</v>
      </c>
      <c r="BF50">
        <v>41</v>
      </c>
      <c r="BG50">
        <v>42</v>
      </c>
      <c r="BH50">
        <v>43</v>
      </c>
      <c r="BI50">
        <v>44</v>
      </c>
      <c r="BJ50">
        <v>45</v>
      </c>
      <c r="BK50">
        <v>46</v>
      </c>
      <c r="BL50">
        <v>47</v>
      </c>
      <c r="BM50">
        <v>48</v>
      </c>
      <c r="BN50">
        <v>49</v>
      </c>
    </row>
    <row r="51" spans="11:66" ht="51" customHeight="1" x14ac:dyDescent="0.25">
      <c r="K51" s="1163">
        <f>L51</f>
        <v>42736</v>
      </c>
      <c r="L51" s="104">
        <f>VLOOKUP(M47,R51:BN78,2)</f>
        <v>42736</v>
      </c>
      <c r="M51" s="104">
        <f>VLOOKUP(M47,R51:BN78,3)</f>
        <v>42766</v>
      </c>
      <c r="N51" s="104">
        <f>VLOOKUP(M47,R51:BN78,4)</f>
        <v>42737</v>
      </c>
      <c r="O51" s="104">
        <f>VLOOKUP(M47,R51:BN78,5)</f>
        <v>42767</v>
      </c>
      <c r="R51">
        <v>2008</v>
      </c>
      <c r="S51" s="104">
        <v>39448</v>
      </c>
      <c r="T51" s="104">
        <v>39478</v>
      </c>
      <c r="U51" s="104">
        <v>39449</v>
      </c>
      <c r="V51" s="104">
        <v>39479</v>
      </c>
      <c r="W51" s="104">
        <v>39479</v>
      </c>
      <c r="X51" s="104">
        <v>39507</v>
      </c>
      <c r="Y51" s="104">
        <v>39480</v>
      </c>
      <c r="Z51" s="104">
        <v>39508</v>
      </c>
      <c r="AA51" s="104">
        <v>39508</v>
      </c>
      <c r="AB51" s="104">
        <v>39538</v>
      </c>
      <c r="AC51" s="104">
        <v>39509</v>
      </c>
      <c r="AD51" s="104">
        <v>39539</v>
      </c>
      <c r="AE51" s="104">
        <v>39539</v>
      </c>
      <c r="AF51" s="104">
        <v>39568</v>
      </c>
      <c r="AG51" s="104">
        <v>39540</v>
      </c>
      <c r="AH51" s="104">
        <v>39569</v>
      </c>
      <c r="AI51" s="104">
        <v>39569</v>
      </c>
      <c r="AJ51" s="104">
        <v>39599</v>
      </c>
      <c r="AK51" s="104">
        <v>39570</v>
      </c>
      <c r="AL51" s="104">
        <v>39600</v>
      </c>
      <c r="AM51" s="104">
        <v>39600</v>
      </c>
      <c r="AN51" s="104">
        <v>39629</v>
      </c>
      <c r="AO51" s="104">
        <v>39601</v>
      </c>
      <c r="AP51" s="104">
        <v>39630</v>
      </c>
      <c r="AQ51" s="104">
        <v>39630</v>
      </c>
      <c r="AR51" s="104">
        <v>39660</v>
      </c>
      <c r="AS51" s="104">
        <v>39631</v>
      </c>
      <c r="AT51" s="104">
        <v>39661</v>
      </c>
      <c r="AU51" s="104">
        <v>39661</v>
      </c>
      <c r="AV51" s="104">
        <v>39691</v>
      </c>
      <c r="AW51" s="104">
        <v>39662</v>
      </c>
      <c r="AX51" s="104">
        <v>39692</v>
      </c>
      <c r="AY51" s="104">
        <v>39692</v>
      </c>
      <c r="AZ51" s="104">
        <v>39721</v>
      </c>
      <c r="BA51" s="104">
        <v>39693</v>
      </c>
      <c r="BB51" s="104">
        <v>39722</v>
      </c>
      <c r="BC51" s="104">
        <v>39722</v>
      </c>
      <c r="BD51" s="104">
        <v>39752</v>
      </c>
      <c r="BE51" s="104">
        <v>39723</v>
      </c>
      <c r="BF51" s="104">
        <v>39753</v>
      </c>
      <c r="BG51" s="104">
        <v>39753</v>
      </c>
      <c r="BH51" s="104">
        <v>39782</v>
      </c>
      <c r="BI51" s="104">
        <v>39754</v>
      </c>
      <c r="BJ51" s="104">
        <v>39783</v>
      </c>
      <c r="BK51" s="104">
        <v>39783</v>
      </c>
      <c r="BL51" s="104">
        <v>39813</v>
      </c>
      <c r="BM51" s="104">
        <v>39784</v>
      </c>
      <c r="BN51" s="104">
        <v>39814</v>
      </c>
    </row>
    <row r="52" spans="11:66" ht="51" customHeight="1" x14ac:dyDescent="0.25">
      <c r="K52" s="1163">
        <f t="shared" ref="K52:K62" si="0">L52</f>
        <v>42767</v>
      </c>
      <c r="L52" s="104">
        <f>VLOOKUP(M47,R51:BN78,6)</f>
        <v>42767</v>
      </c>
      <c r="M52" s="104">
        <f>VLOOKUP(M47,R51:BN78,7)</f>
        <v>42794</v>
      </c>
      <c r="N52" s="104">
        <f>VLOOKUP(M47,R51:BN78,8)</f>
        <v>42768</v>
      </c>
      <c r="O52" s="104">
        <f>VLOOKUP(M47,R51:BN78,9)</f>
        <v>42795</v>
      </c>
      <c r="R52">
        <v>2009</v>
      </c>
      <c r="S52" s="104">
        <v>39814</v>
      </c>
      <c r="T52" s="104">
        <v>39844</v>
      </c>
      <c r="U52" s="104">
        <v>39815</v>
      </c>
      <c r="V52" s="104">
        <v>39845</v>
      </c>
      <c r="W52" s="104">
        <v>39845</v>
      </c>
      <c r="X52" s="104">
        <v>39872</v>
      </c>
      <c r="Y52" s="104">
        <v>39846</v>
      </c>
      <c r="Z52" s="104">
        <v>39873</v>
      </c>
      <c r="AA52" s="104">
        <v>39873</v>
      </c>
      <c r="AB52" s="104">
        <v>39903</v>
      </c>
      <c r="AC52" s="104">
        <v>39874</v>
      </c>
      <c r="AD52" s="104">
        <v>39904</v>
      </c>
      <c r="AE52" s="104">
        <v>39904</v>
      </c>
      <c r="AF52" s="104">
        <v>39933</v>
      </c>
      <c r="AG52" s="104">
        <v>39905</v>
      </c>
      <c r="AH52" s="104">
        <v>39934</v>
      </c>
      <c r="AI52" s="104">
        <v>39934</v>
      </c>
      <c r="AJ52" s="104">
        <v>39964</v>
      </c>
      <c r="AK52" s="104">
        <v>39935</v>
      </c>
      <c r="AL52" s="104">
        <v>39965</v>
      </c>
      <c r="AM52" s="104">
        <v>39965</v>
      </c>
      <c r="AN52" s="104">
        <v>39994</v>
      </c>
      <c r="AO52" s="104">
        <v>39966</v>
      </c>
      <c r="AP52" s="104">
        <v>39995</v>
      </c>
      <c r="AQ52" s="104">
        <v>39995</v>
      </c>
      <c r="AR52" s="104">
        <v>40025</v>
      </c>
      <c r="AS52" s="104">
        <v>39996</v>
      </c>
      <c r="AT52" s="104">
        <v>40026</v>
      </c>
      <c r="AU52" s="104">
        <v>40026</v>
      </c>
      <c r="AV52" s="104">
        <v>40056</v>
      </c>
      <c r="AW52" s="104">
        <v>40027</v>
      </c>
      <c r="AX52" s="104">
        <v>40057</v>
      </c>
      <c r="AY52" s="104">
        <v>40057</v>
      </c>
      <c r="AZ52" s="104">
        <v>40086</v>
      </c>
      <c r="BA52" s="104">
        <v>40058</v>
      </c>
      <c r="BB52" s="104">
        <v>40087</v>
      </c>
      <c r="BC52" s="104">
        <v>40087</v>
      </c>
      <c r="BD52" s="104">
        <v>40117</v>
      </c>
      <c r="BE52" s="104">
        <v>40088</v>
      </c>
      <c r="BF52" s="104">
        <v>40118</v>
      </c>
      <c r="BG52" s="104">
        <v>40118</v>
      </c>
      <c r="BH52" s="104">
        <v>40147</v>
      </c>
      <c r="BI52" s="104">
        <v>40119</v>
      </c>
      <c r="BJ52" s="104">
        <v>40148</v>
      </c>
      <c r="BK52" s="104">
        <v>40148</v>
      </c>
      <c r="BL52" s="104">
        <v>40178</v>
      </c>
      <c r="BM52" s="104">
        <v>40149</v>
      </c>
      <c r="BN52" s="104">
        <v>40179</v>
      </c>
    </row>
    <row r="53" spans="11:66" ht="51" customHeight="1" x14ac:dyDescent="0.25">
      <c r="K53" s="1163">
        <f t="shared" si="0"/>
        <v>42795</v>
      </c>
      <c r="L53" s="104">
        <f>VLOOKUP(M47,R51:BN78,10)</f>
        <v>42795</v>
      </c>
      <c r="M53" s="104">
        <f>VLOOKUP(M47,R51:BN78,11)</f>
        <v>42825</v>
      </c>
      <c r="N53" s="104">
        <f>VLOOKUP(M47,R51:BN78,12)</f>
        <v>42796</v>
      </c>
      <c r="O53" s="104">
        <f>VLOOKUP(M47,R51:BN78,13)</f>
        <v>42826</v>
      </c>
      <c r="R53">
        <v>2010</v>
      </c>
      <c r="S53" s="104">
        <v>40179</v>
      </c>
      <c r="T53" s="104">
        <v>40209</v>
      </c>
      <c r="U53" s="104">
        <v>40180</v>
      </c>
      <c r="V53" s="104">
        <v>40210</v>
      </c>
      <c r="W53" s="104">
        <v>40210</v>
      </c>
      <c r="X53" s="104">
        <v>40237</v>
      </c>
      <c r="Y53" s="104">
        <v>40211</v>
      </c>
      <c r="Z53" s="104">
        <v>40238</v>
      </c>
      <c r="AA53" s="104">
        <v>40238</v>
      </c>
      <c r="AB53" s="104">
        <v>40268</v>
      </c>
      <c r="AC53" s="104">
        <v>40239</v>
      </c>
      <c r="AD53" s="104">
        <v>40269</v>
      </c>
      <c r="AE53" s="104">
        <v>40269</v>
      </c>
      <c r="AF53" s="104">
        <v>40298</v>
      </c>
      <c r="AG53" s="104">
        <v>40270</v>
      </c>
      <c r="AH53" s="104">
        <v>40299</v>
      </c>
      <c r="AI53" s="104">
        <v>40299</v>
      </c>
      <c r="AJ53" s="104">
        <v>40329</v>
      </c>
      <c r="AK53" s="104">
        <v>40300</v>
      </c>
      <c r="AL53" s="104">
        <v>40330</v>
      </c>
      <c r="AM53" s="104">
        <v>40330</v>
      </c>
      <c r="AN53" s="104">
        <v>40359</v>
      </c>
      <c r="AO53" s="104">
        <v>40331</v>
      </c>
      <c r="AP53" s="104">
        <v>40360</v>
      </c>
      <c r="AQ53" s="104">
        <v>40360</v>
      </c>
      <c r="AR53" s="104">
        <v>40390</v>
      </c>
      <c r="AS53" s="104">
        <v>40361</v>
      </c>
      <c r="AT53" s="104">
        <v>40391</v>
      </c>
      <c r="AU53" s="104">
        <v>40391</v>
      </c>
      <c r="AV53" s="104">
        <v>40421</v>
      </c>
      <c r="AW53" s="104">
        <v>40392</v>
      </c>
      <c r="AX53" s="104">
        <v>40422</v>
      </c>
      <c r="AY53" s="104">
        <v>40422</v>
      </c>
      <c r="AZ53" s="104">
        <v>40451</v>
      </c>
      <c r="BA53" s="104">
        <v>40423</v>
      </c>
      <c r="BB53" s="104">
        <v>40452</v>
      </c>
      <c r="BC53" s="104">
        <v>40452</v>
      </c>
      <c r="BD53" s="104">
        <v>40482</v>
      </c>
      <c r="BE53" s="104">
        <v>40453</v>
      </c>
      <c r="BF53" s="104">
        <v>40483</v>
      </c>
      <c r="BG53" s="104">
        <v>40483</v>
      </c>
      <c r="BH53" s="104">
        <v>40512</v>
      </c>
      <c r="BI53" s="104">
        <v>40484</v>
      </c>
      <c r="BJ53" s="104">
        <v>40513</v>
      </c>
      <c r="BK53" s="104">
        <v>40513</v>
      </c>
      <c r="BL53" s="104">
        <v>40543</v>
      </c>
      <c r="BM53" s="104">
        <v>40514</v>
      </c>
      <c r="BN53" s="104">
        <v>40544</v>
      </c>
    </row>
    <row r="54" spans="11:66" ht="51" customHeight="1" x14ac:dyDescent="0.25">
      <c r="K54" s="1163">
        <f t="shared" si="0"/>
        <v>42826</v>
      </c>
      <c r="L54" s="104">
        <f>VLOOKUP(M47,R51:BN78,14)</f>
        <v>42826</v>
      </c>
      <c r="M54" s="104">
        <f>VLOOKUP(M47,R51:BN78,15)</f>
        <v>42855</v>
      </c>
      <c r="N54" s="104">
        <f>VLOOKUP(M47,R51:BN78,16)</f>
        <v>42827</v>
      </c>
      <c r="O54" s="104">
        <f>VLOOKUP(M47,R51:BN78,17)</f>
        <v>42856</v>
      </c>
      <c r="R54">
        <v>2011</v>
      </c>
      <c r="S54" s="104">
        <v>40544</v>
      </c>
      <c r="T54" s="104">
        <v>40574</v>
      </c>
      <c r="U54" s="104">
        <v>40545</v>
      </c>
      <c r="V54" s="104">
        <v>40575</v>
      </c>
      <c r="W54" s="104">
        <v>40575</v>
      </c>
      <c r="X54" s="104">
        <v>40602</v>
      </c>
      <c r="Y54" s="104">
        <v>40576</v>
      </c>
      <c r="Z54" s="104">
        <v>40603</v>
      </c>
      <c r="AA54" s="104">
        <v>40603</v>
      </c>
      <c r="AB54" s="104">
        <v>40633</v>
      </c>
      <c r="AC54" s="104">
        <v>40604</v>
      </c>
      <c r="AD54" s="104">
        <v>40634</v>
      </c>
      <c r="AE54" s="104">
        <v>40634</v>
      </c>
      <c r="AF54" s="104">
        <v>40663</v>
      </c>
      <c r="AG54" s="104">
        <v>40635</v>
      </c>
      <c r="AH54" s="104">
        <v>40664</v>
      </c>
      <c r="AI54" s="104">
        <v>40664</v>
      </c>
      <c r="AJ54" s="104">
        <v>40694</v>
      </c>
      <c r="AK54" s="104">
        <v>40665</v>
      </c>
      <c r="AL54" s="104">
        <v>40695</v>
      </c>
      <c r="AM54" s="104">
        <v>40695</v>
      </c>
      <c r="AN54" s="104">
        <v>40724</v>
      </c>
      <c r="AO54" s="104">
        <v>40696</v>
      </c>
      <c r="AP54" s="104">
        <v>40725</v>
      </c>
      <c r="AQ54" s="104">
        <v>40725</v>
      </c>
      <c r="AR54" s="104">
        <v>40755</v>
      </c>
      <c r="AS54" s="104">
        <v>40726</v>
      </c>
      <c r="AT54" s="104">
        <v>40756</v>
      </c>
      <c r="AU54" s="104">
        <v>40756</v>
      </c>
      <c r="AV54" s="104">
        <v>40786</v>
      </c>
      <c r="AW54" s="104">
        <v>40757</v>
      </c>
      <c r="AX54" s="104">
        <v>40787</v>
      </c>
      <c r="AY54" s="104">
        <v>40787</v>
      </c>
      <c r="AZ54" s="104">
        <v>40816</v>
      </c>
      <c r="BA54" s="104">
        <v>40788</v>
      </c>
      <c r="BB54" s="104">
        <v>40817</v>
      </c>
      <c r="BC54" s="104">
        <v>40817</v>
      </c>
      <c r="BD54" s="104">
        <v>40847</v>
      </c>
      <c r="BE54" s="104">
        <v>40818</v>
      </c>
      <c r="BF54" s="104">
        <v>40848</v>
      </c>
      <c r="BG54" s="104">
        <v>40848</v>
      </c>
      <c r="BH54" s="104">
        <v>40877</v>
      </c>
      <c r="BI54" s="104">
        <v>40849</v>
      </c>
      <c r="BJ54" s="104">
        <v>40878</v>
      </c>
      <c r="BK54" s="104">
        <v>40878</v>
      </c>
      <c r="BL54" s="104">
        <v>40908</v>
      </c>
      <c r="BM54" s="104">
        <v>40879</v>
      </c>
      <c r="BN54" s="104">
        <v>40909</v>
      </c>
    </row>
    <row r="55" spans="11:66" ht="51" customHeight="1" x14ac:dyDescent="0.25">
      <c r="K55" s="1163">
        <f t="shared" si="0"/>
        <v>42856</v>
      </c>
      <c r="L55" s="104">
        <f>VLOOKUP(M47,R51:BN78,18)</f>
        <v>42856</v>
      </c>
      <c r="M55" s="104">
        <f>VLOOKUP(M47,R51:BN78,19)</f>
        <v>42886</v>
      </c>
      <c r="N55" s="104">
        <f>VLOOKUP(M47,R51:BN78,20)</f>
        <v>42857</v>
      </c>
      <c r="O55" s="104">
        <f>VLOOKUP(M47,R51:BN78,21)</f>
        <v>42887</v>
      </c>
      <c r="R55">
        <v>2012</v>
      </c>
      <c r="S55" s="104">
        <v>40909</v>
      </c>
      <c r="T55" s="104">
        <v>40939</v>
      </c>
      <c r="U55" s="104">
        <v>40910</v>
      </c>
      <c r="V55" s="104">
        <v>40940</v>
      </c>
      <c r="W55" s="104">
        <v>40940</v>
      </c>
      <c r="X55" s="104">
        <v>40968</v>
      </c>
      <c r="Y55" s="104">
        <v>40941</v>
      </c>
      <c r="Z55" s="104">
        <v>40969</v>
      </c>
      <c r="AA55" s="104">
        <v>40969</v>
      </c>
      <c r="AB55" s="104">
        <v>40999</v>
      </c>
      <c r="AC55" s="104">
        <v>40970</v>
      </c>
      <c r="AD55" s="104">
        <v>41000</v>
      </c>
      <c r="AE55" s="104">
        <v>41000</v>
      </c>
      <c r="AF55" s="104">
        <v>41029</v>
      </c>
      <c r="AG55" s="104">
        <v>41001</v>
      </c>
      <c r="AH55" s="104">
        <v>41030</v>
      </c>
      <c r="AI55" s="104">
        <v>41030</v>
      </c>
      <c r="AJ55" s="104">
        <v>41060</v>
      </c>
      <c r="AK55" s="104">
        <v>41031</v>
      </c>
      <c r="AL55" s="104">
        <v>41061</v>
      </c>
      <c r="AM55" s="104">
        <v>41061</v>
      </c>
      <c r="AN55" s="104">
        <v>41090</v>
      </c>
      <c r="AO55" s="104">
        <v>41062</v>
      </c>
      <c r="AP55" s="104">
        <v>41091</v>
      </c>
      <c r="AQ55" s="104">
        <v>41091</v>
      </c>
      <c r="AR55" s="104">
        <v>41121</v>
      </c>
      <c r="AS55" s="104">
        <v>41092</v>
      </c>
      <c r="AT55" s="104">
        <v>41122</v>
      </c>
      <c r="AU55" s="104">
        <v>41122</v>
      </c>
      <c r="AV55" s="104">
        <v>41152</v>
      </c>
      <c r="AW55" s="104">
        <v>41123</v>
      </c>
      <c r="AX55" s="104">
        <v>41153</v>
      </c>
      <c r="AY55" s="104">
        <v>41153</v>
      </c>
      <c r="AZ55" s="104">
        <v>41182</v>
      </c>
      <c r="BA55" s="104">
        <v>41154</v>
      </c>
      <c r="BB55" s="104">
        <v>41183</v>
      </c>
      <c r="BC55" s="104">
        <v>41183</v>
      </c>
      <c r="BD55" s="104">
        <v>41213</v>
      </c>
      <c r="BE55" s="104">
        <v>41184</v>
      </c>
      <c r="BF55" s="104">
        <v>41214</v>
      </c>
      <c r="BG55" s="104">
        <v>41214</v>
      </c>
      <c r="BH55" s="104">
        <v>41243</v>
      </c>
      <c r="BI55" s="104">
        <v>41215</v>
      </c>
      <c r="BJ55" s="104">
        <v>41244</v>
      </c>
      <c r="BK55" s="104">
        <v>41244</v>
      </c>
      <c r="BL55" s="104">
        <v>41274</v>
      </c>
      <c r="BM55" s="104">
        <v>41245</v>
      </c>
      <c r="BN55" s="104">
        <v>41275</v>
      </c>
    </row>
    <row r="56" spans="11:66" ht="51" customHeight="1" x14ac:dyDescent="0.25">
      <c r="K56" s="1163">
        <f t="shared" si="0"/>
        <v>42887</v>
      </c>
      <c r="L56" s="104">
        <f>VLOOKUP(M47,R51:BN78,22)</f>
        <v>42887</v>
      </c>
      <c r="M56" s="104">
        <f>VLOOKUP(M47,R51:BN78,23)</f>
        <v>42916</v>
      </c>
      <c r="N56" s="104">
        <f>VLOOKUP(M47,R51:BN78,24)</f>
        <v>42888</v>
      </c>
      <c r="O56" s="104">
        <f>VLOOKUP(M47,R51:BN78,25)</f>
        <v>42917</v>
      </c>
      <c r="R56">
        <v>2013</v>
      </c>
      <c r="S56" s="104">
        <v>41275</v>
      </c>
      <c r="T56" s="104">
        <v>41305</v>
      </c>
      <c r="U56" s="104">
        <v>41276</v>
      </c>
      <c r="V56" s="104">
        <v>41306</v>
      </c>
      <c r="W56" s="104">
        <v>41306</v>
      </c>
      <c r="X56" s="104">
        <v>41333</v>
      </c>
      <c r="Y56" s="104">
        <v>41307</v>
      </c>
      <c r="Z56" s="104">
        <v>41334</v>
      </c>
      <c r="AA56" s="104">
        <v>41334</v>
      </c>
      <c r="AB56" s="104">
        <v>41364</v>
      </c>
      <c r="AC56" s="104">
        <v>41335</v>
      </c>
      <c r="AD56" s="104">
        <v>41365</v>
      </c>
      <c r="AE56" s="104">
        <v>41365</v>
      </c>
      <c r="AF56" s="104">
        <v>41394</v>
      </c>
      <c r="AG56" s="104">
        <v>41366</v>
      </c>
      <c r="AH56" s="104">
        <v>41395</v>
      </c>
      <c r="AI56" s="104">
        <v>41395</v>
      </c>
      <c r="AJ56" s="104">
        <v>41425</v>
      </c>
      <c r="AK56" s="104">
        <v>41396</v>
      </c>
      <c r="AL56" s="104">
        <v>41426</v>
      </c>
      <c r="AM56" s="104">
        <v>41426</v>
      </c>
      <c r="AN56" s="104">
        <v>41455</v>
      </c>
      <c r="AO56" s="104">
        <v>41427</v>
      </c>
      <c r="AP56" s="104">
        <v>41456</v>
      </c>
      <c r="AQ56" s="104">
        <v>41456</v>
      </c>
      <c r="AR56" s="104">
        <v>41486</v>
      </c>
      <c r="AS56" s="104">
        <v>41457</v>
      </c>
      <c r="AT56" s="104">
        <v>41487</v>
      </c>
      <c r="AU56" s="104">
        <v>41487</v>
      </c>
      <c r="AV56" s="104">
        <v>41517</v>
      </c>
      <c r="AW56" s="104">
        <v>41488</v>
      </c>
      <c r="AX56" s="104">
        <v>41518</v>
      </c>
      <c r="AY56" s="104">
        <v>41518</v>
      </c>
      <c r="AZ56" s="104">
        <v>41547</v>
      </c>
      <c r="BA56" s="104">
        <v>41519</v>
      </c>
      <c r="BB56" s="104">
        <v>41548</v>
      </c>
      <c r="BC56" s="104">
        <v>41548</v>
      </c>
      <c r="BD56" s="104">
        <v>41578</v>
      </c>
      <c r="BE56" s="104">
        <v>41549</v>
      </c>
      <c r="BF56" s="104">
        <v>41579</v>
      </c>
      <c r="BG56" s="104">
        <v>41579</v>
      </c>
      <c r="BH56" s="104">
        <v>41608</v>
      </c>
      <c r="BI56" s="104">
        <v>41580</v>
      </c>
      <c r="BJ56" s="104">
        <v>41609</v>
      </c>
      <c r="BK56" s="104">
        <v>41609</v>
      </c>
      <c r="BL56" s="104">
        <v>41639</v>
      </c>
      <c r="BM56" s="104">
        <v>41610</v>
      </c>
      <c r="BN56" s="104">
        <v>41640</v>
      </c>
    </row>
    <row r="57" spans="11:66" ht="51" customHeight="1" x14ac:dyDescent="0.25">
      <c r="K57" s="1163">
        <f t="shared" si="0"/>
        <v>42917</v>
      </c>
      <c r="L57" s="104">
        <f>VLOOKUP(M47,R51:BN78,26)</f>
        <v>42917</v>
      </c>
      <c r="M57" s="104">
        <f>VLOOKUP(M47,R51:BN78,27)</f>
        <v>42947</v>
      </c>
      <c r="N57" s="104">
        <f>VLOOKUP(M47,R51:BN78,28)</f>
        <v>42918</v>
      </c>
      <c r="O57" s="104">
        <f>VLOOKUP(M47,R51:BN78,29)</f>
        <v>42948</v>
      </c>
      <c r="R57">
        <v>2014</v>
      </c>
      <c r="S57" s="104">
        <v>41640</v>
      </c>
      <c r="T57" s="104">
        <v>41670</v>
      </c>
      <c r="U57" s="104">
        <v>41641</v>
      </c>
      <c r="V57" s="104">
        <v>41671</v>
      </c>
      <c r="W57" s="104">
        <v>41671</v>
      </c>
      <c r="X57" s="104">
        <v>41698</v>
      </c>
      <c r="Y57" s="104">
        <v>41672</v>
      </c>
      <c r="Z57" s="104">
        <v>41699</v>
      </c>
      <c r="AA57" s="104">
        <v>41699</v>
      </c>
      <c r="AB57" s="104">
        <v>41729</v>
      </c>
      <c r="AC57" s="104">
        <v>41700</v>
      </c>
      <c r="AD57" s="104">
        <v>41730</v>
      </c>
      <c r="AE57" s="104">
        <v>41730</v>
      </c>
      <c r="AF57" s="104">
        <v>41759</v>
      </c>
      <c r="AG57" s="104">
        <v>41731</v>
      </c>
      <c r="AH57" s="104">
        <v>41760</v>
      </c>
      <c r="AI57" s="104">
        <v>41760</v>
      </c>
      <c r="AJ57" s="104">
        <v>41790</v>
      </c>
      <c r="AK57" s="104">
        <v>41761</v>
      </c>
      <c r="AL57" s="104">
        <v>41791</v>
      </c>
      <c r="AM57" s="104">
        <v>41791</v>
      </c>
      <c r="AN57" s="104">
        <v>41820</v>
      </c>
      <c r="AO57" s="104">
        <v>41792</v>
      </c>
      <c r="AP57" s="104">
        <v>41821</v>
      </c>
      <c r="AQ57" s="104">
        <v>41821</v>
      </c>
      <c r="AR57" s="104">
        <v>41851</v>
      </c>
      <c r="AS57" s="104">
        <v>41822</v>
      </c>
      <c r="AT57" s="104">
        <v>41852</v>
      </c>
      <c r="AU57" s="104">
        <v>41852</v>
      </c>
      <c r="AV57" s="104">
        <v>41882</v>
      </c>
      <c r="AW57" s="104">
        <v>41853</v>
      </c>
      <c r="AX57" s="104">
        <v>41883</v>
      </c>
      <c r="AY57" s="104">
        <v>41883</v>
      </c>
      <c r="AZ57" s="104">
        <v>41912</v>
      </c>
      <c r="BA57" s="104">
        <v>41884</v>
      </c>
      <c r="BB57" s="104">
        <v>41913</v>
      </c>
      <c r="BC57" s="104">
        <v>41913</v>
      </c>
      <c r="BD57" s="104">
        <v>41943</v>
      </c>
      <c r="BE57" s="104">
        <v>41914</v>
      </c>
      <c r="BF57" s="104">
        <v>41944</v>
      </c>
      <c r="BG57" s="104">
        <v>41944</v>
      </c>
      <c r="BH57" s="104">
        <v>41973</v>
      </c>
      <c r="BI57" s="104">
        <v>41945</v>
      </c>
      <c r="BJ57" s="104">
        <v>41974</v>
      </c>
      <c r="BK57" s="104">
        <v>41974</v>
      </c>
      <c r="BL57" s="104">
        <v>42004</v>
      </c>
      <c r="BM57" s="104">
        <v>41975</v>
      </c>
      <c r="BN57" s="104">
        <v>42005</v>
      </c>
    </row>
    <row r="58" spans="11:66" ht="51" customHeight="1" x14ac:dyDescent="0.25">
      <c r="K58" s="1163">
        <f t="shared" si="0"/>
        <v>42948</v>
      </c>
      <c r="L58" s="104">
        <f>VLOOKUP(M47,R51:BN78,30)</f>
        <v>42948</v>
      </c>
      <c r="M58" s="104">
        <f>VLOOKUP(M47,R51:BN78,31)</f>
        <v>42978</v>
      </c>
      <c r="N58" s="104">
        <f>VLOOKUP(M47,R51:BN78,32)</f>
        <v>42949</v>
      </c>
      <c r="O58" s="104">
        <f>VLOOKUP(M47,R51:BN78,33)</f>
        <v>42979</v>
      </c>
      <c r="R58">
        <v>2015</v>
      </c>
      <c r="S58" s="104">
        <v>42005</v>
      </c>
      <c r="T58" s="104">
        <v>42035</v>
      </c>
      <c r="U58" s="104">
        <v>42006</v>
      </c>
      <c r="V58" s="104">
        <v>42036</v>
      </c>
      <c r="W58" s="104">
        <v>42036</v>
      </c>
      <c r="X58" s="104">
        <v>42063</v>
      </c>
      <c r="Y58" s="104">
        <v>42037</v>
      </c>
      <c r="Z58" s="104">
        <v>42064</v>
      </c>
      <c r="AA58" s="104">
        <v>42064</v>
      </c>
      <c r="AB58" s="104">
        <v>42094</v>
      </c>
      <c r="AC58" s="104">
        <v>42065</v>
      </c>
      <c r="AD58" s="104">
        <v>42095</v>
      </c>
      <c r="AE58" s="104">
        <v>42095</v>
      </c>
      <c r="AF58" s="104">
        <v>42124</v>
      </c>
      <c r="AG58" s="104">
        <v>42096</v>
      </c>
      <c r="AH58" s="104">
        <v>42125</v>
      </c>
      <c r="AI58" s="104">
        <v>42125</v>
      </c>
      <c r="AJ58" s="104">
        <v>42155</v>
      </c>
      <c r="AK58" s="104">
        <v>42126</v>
      </c>
      <c r="AL58" s="104">
        <v>42156</v>
      </c>
      <c r="AM58" s="104">
        <v>42156</v>
      </c>
      <c r="AN58" s="104">
        <v>42185</v>
      </c>
      <c r="AO58" s="104">
        <v>42157</v>
      </c>
      <c r="AP58" s="104">
        <v>42186</v>
      </c>
      <c r="AQ58" s="104">
        <v>42186</v>
      </c>
      <c r="AR58" s="104">
        <v>42216</v>
      </c>
      <c r="AS58" s="104">
        <v>42187</v>
      </c>
      <c r="AT58" s="104">
        <v>42217</v>
      </c>
      <c r="AU58" s="104">
        <v>42217</v>
      </c>
      <c r="AV58" s="104">
        <v>42247</v>
      </c>
      <c r="AW58" s="104">
        <v>42218</v>
      </c>
      <c r="AX58" s="104">
        <v>42248</v>
      </c>
      <c r="AY58" s="104">
        <v>42248</v>
      </c>
      <c r="AZ58" s="104">
        <v>42277</v>
      </c>
      <c r="BA58" s="104">
        <v>42249</v>
      </c>
      <c r="BB58" s="104">
        <v>42278</v>
      </c>
      <c r="BC58" s="104">
        <v>42278</v>
      </c>
      <c r="BD58" s="104">
        <v>42308</v>
      </c>
      <c r="BE58" s="104">
        <v>42279</v>
      </c>
      <c r="BF58" s="104">
        <v>42309</v>
      </c>
      <c r="BG58" s="104">
        <v>42309</v>
      </c>
      <c r="BH58" s="104">
        <v>42338</v>
      </c>
      <c r="BI58" s="104">
        <v>42310</v>
      </c>
      <c r="BJ58" s="104">
        <v>42339</v>
      </c>
      <c r="BK58" s="104">
        <v>42339</v>
      </c>
      <c r="BL58" s="104">
        <v>42369</v>
      </c>
      <c r="BM58" s="104">
        <v>42340</v>
      </c>
      <c r="BN58" s="104">
        <v>42370</v>
      </c>
    </row>
    <row r="59" spans="11:66" ht="51" customHeight="1" x14ac:dyDescent="0.25">
      <c r="K59" s="1163">
        <f t="shared" si="0"/>
        <v>42979</v>
      </c>
      <c r="L59" s="104">
        <f>VLOOKUP(M47,R51:BN78,34)</f>
        <v>42979</v>
      </c>
      <c r="M59" s="104">
        <f>VLOOKUP(M47,R52:BN79,35)</f>
        <v>43008</v>
      </c>
      <c r="N59" s="104">
        <f>VLOOKUP(M47,R52:BN79,36)</f>
        <v>42980</v>
      </c>
      <c r="O59" s="104">
        <f>VLOOKUP(M47,R52:BN79,37)</f>
        <v>43009</v>
      </c>
      <c r="R59">
        <v>2016</v>
      </c>
      <c r="S59" s="104">
        <v>42370</v>
      </c>
      <c r="T59" s="104">
        <v>42400</v>
      </c>
      <c r="U59" s="104">
        <v>42371</v>
      </c>
      <c r="V59" s="104">
        <v>42401</v>
      </c>
      <c r="W59" s="104">
        <v>42401</v>
      </c>
      <c r="X59" s="104">
        <v>42429</v>
      </c>
      <c r="Y59" s="104">
        <v>42402</v>
      </c>
      <c r="Z59" s="104">
        <v>42430</v>
      </c>
      <c r="AA59" s="104">
        <v>42430</v>
      </c>
      <c r="AB59" s="104">
        <v>42460</v>
      </c>
      <c r="AC59" s="104">
        <v>42431</v>
      </c>
      <c r="AD59" s="104">
        <v>42461</v>
      </c>
      <c r="AE59" s="104">
        <v>42461</v>
      </c>
      <c r="AF59" s="104">
        <v>42490</v>
      </c>
      <c r="AG59" s="104">
        <v>42462</v>
      </c>
      <c r="AH59" s="104">
        <v>42491</v>
      </c>
      <c r="AI59" s="104">
        <v>42491</v>
      </c>
      <c r="AJ59" s="104">
        <v>42521</v>
      </c>
      <c r="AK59" s="104">
        <v>42492</v>
      </c>
      <c r="AL59" s="104">
        <v>42522</v>
      </c>
      <c r="AM59" s="104">
        <v>42522</v>
      </c>
      <c r="AN59" s="104">
        <v>42551</v>
      </c>
      <c r="AO59" s="104">
        <v>42523</v>
      </c>
      <c r="AP59" s="104">
        <v>42552</v>
      </c>
      <c r="AQ59" s="104">
        <v>42552</v>
      </c>
      <c r="AR59" s="104">
        <v>42582</v>
      </c>
      <c r="AS59" s="104">
        <v>42553</v>
      </c>
      <c r="AT59" s="104">
        <v>42583</v>
      </c>
      <c r="AU59" s="104">
        <v>42583</v>
      </c>
      <c r="AV59" s="104">
        <v>42613</v>
      </c>
      <c r="AW59" s="104">
        <v>42584</v>
      </c>
      <c r="AX59" s="104">
        <v>42614</v>
      </c>
      <c r="AY59" s="104">
        <v>42614</v>
      </c>
      <c r="AZ59" s="104">
        <v>42643</v>
      </c>
      <c r="BA59" s="104">
        <v>42615</v>
      </c>
      <c r="BB59" s="104">
        <v>42644</v>
      </c>
      <c r="BC59" s="104">
        <v>42644</v>
      </c>
      <c r="BD59" s="104">
        <v>42674</v>
      </c>
      <c r="BE59" s="104">
        <v>42645</v>
      </c>
      <c r="BF59" s="104">
        <v>42675</v>
      </c>
      <c r="BG59" s="104">
        <v>42675</v>
      </c>
      <c r="BH59" s="104">
        <v>42704</v>
      </c>
      <c r="BI59" s="104">
        <v>42676</v>
      </c>
      <c r="BJ59" s="104">
        <v>42705</v>
      </c>
      <c r="BK59" s="104">
        <v>42705</v>
      </c>
      <c r="BL59" s="104">
        <v>42735</v>
      </c>
      <c r="BM59" s="104">
        <v>42706</v>
      </c>
      <c r="BN59" s="104">
        <v>42736</v>
      </c>
    </row>
    <row r="60" spans="11:66" ht="51" customHeight="1" x14ac:dyDescent="0.25">
      <c r="K60" s="1163">
        <f t="shared" si="0"/>
        <v>43009</v>
      </c>
      <c r="L60" s="104">
        <f>VLOOKUP(M47,R52:BN79,38)</f>
        <v>43009</v>
      </c>
      <c r="M60" s="104">
        <f>VLOOKUP(M47,R51:BN78,39)</f>
        <v>43039</v>
      </c>
      <c r="N60" s="104">
        <f>VLOOKUP(M47,R51:BN78,40)</f>
        <v>43010</v>
      </c>
      <c r="O60" s="104">
        <f>VLOOKUP(M47,R51:BN78,41)</f>
        <v>43040</v>
      </c>
      <c r="R60">
        <v>2017</v>
      </c>
      <c r="S60" s="104">
        <v>42736</v>
      </c>
      <c r="T60" s="104">
        <v>42766</v>
      </c>
      <c r="U60" s="104">
        <v>42737</v>
      </c>
      <c r="V60" s="104">
        <v>42767</v>
      </c>
      <c r="W60" s="104">
        <v>42767</v>
      </c>
      <c r="X60" s="104">
        <v>42794</v>
      </c>
      <c r="Y60" s="104">
        <v>42768</v>
      </c>
      <c r="Z60" s="104">
        <v>42795</v>
      </c>
      <c r="AA60" s="104">
        <v>42795</v>
      </c>
      <c r="AB60" s="104">
        <v>42825</v>
      </c>
      <c r="AC60" s="104">
        <v>42796</v>
      </c>
      <c r="AD60" s="104">
        <v>42826</v>
      </c>
      <c r="AE60" s="104">
        <v>42826</v>
      </c>
      <c r="AF60" s="104">
        <v>42855</v>
      </c>
      <c r="AG60" s="104">
        <v>42827</v>
      </c>
      <c r="AH60" s="104">
        <v>42856</v>
      </c>
      <c r="AI60" s="104">
        <v>42856</v>
      </c>
      <c r="AJ60" s="104">
        <v>42886</v>
      </c>
      <c r="AK60" s="104">
        <v>42857</v>
      </c>
      <c r="AL60" s="104">
        <v>42887</v>
      </c>
      <c r="AM60" s="104">
        <v>42887</v>
      </c>
      <c r="AN60" s="104">
        <v>42916</v>
      </c>
      <c r="AO60" s="104">
        <v>42888</v>
      </c>
      <c r="AP60" s="104">
        <v>42917</v>
      </c>
      <c r="AQ60" s="104">
        <v>42917</v>
      </c>
      <c r="AR60" s="104">
        <v>42947</v>
      </c>
      <c r="AS60" s="104">
        <v>42918</v>
      </c>
      <c r="AT60" s="104">
        <v>42948</v>
      </c>
      <c r="AU60" s="104">
        <v>42948</v>
      </c>
      <c r="AV60" s="104">
        <v>42978</v>
      </c>
      <c r="AW60" s="104">
        <v>42949</v>
      </c>
      <c r="AX60" s="104">
        <v>42979</v>
      </c>
      <c r="AY60" s="104">
        <v>42979</v>
      </c>
      <c r="AZ60" s="104">
        <v>43008</v>
      </c>
      <c r="BA60" s="104">
        <v>42980</v>
      </c>
      <c r="BB60" s="104">
        <v>43009</v>
      </c>
      <c r="BC60" s="104">
        <v>43009</v>
      </c>
      <c r="BD60" s="104">
        <v>43039</v>
      </c>
      <c r="BE60" s="104">
        <v>43010</v>
      </c>
      <c r="BF60" s="104">
        <v>43040</v>
      </c>
      <c r="BG60" s="104">
        <v>43040</v>
      </c>
      <c r="BH60" s="104">
        <v>43069</v>
      </c>
      <c r="BI60" s="104">
        <v>43041</v>
      </c>
      <c r="BJ60" s="104">
        <v>43070</v>
      </c>
      <c r="BK60" s="104">
        <v>43070</v>
      </c>
      <c r="BL60" s="104">
        <v>43100</v>
      </c>
      <c r="BM60" s="104">
        <v>43071</v>
      </c>
      <c r="BN60" s="104">
        <v>43101</v>
      </c>
    </row>
    <row r="61" spans="11:66" ht="51" customHeight="1" x14ac:dyDescent="0.25">
      <c r="K61" s="1163">
        <f t="shared" si="0"/>
        <v>43040</v>
      </c>
      <c r="L61" s="104">
        <f>VLOOKUP(M47,R51:BN78,42)</f>
        <v>43040</v>
      </c>
      <c r="M61" s="104">
        <f>VLOOKUP(M47,R51:BN78,43)</f>
        <v>43069</v>
      </c>
      <c r="N61" s="104">
        <f>VLOOKUP(M47,R51:BN78,44)</f>
        <v>43041</v>
      </c>
      <c r="O61" s="104">
        <f>VLOOKUP(M47,R51:BN78,45)</f>
        <v>43070</v>
      </c>
      <c r="R61">
        <v>2018</v>
      </c>
      <c r="S61" s="104">
        <v>43101</v>
      </c>
      <c r="T61" s="104">
        <v>43131</v>
      </c>
      <c r="U61" s="104">
        <v>43102</v>
      </c>
      <c r="V61" s="104">
        <v>43132</v>
      </c>
      <c r="W61" s="104">
        <v>43132</v>
      </c>
      <c r="X61" s="104">
        <v>43159</v>
      </c>
      <c r="Y61" s="104">
        <v>43133</v>
      </c>
      <c r="Z61" s="104">
        <v>43160</v>
      </c>
      <c r="AA61" s="104">
        <v>43160</v>
      </c>
      <c r="AB61" s="104">
        <v>43190</v>
      </c>
      <c r="AC61" s="104">
        <v>43161</v>
      </c>
      <c r="AD61" s="104">
        <v>43191</v>
      </c>
      <c r="AE61" s="104">
        <v>43191</v>
      </c>
      <c r="AF61" s="104">
        <v>43220</v>
      </c>
      <c r="AG61" s="104">
        <v>43192</v>
      </c>
      <c r="AH61" s="104">
        <v>43221</v>
      </c>
      <c r="AI61" s="104">
        <v>43221</v>
      </c>
      <c r="AJ61" s="104">
        <v>43251</v>
      </c>
      <c r="AK61" s="104">
        <v>43222</v>
      </c>
      <c r="AL61" s="104">
        <v>43252</v>
      </c>
      <c r="AM61" s="104">
        <v>43252</v>
      </c>
      <c r="AN61" s="104">
        <v>43281</v>
      </c>
      <c r="AO61" s="104">
        <v>43253</v>
      </c>
      <c r="AP61" s="104">
        <v>43282</v>
      </c>
      <c r="AQ61" s="104">
        <v>43282</v>
      </c>
      <c r="AR61" s="104">
        <v>43312</v>
      </c>
      <c r="AS61" s="104">
        <v>43283</v>
      </c>
      <c r="AT61" s="104">
        <v>43313</v>
      </c>
      <c r="AU61" s="104">
        <v>43313</v>
      </c>
      <c r="AV61" s="104">
        <v>43343</v>
      </c>
      <c r="AW61" s="104">
        <v>43314</v>
      </c>
      <c r="AX61" s="104">
        <v>43344</v>
      </c>
      <c r="AY61" s="104">
        <v>43344</v>
      </c>
      <c r="AZ61" s="104">
        <v>43373</v>
      </c>
      <c r="BA61" s="104">
        <v>43345</v>
      </c>
      <c r="BB61" s="104">
        <v>43374</v>
      </c>
      <c r="BC61" s="104">
        <v>43374</v>
      </c>
      <c r="BD61" s="104">
        <v>43404</v>
      </c>
      <c r="BE61" s="104">
        <v>43375</v>
      </c>
      <c r="BF61" s="104">
        <v>43405</v>
      </c>
      <c r="BG61" s="104">
        <v>43405</v>
      </c>
      <c r="BH61" s="104">
        <v>43434</v>
      </c>
      <c r="BI61" s="104">
        <v>43406</v>
      </c>
      <c r="BJ61" s="104">
        <v>43435</v>
      </c>
      <c r="BK61" s="104">
        <v>43435</v>
      </c>
      <c r="BL61" s="104">
        <v>43465</v>
      </c>
      <c r="BM61" s="104">
        <v>43436</v>
      </c>
      <c r="BN61" s="104">
        <v>43466</v>
      </c>
    </row>
    <row r="62" spans="11:66" ht="51" customHeight="1" x14ac:dyDescent="0.25">
      <c r="K62" s="1163">
        <f t="shared" si="0"/>
        <v>43070</v>
      </c>
      <c r="L62" s="104">
        <f>VLOOKUP(M47,R51:BN78,46)</f>
        <v>43070</v>
      </c>
      <c r="M62" s="104">
        <f>VLOOKUP(M47,R51:BN78,47)</f>
        <v>43100</v>
      </c>
      <c r="N62" s="104">
        <f>VLOOKUP(M47,R51:BN78,48)</f>
        <v>43071</v>
      </c>
      <c r="O62" s="104">
        <f>VLOOKUP(M47,R51:BN78,49)</f>
        <v>43101</v>
      </c>
      <c r="R62">
        <v>2019</v>
      </c>
      <c r="S62" s="104">
        <v>43466</v>
      </c>
      <c r="T62" s="104">
        <v>43496</v>
      </c>
      <c r="U62" s="104">
        <v>43467</v>
      </c>
      <c r="V62" s="104">
        <v>43497</v>
      </c>
      <c r="W62" s="104">
        <v>43497</v>
      </c>
      <c r="X62" s="104">
        <v>43524</v>
      </c>
      <c r="Y62" s="104">
        <v>43498</v>
      </c>
      <c r="Z62" s="104">
        <v>43525</v>
      </c>
      <c r="AA62" s="104">
        <v>43525</v>
      </c>
      <c r="AB62" s="104">
        <v>43555</v>
      </c>
      <c r="AC62" s="104">
        <v>43526</v>
      </c>
      <c r="AD62" s="104">
        <v>43556</v>
      </c>
      <c r="AE62" s="104">
        <v>43556</v>
      </c>
      <c r="AF62" s="104">
        <v>43585</v>
      </c>
      <c r="AG62" s="104">
        <v>43557</v>
      </c>
      <c r="AH62" s="104">
        <v>43586</v>
      </c>
      <c r="AI62" s="104">
        <v>43586</v>
      </c>
      <c r="AJ62" s="104">
        <v>43616</v>
      </c>
      <c r="AK62" s="104">
        <v>43587</v>
      </c>
      <c r="AL62" s="104">
        <v>43617</v>
      </c>
      <c r="AM62" s="104">
        <v>43617</v>
      </c>
      <c r="AN62" s="104">
        <v>43646</v>
      </c>
      <c r="AO62" s="104">
        <v>43618</v>
      </c>
      <c r="AP62" s="104">
        <v>43647</v>
      </c>
      <c r="AQ62" s="104">
        <v>43647</v>
      </c>
      <c r="AR62" s="104">
        <v>43677</v>
      </c>
      <c r="AS62" s="104">
        <v>43648</v>
      </c>
      <c r="AT62" s="104">
        <v>43678</v>
      </c>
      <c r="AU62" s="104">
        <v>43678</v>
      </c>
      <c r="AV62" s="104">
        <v>43708</v>
      </c>
      <c r="AW62" s="104">
        <v>43679</v>
      </c>
      <c r="AX62" s="104">
        <v>43709</v>
      </c>
      <c r="AY62" s="104">
        <v>43709</v>
      </c>
      <c r="AZ62" s="104">
        <v>43738</v>
      </c>
      <c r="BA62" s="104">
        <v>43710</v>
      </c>
      <c r="BB62" s="104">
        <v>43739</v>
      </c>
      <c r="BC62" s="104">
        <v>43739</v>
      </c>
      <c r="BD62" s="104">
        <v>43769</v>
      </c>
      <c r="BE62" s="104">
        <v>43740</v>
      </c>
      <c r="BF62" s="104">
        <v>43770</v>
      </c>
      <c r="BG62" s="104">
        <v>43770</v>
      </c>
      <c r="BH62" s="104">
        <v>43799</v>
      </c>
      <c r="BI62" s="104">
        <v>43771</v>
      </c>
      <c r="BJ62" s="104">
        <v>43800</v>
      </c>
      <c r="BK62" s="104">
        <v>43800</v>
      </c>
      <c r="BL62" s="104">
        <v>43830</v>
      </c>
      <c r="BM62" s="104">
        <v>43801</v>
      </c>
      <c r="BN62" s="104">
        <v>43831</v>
      </c>
    </row>
    <row r="63" spans="11:66" ht="51" customHeight="1" x14ac:dyDescent="0.25">
      <c r="L63" s="104"/>
      <c r="M63" s="104"/>
      <c r="N63" s="104"/>
      <c r="O63" s="104"/>
      <c r="R63">
        <v>2020</v>
      </c>
      <c r="S63" s="104">
        <v>43831</v>
      </c>
      <c r="T63" s="104">
        <v>43861</v>
      </c>
      <c r="U63" s="104">
        <v>43832</v>
      </c>
      <c r="V63" s="104">
        <v>43862</v>
      </c>
      <c r="W63" s="104">
        <v>43862</v>
      </c>
      <c r="X63" s="104">
        <v>43890</v>
      </c>
      <c r="Y63" s="104">
        <v>43863</v>
      </c>
      <c r="Z63" s="104">
        <v>43891</v>
      </c>
      <c r="AA63" s="104">
        <v>43891</v>
      </c>
      <c r="AB63" s="104">
        <v>43921</v>
      </c>
      <c r="AC63" s="104">
        <v>43892</v>
      </c>
      <c r="AD63" s="104">
        <v>43922</v>
      </c>
      <c r="AE63" s="104">
        <v>43922</v>
      </c>
      <c r="AF63" s="104">
        <v>43951</v>
      </c>
      <c r="AG63" s="104">
        <v>43923</v>
      </c>
      <c r="AH63" s="104">
        <v>43952</v>
      </c>
      <c r="AI63" s="104">
        <v>43952</v>
      </c>
      <c r="AJ63" s="104">
        <v>43982</v>
      </c>
      <c r="AK63" s="104">
        <v>43953</v>
      </c>
      <c r="AL63" s="104">
        <v>43983</v>
      </c>
      <c r="AM63" s="104">
        <v>43983</v>
      </c>
      <c r="AN63" s="104">
        <v>44012</v>
      </c>
      <c r="AO63" s="104">
        <v>43984</v>
      </c>
      <c r="AP63" s="104">
        <v>44013</v>
      </c>
      <c r="AQ63" s="104">
        <v>44013</v>
      </c>
      <c r="AR63" s="104">
        <v>44043</v>
      </c>
      <c r="AS63" s="104">
        <v>44014</v>
      </c>
      <c r="AT63" s="104">
        <v>44044</v>
      </c>
      <c r="AU63" s="104">
        <v>44044</v>
      </c>
      <c r="AV63" s="104">
        <v>44074</v>
      </c>
      <c r="AW63" s="104">
        <v>44045</v>
      </c>
      <c r="AX63" s="104">
        <v>44075</v>
      </c>
      <c r="AY63" s="104">
        <v>44075</v>
      </c>
      <c r="AZ63" s="104">
        <v>44104</v>
      </c>
      <c r="BA63" s="104">
        <v>44076</v>
      </c>
      <c r="BB63" s="104">
        <v>44105</v>
      </c>
      <c r="BC63" s="104">
        <v>44105</v>
      </c>
      <c r="BD63" s="104">
        <v>44135</v>
      </c>
      <c r="BE63" s="104">
        <v>44106</v>
      </c>
      <c r="BF63" s="104">
        <v>44136</v>
      </c>
      <c r="BG63" s="104">
        <v>44136</v>
      </c>
      <c r="BH63" s="104">
        <v>44165</v>
      </c>
      <c r="BI63" s="104">
        <v>44137</v>
      </c>
      <c r="BJ63" s="104">
        <v>44166</v>
      </c>
      <c r="BK63" s="104">
        <v>44166</v>
      </c>
      <c r="BL63" s="104">
        <v>44196</v>
      </c>
      <c r="BM63" s="104">
        <v>44167</v>
      </c>
      <c r="BN63" s="104">
        <v>44197</v>
      </c>
    </row>
    <row r="64" spans="11:66" ht="51" customHeight="1" x14ac:dyDescent="0.25">
      <c r="L64" s="104"/>
      <c r="M64" s="104"/>
      <c r="N64" s="104"/>
      <c r="O64" s="104"/>
      <c r="R64">
        <v>2021</v>
      </c>
      <c r="S64" s="104">
        <v>44197</v>
      </c>
      <c r="T64" s="104">
        <v>44227</v>
      </c>
      <c r="U64" s="104">
        <v>44198</v>
      </c>
      <c r="V64" s="104">
        <v>44228</v>
      </c>
      <c r="W64" s="104">
        <v>44228</v>
      </c>
      <c r="X64" s="104">
        <v>44255</v>
      </c>
      <c r="Y64" s="104">
        <v>44229</v>
      </c>
      <c r="Z64" s="104">
        <v>44256</v>
      </c>
      <c r="AA64" s="104">
        <v>44256</v>
      </c>
      <c r="AB64" s="104">
        <v>44286</v>
      </c>
      <c r="AC64" s="104">
        <v>44257</v>
      </c>
      <c r="AD64" s="104">
        <v>44287</v>
      </c>
      <c r="AE64" s="104">
        <v>44287</v>
      </c>
      <c r="AF64" s="104">
        <v>44316</v>
      </c>
      <c r="AG64" s="104">
        <v>44288</v>
      </c>
      <c r="AH64" s="104">
        <v>44317</v>
      </c>
      <c r="AI64" s="104">
        <v>44317</v>
      </c>
      <c r="AJ64" s="104">
        <v>44347</v>
      </c>
      <c r="AK64" s="104">
        <v>44318</v>
      </c>
      <c r="AL64" s="104">
        <v>44348</v>
      </c>
      <c r="AM64" s="104">
        <v>44348</v>
      </c>
      <c r="AN64" s="104">
        <v>44377</v>
      </c>
      <c r="AO64" s="104">
        <v>44349</v>
      </c>
      <c r="AP64" s="104">
        <v>44378</v>
      </c>
      <c r="AQ64" s="104">
        <v>44378</v>
      </c>
      <c r="AR64" s="104">
        <v>44408</v>
      </c>
      <c r="AS64" s="104">
        <v>44379</v>
      </c>
      <c r="AT64" s="104">
        <v>44409</v>
      </c>
      <c r="AU64" s="104">
        <v>44409</v>
      </c>
      <c r="AV64" s="104">
        <v>44439</v>
      </c>
      <c r="AW64" s="104">
        <v>44410</v>
      </c>
      <c r="AX64" s="104">
        <v>44440</v>
      </c>
      <c r="AY64" s="104">
        <v>44440</v>
      </c>
      <c r="AZ64" s="104">
        <v>44469</v>
      </c>
      <c r="BA64" s="104">
        <v>44441</v>
      </c>
      <c r="BB64" s="104">
        <v>44470</v>
      </c>
      <c r="BC64" s="104">
        <v>44470</v>
      </c>
      <c r="BD64" s="104">
        <v>44500</v>
      </c>
      <c r="BE64" s="104">
        <v>44471</v>
      </c>
      <c r="BF64" s="104">
        <v>44501</v>
      </c>
      <c r="BG64" s="104">
        <v>44501</v>
      </c>
      <c r="BH64" s="104">
        <v>44530</v>
      </c>
      <c r="BI64" s="104">
        <v>44502</v>
      </c>
      <c r="BJ64" s="104">
        <v>44531</v>
      </c>
      <c r="BK64" s="104">
        <v>44531</v>
      </c>
      <c r="BL64" s="104">
        <v>44561</v>
      </c>
      <c r="BM64" s="104">
        <v>44532</v>
      </c>
      <c r="BN64" s="104">
        <v>44562</v>
      </c>
    </row>
    <row r="65" spans="12:66" ht="51" customHeight="1" x14ac:dyDescent="0.25">
      <c r="L65" s="104"/>
      <c r="M65" s="104"/>
      <c r="N65" s="104"/>
      <c r="O65" s="104"/>
      <c r="R65">
        <v>2022</v>
      </c>
      <c r="S65" s="104">
        <v>44562</v>
      </c>
      <c r="T65" s="104">
        <v>44592</v>
      </c>
      <c r="U65" s="104">
        <v>44563</v>
      </c>
      <c r="V65" s="104">
        <v>44593</v>
      </c>
      <c r="W65" s="104">
        <v>44593</v>
      </c>
      <c r="X65" s="104">
        <v>44620</v>
      </c>
      <c r="Y65" s="104">
        <v>44594</v>
      </c>
      <c r="Z65" s="104">
        <v>44621</v>
      </c>
      <c r="AA65" s="104">
        <v>44621</v>
      </c>
      <c r="AB65" s="104">
        <v>44651</v>
      </c>
      <c r="AC65" s="104">
        <v>44622</v>
      </c>
      <c r="AD65" s="104">
        <v>44652</v>
      </c>
      <c r="AE65" s="104">
        <v>44652</v>
      </c>
      <c r="AF65" s="104">
        <v>44681</v>
      </c>
      <c r="AG65" s="104">
        <v>44653</v>
      </c>
      <c r="AH65" s="104">
        <v>44682</v>
      </c>
      <c r="AI65" s="104">
        <v>44682</v>
      </c>
      <c r="AJ65" s="104">
        <v>44712</v>
      </c>
      <c r="AK65" s="104">
        <v>44683</v>
      </c>
      <c r="AL65" s="104">
        <v>44713</v>
      </c>
      <c r="AM65" s="104">
        <v>44713</v>
      </c>
      <c r="AN65" s="104">
        <v>44742</v>
      </c>
      <c r="AO65" s="104">
        <v>44714</v>
      </c>
      <c r="AP65" s="104">
        <v>44743</v>
      </c>
      <c r="AQ65" s="104">
        <v>44743</v>
      </c>
      <c r="AR65" s="104">
        <v>44773</v>
      </c>
      <c r="AS65" s="104">
        <v>44744</v>
      </c>
      <c r="AT65" s="104">
        <v>44774</v>
      </c>
      <c r="AU65" s="104">
        <v>44774</v>
      </c>
      <c r="AV65" s="104">
        <v>44804</v>
      </c>
      <c r="AW65" s="104">
        <v>44775</v>
      </c>
      <c r="AX65" s="104">
        <v>44805</v>
      </c>
      <c r="AY65" s="104">
        <v>44805</v>
      </c>
      <c r="AZ65" s="104">
        <v>44834</v>
      </c>
      <c r="BA65" s="104">
        <v>44806</v>
      </c>
      <c r="BB65" s="104">
        <v>44835</v>
      </c>
      <c r="BC65" s="104">
        <v>44835</v>
      </c>
      <c r="BD65" s="104">
        <v>44865</v>
      </c>
      <c r="BE65" s="104">
        <v>44836</v>
      </c>
      <c r="BF65" s="104">
        <v>44866</v>
      </c>
      <c r="BG65" s="104">
        <v>44866</v>
      </c>
      <c r="BH65" s="104">
        <v>44895</v>
      </c>
      <c r="BI65" s="104">
        <v>44867</v>
      </c>
      <c r="BJ65" s="104">
        <v>44896</v>
      </c>
      <c r="BK65" s="104">
        <v>44896</v>
      </c>
      <c r="BL65" s="104">
        <v>44926</v>
      </c>
      <c r="BM65" s="104">
        <v>44897</v>
      </c>
      <c r="BN65" s="104">
        <v>44927</v>
      </c>
    </row>
    <row r="66" spans="12:66" ht="51" customHeight="1" x14ac:dyDescent="0.25">
      <c r="L66" s="104"/>
      <c r="M66" s="104"/>
      <c r="N66" s="104"/>
      <c r="O66" s="104"/>
      <c r="R66">
        <v>2023</v>
      </c>
      <c r="S66" s="104">
        <v>44927</v>
      </c>
      <c r="T66" s="104">
        <v>44957</v>
      </c>
      <c r="U66" s="104">
        <v>44928</v>
      </c>
      <c r="V66" s="104">
        <v>44958</v>
      </c>
      <c r="W66" s="104">
        <v>44958</v>
      </c>
      <c r="X66" s="104">
        <v>44985</v>
      </c>
      <c r="Y66" s="104">
        <v>44959</v>
      </c>
      <c r="Z66" s="104">
        <v>44986</v>
      </c>
      <c r="AA66" s="104">
        <v>44986</v>
      </c>
      <c r="AB66" s="104">
        <v>45016</v>
      </c>
      <c r="AC66" s="104">
        <v>44987</v>
      </c>
      <c r="AD66" s="104">
        <v>45017</v>
      </c>
      <c r="AE66" s="104">
        <v>45017</v>
      </c>
      <c r="AF66" s="104">
        <v>45046</v>
      </c>
      <c r="AG66" s="104">
        <v>45018</v>
      </c>
      <c r="AH66" s="104">
        <v>45047</v>
      </c>
      <c r="AI66" s="104">
        <v>45047</v>
      </c>
      <c r="AJ66" s="104">
        <v>45077</v>
      </c>
      <c r="AK66" s="104">
        <v>45048</v>
      </c>
      <c r="AL66" s="104">
        <v>45078</v>
      </c>
      <c r="AM66" s="104">
        <v>45078</v>
      </c>
      <c r="AN66" s="104">
        <v>45107</v>
      </c>
      <c r="AO66" s="104">
        <v>45079</v>
      </c>
      <c r="AP66" s="104">
        <v>45108</v>
      </c>
      <c r="AQ66" s="104">
        <v>45108</v>
      </c>
      <c r="AR66" s="104">
        <v>45138</v>
      </c>
      <c r="AS66" s="104">
        <v>45109</v>
      </c>
      <c r="AT66" s="104">
        <v>45139</v>
      </c>
      <c r="AU66" s="104">
        <v>45139</v>
      </c>
      <c r="AV66" s="104">
        <v>45169</v>
      </c>
      <c r="AW66" s="104">
        <v>45140</v>
      </c>
      <c r="AX66" s="104">
        <v>45170</v>
      </c>
      <c r="AY66" s="104">
        <v>45170</v>
      </c>
      <c r="AZ66" s="104">
        <v>45199</v>
      </c>
      <c r="BA66" s="104">
        <v>45171</v>
      </c>
      <c r="BB66" s="104">
        <v>45200</v>
      </c>
      <c r="BC66" s="104">
        <v>45200</v>
      </c>
      <c r="BD66" s="104">
        <v>45230</v>
      </c>
      <c r="BE66" s="104">
        <v>45201</v>
      </c>
      <c r="BF66" s="104">
        <v>45231</v>
      </c>
      <c r="BG66" s="104">
        <v>45231</v>
      </c>
      <c r="BH66" s="104">
        <v>45260</v>
      </c>
      <c r="BI66" s="104">
        <v>45232</v>
      </c>
      <c r="BJ66" s="104">
        <v>45261</v>
      </c>
      <c r="BK66" s="104">
        <v>45261</v>
      </c>
      <c r="BL66" s="104">
        <v>45291</v>
      </c>
      <c r="BM66" s="104">
        <v>45262</v>
      </c>
      <c r="BN66" s="104">
        <v>45292</v>
      </c>
    </row>
    <row r="67" spans="12:66" ht="51" customHeight="1" x14ac:dyDescent="0.25">
      <c r="L67" s="104"/>
      <c r="M67" s="104"/>
      <c r="N67" s="104"/>
      <c r="O67" s="104"/>
      <c r="R67">
        <v>2024</v>
      </c>
      <c r="S67" s="104">
        <v>45292</v>
      </c>
      <c r="T67" s="104">
        <v>45322</v>
      </c>
      <c r="U67" s="104">
        <v>45293</v>
      </c>
      <c r="V67" s="104">
        <v>45323</v>
      </c>
      <c r="W67" s="104">
        <v>45323</v>
      </c>
      <c r="X67" s="104">
        <v>45351</v>
      </c>
      <c r="Y67" s="104">
        <v>45324</v>
      </c>
      <c r="Z67" s="104">
        <v>45352</v>
      </c>
      <c r="AA67" s="104">
        <v>45352</v>
      </c>
      <c r="AB67" s="104">
        <v>45382</v>
      </c>
      <c r="AC67" s="104">
        <v>45353</v>
      </c>
      <c r="AD67" s="104">
        <v>45383</v>
      </c>
      <c r="AE67" s="104">
        <v>45383</v>
      </c>
      <c r="AF67" s="104">
        <v>45412</v>
      </c>
      <c r="AG67" s="104">
        <v>45384</v>
      </c>
      <c r="AH67" s="104">
        <v>45413</v>
      </c>
      <c r="AI67" s="104">
        <v>45413</v>
      </c>
      <c r="AJ67" s="104">
        <v>45443</v>
      </c>
      <c r="AK67" s="104">
        <v>45414</v>
      </c>
      <c r="AL67" s="104">
        <v>45444</v>
      </c>
      <c r="AM67" s="104">
        <v>45444</v>
      </c>
      <c r="AN67" s="104">
        <v>45473</v>
      </c>
      <c r="AO67" s="104">
        <v>45445</v>
      </c>
      <c r="AP67" s="104">
        <v>45474</v>
      </c>
      <c r="AQ67" s="104">
        <v>45474</v>
      </c>
      <c r="AR67" s="104">
        <v>45504</v>
      </c>
      <c r="AS67" s="104">
        <v>45475</v>
      </c>
      <c r="AT67" s="104">
        <v>45505</v>
      </c>
      <c r="AU67" s="104">
        <v>45505</v>
      </c>
      <c r="AV67" s="104">
        <v>45535</v>
      </c>
      <c r="AW67" s="104">
        <v>45506</v>
      </c>
      <c r="AX67" s="104">
        <v>45536</v>
      </c>
      <c r="AY67" s="104">
        <v>45536</v>
      </c>
      <c r="AZ67" s="104">
        <v>45565</v>
      </c>
      <c r="BA67" s="104">
        <v>45537</v>
      </c>
      <c r="BB67" s="104">
        <v>45566</v>
      </c>
      <c r="BC67" s="104">
        <v>45566</v>
      </c>
      <c r="BD67" s="104">
        <v>45596</v>
      </c>
      <c r="BE67" s="104">
        <v>45567</v>
      </c>
      <c r="BF67" s="104">
        <v>45597</v>
      </c>
      <c r="BG67" s="104">
        <v>45597</v>
      </c>
      <c r="BH67" s="104">
        <v>45626</v>
      </c>
      <c r="BI67" s="104">
        <v>45598</v>
      </c>
      <c r="BJ67" s="104">
        <v>45627</v>
      </c>
      <c r="BK67" s="104">
        <v>45627</v>
      </c>
      <c r="BL67" s="104">
        <v>45657</v>
      </c>
      <c r="BM67" s="104">
        <v>45628</v>
      </c>
      <c r="BN67" s="104">
        <v>45658</v>
      </c>
    </row>
    <row r="68" spans="12:66" ht="51" customHeight="1" x14ac:dyDescent="0.25">
      <c r="L68" s="104"/>
      <c r="M68" s="104"/>
      <c r="N68" s="104"/>
      <c r="O68" s="104"/>
      <c r="R68">
        <v>2025</v>
      </c>
      <c r="S68" s="104">
        <v>45658</v>
      </c>
      <c r="T68" s="104">
        <v>45688</v>
      </c>
      <c r="U68" s="104">
        <v>45659</v>
      </c>
      <c r="V68" s="104">
        <v>45689</v>
      </c>
      <c r="W68" s="104">
        <v>45689</v>
      </c>
      <c r="X68" s="104">
        <v>45716</v>
      </c>
      <c r="Y68" s="104">
        <v>45690</v>
      </c>
      <c r="Z68" s="104">
        <v>45717</v>
      </c>
      <c r="AA68" s="104">
        <v>45717</v>
      </c>
      <c r="AB68" s="104">
        <v>45747</v>
      </c>
      <c r="AC68" s="104">
        <v>45718</v>
      </c>
      <c r="AD68" s="104">
        <v>45748</v>
      </c>
      <c r="AE68" s="104">
        <v>45748</v>
      </c>
      <c r="AF68" s="104">
        <v>45777</v>
      </c>
      <c r="AG68" s="104">
        <v>45749</v>
      </c>
      <c r="AH68" s="104">
        <v>45778</v>
      </c>
      <c r="AI68" s="104">
        <v>45778</v>
      </c>
      <c r="AJ68" s="104">
        <v>45808</v>
      </c>
      <c r="AK68" s="104">
        <v>45779</v>
      </c>
      <c r="AL68" s="104">
        <v>45809</v>
      </c>
      <c r="AM68" s="104">
        <v>45809</v>
      </c>
      <c r="AN68" s="104">
        <v>45838</v>
      </c>
      <c r="AO68" s="104">
        <v>45810</v>
      </c>
      <c r="AP68" s="104">
        <v>45839</v>
      </c>
      <c r="AQ68" s="104">
        <v>45839</v>
      </c>
      <c r="AR68" s="104">
        <v>45869</v>
      </c>
      <c r="AS68" s="104">
        <v>45840</v>
      </c>
      <c r="AT68" s="104">
        <v>45870</v>
      </c>
      <c r="AU68" s="104">
        <v>45870</v>
      </c>
      <c r="AV68" s="104">
        <v>45900</v>
      </c>
      <c r="AW68" s="104">
        <v>45871</v>
      </c>
      <c r="AX68" s="104">
        <v>45901</v>
      </c>
      <c r="AY68" s="104">
        <v>45901</v>
      </c>
      <c r="AZ68" s="104">
        <v>45930</v>
      </c>
      <c r="BA68" s="104">
        <v>45902</v>
      </c>
      <c r="BB68" s="104">
        <v>45931</v>
      </c>
      <c r="BC68" s="104">
        <v>45931</v>
      </c>
      <c r="BD68" s="104">
        <v>45961</v>
      </c>
      <c r="BE68" s="104">
        <v>45932</v>
      </c>
      <c r="BF68" s="104">
        <v>45962</v>
      </c>
      <c r="BG68" s="104">
        <v>45962</v>
      </c>
      <c r="BH68" s="104">
        <v>45991</v>
      </c>
      <c r="BI68" s="104">
        <v>45963</v>
      </c>
      <c r="BJ68" s="104">
        <v>45992</v>
      </c>
      <c r="BK68" s="104">
        <v>45992</v>
      </c>
      <c r="BL68" s="104">
        <v>46022</v>
      </c>
      <c r="BM68" s="104">
        <v>45993</v>
      </c>
      <c r="BN68" s="104">
        <v>46023</v>
      </c>
    </row>
    <row r="69" spans="12:66" ht="51" customHeight="1" x14ac:dyDescent="0.25">
      <c r="L69" s="104"/>
      <c r="M69" s="104"/>
      <c r="N69" s="104"/>
      <c r="O69" s="104"/>
      <c r="R69">
        <v>2026</v>
      </c>
      <c r="S69" s="104">
        <v>46023</v>
      </c>
      <c r="T69" s="104">
        <v>46053</v>
      </c>
      <c r="U69" s="104">
        <v>46024</v>
      </c>
      <c r="V69" s="104">
        <v>46054</v>
      </c>
      <c r="W69" s="104">
        <v>46054</v>
      </c>
      <c r="X69" s="104">
        <v>46081</v>
      </c>
      <c r="Y69" s="104">
        <v>46055</v>
      </c>
      <c r="Z69" s="104">
        <v>46082</v>
      </c>
      <c r="AA69" s="104">
        <v>46082</v>
      </c>
      <c r="AB69" s="104">
        <v>46112</v>
      </c>
      <c r="AC69" s="104">
        <v>46083</v>
      </c>
      <c r="AD69" s="104">
        <v>46113</v>
      </c>
      <c r="AE69" s="104">
        <v>46113</v>
      </c>
      <c r="AF69" s="104">
        <v>46142</v>
      </c>
      <c r="AG69" s="104">
        <v>46114</v>
      </c>
      <c r="AH69" s="104">
        <v>46143</v>
      </c>
      <c r="AI69" s="104">
        <v>46143</v>
      </c>
      <c r="AJ69" s="104">
        <v>46173</v>
      </c>
      <c r="AK69" s="104">
        <v>46144</v>
      </c>
      <c r="AL69" s="104">
        <v>46174</v>
      </c>
      <c r="AM69" s="104">
        <v>46174</v>
      </c>
      <c r="AN69" s="104">
        <v>46203</v>
      </c>
      <c r="AO69" s="104">
        <v>46175</v>
      </c>
      <c r="AP69" s="104">
        <v>46204</v>
      </c>
      <c r="AQ69" s="104">
        <v>46204</v>
      </c>
      <c r="AR69" s="104">
        <v>46234</v>
      </c>
      <c r="AS69" s="104">
        <v>46205</v>
      </c>
      <c r="AT69" s="104">
        <v>46235</v>
      </c>
      <c r="AU69" s="104">
        <v>46235</v>
      </c>
      <c r="AV69" s="104">
        <v>46265</v>
      </c>
      <c r="AW69" s="104">
        <v>46236</v>
      </c>
      <c r="AX69" s="104">
        <v>46266</v>
      </c>
      <c r="AY69" s="104">
        <v>46266</v>
      </c>
      <c r="AZ69" s="104">
        <v>46295</v>
      </c>
      <c r="BA69" s="104">
        <v>46267</v>
      </c>
      <c r="BB69" s="104">
        <v>46296</v>
      </c>
      <c r="BC69" s="104">
        <v>46296</v>
      </c>
      <c r="BD69" s="104">
        <v>46326</v>
      </c>
      <c r="BE69" s="104">
        <v>46297</v>
      </c>
      <c r="BF69" s="104">
        <v>46327</v>
      </c>
      <c r="BG69" s="104">
        <v>46327</v>
      </c>
      <c r="BH69" s="104">
        <v>46356</v>
      </c>
      <c r="BI69" s="104">
        <v>46328</v>
      </c>
      <c r="BJ69" s="104">
        <v>46357</v>
      </c>
      <c r="BK69" s="104">
        <v>46357</v>
      </c>
      <c r="BL69" s="104">
        <v>46387</v>
      </c>
      <c r="BM69" s="104">
        <v>46358</v>
      </c>
      <c r="BN69" s="104">
        <v>46388</v>
      </c>
    </row>
    <row r="70" spans="12:66" ht="51" customHeight="1" x14ac:dyDescent="0.25">
      <c r="L70" s="104"/>
      <c r="M70" s="104"/>
      <c r="N70" s="104"/>
      <c r="O70" s="104"/>
      <c r="R70">
        <v>2027</v>
      </c>
      <c r="S70" s="104">
        <v>46388</v>
      </c>
      <c r="T70" s="104">
        <v>46418</v>
      </c>
      <c r="U70" s="104">
        <v>46389</v>
      </c>
      <c r="V70" s="104">
        <v>46419</v>
      </c>
      <c r="W70" s="104">
        <v>46419</v>
      </c>
      <c r="X70" s="104">
        <v>46446</v>
      </c>
      <c r="Y70" s="104">
        <v>46420</v>
      </c>
      <c r="Z70" s="104">
        <v>46447</v>
      </c>
      <c r="AA70" s="104">
        <v>46447</v>
      </c>
      <c r="AB70" s="104">
        <v>46477</v>
      </c>
      <c r="AC70" s="104">
        <v>46448</v>
      </c>
      <c r="AD70" s="104">
        <v>46478</v>
      </c>
      <c r="AE70" s="104">
        <v>46478</v>
      </c>
      <c r="AF70" s="104">
        <v>46507</v>
      </c>
      <c r="AG70" s="104">
        <v>46479</v>
      </c>
      <c r="AH70" s="104">
        <v>46508</v>
      </c>
      <c r="AI70" s="104">
        <v>46508</v>
      </c>
      <c r="AJ70" s="104">
        <v>46538</v>
      </c>
      <c r="AK70" s="104">
        <v>46509</v>
      </c>
      <c r="AL70" s="104">
        <v>46539</v>
      </c>
      <c r="AM70" s="104">
        <v>46539</v>
      </c>
      <c r="AN70" s="104">
        <v>46568</v>
      </c>
      <c r="AO70" s="104">
        <v>46540</v>
      </c>
      <c r="AP70" s="104">
        <v>46569</v>
      </c>
      <c r="AQ70" s="104">
        <v>46569</v>
      </c>
      <c r="AR70" s="104">
        <v>46599</v>
      </c>
      <c r="AS70" s="104">
        <v>46570</v>
      </c>
      <c r="AT70" s="104">
        <v>46600</v>
      </c>
      <c r="AU70" s="104">
        <v>46600</v>
      </c>
      <c r="AV70" s="104">
        <v>46630</v>
      </c>
      <c r="AW70" s="104">
        <v>46601</v>
      </c>
      <c r="AX70" s="104">
        <v>46631</v>
      </c>
      <c r="AY70" s="104">
        <v>46631</v>
      </c>
      <c r="AZ70" s="104">
        <v>46660</v>
      </c>
      <c r="BA70" s="104">
        <v>46632</v>
      </c>
      <c r="BB70" s="104">
        <v>46661</v>
      </c>
      <c r="BC70" s="104">
        <v>46661</v>
      </c>
      <c r="BD70" s="104">
        <v>46691</v>
      </c>
      <c r="BE70" s="104">
        <v>46662</v>
      </c>
      <c r="BF70" s="104">
        <v>46692</v>
      </c>
      <c r="BG70" s="104">
        <v>46692</v>
      </c>
      <c r="BH70" s="104">
        <v>46721</v>
      </c>
      <c r="BI70" s="104">
        <v>46693</v>
      </c>
      <c r="BJ70" s="104">
        <v>46722</v>
      </c>
      <c r="BK70" s="104">
        <v>46722</v>
      </c>
      <c r="BL70" s="104">
        <v>46752</v>
      </c>
      <c r="BM70" s="104">
        <v>46723</v>
      </c>
      <c r="BN70" s="104">
        <v>46753</v>
      </c>
    </row>
    <row r="71" spans="12:66" ht="51" customHeight="1" x14ac:dyDescent="0.25">
      <c r="L71" s="104"/>
      <c r="M71" s="104"/>
      <c r="N71" s="104"/>
      <c r="O71" s="104"/>
      <c r="R71">
        <v>2028</v>
      </c>
      <c r="S71" s="104">
        <v>46753</v>
      </c>
      <c r="T71" s="104">
        <v>46783</v>
      </c>
      <c r="U71" s="104">
        <v>46754</v>
      </c>
      <c r="V71" s="104">
        <v>46784</v>
      </c>
      <c r="W71" s="104">
        <v>46784</v>
      </c>
      <c r="X71" s="104">
        <v>46812</v>
      </c>
      <c r="Y71" s="104">
        <v>46785</v>
      </c>
      <c r="Z71" s="104">
        <v>46813</v>
      </c>
      <c r="AA71" s="104">
        <v>46813</v>
      </c>
      <c r="AB71" s="104">
        <v>46843</v>
      </c>
      <c r="AC71" s="104">
        <v>46814</v>
      </c>
      <c r="AD71" s="104">
        <v>46844</v>
      </c>
      <c r="AE71" s="104">
        <v>46844</v>
      </c>
      <c r="AF71" s="104">
        <v>46873</v>
      </c>
      <c r="AG71" s="104">
        <v>46845</v>
      </c>
      <c r="AH71" s="104">
        <v>46874</v>
      </c>
      <c r="AI71" s="104">
        <v>46874</v>
      </c>
      <c r="AJ71" s="104">
        <v>46904</v>
      </c>
      <c r="AK71" s="104">
        <v>46875</v>
      </c>
      <c r="AL71" s="104">
        <v>46905</v>
      </c>
      <c r="AM71" s="104">
        <v>46905</v>
      </c>
      <c r="AN71" s="104">
        <v>46934</v>
      </c>
      <c r="AO71" s="104">
        <v>46906</v>
      </c>
      <c r="AP71" s="104">
        <v>46935</v>
      </c>
      <c r="AQ71" s="104">
        <v>46935</v>
      </c>
      <c r="AR71" s="104">
        <v>46965</v>
      </c>
      <c r="AS71" s="104">
        <v>46936</v>
      </c>
      <c r="AT71" s="104">
        <v>46966</v>
      </c>
      <c r="AU71" s="104">
        <v>46966</v>
      </c>
      <c r="AV71" s="104">
        <v>46996</v>
      </c>
      <c r="AW71" s="104">
        <v>46967</v>
      </c>
      <c r="AX71" s="104">
        <v>46997</v>
      </c>
      <c r="AY71" s="104">
        <v>46997</v>
      </c>
      <c r="AZ71" s="104">
        <v>47026</v>
      </c>
      <c r="BA71" s="104">
        <v>46998</v>
      </c>
      <c r="BB71" s="104">
        <v>47027</v>
      </c>
      <c r="BC71" s="104">
        <v>47027</v>
      </c>
      <c r="BD71" s="104">
        <v>47057</v>
      </c>
      <c r="BE71" s="104">
        <v>47028</v>
      </c>
      <c r="BF71" s="104">
        <v>47058</v>
      </c>
      <c r="BG71" s="104">
        <v>47058</v>
      </c>
      <c r="BH71" s="104">
        <v>47087</v>
      </c>
      <c r="BI71" s="104">
        <v>47059</v>
      </c>
      <c r="BJ71" s="104">
        <v>47088</v>
      </c>
      <c r="BK71" s="104">
        <v>47088</v>
      </c>
      <c r="BL71" s="104">
        <v>47118</v>
      </c>
      <c r="BM71" s="104">
        <v>47089</v>
      </c>
      <c r="BN71" s="104">
        <v>47119</v>
      </c>
    </row>
    <row r="72" spans="12:66" ht="51" customHeight="1" x14ac:dyDescent="0.25">
      <c r="L72" s="104"/>
      <c r="M72" s="104"/>
      <c r="N72" s="104"/>
      <c r="O72" s="104"/>
      <c r="R72">
        <v>2029</v>
      </c>
      <c r="S72" s="104">
        <v>47119</v>
      </c>
      <c r="T72" s="104">
        <v>47149</v>
      </c>
      <c r="U72" s="104">
        <v>47120</v>
      </c>
      <c r="V72" s="104">
        <v>47150</v>
      </c>
      <c r="W72" s="104">
        <v>47150</v>
      </c>
      <c r="X72" s="104">
        <v>47177</v>
      </c>
      <c r="Y72" s="104">
        <v>47151</v>
      </c>
      <c r="Z72" s="104">
        <v>47178</v>
      </c>
      <c r="AA72" s="104">
        <v>47178</v>
      </c>
      <c r="AB72" s="104">
        <v>47208</v>
      </c>
      <c r="AC72" s="104">
        <v>47179</v>
      </c>
      <c r="AD72" s="104">
        <v>47209</v>
      </c>
      <c r="AE72" s="104">
        <v>47209</v>
      </c>
      <c r="AF72" s="104">
        <v>47238</v>
      </c>
      <c r="AG72" s="104">
        <v>47210</v>
      </c>
      <c r="AH72" s="104">
        <v>47239</v>
      </c>
      <c r="AI72" s="104">
        <v>47239</v>
      </c>
      <c r="AJ72" s="104">
        <v>47269</v>
      </c>
      <c r="AK72" s="104">
        <v>47240</v>
      </c>
      <c r="AL72" s="104">
        <v>47270</v>
      </c>
      <c r="AM72" s="104">
        <v>47270</v>
      </c>
      <c r="AN72" s="104">
        <v>47299</v>
      </c>
      <c r="AO72" s="104">
        <v>47271</v>
      </c>
      <c r="AP72" s="104">
        <v>47300</v>
      </c>
      <c r="AQ72" s="104">
        <v>47300</v>
      </c>
      <c r="AR72" s="104">
        <v>47330</v>
      </c>
      <c r="AS72" s="104">
        <v>47301</v>
      </c>
      <c r="AT72" s="104">
        <v>47331</v>
      </c>
      <c r="AU72" s="104">
        <v>47331</v>
      </c>
      <c r="AV72" s="104">
        <v>47361</v>
      </c>
      <c r="AW72" s="104">
        <v>47332</v>
      </c>
      <c r="AX72" s="104">
        <v>47362</v>
      </c>
      <c r="AY72" s="104">
        <v>47362</v>
      </c>
      <c r="AZ72" s="104">
        <v>47391</v>
      </c>
      <c r="BA72" s="104">
        <v>47363</v>
      </c>
      <c r="BB72" s="104">
        <v>47392</v>
      </c>
      <c r="BC72" s="104">
        <v>47392</v>
      </c>
      <c r="BD72" s="104">
        <v>47422</v>
      </c>
      <c r="BE72" s="104">
        <v>47393</v>
      </c>
      <c r="BF72" s="104">
        <v>47423</v>
      </c>
      <c r="BG72" s="104">
        <v>47423</v>
      </c>
      <c r="BH72" s="104">
        <v>47452</v>
      </c>
      <c r="BI72" s="104">
        <v>47424</v>
      </c>
      <c r="BJ72" s="104">
        <v>47453</v>
      </c>
      <c r="BK72" s="104">
        <v>47453</v>
      </c>
      <c r="BL72" s="104">
        <v>47483</v>
      </c>
      <c r="BM72" s="104">
        <v>47454</v>
      </c>
      <c r="BN72" s="104">
        <v>47484</v>
      </c>
    </row>
    <row r="73" spans="12:66" ht="51" customHeight="1" x14ac:dyDescent="0.25">
      <c r="L73" s="104"/>
      <c r="M73" s="104"/>
      <c r="N73" s="104"/>
      <c r="O73" s="104"/>
      <c r="R73">
        <v>2030</v>
      </c>
      <c r="S73" s="104">
        <v>47484</v>
      </c>
      <c r="T73" s="104">
        <v>47514</v>
      </c>
      <c r="U73" s="104">
        <v>47485</v>
      </c>
      <c r="V73" s="104">
        <v>47515</v>
      </c>
      <c r="W73" s="104">
        <v>47515</v>
      </c>
      <c r="X73" s="104">
        <v>47542</v>
      </c>
      <c r="Y73" s="104">
        <v>47516</v>
      </c>
      <c r="Z73" s="104">
        <v>47543</v>
      </c>
      <c r="AA73" s="104">
        <v>47543</v>
      </c>
      <c r="AB73" s="104">
        <v>47573</v>
      </c>
      <c r="AC73" s="104">
        <v>47544</v>
      </c>
      <c r="AD73" s="104">
        <v>47574</v>
      </c>
      <c r="AE73" s="104">
        <v>47574</v>
      </c>
      <c r="AF73" s="104">
        <v>47603</v>
      </c>
      <c r="AG73" s="104">
        <v>47575</v>
      </c>
      <c r="AH73" s="104">
        <v>47604</v>
      </c>
      <c r="AI73" s="104">
        <v>47604</v>
      </c>
      <c r="AJ73" s="104">
        <v>47634</v>
      </c>
      <c r="AK73" s="104">
        <v>47605</v>
      </c>
      <c r="AL73" s="104">
        <v>47635</v>
      </c>
      <c r="AM73" s="104">
        <v>47635</v>
      </c>
      <c r="AN73" s="104">
        <v>47664</v>
      </c>
      <c r="AO73" s="104">
        <v>47636</v>
      </c>
      <c r="AP73" s="104">
        <v>47665</v>
      </c>
      <c r="AQ73" s="104">
        <v>47665</v>
      </c>
      <c r="AR73" s="104">
        <v>47695</v>
      </c>
      <c r="AS73" s="104">
        <v>47666</v>
      </c>
      <c r="AT73" s="104">
        <v>47696</v>
      </c>
      <c r="AU73" s="104">
        <v>47696</v>
      </c>
      <c r="AV73" s="104">
        <v>47726</v>
      </c>
      <c r="AW73" s="104">
        <v>47697</v>
      </c>
      <c r="AX73" s="104">
        <v>47727</v>
      </c>
      <c r="AY73" s="104">
        <v>47727</v>
      </c>
      <c r="AZ73" s="104">
        <v>47756</v>
      </c>
      <c r="BA73" s="104">
        <v>47728</v>
      </c>
      <c r="BB73" s="104">
        <v>47757</v>
      </c>
      <c r="BC73" s="104">
        <v>47757</v>
      </c>
      <c r="BD73" s="104">
        <v>47787</v>
      </c>
      <c r="BE73" s="104">
        <v>47758</v>
      </c>
      <c r="BF73" s="104">
        <v>47788</v>
      </c>
      <c r="BG73" s="104">
        <v>47788</v>
      </c>
      <c r="BH73" s="104">
        <v>47817</v>
      </c>
      <c r="BI73" s="104">
        <v>47789</v>
      </c>
      <c r="BJ73" s="104">
        <v>47818</v>
      </c>
      <c r="BK73" s="104">
        <v>47818</v>
      </c>
      <c r="BL73" s="104">
        <v>47848</v>
      </c>
      <c r="BM73" s="104">
        <v>47819</v>
      </c>
      <c r="BN73" s="104">
        <v>47849</v>
      </c>
    </row>
    <row r="74" spans="12:66" ht="51" customHeight="1" x14ac:dyDescent="0.25">
      <c r="L74" s="104"/>
      <c r="M74" s="104"/>
      <c r="N74" s="104"/>
      <c r="O74" s="104"/>
      <c r="R74">
        <v>2031</v>
      </c>
      <c r="S74" s="104">
        <v>47849</v>
      </c>
      <c r="T74" s="104">
        <v>47879</v>
      </c>
      <c r="U74" s="104">
        <v>47850</v>
      </c>
      <c r="V74" s="104">
        <v>47880</v>
      </c>
      <c r="W74" s="104">
        <v>47880</v>
      </c>
      <c r="X74" s="104">
        <v>47907</v>
      </c>
      <c r="Y74" s="104">
        <v>47881</v>
      </c>
      <c r="Z74" s="104">
        <v>47908</v>
      </c>
      <c r="AA74" s="104">
        <v>47908</v>
      </c>
      <c r="AB74" s="104">
        <v>47938</v>
      </c>
      <c r="AC74" s="104">
        <v>47909</v>
      </c>
      <c r="AD74" s="104">
        <v>47939</v>
      </c>
      <c r="AE74" s="104">
        <v>47939</v>
      </c>
      <c r="AF74" s="104">
        <v>47968</v>
      </c>
      <c r="AG74" s="104">
        <v>47940</v>
      </c>
      <c r="AH74" s="104">
        <v>47969</v>
      </c>
      <c r="AI74" s="104">
        <v>47969</v>
      </c>
      <c r="AJ74" s="104">
        <v>47999</v>
      </c>
      <c r="AK74" s="104">
        <v>47970</v>
      </c>
      <c r="AL74" s="104">
        <v>48000</v>
      </c>
      <c r="AM74" s="104">
        <v>48000</v>
      </c>
      <c r="AN74" s="104">
        <v>48029</v>
      </c>
      <c r="AO74" s="104">
        <v>48001</v>
      </c>
      <c r="AP74" s="104">
        <v>48030</v>
      </c>
      <c r="AQ74" s="104">
        <v>48030</v>
      </c>
      <c r="AR74" s="104">
        <v>48060</v>
      </c>
      <c r="AS74" s="104">
        <v>48031</v>
      </c>
      <c r="AT74" s="104">
        <v>48061</v>
      </c>
      <c r="AU74" s="104">
        <v>48061</v>
      </c>
      <c r="AV74" s="104">
        <v>48091</v>
      </c>
      <c r="AW74" s="104">
        <v>48062</v>
      </c>
      <c r="AX74" s="104">
        <v>48092</v>
      </c>
      <c r="AY74" s="104">
        <v>48092</v>
      </c>
      <c r="AZ74" s="104">
        <v>48121</v>
      </c>
      <c r="BA74" s="104">
        <v>48093</v>
      </c>
      <c r="BB74" s="104">
        <v>48122</v>
      </c>
      <c r="BC74" s="104">
        <v>48122</v>
      </c>
      <c r="BD74" s="104">
        <v>48152</v>
      </c>
      <c r="BE74" s="104">
        <v>48123</v>
      </c>
      <c r="BF74" s="104">
        <v>48153</v>
      </c>
      <c r="BG74" s="104">
        <v>48153</v>
      </c>
      <c r="BH74" s="104">
        <v>48182</v>
      </c>
      <c r="BI74" s="104">
        <v>48154</v>
      </c>
      <c r="BJ74" s="104">
        <v>48183</v>
      </c>
      <c r="BK74" s="104">
        <v>48183</v>
      </c>
      <c r="BL74" s="104">
        <v>48213</v>
      </c>
      <c r="BM74" s="104">
        <v>48184</v>
      </c>
      <c r="BN74" s="104">
        <v>48214</v>
      </c>
    </row>
    <row r="75" spans="12:66" ht="51" customHeight="1" x14ac:dyDescent="0.25">
      <c r="R75">
        <v>2032</v>
      </c>
      <c r="S75" s="104">
        <v>48214</v>
      </c>
      <c r="T75" s="104">
        <v>48244</v>
      </c>
      <c r="U75" s="104">
        <v>48215</v>
      </c>
      <c r="V75" s="104">
        <v>48245</v>
      </c>
      <c r="W75" s="104">
        <v>48245</v>
      </c>
      <c r="X75" s="104">
        <v>48273</v>
      </c>
      <c r="Y75" s="104">
        <v>48246</v>
      </c>
      <c r="Z75" s="104">
        <v>48274</v>
      </c>
      <c r="AA75" s="104">
        <v>48274</v>
      </c>
      <c r="AB75" s="104">
        <v>48304</v>
      </c>
      <c r="AC75" s="104">
        <v>48275</v>
      </c>
      <c r="AD75" s="104">
        <v>48305</v>
      </c>
      <c r="AE75" s="104">
        <v>48305</v>
      </c>
      <c r="AF75" s="104">
        <v>48334</v>
      </c>
      <c r="AG75" s="104">
        <v>48306</v>
      </c>
      <c r="AH75" s="104">
        <v>48335</v>
      </c>
      <c r="AI75" s="104">
        <v>48335</v>
      </c>
      <c r="AJ75" s="104">
        <v>48365</v>
      </c>
      <c r="AK75" s="104">
        <v>48336</v>
      </c>
      <c r="AL75" s="104">
        <v>48366</v>
      </c>
      <c r="AM75" s="104">
        <v>48366</v>
      </c>
      <c r="AN75" s="104">
        <v>48395</v>
      </c>
      <c r="AO75" s="104">
        <v>48367</v>
      </c>
      <c r="AP75" s="104">
        <v>48396</v>
      </c>
      <c r="AQ75" s="104">
        <v>48396</v>
      </c>
      <c r="AR75" s="104">
        <v>48426</v>
      </c>
      <c r="AS75" s="104">
        <v>48397</v>
      </c>
      <c r="AT75" s="104">
        <v>48427</v>
      </c>
      <c r="AU75" s="104">
        <v>48427</v>
      </c>
      <c r="AV75" s="104">
        <v>48457</v>
      </c>
      <c r="AW75" s="104">
        <v>48428</v>
      </c>
      <c r="AX75" s="104">
        <v>48458</v>
      </c>
      <c r="AY75" s="104">
        <v>48458</v>
      </c>
      <c r="AZ75" s="104">
        <v>48487</v>
      </c>
      <c r="BA75" s="104">
        <v>48459</v>
      </c>
      <c r="BB75" s="104">
        <v>48488</v>
      </c>
      <c r="BC75" s="104">
        <v>48488</v>
      </c>
      <c r="BD75" s="104">
        <v>48518</v>
      </c>
      <c r="BE75" s="104">
        <v>48489</v>
      </c>
      <c r="BF75" s="104">
        <v>48519</v>
      </c>
      <c r="BG75" s="104">
        <v>48519</v>
      </c>
      <c r="BH75" s="104">
        <v>48548</v>
      </c>
      <c r="BI75" s="104">
        <v>48520</v>
      </c>
      <c r="BJ75" s="104">
        <v>48549</v>
      </c>
      <c r="BK75" s="104">
        <v>48549</v>
      </c>
      <c r="BL75" s="104">
        <v>48579</v>
      </c>
      <c r="BM75" s="104">
        <v>48550</v>
      </c>
      <c r="BN75" s="104">
        <v>48580</v>
      </c>
    </row>
    <row r="76" spans="12:66" ht="51" customHeight="1" x14ac:dyDescent="0.25">
      <c r="R76">
        <v>2033</v>
      </c>
      <c r="S76" s="104">
        <v>48580</v>
      </c>
      <c r="T76" s="104">
        <v>48610</v>
      </c>
      <c r="U76" s="104">
        <v>48581</v>
      </c>
      <c r="V76" s="104">
        <v>48611</v>
      </c>
      <c r="W76" s="104">
        <v>48611</v>
      </c>
      <c r="X76" s="104">
        <v>48638</v>
      </c>
      <c r="Y76" s="104">
        <v>48612</v>
      </c>
      <c r="Z76" s="104">
        <v>48639</v>
      </c>
      <c r="AA76" s="104">
        <v>48639</v>
      </c>
      <c r="AB76" s="104">
        <v>48669</v>
      </c>
      <c r="AC76" s="104">
        <v>48640</v>
      </c>
      <c r="AD76" s="104">
        <v>48670</v>
      </c>
      <c r="AE76" s="104">
        <v>48670</v>
      </c>
      <c r="AF76" s="104">
        <v>48699</v>
      </c>
      <c r="AG76" s="104">
        <v>48671</v>
      </c>
      <c r="AH76" s="104">
        <v>48700</v>
      </c>
      <c r="AI76" s="104">
        <v>48700</v>
      </c>
      <c r="AJ76" s="104">
        <v>48730</v>
      </c>
      <c r="AK76" s="104">
        <v>48701</v>
      </c>
      <c r="AL76" s="104">
        <v>48731</v>
      </c>
      <c r="AM76" s="104">
        <v>48731</v>
      </c>
      <c r="AN76" s="104">
        <v>48760</v>
      </c>
      <c r="AO76" s="104">
        <v>48732</v>
      </c>
      <c r="AP76" s="104">
        <v>48761</v>
      </c>
      <c r="AQ76" s="104">
        <v>48761</v>
      </c>
      <c r="AR76" s="104">
        <v>48791</v>
      </c>
      <c r="AS76" s="104">
        <v>48762</v>
      </c>
      <c r="AT76" s="104">
        <v>48792</v>
      </c>
      <c r="AU76" s="104">
        <v>48792</v>
      </c>
      <c r="AV76" s="104">
        <v>48822</v>
      </c>
      <c r="AW76" s="104">
        <v>48793</v>
      </c>
      <c r="AX76" s="104">
        <v>48823</v>
      </c>
      <c r="AY76" s="104">
        <v>48823</v>
      </c>
      <c r="AZ76" s="104">
        <v>48852</v>
      </c>
      <c r="BA76" s="104">
        <v>48824</v>
      </c>
      <c r="BB76" s="104">
        <v>48853</v>
      </c>
      <c r="BC76" s="104">
        <v>48853</v>
      </c>
      <c r="BD76" s="104">
        <v>48883</v>
      </c>
      <c r="BE76" s="104">
        <v>48854</v>
      </c>
      <c r="BF76" s="104">
        <v>48884</v>
      </c>
      <c r="BG76" s="104">
        <v>48884</v>
      </c>
      <c r="BH76" s="104">
        <v>48913</v>
      </c>
      <c r="BI76" s="104">
        <v>48885</v>
      </c>
      <c r="BJ76" s="104">
        <v>48914</v>
      </c>
      <c r="BK76" s="104">
        <v>48914</v>
      </c>
      <c r="BL76" s="104">
        <v>48944</v>
      </c>
      <c r="BM76" s="104">
        <v>48915</v>
      </c>
      <c r="BN76" s="104">
        <v>48945</v>
      </c>
    </row>
    <row r="77" spans="12:66" ht="51" customHeight="1" x14ac:dyDescent="0.25">
      <c r="R77">
        <v>2034</v>
      </c>
      <c r="S77" s="104">
        <v>48945</v>
      </c>
      <c r="T77" s="104">
        <v>48975</v>
      </c>
      <c r="U77" s="104">
        <v>48946</v>
      </c>
      <c r="V77" s="104">
        <v>48976</v>
      </c>
      <c r="W77" s="104">
        <v>48976</v>
      </c>
      <c r="X77" s="104">
        <v>49003</v>
      </c>
      <c r="Y77" s="104">
        <v>48977</v>
      </c>
      <c r="Z77" s="104">
        <v>49004</v>
      </c>
      <c r="AA77" s="104">
        <v>49004</v>
      </c>
      <c r="AB77" s="104">
        <v>49034</v>
      </c>
      <c r="AC77" s="104">
        <v>49005</v>
      </c>
      <c r="AD77" s="104">
        <v>49035</v>
      </c>
      <c r="AE77" s="104">
        <v>49035</v>
      </c>
      <c r="AF77" s="104">
        <v>49064</v>
      </c>
      <c r="AG77" s="104">
        <v>49036</v>
      </c>
      <c r="AH77" s="104">
        <v>49065</v>
      </c>
      <c r="AI77" s="104">
        <v>49065</v>
      </c>
      <c r="AJ77" s="104">
        <v>49095</v>
      </c>
      <c r="AK77" s="104">
        <v>49066</v>
      </c>
      <c r="AL77" s="104">
        <v>49096</v>
      </c>
      <c r="AM77" s="104">
        <v>49096</v>
      </c>
      <c r="AN77" s="104">
        <v>49125</v>
      </c>
      <c r="AO77" s="104">
        <v>49097</v>
      </c>
      <c r="AP77" s="104">
        <v>49126</v>
      </c>
      <c r="AQ77" s="104">
        <v>49126</v>
      </c>
      <c r="AR77" s="104">
        <v>49156</v>
      </c>
      <c r="AS77" s="104">
        <v>49127</v>
      </c>
      <c r="AT77" s="104">
        <v>49157</v>
      </c>
      <c r="AU77" s="104">
        <v>49157</v>
      </c>
      <c r="AV77" s="104">
        <v>49187</v>
      </c>
      <c r="AW77" s="104">
        <v>49158</v>
      </c>
      <c r="AX77" s="104">
        <v>49188</v>
      </c>
      <c r="AY77" s="104">
        <v>49188</v>
      </c>
      <c r="AZ77" s="104">
        <v>49217</v>
      </c>
      <c r="BA77" s="104">
        <v>49189</v>
      </c>
      <c r="BB77" s="104">
        <v>49218</v>
      </c>
      <c r="BC77" s="104">
        <v>49218</v>
      </c>
      <c r="BD77" s="104">
        <v>49248</v>
      </c>
      <c r="BE77" s="104">
        <v>49219</v>
      </c>
      <c r="BF77" s="104">
        <v>49249</v>
      </c>
      <c r="BG77" s="104">
        <v>49249</v>
      </c>
      <c r="BH77" s="104">
        <v>49278</v>
      </c>
      <c r="BI77" s="104">
        <v>49250</v>
      </c>
      <c r="BJ77" s="104">
        <v>49279</v>
      </c>
      <c r="BK77" s="104">
        <v>49279</v>
      </c>
      <c r="BL77" s="104">
        <v>49309</v>
      </c>
      <c r="BM77" s="104">
        <v>49280</v>
      </c>
      <c r="BN77" s="104">
        <v>49310</v>
      </c>
    </row>
    <row r="78" spans="12:66" ht="51" customHeight="1" x14ac:dyDescent="0.25">
      <c r="R78">
        <v>2035</v>
      </c>
      <c r="S78" s="104">
        <v>49310</v>
      </c>
      <c r="T78" s="104">
        <v>49340</v>
      </c>
      <c r="U78" s="104">
        <v>49311</v>
      </c>
      <c r="V78" s="104">
        <v>49341</v>
      </c>
      <c r="W78" s="104">
        <v>49341</v>
      </c>
      <c r="X78" s="104">
        <v>49368</v>
      </c>
      <c r="Y78" s="104">
        <v>49342</v>
      </c>
      <c r="Z78" s="104">
        <v>49369</v>
      </c>
      <c r="AA78" s="104">
        <v>49369</v>
      </c>
      <c r="AB78" s="104">
        <v>49399</v>
      </c>
      <c r="AC78" s="104">
        <v>49370</v>
      </c>
      <c r="AD78" s="104">
        <v>49400</v>
      </c>
      <c r="AE78" s="104">
        <v>49400</v>
      </c>
      <c r="AF78" s="104">
        <v>49429</v>
      </c>
      <c r="AG78" s="104">
        <v>49401</v>
      </c>
      <c r="AH78" s="104">
        <v>49430</v>
      </c>
      <c r="AI78" s="104">
        <v>49430</v>
      </c>
      <c r="AJ78" s="104">
        <v>49460</v>
      </c>
      <c r="AK78" s="104">
        <v>49431</v>
      </c>
      <c r="AL78" s="104">
        <v>49461</v>
      </c>
      <c r="AM78" s="104">
        <v>49461</v>
      </c>
      <c r="AN78" s="104">
        <v>49490</v>
      </c>
      <c r="AO78" s="104">
        <v>49462</v>
      </c>
      <c r="AP78" s="104">
        <v>49491</v>
      </c>
      <c r="AQ78" s="104">
        <v>49491</v>
      </c>
      <c r="AR78" s="104">
        <v>49521</v>
      </c>
      <c r="AS78" s="104">
        <v>49492</v>
      </c>
      <c r="AT78" s="104">
        <v>49522</v>
      </c>
      <c r="AU78" s="104">
        <v>49522</v>
      </c>
      <c r="AV78" s="104">
        <v>49552</v>
      </c>
      <c r="AW78" s="104">
        <v>49523</v>
      </c>
      <c r="AX78" s="104">
        <v>49553</v>
      </c>
      <c r="AY78" s="104">
        <v>49553</v>
      </c>
      <c r="AZ78" s="104">
        <v>49582</v>
      </c>
      <c r="BA78" s="104">
        <v>49554</v>
      </c>
      <c r="BB78" s="104">
        <v>49583</v>
      </c>
      <c r="BC78" s="104">
        <v>49583</v>
      </c>
      <c r="BD78" s="104">
        <v>49613</v>
      </c>
      <c r="BE78" s="104">
        <v>49584</v>
      </c>
      <c r="BF78" s="104">
        <v>49614</v>
      </c>
      <c r="BG78" s="104">
        <v>49614</v>
      </c>
      <c r="BH78" s="104">
        <v>49643</v>
      </c>
      <c r="BI78" s="104">
        <v>49615</v>
      </c>
      <c r="BJ78" s="104">
        <v>49644</v>
      </c>
      <c r="BK78" s="104">
        <v>49644</v>
      </c>
      <c r="BL78" s="104">
        <v>49674</v>
      </c>
      <c r="BM78" s="104">
        <v>49645</v>
      </c>
      <c r="BN78" s="104">
        <v>49675</v>
      </c>
    </row>
    <row r="79" spans="12:66" ht="51" customHeight="1" x14ac:dyDescent="0.25">
      <c r="S79" s="104"/>
      <c r="T79" s="104"/>
      <c r="U79" s="104"/>
      <c r="V79" s="104"/>
    </row>
    <row r="80" spans="12:66" ht="51" customHeight="1" x14ac:dyDescent="0.25">
      <c r="S80" s="104"/>
      <c r="T80" s="104"/>
      <c r="U80" s="104"/>
      <c r="V80" s="104"/>
    </row>
    <row r="81" spans="19:22" ht="51" customHeight="1" x14ac:dyDescent="0.25">
      <c r="S81" s="104"/>
      <c r="T81" s="104"/>
      <c r="U81" s="104"/>
      <c r="V81" s="104"/>
    </row>
    <row r="82" spans="19:22" ht="51" customHeight="1" x14ac:dyDescent="0.25">
      <c r="S82" s="104"/>
      <c r="T82" s="104"/>
      <c r="U82" s="104"/>
      <c r="V82" s="104"/>
    </row>
    <row r="83" spans="19:22" ht="51" customHeight="1" x14ac:dyDescent="0.25">
      <c r="S83" s="104"/>
      <c r="T83" s="104"/>
      <c r="U83" s="104"/>
      <c r="V83" s="104"/>
    </row>
    <row r="84" spans="19:22" ht="51" customHeight="1" x14ac:dyDescent="0.25">
      <c r="S84" s="104"/>
      <c r="T84" s="104"/>
      <c r="U84" s="104"/>
      <c r="V84" s="104"/>
    </row>
    <row r="85" spans="19:22" ht="51" customHeight="1" x14ac:dyDescent="0.25">
      <c r="S85" s="104"/>
      <c r="T85" s="104"/>
      <c r="U85" s="104"/>
      <c r="V85" s="104"/>
    </row>
    <row r="86" spans="19:22" ht="51" customHeight="1" x14ac:dyDescent="0.25">
      <c r="S86" s="104"/>
      <c r="T86" s="104"/>
      <c r="U86" s="104"/>
      <c r="V86" s="104"/>
    </row>
    <row r="87" spans="19:22" ht="51" customHeight="1" x14ac:dyDescent="0.25">
      <c r="S87" s="104"/>
      <c r="T87" s="104"/>
      <c r="U87" s="104"/>
      <c r="V87" s="104"/>
    </row>
    <row r="88" spans="19:22" ht="51" customHeight="1" x14ac:dyDescent="0.25">
      <c r="S88" s="104"/>
      <c r="T88" s="104"/>
      <c r="U88" s="104"/>
      <c r="V88" s="104"/>
    </row>
    <row r="89" spans="19:22" ht="51" customHeight="1" x14ac:dyDescent="0.25">
      <c r="S89" s="104"/>
      <c r="T89" s="104"/>
      <c r="U89" s="104"/>
      <c r="V89" s="104"/>
    </row>
    <row r="90" spans="19:22" ht="51" customHeight="1" x14ac:dyDescent="0.25">
      <c r="S90" s="104"/>
      <c r="T90" s="104"/>
      <c r="U90" s="104"/>
      <c r="V90" s="104"/>
    </row>
    <row r="91" spans="19:22" ht="51" customHeight="1" x14ac:dyDescent="0.25">
      <c r="S91" s="104"/>
      <c r="T91" s="104"/>
      <c r="U91" s="104"/>
      <c r="V91" s="104"/>
    </row>
    <row r="92" spans="19:22" ht="51" customHeight="1" x14ac:dyDescent="0.25">
      <c r="S92" s="104"/>
      <c r="T92" s="104"/>
      <c r="U92" s="104"/>
      <c r="V92" s="104"/>
    </row>
    <row r="93" spans="19:22" ht="51" customHeight="1" x14ac:dyDescent="0.25">
      <c r="S93" s="104"/>
      <c r="T93" s="104"/>
      <c r="U93" s="104"/>
      <c r="V93" s="104"/>
    </row>
    <row r="94" spans="19:22" ht="51" customHeight="1" x14ac:dyDescent="0.25">
      <c r="S94" s="104"/>
      <c r="T94" s="104"/>
      <c r="U94" s="104"/>
      <c r="V94" s="104"/>
    </row>
    <row r="95" spans="19:22" ht="51" customHeight="1" x14ac:dyDescent="0.25">
      <c r="S95" s="104"/>
      <c r="T95" s="104"/>
      <c r="U95" s="104"/>
      <c r="V95" s="104"/>
    </row>
    <row r="96" spans="19:22" ht="51" customHeight="1" x14ac:dyDescent="0.25">
      <c r="S96" s="104"/>
      <c r="T96" s="104"/>
      <c r="U96" s="104"/>
      <c r="V96" s="104"/>
    </row>
    <row r="97" spans="19:22" ht="51" customHeight="1" x14ac:dyDescent="0.25">
      <c r="S97" s="104"/>
      <c r="T97" s="104"/>
      <c r="U97" s="104"/>
      <c r="V97" s="104"/>
    </row>
    <row r="98" spans="19:22" ht="51" customHeight="1" x14ac:dyDescent="0.25">
      <c r="S98" s="104"/>
      <c r="T98" s="104"/>
      <c r="U98" s="104"/>
      <c r="V98" s="104"/>
    </row>
    <row r="99" spans="19:22" ht="51" customHeight="1" x14ac:dyDescent="0.25">
      <c r="S99" s="104"/>
      <c r="T99" s="104"/>
      <c r="U99" s="104"/>
      <c r="V99" s="104"/>
    </row>
    <row r="100" spans="19:22" ht="51" customHeight="1" x14ac:dyDescent="0.25">
      <c r="S100" s="104"/>
      <c r="T100" s="104"/>
      <c r="U100" s="104"/>
      <c r="V100" s="104"/>
    </row>
    <row r="101" spans="19:22" ht="51" customHeight="1" x14ac:dyDescent="0.25">
      <c r="S101" s="104"/>
      <c r="T101" s="104"/>
      <c r="U101" s="104"/>
      <c r="V101" s="104"/>
    </row>
    <row r="102" spans="19:22" ht="51" customHeight="1" x14ac:dyDescent="0.25">
      <c r="S102" s="104"/>
      <c r="T102" s="104"/>
      <c r="U102" s="104"/>
      <c r="V102" s="104"/>
    </row>
    <row r="103" spans="19:22" ht="51" customHeight="1" x14ac:dyDescent="0.25">
      <c r="S103" s="104"/>
      <c r="T103" s="104"/>
      <c r="U103" s="104"/>
      <c r="V103" s="104"/>
    </row>
    <row r="104" spans="19:22" ht="51" customHeight="1" x14ac:dyDescent="0.25">
      <c r="S104" s="104"/>
      <c r="T104" s="104"/>
      <c r="U104" s="104"/>
      <c r="V104" s="104"/>
    </row>
    <row r="105" spans="19:22" ht="51" customHeight="1" x14ac:dyDescent="0.25">
      <c r="S105" s="104"/>
      <c r="T105" s="104"/>
      <c r="U105" s="104"/>
      <c r="V105" s="104"/>
    </row>
    <row r="106" spans="19:22" ht="51" customHeight="1" x14ac:dyDescent="0.25">
      <c r="S106" s="104"/>
      <c r="T106" s="104"/>
      <c r="U106" s="104"/>
      <c r="V106" s="104"/>
    </row>
    <row r="107" spans="19:22" ht="51" customHeight="1" x14ac:dyDescent="0.25">
      <c r="S107" s="104"/>
      <c r="T107" s="104"/>
      <c r="U107" s="104"/>
      <c r="V107" s="104"/>
    </row>
    <row r="108" spans="19:22" ht="51" customHeight="1" x14ac:dyDescent="0.25">
      <c r="S108" s="104"/>
      <c r="T108" s="104"/>
      <c r="U108" s="104"/>
      <c r="V108" s="104"/>
    </row>
    <row r="109" spans="19:22" ht="51" customHeight="1" x14ac:dyDescent="0.25">
      <c r="S109" s="104"/>
      <c r="T109" s="104"/>
      <c r="U109" s="104"/>
      <c r="V109" s="104"/>
    </row>
    <row r="110" spans="19:22" ht="51" customHeight="1" x14ac:dyDescent="0.25">
      <c r="S110" s="104"/>
      <c r="T110" s="104"/>
      <c r="U110" s="104"/>
      <c r="V110" s="104"/>
    </row>
    <row r="111" spans="19:22" ht="51" customHeight="1" x14ac:dyDescent="0.25"/>
    <row r="112" spans="19:22" ht="51" customHeight="1" x14ac:dyDescent="0.25"/>
    <row r="113" ht="51" customHeight="1" x14ac:dyDescent="0.25"/>
    <row r="114" ht="51" customHeight="1" x14ac:dyDescent="0.25"/>
    <row r="115" ht="51" customHeight="1" x14ac:dyDescent="0.25"/>
    <row r="116" ht="51" customHeight="1" x14ac:dyDescent="0.25"/>
    <row r="117" ht="51" customHeight="1" x14ac:dyDescent="0.25"/>
    <row r="118" ht="51" customHeight="1" x14ac:dyDescent="0.25"/>
    <row r="119" ht="51" customHeight="1" x14ac:dyDescent="0.25"/>
    <row r="120" ht="51" customHeight="1" x14ac:dyDescent="0.25"/>
    <row r="121" ht="51" customHeight="1" x14ac:dyDescent="0.25"/>
    <row r="122" ht="51" customHeight="1" x14ac:dyDescent="0.25"/>
    <row r="123" ht="51" customHeight="1" x14ac:dyDescent="0.25"/>
    <row r="124" ht="51" customHeight="1" x14ac:dyDescent="0.25"/>
    <row r="125" ht="51" customHeight="1" x14ac:dyDescent="0.25"/>
    <row r="126" ht="51" customHeight="1" x14ac:dyDescent="0.25"/>
    <row r="127" ht="51" customHeight="1" x14ac:dyDescent="0.25"/>
    <row r="128" ht="51" customHeight="1" x14ac:dyDescent="0.25"/>
    <row r="129" ht="51" customHeight="1" x14ac:dyDescent="0.25"/>
    <row r="130" ht="51" customHeight="1" x14ac:dyDescent="0.25"/>
    <row r="131" ht="51" customHeight="1" x14ac:dyDescent="0.25"/>
    <row r="132" ht="51" customHeight="1" x14ac:dyDescent="0.25"/>
    <row r="133" ht="51" customHeight="1" x14ac:dyDescent="0.25"/>
    <row r="134" ht="51" customHeight="1" x14ac:dyDescent="0.25"/>
    <row r="135" ht="51" customHeight="1" x14ac:dyDescent="0.25"/>
    <row r="136" ht="51" customHeight="1" x14ac:dyDescent="0.25"/>
    <row r="137" ht="51" customHeight="1" x14ac:dyDescent="0.25"/>
    <row r="138" ht="51" customHeight="1" x14ac:dyDescent="0.25"/>
    <row r="139" ht="51" customHeight="1" x14ac:dyDescent="0.25"/>
    <row r="140" ht="51" customHeight="1" x14ac:dyDescent="0.25"/>
    <row r="141" ht="51" customHeight="1" x14ac:dyDescent="0.25"/>
    <row r="142" ht="51" customHeight="1" x14ac:dyDescent="0.25"/>
    <row r="143" ht="51" customHeight="1" x14ac:dyDescent="0.25"/>
    <row r="144" ht="51" customHeight="1" x14ac:dyDescent="0.25"/>
    <row r="145" ht="51" customHeight="1" x14ac:dyDescent="0.25"/>
    <row r="146" ht="51" customHeight="1" x14ac:dyDescent="0.25"/>
    <row r="147" ht="51" customHeight="1" x14ac:dyDescent="0.25"/>
    <row r="148" ht="51" customHeight="1" x14ac:dyDescent="0.25"/>
    <row r="149" ht="51" customHeight="1" x14ac:dyDescent="0.25"/>
    <row r="150" ht="51" customHeight="1" x14ac:dyDescent="0.25"/>
    <row r="151" ht="51" customHeight="1" x14ac:dyDescent="0.25"/>
    <row r="152" ht="51" customHeight="1" x14ac:dyDescent="0.25"/>
    <row r="153" ht="51" customHeight="1" x14ac:dyDescent="0.25"/>
    <row r="154" ht="51" customHeight="1" x14ac:dyDescent="0.25"/>
    <row r="155" ht="51" customHeight="1" x14ac:dyDescent="0.25"/>
    <row r="156" ht="51" customHeight="1" x14ac:dyDescent="0.25"/>
    <row r="157" ht="51" customHeight="1" x14ac:dyDescent="0.25"/>
    <row r="158" ht="51" customHeight="1" x14ac:dyDescent="0.25"/>
    <row r="159" ht="51" customHeight="1" x14ac:dyDescent="0.25"/>
    <row r="160" ht="51" customHeight="1" x14ac:dyDescent="0.25"/>
    <row r="161" ht="51" customHeight="1" x14ac:dyDescent="0.25"/>
    <row r="162" ht="51" customHeight="1" x14ac:dyDescent="0.25"/>
    <row r="163" ht="51" customHeight="1" x14ac:dyDescent="0.25"/>
    <row r="164" ht="51" customHeight="1" x14ac:dyDescent="0.25"/>
    <row r="165" ht="51" customHeight="1" x14ac:dyDescent="0.25"/>
    <row r="166" ht="51" customHeight="1" x14ac:dyDescent="0.25"/>
    <row r="167" ht="51" customHeight="1" x14ac:dyDescent="0.25"/>
    <row r="168" ht="51" customHeight="1" x14ac:dyDescent="0.25"/>
    <row r="169" ht="51" customHeight="1" x14ac:dyDescent="0.25"/>
    <row r="170" ht="51" customHeight="1" x14ac:dyDescent="0.25"/>
    <row r="171" ht="51" customHeight="1" x14ac:dyDescent="0.25"/>
    <row r="172" ht="51" customHeight="1" x14ac:dyDescent="0.25"/>
    <row r="173" ht="51" customHeight="1" x14ac:dyDescent="0.25"/>
    <row r="174" ht="51" customHeight="1" x14ac:dyDescent="0.25"/>
    <row r="175" ht="51" customHeight="1" x14ac:dyDescent="0.25"/>
    <row r="176" ht="51" customHeight="1" x14ac:dyDescent="0.25"/>
    <row r="177" ht="51" customHeight="1" x14ac:dyDescent="0.25"/>
    <row r="178" ht="51" customHeight="1" x14ac:dyDescent="0.25"/>
    <row r="179" ht="51" customHeight="1" x14ac:dyDescent="0.25"/>
    <row r="180" ht="51" customHeight="1" x14ac:dyDescent="0.25"/>
    <row r="181" ht="51" customHeight="1" x14ac:dyDescent="0.25"/>
    <row r="182" ht="51" customHeight="1" x14ac:dyDescent="0.25"/>
    <row r="183" ht="51" customHeight="1" x14ac:dyDescent="0.25"/>
    <row r="184" ht="51" customHeight="1" x14ac:dyDescent="0.25"/>
    <row r="185" ht="51" customHeight="1" x14ac:dyDescent="0.25"/>
    <row r="186" ht="51" customHeight="1" x14ac:dyDescent="0.25"/>
    <row r="187" ht="51" customHeight="1" x14ac:dyDescent="0.25"/>
    <row r="188" ht="51" customHeight="1" x14ac:dyDescent="0.25"/>
    <row r="189" ht="51" customHeight="1" x14ac:dyDescent="0.25"/>
    <row r="190" ht="51" customHeight="1" x14ac:dyDescent="0.25"/>
    <row r="191" ht="51" customHeight="1" x14ac:dyDescent="0.25"/>
    <row r="192" ht="51" customHeight="1" x14ac:dyDescent="0.25"/>
    <row r="193" ht="51" customHeight="1" x14ac:dyDescent="0.25"/>
    <row r="194" ht="51" customHeight="1" x14ac:dyDescent="0.25"/>
    <row r="195" ht="51" customHeight="1" x14ac:dyDescent="0.25"/>
    <row r="196" ht="51" customHeight="1" x14ac:dyDescent="0.25"/>
    <row r="197" ht="51" customHeight="1" x14ac:dyDescent="0.25"/>
    <row r="198" ht="51" customHeight="1" x14ac:dyDescent="0.25"/>
    <row r="199" ht="51" customHeight="1" x14ac:dyDescent="0.25"/>
    <row r="200" ht="51" customHeight="1" x14ac:dyDescent="0.25"/>
    <row r="201" ht="51" customHeight="1" x14ac:dyDescent="0.25"/>
    <row r="202" ht="51" customHeight="1" x14ac:dyDescent="0.25"/>
    <row r="203" ht="51" customHeight="1" x14ac:dyDescent="0.25"/>
    <row r="204" ht="51" customHeight="1" x14ac:dyDescent="0.25"/>
    <row r="205" ht="51" customHeight="1" x14ac:dyDescent="0.25"/>
    <row r="206" ht="51" customHeight="1" x14ac:dyDescent="0.25"/>
    <row r="207" ht="51" customHeight="1" x14ac:dyDescent="0.25"/>
    <row r="208" ht="51" customHeight="1" x14ac:dyDescent="0.25"/>
    <row r="209" ht="51" customHeight="1" x14ac:dyDescent="0.25"/>
    <row r="210" ht="51" customHeight="1" x14ac:dyDescent="0.25"/>
    <row r="211" ht="51" customHeight="1" x14ac:dyDescent="0.25"/>
    <row r="212" ht="51" customHeight="1" x14ac:dyDescent="0.25"/>
    <row r="213" ht="51" customHeight="1" x14ac:dyDescent="0.25"/>
    <row r="214" ht="51" customHeight="1" x14ac:dyDescent="0.25"/>
    <row r="215" ht="51" customHeight="1" x14ac:dyDescent="0.25"/>
    <row r="216" ht="51" customHeight="1" x14ac:dyDescent="0.25"/>
    <row r="217" ht="51" customHeight="1" x14ac:dyDescent="0.25"/>
    <row r="218" ht="51" customHeight="1" x14ac:dyDescent="0.25"/>
    <row r="219" ht="51" customHeight="1" x14ac:dyDescent="0.25"/>
    <row r="220" ht="51" customHeight="1" x14ac:dyDescent="0.25"/>
    <row r="221" ht="51" customHeight="1" x14ac:dyDescent="0.25"/>
    <row r="222" ht="51" customHeight="1" x14ac:dyDescent="0.25"/>
    <row r="223" ht="51" customHeight="1" x14ac:dyDescent="0.25"/>
    <row r="224" ht="51" customHeight="1" x14ac:dyDescent="0.25"/>
    <row r="225" ht="51" customHeight="1" x14ac:dyDescent="0.25"/>
    <row r="226" ht="51" customHeight="1" x14ac:dyDescent="0.25"/>
    <row r="227" ht="51" customHeight="1" x14ac:dyDescent="0.25"/>
    <row r="228" ht="51" customHeight="1" x14ac:dyDescent="0.25"/>
    <row r="229" ht="51" customHeight="1" x14ac:dyDescent="0.25"/>
    <row r="230" ht="51" customHeight="1" x14ac:dyDescent="0.25"/>
    <row r="231" ht="51" customHeight="1" x14ac:dyDescent="0.25"/>
    <row r="232" ht="51" customHeight="1" x14ac:dyDescent="0.25"/>
    <row r="233" ht="51" customHeight="1" x14ac:dyDescent="0.25"/>
    <row r="234" ht="51" customHeight="1" x14ac:dyDescent="0.25"/>
    <row r="235" ht="51" customHeight="1" x14ac:dyDescent="0.25"/>
    <row r="236" ht="51" customHeight="1" x14ac:dyDescent="0.25"/>
    <row r="237" ht="51" customHeight="1" x14ac:dyDescent="0.25"/>
    <row r="238" ht="51" customHeight="1" x14ac:dyDescent="0.25"/>
    <row r="239" ht="51" customHeight="1" x14ac:dyDescent="0.25"/>
    <row r="240" ht="51" customHeight="1" x14ac:dyDescent="0.25"/>
    <row r="241" ht="51" customHeight="1" x14ac:dyDescent="0.25"/>
    <row r="242" ht="51" customHeight="1" x14ac:dyDescent="0.25"/>
    <row r="243" ht="51" customHeight="1" x14ac:dyDescent="0.25"/>
    <row r="244" ht="51" customHeight="1" x14ac:dyDescent="0.25"/>
    <row r="245" ht="51" customHeight="1" x14ac:dyDescent="0.25"/>
    <row r="246" ht="51" customHeight="1" x14ac:dyDescent="0.25"/>
    <row r="247" ht="51" customHeight="1" x14ac:dyDescent="0.25"/>
    <row r="248" ht="51" customHeight="1" x14ac:dyDescent="0.25"/>
    <row r="249" ht="51" customHeight="1" x14ac:dyDescent="0.25"/>
    <row r="250" ht="51" customHeight="1" x14ac:dyDescent="0.25"/>
    <row r="251" ht="51" customHeight="1" x14ac:dyDescent="0.25"/>
    <row r="252" ht="51" customHeight="1" x14ac:dyDescent="0.25"/>
    <row r="253" ht="51" customHeight="1" x14ac:dyDescent="0.25"/>
    <row r="254" ht="51" customHeight="1" x14ac:dyDescent="0.25"/>
    <row r="255" ht="51" customHeight="1" x14ac:dyDescent="0.25"/>
    <row r="256" ht="51" customHeight="1" x14ac:dyDescent="0.25"/>
    <row r="257" ht="51" customHeight="1" x14ac:dyDescent="0.25"/>
    <row r="258" ht="51" customHeight="1" x14ac:dyDescent="0.25"/>
    <row r="259" ht="51" customHeight="1" x14ac:dyDescent="0.25"/>
    <row r="260" ht="51" customHeight="1" x14ac:dyDescent="0.25"/>
    <row r="261" ht="51" customHeight="1" x14ac:dyDescent="0.25"/>
    <row r="262" ht="51" customHeight="1" x14ac:dyDescent="0.25"/>
    <row r="263" ht="51" customHeight="1" x14ac:dyDescent="0.25"/>
    <row r="264" ht="51" customHeight="1" x14ac:dyDescent="0.25"/>
    <row r="265" ht="51" customHeight="1" x14ac:dyDescent="0.25"/>
    <row r="266" ht="51" customHeight="1" x14ac:dyDescent="0.25"/>
    <row r="267" ht="51" customHeight="1" x14ac:dyDescent="0.25"/>
    <row r="268" ht="51" customHeight="1" x14ac:dyDescent="0.25"/>
    <row r="269" ht="51" customHeight="1" x14ac:dyDescent="0.25"/>
    <row r="270" ht="51" customHeight="1" x14ac:dyDescent="0.25"/>
    <row r="271" ht="51" customHeight="1" x14ac:dyDescent="0.25"/>
    <row r="272" ht="51" customHeight="1" x14ac:dyDescent="0.25"/>
    <row r="273" ht="51" customHeight="1" x14ac:dyDescent="0.25"/>
    <row r="274" ht="51" customHeight="1" x14ac:dyDescent="0.25"/>
    <row r="275" ht="51" customHeight="1" x14ac:dyDescent="0.25"/>
    <row r="276" ht="51" customHeight="1" x14ac:dyDescent="0.25"/>
    <row r="277" ht="51" customHeight="1" x14ac:dyDescent="0.25"/>
    <row r="278" ht="51" customHeight="1" x14ac:dyDescent="0.25"/>
    <row r="279" ht="51" customHeight="1" x14ac:dyDescent="0.25"/>
    <row r="280" ht="51" customHeight="1" x14ac:dyDescent="0.25"/>
    <row r="281" ht="51" customHeight="1" x14ac:dyDescent="0.25"/>
    <row r="282" ht="51" customHeight="1" x14ac:dyDescent="0.25"/>
    <row r="283" ht="51" customHeight="1" x14ac:dyDescent="0.25"/>
    <row r="284" ht="51" customHeight="1" x14ac:dyDescent="0.25"/>
    <row r="285" ht="51" customHeight="1" x14ac:dyDescent="0.25"/>
    <row r="286" ht="51" customHeight="1" x14ac:dyDescent="0.25"/>
    <row r="287" ht="51" customHeight="1" x14ac:dyDescent="0.25"/>
    <row r="288" ht="51" customHeight="1" x14ac:dyDescent="0.25"/>
    <row r="289" ht="51" customHeight="1" x14ac:dyDescent="0.25"/>
    <row r="290" ht="51" customHeight="1" x14ac:dyDescent="0.25"/>
    <row r="291" ht="51" customHeight="1" x14ac:dyDescent="0.25"/>
    <row r="292" ht="51" customHeight="1" x14ac:dyDescent="0.25"/>
    <row r="293" ht="51" customHeight="1" x14ac:dyDescent="0.25"/>
    <row r="294" ht="51" customHeight="1" x14ac:dyDescent="0.25"/>
    <row r="295" ht="51" customHeight="1" x14ac:dyDescent="0.25"/>
    <row r="296" ht="51" customHeight="1" x14ac:dyDescent="0.25"/>
    <row r="297" ht="51" customHeight="1" x14ac:dyDescent="0.25"/>
    <row r="298" ht="51" customHeight="1" x14ac:dyDescent="0.25"/>
    <row r="299" ht="51" customHeight="1" x14ac:dyDescent="0.25"/>
    <row r="300" ht="51" customHeight="1" x14ac:dyDescent="0.25"/>
    <row r="301" ht="51" customHeight="1" x14ac:dyDescent="0.25"/>
    <row r="302" ht="51" customHeight="1" x14ac:dyDescent="0.25"/>
    <row r="303" ht="51" customHeight="1" x14ac:dyDescent="0.25"/>
    <row r="304" ht="51" customHeight="1" x14ac:dyDescent="0.25"/>
    <row r="305" ht="51" customHeight="1" x14ac:dyDescent="0.25"/>
    <row r="306" ht="51" customHeight="1" x14ac:dyDescent="0.25"/>
    <row r="307" ht="51" customHeight="1" x14ac:dyDescent="0.25"/>
    <row r="308" ht="51" customHeight="1" x14ac:dyDescent="0.25"/>
    <row r="309" ht="51" customHeight="1" x14ac:dyDescent="0.25"/>
    <row r="310" ht="51" customHeight="1" x14ac:dyDescent="0.25"/>
    <row r="311" ht="51" customHeight="1" x14ac:dyDescent="0.25"/>
    <row r="312" ht="51" customHeight="1" x14ac:dyDescent="0.25"/>
    <row r="313" ht="51" customHeight="1" x14ac:dyDescent="0.25"/>
    <row r="314" ht="51" customHeight="1" x14ac:dyDescent="0.25"/>
    <row r="315" ht="51" customHeight="1" x14ac:dyDescent="0.25"/>
    <row r="316" ht="51" customHeight="1" x14ac:dyDescent="0.25"/>
    <row r="317" ht="51" customHeight="1" x14ac:dyDescent="0.25"/>
    <row r="318" ht="51" customHeight="1" x14ac:dyDescent="0.25"/>
    <row r="319" ht="51" customHeight="1" x14ac:dyDescent="0.25"/>
    <row r="320" ht="51" customHeight="1" x14ac:dyDescent="0.25"/>
    <row r="321" ht="51" customHeight="1" x14ac:dyDescent="0.25"/>
    <row r="322" ht="51" customHeight="1" x14ac:dyDescent="0.25"/>
    <row r="323" ht="51" customHeight="1" x14ac:dyDescent="0.25"/>
    <row r="324" ht="51" customHeight="1" x14ac:dyDescent="0.25"/>
    <row r="325" ht="51" customHeight="1" x14ac:dyDescent="0.25"/>
    <row r="326" ht="51" customHeight="1" x14ac:dyDescent="0.25"/>
    <row r="327" ht="51" customHeight="1" x14ac:dyDescent="0.25"/>
    <row r="328" ht="51" customHeight="1" x14ac:dyDescent="0.25"/>
    <row r="329" ht="51" customHeight="1" x14ac:dyDescent="0.25"/>
    <row r="330" ht="51" customHeight="1" x14ac:dyDescent="0.25"/>
    <row r="331" ht="51" customHeight="1" x14ac:dyDescent="0.25"/>
    <row r="332" ht="51" customHeight="1" x14ac:dyDescent="0.25"/>
    <row r="333" ht="51" customHeight="1" x14ac:dyDescent="0.25"/>
    <row r="334" ht="51" customHeight="1" x14ac:dyDescent="0.25"/>
    <row r="335" ht="51" customHeight="1" x14ac:dyDescent="0.25"/>
    <row r="336" ht="51" customHeight="1" x14ac:dyDescent="0.25"/>
    <row r="337" ht="51" customHeight="1" x14ac:dyDescent="0.25"/>
    <row r="338" ht="51" customHeight="1" x14ac:dyDescent="0.25"/>
    <row r="339" ht="51" customHeight="1" x14ac:dyDescent="0.25"/>
    <row r="340" ht="51" customHeight="1" x14ac:dyDescent="0.25"/>
    <row r="341" ht="51" customHeight="1" x14ac:dyDescent="0.25"/>
    <row r="342" ht="51" customHeight="1" x14ac:dyDescent="0.25"/>
    <row r="343" ht="51" customHeight="1" x14ac:dyDescent="0.25"/>
    <row r="344" ht="51" customHeight="1" x14ac:dyDescent="0.25"/>
    <row r="345" ht="51" customHeight="1" x14ac:dyDescent="0.25"/>
    <row r="346" ht="51" customHeight="1" x14ac:dyDescent="0.25"/>
    <row r="347" ht="51" customHeight="1" x14ac:dyDescent="0.25"/>
    <row r="348" ht="51" customHeight="1" x14ac:dyDescent="0.25"/>
    <row r="349" ht="51" customHeight="1" x14ac:dyDescent="0.25"/>
    <row r="350" ht="51" customHeight="1" x14ac:dyDescent="0.25"/>
    <row r="351" ht="51" customHeight="1" x14ac:dyDescent="0.25"/>
    <row r="352" ht="51" customHeight="1" x14ac:dyDescent="0.25"/>
  </sheetData>
  <phoneticPr fontId="20" type="noConversion"/>
  <pageMargins left="0.75" right="0.75" top="1" bottom="1" header="0.5" footer="0.5"/>
  <headerFooter alignWithMargins="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4:X43"/>
  <sheetViews>
    <sheetView zoomScale="80" zoomScaleNormal="80" workbookViewId="0">
      <selection activeCell="B41" sqref="B41"/>
    </sheetView>
  </sheetViews>
  <sheetFormatPr defaultRowHeight="13.2" x14ac:dyDescent="0.25"/>
  <cols>
    <col min="1" max="1" width="12.88671875" customWidth="1"/>
    <col min="2" max="2" width="21.5546875" customWidth="1"/>
    <col min="3" max="3" width="9.88671875" customWidth="1"/>
    <col min="4" max="4" width="9.44140625" customWidth="1"/>
    <col min="5" max="5" width="6.5546875" customWidth="1"/>
    <col min="8" max="8" width="7.5546875" customWidth="1"/>
    <col min="9" max="10" width="10.109375" bestFit="1" customWidth="1"/>
    <col min="13" max="13" width="11.44140625" customWidth="1"/>
    <col min="14" max="14" width="9.109375" style="878"/>
  </cols>
  <sheetData>
    <row r="4" spans="1:24" x14ac:dyDescent="0.25">
      <c r="E4" s="563" t="s">
        <v>727</v>
      </c>
      <c r="F4" s="631" t="s">
        <v>728</v>
      </c>
    </row>
    <row r="5" spans="1:24" x14ac:dyDescent="0.25">
      <c r="E5" s="563" t="s">
        <v>729</v>
      </c>
      <c r="F5" s="631" t="s">
        <v>730</v>
      </c>
    </row>
    <row r="6" spans="1:24" ht="13.8" thickBot="1" x14ac:dyDescent="0.3"/>
    <row r="7" spans="1:24" ht="52.8" x14ac:dyDescent="0.25">
      <c r="A7" t="s">
        <v>1</v>
      </c>
      <c r="B7" s="906" t="s">
        <v>713</v>
      </c>
      <c r="C7" s="899" t="s">
        <v>720</v>
      </c>
      <c r="D7" s="910" t="s">
        <v>403</v>
      </c>
      <c r="E7" s="910" t="s">
        <v>718</v>
      </c>
      <c r="F7" s="899" t="s">
        <v>726</v>
      </c>
      <c r="G7" s="899" t="s">
        <v>724</v>
      </c>
      <c r="H7" s="899" t="s">
        <v>725</v>
      </c>
      <c r="I7" s="899" t="s">
        <v>742</v>
      </c>
      <c r="J7" s="899" t="s">
        <v>743</v>
      </c>
      <c r="K7" s="32"/>
      <c r="M7" s="937"/>
      <c r="N7" s="938"/>
      <c r="O7" s="937" t="s">
        <v>774</v>
      </c>
      <c r="P7" s="937"/>
      <c r="Q7" s="937"/>
      <c r="R7" s="937"/>
      <c r="S7" s="937"/>
      <c r="T7" s="937" t="s">
        <v>776</v>
      </c>
      <c r="U7" s="942" t="s">
        <v>782</v>
      </c>
      <c r="V7" s="942" t="s">
        <v>781</v>
      </c>
      <c r="W7" s="942" t="s">
        <v>783</v>
      </c>
      <c r="X7" s="944" t="s">
        <v>780</v>
      </c>
    </row>
    <row r="8" spans="1:24" x14ac:dyDescent="0.25">
      <c r="A8" s="908">
        <f ca="1">TODAY()-1</f>
        <v>43116</v>
      </c>
      <c r="B8" t="s">
        <v>715</v>
      </c>
      <c r="C8" s="903">
        <v>1.38</v>
      </c>
      <c r="D8" s="903">
        <v>25.75</v>
      </c>
      <c r="E8" s="900"/>
      <c r="F8" s="900"/>
      <c r="G8" s="900"/>
      <c r="H8" s="900"/>
      <c r="I8" s="904">
        <f ca="1">AVERAGE(VLOOKUP($A$8,Calculation!B8:HL381,149),VLOOKUP($A$8-1,Calculation!B8:HL381,149),VLOOKUP($A$8-2,Calculation!B8:HL381,149))</f>
        <v>24.532118142382625</v>
      </c>
      <c r="J8" s="904">
        <f ca="1">VLOOKUP($A$8,Calculation!B8:HL381,149)</f>
        <v>24.532118142382625</v>
      </c>
      <c r="M8" s="410"/>
      <c r="N8" s="939"/>
      <c r="O8" s="410"/>
      <c r="P8" s="410"/>
      <c r="Q8" s="410"/>
      <c r="R8" s="410"/>
      <c r="S8" s="410"/>
      <c r="T8" s="939" t="s">
        <v>777</v>
      </c>
      <c r="U8" s="410">
        <v>78</v>
      </c>
      <c r="V8" s="943">
        <f t="shared" ref="V8:V13" si="0">U8/12</f>
        <v>6.5</v>
      </c>
      <c r="W8" s="943">
        <f t="shared" ref="W8:W13" si="1">V8*V8</f>
        <v>42.25</v>
      </c>
      <c r="X8" s="945">
        <f t="shared" ref="X8:X13" si="2">(($O$10*1.547)/((3.14159*W8)/4))</f>
        <v>1.4918462405244575</v>
      </c>
    </row>
    <row r="9" spans="1:24" ht="13.8" thickBot="1" x14ac:dyDescent="0.3">
      <c r="B9" t="s">
        <v>716</v>
      </c>
      <c r="C9" s="903">
        <v>1.38</v>
      </c>
      <c r="D9" s="903">
        <v>25.75</v>
      </c>
      <c r="E9" s="900"/>
      <c r="F9" s="900"/>
      <c r="G9" s="900"/>
      <c r="H9" s="900"/>
      <c r="I9" s="904">
        <f ca="1">AVERAGE(VLOOKUP($A$8,Calculation!B8:HL381,150),VLOOKUP($A$8-1,Calculation!B8:HL381,150),VLOOKUP($A$8-2,Calculation!B8:HL381,150))</f>
        <v>25.778135098093021</v>
      </c>
      <c r="J9" s="904">
        <f ca="1">VLOOKUP($A$8,Calculation!B8:HL381,150)</f>
        <v>25.778135098093021</v>
      </c>
      <c r="M9" s="410"/>
      <c r="N9" s="939"/>
      <c r="O9" s="410"/>
      <c r="P9" s="410"/>
      <c r="Q9" s="410"/>
      <c r="R9" s="410"/>
      <c r="S9" s="410"/>
      <c r="T9" s="939" t="s">
        <v>778</v>
      </c>
      <c r="U9" s="410">
        <v>64</v>
      </c>
      <c r="V9" s="943">
        <f t="shared" si="0"/>
        <v>5.333333333333333</v>
      </c>
      <c r="W9" s="943">
        <f t="shared" si="1"/>
        <v>28.444444444444443</v>
      </c>
      <c r="X9" s="945">
        <f t="shared" si="2"/>
        <v>2.2159161443727542</v>
      </c>
    </row>
    <row r="10" spans="1:24" ht="13.8" thickBot="1" x14ac:dyDescent="0.3">
      <c r="B10" s="902" t="s">
        <v>723</v>
      </c>
      <c r="C10" s="903">
        <v>2.76</v>
      </c>
      <c r="D10" s="903"/>
      <c r="E10" s="903"/>
      <c r="F10" s="903"/>
      <c r="G10" s="905">
        <f ca="1">AVERAGE((VLOOKUP($A$8,Sheet1!$B$10:$ET$379,73)),(VLOOKUP($A$8-1,Sheet1!$B$10:$ET$379,73)),(VLOOKUP($A$8-2,Sheet1!$B$10:$ET$379,73)))</f>
        <v>0</v>
      </c>
      <c r="H10" s="903">
        <f ca="1">VLOOKUP($A$8,Sheet1!$B$10:$ET$379,73)</f>
        <v>0</v>
      </c>
      <c r="I10" s="905">
        <f ca="1">I8+I9</f>
        <v>50.310253240475646</v>
      </c>
      <c r="J10" s="905">
        <f ca="1">J8+J9</f>
        <v>50.310253240475646</v>
      </c>
      <c r="M10" s="940"/>
      <c r="N10" s="948" t="s">
        <v>775</v>
      </c>
      <c r="O10" s="936">
        <v>32</v>
      </c>
      <c r="P10" s="410"/>
      <c r="Q10" s="410"/>
      <c r="R10" s="410"/>
      <c r="S10" s="410"/>
      <c r="T10" s="939" t="s">
        <v>779</v>
      </c>
      <c r="U10" s="410">
        <v>58</v>
      </c>
      <c r="V10" s="943">
        <f t="shared" si="0"/>
        <v>4.833333333333333</v>
      </c>
      <c r="W10" s="943">
        <f t="shared" si="1"/>
        <v>23.361111111111107</v>
      </c>
      <c r="X10" s="945">
        <f t="shared" si="2"/>
        <v>2.6980952816143882</v>
      </c>
    </row>
    <row r="11" spans="1:24" x14ac:dyDescent="0.25">
      <c r="B11" s="902"/>
      <c r="C11" s="903"/>
      <c r="D11" s="903"/>
      <c r="E11" s="900"/>
      <c r="F11" s="900"/>
      <c r="G11" s="905"/>
      <c r="H11" s="903"/>
      <c r="I11" s="900"/>
      <c r="J11" s="900"/>
      <c r="M11" s="410"/>
      <c r="N11" s="939"/>
      <c r="O11" s="410"/>
      <c r="P11" s="410"/>
      <c r="Q11" s="410"/>
      <c r="R11" s="410"/>
      <c r="S11" s="410"/>
      <c r="T11" s="939"/>
      <c r="U11" s="410">
        <v>54</v>
      </c>
      <c r="V11" s="943">
        <f t="shared" si="0"/>
        <v>4.5</v>
      </c>
      <c r="W11" s="943">
        <f t="shared" si="1"/>
        <v>20.25</v>
      </c>
      <c r="X11" s="945">
        <f t="shared" si="2"/>
        <v>3.1126174647979425</v>
      </c>
    </row>
    <row r="12" spans="1:24" x14ac:dyDescent="0.25">
      <c r="B12" s="902"/>
      <c r="C12" s="903"/>
      <c r="D12" s="903"/>
      <c r="E12" s="900"/>
      <c r="F12" s="900"/>
      <c r="G12" s="905"/>
      <c r="H12" s="903"/>
      <c r="I12" s="900"/>
      <c r="J12" s="900"/>
      <c r="M12" s="410"/>
      <c r="N12" s="939"/>
      <c r="O12" s="410"/>
      <c r="P12" s="410"/>
      <c r="Q12" s="410"/>
      <c r="R12" s="410"/>
      <c r="S12" s="410"/>
      <c r="T12" s="939"/>
      <c r="U12" s="410">
        <v>52</v>
      </c>
      <c r="V12" s="943">
        <f t="shared" si="0"/>
        <v>4.333333333333333</v>
      </c>
      <c r="W12" s="943">
        <f t="shared" si="1"/>
        <v>18.777777777777775</v>
      </c>
      <c r="X12" s="945">
        <f t="shared" si="2"/>
        <v>3.3566540411800303</v>
      </c>
    </row>
    <row r="13" spans="1:24" x14ac:dyDescent="0.25">
      <c r="B13" t="s">
        <v>712</v>
      </c>
      <c r="C13" s="905">
        <v>1.038</v>
      </c>
      <c r="D13" s="903">
        <v>21</v>
      </c>
      <c r="E13" s="900"/>
      <c r="F13" s="900"/>
      <c r="G13" s="905">
        <f ca="1">AVERAGE((VLOOKUP($A$8,Sheet1!$B$10:$ET$379,73)),(VLOOKUP($A$8-1,Sheet1!$B$10:$ET$379,73)),(VLOOKUP($A$8-2,Sheet1!$B$10:$ET$379,73)))</f>
        <v>0</v>
      </c>
      <c r="H13" s="903">
        <f ca="1">VLOOKUP($A$8,Sheet1!$B$10:$ET$379,73)</f>
        <v>0</v>
      </c>
      <c r="I13" s="904">
        <f ca="1">AVERAGE(VLOOKUP($A$8,'Calculations II'!B8:BP381,5),VLOOKUP($A$8-1,'Calculations II'!B8:BP381,5),VLOOKUP($A$8-2,'Calculations II'!B8:BP381,5))</f>
        <v>15.179735316038171</v>
      </c>
      <c r="J13" s="904">
        <f ca="1">(VLOOKUP($A$8,'Calculations II'!B8:BP381,5))</f>
        <v>15.179735316038171</v>
      </c>
      <c r="M13" s="410"/>
      <c r="N13" s="939"/>
      <c r="O13" s="410"/>
      <c r="P13" s="410"/>
      <c r="Q13" s="410"/>
      <c r="R13" s="410"/>
      <c r="S13" s="410"/>
      <c r="T13" s="939"/>
      <c r="U13" s="410">
        <v>39</v>
      </c>
      <c r="V13" s="943">
        <f t="shared" si="0"/>
        <v>3.25</v>
      </c>
      <c r="W13" s="943">
        <f t="shared" si="1"/>
        <v>10.5625</v>
      </c>
      <c r="X13" s="945">
        <f t="shared" si="2"/>
        <v>5.9673849620978299</v>
      </c>
    </row>
    <row r="14" spans="1:24" x14ac:dyDescent="0.25">
      <c r="B14" t="s">
        <v>714</v>
      </c>
      <c r="C14" s="903">
        <v>0.62</v>
      </c>
      <c r="D14" s="903">
        <v>16.5</v>
      </c>
      <c r="E14" s="900"/>
      <c r="F14" s="900"/>
      <c r="G14" s="905">
        <f ca="1">AVERAGE((VLOOKUP($A$8,Sheet1!$B$10:$ET$379,73)),(VLOOKUP($A$8-1,Sheet1!$B$10:$ET$379,73)),(VLOOKUP($A$8-2,Sheet1!$B$10:$ET$379,73)))</f>
        <v>0</v>
      </c>
      <c r="H14" s="903">
        <f ca="1">VLOOKUP($A$8,Sheet1!$B$10:$ET$379,73)</f>
        <v>0</v>
      </c>
      <c r="I14" s="904">
        <f ca="1">AVERAGE(VLOOKUP($A$8,'Calculations II'!B9:BP382,13),VLOOKUP($A$8-1,'Calculations II'!B9:BP382,13),VLOOKUP($A$8-2,'Calculations II'!B9:BP382,13))</f>
        <v>8.0047525559064834</v>
      </c>
      <c r="J14" s="904">
        <f ca="1">(VLOOKUP($A$8,'Calculations II'!B9:BP382,13))</f>
        <v>8.0047525559064834</v>
      </c>
      <c r="M14" s="410"/>
      <c r="N14" s="939"/>
      <c r="O14" s="410"/>
      <c r="P14" s="410"/>
      <c r="Q14" s="410"/>
      <c r="R14" s="410"/>
      <c r="S14" s="410"/>
      <c r="T14" s="939"/>
      <c r="U14" s="410"/>
      <c r="V14" s="410"/>
      <c r="W14" s="410"/>
      <c r="X14" s="946"/>
    </row>
    <row r="15" spans="1:24" x14ac:dyDescent="0.25">
      <c r="B15" t="s">
        <v>689</v>
      </c>
      <c r="C15" s="905">
        <v>0.39700000000000002</v>
      </c>
      <c r="D15" s="903">
        <v>25.6</v>
      </c>
      <c r="E15" s="900"/>
      <c r="F15" s="900"/>
      <c r="G15" s="905">
        <f ca="1">AVERAGE((VLOOKUP($A$8,Sheet1!$B$10:$ET$379,73)),(VLOOKUP($A$8-1,Sheet1!$B$10:$ET$379,73)),(VLOOKUP($A$8-2,Sheet1!$B$10:$ET$379,73)))</f>
        <v>0</v>
      </c>
      <c r="H15" s="903">
        <f ca="1">VLOOKUP($A$8,Sheet1!$B$10:$ET$379,73)</f>
        <v>0</v>
      </c>
      <c r="I15" s="904">
        <f ca="1">AVERAGE(VLOOKUP($A$8,'Calculations II'!B10:BP383,6),VLOOKUP($A$8-1,'Calculations II'!B10:BP383,6),VLOOKUP($A$8-2,'Calculations II'!B10:BP383,6))</f>
        <v>5.1627551368327085</v>
      </c>
      <c r="J15" s="904">
        <f ca="1">(VLOOKUP($A$8,'Calculations II'!B10:BP383,6))</f>
        <v>5.1627551368327085</v>
      </c>
      <c r="M15" s="410"/>
      <c r="N15" s="939"/>
      <c r="O15" s="410"/>
      <c r="P15" s="410"/>
      <c r="Q15" s="410"/>
      <c r="R15" s="410"/>
      <c r="S15" s="410"/>
      <c r="T15" s="939"/>
      <c r="U15" s="410"/>
      <c r="V15" s="410"/>
      <c r="W15" s="410"/>
      <c r="X15" s="946"/>
    </row>
    <row r="16" spans="1:24" x14ac:dyDescent="0.25">
      <c r="C16" s="903"/>
      <c r="D16" s="903"/>
      <c r="E16" s="900"/>
      <c r="F16" s="900"/>
      <c r="G16" s="900"/>
      <c r="H16" s="900"/>
      <c r="I16" s="904"/>
      <c r="J16" s="904"/>
      <c r="M16" s="410"/>
      <c r="N16" s="939"/>
      <c r="O16" s="410"/>
      <c r="P16" s="410"/>
      <c r="Q16" s="410"/>
      <c r="R16" s="410"/>
      <c r="S16" s="410"/>
      <c r="T16" s="939"/>
      <c r="U16" s="410"/>
      <c r="V16" s="410"/>
      <c r="W16" s="410"/>
      <c r="X16" s="946"/>
    </row>
    <row r="17" spans="2:24" ht="13.8" thickBot="1" x14ac:dyDescent="0.3">
      <c r="C17" s="903"/>
      <c r="D17" s="903"/>
      <c r="E17" s="900"/>
      <c r="F17" s="900"/>
      <c r="G17" s="900"/>
      <c r="H17" s="900"/>
      <c r="I17" s="904"/>
      <c r="J17" s="904"/>
      <c r="M17" s="440"/>
      <c r="N17" s="941"/>
      <c r="O17" s="440"/>
      <c r="P17" s="440"/>
      <c r="Q17" s="440"/>
      <c r="R17" s="440"/>
      <c r="S17" s="440"/>
      <c r="T17" s="941"/>
      <c r="U17" s="440"/>
      <c r="V17" s="440"/>
      <c r="W17" s="440"/>
      <c r="X17" s="947"/>
    </row>
    <row r="18" spans="2:24" x14ac:dyDescent="0.25">
      <c r="C18" s="903"/>
      <c r="D18" s="903"/>
      <c r="E18" s="900"/>
      <c r="F18" s="900"/>
      <c r="G18" s="900"/>
      <c r="H18" s="900"/>
      <c r="I18" s="904"/>
      <c r="J18" s="904"/>
    </row>
    <row r="19" spans="2:24" x14ac:dyDescent="0.25">
      <c r="C19" s="903"/>
      <c r="D19" s="903"/>
      <c r="E19" s="900"/>
      <c r="F19" s="900"/>
      <c r="G19" s="900"/>
      <c r="H19" s="900"/>
      <c r="I19" s="904"/>
      <c r="J19" s="904"/>
    </row>
    <row r="20" spans="2:24" x14ac:dyDescent="0.25">
      <c r="C20" s="903"/>
      <c r="D20" s="903"/>
    </row>
    <row r="21" spans="2:24" ht="39.6" x14ac:dyDescent="0.25">
      <c r="B21" s="906" t="s">
        <v>731</v>
      </c>
      <c r="C21" s="907" t="s">
        <v>736</v>
      </c>
      <c r="D21" s="907" t="s">
        <v>737</v>
      </c>
      <c r="E21" s="32"/>
      <c r="F21" s="32"/>
      <c r="G21" s="32"/>
      <c r="H21" s="32"/>
      <c r="I21" s="32"/>
      <c r="J21" s="32"/>
    </row>
    <row r="22" spans="2:24" x14ac:dyDescent="0.25">
      <c r="B22" s="631" t="s">
        <v>732</v>
      </c>
      <c r="C22" s="909">
        <f ca="1">AVERAGE(VLOOKUP($A$8,Sheet1!$B$8:$ET$377,44),VLOOKUP($A$8-1,Sheet1!$B$8:$ET$377,44),VLOOKUP($A$8-2,Sheet1!$B$8:$ET$377,44))*0.00144</f>
        <v>3.168E-2</v>
      </c>
      <c r="D22" s="909">
        <f ca="1">VLOOKUP($A$8,Sheet1!$B$8:$ET$377,44)*0.00144</f>
        <v>3.168E-2</v>
      </c>
    </row>
    <row r="23" spans="2:24" x14ac:dyDescent="0.25">
      <c r="B23" s="631" t="s">
        <v>733</v>
      </c>
      <c r="C23" s="909">
        <f ca="1">AVERAGE(VLOOKUP($A$8,Sheet1!$B$8:$ET$377,47),VLOOKUP($A$8-1,Sheet1!$B$8:$ET$377,47),VLOOKUP($A$8-2,Sheet1!$B$8:$ET$377,47))*0.00144</f>
        <v>0.34142400000000001</v>
      </c>
      <c r="D23" s="909">
        <f ca="1">VLOOKUP($A$8,Sheet1!$B$8:$ET$377,47)*0.00144</f>
        <v>0.34142400000000001</v>
      </c>
    </row>
    <row r="24" spans="2:24" x14ac:dyDescent="0.25">
      <c r="B24" s="631" t="s">
        <v>734</v>
      </c>
      <c r="C24" s="909">
        <f ca="1">AVERAGE(VLOOKUP($A$8,Sheet1!$B$8:$ET$377,48),VLOOKUP($A$8-1,Sheet1!$B$8:$ET$377,48),VLOOKUP($A$8-2,Sheet1!$B$8:$ET$377,48))*0.00144</f>
        <v>0.34804799999999997</v>
      </c>
      <c r="D24" s="909">
        <f ca="1">VLOOKUP($A$8,Sheet1!$B$8:$ET$377,48)*0.00144</f>
        <v>0.34804800000000002</v>
      </c>
    </row>
    <row r="25" spans="2:24" x14ac:dyDescent="0.25">
      <c r="B25" s="631" t="s">
        <v>735</v>
      </c>
      <c r="C25" s="909">
        <f ca="1">AVERAGE(VLOOKUP($A$8,Sheet1!$B$8:$ET$377,49),VLOOKUP($A$8-1,Sheet1!$B$8:$ET$377,49),VLOOKUP($A$8-2,Sheet1!$B$8:$ET$377,49))*0.00144</f>
        <v>0</v>
      </c>
      <c r="D25" s="909">
        <f ca="1">VLOOKUP($A$8,Sheet1!$B$8:$ET$377,49)*0.00144</f>
        <v>0</v>
      </c>
    </row>
    <row r="26" spans="2:24" x14ac:dyDescent="0.25">
      <c r="B26" s="631"/>
      <c r="C26" s="903"/>
      <c r="D26" s="903"/>
    </row>
    <row r="27" spans="2:24" x14ac:dyDescent="0.25">
      <c r="B27" s="631"/>
      <c r="C27" s="903"/>
      <c r="D27" s="903"/>
    </row>
    <row r="28" spans="2:24" x14ac:dyDescent="0.25">
      <c r="B28" s="631"/>
      <c r="C28" s="903"/>
      <c r="D28" s="903"/>
    </row>
    <row r="29" spans="2:24" ht="39.6" x14ac:dyDescent="0.25">
      <c r="C29" s="32" t="s">
        <v>744</v>
      </c>
      <c r="D29" s="32" t="s">
        <v>745</v>
      </c>
    </row>
    <row r="30" spans="2:24" x14ac:dyDescent="0.25">
      <c r="B30" s="898" t="s">
        <v>717</v>
      </c>
    </row>
    <row r="31" spans="2:24" x14ac:dyDescent="0.25">
      <c r="B31" s="631" t="s">
        <v>722</v>
      </c>
    </row>
    <row r="32" spans="2:24" x14ac:dyDescent="0.25">
      <c r="B32" s="631" t="s">
        <v>738</v>
      </c>
    </row>
    <row r="33" spans="2:2" x14ac:dyDescent="0.25">
      <c r="B33" s="631" t="s">
        <v>739</v>
      </c>
    </row>
    <row r="34" spans="2:2" x14ac:dyDescent="0.25">
      <c r="B34" s="631" t="s">
        <v>711</v>
      </c>
    </row>
    <row r="35" spans="2:2" x14ac:dyDescent="0.25">
      <c r="B35" s="631" t="s">
        <v>740</v>
      </c>
    </row>
    <row r="36" spans="2:2" x14ac:dyDescent="0.25">
      <c r="B36" s="631"/>
    </row>
    <row r="37" spans="2:2" x14ac:dyDescent="0.25">
      <c r="B37" s="631"/>
    </row>
    <row r="39" spans="2:2" x14ac:dyDescent="0.25">
      <c r="B39" s="898" t="s">
        <v>741</v>
      </c>
    </row>
    <row r="40" spans="2:2" x14ac:dyDescent="0.25">
      <c r="B40" t="s">
        <v>721</v>
      </c>
    </row>
    <row r="41" spans="2:2" x14ac:dyDescent="0.25">
      <c r="B41" t="s">
        <v>248</v>
      </c>
    </row>
    <row r="42" spans="2:2" x14ac:dyDescent="0.25">
      <c r="B42" t="s">
        <v>719</v>
      </c>
    </row>
    <row r="43" spans="2:2" x14ac:dyDescent="0.25">
      <c r="B43" t="s">
        <v>246</v>
      </c>
    </row>
  </sheetData>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H425"/>
  <sheetViews>
    <sheetView zoomScale="110" zoomScaleNormal="110" workbookViewId="0">
      <pane xSplit="1" ySplit="4" topLeftCell="B363" activePane="bottomRight" state="frozen"/>
      <selection pane="topRight" activeCell="B1" sqref="B1"/>
      <selection pane="bottomLeft" activeCell="A5" sqref="A5"/>
      <selection pane="bottomRight" activeCell="Q9" sqref="Q9:Q373"/>
    </sheetView>
  </sheetViews>
  <sheetFormatPr defaultColWidth="0.109375" defaultRowHeight="10.199999999999999" x14ac:dyDescent="0.2"/>
  <cols>
    <col min="1" max="1" width="6.109375" style="406" bestFit="1" customWidth="1"/>
    <col min="2" max="2" width="5.88671875" style="862" bestFit="1" customWidth="1"/>
    <col min="3" max="3" width="4.88671875" style="862" bestFit="1" customWidth="1"/>
    <col min="4" max="4" width="5.44140625" style="862" bestFit="1" customWidth="1"/>
    <col min="5" max="5" width="5.109375" style="862" bestFit="1" customWidth="1"/>
    <col min="6" max="6" width="4.6640625" style="862" customWidth="1"/>
    <col min="7" max="7" width="4" style="862" bestFit="1" customWidth="1"/>
    <col min="8" max="8" width="7.5546875" style="862" customWidth="1"/>
    <col min="9" max="11" width="5.88671875" style="842" bestFit="1" customWidth="1"/>
    <col min="12" max="14" width="3.5546875" style="862" customWidth="1"/>
    <col min="15" max="15" width="6.5546875" style="891" bestFit="1" customWidth="1"/>
    <col min="16" max="16" width="8.44140625" style="891" hidden="1" customWidth="1"/>
    <col min="17" max="17" width="6.5546875" style="917" bestFit="1" customWidth="1"/>
    <col min="18" max="18" width="9.109375" style="891" customWidth="1"/>
    <col min="19" max="19" width="6.44140625" style="891" bestFit="1" customWidth="1"/>
    <col min="20" max="20" width="6.5546875" style="917" bestFit="1" customWidth="1"/>
    <col min="21" max="21" width="5.88671875" style="891" customWidth="1"/>
    <col min="22" max="22" width="5.88671875" style="891" bestFit="1" customWidth="1"/>
    <col min="23" max="23" width="7.88671875" style="917" customWidth="1"/>
    <col min="24" max="24" width="8" style="891" customWidth="1"/>
    <col min="25" max="26" width="8.44140625" style="891" bestFit="1" customWidth="1"/>
    <col min="27" max="27" width="8.44140625" style="891" customWidth="1"/>
    <col min="28" max="28" width="8.44140625" style="917" bestFit="1" customWidth="1"/>
    <col min="29" max="29" width="9.44140625" style="407" customWidth="1"/>
    <col min="30" max="30" width="8.44140625" style="862" bestFit="1" customWidth="1"/>
    <col min="31" max="31" width="5.44140625" style="407" hidden="1" customWidth="1"/>
    <col min="32" max="32" width="7.33203125" style="407" bestFit="1" customWidth="1"/>
    <col min="33" max="33" width="8.44140625" style="842" bestFit="1" customWidth="1"/>
    <col min="34" max="35" width="6.109375" style="842" bestFit="1" customWidth="1"/>
    <col min="36" max="36" width="8.44140625" style="372" customWidth="1"/>
    <col min="37" max="38" width="8.44140625" style="547" customWidth="1"/>
    <col min="39" max="39" width="8" style="372" customWidth="1"/>
    <col min="40" max="46" width="8.44140625" style="372" customWidth="1"/>
    <col min="47" max="47" width="11.88671875" style="372" customWidth="1"/>
    <col min="48" max="48" width="11.88671875" style="380" customWidth="1"/>
    <col min="49" max="60" width="11.88671875" style="372" customWidth="1"/>
    <col min="61" max="115" width="8" style="372" customWidth="1"/>
    <col min="116" max="116" width="18.88671875" style="372" bestFit="1" customWidth="1"/>
    <col min="117" max="127" width="8" style="372" customWidth="1"/>
    <col min="128" max="128" width="10.44140625" style="372" bestFit="1" customWidth="1"/>
    <col min="129" max="16384" width="0.109375" style="372"/>
  </cols>
  <sheetData>
    <row r="1" spans="1:60" ht="51" customHeight="1" thickBot="1" x14ac:dyDescent="0.25">
      <c r="A1" s="733">
        <f ca="1">NOW()</f>
        <v>43117.572580208333</v>
      </c>
      <c r="B1" s="1186" t="s">
        <v>120</v>
      </c>
      <c r="C1" s="1187"/>
      <c r="D1" s="1187"/>
      <c r="E1" s="1187"/>
      <c r="F1" s="1187"/>
      <c r="G1" s="1187"/>
      <c r="H1" s="1188"/>
      <c r="I1" s="1192" t="s">
        <v>121</v>
      </c>
      <c r="J1" s="1193"/>
      <c r="K1" s="1194"/>
      <c r="L1" s="1183" t="s">
        <v>122</v>
      </c>
      <c r="M1" s="1184"/>
      <c r="N1" s="1185"/>
      <c r="O1" s="1189" t="s">
        <v>123</v>
      </c>
      <c r="P1" s="1190"/>
      <c r="Q1" s="1190"/>
      <c r="R1" s="1190"/>
      <c r="S1" s="1190"/>
      <c r="T1" s="1190"/>
      <c r="U1" s="1190"/>
      <c r="V1" s="1190"/>
      <c r="W1" s="1190"/>
      <c r="X1" s="1190"/>
      <c r="Y1" s="1190"/>
      <c r="Z1" s="1190"/>
      <c r="AA1" s="1190"/>
      <c r="AB1" s="1191"/>
      <c r="AC1" s="400"/>
      <c r="AD1" s="1183" t="s">
        <v>476</v>
      </c>
      <c r="AE1" s="1184"/>
      <c r="AF1" s="1185"/>
      <c r="AG1" s="1180" t="s">
        <v>124</v>
      </c>
      <c r="AH1" s="1181"/>
      <c r="AI1" s="1182"/>
      <c r="AJ1" s="371"/>
      <c r="AK1" s="797"/>
      <c r="AL1" s="797"/>
      <c r="AN1" s="371"/>
      <c r="AO1" s="371"/>
      <c r="AP1" s="371"/>
      <c r="AQ1" s="371"/>
      <c r="AR1" s="371"/>
      <c r="AS1" s="371"/>
      <c r="AT1" s="371"/>
      <c r="AU1" s="436" t="s">
        <v>527</v>
      </c>
      <c r="AV1" s="437"/>
      <c r="AW1" s="448"/>
      <c r="AX1" s="448"/>
      <c r="AY1" s="448"/>
      <c r="AZ1" s="449"/>
      <c r="BA1" s="438"/>
      <c r="BB1" s="438"/>
      <c r="BC1" s="438"/>
      <c r="BD1" s="438"/>
      <c r="BE1" s="438"/>
      <c r="BF1" s="438"/>
      <c r="BG1" s="438"/>
      <c r="BH1" s="439"/>
    </row>
    <row r="2" spans="1:60" s="377" customFormat="1" ht="161.25" customHeight="1" thickBot="1" x14ac:dyDescent="0.25">
      <c r="A2" s="601" t="s">
        <v>1</v>
      </c>
      <c r="B2" s="849" t="s">
        <v>478</v>
      </c>
      <c r="C2" s="850" t="s">
        <v>479</v>
      </c>
      <c r="D2" s="850" t="s">
        <v>480</v>
      </c>
      <c r="E2" s="851" t="s">
        <v>128</v>
      </c>
      <c r="F2" s="851" t="s">
        <v>129</v>
      </c>
      <c r="G2" s="851" t="s">
        <v>130</v>
      </c>
      <c r="H2" s="852" t="s">
        <v>131</v>
      </c>
      <c r="I2" s="833" t="s">
        <v>660</v>
      </c>
      <c r="J2" s="834" t="s">
        <v>661</v>
      </c>
      <c r="K2" s="835" t="s">
        <v>662</v>
      </c>
      <c r="L2" s="849" t="s">
        <v>134</v>
      </c>
      <c r="M2" s="851" t="s">
        <v>135</v>
      </c>
      <c r="N2" s="852" t="s">
        <v>136</v>
      </c>
      <c r="O2" s="882" t="s">
        <v>524</v>
      </c>
      <c r="P2" s="883" t="s">
        <v>137</v>
      </c>
      <c r="Q2" s="914" t="s">
        <v>681</v>
      </c>
      <c r="R2" s="883" t="s">
        <v>682</v>
      </c>
      <c r="S2" s="883" t="s">
        <v>481</v>
      </c>
      <c r="T2" s="914" t="s">
        <v>482</v>
      </c>
      <c r="U2" s="883" t="s">
        <v>644</v>
      </c>
      <c r="V2" s="883" t="s">
        <v>483</v>
      </c>
      <c r="W2" s="914" t="s">
        <v>645</v>
      </c>
      <c r="X2" s="883" t="s">
        <v>643</v>
      </c>
      <c r="Y2" s="884" t="s">
        <v>646</v>
      </c>
      <c r="Z2" s="884" t="s">
        <v>657</v>
      </c>
      <c r="AA2" s="884" t="s">
        <v>803</v>
      </c>
      <c r="AB2" s="919" t="s">
        <v>870</v>
      </c>
      <c r="AC2" s="977" t="s">
        <v>798</v>
      </c>
      <c r="AD2" s="852" t="s">
        <v>869</v>
      </c>
      <c r="AE2" s="599" t="s">
        <v>484</v>
      </c>
      <c r="AF2" s="600" t="s">
        <v>873</v>
      </c>
      <c r="AG2" s="833" t="s">
        <v>485</v>
      </c>
      <c r="AH2" s="844" t="s">
        <v>140</v>
      </c>
      <c r="AI2" s="845" t="s">
        <v>141</v>
      </c>
      <c r="AJ2" s="800" t="s">
        <v>668</v>
      </c>
      <c r="AK2" s="801" t="s">
        <v>703</v>
      </c>
      <c r="AL2" s="801" t="s">
        <v>797</v>
      </c>
      <c r="AM2" s="913" t="s">
        <v>799</v>
      </c>
      <c r="AN2" s="801" t="s">
        <v>802</v>
      </c>
      <c r="AO2" s="801" t="s">
        <v>867</v>
      </c>
      <c r="AP2" s="801" t="s">
        <v>886</v>
      </c>
      <c r="AQ2" s="1000"/>
      <c r="AR2" s="1000" t="s">
        <v>877</v>
      </c>
      <c r="AS2" s="1000" t="s">
        <v>865</v>
      </c>
      <c r="AT2" s="1000" t="s">
        <v>864</v>
      </c>
      <c r="AU2" s="423" t="s">
        <v>486</v>
      </c>
      <c r="AV2" s="378" t="s">
        <v>477</v>
      </c>
      <c r="AW2" s="450" t="s">
        <v>487</v>
      </c>
      <c r="AX2" s="451" t="s">
        <v>488</v>
      </c>
      <c r="AY2" s="451" t="s">
        <v>489</v>
      </c>
      <c r="AZ2" s="452" t="s">
        <v>490</v>
      </c>
      <c r="BA2" s="578" t="s">
        <v>491</v>
      </c>
      <c r="BB2" s="579" t="s">
        <v>492</v>
      </c>
      <c r="BC2" s="418" t="s">
        <v>493</v>
      </c>
      <c r="BD2" s="419" t="s">
        <v>494</v>
      </c>
      <c r="BE2" s="582" t="s">
        <v>495</v>
      </c>
      <c r="BF2" s="583" t="s">
        <v>496</v>
      </c>
      <c r="BG2" s="595" t="s">
        <v>497</v>
      </c>
      <c r="BH2" s="596" t="s">
        <v>498</v>
      </c>
    </row>
    <row r="3" spans="1:60" ht="10.8" thickBot="1" x14ac:dyDescent="0.25">
      <c r="A3" s="402"/>
      <c r="B3" s="853" t="s">
        <v>56</v>
      </c>
      <c r="C3" s="854" t="s">
        <v>56</v>
      </c>
      <c r="D3" s="854" t="s">
        <v>56</v>
      </c>
      <c r="E3" s="855" t="s">
        <v>56</v>
      </c>
      <c r="F3" s="855" t="s">
        <v>56</v>
      </c>
      <c r="G3" s="855" t="s">
        <v>56</v>
      </c>
      <c r="H3" s="856" t="s">
        <v>143</v>
      </c>
      <c r="I3" s="836" t="s">
        <v>56</v>
      </c>
      <c r="J3" s="837" t="s">
        <v>56</v>
      </c>
      <c r="K3" s="838" t="s">
        <v>56</v>
      </c>
      <c r="L3" s="853" t="s">
        <v>56</v>
      </c>
      <c r="M3" s="855" t="s">
        <v>56</v>
      </c>
      <c r="N3" s="856" t="s">
        <v>56</v>
      </c>
      <c r="O3" s="885" t="s">
        <v>144</v>
      </c>
      <c r="P3" s="886" t="s">
        <v>144</v>
      </c>
      <c r="Q3" s="915" t="s">
        <v>54</v>
      </c>
      <c r="R3" s="886" t="s">
        <v>54</v>
      </c>
      <c r="S3" s="886" t="s">
        <v>54</v>
      </c>
      <c r="T3" s="915" t="s">
        <v>54</v>
      </c>
      <c r="U3" s="886" t="s">
        <v>56</v>
      </c>
      <c r="V3" s="886" t="s">
        <v>56</v>
      </c>
      <c r="W3" s="915" t="s">
        <v>54</v>
      </c>
      <c r="X3" s="886" t="s">
        <v>56</v>
      </c>
      <c r="Y3" s="886" t="s">
        <v>54</v>
      </c>
      <c r="Z3" s="886" t="s">
        <v>54</v>
      </c>
      <c r="AA3" s="994" t="s">
        <v>54</v>
      </c>
      <c r="AB3" s="920" t="s">
        <v>54</v>
      </c>
      <c r="AC3" s="978" t="s">
        <v>54</v>
      </c>
      <c r="AD3" s="856" t="s">
        <v>54</v>
      </c>
      <c r="AE3" s="403" t="s">
        <v>54</v>
      </c>
      <c r="AF3" s="404" t="s">
        <v>54</v>
      </c>
      <c r="AG3" s="836" t="s">
        <v>56</v>
      </c>
      <c r="AH3" s="837" t="s">
        <v>145</v>
      </c>
      <c r="AI3" s="838" t="s">
        <v>145</v>
      </c>
      <c r="AJ3" s="544" t="s">
        <v>54</v>
      </c>
      <c r="AK3" s="797"/>
      <c r="AL3" s="797"/>
      <c r="AN3" s="371"/>
      <c r="AO3" s="371"/>
      <c r="AP3" s="371"/>
      <c r="AQ3" s="371"/>
      <c r="AR3" s="371"/>
      <c r="AS3" s="371"/>
      <c r="AT3" s="371"/>
      <c r="AU3" s="424"/>
      <c r="AV3" s="447"/>
      <c r="AW3" s="453" t="s">
        <v>54</v>
      </c>
      <c r="AX3" s="454" t="s">
        <v>54</v>
      </c>
      <c r="AY3" s="454" t="s">
        <v>54</v>
      </c>
      <c r="AZ3" s="455" t="s">
        <v>54</v>
      </c>
      <c r="BA3" s="580"/>
      <c r="BB3" s="581"/>
      <c r="BC3" s="426"/>
      <c r="BD3" s="425"/>
      <c r="BE3" s="584"/>
      <c r="BF3" s="585"/>
      <c r="BG3" s="597"/>
      <c r="BH3" s="598"/>
    </row>
    <row r="4" spans="1:60" ht="98.25" hidden="1" customHeight="1" thickBot="1" x14ac:dyDescent="0.25">
      <c r="A4" s="405"/>
      <c r="B4" s="857" t="s">
        <v>125</v>
      </c>
      <c r="C4" s="858" t="s">
        <v>126</v>
      </c>
      <c r="D4" s="858" t="s">
        <v>127</v>
      </c>
      <c r="E4" s="859" t="s">
        <v>128</v>
      </c>
      <c r="F4" s="859" t="s">
        <v>129</v>
      </c>
      <c r="G4" s="859" t="s">
        <v>130</v>
      </c>
      <c r="H4" s="859" t="s">
        <v>131</v>
      </c>
      <c r="I4" s="839" t="s">
        <v>132</v>
      </c>
      <c r="J4" s="840" t="s">
        <v>133</v>
      </c>
      <c r="K4" s="840" t="s">
        <v>133</v>
      </c>
      <c r="L4" s="858" t="s">
        <v>134</v>
      </c>
      <c r="M4" s="859" t="s">
        <v>135</v>
      </c>
      <c r="N4" s="859" t="s">
        <v>136</v>
      </c>
      <c r="O4" s="887" t="s">
        <v>53</v>
      </c>
      <c r="P4" s="887" t="s">
        <v>137</v>
      </c>
      <c r="Q4" s="916" t="s">
        <v>499</v>
      </c>
      <c r="R4" s="887"/>
      <c r="S4" s="887"/>
      <c r="T4" s="916" t="s">
        <v>138</v>
      </c>
      <c r="U4" s="887"/>
      <c r="V4" s="887"/>
      <c r="W4" s="916" t="s">
        <v>139</v>
      </c>
      <c r="X4" s="887" t="s">
        <v>279</v>
      </c>
      <c r="Y4" s="887"/>
      <c r="Z4" s="887"/>
      <c r="AA4" s="887"/>
      <c r="AB4" s="916" t="s">
        <v>500</v>
      </c>
      <c r="AC4" s="979" t="s">
        <v>500</v>
      </c>
      <c r="AD4" s="859" t="s">
        <v>142</v>
      </c>
      <c r="AE4" s="376"/>
      <c r="AF4" s="376" t="s">
        <v>142</v>
      </c>
      <c r="AG4" s="846" t="s">
        <v>501</v>
      </c>
      <c r="AH4" s="846" t="s">
        <v>140</v>
      </c>
      <c r="AI4" s="840" t="s">
        <v>141</v>
      </c>
      <c r="AJ4" s="545" t="s">
        <v>499</v>
      </c>
      <c r="AK4" s="798"/>
      <c r="AL4" s="798"/>
      <c r="AN4" s="456"/>
      <c r="AO4" s="456"/>
      <c r="AP4" s="456"/>
      <c r="AQ4" s="456"/>
      <c r="AR4" s="456"/>
      <c r="AS4" s="456"/>
      <c r="AT4" s="456"/>
      <c r="AU4" s="379" t="e">
        <f>FORECAST(0,#REF!,#REF!)</f>
        <v>#REF!</v>
      </c>
      <c r="AV4" s="373"/>
      <c r="AW4" s="420"/>
      <c r="AX4" s="421"/>
      <c r="AY4" s="421"/>
      <c r="AZ4" s="422"/>
      <c r="BA4" s="375"/>
      <c r="BB4" s="375"/>
      <c r="BC4" s="375"/>
      <c r="BD4" s="375"/>
      <c r="BE4" s="375"/>
      <c r="BF4" s="375"/>
      <c r="BG4" s="375"/>
      <c r="BH4" s="375"/>
    </row>
    <row r="5" spans="1:60" ht="13.8" hidden="1" thickBot="1" x14ac:dyDescent="0.3">
      <c r="A5" s="406">
        <v>42732</v>
      </c>
      <c r="B5" s="860" t="e">
        <f t="shared" ref="B5:B16" si="0">E5+F5</f>
        <v>#REF!</v>
      </c>
      <c r="C5" s="860">
        <f>Calculation!AK8</f>
        <v>0</v>
      </c>
      <c r="D5" s="860">
        <f>Calculation!AI8</f>
        <v>0</v>
      </c>
      <c r="E5" s="860" t="e">
        <f>Calculation!AE8</f>
        <v>#REF!</v>
      </c>
      <c r="F5" s="860" t="e">
        <f>Calculation!AF8</f>
        <v>#REF!</v>
      </c>
      <c r="G5" s="860" t="e">
        <f>Calculation!AG8</f>
        <v>#REF!</v>
      </c>
      <c r="H5" s="861" t="e">
        <f>Sheet1!#REF!</f>
        <v>#REF!</v>
      </c>
      <c r="I5" s="841" t="e">
        <f>Sheet1!#REF!</f>
        <v>#REF!</v>
      </c>
      <c r="J5" s="841" t="e">
        <f>Sheet1!#REF!</f>
        <v>#REF!</v>
      </c>
      <c r="K5" s="841" t="e">
        <f>Sheet1!#REF!</f>
        <v>#REF!</v>
      </c>
      <c r="L5" s="865">
        <f>Calculation!F8</f>
        <v>250</v>
      </c>
      <c r="M5" s="865">
        <f>Calculation!E8</f>
        <v>250</v>
      </c>
      <c r="N5" s="865">
        <f>Calculation!D8</f>
        <v>300</v>
      </c>
      <c r="O5" s="888" t="e">
        <f>Sheet1!#REF!</f>
        <v>#REF!</v>
      </c>
      <c r="P5" s="889" t="e">
        <f>Calculation!FD8</f>
        <v>#REF!</v>
      </c>
      <c r="Q5" s="895" t="e">
        <f>Calculation!DP8</f>
        <v>#REF!</v>
      </c>
      <c r="R5" s="888" t="e">
        <f>Q5-619</f>
        <v>#REF!</v>
      </c>
      <c r="S5" s="890">
        <v>0</v>
      </c>
      <c r="T5" s="895">
        <f ca="1">IF(A5&gt;$A$1,#N/A,VLOOKUP(A5,Calculation!$B$8:$JO$503,40,FALSE))</f>
        <v>0</v>
      </c>
      <c r="U5" s="890">
        <f t="shared" ref="U5:U16" si="1">D5</f>
        <v>0</v>
      </c>
      <c r="V5" s="890">
        <f>Calculation!AZ8</f>
        <v>0</v>
      </c>
      <c r="W5" s="895">
        <v>0</v>
      </c>
      <c r="X5" s="890">
        <v>0</v>
      </c>
      <c r="Y5" s="890">
        <f t="shared" ref="Y5:Y16" ca="1" si="2">IF((A5+1)&gt;$A$1,#N/A,0)</f>
        <v>0</v>
      </c>
      <c r="Z5" s="890">
        <f t="shared" ref="Z5:Z16" ca="1" si="3">W5-Y5</f>
        <v>0</v>
      </c>
      <c r="AA5" s="890"/>
      <c r="AB5" s="895" t="e">
        <f ca="1">IF(Q5-T5-W5&lt;0,0,Q5-T5-W5)</f>
        <v>#REF!</v>
      </c>
      <c r="AC5" s="980" t="e">
        <f ca="1">AB5-619</f>
        <v>#REF!</v>
      </c>
      <c r="AD5" s="860" t="e">
        <f ca="1">IF(A5&gt;$A$1,#N/A,VLOOKUP(A5,Calculation!$B$8:$JO$503,165,FALSE))</f>
        <v>#N/A</v>
      </c>
      <c r="AE5" s="399" t="e">
        <f ca="1">AD5-#REF!</f>
        <v>#N/A</v>
      </c>
      <c r="AF5" s="399"/>
      <c r="AG5" s="841">
        <f>Calculation!G8</f>
        <v>4129.7</v>
      </c>
      <c r="AH5" s="847" t="e">
        <f t="shared" ref="AH5:AH16" si="4">IF(I5&gt;L5,"Yes","No")</f>
        <v>#REF!</v>
      </c>
      <c r="AI5" s="847" t="e">
        <f t="shared" ref="AI5:AI8" si="5">IF(AND(I5&gt;M5,J5&gt;N5),"Yes","No")</f>
        <v>#REF!</v>
      </c>
      <c r="AJ5" s="867"/>
      <c r="AK5" s="868"/>
      <c r="AL5" s="868"/>
      <c r="AU5" s="427"/>
      <c r="AV5" s="410"/>
      <c r="AW5" s="442"/>
      <c r="AX5" s="441"/>
      <c r="AY5" s="441"/>
      <c r="AZ5" s="443"/>
      <c r="BB5" s="433"/>
      <c r="BC5" s="432"/>
      <c r="BD5" s="433"/>
      <c r="BE5" s="432"/>
      <c r="BF5" s="433"/>
      <c r="BG5" s="432"/>
      <c r="BH5" s="429"/>
    </row>
    <row r="6" spans="1:60" ht="13.8" hidden="1" thickBot="1" x14ac:dyDescent="0.3">
      <c r="A6" s="406">
        <v>42733</v>
      </c>
      <c r="B6" s="860" t="e">
        <f t="shared" si="0"/>
        <v>#REF!</v>
      </c>
      <c r="C6" s="860">
        <f>Calculation!AK9</f>
        <v>0</v>
      </c>
      <c r="D6" s="860" t="e">
        <f>Calculation!AI9</f>
        <v>#REF!</v>
      </c>
      <c r="E6" s="860" t="e">
        <f>Calculation!AE9</f>
        <v>#REF!</v>
      </c>
      <c r="F6" s="860" t="e">
        <f>Calculation!AF9</f>
        <v>#REF!</v>
      </c>
      <c r="G6" s="860" t="e">
        <f>Calculation!AG9</f>
        <v>#REF!</v>
      </c>
      <c r="H6" s="861" t="e">
        <f>Sheet1!#REF!</f>
        <v>#REF!</v>
      </c>
      <c r="I6" s="841" t="e">
        <f>Sheet1!#REF!</f>
        <v>#REF!</v>
      </c>
      <c r="J6" s="841" t="e">
        <f>Sheet1!#REF!</f>
        <v>#REF!</v>
      </c>
      <c r="K6" s="841" t="e">
        <f>Sheet1!#REF!</f>
        <v>#REF!</v>
      </c>
      <c r="L6" s="865">
        <f>Calculation!F9</f>
        <v>250</v>
      </c>
      <c r="M6" s="865">
        <f>Calculation!E9</f>
        <v>250</v>
      </c>
      <c r="N6" s="865">
        <f>Calculation!D9</f>
        <v>300</v>
      </c>
      <c r="O6" s="888" t="e">
        <f>Sheet1!#REF!</f>
        <v>#REF!</v>
      </c>
      <c r="P6" s="889" t="e">
        <f>Calculation!FD9</f>
        <v>#N/A</v>
      </c>
      <c r="Q6" s="895" t="e">
        <f>Calculation!DP9</f>
        <v>#REF!</v>
      </c>
      <c r="R6" s="888" t="e">
        <f t="shared" ref="R6:R69" si="6">Q6-619</f>
        <v>#REF!</v>
      </c>
      <c r="S6" s="890" t="e">
        <f t="shared" ref="S6:S16" si="7">R6-R5</f>
        <v>#REF!</v>
      </c>
      <c r="T6" s="895">
        <f ca="1">IF(A6&gt;$A$1,#N/A,VLOOKUP(A6,Calculation!$B$8:$JO$503,40,FALSE))</f>
        <v>0</v>
      </c>
      <c r="U6" s="890" t="e">
        <f t="shared" si="1"/>
        <v>#REF!</v>
      </c>
      <c r="V6" s="890">
        <f>Calculation!AZ9</f>
        <v>0</v>
      </c>
      <c r="W6" s="895">
        <v>0</v>
      </c>
      <c r="X6" s="890">
        <v>0</v>
      </c>
      <c r="Y6" s="890">
        <f t="shared" ca="1" si="2"/>
        <v>0</v>
      </c>
      <c r="Z6" s="890">
        <f t="shared" ca="1" si="3"/>
        <v>0</v>
      </c>
      <c r="AA6" s="890"/>
      <c r="AB6" s="895" t="e">
        <f ca="1">IF(Q6-T6-W6&lt;0,0,Q6-T6-W6)</f>
        <v>#REF!</v>
      </c>
      <c r="AC6" s="980" t="e">
        <f t="shared" ref="AC6:AC69" ca="1" si="8">AB6-619</f>
        <v>#REF!</v>
      </c>
      <c r="AD6" s="860" t="e">
        <f ca="1">IF(A6&gt;$A$1,#N/A,VLOOKUP(A6,Calculation!$B$8:$JO$503,165,FALSE))</f>
        <v>#N/A</v>
      </c>
      <c r="AE6" s="399" t="e">
        <f t="shared" ref="AE6:AE16" ca="1" si="9">AD6-AD5</f>
        <v>#N/A</v>
      </c>
      <c r="AF6" s="399"/>
      <c r="AG6" s="841" t="e">
        <f>Calculation!G9</f>
        <v>#REF!</v>
      </c>
      <c r="AH6" s="847" t="e">
        <f t="shared" si="4"/>
        <v>#REF!</v>
      </c>
      <c r="AI6" s="847" t="e">
        <f t="shared" si="5"/>
        <v>#REF!</v>
      </c>
      <c r="AJ6" s="867"/>
      <c r="AK6" s="868"/>
      <c r="AL6" s="868"/>
      <c r="AU6" s="427"/>
      <c r="AV6" s="410"/>
      <c r="AW6" s="442"/>
      <c r="AX6" s="441"/>
      <c r="AY6" s="441"/>
      <c r="AZ6" s="443"/>
      <c r="BB6" s="433"/>
      <c r="BC6" s="432"/>
      <c r="BD6" s="433"/>
      <c r="BE6" s="432"/>
      <c r="BF6" s="433"/>
      <c r="BG6" s="432"/>
      <c r="BH6" s="429"/>
    </row>
    <row r="7" spans="1:60" ht="13.8" hidden="1" thickBot="1" x14ac:dyDescent="0.3">
      <c r="A7" s="406">
        <v>42734</v>
      </c>
      <c r="B7" s="860">
        <f t="shared" si="0"/>
        <v>84.404319999999984</v>
      </c>
      <c r="C7" s="860">
        <f>Calculation!AK10</f>
        <v>0</v>
      </c>
      <c r="D7" s="860" t="e">
        <f>Calculation!AI10</f>
        <v>#REF!</v>
      </c>
      <c r="E7" s="860">
        <f>Calculation!AE10</f>
        <v>41.088319999999996</v>
      </c>
      <c r="F7" s="860">
        <f>Calculation!AF10</f>
        <v>43.315999999999995</v>
      </c>
      <c r="G7" s="860">
        <f>Calculation!AG10</f>
        <v>0</v>
      </c>
      <c r="H7" s="861">
        <f>Sheet1!H8</f>
        <v>4.4400000000000004</v>
      </c>
      <c r="I7" s="841">
        <f>Sheet1!DA8</f>
        <v>1100</v>
      </c>
      <c r="J7" s="841">
        <f>Sheet1!DB8</f>
        <v>624</v>
      </c>
      <c r="K7" s="841">
        <f>Sheet1!CZ8</f>
        <v>687</v>
      </c>
      <c r="L7" s="865">
        <f>Calculation!F10</f>
        <v>250</v>
      </c>
      <c r="M7" s="865">
        <f>Calculation!E10</f>
        <v>250</v>
      </c>
      <c r="N7" s="865">
        <f>Calculation!D10</f>
        <v>300</v>
      </c>
      <c r="O7" s="888">
        <f>Sheet1!DC8</f>
        <v>1081.1199999999999</v>
      </c>
      <c r="P7" s="889" t="e">
        <f>Calculation!FD10</f>
        <v>#N/A</v>
      </c>
      <c r="Q7" s="895">
        <f>Calculation!DP10</f>
        <v>1368.8000000036925</v>
      </c>
      <c r="R7" s="888">
        <f t="shared" si="6"/>
        <v>749.8000000036925</v>
      </c>
      <c r="S7" s="890" t="e">
        <f t="shared" si="7"/>
        <v>#REF!</v>
      </c>
      <c r="T7" s="895">
        <f ca="1">IF(A7&gt;$A$1,#N/A,VLOOKUP(A7,Calculation!$B$8:$JO$503,40,FALSE))</f>
        <v>0</v>
      </c>
      <c r="U7" s="890" t="e">
        <f t="shared" si="1"/>
        <v>#REF!</v>
      </c>
      <c r="V7" s="890">
        <f>Calculation!AZ10</f>
        <v>0</v>
      </c>
      <c r="W7" s="895">
        <v>0</v>
      </c>
      <c r="X7" s="890">
        <v>0</v>
      </c>
      <c r="Y7" s="890">
        <f t="shared" ca="1" si="2"/>
        <v>0</v>
      </c>
      <c r="Z7" s="890">
        <f t="shared" ca="1" si="3"/>
        <v>0</v>
      </c>
      <c r="AA7" s="890">
        <f ca="1">IF(AB7&gt;=24257,Q7-24257,0)</f>
        <v>0</v>
      </c>
      <c r="AB7" s="895">
        <f ca="1">IF(Q7-T7-W7&lt;0,0,MIN(Q7-T7-W7,24257))</f>
        <v>1368.8000000036925</v>
      </c>
      <c r="AC7" s="980">
        <f t="shared" ca="1" si="8"/>
        <v>749.8000000036925</v>
      </c>
      <c r="AD7" s="860" t="e">
        <f ca="1">IF(A7&gt;$A$1,#N/A,VLOOKUP(A7,Calculation!$B$8:$JO$503,165,FALSE))</f>
        <v>#N/A</v>
      </c>
      <c r="AE7" s="399" t="e">
        <f t="shared" ca="1" si="9"/>
        <v>#N/A</v>
      </c>
      <c r="AF7" s="399"/>
      <c r="AG7" s="841" t="e">
        <f>Calculation!G10</f>
        <v>#REF!</v>
      </c>
      <c r="AH7" s="847" t="str">
        <f t="shared" si="4"/>
        <v>Yes</v>
      </c>
      <c r="AI7" s="847" t="str">
        <f t="shared" si="5"/>
        <v>Yes</v>
      </c>
      <c r="AJ7" s="867"/>
      <c r="AK7" s="868"/>
      <c r="AL7" s="868"/>
      <c r="AU7" s="427"/>
      <c r="AV7" s="410"/>
      <c r="AW7" s="442"/>
      <c r="AX7" s="441"/>
      <c r="AY7" s="441"/>
      <c r="AZ7" s="443"/>
      <c r="BB7" s="433"/>
      <c r="BC7" s="432"/>
      <c r="BD7" s="433"/>
      <c r="BE7" s="432"/>
      <c r="BF7" s="433"/>
      <c r="BG7" s="432"/>
      <c r="BH7" s="429"/>
    </row>
    <row r="8" spans="1:60" ht="13.8" thickBot="1" x14ac:dyDescent="0.3">
      <c r="A8" s="406">
        <v>42735</v>
      </c>
      <c r="B8" s="860">
        <f t="shared" si="0"/>
        <v>79.887079999999997</v>
      </c>
      <c r="C8" s="860">
        <f>Calculation!AK11</f>
        <v>0</v>
      </c>
      <c r="D8" s="860">
        <f>Calculation!AI11</f>
        <v>0</v>
      </c>
      <c r="E8" s="860">
        <f>Calculation!AE11</f>
        <v>36.571080000000002</v>
      </c>
      <c r="F8" s="860">
        <f>Calculation!AF11</f>
        <v>43.315999999999995</v>
      </c>
      <c r="G8" s="860">
        <f>Calculation!AG11</f>
        <v>0</v>
      </c>
      <c r="H8" s="861">
        <f>Sheet1!H9</f>
        <v>1.7</v>
      </c>
      <c r="I8" s="841">
        <f>Sheet1!DA9</f>
        <v>1080</v>
      </c>
      <c r="J8" s="841">
        <f>Sheet1!DB9</f>
        <v>628</v>
      </c>
      <c r="K8" s="841">
        <f>Sheet1!CZ9</f>
        <v>692</v>
      </c>
      <c r="L8" s="865">
        <f>Calculation!F11</f>
        <v>250</v>
      </c>
      <c r="M8" s="865">
        <f>Calculation!E11</f>
        <v>250</v>
      </c>
      <c r="N8" s="865">
        <f>Calculation!D11</f>
        <v>300</v>
      </c>
      <c r="O8" s="888">
        <f>Sheet1!DC9</f>
        <v>1082.1400000000001</v>
      </c>
      <c r="P8" s="889" t="e">
        <f>Calculation!FD11</f>
        <v>#N/A</v>
      </c>
      <c r="Q8" s="895">
        <f>Calculation!DP11</f>
        <v>1514.0000000041268</v>
      </c>
      <c r="R8" s="888">
        <f t="shared" si="6"/>
        <v>895.00000000412683</v>
      </c>
      <c r="S8" s="890">
        <f t="shared" si="7"/>
        <v>145.20000000043433</v>
      </c>
      <c r="T8" s="895">
        <f ca="1">IF(A8&gt;$A$1,#N/A,VLOOKUP(A8,Calculation!$B$8:$JO$503,40,FALSE))</f>
        <v>0</v>
      </c>
      <c r="U8" s="890">
        <f t="shared" si="1"/>
        <v>0</v>
      </c>
      <c r="V8" s="890">
        <f>Calculation!AZ11</f>
        <v>0</v>
      </c>
      <c r="W8" s="895">
        <v>0</v>
      </c>
      <c r="X8" s="890">
        <v>0</v>
      </c>
      <c r="Y8" s="890">
        <f t="shared" ca="1" si="2"/>
        <v>0</v>
      </c>
      <c r="Z8" s="890">
        <f t="shared" ca="1" si="3"/>
        <v>0</v>
      </c>
      <c r="AA8" s="890">
        <f t="shared" ref="AA8:AA71" ca="1" si="10">IF(AB8&gt;=24257,Q8-24257,0)</f>
        <v>0</v>
      </c>
      <c r="AB8" s="895">
        <f t="shared" ref="AB8:AB71" ca="1" si="11">IF(Q8-T8-W8&lt;0,0,MIN(Q8-T8-W8,24257))</f>
        <v>1514.0000000041268</v>
      </c>
      <c r="AC8" s="980">
        <f t="shared" ca="1" si="8"/>
        <v>895.00000000412683</v>
      </c>
      <c r="AD8" s="860" t="e">
        <f ca="1">IF(A8&gt;$A$1,#N/A,VLOOKUP(A8,Calculation!$B$8:$JO$503,165,FALSE))</f>
        <v>#N/A</v>
      </c>
      <c r="AE8" s="399" t="e">
        <f t="shared" ca="1" si="9"/>
        <v>#N/A</v>
      </c>
      <c r="AF8" s="399"/>
      <c r="AG8" s="841">
        <f>Calculation!G11</f>
        <v>765.22239031791946</v>
      </c>
      <c r="AH8" s="847" t="str">
        <f t="shared" si="4"/>
        <v>Yes</v>
      </c>
      <c r="AI8" s="847" t="str">
        <f t="shared" si="5"/>
        <v>Yes</v>
      </c>
      <c r="AJ8" s="867"/>
      <c r="AK8" s="868"/>
      <c r="AL8" s="868"/>
      <c r="AU8" s="427"/>
      <c r="AV8" s="410"/>
      <c r="AW8" s="442"/>
      <c r="AX8" s="441"/>
      <c r="AY8" s="441"/>
      <c r="AZ8" s="443"/>
      <c r="BB8" s="433"/>
      <c r="BC8" s="432"/>
      <c r="BD8" s="433"/>
      <c r="BE8" s="432"/>
      <c r="BF8" s="433"/>
      <c r="BG8" s="432"/>
      <c r="BH8" s="429"/>
    </row>
    <row r="9" spans="1:60" ht="13.8" thickBot="1" x14ac:dyDescent="0.3">
      <c r="A9" s="406">
        <v>42736</v>
      </c>
      <c r="B9" s="860">
        <f t="shared" si="0"/>
        <v>84.357910000000004</v>
      </c>
      <c r="C9" s="860">
        <f>Calculation!AK12</f>
        <v>0</v>
      </c>
      <c r="D9" s="860">
        <f>Calculation!AI12</f>
        <v>0</v>
      </c>
      <c r="E9" s="860">
        <f>Calculation!AE12</f>
        <v>41.134729999999998</v>
      </c>
      <c r="F9" s="860">
        <f>Calculation!AF12</f>
        <v>43.223179999999999</v>
      </c>
      <c r="G9" s="860">
        <f>Calculation!AG12</f>
        <v>0</v>
      </c>
      <c r="H9" s="861">
        <f>Sheet1!H10</f>
        <v>1.42</v>
      </c>
      <c r="I9" s="841">
        <f>Sheet1!DA10</f>
        <v>1070</v>
      </c>
      <c r="J9" s="841">
        <f>Sheet1!DB10</f>
        <v>616</v>
      </c>
      <c r="K9" s="841">
        <f>Sheet1!CZ10</f>
        <v>692</v>
      </c>
      <c r="L9" s="865">
        <f>Calculation!F12</f>
        <v>250</v>
      </c>
      <c r="M9" s="865">
        <f>Calculation!E12</f>
        <v>250</v>
      </c>
      <c r="N9" s="865">
        <f>Calculation!D12</f>
        <v>300</v>
      </c>
      <c r="O9" s="888">
        <f>Sheet1!DC10</f>
        <v>1082.55</v>
      </c>
      <c r="P9" s="889" t="e">
        <f>Calculation!FD12</f>
        <v>#N/A</v>
      </c>
      <c r="Q9" s="895">
        <f>Calculation!DP12</f>
        <v>1574.0000000038835</v>
      </c>
      <c r="R9" s="888">
        <f t="shared" si="6"/>
        <v>955.00000000388354</v>
      </c>
      <c r="S9" s="890">
        <f t="shared" si="7"/>
        <v>59.99999999975671</v>
      </c>
      <c r="T9" s="895">
        <f ca="1">IF(A9&gt;$A$1,#N/A,VLOOKUP(A9,Calculation!$B$8:$JO$503,40,FALSE))</f>
        <v>0</v>
      </c>
      <c r="U9" s="890">
        <f t="shared" si="1"/>
        <v>0</v>
      </c>
      <c r="V9" s="890">
        <f>Calculation!AZ12</f>
        <v>0</v>
      </c>
      <c r="W9" s="895">
        <v>0</v>
      </c>
      <c r="X9" s="890">
        <v>0</v>
      </c>
      <c r="Y9" s="890">
        <f t="shared" ca="1" si="2"/>
        <v>0</v>
      </c>
      <c r="Z9" s="890">
        <f t="shared" ca="1" si="3"/>
        <v>0</v>
      </c>
      <c r="AA9" s="890">
        <f t="shared" ca="1" si="10"/>
        <v>0</v>
      </c>
      <c r="AB9" s="895">
        <f t="shared" ca="1" si="11"/>
        <v>1574.0000000038835</v>
      </c>
      <c r="AC9" s="980">
        <f t="shared" ca="1" si="8"/>
        <v>955.00000000388354</v>
      </c>
      <c r="AD9" s="860" t="e">
        <f ca="1">IF(A9&gt;$A$1,#N/A,VLOOKUP(A9,Calculation!$B$8:$JO$503,165,FALSE))</f>
        <v>#N/A</v>
      </c>
      <c r="AE9" s="399" t="e">
        <f t="shared" ca="1" si="9"/>
        <v>#N/A</v>
      </c>
      <c r="AF9" s="399"/>
      <c r="AG9" s="841">
        <f>Calculation!G12</f>
        <v>722.25718608157172</v>
      </c>
      <c r="AH9" s="847" t="str">
        <f t="shared" si="4"/>
        <v>Yes</v>
      </c>
      <c r="AI9" s="847" t="str">
        <f>IF(Calculation!K12&gt;0,"Yes","No")</f>
        <v>Yes</v>
      </c>
      <c r="AJ9" s="869">
        <v>2178.050000003223</v>
      </c>
      <c r="AK9" s="870">
        <v>2595.0000000063505</v>
      </c>
      <c r="AL9" s="870">
        <v>928.20000000257619</v>
      </c>
      <c r="AN9" s="372">
        <v>878.00000000275577</v>
      </c>
      <c r="AO9" s="372">
        <v>2323.0000000057707</v>
      </c>
      <c r="AP9" s="372">
        <v>1543.0000000041268</v>
      </c>
      <c r="AU9" s="427"/>
      <c r="AV9" s="410"/>
      <c r="AW9" s="617">
        <f>Calculation!BB12*3.068</f>
        <v>0</v>
      </c>
      <c r="AX9" s="618"/>
      <c r="AY9" s="618"/>
      <c r="AZ9" s="619"/>
      <c r="BB9" s="433"/>
      <c r="BC9" s="432"/>
      <c r="BD9" s="433"/>
      <c r="BE9" s="432"/>
      <c r="BF9" s="433"/>
      <c r="BG9" s="432"/>
      <c r="BH9" s="429"/>
    </row>
    <row r="10" spans="1:60" ht="13.8" thickBot="1" x14ac:dyDescent="0.3">
      <c r="A10" s="406">
        <v>42737</v>
      </c>
      <c r="B10" s="860">
        <f t="shared" si="0"/>
        <v>81.38767</v>
      </c>
      <c r="C10" s="860">
        <f>Calculation!AK13</f>
        <v>0</v>
      </c>
      <c r="D10" s="860">
        <f>Calculation!AI13</f>
        <v>0</v>
      </c>
      <c r="E10" s="860">
        <f>Calculation!AE13</f>
        <v>41.01097</v>
      </c>
      <c r="F10" s="860">
        <f>Calculation!AF13</f>
        <v>40.3767</v>
      </c>
      <c r="G10" s="860">
        <f>Calculation!AG13</f>
        <v>0</v>
      </c>
      <c r="H10" s="861">
        <f>Sheet1!H11</f>
        <v>1.9</v>
      </c>
      <c r="I10" s="841">
        <f>Sheet1!DA11</f>
        <v>1190</v>
      </c>
      <c r="J10" s="841">
        <f>Sheet1!DB11</f>
        <v>761</v>
      </c>
      <c r="K10" s="841">
        <f>Sheet1!CZ11</f>
        <v>851</v>
      </c>
      <c r="L10" s="865">
        <f>Calculation!F13</f>
        <v>250</v>
      </c>
      <c r="M10" s="865">
        <f>Calculation!E13</f>
        <v>250</v>
      </c>
      <c r="N10" s="865">
        <f>Calculation!D13</f>
        <v>300</v>
      </c>
      <c r="O10" s="888">
        <f>Sheet1!DC11</f>
        <v>1080.8900000000001</v>
      </c>
      <c r="P10" s="889" t="e">
        <f>Calculation!FD13</f>
        <v>#N/A</v>
      </c>
      <c r="Q10" s="895">
        <f>Calculation!DP13</f>
        <v>1337.6000000036925</v>
      </c>
      <c r="R10" s="888">
        <f t="shared" si="6"/>
        <v>718.60000000369246</v>
      </c>
      <c r="S10" s="890">
        <f t="shared" si="7"/>
        <v>-236.40000000019108</v>
      </c>
      <c r="T10" s="895">
        <f ca="1">IF(A10&gt;$A$1,#N/A,VLOOKUP(A10,Calculation!$B$8:$JO$503,40,FALSE))</f>
        <v>0</v>
      </c>
      <c r="U10" s="890">
        <f t="shared" si="1"/>
        <v>0</v>
      </c>
      <c r="V10" s="890">
        <f>Calculation!AZ13</f>
        <v>0</v>
      </c>
      <c r="W10" s="895">
        <v>0</v>
      </c>
      <c r="X10" s="890">
        <v>0</v>
      </c>
      <c r="Y10" s="890">
        <f t="shared" ca="1" si="2"/>
        <v>0</v>
      </c>
      <c r="Z10" s="890">
        <f t="shared" ca="1" si="3"/>
        <v>0</v>
      </c>
      <c r="AA10" s="890">
        <f t="shared" ca="1" si="10"/>
        <v>0</v>
      </c>
      <c r="AB10" s="895">
        <f t="shared" ca="1" si="11"/>
        <v>1337.6000000036925</v>
      </c>
      <c r="AC10" s="980">
        <f t="shared" ca="1" si="8"/>
        <v>718.60000000369246</v>
      </c>
      <c r="AD10" s="860" t="e">
        <f ca="1">IF(A10&gt;$A$1,#N/A,VLOOKUP(A10,Calculation!$B$8:$JO$503,165,FALSE))</f>
        <v>#N/A</v>
      </c>
      <c r="AE10" s="399" t="e">
        <f t="shared" ca="1" si="9"/>
        <v>#N/A</v>
      </c>
      <c r="AF10" s="399"/>
      <c r="AG10" s="841">
        <f>Calculation!G13</f>
        <v>731.78668683802766</v>
      </c>
      <c r="AH10" s="847" t="str">
        <f t="shared" si="4"/>
        <v>Yes</v>
      </c>
      <c r="AI10" s="847" t="str">
        <f>IF(Calculation!K13&gt;0,"Yes","No")</f>
        <v>Yes</v>
      </c>
      <c r="AJ10" s="869">
        <v>2030.0000000029559</v>
      </c>
      <c r="AK10" s="870">
        <v>1859.2000000047294</v>
      </c>
      <c r="AL10" s="870">
        <v>763.1000000024261</v>
      </c>
      <c r="AN10" s="372">
        <v>872.00000000275577</v>
      </c>
      <c r="AO10" s="372">
        <v>1968.0000000048021</v>
      </c>
      <c r="AP10" s="372">
        <v>1644.5000000042292</v>
      </c>
      <c r="AU10" s="427"/>
      <c r="AV10" s="410"/>
      <c r="AW10" s="617">
        <f>Calculation!BB13*3.068</f>
        <v>0</v>
      </c>
      <c r="AX10" s="618"/>
      <c r="AY10" s="618"/>
      <c r="AZ10" s="619"/>
      <c r="BB10" s="433"/>
      <c r="BC10" s="432"/>
      <c r="BD10" s="433"/>
      <c r="BE10" s="432"/>
      <c r="BF10" s="433"/>
      <c r="BG10" s="432"/>
      <c r="BH10" s="429"/>
    </row>
    <row r="11" spans="1:60" ht="13.8" thickBot="1" x14ac:dyDescent="0.3">
      <c r="A11" s="406">
        <v>42738</v>
      </c>
      <c r="B11" s="860">
        <f t="shared" si="0"/>
        <v>81.836299999999994</v>
      </c>
      <c r="C11" s="860">
        <f>Calculation!AK14</f>
        <v>0</v>
      </c>
      <c r="D11" s="860">
        <f>Calculation!AI14</f>
        <v>0</v>
      </c>
      <c r="E11" s="860">
        <f>Calculation!AE14</f>
        <v>40.9955</v>
      </c>
      <c r="F11" s="860">
        <f>Calculation!AF14</f>
        <v>40.840799999999994</v>
      </c>
      <c r="G11" s="860">
        <f>Calculation!AG14</f>
        <v>0</v>
      </c>
      <c r="H11" s="861">
        <f>Sheet1!H12</f>
        <v>2.31</v>
      </c>
      <c r="I11" s="841">
        <f>Sheet1!DA12</f>
        <v>1190</v>
      </c>
      <c r="J11" s="841">
        <f>Sheet1!DB12</f>
        <v>688</v>
      </c>
      <c r="K11" s="841">
        <f>Sheet1!CZ12</f>
        <v>781</v>
      </c>
      <c r="L11" s="865">
        <f>Calculation!F14</f>
        <v>250</v>
      </c>
      <c r="M11" s="865">
        <f>Calculation!E14</f>
        <v>250</v>
      </c>
      <c r="N11" s="865">
        <f>Calculation!D14</f>
        <v>300</v>
      </c>
      <c r="O11" s="888">
        <f>Sheet1!DC12</f>
        <v>1076.7</v>
      </c>
      <c r="P11" s="889" t="e">
        <f>Calculation!FD14</f>
        <v>#N/A</v>
      </c>
      <c r="Q11" s="895">
        <f>Calculation!DP14</f>
        <v>807.0000000027012</v>
      </c>
      <c r="R11" s="888">
        <f t="shared" si="6"/>
        <v>188.0000000027012</v>
      </c>
      <c r="S11" s="890">
        <f t="shared" si="7"/>
        <v>-530.60000000099126</v>
      </c>
      <c r="T11" s="895">
        <f ca="1">IF(A11&gt;$A$1,#N/A,VLOOKUP(A11,Calculation!$B$8:$JO$503,40,FALSE))</f>
        <v>0</v>
      </c>
      <c r="U11" s="890">
        <f t="shared" si="1"/>
        <v>0</v>
      </c>
      <c r="V11" s="890">
        <f>Calculation!AZ14</f>
        <v>0</v>
      </c>
      <c r="W11" s="895">
        <f ca="1">IF(A11&gt;=$A$1,#N/A,W10-X9*1.983)</f>
        <v>0</v>
      </c>
      <c r="X11" s="890">
        <v>0</v>
      </c>
      <c r="Y11" s="890">
        <f t="shared" ca="1" si="2"/>
        <v>0</v>
      </c>
      <c r="Z11" s="890">
        <f t="shared" ca="1" si="3"/>
        <v>0</v>
      </c>
      <c r="AA11" s="890">
        <f t="shared" ca="1" si="10"/>
        <v>0</v>
      </c>
      <c r="AB11" s="895">
        <f t="shared" ca="1" si="11"/>
        <v>807.0000000027012</v>
      </c>
      <c r="AC11" s="980">
        <f t="shared" ca="1" si="8"/>
        <v>188.0000000027012</v>
      </c>
      <c r="AD11" s="860" t="e">
        <f ca="1">IF(A11&gt;$A$1,#N/A,VLOOKUP(A11,Calculation!$B$8:$JO$503,165,FALSE))</f>
        <v>#N/A</v>
      </c>
      <c r="AE11" s="399" t="e">
        <f t="shared" ca="1" si="9"/>
        <v>#N/A</v>
      </c>
      <c r="AF11" s="399"/>
      <c r="AG11" s="841">
        <f>Calculation!G14</f>
        <v>513.42561775038268</v>
      </c>
      <c r="AH11" s="847" t="str">
        <f t="shared" si="4"/>
        <v>Yes</v>
      </c>
      <c r="AI11" s="847" t="str">
        <f>IF(Calculation!K14&gt;0,"Yes","No")</f>
        <v>Yes</v>
      </c>
      <c r="AJ11" s="869">
        <v>1902.3400000027502</v>
      </c>
      <c r="AK11" s="870">
        <v>1075.2000000029468</v>
      </c>
      <c r="AL11" s="870">
        <v>653.20000000232608</v>
      </c>
      <c r="AN11" s="372">
        <v>1325.0000000036607</v>
      </c>
      <c r="AO11" s="372">
        <v>1523.0000000038517</v>
      </c>
      <c r="AP11" s="372">
        <v>1698.0000000042974</v>
      </c>
      <c r="AU11" s="427"/>
      <c r="AV11" s="410"/>
      <c r="AW11" s="617">
        <f>Calculation!BB14*3.068</f>
        <v>0</v>
      </c>
      <c r="AX11" s="618"/>
      <c r="AY11" s="618"/>
      <c r="AZ11" s="619"/>
      <c r="BB11" s="433"/>
      <c r="BC11" s="432"/>
      <c r="BD11" s="433"/>
      <c r="BE11" s="432"/>
      <c r="BF11" s="433"/>
      <c r="BG11" s="432"/>
      <c r="BH11" s="429"/>
    </row>
    <row r="12" spans="1:60" ht="13.8" thickBot="1" x14ac:dyDescent="0.3">
      <c r="A12" s="406">
        <v>42739</v>
      </c>
      <c r="B12" s="860">
        <f t="shared" si="0"/>
        <v>84.466199999999986</v>
      </c>
      <c r="C12" s="860">
        <f>Calculation!AK15</f>
        <v>0</v>
      </c>
      <c r="D12" s="860">
        <f>Calculation!AI15</f>
        <v>0</v>
      </c>
      <c r="E12" s="860">
        <f>Calculation!AE15</f>
        <v>41.150199999999998</v>
      </c>
      <c r="F12" s="860">
        <f>Calculation!AF15</f>
        <v>43.315999999999995</v>
      </c>
      <c r="G12" s="860">
        <f>Calculation!AG15</f>
        <v>39.185510000002701</v>
      </c>
      <c r="H12" s="861">
        <f>Sheet1!H13</f>
        <v>20.399999999999999</v>
      </c>
      <c r="I12" s="841">
        <f>Sheet1!DA13</f>
        <v>911</v>
      </c>
      <c r="J12" s="841">
        <f>Sheet1!DB13</f>
        <v>518</v>
      </c>
      <c r="K12" s="841">
        <f>Sheet1!CZ13</f>
        <v>542</v>
      </c>
      <c r="L12" s="865">
        <f>Calculation!F15</f>
        <v>250</v>
      </c>
      <c r="M12" s="865">
        <f>Calculation!E15</f>
        <v>250</v>
      </c>
      <c r="N12" s="865">
        <f>Calculation!D15</f>
        <v>300</v>
      </c>
      <c r="O12" s="888">
        <f>Sheet1!DC13</f>
        <v>1074.2</v>
      </c>
      <c r="P12" s="889" t="e">
        <f>Calculation!FD15</f>
        <v>#N/A</v>
      </c>
      <c r="Q12" s="895">
        <f>Calculation!DP15</f>
        <v>538.00000000202363</v>
      </c>
      <c r="R12" s="888">
        <f t="shared" si="6"/>
        <v>-80.999999997976374</v>
      </c>
      <c r="S12" s="890">
        <f t="shared" si="7"/>
        <v>-269.00000000067757</v>
      </c>
      <c r="T12" s="895">
        <f ca="1">IF(A12&gt;$A$1,#N/A,VLOOKUP(A12,Calculation!$B$8:$JO$503,40,FALSE))</f>
        <v>0</v>
      </c>
      <c r="U12" s="890">
        <f t="shared" si="1"/>
        <v>0</v>
      </c>
      <c r="V12" s="890">
        <f>Calculation!AZ15</f>
        <v>0</v>
      </c>
      <c r="W12" s="895">
        <f t="shared" ref="W12:W75" ca="1" si="12">IF(A12&gt;=$A$1,#N/A,W11-X10*1.983)</f>
        <v>0</v>
      </c>
      <c r="X12" s="890">
        <v>0</v>
      </c>
      <c r="Y12" s="890">
        <f t="shared" ca="1" si="2"/>
        <v>0</v>
      </c>
      <c r="Z12" s="890">
        <f t="shared" ca="1" si="3"/>
        <v>0</v>
      </c>
      <c r="AA12" s="890">
        <f t="shared" ca="1" si="10"/>
        <v>0</v>
      </c>
      <c r="AB12" s="895">
        <f t="shared" ca="1" si="11"/>
        <v>538.00000000202363</v>
      </c>
      <c r="AC12" s="980">
        <f t="shared" ca="1" si="8"/>
        <v>-80.999999997976374</v>
      </c>
      <c r="AD12" s="860" t="e">
        <f ca="1">IF(A12&gt;$A$1,#N/A,VLOOKUP(A12,Calculation!$B$8:$JO$503,165,FALSE))</f>
        <v>#N/A</v>
      </c>
      <c r="AE12" s="399" t="e">
        <f t="shared" ca="1" si="9"/>
        <v>#N/A</v>
      </c>
      <c r="AF12" s="399"/>
      <c r="AG12" s="841">
        <f>Calculation!G15</f>
        <v>406.34694906672843</v>
      </c>
      <c r="AH12" s="847" t="str">
        <f t="shared" si="4"/>
        <v>Yes</v>
      </c>
      <c r="AI12" s="847" t="str">
        <f>IF(Calculation!K15&gt;0,"Yes","No")</f>
        <v>Yes</v>
      </c>
      <c r="AJ12" s="869">
        <v>1877.5800000026629</v>
      </c>
      <c r="AK12" s="870">
        <v>777.40000000245107</v>
      </c>
      <c r="AL12" s="870">
        <v>701.60000000237608</v>
      </c>
      <c r="AN12" s="372">
        <v>1479.0000000038199</v>
      </c>
      <c r="AO12" s="372">
        <v>1203.0000000033106</v>
      </c>
      <c r="AP12" s="372">
        <v>1591.500000004195</v>
      </c>
      <c r="AU12" s="427"/>
      <c r="AV12" s="410"/>
      <c r="AW12" s="617">
        <f>Calculation!BB15*3.068</f>
        <v>0</v>
      </c>
      <c r="AX12" s="618"/>
      <c r="AY12" s="618"/>
      <c r="AZ12" s="619"/>
      <c r="BB12" s="433"/>
      <c r="BC12" s="432"/>
      <c r="BD12" s="433"/>
      <c r="BE12" s="432"/>
      <c r="BF12" s="433"/>
      <c r="BG12" s="432"/>
      <c r="BH12" s="429"/>
    </row>
    <row r="13" spans="1:60" ht="13.8" thickBot="1" x14ac:dyDescent="0.3">
      <c r="A13" s="406">
        <v>42740</v>
      </c>
      <c r="B13" s="860">
        <f t="shared" si="0"/>
        <v>84.357910000000004</v>
      </c>
      <c r="C13" s="860">
        <f>Calculation!AK16</f>
        <v>0</v>
      </c>
      <c r="D13" s="860">
        <f>Calculation!AI16</f>
        <v>0</v>
      </c>
      <c r="E13" s="860">
        <f>Calculation!AE16</f>
        <v>41.150199999999998</v>
      </c>
      <c r="F13" s="860">
        <f>Calculation!AF16</f>
        <v>43.207709999999999</v>
      </c>
      <c r="G13" s="860">
        <f>Calculation!AG16</f>
        <v>60.100949999997745</v>
      </c>
      <c r="H13" s="861">
        <f>Sheet1!H14</f>
        <v>21.48</v>
      </c>
      <c r="I13" s="841">
        <f>Sheet1!DA14</f>
        <v>825</v>
      </c>
      <c r="J13" s="841">
        <f>Sheet1!DB14</f>
        <v>416</v>
      </c>
      <c r="K13" s="841">
        <f>Sheet1!CZ14</f>
        <v>443</v>
      </c>
      <c r="L13" s="865">
        <f>Calculation!F16</f>
        <v>250</v>
      </c>
      <c r="M13" s="865">
        <f>Calculation!E16</f>
        <v>250</v>
      </c>
      <c r="N13" s="865">
        <f>Calculation!D16</f>
        <v>300</v>
      </c>
      <c r="O13" s="888">
        <f>Sheet1!DC14</f>
        <v>1074.74</v>
      </c>
      <c r="P13" s="889" t="e">
        <f>Calculation!FD16</f>
        <v>#N/A</v>
      </c>
      <c r="Q13" s="895">
        <f>Calculation!DP16</f>
        <v>592.40000000227599</v>
      </c>
      <c r="R13" s="888">
        <f t="shared" si="6"/>
        <v>-26.599999997724012</v>
      </c>
      <c r="S13" s="890">
        <f t="shared" si="7"/>
        <v>54.400000000252362</v>
      </c>
      <c r="T13" s="895">
        <f ca="1">IF(A13&gt;$A$1,#N/A,VLOOKUP(A13,Calculation!$B$8:$JO$503,40,FALSE))</f>
        <v>0</v>
      </c>
      <c r="U13" s="890">
        <f t="shared" si="1"/>
        <v>0</v>
      </c>
      <c r="V13" s="890">
        <f>Calculation!AZ16</f>
        <v>0</v>
      </c>
      <c r="W13" s="895">
        <f t="shared" ca="1" si="12"/>
        <v>0</v>
      </c>
      <c r="X13" s="890">
        <v>0</v>
      </c>
      <c r="Y13" s="890">
        <f t="shared" ca="1" si="2"/>
        <v>0</v>
      </c>
      <c r="Z13" s="890">
        <f t="shared" ca="1" si="3"/>
        <v>0</v>
      </c>
      <c r="AA13" s="890">
        <f t="shared" ca="1" si="10"/>
        <v>0</v>
      </c>
      <c r="AB13" s="895">
        <f t="shared" ca="1" si="11"/>
        <v>592.40000000227599</v>
      </c>
      <c r="AC13" s="980">
        <f t="shared" ca="1" si="8"/>
        <v>-26.599999997724012</v>
      </c>
      <c r="AD13" s="860" t="e">
        <f ca="1">IF(A13&gt;$A$1,#N/A,VLOOKUP(A13,Calculation!$B$8:$JO$503,165,FALSE))</f>
        <v>#N/A</v>
      </c>
      <c r="AE13" s="399" t="e">
        <f t="shared" ca="1" si="9"/>
        <v>#N/A</v>
      </c>
      <c r="AF13" s="399"/>
      <c r="AG13" s="841">
        <f>Calculation!G16</f>
        <v>470.43318204753018</v>
      </c>
      <c r="AH13" s="847" t="str">
        <f t="shared" si="4"/>
        <v>Yes</v>
      </c>
      <c r="AI13" s="847" t="str">
        <f>IF(Calculation!K16&gt;0,"Yes","No")</f>
        <v>Yes</v>
      </c>
      <c r="AJ13" s="869">
        <v>1849.5200000026352</v>
      </c>
      <c r="AK13" s="870">
        <v>781.80000000245104</v>
      </c>
      <c r="AL13" s="870">
        <v>807.0000000027012</v>
      </c>
      <c r="AN13" s="372">
        <v>1437.0000000037562</v>
      </c>
      <c r="AO13" s="372">
        <v>15565.000000037202</v>
      </c>
      <c r="AP13" s="372">
        <v>1288.2000000036289</v>
      </c>
      <c r="AU13" s="427"/>
      <c r="AV13" s="410"/>
      <c r="AW13" s="617">
        <f>Calculation!BB16*3.068</f>
        <v>0</v>
      </c>
      <c r="AX13" s="618"/>
      <c r="AY13" s="618"/>
      <c r="AZ13" s="619"/>
      <c r="BB13" s="433"/>
      <c r="BC13" s="432"/>
      <c r="BD13" s="433"/>
      <c r="BE13" s="432"/>
      <c r="BF13" s="433"/>
      <c r="BG13" s="432"/>
      <c r="BH13" s="429"/>
    </row>
    <row r="14" spans="1:60" ht="13.8" thickBot="1" x14ac:dyDescent="0.3">
      <c r="A14" s="406">
        <v>42741</v>
      </c>
      <c r="B14" s="860">
        <f t="shared" si="0"/>
        <v>84.419789999999992</v>
      </c>
      <c r="C14" s="860">
        <f>Calculation!AK17</f>
        <v>0</v>
      </c>
      <c r="D14" s="860">
        <f>Calculation!AI17</f>
        <v>0</v>
      </c>
      <c r="E14" s="860">
        <f>Calculation!AE17</f>
        <v>41.150199999999998</v>
      </c>
      <c r="F14" s="860">
        <f>Calculation!AF17</f>
        <v>43.269589999999994</v>
      </c>
      <c r="G14" s="860">
        <f>Calculation!AG17</f>
        <v>41.444130000001351</v>
      </c>
      <c r="H14" s="861">
        <f>Sheet1!H15</f>
        <v>17.05</v>
      </c>
      <c r="I14" s="841">
        <f>Sheet1!DA15</f>
        <v>777</v>
      </c>
      <c r="J14" s="841">
        <f>Sheet1!DB15</f>
        <v>279</v>
      </c>
      <c r="K14" s="841">
        <f>Sheet1!CZ15</f>
        <v>354</v>
      </c>
      <c r="L14" s="865">
        <f>Calculation!F17</f>
        <v>250</v>
      </c>
      <c r="M14" s="865">
        <f>Calculation!E17</f>
        <v>250</v>
      </c>
      <c r="N14" s="865">
        <f>Calculation!D17</f>
        <v>300</v>
      </c>
      <c r="O14" s="888">
        <f>Sheet1!DC15</f>
        <v>1076.5899999999999</v>
      </c>
      <c r="P14" s="889" t="e">
        <f>Calculation!FD17</f>
        <v>#N/A</v>
      </c>
      <c r="Q14" s="895">
        <f>Calculation!DP17</f>
        <v>794.80000000267387</v>
      </c>
      <c r="R14" s="888">
        <f t="shared" si="6"/>
        <v>175.80000000267387</v>
      </c>
      <c r="S14" s="890">
        <f t="shared" si="7"/>
        <v>202.40000000039788</v>
      </c>
      <c r="T14" s="895">
        <f ca="1">IF(A14&gt;$A$1,#N/A,VLOOKUP(A14,Calculation!$B$8:$JO$503,40,FALSE))</f>
        <v>0</v>
      </c>
      <c r="U14" s="890">
        <f t="shared" si="1"/>
        <v>0</v>
      </c>
      <c r="V14" s="890">
        <f>Calculation!AZ17</f>
        <v>0</v>
      </c>
      <c r="W14" s="895">
        <f t="shared" ca="1" si="12"/>
        <v>0</v>
      </c>
      <c r="X14" s="890">
        <v>0</v>
      </c>
      <c r="Y14" s="890">
        <f t="shared" ca="1" si="2"/>
        <v>0</v>
      </c>
      <c r="Z14" s="890">
        <f t="shared" ca="1" si="3"/>
        <v>0</v>
      </c>
      <c r="AA14" s="890">
        <f t="shared" ca="1" si="10"/>
        <v>0</v>
      </c>
      <c r="AB14" s="895">
        <f t="shared" ca="1" si="11"/>
        <v>794.80000000267387</v>
      </c>
      <c r="AC14" s="980">
        <f t="shared" ca="1" si="8"/>
        <v>175.80000000267387</v>
      </c>
      <c r="AD14" s="860" t="e">
        <f ca="1">IF(A14&gt;$A$1,#N/A,VLOOKUP(A14,Calculation!$B$8:$JO$503,165,FALSE))</f>
        <v>#N/A</v>
      </c>
      <c r="AE14" s="399" t="e">
        <f t="shared" ca="1" si="9"/>
        <v>#N/A</v>
      </c>
      <c r="AF14" s="399"/>
      <c r="AG14" s="841">
        <f>Calculation!G17</f>
        <v>456.06757438244972</v>
      </c>
      <c r="AH14" s="847" t="str">
        <f t="shared" si="4"/>
        <v>Yes</v>
      </c>
      <c r="AI14" s="847" t="str">
        <f>IF(Calculation!K17&gt;0,"Yes","No")</f>
        <v>No</v>
      </c>
      <c r="AJ14" s="869">
        <v>2245.5500000032844</v>
      </c>
      <c r="AK14" s="870">
        <v>888.80000000278301</v>
      </c>
      <c r="AL14" s="870">
        <v>887.60000000278308</v>
      </c>
      <c r="AN14" s="372">
        <v>1158.8000000032514</v>
      </c>
      <c r="AO14" s="372">
        <v>16236.000000039918</v>
      </c>
      <c r="AP14" s="372">
        <v>923.60000000281036</v>
      </c>
      <c r="AU14" s="427"/>
      <c r="AV14" s="410"/>
      <c r="AW14" s="617">
        <f>Calculation!BB17*3.068</f>
        <v>0</v>
      </c>
      <c r="AX14" s="618"/>
      <c r="AY14" s="618"/>
      <c r="AZ14" s="619"/>
      <c r="BB14" s="433"/>
      <c r="BC14" s="432"/>
      <c r="BD14" s="433"/>
      <c r="BE14" s="432"/>
      <c r="BF14" s="433"/>
      <c r="BG14" s="432"/>
      <c r="BH14" s="429"/>
    </row>
    <row r="15" spans="1:60" ht="13.8" thickBot="1" x14ac:dyDescent="0.3">
      <c r="A15" s="406">
        <v>42742</v>
      </c>
      <c r="B15" s="860">
        <f t="shared" si="0"/>
        <v>84.466199999999986</v>
      </c>
      <c r="C15" s="860">
        <f>Calculation!AK18</f>
        <v>0</v>
      </c>
      <c r="D15" s="860">
        <f>Calculation!AI18</f>
        <v>0</v>
      </c>
      <c r="E15" s="860">
        <f>Calculation!AE18</f>
        <v>41.150199999999998</v>
      </c>
      <c r="F15" s="860">
        <f>Calculation!AF18</f>
        <v>43.315999999999995</v>
      </c>
      <c r="G15" s="860">
        <f>Calculation!AG18</f>
        <v>0</v>
      </c>
      <c r="H15" s="861">
        <f>Sheet1!H16</f>
        <v>2.13</v>
      </c>
      <c r="I15" s="841">
        <f>Sheet1!DA16</f>
        <v>630</v>
      </c>
      <c r="J15" s="841">
        <f>Sheet1!DB16</f>
        <v>288</v>
      </c>
      <c r="K15" s="841">
        <f>Sheet1!CZ16</f>
        <v>366</v>
      </c>
      <c r="L15" s="865">
        <f>Calculation!F18</f>
        <v>250</v>
      </c>
      <c r="M15" s="865">
        <f>Calculation!E18</f>
        <v>250</v>
      </c>
      <c r="N15" s="865">
        <f>Calculation!D18</f>
        <v>300</v>
      </c>
      <c r="O15" s="888">
        <f>Sheet1!DC16</f>
        <v>1079.22</v>
      </c>
      <c r="P15" s="889" t="e">
        <f>Calculation!FD18</f>
        <v>#N/A</v>
      </c>
      <c r="Q15" s="895">
        <f>Calculation!DP18</f>
        <v>1114.6000000032218</v>
      </c>
      <c r="R15" s="888">
        <f t="shared" si="6"/>
        <v>495.60000000322179</v>
      </c>
      <c r="S15" s="890">
        <f t="shared" si="7"/>
        <v>319.80000000054793</v>
      </c>
      <c r="T15" s="895">
        <f ca="1">IF(A15&gt;$A$1,#N/A,VLOOKUP(A15,Calculation!$B$8:$JO$503,40,FALSE))</f>
        <v>0</v>
      </c>
      <c r="U15" s="890">
        <f t="shared" si="1"/>
        <v>0</v>
      </c>
      <c r="V15" s="890">
        <f>Calculation!AZ18</f>
        <v>0</v>
      </c>
      <c r="W15" s="895">
        <f t="shared" ca="1" si="12"/>
        <v>0</v>
      </c>
      <c r="X15" s="890">
        <v>0</v>
      </c>
      <c r="Y15" s="890">
        <f t="shared" ca="1" si="2"/>
        <v>0</v>
      </c>
      <c r="Z15" s="890">
        <f t="shared" ca="1" si="3"/>
        <v>0</v>
      </c>
      <c r="AA15" s="890">
        <f t="shared" ca="1" si="10"/>
        <v>0</v>
      </c>
      <c r="AB15" s="895">
        <f t="shared" ca="1" si="11"/>
        <v>1114.6000000032218</v>
      </c>
      <c r="AC15" s="980">
        <f t="shared" ca="1" si="8"/>
        <v>495.60000000322179</v>
      </c>
      <c r="AD15" s="860" t="e">
        <f ca="1">IF(A15&gt;$A$1,#N/A,VLOOKUP(A15,Calculation!$B$8:$JO$503,165,FALSE))</f>
        <v>#N/A</v>
      </c>
      <c r="AE15" s="399" t="e">
        <f t="shared" ca="1" si="9"/>
        <v>#N/A</v>
      </c>
      <c r="AF15" s="399"/>
      <c r="AG15" s="841">
        <f>Calculation!G18</f>
        <v>527.2708018157075</v>
      </c>
      <c r="AH15" s="847" t="str">
        <f t="shared" si="4"/>
        <v>Yes</v>
      </c>
      <c r="AI15" s="847" t="str">
        <f>IF(Calculation!K18&gt;0,"Yes","No")</f>
        <v>No</v>
      </c>
      <c r="AJ15" s="869">
        <v>3441.5000000054283</v>
      </c>
      <c r="AK15" s="870">
        <v>987.30000000310361</v>
      </c>
      <c r="AL15" s="870">
        <v>1230.0000000033106</v>
      </c>
      <c r="AN15" s="372">
        <v>792.760000002693</v>
      </c>
      <c r="AO15" s="372">
        <v>12736.200000030029</v>
      </c>
      <c r="AP15" s="372">
        <v>828.90000000250109</v>
      </c>
      <c r="AU15" s="427"/>
      <c r="AV15" s="410"/>
      <c r="AW15" s="617">
        <f>Calculation!BB18*3.068</f>
        <v>0</v>
      </c>
      <c r="AX15" s="618"/>
      <c r="AY15" s="618"/>
      <c r="AZ15" s="619"/>
      <c r="BB15" s="433"/>
      <c r="BC15" s="432"/>
      <c r="BD15" s="433"/>
      <c r="BE15" s="432"/>
      <c r="BF15" s="433"/>
      <c r="BG15" s="432"/>
      <c r="BH15" s="429"/>
    </row>
    <row r="16" spans="1:60" ht="13.8" thickBot="1" x14ac:dyDescent="0.3">
      <c r="A16" s="406">
        <v>42743</v>
      </c>
      <c r="B16" s="860">
        <f t="shared" si="0"/>
        <v>88.179000000000002</v>
      </c>
      <c r="C16" s="860">
        <f>Calculation!AK19</f>
        <v>0</v>
      </c>
      <c r="D16" s="860">
        <f>Calculation!AI19</f>
        <v>0</v>
      </c>
      <c r="E16" s="860">
        <f>Calculation!AE19</f>
        <v>41.150199999999998</v>
      </c>
      <c r="F16" s="860">
        <f>Calculation!AF19</f>
        <v>47.028799999999997</v>
      </c>
      <c r="G16" s="860">
        <f>Calculation!AG19</f>
        <v>0</v>
      </c>
      <c r="H16" s="861">
        <f>Sheet1!H17</f>
        <v>2.77</v>
      </c>
      <c r="I16" s="841">
        <f>Sheet1!DA17</f>
        <v>789</v>
      </c>
      <c r="J16" s="841">
        <f>Sheet1!DB17</f>
        <v>401</v>
      </c>
      <c r="K16" s="841">
        <f>Sheet1!CZ17</f>
        <v>502</v>
      </c>
      <c r="L16" s="865">
        <f>Calculation!F19</f>
        <v>250</v>
      </c>
      <c r="M16" s="865">
        <f>Calculation!E19</f>
        <v>250</v>
      </c>
      <c r="N16" s="865">
        <f>Calculation!D19</f>
        <v>300</v>
      </c>
      <c r="O16" s="888">
        <f>Sheet1!DC17</f>
        <v>1080.3599999999999</v>
      </c>
      <c r="P16" s="889" t="e">
        <f>Calculation!FD19</f>
        <v>#N/A</v>
      </c>
      <c r="Q16" s="895">
        <f>Calculation!DP19</f>
        <v>1265.4000000035971</v>
      </c>
      <c r="R16" s="888">
        <f t="shared" si="6"/>
        <v>646.40000000359714</v>
      </c>
      <c r="S16" s="890">
        <f t="shared" si="7"/>
        <v>150.80000000037535</v>
      </c>
      <c r="T16" s="895">
        <f ca="1">IF(A16&gt;$A$1,#N/A,VLOOKUP(A16,Calculation!$B$8:$JO$503,40,FALSE))</f>
        <v>0</v>
      </c>
      <c r="U16" s="890">
        <f t="shared" si="1"/>
        <v>0</v>
      </c>
      <c r="V16" s="890">
        <f>Calculation!AZ19</f>
        <v>0</v>
      </c>
      <c r="W16" s="895">
        <f t="shared" ca="1" si="12"/>
        <v>0</v>
      </c>
      <c r="X16" s="890">
        <v>0</v>
      </c>
      <c r="Y16" s="890">
        <f t="shared" ca="1" si="2"/>
        <v>0</v>
      </c>
      <c r="Z16" s="890">
        <f t="shared" ca="1" si="3"/>
        <v>0</v>
      </c>
      <c r="AA16" s="890">
        <f t="shared" ca="1" si="10"/>
        <v>0</v>
      </c>
      <c r="AB16" s="895">
        <f t="shared" ca="1" si="11"/>
        <v>1265.4000000035971</v>
      </c>
      <c r="AC16" s="980">
        <f t="shared" ca="1" si="8"/>
        <v>646.40000000359714</v>
      </c>
      <c r="AD16" s="860" t="e">
        <f ca="1">IF(A16&gt;$A$1,#N/A,VLOOKUP(A16,Calculation!$B$8:$JO$503,165,FALSE))</f>
        <v>#N/A</v>
      </c>
      <c r="AE16" s="399" t="e">
        <f t="shared" ca="1" si="9"/>
        <v>#N/A</v>
      </c>
      <c r="AF16" s="399"/>
      <c r="AG16" s="841">
        <f>Calculation!G19</f>
        <v>578.04639435218121</v>
      </c>
      <c r="AH16" s="847" t="str">
        <f t="shared" si="4"/>
        <v>Yes</v>
      </c>
      <c r="AI16" s="847" t="str">
        <f>IF(Calculation!K19&gt;0,"Yes","No")</f>
        <v>Yes</v>
      </c>
      <c r="AJ16" s="869">
        <v>3917.6000000064369</v>
      </c>
      <c r="AK16" s="870">
        <v>898.40000000278303</v>
      </c>
      <c r="AL16" s="870">
        <v>1299.3000000033696</v>
      </c>
      <c r="AN16" s="372">
        <v>773.00000000245109</v>
      </c>
      <c r="AO16" s="372">
        <v>9343.0000000208638</v>
      </c>
      <c r="AP16" s="372">
        <v>1006.200000002865</v>
      </c>
      <c r="AU16" s="427"/>
      <c r="AV16" s="410"/>
      <c r="AW16" s="617">
        <f>Calculation!BB19*3.068</f>
        <v>0</v>
      </c>
      <c r="AX16" s="618"/>
      <c r="AY16" s="618"/>
      <c r="AZ16" s="619"/>
      <c r="BB16" s="433"/>
      <c r="BC16" s="432"/>
      <c r="BD16" s="433"/>
      <c r="BE16" s="432"/>
      <c r="BF16" s="433"/>
      <c r="BG16" s="432"/>
      <c r="BH16" s="429"/>
    </row>
    <row r="17" spans="1:60" ht="13.8" thickBot="1" x14ac:dyDescent="0.3">
      <c r="A17" s="406">
        <v>42744</v>
      </c>
      <c r="B17" s="860">
        <f t="shared" ref="B17:B80" si="13">E17+F17</f>
        <v>95.357079999999996</v>
      </c>
      <c r="C17" s="860">
        <f>Calculation!AK20</f>
        <v>0</v>
      </c>
      <c r="D17" s="860">
        <f>Calculation!AI20</f>
        <v>0</v>
      </c>
      <c r="E17" s="860">
        <f>Calculation!AE20</f>
        <v>41.21208</v>
      </c>
      <c r="F17" s="860">
        <f>Calculation!AF20</f>
        <v>54.144999999999996</v>
      </c>
      <c r="G17" s="860">
        <f>Calculation!AG20</f>
        <v>0</v>
      </c>
      <c r="H17" s="861">
        <f>Sheet1!H18</f>
        <v>2.29</v>
      </c>
      <c r="I17" s="841">
        <f>Sheet1!DA18</f>
        <v>923</v>
      </c>
      <c r="J17" s="841">
        <f>Sheet1!DB18</f>
        <v>518</v>
      </c>
      <c r="K17" s="841">
        <f>Sheet1!CZ18</f>
        <v>616</v>
      </c>
      <c r="L17" s="865">
        <f>Calculation!F20</f>
        <v>250</v>
      </c>
      <c r="M17" s="865">
        <f>Calculation!E20</f>
        <v>250</v>
      </c>
      <c r="N17" s="865">
        <f>Calculation!D20</f>
        <v>300</v>
      </c>
      <c r="O17" s="888">
        <f>Sheet1!DC18</f>
        <v>1079.08</v>
      </c>
      <c r="P17" s="889" t="e">
        <f>Calculation!FD20</f>
        <v>#N/A</v>
      </c>
      <c r="Q17" s="895">
        <f>Calculation!DP20</f>
        <v>1096.4000000031924</v>
      </c>
      <c r="R17" s="888">
        <f t="shared" si="6"/>
        <v>477.40000000319242</v>
      </c>
      <c r="S17" s="890">
        <f t="shared" ref="S17:S80" si="14">R17-R16</f>
        <v>-169.00000000040473</v>
      </c>
      <c r="T17" s="895">
        <f ca="1">IF(A17&gt;$A$1,#N/A,VLOOKUP(A17,Calculation!$B$8:$JO$503,40,FALSE))</f>
        <v>0</v>
      </c>
      <c r="U17" s="890">
        <f t="shared" ref="U17:U80" si="15">D17</f>
        <v>0</v>
      </c>
      <c r="V17" s="890">
        <f>Calculation!AZ20</f>
        <v>0</v>
      </c>
      <c r="W17" s="895">
        <f t="shared" ca="1" si="12"/>
        <v>0</v>
      </c>
      <c r="X17" s="890">
        <v>0</v>
      </c>
      <c r="Y17" s="890">
        <f t="shared" ref="Y17:Y80" ca="1" si="16">IF((A17+1)&gt;$A$1,#N/A,0)</f>
        <v>0</v>
      </c>
      <c r="Z17" s="890">
        <f t="shared" ref="Z17:Z80" ca="1" si="17">W17-Y17</f>
        <v>0</v>
      </c>
      <c r="AA17" s="890">
        <f t="shared" ca="1" si="10"/>
        <v>0</v>
      </c>
      <c r="AB17" s="895">
        <f t="shared" ca="1" si="11"/>
        <v>1096.4000000031924</v>
      </c>
      <c r="AC17" s="980">
        <f t="shared" ca="1" si="8"/>
        <v>477.40000000319242</v>
      </c>
      <c r="AD17" s="860" t="e">
        <f ca="1">IF(A17&gt;$A$1,#N/A,VLOOKUP(A17,Calculation!$B$8:$JO$503,165,FALSE))</f>
        <v>#N/A</v>
      </c>
      <c r="AE17" s="399" t="e">
        <f t="shared" ref="AE17:AE80" ca="1" si="18">AD17-AD16</f>
        <v>#N/A</v>
      </c>
      <c r="AF17" s="399"/>
      <c r="AG17" s="841">
        <f>Calculation!G20</f>
        <v>530.77559253635673</v>
      </c>
      <c r="AH17" s="847" t="str">
        <f t="shared" ref="AH17:AH80" si="19">IF(I17&gt;L17,"Yes","No")</f>
        <v>Yes</v>
      </c>
      <c r="AI17" s="847" t="str">
        <f>IF(Calculation!K20&gt;0,"Yes","No")</f>
        <v>Yes</v>
      </c>
      <c r="AJ17" s="869">
        <v>2762.9600000042092</v>
      </c>
      <c r="AK17" s="870">
        <v>782.90000000245107</v>
      </c>
      <c r="AL17" s="870">
        <v>1417.4000000037563</v>
      </c>
      <c r="AN17" s="372">
        <v>911.60000000278308</v>
      </c>
      <c r="AO17" s="372">
        <v>7159.0000000150749</v>
      </c>
      <c r="AP17" s="372">
        <v>1141.9000000032515</v>
      </c>
      <c r="AU17" s="427"/>
      <c r="AV17" s="410"/>
      <c r="AW17" s="617">
        <f>Calculation!BB20*3.068</f>
        <v>0</v>
      </c>
      <c r="AX17" s="618"/>
      <c r="AY17" s="618"/>
      <c r="AZ17" s="619"/>
      <c r="BB17" s="433"/>
      <c r="BC17" s="432"/>
      <c r="BD17" s="433"/>
      <c r="BE17" s="432"/>
      <c r="BF17" s="433"/>
      <c r="BG17" s="432"/>
      <c r="BH17" s="429"/>
    </row>
    <row r="18" spans="1:60" ht="13.8" thickBot="1" x14ac:dyDescent="0.3">
      <c r="A18" s="406">
        <v>42745</v>
      </c>
      <c r="B18" s="860">
        <f t="shared" si="13"/>
        <v>92.294019999999989</v>
      </c>
      <c r="C18" s="860">
        <f>Calculation!AK21</f>
        <v>0</v>
      </c>
      <c r="D18" s="860">
        <f>Calculation!AI21</f>
        <v>0</v>
      </c>
      <c r="E18" s="860">
        <f>Calculation!AE21</f>
        <v>41.243020000000001</v>
      </c>
      <c r="F18" s="860">
        <f>Calculation!AF21</f>
        <v>51.050999999999995</v>
      </c>
      <c r="G18" s="860">
        <f>Calculation!AG21</f>
        <v>0</v>
      </c>
      <c r="H18" s="861">
        <f>Sheet1!H19</f>
        <v>1.57</v>
      </c>
      <c r="I18" s="841">
        <f>Sheet1!DA19</f>
        <v>917</v>
      </c>
      <c r="J18" s="841">
        <f>Sheet1!DB19</f>
        <v>465</v>
      </c>
      <c r="K18" s="841">
        <f>Sheet1!CZ19</f>
        <v>557</v>
      </c>
      <c r="L18" s="865">
        <f>Calculation!F21</f>
        <v>250</v>
      </c>
      <c r="M18" s="865">
        <f>Calculation!E21</f>
        <v>250</v>
      </c>
      <c r="N18" s="865">
        <f>Calculation!D21</f>
        <v>300</v>
      </c>
      <c r="O18" s="888">
        <f>Sheet1!DC19</f>
        <v>1076.7</v>
      </c>
      <c r="P18" s="889" t="e">
        <f>Calculation!FD21</f>
        <v>#N/A</v>
      </c>
      <c r="Q18" s="895">
        <f>Calculation!DP21</f>
        <v>807.0000000027012</v>
      </c>
      <c r="R18" s="888">
        <f t="shared" si="6"/>
        <v>188.0000000027012</v>
      </c>
      <c r="S18" s="890">
        <f t="shared" si="14"/>
        <v>-289.40000000049122</v>
      </c>
      <c r="T18" s="895">
        <f ca="1">IF(A18&gt;$A$1,#N/A,VLOOKUP(A18,Calculation!$B$8:$JO$503,40,FALSE))</f>
        <v>0</v>
      </c>
      <c r="U18" s="890">
        <f t="shared" si="15"/>
        <v>0</v>
      </c>
      <c r="V18" s="890">
        <f>Calculation!AZ21</f>
        <v>0</v>
      </c>
      <c r="W18" s="895">
        <f t="shared" ca="1" si="12"/>
        <v>0</v>
      </c>
      <c r="X18" s="890">
        <v>0</v>
      </c>
      <c r="Y18" s="890">
        <f t="shared" ca="1" si="16"/>
        <v>0</v>
      </c>
      <c r="Z18" s="890">
        <f t="shared" ca="1" si="17"/>
        <v>0</v>
      </c>
      <c r="AA18" s="890">
        <f t="shared" ca="1" si="10"/>
        <v>0</v>
      </c>
      <c r="AB18" s="895">
        <f t="shared" ca="1" si="11"/>
        <v>807.0000000027012</v>
      </c>
      <c r="AC18" s="980">
        <f t="shared" ca="1" si="8"/>
        <v>188.0000000027012</v>
      </c>
      <c r="AD18" s="860" t="e">
        <f ca="1">IF(A18&gt;$A$1,#N/A,VLOOKUP(A18,Calculation!$B$8:$JO$503,165,FALSE))</f>
        <v>#N/A</v>
      </c>
      <c r="AE18" s="399" t="e">
        <f t="shared" ca="1" si="18"/>
        <v>#N/A</v>
      </c>
      <c r="AF18" s="399"/>
      <c r="AG18" s="841">
        <f>Calculation!G21</f>
        <v>411.05950579904629</v>
      </c>
      <c r="AH18" s="847" t="str">
        <f t="shared" si="19"/>
        <v>Yes</v>
      </c>
      <c r="AI18" s="847" t="str">
        <f>IF(Calculation!K21&gt;0,"Yes","No")</f>
        <v>Yes</v>
      </c>
      <c r="AJ18" s="869">
        <v>1966.6000000028075</v>
      </c>
      <c r="AK18" s="870">
        <v>742.30000000242603</v>
      </c>
      <c r="AL18" s="870">
        <v>1088.6000000031922</v>
      </c>
      <c r="AN18" s="372">
        <v>949.00000000283762</v>
      </c>
      <c r="AO18" s="372">
        <v>5424.0000000120326</v>
      </c>
      <c r="AP18" s="372">
        <v>1251.4000000035971</v>
      </c>
      <c r="AU18" s="427"/>
      <c r="AV18" s="410"/>
      <c r="AW18" s="617">
        <f>Calculation!BB21*3.068</f>
        <v>0</v>
      </c>
      <c r="AX18" s="618"/>
      <c r="AY18" s="618"/>
      <c r="AZ18" s="619"/>
      <c r="BB18" s="433"/>
      <c r="BC18" s="432"/>
      <c r="BD18" s="433"/>
      <c r="BE18" s="432"/>
      <c r="BF18" s="433"/>
      <c r="BG18" s="432"/>
      <c r="BH18" s="429"/>
    </row>
    <row r="19" spans="1:60" ht="13.8" thickBot="1" x14ac:dyDescent="0.3">
      <c r="A19" s="406">
        <v>42746</v>
      </c>
      <c r="B19" s="860">
        <f t="shared" si="13"/>
        <v>89.107200000000006</v>
      </c>
      <c r="C19" s="860">
        <f>Calculation!AK22</f>
        <v>0</v>
      </c>
      <c r="D19" s="860">
        <f>Calculation!AI22</f>
        <v>0</v>
      </c>
      <c r="E19" s="860">
        <f>Calculation!AE22</f>
        <v>41.150199999999998</v>
      </c>
      <c r="F19" s="860">
        <f>Calculation!AF22</f>
        <v>47.957000000000001</v>
      </c>
      <c r="G19" s="860">
        <f>Calculation!AG22</f>
        <v>0</v>
      </c>
      <c r="H19" s="861">
        <f>Sheet1!H20</f>
        <v>4.93</v>
      </c>
      <c r="I19" s="841">
        <f>Sheet1!DA20</f>
        <v>788</v>
      </c>
      <c r="J19" s="841">
        <f>Sheet1!DB20</f>
        <v>356</v>
      </c>
      <c r="K19" s="841">
        <f>Sheet1!CZ20</f>
        <v>439</v>
      </c>
      <c r="L19" s="865">
        <f>Calculation!F22</f>
        <v>250</v>
      </c>
      <c r="M19" s="865">
        <f>Calculation!E22</f>
        <v>250</v>
      </c>
      <c r="N19" s="865">
        <f>Calculation!D22</f>
        <v>300</v>
      </c>
      <c r="O19" s="888">
        <f>Sheet1!DC20</f>
        <v>1074.98</v>
      </c>
      <c r="P19" s="889" t="e">
        <f>Calculation!FD22</f>
        <v>#N/A</v>
      </c>
      <c r="Q19" s="895">
        <f>Calculation!DP22</f>
        <v>617.00000000209184</v>
      </c>
      <c r="R19" s="888">
        <f t="shared" si="6"/>
        <v>-1.9999999979081622</v>
      </c>
      <c r="S19" s="890">
        <f t="shared" si="14"/>
        <v>-190.00000000060936</v>
      </c>
      <c r="T19" s="895">
        <f ca="1">IF(A19&gt;$A$1,#N/A,VLOOKUP(A19,Calculation!$B$8:$JO$503,40,FALSE))</f>
        <v>0</v>
      </c>
      <c r="U19" s="890">
        <f t="shared" si="15"/>
        <v>0</v>
      </c>
      <c r="V19" s="890">
        <f>Calculation!AZ22</f>
        <v>0</v>
      </c>
      <c r="W19" s="895">
        <f t="shared" ca="1" si="12"/>
        <v>0</v>
      </c>
      <c r="X19" s="890">
        <v>0</v>
      </c>
      <c r="Y19" s="890">
        <f t="shared" ca="1" si="16"/>
        <v>0</v>
      </c>
      <c r="Z19" s="890">
        <f t="shared" ca="1" si="17"/>
        <v>0</v>
      </c>
      <c r="AA19" s="890">
        <f t="shared" ca="1" si="10"/>
        <v>0</v>
      </c>
      <c r="AB19" s="895">
        <f t="shared" ca="1" si="11"/>
        <v>617.00000000209184</v>
      </c>
      <c r="AC19" s="980">
        <f t="shared" ca="1" si="8"/>
        <v>-1.9999999979081622</v>
      </c>
      <c r="AD19" s="860" t="e">
        <f ca="1">IF(A19&gt;$A$1,#N/A,VLOOKUP(A19,Calculation!$B$8:$JO$503,165,FALSE))</f>
        <v>#N/A</v>
      </c>
      <c r="AE19" s="399" t="e">
        <f t="shared" ca="1" si="18"/>
        <v>#N/A</v>
      </c>
      <c r="AF19" s="399"/>
      <c r="AG19" s="841">
        <f>Calculation!G22</f>
        <v>343.18557740766045</v>
      </c>
      <c r="AH19" s="847" t="str">
        <f t="shared" si="19"/>
        <v>Yes</v>
      </c>
      <c r="AI19" s="847" t="str">
        <f>IF(Calculation!K22&gt;0,"Yes","No")</f>
        <v>Yes</v>
      </c>
      <c r="AJ19" s="869">
        <v>1776.320000002552</v>
      </c>
      <c r="AK19" s="870">
        <v>717.10000000240109</v>
      </c>
      <c r="AL19" s="870">
        <v>1034.8000000028921</v>
      </c>
      <c r="AN19" s="372">
        <v>1099.0000000031923</v>
      </c>
      <c r="AO19" s="372">
        <v>4134.0000000092041</v>
      </c>
      <c r="AP19" s="372">
        <v>1236.5000000033401</v>
      </c>
      <c r="AU19" s="427"/>
      <c r="AV19" s="410"/>
      <c r="AW19" s="617">
        <f>Calculation!BB22*3.068</f>
        <v>0</v>
      </c>
      <c r="AX19" s="618"/>
      <c r="AY19" s="618"/>
      <c r="AZ19" s="619"/>
      <c r="BB19" s="433"/>
      <c r="BC19" s="432"/>
      <c r="BD19" s="433"/>
      <c r="BE19" s="432"/>
      <c r="BF19" s="433"/>
      <c r="BG19" s="432"/>
      <c r="BH19" s="429"/>
    </row>
    <row r="20" spans="1:60" ht="13.8" thickBot="1" x14ac:dyDescent="0.3">
      <c r="A20" s="406">
        <v>42747</v>
      </c>
      <c r="B20" s="860">
        <f t="shared" si="13"/>
        <v>88.797799999999995</v>
      </c>
      <c r="C20" s="860">
        <f>Calculation!AK23</f>
        <v>0</v>
      </c>
      <c r="D20" s="860">
        <f>Calculation!AI23</f>
        <v>0</v>
      </c>
      <c r="E20" s="860">
        <f>Calculation!AE23</f>
        <v>40.9955</v>
      </c>
      <c r="F20" s="860">
        <f>Calculation!AF23</f>
        <v>47.802299999999995</v>
      </c>
      <c r="G20" s="860">
        <f>Calculation!AG23</f>
        <v>0</v>
      </c>
      <c r="H20" s="861">
        <f>Sheet1!H21</f>
        <v>4.62</v>
      </c>
      <c r="I20" s="841">
        <f>Sheet1!DA21</f>
        <v>702</v>
      </c>
      <c r="J20" s="841">
        <f>Sheet1!DB21</f>
        <v>314</v>
      </c>
      <c r="K20" s="841">
        <f>Sheet1!CZ21</f>
        <v>410</v>
      </c>
      <c r="L20" s="865">
        <f>Calculation!F23</f>
        <v>250</v>
      </c>
      <c r="M20" s="865">
        <f>Calculation!E23</f>
        <v>250</v>
      </c>
      <c r="N20" s="865">
        <f>Calculation!D23</f>
        <v>300</v>
      </c>
      <c r="O20" s="888">
        <f>Sheet1!DC21</f>
        <v>1075.02</v>
      </c>
      <c r="P20" s="889" t="e">
        <f>Calculation!FD23</f>
        <v>#N/A</v>
      </c>
      <c r="Q20" s="895">
        <f>Calculation!DP23</f>
        <v>621.20000000230107</v>
      </c>
      <c r="R20" s="888">
        <f t="shared" si="6"/>
        <v>2.2000000023010671</v>
      </c>
      <c r="S20" s="890">
        <f t="shared" si="14"/>
        <v>4.2000000002092293</v>
      </c>
      <c r="T20" s="895">
        <f ca="1">IF(A20&gt;$A$1,#N/A,VLOOKUP(A20,Calculation!$B$8:$JO$503,40,FALSE))</f>
        <v>0</v>
      </c>
      <c r="U20" s="890">
        <f t="shared" si="15"/>
        <v>0</v>
      </c>
      <c r="V20" s="890">
        <f>Calculation!AZ23</f>
        <v>0</v>
      </c>
      <c r="W20" s="895">
        <f t="shared" ca="1" si="12"/>
        <v>0</v>
      </c>
      <c r="X20" s="890">
        <v>0</v>
      </c>
      <c r="Y20" s="890">
        <f t="shared" ca="1" si="16"/>
        <v>0</v>
      </c>
      <c r="Z20" s="890">
        <f t="shared" ca="1" si="17"/>
        <v>0</v>
      </c>
      <c r="AA20" s="890">
        <f t="shared" ca="1" si="10"/>
        <v>0</v>
      </c>
      <c r="AB20" s="895">
        <f t="shared" ca="1" si="11"/>
        <v>621.20000000230107</v>
      </c>
      <c r="AC20" s="980">
        <f t="shared" ca="1" si="8"/>
        <v>2.2000000023010671</v>
      </c>
      <c r="AD20" s="860" t="e">
        <f ca="1">IF(A20&gt;$A$1,#N/A,VLOOKUP(A20,Calculation!$B$8:$JO$503,165,FALSE))</f>
        <v>#N/A</v>
      </c>
      <c r="AE20" s="399" t="e">
        <f t="shared" ca="1" si="18"/>
        <v>#N/A</v>
      </c>
      <c r="AF20" s="399"/>
      <c r="AG20" s="841">
        <f>Calculation!G23</f>
        <v>412.11800302582412</v>
      </c>
      <c r="AH20" s="847" t="str">
        <f t="shared" si="19"/>
        <v>Yes</v>
      </c>
      <c r="AI20" s="847" t="str">
        <f>IF(Calculation!K23&gt;0,"Yes","No")</f>
        <v>Yes</v>
      </c>
      <c r="AJ20" s="869">
        <v>1887.3400000026629</v>
      </c>
      <c r="AK20" s="870">
        <v>735.40000000261932</v>
      </c>
      <c r="AL20" s="870">
        <v>1110.7000000032219</v>
      </c>
      <c r="AN20" s="372">
        <v>2310.4000000057708</v>
      </c>
      <c r="AO20" s="372">
        <v>3196.000000007592</v>
      </c>
      <c r="AP20" s="372">
        <v>1212.1000000033105</v>
      </c>
      <c r="AU20" s="427"/>
      <c r="AV20" s="410"/>
      <c r="AW20" s="617">
        <f>Calculation!BB23*3.068</f>
        <v>0</v>
      </c>
      <c r="AX20" s="618"/>
      <c r="AY20" s="618"/>
      <c r="AZ20" s="619"/>
      <c r="BB20" s="433"/>
      <c r="BC20" s="432"/>
      <c r="BD20" s="433"/>
      <c r="BE20" s="432"/>
      <c r="BF20" s="433"/>
      <c r="BG20" s="432"/>
      <c r="BH20" s="429"/>
    </row>
    <row r="21" spans="1:60" ht="13.8" thickBot="1" x14ac:dyDescent="0.3">
      <c r="A21" s="406">
        <v>42748</v>
      </c>
      <c r="B21" s="860">
        <f t="shared" si="13"/>
        <v>87.204389999999989</v>
      </c>
      <c r="C21" s="860">
        <f>Calculation!AK24</f>
        <v>0</v>
      </c>
      <c r="D21" s="860">
        <f>Calculation!AI24</f>
        <v>0</v>
      </c>
      <c r="E21" s="860">
        <f>Calculation!AE24</f>
        <v>41.103789999999996</v>
      </c>
      <c r="F21" s="860">
        <f>Calculation!AF24</f>
        <v>46.1006</v>
      </c>
      <c r="G21" s="860">
        <f>Calculation!AG24</f>
        <v>0</v>
      </c>
      <c r="H21" s="861">
        <f>Sheet1!H22</f>
        <v>4.26</v>
      </c>
      <c r="I21" s="841">
        <f>Sheet1!DA22</f>
        <v>646</v>
      </c>
      <c r="J21" s="841">
        <f>Sheet1!DB22</f>
        <v>254</v>
      </c>
      <c r="K21" s="841">
        <f>Sheet1!CZ22</f>
        <v>351</v>
      </c>
      <c r="L21" s="865">
        <f>Calculation!F24</f>
        <v>250</v>
      </c>
      <c r="M21" s="865">
        <f>Calculation!E24</f>
        <v>250</v>
      </c>
      <c r="N21" s="865">
        <f>Calculation!D24</f>
        <v>300</v>
      </c>
      <c r="O21" s="888">
        <f>Sheet1!DC22</f>
        <v>1075.94</v>
      </c>
      <c r="P21" s="889" t="e">
        <f>Calculation!FD24</f>
        <v>#N/A</v>
      </c>
      <c r="Q21" s="895">
        <f>Calculation!DP24</f>
        <v>720.40000000240104</v>
      </c>
      <c r="R21" s="888">
        <f t="shared" si="6"/>
        <v>101.40000000240104</v>
      </c>
      <c r="S21" s="890">
        <f t="shared" si="14"/>
        <v>99.200000000099976</v>
      </c>
      <c r="T21" s="895">
        <f ca="1">IF(A21&gt;$A$1,#N/A,VLOOKUP(A21,Calculation!$B$8:$JO$503,40,FALSE))</f>
        <v>0</v>
      </c>
      <c r="U21" s="890">
        <f t="shared" si="15"/>
        <v>0</v>
      </c>
      <c r="V21" s="890">
        <f>Calculation!AZ24</f>
        <v>0</v>
      </c>
      <c r="W21" s="895">
        <f t="shared" ca="1" si="12"/>
        <v>0</v>
      </c>
      <c r="X21" s="890">
        <v>0</v>
      </c>
      <c r="Y21" s="890">
        <f t="shared" ca="1" si="16"/>
        <v>0</v>
      </c>
      <c r="Z21" s="890">
        <f t="shared" ca="1" si="17"/>
        <v>0</v>
      </c>
      <c r="AA21" s="890">
        <f t="shared" ca="1" si="10"/>
        <v>0</v>
      </c>
      <c r="AB21" s="895">
        <f t="shared" ca="1" si="11"/>
        <v>720.40000000240104</v>
      </c>
      <c r="AC21" s="980">
        <f t="shared" ca="1" si="8"/>
        <v>101.40000000240104</v>
      </c>
      <c r="AD21" s="860" t="e">
        <f ca="1">IF(A21&gt;$A$1,#N/A,VLOOKUP(A21,Calculation!$B$8:$JO$503,165,FALSE))</f>
        <v>#N/A</v>
      </c>
      <c r="AE21" s="399" t="e">
        <f t="shared" ca="1" si="18"/>
        <v>#N/A</v>
      </c>
      <c r="AF21" s="399"/>
      <c r="AG21" s="841">
        <f>Calculation!G24</f>
        <v>401.02521432178514</v>
      </c>
      <c r="AH21" s="847" t="str">
        <f t="shared" si="19"/>
        <v>Yes</v>
      </c>
      <c r="AI21" s="847" t="str">
        <f>IF(Calculation!K24&gt;0,"Yes","No")</f>
        <v>No</v>
      </c>
      <c r="AJ21" s="869">
        <v>2304.4000000034698</v>
      </c>
      <c r="AK21" s="870">
        <v>788.80000000267387</v>
      </c>
      <c r="AL21" s="870">
        <v>947.80000000283758</v>
      </c>
      <c r="AN21" s="372">
        <v>4212.2000000096587</v>
      </c>
      <c r="AO21" s="372">
        <v>2083.0000000052182</v>
      </c>
      <c r="AP21" s="372">
        <v>1248.600000003597</v>
      </c>
      <c r="AU21" s="427"/>
      <c r="AV21" s="410"/>
      <c r="AW21" s="620">
        <f>Calculation!BB24*3.068</f>
        <v>0</v>
      </c>
      <c r="AX21" s="618"/>
      <c r="AY21" s="618"/>
      <c r="AZ21" s="619"/>
      <c r="BB21" s="433"/>
      <c r="BC21" s="432"/>
      <c r="BD21" s="433"/>
      <c r="BE21" s="432"/>
      <c r="BF21" s="433"/>
      <c r="BG21" s="432"/>
      <c r="BH21" s="429"/>
    </row>
    <row r="22" spans="1:60" ht="13.8" thickBot="1" x14ac:dyDescent="0.3">
      <c r="A22" s="406">
        <v>42749</v>
      </c>
      <c r="B22" s="860">
        <f t="shared" si="13"/>
        <v>82.965609999999998</v>
      </c>
      <c r="C22" s="860">
        <f>Calculation!AK25</f>
        <v>0</v>
      </c>
      <c r="D22" s="860">
        <f>Calculation!AI25</f>
        <v>0</v>
      </c>
      <c r="E22" s="860">
        <f>Calculation!AE25</f>
        <v>41.19661</v>
      </c>
      <c r="F22" s="860">
        <f>Calculation!AF25</f>
        <v>41.768999999999998</v>
      </c>
      <c r="G22" s="860">
        <f>Calculation!AG25</f>
        <v>0</v>
      </c>
      <c r="H22" s="861">
        <f>Sheet1!H23</f>
        <v>3.54</v>
      </c>
      <c r="I22" s="841">
        <f>Sheet1!DA23</f>
        <v>592</v>
      </c>
      <c r="J22" s="841">
        <f>Sheet1!DB23</f>
        <v>272</v>
      </c>
      <c r="K22" s="841">
        <f>Sheet1!CZ23</f>
        <v>357</v>
      </c>
      <c r="L22" s="865">
        <f>Calculation!F25</f>
        <v>250</v>
      </c>
      <c r="M22" s="865">
        <f>Calculation!E25</f>
        <v>250</v>
      </c>
      <c r="N22" s="865">
        <f>Calculation!D25</f>
        <v>300</v>
      </c>
      <c r="O22" s="888">
        <f>Sheet1!DC23</f>
        <v>1077.1600000000001</v>
      </c>
      <c r="P22" s="889" t="e">
        <f>Calculation!FD25</f>
        <v>#N/A</v>
      </c>
      <c r="Q22" s="895">
        <f>Calculation!DP25</f>
        <v>861.20000000275581</v>
      </c>
      <c r="R22" s="888">
        <f t="shared" si="6"/>
        <v>242.20000000275581</v>
      </c>
      <c r="S22" s="890">
        <f t="shared" si="14"/>
        <v>140.80000000035477</v>
      </c>
      <c r="T22" s="895">
        <f ca="1">IF(A22&gt;$A$1,#N/A,VLOOKUP(A22,Calculation!$B$8:$JO$503,40,FALSE))</f>
        <v>0</v>
      </c>
      <c r="U22" s="890">
        <f t="shared" si="15"/>
        <v>0</v>
      </c>
      <c r="V22" s="890">
        <f>Calculation!AZ25</f>
        <v>0</v>
      </c>
      <c r="W22" s="895">
        <f t="shared" ca="1" si="12"/>
        <v>0</v>
      </c>
      <c r="X22" s="890">
        <v>0</v>
      </c>
      <c r="Y22" s="890">
        <f t="shared" ca="1" si="16"/>
        <v>0</v>
      </c>
      <c r="Z22" s="890">
        <f t="shared" ca="1" si="17"/>
        <v>0</v>
      </c>
      <c r="AA22" s="890">
        <f t="shared" ca="1" si="10"/>
        <v>0</v>
      </c>
      <c r="AB22" s="895">
        <f t="shared" ca="1" si="11"/>
        <v>861.20000000275581</v>
      </c>
      <c r="AC22" s="980">
        <f t="shared" ca="1" si="8"/>
        <v>242.20000000275581</v>
      </c>
      <c r="AD22" s="860" t="e">
        <f ca="1">IF(A22&gt;$A$1,#N/A,VLOOKUP(A22,Calculation!$B$8:$JO$503,165,FALSE))</f>
        <v>#N/A</v>
      </c>
      <c r="AE22" s="399" t="e">
        <f t="shared" ca="1" si="18"/>
        <v>#N/A</v>
      </c>
      <c r="AF22" s="399"/>
      <c r="AG22" s="841">
        <f>Calculation!G25</f>
        <v>428.00353000522176</v>
      </c>
      <c r="AH22" s="847" t="str">
        <f t="shared" si="19"/>
        <v>Yes</v>
      </c>
      <c r="AI22" s="847" t="str">
        <f>IF(Calculation!K25&gt;0,"Yes","No")</f>
        <v>No</v>
      </c>
      <c r="AJ22" s="869">
        <v>2192.9000000032229</v>
      </c>
      <c r="AK22" s="870">
        <v>933.70000000257619</v>
      </c>
      <c r="AL22" s="870">
        <v>722.60000000240109</v>
      </c>
      <c r="AN22" s="372">
        <v>3697.0000000087857</v>
      </c>
      <c r="AO22" s="372">
        <v>1257.0000000035971</v>
      </c>
      <c r="AP22" s="372">
        <v>1197.800000003281</v>
      </c>
      <c r="AU22" s="427"/>
      <c r="AV22" s="410"/>
      <c r="AW22" s="620">
        <f>Calculation!BB25*3.068</f>
        <v>0</v>
      </c>
      <c r="AX22" s="618"/>
      <c r="AY22" s="618"/>
      <c r="AZ22" s="619"/>
      <c r="BB22" s="433"/>
      <c r="BC22" s="432"/>
      <c r="BD22" s="433"/>
      <c r="BE22" s="432"/>
      <c r="BF22" s="433"/>
      <c r="BG22" s="432"/>
      <c r="BH22" s="429"/>
    </row>
    <row r="23" spans="1:60" ht="13.8" thickBot="1" x14ac:dyDescent="0.3">
      <c r="A23" s="406">
        <v>42750</v>
      </c>
      <c r="B23" s="860">
        <f t="shared" si="13"/>
        <v>82.919200000000004</v>
      </c>
      <c r="C23" s="860">
        <f>Calculation!AK26</f>
        <v>0</v>
      </c>
      <c r="D23" s="860">
        <f>Calculation!AI26</f>
        <v>0</v>
      </c>
      <c r="E23" s="860">
        <f>Calculation!AE26</f>
        <v>40.9955</v>
      </c>
      <c r="F23" s="860">
        <f>Calculation!AF26</f>
        <v>41.923700000000004</v>
      </c>
      <c r="G23" s="860">
        <f>Calculation!AG26</f>
        <v>0</v>
      </c>
      <c r="H23" s="861">
        <f>Sheet1!H24</f>
        <v>1.65</v>
      </c>
      <c r="I23" s="841">
        <f>Sheet1!DA24</f>
        <v>586</v>
      </c>
      <c r="J23" s="841">
        <f>Sheet1!DB24</f>
        <v>274</v>
      </c>
      <c r="K23" s="841">
        <f>Sheet1!CZ24</f>
        <v>360</v>
      </c>
      <c r="L23" s="865">
        <f>Calculation!F26</f>
        <v>250</v>
      </c>
      <c r="M23" s="865">
        <f>Calculation!E26</f>
        <v>250</v>
      </c>
      <c r="N23" s="865">
        <f>Calculation!D26</f>
        <v>300</v>
      </c>
      <c r="O23" s="888">
        <f>Sheet1!DC24</f>
        <v>1077.83</v>
      </c>
      <c r="P23" s="889" t="e">
        <f>Calculation!FD26</f>
        <v>#N/A</v>
      </c>
      <c r="Q23" s="895">
        <f>Calculation!DP26</f>
        <v>940.60000000281036</v>
      </c>
      <c r="R23" s="888">
        <f t="shared" si="6"/>
        <v>321.60000000281036</v>
      </c>
      <c r="S23" s="890">
        <f t="shared" si="14"/>
        <v>79.400000000054547</v>
      </c>
      <c r="T23" s="895">
        <f ca="1">IF(A23&gt;$A$1,#N/A,VLOOKUP(A23,Calculation!$B$8:$JO$503,40,FALSE))</f>
        <v>0</v>
      </c>
      <c r="U23" s="890">
        <f t="shared" si="15"/>
        <v>0</v>
      </c>
      <c r="V23" s="890">
        <f>Calculation!AZ26</f>
        <v>0</v>
      </c>
      <c r="W23" s="895">
        <f t="shared" ca="1" si="12"/>
        <v>0</v>
      </c>
      <c r="X23" s="890">
        <v>0</v>
      </c>
      <c r="Y23" s="890">
        <f t="shared" ca="1" si="16"/>
        <v>0</v>
      </c>
      <c r="Z23" s="890">
        <f t="shared" ca="1" si="17"/>
        <v>0</v>
      </c>
      <c r="AA23" s="890">
        <f t="shared" ca="1" si="10"/>
        <v>0</v>
      </c>
      <c r="AB23" s="895">
        <f t="shared" ca="1" si="11"/>
        <v>940.60000000281036</v>
      </c>
      <c r="AC23" s="980">
        <f t="shared" ca="1" si="8"/>
        <v>321.60000000281036</v>
      </c>
      <c r="AD23" s="860" t="e">
        <f ca="1">IF(A23&gt;$A$1,#N/A,VLOOKUP(A23,Calculation!$B$8:$JO$503,165,FALSE))</f>
        <v>#N/A</v>
      </c>
      <c r="AE23" s="399" t="e">
        <f t="shared" ca="1" si="18"/>
        <v>#N/A</v>
      </c>
      <c r="AF23" s="399"/>
      <c r="AG23" s="841">
        <f>Calculation!G26</f>
        <v>400.04034291480309</v>
      </c>
      <c r="AH23" s="847" t="str">
        <f t="shared" si="19"/>
        <v>Yes</v>
      </c>
      <c r="AI23" s="847" t="str">
        <f>IF(Calculation!K26&gt;0,"Yes","No")</f>
        <v>No</v>
      </c>
      <c r="AJ23" s="869">
        <v>1966.6000000028075</v>
      </c>
      <c r="AK23" s="870">
        <v>962.30000000307405</v>
      </c>
      <c r="AL23" s="870">
        <v>659.800000002351</v>
      </c>
      <c r="AN23" s="372">
        <v>2236.0000000053728</v>
      </c>
      <c r="AO23" s="372">
        <v>888.80000000278301</v>
      </c>
      <c r="AP23" s="372">
        <v>1077.6000000029467</v>
      </c>
      <c r="AU23" s="427"/>
      <c r="AV23" s="410"/>
      <c r="AW23" s="620">
        <f>Calculation!BB26*3.068</f>
        <v>0</v>
      </c>
      <c r="AX23" s="618"/>
      <c r="AY23" s="618"/>
      <c r="AZ23" s="619"/>
      <c r="BB23" s="433"/>
      <c r="BC23" s="432"/>
      <c r="BD23" s="433"/>
      <c r="BE23" s="432"/>
      <c r="BF23" s="433"/>
      <c r="BG23" s="432"/>
      <c r="BH23" s="429"/>
    </row>
    <row r="24" spans="1:60" ht="13.8" thickBot="1" x14ac:dyDescent="0.3">
      <c r="A24" s="406">
        <v>42751</v>
      </c>
      <c r="B24" s="860">
        <f t="shared" si="13"/>
        <v>88.148059999999987</v>
      </c>
      <c r="C24" s="860">
        <f>Calculation!AK27</f>
        <v>0</v>
      </c>
      <c r="D24" s="860">
        <f>Calculation!AI27</f>
        <v>0</v>
      </c>
      <c r="E24" s="860">
        <f>Calculation!AE27</f>
        <v>41.273959999999995</v>
      </c>
      <c r="F24" s="860">
        <f>Calculation!AF27</f>
        <v>46.874099999999999</v>
      </c>
      <c r="G24" s="860">
        <f>Calculation!AG27</f>
        <v>0</v>
      </c>
      <c r="H24" s="861">
        <f>Sheet1!H25</f>
        <v>1.56</v>
      </c>
      <c r="I24" s="841">
        <f>Sheet1!DA25</f>
        <v>570</v>
      </c>
      <c r="J24" s="841">
        <f>Sheet1!DB25</f>
        <v>272</v>
      </c>
      <c r="K24" s="841">
        <f>Sheet1!CZ25</f>
        <v>360</v>
      </c>
      <c r="L24" s="865">
        <f>Calculation!F27</f>
        <v>250</v>
      </c>
      <c r="M24" s="865">
        <f>Calculation!E27</f>
        <v>250</v>
      </c>
      <c r="N24" s="865">
        <f>Calculation!D27</f>
        <v>300</v>
      </c>
      <c r="O24" s="888">
        <f>Sheet1!DC25</f>
        <v>1078.21</v>
      </c>
      <c r="P24" s="889" t="e">
        <f>Calculation!FD27</f>
        <v>#N/A</v>
      </c>
      <c r="Q24" s="895">
        <f>Calculation!DP27</f>
        <v>987.30000000310361</v>
      </c>
      <c r="R24" s="888">
        <f t="shared" si="6"/>
        <v>368.30000000310361</v>
      </c>
      <c r="S24" s="890">
        <f t="shared" si="14"/>
        <v>46.700000000293244</v>
      </c>
      <c r="T24" s="895">
        <f ca="1">IF(A24&gt;$A$1,#N/A,VLOOKUP(A24,Calculation!$B$8:$JO$503,40,FALSE))</f>
        <v>0</v>
      </c>
      <c r="U24" s="890">
        <f t="shared" si="15"/>
        <v>0</v>
      </c>
      <c r="V24" s="890">
        <f>Calculation!AZ27</f>
        <v>0</v>
      </c>
      <c r="W24" s="895">
        <f t="shared" ca="1" si="12"/>
        <v>0</v>
      </c>
      <c r="X24" s="890">
        <v>0</v>
      </c>
      <c r="Y24" s="890">
        <f t="shared" ca="1" si="16"/>
        <v>0</v>
      </c>
      <c r="Z24" s="890">
        <f t="shared" ca="1" si="17"/>
        <v>0</v>
      </c>
      <c r="AA24" s="890">
        <f t="shared" ca="1" si="10"/>
        <v>0</v>
      </c>
      <c r="AB24" s="895">
        <f t="shared" ca="1" si="11"/>
        <v>987.30000000310361</v>
      </c>
      <c r="AC24" s="980">
        <f t="shared" ca="1" si="8"/>
        <v>368.30000000310361</v>
      </c>
      <c r="AD24" s="860" t="e">
        <f ca="1">IF(A24&gt;$A$1,#N/A,VLOOKUP(A24,Calculation!$B$8:$JO$503,165,FALSE))</f>
        <v>#N/A</v>
      </c>
      <c r="AE24" s="399" t="e">
        <f t="shared" ca="1" si="18"/>
        <v>#N/A</v>
      </c>
      <c r="AF24" s="399"/>
      <c r="AG24" s="841">
        <f>Calculation!G27</f>
        <v>383.55017650040003</v>
      </c>
      <c r="AH24" s="847" t="str">
        <f t="shared" si="19"/>
        <v>Yes</v>
      </c>
      <c r="AI24" s="847" t="str">
        <f>IF(Calculation!K27&gt;0,"Yes","No")</f>
        <v>No</v>
      </c>
      <c r="AJ24" s="869">
        <v>18438.950000040626</v>
      </c>
      <c r="AK24" s="870">
        <v>908.00000000278305</v>
      </c>
      <c r="AL24" s="870">
        <v>650.00000000211458</v>
      </c>
      <c r="AN24" s="372">
        <v>1456.600000003788</v>
      </c>
      <c r="AO24" s="372">
        <v>937.00000000281034</v>
      </c>
      <c r="AP24" s="372">
        <v>1248.600000003597</v>
      </c>
      <c r="AU24" s="427"/>
      <c r="AV24" s="410"/>
      <c r="AW24" s="620">
        <f>Calculation!BB27*3.068</f>
        <v>0</v>
      </c>
      <c r="AX24" s="618"/>
      <c r="AY24" s="618"/>
      <c r="AZ24" s="619"/>
      <c r="BB24" s="433"/>
      <c r="BC24" s="432"/>
      <c r="BD24" s="433"/>
      <c r="BE24" s="432"/>
      <c r="BF24" s="433"/>
      <c r="BG24" s="432"/>
      <c r="BH24" s="429"/>
    </row>
    <row r="25" spans="1:60" ht="13.8" thickBot="1" x14ac:dyDescent="0.3">
      <c r="A25" s="406">
        <v>42752</v>
      </c>
      <c r="B25" s="860">
        <f t="shared" si="13"/>
        <v>87.7149</v>
      </c>
      <c r="C25" s="860">
        <f>Calculation!AK28</f>
        <v>0</v>
      </c>
      <c r="D25" s="860">
        <f>Calculation!AI28</f>
        <v>0</v>
      </c>
      <c r="E25" s="860">
        <f>Calculation!AE28</f>
        <v>41.304899999999996</v>
      </c>
      <c r="F25" s="860">
        <f>Calculation!AF28</f>
        <v>46.41</v>
      </c>
      <c r="G25" s="860">
        <f>Calculation!AG28</f>
        <v>0</v>
      </c>
      <c r="H25" s="861">
        <f>Sheet1!H26</f>
        <v>2.29</v>
      </c>
      <c r="I25" s="841">
        <f>Sheet1!DA26</f>
        <v>1010</v>
      </c>
      <c r="J25" s="841">
        <f>Sheet1!DB26</f>
        <v>488</v>
      </c>
      <c r="K25" s="841">
        <f>Sheet1!CZ26</f>
        <v>542</v>
      </c>
      <c r="L25" s="865">
        <f>Calculation!F28</f>
        <v>250</v>
      </c>
      <c r="M25" s="865">
        <f>Calculation!E28</f>
        <v>250</v>
      </c>
      <c r="N25" s="865">
        <f>Calculation!D28</f>
        <v>300</v>
      </c>
      <c r="O25" s="888">
        <f>Sheet1!DC26</f>
        <v>1078.71</v>
      </c>
      <c r="P25" s="889" t="e">
        <f>Calculation!FD28</f>
        <v>#N/A</v>
      </c>
      <c r="Q25" s="895">
        <f>Calculation!DP28</f>
        <v>1050.2000000029195</v>
      </c>
      <c r="R25" s="888">
        <f t="shared" si="6"/>
        <v>431.20000000291952</v>
      </c>
      <c r="S25" s="890">
        <f t="shared" si="14"/>
        <v>62.899999999815918</v>
      </c>
      <c r="T25" s="895">
        <f ca="1">IF(A25&gt;$A$1,#N/A,VLOOKUP(A25,Calculation!$B$8:$JO$503,40,FALSE))</f>
        <v>0</v>
      </c>
      <c r="U25" s="890">
        <f t="shared" si="15"/>
        <v>0</v>
      </c>
      <c r="V25" s="890">
        <f>Calculation!AZ28</f>
        <v>0</v>
      </c>
      <c r="W25" s="895">
        <f t="shared" ca="1" si="12"/>
        <v>0</v>
      </c>
      <c r="X25" s="890">
        <v>0</v>
      </c>
      <c r="Y25" s="890">
        <f t="shared" ca="1" si="16"/>
        <v>0</v>
      </c>
      <c r="Z25" s="890">
        <f t="shared" ca="1" si="17"/>
        <v>0</v>
      </c>
      <c r="AA25" s="890">
        <f t="shared" ca="1" si="10"/>
        <v>0</v>
      </c>
      <c r="AB25" s="895">
        <f t="shared" ca="1" si="11"/>
        <v>1050.2000000029195</v>
      </c>
      <c r="AC25" s="980">
        <f t="shared" ca="1" si="8"/>
        <v>431.20000000291952</v>
      </c>
      <c r="AD25" s="860" t="e">
        <f ca="1">IF(A25&gt;$A$1,#N/A,VLOOKUP(A25,Calculation!$B$8:$JO$503,165,FALSE))</f>
        <v>#N/A</v>
      </c>
      <c r="AE25" s="399" t="e">
        <f t="shared" ca="1" si="18"/>
        <v>#N/A</v>
      </c>
      <c r="AF25" s="399"/>
      <c r="AG25" s="841">
        <f>Calculation!G28</f>
        <v>573.71961674221677</v>
      </c>
      <c r="AH25" s="847" t="str">
        <f t="shared" si="19"/>
        <v>Yes</v>
      </c>
      <c r="AI25" s="847" t="str">
        <f>IF(Calculation!K28&gt;0,"Yes","No")</f>
        <v>Yes</v>
      </c>
      <c r="AJ25" s="869">
        <v>37140.750000090891</v>
      </c>
      <c r="AK25" s="870">
        <v>886.40000000275575</v>
      </c>
      <c r="AL25" s="870">
        <v>648.00000000211458</v>
      </c>
      <c r="AN25" s="372">
        <v>1465.000000003788</v>
      </c>
      <c r="AO25" s="372">
        <v>1177.000000003281</v>
      </c>
      <c r="AP25" s="372">
        <v>1474.800000003788</v>
      </c>
      <c r="AU25" s="427"/>
      <c r="AV25" s="410"/>
      <c r="AW25" s="620">
        <f>Calculation!BB28*3.068</f>
        <v>0</v>
      </c>
      <c r="AX25" s="618"/>
      <c r="AY25" s="618"/>
      <c r="AZ25" s="619"/>
      <c r="BB25" s="433"/>
      <c r="BC25" s="432"/>
      <c r="BD25" s="433"/>
      <c r="BE25" s="432"/>
      <c r="BF25" s="433"/>
      <c r="BG25" s="432"/>
      <c r="BH25" s="429"/>
    </row>
    <row r="26" spans="1:60" ht="13.8" thickBot="1" x14ac:dyDescent="0.3">
      <c r="A26" s="406">
        <v>42753</v>
      </c>
      <c r="B26" s="860">
        <f t="shared" si="13"/>
        <v>87.560199999999995</v>
      </c>
      <c r="C26" s="860">
        <f>Calculation!AK29</f>
        <v>0</v>
      </c>
      <c r="D26" s="860">
        <f>Calculation!AI29</f>
        <v>0</v>
      </c>
      <c r="E26" s="860">
        <f>Calculation!AE29</f>
        <v>41.304899999999996</v>
      </c>
      <c r="F26" s="860">
        <f>Calculation!AF29</f>
        <v>46.255299999999998</v>
      </c>
      <c r="G26" s="860">
        <f>Calculation!AG29</f>
        <v>20.296639999998423</v>
      </c>
      <c r="H26" s="861">
        <f>Sheet1!H27</f>
        <v>15.78</v>
      </c>
      <c r="I26" s="841">
        <f>Sheet1!DA27</f>
        <v>2270</v>
      </c>
      <c r="J26" s="841">
        <f>Sheet1!DB27</f>
        <v>1120</v>
      </c>
      <c r="K26" s="841">
        <f>Sheet1!CZ27</f>
        <v>1210</v>
      </c>
      <c r="L26" s="865">
        <f>Calculation!F29</f>
        <v>250</v>
      </c>
      <c r="M26" s="865">
        <f>Calculation!E29</f>
        <v>250</v>
      </c>
      <c r="N26" s="865">
        <f>Calculation!D29</f>
        <v>300</v>
      </c>
      <c r="O26" s="888">
        <f>Sheet1!DC27</f>
        <v>1082.69</v>
      </c>
      <c r="P26" s="889" t="e">
        <f>Calculation!FD29</f>
        <v>#N/A</v>
      </c>
      <c r="Q26" s="895">
        <f>Calculation!DP29</f>
        <v>1594.500000004195</v>
      </c>
      <c r="R26" s="888">
        <f t="shared" si="6"/>
        <v>975.50000000419504</v>
      </c>
      <c r="S26" s="890">
        <f t="shared" si="14"/>
        <v>544.30000000127552</v>
      </c>
      <c r="T26" s="895">
        <f ca="1">IF(A26&gt;$A$1,#N/A,VLOOKUP(A26,Calculation!$B$8:$JO$503,40,FALSE))</f>
        <v>0</v>
      </c>
      <c r="U26" s="890">
        <f t="shared" si="15"/>
        <v>0</v>
      </c>
      <c r="V26" s="890">
        <f>Calculation!AZ29</f>
        <v>0</v>
      </c>
      <c r="W26" s="895">
        <f t="shared" ca="1" si="12"/>
        <v>0</v>
      </c>
      <c r="X26" s="890">
        <v>0</v>
      </c>
      <c r="Y26" s="890">
        <f t="shared" ca="1" si="16"/>
        <v>0</v>
      </c>
      <c r="Z26" s="890">
        <f t="shared" ca="1" si="17"/>
        <v>0</v>
      </c>
      <c r="AA26" s="890">
        <f t="shared" ca="1" si="10"/>
        <v>0</v>
      </c>
      <c r="AB26" s="895">
        <f t="shared" ca="1" si="11"/>
        <v>1594.500000004195</v>
      </c>
      <c r="AC26" s="980">
        <f t="shared" ca="1" si="8"/>
        <v>975.50000000419504</v>
      </c>
      <c r="AD26" s="860" t="e">
        <f ca="1">IF(A26&gt;$A$1,#N/A,VLOOKUP(A26,Calculation!$B$8:$JO$503,165,FALSE))</f>
        <v>#N/A</v>
      </c>
      <c r="AE26" s="399" t="e">
        <f t="shared" ca="1" si="18"/>
        <v>#N/A</v>
      </c>
      <c r="AF26" s="399"/>
      <c r="AG26" s="841">
        <f>Calculation!G29</f>
        <v>1484.4831064050809</v>
      </c>
      <c r="AH26" s="847" t="str">
        <f t="shared" si="19"/>
        <v>Yes</v>
      </c>
      <c r="AI26" s="847" t="str">
        <f>IF(Calculation!K29&gt;0,"Yes","No")</f>
        <v>Yes</v>
      </c>
      <c r="AJ26" s="869">
        <v>36616.070000088934</v>
      </c>
      <c r="AK26" s="870">
        <v>884.00000000275577</v>
      </c>
      <c r="AL26" s="870">
        <v>775.20000000245113</v>
      </c>
      <c r="AN26" s="372">
        <v>1523.0000000038517</v>
      </c>
      <c r="AO26" s="372">
        <v>2484.0000000058935</v>
      </c>
      <c r="AP26" s="372">
        <v>1469.2000000037881</v>
      </c>
      <c r="AU26" s="427"/>
      <c r="AV26" s="410"/>
      <c r="AW26" s="620">
        <f>Calculation!BB29*3.068</f>
        <v>0</v>
      </c>
      <c r="AX26" s="618"/>
      <c r="AY26" s="618"/>
      <c r="AZ26" s="619"/>
      <c r="BB26" s="433"/>
      <c r="BC26" s="432"/>
      <c r="BD26" s="433"/>
      <c r="BE26" s="432"/>
      <c r="BF26" s="433"/>
      <c r="BG26" s="432"/>
      <c r="BH26" s="429"/>
    </row>
    <row r="27" spans="1:60" ht="13.8" thickBot="1" x14ac:dyDescent="0.3">
      <c r="A27" s="406">
        <v>42754</v>
      </c>
      <c r="B27" s="860">
        <f t="shared" si="13"/>
        <v>87.529259999999994</v>
      </c>
      <c r="C27" s="860">
        <f>Calculation!AK30</f>
        <v>0</v>
      </c>
      <c r="D27" s="860">
        <f>Calculation!AI30</f>
        <v>0</v>
      </c>
      <c r="E27" s="860">
        <f>Calculation!AE30</f>
        <v>41.119259999999997</v>
      </c>
      <c r="F27" s="860">
        <f>Calculation!AF30</f>
        <v>46.41</v>
      </c>
      <c r="G27" s="860">
        <f>Calculation!AG30</f>
        <v>3.2022899999995498</v>
      </c>
      <c r="H27" s="861">
        <f>Sheet1!H28</f>
        <v>6.14</v>
      </c>
      <c r="I27" s="841">
        <f>Sheet1!DA28</f>
        <v>1870</v>
      </c>
      <c r="J27" s="841">
        <f>Sheet1!DB28</f>
        <v>955</v>
      </c>
      <c r="K27" s="841">
        <f>Sheet1!CZ28</f>
        <v>1060</v>
      </c>
      <c r="L27" s="865">
        <f>Calculation!F30</f>
        <v>250</v>
      </c>
      <c r="M27" s="865">
        <f>Calculation!E30</f>
        <v>250</v>
      </c>
      <c r="N27" s="865">
        <f>Calculation!D30</f>
        <v>300</v>
      </c>
      <c r="O27" s="888">
        <f>Sheet1!DC28</f>
        <v>1080.08</v>
      </c>
      <c r="P27" s="889" t="e">
        <f>Calculation!FD30</f>
        <v>#N/A</v>
      </c>
      <c r="Q27" s="895">
        <f>Calculation!DP30</f>
        <v>1227.2000000035653</v>
      </c>
      <c r="R27" s="888">
        <f t="shared" si="6"/>
        <v>608.20000000356526</v>
      </c>
      <c r="S27" s="890">
        <f t="shared" si="14"/>
        <v>-367.30000000062978</v>
      </c>
      <c r="T27" s="895">
        <f ca="1">IF(A27&gt;$A$1,#N/A,VLOOKUP(A27,Calculation!$B$8:$JO$503,40,FALSE))</f>
        <v>0</v>
      </c>
      <c r="U27" s="890">
        <f t="shared" si="15"/>
        <v>0</v>
      </c>
      <c r="V27" s="890">
        <f>Calculation!AZ30</f>
        <v>0</v>
      </c>
      <c r="W27" s="895">
        <f t="shared" ca="1" si="12"/>
        <v>0</v>
      </c>
      <c r="X27" s="890">
        <v>0</v>
      </c>
      <c r="Y27" s="890">
        <f t="shared" ca="1" si="16"/>
        <v>0</v>
      </c>
      <c r="Z27" s="890">
        <f t="shared" ca="1" si="17"/>
        <v>0</v>
      </c>
      <c r="AA27" s="890">
        <f t="shared" ca="1" si="10"/>
        <v>0</v>
      </c>
      <c r="AB27" s="895">
        <f t="shared" ca="1" si="11"/>
        <v>1227.2000000035653</v>
      </c>
      <c r="AC27" s="980">
        <f t="shared" ca="1" si="8"/>
        <v>608.20000000356526</v>
      </c>
      <c r="AD27" s="860" t="e">
        <f ca="1">IF(A27&gt;$A$1,#N/A,VLOOKUP(A27,Calculation!$B$8:$JO$503,165,FALSE))</f>
        <v>#N/A</v>
      </c>
      <c r="AE27" s="399" t="e">
        <f t="shared" ca="1" si="18"/>
        <v>#N/A</v>
      </c>
      <c r="AF27" s="399"/>
      <c r="AG27" s="841">
        <f>Calculation!G30</f>
        <v>874.77559253624327</v>
      </c>
      <c r="AH27" s="847" t="str">
        <f t="shared" si="19"/>
        <v>Yes</v>
      </c>
      <c r="AI27" s="847" t="str">
        <f>IF(Calculation!K30&gt;0,"Yes","No")</f>
        <v>Yes</v>
      </c>
      <c r="AJ27" s="869">
        <v>29442.000000073953</v>
      </c>
      <c r="AK27" s="870">
        <v>916.40000000278303</v>
      </c>
      <c r="AL27" s="870">
        <v>953.80000000283758</v>
      </c>
      <c r="AN27" s="372">
        <v>1271.0000000033697</v>
      </c>
      <c r="AO27" s="372">
        <v>3259.0000000080036</v>
      </c>
      <c r="AP27" s="372">
        <v>1240.4000000033402</v>
      </c>
      <c r="AU27" s="427"/>
      <c r="AV27" s="410"/>
      <c r="AW27" s="620">
        <f>Calculation!BB30*3.068</f>
        <v>0</v>
      </c>
      <c r="AX27" s="618"/>
      <c r="AY27" s="618"/>
      <c r="AZ27" s="619"/>
      <c r="BB27" s="433"/>
      <c r="BC27" s="432"/>
      <c r="BD27" s="433"/>
      <c r="BE27" s="432"/>
      <c r="BF27" s="433"/>
      <c r="BG27" s="432"/>
      <c r="BH27" s="429"/>
    </row>
    <row r="28" spans="1:60" ht="13.8" thickBot="1" x14ac:dyDescent="0.3">
      <c r="A28" s="406">
        <v>42755</v>
      </c>
      <c r="B28" s="860">
        <f t="shared" si="13"/>
        <v>87.591139999999996</v>
      </c>
      <c r="C28" s="860">
        <f>Calculation!AK31</f>
        <v>0</v>
      </c>
      <c r="D28" s="860">
        <f>Calculation!AI31</f>
        <v>0</v>
      </c>
      <c r="E28" s="860">
        <f>Calculation!AE31</f>
        <v>41.181139999999999</v>
      </c>
      <c r="F28" s="860">
        <f>Calculation!AF31</f>
        <v>46.41</v>
      </c>
      <c r="G28" s="860">
        <f>Calculation!AG31</f>
        <v>1.5470000003151654E-2</v>
      </c>
      <c r="H28" s="861">
        <f>Sheet1!H29</f>
        <v>2.79</v>
      </c>
      <c r="I28" s="841">
        <f>Sheet1!DA29</f>
        <v>1380</v>
      </c>
      <c r="J28" s="841">
        <f>Sheet1!DB29</f>
        <v>586</v>
      </c>
      <c r="K28" s="841">
        <f>Sheet1!CZ29</f>
        <v>665</v>
      </c>
      <c r="L28" s="865">
        <f>Calculation!F31</f>
        <v>250</v>
      </c>
      <c r="M28" s="865">
        <f>Calculation!E31</f>
        <v>250</v>
      </c>
      <c r="N28" s="865">
        <f>Calculation!D31</f>
        <v>300</v>
      </c>
      <c r="O28" s="888">
        <f>Sheet1!DC29</f>
        <v>1080.06</v>
      </c>
      <c r="P28" s="889" t="e">
        <f>Calculation!FD31</f>
        <v>#N/A</v>
      </c>
      <c r="Q28" s="895">
        <f>Calculation!DP31</f>
        <v>1224.4000000035653</v>
      </c>
      <c r="R28" s="888">
        <f t="shared" si="6"/>
        <v>605.40000000356531</v>
      </c>
      <c r="S28" s="890">
        <f t="shared" si="14"/>
        <v>-2.7999999999999545</v>
      </c>
      <c r="T28" s="895">
        <f ca="1">IF(A28&gt;$A$1,#N/A,VLOOKUP(A28,Calculation!$B$8:$JO$503,40,FALSE))</f>
        <v>0</v>
      </c>
      <c r="U28" s="890">
        <f t="shared" si="15"/>
        <v>0</v>
      </c>
      <c r="V28" s="890">
        <f>Calculation!AZ31</f>
        <v>0</v>
      </c>
      <c r="W28" s="895">
        <f t="shared" ca="1" si="12"/>
        <v>0</v>
      </c>
      <c r="X28" s="890">
        <v>0</v>
      </c>
      <c r="Y28" s="890">
        <f t="shared" ca="1" si="16"/>
        <v>0</v>
      </c>
      <c r="Z28" s="890">
        <f t="shared" ca="1" si="17"/>
        <v>0</v>
      </c>
      <c r="AA28" s="890">
        <f t="shared" ca="1" si="10"/>
        <v>0</v>
      </c>
      <c r="AB28" s="895">
        <f t="shared" ca="1" si="11"/>
        <v>1224.4000000035653</v>
      </c>
      <c r="AC28" s="980">
        <f t="shared" ca="1" si="8"/>
        <v>605.40000000356531</v>
      </c>
      <c r="AD28" s="860" t="e">
        <f ca="1">IF(A28&gt;$A$1,#N/A,VLOOKUP(A28,Calculation!$B$8:$JO$503,165,FALSE))</f>
        <v>#N/A</v>
      </c>
      <c r="AE28" s="399" t="e">
        <f t="shared" ca="1" si="18"/>
        <v>#N/A</v>
      </c>
      <c r="AF28" s="399"/>
      <c r="AG28" s="841">
        <f>Calculation!G31</f>
        <v>663.58799798285429</v>
      </c>
      <c r="AH28" s="847" t="str">
        <f t="shared" si="19"/>
        <v>Yes</v>
      </c>
      <c r="AI28" s="847" t="str">
        <f>IF(Calculation!K31&gt;0,"Yes","No")</f>
        <v>Yes</v>
      </c>
      <c r="AJ28" s="869">
        <v>21903.550000051877</v>
      </c>
      <c r="AK28" s="870">
        <v>926.00000000257614</v>
      </c>
      <c r="AL28" s="870">
        <v>1158.8000000032514</v>
      </c>
      <c r="AN28" s="372">
        <v>828.90000000250109</v>
      </c>
      <c r="AO28" s="372">
        <v>3287.3000000076877</v>
      </c>
      <c r="AP28" s="372">
        <v>1187.4000000032811</v>
      </c>
      <c r="AU28" s="427"/>
      <c r="AV28" s="410"/>
      <c r="AW28" s="620">
        <f>Calculation!BB31*3.068</f>
        <v>0</v>
      </c>
      <c r="AX28" s="618"/>
      <c r="AY28" s="618"/>
      <c r="AZ28" s="619"/>
      <c r="BB28" s="433"/>
      <c r="BC28" s="432"/>
      <c r="BD28" s="433"/>
      <c r="BE28" s="432"/>
      <c r="BF28" s="433"/>
      <c r="BG28" s="432"/>
      <c r="BH28" s="429"/>
    </row>
    <row r="29" spans="1:60" ht="13.8" thickBot="1" x14ac:dyDescent="0.3">
      <c r="A29" s="406">
        <v>42756</v>
      </c>
      <c r="B29" s="860">
        <f t="shared" si="13"/>
        <v>80.134599999999992</v>
      </c>
      <c r="C29" s="860">
        <f>Calculation!AK32</f>
        <v>0</v>
      </c>
      <c r="D29" s="860">
        <f>Calculation!AI32</f>
        <v>0</v>
      </c>
      <c r="E29" s="860">
        <f>Calculation!AE32</f>
        <v>41.150199999999998</v>
      </c>
      <c r="F29" s="860">
        <f>Calculation!AF32</f>
        <v>38.984399999999994</v>
      </c>
      <c r="G29" s="860">
        <f>Calculation!AG32</f>
        <v>0</v>
      </c>
      <c r="H29" s="861">
        <f>Sheet1!H30</f>
        <v>1.74</v>
      </c>
      <c r="I29" s="841">
        <f>Sheet1!DA30</f>
        <v>1220</v>
      </c>
      <c r="J29" s="841">
        <f>Sheet1!DB30</f>
        <v>605</v>
      </c>
      <c r="K29" s="841">
        <f>Sheet1!CZ30</f>
        <v>674</v>
      </c>
      <c r="L29" s="865">
        <f>Calculation!F32</f>
        <v>250</v>
      </c>
      <c r="M29" s="865">
        <f>Calculation!E32</f>
        <v>250</v>
      </c>
      <c r="N29" s="865">
        <f>Calculation!D32</f>
        <v>300</v>
      </c>
      <c r="O29" s="888">
        <f>Sheet1!DC30</f>
        <v>1080.67</v>
      </c>
      <c r="P29" s="889" t="e">
        <f>Calculation!FD32</f>
        <v>#N/A</v>
      </c>
      <c r="Q29" s="895">
        <f>Calculation!DP32</f>
        <v>1307.1000000033991</v>
      </c>
      <c r="R29" s="888">
        <f t="shared" si="6"/>
        <v>688.10000000339915</v>
      </c>
      <c r="S29" s="890">
        <f t="shared" si="14"/>
        <v>82.699999999833835</v>
      </c>
      <c r="T29" s="895">
        <f ca="1">IF(A29&gt;$A$1,#N/A,VLOOKUP(A29,Calculation!$B$8:$JO$503,40,FALSE))</f>
        <v>0</v>
      </c>
      <c r="U29" s="890">
        <f t="shared" si="15"/>
        <v>0</v>
      </c>
      <c r="V29" s="890">
        <f>Calculation!AZ32</f>
        <v>0</v>
      </c>
      <c r="W29" s="895">
        <f t="shared" ca="1" si="12"/>
        <v>0</v>
      </c>
      <c r="X29" s="890">
        <v>0</v>
      </c>
      <c r="Y29" s="890">
        <f t="shared" ca="1" si="16"/>
        <v>0</v>
      </c>
      <c r="Z29" s="890">
        <f t="shared" ca="1" si="17"/>
        <v>0</v>
      </c>
      <c r="AA29" s="890">
        <f t="shared" ca="1" si="10"/>
        <v>0</v>
      </c>
      <c r="AB29" s="895">
        <f t="shared" ca="1" si="11"/>
        <v>1307.1000000033991</v>
      </c>
      <c r="AC29" s="980">
        <f t="shared" ca="1" si="8"/>
        <v>688.10000000339915</v>
      </c>
      <c r="AD29" s="860" t="e">
        <f ca="1">IF(A29&gt;$A$1,#N/A,VLOOKUP(A29,Calculation!$B$8:$JO$503,165,FALSE))</f>
        <v>#N/A</v>
      </c>
      <c r="AE29" s="399" t="e">
        <f t="shared" ca="1" si="18"/>
        <v>#N/A</v>
      </c>
      <c r="AF29" s="399"/>
      <c r="AG29" s="841">
        <f>Calculation!G32</f>
        <v>715.70448814918495</v>
      </c>
      <c r="AH29" s="847" t="str">
        <f t="shared" si="19"/>
        <v>Yes</v>
      </c>
      <c r="AI29" s="847" t="str">
        <f>IF(Calculation!K32&gt;0,"Yes","No")</f>
        <v>Yes</v>
      </c>
      <c r="AJ29" s="869">
        <v>18081.680000039301</v>
      </c>
      <c r="AK29" s="870">
        <v>1001.4000000028649</v>
      </c>
      <c r="AL29" s="870">
        <v>1460.800000003788</v>
      </c>
      <c r="AN29" s="372">
        <v>662.00000000235104</v>
      </c>
      <c r="AO29" s="372">
        <v>2217.3000000053344</v>
      </c>
      <c r="AP29" s="372">
        <v>2727.1000000064801</v>
      </c>
      <c r="AU29" s="427"/>
      <c r="AV29" s="410"/>
      <c r="AW29" s="620">
        <f>Calculation!BB32*3.068</f>
        <v>0</v>
      </c>
      <c r="AX29" s="618"/>
      <c r="AY29" s="618"/>
      <c r="AZ29" s="619"/>
      <c r="BB29" s="433"/>
      <c r="BC29" s="432"/>
      <c r="BD29" s="433"/>
      <c r="BE29" s="432"/>
      <c r="BF29" s="433"/>
      <c r="BG29" s="432"/>
      <c r="BH29" s="429"/>
    </row>
    <row r="30" spans="1:60" ht="13.8" thickBot="1" x14ac:dyDescent="0.3">
      <c r="A30" s="406">
        <v>42757</v>
      </c>
      <c r="B30" s="860">
        <f t="shared" si="13"/>
        <v>68.238169999999997</v>
      </c>
      <c r="C30" s="860">
        <f>Calculation!AK33</f>
        <v>0</v>
      </c>
      <c r="D30" s="860">
        <f>Calculation!AI33</f>
        <v>0</v>
      </c>
      <c r="E30" s="860">
        <f>Calculation!AE33</f>
        <v>38.984399999999994</v>
      </c>
      <c r="F30" s="860">
        <f>Calculation!AF33</f>
        <v>29.253769999999999</v>
      </c>
      <c r="G30" s="860">
        <f>Calculation!AG33</f>
        <v>0</v>
      </c>
      <c r="H30" s="861">
        <f>Sheet1!H31</f>
        <v>2.04</v>
      </c>
      <c r="I30" s="841">
        <f>Sheet1!DA31</f>
        <v>1210</v>
      </c>
      <c r="J30" s="841">
        <f>Sheet1!DB31</f>
        <v>616</v>
      </c>
      <c r="K30" s="841">
        <f>Sheet1!CZ31</f>
        <v>674</v>
      </c>
      <c r="L30" s="865">
        <f>Calculation!F33</f>
        <v>250</v>
      </c>
      <c r="M30" s="865">
        <f>Calculation!E33</f>
        <v>250</v>
      </c>
      <c r="N30" s="865">
        <f>Calculation!D33</f>
        <v>300</v>
      </c>
      <c r="O30" s="888">
        <f>Sheet1!DC31</f>
        <v>1080.8399999999999</v>
      </c>
      <c r="P30" s="889" t="e">
        <f>Calculation!FD33</f>
        <v>#N/A</v>
      </c>
      <c r="Q30" s="895">
        <f>Calculation!DP33</f>
        <v>1330.6000000036606</v>
      </c>
      <c r="R30" s="888">
        <f t="shared" si="6"/>
        <v>711.60000000366063</v>
      </c>
      <c r="S30" s="890">
        <f t="shared" si="14"/>
        <v>23.50000000026148</v>
      </c>
      <c r="T30" s="895">
        <f ca="1">IF(A30&gt;$A$1,#N/A,VLOOKUP(A30,Calculation!$B$8:$JO$503,40,FALSE))</f>
        <v>0</v>
      </c>
      <c r="U30" s="890">
        <f t="shared" si="15"/>
        <v>0</v>
      </c>
      <c r="V30" s="890">
        <f>Calculation!AZ33</f>
        <v>0</v>
      </c>
      <c r="W30" s="895">
        <f t="shared" ca="1" si="12"/>
        <v>0</v>
      </c>
      <c r="X30" s="890">
        <v>0</v>
      </c>
      <c r="Y30" s="890">
        <f t="shared" ca="1" si="16"/>
        <v>0</v>
      </c>
      <c r="Z30" s="890">
        <f t="shared" ca="1" si="17"/>
        <v>0</v>
      </c>
      <c r="AA30" s="890">
        <f t="shared" ca="1" si="10"/>
        <v>0</v>
      </c>
      <c r="AB30" s="895">
        <f t="shared" ca="1" si="11"/>
        <v>1330.6000000036606</v>
      </c>
      <c r="AC30" s="980">
        <f t="shared" ca="1" si="8"/>
        <v>711.60000000366063</v>
      </c>
      <c r="AD30" s="860" t="e">
        <f ca="1">IF(A30&gt;$A$1,#N/A,VLOOKUP(A30,Calculation!$B$8:$JO$503,165,FALSE))</f>
        <v>#N/A</v>
      </c>
      <c r="AE30" s="399" t="e">
        <f t="shared" ca="1" si="18"/>
        <v>#N/A</v>
      </c>
      <c r="AF30" s="399"/>
      <c r="AG30" s="841">
        <f>Calculation!G33</f>
        <v>685.85073121546213</v>
      </c>
      <c r="AH30" s="847" t="str">
        <f t="shared" si="19"/>
        <v>Yes</v>
      </c>
      <c r="AI30" s="847" t="str">
        <f>IF(Calculation!K33&gt;0,"Yes","No")</f>
        <v>Yes</v>
      </c>
      <c r="AJ30" s="869">
        <v>15688.640000033691</v>
      </c>
      <c r="AK30" s="870">
        <v>880.40000000275575</v>
      </c>
      <c r="AL30" s="870">
        <v>1407.5000000040245</v>
      </c>
      <c r="AN30" s="372">
        <v>673.00000000235104</v>
      </c>
      <c r="AO30" s="372">
        <v>1235.2000000033402</v>
      </c>
      <c r="AP30" s="372">
        <v>2773.7000000065232</v>
      </c>
      <c r="AU30" s="427"/>
      <c r="AV30" s="410"/>
      <c r="AW30" s="620">
        <f>Calculation!BB33*3.068</f>
        <v>0</v>
      </c>
      <c r="AX30" s="618"/>
      <c r="AY30" s="618"/>
      <c r="AZ30" s="619"/>
      <c r="BB30" s="433"/>
      <c r="BC30" s="432"/>
      <c r="BD30" s="433"/>
      <c r="BE30" s="432"/>
      <c r="BF30" s="433"/>
      <c r="BG30" s="432"/>
      <c r="BH30" s="429"/>
    </row>
    <row r="31" spans="1:60" ht="13.8" thickBot="1" x14ac:dyDescent="0.3">
      <c r="A31" s="406">
        <v>42758</v>
      </c>
      <c r="B31" s="860">
        <f t="shared" si="13"/>
        <v>64.215969999999999</v>
      </c>
      <c r="C31" s="860">
        <f>Calculation!AK34</f>
        <v>0</v>
      </c>
      <c r="D31" s="860">
        <f>Calculation!AI34</f>
        <v>0</v>
      </c>
      <c r="E31" s="860">
        <f>Calculation!AE34</f>
        <v>37.901499999999999</v>
      </c>
      <c r="F31" s="860">
        <f>Calculation!AF34</f>
        <v>26.31447</v>
      </c>
      <c r="G31" s="860">
        <f>Calculation!AG34</f>
        <v>0</v>
      </c>
      <c r="H31" s="861">
        <f>Sheet1!H32</f>
        <v>1.6</v>
      </c>
      <c r="I31" s="841">
        <f>Sheet1!DA32</f>
        <v>1160</v>
      </c>
      <c r="J31" s="841">
        <f>Sheet1!DB32</f>
        <v>605</v>
      </c>
      <c r="K31" s="841">
        <f>Sheet1!CZ32</f>
        <v>670</v>
      </c>
      <c r="L31" s="865">
        <f>Calculation!F34</f>
        <v>250</v>
      </c>
      <c r="M31" s="865">
        <f>Calculation!E34</f>
        <v>250</v>
      </c>
      <c r="N31" s="865">
        <f>Calculation!D34</f>
        <v>300</v>
      </c>
      <c r="O31" s="888">
        <f>Sheet1!DC32</f>
        <v>1080.27</v>
      </c>
      <c r="P31" s="889" t="e">
        <f>Calculation!FD34</f>
        <v>#N/A</v>
      </c>
      <c r="Q31" s="895">
        <f>Calculation!DP34</f>
        <v>1252.800000003597</v>
      </c>
      <c r="R31" s="888">
        <f t="shared" si="6"/>
        <v>633.80000000359701</v>
      </c>
      <c r="S31" s="890">
        <f t="shared" si="14"/>
        <v>-77.800000000063619</v>
      </c>
      <c r="T31" s="895">
        <f ca="1">IF(A31&gt;$A$1,#N/A,VLOOKUP(A31,Calculation!$B$8:$JO$503,40,FALSE))</f>
        <v>0</v>
      </c>
      <c r="U31" s="890">
        <f t="shared" si="15"/>
        <v>0</v>
      </c>
      <c r="V31" s="890">
        <f>Calculation!AZ34</f>
        <v>0</v>
      </c>
      <c r="W31" s="895">
        <f t="shared" ca="1" si="12"/>
        <v>0</v>
      </c>
      <c r="X31" s="890">
        <v>0</v>
      </c>
      <c r="Y31" s="890">
        <f t="shared" ca="1" si="16"/>
        <v>0</v>
      </c>
      <c r="Z31" s="890">
        <f t="shared" ca="1" si="17"/>
        <v>0</v>
      </c>
      <c r="AA31" s="890">
        <f t="shared" ca="1" si="10"/>
        <v>0</v>
      </c>
      <c r="AB31" s="895">
        <f t="shared" ca="1" si="11"/>
        <v>1252.800000003597</v>
      </c>
      <c r="AC31" s="980">
        <f t="shared" ca="1" si="8"/>
        <v>633.80000000359701</v>
      </c>
      <c r="AD31" s="860" t="e">
        <f ca="1">IF(A31&gt;$A$1,#N/A,VLOOKUP(A31,Calculation!$B$8:$JO$503,165,FALSE))</f>
        <v>#N/A</v>
      </c>
      <c r="AE31" s="399" t="e">
        <f t="shared" ca="1" si="18"/>
        <v>#N/A</v>
      </c>
      <c r="AF31" s="399"/>
      <c r="AG31" s="841">
        <f>Calculation!G34</f>
        <v>630.76651538070416</v>
      </c>
      <c r="AH31" s="847" t="str">
        <f t="shared" si="19"/>
        <v>Yes</v>
      </c>
      <c r="AI31" s="847" t="str">
        <f>IF(Calculation!K34&gt;0,"Yes","No")</f>
        <v>Yes</v>
      </c>
      <c r="AJ31" s="869">
        <v>11184.570000022492</v>
      </c>
      <c r="AK31" s="870">
        <v>768.6000000024261</v>
      </c>
      <c r="AL31" s="870">
        <v>1045.1000000031627</v>
      </c>
      <c r="AN31" s="372">
        <v>727.00000000261934</v>
      </c>
      <c r="AO31" s="372">
        <v>1257.0000000035971</v>
      </c>
      <c r="AP31" s="372">
        <v>2591.4000000060164</v>
      </c>
      <c r="AU31" s="427"/>
      <c r="AV31" s="410"/>
      <c r="AW31" s="620">
        <f>Calculation!BB34*3.068</f>
        <v>0</v>
      </c>
      <c r="AX31" s="618"/>
      <c r="AY31" s="618"/>
      <c r="AZ31" s="619"/>
      <c r="BB31" s="433"/>
      <c r="BC31" s="432"/>
      <c r="BD31" s="433"/>
      <c r="BE31" s="432"/>
      <c r="BF31" s="433"/>
      <c r="BG31" s="432"/>
      <c r="BH31" s="429"/>
    </row>
    <row r="32" spans="1:60" ht="13.8" thickBot="1" x14ac:dyDescent="0.3">
      <c r="A32" s="406">
        <v>42759</v>
      </c>
      <c r="B32" s="860">
        <f t="shared" si="13"/>
        <v>64.231439999999992</v>
      </c>
      <c r="C32" s="860">
        <f>Calculation!AK35</f>
        <v>0</v>
      </c>
      <c r="D32" s="860">
        <f>Calculation!AI35</f>
        <v>0</v>
      </c>
      <c r="E32" s="860">
        <f>Calculation!AE35</f>
        <v>37.901499999999999</v>
      </c>
      <c r="F32" s="860">
        <f>Calculation!AF35</f>
        <v>26.329939999999997</v>
      </c>
      <c r="G32" s="860">
        <f>Calculation!AG35</f>
        <v>0</v>
      </c>
      <c r="H32" s="861">
        <f>Sheet1!H33</f>
        <v>1.22</v>
      </c>
      <c r="I32" s="841">
        <f>Sheet1!DA33</f>
        <v>1069</v>
      </c>
      <c r="J32" s="841">
        <f>Sheet1!DB33</f>
        <v>543</v>
      </c>
      <c r="K32" s="841">
        <f>Sheet1!CZ33</f>
        <v>608</v>
      </c>
      <c r="L32" s="865">
        <f>Calculation!F35</f>
        <v>250</v>
      </c>
      <c r="M32" s="865">
        <f>Calculation!E35</f>
        <v>250</v>
      </c>
      <c r="N32" s="865">
        <f>Calculation!D35</f>
        <v>300</v>
      </c>
      <c r="O32" s="888">
        <f>Sheet1!DC33</f>
        <v>1079.54</v>
      </c>
      <c r="P32" s="889" t="e">
        <f>Calculation!FD35</f>
        <v>#N/A</v>
      </c>
      <c r="Q32" s="895">
        <f>Calculation!DP35</f>
        <v>1156.2000000032515</v>
      </c>
      <c r="R32" s="888">
        <f t="shared" si="6"/>
        <v>537.20000000325149</v>
      </c>
      <c r="S32" s="890">
        <f t="shared" si="14"/>
        <v>-96.600000000345517</v>
      </c>
      <c r="T32" s="895">
        <f ca="1">IF(A32&gt;$A$1,#N/A,VLOOKUP(A32,Calculation!$B$8:$JO$503,40,FALSE))</f>
        <v>0</v>
      </c>
      <c r="U32" s="890">
        <f t="shared" si="15"/>
        <v>0</v>
      </c>
      <c r="V32" s="890">
        <f>Calculation!AZ35</f>
        <v>0</v>
      </c>
      <c r="W32" s="895">
        <f t="shared" ca="1" si="12"/>
        <v>0</v>
      </c>
      <c r="X32" s="890">
        <v>0</v>
      </c>
      <c r="Y32" s="890">
        <f t="shared" ca="1" si="16"/>
        <v>0</v>
      </c>
      <c r="Z32" s="890">
        <f t="shared" ca="1" si="17"/>
        <v>0</v>
      </c>
      <c r="AA32" s="890">
        <f t="shared" ca="1" si="10"/>
        <v>0</v>
      </c>
      <c r="AB32" s="895">
        <f t="shared" ca="1" si="11"/>
        <v>1156.2000000032515</v>
      </c>
      <c r="AC32" s="980">
        <f t="shared" ca="1" si="8"/>
        <v>537.20000000325149</v>
      </c>
      <c r="AD32" s="860" t="e">
        <f ca="1">IF(A32&gt;$A$1,#N/A,VLOOKUP(A32,Calculation!$B$8:$JO$503,165,FALSE))</f>
        <v>#N/A</v>
      </c>
      <c r="AE32" s="399" t="e">
        <f t="shared" ca="1" si="18"/>
        <v>#N/A</v>
      </c>
      <c r="AF32" s="399"/>
      <c r="AG32" s="841">
        <f>Calculation!G35</f>
        <v>559.28593040829776</v>
      </c>
      <c r="AH32" s="847" t="str">
        <f t="shared" si="19"/>
        <v>Yes</v>
      </c>
      <c r="AI32" s="847" t="str">
        <f>IF(Calculation!K35&gt;0,"Yes","No")</f>
        <v>Yes</v>
      </c>
      <c r="AJ32" s="869">
        <v>6934.2500000125683</v>
      </c>
      <c r="AK32" s="870">
        <v>972.70000000307414</v>
      </c>
      <c r="AL32" s="870">
        <v>857.60000000275579</v>
      </c>
      <c r="AN32" s="372">
        <v>842.00000000272848</v>
      </c>
      <c r="AO32" s="372">
        <v>2748.0000000068212</v>
      </c>
      <c r="AP32" s="372">
        <v>2285.3000000054117</v>
      </c>
      <c r="AU32" s="427"/>
      <c r="AV32" s="410"/>
      <c r="AW32" s="620">
        <f>Calculation!BB35*3.068</f>
        <v>0</v>
      </c>
      <c r="AX32" s="618"/>
      <c r="AY32" s="618"/>
      <c r="AZ32" s="619"/>
      <c r="BB32" s="433"/>
      <c r="BC32" s="432"/>
      <c r="BD32" s="433"/>
      <c r="BE32" s="432"/>
      <c r="BF32" s="433"/>
      <c r="BG32" s="432"/>
      <c r="BH32" s="429"/>
    </row>
    <row r="33" spans="1:60" ht="13.8" thickBot="1" x14ac:dyDescent="0.3">
      <c r="A33" s="406">
        <v>42760</v>
      </c>
      <c r="B33" s="860">
        <f t="shared" si="13"/>
        <v>64.076739999999987</v>
      </c>
      <c r="C33" s="860">
        <f>Calculation!AK36</f>
        <v>0</v>
      </c>
      <c r="D33" s="860">
        <f>Calculation!AI36</f>
        <v>0</v>
      </c>
      <c r="E33" s="860">
        <f>Calculation!AE36</f>
        <v>37.746799999999993</v>
      </c>
      <c r="F33" s="860">
        <f>Calculation!AF36</f>
        <v>26.329939999999997</v>
      </c>
      <c r="G33" s="860">
        <f>Calculation!AG36</f>
        <v>0</v>
      </c>
      <c r="H33" s="861">
        <f>Sheet1!H34</f>
        <v>1.34</v>
      </c>
      <c r="I33" s="841">
        <f>Sheet1!DA34</f>
        <v>1010</v>
      </c>
      <c r="J33" s="841">
        <f>Sheet1!DB34</f>
        <v>511</v>
      </c>
      <c r="K33" s="841">
        <f>Sheet1!CZ34</f>
        <v>573</v>
      </c>
      <c r="L33" s="865">
        <f>Calculation!F36</f>
        <v>250</v>
      </c>
      <c r="M33" s="865">
        <f>Calculation!E36</f>
        <v>250</v>
      </c>
      <c r="N33" s="865">
        <f>Calculation!D36</f>
        <v>300</v>
      </c>
      <c r="O33" s="888">
        <f>Sheet1!DC34</f>
        <v>1079.2</v>
      </c>
      <c r="P33" s="889" t="e">
        <f>Calculation!FD36</f>
        <v>#N/A</v>
      </c>
      <c r="Q33" s="895">
        <f>Calculation!DP36</f>
        <v>1112.0000000032219</v>
      </c>
      <c r="R33" s="888">
        <f t="shared" si="6"/>
        <v>493.00000000322188</v>
      </c>
      <c r="S33" s="890">
        <f t="shared" si="14"/>
        <v>-44.200000000029604</v>
      </c>
      <c r="T33" s="895">
        <f ca="1">IF(A33&gt;$A$1,#N/A,VLOOKUP(A33,Calculation!$B$8:$JO$503,40,FALSE))</f>
        <v>0</v>
      </c>
      <c r="U33" s="890">
        <f t="shared" si="15"/>
        <v>0</v>
      </c>
      <c r="V33" s="890">
        <f>Calculation!AZ36</f>
        <v>0</v>
      </c>
      <c r="W33" s="895">
        <f t="shared" ca="1" si="12"/>
        <v>0</v>
      </c>
      <c r="X33" s="890">
        <v>0</v>
      </c>
      <c r="Y33" s="890">
        <f t="shared" ca="1" si="16"/>
        <v>0</v>
      </c>
      <c r="Z33" s="890">
        <f t="shared" ca="1" si="17"/>
        <v>0</v>
      </c>
      <c r="AA33" s="890">
        <f t="shared" ca="1" si="10"/>
        <v>0</v>
      </c>
      <c r="AB33" s="895">
        <f t="shared" ca="1" si="11"/>
        <v>1112.0000000032219</v>
      </c>
      <c r="AC33" s="980">
        <f t="shared" ca="1" si="8"/>
        <v>493.00000000322188</v>
      </c>
      <c r="AD33" s="860" t="e">
        <f ca="1">IF(A33&gt;$A$1,#N/A,VLOOKUP(A33,Calculation!$B$8:$JO$503,165,FALSE))</f>
        <v>#N/A</v>
      </c>
      <c r="AE33" s="399" t="e">
        <f t="shared" ca="1" si="18"/>
        <v>#N/A</v>
      </c>
      <c r="AF33" s="399"/>
      <c r="AG33" s="841">
        <f>Calculation!G36</f>
        <v>550.71053958647019</v>
      </c>
      <c r="AH33" s="847" t="str">
        <f t="shared" si="19"/>
        <v>Yes</v>
      </c>
      <c r="AI33" s="847" t="str">
        <f>IF(Calculation!K36&gt;0,"Yes","No")</f>
        <v>Yes</v>
      </c>
      <c r="AJ33" s="869">
        <v>5481.8800000093897</v>
      </c>
      <c r="AK33" s="870">
        <v>1884.8000000047293</v>
      </c>
      <c r="AL33" s="870">
        <v>974.00000000283762</v>
      </c>
      <c r="AN33" s="372">
        <v>902.00000000278305</v>
      </c>
      <c r="AO33" s="372">
        <v>2998.0000000070486</v>
      </c>
      <c r="AP33" s="372">
        <v>1505.0000000040927</v>
      </c>
      <c r="AU33" s="427"/>
      <c r="AV33" s="410"/>
      <c r="AW33" s="620">
        <f>Calculation!BB36*3.068</f>
        <v>0</v>
      </c>
      <c r="AX33" s="618"/>
      <c r="AY33" s="618"/>
      <c r="AZ33" s="619"/>
      <c r="BB33" s="433"/>
      <c r="BC33" s="432"/>
      <c r="BD33" s="433"/>
      <c r="BE33" s="432"/>
      <c r="BF33" s="433"/>
      <c r="BG33" s="432"/>
      <c r="BH33" s="429"/>
    </row>
    <row r="34" spans="1:60" ht="13.8" thickBot="1" x14ac:dyDescent="0.3">
      <c r="A34" s="406">
        <v>42761</v>
      </c>
      <c r="B34" s="860">
        <f t="shared" si="13"/>
        <v>65.592799999999997</v>
      </c>
      <c r="C34" s="860">
        <f>Calculation!AK37</f>
        <v>0</v>
      </c>
      <c r="D34" s="860">
        <f>Calculation!AI37</f>
        <v>0</v>
      </c>
      <c r="E34" s="860">
        <f>Calculation!AE37</f>
        <v>37.901499999999999</v>
      </c>
      <c r="F34" s="860">
        <f>Calculation!AF37</f>
        <v>27.691299999999998</v>
      </c>
      <c r="G34" s="860">
        <f>Calculation!AG37</f>
        <v>0</v>
      </c>
      <c r="H34" s="861">
        <f>Sheet1!H35</f>
        <v>1.31</v>
      </c>
      <c r="I34" s="841">
        <f>Sheet1!DA35</f>
        <v>993</v>
      </c>
      <c r="J34" s="841">
        <f>Sheet1!DB35</f>
        <v>515</v>
      </c>
      <c r="K34" s="841">
        <f>Sheet1!CZ35</f>
        <v>569</v>
      </c>
      <c r="L34" s="865">
        <f>Calculation!F37</f>
        <v>250</v>
      </c>
      <c r="M34" s="865">
        <f>Calculation!E37</f>
        <v>250</v>
      </c>
      <c r="N34" s="865">
        <f>Calculation!D37</f>
        <v>300</v>
      </c>
      <c r="O34" s="888">
        <f>Sheet1!DC35</f>
        <v>1079.04</v>
      </c>
      <c r="P34" s="889" t="e">
        <f>Calculation!FD37</f>
        <v>#N/A</v>
      </c>
      <c r="Q34" s="895">
        <f>Calculation!DP37</f>
        <v>1091.2000000031924</v>
      </c>
      <c r="R34" s="888">
        <f t="shared" si="6"/>
        <v>472.20000000319237</v>
      </c>
      <c r="S34" s="890">
        <f t="shared" si="14"/>
        <v>-20.800000000029513</v>
      </c>
      <c r="T34" s="895">
        <f ca="1">IF(A34&gt;$A$1,#N/A,VLOOKUP(A34,Calculation!$B$8:$JO$503,40,FALSE))</f>
        <v>0</v>
      </c>
      <c r="U34" s="890">
        <f t="shared" si="15"/>
        <v>0</v>
      </c>
      <c r="V34" s="890">
        <f>Calculation!AZ37</f>
        <v>0</v>
      </c>
      <c r="W34" s="895">
        <f t="shared" ca="1" si="12"/>
        <v>0</v>
      </c>
      <c r="X34" s="890">
        <v>0</v>
      </c>
      <c r="Y34" s="890">
        <f t="shared" ca="1" si="16"/>
        <v>0</v>
      </c>
      <c r="Z34" s="890">
        <f t="shared" ca="1" si="17"/>
        <v>0</v>
      </c>
      <c r="AA34" s="890">
        <f t="shared" ca="1" si="10"/>
        <v>0</v>
      </c>
      <c r="AB34" s="895">
        <f t="shared" ca="1" si="11"/>
        <v>1091.2000000031924</v>
      </c>
      <c r="AC34" s="980">
        <f t="shared" ca="1" si="8"/>
        <v>472.20000000319237</v>
      </c>
      <c r="AD34" s="860" t="e">
        <f ca="1">IF(A34&gt;$A$1,#N/A,VLOOKUP(A34,Calculation!$B$8:$JO$503,165,FALSE))</f>
        <v>#N/A</v>
      </c>
      <c r="AE34" s="399" t="e">
        <f t="shared" ca="1" si="18"/>
        <v>#N/A</v>
      </c>
      <c r="AF34" s="399"/>
      <c r="AG34" s="841">
        <f>Calculation!G37</f>
        <v>558.51084215833112</v>
      </c>
      <c r="AH34" s="847" t="str">
        <f t="shared" si="19"/>
        <v>Yes</v>
      </c>
      <c r="AI34" s="847" t="str">
        <f>IF(Calculation!K37&gt;0,"Yes","No")</f>
        <v>Yes</v>
      </c>
      <c r="AJ34" s="869">
        <v>3848.6800000061498</v>
      </c>
      <c r="AK34" s="870">
        <v>1527.2000000038518</v>
      </c>
      <c r="AL34" s="870">
        <v>1151.0000000032514</v>
      </c>
      <c r="AN34" s="372">
        <v>866.00000000275577</v>
      </c>
      <c r="AO34" s="372">
        <v>2394.0000000058117</v>
      </c>
      <c r="AP34" s="372">
        <v>902.00000000278305</v>
      </c>
      <c r="AU34" s="427"/>
      <c r="AV34" s="410"/>
      <c r="AW34" s="620">
        <f>Calculation!BB37*3.068</f>
        <v>0</v>
      </c>
      <c r="AX34" s="618"/>
      <c r="AY34" s="618"/>
      <c r="AZ34" s="619"/>
      <c r="BB34" s="433"/>
      <c r="BC34" s="432"/>
      <c r="BD34" s="433"/>
      <c r="BE34" s="432"/>
      <c r="BF34" s="433"/>
      <c r="BG34" s="432"/>
      <c r="BH34" s="429"/>
    </row>
    <row r="35" spans="1:60" ht="13.8" thickBot="1" x14ac:dyDescent="0.3">
      <c r="A35" s="406">
        <v>42762</v>
      </c>
      <c r="B35" s="860">
        <f t="shared" si="13"/>
        <v>68.856970000000004</v>
      </c>
      <c r="C35" s="860">
        <f>Calculation!AK38</f>
        <v>0</v>
      </c>
      <c r="D35" s="860">
        <f>Calculation!AI38</f>
        <v>0</v>
      </c>
      <c r="E35" s="860">
        <f>Calculation!AE38</f>
        <v>37.901499999999999</v>
      </c>
      <c r="F35" s="860">
        <f>Calculation!AF38</f>
        <v>30.955470000000002</v>
      </c>
      <c r="G35" s="860">
        <f>Calculation!AG38</f>
        <v>0</v>
      </c>
      <c r="H35" s="861">
        <f>Sheet1!H36</f>
        <v>1.27</v>
      </c>
      <c r="I35" s="841">
        <f>Sheet1!DA36</f>
        <v>899</v>
      </c>
      <c r="J35" s="841">
        <f>Sheet1!DB36</f>
        <v>428</v>
      </c>
      <c r="K35" s="841">
        <f>Sheet1!CZ36</f>
        <v>484</v>
      </c>
      <c r="L35" s="865">
        <f>Calculation!F38</f>
        <v>250</v>
      </c>
      <c r="M35" s="865">
        <f>Calculation!E38</f>
        <v>250</v>
      </c>
      <c r="N35" s="865">
        <f>Calculation!D38</f>
        <v>300</v>
      </c>
      <c r="O35" s="888">
        <f>Sheet1!DC36</f>
        <v>1079.2</v>
      </c>
      <c r="P35" s="889" t="e">
        <f>Calculation!FD38</f>
        <v>#N/A</v>
      </c>
      <c r="Q35" s="895">
        <f>Calculation!DP38</f>
        <v>1112.0000000032219</v>
      </c>
      <c r="R35" s="888">
        <f t="shared" si="6"/>
        <v>493.00000000322188</v>
      </c>
      <c r="S35" s="890">
        <f t="shared" si="14"/>
        <v>20.800000000029513</v>
      </c>
      <c r="T35" s="895">
        <f ca="1">IF(A35&gt;$A$1,#N/A,VLOOKUP(A35,Calculation!$B$8:$JO$503,40,FALSE))</f>
        <v>0</v>
      </c>
      <c r="U35" s="890">
        <f t="shared" si="15"/>
        <v>0</v>
      </c>
      <c r="V35" s="890">
        <f>Calculation!AZ38</f>
        <v>0</v>
      </c>
      <c r="W35" s="895">
        <f t="shared" ca="1" si="12"/>
        <v>0</v>
      </c>
      <c r="X35" s="890">
        <v>0</v>
      </c>
      <c r="Y35" s="890">
        <f t="shared" ca="1" si="16"/>
        <v>0</v>
      </c>
      <c r="Z35" s="890">
        <f t="shared" ca="1" si="17"/>
        <v>0</v>
      </c>
      <c r="AA35" s="890">
        <f t="shared" ca="1" si="10"/>
        <v>0</v>
      </c>
      <c r="AB35" s="895">
        <f t="shared" ca="1" si="11"/>
        <v>1112.0000000032219</v>
      </c>
      <c r="AC35" s="980">
        <f t="shared" ca="1" si="8"/>
        <v>493.00000000322188</v>
      </c>
      <c r="AD35" s="860" t="e">
        <f ca="1">IF(A35&gt;$A$1,#N/A,VLOOKUP(A35,Calculation!$B$8:$JO$503,165,FALSE))</f>
        <v>#N/A</v>
      </c>
      <c r="AE35" s="399" t="e">
        <f t="shared" ca="1" si="18"/>
        <v>#N/A</v>
      </c>
      <c r="AF35" s="399"/>
      <c r="AG35" s="841">
        <f>Calculation!G38</f>
        <v>494.48915784166894</v>
      </c>
      <c r="AH35" s="847" t="str">
        <f t="shared" si="19"/>
        <v>Yes</v>
      </c>
      <c r="AI35" s="847" t="str">
        <f>IF(Calculation!K38&gt;0,"Yes","No")</f>
        <v>Yes</v>
      </c>
      <c r="AJ35" s="869">
        <v>2787.4400000042442</v>
      </c>
      <c r="AK35" s="870">
        <v>1322.2000000036608</v>
      </c>
      <c r="AL35" s="870">
        <v>1339.0000000034288</v>
      </c>
      <c r="AN35" s="372">
        <v>787.60000000267394</v>
      </c>
      <c r="AO35" s="372">
        <v>2394.0000000058117</v>
      </c>
      <c r="AP35" s="372">
        <v>999.00000000286491</v>
      </c>
      <c r="AU35" s="427"/>
      <c r="AV35" s="410"/>
      <c r="AW35" s="620">
        <f>Calculation!BB38*3.068</f>
        <v>0</v>
      </c>
      <c r="AX35" s="618"/>
      <c r="AY35" s="618"/>
      <c r="AZ35" s="619"/>
      <c r="BB35" s="433"/>
      <c r="BC35" s="432"/>
      <c r="BD35" s="433"/>
      <c r="BE35" s="432"/>
      <c r="BF35" s="433"/>
      <c r="BG35" s="432"/>
      <c r="BH35" s="429"/>
    </row>
    <row r="36" spans="1:60" ht="13.8" thickBot="1" x14ac:dyDescent="0.3">
      <c r="A36" s="406">
        <v>42763</v>
      </c>
      <c r="B36" s="860">
        <f t="shared" si="13"/>
        <v>69.011669999999995</v>
      </c>
      <c r="C36" s="860">
        <f>Calculation!AK39</f>
        <v>0</v>
      </c>
      <c r="D36" s="860">
        <f>Calculation!AI39</f>
        <v>0</v>
      </c>
      <c r="E36" s="860">
        <f>Calculation!AE39</f>
        <v>38.009789999999995</v>
      </c>
      <c r="F36" s="860">
        <f>Calculation!AF39</f>
        <v>31.001879999999996</v>
      </c>
      <c r="G36" s="860">
        <f>Calculation!AG39</f>
        <v>0</v>
      </c>
      <c r="H36" s="861">
        <f>Sheet1!H37</f>
        <v>1.0900000000000001</v>
      </c>
      <c r="I36" s="841">
        <f>Sheet1!DA37</f>
        <v>843</v>
      </c>
      <c r="J36" s="841">
        <f>Sheet1!DB37</f>
        <v>434</v>
      </c>
      <c r="K36" s="841">
        <f>Sheet1!CZ37</f>
        <v>487</v>
      </c>
      <c r="L36" s="865">
        <f>Calculation!F39</f>
        <v>250</v>
      </c>
      <c r="M36" s="865">
        <f>Calculation!E39</f>
        <v>250</v>
      </c>
      <c r="N36" s="865">
        <f>Calculation!D39</f>
        <v>300</v>
      </c>
      <c r="O36" s="888">
        <f>Sheet1!DC37</f>
        <v>1079.75</v>
      </c>
      <c r="P36" s="889" t="e">
        <f>Calculation!FD39</f>
        <v>#N/A</v>
      </c>
      <c r="Q36" s="895">
        <f>Calculation!DP39</f>
        <v>1183.500000003281</v>
      </c>
      <c r="R36" s="888">
        <f t="shared" si="6"/>
        <v>564.500000003281</v>
      </c>
      <c r="S36" s="890">
        <f t="shared" si="14"/>
        <v>71.500000000059117</v>
      </c>
      <c r="T36" s="895">
        <f ca="1">IF(A36&gt;$A$1,#N/A,VLOOKUP(A36,Calculation!$B$8:$JO$503,40,FALSE))</f>
        <v>0</v>
      </c>
      <c r="U36" s="890">
        <f t="shared" si="15"/>
        <v>0</v>
      </c>
      <c r="V36" s="890">
        <f>Calculation!AZ39</f>
        <v>0</v>
      </c>
      <c r="W36" s="895">
        <f t="shared" ca="1" si="12"/>
        <v>0</v>
      </c>
      <c r="X36" s="890">
        <v>0</v>
      </c>
      <c r="Y36" s="890">
        <f t="shared" ca="1" si="16"/>
        <v>0</v>
      </c>
      <c r="Z36" s="890">
        <f t="shared" ca="1" si="17"/>
        <v>0</v>
      </c>
      <c r="AA36" s="890">
        <f t="shared" ca="1" si="10"/>
        <v>0</v>
      </c>
      <c r="AB36" s="895">
        <f t="shared" ca="1" si="11"/>
        <v>1183.500000003281</v>
      </c>
      <c r="AC36" s="980">
        <f t="shared" ca="1" si="8"/>
        <v>564.500000003281</v>
      </c>
      <c r="AD36" s="860" t="e">
        <f ca="1">IF(A36&gt;$A$1,#N/A,VLOOKUP(A36,Calculation!$B$8:$JO$503,165,FALSE))</f>
        <v>#N/A</v>
      </c>
      <c r="AE36" s="399" t="e">
        <f t="shared" ca="1" si="18"/>
        <v>#N/A</v>
      </c>
      <c r="AF36" s="399"/>
      <c r="AG36" s="841">
        <f>Calculation!G39</f>
        <v>523.05648008071569</v>
      </c>
      <c r="AH36" s="847" t="str">
        <f t="shared" si="19"/>
        <v>Yes</v>
      </c>
      <c r="AI36" s="847" t="str">
        <f>IF(Calculation!K39&gt;0,"Yes","No")</f>
        <v>Yes</v>
      </c>
      <c r="AJ36" s="869">
        <v>2617.1500000039637</v>
      </c>
      <c r="AK36" s="870">
        <v>1204.3000000033105</v>
      </c>
      <c r="AL36" s="870">
        <v>1047.7000000031628</v>
      </c>
      <c r="AN36" s="372">
        <v>753.60000000264665</v>
      </c>
      <c r="AO36" s="372">
        <v>1640.0000000042292</v>
      </c>
      <c r="AP36" s="372">
        <v>3512.4000000082538</v>
      </c>
      <c r="AU36" s="427"/>
      <c r="AV36" s="410"/>
      <c r="AW36" s="620">
        <f>Calculation!BB39*3.068</f>
        <v>0</v>
      </c>
      <c r="AX36" s="618"/>
      <c r="AY36" s="618"/>
      <c r="AZ36" s="619"/>
      <c r="BB36" s="433"/>
      <c r="BC36" s="432"/>
      <c r="BD36" s="433"/>
      <c r="BE36" s="432"/>
      <c r="BF36" s="433"/>
      <c r="BG36" s="432"/>
      <c r="BH36" s="429"/>
    </row>
    <row r="37" spans="1:60" ht="13.8" thickBot="1" x14ac:dyDescent="0.3">
      <c r="A37" s="406">
        <v>42764</v>
      </c>
      <c r="B37" s="860">
        <f t="shared" si="13"/>
        <v>68.903379999999999</v>
      </c>
      <c r="C37" s="860">
        <f>Calculation!AK40</f>
        <v>0</v>
      </c>
      <c r="D37" s="860">
        <f>Calculation!AI40</f>
        <v>0</v>
      </c>
      <c r="E37" s="860">
        <f>Calculation!AE40</f>
        <v>37.94791</v>
      </c>
      <c r="F37" s="860">
        <f>Calculation!AF40</f>
        <v>30.955470000000002</v>
      </c>
      <c r="G37" s="860">
        <f>Calculation!AG40</f>
        <v>0</v>
      </c>
      <c r="H37" s="861">
        <f>Sheet1!H38</f>
        <v>1.64</v>
      </c>
      <c r="I37" s="841">
        <f>Sheet1!DA38</f>
        <v>843</v>
      </c>
      <c r="J37" s="841">
        <f>Sheet1!DB38</f>
        <v>452</v>
      </c>
      <c r="K37" s="841">
        <f>Sheet1!CZ38</f>
        <v>491</v>
      </c>
      <c r="L37" s="865">
        <f>Calculation!F40</f>
        <v>250</v>
      </c>
      <c r="M37" s="865">
        <f>Calculation!E40</f>
        <v>250</v>
      </c>
      <c r="N37" s="865">
        <f>Calculation!D40</f>
        <v>300</v>
      </c>
      <c r="O37" s="888">
        <f>Sheet1!DC38</f>
        <v>1080.18</v>
      </c>
      <c r="P37" s="889" t="e">
        <f>Calculation!FD40</f>
        <v>#N/A</v>
      </c>
      <c r="Q37" s="895">
        <f>Calculation!DP40</f>
        <v>1240.4000000033402</v>
      </c>
      <c r="R37" s="888">
        <f t="shared" si="6"/>
        <v>621.40000000334021</v>
      </c>
      <c r="S37" s="890">
        <f t="shared" si="14"/>
        <v>56.900000000059208</v>
      </c>
      <c r="T37" s="895">
        <f ca="1">IF(A37&gt;$A$1,#N/A,VLOOKUP(A37,Calculation!$B$8:$JO$503,40,FALSE))</f>
        <v>0</v>
      </c>
      <c r="U37" s="890">
        <f t="shared" si="15"/>
        <v>0</v>
      </c>
      <c r="V37" s="890">
        <f>Calculation!AZ40</f>
        <v>0</v>
      </c>
      <c r="W37" s="895">
        <f t="shared" ca="1" si="12"/>
        <v>0</v>
      </c>
      <c r="X37" s="890">
        <v>0</v>
      </c>
      <c r="Y37" s="890">
        <f t="shared" ca="1" si="16"/>
        <v>0</v>
      </c>
      <c r="Z37" s="890">
        <f t="shared" ca="1" si="17"/>
        <v>0</v>
      </c>
      <c r="AA37" s="890">
        <f t="shared" ca="1" si="10"/>
        <v>0</v>
      </c>
      <c r="AB37" s="895">
        <f t="shared" ca="1" si="11"/>
        <v>1240.4000000033402</v>
      </c>
      <c r="AC37" s="980">
        <f t="shared" ca="1" si="8"/>
        <v>621.40000000334021</v>
      </c>
      <c r="AD37" s="860" t="e">
        <f ca="1">IF(A37&gt;$A$1,#N/A,VLOOKUP(A37,Calculation!$B$8:$JO$503,165,FALSE))</f>
        <v>#N/A</v>
      </c>
      <c r="AE37" s="399" t="e">
        <f t="shared" ca="1" si="18"/>
        <v>#N/A</v>
      </c>
      <c r="AF37" s="399"/>
      <c r="AG37" s="841">
        <f>Calculation!G40</f>
        <v>519.69389813417001</v>
      </c>
      <c r="AH37" s="847" t="str">
        <f t="shared" si="19"/>
        <v>Yes</v>
      </c>
      <c r="AI37" s="847" t="str">
        <f>IF(Calculation!K40&gt;0,"Yes","No")</f>
        <v>Yes</v>
      </c>
      <c r="AJ37" s="869">
        <v>2946.0000000045266</v>
      </c>
      <c r="AK37" s="870">
        <v>1883.2000000047294</v>
      </c>
      <c r="AL37" s="870">
        <v>892.40000000278303</v>
      </c>
      <c r="AN37" s="372">
        <v>1033.6000000028921</v>
      </c>
      <c r="AO37" s="372">
        <v>1161.4000000032515</v>
      </c>
      <c r="AP37" s="372">
        <v>4609.0000000104592</v>
      </c>
      <c r="AU37" s="427"/>
      <c r="AV37" s="410"/>
      <c r="AW37" s="620">
        <f>Calculation!BB40*3.068</f>
        <v>0</v>
      </c>
      <c r="AX37" s="618"/>
      <c r="AY37" s="618"/>
      <c r="AZ37" s="619"/>
      <c r="BB37" s="433"/>
      <c r="BC37" s="432"/>
      <c r="BD37" s="433"/>
      <c r="BE37" s="432"/>
      <c r="BF37" s="433"/>
      <c r="BG37" s="432"/>
      <c r="BH37" s="429"/>
    </row>
    <row r="38" spans="1:60" ht="13.8" thickBot="1" x14ac:dyDescent="0.3">
      <c r="A38" s="406">
        <v>42765</v>
      </c>
      <c r="B38" s="860">
        <f t="shared" si="13"/>
        <v>68.980729999999994</v>
      </c>
      <c r="C38" s="860">
        <f>Calculation!AK41</f>
        <v>0</v>
      </c>
      <c r="D38" s="860">
        <f>Calculation!AI41</f>
        <v>0</v>
      </c>
      <c r="E38" s="860">
        <f>Calculation!AE41</f>
        <v>38.056200000000004</v>
      </c>
      <c r="F38" s="860">
        <f>Calculation!AF41</f>
        <v>30.924529999999997</v>
      </c>
      <c r="G38" s="860">
        <f>Calculation!AG41</f>
        <v>0</v>
      </c>
      <c r="H38" s="861">
        <f>Sheet1!H39</f>
        <v>1.36</v>
      </c>
      <c r="I38" s="841">
        <f>Sheet1!DA39</f>
        <v>905</v>
      </c>
      <c r="J38" s="841">
        <f>Sheet1!DB39</f>
        <v>539</v>
      </c>
      <c r="K38" s="841">
        <f>Sheet1!CZ39</f>
        <v>585</v>
      </c>
      <c r="L38" s="865">
        <f>Calculation!F41</f>
        <v>250</v>
      </c>
      <c r="M38" s="865">
        <f>Calculation!E41</f>
        <v>250</v>
      </c>
      <c r="N38" s="865">
        <f>Calculation!D41</f>
        <v>300</v>
      </c>
      <c r="O38" s="888">
        <f>Sheet1!DC39</f>
        <v>1080.69</v>
      </c>
      <c r="P38" s="889" t="e">
        <f>Calculation!FD41</f>
        <v>#N/A</v>
      </c>
      <c r="Q38" s="895">
        <f>Calculation!DP41</f>
        <v>1309.7000000033993</v>
      </c>
      <c r="R38" s="888">
        <f t="shared" si="6"/>
        <v>690.70000000339928</v>
      </c>
      <c r="S38" s="890">
        <f t="shared" si="14"/>
        <v>69.300000000059072</v>
      </c>
      <c r="T38" s="895">
        <f ca="1">IF(A38&gt;$A$1,#N/A,VLOOKUP(A38,Calculation!$B$8:$JO$503,40,FALSE))</f>
        <v>0</v>
      </c>
      <c r="U38" s="890">
        <f t="shared" si="15"/>
        <v>0</v>
      </c>
      <c r="V38" s="890">
        <f>Calculation!AZ41</f>
        <v>0</v>
      </c>
      <c r="W38" s="895">
        <f t="shared" ca="1" si="12"/>
        <v>0</v>
      </c>
      <c r="X38" s="890">
        <v>0</v>
      </c>
      <c r="Y38" s="890">
        <f t="shared" ca="1" si="16"/>
        <v>0</v>
      </c>
      <c r="Z38" s="890">
        <f t="shared" ca="1" si="17"/>
        <v>0</v>
      </c>
      <c r="AA38" s="890">
        <f t="shared" ca="1" si="10"/>
        <v>0</v>
      </c>
      <c r="AB38" s="895">
        <f t="shared" ca="1" si="11"/>
        <v>1309.7000000033993</v>
      </c>
      <c r="AC38" s="980">
        <f t="shared" ca="1" si="8"/>
        <v>690.70000000339928</v>
      </c>
      <c r="AD38" s="860" t="e">
        <f ca="1">IF(A38&gt;$A$1,#N/A,VLOOKUP(A38,Calculation!$B$8:$JO$503,165,FALSE))</f>
        <v>#N/A</v>
      </c>
      <c r="AE38" s="399" t="e">
        <f t="shared" ca="1" si="18"/>
        <v>#N/A</v>
      </c>
      <c r="AF38" s="399"/>
      <c r="AG38" s="841">
        <f>Calculation!G41</f>
        <v>619.94704992438687</v>
      </c>
      <c r="AH38" s="847" t="str">
        <f t="shared" si="19"/>
        <v>Yes</v>
      </c>
      <c r="AI38" s="847" t="str">
        <f>IF(Calculation!K41&gt;0,"Yes","No")</f>
        <v>Yes</v>
      </c>
      <c r="AJ38" s="869">
        <v>3250.8400000051183</v>
      </c>
      <c r="AK38" s="870">
        <v>3713.1000000087856</v>
      </c>
      <c r="AL38" s="870">
        <v>1374.4000000037245</v>
      </c>
      <c r="AN38" s="372">
        <v>1266.800000003597</v>
      </c>
      <c r="AO38" s="372">
        <v>1284.0000000036289</v>
      </c>
      <c r="AP38" s="372">
        <v>3776.500000008838</v>
      </c>
      <c r="AU38" s="427"/>
      <c r="AV38" s="410"/>
      <c r="AW38" s="620">
        <f>Calculation!BB41*3.068</f>
        <v>0</v>
      </c>
      <c r="AX38" s="618"/>
      <c r="AY38" s="618"/>
      <c r="AZ38" s="619"/>
      <c r="BB38" s="433"/>
      <c r="BC38" s="432"/>
      <c r="BD38" s="433"/>
      <c r="BE38" s="432"/>
      <c r="BF38" s="433"/>
      <c r="BG38" s="432"/>
      <c r="BH38" s="429"/>
    </row>
    <row r="39" spans="1:60" ht="13.8" thickBot="1" x14ac:dyDescent="0.3">
      <c r="A39" s="406">
        <v>42766</v>
      </c>
      <c r="B39" s="860">
        <f t="shared" si="13"/>
        <v>68.980729999999994</v>
      </c>
      <c r="C39" s="860">
        <f>Calculation!AK42</f>
        <v>0</v>
      </c>
      <c r="D39" s="860">
        <f>Calculation!AI42</f>
        <v>0</v>
      </c>
      <c r="E39" s="860">
        <f>Calculation!AE42</f>
        <v>38.056200000000004</v>
      </c>
      <c r="F39" s="860">
        <f>Calculation!AF42</f>
        <v>30.924529999999997</v>
      </c>
      <c r="G39" s="860">
        <f>Calculation!AG42</f>
        <v>0</v>
      </c>
      <c r="H39" s="861">
        <f>Sheet1!H40</f>
        <v>1.56</v>
      </c>
      <c r="I39" s="841">
        <f>Sheet1!DA40</f>
        <v>936</v>
      </c>
      <c r="J39" s="841">
        <f>Sheet1!DB40</f>
        <v>529</v>
      </c>
      <c r="K39" s="841">
        <f>Sheet1!CZ40</f>
        <v>581</v>
      </c>
      <c r="L39" s="865">
        <f>Calculation!F42</f>
        <v>250</v>
      </c>
      <c r="M39" s="865">
        <f>Calculation!E42</f>
        <v>250</v>
      </c>
      <c r="N39" s="865">
        <f>Calculation!D42</f>
        <v>300</v>
      </c>
      <c r="O39" s="888">
        <f>Sheet1!DC40</f>
        <v>1080.49</v>
      </c>
      <c r="P39" s="889" t="e">
        <f>Calculation!FD42</f>
        <v>#N/A</v>
      </c>
      <c r="Q39" s="895">
        <f>Calculation!DP42</f>
        <v>1282.7000000033697</v>
      </c>
      <c r="R39" s="888">
        <f t="shared" si="6"/>
        <v>663.70000000336972</v>
      </c>
      <c r="S39" s="890">
        <f t="shared" si="14"/>
        <v>-27.000000000029559</v>
      </c>
      <c r="T39" s="895">
        <f ca="1">IF(A39&gt;$A$1,#N/A,VLOOKUP(A39,Calculation!$B$8:$JO$503,40,FALSE))</f>
        <v>0</v>
      </c>
      <c r="U39" s="890">
        <f t="shared" si="15"/>
        <v>0</v>
      </c>
      <c r="V39" s="890">
        <f>Calculation!AZ42</f>
        <v>0</v>
      </c>
      <c r="W39" s="895">
        <f t="shared" ca="1" si="12"/>
        <v>0</v>
      </c>
      <c r="X39" s="890">
        <v>0</v>
      </c>
      <c r="Y39" s="890">
        <f t="shared" ca="1" si="16"/>
        <v>0</v>
      </c>
      <c r="Z39" s="890">
        <f t="shared" ca="1" si="17"/>
        <v>0</v>
      </c>
      <c r="AA39" s="890">
        <f t="shared" ca="1" si="10"/>
        <v>0</v>
      </c>
      <c r="AB39" s="895">
        <f t="shared" ca="1" si="11"/>
        <v>1282.7000000033697</v>
      </c>
      <c r="AC39" s="980">
        <f t="shared" ca="1" si="8"/>
        <v>663.70000000336972</v>
      </c>
      <c r="AD39" s="860" t="e">
        <f ca="1">IF(A39&gt;$A$1,#N/A,VLOOKUP(A39,Calculation!$B$8:$JO$503,165,FALSE))</f>
        <v>#N/A</v>
      </c>
      <c r="AE39" s="399" t="e">
        <f t="shared" ca="1" si="18"/>
        <v>#N/A</v>
      </c>
      <c r="AF39" s="399"/>
      <c r="AG39" s="841">
        <f>Calculation!G42</f>
        <v>567.38426626322257</v>
      </c>
      <c r="AH39" s="847" t="str">
        <f t="shared" si="19"/>
        <v>Yes</v>
      </c>
      <c r="AI39" s="847" t="str">
        <f>IF(Calculation!K42&gt;0,"Yes","No")</f>
        <v>Yes</v>
      </c>
      <c r="AJ39" s="869">
        <v>2549.2700000037717</v>
      </c>
      <c r="AK39" s="870">
        <v>2577.0000000059754</v>
      </c>
      <c r="AL39" s="870">
        <v>1518.5000000041268</v>
      </c>
      <c r="AN39" s="372">
        <v>1366.0000000036925</v>
      </c>
      <c r="AO39" s="372">
        <v>1352.0000000036925</v>
      </c>
      <c r="AP39" s="372">
        <v>2552.6000000059753</v>
      </c>
      <c r="AU39" s="427"/>
      <c r="AV39" s="410"/>
      <c r="AW39" s="620">
        <f>Calculation!BB42*3.068</f>
        <v>0</v>
      </c>
      <c r="AX39" s="618"/>
      <c r="AY39" s="618"/>
      <c r="AZ39" s="619"/>
      <c r="BB39" s="433"/>
      <c r="BC39" s="432"/>
      <c r="BD39" s="433"/>
      <c r="BE39" s="432"/>
      <c r="BF39" s="433"/>
      <c r="BG39" s="432"/>
      <c r="BH39" s="429"/>
    </row>
    <row r="40" spans="1:60" ht="13.8" thickBot="1" x14ac:dyDescent="0.3">
      <c r="A40" s="406">
        <v>42767</v>
      </c>
      <c r="B40" s="860">
        <f t="shared" si="13"/>
        <v>69.754229999999993</v>
      </c>
      <c r="C40" s="860">
        <f>Calculation!AK43</f>
        <v>0</v>
      </c>
      <c r="D40" s="860">
        <f>Calculation!AI43</f>
        <v>0</v>
      </c>
      <c r="E40" s="860">
        <f>Calculation!AE43</f>
        <v>38.009789999999995</v>
      </c>
      <c r="F40" s="860">
        <f>Calculation!AF43</f>
        <v>31.744439999999997</v>
      </c>
      <c r="G40" s="860">
        <f>Calculation!AG43</f>
        <v>0</v>
      </c>
      <c r="H40" s="861">
        <f>Sheet1!H41</f>
        <v>5.2</v>
      </c>
      <c r="I40" s="841">
        <f>Sheet1!DA41</f>
        <v>911</v>
      </c>
      <c r="J40" s="841">
        <f>Sheet1!DB41</f>
        <v>485</v>
      </c>
      <c r="K40" s="841">
        <f>Sheet1!CZ41</f>
        <v>550</v>
      </c>
      <c r="L40" s="865">
        <f>Calculation!F43</f>
        <v>250</v>
      </c>
      <c r="M40" s="865">
        <f>Calculation!E43</f>
        <v>250</v>
      </c>
      <c r="N40" s="865">
        <f>Calculation!D43</f>
        <v>300</v>
      </c>
      <c r="O40" s="888">
        <f>Sheet1!DC41</f>
        <v>1080.06</v>
      </c>
      <c r="P40" s="889" t="e">
        <f>Calculation!FD43</f>
        <v>#N/A</v>
      </c>
      <c r="Q40" s="895">
        <f>Calculation!DP43</f>
        <v>1224.4000000035653</v>
      </c>
      <c r="R40" s="888">
        <f t="shared" si="6"/>
        <v>605.40000000356531</v>
      </c>
      <c r="S40" s="890">
        <f t="shared" si="14"/>
        <v>-58.299999999804413</v>
      </c>
      <c r="T40" s="895">
        <f ca="1">IF(A40&gt;$A$1,#N/A,VLOOKUP(A40,Calculation!$B$8:$JO$503,40,FALSE))</f>
        <v>0</v>
      </c>
      <c r="U40" s="890">
        <f t="shared" si="15"/>
        <v>0</v>
      </c>
      <c r="V40" s="890">
        <f>Calculation!AZ43</f>
        <v>0</v>
      </c>
      <c r="W40" s="895">
        <f t="shared" ca="1" si="12"/>
        <v>0</v>
      </c>
      <c r="X40" s="890">
        <v>0</v>
      </c>
      <c r="Y40" s="890">
        <f t="shared" ca="1" si="16"/>
        <v>0</v>
      </c>
      <c r="Z40" s="890">
        <f t="shared" ca="1" si="17"/>
        <v>0</v>
      </c>
      <c r="AA40" s="890">
        <f t="shared" ca="1" si="10"/>
        <v>0</v>
      </c>
      <c r="AB40" s="895">
        <f t="shared" ca="1" si="11"/>
        <v>1224.4000000035653</v>
      </c>
      <c r="AC40" s="980">
        <f t="shared" ca="1" si="8"/>
        <v>605.40000000356531</v>
      </c>
      <c r="AD40" s="860" t="e">
        <f ca="1">IF(A40&gt;$A$1,#N/A,VLOOKUP(A40,Calculation!$B$8:$JO$503,165,FALSE))</f>
        <v>#N/A</v>
      </c>
      <c r="AE40" s="399" t="e">
        <f t="shared" ca="1" si="18"/>
        <v>#N/A</v>
      </c>
      <c r="AF40" s="399"/>
      <c r="AG40" s="841">
        <f>Calculation!G43</f>
        <v>520.60010085738554</v>
      </c>
      <c r="AH40" s="847" t="str">
        <f t="shared" si="19"/>
        <v>Yes</v>
      </c>
      <c r="AI40" s="847" t="str">
        <f>IF(Calculation!K43&gt;0,"Yes","No")</f>
        <v>Yes</v>
      </c>
      <c r="AJ40" s="869">
        <v>1940.1400000028077</v>
      </c>
      <c r="AK40" s="870">
        <v>1762.0000000046202</v>
      </c>
      <c r="AL40" s="870">
        <v>1971.2000000048022</v>
      </c>
      <c r="AN40" s="372">
        <v>1437.0000000037562</v>
      </c>
      <c r="AO40" s="372">
        <v>1281.4000000033698</v>
      </c>
      <c r="AP40" s="372">
        <v>2043.6000000048748</v>
      </c>
      <c r="AU40" s="427"/>
      <c r="AV40" s="410"/>
      <c r="AW40" s="620">
        <f>Calculation!BB43*3.068</f>
        <v>0</v>
      </c>
      <c r="AX40" s="618"/>
      <c r="AY40" s="618"/>
      <c r="AZ40" s="619"/>
      <c r="BB40" s="433"/>
      <c r="BC40" s="432"/>
      <c r="BD40" s="433"/>
      <c r="BE40" s="432"/>
      <c r="BF40" s="433"/>
      <c r="BG40" s="432"/>
      <c r="BH40" s="429"/>
    </row>
    <row r="41" spans="1:60" ht="13.8" thickBot="1" x14ac:dyDescent="0.3">
      <c r="A41" s="406">
        <v>42768</v>
      </c>
      <c r="B41" s="860">
        <f t="shared" si="13"/>
        <v>75.694709999999986</v>
      </c>
      <c r="C41" s="860">
        <f>Calculation!AK44</f>
        <v>0</v>
      </c>
      <c r="D41" s="860">
        <f>Calculation!AI44</f>
        <v>0</v>
      </c>
      <c r="E41" s="860">
        <f>Calculation!AE44</f>
        <v>37.94791</v>
      </c>
      <c r="F41" s="860">
        <f>Calculation!AF44</f>
        <v>37.746799999999993</v>
      </c>
      <c r="G41" s="860">
        <f>Calculation!AG44</f>
        <v>0</v>
      </c>
      <c r="H41" s="861">
        <f>Sheet1!H42</f>
        <v>3.72</v>
      </c>
      <c r="I41" s="841">
        <f>Sheet1!DA42</f>
        <v>837</v>
      </c>
      <c r="J41" s="841">
        <f>Sheet1!DB42</f>
        <v>481</v>
      </c>
      <c r="K41" s="841">
        <f>Sheet1!CZ42</f>
        <v>546</v>
      </c>
      <c r="L41" s="865">
        <f>Calculation!F44</f>
        <v>250</v>
      </c>
      <c r="M41" s="865">
        <f>Calculation!E44</f>
        <v>250</v>
      </c>
      <c r="N41" s="865">
        <f>Calculation!D44</f>
        <v>300</v>
      </c>
      <c r="O41" s="888">
        <f>Sheet1!DC42</f>
        <v>1079.5</v>
      </c>
      <c r="P41" s="889" t="e">
        <f>Calculation!FD44</f>
        <v>#N/A</v>
      </c>
      <c r="Q41" s="895">
        <f>Calculation!DP44</f>
        <v>1151.0000000032514</v>
      </c>
      <c r="R41" s="888">
        <f t="shared" si="6"/>
        <v>532.00000000325144</v>
      </c>
      <c r="S41" s="890">
        <f t="shared" si="14"/>
        <v>-73.400000000313867</v>
      </c>
      <c r="T41" s="895">
        <f ca="1">IF(A41&gt;$A$1,#N/A,VLOOKUP(A41,Calculation!$B$8:$JO$503,40,FALSE))</f>
        <v>0</v>
      </c>
      <c r="U41" s="890">
        <f t="shared" si="15"/>
        <v>0</v>
      </c>
      <c r="V41" s="890">
        <f>Calculation!AZ44</f>
        <v>0</v>
      </c>
      <c r="W41" s="895">
        <f t="shared" ca="1" si="12"/>
        <v>0</v>
      </c>
      <c r="X41" s="890">
        <v>0</v>
      </c>
      <c r="Y41" s="890">
        <f t="shared" ca="1" si="16"/>
        <v>0</v>
      </c>
      <c r="Z41" s="890">
        <f t="shared" ca="1" si="17"/>
        <v>0</v>
      </c>
      <c r="AA41" s="890">
        <f t="shared" ca="1" si="10"/>
        <v>0</v>
      </c>
      <c r="AB41" s="895">
        <f t="shared" ca="1" si="11"/>
        <v>1151.0000000032514</v>
      </c>
      <c r="AC41" s="980">
        <f t="shared" ca="1" si="8"/>
        <v>532.00000000325144</v>
      </c>
      <c r="AD41" s="860" t="e">
        <f ca="1">IF(A41&gt;$A$1,#N/A,VLOOKUP(A41,Calculation!$B$8:$JO$503,165,FALSE))</f>
        <v>#N/A</v>
      </c>
      <c r="AE41" s="399" t="e">
        <f t="shared" ca="1" si="18"/>
        <v>#N/A</v>
      </c>
      <c r="AF41" s="399"/>
      <c r="AG41" s="841">
        <f>Calculation!G44</f>
        <v>508.9853756932356</v>
      </c>
      <c r="AH41" s="847" t="str">
        <f t="shared" si="19"/>
        <v>Yes</v>
      </c>
      <c r="AI41" s="847" t="str">
        <f>IF(Calculation!K44&gt;0,"Yes","No")</f>
        <v>Yes</v>
      </c>
      <c r="AJ41" s="869">
        <v>1933.8400000027789</v>
      </c>
      <c r="AK41" s="870">
        <v>1316.6000000036606</v>
      </c>
      <c r="AL41" s="870">
        <v>2028.9000000051797</v>
      </c>
      <c r="AN41" s="372">
        <v>1305.8000000033992</v>
      </c>
      <c r="AO41" s="372">
        <v>997.7000000031037</v>
      </c>
      <c r="AP41" s="372">
        <v>1476.2000000038199</v>
      </c>
      <c r="AU41" s="427"/>
      <c r="AV41" s="410"/>
      <c r="AW41" s="617">
        <f>Calculation!BB44*3.068</f>
        <v>0</v>
      </c>
      <c r="AX41" s="618"/>
      <c r="AY41" s="618"/>
      <c r="AZ41" s="619"/>
      <c r="BB41" s="433"/>
      <c r="BC41" s="432"/>
      <c r="BD41" s="433"/>
      <c r="BE41" s="432"/>
      <c r="BF41" s="433"/>
      <c r="BG41" s="432"/>
      <c r="BH41" s="429"/>
    </row>
    <row r="42" spans="1:60" ht="13.8" thickBot="1" x14ac:dyDescent="0.3">
      <c r="A42" s="406">
        <v>42769</v>
      </c>
      <c r="B42" s="860">
        <f t="shared" si="13"/>
        <v>81.155619999999999</v>
      </c>
      <c r="C42" s="860">
        <f>Calculation!AK45</f>
        <v>0</v>
      </c>
      <c r="D42" s="860">
        <f>Calculation!AI45</f>
        <v>0</v>
      </c>
      <c r="E42" s="860">
        <f>Calculation!AE45</f>
        <v>38.056200000000004</v>
      </c>
      <c r="F42" s="860">
        <f>Calculation!AF45</f>
        <v>43.099419999999995</v>
      </c>
      <c r="G42" s="860">
        <f>Calculation!AG45</f>
        <v>0</v>
      </c>
      <c r="H42" s="861">
        <f>Sheet1!H43</f>
        <v>3.35</v>
      </c>
      <c r="I42" s="841">
        <f>Sheet1!DA43</f>
        <v>949</v>
      </c>
      <c r="J42" s="841">
        <f>Sheet1!DB43</f>
        <v>498</v>
      </c>
      <c r="K42" s="841">
        <f>Sheet1!CZ43</f>
        <v>569</v>
      </c>
      <c r="L42" s="865">
        <f>Calculation!F45</f>
        <v>250</v>
      </c>
      <c r="M42" s="865">
        <f>Calculation!E45</f>
        <v>250</v>
      </c>
      <c r="N42" s="865">
        <f>Calculation!D45</f>
        <v>300</v>
      </c>
      <c r="O42" s="888">
        <f>Sheet1!DC43</f>
        <v>1078.72</v>
      </c>
      <c r="P42" s="889" t="e">
        <f>Calculation!FD45</f>
        <v>#N/A</v>
      </c>
      <c r="Q42" s="895">
        <f>Calculation!DP45</f>
        <v>1051.4000000029196</v>
      </c>
      <c r="R42" s="888">
        <f t="shared" si="6"/>
        <v>432.40000000291957</v>
      </c>
      <c r="S42" s="890">
        <f t="shared" si="14"/>
        <v>-99.600000000331875</v>
      </c>
      <c r="T42" s="895">
        <f ca="1">IF(A42&gt;$A$1,#N/A,VLOOKUP(A42,Calculation!$B$8:$JO$503,40,FALSE))</f>
        <v>0</v>
      </c>
      <c r="U42" s="890">
        <f t="shared" si="15"/>
        <v>0</v>
      </c>
      <c r="V42" s="890">
        <f>Calculation!AZ45</f>
        <v>0</v>
      </c>
      <c r="W42" s="895">
        <f t="shared" ca="1" si="12"/>
        <v>0</v>
      </c>
      <c r="X42" s="890">
        <v>0</v>
      </c>
      <c r="Y42" s="890">
        <f t="shared" ca="1" si="16"/>
        <v>0</v>
      </c>
      <c r="Z42" s="890">
        <f t="shared" ca="1" si="17"/>
        <v>0</v>
      </c>
      <c r="AA42" s="890">
        <f t="shared" ca="1" si="10"/>
        <v>0</v>
      </c>
      <c r="AB42" s="895">
        <f t="shared" ca="1" si="11"/>
        <v>1051.4000000029196</v>
      </c>
      <c r="AC42" s="980">
        <f t="shared" ca="1" si="8"/>
        <v>432.40000000291957</v>
      </c>
      <c r="AD42" s="860" t="e">
        <f ca="1">IF(A42&gt;$A$1,#N/A,VLOOKUP(A42,Calculation!$B$8:$JO$503,165,FALSE))</f>
        <v>#N/A</v>
      </c>
      <c r="AE42" s="399" t="e">
        <f t="shared" ca="1" si="18"/>
        <v>#N/A</v>
      </c>
      <c r="AF42" s="399"/>
      <c r="AG42" s="841">
        <f>Calculation!G45</f>
        <v>518.77307110421998</v>
      </c>
      <c r="AH42" s="847" t="str">
        <f t="shared" si="19"/>
        <v>Yes</v>
      </c>
      <c r="AI42" s="847" t="str">
        <f>IF(Calculation!K45&gt;0,"Yes","No")</f>
        <v>Yes</v>
      </c>
      <c r="AJ42" s="869">
        <v>1964.0800000028075</v>
      </c>
      <c r="AK42" s="870">
        <v>1326.4000000036608</v>
      </c>
      <c r="AL42" s="870">
        <v>1565.5000000041609</v>
      </c>
      <c r="AN42" s="372">
        <v>1045.1000000031627</v>
      </c>
      <c r="AO42" s="372">
        <v>762.00000000242608</v>
      </c>
      <c r="AP42" s="372">
        <v>1088.6000000031922</v>
      </c>
      <c r="AU42" s="427"/>
      <c r="AV42" s="410"/>
      <c r="AW42" s="617">
        <f>Calculation!BB45*3.068</f>
        <v>0</v>
      </c>
      <c r="AX42" s="618"/>
      <c r="AY42" s="618"/>
      <c r="AZ42" s="619"/>
      <c r="BB42" s="433"/>
      <c r="BC42" s="432"/>
      <c r="BD42" s="433"/>
      <c r="BE42" s="432"/>
      <c r="BF42" s="433"/>
      <c r="BG42" s="432"/>
      <c r="BH42" s="429"/>
    </row>
    <row r="43" spans="1:60" ht="13.8" thickBot="1" x14ac:dyDescent="0.3">
      <c r="A43" s="406">
        <v>42770</v>
      </c>
      <c r="B43" s="860">
        <f t="shared" si="13"/>
        <v>85.765680000000003</v>
      </c>
      <c r="C43" s="860">
        <f>Calculation!AK46</f>
        <v>0</v>
      </c>
      <c r="D43" s="860">
        <f>Calculation!AI46</f>
        <v>0</v>
      </c>
      <c r="E43" s="860">
        <f>Calculation!AE46</f>
        <v>37.901499999999999</v>
      </c>
      <c r="F43" s="860">
        <f>Calculation!AF46</f>
        <v>47.864179999999998</v>
      </c>
      <c r="G43" s="860">
        <f>Calculation!AG46</f>
        <v>0</v>
      </c>
      <c r="H43" s="861">
        <f>Sheet1!H44</f>
        <v>2.96</v>
      </c>
      <c r="I43" s="841">
        <f>Sheet1!DA44</f>
        <v>1280</v>
      </c>
      <c r="J43" s="841">
        <f>Sheet1!DB44</f>
        <v>536</v>
      </c>
      <c r="K43" s="841">
        <f>Sheet1!CZ44</f>
        <v>569</v>
      </c>
      <c r="L43" s="865">
        <f>Calculation!F46</f>
        <v>250</v>
      </c>
      <c r="M43" s="865">
        <f>Calculation!E46</f>
        <v>250</v>
      </c>
      <c r="N43" s="865">
        <f>Calculation!D46</f>
        <v>300</v>
      </c>
      <c r="O43" s="888">
        <f>Sheet1!DC44</f>
        <v>1078.5</v>
      </c>
      <c r="P43" s="889" t="e">
        <f>Calculation!FD46</f>
        <v>#N/A</v>
      </c>
      <c r="Q43" s="895">
        <f>Calculation!DP46</f>
        <v>1024.0000000028922</v>
      </c>
      <c r="R43" s="888">
        <f t="shared" si="6"/>
        <v>405.00000000289219</v>
      </c>
      <c r="S43" s="890">
        <f t="shared" si="14"/>
        <v>-27.400000000027376</v>
      </c>
      <c r="T43" s="895">
        <f ca="1">IF(A43&gt;$A$1,#N/A,VLOOKUP(A43,Calculation!$B$8:$JO$503,40,FALSE))</f>
        <v>0</v>
      </c>
      <c r="U43" s="890">
        <f t="shared" si="15"/>
        <v>0</v>
      </c>
      <c r="V43" s="890">
        <f>Calculation!AZ46</f>
        <v>0</v>
      </c>
      <c r="W43" s="895">
        <f t="shared" ca="1" si="12"/>
        <v>0</v>
      </c>
      <c r="X43" s="890">
        <v>0</v>
      </c>
      <c r="Y43" s="890">
        <f t="shared" ca="1" si="16"/>
        <v>0</v>
      </c>
      <c r="Z43" s="890">
        <f t="shared" ca="1" si="17"/>
        <v>0</v>
      </c>
      <c r="AA43" s="890">
        <f t="shared" ca="1" si="10"/>
        <v>0</v>
      </c>
      <c r="AB43" s="895">
        <f t="shared" ca="1" si="11"/>
        <v>1024.0000000028922</v>
      </c>
      <c r="AC43" s="980">
        <f t="shared" ca="1" si="8"/>
        <v>405.00000000289219</v>
      </c>
      <c r="AD43" s="860" t="e">
        <f ca="1">IF(A43&gt;$A$1,#N/A,VLOOKUP(A43,Calculation!$B$8:$JO$503,165,FALSE))</f>
        <v>#N/A</v>
      </c>
      <c r="AE43" s="399" t="e">
        <f t="shared" ca="1" si="18"/>
        <v>#N/A</v>
      </c>
      <c r="AF43" s="399"/>
      <c r="AG43" s="841">
        <f>Calculation!G46</f>
        <v>555.1825516893457</v>
      </c>
      <c r="AH43" s="847" t="str">
        <f t="shared" si="19"/>
        <v>Yes</v>
      </c>
      <c r="AI43" s="847" t="str">
        <f>IF(Calculation!K46&gt;0,"Yes","No")</f>
        <v>Yes</v>
      </c>
      <c r="AJ43" s="869">
        <v>2496.3600000037068</v>
      </c>
      <c r="AK43" s="870">
        <v>1340.3000000034287</v>
      </c>
      <c r="AL43" s="870">
        <v>1071.4000000031924</v>
      </c>
      <c r="AN43" s="372">
        <v>801.5000000024761</v>
      </c>
      <c r="AO43" s="372">
        <v>680.70000000235109</v>
      </c>
      <c r="AP43" s="372">
        <v>1130.2000000032219</v>
      </c>
      <c r="AU43" s="427"/>
      <c r="AV43" s="410"/>
      <c r="AW43" s="617">
        <f>Calculation!BB46*3.068</f>
        <v>0</v>
      </c>
      <c r="AX43" s="618"/>
      <c r="AY43" s="618"/>
      <c r="AZ43" s="619"/>
      <c r="BB43" s="433"/>
      <c r="BC43" s="432"/>
      <c r="BD43" s="433"/>
      <c r="BE43" s="432"/>
      <c r="BF43" s="433"/>
      <c r="BG43" s="432"/>
      <c r="BH43" s="429"/>
    </row>
    <row r="44" spans="1:60" ht="13.8" thickBot="1" x14ac:dyDescent="0.3">
      <c r="A44" s="406">
        <v>42771</v>
      </c>
      <c r="B44" s="860">
        <f t="shared" si="13"/>
        <v>92.433250000000001</v>
      </c>
      <c r="C44" s="860">
        <f>Calculation!AK47</f>
        <v>0</v>
      </c>
      <c r="D44" s="860">
        <f>Calculation!AI47</f>
        <v>0</v>
      </c>
      <c r="E44" s="860">
        <f>Calculation!AE47</f>
        <v>39.525849999999998</v>
      </c>
      <c r="F44" s="860">
        <f>Calculation!AF47</f>
        <v>52.907400000000003</v>
      </c>
      <c r="G44" s="860">
        <f>Calculation!AG47</f>
        <v>0</v>
      </c>
      <c r="H44" s="861">
        <f>Sheet1!H45</f>
        <v>2.65</v>
      </c>
      <c r="I44" s="841">
        <f>Sheet1!DA45</f>
        <v>1580</v>
      </c>
      <c r="J44" s="841">
        <f>Sheet1!DB45</f>
        <v>543</v>
      </c>
      <c r="K44" s="841">
        <f>Sheet1!CZ45</f>
        <v>577</v>
      </c>
      <c r="L44" s="865">
        <f>Calculation!F47</f>
        <v>250</v>
      </c>
      <c r="M44" s="865">
        <f>Calculation!E47</f>
        <v>250</v>
      </c>
      <c r="N44" s="865">
        <f>Calculation!D47</f>
        <v>300</v>
      </c>
      <c r="O44" s="888">
        <f>Sheet1!DC45</f>
        <v>1079.8699999999999</v>
      </c>
      <c r="P44" s="889" t="e">
        <f>Calculation!FD47</f>
        <v>#N/A</v>
      </c>
      <c r="Q44" s="895">
        <f>Calculation!DP47</f>
        <v>1199.1000000032809</v>
      </c>
      <c r="R44" s="888">
        <f t="shared" si="6"/>
        <v>580.10000000328091</v>
      </c>
      <c r="S44" s="890">
        <f t="shared" si="14"/>
        <v>175.10000000038872</v>
      </c>
      <c r="T44" s="895">
        <f ca="1">IF(A44&gt;$A$1,#N/A,VLOOKUP(A44,Calculation!$B$8:$JO$503,40,FALSE))</f>
        <v>0</v>
      </c>
      <c r="U44" s="890">
        <f t="shared" si="15"/>
        <v>0</v>
      </c>
      <c r="V44" s="890">
        <f>Calculation!AZ47</f>
        <v>0</v>
      </c>
      <c r="W44" s="895">
        <f t="shared" ca="1" si="12"/>
        <v>0</v>
      </c>
      <c r="X44" s="890">
        <v>0</v>
      </c>
      <c r="Y44" s="890">
        <f t="shared" ca="1" si="16"/>
        <v>0</v>
      </c>
      <c r="Z44" s="890">
        <f t="shared" ca="1" si="17"/>
        <v>0</v>
      </c>
      <c r="AA44" s="890">
        <f t="shared" ca="1" si="10"/>
        <v>0</v>
      </c>
      <c r="AB44" s="895">
        <f t="shared" ca="1" si="11"/>
        <v>1199.1000000032809</v>
      </c>
      <c r="AC44" s="980">
        <f t="shared" ca="1" si="8"/>
        <v>580.10000000328091</v>
      </c>
      <c r="AD44" s="860" t="e">
        <f ca="1">IF(A44&gt;$A$1,#N/A,VLOOKUP(A44,Calculation!$B$8:$JO$503,165,FALSE))</f>
        <v>#N/A</v>
      </c>
      <c r="AE44" s="399" t="e">
        <f t="shared" ca="1" si="18"/>
        <v>#N/A</v>
      </c>
      <c r="AF44" s="399"/>
      <c r="AG44" s="841">
        <f>Calculation!G47</f>
        <v>665.30055471527419</v>
      </c>
      <c r="AH44" s="847" t="str">
        <f t="shared" si="19"/>
        <v>Yes</v>
      </c>
      <c r="AI44" s="847" t="str">
        <f>IF(Calculation!K47&gt;0,"Yes","No")</f>
        <v>Yes</v>
      </c>
      <c r="AJ44" s="869">
        <v>3135.1600000048252</v>
      </c>
      <c r="AK44" s="870">
        <v>1106.8000000032218</v>
      </c>
      <c r="AL44" s="870">
        <v>890.00000000278305</v>
      </c>
      <c r="AN44" s="372">
        <v>684.00000000235104</v>
      </c>
      <c r="AO44" s="372">
        <v>751.20000000264668</v>
      </c>
      <c r="AP44" s="372">
        <v>1391.2000000037244</v>
      </c>
      <c r="AU44" s="427"/>
      <c r="AV44" s="410"/>
      <c r="AW44" s="617">
        <f>Calculation!BB47*3.068</f>
        <v>0</v>
      </c>
      <c r="AX44" s="618"/>
      <c r="AY44" s="618"/>
      <c r="AZ44" s="619"/>
      <c r="BB44" s="433"/>
      <c r="BC44" s="432"/>
      <c r="BD44" s="433"/>
      <c r="BE44" s="432"/>
      <c r="BF44" s="433"/>
      <c r="BG44" s="432"/>
      <c r="BH44" s="429"/>
    </row>
    <row r="45" spans="1:60" ht="13.8" thickBot="1" x14ac:dyDescent="0.3">
      <c r="A45" s="406">
        <v>42772</v>
      </c>
      <c r="B45" s="860">
        <f t="shared" si="13"/>
        <v>95.821179999999998</v>
      </c>
      <c r="C45" s="860">
        <f>Calculation!AK48</f>
        <v>0</v>
      </c>
      <c r="D45" s="860">
        <f>Calculation!AI48</f>
        <v>0</v>
      </c>
      <c r="E45" s="860">
        <f>Calculation!AE48</f>
        <v>40.222000000000001</v>
      </c>
      <c r="F45" s="860">
        <f>Calculation!AF48</f>
        <v>55.599179999999997</v>
      </c>
      <c r="G45" s="860">
        <f>Calculation!AG48</f>
        <v>0</v>
      </c>
      <c r="H45" s="861">
        <f>Sheet1!H46</f>
        <v>2.06</v>
      </c>
      <c r="I45" s="841">
        <f>Sheet1!DA46</f>
        <v>1550</v>
      </c>
      <c r="J45" s="841">
        <f>Sheet1!DB46</f>
        <v>579</v>
      </c>
      <c r="K45" s="841">
        <f>Sheet1!CZ46</f>
        <v>649</v>
      </c>
      <c r="L45" s="865">
        <f>Calculation!F48</f>
        <v>250</v>
      </c>
      <c r="M45" s="865">
        <f>Calculation!E48</f>
        <v>250</v>
      </c>
      <c r="N45" s="865">
        <f>Calculation!D48</f>
        <v>300</v>
      </c>
      <c r="O45" s="888">
        <f>Sheet1!DC46</f>
        <v>1079.5</v>
      </c>
      <c r="P45" s="889" t="e">
        <f>Calculation!FD48</f>
        <v>#N/A</v>
      </c>
      <c r="Q45" s="895">
        <f>Calculation!DP48</f>
        <v>1151.0000000032514</v>
      </c>
      <c r="R45" s="888">
        <f t="shared" si="6"/>
        <v>532.00000000325144</v>
      </c>
      <c r="S45" s="890">
        <f t="shared" si="14"/>
        <v>-48.100000000029468</v>
      </c>
      <c r="T45" s="895">
        <f ca="1">IF(A45&gt;$A$1,#N/A,VLOOKUP(A45,Calculation!$B$8:$JO$503,40,FALSE))</f>
        <v>0</v>
      </c>
      <c r="U45" s="890">
        <f t="shared" si="15"/>
        <v>0</v>
      </c>
      <c r="V45" s="890">
        <f>Calculation!AZ48</f>
        <v>0</v>
      </c>
      <c r="W45" s="895">
        <f t="shared" ca="1" si="12"/>
        <v>0</v>
      </c>
      <c r="X45" s="890">
        <v>0</v>
      </c>
      <c r="Y45" s="890">
        <f t="shared" ca="1" si="16"/>
        <v>0</v>
      </c>
      <c r="Z45" s="890">
        <f t="shared" ca="1" si="17"/>
        <v>0</v>
      </c>
      <c r="AA45" s="890">
        <f t="shared" ca="1" si="10"/>
        <v>0</v>
      </c>
      <c r="AB45" s="895">
        <f t="shared" ca="1" si="11"/>
        <v>1151.0000000032514</v>
      </c>
      <c r="AC45" s="980">
        <f t="shared" ca="1" si="8"/>
        <v>532.00000000325144</v>
      </c>
      <c r="AD45" s="860" t="e">
        <f ca="1">IF(A45&gt;$A$1,#N/A,VLOOKUP(A45,Calculation!$B$8:$JO$503,165,FALSE))</f>
        <v>#N/A</v>
      </c>
      <c r="AE45" s="399" t="e">
        <f t="shared" ca="1" si="18"/>
        <v>#N/A</v>
      </c>
      <c r="AF45" s="399"/>
      <c r="AG45" s="841">
        <f>Calculation!G48</f>
        <v>624.74382249116013</v>
      </c>
      <c r="AH45" s="847" t="str">
        <f t="shared" si="19"/>
        <v>Yes</v>
      </c>
      <c r="AI45" s="847" t="str">
        <f>IF(Calculation!K48&gt;0,"Yes","No")</f>
        <v>Yes</v>
      </c>
      <c r="AJ45" s="869">
        <v>2403.8000000035336</v>
      </c>
      <c r="AK45" s="870">
        <v>819.0000000024761</v>
      </c>
      <c r="AL45" s="870">
        <v>910.40000000278303</v>
      </c>
      <c r="AN45" s="372">
        <v>867.20000000275581</v>
      </c>
      <c r="AO45" s="372">
        <v>866.00000000275577</v>
      </c>
      <c r="AP45" s="372">
        <v>1720.0000000042974</v>
      </c>
      <c r="AU45" s="427"/>
      <c r="AV45" s="410"/>
      <c r="AW45" s="617">
        <f>Calculation!BB48*3.068</f>
        <v>0</v>
      </c>
      <c r="AX45" s="618"/>
      <c r="AY45" s="618"/>
      <c r="AZ45" s="619"/>
      <c r="BB45" s="433"/>
      <c r="BC45" s="432"/>
      <c r="BD45" s="433"/>
      <c r="BE45" s="432"/>
      <c r="BF45" s="433"/>
      <c r="BG45" s="432"/>
      <c r="BH45" s="429"/>
    </row>
    <row r="46" spans="1:60" ht="13.8" thickBot="1" x14ac:dyDescent="0.3">
      <c r="A46" s="406">
        <v>42773</v>
      </c>
      <c r="B46" s="860">
        <f t="shared" si="13"/>
        <v>94.026659999999993</v>
      </c>
      <c r="C46" s="860">
        <f>Calculation!AK49</f>
        <v>0</v>
      </c>
      <c r="D46" s="860">
        <f>Calculation!AI49</f>
        <v>0</v>
      </c>
      <c r="E46" s="860">
        <f>Calculation!AE49</f>
        <v>40.222000000000001</v>
      </c>
      <c r="F46" s="860">
        <f>Calculation!AF49</f>
        <v>53.804659999999998</v>
      </c>
      <c r="G46" s="860">
        <f>Calculation!AG49</f>
        <v>0</v>
      </c>
      <c r="H46" s="861">
        <f>Sheet1!H47</f>
        <v>1.48</v>
      </c>
      <c r="I46" s="841">
        <f>Sheet1!DA47</f>
        <v>1320</v>
      </c>
      <c r="J46" s="841">
        <f>Sheet1!DB47</f>
        <v>468</v>
      </c>
      <c r="K46" s="841">
        <f>Sheet1!CZ47</f>
        <v>539</v>
      </c>
      <c r="L46" s="865">
        <f>Calculation!F49</f>
        <v>250</v>
      </c>
      <c r="M46" s="865">
        <f>Calculation!E49</f>
        <v>250</v>
      </c>
      <c r="N46" s="865">
        <f>Calculation!D49</f>
        <v>300</v>
      </c>
      <c r="O46" s="888">
        <f>Sheet1!DC47</f>
        <v>1078.27</v>
      </c>
      <c r="P46" s="889" t="e">
        <f>Calculation!FD49</f>
        <v>#N/A</v>
      </c>
      <c r="Q46" s="895">
        <f>Calculation!DP49</f>
        <v>995.10000000310367</v>
      </c>
      <c r="R46" s="888">
        <f t="shared" si="6"/>
        <v>376.10000000310367</v>
      </c>
      <c r="S46" s="890">
        <f t="shared" si="14"/>
        <v>-155.90000000014777</v>
      </c>
      <c r="T46" s="895">
        <f ca="1">IF(A46&gt;$A$1,#N/A,VLOOKUP(A46,Calculation!$B$8:$JO$503,40,FALSE))</f>
        <v>0</v>
      </c>
      <c r="U46" s="890">
        <f t="shared" si="15"/>
        <v>0</v>
      </c>
      <c r="V46" s="890">
        <f>Calculation!AZ49</f>
        <v>0</v>
      </c>
      <c r="W46" s="895">
        <f t="shared" ca="1" si="12"/>
        <v>0</v>
      </c>
      <c r="X46" s="890">
        <v>0</v>
      </c>
      <c r="Y46" s="890">
        <f t="shared" ca="1" si="16"/>
        <v>0</v>
      </c>
      <c r="Z46" s="890">
        <f t="shared" ca="1" si="17"/>
        <v>0</v>
      </c>
      <c r="AA46" s="890">
        <f t="shared" ca="1" si="10"/>
        <v>0</v>
      </c>
      <c r="AB46" s="895">
        <f t="shared" ca="1" si="11"/>
        <v>995.10000000310367</v>
      </c>
      <c r="AC46" s="980">
        <f t="shared" ca="1" si="8"/>
        <v>376.10000000310367</v>
      </c>
      <c r="AD46" s="860" t="e">
        <f ca="1">IF(A46&gt;$A$1,#N/A,VLOOKUP(A46,Calculation!$B$8:$JO$503,165,FALSE))</f>
        <v>#N/A</v>
      </c>
      <c r="AE46" s="399" t="e">
        <f t="shared" ca="1" si="18"/>
        <v>#N/A</v>
      </c>
      <c r="AF46" s="399"/>
      <c r="AG46" s="841">
        <f>Calculation!G49</f>
        <v>460.38174483098953</v>
      </c>
      <c r="AH46" s="847" t="str">
        <f t="shared" si="19"/>
        <v>Yes</v>
      </c>
      <c r="AI46" s="847" t="str">
        <f>IF(Calculation!K49&gt;0,"Yes","No")</f>
        <v>Yes</v>
      </c>
      <c r="AJ46" s="869">
        <v>2326.8000000034699</v>
      </c>
      <c r="AK46" s="870">
        <v>686.20000000235109</v>
      </c>
      <c r="AL46" s="870">
        <v>888.80000000278301</v>
      </c>
      <c r="AN46" s="372">
        <v>1086.0000000031923</v>
      </c>
      <c r="AO46" s="372">
        <v>1257.0000000035971</v>
      </c>
      <c r="AP46" s="372">
        <v>1184.800000003281</v>
      </c>
      <c r="AU46" s="427"/>
      <c r="AV46" s="410"/>
      <c r="AW46" s="617">
        <f>Calculation!BB49*3.068</f>
        <v>0</v>
      </c>
      <c r="AX46" s="618"/>
      <c r="AY46" s="618"/>
      <c r="AZ46" s="619"/>
      <c r="BB46" s="433"/>
      <c r="BC46" s="432"/>
      <c r="BD46" s="433"/>
      <c r="BE46" s="432"/>
      <c r="BF46" s="433"/>
      <c r="BG46" s="432"/>
      <c r="BH46" s="429"/>
    </row>
    <row r="47" spans="1:60" ht="13.8" thickBot="1" x14ac:dyDescent="0.3">
      <c r="A47" s="406">
        <v>42774</v>
      </c>
      <c r="B47" s="860">
        <f t="shared" si="13"/>
        <v>90.391210000000001</v>
      </c>
      <c r="C47" s="860">
        <f>Calculation!AK50</f>
        <v>0</v>
      </c>
      <c r="D47" s="860">
        <f>Calculation!AI50</f>
        <v>0</v>
      </c>
      <c r="E47" s="860">
        <f>Calculation!AE50</f>
        <v>39.959009999999992</v>
      </c>
      <c r="F47" s="860">
        <f>Calculation!AF50</f>
        <v>50.432200000000002</v>
      </c>
      <c r="G47" s="860">
        <f>Calculation!AG50</f>
        <v>0</v>
      </c>
      <c r="H47" s="861">
        <f>Sheet1!H48</f>
        <v>1.81</v>
      </c>
      <c r="I47" s="841">
        <f>Sheet1!DA48</f>
        <v>1419</v>
      </c>
      <c r="J47" s="841">
        <f>Sheet1!DB48</f>
        <v>485</v>
      </c>
      <c r="K47" s="841">
        <f>Sheet1!CZ48</f>
        <v>542</v>
      </c>
      <c r="L47" s="865">
        <f>Calculation!F50</f>
        <v>250</v>
      </c>
      <c r="M47" s="865">
        <f>Calculation!E50</f>
        <v>250</v>
      </c>
      <c r="N47" s="865">
        <f>Calculation!D50</f>
        <v>300</v>
      </c>
      <c r="O47" s="888">
        <f>Sheet1!DC48</f>
        <v>1078.04</v>
      </c>
      <c r="P47" s="889" t="e">
        <f>Calculation!FD50</f>
        <v>#N/A</v>
      </c>
      <c r="Q47" s="895">
        <f>Calculation!DP50</f>
        <v>966.20000000307414</v>
      </c>
      <c r="R47" s="888">
        <f t="shared" si="6"/>
        <v>347.20000000307414</v>
      </c>
      <c r="S47" s="890">
        <f t="shared" si="14"/>
        <v>-28.900000000029536</v>
      </c>
      <c r="T47" s="895">
        <f ca="1">IF(A47&gt;$A$1,#N/A,VLOOKUP(A47,Calculation!$B$8:$JO$503,40,FALSE))</f>
        <v>0</v>
      </c>
      <c r="U47" s="890">
        <f t="shared" si="15"/>
        <v>0</v>
      </c>
      <c r="V47" s="890">
        <f>Calculation!AZ50</f>
        <v>0</v>
      </c>
      <c r="W47" s="895">
        <f t="shared" ca="1" si="12"/>
        <v>0</v>
      </c>
      <c r="X47" s="890">
        <v>0</v>
      </c>
      <c r="Y47" s="890">
        <f t="shared" ca="1" si="16"/>
        <v>0</v>
      </c>
      <c r="Z47" s="890">
        <f t="shared" ca="1" si="17"/>
        <v>0</v>
      </c>
      <c r="AA47" s="890">
        <f t="shared" ca="1" si="10"/>
        <v>0</v>
      </c>
      <c r="AB47" s="895">
        <f t="shared" ca="1" si="11"/>
        <v>966.20000000307414</v>
      </c>
      <c r="AC47" s="980">
        <f t="shared" ca="1" si="8"/>
        <v>347.20000000307414</v>
      </c>
      <c r="AD47" s="860" t="e">
        <f ca="1">IF(A47&gt;$A$1,#N/A,VLOOKUP(A47,Calculation!$B$8:$JO$503,165,FALSE))</f>
        <v>#N/A</v>
      </c>
      <c r="AE47" s="399" t="e">
        <f t="shared" ca="1" si="18"/>
        <v>#N/A</v>
      </c>
      <c r="AF47" s="399"/>
      <c r="AG47" s="841">
        <f>Calculation!G50</f>
        <v>527.42612203730232</v>
      </c>
      <c r="AH47" s="847" t="str">
        <f t="shared" si="19"/>
        <v>Yes</v>
      </c>
      <c r="AI47" s="847" t="str">
        <f>IF(Calculation!K50&gt;0,"Yes","No")</f>
        <v>Yes</v>
      </c>
      <c r="AJ47" s="869">
        <v>2174.0000000032232</v>
      </c>
      <c r="AK47" s="870">
        <v>723.70000000240111</v>
      </c>
      <c r="AL47" s="870">
        <v>1101.6000000031922</v>
      </c>
      <c r="AN47" s="372">
        <v>1112.0000000032219</v>
      </c>
      <c r="AO47" s="372">
        <v>1581.0000000041609</v>
      </c>
      <c r="AP47" s="372">
        <v>628.900000002301</v>
      </c>
      <c r="AU47" s="427"/>
      <c r="AV47" s="410"/>
      <c r="AW47" s="617">
        <f>Calculation!BB50*3.068</f>
        <v>0</v>
      </c>
      <c r="AX47" s="618"/>
      <c r="AY47" s="618"/>
      <c r="AZ47" s="619"/>
      <c r="BB47" s="433"/>
      <c r="BC47" s="432"/>
      <c r="BD47" s="433"/>
      <c r="BE47" s="432"/>
      <c r="BF47" s="433"/>
      <c r="BG47" s="432"/>
      <c r="BH47" s="429"/>
    </row>
    <row r="48" spans="1:60" ht="13.8" thickBot="1" x14ac:dyDescent="0.3">
      <c r="A48" s="406">
        <v>42775</v>
      </c>
      <c r="B48" s="860">
        <f t="shared" si="13"/>
        <v>88.132589999999993</v>
      </c>
      <c r="C48" s="860">
        <f>Calculation!AK51</f>
        <v>0</v>
      </c>
      <c r="D48" s="860">
        <f>Calculation!AI51</f>
        <v>0</v>
      </c>
      <c r="E48" s="860">
        <f>Calculation!AE51</f>
        <v>40.020890000000001</v>
      </c>
      <c r="F48" s="860">
        <f>Calculation!AF51</f>
        <v>48.111699999999999</v>
      </c>
      <c r="G48" s="860">
        <f>Calculation!AG51</f>
        <v>19.507669999995272</v>
      </c>
      <c r="H48" s="861">
        <f>Sheet1!H49</f>
        <v>16.2</v>
      </c>
      <c r="I48" s="841">
        <f>Sheet1!DA49</f>
        <v>3480</v>
      </c>
      <c r="J48" s="841">
        <f>Sheet1!DB49</f>
        <v>1520</v>
      </c>
      <c r="K48" s="841">
        <f>Sheet1!CZ49</f>
        <v>1310</v>
      </c>
      <c r="L48" s="865">
        <f>Calculation!F51</f>
        <v>250</v>
      </c>
      <c r="M48" s="865">
        <f>Calculation!E51</f>
        <v>250</v>
      </c>
      <c r="N48" s="865">
        <f>Calculation!D51</f>
        <v>300</v>
      </c>
      <c r="O48" s="888">
        <f>Sheet1!DC49</f>
        <v>1084.9100000000001</v>
      </c>
      <c r="P48" s="889" t="e">
        <f>Calculation!FD51</f>
        <v>#N/A</v>
      </c>
      <c r="Q48" s="895">
        <f>Calculation!DP51</f>
        <v>1937.500000004502</v>
      </c>
      <c r="R48" s="888">
        <f t="shared" si="6"/>
        <v>1318.500000004502</v>
      </c>
      <c r="S48" s="890">
        <f t="shared" si="14"/>
        <v>971.30000000142786</v>
      </c>
      <c r="T48" s="895">
        <f ca="1">IF(A48&gt;$A$1,#N/A,VLOOKUP(A48,Calculation!$B$8:$JO$503,40,FALSE))</f>
        <v>0</v>
      </c>
      <c r="U48" s="890">
        <f t="shared" si="15"/>
        <v>0</v>
      </c>
      <c r="V48" s="890">
        <f>Calculation!AZ51</f>
        <v>0</v>
      </c>
      <c r="W48" s="895">
        <f t="shared" ca="1" si="12"/>
        <v>0</v>
      </c>
      <c r="X48" s="890">
        <v>0</v>
      </c>
      <c r="Y48" s="890">
        <f t="shared" ca="1" si="16"/>
        <v>0</v>
      </c>
      <c r="Z48" s="890">
        <f t="shared" ca="1" si="17"/>
        <v>0</v>
      </c>
      <c r="AA48" s="890">
        <f t="shared" ca="1" si="10"/>
        <v>0</v>
      </c>
      <c r="AB48" s="895">
        <f t="shared" ca="1" si="11"/>
        <v>1937.500000004502</v>
      </c>
      <c r="AC48" s="980">
        <f t="shared" ca="1" si="8"/>
        <v>1318.500000004502</v>
      </c>
      <c r="AD48" s="860" t="e">
        <f ca="1">IF(A48&gt;$A$1,#N/A,VLOOKUP(A48,Calculation!$B$8:$JO$503,165,FALSE))</f>
        <v>#N/A</v>
      </c>
      <c r="AE48" s="399" t="e">
        <f t="shared" ca="1" si="18"/>
        <v>#N/A</v>
      </c>
      <c r="AF48" s="399"/>
      <c r="AG48" s="841">
        <f>Calculation!G51</f>
        <v>1799.8134140198829</v>
      </c>
      <c r="AH48" s="847" t="str">
        <f t="shared" si="19"/>
        <v>Yes</v>
      </c>
      <c r="AI48" s="847" t="str">
        <f>IF(Calculation!K51&gt;0,"Yes","No")</f>
        <v>Yes</v>
      </c>
      <c r="AJ48" s="869">
        <v>1980.4600000028363</v>
      </c>
      <c r="AK48" s="870">
        <v>743.40000000242605</v>
      </c>
      <c r="AL48" s="870">
        <v>1307.1000000033991</v>
      </c>
      <c r="AN48" s="372">
        <v>1074.0000000029468</v>
      </c>
      <c r="AO48" s="372">
        <v>1152.3000000032514</v>
      </c>
      <c r="AP48" s="372">
        <v>778.50000000245109</v>
      </c>
      <c r="AU48" s="427"/>
      <c r="AV48" s="410"/>
      <c r="AW48" s="617">
        <f>Calculation!BB51*3.068</f>
        <v>0</v>
      </c>
      <c r="AX48" s="618"/>
      <c r="AY48" s="618"/>
      <c r="AZ48" s="619"/>
      <c r="BB48" s="433"/>
      <c r="BC48" s="432"/>
      <c r="BD48" s="433"/>
      <c r="BE48" s="432"/>
      <c r="BF48" s="433"/>
      <c r="BG48" s="432"/>
      <c r="BH48" s="429"/>
    </row>
    <row r="49" spans="1:60" ht="13.8" thickBot="1" x14ac:dyDescent="0.3">
      <c r="A49" s="406">
        <v>42776</v>
      </c>
      <c r="B49" s="860">
        <f t="shared" si="13"/>
        <v>86.322599999999994</v>
      </c>
      <c r="C49" s="860">
        <f>Calculation!AK52</f>
        <v>0</v>
      </c>
      <c r="D49" s="860">
        <f>Calculation!AI52</f>
        <v>0</v>
      </c>
      <c r="E49" s="860">
        <f>Calculation!AE52</f>
        <v>39.912599999999998</v>
      </c>
      <c r="F49" s="860">
        <f>Calculation!AF52</f>
        <v>46.41</v>
      </c>
      <c r="G49" s="860">
        <f>Calculation!AG52</f>
        <v>30.738890000004051</v>
      </c>
      <c r="H49" s="861">
        <f>Sheet1!H50</f>
        <v>15.73</v>
      </c>
      <c r="I49" s="841">
        <f>Sheet1!DA50</f>
        <v>3180</v>
      </c>
      <c r="J49" s="841">
        <f>Sheet1!DB50</f>
        <v>1570</v>
      </c>
      <c r="K49" s="841">
        <f>Sheet1!CZ50</f>
        <v>1580</v>
      </c>
      <c r="L49" s="865">
        <f>Calculation!F52</f>
        <v>250</v>
      </c>
      <c r="M49" s="865">
        <f>Calculation!E52</f>
        <v>250</v>
      </c>
      <c r="N49" s="865">
        <f>Calculation!D52</f>
        <v>300</v>
      </c>
      <c r="O49" s="888">
        <f>Sheet1!DC50</f>
        <v>1090.3900000000001</v>
      </c>
      <c r="P49" s="889" t="e">
        <f>Calculation!FD52</f>
        <v>#N/A</v>
      </c>
      <c r="Q49" s="895">
        <f>Calculation!DP52</f>
        <v>2925.0000000070031</v>
      </c>
      <c r="R49" s="888">
        <f t="shared" si="6"/>
        <v>2306.0000000070031</v>
      </c>
      <c r="S49" s="890">
        <f t="shared" si="14"/>
        <v>987.50000000250111</v>
      </c>
      <c r="T49" s="895">
        <f ca="1">IF(A49&gt;$A$1,#N/A,VLOOKUP(A49,Calculation!$B$8:$JO$503,40,FALSE))</f>
        <v>0</v>
      </c>
      <c r="U49" s="890">
        <f t="shared" si="15"/>
        <v>0</v>
      </c>
      <c r="V49" s="890">
        <f>Calculation!AZ52</f>
        <v>0</v>
      </c>
      <c r="W49" s="895">
        <f t="shared" ca="1" si="12"/>
        <v>0</v>
      </c>
      <c r="X49" s="890">
        <v>0</v>
      </c>
      <c r="Y49" s="890">
        <f t="shared" ca="1" si="16"/>
        <v>0</v>
      </c>
      <c r="Z49" s="890">
        <f t="shared" ca="1" si="17"/>
        <v>0</v>
      </c>
      <c r="AA49" s="890">
        <f t="shared" ca="1" si="10"/>
        <v>0</v>
      </c>
      <c r="AB49" s="895">
        <f t="shared" ca="1" si="11"/>
        <v>2925.0000000070031</v>
      </c>
      <c r="AC49" s="980">
        <f t="shared" ca="1" si="8"/>
        <v>2306.0000000070031</v>
      </c>
      <c r="AD49" s="860" t="e">
        <f ca="1">IF(A49&gt;$A$1,#N/A,VLOOKUP(A49,Calculation!$B$8:$JO$503,165,FALSE))</f>
        <v>#N/A</v>
      </c>
      <c r="AE49" s="399" t="e">
        <f t="shared" ca="1" si="18"/>
        <v>#N/A</v>
      </c>
      <c r="AF49" s="399"/>
      <c r="AG49" s="841">
        <f>Calculation!G52</f>
        <v>2077.9828542624814</v>
      </c>
      <c r="AH49" s="847" t="str">
        <f t="shared" si="19"/>
        <v>Yes</v>
      </c>
      <c r="AI49" s="847" t="str">
        <f>IF(Calculation!K52&gt;0,"Yes","No")</f>
        <v>Yes</v>
      </c>
      <c r="AJ49" s="869">
        <v>1971.6400000028361</v>
      </c>
      <c r="AK49" s="870">
        <v>769.70000000242612</v>
      </c>
      <c r="AL49" s="870">
        <v>1190.000000003281</v>
      </c>
      <c r="AN49" s="372">
        <v>926.00000000257614</v>
      </c>
      <c r="AO49" s="372">
        <v>1080.0000000029468</v>
      </c>
      <c r="AP49" s="372">
        <v>850.40000000272846</v>
      </c>
      <c r="AU49" s="427"/>
      <c r="AV49" s="410"/>
      <c r="AW49" s="617">
        <f>Calculation!BB52*3.068</f>
        <v>0</v>
      </c>
      <c r="AX49" s="618"/>
      <c r="AY49" s="618"/>
      <c r="AZ49" s="619"/>
      <c r="BB49" s="433"/>
      <c r="BC49" s="432"/>
      <c r="BD49" s="433"/>
      <c r="BE49" s="432"/>
      <c r="BF49" s="433"/>
      <c r="BG49" s="432"/>
      <c r="BH49" s="429"/>
    </row>
    <row r="50" spans="1:60" ht="13.8" thickBot="1" x14ac:dyDescent="0.3">
      <c r="A50" s="406">
        <v>42777</v>
      </c>
      <c r="B50" s="860">
        <f t="shared" si="13"/>
        <v>86.183369999999996</v>
      </c>
      <c r="C50" s="860">
        <f>Calculation!AK53</f>
        <v>0</v>
      </c>
      <c r="D50" s="860">
        <f>Calculation!AI53</f>
        <v>0</v>
      </c>
      <c r="E50" s="860">
        <f>Calculation!AE53</f>
        <v>39.757899999999999</v>
      </c>
      <c r="F50" s="860">
        <f>Calculation!AF53</f>
        <v>46.425469999999997</v>
      </c>
      <c r="G50" s="860">
        <f>Calculation!AG53</f>
        <v>5.4454400000006755</v>
      </c>
      <c r="H50" s="861">
        <f>Sheet1!H51</f>
        <v>6.58</v>
      </c>
      <c r="I50" s="841">
        <f>Sheet1!DA51</f>
        <v>2710</v>
      </c>
      <c r="J50" s="841">
        <f>Sheet1!DB51</f>
        <v>1490</v>
      </c>
      <c r="K50" s="841">
        <f>Sheet1!CZ51</f>
        <v>1560</v>
      </c>
      <c r="L50" s="865">
        <f>Calculation!F53</f>
        <v>250</v>
      </c>
      <c r="M50" s="865">
        <f>Calculation!E53</f>
        <v>250</v>
      </c>
      <c r="N50" s="865">
        <f>Calculation!D53</f>
        <v>300</v>
      </c>
      <c r="O50" s="888">
        <f>Sheet1!DC51</f>
        <v>1089.2</v>
      </c>
      <c r="P50" s="889" t="e">
        <f>Calculation!FD53</f>
        <v>#N/A</v>
      </c>
      <c r="Q50" s="895">
        <f>Calculation!DP53</f>
        <v>2690.0000000067757</v>
      </c>
      <c r="R50" s="888">
        <f t="shared" si="6"/>
        <v>2071.0000000067757</v>
      </c>
      <c r="S50" s="890">
        <f t="shared" si="14"/>
        <v>-235.00000000022737</v>
      </c>
      <c r="T50" s="895">
        <f ca="1">IF(A50&gt;$A$1,#N/A,VLOOKUP(A50,Calculation!$B$8:$JO$503,40,FALSE))</f>
        <v>0</v>
      </c>
      <c r="U50" s="890">
        <f t="shared" si="15"/>
        <v>0</v>
      </c>
      <c r="V50" s="890">
        <f>Calculation!AZ53</f>
        <v>0</v>
      </c>
      <c r="W50" s="895">
        <f t="shared" ca="1" si="12"/>
        <v>0</v>
      </c>
      <c r="X50" s="890">
        <v>0</v>
      </c>
      <c r="Y50" s="890">
        <f t="shared" ca="1" si="16"/>
        <v>0</v>
      </c>
      <c r="Z50" s="890">
        <f t="shared" ca="1" si="17"/>
        <v>0</v>
      </c>
      <c r="AA50" s="890">
        <f t="shared" ca="1" si="10"/>
        <v>0</v>
      </c>
      <c r="AB50" s="895">
        <f t="shared" ca="1" si="11"/>
        <v>2690.0000000067757</v>
      </c>
      <c r="AC50" s="980">
        <f t="shared" ca="1" si="8"/>
        <v>2071.0000000067757</v>
      </c>
      <c r="AD50" s="860" t="e">
        <f ca="1">IF(A50&gt;$A$1,#N/A,VLOOKUP(A50,Calculation!$B$8:$JO$503,165,FALSE))</f>
        <v>#N/A</v>
      </c>
      <c r="AE50" s="399" t="e">
        <f t="shared" ca="1" si="18"/>
        <v>#N/A</v>
      </c>
      <c r="AF50" s="399"/>
      <c r="AG50" s="841">
        <f>Calculation!G53</f>
        <v>1441.4926878465824</v>
      </c>
      <c r="AH50" s="847" t="str">
        <f t="shared" si="19"/>
        <v>Yes</v>
      </c>
      <c r="AI50" s="847" t="str">
        <f>IF(Calculation!K53&gt;0,"Yes","No")</f>
        <v>Yes</v>
      </c>
      <c r="AJ50" s="869">
        <v>1989.2800000028362</v>
      </c>
      <c r="AK50" s="870">
        <v>874.40000000275575</v>
      </c>
      <c r="AL50" s="870">
        <v>825.60000000247612</v>
      </c>
      <c r="AN50" s="372">
        <v>963.60000000307411</v>
      </c>
      <c r="AO50" s="372">
        <v>1038.6000000031331</v>
      </c>
      <c r="AP50" s="372">
        <v>861.20000000275581</v>
      </c>
      <c r="AU50" s="427"/>
      <c r="AV50" s="410"/>
      <c r="AW50" s="617">
        <f>Calculation!BB53*3.068</f>
        <v>0</v>
      </c>
      <c r="AX50" s="618"/>
      <c r="AY50" s="618"/>
      <c r="AZ50" s="619"/>
      <c r="BB50" s="433"/>
      <c r="BC50" s="432"/>
      <c r="BD50" s="433"/>
      <c r="BE50" s="432"/>
      <c r="BF50" s="433"/>
      <c r="BG50" s="432"/>
      <c r="BH50" s="429"/>
    </row>
    <row r="51" spans="1:60" ht="13.8" thickBot="1" x14ac:dyDescent="0.3">
      <c r="A51" s="406">
        <v>42778</v>
      </c>
      <c r="B51" s="860">
        <f t="shared" si="13"/>
        <v>86.322599999999994</v>
      </c>
      <c r="C51" s="860">
        <f>Calculation!AK54</f>
        <v>0</v>
      </c>
      <c r="D51" s="860">
        <f>Calculation!AI54</f>
        <v>0</v>
      </c>
      <c r="E51" s="860">
        <f>Calculation!AE54</f>
        <v>39.912599999999998</v>
      </c>
      <c r="F51" s="860">
        <f>Calculation!AF54</f>
        <v>46.41</v>
      </c>
      <c r="G51" s="860">
        <f>Calculation!AG54</f>
        <v>0</v>
      </c>
      <c r="H51" s="861">
        <f>Sheet1!H52</f>
        <v>3.9</v>
      </c>
      <c r="I51" s="841">
        <f>Sheet1!DA52</f>
        <v>2450</v>
      </c>
      <c r="J51" s="841">
        <f>Sheet1!DB52</f>
        <v>1390</v>
      </c>
      <c r="K51" s="841">
        <f>Sheet1!CZ52</f>
        <v>1500</v>
      </c>
      <c r="L51" s="865">
        <f>Calculation!F54</f>
        <v>250</v>
      </c>
      <c r="M51" s="865">
        <f>Calculation!E54</f>
        <v>250</v>
      </c>
      <c r="N51" s="865">
        <f>Calculation!D54</f>
        <v>300</v>
      </c>
      <c r="O51" s="888">
        <f>Sheet1!DC52</f>
        <v>1085.3599999999999</v>
      </c>
      <c r="P51" s="889" t="e">
        <f>Calculation!FD54</f>
        <v>#N/A</v>
      </c>
      <c r="Q51" s="895">
        <f>Calculation!DP54</f>
        <v>2010.6000000048384</v>
      </c>
      <c r="R51" s="888">
        <f t="shared" si="6"/>
        <v>1391.6000000048384</v>
      </c>
      <c r="S51" s="890">
        <f t="shared" si="14"/>
        <v>-679.40000000193731</v>
      </c>
      <c r="T51" s="895">
        <f ca="1">IF(A51&gt;$A$1,#N/A,VLOOKUP(A51,Calculation!$B$8:$JO$503,40,FALSE))</f>
        <v>0</v>
      </c>
      <c r="U51" s="890">
        <f t="shared" si="15"/>
        <v>0</v>
      </c>
      <c r="V51" s="890">
        <f>Calculation!AZ54</f>
        <v>0</v>
      </c>
      <c r="W51" s="895">
        <f t="shared" ca="1" si="12"/>
        <v>0</v>
      </c>
      <c r="X51" s="890">
        <v>0</v>
      </c>
      <c r="Y51" s="890">
        <f t="shared" ca="1" si="16"/>
        <v>0</v>
      </c>
      <c r="Z51" s="890">
        <f t="shared" ca="1" si="17"/>
        <v>0</v>
      </c>
      <c r="AA51" s="890">
        <f t="shared" ca="1" si="10"/>
        <v>0</v>
      </c>
      <c r="AB51" s="895">
        <f t="shared" ca="1" si="11"/>
        <v>2010.6000000048384</v>
      </c>
      <c r="AC51" s="980">
        <f t="shared" ca="1" si="8"/>
        <v>1391.6000000048384</v>
      </c>
      <c r="AD51" s="860" t="e">
        <f ca="1">IF(A51&gt;$A$1,#N/A,VLOOKUP(A51,Calculation!$B$8:$JO$503,165,FALSE))</f>
        <v>#N/A</v>
      </c>
      <c r="AE51" s="399" t="e">
        <f t="shared" ca="1" si="18"/>
        <v>#N/A</v>
      </c>
      <c r="AF51" s="399"/>
      <c r="AG51" s="841">
        <f>Calculation!G54</f>
        <v>1157.3877962673034</v>
      </c>
      <c r="AH51" s="847" t="str">
        <f t="shared" si="19"/>
        <v>Yes</v>
      </c>
      <c r="AI51" s="847" t="str">
        <f>IF(Calculation!K54&gt;0,"Yes","No")</f>
        <v>Yes</v>
      </c>
      <c r="AJ51" s="869">
        <v>2010.700000002865</v>
      </c>
      <c r="AK51" s="870">
        <v>929.3000000025761</v>
      </c>
      <c r="AL51" s="870">
        <v>673.00000000235104</v>
      </c>
      <c r="AN51" s="372">
        <v>1257.0000000035971</v>
      </c>
      <c r="AO51" s="372">
        <v>1020.1000000031332</v>
      </c>
      <c r="AP51" s="372">
        <v>1132.8000000032218</v>
      </c>
      <c r="AU51" s="427"/>
      <c r="AV51" s="410"/>
      <c r="AW51" s="617">
        <f>Calculation!BB54*3.068</f>
        <v>0</v>
      </c>
      <c r="AX51" s="618"/>
      <c r="AY51" s="618"/>
      <c r="AZ51" s="619"/>
      <c r="BB51" s="433"/>
      <c r="BC51" s="432"/>
      <c r="BD51" s="433"/>
      <c r="BE51" s="432"/>
      <c r="BF51" s="433"/>
      <c r="BG51" s="432"/>
      <c r="BH51" s="429"/>
    </row>
    <row r="52" spans="1:60" ht="13.8" thickBot="1" x14ac:dyDescent="0.3">
      <c r="A52" s="406">
        <v>42779</v>
      </c>
      <c r="B52" s="860">
        <f t="shared" si="13"/>
        <v>86.322599999999994</v>
      </c>
      <c r="C52" s="860">
        <f>Calculation!AK55</f>
        <v>0</v>
      </c>
      <c r="D52" s="860">
        <f>Calculation!AI55</f>
        <v>0</v>
      </c>
      <c r="E52" s="860">
        <f>Calculation!AE55</f>
        <v>39.912599999999998</v>
      </c>
      <c r="F52" s="860">
        <f>Calculation!AF55</f>
        <v>46.41</v>
      </c>
      <c r="G52" s="860">
        <f>Calculation!AG55</f>
        <v>0</v>
      </c>
      <c r="H52" s="861">
        <f>Sheet1!H53</f>
        <v>3.63</v>
      </c>
      <c r="I52" s="841">
        <f>Sheet1!DA53</f>
        <v>2030</v>
      </c>
      <c r="J52" s="841">
        <f>Sheet1!DB53</f>
        <v>1120</v>
      </c>
      <c r="K52" s="841">
        <f>Sheet1!CZ53</f>
        <v>1200</v>
      </c>
      <c r="L52" s="865">
        <f>Calculation!F55</f>
        <v>250</v>
      </c>
      <c r="M52" s="865">
        <f>Calculation!E55</f>
        <v>250</v>
      </c>
      <c r="N52" s="865">
        <f>Calculation!D55</f>
        <v>300</v>
      </c>
      <c r="O52" s="888">
        <f>Sheet1!DC53</f>
        <v>1081.4100000000001</v>
      </c>
      <c r="P52" s="889" t="e">
        <f>Calculation!FD55</f>
        <v>#N/A</v>
      </c>
      <c r="Q52" s="895">
        <f>Calculation!DP55</f>
        <v>1410.4000000037563</v>
      </c>
      <c r="R52" s="888">
        <f t="shared" si="6"/>
        <v>791.4000000037563</v>
      </c>
      <c r="S52" s="890">
        <f t="shared" si="14"/>
        <v>-600.20000000108212</v>
      </c>
      <c r="T52" s="895">
        <f ca="1">IF(A52&gt;$A$1,#N/A,VLOOKUP(A52,Calculation!$B$8:$JO$503,40,FALSE))</f>
        <v>0</v>
      </c>
      <c r="U52" s="890">
        <f t="shared" si="15"/>
        <v>0</v>
      </c>
      <c r="V52" s="890">
        <f>Calculation!AZ55</f>
        <v>0</v>
      </c>
      <c r="W52" s="895">
        <f t="shared" ca="1" si="12"/>
        <v>0</v>
      </c>
      <c r="X52" s="890">
        <v>0</v>
      </c>
      <c r="Y52" s="890">
        <f t="shared" ca="1" si="16"/>
        <v>0</v>
      </c>
      <c r="Z52" s="890">
        <f t="shared" ca="1" si="17"/>
        <v>0</v>
      </c>
      <c r="AA52" s="890">
        <f t="shared" ca="1" si="10"/>
        <v>0</v>
      </c>
      <c r="AB52" s="895">
        <f t="shared" ca="1" si="11"/>
        <v>1410.4000000037563</v>
      </c>
      <c r="AC52" s="980">
        <f t="shared" ca="1" si="8"/>
        <v>791.4000000037563</v>
      </c>
      <c r="AD52" s="860" t="e">
        <f ca="1">IF(A52&gt;$A$1,#N/A,VLOOKUP(A52,Calculation!$B$8:$JO$503,165,FALSE))</f>
        <v>#N/A</v>
      </c>
      <c r="AE52" s="399" t="e">
        <f t="shared" ca="1" si="18"/>
        <v>#N/A</v>
      </c>
      <c r="AF52" s="399"/>
      <c r="AG52" s="841">
        <f>Calculation!G55</f>
        <v>897.32728189557133</v>
      </c>
      <c r="AH52" s="847" t="str">
        <f t="shared" si="19"/>
        <v>Yes</v>
      </c>
      <c r="AI52" s="847" t="str">
        <f>IF(Calculation!K55&gt;0,"Yes","No")</f>
        <v>Yes</v>
      </c>
      <c r="AJ52" s="869">
        <v>2155.1000000031922</v>
      </c>
      <c r="AK52" s="870">
        <v>836.00000000272848</v>
      </c>
      <c r="AL52" s="870">
        <v>1062.3000000031627</v>
      </c>
      <c r="AN52" s="372">
        <v>1299.3000000033696</v>
      </c>
      <c r="AO52" s="372">
        <v>1036.0000000031332</v>
      </c>
      <c r="AP52" s="372">
        <v>1330.6000000036606</v>
      </c>
      <c r="AU52" s="427"/>
      <c r="AV52" s="410"/>
      <c r="AW52" s="617">
        <f>Calculation!BB55*3.068</f>
        <v>0</v>
      </c>
      <c r="AX52" s="618"/>
      <c r="AY52" s="618"/>
      <c r="AZ52" s="619"/>
      <c r="BB52" s="433"/>
      <c r="BC52" s="432"/>
      <c r="BD52" s="433"/>
      <c r="BE52" s="432"/>
      <c r="BF52" s="433"/>
      <c r="BG52" s="432"/>
      <c r="BH52" s="429"/>
    </row>
    <row r="53" spans="1:60" ht="13.8" thickBot="1" x14ac:dyDescent="0.3">
      <c r="A53" s="406">
        <v>42780</v>
      </c>
      <c r="B53" s="860">
        <f t="shared" si="13"/>
        <v>86.415419999999997</v>
      </c>
      <c r="C53" s="860">
        <f>Calculation!AK56</f>
        <v>0</v>
      </c>
      <c r="D53" s="860">
        <f>Calculation!AI56</f>
        <v>0</v>
      </c>
      <c r="E53" s="860">
        <f>Calculation!AE56</f>
        <v>39.97448</v>
      </c>
      <c r="F53" s="860">
        <f>Calculation!AF56</f>
        <v>46.440939999999998</v>
      </c>
      <c r="G53" s="860">
        <f>Calculation!AG56</f>
        <v>0</v>
      </c>
      <c r="H53" s="861">
        <f>Sheet1!H54</f>
        <v>3.85</v>
      </c>
      <c r="I53" s="841">
        <f>Sheet1!DA54</f>
        <v>1880</v>
      </c>
      <c r="J53" s="841">
        <f>Sheet1!DB54</f>
        <v>1010</v>
      </c>
      <c r="K53" s="841">
        <f>Sheet1!CZ54</f>
        <v>1110</v>
      </c>
      <c r="L53" s="865">
        <f>Calculation!F56</f>
        <v>250</v>
      </c>
      <c r="M53" s="865">
        <f>Calculation!E56</f>
        <v>250</v>
      </c>
      <c r="N53" s="865">
        <f>Calculation!D56</f>
        <v>300</v>
      </c>
      <c r="O53" s="888">
        <f>Sheet1!DC54</f>
        <v>1078.46</v>
      </c>
      <c r="P53" s="889" t="e">
        <f>Calculation!FD56</f>
        <v>#N/A</v>
      </c>
      <c r="Q53" s="895">
        <f>Calculation!DP56</f>
        <v>1018.8000000031332</v>
      </c>
      <c r="R53" s="888">
        <f t="shared" si="6"/>
        <v>399.80000000313316</v>
      </c>
      <c r="S53" s="890">
        <f t="shared" si="14"/>
        <v>-391.60000000062314</v>
      </c>
      <c r="T53" s="895">
        <f ca="1">IF(A53&gt;$A$1,#N/A,VLOOKUP(A53,Calculation!$B$8:$JO$503,40,FALSE))</f>
        <v>0</v>
      </c>
      <c r="U53" s="890">
        <f t="shared" si="15"/>
        <v>0</v>
      </c>
      <c r="V53" s="890">
        <f>Calculation!AZ56</f>
        <v>0</v>
      </c>
      <c r="W53" s="895">
        <f t="shared" ca="1" si="12"/>
        <v>0</v>
      </c>
      <c r="X53" s="890">
        <v>0</v>
      </c>
      <c r="Y53" s="890">
        <f t="shared" ca="1" si="16"/>
        <v>0</v>
      </c>
      <c r="Z53" s="890">
        <f t="shared" ca="1" si="17"/>
        <v>0</v>
      </c>
      <c r="AA53" s="890">
        <f t="shared" ca="1" si="10"/>
        <v>0</v>
      </c>
      <c r="AB53" s="895">
        <f t="shared" ca="1" si="11"/>
        <v>1018.8000000031332</v>
      </c>
      <c r="AC53" s="980">
        <f t="shared" ca="1" si="8"/>
        <v>399.80000000313316</v>
      </c>
      <c r="AD53" s="860" t="e">
        <f ca="1">IF(A53&gt;$A$1,#N/A,VLOOKUP(A53,Calculation!$B$8:$JO$503,165,FALSE))</f>
        <v>#N/A</v>
      </c>
      <c r="AE53" s="399" t="e">
        <f t="shared" ca="1" si="18"/>
        <v>#N/A</v>
      </c>
      <c r="AF53" s="399"/>
      <c r="AG53" s="841">
        <f>Calculation!G56</f>
        <v>912.52143217316029</v>
      </c>
      <c r="AH53" s="847" t="str">
        <f t="shared" si="19"/>
        <v>Yes</v>
      </c>
      <c r="AI53" s="847" t="str">
        <f>IF(Calculation!K56&gt;0,"Yes","No")</f>
        <v>Yes</v>
      </c>
      <c r="AJ53" s="869">
        <v>2117.1000000030444</v>
      </c>
      <c r="AK53" s="870">
        <v>746.70000000242612</v>
      </c>
      <c r="AL53" s="870">
        <v>1099.0000000031923</v>
      </c>
      <c r="AN53" s="372">
        <v>986.00000000310365</v>
      </c>
      <c r="AO53" s="372">
        <v>974.00000000283762</v>
      </c>
      <c r="AP53" s="372">
        <v>3908.6000000086037</v>
      </c>
      <c r="AU53" s="427"/>
      <c r="AV53" s="410"/>
      <c r="AW53" s="617">
        <f>Calculation!BB56*3.068</f>
        <v>0</v>
      </c>
      <c r="AX53" s="618"/>
      <c r="AY53" s="618"/>
      <c r="AZ53" s="619"/>
      <c r="BB53" s="433"/>
      <c r="BC53" s="432"/>
      <c r="BD53" s="433"/>
      <c r="BE53" s="432"/>
      <c r="BF53" s="433"/>
      <c r="BG53" s="432"/>
      <c r="BH53" s="429"/>
    </row>
    <row r="54" spans="1:60" ht="13.8" thickBot="1" x14ac:dyDescent="0.3">
      <c r="A54" s="406">
        <v>42781</v>
      </c>
      <c r="B54" s="860">
        <f t="shared" si="13"/>
        <v>86.39994999999999</v>
      </c>
      <c r="C54" s="860">
        <f>Calculation!AK57</f>
        <v>0</v>
      </c>
      <c r="D54" s="860">
        <f>Calculation!AI57</f>
        <v>0</v>
      </c>
      <c r="E54" s="860">
        <f>Calculation!AE57</f>
        <v>40.005420000000001</v>
      </c>
      <c r="F54" s="860">
        <f>Calculation!AF57</f>
        <v>46.394529999999996</v>
      </c>
      <c r="G54" s="860">
        <f>Calculation!AG57</f>
        <v>11.911899999999999</v>
      </c>
      <c r="H54" s="861">
        <f>Sheet1!H55</f>
        <v>17.13</v>
      </c>
      <c r="I54" s="841">
        <f>Sheet1!DA55</f>
        <v>2570</v>
      </c>
      <c r="J54" s="841">
        <f>Sheet1!DB55</f>
        <v>1420</v>
      </c>
      <c r="K54" s="841">
        <f>Sheet1!CZ55</f>
        <v>1370</v>
      </c>
      <c r="L54" s="865">
        <f>Calculation!F57</f>
        <v>250</v>
      </c>
      <c r="M54" s="865">
        <f>Calculation!E57</f>
        <v>250</v>
      </c>
      <c r="N54" s="865">
        <f>Calculation!D57</f>
        <v>300</v>
      </c>
      <c r="O54" s="888">
        <f>Sheet1!DC55</f>
        <v>1082.73</v>
      </c>
      <c r="P54" s="889" t="e">
        <f>Calculation!FD57</f>
        <v>#N/A</v>
      </c>
      <c r="Q54" s="895">
        <f>Calculation!DP57</f>
        <v>1600.500000004195</v>
      </c>
      <c r="R54" s="888">
        <f t="shared" si="6"/>
        <v>981.50000000419504</v>
      </c>
      <c r="S54" s="890">
        <f t="shared" si="14"/>
        <v>581.70000000106188</v>
      </c>
      <c r="T54" s="895">
        <f ca="1">IF(A54&gt;$A$1,#N/A,VLOOKUP(A54,Calculation!$B$8:$JO$503,40,FALSE))</f>
        <v>0</v>
      </c>
      <c r="U54" s="890">
        <f t="shared" si="15"/>
        <v>0</v>
      </c>
      <c r="V54" s="890">
        <f>Calculation!AZ57</f>
        <v>0</v>
      </c>
      <c r="W54" s="895">
        <f t="shared" ca="1" si="12"/>
        <v>0</v>
      </c>
      <c r="X54" s="890">
        <v>0</v>
      </c>
      <c r="Y54" s="890">
        <f t="shared" ca="1" si="16"/>
        <v>0</v>
      </c>
      <c r="Z54" s="890">
        <f t="shared" ca="1" si="17"/>
        <v>0</v>
      </c>
      <c r="AA54" s="890">
        <f t="shared" ca="1" si="10"/>
        <v>0</v>
      </c>
      <c r="AB54" s="895">
        <f t="shared" ca="1" si="11"/>
        <v>1600.500000004195</v>
      </c>
      <c r="AC54" s="980">
        <f t="shared" ca="1" si="8"/>
        <v>981.50000000419504</v>
      </c>
      <c r="AD54" s="860" t="e">
        <f ca="1">IF(A54&gt;$A$1,#N/A,VLOOKUP(A54,Calculation!$B$8:$JO$503,165,FALSE))</f>
        <v>#N/A</v>
      </c>
      <c r="AE54" s="399" t="e">
        <f t="shared" ca="1" si="18"/>
        <v>#N/A</v>
      </c>
      <c r="AF54" s="399"/>
      <c r="AG54" s="841">
        <f>Calculation!G57</f>
        <v>1663.3434190625626</v>
      </c>
      <c r="AH54" s="847" t="str">
        <f t="shared" si="19"/>
        <v>Yes</v>
      </c>
      <c r="AI54" s="847" t="str">
        <f>IF(Calculation!K57&gt;0,"Yes","No")</f>
        <v>Yes</v>
      </c>
      <c r="AJ54" s="869">
        <v>2106.7000000030444</v>
      </c>
      <c r="AK54" s="870">
        <v>728.20000000261939</v>
      </c>
      <c r="AL54" s="870">
        <v>1139.3000000032514</v>
      </c>
      <c r="AN54" s="372">
        <v>1061.0000000031628</v>
      </c>
      <c r="AO54" s="372">
        <v>914.00000000278305</v>
      </c>
      <c r="AP54" s="372">
        <v>11477.200000026398</v>
      </c>
      <c r="AU54" s="427"/>
      <c r="AV54" s="410"/>
      <c r="AW54" s="617">
        <f>Calculation!BB57*3.068</f>
        <v>0</v>
      </c>
      <c r="AX54" s="618"/>
      <c r="AY54" s="618"/>
      <c r="AZ54" s="619"/>
      <c r="BB54" s="433"/>
      <c r="BC54" s="432"/>
      <c r="BD54" s="433"/>
      <c r="BE54" s="432"/>
      <c r="BF54" s="433"/>
      <c r="BG54" s="432"/>
      <c r="BH54" s="429"/>
    </row>
    <row r="55" spans="1:60" ht="13.8" thickBot="1" x14ac:dyDescent="0.3">
      <c r="A55" s="406">
        <v>42782</v>
      </c>
      <c r="B55" s="860">
        <f t="shared" si="13"/>
        <v>86.477299999999985</v>
      </c>
      <c r="C55" s="860">
        <f>Calculation!AK58</f>
        <v>83.828638510638285</v>
      </c>
      <c r="D55" s="860">
        <f>Calculation!AI58</f>
        <v>0</v>
      </c>
      <c r="E55" s="860">
        <f>Calculation!AE58</f>
        <v>40.067299999999996</v>
      </c>
      <c r="F55" s="860">
        <f>Calculation!AF58</f>
        <v>46.41</v>
      </c>
      <c r="G55" s="860">
        <f>Calculation!AG58</f>
        <v>36.091509999997072</v>
      </c>
      <c r="H55" s="861">
        <f>Sheet1!H56</f>
        <v>10.69</v>
      </c>
      <c r="I55" s="841">
        <f>Sheet1!DA56</f>
        <v>3560</v>
      </c>
      <c r="J55" s="841">
        <f>Sheet1!DB56</f>
        <v>1800</v>
      </c>
      <c r="K55" s="841">
        <f>Sheet1!CZ56</f>
        <v>1740</v>
      </c>
      <c r="L55" s="865">
        <f>Calculation!F58</f>
        <v>250</v>
      </c>
      <c r="M55" s="865">
        <f>Calculation!E58</f>
        <v>250</v>
      </c>
      <c r="N55" s="865">
        <f>Calculation!D58</f>
        <v>300</v>
      </c>
      <c r="O55" s="888">
        <f>Sheet1!DC56</f>
        <v>1093.6500000000001</v>
      </c>
      <c r="P55" s="889" t="e">
        <f>Calculation!FD58</f>
        <v>#N/A</v>
      </c>
      <c r="Q55" s="895">
        <f>Calculation!DP58</f>
        <v>3619.0000000083537</v>
      </c>
      <c r="R55" s="888">
        <f t="shared" si="6"/>
        <v>3000.0000000083537</v>
      </c>
      <c r="S55" s="890">
        <f t="shared" si="14"/>
        <v>2018.5000000041587</v>
      </c>
      <c r="T55" s="895">
        <f ca="1">IF(A55&gt;$A$1,#N/A,VLOOKUP(A55,Calculation!$B$8:$JO$503,40,FALSE))</f>
        <v>166.24839234042551</v>
      </c>
      <c r="U55" s="890">
        <f t="shared" si="15"/>
        <v>0</v>
      </c>
      <c r="V55" s="890">
        <f>Calculation!AZ58</f>
        <v>0</v>
      </c>
      <c r="W55" s="895">
        <f t="shared" ca="1" si="12"/>
        <v>0</v>
      </c>
      <c r="X55" s="890">
        <v>0</v>
      </c>
      <c r="Y55" s="890">
        <f t="shared" ca="1" si="16"/>
        <v>0</v>
      </c>
      <c r="Z55" s="890">
        <f t="shared" ca="1" si="17"/>
        <v>0</v>
      </c>
      <c r="AA55" s="890">
        <f t="shared" ca="1" si="10"/>
        <v>0</v>
      </c>
      <c r="AB55" s="895">
        <f t="shared" ca="1" si="11"/>
        <v>3452.7516076679281</v>
      </c>
      <c r="AC55" s="980">
        <f t="shared" ca="1" si="8"/>
        <v>2833.7516076679281</v>
      </c>
      <c r="AD55" s="860" t="e">
        <f ca="1">IF(A55&gt;$A$1,#N/A,VLOOKUP(A55,Calculation!$B$8:$JO$503,165,FALSE))</f>
        <v>#N/A</v>
      </c>
      <c r="AE55" s="399" t="e">
        <f t="shared" ca="1" si="18"/>
        <v>#N/A</v>
      </c>
      <c r="AF55" s="399"/>
      <c r="AG55" s="841">
        <f>Calculation!G58</f>
        <v>2757.9021684337663</v>
      </c>
      <c r="AH55" s="847" t="str">
        <f t="shared" si="19"/>
        <v>Yes</v>
      </c>
      <c r="AI55" s="847" t="str">
        <f>IF(Calculation!K58&gt;0,"Yes","No")</f>
        <v>Yes</v>
      </c>
      <c r="AJ55" s="869">
        <v>2043.0000000029854</v>
      </c>
      <c r="AK55" s="870">
        <v>758.40000000264661</v>
      </c>
      <c r="AL55" s="870">
        <v>1323.6000000036606</v>
      </c>
      <c r="AN55" s="372">
        <v>1216.0000000035652</v>
      </c>
      <c r="AO55" s="372">
        <v>926.00000000257614</v>
      </c>
      <c r="AP55" s="372">
        <v>14759.400000036467</v>
      </c>
      <c r="AU55" s="427"/>
      <c r="AV55" s="410"/>
      <c r="AW55" s="617">
        <f>Calculation!BB58*3.068</f>
        <v>82.631466666666668</v>
      </c>
      <c r="AX55" s="618"/>
      <c r="AY55" s="618"/>
      <c r="AZ55" s="619"/>
      <c r="BB55" s="433"/>
      <c r="BC55" s="432"/>
      <c r="BD55" s="433"/>
      <c r="BE55" s="432"/>
      <c r="BF55" s="433"/>
      <c r="BG55" s="432"/>
      <c r="BH55" s="429"/>
    </row>
    <row r="56" spans="1:60" ht="13.8" thickBot="1" x14ac:dyDescent="0.3">
      <c r="A56" s="406">
        <v>42783</v>
      </c>
      <c r="B56" s="860">
        <f t="shared" si="13"/>
        <v>86.167900000000003</v>
      </c>
      <c r="C56" s="860">
        <f>Calculation!AK59</f>
        <v>84.046385254406388</v>
      </c>
      <c r="D56" s="860">
        <f>Calculation!AI59</f>
        <v>0</v>
      </c>
      <c r="E56" s="860">
        <f>Calculation!AE59</f>
        <v>39.912599999999998</v>
      </c>
      <c r="F56" s="860">
        <f>Calculation!AF59</f>
        <v>46.255299999999998</v>
      </c>
      <c r="G56" s="860">
        <f>Calculation!AG59</f>
        <v>27.149849999998874</v>
      </c>
      <c r="H56" s="861">
        <f>Sheet1!H57</f>
        <v>9.16</v>
      </c>
      <c r="I56" s="841">
        <f>Sheet1!DA57</f>
        <v>3870</v>
      </c>
      <c r="J56" s="841">
        <f>Sheet1!DB57</f>
        <v>2290</v>
      </c>
      <c r="K56" s="841">
        <f>Sheet1!CZ57</f>
        <v>2480</v>
      </c>
      <c r="L56" s="865">
        <f>Calculation!F59</f>
        <v>250</v>
      </c>
      <c r="M56" s="865">
        <f>Calculation!E59</f>
        <v>250</v>
      </c>
      <c r="N56" s="865">
        <f>Calculation!D59</f>
        <v>300</v>
      </c>
      <c r="O56" s="888">
        <f>Sheet1!DC57</f>
        <v>1098.79</v>
      </c>
      <c r="P56" s="889" t="e">
        <f>Calculation!FD59</f>
        <v>#N/A</v>
      </c>
      <c r="Q56" s="895">
        <f>Calculation!DP59</f>
        <v>4833.5000000106302</v>
      </c>
      <c r="R56" s="888">
        <f t="shared" si="6"/>
        <v>4214.5000000106302</v>
      </c>
      <c r="S56" s="890">
        <f t="shared" si="14"/>
        <v>1214.5000000022765</v>
      </c>
      <c r="T56" s="895">
        <f ca="1">IF(A56&gt;$A$1,#N/A,VLOOKUP(A56,Calculation!$B$8:$JO$503,40,FALSE))</f>
        <v>332.92861855924826</v>
      </c>
      <c r="U56" s="890">
        <f t="shared" si="15"/>
        <v>0</v>
      </c>
      <c r="V56" s="890">
        <f>Calculation!AZ59</f>
        <v>0</v>
      </c>
      <c r="W56" s="895">
        <f t="shared" ca="1" si="12"/>
        <v>0</v>
      </c>
      <c r="X56" s="890">
        <v>0</v>
      </c>
      <c r="Y56" s="890">
        <f t="shared" ca="1" si="16"/>
        <v>0</v>
      </c>
      <c r="Z56" s="890">
        <f t="shared" ca="1" si="17"/>
        <v>0</v>
      </c>
      <c r="AA56" s="890">
        <f t="shared" ca="1" si="10"/>
        <v>0</v>
      </c>
      <c r="AB56" s="895">
        <f t="shared" ca="1" si="11"/>
        <v>4500.571381451382</v>
      </c>
      <c r="AC56" s="980">
        <f t="shared" ca="1" si="8"/>
        <v>3881.571381451382</v>
      </c>
      <c r="AD56" s="860" t="e">
        <f ca="1">IF(A56&gt;$A$1,#N/A,VLOOKUP(A56,Calculation!$B$8:$JO$503,165,FALSE))</f>
        <v>#N/A</v>
      </c>
      <c r="AE56" s="399" t="e">
        <f t="shared" ca="1" si="18"/>
        <v>#N/A</v>
      </c>
      <c r="AF56" s="399"/>
      <c r="AG56" s="841">
        <f>Calculation!G59</f>
        <v>3092.4558749381122</v>
      </c>
      <c r="AH56" s="847" t="str">
        <f t="shared" si="19"/>
        <v>Yes</v>
      </c>
      <c r="AI56" s="847" t="str">
        <f>IF(Calculation!K59&gt;0,"Yes","No")</f>
        <v>Yes</v>
      </c>
      <c r="AJ56" s="869">
        <v>2020.9000000029559</v>
      </c>
      <c r="AK56" s="870">
        <v>845.60000000272851</v>
      </c>
      <c r="AL56" s="870">
        <v>1421.6000000037561</v>
      </c>
      <c r="AN56" s="372">
        <v>1409.0000000037562</v>
      </c>
      <c r="AO56" s="372">
        <v>739.00000000240107</v>
      </c>
      <c r="AP56" s="372">
        <v>12526.600000029181</v>
      </c>
      <c r="AU56" s="427"/>
      <c r="AV56" s="410"/>
      <c r="AW56" s="617">
        <f>Calculation!BB59*3.068</f>
        <v>165.26293333333334</v>
      </c>
      <c r="AX56" s="618"/>
      <c r="AY56" s="618"/>
      <c r="AZ56" s="619"/>
      <c r="BB56" s="433"/>
      <c r="BC56" s="432"/>
      <c r="BD56" s="433"/>
      <c r="BE56" s="432"/>
      <c r="BF56" s="433"/>
      <c r="BG56" s="432"/>
      <c r="BH56" s="429"/>
    </row>
    <row r="57" spans="1:60" ht="13.8" thickBot="1" x14ac:dyDescent="0.3">
      <c r="A57" s="406">
        <v>42784</v>
      </c>
      <c r="B57" s="860">
        <f t="shared" si="13"/>
        <v>86.322599999999994</v>
      </c>
      <c r="C57" s="860">
        <f>Calculation!AK60</f>
        <v>83.28058249916694</v>
      </c>
      <c r="D57" s="860">
        <f>Calculation!AI60</f>
        <v>0</v>
      </c>
      <c r="E57" s="860">
        <f>Calculation!AE60</f>
        <v>39.912599999999998</v>
      </c>
      <c r="F57" s="860">
        <f>Calculation!AF60</f>
        <v>46.41</v>
      </c>
      <c r="G57" s="860">
        <f>Calculation!AG60</f>
        <v>12.608050000002251</v>
      </c>
      <c r="H57" s="861">
        <f>Sheet1!H58</f>
        <v>6.39</v>
      </c>
      <c r="I57" s="841">
        <f>Sheet1!DA58</f>
        <v>3610</v>
      </c>
      <c r="J57" s="841">
        <f>Sheet1!DB58</f>
        <v>2200</v>
      </c>
      <c r="K57" s="841">
        <f>Sheet1!CZ58</f>
        <v>2440</v>
      </c>
      <c r="L57" s="865">
        <f>Calculation!F60</f>
        <v>250</v>
      </c>
      <c r="M57" s="865">
        <f>Calculation!E60</f>
        <v>250</v>
      </c>
      <c r="N57" s="865">
        <f>Calculation!D60</f>
        <v>300</v>
      </c>
      <c r="O57" s="888">
        <f>Sheet1!DC58</f>
        <v>1097.01</v>
      </c>
      <c r="P57" s="889" t="e">
        <f>Calculation!FD60</f>
        <v>#N/A</v>
      </c>
      <c r="Q57" s="895">
        <f>Calculation!DP60</f>
        <v>4397.4000000098222</v>
      </c>
      <c r="R57" s="888">
        <f t="shared" si="6"/>
        <v>3778.4000000098222</v>
      </c>
      <c r="S57" s="890">
        <f t="shared" si="14"/>
        <v>-436.100000000808</v>
      </c>
      <c r="T57" s="895">
        <f ca="1">IF(A57&gt;$A$1,#N/A,VLOOKUP(A57,Calculation!$B$8:$JO$503,40,FALSE))</f>
        <v>498.09010990213403</v>
      </c>
      <c r="U57" s="890">
        <f t="shared" si="15"/>
        <v>0</v>
      </c>
      <c r="V57" s="890">
        <f>Calculation!AZ60</f>
        <v>0</v>
      </c>
      <c r="W57" s="895">
        <f t="shared" ca="1" si="12"/>
        <v>0</v>
      </c>
      <c r="X57" s="890">
        <v>0</v>
      </c>
      <c r="Y57" s="890">
        <f t="shared" ca="1" si="16"/>
        <v>0</v>
      </c>
      <c r="Z57" s="890">
        <f t="shared" ca="1" si="17"/>
        <v>0</v>
      </c>
      <c r="AA57" s="890">
        <f t="shared" ca="1" si="10"/>
        <v>0</v>
      </c>
      <c r="AB57" s="895">
        <f t="shared" ca="1" si="11"/>
        <v>3899.3098901076883</v>
      </c>
      <c r="AC57" s="980">
        <f t="shared" ca="1" si="8"/>
        <v>3280.3098901076883</v>
      </c>
      <c r="AD57" s="860" t="e">
        <f ca="1">IF(A57&gt;$A$1,#N/A,VLOOKUP(A57,Calculation!$B$8:$JO$503,165,FALSE))</f>
        <v>#N/A</v>
      </c>
      <c r="AE57" s="399" t="e">
        <f t="shared" ca="1" si="18"/>
        <v>#N/A</v>
      </c>
      <c r="AF57" s="399"/>
      <c r="AG57" s="841">
        <f>Calculation!G60</f>
        <v>2220.0806858291439</v>
      </c>
      <c r="AH57" s="847" t="str">
        <f t="shared" si="19"/>
        <v>Yes</v>
      </c>
      <c r="AI57" s="847" t="str">
        <f>IF(Calculation!K60&gt;0,"Yes","No")</f>
        <v>Yes</v>
      </c>
      <c r="AJ57" s="869">
        <v>2282.0000000034379</v>
      </c>
      <c r="AK57" s="870">
        <v>1097.7000000031924</v>
      </c>
      <c r="AL57" s="870">
        <v>1277.5000000033697</v>
      </c>
      <c r="AN57" s="372">
        <v>1350.7000000034288</v>
      </c>
      <c r="AO57" s="372">
        <v>627.80000000230098</v>
      </c>
      <c r="AP57" s="372">
        <v>8892.8000000187858</v>
      </c>
      <c r="AU57" s="427"/>
      <c r="AV57" s="410"/>
      <c r="AW57" s="617">
        <f>Calculation!BB60*3.068</f>
        <v>247.89439999999999</v>
      </c>
      <c r="AX57" s="618"/>
      <c r="AY57" s="618"/>
      <c r="AZ57" s="619"/>
      <c r="BB57" s="433"/>
      <c r="BC57" s="432"/>
      <c r="BD57" s="433"/>
      <c r="BE57" s="432"/>
      <c r="BF57" s="433"/>
      <c r="BG57" s="432"/>
      <c r="BH57" s="429"/>
    </row>
    <row r="58" spans="1:60" ht="13.8" thickBot="1" x14ac:dyDescent="0.3">
      <c r="A58" s="406">
        <v>42785</v>
      </c>
      <c r="B58" s="860">
        <f t="shared" si="13"/>
        <v>86.167900000000003</v>
      </c>
      <c r="C58" s="860">
        <f>Calculation!AK61</f>
        <v>83.10390429378532</v>
      </c>
      <c r="D58" s="860">
        <f>Calculation!AI61</f>
        <v>0</v>
      </c>
      <c r="E58" s="860">
        <f>Calculation!AE61</f>
        <v>39.912599999999998</v>
      </c>
      <c r="F58" s="860">
        <f>Calculation!AF61</f>
        <v>46.255299999999998</v>
      </c>
      <c r="G58" s="860">
        <f>Calculation!AG61</f>
        <v>0</v>
      </c>
      <c r="H58" s="861">
        <f>Sheet1!H59</f>
        <v>4.8499999999999996</v>
      </c>
      <c r="I58" s="841">
        <f>Sheet1!DA59</f>
        <v>3480</v>
      </c>
      <c r="J58" s="841">
        <f>Sheet1!DB59</f>
        <v>2180</v>
      </c>
      <c r="K58" s="841">
        <f>Sheet1!CZ59</f>
        <v>2430</v>
      </c>
      <c r="L58" s="865">
        <f>Calculation!F61</f>
        <v>250</v>
      </c>
      <c r="M58" s="865">
        <f>Calculation!E61</f>
        <v>250</v>
      </c>
      <c r="N58" s="865">
        <f>Calculation!D61</f>
        <v>300</v>
      </c>
      <c r="O58" s="888">
        <f>Sheet1!DC59</f>
        <v>1092.27</v>
      </c>
      <c r="P58" s="889" t="e">
        <f>Calculation!FD61</f>
        <v>#N/A</v>
      </c>
      <c r="Q58" s="895">
        <f>Calculation!DP61</f>
        <v>3317.4000000080537</v>
      </c>
      <c r="R58" s="888">
        <f t="shared" si="6"/>
        <v>2698.4000000080537</v>
      </c>
      <c r="S58" s="890">
        <f t="shared" si="14"/>
        <v>-1080.0000000017685</v>
      </c>
      <c r="T58" s="895">
        <f ca="1">IF(A58&gt;$A$1,#N/A,VLOOKUP(A58,Calculation!$B$8:$JO$503,40,FALSE))</f>
        <v>662.90121421585957</v>
      </c>
      <c r="U58" s="890">
        <f t="shared" si="15"/>
        <v>0</v>
      </c>
      <c r="V58" s="890">
        <f>Calculation!AZ61</f>
        <v>0</v>
      </c>
      <c r="W58" s="895">
        <f t="shared" ca="1" si="12"/>
        <v>0</v>
      </c>
      <c r="X58" s="890">
        <v>0</v>
      </c>
      <c r="Y58" s="890">
        <f t="shared" ca="1" si="16"/>
        <v>0</v>
      </c>
      <c r="Z58" s="890">
        <f t="shared" ca="1" si="17"/>
        <v>0</v>
      </c>
      <c r="AA58" s="890">
        <f t="shared" ca="1" si="10"/>
        <v>0</v>
      </c>
      <c r="AB58" s="895">
        <f t="shared" ca="1" si="11"/>
        <v>2654.4987857921942</v>
      </c>
      <c r="AC58" s="980">
        <f t="shared" ca="1" si="8"/>
        <v>2035.4987857921942</v>
      </c>
      <c r="AD58" s="860" t="e">
        <f ca="1">IF(A58&gt;$A$1,#N/A,VLOOKUP(A58,Calculation!$B$8:$JO$503,165,FALSE))</f>
        <v>#N/A</v>
      </c>
      <c r="AE58" s="399" t="e">
        <f t="shared" ca="1" si="18"/>
        <v>#N/A</v>
      </c>
      <c r="AF58" s="399"/>
      <c r="AG58" s="841">
        <f>Calculation!G61</f>
        <v>1885.3706505286091</v>
      </c>
      <c r="AH58" s="847" t="str">
        <f t="shared" si="19"/>
        <v>Yes</v>
      </c>
      <c r="AI58" s="847" t="str">
        <f>IF(Calculation!K61&gt;0,"Yes","No")</f>
        <v>Yes</v>
      </c>
      <c r="AJ58" s="869">
        <v>2449.170000003674</v>
      </c>
      <c r="AK58" s="870">
        <v>1132.8000000032218</v>
      </c>
      <c r="AL58" s="870">
        <v>1170.500000003281</v>
      </c>
      <c r="AN58" s="372">
        <v>1135.4000000032515</v>
      </c>
      <c r="AO58" s="372">
        <v>924.80000000281029</v>
      </c>
      <c r="AP58" s="372">
        <v>5583.0000000117643</v>
      </c>
      <c r="AU58" s="427"/>
      <c r="AV58" s="410"/>
      <c r="AW58" s="617">
        <f>Calculation!BB61*3.068</f>
        <v>330.52586666666667</v>
      </c>
      <c r="AX58" s="618"/>
      <c r="AY58" s="618"/>
      <c r="AZ58" s="619"/>
      <c r="BB58" s="433"/>
      <c r="BC58" s="432"/>
      <c r="BD58" s="433"/>
      <c r="BE58" s="432"/>
      <c r="BF58" s="433"/>
      <c r="BG58" s="432"/>
      <c r="BH58" s="429"/>
    </row>
    <row r="59" spans="1:60" ht="13.8" thickBot="1" x14ac:dyDescent="0.3">
      <c r="A59" s="406">
        <v>42786</v>
      </c>
      <c r="B59" s="860">
        <f t="shared" si="13"/>
        <v>86.322599999999994</v>
      </c>
      <c r="C59" s="860">
        <f>Calculation!AK62</f>
        <v>83.018060079681277</v>
      </c>
      <c r="D59" s="860">
        <f>Calculation!AI62</f>
        <v>0</v>
      </c>
      <c r="E59" s="860">
        <f>Calculation!AE62</f>
        <v>39.912599999999998</v>
      </c>
      <c r="F59" s="860">
        <f>Calculation!AF62</f>
        <v>46.41</v>
      </c>
      <c r="G59" s="860">
        <f>Calculation!AG62</f>
        <v>0</v>
      </c>
      <c r="H59" s="861">
        <f>Sheet1!H60</f>
        <v>4</v>
      </c>
      <c r="I59" s="841">
        <f>Sheet1!DA60</f>
        <v>3320</v>
      </c>
      <c r="J59" s="841">
        <f>Sheet1!DB60</f>
        <v>2020</v>
      </c>
      <c r="K59" s="841">
        <f>Sheet1!CZ60</f>
        <v>2260</v>
      </c>
      <c r="L59" s="865">
        <f>Calculation!F62</f>
        <v>250</v>
      </c>
      <c r="M59" s="865">
        <f>Calculation!E62</f>
        <v>250</v>
      </c>
      <c r="N59" s="865">
        <f>Calculation!D62</f>
        <v>300</v>
      </c>
      <c r="O59" s="888">
        <f>Sheet1!DC60</f>
        <v>1084.9100000000001</v>
      </c>
      <c r="P59" s="889" t="e">
        <f>Calculation!FD62</f>
        <v>#N/A</v>
      </c>
      <c r="Q59" s="895">
        <f>Calculation!DP62</f>
        <v>1937.500000004502</v>
      </c>
      <c r="R59" s="888">
        <f t="shared" si="6"/>
        <v>1318.500000004502</v>
      </c>
      <c r="S59" s="890">
        <f t="shared" si="14"/>
        <v>-1379.9000000035517</v>
      </c>
      <c r="T59" s="895">
        <f ca="1">IF(A59&gt;$A$1,#N/A,VLOOKUP(A59,Calculation!$B$8:$JO$503,40,FALSE))</f>
        <v>827.5420728612778</v>
      </c>
      <c r="U59" s="890">
        <f t="shared" si="15"/>
        <v>0</v>
      </c>
      <c r="V59" s="890">
        <f>Calculation!AZ62</f>
        <v>0</v>
      </c>
      <c r="W59" s="895">
        <f t="shared" ca="1" si="12"/>
        <v>0</v>
      </c>
      <c r="X59" s="890">
        <v>0</v>
      </c>
      <c r="Y59" s="890">
        <f t="shared" ca="1" si="16"/>
        <v>0</v>
      </c>
      <c r="Z59" s="890">
        <f t="shared" ca="1" si="17"/>
        <v>0</v>
      </c>
      <c r="AA59" s="890">
        <f t="shared" ca="1" si="10"/>
        <v>0</v>
      </c>
      <c r="AB59" s="895">
        <f t="shared" ca="1" si="11"/>
        <v>1109.9579271432242</v>
      </c>
      <c r="AC59" s="980">
        <f t="shared" ca="1" si="8"/>
        <v>490.9579271432242</v>
      </c>
      <c r="AD59" s="860" t="e">
        <f ca="1">IF(A59&gt;$A$1,#N/A,VLOOKUP(A59,Calculation!$B$8:$JO$503,165,FALSE))</f>
        <v>#N/A</v>
      </c>
      <c r="AE59" s="399" t="e">
        <f t="shared" ca="1" si="18"/>
        <v>#N/A</v>
      </c>
      <c r="AF59" s="399"/>
      <c r="AG59" s="841">
        <f>Calculation!G62</f>
        <v>1564.1351487627071</v>
      </c>
      <c r="AH59" s="847" t="str">
        <f t="shared" si="19"/>
        <v>Yes</v>
      </c>
      <c r="AI59" s="847" t="str">
        <f>IF(Calculation!K62&gt;0,"Yes","No")</f>
        <v>Yes</v>
      </c>
      <c r="AJ59" s="869">
        <v>2457.7500000036744</v>
      </c>
      <c r="AK59" s="870">
        <v>864.80000000275572</v>
      </c>
      <c r="AL59" s="870">
        <v>1224.4000000035653</v>
      </c>
      <c r="AN59" s="372">
        <v>1068.8000000031627</v>
      </c>
      <c r="AO59" s="372">
        <v>1732.0000000042974</v>
      </c>
      <c r="AP59" s="372">
        <v>3302.0000000080536</v>
      </c>
      <c r="AU59" s="427"/>
      <c r="AV59" s="410"/>
      <c r="AW59" s="617">
        <f>Calculation!BB62*3.068</f>
        <v>413.15733333333333</v>
      </c>
      <c r="AX59" s="618"/>
      <c r="AY59" s="618"/>
      <c r="AZ59" s="619"/>
      <c r="BB59" s="433"/>
      <c r="BC59" s="432"/>
      <c r="BD59" s="433"/>
      <c r="BE59" s="432"/>
      <c r="BF59" s="433"/>
      <c r="BG59" s="432"/>
      <c r="BH59" s="429"/>
    </row>
    <row r="60" spans="1:60" ht="13.8" thickBot="1" x14ac:dyDescent="0.3">
      <c r="A60" s="406">
        <v>42787</v>
      </c>
      <c r="B60" s="860">
        <f t="shared" si="13"/>
        <v>86.229779999999991</v>
      </c>
      <c r="C60" s="860">
        <f>Calculation!AK63</f>
        <v>83.460475487723954</v>
      </c>
      <c r="D60" s="860">
        <f>Calculation!AI63</f>
        <v>0</v>
      </c>
      <c r="E60" s="860">
        <f>Calculation!AE63</f>
        <v>39.819779999999994</v>
      </c>
      <c r="F60" s="860">
        <f>Calculation!AF63</f>
        <v>46.41</v>
      </c>
      <c r="G60" s="860">
        <f>Calculation!AG63</f>
        <v>0</v>
      </c>
      <c r="H60" s="861">
        <f>Sheet1!H61</f>
        <v>3.48</v>
      </c>
      <c r="I60" s="841">
        <f>Sheet1!DA61</f>
        <v>2519</v>
      </c>
      <c r="J60" s="841">
        <f>Sheet1!DB61</f>
        <v>1370</v>
      </c>
      <c r="K60" s="841">
        <f>Sheet1!CZ61</f>
        <v>1480</v>
      </c>
      <c r="L60" s="865">
        <f>Calculation!F63</f>
        <v>250</v>
      </c>
      <c r="M60" s="865">
        <f>Calculation!E63</f>
        <v>250</v>
      </c>
      <c r="N60" s="865">
        <f>Calculation!D63</f>
        <v>300</v>
      </c>
      <c r="O60" s="888">
        <f>Sheet1!DC61</f>
        <v>1080.6400000000001</v>
      </c>
      <c r="P60" s="889" t="e">
        <f>Calculation!FD63</f>
        <v>#N/A</v>
      </c>
      <c r="Q60" s="895">
        <f>Calculation!DP63</f>
        <v>1303.2000000033993</v>
      </c>
      <c r="R60" s="888">
        <f t="shared" si="6"/>
        <v>684.20000000339928</v>
      </c>
      <c r="S60" s="890">
        <f t="shared" si="14"/>
        <v>-634.30000000110272</v>
      </c>
      <c r="T60" s="895">
        <f ca="1">IF(A60&gt;$A$1,#N/A,VLOOKUP(A60,Calculation!$B$8:$JO$503,40,FALSE))</f>
        <v>993.06032676970506</v>
      </c>
      <c r="U60" s="890">
        <f t="shared" si="15"/>
        <v>0</v>
      </c>
      <c r="V60" s="890">
        <f>Calculation!AZ63</f>
        <v>0</v>
      </c>
      <c r="W60" s="895">
        <f t="shared" ca="1" si="12"/>
        <v>0</v>
      </c>
      <c r="X60" s="890">
        <v>0</v>
      </c>
      <c r="Y60" s="890">
        <f t="shared" ca="1" si="16"/>
        <v>0</v>
      </c>
      <c r="Z60" s="890">
        <f t="shared" ca="1" si="17"/>
        <v>0</v>
      </c>
      <c r="AA60" s="890">
        <f t="shared" ca="1" si="10"/>
        <v>0</v>
      </c>
      <c r="AB60" s="895">
        <f t="shared" ca="1" si="11"/>
        <v>310.13967323369423</v>
      </c>
      <c r="AC60" s="980">
        <f t="shared" ca="1" si="8"/>
        <v>-308.86032676630577</v>
      </c>
      <c r="AD60" s="860" t="e">
        <f ca="1">IF(A60&gt;$A$1,#N/A,VLOOKUP(A60,Calculation!$B$8:$JO$503,165,FALSE))</f>
        <v>#N/A</v>
      </c>
      <c r="AE60" s="399" t="e">
        <f t="shared" ca="1" si="18"/>
        <v>#N/A</v>
      </c>
      <c r="AF60" s="399"/>
      <c r="AG60" s="841">
        <f>Calculation!G63</f>
        <v>1160.1311144724646</v>
      </c>
      <c r="AH60" s="847" t="str">
        <f t="shared" si="19"/>
        <v>Yes</v>
      </c>
      <c r="AI60" s="847" t="str">
        <f>IF(Calculation!K63&gt;0,"Yes","No")</f>
        <v>Yes</v>
      </c>
      <c r="AJ60" s="869">
        <v>2366.0000000035016</v>
      </c>
      <c r="AK60" s="870">
        <v>4087.0000000095497</v>
      </c>
      <c r="AL60" s="870">
        <v>1252.800000003597</v>
      </c>
      <c r="AN60" s="372">
        <v>1537.0000000041268</v>
      </c>
      <c r="AO60" s="372">
        <v>2412.0000000058526</v>
      </c>
      <c r="AP60" s="372">
        <v>1609.500000004195</v>
      </c>
      <c r="AU60" s="427"/>
      <c r="AV60" s="410"/>
      <c r="AW60" s="617">
        <f>Calculation!BB63*3.068</f>
        <v>495.78879999999998</v>
      </c>
      <c r="AX60" s="618"/>
      <c r="AY60" s="618"/>
      <c r="AZ60" s="619"/>
      <c r="BB60" s="433"/>
      <c r="BC60" s="432"/>
      <c r="BD60" s="433"/>
      <c r="BE60" s="432"/>
      <c r="BF60" s="433"/>
      <c r="BG60" s="432"/>
      <c r="BH60" s="429"/>
    </row>
    <row r="61" spans="1:60" ht="13.8" thickBot="1" x14ac:dyDescent="0.3">
      <c r="A61" s="406">
        <v>42788</v>
      </c>
      <c r="B61" s="860">
        <f t="shared" si="13"/>
        <v>86.245249999999999</v>
      </c>
      <c r="C61" s="860">
        <f>Calculation!AK64</f>
        <v>83.52555405585106</v>
      </c>
      <c r="D61" s="860">
        <f>Calculation!AI64</f>
        <v>0</v>
      </c>
      <c r="E61" s="860">
        <f>Calculation!AE64</f>
        <v>39.850720000000003</v>
      </c>
      <c r="F61" s="860">
        <f>Calculation!AF64</f>
        <v>46.394529999999996</v>
      </c>
      <c r="G61" s="860">
        <f>Calculation!AG64</f>
        <v>0</v>
      </c>
      <c r="H61" s="861">
        <f>Sheet1!H62</f>
        <v>2.8</v>
      </c>
      <c r="I61" s="841">
        <f>Sheet1!DA62</f>
        <v>2169</v>
      </c>
      <c r="J61" s="841">
        <f>Sheet1!DB62</f>
        <v>1190</v>
      </c>
      <c r="K61" s="841">
        <f>Sheet1!CZ62</f>
        <v>1279</v>
      </c>
      <c r="L61" s="865">
        <f>Calculation!F64</f>
        <v>250</v>
      </c>
      <c r="M61" s="865">
        <f>Calculation!E64</f>
        <v>250</v>
      </c>
      <c r="N61" s="865">
        <f>Calculation!D64</f>
        <v>300</v>
      </c>
      <c r="O61" s="888">
        <f>Sheet1!DC62</f>
        <v>1080.5999999999999</v>
      </c>
      <c r="P61" s="889" t="e">
        <f>Calculation!FD64</f>
        <v>#N/A</v>
      </c>
      <c r="Q61" s="895">
        <f>Calculation!DP64</f>
        <v>1298.0000000033697</v>
      </c>
      <c r="R61" s="888">
        <f t="shared" si="6"/>
        <v>679.00000000336968</v>
      </c>
      <c r="S61" s="890">
        <f t="shared" si="14"/>
        <v>-5.2000000000296041</v>
      </c>
      <c r="T61" s="895">
        <f ca="1">IF(A61&gt;$A$1,#N/A,VLOOKUP(A61,Calculation!$B$8:$JO$503,40,FALSE))</f>
        <v>1158.707644056939</v>
      </c>
      <c r="U61" s="890">
        <f t="shared" si="15"/>
        <v>0</v>
      </c>
      <c r="V61" s="890">
        <f>Calculation!AZ64</f>
        <v>0</v>
      </c>
      <c r="W61" s="895">
        <f t="shared" ca="1" si="12"/>
        <v>0</v>
      </c>
      <c r="X61" s="890">
        <v>0</v>
      </c>
      <c r="Y61" s="890">
        <f t="shared" ca="1" si="16"/>
        <v>0</v>
      </c>
      <c r="Z61" s="890">
        <f t="shared" ca="1" si="17"/>
        <v>0</v>
      </c>
      <c r="AA61" s="890">
        <f t="shared" ca="1" si="10"/>
        <v>0</v>
      </c>
      <c r="AB61" s="895">
        <f t="shared" ca="1" si="11"/>
        <v>139.29235594643069</v>
      </c>
      <c r="AC61" s="980">
        <f t="shared" ca="1" si="8"/>
        <v>-479.70764405356931</v>
      </c>
      <c r="AD61" s="860" t="e">
        <f ca="1">IF(A61&gt;$A$1,#N/A,VLOOKUP(A61,Calculation!$B$8:$JO$503,165,FALSE))</f>
        <v>#N/A</v>
      </c>
      <c r="AE61" s="399" t="e">
        <f t="shared" ca="1" si="18"/>
        <v>#N/A</v>
      </c>
      <c r="AF61" s="399"/>
      <c r="AG61" s="841">
        <f>Calculation!G64</f>
        <v>1276.3777105395716</v>
      </c>
      <c r="AH61" s="847" t="str">
        <f t="shared" si="19"/>
        <v>Yes</v>
      </c>
      <c r="AI61" s="847" t="str">
        <f>IF(Calculation!K64&gt;0,"Yes","No")</f>
        <v>Yes</v>
      </c>
      <c r="AJ61" s="869">
        <v>2128.8000000030447</v>
      </c>
      <c r="AK61" s="870">
        <v>19962.600000050577</v>
      </c>
      <c r="AL61" s="870">
        <v>1318.4200000036512</v>
      </c>
      <c r="AN61" s="372">
        <v>1888.0000000047294</v>
      </c>
      <c r="AO61" s="372">
        <v>2907.0000000069576</v>
      </c>
      <c r="AP61" s="372">
        <v>1388.4000000037245</v>
      </c>
      <c r="AU61" s="427"/>
      <c r="AV61" s="410"/>
      <c r="AW61" s="617">
        <f>Calculation!BB64*3.068</f>
        <v>578.42026666666663</v>
      </c>
      <c r="AX61" s="618"/>
      <c r="AY61" s="618"/>
      <c r="AZ61" s="619"/>
      <c r="BB61" s="433"/>
      <c r="BC61" s="432"/>
      <c r="BD61" s="433"/>
      <c r="BE61" s="432"/>
      <c r="BF61" s="433"/>
      <c r="BG61" s="432"/>
      <c r="BH61" s="429"/>
    </row>
    <row r="62" spans="1:60" ht="13.8" thickBot="1" x14ac:dyDescent="0.3">
      <c r="A62" s="406">
        <v>42789</v>
      </c>
      <c r="B62" s="860">
        <f t="shared" si="13"/>
        <v>86.028670000000005</v>
      </c>
      <c r="C62" s="860">
        <f>Calculation!AK65</f>
        <v>83.619182727272729</v>
      </c>
      <c r="D62" s="860">
        <f>Calculation!AI65</f>
        <v>0</v>
      </c>
      <c r="E62" s="860">
        <f>Calculation!AE65</f>
        <v>39.757899999999999</v>
      </c>
      <c r="F62" s="860">
        <f>Calculation!AF65</f>
        <v>46.270769999999999</v>
      </c>
      <c r="G62" s="860">
        <f>Calculation!AG65</f>
        <v>0</v>
      </c>
      <c r="H62" s="861">
        <f>Sheet1!H63</f>
        <v>2.35</v>
      </c>
      <c r="I62" s="841">
        <f>Sheet1!DA63</f>
        <v>1850</v>
      </c>
      <c r="J62" s="841">
        <f>Sheet1!DB63</f>
        <v>935</v>
      </c>
      <c r="K62" s="841">
        <f>Sheet1!CZ63</f>
        <v>1010</v>
      </c>
      <c r="L62" s="865">
        <f>Calculation!F65</f>
        <v>250</v>
      </c>
      <c r="M62" s="865">
        <f>Calculation!E65</f>
        <v>250</v>
      </c>
      <c r="N62" s="865">
        <f>Calculation!D65</f>
        <v>300</v>
      </c>
      <c r="O62" s="888">
        <f>Sheet1!DC63</f>
        <v>1081.81</v>
      </c>
      <c r="P62" s="889" t="e">
        <f>Calculation!FD65</f>
        <v>#N/A</v>
      </c>
      <c r="Q62" s="895">
        <f>Calculation!DP65</f>
        <v>1466.4000000037881</v>
      </c>
      <c r="R62" s="888">
        <f t="shared" si="6"/>
        <v>847.40000000378814</v>
      </c>
      <c r="S62" s="890">
        <f t="shared" si="14"/>
        <v>168.40000000041846</v>
      </c>
      <c r="T62" s="895">
        <f ca="1">IF(A62&gt;$A$1,#N/A,VLOOKUP(A62,Calculation!$B$8:$JO$503,40,FALSE))</f>
        <v>1324.5406450959001</v>
      </c>
      <c r="U62" s="890">
        <f t="shared" si="15"/>
        <v>0</v>
      </c>
      <c r="V62" s="890">
        <f>Calculation!AZ65</f>
        <v>0</v>
      </c>
      <c r="W62" s="895">
        <f t="shared" ca="1" si="12"/>
        <v>0</v>
      </c>
      <c r="X62" s="890">
        <v>0</v>
      </c>
      <c r="Y62" s="890">
        <f t="shared" ca="1" si="16"/>
        <v>0</v>
      </c>
      <c r="Z62" s="890">
        <f t="shared" ca="1" si="17"/>
        <v>0</v>
      </c>
      <c r="AA62" s="890">
        <f t="shared" ca="1" si="10"/>
        <v>0</v>
      </c>
      <c r="AB62" s="895">
        <f t="shared" ca="1" si="11"/>
        <v>141.85935490788802</v>
      </c>
      <c r="AC62" s="980">
        <f t="shared" ca="1" si="8"/>
        <v>-477.14064509211198</v>
      </c>
      <c r="AD62" s="860" t="e">
        <f ca="1">IF(A62&gt;$A$1,#N/A,VLOOKUP(A62,Calculation!$B$8:$JO$503,165,FALSE))</f>
        <v>#N/A</v>
      </c>
      <c r="AE62" s="399" t="e">
        <f t="shared" ca="1" si="18"/>
        <v>#N/A</v>
      </c>
      <c r="AF62" s="399"/>
      <c r="AG62" s="841">
        <f>Calculation!G65</f>
        <v>1094.9218356028332</v>
      </c>
      <c r="AH62" s="847" t="str">
        <f t="shared" si="19"/>
        <v>Yes</v>
      </c>
      <c r="AI62" s="847" t="str">
        <f>IF(Calculation!K65&gt;0,"Yes","No")</f>
        <v>Yes</v>
      </c>
      <c r="AJ62" s="869">
        <v>1907.3800000027788</v>
      </c>
      <c r="AK62" s="870">
        <v>18006.000000045111</v>
      </c>
      <c r="AL62" s="870">
        <v>1368.8000000036925</v>
      </c>
      <c r="AN62" s="372">
        <v>2067.0000000049113</v>
      </c>
      <c r="AO62" s="372">
        <v>3389.0000000077353</v>
      </c>
      <c r="AP62" s="372">
        <v>1684.5000000042633</v>
      </c>
      <c r="AU62" s="427"/>
      <c r="AV62" s="410"/>
      <c r="AW62" s="617">
        <f>Calculation!BB65*3.068</f>
        <v>661.05173333333335</v>
      </c>
      <c r="AX62" s="618"/>
      <c r="AY62" s="618"/>
      <c r="AZ62" s="619"/>
      <c r="BB62" s="433"/>
      <c r="BC62" s="432"/>
      <c r="BD62" s="433"/>
      <c r="BE62" s="432"/>
      <c r="BF62" s="433"/>
      <c r="BG62" s="432"/>
      <c r="BH62" s="429"/>
    </row>
    <row r="63" spans="1:60" ht="13.8" thickBot="1" x14ac:dyDescent="0.3">
      <c r="A63" s="406">
        <v>42790</v>
      </c>
      <c r="B63" s="860">
        <f t="shared" si="13"/>
        <v>86.322599999999994</v>
      </c>
      <c r="C63" s="860">
        <f>Calculation!AK66</f>
        <v>83.64437359016938</v>
      </c>
      <c r="D63" s="860">
        <f>Calculation!AI66</f>
        <v>0</v>
      </c>
      <c r="E63" s="860">
        <f>Calculation!AE66</f>
        <v>39.912599999999998</v>
      </c>
      <c r="F63" s="860">
        <f>Calculation!AF66</f>
        <v>46.41</v>
      </c>
      <c r="G63" s="860">
        <f>Calculation!AG66</f>
        <v>0</v>
      </c>
      <c r="H63" s="861">
        <f>Sheet1!H64</f>
        <v>4.76</v>
      </c>
      <c r="I63" s="841">
        <f>Sheet1!DA64</f>
        <v>1600</v>
      </c>
      <c r="J63" s="841">
        <f>Sheet1!DB64</f>
        <v>769</v>
      </c>
      <c r="K63" s="841">
        <f>Sheet1!CZ64</f>
        <v>847</v>
      </c>
      <c r="L63" s="865">
        <f>Calculation!F66</f>
        <v>250</v>
      </c>
      <c r="M63" s="865">
        <f>Calculation!E66</f>
        <v>250</v>
      </c>
      <c r="N63" s="865">
        <f>Calculation!D66</f>
        <v>300</v>
      </c>
      <c r="O63" s="888">
        <f>Sheet1!DC64</f>
        <v>1083.98</v>
      </c>
      <c r="P63" s="889" t="e">
        <f>Calculation!FD66</f>
        <v>#N/A</v>
      </c>
      <c r="Q63" s="895">
        <f>Calculation!DP66</f>
        <v>1790.0000000043656</v>
      </c>
      <c r="R63" s="888">
        <f t="shared" si="6"/>
        <v>1171.0000000043656</v>
      </c>
      <c r="S63" s="890">
        <f t="shared" si="14"/>
        <v>323.60000000057744</v>
      </c>
      <c r="T63" s="895">
        <f ca="1">IF(A63&gt;$A$1,#N/A,VLOOKUP(A63,Calculation!$B$8:$JO$503,40,FALSE))</f>
        <v>1490.4236044848076</v>
      </c>
      <c r="U63" s="890">
        <f t="shared" si="15"/>
        <v>0</v>
      </c>
      <c r="V63" s="890">
        <f>Calculation!AZ66</f>
        <v>0</v>
      </c>
      <c r="W63" s="895">
        <f t="shared" ca="1" si="12"/>
        <v>0</v>
      </c>
      <c r="X63" s="890">
        <v>0</v>
      </c>
      <c r="Y63" s="890">
        <f t="shared" ca="1" si="16"/>
        <v>0</v>
      </c>
      <c r="Z63" s="890">
        <f t="shared" ca="1" si="17"/>
        <v>0</v>
      </c>
      <c r="AA63" s="890">
        <f t="shared" ca="1" si="10"/>
        <v>0</v>
      </c>
      <c r="AB63" s="895">
        <f t="shared" ca="1" si="11"/>
        <v>299.57639551955799</v>
      </c>
      <c r="AC63" s="980">
        <f t="shared" ca="1" si="8"/>
        <v>-319.42360448044201</v>
      </c>
      <c r="AD63" s="860" t="e">
        <f ca="1">IF(A63&gt;$A$1,#N/A,VLOOKUP(A63,Calculation!$B$8:$JO$503,165,FALSE))</f>
        <v>#N/A</v>
      </c>
      <c r="AE63" s="399" t="e">
        <f t="shared" ca="1" si="18"/>
        <v>#N/A</v>
      </c>
      <c r="AF63" s="399"/>
      <c r="AG63" s="841">
        <f>Calculation!G66</f>
        <v>1010.187090267563</v>
      </c>
      <c r="AH63" s="847" t="str">
        <f t="shared" si="19"/>
        <v>Yes</v>
      </c>
      <c r="AI63" s="847" t="str">
        <f>IF(Calculation!K66&gt;0,"Yes","No")</f>
        <v>Yes</v>
      </c>
      <c r="AJ63" s="869">
        <v>1872.7000000026351</v>
      </c>
      <c r="AK63" s="870">
        <v>11989.800000027411</v>
      </c>
      <c r="AL63" s="870">
        <v>1437.0000000037562</v>
      </c>
      <c r="AN63" s="372">
        <v>2317.6000000057707</v>
      </c>
      <c r="AO63" s="372">
        <v>3931.2000000093858</v>
      </c>
      <c r="AP63" s="372">
        <v>1924.8000000047657</v>
      </c>
      <c r="AU63" s="427"/>
      <c r="AV63" s="410"/>
      <c r="AW63" s="617">
        <f>Calculation!BB66*3.068</f>
        <v>743.68320000000006</v>
      </c>
      <c r="AX63" s="618"/>
      <c r="AY63" s="618"/>
      <c r="AZ63" s="619"/>
      <c r="BB63" s="433"/>
      <c r="BC63" s="432"/>
      <c r="BD63" s="433"/>
      <c r="BE63" s="432"/>
      <c r="BF63" s="433"/>
      <c r="BG63" s="432"/>
      <c r="BH63" s="429"/>
    </row>
    <row r="64" spans="1:60" ht="13.8" thickBot="1" x14ac:dyDescent="0.3">
      <c r="A64" s="406">
        <v>42791</v>
      </c>
      <c r="B64" s="860">
        <f t="shared" si="13"/>
        <v>86.214309999999998</v>
      </c>
      <c r="C64" s="860">
        <f>Calculation!AK67</f>
        <v>83.480311075697216</v>
      </c>
      <c r="D64" s="860">
        <f>Calculation!AI67</f>
        <v>0</v>
      </c>
      <c r="E64" s="860">
        <f>Calculation!AE67</f>
        <v>39.804310000000001</v>
      </c>
      <c r="F64" s="860">
        <f>Calculation!AF67</f>
        <v>46.41</v>
      </c>
      <c r="G64" s="860">
        <f>Calculation!AG67</f>
        <v>0</v>
      </c>
      <c r="H64" s="861">
        <f>Sheet1!H65</f>
        <v>1.65</v>
      </c>
      <c r="I64" s="841">
        <f>Sheet1!DA65</f>
        <v>1530</v>
      </c>
      <c r="J64" s="841">
        <f>Sheet1!DB65</f>
        <v>787</v>
      </c>
      <c r="K64" s="841">
        <f>Sheet1!CZ65</f>
        <v>866</v>
      </c>
      <c r="L64" s="865">
        <f>Calculation!F67</f>
        <v>250</v>
      </c>
      <c r="M64" s="865">
        <f>Calculation!E67</f>
        <v>250</v>
      </c>
      <c r="N64" s="865">
        <f>Calculation!D67</f>
        <v>300</v>
      </c>
      <c r="O64" s="888">
        <f>Sheet1!DC65</f>
        <v>1085.6500000000001</v>
      </c>
      <c r="P64" s="889" t="e">
        <f>Calculation!FD67</f>
        <v>#N/A</v>
      </c>
      <c r="Q64" s="895">
        <f>Calculation!DP67</f>
        <v>2058.5000000052182</v>
      </c>
      <c r="R64" s="888">
        <f t="shared" si="6"/>
        <v>1439.5000000052182</v>
      </c>
      <c r="S64" s="890">
        <f t="shared" si="14"/>
        <v>268.50000000085265</v>
      </c>
      <c r="T64" s="895">
        <f ca="1">IF(A64&gt;$A$1,#N/A,VLOOKUP(A64,Calculation!$B$8:$JO$503,40,FALSE))</f>
        <v>1655.9811961979549</v>
      </c>
      <c r="U64" s="890">
        <f t="shared" si="15"/>
        <v>0</v>
      </c>
      <c r="V64" s="890">
        <f>Calculation!AZ67</f>
        <v>0</v>
      </c>
      <c r="W64" s="895">
        <f t="shared" ca="1" si="12"/>
        <v>0</v>
      </c>
      <c r="X64" s="890">
        <v>0</v>
      </c>
      <c r="Y64" s="890">
        <f t="shared" ca="1" si="16"/>
        <v>0</v>
      </c>
      <c r="Z64" s="890">
        <f t="shared" ca="1" si="17"/>
        <v>0</v>
      </c>
      <c r="AA64" s="890">
        <f t="shared" ca="1" si="10"/>
        <v>0</v>
      </c>
      <c r="AB64" s="895">
        <f t="shared" ca="1" si="11"/>
        <v>402.51880380726334</v>
      </c>
      <c r="AC64" s="980">
        <f t="shared" ca="1" si="8"/>
        <v>-216.48119619273666</v>
      </c>
      <c r="AD64" s="860" t="e">
        <f ca="1">IF(A64&gt;$A$1,#N/A,VLOOKUP(A64,Calculation!$B$8:$JO$503,165,FALSE))</f>
        <v>#N/A</v>
      </c>
      <c r="AE64" s="399" t="e">
        <f t="shared" ca="1" si="18"/>
        <v>#N/A</v>
      </c>
      <c r="AF64" s="399"/>
      <c r="AG64" s="841">
        <f>Calculation!G67</f>
        <v>1001.4009077160124</v>
      </c>
      <c r="AH64" s="847" t="str">
        <f t="shared" si="19"/>
        <v>Yes</v>
      </c>
      <c r="AI64" s="847" t="str">
        <f>IF(Calculation!K67&gt;0,"Yes","No")</f>
        <v>Yes</v>
      </c>
      <c r="AJ64" s="869">
        <v>1773.8800000025522</v>
      </c>
      <c r="AK64" s="870">
        <v>7339.0000000152795</v>
      </c>
      <c r="AL64" s="870">
        <v>1556.5000000041609</v>
      </c>
      <c r="AN64" s="372">
        <v>2621.6000000063505</v>
      </c>
      <c r="AO64" s="372">
        <v>4368.7000000094131</v>
      </c>
      <c r="AP64" s="372">
        <v>2236.0000000053728</v>
      </c>
      <c r="AU64" s="427"/>
      <c r="AV64" s="410"/>
      <c r="AW64" s="617">
        <f>Calculation!BB67*3.068</f>
        <v>826.31466666666665</v>
      </c>
      <c r="AX64" s="618"/>
      <c r="AY64" s="618"/>
      <c r="AZ64" s="619"/>
      <c r="BB64" s="433"/>
      <c r="BC64" s="432"/>
      <c r="BD64" s="433"/>
      <c r="BE64" s="432"/>
      <c r="BF64" s="433"/>
      <c r="BG64" s="432"/>
      <c r="BH64" s="429"/>
    </row>
    <row r="65" spans="1:60" ht="13.8" thickBot="1" x14ac:dyDescent="0.3">
      <c r="A65" s="406">
        <v>42792</v>
      </c>
      <c r="B65" s="860">
        <f t="shared" si="13"/>
        <v>86.322599999999994</v>
      </c>
      <c r="C65" s="860">
        <f>Calculation!AK68</f>
        <v>82.93786181364392</v>
      </c>
      <c r="D65" s="860">
        <f>Calculation!AI68</f>
        <v>0</v>
      </c>
      <c r="E65" s="860">
        <f>Calculation!AE68</f>
        <v>39.928069999999998</v>
      </c>
      <c r="F65" s="860">
        <f>Calculation!AF68</f>
        <v>46.394529999999996</v>
      </c>
      <c r="G65" s="860">
        <f>Calculation!AG68</f>
        <v>0</v>
      </c>
      <c r="H65" s="861">
        <f>Sheet1!H66</f>
        <v>1.69</v>
      </c>
      <c r="I65" s="841">
        <f>Sheet1!DA66</f>
        <v>1580</v>
      </c>
      <c r="J65" s="841">
        <f>Sheet1!DB66</f>
        <v>783</v>
      </c>
      <c r="K65" s="841">
        <f>Sheet1!CZ66</f>
        <v>871</v>
      </c>
      <c r="L65" s="865">
        <f>Calculation!F68</f>
        <v>250</v>
      </c>
      <c r="M65" s="865">
        <f>Calculation!E68</f>
        <v>250</v>
      </c>
      <c r="N65" s="865">
        <f>Calculation!D68</f>
        <v>300</v>
      </c>
      <c r="O65" s="888">
        <f>Sheet1!DC66</f>
        <v>1086.45</v>
      </c>
      <c r="P65" s="889" t="e">
        <f>Calculation!FD68</f>
        <v>#N/A</v>
      </c>
      <c r="Q65" s="895">
        <f>Calculation!DP68</f>
        <v>2193.5000000053342</v>
      </c>
      <c r="R65" s="888">
        <f t="shared" si="6"/>
        <v>1574.5000000053342</v>
      </c>
      <c r="S65" s="890">
        <f t="shared" si="14"/>
        <v>135.00000000011596</v>
      </c>
      <c r="T65" s="895">
        <f ca="1">IF(A65&gt;$A$1,#N/A,VLOOKUP(A65,Calculation!$B$8:$JO$503,40,FALSE))</f>
        <v>1820.4630061813159</v>
      </c>
      <c r="U65" s="890">
        <f t="shared" si="15"/>
        <v>0</v>
      </c>
      <c r="V65" s="890">
        <f>Calculation!AZ68</f>
        <v>0</v>
      </c>
      <c r="W65" s="895">
        <f t="shared" ca="1" si="12"/>
        <v>0</v>
      </c>
      <c r="X65" s="890">
        <v>0</v>
      </c>
      <c r="Y65" s="890">
        <f t="shared" ca="1" si="16"/>
        <v>0</v>
      </c>
      <c r="Z65" s="890">
        <f t="shared" ca="1" si="17"/>
        <v>0</v>
      </c>
      <c r="AA65" s="890">
        <f t="shared" ca="1" si="10"/>
        <v>0</v>
      </c>
      <c r="AB65" s="895">
        <f t="shared" ca="1" si="11"/>
        <v>373.03699382401828</v>
      </c>
      <c r="AC65" s="980">
        <f t="shared" ca="1" si="8"/>
        <v>-245.96300617598172</v>
      </c>
      <c r="AD65" s="860" t="e">
        <f ca="1">IF(A65&gt;$A$1,#N/A,VLOOKUP(A65,Calculation!$B$8:$JO$503,165,FALSE))</f>
        <v>#N/A</v>
      </c>
      <c r="AE65" s="399" t="e">
        <f t="shared" ca="1" si="18"/>
        <v>#N/A</v>
      </c>
      <c r="AF65" s="399"/>
      <c r="AG65" s="841">
        <f>Calculation!G68</f>
        <v>939.07866868387089</v>
      </c>
      <c r="AH65" s="847" t="str">
        <f t="shared" si="19"/>
        <v>Yes</v>
      </c>
      <c r="AI65" s="847" t="str">
        <f>IF(Calculation!K68&gt;0,"Yes","No")</f>
        <v>Yes</v>
      </c>
      <c r="AJ65" s="869">
        <v>1865.3800000026351</v>
      </c>
      <c r="AK65" s="870">
        <v>4043.3000000090997</v>
      </c>
      <c r="AL65" s="870">
        <v>1712.2000000045839</v>
      </c>
      <c r="AN65" s="372">
        <v>2852.0000000069122</v>
      </c>
      <c r="AO65" s="372">
        <v>4903.5000000106866</v>
      </c>
      <c r="AP65" s="372">
        <v>2515.3000000062643</v>
      </c>
      <c r="AU65" s="427"/>
      <c r="AV65" s="410"/>
      <c r="AW65" s="617">
        <f>Calculation!BB68*3.068</f>
        <v>908.94613333333325</v>
      </c>
      <c r="AX65" s="618"/>
      <c r="AY65" s="618"/>
      <c r="AZ65" s="619"/>
      <c r="BB65" s="433"/>
      <c r="BC65" s="432"/>
      <c r="BD65" s="433"/>
      <c r="BE65" s="432"/>
      <c r="BF65" s="433"/>
      <c r="BG65" s="432"/>
      <c r="BH65" s="429"/>
    </row>
    <row r="66" spans="1:60" ht="13.8" thickBot="1" x14ac:dyDescent="0.3">
      <c r="A66" s="406">
        <v>42793</v>
      </c>
      <c r="B66" s="860">
        <f t="shared" si="13"/>
        <v>86.121489999999994</v>
      </c>
      <c r="C66" s="860">
        <f>Calculation!AK69</f>
        <v>83.857113720930229</v>
      </c>
      <c r="D66" s="860">
        <f>Calculation!AI69</f>
        <v>0</v>
      </c>
      <c r="E66" s="860">
        <f>Calculation!AE69</f>
        <v>39.850720000000003</v>
      </c>
      <c r="F66" s="860">
        <f>Calculation!AF69</f>
        <v>46.270769999999999</v>
      </c>
      <c r="G66" s="860">
        <f>Calculation!AG69</f>
        <v>0</v>
      </c>
      <c r="H66" s="861">
        <f>Sheet1!H67</f>
        <v>0.93</v>
      </c>
      <c r="I66" s="841">
        <f>Sheet1!DA67</f>
        <v>1530</v>
      </c>
      <c r="J66" s="841">
        <f>Sheet1!DB67</f>
        <v>680</v>
      </c>
      <c r="K66" s="841">
        <f>Sheet1!CZ67</f>
        <v>762</v>
      </c>
      <c r="L66" s="865">
        <f>Calculation!F69</f>
        <v>250</v>
      </c>
      <c r="M66" s="865">
        <f>Calculation!E69</f>
        <v>250</v>
      </c>
      <c r="N66" s="865">
        <f>Calculation!D69</f>
        <v>300</v>
      </c>
      <c r="O66" s="888">
        <f>Sheet1!DC67</f>
        <v>1086.97</v>
      </c>
      <c r="P66" s="889" t="e">
        <f>Calculation!FD69</f>
        <v>#N/A</v>
      </c>
      <c r="Q66" s="895">
        <f>Calculation!DP69</f>
        <v>2281.9000000054116</v>
      </c>
      <c r="R66" s="888">
        <f t="shared" si="6"/>
        <v>1662.9000000054116</v>
      </c>
      <c r="S66" s="890">
        <f t="shared" si="14"/>
        <v>88.400000000077398</v>
      </c>
      <c r="T66" s="895">
        <f ca="1">IF(A66&gt;$A$1,#N/A,VLOOKUP(A66,Calculation!$B$8:$JO$503,40,FALSE))</f>
        <v>1986.7678703673625</v>
      </c>
      <c r="U66" s="890">
        <f t="shared" si="15"/>
        <v>0</v>
      </c>
      <c r="V66" s="890">
        <f>Calculation!AZ69</f>
        <v>0</v>
      </c>
      <c r="W66" s="895">
        <f t="shared" ca="1" si="12"/>
        <v>0</v>
      </c>
      <c r="X66" s="890">
        <v>0</v>
      </c>
      <c r="Y66" s="890">
        <f t="shared" ca="1" si="16"/>
        <v>0</v>
      </c>
      <c r="Z66" s="890">
        <f t="shared" ca="1" si="17"/>
        <v>0</v>
      </c>
      <c r="AA66" s="890">
        <f t="shared" ca="1" si="10"/>
        <v>0</v>
      </c>
      <c r="AB66" s="895">
        <f t="shared" ca="1" si="11"/>
        <v>295.13212963804904</v>
      </c>
      <c r="AC66" s="980">
        <f t="shared" ca="1" si="8"/>
        <v>-323.86787036195096</v>
      </c>
      <c r="AD66" s="860" t="e">
        <f ca="1">IF(A66&gt;$A$1,#N/A,VLOOKUP(A66,Calculation!$B$8:$JO$503,165,FALSE))</f>
        <v>#N/A</v>
      </c>
      <c r="AE66" s="399" t="e">
        <f t="shared" ca="1" si="18"/>
        <v>#N/A</v>
      </c>
      <c r="AF66" s="399"/>
      <c r="AG66" s="841">
        <f>Calculation!G69</f>
        <v>806.57892082706883</v>
      </c>
      <c r="AH66" s="847" t="str">
        <f t="shared" si="19"/>
        <v>Yes</v>
      </c>
      <c r="AI66" s="847" t="str">
        <f>IF(Calculation!K69&gt;0,"Yes","No")</f>
        <v>Yes</v>
      </c>
      <c r="AJ66" s="869">
        <v>1765.4600000024684</v>
      </c>
      <c r="AK66" s="870">
        <v>2502.0000000062641</v>
      </c>
      <c r="AL66" s="870">
        <v>1961.2000000051023</v>
      </c>
      <c r="AN66" s="372">
        <v>2983.8000000074012</v>
      </c>
      <c r="AO66" s="372">
        <v>5556.0000000121554</v>
      </c>
      <c r="AP66" s="372">
        <v>3103.6000000074964</v>
      </c>
      <c r="AU66" s="427"/>
      <c r="AV66" s="410"/>
      <c r="AW66" s="617">
        <f>Calculation!BB69*3.068</f>
        <v>991.57759999999996</v>
      </c>
      <c r="AX66" s="618"/>
      <c r="AY66" s="618"/>
      <c r="AZ66" s="619"/>
      <c r="BB66" s="433"/>
      <c r="BC66" s="432"/>
      <c r="BD66" s="433"/>
      <c r="BE66" s="432"/>
      <c r="BF66" s="433"/>
      <c r="BG66" s="432"/>
      <c r="BH66" s="429"/>
    </row>
    <row r="67" spans="1:60" ht="13.8" thickBot="1" x14ac:dyDescent="0.3">
      <c r="A67" s="406">
        <v>42794</v>
      </c>
      <c r="B67" s="860">
        <f t="shared" si="13"/>
        <v>86.167900000000003</v>
      </c>
      <c r="C67" s="860">
        <f>Calculation!AK70</f>
        <v>84.14737497838378</v>
      </c>
      <c r="D67" s="860">
        <f>Calculation!AI70</f>
        <v>0</v>
      </c>
      <c r="E67" s="860">
        <f>Calculation!AE70</f>
        <v>39.757899999999999</v>
      </c>
      <c r="F67" s="860">
        <f>Calculation!AF70</f>
        <v>46.41</v>
      </c>
      <c r="G67" s="860">
        <f>Calculation!AG70</f>
        <v>0</v>
      </c>
      <c r="H67" s="861">
        <f>Sheet1!H68</f>
        <v>1.06</v>
      </c>
      <c r="I67" s="841">
        <f>Sheet1!DA68</f>
        <v>1490</v>
      </c>
      <c r="J67" s="841">
        <f>Sheet1!DB68</f>
        <v>680</v>
      </c>
      <c r="K67" s="841">
        <f>Sheet1!CZ68</f>
        <v>771</v>
      </c>
      <c r="L67" s="865">
        <f>Calculation!F70</f>
        <v>250</v>
      </c>
      <c r="M67" s="865">
        <f>Calculation!E70</f>
        <v>250</v>
      </c>
      <c r="N67" s="865">
        <f>Calculation!D70</f>
        <v>300</v>
      </c>
      <c r="O67" s="888">
        <f>Sheet1!DC68</f>
        <v>1087.58</v>
      </c>
      <c r="P67" s="889" t="e">
        <f>Calculation!FD70</f>
        <v>#N/A</v>
      </c>
      <c r="Q67" s="895">
        <f>Calculation!DP70</f>
        <v>2390.4000000058118</v>
      </c>
      <c r="R67" s="888">
        <f t="shared" si="6"/>
        <v>1771.4000000058118</v>
      </c>
      <c r="S67" s="890">
        <f t="shared" si="14"/>
        <v>108.50000000040018</v>
      </c>
      <c r="T67" s="895">
        <f ca="1">IF(A67&gt;$A$1,#N/A,VLOOKUP(A67,Calculation!$B$8:$JO$503,40,FALSE))</f>
        <v>2153.6483787278548</v>
      </c>
      <c r="U67" s="890">
        <f t="shared" si="15"/>
        <v>0</v>
      </c>
      <c r="V67" s="890">
        <f>Calculation!AZ70</f>
        <v>0</v>
      </c>
      <c r="W67" s="895">
        <f t="shared" ca="1" si="12"/>
        <v>0</v>
      </c>
      <c r="X67" s="890">
        <v>0</v>
      </c>
      <c r="Y67" s="890">
        <f t="shared" ca="1" si="16"/>
        <v>0</v>
      </c>
      <c r="Z67" s="890">
        <f t="shared" ca="1" si="17"/>
        <v>0</v>
      </c>
      <c r="AA67" s="890">
        <f t="shared" ca="1" si="10"/>
        <v>0</v>
      </c>
      <c r="AB67" s="895">
        <f t="shared" ca="1" si="11"/>
        <v>236.75162127795693</v>
      </c>
      <c r="AC67" s="980">
        <f t="shared" ca="1" si="8"/>
        <v>-382.24837872204307</v>
      </c>
      <c r="AD67" s="860" t="e">
        <f ca="1">IF(A67&gt;$A$1,#N/A,VLOOKUP(A67,Calculation!$B$8:$JO$503,165,FALSE))</f>
        <v>#N/A</v>
      </c>
      <c r="AE67" s="399" t="e">
        <f t="shared" ca="1" si="18"/>
        <v>#N/A</v>
      </c>
      <c r="AF67" s="399"/>
      <c r="AG67" s="841">
        <f>Calculation!G70</f>
        <v>825.71507816459916</v>
      </c>
      <c r="AH67" s="847" t="str">
        <f t="shared" si="19"/>
        <v>Yes</v>
      </c>
      <c r="AI67" s="847" t="str">
        <f>IF(Calculation!K70&gt;0,"Yes","No")</f>
        <v>Yes</v>
      </c>
      <c r="AJ67" s="869">
        <v>1713.5400000024147</v>
      </c>
      <c r="AK67" s="870">
        <v>1567.0000000038835</v>
      </c>
      <c r="AL67" s="870">
        <v>2381.4000000058118</v>
      </c>
      <c r="AN67" s="372">
        <v>3238.0000000076398</v>
      </c>
      <c r="AO67" s="372">
        <v>6319.0000000133696</v>
      </c>
      <c r="AP67" s="372">
        <v>4077.800000009152</v>
      </c>
      <c r="AU67" s="427"/>
      <c r="AV67" s="410"/>
      <c r="AW67" s="617">
        <f>Calculation!BB70*3.068</f>
        <v>1074.2090666666666</v>
      </c>
      <c r="AX67" s="618"/>
      <c r="AY67" s="618"/>
      <c r="AZ67" s="619"/>
      <c r="BB67" s="433"/>
      <c r="BC67" s="432"/>
      <c r="BD67" s="433"/>
      <c r="BE67" s="432"/>
      <c r="BF67" s="433"/>
      <c r="BG67" s="432"/>
      <c r="BH67" s="429"/>
    </row>
    <row r="68" spans="1:60" ht="13.8" thickBot="1" x14ac:dyDescent="0.3">
      <c r="A68" s="406">
        <v>42795</v>
      </c>
      <c r="B68" s="860">
        <f t="shared" si="13"/>
        <v>85.858499999999992</v>
      </c>
      <c r="C68" s="860">
        <f>Calculation!AK71</f>
        <v>83.709201333333326</v>
      </c>
      <c r="D68" s="860">
        <f>Calculation!AI71</f>
        <v>0</v>
      </c>
      <c r="E68" s="860">
        <f>Calculation!AE71</f>
        <v>39.757899999999999</v>
      </c>
      <c r="F68" s="860">
        <f>Calculation!AF71</f>
        <v>46.1006</v>
      </c>
      <c r="G68" s="860">
        <f>Calculation!AG71</f>
        <v>0</v>
      </c>
      <c r="H68" s="861">
        <f>Sheet1!H69</f>
        <v>1.33</v>
      </c>
      <c r="I68" s="841">
        <f>Sheet1!DA69</f>
        <v>1410</v>
      </c>
      <c r="J68" s="841">
        <f>Sheet1!DB69</f>
        <v>613</v>
      </c>
      <c r="K68" s="841">
        <f>Sheet1!CZ69</f>
        <v>679</v>
      </c>
      <c r="L68" s="865">
        <f>Calculation!F71</f>
        <v>250</v>
      </c>
      <c r="M68" s="865">
        <f>Calculation!E71</f>
        <v>250</v>
      </c>
      <c r="N68" s="865">
        <f>Calculation!D71</f>
        <v>300</v>
      </c>
      <c r="O68" s="888">
        <f>Sheet1!DC69</f>
        <v>1088.57</v>
      </c>
      <c r="P68" s="889" t="e">
        <f>Calculation!FD71</f>
        <v>#N/A</v>
      </c>
      <c r="Q68" s="895">
        <f>Calculation!DP71</f>
        <v>2571.3000000063075</v>
      </c>
      <c r="R68" s="888">
        <f t="shared" si="6"/>
        <v>1952.3000000063075</v>
      </c>
      <c r="S68" s="890">
        <f t="shared" si="14"/>
        <v>180.90000000049577</v>
      </c>
      <c r="T68" s="895">
        <f ca="1">IF(A68&gt;$A$1,#N/A,VLOOKUP(A68,Calculation!$B$8:$JO$503,40,FALSE))</f>
        <v>2319.6599040611882</v>
      </c>
      <c r="U68" s="890">
        <f t="shared" si="15"/>
        <v>0</v>
      </c>
      <c r="V68" s="890">
        <f>Calculation!AZ71</f>
        <v>0</v>
      </c>
      <c r="W68" s="895">
        <f t="shared" ca="1" si="12"/>
        <v>0</v>
      </c>
      <c r="X68" s="890">
        <v>0</v>
      </c>
      <c r="Y68" s="890">
        <f t="shared" ca="1" si="16"/>
        <v>0</v>
      </c>
      <c r="Z68" s="890">
        <f t="shared" ca="1" si="17"/>
        <v>0</v>
      </c>
      <c r="AA68" s="890">
        <f t="shared" ca="1" si="10"/>
        <v>0</v>
      </c>
      <c r="AB68" s="895">
        <f t="shared" ca="1" si="11"/>
        <v>251.64009594511936</v>
      </c>
      <c r="AC68" s="980">
        <f t="shared" ca="1" si="8"/>
        <v>-367.35990405488064</v>
      </c>
      <c r="AD68" s="860" t="e">
        <f ca="1">IF(A68&gt;$A$1,#N/A,VLOOKUP(A68,Calculation!$B$8:$JO$503,165,FALSE))</f>
        <v>#N/A</v>
      </c>
      <c r="AE68" s="399" t="e">
        <f t="shared" ca="1" si="18"/>
        <v>#N/A</v>
      </c>
      <c r="AF68" s="399"/>
      <c r="AG68" s="841">
        <f>Calculation!G71</f>
        <v>770.22541603655861</v>
      </c>
      <c r="AH68" s="847" t="str">
        <f t="shared" si="19"/>
        <v>Yes</v>
      </c>
      <c r="AI68" s="847" t="str">
        <f>IF(Calculation!K71&gt;0,"Yes","No")</f>
        <v>Yes</v>
      </c>
      <c r="AJ68" s="869">
        <v>1817.8000000026075</v>
      </c>
      <c r="AK68" s="870">
        <v>1268.2000000036289</v>
      </c>
      <c r="AL68" s="870">
        <v>3692.6000000084036</v>
      </c>
      <c r="AN68" s="372">
        <v>3608.0000000083037</v>
      </c>
      <c r="AO68" s="372">
        <v>6966.500000014441</v>
      </c>
      <c r="AP68" s="372">
        <v>4938.6000000111735</v>
      </c>
      <c r="AU68" s="427"/>
      <c r="AV68" s="410"/>
      <c r="AW68" s="617">
        <f>Calculation!BB71*3.068</f>
        <v>1156.8405333333333</v>
      </c>
      <c r="AX68" s="441"/>
      <c r="AY68" s="441"/>
      <c r="AZ68" s="443"/>
      <c r="BB68" s="433"/>
      <c r="BC68" s="432"/>
      <c r="BD68" s="433"/>
      <c r="BE68" s="432"/>
      <c r="BF68" s="433"/>
      <c r="BG68" s="432"/>
      <c r="BH68" s="429"/>
    </row>
    <row r="69" spans="1:60" ht="13.8" thickBot="1" x14ac:dyDescent="0.3">
      <c r="A69" s="406">
        <v>42796</v>
      </c>
      <c r="B69" s="860">
        <f t="shared" si="13"/>
        <v>84.620899999999992</v>
      </c>
      <c r="C69" s="860">
        <f>Calculation!AK72</f>
        <v>83.693061249999985</v>
      </c>
      <c r="D69" s="860">
        <f>Calculation!AI72</f>
        <v>0</v>
      </c>
      <c r="E69" s="860">
        <f>Calculation!AE72</f>
        <v>39.912599999999998</v>
      </c>
      <c r="F69" s="860">
        <f>Calculation!AF72</f>
        <v>44.708299999999994</v>
      </c>
      <c r="G69" s="860">
        <f>Calculation!AG72</f>
        <v>0</v>
      </c>
      <c r="H69" s="861">
        <f>Sheet1!H70</f>
        <v>4.62</v>
      </c>
      <c r="I69" s="841">
        <f>Sheet1!DA70</f>
        <v>1330</v>
      </c>
      <c r="J69" s="841">
        <f>Sheet1!DB70</f>
        <v>583</v>
      </c>
      <c r="K69" s="841">
        <f>Sheet1!CZ70</f>
        <v>641</v>
      </c>
      <c r="L69" s="865">
        <f>Calculation!F72</f>
        <v>250</v>
      </c>
      <c r="M69" s="865">
        <f>Calculation!E72</f>
        <v>250</v>
      </c>
      <c r="N69" s="865">
        <f>Calculation!D72</f>
        <v>300</v>
      </c>
      <c r="O69" s="888">
        <f>Sheet1!DC70</f>
        <v>1089.92</v>
      </c>
      <c r="P69" s="889" t="e">
        <f>Calculation!FD72</f>
        <v>#N/A</v>
      </c>
      <c r="Q69" s="895">
        <f>Calculation!DP72</f>
        <v>2830.0000000069122</v>
      </c>
      <c r="R69" s="888">
        <f t="shared" si="6"/>
        <v>2211.0000000069122</v>
      </c>
      <c r="S69" s="890">
        <f t="shared" si="14"/>
        <v>258.70000000060463</v>
      </c>
      <c r="T69" s="895">
        <f ca="1">IF(A69&gt;$A$1,#N/A,VLOOKUP(A69,Calculation!$B$8:$JO$503,40,FALSE))</f>
        <v>2485.6394204897597</v>
      </c>
      <c r="U69" s="890">
        <f t="shared" si="15"/>
        <v>0</v>
      </c>
      <c r="V69" s="890">
        <f>Calculation!AZ72</f>
        <v>0</v>
      </c>
      <c r="W69" s="895">
        <f t="shared" ca="1" si="12"/>
        <v>0</v>
      </c>
      <c r="X69" s="890">
        <v>0</v>
      </c>
      <c r="Y69" s="890">
        <f t="shared" ca="1" si="16"/>
        <v>0</v>
      </c>
      <c r="Z69" s="890">
        <f t="shared" ca="1" si="17"/>
        <v>0</v>
      </c>
      <c r="AA69" s="890">
        <f t="shared" ca="1" si="10"/>
        <v>0</v>
      </c>
      <c r="AB69" s="895">
        <f t="shared" ca="1" si="11"/>
        <v>344.36057951715247</v>
      </c>
      <c r="AC69" s="980">
        <f t="shared" ca="1" si="8"/>
        <v>-274.63942048284753</v>
      </c>
      <c r="AD69" s="860" t="e">
        <f ca="1">IF(A69&gt;$A$1,#N/A,VLOOKUP(A69,Calculation!$B$8:$JO$503,165,FALSE))</f>
        <v>#N/A</v>
      </c>
      <c r="AE69" s="399" t="e">
        <f t="shared" ca="1" si="18"/>
        <v>#N/A</v>
      </c>
      <c r="AF69" s="399"/>
      <c r="AG69" s="841">
        <f>Calculation!G72</f>
        <v>771.45890065587719</v>
      </c>
      <c r="AH69" s="847" t="str">
        <f t="shared" si="19"/>
        <v>Yes</v>
      </c>
      <c r="AI69" s="847" t="str">
        <f>IF(Calculation!K72&gt;0,"Yes","No")</f>
        <v>Yes</v>
      </c>
      <c r="AJ69" s="869">
        <v>2087.2000000030148</v>
      </c>
      <c r="AK69" s="870">
        <v>1284.0000000036289</v>
      </c>
      <c r="AL69" s="870">
        <v>4439.0000000102882</v>
      </c>
      <c r="AN69" s="372">
        <v>3936.000000009386</v>
      </c>
      <c r="AO69" s="372">
        <v>7590.0000000154841</v>
      </c>
      <c r="AP69" s="372">
        <v>5453.6000000116464</v>
      </c>
      <c r="AU69" s="427"/>
      <c r="AV69" s="410"/>
      <c r="AW69" s="442"/>
      <c r="AX69" s="441"/>
      <c r="AY69" s="441"/>
      <c r="AZ69" s="443"/>
      <c r="BB69" s="433"/>
      <c r="BC69" s="432"/>
      <c r="BD69" s="433"/>
      <c r="BE69" s="432"/>
      <c r="BF69" s="433"/>
      <c r="BG69" s="432"/>
      <c r="BH69" s="429"/>
    </row>
    <row r="70" spans="1:60" ht="13.8" thickBot="1" x14ac:dyDescent="0.3">
      <c r="A70" s="406">
        <v>42797</v>
      </c>
      <c r="B70" s="860">
        <f t="shared" si="13"/>
        <v>84.775599999999997</v>
      </c>
      <c r="C70" s="860">
        <f>Calculation!AK73</f>
        <v>83.786459989701342</v>
      </c>
      <c r="D70" s="860">
        <f>Calculation!AI73</f>
        <v>0</v>
      </c>
      <c r="E70" s="860">
        <f>Calculation!AE73</f>
        <v>39.928069999999998</v>
      </c>
      <c r="F70" s="860">
        <f>Calculation!AF73</f>
        <v>44.847529999999999</v>
      </c>
      <c r="G70" s="860">
        <f>Calculation!AG73</f>
        <v>0</v>
      </c>
      <c r="H70" s="861">
        <f>Sheet1!H71</f>
        <v>3.66</v>
      </c>
      <c r="I70" s="841">
        <f>Sheet1!DA71</f>
        <v>1420</v>
      </c>
      <c r="J70" s="841">
        <f>Sheet1!DB71</f>
        <v>656</v>
      </c>
      <c r="K70" s="841">
        <f>Sheet1!CZ71</f>
        <v>658</v>
      </c>
      <c r="L70" s="865">
        <f>Calculation!F73</f>
        <v>250</v>
      </c>
      <c r="M70" s="865">
        <f>Calculation!E73</f>
        <v>250</v>
      </c>
      <c r="N70" s="865">
        <f>Calculation!D73</f>
        <v>300</v>
      </c>
      <c r="O70" s="888">
        <f>Sheet1!DC71</f>
        <v>1091.94</v>
      </c>
      <c r="P70" s="889" t="e">
        <f>Calculation!FD73</f>
        <v>#N/A</v>
      </c>
      <c r="Q70" s="895">
        <f>Calculation!DP73</f>
        <v>3246.4000000076398</v>
      </c>
      <c r="R70" s="888">
        <f t="shared" ref="R70:R133" si="20">Q70-619</f>
        <v>2627.4000000076398</v>
      </c>
      <c r="S70" s="890">
        <f t="shared" si="14"/>
        <v>416.40000000072769</v>
      </c>
      <c r="T70" s="895">
        <f ca="1">IF(A70&gt;$A$1,#N/A,VLOOKUP(A70,Calculation!$B$8:$JO$503,40,FALSE))</f>
        <v>2651.8041646710158</v>
      </c>
      <c r="U70" s="890">
        <f t="shared" si="15"/>
        <v>0</v>
      </c>
      <c r="V70" s="890">
        <f>Calculation!AZ73</f>
        <v>0</v>
      </c>
      <c r="W70" s="895">
        <f t="shared" ca="1" si="12"/>
        <v>0</v>
      </c>
      <c r="X70" s="890">
        <v>0</v>
      </c>
      <c r="Y70" s="890">
        <f t="shared" ca="1" si="16"/>
        <v>0</v>
      </c>
      <c r="Z70" s="890">
        <f t="shared" ca="1" si="17"/>
        <v>0</v>
      </c>
      <c r="AA70" s="890">
        <f t="shared" ca="1" si="10"/>
        <v>0</v>
      </c>
      <c r="AB70" s="895">
        <f t="shared" ca="1" si="11"/>
        <v>594.59583533662408</v>
      </c>
      <c r="AC70" s="980">
        <f t="shared" ref="AC70:AC133" ca="1" si="21">AB70-619</f>
        <v>-24.404164663375923</v>
      </c>
      <c r="AD70" s="860" t="e">
        <f ca="1">IF(A70&gt;$A$1,#N/A,VLOOKUP(A70,Calculation!$B$8:$JO$503,165,FALSE))</f>
        <v>#N/A</v>
      </c>
      <c r="AE70" s="399" t="e">
        <f t="shared" ca="1" si="18"/>
        <v>#N/A</v>
      </c>
      <c r="AF70" s="399"/>
      <c r="AG70" s="841">
        <f>Calculation!G73</f>
        <v>867.98487140732607</v>
      </c>
      <c r="AH70" s="847" t="str">
        <f t="shared" si="19"/>
        <v>Yes</v>
      </c>
      <c r="AI70" s="847" t="str">
        <f>IF(Calculation!K73&gt;0,"Yes","No")</f>
        <v>Yes</v>
      </c>
      <c r="AJ70" s="869">
        <v>2314.2000000034695</v>
      </c>
      <c r="AK70" s="870">
        <v>1466.4000000037881</v>
      </c>
      <c r="AL70" s="870">
        <v>4504.5000000103455</v>
      </c>
      <c r="AN70" s="372">
        <v>4579.4000000099859</v>
      </c>
      <c r="AO70" s="372">
        <v>8064.6000000169533</v>
      </c>
      <c r="AP70" s="372">
        <v>6200.6000000127697</v>
      </c>
      <c r="AU70" s="427"/>
      <c r="AV70" s="410"/>
      <c r="AW70" s="442"/>
      <c r="AX70" s="441"/>
      <c r="AY70" s="441"/>
      <c r="AZ70" s="443"/>
      <c r="BB70" s="433"/>
      <c r="BC70" s="432"/>
      <c r="BD70" s="433"/>
      <c r="BE70" s="432"/>
      <c r="BF70" s="433"/>
      <c r="BG70" s="432"/>
      <c r="BH70" s="429"/>
    </row>
    <row r="71" spans="1:60" ht="13.8" thickBot="1" x14ac:dyDescent="0.3">
      <c r="A71" s="406">
        <v>42798</v>
      </c>
      <c r="B71" s="860">
        <f t="shared" si="13"/>
        <v>84.651839999999993</v>
      </c>
      <c r="C71" s="860">
        <f>Calculation!AK74</f>
        <v>83.720873700137545</v>
      </c>
      <c r="D71" s="860">
        <f>Calculation!AI74</f>
        <v>0</v>
      </c>
      <c r="E71" s="860">
        <f>Calculation!AE74</f>
        <v>39.912599999999998</v>
      </c>
      <c r="F71" s="860">
        <f>Calculation!AF74</f>
        <v>44.739240000000002</v>
      </c>
      <c r="G71" s="860">
        <f>Calculation!AG74</f>
        <v>0</v>
      </c>
      <c r="H71" s="861">
        <f>Sheet1!H72</f>
        <v>2.9</v>
      </c>
      <c r="I71" s="841">
        <f>Sheet1!DA72</f>
        <v>1440</v>
      </c>
      <c r="J71" s="841">
        <f>Sheet1!DB72</f>
        <v>636</v>
      </c>
      <c r="K71" s="841">
        <f>Sheet1!CZ72</f>
        <v>674</v>
      </c>
      <c r="L71" s="865">
        <f>Calculation!F74</f>
        <v>250</v>
      </c>
      <c r="M71" s="865">
        <f>Calculation!E74</f>
        <v>250</v>
      </c>
      <c r="N71" s="865">
        <f>Calculation!D74</f>
        <v>300</v>
      </c>
      <c r="O71" s="888">
        <f>Sheet1!DC72</f>
        <v>1094.81</v>
      </c>
      <c r="P71" s="889" t="e">
        <f>Calculation!FD74</f>
        <v>#N/A</v>
      </c>
      <c r="Q71" s="895">
        <f>Calculation!DP74</f>
        <v>3881.3000000089428</v>
      </c>
      <c r="R71" s="888">
        <f t="shared" si="20"/>
        <v>3262.3000000089428</v>
      </c>
      <c r="S71" s="890">
        <f t="shared" si="14"/>
        <v>634.90000000130294</v>
      </c>
      <c r="T71" s="895">
        <f ca="1">IF(A71&gt;$A$1,#N/A,VLOOKUP(A71,Calculation!$B$8:$JO$503,40,FALSE))</f>
        <v>2817.8388385637259</v>
      </c>
      <c r="U71" s="890">
        <f t="shared" si="15"/>
        <v>0</v>
      </c>
      <c r="V71" s="890">
        <f>Calculation!AZ74</f>
        <v>0</v>
      </c>
      <c r="W71" s="895">
        <f t="shared" ca="1" si="12"/>
        <v>0</v>
      </c>
      <c r="X71" s="890">
        <v>0</v>
      </c>
      <c r="Y71" s="890">
        <f t="shared" ca="1" si="16"/>
        <v>0</v>
      </c>
      <c r="Z71" s="890">
        <f t="shared" ca="1" si="17"/>
        <v>0</v>
      </c>
      <c r="AA71" s="890">
        <f t="shared" ca="1" si="10"/>
        <v>0</v>
      </c>
      <c r="AB71" s="895">
        <f t="shared" ca="1" si="11"/>
        <v>1063.4611614452169</v>
      </c>
      <c r="AC71" s="980">
        <f t="shared" ca="1" si="21"/>
        <v>444.46116144521693</v>
      </c>
      <c r="AD71" s="860" t="e">
        <f ca="1">IF(A71&gt;$A$1,#N/A,VLOOKUP(A71,Calculation!$B$8:$JO$503,165,FALSE))</f>
        <v>#N/A</v>
      </c>
      <c r="AE71" s="399" t="e">
        <f t="shared" ca="1" si="18"/>
        <v>#N/A</v>
      </c>
      <c r="AF71" s="399"/>
      <c r="AG71" s="841">
        <f>Calculation!G74</f>
        <v>994.17145738845329</v>
      </c>
      <c r="AH71" s="847" t="str">
        <f t="shared" si="19"/>
        <v>Yes</v>
      </c>
      <c r="AI71" s="847" t="str">
        <f>IF(Calculation!K74&gt;0,"Yes","No")</f>
        <v>Yes</v>
      </c>
      <c r="AJ71" s="869">
        <v>2489.2100000037067</v>
      </c>
      <c r="AK71" s="870">
        <v>2142.000000005607</v>
      </c>
      <c r="AL71" s="870">
        <v>4419.0000000102318</v>
      </c>
      <c r="AN71" s="372">
        <v>5734.9000000123397</v>
      </c>
      <c r="AO71" s="372">
        <v>8450.3000000178581</v>
      </c>
      <c r="AP71" s="372">
        <v>6568.2000000140451</v>
      </c>
      <c r="AU71" s="427"/>
      <c r="AV71" s="410"/>
      <c r="AW71" s="442"/>
      <c r="AX71" s="441"/>
      <c r="AY71" s="441"/>
      <c r="AZ71" s="443"/>
      <c r="BB71" s="433"/>
      <c r="BC71" s="432"/>
      <c r="BD71" s="433"/>
      <c r="BE71" s="432"/>
      <c r="BF71" s="433"/>
      <c r="BG71" s="432"/>
      <c r="BH71" s="429"/>
    </row>
    <row r="72" spans="1:60" ht="13.8" thickBot="1" x14ac:dyDescent="0.3">
      <c r="A72" s="406">
        <v>42799</v>
      </c>
      <c r="B72" s="860">
        <f t="shared" si="13"/>
        <v>84.744659999999996</v>
      </c>
      <c r="C72" s="860">
        <f>Calculation!AK75</f>
        <v>83.701111080523049</v>
      </c>
      <c r="D72" s="860">
        <f>Calculation!AI75</f>
        <v>0</v>
      </c>
      <c r="E72" s="860">
        <f>Calculation!AE75</f>
        <v>39.897129999999997</v>
      </c>
      <c r="F72" s="860">
        <f>Calculation!AF75</f>
        <v>44.847529999999999</v>
      </c>
      <c r="G72" s="860">
        <f>Calculation!AG75</f>
        <v>0</v>
      </c>
      <c r="H72" s="861">
        <f>Sheet1!H73</f>
        <v>1.8</v>
      </c>
      <c r="I72" s="841">
        <f>Sheet1!DA73</f>
        <v>1390</v>
      </c>
      <c r="J72" s="841">
        <f>Sheet1!DB73</f>
        <v>632</v>
      </c>
      <c r="K72" s="841">
        <f>Sheet1!CZ73</f>
        <v>683</v>
      </c>
      <c r="L72" s="865">
        <f>Calculation!F75</f>
        <v>250</v>
      </c>
      <c r="M72" s="865">
        <f>Calculation!E75</f>
        <v>250</v>
      </c>
      <c r="N72" s="865">
        <f>Calculation!D75</f>
        <v>300</v>
      </c>
      <c r="O72" s="888">
        <f>Sheet1!DC73</f>
        <v>1096.83</v>
      </c>
      <c r="P72" s="889" t="e">
        <f>Calculation!FD75</f>
        <v>#N/A</v>
      </c>
      <c r="Q72" s="895">
        <f>Calculation!DP75</f>
        <v>4354.9000000093611</v>
      </c>
      <c r="R72" s="888">
        <f t="shared" si="20"/>
        <v>3735.9000000093611</v>
      </c>
      <c r="S72" s="890">
        <f t="shared" si="14"/>
        <v>473.60000000041828</v>
      </c>
      <c r="T72" s="895">
        <f ca="1">IF(A72&gt;$A$1,#N/A,VLOOKUP(A72,Calculation!$B$8:$JO$503,40,FALSE))</f>
        <v>2983.834319362074</v>
      </c>
      <c r="U72" s="890">
        <f t="shared" si="15"/>
        <v>0</v>
      </c>
      <c r="V72" s="890">
        <f>Calculation!AZ75</f>
        <v>0</v>
      </c>
      <c r="W72" s="895">
        <f t="shared" ca="1" si="12"/>
        <v>0</v>
      </c>
      <c r="X72" s="890">
        <v>0</v>
      </c>
      <c r="Y72" s="890">
        <f t="shared" ca="1" si="16"/>
        <v>0</v>
      </c>
      <c r="Z72" s="890">
        <f t="shared" ca="1" si="17"/>
        <v>0</v>
      </c>
      <c r="AA72" s="890">
        <f t="shared" ref="AA72:AA98" ca="1" si="22">IF(AB72&gt;=24257,Q72-24257,0)</f>
        <v>0</v>
      </c>
      <c r="AB72" s="895">
        <f t="shared" ref="AB72:AB135" ca="1" si="23">IF(Q72-T72-W72&lt;0,0,MIN(Q72-T72-W72,24257))</f>
        <v>1371.0656806472871</v>
      </c>
      <c r="AC72" s="980">
        <f t="shared" ca="1" si="21"/>
        <v>752.06568064728708</v>
      </c>
      <c r="AD72" s="860" t="e">
        <f ca="1">IF(A72&gt;$A$1,#N/A,VLOOKUP(A72,Calculation!$B$8:$JO$503,165,FALSE))</f>
        <v>#N/A</v>
      </c>
      <c r="AE72" s="399" t="e">
        <f t="shared" ca="1" si="18"/>
        <v>#N/A</v>
      </c>
      <c r="AF72" s="399"/>
      <c r="AG72" s="841">
        <f>Calculation!G75</f>
        <v>921.83005547171865</v>
      </c>
      <c r="AH72" s="847" t="str">
        <f t="shared" si="19"/>
        <v>Yes</v>
      </c>
      <c r="AI72" s="847" t="str">
        <f>IF(Calculation!K75&gt;0,"Yes","No")</f>
        <v>Yes</v>
      </c>
      <c r="AJ72" s="869">
        <v>2657.3800000039978</v>
      </c>
      <c r="AK72" s="870">
        <v>2651.0000000067303</v>
      </c>
      <c r="AL72" s="870">
        <v>4441.5000000102882</v>
      </c>
      <c r="AN72" s="372">
        <v>6597.2000000141106</v>
      </c>
      <c r="AO72" s="372">
        <v>8776.200000018709</v>
      </c>
      <c r="AP72" s="372">
        <v>6603.0000000141108</v>
      </c>
      <c r="AU72" s="427"/>
      <c r="AV72" s="410"/>
      <c r="AW72" s="442"/>
      <c r="AX72" s="441"/>
      <c r="AY72" s="441"/>
      <c r="AZ72" s="443"/>
      <c r="BB72" s="433"/>
      <c r="BC72" s="432"/>
      <c r="BD72" s="433"/>
      <c r="BE72" s="432"/>
      <c r="BF72" s="433"/>
      <c r="BG72" s="432"/>
      <c r="BH72" s="429"/>
    </row>
    <row r="73" spans="1:60" ht="13.8" thickBot="1" x14ac:dyDescent="0.3">
      <c r="A73" s="406">
        <v>42800</v>
      </c>
      <c r="B73" s="860">
        <f t="shared" si="13"/>
        <v>84.636369999999999</v>
      </c>
      <c r="C73" s="860">
        <f>Calculation!AK76</f>
        <v>83.646433486774299</v>
      </c>
      <c r="D73" s="860">
        <f>Calculation!AI76</f>
        <v>0</v>
      </c>
      <c r="E73" s="860">
        <f>Calculation!AE76</f>
        <v>39.77337</v>
      </c>
      <c r="F73" s="860">
        <f>Calculation!AF76</f>
        <v>44.863</v>
      </c>
      <c r="G73" s="860">
        <f>Calculation!AG76</f>
        <v>0</v>
      </c>
      <c r="H73" s="861">
        <f>Sheet1!H74</f>
        <v>1.69</v>
      </c>
      <c r="I73" s="841">
        <f>Sheet1!DA74</f>
        <v>1370</v>
      </c>
      <c r="J73" s="841">
        <f>Sheet1!DB74</f>
        <v>620</v>
      </c>
      <c r="K73" s="841">
        <f>Sheet1!CZ74</f>
        <v>687</v>
      </c>
      <c r="L73" s="865">
        <f>Calculation!F76</f>
        <v>250</v>
      </c>
      <c r="M73" s="865">
        <f>Calculation!E76</f>
        <v>250</v>
      </c>
      <c r="N73" s="865">
        <f>Calculation!D76</f>
        <v>300</v>
      </c>
      <c r="O73" s="888">
        <f>Sheet1!DC74</f>
        <v>1098.21</v>
      </c>
      <c r="P73" s="889" t="e">
        <f>Calculation!FD76</f>
        <v>#N/A</v>
      </c>
      <c r="Q73" s="895">
        <f>Calculation!DP76</f>
        <v>4689.5000000105156</v>
      </c>
      <c r="R73" s="888">
        <f t="shared" si="20"/>
        <v>4070.5000000105156</v>
      </c>
      <c r="S73" s="890">
        <f t="shared" si="14"/>
        <v>334.60000000115451</v>
      </c>
      <c r="T73" s="895">
        <f ca="1">IF(A73&gt;$A$1,#N/A,VLOOKUP(A73,Calculation!$B$8:$JO$503,40,FALSE))</f>
        <v>3149.7213639240804</v>
      </c>
      <c r="U73" s="890">
        <f t="shared" si="15"/>
        <v>0</v>
      </c>
      <c r="V73" s="890">
        <f>Calculation!AZ76</f>
        <v>0</v>
      </c>
      <c r="W73" s="895">
        <f t="shared" ca="1" si="12"/>
        <v>0</v>
      </c>
      <c r="X73" s="890">
        <v>0</v>
      </c>
      <c r="Y73" s="890">
        <f t="shared" ca="1" si="16"/>
        <v>0</v>
      </c>
      <c r="Z73" s="890">
        <f t="shared" ca="1" si="17"/>
        <v>0</v>
      </c>
      <c r="AA73" s="890">
        <f t="shared" ca="1" si="22"/>
        <v>0</v>
      </c>
      <c r="AB73" s="895">
        <f t="shared" ca="1" si="23"/>
        <v>1539.7786360864352</v>
      </c>
      <c r="AC73" s="980">
        <f t="shared" ca="1" si="21"/>
        <v>920.7786360864352</v>
      </c>
      <c r="AD73" s="860" t="e">
        <f ca="1">IF(A73&gt;$A$1,#N/A,VLOOKUP(A73,Calculation!$B$8:$JO$503,165,FALSE))</f>
        <v>#N/A</v>
      </c>
      <c r="AE73" s="399" t="e">
        <f t="shared" ca="1" si="18"/>
        <v>#N/A</v>
      </c>
      <c r="AF73" s="399"/>
      <c r="AG73" s="841">
        <f>Calculation!G76</f>
        <v>855.734241049498</v>
      </c>
      <c r="AH73" s="847" t="str">
        <f t="shared" si="19"/>
        <v>Yes</v>
      </c>
      <c r="AI73" s="847" t="str">
        <f>IF(Calculation!K76&gt;0,"Yes","No")</f>
        <v>Yes</v>
      </c>
      <c r="AJ73" s="869">
        <v>2792.0300000042444</v>
      </c>
      <c r="AK73" s="870">
        <v>2824.1000000065665</v>
      </c>
      <c r="AL73" s="870">
        <v>4431.5000000102882</v>
      </c>
      <c r="AN73" s="372">
        <v>7657.4000000160704</v>
      </c>
      <c r="AO73" s="372">
        <v>9024.0000000199725</v>
      </c>
      <c r="AP73" s="372">
        <v>6990.0000000149385</v>
      </c>
      <c r="AU73" s="427"/>
      <c r="AV73" s="410"/>
      <c r="AW73" s="442"/>
      <c r="AX73" s="441"/>
      <c r="AY73" s="441"/>
      <c r="AZ73" s="443"/>
      <c r="BB73" s="433"/>
      <c r="BC73" s="432"/>
      <c r="BD73" s="433"/>
      <c r="BE73" s="432"/>
      <c r="BF73" s="433"/>
      <c r="BG73" s="432"/>
      <c r="BH73" s="429"/>
    </row>
    <row r="74" spans="1:60" ht="13.8" thickBot="1" x14ac:dyDescent="0.3">
      <c r="A74" s="406">
        <v>42801</v>
      </c>
      <c r="B74" s="860">
        <f t="shared" si="13"/>
        <v>84.651839999999993</v>
      </c>
      <c r="C74" s="860">
        <f>Calculation!AK77</f>
        <v>83.715245343878948</v>
      </c>
      <c r="D74" s="860">
        <f>Calculation!AI77</f>
        <v>0</v>
      </c>
      <c r="E74" s="860">
        <f>Calculation!AE77</f>
        <v>39.897129999999997</v>
      </c>
      <c r="F74" s="860">
        <f>Calculation!AF77</f>
        <v>44.754709999999996</v>
      </c>
      <c r="G74" s="860">
        <f>Calculation!AG77</f>
        <v>0</v>
      </c>
      <c r="H74" s="861">
        <f>Sheet1!H75</f>
        <v>4.63</v>
      </c>
      <c r="I74" s="841">
        <f>Sheet1!DA75</f>
        <v>1650</v>
      </c>
      <c r="J74" s="841">
        <f>Sheet1!DB75</f>
        <v>636</v>
      </c>
      <c r="K74" s="841">
        <f>Sheet1!CZ75</f>
        <v>696</v>
      </c>
      <c r="L74" s="865">
        <f>Calculation!F77</f>
        <v>250</v>
      </c>
      <c r="M74" s="865">
        <f>Calculation!E77</f>
        <v>250</v>
      </c>
      <c r="N74" s="865">
        <f>Calculation!D77</f>
        <v>300</v>
      </c>
      <c r="O74" s="888">
        <f>Sheet1!DC75</f>
        <v>1099.24</v>
      </c>
      <c r="P74" s="889" t="e">
        <f>Calculation!FD77</f>
        <v>#N/A</v>
      </c>
      <c r="Q74" s="895">
        <f>Calculation!DP77</f>
        <v>4946.4000000111728</v>
      </c>
      <c r="R74" s="888">
        <f t="shared" si="20"/>
        <v>4327.4000000111728</v>
      </c>
      <c r="S74" s="890">
        <f t="shared" si="14"/>
        <v>256.9000000006572</v>
      </c>
      <c r="T74" s="895">
        <f ca="1">IF(A74&gt;$A$1,#N/A,VLOOKUP(A74,Calculation!$B$8:$JO$503,40,FALSE))</f>
        <v>3315.7448756984954</v>
      </c>
      <c r="U74" s="890">
        <f t="shared" si="15"/>
        <v>0</v>
      </c>
      <c r="V74" s="890">
        <f>Calculation!AZ77</f>
        <v>0</v>
      </c>
      <c r="W74" s="895">
        <f t="shared" ca="1" si="12"/>
        <v>0</v>
      </c>
      <c r="X74" s="890">
        <v>0</v>
      </c>
      <c r="Y74" s="890">
        <f t="shared" ca="1" si="16"/>
        <v>0</v>
      </c>
      <c r="Z74" s="890">
        <f t="shared" ca="1" si="17"/>
        <v>0</v>
      </c>
      <c r="AA74" s="890">
        <f t="shared" ca="1" si="22"/>
        <v>0</v>
      </c>
      <c r="AB74" s="895">
        <f t="shared" ca="1" si="23"/>
        <v>1630.6551243126773</v>
      </c>
      <c r="AC74" s="980">
        <f t="shared" ca="1" si="21"/>
        <v>1011.6551243126773</v>
      </c>
      <c r="AD74" s="860" t="e">
        <f ca="1">IF(A74&gt;$A$1,#N/A,VLOOKUP(A74,Calculation!$B$8:$JO$503,165,FALSE))</f>
        <v>#N/A</v>
      </c>
      <c r="AE74" s="399" t="e">
        <f t="shared" ca="1" si="18"/>
        <v>#N/A</v>
      </c>
      <c r="AF74" s="399"/>
      <c r="AG74" s="841">
        <f>Calculation!G77</f>
        <v>825.55118507345287</v>
      </c>
      <c r="AH74" s="847" t="str">
        <f t="shared" si="19"/>
        <v>Yes</v>
      </c>
      <c r="AI74" s="847" t="str">
        <f>IF(Calculation!K77&gt;0,"Yes","No")</f>
        <v>Yes</v>
      </c>
      <c r="AJ74" s="869">
        <v>2969.7000000045628</v>
      </c>
      <c r="AK74" s="870">
        <v>2900.7000000073053</v>
      </c>
      <c r="AL74" s="870">
        <v>4729.5000000105156</v>
      </c>
      <c r="AN74" s="372">
        <v>8480.0000000178588</v>
      </c>
      <c r="AO74" s="372">
        <v>9237.000000019656</v>
      </c>
      <c r="AP74" s="372">
        <v>7390.7000000157886</v>
      </c>
      <c r="AU74" s="427"/>
      <c r="AV74" s="410"/>
      <c r="AW74" s="442"/>
      <c r="AX74" s="441"/>
      <c r="AY74" s="441"/>
      <c r="AZ74" s="443"/>
      <c r="BB74" s="433"/>
      <c r="BC74" s="432"/>
      <c r="BD74" s="433"/>
      <c r="BE74" s="432"/>
      <c r="BF74" s="433"/>
      <c r="BG74" s="432"/>
      <c r="BH74" s="429"/>
    </row>
    <row r="75" spans="1:60" ht="13.8" thickBot="1" x14ac:dyDescent="0.3">
      <c r="A75" s="406">
        <v>42802</v>
      </c>
      <c r="B75" s="860">
        <f t="shared" si="13"/>
        <v>83.800989999999999</v>
      </c>
      <c r="C75" s="860">
        <f>Calculation!AK78</f>
        <v>83.808935807127881</v>
      </c>
      <c r="D75" s="860">
        <f>Calculation!AI78</f>
        <v>0</v>
      </c>
      <c r="E75" s="860">
        <f>Calculation!AE78</f>
        <v>39.757899999999999</v>
      </c>
      <c r="F75" s="860">
        <f>Calculation!AF78</f>
        <v>44.043089999999999</v>
      </c>
      <c r="G75" s="860">
        <f>Calculation!AG78</f>
        <v>0</v>
      </c>
      <c r="H75" s="861">
        <f>Sheet1!H76</f>
        <v>2.74</v>
      </c>
      <c r="I75" s="841">
        <f>Sheet1!DA76</f>
        <v>1580</v>
      </c>
      <c r="J75" s="841">
        <f>Sheet1!DB76</f>
        <v>636</v>
      </c>
      <c r="K75" s="841">
        <f>Sheet1!CZ76</f>
        <v>700</v>
      </c>
      <c r="L75" s="865">
        <f>Calculation!F78</f>
        <v>250</v>
      </c>
      <c r="M75" s="865">
        <f>Calculation!E78</f>
        <v>250</v>
      </c>
      <c r="N75" s="865">
        <f>Calculation!D78</f>
        <v>300</v>
      </c>
      <c r="O75" s="888">
        <f>Sheet1!DC76</f>
        <v>1100.07</v>
      </c>
      <c r="P75" s="889" t="e">
        <f>Calculation!FD78</f>
        <v>#N/A</v>
      </c>
      <c r="Q75" s="895">
        <f>Calculation!DP78</f>
        <v>5157.2000000113503</v>
      </c>
      <c r="R75" s="888">
        <f t="shared" si="20"/>
        <v>4538.2000000113503</v>
      </c>
      <c r="S75" s="890">
        <f t="shared" si="14"/>
        <v>210.80000000017753</v>
      </c>
      <c r="T75" s="895">
        <f ca="1">IF(A75&gt;$A$1,#N/A,VLOOKUP(A75,Calculation!$B$8:$JO$503,40,FALSE))</f>
        <v>3481.9541937697741</v>
      </c>
      <c r="U75" s="890">
        <f t="shared" si="15"/>
        <v>0</v>
      </c>
      <c r="V75" s="890">
        <f>Calculation!AZ78</f>
        <v>0</v>
      </c>
      <c r="W75" s="895">
        <f t="shared" ca="1" si="12"/>
        <v>0</v>
      </c>
      <c r="X75" s="890">
        <v>0</v>
      </c>
      <c r="Y75" s="890">
        <f t="shared" ca="1" si="16"/>
        <v>0</v>
      </c>
      <c r="Z75" s="890">
        <f t="shared" ca="1" si="17"/>
        <v>0</v>
      </c>
      <c r="AA75" s="890">
        <f t="shared" ca="1" si="22"/>
        <v>0</v>
      </c>
      <c r="AB75" s="895">
        <f t="shared" ca="1" si="23"/>
        <v>1675.2458062415762</v>
      </c>
      <c r="AC75" s="980">
        <f t="shared" ca="1" si="21"/>
        <v>1056.2458062415762</v>
      </c>
      <c r="AD75" s="860" t="e">
        <f ca="1">IF(A75&gt;$A$1,#N/A,VLOOKUP(A75,Calculation!$B$8:$JO$503,165,FALSE))</f>
        <v>#N/A</v>
      </c>
      <c r="AE75" s="399" t="e">
        <f t="shared" ca="1" si="18"/>
        <v>#N/A</v>
      </c>
      <c r="AF75" s="399"/>
      <c r="AG75" s="841">
        <f>Calculation!G78</f>
        <v>806.30358043377589</v>
      </c>
      <c r="AH75" s="847" t="str">
        <f t="shared" si="19"/>
        <v>Yes</v>
      </c>
      <c r="AI75" s="847" t="str">
        <f>IF(Calculation!K78&gt;0,"Yes","No")</f>
        <v>Yes</v>
      </c>
      <c r="AJ75" s="869">
        <v>3210.5200000050804</v>
      </c>
      <c r="AK75" s="870">
        <v>3006.0000000070486</v>
      </c>
      <c r="AL75" s="870">
        <v>5119.0000000109139</v>
      </c>
      <c r="AN75" s="372">
        <v>8681.0000000185537</v>
      </c>
      <c r="AO75" s="372">
        <v>9380.0000000202999</v>
      </c>
      <c r="AP75" s="372">
        <v>7943.0000000168075</v>
      </c>
      <c r="AU75" s="427"/>
      <c r="AV75" s="410"/>
      <c r="AW75" s="442"/>
      <c r="AX75" s="441"/>
      <c r="AY75" s="441"/>
      <c r="AZ75" s="443"/>
      <c r="BB75" s="433"/>
      <c r="BC75" s="432"/>
      <c r="BD75" s="433"/>
      <c r="BE75" s="432"/>
      <c r="BF75" s="433"/>
      <c r="BG75" s="432"/>
      <c r="BH75" s="429"/>
    </row>
    <row r="76" spans="1:60" ht="13.8" thickBot="1" x14ac:dyDescent="0.3">
      <c r="A76" s="406">
        <v>42803</v>
      </c>
      <c r="B76" s="860">
        <f t="shared" si="13"/>
        <v>82.764499999999998</v>
      </c>
      <c r="C76" s="860">
        <f>Calculation!AK79</f>
        <v>83.909391055276373</v>
      </c>
      <c r="D76" s="860">
        <f>Calculation!AI79</f>
        <v>0</v>
      </c>
      <c r="E76" s="860">
        <f>Calculation!AE79</f>
        <v>39.912599999999998</v>
      </c>
      <c r="F76" s="860">
        <f>Calculation!AF79</f>
        <v>42.851899999999993</v>
      </c>
      <c r="G76" s="860">
        <f>Calculation!AG79</f>
        <v>0</v>
      </c>
      <c r="H76" s="861">
        <f>Sheet1!H77</f>
        <v>4.46</v>
      </c>
      <c r="I76" s="841">
        <f>Sheet1!DA77</f>
        <v>2010</v>
      </c>
      <c r="J76" s="841">
        <f>Sheet1!DB77</f>
        <v>920</v>
      </c>
      <c r="K76" s="841">
        <f>Sheet1!CZ77</f>
        <v>911</v>
      </c>
      <c r="L76" s="865">
        <f>Calculation!F79</f>
        <v>250</v>
      </c>
      <c r="M76" s="865">
        <f>Calculation!E79</f>
        <v>250</v>
      </c>
      <c r="N76" s="865">
        <f>Calculation!D79</f>
        <v>300</v>
      </c>
      <c r="O76" s="888">
        <f>Sheet1!DC77</f>
        <v>1100.93</v>
      </c>
      <c r="P76" s="889" t="e">
        <f>Calculation!FD79</f>
        <v>#N/A</v>
      </c>
      <c r="Q76" s="895">
        <f>Calculation!DP79</f>
        <v>5379.8000000115871</v>
      </c>
      <c r="R76" s="888">
        <f t="shared" si="20"/>
        <v>4760.8000000115871</v>
      </c>
      <c r="S76" s="890">
        <f t="shared" si="14"/>
        <v>222.60000000023683</v>
      </c>
      <c r="T76" s="895">
        <f ca="1">IF(A76&gt;$A$1,#N/A,VLOOKUP(A76,Calculation!$B$8:$JO$503,40,FALSE))</f>
        <v>3648.3627340138523</v>
      </c>
      <c r="U76" s="890">
        <f t="shared" si="15"/>
        <v>0</v>
      </c>
      <c r="V76" s="890">
        <f>Calculation!AZ79</f>
        <v>0</v>
      </c>
      <c r="W76" s="895">
        <f t="shared" ref="W76:W93" ca="1" si="24">IF(A76&gt;=$A$1,#N/A,W75-X74*1.983)</f>
        <v>0</v>
      </c>
      <c r="X76" s="890">
        <v>0</v>
      </c>
      <c r="Y76" s="890">
        <f t="shared" ca="1" si="16"/>
        <v>0</v>
      </c>
      <c r="Z76" s="890">
        <f t="shared" ca="1" si="17"/>
        <v>0</v>
      </c>
      <c r="AA76" s="890">
        <f t="shared" ca="1" si="22"/>
        <v>0</v>
      </c>
      <c r="AB76" s="895">
        <f t="shared" ca="1" si="23"/>
        <v>1731.4372659977348</v>
      </c>
      <c r="AC76" s="980">
        <f t="shared" ca="1" si="21"/>
        <v>1112.4372659977348</v>
      </c>
      <c r="AD76" s="860" t="e">
        <f ca="1">IF(A76&gt;$A$1,#N/A,VLOOKUP(A76,Calculation!$B$8:$JO$503,165,FALSE))</f>
        <v>#N/A</v>
      </c>
      <c r="AE76" s="399" t="e">
        <f t="shared" ca="1" si="18"/>
        <v>#N/A</v>
      </c>
      <c r="AF76" s="399"/>
      <c r="AG76" s="841">
        <f>Calculation!G79</f>
        <v>1023.2541603632056</v>
      </c>
      <c r="AH76" s="847" t="str">
        <f t="shared" si="19"/>
        <v>Yes</v>
      </c>
      <c r="AI76" s="847" t="str">
        <f>IF(Calculation!K79&gt;0,"Yes","No")</f>
        <v>Yes</v>
      </c>
      <c r="AJ76" s="869">
        <v>3576.3300000057388</v>
      </c>
      <c r="AK76" s="870">
        <v>3166.6000000075442</v>
      </c>
      <c r="AL76" s="870">
        <v>5535.200000011705</v>
      </c>
      <c r="AN76" s="372">
        <v>14299.300000034093</v>
      </c>
      <c r="AO76" s="372">
        <v>9486.3000000210322</v>
      </c>
      <c r="AP76" s="372">
        <v>8749.0000000186301</v>
      </c>
      <c r="AU76" s="427"/>
      <c r="AV76" s="410"/>
      <c r="AW76" s="442"/>
      <c r="AX76" s="441"/>
      <c r="AY76" s="441"/>
      <c r="AZ76" s="443"/>
      <c r="BB76" s="433"/>
      <c r="BC76" s="432"/>
      <c r="BD76" s="433"/>
      <c r="BE76" s="432"/>
      <c r="BF76" s="433"/>
      <c r="BG76" s="432"/>
      <c r="BH76" s="429"/>
    </row>
    <row r="77" spans="1:60" ht="13.8" thickBot="1" x14ac:dyDescent="0.3">
      <c r="A77" s="406">
        <v>42804</v>
      </c>
      <c r="B77" s="860">
        <f t="shared" si="13"/>
        <v>81.526899999999998</v>
      </c>
      <c r="C77" s="860">
        <f>Calculation!AK80</f>
        <v>83.805081475470317</v>
      </c>
      <c r="D77" s="860">
        <f>Calculation!AI80</f>
        <v>0</v>
      </c>
      <c r="E77" s="860">
        <f>Calculation!AE80</f>
        <v>39.757899999999999</v>
      </c>
      <c r="F77" s="860">
        <f>Calculation!AF80</f>
        <v>41.768999999999998</v>
      </c>
      <c r="G77" s="860">
        <f>Calculation!AG80</f>
        <v>0</v>
      </c>
      <c r="H77" s="861">
        <f>Sheet1!H78</f>
        <v>5.14</v>
      </c>
      <c r="I77" s="841">
        <f>Sheet1!DA78</f>
        <v>2930</v>
      </c>
      <c r="J77" s="841">
        <f>Sheet1!DB78</f>
        <v>1710</v>
      </c>
      <c r="K77" s="841">
        <f>Sheet1!CZ78</f>
        <v>1720</v>
      </c>
      <c r="L77" s="865">
        <f>Calculation!F80</f>
        <v>250</v>
      </c>
      <c r="M77" s="865">
        <f>Calculation!E80</f>
        <v>250</v>
      </c>
      <c r="N77" s="865">
        <f>Calculation!D80</f>
        <v>300</v>
      </c>
      <c r="O77" s="888">
        <f>Sheet1!DC78</f>
        <v>1103.99</v>
      </c>
      <c r="P77" s="889" t="e">
        <f>Calculation!FD80</f>
        <v>#N/A</v>
      </c>
      <c r="Q77" s="895">
        <f>Calculation!DP80</f>
        <v>6203.3000000127695</v>
      </c>
      <c r="R77" s="888">
        <f t="shared" si="20"/>
        <v>5584.3000000127695</v>
      </c>
      <c r="S77" s="890">
        <f t="shared" si="14"/>
        <v>823.50000000118234</v>
      </c>
      <c r="T77" s="895">
        <f ca="1">IF(A77&gt;$A$1,#N/A,VLOOKUP(A77,Calculation!$B$8:$JO$503,40,FALSE))</f>
        <v>3814.5644082004978</v>
      </c>
      <c r="U77" s="890">
        <f t="shared" si="15"/>
        <v>0</v>
      </c>
      <c r="V77" s="890">
        <f>Calculation!AZ80</f>
        <v>0</v>
      </c>
      <c r="W77" s="895">
        <f t="shared" ca="1" si="24"/>
        <v>0</v>
      </c>
      <c r="X77" s="890">
        <v>0</v>
      </c>
      <c r="Y77" s="890">
        <f t="shared" ca="1" si="16"/>
        <v>0</v>
      </c>
      <c r="Z77" s="890">
        <f t="shared" ca="1" si="17"/>
        <v>0</v>
      </c>
      <c r="AA77" s="890">
        <f t="shared" ca="1" si="22"/>
        <v>0</v>
      </c>
      <c r="AB77" s="895">
        <f t="shared" ca="1" si="23"/>
        <v>2388.7355918122717</v>
      </c>
      <c r="AC77" s="980">
        <f t="shared" ca="1" si="21"/>
        <v>1769.7355918122717</v>
      </c>
      <c r="AD77" s="860" t="e">
        <f ca="1">IF(A77&gt;$A$1,#N/A,VLOOKUP(A77,Calculation!$B$8:$JO$503,165,FALSE))</f>
        <v>#N/A</v>
      </c>
      <c r="AE77" s="399" t="e">
        <f t="shared" ca="1" si="18"/>
        <v>#N/A</v>
      </c>
      <c r="AF77" s="399"/>
      <c r="AG77" s="841">
        <f>Calculation!G80</f>
        <v>2135.2798789718518</v>
      </c>
      <c r="AH77" s="847" t="str">
        <f t="shared" si="19"/>
        <v>Yes</v>
      </c>
      <c r="AI77" s="847" t="str">
        <f>IF(Calculation!K80&gt;0,"Yes","No")</f>
        <v>Yes</v>
      </c>
      <c r="AJ77" s="869">
        <v>4405.6400000072672</v>
      </c>
      <c r="AK77" s="870">
        <v>3283.1000000076397</v>
      </c>
      <c r="AL77" s="870">
        <v>5802.4000000124006</v>
      </c>
      <c r="AN77" s="372">
        <v>15379.000000037766</v>
      </c>
      <c r="AO77" s="372">
        <v>9533.4000000210326</v>
      </c>
      <c r="AP77" s="372">
        <v>9401.6000000203821</v>
      </c>
      <c r="AU77" s="427"/>
      <c r="AV77" s="410"/>
      <c r="AW77" s="442"/>
      <c r="AX77" s="441"/>
      <c r="AY77" s="441"/>
      <c r="AZ77" s="443"/>
      <c r="BB77" s="433"/>
      <c r="BC77" s="432"/>
      <c r="BD77" s="433"/>
      <c r="BE77" s="432"/>
      <c r="BF77" s="433"/>
      <c r="BG77" s="432"/>
      <c r="BH77" s="429"/>
    </row>
    <row r="78" spans="1:60" ht="13.8" thickBot="1" x14ac:dyDescent="0.3">
      <c r="A78" s="406">
        <v>42805</v>
      </c>
      <c r="B78" s="860">
        <f t="shared" si="13"/>
        <v>81.681600000000003</v>
      </c>
      <c r="C78" s="860">
        <f>Calculation!AK81</f>
        <v>83.315104318349299</v>
      </c>
      <c r="D78" s="860">
        <f>Calculation!AI81</f>
        <v>0</v>
      </c>
      <c r="E78" s="860">
        <f>Calculation!AE81</f>
        <v>39.912599999999998</v>
      </c>
      <c r="F78" s="860">
        <f>Calculation!AF81</f>
        <v>41.768999999999998</v>
      </c>
      <c r="G78" s="860">
        <f>Calculation!AG81</f>
        <v>0</v>
      </c>
      <c r="H78" s="861">
        <f>Sheet1!H79</f>
        <v>2.95</v>
      </c>
      <c r="I78" s="841">
        <f>Sheet1!DA79</f>
        <v>2840</v>
      </c>
      <c r="J78" s="841">
        <f>Sheet1!DB79</f>
        <v>1720</v>
      </c>
      <c r="K78" s="841">
        <f>Sheet1!CZ79</f>
        <v>1740</v>
      </c>
      <c r="L78" s="865">
        <f>Calculation!F81</f>
        <v>250</v>
      </c>
      <c r="M78" s="865">
        <f>Calculation!E81</f>
        <v>250</v>
      </c>
      <c r="N78" s="865">
        <f>Calculation!D81</f>
        <v>300</v>
      </c>
      <c r="O78" s="888">
        <f>Sheet1!DC79</f>
        <v>1105.77</v>
      </c>
      <c r="P78" s="889" t="e">
        <f>Calculation!FD81</f>
        <v>#N/A</v>
      </c>
      <c r="Q78" s="895">
        <f>Calculation!DP81</f>
        <v>6709.3000000141765</v>
      </c>
      <c r="R78" s="888">
        <f t="shared" si="20"/>
        <v>6090.3000000141765</v>
      </c>
      <c r="S78" s="890">
        <f t="shared" si="14"/>
        <v>506.00000000140699</v>
      </c>
      <c r="T78" s="895">
        <f ca="1">IF(A78&gt;$A$1,#N/A,VLOOKUP(A78,Calculation!$B$8:$JO$503,40,FALSE))</f>
        <v>3979.7943629831066</v>
      </c>
      <c r="U78" s="890">
        <f t="shared" si="15"/>
        <v>0</v>
      </c>
      <c r="V78" s="890">
        <f>Calculation!AZ81</f>
        <v>0</v>
      </c>
      <c r="W78" s="895">
        <f t="shared" ca="1" si="24"/>
        <v>0</v>
      </c>
      <c r="X78" s="890">
        <v>0</v>
      </c>
      <c r="Y78" s="890">
        <f t="shared" ca="1" si="16"/>
        <v>0</v>
      </c>
      <c r="Z78" s="890">
        <f t="shared" ca="1" si="17"/>
        <v>0</v>
      </c>
      <c r="AA78" s="890">
        <f t="shared" ca="1" si="22"/>
        <v>0</v>
      </c>
      <c r="AB78" s="895">
        <f t="shared" ca="1" si="23"/>
        <v>2729.5056370310699</v>
      </c>
      <c r="AC78" s="980">
        <f t="shared" ca="1" si="21"/>
        <v>2110.5056370310699</v>
      </c>
      <c r="AD78" s="860" t="e">
        <f ca="1">IF(A78&gt;$A$1,#N/A,VLOOKUP(A78,Calculation!$B$8:$JO$503,165,FALSE))</f>
        <v>#N/A</v>
      </c>
      <c r="AE78" s="399" t="e">
        <f t="shared" ca="1" si="18"/>
        <v>#N/A</v>
      </c>
      <c r="AF78" s="399"/>
      <c r="AG78" s="841">
        <f>Calculation!G81</f>
        <v>1995.1689359563322</v>
      </c>
      <c r="AH78" s="847" t="str">
        <f t="shared" si="19"/>
        <v>Yes</v>
      </c>
      <c r="AI78" s="847" t="str">
        <f>IF(Calculation!K81&gt;0,"Yes","No")</f>
        <v>Yes</v>
      </c>
      <c r="AJ78" s="869">
        <v>4852.1400000080876</v>
      </c>
      <c r="AK78" s="870">
        <v>3418.8000000081538</v>
      </c>
      <c r="AL78" s="870">
        <v>6071.7000000126463</v>
      </c>
      <c r="AN78" s="372">
        <v>14626.400000036343</v>
      </c>
      <c r="AO78" s="372">
        <v>9577.4000000205451</v>
      </c>
      <c r="AP78" s="372">
        <v>9946.4000000220331</v>
      </c>
      <c r="AU78" s="427"/>
      <c r="AV78" s="410"/>
      <c r="AW78" s="442"/>
      <c r="AX78" s="441"/>
      <c r="AY78" s="441"/>
      <c r="AZ78" s="443"/>
      <c r="BB78" s="433"/>
      <c r="BC78" s="432"/>
      <c r="BD78" s="433"/>
      <c r="BE78" s="432"/>
      <c r="BF78" s="433"/>
      <c r="BG78" s="432"/>
      <c r="BH78" s="429"/>
    </row>
    <row r="79" spans="1:60" ht="13.8" thickBot="1" x14ac:dyDescent="0.3">
      <c r="A79" s="406">
        <v>42806</v>
      </c>
      <c r="B79" s="860">
        <f t="shared" si="13"/>
        <v>82.609800000000007</v>
      </c>
      <c r="C79" s="860">
        <f>Calculation!AK82</f>
        <v>83.154514517766501</v>
      </c>
      <c r="D79" s="860">
        <f>Calculation!AI82</f>
        <v>0</v>
      </c>
      <c r="E79" s="860">
        <f>Calculation!AE82</f>
        <v>39.912599999999998</v>
      </c>
      <c r="F79" s="860">
        <f>Calculation!AF82</f>
        <v>42.697200000000002</v>
      </c>
      <c r="G79" s="860">
        <f>Calculation!AG82</f>
        <v>0</v>
      </c>
      <c r="H79" s="861">
        <f>Sheet1!H80</f>
        <v>3.06</v>
      </c>
      <c r="I79" s="841">
        <f>Sheet1!DA80</f>
        <v>2840</v>
      </c>
      <c r="J79" s="841">
        <f>Sheet1!DB80</f>
        <v>2030</v>
      </c>
      <c r="K79" s="841">
        <f>Sheet1!CZ80</f>
        <v>2150</v>
      </c>
      <c r="L79" s="865">
        <f>Calculation!F82</f>
        <v>250</v>
      </c>
      <c r="M79" s="865">
        <f>Calculation!E82</f>
        <v>250</v>
      </c>
      <c r="N79" s="865">
        <f>Calculation!D82</f>
        <v>300</v>
      </c>
      <c r="O79" s="888">
        <f>Sheet1!DC80</f>
        <v>1108.77</v>
      </c>
      <c r="P79" s="889" t="e">
        <f>Calculation!FD82</f>
        <v>#N/A</v>
      </c>
      <c r="Q79" s="895">
        <f>Calculation!DP82</f>
        <v>7605.0000000154841</v>
      </c>
      <c r="R79" s="888">
        <f t="shared" si="20"/>
        <v>6986.0000000154841</v>
      </c>
      <c r="S79" s="890">
        <f t="shared" si="14"/>
        <v>895.70000000130767</v>
      </c>
      <c r="T79" s="895">
        <f ca="1">IF(A79&gt;$A$1,#N/A,VLOOKUP(A79,Calculation!$B$8:$JO$503,40,FALSE))</f>
        <v>4144.7058371527946</v>
      </c>
      <c r="U79" s="890">
        <f t="shared" si="15"/>
        <v>0</v>
      </c>
      <c r="V79" s="890">
        <f>Calculation!AZ82</f>
        <v>0</v>
      </c>
      <c r="W79" s="895">
        <f t="shared" ca="1" si="24"/>
        <v>0</v>
      </c>
      <c r="X79" s="890">
        <v>0</v>
      </c>
      <c r="Y79" s="890">
        <f t="shared" ca="1" si="16"/>
        <v>0</v>
      </c>
      <c r="Z79" s="890">
        <f t="shared" ca="1" si="17"/>
        <v>0</v>
      </c>
      <c r="AA79" s="890">
        <f t="shared" ca="1" si="22"/>
        <v>0</v>
      </c>
      <c r="AB79" s="895">
        <f t="shared" ca="1" si="23"/>
        <v>3460.2941628626895</v>
      </c>
      <c r="AC79" s="980">
        <f t="shared" ca="1" si="21"/>
        <v>2841.2941628626895</v>
      </c>
      <c r="AD79" s="860" t="e">
        <f ca="1">IF(A79&gt;$A$1,#N/A,VLOOKUP(A79,Calculation!$B$8:$JO$503,165,FALSE))</f>
        <v>#N/A</v>
      </c>
      <c r="AE79" s="399" t="e">
        <f t="shared" ca="1" si="18"/>
        <v>#N/A</v>
      </c>
      <c r="AF79" s="399"/>
      <c r="AG79" s="841">
        <f>Calculation!G82</f>
        <v>2601.6893595568872</v>
      </c>
      <c r="AH79" s="847" t="str">
        <f t="shared" si="19"/>
        <v>Yes</v>
      </c>
      <c r="AI79" s="847" t="str">
        <f>IF(Calculation!K82&gt;0,"Yes","No")</f>
        <v>Yes</v>
      </c>
      <c r="AJ79" s="869">
        <v>5252.3400000089414</v>
      </c>
      <c r="AK79" s="870">
        <v>3619.0000000083537</v>
      </c>
      <c r="AL79" s="870">
        <v>6640.4000000136239</v>
      </c>
      <c r="AN79" s="372">
        <v>14648.00000003567</v>
      </c>
      <c r="AO79" s="372">
        <v>9606.4000000211163</v>
      </c>
      <c r="AP79" s="372">
        <v>10531.000000023738</v>
      </c>
      <c r="AU79" s="427"/>
      <c r="AV79" s="410"/>
      <c r="AW79" s="442"/>
      <c r="AX79" s="441"/>
      <c r="AY79" s="441"/>
      <c r="AZ79" s="443"/>
      <c r="BB79" s="433"/>
      <c r="BC79" s="432"/>
      <c r="BD79" s="433"/>
      <c r="BE79" s="432"/>
      <c r="BF79" s="433"/>
      <c r="BG79" s="432"/>
      <c r="BH79" s="429"/>
    </row>
    <row r="80" spans="1:60" ht="13.8" thickBot="1" x14ac:dyDescent="0.3">
      <c r="A80" s="406">
        <v>42807</v>
      </c>
      <c r="B80" s="860">
        <f t="shared" si="13"/>
        <v>83.2286</v>
      </c>
      <c r="C80" s="860">
        <f>Calculation!AK83</f>
        <v>83.310662928521865</v>
      </c>
      <c r="D80" s="860">
        <f>Calculation!AI83</f>
        <v>0</v>
      </c>
      <c r="E80" s="860">
        <f>Calculation!AE83</f>
        <v>38.365600000000001</v>
      </c>
      <c r="F80" s="860">
        <f>Calculation!AF83</f>
        <v>44.863</v>
      </c>
      <c r="G80" s="860">
        <f>Calculation!AG83</f>
        <v>0</v>
      </c>
      <c r="H80" s="861">
        <f>Sheet1!H81</f>
        <v>6.08</v>
      </c>
      <c r="I80" s="841">
        <f>Sheet1!DA81</f>
        <v>4830</v>
      </c>
      <c r="J80" s="841">
        <f>Sheet1!DB81</f>
        <v>2960</v>
      </c>
      <c r="K80" s="841">
        <f>Sheet1!CZ81</f>
        <v>3150</v>
      </c>
      <c r="L80" s="865">
        <f>Calculation!F83</f>
        <v>250</v>
      </c>
      <c r="M80" s="865">
        <f>Calculation!E83</f>
        <v>250</v>
      </c>
      <c r="N80" s="865">
        <f>Calculation!D83</f>
        <v>300</v>
      </c>
      <c r="O80" s="888">
        <f>Sheet1!DC81</f>
        <v>1111.4000000000001</v>
      </c>
      <c r="P80" s="889" t="e">
        <f>Calculation!FD83</f>
        <v>#N/A</v>
      </c>
      <c r="Q80" s="895">
        <f>Calculation!DP83</f>
        <v>8447.0000000178588</v>
      </c>
      <c r="R80" s="888">
        <f t="shared" si="20"/>
        <v>7828.0000000178588</v>
      </c>
      <c r="S80" s="890">
        <f t="shared" si="14"/>
        <v>842.00000000237469</v>
      </c>
      <c r="T80" s="895">
        <f ca="1">IF(A80&gt;$A$1,#N/A,VLOOKUP(A80,Calculation!$B$8:$JO$503,40,FALSE))</f>
        <v>4309.9269838009559</v>
      </c>
      <c r="U80" s="890">
        <f t="shared" si="15"/>
        <v>0</v>
      </c>
      <c r="V80" s="890">
        <f>Calculation!AZ83</f>
        <v>0</v>
      </c>
      <c r="W80" s="895">
        <f t="shared" ca="1" si="24"/>
        <v>0</v>
      </c>
      <c r="X80" s="890">
        <v>0</v>
      </c>
      <c r="Y80" s="890">
        <f t="shared" ca="1" si="16"/>
        <v>0</v>
      </c>
      <c r="Z80" s="890">
        <f t="shared" ca="1" si="17"/>
        <v>0</v>
      </c>
      <c r="AA80" s="890">
        <f t="shared" ca="1" si="22"/>
        <v>0</v>
      </c>
      <c r="AB80" s="895">
        <f t="shared" ca="1" si="23"/>
        <v>4137.0730162169029</v>
      </c>
      <c r="AC80" s="980">
        <f t="shared" ca="1" si="21"/>
        <v>3518.0730162169029</v>
      </c>
      <c r="AD80" s="860" t="e">
        <f ca="1">IF(A80&gt;$A$1,#N/A,VLOOKUP(A80,Calculation!$B$8:$JO$503,165,FALSE))</f>
        <v>#N/A</v>
      </c>
      <c r="AE80" s="399" t="e">
        <f t="shared" ca="1" si="18"/>
        <v>#N/A</v>
      </c>
      <c r="AF80" s="399"/>
      <c r="AG80" s="841">
        <f>Calculation!G83</f>
        <v>3574.6091780143088</v>
      </c>
      <c r="AH80" s="847" t="str">
        <f t="shared" si="19"/>
        <v>Yes</v>
      </c>
      <c r="AI80" s="847" t="str">
        <f>IF(Calculation!K83&gt;0,"Yes","No")</f>
        <v>Yes</v>
      </c>
      <c r="AJ80" s="869">
        <v>5558.4400000094956</v>
      </c>
      <c r="AK80" s="870">
        <v>3742.000000008838</v>
      </c>
      <c r="AL80" s="870">
        <v>8051.700000017483</v>
      </c>
      <c r="AN80" s="372">
        <v>14195.600000034643</v>
      </c>
      <c r="AO80" s="372">
        <v>9610.100000021117</v>
      </c>
      <c r="AP80" s="372">
        <v>10958.000000025306</v>
      </c>
      <c r="AU80" s="427"/>
      <c r="AV80" s="410"/>
      <c r="AW80" s="442"/>
      <c r="AX80" s="441"/>
      <c r="AY80" s="441"/>
      <c r="AZ80" s="443"/>
      <c r="BB80" s="433"/>
      <c r="BC80" s="432"/>
      <c r="BD80" s="433"/>
      <c r="BE80" s="432"/>
      <c r="BF80" s="433"/>
      <c r="BG80" s="432"/>
      <c r="BH80" s="429"/>
    </row>
    <row r="81" spans="1:60" ht="13.8" thickBot="1" x14ac:dyDescent="0.3">
      <c r="A81" s="406">
        <v>42808</v>
      </c>
      <c r="B81" s="860">
        <f t="shared" ref="B81:B144" si="25">E81+F81</f>
        <v>84.497140000000002</v>
      </c>
      <c r="C81" s="860">
        <f>Calculation!AK84</f>
        <v>83.102371382978717</v>
      </c>
      <c r="D81" s="860">
        <f>Calculation!AI84</f>
        <v>0</v>
      </c>
      <c r="E81" s="860">
        <f>Calculation!AE84</f>
        <v>38.210899999999995</v>
      </c>
      <c r="F81" s="860">
        <f>Calculation!AF84</f>
        <v>46.286239999999999</v>
      </c>
      <c r="G81" s="860">
        <f>Calculation!AG84</f>
        <v>25.216099999998875</v>
      </c>
      <c r="H81" s="861">
        <f>Sheet1!H82</f>
        <v>15.13</v>
      </c>
      <c r="I81" s="841">
        <f>Sheet1!DA82</f>
        <v>6550</v>
      </c>
      <c r="J81" s="841">
        <f>Sheet1!DB82</f>
        <v>4350</v>
      </c>
      <c r="K81" s="841">
        <f>Sheet1!CZ82</f>
        <v>5130</v>
      </c>
      <c r="L81" s="865">
        <f>Calculation!F84</f>
        <v>250</v>
      </c>
      <c r="M81" s="865">
        <f>Calculation!E84</f>
        <v>250</v>
      </c>
      <c r="N81" s="865">
        <f>Calculation!D84</f>
        <v>300</v>
      </c>
      <c r="O81" s="888">
        <f>Sheet1!DC82</f>
        <v>1115.6300000000001</v>
      </c>
      <c r="P81" s="889" t="e">
        <f>Calculation!FD84</f>
        <v>#N/A</v>
      </c>
      <c r="Q81" s="895">
        <f>Calculation!DP84</f>
        <v>9946.4000000220331</v>
      </c>
      <c r="R81" s="888">
        <f t="shared" si="20"/>
        <v>9327.4000000220331</v>
      </c>
      <c r="S81" s="890">
        <f t="shared" ref="S81:S144" si="26">R81-R80</f>
        <v>1499.4000000041742</v>
      </c>
      <c r="T81" s="895">
        <f ca="1">IF(A81&gt;$A$1,#N/A,VLOOKUP(A81,Calculation!$B$8:$JO$503,40,FALSE))</f>
        <v>4474.7350480562745</v>
      </c>
      <c r="U81" s="890">
        <f t="shared" ref="U81:U144" si="27">D81</f>
        <v>0</v>
      </c>
      <c r="V81" s="890">
        <f>Calculation!AZ84</f>
        <v>0</v>
      </c>
      <c r="W81" s="895">
        <f t="shared" ca="1" si="24"/>
        <v>0</v>
      </c>
      <c r="X81" s="890">
        <v>0</v>
      </c>
      <c r="Y81" s="890">
        <f t="shared" ref="Y81:Y94" ca="1" si="28">IF((A81+1)&gt;$A$1,#N/A,0)</f>
        <v>0</v>
      </c>
      <c r="Z81" s="890">
        <f t="shared" ref="Z81:Z144" ca="1" si="29">W81-Y81</f>
        <v>0</v>
      </c>
      <c r="AA81" s="890">
        <f t="shared" ca="1" si="22"/>
        <v>0</v>
      </c>
      <c r="AB81" s="895">
        <f t="shared" ca="1" si="23"/>
        <v>5471.6649519657585</v>
      </c>
      <c r="AC81" s="980">
        <f t="shared" ca="1" si="21"/>
        <v>4852.6649519657585</v>
      </c>
      <c r="AD81" s="860" t="e">
        <f ca="1">IF(A81&gt;$A$1,#N/A,VLOOKUP(A81,Calculation!$B$8:$JO$503,165,FALSE))</f>
        <v>#N/A</v>
      </c>
      <c r="AE81" s="399" t="e">
        <f t="shared" ref="AE81:AE144" ca="1" si="30">AD81-AD80</f>
        <v>#N/A</v>
      </c>
      <c r="AF81" s="399"/>
      <c r="AG81" s="841">
        <f>Calculation!G84</f>
        <v>5886.1270801836481</v>
      </c>
      <c r="AH81" s="847" t="str">
        <f t="shared" ref="AH81:AH144" si="31">IF(I81&gt;L81,"Yes","No")</f>
        <v>Yes</v>
      </c>
      <c r="AI81" s="847" t="str">
        <f>IF(Calculation!K84&gt;0,"Yes","No")</f>
        <v>Yes</v>
      </c>
      <c r="AJ81" s="869">
        <v>5845.4000000102496</v>
      </c>
      <c r="AK81" s="870">
        <v>4034.1000000090994</v>
      </c>
      <c r="AL81" s="870">
        <v>9010.0000000194177</v>
      </c>
      <c r="AN81" s="372">
        <v>14914.000000036589</v>
      </c>
      <c r="AO81" s="372">
        <v>10280.000000022879</v>
      </c>
      <c r="AP81" s="372">
        <v>11434.2000000263</v>
      </c>
      <c r="AU81" s="427"/>
      <c r="AV81" s="410"/>
      <c r="AW81" s="442"/>
      <c r="AX81" s="441"/>
      <c r="AY81" s="441"/>
      <c r="AZ81" s="443"/>
      <c r="BB81" s="433"/>
      <c r="BC81" s="432"/>
      <c r="BD81" s="433"/>
      <c r="BE81" s="432"/>
      <c r="BF81" s="433"/>
      <c r="BG81" s="432"/>
      <c r="BH81" s="429"/>
    </row>
    <row r="82" spans="1:60" ht="13.8" thickBot="1" x14ac:dyDescent="0.3">
      <c r="A82" s="406">
        <v>42809</v>
      </c>
      <c r="B82" s="860">
        <f t="shared" si="25"/>
        <v>87.869599999999991</v>
      </c>
      <c r="C82" s="860">
        <f>Calculation!AK85</f>
        <v>82.986046292134816</v>
      </c>
      <c r="D82" s="860">
        <f>Calculation!AI85</f>
        <v>0</v>
      </c>
      <c r="E82" s="860">
        <f>Calculation!AE85</f>
        <v>39.912599999999998</v>
      </c>
      <c r="F82" s="860">
        <f>Calculation!AF85</f>
        <v>47.957000000000001</v>
      </c>
      <c r="G82" s="860">
        <f>Calculation!AG85</f>
        <v>57.331820000002025</v>
      </c>
      <c r="H82" s="861">
        <f>Sheet1!H83</f>
        <v>21.57</v>
      </c>
      <c r="I82" s="841">
        <f>Sheet1!DA83</f>
        <v>7040</v>
      </c>
      <c r="J82" s="841">
        <f>Sheet1!DB83</f>
        <v>4660</v>
      </c>
      <c r="K82" s="841">
        <f>Sheet1!CZ83</f>
        <v>5500</v>
      </c>
      <c r="L82" s="865">
        <f>Calculation!F85</f>
        <v>250</v>
      </c>
      <c r="M82" s="865">
        <f>Calculation!E85</f>
        <v>250</v>
      </c>
      <c r="N82" s="865">
        <f>Calculation!D85</f>
        <v>300</v>
      </c>
      <c r="O82" s="888">
        <f>Sheet1!DC83</f>
        <v>1117.53</v>
      </c>
      <c r="P82" s="889" t="e">
        <f>Calculation!FD85</f>
        <v>#N/A</v>
      </c>
      <c r="Q82" s="895">
        <f>Calculation!DP85</f>
        <v>10687.000000023829</v>
      </c>
      <c r="R82" s="888">
        <f t="shared" si="20"/>
        <v>10068.000000023829</v>
      </c>
      <c r="S82" s="890">
        <f t="shared" si="26"/>
        <v>740.60000000179571</v>
      </c>
      <c r="T82" s="895">
        <f ca="1">IF(A82&gt;$A$1,#N/A,VLOOKUP(A82,Calculation!$B$8:$JO$503,40,FALSE))</f>
        <v>4639.3124171734489</v>
      </c>
      <c r="U82" s="890">
        <f t="shared" si="27"/>
        <v>0</v>
      </c>
      <c r="V82" s="890">
        <f>Calculation!AZ85</f>
        <v>0</v>
      </c>
      <c r="W82" s="895">
        <f t="shared" ca="1" si="24"/>
        <v>0</v>
      </c>
      <c r="X82" s="890">
        <v>0</v>
      </c>
      <c r="Y82" s="890">
        <f t="shared" ca="1" si="28"/>
        <v>0</v>
      </c>
      <c r="Z82" s="890">
        <f t="shared" ca="1" si="29"/>
        <v>0</v>
      </c>
      <c r="AA82" s="890">
        <f t="shared" ca="1" si="22"/>
        <v>0</v>
      </c>
      <c r="AB82" s="895">
        <f t="shared" ca="1" si="23"/>
        <v>6047.6875828503798</v>
      </c>
      <c r="AC82" s="980">
        <f t="shared" ca="1" si="21"/>
        <v>5428.6875828503798</v>
      </c>
      <c r="AD82" s="860" t="e">
        <f ca="1">IF(A82&gt;$A$1,#N/A,VLOOKUP(A82,Calculation!$B$8:$JO$503,165,FALSE))</f>
        <v>#N/A</v>
      </c>
      <c r="AE82" s="399" t="e">
        <f t="shared" ca="1" si="30"/>
        <v>#N/A</v>
      </c>
      <c r="AF82" s="399"/>
      <c r="AG82" s="841">
        <f>Calculation!G85</f>
        <v>5873.474533535953</v>
      </c>
      <c r="AH82" s="847" t="str">
        <f t="shared" si="31"/>
        <v>Yes</v>
      </c>
      <c r="AI82" s="847" t="str">
        <f>IF(Calculation!K85&gt;0,"Yes","No")</f>
        <v>Yes</v>
      </c>
      <c r="AJ82" s="869">
        <v>6234.8800000109441</v>
      </c>
      <c r="AK82" s="870">
        <v>4331.2000000097678</v>
      </c>
      <c r="AL82" s="870">
        <v>9758.1000000212844</v>
      </c>
      <c r="AN82" s="372">
        <v>15619.000000038017</v>
      </c>
      <c r="AO82" s="372">
        <v>11963.400000027412</v>
      </c>
      <c r="AP82" s="372">
        <v>12077.800000027511</v>
      </c>
      <c r="AU82" s="427"/>
      <c r="AV82" s="410"/>
      <c r="AW82" s="442"/>
      <c r="AX82" s="441"/>
      <c r="AY82" s="441"/>
      <c r="AZ82" s="443"/>
      <c r="BB82" s="433"/>
      <c r="BC82" s="432"/>
      <c r="BD82" s="433"/>
      <c r="BE82" s="432"/>
      <c r="BF82" s="433"/>
      <c r="BG82" s="432"/>
      <c r="BH82" s="429"/>
    </row>
    <row r="83" spans="1:60" ht="13.8" thickBot="1" x14ac:dyDescent="0.3">
      <c r="A83" s="406">
        <v>42810</v>
      </c>
      <c r="B83" s="860">
        <f t="shared" si="25"/>
        <v>87.962420000000009</v>
      </c>
      <c r="C83" s="860">
        <f>Calculation!AK86</f>
        <v>82.945668008378988</v>
      </c>
      <c r="D83" s="860">
        <f>Calculation!AI86</f>
        <v>0</v>
      </c>
      <c r="E83" s="860">
        <f>Calculation!AE86</f>
        <v>39.98995</v>
      </c>
      <c r="F83" s="860">
        <f>Calculation!AF86</f>
        <v>47.972470000000001</v>
      </c>
      <c r="G83" s="860">
        <f>Calculation!AG86</f>
        <v>52.288599999998873</v>
      </c>
      <c r="H83" s="861">
        <f>Sheet1!H84</f>
        <v>25.83</v>
      </c>
      <c r="I83" s="841">
        <f>Sheet1!DA84</f>
        <v>6650</v>
      </c>
      <c r="J83" s="841">
        <f>Sheet1!DB84</f>
        <v>3850</v>
      </c>
      <c r="K83" s="841">
        <f>Sheet1!CZ84</f>
        <v>4450</v>
      </c>
      <c r="L83" s="865">
        <f>Calculation!F86</f>
        <v>250</v>
      </c>
      <c r="M83" s="865">
        <f>Calculation!E86</f>
        <v>250</v>
      </c>
      <c r="N83" s="865">
        <f>Calculation!D86</f>
        <v>300</v>
      </c>
      <c r="O83" s="888">
        <f>Sheet1!DC84</f>
        <v>1118.1500000000001</v>
      </c>
      <c r="P83" s="889" t="e">
        <f>Calculation!FD86</f>
        <v>#N/A</v>
      </c>
      <c r="Q83" s="895">
        <f>Calculation!DP86</f>
        <v>10937.500000024704</v>
      </c>
      <c r="R83" s="888">
        <f t="shared" si="20"/>
        <v>10318.500000024704</v>
      </c>
      <c r="S83" s="890">
        <f t="shared" si="26"/>
        <v>250.50000000087493</v>
      </c>
      <c r="T83" s="895">
        <f ca="1">IF(A83&gt;$A$1,#N/A,VLOOKUP(A83,Calculation!$B$8:$JO$503,40,FALSE))</f>
        <v>4803.8097083497305</v>
      </c>
      <c r="U83" s="890">
        <f t="shared" si="27"/>
        <v>0</v>
      </c>
      <c r="V83" s="890">
        <f>Calculation!AZ86</f>
        <v>0</v>
      </c>
      <c r="W83" s="895">
        <f t="shared" ca="1" si="24"/>
        <v>0</v>
      </c>
      <c r="X83" s="890">
        <v>0</v>
      </c>
      <c r="Y83" s="890">
        <f t="shared" ca="1" si="28"/>
        <v>0</v>
      </c>
      <c r="Z83" s="890">
        <f t="shared" ca="1" si="29"/>
        <v>0</v>
      </c>
      <c r="AA83" s="890">
        <f t="shared" ca="1" si="22"/>
        <v>0</v>
      </c>
      <c r="AB83" s="895">
        <f t="shared" ca="1" si="23"/>
        <v>6133.6902916749732</v>
      </c>
      <c r="AC83" s="980">
        <f t="shared" ca="1" si="21"/>
        <v>5514.6902916749732</v>
      </c>
      <c r="AD83" s="860" t="e">
        <f ca="1">IF(A83&gt;$A$1,#N/A,VLOOKUP(A83,Calculation!$B$8:$JO$503,165,FALSE))</f>
        <v>#N/A</v>
      </c>
      <c r="AE83" s="399" t="e">
        <f t="shared" ca="1" si="30"/>
        <v>#N/A</v>
      </c>
      <c r="AF83" s="399"/>
      <c r="AG83" s="841">
        <f>Calculation!G86</f>
        <v>4576.3237518915157</v>
      </c>
      <c r="AH83" s="847" t="str">
        <f t="shared" si="31"/>
        <v>Yes</v>
      </c>
      <c r="AI83" s="847" t="str">
        <f>IF(Calculation!K86&gt;0,"Yes","No")</f>
        <v>Yes</v>
      </c>
      <c r="AJ83" s="869">
        <v>6840.7500000125056</v>
      </c>
      <c r="AK83" s="870">
        <v>4959.4000000111728</v>
      </c>
      <c r="AL83" s="870">
        <v>10983.200000025307</v>
      </c>
      <c r="AN83" s="372">
        <v>16708.600000041013</v>
      </c>
      <c r="AO83" s="372">
        <v>14381.80000003476</v>
      </c>
      <c r="AP83" s="372">
        <v>12882.900000030137</v>
      </c>
      <c r="AU83" s="427"/>
      <c r="AV83" s="410"/>
      <c r="AW83" s="442"/>
      <c r="AX83" s="441"/>
      <c r="AY83" s="441"/>
      <c r="AZ83" s="443"/>
      <c r="BB83" s="433"/>
      <c r="BC83" s="432"/>
      <c r="BD83" s="433"/>
      <c r="BE83" s="432"/>
      <c r="BF83" s="433"/>
      <c r="BG83" s="432"/>
      <c r="BH83" s="429"/>
    </row>
    <row r="84" spans="1:60" ht="13.8" thickBot="1" x14ac:dyDescent="0.3">
      <c r="A84" s="406">
        <v>42811</v>
      </c>
      <c r="B84" s="860">
        <f t="shared" si="25"/>
        <v>87.885069999999985</v>
      </c>
      <c r="C84" s="860">
        <f>Calculation!AK87</f>
        <v>82.866334604966141</v>
      </c>
      <c r="D84" s="860">
        <f>Calculation!AI87</f>
        <v>0</v>
      </c>
      <c r="E84" s="860">
        <f>Calculation!AE87</f>
        <v>40.067299999999996</v>
      </c>
      <c r="F84" s="860">
        <f>Calculation!AF87</f>
        <v>47.817769999999996</v>
      </c>
      <c r="G84" s="860">
        <f>Calculation!AG87</f>
        <v>44.367960000000451</v>
      </c>
      <c r="H84" s="861">
        <f>Sheet1!H85</f>
        <v>12.65</v>
      </c>
      <c r="I84" s="841">
        <f>Sheet1!DA85</f>
        <v>5230</v>
      </c>
      <c r="J84" s="841">
        <f>Sheet1!DB85</f>
        <v>3080</v>
      </c>
      <c r="K84" s="841">
        <f>Sheet1!CZ85</f>
        <v>3440</v>
      </c>
      <c r="L84" s="865">
        <f>Calculation!F87</f>
        <v>250</v>
      </c>
      <c r="M84" s="865">
        <f>Calculation!E87</f>
        <v>250</v>
      </c>
      <c r="N84" s="865">
        <f>Calculation!D87</f>
        <v>300</v>
      </c>
      <c r="O84" s="888">
        <f>Sheet1!DC85</f>
        <v>1116.3900000000001</v>
      </c>
      <c r="P84" s="889" t="e">
        <f>Calculation!FD87</f>
        <v>#N/A</v>
      </c>
      <c r="Q84" s="895">
        <f>Calculation!DP87</f>
        <v>10237.100000022878</v>
      </c>
      <c r="R84" s="888">
        <f t="shared" si="20"/>
        <v>9618.1000000228778</v>
      </c>
      <c r="S84" s="890">
        <f t="shared" si="26"/>
        <v>-700.4000000018259</v>
      </c>
      <c r="T84" s="895">
        <f ca="1">IF(A84&gt;$A$1,#N/A,VLOOKUP(A84,Calculation!$B$8:$JO$503,40,FALSE))</f>
        <v>4968.1496660536968</v>
      </c>
      <c r="U84" s="890">
        <f t="shared" si="27"/>
        <v>0</v>
      </c>
      <c r="V84" s="890">
        <f>Calculation!AZ87</f>
        <v>0</v>
      </c>
      <c r="W84" s="895">
        <f t="shared" ca="1" si="24"/>
        <v>0</v>
      </c>
      <c r="X84" s="890">
        <v>0</v>
      </c>
      <c r="Y84" s="890">
        <f t="shared" ca="1" si="28"/>
        <v>0</v>
      </c>
      <c r="Z84" s="890">
        <f t="shared" ca="1" si="29"/>
        <v>0</v>
      </c>
      <c r="AA84" s="890">
        <f t="shared" ca="1" si="22"/>
        <v>0</v>
      </c>
      <c r="AB84" s="895">
        <f t="shared" ca="1" si="23"/>
        <v>5268.950333969181</v>
      </c>
      <c r="AC84" s="980">
        <f t="shared" ca="1" si="21"/>
        <v>4649.950333969181</v>
      </c>
      <c r="AD84" s="860" t="e">
        <f ca="1">IF(A84&gt;$A$1,#N/A,VLOOKUP(A84,Calculation!$B$8:$JO$503,165,FALSE))</f>
        <v>#N/A</v>
      </c>
      <c r="AE84" s="399" t="e">
        <f t="shared" ca="1" si="30"/>
        <v>#N/A</v>
      </c>
      <c r="AF84" s="399"/>
      <c r="AG84" s="841">
        <f>Calculation!G87</f>
        <v>3086.7977811387664</v>
      </c>
      <c r="AH84" s="847" t="str">
        <f t="shared" si="31"/>
        <v>Yes</v>
      </c>
      <c r="AI84" s="847" t="str">
        <f>IF(Calculation!K87&gt;0,"Yes","No")</f>
        <v>Yes</v>
      </c>
      <c r="AJ84" s="869">
        <v>7430.9200000137625</v>
      </c>
      <c r="AK84" s="870">
        <v>5748.4000000123397</v>
      </c>
      <c r="AL84" s="870">
        <v>10607.000000023738</v>
      </c>
      <c r="AN84" s="372">
        <v>17637.900000044105</v>
      </c>
      <c r="AO84" s="372">
        <v>16316.20000004075</v>
      </c>
      <c r="AP84" s="372">
        <v>13618.900000033396</v>
      </c>
      <c r="AU84" s="427"/>
      <c r="AV84" s="410"/>
      <c r="AW84" s="442"/>
      <c r="AX84" s="441"/>
      <c r="AY84" s="441"/>
      <c r="AZ84" s="443"/>
      <c r="BB84" s="433"/>
      <c r="BC84" s="432"/>
      <c r="BD84" s="433"/>
      <c r="BE84" s="432"/>
      <c r="BF84" s="433"/>
      <c r="BG84" s="432"/>
      <c r="BH84" s="429"/>
    </row>
    <row r="85" spans="1:60" ht="13.8" thickBot="1" x14ac:dyDescent="0.3">
      <c r="A85" s="406">
        <v>42812</v>
      </c>
      <c r="B85" s="860">
        <f t="shared" si="25"/>
        <v>87.390029999999996</v>
      </c>
      <c r="C85" s="860">
        <f>Calculation!AK88</f>
        <v>82.635783592233011</v>
      </c>
      <c r="D85" s="860">
        <f>Calculation!AI88</f>
        <v>0</v>
      </c>
      <c r="E85" s="860">
        <f>Calculation!AE88</f>
        <v>39.912599999999998</v>
      </c>
      <c r="F85" s="860">
        <f>Calculation!AF88</f>
        <v>47.477429999999998</v>
      </c>
      <c r="G85" s="860">
        <f>Calculation!AG88</f>
        <v>51.035529999996847</v>
      </c>
      <c r="H85" s="861">
        <f>Sheet1!H86</f>
        <v>45.4</v>
      </c>
      <c r="I85" s="841">
        <f>Sheet1!DA86</f>
        <v>5150</v>
      </c>
      <c r="J85" s="841">
        <f>Sheet1!DB86</f>
        <v>2250</v>
      </c>
      <c r="K85" s="841">
        <f>Sheet1!CZ86</f>
        <v>2280</v>
      </c>
      <c r="L85" s="865">
        <f>Calculation!F88</f>
        <v>250</v>
      </c>
      <c r="M85" s="865">
        <f>Calculation!E88</f>
        <v>250</v>
      </c>
      <c r="N85" s="865">
        <f>Calculation!D88</f>
        <v>300</v>
      </c>
      <c r="O85" s="888">
        <f>Sheet1!DC86</f>
        <v>1117.33</v>
      </c>
      <c r="P85" s="889" t="e">
        <f>Calculation!FD88</f>
        <v>#N/A</v>
      </c>
      <c r="Q85" s="895">
        <f>Calculation!DP88</f>
        <v>10607.000000023738</v>
      </c>
      <c r="R85" s="888">
        <f t="shared" si="20"/>
        <v>9988.0000000237378</v>
      </c>
      <c r="S85" s="890">
        <f t="shared" si="26"/>
        <v>369.90000000086002</v>
      </c>
      <c r="T85" s="895">
        <f ca="1">IF(A85&gt;$A$1,#N/A,VLOOKUP(A85,Calculation!$B$8:$JO$503,40,FALSE))</f>
        <v>5132.0323965391335</v>
      </c>
      <c r="U85" s="890">
        <f t="shared" si="27"/>
        <v>0</v>
      </c>
      <c r="V85" s="890">
        <f>Calculation!AZ88</f>
        <v>0</v>
      </c>
      <c r="W85" s="895">
        <f t="shared" ca="1" si="24"/>
        <v>0</v>
      </c>
      <c r="X85" s="890">
        <v>0</v>
      </c>
      <c r="Y85" s="890">
        <f t="shared" ca="1" si="28"/>
        <v>0</v>
      </c>
      <c r="Z85" s="890">
        <f t="shared" ca="1" si="29"/>
        <v>0</v>
      </c>
      <c r="AA85" s="890">
        <f t="shared" ca="1" si="22"/>
        <v>0</v>
      </c>
      <c r="AB85" s="895">
        <f t="shared" ca="1" si="23"/>
        <v>5474.9676034846043</v>
      </c>
      <c r="AC85" s="980">
        <f t="shared" ca="1" si="21"/>
        <v>4855.9676034846043</v>
      </c>
      <c r="AD85" s="860" t="e">
        <f ca="1">IF(A85&gt;$A$1,#N/A,VLOOKUP(A85,Calculation!$B$8:$JO$503,165,FALSE))</f>
        <v>#N/A</v>
      </c>
      <c r="AE85" s="399" t="e">
        <f t="shared" ca="1" si="30"/>
        <v>#N/A</v>
      </c>
      <c r="AF85" s="399"/>
      <c r="AG85" s="841">
        <f>Calculation!G88</f>
        <v>2466.5355521940796</v>
      </c>
      <c r="AH85" s="847" t="str">
        <f t="shared" si="31"/>
        <v>Yes</v>
      </c>
      <c r="AI85" s="847" t="str">
        <f>IF(Calculation!K88&gt;0,"Yes","No")</f>
        <v>Yes</v>
      </c>
      <c r="AJ85" s="869">
        <v>8051.680000015197</v>
      </c>
      <c r="AK85" s="870">
        <v>6093.3000000126467</v>
      </c>
      <c r="AL85" s="870">
        <v>10311.200000022878</v>
      </c>
      <c r="AN85" s="372">
        <v>17921.000000043518</v>
      </c>
      <c r="AO85" s="372">
        <v>17788.400000044243</v>
      </c>
      <c r="AP85" s="372">
        <v>14258.000000034643</v>
      </c>
      <c r="AU85" s="427"/>
      <c r="AV85" s="410"/>
      <c r="AW85" s="442"/>
      <c r="AX85" s="441"/>
      <c r="AY85" s="441"/>
      <c r="AZ85" s="443"/>
      <c r="BB85" s="433"/>
      <c r="BC85" s="432"/>
      <c r="BD85" s="433"/>
      <c r="BE85" s="432"/>
      <c r="BF85" s="433"/>
      <c r="BG85" s="432"/>
      <c r="BH85" s="429"/>
    </row>
    <row r="86" spans="1:60" ht="13.8" thickBot="1" x14ac:dyDescent="0.3">
      <c r="A86" s="406">
        <v>42813</v>
      </c>
      <c r="B86" s="860">
        <f t="shared" si="25"/>
        <v>83.336889999999997</v>
      </c>
      <c r="C86" s="860">
        <f>Calculation!AK89</f>
        <v>83.070961686746983</v>
      </c>
      <c r="D86" s="860">
        <f>Calculation!AI89</f>
        <v>0</v>
      </c>
      <c r="E86" s="860">
        <f>Calculation!AE89</f>
        <v>39.98995</v>
      </c>
      <c r="F86" s="860">
        <f>Calculation!AF89</f>
        <v>43.346939999999996</v>
      </c>
      <c r="G86" s="860">
        <f>Calculation!AG89</f>
        <v>76.127870000004279</v>
      </c>
      <c r="H86" s="861">
        <f>Sheet1!H87</f>
        <v>59.1</v>
      </c>
      <c r="I86" s="841">
        <f>Sheet1!DA87</f>
        <v>4000</v>
      </c>
      <c r="J86" s="841">
        <f>Sheet1!DB87</f>
        <v>2190</v>
      </c>
      <c r="K86" s="841">
        <f>Sheet1!CZ87</f>
        <v>2320</v>
      </c>
      <c r="L86" s="865">
        <f>Calculation!F89</f>
        <v>250</v>
      </c>
      <c r="M86" s="865">
        <f>Calculation!E89</f>
        <v>250</v>
      </c>
      <c r="N86" s="865">
        <f>Calculation!D89</f>
        <v>300</v>
      </c>
      <c r="O86" s="888">
        <f>Sheet1!DC87</f>
        <v>1120.93</v>
      </c>
      <c r="P86" s="889" t="e">
        <f>Calculation!FD89</f>
        <v>#N/A</v>
      </c>
      <c r="Q86" s="895">
        <f>Calculation!DP89</f>
        <v>12126.200000027613</v>
      </c>
      <c r="R86" s="888">
        <f t="shared" si="20"/>
        <v>11507.200000027613</v>
      </c>
      <c r="S86" s="890">
        <f t="shared" si="26"/>
        <v>1519.2000000038752</v>
      </c>
      <c r="T86" s="895">
        <f ca="1">IF(A86&gt;$A$1,#N/A,VLOOKUP(A86,Calculation!$B$8:$JO$503,40,FALSE))</f>
        <v>5296.7781692960425</v>
      </c>
      <c r="U86" s="890">
        <f t="shared" si="27"/>
        <v>0</v>
      </c>
      <c r="V86" s="890">
        <f>Calculation!AZ89</f>
        <v>0</v>
      </c>
      <c r="W86" s="895">
        <f t="shared" ca="1" si="24"/>
        <v>0</v>
      </c>
      <c r="X86" s="890">
        <v>0</v>
      </c>
      <c r="Y86" s="890">
        <f t="shared" ca="1" si="28"/>
        <v>0</v>
      </c>
      <c r="Z86" s="890">
        <f t="shared" ca="1" si="29"/>
        <v>0</v>
      </c>
      <c r="AA86" s="890">
        <f t="shared" ca="1" si="22"/>
        <v>0</v>
      </c>
      <c r="AB86" s="895">
        <f t="shared" ca="1" si="23"/>
        <v>6829.4218307315705</v>
      </c>
      <c r="AC86" s="980">
        <f t="shared" ca="1" si="21"/>
        <v>6210.4218307315705</v>
      </c>
      <c r="AD86" s="860" t="e">
        <f ca="1">IF(A86&gt;$A$1,#N/A,VLOOKUP(A86,Calculation!$B$8:$JO$503,165,FALSE))</f>
        <v>#N/A</v>
      </c>
      <c r="AE86" s="399" t="e">
        <f t="shared" ca="1" si="30"/>
        <v>#N/A</v>
      </c>
      <c r="AF86" s="399"/>
      <c r="AG86" s="841">
        <f>Calculation!G89</f>
        <v>3086.1119515904566</v>
      </c>
      <c r="AH86" s="847" t="str">
        <f t="shared" si="31"/>
        <v>Yes</v>
      </c>
      <c r="AI86" s="847" t="str">
        <f>IF(Calculation!K89&gt;0,"Yes","No")</f>
        <v>Yes</v>
      </c>
      <c r="AJ86" s="869">
        <v>8647.7500000165528</v>
      </c>
      <c r="AK86" s="870">
        <v>6165.0000000131786</v>
      </c>
      <c r="AL86" s="870">
        <v>10070.800000022118</v>
      </c>
      <c r="AN86" s="372">
        <v>18568.200000045676</v>
      </c>
      <c r="AO86" s="372">
        <v>18946.400000047441</v>
      </c>
      <c r="AP86" s="372">
        <v>14903.400000035912</v>
      </c>
      <c r="AU86" s="427"/>
      <c r="AV86" s="410"/>
      <c r="AW86" s="442"/>
      <c r="AX86" s="441"/>
      <c r="AY86" s="441"/>
      <c r="AZ86" s="443"/>
      <c r="BB86" s="433"/>
      <c r="BC86" s="432"/>
      <c r="BD86" s="433"/>
      <c r="BE86" s="432"/>
      <c r="BF86" s="433"/>
      <c r="BG86" s="432"/>
      <c r="BH86" s="429"/>
    </row>
    <row r="87" spans="1:60" ht="13.8" thickBot="1" x14ac:dyDescent="0.3">
      <c r="A87" s="406">
        <v>42814</v>
      </c>
      <c r="B87" s="860">
        <f t="shared" si="25"/>
        <v>85.146879999999996</v>
      </c>
      <c r="C87" s="860">
        <f>Calculation!AK90</f>
        <v>83.233895845575674</v>
      </c>
      <c r="D87" s="860">
        <f>Calculation!AI90</f>
        <v>0</v>
      </c>
      <c r="E87" s="860">
        <f>Calculation!AE90</f>
        <v>40.005420000000001</v>
      </c>
      <c r="F87" s="860">
        <f>Calculation!AF90</f>
        <v>45.141459999999995</v>
      </c>
      <c r="G87" s="860">
        <f>Calculation!AG90</f>
        <v>61.601539999999545</v>
      </c>
      <c r="H87" s="861">
        <f>Sheet1!H88</f>
        <v>37.82</v>
      </c>
      <c r="I87" s="841">
        <f>Sheet1!DA88</f>
        <v>3230</v>
      </c>
      <c r="J87" s="841">
        <f>Sheet1!DB88</f>
        <v>1730</v>
      </c>
      <c r="K87" s="841">
        <f>Sheet1!CZ88</f>
        <v>1810</v>
      </c>
      <c r="L87" s="865">
        <f>Calculation!F90</f>
        <v>250</v>
      </c>
      <c r="M87" s="865">
        <f>Calculation!E90</f>
        <v>250</v>
      </c>
      <c r="N87" s="865">
        <f>Calculation!D90</f>
        <v>300</v>
      </c>
      <c r="O87" s="888">
        <f>Sheet1!DC88</f>
        <v>1122.08</v>
      </c>
      <c r="P87" s="889" t="e">
        <f>Calculation!FD90</f>
        <v>#N/A</v>
      </c>
      <c r="Q87" s="895">
        <f>Calculation!DP90</f>
        <v>12651.400000030559</v>
      </c>
      <c r="R87" s="888">
        <f t="shared" si="20"/>
        <v>12032.400000030559</v>
      </c>
      <c r="S87" s="890">
        <f t="shared" si="26"/>
        <v>525.20000000294567</v>
      </c>
      <c r="T87" s="895">
        <f ca="1">IF(A87&gt;$A$1,#N/A,VLOOKUP(A87,Calculation!$B$8:$JO$503,40,FALSE))</f>
        <v>5461.8470719813868</v>
      </c>
      <c r="U87" s="890">
        <f t="shared" si="27"/>
        <v>0</v>
      </c>
      <c r="V87" s="890">
        <f>Calculation!AZ90</f>
        <v>0</v>
      </c>
      <c r="W87" s="895">
        <f t="shared" ca="1" si="24"/>
        <v>0</v>
      </c>
      <c r="X87" s="890">
        <v>0</v>
      </c>
      <c r="Y87" s="890">
        <f t="shared" ca="1" si="28"/>
        <v>0</v>
      </c>
      <c r="Z87" s="890">
        <f t="shared" ca="1" si="29"/>
        <v>0</v>
      </c>
      <c r="AA87" s="890">
        <f t="shared" ca="1" si="22"/>
        <v>0</v>
      </c>
      <c r="AB87" s="895">
        <f t="shared" ca="1" si="23"/>
        <v>7189.5529280491719</v>
      </c>
      <c r="AC87" s="980">
        <f t="shared" ca="1" si="21"/>
        <v>6570.5529280491719</v>
      </c>
      <c r="AD87" s="860" t="e">
        <f ca="1">IF(A87&gt;$A$1,#N/A,VLOOKUP(A87,Calculation!$B$8:$JO$503,165,FALSE))</f>
        <v>#N/A</v>
      </c>
      <c r="AE87" s="399" t="e">
        <f t="shared" ca="1" si="30"/>
        <v>#N/A</v>
      </c>
      <c r="AF87" s="399"/>
      <c r="AG87" s="841">
        <f>Calculation!G90</f>
        <v>2074.8512355032503</v>
      </c>
      <c r="AH87" s="847" t="str">
        <f t="shared" si="31"/>
        <v>Yes</v>
      </c>
      <c r="AI87" s="847" t="str">
        <f>IF(Calculation!K90&gt;0,"Yes","No")</f>
        <v>Yes</v>
      </c>
      <c r="AJ87" s="869">
        <v>9060.5800000173913</v>
      </c>
      <c r="AK87" s="870">
        <v>6408.6000000134336</v>
      </c>
      <c r="AL87" s="870">
        <v>10070.800000022118</v>
      </c>
      <c r="AN87" s="372">
        <v>19054.40000004684</v>
      </c>
      <c r="AO87" s="372">
        <v>20043.000000050728</v>
      </c>
      <c r="AP87" s="372">
        <v>15499.000000037891</v>
      </c>
      <c r="AU87" s="427"/>
      <c r="AV87" s="410"/>
      <c r="AW87" s="442"/>
      <c r="AX87" s="441"/>
      <c r="AY87" s="441"/>
      <c r="AZ87" s="443"/>
      <c r="BB87" s="433"/>
      <c r="BC87" s="432"/>
      <c r="BD87" s="433"/>
      <c r="BE87" s="432"/>
      <c r="BF87" s="433"/>
      <c r="BG87" s="432"/>
      <c r="BH87" s="429"/>
    </row>
    <row r="88" spans="1:60" ht="13.8" thickBot="1" x14ac:dyDescent="0.3">
      <c r="A88" s="406">
        <v>42815</v>
      </c>
      <c r="B88" s="860">
        <f t="shared" si="25"/>
        <v>83.321419999999989</v>
      </c>
      <c r="C88" s="860">
        <f>Calculation!AK91</f>
        <v>83.829727864768685</v>
      </c>
      <c r="D88" s="860">
        <f>Calculation!AI91</f>
        <v>0</v>
      </c>
      <c r="E88" s="860">
        <f>Calculation!AE91</f>
        <v>40.051830000000002</v>
      </c>
      <c r="F88" s="860">
        <f>Calculation!AF91</f>
        <v>43.269589999999994</v>
      </c>
      <c r="G88" s="860">
        <f>Calculation!AG91</f>
        <v>54.299699999997749</v>
      </c>
      <c r="H88" s="861">
        <f>Sheet1!H89</f>
        <v>24.9</v>
      </c>
      <c r="I88" s="841">
        <f>Sheet1!DA89</f>
        <v>3050</v>
      </c>
      <c r="J88" s="841">
        <f>Sheet1!DB89</f>
        <v>1630</v>
      </c>
      <c r="K88" s="841">
        <f>Sheet1!CZ89</f>
        <v>1690</v>
      </c>
      <c r="L88" s="865">
        <f>Calculation!F91</f>
        <v>250</v>
      </c>
      <c r="M88" s="865">
        <f>Calculation!E91</f>
        <v>250</v>
      </c>
      <c r="N88" s="865">
        <f>Calculation!D91</f>
        <v>300</v>
      </c>
      <c r="O88" s="888">
        <f>Sheet1!DC89</f>
        <v>1123.42</v>
      </c>
      <c r="P88" s="889" t="e">
        <f>Calculation!FD91</f>
        <v>#N/A</v>
      </c>
      <c r="Q88" s="895">
        <f>Calculation!DP91</f>
        <v>13290.600000031214</v>
      </c>
      <c r="R88" s="888">
        <f t="shared" si="20"/>
        <v>12671.600000031214</v>
      </c>
      <c r="S88" s="890">
        <f t="shared" si="26"/>
        <v>639.20000000065556</v>
      </c>
      <c r="T88" s="895">
        <f ca="1">IF(A88&gt;$A$1,#N/A,VLOOKUP(A88,Calculation!$B$8:$JO$503,40,FALSE))</f>
        <v>5628.0976247215995</v>
      </c>
      <c r="U88" s="890">
        <f t="shared" si="27"/>
        <v>0</v>
      </c>
      <c r="V88" s="890">
        <f>Calculation!AZ91</f>
        <v>0</v>
      </c>
      <c r="W88" s="895">
        <f t="shared" ca="1" si="24"/>
        <v>0</v>
      </c>
      <c r="X88" s="890">
        <v>0</v>
      </c>
      <c r="Y88" s="890">
        <f t="shared" ca="1" si="28"/>
        <v>0</v>
      </c>
      <c r="Z88" s="890">
        <f t="shared" ca="1" si="29"/>
        <v>0</v>
      </c>
      <c r="AA88" s="890">
        <f t="shared" ca="1" si="22"/>
        <v>0</v>
      </c>
      <c r="AB88" s="895">
        <f t="shared" ca="1" si="23"/>
        <v>7662.5023753096148</v>
      </c>
      <c r="AC88" s="980">
        <f t="shared" ca="1" si="21"/>
        <v>7043.5023753096148</v>
      </c>
      <c r="AD88" s="860" t="e">
        <f ca="1">IF(A88&gt;$A$1,#N/A,VLOOKUP(A88,Calculation!$B$8:$JO$503,165,FALSE))</f>
        <v>#N/A</v>
      </c>
      <c r="AE88" s="399" t="e">
        <f t="shared" ca="1" si="30"/>
        <v>#N/A</v>
      </c>
      <c r="AF88" s="399"/>
      <c r="AG88" s="841">
        <f>Calculation!G91</f>
        <v>2012.3398890573148</v>
      </c>
      <c r="AH88" s="847" t="str">
        <f t="shared" si="31"/>
        <v>Yes</v>
      </c>
      <c r="AI88" s="847" t="str">
        <f>IF(Calculation!K91&gt;0,"Yes","No")</f>
        <v>Yes</v>
      </c>
      <c r="AJ88" s="869">
        <v>9398.2800000182251</v>
      </c>
      <c r="AK88" s="870">
        <v>6790.5000000142427</v>
      </c>
      <c r="AL88" s="870">
        <v>10607.000000023738</v>
      </c>
      <c r="AN88" s="372">
        <v>19518.000000048771</v>
      </c>
      <c r="AO88" s="372">
        <v>21060.000000053184</v>
      </c>
      <c r="AP88" s="372">
        <v>16151.00000003909</v>
      </c>
      <c r="AU88" s="427"/>
      <c r="AV88" s="410"/>
      <c r="AW88" s="442"/>
      <c r="AX88" s="441"/>
      <c r="AY88" s="441"/>
      <c r="AZ88" s="443"/>
      <c r="BB88" s="433"/>
      <c r="BC88" s="432"/>
      <c r="BD88" s="433"/>
      <c r="BE88" s="432"/>
      <c r="BF88" s="433"/>
      <c r="BG88" s="432"/>
      <c r="BH88" s="429"/>
    </row>
    <row r="89" spans="1:60" ht="13.8" thickBot="1" x14ac:dyDescent="0.3">
      <c r="A89" s="406">
        <v>42816</v>
      </c>
      <c r="B89" s="860">
        <f t="shared" si="25"/>
        <v>83.120309999999989</v>
      </c>
      <c r="C89" s="860">
        <f>Calculation!AK92</f>
        <v>83.72784506234413</v>
      </c>
      <c r="D89" s="860">
        <f>Calculation!AI92</f>
        <v>0</v>
      </c>
      <c r="E89" s="860">
        <f>Calculation!AE92</f>
        <v>39.912599999999998</v>
      </c>
      <c r="F89" s="860">
        <f>Calculation!AF92</f>
        <v>43.207709999999999</v>
      </c>
      <c r="G89" s="860">
        <f>Calculation!AG92</f>
        <v>45.497269999999773</v>
      </c>
      <c r="H89" s="861">
        <f>Sheet1!H90</f>
        <v>14.9</v>
      </c>
      <c r="I89" s="841">
        <f>Sheet1!DA90</f>
        <v>2760</v>
      </c>
      <c r="J89" s="841">
        <f>Sheet1!DB90</f>
        <v>1490</v>
      </c>
      <c r="K89" s="841">
        <f>Sheet1!CZ90</f>
        <v>1550</v>
      </c>
      <c r="L89" s="865">
        <f>Calculation!F92</f>
        <v>250</v>
      </c>
      <c r="M89" s="865">
        <f>Calculation!E92</f>
        <v>250</v>
      </c>
      <c r="N89" s="865">
        <f>Calculation!D92</f>
        <v>300</v>
      </c>
      <c r="O89" s="888">
        <f>Sheet1!DC90</f>
        <v>1124.5</v>
      </c>
      <c r="P89" s="889" t="e">
        <f>Calculation!FD92</f>
        <v>#N/A</v>
      </c>
      <c r="Q89" s="895">
        <f>Calculation!DP92</f>
        <v>13825.000000032969</v>
      </c>
      <c r="R89" s="888">
        <f t="shared" si="20"/>
        <v>13206.000000032969</v>
      </c>
      <c r="S89" s="890">
        <f t="shared" si="26"/>
        <v>534.40000000175496</v>
      </c>
      <c r="T89" s="895">
        <f ca="1">IF(A89&gt;$A$1,#N/A,VLOOKUP(A89,Calculation!$B$8:$JO$503,40,FALSE))</f>
        <v>5794.1461241729712</v>
      </c>
      <c r="U89" s="890">
        <f t="shared" si="27"/>
        <v>0</v>
      </c>
      <c r="V89" s="890">
        <f>Calculation!AZ92</f>
        <v>0</v>
      </c>
      <c r="W89" s="895">
        <f t="shared" ca="1" si="24"/>
        <v>0</v>
      </c>
      <c r="X89" s="890">
        <v>0</v>
      </c>
      <c r="Y89" s="890">
        <f t="shared" ca="1" si="28"/>
        <v>0</v>
      </c>
      <c r="Z89" s="890">
        <f t="shared" ca="1" si="29"/>
        <v>0</v>
      </c>
      <c r="AA89" s="890">
        <f t="shared" ca="1" si="22"/>
        <v>0</v>
      </c>
      <c r="AB89" s="895">
        <f t="shared" ca="1" si="23"/>
        <v>8030.853875859998</v>
      </c>
      <c r="AC89" s="980">
        <f t="shared" ca="1" si="21"/>
        <v>7411.853875859998</v>
      </c>
      <c r="AD89" s="860" t="e">
        <f ca="1">IF(A89&gt;$A$1,#N/A,VLOOKUP(A89,Calculation!$B$8:$JO$503,165,FALSE))</f>
        <v>#N/A</v>
      </c>
      <c r="AE89" s="399" t="e">
        <f t="shared" ca="1" si="30"/>
        <v>#N/A</v>
      </c>
      <c r="AF89" s="399"/>
      <c r="AG89" s="841">
        <f>Calculation!G92</f>
        <v>1819.4906707018431</v>
      </c>
      <c r="AH89" s="847" t="str">
        <f t="shared" si="31"/>
        <v>Yes</v>
      </c>
      <c r="AI89" s="847" t="str">
        <f>IF(Calculation!K92&gt;0,"Yes","No")</f>
        <v>Yes</v>
      </c>
      <c r="AJ89" s="869">
        <v>9678.360000018969</v>
      </c>
      <c r="AK89" s="870">
        <v>7019.7000000144408</v>
      </c>
      <c r="AL89" s="870">
        <v>11210.200000025498</v>
      </c>
      <c r="AN89" s="372">
        <v>19844.000000049069</v>
      </c>
      <c r="AO89" s="372">
        <v>21973.000000056316</v>
      </c>
      <c r="AP89" s="372">
        <v>16766.600000041144</v>
      </c>
      <c r="AU89" s="427"/>
      <c r="AV89" s="410"/>
      <c r="AW89" s="442"/>
      <c r="AX89" s="441"/>
      <c r="AY89" s="441"/>
      <c r="AZ89" s="443"/>
      <c r="BB89" s="433"/>
      <c r="BC89" s="432"/>
      <c r="BD89" s="433"/>
      <c r="BE89" s="432"/>
      <c r="BF89" s="433"/>
      <c r="BG89" s="432"/>
      <c r="BH89" s="429"/>
    </row>
    <row r="90" spans="1:60" ht="13.8" thickBot="1" x14ac:dyDescent="0.3">
      <c r="A90" s="406">
        <v>42817</v>
      </c>
      <c r="B90" s="860">
        <f t="shared" si="25"/>
        <v>83.383299999999991</v>
      </c>
      <c r="C90" s="860">
        <f>Calculation!AK93</f>
        <v>83.869375053003537</v>
      </c>
      <c r="D90" s="860">
        <f>Calculation!AI93</f>
        <v>0</v>
      </c>
      <c r="E90" s="860">
        <f>Calculation!AE93</f>
        <v>39.912599999999998</v>
      </c>
      <c r="F90" s="860">
        <f>Calculation!AF93</f>
        <v>43.470700000000001</v>
      </c>
      <c r="G90" s="860">
        <f>Calculation!AG93</f>
        <v>18.718700000003377</v>
      </c>
      <c r="H90" s="861">
        <f>Sheet1!H91</f>
        <v>13.03</v>
      </c>
      <c r="I90" s="841">
        <f>Sheet1!DA91</f>
        <v>2620</v>
      </c>
      <c r="J90" s="841">
        <f>Sheet1!DB91</f>
        <v>1450</v>
      </c>
      <c r="K90" s="841">
        <f>Sheet1!CZ91</f>
        <v>1560</v>
      </c>
      <c r="L90" s="865">
        <f>Calculation!F93</f>
        <v>250</v>
      </c>
      <c r="M90" s="865">
        <f>Calculation!E93</f>
        <v>250</v>
      </c>
      <c r="N90" s="865">
        <f>Calculation!D93</f>
        <v>300</v>
      </c>
      <c r="O90" s="888">
        <f>Sheet1!DC91</f>
        <v>1125.77</v>
      </c>
      <c r="P90" s="889" t="e">
        <f>Calculation!FD93</f>
        <v>#N/A</v>
      </c>
      <c r="Q90" s="895">
        <f>Calculation!DP93</f>
        <v>14475.400000034879</v>
      </c>
      <c r="R90" s="888">
        <f t="shared" si="20"/>
        <v>13856.400000034879</v>
      </c>
      <c r="S90" s="890">
        <f t="shared" si="26"/>
        <v>650.40000000190958</v>
      </c>
      <c r="T90" s="895">
        <f ca="1">IF(A90&gt;$A$1,#N/A,VLOOKUP(A90,Calculation!$B$8:$JO$503,40,FALSE))</f>
        <v>5960.475304950357</v>
      </c>
      <c r="U90" s="890">
        <f t="shared" si="27"/>
        <v>0</v>
      </c>
      <c r="V90" s="890">
        <f>Calculation!AZ93</f>
        <v>0</v>
      </c>
      <c r="W90" s="895">
        <f t="shared" ca="1" si="24"/>
        <v>0</v>
      </c>
      <c r="X90" s="890">
        <v>0</v>
      </c>
      <c r="Y90" s="890">
        <f t="shared" ca="1" si="28"/>
        <v>0</v>
      </c>
      <c r="Z90" s="890">
        <f t="shared" ca="1" si="29"/>
        <v>0</v>
      </c>
      <c r="AA90" s="890">
        <f t="shared" ca="1" si="22"/>
        <v>0</v>
      </c>
      <c r="AB90" s="895">
        <f t="shared" ca="1" si="23"/>
        <v>8514.9246950845227</v>
      </c>
      <c r="AC90" s="980">
        <f t="shared" ca="1" si="21"/>
        <v>7895.9246950845227</v>
      </c>
      <c r="AD90" s="860" t="e">
        <f ca="1">IF(A90&gt;$A$1,#N/A,VLOOKUP(A90,Calculation!$B$8:$JO$503,165,FALSE))</f>
        <v>#N/A</v>
      </c>
      <c r="AE90" s="399" t="e">
        <f t="shared" ca="1" si="30"/>
        <v>#N/A</v>
      </c>
      <c r="AF90" s="399"/>
      <c r="AG90" s="841">
        <f>Calculation!G93</f>
        <v>1887.9878971265302</v>
      </c>
      <c r="AH90" s="847" t="str">
        <f t="shared" si="31"/>
        <v>Yes</v>
      </c>
      <c r="AI90" s="847" t="str">
        <f>IF(Calculation!K93&gt;0,"Yes","No")</f>
        <v>Yes</v>
      </c>
      <c r="AJ90" s="869">
        <v>9854.3600000191291</v>
      </c>
      <c r="AK90" s="870">
        <v>7375.2000000157886</v>
      </c>
      <c r="AL90" s="870">
        <v>11804.000000027312</v>
      </c>
      <c r="AN90" s="372">
        <v>19817.600000049672</v>
      </c>
      <c r="AO90" s="372">
        <v>22795.200000057928</v>
      </c>
      <c r="AP90" s="372">
        <v>17571.000000043248</v>
      </c>
      <c r="AU90" s="427"/>
      <c r="AV90" s="410"/>
      <c r="AW90" s="442"/>
      <c r="AX90" s="441"/>
      <c r="AY90" s="441"/>
      <c r="AZ90" s="443"/>
      <c r="BB90" s="433"/>
      <c r="BC90" s="432"/>
      <c r="BD90" s="433"/>
      <c r="BE90" s="432"/>
      <c r="BF90" s="433"/>
      <c r="BG90" s="432"/>
      <c r="BH90" s="429"/>
    </row>
    <row r="91" spans="1:60" ht="13.8" thickBot="1" x14ac:dyDescent="0.3">
      <c r="A91" s="406">
        <v>42818</v>
      </c>
      <c r="B91" s="860">
        <f t="shared" si="25"/>
        <v>86.322599999999994</v>
      </c>
      <c r="C91" s="860">
        <f>Calculation!AK94</f>
        <v>83.11628553559548</v>
      </c>
      <c r="D91" s="860">
        <f>Calculation!AI94</f>
        <v>0</v>
      </c>
      <c r="E91" s="860">
        <f>Calculation!AE94</f>
        <v>40.020890000000001</v>
      </c>
      <c r="F91" s="860">
        <f>Calculation!AF94</f>
        <v>46.30171</v>
      </c>
      <c r="G91" s="860">
        <f>Calculation!AG94</f>
        <v>0</v>
      </c>
      <c r="H91" s="861">
        <f>Sheet1!H92</f>
        <v>7.77</v>
      </c>
      <c r="I91" s="841">
        <f>Sheet1!DA92</f>
        <v>2980</v>
      </c>
      <c r="J91" s="841">
        <f>Sheet1!DB92</f>
        <v>1770</v>
      </c>
      <c r="K91" s="841">
        <f>Sheet1!CZ92</f>
        <v>1920</v>
      </c>
      <c r="L91" s="865">
        <f>Calculation!F94</f>
        <v>250</v>
      </c>
      <c r="M91" s="865">
        <f>Calculation!E94</f>
        <v>250</v>
      </c>
      <c r="N91" s="865">
        <f>Calculation!D94</f>
        <v>300</v>
      </c>
      <c r="O91" s="888">
        <f>Sheet1!DC92</f>
        <v>1127.3900000000001</v>
      </c>
      <c r="P91" s="889" t="e">
        <f>Calculation!FD94</f>
        <v>#N/A</v>
      </c>
      <c r="Q91" s="895">
        <f>Calculation!DP94</f>
        <v>15340.60000003708</v>
      </c>
      <c r="R91" s="888">
        <f t="shared" si="20"/>
        <v>14721.60000003708</v>
      </c>
      <c r="S91" s="890">
        <f t="shared" si="26"/>
        <v>865.2000000022017</v>
      </c>
      <c r="T91" s="895">
        <f ca="1">IF(A91&gt;$A$1,#N/A,VLOOKUP(A91,Calculation!$B$8:$JO$503,40,FALSE))</f>
        <v>6125.3109636596046</v>
      </c>
      <c r="U91" s="890">
        <f t="shared" si="27"/>
        <v>0</v>
      </c>
      <c r="V91" s="890">
        <f>Calculation!AZ94</f>
        <v>0</v>
      </c>
      <c r="W91" s="895">
        <f t="shared" ca="1" si="24"/>
        <v>0</v>
      </c>
      <c r="X91" s="890">
        <v>0</v>
      </c>
      <c r="Y91" s="890">
        <f t="shared" ca="1" si="28"/>
        <v>0</v>
      </c>
      <c r="Z91" s="890">
        <f t="shared" ca="1" si="29"/>
        <v>0</v>
      </c>
      <c r="AA91" s="890">
        <f t="shared" ca="1" si="22"/>
        <v>0</v>
      </c>
      <c r="AB91" s="895">
        <f t="shared" ca="1" si="23"/>
        <v>9215.289036377475</v>
      </c>
      <c r="AC91" s="980">
        <f t="shared" ca="1" si="21"/>
        <v>8596.289036377475</v>
      </c>
      <c r="AD91" s="860" t="e">
        <f ca="1">IF(A91&gt;$A$1,#N/A,VLOOKUP(A91,Calculation!$B$8:$JO$503,165,FALSE))</f>
        <v>#N/A</v>
      </c>
      <c r="AE91" s="399" t="e">
        <f t="shared" ca="1" si="30"/>
        <v>#N/A</v>
      </c>
      <c r="AF91" s="399"/>
      <c r="AG91" s="841">
        <f>Calculation!G94</f>
        <v>2356.3086232991436</v>
      </c>
      <c r="AH91" s="847" t="str">
        <f t="shared" si="31"/>
        <v>Yes</v>
      </c>
      <c r="AI91" s="847" t="str">
        <f>IF(Calculation!K94&gt;0,"Yes","No")</f>
        <v>Yes</v>
      </c>
      <c r="AJ91" s="869">
        <v>10237.750000019945</v>
      </c>
      <c r="AK91" s="870">
        <v>7657.4000000160704</v>
      </c>
      <c r="AL91" s="870">
        <v>12003.000000027512</v>
      </c>
      <c r="AN91" s="372">
        <v>19824.200000049674</v>
      </c>
      <c r="AO91" s="372">
        <v>23801.000000061173</v>
      </c>
      <c r="AP91" s="372">
        <v>18705.900000046553</v>
      </c>
      <c r="AU91" s="427"/>
      <c r="AV91" s="410"/>
      <c r="AW91" s="442"/>
      <c r="AX91" s="441"/>
      <c r="AY91" s="441"/>
      <c r="AZ91" s="443"/>
      <c r="BB91" s="433"/>
      <c r="BC91" s="432"/>
      <c r="BD91" s="433"/>
      <c r="BE91" s="432"/>
      <c r="BF91" s="433"/>
      <c r="BG91" s="432"/>
      <c r="BH91" s="429"/>
    </row>
    <row r="92" spans="1:60" ht="13.8" thickBot="1" x14ac:dyDescent="0.3">
      <c r="A92" s="406">
        <v>42819</v>
      </c>
      <c r="B92" s="860">
        <f t="shared" si="25"/>
        <v>86.291659999999993</v>
      </c>
      <c r="C92" s="860">
        <f>Calculation!AK95</f>
        <v>83.074136575797866</v>
      </c>
      <c r="D92" s="860">
        <f>Calculation!AI95</f>
        <v>0</v>
      </c>
      <c r="E92" s="860">
        <f>Calculation!AE95</f>
        <v>39.928069999999998</v>
      </c>
      <c r="F92" s="860">
        <f>Calculation!AF95</f>
        <v>46.363589999999995</v>
      </c>
      <c r="G92" s="860">
        <f>Calculation!AG95</f>
        <v>0</v>
      </c>
      <c r="H92" s="861">
        <f>Sheet1!H93</f>
        <v>5.85</v>
      </c>
      <c r="I92" s="841">
        <f>Sheet1!DA93</f>
        <v>2970</v>
      </c>
      <c r="J92" s="841">
        <f>Sheet1!DB93</f>
        <v>1790</v>
      </c>
      <c r="K92" s="841">
        <f>Sheet1!CZ93</f>
        <v>1930</v>
      </c>
      <c r="L92" s="865">
        <f>Calculation!F95</f>
        <v>250</v>
      </c>
      <c r="M92" s="865">
        <f>Calculation!E95</f>
        <v>250</v>
      </c>
      <c r="N92" s="865">
        <f>Calculation!D95</f>
        <v>300</v>
      </c>
      <c r="O92" s="888">
        <f>Sheet1!DC93</f>
        <v>1128.93</v>
      </c>
      <c r="P92" s="889" t="e">
        <f>Calculation!FD95</f>
        <v>#N/A</v>
      </c>
      <c r="Q92" s="895">
        <f>Calculation!DP95</f>
        <v>16196.100000039918</v>
      </c>
      <c r="R92" s="888">
        <f t="shared" si="20"/>
        <v>15577.100000039918</v>
      </c>
      <c r="S92" s="890">
        <f t="shared" si="26"/>
        <v>855.50000000283762</v>
      </c>
      <c r="T92" s="895">
        <f ca="1">IF(A92&gt;$A$1,#N/A,VLOOKUP(A92,Calculation!$B$8:$JO$503,40,FALSE))</f>
        <v>6290.0630328351363</v>
      </c>
      <c r="U92" s="890">
        <f t="shared" si="27"/>
        <v>0</v>
      </c>
      <c r="V92" s="890">
        <f>Calculation!AZ95</f>
        <v>0</v>
      </c>
      <c r="W92" s="895">
        <f t="shared" ca="1" si="24"/>
        <v>0</v>
      </c>
      <c r="X92" s="890">
        <v>0</v>
      </c>
      <c r="Y92" s="890">
        <f t="shared" ca="1" si="28"/>
        <v>0</v>
      </c>
      <c r="Z92" s="890">
        <f t="shared" ca="1" si="29"/>
        <v>0</v>
      </c>
      <c r="AA92" s="890">
        <f t="shared" ca="1" si="22"/>
        <v>0</v>
      </c>
      <c r="AB92" s="895">
        <f t="shared" ca="1" si="23"/>
        <v>9906.0369672047818</v>
      </c>
      <c r="AC92" s="980">
        <f t="shared" ca="1" si="21"/>
        <v>9287.0369672047818</v>
      </c>
      <c r="AD92" s="860" t="e">
        <f ca="1">IF(A92&gt;$A$1,#N/A,VLOOKUP(A92,Calculation!$B$8:$JO$503,165,FALSE))</f>
        <v>#N/A</v>
      </c>
      <c r="AE92" s="399" t="e">
        <f t="shared" ca="1" si="30"/>
        <v>#N/A</v>
      </c>
      <c r="AF92" s="399"/>
      <c r="AG92" s="841">
        <f>Calculation!G95</f>
        <v>2361.4170448829236</v>
      </c>
      <c r="AH92" s="847" t="str">
        <f t="shared" si="31"/>
        <v>Yes</v>
      </c>
      <c r="AI92" s="847" t="str">
        <f>IF(Calculation!K95&gt;0,"Yes","No")</f>
        <v>Yes</v>
      </c>
      <c r="AJ92" s="869">
        <v>10684.16000002092</v>
      </c>
      <c r="AK92" s="870">
        <v>7939.8000000168076</v>
      </c>
      <c r="AL92" s="870">
        <v>12203.000000028867</v>
      </c>
      <c r="AN92" s="372">
        <v>20083.200000050729</v>
      </c>
      <c r="AO92" s="372">
        <v>25499.100000065206</v>
      </c>
      <c r="AP92" s="372">
        <v>19674.00000004892</v>
      </c>
      <c r="AU92" s="427"/>
      <c r="AV92" s="410"/>
      <c r="AW92" s="442"/>
      <c r="AX92" s="441"/>
      <c r="AY92" s="441"/>
      <c r="AZ92" s="443"/>
      <c r="BB92" s="433"/>
      <c r="BC92" s="432"/>
      <c r="BD92" s="433"/>
      <c r="BE92" s="432"/>
      <c r="BF92" s="433"/>
      <c r="BG92" s="432"/>
      <c r="BH92" s="429"/>
    </row>
    <row r="93" spans="1:60" ht="13.8" thickBot="1" x14ac:dyDescent="0.3">
      <c r="A93" s="406">
        <v>42820</v>
      </c>
      <c r="B93" s="860">
        <f t="shared" si="25"/>
        <v>86.214309999999998</v>
      </c>
      <c r="C93" s="860">
        <f>Calculation!AK96</f>
        <v>83.098254067796603</v>
      </c>
      <c r="D93" s="860">
        <f>Calculation!AI96</f>
        <v>0</v>
      </c>
      <c r="E93" s="860">
        <f>Calculation!AE96</f>
        <v>39.943539999999999</v>
      </c>
      <c r="F93" s="860">
        <f>Calculation!AF96</f>
        <v>46.270769999999999</v>
      </c>
      <c r="G93" s="860">
        <f>Calculation!AG96</f>
        <v>0</v>
      </c>
      <c r="H93" s="861">
        <f>Sheet1!H94</f>
        <v>3.98</v>
      </c>
      <c r="I93" s="841">
        <f>Sheet1!DA94</f>
        <v>3070</v>
      </c>
      <c r="J93" s="841">
        <f>Sheet1!DB94</f>
        <v>1820</v>
      </c>
      <c r="K93" s="841">
        <f>Sheet1!CZ94</f>
        <v>1950</v>
      </c>
      <c r="L93" s="865">
        <f>Calculation!F96</f>
        <v>250</v>
      </c>
      <c r="M93" s="865">
        <f>Calculation!E96</f>
        <v>250</v>
      </c>
      <c r="N93" s="865">
        <f>Calculation!D96</f>
        <v>300</v>
      </c>
      <c r="O93" s="888">
        <f>Sheet1!DC94</f>
        <v>1130</v>
      </c>
      <c r="P93" s="889" t="e">
        <f>Calculation!FD96</f>
        <v>#N/A</v>
      </c>
      <c r="Q93" s="895">
        <f>Calculation!DP96</f>
        <v>16813.000000041855</v>
      </c>
      <c r="R93" s="888">
        <f t="shared" si="20"/>
        <v>16194.000000041855</v>
      </c>
      <c r="S93" s="890">
        <f t="shared" si="26"/>
        <v>616.90000000193686</v>
      </c>
      <c r="T93" s="895">
        <f ca="1">IF(A93&gt;$A$1,#N/A,VLOOKUP(A93,Calculation!$B$8:$JO$503,40,FALSE))</f>
        <v>6454.8629316586657</v>
      </c>
      <c r="U93" s="890">
        <f t="shared" si="27"/>
        <v>0</v>
      </c>
      <c r="V93" s="890">
        <f>Calculation!AZ96</f>
        <v>0</v>
      </c>
      <c r="W93" s="895">
        <f t="shared" ca="1" si="24"/>
        <v>0</v>
      </c>
      <c r="X93" s="890">
        <v>0</v>
      </c>
      <c r="Y93" s="890">
        <f t="shared" ca="1" si="28"/>
        <v>0</v>
      </c>
      <c r="Z93" s="890">
        <f t="shared" ca="1" si="29"/>
        <v>0</v>
      </c>
      <c r="AA93" s="890">
        <f t="shared" ca="1" si="22"/>
        <v>0</v>
      </c>
      <c r="AB93" s="895">
        <f t="shared" ca="1" si="23"/>
        <v>10358.137068383188</v>
      </c>
      <c r="AC93" s="980">
        <f t="shared" ca="1" si="21"/>
        <v>9739.1370683831883</v>
      </c>
      <c r="AD93" s="860" t="e">
        <f ca="1">IF(A93&gt;$A$1,#N/A,VLOOKUP(A93,Calculation!$B$8:$JO$503,165,FALSE))</f>
        <v>#N/A</v>
      </c>
      <c r="AE93" s="399" t="e">
        <f t="shared" ca="1" si="30"/>
        <v>#N/A</v>
      </c>
      <c r="AF93" s="399"/>
      <c r="AG93" s="841">
        <f>Calculation!G96</f>
        <v>2261.0943015642647</v>
      </c>
      <c r="AH93" s="847" t="str">
        <f t="shared" si="31"/>
        <v>Yes</v>
      </c>
      <c r="AI93" s="847" t="str">
        <f>IF(Calculation!K96&gt;0,"Yes","No")</f>
        <v>Yes</v>
      </c>
      <c r="AJ93" s="869">
        <v>10919.4000000216</v>
      </c>
      <c r="AK93" s="870">
        <v>8370.1000000177828</v>
      </c>
      <c r="AL93" s="870">
        <v>12449.400000029182</v>
      </c>
      <c r="AN93" s="372">
        <v>20378.000000050273</v>
      </c>
      <c r="AO93" s="372">
        <v>28092.000000072476</v>
      </c>
      <c r="AP93" s="372">
        <v>20640.100000052713</v>
      </c>
      <c r="AU93" s="427"/>
      <c r="AV93" s="410"/>
      <c r="AW93" s="442"/>
      <c r="AX93" s="441"/>
      <c r="AY93" s="441"/>
      <c r="AZ93" s="443"/>
      <c r="BB93" s="433"/>
      <c r="BC93" s="432"/>
      <c r="BD93" s="433"/>
      <c r="BE93" s="432"/>
      <c r="BF93" s="433"/>
      <c r="BG93" s="432"/>
      <c r="BH93" s="429"/>
    </row>
    <row r="94" spans="1:60" ht="13.8" thickBot="1" x14ac:dyDescent="0.3">
      <c r="A94" s="406">
        <v>42821</v>
      </c>
      <c r="B94" s="860">
        <f t="shared" si="25"/>
        <v>84.914829999999995</v>
      </c>
      <c r="C94" s="860">
        <f>Calculation!AK97</f>
        <v>83.556325999999984</v>
      </c>
      <c r="D94" s="860">
        <f>Calculation!AI97</f>
        <v>0</v>
      </c>
      <c r="E94" s="860">
        <f>Calculation!AE97</f>
        <v>39.757899999999999</v>
      </c>
      <c r="F94" s="860">
        <f>Calculation!AF97</f>
        <v>45.156930000000003</v>
      </c>
      <c r="G94" s="860">
        <f>Calculation!AG97</f>
        <v>0</v>
      </c>
      <c r="H94" s="861">
        <f>Sheet1!H95</f>
        <v>3.69</v>
      </c>
      <c r="I94" s="841">
        <f>Sheet1!DA95</f>
        <v>3220</v>
      </c>
      <c r="J94" s="841">
        <f>Sheet1!DB95</f>
        <v>1960</v>
      </c>
      <c r="K94" s="841">
        <f>Sheet1!CZ95</f>
        <v>2090</v>
      </c>
      <c r="L94" s="865">
        <f>Calculation!F97</f>
        <v>250</v>
      </c>
      <c r="M94" s="865">
        <f>Calculation!E97</f>
        <v>250</v>
      </c>
      <c r="N94" s="865">
        <f>Calculation!D97</f>
        <v>300</v>
      </c>
      <c r="O94" s="888">
        <f>Sheet1!DC95</f>
        <v>1131.04</v>
      </c>
      <c r="P94" s="889" t="e">
        <f>Calculation!FD97</f>
        <v>#N/A</v>
      </c>
      <c r="Q94" s="895">
        <f>Calculation!DP97</f>
        <v>17427.00000004311</v>
      </c>
      <c r="R94" s="888">
        <f t="shared" si="20"/>
        <v>16808.00000004311</v>
      </c>
      <c r="S94" s="890">
        <f t="shared" si="26"/>
        <v>614.0000000012551</v>
      </c>
      <c r="T94" s="895">
        <f ca="1">IF(A94&gt;$A$1,#N/A,VLOOKUP(A94,Calculation!$B$8:$JO$503,40,FALSE))</f>
        <v>6620.5712756586663</v>
      </c>
      <c r="U94" s="890">
        <f t="shared" si="27"/>
        <v>0</v>
      </c>
      <c r="V94" s="890">
        <f>Calculation!AZ97</f>
        <v>0</v>
      </c>
      <c r="W94" s="895">
        <f ca="1">IF(T94&lt;=0,0,MIN(MAX(Q94-T94-23559-619-(X94*1.983),0),5000))</f>
        <v>0</v>
      </c>
      <c r="X94" s="890">
        <v>0</v>
      </c>
      <c r="Y94" s="890">
        <f t="shared" ca="1" si="28"/>
        <v>0</v>
      </c>
      <c r="Z94" s="890">
        <f t="shared" ca="1" si="29"/>
        <v>0</v>
      </c>
      <c r="AA94" s="890">
        <f t="shared" ca="1" si="22"/>
        <v>0</v>
      </c>
      <c r="AB94" s="895">
        <f t="shared" ca="1" si="23"/>
        <v>10806.428724384445</v>
      </c>
      <c r="AC94" s="980">
        <f t="shared" ca="1" si="21"/>
        <v>10187.428724384445</v>
      </c>
      <c r="AD94" s="860" t="e">
        <f ca="1">IF(A94&gt;$A$1,#N/A,VLOOKUP(A94,Calculation!$B$8:$JO$503,165,FALSE))</f>
        <v>#N/A</v>
      </c>
      <c r="AE94" s="399" t="e">
        <f t="shared" ca="1" si="30"/>
        <v>#N/A</v>
      </c>
      <c r="AF94" s="399"/>
      <c r="AG94" s="841">
        <f>Calculation!G97</f>
        <v>2399.6318709033058</v>
      </c>
      <c r="AH94" s="847" t="str">
        <f t="shared" si="31"/>
        <v>Yes</v>
      </c>
      <c r="AI94" s="847" t="str">
        <f>IF(Calculation!K97&gt;0,"Yes","No")</f>
        <v>Yes</v>
      </c>
      <c r="AJ94" s="869">
        <v>11133.740000022493</v>
      </c>
      <c r="AK94" s="870">
        <v>8606.4000000180076</v>
      </c>
      <c r="AL94" s="870">
        <v>12689.200000030029</v>
      </c>
      <c r="AN94" s="372">
        <v>20736.700000052871</v>
      </c>
      <c r="AO94" s="372">
        <v>30256.000000077911</v>
      </c>
      <c r="AP94" s="372">
        <v>21386.700000055051</v>
      </c>
      <c r="AU94" s="427"/>
      <c r="AV94" s="410"/>
      <c r="AW94" s="442"/>
      <c r="AX94" s="441"/>
      <c r="AY94" s="441"/>
      <c r="AZ94" s="443"/>
      <c r="BB94" s="433"/>
      <c r="BC94" s="432"/>
      <c r="BD94" s="433"/>
      <c r="BE94" s="432"/>
      <c r="BF94" s="433"/>
      <c r="BG94" s="432"/>
      <c r="BH94" s="429"/>
    </row>
    <row r="95" spans="1:60" ht="13.8" thickBot="1" x14ac:dyDescent="0.3">
      <c r="A95" s="406">
        <v>42822</v>
      </c>
      <c r="B95" s="860">
        <f t="shared" si="25"/>
        <v>84.620899999999992</v>
      </c>
      <c r="C95" s="860">
        <f>Calculation!AK98</f>
        <v>83.876042633207291</v>
      </c>
      <c r="D95" s="860">
        <f>Calculation!AI98</f>
        <v>0</v>
      </c>
      <c r="E95" s="860">
        <f>Calculation!AE98</f>
        <v>39.912599999999998</v>
      </c>
      <c r="F95" s="860">
        <f>Calculation!AF98</f>
        <v>44.708299999999994</v>
      </c>
      <c r="G95" s="860">
        <f>Calculation!AG98</f>
        <v>0</v>
      </c>
      <c r="H95" s="861">
        <f>Sheet1!H96</f>
        <v>3.65</v>
      </c>
      <c r="I95" s="841">
        <f>Sheet1!DA96</f>
        <v>3480</v>
      </c>
      <c r="J95" s="841">
        <f>Sheet1!DB96</f>
        <v>2170</v>
      </c>
      <c r="K95" s="841">
        <f>Sheet1!CZ96</f>
        <v>2360</v>
      </c>
      <c r="L95" s="865">
        <f>Calculation!F98</f>
        <v>250</v>
      </c>
      <c r="M95" s="865">
        <f>Calculation!E98</f>
        <v>250</v>
      </c>
      <c r="N95" s="865">
        <f>Calculation!D98</f>
        <v>300</v>
      </c>
      <c r="O95" s="888">
        <f>Sheet1!DC96</f>
        <v>1132.08</v>
      </c>
      <c r="P95" s="889" t="e">
        <f>Calculation!FD98</f>
        <v>#N/A</v>
      </c>
      <c r="Q95" s="895">
        <f>Calculation!DP98</f>
        <v>18055.600000045109</v>
      </c>
      <c r="R95" s="888">
        <f t="shared" si="20"/>
        <v>17436.600000045109</v>
      </c>
      <c r="S95" s="890">
        <f t="shared" si="26"/>
        <v>628.60000000199943</v>
      </c>
      <c r="T95" s="895">
        <f ca="1">IF(A95&gt;$A$1,#N/A,VLOOKUP(A95,Calculation!$B$8:$JO$503,40,FALSE))</f>
        <v>6786.9136795362874</v>
      </c>
      <c r="U95" s="890">
        <f t="shared" si="27"/>
        <v>0</v>
      </c>
      <c r="V95" s="890">
        <f>Calculation!AZ98</f>
        <v>0</v>
      </c>
      <c r="W95" s="895">
        <f t="shared" ref="W95:W156" ca="1" si="32">IF(T95&lt;=0,0,MIN(MAX(Q95-T95-23559-619-(X95*1.983),0),5000))</f>
        <v>0</v>
      </c>
      <c r="X95" s="890">
        <v>0</v>
      </c>
      <c r="Y95" s="890">
        <f ca="1">W95*0.5</f>
        <v>0</v>
      </c>
      <c r="Z95" s="890">
        <f t="shared" ca="1" si="29"/>
        <v>0</v>
      </c>
      <c r="AA95" s="890">
        <f t="shared" ca="1" si="22"/>
        <v>0</v>
      </c>
      <c r="AB95" s="895">
        <f t="shared" ca="1" si="23"/>
        <v>11268.686320508823</v>
      </c>
      <c r="AC95" s="980">
        <f t="shared" ca="1" si="21"/>
        <v>10649.686320508823</v>
      </c>
      <c r="AD95" s="860" t="e">
        <f ca="1">IF(A95&gt;$A$1,#N/A,VLOOKUP(A95,Calculation!$B$8:$JO$503,165,FALSE))</f>
        <v>#N/A</v>
      </c>
      <c r="AE95" s="399" t="e">
        <f t="shared" ca="1" si="30"/>
        <v>#N/A</v>
      </c>
      <c r="AF95" s="399"/>
      <c r="AG95" s="841">
        <f>Calculation!G98</f>
        <v>2676.9944528502265</v>
      </c>
      <c r="AH95" s="847" t="str">
        <f t="shared" si="31"/>
        <v>Yes</v>
      </c>
      <c r="AI95" s="847" t="str">
        <f>IF(Calculation!K98&gt;0,"Yes","No")</f>
        <v>Yes</v>
      </c>
      <c r="AJ95" s="869">
        <v>11387.890000022669</v>
      </c>
      <c r="AK95" s="870">
        <v>8566.4000000184769</v>
      </c>
      <c r="AL95" s="870">
        <v>12878.200000030136</v>
      </c>
      <c r="AN95" s="372">
        <v>21267.000000054115</v>
      </c>
      <c r="AO95" s="372">
        <v>32245.000000081523</v>
      </c>
      <c r="AP95" s="372">
        <v>21852.300000055373</v>
      </c>
      <c r="AU95" s="427"/>
      <c r="AV95" s="410"/>
      <c r="AW95" s="442"/>
      <c r="AX95" s="441"/>
      <c r="AY95" s="441"/>
      <c r="AZ95" s="443"/>
      <c r="BB95" s="433"/>
      <c r="BC95" s="432"/>
      <c r="BD95" s="433"/>
      <c r="BE95" s="432"/>
      <c r="BF95" s="433"/>
      <c r="BG95" s="432"/>
      <c r="BH95" s="429"/>
    </row>
    <row r="96" spans="1:60" ht="13.8" thickBot="1" x14ac:dyDescent="0.3">
      <c r="A96" s="406">
        <v>42823</v>
      </c>
      <c r="B96" s="860">
        <f t="shared" si="25"/>
        <v>84.775599999999997</v>
      </c>
      <c r="C96" s="860">
        <f>Calculation!AK99</f>
        <v>83.820430224215244</v>
      </c>
      <c r="D96" s="860">
        <f>Calculation!AI99</f>
        <v>0</v>
      </c>
      <c r="E96" s="860">
        <f>Calculation!AE99</f>
        <v>40.067299999999996</v>
      </c>
      <c r="F96" s="860">
        <f>Calculation!AF99</f>
        <v>44.708299999999994</v>
      </c>
      <c r="G96" s="860">
        <f>Calculation!AG99</f>
        <v>0</v>
      </c>
      <c r="H96" s="861">
        <f>Sheet1!H97</f>
        <v>3.9</v>
      </c>
      <c r="I96" s="841">
        <f>Sheet1!DA97</f>
        <v>4440</v>
      </c>
      <c r="J96" s="841">
        <f>Sheet1!DB97</f>
        <v>2820</v>
      </c>
      <c r="K96" s="841">
        <f>Sheet1!CZ97</f>
        <v>3060</v>
      </c>
      <c r="L96" s="865">
        <f>Calculation!F99</f>
        <v>250</v>
      </c>
      <c r="M96" s="865">
        <f>Calculation!E99</f>
        <v>250</v>
      </c>
      <c r="N96" s="865">
        <f>Calculation!D99</f>
        <v>300</v>
      </c>
      <c r="O96" s="888">
        <f>Sheet1!DC97</f>
        <v>1134.3800000000001</v>
      </c>
      <c r="P96" s="889" t="e">
        <f>Calculation!FD99</f>
        <v>#N/A</v>
      </c>
      <c r="Q96" s="895">
        <f>Calculation!DP99</f>
        <v>19505.000000048771</v>
      </c>
      <c r="R96" s="888">
        <f t="shared" si="20"/>
        <v>18886.000000048771</v>
      </c>
      <c r="S96" s="890">
        <f t="shared" si="26"/>
        <v>1449.4000000036613</v>
      </c>
      <c r="T96" s="895">
        <f ca="1">IF(A96&gt;$A$1,#N/A,VLOOKUP(A96,Calculation!$B$8:$JO$503,40,FALSE))</f>
        <v>6953.1457932582607</v>
      </c>
      <c r="U96" s="890">
        <f t="shared" si="27"/>
        <v>0</v>
      </c>
      <c r="V96" s="890">
        <f>Calculation!AZ99</f>
        <v>0</v>
      </c>
      <c r="W96" s="895">
        <f t="shared" ca="1" si="32"/>
        <v>0</v>
      </c>
      <c r="X96" s="890">
        <v>0</v>
      </c>
      <c r="Y96" s="890">
        <f t="shared" ref="Y96:Y156" ca="1" si="33">W96*0.5</f>
        <v>0</v>
      </c>
      <c r="Z96" s="890">
        <f t="shared" ca="1" si="29"/>
        <v>0</v>
      </c>
      <c r="AA96" s="890">
        <f t="shared" ca="1" si="22"/>
        <v>0</v>
      </c>
      <c r="AB96" s="895">
        <f t="shared" ca="1" si="23"/>
        <v>12551.854206790511</v>
      </c>
      <c r="AC96" s="980">
        <f t="shared" ca="1" si="21"/>
        <v>11932.854206790511</v>
      </c>
      <c r="AD96" s="860" t="e">
        <f ca="1">IF(A96&gt;$A$1,#N/A,VLOOKUP(A96,Calculation!$B$8:$JO$503,165,FALSE))</f>
        <v>#N/A</v>
      </c>
      <c r="AE96" s="399" t="e">
        <f t="shared" ca="1" si="30"/>
        <v>#N/A</v>
      </c>
      <c r="AF96" s="399"/>
      <c r="AG96" s="841">
        <f>Calculation!G99</f>
        <v>3790.9127584486441</v>
      </c>
      <c r="AH96" s="847" t="str">
        <f t="shared" si="31"/>
        <v>Yes</v>
      </c>
      <c r="AI96" s="847" t="str">
        <f>IF(Calculation!K99&gt;0,"Yes","No")</f>
        <v>Yes</v>
      </c>
      <c r="AJ96" s="869">
        <v>11746.690000023615</v>
      </c>
      <c r="AK96" s="870">
        <v>8563.0000000184773</v>
      </c>
      <c r="AL96" s="870">
        <v>13138.900000031641</v>
      </c>
      <c r="AN96" s="372">
        <v>21831.000000055374</v>
      </c>
      <c r="AO96" s="372">
        <v>33902.00000008662</v>
      </c>
      <c r="AP96" s="372">
        <v>22138.600000056478</v>
      </c>
      <c r="AU96" s="427"/>
      <c r="AV96" s="410"/>
      <c r="AW96" s="442"/>
      <c r="AX96" s="441"/>
      <c r="AY96" s="441"/>
      <c r="AZ96" s="443"/>
      <c r="BB96" s="433"/>
      <c r="BC96" s="432"/>
      <c r="BD96" s="433"/>
      <c r="BE96" s="432"/>
      <c r="BF96" s="433"/>
      <c r="BG96" s="432"/>
      <c r="BH96" s="429"/>
    </row>
    <row r="97" spans="1:60" ht="13.8" thickBot="1" x14ac:dyDescent="0.3">
      <c r="A97" s="406">
        <v>42824</v>
      </c>
      <c r="B97" s="860">
        <f t="shared" si="25"/>
        <v>84.620899999999992</v>
      </c>
      <c r="C97" s="860">
        <f>Calculation!AK100</f>
        <v>83.578387977991738</v>
      </c>
      <c r="D97" s="860">
        <f>Calculation!AI100</f>
        <v>0</v>
      </c>
      <c r="E97" s="860">
        <f>Calculation!AE100</f>
        <v>39.912599999999998</v>
      </c>
      <c r="F97" s="860">
        <f>Calculation!AF100</f>
        <v>44.708299999999994</v>
      </c>
      <c r="G97" s="860">
        <f>Calculation!AG100</f>
        <v>0</v>
      </c>
      <c r="H97" s="861">
        <f>Sheet1!H98</f>
        <v>5.3</v>
      </c>
      <c r="I97" s="841">
        <f>Sheet1!DA98</f>
        <v>4490</v>
      </c>
      <c r="J97" s="841">
        <f>Sheet1!DB98</f>
        <v>2890</v>
      </c>
      <c r="K97" s="841">
        <f>Sheet1!CZ98</f>
        <v>3240</v>
      </c>
      <c r="L97" s="865">
        <f>Calculation!F100</f>
        <v>250</v>
      </c>
      <c r="M97" s="865">
        <f>Calculation!E100</f>
        <v>250</v>
      </c>
      <c r="N97" s="865">
        <f>Calculation!D100</f>
        <v>300</v>
      </c>
      <c r="O97" s="888">
        <f>Sheet1!DC98</f>
        <v>1136.8699999999999</v>
      </c>
      <c r="P97" s="889" t="e">
        <f>Calculation!FD100</f>
        <v>#N/A</v>
      </c>
      <c r="Q97" s="895">
        <f>Calculation!DP100</f>
        <v>21177.300000053187</v>
      </c>
      <c r="R97" s="888">
        <f t="shared" si="20"/>
        <v>20558.300000053187</v>
      </c>
      <c r="S97" s="890">
        <f t="shared" si="26"/>
        <v>1672.3000000044158</v>
      </c>
      <c r="T97" s="895">
        <f ca="1">IF(A97&gt;$A$1,#N/A,VLOOKUP(A97,Calculation!$B$8:$JO$503,40,FALSE))</f>
        <v>7118.8978904246978</v>
      </c>
      <c r="U97" s="890">
        <f t="shared" si="27"/>
        <v>0</v>
      </c>
      <c r="V97" s="890">
        <f>Calculation!AZ100</f>
        <v>0</v>
      </c>
      <c r="W97" s="895">
        <f t="shared" ca="1" si="32"/>
        <v>0</v>
      </c>
      <c r="X97" s="890">
        <v>0</v>
      </c>
      <c r="Y97" s="890">
        <f t="shared" ca="1" si="33"/>
        <v>0</v>
      </c>
      <c r="Z97" s="890">
        <f t="shared" ca="1" si="29"/>
        <v>0</v>
      </c>
      <c r="AA97" s="890">
        <f t="shared" ca="1" si="22"/>
        <v>0</v>
      </c>
      <c r="AB97" s="895">
        <f t="shared" ca="1" si="23"/>
        <v>14058.402109628489</v>
      </c>
      <c r="AC97" s="980">
        <f t="shared" ca="1" si="21"/>
        <v>13439.402109628489</v>
      </c>
      <c r="AD97" s="860" t="e">
        <f ca="1">IF(A97&gt;$A$1,#N/A,VLOOKUP(A97,Calculation!$B$8:$JO$503,165,FALSE))</f>
        <v>#N/A</v>
      </c>
      <c r="AE97" s="399" t="e">
        <f t="shared" ca="1" si="30"/>
        <v>#N/A</v>
      </c>
      <c r="AF97" s="399"/>
      <c r="AG97" s="841">
        <f>Calculation!G100</f>
        <v>4083.3182047425194</v>
      </c>
      <c r="AH97" s="847" t="str">
        <f t="shared" si="31"/>
        <v>Yes</v>
      </c>
      <c r="AI97" s="847" t="str">
        <f>IF(Calculation!K100&gt;0,"Yes","No")</f>
        <v>Yes</v>
      </c>
      <c r="AJ97" s="869">
        <v>16550.520000036016</v>
      </c>
      <c r="AK97" s="870">
        <v>8944.5000000193377</v>
      </c>
      <c r="AL97" s="870">
        <v>13563.200000032088</v>
      </c>
      <c r="AN97" s="372">
        <v>22261.000000056643</v>
      </c>
      <c r="AO97" s="372">
        <v>35150.400000088623</v>
      </c>
      <c r="AP97" s="372">
        <v>22412.200000056644</v>
      </c>
      <c r="AU97" s="427"/>
      <c r="AV97" s="410"/>
      <c r="AW97" s="442"/>
      <c r="AX97" s="441"/>
      <c r="AY97" s="441"/>
      <c r="AZ97" s="443"/>
      <c r="BB97" s="433"/>
      <c r="BC97" s="432"/>
      <c r="BD97" s="433"/>
      <c r="BE97" s="432"/>
      <c r="BF97" s="433"/>
      <c r="BG97" s="432"/>
      <c r="BH97" s="429"/>
    </row>
    <row r="98" spans="1:60" ht="13.8" thickBot="1" x14ac:dyDescent="0.3">
      <c r="A98" s="406">
        <v>42825</v>
      </c>
      <c r="B98" s="860">
        <f t="shared" si="25"/>
        <v>82.764499999999998</v>
      </c>
      <c r="C98" s="860">
        <f>Calculation!AK101</f>
        <v>83.112372542129791</v>
      </c>
      <c r="D98" s="860">
        <f>Calculation!AI101</f>
        <v>0</v>
      </c>
      <c r="E98" s="860">
        <f>Calculation!AE101</f>
        <v>39.912599999999998</v>
      </c>
      <c r="F98" s="860">
        <f>Calculation!AF101</f>
        <v>42.851899999999993</v>
      </c>
      <c r="G98" s="860">
        <f>Calculation!AG101</f>
        <v>0</v>
      </c>
      <c r="H98" s="861">
        <f>Sheet1!H99</f>
        <v>5.13</v>
      </c>
      <c r="I98" s="841">
        <f>Sheet1!DA99</f>
        <v>3210</v>
      </c>
      <c r="J98" s="841">
        <f>Sheet1!DB99</f>
        <v>2220</v>
      </c>
      <c r="K98" s="841">
        <f>Sheet1!CZ99</f>
        <v>2130</v>
      </c>
      <c r="L98" s="865">
        <f>Calculation!F101</f>
        <v>250</v>
      </c>
      <c r="M98" s="865">
        <f>Calculation!E101</f>
        <v>250</v>
      </c>
      <c r="N98" s="865">
        <f>Calculation!D101</f>
        <v>300</v>
      </c>
      <c r="O98" s="888">
        <f>Sheet1!DC99</f>
        <v>1138.21</v>
      </c>
      <c r="P98" s="889" t="e">
        <f>Calculation!FD101</f>
        <v>#N/A</v>
      </c>
      <c r="Q98" s="895">
        <f>Calculation!DP101</f>
        <v>22124.20000005648</v>
      </c>
      <c r="R98" s="888">
        <f t="shared" si="20"/>
        <v>21505.20000005648</v>
      </c>
      <c r="S98" s="890">
        <f t="shared" si="26"/>
        <v>946.90000000329383</v>
      </c>
      <c r="T98" s="895">
        <f ca="1">IF(A98&gt;$A$1,#N/A,VLOOKUP(A98,Calculation!$B$8:$JO$503,40,FALSE))</f>
        <v>7283.7257889116108</v>
      </c>
      <c r="U98" s="890">
        <f t="shared" si="27"/>
        <v>0</v>
      </c>
      <c r="V98" s="890">
        <f>Calculation!AZ101</f>
        <v>0</v>
      </c>
      <c r="W98" s="895">
        <f t="shared" ca="1" si="32"/>
        <v>0</v>
      </c>
      <c r="X98" s="890">
        <v>0</v>
      </c>
      <c r="Y98" s="890">
        <f t="shared" ca="1" si="33"/>
        <v>0</v>
      </c>
      <c r="Z98" s="890">
        <f t="shared" ca="1" si="29"/>
        <v>0</v>
      </c>
      <c r="AA98" s="890">
        <f t="shared" ca="1" si="22"/>
        <v>0</v>
      </c>
      <c r="AB98" s="895">
        <f t="shared" ca="1" si="23"/>
        <v>14840.474211144869</v>
      </c>
      <c r="AC98" s="980">
        <f t="shared" ca="1" si="21"/>
        <v>14221.474211144869</v>
      </c>
      <c r="AD98" s="860" t="e">
        <f ca="1">IF(A98&gt;$A$1,#N/A,VLOOKUP(A98,Calculation!$B$8:$JO$503,165,FALSE))</f>
        <v>#N/A</v>
      </c>
      <c r="AE98" s="399" t="e">
        <f t="shared" ca="1" si="30"/>
        <v>#N/A</v>
      </c>
      <c r="AF98" s="399"/>
      <c r="AG98" s="841">
        <f>Calculation!G101</f>
        <v>2607.508825014268</v>
      </c>
      <c r="AH98" s="847" t="str">
        <f t="shared" si="31"/>
        <v>Yes</v>
      </c>
      <c r="AI98" s="847" t="str">
        <f>IF(Calculation!K101&gt;0,"Yes","No")</f>
        <v>Yes</v>
      </c>
      <c r="AJ98" s="869">
        <v>23961.400000058078</v>
      </c>
      <c r="AK98" s="870">
        <v>9848.6000000218592</v>
      </c>
      <c r="AL98" s="870">
        <v>14485.800000034878</v>
      </c>
      <c r="AN98" s="372">
        <v>22462.600000056806</v>
      </c>
      <c r="AO98" s="372">
        <v>36129.000000091357</v>
      </c>
      <c r="AP98" s="372">
        <v>22700.300000057763</v>
      </c>
      <c r="AU98" s="427"/>
      <c r="AV98" s="410"/>
      <c r="AW98" s="442"/>
      <c r="AX98" s="441"/>
      <c r="AY98" s="441"/>
      <c r="AZ98" s="443"/>
      <c r="BB98" s="433"/>
      <c r="BC98" s="432"/>
      <c r="BD98" s="433"/>
      <c r="BE98" s="432"/>
      <c r="BF98" s="433"/>
      <c r="BG98" s="432"/>
      <c r="BH98" s="429"/>
    </row>
    <row r="99" spans="1:60" ht="13.8" thickBot="1" x14ac:dyDescent="0.3">
      <c r="A99" s="406">
        <v>42826</v>
      </c>
      <c r="B99" s="860">
        <f t="shared" si="25"/>
        <v>81.758949999999999</v>
      </c>
      <c r="C99" s="860">
        <f>Calculation!AK102</f>
        <v>83.080554501108637</v>
      </c>
      <c r="D99" s="860">
        <f>Calculation!AI102</f>
        <v>0</v>
      </c>
      <c r="E99" s="860">
        <f>Calculation!AE102</f>
        <v>39.98995</v>
      </c>
      <c r="F99" s="860">
        <f>Calculation!AF102</f>
        <v>41.768999999999998</v>
      </c>
      <c r="G99" s="860">
        <f>Calculation!AG102</f>
        <v>0</v>
      </c>
      <c r="H99" s="861">
        <f>Sheet1!H100</f>
        <v>4.95</v>
      </c>
      <c r="I99" s="841">
        <f>Sheet1!DA100</f>
        <v>3100</v>
      </c>
      <c r="J99" s="841">
        <f>Sheet1!DB100</f>
        <v>2220</v>
      </c>
      <c r="K99" s="841">
        <f>Sheet1!CZ100</f>
        <v>2130</v>
      </c>
      <c r="L99" s="865">
        <f>Calculation!F102</f>
        <v>250</v>
      </c>
      <c r="M99" s="865">
        <f>Calculation!E102</f>
        <v>250</v>
      </c>
      <c r="N99" s="865">
        <f>Calculation!D102</f>
        <v>300</v>
      </c>
      <c r="O99" s="888">
        <f>Sheet1!DC100</f>
        <v>1139.57</v>
      </c>
      <c r="P99" s="889" t="e">
        <f>Calculation!FD102</f>
        <v>#N/A</v>
      </c>
      <c r="Q99" s="895">
        <f>Calculation!DP102</f>
        <v>23110.100000058093</v>
      </c>
      <c r="R99" s="888">
        <f t="shared" si="20"/>
        <v>22491.100000058093</v>
      </c>
      <c r="S99" s="890">
        <f t="shared" si="26"/>
        <v>985.90000000161308</v>
      </c>
      <c r="T99" s="895">
        <f ca="1">IF(A99&gt;$A$1,#N/A,VLOOKUP(A99,Calculation!$B$8:$JO$503,40,FALSE))</f>
        <v>7448.4905860734743</v>
      </c>
      <c r="U99" s="890">
        <f t="shared" si="27"/>
        <v>0</v>
      </c>
      <c r="V99" s="890">
        <f>Calculation!AZ102</f>
        <v>0</v>
      </c>
      <c r="W99" s="895">
        <f t="shared" ca="1" si="32"/>
        <v>0</v>
      </c>
      <c r="X99" s="890">
        <v>0</v>
      </c>
      <c r="Y99" s="890">
        <f t="shared" ca="1" si="33"/>
        <v>0</v>
      </c>
      <c r="Z99" s="890">
        <f t="shared" ca="1" si="29"/>
        <v>0</v>
      </c>
      <c r="AA99" s="890">
        <f ca="1">IF(AB99&gt;=24257,Q99-T99-W99-24257,0)</f>
        <v>0</v>
      </c>
      <c r="AB99" s="895">
        <f t="shared" ca="1" si="23"/>
        <v>15661.609413984619</v>
      </c>
      <c r="AC99" s="980">
        <f t="shared" ca="1" si="21"/>
        <v>15042.609413984619</v>
      </c>
      <c r="AD99" s="860" t="e">
        <f ca="1">IF(A99&gt;$A$1, #N/A,VLOOKUP(A99,Calculation!$B$8:$JO$880,165,FALSE))</f>
        <v>#N/A</v>
      </c>
      <c r="AE99" s="399" t="e">
        <f t="shared" ca="1" si="30"/>
        <v>#N/A</v>
      </c>
      <c r="AF99" s="399"/>
      <c r="AG99" s="841">
        <f>Calculation!G102</f>
        <v>2627.1759959665219</v>
      </c>
      <c r="AH99" s="847" t="str">
        <f t="shared" si="31"/>
        <v>Yes</v>
      </c>
      <c r="AI99" s="847" t="str">
        <f>IF(Calculation!K102&gt;0,"Yes","No")</f>
        <v>Yes</v>
      </c>
      <c r="AJ99" s="869">
        <v>26110.300000063355</v>
      </c>
      <c r="AK99" s="870">
        <v>9419.7000000209482</v>
      </c>
      <c r="AL99" s="870">
        <v>15297.400000036958</v>
      </c>
      <c r="AN99" s="372">
        <v>22766.000000057764</v>
      </c>
      <c r="AO99" s="372">
        <v>36944.700000093195</v>
      </c>
      <c r="AP99" s="372">
        <v>23132.000000058095</v>
      </c>
      <c r="AU99" s="427"/>
      <c r="AV99" s="410"/>
      <c r="AW99" s="442"/>
      <c r="AX99" s="441"/>
      <c r="AY99" s="441"/>
      <c r="AZ99" s="443"/>
      <c r="BB99" s="433"/>
      <c r="BC99" s="432"/>
      <c r="BD99" s="433"/>
      <c r="BE99" s="432"/>
      <c r="BF99" s="433"/>
      <c r="BG99" s="432"/>
      <c r="BH99" s="429"/>
    </row>
    <row r="100" spans="1:60" ht="13.8" thickBot="1" x14ac:dyDescent="0.3">
      <c r="A100" s="406">
        <v>42827</v>
      </c>
      <c r="B100" s="860">
        <f t="shared" si="25"/>
        <v>81.774419999999992</v>
      </c>
      <c r="C100" s="860">
        <f>Calculation!AK103</f>
        <v>83.028437259313904</v>
      </c>
      <c r="D100" s="860">
        <f>Calculation!AI103</f>
        <v>0</v>
      </c>
      <c r="E100" s="860">
        <f>Calculation!AE103</f>
        <v>39.98995</v>
      </c>
      <c r="F100" s="860">
        <f>Calculation!AF103</f>
        <v>41.784469999999999</v>
      </c>
      <c r="G100" s="860">
        <f>Calculation!AG103</f>
        <v>0</v>
      </c>
      <c r="H100" s="861">
        <f>Sheet1!H101</f>
        <v>5.0599999999999996</v>
      </c>
      <c r="I100" s="841">
        <f>Sheet1!DA101</f>
        <v>3085</v>
      </c>
      <c r="J100" s="841">
        <f>Sheet1!DB101</f>
        <v>2210</v>
      </c>
      <c r="K100" s="841">
        <f>Sheet1!CZ101</f>
        <v>2130</v>
      </c>
      <c r="L100" s="865">
        <f>Calculation!F103</f>
        <v>250</v>
      </c>
      <c r="M100" s="865">
        <f>Calculation!E103</f>
        <v>250</v>
      </c>
      <c r="N100" s="865">
        <f>Calculation!D103</f>
        <v>300</v>
      </c>
      <c r="O100" s="888">
        <f>Sheet1!DC101</f>
        <v>1140.4100000000001</v>
      </c>
      <c r="P100" s="889" t="e">
        <f>Calculation!FD103</f>
        <v>#N/A</v>
      </c>
      <c r="Q100" s="895">
        <f>Calculation!DP103</f>
        <v>23733.500000060369</v>
      </c>
      <c r="R100" s="888">
        <f t="shared" si="20"/>
        <v>23114.500000060369</v>
      </c>
      <c r="S100" s="890">
        <f t="shared" si="26"/>
        <v>623.40000000227519</v>
      </c>
      <c r="T100" s="895">
        <f ca="1">IF(A100&gt;$A$1,#N/A,VLOOKUP(A100,Calculation!$B$8:$JO$503,40,FALSE))</f>
        <v>7613.1520246717764</v>
      </c>
      <c r="U100" s="890">
        <f t="shared" si="27"/>
        <v>0</v>
      </c>
      <c r="V100" s="890">
        <f>Calculation!AZ103</f>
        <v>0</v>
      </c>
      <c r="W100" s="895">
        <f t="shared" ca="1" si="32"/>
        <v>0</v>
      </c>
      <c r="X100" s="890">
        <v>0</v>
      </c>
      <c r="Y100" s="890">
        <f t="shared" ca="1" si="33"/>
        <v>0</v>
      </c>
      <c r="Z100" s="890">
        <f t="shared" ca="1" si="29"/>
        <v>0</v>
      </c>
      <c r="AA100" s="890">
        <f t="shared" ref="AA100:AA163" ca="1" si="34">IF(AB100&gt;=24257,Q100-T100-W100-24257,0)</f>
        <v>0</v>
      </c>
      <c r="AB100" s="895">
        <f t="shared" ca="1" si="23"/>
        <v>16120.347975388591</v>
      </c>
      <c r="AC100" s="980">
        <f t="shared" ca="1" si="21"/>
        <v>15501.347975388591</v>
      </c>
      <c r="AD100" s="860" t="e">
        <f ca="1">IF(A100&gt;$A$1, #N/A,VLOOKUP(A100,Calculation!$B$8:$JO$880,165,FALSE))</f>
        <v>#N/A</v>
      </c>
      <c r="AE100" s="399" t="e">
        <f t="shared" ca="1" si="30"/>
        <v>#N/A</v>
      </c>
      <c r="AF100" s="399"/>
      <c r="AG100" s="841">
        <f>Calculation!G103</f>
        <v>2444.3721633899522</v>
      </c>
      <c r="AH100" s="847" t="str">
        <f t="shared" si="31"/>
        <v>Yes</v>
      </c>
      <c r="AI100" s="847" t="str">
        <f>IF(Calculation!K103&gt;0,"Yes","No")</f>
        <v>Yes</v>
      </c>
      <c r="AJ100" s="869">
        <v>28022.880000069974</v>
      </c>
      <c r="AK100" s="870">
        <v>9233.500000019656</v>
      </c>
      <c r="AL100" s="870">
        <v>15592.000000037202</v>
      </c>
      <c r="AN100" s="372">
        <v>23059.000000058095</v>
      </c>
      <c r="AO100" s="372">
        <v>37648.40000009576</v>
      </c>
      <c r="AP100" s="372">
        <v>23839.000000061173</v>
      </c>
      <c r="AU100" s="427"/>
      <c r="AV100" s="410"/>
      <c r="AW100" s="442"/>
      <c r="AX100" s="441"/>
      <c r="AY100" s="441"/>
      <c r="AZ100" s="443"/>
      <c r="BB100" s="433"/>
      <c r="BC100" s="432"/>
      <c r="BD100" s="433"/>
      <c r="BE100" s="432"/>
      <c r="BF100" s="433"/>
      <c r="BG100" s="432"/>
      <c r="BH100" s="429"/>
    </row>
    <row r="101" spans="1:60" ht="13.8" thickBot="1" x14ac:dyDescent="0.3">
      <c r="A101" s="406">
        <v>42828</v>
      </c>
      <c r="B101" s="860">
        <f t="shared" si="25"/>
        <v>78.896999999999991</v>
      </c>
      <c r="C101" s="860">
        <f>Calculation!AK104</f>
        <v>83.374194240506327</v>
      </c>
      <c r="D101" s="860">
        <f>Calculation!AI104</f>
        <v>0</v>
      </c>
      <c r="E101" s="860">
        <f>Calculation!AE104</f>
        <v>39.912599999999998</v>
      </c>
      <c r="F101" s="860">
        <f>Calculation!AF104</f>
        <v>38.984399999999994</v>
      </c>
      <c r="G101" s="860">
        <f>Calculation!AG104</f>
        <v>0</v>
      </c>
      <c r="H101" s="861">
        <f>Sheet1!H102</f>
        <v>3.83</v>
      </c>
      <c r="I101" s="841">
        <f>Sheet1!DA102</f>
        <v>2764</v>
      </c>
      <c r="J101" s="841">
        <f>Sheet1!DB102</f>
        <v>1950</v>
      </c>
      <c r="K101" s="841">
        <f>Sheet1!CZ102</f>
        <v>1880</v>
      </c>
      <c r="L101" s="865">
        <f>Calculation!F104</f>
        <v>250</v>
      </c>
      <c r="M101" s="865">
        <f>Calculation!E104</f>
        <v>250</v>
      </c>
      <c r="N101" s="865">
        <f>Calculation!D104</f>
        <v>300</v>
      </c>
      <c r="O101" s="888">
        <f>Sheet1!DC102</f>
        <v>1140.8900000000001</v>
      </c>
      <c r="P101" s="889" t="e">
        <f>Calculation!FD104</f>
        <v>#N/A</v>
      </c>
      <c r="Q101" s="895">
        <f>Calculation!DP104</f>
        <v>24095.40000006152</v>
      </c>
      <c r="R101" s="888">
        <f t="shared" si="20"/>
        <v>23476.40000006152</v>
      </c>
      <c r="S101" s="890">
        <f t="shared" si="26"/>
        <v>361.90000000115106</v>
      </c>
      <c r="T101" s="895">
        <f ca="1">IF(A101&gt;$A$1,#N/A,VLOOKUP(A101,Calculation!$B$8:$JO$503,40,FALSE))</f>
        <v>7778.4991661907652</v>
      </c>
      <c r="U101" s="890">
        <f t="shared" si="27"/>
        <v>0</v>
      </c>
      <c r="V101" s="890">
        <f>Calculation!AZ104</f>
        <v>0</v>
      </c>
      <c r="W101" s="895">
        <f t="shared" ca="1" si="32"/>
        <v>0</v>
      </c>
      <c r="X101" s="890">
        <v>0</v>
      </c>
      <c r="Y101" s="890">
        <f t="shared" ca="1" si="33"/>
        <v>0</v>
      </c>
      <c r="Z101" s="890">
        <f t="shared" ca="1" si="29"/>
        <v>0</v>
      </c>
      <c r="AA101" s="890">
        <f t="shared" ca="1" si="34"/>
        <v>0</v>
      </c>
      <c r="AB101" s="895">
        <f t="shared" ca="1" si="23"/>
        <v>16316.900833870754</v>
      </c>
      <c r="AC101" s="980">
        <f t="shared" ca="1" si="21"/>
        <v>15697.900833870754</v>
      </c>
      <c r="AD101" s="860" t="e">
        <f ca="1">IF(A101&gt;$A$1, #N/A,VLOOKUP(A101,Calculation!$B$8:$JO$880,165,FALSE))</f>
        <v>#N/A</v>
      </c>
      <c r="AE101" s="399" t="e">
        <f t="shared" ca="1" si="30"/>
        <v>#N/A</v>
      </c>
      <c r="AF101" s="399"/>
      <c r="AG101" s="841">
        <f>Calculation!G104</f>
        <v>2062.5012607166673</v>
      </c>
      <c r="AH101" s="847" t="str">
        <f t="shared" si="31"/>
        <v>Yes</v>
      </c>
      <c r="AI101" s="847" t="str">
        <f>IF(Calculation!K104&gt;0,"Yes","No")</f>
        <v>Yes</v>
      </c>
      <c r="AJ101" s="869">
        <v>27088.520000067554</v>
      </c>
      <c r="AK101" s="870">
        <v>9606.4000000211163</v>
      </c>
      <c r="AL101" s="870">
        <v>15592.000000037202</v>
      </c>
      <c r="AN101" s="372">
        <v>23530.000000060198</v>
      </c>
      <c r="AO101" s="372">
        <v>38310.000000096225</v>
      </c>
      <c r="AP101" s="372">
        <v>24673.200000063669</v>
      </c>
      <c r="AU101" s="427"/>
      <c r="AV101" s="410"/>
      <c r="AW101" s="442"/>
      <c r="AX101" s="441"/>
      <c r="AY101" s="441"/>
      <c r="AZ101" s="443"/>
      <c r="BB101" s="433"/>
      <c r="BC101" s="432"/>
      <c r="BD101" s="433"/>
      <c r="BE101" s="432"/>
      <c r="BF101" s="433"/>
      <c r="BG101" s="432"/>
      <c r="BH101" s="429"/>
    </row>
    <row r="102" spans="1:60" ht="13.8" thickBot="1" x14ac:dyDescent="0.3">
      <c r="A102" s="406">
        <v>42829</v>
      </c>
      <c r="B102" s="860">
        <f t="shared" si="25"/>
        <v>81.526899999999983</v>
      </c>
      <c r="C102" s="860">
        <f>Calculation!AK105</f>
        <v>83.833592824314309</v>
      </c>
      <c r="D102" s="860">
        <f>Calculation!AI105</f>
        <v>0</v>
      </c>
      <c r="E102" s="860">
        <f>Calculation!AE105</f>
        <v>39.912599999999998</v>
      </c>
      <c r="F102" s="860">
        <f>Calculation!AF105</f>
        <v>41.614299999999993</v>
      </c>
      <c r="G102" s="860">
        <f>Calculation!AG105</f>
        <v>0</v>
      </c>
      <c r="H102" s="861">
        <f>Sheet1!H103</f>
        <v>3.37</v>
      </c>
      <c r="I102" s="841">
        <f>Sheet1!DA103</f>
        <v>2554</v>
      </c>
      <c r="J102" s="841">
        <f>Sheet1!DB103</f>
        <v>1790</v>
      </c>
      <c r="K102" s="841">
        <f>Sheet1!CZ103</f>
        <v>1689</v>
      </c>
      <c r="L102" s="865">
        <f>Calculation!F105</f>
        <v>250</v>
      </c>
      <c r="M102" s="865">
        <f>Calculation!E105</f>
        <v>250</v>
      </c>
      <c r="N102" s="865">
        <f>Calculation!D105</f>
        <v>300</v>
      </c>
      <c r="O102" s="888">
        <f>Sheet1!DC103</f>
        <v>1141.25</v>
      </c>
      <c r="P102" s="889" t="e">
        <f>Calculation!FD105</f>
        <v>#N/A</v>
      </c>
      <c r="Q102" s="895">
        <f>Calculation!DP105</f>
        <v>24371.500000062504</v>
      </c>
      <c r="R102" s="888">
        <f t="shared" si="20"/>
        <v>23752.500000062504</v>
      </c>
      <c r="S102" s="890">
        <f t="shared" si="26"/>
        <v>276.10000000098444</v>
      </c>
      <c r="T102" s="895">
        <f ca="1">IF(A102&gt;$A$1,#N/A,VLOOKUP(A102,Calculation!$B$8:$JO$503,40,FALSE))</f>
        <v>7944.7573838927665</v>
      </c>
      <c r="U102" s="890">
        <f t="shared" si="27"/>
        <v>0</v>
      </c>
      <c r="V102" s="890">
        <f>Calculation!AZ105</f>
        <v>0</v>
      </c>
      <c r="W102" s="895">
        <f t="shared" ca="1" si="32"/>
        <v>0</v>
      </c>
      <c r="X102" s="890">
        <v>0</v>
      </c>
      <c r="Y102" s="890">
        <f t="shared" ca="1" si="33"/>
        <v>0</v>
      </c>
      <c r="Z102" s="890">
        <f t="shared" ca="1" si="29"/>
        <v>0</v>
      </c>
      <c r="AA102" s="890">
        <f t="shared" ca="1" si="34"/>
        <v>0</v>
      </c>
      <c r="AB102" s="895">
        <f t="shared" ca="1" si="23"/>
        <v>16426.742616169737</v>
      </c>
      <c r="AC102" s="980">
        <f t="shared" ca="1" si="21"/>
        <v>15807.742616169737</v>
      </c>
      <c r="AD102" s="860" t="e">
        <f ca="1">IF(A102&gt;$A$1, #N/A,VLOOKUP(A102,Calculation!$B$8:$JO$880,165,FALSE))</f>
        <v>#N/A</v>
      </c>
      <c r="AE102" s="399" t="e">
        <f t="shared" ca="1" si="30"/>
        <v>#N/A</v>
      </c>
      <c r="AF102" s="399"/>
      <c r="AG102" s="841">
        <f>Calculation!G105</f>
        <v>1828.2334846197602</v>
      </c>
      <c r="AH102" s="847" t="str">
        <f t="shared" si="31"/>
        <v>Yes</v>
      </c>
      <c r="AI102" s="847" t="str">
        <f>IF(Calculation!K105&gt;0,"Yes","No")</f>
        <v>Yes</v>
      </c>
      <c r="AJ102" s="869">
        <v>25292.170000060953</v>
      </c>
      <c r="AK102" s="870">
        <v>10059.400000022119</v>
      </c>
      <c r="AL102" s="870">
        <v>15537.500000037891</v>
      </c>
      <c r="AN102" s="372">
        <v>23952.00000006054</v>
      </c>
      <c r="AO102" s="372">
        <v>38816.000000097636</v>
      </c>
      <c r="AP102" s="372">
        <v>25269.000000065847</v>
      </c>
      <c r="AU102" s="427"/>
      <c r="AV102" s="410"/>
      <c r="AW102" s="442"/>
      <c r="AX102" s="441"/>
      <c r="AY102" s="441"/>
      <c r="AZ102" s="443"/>
      <c r="BB102" s="433"/>
      <c r="BC102" s="432"/>
      <c r="BD102" s="433"/>
      <c r="BE102" s="432"/>
      <c r="BF102" s="433"/>
      <c r="BG102" s="432"/>
      <c r="BH102" s="429"/>
    </row>
    <row r="103" spans="1:60" ht="13.8" thickBot="1" x14ac:dyDescent="0.3">
      <c r="A103" s="406">
        <v>42830</v>
      </c>
      <c r="B103" s="860">
        <f t="shared" si="25"/>
        <v>81.728009999999983</v>
      </c>
      <c r="C103" s="860">
        <f>Calculation!AK106</f>
        <v>83.445179999999993</v>
      </c>
      <c r="D103" s="860">
        <f>Calculation!AI106</f>
        <v>0</v>
      </c>
      <c r="E103" s="860">
        <f>Calculation!AE106</f>
        <v>39.959009999999992</v>
      </c>
      <c r="F103" s="860">
        <f>Calculation!AF106</f>
        <v>41.768999999999998</v>
      </c>
      <c r="G103" s="860">
        <f>Calculation!AG106</f>
        <v>0</v>
      </c>
      <c r="H103" s="861">
        <f>Sheet1!H104</f>
        <v>3.15</v>
      </c>
      <c r="I103" s="841">
        <f>Sheet1!DA104</f>
        <v>2554</v>
      </c>
      <c r="J103" s="841">
        <f>Sheet1!DB104</f>
        <v>1790</v>
      </c>
      <c r="K103" s="841">
        <f>Sheet1!CZ104</f>
        <v>1689</v>
      </c>
      <c r="L103" s="865">
        <f>Calculation!F106</f>
        <v>250</v>
      </c>
      <c r="M103" s="865">
        <f>Calculation!E106</f>
        <v>250</v>
      </c>
      <c r="N103" s="865">
        <f>Calculation!D106</f>
        <v>300</v>
      </c>
      <c r="O103" s="888">
        <f>Sheet1!DC104</f>
        <v>1141.5899999999999</v>
      </c>
      <c r="P103" s="889" t="e">
        <f>Calculation!FD106</f>
        <v>#N/A</v>
      </c>
      <c r="Q103" s="895">
        <f>Calculation!DP106</f>
        <v>24634.300000062678</v>
      </c>
      <c r="R103" s="888">
        <f t="shared" si="20"/>
        <v>24015.300000062678</v>
      </c>
      <c r="S103" s="890">
        <f t="shared" si="26"/>
        <v>262.8000000001739</v>
      </c>
      <c r="T103" s="895">
        <f ca="1">IF(A103&gt;$A$1,#N/A,VLOOKUP(A103,Calculation!$B$8:$JO$503,40,FALSE))</f>
        <v>8110.2453038927652</v>
      </c>
      <c r="U103" s="890">
        <f t="shared" si="27"/>
        <v>0</v>
      </c>
      <c r="V103" s="890">
        <f>Calculation!AZ106</f>
        <v>0</v>
      </c>
      <c r="W103" s="895">
        <f t="shared" ca="1" si="32"/>
        <v>0</v>
      </c>
      <c r="X103" s="890">
        <v>0</v>
      </c>
      <c r="Y103" s="890">
        <f t="shared" ca="1" si="33"/>
        <v>0</v>
      </c>
      <c r="Z103" s="890">
        <f t="shared" ca="1" si="29"/>
        <v>0</v>
      </c>
      <c r="AA103" s="890">
        <f t="shared" ca="1" si="34"/>
        <v>0</v>
      </c>
      <c r="AB103" s="895">
        <f t="shared" ca="1" si="23"/>
        <v>16524.054696169915</v>
      </c>
      <c r="AC103" s="980">
        <f t="shared" ca="1" si="21"/>
        <v>15905.054696169915</v>
      </c>
      <c r="AD103" s="860" t="e">
        <f ca="1">IF(A103&gt;$A$1, #N/A,VLOOKUP(A103,Calculation!$B$8:$JO$880,165,FALSE))</f>
        <v>#N/A</v>
      </c>
      <c r="AE103" s="399" t="e">
        <f t="shared" ca="1" si="30"/>
        <v>#N/A</v>
      </c>
      <c r="AF103" s="399"/>
      <c r="AG103" s="841">
        <f>Calculation!G106</f>
        <v>1821.5264750379092</v>
      </c>
      <c r="AH103" s="847" t="str">
        <f t="shared" si="31"/>
        <v>Yes</v>
      </c>
      <c r="AI103" s="847" t="str">
        <f>IF(Calculation!K106&gt;0,"Yes","No")</f>
        <v>Yes</v>
      </c>
      <c r="AJ103" s="869">
        <v>24802.720000060439</v>
      </c>
      <c r="AK103" s="870">
        <v>10559.000000023738</v>
      </c>
      <c r="AL103" s="870">
        <v>16111.800000039089</v>
      </c>
      <c r="AN103" s="372">
        <v>24488.000000062679</v>
      </c>
      <c r="AO103" s="372">
        <v>39294.400000098103</v>
      </c>
      <c r="AP103" s="372">
        <v>25586.000000066029</v>
      </c>
      <c r="AU103" s="427"/>
      <c r="AV103" s="410"/>
      <c r="AW103" s="442"/>
      <c r="AX103" s="441"/>
      <c r="AY103" s="441"/>
      <c r="AZ103" s="443"/>
      <c r="BB103" s="433"/>
      <c r="BC103" s="432"/>
      <c r="BD103" s="433"/>
      <c r="BE103" s="432"/>
      <c r="BF103" s="433"/>
      <c r="BG103" s="432"/>
      <c r="BH103" s="429"/>
    </row>
    <row r="104" spans="1:60" ht="13.8" thickBot="1" x14ac:dyDescent="0.3">
      <c r="A104" s="406">
        <v>42831</v>
      </c>
      <c r="B104" s="860">
        <f t="shared" si="25"/>
        <v>81.805360000000007</v>
      </c>
      <c r="C104" s="860">
        <f>Calculation!AK107</f>
        <v>83.846359519586102</v>
      </c>
      <c r="D104" s="860">
        <f>Calculation!AI107</f>
        <v>0</v>
      </c>
      <c r="E104" s="860">
        <f>Calculation!AE107</f>
        <v>40.020890000000001</v>
      </c>
      <c r="F104" s="860">
        <f>Calculation!AF107</f>
        <v>41.784469999999999</v>
      </c>
      <c r="G104" s="860">
        <f>Calculation!AG107</f>
        <v>0</v>
      </c>
      <c r="H104" s="861">
        <f>Sheet1!H105</f>
        <v>2.86</v>
      </c>
      <c r="I104" s="841">
        <f>Sheet1!DA105</f>
        <v>2563</v>
      </c>
      <c r="J104" s="841">
        <f>Sheet1!DB105</f>
        <v>1800</v>
      </c>
      <c r="K104" s="841">
        <f>Sheet1!CZ105</f>
        <v>1690</v>
      </c>
      <c r="L104" s="865">
        <f>Calculation!F107</f>
        <v>250</v>
      </c>
      <c r="M104" s="865">
        <f>Calculation!E107</f>
        <v>250</v>
      </c>
      <c r="N104" s="865">
        <f>Calculation!D107</f>
        <v>300</v>
      </c>
      <c r="O104" s="888">
        <f>Sheet1!DC105</f>
        <v>1142.03</v>
      </c>
      <c r="P104" s="889" t="e">
        <f>Calculation!FD107</f>
        <v>#N/A</v>
      </c>
      <c r="Q104" s="895">
        <f>Calculation!DP107</f>
        <v>24975.700000064666</v>
      </c>
      <c r="R104" s="888">
        <f t="shared" si="20"/>
        <v>24356.700000064666</v>
      </c>
      <c r="S104" s="890">
        <f t="shared" si="26"/>
        <v>341.40000000198779</v>
      </c>
      <c r="T104" s="895">
        <f ca="1">IF(A104&gt;$A$1,#N/A,VLOOKUP(A104,Calculation!$B$8:$JO$503,40,FALSE))</f>
        <v>8276.5288404190051</v>
      </c>
      <c r="U104" s="890">
        <f t="shared" si="27"/>
        <v>0</v>
      </c>
      <c r="V104" s="890">
        <f>Calculation!AZ107</f>
        <v>0</v>
      </c>
      <c r="W104" s="895">
        <f t="shared" ca="1" si="32"/>
        <v>0</v>
      </c>
      <c r="X104" s="890">
        <v>0</v>
      </c>
      <c r="Y104" s="890">
        <f t="shared" ca="1" si="33"/>
        <v>0</v>
      </c>
      <c r="Z104" s="890">
        <f t="shared" ca="1" si="29"/>
        <v>0</v>
      </c>
      <c r="AA104" s="890">
        <f t="shared" ca="1" si="34"/>
        <v>0</v>
      </c>
      <c r="AB104" s="895">
        <f t="shared" ca="1" si="23"/>
        <v>16699.171159645659</v>
      </c>
      <c r="AC104" s="980">
        <f t="shared" ca="1" si="21"/>
        <v>16080.171159645659</v>
      </c>
      <c r="AD104" s="860" t="e">
        <f ca="1">IF(A104&gt;$A$1, #N/A,VLOOKUP(A104,Calculation!$B$8:$JO$880,165,FALSE))</f>
        <v>#N/A</v>
      </c>
      <c r="AE104" s="399" t="e">
        <f t="shared" ca="1" si="30"/>
        <v>#N/A</v>
      </c>
      <c r="AF104" s="399"/>
      <c r="AG104" s="841">
        <f>Calculation!G107</f>
        <v>1862.1633888058436</v>
      </c>
      <c r="AH104" s="847" t="str">
        <f t="shared" si="31"/>
        <v>Yes</v>
      </c>
      <c r="AI104" s="847" t="str">
        <f>IF(Calculation!K107&gt;0,"Yes","No")</f>
        <v>Yes</v>
      </c>
      <c r="AJ104" s="869">
        <v>24637.060000060268</v>
      </c>
      <c r="AK104" s="870">
        <v>11177.30000002489</v>
      </c>
      <c r="AL104" s="870">
        <v>17060.800000042123</v>
      </c>
      <c r="AN104" s="372">
        <v>26817.400000070476</v>
      </c>
      <c r="AO104" s="372">
        <v>39682.500000099535</v>
      </c>
      <c r="AP104" s="372">
        <v>25891.600000068054</v>
      </c>
      <c r="AU104" s="427"/>
      <c r="AV104" s="410"/>
      <c r="AW104" s="442"/>
      <c r="AX104" s="441"/>
      <c r="AY104" s="441"/>
      <c r="AZ104" s="443"/>
      <c r="BB104" s="433"/>
      <c r="BC104" s="432"/>
      <c r="BD104" s="433"/>
      <c r="BE104" s="432"/>
      <c r="BF104" s="433"/>
      <c r="BG104" s="432"/>
      <c r="BH104" s="429"/>
    </row>
    <row r="105" spans="1:60" ht="13.8" thickBot="1" x14ac:dyDescent="0.3">
      <c r="A105" s="406">
        <v>42832</v>
      </c>
      <c r="B105" s="860">
        <f t="shared" si="25"/>
        <v>81.681600000000003</v>
      </c>
      <c r="C105" s="860">
        <f>Calculation!AK108</f>
        <v>83.590486886338397</v>
      </c>
      <c r="D105" s="860">
        <f>Calculation!AI108</f>
        <v>0</v>
      </c>
      <c r="E105" s="860">
        <f>Calculation!AE108</f>
        <v>39.912599999999998</v>
      </c>
      <c r="F105" s="860">
        <f>Calculation!AF108</f>
        <v>41.768999999999998</v>
      </c>
      <c r="G105" s="860">
        <f>Calculation!AG108</f>
        <v>0</v>
      </c>
      <c r="H105" s="861">
        <f>Sheet1!H106</f>
        <v>2.76</v>
      </c>
      <c r="I105" s="841">
        <f>Sheet1!DA106</f>
        <v>2380</v>
      </c>
      <c r="J105" s="841">
        <f>Sheet1!DB106</f>
        <v>1710</v>
      </c>
      <c r="K105" s="841">
        <f>Sheet1!CZ106</f>
        <v>1780</v>
      </c>
      <c r="L105" s="865">
        <f>Calculation!F108</f>
        <v>250</v>
      </c>
      <c r="M105" s="865">
        <f>Calculation!E108</f>
        <v>250</v>
      </c>
      <c r="N105" s="865">
        <f>Calculation!D108</f>
        <v>300</v>
      </c>
      <c r="O105" s="888">
        <f>Sheet1!DC106</f>
        <v>1143.25</v>
      </c>
      <c r="P105" s="889" t="e">
        <f>Calculation!FD108</f>
        <v>#N/A</v>
      </c>
      <c r="Q105" s="895">
        <f>Calculation!DP108</f>
        <v>25948.500000067223</v>
      </c>
      <c r="R105" s="888">
        <f t="shared" si="20"/>
        <v>25329.500000067223</v>
      </c>
      <c r="S105" s="890">
        <f t="shared" si="26"/>
        <v>972.80000000255677</v>
      </c>
      <c r="T105" s="895">
        <f ca="1">IF(A105&gt;$A$1,#N/A,VLOOKUP(A105,Calculation!$B$8:$JO$503,40,FALSE))</f>
        <v>8442.3049320591381</v>
      </c>
      <c r="U105" s="890">
        <f t="shared" si="27"/>
        <v>0</v>
      </c>
      <c r="V105" s="890">
        <f>Calculation!AZ108</f>
        <v>0</v>
      </c>
      <c r="W105" s="895">
        <f t="shared" ca="1" si="32"/>
        <v>0</v>
      </c>
      <c r="X105" s="890">
        <v>0</v>
      </c>
      <c r="Y105" s="890">
        <f t="shared" ca="1" si="33"/>
        <v>0</v>
      </c>
      <c r="Z105" s="890">
        <f t="shared" ca="1" si="29"/>
        <v>0</v>
      </c>
      <c r="AA105" s="890">
        <f t="shared" ca="1" si="34"/>
        <v>0</v>
      </c>
      <c r="AB105" s="895">
        <f t="shared" ca="1" si="23"/>
        <v>17506.195068008084</v>
      </c>
      <c r="AC105" s="980">
        <f t="shared" ca="1" si="21"/>
        <v>16887.195068008084</v>
      </c>
      <c r="AD105" s="860" t="e">
        <f ca="1">IF(A105&gt;$A$1, #N/A,VLOOKUP(A105,Calculation!$B$8:$JO$880,165,FALSE))</f>
        <v>#N/A</v>
      </c>
      <c r="AE105" s="399" t="e">
        <f t="shared" ca="1" si="30"/>
        <v>#N/A</v>
      </c>
      <c r="AF105" s="399"/>
      <c r="AG105" s="841">
        <f>Calculation!G108</f>
        <v>2270.5698436724947</v>
      </c>
      <c r="AH105" s="847" t="str">
        <f t="shared" si="31"/>
        <v>Yes</v>
      </c>
      <c r="AI105" s="847" t="str">
        <f>IF(Calculation!K108&gt;0,"Yes","No")</f>
        <v>Yes</v>
      </c>
      <c r="AJ105" s="869">
        <v>24930.730000060608</v>
      </c>
      <c r="AK105" s="870">
        <v>11852.500000027932</v>
      </c>
      <c r="AL105" s="870">
        <v>17975.500000044383</v>
      </c>
      <c r="AN105" s="372">
        <v>28075.000000072476</v>
      </c>
      <c r="AO105" s="372">
        <v>40013.100000099766</v>
      </c>
      <c r="AP105" s="372">
        <v>26526.600000067774</v>
      </c>
      <c r="AU105" s="427"/>
      <c r="AV105" s="410"/>
      <c r="AW105" s="442"/>
      <c r="AX105" s="441"/>
      <c r="AY105" s="441"/>
      <c r="AZ105" s="443"/>
      <c r="BB105" s="433"/>
      <c r="BC105" s="432"/>
      <c r="BD105" s="433"/>
      <c r="BE105" s="432"/>
      <c r="BF105" s="433"/>
      <c r="BG105" s="432"/>
      <c r="BH105" s="429"/>
    </row>
    <row r="106" spans="1:60" ht="13.8" thickBot="1" x14ac:dyDescent="0.3">
      <c r="A106" s="406">
        <v>42833</v>
      </c>
      <c r="B106" s="860">
        <f t="shared" si="25"/>
        <v>81.526899999999998</v>
      </c>
      <c r="C106" s="860">
        <f>Calculation!AK109</f>
        <v>83.080554501108637</v>
      </c>
      <c r="D106" s="860">
        <f>Calculation!AI109</f>
        <v>0</v>
      </c>
      <c r="E106" s="860">
        <f>Calculation!AE109</f>
        <v>39.757899999999999</v>
      </c>
      <c r="F106" s="860">
        <f>Calculation!AF109</f>
        <v>41.768999999999998</v>
      </c>
      <c r="G106" s="860">
        <f>Calculation!AG109</f>
        <v>0</v>
      </c>
      <c r="H106" s="861">
        <f>Sheet1!H107</f>
        <v>2.54</v>
      </c>
      <c r="I106" s="841">
        <f>Sheet1!DA107</f>
        <v>2350</v>
      </c>
      <c r="J106" s="841">
        <f>Sheet1!DB107</f>
        <v>1710</v>
      </c>
      <c r="K106" s="841">
        <f>Sheet1!CZ107</f>
        <v>1790</v>
      </c>
      <c r="L106" s="865">
        <f>Calculation!F109</f>
        <v>250</v>
      </c>
      <c r="M106" s="865">
        <f>Calculation!E109</f>
        <v>250</v>
      </c>
      <c r="N106" s="865">
        <f>Calculation!D109</f>
        <v>300</v>
      </c>
      <c r="O106" s="888">
        <f>Sheet1!DC107</f>
        <v>1144.58</v>
      </c>
      <c r="P106" s="889" t="e">
        <f>Calculation!FD109</f>
        <v>#N/A</v>
      </c>
      <c r="Q106" s="895">
        <f>Calculation!DP109</f>
        <v>27042.400000069825</v>
      </c>
      <c r="R106" s="888">
        <f t="shared" si="20"/>
        <v>26423.400000069825</v>
      </c>
      <c r="S106" s="890">
        <f t="shared" si="26"/>
        <v>1093.9000000026026</v>
      </c>
      <c r="T106" s="895">
        <f ca="1">IF(A106&gt;$A$1,#N/A,VLOOKUP(A106,Calculation!$B$8:$JO$503,40,FALSE))</f>
        <v>8607.0697292210007</v>
      </c>
      <c r="U106" s="890">
        <f t="shared" si="27"/>
        <v>0</v>
      </c>
      <c r="V106" s="890">
        <f>Calculation!AZ109</f>
        <v>0</v>
      </c>
      <c r="W106" s="895">
        <f t="shared" ca="1" si="32"/>
        <v>0</v>
      </c>
      <c r="X106" s="890">
        <v>0</v>
      </c>
      <c r="Y106" s="890">
        <f t="shared" ca="1" si="33"/>
        <v>0</v>
      </c>
      <c r="Z106" s="890">
        <f t="shared" ca="1" si="29"/>
        <v>0</v>
      </c>
      <c r="AA106" s="890">
        <f t="shared" ca="1" si="34"/>
        <v>0</v>
      </c>
      <c r="AB106" s="895">
        <f t="shared" ca="1" si="23"/>
        <v>18435.330270848826</v>
      </c>
      <c r="AC106" s="980">
        <f t="shared" ca="1" si="21"/>
        <v>17816.330270848826</v>
      </c>
      <c r="AD106" s="860" t="e">
        <f ca="1">IF(A106&gt;$A$1, #N/A,VLOOKUP(A106,Calculation!$B$8:$JO$880,165,FALSE))</f>
        <v>#N/A</v>
      </c>
      <c r="AE106" s="399" t="e">
        <f t="shared" ca="1" si="30"/>
        <v>#N/A</v>
      </c>
      <c r="AF106" s="399"/>
      <c r="AG106" s="841">
        <f>Calculation!G109</f>
        <v>2341.6389309140709</v>
      </c>
      <c r="AH106" s="847" t="str">
        <f t="shared" si="31"/>
        <v>Yes</v>
      </c>
      <c r="AI106" s="847" t="str">
        <f>IF(Calculation!K109&gt;0,"Yes","No")</f>
        <v>Yes</v>
      </c>
      <c r="AJ106" s="869">
        <v>25375.000000062653</v>
      </c>
      <c r="AK106" s="870">
        <v>12394.200000029077</v>
      </c>
      <c r="AL106" s="870">
        <v>18345.50000004466</v>
      </c>
      <c r="AN106" s="372">
        <v>28678.000000073916</v>
      </c>
      <c r="AO106" s="372">
        <v>40384.900000100002</v>
      </c>
      <c r="AP106" s="372">
        <v>27418.500000071897</v>
      </c>
      <c r="AU106" s="427"/>
      <c r="AV106" s="410"/>
      <c r="AW106" s="442"/>
      <c r="AX106" s="441"/>
      <c r="AY106" s="441"/>
      <c r="AZ106" s="443"/>
      <c r="BB106" s="433"/>
      <c r="BC106" s="432"/>
      <c r="BD106" s="433"/>
      <c r="BE106" s="432"/>
      <c r="BF106" s="433"/>
      <c r="BG106" s="432"/>
      <c r="BH106" s="429"/>
    </row>
    <row r="107" spans="1:60" ht="13.8" thickBot="1" x14ac:dyDescent="0.3">
      <c r="A107" s="406">
        <v>42834</v>
      </c>
      <c r="B107" s="860">
        <f t="shared" si="25"/>
        <v>80.181009999999986</v>
      </c>
      <c r="C107" s="860">
        <f>Calculation!AK110</f>
        <v>83.112746625860737</v>
      </c>
      <c r="D107" s="860">
        <f>Calculation!AI110</f>
        <v>0</v>
      </c>
      <c r="E107" s="860">
        <f>Calculation!AE110</f>
        <v>39.835249999999995</v>
      </c>
      <c r="F107" s="860">
        <f>Calculation!AF110</f>
        <v>40.345759999999999</v>
      </c>
      <c r="G107" s="860">
        <f>Calculation!AG110</f>
        <v>0</v>
      </c>
      <c r="H107" s="861">
        <f>Sheet1!H108</f>
        <v>2.4300000000000002</v>
      </c>
      <c r="I107" s="841">
        <f>Sheet1!DA108</f>
        <v>2290</v>
      </c>
      <c r="J107" s="841">
        <f>Sheet1!DB108</f>
        <v>1710</v>
      </c>
      <c r="K107" s="841">
        <f>Sheet1!CZ108</f>
        <v>1790</v>
      </c>
      <c r="L107" s="865">
        <f>Calculation!F110</f>
        <v>250</v>
      </c>
      <c r="M107" s="865">
        <f>Calculation!E110</f>
        <v>250</v>
      </c>
      <c r="N107" s="865">
        <f>Calculation!D110</f>
        <v>300</v>
      </c>
      <c r="O107" s="888">
        <f>Sheet1!DC108</f>
        <v>1145.1500000000001</v>
      </c>
      <c r="P107" s="889" t="e">
        <f>Calculation!FD110</f>
        <v>#N/A</v>
      </c>
      <c r="Q107" s="895">
        <f>Calculation!DP110</f>
        <v>27520.50000007209</v>
      </c>
      <c r="R107" s="888">
        <f t="shared" si="20"/>
        <v>26901.50000007209</v>
      </c>
      <c r="S107" s="890">
        <f t="shared" si="26"/>
        <v>478.10000000226501</v>
      </c>
      <c r="T107" s="895">
        <f ca="1">IF(A107&gt;$A$1,#N/A,VLOOKUP(A107,Calculation!$B$8:$JO$503,40,FALSE))</f>
        <v>8771.8983695882544</v>
      </c>
      <c r="U107" s="890">
        <f t="shared" si="27"/>
        <v>0</v>
      </c>
      <c r="V107" s="890">
        <f>Calculation!AZ110</f>
        <v>0</v>
      </c>
      <c r="W107" s="895">
        <f t="shared" ca="1" si="32"/>
        <v>0</v>
      </c>
      <c r="X107" s="890">
        <v>0</v>
      </c>
      <c r="Y107" s="890">
        <f t="shared" ca="1" si="33"/>
        <v>0</v>
      </c>
      <c r="Z107" s="890">
        <f t="shared" ca="1" si="29"/>
        <v>0</v>
      </c>
      <c r="AA107" s="890">
        <f t="shared" ca="1" si="34"/>
        <v>0</v>
      </c>
      <c r="AB107" s="895">
        <f t="shared" ca="1" si="23"/>
        <v>18748.601630483834</v>
      </c>
      <c r="AC107" s="980">
        <f t="shared" ca="1" si="21"/>
        <v>18129.601630483834</v>
      </c>
      <c r="AD107" s="860" t="e">
        <f ca="1">IF(A107&gt;$A$1, #N/A,VLOOKUP(A107,Calculation!$B$8:$JO$880,165,FALSE))</f>
        <v>#N/A</v>
      </c>
      <c r="AE107" s="399" t="e">
        <f t="shared" ca="1" si="30"/>
        <v>#N/A</v>
      </c>
      <c r="AF107" s="399"/>
      <c r="AG107" s="841">
        <f>Calculation!G110</f>
        <v>2031.0993444287772</v>
      </c>
      <c r="AH107" s="847" t="str">
        <f t="shared" si="31"/>
        <v>Yes</v>
      </c>
      <c r="AI107" s="847" t="str">
        <f>IF(Calculation!K110&gt;0,"Yes","No")</f>
        <v>Yes</v>
      </c>
      <c r="AJ107" s="869">
        <v>25800.700000063003</v>
      </c>
      <c r="AK107" s="870">
        <v>12826.000000030777</v>
      </c>
      <c r="AL107" s="870">
        <v>18475.200000045534</v>
      </c>
      <c r="AN107" s="372">
        <v>29619.400000076435</v>
      </c>
      <c r="AO107" s="372">
        <v>40665.000000101209</v>
      </c>
      <c r="AP107" s="372">
        <v>28487.600000074577</v>
      </c>
      <c r="AU107" s="427"/>
      <c r="AV107" s="410"/>
      <c r="AW107" s="442"/>
      <c r="AX107" s="441"/>
      <c r="AY107" s="441"/>
      <c r="AZ107" s="443"/>
      <c r="BB107" s="433"/>
      <c r="BC107" s="432"/>
      <c r="BD107" s="433"/>
      <c r="BE107" s="432"/>
      <c r="BF107" s="433"/>
      <c r="BG107" s="432"/>
      <c r="BH107" s="429"/>
    </row>
    <row r="108" spans="1:60" ht="13.8" thickBot="1" x14ac:dyDescent="0.3">
      <c r="A108" s="406">
        <v>42835</v>
      </c>
      <c r="B108" s="860">
        <f t="shared" si="25"/>
        <v>81.325789999999984</v>
      </c>
      <c r="C108" s="860">
        <f>Calculation!AK111</f>
        <v>83.522305463342008</v>
      </c>
      <c r="D108" s="860">
        <f>Calculation!AI111</f>
        <v>0</v>
      </c>
      <c r="E108" s="860">
        <f>Calculation!AE111</f>
        <v>39.835249999999995</v>
      </c>
      <c r="F108" s="860">
        <f>Calculation!AF111</f>
        <v>41.490539999999996</v>
      </c>
      <c r="G108" s="860">
        <f>Calculation!AG111</f>
        <v>0</v>
      </c>
      <c r="H108" s="861">
        <f>Sheet1!H109</f>
        <v>2.1</v>
      </c>
      <c r="I108" s="841">
        <f>Sheet1!DA109</f>
        <v>2150</v>
      </c>
      <c r="J108" s="841">
        <f>Sheet1!DB109</f>
        <v>1560</v>
      </c>
      <c r="K108" s="841">
        <f>Sheet1!CZ109</f>
        <v>1650</v>
      </c>
      <c r="L108" s="865">
        <f>Calculation!F111</f>
        <v>250</v>
      </c>
      <c r="M108" s="865">
        <f>Calculation!E111</f>
        <v>250</v>
      </c>
      <c r="N108" s="865">
        <f>Calculation!D111</f>
        <v>300</v>
      </c>
      <c r="O108" s="888">
        <f>Sheet1!DC109</f>
        <v>1145.3599999999999</v>
      </c>
      <c r="P108" s="889" t="e">
        <f>Calculation!FD111</f>
        <v>#N/A</v>
      </c>
      <c r="Q108" s="895">
        <f>Calculation!DP111</f>
        <v>27700.00000007209</v>
      </c>
      <c r="R108" s="888">
        <f t="shared" si="20"/>
        <v>27081.00000007209</v>
      </c>
      <c r="S108" s="890">
        <f t="shared" si="26"/>
        <v>179.5</v>
      </c>
      <c r="T108" s="895">
        <f ca="1">IF(A108&gt;$A$1,#N/A,VLOOKUP(A108,Calculation!$B$8:$JO$503,40,FALSE))</f>
        <v>8937.5392442886641</v>
      </c>
      <c r="U108" s="890">
        <f t="shared" si="27"/>
        <v>0</v>
      </c>
      <c r="V108" s="890">
        <f>Calculation!AZ111</f>
        <v>0</v>
      </c>
      <c r="W108" s="895">
        <f t="shared" ca="1" si="32"/>
        <v>0</v>
      </c>
      <c r="X108" s="890">
        <v>0</v>
      </c>
      <c r="Y108" s="890">
        <f t="shared" ca="1" si="33"/>
        <v>0</v>
      </c>
      <c r="Z108" s="890">
        <f t="shared" ca="1" si="29"/>
        <v>0</v>
      </c>
      <c r="AA108" s="890">
        <f t="shared" ca="1" si="34"/>
        <v>0</v>
      </c>
      <c r="AB108" s="895">
        <f t="shared" ca="1" si="23"/>
        <v>18762.460755783424</v>
      </c>
      <c r="AC108" s="980">
        <f t="shared" ca="1" si="21"/>
        <v>18143.460755783424</v>
      </c>
      <c r="AD108" s="860" t="e">
        <f ca="1">IF(A108&gt;$A$1, #N/A,VLOOKUP(A108,Calculation!$B$8:$JO$880,165,FALSE))</f>
        <v>#N/A</v>
      </c>
      <c r="AE108" s="399" t="e">
        <f t="shared" ca="1" si="30"/>
        <v>#N/A</v>
      </c>
      <c r="AF108" s="399"/>
      <c r="AG108" s="841">
        <f>Calculation!G111</f>
        <v>1740.5194150277357</v>
      </c>
      <c r="AH108" s="847" t="str">
        <f t="shared" si="31"/>
        <v>Yes</v>
      </c>
      <c r="AI108" s="847" t="str">
        <f>IF(Calculation!K111&gt;0,"Yes","No")</f>
        <v>Yes</v>
      </c>
      <c r="AJ108" s="869">
        <v>26071.600000063354</v>
      </c>
      <c r="AK108" s="870">
        <v>13392.700000031975</v>
      </c>
      <c r="AL108" s="870">
        <v>19322.000000049222</v>
      </c>
      <c r="AN108" s="372">
        <v>29970.400000076836</v>
      </c>
      <c r="AO108" s="372">
        <v>40874.000000102424</v>
      </c>
      <c r="AP108" s="372">
        <v>29215.600000076032</v>
      </c>
      <c r="AU108" s="427"/>
      <c r="AV108" s="410"/>
      <c r="AW108" s="442"/>
      <c r="AX108" s="441"/>
      <c r="AY108" s="441"/>
      <c r="AZ108" s="443"/>
      <c r="BB108" s="433"/>
      <c r="BC108" s="432"/>
      <c r="BD108" s="433"/>
      <c r="BE108" s="432"/>
      <c r="BF108" s="433"/>
      <c r="BG108" s="432"/>
      <c r="BH108" s="429"/>
    </row>
    <row r="109" spans="1:60" ht="13.8" thickBot="1" x14ac:dyDescent="0.3">
      <c r="A109" s="406">
        <v>42836</v>
      </c>
      <c r="B109" s="860">
        <f t="shared" si="25"/>
        <v>83.336889999999997</v>
      </c>
      <c r="C109" s="860">
        <f>Calculation!AK112</f>
        <v>83.839129943242284</v>
      </c>
      <c r="D109" s="860">
        <f>Calculation!AI112</f>
        <v>0</v>
      </c>
      <c r="E109" s="860">
        <f>Calculation!AE112</f>
        <v>39.912599999999998</v>
      </c>
      <c r="F109" s="860">
        <f>Calculation!AF112</f>
        <v>43.424289999999999</v>
      </c>
      <c r="G109" s="860">
        <f>Calculation!AG112</f>
        <v>0</v>
      </c>
      <c r="H109" s="861">
        <f>Sheet1!H110</f>
        <v>2.16</v>
      </c>
      <c r="I109" s="841">
        <f>Sheet1!DA110</f>
        <v>1920</v>
      </c>
      <c r="J109" s="841">
        <f>Sheet1!DB110</f>
        <v>1360</v>
      </c>
      <c r="K109" s="841">
        <f>Sheet1!CZ110</f>
        <v>1440</v>
      </c>
      <c r="L109" s="865">
        <f>Calculation!F112</f>
        <v>250</v>
      </c>
      <c r="M109" s="865">
        <f>Calculation!E112</f>
        <v>250</v>
      </c>
      <c r="N109" s="865">
        <f>Calculation!D112</f>
        <v>300</v>
      </c>
      <c r="O109" s="888">
        <f>Sheet1!DC110</f>
        <v>1145.51</v>
      </c>
      <c r="P109" s="889" t="e">
        <f>Calculation!FD112</f>
        <v>#N/A</v>
      </c>
      <c r="Q109" s="895">
        <f>Calculation!DP112</f>
        <v>27827.500000072283</v>
      </c>
      <c r="R109" s="888">
        <f t="shared" si="20"/>
        <v>27208.500000072283</v>
      </c>
      <c r="S109" s="890">
        <f t="shared" si="26"/>
        <v>127.50000000019281</v>
      </c>
      <c r="T109" s="895">
        <f ca="1">IF(A109&gt;$A$1,#N/A,VLOOKUP(A109,Calculation!$B$8:$JO$503,40,FALSE))</f>
        <v>9103.8084431676998</v>
      </c>
      <c r="U109" s="890">
        <f t="shared" si="27"/>
        <v>0</v>
      </c>
      <c r="V109" s="890">
        <f>Calculation!AZ112</f>
        <v>0</v>
      </c>
      <c r="W109" s="895">
        <f t="shared" ca="1" si="32"/>
        <v>0</v>
      </c>
      <c r="X109" s="890">
        <v>0</v>
      </c>
      <c r="Y109" s="890">
        <f t="shared" ca="1" si="33"/>
        <v>0</v>
      </c>
      <c r="Z109" s="890">
        <f t="shared" ca="1" si="29"/>
        <v>0</v>
      </c>
      <c r="AA109" s="890">
        <f t="shared" ca="1" si="34"/>
        <v>0</v>
      </c>
      <c r="AB109" s="895">
        <f t="shared" ca="1" si="23"/>
        <v>18723.691556904581</v>
      </c>
      <c r="AC109" s="980">
        <f t="shared" ca="1" si="21"/>
        <v>18104.691556904581</v>
      </c>
      <c r="AD109" s="860" t="e">
        <f ca="1">IF(A109&gt;$A$1, #N/A,VLOOKUP(A109,Calculation!$B$8:$JO$880,165,FALSE))</f>
        <v>#N/A</v>
      </c>
      <c r="AE109" s="399" t="e">
        <f t="shared" ca="1" si="30"/>
        <v>#N/A</v>
      </c>
      <c r="AF109" s="399"/>
      <c r="AG109" s="841">
        <f>Calculation!G112</f>
        <v>1504.2965204236978</v>
      </c>
      <c r="AH109" s="847" t="str">
        <f t="shared" si="31"/>
        <v>Yes</v>
      </c>
      <c r="AI109" s="847" t="str">
        <f>IF(Calculation!K112&gt;0,"Yes","No")</f>
        <v>Yes</v>
      </c>
      <c r="AJ109" s="869">
        <v>26458.270000065273</v>
      </c>
      <c r="AK109" s="870">
        <v>14242.400000034642</v>
      </c>
      <c r="AL109" s="870">
        <v>21046.200000053184</v>
      </c>
      <c r="AN109" s="372">
        <v>30345.000000078111</v>
      </c>
      <c r="AO109" s="372">
        <v>41188.000000102656</v>
      </c>
      <c r="AP109" s="372">
        <v>29628.200000076435</v>
      </c>
      <c r="AU109" s="427"/>
      <c r="AV109" s="410"/>
      <c r="AW109" s="442"/>
      <c r="AX109" s="441"/>
      <c r="AY109" s="441"/>
      <c r="AZ109" s="443"/>
      <c r="BB109" s="433"/>
      <c r="BC109" s="432"/>
      <c r="BD109" s="433"/>
      <c r="BE109" s="432"/>
      <c r="BF109" s="433"/>
      <c r="BG109" s="432"/>
      <c r="BH109" s="429"/>
    </row>
    <row r="110" spans="1:60" ht="13.8" thickBot="1" x14ac:dyDescent="0.3">
      <c r="A110" s="406">
        <v>42837</v>
      </c>
      <c r="B110" s="860">
        <f t="shared" si="25"/>
        <v>87.745839999999987</v>
      </c>
      <c r="C110" s="860">
        <f>Calculation!AK113</f>
        <v>83.780779193548383</v>
      </c>
      <c r="D110" s="860">
        <f>Calculation!AI113</f>
        <v>0</v>
      </c>
      <c r="E110" s="860">
        <f>Calculation!AE113</f>
        <v>39.866189999999996</v>
      </c>
      <c r="F110" s="860">
        <f>Calculation!AF113</f>
        <v>47.879649999999998</v>
      </c>
      <c r="G110" s="860">
        <f>Calculation!AG113</f>
        <v>0</v>
      </c>
      <c r="H110" s="861">
        <f>Sheet1!H111</f>
        <v>2.2000000000000002</v>
      </c>
      <c r="I110" s="841">
        <f>Sheet1!DA111</f>
        <v>1960</v>
      </c>
      <c r="J110" s="841">
        <f>Sheet1!DB111</f>
        <v>1370</v>
      </c>
      <c r="K110" s="841">
        <f>Sheet1!CZ111</f>
        <v>1450</v>
      </c>
      <c r="L110" s="865">
        <f>Calculation!F113</f>
        <v>250</v>
      </c>
      <c r="M110" s="865">
        <f>Calculation!E113</f>
        <v>250</v>
      </c>
      <c r="N110" s="865">
        <f>Calculation!D113</f>
        <v>300</v>
      </c>
      <c r="O110" s="888">
        <f>Sheet1!DC111</f>
        <v>1145.8599999999999</v>
      </c>
      <c r="P110" s="889" t="e">
        <f>Calculation!FD113</f>
        <v>#N/A</v>
      </c>
      <c r="Q110" s="895">
        <f>Calculation!DP113</f>
        <v>28126.000000072476</v>
      </c>
      <c r="R110" s="888">
        <f t="shared" si="20"/>
        <v>27507.000000072476</v>
      </c>
      <c r="S110" s="890">
        <f t="shared" si="26"/>
        <v>298.50000000019281</v>
      </c>
      <c r="T110" s="895">
        <f ca="1">IF(A110&gt;$A$1,#N/A,VLOOKUP(A110,Calculation!$B$8:$JO$503,40,FALSE))</f>
        <v>9269.9619212322159</v>
      </c>
      <c r="U110" s="890">
        <f t="shared" si="27"/>
        <v>0</v>
      </c>
      <c r="V110" s="890">
        <f>Calculation!AZ113</f>
        <v>0</v>
      </c>
      <c r="W110" s="895">
        <f t="shared" ca="1" si="32"/>
        <v>0</v>
      </c>
      <c r="X110" s="890">
        <v>0</v>
      </c>
      <c r="Y110" s="890">
        <f t="shared" ca="1" si="33"/>
        <v>0</v>
      </c>
      <c r="Z110" s="890">
        <f t="shared" ca="1" si="29"/>
        <v>0</v>
      </c>
      <c r="AA110" s="890">
        <f t="shared" ca="1" si="34"/>
        <v>0</v>
      </c>
      <c r="AB110" s="895">
        <f t="shared" ca="1" si="23"/>
        <v>18856.038078840262</v>
      </c>
      <c r="AC110" s="980">
        <f t="shared" ca="1" si="21"/>
        <v>18237.038078840262</v>
      </c>
      <c r="AD110" s="860" t="e">
        <f ca="1">IF(A110&gt;$A$1, #N/A,VLOOKUP(A110,Calculation!$B$8:$JO$880,165,FALSE))</f>
        <v>#N/A</v>
      </c>
      <c r="AE110" s="399" t="e">
        <f t="shared" ca="1" si="30"/>
        <v>#N/A</v>
      </c>
      <c r="AF110" s="399"/>
      <c r="AG110" s="841">
        <f>Calculation!G113</f>
        <v>1600.5295007565269</v>
      </c>
      <c r="AH110" s="847" t="str">
        <f t="shared" si="31"/>
        <v>Yes</v>
      </c>
      <c r="AI110" s="847" t="str">
        <f>IF(Calculation!K113&gt;0,"Yes","No")</f>
        <v>Yes</v>
      </c>
      <c r="AJ110" s="869">
        <v>26791.330000065453</v>
      </c>
      <c r="AK110" s="870">
        <v>15068.700000036153</v>
      </c>
      <c r="AL110" s="870">
        <v>21817.000000054592</v>
      </c>
      <c r="AN110" s="372">
        <v>30702.000000078315</v>
      </c>
      <c r="AO110" s="372">
        <v>41398.000000101922</v>
      </c>
      <c r="AP110" s="372">
        <v>30077.000000077707</v>
      </c>
      <c r="AU110" s="427"/>
      <c r="AV110" s="410"/>
      <c r="AW110" s="442"/>
      <c r="AX110" s="441"/>
      <c r="AY110" s="441"/>
      <c r="AZ110" s="443"/>
      <c r="BB110" s="433"/>
      <c r="BC110" s="432"/>
      <c r="BD110" s="433"/>
      <c r="BE110" s="432"/>
      <c r="BF110" s="433"/>
      <c r="BG110" s="432"/>
      <c r="BH110" s="429"/>
    </row>
    <row r="111" spans="1:60" ht="13.8" thickBot="1" x14ac:dyDescent="0.3">
      <c r="A111" s="406">
        <v>42838</v>
      </c>
      <c r="B111" s="860">
        <f t="shared" si="25"/>
        <v>88.287289999999999</v>
      </c>
      <c r="C111" s="860">
        <f>Calculation!AK114</f>
        <v>83.548221161825722</v>
      </c>
      <c r="D111" s="860">
        <f>Calculation!AI114</f>
        <v>0</v>
      </c>
      <c r="E111" s="860">
        <f>Calculation!AE114</f>
        <v>39.804310000000001</v>
      </c>
      <c r="F111" s="860">
        <f>Calculation!AF114</f>
        <v>48.482979999999998</v>
      </c>
      <c r="G111" s="860">
        <f>Calculation!AG114</f>
        <v>0</v>
      </c>
      <c r="H111" s="861">
        <f>Sheet1!H112</f>
        <v>1.98</v>
      </c>
      <c r="I111" s="841">
        <f>Sheet1!DA112</f>
        <v>2040</v>
      </c>
      <c r="J111" s="841">
        <f>Sheet1!DB112</f>
        <v>1390</v>
      </c>
      <c r="K111" s="841">
        <f>Sheet1!CZ112</f>
        <v>1450</v>
      </c>
      <c r="L111" s="865">
        <f>Calculation!F114</f>
        <v>250</v>
      </c>
      <c r="M111" s="865">
        <f>Calculation!E114</f>
        <v>250</v>
      </c>
      <c r="N111" s="865">
        <f>Calculation!D114</f>
        <v>300</v>
      </c>
      <c r="O111" s="888">
        <f>Sheet1!DC112</f>
        <v>1146.79</v>
      </c>
      <c r="P111" s="889" t="e">
        <f>Calculation!FD114</f>
        <v>#N/A</v>
      </c>
      <c r="Q111" s="895">
        <f>Calculation!DP114</f>
        <v>28928.400000074111</v>
      </c>
      <c r="R111" s="888">
        <f t="shared" si="20"/>
        <v>28309.400000074111</v>
      </c>
      <c r="S111" s="890">
        <f t="shared" si="26"/>
        <v>802.40000000163491</v>
      </c>
      <c r="T111" s="895">
        <f ca="1">IF(A111&gt;$A$1,#N/A,VLOOKUP(A111,Calculation!$B$8:$JO$503,40,FALSE))</f>
        <v>9435.6541917716349</v>
      </c>
      <c r="U111" s="890">
        <f t="shared" si="27"/>
        <v>0</v>
      </c>
      <c r="V111" s="890">
        <f>Calculation!AZ114</f>
        <v>0</v>
      </c>
      <c r="W111" s="895">
        <f t="shared" ca="1" si="32"/>
        <v>0</v>
      </c>
      <c r="X111" s="890">
        <v>0</v>
      </c>
      <c r="Y111" s="890">
        <f t="shared" ca="1" si="33"/>
        <v>0</v>
      </c>
      <c r="Z111" s="890">
        <f t="shared" ca="1" si="29"/>
        <v>0</v>
      </c>
      <c r="AA111" s="890">
        <f t="shared" ca="1" si="34"/>
        <v>0</v>
      </c>
      <c r="AB111" s="895">
        <f t="shared" ca="1" si="23"/>
        <v>19492.745808302476</v>
      </c>
      <c r="AC111" s="980">
        <f t="shared" ca="1" si="21"/>
        <v>18873.745808302476</v>
      </c>
      <c r="AD111" s="860" t="e">
        <f ca="1">IF(A111&gt;$A$1, #N/A,VLOOKUP(A111,Calculation!$B$8:$JO$880,165,FALSE))</f>
        <v>#N/A</v>
      </c>
      <c r="AE111" s="399" t="e">
        <f t="shared" ca="1" si="30"/>
        <v>#N/A</v>
      </c>
      <c r="AF111" s="399"/>
      <c r="AG111" s="841">
        <f>Calculation!G114</f>
        <v>1854.6394352000175</v>
      </c>
      <c r="AH111" s="847" t="str">
        <f t="shared" si="31"/>
        <v>Yes</v>
      </c>
      <c r="AI111" s="847" t="str">
        <f>IF(Calculation!K114&gt;0,"Yes","No")</f>
        <v>Yes</v>
      </c>
      <c r="AJ111" s="869">
        <v>27186.200000067554</v>
      </c>
      <c r="AK111" s="870">
        <v>15685.200000038709</v>
      </c>
      <c r="AL111" s="870">
        <v>21880.700000055371</v>
      </c>
      <c r="AN111" s="372">
        <v>30746.500000078315</v>
      </c>
      <c r="AO111" s="372">
        <v>41649.40000010412</v>
      </c>
      <c r="AP111" s="372">
        <v>30630.000000079195</v>
      </c>
      <c r="AU111" s="427"/>
      <c r="AV111" s="410"/>
      <c r="AW111" s="442"/>
      <c r="AX111" s="441"/>
      <c r="AY111" s="441"/>
      <c r="AZ111" s="443"/>
      <c r="BB111" s="433"/>
      <c r="BC111" s="432"/>
      <c r="BD111" s="433"/>
      <c r="BE111" s="432"/>
      <c r="BF111" s="433"/>
      <c r="BG111" s="432"/>
      <c r="BH111" s="429"/>
    </row>
    <row r="112" spans="1:60" ht="13.8" thickBot="1" x14ac:dyDescent="0.3">
      <c r="A112" s="406">
        <v>42839</v>
      </c>
      <c r="B112" s="860">
        <f t="shared" si="25"/>
        <v>84.682779999999994</v>
      </c>
      <c r="C112" s="860">
        <f>Calculation!AK115</f>
        <v>83.728987654320989</v>
      </c>
      <c r="D112" s="860">
        <f>Calculation!AI115</f>
        <v>0</v>
      </c>
      <c r="E112" s="860">
        <f>Calculation!AE115</f>
        <v>39.757899999999999</v>
      </c>
      <c r="F112" s="860">
        <f>Calculation!AF115</f>
        <v>44.924879999999995</v>
      </c>
      <c r="G112" s="860">
        <f>Calculation!AG115</f>
        <v>0</v>
      </c>
      <c r="H112" s="861">
        <f>Sheet1!H113</f>
        <v>1.84</v>
      </c>
      <c r="I112" s="841">
        <f>Sheet1!DA113</f>
        <v>1950</v>
      </c>
      <c r="J112" s="841">
        <f>Sheet1!DB113</f>
        <v>1160</v>
      </c>
      <c r="K112" s="841">
        <f>Sheet1!CZ113</f>
        <v>1220</v>
      </c>
      <c r="L112" s="865">
        <f>Calculation!F115</f>
        <v>250</v>
      </c>
      <c r="M112" s="865">
        <f>Calculation!E115</f>
        <v>250</v>
      </c>
      <c r="N112" s="865">
        <f>Calculation!D115</f>
        <v>300</v>
      </c>
      <c r="O112" s="888">
        <f>Sheet1!DC113</f>
        <v>1147.76</v>
      </c>
      <c r="P112" s="889" t="e">
        <f>Calculation!FD115</f>
        <v>#N/A</v>
      </c>
      <c r="Q112" s="895">
        <f>Calculation!DP115</f>
        <v>29777.200000075762</v>
      </c>
      <c r="R112" s="888">
        <f t="shared" si="20"/>
        <v>29158.200000075762</v>
      </c>
      <c r="S112" s="890">
        <f t="shared" si="26"/>
        <v>848.80000000165091</v>
      </c>
      <c r="T112" s="895">
        <f ca="1">IF(A112&gt;$A$1,#N/A,VLOOKUP(A112,Calculation!$B$8:$JO$503,40,FALSE))</f>
        <v>9601.704957203734</v>
      </c>
      <c r="U112" s="890">
        <f t="shared" si="27"/>
        <v>0</v>
      </c>
      <c r="V112" s="890">
        <f>Calculation!AZ115</f>
        <v>0</v>
      </c>
      <c r="W112" s="895">
        <f t="shared" ca="1" si="32"/>
        <v>0</v>
      </c>
      <c r="X112" s="890">
        <v>0</v>
      </c>
      <c r="Y112" s="890">
        <f t="shared" ca="1" si="33"/>
        <v>0</v>
      </c>
      <c r="Z112" s="890">
        <f t="shared" ca="1" si="29"/>
        <v>0</v>
      </c>
      <c r="AA112" s="890">
        <f t="shared" ca="1" si="34"/>
        <v>0</v>
      </c>
      <c r="AB112" s="895">
        <f t="shared" ca="1" si="23"/>
        <v>20175.495042872026</v>
      </c>
      <c r="AC112" s="980">
        <f t="shared" ca="1" si="21"/>
        <v>19556.495042872026</v>
      </c>
      <c r="AD112" s="860" t="e">
        <f ca="1">IF(A112&gt;$A$1, #N/A,VLOOKUP(A112,Calculation!$B$8:$JO$880,165,FALSE))</f>
        <v>#N/A</v>
      </c>
      <c r="AE112" s="399" t="e">
        <f t="shared" ca="1" si="30"/>
        <v>#N/A</v>
      </c>
      <c r="AF112" s="399"/>
      <c r="AG112" s="841">
        <f>Calculation!G115</f>
        <v>1648.0383257698693</v>
      </c>
      <c r="AH112" s="847" t="str">
        <f t="shared" si="31"/>
        <v>Yes</v>
      </c>
      <c r="AI112" s="847" t="str">
        <f>IF(Calculation!K115&gt;0,"Yes","No")</f>
        <v>Yes</v>
      </c>
      <c r="AJ112" s="869">
        <v>27511.800000067924</v>
      </c>
      <c r="AK112" s="870">
        <v>16179.000000039918</v>
      </c>
      <c r="AL112" s="870">
        <v>21944.600000055532</v>
      </c>
      <c r="AN112" s="372">
        <v>30880.000000080283</v>
      </c>
      <c r="AO112" s="372">
        <v>42031.000000104599</v>
      </c>
      <c r="AP112" s="372">
        <v>31115.600000080489</v>
      </c>
      <c r="AU112" s="427"/>
      <c r="AV112" s="410"/>
      <c r="AW112" s="442"/>
      <c r="AX112" s="441"/>
      <c r="AY112" s="441"/>
      <c r="AZ112" s="443"/>
      <c r="BB112" s="433"/>
      <c r="BC112" s="432"/>
      <c r="BD112" s="433"/>
      <c r="BE112" s="432"/>
      <c r="BF112" s="433"/>
      <c r="BG112" s="432"/>
      <c r="BH112" s="429"/>
    </row>
    <row r="113" spans="1:60" ht="13.8" thickBot="1" x14ac:dyDescent="0.3">
      <c r="A113" s="406">
        <v>42840</v>
      </c>
      <c r="B113" s="860">
        <f t="shared" si="25"/>
        <v>83.02749</v>
      </c>
      <c r="C113" s="860">
        <f>Calculation!AK116</f>
        <v>83.31787720971775</v>
      </c>
      <c r="D113" s="860">
        <f>Calculation!AI116</f>
        <v>0</v>
      </c>
      <c r="E113" s="860">
        <f>Calculation!AE116</f>
        <v>39.757899999999999</v>
      </c>
      <c r="F113" s="860">
        <f>Calculation!AF116</f>
        <v>43.269589999999994</v>
      </c>
      <c r="G113" s="860">
        <f>Calculation!AG116</f>
        <v>0</v>
      </c>
      <c r="H113" s="861">
        <f>Sheet1!H114</f>
        <v>1.98</v>
      </c>
      <c r="I113" s="841">
        <f>Sheet1!DA114</f>
        <v>1850</v>
      </c>
      <c r="J113" s="841">
        <f>Sheet1!DB114</f>
        <v>1150</v>
      </c>
      <c r="K113" s="841">
        <f>Sheet1!CZ114</f>
        <v>1220</v>
      </c>
      <c r="L113" s="865">
        <f>Calculation!F116</f>
        <v>250</v>
      </c>
      <c r="M113" s="865">
        <f>Calculation!E116</f>
        <v>250</v>
      </c>
      <c r="N113" s="865">
        <f>Calculation!D116</f>
        <v>300</v>
      </c>
      <c r="O113" s="888">
        <f>Sheet1!DC114</f>
        <v>1148.5</v>
      </c>
      <c r="P113" s="889" t="e">
        <f>Calculation!FD116</f>
        <v>#N/A</v>
      </c>
      <c r="Q113" s="895">
        <f>Calculation!DP116</f>
        <v>30434.000000078111</v>
      </c>
      <c r="R113" s="888">
        <f t="shared" si="20"/>
        <v>29815.000000078111</v>
      </c>
      <c r="S113" s="890">
        <f t="shared" si="26"/>
        <v>656.80000000234941</v>
      </c>
      <c r="T113" s="895">
        <f ca="1">IF(A113&gt;$A$1,#N/A,VLOOKUP(A113,Calculation!$B$8:$JO$503,40,FALSE))</f>
        <v>9766.9404111658641</v>
      </c>
      <c r="U113" s="890">
        <f t="shared" si="27"/>
        <v>0</v>
      </c>
      <c r="V113" s="890">
        <f>Calculation!AZ116</f>
        <v>0</v>
      </c>
      <c r="W113" s="895">
        <f t="shared" ca="1" si="32"/>
        <v>0</v>
      </c>
      <c r="X113" s="890">
        <v>0</v>
      </c>
      <c r="Y113" s="890">
        <f t="shared" ca="1" si="33"/>
        <v>0</v>
      </c>
      <c r="Z113" s="890">
        <f t="shared" ca="1" si="29"/>
        <v>0</v>
      </c>
      <c r="AA113" s="890">
        <f t="shared" ca="1" si="34"/>
        <v>0</v>
      </c>
      <c r="AB113" s="895">
        <f t="shared" ca="1" si="23"/>
        <v>20667.059588912249</v>
      </c>
      <c r="AC113" s="980">
        <f t="shared" ca="1" si="21"/>
        <v>20048.059588912249</v>
      </c>
      <c r="AD113" s="860" t="e">
        <f ca="1">IF(A113&gt;$A$1, #N/A,VLOOKUP(A113,Calculation!$B$8:$JO$880,165,FALSE))</f>
        <v>#N/A</v>
      </c>
      <c r="AE113" s="399" t="e">
        <f t="shared" ca="1" si="30"/>
        <v>#N/A</v>
      </c>
      <c r="AF113" s="399"/>
      <c r="AG113" s="841">
        <f>Calculation!G116</f>
        <v>1551.2153303087994</v>
      </c>
      <c r="AH113" s="847" t="str">
        <f t="shared" si="31"/>
        <v>Yes</v>
      </c>
      <c r="AI113" s="847" t="str">
        <f>IF(Calculation!K116&gt;0,"Yes","No")</f>
        <v>Yes</v>
      </c>
      <c r="AJ113" s="869">
        <v>27922.800000069972</v>
      </c>
      <c r="AK113" s="870">
        <v>16599.100000040307</v>
      </c>
      <c r="AL113" s="870">
        <v>22304.200000056644</v>
      </c>
      <c r="AN113" s="372">
        <v>31242.000000080694</v>
      </c>
      <c r="AO113" s="372">
        <v>42349.000000104839</v>
      </c>
      <c r="AP113" s="372">
        <v>31568.000000080014</v>
      </c>
      <c r="AU113" s="427"/>
      <c r="AV113" s="410"/>
      <c r="AW113" s="442"/>
      <c r="AX113" s="441"/>
      <c r="AY113" s="441"/>
      <c r="AZ113" s="443"/>
      <c r="BB113" s="433"/>
      <c r="BC113" s="432"/>
      <c r="BD113" s="433"/>
      <c r="BE113" s="432"/>
      <c r="BF113" s="433"/>
      <c r="BG113" s="432"/>
      <c r="BH113" s="429"/>
    </row>
    <row r="114" spans="1:60" ht="13.8" thickBot="1" x14ac:dyDescent="0.3">
      <c r="A114" s="406">
        <v>42841</v>
      </c>
      <c r="B114" s="860">
        <f t="shared" si="25"/>
        <v>83.244069999999994</v>
      </c>
      <c r="C114" s="860">
        <f>Calculation!AK117</f>
        <v>82.919713139427515</v>
      </c>
      <c r="D114" s="860">
        <f>Calculation!AI117</f>
        <v>0</v>
      </c>
      <c r="E114" s="860">
        <f>Calculation!AE117</f>
        <v>39.912599999999998</v>
      </c>
      <c r="F114" s="860">
        <f>Calculation!AF117</f>
        <v>43.331470000000003</v>
      </c>
      <c r="G114" s="860">
        <f>Calculation!AG117</f>
        <v>0</v>
      </c>
      <c r="H114" s="861">
        <f>Sheet1!H115</f>
        <v>2.29</v>
      </c>
      <c r="I114" s="841">
        <f>Sheet1!DA115</f>
        <v>1800</v>
      </c>
      <c r="J114" s="841">
        <f>Sheet1!DB115</f>
        <v>1150</v>
      </c>
      <c r="K114" s="841">
        <f>Sheet1!CZ115</f>
        <v>1220</v>
      </c>
      <c r="L114" s="865">
        <f>Calculation!F117</f>
        <v>250</v>
      </c>
      <c r="M114" s="865">
        <f>Calculation!E117</f>
        <v>250</v>
      </c>
      <c r="N114" s="865">
        <f>Calculation!D117</f>
        <v>300</v>
      </c>
      <c r="O114" s="888">
        <f>Sheet1!DC115</f>
        <v>1148.93</v>
      </c>
      <c r="P114" s="889" t="e">
        <f>Calculation!FD117</f>
        <v>#N/A</v>
      </c>
      <c r="Q114" s="895">
        <f>Calculation!DP117</f>
        <v>30817.700000078516</v>
      </c>
      <c r="R114" s="888">
        <f t="shared" si="20"/>
        <v>30198.700000078516</v>
      </c>
      <c r="S114" s="890">
        <f t="shared" si="26"/>
        <v>383.70000000040454</v>
      </c>
      <c r="T114" s="895">
        <f ca="1">IF(A114&gt;$A$1,#N/A,VLOOKUP(A114,Calculation!$B$8:$JO$503,40,FALSE))</f>
        <v>9931.3862288205255</v>
      </c>
      <c r="U114" s="890">
        <f t="shared" si="27"/>
        <v>0</v>
      </c>
      <c r="V114" s="890">
        <f>Calculation!AZ117</f>
        <v>0</v>
      </c>
      <c r="W114" s="895">
        <f t="shared" ca="1" si="32"/>
        <v>0</v>
      </c>
      <c r="X114" s="890">
        <v>0</v>
      </c>
      <c r="Y114" s="890">
        <f t="shared" ca="1" si="33"/>
        <v>0</v>
      </c>
      <c r="Z114" s="890">
        <f t="shared" ca="1" si="29"/>
        <v>0</v>
      </c>
      <c r="AA114" s="890">
        <f t="shared" ca="1" si="34"/>
        <v>0</v>
      </c>
      <c r="AB114" s="895">
        <f t="shared" ca="1" si="23"/>
        <v>20886.313771257992</v>
      </c>
      <c r="AC114" s="980">
        <f t="shared" ca="1" si="21"/>
        <v>20267.313771257992</v>
      </c>
      <c r="AD114" s="860" t="e">
        <f ca="1">IF(A114&gt;$A$1, #N/A,VLOOKUP(A114,Calculation!$B$8:$JO$880,165,FALSE))</f>
        <v>#N/A</v>
      </c>
      <c r="AE114" s="399" t="e">
        <f t="shared" ca="1" si="30"/>
        <v>#N/A</v>
      </c>
      <c r="AF114" s="399"/>
      <c r="AG114" s="841">
        <f>Calculation!G117</f>
        <v>1413.4947049926398</v>
      </c>
      <c r="AH114" s="847" t="str">
        <f t="shared" si="31"/>
        <v>Yes</v>
      </c>
      <c r="AI114" s="847" t="str">
        <f>IF(Calculation!K117&gt;0,"Yes","No")</f>
        <v>Yes</v>
      </c>
      <c r="AJ114" s="869">
        <v>28598.520000072065</v>
      </c>
      <c r="AK114" s="870">
        <v>16883.800000041854</v>
      </c>
      <c r="AL114" s="870">
        <v>23139.300000058094</v>
      </c>
      <c r="AN114" s="372">
        <v>31913.80000008221</v>
      </c>
      <c r="AO114" s="372">
        <v>42763.300000106072</v>
      </c>
      <c r="AP114" s="372">
        <v>32005.80000008221</v>
      </c>
      <c r="AU114" s="427"/>
      <c r="AV114" s="410"/>
      <c r="AW114" s="442"/>
      <c r="AX114" s="441"/>
      <c r="AY114" s="441"/>
      <c r="AZ114" s="443"/>
      <c r="BB114" s="433"/>
      <c r="BC114" s="432"/>
      <c r="BD114" s="433"/>
      <c r="BE114" s="432"/>
      <c r="BF114" s="433"/>
      <c r="BG114" s="432"/>
      <c r="BH114" s="429"/>
    </row>
    <row r="115" spans="1:60" ht="13.8" thickBot="1" x14ac:dyDescent="0.3">
      <c r="A115" s="406">
        <v>42842</v>
      </c>
      <c r="B115" s="860">
        <f t="shared" si="25"/>
        <v>87.91601</v>
      </c>
      <c r="C115" s="860">
        <f>Calculation!AK118</f>
        <v>83.538814210526311</v>
      </c>
      <c r="D115" s="860">
        <f>Calculation!AI118</f>
        <v>0</v>
      </c>
      <c r="E115" s="860">
        <f>Calculation!AE118</f>
        <v>39.804310000000001</v>
      </c>
      <c r="F115" s="860">
        <f>Calculation!AF118</f>
        <v>48.111699999999999</v>
      </c>
      <c r="G115" s="860">
        <f>Calculation!AG118</f>
        <v>0</v>
      </c>
      <c r="H115" s="861">
        <f>Sheet1!H116</f>
        <v>2.39</v>
      </c>
      <c r="I115" s="841">
        <f>Sheet1!DA116</f>
        <v>1780</v>
      </c>
      <c r="J115" s="841">
        <f>Sheet1!DB116</f>
        <v>1140</v>
      </c>
      <c r="K115" s="841">
        <f>Sheet1!CZ116</f>
        <v>1230</v>
      </c>
      <c r="L115" s="865">
        <f>Calculation!F118</f>
        <v>250</v>
      </c>
      <c r="M115" s="865">
        <f>Calculation!E118</f>
        <v>250</v>
      </c>
      <c r="N115" s="865">
        <f>Calculation!D118</f>
        <v>300</v>
      </c>
      <c r="O115" s="888">
        <f>Sheet1!DC116</f>
        <v>1149.26</v>
      </c>
      <c r="P115" s="889" t="e">
        <f>Calculation!FD118</f>
        <v>#N/A</v>
      </c>
      <c r="Q115" s="895">
        <f>Calculation!DP118</f>
        <v>31115.600000080489</v>
      </c>
      <c r="R115" s="888">
        <f t="shared" si="20"/>
        <v>30496.600000080489</v>
      </c>
      <c r="S115" s="890">
        <f t="shared" si="26"/>
        <v>297.90000000197324</v>
      </c>
      <c r="T115" s="895">
        <f ca="1">IF(A115&gt;$A$1,#N/A,VLOOKUP(A115,Calculation!$B$8:$JO$503,40,FALSE))</f>
        <v>10097.059843557368</v>
      </c>
      <c r="U115" s="890">
        <f t="shared" si="27"/>
        <v>0</v>
      </c>
      <c r="V115" s="890">
        <f>Calculation!AZ118</f>
        <v>0</v>
      </c>
      <c r="W115" s="895">
        <f t="shared" ca="1" si="32"/>
        <v>0</v>
      </c>
      <c r="X115" s="890">
        <v>0</v>
      </c>
      <c r="Y115" s="890">
        <f t="shared" ca="1" si="33"/>
        <v>0</v>
      </c>
      <c r="Z115" s="890">
        <f t="shared" ca="1" si="29"/>
        <v>0</v>
      </c>
      <c r="AA115" s="890">
        <f t="shared" ca="1" si="34"/>
        <v>0</v>
      </c>
      <c r="AB115" s="895">
        <f t="shared" ca="1" si="23"/>
        <v>21018.540156523122</v>
      </c>
      <c r="AC115" s="980">
        <f t="shared" ca="1" si="21"/>
        <v>20399.540156523122</v>
      </c>
      <c r="AD115" s="860" t="e">
        <f ca="1">IF(A115&gt;$A$1, #N/A,VLOOKUP(A115,Calculation!$B$8:$JO$880,165,FALSE))</f>
        <v>#N/A</v>
      </c>
      <c r="AE115" s="399" t="e">
        <f t="shared" ca="1" si="30"/>
        <v>#N/A</v>
      </c>
      <c r="AF115" s="399"/>
      <c r="AG115" s="841">
        <f>Calculation!G118</f>
        <v>1380.2269288966077</v>
      </c>
      <c r="AH115" s="847" t="str">
        <f t="shared" si="31"/>
        <v>Yes</v>
      </c>
      <c r="AI115" s="847" t="str">
        <f>IF(Calculation!K118&gt;0,"Yes","No")</f>
        <v>Yes</v>
      </c>
      <c r="AJ115" s="869">
        <v>29305.680000072643</v>
      </c>
      <c r="AK115" s="870">
        <v>17607.400000043966</v>
      </c>
      <c r="AL115" s="870">
        <v>23703.500000060198</v>
      </c>
      <c r="AN115" s="372">
        <v>33282.60000008416</v>
      </c>
      <c r="AO115" s="372">
        <v>43095.000000106564</v>
      </c>
      <c r="AP115" s="372">
        <v>32400.400000082627</v>
      </c>
      <c r="AU115" s="427"/>
      <c r="AV115" s="410"/>
      <c r="AW115" s="442"/>
      <c r="AX115" s="441"/>
      <c r="AY115" s="441"/>
      <c r="AZ115" s="443"/>
      <c r="BB115" s="433"/>
      <c r="BC115" s="432"/>
      <c r="BD115" s="433"/>
      <c r="BE115" s="432"/>
      <c r="BF115" s="433"/>
      <c r="BG115" s="432"/>
      <c r="BH115" s="429"/>
    </row>
    <row r="116" spans="1:60" ht="13.8" thickBot="1" x14ac:dyDescent="0.3">
      <c r="A116" s="406">
        <v>42843</v>
      </c>
      <c r="B116" s="860">
        <f t="shared" si="25"/>
        <v>94.800159999999991</v>
      </c>
      <c r="C116" s="860">
        <f>Calculation!AK119</f>
        <v>83.626747974305346</v>
      </c>
      <c r="D116" s="860">
        <f>Calculation!AI119</f>
        <v>0</v>
      </c>
      <c r="E116" s="860">
        <f>Calculation!AE119</f>
        <v>42.960189999999997</v>
      </c>
      <c r="F116" s="860">
        <f>Calculation!AF119</f>
        <v>51.839969999999994</v>
      </c>
      <c r="G116" s="860">
        <f>Calculation!AG119</f>
        <v>0</v>
      </c>
      <c r="H116" s="861">
        <f>Sheet1!H117</f>
        <v>2</v>
      </c>
      <c r="I116" s="841">
        <f>Sheet1!DA117</f>
        <v>1860</v>
      </c>
      <c r="J116" s="841">
        <f>Sheet1!DB117</f>
        <v>1250</v>
      </c>
      <c r="K116" s="841">
        <f>Sheet1!CZ117</f>
        <v>1330</v>
      </c>
      <c r="L116" s="865">
        <f>Calculation!F119</f>
        <v>250</v>
      </c>
      <c r="M116" s="865">
        <f>Calculation!E119</f>
        <v>250</v>
      </c>
      <c r="N116" s="865">
        <f>Calculation!D119</f>
        <v>300</v>
      </c>
      <c r="O116" s="888">
        <f>Sheet1!DC117</f>
        <v>1149.77</v>
      </c>
      <c r="P116" s="889" t="e">
        <f>Calculation!FD119</f>
        <v>#N/A</v>
      </c>
      <c r="Q116" s="895">
        <f>Calculation!DP119</f>
        <v>31577.000000080014</v>
      </c>
      <c r="R116" s="888">
        <f t="shared" si="20"/>
        <v>30958.000000080014</v>
      </c>
      <c r="S116" s="890">
        <f t="shared" si="26"/>
        <v>461.39999999952488</v>
      </c>
      <c r="T116" s="895">
        <f ca="1">IF(A116&gt;$A$1,#N/A,VLOOKUP(A116,Calculation!$B$8:$JO$503,40,FALSE))</f>
        <v>10262.907847943387</v>
      </c>
      <c r="U116" s="890">
        <f t="shared" si="27"/>
        <v>0</v>
      </c>
      <c r="V116" s="890">
        <f>Calculation!AZ119</f>
        <v>0</v>
      </c>
      <c r="W116" s="895">
        <f t="shared" ca="1" si="32"/>
        <v>0</v>
      </c>
      <c r="X116" s="890">
        <v>0</v>
      </c>
      <c r="Y116" s="890">
        <f t="shared" ca="1" si="33"/>
        <v>0</v>
      </c>
      <c r="Z116" s="890">
        <f t="shared" ca="1" si="29"/>
        <v>0</v>
      </c>
      <c r="AA116" s="890">
        <f t="shared" ca="1" si="34"/>
        <v>0</v>
      </c>
      <c r="AB116" s="895">
        <f t="shared" ca="1" si="23"/>
        <v>21314.092152136625</v>
      </c>
      <c r="AC116" s="980">
        <f t="shared" ca="1" si="21"/>
        <v>20695.092152136625</v>
      </c>
      <c r="AD116" s="860" t="e">
        <f ca="1">IF(A116&gt;$A$1, #N/A,VLOOKUP(A116,Calculation!$B$8:$JO$880,165,FALSE))</f>
        <v>#N/A</v>
      </c>
      <c r="AE116" s="399" t="e">
        <f t="shared" ca="1" si="30"/>
        <v>#N/A</v>
      </c>
      <c r="AF116" s="399"/>
      <c r="AG116" s="841">
        <f>Calculation!G119</f>
        <v>1562.6777609679903</v>
      </c>
      <c r="AH116" s="847" t="str">
        <f t="shared" si="31"/>
        <v>Yes</v>
      </c>
      <c r="AI116" s="847" t="str">
        <f>IF(Calculation!K119&gt;0,"Yes","No")</f>
        <v>Yes</v>
      </c>
      <c r="AJ116" s="869">
        <v>29779.350000074344</v>
      </c>
      <c r="AK116" s="870">
        <v>18369.900000044661</v>
      </c>
      <c r="AL116" s="870">
        <v>24371.500000062504</v>
      </c>
      <c r="AN116" s="372">
        <v>34110.000000086831</v>
      </c>
      <c r="AO116" s="372">
        <v>43309.000000106564</v>
      </c>
      <c r="AP116" s="372">
        <v>33124.000000085063</v>
      </c>
      <c r="AU116" s="427"/>
      <c r="AV116" s="410"/>
      <c r="AW116" s="442"/>
      <c r="AX116" s="441"/>
      <c r="AY116" s="441"/>
      <c r="AZ116" s="443"/>
      <c r="BB116" s="433"/>
      <c r="BC116" s="432"/>
      <c r="BD116" s="433"/>
      <c r="BE116" s="432"/>
      <c r="BF116" s="433"/>
      <c r="BG116" s="432"/>
      <c r="BH116" s="429"/>
    </row>
    <row r="117" spans="1:60" ht="13.8" thickBot="1" x14ac:dyDescent="0.3">
      <c r="A117" s="406">
        <v>42844</v>
      </c>
      <c r="B117" s="860">
        <f t="shared" si="25"/>
        <v>93.887429999999995</v>
      </c>
      <c r="C117" s="860">
        <f>Calculation!AK120</f>
        <v>83.764470655737696</v>
      </c>
      <c r="D117" s="860">
        <f>Calculation!AI120</f>
        <v>0</v>
      </c>
      <c r="E117" s="860">
        <f>Calculation!AE120</f>
        <v>41.768999999999998</v>
      </c>
      <c r="F117" s="860">
        <f>Calculation!AF120</f>
        <v>52.118429999999996</v>
      </c>
      <c r="G117" s="860">
        <f>Calculation!AG120</f>
        <v>0</v>
      </c>
      <c r="H117" s="861">
        <f>Sheet1!H118</f>
        <v>2.2999999999999998</v>
      </c>
      <c r="I117" s="841">
        <f>Sheet1!DA118</f>
        <v>2136</v>
      </c>
      <c r="J117" s="841">
        <f>Sheet1!DB118</f>
        <v>1470</v>
      </c>
      <c r="K117" s="841">
        <f>Sheet1!CZ118</f>
        <v>1549</v>
      </c>
      <c r="L117" s="865">
        <f>Calculation!F120</f>
        <v>250</v>
      </c>
      <c r="M117" s="865">
        <f>Calculation!E120</f>
        <v>250</v>
      </c>
      <c r="N117" s="865">
        <f>Calculation!D120</f>
        <v>300</v>
      </c>
      <c r="O117" s="888">
        <f>Sheet1!DC118</f>
        <v>1150.17</v>
      </c>
      <c r="P117" s="889" t="e">
        <f>Calculation!FD120</f>
        <v>#N/A</v>
      </c>
      <c r="Q117" s="895">
        <f>Calculation!DP120</f>
        <v>31941.400000082209</v>
      </c>
      <c r="R117" s="888">
        <f t="shared" si="20"/>
        <v>31322.400000082209</v>
      </c>
      <c r="S117" s="890">
        <f t="shared" si="26"/>
        <v>364.40000000219516</v>
      </c>
      <c r="T117" s="895">
        <f ca="1">IF(A117&gt;$A$1,#N/A,VLOOKUP(A117,Calculation!$B$8:$JO$503,40,FALSE))</f>
        <v>10429.028983025353</v>
      </c>
      <c r="U117" s="890">
        <f t="shared" si="27"/>
        <v>0</v>
      </c>
      <c r="V117" s="890">
        <f>Calculation!AZ120</f>
        <v>0</v>
      </c>
      <c r="W117" s="895">
        <f t="shared" ca="1" si="32"/>
        <v>0</v>
      </c>
      <c r="X117" s="890">
        <v>0</v>
      </c>
      <c r="Y117" s="890">
        <f t="shared" ca="1" si="33"/>
        <v>0</v>
      </c>
      <c r="Z117" s="890">
        <f t="shared" ca="1" si="29"/>
        <v>0</v>
      </c>
      <c r="AA117" s="890">
        <f t="shared" ca="1" si="34"/>
        <v>0</v>
      </c>
      <c r="AB117" s="895">
        <f t="shared" ca="1" si="23"/>
        <v>21512.371017056856</v>
      </c>
      <c r="AC117" s="980">
        <f t="shared" ca="1" si="21"/>
        <v>20893.371017056856</v>
      </c>
      <c r="AD117" s="860" t="e">
        <f ca="1">IF(A117&gt;$A$1, #N/A,VLOOKUP(A117,Calculation!$B$8:$JO$880,165,FALSE))</f>
        <v>#N/A</v>
      </c>
      <c r="AE117" s="399" t="e">
        <f t="shared" ca="1" si="30"/>
        <v>#N/A</v>
      </c>
      <c r="AF117" s="399"/>
      <c r="AG117" s="841">
        <f>Calculation!G120</f>
        <v>1732.761976803931</v>
      </c>
      <c r="AH117" s="847" t="str">
        <f t="shared" si="31"/>
        <v>Yes</v>
      </c>
      <c r="AI117" s="847" t="str">
        <f>IF(Calculation!K120&gt;0,"Yes","No")</f>
        <v>Yes</v>
      </c>
      <c r="AJ117" s="869">
        <v>30038.850000074541</v>
      </c>
      <c r="AK117" s="870">
        <v>18794.800000047293</v>
      </c>
      <c r="AL117" s="870">
        <v>28245.000000074378</v>
      </c>
      <c r="AN117" s="372">
        <v>34299.00000008705</v>
      </c>
      <c r="AO117" s="372">
        <v>43597.900000106805</v>
      </c>
      <c r="AP117" s="372">
        <v>34441.000000086133</v>
      </c>
      <c r="AU117" s="427"/>
      <c r="AV117" s="410"/>
      <c r="AW117" s="442"/>
      <c r="AX117" s="441"/>
      <c r="AY117" s="441"/>
      <c r="AZ117" s="443"/>
      <c r="BB117" s="433"/>
      <c r="BC117" s="432"/>
      <c r="BD117" s="433"/>
      <c r="BE117" s="432"/>
      <c r="BF117" s="433"/>
      <c r="BG117" s="432"/>
      <c r="BH117" s="429"/>
    </row>
    <row r="118" spans="1:60" ht="13.8" thickBot="1" x14ac:dyDescent="0.3">
      <c r="A118" s="406">
        <v>42845</v>
      </c>
      <c r="B118" s="860">
        <f t="shared" si="25"/>
        <v>80.753399999999999</v>
      </c>
      <c r="C118" s="860">
        <f>Calculation!AK121</f>
        <v>83.824771719745215</v>
      </c>
      <c r="D118" s="860">
        <f>Calculation!AI121</f>
        <v>0</v>
      </c>
      <c r="E118" s="860">
        <f>Calculation!AE121</f>
        <v>39.603200000000001</v>
      </c>
      <c r="F118" s="860">
        <f>Calculation!AF121</f>
        <v>41.150199999999998</v>
      </c>
      <c r="G118" s="860">
        <f>Calculation!AG121</f>
        <v>0</v>
      </c>
      <c r="H118" s="861">
        <f>Sheet1!H119</f>
        <v>1.82</v>
      </c>
      <c r="I118" s="841">
        <f>Sheet1!DA119</f>
        <v>2213</v>
      </c>
      <c r="J118" s="841">
        <f>Sheet1!DB119</f>
        <v>1480</v>
      </c>
      <c r="K118" s="841">
        <f>Sheet1!CZ119</f>
        <v>1549</v>
      </c>
      <c r="L118" s="865">
        <f>Calculation!F121</f>
        <v>250</v>
      </c>
      <c r="M118" s="865">
        <f>Calculation!E121</f>
        <v>250</v>
      </c>
      <c r="N118" s="865">
        <f>Calculation!D121</f>
        <v>300</v>
      </c>
      <c r="O118" s="888">
        <f>Sheet1!DC119</f>
        <v>1150.54</v>
      </c>
      <c r="P118" s="889" t="e">
        <f>Calculation!FD121</f>
        <v>#N/A</v>
      </c>
      <c r="Q118" s="895">
        <f>Calculation!DP121</f>
        <v>32281.400000081521</v>
      </c>
      <c r="R118" s="888">
        <f t="shared" si="20"/>
        <v>31662.400000081521</v>
      </c>
      <c r="S118" s="890">
        <f t="shared" si="26"/>
        <v>339.99999999931242</v>
      </c>
      <c r="T118" s="895">
        <f ca="1">IF(A118&gt;$A$1,#N/A,VLOOKUP(A118,Calculation!$B$8:$JO$503,40,FALSE))</f>
        <v>10595.269706772076</v>
      </c>
      <c r="U118" s="890">
        <f t="shared" si="27"/>
        <v>0</v>
      </c>
      <c r="V118" s="890">
        <f>Calculation!AZ121</f>
        <v>0</v>
      </c>
      <c r="W118" s="895">
        <f t="shared" ca="1" si="32"/>
        <v>0</v>
      </c>
      <c r="X118" s="890">
        <v>0</v>
      </c>
      <c r="Y118" s="890">
        <f t="shared" ca="1" si="33"/>
        <v>0</v>
      </c>
      <c r="Z118" s="890">
        <f t="shared" ca="1" si="29"/>
        <v>0</v>
      </c>
      <c r="AA118" s="890">
        <f t="shared" ca="1" si="34"/>
        <v>0</v>
      </c>
      <c r="AB118" s="895">
        <f t="shared" ca="1" si="23"/>
        <v>21686.130293309445</v>
      </c>
      <c r="AC118" s="980">
        <f t="shared" ca="1" si="21"/>
        <v>21067.130293309445</v>
      </c>
      <c r="AD118" s="860" t="e">
        <f ca="1">IF(A118&gt;$A$1, #N/A,VLOOKUP(A118,Calculation!$B$8:$JO$880,165,FALSE))</f>
        <v>#N/A</v>
      </c>
      <c r="AE118" s="399" t="e">
        <f t="shared" ca="1" si="30"/>
        <v>#N/A</v>
      </c>
      <c r="AF118" s="399"/>
      <c r="AG118" s="841">
        <f>Calculation!G121</f>
        <v>1720.4573877959215</v>
      </c>
      <c r="AH118" s="847" t="str">
        <f t="shared" si="31"/>
        <v>Yes</v>
      </c>
      <c r="AI118" s="847" t="str">
        <f>IF(Calculation!K121&gt;0,"Yes","No")</f>
        <v>Yes</v>
      </c>
      <c r="AJ118" s="869">
        <v>30237.800000074738</v>
      </c>
      <c r="AK118" s="870">
        <v>19388.000000048625</v>
      </c>
      <c r="AL118" s="870">
        <v>28357.800000073719</v>
      </c>
      <c r="AN118" s="372">
        <v>33958.600000085709</v>
      </c>
      <c r="AO118" s="372">
        <v>43801.800000108051</v>
      </c>
      <c r="AP118" s="372">
        <v>36138.80000009136</v>
      </c>
      <c r="AU118" s="427"/>
      <c r="AV118" s="410"/>
      <c r="AW118" s="442"/>
      <c r="AX118" s="441"/>
      <c r="AY118" s="441"/>
      <c r="AZ118" s="443"/>
      <c r="BB118" s="433"/>
      <c r="BC118" s="432"/>
      <c r="BD118" s="433"/>
      <c r="BE118" s="432"/>
      <c r="BF118" s="433"/>
      <c r="BG118" s="432"/>
      <c r="BH118" s="429"/>
    </row>
    <row r="119" spans="1:60" ht="13.8" thickBot="1" x14ac:dyDescent="0.3">
      <c r="A119" s="406">
        <v>42846</v>
      </c>
      <c r="B119" s="860">
        <f t="shared" si="25"/>
        <v>76.746669999999995</v>
      </c>
      <c r="C119" s="860">
        <f>Calculation!AK122</f>
        <v>83.311364499999996</v>
      </c>
      <c r="D119" s="860">
        <f>Calculation!AI122</f>
        <v>0</v>
      </c>
      <c r="E119" s="860">
        <f>Calculation!AE122</f>
        <v>39.665079999999996</v>
      </c>
      <c r="F119" s="860">
        <f>Calculation!AF122</f>
        <v>37.081589999999998</v>
      </c>
      <c r="G119" s="860">
        <f>Calculation!AG122</f>
        <v>0</v>
      </c>
      <c r="H119" s="861">
        <f>Sheet1!H120</f>
        <v>1.83</v>
      </c>
      <c r="I119" s="841">
        <f>Sheet1!DA120</f>
        <v>2420</v>
      </c>
      <c r="J119" s="841">
        <f>Sheet1!DB120</f>
        <v>1740</v>
      </c>
      <c r="K119" s="841">
        <f>Sheet1!CZ120</f>
        <v>1850</v>
      </c>
      <c r="L119" s="865">
        <f>Calculation!F122</f>
        <v>250</v>
      </c>
      <c r="M119" s="865">
        <f>Calculation!E122</f>
        <v>250</v>
      </c>
      <c r="N119" s="865">
        <f>Calculation!D122</f>
        <v>300</v>
      </c>
      <c r="O119" s="888">
        <f>Sheet1!DC120</f>
        <v>1150.99</v>
      </c>
      <c r="P119" s="889" t="e">
        <f>Calculation!FD122</f>
        <v>#N/A</v>
      </c>
      <c r="Q119" s="895">
        <f>Calculation!DP122</f>
        <v>32694.800000082836</v>
      </c>
      <c r="R119" s="888">
        <f t="shared" si="20"/>
        <v>32075.800000082836</v>
      </c>
      <c r="S119" s="890">
        <f t="shared" si="26"/>
        <v>413.40000000131477</v>
      </c>
      <c r="T119" s="895">
        <f ca="1">IF(A119&gt;$A$1,#N/A,VLOOKUP(A119,Calculation!$B$8:$JO$503,40,FALSE))</f>
        <v>10760.492244772076</v>
      </c>
      <c r="U119" s="890">
        <f t="shared" si="27"/>
        <v>0</v>
      </c>
      <c r="V119" s="890">
        <f>Calculation!AZ122</f>
        <v>0</v>
      </c>
      <c r="W119" s="895">
        <f t="shared" ca="1" si="32"/>
        <v>0</v>
      </c>
      <c r="X119" s="890">
        <v>0</v>
      </c>
      <c r="Y119" s="890">
        <f t="shared" ca="1" si="33"/>
        <v>0</v>
      </c>
      <c r="Z119" s="890">
        <f t="shared" ca="1" si="29"/>
        <v>0</v>
      </c>
      <c r="AA119" s="890">
        <f t="shared" ca="1" si="34"/>
        <v>0</v>
      </c>
      <c r="AB119" s="895">
        <f t="shared" ca="1" si="23"/>
        <v>21934.307755310758</v>
      </c>
      <c r="AC119" s="980">
        <f t="shared" ca="1" si="21"/>
        <v>21315.307755310758</v>
      </c>
      <c r="AD119" s="860" t="e">
        <f ca="1">IF(A119&gt;$A$1, #N/A,VLOOKUP(A119,Calculation!$B$8:$JO$880,165,FALSE))</f>
        <v>#N/A</v>
      </c>
      <c r="AE119" s="399" t="e">
        <f t="shared" ca="1" si="30"/>
        <v>#N/A</v>
      </c>
      <c r="AF119" s="399"/>
      <c r="AG119" s="841">
        <f>Calculation!G122</f>
        <v>2058.4720121035375</v>
      </c>
      <c r="AH119" s="847" t="str">
        <f t="shared" si="31"/>
        <v>Yes</v>
      </c>
      <c r="AI119" s="847" t="str">
        <f>IF(Calculation!K122&gt;0,"Yes","No")</f>
        <v>Yes</v>
      </c>
      <c r="AJ119" s="869">
        <v>30438.70000007606</v>
      </c>
      <c r="AK119" s="870">
        <v>21627.000000054431</v>
      </c>
      <c r="AL119" s="870">
        <v>28738.200000073914</v>
      </c>
      <c r="AN119" s="372">
        <v>33826.00000008662</v>
      </c>
      <c r="AO119" s="372">
        <v>43953.000000109299</v>
      </c>
      <c r="AP119" s="372">
        <v>37989.800000095995</v>
      </c>
      <c r="AU119" s="427"/>
      <c r="AV119" s="410"/>
      <c r="AW119" s="442"/>
      <c r="AX119" s="441"/>
      <c r="AY119" s="441"/>
      <c r="AZ119" s="443"/>
      <c r="BB119" s="433"/>
      <c r="BC119" s="432"/>
      <c r="BD119" s="433"/>
      <c r="BE119" s="432"/>
      <c r="BF119" s="433"/>
      <c r="BG119" s="432"/>
      <c r="BH119" s="429"/>
    </row>
    <row r="120" spans="1:60" ht="13.8" thickBot="1" x14ac:dyDescent="0.3">
      <c r="A120" s="406">
        <v>42847</v>
      </c>
      <c r="B120" s="860">
        <f t="shared" si="25"/>
        <v>76.870429999999999</v>
      </c>
      <c r="C120" s="860">
        <f>Calculation!AK123</f>
        <v>83.038895031133251</v>
      </c>
      <c r="D120" s="860">
        <f>Calculation!AI123</f>
        <v>0</v>
      </c>
      <c r="E120" s="860">
        <f>Calculation!AE123</f>
        <v>39.696019999999997</v>
      </c>
      <c r="F120" s="860">
        <f>Calculation!AF123</f>
        <v>37.174410000000002</v>
      </c>
      <c r="G120" s="860">
        <f>Calculation!AG123</f>
        <v>0</v>
      </c>
      <c r="H120" s="861">
        <f>Sheet1!H121</f>
        <v>1.72</v>
      </c>
      <c r="I120" s="841">
        <f>Sheet1!DA121</f>
        <v>2550</v>
      </c>
      <c r="J120" s="841">
        <f>Sheet1!DB121</f>
        <v>1740</v>
      </c>
      <c r="K120" s="841">
        <f>Sheet1!CZ121</f>
        <v>1850</v>
      </c>
      <c r="L120" s="865">
        <f>Calculation!F123</f>
        <v>250</v>
      </c>
      <c r="M120" s="865">
        <f>Calculation!E123</f>
        <v>250</v>
      </c>
      <c r="N120" s="865">
        <f>Calculation!D123</f>
        <v>300</v>
      </c>
      <c r="O120" s="888">
        <f>Sheet1!DC121</f>
        <v>1151.3399999999999</v>
      </c>
      <c r="P120" s="889" t="e">
        <f>Calculation!FD123</f>
        <v>#N/A</v>
      </c>
      <c r="Q120" s="895">
        <f>Calculation!DP123</f>
        <v>33021.200000083947</v>
      </c>
      <c r="R120" s="888">
        <f t="shared" si="20"/>
        <v>32402.200000083947</v>
      </c>
      <c r="S120" s="890">
        <f t="shared" si="26"/>
        <v>326.40000000111104</v>
      </c>
      <c r="T120" s="895">
        <f ca="1">IF(A120&gt;$A$1,#N/A,VLOOKUP(A120,Calculation!$B$8:$JO$503,40,FALSE))</f>
        <v>10925.174423153148</v>
      </c>
      <c r="U120" s="890">
        <f t="shared" si="27"/>
        <v>0</v>
      </c>
      <c r="V120" s="890">
        <f>Calculation!AZ123</f>
        <v>0</v>
      </c>
      <c r="W120" s="895">
        <f t="shared" ca="1" si="32"/>
        <v>0</v>
      </c>
      <c r="X120" s="890">
        <v>0</v>
      </c>
      <c r="Y120" s="890">
        <f t="shared" ca="1" si="33"/>
        <v>0</v>
      </c>
      <c r="Z120" s="890">
        <f t="shared" ca="1" si="29"/>
        <v>0</v>
      </c>
      <c r="AA120" s="890">
        <f t="shared" ca="1" si="34"/>
        <v>0</v>
      </c>
      <c r="AB120" s="895">
        <f t="shared" ca="1" si="23"/>
        <v>22096.025576930799</v>
      </c>
      <c r="AC120" s="980">
        <f t="shared" ca="1" si="21"/>
        <v>21477.025576930799</v>
      </c>
      <c r="AD120" s="860" t="e">
        <f ca="1">IF(A120&gt;$A$1, #N/A,VLOOKUP(A120,Calculation!$B$8:$JO$880,165,FALSE))</f>
        <v>#N/A</v>
      </c>
      <c r="AE120" s="399" t="e">
        <f t="shared" ca="1" si="30"/>
        <v>#N/A</v>
      </c>
      <c r="AF120" s="399"/>
      <c r="AG120" s="841">
        <f>Calculation!G123</f>
        <v>2014.5990922849778</v>
      </c>
      <c r="AH120" s="847" t="str">
        <f t="shared" si="31"/>
        <v>Yes</v>
      </c>
      <c r="AI120" s="847" t="str">
        <f>IF(Calculation!K123&gt;0,"Yes","No")</f>
        <v>Yes</v>
      </c>
      <c r="AJ120" s="869">
        <v>30500.160000076059</v>
      </c>
      <c r="AK120" s="870">
        <v>22469.800000056806</v>
      </c>
      <c r="AL120" s="870">
        <v>28721.000000073916</v>
      </c>
      <c r="AN120" s="372">
        <v>34394.000000086133</v>
      </c>
      <c r="AO120" s="372">
        <v>44105.200000108292</v>
      </c>
      <c r="AP120" s="372">
        <v>39517.800000098337</v>
      </c>
      <c r="AU120" s="427"/>
      <c r="AV120" s="410"/>
      <c r="AW120" s="442"/>
      <c r="AX120" s="441"/>
      <c r="AY120" s="441"/>
      <c r="AZ120" s="443"/>
      <c r="BB120" s="433"/>
      <c r="BC120" s="432"/>
      <c r="BD120" s="433"/>
      <c r="BE120" s="432"/>
      <c r="BF120" s="433"/>
      <c r="BG120" s="432"/>
      <c r="BH120" s="429"/>
    </row>
    <row r="121" spans="1:60" ht="13.8" thickBot="1" x14ac:dyDescent="0.3">
      <c r="A121" s="406">
        <v>42848</v>
      </c>
      <c r="B121" s="860">
        <f t="shared" si="25"/>
        <v>76.885899999999992</v>
      </c>
      <c r="C121" s="860">
        <f>Calculation!AK124</f>
        <v>83.051689958506216</v>
      </c>
      <c r="D121" s="860">
        <f>Calculation!AI124</f>
        <v>0</v>
      </c>
      <c r="E121" s="860">
        <f>Calculation!AE124</f>
        <v>39.757899999999999</v>
      </c>
      <c r="F121" s="860">
        <f>Calculation!AF124</f>
        <v>37.128</v>
      </c>
      <c r="G121" s="860">
        <f>Calculation!AG124</f>
        <v>0</v>
      </c>
      <c r="H121" s="861">
        <f>Sheet1!H122</f>
        <v>1.53</v>
      </c>
      <c r="I121" s="841">
        <f>Sheet1!DA122</f>
        <v>2590</v>
      </c>
      <c r="J121" s="841">
        <f>Sheet1!DB122</f>
        <v>1760</v>
      </c>
      <c r="K121" s="841">
        <f>Sheet1!CZ122</f>
        <v>1847</v>
      </c>
      <c r="L121" s="865">
        <f>Calculation!F124</f>
        <v>250</v>
      </c>
      <c r="M121" s="865">
        <f>Calculation!E124</f>
        <v>250</v>
      </c>
      <c r="N121" s="865">
        <f>Calculation!D124</f>
        <v>300</v>
      </c>
      <c r="O121" s="888">
        <f>Sheet1!DC122</f>
        <v>1151.8599999999999</v>
      </c>
      <c r="P121" s="889" t="e">
        <f>Calculation!FD124</f>
        <v>#N/A</v>
      </c>
      <c r="Q121" s="895">
        <f>Calculation!DP124</f>
        <v>33506.400000085276</v>
      </c>
      <c r="R121" s="888">
        <f t="shared" si="20"/>
        <v>32887.400000085276</v>
      </c>
      <c r="S121" s="890">
        <f t="shared" si="26"/>
        <v>485.20000000132859</v>
      </c>
      <c r="T121" s="895">
        <f ca="1">IF(A121&gt;$A$1,#N/A,VLOOKUP(A121,Calculation!$B$8:$JO$503,40,FALSE))</f>
        <v>11089.881976348168</v>
      </c>
      <c r="U121" s="890">
        <f t="shared" si="27"/>
        <v>0</v>
      </c>
      <c r="V121" s="890">
        <f>Calculation!AZ124</f>
        <v>0</v>
      </c>
      <c r="W121" s="895">
        <f t="shared" ca="1" si="32"/>
        <v>0</v>
      </c>
      <c r="X121" s="890">
        <v>0</v>
      </c>
      <c r="Y121" s="890">
        <f t="shared" ca="1" si="33"/>
        <v>0</v>
      </c>
      <c r="Z121" s="890">
        <f t="shared" ca="1" si="29"/>
        <v>0</v>
      </c>
      <c r="AA121" s="890">
        <f t="shared" ca="1" si="34"/>
        <v>0</v>
      </c>
      <c r="AB121" s="895">
        <f t="shared" ca="1" si="23"/>
        <v>22416.51802373711</v>
      </c>
      <c r="AC121" s="980">
        <f t="shared" ca="1" si="21"/>
        <v>21797.51802373711</v>
      </c>
      <c r="AD121" s="860" t="e">
        <f ca="1">IF(A121&gt;$A$1, #N/A,VLOOKUP(A121,Calculation!$B$8:$JO$880,165,FALSE))</f>
        <v>#N/A</v>
      </c>
      <c r="AE121" s="399" t="e">
        <f t="shared" ca="1" si="30"/>
        <v>#N/A</v>
      </c>
      <c r="AF121" s="399"/>
      <c r="AG121" s="841">
        <f>Calculation!G124</f>
        <v>2091.6797781146388</v>
      </c>
      <c r="AH121" s="847" t="str">
        <f t="shared" si="31"/>
        <v>Yes</v>
      </c>
      <c r="AI121" s="847" t="str">
        <f>IF(Calculation!K124&gt;0,"Yes","No")</f>
        <v>Yes</v>
      </c>
      <c r="AJ121" s="869">
        <v>30658.20000007626</v>
      </c>
      <c r="AK121" s="870">
        <v>23073.600000058093</v>
      </c>
      <c r="AL121" s="870">
        <v>28937.000000074971</v>
      </c>
      <c r="AN121" s="372">
        <v>35160.000000088621</v>
      </c>
      <c r="AO121" s="372">
        <v>44224.000000108543</v>
      </c>
      <c r="AP121" s="372">
        <v>40487.900000100235</v>
      </c>
      <c r="AU121" s="427"/>
      <c r="AV121" s="410"/>
      <c r="AW121" s="442"/>
      <c r="AX121" s="441"/>
      <c r="AY121" s="441"/>
      <c r="AZ121" s="443"/>
      <c r="BB121" s="433"/>
      <c r="BC121" s="432"/>
      <c r="BD121" s="433"/>
      <c r="BE121" s="432"/>
      <c r="BF121" s="433"/>
      <c r="BG121" s="432"/>
      <c r="BH121" s="429"/>
    </row>
    <row r="122" spans="1:60" ht="13.8" thickBot="1" x14ac:dyDescent="0.3">
      <c r="A122" s="406">
        <v>42849</v>
      </c>
      <c r="B122" s="860">
        <f t="shared" si="25"/>
        <v>78.695889999999991</v>
      </c>
      <c r="C122" s="860">
        <f>Calculation!AK125</f>
        <v>83.384841516345006</v>
      </c>
      <c r="D122" s="860">
        <f>Calculation!AI125</f>
        <v>0</v>
      </c>
      <c r="E122" s="860">
        <f>Calculation!AE125</f>
        <v>39.603200000000001</v>
      </c>
      <c r="F122" s="860">
        <f>Calculation!AF125</f>
        <v>39.092689999999997</v>
      </c>
      <c r="G122" s="860">
        <f>Calculation!AG125</f>
        <v>0</v>
      </c>
      <c r="H122" s="861">
        <f>Sheet1!H123</f>
        <v>2.4500000000000002</v>
      </c>
      <c r="I122" s="841">
        <f>Sheet1!DA123</f>
        <v>2670</v>
      </c>
      <c r="J122" s="841">
        <f>Sheet1!DB123</f>
        <v>1850</v>
      </c>
      <c r="K122" s="841">
        <f>Sheet1!CZ123</f>
        <v>1970</v>
      </c>
      <c r="L122" s="865">
        <f>Calculation!F125</f>
        <v>250</v>
      </c>
      <c r="M122" s="865">
        <f>Calculation!E125</f>
        <v>250</v>
      </c>
      <c r="N122" s="865">
        <f>Calculation!D125</f>
        <v>300</v>
      </c>
      <c r="O122" s="888">
        <f>Sheet1!DC123</f>
        <v>1152.24</v>
      </c>
      <c r="P122" s="889" t="e">
        <f>Calculation!FD125</f>
        <v>#N/A</v>
      </c>
      <c r="Q122" s="895">
        <f>Calculation!DP125</f>
        <v>33864.00000008662</v>
      </c>
      <c r="R122" s="888">
        <f t="shared" si="20"/>
        <v>33245.00000008662</v>
      </c>
      <c r="S122" s="890">
        <f t="shared" si="26"/>
        <v>357.6000000013446</v>
      </c>
      <c r="T122" s="895">
        <f ca="1">IF(A122&gt;$A$1,#N/A,VLOOKUP(A122,Calculation!$B$8:$JO$503,40,FALSE))</f>
        <v>11255.25023347302</v>
      </c>
      <c r="U122" s="890">
        <f t="shared" si="27"/>
        <v>0</v>
      </c>
      <c r="V122" s="890">
        <f>Calculation!AZ125</f>
        <v>0</v>
      </c>
      <c r="W122" s="895">
        <f t="shared" ca="1" si="32"/>
        <v>0</v>
      </c>
      <c r="X122" s="890">
        <v>0</v>
      </c>
      <c r="Y122" s="890">
        <f t="shared" ca="1" si="33"/>
        <v>0</v>
      </c>
      <c r="Z122" s="890">
        <f t="shared" ca="1" si="29"/>
        <v>0</v>
      </c>
      <c r="AA122" s="890">
        <f t="shared" ca="1" si="34"/>
        <v>0</v>
      </c>
      <c r="AB122" s="895">
        <f t="shared" ca="1" si="23"/>
        <v>22608.749766613601</v>
      </c>
      <c r="AC122" s="980">
        <f t="shared" ca="1" si="21"/>
        <v>21989.749766613601</v>
      </c>
      <c r="AD122" s="860" t="e">
        <f ca="1">IF(A122&gt;$A$1, #N/A,VLOOKUP(A122,Calculation!$B$8:$JO$880,165,FALSE))</f>
        <v>#N/A</v>
      </c>
      <c r="AE122" s="399" t="e">
        <f t="shared" ca="1" si="30"/>
        <v>#N/A</v>
      </c>
      <c r="AF122" s="399"/>
      <c r="AG122" s="841">
        <f>Calculation!G125</f>
        <v>2150.3328290475765</v>
      </c>
      <c r="AH122" s="847" t="str">
        <f t="shared" si="31"/>
        <v>Yes</v>
      </c>
      <c r="AI122" s="847" t="str">
        <f>IF(Calculation!K125&gt;0,"Yes","No")</f>
        <v>Yes</v>
      </c>
      <c r="AJ122" s="869">
        <v>30895.260000076458</v>
      </c>
      <c r="AK122" s="870">
        <v>24488.000000062679</v>
      </c>
      <c r="AL122" s="870">
        <v>29461.000000076434</v>
      </c>
      <c r="AN122" s="372">
        <v>36717.000000092965</v>
      </c>
      <c r="AO122" s="372">
        <v>44386.000000108543</v>
      </c>
      <c r="AP122" s="372">
        <v>41429.200000101919</v>
      </c>
      <c r="AU122" s="427"/>
      <c r="AV122" s="410"/>
      <c r="AW122" s="442"/>
      <c r="AX122" s="441"/>
      <c r="AY122" s="441"/>
      <c r="AZ122" s="443"/>
      <c r="BB122" s="433"/>
      <c r="BC122" s="432"/>
      <c r="BD122" s="433"/>
      <c r="BE122" s="432"/>
      <c r="BF122" s="433"/>
      <c r="BG122" s="432"/>
      <c r="BH122" s="429"/>
    </row>
    <row r="123" spans="1:60" ht="13.8" thickBot="1" x14ac:dyDescent="0.3">
      <c r="A123" s="406">
        <v>42850</v>
      </c>
      <c r="B123" s="860">
        <f t="shared" si="25"/>
        <v>79.716909999999999</v>
      </c>
      <c r="C123" s="860">
        <f>Calculation!AK126</f>
        <v>83.835159869029269</v>
      </c>
      <c r="D123" s="860">
        <f>Calculation!AI126</f>
        <v>0</v>
      </c>
      <c r="E123" s="860">
        <f>Calculation!AE126</f>
        <v>39.603200000000001</v>
      </c>
      <c r="F123" s="860">
        <f>Calculation!AF126</f>
        <v>40.113709999999998</v>
      </c>
      <c r="G123" s="860">
        <f>Calculation!AG126</f>
        <v>0</v>
      </c>
      <c r="H123" s="861">
        <f>Sheet1!H124</f>
        <v>3.18</v>
      </c>
      <c r="I123" s="841">
        <f>Sheet1!DA124</f>
        <v>2690</v>
      </c>
      <c r="J123" s="841">
        <f>Sheet1!DB124</f>
        <v>1930</v>
      </c>
      <c r="K123" s="841">
        <f>Sheet1!CZ124</f>
        <v>2050</v>
      </c>
      <c r="L123" s="865">
        <f>Calculation!F126</f>
        <v>250</v>
      </c>
      <c r="M123" s="865">
        <f>Calculation!E126</f>
        <v>250</v>
      </c>
      <c r="N123" s="865">
        <f>Calculation!D126</f>
        <v>300</v>
      </c>
      <c r="O123" s="888">
        <f>Sheet1!DC124</f>
        <v>1152.3699999999999</v>
      </c>
      <c r="P123" s="889" t="e">
        <f>Calculation!FD126</f>
        <v>#N/A</v>
      </c>
      <c r="Q123" s="895">
        <f>Calculation!DP126</f>
        <v>33986.800000085706</v>
      </c>
      <c r="R123" s="888">
        <f t="shared" si="20"/>
        <v>33367.800000085706</v>
      </c>
      <c r="S123" s="890">
        <f t="shared" si="26"/>
        <v>122.79999999908614</v>
      </c>
      <c r="T123" s="895">
        <f ca="1">IF(A123&gt;$A$1,#N/A,VLOOKUP(A123,Calculation!$B$8:$JO$503,40,FALSE))</f>
        <v>11421.511558927567</v>
      </c>
      <c r="U123" s="890">
        <f t="shared" si="27"/>
        <v>0</v>
      </c>
      <c r="V123" s="890">
        <f>Calculation!AZ126</f>
        <v>0</v>
      </c>
      <c r="W123" s="895">
        <f t="shared" ca="1" si="32"/>
        <v>0</v>
      </c>
      <c r="X123" s="890">
        <v>0</v>
      </c>
      <c r="Y123" s="890">
        <f t="shared" ca="1" si="33"/>
        <v>0</v>
      </c>
      <c r="Z123" s="890">
        <f t="shared" ca="1" si="29"/>
        <v>0</v>
      </c>
      <c r="AA123" s="890">
        <f t="shared" ca="1" si="34"/>
        <v>0</v>
      </c>
      <c r="AB123" s="895">
        <f t="shared" ca="1" si="23"/>
        <v>22565.28844115814</v>
      </c>
      <c r="AC123" s="980">
        <f t="shared" ca="1" si="21"/>
        <v>21946.28844115814</v>
      </c>
      <c r="AD123" s="860" t="e">
        <f ca="1">IF(A123&gt;$A$1, #N/A,VLOOKUP(A123,Calculation!$B$8:$JO$880,165,FALSE))</f>
        <v>#N/A</v>
      </c>
      <c r="AE123" s="399" t="e">
        <f t="shared" ca="1" si="30"/>
        <v>#N/A</v>
      </c>
      <c r="AF123" s="399"/>
      <c r="AG123" s="841">
        <f>Calculation!G126</f>
        <v>2111.9263741800737</v>
      </c>
      <c r="AH123" s="847" t="str">
        <f t="shared" si="31"/>
        <v>Yes</v>
      </c>
      <c r="AI123" s="847" t="str">
        <f>IF(Calculation!K126&gt;0,"Yes","No")</f>
        <v>Yes</v>
      </c>
      <c r="AJ123" s="869">
        <v>30965.500000076459</v>
      </c>
      <c r="AK123" s="870">
        <v>25325.000000065847</v>
      </c>
      <c r="AL123" s="870">
        <v>29856.000000076634</v>
      </c>
      <c r="AN123" s="372">
        <v>37809.000000094813</v>
      </c>
      <c r="AO123" s="372">
        <v>44711.00000010903</v>
      </c>
      <c r="AP123" s="372">
        <v>42094.600000104598</v>
      </c>
      <c r="AU123" s="427"/>
      <c r="AV123" s="410"/>
      <c r="AW123" s="442"/>
      <c r="AX123" s="441"/>
      <c r="AY123" s="441"/>
      <c r="AZ123" s="443"/>
      <c r="BB123" s="433"/>
      <c r="BC123" s="432"/>
      <c r="BD123" s="433"/>
      <c r="BE123" s="432"/>
      <c r="BF123" s="433"/>
      <c r="BG123" s="432"/>
      <c r="BH123" s="429"/>
    </row>
    <row r="124" spans="1:60" ht="13.8" thickBot="1" x14ac:dyDescent="0.3">
      <c r="A124" s="406">
        <v>42851</v>
      </c>
      <c r="B124" s="860">
        <f t="shared" si="25"/>
        <v>77.90692</v>
      </c>
      <c r="C124" s="860">
        <f>Calculation!AK127</f>
        <v>83.948173150684923</v>
      </c>
      <c r="D124" s="860">
        <f>Calculation!AI127</f>
        <v>0</v>
      </c>
      <c r="E124" s="860">
        <f>Calculation!AE127</f>
        <v>39.603200000000001</v>
      </c>
      <c r="F124" s="860">
        <f>Calculation!AF127</f>
        <v>38.303719999999998</v>
      </c>
      <c r="G124" s="860">
        <f>Calculation!AG127</f>
        <v>0</v>
      </c>
      <c r="H124" s="861">
        <f>Sheet1!H125</f>
        <v>1.83</v>
      </c>
      <c r="I124" s="841">
        <f>Sheet1!DA125</f>
        <v>2590</v>
      </c>
      <c r="J124" s="841">
        <f>Sheet1!DB125</f>
        <v>1860</v>
      </c>
      <c r="K124" s="841">
        <f>Sheet1!CZ125</f>
        <v>1970</v>
      </c>
      <c r="L124" s="865">
        <f>Calculation!F127</f>
        <v>250</v>
      </c>
      <c r="M124" s="865">
        <f>Calculation!E127</f>
        <v>250</v>
      </c>
      <c r="N124" s="865">
        <f>Calculation!D127</f>
        <v>300</v>
      </c>
      <c r="O124" s="888">
        <f>Sheet1!DC125</f>
        <v>1152.68</v>
      </c>
      <c r="P124" s="889" t="e">
        <f>Calculation!FD127</f>
        <v>#N/A</v>
      </c>
      <c r="Q124" s="895">
        <f>Calculation!DP127</f>
        <v>34280.200000086137</v>
      </c>
      <c r="R124" s="888">
        <f t="shared" si="20"/>
        <v>33661.200000086137</v>
      </c>
      <c r="S124" s="890">
        <f t="shared" si="26"/>
        <v>293.40000000043074</v>
      </c>
      <c r="T124" s="895">
        <f ca="1">IF(A124&gt;$A$1,#N/A,VLOOKUP(A124,Calculation!$B$8:$JO$503,40,FALSE))</f>
        <v>11587.99701156254</v>
      </c>
      <c r="U124" s="890">
        <f t="shared" si="27"/>
        <v>0</v>
      </c>
      <c r="V124" s="890">
        <f>Calculation!AZ127</f>
        <v>0</v>
      </c>
      <c r="W124" s="895">
        <f t="shared" ca="1" si="32"/>
        <v>0</v>
      </c>
      <c r="X124" s="890">
        <v>0</v>
      </c>
      <c r="Y124" s="890">
        <f t="shared" ca="1" si="33"/>
        <v>0</v>
      </c>
      <c r="Z124" s="890">
        <f t="shared" ca="1" si="29"/>
        <v>0</v>
      </c>
      <c r="AA124" s="890">
        <f t="shared" ca="1" si="34"/>
        <v>0</v>
      </c>
      <c r="AB124" s="895">
        <f t="shared" ca="1" si="23"/>
        <v>22692.202988523597</v>
      </c>
      <c r="AC124" s="980">
        <f t="shared" ca="1" si="21"/>
        <v>22073.202988523597</v>
      </c>
      <c r="AD124" s="860" t="e">
        <f ca="1">IF(A124&gt;$A$1, #N/A,VLOOKUP(A124,Calculation!$B$8:$JO$880,165,FALSE))</f>
        <v>#N/A</v>
      </c>
      <c r="AE124" s="399" t="e">
        <f t="shared" ca="1" si="30"/>
        <v>#N/A</v>
      </c>
      <c r="AF124" s="399"/>
      <c r="AG124" s="841">
        <f>Calculation!G127</f>
        <v>2117.9576399397029</v>
      </c>
      <c r="AH124" s="847" t="str">
        <f t="shared" si="31"/>
        <v>Yes</v>
      </c>
      <c r="AI124" s="847" t="str">
        <f>IF(Calculation!K127&gt;0,"Yes","No")</f>
        <v>Yes</v>
      </c>
      <c r="AJ124" s="869">
        <v>31088.420000076661</v>
      </c>
      <c r="AK124" s="870">
        <v>25396.400000065023</v>
      </c>
      <c r="AL124" s="870">
        <v>30282.700000077908</v>
      </c>
      <c r="AN124" s="372">
        <v>38210.000000095271</v>
      </c>
      <c r="AO124" s="372">
        <v>44862.60000011004</v>
      </c>
      <c r="AP124" s="372">
        <v>42444.400000104841</v>
      </c>
      <c r="AU124" s="427"/>
      <c r="AV124" s="410"/>
      <c r="AW124" s="442"/>
      <c r="AX124" s="441"/>
      <c r="AY124" s="441"/>
      <c r="AZ124" s="443"/>
      <c r="BB124" s="433"/>
      <c r="BC124" s="432"/>
      <c r="BD124" s="433"/>
      <c r="BE124" s="432"/>
      <c r="BF124" s="433"/>
      <c r="BG124" s="432"/>
      <c r="BH124" s="429"/>
    </row>
    <row r="125" spans="1:60" ht="13.8" thickBot="1" x14ac:dyDescent="0.3">
      <c r="A125" s="406">
        <v>42852</v>
      </c>
      <c r="B125" s="860">
        <f t="shared" si="25"/>
        <v>76.112400000000008</v>
      </c>
      <c r="C125" s="860">
        <f>Calculation!AK128</f>
        <v>83.831701443647106</v>
      </c>
      <c r="D125" s="860">
        <f>Calculation!AI128</f>
        <v>0</v>
      </c>
      <c r="E125" s="860">
        <f>Calculation!AE128</f>
        <v>39.603200000000001</v>
      </c>
      <c r="F125" s="860">
        <f>Calculation!AF128</f>
        <v>36.5092</v>
      </c>
      <c r="G125" s="860">
        <f>Calculation!AG128</f>
        <v>0</v>
      </c>
      <c r="H125" s="861">
        <f>Sheet1!H126</f>
        <v>1.84</v>
      </c>
      <c r="I125" s="841">
        <f>Sheet1!DA126</f>
        <v>2560</v>
      </c>
      <c r="J125" s="841">
        <f>Sheet1!DB126</f>
        <v>1850</v>
      </c>
      <c r="K125" s="841">
        <f>Sheet1!CZ126</f>
        <v>1970</v>
      </c>
      <c r="L125" s="865">
        <f>Calculation!F128</f>
        <v>250</v>
      </c>
      <c r="M125" s="865">
        <f>Calculation!E128</f>
        <v>250</v>
      </c>
      <c r="N125" s="865">
        <f>Calculation!D128</f>
        <v>300</v>
      </c>
      <c r="O125" s="888">
        <f>Sheet1!DC126</f>
        <v>1153.23</v>
      </c>
      <c r="P125" s="889" t="e">
        <f>Calculation!FD128</f>
        <v>#N/A</v>
      </c>
      <c r="Q125" s="895">
        <f>Calculation!DP128</f>
        <v>34803.800000088406</v>
      </c>
      <c r="R125" s="888">
        <f t="shared" si="20"/>
        <v>34184.800000088406</v>
      </c>
      <c r="S125" s="890">
        <f t="shared" si="26"/>
        <v>523.60000000226864</v>
      </c>
      <c r="T125" s="895">
        <f ca="1">IF(A125&gt;$A$1,#N/A,VLOOKUP(A125,Calculation!$B$8:$JO$503,40,FALSE))</f>
        <v>11754.251478291117</v>
      </c>
      <c r="U125" s="890">
        <f t="shared" si="27"/>
        <v>0</v>
      </c>
      <c r="V125" s="890">
        <f>Calculation!AZ128</f>
        <v>0</v>
      </c>
      <c r="W125" s="895">
        <f t="shared" ca="1" si="32"/>
        <v>0</v>
      </c>
      <c r="X125" s="890">
        <v>0</v>
      </c>
      <c r="Y125" s="890">
        <f t="shared" ca="1" si="33"/>
        <v>0</v>
      </c>
      <c r="Z125" s="890">
        <f t="shared" ca="1" si="29"/>
        <v>0</v>
      </c>
      <c r="AA125" s="890">
        <f t="shared" ca="1" si="34"/>
        <v>0</v>
      </c>
      <c r="AB125" s="895">
        <f t="shared" ca="1" si="23"/>
        <v>23049.548521797289</v>
      </c>
      <c r="AC125" s="980">
        <f t="shared" ca="1" si="21"/>
        <v>22430.548521797289</v>
      </c>
      <c r="AD125" s="860" t="e">
        <f ca="1">IF(A125&gt;$A$1, #N/A,VLOOKUP(A125,Calculation!$B$8:$JO$880,165,FALSE))</f>
        <v>#N/A</v>
      </c>
      <c r="AE125" s="399" t="e">
        <f t="shared" ca="1" si="30"/>
        <v>#N/A</v>
      </c>
      <c r="AF125" s="399"/>
      <c r="AG125" s="841">
        <f>Calculation!G128</f>
        <v>2234.0443772073972</v>
      </c>
      <c r="AH125" s="847" t="str">
        <f t="shared" si="31"/>
        <v>Yes</v>
      </c>
      <c r="AI125" s="847" t="str">
        <f>IF(Calculation!K128&gt;0,"Yes","No")</f>
        <v>Yes</v>
      </c>
      <c r="AJ125" s="869">
        <v>31336.640000078085</v>
      </c>
      <c r="AK125" s="870">
        <v>26224.900000067406</v>
      </c>
      <c r="AL125" s="870">
        <v>30835.500000078515</v>
      </c>
      <c r="AN125" s="372">
        <v>38270.000000095271</v>
      </c>
      <c r="AO125" s="372">
        <v>44994.0000001113</v>
      </c>
      <c r="AP125" s="372">
        <v>42795.400000106078</v>
      </c>
      <c r="AU125" s="427"/>
      <c r="AV125" s="410"/>
      <c r="AW125" s="442"/>
      <c r="AX125" s="441"/>
      <c r="AY125" s="441"/>
      <c r="AZ125" s="443"/>
      <c r="BB125" s="433"/>
      <c r="BC125" s="432"/>
      <c r="BD125" s="433"/>
      <c r="BE125" s="432"/>
      <c r="BF125" s="433"/>
      <c r="BG125" s="432"/>
      <c r="BH125" s="429"/>
    </row>
    <row r="126" spans="1:60" ht="13.8" thickBot="1" x14ac:dyDescent="0.3">
      <c r="A126" s="406">
        <v>42853</v>
      </c>
      <c r="B126" s="860">
        <f t="shared" si="25"/>
        <v>75.184200000000004</v>
      </c>
      <c r="C126" s="860">
        <f>Calculation!AK129</f>
        <v>83.833303473365092</v>
      </c>
      <c r="D126" s="860">
        <f>Calculation!AI129</f>
        <v>0</v>
      </c>
      <c r="E126" s="860">
        <f>Calculation!AE129</f>
        <v>39.603200000000001</v>
      </c>
      <c r="F126" s="860">
        <f>Calculation!AF129</f>
        <v>35.580999999999996</v>
      </c>
      <c r="G126" s="860">
        <f>Calculation!AG129</f>
        <v>0</v>
      </c>
      <c r="H126" s="861">
        <f>Sheet1!H127</f>
        <v>1.73</v>
      </c>
      <c r="I126" s="841">
        <f>Sheet1!DA127</f>
        <v>2330</v>
      </c>
      <c r="J126" s="841">
        <f>Sheet1!DB127</f>
        <v>1670</v>
      </c>
      <c r="K126" s="841">
        <f>Sheet1!CZ127</f>
        <v>1770</v>
      </c>
      <c r="L126" s="865">
        <f>Calculation!F129</f>
        <v>250</v>
      </c>
      <c r="M126" s="865">
        <f>Calculation!E129</f>
        <v>250</v>
      </c>
      <c r="N126" s="865">
        <f>Calculation!D129</f>
        <v>300</v>
      </c>
      <c r="O126" s="888">
        <f>Sheet1!DC127</f>
        <v>1153.6300000000001</v>
      </c>
      <c r="P126" s="889" t="e">
        <f>Calculation!FD129</f>
        <v>#N/A</v>
      </c>
      <c r="Q126" s="895">
        <f>Calculation!DP129</f>
        <v>35188.800000088842</v>
      </c>
      <c r="R126" s="888">
        <f t="shared" si="20"/>
        <v>34569.800000088842</v>
      </c>
      <c r="S126" s="890">
        <f t="shared" si="26"/>
        <v>385.00000000043656</v>
      </c>
      <c r="T126" s="895">
        <f ca="1">IF(A126&gt;$A$1,#N/A,VLOOKUP(A126,Calculation!$B$8:$JO$503,40,FALSE))</f>
        <v>11920.509122154261</v>
      </c>
      <c r="U126" s="890">
        <f t="shared" si="27"/>
        <v>0</v>
      </c>
      <c r="V126" s="890">
        <f>Calculation!AZ129</f>
        <v>0</v>
      </c>
      <c r="W126" s="895">
        <f t="shared" ca="1" si="32"/>
        <v>0</v>
      </c>
      <c r="X126" s="890">
        <v>0</v>
      </c>
      <c r="Y126" s="890">
        <f t="shared" ca="1" si="33"/>
        <v>0</v>
      </c>
      <c r="Z126" s="890">
        <f t="shared" ca="1" si="29"/>
        <v>0</v>
      </c>
      <c r="AA126" s="890">
        <f t="shared" ca="1" si="34"/>
        <v>0</v>
      </c>
      <c r="AB126" s="895">
        <f t="shared" ca="1" si="23"/>
        <v>23268.290877934582</v>
      </c>
      <c r="AC126" s="980">
        <f t="shared" ca="1" si="21"/>
        <v>22649.290877934582</v>
      </c>
      <c r="AD126" s="860" t="e">
        <f ca="1">IF(A126&gt;$A$1, #N/A,VLOOKUP(A126,Calculation!$B$8:$JO$880,165,FALSE))</f>
        <v>#N/A</v>
      </c>
      <c r="AE126" s="399" t="e">
        <f t="shared" ca="1" si="30"/>
        <v>#N/A</v>
      </c>
      <c r="AF126" s="399"/>
      <c r="AG126" s="841">
        <f>Calculation!G129</f>
        <v>1964.1502773577593</v>
      </c>
      <c r="AH126" s="847" t="str">
        <f t="shared" si="31"/>
        <v>Yes</v>
      </c>
      <c r="AI126" s="847" t="str">
        <f>IF(Calculation!K129&gt;0,"Yes","No")</f>
        <v>Yes</v>
      </c>
      <c r="AJ126" s="869">
        <v>31327.720000078087</v>
      </c>
      <c r="AK126" s="870">
        <v>27059.000000070668</v>
      </c>
      <c r="AL126" s="870">
        <v>31722.000000080217</v>
      </c>
      <c r="AN126" s="372">
        <v>38511.000000097411</v>
      </c>
      <c r="AO126" s="372">
        <v>45147.000000110289</v>
      </c>
      <c r="AP126" s="372">
        <v>43223.400000106558</v>
      </c>
      <c r="AU126" s="427"/>
      <c r="AV126" s="410"/>
      <c r="AW126" s="442"/>
      <c r="AX126" s="441"/>
      <c r="AY126" s="441"/>
      <c r="AZ126" s="443"/>
      <c r="BB126" s="433"/>
      <c r="BC126" s="432"/>
      <c r="BD126" s="433"/>
      <c r="BE126" s="432"/>
      <c r="BF126" s="433"/>
      <c r="BG126" s="432"/>
      <c r="BH126" s="429"/>
    </row>
    <row r="127" spans="1:60" ht="13.8" thickBot="1" x14ac:dyDescent="0.3">
      <c r="A127" s="406">
        <v>42854</v>
      </c>
      <c r="B127" s="860">
        <f t="shared" si="25"/>
        <v>73.931129999999996</v>
      </c>
      <c r="C127" s="860">
        <f>Calculation!AK130</f>
        <v>83.842854082548214</v>
      </c>
      <c r="D127" s="860">
        <f>Calculation!AI130</f>
        <v>0</v>
      </c>
      <c r="E127" s="860">
        <f>Calculation!AE130</f>
        <v>39.603200000000001</v>
      </c>
      <c r="F127" s="860">
        <f>Calculation!AF130</f>
        <v>34.327930000000002</v>
      </c>
      <c r="G127" s="860">
        <f>Calculation!AG130</f>
        <v>0</v>
      </c>
      <c r="H127" s="861">
        <f>Sheet1!H128</f>
        <v>1.81</v>
      </c>
      <c r="I127" s="841">
        <f>Sheet1!DA128</f>
        <v>2310</v>
      </c>
      <c r="J127" s="841">
        <f>Sheet1!DB128</f>
        <v>1680</v>
      </c>
      <c r="K127" s="841">
        <f>Sheet1!CZ128</f>
        <v>1770</v>
      </c>
      <c r="L127" s="865">
        <f>Calculation!F130</f>
        <v>250</v>
      </c>
      <c r="M127" s="865">
        <f>Calculation!E130</f>
        <v>250</v>
      </c>
      <c r="N127" s="865">
        <f>Calculation!D130</f>
        <v>300</v>
      </c>
      <c r="O127" s="888">
        <f>Sheet1!DC128</f>
        <v>1153.75</v>
      </c>
      <c r="P127" s="889" t="e">
        <f>Calculation!FD130</f>
        <v>#N/A</v>
      </c>
      <c r="Q127" s="895">
        <f>Calculation!DP130</f>
        <v>35304.000000088839</v>
      </c>
      <c r="R127" s="888">
        <f t="shared" si="20"/>
        <v>34685.000000088839</v>
      </c>
      <c r="S127" s="890">
        <f t="shared" si="26"/>
        <v>115.19999999999709</v>
      </c>
      <c r="T127" s="895">
        <f ca="1">IF(A127&gt;$A$1,#N/A,VLOOKUP(A127,Calculation!$B$8:$JO$503,40,FALSE))</f>
        <v>12086.785706721332</v>
      </c>
      <c r="U127" s="890">
        <f t="shared" si="27"/>
        <v>0</v>
      </c>
      <c r="V127" s="890">
        <f>Calculation!AZ130</f>
        <v>0</v>
      </c>
      <c r="W127" s="895">
        <f t="shared" ca="1" si="32"/>
        <v>0</v>
      </c>
      <c r="X127" s="890">
        <v>0</v>
      </c>
      <c r="Y127" s="890">
        <f t="shared" ca="1" si="33"/>
        <v>0</v>
      </c>
      <c r="Z127" s="890">
        <f t="shared" ca="1" si="29"/>
        <v>0</v>
      </c>
      <c r="AA127" s="890">
        <f t="shared" ca="1" si="34"/>
        <v>0</v>
      </c>
      <c r="AB127" s="895">
        <f t="shared" ca="1" si="23"/>
        <v>23217.214293367506</v>
      </c>
      <c r="AC127" s="980">
        <f t="shared" ca="1" si="21"/>
        <v>22598.214293367506</v>
      </c>
      <c r="AD127" s="860" t="e">
        <f ca="1">IF(A127&gt;$A$1, #N/A,VLOOKUP(A127,Calculation!$B$8:$JO$880,165,FALSE))</f>
        <v>#N/A</v>
      </c>
      <c r="AE127" s="399" t="e">
        <f t="shared" ca="1" si="30"/>
        <v>#N/A</v>
      </c>
      <c r="AF127" s="399"/>
      <c r="AG127" s="841">
        <f>Calculation!G130</f>
        <v>1828.0937972768518</v>
      </c>
      <c r="AH127" s="847" t="str">
        <f t="shared" si="31"/>
        <v>Yes</v>
      </c>
      <c r="AI127" s="847" t="str">
        <f>IF(Calculation!K130&gt;0,"Yes","No")</f>
        <v>Yes</v>
      </c>
      <c r="AJ127" s="869">
        <v>31220.680000077882</v>
      </c>
      <c r="AK127" s="870">
        <v>27537.50000007209</v>
      </c>
      <c r="AL127" s="870">
        <v>32372.800000082629</v>
      </c>
      <c r="AN127" s="372">
        <v>38887.400000097638</v>
      </c>
      <c r="AO127" s="372">
        <v>45333.000000111548</v>
      </c>
      <c r="AP127" s="372">
        <v>43640.700000107048</v>
      </c>
      <c r="AU127" s="427"/>
      <c r="AV127" s="410"/>
      <c r="AW127" s="442"/>
      <c r="AX127" s="441"/>
      <c r="AY127" s="441"/>
      <c r="AZ127" s="443"/>
      <c r="BB127" s="433"/>
      <c r="BC127" s="432"/>
      <c r="BD127" s="433"/>
      <c r="BE127" s="432"/>
      <c r="BF127" s="433"/>
      <c r="BG127" s="432"/>
      <c r="BH127" s="429"/>
    </row>
    <row r="128" spans="1:60" ht="13.8" thickBot="1" x14ac:dyDescent="0.3">
      <c r="A128" s="406">
        <v>42855</v>
      </c>
      <c r="B128" s="860">
        <f t="shared" si="25"/>
        <v>77.040599999999998</v>
      </c>
      <c r="C128" s="860">
        <f>Calculation!AK131</f>
        <v>83.838938649093905</v>
      </c>
      <c r="D128" s="860">
        <f>Calculation!AI131</f>
        <v>0</v>
      </c>
      <c r="E128" s="860">
        <f>Calculation!AE131</f>
        <v>39.603200000000001</v>
      </c>
      <c r="F128" s="860">
        <f>Calculation!AF131</f>
        <v>37.437399999999997</v>
      </c>
      <c r="G128" s="860">
        <f>Calculation!AG131</f>
        <v>0</v>
      </c>
      <c r="H128" s="861">
        <f>Sheet1!H129</f>
        <v>1.9</v>
      </c>
      <c r="I128" s="841">
        <f>Sheet1!DA129</f>
        <v>2290</v>
      </c>
      <c r="J128" s="841">
        <f>Sheet1!DB129</f>
        <v>1680</v>
      </c>
      <c r="K128" s="841">
        <f>Sheet1!CZ129</f>
        <v>1770</v>
      </c>
      <c r="L128" s="865">
        <f>Calculation!F131</f>
        <v>250</v>
      </c>
      <c r="M128" s="865">
        <f>Calculation!E131</f>
        <v>250</v>
      </c>
      <c r="N128" s="865">
        <f>Calculation!D131</f>
        <v>300</v>
      </c>
      <c r="O128" s="888">
        <f>Sheet1!DC129</f>
        <v>1153.96</v>
      </c>
      <c r="P128" s="889" t="e">
        <f>Calculation!FD131</f>
        <v>#N/A</v>
      </c>
      <c r="Q128" s="895">
        <f>Calculation!DP131</f>
        <v>35505.600000089056</v>
      </c>
      <c r="R128" s="888">
        <f t="shared" si="20"/>
        <v>34886.600000089056</v>
      </c>
      <c r="S128" s="890">
        <f t="shared" si="26"/>
        <v>201.60000000021682</v>
      </c>
      <c r="T128" s="895">
        <f ca="1">IF(A128&gt;$A$1,#N/A,VLOOKUP(A128,Calculation!$B$8:$JO$503,40,FALSE))</f>
        <v>12253.054526227097</v>
      </c>
      <c r="U128" s="890">
        <f t="shared" si="27"/>
        <v>0</v>
      </c>
      <c r="V128" s="890">
        <f>Calculation!AZ131</f>
        <v>0</v>
      </c>
      <c r="W128" s="895">
        <f t="shared" ca="1" si="32"/>
        <v>0</v>
      </c>
      <c r="X128" s="890">
        <v>0</v>
      </c>
      <c r="Y128" s="890">
        <f t="shared" ca="1" si="33"/>
        <v>0</v>
      </c>
      <c r="Z128" s="890">
        <f t="shared" ca="1" si="29"/>
        <v>0</v>
      </c>
      <c r="AA128" s="890">
        <f t="shared" ca="1" si="34"/>
        <v>0</v>
      </c>
      <c r="AB128" s="895">
        <f t="shared" ca="1" si="23"/>
        <v>23252.545473861959</v>
      </c>
      <c r="AC128" s="980">
        <f t="shared" ca="1" si="21"/>
        <v>22633.545473861959</v>
      </c>
      <c r="AD128" s="860" t="e">
        <f ca="1">IF(A128&gt;$A$1, #N/A,VLOOKUP(A128,Calculation!$B$8:$JO$880,165,FALSE))</f>
        <v>#N/A</v>
      </c>
      <c r="AE128" s="399" t="e">
        <f t="shared" ca="1" si="30"/>
        <v>#N/A</v>
      </c>
      <c r="AF128" s="399"/>
      <c r="AG128" s="841">
        <f>Calculation!G131</f>
        <v>1871.6641452346025</v>
      </c>
      <c r="AH128" s="847" t="str">
        <f t="shared" si="31"/>
        <v>Yes</v>
      </c>
      <c r="AI128" s="847" t="str">
        <f>IF(Calculation!K131&gt;0,"Yes","No")</f>
        <v>Yes</v>
      </c>
      <c r="AJ128" s="869">
        <v>31167.440000076658</v>
      </c>
      <c r="AK128" s="870">
        <v>27580.200000072939</v>
      </c>
      <c r="AL128" s="870">
        <v>32418.800000082629</v>
      </c>
      <c r="AN128" s="372">
        <v>39131.200000097873</v>
      </c>
      <c r="AO128" s="372">
        <v>45453.200000110533</v>
      </c>
      <c r="AP128" s="372">
        <v>44018.400000109294</v>
      </c>
      <c r="AU128" s="427"/>
      <c r="AV128" s="410"/>
      <c r="AW128" s="442"/>
      <c r="AX128" s="441"/>
      <c r="AY128" s="441"/>
      <c r="AZ128" s="443"/>
      <c r="BB128" s="433"/>
      <c r="BC128" s="432"/>
      <c r="BD128" s="433"/>
      <c r="BE128" s="432"/>
      <c r="BF128" s="433"/>
      <c r="BG128" s="432"/>
      <c r="BH128" s="429"/>
    </row>
    <row r="129" spans="1:60" ht="13.8" thickBot="1" x14ac:dyDescent="0.3">
      <c r="A129" s="406">
        <v>42856</v>
      </c>
      <c r="B129" s="860">
        <f t="shared" si="25"/>
        <v>78.123500000000007</v>
      </c>
      <c r="C129" s="860">
        <f>Calculation!AK132</f>
        <v>83.339820767386087</v>
      </c>
      <c r="D129" s="860">
        <f>Calculation!AI132</f>
        <v>0</v>
      </c>
      <c r="E129" s="860">
        <f>Calculation!AE132</f>
        <v>39.603200000000001</v>
      </c>
      <c r="F129" s="860">
        <f>Calculation!AF132</f>
        <v>38.520299999999999</v>
      </c>
      <c r="G129" s="860">
        <f>Calculation!AG132</f>
        <v>0</v>
      </c>
      <c r="H129" s="861">
        <f>Sheet1!H130</f>
        <v>1.65</v>
      </c>
      <c r="I129" s="841">
        <f>Sheet1!DA130</f>
        <v>2400</v>
      </c>
      <c r="J129" s="841">
        <f>Sheet1!DB130</f>
        <v>1790</v>
      </c>
      <c r="K129" s="841">
        <f>Sheet1!CZ130</f>
        <v>1880</v>
      </c>
      <c r="L129" s="865">
        <f>Calculation!F132</f>
        <v>250</v>
      </c>
      <c r="M129" s="865">
        <f>Calculation!E132</f>
        <v>250</v>
      </c>
      <c r="N129" s="865">
        <f>Calculation!D132</f>
        <v>300</v>
      </c>
      <c r="O129" s="888">
        <f>Sheet1!DC130</f>
        <v>1154.48</v>
      </c>
      <c r="P129" s="889" t="e">
        <f>Calculation!FD132</f>
        <v>#N/A</v>
      </c>
      <c r="Q129" s="895">
        <f>Calculation!DP132</f>
        <v>36012.400000091358</v>
      </c>
      <c r="R129" s="888">
        <f t="shared" si="20"/>
        <v>35393.400000091358</v>
      </c>
      <c r="S129" s="890">
        <f t="shared" si="26"/>
        <v>506.80000000230211</v>
      </c>
      <c r="T129" s="895">
        <f ca="1">IF(A129&gt;$A$1,#N/A,VLOOKUP(A129,Calculation!$B$8:$JO$503,40,FALSE))</f>
        <v>12418.333498505277</v>
      </c>
      <c r="U129" s="890">
        <f t="shared" si="27"/>
        <v>0</v>
      </c>
      <c r="V129" s="890">
        <f>Calculation!AZ132</f>
        <v>0</v>
      </c>
      <c r="W129" s="895">
        <f t="shared" ca="1" si="32"/>
        <v>0</v>
      </c>
      <c r="X129" s="890">
        <v>0</v>
      </c>
      <c r="Y129" s="890">
        <f t="shared" ca="1" si="33"/>
        <v>0</v>
      </c>
      <c r="Z129" s="890">
        <f t="shared" ca="1" si="29"/>
        <v>0</v>
      </c>
      <c r="AA129" s="890">
        <f t="shared" ca="1" si="34"/>
        <v>0</v>
      </c>
      <c r="AB129" s="895">
        <f t="shared" ca="1" si="23"/>
        <v>23594.06650158608</v>
      </c>
      <c r="AC129" s="980">
        <f t="shared" ca="1" si="21"/>
        <v>22975.06650158608</v>
      </c>
      <c r="AD129" s="860" t="e">
        <f ca="1">IF(A129&gt;$A$1, #N/A,VLOOKUP(A129,Calculation!$B$8:$JO$880,165,FALSE))</f>
        <v>#N/A</v>
      </c>
      <c r="AE129" s="399" t="e">
        <f t="shared" ca="1" si="30"/>
        <v>#N/A</v>
      </c>
      <c r="AF129" s="399"/>
      <c r="AG129" s="841">
        <f>Calculation!G132</f>
        <v>2135.5723651045396</v>
      </c>
      <c r="AH129" s="847" t="str">
        <f t="shared" si="31"/>
        <v>Yes</v>
      </c>
      <c r="AI129" s="847" t="str">
        <f>IF(Calculation!K132&gt;0,"Yes","No")</f>
        <v>Yes</v>
      </c>
      <c r="AJ129" s="869">
        <v>30930.38000007646</v>
      </c>
      <c r="AK129" s="870">
        <v>28202.500000072669</v>
      </c>
      <c r="AL129" s="870">
        <v>32974.700000083947</v>
      </c>
      <c r="AN129" s="372">
        <v>39477.000000098335</v>
      </c>
      <c r="AO129" s="372">
        <v>45584.000000110784</v>
      </c>
      <c r="AP129" s="372">
        <v>44418.400000108784</v>
      </c>
      <c r="AU129" s="427"/>
      <c r="AV129" s="410"/>
      <c r="AW129" s="442"/>
      <c r="AX129" s="441"/>
      <c r="AY129" s="441"/>
      <c r="AZ129" s="443"/>
      <c r="BB129" s="433"/>
      <c r="BC129" s="432"/>
      <c r="BD129" s="433"/>
      <c r="BE129" s="432"/>
      <c r="BF129" s="433"/>
      <c r="BG129" s="432"/>
      <c r="BH129" s="429"/>
    </row>
    <row r="130" spans="1:60" ht="13.8" thickBot="1" x14ac:dyDescent="0.3">
      <c r="A130" s="406">
        <v>42857</v>
      </c>
      <c r="B130" s="860">
        <f t="shared" si="25"/>
        <v>80.490409999999997</v>
      </c>
      <c r="C130" s="860">
        <f>Calculation!AK133</f>
        <v>83.026030566037733</v>
      </c>
      <c r="D130" s="860">
        <f>Calculation!AI133</f>
        <v>0</v>
      </c>
      <c r="E130" s="860">
        <f>Calculation!AE133</f>
        <v>39.603200000000001</v>
      </c>
      <c r="F130" s="860">
        <f>Calculation!AF133</f>
        <v>40.887209999999996</v>
      </c>
      <c r="G130" s="860">
        <f>Calculation!AG133</f>
        <v>0</v>
      </c>
      <c r="H130" s="861">
        <f>Sheet1!H131</f>
        <v>1.59</v>
      </c>
      <c r="I130" s="841">
        <f>Sheet1!DA131</f>
        <v>2403</v>
      </c>
      <c r="J130" s="841">
        <f>Sheet1!DB131</f>
        <v>1780</v>
      </c>
      <c r="K130" s="841">
        <f>Sheet1!CZ131</f>
        <v>1884</v>
      </c>
      <c r="L130" s="865">
        <f>Calculation!F133</f>
        <v>250</v>
      </c>
      <c r="M130" s="865">
        <f>Calculation!E133</f>
        <v>250</v>
      </c>
      <c r="N130" s="865">
        <f>Calculation!D133</f>
        <v>300</v>
      </c>
      <c r="O130" s="888">
        <f>Sheet1!DC131</f>
        <v>1154.72</v>
      </c>
      <c r="P130" s="889" t="e">
        <f>Calculation!FD133</f>
        <v>#N/A</v>
      </c>
      <c r="Q130" s="895">
        <f>Calculation!DP133</f>
        <v>36246.400000090645</v>
      </c>
      <c r="R130" s="888">
        <f t="shared" si="20"/>
        <v>35627.400000090645</v>
      </c>
      <c r="S130" s="890">
        <f t="shared" si="26"/>
        <v>233.99999999928696</v>
      </c>
      <c r="T130" s="895">
        <f ca="1">IF(A130&gt;$A$1,#N/A,VLOOKUP(A130,Calculation!$B$8:$JO$503,40,FALSE))</f>
        <v>12582.990164165654</v>
      </c>
      <c r="U130" s="890">
        <f t="shared" si="27"/>
        <v>0</v>
      </c>
      <c r="V130" s="890">
        <f>Calculation!AZ133</f>
        <v>0</v>
      </c>
      <c r="W130" s="895">
        <f t="shared" ca="1" si="32"/>
        <v>0</v>
      </c>
      <c r="X130" s="890">
        <v>0</v>
      </c>
      <c r="Y130" s="890">
        <f t="shared" ca="1" si="33"/>
        <v>0</v>
      </c>
      <c r="Z130" s="890">
        <f t="shared" ca="1" si="29"/>
        <v>0</v>
      </c>
      <c r="AA130" s="890">
        <f t="shared" ca="1" si="34"/>
        <v>0</v>
      </c>
      <c r="AB130" s="895">
        <f t="shared" ca="1" si="23"/>
        <v>23663.409835924991</v>
      </c>
      <c r="AC130" s="980">
        <f t="shared" ca="1" si="21"/>
        <v>23044.409835924991</v>
      </c>
      <c r="AD130" s="860" t="e">
        <f ca="1">IF(A130&gt;$A$1, #N/A,VLOOKUP(A130,Calculation!$B$8:$JO$880,165,FALSE))</f>
        <v>#N/A</v>
      </c>
      <c r="AE130" s="399" t="e">
        <f t="shared" ca="1" si="30"/>
        <v>#N/A</v>
      </c>
      <c r="AF130" s="399"/>
      <c r="AG130" s="841">
        <f>Calculation!G133</f>
        <v>2002.0030257182486</v>
      </c>
      <c r="AH130" s="847" t="str">
        <f t="shared" si="31"/>
        <v>Yes</v>
      </c>
      <c r="AI130" s="847" t="str">
        <f>IF(Calculation!K133&gt;0,"Yes","No")</f>
        <v>Yes</v>
      </c>
      <c r="AJ130" s="869">
        <v>30983.060000076461</v>
      </c>
      <c r="AK130" s="870">
        <v>29645.800000076433</v>
      </c>
      <c r="AL130" s="870">
        <v>33440.700000084369</v>
      </c>
      <c r="AN130" s="372">
        <v>39631.000000099302</v>
      </c>
      <c r="AO130" s="372">
        <v>45693.000000111802</v>
      </c>
      <c r="AP130" s="372">
        <v>44939.000000111046</v>
      </c>
      <c r="AU130" s="427"/>
      <c r="AV130" s="410"/>
      <c r="AW130" s="442"/>
      <c r="AX130" s="441"/>
      <c r="AY130" s="441"/>
      <c r="AZ130" s="443"/>
      <c r="BB130" s="433"/>
      <c r="BC130" s="432"/>
      <c r="BD130" s="433"/>
      <c r="BE130" s="432"/>
      <c r="BF130" s="433"/>
      <c r="BG130" s="432"/>
      <c r="BH130" s="429"/>
    </row>
    <row r="131" spans="1:60" ht="13.8" thickBot="1" x14ac:dyDescent="0.3">
      <c r="A131" s="406">
        <v>42858</v>
      </c>
      <c r="B131" s="860">
        <f t="shared" si="25"/>
        <v>81.480490000000003</v>
      </c>
      <c r="C131" s="860">
        <f>Calculation!AK134</f>
        <v>83.018315796886583</v>
      </c>
      <c r="D131" s="860">
        <f>Calculation!AI134</f>
        <v>0</v>
      </c>
      <c r="E131" s="860">
        <f>Calculation!AE134</f>
        <v>39.757899999999999</v>
      </c>
      <c r="F131" s="860">
        <f>Calculation!AF134</f>
        <v>41.722589999999997</v>
      </c>
      <c r="G131" s="860">
        <f>Calculation!AG134</f>
        <v>0</v>
      </c>
      <c r="H131" s="861">
        <f>Sheet1!H132</f>
        <v>2.2400000000000002</v>
      </c>
      <c r="I131" s="841">
        <f>Sheet1!DA132</f>
        <v>2456</v>
      </c>
      <c r="J131" s="841">
        <f>Sheet1!DB132</f>
        <v>1830</v>
      </c>
      <c r="K131" s="841">
        <f>Sheet1!CZ132</f>
        <v>1960</v>
      </c>
      <c r="L131" s="865">
        <f>Calculation!F134</f>
        <v>250</v>
      </c>
      <c r="M131" s="865">
        <f>Calculation!E134</f>
        <v>250</v>
      </c>
      <c r="N131" s="865">
        <f>Calculation!D134</f>
        <v>300</v>
      </c>
      <c r="O131" s="888">
        <f>Sheet1!DC132</f>
        <v>1155.05</v>
      </c>
      <c r="P131" s="889" t="e">
        <f>Calculation!FD134</f>
        <v>#N/A</v>
      </c>
      <c r="Q131" s="895">
        <f>Calculation!DP134</f>
        <v>36568.500000092739</v>
      </c>
      <c r="R131" s="888">
        <f t="shared" si="20"/>
        <v>35949.500000092739</v>
      </c>
      <c r="S131" s="890">
        <f t="shared" si="26"/>
        <v>322.10000000209402</v>
      </c>
      <c r="T131" s="895">
        <f ca="1">IF(A131&gt;$A$1,#N/A,VLOOKUP(A131,Calculation!$B$8:$JO$503,40,FALSE))</f>
        <v>12747.631529947712</v>
      </c>
      <c r="U131" s="890">
        <f t="shared" si="27"/>
        <v>0</v>
      </c>
      <c r="V131" s="890">
        <f>Calculation!AZ134</f>
        <v>0</v>
      </c>
      <c r="W131" s="895">
        <f t="shared" ca="1" si="32"/>
        <v>0</v>
      </c>
      <c r="X131" s="890">
        <v>0</v>
      </c>
      <c r="Y131" s="890">
        <f t="shared" ca="1" si="33"/>
        <v>0</v>
      </c>
      <c r="Z131" s="890">
        <f t="shared" ca="1" si="29"/>
        <v>0</v>
      </c>
      <c r="AA131" s="890">
        <f t="shared" ca="1" si="34"/>
        <v>0</v>
      </c>
      <c r="AB131" s="895">
        <f t="shared" ca="1" si="23"/>
        <v>23820.868470145026</v>
      </c>
      <c r="AC131" s="980">
        <f t="shared" ca="1" si="21"/>
        <v>23201.868470145026</v>
      </c>
      <c r="AD131" s="860" t="e">
        <f ca="1">IF(A131&gt;$A$1, #N/A,VLOOKUP(A131,Calculation!$B$8:$JO$880,165,FALSE))</f>
        <v>#N/A</v>
      </c>
      <c r="AE131" s="399" t="e">
        <f t="shared" ca="1" si="30"/>
        <v>#N/A</v>
      </c>
      <c r="AF131" s="399"/>
      <c r="AG131" s="841">
        <f>Calculation!G134</f>
        <v>2122.4306606162854</v>
      </c>
      <c r="AH131" s="847" t="str">
        <f t="shared" si="31"/>
        <v>Yes</v>
      </c>
      <c r="AI131" s="847" t="str">
        <f>IF(Calculation!K134&gt;0,"Yes","No")</f>
        <v>Yes</v>
      </c>
      <c r="AJ131" s="869">
        <v>31292.040000077883</v>
      </c>
      <c r="AK131" s="870">
        <v>30434.000000078111</v>
      </c>
      <c r="AL131" s="870">
        <v>33684.500000086402</v>
      </c>
      <c r="AN131" s="372">
        <v>39426.000000098335</v>
      </c>
      <c r="AO131" s="372">
        <v>45781.00000011205</v>
      </c>
      <c r="AP131" s="372">
        <v>45693.000000111802</v>
      </c>
      <c r="AU131" s="427"/>
      <c r="AV131" s="410"/>
      <c r="AW131" s="442"/>
      <c r="AX131" s="441"/>
      <c r="AY131" s="441"/>
      <c r="AZ131" s="443"/>
      <c r="BB131" s="433"/>
      <c r="BC131" s="432"/>
      <c r="BD131" s="433"/>
      <c r="BE131" s="432"/>
      <c r="BF131" s="433"/>
      <c r="BG131" s="432"/>
      <c r="BH131" s="429"/>
    </row>
    <row r="132" spans="1:60" ht="13.8" thickBot="1" x14ac:dyDescent="0.3">
      <c r="A132" s="406">
        <v>42859</v>
      </c>
      <c r="B132" s="860">
        <f t="shared" si="25"/>
        <v>81.217500000000001</v>
      </c>
      <c r="C132" s="860">
        <f>Calculation!AK135</f>
        <v>83.034975853387635</v>
      </c>
      <c r="D132" s="860">
        <f>Calculation!AI135</f>
        <v>0</v>
      </c>
      <c r="E132" s="860">
        <f>Calculation!AE135</f>
        <v>39.603200000000001</v>
      </c>
      <c r="F132" s="860">
        <f>Calculation!AF135</f>
        <v>41.614299999999993</v>
      </c>
      <c r="G132" s="860">
        <f>Calculation!AG135</f>
        <v>0</v>
      </c>
      <c r="H132" s="861">
        <f>Sheet1!H133</f>
        <v>2.5299999999999998</v>
      </c>
      <c r="I132" s="841">
        <f>Sheet1!DA133</f>
        <v>3558</v>
      </c>
      <c r="J132" s="841">
        <f>Sheet1!DB133</f>
        <v>2700</v>
      </c>
      <c r="K132" s="841">
        <f>Sheet1!CZ133</f>
        <v>2966</v>
      </c>
      <c r="L132" s="865">
        <f>Calculation!F135</f>
        <v>250</v>
      </c>
      <c r="M132" s="865">
        <f>Calculation!E135</f>
        <v>250</v>
      </c>
      <c r="N132" s="865">
        <f>Calculation!D135</f>
        <v>300</v>
      </c>
      <c r="O132" s="888">
        <f>Sheet1!DC133</f>
        <v>1156.47</v>
      </c>
      <c r="P132" s="889" t="e">
        <f>Calculation!FD135</f>
        <v>#N/A</v>
      </c>
      <c r="Q132" s="895">
        <f>Calculation!DP135</f>
        <v>37979.700000095996</v>
      </c>
      <c r="R132" s="888">
        <f t="shared" si="20"/>
        <v>37360.700000095996</v>
      </c>
      <c r="S132" s="890">
        <f t="shared" si="26"/>
        <v>1411.2000000032567</v>
      </c>
      <c r="T132" s="895">
        <f ca="1">IF(A132&gt;$A$1,#N/A,VLOOKUP(A132,Calculation!$B$8:$JO$503,40,FALSE))</f>
        <v>12912.305935841827</v>
      </c>
      <c r="U132" s="890">
        <f t="shared" si="27"/>
        <v>0</v>
      </c>
      <c r="V132" s="890">
        <f>Calculation!AZ135</f>
        <v>0</v>
      </c>
      <c r="W132" s="895">
        <f t="shared" ca="1" si="32"/>
        <v>889.3940642541711</v>
      </c>
      <c r="X132" s="890">
        <v>0</v>
      </c>
      <c r="Y132" s="890">
        <f t="shared" ca="1" si="33"/>
        <v>444.69703212708555</v>
      </c>
      <c r="Z132" s="890">
        <f t="shared" ca="1" si="29"/>
        <v>444.69703212708555</v>
      </c>
      <c r="AA132" s="890">
        <f t="shared" ca="1" si="34"/>
        <v>0</v>
      </c>
      <c r="AB132" s="895">
        <f t="shared" ca="1" si="23"/>
        <v>24178</v>
      </c>
      <c r="AC132" s="980">
        <f t="shared" ca="1" si="21"/>
        <v>23559</v>
      </c>
      <c r="AD132" s="860" t="e">
        <f ca="1">IF(A132&gt;$A$1, #N/A,VLOOKUP(A132,Calculation!$B$8:$JO$880,165,FALSE))</f>
        <v>#N/A</v>
      </c>
      <c r="AE132" s="399" t="e">
        <f t="shared" ca="1" si="30"/>
        <v>#N/A</v>
      </c>
      <c r="AF132" s="399"/>
      <c r="AG132" s="841">
        <f>Calculation!G135</f>
        <v>3677.6490166430945</v>
      </c>
      <c r="AH132" s="847" t="str">
        <f t="shared" si="31"/>
        <v>Yes</v>
      </c>
      <c r="AI132" s="847" t="str">
        <f>IF(Calculation!K135&gt;0,"Yes","No")</f>
        <v>Yes</v>
      </c>
      <c r="AJ132" s="869">
        <v>31631.000000078289</v>
      </c>
      <c r="AK132" s="870">
        <v>31215.000000079603</v>
      </c>
      <c r="AL132" s="870">
        <v>34015.000000086831</v>
      </c>
      <c r="AN132" s="372">
        <v>39274.000000098102</v>
      </c>
      <c r="AO132" s="372">
        <v>45879.300000111034</v>
      </c>
      <c r="AP132" s="372">
        <v>46519.000000112552</v>
      </c>
      <c r="AU132" s="427"/>
      <c r="AV132" s="410"/>
      <c r="AW132" s="442"/>
      <c r="AX132" s="441"/>
      <c r="AY132" s="441"/>
      <c r="AZ132" s="443"/>
      <c r="BB132" s="433"/>
      <c r="BC132" s="432"/>
      <c r="BD132" s="433"/>
      <c r="BE132" s="432"/>
      <c r="BF132" s="433"/>
      <c r="BG132" s="432"/>
      <c r="BH132" s="429"/>
    </row>
    <row r="133" spans="1:60" ht="13.8" thickBot="1" x14ac:dyDescent="0.3">
      <c r="A133" s="406">
        <v>42860</v>
      </c>
      <c r="B133" s="860">
        <f t="shared" si="25"/>
        <v>81.279379999999989</v>
      </c>
      <c r="C133" s="860">
        <f>Calculation!AK136</f>
        <v>82.075470203327171</v>
      </c>
      <c r="D133" s="860">
        <f>Calculation!AI136</f>
        <v>0</v>
      </c>
      <c r="E133" s="860">
        <f>Calculation!AE136</f>
        <v>39.665079999999996</v>
      </c>
      <c r="F133" s="860">
        <f>Calculation!AF136</f>
        <v>41.614299999999993</v>
      </c>
      <c r="G133" s="860">
        <f>Calculation!AG136</f>
        <v>0</v>
      </c>
      <c r="H133" s="861">
        <f>Sheet1!H134</f>
        <v>3.72</v>
      </c>
      <c r="I133" s="841">
        <f>Sheet1!DA134</f>
        <v>4270</v>
      </c>
      <c r="J133" s="841">
        <f>Sheet1!DB134</f>
        <v>2940</v>
      </c>
      <c r="K133" s="841">
        <f>Sheet1!CZ134</f>
        <v>3240</v>
      </c>
      <c r="L133" s="865">
        <f>Calculation!F136</f>
        <v>250</v>
      </c>
      <c r="M133" s="865">
        <f>Calculation!E136</f>
        <v>250</v>
      </c>
      <c r="N133" s="865">
        <f>Calculation!D136</f>
        <v>300</v>
      </c>
      <c r="O133" s="888">
        <f>Sheet1!DC134</f>
        <v>1159.5</v>
      </c>
      <c r="P133" s="889" t="e">
        <f>Calculation!FD136</f>
        <v>#N/A</v>
      </c>
      <c r="Q133" s="895">
        <f>Calculation!DP136</f>
        <v>41084.000000101682</v>
      </c>
      <c r="R133" s="888">
        <f t="shared" si="20"/>
        <v>40465.000000101682</v>
      </c>
      <c r="S133" s="890">
        <f t="shared" si="26"/>
        <v>3104.3000000056854</v>
      </c>
      <c r="T133" s="895">
        <f ca="1">IF(A133&gt;$A$1,#N/A,VLOOKUP(A133,Calculation!$B$8:$JO$503,40,FALSE))</f>
        <v>13075.077456581199</v>
      </c>
      <c r="U133" s="890">
        <f t="shared" si="27"/>
        <v>0</v>
      </c>
      <c r="V133" s="890">
        <f>Calculation!AZ136</f>
        <v>0</v>
      </c>
      <c r="W133" s="895">
        <f t="shared" ca="1" si="32"/>
        <v>3830.9225435204826</v>
      </c>
      <c r="X133" s="890">
        <v>0</v>
      </c>
      <c r="Y133" s="890">
        <f t="shared" ca="1" si="33"/>
        <v>1915.4612717602413</v>
      </c>
      <c r="Z133" s="890">
        <f t="shared" ca="1" si="29"/>
        <v>1915.4612717602413</v>
      </c>
      <c r="AA133" s="890">
        <f t="shared" ca="1" si="34"/>
        <v>0</v>
      </c>
      <c r="AB133" s="895">
        <f t="shared" ca="1" si="23"/>
        <v>24178</v>
      </c>
      <c r="AC133" s="980">
        <f t="shared" ca="1" si="21"/>
        <v>23559</v>
      </c>
      <c r="AD133" s="860" t="e">
        <f ca="1">IF(A133&gt;$A$1, #N/A,VLOOKUP(A133,Calculation!$B$8:$JO$880,165,FALSE))</f>
        <v>#N/A</v>
      </c>
      <c r="AE133" s="399" t="e">
        <f t="shared" ca="1" si="30"/>
        <v>#N/A</v>
      </c>
      <c r="AF133" s="399"/>
      <c r="AG133" s="841">
        <f>Calculation!G136</f>
        <v>4805.4563792262652</v>
      </c>
      <c r="AH133" s="847" t="str">
        <f t="shared" si="31"/>
        <v>Yes</v>
      </c>
      <c r="AI133" s="847" t="str">
        <f>IF(Calculation!K136&gt;0,"Yes","No")</f>
        <v>Yes</v>
      </c>
      <c r="AJ133" s="869">
        <v>32090.575000079738</v>
      </c>
      <c r="AK133" s="870">
        <v>32428.000000082626</v>
      </c>
      <c r="AL133" s="870">
        <v>34803.800000088406</v>
      </c>
      <c r="AN133" s="372">
        <v>39651.600000099301</v>
      </c>
      <c r="AO133" s="372">
        <v>46022.000000113068</v>
      </c>
      <c r="AP133" s="372">
        <v>47194.600000114333</v>
      </c>
      <c r="AU133" s="427"/>
      <c r="AV133" s="410"/>
      <c r="AW133" s="442"/>
      <c r="AX133" s="441"/>
      <c r="AY133" s="441"/>
      <c r="AZ133" s="443"/>
      <c r="BB133" s="433"/>
      <c r="BC133" s="432"/>
      <c r="BD133" s="433"/>
      <c r="BE133" s="432"/>
      <c r="BF133" s="433"/>
      <c r="BG133" s="432"/>
      <c r="BH133" s="429"/>
    </row>
    <row r="134" spans="1:60" ht="13.8" thickBot="1" x14ac:dyDescent="0.3">
      <c r="A134" s="406">
        <v>42861</v>
      </c>
      <c r="B134" s="860">
        <f t="shared" si="25"/>
        <v>82.393219999999999</v>
      </c>
      <c r="C134" s="860">
        <f>Calculation!AK137</f>
        <v>81.518583757225429</v>
      </c>
      <c r="D134" s="860">
        <f>Calculation!AI137</f>
        <v>0</v>
      </c>
      <c r="E134" s="860">
        <f>Calculation!AE137</f>
        <v>39.696019999999997</v>
      </c>
      <c r="F134" s="860">
        <f>Calculation!AF137</f>
        <v>42.697200000000002</v>
      </c>
      <c r="G134" s="860">
        <f>Calculation!AG137</f>
        <v>0</v>
      </c>
      <c r="H134" s="861">
        <f>Sheet1!H135</f>
        <v>6</v>
      </c>
      <c r="I134" s="841">
        <f>Sheet1!DA135</f>
        <v>4110</v>
      </c>
      <c r="J134" s="841">
        <f>Sheet1!DB135</f>
        <v>2960</v>
      </c>
      <c r="K134" s="841">
        <f>Sheet1!CZ135</f>
        <v>3240</v>
      </c>
      <c r="L134" s="865">
        <f>Calculation!F137</f>
        <v>250</v>
      </c>
      <c r="M134" s="865">
        <f>Calculation!E137</f>
        <v>250</v>
      </c>
      <c r="N134" s="865">
        <f>Calculation!D137</f>
        <v>300</v>
      </c>
      <c r="O134" s="888">
        <f>Sheet1!DC135</f>
        <v>1160.0899999999999</v>
      </c>
      <c r="P134" s="889" t="e">
        <f>Calculation!FD137</f>
        <v>#N/A</v>
      </c>
      <c r="Q134" s="895">
        <f>Calculation!DP137</f>
        <v>41702.40000010412</v>
      </c>
      <c r="R134" s="888">
        <f t="shared" ref="R134:R197" si="35">Q134-619</f>
        <v>41083.40000010412</v>
      </c>
      <c r="S134" s="890">
        <f t="shared" si="26"/>
        <v>618.4000000024389</v>
      </c>
      <c r="T134" s="895">
        <f ca="1">IF(A134&gt;$A$1,#N/A,VLOOKUP(A134,Calculation!$B$8:$JO$503,40,FALSE))</f>
        <v>13236.744563864435</v>
      </c>
      <c r="U134" s="890">
        <f t="shared" si="27"/>
        <v>0</v>
      </c>
      <c r="V134" s="890">
        <f>Calculation!AZ137</f>
        <v>0</v>
      </c>
      <c r="W134" s="895">
        <f t="shared" ca="1" si="32"/>
        <v>4287.6554362396855</v>
      </c>
      <c r="X134" s="890">
        <v>0</v>
      </c>
      <c r="Y134" s="890">
        <f t="shared" ca="1" si="33"/>
        <v>2143.8277181198428</v>
      </c>
      <c r="Z134" s="890">
        <f t="shared" ca="1" si="29"/>
        <v>2143.8277181198428</v>
      </c>
      <c r="AA134" s="890">
        <f t="shared" ca="1" si="34"/>
        <v>0</v>
      </c>
      <c r="AB134" s="895">
        <f t="shared" ca="1" si="23"/>
        <v>24178</v>
      </c>
      <c r="AC134" s="980">
        <f t="shared" ref="AC134:AC189" ca="1" si="36">AB134-619</f>
        <v>23559</v>
      </c>
      <c r="AD134" s="860" t="e">
        <f ca="1">IF(A134&gt;$A$1, #N/A,VLOOKUP(A134,Calculation!$B$8:$JO$880,165,FALSE))</f>
        <v>#N/A</v>
      </c>
      <c r="AE134" s="399" t="e">
        <f t="shared" ca="1" si="30"/>
        <v>#N/A</v>
      </c>
      <c r="AF134" s="399"/>
      <c r="AG134" s="841">
        <f>Calculation!G137</f>
        <v>3551.8507312165602</v>
      </c>
      <c r="AH134" s="847" t="str">
        <f t="shared" si="31"/>
        <v>Yes</v>
      </c>
      <c r="AI134" s="847" t="str">
        <f>IF(Calculation!K137&gt;0,"Yes","No")</f>
        <v>Yes</v>
      </c>
      <c r="AJ134" s="869">
        <v>32556.650000080252</v>
      </c>
      <c r="AK134" s="870">
        <v>33142.800000085066</v>
      </c>
      <c r="AL134" s="870">
        <v>35034.900000089547</v>
      </c>
      <c r="AN134" s="372">
        <v>40312.40000010097</v>
      </c>
      <c r="AO134" s="372">
        <v>46155.000000112297</v>
      </c>
      <c r="AP134" s="372">
        <v>47618.400000114583</v>
      </c>
      <c r="AU134" s="427"/>
      <c r="AV134" s="410"/>
      <c r="AW134" s="442"/>
      <c r="AX134" s="441"/>
      <c r="AY134" s="441"/>
      <c r="AZ134" s="443"/>
      <c r="BB134" s="433"/>
      <c r="BC134" s="432"/>
      <c r="BD134" s="433"/>
      <c r="BE134" s="432"/>
      <c r="BF134" s="433"/>
      <c r="BG134" s="432"/>
      <c r="BH134" s="429"/>
    </row>
    <row r="135" spans="1:60" ht="13.8" thickBot="1" x14ac:dyDescent="0.3">
      <c r="A135" s="406">
        <v>42862</v>
      </c>
      <c r="B135" s="860">
        <f t="shared" si="25"/>
        <v>86.492770000000007</v>
      </c>
      <c r="C135" s="860">
        <f>Calculation!AK138</f>
        <v>81.517073977609471</v>
      </c>
      <c r="D135" s="860">
        <f>Calculation!AI138</f>
        <v>0</v>
      </c>
      <c r="E135" s="860">
        <f>Calculation!AE138</f>
        <v>39.603200000000001</v>
      </c>
      <c r="F135" s="860">
        <f>Calculation!AF138</f>
        <v>46.889569999999999</v>
      </c>
      <c r="G135" s="860">
        <f>Calculation!AG138</f>
        <v>16.924179999997975</v>
      </c>
      <c r="H135" s="861">
        <f>Sheet1!H136</f>
        <v>10.53</v>
      </c>
      <c r="I135" s="841">
        <f>Sheet1!DA136</f>
        <v>3980</v>
      </c>
      <c r="J135" s="841">
        <f>Sheet1!DB136</f>
        <v>2920</v>
      </c>
      <c r="K135" s="841">
        <f>Sheet1!CZ136</f>
        <v>3200</v>
      </c>
      <c r="L135" s="865">
        <f>Calculation!F138</f>
        <v>250</v>
      </c>
      <c r="M135" s="865">
        <f>Calculation!E138</f>
        <v>250</v>
      </c>
      <c r="N135" s="865">
        <f>Calculation!D138</f>
        <v>300</v>
      </c>
      <c r="O135" s="888">
        <f>Sheet1!DC136</f>
        <v>1158.6400000000001</v>
      </c>
      <c r="P135" s="889" t="e">
        <f>Calculation!FD138</f>
        <v>#N/A</v>
      </c>
      <c r="Q135" s="895">
        <f>Calculation!DP138</f>
        <v>40188.200000099998</v>
      </c>
      <c r="R135" s="888">
        <f t="shared" si="35"/>
        <v>39569.200000099998</v>
      </c>
      <c r="S135" s="890">
        <f t="shared" si="26"/>
        <v>-1514.2000000041226</v>
      </c>
      <c r="T135" s="895">
        <f ca="1">IF(A135&gt;$A$1,#N/A,VLOOKUP(A135,Calculation!$B$8:$JO$503,40,FALSE))</f>
        <v>13398.408676962887</v>
      </c>
      <c r="U135" s="890">
        <f t="shared" si="27"/>
        <v>0</v>
      </c>
      <c r="V135" s="890">
        <f>Calculation!AZ138</f>
        <v>0</v>
      </c>
      <c r="W135" s="981">
        <v>5000</v>
      </c>
      <c r="X135" s="890">
        <v>0</v>
      </c>
      <c r="Y135" s="890">
        <f t="shared" si="33"/>
        <v>2500</v>
      </c>
      <c r="Z135" s="890">
        <f t="shared" si="29"/>
        <v>2500</v>
      </c>
      <c r="AA135" s="890">
        <f t="shared" ca="1" si="34"/>
        <v>0</v>
      </c>
      <c r="AB135" s="895">
        <f t="shared" ca="1" si="23"/>
        <v>21789.791323137113</v>
      </c>
      <c r="AC135" s="980">
        <f t="shared" ca="1" si="36"/>
        <v>21170.791323137113</v>
      </c>
      <c r="AD135" s="860" t="e">
        <f ca="1">IF(A135&gt;$A$1, #N/A,VLOOKUP(A135,Calculation!$B$8:$JO$880,165,FALSE))</f>
        <v>#N/A</v>
      </c>
      <c r="AE135" s="399" t="e">
        <f t="shared" ca="1" si="30"/>
        <v>#N/A</v>
      </c>
      <c r="AF135" s="399"/>
      <c r="AG135" s="841">
        <f>Calculation!G138</f>
        <v>2436.4094805828936</v>
      </c>
      <c r="AH135" s="847" t="str">
        <f t="shared" si="31"/>
        <v>Yes</v>
      </c>
      <c r="AI135" s="847" t="str">
        <f>IF(Calculation!K138&gt;0,"Yes","No")</f>
        <v>Yes</v>
      </c>
      <c r="AJ135" s="869">
        <v>33239.320000082116</v>
      </c>
      <c r="AK135" s="870">
        <v>33329.100000084371</v>
      </c>
      <c r="AL135" s="870">
        <v>35352.000000088839</v>
      </c>
      <c r="AN135" s="372">
        <v>40727.400000101443</v>
      </c>
      <c r="AO135" s="372">
        <v>46210.000000112297</v>
      </c>
      <c r="AP135" s="372">
        <v>48020.000000115091</v>
      </c>
      <c r="AU135" s="427"/>
      <c r="AV135" s="410"/>
      <c r="AW135" s="442"/>
      <c r="AX135" s="441"/>
      <c r="AY135" s="441"/>
      <c r="AZ135" s="443"/>
      <c r="BB135" s="433"/>
      <c r="BC135" s="432"/>
      <c r="BD135" s="433"/>
      <c r="BE135" s="432"/>
      <c r="BF135" s="433"/>
      <c r="BG135" s="432"/>
      <c r="BH135" s="429"/>
    </row>
    <row r="136" spans="1:60" ht="13.8" thickBot="1" x14ac:dyDescent="0.3">
      <c r="A136" s="406">
        <v>42863</v>
      </c>
      <c r="B136" s="860">
        <f t="shared" si="25"/>
        <v>93.578029999999998</v>
      </c>
      <c r="C136" s="860">
        <f>Calculation!AK139</f>
        <v>81.533006578947365</v>
      </c>
      <c r="D136" s="860">
        <f>Calculation!AI139</f>
        <v>0</v>
      </c>
      <c r="E136" s="860">
        <f>Calculation!AE139</f>
        <v>39.603200000000001</v>
      </c>
      <c r="F136" s="860">
        <f>Calculation!AF139</f>
        <v>53.974829999999997</v>
      </c>
      <c r="G136" s="860">
        <f>Calculation!AG139</f>
        <v>34.745619999998645</v>
      </c>
      <c r="H136" s="861">
        <f>Sheet1!H137</f>
        <v>9.2799999999999994</v>
      </c>
      <c r="I136" s="841">
        <f>Sheet1!DA137</f>
        <v>2730</v>
      </c>
      <c r="J136" s="841">
        <f>Sheet1!DB137</f>
        <v>1900</v>
      </c>
      <c r="K136" s="841">
        <f>Sheet1!CZ137</f>
        <v>3210</v>
      </c>
      <c r="L136" s="865">
        <f>Calculation!F139</f>
        <v>250</v>
      </c>
      <c r="M136" s="865">
        <f>Calculation!E139</f>
        <v>250</v>
      </c>
      <c r="N136" s="865">
        <f>Calculation!D139</f>
        <v>300</v>
      </c>
      <c r="O136" s="888">
        <f>Sheet1!DC137</f>
        <v>1157.27</v>
      </c>
      <c r="P136" s="889" t="e">
        <f>Calculation!FD139</f>
        <v>#N/A</v>
      </c>
      <c r="Q136" s="895">
        <f>Calculation!DP139</f>
        <v>38785.400000097638</v>
      </c>
      <c r="R136" s="888">
        <f t="shared" si="35"/>
        <v>38166.400000097638</v>
      </c>
      <c r="S136" s="890">
        <f t="shared" si="26"/>
        <v>-1402.8000000023603</v>
      </c>
      <c r="T136" s="895">
        <f ca="1">IF(A136&gt;$A$1,#N/A,VLOOKUP(A136,Calculation!$B$8:$JO$503,40,FALSE))</f>
        <v>13560.104387489206</v>
      </c>
      <c r="U136" s="890">
        <f t="shared" si="27"/>
        <v>0</v>
      </c>
      <c r="V136" s="890">
        <f>Calculation!AZ139</f>
        <v>0</v>
      </c>
      <c r="W136" s="981">
        <v>5000</v>
      </c>
      <c r="X136" s="890">
        <v>0</v>
      </c>
      <c r="Y136" s="890">
        <f t="shared" si="33"/>
        <v>2500</v>
      </c>
      <c r="Z136" s="890">
        <f t="shared" si="29"/>
        <v>2500</v>
      </c>
      <c r="AA136" s="890">
        <f t="shared" ca="1" si="34"/>
        <v>0</v>
      </c>
      <c r="AB136" s="895">
        <f t="shared" ref="AB136:AB182" ca="1" si="37">IF(Q136-T136-W136&lt;0,0,MIN(Q136-T136-W136,24257))</f>
        <v>20225.295612608432</v>
      </c>
      <c r="AC136" s="980">
        <f t="shared" ca="1" si="36"/>
        <v>19606.295612608432</v>
      </c>
      <c r="AD136" s="860" t="e">
        <f ca="1">IF(A136&gt;$A$1, #N/A,VLOOKUP(A136,Calculation!$B$8:$JO$880,165,FALSE))</f>
        <v>#N/A</v>
      </c>
      <c r="AE136" s="399" t="e">
        <f t="shared" ca="1" si="30"/>
        <v>#N/A</v>
      </c>
      <c r="AF136" s="399"/>
      <c r="AG136" s="841">
        <f>Calculation!G139</f>
        <v>2502.5869894087946</v>
      </c>
      <c r="AH136" s="847" t="str">
        <f t="shared" si="31"/>
        <v>Yes</v>
      </c>
      <c r="AI136" s="847" t="str">
        <f>IF(Calculation!K139&gt;0,"Yes","No")</f>
        <v>Yes</v>
      </c>
      <c r="AJ136" s="869">
        <v>33928.990000084006</v>
      </c>
      <c r="AK136" s="870">
        <v>33769.600000085709</v>
      </c>
      <c r="AL136" s="870">
        <v>35856.400000090209</v>
      </c>
      <c r="AN136" s="372">
        <v>41324.500000102897</v>
      </c>
      <c r="AO136" s="372">
        <v>46287.400000113317</v>
      </c>
      <c r="AP136" s="372">
        <v>48423.800000117415</v>
      </c>
      <c r="AU136" s="427"/>
      <c r="AV136" s="410"/>
      <c r="AW136" s="442"/>
      <c r="AX136" s="441"/>
      <c r="AY136" s="441"/>
      <c r="AZ136" s="443"/>
      <c r="BB136" s="433"/>
      <c r="BC136" s="432"/>
      <c r="BD136" s="433"/>
      <c r="BE136" s="432"/>
      <c r="BF136" s="433"/>
      <c r="BG136" s="432"/>
      <c r="BH136" s="429"/>
    </row>
    <row r="137" spans="1:60" ht="13.8" thickBot="1" x14ac:dyDescent="0.3">
      <c r="A137" s="406">
        <v>42864</v>
      </c>
      <c r="B137" s="860">
        <f t="shared" si="25"/>
        <v>79.887079999999997</v>
      </c>
      <c r="C137" s="860">
        <f>Calculation!AK140</f>
        <v>82.685007999999996</v>
      </c>
      <c r="D137" s="860">
        <f>Calculation!AI140</f>
        <v>0</v>
      </c>
      <c r="E137" s="860">
        <f>Calculation!AE140</f>
        <v>39.696019999999997</v>
      </c>
      <c r="F137" s="860">
        <f>Calculation!AF140</f>
        <v>40.19106</v>
      </c>
      <c r="G137" s="860">
        <f>Calculation!AG140</f>
        <v>64.865710000000448</v>
      </c>
      <c r="H137" s="861" t="str">
        <f>Sheet1!H138</f>
        <v>o/l</v>
      </c>
      <c r="I137" s="841">
        <f>Sheet1!DA138</f>
        <v>2280</v>
      </c>
      <c r="J137" s="841">
        <f>Sheet1!DB138</f>
        <v>1600</v>
      </c>
      <c r="K137" s="841">
        <f>Sheet1!CZ138</f>
        <v>1640</v>
      </c>
      <c r="L137" s="865">
        <f>Calculation!F140</f>
        <v>250</v>
      </c>
      <c r="M137" s="865">
        <f>Calculation!E140</f>
        <v>250</v>
      </c>
      <c r="N137" s="865">
        <f>Calculation!D140</f>
        <v>300</v>
      </c>
      <c r="O137" s="888">
        <f>Sheet1!DC138</f>
        <v>1157</v>
      </c>
      <c r="P137" s="889" t="e">
        <f>Calculation!FD140</f>
        <v>#N/A</v>
      </c>
      <c r="Q137" s="895">
        <f>Calculation!DP140</f>
        <v>38511.000000097411</v>
      </c>
      <c r="R137" s="888">
        <f t="shared" si="35"/>
        <v>37892.000000097411</v>
      </c>
      <c r="S137" s="890">
        <f t="shared" si="26"/>
        <v>-274.40000000022701</v>
      </c>
      <c r="T137" s="895">
        <f ca="1">IF(A137&gt;$A$1,#N/A,VLOOKUP(A137,Calculation!$B$8:$JO$503,40,FALSE))</f>
        <v>13724.084739489206</v>
      </c>
      <c r="U137" s="890">
        <f t="shared" si="27"/>
        <v>0</v>
      </c>
      <c r="V137" s="890">
        <f>Calculation!AZ140</f>
        <v>0</v>
      </c>
      <c r="W137" s="981">
        <v>5000</v>
      </c>
      <c r="X137" s="890">
        <v>0</v>
      </c>
      <c r="Y137" s="890">
        <f t="shared" si="33"/>
        <v>2500</v>
      </c>
      <c r="Z137" s="890">
        <f t="shared" si="29"/>
        <v>2500</v>
      </c>
      <c r="AA137" s="890">
        <f t="shared" ca="1" si="34"/>
        <v>0</v>
      </c>
      <c r="AB137" s="895">
        <f t="shared" ca="1" si="37"/>
        <v>19786.915260608206</v>
      </c>
      <c r="AC137" s="980">
        <f t="shared" ca="1" si="36"/>
        <v>19167.915260608206</v>
      </c>
      <c r="AD137" s="860" t="e">
        <f ca="1">IF(A137&gt;$A$1, #N/A,VLOOKUP(A137,Calculation!$B$8:$JO$880,165,FALSE))</f>
        <v>#N/A</v>
      </c>
      <c r="AE137" s="399" t="e">
        <f t="shared" ca="1" si="30"/>
        <v>#N/A</v>
      </c>
      <c r="AF137" s="399"/>
      <c r="AG137" s="841">
        <f>Calculation!G140</f>
        <v>1501.6238023196031</v>
      </c>
      <c r="AH137" s="847" t="str">
        <f t="shared" si="31"/>
        <v>Yes</v>
      </c>
      <c r="AI137" s="847" t="str">
        <f>IF(Calculation!K140&gt;0,"Yes","No")</f>
        <v>Yes</v>
      </c>
      <c r="AJ137" s="869">
        <v>33763.150000082533</v>
      </c>
      <c r="AK137" s="870">
        <v>34698.200000088182</v>
      </c>
      <c r="AL137" s="870">
        <v>36236.700000090648</v>
      </c>
      <c r="AN137" s="372">
        <v>42455.000000104839</v>
      </c>
      <c r="AO137" s="372">
        <v>46331.800000113573</v>
      </c>
      <c r="AP137" s="372">
        <v>48750.500000117674</v>
      </c>
      <c r="AU137" s="427"/>
      <c r="AV137" s="410"/>
      <c r="AW137" s="442"/>
      <c r="AX137" s="441"/>
      <c r="AY137" s="441"/>
      <c r="AZ137" s="443"/>
      <c r="BB137" s="433"/>
      <c r="BC137" s="432"/>
      <c r="BD137" s="433"/>
      <c r="BE137" s="432"/>
      <c r="BF137" s="433"/>
      <c r="BG137" s="432"/>
      <c r="BH137" s="429"/>
    </row>
    <row r="138" spans="1:60" ht="13.8" thickBot="1" x14ac:dyDescent="0.3">
      <c r="A138" s="406">
        <v>42865</v>
      </c>
      <c r="B138" s="860">
        <f t="shared" si="25"/>
        <v>77.040599999999998</v>
      </c>
      <c r="C138" s="860">
        <f>Calculation!AK141</f>
        <v>81.502160706365501</v>
      </c>
      <c r="D138" s="860">
        <f>Calculation!AI141</f>
        <v>0</v>
      </c>
      <c r="E138" s="860">
        <f>Calculation!AE141</f>
        <v>39.726959999999998</v>
      </c>
      <c r="F138" s="860">
        <f>Calculation!AF141</f>
        <v>37.313639999999999</v>
      </c>
      <c r="G138" s="860">
        <f>Calculation!AG141</f>
        <v>63.875630000001351</v>
      </c>
      <c r="H138" s="861">
        <f>Sheet1!H139</f>
        <v>12.63</v>
      </c>
      <c r="I138" s="841">
        <f>Sheet1!DA139</f>
        <v>2070</v>
      </c>
      <c r="J138" s="841">
        <f>Sheet1!DB139</f>
        <v>1460</v>
      </c>
      <c r="K138" s="841">
        <f>Sheet1!CZ139</f>
        <v>1530</v>
      </c>
      <c r="L138" s="865">
        <f>Calculation!F141</f>
        <v>250</v>
      </c>
      <c r="M138" s="865">
        <f>Calculation!E141</f>
        <v>250</v>
      </c>
      <c r="N138" s="865">
        <f>Calculation!D141</f>
        <v>300</v>
      </c>
      <c r="O138" s="888">
        <f>Sheet1!DC139</f>
        <v>1157.28</v>
      </c>
      <c r="P138" s="889" t="e">
        <f>Calculation!FD141</f>
        <v>#N/A</v>
      </c>
      <c r="Q138" s="895">
        <f>Calculation!DP141</f>
        <v>38795.600000097642</v>
      </c>
      <c r="R138" s="888">
        <f t="shared" si="35"/>
        <v>38176.600000097642</v>
      </c>
      <c r="S138" s="890">
        <f t="shared" si="26"/>
        <v>284.60000000023138</v>
      </c>
      <c r="T138" s="895">
        <f ca="1">IF(A138&gt;$A$1,#N/A,VLOOKUP(A138,Calculation!$B$8:$JO$503,40,FALSE))</f>
        <v>13885.719276688384</v>
      </c>
      <c r="U138" s="890">
        <f t="shared" si="27"/>
        <v>0</v>
      </c>
      <c r="V138" s="890">
        <f>Calculation!AZ141</f>
        <v>0</v>
      </c>
      <c r="W138" s="981">
        <v>5000</v>
      </c>
      <c r="X138" s="890">
        <v>0</v>
      </c>
      <c r="Y138" s="890">
        <f t="shared" si="33"/>
        <v>2500</v>
      </c>
      <c r="Z138" s="890">
        <f t="shared" si="29"/>
        <v>2500</v>
      </c>
      <c r="AA138" s="890">
        <f t="shared" ca="1" si="34"/>
        <v>0</v>
      </c>
      <c r="AB138" s="895">
        <f t="shared" ca="1" si="37"/>
        <v>19909.88072340926</v>
      </c>
      <c r="AC138" s="980">
        <f t="shared" ca="1" si="36"/>
        <v>19290.88072340926</v>
      </c>
      <c r="AD138" s="860" t="e">
        <f ca="1">IF(A138&gt;$A$1, #N/A,VLOOKUP(A138,Calculation!$B$8:$JO$880,165,FALSE))</f>
        <v>#N/A</v>
      </c>
      <c r="AE138" s="399" t="e">
        <f t="shared" ca="1" si="30"/>
        <v>#N/A</v>
      </c>
      <c r="AF138" s="399"/>
      <c r="AG138" s="841">
        <f>Calculation!G141</f>
        <v>1673.5199193142871</v>
      </c>
      <c r="AH138" s="847" t="str">
        <f t="shared" si="31"/>
        <v>Yes</v>
      </c>
      <c r="AI138" s="847" t="str">
        <f>IF(Calculation!K141&gt;0,"Yes","No")</f>
        <v>Yes</v>
      </c>
      <c r="AJ138" s="869">
        <v>34124.920000084217</v>
      </c>
      <c r="AK138" s="870">
        <v>35642.000000089989</v>
      </c>
      <c r="AL138" s="870">
        <v>36627.900000092741</v>
      </c>
      <c r="AN138" s="372">
        <v>43416.000000106804</v>
      </c>
      <c r="AO138" s="372">
        <v>46365.000000112552</v>
      </c>
      <c r="AP138" s="372">
        <v>48919.000000117929</v>
      </c>
      <c r="AU138" s="427"/>
      <c r="AV138" s="410"/>
      <c r="AW138" s="442"/>
      <c r="AX138" s="441"/>
      <c r="AY138" s="441"/>
      <c r="AZ138" s="443"/>
      <c r="BB138" s="433"/>
      <c r="BC138" s="432"/>
      <c r="BD138" s="433"/>
      <c r="BE138" s="432"/>
      <c r="BF138" s="433"/>
      <c r="BG138" s="432"/>
      <c r="BH138" s="429"/>
    </row>
    <row r="139" spans="1:60" ht="13.8" thickBot="1" x14ac:dyDescent="0.3">
      <c r="A139" s="406">
        <v>42866</v>
      </c>
      <c r="B139" s="860">
        <f t="shared" si="25"/>
        <v>83.02749</v>
      </c>
      <c r="C139" s="860">
        <f>Calculation!AK142</f>
        <v>81.974163703703695</v>
      </c>
      <c r="D139" s="860">
        <f>Calculation!AI142</f>
        <v>0</v>
      </c>
      <c r="E139" s="860">
        <f>Calculation!AE142</f>
        <v>39.696019999999997</v>
      </c>
      <c r="F139" s="860">
        <f>Calculation!AF142</f>
        <v>43.331470000000003</v>
      </c>
      <c r="G139" s="860">
        <f>Calculation!AG142</f>
        <v>25.20063000000135</v>
      </c>
      <c r="H139" s="861">
        <f>Sheet1!H140</f>
        <v>7.9</v>
      </c>
      <c r="I139" s="841">
        <f>Sheet1!DA140</f>
        <v>2440</v>
      </c>
      <c r="J139" s="841">
        <f>Sheet1!DB140</f>
        <v>1800</v>
      </c>
      <c r="K139" s="841">
        <f>Sheet1!CZ140</f>
        <v>1910</v>
      </c>
      <c r="L139" s="865">
        <f>Calculation!F142</f>
        <v>250</v>
      </c>
      <c r="M139" s="865">
        <f>Calculation!E142</f>
        <v>250</v>
      </c>
      <c r="N139" s="865">
        <f>Calculation!D142</f>
        <v>300</v>
      </c>
      <c r="O139" s="888">
        <f>Sheet1!DC140</f>
        <v>1157.8599999999999</v>
      </c>
      <c r="P139" s="889" t="e">
        <f>Calculation!FD142</f>
        <v>#N/A</v>
      </c>
      <c r="Q139" s="895">
        <f>Calculation!DP142</f>
        <v>39385.60000009714</v>
      </c>
      <c r="R139" s="888">
        <f t="shared" si="35"/>
        <v>38766.60000009714</v>
      </c>
      <c r="S139" s="890">
        <f t="shared" si="26"/>
        <v>589.99999999949796</v>
      </c>
      <c r="T139" s="895">
        <f ca="1">IF(A139&gt;$A$1,#N/A,VLOOKUP(A139,Calculation!$B$8:$JO$503,40,FALSE))</f>
        <v>14048.289887058756</v>
      </c>
      <c r="U139" s="890">
        <f t="shared" si="27"/>
        <v>0</v>
      </c>
      <c r="V139" s="890">
        <f>Calculation!AZ142</f>
        <v>0</v>
      </c>
      <c r="W139" s="981">
        <v>5000</v>
      </c>
      <c r="X139" s="890">
        <v>0</v>
      </c>
      <c r="Y139" s="890">
        <f t="shared" si="33"/>
        <v>2500</v>
      </c>
      <c r="Z139" s="890">
        <f t="shared" si="29"/>
        <v>2500</v>
      </c>
      <c r="AA139" s="890">
        <f t="shared" ca="1" si="34"/>
        <v>0</v>
      </c>
      <c r="AB139" s="895">
        <f t="shared" ca="1" si="37"/>
        <v>20337.310113038384</v>
      </c>
      <c r="AC139" s="980">
        <f t="shared" ca="1" si="36"/>
        <v>19718.310113038384</v>
      </c>
      <c r="AD139" s="860" t="e">
        <f ca="1">IF(A139&gt;$A$1, #N/A,VLOOKUP(A139,Calculation!$B$8:$JO$880,165,FALSE))</f>
        <v>#N/A</v>
      </c>
      <c r="AE139" s="399" t="e">
        <f t="shared" ca="1" si="30"/>
        <v>#N/A</v>
      </c>
      <c r="AF139" s="399"/>
      <c r="AG139" s="841">
        <f>Calculation!G142</f>
        <v>2207.5289964697417</v>
      </c>
      <c r="AH139" s="847" t="str">
        <f t="shared" si="31"/>
        <v>Yes</v>
      </c>
      <c r="AI139" s="847" t="str">
        <f>IF(Calculation!K142&gt;0,"Yes","No")</f>
        <v>Yes</v>
      </c>
      <c r="AJ139" s="869">
        <v>34572.760000084643</v>
      </c>
      <c r="AK139" s="870">
        <v>36070.800000090429</v>
      </c>
      <c r="AL139" s="870">
        <v>36855.600000092963</v>
      </c>
      <c r="AN139" s="372">
        <v>43855.800000108051</v>
      </c>
      <c r="AO139" s="372">
        <v>46376.000000112552</v>
      </c>
      <c r="AP139" s="372">
        <v>49032.000000116888</v>
      </c>
      <c r="AU139" s="427"/>
      <c r="AV139" s="410"/>
      <c r="AW139" s="442"/>
      <c r="AX139" s="441"/>
      <c r="AY139" s="441"/>
      <c r="AZ139" s="443"/>
      <c r="BB139" s="433"/>
      <c r="BC139" s="432"/>
      <c r="BD139" s="433"/>
      <c r="BE139" s="432"/>
      <c r="BF139" s="433"/>
      <c r="BG139" s="432"/>
      <c r="BH139" s="429"/>
    </row>
    <row r="140" spans="1:60" ht="13.8" thickBot="1" x14ac:dyDescent="0.3">
      <c r="A140" s="406">
        <v>42867</v>
      </c>
      <c r="B140" s="860">
        <f t="shared" si="25"/>
        <v>83.089370000000002</v>
      </c>
      <c r="C140" s="860">
        <f>Calculation!AK143</f>
        <v>81.484705588758445</v>
      </c>
      <c r="D140" s="860">
        <f>Calculation!AI143</f>
        <v>0</v>
      </c>
      <c r="E140" s="860">
        <f>Calculation!AE143</f>
        <v>39.757899999999999</v>
      </c>
      <c r="F140" s="860">
        <f>Calculation!AF143</f>
        <v>43.331470000000003</v>
      </c>
      <c r="G140" s="860">
        <f>Calculation!AG143</f>
        <v>12.097539999999549</v>
      </c>
      <c r="H140" s="861">
        <f>Sheet1!H141</f>
        <v>5.16</v>
      </c>
      <c r="I140" s="841">
        <f>Sheet1!DA141</f>
        <v>2160</v>
      </c>
      <c r="J140" s="841">
        <f>Sheet1!DB141</f>
        <v>1480</v>
      </c>
      <c r="K140" s="841">
        <f>Sheet1!CZ141</f>
        <v>1600</v>
      </c>
      <c r="L140" s="865">
        <f>Calculation!F143</f>
        <v>250</v>
      </c>
      <c r="M140" s="865">
        <f>Calculation!E143</f>
        <v>250</v>
      </c>
      <c r="N140" s="865">
        <f>Calculation!D143</f>
        <v>300</v>
      </c>
      <c r="O140" s="888">
        <f>Sheet1!DC141</f>
        <v>1158.26</v>
      </c>
      <c r="P140" s="889" t="e">
        <f>Calculation!FD143</f>
        <v>#N/A</v>
      </c>
      <c r="Q140" s="895">
        <f>Calculation!DP143</f>
        <v>39796.400000100497</v>
      </c>
      <c r="R140" s="888">
        <f t="shared" si="35"/>
        <v>39177.400000100497</v>
      </c>
      <c r="S140" s="890">
        <f t="shared" si="26"/>
        <v>410.80000000335713</v>
      </c>
      <c r="T140" s="895">
        <f ca="1">IF(A140&gt;$A$1,#N/A,VLOOKUP(A140,Calculation!$B$8:$JO$503,40,FALSE))</f>
        <v>14209.889807386044</v>
      </c>
      <c r="U140" s="890">
        <f t="shared" si="27"/>
        <v>0</v>
      </c>
      <c r="V140" s="890">
        <f>Calculation!AZ143</f>
        <v>0</v>
      </c>
      <c r="W140" s="981">
        <v>5000</v>
      </c>
      <c r="X140" s="890">
        <f>IF(U140&lt;=0,0,MIN(MAX(R140-U140-25000-619-Y140*1.983,0),5000))</f>
        <v>0</v>
      </c>
      <c r="Y140" s="890">
        <f t="shared" si="33"/>
        <v>2500</v>
      </c>
      <c r="Z140" s="890">
        <f t="shared" si="29"/>
        <v>2500</v>
      </c>
      <c r="AA140" s="890">
        <f t="shared" ca="1" si="34"/>
        <v>0</v>
      </c>
      <c r="AB140" s="895">
        <f t="shared" ca="1" si="37"/>
        <v>20586.510192714453</v>
      </c>
      <c r="AC140" s="980">
        <f t="shared" ca="1" si="36"/>
        <v>19967.510192714453</v>
      </c>
      <c r="AD140" s="860" t="e">
        <f ca="1">IF(A140&gt;$A$1, #N/A,VLOOKUP(A140,Calculation!$B$8:$JO$880,165,FALSE))</f>
        <v>#N/A</v>
      </c>
      <c r="AE140" s="399" t="e">
        <f t="shared" ca="1" si="30"/>
        <v>#N/A</v>
      </c>
      <c r="AF140" s="399"/>
      <c r="AG140" s="841">
        <f>Calculation!G143</f>
        <v>1807.1608673743606</v>
      </c>
      <c r="AH140" s="847" t="str">
        <f t="shared" si="31"/>
        <v>Yes</v>
      </c>
      <c r="AI140" s="847" t="str">
        <f>IF(Calculation!K143&gt;0,"Yes","No")</f>
        <v>Yes</v>
      </c>
      <c r="AJ140" s="869">
        <v>35032.660000086253</v>
      </c>
      <c r="AK140" s="870">
        <v>36499.600000090868</v>
      </c>
      <c r="AL140" s="870">
        <v>37131.800000093193</v>
      </c>
      <c r="AN140" s="372">
        <v>44062.000000108295</v>
      </c>
      <c r="AO140" s="372">
        <v>46442.000000112552</v>
      </c>
      <c r="AP140" s="372">
        <v>49166.600000118189</v>
      </c>
      <c r="AU140" s="427"/>
      <c r="AV140" s="410"/>
      <c r="AW140" s="442"/>
      <c r="AX140" s="441"/>
      <c r="AY140" s="441"/>
      <c r="AZ140" s="443"/>
      <c r="BB140" s="433"/>
      <c r="BC140" s="432"/>
      <c r="BD140" s="433"/>
      <c r="BE140" s="432"/>
      <c r="BF140" s="433"/>
      <c r="BG140" s="432"/>
      <c r="BH140" s="429"/>
    </row>
    <row r="141" spans="1:60" ht="13.8" thickBot="1" x14ac:dyDescent="0.3">
      <c r="A141" s="406">
        <v>42868</v>
      </c>
      <c r="B141" s="860">
        <f t="shared" si="25"/>
        <v>83.089370000000002</v>
      </c>
      <c r="C141" s="860">
        <f>Calculation!AK144</f>
        <v>81.511220648148139</v>
      </c>
      <c r="D141" s="860">
        <f>Calculation!AI144</f>
        <v>0</v>
      </c>
      <c r="E141" s="860">
        <f>Calculation!AE144</f>
        <v>39.757899999999999</v>
      </c>
      <c r="F141" s="860">
        <f>Calculation!AF144</f>
        <v>43.331470000000003</v>
      </c>
      <c r="G141" s="860">
        <f>Calculation!AG144</f>
        <v>0</v>
      </c>
      <c r="H141" s="861">
        <f>Sheet1!H142</f>
        <v>4.71</v>
      </c>
      <c r="I141" s="841">
        <f>Sheet1!DA142</f>
        <v>2110</v>
      </c>
      <c r="J141" s="841">
        <f>Sheet1!DB142</f>
        <v>1490</v>
      </c>
      <c r="K141" s="841">
        <f>Sheet1!CZ142</f>
        <v>1600</v>
      </c>
      <c r="L141" s="865">
        <f>Calculation!F144</f>
        <v>250</v>
      </c>
      <c r="M141" s="865">
        <f>Calculation!E144</f>
        <v>250</v>
      </c>
      <c r="N141" s="865">
        <f>Calculation!D144</f>
        <v>300</v>
      </c>
      <c r="O141" s="888">
        <f>Sheet1!DC142</f>
        <v>1158.57</v>
      </c>
      <c r="P141" s="889" t="e">
        <f>Calculation!FD144</f>
        <v>#N/A</v>
      </c>
      <c r="Q141" s="895">
        <f>Calculation!DP144</f>
        <v>40116.100000099766</v>
      </c>
      <c r="R141" s="888">
        <f t="shared" si="35"/>
        <v>39497.100000099766</v>
      </c>
      <c r="S141" s="890">
        <f t="shared" si="26"/>
        <v>319.69999999926949</v>
      </c>
      <c r="T141" s="895">
        <f ca="1">IF(A141&gt;$A$1,#N/A,VLOOKUP(A141,Calculation!$B$8:$JO$503,40,FALSE))</f>
        <v>14371.542312200858</v>
      </c>
      <c r="U141" s="890">
        <f t="shared" si="27"/>
        <v>0</v>
      </c>
      <c r="V141" s="890">
        <f>Calculation!AZ144</f>
        <v>0</v>
      </c>
      <c r="W141" s="981">
        <v>5000</v>
      </c>
      <c r="X141" s="890">
        <f t="shared" ref="X141:X146" si="38">IF(U141&lt;=0,0,MIN(MAX(R141-U141-25000-619-Y141*1.983,0),5000))</f>
        <v>0</v>
      </c>
      <c r="Y141" s="890">
        <f t="shared" si="33"/>
        <v>2500</v>
      </c>
      <c r="Z141" s="890">
        <f t="shared" si="29"/>
        <v>2500</v>
      </c>
      <c r="AA141" s="890">
        <f t="shared" ca="1" si="34"/>
        <v>0</v>
      </c>
      <c r="AB141" s="895">
        <f t="shared" ca="1" si="37"/>
        <v>20744.557687898909</v>
      </c>
      <c r="AC141" s="980">
        <f t="shared" ca="1" si="36"/>
        <v>20125.557687898909</v>
      </c>
      <c r="AD141" s="860" t="e">
        <f ca="1">IF(A141&gt;$A$1, #N/A,VLOOKUP(A141,Calculation!$B$8:$JO$880,165,FALSE))</f>
        <v>#N/A</v>
      </c>
      <c r="AE141" s="399" t="e">
        <f t="shared" ca="1" si="30"/>
        <v>#N/A</v>
      </c>
      <c r="AF141" s="399"/>
      <c r="AG141" s="841">
        <f>Calculation!G144</f>
        <v>1761.2203731715933</v>
      </c>
      <c r="AH141" s="847" t="str">
        <f t="shared" si="31"/>
        <v>Yes</v>
      </c>
      <c r="AI141" s="847" t="str">
        <f>IF(Calculation!K144&gt;0,"Yes","No")</f>
        <v>Yes</v>
      </c>
      <c r="AJ141" s="869">
        <v>35202.94000008647</v>
      </c>
      <c r="AK141" s="870">
        <v>36746.700000092969</v>
      </c>
      <c r="AL141" s="870">
        <v>37468.400000093643</v>
      </c>
      <c r="AN141" s="372">
        <v>44483.200000108787</v>
      </c>
      <c r="AO141" s="372">
        <v>46618.400000113827</v>
      </c>
      <c r="AP141" s="372">
        <v>49314.000000119238</v>
      </c>
      <c r="AU141" s="427"/>
      <c r="AV141" s="410"/>
      <c r="AW141" s="442"/>
      <c r="AX141" s="441"/>
      <c r="AY141" s="441"/>
      <c r="AZ141" s="443"/>
      <c r="BB141" s="433"/>
      <c r="BC141" s="432"/>
      <c r="BD141" s="433"/>
      <c r="BE141" s="432"/>
      <c r="BF141" s="433"/>
      <c r="BG141" s="432"/>
      <c r="BH141" s="429"/>
    </row>
    <row r="142" spans="1:60" ht="13.8" thickBot="1" x14ac:dyDescent="0.3">
      <c r="A142" s="406">
        <v>42869</v>
      </c>
      <c r="B142" s="860">
        <f t="shared" si="25"/>
        <v>82.470570000000009</v>
      </c>
      <c r="C142" s="860">
        <f>Calculation!AK145</f>
        <v>81.511220648148139</v>
      </c>
      <c r="D142" s="860">
        <f>Calculation!AI145</f>
        <v>0</v>
      </c>
      <c r="E142" s="860">
        <f>Calculation!AE145</f>
        <v>39.139099999999999</v>
      </c>
      <c r="F142" s="860">
        <f>Calculation!AF145</f>
        <v>43.331470000000003</v>
      </c>
      <c r="G142" s="860">
        <f>Calculation!AG145</f>
        <v>0</v>
      </c>
      <c r="H142" s="861">
        <f>Sheet1!H143</f>
        <v>4.53</v>
      </c>
      <c r="I142" s="841">
        <f>Sheet1!DA143</f>
        <v>2110</v>
      </c>
      <c r="J142" s="841">
        <f>Sheet1!DB143</f>
        <v>1480</v>
      </c>
      <c r="K142" s="841">
        <f>Sheet1!CZ143</f>
        <v>1600</v>
      </c>
      <c r="L142" s="865">
        <f>Calculation!F145</f>
        <v>250</v>
      </c>
      <c r="M142" s="865">
        <f>Calculation!E145</f>
        <v>250</v>
      </c>
      <c r="N142" s="865">
        <f>Calculation!D145</f>
        <v>300</v>
      </c>
      <c r="O142" s="888">
        <f>Sheet1!DC143</f>
        <v>1158.44</v>
      </c>
      <c r="P142" s="889" t="e">
        <f>Calculation!FD145</f>
        <v>#N/A</v>
      </c>
      <c r="Q142" s="895">
        <f>Calculation!DP145</f>
        <v>39982.200000099765</v>
      </c>
      <c r="R142" s="888">
        <f t="shared" si="35"/>
        <v>39363.200000099765</v>
      </c>
      <c r="S142" s="890">
        <f t="shared" si="26"/>
        <v>-133.90000000000146</v>
      </c>
      <c r="T142" s="895">
        <f ca="1">IF(A142&gt;$A$1,#N/A,VLOOKUP(A142,Calculation!$B$8:$JO$503,40,FALSE))</f>
        <v>14533.19481701567</v>
      </c>
      <c r="U142" s="890">
        <f t="shared" si="27"/>
        <v>0</v>
      </c>
      <c r="V142" s="890">
        <f>Calculation!AZ145</f>
        <v>0</v>
      </c>
      <c r="W142" s="981">
        <v>5000</v>
      </c>
      <c r="X142" s="890">
        <f t="shared" si="38"/>
        <v>0</v>
      </c>
      <c r="Y142" s="890">
        <f t="shared" si="33"/>
        <v>2500</v>
      </c>
      <c r="Z142" s="890">
        <f t="shared" si="29"/>
        <v>2500</v>
      </c>
      <c r="AA142" s="890">
        <f t="shared" ca="1" si="34"/>
        <v>0</v>
      </c>
      <c r="AB142" s="895">
        <f t="shared" ca="1" si="37"/>
        <v>20449.005183084097</v>
      </c>
      <c r="AC142" s="980">
        <f t="shared" ca="1" si="36"/>
        <v>19830.005183084097</v>
      </c>
      <c r="AD142" s="860" t="e">
        <f ca="1">IF(A142&gt;$A$1, #N/A,VLOOKUP(A142,Calculation!$B$8:$JO$880,165,FALSE))</f>
        <v>#N/A</v>
      </c>
      <c r="AE142" s="399" t="e">
        <f t="shared" ca="1" si="30"/>
        <v>#N/A</v>
      </c>
      <c r="AF142" s="399"/>
      <c r="AG142" s="841">
        <f>Calculation!G145</f>
        <v>1532.4760463943512</v>
      </c>
      <c r="AH142" s="847" t="str">
        <f t="shared" si="31"/>
        <v>Yes</v>
      </c>
      <c r="AI142" s="847" t="str">
        <f>IF(Calculation!K145&gt;0,"Yes","No")</f>
        <v>Yes</v>
      </c>
      <c r="AJ142" s="869">
        <v>35713.780000086903</v>
      </c>
      <c r="AK142" s="870">
        <v>37121.900000093192</v>
      </c>
      <c r="AL142" s="870">
        <v>37869.000000094813</v>
      </c>
      <c r="AN142" s="372">
        <v>44862.60000011004</v>
      </c>
      <c r="AO142" s="372">
        <v>46740.000000112799</v>
      </c>
      <c r="AP142" s="372">
        <v>49564.100000118444</v>
      </c>
      <c r="AU142" s="427"/>
      <c r="AV142" s="410"/>
      <c r="AW142" s="442"/>
      <c r="AX142" s="441"/>
      <c r="AY142" s="441"/>
      <c r="AZ142" s="443"/>
      <c r="BB142" s="433"/>
      <c r="BC142" s="432"/>
      <c r="BD142" s="433"/>
      <c r="BE142" s="432"/>
      <c r="BF142" s="433"/>
      <c r="BG142" s="432"/>
      <c r="BH142" s="429"/>
    </row>
    <row r="143" spans="1:60" ht="13.8" thickBot="1" x14ac:dyDescent="0.3">
      <c r="A143" s="406">
        <v>42870</v>
      </c>
      <c r="B143" s="860">
        <f t="shared" si="25"/>
        <v>82.857319999999987</v>
      </c>
      <c r="C143" s="860">
        <f>Calculation!AK146</f>
        <v>82.162193953488355</v>
      </c>
      <c r="D143" s="860">
        <f>Calculation!AI146</f>
        <v>0</v>
      </c>
      <c r="E143" s="860">
        <f>Calculation!AE146</f>
        <v>39.696019999999997</v>
      </c>
      <c r="F143" s="860">
        <f>Calculation!AF146</f>
        <v>43.161299999999997</v>
      </c>
      <c r="G143" s="860">
        <f>Calculation!AG146</f>
        <v>0</v>
      </c>
      <c r="H143" s="861">
        <f>Sheet1!H144</f>
        <v>4.45</v>
      </c>
      <c r="I143" s="841">
        <f>Sheet1!DA144</f>
        <v>1848</v>
      </c>
      <c r="J143" s="841">
        <f>Sheet1!DB144</f>
        <v>1160</v>
      </c>
      <c r="K143" s="841">
        <f>Sheet1!CZ144</f>
        <v>1221</v>
      </c>
      <c r="L143" s="865">
        <f>Calculation!F146</f>
        <v>250</v>
      </c>
      <c r="M143" s="865">
        <f>Calculation!E146</f>
        <v>250</v>
      </c>
      <c r="N143" s="865">
        <f>Calculation!D146</f>
        <v>300</v>
      </c>
      <c r="O143" s="888">
        <f>Sheet1!DC144</f>
        <v>1158.43</v>
      </c>
      <c r="P143" s="889" t="e">
        <f>Calculation!FD146</f>
        <v>#N/A</v>
      </c>
      <c r="Q143" s="895">
        <f>Calculation!DP146</f>
        <v>39971.900000099769</v>
      </c>
      <c r="R143" s="888">
        <f t="shared" si="35"/>
        <v>39352.900000099769</v>
      </c>
      <c r="S143" s="890">
        <f t="shared" si="26"/>
        <v>-10.299999999995634</v>
      </c>
      <c r="T143" s="895">
        <f ca="1">IF(A143&gt;$A$1,#N/A,VLOOKUP(A143,Calculation!$B$8:$JO$503,40,FALSE))</f>
        <v>14696.138327713348</v>
      </c>
      <c r="U143" s="890">
        <f t="shared" si="27"/>
        <v>0</v>
      </c>
      <c r="V143" s="890">
        <f>Calculation!AZ146</f>
        <v>0</v>
      </c>
      <c r="W143" s="981">
        <v>5000</v>
      </c>
      <c r="X143" s="890">
        <f t="shared" si="38"/>
        <v>0</v>
      </c>
      <c r="Y143" s="890">
        <f t="shared" si="33"/>
        <v>2500</v>
      </c>
      <c r="Z143" s="890">
        <f t="shared" si="29"/>
        <v>2500</v>
      </c>
      <c r="AA143" s="890">
        <f t="shared" ca="1" si="34"/>
        <v>0</v>
      </c>
      <c r="AB143" s="895">
        <f t="shared" ca="1" si="37"/>
        <v>20275.761672386419</v>
      </c>
      <c r="AC143" s="980">
        <f t="shared" ca="1" si="36"/>
        <v>19656.761672386419</v>
      </c>
      <c r="AD143" s="860" t="e">
        <f ca="1">IF(A143&gt;$A$1, #N/A,VLOOKUP(A143,Calculation!$B$8:$JO$880,165,FALSE))</f>
        <v>#N/A</v>
      </c>
      <c r="AE143" s="399" t="e">
        <f t="shared" ca="1" si="30"/>
        <v>#N/A</v>
      </c>
      <c r="AF143" s="399"/>
      <c r="AG143" s="841">
        <f>Calculation!G146</f>
        <v>1215.8058497226446</v>
      </c>
      <c r="AH143" s="847" t="str">
        <f t="shared" si="31"/>
        <v>Yes</v>
      </c>
      <c r="AI143" s="847" t="str">
        <f>IF(Calculation!K146&gt;0,"Yes","No")</f>
        <v>Yes</v>
      </c>
      <c r="AJ143" s="869">
        <v>44217.100000106315</v>
      </c>
      <c r="AK143" s="870">
        <v>38090.000000095039</v>
      </c>
      <c r="AL143" s="870">
        <v>38270.000000095271</v>
      </c>
      <c r="AN143" s="372">
        <v>45311.000000111548</v>
      </c>
      <c r="AO143" s="372">
        <v>46795.000000113825</v>
      </c>
      <c r="AP143" s="372">
        <v>49803.200000119752</v>
      </c>
      <c r="AU143" s="427"/>
      <c r="AV143" s="410"/>
      <c r="AW143" s="442"/>
      <c r="AX143" s="441"/>
      <c r="AY143" s="441"/>
      <c r="AZ143" s="443"/>
      <c r="BB143" s="433"/>
      <c r="BC143" s="432"/>
      <c r="BD143" s="433"/>
      <c r="BE143" s="432"/>
      <c r="BF143" s="433"/>
      <c r="BG143" s="432"/>
      <c r="BH143" s="429"/>
    </row>
    <row r="144" spans="1:60" ht="13.8" thickBot="1" x14ac:dyDescent="0.3">
      <c r="A144" s="406">
        <v>42871</v>
      </c>
      <c r="B144" s="860">
        <f t="shared" si="25"/>
        <v>83.058429999999987</v>
      </c>
      <c r="C144" s="860">
        <f>Calculation!AK147</f>
        <v>82.370190795454548</v>
      </c>
      <c r="D144" s="860">
        <f>Calculation!AI147</f>
        <v>0</v>
      </c>
      <c r="E144" s="860">
        <f>Calculation!AE147</f>
        <v>39.742429999999999</v>
      </c>
      <c r="F144" s="860">
        <f>Calculation!AF147</f>
        <v>43.315999999999995</v>
      </c>
      <c r="G144" s="860">
        <f>Calculation!AG147</f>
        <v>0</v>
      </c>
      <c r="H144" s="861">
        <f>Sheet1!H145</f>
        <v>4.63</v>
      </c>
      <c r="I144" s="841">
        <f>Sheet1!DA145</f>
        <v>2204</v>
      </c>
      <c r="J144" s="841">
        <f>Sheet1!DB145</f>
        <v>1450</v>
      </c>
      <c r="K144" s="841">
        <f>Sheet1!CZ145</f>
        <v>1457</v>
      </c>
      <c r="L144" s="865">
        <f>Calculation!F147</f>
        <v>250</v>
      </c>
      <c r="M144" s="865">
        <f>Calculation!E147</f>
        <v>250</v>
      </c>
      <c r="N144" s="865">
        <f>Calculation!D147</f>
        <v>300</v>
      </c>
      <c r="O144" s="888">
        <f>Sheet1!DC145</f>
        <v>1159.3499999999999</v>
      </c>
      <c r="P144" s="889" t="e">
        <f>Calculation!FD147</f>
        <v>#N/A</v>
      </c>
      <c r="Q144" s="895">
        <f>Calculation!DP147</f>
        <v>40926.500000102424</v>
      </c>
      <c r="R144" s="888">
        <f t="shared" si="35"/>
        <v>40307.500000102424</v>
      </c>
      <c r="S144" s="890">
        <f t="shared" si="26"/>
        <v>954.60000000265427</v>
      </c>
      <c r="T144" s="895">
        <f ca="1">IF(A144&gt;$A$1,#N/A,VLOOKUP(A144,Calculation!$B$8:$JO$503,40,FALSE))</f>
        <v>14859.49433634971</v>
      </c>
      <c r="U144" s="890">
        <f t="shared" si="27"/>
        <v>0</v>
      </c>
      <c r="V144" s="890">
        <f>Calculation!AZ147</f>
        <v>0</v>
      </c>
      <c r="W144" s="981">
        <v>5000</v>
      </c>
      <c r="X144" s="890">
        <f t="shared" si="38"/>
        <v>0</v>
      </c>
      <c r="Y144" s="890">
        <f t="shared" si="33"/>
        <v>2500</v>
      </c>
      <c r="Z144" s="890">
        <f t="shared" si="29"/>
        <v>2500</v>
      </c>
      <c r="AA144" s="890">
        <f t="shared" ca="1" si="34"/>
        <v>0</v>
      </c>
      <c r="AB144" s="895">
        <f t="shared" ca="1" si="37"/>
        <v>21067.005663752716</v>
      </c>
      <c r="AC144" s="980">
        <f t="shared" ca="1" si="36"/>
        <v>20448.005663752716</v>
      </c>
      <c r="AD144" s="860" t="e">
        <f ca="1">IF(A144&gt;$A$1, #N/A,VLOOKUP(A144,Calculation!$B$8:$JO$880,165,FALSE))</f>
        <v>#N/A</v>
      </c>
      <c r="AE144" s="399" t="e">
        <f t="shared" ca="1" si="30"/>
        <v>#N/A</v>
      </c>
      <c r="AF144" s="399"/>
      <c r="AG144" s="841">
        <f>Calculation!G147</f>
        <v>1938.3918305610964</v>
      </c>
      <c r="AH144" s="847" t="str">
        <f t="shared" si="31"/>
        <v>Yes</v>
      </c>
      <c r="AI144" s="847" t="str">
        <f>IF(Calculation!K147&gt;0,"Yes","No")</f>
        <v>Yes</v>
      </c>
      <c r="AJ144" s="869">
        <v>46770.170000111088</v>
      </c>
      <c r="AK144" s="870">
        <v>39192.400000098103</v>
      </c>
      <c r="AL144" s="870">
        <v>38938.40000009787</v>
      </c>
      <c r="AN144" s="894">
        <v>45693.000000111802</v>
      </c>
      <c r="AO144" s="894">
        <v>46839.400000113827</v>
      </c>
      <c r="AP144" s="894">
        <v>49826.000000119755</v>
      </c>
      <c r="AQ144" s="894"/>
      <c r="AR144" s="894"/>
      <c r="AS144" s="894"/>
      <c r="AT144" s="894"/>
      <c r="AU144" s="427"/>
      <c r="AV144" s="410"/>
      <c r="AW144" s="442"/>
      <c r="AX144" s="441"/>
      <c r="AY144" s="441"/>
      <c r="AZ144" s="443"/>
      <c r="BB144" s="433"/>
      <c r="BC144" s="432"/>
      <c r="BD144" s="433"/>
      <c r="BE144" s="432"/>
      <c r="BF144" s="433"/>
      <c r="BG144" s="432"/>
      <c r="BH144" s="429"/>
    </row>
    <row r="145" spans="1:60" ht="13.8" thickBot="1" x14ac:dyDescent="0.3">
      <c r="A145" s="406">
        <v>42872</v>
      </c>
      <c r="B145" s="860">
        <f t="shared" ref="B145:B154" si="39">E145+F145</f>
        <v>85.239699999999999</v>
      </c>
      <c r="C145" s="860">
        <f>Calculation!AK148</f>
        <v>82.30686624115863</v>
      </c>
      <c r="D145" s="860">
        <f>Calculation!AI148</f>
        <v>0</v>
      </c>
      <c r="E145" s="860">
        <f>Calculation!AE148</f>
        <v>39.525849999999998</v>
      </c>
      <c r="F145" s="860">
        <f>Calculation!AF148</f>
        <v>45.713850000000001</v>
      </c>
      <c r="G145" s="860">
        <f>Calculation!AG148</f>
        <v>0</v>
      </c>
      <c r="H145" s="861">
        <f>Sheet1!H146</f>
        <v>2.97</v>
      </c>
      <c r="I145" s="841">
        <f>Sheet1!DA146</f>
        <v>2221</v>
      </c>
      <c r="J145" s="841">
        <f>Sheet1!DB146</f>
        <v>1420</v>
      </c>
      <c r="K145" s="841">
        <f>Sheet1!CZ146</f>
        <v>1457</v>
      </c>
      <c r="L145" s="865">
        <f>Calculation!F148</f>
        <v>250</v>
      </c>
      <c r="M145" s="865">
        <f>Calculation!E148</f>
        <v>250</v>
      </c>
      <c r="N145" s="865">
        <f>Calculation!D148</f>
        <v>300</v>
      </c>
      <c r="O145" s="888">
        <f>Sheet1!DC146</f>
        <v>1160.3499999999999</v>
      </c>
      <c r="P145" s="889" t="e">
        <f>Calculation!FD148</f>
        <v>#N/A</v>
      </c>
      <c r="Q145" s="895">
        <f>Calculation!DP148</f>
        <v>41978.000000104359</v>
      </c>
      <c r="R145" s="888">
        <f t="shared" si="35"/>
        <v>41359.000000104359</v>
      </c>
      <c r="S145" s="890">
        <f t="shared" ref="S145:S154" si="40">R145-R144</f>
        <v>1051.5000000019354</v>
      </c>
      <c r="T145" s="895">
        <f ca="1">IF(A145&gt;$A$1,#N/A,VLOOKUP(A145,Calculation!$B$8:$JO$503,40,FALSE))</f>
        <v>15022.724760155705</v>
      </c>
      <c r="U145" s="890">
        <f t="shared" ref="U145:U154" si="41">D145</f>
        <v>0</v>
      </c>
      <c r="V145" s="890">
        <f>Calculation!AZ148</f>
        <v>0</v>
      </c>
      <c r="W145" s="981">
        <v>5000</v>
      </c>
      <c r="X145" s="890">
        <f t="shared" si="38"/>
        <v>0</v>
      </c>
      <c r="Y145" s="890">
        <f t="shared" si="33"/>
        <v>2500</v>
      </c>
      <c r="Z145" s="890">
        <f t="shared" ref="Z145:Z155" si="42">W145-Y145</f>
        <v>2500</v>
      </c>
      <c r="AA145" s="890">
        <f t="shared" ca="1" si="34"/>
        <v>0</v>
      </c>
      <c r="AB145" s="895">
        <f t="shared" ca="1" si="37"/>
        <v>21955.275239948656</v>
      </c>
      <c r="AC145" s="980">
        <f t="shared" ca="1" si="36"/>
        <v>21336.275239948656</v>
      </c>
      <c r="AD145" s="860" t="e">
        <f ca="1">IF(A145&gt;$A$1, #N/A,VLOOKUP(A145,Calculation!$B$8:$JO$880,165,FALSE))</f>
        <v>#N/A</v>
      </c>
      <c r="AE145" s="399" t="e">
        <f t="shared" ref="AE145:AE154" ca="1" si="43">AD145-AD144</f>
        <v>#N/A</v>
      </c>
      <c r="AF145" s="399"/>
      <c r="AG145" s="841">
        <f>Calculation!G148</f>
        <v>1987.2571860826702</v>
      </c>
      <c r="AH145" s="847" t="str">
        <f t="shared" ref="AH145:AH154" si="44">IF(I145&gt;L145,"Yes","No")</f>
        <v>Yes</v>
      </c>
      <c r="AI145" s="847" t="str">
        <f>IF(Calculation!K148&gt;0,"Yes","No")</f>
        <v>Yes</v>
      </c>
      <c r="AJ145" s="869">
        <v>45193.680000108492</v>
      </c>
      <c r="AK145" s="870">
        <v>39817.2000001005</v>
      </c>
      <c r="AL145" s="870">
        <v>39682.500000099535</v>
      </c>
      <c r="AN145" s="894">
        <v>45803.000000111031</v>
      </c>
      <c r="AO145" s="894">
        <v>46894.900000114081</v>
      </c>
      <c r="AP145" s="894">
        <v>49769.000000119755</v>
      </c>
      <c r="AQ145" s="894"/>
      <c r="AR145" s="894"/>
      <c r="AS145" s="894"/>
      <c r="AT145" s="894"/>
      <c r="AU145" s="427"/>
      <c r="AV145" s="410"/>
      <c r="AW145" s="442"/>
      <c r="AX145" s="441"/>
      <c r="AY145" s="441"/>
      <c r="AZ145" s="443"/>
      <c r="BB145" s="433"/>
      <c r="BC145" s="432"/>
      <c r="BD145" s="433"/>
      <c r="BE145" s="432"/>
      <c r="BF145" s="433"/>
      <c r="BG145" s="432"/>
      <c r="BH145" s="429"/>
    </row>
    <row r="146" spans="1:60" ht="13.8" thickBot="1" x14ac:dyDescent="0.3">
      <c r="A146" s="406">
        <v>42873</v>
      </c>
      <c r="B146" s="860">
        <f t="shared" si="39"/>
        <v>88.998909999999995</v>
      </c>
      <c r="C146" s="860">
        <f>Calculation!AK149</f>
        <v>82.321560336658351</v>
      </c>
      <c r="D146" s="860">
        <f>Calculation!AI149</f>
        <v>0</v>
      </c>
      <c r="E146" s="860">
        <f>Calculation!AE149</f>
        <v>39.603200000000001</v>
      </c>
      <c r="F146" s="860">
        <f>Calculation!AF149</f>
        <v>49.395709999999994</v>
      </c>
      <c r="G146" s="860">
        <f>Calculation!AG149</f>
        <v>0</v>
      </c>
      <c r="H146" s="861">
        <f>Sheet1!H147</f>
        <v>3.19</v>
      </c>
      <c r="I146" s="841">
        <f>Sheet1!DA147</f>
        <v>2178</v>
      </c>
      <c r="J146" s="841">
        <f>Sheet1!DB147</f>
        <v>1510</v>
      </c>
      <c r="K146" s="841">
        <f>Sheet1!CZ147</f>
        <v>1555</v>
      </c>
      <c r="L146" s="865">
        <f>Calculation!F149</f>
        <v>250</v>
      </c>
      <c r="M146" s="865">
        <f>Calculation!E149</f>
        <v>250</v>
      </c>
      <c r="N146" s="865">
        <f>Calculation!D149</f>
        <v>300</v>
      </c>
      <c r="O146" s="888">
        <f>Sheet1!DC147</f>
        <v>1161.07</v>
      </c>
      <c r="P146" s="889" t="e">
        <f>Calculation!FD149</f>
        <v>#N/A</v>
      </c>
      <c r="Q146" s="895">
        <f>Calculation!DP149</f>
        <v>42741.900000106078</v>
      </c>
      <c r="R146" s="888">
        <f t="shared" si="35"/>
        <v>42122.900000106078</v>
      </c>
      <c r="S146" s="890">
        <f t="shared" si="40"/>
        <v>763.90000000171858</v>
      </c>
      <c r="T146" s="895">
        <f ca="1">IF(A146&gt;$A$1,#N/A,VLOOKUP(A146,Calculation!$B$8:$JO$503,40,FALSE))</f>
        <v>15185.984325193114</v>
      </c>
      <c r="U146" s="890">
        <f t="shared" si="41"/>
        <v>0</v>
      </c>
      <c r="V146" s="890">
        <f>Calculation!AZ149</f>
        <v>0</v>
      </c>
      <c r="W146" s="981">
        <v>5000</v>
      </c>
      <c r="X146" s="890">
        <f t="shared" si="38"/>
        <v>0</v>
      </c>
      <c r="Y146" s="890">
        <f t="shared" si="33"/>
        <v>2500</v>
      </c>
      <c r="Z146" s="890">
        <f t="shared" si="42"/>
        <v>2500</v>
      </c>
      <c r="AA146" s="890">
        <f t="shared" ca="1" si="34"/>
        <v>0</v>
      </c>
      <c r="AB146" s="895">
        <f t="shared" ca="1" si="37"/>
        <v>22555.915674912962</v>
      </c>
      <c r="AC146" s="980">
        <f t="shared" ca="1" si="36"/>
        <v>21936.915674912962</v>
      </c>
      <c r="AD146" s="860" t="e">
        <f ca="1">IF(A146&gt;$A$1, #N/A,VLOOKUP(A146,Calculation!$B$8:$JO$880,165,FALSE))</f>
        <v>#N/A</v>
      </c>
      <c r="AE146" s="399" t="e">
        <f t="shared" ca="1" si="43"/>
        <v>#N/A</v>
      </c>
      <c r="AF146" s="399"/>
      <c r="AG146" s="841">
        <f>Calculation!G149</f>
        <v>1940.2244074643058</v>
      </c>
      <c r="AH146" s="847" t="str">
        <f t="shared" si="44"/>
        <v>Yes</v>
      </c>
      <c r="AI146" s="847" t="str">
        <f>IF(Calculation!K149&gt;0,"Yes","No")</f>
        <v>Yes</v>
      </c>
      <c r="AJ146" s="869">
        <v>43736.800000105082</v>
      </c>
      <c r="AK146" s="870">
        <v>40354.000000100001</v>
      </c>
      <c r="AL146" s="870">
        <v>40002.800000099764</v>
      </c>
      <c r="AN146" s="894">
        <v>45868.400000111033</v>
      </c>
      <c r="AO146" s="894">
        <v>46928.000000113054</v>
      </c>
      <c r="AP146" s="894">
        <v>49643.600000119492</v>
      </c>
      <c r="AQ146" s="894"/>
      <c r="AR146" s="894"/>
      <c r="AS146" s="894"/>
      <c r="AT146" s="894"/>
      <c r="AU146" s="427"/>
      <c r="AV146" s="410"/>
      <c r="AW146" s="442"/>
      <c r="AX146" s="441"/>
      <c r="AY146" s="441"/>
      <c r="AZ146" s="443"/>
      <c r="BB146" s="433"/>
      <c r="BC146" s="432"/>
      <c r="BD146" s="433"/>
      <c r="BE146" s="432"/>
      <c r="BF146" s="433"/>
      <c r="BG146" s="432"/>
      <c r="BH146" s="429"/>
    </row>
    <row r="147" spans="1:60" ht="13.8" thickBot="1" x14ac:dyDescent="0.3">
      <c r="A147" s="406">
        <v>42874</v>
      </c>
      <c r="B147" s="860">
        <f t="shared" si="39"/>
        <v>81.495959999999997</v>
      </c>
      <c r="C147" s="860">
        <f>Calculation!AK150</f>
        <v>81.29045278350516</v>
      </c>
      <c r="D147" s="860">
        <f>Calculation!AI150</f>
        <v>0</v>
      </c>
      <c r="E147" s="860">
        <f>Calculation!AE150</f>
        <v>39.711489999999998</v>
      </c>
      <c r="F147" s="860">
        <f>Calculation!AF150</f>
        <v>41.784469999999999</v>
      </c>
      <c r="G147" s="860">
        <f>Calculation!AG150</f>
        <v>0</v>
      </c>
      <c r="H147" s="861">
        <f>Sheet1!H148</f>
        <v>11.08</v>
      </c>
      <c r="I147" s="841">
        <f>Sheet1!DA148</f>
        <v>2170</v>
      </c>
      <c r="J147" s="841">
        <f>Sheet1!DB148</f>
        <v>1520</v>
      </c>
      <c r="K147" s="841">
        <f>Sheet1!CZ148</f>
        <v>1600</v>
      </c>
      <c r="L147" s="865">
        <f>Calculation!F150</f>
        <v>250</v>
      </c>
      <c r="M147" s="865">
        <f>Calculation!E150</f>
        <v>250</v>
      </c>
      <c r="N147" s="865">
        <f>Calculation!D150</f>
        <v>300</v>
      </c>
      <c r="O147" s="888">
        <f>Sheet1!DC148</f>
        <v>1161.54</v>
      </c>
      <c r="P147" s="889" t="e">
        <f>Calculation!FD150</f>
        <v>#N/A</v>
      </c>
      <c r="Q147" s="895">
        <f>Calculation!DP150</f>
        <v>43244.800000106559</v>
      </c>
      <c r="R147" s="888">
        <f t="shared" si="35"/>
        <v>42625.800000106559</v>
      </c>
      <c r="S147" s="890">
        <f t="shared" si="40"/>
        <v>502.90000000048167</v>
      </c>
      <c r="T147" s="895">
        <f ca="1">IF(A147&gt;$A$1,#N/A,VLOOKUP(A147,Calculation!$B$8:$JO$503,40,FALSE))</f>
        <v>15347.19900466292</v>
      </c>
      <c r="U147" s="890">
        <f t="shared" si="41"/>
        <v>0</v>
      </c>
      <c r="V147" s="890">
        <f>Calculation!AZ150</f>
        <v>0</v>
      </c>
      <c r="W147" s="981">
        <v>5000</v>
      </c>
      <c r="X147" s="890">
        <f>IF(U147&lt;=0,0,MIN(MAX(R147-U147-24257-619-Y147*1.983,0),5000))</f>
        <v>0</v>
      </c>
      <c r="Y147" s="890">
        <f t="shared" si="33"/>
        <v>2500</v>
      </c>
      <c r="Z147" s="890">
        <f t="shared" si="42"/>
        <v>2500</v>
      </c>
      <c r="AA147" s="890">
        <f t="shared" ca="1" si="34"/>
        <v>0</v>
      </c>
      <c r="AB147" s="895">
        <f t="shared" ca="1" si="37"/>
        <v>22897.600995443638</v>
      </c>
      <c r="AC147" s="980">
        <f t="shared" ca="1" si="36"/>
        <v>22278.600995443638</v>
      </c>
      <c r="AD147" s="860" t="e">
        <f ca="1">IF(A147&gt;$A$1, #N/A,VLOOKUP(A147,Calculation!$B$8:$JO$880,165,FALSE))</f>
        <v>#N/A</v>
      </c>
      <c r="AE147" s="399" t="e">
        <f t="shared" ca="1" si="43"/>
        <v>#N/A</v>
      </c>
      <c r="AF147" s="399"/>
      <c r="AG147" s="841">
        <f>Calculation!G150</f>
        <v>1853.6056480083114</v>
      </c>
      <c r="AH147" s="847" t="str">
        <f t="shared" si="44"/>
        <v>Yes</v>
      </c>
      <c r="AI147" s="847" t="str">
        <f>IF(Calculation!K150&gt;0,"Yes","No")</f>
        <v>Yes</v>
      </c>
      <c r="AJ147" s="869">
        <v>43111.400000104361</v>
      </c>
      <c r="AK147" s="870">
        <v>40905.500000102424</v>
      </c>
      <c r="AL147" s="870">
        <v>40405.500000100001</v>
      </c>
      <c r="AN147" s="894">
        <v>46133.000000112297</v>
      </c>
      <c r="AO147" s="894">
        <v>46928.000000113054</v>
      </c>
      <c r="AP147" s="894">
        <v>49530.200000118442</v>
      </c>
      <c r="AQ147" s="894"/>
      <c r="AR147" s="894"/>
      <c r="AS147" s="894"/>
      <c r="AT147" s="894"/>
      <c r="AU147" s="427"/>
      <c r="AV147" s="410"/>
      <c r="AW147" s="442"/>
      <c r="AX147" s="441"/>
      <c r="AY147" s="441"/>
      <c r="AZ147" s="443"/>
      <c r="BB147" s="433"/>
      <c r="BC147" s="432"/>
      <c r="BD147" s="433"/>
      <c r="BE147" s="432"/>
      <c r="BF147" s="433"/>
      <c r="BG147" s="432"/>
      <c r="BH147" s="429"/>
    </row>
    <row r="148" spans="1:60" ht="13.8" thickBot="1" x14ac:dyDescent="0.3">
      <c r="A148" s="406">
        <v>42875</v>
      </c>
      <c r="B148" s="860">
        <f t="shared" si="39"/>
        <v>82.934669999999997</v>
      </c>
      <c r="C148" s="860">
        <f>Calculation!AK151</f>
        <v>80.317607511569946</v>
      </c>
      <c r="D148" s="860">
        <f>Calculation!AI151</f>
        <v>0</v>
      </c>
      <c r="E148" s="860">
        <f>Calculation!AE151</f>
        <v>39.711489999999998</v>
      </c>
      <c r="F148" s="860">
        <f>Calculation!AF151</f>
        <v>43.223179999999999</v>
      </c>
      <c r="G148" s="860">
        <f>Calculation!AG151</f>
        <v>0</v>
      </c>
      <c r="H148" s="861">
        <f>Sheet1!H149</f>
        <v>3.31</v>
      </c>
      <c r="I148" s="841">
        <f>Sheet1!DA149</f>
        <v>2110</v>
      </c>
      <c r="J148" s="841">
        <f>Sheet1!DB149</f>
        <v>1510</v>
      </c>
      <c r="K148" s="841">
        <f>Sheet1!CZ149</f>
        <v>1600</v>
      </c>
      <c r="L148" s="865">
        <f>Calculation!F151</f>
        <v>250</v>
      </c>
      <c r="M148" s="865">
        <f>Calculation!E151</f>
        <v>250</v>
      </c>
      <c r="N148" s="865">
        <f>Calculation!D151</f>
        <v>300</v>
      </c>
      <c r="O148" s="888">
        <f>Sheet1!DC149</f>
        <v>1162.1500000000001</v>
      </c>
      <c r="P148" s="889" t="e">
        <f>Calculation!FD151</f>
        <v>#N/A</v>
      </c>
      <c r="Q148" s="895">
        <f>Calculation!DP151</f>
        <v>43899.000000108295</v>
      </c>
      <c r="R148" s="888">
        <f t="shared" si="35"/>
        <v>43280.000000108295</v>
      </c>
      <c r="S148" s="890">
        <f t="shared" si="40"/>
        <v>654.20000000173604</v>
      </c>
      <c r="T148" s="895">
        <f ca="1">IF(A148&gt;$A$1,#N/A,VLOOKUP(A148,Calculation!$B$8:$JO$503,40,FALSE))</f>
        <v>15506.484343929562</v>
      </c>
      <c r="U148" s="890">
        <f t="shared" si="41"/>
        <v>0</v>
      </c>
      <c r="V148" s="890">
        <f>Calculation!AZ151</f>
        <v>0</v>
      </c>
      <c r="W148" s="981">
        <v>5000</v>
      </c>
      <c r="X148" s="890">
        <v>0</v>
      </c>
      <c r="Y148" s="890">
        <f t="shared" si="33"/>
        <v>2500</v>
      </c>
      <c r="Z148" s="890">
        <f t="shared" si="42"/>
        <v>2500</v>
      </c>
      <c r="AA148" s="890">
        <f t="shared" ca="1" si="34"/>
        <v>0</v>
      </c>
      <c r="AB148" s="895">
        <f t="shared" ca="1" si="37"/>
        <v>23392.515656178733</v>
      </c>
      <c r="AC148" s="980">
        <f t="shared" ca="1" si="36"/>
        <v>22773.515656178733</v>
      </c>
      <c r="AD148" s="860" t="e">
        <f ca="1">IF(A148&gt;$A$1, #N/A,VLOOKUP(A148,Calculation!$B$8:$JO$880,165,FALSE))</f>
        <v>#N/A</v>
      </c>
      <c r="AE148" s="399" t="e">
        <f t="shared" ca="1" si="43"/>
        <v>#N/A</v>
      </c>
      <c r="AF148" s="399"/>
      <c r="AG148" s="841">
        <f>Calculation!G151</f>
        <v>1929.9041855782834</v>
      </c>
      <c r="AH148" s="847" t="str">
        <f t="shared" si="44"/>
        <v>Yes</v>
      </c>
      <c r="AI148" s="847" t="str">
        <f>IF(Calculation!K151&gt;0,"Yes","No")</f>
        <v>Yes</v>
      </c>
      <c r="AJ148" s="869">
        <v>42931.200000104116</v>
      </c>
      <c r="AK148" s="870">
        <v>41240.500000102897</v>
      </c>
      <c r="AL148" s="870">
        <v>41021.000000102656</v>
      </c>
      <c r="AN148" s="894">
        <v>46464.000000112552</v>
      </c>
      <c r="AO148" s="894">
        <v>46928.000000113054</v>
      </c>
      <c r="AP148" s="894">
        <v>49518.900000118447</v>
      </c>
      <c r="AQ148" s="894"/>
      <c r="AR148" s="894"/>
      <c r="AS148" s="894"/>
      <c r="AT148" s="894"/>
      <c r="AU148" s="427"/>
      <c r="AV148" s="410"/>
      <c r="AW148" s="442"/>
      <c r="AX148" s="441"/>
      <c r="AY148" s="441"/>
      <c r="AZ148" s="443"/>
      <c r="BB148" s="433"/>
      <c r="BC148" s="432"/>
      <c r="BD148" s="433"/>
      <c r="BE148" s="432"/>
      <c r="BF148" s="433"/>
      <c r="BG148" s="432"/>
      <c r="BH148" s="429"/>
    </row>
    <row r="149" spans="1:60" ht="13.8" thickBot="1" x14ac:dyDescent="0.3">
      <c r="A149" s="406">
        <v>42876</v>
      </c>
      <c r="B149" s="860">
        <f t="shared" si="39"/>
        <v>87.034219999999991</v>
      </c>
      <c r="C149" s="860">
        <f>Calculation!AK152</f>
        <v>80.078336753500494</v>
      </c>
      <c r="D149" s="860">
        <f>Calculation!AI152</f>
        <v>0</v>
      </c>
      <c r="E149" s="860">
        <f>Calculation!AE152</f>
        <v>39.649609999999996</v>
      </c>
      <c r="F149" s="860">
        <f>Calculation!AF152</f>
        <v>47.384609999999995</v>
      </c>
      <c r="G149" s="860">
        <f>Calculation!AG152</f>
        <v>0</v>
      </c>
      <c r="H149" s="861">
        <f>Sheet1!H150</f>
        <v>3.48</v>
      </c>
      <c r="I149" s="841">
        <f>Sheet1!DA150</f>
        <v>2090</v>
      </c>
      <c r="J149" s="841">
        <f>Sheet1!DB150</f>
        <v>1510</v>
      </c>
      <c r="K149" s="841">
        <f>Sheet1!CZ150</f>
        <v>1610</v>
      </c>
      <c r="L149" s="865">
        <f>Calculation!F152</f>
        <v>250</v>
      </c>
      <c r="M149" s="865">
        <f>Calculation!E152</f>
        <v>250</v>
      </c>
      <c r="N149" s="865">
        <f>Calculation!D152</f>
        <v>300</v>
      </c>
      <c r="O149" s="888">
        <f>Sheet1!DC150</f>
        <v>1162.9100000000001</v>
      </c>
      <c r="P149" s="889" t="e">
        <f>Calculation!FD152</f>
        <v>#N/A</v>
      </c>
      <c r="Q149" s="895">
        <f>Calculation!DP152</f>
        <v>44721.800000109033</v>
      </c>
      <c r="R149" s="888">
        <f t="shared" si="35"/>
        <v>44102.800000109033</v>
      </c>
      <c r="S149" s="890">
        <f t="shared" si="40"/>
        <v>822.80000000073778</v>
      </c>
      <c r="T149" s="895">
        <f ca="1">IF(A149&gt;$A$1,#N/A,VLOOKUP(A149,Calculation!$B$8:$JO$503,40,FALSE))</f>
        <v>15665.295163037345</v>
      </c>
      <c r="U149" s="890">
        <f t="shared" si="41"/>
        <v>0</v>
      </c>
      <c r="V149" s="890">
        <f>Calculation!AZ152</f>
        <v>0</v>
      </c>
      <c r="W149" s="895">
        <f t="shared" ref="W149:W155" ca="1" si="45">IF(T149&lt;=0,0,MIN(MAX(Q149-T149-23638-(X149*1.983),0),5000))</f>
        <v>5000</v>
      </c>
      <c r="X149" s="890">
        <v>0</v>
      </c>
      <c r="Y149" s="890">
        <f t="shared" ca="1" si="33"/>
        <v>2500</v>
      </c>
      <c r="Z149" s="890">
        <f t="shared" ca="1" si="42"/>
        <v>2500</v>
      </c>
      <c r="AA149" s="890">
        <f t="shared" ca="1" si="34"/>
        <v>0</v>
      </c>
      <c r="AB149" s="895">
        <f t="shared" ca="1" si="37"/>
        <v>24056.50483707169</v>
      </c>
      <c r="AC149" s="980">
        <f t="shared" ca="1" si="36"/>
        <v>23437.50483707169</v>
      </c>
      <c r="AD149" s="860" t="e">
        <f ca="1">IF(A149&gt;$A$1, #N/A,VLOOKUP(A149,Calculation!$B$8:$JO$880,165,FALSE))</f>
        <v>#N/A</v>
      </c>
      <c r="AE149" s="399" t="e">
        <f t="shared" ca="1" si="43"/>
        <v>#N/A</v>
      </c>
      <c r="AF149" s="399"/>
      <c r="AG149" s="841">
        <f>Calculation!G152</f>
        <v>2024.9268784673413</v>
      </c>
      <c r="AH149" s="847" t="str">
        <f t="shared" si="44"/>
        <v>Yes</v>
      </c>
      <c r="AI149" s="847" t="str">
        <f>IF(Calculation!K152&gt;0,"Yes","No")</f>
        <v>Yes</v>
      </c>
      <c r="AJ149" s="869">
        <v>43196.200000104363</v>
      </c>
      <c r="AK149" s="870">
        <v>41460.400000101916</v>
      </c>
      <c r="AL149" s="870">
        <v>41819.000000104359</v>
      </c>
      <c r="AN149" s="894">
        <v>46906.000000113054</v>
      </c>
      <c r="AO149" s="894">
        <v>46961.000000113054</v>
      </c>
      <c r="AP149" s="894">
        <v>49746.200000119752</v>
      </c>
      <c r="AQ149" s="894"/>
      <c r="AR149" s="894"/>
      <c r="AS149" s="894"/>
      <c r="AT149" s="894"/>
      <c r="AU149" s="427"/>
      <c r="AV149" s="410"/>
      <c r="AW149" s="442"/>
      <c r="AX149" s="441"/>
      <c r="AY149" s="441"/>
      <c r="AZ149" s="443"/>
      <c r="BB149" s="433"/>
      <c r="BC149" s="432"/>
      <c r="BD149" s="433"/>
      <c r="BE149" s="432"/>
      <c r="BF149" s="433"/>
      <c r="BG149" s="432"/>
      <c r="BH149" s="429"/>
    </row>
    <row r="150" spans="1:60" ht="13.8" thickBot="1" x14ac:dyDescent="0.3">
      <c r="A150" s="406">
        <v>42877</v>
      </c>
      <c r="B150" s="860">
        <f t="shared" si="39"/>
        <v>93.00564</v>
      </c>
      <c r="C150" s="860">
        <f>Calculation!AK153</f>
        <v>80.64624369301788</v>
      </c>
      <c r="D150" s="860">
        <f>Calculation!AI153</f>
        <v>0</v>
      </c>
      <c r="E150" s="860">
        <f>Calculation!AE153</f>
        <v>39.603200000000001</v>
      </c>
      <c r="F150" s="860">
        <f>Calculation!AF153</f>
        <v>53.402440000000006</v>
      </c>
      <c r="G150" s="860">
        <f>Calculation!AG153</f>
        <v>0</v>
      </c>
      <c r="H150" s="861">
        <f>Sheet1!H151</f>
        <v>2.2799999999999998</v>
      </c>
      <c r="I150" s="841">
        <f>Sheet1!DA151</f>
        <v>2380</v>
      </c>
      <c r="J150" s="841">
        <f>Sheet1!DB151</f>
        <v>1840</v>
      </c>
      <c r="K150" s="841">
        <f>Sheet1!CZ151</f>
        <v>2000</v>
      </c>
      <c r="L150" s="865">
        <f>Calculation!F153</f>
        <v>250</v>
      </c>
      <c r="M150" s="865">
        <f>Calculation!E153</f>
        <v>250</v>
      </c>
      <c r="N150" s="865">
        <f>Calculation!D153</f>
        <v>300</v>
      </c>
      <c r="O150" s="888">
        <f>Sheet1!DC151</f>
        <v>1163.75</v>
      </c>
      <c r="P150" s="889" t="e">
        <f>Calculation!FD153</f>
        <v>#N/A</v>
      </c>
      <c r="Q150" s="895">
        <f>Calculation!DP153</f>
        <v>45638.500000110784</v>
      </c>
      <c r="R150" s="888">
        <f t="shared" si="35"/>
        <v>45019.500000110784</v>
      </c>
      <c r="S150" s="890">
        <f t="shared" si="40"/>
        <v>916.7000000017506</v>
      </c>
      <c r="T150" s="895">
        <f ca="1">IF(A150&gt;$A$1,#N/A,VLOOKUP(A150,Calculation!$B$8:$JO$503,40,FALSE))</f>
        <v>15825.232251369718</v>
      </c>
      <c r="U150" s="890">
        <f t="shared" si="41"/>
        <v>0</v>
      </c>
      <c r="V150" s="890">
        <f>Calculation!AZ153</f>
        <v>0</v>
      </c>
      <c r="W150" s="895">
        <f t="shared" ca="1" si="45"/>
        <v>5000</v>
      </c>
      <c r="X150" s="890">
        <v>0</v>
      </c>
      <c r="Y150" s="890">
        <f t="shared" ca="1" si="33"/>
        <v>2500</v>
      </c>
      <c r="Z150" s="890">
        <f t="shared" ca="1" si="42"/>
        <v>2500</v>
      </c>
      <c r="AA150" s="890">
        <f t="shared" ca="1" si="34"/>
        <v>556.26774874106559</v>
      </c>
      <c r="AB150" s="895">
        <f t="shared" ca="1" si="37"/>
        <v>24257</v>
      </c>
      <c r="AC150" s="980">
        <f t="shared" ca="1" si="36"/>
        <v>23638</v>
      </c>
      <c r="AD150" s="860" t="e">
        <f ca="1">IF(A150&gt;$A$1, #N/A,VLOOKUP(A150,Calculation!$B$8:$JO$880,165,FALSE))</f>
        <v>#N/A</v>
      </c>
      <c r="AE150" s="399" t="e">
        <f t="shared" ca="1" si="43"/>
        <v>#N/A</v>
      </c>
      <c r="AF150" s="399"/>
      <c r="AG150" s="841">
        <f>Calculation!G153</f>
        <v>2462.2793746857037</v>
      </c>
      <c r="AH150" s="847" t="str">
        <f t="shared" si="44"/>
        <v>Yes</v>
      </c>
      <c r="AI150" s="847" t="str">
        <f>IF(Calculation!K153&gt;0,"Yes","No")</f>
        <v>Yes</v>
      </c>
      <c r="AJ150" s="869">
        <v>43185.600000104358</v>
      </c>
      <c r="AK150" s="870">
        <v>41925.000000104359</v>
      </c>
      <c r="AL150" s="870">
        <v>42720.500000106076</v>
      </c>
      <c r="AN150" s="372">
        <v>47306.200000115357</v>
      </c>
      <c r="AO150" s="372">
        <v>47016.000000115106</v>
      </c>
      <c r="AP150" s="372">
        <v>50019.800000120013</v>
      </c>
      <c r="AU150" s="427"/>
      <c r="AV150" s="410"/>
      <c r="AW150" s="442"/>
      <c r="AX150" s="441"/>
      <c r="AY150" s="441"/>
      <c r="AZ150" s="443"/>
      <c r="BB150" s="433"/>
      <c r="BC150" s="432"/>
      <c r="BD150" s="433"/>
      <c r="BE150" s="432"/>
      <c r="BF150" s="433"/>
      <c r="BG150" s="432"/>
      <c r="BH150" s="429"/>
    </row>
    <row r="151" spans="1:60" ht="13.8" thickBot="1" x14ac:dyDescent="0.3">
      <c r="A151" s="406">
        <v>42878</v>
      </c>
      <c r="B151" s="860">
        <f t="shared" si="39"/>
        <v>94.985800000000012</v>
      </c>
      <c r="C151" s="860">
        <f>Calculation!AK154</f>
        <v>80.724638507963107</v>
      </c>
      <c r="D151" s="860">
        <f>Calculation!AI154</f>
        <v>0</v>
      </c>
      <c r="E151" s="860">
        <f>Calculation!AE154</f>
        <v>39.757899999999999</v>
      </c>
      <c r="F151" s="860">
        <f>Calculation!AF154</f>
        <v>55.227900000000005</v>
      </c>
      <c r="G151" s="860">
        <f>Calculation!AG154</f>
        <v>0</v>
      </c>
      <c r="H151" s="861">
        <f>Sheet1!H152</f>
        <v>2.21</v>
      </c>
      <c r="I151" s="841">
        <f>Sheet1!DA152</f>
        <v>2670</v>
      </c>
      <c r="J151" s="841">
        <f>Sheet1!DB152</f>
        <v>2090</v>
      </c>
      <c r="K151" s="841">
        <f>Sheet1!CZ152</f>
        <v>2300</v>
      </c>
      <c r="L151" s="865">
        <f>Calculation!F154</f>
        <v>250</v>
      </c>
      <c r="M151" s="865">
        <f>Calculation!E154</f>
        <v>250</v>
      </c>
      <c r="N151" s="865">
        <f>Calculation!D154</f>
        <v>300</v>
      </c>
      <c r="O151" s="888">
        <f>Sheet1!DC152</f>
        <v>1164.32</v>
      </c>
      <c r="P151" s="889" t="e">
        <f>Calculation!FD154</f>
        <v>#N/A</v>
      </c>
      <c r="Q151" s="895">
        <f>Calculation!DP154</f>
        <v>46265.20000011332</v>
      </c>
      <c r="R151" s="888">
        <f t="shared" si="35"/>
        <v>45646.20000011332</v>
      </c>
      <c r="S151" s="890">
        <f t="shared" si="40"/>
        <v>626.7000000025364</v>
      </c>
      <c r="T151" s="895">
        <f ca="1">IF(A151&gt;$A$1,#N/A,VLOOKUP(A151,Calculation!$B$8:$JO$503,40,FALSE))</f>
        <v>15985.324811772067</v>
      </c>
      <c r="U151" s="890">
        <f t="shared" si="41"/>
        <v>0</v>
      </c>
      <c r="V151" s="890">
        <f>Calculation!AZ154</f>
        <v>0</v>
      </c>
      <c r="W151" s="895">
        <f t="shared" ca="1" si="45"/>
        <v>5000</v>
      </c>
      <c r="X151" s="890">
        <v>0</v>
      </c>
      <c r="Y151" s="890">
        <f t="shared" ca="1" si="33"/>
        <v>2500</v>
      </c>
      <c r="Z151" s="890">
        <f t="shared" ca="1" si="42"/>
        <v>2500</v>
      </c>
      <c r="AA151" s="890">
        <f t="shared" ca="1" si="34"/>
        <v>1022.8751883412551</v>
      </c>
      <c r="AB151" s="895">
        <f t="shared" ca="1" si="37"/>
        <v>24257</v>
      </c>
      <c r="AC151" s="980">
        <f t="shared" ca="1" si="36"/>
        <v>23638</v>
      </c>
      <c r="AD151" s="860" t="e">
        <f ca="1">IF(A151&gt;$A$1, #N/A,VLOOKUP(A151,Calculation!$B$8:$JO$880,165,FALSE))</f>
        <v>#N/A</v>
      </c>
      <c r="AE151" s="399" t="e">
        <f t="shared" ca="1" si="43"/>
        <v>#N/A</v>
      </c>
      <c r="AF151" s="399"/>
      <c r="AG151" s="841">
        <f>Calculation!G154</f>
        <v>2616.036308624577</v>
      </c>
      <c r="AH151" s="847" t="str">
        <f t="shared" si="44"/>
        <v>Yes</v>
      </c>
      <c r="AI151" s="847" t="str">
        <f>IF(Calculation!K154&gt;0,"Yes","No")</f>
        <v>Yes</v>
      </c>
      <c r="AJ151" s="869">
        <v>43217.400000104601</v>
      </c>
      <c r="AK151" s="870">
        <v>42774.000000106076</v>
      </c>
      <c r="AL151" s="870">
        <v>43330.400000106558</v>
      </c>
      <c r="AN151" s="372">
        <v>47908.00000011587</v>
      </c>
      <c r="AO151" s="372">
        <v>47072.000000115106</v>
      </c>
      <c r="AP151" s="372">
        <v>49997.00000012001</v>
      </c>
      <c r="AU151" s="427"/>
      <c r="AV151" s="410"/>
      <c r="AW151" s="442"/>
      <c r="AX151" s="441"/>
      <c r="AY151" s="441"/>
      <c r="AZ151" s="443"/>
      <c r="BB151" s="433"/>
      <c r="BC151" s="432"/>
      <c r="BD151" s="433"/>
      <c r="BE151" s="432"/>
      <c r="BF151" s="433"/>
      <c r="BG151" s="432"/>
      <c r="BH151" s="429"/>
    </row>
    <row r="152" spans="1:60" ht="13.8" thickBot="1" x14ac:dyDescent="0.3">
      <c r="A152" s="406">
        <v>42879</v>
      </c>
      <c r="B152" s="860">
        <f t="shared" si="39"/>
        <v>93.516149999999996</v>
      </c>
      <c r="C152" s="860">
        <f>Calculation!AK155</f>
        <v>81.574153656716419</v>
      </c>
      <c r="D152" s="860">
        <f>Calculation!AI155</f>
        <v>0</v>
      </c>
      <c r="E152" s="860">
        <f>Calculation!AE155</f>
        <v>39.711489999999998</v>
      </c>
      <c r="F152" s="860">
        <f>Calculation!AF155</f>
        <v>53.804659999999998</v>
      </c>
      <c r="G152" s="860">
        <f>Calculation!AG155</f>
        <v>0</v>
      </c>
      <c r="H152" s="861">
        <f>Sheet1!H153</f>
        <v>3.94</v>
      </c>
      <c r="I152" s="841">
        <f>Sheet1!DA153</f>
        <v>2670</v>
      </c>
      <c r="J152" s="841">
        <f>Sheet1!DB153</f>
        <v>2090</v>
      </c>
      <c r="K152" s="841">
        <f>Sheet1!CZ153</f>
        <v>2300</v>
      </c>
      <c r="L152" s="865">
        <f>Calculation!F155</f>
        <v>250</v>
      </c>
      <c r="M152" s="865">
        <f>Calculation!E155</f>
        <v>250</v>
      </c>
      <c r="N152" s="865">
        <f>Calculation!D155</f>
        <v>300</v>
      </c>
      <c r="O152" s="888">
        <f>Sheet1!DC153</f>
        <v>1164.51</v>
      </c>
      <c r="P152" s="889" t="e">
        <f>Calculation!FD155</f>
        <v>#N/A</v>
      </c>
      <c r="Q152" s="895">
        <f>Calculation!DP155</f>
        <v>46475.000000112552</v>
      </c>
      <c r="R152" s="888">
        <f t="shared" si="35"/>
        <v>45856.000000112552</v>
      </c>
      <c r="S152" s="890">
        <f t="shared" si="40"/>
        <v>209.79999999923166</v>
      </c>
      <c r="T152" s="895">
        <f ca="1">IF(A152&gt;$A$1,#N/A,VLOOKUP(A152,Calculation!$B$8:$JO$503,40,FALSE))</f>
        <v>16147.102124906396</v>
      </c>
      <c r="U152" s="890">
        <f t="shared" si="41"/>
        <v>0</v>
      </c>
      <c r="V152" s="890">
        <f>Calculation!AZ155</f>
        <v>0</v>
      </c>
      <c r="W152" s="895">
        <f t="shared" ca="1" si="45"/>
        <v>5000</v>
      </c>
      <c r="X152" s="890">
        <v>0</v>
      </c>
      <c r="Y152" s="890">
        <f t="shared" ca="1" si="33"/>
        <v>2500</v>
      </c>
      <c r="Z152" s="890">
        <f t="shared" ca="1" si="42"/>
        <v>2500</v>
      </c>
      <c r="AA152" s="890">
        <f t="shared" ca="1" si="34"/>
        <v>1070.8978752061557</v>
      </c>
      <c r="AB152" s="895">
        <f t="shared" ca="1" si="37"/>
        <v>24257</v>
      </c>
      <c r="AC152" s="980">
        <f t="shared" ca="1" si="36"/>
        <v>23638</v>
      </c>
      <c r="AD152" s="860" t="e">
        <f ca="1">IF(A152&gt;$A$1, #N/A,VLOOKUP(A152,Calculation!$B$8:$JO$880,165,FALSE))</f>
        <v>#N/A</v>
      </c>
      <c r="AE152" s="399" t="e">
        <f t="shared" ca="1" si="43"/>
        <v>#N/A</v>
      </c>
      <c r="AF152" s="399"/>
      <c r="AG152" s="841">
        <f>Calculation!G155</f>
        <v>2405.7992939986038</v>
      </c>
      <c r="AH152" s="847" t="str">
        <f t="shared" si="44"/>
        <v>Yes</v>
      </c>
      <c r="AI152" s="847" t="str">
        <f>IF(Calculation!K155&gt;0,"Yes","No")</f>
        <v>Yes</v>
      </c>
      <c r="AJ152" s="869">
        <v>43397.600000104598</v>
      </c>
      <c r="AK152" s="870">
        <v>43801.800000108051</v>
      </c>
      <c r="AL152" s="870">
        <v>44029.300000109295</v>
      </c>
      <c r="AN152" s="372">
        <v>48356.000000117419</v>
      </c>
      <c r="AO152" s="372">
        <v>47128.00000011408</v>
      </c>
      <c r="AP152" s="372">
        <v>49894.400000119756</v>
      </c>
      <c r="AU152" s="427"/>
      <c r="AV152" s="410"/>
      <c r="AW152" s="442"/>
      <c r="AX152" s="441"/>
      <c r="AY152" s="441"/>
      <c r="AZ152" s="443"/>
      <c r="BB152" s="433"/>
      <c r="BC152" s="432"/>
      <c r="BD152" s="433"/>
      <c r="BE152" s="432"/>
      <c r="BF152" s="433"/>
      <c r="BG152" s="432"/>
      <c r="BH152" s="429"/>
    </row>
    <row r="153" spans="1:60" ht="13.8" thickBot="1" x14ac:dyDescent="0.3">
      <c r="A153" s="406">
        <v>42880</v>
      </c>
      <c r="B153" s="860">
        <f t="shared" si="39"/>
        <v>103.07660999999999</v>
      </c>
      <c r="C153" s="860">
        <f>Calculation!AK156</f>
        <v>82.119536277479241</v>
      </c>
      <c r="D153" s="860">
        <f>Calculation!AI156</f>
        <v>0</v>
      </c>
      <c r="E153" s="860">
        <f>Calculation!AE156</f>
        <v>39.649609999999996</v>
      </c>
      <c r="F153" s="860">
        <f>Calculation!AF156</f>
        <v>63.427</v>
      </c>
      <c r="G153" s="860">
        <f>Calculation!AG156</f>
        <v>0</v>
      </c>
      <c r="H153" s="861">
        <f>Sheet1!H154</f>
        <v>4.9400000000000004</v>
      </c>
      <c r="I153" s="841">
        <f>Sheet1!DA154</f>
        <v>2090</v>
      </c>
      <c r="J153" s="841">
        <f>Sheet1!DB154</f>
        <v>1550</v>
      </c>
      <c r="K153" s="841">
        <f>Sheet1!CZ154</f>
        <v>1690</v>
      </c>
      <c r="L153" s="865">
        <f>Calculation!F156</f>
        <v>250</v>
      </c>
      <c r="M153" s="865">
        <f>Calculation!E156</f>
        <v>250</v>
      </c>
      <c r="N153" s="865">
        <f>Calculation!D156</f>
        <v>300</v>
      </c>
      <c r="O153" s="888">
        <f>Sheet1!DC154</f>
        <v>1164.18</v>
      </c>
      <c r="P153" s="889" t="e">
        <f>Calculation!FD156</f>
        <v>#N/A</v>
      </c>
      <c r="Q153" s="895">
        <f>Calculation!DP156</f>
        <v>46110.800000113319</v>
      </c>
      <c r="R153" s="888">
        <f t="shared" si="35"/>
        <v>45491.800000113319</v>
      </c>
      <c r="S153" s="890">
        <f t="shared" si="40"/>
        <v>-364.19999999923311</v>
      </c>
      <c r="T153" s="895">
        <f ca="1">IF(A153&gt;$A$1,#N/A,VLOOKUP(A153,Calculation!$B$8:$JO$503,40,FALSE))</f>
        <v>16309.961037187782</v>
      </c>
      <c r="U153" s="890">
        <f t="shared" si="41"/>
        <v>0</v>
      </c>
      <c r="V153" s="890">
        <f>Calculation!AZ156</f>
        <v>0</v>
      </c>
      <c r="W153" s="895">
        <f t="shared" ca="1" si="45"/>
        <v>5000</v>
      </c>
      <c r="X153" s="890">
        <v>0</v>
      </c>
      <c r="Y153" s="890">
        <f t="shared" ca="1" si="33"/>
        <v>2500</v>
      </c>
      <c r="Z153" s="890">
        <f t="shared" ca="1" si="42"/>
        <v>2500</v>
      </c>
      <c r="AA153" s="890">
        <f t="shared" ca="1" si="34"/>
        <v>543.83896292553618</v>
      </c>
      <c r="AB153" s="895">
        <f t="shared" ca="1" si="37"/>
        <v>24257</v>
      </c>
      <c r="AC153" s="980">
        <f t="shared" ca="1" si="36"/>
        <v>23638</v>
      </c>
      <c r="AD153" s="860" t="e">
        <f ca="1">IF(A153&gt;$A$1, #N/A,VLOOKUP(A153,Calculation!$B$8:$JO$880,165,FALSE))</f>
        <v>#N/A</v>
      </c>
      <c r="AE153" s="399" t="e">
        <f t="shared" ca="1" si="43"/>
        <v>#N/A</v>
      </c>
      <c r="AF153" s="399"/>
      <c r="AG153" s="841">
        <f>Calculation!G156</f>
        <v>1506.3388804845017</v>
      </c>
      <c r="AH153" s="847" t="str">
        <f t="shared" si="44"/>
        <v>Yes</v>
      </c>
      <c r="AI153" s="847" t="str">
        <f>IF(Calculation!K156&gt;0,"Yes","No")</f>
        <v>Yes</v>
      </c>
      <c r="AJ153" s="869">
        <v>43652.000000104839</v>
      </c>
      <c r="AK153" s="870">
        <v>44386.000000108543</v>
      </c>
      <c r="AL153" s="870">
        <v>44732.600000109029</v>
      </c>
      <c r="AN153" s="372">
        <v>48581.000000117674</v>
      </c>
      <c r="AO153" s="372">
        <v>47183.500000114327</v>
      </c>
      <c r="AP153" s="372">
        <v>49826.000000119755</v>
      </c>
      <c r="AU153" s="427"/>
      <c r="AV153" s="410"/>
      <c r="AW153" s="442"/>
      <c r="AX153" s="441"/>
      <c r="AY153" s="441"/>
      <c r="AZ153" s="443"/>
      <c r="BB153" s="433"/>
      <c r="BC153" s="432"/>
      <c r="BD153" s="433"/>
      <c r="BE153" s="432"/>
      <c r="BF153" s="433"/>
      <c r="BG153" s="432"/>
      <c r="BH153" s="429"/>
    </row>
    <row r="154" spans="1:60" ht="13.8" thickBot="1" x14ac:dyDescent="0.3">
      <c r="A154" s="406">
        <v>42881</v>
      </c>
      <c r="B154" s="860">
        <f t="shared" si="39"/>
        <v>103.10755</v>
      </c>
      <c r="C154" s="860">
        <f>Calculation!AK157</f>
        <v>81.060095110108776</v>
      </c>
      <c r="D154" s="860">
        <f>Calculation!AI157</f>
        <v>0</v>
      </c>
      <c r="E154" s="860">
        <f>Calculation!AE157</f>
        <v>44.553599999999996</v>
      </c>
      <c r="F154" s="860">
        <f>Calculation!AF157</f>
        <v>58.55395</v>
      </c>
      <c r="G154" s="860">
        <f>Calculation!AG157</f>
        <v>0</v>
      </c>
      <c r="H154" s="861">
        <f>Sheet1!H155</f>
        <v>2.73</v>
      </c>
      <c r="I154" s="841">
        <f>Sheet1!DA155</f>
        <v>1650</v>
      </c>
      <c r="J154" s="841">
        <f>Sheet1!DB155</f>
        <v>1170</v>
      </c>
      <c r="K154" s="841">
        <f>Sheet1!CZ155</f>
        <v>1290</v>
      </c>
      <c r="L154" s="865">
        <f>Calculation!F157</f>
        <v>250</v>
      </c>
      <c r="M154" s="865">
        <f>Calculation!E157</f>
        <v>250</v>
      </c>
      <c r="N154" s="865">
        <f>Calculation!D157</f>
        <v>300</v>
      </c>
      <c r="O154" s="888">
        <f>Sheet1!DC155</f>
        <v>1164.31</v>
      </c>
      <c r="P154" s="889" t="e">
        <f>Calculation!FD157</f>
        <v>#N/A</v>
      </c>
      <c r="Q154" s="895">
        <f>Calculation!DP157</f>
        <v>46254.100000113322</v>
      </c>
      <c r="R154" s="888">
        <f t="shared" si="35"/>
        <v>45635.100000113322</v>
      </c>
      <c r="S154" s="890">
        <f t="shared" si="40"/>
        <v>143.30000000000291</v>
      </c>
      <c r="T154" s="895">
        <f ca="1">IF(A154&gt;$A$1,#N/A,VLOOKUP(A154,Calculation!$B$8:$JO$503,40,FALSE))</f>
        <v>16470.718872868332</v>
      </c>
      <c r="U154" s="890">
        <f t="shared" si="41"/>
        <v>0</v>
      </c>
      <c r="V154" s="890">
        <f>Calculation!AZ157</f>
        <v>0</v>
      </c>
      <c r="W154" s="895">
        <f t="shared" ca="1" si="45"/>
        <v>5000</v>
      </c>
      <c r="X154" s="890">
        <v>0</v>
      </c>
      <c r="Y154" s="890">
        <f t="shared" ca="1" si="33"/>
        <v>2500</v>
      </c>
      <c r="Z154" s="890">
        <f t="shared" ca="1" si="42"/>
        <v>2500</v>
      </c>
      <c r="AA154" s="890">
        <f ca="1">IF(AB154&gt;=24257,Q154-T154-W154-24257,0)</f>
        <v>526.38112724498933</v>
      </c>
      <c r="AB154" s="895">
        <f t="shared" ca="1" si="37"/>
        <v>24257</v>
      </c>
      <c r="AC154" s="980">
        <f t="shared" ca="1" si="36"/>
        <v>23638</v>
      </c>
      <c r="AD154" s="860" t="e">
        <f ca="1">IF(A154&gt;$A$1, #N/A,VLOOKUP(A154,Calculation!$B$8:$JO$880,165,FALSE))</f>
        <v>#N/A</v>
      </c>
      <c r="AE154" s="399" t="e">
        <f t="shared" ca="1" si="43"/>
        <v>#N/A</v>
      </c>
      <c r="AF154" s="399"/>
      <c r="AG154" s="841">
        <f>Calculation!G157</f>
        <v>1362.2642460917816</v>
      </c>
      <c r="AH154" s="847" t="str">
        <f t="shared" si="44"/>
        <v>Yes</v>
      </c>
      <c r="AI154" s="847" t="str">
        <f>IF(Calculation!K157&gt;0,"Yes","No")</f>
        <v>Yes</v>
      </c>
      <c r="AJ154" s="869">
        <v>44131.500000106316</v>
      </c>
      <c r="AK154" s="870">
        <v>44429.200000108787</v>
      </c>
      <c r="AL154" s="870">
        <v>45464.100000110535</v>
      </c>
      <c r="AN154" s="372">
        <v>49088.000000116888</v>
      </c>
      <c r="AO154" s="372">
        <v>47250.200000115357</v>
      </c>
      <c r="AP154" s="372">
        <v>49643.600000119492</v>
      </c>
      <c r="AU154" s="427"/>
      <c r="AV154" s="410"/>
      <c r="AW154" s="442"/>
      <c r="AX154" s="441"/>
      <c r="AY154" s="441"/>
      <c r="AZ154" s="443"/>
      <c r="BB154" s="433"/>
      <c r="BC154" s="432"/>
      <c r="BD154" s="433"/>
      <c r="BE154" s="432"/>
      <c r="BF154" s="433"/>
      <c r="BG154" s="432"/>
      <c r="BH154" s="429"/>
    </row>
    <row r="155" spans="1:60" ht="13.8" thickBot="1" x14ac:dyDescent="0.3">
      <c r="A155" s="406">
        <v>42882</v>
      </c>
      <c r="B155" s="860">
        <f t="shared" ref="B155:B218" si="46">E155+F155</f>
        <v>104.99489</v>
      </c>
      <c r="C155" s="860">
        <f>Calculation!AK158</f>
        <v>79.258430501219181</v>
      </c>
      <c r="D155" s="860">
        <f>Calculation!AI158</f>
        <v>0</v>
      </c>
      <c r="E155" s="860">
        <f>Calculation!AE158</f>
        <v>47.910589999999999</v>
      </c>
      <c r="F155" s="860">
        <f>Calculation!AF158</f>
        <v>57.084299999999992</v>
      </c>
      <c r="G155" s="860">
        <f>Calculation!AG158</f>
        <v>0</v>
      </c>
      <c r="H155" s="861">
        <f>Sheet1!H156</f>
        <v>2.2400000000000002</v>
      </c>
      <c r="I155" s="841">
        <f>Sheet1!DA156</f>
        <v>1600</v>
      </c>
      <c r="J155" s="841">
        <f>Sheet1!DB156</f>
        <v>1170</v>
      </c>
      <c r="K155" s="841">
        <f>Sheet1!CZ156</f>
        <v>1290</v>
      </c>
      <c r="L155" s="865">
        <f>Calculation!F158</f>
        <v>250</v>
      </c>
      <c r="M155" s="865">
        <f>Calculation!E158</f>
        <v>250</v>
      </c>
      <c r="N155" s="865">
        <f>Calculation!D158</f>
        <v>300</v>
      </c>
      <c r="O155" s="888">
        <f>Sheet1!DC156</f>
        <v>1164.71</v>
      </c>
      <c r="P155" s="889" t="e">
        <f>Calculation!FD158</f>
        <v>#N/A</v>
      </c>
      <c r="Q155" s="895">
        <f>Calculation!DP158</f>
        <v>46696.000000112799</v>
      </c>
      <c r="R155" s="888">
        <f t="shared" si="35"/>
        <v>46077.000000112799</v>
      </c>
      <c r="S155" s="890">
        <f t="shared" ref="S155:S218" si="47">R155-R154</f>
        <v>441.89999999947759</v>
      </c>
      <c r="T155" s="895">
        <f ca="1">IF(A155&gt;$A$1,#N/A,VLOOKUP(A155,Calculation!$B$8:$JO$503,40,FALSE))</f>
        <v>16699.490326075225</v>
      </c>
      <c r="U155" s="890">
        <f t="shared" ref="U155:U218" si="48">D155</f>
        <v>0</v>
      </c>
      <c r="V155" s="890">
        <f>Calculation!AZ158</f>
        <v>0</v>
      </c>
      <c r="W155" s="895">
        <f t="shared" ca="1" si="45"/>
        <v>5000</v>
      </c>
      <c r="X155" s="890">
        <v>0</v>
      </c>
      <c r="Y155" s="890">
        <f t="shared" ca="1" si="33"/>
        <v>2500</v>
      </c>
      <c r="Z155" s="890">
        <f t="shared" ca="1" si="42"/>
        <v>2500</v>
      </c>
      <c r="AA155" s="890">
        <f t="shared" ca="1" si="34"/>
        <v>739.50967403757386</v>
      </c>
      <c r="AB155" s="895">
        <f t="shared" ca="1" si="37"/>
        <v>24257</v>
      </c>
      <c r="AC155" s="980">
        <f t="shared" ca="1" si="36"/>
        <v>23638</v>
      </c>
      <c r="AD155" s="860" t="e">
        <f ca="1">IF(A155&gt;$A$1, #N/A,VLOOKUP(A155,Calculation!$B$8:$JO$880,165,FALSE))</f>
        <v>#N/A</v>
      </c>
      <c r="AE155" s="399" t="e">
        <f t="shared" ref="AE155:AE218" ca="1" si="49">AD155-AD154</f>
        <v>#N/A</v>
      </c>
      <c r="AF155" s="399"/>
      <c r="AG155" s="841">
        <f>Calculation!G158</f>
        <v>1512.8441754914159</v>
      </c>
      <c r="AH155" s="847" t="str">
        <f t="shared" ref="AH155:AH218" si="50">IF(I155&gt;L155,"Yes","No")</f>
        <v>Yes</v>
      </c>
      <c r="AI155" s="847" t="str">
        <f>IF(Calculation!K158&gt;0,"Yes","No")</f>
        <v>Yes</v>
      </c>
      <c r="AJ155" s="869">
        <v>44527.400000106558</v>
      </c>
      <c r="AK155" s="870">
        <v>44797.400000109032</v>
      </c>
      <c r="AL155" s="870">
        <v>46298.500000113323</v>
      </c>
      <c r="AM155" s="912"/>
      <c r="AN155" s="372">
        <v>49325.400000119233</v>
      </c>
      <c r="AO155" s="372">
        <v>47272.600000115359</v>
      </c>
      <c r="AP155" s="372">
        <v>49552.800000118448</v>
      </c>
      <c r="AU155" s="427"/>
      <c r="AV155" s="410"/>
      <c r="AW155" s="442"/>
      <c r="AX155" s="441"/>
      <c r="AY155" s="441"/>
      <c r="AZ155" s="443"/>
      <c r="BB155" s="433"/>
      <c r="BC155" s="432"/>
      <c r="BD155" s="433"/>
      <c r="BE155" s="432"/>
      <c r="BF155" s="433"/>
      <c r="BG155" s="432"/>
      <c r="BH155" s="429"/>
    </row>
    <row r="156" spans="1:60" ht="13.8" thickBot="1" x14ac:dyDescent="0.3">
      <c r="A156" s="406">
        <v>42883</v>
      </c>
      <c r="B156" s="860">
        <f t="shared" si="46"/>
        <v>105.08771</v>
      </c>
      <c r="C156" s="860">
        <f>Calculation!AK159</f>
        <v>78.383013314470503</v>
      </c>
      <c r="D156" s="860">
        <f>Calculation!AI159</f>
        <v>0</v>
      </c>
      <c r="E156" s="860">
        <f>Calculation!AE159</f>
        <v>47.833240000000004</v>
      </c>
      <c r="F156" s="860">
        <f>Calculation!AF159</f>
        <v>57.254469999999998</v>
      </c>
      <c r="G156" s="860">
        <f>Calculation!AG159</f>
        <v>0</v>
      </c>
      <c r="H156" s="861">
        <f>Sheet1!H157</f>
        <v>2.5099999999999998</v>
      </c>
      <c r="I156" s="841">
        <f>Sheet1!DA157</f>
        <v>1580</v>
      </c>
      <c r="J156" s="841">
        <f>Sheet1!DB157</f>
        <v>1170</v>
      </c>
      <c r="K156" s="841">
        <f>Sheet1!CZ157</f>
        <v>1300</v>
      </c>
      <c r="L156" s="865">
        <f>Calculation!F159</f>
        <v>250</v>
      </c>
      <c r="M156" s="865">
        <f>Calculation!E159</f>
        <v>250</v>
      </c>
      <c r="N156" s="865">
        <f>Calculation!D159</f>
        <v>300</v>
      </c>
      <c r="O156" s="888">
        <f>Sheet1!DC157</f>
        <v>1165.25</v>
      </c>
      <c r="P156" s="889" t="e">
        <f>Calculation!FD159</f>
        <v>#N/A</v>
      </c>
      <c r="Q156" s="895">
        <f>Calculation!DP159</f>
        <v>47295.00000011536</v>
      </c>
      <c r="R156" s="888">
        <f t="shared" si="35"/>
        <v>46676.00000011536</v>
      </c>
      <c r="S156" s="890">
        <f t="shared" si="47"/>
        <v>599.00000000256114</v>
      </c>
      <c r="T156" s="895">
        <f ca="1">IF(A156&gt;$A$1,#N/A,VLOOKUP(A156,Calculation!$B$8:$JO$503,40,FALSE))</f>
        <v>16854.938991135856</v>
      </c>
      <c r="U156" s="890">
        <f t="shared" si="48"/>
        <v>0</v>
      </c>
      <c r="V156" s="890">
        <f>Calculation!AZ159</f>
        <v>0</v>
      </c>
      <c r="W156" s="895">
        <f t="shared" ca="1" si="32"/>
        <v>5000</v>
      </c>
      <c r="X156" s="890">
        <v>0</v>
      </c>
      <c r="Y156" s="890">
        <f t="shared" ca="1" si="33"/>
        <v>2500</v>
      </c>
      <c r="Z156" s="890">
        <f ca="1">W156-Y156</f>
        <v>2500</v>
      </c>
      <c r="AA156" s="890">
        <f t="shared" ca="1" si="34"/>
        <v>1183.0610089795045</v>
      </c>
      <c r="AB156" s="895">
        <f t="shared" ca="1" si="37"/>
        <v>24257</v>
      </c>
      <c r="AC156" s="980">
        <f t="shared" ca="1" si="36"/>
        <v>23638</v>
      </c>
      <c r="AD156" s="860" t="e">
        <f ca="1">IF(A156&gt;$A$1, #N/A,VLOOKUP(A156,Calculation!$B$8:$JO$880,165,FALSE))</f>
        <v>#N/A</v>
      </c>
      <c r="AE156" s="399" t="e">
        <f t="shared" ca="1" si="49"/>
        <v>#N/A</v>
      </c>
      <c r="AF156" s="399"/>
      <c r="AG156" s="841">
        <f>Calculation!G159</f>
        <v>1602.0675743835407</v>
      </c>
      <c r="AH156" s="847" t="str">
        <f t="shared" si="50"/>
        <v>Yes</v>
      </c>
      <c r="AI156" s="847" t="str">
        <f>IF(Calculation!K159&gt;0,"Yes","No")</f>
        <v>Yes</v>
      </c>
      <c r="AJ156" s="869">
        <v>44816.300000107047</v>
      </c>
      <c r="AK156" s="870">
        <v>45311.000000111548</v>
      </c>
      <c r="AL156" s="870">
        <v>47128.00000011408</v>
      </c>
      <c r="AM156" s="912"/>
      <c r="AN156" s="372">
        <v>49405.200000119497</v>
      </c>
      <c r="AO156" s="372">
        <v>47272.600000115359</v>
      </c>
      <c r="AP156" s="372">
        <v>49677.800000119496</v>
      </c>
      <c r="AU156" s="427"/>
      <c r="AV156" s="410"/>
      <c r="AW156" s="442"/>
      <c r="AX156" s="441"/>
      <c r="AY156" s="441"/>
      <c r="AZ156" s="443"/>
      <c r="BB156" s="433"/>
      <c r="BC156" s="432"/>
      <c r="BD156" s="433"/>
      <c r="BE156" s="432"/>
      <c r="BF156" s="433"/>
      <c r="BG156" s="432"/>
      <c r="BH156" s="429"/>
    </row>
    <row r="157" spans="1:60" ht="13.8" thickBot="1" x14ac:dyDescent="0.3">
      <c r="A157" s="406">
        <v>42884</v>
      </c>
      <c r="B157" s="860">
        <f t="shared" si="46"/>
        <v>105.11865</v>
      </c>
      <c r="C157" s="860">
        <f>Calculation!AK160</f>
        <v>78.487326842105261</v>
      </c>
      <c r="D157" s="860">
        <f>Calculation!AI160</f>
        <v>0</v>
      </c>
      <c r="E157" s="860">
        <f>Calculation!AE160</f>
        <v>47.987939999999995</v>
      </c>
      <c r="F157" s="860">
        <f>Calculation!AF160</f>
        <v>57.130710000000001</v>
      </c>
      <c r="G157" s="860">
        <f>Calculation!AG160</f>
        <v>0</v>
      </c>
      <c r="H157" s="861">
        <f>Sheet1!H158</f>
        <v>2.4700000000000002</v>
      </c>
      <c r="I157" s="841">
        <f>Sheet1!DA158</f>
        <v>1568</v>
      </c>
      <c r="J157" s="841">
        <f>Sheet1!DB158</f>
        <v>1170</v>
      </c>
      <c r="K157" s="841">
        <f>Sheet1!CZ158</f>
        <v>1305</v>
      </c>
      <c r="L157" s="865">
        <f>Calculation!F160</f>
        <v>250</v>
      </c>
      <c r="M157" s="865">
        <f>Calculation!E160</f>
        <v>250</v>
      </c>
      <c r="N157" s="865">
        <f>Calculation!D160</f>
        <v>300</v>
      </c>
      <c r="O157" s="888">
        <f>Sheet1!DC158</f>
        <v>1165.93</v>
      </c>
      <c r="P157" s="889" t="e">
        <f>Calculation!FD160</f>
        <v>#N/A</v>
      </c>
      <c r="Q157" s="895">
        <f>Calculation!DP160</f>
        <v>48053.300000115087</v>
      </c>
      <c r="R157" s="888">
        <f t="shared" si="35"/>
        <v>47434.300000115087</v>
      </c>
      <c r="S157" s="890">
        <f t="shared" si="47"/>
        <v>758.29999999972642</v>
      </c>
      <c r="T157" s="895">
        <f ca="1">IF(A157&gt;$A$1,#N/A,VLOOKUP(A157,Calculation!$B$8:$JO$503,40,FALSE))</f>
        <v>17010.594530083225</v>
      </c>
      <c r="U157" s="890">
        <f t="shared" si="48"/>
        <v>0</v>
      </c>
      <c r="V157" s="890">
        <f>Calculation!AZ160</f>
        <v>0</v>
      </c>
      <c r="W157" s="895">
        <f t="shared" ref="W157:W181" ca="1" si="51">IF(T157&lt;=0,0,MIN(MAX(Q157-T157-23559-619-(X157*1.983),0),5000))</f>
        <v>5000</v>
      </c>
      <c r="X157" s="890">
        <v>0</v>
      </c>
      <c r="Y157" s="890">
        <f t="shared" ref="Y157:Y181" ca="1" si="52">W157*0.5</f>
        <v>2500</v>
      </c>
      <c r="Z157" s="890">
        <f t="shared" ref="Z157:Z220" ca="1" si="53">W157-Y157</f>
        <v>2500</v>
      </c>
      <c r="AA157" s="890">
        <f t="shared" ca="1" si="34"/>
        <v>1785.7054700318622</v>
      </c>
      <c r="AB157" s="895">
        <f t="shared" ca="1" si="37"/>
        <v>24257</v>
      </c>
      <c r="AC157" s="980">
        <f t="shared" ca="1" si="36"/>
        <v>23638</v>
      </c>
      <c r="AD157" s="860" t="e">
        <f ca="1">IF(A157&gt;$A$1, #N/A,VLOOKUP(A157,Calculation!$B$8:$JO$880,165,FALSE))</f>
        <v>#N/A</v>
      </c>
      <c r="AE157" s="399" t="e">
        <f t="shared" ca="1" si="49"/>
        <v>#N/A</v>
      </c>
      <c r="AF157" s="399"/>
      <c r="AG157" s="841">
        <f>Calculation!G160</f>
        <v>1687.4004034290097</v>
      </c>
      <c r="AH157" s="847" t="str">
        <f t="shared" si="50"/>
        <v>Yes</v>
      </c>
      <c r="AI157" s="847" t="str">
        <f>IF(Calculation!K160&gt;0,"Yes","No")</f>
        <v>Yes</v>
      </c>
      <c r="AJ157" s="869">
        <v>44988.100000108243</v>
      </c>
      <c r="AK157" s="870">
        <v>45605.800000110787</v>
      </c>
      <c r="AL157" s="870">
        <v>47930.400000115871</v>
      </c>
      <c r="AM157" s="912"/>
      <c r="AN157" s="372">
        <v>49325.400000119233</v>
      </c>
      <c r="AO157" s="372">
        <v>47272.600000115359</v>
      </c>
      <c r="AP157" s="372">
        <v>49723.400000119756</v>
      </c>
      <c r="AU157" s="427"/>
      <c r="AV157" s="410"/>
      <c r="AW157" s="442"/>
      <c r="AX157" s="441"/>
      <c r="AY157" s="441"/>
      <c r="AZ157" s="443"/>
      <c r="BB157" s="433"/>
      <c r="BC157" s="432"/>
      <c r="BD157" s="433"/>
      <c r="BE157" s="432"/>
      <c r="BF157" s="433"/>
      <c r="BG157" s="432"/>
      <c r="BH157" s="429"/>
    </row>
    <row r="158" spans="1:60" ht="13.8" thickBot="1" x14ac:dyDescent="0.3">
      <c r="A158" s="406">
        <v>42885</v>
      </c>
      <c r="B158" s="860">
        <f t="shared" si="46"/>
        <v>102.81362</v>
      </c>
      <c r="C158" s="860">
        <f>Calculation!AK161</f>
        <v>78.850702919708027</v>
      </c>
      <c r="D158" s="860">
        <f>Calculation!AI161</f>
        <v>0</v>
      </c>
      <c r="E158" s="860">
        <f>Calculation!AE161</f>
        <v>47.910589999999999</v>
      </c>
      <c r="F158" s="860">
        <f>Calculation!AF161</f>
        <v>54.903030000000001</v>
      </c>
      <c r="G158" s="860">
        <f>Calculation!AG161</f>
        <v>0</v>
      </c>
      <c r="H158" s="861">
        <f>Sheet1!H159</f>
        <v>2.25</v>
      </c>
      <c r="I158" s="841">
        <f>Sheet1!DA159</f>
        <v>1737</v>
      </c>
      <c r="J158" s="841">
        <f>Sheet1!DB159</f>
        <v>1360</v>
      </c>
      <c r="K158" s="841">
        <f>Sheet1!CZ159</f>
        <v>1489</v>
      </c>
      <c r="L158" s="865">
        <f>Calculation!F161</f>
        <v>250</v>
      </c>
      <c r="M158" s="865">
        <f>Calculation!E161</f>
        <v>250</v>
      </c>
      <c r="N158" s="865">
        <f>Calculation!D161</f>
        <v>300</v>
      </c>
      <c r="O158" s="888">
        <f>Sheet1!DC159</f>
        <v>1166.4000000000001</v>
      </c>
      <c r="P158" s="889" t="e">
        <f>Calculation!FD161</f>
        <v>#N/A</v>
      </c>
      <c r="Q158" s="895">
        <f>Calculation!DP161</f>
        <v>48581.000000117674</v>
      </c>
      <c r="R158" s="888">
        <f t="shared" si="35"/>
        <v>47962.000000117674</v>
      </c>
      <c r="S158" s="890">
        <f t="shared" si="47"/>
        <v>527.70000000258733</v>
      </c>
      <c r="T158" s="895">
        <f ca="1">IF(A158&gt;$A$1,#N/A,VLOOKUP(A158,Calculation!$B$8:$JO$503,40,FALSE))</f>
        <v>17166.970714024832</v>
      </c>
      <c r="U158" s="890">
        <f t="shared" si="48"/>
        <v>0</v>
      </c>
      <c r="V158" s="890">
        <f>Calculation!AZ161</f>
        <v>0</v>
      </c>
      <c r="W158" s="895">
        <f t="shared" ca="1" si="51"/>
        <v>5000</v>
      </c>
      <c r="X158" s="890">
        <v>0</v>
      </c>
      <c r="Y158" s="890">
        <f t="shared" ca="1" si="52"/>
        <v>2500</v>
      </c>
      <c r="Z158" s="890">
        <f t="shared" ca="1" si="53"/>
        <v>2500</v>
      </c>
      <c r="AA158" s="890">
        <f t="shared" ca="1" si="34"/>
        <v>2157.0292860928421</v>
      </c>
      <c r="AB158" s="895">
        <f t="shared" ca="1" si="37"/>
        <v>24257</v>
      </c>
      <c r="AC158" s="980">
        <f t="shared" ca="1" si="36"/>
        <v>23638</v>
      </c>
      <c r="AD158" s="860" t="e">
        <f ca="1">IF(A158&gt;$A$1, #N/A,VLOOKUP(A158,Calculation!$B$8:$JO$880,165,FALSE))</f>
        <v>#N/A</v>
      </c>
      <c r="AE158" s="399" t="e">
        <f t="shared" ca="1" si="49"/>
        <v>#N/A</v>
      </c>
      <c r="AF158" s="399"/>
      <c r="AG158" s="841">
        <f>Calculation!G161</f>
        <v>1755.1119515898069</v>
      </c>
      <c r="AH158" s="847" t="str">
        <f t="shared" si="50"/>
        <v>Yes</v>
      </c>
      <c r="AI158" s="847" t="str">
        <f>IF(Calculation!K161&gt;0,"Yes","No")</f>
        <v>Yes</v>
      </c>
      <c r="AJ158" s="869">
        <v>45388.440000108742</v>
      </c>
      <c r="AK158" s="870">
        <v>45803.000000111031</v>
      </c>
      <c r="AL158" s="870">
        <v>48829.400000116635</v>
      </c>
      <c r="AM158" s="912"/>
      <c r="AN158" s="372">
        <v>49314.000000119238</v>
      </c>
      <c r="AO158" s="372">
        <v>47283.800000115363</v>
      </c>
      <c r="AP158" s="372">
        <v>49700.600000119754</v>
      </c>
      <c r="AU158" s="427"/>
      <c r="AV158" s="410"/>
      <c r="AW158" s="442"/>
      <c r="AX158" s="441"/>
      <c r="AY158" s="441"/>
      <c r="AZ158" s="443"/>
      <c r="BB158" s="433"/>
      <c r="BC158" s="432"/>
      <c r="BD158" s="433"/>
      <c r="BE158" s="432"/>
      <c r="BF158" s="433"/>
      <c r="BG158" s="432"/>
      <c r="BH158" s="429"/>
    </row>
    <row r="159" spans="1:60" ht="13.8" thickBot="1" x14ac:dyDescent="0.3">
      <c r="A159" s="406">
        <v>42886</v>
      </c>
      <c r="B159" s="860">
        <f t="shared" si="46"/>
        <v>98.961590000000001</v>
      </c>
      <c r="C159" s="860">
        <f>Calculation!AK162</f>
        <v>78.704986976744195</v>
      </c>
      <c r="D159" s="860">
        <f>Calculation!AI162</f>
        <v>0</v>
      </c>
      <c r="E159" s="860">
        <f>Calculation!AE162</f>
        <v>47.910589999999999</v>
      </c>
      <c r="F159" s="860">
        <f>Calculation!AF162</f>
        <v>51.050999999999995</v>
      </c>
      <c r="G159" s="860">
        <f>Calculation!AG162</f>
        <v>0</v>
      </c>
      <c r="H159" s="861">
        <f>Sheet1!H160</f>
        <v>2.2400000000000002</v>
      </c>
      <c r="I159" s="841">
        <f>Sheet1!DA160</f>
        <v>1659</v>
      </c>
      <c r="J159" s="841">
        <f>Sheet1!DB160</f>
        <v>1240</v>
      </c>
      <c r="K159" s="841">
        <f>Sheet1!CZ160</f>
        <v>1367</v>
      </c>
      <c r="L159" s="865">
        <f>Calculation!F162</f>
        <v>250</v>
      </c>
      <c r="M159" s="865">
        <f>Calculation!E162</f>
        <v>250</v>
      </c>
      <c r="N159" s="865">
        <f>Calculation!D162</f>
        <v>300</v>
      </c>
      <c r="O159" s="888">
        <f>Sheet1!DC160</f>
        <v>1166.44</v>
      </c>
      <c r="P159" s="889" t="e">
        <f>Calculation!FD162</f>
        <v>#N/A</v>
      </c>
      <c r="Q159" s="895">
        <f>Calculation!DP162</f>
        <v>48626.200000117678</v>
      </c>
      <c r="R159" s="888">
        <f t="shared" si="35"/>
        <v>48007.200000117678</v>
      </c>
      <c r="S159" s="890">
        <f t="shared" si="47"/>
        <v>45.200000000004366</v>
      </c>
      <c r="T159" s="895">
        <f ca="1">IF(A159&gt;$A$1,#N/A,VLOOKUP(A159,Calculation!$B$8:$JO$503,40,FALSE))</f>
        <v>17323.057915087953</v>
      </c>
      <c r="U159" s="890">
        <f t="shared" si="48"/>
        <v>0</v>
      </c>
      <c r="V159" s="890">
        <f>Calculation!AZ162</f>
        <v>0</v>
      </c>
      <c r="W159" s="895">
        <f t="shared" ca="1" si="51"/>
        <v>5000</v>
      </c>
      <c r="X159" s="890">
        <v>0</v>
      </c>
      <c r="Y159" s="890">
        <f t="shared" ca="1" si="52"/>
        <v>2500</v>
      </c>
      <c r="Z159" s="890">
        <f t="shared" ca="1" si="53"/>
        <v>2500</v>
      </c>
      <c r="AA159" s="890">
        <f t="shared" ca="1" si="34"/>
        <v>2046.1420850297254</v>
      </c>
      <c r="AB159" s="895">
        <f t="shared" ca="1" si="37"/>
        <v>24257</v>
      </c>
      <c r="AC159" s="980">
        <f t="shared" ca="1" si="36"/>
        <v>23638</v>
      </c>
      <c r="AD159" s="860" t="e">
        <f ca="1">IF(A159&gt;$A$1, #N/A,VLOOKUP(A159,Calculation!$B$8:$JO$880,165,FALSE))</f>
        <v>#N/A</v>
      </c>
      <c r="AE159" s="399" t="e">
        <f t="shared" ca="1" si="49"/>
        <v>#N/A</v>
      </c>
      <c r="AF159" s="399"/>
      <c r="AG159" s="841">
        <f>Calculation!G162</f>
        <v>1389.7937468482119</v>
      </c>
      <c r="AH159" s="847" t="str">
        <f t="shared" si="50"/>
        <v>Yes</v>
      </c>
      <c r="AI159" s="847" t="str">
        <f>IF(Calculation!K162&gt;0,"Yes","No")</f>
        <v>Yes</v>
      </c>
      <c r="AJ159" s="869">
        <v>45886.160000109237</v>
      </c>
      <c r="AK159" s="870">
        <v>46210.000000112297</v>
      </c>
      <c r="AL159" s="870">
        <v>49359.600000119237</v>
      </c>
      <c r="AM159" s="912"/>
      <c r="AN159" s="372">
        <v>49393.800000119234</v>
      </c>
      <c r="AO159" s="372">
        <v>47283.800000115363</v>
      </c>
      <c r="AP159" s="372">
        <v>49496.300000118448</v>
      </c>
      <c r="AU159" s="427"/>
      <c r="AV159" s="410"/>
      <c r="AW159" s="442"/>
      <c r="AX159" s="441"/>
      <c r="AY159" s="441"/>
      <c r="AZ159" s="443"/>
      <c r="BB159" s="433"/>
      <c r="BC159" s="432"/>
      <c r="BD159" s="433"/>
      <c r="BE159" s="432"/>
      <c r="BF159" s="433"/>
      <c r="BG159" s="432"/>
      <c r="BH159" s="429"/>
    </row>
    <row r="160" spans="1:60" ht="13.8" thickBot="1" x14ac:dyDescent="0.3">
      <c r="A160" s="406">
        <v>42887</v>
      </c>
      <c r="B160" s="860">
        <f t="shared" si="46"/>
        <v>103.26224999999999</v>
      </c>
      <c r="C160" s="860">
        <f>Calculation!AK163</f>
        <v>79.162131072124751</v>
      </c>
      <c r="D160" s="860">
        <f>Calculation!AI163</f>
        <v>0</v>
      </c>
      <c r="E160" s="860">
        <f>Calculation!AE163</f>
        <v>47.879649999999998</v>
      </c>
      <c r="F160" s="860">
        <f>Calculation!AF163</f>
        <v>55.382599999999996</v>
      </c>
      <c r="G160" s="860">
        <f>Calculation!AG163</f>
        <v>0</v>
      </c>
      <c r="H160" s="861">
        <f>Sheet1!H161</f>
        <v>2.0699999999999998</v>
      </c>
      <c r="I160" s="841">
        <f>Sheet1!DA161</f>
        <v>1606</v>
      </c>
      <c r="J160" s="841">
        <f>Sheet1!DB161</f>
        <v>1130</v>
      </c>
      <c r="K160" s="841">
        <f>Sheet1!CZ161</f>
        <v>1257</v>
      </c>
      <c r="L160" s="865">
        <f>Calculation!F163</f>
        <v>250</v>
      </c>
      <c r="M160" s="865">
        <f>Calculation!E163</f>
        <v>250</v>
      </c>
      <c r="N160" s="865">
        <f>Calculation!D163</f>
        <v>300</v>
      </c>
      <c r="O160" s="888">
        <f>Sheet1!DC161</f>
        <v>1166.52</v>
      </c>
      <c r="P160" s="889" t="e">
        <f>Calculation!FD163</f>
        <v>#N/A</v>
      </c>
      <c r="Q160" s="895">
        <f>Calculation!DP163</f>
        <v>48716.600000117673</v>
      </c>
      <c r="R160" s="888">
        <f t="shared" si="35"/>
        <v>48097.600000117673</v>
      </c>
      <c r="S160" s="890">
        <f t="shared" si="47"/>
        <v>90.399999999994179</v>
      </c>
      <c r="T160" s="895">
        <f ca="1">IF(A160&gt;$A$1,#N/A,VLOOKUP(A160,Calculation!$B$8:$JO$503,40,FALSE))</f>
        <v>17455.276746667187</v>
      </c>
      <c r="U160" s="890">
        <f t="shared" si="48"/>
        <v>0</v>
      </c>
      <c r="V160" s="890">
        <f>Calculation!AZ163</f>
        <v>0</v>
      </c>
      <c r="W160" s="895">
        <f t="shared" ca="1" si="51"/>
        <v>5000</v>
      </c>
      <c r="X160" s="890">
        <v>0</v>
      </c>
      <c r="Y160" s="890">
        <f t="shared" ca="1" si="52"/>
        <v>2500</v>
      </c>
      <c r="Z160" s="890">
        <f t="shared" ca="1" si="53"/>
        <v>2500</v>
      </c>
      <c r="AA160" s="890">
        <f t="shared" ca="1" si="34"/>
        <v>2004.3232534504859</v>
      </c>
      <c r="AB160" s="895">
        <f t="shared" ca="1" si="37"/>
        <v>24257</v>
      </c>
      <c r="AC160" s="980">
        <f t="shared" ca="1" si="36"/>
        <v>23638</v>
      </c>
      <c r="AD160" s="860" t="e">
        <f ca="1">IF(A160&gt;$A$1, #N/A,VLOOKUP(A160,Calculation!$B$8:$JO$880,165,FALSE))</f>
        <v>#N/A</v>
      </c>
      <c r="AE160" s="399" t="e">
        <f t="shared" ca="1" si="49"/>
        <v>#N/A</v>
      </c>
      <c r="AF160" s="399"/>
      <c r="AG160" s="841">
        <f>Calculation!G163</f>
        <v>1302.5874936964167</v>
      </c>
      <c r="AH160" s="847" t="str">
        <f t="shared" si="50"/>
        <v>Yes</v>
      </c>
      <c r="AI160" s="847" t="str">
        <f>IF(Calculation!K163&gt;0,"Yes","No")</f>
        <v>Yes</v>
      </c>
      <c r="AJ160" s="869">
        <v>46485.99000011084</v>
      </c>
      <c r="AK160" s="870">
        <v>46707.000000112799</v>
      </c>
      <c r="AL160" s="870">
        <v>49279.800000119234</v>
      </c>
      <c r="AM160" s="912"/>
      <c r="AN160" s="372">
        <v>49428.000000119493</v>
      </c>
      <c r="AO160" s="372">
        <v>47283.800000115363</v>
      </c>
      <c r="AP160" s="372">
        <v>49485.000000118445</v>
      </c>
      <c r="AU160" s="427"/>
      <c r="AV160" s="410"/>
      <c r="AW160" s="442"/>
      <c r="AX160" s="441"/>
      <c r="AY160" s="441"/>
      <c r="AZ160" s="443"/>
      <c r="BB160" s="433"/>
      <c r="BC160" s="432"/>
      <c r="BD160" s="433"/>
      <c r="BE160" s="432"/>
      <c r="BF160" s="433"/>
      <c r="BG160" s="432"/>
      <c r="BH160" s="429"/>
    </row>
    <row r="161" spans="1:60" ht="13.8" thickBot="1" x14ac:dyDescent="0.3">
      <c r="A161" s="406">
        <v>42888</v>
      </c>
      <c r="B161" s="860">
        <f t="shared" si="46"/>
        <v>106.68111999999999</v>
      </c>
      <c r="C161" s="860">
        <f>Calculation!AK164</f>
        <v>78.521562361147659</v>
      </c>
      <c r="D161" s="860">
        <f>Calculation!AI164</f>
        <v>0</v>
      </c>
      <c r="E161" s="860">
        <f>Calculation!AE164</f>
        <v>47.941529999999993</v>
      </c>
      <c r="F161" s="860">
        <f>Calculation!AF164</f>
        <v>58.739589999999993</v>
      </c>
      <c r="G161" s="860">
        <f>Calculation!AG164</f>
        <v>0</v>
      </c>
      <c r="H161" s="861">
        <f>Sheet1!H162</f>
        <v>2.2400000000000002</v>
      </c>
      <c r="I161" s="841">
        <f>Sheet1!DA162</f>
        <v>1350</v>
      </c>
      <c r="J161" s="841">
        <f>Sheet1!DB162</f>
        <v>915</v>
      </c>
      <c r="K161" s="841">
        <f>Sheet1!CZ162</f>
        <v>1030</v>
      </c>
      <c r="L161" s="865">
        <f>Calculation!F164</f>
        <v>250</v>
      </c>
      <c r="M161" s="865">
        <f>Calculation!E164</f>
        <v>250</v>
      </c>
      <c r="N161" s="865">
        <f>Calculation!D164</f>
        <v>300</v>
      </c>
      <c r="O161" s="888">
        <f>Sheet1!DC162</f>
        <v>1166.71</v>
      </c>
      <c r="P161" s="889" t="e">
        <f>Calculation!FD164</f>
        <v>#N/A</v>
      </c>
      <c r="Q161" s="895">
        <f>Calculation!DP164</f>
        <v>48930.300000117932</v>
      </c>
      <c r="R161" s="888">
        <f t="shared" si="35"/>
        <v>48311.300000117932</v>
      </c>
      <c r="S161" s="890">
        <f t="shared" si="47"/>
        <v>213.70000000025902</v>
      </c>
      <c r="T161" s="895">
        <f ca="1">IF(A161&gt;$A$1,#N/A,VLOOKUP(A161,Calculation!$B$8:$JO$503,40,FALSE))</f>
        <v>17611.000181265768</v>
      </c>
      <c r="U161" s="890">
        <f t="shared" si="48"/>
        <v>0</v>
      </c>
      <c r="V161" s="890">
        <f>Calculation!AZ164</f>
        <v>0</v>
      </c>
      <c r="W161" s="895">
        <f t="shared" ca="1" si="51"/>
        <v>5000</v>
      </c>
      <c r="X161" s="890">
        <v>0</v>
      </c>
      <c r="Y161" s="890">
        <f t="shared" ca="1" si="52"/>
        <v>2500</v>
      </c>
      <c r="Z161" s="890">
        <f t="shared" ca="1" si="53"/>
        <v>2500</v>
      </c>
      <c r="AA161" s="890">
        <f t="shared" ca="1" si="34"/>
        <v>2062.2998188521633</v>
      </c>
      <c r="AB161" s="895">
        <f t="shared" ca="1" si="37"/>
        <v>24257</v>
      </c>
      <c r="AC161" s="980">
        <f t="shared" ca="1" si="36"/>
        <v>23638</v>
      </c>
      <c r="AD161" s="860" t="e">
        <f ca="1">IF(A161&gt;$A$1, #N/A,VLOOKUP(A161,Calculation!$B$8:$JO$880,165,FALSE))</f>
        <v>#N/A</v>
      </c>
      <c r="AE161" s="399" t="e">
        <f t="shared" ca="1" si="49"/>
        <v>#N/A</v>
      </c>
      <c r="AF161" s="399"/>
      <c r="AG161" s="841">
        <f>Calculation!G164</f>
        <v>1137.7660110944321</v>
      </c>
      <c r="AH161" s="847" t="str">
        <f t="shared" si="50"/>
        <v>Yes</v>
      </c>
      <c r="AI161" s="847" t="str">
        <f>IF(Calculation!K164&gt;0,"Yes","No")</f>
        <v>Yes</v>
      </c>
      <c r="AJ161" s="869">
        <v>46726.450000111086</v>
      </c>
      <c r="AK161" s="870">
        <v>47205.700000114331</v>
      </c>
      <c r="AL161" s="870">
        <v>49020.700000117933</v>
      </c>
      <c r="AM161" s="912"/>
      <c r="AN161" s="372">
        <v>49416.600000119492</v>
      </c>
      <c r="AO161" s="372">
        <v>47328.600000115359</v>
      </c>
      <c r="AP161" s="372">
        <v>49496.300000118448</v>
      </c>
      <c r="AU161" s="427"/>
      <c r="AV161" s="410"/>
      <c r="AW161" s="442"/>
      <c r="AX161" s="441"/>
      <c r="AY161" s="441"/>
      <c r="AZ161" s="443"/>
      <c r="BB161" s="433"/>
      <c r="BC161" s="432"/>
      <c r="BD161" s="433"/>
      <c r="BE161" s="432"/>
      <c r="BF161" s="433"/>
      <c r="BG161" s="432"/>
      <c r="BH161" s="429"/>
    </row>
    <row r="162" spans="1:60" ht="13.8" thickBot="1" x14ac:dyDescent="0.3">
      <c r="A162" s="406">
        <v>42889</v>
      </c>
      <c r="B162" s="860">
        <f t="shared" si="46"/>
        <v>99.007999999999996</v>
      </c>
      <c r="C162" s="860">
        <f>Calculation!AK165</f>
        <v>77.785986249999993</v>
      </c>
      <c r="D162" s="860">
        <f>Calculation!AI165</f>
        <v>0</v>
      </c>
      <c r="E162" s="860">
        <f>Calculation!AE165</f>
        <v>47.957000000000001</v>
      </c>
      <c r="F162" s="860">
        <f>Calculation!AF165</f>
        <v>51.050999999999995</v>
      </c>
      <c r="G162" s="860">
        <f>Calculation!AG165</f>
        <v>0</v>
      </c>
      <c r="H162" s="861">
        <f>Sheet1!H163</f>
        <v>2.0299999999999998</v>
      </c>
      <c r="I162" s="841">
        <f>Sheet1!DA163</f>
        <v>1280</v>
      </c>
      <c r="J162" s="841">
        <f>Sheet1!DB163</f>
        <v>915</v>
      </c>
      <c r="K162" s="841">
        <f>Sheet1!CZ163</f>
        <v>1030</v>
      </c>
      <c r="L162" s="865">
        <f>Calculation!F165</f>
        <v>250</v>
      </c>
      <c r="M162" s="865">
        <f>Calculation!E165</f>
        <v>250</v>
      </c>
      <c r="N162" s="865">
        <f>Calculation!D165</f>
        <v>300</v>
      </c>
      <c r="O162" s="888">
        <f>Sheet1!DC163</f>
        <v>1166.9000000000001</v>
      </c>
      <c r="P162" s="889" t="e">
        <f>Calculation!FD165</f>
        <v>#N/A</v>
      </c>
      <c r="Q162" s="895">
        <f>Calculation!DP165</f>
        <v>49144.000000118191</v>
      </c>
      <c r="R162" s="888">
        <f t="shared" si="35"/>
        <v>48525.000000118191</v>
      </c>
      <c r="S162" s="890">
        <f t="shared" si="47"/>
        <v>213.70000000025902</v>
      </c>
      <c r="T162" s="895">
        <f ca="1">IF(A162&gt;$A$1,#N/A,VLOOKUP(A162,Calculation!$B$8:$JO$503,40,FALSE))</f>
        <v>17765.264826265768</v>
      </c>
      <c r="U162" s="890">
        <f t="shared" si="48"/>
        <v>0</v>
      </c>
      <c r="V162" s="890">
        <f>Calculation!AZ165</f>
        <v>0</v>
      </c>
      <c r="W162" s="895">
        <f t="shared" ca="1" si="51"/>
        <v>5000</v>
      </c>
      <c r="X162" s="890">
        <v>0</v>
      </c>
      <c r="Y162" s="890">
        <f t="shared" ca="1" si="52"/>
        <v>2500</v>
      </c>
      <c r="Z162" s="890">
        <f t="shared" ca="1" si="53"/>
        <v>2500</v>
      </c>
      <c r="AA162" s="890">
        <f t="shared" ca="1" si="34"/>
        <v>2121.735173852423</v>
      </c>
      <c r="AB162" s="895">
        <f t="shared" ca="1" si="37"/>
        <v>24257</v>
      </c>
      <c r="AC162" s="980">
        <f t="shared" ca="1" si="36"/>
        <v>23638</v>
      </c>
      <c r="AD162" s="860" t="e">
        <f ca="1">IF(A162&gt;$A$1, #N/A,VLOOKUP(A162,Calculation!$B$8:$JO$880,165,FALSE))</f>
        <v>#N/A</v>
      </c>
      <c r="AE162" s="399" t="e">
        <f t="shared" ca="1" si="49"/>
        <v>#N/A</v>
      </c>
      <c r="AF162" s="399"/>
      <c r="AG162" s="841">
        <f>Calculation!G165</f>
        <v>1137.7660110944321</v>
      </c>
      <c r="AH162" s="847" t="str">
        <f t="shared" si="50"/>
        <v>Yes</v>
      </c>
      <c r="AI162" s="847" t="str">
        <f>IF(Calculation!K165&gt;0,"Yes","No")</f>
        <v>Yes</v>
      </c>
      <c r="AJ162" s="869">
        <v>46988.770000111334</v>
      </c>
      <c r="AK162" s="870">
        <v>47997.600000116123</v>
      </c>
      <c r="AL162" s="870">
        <v>48930.300000117932</v>
      </c>
      <c r="AM162" s="912"/>
      <c r="AN162" s="372">
        <v>49359.600000119237</v>
      </c>
      <c r="AO162" s="372">
        <v>47351.000000114327</v>
      </c>
      <c r="AP162" s="372">
        <v>49439.400000119495</v>
      </c>
      <c r="AU162" s="427"/>
      <c r="AV162" s="410"/>
      <c r="AW162" s="442"/>
      <c r="AX162" s="441"/>
      <c r="AY162" s="441"/>
      <c r="AZ162" s="443"/>
      <c r="BB162" s="433"/>
      <c r="BC162" s="432"/>
      <c r="BD162" s="433"/>
      <c r="BE162" s="432"/>
      <c r="BF162" s="433"/>
      <c r="BG162" s="432"/>
      <c r="BH162" s="429"/>
    </row>
    <row r="163" spans="1:60" ht="13.8" thickBot="1" x14ac:dyDescent="0.3">
      <c r="A163" s="406">
        <v>42890</v>
      </c>
      <c r="B163" s="860">
        <f t="shared" si="46"/>
        <v>99.688680000000005</v>
      </c>
      <c r="C163" s="860">
        <f>Calculation!AK166</f>
        <v>77.633340416666655</v>
      </c>
      <c r="D163" s="860">
        <f>Calculation!AI166</f>
        <v>0</v>
      </c>
      <c r="E163" s="860">
        <f>Calculation!AE166</f>
        <v>47.864179999999998</v>
      </c>
      <c r="F163" s="860">
        <f>Calculation!AF166</f>
        <v>51.8245</v>
      </c>
      <c r="G163" s="860">
        <f>Calculation!AG166</f>
        <v>0</v>
      </c>
      <c r="H163" s="861">
        <f>Sheet1!H164</f>
        <v>1.95</v>
      </c>
      <c r="I163" s="841">
        <f>Sheet1!DA164</f>
        <v>1260</v>
      </c>
      <c r="J163" s="841">
        <f>Sheet1!DB164</f>
        <v>910</v>
      </c>
      <c r="K163" s="841">
        <f>Sheet1!CZ164</f>
        <v>1030</v>
      </c>
      <c r="L163" s="865">
        <f>Calculation!F166</f>
        <v>250</v>
      </c>
      <c r="M163" s="865">
        <f>Calculation!E166</f>
        <v>250</v>
      </c>
      <c r="N163" s="865">
        <f>Calculation!D166</f>
        <v>300</v>
      </c>
      <c r="O163" s="888">
        <f>Sheet1!DC164</f>
        <v>1166.9100000000001</v>
      </c>
      <c r="P163" s="889" t="e">
        <f>Calculation!FD166</f>
        <v>#N/A</v>
      </c>
      <c r="Q163" s="895">
        <f>Calculation!DP166</f>
        <v>49155.300000118186</v>
      </c>
      <c r="R163" s="888">
        <f t="shared" si="35"/>
        <v>48536.300000118186</v>
      </c>
      <c r="S163" s="890">
        <f t="shared" si="47"/>
        <v>11.299999999995634</v>
      </c>
      <c r="T163" s="895">
        <f ca="1">IF(A163&gt;$A$1,#N/A,VLOOKUP(A163,Calculation!$B$8:$JO$503,40,FALSE))</f>
        <v>17919.226745075295</v>
      </c>
      <c r="U163" s="890">
        <f t="shared" si="48"/>
        <v>0</v>
      </c>
      <c r="V163" s="890">
        <f>Calculation!AZ166</f>
        <v>0</v>
      </c>
      <c r="W163" s="895">
        <f t="shared" ca="1" si="51"/>
        <v>5000</v>
      </c>
      <c r="X163" s="890">
        <v>0</v>
      </c>
      <c r="Y163" s="890">
        <f t="shared" ca="1" si="52"/>
        <v>2500</v>
      </c>
      <c r="Z163" s="890">
        <f t="shared" ca="1" si="53"/>
        <v>2500</v>
      </c>
      <c r="AA163" s="890">
        <f t="shared" ca="1" si="34"/>
        <v>1979.0732550428911</v>
      </c>
      <c r="AB163" s="895">
        <f t="shared" ca="1" si="37"/>
        <v>24257</v>
      </c>
      <c r="AC163" s="980">
        <f t="shared" ca="1" si="36"/>
        <v>23638</v>
      </c>
      <c r="AD163" s="860" t="e">
        <f ca="1">IF(A163&gt;$A$1, #N/A,VLOOKUP(A163,Calculation!$B$8:$JO$880,165,FALSE))</f>
        <v>#N/A</v>
      </c>
      <c r="AE163" s="399" t="e">
        <f t="shared" ca="1" si="49"/>
        <v>#N/A</v>
      </c>
      <c r="AF163" s="399"/>
      <c r="AG163" s="841">
        <f>Calculation!G166</f>
        <v>1035.6984367120504</v>
      </c>
      <c r="AH163" s="847" t="str">
        <f t="shared" si="50"/>
        <v>Yes</v>
      </c>
      <c r="AI163" s="847" t="str">
        <f>IF(Calculation!K166&gt;0,"Yes","No")</f>
        <v>Yes</v>
      </c>
      <c r="AJ163" s="869">
        <v>47473.320000112704</v>
      </c>
      <c r="AK163" s="870">
        <v>48142.30000011716</v>
      </c>
      <c r="AL163" s="870">
        <v>49155.300000118186</v>
      </c>
      <c r="AM163" s="912"/>
      <c r="AN163" s="372">
        <v>49268.400000119233</v>
      </c>
      <c r="AO163" s="372">
        <v>47351.000000114327</v>
      </c>
      <c r="AP163" s="372">
        <v>49416.600000119492</v>
      </c>
      <c r="AU163" s="427"/>
      <c r="AV163" s="410"/>
      <c r="AW163" s="442"/>
      <c r="AX163" s="441"/>
      <c r="AY163" s="441"/>
      <c r="AZ163" s="443"/>
      <c r="BB163" s="433"/>
      <c r="BC163" s="432"/>
      <c r="BD163" s="433"/>
      <c r="BE163" s="432"/>
      <c r="BF163" s="433"/>
      <c r="BG163" s="432"/>
      <c r="BH163" s="429"/>
    </row>
    <row r="164" spans="1:60" ht="13.8" thickBot="1" x14ac:dyDescent="0.3">
      <c r="A164" s="406">
        <v>42891</v>
      </c>
      <c r="B164" s="860">
        <f t="shared" si="46"/>
        <v>103.03020000000001</v>
      </c>
      <c r="C164" s="860">
        <f>Calculation!AK167</f>
        <v>78.217621655134238</v>
      </c>
      <c r="D164" s="860">
        <f>Calculation!AI167</f>
        <v>0</v>
      </c>
      <c r="E164" s="860">
        <f>Calculation!AE167</f>
        <v>47.338200000000001</v>
      </c>
      <c r="F164" s="860">
        <f>Calculation!AF167</f>
        <v>55.692</v>
      </c>
      <c r="G164" s="860">
        <f>Calculation!AG167</f>
        <v>0</v>
      </c>
      <c r="H164" s="861">
        <f>Sheet1!H165</f>
        <v>1.7889999999999999</v>
      </c>
      <c r="I164" s="841">
        <f>Sheet1!DA165</f>
        <v>1160</v>
      </c>
      <c r="J164" s="841">
        <f>Sheet1!DB165</f>
        <v>774</v>
      </c>
      <c r="K164" s="841">
        <f>Sheet1!CZ165</f>
        <v>881</v>
      </c>
      <c r="L164" s="865">
        <f>Calculation!F167</f>
        <v>250</v>
      </c>
      <c r="M164" s="865">
        <f>Calculation!E167</f>
        <v>250</v>
      </c>
      <c r="N164" s="865">
        <f>Calculation!D167</f>
        <v>300</v>
      </c>
      <c r="O164" s="888">
        <f>Sheet1!DC165</f>
        <v>1166.8499999999999</v>
      </c>
      <c r="P164" s="889" t="e">
        <f>Calculation!FD167</f>
        <v>#N/A</v>
      </c>
      <c r="Q164" s="895">
        <f>Calculation!DP167</f>
        <v>49088.000000116888</v>
      </c>
      <c r="R164" s="888">
        <f t="shared" si="35"/>
        <v>48469.000000116888</v>
      </c>
      <c r="S164" s="890">
        <f t="shared" si="47"/>
        <v>-67.300000001298031</v>
      </c>
      <c r="T164" s="895">
        <f ca="1">IF(A164&gt;$A$1,#N/A,VLOOKUP(A164,Calculation!$B$8:$JO$503,40,FALSE))</f>
        <v>18074.347406509001</v>
      </c>
      <c r="U164" s="890">
        <f t="shared" si="48"/>
        <v>0</v>
      </c>
      <c r="V164" s="890">
        <f>Calculation!AZ167</f>
        <v>0</v>
      </c>
      <c r="W164" s="895">
        <f t="shared" ca="1" si="51"/>
        <v>5000</v>
      </c>
      <c r="X164" s="890">
        <v>0</v>
      </c>
      <c r="Y164" s="890">
        <f t="shared" ca="1" si="52"/>
        <v>2500</v>
      </c>
      <c r="Z164" s="890">
        <f t="shared" ca="1" si="53"/>
        <v>2500</v>
      </c>
      <c r="AA164" s="890">
        <f ca="1">IF(AB164&gt;=24257,Q164-T164-W164-24257,0)</f>
        <v>1756.652593607887</v>
      </c>
      <c r="AB164" s="895">
        <f t="shared" ca="1" si="37"/>
        <v>24257</v>
      </c>
      <c r="AC164" s="980">
        <f t="shared" ca="1" si="36"/>
        <v>23638</v>
      </c>
      <c r="AD164" s="860" t="e">
        <f ca="1">IF(A164&gt;$A$1, #N/A,VLOOKUP(A164,Calculation!$B$8:$JO$880,165,FALSE))</f>
        <v>#N/A</v>
      </c>
      <c r="AE164" s="399" t="e">
        <f t="shared" ca="1" si="49"/>
        <v>#N/A</v>
      </c>
      <c r="AF164" s="399"/>
      <c r="AG164" s="841">
        <f>Calculation!G167</f>
        <v>847.06152294437823</v>
      </c>
      <c r="AH164" s="847" t="str">
        <f t="shared" si="50"/>
        <v>Yes</v>
      </c>
      <c r="AI164" s="847" t="str">
        <f>IF(Calculation!K167&gt;0,"Yes","No")</f>
        <v>Yes</v>
      </c>
      <c r="AJ164" s="869">
        <v>48014.280000113205</v>
      </c>
      <c r="AK164" s="870">
        <v>47896.900000114838</v>
      </c>
      <c r="AL164" s="870">
        <v>49382.400000119233</v>
      </c>
      <c r="AM164" s="912"/>
      <c r="AN164" s="372">
        <v>49302.600000119237</v>
      </c>
      <c r="AO164" s="372">
        <v>47351.000000114327</v>
      </c>
      <c r="AP164" s="372">
        <v>49348.200000119235</v>
      </c>
      <c r="AU164" s="427"/>
      <c r="AV164" s="410"/>
      <c r="AW164" s="442"/>
      <c r="AX164" s="441"/>
      <c r="AY164" s="441"/>
      <c r="AZ164" s="443"/>
      <c r="BB164" s="433"/>
      <c r="BC164" s="432"/>
      <c r="BD164" s="433"/>
      <c r="BE164" s="432"/>
      <c r="BF164" s="433"/>
      <c r="BG164" s="432"/>
      <c r="BH164" s="429"/>
    </row>
    <row r="165" spans="1:60" ht="13.8" thickBot="1" x14ac:dyDescent="0.3">
      <c r="A165" s="406">
        <v>42892</v>
      </c>
      <c r="B165" s="860">
        <f t="shared" si="46"/>
        <v>111.84809999999999</v>
      </c>
      <c r="C165" s="860">
        <f>Calculation!AK168</f>
        <v>78.214428471615719</v>
      </c>
      <c r="D165" s="860">
        <f>Calculation!AI168</f>
        <v>0</v>
      </c>
      <c r="E165" s="860">
        <f>Calculation!AE168</f>
        <v>47.802299999999995</v>
      </c>
      <c r="F165" s="860">
        <f>Calculation!AF168</f>
        <v>64.0458</v>
      </c>
      <c r="G165" s="860">
        <f>Calculation!AG168</f>
        <v>0</v>
      </c>
      <c r="H165" s="861">
        <f>Sheet1!H166</f>
        <v>1.6</v>
      </c>
      <c r="I165" s="841">
        <f>Sheet1!DA166</f>
        <v>1080</v>
      </c>
      <c r="J165" s="841">
        <f>Sheet1!DB166</f>
        <v>717</v>
      </c>
      <c r="K165" s="841">
        <f>Sheet1!CZ166</f>
        <v>809</v>
      </c>
      <c r="L165" s="865">
        <f>Calculation!F168</f>
        <v>250</v>
      </c>
      <c r="M165" s="865">
        <f>Calculation!E168</f>
        <v>250</v>
      </c>
      <c r="N165" s="865">
        <f>Calculation!D168</f>
        <v>300</v>
      </c>
      <c r="O165" s="888">
        <f>Sheet1!DC166</f>
        <v>1166.8699999999999</v>
      </c>
      <c r="P165" s="889" t="e">
        <f>Calculation!FD168</f>
        <v>#N/A</v>
      </c>
      <c r="Q165" s="895">
        <f>Calculation!DP168</f>
        <v>49110.40000011689</v>
      </c>
      <c r="R165" s="888">
        <f t="shared" si="35"/>
        <v>48491.40000011689</v>
      </c>
      <c r="S165" s="890">
        <f t="shared" si="47"/>
        <v>22.400000000001455</v>
      </c>
      <c r="T165" s="895">
        <f ca="1">IF(A165&gt;$A$1,#N/A,VLOOKUP(A165,Calculation!$B$8:$JO$503,40,FALSE))</f>
        <v>18229.461735242628</v>
      </c>
      <c r="U165" s="890">
        <f t="shared" si="48"/>
        <v>0</v>
      </c>
      <c r="V165" s="890">
        <f>Calculation!AZ168</f>
        <v>0</v>
      </c>
      <c r="W165" s="895">
        <f t="shared" ca="1" si="51"/>
        <v>5000</v>
      </c>
      <c r="X165" s="890">
        <v>0</v>
      </c>
      <c r="Y165" s="890">
        <f t="shared" ca="1" si="52"/>
        <v>2500</v>
      </c>
      <c r="Z165" s="890">
        <f t="shared" ca="1" si="53"/>
        <v>2500</v>
      </c>
      <c r="AA165" s="890">
        <f ca="1">IF(AB165&gt;=24257,Q165-T165-W165-24257,0)</f>
        <v>1623.9382648742612</v>
      </c>
      <c r="AB165" s="895">
        <f t="shared" ca="1" si="37"/>
        <v>24257</v>
      </c>
      <c r="AC165" s="980">
        <f t="shared" ca="1" si="36"/>
        <v>23638</v>
      </c>
      <c r="AD165" s="860" t="e">
        <f ca="1">IF(A165&gt;$A$1, #N/A,VLOOKUP(A165,Calculation!$B$8:$JO$880,165,FALSE))</f>
        <v>#N/A</v>
      </c>
      <c r="AE165" s="399" t="e">
        <f t="shared" ca="1" si="49"/>
        <v>#N/A</v>
      </c>
      <c r="AF165" s="399"/>
      <c r="AG165" s="841">
        <f>Calculation!G168</f>
        <v>820.29601613716659</v>
      </c>
      <c r="AH165" s="847" t="str">
        <f t="shared" si="50"/>
        <v>Yes</v>
      </c>
      <c r="AI165" s="847" t="str">
        <f>IF(Calculation!K168&gt;0,"Yes","No")</f>
        <v>Yes</v>
      </c>
      <c r="AJ165" s="869">
        <v>48369.100000114842</v>
      </c>
      <c r="AK165" s="870">
        <v>48053.300000115087</v>
      </c>
      <c r="AL165" s="870">
        <v>49518.900000118447</v>
      </c>
      <c r="AM165" s="912"/>
      <c r="AN165" s="372">
        <v>49485.000000118445</v>
      </c>
      <c r="AO165" s="372">
        <v>47351.000000114327</v>
      </c>
      <c r="AP165" s="372">
        <v>49291.200000119235</v>
      </c>
      <c r="AU165" s="427"/>
      <c r="AV165" s="410"/>
      <c r="AW165" s="442"/>
      <c r="AX165" s="441"/>
      <c r="AY165" s="441"/>
      <c r="AZ165" s="443"/>
      <c r="BB165" s="433"/>
      <c r="BC165" s="432"/>
      <c r="BD165" s="433"/>
      <c r="BE165" s="432"/>
      <c r="BF165" s="433"/>
      <c r="BG165" s="432"/>
      <c r="BH165" s="429"/>
    </row>
    <row r="166" spans="1:60" ht="13.8" thickBot="1" x14ac:dyDescent="0.3">
      <c r="A166" s="406">
        <v>42893</v>
      </c>
      <c r="B166" s="860">
        <f t="shared" si="46"/>
        <v>111.73980999999999</v>
      </c>
      <c r="C166" s="860">
        <f>Calculation!AK169</f>
        <v>83.680104289883275</v>
      </c>
      <c r="D166" s="860">
        <f>Calculation!AI169</f>
        <v>0</v>
      </c>
      <c r="E166" s="860">
        <f>Calculation!AE169</f>
        <v>47.957000000000001</v>
      </c>
      <c r="F166" s="860">
        <f>Calculation!AF169</f>
        <v>63.782809999999991</v>
      </c>
      <c r="G166" s="860">
        <f>Calculation!AG169</f>
        <v>0</v>
      </c>
      <c r="H166" s="861">
        <f>Sheet1!H167</f>
        <v>2.25</v>
      </c>
      <c r="I166" s="841">
        <f>Sheet1!DA167</f>
        <v>1020</v>
      </c>
      <c r="J166" s="841">
        <f>Sheet1!DB167</f>
        <v>852</v>
      </c>
      <c r="K166" s="841">
        <f>Sheet1!CZ167</f>
        <v>931</v>
      </c>
      <c r="L166" s="865">
        <f>Calculation!F169</f>
        <v>250</v>
      </c>
      <c r="M166" s="865">
        <f>Calculation!E169</f>
        <v>250</v>
      </c>
      <c r="N166" s="865">
        <f>Calculation!D169</f>
        <v>300</v>
      </c>
      <c r="O166" s="888">
        <f>Sheet1!DC167</f>
        <v>1166.8599999999999</v>
      </c>
      <c r="P166" s="889" t="e">
        <f>Calculation!FD169</f>
        <v>#N/A</v>
      </c>
      <c r="Q166" s="895">
        <f>Calculation!DP169</f>
        <v>49099.200000116885</v>
      </c>
      <c r="R166" s="888">
        <f t="shared" si="35"/>
        <v>48480.200000116885</v>
      </c>
      <c r="S166" s="890">
        <f t="shared" si="47"/>
        <v>-11.200000000004366</v>
      </c>
      <c r="T166" s="895">
        <f ca="1">IF(A166&gt;$A$1,#N/A,VLOOKUP(A166,Calculation!$B$8:$JO$503,40,FALSE))</f>
        <v>18395.415555515003</v>
      </c>
      <c r="U166" s="890">
        <f t="shared" si="48"/>
        <v>0</v>
      </c>
      <c r="V166" s="890">
        <f>Calculation!AZ169</f>
        <v>0</v>
      </c>
      <c r="W166" s="895">
        <f t="shared" ca="1" si="51"/>
        <v>5000</v>
      </c>
      <c r="X166" s="890">
        <v>0</v>
      </c>
      <c r="Y166" s="890">
        <f t="shared" ca="1" si="52"/>
        <v>2500</v>
      </c>
      <c r="Z166" s="890">
        <f t="shared" ca="1" si="53"/>
        <v>2500</v>
      </c>
      <c r="AA166" s="890">
        <f ca="1">IF(AB166&gt;=24257,Q166-T166-W166-24257,0)</f>
        <v>1446.7844446018826</v>
      </c>
      <c r="AB166" s="895">
        <f t="shared" ca="1" si="37"/>
        <v>24257</v>
      </c>
      <c r="AC166" s="980">
        <f t="shared" ca="1" si="36"/>
        <v>23638</v>
      </c>
      <c r="AD166" s="860" t="e">
        <f ca="1">IF(A166&gt;$A$1, #N/A,VLOOKUP(A166,Calculation!$B$8:$JO$880,165,FALSE))</f>
        <v>#N/A</v>
      </c>
      <c r="AE166" s="399" t="e">
        <f t="shared" ca="1" si="49"/>
        <v>#N/A</v>
      </c>
      <c r="AF166" s="399"/>
      <c r="AG166" s="841">
        <f>Calculation!G169</f>
        <v>925.35199193141489</v>
      </c>
      <c r="AH166" s="847" t="str">
        <f t="shared" si="50"/>
        <v>Yes</v>
      </c>
      <c r="AI166" s="847" t="str">
        <f>IF(Calculation!K169&gt;0,"Yes","No")</f>
        <v>Yes</v>
      </c>
      <c r="AJ166" s="869">
        <v>48636.700000115095</v>
      </c>
      <c r="AK166" s="870">
        <v>48232.700000117162</v>
      </c>
      <c r="AL166" s="870">
        <v>49598.000000119493</v>
      </c>
      <c r="AM166" s="912"/>
      <c r="AN166" s="372">
        <v>49485.000000118445</v>
      </c>
      <c r="AO166" s="372">
        <v>47239.00000011536</v>
      </c>
      <c r="AP166" s="372">
        <v>49302.600000119237</v>
      </c>
      <c r="AU166" s="427"/>
      <c r="AV166" s="410"/>
      <c r="AW166" s="442"/>
      <c r="AX166" s="441"/>
      <c r="AY166" s="441"/>
      <c r="AZ166" s="443"/>
      <c r="BB166" s="433"/>
      <c r="BC166" s="432"/>
      <c r="BD166" s="433"/>
      <c r="BE166" s="432"/>
      <c r="BF166" s="433"/>
      <c r="BG166" s="432"/>
      <c r="BH166" s="429"/>
    </row>
    <row r="167" spans="1:60" ht="13.8" thickBot="1" x14ac:dyDescent="0.3">
      <c r="A167" s="406">
        <v>42894</v>
      </c>
      <c r="B167" s="860">
        <f t="shared" si="46"/>
        <v>103.46335999999999</v>
      </c>
      <c r="C167" s="860">
        <f>Calculation!AK170</f>
        <v>78.920895973116771</v>
      </c>
      <c r="D167" s="860">
        <f>Calculation!AI170</f>
        <v>0</v>
      </c>
      <c r="E167" s="860">
        <f>Calculation!AE170</f>
        <v>47.957000000000001</v>
      </c>
      <c r="F167" s="860">
        <f>Calculation!AF170</f>
        <v>55.506360000000001</v>
      </c>
      <c r="G167" s="860">
        <f>Calculation!AG170</f>
        <v>0</v>
      </c>
      <c r="H167" s="861">
        <f>Sheet1!H168</f>
        <v>2.2000000000000002</v>
      </c>
      <c r="I167" s="841">
        <f>Sheet1!DA168</f>
        <v>1230</v>
      </c>
      <c r="J167" s="841">
        <f>Sheet1!DB168</f>
        <v>970</v>
      </c>
      <c r="K167" s="841">
        <f>Sheet1!CZ168</f>
        <v>1040</v>
      </c>
      <c r="L167" s="865">
        <f>Calculation!F170</f>
        <v>250</v>
      </c>
      <c r="M167" s="865">
        <f>Calculation!E170</f>
        <v>250</v>
      </c>
      <c r="N167" s="865">
        <f>Calculation!D170</f>
        <v>300</v>
      </c>
      <c r="O167" s="888">
        <f>Sheet1!DC168</f>
        <v>1166.9100000000001</v>
      </c>
      <c r="P167" s="889" t="e">
        <f>Calculation!FD170</f>
        <v>#N/A</v>
      </c>
      <c r="Q167" s="895">
        <f>Calculation!DP170</f>
        <v>49155.300000118186</v>
      </c>
      <c r="R167" s="888">
        <f t="shared" si="35"/>
        <v>48536.300000118186</v>
      </c>
      <c r="S167" s="890">
        <f t="shared" si="47"/>
        <v>56.100000001300941</v>
      </c>
      <c r="T167" s="895">
        <f ca="1">IF(A167&gt;$A$1,#N/A,VLOOKUP(A167,Calculation!$B$8:$JO$503,40,FALSE))</f>
        <v>18551.930945848242</v>
      </c>
      <c r="U167" s="890">
        <f t="shared" si="48"/>
        <v>0</v>
      </c>
      <c r="V167" s="890">
        <f>Calculation!AZ170</f>
        <v>0</v>
      </c>
      <c r="W167" s="895">
        <f t="shared" ca="1" si="51"/>
        <v>5000</v>
      </c>
      <c r="X167" s="890">
        <v>0</v>
      </c>
      <c r="Y167" s="890">
        <f t="shared" ca="1" si="52"/>
        <v>2500</v>
      </c>
      <c r="Z167" s="890">
        <f t="shared" ca="1" si="53"/>
        <v>2500</v>
      </c>
      <c r="AA167" s="890">
        <f ca="1">IF(AB167&gt;=24257,Q167-T167-W167-24257,0)</f>
        <v>1346.3690542699442</v>
      </c>
      <c r="AB167" s="895">
        <f t="shared" ca="1" si="37"/>
        <v>24257</v>
      </c>
      <c r="AC167" s="980">
        <f t="shared" ca="1" si="36"/>
        <v>23638</v>
      </c>
      <c r="AD167" s="860" t="e">
        <f ca="1">IF(A167&gt;$A$1, #N/A,VLOOKUP(A167,Calculation!$B$8:$JO$880,165,FALSE))</f>
        <v>#N/A</v>
      </c>
      <c r="AE167" s="399" t="e">
        <f t="shared" ca="1" si="49"/>
        <v>#N/A</v>
      </c>
      <c r="AF167" s="399"/>
      <c r="AG167" s="841">
        <f>Calculation!G170</f>
        <v>1068.2904689870404</v>
      </c>
      <c r="AH167" s="847" t="str">
        <f t="shared" si="50"/>
        <v>Yes</v>
      </c>
      <c r="AI167" s="847" t="str">
        <f>IF(Calculation!K170&gt;0,"Yes","No")</f>
        <v>Yes</v>
      </c>
      <c r="AJ167" s="869">
        <v>48781.6500001151</v>
      </c>
      <c r="AK167" s="870">
        <v>48525.000000116379</v>
      </c>
      <c r="AL167" s="870">
        <v>49586.700000118442</v>
      </c>
      <c r="AM167" s="912"/>
      <c r="AN167" s="372">
        <v>49496.300000118448</v>
      </c>
      <c r="AO167" s="372">
        <v>47261.400000115362</v>
      </c>
      <c r="AP167" s="372">
        <v>49279.800000119234</v>
      </c>
      <c r="AU167" s="427"/>
      <c r="AV167" s="410"/>
      <c r="AW167" s="442"/>
      <c r="AX167" s="441"/>
      <c r="AY167" s="441"/>
      <c r="AZ167" s="443"/>
      <c r="BB167" s="433"/>
      <c r="BC167" s="432"/>
      <c r="BD167" s="433"/>
      <c r="BE167" s="432"/>
      <c r="BF167" s="433"/>
      <c r="BG167" s="432"/>
      <c r="BH167" s="429"/>
    </row>
    <row r="168" spans="1:60" ht="13.8" thickBot="1" x14ac:dyDescent="0.3">
      <c r="A168" s="406">
        <v>42895</v>
      </c>
      <c r="B168" s="860">
        <f t="shared" si="46"/>
        <v>99.162700000000001</v>
      </c>
      <c r="C168" s="860">
        <f>Calculation!AK171</f>
        <v>80.432902918011607</v>
      </c>
      <c r="D168" s="860">
        <f>Calculation!AI171</f>
        <v>0</v>
      </c>
      <c r="E168" s="860">
        <f>Calculation!AE171</f>
        <v>47.957000000000001</v>
      </c>
      <c r="F168" s="860">
        <f>Calculation!AF171</f>
        <v>51.2057</v>
      </c>
      <c r="G168" s="860">
        <f>Calculation!AG171</f>
        <v>0</v>
      </c>
      <c r="H168" s="861">
        <f>Sheet1!H169</f>
        <v>1.43</v>
      </c>
      <c r="I168" s="841">
        <f>Sheet1!DA169</f>
        <v>1230</v>
      </c>
      <c r="J168" s="841">
        <f>Sheet1!DB169</f>
        <v>866</v>
      </c>
      <c r="K168" s="841">
        <f>Sheet1!CZ169</f>
        <v>941</v>
      </c>
      <c r="L168" s="865">
        <f>Calculation!F171</f>
        <v>250</v>
      </c>
      <c r="M168" s="865">
        <f>Calculation!E171</f>
        <v>250</v>
      </c>
      <c r="N168" s="865">
        <f>Calculation!D171</f>
        <v>300</v>
      </c>
      <c r="O168" s="888">
        <f>Sheet1!DC169</f>
        <v>1166.8900000000001</v>
      </c>
      <c r="P168" s="889" t="e">
        <f>Calculation!FD171</f>
        <v>#N/A</v>
      </c>
      <c r="Q168" s="895">
        <f>Calculation!DP171</f>
        <v>49132.800000117146</v>
      </c>
      <c r="R168" s="888">
        <f t="shared" si="35"/>
        <v>48513.800000117146</v>
      </c>
      <c r="S168" s="890">
        <f t="shared" si="47"/>
        <v>-22.500000001040462</v>
      </c>
      <c r="T168" s="895">
        <f ca="1">IF(A168&gt;$A$1,#N/A,VLOOKUP(A168,Calculation!$B$8:$JO$503,40,FALSE))</f>
        <v>18711.444938189845</v>
      </c>
      <c r="U168" s="890">
        <f t="shared" si="48"/>
        <v>0</v>
      </c>
      <c r="V168" s="890">
        <f>Calculation!AZ171</f>
        <v>0</v>
      </c>
      <c r="W168" s="895">
        <f t="shared" ca="1" si="51"/>
        <v>5000</v>
      </c>
      <c r="X168" s="890">
        <v>0</v>
      </c>
      <c r="Y168" s="890">
        <f t="shared" ca="1" si="52"/>
        <v>2500</v>
      </c>
      <c r="Z168" s="890">
        <f t="shared" ca="1" si="53"/>
        <v>2500</v>
      </c>
      <c r="AA168" s="890">
        <f ca="1">IF(AB168&gt;=24257,Q168-T168-W168-24257,0)</f>
        <v>1164.355061927301</v>
      </c>
      <c r="AB168" s="895">
        <f t="shared" ca="1" si="37"/>
        <v>24257</v>
      </c>
      <c r="AC168" s="980">
        <f t="shared" ca="1" si="36"/>
        <v>23638</v>
      </c>
      <c r="AD168" s="860" t="e">
        <f ca="1">IF(A168&gt;$A$1, #N/A,VLOOKUP(A168,Calculation!$B$8:$JO$880,165,FALSE))</f>
        <v>#N/A</v>
      </c>
      <c r="AE168" s="399" t="e">
        <f t="shared" ca="1" si="49"/>
        <v>#N/A</v>
      </c>
      <c r="AF168" s="399"/>
      <c r="AG168" s="841">
        <f>Calculation!G171</f>
        <v>929.65355521883987</v>
      </c>
      <c r="AH168" s="847" t="str">
        <f t="shared" si="50"/>
        <v>Yes</v>
      </c>
      <c r="AI168" s="847" t="str">
        <f>IF(Calculation!K171&gt;0,"Yes","No")</f>
        <v>Yes</v>
      </c>
      <c r="AJ168" s="869">
        <v>48748.200000115095</v>
      </c>
      <c r="AK168" s="870">
        <v>48907.800000116891</v>
      </c>
      <c r="AL168" s="870">
        <v>49462.200000119497</v>
      </c>
      <c r="AM168" s="912"/>
      <c r="AN168" s="372">
        <v>49462.200000119497</v>
      </c>
      <c r="AO168" s="372">
        <v>47239.00000011536</v>
      </c>
      <c r="AP168" s="372">
        <v>49291.200000119235</v>
      </c>
      <c r="AU168" s="427"/>
      <c r="AV168" s="410"/>
      <c r="AW168" s="442"/>
      <c r="AX168" s="441"/>
      <c r="AY168" s="441"/>
      <c r="AZ168" s="443"/>
      <c r="BB168" s="433"/>
      <c r="BC168" s="432"/>
      <c r="BD168" s="433"/>
      <c r="BE168" s="432"/>
      <c r="BF168" s="433"/>
      <c r="BG168" s="432"/>
      <c r="BH168" s="429"/>
    </row>
    <row r="169" spans="1:60" ht="13.8" thickBot="1" x14ac:dyDescent="0.3">
      <c r="A169" s="406">
        <v>42896</v>
      </c>
      <c r="B169" s="860">
        <f t="shared" si="46"/>
        <v>93.438799999999986</v>
      </c>
      <c r="C169" s="860">
        <f>Calculation!AK172</f>
        <v>79.826816817102141</v>
      </c>
      <c r="D169" s="860">
        <f>Calculation!AI172</f>
        <v>0</v>
      </c>
      <c r="E169" s="860">
        <f>Calculation!AE172</f>
        <v>47.957000000000001</v>
      </c>
      <c r="F169" s="860">
        <f>Calculation!AF172</f>
        <v>45.481799999999993</v>
      </c>
      <c r="G169" s="860">
        <f>Calculation!AG172</f>
        <v>0</v>
      </c>
      <c r="H169" s="861">
        <f>Sheet1!H170</f>
        <v>1.3</v>
      </c>
      <c r="I169" s="841">
        <f>Sheet1!DA170</f>
        <v>1200</v>
      </c>
      <c r="J169" s="841">
        <f>Sheet1!DB170</f>
        <v>885</v>
      </c>
      <c r="K169" s="841">
        <f>Sheet1!CZ170</f>
        <v>941</v>
      </c>
      <c r="L169" s="865">
        <f>Calculation!F172</f>
        <v>250</v>
      </c>
      <c r="M169" s="865">
        <f>Calculation!E172</f>
        <v>250</v>
      </c>
      <c r="N169" s="865">
        <f>Calculation!D172</f>
        <v>300</v>
      </c>
      <c r="O169" s="888">
        <f>Sheet1!DC170</f>
        <v>1166.75</v>
      </c>
      <c r="P169" s="889" t="e">
        <f>Calculation!FD172</f>
        <v>#N/A</v>
      </c>
      <c r="Q169" s="895">
        <f>Calculation!DP172</f>
        <v>48975.500000117929</v>
      </c>
      <c r="R169" s="888">
        <f t="shared" si="35"/>
        <v>48356.500000117929</v>
      </c>
      <c r="S169" s="890">
        <f t="shared" si="47"/>
        <v>-157.29999999921711</v>
      </c>
      <c r="T169" s="895">
        <f ca="1">IF(A169&gt;$A$1,#N/A,VLOOKUP(A169,Calculation!$B$8:$JO$503,40,FALSE))</f>
        <v>18869.756944650653</v>
      </c>
      <c r="U169" s="890">
        <f t="shared" si="48"/>
        <v>0</v>
      </c>
      <c r="V169" s="890">
        <f>Calculation!AZ172</f>
        <v>0</v>
      </c>
      <c r="W169" s="895">
        <f t="shared" ca="1" si="51"/>
        <v>5000</v>
      </c>
      <c r="X169" s="890">
        <v>0</v>
      </c>
      <c r="Y169" s="890">
        <f t="shared" ca="1" si="52"/>
        <v>2500</v>
      </c>
      <c r="Z169" s="890">
        <f t="shared" ca="1" si="53"/>
        <v>2500</v>
      </c>
      <c r="AA169" s="890">
        <f t="shared" ref="AA169:AA228" ca="1" si="54">IF(AB169&gt;=24257,Q169-T169-W169-24257,0)</f>
        <v>848.74305546727555</v>
      </c>
      <c r="AB169" s="895">
        <f t="shared" ca="1" si="37"/>
        <v>24257</v>
      </c>
      <c r="AC169" s="980">
        <f t="shared" ca="1" si="36"/>
        <v>23638</v>
      </c>
      <c r="AD169" s="860" t="e">
        <f ca="1">IF(A169&gt;$A$1, #N/A,VLOOKUP(A169,Calculation!$B$8:$JO$880,165,FALSE))</f>
        <v>#N/A</v>
      </c>
      <c r="AE169" s="399" t="e">
        <f t="shared" ca="1" si="49"/>
        <v>#N/A</v>
      </c>
      <c r="AF169" s="399"/>
      <c r="AG169" s="841">
        <f>Calculation!G172</f>
        <v>861.67574382288603</v>
      </c>
      <c r="AH169" s="847" t="str">
        <f t="shared" si="50"/>
        <v>Yes</v>
      </c>
      <c r="AI169" s="847" t="str">
        <f>IF(Calculation!K172&gt;0,"Yes","No")</f>
        <v>Yes</v>
      </c>
      <c r="AJ169" s="869">
        <v>49105.000000115353</v>
      </c>
      <c r="AK169" s="870">
        <v>49314.000000119238</v>
      </c>
      <c r="AL169" s="870">
        <v>49359.600000119237</v>
      </c>
      <c r="AM169" s="912"/>
      <c r="AN169" s="372">
        <v>49382.400000119233</v>
      </c>
      <c r="AO169" s="372">
        <v>47194.600000114333</v>
      </c>
      <c r="AP169" s="372">
        <v>49359.600000119237</v>
      </c>
      <c r="AU169" s="427"/>
      <c r="AV169" s="410"/>
      <c r="AW169" s="442"/>
      <c r="AX169" s="441"/>
      <c r="AY169" s="441"/>
      <c r="AZ169" s="443"/>
      <c r="BB169" s="433"/>
      <c r="BC169" s="432"/>
      <c r="BD169" s="433"/>
      <c r="BE169" s="432"/>
      <c r="BF169" s="433"/>
      <c r="BG169" s="432"/>
      <c r="BH169" s="429"/>
    </row>
    <row r="170" spans="1:60" ht="13.8" thickBot="1" x14ac:dyDescent="0.3">
      <c r="A170" s="406">
        <v>42897</v>
      </c>
      <c r="B170" s="860">
        <f t="shared" si="46"/>
        <v>93.438799999999986</v>
      </c>
      <c r="C170" s="860">
        <f>Calculation!AK173</f>
        <v>79.116379854379034</v>
      </c>
      <c r="D170" s="860">
        <f>Calculation!AI173</f>
        <v>0</v>
      </c>
      <c r="E170" s="860">
        <f>Calculation!AE173</f>
        <v>47.957000000000001</v>
      </c>
      <c r="F170" s="860">
        <f>Calculation!AF173</f>
        <v>45.481799999999993</v>
      </c>
      <c r="G170" s="860">
        <f>Calculation!AG173</f>
        <v>0</v>
      </c>
      <c r="H170" s="861">
        <f>Sheet1!H171</f>
        <v>1.22</v>
      </c>
      <c r="I170" s="841">
        <f>Sheet1!DA171</f>
        <v>977</v>
      </c>
      <c r="J170" s="841">
        <f>Sheet1!DB171</f>
        <v>656</v>
      </c>
      <c r="K170" s="841">
        <f>Sheet1!CZ171</f>
        <v>709</v>
      </c>
      <c r="L170" s="865">
        <f>Calculation!F173</f>
        <v>250</v>
      </c>
      <c r="M170" s="865">
        <f>Calculation!E173</f>
        <v>250</v>
      </c>
      <c r="N170" s="865">
        <f>Calculation!D173</f>
        <v>300</v>
      </c>
      <c r="O170" s="888">
        <f>Sheet1!DC171</f>
        <v>1166.6300000000001</v>
      </c>
      <c r="P170" s="889" t="e">
        <f>Calculation!FD173</f>
        <v>#N/A</v>
      </c>
      <c r="Q170" s="895">
        <f>Calculation!DP173</f>
        <v>48840.600000116887</v>
      </c>
      <c r="R170" s="888">
        <f t="shared" si="35"/>
        <v>48221.600000116887</v>
      </c>
      <c r="S170" s="890">
        <f t="shared" si="47"/>
        <v>-134.90000000104192</v>
      </c>
      <c r="T170" s="895">
        <f ca="1">IF(A170&gt;$A$1,#N/A,VLOOKUP(A170,Calculation!$B$8:$JO$503,40,FALSE))</f>
        <v>19037.652500589331</v>
      </c>
      <c r="U170" s="890">
        <f t="shared" si="48"/>
        <v>0</v>
      </c>
      <c r="V170" s="890">
        <f>Calculation!AZ173</f>
        <v>0</v>
      </c>
      <c r="W170" s="895">
        <f t="shared" ca="1" si="51"/>
        <v>5000</v>
      </c>
      <c r="X170" s="890">
        <v>0</v>
      </c>
      <c r="Y170" s="890">
        <f t="shared" ca="1" si="52"/>
        <v>2500</v>
      </c>
      <c r="Z170" s="890">
        <f t="shared" ca="1" si="53"/>
        <v>2500</v>
      </c>
      <c r="AA170" s="890">
        <f t="shared" ca="1" si="54"/>
        <v>545.94749952755592</v>
      </c>
      <c r="AB170" s="895">
        <f t="shared" ca="1" si="37"/>
        <v>24257</v>
      </c>
      <c r="AC170" s="980">
        <f t="shared" ca="1" si="36"/>
        <v>23638</v>
      </c>
      <c r="AD170" s="860" t="e">
        <f ca="1">IF(A170&gt;$A$1, #N/A,VLOOKUP(A170,Calculation!$B$8:$JO$880,165,FALSE))</f>
        <v>#N/A</v>
      </c>
      <c r="AE170" s="399" t="e">
        <f t="shared" ca="1" si="49"/>
        <v>#N/A</v>
      </c>
      <c r="AF170" s="399"/>
      <c r="AG170" s="841">
        <f>Calculation!G173</f>
        <v>640.97175995913165</v>
      </c>
      <c r="AH170" s="847" t="str">
        <f t="shared" si="50"/>
        <v>Yes</v>
      </c>
      <c r="AI170" s="847" t="str">
        <f>IF(Calculation!K173&gt;0,"Yes","No")</f>
        <v>Yes</v>
      </c>
      <c r="AJ170" s="869">
        <v>49598.240000117003</v>
      </c>
      <c r="AK170" s="870">
        <v>49575.400000118447</v>
      </c>
      <c r="AL170" s="870">
        <v>49336.800000119234</v>
      </c>
      <c r="AM170" s="912"/>
      <c r="AN170" s="372">
        <v>49257.000000119238</v>
      </c>
      <c r="AO170" s="372">
        <v>47172.400000114329</v>
      </c>
      <c r="AP170" s="372">
        <v>49473.600000119492</v>
      </c>
      <c r="AU170" s="427"/>
      <c r="AV170" s="410"/>
      <c r="AW170" s="442"/>
      <c r="AX170" s="441"/>
      <c r="AY170" s="441"/>
      <c r="AZ170" s="443"/>
      <c r="BB170" s="433"/>
      <c r="BC170" s="432"/>
      <c r="BD170" s="433"/>
      <c r="BE170" s="432"/>
      <c r="BF170" s="433"/>
      <c r="BG170" s="432"/>
      <c r="BH170" s="429"/>
    </row>
    <row r="171" spans="1:60" ht="13.8" thickBot="1" x14ac:dyDescent="0.3">
      <c r="A171" s="406">
        <v>42898</v>
      </c>
      <c r="B171" s="860">
        <f t="shared" si="46"/>
        <v>100.19918999999999</v>
      </c>
      <c r="C171" s="860">
        <f>Calculation!AK174</f>
        <v>78.605863323335342</v>
      </c>
      <c r="D171" s="860">
        <f>Calculation!AI174</f>
        <v>0</v>
      </c>
      <c r="E171" s="860">
        <f>Calculation!AE174</f>
        <v>47.910589999999999</v>
      </c>
      <c r="F171" s="860">
        <f>Calculation!AF174</f>
        <v>52.288599999999995</v>
      </c>
      <c r="G171" s="860">
        <f>Calculation!AG174</f>
        <v>0</v>
      </c>
      <c r="H171" s="861">
        <f>Sheet1!H172</f>
        <v>2.2799999999999998</v>
      </c>
      <c r="I171" s="841">
        <f>Sheet1!DA172</f>
        <v>876</v>
      </c>
      <c r="J171" s="841">
        <f>Sheet1!DB172</f>
        <v>543</v>
      </c>
      <c r="K171" s="841">
        <f>Sheet1!CZ172</f>
        <v>608</v>
      </c>
      <c r="L171" s="865">
        <f>Calculation!F174</f>
        <v>250</v>
      </c>
      <c r="M171" s="865">
        <f>Calculation!E174</f>
        <v>250</v>
      </c>
      <c r="N171" s="865">
        <f>Calculation!D174</f>
        <v>300</v>
      </c>
      <c r="O171" s="888">
        <f>Sheet1!DC172</f>
        <v>1166.71</v>
      </c>
      <c r="P171" s="889" t="e">
        <f>Calculation!FD174</f>
        <v>#N/A</v>
      </c>
      <c r="Q171" s="895">
        <f>Calculation!DP174</f>
        <v>48930.300000117932</v>
      </c>
      <c r="R171" s="888">
        <f t="shared" si="35"/>
        <v>48311.300000117932</v>
      </c>
      <c r="S171" s="890">
        <f t="shared" si="47"/>
        <v>89.700000001044828</v>
      </c>
      <c r="T171" s="895">
        <f ca="1">IF(A171&gt;$A$1,#N/A,VLOOKUP(A171,Calculation!$B$8:$JO$503,40,FALSE))</f>
        <v>19193.543120289389</v>
      </c>
      <c r="U171" s="890">
        <f t="shared" si="48"/>
        <v>0</v>
      </c>
      <c r="V171" s="890">
        <f>Calculation!AZ174</f>
        <v>0</v>
      </c>
      <c r="W171" s="895">
        <f t="shared" ca="1" si="51"/>
        <v>5000</v>
      </c>
      <c r="X171" s="890">
        <v>0</v>
      </c>
      <c r="Y171" s="890">
        <f t="shared" ca="1" si="52"/>
        <v>2500</v>
      </c>
      <c r="Z171" s="890">
        <f t="shared" ca="1" si="53"/>
        <v>2500</v>
      </c>
      <c r="AA171" s="890">
        <f t="shared" ca="1" si="54"/>
        <v>479.75687982854288</v>
      </c>
      <c r="AB171" s="895">
        <f t="shared" ca="1" si="37"/>
        <v>24257</v>
      </c>
      <c r="AC171" s="980">
        <f t="shared" ca="1" si="36"/>
        <v>23638</v>
      </c>
      <c r="AD171" s="860" t="e">
        <f ca="1">IF(A171&gt;$A$1, #N/A,VLOOKUP(A171,Calculation!$B$8:$JO$880,165,FALSE))</f>
        <v>#N/A</v>
      </c>
      <c r="AE171" s="399" t="e">
        <f t="shared" ca="1" si="49"/>
        <v>#N/A</v>
      </c>
      <c r="AF171" s="399"/>
      <c r="AG171" s="841">
        <f>Calculation!G174</f>
        <v>653.23449319266001</v>
      </c>
      <c r="AH171" s="847" t="str">
        <f t="shared" si="50"/>
        <v>Yes</v>
      </c>
      <c r="AI171" s="847" t="str">
        <f>IF(Calculation!K174&gt;0,"Yes","No")</f>
        <v>Yes</v>
      </c>
      <c r="AJ171" s="869">
        <v>49778.400000117261</v>
      </c>
      <c r="AK171" s="870">
        <v>49530.200000118442</v>
      </c>
      <c r="AL171" s="870">
        <v>49291.200000119235</v>
      </c>
      <c r="AM171" s="912"/>
      <c r="AN171" s="372">
        <v>49155.300000118186</v>
      </c>
      <c r="AO171" s="372">
        <v>47128.00000011408</v>
      </c>
      <c r="AP171" s="372">
        <v>49507.600000118444</v>
      </c>
      <c r="AU171" s="427"/>
      <c r="AV171" s="410"/>
      <c r="AW171" s="442"/>
      <c r="AX171" s="441"/>
      <c r="AY171" s="441"/>
      <c r="AZ171" s="443"/>
      <c r="BB171" s="433"/>
      <c r="BC171" s="432"/>
      <c r="BD171" s="433"/>
      <c r="BE171" s="432"/>
      <c r="BF171" s="433"/>
      <c r="BG171" s="432"/>
      <c r="BH171" s="429"/>
    </row>
    <row r="172" spans="1:60" ht="13.8" thickBot="1" x14ac:dyDescent="0.3">
      <c r="A172" s="406">
        <v>42899</v>
      </c>
      <c r="B172" s="860">
        <f t="shared" si="46"/>
        <v>103.72635</v>
      </c>
      <c r="C172" s="860">
        <f>Calculation!AK175</f>
        <v>78.655061603563468</v>
      </c>
      <c r="D172" s="860">
        <f>Calculation!AI175</f>
        <v>0</v>
      </c>
      <c r="E172" s="860">
        <f>Calculation!AE175</f>
        <v>47.848709999999997</v>
      </c>
      <c r="F172" s="860">
        <f>Calculation!AF175</f>
        <v>55.877639999999992</v>
      </c>
      <c r="G172" s="860">
        <f>Calculation!AG175</f>
        <v>0</v>
      </c>
      <c r="H172" s="861">
        <f>Sheet1!H173</f>
        <v>3.43</v>
      </c>
      <c r="I172" s="841">
        <f>Sheet1!DA173</f>
        <v>804</v>
      </c>
      <c r="J172" s="841">
        <f>Sheet1!DB173</f>
        <v>539</v>
      </c>
      <c r="K172" s="841">
        <f>Sheet1!CZ173</f>
        <v>608</v>
      </c>
      <c r="L172" s="865">
        <f>Calculation!F175</f>
        <v>250</v>
      </c>
      <c r="M172" s="865">
        <f>Calculation!E175</f>
        <v>250</v>
      </c>
      <c r="N172" s="865">
        <f>Calculation!D175</f>
        <v>300</v>
      </c>
      <c r="O172" s="888">
        <f>Sheet1!DC173</f>
        <v>1166.81</v>
      </c>
      <c r="P172" s="889" t="e">
        <f>Calculation!FD175</f>
        <v>#N/A</v>
      </c>
      <c r="Q172" s="895">
        <f>Calculation!DP175</f>
        <v>49043.200000116885</v>
      </c>
      <c r="R172" s="888">
        <f t="shared" si="35"/>
        <v>48424.200000116885</v>
      </c>
      <c r="S172" s="890">
        <f t="shared" si="47"/>
        <v>112.89999999895372</v>
      </c>
      <c r="T172" s="895">
        <f ca="1">IF(A172&gt;$A$1,#N/A,VLOOKUP(A172,Calculation!$B$8:$JO$503,40,FALSE))</f>
        <v>19349.531309688053</v>
      </c>
      <c r="U172" s="890">
        <f t="shared" si="48"/>
        <v>0</v>
      </c>
      <c r="V172" s="890">
        <f>Calculation!AZ175</f>
        <v>0</v>
      </c>
      <c r="W172" s="895">
        <f t="shared" ca="1" si="51"/>
        <v>5000</v>
      </c>
      <c r="X172" s="890">
        <v>0</v>
      </c>
      <c r="Y172" s="890">
        <f t="shared" ca="1" si="52"/>
        <v>2500</v>
      </c>
      <c r="Z172" s="890">
        <f t="shared" ca="1" si="53"/>
        <v>2500</v>
      </c>
      <c r="AA172" s="890">
        <f t="shared" ca="1" si="54"/>
        <v>436.66869042883263</v>
      </c>
      <c r="AB172" s="895">
        <f t="shared" ca="1" si="37"/>
        <v>24257</v>
      </c>
      <c r="AC172" s="980">
        <f t="shared" ca="1" si="36"/>
        <v>23638</v>
      </c>
      <c r="AD172" s="860" t="e">
        <f ca="1">IF(A172&gt;$A$1, #N/A,VLOOKUP(A172,Calculation!$B$8:$JO$880,165,FALSE))</f>
        <v>#N/A</v>
      </c>
      <c r="AE172" s="399" t="e">
        <f t="shared" ca="1" si="49"/>
        <v>#N/A</v>
      </c>
      <c r="AF172" s="399"/>
      <c r="AG172" s="841">
        <f>Calculation!G175</f>
        <v>664.93393847652737</v>
      </c>
      <c r="AH172" s="847" t="str">
        <f t="shared" si="50"/>
        <v>Yes</v>
      </c>
      <c r="AI172" s="847" t="str">
        <f>IF(Calculation!K175&gt;0,"Yes","No")</f>
        <v>Yes</v>
      </c>
      <c r="AJ172" s="869">
        <v>49969.820000117259</v>
      </c>
      <c r="AK172" s="870">
        <v>49257.000000119238</v>
      </c>
      <c r="AL172" s="870">
        <v>49211.800000118186</v>
      </c>
      <c r="AM172" s="912"/>
      <c r="AN172" s="372">
        <v>49359.600000119237</v>
      </c>
      <c r="AO172" s="372">
        <v>47128.00000011408</v>
      </c>
      <c r="AP172" s="372">
        <v>49541.500000118445</v>
      </c>
      <c r="AU172" s="427"/>
      <c r="AV172" s="410"/>
      <c r="AW172" s="442"/>
      <c r="AX172" s="441"/>
      <c r="AY172" s="441"/>
      <c r="AZ172" s="443"/>
      <c r="BB172" s="433"/>
      <c r="BC172" s="432"/>
      <c r="BD172" s="433"/>
      <c r="BE172" s="432"/>
      <c r="BF172" s="433"/>
      <c r="BG172" s="432"/>
      <c r="BH172" s="429"/>
    </row>
    <row r="173" spans="1:60" ht="13.8" thickBot="1" x14ac:dyDescent="0.3">
      <c r="A173" s="406">
        <v>42900</v>
      </c>
      <c r="B173" s="860">
        <f t="shared" si="46"/>
        <v>106.80488</v>
      </c>
      <c r="C173" s="860">
        <f>Calculation!AK176</f>
        <v>79.028541903506465</v>
      </c>
      <c r="D173" s="860">
        <f>Calculation!AI176</f>
        <v>0</v>
      </c>
      <c r="E173" s="860">
        <f>Calculation!AE176</f>
        <v>48.018879999999996</v>
      </c>
      <c r="F173" s="860">
        <f>Calculation!AF176</f>
        <v>58.785999999999994</v>
      </c>
      <c r="G173" s="860">
        <f>Calculation!AG176</f>
        <v>0</v>
      </c>
      <c r="H173" s="861">
        <f>Sheet1!H174</f>
        <v>1.78</v>
      </c>
      <c r="I173" s="841">
        <f>Sheet1!DA174</f>
        <v>798</v>
      </c>
      <c r="J173" s="841">
        <f>Sheet1!DB174</f>
        <v>539</v>
      </c>
      <c r="K173" s="841">
        <f>Sheet1!CZ174</f>
        <v>608</v>
      </c>
      <c r="L173" s="865">
        <f>Calculation!F176</f>
        <v>250</v>
      </c>
      <c r="M173" s="865">
        <f>Calculation!E176</f>
        <v>250</v>
      </c>
      <c r="N173" s="865">
        <f>Calculation!D176</f>
        <v>300</v>
      </c>
      <c r="O173" s="888">
        <f>Sheet1!DC174</f>
        <v>1166.8499999999999</v>
      </c>
      <c r="P173" s="889" t="e">
        <f>Calculation!FD176</f>
        <v>#N/A</v>
      </c>
      <c r="Q173" s="895">
        <f>Calculation!DP176</f>
        <v>49088.000000116888</v>
      </c>
      <c r="R173" s="888">
        <f t="shared" si="35"/>
        <v>48469.000000116888</v>
      </c>
      <c r="S173" s="890">
        <f t="shared" si="47"/>
        <v>44.80000000000291</v>
      </c>
      <c r="T173" s="895">
        <f ca="1">IF(A173&gt;$A$1,#N/A,VLOOKUP(A173,Calculation!$B$8:$JO$503,40,FALSE))</f>
        <v>19506.26018270677</v>
      </c>
      <c r="U173" s="890">
        <f t="shared" si="48"/>
        <v>0</v>
      </c>
      <c r="V173" s="890">
        <f>Calculation!AZ176</f>
        <v>0</v>
      </c>
      <c r="W173" s="895">
        <f t="shared" ca="1" si="51"/>
        <v>5000</v>
      </c>
      <c r="X173" s="890">
        <v>0</v>
      </c>
      <c r="Y173" s="890">
        <f t="shared" ca="1" si="52"/>
        <v>2500</v>
      </c>
      <c r="Z173" s="890">
        <f t="shared" ca="1" si="53"/>
        <v>2500</v>
      </c>
      <c r="AA173" s="890">
        <f t="shared" ca="1" si="54"/>
        <v>324.73981741011812</v>
      </c>
      <c r="AB173" s="895">
        <f t="shared" ca="1" si="37"/>
        <v>24257</v>
      </c>
      <c r="AC173" s="980">
        <f t="shared" ca="1" si="36"/>
        <v>23638</v>
      </c>
      <c r="AD173" s="860" t="e">
        <f ca="1">IF(A173&gt;$A$1, #N/A,VLOOKUP(A173,Calculation!$B$8:$JO$880,165,FALSE))</f>
        <v>#N/A</v>
      </c>
      <c r="AE173" s="399" t="e">
        <f t="shared" ca="1" si="49"/>
        <v>#N/A</v>
      </c>
      <c r="AF173" s="399"/>
      <c r="AG173" s="841">
        <f>Calculation!G176</f>
        <v>630.59203227433329</v>
      </c>
      <c r="AH173" s="847" t="str">
        <f t="shared" si="50"/>
        <v>Yes</v>
      </c>
      <c r="AI173" s="847" t="str">
        <f>IF(Calculation!K176&gt;0,"Yes","No")</f>
        <v>Yes</v>
      </c>
      <c r="AJ173" s="869">
        <v>50262.580000117516</v>
      </c>
      <c r="AK173" s="870">
        <v>49245.700000118188</v>
      </c>
      <c r="AL173" s="870">
        <v>49268.400000119233</v>
      </c>
      <c r="AM173" s="912"/>
      <c r="AN173" s="372">
        <v>49405.200000119497</v>
      </c>
      <c r="AO173" s="372">
        <v>47128.00000011408</v>
      </c>
      <c r="AP173" s="372">
        <v>49643.600000119492</v>
      </c>
      <c r="AU173" s="427"/>
      <c r="AV173" s="410"/>
      <c r="AW173" s="442"/>
      <c r="AX173" s="441"/>
      <c r="AY173" s="441"/>
      <c r="AZ173" s="443"/>
      <c r="BB173" s="433"/>
      <c r="BC173" s="432"/>
      <c r="BD173" s="433"/>
      <c r="BE173" s="432"/>
      <c r="BF173" s="433"/>
      <c r="BG173" s="432"/>
      <c r="BH173" s="429"/>
    </row>
    <row r="174" spans="1:60" ht="13.8" thickBot="1" x14ac:dyDescent="0.3">
      <c r="A174" s="406">
        <v>42901</v>
      </c>
      <c r="B174" s="860">
        <f t="shared" si="46"/>
        <v>109.69776999999999</v>
      </c>
      <c r="C174" s="860">
        <f>Calculation!AK177</f>
        <v>79.108180844966924</v>
      </c>
      <c r="D174" s="860">
        <f>Calculation!AI177</f>
        <v>0</v>
      </c>
      <c r="E174" s="860">
        <f>Calculation!AE177</f>
        <v>46.657519999999998</v>
      </c>
      <c r="F174" s="860">
        <f>Calculation!AF177</f>
        <v>63.04025</v>
      </c>
      <c r="G174" s="860">
        <f>Calculation!AG177</f>
        <v>0</v>
      </c>
      <c r="H174" s="861">
        <f>Sheet1!H175</f>
        <v>1.71</v>
      </c>
      <c r="I174" s="841">
        <f>Sheet1!DA175</f>
        <v>909</v>
      </c>
      <c r="J174" s="841">
        <f>Sheet1!DB175</f>
        <v>705</v>
      </c>
      <c r="K174" s="841">
        <f>Sheet1!CZ175</f>
        <v>730</v>
      </c>
      <c r="L174" s="865">
        <f>Calculation!F177</f>
        <v>250</v>
      </c>
      <c r="M174" s="865">
        <f>Calculation!E177</f>
        <v>250</v>
      </c>
      <c r="N174" s="865">
        <f>Calculation!D177</f>
        <v>300</v>
      </c>
      <c r="O174" s="888">
        <f>Sheet1!DC175</f>
        <v>1167.07</v>
      </c>
      <c r="P174" s="889" t="e">
        <f>Calculation!FD177</f>
        <v>#N/A</v>
      </c>
      <c r="Q174" s="895">
        <f>Calculation!DP177</f>
        <v>49336.800000119234</v>
      </c>
      <c r="R174" s="888">
        <f t="shared" si="35"/>
        <v>48717.800000119234</v>
      </c>
      <c r="S174" s="890">
        <f t="shared" si="47"/>
        <v>248.80000000234577</v>
      </c>
      <c r="T174" s="895">
        <f ca="1">IF(A174&gt;$A$1,#N/A,VLOOKUP(A174,Calculation!$B$8:$JO$503,40,FALSE))</f>
        <v>19663.146995138806</v>
      </c>
      <c r="U174" s="890">
        <f t="shared" si="48"/>
        <v>0</v>
      </c>
      <c r="V174" s="890">
        <f>Calculation!AZ177</f>
        <v>0</v>
      </c>
      <c r="W174" s="895">
        <f t="shared" ca="1" si="51"/>
        <v>5000</v>
      </c>
      <c r="X174" s="890">
        <v>0</v>
      </c>
      <c r="Y174" s="890">
        <f t="shared" ca="1" si="52"/>
        <v>2500</v>
      </c>
      <c r="Z174" s="890">
        <f t="shared" ca="1" si="53"/>
        <v>2500</v>
      </c>
      <c r="AA174" s="890">
        <f t="shared" ca="1" si="54"/>
        <v>416.6530049804278</v>
      </c>
      <c r="AB174" s="895">
        <f t="shared" ca="1" si="37"/>
        <v>24257</v>
      </c>
      <c r="AC174" s="980">
        <f t="shared" ca="1" si="36"/>
        <v>23638</v>
      </c>
      <c r="AD174" s="860" t="e">
        <f ca="1">IF(A174&gt;$A$1, #N/A,VLOOKUP(A174,Calculation!$B$8:$JO$880,165,FALSE))</f>
        <v>#N/A</v>
      </c>
      <c r="AE174" s="399" t="e">
        <f t="shared" ca="1" si="49"/>
        <v>#N/A</v>
      </c>
      <c r="AF174" s="399"/>
      <c r="AG174" s="841">
        <f>Calculation!G177</f>
        <v>855.4664649532757</v>
      </c>
      <c r="AH174" s="847" t="str">
        <f t="shared" si="50"/>
        <v>Yes</v>
      </c>
      <c r="AI174" s="847" t="str">
        <f>IF(Calculation!K177&gt;0,"Yes","No")</f>
        <v>Yes</v>
      </c>
      <c r="AJ174" s="869">
        <v>50533.660000119031</v>
      </c>
      <c r="AK174" s="870">
        <v>49110.40000011689</v>
      </c>
      <c r="AL174" s="870">
        <v>49200.500000118191</v>
      </c>
      <c r="AM174" s="912"/>
      <c r="AN174" s="372">
        <v>49485.000000118445</v>
      </c>
      <c r="AO174" s="372">
        <v>47116.800000115109</v>
      </c>
      <c r="AP174" s="372">
        <v>49689.200000119752</v>
      </c>
      <c r="AU174" s="427"/>
      <c r="AV174" s="410"/>
      <c r="AW174" s="442"/>
      <c r="AX174" s="441"/>
      <c r="AY174" s="441"/>
      <c r="AZ174" s="443"/>
      <c r="BB174" s="433"/>
      <c r="BC174" s="432"/>
      <c r="BD174" s="433"/>
      <c r="BE174" s="432"/>
      <c r="BF174" s="433"/>
      <c r="BG174" s="432"/>
      <c r="BH174" s="429"/>
    </row>
    <row r="175" spans="1:60" ht="13.8" thickBot="1" x14ac:dyDescent="0.3">
      <c r="A175" s="406">
        <v>42902</v>
      </c>
      <c r="B175" s="860">
        <f t="shared" si="46"/>
        <v>100.98815999999999</v>
      </c>
      <c r="C175" s="860">
        <f>Calculation!AK178</f>
        <v>77.985988888888883</v>
      </c>
      <c r="D175" s="860">
        <f>Calculation!AI178</f>
        <v>0</v>
      </c>
      <c r="E175" s="860">
        <f>Calculation!AE178</f>
        <v>28.000700000000002</v>
      </c>
      <c r="F175" s="860">
        <f>Calculation!AF178</f>
        <v>72.987459999999999</v>
      </c>
      <c r="G175" s="860">
        <f>Calculation!AG178</f>
        <v>0</v>
      </c>
      <c r="H175" s="861">
        <f>Sheet1!H176</f>
        <v>3.34</v>
      </c>
      <c r="I175" s="841">
        <f>Sheet1!DA176</f>
        <v>1620</v>
      </c>
      <c r="J175" s="841">
        <f>Sheet1!DB176</f>
        <v>1260</v>
      </c>
      <c r="K175" s="841">
        <f>Sheet1!CZ176</f>
        <v>1230</v>
      </c>
      <c r="L175" s="865">
        <f>Calculation!F178</f>
        <v>250</v>
      </c>
      <c r="M175" s="865">
        <f>Calculation!E178</f>
        <v>250</v>
      </c>
      <c r="N175" s="865">
        <f>Calculation!D178</f>
        <v>300</v>
      </c>
      <c r="O175" s="888">
        <f>Sheet1!DC176</f>
        <v>1167.57</v>
      </c>
      <c r="P175" s="889" t="e">
        <f>Calculation!FD178</f>
        <v>#N/A</v>
      </c>
      <c r="Q175" s="895">
        <f>Calculation!DP178</f>
        <v>49905.800000119751</v>
      </c>
      <c r="R175" s="888">
        <f t="shared" si="35"/>
        <v>49286.800000119751</v>
      </c>
      <c r="S175" s="890">
        <f t="shared" si="47"/>
        <v>569.00000000051659</v>
      </c>
      <c r="T175" s="895">
        <f ca="1">IF(A175&gt;$A$1,#N/A,VLOOKUP(A175,Calculation!$B$8:$JO$503,40,FALSE))</f>
        <v>19817.808284027698</v>
      </c>
      <c r="U175" s="890">
        <f t="shared" si="48"/>
        <v>0</v>
      </c>
      <c r="V175" s="890">
        <f>Calculation!AZ178</f>
        <v>0</v>
      </c>
      <c r="W175" s="895">
        <f t="shared" ca="1" si="51"/>
        <v>5000</v>
      </c>
      <c r="X175" s="890">
        <v>0</v>
      </c>
      <c r="Y175" s="890">
        <f t="shared" ca="1" si="52"/>
        <v>2500</v>
      </c>
      <c r="Z175" s="890">
        <f t="shared" ca="1" si="53"/>
        <v>2500</v>
      </c>
      <c r="AA175" s="890">
        <f t="shared" ca="1" si="54"/>
        <v>830.99171609205223</v>
      </c>
      <c r="AB175" s="895">
        <f t="shared" ca="1" si="37"/>
        <v>24257</v>
      </c>
      <c r="AC175" s="980">
        <f t="shared" ca="1" si="36"/>
        <v>23638</v>
      </c>
      <c r="AD175" s="860" t="e">
        <f ca="1">IF(A175&gt;$A$1, #N/A,VLOOKUP(A175,Calculation!$B$8:$JO$880,165,FALSE))</f>
        <v>#N/A</v>
      </c>
      <c r="AE175" s="399" t="e">
        <f t="shared" ca="1" si="49"/>
        <v>#N/A</v>
      </c>
      <c r="AF175" s="399"/>
      <c r="AG175" s="841">
        <f>Calculation!G178</f>
        <v>1516.9389813416624</v>
      </c>
      <c r="AH175" s="847" t="str">
        <f t="shared" si="50"/>
        <v>Yes</v>
      </c>
      <c r="AI175" s="847" t="str">
        <f>IF(Calculation!K178&gt;0,"Yes","No")</f>
        <v>Yes</v>
      </c>
      <c r="AJ175" s="869">
        <v>50613.320000119289</v>
      </c>
      <c r="AK175" s="870">
        <v>49155.300000118186</v>
      </c>
      <c r="AL175" s="870">
        <v>49020.700000117933</v>
      </c>
      <c r="AM175" s="912"/>
      <c r="AN175" s="372">
        <v>49666.400000119495</v>
      </c>
      <c r="AO175" s="372">
        <v>47083.200000115103</v>
      </c>
      <c r="AP175" s="372">
        <v>49723.400000119756</v>
      </c>
      <c r="AU175" s="427"/>
      <c r="AV175" s="410"/>
      <c r="AW175" s="442"/>
      <c r="AX175" s="441"/>
      <c r="AY175" s="441"/>
      <c r="AZ175" s="443"/>
      <c r="BB175" s="433"/>
      <c r="BC175" s="432"/>
      <c r="BD175" s="433"/>
      <c r="BE175" s="432"/>
      <c r="BF175" s="433"/>
      <c r="BG175" s="432"/>
      <c r="BH175" s="429"/>
    </row>
    <row r="176" spans="1:60" ht="13.8" thickBot="1" x14ac:dyDescent="0.3">
      <c r="A176" s="406">
        <v>42903</v>
      </c>
      <c r="B176" s="860">
        <f t="shared" si="46"/>
        <v>104.45344</v>
      </c>
      <c r="C176" s="860">
        <f>Calculation!AK179</f>
        <v>77.079838342782381</v>
      </c>
      <c r="D176" s="860">
        <f>Calculation!AI179</f>
        <v>0</v>
      </c>
      <c r="E176" s="860">
        <f>Calculation!AE179</f>
        <v>33.724600000000002</v>
      </c>
      <c r="F176" s="860">
        <f>Calculation!AF179</f>
        <v>70.728839999999991</v>
      </c>
      <c r="G176" s="860">
        <f>Calculation!AG179</f>
        <v>0</v>
      </c>
      <c r="H176" s="861">
        <f>Sheet1!H177</f>
        <v>2.2400000000000002</v>
      </c>
      <c r="I176" s="841">
        <f>Sheet1!DA177</f>
        <v>1560</v>
      </c>
      <c r="J176" s="841">
        <f>Sheet1!DB177</f>
        <v>1210</v>
      </c>
      <c r="K176" s="841">
        <f>Sheet1!CZ177</f>
        <v>1230</v>
      </c>
      <c r="L176" s="865">
        <f>Calculation!F179</f>
        <v>250</v>
      </c>
      <c r="M176" s="865">
        <f>Calculation!E179</f>
        <v>250</v>
      </c>
      <c r="N176" s="865">
        <f>Calculation!D179</f>
        <v>300</v>
      </c>
      <c r="O176" s="888">
        <f>Sheet1!DC177</f>
        <v>1167.6099999999999</v>
      </c>
      <c r="P176" s="889" t="e">
        <f>Calculation!FD179</f>
        <v>#N/A</v>
      </c>
      <c r="Q176" s="895">
        <f>Calculation!DP179</f>
        <v>49951.400000119756</v>
      </c>
      <c r="R176" s="888">
        <f t="shared" si="35"/>
        <v>49332.400000119756</v>
      </c>
      <c r="S176" s="890">
        <f t="shared" si="47"/>
        <v>45.600000000005821</v>
      </c>
      <c r="T176" s="895">
        <f ca="1">IF(A176&gt;$A$1,#N/A,VLOOKUP(A176,Calculation!$B$8:$JO$503,40,FALSE))</f>
        <v>19970.672501245313</v>
      </c>
      <c r="U176" s="890">
        <f t="shared" si="48"/>
        <v>0</v>
      </c>
      <c r="V176" s="890">
        <f>Calculation!AZ179</f>
        <v>0</v>
      </c>
      <c r="W176" s="895">
        <f t="shared" ca="1" si="51"/>
        <v>5000</v>
      </c>
      <c r="X176" s="890">
        <v>0</v>
      </c>
      <c r="Y176" s="890">
        <f t="shared" ca="1" si="52"/>
        <v>2500</v>
      </c>
      <c r="Z176" s="890">
        <f t="shared" ca="1" si="53"/>
        <v>2500</v>
      </c>
      <c r="AA176" s="890">
        <f t="shared" ca="1" si="54"/>
        <v>723.72749887444297</v>
      </c>
      <c r="AB176" s="895">
        <f t="shared" ca="1" si="37"/>
        <v>24257</v>
      </c>
      <c r="AC176" s="980">
        <f t="shared" ca="1" si="36"/>
        <v>23638</v>
      </c>
      <c r="AD176" s="860" t="e">
        <f ca="1">IF(A176&gt;$A$1, #N/A,VLOOKUP(A176,Calculation!$B$8:$JO$880,165,FALSE))</f>
        <v>#N/A</v>
      </c>
      <c r="AE176" s="399" t="e">
        <f t="shared" ca="1" si="49"/>
        <v>#N/A</v>
      </c>
      <c r="AF176" s="399"/>
      <c r="AG176" s="841">
        <f>Calculation!G179</f>
        <v>1252.9954614220908</v>
      </c>
      <c r="AH176" s="847" t="str">
        <f t="shared" si="50"/>
        <v>Yes</v>
      </c>
      <c r="AI176" s="847" t="str">
        <f>IF(Calculation!K179&gt;0,"Yes","No")</f>
        <v>Yes</v>
      </c>
      <c r="AJ176" s="869">
        <v>50499.520000119024</v>
      </c>
      <c r="AK176" s="870">
        <v>49371.000000119238</v>
      </c>
      <c r="AL176" s="870">
        <v>48851.800000116891</v>
      </c>
      <c r="AM176" s="912"/>
      <c r="AN176" s="372">
        <v>49677.800000119496</v>
      </c>
      <c r="AO176" s="372">
        <v>47049.600000115104</v>
      </c>
      <c r="AP176" s="372">
        <v>49689.200000119752</v>
      </c>
      <c r="AU176" s="427"/>
      <c r="AV176" s="410"/>
      <c r="AW176" s="442"/>
      <c r="AX176" s="441"/>
      <c r="AY176" s="441"/>
      <c r="AZ176" s="443"/>
      <c r="BB176" s="433"/>
      <c r="BC176" s="432"/>
      <c r="BD176" s="433"/>
      <c r="BE176" s="432"/>
      <c r="BF176" s="433"/>
      <c r="BG176" s="432"/>
      <c r="BH176" s="429"/>
    </row>
    <row r="177" spans="1:60" ht="13.8" thickBot="1" x14ac:dyDescent="0.3">
      <c r="A177" s="406">
        <v>42904</v>
      </c>
      <c r="B177" s="860">
        <f t="shared" si="46"/>
        <v>97.81680999999999</v>
      </c>
      <c r="C177" s="860">
        <f>Calculation!AK180</f>
        <v>76.782526674831601</v>
      </c>
      <c r="D177" s="860">
        <f>Calculation!AI180</f>
        <v>0</v>
      </c>
      <c r="E177" s="860">
        <f>Calculation!AE180</f>
        <v>47.802299999999995</v>
      </c>
      <c r="F177" s="860">
        <f>Calculation!AF180</f>
        <v>50.014509999999994</v>
      </c>
      <c r="G177" s="860">
        <f>Calculation!AG180</f>
        <v>0</v>
      </c>
      <c r="H177" s="861">
        <f>Sheet1!H178</f>
        <v>1.89</v>
      </c>
      <c r="I177" s="841">
        <f>Sheet1!DA178</f>
        <v>1560</v>
      </c>
      <c r="J177" s="841">
        <f>Sheet1!DB178</f>
        <v>1200</v>
      </c>
      <c r="K177" s="841">
        <f>Sheet1!CZ178</f>
        <v>1230</v>
      </c>
      <c r="L177" s="865">
        <f>Calculation!F180</f>
        <v>250</v>
      </c>
      <c r="M177" s="865">
        <f>Calculation!E180</f>
        <v>250</v>
      </c>
      <c r="N177" s="865">
        <f>Calculation!D180</f>
        <v>300</v>
      </c>
      <c r="O177" s="888">
        <f>Sheet1!DC178</f>
        <v>1167.4100000000001</v>
      </c>
      <c r="P177" s="889" t="e">
        <f>Calculation!FD180</f>
        <v>#N/A</v>
      </c>
      <c r="Q177" s="895">
        <f>Calculation!DP180</f>
        <v>49723.400000119756</v>
      </c>
      <c r="R177" s="888">
        <f t="shared" si="35"/>
        <v>49104.400000119756</v>
      </c>
      <c r="S177" s="890">
        <f t="shared" si="47"/>
        <v>-228</v>
      </c>
      <c r="T177" s="895">
        <f ca="1">IF(A177&gt;($A$1-1),#N/A,VLOOKUP(A177,Calculation!$B$8:$JO$503,40,FALSE))</f>
        <v>20003.36</v>
      </c>
      <c r="U177" s="890">
        <f t="shared" si="48"/>
        <v>0</v>
      </c>
      <c r="V177" s="890">
        <f>Calculation!AZ180</f>
        <v>0</v>
      </c>
      <c r="W177" s="895">
        <f t="shared" ca="1" si="51"/>
        <v>5000</v>
      </c>
      <c r="X177" s="890">
        <v>0</v>
      </c>
      <c r="Y177" s="890">
        <f t="shared" ca="1" si="52"/>
        <v>2500</v>
      </c>
      <c r="Z177" s="890">
        <f t="shared" ca="1" si="53"/>
        <v>2500</v>
      </c>
      <c r="AA177" s="890">
        <f ca="1">IF(AB177&gt;=24257,Q177-T177-W177-24257,0)</f>
        <v>463.04000011975586</v>
      </c>
      <c r="AB177" s="895">
        <f ca="1">IF(Q177-T177-W177&lt;0,0,MIN(Q177-T177-W177,24257))</f>
        <v>24257</v>
      </c>
      <c r="AC177" s="980">
        <f ca="1">AB177-619</f>
        <v>23638</v>
      </c>
      <c r="AD177" s="860" t="e">
        <f ca="1">IF(A177&gt;$A$1, #N/A,VLOOKUP(A177,Calculation!$B$8:$JO$880,165,FALSE))</f>
        <v>#N/A</v>
      </c>
      <c r="AE177" s="399" t="e">
        <f t="shared" ca="1" si="49"/>
        <v>#N/A</v>
      </c>
      <c r="AF177" s="399"/>
      <c r="AG177" s="841">
        <f>Calculation!G180</f>
        <v>1115.0226928895613</v>
      </c>
      <c r="AH177" s="847" t="str">
        <f t="shared" si="50"/>
        <v>Yes</v>
      </c>
      <c r="AI177" s="847" t="str">
        <f>IF(Calculation!K180&gt;0,"Yes","No")</f>
        <v>Yes</v>
      </c>
      <c r="AJ177" s="869">
        <v>50465.380000119025</v>
      </c>
      <c r="AK177" s="870">
        <v>49643.600000119492</v>
      </c>
      <c r="AL177" s="870">
        <v>48682.700000117678</v>
      </c>
      <c r="AM177" s="912"/>
      <c r="AN177" s="372">
        <v>49666.400000119495</v>
      </c>
      <c r="AO177" s="372">
        <v>46961.000000113054</v>
      </c>
      <c r="AP177" s="372">
        <v>49700.600000119754</v>
      </c>
      <c r="AU177" s="427"/>
      <c r="AV177" s="410"/>
      <c r="AW177" s="442"/>
      <c r="AX177" s="441"/>
      <c r="AY177" s="441"/>
      <c r="AZ177" s="443"/>
      <c r="BB177" s="433"/>
      <c r="BC177" s="432"/>
      <c r="BD177" s="433"/>
      <c r="BE177" s="432"/>
      <c r="BF177" s="433"/>
      <c r="BG177" s="432"/>
      <c r="BH177" s="429"/>
    </row>
    <row r="178" spans="1:60" ht="13.8" thickBot="1" x14ac:dyDescent="0.3">
      <c r="A178" s="406">
        <v>42905</v>
      </c>
      <c r="B178" s="860">
        <f t="shared" si="46"/>
        <v>111.24476999999999</v>
      </c>
      <c r="C178" s="860">
        <f>Calculation!AK181</f>
        <v>0</v>
      </c>
      <c r="D178" s="860">
        <f>Calculation!AI181</f>
        <v>0</v>
      </c>
      <c r="E178" s="860">
        <f>Calculation!AE181</f>
        <v>47.028799999999997</v>
      </c>
      <c r="F178" s="860">
        <f>Calculation!AF181</f>
        <v>64.215969999999999</v>
      </c>
      <c r="G178" s="860">
        <f>Calculation!AG181</f>
        <v>0</v>
      </c>
      <c r="H178" s="861">
        <f>Sheet1!H179</f>
        <v>0.91</v>
      </c>
      <c r="I178" s="841">
        <f>Sheet1!DA179</f>
        <v>1298</v>
      </c>
      <c r="J178" s="841">
        <f>Sheet1!DB179</f>
        <v>935</v>
      </c>
      <c r="K178" s="841">
        <f>Sheet1!CZ179</f>
        <v>992</v>
      </c>
      <c r="L178" s="865">
        <f>Calculation!F181</f>
        <v>250</v>
      </c>
      <c r="M178" s="865">
        <f>Calculation!E181</f>
        <v>250</v>
      </c>
      <c r="N178" s="865">
        <f>Calculation!D181</f>
        <v>300</v>
      </c>
      <c r="O178" s="888">
        <f>Sheet1!DC179</f>
        <v>1167.18</v>
      </c>
      <c r="P178" s="889" t="e">
        <f>Calculation!FD181</f>
        <v>#N/A</v>
      </c>
      <c r="Q178" s="895">
        <f>Calculation!DP181</f>
        <v>49462.200000119497</v>
      </c>
      <c r="R178" s="888">
        <f t="shared" si="35"/>
        <v>48843.200000119497</v>
      </c>
      <c r="S178" s="890">
        <f t="shared" si="47"/>
        <v>-261.20000000025902</v>
      </c>
      <c r="T178" s="895">
        <f ca="1">IF(A178&gt;($A$1-1),#N/A,VLOOKUP(A178,Calculation!$B$8:$JO$503,40,FALSE))</f>
        <v>20003.36</v>
      </c>
      <c r="U178" s="890">
        <f t="shared" si="48"/>
        <v>0</v>
      </c>
      <c r="V178" s="890">
        <f>Calculation!AZ181</f>
        <v>0</v>
      </c>
      <c r="W178" s="895">
        <f t="shared" ca="1" si="51"/>
        <v>5000</v>
      </c>
      <c r="X178" s="890">
        <v>0</v>
      </c>
      <c r="Y178" s="890">
        <f t="shared" ca="1" si="52"/>
        <v>2500</v>
      </c>
      <c r="Z178" s="890">
        <f t="shared" ca="1" si="53"/>
        <v>2500</v>
      </c>
      <c r="AA178" s="890">
        <f ca="1">IF(AB178&gt;=24257,Q178-T178-W178-24257,0)</f>
        <v>201.84000011949684</v>
      </c>
      <c r="AB178" s="895">
        <f ca="1">IF(Q178-T178-W178&lt;0,0,MIN(Q178-T178-W178,24257))</f>
        <v>24257</v>
      </c>
      <c r="AC178" s="980">
        <f ca="1">AB178-619</f>
        <v>23638</v>
      </c>
      <c r="AD178" s="860" t="e">
        <f ca="1">IF(A178&gt;$A$1, #N/A,VLOOKUP(A178,Calculation!$B$8:$JO$880,165,FALSE))</f>
        <v>#N/A</v>
      </c>
      <c r="AE178" s="399" t="e">
        <f t="shared" ca="1" si="49"/>
        <v>#N/A</v>
      </c>
      <c r="AF178" s="399"/>
      <c r="AG178" s="841">
        <f>Calculation!G181</f>
        <v>860.28038325755983</v>
      </c>
      <c r="AH178" s="847" t="str">
        <f t="shared" si="50"/>
        <v>Yes</v>
      </c>
      <c r="AI178" s="847" t="str">
        <f>IF(Calculation!K181&gt;0,"Yes","No")</f>
        <v>Yes</v>
      </c>
      <c r="AJ178" s="869">
        <v>50670.220000119283</v>
      </c>
      <c r="AK178" s="870">
        <v>49848.800000119751</v>
      </c>
      <c r="AL178" s="870">
        <v>48469.000000116379</v>
      </c>
      <c r="AM178" s="912"/>
      <c r="AN178" s="372">
        <v>49348.200000119235</v>
      </c>
      <c r="AO178" s="372">
        <v>46906.000000113054</v>
      </c>
      <c r="AP178" s="372">
        <v>49746.200000119752</v>
      </c>
      <c r="AU178" s="427"/>
      <c r="AV178" s="410"/>
      <c r="AW178" s="442"/>
      <c r="AX178" s="441"/>
      <c r="AY178" s="441"/>
      <c r="AZ178" s="443"/>
      <c r="BB178" s="433"/>
      <c r="BC178" s="432"/>
      <c r="BD178" s="433"/>
      <c r="BE178" s="432"/>
      <c r="BF178" s="433"/>
      <c r="BG178" s="432"/>
      <c r="BH178" s="429"/>
    </row>
    <row r="179" spans="1:60" ht="13.8" thickBot="1" x14ac:dyDescent="0.3">
      <c r="A179" s="406">
        <v>42906</v>
      </c>
      <c r="B179" s="860">
        <f t="shared" si="46"/>
        <v>116.86037999999999</v>
      </c>
      <c r="C179" s="860">
        <f>Calculation!AK182</f>
        <v>0</v>
      </c>
      <c r="D179" s="860">
        <f>Calculation!AI182</f>
        <v>0</v>
      </c>
      <c r="E179" s="860">
        <f>Calculation!AE182</f>
        <v>38.674999999999997</v>
      </c>
      <c r="F179" s="860">
        <f>Calculation!AF182</f>
        <v>78.185379999999995</v>
      </c>
      <c r="G179" s="860">
        <f>Calculation!AG182</f>
        <v>0</v>
      </c>
      <c r="H179" s="861">
        <f>Sheet1!H180</f>
        <v>0.9</v>
      </c>
      <c r="I179" s="841">
        <f>Sheet1!DA180</f>
        <v>1160</v>
      </c>
      <c r="J179" s="841">
        <f>Sheet1!DB180</f>
        <v>852</v>
      </c>
      <c r="K179" s="841">
        <f>Sheet1!CZ180</f>
        <v>896</v>
      </c>
      <c r="L179" s="865">
        <f>Calculation!F182</f>
        <v>250</v>
      </c>
      <c r="M179" s="865">
        <f>Calculation!E182</f>
        <v>250</v>
      </c>
      <c r="N179" s="865">
        <f>Calculation!D182</f>
        <v>300</v>
      </c>
      <c r="O179" s="888">
        <f>Sheet1!DC180</f>
        <v>1167.0899999999999</v>
      </c>
      <c r="P179" s="889" t="e">
        <f>Calculation!FD182</f>
        <v>#N/A</v>
      </c>
      <c r="Q179" s="895">
        <f>Calculation!DP182</f>
        <v>49359.600000119237</v>
      </c>
      <c r="R179" s="888">
        <f t="shared" si="35"/>
        <v>48740.600000119237</v>
      </c>
      <c r="S179" s="890">
        <f t="shared" si="47"/>
        <v>-102.60000000026048</v>
      </c>
      <c r="T179" s="895">
        <f ca="1">IF(A179&gt;($A$1-1),#N/A,VLOOKUP(A179,Calculation!$B$8:$JO$503,40,FALSE))</f>
        <v>20003.36</v>
      </c>
      <c r="U179" s="890">
        <f t="shared" si="48"/>
        <v>0</v>
      </c>
      <c r="V179" s="890">
        <f>Calculation!AZ182</f>
        <v>0</v>
      </c>
      <c r="W179" s="895">
        <f t="shared" ca="1" si="51"/>
        <v>5000</v>
      </c>
      <c r="X179" s="890">
        <v>0</v>
      </c>
      <c r="Y179" s="890">
        <f t="shared" ca="1" si="52"/>
        <v>2500</v>
      </c>
      <c r="Z179" s="890">
        <f t="shared" ca="1" si="53"/>
        <v>2500</v>
      </c>
      <c r="AA179" s="890">
        <f ca="1">IF(AB179&gt;=24257,Q179-T179-W179-24257,0)</f>
        <v>99.240000119236356</v>
      </c>
      <c r="AB179" s="895">
        <f ca="1">IF(Q179-T179-W179&lt;0,0,MIN(Q179-T179-W179,24257))</f>
        <v>24257</v>
      </c>
      <c r="AC179" s="980">
        <f ca="1">AB179-619</f>
        <v>23638</v>
      </c>
      <c r="AD179" s="860" t="e">
        <f ca="1">IF(A179&gt;$A$1, #N/A,VLOOKUP(A179,Calculation!$B$8:$JO$880,165,FALSE))</f>
        <v>#N/A</v>
      </c>
      <c r="AE179" s="399" t="e">
        <f t="shared" ca="1" si="49"/>
        <v>#N/A</v>
      </c>
      <c r="AF179" s="399"/>
      <c r="AG179" s="841">
        <f>Calculation!G182</f>
        <v>844.26021180017119</v>
      </c>
      <c r="AH179" s="847" t="str">
        <f t="shared" si="50"/>
        <v>Yes</v>
      </c>
      <c r="AI179" s="847" t="str">
        <f>IF(Calculation!K182&gt;0,"Yes","No")</f>
        <v>Yes</v>
      </c>
      <c r="AJ179" s="869">
        <v>50670.220000119283</v>
      </c>
      <c r="AK179" s="870">
        <v>49700.600000119754</v>
      </c>
      <c r="AL179" s="870">
        <v>48389.900000117421</v>
      </c>
      <c r="AM179" s="912"/>
      <c r="AN179" s="372">
        <v>49257.000000119238</v>
      </c>
      <c r="AO179" s="372">
        <v>46817.200000113822</v>
      </c>
      <c r="AP179" s="372">
        <v>49712.000000119755</v>
      </c>
      <c r="AU179" s="427"/>
      <c r="AV179" s="410"/>
      <c r="AW179" s="442"/>
      <c r="AX179" s="441"/>
      <c r="AY179" s="441"/>
      <c r="AZ179" s="443"/>
      <c r="BB179" s="433"/>
      <c r="BC179" s="432"/>
      <c r="BD179" s="433"/>
      <c r="BE179" s="432"/>
      <c r="BF179" s="433"/>
      <c r="BG179" s="432"/>
      <c r="BH179" s="429"/>
    </row>
    <row r="180" spans="1:60" ht="13.8" thickBot="1" x14ac:dyDescent="0.3">
      <c r="A180" s="406">
        <v>42907</v>
      </c>
      <c r="B180" s="860">
        <f t="shared" si="46"/>
        <v>116.76756</v>
      </c>
      <c r="C180" s="860">
        <f>Calculation!AK183</f>
        <v>0</v>
      </c>
      <c r="D180" s="860">
        <f>Calculation!AI183</f>
        <v>0</v>
      </c>
      <c r="E180" s="860">
        <f>Calculation!AE183</f>
        <v>33.724600000000002</v>
      </c>
      <c r="F180" s="860">
        <f>Calculation!AF183</f>
        <v>83.042959999999994</v>
      </c>
      <c r="G180" s="860">
        <f>Calculation!AG183</f>
        <v>0</v>
      </c>
      <c r="H180" s="861">
        <f>Sheet1!H181</f>
        <v>1.73</v>
      </c>
      <c r="I180" s="841">
        <f>Sheet1!DA181</f>
        <v>1010</v>
      </c>
      <c r="J180" s="841">
        <f>Sheet1!DB181</f>
        <v>717</v>
      </c>
      <c r="K180" s="841">
        <f>Sheet1!CZ181</f>
        <v>790</v>
      </c>
      <c r="L180" s="865">
        <f>Calculation!F183</f>
        <v>250</v>
      </c>
      <c r="M180" s="865">
        <f>Calculation!E183</f>
        <v>250</v>
      </c>
      <c r="N180" s="865">
        <f>Calculation!D183</f>
        <v>300</v>
      </c>
      <c r="O180" s="888">
        <f>Sheet1!DC181</f>
        <v>1167.01</v>
      </c>
      <c r="P180" s="889" t="e">
        <f>Calculation!FD183</f>
        <v>#N/A</v>
      </c>
      <c r="Q180" s="895">
        <f>Calculation!DP183</f>
        <v>49268.400000119233</v>
      </c>
      <c r="R180" s="888">
        <f t="shared" si="35"/>
        <v>48649.400000119233</v>
      </c>
      <c r="S180" s="890">
        <f t="shared" si="47"/>
        <v>-91.200000000004366</v>
      </c>
      <c r="T180" s="895">
        <f ca="1">IF(A180&gt;($A$1-1),#N/A,VLOOKUP(A180,Calculation!$B$8:$JO$503,40,FALSE))</f>
        <v>20003.36</v>
      </c>
      <c r="U180" s="890">
        <f t="shared" si="48"/>
        <v>0</v>
      </c>
      <c r="V180" s="890">
        <f>Calculation!AZ183</f>
        <v>0</v>
      </c>
      <c r="W180" s="895">
        <f t="shared" ca="1" si="51"/>
        <v>5000</v>
      </c>
      <c r="X180" s="890">
        <v>0</v>
      </c>
      <c r="Y180" s="890">
        <f t="shared" ca="1" si="52"/>
        <v>2500</v>
      </c>
      <c r="Z180" s="890">
        <f t="shared" ca="1" si="53"/>
        <v>2500</v>
      </c>
      <c r="AA180" s="890">
        <f ca="1">IF(AB180&gt;=24257,Q180-T180-W180-24257,0)</f>
        <v>8.0400001192319905</v>
      </c>
      <c r="AB180" s="895">
        <f ca="1">IF(Q180-T180-W180&lt;0,0,MIN(Q180-T180-W180,24257))</f>
        <v>24257</v>
      </c>
      <c r="AC180" s="980">
        <f ca="1">AB180-619</f>
        <v>23638</v>
      </c>
      <c r="AD180" s="860" t="e">
        <f ca="1">IF(A180&gt;$A$1, #N/A,VLOOKUP(A180,Calculation!$B$8:$JO$880,165,FALSE))</f>
        <v>#N/A</v>
      </c>
      <c r="AE180" s="399" t="e">
        <f t="shared" ca="1" si="49"/>
        <v>#N/A</v>
      </c>
      <c r="AF180" s="399"/>
      <c r="AG180" s="841">
        <f>Calculation!G183</f>
        <v>744.0090771558223</v>
      </c>
      <c r="AH180" s="847" t="str">
        <f t="shared" si="50"/>
        <v>Yes</v>
      </c>
      <c r="AI180" s="847" t="str">
        <f>IF(Calculation!K183&gt;0,"Yes","No")</f>
        <v>Yes</v>
      </c>
      <c r="AJ180" s="869">
        <v>50681.600000119281</v>
      </c>
      <c r="AK180" s="870">
        <v>49393.800000119234</v>
      </c>
      <c r="AL180" s="870">
        <v>48525.000000116379</v>
      </c>
      <c r="AM180" s="912"/>
      <c r="AN180" s="372">
        <v>49032.000000116888</v>
      </c>
      <c r="AO180" s="372">
        <v>46784.000000112799</v>
      </c>
      <c r="AP180" s="372">
        <v>49677.800000119496</v>
      </c>
      <c r="AU180" s="427"/>
      <c r="AV180" s="410"/>
      <c r="AW180" s="442"/>
      <c r="AX180" s="441"/>
      <c r="AY180" s="441"/>
      <c r="AZ180" s="443"/>
      <c r="BB180" s="433"/>
      <c r="BC180" s="432"/>
      <c r="BD180" s="433"/>
      <c r="BE180" s="432"/>
      <c r="BF180" s="433"/>
      <c r="BG180" s="432"/>
      <c r="BH180" s="429"/>
    </row>
    <row r="181" spans="1:60" ht="13.8" thickBot="1" x14ac:dyDescent="0.3">
      <c r="A181" s="406">
        <v>42908</v>
      </c>
      <c r="B181" s="860">
        <f t="shared" si="46"/>
        <v>135.23874000000001</v>
      </c>
      <c r="C181" s="860">
        <f>Calculation!AK184</f>
        <v>0</v>
      </c>
      <c r="D181" s="860">
        <f>Calculation!AI184</f>
        <v>0</v>
      </c>
      <c r="E181" s="860">
        <f>Calculation!AE184</f>
        <v>46.1006</v>
      </c>
      <c r="F181" s="860">
        <f>Calculation!AF184</f>
        <v>89.138139999999993</v>
      </c>
      <c r="G181" s="860">
        <f>Calculation!AG184</f>
        <v>0</v>
      </c>
      <c r="H181" s="861">
        <f>Sheet1!H182</f>
        <v>1.89</v>
      </c>
      <c r="I181" s="841">
        <f>Sheet1!DA182</f>
        <v>909</v>
      </c>
      <c r="J181" s="841">
        <f>Sheet1!DB182</f>
        <v>571</v>
      </c>
      <c r="K181" s="841">
        <f>Sheet1!CZ182</f>
        <v>670</v>
      </c>
      <c r="L181" s="865">
        <f>Calculation!F184</f>
        <v>250</v>
      </c>
      <c r="M181" s="865">
        <f>Calculation!E184</f>
        <v>250</v>
      </c>
      <c r="N181" s="865">
        <f>Calculation!D184</f>
        <v>300</v>
      </c>
      <c r="O181" s="888">
        <f>Sheet1!DC182</f>
        <v>1167</v>
      </c>
      <c r="P181" s="889" t="e">
        <f>Calculation!FD184</f>
        <v>#N/A</v>
      </c>
      <c r="Q181" s="895">
        <f>Calculation!DP184</f>
        <v>49257.000000119238</v>
      </c>
      <c r="R181" s="888">
        <f t="shared" si="35"/>
        <v>48638.000000119238</v>
      </c>
      <c r="S181" s="890">
        <f t="shared" si="47"/>
        <v>-11.399999999994179</v>
      </c>
      <c r="T181" s="895">
        <f ca="1">IF(A181&gt;($A$1-1),#N/A,VLOOKUP(A181,Calculation!$B$8:$JO$503,40,FALSE))</f>
        <v>20003.36</v>
      </c>
      <c r="U181" s="890">
        <f t="shared" si="48"/>
        <v>0</v>
      </c>
      <c r="V181" s="890">
        <f>Calculation!AZ184</f>
        <v>0</v>
      </c>
      <c r="W181" s="895">
        <f t="shared" ca="1" si="51"/>
        <v>5000</v>
      </c>
      <c r="X181" s="890">
        <v>0</v>
      </c>
      <c r="Y181" s="890">
        <f t="shared" ca="1" si="52"/>
        <v>2500</v>
      </c>
      <c r="Z181" s="890">
        <f t="shared" ca="1" si="53"/>
        <v>2500</v>
      </c>
      <c r="AA181" s="890">
        <f t="shared" ca="1" si="54"/>
        <v>0</v>
      </c>
      <c r="AB181" s="895">
        <f t="shared" ca="1" si="37"/>
        <v>24253.640000119238</v>
      </c>
      <c r="AC181" s="980">
        <f t="shared" ca="1" si="36"/>
        <v>23634.640000119238</v>
      </c>
      <c r="AD181" s="860" t="e">
        <f ca="1">IF(A181&gt;$A$1, #N/A,VLOOKUP(A181,Calculation!$B$8:$JO$880,165,FALSE))</f>
        <v>#N/A</v>
      </c>
      <c r="AE181" s="399" t="e">
        <f t="shared" ca="1" si="49"/>
        <v>#N/A</v>
      </c>
      <c r="AF181" s="399"/>
      <c r="AG181" s="841">
        <f>Calculation!G184</f>
        <v>664.251134644481</v>
      </c>
      <c r="AH181" s="847" t="str">
        <f t="shared" si="50"/>
        <v>Yes</v>
      </c>
      <c r="AI181" s="847" t="str">
        <f>IF(Calculation!K184&gt;0,"Yes","No")</f>
        <v>Yes</v>
      </c>
      <c r="AJ181" s="869">
        <v>50852.300000119285</v>
      </c>
      <c r="AK181" s="870">
        <v>49371.000000119238</v>
      </c>
      <c r="AL181" s="870">
        <v>48389.900000117421</v>
      </c>
      <c r="AM181" s="912"/>
      <c r="AN181" s="372">
        <v>49088.000000116888</v>
      </c>
      <c r="AO181" s="372">
        <v>46596.200000113575</v>
      </c>
      <c r="AP181" s="372">
        <v>49586.700000118442</v>
      </c>
      <c r="AU181" s="427"/>
      <c r="AV181" s="410"/>
      <c r="AW181" s="442"/>
      <c r="AX181" s="441"/>
      <c r="AY181" s="441"/>
      <c r="AZ181" s="443"/>
      <c r="BB181" s="433"/>
      <c r="BC181" s="432"/>
      <c r="BD181" s="433"/>
      <c r="BE181" s="432"/>
      <c r="BF181" s="433"/>
      <c r="BG181" s="432"/>
      <c r="BH181" s="429"/>
    </row>
    <row r="182" spans="1:60" ht="13.8" thickBot="1" x14ac:dyDescent="0.3">
      <c r="A182" s="406">
        <v>42909</v>
      </c>
      <c r="B182" s="860">
        <f t="shared" si="46"/>
        <v>141.30297999999999</v>
      </c>
      <c r="C182" s="860">
        <f>Calculation!AK185</f>
        <v>0</v>
      </c>
      <c r="D182" s="860">
        <f>Calculation!AI185</f>
        <v>0</v>
      </c>
      <c r="E182" s="860">
        <f>Calculation!AE185</f>
        <v>52.721759999999996</v>
      </c>
      <c r="F182" s="860">
        <f>Calculation!AF185</f>
        <v>88.581219999999988</v>
      </c>
      <c r="G182" s="860">
        <f>Calculation!AG185</f>
        <v>0</v>
      </c>
      <c r="H182" s="861">
        <f>Sheet1!H183</f>
        <v>1.6</v>
      </c>
      <c r="I182" s="841">
        <f>Sheet1!DA183</f>
        <v>811</v>
      </c>
      <c r="J182" s="841">
        <f>Sheet1!DB183</f>
        <v>571</v>
      </c>
      <c r="K182" s="841">
        <f>Sheet1!CZ183</f>
        <v>666</v>
      </c>
      <c r="L182" s="865">
        <f>Calculation!F185</f>
        <v>250</v>
      </c>
      <c r="M182" s="865">
        <f>Calculation!E185</f>
        <v>250</v>
      </c>
      <c r="N182" s="865">
        <f>Calculation!D185</f>
        <v>300</v>
      </c>
      <c r="O182" s="888">
        <f>Sheet1!DC183</f>
        <v>1167.01</v>
      </c>
      <c r="P182" s="889" t="e">
        <f>Calculation!FD185</f>
        <v>#N/A</v>
      </c>
      <c r="Q182" s="895">
        <f>Calculation!DP185</f>
        <v>49268.400000119233</v>
      </c>
      <c r="R182" s="888">
        <f t="shared" si="35"/>
        <v>48649.400000119233</v>
      </c>
      <c r="S182" s="890">
        <f t="shared" si="47"/>
        <v>11.399999999994179</v>
      </c>
      <c r="T182" s="895">
        <f ca="1">IF(A182&gt;($A$1-1),#N/A,VLOOKUP(A182,Calculation!$B$8:$JO$503,40,FALSE))</f>
        <v>10001.68</v>
      </c>
      <c r="U182" s="890">
        <f t="shared" si="48"/>
        <v>0</v>
      </c>
      <c r="V182" s="890">
        <f>Calculation!AZ185</f>
        <v>0</v>
      </c>
      <c r="W182" s="895">
        <v>15000</v>
      </c>
      <c r="X182" s="890">
        <v>0</v>
      </c>
      <c r="Y182" s="1164">
        <f t="shared" ref="Y182:Y194" ca="1" si="55">IF(A182&lt;$A$1,2500,#N/A)</f>
        <v>2500</v>
      </c>
      <c r="Z182" s="890">
        <f t="shared" ca="1" si="53"/>
        <v>12500</v>
      </c>
      <c r="AA182" s="890">
        <f t="shared" ca="1" si="54"/>
        <v>9.7200001192322816</v>
      </c>
      <c r="AB182" s="895">
        <f t="shared" ca="1" si="37"/>
        <v>24257</v>
      </c>
      <c r="AC182" s="980">
        <f t="shared" ca="1" si="36"/>
        <v>23638</v>
      </c>
      <c r="AD182" s="860" t="e">
        <f ca="1">IF(A182&gt;$A$1, #N/A,VLOOKUP(A182,Calculation!$B$8:$JO$880,165,FALSE))</f>
        <v>#N/A</v>
      </c>
      <c r="AE182" s="399" t="e">
        <f t="shared" ca="1" si="49"/>
        <v>#N/A</v>
      </c>
      <c r="AF182" s="399"/>
      <c r="AG182" s="841">
        <f>Calculation!G185</f>
        <v>671.748865355519</v>
      </c>
      <c r="AH182" s="847" t="str">
        <f t="shared" si="50"/>
        <v>Yes</v>
      </c>
      <c r="AI182" s="847" t="str">
        <f>IF(Calculation!K185&gt;0,"Yes","No")</f>
        <v>Yes</v>
      </c>
      <c r="AJ182" s="869">
        <v>50727.120000119285</v>
      </c>
      <c r="AK182" s="870">
        <v>49712.000000119755</v>
      </c>
      <c r="AL182" s="870">
        <v>48232.700000117162</v>
      </c>
      <c r="AM182" s="912"/>
      <c r="AN182" s="372">
        <v>48863.000000116888</v>
      </c>
      <c r="AO182" s="372">
        <v>46464.000000112552</v>
      </c>
      <c r="AP182" s="372">
        <v>49598.000000119493</v>
      </c>
      <c r="AU182" s="427"/>
      <c r="AV182" s="410"/>
      <c r="AW182" s="442"/>
      <c r="AX182" s="441"/>
      <c r="AY182" s="441"/>
      <c r="AZ182" s="443"/>
      <c r="BB182" s="433"/>
      <c r="BC182" s="432"/>
      <c r="BD182" s="433"/>
      <c r="BE182" s="432"/>
      <c r="BF182" s="433"/>
      <c r="BG182" s="432"/>
      <c r="BH182" s="429"/>
    </row>
    <row r="183" spans="1:60" ht="13.8" thickBot="1" x14ac:dyDescent="0.3">
      <c r="A183" s="406">
        <v>42910</v>
      </c>
      <c r="B183" s="860">
        <f t="shared" si="46"/>
        <v>133.22764000000001</v>
      </c>
      <c r="C183" s="860">
        <f>Calculation!AK186</f>
        <v>0</v>
      </c>
      <c r="D183" s="860">
        <f>Calculation!AI186</f>
        <v>0</v>
      </c>
      <c r="E183" s="860">
        <f>Calculation!AE186</f>
        <v>55.89311</v>
      </c>
      <c r="F183" s="860">
        <f>Calculation!AF186</f>
        <v>77.334530000000001</v>
      </c>
      <c r="G183" s="860">
        <f>Calculation!AG186</f>
        <v>0</v>
      </c>
      <c r="H183" s="861">
        <f>Sheet1!H184</f>
        <v>1.51</v>
      </c>
      <c r="I183" s="841">
        <f>Sheet1!DA184</f>
        <v>811</v>
      </c>
      <c r="J183" s="841">
        <f>Sheet1!DB184</f>
        <v>575</v>
      </c>
      <c r="K183" s="841">
        <f>Sheet1!CZ184</f>
        <v>670</v>
      </c>
      <c r="L183" s="865">
        <f>Calculation!F186</f>
        <v>250</v>
      </c>
      <c r="M183" s="865">
        <f>Calculation!E186</f>
        <v>250</v>
      </c>
      <c r="N183" s="865">
        <f>Calculation!D186</f>
        <v>300</v>
      </c>
      <c r="O183" s="888">
        <f>Sheet1!DC184</f>
        <v>1166.94</v>
      </c>
      <c r="P183" s="889" t="e">
        <f>Calculation!FD186</f>
        <v>#N/A</v>
      </c>
      <c r="Q183" s="895">
        <f>Calculation!DP186</f>
        <v>49189.200000118188</v>
      </c>
      <c r="R183" s="888">
        <f t="shared" si="35"/>
        <v>48570.200000118188</v>
      </c>
      <c r="S183" s="890">
        <f t="shared" si="47"/>
        <v>-79.200000001044828</v>
      </c>
      <c r="T183" s="895">
        <f ca="1">IF(A183&gt;($A$1-1),#N/A,VLOOKUP(A183,Calculation!$B$8:$JO$503,40,FALSE))</f>
        <v>10001.68</v>
      </c>
      <c r="U183" s="890">
        <f t="shared" si="48"/>
        <v>0</v>
      </c>
      <c r="V183" s="890">
        <f>Calculation!AZ186</f>
        <v>0</v>
      </c>
      <c r="W183" s="1165">
        <f t="shared" ref="W183:W193" ca="1" si="56">Q183-T183-AB183</f>
        <v>14930.520000118187</v>
      </c>
      <c r="X183" s="1165">
        <f t="shared" ref="X183:X193" ca="1" si="57">(W182-W183)*AFtoCFS</f>
        <v>35.03782142300178</v>
      </c>
      <c r="Y183" s="1164">
        <f t="shared" ca="1" si="55"/>
        <v>2500</v>
      </c>
      <c r="Z183" s="890">
        <f t="shared" ca="1" si="53"/>
        <v>12430.520000118187</v>
      </c>
      <c r="AA183" s="890">
        <f t="shared" ca="1" si="54"/>
        <v>0</v>
      </c>
      <c r="AB183" s="1164">
        <v>24257</v>
      </c>
      <c r="AC183" s="980">
        <f t="shared" si="36"/>
        <v>23638</v>
      </c>
      <c r="AD183" s="860" t="e">
        <f ca="1">IF(A183&gt;$A$1, #N/A,VLOOKUP(A183,Calculation!$B$8:$JO$880,165,FALSE))</f>
        <v>#N/A</v>
      </c>
      <c r="AE183" s="399" t="e">
        <f t="shared" ca="1" si="49"/>
        <v>#N/A</v>
      </c>
      <c r="AF183" s="399"/>
      <c r="AG183" s="841">
        <f>Calculation!G186</f>
        <v>630.06051437163649</v>
      </c>
      <c r="AH183" s="847" t="str">
        <f t="shared" si="50"/>
        <v>Yes</v>
      </c>
      <c r="AI183" s="847" t="str">
        <f>IF(Calculation!K186&gt;0,"Yes","No")</f>
        <v>Yes</v>
      </c>
      <c r="AJ183" s="869">
        <v>50658.840000119286</v>
      </c>
      <c r="AK183" s="870">
        <v>50031.200000120014</v>
      </c>
      <c r="AL183" s="870">
        <v>48198.80000011716</v>
      </c>
      <c r="AM183" s="912"/>
      <c r="AN183" s="372">
        <v>48547.40000011638</v>
      </c>
      <c r="AO183" s="372">
        <v>46331.800000113573</v>
      </c>
      <c r="AP183" s="372">
        <v>49997.00000012001</v>
      </c>
      <c r="AU183" s="427"/>
      <c r="AV183" s="410"/>
      <c r="AW183" s="442"/>
      <c r="AX183" s="441"/>
      <c r="AY183" s="441"/>
      <c r="AZ183" s="443"/>
      <c r="BB183" s="433"/>
      <c r="BC183" s="432"/>
      <c r="BD183" s="433"/>
      <c r="BE183" s="432"/>
      <c r="BF183" s="433"/>
      <c r="BG183" s="432"/>
      <c r="BH183" s="429"/>
    </row>
    <row r="184" spans="1:60" ht="13.8" thickBot="1" x14ac:dyDescent="0.3">
      <c r="A184" s="406">
        <v>42911</v>
      </c>
      <c r="B184" s="860">
        <f t="shared" si="46"/>
        <v>138.13162999999997</v>
      </c>
      <c r="C184" s="860">
        <f>Calculation!AK187</f>
        <v>0</v>
      </c>
      <c r="D184" s="860">
        <f>Calculation!AI187</f>
        <v>0</v>
      </c>
      <c r="E184" s="860">
        <f>Calculation!AE187</f>
        <v>60.936329999999998</v>
      </c>
      <c r="F184" s="860">
        <f>Calculation!AF187</f>
        <v>77.195299999999989</v>
      </c>
      <c r="G184" s="860">
        <f>Calculation!AG187</f>
        <v>0</v>
      </c>
      <c r="H184" s="861">
        <f>Sheet1!H185</f>
        <v>1.64</v>
      </c>
      <c r="I184" s="841">
        <f>Sheet1!DA185</f>
        <v>792</v>
      </c>
      <c r="J184" s="841">
        <f>Sheet1!DB185</f>
        <v>571</v>
      </c>
      <c r="K184" s="841">
        <f>Sheet1!CZ185</f>
        <v>670</v>
      </c>
      <c r="L184" s="865">
        <f>Calculation!F187</f>
        <v>250</v>
      </c>
      <c r="M184" s="865">
        <f>Calculation!E187</f>
        <v>250</v>
      </c>
      <c r="N184" s="865">
        <f>Calculation!D187</f>
        <v>300</v>
      </c>
      <c r="O184" s="888">
        <f>Sheet1!DC185</f>
        <v>1166.8</v>
      </c>
      <c r="P184" s="889" t="e">
        <f>Calculation!FD187</f>
        <v>#N/A</v>
      </c>
      <c r="Q184" s="895">
        <f>Calculation!DP187</f>
        <v>49032.000000116888</v>
      </c>
      <c r="R184" s="888">
        <f t="shared" si="35"/>
        <v>48413.000000116888</v>
      </c>
      <c r="S184" s="890">
        <f t="shared" si="47"/>
        <v>-157.20000000129949</v>
      </c>
      <c r="T184" s="895">
        <f ca="1">IF(A184&gt;($A$1-1),#N/A,VLOOKUP(A184,Calculation!$B$8:$JO$503,40,FALSE))</f>
        <v>10001.68</v>
      </c>
      <c r="U184" s="890">
        <f t="shared" si="48"/>
        <v>0</v>
      </c>
      <c r="V184" s="890">
        <f>Calculation!AZ187</f>
        <v>0</v>
      </c>
      <c r="W184" s="1165">
        <f t="shared" ca="1" si="56"/>
        <v>14773.320000116888</v>
      </c>
      <c r="X184" s="1165">
        <f t="shared" ca="1" si="57"/>
        <v>79.273827534694632</v>
      </c>
      <c r="Y184" s="1164">
        <f t="shared" ca="1" si="55"/>
        <v>2500</v>
      </c>
      <c r="Z184" s="890">
        <f t="shared" ref="Z184:Z193" ca="1" si="58">W184-Y184</f>
        <v>12273.320000116888</v>
      </c>
      <c r="AA184" s="890">
        <f t="shared" ref="AA184:AA193" ca="1" si="59">IF(AB184&gt;=24257,Q184-T184-W184-24257,0)</f>
        <v>0</v>
      </c>
      <c r="AB184" s="1164">
        <v>24257</v>
      </c>
      <c r="AC184" s="980">
        <f t="shared" si="36"/>
        <v>23638</v>
      </c>
      <c r="AD184" s="860" t="e">
        <f ca="1">IF(A184&gt;$A$1, #N/A,VLOOKUP(A184,Calculation!$B$8:$JO$880,165,FALSE))</f>
        <v>#N/A</v>
      </c>
      <c r="AE184" s="399" t="e">
        <f t="shared" ca="1" si="49"/>
        <v>#N/A</v>
      </c>
      <c r="AF184" s="399"/>
      <c r="AG184" s="841">
        <f>Calculation!G187</f>
        <v>590.72617246530535</v>
      </c>
      <c r="AH184" s="847" t="str">
        <f t="shared" si="50"/>
        <v>Yes</v>
      </c>
      <c r="AI184" s="847" t="str">
        <f>IF(Calculation!K187&gt;0,"Yes","No")</f>
        <v>Yes</v>
      </c>
      <c r="AJ184" s="869">
        <v>50613.320000119289</v>
      </c>
      <c r="AK184" s="870">
        <v>50110.500000118962</v>
      </c>
      <c r="AL184" s="870">
        <v>48131.000000117157</v>
      </c>
      <c r="AM184" s="912"/>
      <c r="AN184" s="372">
        <v>48255.200000116121</v>
      </c>
      <c r="AO184" s="372">
        <v>46199.000000112297</v>
      </c>
      <c r="AP184" s="372">
        <v>50360.800000120274</v>
      </c>
      <c r="AU184" s="427"/>
      <c r="AV184" s="410"/>
      <c r="AW184" s="442"/>
      <c r="AX184" s="441"/>
      <c r="AY184" s="441"/>
      <c r="AZ184" s="443"/>
      <c r="BB184" s="433"/>
      <c r="BC184" s="432"/>
      <c r="BD184" s="433"/>
      <c r="BE184" s="432"/>
      <c r="BF184" s="433"/>
      <c r="BG184" s="432"/>
      <c r="BH184" s="429"/>
    </row>
    <row r="185" spans="1:60" ht="13.8" thickBot="1" x14ac:dyDescent="0.3">
      <c r="A185" s="406">
        <v>42912</v>
      </c>
      <c r="B185" s="860">
        <f t="shared" si="46"/>
        <v>138.00787</v>
      </c>
      <c r="C185" s="860">
        <f>Calculation!AK188</f>
        <v>0</v>
      </c>
      <c r="D185" s="860">
        <f>Calculation!AI188</f>
        <v>0</v>
      </c>
      <c r="E185" s="860">
        <f>Calculation!AE188</f>
        <v>57.548400000000001</v>
      </c>
      <c r="F185" s="860">
        <f>Calculation!AF188</f>
        <v>80.459469999999996</v>
      </c>
      <c r="G185" s="860">
        <f>Calculation!AG188</f>
        <v>0</v>
      </c>
      <c r="H185" s="861">
        <f>Sheet1!H186</f>
        <v>2.4500000000000002</v>
      </c>
      <c r="I185" s="841">
        <f>Sheet1!DA186</f>
        <v>741</v>
      </c>
      <c r="J185" s="841">
        <f>Sheet1!DB186</f>
        <v>459</v>
      </c>
      <c r="K185" s="841">
        <f>Sheet1!CZ186</f>
        <v>549</v>
      </c>
      <c r="L185" s="865">
        <f>Calculation!F188</f>
        <v>250</v>
      </c>
      <c r="M185" s="865">
        <f>Calculation!E188</f>
        <v>250</v>
      </c>
      <c r="N185" s="865">
        <f>Calculation!D188</f>
        <v>300</v>
      </c>
      <c r="O185" s="888">
        <f>Sheet1!DC186</f>
        <v>1166.67</v>
      </c>
      <c r="P185" s="889" t="e">
        <f>Calculation!FD188</f>
        <v>#N/A</v>
      </c>
      <c r="Q185" s="895">
        <f>Calculation!DP188</f>
        <v>48885.40000011689</v>
      </c>
      <c r="R185" s="888">
        <f t="shared" si="35"/>
        <v>48266.40000011689</v>
      </c>
      <c r="S185" s="890">
        <f t="shared" si="47"/>
        <v>-146.59999999999854</v>
      </c>
      <c r="T185" s="895">
        <f ca="1">IF(A185&gt;($A$1-1),#N/A,VLOOKUP(A185,Calculation!$B$8:$JO$503,40,FALSE))</f>
        <v>10001.68</v>
      </c>
      <c r="U185" s="890">
        <f t="shared" si="48"/>
        <v>0</v>
      </c>
      <c r="V185" s="890">
        <f>Calculation!AZ188</f>
        <v>0</v>
      </c>
      <c r="W185" s="1165">
        <f t="shared" ca="1" si="56"/>
        <v>14626.720000116889</v>
      </c>
      <c r="X185" s="1165">
        <f t="shared" ca="1" si="57"/>
        <v>73.928391326272575</v>
      </c>
      <c r="Y185" s="1164">
        <f t="shared" ca="1" si="55"/>
        <v>2500</v>
      </c>
      <c r="Z185" s="890">
        <f t="shared" ca="1" si="58"/>
        <v>12126.720000116889</v>
      </c>
      <c r="AA185" s="890">
        <f t="shared" ca="1" si="59"/>
        <v>0</v>
      </c>
      <c r="AB185" s="1164">
        <v>24257</v>
      </c>
      <c r="AC185" s="980">
        <f t="shared" si="36"/>
        <v>23638</v>
      </c>
      <c r="AD185" s="860" t="e">
        <f ca="1">IF(A185&gt;$A$1, #N/A,VLOOKUP(A185,Calculation!$B$8:$JO$880,165,FALSE))</f>
        <v>#N/A</v>
      </c>
      <c r="AE185" s="399" t="e">
        <f t="shared" ca="1" si="49"/>
        <v>#N/A</v>
      </c>
      <c r="AF185" s="399"/>
      <c r="AG185" s="841">
        <f>Calculation!G188</f>
        <v>475.07160867372744</v>
      </c>
      <c r="AH185" s="847" t="str">
        <f t="shared" si="50"/>
        <v>Yes</v>
      </c>
      <c r="AI185" s="847" t="str">
        <f>IF(Calculation!K188&gt;0,"Yes","No")</f>
        <v>Yes</v>
      </c>
      <c r="AJ185" s="869">
        <v>50341.40000011777</v>
      </c>
      <c r="AK185" s="870">
        <v>49997.00000012001</v>
      </c>
      <c r="AL185" s="870">
        <v>48097.700000115088</v>
      </c>
      <c r="AM185" s="912"/>
      <c r="AN185" s="372">
        <v>47941.600000115868</v>
      </c>
      <c r="AO185" s="372">
        <v>46066.400000113317</v>
      </c>
      <c r="AP185" s="372">
        <v>50258.200000120269</v>
      </c>
      <c r="AU185" s="427"/>
      <c r="AV185" s="410"/>
      <c r="AW185" s="442"/>
      <c r="AX185" s="441"/>
      <c r="AY185" s="441"/>
      <c r="AZ185" s="443"/>
      <c r="BB185" s="433"/>
      <c r="BC185" s="432"/>
      <c r="BD185" s="433"/>
      <c r="BE185" s="432"/>
      <c r="BF185" s="433"/>
      <c r="BG185" s="432"/>
      <c r="BH185" s="429"/>
    </row>
    <row r="186" spans="1:60" ht="13.8" thickBot="1" x14ac:dyDescent="0.3">
      <c r="A186" s="406">
        <v>42913</v>
      </c>
      <c r="B186" s="860">
        <f t="shared" si="46"/>
        <v>132.20661999999999</v>
      </c>
      <c r="C186" s="860">
        <f>Calculation!AK189</f>
        <v>0</v>
      </c>
      <c r="D186" s="860">
        <f>Calculation!AI189</f>
        <v>0</v>
      </c>
      <c r="E186" s="860">
        <f>Calculation!AE189</f>
        <v>46.7194</v>
      </c>
      <c r="F186" s="860">
        <f>Calculation!AF189</f>
        <v>85.487219999999994</v>
      </c>
      <c r="G186" s="860">
        <f>Calculation!AG189</f>
        <v>0</v>
      </c>
      <c r="H186" s="861">
        <f>Sheet1!H187</f>
        <v>1.67</v>
      </c>
      <c r="I186" s="841">
        <f>Sheet1!DA187</f>
        <v>625</v>
      </c>
      <c r="J186" s="841">
        <f>Sheet1!DB187</f>
        <v>413</v>
      </c>
      <c r="K186" s="841">
        <f>Sheet1!CZ187</f>
        <v>494</v>
      </c>
      <c r="L186" s="865">
        <f>Calculation!F189</f>
        <v>250</v>
      </c>
      <c r="M186" s="865">
        <f>Calculation!E189</f>
        <v>250</v>
      </c>
      <c r="N186" s="865">
        <f>Calculation!D189</f>
        <v>300</v>
      </c>
      <c r="O186" s="888">
        <f>Sheet1!DC187</f>
        <v>1166.6500000000001</v>
      </c>
      <c r="P186" s="889" t="e">
        <f>Calculation!FD189</f>
        <v>#N/A</v>
      </c>
      <c r="Q186" s="895">
        <f>Calculation!DP189</f>
        <v>48863.000000116888</v>
      </c>
      <c r="R186" s="888">
        <f t="shared" si="35"/>
        <v>48244.000000116888</v>
      </c>
      <c r="S186" s="890">
        <f t="shared" si="47"/>
        <v>-22.400000000001455</v>
      </c>
      <c r="T186" s="895">
        <f ca="1">IF(A186&gt;($A$1-1),#N/A,VLOOKUP(A186,Calculation!$B$8:$JO$503,40,FALSE))</f>
        <v>10001.68</v>
      </c>
      <c r="U186" s="890">
        <f t="shared" si="48"/>
        <v>0</v>
      </c>
      <c r="V186" s="890">
        <f>Calculation!AZ189</f>
        <v>0</v>
      </c>
      <c r="W186" s="1165">
        <f t="shared" ca="1" si="56"/>
        <v>14604.320000116888</v>
      </c>
      <c r="X186" s="1165">
        <f t="shared" ca="1" si="57"/>
        <v>11.296016137166642</v>
      </c>
      <c r="Y186" s="1164">
        <f t="shared" ca="1" si="55"/>
        <v>2500</v>
      </c>
      <c r="Z186" s="890">
        <f t="shared" ca="1" si="58"/>
        <v>12104.320000116888</v>
      </c>
      <c r="AA186" s="890">
        <f t="shared" ca="1" si="59"/>
        <v>0</v>
      </c>
      <c r="AB186" s="1164">
        <v>24257</v>
      </c>
      <c r="AC186" s="980">
        <f t="shared" si="36"/>
        <v>23638</v>
      </c>
      <c r="AD186" s="860" t="e">
        <f ca="1">IF(A186&gt;$A$1, #N/A,VLOOKUP(A186,Calculation!$B$8:$JO$880,165,FALSE))</f>
        <v>#N/A</v>
      </c>
      <c r="AE186" s="399" t="e">
        <f t="shared" ca="1" si="49"/>
        <v>#N/A</v>
      </c>
      <c r="AF186" s="399"/>
      <c r="AG186" s="841">
        <f>Calculation!G189</f>
        <v>482.70398386283335</v>
      </c>
      <c r="AH186" s="847" t="str">
        <f t="shared" si="50"/>
        <v>Yes</v>
      </c>
      <c r="AI186" s="847" t="str">
        <f>IF(Calculation!K189&gt;0,"Yes","No")</f>
        <v>Yes</v>
      </c>
      <c r="AJ186" s="869">
        <v>50262.580000117516</v>
      </c>
      <c r="AK186" s="870">
        <v>49791.800000119751</v>
      </c>
      <c r="AL186" s="870">
        <v>48008.800000116127</v>
      </c>
      <c r="AM186" s="912"/>
      <c r="AN186" s="372">
        <v>47685.000000115615</v>
      </c>
      <c r="AO186" s="372">
        <v>45868.400000111033</v>
      </c>
      <c r="AP186" s="372">
        <v>50008.400000120011</v>
      </c>
      <c r="AU186" s="427"/>
      <c r="AV186" s="410"/>
      <c r="AW186" s="442"/>
      <c r="AX186" s="441"/>
      <c r="AY186" s="441"/>
      <c r="AZ186" s="443"/>
      <c r="BB186" s="433"/>
      <c r="BC186" s="432"/>
      <c r="BD186" s="433"/>
      <c r="BE186" s="432"/>
      <c r="BF186" s="433"/>
      <c r="BG186" s="432"/>
      <c r="BH186" s="429"/>
    </row>
    <row r="187" spans="1:60" ht="13.8" thickBot="1" x14ac:dyDescent="0.3">
      <c r="A187" s="406">
        <v>42914</v>
      </c>
      <c r="B187" s="860">
        <f t="shared" si="46"/>
        <v>122.36769999999999</v>
      </c>
      <c r="C187" s="860">
        <f>Calculation!AK190</f>
        <v>0</v>
      </c>
      <c r="D187" s="860">
        <f>Calculation!AI190</f>
        <v>0</v>
      </c>
      <c r="E187" s="860">
        <f>Calculation!AE190</f>
        <v>46.7194</v>
      </c>
      <c r="F187" s="860">
        <f>Calculation!AF190</f>
        <v>75.648299999999992</v>
      </c>
      <c r="G187" s="860">
        <f>Calculation!AG190</f>
        <v>0</v>
      </c>
      <c r="H187" s="861">
        <f>Sheet1!H188</f>
        <v>1.5</v>
      </c>
      <c r="I187" s="841">
        <f>Sheet1!DA188</f>
        <v>613</v>
      </c>
      <c r="J187" s="841">
        <f>Sheet1!DB188</f>
        <v>395</v>
      </c>
      <c r="K187" s="841">
        <f>Sheet1!CZ188</f>
        <v>494</v>
      </c>
      <c r="L187" s="865">
        <f>Calculation!F190</f>
        <v>250</v>
      </c>
      <c r="M187" s="865">
        <f>Calculation!E190</f>
        <v>250</v>
      </c>
      <c r="N187" s="865">
        <f>Calculation!D190</f>
        <v>300</v>
      </c>
      <c r="O187" s="888">
        <f>Sheet1!DC188</f>
        <v>1166.6400000000001</v>
      </c>
      <c r="P187" s="889" t="e">
        <f>Calculation!FD190</f>
        <v>#N/A</v>
      </c>
      <c r="Q187" s="895">
        <f>Calculation!DP190</f>
        <v>48851.800000116891</v>
      </c>
      <c r="R187" s="888">
        <f t="shared" si="35"/>
        <v>48232.800000116891</v>
      </c>
      <c r="S187" s="890">
        <f t="shared" si="47"/>
        <v>-11.19999999999709</v>
      </c>
      <c r="T187" s="895">
        <f ca="1">IF(A187&gt;($A$1-1),#N/A,VLOOKUP(A187,Calculation!$B$8:$JO$503,40,FALSE))</f>
        <v>10001.68</v>
      </c>
      <c r="U187" s="890">
        <f t="shared" si="48"/>
        <v>0</v>
      </c>
      <c r="V187" s="890">
        <f>Calculation!AZ190</f>
        <v>0</v>
      </c>
      <c r="W187" s="1165">
        <f t="shared" ca="1" si="56"/>
        <v>14593.120000116891</v>
      </c>
      <c r="X187" s="1165">
        <f t="shared" ca="1" si="57"/>
        <v>5.6480080685814871</v>
      </c>
      <c r="Y187" s="1164">
        <f t="shared" ca="1" si="55"/>
        <v>2500</v>
      </c>
      <c r="Z187" s="890">
        <f t="shared" ca="1" si="58"/>
        <v>12093.120000116891</v>
      </c>
      <c r="AA187" s="890">
        <f t="shared" ca="1" si="59"/>
        <v>0</v>
      </c>
      <c r="AB187" s="1164">
        <v>24257</v>
      </c>
      <c r="AC187" s="980">
        <f t="shared" si="36"/>
        <v>23638</v>
      </c>
      <c r="AD187" s="860" t="e">
        <f ca="1">IF(A187&gt;$A$1, #N/A,VLOOKUP(A187,Calculation!$B$8:$JO$880,165,FALSE))</f>
        <v>#N/A</v>
      </c>
      <c r="AE187" s="399" t="e">
        <f t="shared" ca="1" si="49"/>
        <v>#N/A</v>
      </c>
      <c r="AF187" s="399"/>
      <c r="AG187" s="841">
        <f>Calculation!G190</f>
        <v>488.35199193141852</v>
      </c>
      <c r="AH187" s="847" t="str">
        <f t="shared" si="50"/>
        <v>Yes</v>
      </c>
      <c r="AI187" s="847" t="str">
        <f>IF(Calculation!K190&gt;0,"Yes","No")</f>
        <v>Yes</v>
      </c>
      <c r="AJ187" s="869">
        <v>50352.660000117772</v>
      </c>
      <c r="AK187" s="870">
        <v>49485.000000118445</v>
      </c>
      <c r="AL187" s="870">
        <v>47785.800000115873</v>
      </c>
      <c r="AM187" s="912"/>
      <c r="AN187" s="372">
        <v>47574.000000114582</v>
      </c>
      <c r="AO187" s="372">
        <v>45671.200000110781</v>
      </c>
      <c r="AP187" s="372">
        <v>49746.200000119752</v>
      </c>
      <c r="AU187" s="427"/>
      <c r="AV187" s="410"/>
      <c r="AW187" s="442"/>
      <c r="AX187" s="441"/>
      <c r="AY187" s="441"/>
      <c r="AZ187" s="443"/>
      <c r="BB187" s="433"/>
      <c r="BC187" s="432"/>
      <c r="BD187" s="433"/>
      <c r="BE187" s="432"/>
      <c r="BF187" s="433"/>
      <c r="BG187" s="432"/>
      <c r="BH187" s="429"/>
    </row>
    <row r="188" spans="1:60" ht="13.8" thickBot="1" x14ac:dyDescent="0.3">
      <c r="A188" s="406">
        <v>42915</v>
      </c>
      <c r="B188" s="860">
        <f t="shared" si="46"/>
        <v>123.62076999999999</v>
      </c>
      <c r="C188" s="860">
        <f>Calculation!AK191</f>
        <v>0</v>
      </c>
      <c r="D188" s="860">
        <f>Calculation!AI191</f>
        <v>0</v>
      </c>
      <c r="E188" s="860">
        <f>Calculation!AE191</f>
        <v>46.7194</v>
      </c>
      <c r="F188" s="860">
        <f>Calculation!AF191</f>
        <v>76.90137</v>
      </c>
      <c r="G188" s="860">
        <f>Calculation!AG191</f>
        <v>0</v>
      </c>
      <c r="H188" s="861">
        <f>Sheet1!H189</f>
        <v>1.55</v>
      </c>
      <c r="I188" s="841">
        <f>Sheet1!DA189</f>
        <v>591</v>
      </c>
      <c r="J188" s="841">
        <f>Sheet1!DB189</f>
        <v>404</v>
      </c>
      <c r="K188" s="841">
        <f>Sheet1!CZ189</f>
        <v>494</v>
      </c>
      <c r="L188" s="865">
        <f>Calculation!F191</f>
        <v>250</v>
      </c>
      <c r="M188" s="865">
        <f>Calculation!E191</f>
        <v>250</v>
      </c>
      <c r="N188" s="865">
        <f>Calculation!D191</f>
        <v>300</v>
      </c>
      <c r="O188" s="888">
        <f>Sheet1!DC189</f>
        <v>1166.5899999999999</v>
      </c>
      <c r="P188" s="889" t="e">
        <f>Calculation!FD191</f>
        <v>#N/A</v>
      </c>
      <c r="Q188" s="895">
        <f>Calculation!DP191</f>
        <v>48795.700000117678</v>
      </c>
      <c r="R188" s="888">
        <f t="shared" si="35"/>
        <v>48176.700000117678</v>
      </c>
      <c r="S188" s="890">
        <f t="shared" si="47"/>
        <v>-56.099999999212741</v>
      </c>
      <c r="T188" s="895">
        <f ca="1">IF(A188&gt;($A$1-1),#N/A,VLOOKUP(A188,Calculation!$B$8:$JO$503,40,FALSE))</f>
        <v>10001.68</v>
      </c>
      <c r="U188" s="890">
        <f t="shared" si="48"/>
        <v>0</v>
      </c>
      <c r="V188" s="890">
        <f>Calculation!AZ191</f>
        <v>0</v>
      </c>
      <c r="W188" s="1165">
        <f t="shared" ca="1" si="56"/>
        <v>14537.020000117678</v>
      </c>
      <c r="X188" s="1165">
        <f t="shared" ca="1" si="57"/>
        <v>28.290468985987257</v>
      </c>
      <c r="Y188" s="1164">
        <f t="shared" ca="1" si="55"/>
        <v>2500</v>
      </c>
      <c r="Z188" s="890">
        <f t="shared" ca="1" si="58"/>
        <v>12037.020000117678</v>
      </c>
      <c r="AA188" s="890">
        <f t="shared" ca="1" si="59"/>
        <v>0</v>
      </c>
      <c r="AB188" s="1164">
        <v>24257</v>
      </c>
      <c r="AC188" s="980">
        <f t="shared" si="36"/>
        <v>23638</v>
      </c>
      <c r="AD188" s="860" t="e">
        <f ca="1">IF(A188&gt;$A$1, #N/A,VLOOKUP(A188,Calculation!$B$8:$JO$880,165,FALSE))</f>
        <v>#N/A</v>
      </c>
      <c r="AE188" s="399" t="e">
        <f t="shared" ca="1" si="49"/>
        <v>#N/A</v>
      </c>
      <c r="AF188" s="399"/>
      <c r="AG188" s="841">
        <f>Calculation!G191</f>
        <v>465.70953101401273</v>
      </c>
      <c r="AH188" s="847" t="str">
        <f t="shared" si="50"/>
        <v>Yes</v>
      </c>
      <c r="AI188" s="847" t="str">
        <f>IF(Calculation!K191&gt;0,"Yes","No")</f>
        <v>Yes</v>
      </c>
      <c r="AJ188" s="869">
        <v>50476.760000119029</v>
      </c>
      <c r="AK188" s="870">
        <v>49314.000000119238</v>
      </c>
      <c r="AL188" s="870">
        <v>47428.700000114331</v>
      </c>
      <c r="AM188" s="912"/>
      <c r="AN188" s="372">
        <v>47618.400000114583</v>
      </c>
      <c r="AO188" s="372">
        <v>45485.900000110538</v>
      </c>
      <c r="AP188" s="372">
        <v>49586.700000118442</v>
      </c>
      <c r="AU188" s="427"/>
      <c r="AV188" s="410"/>
      <c r="AW188" s="442"/>
      <c r="AX188" s="441"/>
      <c r="AY188" s="441"/>
      <c r="AZ188" s="443"/>
      <c r="BB188" s="433"/>
      <c r="BC188" s="432"/>
      <c r="BD188" s="433"/>
      <c r="BE188" s="432"/>
      <c r="BF188" s="433"/>
      <c r="BG188" s="432"/>
      <c r="BH188" s="429"/>
    </row>
    <row r="189" spans="1:60" ht="13.8" thickBot="1" x14ac:dyDescent="0.3">
      <c r="A189" s="406">
        <v>42916</v>
      </c>
      <c r="B189" s="860">
        <f t="shared" si="46"/>
        <v>130.53585999999999</v>
      </c>
      <c r="C189" s="860">
        <f>Calculation!AK192</f>
        <v>0</v>
      </c>
      <c r="D189" s="860">
        <f>Calculation!AI192</f>
        <v>0</v>
      </c>
      <c r="E189" s="860">
        <f>Calculation!AE192</f>
        <v>46.7194</v>
      </c>
      <c r="F189" s="860">
        <f>Calculation!AF192</f>
        <v>83.816459999999992</v>
      </c>
      <c r="G189" s="860">
        <f>Calculation!AG192</f>
        <v>0</v>
      </c>
      <c r="H189" s="861">
        <f>Sheet1!H190</f>
        <v>1.54</v>
      </c>
      <c r="I189" s="841">
        <f>Sheet1!DA190</f>
        <v>613</v>
      </c>
      <c r="J189" s="841">
        <f>Sheet1!DB190</f>
        <v>416</v>
      </c>
      <c r="K189" s="841">
        <f>Sheet1!CZ190</f>
        <v>527</v>
      </c>
      <c r="L189" s="865">
        <f>Calculation!F192</f>
        <v>250</v>
      </c>
      <c r="M189" s="865">
        <f>Calculation!E192</f>
        <v>250</v>
      </c>
      <c r="N189" s="865">
        <f>Calculation!D192</f>
        <v>300</v>
      </c>
      <c r="O189" s="888">
        <f>Sheet1!DC190</f>
        <v>1166.48</v>
      </c>
      <c r="P189" s="889" t="e">
        <f>Calculation!FD192</f>
        <v>#N/A</v>
      </c>
      <c r="Q189" s="895">
        <f>Calculation!DP192</f>
        <v>48671.400000117676</v>
      </c>
      <c r="R189" s="888">
        <f t="shared" si="35"/>
        <v>48052.400000117676</v>
      </c>
      <c r="S189" s="890">
        <f t="shared" si="47"/>
        <v>-124.30000000000291</v>
      </c>
      <c r="T189" s="895">
        <f ca="1">IF(A189&gt;($A$1-1),#N/A,VLOOKUP(A189,Calculation!$B$8:$JO$503,40,FALSE))</f>
        <v>10001.68</v>
      </c>
      <c r="U189" s="890">
        <f t="shared" si="48"/>
        <v>0</v>
      </c>
      <c r="V189" s="890">
        <f>Calculation!AZ192</f>
        <v>0</v>
      </c>
      <c r="W189" s="1165">
        <f t="shared" ca="1" si="56"/>
        <v>14412.720000117675</v>
      </c>
      <c r="X189" s="1165">
        <f t="shared" ca="1" si="57"/>
        <v>62.682803832578365</v>
      </c>
      <c r="Y189" s="1164">
        <f t="shared" ca="1" si="55"/>
        <v>2500</v>
      </c>
      <c r="Z189" s="890">
        <f t="shared" ca="1" si="58"/>
        <v>11912.720000117675</v>
      </c>
      <c r="AA189" s="890">
        <f t="shared" ca="1" si="59"/>
        <v>0</v>
      </c>
      <c r="AB189" s="1164">
        <v>24257</v>
      </c>
      <c r="AC189" s="980">
        <f t="shared" si="36"/>
        <v>23638</v>
      </c>
      <c r="AD189" s="860" t="e">
        <f ca="1">IF(A189&gt;$A$1, #N/A,VLOOKUP(A189,Calculation!$B$8:$JO$880,165,FALSE))</f>
        <v>#N/A</v>
      </c>
      <c r="AE189" s="399" t="e">
        <f t="shared" ca="1" si="49"/>
        <v>#N/A</v>
      </c>
      <c r="AF189" s="399"/>
      <c r="AG189" s="841">
        <f>Calculation!G192</f>
        <v>464.31719616742163</v>
      </c>
      <c r="AH189" s="847" t="str">
        <f t="shared" si="50"/>
        <v>Yes</v>
      </c>
      <c r="AI189" s="847" t="str">
        <f>IF(Calculation!K192&gt;0,"Yes","No")</f>
        <v>Yes</v>
      </c>
      <c r="AJ189" s="869">
        <v>50363.920000117774</v>
      </c>
      <c r="AK189" s="870">
        <v>49405.200000119497</v>
      </c>
      <c r="AL189" s="870">
        <v>47016.000000115106</v>
      </c>
      <c r="AM189" s="912"/>
      <c r="AN189" s="372">
        <v>47551.600000115614</v>
      </c>
      <c r="AO189" s="372">
        <v>45355.000000111548</v>
      </c>
      <c r="AP189" s="372">
        <v>49507.600000118444</v>
      </c>
      <c r="AU189" s="427"/>
      <c r="AV189" s="410"/>
      <c r="AW189" s="442"/>
      <c r="AX189" s="441"/>
      <c r="AY189" s="441"/>
      <c r="AZ189" s="443"/>
      <c r="BB189" s="433"/>
      <c r="BC189" s="432"/>
      <c r="BD189" s="433"/>
      <c r="BE189" s="432"/>
      <c r="BF189" s="433"/>
      <c r="BG189" s="432"/>
      <c r="BH189" s="429"/>
    </row>
    <row r="190" spans="1:60" ht="13.8" thickBot="1" x14ac:dyDescent="0.3">
      <c r="A190" s="406">
        <v>42917</v>
      </c>
      <c r="B190" s="860">
        <f t="shared" si="46"/>
        <v>136.92497</v>
      </c>
      <c r="C190" s="860">
        <f>Calculation!AK193</f>
        <v>0</v>
      </c>
      <c r="D190" s="860">
        <f>Calculation!AI193</f>
        <v>0</v>
      </c>
      <c r="E190" s="860">
        <f>Calculation!AE193</f>
        <v>46.7194</v>
      </c>
      <c r="F190" s="860">
        <f>Calculation!AF193</f>
        <v>90.205569999999994</v>
      </c>
      <c r="G190" s="860">
        <f>Calculation!AG193</f>
        <v>0</v>
      </c>
      <c r="H190" s="861">
        <f>Sheet1!H191</f>
        <v>1.55</v>
      </c>
      <c r="I190" s="841">
        <f>Sheet1!DA191</f>
        <v>607</v>
      </c>
      <c r="J190" s="841">
        <f>Sheet1!DB191</f>
        <v>416</v>
      </c>
      <c r="K190" s="841">
        <f>Sheet1!CZ191</f>
        <v>524</v>
      </c>
      <c r="L190" s="865">
        <f>Calculation!F193</f>
        <v>250</v>
      </c>
      <c r="M190" s="865">
        <f>Calculation!E193</f>
        <v>250</v>
      </c>
      <c r="N190" s="865">
        <f>Calculation!D193</f>
        <v>300</v>
      </c>
      <c r="O190" s="888">
        <f>Sheet1!DC191</f>
        <v>1166.3</v>
      </c>
      <c r="P190" s="889" t="e">
        <f>Calculation!FD193</f>
        <v>#REF!</v>
      </c>
      <c r="Q190" s="895">
        <f>Calculation!DP193</f>
        <v>48469.000000116379</v>
      </c>
      <c r="R190" s="888">
        <f t="shared" si="35"/>
        <v>47850.000000116379</v>
      </c>
      <c r="S190" s="890">
        <f t="shared" si="47"/>
        <v>-202.40000000129658</v>
      </c>
      <c r="T190" s="895">
        <f ca="1">IF(A190&gt;($A$1-1),#N/A,VLOOKUP(A190,Calculation!$B$8:$JO$503,40,FALSE))</f>
        <v>10001.68</v>
      </c>
      <c r="U190" s="890">
        <f t="shared" si="48"/>
        <v>0</v>
      </c>
      <c r="V190" s="890">
        <f>Calculation!AZ193</f>
        <v>0</v>
      </c>
      <c r="W190" s="1165">
        <f t="shared" ca="1" si="56"/>
        <v>14348.320000116379</v>
      </c>
      <c r="X190" s="1165">
        <f t="shared" ca="1" si="57"/>
        <v>32.476046395005831</v>
      </c>
      <c r="Y190" s="1164">
        <f t="shared" ca="1" si="55"/>
        <v>2500</v>
      </c>
      <c r="Z190" s="890">
        <f t="shared" ca="1" si="58"/>
        <v>11848.320000116379</v>
      </c>
      <c r="AA190" s="890">
        <f t="shared" ca="1" si="59"/>
        <v>0</v>
      </c>
      <c r="AB190" s="1165">
        <f t="shared" ref="AB190:AB193" ca="1" si="60">AC190+619</f>
        <v>24119</v>
      </c>
      <c r="AC190" s="1166">
        <f t="shared" ref="AC190:AC193" ca="1" si="61">AD190</f>
        <v>23500</v>
      </c>
      <c r="AD190" s="860">
        <f ca="1">IF(A190&gt;$A$1, #N/A,VLOOKUP(A190,Calculation!$B$8:$JO$880,165,FALSE))</f>
        <v>23500</v>
      </c>
      <c r="AE190" s="399" t="e">
        <f t="shared" ca="1" si="49"/>
        <v>#N/A</v>
      </c>
      <c r="AF190" s="399">
        <f ca="1">AD190+619</f>
        <v>24119</v>
      </c>
      <c r="AG190" s="841">
        <f>Calculation!G193</f>
        <v>421.93242561709707</v>
      </c>
      <c r="AH190" s="847" t="str">
        <f t="shared" si="50"/>
        <v>Yes</v>
      </c>
      <c r="AI190" s="847" t="str">
        <f>IF(Calculation!K193&gt;0,"Yes","No")</f>
        <v>Yes</v>
      </c>
      <c r="AJ190" s="869">
        <v>50228.800000117517</v>
      </c>
      <c r="AK190" s="870">
        <v>49586.700000118442</v>
      </c>
      <c r="AL190" s="870">
        <v>46541.000000112552</v>
      </c>
      <c r="AM190" s="912"/>
      <c r="AN190" s="372">
        <v>47540.400000115616</v>
      </c>
      <c r="AO190" s="372">
        <v>45201.500000110289</v>
      </c>
      <c r="AP190" s="372">
        <v>49496.300000118448</v>
      </c>
      <c r="AU190" s="427"/>
      <c r="AV190" s="410"/>
      <c r="AW190" s="442"/>
      <c r="AX190" s="441"/>
      <c r="AY190" s="441"/>
      <c r="AZ190" s="443"/>
      <c r="BB190" s="433"/>
      <c r="BC190" s="432"/>
      <c r="BD190" s="433"/>
      <c r="BE190" s="432"/>
      <c r="BF190" s="433"/>
      <c r="BG190" s="432"/>
      <c r="BH190" s="429"/>
    </row>
    <row r="191" spans="1:60" ht="13.8" thickBot="1" x14ac:dyDescent="0.3">
      <c r="A191" s="406">
        <v>42918</v>
      </c>
      <c r="B191" s="860">
        <f t="shared" si="46"/>
        <v>139.36922999999999</v>
      </c>
      <c r="C191" s="860">
        <f>Calculation!AK194</f>
        <v>0</v>
      </c>
      <c r="D191" s="860">
        <f>Calculation!AI194</f>
        <v>27.857321965982987</v>
      </c>
      <c r="E191" s="860">
        <f>Calculation!AE194</f>
        <v>46.7194</v>
      </c>
      <c r="F191" s="860">
        <f>Calculation!AF194</f>
        <v>92.649829999999994</v>
      </c>
      <c r="G191" s="860">
        <f>Calculation!AG194</f>
        <v>0</v>
      </c>
      <c r="H191" s="861">
        <f>Sheet1!H192</f>
        <v>1.62</v>
      </c>
      <c r="I191" s="841">
        <f>Sheet1!DA192</f>
        <v>602</v>
      </c>
      <c r="J191" s="841">
        <f>Sheet1!DB192</f>
        <v>413</v>
      </c>
      <c r="K191" s="841">
        <f>Sheet1!CZ192</f>
        <v>527</v>
      </c>
      <c r="L191" s="865">
        <f>Calculation!F194</f>
        <v>250</v>
      </c>
      <c r="M191" s="865">
        <f>Calculation!E194</f>
        <v>250</v>
      </c>
      <c r="N191" s="865">
        <f>Calculation!D194</f>
        <v>300</v>
      </c>
      <c r="O191" s="888">
        <f>Sheet1!DC192</f>
        <v>1166.0899999999999</v>
      </c>
      <c r="P191" s="889" t="e">
        <f>Calculation!FD194</f>
        <v>#REF!</v>
      </c>
      <c r="Q191" s="895">
        <f>Calculation!DP194</f>
        <v>48232.700000117162</v>
      </c>
      <c r="R191" s="888">
        <f t="shared" si="35"/>
        <v>47613.700000117162</v>
      </c>
      <c r="S191" s="890">
        <f t="shared" si="47"/>
        <v>-236.29999999921711</v>
      </c>
      <c r="T191" s="895">
        <f ca="1">IF(A191&gt;($A$1-1),#N/A,VLOOKUP(A191,Calculation!$B$8:$JO$503,40,FALSE))</f>
        <v>9946.4335463531752</v>
      </c>
      <c r="U191" s="890">
        <f t="shared" si="48"/>
        <v>27.857321965982987</v>
      </c>
      <c r="V191" s="890">
        <f>Calculation!AZ194</f>
        <v>0</v>
      </c>
      <c r="W191" s="1165">
        <f t="shared" ca="1" si="56"/>
        <v>14251.266453763987</v>
      </c>
      <c r="X191" s="1165">
        <f t="shared" ca="1" si="57"/>
        <v>48.942786864544622</v>
      </c>
      <c r="Y191" s="1164">
        <f t="shared" ca="1" si="55"/>
        <v>2500</v>
      </c>
      <c r="Z191" s="890">
        <f t="shared" ca="1" si="58"/>
        <v>11751.266453763987</v>
      </c>
      <c r="AA191" s="890">
        <f t="shared" ca="1" si="59"/>
        <v>0</v>
      </c>
      <c r="AB191" s="1165">
        <f t="shared" ca="1" si="60"/>
        <v>24035</v>
      </c>
      <c r="AC191" s="1166">
        <f t="shared" ca="1" si="61"/>
        <v>23416</v>
      </c>
      <c r="AD191" s="860">
        <f ca="1">IF(A191&gt;$A$1, #N/A,VLOOKUP(A191,Calculation!$B$8:$JO$880,165,FALSE))</f>
        <v>23416</v>
      </c>
      <c r="AE191" s="399">
        <f t="shared" ca="1" si="49"/>
        <v>-84</v>
      </c>
      <c r="AF191" s="399">
        <f t="shared" ref="AF191:AF254" ca="1" si="62">AD191+619</f>
        <v>24035</v>
      </c>
      <c r="AG191" s="841">
        <f>Calculation!G194</f>
        <v>407.83711548198835</v>
      </c>
      <c r="AH191" s="847" t="str">
        <f t="shared" si="50"/>
        <v>Yes</v>
      </c>
      <c r="AI191" s="847" t="str">
        <f>IF(Calculation!K194&gt;0,"Yes","No")</f>
        <v>No</v>
      </c>
      <c r="AJ191" s="869">
        <v>50059.900000117515</v>
      </c>
      <c r="AK191" s="870">
        <v>49586.700000118442</v>
      </c>
      <c r="AL191" s="870">
        <v>46033.100000113067</v>
      </c>
      <c r="AM191" s="912"/>
      <c r="AN191" s="372">
        <v>47518.000000115615</v>
      </c>
      <c r="AO191" s="372">
        <v>45070.700000110286</v>
      </c>
      <c r="AP191" s="372">
        <v>49462.200000119497</v>
      </c>
      <c r="AU191" s="427"/>
      <c r="AV191" s="410"/>
      <c r="AW191" s="442"/>
      <c r="AX191" s="441"/>
      <c r="AY191" s="441"/>
      <c r="AZ191" s="443"/>
      <c r="BB191" s="433"/>
      <c r="BC191" s="432"/>
      <c r="BD191" s="433"/>
      <c r="BE191" s="432"/>
      <c r="BF191" s="433"/>
      <c r="BG191" s="432"/>
      <c r="BH191" s="429"/>
    </row>
    <row r="192" spans="1:60" ht="13.8" thickBot="1" x14ac:dyDescent="0.3">
      <c r="A192" s="406">
        <v>42919</v>
      </c>
      <c r="B192" s="860">
        <f t="shared" si="46"/>
        <v>138.05428000000001</v>
      </c>
      <c r="C192" s="860">
        <f>Calculation!AK195</f>
        <v>0</v>
      </c>
      <c r="D192" s="860">
        <f>Calculation!AI195</f>
        <v>27.852018723404253</v>
      </c>
      <c r="E192" s="860">
        <f>Calculation!AE195</f>
        <v>46.7194</v>
      </c>
      <c r="F192" s="860">
        <f>Calculation!AF195</f>
        <v>91.334879999999998</v>
      </c>
      <c r="G192" s="860">
        <f>Calculation!AG195</f>
        <v>0</v>
      </c>
      <c r="H192" s="861">
        <f>Sheet1!H193</f>
        <v>1.75</v>
      </c>
      <c r="I192" s="841">
        <f>Sheet1!DA193</f>
        <v>575</v>
      </c>
      <c r="J192" s="841">
        <f>Sheet1!DB193</f>
        <v>327</v>
      </c>
      <c r="K192" s="841">
        <f>Sheet1!CZ193</f>
        <v>439</v>
      </c>
      <c r="L192" s="865">
        <f>Calculation!F195</f>
        <v>250</v>
      </c>
      <c r="M192" s="865">
        <f>Calculation!E195</f>
        <v>250</v>
      </c>
      <c r="N192" s="865">
        <f>Calculation!D195</f>
        <v>300</v>
      </c>
      <c r="O192" s="888">
        <f>Sheet1!DC193</f>
        <v>1165.9100000000001</v>
      </c>
      <c r="P192" s="889">
        <f>Calculation!FD195</f>
        <v>1140.0999999999199</v>
      </c>
      <c r="Q192" s="895">
        <f>Calculation!DP195</f>
        <v>48031.10000011509</v>
      </c>
      <c r="R192" s="888">
        <f t="shared" si="35"/>
        <v>47412.10000011509</v>
      </c>
      <c r="S192" s="890">
        <f t="shared" si="47"/>
        <v>-201.60000000207219</v>
      </c>
      <c r="T192" s="895">
        <f ca="1">IF(A192&gt;($A$1-1),#N/A,VLOOKUP(A192,Calculation!$B$8:$JO$503,40,FALSE))</f>
        <v>9891.1976100613829</v>
      </c>
      <c r="U192" s="890">
        <f t="shared" si="48"/>
        <v>27.852018723404253</v>
      </c>
      <c r="V192" s="890">
        <f>Calculation!AZ195</f>
        <v>0</v>
      </c>
      <c r="W192" s="1165">
        <f t="shared" ca="1" si="56"/>
        <v>14188.902390053707</v>
      </c>
      <c r="X192" s="1165">
        <f t="shared" ca="1" si="57"/>
        <v>31.44935134154305</v>
      </c>
      <c r="Y192" s="1164">
        <f t="shared" ca="1" si="55"/>
        <v>2500</v>
      </c>
      <c r="Z192" s="890">
        <f t="shared" ca="1" si="58"/>
        <v>11688.902390053707</v>
      </c>
      <c r="AA192" s="890">
        <f t="shared" ca="1" si="59"/>
        <v>0</v>
      </c>
      <c r="AB192" s="1165">
        <f t="shared" ca="1" si="60"/>
        <v>23951</v>
      </c>
      <c r="AC192" s="1166">
        <f t="shared" ca="1" si="61"/>
        <v>23332</v>
      </c>
      <c r="AD192" s="860">
        <f ca="1">IF(A192&gt;$A$1, #N/A,VLOOKUP(A192,Calculation!$B$8:$JO$880,165,FALSE))</f>
        <v>23332</v>
      </c>
      <c r="AE192" s="399">
        <f t="shared" ca="1" si="49"/>
        <v>-84</v>
      </c>
      <c r="AF192" s="399">
        <f t="shared" ca="1" si="62"/>
        <v>23951</v>
      </c>
      <c r="AG192" s="841">
        <f>Calculation!G195</f>
        <v>337.33585476446183</v>
      </c>
      <c r="AH192" s="847" t="str">
        <f t="shared" si="50"/>
        <v>Yes</v>
      </c>
      <c r="AI192" s="847" t="str">
        <f>IF(Calculation!K195&gt;0,"Yes","No")</f>
        <v>No</v>
      </c>
      <c r="AJ192" s="869">
        <v>49947.300000117255</v>
      </c>
      <c r="AK192" s="870">
        <v>49348.200000119235</v>
      </c>
      <c r="AL192" s="870">
        <v>45573.100000110782</v>
      </c>
      <c r="AM192" s="912"/>
      <c r="AN192" s="372">
        <v>47439.800000114585</v>
      </c>
      <c r="AO192" s="372">
        <v>44917.10000011004</v>
      </c>
      <c r="AP192" s="372">
        <v>49405.200000119497</v>
      </c>
      <c r="AU192" s="427"/>
      <c r="AV192" s="410"/>
      <c r="AW192" s="442"/>
      <c r="AX192" s="441"/>
      <c r="AY192" s="441"/>
      <c r="AZ192" s="443"/>
      <c r="BB192" s="433"/>
      <c r="BC192" s="432"/>
      <c r="BD192" s="433"/>
      <c r="BE192" s="432"/>
      <c r="BF192" s="433"/>
      <c r="BG192" s="432"/>
      <c r="BH192" s="429"/>
    </row>
    <row r="193" spans="1:60" ht="13.8" thickBot="1" x14ac:dyDescent="0.3">
      <c r="A193" s="406">
        <v>42920</v>
      </c>
      <c r="B193" s="860">
        <f t="shared" si="46"/>
        <v>134.85199</v>
      </c>
      <c r="C193" s="860">
        <f>Calculation!AK196</f>
        <v>0</v>
      </c>
      <c r="D193" s="860">
        <f>Calculation!AI196</f>
        <v>27.868719358119961</v>
      </c>
      <c r="E193" s="860">
        <f>Calculation!AE196</f>
        <v>46.874099999999999</v>
      </c>
      <c r="F193" s="860">
        <f>Calculation!AF196</f>
        <v>87.977889999999988</v>
      </c>
      <c r="G193" s="860">
        <f>Calculation!AG196</f>
        <v>0</v>
      </c>
      <c r="H193" s="861">
        <f>Sheet1!H194</f>
        <v>1.74</v>
      </c>
      <c r="I193" s="841">
        <f>Sheet1!DA194</f>
        <v>517</v>
      </c>
      <c r="J193" s="841">
        <f>Sheet1!DB194</f>
        <v>325</v>
      </c>
      <c r="K193" s="841">
        <f>Sheet1!CZ194</f>
        <v>439</v>
      </c>
      <c r="L193" s="865">
        <f>Calculation!F196</f>
        <v>250</v>
      </c>
      <c r="M193" s="865">
        <f>Calculation!E196</f>
        <v>250</v>
      </c>
      <c r="N193" s="865">
        <f>Calculation!D196</f>
        <v>300</v>
      </c>
      <c r="O193" s="888">
        <f>Sheet1!DC194</f>
        <v>1165.8</v>
      </c>
      <c r="P193" s="889">
        <f>Calculation!FD196</f>
        <v>1139.9878378377578</v>
      </c>
      <c r="Q193" s="895">
        <f>Calculation!DP196</f>
        <v>47908.00000011587</v>
      </c>
      <c r="R193" s="888">
        <f t="shared" si="35"/>
        <v>47289.00000011587</v>
      </c>
      <c r="S193" s="890">
        <f t="shared" si="47"/>
        <v>-123.09999999922002</v>
      </c>
      <c r="T193" s="895">
        <f ca="1">IF(A193&gt;($A$1-1),#N/A,VLOOKUP(A193,Calculation!$B$8:$JO$503,40,FALSE))</f>
        <v>9835.9285531830956</v>
      </c>
      <c r="U193" s="890">
        <f t="shared" si="48"/>
        <v>27.868719358119961</v>
      </c>
      <c r="V193" s="890">
        <f>Calculation!AZ196</f>
        <v>0</v>
      </c>
      <c r="W193" s="1165">
        <f t="shared" ca="1" si="56"/>
        <v>14205.071446932772</v>
      </c>
      <c r="X193" s="1165">
        <f t="shared" ca="1" si="57"/>
        <v>-8.153836045923077</v>
      </c>
      <c r="Y193" s="1164">
        <f t="shared" ca="1" si="55"/>
        <v>2500</v>
      </c>
      <c r="Z193" s="890">
        <f t="shared" ca="1" si="58"/>
        <v>11705.071446932772</v>
      </c>
      <c r="AA193" s="890">
        <f t="shared" ca="1" si="59"/>
        <v>0</v>
      </c>
      <c r="AB193" s="1165">
        <f t="shared" ca="1" si="60"/>
        <v>23867</v>
      </c>
      <c r="AC193" s="1166">
        <f t="shared" ca="1" si="61"/>
        <v>23248</v>
      </c>
      <c r="AD193" s="860">
        <f ca="1">IF(A193&gt;$A$1, #N/A,VLOOKUP(A193,Calculation!$B$8:$JO$880,165,FALSE))</f>
        <v>23248</v>
      </c>
      <c r="AE193" s="399">
        <f t="shared" ca="1" si="49"/>
        <v>-84</v>
      </c>
      <c r="AF193" s="399">
        <f t="shared" ca="1" si="62"/>
        <v>23867</v>
      </c>
      <c r="AG193" s="841">
        <f>Calculation!G196</f>
        <v>376.92233988945031</v>
      </c>
      <c r="AH193" s="847" t="str">
        <f t="shared" si="50"/>
        <v>Yes</v>
      </c>
      <c r="AI193" s="847" t="str">
        <f>IF(Calculation!K196&gt;0,"Yes","No")</f>
        <v>No</v>
      </c>
      <c r="AJ193" s="869">
        <v>49699.580000117006</v>
      </c>
      <c r="AK193" s="870">
        <v>49382.400000119233</v>
      </c>
      <c r="AL193" s="870">
        <v>45081.600000110288</v>
      </c>
      <c r="AM193" s="912"/>
      <c r="AN193" s="372">
        <v>47384.30000011433</v>
      </c>
      <c r="AO193" s="372">
        <v>44743.400000109032</v>
      </c>
      <c r="AP193" s="372">
        <v>49302.600000119237</v>
      </c>
      <c r="AU193" s="427"/>
      <c r="AV193" s="410"/>
      <c r="AW193" s="442"/>
      <c r="AX193" s="441"/>
      <c r="AY193" s="441"/>
      <c r="AZ193" s="443"/>
      <c r="BB193" s="433"/>
      <c r="BC193" s="432"/>
      <c r="BD193" s="433"/>
      <c r="BE193" s="432"/>
      <c r="BF193" s="433"/>
      <c r="BG193" s="432"/>
      <c r="BH193" s="429"/>
    </row>
    <row r="194" spans="1:60" ht="13.8" thickBot="1" x14ac:dyDescent="0.3">
      <c r="A194" s="406">
        <v>42921</v>
      </c>
      <c r="B194" s="860">
        <f t="shared" si="46"/>
        <v>136.90949999999998</v>
      </c>
      <c r="C194" s="860">
        <f>Calculation!AK197</f>
        <v>0</v>
      </c>
      <c r="D194" s="860">
        <f>Calculation!AI197</f>
        <v>33.280356780949162</v>
      </c>
      <c r="E194" s="860">
        <f>Calculation!AE197</f>
        <v>45.636499999999998</v>
      </c>
      <c r="F194" s="860">
        <f>Calculation!AF197</f>
        <v>91.272999999999996</v>
      </c>
      <c r="G194" s="860">
        <f>Calculation!AG197</f>
        <v>0</v>
      </c>
      <c r="H194" s="861">
        <f>Sheet1!H195</f>
        <v>1.81</v>
      </c>
      <c r="I194" s="841">
        <f>Sheet1!DA195</f>
        <v>496</v>
      </c>
      <c r="J194" s="841">
        <f>Sheet1!DB195</f>
        <v>332</v>
      </c>
      <c r="K194" s="841">
        <f>Sheet1!CZ195</f>
        <v>443</v>
      </c>
      <c r="L194" s="865">
        <f>Calculation!F197</f>
        <v>250</v>
      </c>
      <c r="M194" s="865">
        <f>Calculation!E197</f>
        <v>250</v>
      </c>
      <c r="N194" s="865">
        <f>Calculation!D197</f>
        <v>300</v>
      </c>
      <c r="O194" s="888">
        <f>Sheet1!DC195</f>
        <v>1165.6500000000001</v>
      </c>
      <c r="P194" s="889">
        <f>Calculation!FD197</f>
        <v>1139.8739726026597</v>
      </c>
      <c r="Q194" s="895">
        <f>Calculation!DP197</f>
        <v>47741.00000011587</v>
      </c>
      <c r="R194" s="888">
        <f t="shared" si="35"/>
        <v>47122.00000011587</v>
      </c>
      <c r="S194" s="890">
        <f t="shared" si="47"/>
        <v>-167</v>
      </c>
      <c r="T194" s="895">
        <f ca="1">IF(A194&gt;($A$1-1),#N/A,VLOOKUP(A194,Calculation!$B$8:$JO$503,40,FALSE))</f>
        <v>9769.9271733486094</v>
      </c>
      <c r="U194" s="890">
        <f t="shared" si="48"/>
        <v>33.280356780949162</v>
      </c>
      <c r="V194" s="890">
        <f>Calculation!AZ197</f>
        <v>0</v>
      </c>
      <c r="W194" s="1165">
        <f t="shared" ref="W194:W195" ca="1" si="63">Q194-T194-AB194</f>
        <v>14188.07282676726</v>
      </c>
      <c r="X194" s="1165">
        <f t="shared" ref="X194:X195" ca="1" si="64">(W193-W194)*AFtoCFS</f>
        <v>8.5721735579989726</v>
      </c>
      <c r="Y194" s="1164">
        <f t="shared" ca="1" si="55"/>
        <v>2500</v>
      </c>
      <c r="Z194" s="890">
        <f t="shared" ca="1" si="53"/>
        <v>11688.07282676726</v>
      </c>
      <c r="AA194" s="890">
        <f t="shared" ca="1" si="54"/>
        <v>0</v>
      </c>
      <c r="AB194" s="1165">
        <f t="shared" ref="AB194:AB195" ca="1" si="65">AC194+619</f>
        <v>23783</v>
      </c>
      <c r="AC194" s="1166">
        <f t="shared" ref="AC194:AC195" ca="1" si="66">AD194</f>
        <v>23164</v>
      </c>
      <c r="AD194" s="860">
        <f ca="1">IF(A194&gt;$A$1, #N/A,VLOOKUP(A194,Calculation!$B$8:$JO$880,165,FALSE))</f>
        <v>23164</v>
      </c>
      <c r="AE194" s="399">
        <f t="shared" ca="1" si="49"/>
        <v>-84</v>
      </c>
      <c r="AF194" s="399">
        <f t="shared" ca="1" si="62"/>
        <v>23783</v>
      </c>
      <c r="AG194" s="841">
        <f>Calculation!G197</f>
        <v>358.7841654059506</v>
      </c>
      <c r="AH194" s="847" t="str">
        <f t="shared" si="50"/>
        <v>Yes</v>
      </c>
      <c r="AI194" s="847" t="str">
        <f>IF(Calculation!K197&gt;0,"Yes","No")</f>
        <v>No</v>
      </c>
      <c r="AJ194" s="869">
        <v>49519.420000117003</v>
      </c>
      <c r="AK194" s="870">
        <v>49382.400000119233</v>
      </c>
      <c r="AL194" s="870">
        <v>44624.600000108781</v>
      </c>
      <c r="AM194" s="912"/>
      <c r="AN194" s="372">
        <v>47295.00000011536</v>
      </c>
      <c r="AO194" s="372">
        <v>44559.400000109788</v>
      </c>
      <c r="AP194" s="372">
        <v>49257.000000119238</v>
      </c>
      <c r="AU194" s="427"/>
      <c r="AV194" s="410"/>
      <c r="AW194" s="442"/>
      <c r="AX194" s="441"/>
      <c r="AY194" s="441"/>
      <c r="AZ194" s="443"/>
      <c r="BB194" s="433"/>
      <c r="BC194" s="432"/>
      <c r="BD194" s="433"/>
      <c r="BE194" s="432"/>
      <c r="BF194" s="433"/>
      <c r="BG194" s="432"/>
      <c r="BH194" s="429"/>
    </row>
    <row r="195" spans="1:60" ht="13.8" thickBot="1" x14ac:dyDescent="0.3">
      <c r="A195" s="406">
        <v>42922</v>
      </c>
      <c r="B195" s="860">
        <f t="shared" si="46"/>
        <v>140.6223</v>
      </c>
      <c r="C195" s="860">
        <f>Calculation!AK198</f>
        <v>0</v>
      </c>
      <c r="D195" s="860">
        <f>Calculation!AI198</f>
        <v>33.653891161616158</v>
      </c>
      <c r="E195" s="860">
        <f>Calculation!AE198</f>
        <v>42.851899999999993</v>
      </c>
      <c r="F195" s="860">
        <f>Calculation!AF198</f>
        <v>97.770399999999995</v>
      </c>
      <c r="G195" s="860">
        <f>Calculation!AG198</f>
        <v>0</v>
      </c>
      <c r="H195" s="861">
        <f>Sheet1!H196</f>
        <v>1.92</v>
      </c>
      <c r="I195" s="841">
        <f>Sheet1!DA196</f>
        <v>496</v>
      </c>
      <c r="J195" s="841">
        <f>Sheet1!DB196</f>
        <v>327</v>
      </c>
      <c r="K195" s="841">
        <f>Sheet1!CZ196</f>
        <v>443</v>
      </c>
      <c r="L195" s="865">
        <f>Calculation!F198</f>
        <v>250</v>
      </c>
      <c r="M195" s="865">
        <f>Calculation!E198</f>
        <v>250</v>
      </c>
      <c r="N195" s="865">
        <f>Calculation!D198</f>
        <v>300</v>
      </c>
      <c r="O195" s="888">
        <f>Sheet1!DC196</f>
        <v>1165.49</v>
      </c>
      <c r="P195" s="889">
        <f>Calculation!FD198</f>
        <v>1139.7589041095093</v>
      </c>
      <c r="Q195" s="895">
        <f>Calculation!DP198</f>
        <v>47562.800000115618</v>
      </c>
      <c r="R195" s="888">
        <f t="shared" si="35"/>
        <v>46943.800000115618</v>
      </c>
      <c r="S195" s="890">
        <f t="shared" si="47"/>
        <v>-178.20000000025175</v>
      </c>
      <c r="T195" s="895">
        <f ca="1">IF(A195&gt;($A$1-1),#N/A,VLOOKUP(A195,Calculation!$B$8:$JO$503,40,FALSE))</f>
        <v>9703.1850026415377</v>
      </c>
      <c r="U195" s="890">
        <f t="shared" si="48"/>
        <v>33.653891161616158</v>
      </c>
      <c r="V195" s="890">
        <f>Calculation!AZ198</f>
        <v>0</v>
      </c>
      <c r="W195" s="1165">
        <f t="shared" ca="1" si="63"/>
        <v>14160.614997474084</v>
      </c>
      <c r="X195" s="1165">
        <f t="shared" ca="1" si="64"/>
        <v>13.846610838717332</v>
      </c>
      <c r="Y195" s="1164">
        <f ca="1">IF(A195&lt;$A$1,2500,#N/A)</f>
        <v>2500</v>
      </c>
      <c r="Z195" s="890">
        <f t="shared" ca="1" si="53"/>
        <v>11660.614997474084</v>
      </c>
      <c r="AA195" s="890">
        <f t="shared" ca="1" si="54"/>
        <v>0</v>
      </c>
      <c r="AB195" s="1165">
        <f t="shared" ca="1" si="65"/>
        <v>23699</v>
      </c>
      <c r="AC195" s="1166">
        <f t="shared" ca="1" si="66"/>
        <v>23080</v>
      </c>
      <c r="AD195" s="860">
        <f ca="1">IF(A195&gt;$A$1, #N/A,VLOOKUP(A195,Calculation!$B$8:$JO$880,165,FALSE))</f>
        <v>23080</v>
      </c>
      <c r="AE195" s="399">
        <f t="shared" ca="1" si="49"/>
        <v>-84</v>
      </c>
      <c r="AF195" s="399">
        <f t="shared" ca="1" si="62"/>
        <v>23699</v>
      </c>
      <c r="AG195" s="841">
        <f>Calculation!G198</f>
        <v>353.13615733724066</v>
      </c>
      <c r="AH195" s="847" t="str">
        <f t="shared" si="50"/>
        <v>Yes</v>
      </c>
      <c r="AI195" s="847" t="str">
        <f>IF(Calculation!K198&gt;0,"Yes","No")</f>
        <v>No</v>
      </c>
      <c r="AJ195" s="869">
        <v>49384.300000116746</v>
      </c>
      <c r="AK195" s="870">
        <v>49405.200000119497</v>
      </c>
      <c r="AL195" s="870">
        <v>44202.400000108537</v>
      </c>
      <c r="AN195" s="372">
        <v>47172.400000114329</v>
      </c>
      <c r="AO195" s="372">
        <v>44375.20000010854</v>
      </c>
      <c r="AP195" s="372">
        <v>49279.800000119234</v>
      </c>
      <c r="AU195" s="427"/>
      <c r="AV195" s="410"/>
      <c r="AW195" s="442"/>
      <c r="AX195" s="441"/>
      <c r="AY195" s="441"/>
      <c r="AZ195" s="443"/>
      <c r="BB195" s="433"/>
      <c r="BC195" s="432"/>
      <c r="BD195" s="433"/>
      <c r="BE195" s="432"/>
      <c r="BF195" s="433"/>
      <c r="BG195" s="432"/>
      <c r="BH195" s="429"/>
    </row>
    <row r="196" spans="1:60" ht="13.8" thickBot="1" x14ac:dyDescent="0.3">
      <c r="A196" s="406">
        <v>42923</v>
      </c>
      <c r="B196" s="860">
        <f t="shared" si="46"/>
        <v>146.64013</v>
      </c>
      <c r="C196" s="860">
        <f>Calculation!AK199</f>
        <v>0</v>
      </c>
      <c r="D196" s="860">
        <f>Calculation!AI199</f>
        <v>33.294977069408745</v>
      </c>
      <c r="E196" s="860">
        <f>Calculation!AE199</f>
        <v>44.244199999999999</v>
      </c>
      <c r="F196" s="860">
        <f>Calculation!AF199</f>
        <v>102.39592999999999</v>
      </c>
      <c r="G196" s="860">
        <f>Calculation!AG199</f>
        <v>0</v>
      </c>
      <c r="H196" s="861">
        <f>Sheet1!H197</f>
        <v>1.86</v>
      </c>
      <c r="I196" s="841">
        <f>Sheet1!DA197</f>
        <v>465</v>
      </c>
      <c r="J196" s="841">
        <f>Sheet1!DB197</f>
        <v>260</v>
      </c>
      <c r="K196" s="841">
        <f>Sheet1!CZ197</f>
        <v>403</v>
      </c>
      <c r="L196" s="865">
        <f>Calculation!F199</f>
        <v>250</v>
      </c>
      <c r="M196" s="865">
        <f>Calculation!E199</f>
        <v>250</v>
      </c>
      <c r="N196" s="865">
        <f>Calculation!D199</f>
        <v>300</v>
      </c>
      <c r="O196" s="888">
        <f>Sheet1!DC197</f>
        <v>1165.33</v>
      </c>
      <c r="P196" s="889">
        <f>Calculation!FD199</f>
        <v>1139.6438356163587</v>
      </c>
      <c r="Q196" s="895">
        <f>Calculation!DP199</f>
        <v>47384.30000011433</v>
      </c>
      <c r="R196" s="888">
        <f t="shared" si="35"/>
        <v>46765.30000011433</v>
      </c>
      <c r="S196" s="890">
        <f t="shared" si="47"/>
        <v>-178.50000000128784</v>
      </c>
      <c r="T196" s="895">
        <f ca="1">IF(A196&gt;($A$1-1),#N/A,VLOOKUP(A196,Calculation!$B$8:$JO$503,40,FALSE))</f>
        <v>9637.154627949265</v>
      </c>
      <c r="U196" s="890">
        <f t="shared" si="48"/>
        <v>33.294977069408745</v>
      </c>
      <c r="V196" s="890">
        <f>Calculation!AZ199</f>
        <v>0</v>
      </c>
      <c r="W196" s="1165">
        <f t="shared" ref="W196:W198" ca="1" si="67">Q196-T196-AB196</f>
        <v>14132.145372165061</v>
      </c>
      <c r="X196" s="1165">
        <f t="shared" ref="X196:X198" ca="1" si="68">(W195-W196)*AFtoCFS</f>
        <v>14.356845844186774</v>
      </c>
      <c r="Y196" s="1164">
        <f t="shared" ref="Y196:Y235" ca="1" si="69">IF(A196&lt;$A$1,2500,#N/A)</f>
        <v>2500</v>
      </c>
      <c r="Z196" s="890">
        <f t="shared" ca="1" si="53"/>
        <v>11632.145372165061</v>
      </c>
      <c r="AA196" s="890">
        <f t="shared" ca="1" si="54"/>
        <v>0</v>
      </c>
      <c r="AB196" s="1165">
        <f t="shared" ref="AB196:AB198" ca="1" si="70">AC196+619</f>
        <v>23615</v>
      </c>
      <c r="AC196" s="1166">
        <f t="shared" ref="AC196:AC198" ca="1" si="71">AD196</f>
        <v>22996</v>
      </c>
      <c r="AD196" s="860">
        <f ca="1">IF(A196&gt;$A$1, #N/A,VLOOKUP(A196,Calculation!$B$8:$JO$880,165,FALSE))</f>
        <v>22996</v>
      </c>
      <c r="AE196" s="399">
        <f t="shared" ca="1" si="49"/>
        <v>-84</v>
      </c>
      <c r="AF196" s="399">
        <f t="shared" ca="1" si="62"/>
        <v>23615</v>
      </c>
      <c r="AG196" s="841">
        <f>Calculation!G199</f>
        <v>312.98487140630971</v>
      </c>
      <c r="AH196" s="847" t="str">
        <f t="shared" si="50"/>
        <v>Yes</v>
      </c>
      <c r="AI196" s="847" t="str">
        <f>IF(Calculation!K199&gt;0,"Yes","No")</f>
        <v>No</v>
      </c>
      <c r="AJ196" s="869">
        <v>49205.350000115606</v>
      </c>
      <c r="AK196" s="870">
        <v>49279.800000119234</v>
      </c>
      <c r="AL196" s="870">
        <v>43737.000000108048</v>
      </c>
      <c r="AN196" s="372">
        <v>47083.200000115103</v>
      </c>
      <c r="AO196" s="372">
        <v>44170.000000108543</v>
      </c>
      <c r="AP196" s="372">
        <v>49291.200000119235</v>
      </c>
      <c r="AU196" s="427"/>
      <c r="AV196" s="410"/>
      <c r="AW196" s="442"/>
      <c r="AX196" s="441"/>
      <c r="AY196" s="441"/>
      <c r="AZ196" s="443"/>
      <c r="BB196" s="433"/>
      <c r="BC196" s="432"/>
      <c r="BD196" s="433"/>
      <c r="BE196" s="432"/>
      <c r="BF196" s="433"/>
      <c r="BG196" s="432"/>
      <c r="BH196" s="429"/>
    </row>
    <row r="197" spans="1:60" ht="13.8" thickBot="1" x14ac:dyDescent="0.3">
      <c r="A197" s="406">
        <v>42924</v>
      </c>
      <c r="B197" s="860">
        <f t="shared" si="46"/>
        <v>146.48542999999998</v>
      </c>
      <c r="C197" s="860">
        <f>Calculation!AK200</f>
        <v>0</v>
      </c>
      <c r="D197" s="860">
        <f>Calculation!AI200</f>
        <v>33.285496350053357</v>
      </c>
      <c r="E197" s="860">
        <f>Calculation!AE200</f>
        <v>45.172399999999996</v>
      </c>
      <c r="F197" s="860">
        <f>Calculation!AF200</f>
        <v>101.31302999999998</v>
      </c>
      <c r="G197" s="860">
        <f>Calculation!AG200</f>
        <v>0</v>
      </c>
      <c r="H197" s="861">
        <f>Sheet1!H198</f>
        <v>1.44</v>
      </c>
      <c r="I197" s="841">
        <f>Sheet1!DA198</f>
        <v>435</v>
      </c>
      <c r="J197" s="841">
        <f>Sheet1!DB198</f>
        <v>272</v>
      </c>
      <c r="K197" s="841">
        <f>Sheet1!CZ198</f>
        <v>403</v>
      </c>
      <c r="L197" s="865">
        <f>Calculation!F200</f>
        <v>250</v>
      </c>
      <c r="M197" s="865">
        <f>Calculation!E200</f>
        <v>250</v>
      </c>
      <c r="N197" s="865">
        <f>Calculation!D200</f>
        <v>300</v>
      </c>
      <c r="O197" s="888">
        <f>Sheet1!DC198</f>
        <v>1165.2</v>
      </c>
      <c r="P197" s="889">
        <f>Calculation!FD200</f>
        <v>1139.5287671232081</v>
      </c>
      <c r="Q197" s="895">
        <f>Calculation!DP200</f>
        <v>47239.00000011536</v>
      </c>
      <c r="R197" s="888">
        <f t="shared" si="35"/>
        <v>46620.00000011536</v>
      </c>
      <c r="S197" s="890">
        <f t="shared" si="47"/>
        <v>-145.29999999896972</v>
      </c>
      <c r="T197" s="895">
        <f ca="1">IF(A197&gt;($A$1-1),#N/A,VLOOKUP(A197,Calculation!$B$8:$JO$503,40,FALSE))</f>
        <v>9571.1430553558821</v>
      </c>
      <c r="U197" s="890">
        <f t="shared" si="48"/>
        <v>33.285496350053357</v>
      </c>
      <c r="V197" s="890">
        <f>Calculation!AZ200</f>
        <v>0</v>
      </c>
      <c r="W197" s="1165">
        <f t="shared" ca="1" si="67"/>
        <v>14136.856944759478</v>
      </c>
      <c r="X197" s="1165">
        <f t="shared" ca="1" si="68"/>
        <v>-2.3759821454446763</v>
      </c>
      <c r="Y197" s="1164">
        <f t="shared" ca="1" si="69"/>
        <v>2500</v>
      </c>
      <c r="Z197" s="890">
        <f t="shared" ca="1" si="53"/>
        <v>11636.856944759478</v>
      </c>
      <c r="AA197" s="890">
        <f t="shared" ca="1" si="54"/>
        <v>0</v>
      </c>
      <c r="AB197" s="1165">
        <f t="shared" ca="1" si="70"/>
        <v>23531</v>
      </c>
      <c r="AC197" s="1166">
        <f t="shared" ca="1" si="71"/>
        <v>22912</v>
      </c>
      <c r="AD197" s="860">
        <f ca="1">IF(A197&gt;$A$1, #N/A,VLOOKUP(A197,Calculation!$B$8:$JO$880,165,FALSE))</f>
        <v>22912</v>
      </c>
      <c r="AE197" s="399">
        <f t="shared" ca="1" si="49"/>
        <v>-84</v>
      </c>
      <c r="AF197" s="399">
        <f t="shared" ca="1" si="62"/>
        <v>23531</v>
      </c>
      <c r="AG197" s="841">
        <f>Calculation!G200</f>
        <v>329.7271810393496</v>
      </c>
      <c r="AH197" s="847" t="str">
        <f t="shared" si="50"/>
        <v>Yes</v>
      </c>
      <c r="AI197" s="847" t="str">
        <f>IF(Calculation!K200&gt;0,"Yes","No")</f>
        <v>No</v>
      </c>
      <c r="AJ197" s="869">
        <v>48915.45000011535</v>
      </c>
      <c r="AK197" s="870">
        <v>49245.700000118188</v>
      </c>
      <c r="AL197" s="870">
        <v>43373.200000106801</v>
      </c>
      <c r="AN197" s="372">
        <v>46961.000000113054</v>
      </c>
      <c r="AO197" s="372">
        <v>43953.000000109299</v>
      </c>
      <c r="AP197" s="372">
        <v>49325.400000119233</v>
      </c>
      <c r="AU197" s="427"/>
      <c r="AV197" s="410"/>
      <c r="AW197" s="442"/>
      <c r="AX197" s="441"/>
      <c r="AY197" s="441"/>
      <c r="AZ197" s="443"/>
      <c r="BB197" s="433"/>
      <c r="BC197" s="432"/>
      <c r="BD197" s="433"/>
      <c r="BE197" s="432"/>
      <c r="BF197" s="433"/>
      <c r="BG197" s="432"/>
      <c r="BH197" s="429"/>
    </row>
    <row r="198" spans="1:60" ht="13.8" thickBot="1" x14ac:dyDescent="0.3">
      <c r="A198" s="406">
        <v>42925</v>
      </c>
      <c r="B198" s="860">
        <f t="shared" si="46"/>
        <v>147.15063999999998</v>
      </c>
      <c r="C198" s="860">
        <f>Calculation!AK201</f>
        <v>0</v>
      </c>
      <c r="D198" s="860">
        <f>Calculation!AI201</f>
        <v>33.289663945330297</v>
      </c>
      <c r="E198" s="860">
        <f>Calculation!AE201</f>
        <v>45.327100000000002</v>
      </c>
      <c r="F198" s="860">
        <f>Calculation!AF201</f>
        <v>101.82353999999998</v>
      </c>
      <c r="G198" s="860">
        <f>Calculation!AG201</f>
        <v>0</v>
      </c>
      <c r="H198" s="861">
        <f>Sheet1!H199</f>
        <v>1.46</v>
      </c>
      <c r="I198" s="841">
        <f>Sheet1!DA199</f>
        <v>430</v>
      </c>
      <c r="J198" s="841">
        <f>Sheet1!DB199</f>
        <v>269</v>
      </c>
      <c r="K198" s="841">
        <f>Sheet1!CZ199</f>
        <v>403</v>
      </c>
      <c r="L198" s="865">
        <f>Calculation!F201</f>
        <v>250</v>
      </c>
      <c r="M198" s="865">
        <f>Calculation!E201</f>
        <v>250</v>
      </c>
      <c r="N198" s="865">
        <f>Calculation!D201</f>
        <v>300</v>
      </c>
      <c r="O198" s="888">
        <f>Sheet1!DC199</f>
        <v>1165.05</v>
      </c>
      <c r="P198" s="889">
        <f>Calculation!FD201</f>
        <v>1139.4136986300575</v>
      </c>
      <c r="Q198" s="895">
        <f>Calculation!DP201</f>
        <v>47072.000000115106</v>
      </c>
      <c r="R198" s="888">
        <f t="shared" ref="R198:R261" si="72">Q198-619</f>
        <v>46453.000000115106</v>
      </c>
      <c r="S198" s="890">
        <f t="shared" si="47"/>
        <v>-167.00000000025466</v>
      </c>
      <c r="T198" s="895">
        <f ca="1">IF(A198&gt;($A$1-1),#N/A,VLOOKUP(A198,Calculation!$B$8:$JO$503,40,FALSE))</f>
        <v>9505.1232176155627</v>
      </c>
      <c r="U198" s="890">
        <f t="shared" si="48"/>
        <v>33.289663945330297</v>
      </c>
      <c r="V198" s="890">
        <f>Calculation!AZ201</f>
        <v>0</v>
      </c>
      <c r="W198" s="1165">
        <f t="shared" ca="1" si="67"/>
        <v>14118.876782499545</v>
      </c>
      <c r="X198" s="1165">
        <f t="shared" ca="1" si="68"/>
        <v>9.0671519212977412</v>
      </c>
      <c r="Y198" s="1164">
        <f t="shared" ca="1" si="69"/>
        <v>2500</v>
      </c>
      <c r="Z198" s="890">
        <f t="shared" ca="1" si="53"/>
        <v>11618.876782499545</v>
      </c>
      <c r="AA198" s="890">
        <f t="shared" ca="1" si="54"/>
        <v>0</v>
      </c>
      <c r="AB198" s="1165">
        <f t="shared" ca="1" si="70"/>
        <v>23448</v>
      </c>
      <c r="AC198" s="1166">
        <f t="shared" ca="1" si="71"/>
        <v>22829</v>
      </c>
      <c r="AD198" s="860">
        <f ca="1">IF(A198&gt;$A$1, #N/A,VLOOKUP(A198,Calculation!$B$8:$JO$880,165,FALSE))</f>
        <v>22829</v>
      </c>
      <c r="AE198" s="399">
        <f t="shared" ca="1" si="49"/>
        <v>-83</v>
      </c>
      <c r="AF198" s="399">
        <f t="shared" ca="1" si="62"/>
        <v>23448</v>
      </c>
      <c r="AG198" s="841">
        <f>Calculation!G201</f>
        <v>318.78416540582214</v>
      </c>
      <c r="AH198" s="847" t="str">
        <f t="shared" si="50"/>
        <v>Yes</v>
      </c>
      <c r="AI198" s="847" t="str">
        <f>IF(Calculation!K201&gt;0,"Yes","No")</f>
        <v>No</v>
      </c>
      <c r="AJ198" s="869">
        <v>48447.150000114845</v>
      </c>
      <c r="AK198" s="870">
        <v>49144.000000118191</v>
      </c>
      <c r="AL198" s="870">
        <v>43169.900000106558</v>
      </c>
      <c r="AN198" s="372">
        <v>46806.100000113824</v>
      </c>
      <c r="AO198" s="372">
        <v>43758.600000108047</v>
      </c>
      <c r="AP198" s="372">
        <v>49462.200000119497</v>
      </c>
      <c r="AU198" s="427"/>
      <c r="AV198" s="410"/>
      <c r="AW198" s="442"/>
      <c r="AX198" s="441"/>
      <c r="AY198" s="441"/>
      <c r="AZ198" s="443"/>
      <c r="BB198" s="433"/>
      <c r="BC198" s="432"/>
      <c r="BD198" s="433"/>
      <c r="BE198" s="432"/>
      <c r="BF198" s="433"/>
      <c r="BG198" s="432"/>
      <c r="BH198" s="429"/>
    </row>
    <row r="199" spans="1:60" ht="13.8" thickBot="1" x14ac:dyDescent="0.3">
      <c r="A199" s="406">
        <v>42926</v>
      </c>
      <c r="B199" s="860">
        <f t="shared" si="46"/>
        <v>147.08875999999998</v>
      </c>
      <c r="C199" s="860">
        <f>Calculation!AK202</f>
        <v>0</v>
      </c>
      <c r="D199" s="860">
        <f>Calculation!AI202</f>
        <v>33.807595694591726</v>
      </c>
      <c r="E199" s="860">
        <f>Calculation!AE202</f>
        <v>45.172399999999996</v>
      </c>
      <c r="F199" s="860">
        <f>Calculation!AF202</f>
        <v>101.91635999999998</v>
      </c>
      <c r="G199" s="860">
        <f>Calculation!AG202</f>
        <v>0</v>
      </c>
      <c r="H199" s="861">
        <f>Sheet1!H200</f>
        <v>1.68</v>
      </c>
      <c r="I199" s="841">
        <f>Sheet1!DA200</f>
        <v>410</v>
      </c>
      <c r="J199" s="841">
        <f>Sheet1!DB200</f>
        <v>269</v>
      </c>
      <c r="K199" s="841">
        <f>Sheet1!CZ200</f>
        <v>393</v>
      </c>
      <c r="L199" s="865">
        <f>Calculation!F202</f>
        <v>250</v>
      </c>
      <c r="M199" s="865">
        <f>Calculation!E202</f>
        <v>250</v>
      </c>
      <c r="N199" s="865">
        <f>Calculation!D202</f>
        <v>300</v>
      </c>
      <c r="O199" s="888">
        <f>Sheet1!DC200</f>
        <v>1164.8800000000001</v>
      </c>
      <c r="P199" s="889">
        <f>Calculation!FD202</f>
        <v>1139.2999999999206</v>
      </c>
      <c r="Q199" s="895">
        <f>Calculation!DP202</f>
        <v>46883.800000114075</v>
      </c>
      <c r="R199" s="888">
        <f t="shared" si="72"/>
        <v>46264.800000114075</v>
      </c>
      <c r="S199" s="890">
        <f t="shared" si="47"/>
        <v>-188.20000000103028</v>
      </c>
      <c r="T199" s="895">
        <f ca="1">IF(A199&gt;($A$1-1),#N/A,VLOOKUP(A199,Calculation!$B$8:$JO$503,40,FALSE))</f>
        <v>9438.0762211120018</v>
      </c>
      <c r="U199" s="890">
        <f t="shared" si="48"/>
        <v>33.807595694591726</v>
      </c>
      <c r="V199" s="890">
        <f>Calculation!AZ202</f>
        <v>0</v>
      </c>
      <c r="W199" s="1165">
        <f t="shared" ref="W199:W200" ca="1" si="73">Q199-T199-AB199</f>
        <v>14081.723779002074</v>
      </c>
      <c r="X199" s="1165">
        <f t="shared" ref="X199:X200" ca="1" si="74">(W198-W199)*AFtoCFS</f>
        <v>18.735755671947157</v>
      </c>
      <c r="Y199" s="1164">
        <f t="shared" ca="1" si="69"/>
        <v>2500</v>
      </c>
      <c r="Z199" s="890">
        <f t="shared" ca="1" si="53"/>
        <v>11581.723779002074</v>
      </c>
      <c r="AA199" s="890">
        <f t="shared" ca="1" si="54"/>
        <v>0</v>
      </c>
      <c r="AB199" s="1165">
        <f t="shared" ref="AB199:AB200" ca="1" si="75">AC199+619</f>
        <v>23364</v>
      </c>
      <c r="AC199" s="1166">
        <f t="shared" ref="AC199:AC200" ca="1" si="76">AD199</f>
        <v>22745</v>
      </c>
      <c r="AD199" s="860">
        <f ca="1">IF(A199&gt;$A$1, #N/A,VLOOKUP(A199,Calculation!$B$8:$JO$880,165,FALSE))</f>
        <v>22745</v>
      </c>
      <c r="AE199" s="399">
        <f t="shared" ca="1" si="49"/>
        <v>-84</v>
      </c>
      <c r="AF199" s="399">
        <f t="shared" ca="1" si="62"/>
        <v>23364</v>
      </c>
      <c r="AG199" s="841">
        <f>Calculation!G202</f>
        <v>298.093292989899</v>
      </c>
      <c r="AH199" s="847" t="str">
        <f t="shared" si="50"/>
        <v>Yes</v>
      </c>
      <c r="AI199" s="847" t="str">
        <f>IF(Calculation!K202&gt;0,"Yes","No")</f>
        <v>No</v>
      </c>
      <c r="AJ199" s="869">
        <v>48014.280000113205</v>
      </c>
      <c r="AK199" s="870">
        <v>48975.500000117929</v>
      </c>
      <c r="AL199" s="870">
        <v>43020.100000106315</v>
      </c>
      <c r="AN199" s="372">
        <v>46629.500000113825</v>
      </c>
      <c r="AO199" s="372">
        <v>43544.400000106805</v>
      </c>
      <c r="AP199" s="372">
        <v>49496.300000118448</v>
      </c>
      <c r="AU199" s="427"/>
      <c r="AV199" s="410"/>
      <c r="AW199" s="442"/>
      <c r="AX199" s="441"/>
      <c r="AY199" s="441"/>
      <c r="AZ199" s="443"/>
      <c r="BB199" s="433"/>
      <c r="BC199" s="432"/>
      <c r="BD199" s="433"/>
      <c r="BE199" s="432"/>
      <c r="BF199" s="433"/>
      <c r="BG199" s="432"/>
      <c r="BH199" s="429"/>
    </row>
    <row r="200" spans="1:60" ht="13.8" thickBot="1" x14ac:dyDescent="0.3">
      <c r="A200" s="406">
        <v>42927</v>
      </c>
      <c r="B200" s="860">
        <f t="shared" si="46"/>
        <v>144.98484000000002</v>
      </c>
      <c r="C200" s="860">
        <f>Calculation!AK203</f>
        <v>0</v>
      </c>
      <c r="D200" s="860">
        <f>Calculation!AI203</f>
        <v>34.964124750232706</v>
      </c>
      <c r="E200" s="860">
        <f>Calculation!AE203</f>
        <v>45.327100000000002</v>
      </c>
      <c r="F200" s="860">
        <f>Calculation!AF203</f>
        <v>99.657740000000004</v>
      </c>
      <c r="G200" s="860">
        <f>Calculation!AG203</f>
        <v>0</v>
      </c>
      <c r="H200" s="861">
        <f>Sheet1!H201</f>
        <v>1.7</v>
      </c>
      <c r="I200" s="841">
        <f>Sheet1!DA201</f>
        <v>401</v>
      </c>
      <c r="J200" s="841">
        <f>Sheet1!DB201</f>
        <v>247</v>
      </c>
      <c r="K200" s="841">
        <f>Sheet1!CZ201</f>
        <v>378</v>
      </c>
      <c r="L200" s="865">
        <f>Calculation!F203</f>
        <v>250</v>
      </c>
      <c r="M200" s="865">
        <f>Calculation!E203</f>
        <v>250</v>
      </c>
      <c r="N200" s="865">
        <f>Calculation!D203</f>
        <v>300</v>
      </c>
      <c r="O200" s="888">
        <f>Sheet1!DC201</f>
        <v>1164.72</v>
      </c>
      <c r="P200" s="889">
        <f>Calculation!FD203</f>
        <v>1139.1863013697837</v>
      </c>
      <c r="Q200" s="895">
        <f>Calculation!DP203</f>
        <v>46707.000000112799</v>
      </c>
      <c r="R200" s="888">
        <f t="shared" si="72"/>
        <v>46088.000000112799</v>
      </c>
      <c r="S200" s="890">
        <f t="shared" si="47"/>
        <v>-176.8000000012762</v>
      </c>
      <c r="T200" s="895">
        <f ca="1">IF(A200&gt;($A$1-1),#N/A,VLOOKUP(A200,Calculation!$B$8:$JO$503,40,FALSE))</f>
        <v>9368.7356039602801</v>
      </c>
      <c r="U200" s="890">
        <f t="shared" si="48"/>
        <v>34.964124750232706</v>
      </c>
      <c r="V200" s="890">
        <f>Calculation!AZ203</f>
        <v>0</v>
      </c>
      <c r="W200" s="1165">
        <f t="shared" ca="1" si="73"/>
        <v>14058.264396152517</v>
      </c>
      <c r="X200" s="1165">
        <f t="shared" ca="1" si="74"/>
        <v>11.830248537345575</v>
      </c>
      <c r="Y200" s="1164">
        <f t="shared" ca="1" si="69"/>
        <v>2500</v>
      </c>
      <c r="Z200" s="890">
        <f t="shared" ca="1" si="53"/>
        <v>11558.264396152517</v>
      </c>
      <c r="AA200" s="890">
        <f t="shared" ca="1" si="54"/>
        <v>0</v>
      </c>
      <c r="AB200" s="1165">
        <f t="shared" ca="1" si="75"/>
        <v>23280</v>
      </c>
      <c r="AC200" s="1166">
        <f t="shared" ca="1" si="76"/>
        <v>22661</v>
      </c>
      <c r="AD200" s="860">
        <f ca="1">IF(A200&gt;$A$1, #N/A,VLOOKUP(A200,Calculation!$B$8:$JO$880,165,FALSE))</f>
        <v>22661</v>
      </c>
      <c r="AE200" s="399">
        <f t="shared" ca="1" si="49"/>
        <v>-84</v>
      </c>
      <c r="AF200" s="399">
        <f t="shared" ca="1" si="62"/>
        <v>23280</v>
      </c>
      <c r="AG200" s="841">
        <f>Calculation!G203</f>
        <v>288.84215834529692</v>
      </c>
      <c r="AH200" s="847" t="str">
        <f t="shared" si="50"/>
        <v>Yes</v>
      </c>
      <c r="AI200" s="847" t="str">
        <f>IF(Calculation!K203&gt;0,"Yes","No")</f>
        <v>No</v>
      </c>
      <c r="AJ200" s="869">
        <v>47550.600000112958</v>
      </c>
      <c r="AK200" s="870">
        <v>48784.400000117676</v>
      </c>
      <c r="AL200" s="870">
        <v>42891.700000106321</v>
      </c>
      <c r="AN200" s="372">
        <v>46464.000000112552</v>
      </c>
      <c r="AO200" s="372">
        <v>43394.600000106802</v>
      </c>
      <c r="AP200" s="372">
        <v>49485.000000118445</v>
      </c>
      <c r="AU200" s="427"/>
      <c r="AV200" s="410"/>
      <c r="AW200" s="442"/>
      <c r="AX200" s="441"/>
      <c r="AY200" s="441"/>
      <c r="AZ200" s="443"/>
      <c r="BB200" s="433"/>
      <c r="BC200" s="432"/>
      <c r="BD200" s="433"/>
      <c r="BE200" s="432"/>
      <c r="BF200" s="433"/>
      <c r="BG200" s="432"/>
      <c r="BH200" s="429"/>
    </row>
    <row r="201" spans="1:60" ht="13.8" thickBot="1" x14ac:dyDescent="0.3">
      <c r="A201" s="406">
        <v>42928</v>
      </c>
      <c r="B201" s="860">
        <f t="shared" si="46"/>
        <v>147.18158</v>
      </c>
      <c r="C201" s="860">
        <f>Calculation!AK204</f>
        <v>0</v>
      </c>
      <c r="D201" s="860">
        <f>Calculation!AI204</f>
        <v>33.309651043689314</v>
      </c>
      <c r="E201" s="860">
        <f>Calculation!AE204</f>
        <v>45.29616</v>
      </c>
      <c r="F201" s="860">
        <f>Calculation!AF204</f>
        <v>101.88542</v>
      </c>
      <c r="G201" s="860">
        <f>Calculation!AG204</f>
        <v>0</v>
      </c>
      <c r="H201" s="861">
        <f>Sheet1!H202</f>
        <v>1.75</v>
      </c>
      <c r="I201" s="841">
        <f>Sheet1!DA202</f>
        <v>368</v>
      </c>
      <c r="J201" s="841">
        <f>Sheet1!DB202</f>
        <v>235</v>
      </c>
      <c r="K201" s="841">
        <f>Sheet1!CZ202</f>
        <v>359</v>
      </c>
      <c r="L201" s="865">
        <f>Calculation!F204</f>
        <v>250</v>
      </c>
      <c r="M201" s="865">
        <f>Calculation!E204</f>
        <v>250</v>
      </c>
      <c r="N201" s="865">
        <f>Calculation!D204</f>
        <v>300</v>
      </c>
      <c r="O201" s="888">
        <f>Sheet1!DC202</f>
        <v>1164.5899999999999</v>
      </c>
      <c r="P201" s="889">
        <f>Calculation!FD204</f>
        <v>1139.0712328766331</v>
      </c>
      <c r="Q201" s="895">
        <f>Calculation!DP204</f>
        <v>46563.000000112552</v>
      </c>
      <c r="R201" s="888">
        <f t="shared" si="72"/>
        <v>45944.000000112552</v>
      </c>
      <c r="S201" s="890">
        <f t="shared" si="47"/>
        <v>-144.00000000024738</v>
      </c>
      <c r="T201" s="895">
        <f ca="1">IF(A201&gt;($A$1-1),#N/A,VLOOKUP(A201,Calculation!$B$8:$JO$503,40,FALSE))</f>
        <v>9302.6761279408638</v>
      </c>
      <c r="U201" s="890">
        <f t="shared" si="48"/>
        <v>33.309651043689314</v>
      </c>
      <c r="V201" s="890">
        <f>Calculation!AZ204</f>
        <v>0</v>
      </c>
      <c r="W201" s="981">
        <f ca="1">IF(A201&lt;$A$1,W200,#N/A)</f>
        <v>14058.264396152517</v>
      </c>
      <c r="X201" s="890">
        <v>0</v>
      </c>
      <c r="Y201" s="1164">
        <f t="shared" ca="1" si="69"/>
        <v>2500</v>
      </c>
      <c r="Z201" s="890">
        <f t="shared" ca="1" si="53"/>
        <v>11558.264396152517</v>
      </c>
      <c r="AA201" s="890">
        <f t="shared" ca="1" si="54"/>
        <v>0</v>
      </c>
      <c r="AB201" s="895">
        <f t="shared" ref="AB201:AB213" ca="1" si="77">IF(Q201-T201-W201&lt;0,0,MIN(Q201-T201-W201,24257))</f>
        <v>23202.059476019174</v>
      </c>
      <c r="AC201" s="980">
        <f t="shared" ref="AC201:AC202" ca="1" si="78">AB201-619</f>
        <v>22583.059476019174</v>
      </c>
      <c r="AD201" s="860">
        <f ca="1">IF(A201&gt;$A$1, #N/A,VLOOKUP(A201,Calculation!$B$8:$JO$880,165,FALSE))</f>
        <v>22577</v>
      </c>
      <c r="AE201" s="399">
        <f t="shared" ca="1" si="49"/>
        <v>-84</v>
      </c>
      <c r="AF201" s="399">
        <f t="shared" ca="1" si="62"/>
        <v>23196</v>
      </c>
      <c r="AG201" s="841">
        <f>Calculation!G204</f>
        <v>286.38275340380869</v>
      </c>
      <c r="AH201" s="847" t="str">
        <f t="shared" si="50"/>
        <v>Yes</v>
      </c>
      <c r="AI201" s="847" t="str">
        <f>IF(Calculation!K204&gt;0,"Yes","No")</f>
        <v>No</v>
      </c>
      <c r="AJ201" s="869">
        <v>47076.210000111336</v>
      </c>
      <c r="AK201" s="870">
        <v>48581.000000117674</v>
      </c>
      <c r="AL201" s="870">
        <v>42774.000000106076</v>
      </c>
      <c r="AN201" s="372">
        <v>46320.70000011332</v>
      </c>
      <c r="AO201" s="372">
        <v>43234.100000106562</v>
      </c>
      <c r="AP201" s="372">
        <v>49439.400000119495</v>
      </c>
      <c r="AU201" s="427"/>
      <c r="AV201" s="410"/>
      <c r="AW201" s="442"/>
      <c r="AX201" s="441"/>
      <c r="AY201" s="441"/>
      <c r="AZ201" s="443"/>
      <c r="BB201" s="433"/>
      <c r="BC201" s="432"/>
      <c r="BD201" s="433"/>
      <c r="BE201" s="432"/>
      <c r="BF201" s="433"/>
      <c r="BG201" s="432"/>
      <c r="BH201" s="429"/>
    </row>
    <row r="202" spans="1:60" ht="13.8" thickBot="1" x14ac:dyDescent="0.3">
      <c r="A202" s="406">
        <v>42929</v>
      </c>
      <c r="B202" s="860">
        <f t="shared" si="46"/>
        <v>147.01141000000001</v>
      </c>
      <c r="C202" s="860">
        <f>Calculation!AK205</f>
        <v>0</v>
      </c>
      <c r="D202" s="860">
        <f>Calculation!AI205</f>
        <v>33.284803844011144</v>
      </c>
      <c r="E202" s="860">
        <f>Calculation!AE205</f>
        <v>47.214439999999996</v>
      </c>
      <c r="F202" s="860">
        <f>Calculation!AF205</f>
        <v>99.796970000000002</v>
      </c>
      <c r="G202" s="860">
        <f>Calculation!AG205</f>
        <v>0</v>
      </c>
      <c r="H202" s="861">
        <f>Sheet1!H203</f>
        <v>1.71</v>
      </c>
      <c r="I202" s="841">
        <f>Sheet1!DA203</f>
        <v>363</v>
      </c>
      <c r="J202" s="841">
        <f>Sheet1!DB203</f>
        <v>215</v>
      </c>
      <c r="K202" s="841">
        <f>Sheet1!CZ203</f>
        <v>359</v>
      </c>
      <c r="L202" s="865">
        <f>Calculation!F205</f>
        <v>250</v>
      </c>
      <c r="M202" s="865">
        <f>Calculation!E205</f>
        <v>250</v>
      </c>
      <c r="N202" s="865">
        <f>Calculation!D205</f>
        <v>300</v>
      </c>
      <c r="O202" s="888">
        <f>Sheet1!DC203</f>
        <v>1164.45</v>
      </c>
      <c r="P202" s="889">
        <f>Calculation!FD205</f>
        <v>1138.9555555554764</v>
      </c>
      <c r="Q202" s="895">
        <f>Calculation!DP205</f>
        <v>46409.000000112552</v>
      </c>
      <c r="R202" s="888">
        <f t="shared" si="72"/>
        <v>45790.000000112552</v>
      </c>
      <c r="S202" s="890">
        <f t="shared" si="47"/>
        <v>-154</v>
      </c>
      <c r="T202" s="895">
        <f ca="1">IF(A202&gt;($A$1-1),#N/A,VLOOKUP(A202,Calculation!$B$8:$JO$503,40,FALSE))</f>
        <v>9236.6659287208058</v>
      </c>
      <c r="U202" s="890">
        <f t="shared" si="48"/>
        <v>33.284803844011144</v>
      </c>
      <c r="V202" s="890">
        <f>Calculation!AZ205</f>
        <v>0</v>
      </c>
      <c r="W202" s="981">
        <f t="shared" ref="W202:W228" ca="1" si="79">IF(A202&lt;$A$1,W201,#N/A)</f>
        <v>14058.264396152517</v>
      </c>
      <c r="X202" s="890">
        <v>0</v>
      </c>
      <c r="Y202" s="1164">
        <f t="shared" ca="1" si="69"/>
        <v>2500</v>
      </c>
      <c r="Z202" s="890">
        <f t="shared" ca="1" si="53"/>
        <v>11558.264396152517</v>
      </c>
      <c r="AA202" s="890">
        <f t="shared" ca="1" si="54"/>
        <v>0</v>
      </c>
      <c r="AB202" s="895">
        <f t="shared" ca="1" si="77"/>
        <v>23114.069675239225</v>
      </c>
      <c r="AC202" s="980">
        <f t="shared" ca="1" si="78"/>
        <v>22495.069675239225</v>
      </c>
      <c r="AD202" s="860">
        <f ca="1">IF(A202&gt;$A$1, #N/A,VLOOKUP(A202,Calculation!$B$8:$JO$880,165,FALSE))</f>
        <v>22493</v>
      </c>
      <c r="AE202" s="399">
        <f t="shared" ca="1" si="49"/>
        <v>-84</v>
      </c>
      <c r="AF202" s="399">
        <f t="shared" ca="1" si="62"/>
        <v>23112</v>
      </c>
      <c r="AG202" s="841">
        <f>Calculation!G205</f>
        <v>281.33988905698436</v>
      </c>
      <c r="AH202" s="847" t="str">
        <f t="shared" si="50"/>
        <v>Yes</v>
      </c>
      <c r="AI202" s="847" t="str">
        <f>IF(Calculation!K205&gt;0,"Yes","No")</f>
        <v>No</v>
      </c>
      <c r="AJ202" s="869">
        <v>46846.68000011109</v>
      </c>
      <c r="AK202" s="870">
        <v>48300.000000116379</v>
      </c>
      <c r="AL202" s="870">
        <v>42645.800000105082</v>
      </c>
      <c r="AN202" s="372">
        <v>46199.000000112297</v>
      </c>
      <c r="AO202" s="372">
        <v>43062.900000106318</v>
      </c>
      <c r="AP202" s="372">
        <v>49393.800000119234</v>
      </c>
      <c r="AU202" s="427"/>
      <c r="AV202" s="410"/>
      <c r="AW202" s="442"/>
      <c r="AX202" s="441"/>
      <c r="AY202" s="441"/>
      <c r="AZ202" s="443"/>
      <c r="BB202" s="433"/>
      <c r="BC202" s="432"/>
      <c r="BD202" s="433"/>
      <c r="BE202" s="432"/>
      <c r="BF202" s="433"/>
      <c r="BG202" s="432"/>
      <c r="BH202" s="429"/>
    </row>
    <row r="203" spans="1:60" ht="13.8" thickBot="1" x14ac:dyDescent="0.3">
      <c r="A203" s="406">
        <v>42930</v>
      </c>
      <c r="B203" s="860">
        <f t="shared" si="46"/>
        <v>148.65123</v>
      </c>
      <c r="C203" s="860">
        <f>Calculation!AK206</f>
        <v>0</v>
      </c>
      <c r="D203" s="860">
        <f>Calculation!AI206</f>
        <v>39.462241903261379</v>
      </c>
      <c r="E203" s="860">
        <f>Calculation!AE206</f>
        <v>50.896299999999997</v>
      </c>
      <c r="F203" s="860">
        <f>Calculation!AF206</f>
        <v>97.754929999999987</v>
      </c>
      <c r="G203" s="860">
        <f>Calculation!AG206</f>
        <v>0</v>
      </c>
      <c r="H203" s="861">
        <f>Sheet1!H204</f>
        <v>1.69</v>
      </c>
      <c r="I203" s="841">
        <f>Sheet1!DA204</f>
        <v>363</v>
      </c>
      <c r="J203" s="841">
        <f>Sheet1!DB204</f>
        <v>213</v>
      </c>
      <c r="K203" s="841">
        <f>Sheet1!CZ204</f>
        <v>342</v>
      </c>
      <c r="L203" s="865">
        <f>Calculation!F206</f>
        <v>250</v>
      </c>
      <c r="M203" s="865">
        <f>Calculation!E206</f>
        <v>250</v>
      </c>
      <c r="N203" s="865">
        <f>Calculation!D206</f>
        <v>300</v>
      </c>
      <c r="O203" s="888">
        <f>Sheet1!DC204</f>
        <v>1164.33</v>
      </c>
      <c r="P203" s="889">
        <f>Calculation!FD206</f>
        <v>1138.8388888888098</v>
      </c>
      <c r="Q203" s="895">
        <f>Calculation!DP206</f>
        <v>46276.300000113319</v>
      </c>
      <c r="R203" s="888">
        <f t="shared" si="72"/>
        <v>45657.300000113319</v>
      </c>
      <c r="S203" s="890">
        <f t="shared" si="47"/>
        <v>-132.69999999923311</v>
      </c>
      <c r="T203" s="895">
        <f ca="1">IF(A203&gt;($A$1-1),#N/A,VLOOKUP(A203,Calculation!$B$8:$JO$503,40,FALSE))</f>
        <v>9158.4046758706409</v>
      </c>
      <c r="U203" s="890">
        <f t="shared" si="48"/>
        <v>39.462241903261379</v>
      </c>
      <c r="V203" s="890">
        <f>Calculation!AZ206</f>
        <v>0</v>
      </c>
      <c r="W203" s="981">
        <f t="shared" ca="1" si="79"/>
        <v>14058.264396152517</v>
      </c>
      <c r="X203" s="890">
        <v>0</v>
      </c>
      <c r="Y203" s="1164">
        <f t="shared" ca="1" si="69"/>
        <v>2500</v>
      </c>
      <c r="Z203" s="890">
        <f t="shared" ca="1" si="53"/>
        <v>11558.264396152517</v>
      </c>
      <c r="AA203" s="890">
        <f t="shared" ca="1" si="54"/>
        <v>0</v>
      </c>
      <c r="AB203" s="895">
        <f t="shared" ca="1" si="77"/>
        <v>23059.630928090162</v>
      </c>
      <c r="AC203" s="980">
        <f t="shared" ref="AC203:AC213" ca="1" si="80">AB203-619</f>
        <v>22440.630928090162</v>
      </c>
      <c r="AD203" s="860">
        <f ca="1">IF(A203&gt;$A$1, #N/A,VLOOKUP(A203,Calculation!$B$8:$JO$880,165,FALSE))</f>
        <v>22409</v>
      </c>
      <c r="AE203" s="399">
        <f t="shared" ca="1" si="49"/>
        <v>-84</v>
      </c>
      <c r="AF203" s="399">
        <f t="shared" ca="1" si="62"/>
        <v>23028</v>
      </c>
      <c r="AG203" s="841">
        <f>Calculation!G206</f>
        <v>275.08119011637262</v>
      </c>
      <c r="AH203" s="847" t="str">
        <f t="shared" si="50"/>
        <v>Yes</v>
      </c>
      <c r="AI203" s="847" t="str">
        <f>IF(Calculation!K206&gt;0,"Yes","No")</f>
        <v>No</v>
      </c>
      <c r="AJ203" s="869">
        <v>46715.520000111086</v>
      </c>
      <c r="AK203" s="870">
        <v>47941.600000115868</v>
      </c>
      <c r="AL203" s="870">
        <v>42497.400000104841</v>
      </c>
      <c r="AN203" s="372">
        <v>46055.300000113319</v>
      </c>
      <c r="AO203" s="372">
        <v>42891.700000106321</v>
      </c>
      <c r="AP203" s="372">
        <v>49336.800000119234</v>
      </c>
      <c r="AU203" s="427"/>
      <c r="AV203" s="410"/>
      <c r="AW203" s="442"/>
      <c r="AX203" s="441"/>
      <c r="AY203" s="441"/>
      <c r="AZ203" s="443"/>
      <c r="BB203" s="433"/>
      <c r="BC203" s="432"/>
      <c r="BD203" s="433"/>
      <c r="BE203" s="432"/>
      <c r="BF203" s="433"/>
      <c r="BG203" s="432"/>
      <c r="BH203" s="429"/>
    </row>
    <row r="204" spans="1:60" ht="13.8" thickBot="1" x14ac:dyDescent="0.3">
      <c r="A204" s="406">
        <v>42931</v>
      </c>
      <c r="B204" s="860">
        <f t="shared" si="46"/>
        <v>151.20377999999999</v>
      </c>
      <c r="C204" s="860">
        <f>Calculation!AK207</f>
        <v>0</v>
      </c>
      <c r="D204" s="860">
        <f>Calculation!AI207</f>
        <v>39.470442215725498</v>
      </c>
      <c r="E204" s="860">
        <f>Calculation!AE207</f>
        <v>50.896299999999997</v>
      </c>
      <c r="F204" s="860">
        <f>Calculation!AF207</f>
        <v>100.30748</v>
      </c>
      <c r="G204" s="860">
        <f>Calculation!AG207</f>
        <v>0</v>
      </c>
      <c r="H204" s="861">
        <f>Sheet1!H205</f>
        <v>1.77</v>
      </c>
      <c r="I204" s="841">
        <f>Sheet1!DA205</f>
        <v>336</v>
      </c>
      <c r="J204" s="841">
        <f>Sheet1!DB205</f>
        <v>196</v>
      </c>
      <c r="K204" s="841">
        <f>Sheet1!CZ205</f>
        <v>342</v>
      </c>
      <c r="L204" s="865">
        <f>Calculation!F207</f>
        <v>250</v>
      </c>
      <c r="M204" s="865">
        <f>Calculation!E207</f>
        <v>400</v>
      </c>
      <c r="N204" s="865">
        <f>Calculation!D207</f>
        <v>200</v>
      </c>
      <c r="O204" s="888">
        <f>Sheet1!DC205</f>
        <v>1164.19</v>
      </c>
      <c r="P204" s="889">
        <f>Calculation!FD207</f>
        <v>1138.7222222221433</v>
      </c>
      <c r="Q204" s="895">
        <f>Calculation!DP207</f>
        <v>46121.900000113317</v>
      </c>
      <c r="R204" s="888">
        <f t="shared" si="72"/>
        <v>45502.900000113317</v>
      </c>
      <c r="S204" s="890">
        <f t="shared" si="47"/>
        <v>-154.40000000000146</v>
      </c>
      <c r="T204" s="895">
        <f ca="1">IF(A204&gt;($A$1-1),#N/A,VLOOKUP(A204,Calculation!$B$8:$JO$503,40,FALSE))</f>
        <v>9080.127160215925</v>
      </c>
      <c r="U204" s="890">
        <f t="shared" si="48"/>
        <v>39.470442215725498</v>
      </c>
      <c r="V204" s="890">
        <f>Calculation!AZ207</f>
        <v>0</v>
      </c>
      <c r="W204" s="981">
        <f t="shared" ca="1" si="79"/>
        <v>14058.264396152517</v>
      </c>
      <c r="X204" s="890">
        <v>0</v>
      </c>
      <c r="Y204" s="1164">
        <f t="shared" ca="1" si="69"/>
        <v>2500</v>
      </c>
      <c r="Z204" s="890">
        <f t="shared" ca="1" si="53"/>
        <v>11558.264396152517</v>
      </c>
      <c r="AA204" s="890">
        <f t="shared" ca="1" si="54"/>
        <v>0</v>
      </c>
      <c r="AB204" s="895">
        <f t="shared" ca="1" si="77"/>
        <v>22983.508443744875</v>
      </c>
      <c r="AC204" s="980">
        <f t="shared" ca="1" si="80"/>
        <v>22364.508443744875</v>
      </c>
      <c r="AD204" s="860">
        <f ca="1">IF(A204&gt;$A$1, #N/A,VLOOKUP(A204,Calculation!$B$8:$JO$880,165,FALSE))</f>
        <v>22325</v>
      </c>
      <c r="AE204" s="399">
        <f t="shared" ca="1" si="49"/>
        <v>-84</v>
      </c>
      <c r="AF204" s="399">
        <f t="shared" ca="1" si="62"/>
        <v>22944</v>
      </c>
      <c r="AG204" s="841">
        <f>Calculation!G207</f>
        <v>264.13817448310567</v>
      </c>
      <c r="AH204" s="847" t="str">
        <f t="shared" si="50"/>
        <v>Yes</v>
      </c>
      <c r="AI204" s="847" t="str">
        <f>IF(Calculation!K207&gt;0,"Yes","No")</f>
        <v>No</v>
      </c>
      <c r="AJ204" s="869">
        <v>46431.340000110838</v>
      </c>
      <c r="AK204" s="870">
        <v>47551.600000115614</v>
      </c>
      <c r="AL204" s="870">
        <v>42338.400000104841</v>
      </c>
      <c r="AN204" s="372">
        <v>45879.300000111034</v>
      </c>
      <c r="AO204" s="372">
        <v>42709.800000106072</v>
      </c>
      <c r="AP204" s="372">
        <v>49200.500000118191</v>
      </c>
      <c r="AU204" s="427"/>
      <c r="AV204" s="410"/>
      <c r="AW204" s="442"/>
      <c r="AX204" s="441"/>
      <c r="AY204" s="441"/>
      <c r="AZ204" s="443"/>
      <c r="BB204" s="433"/>
      <c r="BC204" s="432"/>
      <c r="BD204" s="433"/>
      <c r="BE204" s="432"/>
      <c r="BF204" s="433"/>
      <c r="BG204" s="432"/>
      <c r="BH204" s="429"/>
    </row>
    <row r="205" spans="1:60" ht="13.8" thickBot="1" x14ac:dyDescent="0.3">
      <c r="A205" s="406">
        <v>42932</v>
      </c>
      <c r="B205" s="860">
        <f t="shared" si="46"/>
        <v>151.49770999999998</v>
      </c>
      <c r="C205" s="860">
        <f>Calculation!AK208</f>
        <v>0</v>
      </c>
      <c r="D205" s="860">
        <f>Calculation!AI208</f>
        <v>39.472263856419694</v>
      </c>
      <c r="E205" s="860">
        <f>Calculation!AE208</f>
        <v>50.834419999999994</v>
      </c>
      <c r="F205" s="860">
        <f>Calculation!AF208</f>
        <v>100.66328999999999</v>
      </c>
      <c r="G205" s="860">
        <f>Calculation!AG208</f>
        <v>0</v>
      </c>
      <c r="H205" s="861">
        <f>Sheet1!H206</f>
        <v>1.8</v>
      </c>
      <c r="I205" s="841">
        <f>Sheet1!DA206</f>
        <v>336</v>
      </c>
      <c r="J205" s="841">
        <f>Sheet1!DB206</f>
        <v>196</v>
      </c>
      <c r="K205" s="841">
        <f>Sheet1!CZ206</f>
        <v>342</v>
      </c>
      <c r="L205" s="865">
        <f>Calculation!F208</f>
        <v>250</v>
      </c>
      <c r="M205" s="865">
        <f>Calculation!E208</f>
        <v>400</v>
      </c>
      <c r="N205" s="865">
        <f>Calculation!D208</f>
        <v>200</v>
      </c>
      <c r="O205" s="888">
        <f>Sheet1!DC206</f>
        <v>1164.05</v>
      </c>
      <c r="P205" s="889">
        <f>Calculation!FD208</f>
        <v>1138.6055555554767</v>
      </c>
      <c r="Q205" s="895">
        <f>Calculation!DP208</f>
        <v>45967.00000011205</v>
      </c>
      <c r="R205" s="888">
        <f t="shared" si="72"/>
        <v>45348.00000011205</v>
      </c>
      <c r="S205" s="890">
        <f t="shared" si="47"/>
        <v>-154.90000000126747</v>
      </c>
      <c r="T205" s="895">
        <f ca="1">IF(A205&gt;($A$1-1),#N/A,VLOOKUP(A205,Calculation!$B$8:$JO$503,40,FALSE))</f>
        <v>9001.8460318956295</v>
      </c>
      <c r="U205" s="890">
        <f t="shared" si="48"/>
        <v>39.472263856419694</v>
      </c>
      <c r="V205" s="890">
        <f>Calculation!AZ208</f>
        <v>0</v>
      </c>
      <c r="W205" s="981">
        <f t="shared" ca="1" si="79"/>
        <v>14058.264396152517</v>
      </c>
      <c r="X205" s="890">
        <v>0</v>
      </c>
      <c r="Y205" s="1164">
        <f t="shared" ca="1" si="69"/>
        <v>2500</v>
      </c>
      <c r="Z205" s="890">
        <f t="shared" ca="1" si="53"/>
        <v>11558.264396152517</v>
      </c>
      <c r="AA205" s="890">
        <f t="shared" ca="1" si="54"/>
        <v>0</v>
      </c>
      <c r="AB205" s="895">
        <f t="shared" ca="1" si="77"/>
        <v>22906.889572063905</v>
      </c>
      <c r="AC205" s="980">
        <f t="shared" ca="1" si="80"/>
        <v>22287.889572063905</v>
      </c>
      <c r="AD205" s="860">
        <f ca="1">IF(A205&gt;$A$1, #N/A,VLOOKUP(A205,Calculation!$B$8:$JO$880,165,FALSE))</f>
        <v>22241</v>
      </c>
      <c r="AE205" s="399">
        <f t="shared" ca="1" si="49"/>
        <v>-84</v>
      </c>
      <c r="AF205" s="399">
        <f t="shared" ca="1" si="62"/>
        <v>22860</v>
      </c>
      <c r="AG205" s="841">
        <f>Calculation!G208</f>
        <v>263.88603126511981</v>
      </c>
      <c r="AH205" s="847" t="str">
        <f t="shared" si="50"/>
        <v>Yes</v>
      </c>
      <c r="AI205" s="847" t="str">
        <f>IF(Calculation!K208&gt;0,"Yes","No")</f>
        <v>No</v>
      </c>
      <c r="AJ205" s="869">
        <v>46201.810000110592</v>
      </c>
      <c r="AK205" s="870">
        <v>47060.800000115109</v>
      </c>
      <c r="AL205" s="870">
        <v>42179.400000104601</v>
      </c>
      <c r="AN205" s="372">
        <v>45704.000000111802</v>
      </c>
      <c r="AO205" s="372">
        <v>42539.800000105082</v>
      </c>
      <c r="AP205" s="372">
        <v>49043.200000116885</v>
      </c>
      <c r="AU205" s="427"/>
      <c r="AV205" s="410"/>
      <c r="AW205" s="442"/>
      <c r="AX205" s="441"/>
      <c r="AY205" s="441"/>
      <c r="AZ205" s="443"/>
      <c r="BB205" s="433"/>
      <c r="BC205" s="432"/>
      <c r="BD205" s="433"/>
      <c r="BE205" s="432"/>
      <c r="BF205" s="433"/>
      <c r="BG205" s="432"/>
      <c r="BH205" s="429"/>
    </row>
    <row r="206" spans="1:60" ht="13.8" thickBot="1" x14ac:dyDescent="0.3">
      <c r="A206" s="406">
        <v>42933</v>
      </c>
      <c r="B206" s="860">
        <f t="shared" si="46"/>
        <v>148.96062999999998</v>
      </c>
      <c r="C206" s="860">
        <f>Calculation!AK209</f>
        <v>0</v>
      </c>
      <c r="D206" s="860">
        <f>Calculation!AI209</f>
        <v>39.467812507042247</v>
      </c>
      <c r="E206" s="860">
        <f>Calculation!AE209</f>
        <v>55.877639999999992</v>
      </c>
      <c r="F206" s="860">
        <f>Calculation!AF209</f>
        <v>93.082989999999995</v>
      </c>
      <c r="G206" s="860">
        <f>Calculation!AG209</f>
        <v>0</v>
      </c>
      <c r="H206" s="861">
        <f>Sheet1!H207</f>
        <v>1.53</v>
      </c>
      <c r="I206" s="841">
        <f>Sheet1!DA207</f>
        <v>340</v>
      </c>
      <c r="J206" s="841">
        <f>Sheet1!DB207</f>
        <v>192</v>
      </c>
      <c r="K206" s="841">
        <f>Sheet1!CZ207</f>
        <v>325</v>
      </c>
      <c r="L206" s="865">
        <f>Calculation!F209</f>
        <v>250</v>
      </c>
      <c r="M206" s="865">
        <f>Calculation!E209</f>
        <v>400</v>
      </c>
      <c r="N206" s="865">
        <f>Calculation!D209</f>
        <v>200</v>
      </c>
      <c r="O206" s="888">
        <f>Sheet1!DC207</f>
        <v>1163.9000000000001</v>
      </c>
      <c r="P206" s="889">
        <f>Calculation!FD209</f>
        <v>1138.4888888888102</v>
      </c>
      <c r="Q206" s="895">
        <f>Calculation!DP209</f>
        <v>45803.000000111031</v>
      </c>
      <c r="R206" s="888">
        <f t="shared" si="72"/>
        <v>45184.000000111031</v>
      </c>
      <c r="S206" s="890">
        <f t="shared" si="47"/>
        <v>-164.00000000101863</v>
      </c>
      <c r="T206" s="895">
        <f ca="1">IF(A206&gt;($A$1-1),#N/A,VLOOKUP(A206,Calculation!$B$8:$JO$503,40,FALSE))</f>
        <v>8923.5737314614962</v>
      </c>
      <c r="U206" s="890">
        <f t="shared" si="48"/>
        <v>39.467812507042247</v>
      </c>
      <c r="V206" s="890">
        <f>Calculation!AZ209</f>
        <v>0</v>
      </c>
      <c r="W206" s="981">
        <f t="shared" ca="1" si="79"/>
        <v>14058.264396152517</v>
      </c>
      <c r="X206" s="890">
        <v>0</v>
      </c>
      <c r="Y206" s="1164">
        <f t="shared" ca="1" si="69"/>
        <v>2500</v>
      </c>
      <c r="Z206" s="890">
        <f t="shared" ca="1" si="53"/>
        <v>11558.264396152517</v>
      </c>
      <c r="AA206" s="890">
        <f t="shared" ca="1" si="54"/>
        <v>0</v>
      </c>
      <c r="AB206" s="895">
        <f t="shared" ca="1" si="77"/>
        <v>22821.161872497018</v>
      </c>
      <c r="AC206" s="980">
        <f t="shared" ca="1" si="80"/>
        <v>22202.161872497018</v>
      </c>
      <c r="AD206" s="860">
        <f ca="1">IF(A206&gt;$A$1, #N/A,VLOOKUP(A206,Calculation!$B$8:$JO$880,165,FALSE))</f>
        <v>22158</v>
      </c>
      <c r="AE206" s="399">
        <f t="shared" ca="1" si="49"/>
        <v>-83</v>
      </c>
      <c r="AF206" s="399">
        <f t="shared" ca="1" si="62"/>
        <v>22777</v>
      </c>
      <c r="AG206" s="841">
        <f>Calculation!G209</f>
        <v>242.29702470952162</v>
      </c>
      <c r="AH206" s="847" t="str">
        <f t="shared" si="50"/>
        <v>Yes</v>
      </c>
      <c r="AI206" s="847" t="str">
        <f>IF(Calculation!K209&gt;0,"Yes","No")</f>
        <v>No</v>
      </c>
      <c r="AJ206" s="869">
        <v>45907.800000109237</v>
      </c>
      <c r="AK206" s="870">
        <v>46651.700000113822</v>
      </c>
      <c r="AL206" s="870">
        <v>42031.000000104599</v>
      </c>
      <c r="AN206" s="372">
        <v>45529.500000110784</v>
      </c>
      <c r="AO206" s="372">
        <v>42317.200000104844</v>
      </c>
      <c r="AP206" s="372">
        <v>48874.200000116885</v>
      </c>
      <c r="AU206" s="427"/>
      <c r="AV206" s="410"/>
      <c r="AW206" s="442"/>
      <c r="AX206" s="441"/>
      <c r="AY206" s="441"/>
      <c r="AZ206" s="443"/>
      <c r="BB206" s="433"/>
      <c r="BC206" s="432"/>
      <c r="BD206" s="433"/>
      <c r="BE206" s="432"/>
      <c r="BF206" s="433"/>
      <c r="BG206" s="432"/>
      <c r="BH206" s="429"/>
    </row>
    <row r="207" spans="1:60" ht="13.8" thickBot="1" x14ac:dyDescent="0.3">
      <c r="A207" s="406">
        <v>42934</v>
      </c>
      <c r="B207" s="860">
        <f t="shared" si="46"/>
        <v>150.89437999999998</v>
      </c>
      <c r="C207" s="860">
        <f>Calculation!AK210</f>
        <v>0</v>
      </c>
      <c r="D207" s="860">
        <f>Calculation!AI210</f>
        <v>39.465231870878164</v>
      </c>
      <c r="E207" s="860">
        <f>Calculation!AE210</f>
        <v>62.081110000000002</v>
      </c>
      <c r="F207" s="860">
        <f>Calculation!AF210</f>
        <v>88.813269999999989</v>
      </c>
      <c r="G207" s="860">
        <f>Calculation!AG210</f>
        <v>0</v>
      </c>
      <c r="H207" s="861">
        <f>Sheet1!H208</f>
        <v>1.65</v>
      </c>
      <c r="I207" s="841">
        <f>Sheet1!DA208</f>
        <v>313</v>
      </c>
      <c r="J207" s="841">
        <f>Sheet1!DB208</f>
        <v>185</v>
      </c>
      <c r="K207" s="841">
        <f>Sheet1!CZ208</f>
        <v>325</v>
      </c>
      <c r="L207" s="865">
        <f>Calculation!F210</f>
        <v>250</v>
      </c>
      <c r="M207" s="865">
        <f>Calculation!E210</f>
        <v>400</v>
      </c>
      <c r="N207" s="865">
        <f>Calculation!D210</f>
        <v>200</v>
      </c>
      <c r="O207" s="888">
        <f>Sheet1!DC208</f>
        <v>1163.76</v>
      </c>
      <c r="P207" s="889">
        <f>Calculation!FD210</f>
        <v>1138.3722222221436</v>
      </c>
      <c r="Q207" s="895">
        <f>Calculation!DP210</f>
        <v>45649.400000110785</v>
      </c>
      <c r="R207" s="888">
        <f t="shared" si="72"/>
        <v>45030.400000110785</v>
      </c>
      <c r="S207" s="890">
        <f t="shared" si="47"/>
        <v>-153.60000000024593</v>
      </c>
      <c r="T207" s="895">
        <f ca="1">IF(A207&gt;($A$1-1),#N/A,VLOOKUP(A207,Calculation!$B$8:$JO$503,40,FALSE))</f>
        <v>8845.3065489276523</v>
      </c>
      <c r="U207" s="890">
        <f t="shared" si="48"/>
        <v>39.465231870878164</v>
      </c>
      <c r="V207" s="890">
        <f>Calculation!AZ210</f>
        <v>0</v>
      </c>
      <c r="W207" s="981">
        <f t="shared" ca="1" si="79"/>
        <v>14058.264396152517</v>
      </c>
      <c r="X207" s="890">
        <v>0</v>
      </c>
      <c r="Y207" s="1164">
        <f t="shared" ca="1" si="69"/>
        <v>2500</v>
      </c>
      <c r="Z207" s="890">
        <f t="shared" ca="1" si="53"/>
        <v>11558.264396152517</v>
      </c>
      <c r="AA207" s="890">
        <f t="shared" ca="1" si="54"/>
        <v>0</v>
      </c>
      <c r="AB207" s="895">
        <f t="shared" ca="1" si="77"/>
        <v>22745.829055030612</v>
      </c>
      <c r="AC207" s="980">
        <f t="shared" ca="1" si="80"/>
        <v>22126.829055030612</v>
      </c>
      <c r="AD207" s="860">
        <f ca="1">IF(A207&gt;$A$1, #N/A,VLOOKUP(A207,Calculation!$B$8:$JO$880,165,FALSE))</f>
        <v>22074</v>
      </c>
      <c r="AE207" s="399">
        <f t="shared" ca="1" si="49"/>
        <v>-84</v>
      </c>
      <c r="AF207" s="399">
        <f t="shared" ca="1" si="62"/>
        <v>22693</v>
      </c>
      <c r="AG207" s="841">
        <f>Calculation!G210</f>
        <v>247.54160363073834</v>
      </c>
      <c r="AH207" s="847" t="str">
        <f t="shared" si="50"/>
        <v>Yes</v>
      </c>
      <c r="AI207" s="847" t="str">
        <f>IF(Calculation!K210&gt;0,"Yes","No")</f>
        <v>No</v>
      </c>
      <c r="AJ207" s="869">
        <v>45518.280000108738</v>
      </c>
      <c r="AK207" s="870">
        <v>46155.000000112297</v>
      </c>
      <c r="AL207" s="870">
        <v>41861.400000104361</v>
      </c>
      <c r="AN207" s="372">
        <v>45366.000000110536</v>
      </c>
      <c r="AO207" s="372">
        <v>42115.800000104602</v>
      </c>
      <c r="AP207" s="372">
        <v>48807.000000116634</v>
      </c>
      <c r="AU207" s="427"/>
      <c r="AV207" s="410"/>
      <c r="AW207" s="442"/>
      <c r="AX207" s="441"/>
      <c r="AY207" s="441"/>
      <c r="AZ207" s="443"/>
      <c r="BB207" s="433"/>
      <c r="BC207" s="432"/>
      <c r="BD207" s="433"/>
      <c r="BE207" s="432"/>
      <c r="BF207" s="433"/>
      <c r="BG207" s="432"/>
      <c r="BH207" s="429"/>
    </row>
    <row r="208" spans="1:60" ht="13.8" thickBot="1" x14ac:dyDescent="0.3">
      <c r="A208" s="406">
        <v>42935</v>
      </c>
      <c r="B208" s="860">
        <f t="shared" si="46"/>
        <v>150.92532</v>
      </c>
      <c r="C208" s="860">
        <f>Calculation!AK211</f>
        <v>0</v>
      </c>
      <c r="D208" s="860">
        <f>Calculation!AI211</f>
        <v>39.468635011086469</v>
      </c>
      <c r="E208" s="860">
        <f>Calculation!AE211</f>
        <v>67.433729999999997</v>
      </c>
      <c r="F208" s="860">
        <f>Calculation!AF211</f>
        <v>83.491589999999988</v>
      </c>
      <c r="G208" s="860">
        <f>Calculation!AG211</f>
        <v>0</v>
      </c>
      <c r="H208" s="861">
        <f>Sheet1!H209</f>
        <v>1.75</v>
      </c>
      <c r="I208" s="841">
        <f>Sheet1!DA209</f>
        <v>295</v>
      </c>
      <c r="J208" s="841">
        <f>Sheet1!DB209</f>
        <v>168</v>
      </c>
      <c r="K208" s="841">
        <f>Sheet1!CZ209</f>
        <v>314</v>
      </c>
      <c r="L208" s="865">
        <f>Calculation!F211</f>
        <v>250</v>
      </c>
      <c r="M208" s="865">
        <f>Calculation!E211</f>
        <v>400</v>
      </c>
      <c r="N208" s="865">
        <f>Calculation!D211</f>
        <v>200</v>
      </c>
      <c r="O208" s="888">
        <f>Sheet1!DC209</f>
        <v>1163.6199999999999</v>
      </c>
      <c r="P208" s="889">
        <f>Calculation!FD211</f>
        <v>1138.2569444443659</v>
      </c>
      <c r="Q208" s="895">
        <f>Calculation!DP211</f>
        <v>45496.800000110532</v>
      </c>
      <c r="R208" s="888">
        <f t="shared" si="72"/>
        <v>44877.800000110532</v>
      </c>
      <c r="S208" s="890">
        <f t="shared" si="47"/>
        <v>-152.6000000002532</v>
      </c>
      <c r="T208" s="895">
        <f ca="1">IF(A208&gt;($A$1-1),#N/A,VLOOKUP(A208,Calculation!$B$8:$JO$503,40,FALSE))</f>
        <v>8767.0326173090307</v>
      </c>
      <c r="U208" s="890">
        <f t="shared" si="48"/>
        <v>39.468635011086469</v>
      </c>
      <c r="V208" s="890">
        <f>Calculation!AZ211</f>
        <v>0</v>
      </c>
      <c r="W208" s="981">
        <f t="shared" ca="1" si="79"/>
        <v>14058.264396152517</v>
      </c>
      <c r="X208" s="890">
        <v>0</v>
      </c>
      <c r="Y208" s="1164">
        <f t="shared" ca="1" si="69"/>
        <v>2500</v>
      </c>
      <c r="Z208" s="890">
        <f t="shared" ca="1" si="53"/>
        <v>11558.264396152517</v>
      </c>
      <c r="AA208" s="890">
        <f t="shared" ca="1" si="54"/>
        <v>0</v>
      </c>
      <c r="AB208" s="895">
        <f t="shared" ca="1" si="77"/>
        <v>22671.502986648986</v>
      </c>
      <c r="AC208" s="980">
        <f t="shared" ca="1" si="80"/>
        <v>22052.502986648986</v>
      </c>
      <c r="AD208" s="860">
        <f ca="1">IF(A208&gt;$A$1, #N/A,VLOOKUP(A208,Calculation!$B$8:$JO$880,165,FALSE))</f>
        <v>21990</v>
      </c>
      <c r="AE208" s="399">
        <f t="shared" ca="1" si="49"/>
        <v>-84</v>
      </c>
      <c r="AF208" s="399">
        <f t="shared" ca="1" si="62"/>
        <v>22609</v>
      </c>
      <c r="AG208" s="841">
        <f>Calculation!G211</f>
        <v>237.04589006542955</v>
      </c>
      <c r="AH208" s="847" t="str">
        <f t="shared" si="50"/>
        <v>Yes</v>
      </c>
      <c r="AI208" s="847" t="str">
        <f>IF(Calculation!K211&gt;0,"Yes","No")</f>
        <v>No</v>
      </c>
      <c r="AJ208" s="869">
        <v>45020.560000108249</v>
      </c>
      <c r="AK208" s="870">
        <v>45748.000000111802</v>
      </c>
      <c r="AL208" s="870">
        <v>41723.600000104117</v>
      </c>
      <c r="AN208" s="372">
        <v>45256.000000111548</v>
      </c>
      <c r="AO208" s="372">
        <v>41914.400000104361</v>
      </c>
      <c r="AP208" s="372">
        <v>48671.400000117676</v>
      </c>
      <c r="AU208" s="427"/>
      <c r="AV208" s="410"/>
      <c r="AW208" s="442"/>
      <c r="AX208" s="441"/>
      <c r="AY208" s="441"/>
      <c r="AZ208" s="443"/>
      <c r="BB208" s="433"/>
      <c r="BC208" s="432"/>
      <c r="BD208" s="433"/>
      <c r="BE208" s="432"/>
      <c r="BF208" s="433"/>
      <c r="BG208" s="432"/>
      <c r="BH208" s="429"/>
    </row>
    <row r="209" spans="1:60" ht="13.8" thickBot="1" x14ac:dyDescent="0.3">
      <c r="A209" s="406">
        <v>42936</v>
      </c>
      <c r="B209" s="860">
        <f t="shared" si="46"/>
        <v>142.91185999999999</v>
      </c>
      <c r="C209" s="860">
        <f>Calculation!AK212</f>
        <v>0</v>
      </c>
      <c r="D209" s="860">
        <f>Calculation!AI212</f>
        <v>40.222000000000001</v>
      </c>
      <c r="E209" s="860">
        <f>Calculation!AE212</f>
        <v>59.095400000000005</v>
      </c>
      <c r="F209" s="860">
        <f>Calculation!AF212</f>
        <v>83.816459999999992</v>
      </c>
      <c r="G209" s="860">
        <f>Calculation!AG212</f>
        <v>0</v>
      </c>
      <c r="H209" s="861">
        <f>Sheet1!H210</f>
        <v>1.83</v>
      </c>
      <c r="I209" s="841">
        <f>Sheet1!DA210</f>
        <v>304</v>
      </c>
      <c r="J209" s="841">
        <f>Sheet1!DB210</f>
        <v>198</v>
      </c>
      <c r="K209" s="841">
        <f>Sheet1!CZ210</f>
        <v>313</v>
      </c>
      <c r="L209" s="865">
        <f>Calculation!F212</f>
        <v>250</v>
      </c>
      <c r="M209" s="865">
        <f>Calculation!E212</f>
        <v>400</v>
      </c>
      <c r="N209" s="865">
        <f>Calculation!D212</f>
        <v>200</v>
      </c>
      <c r="O209" s="888">
        <f>Sheet1!DC210</f>
        <v>1163.5</v>
      </c>
      <c r="P209" s="889">
        <f>Calculation!FD212</f>
        <v>1138.1402777776993</v>
      </c>
      <c r="Q209" s="895">
        <f>Calculation!DP212</f>
        <v>45366.000000110536</v>
      </c>
      <c r="R209" s="888">
        <f t="shared" si="72"/>
        <v>44747.000000110536</v>
      </c>
      <c r="S209" s="890">
        <f t="shared" si="47"/>
        <v>-130.79999999999563</v>
      </c>
      <c r="T209" s="895">
        <f ca="1">IF(A209&gt;($A$1-1),#N/A,VLOOKUP(A209,Calculation!$B$8:$JO$503,40,FALSE))</f>
        <v>8687.2646173090307</v>
      </c>
      <c r="U209" s="890">
        <f t="shared" si="48"/>
        <v>40.222000000000001</v>
      </c>
      <c r="V209" s="890">
        <f>Calculation!AZ212</f>
        <v>0</v>
      </c>
      <c r="W209" s="981">
        <f t="shared" ca="1" si="79"/>
        <v>14058.264396152517</v>
      </c>
      <c r="X209" s="890">
        <v>0</v>
      </c>
      <c r="Y209" s="1164">
        <f t="shared" ca="1" si="69"/>
        <v>2500</v>
      </c>
      <c r="Z209" s="890">
        <f t="shared" ca="1" si="53"/>
        <v>11558.264396152517</v>
      </c>
      <c r="AA209" s="890">
        <f t="shared" ca="1" si="54"/>
        <v>0</v>
      </c>
      <c r="AB209" s="895">
        <f t="shared" ca="1" si="77"/>
        <v>22620.470986648987</v>
      </c>
      <c r="AC209" s="980">
        <f t="shared" ca="1" si="80"/>
        <v>22001.470986648987</v>
      </c>
      <c r="AD209" s="860">
        <f ca="1">IF(A209&gt;$A$1, #N/A,VLOOKUP(A209,Calculation!$B$8:$JO$880,165,FALSE))</f>
        <v>21906</v>
      </c>
      <c r="AE209" s="399">
        <f t="shared" ca="1" si="49"/>
        <v>-84</v>
      </c>
      <c r="AF209" s="399">
        <f t="shared" ca="1" si="62"/>
        <v>22525</v>
      </c>
      <c r="AG209" s="841">
        <f>Calculation!G212</f>
        <v>247.03933434190841</v>
      </c>
      <c r="AH209" s="847" t="str">
        <f t="shared" si="50"/>
        <v>Yes</v>
      </c>
      <c r="AI209" s="847" t="str">
        <f>IF(Calculation!K212&gt;0,"Yes","No")</f>
        <v>No</v>
      </c>
      <c r="AJ209" s="869">
        <v>44538.100000106802</v>
      </c>
      <c r="AK209" s="870">
        <v>45420.500000110536</v>
      </c>
      <c r="AL209" s="870">
        <v>41586.000000103137</v>
      </c>
      <c r="AN209" s="372">
        <v>45103.40000011029</v>
      </c>
      <c r="AO209" s="372">
        <v>41723.600000104117</v>
      </c>
      <c r="AP209" s="372">
        <v>48502.600000116377</v>
      </c>
      <c r="AU209" s="427"/>
      <c r="AV209" s="410"/>
      <c r="AW209" s="442"/>
      <c r="AX209" s="441"/>
      <c r="AY209" s="441"/>
      <c r="AZ209" s="443"/>
      <c r="BB209" s="433"/>
      <c r="BC209" s="432"/>
      <c r="BD209" s="433"/>
      <c r="BE209" s="432"/>
      <c r="BF209" s="433"/>
      <c r="BG209" s="432"/>
      <c r="BH209" s="429"/>
    </row>
    <row r="210" spans="1:60" ht="13.8" thickBot="1" x14ac:dyDescent="0.3">
      <c r="A210" s="406">
        <v>42937</v>
      </c>
      <c r="B210" s="860">
        <f t="shared" si="46"/>
        <v>137.11061000000001</v>
      </c>
      <c r="C210" s="860">
        <f>Calculation!AK213</f>
        <v>0</v>
      </c>
      <c r="D210" s="860">
        <f>Calculation!AI213</f>
        <v>34.807499999999997</v>
      </c>
      <c r="E210" s="860">
        <f>Calculation!AE213</f>
        <v>52.164839999999998</v>
      </c>
      <c r="F210" s="860">
        <f>Calculation!AF213</f>
        <v>84.945769999999996</v>
      </c>
      <c r="G210" s="860">
        <f>Calculation!AG213</f>
        <v>0</v>
      </c>
      <c r="H210" s="861">
        <f>Sheet1!H211</f>
        <v>1.71</v>
      </c>
      <c r="I210" s="841">
        <f>Sheet1!DA211</f>
        <v>300</v>
      </c>
      <c r="J210" s="841">
        <f>Sheet1!DB211</f>
        <v>189</v>
      </c>
      <c r="K210" s="841">
        <f>Sheet1!CZ211</f>
        <v>303</v>
      </c>
      <c r="L210" s="865">
        <f>Calculation!F213</f>
        <v>250</v>
      </c>
      <c r="M210" s="865">
        <f>Calculation!E213</f>
        <v>400</v>
      </c>
      <c r="N210" s="865">
        <f>Calculation!D213</f>
        <v>200</v>
      </c>
      <c r="O210" s="888">
        <f>Sheet1!DC211</f>
        <v>1163.3699999999999</v>
      </c>
      <c r="P210" s="889">
        <f>Calculation!FD213</f>
        <v>1138.0236111110328</v>
      </c>
      <c r="Q210" s="895">
        <f>Calculation!DP213</f>
        <v>45223.300000110285</v>
      </c>
      <c r="R210" s="888">
        <f t="shared" si="72"/>
        <v>44604.300000110285</v>
      </c>
      <c r="S210" s="890">
        <f t="shared" si="47"/>
        <v>-142.70000000025175</v>
      </c>
      <c r="T210" s="895">
        <f ca="1">IF(A210&gt;($A$1-1),#N/A,VLOOKUP(A210,Calculation!$B$8:$JO$503,40,FALSE))</f>
        <v>8618.23461730903</v>
      </c>
      <c r="U210" s="890">
        <f t="shared" si="48"/>
        <v>34.807499999999997</v>
      </c>
      <c r="V210" s="890">
        <f>Calculation!AZ213</f>
        <v>0</v>
      </c>
      <c r="W210" s="981">
        <f t="shared" ca="1" si="79"/>
        <v>14058.264396152517</v>
      </c>
      <c r="X210" s="890">
        <v>0</v>
      </c>
      <c r="Y210" s="1164">
        <f t="shared" ca="1" si="69"/>
        <v>2500</v>
      </c>
      <c r="Z210" s="890">
        <f t="shared" ca="1" si="53"/>
        <v>11558.264396152517</v>
      </c>
      <c r="AA210" s="890">
        <f t="shared" ca="1" si="54"/>
        <v>0</v>
      </c>
      <c r="AB210" s="895">
        <f t="shared" ca="1" si="77"/>
        <v>22546.800986648741</v>
      </c>
      <c r="AC210" s="980">
        <f t="shared" ca="1" si="80"/>
        <v>21927.800986648741</v>
      </c>
      <c r="AD210" s="860">
        <f ca="1">IF(A210&gt;$A$1, #N/A,VLOOKUP(A210,Calculation!$B$8:$JO$880,165,FALSE))</f>
        <v>21822</v>
      </c>
      <c r="AE210" s="399">
        <f t="shared" ca="1" si="49"/>
        <v>-84</v>
      </c>
      <c r="AF210" s="399">
        <f t="shared" ca="1" si="62"/>
        <v>22441</v>
      </c>
      <c r="AG210" s="841">
        <f>Calculation!G213</f>
        <v>231.03832576890989</v>
      </c>
      <c r="AH210" s="847" t="str">
        <f t="shared" si="50"/>
        <v>Yes</v>
      </c>
      <c r="AI210" s="847" t="str">
        <f>IF(Calculation!K213&gt;0,"Yes","No")</f>
        <v>No</v>
      </c>
      <c r="AJ210" s="869">
        <v>44067.300000106319</v>
      </c>
      <c r="AK210" s="870">
        <v>45267.000000111548</v>
      </c>
      <c r="AL210" s="870">
        <v>41429.200000101919</v>
      </c>
      <c r="AN210" s="372">
        <v>44972.0000001113</v>
      </c>
      <c r="AO210" s="372">
        <v>41523.000000103137</v>
      </c>
      <c r="AP210" s="372">
        <v>48300.000000116379</v>
      </c>
      <c r="AU210" s="427"/>
      <c r="AV210" s="410"/>
      <c r="AW210" s="442"/>
      <c r="AX210" s="441"/>
      <c r="AY210" s="441"/>
      <c r="AZ210" s="443"/>
      <c r="BB210" s="433"/>
      <c r="BC210" s="432"/>
      <c r="BD210" s="433"/>
      <c r="BE210" s="432"/>
      <c r="BF210" s="433"/>
      <c r="BG210" s="432"/>
      <c r="BH210" s="429"/>
    </row>
    <row r="211" spans="1:60" ht="13.8" thickBot="1" x14ac:dyDescent="0.3">
      <c r="A211" s="406">
        <v>42938</v>
      </c>
      <c r="B211" s="860">
        <f t="shared" si="46"/>
        <v>139.5394</v>
      </c>
      <c r="C211" s="860">
        <f>Calculation!AK214</f>
        <v>0</v>
      </c>
      <c r="D211" s="860">
        <f>Calculation!AI214</f>
        <v>34.80749999999999</v>
      </c>
      <c r="E211" s="860">
        <f>Calculation!AE214</f>
        <v>54.732860000000002</v>
      </c>
      <c r="F211" s="860">
        <f>Calculation!AF214</f>
        <v>84.806539999999998</v>
      </c>
      <c r="G211" s="860">
        <f>Calculation!AG214</f>
        <v>0</v>
      </c>
      <c r="H211" s="861">
        <f>Sheet1!H212</f>
        <v>1.82</v>
      </c>
      <c r="I211" s="841">
        <f>Sheet1!DA212</f>
        <v>282</v>
      </c>
      <c r="J211" s="841">
        <f>Sheet1!DB212</f>
        <v>178</v>
      </c>
      <c r="K211" s="841">
        <f>Sheet1!CZ212</f>
        <v>303</v>
      </c>
      <c r="L211" s="865">
        <f>Calculation!F214</f>
        <v>250</v>
      </c>
      <c r="M211" s="865">
        <f>Calculation!E214</f>
        <v>400</v>
      </c>
      <c r="N211" s="865">
        <f>Calculation!D214</f>
        <v>200</v>
      </c>
      <c r="O211" s="888">
        <f>Sheet1!DC212</f>
        <v>1163.25</v>
      </c>
      <c r="P211" s="889">
        <f>Calculation!FD214</f>
        <v>1137.9056338027387</v>
      </c>
      <c r="Q211" s="895">
        <f>Calculation!DP214</f>
        <v>45092.500000110289</v>
      </c>
      <c r="R211" s="888">
        <f t="shared" si="72"/>
        <v>44473.500000110289</v>
      </c>
      <c r="S211" s="890">
        <f t="shared" si="47"/>
        <v>-130.79999999999563</v>
      </c>
      <c r="T211" s="895">
        <f ca="1">IF(A211&gt;($A$1-1),#N/A,VLOOKUP(A211,Calculation!$B$8:$JO$503,40,FALSE))</f>
        <v>8549.2046173090293</v>
      </c>
      <c r="U211" s="890">
        <f t="shared" si="48"/>
        <v>34.80749999999999</v>
      </c>
      <c r="V211" s="890">
        <f>Calculation!AZ214</f>
        <v>0</v>
      </c>
      <c r="W211" s="981">
        <f t="shared" ca="1" si="79"/>
        <v>14058.264396152517</v>
      </c>
      <c r="X211" s="890">
        <v>0</v>
      </c>
      <c r="Y211" s="1164">
        <f t="shared" ca="1" si="69"/>
        <v>2500</v>
      </c>
      <c r="Z211" s="890">
        <f t="shared" ca="1" si="53"/>
        <v>11558.264396152517</v>
      </c>
      <c r="AA211" s="890">
        <f t="shared" ca="1" si="54"/>
        <v>0</v>
      </c>
      <c r="AB211" s="895">
        <f t="shared" ca="1" si="77"/>
        <v>22485.030986648744</v>
      </c>
      <c r="AC211" s="980">
        <f t="shared" ca="1" si="80"/>
        <v>21866.030986648744</v>
      </c>
      <c r="AD211" s="860">
        <f ca="1">IF(A211&gt;$A$1, #N/A,VLOOKUP(A211,Calculation!$B$8:$JO$880,165,FALSE))</f>
        <v>21738</v>
      </c>
      <c r="AE211" s="399">
        <f t="shared" ca="1" si="49"/>
        <v>-84</v>
      </c>
      <c r="AF211" s="399">
        <f t="shared" ca="1" si="62"/>
        <v>22357</v>
      </c>
      <c r="AG211" s="841">
        <f>Calculation!G214</f>
        <v>237.03933434190841</v>
      </c>
      <c r="AH211" s="847" t="str">
        <f t="shared" si="50"/>
        <v>Yes</v>
      </c>
      <c r="AI211" s="847" t="str">
        <f>IF(Calculation!K214&gt;0,"Yes","No")</f>
        <v>No</v>
      </c>
      <c r="AJ211" s="869">
        <v>43535.400000104841</v>
      </c>
      <c r="AK211" s="870">
        <v>45038.000000110289</v>
      </c>
      <c r="AL211" s="870">
        <v>41282.500000102897</v>
      </c>
      <c r="AN211" s="372">
        <v>44808.200000109027</v>
      </c>
      <c r="AO211" s="372">
        <v>41324.500000102897</v>
      </c>
      <c r="AP211" s="372">
        <v>48075.500000115091</v>
      </c>
      <c r="AU211" s="427"/>
      <c r="AV211" s="410"/>
      <c r="AW211" s="442"/>
      <c r="AX211" s="441"/>
      <c r="AY211" s="441"/>
      <c r="AZ211" s="443"/>
      <c r="BB211" s="433"/>
      <c r="BC211" s="432"/>
      <c r="BD211" s="433"/>
      <c r="BE211" s="432"/>
      <c r="BF211" s="433"/>
      <c r="BG211" s="432"/>
      <c r="BH211" s="429"/>
    </row>
    <row r="212" spans="1:60" ht="13.8" thickBot="1" x14ac:dyDescent="0.3">
      <c r="A212" s="406">
        <v>42939</v>
      </c>
      <c r="B212" s="860">
        <f t="shared" si="46"/>
        <v>139.60128</v>
      </c>
      <c r="C212" s="860">
        <f>Calculation!AK215</f>
        <v>0</v>
      </c>
      <c r="D212" s="860">
        <f>Calculation!AI215</f>
        <v>34.807500000000005</v>
      </c>
      <c r="E212" s="860">
        <f>Calculation!AE215</f>
        <v>54.763799999999996</v>
      </c>
      <c r="F212" s="860">
        <f>Calculation!AF215</f>
        <v>84.837479999999999</v>
      </c>
      <c r="G212" s="860">
        <f>Calculation!AG215</f>
        <v>0</v>
      </c>
      <c r="H212" s="861">
        <f>Sheet1!H213</f>
        <v>1.82</v>
      </c>
      <c r="I212" s="841">
        <f>Sheet1!DA213</f>
        <v>278</v>
      </c>
      <c r="J212" s="841">
        <f>Sheet1!DB213</f>
        <v>180</v>
      </c>
      <c r="K212" s="841">
        <f>Sheet1!CZ213</f>
        <v>303</v>
      </c>
      <c r="L212" s="865">
        <f>Calculation!F215</f>
        <v>250</v>
      </c>
      <c r="M212" s="865">
        <f>Calculation!E215</f>
        <v>400</v>
      </c>
      <c r="N212" s="865">
        <f>Calculation!D215</f>
        <v>200</v>
      </c>
      <c r="O212" s="888">
        <f>Sheet1!DC213</f>
        <v>1163.1199999999999</v>
      </c>
      <c r="P212" s="889">
        <f>Calculation!FD215</f>
        <v>1137.7871428570647</v>
      </c>
      <c r="Q212" s="895">
        <f>Calculation!DP215</f>
        <v>44950.000000111046</v>
      </c>
      <c r="R212" s="888">
        <f t="shared" si="72"/>
        <v>44331.000000111046</v>
      </c>
      <c r="S212" s="890">
        <f t="shared" si="47"/>
        <v>-142.4999999992433</v>
      </c>
      <c r="T212" s="895">
        <f ca="1">IF(A212&gt;($A$1-1),#N/A,VLOOKUP(A212,Calculation!$B$8:$JO$503,40,FALSE))</f>
        <v>8480.1746173090305</v>
      </c>
      <c r="U212" s="890">
        <f t="shared" si="48"/>
        <v>34.807500000000005</v>
      </c>
      <c r="V212" s="890">
        <f>Calculation!AZ215</f>
        <v>0</v>
      </c>
      <c r="W212" s="981">
        <f t="shared" ca="1" si="79"/>
        <v>14058.264396152517</v>
      </c>
      <c r="X212" s="890">
        <v>0</v>
      </c>
      <c r="Y212" s="1164">
        <f t="shared" ca="1" si="69"/>
        <v>2500</v>
      </c>
      <c r="Z212" s="890">
        <f t="shared" ca="1" si="53"/>
        <v>11558.264396152517</v>
      </c>
      <c r="AA212" s="890">
        <f t="shared" ca="1" si="54"/>
        <v>0</v>
      </c>
      <c r="AB212" s="895">
        <f t="shared" ca="1" si="77"/>
        <v>22411.5609866495</v>
      </c>
      <c r="AC212" s="980">
        <f t="shared" ca="1" si="80"/>
        <v>21792.5609866495</v>
      </c>
      <c r="AD212" s="860">
        <f ca="1">IF(A212&gt;$A$1, #N/A,VLOOKUP(A212,Calculation!$B$8:$JO$880,165,FALSE))</f>
        <v>21654</v>
      </c>
      <c r="AE212" s="399">
        <f t="shared" ca="1" si="49"/>
        <v>-84</v>
      </c>
      <c r="AF212" s="399">
        <f t="shared" ca="1" si="62"/>
        <v>22273</v>
      </c>
      <c r="AG212" s="841">
        <f>Calculation!G215</f>
        <v>231.13918305635741</v>
      </c>
      <c r="AH212" s="847" t="str">
        <f t="shared" si="50"/>
        <v>Yes</v>
      </c>
      <c r="AI212" s="847" t="str">
        <f>IF(Calculation!K215&gt;0,"Yes","No")</f>
        <v>No</v>
      </c>
      <c r="AJ212" s="869">
        <v>42963.000000104359</v>
      </c>
      <c r="AK212" s="870">
        <v>44743.400000109032</v>
      </c>
      <c r="AL212" s="870">
        <v>41146.400000101683</v>
      </c>
      <c r="AN212" s="372">
        <v>44928.000000111046</v>
      </c>
      <c r="AO212" s="372">
        <v>41156.800000101684</v>
      </c>
      <c r="AP212" s="372">
        <v>47852.500000114836</v>
      </c>
      <c r="AU212" s="427"/>
      <c r="AV212" s="410"/>
      <c r="AW212" s="442"/>
      <c r="AX212" s="441"/>
      <c r="AY212" s="441"/>
      <c r="AZ212" s="443"/>
      <c r="BB212" s="433"/>
      <c r="BC212" s="432"/>
      <c r="BD212" s="433"/>
      <c r="BE212" s="432"/>
      <c r="BF212" s="433"/>
      <c r="BG212" s="432"/>
      <c r="BH212" s="429"/>
    </row>
    <row r="213" spans="1:60" ht="13.8" thickBot="1" x14ac:dyDescent="0.3">
      <c r="A213" s="406">
        <v>42940</v>
      </c>
      <c r="B213" s="860">
        <f t="shared" si="46"/>
        <v>140.14272999999997</v>
      </c>
      <c r="C213" s="860">
        <f>Calculation!AK216</f>
        <v>0</v>
      </c>
      <c r="D213" s="860">
        <f>Calculation!AI216</f>
        <v>34.807500000000005</v>
      </c>
      <c r="E213" s="860">
        <f>Calculation!AE216</f>
        <v>50.896299999999997</v>
      </c>
      <c r="F213" s="860">
        <f>Calculation!AF216</f>
        <v>89.246429999999989</v>
      </c>
      <c r="G213" s="860">
        <f>Calculation!AG216</f>
        <v>0</v>
      </c>
      <c r="H213" s="861">
        <f>Sheet1!H214</f>
        <v>1.9</v>
      </c>
      <c r="I213" s="841">
        <f>Sheet1!DA214</f>
        <v>340</v>
      </c>
      <c r="J213" s="841">
        <f>Sheet1!DB214</f>
        <v>176</v>
      </c>
      <c r="K213" s="841">
        <f>Sheet1!CZ214</f>
        <v>300</v>
      </c>
      <c r="L213" s="865">
        <f>Calculation!F216</f>
        <v>250</v>
      </c>
      <c r="M213" s="865">
        <f>Calculation!E216</f>
        <v>400</v>
      </c>
      <c r="N213" s="865">
        <f>Calculation!D216</f>
        <v>200</v>
      </c>
      <c r="O213" s="888">
        <f>Sheet1!DC214</f>
        <v>1162.97</v>
      </c>
      <c r="P213" s="889">
        <f>Calculation!FD216</f>
        <v>1137.6676056337249</v>
      </c>
      <c r="Q213" s="895">
        <f>Calculation!DP216</f>
        <v>44786.600000109029</v>
      </c>
      <c r="R213" s="888">
        <f t="shared" si="72"/>
        <v>44167.600000109029</v>
      </c>
      <c r="S213" s="890">
        <f t="shared" si="47"/>
        <v>-163.4000000020169</v>
      </c>
      <c r="T213" s="895">
        <f ca="1">IF(A213&gt;($A$1-1),#N/A,VLOOKUP(A213,Calculation!$B$8:$JO$503,40,FALSE))</f>
        <v>8411.1446173090299</v>
      </c>
      <c r="U213" s="890">
        <f t="shared" si="48"/>
        <v>34.807500000000005</v>
      </c>
      <c r="V213" s="890">
        <f>Calculation!AZ216</f>
        <v>0</v>
      </c>
      <c r="W213" s="981">
        <f t="shared" ca="1" si="79"/>
        <v>14058.264396152517</v>
      </c>
      <c r="X213" s="890">
        <v>0</v>
      </c>
      <c r="Y213" s="1164">
        <f t="shared" ca="1" si="69"/>
        <v>2500</v>
      </c>
      <c r="Z213" s="890">
        <f t="shared" ca="1" si="53"/>
        <v>11558.264396152517</v>
      </c>
      <c r="AA213" s="890">
        <f t="shared" ca="1" si="54"/>
        <v>0</v>
      </c>
      <c r="AB213" s="895">
        <f t="shared" ca="1" si="77"/>
        <v>22317.190986647482</v>
      </c>
      <c r="AC213" s="980">
        <f t="shared" ca="1" si="80"/>
        <v>21698.190986647482</v>
      </c>
      <c r="AD213" s="860">
        <f ca="1">IF(A213&gt;$A$1, #N/A,VLOOKUP(A213,Calculation!$B$8:$JO$880,165,FALSE))</f>
        <v>21570</v>
      </c>
      <c r="AE213" s="399">
        <f t="shared" ca="1" si="49"/>
        <v>-84</v>
      </c>
      <c r="AF213" s="399">
        <f t="shared" ca="1" si="62"/>
        <v>22189</v>
      </c>
      <c r="AG213" s="841">
        <f>Calculation!G216</f>
        <v>217.59959656983517</v>
      </c>
      <c r="AH213" s="847" t="str">
        <f t="shared" si="50"/>
        <v>Yes</v>
      </c>
      <c r="AI213" s="847" t="str">
        <f>IF(Calculation!K216&gt;0,"Yes","No")</f>
        <v>No</v>
      </c>
      <c r="AJ213" s="869">
        <v>42374.730000102361</v>
      </c>
      <c r="AK213" s="870">
        <v>44450.800000108786</v>
      </c>
      <c r="AL213" s="870">
        <v>40989.500000102656</v>
      </c>
      <c r="AN213" s="372">
        <v>44994.0000001113</v>
      </c>
      <c r="AO213" s="372">
        <v>40989.500000102656</v>
      </c>
      <c r="AP213" s="372">
        <v>47540.400000115616</v>
      </c>
      <c r="AU213" s="427"/>
      <c r="AV213" s="410"/>
      <c r="AW213" s="442"/>
      <c r="AX213" s="441"/>
      <c r="AY213" s="441"/>
      <c r="AZ213" s="443"/>
      <c r="BB213" s="433"/>
      <c r="BC213" s="432"/>
      <c r="BD213" s="433"/>
      <c r="BE213" s="432"/>
      <c r="BF213" s="433"/>
      <c r="BG213" s="432"/>
      <c r="BH213" s="429"/>
    </row>
    <row r="214" spans="1:60" ht="13.8" thickBot="1" x14ac:dyDescent="0.3">
      <c r="A214" s="406">
        <v>42941</v>
      </c>
      <c r="B214" s="860">
        <f t="shared" si="46"/>
        <v>140.99358000000001</v>
      </c>
      <c r="C214" s="860">
        <f>Calculation!AK217</f>
        <v>0</v>
      </c>
      <c r="D214" s="860">
        <f>Calculation!AI217</f>
        <v>34.807499999999997</v>
      </c>
      <c r="E214" s="860">
        <f>Calculation!AE217</f>
        <v>48.421099999999996</v>
      </c>
      <c r="F214" s="860">
        <f>Calculation!AF217</f>
        <v>92.572479999999999</v>
      </c>
      <c r="G214" s="860">
        <f>Calculation!AG217</f>
        <v>0</v>
      </c>
      <c r="H214" s="861">
        <f>Sheet1!H215</f>
        <v>1.89</v>
      </c>
      <c r="I214" s="841">
        <f>Sheet1!DA215</f>
        <v>335</v>
      </c>
      <c r="J214" s="841">
        <f>Sheet1!DB215</f>
        <v>171</v>
      </c>
      <c r="K214" s="841">
        <f>Sheet1!CZ215</f>
        <v>297</v>
      </c>
      <c r="L214" s="865">
        <f>Calculation!F217</f>
        <v>250</v>
      </c>
      <c r="M214" s="865">
        <f>Calculation!E217</f>
        <v>400</v>
      </c>
      <c r="N214" s="865">
        <f>Calculation!D217</f>
        <v>200</v>
      </c>
      <c r="O214" s="888">
        <f>Sheet1!DC215</f>
        <v>1162.82</v>
      </c>
      <c r="P214" s="889">
        <f>Calculation!FD217</f>
        <v>1137.5485714284937</v>
      </c>
      <c r="Q214" s="895">
        <f>Calculation!DP217</f>
        <v>44624.600000108781</v>
      </c>
      <c r="R214" s="888">
        <f t="shared" si="72"/>
        <v>44005.600000108781</v>
      </c>
      <c r="S214" s="890">
        <f t="shared" si="47"/>
        <v>-162.00000000024738</v>
      </c>
      <c r="T214" s="895">
        <f ca="1">IF(A214&gt;($A$1-1),#N/A,VLOOKUP(A214,Calculation!$B$8:$JO$503,40,FALSE))</f>
        <v>8342.1146173090292</v>
      </c>
      <c r="U214" s="890">
        <f t="shared" si="48"/>
        <v>34.807499999999997</v>
      </c>
      <c r="V214" s="890">
        <f>Calculation!AZ217</f>
        <v>0</v>
      </c>
      <c r="W214" s="981">
        <f t="shared" ca="1" si="79"/>
        <v>14058.264396152517</v>
      </c>
      <c r="X214" s="890">
        <v>0</v>
      </c>
      <c r="Y214" s="1164">
        <f t="shared" ca="1" si="69"/>
        <v>2500</v>
      </c>
      <c r="Z214" s="890">
        <f t="shared" ca="1" si="53"/>
        <v>11558.264396152517</v>
      </c>
      <c r="AA214" s="890">
        <f t="shared" ca="1" si="54"/>
        <v>0</v>
      </c>
      <c r="AB214" s="895">
        <f t="shared" ref="AB214:AB233" ca="1" si="81">IF(Q214-T214-W214&lt;0,0,MIN(Q214-T214-W214,24257))</f>
        <v>22224.220986647233</v>
      </c>
      <c r="AC214" s="980">
        <f t="shared" ref="AC214:AC233" ca="1" si="82">AB214-619</f>
        <v>21605.220986647233</v>
      </c>
      <c r="AD214" s="860">
        <f ca="1">IF(A214&gt;$A$1, #N/A,VLOOKUP(A214,Calculation!$B$8:$JO$880,165,FALSE))</f>
        <v>21487</v>
      </c>
      <c r="AE214" s="399">
        <f t="shared" ca="1" si="49"/>
        <v>-83</v>
      </c>
      <c r="AF214" s="399">
        <f t="shared" ca="1" si="62"/>
        <v>22106</v>
      </c>
      <c r="AG214" s="841">
        <f>Calculation!G217</f>
        <v>215.30559757930035</v>
      </c>
      <c r="AH214" s="847" t="str">
        <f t="shared" si="50"/>
        <v>Yes</v>
      </c>
      <c r="AI214" s="847" t="str">
        <f>IF(Calculation!K217&gt;0,"Yes","No")</f>
        <v>No</v>
      </c>
      <c r="AJ214" s="869">
        <v>41798.88000010189</v>
      </c>
      <c r="AK214" s="870">
        <v>44051.100000109298</v>
      </c>
      <c r="AL214" s="870">
        <v>40853.000000102424</v>
      </c>
      <c r="AN214" s="372">
        <v>44917.10000011004</v>
      </c>
      <c r="AO214" s="372">
        <v>40884.500000102424</v>
      </c>
      <c r="AP214" s="372">
        <v>47261.400000115362</v>
      </c>
      <c r="AU214" s="427"/>
      <c r="AV214" s="410"/>
      <c r="AW214" s="442"/>
      <c r="AX214" s="441"/>
      <c r="AY214" s="441"/>
      <c r="AZ214" s="443"/>
      <c r="BB214" s="433"/>
      <c r="BC214" s="432"/>
      <c r="BD214" s="433"/>
      <c r="BE214" s="432"/>
      <c r="BF214" s="433"/>
      <c r="BG214" s="432"/>
      <c r="BH214" s="429"/>
    </row>
    <row r="215" spans="1:60" ht="13.8" thickBot="1" x14ac:dyDescent="0.3">
      <c r="A215" s="406">
        <v>42942</v>
      </c>
      <c r="B215" s="860">
        <f t="shared" si="46"/>
        <v>142.38587999999999</v>
      </c>
      <c r="C215" s="860">
        <f>Calculation!AK218</f>
        <v>0</v>
      </c>
      <c r="D215" s="860">
        <f>Calculation!AI218</f>
        <v>34.82675820303384</v>
      </c>
      <c r="E215" s="860">
        <f>Calculation!AE218</f>
        <v>49.813400000000001</v>
      </c>
      <c r="F215" s="860">
        <f>Calculation!AF218</f>
        <v>92.572479999999999</v>
      </c>
      <c r="G215" s="860">
        <f>Calculation!AG218</f>
        <v>0</v>
      </c>
      <c r="H215" s="861">
        <f>Sheet1!H216</f>
        <v>1.86</v>
      </c>
      <c r="I215" s="841">
        <f>Sheet1!DA216</f>
        <v>331</v>
      </c>
      <c r="J215" s="841">
        <f>Sheet1!DB216</f>
        <v>150</v>
      </c>
      <c r="K215" s="841">
        <f>Sheet1!CZ216</f>
        <v>276</v>
      </c>
      <c r="L215" s="865">
        <f>Calculation!F218</f>
        <v>250</v>
      </c>
      <c r="M215" s="865">
        <f>Calculation!E218</f>
        <v>400</v>
      </c>
      <c r="N215" s="865">
        <f>Calculation!D218</f>
        <v>200</v>
      </c>
      <c r="O215" s="888">
        <f>Sheet1!DC216</f>
        <v>1162.68</v>
      </c>
      <c r="P215" s="889">
        <f>Calculation!FD218</f>
        <v>1137.429577464711</v>
      </c>
      <c r="Q215" s="895">
        <f>Calculation!DP218</f>
        <v>44472.400000108784</v>
      </c>
      <c r="R215" s="888">
        <f t="shared" si="72"/>
        <v>43853.400000108784</v>
      </c>
      <c r="S215" s="890">
        <f t="shared" si="47"/>
        <v>-152.19999999999709</v>
      </c>
      <c r="T215" s="895">
        <f ca="1">IF(A215&gt;($A$1-1),#N/A,VLOOKUP(A215,Calculation!$B$8:$JO$503,40,FALSE))</f>
        <v>8273.0464245702406</v>
      </c>
      <c r="U215" s="890">
        <f t="shared" si="48"/>
        <v>34.82675820303384</v>
      </c>
      <c r="V215" s="890">
        <f>Calculation!AZ218</f>
        <v>0</v>
      </c>
      <c r="W215" s="981">
        <f t="shared" ca="1" si="79"/>
        <v>14058.264396152517</v>
      </c>
      <c r="X215" s="890">
        <v>0</v>
      </c>
      <c r="Y215" s="1164">
        <f t="shared" ca="1" si="69"/>
        <v>2500</v>
      </c>
      <c r="Z215" s="890">
        <f t="shared" ca="1" si="53"/>
        <v>11558.264396152517</v>
      </c>
      <c r="AA215" s="890">
        <f t="shared" ca="1" si="54"/>
        <v>0</v>
      </c>
      <c r="AB215" s="895">
        <f t="shared" ca="1" si="81"/>
        <v>22141.089179386028</v>
      </c>
      <c r="AC215" s="980">
        <f t="shared" ca="1" si="82"/>
        <v>21522.089179386028</v>
      </c>
      <c r="AD215" s="860">
        <f ca="1">IF(A215&gt;$A$1, #N/A,VLOOKUP(A215,Calculation!$B$8:$JO$880,165,FALSE))</f>
        <v>21403</v>
      </c>
      <c r="AE215" s="399">
        <f t="shared" ca="1" si="49"/>
        <v>-84</v>
      </c>
      <c r="AF215" s="399">
        <f t="shared" ca="1" si="62"/>
        <v>22022</v>
      </c>
      <c r="AG215" s="841">
        <f>Calculation!G218</f>
        <v>199.24760463943667</v>
      </c>
      <c r="AH215" s="847" t="str">
        <f t="shared" si="50"/>
        <v>Yes</v>
      </c>
      <c r="AI215" s="847" t="str">
        <f>IF(Calculation!K218&gt;0,"Yes","No")</f>
        <v>No</v>
      </c>
      <c r="AJ215" s="869">
        <v>41488.680000100198</v>
      </c>
      <c r="AK215" s="870">
        <v>43544.400000106805</v>
      </c>
      <c r="AL215" s="870">
        <v>40665.000000101209</v>
      </c>
      <c r="AN215" s="372">
        <v>44808.200000109027</v>
      </c>
      <c r="AO215" s="372">
        <v>40790.000000102424</v>
      </c>
      <c r="AP215" s="372">
        <v>46928.000000113054</v>
      </c>
      <c r="AU215" s="427"/>
      <c r="AV215" s="410"/>
      <c r="AW215" s="442"/>
      <c r="AX215" s="441"/>
      <c r="AY215" s="441"/>
      <c r="AZ215" s="443"/>
      <c r="BB215" s="433"/>
      <c r="BC215" s="432"/>
      <c r="BD215" s="433"/>
      <c r="BE215" s="432"/>
      <c r="BF215" s="433"/>
      <c r="BG215" s="432"/>
      <c r="BH215" s="429"/>
    </row>
    <row r="216" spans="1:60" ht="13.8" thickBot="1" x14ac:dyDescent="0.3">
      <c r="A216" s="406">
        <v>42943</v>
      </c>
      <c r="B216" s="860">
        <f t="shared" si="46"/>
        <v>143.51518999999999</v>
      </c>
      <c r="C216" s="860">
        <f>Calculation!AK219</f>
        <v>0</v>
      </c>
      <c r="D216" s="860">
        <f>Calculation!AI219</f>
        <v>34.827538806666666</v>
      </c>
      <c r="E216" s="860">
        <f>Calculation!AE219</f>
        <v>50.91176999999999</v>
      </c>
      <c r="F216" s="860">
        <f>Calculation!AF219</f>
        <v>92.60342</v>
      </c>
      <c r="G216" s="860">
        <f>Calculation!AG219</f>
        <v>0</v>
      </c>
      <c r="H216" s="861">
        <f>Sheet1!H217</f>
        <v>1.78</v>
      </c>
      <c r="I216" s="841">
        <f>Sheet1!DA217</f>
        <v>299</v>
      </c>
      <c r="J216" s="841">
        <f>Sheet1!DB217</f>
        <v>147</v>
      </c>
      <c r="K216" s="841">
        <f>Sheet1!CZ217</f>
        <v>276</v>
      </c>
      <c r="L216" s="865">
        <f>Calculation!F219</f>
        <v>250</v>
      </c>
      <c r="M216" s="865">
        <f>Calculation!E219</f>
        <v>400</v>
      </c>
      <c r="N216" s="865">
        <f>Calculation!D219</f>
        <v>200</v>
      </c>
      <c r="O216" s="888">
        <f>Sheet1!DC217</f>
        <v>1162.55</v>
      </c>
      <c r="P216" s="889">
        <f>Calculation!FD219</f>
        <v>1137.3126760562604</v>
      </c>
      <c r="Q216" s="895">
        <f>Calculation!DP219</f>
        <v>44332.000000108543</v>
      </c>
      <c r="R216" s="888">
        <f t="shared" si="72"/>
        <v>43713.000000108543</v>
      </c>
      <c r="S216" s="890">
        <f t="shared" si="47"/>
        <v>-140.40000000024156</v>
      </c>
      <c r="T216" s="895">
        <f ca="1">IF(A216&gt;($A$1-1),#N/A,VLOOKUP(A216,Calculation!$B$8:$JO$503,40,FALSE))</f>
        <v>8203.9766837435727</v>
      </c>
      <c r="U216" s="890">
        <f t="shared" si="48"/>
        <v>34.827538806666666</v>
      </c>
      <c r="V216" s="890">
        <f>Calculation!AZ219</f>
        <v>0</v>
      </c>
      <c r="W216" s="981">
        <f t="shared" ca="1" si="79"/>
        <v>14058.264396152517</v>
      </c>
      <c r="X216" s="890">
        <v>0</v>
      </c>
      <c r="Y216" s="1164">
        <f t="shared" ca="1" si="69"/>
        <v>2500</v>
      </c>
      <c r="Z216" s="890">
        <f t="shared" ca="1" si="53"/>
        <v>11558.264396152517</v>
      </c>
      <c r="AA216" s="890">
        <f t="shared" ca="1" si="54"/>
        <v>0</v>
      </c>
      <c r="AB216" s="895">
        <f t="shared" ca="1" si="81"/>
        <v>22069.758920212451</v>
      </c>
      <c r="AC216" s="980">
        <f t="shared" ca="1" si="82"/>
        <v>21450.758920212451</v>
      </c>
      <c r="AD216" s="860">
        <f ca="1">IF(A216&gt;$A$1, #N/A,VLOOKUP(A216,Calculation!$B$8:$JO$880,165,FALSE))</f>
        <v>21319</v>
      </c>
      <c r="AE216" s="399">
        <f t="shared" ca="1" si="49"/>
        <v>-84</v>
      </c>
      <c r="AF216" s="399">
        <f t="shared" ca="1" si="62"/>
        <v>21938</v>
      </c>
      <c r="AG216" s="841">
        <f>Calculation!G219</f>
        <v>205.19818456871329</v>
      </c>
      <c r="AH216" s="847" t="str">
        <f t="shared" si="50"/>
        <v>Yes</v>
      </c>
      <c r="AI216" s="847" t="str">
        <f>IF(Calculation!K219&gt;0,"Yes","No")</f>
        <v>No</v>
      </c>
      <c r="AJ216" s="869">
        <v>41199.720000099958</v>
      </c>
      <c r="AK216" s="870">
        <v>43095.000000106564</v>
      </c>
      <c r="AL216" s="870">
        <v>40457.000000100234</v>
      </c>
      <c r="AN216" s="372">
        <v>44689.400000109032</v>
      </c>
      <c r="AO216" s="372">
        <v>40644.000000102184</v>
      </c>
      <c r="AP216" s="372">
        <v>46596.200000113575</v>
      </c>
      <c r="AU216" s="427"/>
      <c r="AV216" s="410"/>
      <c r="AW216" s="442"/>
      <c r="AX216" s="441"/>
      <c r="AY216" s="441"/>
      <c r="AZ216" s="443"/>
      <c r="BB216" s="433"/>
      <c r="BC216" s="432"/>
      <c r="BD216" s="433"/>
      <c r="BE216" s="432"/>
      <c r="BF216" s="433"/>
      <c r="BG216" s="432"/>
      <c r="BH216" s="429"/>
    </row>
    <row r="217" spans="1:60" ht="13.8" thickBot="1" x14ac:dyDescent="0.3">
      <c r="A217" s="406">
        <v>42944</v>
      </c>
      <c r="B217" s="860">
        <f t="shared" si="46"/>
        <v>139.5394</v>
      </c>
      <c r="C217" s="860">
        <f>Calculation!AK220</f>
        <v>0</v>
      </c>
      <c r="D217" s="860">
        <f>Calculation!AI220</f>
        <v>34.850249303819453</v>
      </c>
      <c r="E217" s="860">
        <f>Calculation!AE220</f>
        <v>50.323909999999998</v>
      </c>
      <c r="F217" s="860">
        <f>Calculation!AF220</f>
        <v>89.215490000000003</v>
      </c>
      <c r="G217" s="860">
        <f>Calculation!AG220</f>
        <v>0</v>
      </c>
      <c r="H217" s="861">
        <f>Sheet1!H218</f>
        <v>1.81</v>
      </c>
      <c r="I217" s="841">
        <f>Sheet1!DA218</f>
        <v>304</v>
      </c>
      <c r="J217" s="841">
        <f>Sheet1!DB218</f>
        <v>153</v>
      </c>
      <c r="K217" s="841">
        <f>Sheet1!CZ218</f>
        <v>271</v>
      </c>
      <c r="L217" s="865">
        <f>Calculation!F220</f>
        <v>250</v>
      </c>
      <c r="M217" s="865">
        <f>Calculation!E220</f>
        <v>400</v>
      </c>
      <c r="N217" s="865">
        <f>Calculation!D220</f>
        <v>200</v>
      </c>
      <c r="O217" s="888">
        <f>Sheet1!DC218</f>
        <v>1162.42</v>
      </c>
      <c r="P217" s="889">
        <f>Calculation!FD220</f>
        <v>1137.1929577464014</v>
      </c>
      <c r="Q217" s="895">
        <f>Calculation!DP220</f>
        <v>44191.600000108541</v>
      </c>
      <c r="R217" s="888">
        <f t="shared" si="72"/>
        <v>43572.600000108541</v>
      </c>
      <c r="S217" s="890">
        <f t="shared" si="47"/>
        <v>-140.40000000000146</v>
      </c>
      <c r="T217" s="895">
        <f ca="1">IF(A217&gt;($A$1-1),#N/A,VLOOKUP(A217,Calculation!$B$8:$JO$503,40,FALSE))</f>
        <v>8134.8619036116297</v>
      </c>
      <c r="U217" s="890">
        <f t="shared" si="48"/>
        <v>34.850249303819453</v>
      </c>
      <c r="V217" s="890">
        <f>Calculation!AZ220</f>
        <v>0</v>
      </c>
      <c r="W217" s="981">
        <f t="shared" ca="1" si="79"/>
        <v>14058.264396152517</v>
      </c>
      <c r="X217" s="890">
        <v>0</v>
      </c>
      <c r="Y217" s="1164">
        <f t="shared" ca="1" si="69"/>
        <v>2500</v>
      </c>
      <c r="Z217" s="890">
        <f t="shared" ca="1" si="53"/>
        <v>11558.264396152517</v>
      </c>
      <c r="AA217" s="890">
        <f t="shared" ca="1" si="54"/>
        <v>0</v>
      </c>
      <c r="AB217" s="895">
        <f t="shared" ca="1" si="81"/>
        <v>21998.473700344395</v>
      </c>
      <c r="AC217" s="980">
        <f t="shared" ca="1" si="82"/>
        <v>21379.473700344395</v>
      </c>
      <c r="AD217" s="860">
        <f ca="1">IF(A217&gt;$A$1, #N/A,VLOOKUP(A217,Calculation!$B$8:$JO$880,165,FALSE))</f>
        <v>21235</v>
      </c>
      <c r="AE217" s="399">
        <f t="shared" ca="1" si="49"/>
        <v>-84</v>
      </c>
      <c r="AF217" s="399">
        <f t="shared" ca="1" si="62"/>
        <v>21854</v>
      </c>
      <c r="AG217" s="841">
        <f>Calculation!G220</f>
        <v>200.19818456883439</v>
      </c>
      <c r="AH217" s="847" t="str">
        <f t="shared" si="50"/>
        <v>Yes</v>
      </c>
      <c r="AI217" s="847" t="str">
        <f>IF(Calculation!K220&gt;0,"Yes","No")</f>
        <v>No</v>
      </c>
      <c r="AJ217" s="869">
        <v>41044.920000099723</v>
      </c>
      <c r="AK217" s="870">
        <v>42433.800000104842</v>
      </c>
      <c r="AL217" s="870">
        <v>40239.700000099998</v>
      </c>
      <c r="AN217" s="372">
        <v>44494.000000109794</v>
      </c>
      <c r="AO217" s="372">
        <v>40529.100000100232</v>
      </c>
      <c r="AP217" s="372">
        <v>46265.20000011332</v>
      </c>
      <c r="AU217" s="427"/>
      <c r="AV217" s="410"/>
      <c r="AW217" s="442"/>
      <c r="AX217" s="441"/>
      <c r="AY217" s="441"/>
      <c r="AZ217" s="443"/>
      <c r="BB217" s="433"/>
      <c r="BC217" s="432"/>
      <c r="BD217" s="433"/>
      <c r="BE217" s="432"/>
      <c r="BF217" s="433"/>
      <c r="BG217" s="432"/>
      <c r="BH217" s="429"/>
    </row>
    <row r="218" spans="1:60" ht="13.8" thickBot="1" x14ac:dyDescent="0.3">
      <c r="A218" s="406">
        <v>42945</v>
      </c>
      <c r="B218" s="860">
        <f t="shared" si="46"/>
        <v>129.87065000000001</v>
      </c>
      <c r="C218" s="860">
        <f>Calculation!AK221</f>
        <v>0</v>
      </c>
      <c r="D218" s="860">
        <f>Calculation!AI221</f>
        <v>34.826829367233799</v>
      </c>
      <c r="E218" s="860">
        <f>Calculation!AE221</f>
        <v>49.14819</v>
      </c>
      <c r="F218" s="860">
        <f>Calculation!AF221</f>
        <v>80.722459999999998</v>
      </c>
      <c r="G218" s="860">
        <f>Calculation!AG221</f>
        <v>0</v>
      </c>
      <c r="H218" s="861">
        <f>Sheet1!H219</f>
        <v>1.82</v>
      </c>
      <c r="I218" s="841">
        <f>Sheet1!DA219</f>
        <v>309</v>
      </c>
      <c r="J218" s="841">
        <f>Sheet1!DB219</f>
        <v>153</v>
      </c>
      <c r="K218" s="841">
        <f>Sheet1!CZ219</f>
        <v>271</v>
      </c>
      <c r="L218" s="865">
        <f>Calculation!F221</f>
        <v>250</v>
      </c>
      <c r="M218" s="865">
        <f>Calculation!E221</f>
        <v>400</v>
      </c>
      <c r="N218" s="865">
        <f>Calculation!D221</f>
        <v>200</v>
      </c>
      <c r="O218" s="888">
        <f>Sheet1!DC219</f>
        <v>1162.29</v>
      </c>
      <c r="P218" s="889">
        <f>Calculation!FD221</f>
        <v>1137.0742857142084</v>
      </c>
      <c r="Q218" s="895">
        <f>Calculation!DP221</f>
        <v>44051.100000109298</v>
      </c>
      <c r="R218" s="888">
        <f t="shared" si="72"/>
        <v>43432.100000109298</v>
      </c>
      <c r="S218" s="890">
        <f t="shared" si="47"/>
        <v>-140.4999999992433</v>
      </c>
      <c r="T218" s="895">
        <f ca="1">IF(A218&gt;($A$1-1),#N/A,VLOOKUP(A218,Calculation!$B$8:$JO$503,40,FALSE))</f>
        <v>8065.7935697404755</v>
      </c>
      <c r="U218" s="890">
        <f t="shared" si="48"/>
        <v>34.826829367233799</v>
      </c>
      <c r="V218" s="890">
        <f>Calculation!AZ221</f>
        <v>0</v>
      </c>
      <c r="W218" s="981">
        <f t="shared" ca="1" si="79"/>
        <v>14058.264396152517</v>
      </c>
      <c r="X218" s="890">
        <v>0</v>
      </c>
      <c r="Y218" s="1164">
        <f t="shared" ca="1" si="69"/>
        <v>2500</v>
      </c>
      <c r="Z218" s="890">
        <f t="shared" ca="1" si="53"/>
        <v>11558.264396152517</v>
      </c>
      <c r="AA218" s="890">
        <f t="shared" ca="1" si="54"/>
        <v>0</v>
      </c>
      <c r="AB218" s="895">
        <f t="shared" ca="1" si="81"/>
        <v>21927.042034216305</v>
      </c>
      <c r="AC218" s="980">
        <f t="shared" ca="1" si="82"/>
        <v>21308.042034216305</v>
      </c>
      <c r="AD218" s="860">
        <f ca="1">IF(A218&gt;$A$1, #N/A,VLOOKUP(A218,Calculation!$B$8:$JO$880,165,FALSE))</f>
        <v>21151</v>
      </c>
      <c r="AE218" s="399">
        <f t="shared" ca="1" si="49"/>
        <v>-84</v>
      </c>
      <c r="AF218" s="399">
        <f t="shared" ca="1" si="62"/>
        <v>21770</v>
      </c>
      <c r="AG218" s="841">
        <f>Calculation!G221</f>
        <v>200.14775592574722</v>
      </c>
      <c r="AH218" s="847" t="str">
        <f t="shared" si="50"/>
        <v>Yes</v>
      </c>
      <c r="AI218" s="847" t="str">
        <f>IF(Calculation!K221&gt;0,"Yes","No")</f>
        <v>No</v>
      </c>
      <c r="AJ218" s="869">
        <v>40962.360000099725</v>
      </c>
      <c r="AK218" s="870">
        <v>41914.400000104361</v>
      </c>
      <c r="AL218" s="870">
        <v>40033.700000099765</v>
      </c>
      <c r="AN218" s="372">
        <v>44299.600000108541</v>
      </c>
      <c r="AO218" s="372">
        <v>40374.600000099999</v>
      </c>
      <c r="AP218" s="372">
        <v>45912.00000011205</v>
      </c>
      <c r="AU218" s="427"/>
      <c r="AV218" s="410"/>
      <c r="AW218" s="442"/>
      <c r="AX218" s="441"/>
      <c r="AY218" s="441"/>
      <c r="AZ218" s="443"/>
      <c r="BB218" s="433"/>
      <c r="BC218" s="432"/>
      <c r="BD218" s="433"/>
      <c r="BE218" s="432"/>
      <c r="BF218" s="433"/>
      <c r="BG218" s="432"/>
      <c r="BH218" s="429"/>
    </row>
    <row r="219" spans="1:60" ht="13.8" thickBot="1" x14ac:dyDescent="0.3">
      <c r="A219" s="406">
        <v>42946</v>
      </c>
      <c r="B219" s="860">
        <f t="shared" ref="B219:B282" si="83">E219+F219</f>
        <v>132.40772999999999</v>
      </c>
      <c r="C219" s="860">
        <f>Calculation!AK222</f>
        <v>0</v>
      </c>
      <c r="D219" s="860">
        <f>Calculation!AI222</f>
        <v>34.811718571955716</v>
      </c>
      <c r="E219" s="860">
        <f>Calculation!AE222</f>
        <v>49.039899999999996</v>
      </c>
      <c r="F219" s="860">
        <f>Calculation!AF222</f>
        <v>83.367829999999998</v>
      </c>
      <c r="G219" s="860">
        <f>Calculation!AG222</f>
        <v>0</v>
      </c>
      <c r="H219" s="861">
        <f>Sheet1!H220</f>
        <v>1.86</v>
      </c>
      <c r="I219" s="841">
        <f>Sheet1!DA220</f>
        <v>304</v>
      </c>
      <c r="J219" s="841">
        <f>Sheet1!DB220</f>
        <v>152</v>
      </c>
      <c r="K219" s="841">
        <f>Sheet1!CZ220</f>
        <v>271</v>
      </c>
      <c r="L219" s="865">
        <f>Calculation!F222</f>
        <v>250</v>
      </c>
      <c r="M219" s="865">
        <f>Calculation!E222</f>
        <v>400</v>
      </c>
      <c r="N219" s="865">
        <f>Calculation!D222</f>
        <v>200</v>
      </c>
      <c r="O219" s="888">
        <f>Sheet1!DC220</f>
        <v>1162.1600000000001</v>
      </c>
      <c r="P219" s="889">
        <f>Calculation!FD222</f>
        <v>1136.9536231883285</v>
      </c>
      <c r="Q219" s="895">
        <f>Calculation!DP222</f>
        <v>43909.800000108291</v>
      </c>
      <c r="R219" s="888">
        <f t="shared" si="72"/>
        <v>43290.800000108291</v>
      </c>
      <c r="S219" s="890">
        <f t="shared" ref="S219:S282" si="84">R219-R218</f>
        <v>-141.30000000100699</v>
      </c>
      <c r="T219" s="895">
        <f ca="1">IF(A219&gt;($A$1-1),#N/A,VLOOKUP(A219,Calculation!$B$8:$JO$503,40,FALSE))</f>
        <v>7996.7552034969322</v>
      </c>
      <c r="U219" s="890">
        <f t="shared" ref="U219:U282" si="85">D219</f>
        <v>34.811718571955716</v>
      </c>
      <c r="V219" s="890">
        <f>Calculation!AZ222</f>
        <v>0</v>
      </c>
      <c r="W219" s="981">
        <f t="shared" ca="1" si="79"/>
        <v>14058.264396152517</v>
      </c>
      <c r="X219" s="890">
        <v>0</v>
      </c>
      <c r="Y219" s="1164">
        <f t="shared" ca="1" si="69"/>
        <v>2500</v>
      </c>
      <c r="Z219" s="890">
        <f t="shared" ca="1" si="53"/>
        <v>11558.264396152517</v>
      </c>
      <c r="AA219" s="890">
        <f t="shared" ca="1" si="54"/>
        <v>0</v>
      </c>
      <c r="AB219" s="895">
        <f t="shared" ca="1" si="81"/>
        <v>21854.78040045884</v>
      </c>
      <c r="AC219" s="980">
        <f t="shared" ca="1" si="82"/>
        <v>21235.78040045884</v>
      </c>
      <c r="AD219" s="860">
        <f ca="1">IF(A219&gt;$A$1, #N/A,VLOOKUP(A219,Calculation!$B$8:$JO$880,165,FALSE))</f>
        <v>21067</v>
      </c>
      <c r="AE219" s="399">
        <f t="shared" ref="AE219:AE282" ca="1" si="86">AD219-AD218</f>
        <v>-84</v>
      </c>
      <c r="AF219" s="399">
        <f t="shared" ca="1" si="62"/>
        <v>21686</v>
      </c>
      <c r="AG219" s="841">
        <f>Calculation!G222</f>
        <v>199.74432677710189</v>
      </c>
      <c r="AH219" s="847" t="str">
        <f t="shared" ref="AH219:AH282" si="87">IF(I219&gt;L219,"Yes","No")</f>
        <v>Yes</v>
      </c>
      <c r="AI219" s="847" t="str">
        <f>IF(Calculation!K222&gt;0,"Yes","No")</f>
        <v>No</v>
      </c>
      <c r="AJ219" s="869">
        <v>40879.800000099727</v>
      </c>
      <c r="AK219" s="870">
        <v>41398.000000101922</v>
      </c>
      <c r="AL219" s="870">
        <v>39858.600000099534</v>
      </c>
      <c r="AN219" s="372">
        <v>44062.000000108295</v>
      </c>
      <c r="AO219" s="372">
        <v>40188.200000099998</v>
      </c>
      <c r="AP219" s="372">
        <v>45540.400000110785</v>
      </c>
      <c r="AU219" s="427"/>
      <c r="AV219" s="410"/>
      <c r="AW219" s="442"/>
      <c r="AX219" s="441"/>
      <c r="AY219" s="441"/>
      <c r="AZ219" s="443"/>
      <c r="BB219" s="433"/>
      <c r="BC219" s="432"/>
      <c r="BD219" s="433"/>
      <c r="BE219" s="432"/>
      <c r="BF219" s="433"/>
      <c r="BG219" s="432"/>
      <c r="BH219" s="429"/>
    </row>
    <row r="220" spans="1:60" ht="13.8" thickBot="1" x14ac:dyDescent="0.3">
      <c r="A220" s="406">
        <v>42947</v>
      </c>
      <c r="B220" s="860">
        <f t="shared" si="83"/>
        <v>139.04435999999998</v>
      </c>
      <c r="C220" s="860">
        <f>Calculation!AK223</f>
        <v>0</v>
      </c>
      <c r="D220" s="860">
        <f>Calculation!AI223</f>
        <v>34.807499999999997</v>
      </c>
      <c r="E220" s="860">
        <f>Calculation!AE223</f>
        <v>53.108509999999995</v>
      </c>
      <c r="F220" s="860">
        <f>Calculation!AF223</f>
        <v>85.935849999999988</v>
      </c>
      <c r="G220" s="860">
        <f>Calculation!AG223</f>
        <v>0</v>
      </c>
      <c r="H220" s="861">
        <f>Sheet1!H221</f>
        <v>1.79</v>
      </c>
      <c r="I220" s="841">
        <f>Sheet1!DA221</f>
        <v>282</v>
      </c>
      <c r="J220" s="841">
        <f>Sheet1!DB221</f>
        <v>141</v>
      </c>
      <c r="K220" s="841">
        <f>Sheet1!CZ221</f>
        <v>268</v>
      </c>
      <c r="L220" s="865">
        <f>Calculation!F223</f>
        <v>250</v>
      </c>
      <c r="M220" s="865">
        <f>Calculation!E223</f>
        <v>400</v>
      </c>
      <c r="N220" s="865">
        <f>Calculation!D223</f>
        <v>200</v>
      </c>
      <c r="O220" s="888">
        <f>Sheet1!DC221</f>
        <v>1162.02</v>
      </c>
      <c r="P220" s="889">
        <f>Calculation!FD223</f>
        <v>1136.8318840578938</v>
      </c>
      <c r="Q220" s="895">
        <f>Calculation!DP223</f>
        <v>43758.600000108047</v>
      </c>
      <c r="R220" s="888">
        <f t="shared" si="72"/>
        <v>43139.600000108047</v>
      </c>
      <c r="S220" s="890">
        <f t="shared" si="84"/>
        <v>-151.20000000024447</v>
      </c>
      <c r="T220" s="895">
        <f ca="1">IF(A220&gt;($A$1-1),#N/A,VLOOKUP(A220,Calculation!$B$8:$JO$503,40,FALSE))</f>
        <v>7927.7252034969324</v>
      </c>
      <c r="U220" s="890">
        <f t="shared" si="85"/>
        <v>34.807499999999997</v>
      </c>
      <c r="V220" s="890">
        <f>Calculation!AZ223</f>
        <v>0</v>
      </c>
      <c r="W220" s="981">
        <f t="shared" ca="1" si="79"/>
        <v>14058.264396152517</v>
      </c>
      <c r="X220" s="890">
        <v>0</v>
      </c>
      <c r="Y220" s="1164">
        <f t="shared" ca="1" si="69"/>
        <v>2500</v>
      </c>
      <c r="Z220" s="890">
        <f t="shared" ca="1" si="53"/>
        <v>11558.264396152517</v>
      </c>
      <c r="AA220" s="890">
        <f t="shared" ca="1" si="54"/>
        <v>0</v>
      </c>
      <c r="AB220" s="895">
        <f t="shared" ca="1" si="81"/>
        <v>21772.610400458594</v>
      </c>
      <c r="AC220" s="980">
        <f t="shared" ca="1" si="82"/>
        <v>21153.610400458594</v>
      </c>
      <c r="AD220" s="860">
        <f ca="1">IF(A220&gt;$A$1, #N/A,VLOOKUP(A220,Calculation!$B$8:$JO$880,165,FALSE))</f>
        <v>20983</v>
      </c>
      <c r="AE220" s="399">
        <f t="shared" ca="1" si="86"/>
        <v>-84</v>
      </c>
      <c r="AF220" s="399">
        <f t="shared" ca="1" si="62"/>
        <v>21602</v>
      </c>
      <c r="AG220" s="841">
        <f>Calculation!G223</f>
        <v>191.75189107400683</v>
      </c>
      <c r="AH220" s="847" t="str">
        <f t="shared" si="87"/>
        <v>Yes</v>
      </c>
      <c r="AI220" s="847" t="str">
        <f>IF(Calculation!K223&gt;0,"Yes","No")</f>
        <v>No</v>
      </c>
      <c r="AJ220" s="869">
        <v>40786.92000009949</v>
      </c>
      <c r="AK220" s="870">
        <v>40842.500000102424</v>
      </c>
      <c r="AL220" s="870">
        <v>39661.900000099529</v>
      </c>
      <c r="AN220" s="372">
        <v>43791.000000108048</v>
      </c>
      <c r="AO220" s="372">
        <v>39961.600000099766</v>
      </c>
      <c r="AP220" s="372">
        <v>45168.800000110285</v>
      </c>
      <c r="AU220" s="427"/>
      <c r="AV220" s="410"/>
      <c r="AW220" s="442"/>
      <c r="AX220" s="441"/>
      <c r="AY220" s="441"/>
      <c r="AZ220" s="443"/>
      <c r="BB220" s="433"/>
      <c r="BC220" s="432"/>
      <c r="BD220" s="433"/>
      <c r="BE220" s="432"/>
      <c r="BF220" s="433"/>
      <c r="BG220" s="432"/>
      <c r="BH220" s="429"/>
    </row>
    <row r="221" spans="1:60" ht="13.8" thickBot="1" x14ac:dyDescent="0.3">
      <c r="A221" s="406">
        <v>42948</v>
      </c>
      <c r="B221" s="860">
        <f t="shared" si="83"/>
        <v>154.22042999999999</v>
      </c>
      <c r="C221" s="860">
        <f>Calculation!AK224</f>
        <v>0</v>
      </c>
      <c r="D221" s="860">
        <f>Calculation!AI224</f>
        <v>55.693641393220332</v>
      </c>
      <c r="E221" s="860">
        <f>Calculation!AE224</f>
        <v>63.519820000000003</v>
      </c>
      <c r="F221" s="860">
        <f>Calculation!AF224</f>
        <v>90.700609999999998</v>
      </c>
      <c r="G221" s="860">
        <f>Calculation!AG224</f>
        <v>0</v>
      </c>
      <c r="H221" s="861">
        <f>Sheet1!H222</f>
        <v>2.0499999999999998</v>
      </c>
      <c r="I221" s="841">
        <f>Sheet1!DA222</f>
        <v>274</v>
      </c>
      <c r="J221" s="841">
        <f>Sheet1!DB222</f>
        <v>189</v>
      </c>
      <c r="K221" s="841">
        <f>Sheet1!CZ222</f>
        <v>342</v>
      </c>
      <c r="L221" s="865">
        <f>Calculation!F224</f>
        <v>250</v>
      </c>
      <c r="M221" s="865">
        <f>Calculation!E224</f>
        <v>400</v>
      </c>
      <c r="N221" s="865">
        <f>Calculation!D224</f>
        <v>200</v>
      </c>
      <c r="O221" s="888">
        <f>Sheet1!DC222</f>
        <v>1161.81</v>
      </c>
      <c r="P221" s="889">
        <f>Calculation!FD224</f>
        <v>1136.7101449274592</v>
      </c>
      <c r="Q221" s="895">
        <f>Calculation!DP224</f>
        <v>43533.700000106801</v>
      </c>
      <c r="R221" s="888">
        <f t="shared" si="72"/>
        <v>42914.700000106801</v>
      </c>
      <c r="S221" s="890">
        <f t="shared" si="84"/>
        <v>-224.90000000124564</v>
      </c>
      <c r="T221" s="895">
        <f ca="1">IF(A221&gt;($A$1-1),#N/A,VLOOKUP(A221,Calculation!$B$8:$JO$503,40,FALSE))</f>
        <v>7817.2739482969337</v>
      </c>
      <c r="U221" s="890">
        <f t="shared" si="85"/>
        <v>55.693641393220332</v>
      </c>
      <c r="V221" s="890">
        <f>Calculation!AZ224</f>
        <v>0</v>
      </c>
      <c r="W221" s="981">
        <f t="shared" ca="1" si="79"/>
        <v>14058.264396152517</v>
      </c>
      <c r="X221" s="890">
        <v>0</v>
      </c>
      <c r="Y221" s="1164">
        <f t="shared" ca="1" si="69"/>
        <v>2500</v>
      </c>
      <c r="Z221" s="890">
        <f t="shared" ref="Z221:Z284" ca="1" si="88">W221-Y221</f>
        <v>11558.264396152517</v>
      </c>
      <c r="AA221" s="890">
        <f t="shared" ca="1" si="54"/>
        <v>0</v>
      </c>
      <c r="AB221" s="895">
        <f t="shared" ca="1" si="81"/>
        <v>21658.16165565735</v>
      </c>
      <c r="AC221" s="980">
        <f t="shared" ca="1" si="82"/>
        <v>21039.16165565735</v>
      </c>
      <c r="AD221" s="860">
        <f ca="1">IF(A221&gt;$A$1, #N/A,VLOOKUP(A221,Calculation!$B$8:$JO$880,165,FALSE))</f>
        <v>20900</v>
      </c>
      <c r="AE221" s="399">
        <f t="shared" ca="1" si="86"/>
        <v>-83</v>
      </c>
      <c r="AF221" s="399">
        <f t="shared" ca="1" si="62"/>
        <v>21519</v>
      </c>
      <c r="AG221" s="841">
        <f>Calculation!G224</f>
        <v>228.58598083648735</v>
      </c>
      <c r="AH221" s="847" t="str">
        <f t="shared" si="87"/>
        <v>Yes</v>
      </c>
      <c r="AI221" s="847" t="str">
        <f>IF(Calculation!K224&gt;0,"Yes","No")</f>
        <v>No</v>
      </c>
      <c r="AJ221" s="869">
        <v>40684.320000098043</v>
      </c>
      <c r="AK221" s="870">
        <v>40467.300000100237</v>
      </c>
      <c r="AL221" s="870">
        <v>39466.800000098337</v>
      </c>
      <c r="AN221" s="372">
        <v>43523.000000106804</v>
      </c>
      <c r="AO221" s="372">
        <v>39775.600000100501</v>
      </c>
      <c r="AP221" s="372">
        <v>44786.600000109029</v>
      </c>
      <c r="AU221" s="427"/>
      <c r="AV221" s="410"/>
      <c r="AW221" s="442"/>
      <c r="AX221" s="441"/>
      <c r="AY221" s="441"/>
      <c r="AZ221" s="443"/>
      <c r="BB221" s="433"/>
      <c r="BC221" s="432"/>
      <c r="BD221" s="433"/>
      <c r="BE221" s="432"/>
      <c r="BF221" s="433"/>
      <c r="BG221" s="432"/>
      <c r="BH221" s="429"/>
    </row>
    <row r="222" spans="1:60" ht="13.8" thickBot="1" x14ac:dyDescent="0.3">
      <c r="A222" s="406">
        <v>42949</v>
      </c>
      <c r="B222" s="860">
        <f t="shared" si="83"/>
        <v>166.42626000000001</v>
      </c>
      <c r="C222" s="860">
        <f>Calculation!AK225</f>
        <v>0</v>
      </c>
      <c r="D222" s="860">
        <f>Calculation!AI225</f>
        <v>63.456427800614996</v>
      </c>
      <c r="E222" s="860">
        <f>Calculation!AE225</f>
        <v>70.868070000000003</v>
      </c>
      <c r="F222" s="860">
        <f>Calculation!AF225</f>
        <v>95.558189999999996</v>
      </c>
      <c r="G222" s="860">
        <f>Calculation!AG225</f>
        <v>0</v>
      </c>
      <c r="H222" s="861">
        <f>Sheet1!H223</f>
        <v>2.17</v>
      </c>
      <c r="I222" s="841">
        <f>Sheet1!DA223</f>
        <v>313</v>
      </c>
      <c r="J222" s="841">
        <f>Sheet1!DB223</f>
        <v>181</v>
      </c>
      <c r="K222" s="841">
        <f>Sheet1!CZ223</f>
        <v>342</v>
      </c>
      <c r="L222" s="865">
        <f>Calculation!F225</f>
        <v>250</v>
      </c>
      <c r="M222" s="865">
        <f>Calculation!E225</f>
        <v>400</v>
      </c>
      <c r="N222" s="865">
        <f>Calculation!D225</f>
        <v>200</v>
      </c>
      <c r="O222" s="888">
        <f>Sheet1!DC223</f>
        <v>1161.53</v>
      </c>
      <c r="P222" s="889">
        <f>Calculation!FD225</f>
        <v>1136.5882352940407</v>
      </c>
      <c r="Q222" s="895">
        <f>Calculation!DP225</f>
        <v>43234.100000106562</v>
      </c>
      <c r="R222" s="888">
        <f t="shared" si="72"/>
        <v>42615.100000106562</v>
      </c>
      <c r="S222" s="890">
        <f t="shared" si="84"/>
        <v>-299.60000000023865</v>
      </c>
      <c r="T222" s="895">
        <f ca="1">IF(A222&gt;($A$1-1),#N/A,VLOOKUP(A222,Calculation!$B$8:$JO$503,40,FALSE))</f>
        <v>7691.4275872805893</v>
      </c>
      <c r="U222" s="890">
        <f t="shared" si="85"/>
        <v>63.456427800614996</v>
      </c>
      <c r="V222" s="890">
        <f>Calculation!AZ225</f>
        <v>0</v>
      </c>
      <c r="W222" s="981">
        <f t="shared" ca="1" si="79"/>
        <v>14058.264396152517</v>
      </c>
      <c r="X222" s="890">
        <v>0</v>
      </c>
      <c r="Y222" s="1164">
        <f t="shared" ca="1" si="69"/>
        <v>2500</v>
      </c>
      <c r="Z222" s="890">
        <f t="shared" ca="1" si="88"/>
        <v>11558.264396152517</v>
      </c>
      <c r="AA222" s="890">
        <f t="shared" ca="1" si="54"/>
        <v>0</v>
      </c>
      <c r="AB222" s="895">
        <f t="shared" ca="1" si="81"/>
        <v>21484.408016673457</v>
      </c>
      <c r="AC222" s="980">
        <f t="shared" ca="1" si="82"/>
        <v>20865.408016673457</v>
      </c>
      <c r="AD222" s="860">
        <f ca="1">IF(A222&gt;$A$1, #N/A,VLOOKUP(A222,Calculation!$B$8:$JO$880,165,FALSE))</f>
        <v>20732</v>
      </c>
      <c r="AE222" s="399">
        <f t="shared" ca="1" si="86"/>
        <v>-168</v>
      </c>
      <c r="AF222" s="399">
        <f t="shared" ca="1" si="62"/>
        <v>21351</v>
      </c>
      <c r="AG222" s="841">
        <f>Calculation!G225</f>
        <v>190.91578416528563</v>
      </c>
      <c r="AH222" s="847" t="str">
        <f t="shared" si="87"/>
        <v>Yes</v>
      </c>
      <c r="AI222" s="847" t="str">
        <f>IF(Calculation!K225&gt;0,"Yes","No")</f>
        <v>No</v>
      </c>
      <c r="AJ222" s="869">
        <v>40582.620000097813</v>
      </c>
      <c r="AK222" s="870">
        <v>40085.200000099765</v>
      </c>
      <c r="AL222" s="870">
        <v>39274.000000098102</v>
      </c>
      <c r="AN222" s="372">
        <v>43309.000000106564</v>
      </c>
      <c r="AO222" s="372">
        <v>39589.800000099298</v>
      </c>
      <c r="AP222" s="372">
        <v>44548.500000109794</v>
      </c>
      <c r="AU222" s="427"/>
      <c r="AV222" s="410"/>
      <c r="AW222" s="442"/>
      <c r="AX222" s="441"/>
      <c r="AY222" s="441"/>
      <c r="AZ222" s="443"/>
      <c r="BB222" s="433"/>
      <c r="BC222" s="432"/>
      <c r="BD222" s="433"/>
      <c r="BE222" s="432"/>
      <c r="BF222" s="433"/>
      <c r="BG222" s="432"/>
      <c r="BH222" s="429"/>
    </row>
    <row r="223" spans="1:60" ht="13.8" thickBot="1" x14ac:dyDescent="0.3">
      <c r="A223" s="406">
        <v>42950</v>
      </c>
      <c r="B223" s="860">
        <f t="shared" si="83"/>
        <v>159.63493</v>
      </c>
      <c r="C223" s="860">
        <f>Calculation!AK226</f>
        <v>0</v>
      </c>
      <c r="D223" s="860">
        <f>Calculation!AI226</f>
        <v>63.540260858098073</v>
      </c>
      <c r="E223" s="860">
        <f>Calculation!AE226</f>
        <v>75.818469999999991</v>
      </c>
      <c r="F223" s="860">
        <f>Calculation!AF226</f>
        <v>83.816459999999992</v>
      </c>
      <c r="G223" s="860">
        <f>Calculation!AG226</f>
        <v>0</v>
      </c>
      <c r="H223" s="861">
        <f>Sheet1!H224</f>
        <v>1.99</v>
      </c>
      <c r="I223" s="841">
        <f>Sheet1!DA224</f>
        <v>313</v>
      </c>
      <c r="J223" s="841">
        <f>Sheet1!DB224</f>
        <v>213</v>
      </c>
      <c r="K223" s="841">
        <f>Sheet1!CZ224</f>
        <v>339</v>
      </c>
      <c r="L223" s="865">
        <f>Calculation!F226</f>
        <v>250</v>
      </c>
      <c r="M223" s="865">
        <f>Calculation!E226</f>
        <v>400</v>
      </c>
      <c r="N223" s="865">
        <f>Calculation!D226</f>
        <v>200</v>
      </c>
      <c r="O223" s="888">
        <f>Sheet1!DC224</f>
        <v>1161.25</v>
      </c>
      <c r="P223" s="889">
        <f>Calculation!FD226</f>
        <v>1136.4666666665898</v>
      </c>
      <c r="Q223" s="895">
        <f>Calculation!DP226</f>
        <v>42934.500000106316</v>
      </c>
      <c r="R223" s="888">
        <f t="shared" si="72"/>
        <v>42315.500000106316</v>
      </c>
      <c r="S223" s="890">
        <f t="shared" si="84"/>
        <v>-299.60000000024593</v>
      </c>
      <c r="T223" s="895">
        <f ca="1">IF(A223&gt;($A$1-1),#N/A,VLOOKUP(A223,Calculation!$B$8:$JO$503,40,FALSE))</f>
        <v>7565.4149691082257</v>
      </c>
      <c r="U223" s="890">
        <f t="shared" si="85"/>
        <v>63.540260858098073</v>
      </c>
      <c r="V223" s="890">
        <f>Calculation!AZ226</f>
        <v>0</v>
      </c>
      <c r="W223" s="981">
        <f t="shared" ca="1" si="79"/>
        <v>14058.264396152517</v>
      </c>
      <c r="X223" s="890">
        <v>0</v>
      </c>
      <c r="Y223" s="1164">
        <f t="shared" ca="1" si="69"/>
        <v>2500</v>
      </c>
      <c r="Z223" s="890">
        <f t="shared" ca="1" si="88"/>
        <v>11558.264396152517</v>
      </c>
      <c r="AA223" s="890">
        <f t="shared" ca="1" si="54"/>
        <v>0</v>
      </c>
      <c r="AB223" s="895">
        <f t="shared" ca="1" si="81"/>
        <v>21310.820634845571</v>
      </c>
      <c r="AC223" s="980">
        <f t="shared" ca="1" si="82"/>
        <v>20691.820634845571</v>
      </c>
      <c r="AD223" s="860">
        <f ca="1">IF(A223&gt;$A$1, #N/A,VLOOKUP(A223,Calculation!$B$8:$JO$880,165,FALSE))</f>
        <v>20564</v>
      </c>
      <c r="AE223" s="399">
        <f t="shared" ca="1" si="86"/>
        <v>-168</v>
      </c>
      <c r="AF223" s="399">
        <f t="shared" ca="1" si="62"/>
        <v>21183</v>
      </c>
      <c r="AG223" s="841">
        <f>Calculation!G226</f>
        <v>187.91578416528196</v>
      </c>
      <c r="AH223" s="847" t="str">
        <f t="shared" si="87"/>
        <v>Yes</v>
      </c>
      <c r="AI223" s="847" t="str">
        <f>IF(Calculation!K226&gt;0,"Yes","No")</f>
        <v>No</v>
      </c>
      <c r="AJ223" s="869">
        <v>40480.920000097816</v>
      </c>
      <c r="AK223" s="870">
        <v>39889.500000099535</v>
      </c>
      <c r="AL223" s="870">
        <v>39080.600000096914</v>
      </c>
      <c r="AN223" s="372">
        <v>43030.800000106319</v>
      </c>
      <c r="AO223" s="372">
        <v>39375.500000097141</v>
      </c>
      <c r="AP223" s="372">
        <v>44310.400000108537</v>
      </c>
      <c r="AU223" s="427"/>
      <c r="AV223" s="410"/>
      <c r="AW223" s="442"/>
      <c r="AX223" s="441"/>
      <c r="AY223" s="441"/>
      <c r="AZ223" s="443"/>
      <c r="BB223" s="433"/>
      <c r="BC223" s="432"/>
      <c r="BD223" s="433"/>
      <c r="BE223" s="432"/>
      <c r="BF223" s="433"/>
      <c r="BG223" s="432"/>
      <c r="BH223" s="429"/>
    </row>
    <row r="224" spans="1:60" ht="13.8" thickBot="1" x14ac:dyDescent="0.3">
      <c r="A224" s="406">
        <v>42951</v>
      </c>
      <c r="B224" s="860">
        <f t="shared" si="83"/>
        <v>139.67863</v>
      </c>
      <c r="C224" s="860">
        <f>Calculation!AK227</f>
        <v>0</v>
      </c>
      <c r="D224" s="860">
        <f>Calculation!AI227</f>
        <v>63.430006128550069</v>
      </c>
      <c r="E224" s="860">
        <f>Calculation!AE227</f>
        <v>77.953329999999994</v>
      </c>
      <c r="F224" s="860">
        <f>Calculation!AF227</f>
        <v>61.725299999999997</v>
      </c>
      <c r="G224" s="860">
        <f>Calculation!AG227</f>
        <v>0</v>
      </c>
      <c r="H224" s="861">
        <f>Sheet1!H225</f>
        <v>1.9</v>
      </c>
      <c r="I224" s="841">
        <f>Sheet1!DA225</f>
        <v>336</v>
      </c>
      <c r="J224" s="841">
        <f>Sheet1!DB225</f>
        <v>196</v>
      </c>
      <c r="K224" s="841">
        <f>Sheet1!CZ225</f>
        <v>319</v>
      </c>
      <c r="L224" s="865">
        <f>Calculation!F227</f>
        <v>250</v>
      </c>
      <c r="M224" s="865">
        <f>Calculation!E227</f>
        <v>400</v>
      </c>
      <c r="N224" s="865">
        <f>Calculation!D227</f>
        <v>200</v>
      </c>
      <c r="O224" s="888">
        <f>Sheet1!DC225</f>
        <v>1160.97</v>
      </c>
      <c r="P224" s="889">
        <f>Calculation!FD227</f>
        <v>1136.2231884057205</v>
      </c>
      <c r="Q224" s="895">
        <f>Calculation!DP227</f>
        <v>42635.200000105084</v>
      </c>
      <c r="R224" s="888">
        <f t="shared" si="72"/>
        <v>42016.200000105084</v>
      </c>
      <c r="S224" s="890">
        <f t="shared" si="84"/>
        <v>-299.30000000123255</v>
      </c>
      <c r="T224" s="895">
        <f ca="1">IF(A224&gt;($A$1-1),#N/A,VLOOKUP(A224,Calculation!$B$8:$JO$503,40,FALSE))</f>
        <v>7439.6210073742932</v>
      </c>
      <c r="U224" s="890">
        <f t="shared" si="85"/>
        <v>63.430006128550069</v>
      </c>
      <c r="V224" s="890">
        <f>Calculation!AZ227</f>
        <v>0</v>
      </c>
      <c r="W224" s="981">
        <f t="shared" ca="1" si="79"/>
        <v>14058.264396152517</v>
      </c>
      <c r="X224" s="890">
        <v>0</v>
      </c>
      <c r="Y224" s="1164">
        <f t="shared" ca="1" si="69"/>
        <v>2500</v>
      </c>
      <c r="Z224" s="890">
        <f ca="1">W224-Y224</f>
        <v>11558.264396152517</v>
      </c>
      <c r="AA224" s="890">
        <f t="shared" ca="1" si="54"/>
        <v>0</v>
      </c>
      <c r="AB224" s="895">
        <f t="shared" ca="1" si="81"/>
        <v>21137.314596578275</v>
      </c>
      <c r="AC224" s="980">
        <f t="shared" ca="1" si="82"/>
        <v>20518.314596578275</v>
      </c>
      <c r="AD224" s="860">
        <f ca="1">IF(A224&gt;$A$1, #N/A,VLOOKUP(A224,Calculation!$B$8:$JO$880,165,FALSE))</f>
        <v>20396</v>
      </c>
      <c r="AE224" s="399">
        <f t="shared" ca="1" si="86"/>
        <v>-168</v>
      </c>
      <c r="AF224" s="399">
        <f t="shared" ca="1" si="62"/>
        <v>21015</v>
      </c>
      <c r="AG224" s="841">
        <f>Calculation!G227</f>
        <v>168.06707009519289</v>
      </c>
      <c r="AH224" s="847" t="str">
        <f t="shared" si="87"/>
        <v>Yes</v>
      </c>
      <c r="AI224" s="847" t="str">
        <f>IF(Calculation!K227&gt;0,"Yes","No")</f>
        <v>No</v>
      </c>
      <c r="AJ224" s="869">
        <v>40358.880000097815</v>
      </c>
      <c r="AK224" s="870">
        <v>39817.2000001005</v>
      </c>
      <c r="AL224" s="870">
        <v>38897.600000097867</v>
      </c>
      <c r="AN224" s="372">
        <v>42774.000000106076</v>
      </c>
      <c r="AO224" s="372">
        <v>39172.000000098102</v>
      </c>
      <c r="AP224" s="372">
        <v>43996.600000109298</v>
      </c>
      <c r="AU224" s="427"/>
      <c r="AV224" s="410"/>
      <c r="AW224" s="442"/>
      <c r="AX224" s="441"/>
      <c r="AY224" s="441"/>
      <c r="AZ224" s="443"/>
      <c r="BB224" s="433"/>
      <c r="BC224" s="432"/>
      <c r="BD224" s="433"/>
      <c r="BE224" s="432"/>
      <c r="BF224" s="433"/>
      <c r="BG224" s="432"/>
      <c r="BH224" s="429"/>
    </row>
    <row r="225" spans="1:60" ht="13.8" thickBot="1" x14ac:dyDescent="0.3">
      <c r="A225" s="406">
        <v>42952</v>
      </c>
      <c r="B225" s="860">
        <f t="shared" si="83"/>
        <v>142.21571</v>
      </c>
      <c r="C225" s="860">
        <f>Calculation!AK228</f>
        <v>0</v>
      </c>
      <c r="D225" s="860">
        <f>Calculation!AI228</f>
        <v>49.503999999999998</v>
      </c>
      <c r="E225" s="860">
        <f>Calculation!AE228</f>
        <v>77.860509999999991</v>
      </c>
      <c r="F225" s="860">
        <f>Calculation!AF228</f>
        <v>64.355199999999996</v>
      </c>
      <c r="G225" s="860">
        <f>Calculation!AG228</f>
        <v>0</v>
      </c>
      <c r="H225" s="861">
        <f>Sheet1!H226</f>
        <v>1.82</v>
      </c>
      <c r="I225" s="841">
        <f>Sheet1!DA226</f>
        <v>313</v>
      </c>
      <c r="J225" s="841">
        <f>Sheet1!DB226</f>
        <v>187</v>
      </c>
      <c r="K225" s="841">
        <f>Sheet1!CZ226</f>
        <v>316</v>
      </c>
      <c r="L225" s="865">
        <f>Calculation!F228</f>
        <v>250</v>
      </c>
      <c r="M225" s="865">
        <f>Calculation!E228</f>
        <v>400</v>
      </c>
      <c r="N225" s="865">
        <f>Calculation!D228</f>
        <v>200</v>
      </c>
      <c r="O225" s="888">
        <f>Sheet1!DC226</f>
        <v>1160.7</v>
      </c>
      <c r="P225" s="889">
        <f>Calculation!FD228</f>
        <v>1135.9791044775357</v>
      </c>
      <c r="Q225" s="895">
        <f>Calculation!DP228</f>
        <v>42349.000000104839</v>
      </c>
      <c r="R225" s="888">
        <f t="shared" si="72"/>
        <v>41730.000000104839</v>
      </c>
      <c r="S225" s="890">
        <f t="shared" si="84"/>
        <v>-286.20000000024447</v>
      </c>
      <c r="T225" s="895">
        <f ca="1">IF(A225&gt;($A$1-1),#N/A,VLOOKUP(A225,Calculation!$B$8:$JO$503,40,FALSE))</f>
        <v>7341.4450073742937</v>
      </c>
      <c r="U225" s="890">
        <f t="shared" si="85"/>
        <v>49.503999999999998</v>
      </c>
      <c r="V225" s="890">
        <f>Calculation!AZ228</f>
        <v>0</v>
      </c>
      <c r="W225" s="981">
        <f t="shared" ca="1" si="79"/>
        <v>14058.264396152517</v>
      </c>
      <c r="X225" s="890">
        <v>0</v>
      </c>
      <c r="Y225" s="1164">
        <f t="shared" ca="1" si="69"/>
        <v>2500</v>
      </c>
      <c r="Z225" s="890">
        <f ca="1">W225-Y225</f>
        <v>11558.264396152517</v>
      </c>
      <c r="AA225" s="890">
        <f t="shared" ca="1" si="54"/>
        <v>0</v>
      </c>
      <c r="AB225" s="895">
        <f t="shared" ca="1" si="81"/>
        <v>20949.29059657803</v>
      </c>
      <c r="AC225" s="980">
        <f t="shared" ca="1" si="82"/>
        <v>20330.29059657803</v>
      </c>
      <c r="AD225" s="860">
        <f ca="1">IF(A225&gt;$A$1, #N/A,VLOOKUP(A225,Calculation!$B$8:$JO$880,165,FALSE))</f>
        <v>20229</v>
      </c>
      <c r="AE225" s="399">
        <f t="shared" ca="1" si="86"/>
        <v>-167</v>
      </c>
      <c r="AF225" s="399">
        <f t="shared" ca="1" si="62"/>
        <v>20848</v>
      </c>
      <c r="AG225" s="841">
        <f>Calculation!G228</f>
        <v>171.67322239019444</v>
      </c>
      <c r="AH225" s="847" t="str">
        <f t="shared" si="87"/>
        <v>Yes</v>
      </c>
      <c r="AI225" s="847" t="str">
        <f>IF(Calculation!K228&gt;0,"Yes","No")</f>
        <v>No</v>
      </c>
      <c r="AJ225" s="869">
        <v>40191.075000097466</v>
      </c>
      <c r="AK225" s="870">
        <v>39775.600000100501</v>
      </c>
      <c r="AL225" s="870">
        <v>38683.70000009668</v>
      </c>
      <c r="AM225" s="868"/>
      <c r="AN225" s="372">
        <v>42508.000000104839</v>
      </c>
      <c r="AO225" s="372">
        <v>38999.600000097867</v>
      </c>
      <c r="AP225" s="372">
        <v>43640.700000107048</v>
      </c>
      <c r="AU225" s="427"/>
      <c r="AV225" s="410"/>
      <c r="AW225" s="442"/>
      <c r="AX225" s="441"/>
      <c r="AY225" s="441"/>
      <c r="AZ225" s="443"/>
      <c r="BB225" s="433"/>
      <c r="BC225" s="432"/>
      <c r="BD225" s="433"/>
      <c r="BE225" s="432"/>
      <c r="BF225" s="433"/>
      <c r="BG225" s="432"/>
      <c r="BH225" s="429"/>
    </row>
    <row r="226" spans="1:60" ht="13.8" thickBot="1" x14ac:dyDescent="0.3">
      <c r="A226" s="406">
        <v>42953</v>
      </c>
      <c r="B226" s="860">
        <f t="shared" si="83"/>
        <v>143.57706999999999</v>
      </c>
      <c r="C226" s="860">
        <f>Calculation!AK229</f>
        <v>0</v>
      </c>
      <c r="D226" s="860">
        <f>Calculation!AI229</f>
        <v>49.513871499436299</v>
      </c>
      <c r="E226" s="860">
        <f>Calculation!AE229</f>
        <v>75.277019999999993</v>
      </c>
      <c r="F226" s="860">
        <f>Calculation!AF229</f>
        <v>68.300049999999999</v>
      </c>
      <c r="G226" s="860">
        <f>Calculation!AG229</f>
        <v>0</v>
      </c>
      <c r="H226" s="861">
        <f>Sheet1!H227</f>
        <v>1.9</v>
      </c>
      <c r="I226" s="841">
        <f>Sheet1!DA227</f>
        <v>304</v>
      </c>
      <c r="J226" s="841">
        <f>Sheet1!DB227</f>
        <v>196</v>
      </c>
      <c r="K226" s="841">
        <f>Sheet1!CZ227</f>
        <v>316</v>
      </c>
      <c r="L226" s="865">
        <f>Calculation!F229</f>
        <v>250</v>
      </c>
      <c r="M226" s="865">
        <f>Calculation!E229</f>
        <v>400</v>
      </c>
      <c r="N226" s="865">
        <f>Calculation!D229</f>
        <v>200</v>
      </c>
      <c r="O226" s="888">
        <f>Sheet1!DC227</f>
        <v>1160.43</v>
      </c>
      <c r="P226" s="889">
        <f>Calculation!FD229</f>
        <v>1135.7272727271966</v>
      </c>
      <c r="Q226" s="895">
        <f>Calculation!DP229</f>
        <v>42062.800000104602</v>
      </c>
      <c r="R226" s="888">
        <f t="shared" si="72"/>
        <v>41443.800000104602</v>
      </c>
      <c r="S226" s="890">
        <f t="shared" si="84"/>
        <v>-286.2000000002372</v>
      </c>
      <c r="T226" s="895">
        <f ca="1">IF(A226&gt;($A$1-1),#N/A,VLOOKUP(A226,Calculation!$B$8:$JO$503,40,FALSE))</f>
        <v>7243.2494302829755</v>
      </c>
      <c r="U226" s="890">
        <f t="shared" si="85"/>
        <v>49.513871499436299</v>
      </c>
      <c r="V226" s="890">
        <f>Calculation!AZ229</f>
        <v>0</v>
      </c>
      <c r="W226" s="981">
        <f t="shared" ca="1" si="79"/>
        <v>14058.264396152517</v>
      </c>
      <c r="X226" s="890">
        <v>0</v>
      </c>
      <c r="Y226" s="1164">
        <f t="shared" ca="1" si="69"/>
        <v>2500</v>
      </c>
      <c r="Z226" s="890">
        <f t="shared" ca="1" si="88"/>
        <v>11558.264396152517</v>
      </c>
      <c r="AA226" s="890">
        <f t="shared" ca="1" si="54"/>
        <v>0</v>
      </c>
      <c r="AB226" s="895">
        <f t="shared" ca="1" si="81"/>
        <v>20761.286173669112</v>
      </c>
      <c r="AC226" s="980">
        <f t="shared" ca="1" si="82"/>
        <v>20142.286173669112</v>
      </c>
      <c r="AD226" s="860">
        <f ca="1">IF(A226&gt;$A$1, #N/A,VLOOKUP(A226,Calculation!$B$8:$JO$880,165,FALSE))</f>
        <v>20061</v>
      </c>
      <c r="AE226" s="399">
        <f t="shared" ca="1" si="86"/>
        <v>-168</v>
      </c>
      <c r="AF226" s="399">
        <f t="shared" ca="1" si="62"/>
        <v>20680</v>
      </c>
      <c r="AG226" s="841">
        <f>Calculation!G229</f>
        <v>171.67322239019811</v>
      </c>
      <c r="AH226" s="847" t="str">
        <f t="shared" si="87"/>
        <v>Yes</v>
      </c>
      <c r="AI226" s="847" t="str">
        <f>IF(Calculation!K229&gt;0,"Yes","No")</f>
        <v>No</v>
      </c>
      <c r="AJ226" s="869">
        <v>40023.270000097349</v>
      </c>
      <c r="AK226" s="870">
        <v>39713.400000099529</v>
      </c>
      <c r="AL226" s="870">
        <v>38441.000000095497</v>
      </c>
      <c r="AN226" s="372">
        <v>42243.000000104599</v>
      </c>
      <c r="AO226" s="894">
        <v>38826.20000009764</v>
      </c>
      <c r="AP226" s="894">
        <v>43266.200000106561</v>
      </c>
      <c r="AQ226" s="894"/>
      <c r="AR226" s="894"/>
      <c r="AS226" s="894"/>
      <c r="AT226" s="894"/>
      <c r="AU226" s="427"/>
      <c r="AV226" s="410"/>
      <c r="AW226" s="442"/>
      <c r="AX226" s="441"/>
      <c r="AY226" s="441"/>
      <c r="AZ226" s="443"/>
      <c r="BB226" s="433"/>
      <c r="BC226" s="432"/>
      <c r="BD226" s="433"/>
      <c r="BE226" s="432"/>
      <c r="BF226" s="433"/>
      <c r="BG226" s="432"/>
      <c r="BH226" s="429"/>
    </row>
    <row r="227" spans="1:60" ht="13.8" thickBot="1" x14ac:dyDescent="0.3">
      <c r="A227" s="406">
        <v>42954</v>
      </c>
      <c r="B227" s="860">
        <f t="shared" si="83"/>
        <v>134.17131000000001</v>
      </c>
      <c r="C227" s="860">
        <f>Calculation!AK230</f>
        <v>0</v>
      </c>
      <c r="D227" s="860">
        <f>Calculation!AI230</f>
        <v>40.222000000000001</v>
      </c>
      <c r="E227" s="860">
        <f>Calculation!AE230</f>
        <v>66.335359999999994</v>
      </c>
      <c r="F227" s="860">
        <f>Calculation!AF230</f>
        <v>67.835949999999997</v>
      </c>
      <c r="G227" s="860">
        <f>Calculation!AG230</f>
        <v>0</v>
      </c>
      <c r="H227" s="861">
        <f>Sheet1!H228</f>
        <v>1.78</v>
      </c>
      <c r="I227" s="841">
        <f>Sheet1!DA228</f>
        <v>322</v>
      </c>
      <c r="J227" s="841">
        <f>Sheet1!DB228</f>
        <v>152</v>
      </c>
      <c r="K227" s="841">
        <f>Sheet1!CZ228</f>
        <v>308</v>
      </c>
      <c r="L227" s="865">
        <f>Calculation!F230</f>
        <v>250</v>
      </c>
      <c r="M227" s="865">
        <f>Calculation!E230</f>
        <v>400</v>
      </c>
      <c r="N227" s="865">
        <f>Calculation!D230</f>
        <v>200</v>
      </c>
      <c r="O227" s="888">
        <f>Sheet1!DC228</f>
        <v>1160.1600000000001</v>
      </c>
      <c r="P227" s="889">
        <f>Calculation!FD230</f>
        <v>1135.4776119402227</v>
      </c>
      <c r="Q227" s="895">
        <f>Calculation!DP230</f>
        <v>41776.600000104358</v>
      </c>
      <c r="R227" s="888">
        <f t="shared" si="72"/>
        <v>41157.600000104358</v>
      </c>
      <c r="S227" s="890">
        <f t="shared" si="84"/>
        <v>-286.20000000024447</v>
      </c>
      <c r="T227" s="895">
        <f ca="1">IF(A227&gt;($A$1-1),#N/A,VLOOKUP(A227,Calculation!$B$8:$JO$503,40,FALSE))</f>
        <v>7163.4814302829755</v>
      </c>
      <c r="U227" s="890">
        <f t="shared" si="85"/>
        <v>40.222000000000001</v>
      </c>
      <c r="V227" s="890">
        <f>Calculation!AZ230</f>
        <v>0</v>
      </c>
      <c r="W227" s="981">
        <f t="shared" ca="1" si="79"/>
        <v>14058.264396152517</v>
      </c>
      <c r="X227" s="890">
        <v>0</v>
      </c>
      <c r="Y227" s="1164">
        <f t="shared" ca="1" si="69"/>
        <v>2500</v>
      </c>
      <c r="Z227" s="890">
        <f t="shared" ca="1" si="88"/>
        <v>11558.264396152517</v>
      </c>
      <c r="AA227" s="890">
        <f t="shared" ca="1" si="54"/>
        <v>0</v>
      </c>
      <c r="AB227" s="895">
        <f t="shared" ca="1" si="81"/>
        <v>20554.854173668864</v>
      </c>
      <c r="AC227" s="980">
        <f t="shared" ca="1" si="82"/>
        <v>19935.854173668864</v>
      </c>
      <c r="AD227" s="860">
        <f ca="1">IF(A227&gt;$A$1, #N/A,VLOOKUP(A227,Calculation!$B$8:$JO$880,165,FALSE))</f>
        <v>19893</v>
      </c>
      <c r="AE227" s="399">
        <f t="shared" ca="1" si="86"/>
        <v>-168</v>
      </c>
      <c r="AF227" s="399">
        <f t="shared" ca="1" si="62"/>
        <v>20512</v>
      </c>
      <c r="AG227" s="841">
        <f>Calculation!G230</f>
        <v>163.67322239019444</v>
      </c>
      <c r="AH227" s="847" t="str">
        <f t="shared" si="87"/>
        <v>Yes</v>
      </c>
      <c r="AI227" s="847" t="str">
        <f>IF(Calculation!K230&gt;0,"Yes","No")</f>
        <v>No</v>
      </c>
      <c r="AJ227" s="869">
        <v>39850.38000009735</v>
      </c>
      <c r="AK227" s="870">
        <v>39661.900000099529</v>
      </c>
      <c r="AL227" s="870">
        <v>38210.000000095271</v>
      </c>
      <c r="AN227" s="372">
        <v>41956.800000104362</v>
      </c>
      <c r="AO227" s="894">
        <v>38572.200000097408</v>
      </c>
      <c r="AP227" s="894">
        <v>42902.400000106318</v>
      </c>
      <c r="AQ227" s="894"/>
      <c r="AR227" s="894"/>
      <c r="AS227" s="894"/>
      <c r="AT227" s="894"/>
      <c r="AU227" s="427"/>
      <c r="AV227" s="410"/>
      <c r="AW227" s="442"/>
      <c r="AX227" s="441"/>
      <c r="AY227" s="441"/>
      <c r="AZ227" s="443"/>
      <c r="BB227" s="433"/>
      <c r="BC227" s="432"/>
      <c r="BD227" s="433"/>
      <c r="BE227" s="432"/>
      <c r="BF227" s="433"/>
      <c r="BG227" s="432"/>
      <c r="BH227" s="429"/>
    </row>
    <row r="228" spans="1:60" ht="13.8" thickBot="1" x14ac:dyDescent="0.3">
      <c r="A228" s="406">
        <v>42955</v>
      </c>
      <c r="B228" s="860">
        <f t="shared" si="83"/>
        <v>135.20779999999999</v>
      </c>
      <c r="C228" s="860">
        <f>Calculation!AK231</f>
        <v>0</v>
      </c>
      <c r="D228" s="860">
        <f>Calculation!AI231</f>
        <v>40.222000000000001</v>
      </c>
      <c r="E228" s="860">
        <f>Calculation!AE231</f>
        <v>67.340909999999994</v>
      </c>
      <c r="F228" s="860">
        <f>Calculation!AF231</f>
        <v>67.866889999999998</v>
      </c>
      <c r="G228" s="860">
        <f>Calculation!AG231</f>
        <v>0</v>
      </c>
      <c r="H228" s="861">
        <f>Sheet1!H229</f>
        <v>1.79</v>
      </c>
      <c r="I228" s="841">
        <f>Sheet1!DA229</f>
        <v>309</v>
      </c>
      <c r="J228" s="841">
        <f>Sheet1!DB229</f>
        <v>153</v>
      </c>
      <c r="K228" s="841">
        <f>Sheet1!CZ229</f>
        <v>276</v>
      </c>
      <c r="L228" s="865">
        <f>Calculation!F231</f>
        <v>250</v>
      </c>
      <c r="M228" s="865">
        <f>Calculation!E231</f>
        <v>400</v>
      </c>
      <c r="N228" s="865">
        <f>Calculation!D231</f>
        <v>200</v>
      </c>
      <c r="O228" s="888">
        <f>Sheet1!DC229</f>
        <v>1159.8900000000001</v>
      </c>
      <c r="P228" s="889">
        <f>Calculation!FD231</f>
        <v>1135.2268656715662</v>
      </c>
      <c r="Q228" s="895">
        <f>Calculation!DP231</f>
        <v>41491.600000102153</v>
      </c>
      <c r="R228" s="888">
        <f t="shared" si="72"/>
        <v>40872.600000102153</v>
      </c>
      <c r="S228" s="890">
        <f t="shared" si="84"/>
        <v>-285.00000000220462</v>
      </c>
      <c r="T228" s="895">
        <f ca="1">IF(A228&gt;($A$1-1),#N/A,VLOOKUP(A228,Calculation!$B$8:$JO$503,40,FALSE))</f>
        <v>7083.7134302829754</v>
      </c>
      <c r="U228" s="890">
        <f t="shared" si="85"/>
        <v>40.222000000000001</v>
      </c>
      <c r="V228" s="890">
        <f>Calculation!AZ231</f>
        <v>0</v>
      </c>
      <c r="W228" s="981">
        <f t="shared" ca="1" si="79"/>
        <v>14058.264396152517</v>
      </c>
      <c r="X228" s="890">
        <v>0</v>
      </c>
      <c r="Y228" s="1164">
        <f t="shared" ca="1" si="69"/>
        <v>2500</v>
      </c>
      <c r="Z228" s="890">
        <f ca="1">W228-Y228</f>
        <v>11558.264396152517</v>
      </c>
      <c r="AA228" s="890">
        <f t="shared" ca="1" si="54"/>
        <v>0</v>
      </c>
      <c r="AB228" s="895">
        <f t="shared" ca="1" si="81"/>
        <v>20349.622173666663</v>
      </c>
      <c r="AC228" s="980">
        <f t="shared" ca="1" si="82"/>
        <v>19730.622173666663</v>
      </c>
      <c r="AD228" s="860">
        <f ca="1">IF(A228&gt;$A$1, #N/A,VLOOKUP(A228,Calculation!$B$8:$JO$880,165,FALSE))</f>
        <v>19725</v>
      </c>
      <c r="AE228" s="399">
        <f t="shared" ca="1" si="86"/>
        <v>-168</v>
      </c>
      <c r="AF228" s="399">
        <f t="shared" ca="1" si="62"/>
        <v>20344</v>
      </c>
      <c r="AG228" s="841">
        <f>Calculation!G231</f>
        <v>132.27836611083984</v>
      </c>
      <c r="AH228" s="847" t="str">
        <f t="shared" si="87"/>
        <v>Yes</v>
      </c>
      <c r="AI228" s="847" t="str">
        <f>IF(Calculation!K231&gt;0,"Yes","No")</f>
        <v>No</v>
      </c>
      <c r="AJ228" s="869">
        <v>39779.190000097122</v>
      </c>
      <c r="AK228" s="870">
        <v>39558.900000099296</v>
      </c>
      <c r="AL228" s="870">
        <v>37919.10000009599</v>
      </c>
      <c r="AN228" s="372">
        <v>41660.000000104119</v>
      </c>
      <c r="AO228" s="894">
        <v>38320.100000096223</v>
      </c>
      <c r="AP228" s="894">
        <v>42582.200000105084</v>
      </c>
      <c r="AQ228" s="894"/>
      <c r="AR228" s="894"/>
      <c r="AS228" s="894"/>
      <c r="AT228" s="894"/>
      <c r="AU228" s="427"/>
      <c r="AV228" s="410"/>
      <c r="AW228" s="442"/>
      <c r="AX228" s="441"/>
      <c r="AY228" s="441"/>
      <c r="AZ228" s="443"/>
      <c r="BB228" s="433"/>
      <c r="BC228" s="432"/>
      <c r="BD228" s="433"/>
      <c r="BE228" s="432"/>
      <c r="BF228" s="433"/>
      <c r="BG228" s="432"/>
      <c r="BH228" s="429"/>
    </row>
    <row r="229" spans="1:60" ht="13.8" thickBot="1" x14ac:dyDescent="0.3">
      <c r="A229" s="406">
        <v>42956</v>
      </c>
      <c r="B229" s="860">
        <f t="shared" si="83"/>
        <v>137.11061000000001</v>
      </c>
      <c r="C229" s="860">
        <f>Calculation!AK232</f>
        <v>0</v>
      </c>
      <c r="D229" s="860">
        <f>Calculation!AI232</f>
        <v>40.222000000000001</v>
      </c>
      <c r="E229" s="860">
        <f>Calculation!AE232</f>
        <v>69.305599999999998</v>
      </c>
      <c r="F229" s="860">
        <f>Calculation!AF232</f>
        <v>67.805009999999996</v>
      </c>
      <c r="G229" s="860">
        <f>Calculation!AG232</f>
        <v>0</v>
      </c>
      <c r="H229" s="861">
        <f>Sheet1!H230</f>
        <v>1.82</v>
      </c>
      <c r="I229" s="841">
        <f>Sheet1!DA230</f>
        <v>309</v>
      </c>
      <c r="J229" s="841">
        <f>Sheet1!DB230</f>
        <v>147</v>
      </c>
      <c r="K229" s="841">
        <f>Sheet1!CZ230</f>
        <v>270</v>
      </c>
      <c r="L229" s="865">
        <f>Calculation!F232</f>
        <v>250</v>
      </c>
      <c r="M229" s="865">
        <f>Calculation!E232</f>
        <v>400</v>
      </c>
      <c r="N229" s="865">
        <f>Calculation!D232</f>
        <v>200</v>
      </c>
      <c r="O229" s="888">
        <f>Sheet1!DC230</f>
        <v>1159.6300000000001</v>
      </c>
      <c r="P229" s="889">
        <f>Calculation!FD232</f>
        <v>1134.9753846153092</v>
      </c>
      <c r="Q229" s="895">
        <f>Calculation!DP232</f>
        <v>41219.500000102897</v>
      </c>
      <c r="R229" s="888">
        <f t="shared" si="72"/>
        <v>40600.500000102897</v>
      </c>
      <c r="S229" s="890">
        <f t="shared" si="84"/>
        <v>-272.0999999992564</v>
      </c>
      <c r="T229" s="895">
        <f ca="1">IF(A229&gt;($A$1-1),#N/A,VLOOKUP(A229,Calculation!$B$8:$JO$503,40,FALSE))</f>
        <v>7003.9454302829754</v>
      </c>
      <c r="U229" s="890">
        <f t="shared" si="85"/>
        <v>40.222000000000001</v>
      </c>
      <c r="V229" s="890">
        <f>Calculation!AZ232</f>
        <v>0</v>
      </c>
      <c r="W229" s="981">
        <f t="shared" ref="W229:W234" ca="1" si="89">IF(A229&lt;$A$1,$W$226,#N/A)</f>
        <v>14058.264396152517</v>
      </c>
      <c r="X229" s="890">
        <v>0</v>
      </c>
      <c r="Y229" s="1164">
        <f t="shared" ca="1" si="69"/>
        <v>2500</v>
      </c>
      <c r="Z229" s="890">
        <f t="shared" ca="1" si="88"/>
        <v>11558.264396152517</v>
      </c>
      <c r="AA229" s="890">
        <f t="shared" ref="AA229:AA291" ca="1" si="90">IF(AB229&gt;=24257,Q229-T229-W229-24257,0)</f>
        <v>0</v>
      </c>
      <c r="AB229" s="895">
        <f t="shared" ca="1" si="81"/>
        <v>20157.290173667403</v>
      </c>
      <c r="AC229" s="980">
        <f t="shared" ca="1" si="82"/>
        <v>19538.290173667403</v>
      </c>
      <c r="AD229" s="860">
        <f ca="1">IF(A229&gt;$A$1, #N/A,VLOOKUP(A229,Calculation!$B$8:$JO$880,165,FALSE))</f>
        <v>19558</v>
      </c>
      <c r="AE229" s="399">
        <f t="shared" ca="1" si="86"/>
        <v>-167</v>
      </c>
      <c r="AF229" s="399">
        <f t="shared" ca="1" si="62"/>
        <v>20177</v>
      </c>
      <c r="AG229" s="841">
        <f>Calculation!G232</f>
        <v>132.78366111989089</v>
      </c>
      <c r="AH229" s="847" t="str">
        <f t="shared" si="87"/>
        <v>Yes</v>
      </c>
      <c r="AI229" s="847" t="str">
        <f>IF(Calculation!K232&gt;0,"Yes","No")</f>
        <v>No</v>
      </c>
      <c r="AJ229" s="869">
        <v>39587.64000009578</v>
      </c>
      <c r="AK229" s="870">
        <v>39466.800000098337</v>
      </c>
      <c r="AL229" s="870">
        <v>37638.300000095762</v>
      </c>
      <c r="AN229" s="372">
        <v>41293.000000102897</v>
      </c>
      <c r="AO229" s="894">
        <v>38070.000000095039</v>
      </c>
      <c r="AP229" s="894">
        <v>42253.600000104598</v>
      </c>
      <c r="AQ229" s="894"/>
      <c r="AR229" s="894"/>
      <c r="AS229" s="894"/>
      <c r="AT229" s="894"/>
      <c r="AU229" s="427"/>
      <c r="AV229" s="410"/>
      <c r="AW229" s="442"/>
      <c r="AX229" s="441"/>
      <c r="AY229" s="441"/>
      <c r="AZ229" s="443"/>
      <c r="BB229" s="433"/>
      <c r="BC229" s="432"/>
      <c r="BD229" s="433"/>
      <c r="BE229" s="432"/>
      <c r="BF229" s="433"/>
      <c r="BG229" s="432"/>
      <c r="BH229" s="429"/>
    </row>
    <row r="230" spans="1:60" ht="13.8" thickBot="1" x14ac:dyDescent="0.3">
      <c r="A230" s="406">
        <v>42957</v>
      </c>
      <c r="B230" s="860">
        <f t="shared" si="83"/>
        <v>139.74051000000003</v>
      </c>
      <c r="C230" s="860">
        <f>Calculation!AK233</f>
        <v>0</v>
      </c>
      <c r="D230" s="860">
        <f>Calculation!AI233</f>
        <v>40.415108159388645</v>
      </c>
      <c r="E230" s="860">
        <f>Calculation!AE233</f>
        <v>69.150900000000007</v>
      </c>
      <c r="F230" s="860">
        <f>Calculation!AF233</f>
        <v>70.589610000000008</v>
      </c>
      <c r="G230" s="860">
        <f>Calculation!AG233</f>
        <v>0</v>
      </c>
      <c r="H230" s="861">
        <f>Sheet1!H231</f>
        <v>1.84</v>
      </c>
      <c r="I230" s="841">
        <f>Sheet1!DA231</f>
        <v>299</v>
      </c>
      <c r="J230" s="841">
        <f>Sheet1!DB231</f>
        <v>135</v>
      </c>
      <c r="K230" s="841">
        <f>Sheet1!CZ231</f>
        <v>278</v>
      </c>
      <c r="L230" s="865">
        <f>Calculation!F233</f>
        <v>250</v>
      </c>
      <c r="M230" s="865">
        <f>Calculation!E233</f>
        <v>400</v>
      </c>
      <c r="N230" s="865">
        <f>Calculation!D233</f>
        <v>200</v>
      </c>
      <c r="O230" s="888">
        <f>Sheet1!DC231</f>
        <v>1159.3599999999999</v>
      </c>
      <c r="P230" s="889">
        <f>Calculation!FD233</f>
        <v>1134.7184615383862</v>
      </c>
      <c r="Q230" s="895">
        <f>Calculation!DP233</f>
        <v>40937.000000102424</v>
      </c>
      <c r="R230" s="888">
        <f t="shared" si="72"/>
        <v>40318.000000102424</v>
      </c>
      <c r="S230" s="890">
        <f t="shared" si="84"/>
        <v>-282.50000000047294</v>
      </c>
      <c r="T230" s="895">
        <f ca="1">IF(A230&gt;($A$1-1),#N/A,VLOOKUP(A230,Calculation!$B$8:$JO$503,40,FALSE))</f>
        <v>6923.7944594794826</v>
      </c>
      <c r="U230" s="890">
        <f t="shared" si="85"/>
        <v>40.415108159388645</v>
      </c>
      <c r="V230" s="890">
        <f>Calculation!AZ233</f>
        <v>0</v>
      </c>
      <c r="W230" s="981">
        <f t="shared" ca="1" si="89"/>
        <v>14058.264396152517</v>
      </c>
      <c r="X230" s="890">
        <v>0</v>
      </c>
      <c r="Y230" s="1164">
        <f t="shared" ca="1" si="69"/>
        <v>2500</v>
      </c>
      <c r="Z230" s="890">
        <f t="shared" ca="1" si="88"/>
        <v>11558.264396152517</v>
      </c>
      <c r="AA230" s="890">
        <f t="shared" ca="1" si="90"/>
        <v>0</v>
      </c>
      <c r="AB230" s="895">
        <f t="shared" ca="1" si="81"/>
        <v>19954.941144470424</v>
      </c>
      <c r="AC230" s="980">
        <f t="shared" ca="1" si="82"/>
        <v>19335.941144470424</v>
      </c>
      <c r="AD230" s="860">
        <f ca="1">IF(A230&gt;$A$1, #N/A,VLOOKUP(A230,Calculation!$B$8:$JO$880,165,FALSE))</f>
        <v>19390</v>
      </c>
      <c r="AE230" s="399">
        <f t="shared" ca="1" si="86"/>
        <v>-168</v>
      </c>
      <c r="AF230" s="399">
        <f t="shared" ca="1" si="62"/>
        <v>20009</v>
      </c>
      <c r="AG230" s="841">
        <f>Calculation!G233</f>
        <v>135.53908219845039</v>
      </c>
      <c r="AH230" s="847" t="str">
        <f t="shared" si="87"/>
        <v>Yes</v>
      </c>
      <c r="AI230" s="847" t="str">
        <f>IF(Calculation!K233&gt;0,"Yes","No")</f>
        <v>No</v>
      </c>
      <c r="AJ230" s="869">
        <v>39427.160000095551</v>
      </c>
      <c r="AK230" s="870">
        <v>39365.400000097143</v>
      </c>
      <c r="AL230" s="870">
        <v>37379.300000093419</v>
      </c>
      <c r="AN230" s="372">
        <v>41031.500000102656</v>
      </c>
      <c r="AO230" s="894">
        <v>37799.000000094813</v>
      </c>
      <c r="AP230" s="894">
        <v>41925.000000104359</v>
      </c>
      <c r="AQ230" s="894"/>
      <c r="AR230" s="894"/>
      <c r="AS230" s="894"/>
      <c r="AT230" s="894"/>
      <c r="AU230" s="427"/>
      <c r="AV230" s="410"/>
      <c r="AW230" s="442"/>
      <c r="AX230" s="441"/>
      <c r="AY230" s="441"/>
      <c r="AZ230" s="443"/>
      <c r="BB230" s="433"/>
      <c r="BC230" s="432"/>
      <c r="BD230" s="433"/>
      <c r="BE230" s="432"/>
      <c r="BF230" s="433"/>
      <c r="BG230" s="432"/>
      <c r="BH230" s="429"/>
    </row>
    <row r="231" spans="1:60" ht="13.8" thickBot="1" x14ac:dyDescent="0.3">
      <c r="A231" s="406">
        <v>42958</v>
      </c>
      <c r="B231" s="860">
        <f t="shared" si="83"/>
        <v>149.51755</v>
      </c>
      <c r="C231" s="860">
        <f>Calculation!AK234</f>
        <v>0</v>
      </c>
      <c r="D231" s="860">
        <f>Calculation!AI234</f>
        <v>44.863</v>
      </c>
      <c r="E231" s="860">
        <f>Calculation!AE234</f>
        <v>72.709000000000003</v>
      </c>
      <c r="F231" s="860">
        <f>Calculation!AF234</f>
        <v>76.808549999999997</v>
      </c>
      <c r="G231" s="860">
        <f>Calculation!AG234</f>
        <v>0</v>
      </c>
      <c r="H231" s="861">
        <f>Sheet1!H232</f>
        <v>1.72</v>
      </c>
      <c r="I231" s="841">
        <f>Sheet1!DA232</f>
        <v>295</v>
      </c>
      <c r="J231" s="841">
        <f>Sheet1!DB232</f>
        <v>146</v>
      </c>
      <c r="K231" s="841">
        <f>Sheet1!CZ232</f>
        <v>279</v>
      </c>
      <c r="L231" s="865">
        <f>Calculation!F234</f>
        <v>250</v>
      </c>
      <c r="M231" s="865">
        <f>Calculation!E234</f>
        <v>400</v>
      </c>
      <c r="N231" s="865">
        <f>Calculation!D234</f>
        <v>200</v>
      </c>
      <c r="O231" s="888">
        <f>Sheet1!DC232</f>
        <v>1159.08</v>
      </c>
      <c r="P231" s="889">
        <f>Calculation!FD234</f>
        <v>1134.4615384614635</v>
      </c>
      <c r="Q231" s="895">
        <f>Calculation!DP234</f>
        <v>40644.000000102184</v>
      </c>
      <c r="R231" s="888">
        <f t="shared" si="72"/>
        <v>40025.000000102184</v>
      </c>
      <c r="S231" s="890">
        <f t="shared" si="84"/>
        <v>-293.00000000024011</v>
      </c>
      <c r="T231" s="895">
        <f ca="1">IF(A231&gt;($A$1-1),#N/A,VLOOKUP(A231,Calculation!$B$8:$JO$503,40,FALSE))</f>
        <v>6834.8224594794819</v>
      </c>
      <c r="U231" s="890">
        <f t="shared" si="85"/>
        <v>44.863</v>
      </c>
      <c r="V231" s="890">
        <f>Calculation!AZ234</f>
        <v>0</v>
      </c>
      <c r="W231" s="981">
        <f t="shared" ca="1" si="89"/>
        <v>14058.264396152517</v>
      </c>
      <c r="X231" s="890">
        <v>0</v>
      </c>
      <c r="Y231" s="1164">
        <f t="shared" ca="1" si="69"/>
        <v>2500</v>
      </c>
      <c r="Z231" s="890">
        <f t="shared" ca="1" si="88"/>
        <v>11558.264396152517</v>
      </c>
      <c r="AA231" s="890">
        <f t="shared" ca="1" si="90"/>
        <v>0</v>
      </c>
      <c r="AB231" s="895">
        <f t="shared" ca="1" si="81"/>
        <v>19750.913144470185</v>
      </c>
      <c r="AC231" s="980">
        <f t="shared" ca="1" si="82"/>
        <v>19131.913144470185</v>
      </c>
      <c r="AD231" s="860">
        <f ca="1">IF(A231&gt;$A$1, #N/A,VLOOKUP(A231,Calculation!$B$8:$JO$880,165,FALSE))</f>
        <v>19222</v>
      </c>
      <c r="AE231" s="399">
        <f t="shared" ca="1" si="86"/>
        <v>-168</v>
      </c>
      <c r="AF231" s="399">
        <f t="shared" ca="1" si="62"/>
        <v>19841</v>
      </c>
      <c r="AG231" s="841">
        <f>Calculation!G234</f>
        <v>131.24407463427127</v>
      </c>
      <c r="AH231" s="847" t="str">
        <f t="shared" si="87"/>
        <v>Yes</v>
      </c>
      <c r="AI231" s="847" t="str">
        <f>IF(Calculation!K234&gt;0,"Yes","No")</f>
        <v>No</v>
      </c>
      <c r="AJ231" s="869">
        <v>39276.710000095329</v>
      </c>
      <c r="AK231" s="870">
        <v>39192.400000098103</v>
      </c>
      <c r="AL231" s="870">
        <v>37121.900000093192</v>
      </c>
      <c r="AN231" s="372">
        <v>40717.000000101441</v>
      </c>
      <c r="AO231" s="894">
        <v>37538.000000094587</v>
      </c>
      <c r="AP231" s="894">
        <v>41565.000000103137</v>
      </c>
      <c r="AQ231" s="894"/>
      <c r="AR231" s="894"/>
      <c r="AS231" s="894"/>
      <c r="AT231" s="894"/>
      <c r="AU231" s="427"/>
      <c r="AV231" s="410"/>
      <c r="AW231" s="442"/>
      <c r="AX231" s="441"/>
      <c r="AY231" s="441"/>
      <c r="AZ231" s="443"/>
      <c r="BB231" s="433"/>
      <c r="BC231" s="432"/>
      <c r="BD231" s="433"/>
      <c r="BE231" s="432"/>
      <c r="BF231" s="433"/>
      <c r="BG231" s="432"/>
      <c r="BH231" s="429"/>
    </row>
    <row r="232" spans="1:60" ht="13.8" thickBot="1" x14ac:dyDescent="0.3">
      <c r="A232" s="406">
        <v>42959</v>
      </c>
      <c r="B232" s="860">
        <f t="shared" si="83"/>
        <v>140.69964999999999</v>
      </c>
      <c r="C232" s="860">
        <f>Calculation!AK235</f>
        <v>0</v>
      </c>
      <c r="D232" s="860">
        <f>Calculation!AI235</f>
        <v>44.863</v>
      </c>
      <c r="E232" s="860">
        <f>Calculation!AE235</f>
        <v>69.614999999999995</v>
      </c>
      <c r="F232" s="860">
        <f>Calculation!AF235</f>
        <v>71.084649999999996</v>
      </c>
      <c r="G232" s="860">
        <f>Calculation!AG235</f>
        <v>0</v>
      </c>
      <c r="H232" s="861">
        <f>Sheet1!H233</f>
        <v>1.59</v>
      </c>
      <c r="I232" s="841">
        <f>Sheet1!DA233</f>
        <v>304</v>
      </c>
      <c r="J232" s="841">
        <f>Sheet1!DB233</f>
        <v>146</v>
      </c>
      <c r="K232" s="841">
        <f>Sheet1!CZ233</f>
        <v>279</v>
      </c>
      <c r="L232" s="865">
        <f>Calculation!F235</f>
        <v>250</v>
      </c>
      <c r="M232" s="865">
        <f>Calculation!E235</f>
        <v>400</v>
      </c>
      <c r="N232" s="865">
        <f>Calculation!D235</f>
        <v>200</v>
      </c>
      <c r="O232" s="888">
        <f>Sheet1!DC233</f>
        <v>1158.78</v>
      </c>
      <c r="P232" s="889">
        <f>Calculation!FD235</f>
        <v>1134.2030769230021</v>
      </c>
      <c r="Q232" s="895">
        <f>Calculation!DP235</f>
        <v>40333.200000100973</v>
      </c>
      <c r="R232" s="888">
        <f t="shared" si="72"/>
        <v>39714.200000100973</v>
      </c>
      <c r="S232" s="890">
        <f t="shared" si="84"/>
        <v>-310.80000000121072</v>
      </c>
      <c r="T232" s="895">
        <f ca="1">IF(A232&gt;($A$1-1),#N/A,VLOOKUP(A232,Calculation!$B$8:$JO$503,40,FALSE))</f>
        <v>6745.8504594794822</v>
      </c>
      <c r="U232" s="890">
        <f t="shared" si="85"/>
        <v>44.863</v>
      </c>
      <c r="V232" s="890">
        <f>Calculation!AZ235</f>
        <v>0</v>
      </c>
      <c r="W232" s="981">
        <f t="shared" ca="1" si="89"/>
        <v>14058.264396152517</v>
      </c>
      <c r="X232" s="890">
        <v>0</v>
      </c>
      <c r="Y232" s="1164">
        <f t="shared" ca="1" si="69"/>
        <v>2500</v>
      </c>
      <c r="Z232" s="890">
        <f t="shared" ca="1" si="88"/>
        <v>11558.264396152517</v>
      </c>
      <c r="AA232" s="890">
        <f t="shared" ca="1" si="90"/>
        <v>0</v>
      </c>
      <c r="AB232" s="895">
        <f t="shared" ca="1" si="81"/>
        <v>19529.085144468976</v>
      </c>
      <c r="AC232" s="980">
        <f t="shared" ca="1" si="82"/>
        <v>18910.085144468976</v>
      </c>
      <c r="AD232" s="860">
        <f ca="1">IF(A232&gt;$A$1, #N/A,VLOOKUP(A232,Calculation!$B$8:$JO$880,165,FALSE))</f>
        <v>19054</v>
      </c>
      <c r="AE232" s="399">
        <f t="shared" ca="1" si="86"/>
        <v>-168</v>
      </c>
      <c r="AF232" s="399">
        <f t="shared" ca="1" si="62"/>
        <v>19673</v>
      </c>
      <c r="AG232" s="841">
        <f>Calculation!G235</f>
        <v>122.26777609621246</v>
      </c>
      <c r="AH232" s="847" t="str">
        <f t="shared" si="87"/>
        <v>Yes</v>
      </c>
      <c r="AI232" s="847" t="str">
        <f>IF(Calculation!K235&gt;0,"Yes","No")</f>
        <v>No</v>
      </c>
      <c r="AJ232" s="869">
        <v>39136.290000095323</v>
      </c>
      <c r="AK232" s="870">
        <v>38989.40000009787</v>
      </c>
      <c r="AL232" s="870">
        <v>36895.200000093195</v>
      </c>
      <c r="AN232" s="372">
        <v>40477.600000100232</v>
      </c>
      <c r="AO232" s="894">
        <v>37329.800000093419</v>
      </c>
      <c r="AP232" s="894">
        <v>41167.200000101679</v>
      </c>
      <c r="AQ232" s="894"/>
      <c r="AR232" s="894"/>
      <c r="AS232" s="894"/>
      <c r="AT232" s="894"/>
      <c r="AU232" s="427"/>
      <c r="AV232" s="410"/>
      <c r="AW232" s="442"/>
      <c r="AX232" s="441"/>
      <c r="AY232" s="441"/>
      <c r="AZ232" s="443"/>
      <c r="BB232" s="433"/>
      <c r="BC232" s="432"/>
      <c r="BD232" s="433"/>
      <c r="BE232" s="432"/>
      <c r="BF232" s="433"/>
      <c r="BG232" s="432"/>
      <c r="BH232" s="429"/>
    </row>
    <row r="233" spans="1:60" ht="13.8" thickBot="1" x14ac:dyDescent="0.3">
      <c r="A233" s="406">
        <v>42960</v>
      </c>
      <c r="B233" s="860">
        <f t="shared" si="83"/>
        <v>124.96666</v>
      </c>
      <c r="C233" s="860">
        <f>Calculation!AK236</f>
        <v>0</v>
      </c>
      <c r="D233" s="860">
        <f>Calculation!AI236</f>
        <v>44.863000000000007</v>
      </c>
      <c r="E233" s="860">
        <f>Calculation!AE236</f>
        <v>68.624920000000003</v>
      </c>
      <c r="F233" s="860">
        <f>Calculation!AF236</f>
        <v>56.341740000000001</v>
      </c>
      <c r="G233" s="860">
        <f>Calculation!AG236</f>
        <v>0</v>
      </c>
      <c r="H233" s="861">
        <f>Sheet1!H234</f>
        <v>1.6</v>
      </c>
      <c r="I233" s="841">
        <f>Sheet1!DA234</f>
        <v>327</v>
      </c>
      <c r="J233" s="841">
        <f>Sheet1!DB234</f>
        <v>166</v>
      </c>
      <c r="K233" s="841">
        <f>Sheet1!CZ234</f>
        <v>279</v>
      </c>
      <c r="L233" s="865">
        <f>Calculation!F236</f>
        <v>250</v>
      </c>
      <c r="M233" s="865">
        <f>Calculation!E236</f>
        <v>400</v>
      </c>
      <c r="N233" s="865">
        <f>Calculation!D236</f>
        <v>200</v>
      </c>
      <c r="O233" s="888">
        <f>Sheet1!DC234</f>
        <v>1158.52</v>
      </c>
      <c r="P233" s="889">
        <f>Calculation!FD236</f>
        <v>1133.94444444437</v>
      </c>
      <c r="Q233" s="895">
        <f>Calculation!DP236</f>
        <v>40064.600000099766</v>
      </c>
      <c r="R233" s="888">
        <f t="shared" si="72"/>
        <v>39445.600000099766</v>
      </c>
      <c r="S233" s="890">
        <f t="shared" si="84"/>
        <v>-268.60000000120635</v>
      </c>
      <c r="T233" s="895">
        <f ca="1">IF(A233&gt;($A$1-1),#N/A,VLOOKUP(A233,Calculation!$B$8:$JO$503,40,FALSE))</f>
        <v>6656.8784594794824</v>
      </c>
      <c r="U233" s="890">
        <f t="shared" si="85"/>
        <v>44.863000000000007</v>
      </c>
      <c r="V233" s="890">
        <f>Calculation!AZ236</f>
        <v>0</v>
      </c>
      <c r="W233" s="981">
        <f t="shared" ca="1" si="89"/>
        <v>14058.264396152517</v>
      </c>
      <c r="X233" s="890">
        <v>0</v>
      </c>
      <c r="Y233" s="1164">
        <f t="shared" ca="1" si="69"/>
        <v>2500</v>
      </c>
      <c r="Z233" s="890">
        <f t="shared" ca="1" si="88"/>
        <v>11558.264396152517</v>
      </c>
      <c r="AA233" s="890">
        <f t="shared" ca="1" si="90"/>
        <v>0</v>
      </c>
      <c r="AB233" s="895">
        <f t="shared" ca="1" si="81"/>
        <v>19349.457144467764</v>
      </c>
      <c r="AC233" s="980">
        <f t="shared" ca="1" si="82"/>
        <v>18730.457144467764</v>
      </c>
      <c r="AD233" s="860">
        <f ca="1">IF(A233&gt;$A$1, #N/A,VLOOKUP(A233,Calculation!$B$8:$JO$880,165,FALSE))</f>
        <v>18887</v>
      </c>
      <c r="AE233" s="399">
        <f t="shared" ca="1" si="86"/>
        <v>-167</v>
      </c>
      <c r="AF233" s="399">
        <f t="shared" ca="1" si="62"/>
        <v>19506</v>
      </c>
      <c r="AG233" s="841">
        <f>Calculation!G236</f>
        <v>143.54866364033973</v>
      </c>
      <c r="AH233" s="847" t="str">
        <f t="shared" si="87"/>
        <v>Yes</v>
      </c>
      <c r="AI233" s="847" t="str">
        <f>IF(Calculation!K236&gt;0,"Yes","No")</f>
        <v>No</v>
      </c>
      <c r="AJ233" s="869">
        <v>38975.810000095102</v>
      </c>
      <c r="AK233" s="870">
        <v>38775.20000009764</v>
      </c>
      <c r="AL233" s="870">
        <v>36618.000000092739</v>
      </c>
      <c r="AN233" s="372">
        <v>40498.200000100238</v>
      </c>
      <c r="AO233" s="894">
        <v>37063.000000092252</v>
      </c>
      <c r="AP233" s="894">
        <v>40748.200000101446</v>
      </c>
      <c r="AQ233" s="894"/>
      <c r="AR233" s="894"/>
      <c r="AS233" s="894"/>
      <c r="AT233" s="894"/>
      <c r="AU233" s="427"/>
      <c r="AV233" s="410"/>
      <c r="AW233" s="442"/>
      <c r="AX233" s="441"/>
      <c r="AY233" s="441"/>
      <c r="AZ233" s="443"/>
      <c r="BB233" s="433"/>
      <c r="BC233" s="432"/>
      <c r="BD233" s="433"/>
      <c r="BE233" s="432"/>
      <c r="BF233" s="433"/>
      <c r="BG233" s="432"/>
      <c r="BH233" s="429"/>
    </row>
    <row r="234" spans="1:60" ht="13.8" thickBot="1" x14ac:dyDescent="0.3">
      <c r="A234" s="406">
        <v>42961</v>
      </c>
      <c r="B234" s="860">
        <f t="shared" si="83"/>
        <v>119.41292999999999</v>
      </c>
      <c r="C234" s="860">
        <f>Calculation!AK237</f>
        <v>0</v>
      </c>
      <c r="D234" s="860">
        <f>Calculation!AI237</f>
        <v>44.863</v>
      </c>
      <c r="E234" s="860">
        <f>Calculation!AE237</f>
        <v>67.619370000000004</v>
      </c>
      <c r="F234" s="860">
        <f>Calculation!AF237</f>
        <v>51.793559999999992</v>
      </c>
      <c r="G234" s="860">
        <f>Calculation!AG237</f>
        <v>0</v>
      </c>
      <c r="H234" s="861">
        <f>Sheet1!H235</f>
        <v>1.64</v>
      </c>
      <c r="I234" s="841">
        <f>Sheet1!DA235</f>
        <v>331</v>
      </c>
      <c r="J234" s="841">
        <f>Sheet1!DB235</f>
        <v>168</v>
      </c>
      <c r="K234" s="841">
        <f>Sheet1!CZ235</f>
        <v>276</v>
      </c>
      <c r="L234" s="865">
        <f>Calculation!F237</f>
        <v>250</v>
      </c>
      <c r="M234" s="865">
        <f>Calculation!E237</f>
        <v>400</v>
      </c>
      <c r="N234" s="865">
        <f>Calculation!D237</f>
        <v>200</v>
      </c>
      <c r="O234" s="888">
        <f>Sheet1!DC235</f>
        <v>1158.23</v>
      </c>
      <c r="P234" s="889">
        <f>Calculation!FD237</f>
        <v>1133.6793650792908</v>
      </c>
      <c r="Q234" s="895">
        <f>Calculation!DP237</f>
        <v>39765.2000001005</v>
      </c>
      <c r="R234" s="888">
        <f t="shared" si="72"/>
        <v>39146.2000001005</v>
      </c>
      <c r="S234" s="890">
        <f t="shared" si="84"/>
        <v>-299.39999999926658</v>
      </c>
      <c r="T234" s="895">
        <f ca="1">IF(A234&gt;($A$1-1),#N/A,VLOOKUP(A234,Calculation!$B$8:$JO$503,40,FALSE))</f>
        <v>6567.9064594794827</v>
      </c>
      <c r="U234" s="890">
        <f t="shared" si="85"/>
        <v>44.863</v>
      </c>
      <c r="V234" s="890">
        <f>Calculation!AZ237</f>
        <v>0</v>
      </c>
      <c r="W234" s="981">
        <f t="shared" ca="1" si="89"/>
        <v>14058.264396152517</v>
      </c>
      <c r="X234" s="890">
        <v>0</v>
      </c>
      <c r="Y234" s="1164">
        <f t="shared" ca="1" si="69"/>
        <v>2500</v>
      </c>
      <c r="Z234" s="890">
        <f t="shared" ca="1" si="88"/>
        <v>11558.264396152517</v>
      </c>
      <c r="AA234" s="890">
        <f t="shared" ca="1" si="90"/>
        <v>0</v>
      </c>
      <c r="AB234" s="895">
        <f t="shared" ref="AB234" ca="1" si="91">IF(Q234-T234-W234&lt;0,0,MIN(Q234-T234-W234,24257))</f>
        <v>19139.029144468499</v>
      </c>
      <c r="AC234" s="980">
        <f t="shared" ref="AC234" ca="1" si="92">AB234-619</f>
        <v>18520.029144468499</v>
      </c>
      <c r="AD234" s="860">
        <f ca="1">IF(A234&gt;$A$1, #N/A,VLOOKUP(A234,Calculation!$B$8:$JO$880,165,FALSE))</f>
        <v>18719</v>
      </c>
      <c r="AE234" s="399">
        <f t="shared" ca="1" si="86"/>
        <v>-168</v>
      </c>
      <c r="AF234" s="399">
        <f t="shared" ca="1" si="62"/>
        <v>19338</v>
      </c>
      <c r="AG234" s="841">
        <f>Calculation!G237</f>
        <v>125.01664145271479</v>
      </c>
      <c r="AH234" s="847" t="str">
        <f t="shared" si="87"/>
        <v>Yes</v>
      </c>
      <c r="AI234" s="847" t="str">
        <f>IF(Calculation!K237&gt;0,"Yes","No")</f>
        <v>No</v>
      </c>
      <c r="AJ234" s="869">
        <v>38835.390000095103</v>
      </c>
      <c r="AK234" s="870">
        <v>38562.000000097411</v>
      </c>
      <c r="AL234" s="870">
        <v>36333.800000091578</v>
      </c>
      <c r="AN234" s="372">
        <v>40270.800000100971</v>
      </c>
      <c r="AO234" s="894">
        <v>36865.500000092965</v>
      </c>
      <c r="AP234" s="894">
        <v>40312.40000010097</v>
      </c>
      <c r="AQ234" s="894"/>
      <c r="AR234" s="894"/>
      <c r="AS234" s="894"/>
      <c r="AT234" s="894"/>
      <c r="AU234" s="427"/>
      <c r="AV234" s="410"/>
      <c r="AW234" s="442"/>
      <c r="AX234" s="441"/>
      <c r="AY234" s="441"/>
      <c r="AZ234" s="443"/>
      <c r="BB234" s="433"/>
      <c r="BC234" s="432"/>
      <c r="BD234" s="433"/>
      <c r="BE234" s="432"/>
      <c r="BF234" s="433"/>
      <c r="BG234" s="432"/>
      <c r="BH234" s="429"/>
    </row>
    <row r="235" spans="1:60" ht="13.8" thickBot="1" x14ac:dyDescent="0.3">
      <c r="A235" s="406">
        <v>42962</v>
      </c>
      <c r="B235" s="860">
        <f t="shared" si="83"/>
        <v>123.91469999999998</v>
      </c>
      <c r="C235" s="860">
        <f>Calculation!AK238</f>
        <v>0</v>
      </c>
      <c r="D235" s="860">
        <f>Calculation!AI238</f>
        <v>44.863000000000007</v>
      </c>
      <c r="E235" s="860">
        <f>Calculation!AE238</f>
        <v>73.838309999999993</v>
      </c>
      <c r="F235" s="860">
        <f>Calculation!AF238</f>
        <v>50.076389999999996</v>
      </c>
      <c r="G235" s="860">
        <f>Calculation!AG238</f>
        <v>0</v>
      </c>
      <c r="H235" s="861">
        <f>Sheet1!H236</f>
        <v>1.84</v>
      </c>
      <c r="I235" s="841">
        <f>Sheet1!DA236</f>
        <v>322</v>
      </c>
      <c r="J235" s="841">
        <f>Sheet1!DB236</f>
        <v>183</v>
      </c>
      <c r="K235" s="841">
        <f>Sheet1!CZ236</f>
        <v>300</v>
      </c>
      <c r="L235" s="865">
        <f>Calculation!F238</f>
        <v>250</v>
      </c>
      <c r="M235" s="865">
        <f>Calculation!E238</f>
        <v>400</v>
      </c>
      <c r="N235" s="865">
        <f>Calculation!D238</f>
        <v>200</v>
      </c>
      <c r="O235" s="888">
        <f>Sheet1!DC236</f>
        <v>1157.9100000000001</v>
      </c>
      <c r="P235" s="889">
        <f>Calculation!FD238</f>
        <v>1133.415873015799</v>
      </c>
      <c r="Q235" s="895">
        <f>Calculation!DP238</f>
        <v>39436.200000098332</v>
      </c>
      <c r="R235" s="888">
        <f t="shared" si="72"/>
        <v>38817.200000098332</v>
      </c>
      <c r="S235" s="890">
        <f t="shared" si="84"/>
        <v>-329.00000000216824</v>
      </c>
      <c r="T235" s="895">
        <f ca="1">IF(A235&gt;($A$1-1),#N/A,VLOOKUP(A235,Calculation!$B$8:$JO$503,40,FALSE))</f>
        <v>6478.934459479482</v>
      </c>
      <c r="U235" s="890">
        <f t="shared" si="85"/>
        <v>44.863000000000007</v>
      </c>
      <c r="V235" s="890">
        <f>Calculation!AZ238</f>
        <v>0</v>
      </c>
      <c r="W235" s="1165">
        <f t="shared" ref="W235:W236" ca="1" si="93">Q235-T235-AB235</f>
        <v>13817.26554061885</v>
      </c>
      <c r="X235" s="1165">
        <f t="shared" ref="X235:X236" ca="1" si="94">(W234-W235)*AFtoCFS</f>
        <v>121.53245362262614</v>
      </c>
      <c r="Y235" s="1164">
        <f t="shared" ca="1" si="69"/>
        <v>2500</v>
      </c>
      <c r="Z235" s="890">
        <f t="shared" ca="1" si="88"/>
        <v>11317.26554061885</v>
      </c>
      <c r="AA235" s="890">
        <f t="shared" si="90"/>
        <v>0</v>
      </c>
      <c r="AB235" s="1165">
        <f t="shared" ref="AB235:AB236" si="95">AC235+619</f>
        <v>19140</v>
      </c>
      <c r="AC235" s="1166">
        <v>18521</v>
      </c>
      <c r="AD235" s="860">
        <f ca="1">IF(A235&gt;$A$1,VLOOKUP(A235,Calculation!$B$8:$JO$880,165,FALSE),VLOOKUP(A235,Calculation!$B$8:$JO$880,165,FALSE))</f>
        <v>18551</v>
      </c>
      <c r="AE235" s="399">
        <f t="shared" ca="1" si="86"/>
        <v>-168</v>
      </c>
      <c r="AF235" s="399">
        <f t="shared" ca="1" si="62"/>
        <v>19170</v>
      </c>
      <c r="AG235" s="841">
        <f>Calculation!G238</f>
        <v>134.08976298428232</v>
      </c>
      <c r="AH235" s="847" t="str">
        <f t="shared" si="87"/>
        <v>Yes</v>
      </c>
      <c r="AI235" s="847" t="str">
        <f>IF(Calculation!K238&gt;0,"Yes","No")</f>
        <v>No</v>
      </c>
      <c r="AJ235" s="869">
        <v>38725.060000094869</v>
      </c>
      <c r="AK235" s="870">
        <v>38360.500000096225</v>
      </c>
      <c r="AL235" s="870">
        <v>36061.100000090424</v>
      </c>
      <c r="AN235" s="372">
        <v>40044.000000099768</v>
      </c>
      <c r="AO235" s="894">
        <v>36736.800000092968</v>
      </c>
      <c r="AP235" s="894">
        <v>39858.600000099534</v>
      </c>
      <c r="AQ235" s="894"/>
      <c r="AR235" s="894"/>
      <c r="AS235" s="894"/>
      <c r="AT235" s="894"/>
      <c r="AU235" s="427"/>
      <c r="AV235" s="410"/>
      <c r="AW235" s="442"/>
      <c r="AX235" s="441"/>
      <c r="AY235" s="441"/>
      <c r="AZ235" s="443"/>
      <c r="BB235" s="433"/>
      <c r="BC235" s="432"/>
      <c r="BD235" s="433"/>
      <c r="BE235" s="432"/>
      <c r="BF235" s="433"/>
      <c r="BG235" s="432"/>
      <c r="BH235" s="429"/>
    </row>
    <row r="236" spans="1:60" ht="13.8" thickBot="1" x14ac:dyDescent="0.3">
      <c r="A236" s="406">
        <v>42963</v>
      </c>
      <c r="B236" s="860">
        <f t="shared" si="83"/>
        <v>126.51365999999999</v>
      </c>
      <c r="C236" s="860">
        <f>Calculation!AK239</f>
        <v>0</v>
      </c>
      <c r="D236" s="860">
        <f>Calculation!AI239</f>
        <v>44.863</v>
      </c>
      <c r="E236" s="860">
        <f>Calculation!AE239</f>
        <v>73.807369999999992</v>
      </c>
      <c r="F236" s="860">
        <f>Calculation!AF239</f>
        <v>52.706289999999996</v>
      </c>
      <c r="G236" s="860">
        <f>Calculation!AG239</f>
        <v>0</v>
      </c>
      <c r="H236" s="861">
        <f>Sheet1!H237</f>
        <v>1.67</v>
      </c>
      <c r="I236" s="841">
        <f>Sheet1!DA237</f>
        <v>340</v>
      </c>
      <c r="J236" s="841">
        <f>Sheet1!DB237</f>
        <v>178</v>
      </c>
      <c r="K236" s="841">
        <f>Sheet1!CZ237</f>
        <v>300</v>
      </c>
      <c r="L236" s="865">
        <f>Calculation!F239</f>
        <v>250</v>
      </c>
      <c r="M236" s="865">
        <f>Calculation!E239</f>
        <v>400</v>
      </c>
      <c r="N236" s="865">
        <f>Calculation!D239</f>
        <v>200</v>
      </c>
      <c r="O236" s="888">
        <f>Sheet1!DC237</f>
        <v>1157.56</v>
      </c>
      <c r="P236" s="889">
        <f>Calculation!FD239</f>
        <v>1133.1507936507198</v>
      </c>
      <c r="Q236" s="895">
        <f>Calculation!DP239</f>
        <v>39080.600000096914</v>
      </c>
      <c r="R236" s="888">
        <f t="shared" si="72"/>
        <v>38461.600000096914</v>
      </c>
      <c r="S236" s="890">
        <f t="shared" si="84"/>
        <v>-355.60000000141736</v>
      </c>
      <c r="T236" s="895">
        <f ca="1">IF(A236&gt;($A$1-1),#N/A,VLOOKUP(A236,Calculation!$B$8:$JO$503,40,FALSE))</f>
        <v>6389.9624594794823</v>
      </c>
      <c r="U236" s="890">
        <f t="shared" si="85"/>
        <v>44.863</v>
      </c>
      <c r="V236" s="890">
        <f>Calculation!AZ239</f>
        <v>0</v>
      </c>
      <c r="W236" s="1165">
        <f t="shared" ca="1" si="93"/>
        <v>13688.637540617434</v>
      </c>
      <c r="X236" s="1165">
        <f t="shared" ca="1" si="94"/>
        <v>64.865355522650418</v>
      </c>
      <c r="Y236" s="1164">
        <f ca="1">IF(A236&lt;$A$1-1,2500,#N/A)</f>
        <v>2500</v>
      </c>
      <c r="Z236" s="890">
        <f t="shared" ca="1" si="88"/>
        <v>11188.637540617434</v>
      </c>
      <c r="AA236" s="890">
        <f t="shared" ca="1" si="90"/>
        <v>0</v>
      </c>
      <c r="AB236" s="1165">
        <f t="shared" ca="1" si="95"/>
        <v>19002</v>
      </c>
      <c r="AC236" s="1166">
        <f ca="1">IF(A236&lt;$A$1-1,AD236,#N/A)</f>
        <v>18383</v>
      </c>
      <c r="AD236" s="860">
        <f ca="1">IF(A236&gt;$A$1,VLOOKUP(A236,Calculation!$B$8:$JO$880,165,FALSE),VLOOKUP(A236,Calculation!$B$8:$JO$880,165,FALSE))</f>
        <v>18383</v>
      </c>
      <c r="AE236" s="399">
        <f t="shared" ca="1" si="86"/>
        <v>-168</v>
      </c>
      <c r="AF236" s="399">
        <f t="shared" ca="1" si="62"/>
        <v>19002</v>
      </c>
      <c r="AG236" s="841">
        <f>Calculation!G239</f>
        <v>120.67574382177645</v>
      </c>
      <c r="AH236" s="847" t="str">
        <f t="shared" si="87"/>
        <v>Yes</v>
      </c>
      <c r="AI236" s="847" t="str">
        <f>IF(Calculation!K239&gt;0,"Yes","No")</f>
        <v>No</v>
      </c>
      <c r="AJ236" s="869">
        <v>38576.430000093322</v>
      </c>
      <c r="AK236" s="870">
        <v>38150.000000095271</v>
      </c>
      <c r="AL236" s="870">
        <v>35778.200000091136</v>
      </c>
      <c r="AN236" s="372">
        <v>39734.000000100496</v>
      </c>
      <c r="AO236" s="894">
        <v>36558.600000092738</v>
      </c>
      <c r="AP236" s="894">
        <v>39385.60000009714</v>
      </c>
      <c r="AQ236" s="894"/>
      <c r="AR236" s="894"/>
      <c r="AS236" s="894"/>
      <c r="AT236" s="894"/>
      <c r="AU236" s="427"/>
      <c r="AV236" s="410"/>
      <c r="AW236" s="442"/>
      <c r="AX236" s="441"/>
      <c r="AY236" s="441"/>
      <c r="AZ236" s="443"/>
      <c r="BB236" s="433"/>
      <c r="BC236" s="432"/>
      <c r="BD236" s="433"/>
      <c r="BE236" s="432"/>
      <c r="BF236" s="433"/>
      <c r="BG236" s="432"/>
      <c r="BH236" s="429"/>
    </row>
    <row r="237" spans="1:60" ht="13.8" thickBot="1" x14ac:dyDescent="0.3">
      <c r="A237" s="406">
        <v>42964</v>
      </c>
      <c r="B237" s="860">
        <f t="shared" si="83"/>
        <v>130.42757</v>
      </c>
      <c r="C237" s="860">
        <f>Calculation!AK240</f>
        <v>0</v>
      </c>
      <c r="D237" s="860">
        <f>Calculation!AI240</f>
        <v>44.863</v>
      </c>
      <c r="E237" s="860">
        <f>Calculation!AE240</f>
        <v>73.822839999999999</v>
      </c>
      <c r="F237" s="860">
        <f>Calculation!AF240</f>
        <v>56.604730000000004</v>
      </c>
      <c r="G237" s="860">
        <f>Calculation!AG240</f>
        <v>0</v>
      </c>
      <c r="H237" s="861">
        <f>Sheet1!H238</f>
        <v>1.7</v>
      </c>
      <c r="I237" s="841">
        <f>Sheet1!DA238</f>
        <v>345</v>
      </c>
      <c r="J237" s="841">
        <f>Sheet1!DB238</f>
        <v>169</v>
      </c>
      <c r="K237" s="841">
        <f>Sheet1!CZ238</f>
        <v>311</v>
      </c>
      <c r="L237" s="865">
        <f>Calculation!F240</f>
        <v>250</v>
      </c>
      <c r="M237" s="865">
        <f>Calculation!E240</f>
        <v>400</v>
      </c>
      <c r="N237" s="865">
        <f>Calculation!D240</f>
        <v>200</v>
      </c>
      <c r="O237" s="888">
        <f>Sheet1!DC238</f>
        <v>1157.22</v>
      </c>
      <c r="P237" s="889">
        <f>Calculation!FD240</f>
        <v>1132.8822580644426</v>
      </c>
      <c r="Q237" s="895">
        <f>Calculation!DP240</f>
        <v>38734.400000097638</v>
      </c>
      <c r="R237" s="888">
        <f t="shared" si="72"/>
        <v>38115.400000097638</v>
      </c>
      <c r="S237" s="890">
        <f t="shared" si="84"/>
        <v>-346.19999999927677</v>
      </c>
      <c r="T237" s="895">
        <f ca="1">IF(A237&gt;($A$1-1),#N/A,VLOOKUP(A237,Calculation!$B$8:$JO$503,40,FALSE))</f>
        <v>6300.9904594794825</v>
      </c>
      <c r="U237" s="890">
        <f t="shared" si="85"/>
        <v>44.863</v>
      </c>
      <c r="V237" s="890">
        <f>Calculation!AZ240</f>
        <v>0</v>
      </c>
      <c r="W237" s="1165">
        <f t="shared" ref="W237" ca="1" si="96">Q237-T237-AB237</f>
        <v>13598.409540618155</v>
      </c>
      <c r="X237" s="1165">
        <f t="shared" ref="X237" ca="1" si="97">(W236-W237)*AFtoCFS</f>
        <v>45.500756429288366</v>
      </c>
      <c r="Y237" s="1164">
        <f t="shared" ref="Y237:Y248" ca="1" si="98">IF(A237&lt;$A$1-1,2500,#N/A)</f>
        <v>2500</v>
      </c>
      <c r="Z237" s="890">
        <f t="shared" ca="1" si="88"/>
        <v>11098.409540618155</v>
      </c>
      <c r="AA237" s="890">
        <f t="shared" ca="1" si="90"/>
        <v>0</v>
      </c>
      <c r="AB237" s="1165">
        <f t="shared" ref="AB237:AB292" ca="1" si="99">AC237+619</f>
        <v>18835</v>
      </c>
      <c r="AC237" s="1166">
        <f t="shared" ref="AC237:AC292" ca="1" si="100">IF(A237&lt;$A$1-1,AD237,#N/A)</f>
        <v>18216</v>
      </c>
      <c r="AD237" s="860">
        <f ca="1">IF(A237&gt;$A$1,VLOOKUP(A237,Calculation!$B$8:$JO$880,165,FALSE),VLOOKUP(A237,Calculation!$B$8:$JO$880,165,FALSE))</f>
        <v>18216</v>
      </c>
      <c r="AE237" s="399">
        <f t="shared" ca="1" si="86"/>
        <v>-167</v>
      </c>
      <c r="AF237" s="399">
        <f t="shared" ca="1" si="62"/>
        <v>18835</v>
      </c>
      <c r="AG237" s="841">
        <f>Calculation!G240</f>
        <v>136.41603630898803</v>
      </c>
      <c r="AH237" s="847" t="str">
        <f t="shared" si="87"/>
        <v>Yes</v>
      </c>
      <c r="AI237" s="847" t="str">
        <f>IF(Calculation!K240&gt;0,"Yes","No")</f>
        <v>No</v>
      </c>
      <c r="AJ237" s="869">
        <v>38428.080000093323</v>
      </c>
      <c r="AK237" s="870">
        <v>37919.10000009599</v>
      </c>
      <c r="AL237" s="870">
        <v>35476.800000089061</v>
      </c>
      <c r="AN237" s="868">
        <v>39375.500000097141</v>
      </c>
      <c r="AO237" s="894">
        <v>36373.000000091582</v>
      </c>
      <c r="AP237" s="894">
        <v>38918.000000097869</v>
      </c>
      <c r="AQ237" s="894"/>
      <c r="AR237" s="894"/>
      <c r="AS237" s="894"/>
      <c r="AT237" s="894"/>
      <c r="AU237" s="427"/>
      <c r="AV237" s="410"/>
      <c r="AW237" s="442"/>
      <c r="AX237" s="441"/>
      <c r="AY237" s="441"/>
      <c r="AZ237" s="443"/>
      <c r="BB237" s="433"/>
      <c r="BC237" s="432"/>
      <c r="BD237" s="433"/>
      <c r="BE237" s="432"/>
      <c r="BF237" s="433"/>
      <c r="BG237" s="432"/>
      <c r="BH237" s="429"/>
    </row>
    <row r="238" spans="1:60" ht="13.8" thickBot="1" x14ac:dyDescent="0.3">
      <c r="A238" s="406">
        <v>42965</v>
      </c>
      <c r="B238" s="860">
        <f t="shared" si="83"/>
        <v>134.31054</v>
      </c>
      <c r="C238" s="860">
        <f>Calculation!AK241</f>
        <v>0</v>
      </c>
      <c r="D238" s="860">
        <f>Calculation!AI241</f>
        <v>39.448499999999996</v>
      </c>
      <c r="E238" s="860">
        <f>Calculation!AE241</f>
        <v>73.807369999999992</v>
      </c>
      <c r="F238" s="860">
        <f>Calculation!AF241</f>
        <v>60.503169999999997</v>
      </c>
      <c r="G238" s="860">
        <f>Calculation!AG241</f>
        <v>0</v>
      </c>
      <c r="H238" s="861">
        <f>Sheet1!H239</f>
        <v>1.84</v>
      </c>
      <c r="I238" s="841">
        <f>Sheet1!DA239</f>
        <v>340</v>
      </c>
      <c r="J238" s="841">
        <f>Sheet1!DB239</f>
        <v>192</v>
      </c>
      <c r="K238" s="841">
        <f>Sheet1!CZ239</f>
        <v>316</v>
      </c>
      <c r="L238" s="865">
        <f>Calculation!F241</f>
        <v>250</v>
      </c>
      <c r="M238" s="865">
        <f>Calculation!E241</f>
        <v>400</v>
      </c>
      <c r="N238" s="865">
        <f>Calculation!D241</f>
        <v>200</v>
      </c>
      <c r="O238" s="888">
        <f>Sheet1!DC239</f>
        <v>1156.8499999999999</v>
      </c>
      <c r="P238" s="889">
        <f>Calculation!FD241</f>
        <v>1132.6112903225073</v>
      </c>
      <c r="Q238" s="895">
        <f>Calculation!DP241</f>
        <v>38360.500000096225</v>
      </c>
      <c r="R238" s="888">
        <f t="shared" si="72"/>
        <v>37741.500000096225</v>
      </c>
      <c r="S238" s="890">
        <f t="shared" si="84"/>
        <v>-373.90000000141299</v>
      </c>
      <c r="T238" s="895">
        <f ca="1">IF(A238&gt;($A$1-1),#N/A,VLOOKUP(A238,Calculation!$B$8:$JO$503,40,FALSE))</f>
        <v>6222.7564594794812</v>
      </c>
      <c r="U238" s="890">
        <f t="shared" si="85"/>
        <v>39.448499999999996</v>
      </c>
      <c r="V238" s="890">
        <f>Calculation!AZ241</f>
        <v>0</v>
      </c>
      <c r="W238" s="1165">
        <f t="shared" ref="W238:W292" ca="1" si="101">Q238-T238-AB238</f>
        <v>13470.743540616742</v>
      </c>
      <c r="X238" s="1165">
        <f t="shared" ref="X238:X292" ca="1" si="102">(W237-W238)*AFtoCFS</f>
        <v>64.380231972472316</v>
      </c>
      <c r="Y238" s="1164">
        <f t="shared" ca="1" si="98"/>
        <v>2500</v>
      </c>
      <c r="Z238" s="890">
        <f t="shared" ca="1" si="88"/>
        <v>10970.743540616742</v>
      </c>
      <c r="AA238" s="890">
        <f t="shared" ca="1" si="90"/>
        <v>0</v>
      </c>
      <c r="AB238" s="1165">
        <f t="shared" ca="1" si="99"/>
        <v>18667</v>
      </c>
      <c r="AC238" s="1166">
        <f t="shared" ca="1" si="100"/>
        <v>18048</v>
      </c>
      <c r="AD238" s="860">
        <f ca="1">IF(A238&gt;$A$1,VLOOKUP(A238,Calculation!$B$8:$JO$880,165,FALSE),VLOOKUP(A238,Calculation!$B$8:$JO$880,165,FALSE))</f>
        <v>18048</v>
      </c>
      <c r="AE238" s="399">
        <f t="shared" ca="1" si="86"/>
        <v>-168</v>
      </c>
      <c r="AF238" s="399">
        <f t="shared" ca="1" si="62"/>
        <v>18667</v>
      </c>
      <c r="AG238" s="841">
        <f>Calculation!G241</f>
        <v>127.44730206686185</v>
      </c>
      <c r="AH238" s="847" t="str">
        <f t="shared" si="87"/>
        <v>Yes</v>
      </c>
      <c r="AI238" s="847" t="str">
        <f>IF(Calculation!K241&gt;0,"Yes","No")</f>
        <v>No</v>
      </c>
      <c r="AJ238" s="869">
        <v>38289.620000093098</v>
      </c>
      <c r="AK238" s="870">
        <v>37648.40000009576</v>
      </c>
      <c r="AL238" s="870">
        <v>35169.60000008862</v>
      </c>
      <c r="AN238" s="868">
        <v>38867.000000097636</v>
      </c>
      <c r="AO238" s="894">
        <v>36178.000000091582</v>
      </c>
      <c r="AP238" s="894">
        <v>38441.000000095497</v>
      </c>
      <c r="AQ238" s="894"/>
      <c r="AR238" s="894"/>
      <c r="AS238" s="894"/>
      <c r="AT238" s="894"/>
      <c r="AU238" s="427"/>
      <c r="AV238" s="410"/>
      <c r="AW238" s="442"/>
      <c r="AX238" s="441"/>
      <c r="AY238" s="441"/>
      <c r="AZ238" s="443"/>
      <c r="BB238" s="433"/>
      <c r="BC238" s="432"/>
      <c r="BD238" s="433"/>
      <c r="BE238" s="432"/>
      <c r="BF238" s="433"/>
      <c r="BG238" s="432"/>
      <c r="BH238" s="429"/>
    </row>
    <row r="239" spans="1:60" ht="13.8" thickBot="1" x14ac:dyDescent="0.3">
      <c r="A239" s="406">
        <v>42966</v>
      </c>
      <c r="B239" s="860">
        <f t="shared" si="83"/>
        <v>128.18441999999999</v>
      </c>
      <c r="C239" s="860">
        <f>Calculation!AK242</f>
        <v>0</v>
      </c>
      <c r="D239" s="860">
        <f>Calculation!AI242</f>
        <v>39.448499999999996</v>
      </c>
      <c r="E239" s="860">
        <f>Calculation!AE242</f>
        <v>73.575320000000005</v>
      </c>
      <c r="F239" s="860">
        <f>Calculation!AF242</f>
        <v>54.609099999999991</v>
      </c>
      <c r="G239" s="860">
        <f>Calculation!AG242</f>
        <v>0</v>
      </c>
      <c r="H239" s="861">
        <f>Sheet1!H240</f>
        <v>1.84</v>
      </c>
      <c r="I239" s="841">
        <f>Sheet1!DA240</f>
        <v>349</v>
      </c>
      <c r="J239" s="841">
        <f>Sheet1!DB240</f>
        <v>190</v>
      </c>
      <c r="K239" s="841">
        <f>Sheet1!CZ240</f>
        <v>316</v>
      </c>
      <c r="L239" s="865">
        <f>Calculation!F242</f>
        <v>250</v>
      </c>
      <c r="M239" s="865">
        <f>Calculation!E242</f>
        <v>400</v>
      </c>
      <c r="N239" s="865">
        <f>Calculation!D242</f>
        <v>200</v>
      </c>
      <c r="O239" s="888">
        <f>Sheet1!DC240</f>
        <v>1156.46</v>
      </c>
      <c r="P239" s="889">
        <f>Calculation!FD242</f>
        <v>1132.3403225805721</v>
      </c>
      <c r="Q239" s="895">
        <f>Calculation!DP242</f>
        <v>37969.60000009599</v>
      </c>
      <c r="R239" s="888">
        <f t="shared" si="72"/>
        <v>37350.60000009599</v>
      </c>
      <c r="S239" s="890">
        <f t="shared" si="84"/>
        <v>-390.90000000023429</v>
      </c>
      <c r="T239" s="895">
        <f ca="1">IF(A239&gt;($A$1-1),#N/A,VLOOKUP(A239,Calculation!$B$8:$JO$503,40,FALSE))</f>
        <v>6144.5224594794818</v>
      </c>
      <c r="U239" s="890">
        <f t="shared" si="85"/>
        <v>39.448499999999996</v>
      </c>
      <c r="V239" s="890">
        <f>Calculation!AZ242</f>
        <v>0</v>
      </c>
      <c r="W239" s="1165">
        <f t="shared" ca="1" si="101"/>
        <v>13326.077540616508</v>
      </c>
      <c r="X239" s="1165">
        <f t="shared" ca="1" si="102"/>
        <v>72.953101361691324</v>
      </c>
      <c r="Y239" s="1164">
        <f t="shared" ca="1" si="98"/>
        <v>2500</v>
      </c>
      <c r="Z239" s="890">
        <f t="shared" ca="1" si="88"/>
        <v>10826.077540616508</v>
      </c>
      <c r="AA239" s="890">
        <f t="shared" ca="1" si="90"/>
        <v>0</v>
      </c>
      <c r="AB239" s="1165">
        <f t="shared" ca="1" si="99"/>
        <v>18499</v>
      </c>
      <c r="AC239" s="1166">
        <f t="shared" ca="1" si="100"/>
        <v>17880</v>
      </c>
      <c r="AD239" s="860">
        <f ca="1">IF(A239&gt;$A$1,VLOOKUP(A239,Calculation!$B$8:$JO$880,165,FALSE),VLOOKUP(A239,Calculation!$B$8:$JO$880,165,FALSE))</f>
        <v>17880</v>
      </c>
      <c r="AE239" s="399">
        <f t="shared" ca="1" si="86"/>
        <v>-168</v>
      </c>
      <c r="AF239" s="399">
        <f t="shared" ca="1" si="62"/>
        <v>18499</v>
      </c>
      <c r="AG239" s="841">
        <f>Calculation!G242</f>
        <v>118.87443267764286</v>
      </c>
      <c r="AH239" s="847" t="str">
        <f t="shared" si="87"/>
        <v>Yes</v>
      </c>
      <c r="AI239" s="847" t="str">
        <f>IF(Calculation!K242&gt;0,"Yes","No")</f>
        <v>No</v>
      </c>
      <c r="AJ239" s="869">
        <v>38131.380000093093</v>
      </c>
      <c r="AK239" s="870">
        <v>37319.900000093417</v>
      </c>
      <c r="AL239" s="870">
        <v>34851.800000088406</v>
      </c>
      <c r="AN239" s="868">
        <v>38724.20000009764</v>
      </c>
      <c r="AO239" s="894">
        <v>35973.200000091361</v>
      </c>
      <c r="AP239" s="894">
        <v>37949.400000095993</v>
      </c>
      <c r="AQ239" s="894"/>
      <c r="AR239" s="894"/>
      <c r="AS239" s="894"/>
      <c r="AT239" s="894"/>
      <c r="AU239" s="427"/>
      <c r="AV239" s="410"/>
      <c r="AW239" s="442"/>
      <c r="AX239" s="441"/>
      <c r="AY239" s="441"/>
      <c r="AZ239" s="443"/>
      <c r="BB239" s="433"/>
      <c r="BC239" s="432"/>
      <c r="BD239" s="433"/>
      <c r="BE239" s="432"/>
      <c r="BF239" s="433"/>
      <c r="BG239" s="432"/>
      <c r="BH239" s="429"/>
    </row>
    <row r="240" spans="1:60" ht="13.8" thickBot="1" x14ac:dyDescent="0.3">
      <c r="A240" s="406">
        <v>42967</v>
      </c>
      <c r="B240" s="860">
        <f t="shared" si="83"/>
        <v>125.78656999999998</v>
      </c>
      <c r="C240" s="860">
        <f>Calculation!AK243</f>
        <v>0</v>
      </c>
      <c r="D240" s="860">
        <f>Calculation!AI243</f>
        <v>39.448499999999996</v>
      </c>
      <c r="E240" s="860">
        <f>Calculation!AE243</f>
        <v>73.173099999999991</v>
      </c>
      <c r="F240" s="860">
        <f>Calculation!AF243</f>
        <v>52.613469999999992</v>
      </c>
      <c r="G240" s="860">
        <f>Calculation!AG243</f>
        <v>0</v>
      </c>
      <c r="H240" s="861">
        <f>Sheet1!H241</f>
        <v>1.79</v>
      </c>
      <c r="I240" s="841">
        <f>Sheet1!DA241</f>
        <v>349</v>
      </c>
      <c r="J240" s="841">
        <f>Sheet1!DB241</f>
        <v>194</v>
      </c>
      <c r="K240" s="841">
        <f>Sheet1!CZ241</f>
        <v>316</v>
      </c>
      <c r="L240" s="865">
        <f>Calculation!F243</f>
        <v>250</v>
      </c>
      <c r="M240" s="865">
        <f>Calculation!E243</f>
        <v>400</v>
      </c>
      <c r="N240" s="865">
        <f>Calculation!D243</f>
        <v>200</v>
      </c>
      <c r="O240" s="888">
        <f>Sheet1!DC241</f>
        <v>1156.06</v>
      </c>
      <c r="P240" s="889">
        <f>Calculation!FD243</f>
        <v>1132.067741935411</v>
      </c>
      <c r="Q240" s="895">
        <f>Calculation!DP243</f>
        <v>37568.000000094587</v>
      </c>
      <c r="R240" s="888">
        <f t="shared" si="72"/>
        <v>36949.000000094587</v>
      </c>
      <c r="S240" s="890">
        <f t="shared" si="84"/>
        <v>-401.6000000014028</v>
      </c>
      <c r="T240" s="895">
        <f ca="1">IF(A240&gt;($A$1-1),#N/A,VLOOKUP(A240,Calculation!$B$8:$JO$503,40,FALSE))</f>
        <v>6066.2884594794814</v>
      </c>
      <c r="U240" s="890">
        <f t="shared" si="85"/>
        <v>39.448499999999996</v>
      </c>
      <c r="V240" s="890">
        <f>Calculation!AZ243</f>
        <v>0</v>
      </c>
      <c r="W240" s="1165">
        <f t="shared" ca="1" si="101"/>
        <v>13170.711540615106</v>
      </c>
      <c r="X240" s="1165">
        <f t="shared" ca="1" si="102"/>
        <v>78.348966213516093</v>
      </c>
      <c r="Y240" s="1164">
        <f t="shared" ca="1" si="98"/>
        <v>2500</v>
      </c>
      <c r="Z240" s="890">
        <f t="shared" ca="1" si="88"/>
        <v>10670.711540615106</v>
      </c>
      <c r="AA240" s="890">
        <f t="shared" ca="1" si="90"/>
        <v>0</v>
      </c>
      <c r="AB240" s="1165">
        <f t="shared" ca="1" si="99"/>
        <v>18331</v>
      </c>
      <c r="AC240" s="1166">
        <f t="shared" ca="1" si="100"/>
        <v>17712</v>
      </c>
      <c r="AD240" s="860">
        <f ca="1">IF(A240&gt;$A$1,VLOOKUP(A240,Calculation!$B$8:$JO$880,165,FALSE),VLOOKUP(A240,Calculation!$B$8:$JO$880,165,FALSE))</f>
        <v>17712</v>
      </c>
      <c r="AE240" s="399">
        <f t="shared" ca="1" si="86"/>
        <v>-168</v>
      </c>
      <c r="AF240" s="399">
        <f t="shared" ca="1" si="62"/>
        <v>18331</v>
      </c>
      <c r="AG240" s="841">
        <f>Calculation!G243</f>
        <v>113.47856782581809</v>
      </c>
      <c r="AH240" s="847" t="str">
        <f t="shared" si="87"/>
        <v>Yes</v>
      </c>
      <c r="AI240" s="847" t="str">
        <f>IF(Calculation!K243&gt;0,"Yes","No")</f>
        <v>No</v>
      </c>
      <c r="AJ240" s="869">
        <v>37963.25000009287</v>
      </c>
      <c r="AK240" s="870">
        <v>37004.100000093189</v>
      </c>
      <c r="AL240" s="870">
        <v>34526.000000087268</v>
      </c>
      <c r="AN240" s="972">
        <v>38330.200000096222</v>
      </c>
      <c r="AO240" s="894">
        <v>35729.300000090203</v>
      </c>
      <c r="AP240" s="894">
        <v>37418.900000093643</v>
      </c>
      <c r="AQ240" s="894"/>
      <c r="AR240" s="894"/>
      <c r="AS240" s="894"/>
      <c r="AT240" s="894"/>
      <c r="AU240" s="427"/>
      <c r="AV240" s="410"/>
      <c r="AW240" s="442"/>
      <c r="AX240" s="441"/>
      <c r="AY240" s="441"/>
      <c r="AZ240" s="443"/>
      <c r="BB240" s="433"/>
      <c r="BC240" s="432"/>
      <c r="BD240" s="433"/>
      <c r="BE240" s="432"/>
      <c r="BF240" s="433"/>
      <c r="BG240" s="432"/>
      <c r="BH240" s="429"/>
    </row>
    <row r="241" spans="1:60" ht="13.8" thickBot="1" x14ac:dyDescent="0.3">
      <c r="A241" s="406">
        <v>42968</v>
      </c>
      <c r="B241" s="860">
        <f t="shared" si="83"/>
        <v>128.27724000000001</v>
      </c>
      <c r="C241" s="860">
        <f>Calculation!AK244</f>
        <v>0</v>
      </c>
      <c r="D241" s="860">
        <f>Calculation!AI244</f>
        <v>39.448499999999996</v>
      </c>
      <c r="E241" s="860">
        <f>Calculation!AE244</f>
        <v>77.30359</v>
      </c>
      <c r="F241" s="860">
        <f>Calculation!AF244</f>
        <v>50.973649999999999</v>
      </c>
      <c r="G241" s="860">
        <f>Calculation!AG244</f>
        <v>0</v>
      </c>
      <c r="H241" s="861">
        <f>Sheet1!H242</f>
        <v>2.11</v>
      </c>
      <c r="I241" s="841">
        <f>Sheet1!DA242</f>
        <v>349</v>
      </c>
      <c r="J241" s="841">
        <f>Sheet1!DB242</f>
        <v>187</v>
      </c>
      <c r="K241" s="841">
        <f>Sheet1!CZ242</f>
        <v>314</v>
      </c>
      <c r="L241" s="865">
        <f>Calculation!F244</f>
        <v>250</v>
      </c>
      <c r="M241" s="865">
        <f>Calculation!E244</f>
        <v>400</v>
      </c>
      <c r="N241" s="865">
        <f>Calculation!D244</f>
        <v>200</v>
      </c>
      <c r="O241" s="888">
        <f>Sheet1!DC242</f>
        <v>1155.67</v>
      </c>
      <c r="P241" s="889">
        <f>Calculation!FD244</f>
        <v>1131.7916666665942</v>
      </c>
      <c r="Q241" s="895">
        <f>Calculation!DP244</f>
        <v>37181.300000093419</v>
      </c>
      <c r="R241" s="888">
        <f t="shared" si="72"/>
        <v>36562.300000093419</v>
      </c>
      <c r="S241" s="890">
        <f t="shared" si="84"/>
        <v>-386.70000000116852</v>
      </c>
      <c r="T241" s="895">
        <f ca="1">IF(A241&gt;($A$1-1),#N/A,VLOOKUP(A241,Calculation!$B$8:$JO$503,40,FALSE))</f>
        <v>5988.0544594794819</v>
      </c>
      <c r="U241" s="890">
        <f t="shared" si="85"/>
        <v>39.448499999999996</v>
      </c>
      <c r="V241" s="890">
        <f>Calculation!AZ244</f>
        <v>0</v>
      </c>
      <c r="W241" s="1165">
        <f t="shared" ca="1" si="101"/>
        <v>13029.245540613938</v>
      </c>
      <c r="X241" s="1165">
        <f t="shared" ca="1" si="102"/>
        <v>71.339384771138739</v>
      </c>
      <c r="Y241" s="1164">
        <f t="shared" ca="1" si="98"/>
        <v>2500</v>
      </c>
      <c r="Z241" s="890">
        <f t="shared" ca="1" si="88"/>
        <v>10529.245540613938</v>
      </c>
      <c r="AA241" s="890">
        <f t="shared" ca="1" si="90"/>
        <v>0</v>
      </c>
      <c r="AB241" s="1165">
        <f t="shared" ca="1" si="99"/>
        <v>18164</v>
      </c>
      <c r="AC241" s="1166">
        <f t="shared" ca="1" si="100"/>
        <v>17545</v>
      </c>
      <c r="AD241" s="860">
        <f ca="1">IF(A241&gt;$A$1,VLOOKUP(A241,Calculation!$B$8:$JO$880,165,FALSE),VLOOKUP(A241,Calculation!$B$8:$JO$880,165,FALSE))</f>
        <v>17545</v>
      </c>
      <c r="AE241" s="399">
        <f t="shared" ca="1" si="86"/>
        <v>-167</v>
      </c>
      <c r="AF241" s="399">
        <f t="shared" ca="1" si="62"/>
        <v>18164</v>
      </c>
      <c r="AG241" s="841">
        <f>Calculation!G244</f>
        <v>118.99243570289033</v>
      </c>
      <c r="AH241" s="847" t="str">
        <f t="shared" si="87"/>
        <v>Yes</v>
      </c>
      <c r="AI241" s="847" t="str">
        <f>IF(Calculation!K244&gt;0,"Yes","No")</f>
        <v>No</v>
      </c>
      <c r="AJ241" s="869">
        <v>37785.230000092648</v>
      </c>
      <c r="AK241" s="870">
        <v>36717.000000092965</v>
      </c>
      <c r="AL241" s="870">
        <v>34214.400000085923</v>
      </c>
      <c r="AN241" s="985">
        <v>38020.000000095039</v>
      </c>
      <c r="AO241" s="894">
        <v>35515.200000089055</v>
      </c>
      <c r="AP241" s="894">
        <v>36865.500000092965</v>
      </c>
      <c r="AQ241" s="894"/>
      <c r="AR241" s="894"/>
      <c r="AS241" s="894"/>
      <c r="AT241" s="894"/>
      <c r="AU241" s="427"/>
      <c r="AV241" s="410"/>
      <c r="AW241" s="442"/>
      <c r="AX241" s="441"/>
      <c r="AY241" s="441"/>
      <c r="AZ241" s="443"/>
      <c r="BB241" s="433"/>
      <c r="BC241" s="432"/>
      <c r="BD241" s="433"/>
      <c r="BE241" s="432"/>
      <c r="BF241" s="433"/>
      <c r="BG241" s="432"/>
      <c r="BH241" s="429"/>
    </row>
    <row r="242" spans="1:60" ht="13.8" thickBot="1" x14ac:dyDescent="0.3">
      <c r="A242" s="406">
        <v>42969</v>
      </c>
      <c r="B242" s="860">
        <f t="shared" si="83"/>
        <v>139.84879999999998</v>
      </c>
      <c r="C242" s="860">
        <f>Calculation!AK245</f>
        <v>0</v>
      </c>
      <c r="D242" s="860">
        <f>Calculation!AI245</f>
        <v>39.44850000000001</v>
      </c>
      <c r="E242" s="860">
        <f>Calculation!AE245</f>
        <v>85.131410000000002</v>
      </c>
      <c r="F242" s="860">
        <f>Calculation!AF245</f>
        <v>54.717389999999995</v>
      </c>
      <c r="G242" s="860">
        <f>Calculation!AG245</f>
        <v>0</v>
      </c>
      <c r="H242" s="861">
        <f>Sheet1!H243</f>
        <v>1.81</v>
      </c>
      <c r="I242" s="841">
        <f>Sheet1!DA243</f>
        <v>335</v>
      </c>
      <c r="J242" s="841">
        <f>Sheet1!DB243</f>
        <v>175</v>
      </c>
      <c r="K242" s="841">
        <f>Sheet1!CZ243</f>
        <v>313</v>
      </c>
      <c r="L242" s="865">
        <f>Calculation!F245</f>
        <v>250</v>
      </c>
      <c r="M242" s="865">
        <f>Calculation!E245</f>
        <v>400</v>
      </c>
      <c r="N242" s="865">
        <f>Calculation!D245</f>
        <v>200</v>
      </c>
      <c r="O242" s="888">
        <f>Sheet1!DC243</f>
        <v>1155.27</v>
      </c>
      <c r="P242" s="889">
        <f>Calculation!FD245</f>
        <v>1131.513333333261</v>
      </c>
      <c r="Q242" s="895">
        <f>Calculation!DP245</f>
        <v>36786.300000092968</v>
      </c>
      <c r="R242" s="888">
        <f t="shared" si="72"/>
        <v>36167.300000092968</v>
      </c>
      <c r="S242" s="890">
        <f t="shared" si="84"/>
        <v>-395.00000000045111</v>
      </c>
      <c r="T242" s="895">
        <f ca="1">IF(A242&gt;($A$1-1),#N/A,VLOOKUP(A242,Calculation!$B$8:$JO$503,40,FALSE))</f>
        <v>5909.8204594794815</v>
      </c>
      <c r="U242" s="890">
        <f t="shared" si="85"/>
        <v>39.44850000000001</v>
      </c>
      <c r="V242" s="890">
        <f>Calculation!AZ245</f>
        <v>0</v>
      </c>
      <c r="W242" s="1165">
        <f t="shared" ca="1" si="101"/>
        <v>12880.479540613487</v>
      </c>
      <c r="X242" s="1165">
        <f t="shared" ca="1" si="102"/>
        <v>75.020675744049782</v>
      </c>
      <c r="Y242" s="1164">
        <f t="shared" ca="1" si="98"/>
        <v>2500</v>
      </c>
      <c r="Z242" s="890">
        <f t="shared" ca="1" si="88"/>
        <v>10380.479540613487</v>
      </c>
      <c r="AA242" s="890">
        <f t="shared" ca="1" si="90"/>
        <v>0</v>
      </c>
      <c r="AB242" s="1165">
        <f t="shared" ca="1" si="99"/>
        <v>17996</v>
      </c>
      <c r="AC242" s="1166">
        <f t="shared" ca="1" si="100"/>
        <v>17377</v>
      </c>
      <c r="AD242" s="860">
        <f ca="1">IF(A242&gt;$A$1,VLOOKUP(A242,Calculation!$B$8:$JO$880,165,FALSE),VLOOKUP(A242,Calculation!$B$8:$JO$880,165,FALSE))</f>
        <v>17377</v>
      </c>
      <c r="AE242" s="399">
        <f t="shared" ca="1" si="86"/>
        <v>-168</v>
      </c>
      <c r="AF242" s="399">
        <f t="shared" ca="1" si="62"/>
        <v>17996</v>
      </c>
      <c r="AG242" s="841">
        <f>Calculation!G245</f>
        <v>113.8068582952844</v>
      </c>
      <c r="AH242" s="847" t="str">
        <f t="shared" si="87"/>
        <v>Yes</v>
      </c>
      <c r="AI242" s="847" t="str">
        <f>IF(Calculation!K245&gt;0,"Yes","No")</f>
        <v>No</v>
      </c>
      <c r="AJ242" s="869">
        <v>37618.500000091335</v>
      </c>
      <c r="AK242" s="870">
        <v>36441.400000090871</v>
      </c>
      <c r="AL242" s="870">
        <v>33873.50000008662</v>
      </c>
      <c r="AN242" s="985">
        <v>37608.000000095533</v>
      </c>
      <c r="AO242" s="894">
        <v>35284.800000088842</v>
      </c>
      <c r="AP242" s="894">
        <v>36324.000000091582</v>
      </c>
      <c r="AQ242" s="894"/>
      <c r="AR242" s="894"/>
      <c r="AS242" s="894"/>
      <c r="AT242" s="894"/>
      <c r="AU242" s="427"/>
      <c r="AV242" s="410"/>
      <c r="AW242" s="442"/>
      <c r="AX242" s="441"/>
      <c r="AY242" s="441"/>
      <c r="AZ242" s="443"/>
      <c r="BB242" s="433"/>
      <c r="BC242" s="432"/>
      <c r="BD242" s="433"/>
      <c r="BE242" s="432"/>
      <c r="BF242" s="433"/>
      <c r="BG242" s="432"/>
      <c r="BH242" s="429"/>
    </row>
    <row r="243" spans="1:60" ht="13.8" thickBot="1" x14ac:dyDescent="0.3">
      <c r="A243" s="406">
        <v>42970</v>
      </c>
      <c r="B243" s="860">
        <f t="shared" si="83"/>
        <v>143.66988999999998</v>
      </c>
      <c r="C243" s="860">
        <f>Calculation!AK246</f>
        <v>0</v>
      </c>
      <c r="D243" s="860">
        <f>Calculation!AI246</f>
        <v>39.448500000000003</v>
      </c>
      <c r="E243" s="860">
        <f>Calculation!AE246</f>
        <v>90.576849999999993</v>
      </c>
      <c r="F243" s="860">
        <f>Calculation!AF246</f>
        <v>53.093039999999995</v>
      </c>
      <c r="G243" s="860">
        <f>Calculation!AG246</f>
        <v>0</v>
      </c>
      <c r="H243" s="861">
        <f>Sheet1!H244</f>
        <v>1.79</v>
      </c>
      <c r="I243" s="841">
        <f>Sheet1!DA244</f>
        <v>331</v>
      </c>
      <c r="J243" s="841">
        <f>Sheet1!DB244</f>
        <v>178</v>
      </c>
      <c r="K243" s="841">
        <f>Sheet1!CZ244</f>
        <v>319</v>
      </c>
      <c r="L243" s="865">
        <f>Calculation!F246</f>
        <v>250</v>
      </c>
      <c r="M243" s="865">
        <f>Calculation!E246</f>
        <v>400</v>
      </c>
      <c r="N243" s="865">
        <f>Calculation!D246</f>
        <v>200</v>
      </c>
      <c r="O243" s="888">
        <f>Sheet1!DC244</f>
        <v>1154.8499999999999</v>
      </c>
      <c r="P243" s="889">
        <f>Calculation!FD246</f>
        <v>1131.2366666665946</v>
      </c>
      <c r="Q243" s="895">
        <f>Calculation!DP246</f>
        <v>36373.000000091582</v>
      </c>
      <c r="R243" s="888">
        <f t="shared" si="72"/>
        <v>35754.000000091582</v>
      </c>
      <c r="S243" s="890">
        <f t="shared" si="84"/>
        <v>-413.30000000138534</v>
      </c>
      <c r="T243" s="895">
        <f ca="1">IF(A243&gt;($A$1-1),#N/A,VLOOKUP(A243,Calculation!$B$8:$JO$503,40,FALSE))</f>
        <v>5831.5864594794812</v>
      </c>
      <c r="U243" s="890">
        <f t="shared" si="85"/>
        <v>39.448500000000003</v>
      </c>
      <c r="V243" s="890">
        <f>Calculation!AZ246</f>
        <v>0</v>
      </c>
      <c r="W243" s="1165">
        <f t="shared" ca="1" si="101"/>
        <v>12713.413540612102</v>
      </c>
      <c r="X243" s="1165">
        <f t="shared" ca="1" si="102"/>
        <v>84.249117499437688</v>
      </c>
      <c r="Y243" s="1164">
        <f t="shared" ca="1" si="98"/>
        <v>2500</v>
      </c>
      <c r="Z243" s="890">
        <f t="shared" ca="1" si="88"/>
        <v>10213.413540612102</v>
      </c>
      <c r="AA243" s="890">
        <f t="shared" ca="1" si="90"/>
        <v>0</v>
      </c>
      <c r="AB243" s="1165">
        <f t="shared" ca="1" si="99"/>
        <v>17828</v>
      </c>
      <c r="AC243" s="1166">
        <f t="shared" ca="1" si="100"/>
        <v>17209</v>
      </c>
      <c r="AD243" s="860">
        <f ca="1">IF(A243&gt;$A$1,VLOOKUP(A243,Calculation!$B$8:$JO$880,165,FALSE),VLOOKUP(A243,Calculation!$B$8:$JO$880,165,FALSE))</f>
        <v>17209</v>
      </c>
      <c r="AE243" s="399">
        <f t="shared" ca="1" si="86"/>
        <v>-168</v>
      </c>
      <c r="AF243" s="399">
        <f t="shared" ca="1" si="62"/>
        <v>17828</v>
      </c>
      <c r="AG243" s="841">
        <f>Calculation!G246</f>
        <v>110.57841653989647</v>
      </c>
      <c r="AH243" s="847" t="str">
        <f t="shared" si="87"/>
        <v>Yes</v>
      </c>
      <c r="AI243" s="847" t="str">
        <f>IF(Calculation!K246&gt;0,"Yes","No")</f>
        <v>No</v>
      </c>
      <c r="AJ243" s="869">
        <v>37530.750000091117</v>
      </c>
      <c r="AK243" s="870">
        <v>36178.000000091582</v>
      </c>
      <c r="AL243" s="870">
        <v>33515.800000085277</v>
      </c>
      <c r="AN243" s="985">
        <v>37310.000000093416</v>
      </c>
      <c r="AO243" s="894">
        <v>35005.800000089541</v>
      </c>
      <c r="AP243" s="894">
        <v>35788.000000091139</v>
      </c>
      <c r="AQ243" s="894"/>
      <c r="AR243" s="894"/>
      <c r="AS243" s="894"/>
      <c r="AT243" s="894"/>
      <c r="AU243" s="427"/>
      <c r="AV243" s="410"/>
      <c r="AW243" s="442"/>
      <c r="AX243" s="441"/>
      <c r="AY243" s="441"/>
      <c r="AZ243" s="443"/>
      <c r="BB243" s="433"/>
      <c r="BC243" s="432"/>
      <c r="BD243" s="433"/>
      <c r="BE243" s="432"/>
      <c r="BF243" s="433"/>
      <c r="BG243" s="432"/>
      <c r="BH243" s="429"/>
    </row>
    <row r="244" spans="1:60" ht="13.8" thickBot="1" x14ac:dyDescent="0.3">
      <c r="A244" s="406">
        <v>42971</v>
      </c>
      <c r="B244" s="860">
        <f t="shared" si="83"/>
        <v>143.63894999999999</v>
      </c>
      <c r="C244" s="860">
        <f>Calculation!AK247</f>
        <v>0</v>
      </c>
      <c r="D244" s="860">
        <f>Calculation!AI247</f>
        <v>39.448499999999996</v>
      </c>
      <c r="E244" s="860">
        <f>Calculation!AE247</f>
        <v>98.775949999999995</v>
      </c>
      <c r="F244" s="860">
        <f>Calculation!AF247</f>
        <v>44.863</v>
      </c>
      <c r="G244" s="860">
        <f>Calculation!AG247</f>
        <v>0</v>
      </c>
      <c r="H244" s="861">
        <f>Sheet1!H245</f>
        <v>1.77</v>
      </c>
      <c r="I244" s="841">
        <f>Sheet1!DA245</f>
        <v>340</v>
      </c>
      <c r="J244" s="841">
        <f>Sheet1!DB245</f>
        <v>180</v>
      </c>
      <c r="K244" s="841">
        <f>Sheet1!CZ245</f>
        <v>324</v>
      </c>
      <c r="L244" s="865">
        <f>Calculation!F247</f>
        <v>250</v>
      </c>
      <c r="M244" s="865">
        <f>Calculation!E247</f>
        <v>400</v>
      </c>
      <c r="N244" s="865">
        <f>Calculation!D247</f>
        <v>200</v>
      </c>
      <c r="O244" s="888">
        <f>Sheet1!DC245</f>
        <v>1154.42</v>
      </c>
      <c r="P244" s="889">
        <f>Calculation!FD247</f>
        <v>1130.9559322033181</v>
      </c>
      <c r="Q244" s="895">
        <f>Calculation!DP247</f>
        <v>35953.600000091355</v>
      </c>
      <c r="R244" s="888">
        <f t="shared" si="72"/>
        <v>35334.600000091355</v>
      </c>
      <c r="S244" s="890">
        <f t="shared" si="84"/>
        <v>-419.40000000022701</v>
      </c>
      <c r="T244" s="895">
        <f ca="1">IF(A244&gt;($A$1-1),#N/A,VLOOKUP(A244,Calculation!$B$8:$JO$503,40,FALSE))</f>
        <v>5753.3524594794817</v>
      </c>
      <c r="U244" s="890">
        <f t="shared" si="85"/>
        <v>39.448499999999996</v>
      </c>
      <c r="V244" s="890">
        <f>Calculation!AZ247</f>
        <v>0</v>
      </c>
      <c r="W244" s="1165">
        <f t="shared" ca="1" si="101"/>
        <v>12540.247540611876</v>
      </c>
      <c r="X244" s="1165">
        <f t="shared" ca="1" si="102"/>
        <v>87.325264750492494</v>
      </c>
      <c r="Y244" s="1164">
        <f t="shared" ca="1" si="98"/>
        <v>2500</v>
      </c>
      <c r="Z244" s="890">
        <f t="shared" ca="1" si="88"/>
        <v>10040.247540611876</v>
      </c>
      <c r="AA244" s="890">
        <f t="shared" ca="1" si="90"/>
        <v>0</v>
      </c>
      <c r="AB244" s="1165">
        <f t="shared" ca="1" si="99"/>
        <v>17660</v>
      </c>
      <c r="AC244" s="1166">
        <f t="shared" ca="1" si="100"/>
        <v>17041</v>
      </c>
      <c r="AD244" s="860">
        <f ca="1">IF(A244&gt;$A$1,VLOOKUP(A244,Calculation!$B$8:$JO$880,165,FALSE),VLOOKUP(A244,Calculation!$B$8:$JO$880,165,FALSE))</f>
        <v>17041</v>
      </c>
      <c r="AE244" s="399">
        <f t="shared" ca="1" si="86"/>
        <v>-168</v>
      </c>
      <c r="AF244" s="399">
        <f t="shared" ca="1" si="62"/>
        <v>17660</v>
      </c>
      <c r="AG244" s="841">
        <f>Calculation!G247</f>
        <v>112.50226928884169</v>
      </c>
      <c r="AH244" s="847" t="str">
        <f t="shared" si="87"/>
        <v>Yes</v>
      </c>
      <c r="AI244" s="847" t="str">
        <f>IF(Calculation!K247&gt;0,"Yes","No")</f>
        <v>No</v>
      </c>
      <c r="AJ244" s="869">
        <v>37384.500000091117</v>
      </c>
      <c r="AK244" s="870">
        <v>35904.900000090209</v>
      </c>
      <c r="AL244" s="870">
        <v>33152.200000085068</v>
      </c>
      <c r="AN244" s="985">
        <v>36865.500000092965</v>
      </c>
      <c r="AO244" s="894">
        <v>34765.400000088404</v>
      </c>
      <c r="AP244" s="894">
        <v>35284.800000088842</v>
      </c>
      <c r="AQ244" s="894"/>
      <c r="AR244" s="894"/>
      <c r="AS244" s="894"/>
      <c r="AT244" s="894"/>
      <c r="AU244" s="427"/>
      <c r="AV244" s="410"/>
      <c r="AW244" s="442"/>
      <c r="AX244" s="441"/>
      <c r="AY244" s="441"/>
      <c r="AZ244" s="443"/>
      <c r="BB244" s="433"/>
      <c r="BC244" s="432"/>
      <c r="BD244" s="433"/>
      <c r="BE244" s="432"/>
      <c r="BF244" s="433"/>
      <c r="BG244" s="432"/>
      <c r="BH244" s="429"/>
    </row>
    <row r="245" spans="1:60" ht="13.8" thickBot="1" x14ac:dyDescent="0.3">
      <c r="A245" s="406">
        <v>42972</v>
      </c>
      <c r="B245" s="860">
        <f t="shared" si="83"/>
        <v>144.93842999999998</v>
      </c>
      <c r="C245" s="860">
        <f>Calculation!AK248</f>
        <v>0</v>
      </c>
      <c r="D245" s="860">
        <f>Calculation!AI248</f>
        <v>51.478120305661683</v>
      </c>
      <c r="E245" s="860">
        <f>Calculation!AE248</f>
        <v>100.70969999999998</v>
      </c>
      <c r="F245" s="860">
        <f>Calculation!AF248</f>
        <v>44.228729999999999</v>
      </c>
      <c r="G245" s="860">
        <f>Calculation!AG248</f>
        <v>0</v>
      </c>
      <c r="H245" s="861">
        <f>Sheet1!H246</f>
        <v>1.93</v>
      </c>
      <c r="I245" s="841">
        <f>Sheet1!DA246</f>
        <v>340</v>
      </c>
      <c r="J245" s="841">
        <f>Sheet1!DB246</f>
        <v>183</v>
      </c>
      <c r="K245" s="841">
        <f>Sheet1!CZ246</f>
        <v>325</v>
      </c>
      <c r="L245" s="865">
        <f>Calculation!F248</f>
        <v>250</v>
      </c>
      <c r="M245" s="865">
        <f>Calculation!E248</f>
        <v>400</v>
      </c>
      <c r="N245" s="865">
        <f>Calculation!D248</f>
        <v>200</v>
      </c>
      <c r="O245" s="888">
        <f>Sheet1!DC246</f>
        <v>1153.97</v>
      </c>
      <c r="P245" s="889">
        <f>Calculation!FD248</f>
        <v>1130.6711864406063</v>
      </c>
      <c r="Q245" s="895">
        <f>Calculation!DP248</f>
        <v>35515.200000089055</v>
      </c>
      <c r="R245" s="888">
        <f t="shared" si="72"/>
        <v>34896.200000089055</v>
      </c>
      <c r="S245" s="890">
        <f t="shared" si="84"/>
        <v>-438.40000000230066</v>
      </c>
      <c r="T245" s="895">
        <f ca="1">IF(A245&gt;($A$1-1),#N/A,VLOOKUP(A245,Calculation!$B$8:$JO$503,40,FALSE))</f>
        <v>5651.2613973606904</v>
      </c>
      <c r="U245" s="890">
        <f t="shared" si="85"/>
        <v>51.478120305661683</v>
      </c>
      <c r="V245" s="890">
        <f>Calculation!AZ248</f>
        <v>0</v>
      </c>
      <c r="W245" s="1165">
        <f t="shared" ca="1" si="101"/>
        <v>12370.938602728365</v>
      </c>
      <c r="X245" s="1165">
        <f t="shared" ca="1" si="102"/>
        <v>85.380200647256785</v>
      </c>
      <c r="Y245" s="1164">
        <f t="shared" ca="1" si="98"/>
        <v>2500</v>
      </c>
      <c r="Z245" s="890">
        <f t="shared" ca="1" si="88"/>
        <v>9870.9386027283654</v>
      </c>
      <c r="AA245" s="890">
        <f t="shared" ca="1" si="90"/>
        <v>0</v>
      </c>
      <c r="AB245" s="1165">
        <f t="shared" ca="1" si="99"/>
        <v>17493</v>
      </c>
      <c r="AC245" s="1166">
        <f t="shared" ca="1" si="100"/>
        <v>16874</v>
      </c>
      <c r="AD245" s="860">
        <f ca="1">IF(A245&gt;$A$1,VLOOKUP(A245,Calculation!$B$8:$JO$880,165,FALSE),VLOOKUP(A245,Calculation!$B$8:$JO$880,165,FALSE))</f>
        <v>16874</v>
      </c>
      <c r="AE245" s="399">
        <f t="shared" ca="1" si="86"/>
        <v>-167</v>
      </c>
      <c r="AF245" s="399">
        <f t="shared" ca="1" si="62"/>
        <v>17493</v>
      </c>
      <c r="AG245" s="841">
        <f>Calculation!G248</f>
        <v>103.92082702859273</v>
      </c>
      <c r="AH245" s="847" t="str">
        <f t="shared" si="87"/>
        <v>Yes</v>
      </c>
      <c r="AI245" s="847" t="str">
        <f>IF(Calculation!K248&gt;0,"Yes","No")</f>
        <v>No</v>
      </c>
      <c r="AJ245" s="869">
        <v>37228.500000090891</v>
      </c>
      <c r="AK245" s="870">
        <v>35612.600000090912</v>
      </c>
      <c r="AL245" s="870">
        <v>32787.700000083736</v>
      </c>
      <c r="AN245" s="985">
        <v>36499.600000090868</v>
      </c>
      <c r="AO245" s="894">
        <v>34516.500000087268</v>
      </c>
      <c r="AP245" s="894">
        <v>34784.600000088401</v>
      </c>
      <c r="AQ245" s="894"/>
      <c r="AR245" s="894"/>
      <c r="AS245" s="894"/>
      <c r="AT245" s="894"/>
      <c r="AU245" s="427"/>
      <c r="AV245" s="410"/>
      <c r="AW245" s="442"/>
      <c r="AX245" s="441"/>
      <c r="AY245" s="441"/>
      <c r="AZ245" s="443"/>
      <c r="BB245" s="433"/>
      <c r="BC245" s="432"/>
      <c r="BD245" s="433"/>
      <c r="BE245" s="432"/>
      <c r="BF245" s="433"/>
      <c r="BG245" s="432"/>
      <c r="BH245" s="429"/>
    </row>
    <row r="246" spans="1:60" ht="13.8" thickBot="1" x14ac:dyDescent="0.3">
      <c r="A246" s="406">
        <v>42973</v>
      </c>
      <c r="B246" s="860">
        <f t="shared" si="83"/>
        <v>145.69646</v>
      </c>
      <c r="C246" s="860">
        <f>Calculation!AK249</f>
        <v>0</v>
      </c>
      <c r="D246" s="860">
        <f>Calculation!AI249</f>
        <v>51.125044444444441</v>
      </c>
      <c r="E246" s="860">
        <f>Calculation!AE249</f>
        <v>100.83346</v>
      </c>
      <c r="F246" s="860">
        <f>Calculation!AF249</f>
        <v>44.863</v>
      </c>
      <c r="G246" s="860">
        <f>Calculation!AG249</f>
        <v>0</v>
      </c>
      <c r="H246" s="861">
        <f>Sheet1!H247</f>
        <v>1.94</v>
      </c>
      <c r="I246" s="841">
        <f>Sheet1!DA247</f>
        <v>336</v>
      </c>
      <c r="J246" s="841">
        <f>Sheet1!DB247</f>
        <v>181</v>
      </c>
      <c r="K246" s="841">
        <f>Sheet1!CZ247</f>
        <v>325</v>
      </c>
      <c r="L246" s="865">
        <f>Calculation!F249</f>
        <v>250</v>
      </c>
      <c r="M246" s="865">
        <f>Calculation!E249</f>
        <v>400</v>
      </c>
      <c r="N246" s="865">
        <f>Calculation!D249</f>
        <v>200</v>
      </c>
      <c r="O246" s="888">
        <f>Sheet1!DC247</f>
        <v>1153.52</v>
      </c>
      <c r="P246" s="889">
        <f>Calculation!FD249</f>
        <v>1130.3864406778948</v>
      </c>
      <c r="Q246" s="895">
        <f>Calculation!DP249</f>
        <v>35083.200000088618</v>
      </c>
      <c r="R246" s="888">
        <f t="shared" si="72"/>
        <v>34464.200000088618</v>
      </c>
      <c r="S246" s="890">
        <f t="shared" si="84"/>
        <v>-432.00000000043656</v>
      </c>
      <c r="T246" s="895">
        <f ca="1">IF(A246&gt;($A$1-1),#N/A,VLOOKUP(A246,Calculation!$B$8:$JO$503,40,FALSE))</f>
        <v>5549.8705529162453</v>
      </c>
      <c r="U246" s="890">
        <f t="shared" si="85"/>
        <v>51.125044444444441</v>
      </c>
      <c r="V246" s="890">
        <f>Calculation!AZ249</f>
        <v>0</v>
      </c>
      <c r="W246" s="1165">
        <f t="shared" ca="1" si="101"/>
        <v>12208.329447172371</v>
      </c>
      <c r="X246" s="1165">
        <f t="shared" ca="1" si="102"/>
        <v>82.001591304081799</v>
      </c>
      <c r="Y246" s="1164">
        <f t="shared" ca="1" si="98"/>
        <v>2500</v>
      </c>
      <c r="Z246" s="890">
        <f t="shared" ca="1" si="88"/>
        <v>9708.3294471723711</v>
      </c>
      <c r="AA246" s="890">
        <f t="shared" ca="1" si="90"/>
        <v>0</v>
      </c>
      <c r="AB246" s="1165">
        <f t="shared" ca="1" si="99"/>
        <v>17325</v>
      </c>
      <c r="AC246" s="1166">
        <f t="shared" ca="1" si="100"/>
        <v>16706</v>
      </c>
      <c r="AD246" s="860">
        <f ca="1">IF(A246&gt;$A$1,VLOOKUP(A246,Calculation!$B$8:$JO$880,165,FALSE),VLOOKUP(A246,Calculation!$B$8:$JO$880,165,FALSE))</f>
        <v>16706</v>
      </c>
      <c r="AE246" s="399">
        <f t="shared" ca="1" si="86"/>
        <v>-168</v>
      </c>
      <c r="AF246" s="399">
        <f t="shared" ca="1" si="62"/>
        <v>17325</v>
      </c>
      <c r="AG246" s="841">
        <f>Calculation!G249</f>
        <v>107.14826021158018</v>
      </c>
      <c r="AH246" s="847" t="str">
        <f t="shared" si="87"/>
        <v>Yes</v>
      </c>
      <c r="AI246" s="847" t="str">
        <f>IF(Calculation!K249&gt;0,"Yes","No")</f>
        <v>No</v>
      </c>
      <c r="AJ246" s="869">
        <v>37053.000000090673</v>
      </c>
      <c r="AK246" s="870">
        <v>35313.600000088838</v>
      </c>
      <c r="AL246" s="870">
        <v>32437.200000082627</v>
      </c>
      <c r="AN246" s="981">
        <v>36109.600000090424</v>
      </c>
      <c r="AO246" s="894">
        <v>34270.800000086136</v>
      </c>
      <c r="AP246" s="894">
        <v>34270.800000086136</v>
      </c>
      <c r="AQ246" s="894"/>
      <c r="AR246" s="894"/>
      <c r="AS246" s="894"/>
      <c r="AT246" s="894"/>
      <c r="AU246" s="427"/>
      <c r="AV246" s="410"/>
      <c r="AW246" s="442"/>
      <c r="AX246" s="441"/>
      <c r="AY246" s="441"/>
      <c r="AZ246" s="443"/>
      <c r="BB246" s="433"/>
      <c r="BC246" s="432"/>
      <c r="BD246" s="433"/>
      <c r="BE246" s="432"/>
      <c r="BF246" s="433"/>
      <c r="BG246" s="432"/>
      <c r="BH246" s="429"/>
    </row>
    <row r="247" spans="1:60" ht="13.8" thickBot="1" x14ac:dyDescent="0.3">
      <c r="A247" s="406">
        <v>42974</v>
      </c>
      <c r="B247" s="860">
        <f t="shared" si="83"/>
        <v>145.91303999999997</v>
      </c>
      <c r="C247" s="860">
        <f>Calculation!AK250</f>
        <v>0</v>
      </c>
      <c r="D247" s="860">
        <f>Calculation!AI250</f>
        <v>51.050999999999995</v>
      </c>
      <c r="E247" s="860">
        <f>Calculation!AE250</f>
        <v>101.05003999999998</v>
      </c>
      <c r="F247" s="860">
        <f>Calculation!AF250</f>
        <v>44.863</v>
      </c>
      <c r="G247" s="860">
        <f>Calculation!AG250</f>
        <v>0</v>
      </c>
      <c r="H247" s="861">
        <f>Sheet1!H248</f>
        <v>1.96</v>
      </c>
      <c r="I247" s="841">
        <f>Sheet1!DA248</f>
        <v>331</v>
      </c>
      <c r="J247" s="841">
        <f>Sheet1!DB248</f>
        <v>176</v>
      </c>
      <c r="K247" s="841">
        <f>Sheet1!CZ248</f>
        <v>325</v>
      </c>
      <c r="L247" s="865">
        <f>Calculation!F250</f>
        <v>250</v>
      </c>
      <c r="M247" s="865">
        <f>Calculation!E250</f>
        <v>400</v>
      </c>
      <c r="N247" s="865">
        <f>Calculation!D250</f>
        <v>200</v>
      </c>
      <c r="O247" s="888">
        <f>Sheet1!DC248</f>
        <v>1153.08</v>
      </c>
      <c r="P247" s="889">
        <f>Calculation!FD250</f>
        <v>1130.1033898304374</v>
      </c>
      <c r="Q247" s="895">
        <f>Calculation!DP250</f>
        <v>34659.800000088188</v>
      </c>
      <c r="R247" s="888">
        <f t="shared" si="72"/>
        <v>34040.800000088188</v>
      </c>
      <c r="S247" s="890">
        <f t="shared" si="84"/>
        <v>-423.40000000043074</v>
      </c>
      <c r="T247" s="895">
        <f ca="1">IF(A247&gt;($A$1-1),#N/A,VLOOKUP(A247,Calculation!$B$8:$JO$503,40,FALSE))</f>
        <v>5448.6265529162447</v>
      </c>
      <c r="U247" s="890">
        <f t="shared" si="85"/>
        <v>51.050999999999995</v>
      </c>
      <c r="V247" s="890">
        <f>Calculation!AZ250</f>
        <v>0</v>
      </c>
      <c r="W247" s="1165">
        <f t="shared" ca="1" si="101"/>
        <v>12054.173447171943</v>
      </c>
      <c r="X247" s="1165">
        <f t="shared" ca="1" si="102"/>
        <v>77.738779627044025</v>
      </c>
      <c r="Y247" s="1164">
        <f t="shared" ca="1" si="98"/>
        <v>2500</v>
      </c>
      <c r="Z247" s="890">
        <f t="shared" ca="1" si="88"/>
        <v>9554.1734471719428</v>
      </c>
      <c r="AA247" s="890">
        <f t="shared" ca="1" si="90"/>
        <v>0</v>
      </c>
      <c r="AB247" s="1165">
        <f t="shared" ca="1" si="99"/>
        <v>17157</v>
      </c>
      <c r="AC247" s="1166">
        <f t="shared" ca="1" si="100"/>
        <v>16538</v>
      </c>
      <c r="AD247" s="860">
        <f ca="1">IF(A247&gt;$A$1,VLOOKUP(A247,Calculation!$B$8:$JO$880,165,FALSE),VLOOKUP(A247,Calculation!$B$8:$JO$880,165,FALSE))</f>
        <v>16538</v>
      </c>
      <c r="AE247" s="399">
        <f t="shared" ca="1" si="86"/>
        <v>-168</v>
      </c>
      <c r="AF247" s="399">
        <f t="shared" ca="1" si="62"/>
        <v>17157</v>
      </c>
      <c r="AG247" s="841">
        <f>Calculation!G250</f>
        <v>111.48512354995933</v>
      </c>
      <c r="AH247" s="847" t="str">
        <f t="shared" si="87"/>
        <v>Yes</v>
      </c>
      <c r="AI247" s="847" t="str">
        <f>IF(Calculation!K250&gt;0,"Yes","No")</f>
        <v>No</v>
      </c>
      <c r="AJ247" s="869">
        <v>36897.000000090673</v>
      </c>
      <c r="AK247" s="870">
        <v>35015.500000089545</v>
      </c>
      <c r="AL247" s="870">
        <v>32125.400000082209</v>
      </c>
      <c r="AN247" s="981">
        <v>35690.500000090207</v>
      </c>
      <c r="AO247" s="894">
        <v>34005.60000008592</v>
      </c>
      <c r="AP247" s="894">
        <v>33732.000000085493</v>
      </c>
      <c r="AQ247" s="894"/>
      <c r="AR247" s="894"/>
      <c r="AS247" s="894"/>
      <c r="AT247" s="894"/>
      <c r="AU247" s="427"/>
      <c r="AV247" s="410"/>
      <c r="AW247" s="442"/>
      <c r="AX247" s="441"/>
      <c r="AY247" s="441"/>
      <c r="AZ247" s="443"/>
      <c r="BB247" s="433"/>
      <c r="BC247" s="432"/>
      <c r="BD247" s="433"/>
      <c r="BE247" s="432"/>
      <c r="BF247" s="433"/>
      <c r="BG247" s="432"/>
      <c r="BH247" s="429"/>
    </row>
    <row r="248" spans="1:60" ht="13.8" thickBot="1" x14ac:dyDescent="0.3">
      <c r="A248" s="406">
        <v>42975</v>
      </c>
      <c r="B248" s="860">
        <f t="shared" si="83"/>
        <v>145.95945</v>
      </c>
      <c r="C248" s="860">
        <f>Calculation!AK251</f>
        <v>0</v>
      </c>
      <c r="D248" s="860">
        <f>Calculation!AI251</f>
        <v>51.050999999999995</v>
      </c>
      <c r="E248" s="860">
        <f>Calculation!AE251</f>
        <v>101.08098</v>
      </c>
      <c r="F248" s="860">
        <f>Calculation!AF251</f>
        <v>44.87847</v>
      </c>
      <c r="G248" s="860">
        <f>Calculation!AG251</f>
        <v>0</v>
      </c>
      <c r="H248" s="861">
        <f>Sheet1!H249</f>
        <v>1.69</v>
      </c>
      <c r="I248" s="841">
        <f>Sheet1!DA249</f>
        <v>327</v>
      </c>
      <c r="J248" s="841">
        <f>Sheet1!DB249</f>
        <v>183</v>
      </c>
      <c r="K248" s="841">
        <f>Sheet1!CZ249</f>
        <v>322</v>
      </c>
      <c r="L248" s="865">
        <f>Calculation!F251</f>
        <v>250</v>
      </c>
      <c r="M248" s="865">
        <f>Calculation!E251</f>
        <v>400</v>
      </c>
      <c r="N248" s="865">
        <f>Calculation!D251</f>
        <v>200</v>
      </c>
      <c r="O248" s="888">
        <f>Sheet1!DC249</f>
        <v>1152.6300000000001</v>
      </c>
      <c r="P248" s="889">
        <f>Calculation!FD251</f>
        <v>1129.8155172413085</v>
      </c>
      <c r="Q248" s="895">
        <f>Calculation!DP251</f>
        <v>34233.200000086137</v>
      </c>
      <c r="R248" s="888">
        <f t="shared" si="72"/>
        <v>33614.200000086137</v>
      </c>
      <c r="S248" s="890">
        <f t="shared" si="84"/>
        <v>-426.60000000205036</v>
      </c>
      <c r="T248" s="895">
        <f ca="1">IF(A248&gt;($A$1-1),#N/A,VLOOKUP(A248,Calculation!$B$8:$JO$503,40,FALSE))</f>
        <v>5347.382552916245</v>
      </c>
      <c r="U248" s="890">
        <f t="shared" si="85"/>
        <v>51.050999999999995</v>
      </c>
      <c r="V248" s="890">
        <f>Calculation!AZ251</f>
        <v>0</v>
      </c>
      <c r="W248" s="1165">
        <f t="shared" ca="1" si="101"/>
        <v>11896.817447169891</v>
      </c>
      <c r="X248" s="1165">
        <f t="shared" ca="1" si="102"/>
        <v>79.352496218886316</v>
      </c>
      <c r="Y248" s="1164">
        <f t="shared" ca="1" si="98"/>
        <v>2500</v>
      </c>
      <c r="Z248" s="890">
        <f t="shared" ca="1" si="88"/>
        <v>9396.8174471698912</v>
      </c>
      <c r="AA248" s="890">
        <f t="shared" ca="1" si="90"/>
        <v>0</v>
      </c>
      <c r="AB248" s="1165">
        <f t="shared" ca="1" si="99"/>
        <v>16989</v>
      </c>
      <c r="AC248" s="1166">
        <f t="shared" ca="1" si="100"/>
        <v>16370</v>
      </c>
      <c r="AD248" s="860">
        <f ca="1">IF(A248&gt;$A$1,VLOOKUP(A248,Calculation!$B$8:$JO$880,165,FALSE),VLOOKUP(A248,Calculation!$B$8:$JO$880,165,FALSE))</f>
        <v>16370</v>
      </c>
      <c r="AE248" s="399">
        <f t="shared" ca="1" si="86"/>
        <v>-168</v>
      </c>
      <c r="AF248" s="399">
        <f t="shared" ca="1" si="62"/>
        <v>16989</v>
      </c>
      <c r="AG248" s="841">
        <f>Calculation!G251</f>
        <v>106.87140695811885</v>
      </c>
      <c r="AH248" s="847" t="str">
        <f t="shared" si="87"/>
        <v>Yes</v>
      </c>
      <c r="AI248" s="847" t="str">
        <f>IF(Calculation!K251&gt;0,"Yes","No")</f>
        <v>No</v>
      </c>
      <c r="AJ248" s="869">
        <v>36731.390000089152</v>
      </c>
      <c r="AK248" s="870">
        <v>34755.800000088406</v>
      </c>
      <c r="AL248" s="870">
        <v>31849.400000082001</v>
      </c>
      <c r="AN248" s="981">
        <v>35265.600000088838</v>
      </c>
      <c r="AO248" s="894">
        <v>33797.800000085706</v>
      </c>
      <c r="AP248" s="894">
        <v>33198.900000084162</v>
      </c>
      <c r="AQ248" s="894"/>
      <c r="AR248" s="894"/>
      <c r="AS248" s="894"/>
      <c r="AT248" s="894"/>
      <c r="AU248" s="427"/>
      <c r="AV248" s="410"/>
      <c r="AW248" s="442"/>
      <c r="AX248" s="441"/>
      <c r="AY248" s="441"/>
      <c r="AZ248" s="443"/>
      <c r="BB248" s="433"/>
      <c r="BC248" s="432"/>
      <c r="BD248" s="433"/>
      <c r="BE248" s="432"/>
      <c r="BF248" s="433"/>
      <c r="BG248" s="432"/>
      <c r="BH248" s="429"/>
    </row>
    <row r="249" spans="1:60" ht="13.8" thickBot="1" x14ac:dyDescent="0.3">
      <c r="A249" s="406">
        <v>42976</v>
      </c>
      <c r="B249" s="860">
        <f t="shared" si="83"/>
        <v>142.50963999999999</v>
      </c>
      <c r="C249" s="860">
        <f>Calculation!AK252</f>
        <v>0</v>
      </c>
      <c r="D249" s="860">
        <f>Calculation!AI252</f>
        <v>56.370986226382357</v>
      </c>
      <c r="E249" s="860">
        <f>Calculation!AE252</f>
        <v>101.01909999999999</v>
      </c>
      <c r="F249" s="860">
        <f>Calculation!AF252</f>
        <v>41.490539999999996</v>
      </c>
      <c r="G249" s="860">
        <f>Calculation!AG252</f>
        <v>0</v>
      </c>
      <c r="H249" s="861">
        <f>Sheet1!H250</f>
        <v>1.52</v>
      </c>
      <c r="I249" s="841">
        <f>Sheet1!DA250</f>
        <v>327</v>
      </c>
      <c r="J249" s="841">
        <f>Sheet1!DB250</f>
        <v>185</v>
      </c>
      <c r="K249" s="841">
        <f>Sheet1!CZ250</f>
        <v>322</v>
      </c>
      <c r="L249" s="865">
        <f>Calculation!F252</f>
        <v>250</v>
      </c>
      <c r="M249" s="865">
        <f>Calculation!E252</f>
        <v>400</v>
      </c>
      <c r="N249" s="865">
        <f>Calculation!D252</f>
        <v>200</v>
      </c>
      <c r="O249" s="888">
        <f>Sheet1!DC250</f>
        <v>1152.1600000000001</v>
      </c>
      <c r="P249" s="889">
        <f>Calculation!FD252</f>
        <v>1129.5241379309639</v>
      </c>
      <c r="Q249" s="895">
        <f>Calculation!DP252</f>
        <v>33788.400000085705</v>
      </c>
      <c r="R249" s="888">
        <f t="shared" si="72"/>
        <v>33169.400000085705</v>
      </c>
      <c r="S249" s="890">
        <f t="shared" si="84"/>
        <v>-444.80000000043219</v>
      </c>
      <c r="T249" s="895">
        <f ca="1">IF(A249&gt;($A$1-1),#N/A,VLOOKUP(A249,Calculation!$B$8:$JO$503,40,FALSE))</f>
        <v>5235.5879919966974</v>
      </c>
      <c r="U249" s="890">
        <f t="shared" si="85"/>
        <v>56.370986226382357</v>
      </c>
      <c r="V249" s="890">
        <f>Calculation!AZ252</f>
        <v>5.3199862263823547</v>
      </c>
      <c r="W249" s="1165">
        <f t="shared" ca="1" si="101"/>
        <v>11730.812008089008</v>
      </c>
      <c r="X249" s="1165">
        <f t="shared" ca="1" si="102"/>
        <v>83.714291014061345</v>
      </c>
      <c r="Y249" s="1164">
        <f ca="1">IF(A249&lt;$A$1-1,0,#N/A)</f>
        <v>0</v>
      </c>
      <c r="Z249" s="890">
        <f t="shared" ca="1" si="88"/>
        <v>11730.812008089008</v>
      </c>
      <c r="AA249" s="890">
        <f t="shared" ca="1" si="90"/>
        <v>0</v>
      </c>
      <c r="AB249" s="1165">
        <f t="shared" ca="1" si="99"/>
        <v>16822</v>
      </c>
      <c r="AC249" s="1166">
        <f t="shared" ca="1" si="100"/>
        <v>16203</v>
      </c>
      <c r="AD249" s="860">
        <f ca="1">IF(A249&gt;$A$1,VLOOKUP(A249,Calculation!$B$8:$JO$880,165,FALSE),VLOOKUP(A249,Calculation!$B$8:$JO$880,165,FALSE))</f>
        <v>16203</v>
      </c>
      <c r="AE249" s="399">
        <f t="shared" ca="1" si="86"/>
        <v>-167</v>
      </c>
      <c r="AF249" s="399">
        <f t="shared" ca="1" si="62"/>
        <v>16822</v>
      </c>
      <c r="AG249" s="841">
        <f>Calculation!G252</f>
        <v>97.693393847487584</v>
      </c>
      <c r="AH249" s="847" t="str">
        <f t="shared" si="87"/>
        <v>Yes</v>
      </c>
      <c r="AI249" s="847" t="str">
        <f>IF(Calculation!K252&gt;0,"Yes","No")</f>
        <v>No</v>
      </c>
      <c r="AJ249" s="869">
        <v>36529.580000088936</v>
      </c>
      <c r="AK249" s="870">
        <v>34564.000000087268</v>
      </c>
      <c r="AL249" s="870">
        <v>31758.000000080217</v>
      </c>
      <c r="AN249" s="981">
        <v>34871.000000088403</v>
      </c>
      <c r="AO249" s="894">
        <v>33553.300000084586</v>
      </c>
      <c r="AP249" s="894">
        <v>32667.200000082838</v>
      </c>
      <c r="AQ249" s="894"/>
      <c r="AR249" s="894"/>
      <c r="AS249" s="894"/>
      <c r="AT249" s="894"/>
      <c r="AU249" s="427"/>
      <c r="AV249" s="410"/>
      <c r="AW249" s="442"/>
      <c r="AX249" s="441"/>
      <c r="AY249" s="441"/>
      <c r="AZ249" s="443"/>
      <c r="BB249" s="433"/>
      <c r="BC249" s="432"/>
      <c r="BD249" s="433"/>
      <c r="BE249" s="432"/>
      <c r="BF249" s="433"/>
      <c r="BG249" s="432"/>
      <c r="BH249" s="429"/>
    </row>
    <row r="250" spans="1:60" ht="13.8" thickBot="1" x14ac:dyDescent="0.3">
      <c r="A250" s="406">
        <v>42977</v>
      </c>
      <c r="B250" s="860">
        <f t="shared" si="83"/>
        <v>139.50845999999999</v>
      </c>
      <c r="C250" s="860">
        <f>Calculation!AK253</f>
        <v>0</v>
      </c>
      <c r="D250" s="860">
        <f>Calculation!AI253</f>
        <v>52.504945181002483</v>
      </c>
      <c r="E250" s="860">
        <f>Calculation!AE253</f>
        <v>98.512959999999993</v>
      </c>
      <c r="F250" s="860">
        <f>Calculation!AF253</f>
        <v>40.9955</v>
      </c>
      <c r="G250" s="860">
        <f>Calculation!AG253</f>
        <v>0</v>
      </c>
      <c r="H250" s="861">
        <f>Sheet1!H251</f>
        <v>1.53</v>
      </c>
      <c r="I250" s="841">
        <f>Sheet1!DA251</f>
        <v>331</v>
      </c>
      <c r="J250" s="841">
        <f>Sheet1!DB251</f>
        <v>190</v>
      </c>
      <c r="K250" s="841">
        <f>Sheet1!CZ251</f>
        <v>322</v>
      </c>
      <c r="L250" s="865">
        <f>Calculation!F253</f>
        <v>250</v>
      </c>
      <c r="M250" s="865">
        <f>Calculation!E253</f>
        <v>400</v>
      </c>
      <c r="N250" s="865">
        <f>Calculation!D253</f>
        <v>200</v>
      </c>
      <c r="O250" s="888">
        <f>Sheet1!DC251</f>
        <v>1151.69</v>
      </c>
      <c r="P250" s="889">
        <f>Calculation!FD253</f>
        <v>1129.2327586206195</v>
      </c>
      <c r="Q250" s="895">
        <f>Calculation!DP253</f>
        <v>33347.700000084369</v>
      </c>
      <c r="R250" s="888">
        <f t="shared" si="72"/>
        <v>32728.700000084369</v>
      </c>
      <c r="S250" s="890">
        <f t="shared" si="84"/>
        <v>-440.70000000133587</v>
      </c>
      <c r="T250" s="895">
        <f ca="1">IF(A250&gt;($A$1-1),#N/A,VLOOKUP(A250,Calculation!$B$8:$JO$503,40,FALSE))</f>
        <v>5131.4605376881545</v>
      </c>
      <c r="U250" s="890">
        <f t="shared" si="85"/>
        <v>52.504945181002483</v>
      </c>
      <c r="V250" s="890">
        <f>Calculation!AZ253</f>
        <v>1.4539451810024957</v>
      </c>
      <c r="W250" s="1165">
        <f t="shared" ca="1" si="101"/>
        <v>11562.239462396214</v>
      </c>
      <c r="X250" s="1165">
        <f t="shared" ca="1" si="102"/>
        <v>85.008848054863293</v>
      </c>
      <c r="Y250" s="1164">
        <f t="shared" ref="Y250:Y292" ca="1" si="103">IF(A250&lt;$A$1-1,0,#N/A)</f>
        <v>0</v>
      </c>
      <c r="Z250" s="890">
        <f t="shared" ca="1" si="88"/>
        <v>11562.239462396214</v>
      </c>
      <c r="AA250" s="890">
        <f t="shared" ca="1" si="90"/>
        <v>0</v>
      </c>
      <c r="AB250" s="1165">
        <f t="shared" ca="1" si="99"/>
        <v>16654</v>
      </c>
      <c r="AC250" s="1166">
        <f t="shared" ca="1" si="100"/>
        <v>16035</v>
      </c>
      <c r="AD250" s="860">
        <f ca="1">IF(A250&gt;$A$1,VLOOKUP(A250,Calculation!$B$8:$JO$880,165,FALSE),VLOOKUP(A250,Calculation!$B$8:$JO$880,165,FALSE))</f>
        <v>16035</v>
      </c>
      <c r="AE250" s="399">
        <f t="shared" ca="1" si="86"/>
        <v>-168</v>
      </c>
      <c r="AF250" s="399">
        <f t="shared" ca="1" si="62"/>
        <v>16654</v>
      </c>
      <c r="AG250" s="841">
        <f>Calculation!G253</f>
        <v>99.760968229280991</v>
      </c>
      <c r="AH250" s="847" t="str">
        <f t="shared" si="87"/>
        <v>Yes</v>
      </c>
      <c r="AI250" s="847" t="str">
        <f>IF(Calculation!K253&gt;0,"Yes","No")</f>
        <v>No</v>
      </c>
      <c r="AJ250" s="869">
        <v>36298.940000088711</v>
      </c>
      <c r="AK250" s="870">
        <v>34167.000000086831</v>
      </c>
      <c r="AL250" s="870">
        <v>31658.600000080904</v>
      </c>
      <c r="AN250" s="981">
        <v>34775.000000088403</v>
      </c>
      <c r="AO250" s="894">
        <v>33450.000000085281</v>
      </c>
      <c r="AP250" s="894">
        <v>32143.800000082418</v>
      </c>
      <c r="AQ250" s="894"/>
      <c r="AR250" s="894"/>
      <c r="AS250" s="894"/>
      <c r="AT250" s="894"/>
      <c r="AU250" s="427"/>
      <c r="AV250" s="410"/>
      <c r="AW250" s="442"/>
      <c r="AX250" s="441"/>
      <c r="AY250" s="441"/>
      <c r="AZ250" s="443"/>
      <c r="BB250" s="433"/>
      <c r="BC250" s="432"/>
      <c r="BD250" s="433"/>
      <c r="BE250" s="432"/>
      <c r="BF250" s="433"/>
      <c r="BG250" s="432"/>
      <c r="BH250" s="429"/>
    </row>
    <row r="251" spans="1:60" ht="13.8" thickBot="1" x14ac:dyDescent="0.3">
      <c r="A251" s="406">
        <v>42978</v>
      </c>
      <c r="B251" s="860">
        <f t="shared" si="83"/>
        <v>141.33391999999998</v>
      </c>
      <c r="C251" s="860">
        <f>Calculation!AK254</f>
        <v>0</v>
      </c>
      <c r="D251" s="860">
        <f>Calculation!AI254</f>
        <v>51.050999999999995</v>
      </c>
      <c r="E251" s="860">
        <f>Calculation!AE254</f>
        <v>83.058429999999987</v>
      </c>
      <c r="F251" s="860">
        <f>Calculation!AF254</f>
        <v>58.275489999999998</v>
      </c>
      <c r="G251" s="860">
        <f>Calculation!AG254</f>
        <v>0</v>
      </c>
      <c r="H251" s="861">
        <f>Sheet1!H252</f>
        <v>1.65</v>
      </c>
      <c r="I251" s="841">
        <f>Sheet1!DA252</f>
        <v>340</v>
      </c>
      <c r="J251" s="841">
        <f>Sheet1!DB252</f>
        <v>189</v>
      </c>
      <c r="K251" s="841">
        <f>Sheet1!CZ252</f>
        <v>331</v>
      </c>
      <c r="L251" s="865">
        <f>Calculation!F254</f>
        <v>250</v>
      </c>
      <c r="M251" s="865">
        <f>Calculation!E254</f>
        <v>400</v>
      </c>
      <c r="N251" s="865">
        <f>Calculation!D254</f>
        <v>200</v>
      </c>
      <c r="O251" s="888">
        <f>Sheet1!DC252</f>
        <v>1151.22</v>
      </c>
      <c r="P251" s="889">
        <f>Calculation!FD254</f>
        <v>1128.942105263088</v>
      </c>
      <c r="Q251" s="895">
        <f>Calculation!DP254</f>
        <v>32909.600000083949</v>
      </c>
      <c r="R251" s="888">
        <f t="shared" si="72"/>
        <v>32290.600000083949</v>
      </c>
      <c r="S251" s="890">
        <f t="shared" si="84"/>
        <v>-438.10000000042055</v>
      </c>
      <c r="T251" s="895">
        <f ca="1">IF(A251&gt;($A$1-1),#N/A,VLOOKUP(A251,Calculation!$B$8:$JO$503,40,FALSE))</f>
        <v>5030.2165376881549</v>
      </c>
      <c r="U251" s="890">
        <f t="shared" si="85"/>
        <v>51.050999999999995</v>
      </c>
      <c r="V251" s="890">
        <f>Calculation!AZ254</f>
        <v>0</v>
      </c>
      <c r="W251" s="1165">
        <f t="shared" ca="1" si="101"/>
        <v>11393.383462395796</v>
      </c>
      <c r="X251" s="1165">
        <f t="shared" ca="1" si="102"/>
        <v>85.151790217054014</v>
      </c>
      <c r="Y251" s="1164">
        <f t="shared" ca="1" si="103"/>
        <v>0</v>
      </c>
      <c r="Z251" s="890">
        <f t="shared" ca="1" si="88"/>
        <v>11393.383462395796</v>
      </c>
      <c r="AA251" s="890">
        <f t="shared" ca="1" si="90"/>
        <v>0</v>
      </c>
      <c r="AB251" s="1165">
        <f t="shared" ca="1" si="99"/>
        <v>16486</v>
      </c>
      <c r="AC251" s="1166">
        <f t="shared" ca="1" si="100"/>
        <v>15867</v>
      </c>
      <c r="AD251" s="860">
        <f ca="1">IF(A251&gt;$A$1,VLOOKUP(A251,Calculation!$B$8:$JO$880,165,FALSE),VLOOKUP(A251,Calculation!$B$8:$JO$880,165,FALSE))</f>
        <v>15867</v>
      </c>
      <c r="AE251" s="399">
        <f t="shared" ca="1" si="86"/>
        <v>-168</v>
      </c>
      <c r="AF251" s="399">
        <f t="shared" ca="1" si="62"/>
        <v>16486</v>
      </c>
      <c r="AG251" s="841">
        <f>Calculation!G254</f>
        <v>110.07211295994932</v>
      </c>
      <c r="AH251" s="847" t="str">
        <f t="shared" si="87"/>
        <v>Yes</v>
      </c>
      <c r="AI251" s="847" t="str">
        <f>IF(Calculation!K254&gt;0,"Yes","No")</f>
        <v>No</v>
      </c>
      <c r="AJ251" s="869">
        <v>36077.910000088501</v>
      </c>
      <c r="AK251" s="870">
        <v>33996.200000085919</v>
      </c>
      <c r="AL251" s="870">
        <v>31387.00000007981</v>
      </c>
      <c r="AN251" s="981">
        <v>34583.000000088185</v>
      </c>
      <c r="AO251" s="894">
        <v>33264.000000084161</v>
      </c>
      <c r="AP251" s="894">
        <v>31622.200000080902</v>
      </c>
      <c r="AQ251" s="894"/>
      <c r="AR251" s="894"/>
      <c r="AS251" s="894"/>
      <c r="AT251" s="894"/>
      <c r="AU251" s="427"/>
      <c r="AV251" s="410"/>
      <c r="AW251" s="442"/>
      <c r="AX251" s="441"/>
      <c r="AY251" s="441"/>
      <c r="AZ251" s="443"/>
      <c r="BB251" s="433"/>
      <c r="BC251" s="432"/>
      <c r="BD251" s="433"/>
      <c r="BE251" s="432"/>
      <c r="BF251" s="433"/>
      <c r="BG251" s="432"/>
      <c r="BH251" s="429"/>
    </row>
    <row r="252" spans="1:60" ht="13.8" thickBot="1" x14ac:dyDescent="0.3">
      <c r="A252" s="406">
        <v>42979</v>
      </c>
      <c r="B252" s="860">
        <f t="shared" si="83"/>
        <v>146.65559999999999</v>
      </c>
      <c r="C252" s="860">
        <f>Calculation!AK255</f>
        <v>0</v>
      </c>
      <c r="D252" s="860">
        <f>Calculation!AI255</f>
        <v>68.195945883854492</v>
      </c>
      <c r="E252" s="860">
        <f>Calculation!AE255</f>
        <v>74.256</v>
      </c>
      <c r="F252" s="860">
        <f>Calculation!AF255</f>
        <v>72.399599999999992</v>
      </c>
      <c r="G252" s="860">
        <f>Calculation!AG255</f>
        <v>0</v>
      </c>
      <c r="H252" s="861">
        <f>Sheet1!H253</f>
        <v>1.3</v>
      </c>
      <c r="I252" s="841">
        <f>Sheet1!DA253</f>
        <v>336</v>
      </c>
      <c r="J252" s="841">
        <f>Sheet1!DB253</f>
        <v>181</v>
      </c>
      <c r="K252" s="841">
        <f>Sheet1!CZ253</f>
        <v>331</v>
      </c>
      <c r="L252" s="865">
        <f>Calculation!F255</f>
        <v>250</v>
      </c>
      <c r="M252" s="865">
        <f>Calculation!E255</f>
        <v>400</v>
      </c>
      <c r="N252" s="865">
        <f>Calculation!D255</f>
        <v>200</v>
      </c>
      <c r="O252" s="888">
        <f>Sheet1!DC253</f>
        <v>1150.73</v>
      </c>
      <c r="P252" s="889">
        <f>Calculation!FD255</f>
        <v>1128.6428571427875</v>
      </c>
      <c r="Q252" s="895">
        <f>Calculation!DP255</f>
        <v>32455.600000082628</v>
      </c>
      <c r="R252" s="888">
        <f t="shared" si="72"/>
        <v>31836.600000082628</v>
      </c>
      <c r="S252" s="890">
        <f t="shared" si="84"/>
        <v>-454.00000000132059</v>
      </c>
      <c r="T252" s="895">
        <f ca="1">IF(A252&gt;($A$1-1),#N/A,VLOOKUP(A252,Calculation!$B$8:$JO$503,40,FALSE))</f>
        <v>4894.9707962714347</v>
      </c>
      <c r="U252" s="890">
        <f t="shared" si="85"/>
        <v>68.195945883854492</v>
      </c>
      <c r="V252" s="890">
        <f>Calculation!AZ255</f>
        <v>0</v>
      </c>
      <c r="W252" s="1165">
        <f t="shared" ca="1" si="101"/>
        <v>11241.629203811193</v>
      </c>
      <c r="X252" s="1165">
        <f t="shared" ca="1" si="102"/>
        <v>76.527614011397972</v>
      </c>
      <c r="Y252" s="1164">
        <f t="shared" ca="1" si="103"/>
        <v>0</v>
      </c>
      <c r="Z252" s="890">
        <f t="shared" ca="1" si="88"/>
        <v>11241.629203811193</v>
      </c>
      <c r="AA252" s="890">
        <f t="shared" ca="1" si="90"/>
        <v>0</v>
      </c>
      <c r="AB252" s="1165">
        <f t="shared" ca="1" si="99"/>
        <v>16319</v>
      </c>
      <c r="AC252" s="1166">
        <f t="shared" ca="1" si="100"/>
        <v>15700</v>
      </c>
      <c r="AD252" s="860">
        <f ca="1">IF(A252&gt;$A$1,VLOOKUP(A252,Calculation!$B$8:$JO$880,165,FALSE),VLOOKUP(A252,Calculation!$B$8:$JO$880,165,FALSE))</f>
        <v>15700</v>
      </c>
      <c r="AE252" s="399">
        <f t="shared" ca="1" si="86"/>
        <v>-167</v>
      </c>
      <c r="AF252" s="399">
        <f t="shared" ca="1" si="62"/>
        <v>16319</v>
      </c>
      <c r="AG252" s="841">
        <f>Calculation!G255</f>
        <v>102.05395864784643</v>
      </c>
      <c r="AH252" s="847" t="str">
        <f t="shared" si="87"/>
        <v>Yes</v>
      </c>
      <c r="AI252" s="847" t="str">
        <f>IF(Calculation!K255&gt;0,"Yes","No")</f>
        <v>No</v>
      </c>
      <c r="AJ252" s="869">
        <v>35818.440000088274</v>
      </c>
      <c r="AK252" s="870">
        <v>33544.000000084583</v>
      </c>
      <c r="AL252" s="870">
        <v>31088.30000008049</v>
      </c>
      <c r="AN252" s="981">
        <v>34327.50000008705</v>
      </c>
      <c r="AO252" s="894">
        <v>33114.600000085062</v>
      </c>
      <c r="AP252" s="894">
        <v>31133.80000008049</v>
      </c>
      <c r="AQ252" s="894"/>
      <c r="AR252" s="894"/>
      <c r="AS252" s="894"/>
      <c r="AT252" s="894"/>
      <c r="AU252" s="427"/>
      <c r="AV252" s="410"/>
      <c r="AW252" s="442"/>
      <c r="AX252" s="441"/>
      <c r="AY252" s="441"/>
      <c r="AZ252" s="443"/>
      <c r="BB252" s="433"/>
      <c r="BC252" s="432"/>
      <c r="BD252" s="433"/>
      <c r="BE252" s="432"/>
      <c r="BF252" s="433"/>
      <c r="BG252" s="432"/>
      <c r="BH252" s="429"/>
    </row>
    <row r="253" spans="1:60" ht="13.8" thickBot="1" x14ac:dyDescent="0.3">
      <c r="A253" s="406">
        <v>42980</v>
      </c>
      <c r="B253" s="860">
        <f t="shared" si="83"/>
        <v>146.81029999999998</v>
      </c>
      <c r="C253" s="860">
        <f>Calculation!AK256</f>
        <v>0</v>
      </c>
      <c r="D253" s="860">
        <f>Calculation!AI256</f>
        <v>68.233474632587857</v>
      </c>
      <c r="E253" s="860">
        <f>Calculation!AE256</f>
        <v>74.333349999999996</v>
      </c>
      <c r="F253" s="860">
        <f>Calculation!AF256</f>
        <v>72.476950000000002</v>
      </c>
      <c r="G253" s="860">
        <f>Calculation!AG256</f>
        <v>0</v>
      </c>
      <c r="H253" s="861">
        <f>Sheet1!H254</f>
        <v>1.48</v>
      </c>
      <c r="I253" s="841">
        <f>Sheet1!DA254</f>
        <v>336</v>
      </c>
      <c r="J253" s="841">
        <f>Sheet1!DB254</f>
        <v>181</v>
      </c>
      <c r="K253" s="841">
        <f>Sheet1!CZ254</f>
        <v>331</v>
      </c>
      <c r="L253" s="865">
        <f>Calculation!F256</f>
        <v>250</v>
      </c>
      <c r="M253" s="865">
        <f>Calculation!E256</f>
        <v>400</v>
      </c>
      <c r="N253" s="865">
        <f>Calculation!D256</f>
        <v>200</v>
      </c>
      <c r="O253" s="888">
        <f>Sheet1!DC254</f>
        <v>1150.24</v>
      </c>
      <c r="P253" s="889">
        <f>Calculation!FD256</f>
        <v>1128.3428571427878</v>
      </c>
      <c r="Q253" s="895">
        <f>Calculation!DP256</f>
        <v>32005.80000008221</v>
      </c>
      <c r="R253" s="888">
        <f t="shared" si="72"/>
        <v>31386.80000008221</v>
      </c>
      <c r="S253" s="890">
        <f t="shared" si="84"/>
        <v>-449.80000000041764</v>
      </c>
      <c r="T253" s="895">
        <f ca="1">IF(A253&gt;($A$1-1),#N/A,VLOOKUP(A253,Calculation!$B$8:$JO$503,40,FALSE))</f>
        <v>4759.6506280925214</v>
      </c>
      <c r="U253" s="890">
        <f t="shared" si="85"/>
        <v>68.233474632587857</v>
      </c>
      <c r="V253" s="890">
        <f>Calculation!AZ256</f>
        <v>0</v>
      </c>
      <c r="W253" s="1165">
        <f t="shared" ca="1" si="101"/>
        <v>11144.14937198969</v>
      </c>
      <c r="X253" s="1165">
        <f t="shared" ca="1" si="102"/>
        <v>49.157756843925092</v>
      </c>
      <c r="Y253" s="1164">
        <f t="shared" ca="1" si="103"/>
        <v>0</v>
      </c>
      <c r="Z253" s="890">
        <f t="shared" ca="1" si="88"/>
        <v>11144.14937198969</v>
      </c>
      <c r="AA253" s="890">
        <f t="shared" ca="1" si="90"/>
        <v>0</v>
      </c>
      <c r="AB253" s="1165">
        <f t="shared" ca="1" si="99"/>
        <v>16102</v>
      </c>
      <c r="AC253" s="1166">
        <f t="shared" ca="1" si="100"/>
        <v>15483</v>
      </c>
      <c r="AD253" s="860">
        <f ca="1">IF(A253&gt;$A$1,VLOOKUP(A253,Calculation!$B$8:$JO$880,165,FALSE),VLOOKUP(A253,Calculation!$B$8:$JO$880,165,FALSE))</f>
        <v>15483</v>
      </c>
      <c r="AE253" s="399">
        <f t="shared" ca="1" si="86"/>
        <v>-217</v>
      </c>
      <c r="AF253" s="399">
        <f t="shared" ca="1" si="62"/>
        <v>16102</v>
      </c>
      <c r="AG253" s="841">
        <f>Calculation!G256</f>
        <v>104.17196167402039</v>
      </c>
      <c r="AH253" s="847" t="str">
        <f t="shared" si="87"/>
        <v>Yes</v>
      </c>
      <c r="AI253" s="847" t="str">
        <f>IF(Calculation!K256&gt;0,"Yes","No")</f>
        <v>No</v>
      </c>
      <c r="AJ253" s="869">
        <v>35534.040000086679</v>
      </c>
      <c r="AK253" s="870">
        <v>33217.500000084161</v>
      </c>
      <c r="AL253" s="870">
        <v>30764.300000078314</v>
      </c>
      <c r="AN253" s="981">
        <v>34062.500000086831</v>
      </c>
      <c r="AO253" s="894">
        <v>33030.50000008395</v>
      </c>
      <c r="AP253" s="894">
        <v>30719.800000078314</v>
      </c>
      <c r="AQ253" s="894"/>
      <c r="AR253" s="894"/>
      <c r="AS253" s="894"/>
      <c r="AT253" s="894"/>
      <c r="AU253" s="427"/>
      <c r="AV253" s="410"/>
      <c r="AW253" s="442"/>
      <c r="AX253" s="441"/>
      <c r="AY253" s="441"/>
      <c r="AZ253" s="443"/>
      <c r="BB253" s="433"/>
      <c r="BC253" s="432"/>
      <c r="BD253" s="433"/>
      <c r="BE253" s="432"/>
      <c r="BF253" s="433"/>
      <c r="BG253" s="432"/>
      <c r="BH253" s="429"/>
    </row>
    <row r="254" spans="1:60" ht="13.8" thickBot="1" x14ac:dyDescent="0.3">
      <c r="A254" s="406">
        <v>42981</v>
      </c>
      <c r="B254" s="860">
        <f t="shared" si="83"/>
        <v>146.00585999999998</v>
      </c>
      <c r="C254" s="860">
        <f>Calculation!AK257</f>
        <v>0</v>
      </c>
      <c r="D254" s="860">
        <f>Calculation!AI257</f>
        <v>68.067999999999998</v>
      </c>
      <c r="E254" s="860">
        <f>Calculation!AE257</f>
        <v>74.256</v>
      </c>
      <c r="F254" s="860">
        <f>Calculation!AF257</f>
        <v>71.749859999999998</v>
      </c>
      <c r="G254" s="860">
        <f>Calculation!AG257</f>
        <v>0</v>
      </c>
      <c r="H254" s="861">
        <f>Sheet1!H255</f>
        <v>1.57</v>
      </c>
      <c r="I254" s="841">
        <f>Sheet1!DA255</f>
        <v>336</v>
      </c>
      <c r="J254" s="841">
        <f>Sheet1!DB255</f>
        <v>183</v>
      </c>
      <c r="K254" s="841">
        <f>Sheet1!CZ255</f>
        <v>331</v>
      </c>
      <c r="L254" s="865">
        <f>Calculation!F257</f>
        <v>250</v>
      </c>
      <c r="M254" s="865">
        <f>Calculation!E257</f>
        <v>400</v>
      </c>
      <c r="N254" s="865">
        <f>Calculation!D257</f>
        <v>200</v>
      </c>
      <c r="O254" s="888">
        <f>Sheet1!DC255</f>
        <v>1149.74</v>
      </c>
      <c r="P254" s="889">
        <f>Calculation!FD257</f>
        <v>1128.0464285713595</v>
      </c>
      <c r="Q254" s="895">
        <f>Calculation!DP257</f>
        <v>31550.000000080014</v>
      </c>
      <c r="R254" s="888">
        <f t="shared" si="72"/>
        <v>30931.000000080014</v>
      </c>
      <c r="S254" s="890">
        <f t="shared" si="84"/>
        <v>-455.80000000219661</v>
      </c>
      <c r="T254" s="895">
        <f ca="1">IF(A254&gt;($A$1-1),#N/A,VLOOKUP(A254,Calculation!$B$8:$JO$503,40,FALSE))</f>
        <v>4624.6586280925212</v>
      </c>
      <c r="U254" s="890">
        <f t="shared" si="85"/>
        <v>68.067999999999998</v>
      </c>
      <c r="V254" s="890">
        <f>Calculation!AZ257</f>
        <v>0</v>
      </c>
      <c r="W254" s="1165">
        <f t="shared" ca="1" si="101"/>
        <v>11040.341371987492</v>
      </c>
      <c r="X254" s="1165">
        <f t="shared" ca="1" si="102"/>
        <v>52.348966213917414</v>
      </c>
      <c r="Y254" s="1164">
        <f t="shared" ca="1" si="103"/>
        <v>0</v>
      </c>
      <c r="Z254" s="890">
        <f t="shared" ca="1" si="88"/>
        <v>11040.341371987492</v>
      </c>
      <c r="AA254" s="890">
        <f t="shared" ca="1" si="90"/>
        <v>0</v>
      </c>
      <c r="AB254" s="1165">
        <f t="shared" ca="1" si="99"/>
        <v>15885</v>
      </c>
      <c r="AC254" s="1166">
        <f t="shared" ca="1" si="100"/>
        <v>15266</v>
      </c>
      <c r="AD254" s="860">
        <f ca="1">IF(A254&gt;$A$1,VLOOKUP(A254,Calculation!$B$8:$JO$880,165,FALSE),VLOOKUP(A254,Calculation!$B$8:$JO$880,165,FALSE))</f>
        <v>15266</v>
      </c>
      <c r="AE254" s="399">
        <f t="shared" ca="1" si="86"/>
        <v>-217</v>
      </c>
      <c r="AF254" s="399">
        <f t="shared" ca="1" si="62"/>
        <v>15885</v>
      </c>
      <c r="AG254" s="841">
        <f>Calculation!G257</f>
        <v>101.14624306495384</v>
      </c>
      <c r="AH254" s="847" t="str">
        <f t="shared" si="87"/>
        <v>Yes</v>
      </c>
      <c r="AI254" s="847" t="str">
        <f>IF(Calculation!K257&gt;0,"Yes","No")</f>
        <v>No</v>
      </c>
      <c r="AJ254" s="869">
        <v>35231.320000086467</v>
      </c>
      <c r="AK254" s="870">
        <v>32891.00000008395</v>
      </c>
      <c r="AL254" s="870">
        <v>30505.200000078112</v>
      </c>
      <c r="AN254" s="981">
        <v>33986.800000085706</v>
      </c>
      <c r="AO254" s="894">
        <v>32872.200000084849</v>
      </c>
      <c r="AP254" s="894">
        <v>30264.900000077909</v>
      </c>
      <c r="AQ254" s="894"/>
      <c r="AR254" s="894"/>
      <c r="AS254" s="894"/>
      <c r="AT254" s="894"/>
      <c r="AU254" s="427"/>
      <c r="AV254" s="410"/>
      <c r="AW254" s="442"/>
      <c r="AX254" s="441"/>
      <c r="AY254" s="441"/>
      <c r="AZ254" s="443"/>
      <c r="BB254" s="433"/>
      <c r="BC254" s="432"/>
      <c r="BD254" s="433"/>
      <c r="BE254" s="432"/>
      <c r="BF254" s="433"/>
      <c r="BG254" s="432"/>
      <c r="BH254" s="429"/>
    </row>
    <row r="255" spans="1:60" ht="13.8" thickBot="1" x14ac:dyDescent="0.3">
      <c r="A255" s="406">
        <v>42982</v>
      </c>
      <c r="B255" s="860">
        <f t="shared" si="83"/>
        <v>143.82459</v>
      </c>
      <c r="C255" s="860">
        <f>Calculation!AK258</f>
        <v>0</v>
      </c>
      <c r="D255" s="860">
        <f>Calculation!AI258</f>
        <v>68.067999999999998</v>
      </c>
      <c r="E255" s="860">
        <f>Calculation!AE258</f>
        <v>74.317880000000002</v>
      </c>
      <c r="F255" s="860">
        <f>Calculation!AF258</f>
        <v>69.506709999999998</v>
      </c>
      <c r="G255" s="860">
        <f>Calculation!AG258</f>
        <v>0</v>
      </c>
      <c r="H255" s="861">
        <f>Sheet1!H256</f>
        <v>1.68</v>
      </c>
      <c r="I255" s="841">
        <f>Sheet1!DA256</f>
        <v>331</v>
      </c>
      <c r="J255" s="841">
        <f>Sheet1!DB256</f>
        <v>185</v>
      </c>
      <c r="K255" s="841">
        <f>Sheet1!CZ256</f>
        <v>328</v>
      </c>
      <c r="L255" s="865">
        <f>Calculation!F258</f>
        <v>250</v>
      </c>
      <c r="M255" s="865">
        <f>Calculation!E258</f>
        <v>400</v>
      </c>
      <c r="N255" s="865">
        <f>Calculation!D258</f>
        <v>200</v>
      </c>
      <c r="O255" s="888">
        <f>Sheet1!DC256</f>
        <v>1149.23</v>
      </c>
      <c r="P255" s="889">
        <f>Calculation!FD258</f>
        <v>1127.6509090908403</v>
      </c>
      <c r="Q255" s="895">
        <f>Calculation!DP258</f>
        <v>31088.30000008049</v>
      </c>
      <c r="R255" s="888">
        <f t="shared" si="72"/>
        <v>30469.30000008049</v>
      </c>
      <c r="S255" s="890">
        <f t="shared" si="84"/>
        <v>-461.69999999952415</v>
      </c>
      <c r="T255" s="895">
        <f ca="1">IF(A255&gt;($A$1-1),#N/A,VLOOKUP(A255,Calculation!$B$8:$JO$503,40,FALSE))</f>
        <v>4489.666628092521</v>
      </c>
      <c r="U255" s="890">
        <f t="shared" si="85"/>
        <v>68.067999999999998</v>
      </c>
      <c r="V255" s="890">
        <f>Calculation!AZ258</f>
        <v>0</v>
      </c>
      <c r="W255" s="1165">
        <f t="shared" ca="1" si="101"/>
        <v>10929.633371987969</v>
      </c>
      <c r="X255" s="1165">
        <f t="shared" ca="1" si="102"/>
        <v>55.828542611962746</v>
      </c>
      <c r="Y255" s="1164">
        <f t="shared" ca="1" si="103"/>
        <v>0</v>
      </c>
      <c r="Z255" s="890">
        <f t="shared" ca="1" si="88"/>
        <v>10929.633371987969</v>
      </c>
      <c r="AA255" s="890">
        <f t="shared" ca="1" si="90"/>
        <v>0</v>
      </c>
      <c r="AB255" s="1165">
        <f t="shared" ca="1" si="99"/>
        <v>15669</v>
      </c>
      <c r="AC255" s="1166">
        <f t="shared" ca="1" si="100"/>
        <v>15050</v>
      </c>
      <c r="AD255" s="860">
        <f ca="1">IF(A255&gt;$A$1,VLOOKUP(A255,Calculation!$B$8:$JO$880,165,FALSE),VLOOKUP(A255,Calculation!$B$8:$JO$880,165,FALSE))</f>
        <v>15050</v>
      </c>
      <c r="AE255" s="399">
        <f t="shared" ca="1" si="86"/>
        <v>-216</v>
      </c>
      <c r="AF255" s="399">
        <f t="shared" ref="AF255:AF318" ca="1" si="104">AD255+619</f>
        <v>15669</v>
      </c>
      <c r="AG255" s="841">
        <f>Calculation!G258</f>
        <v>95.170953101601555</v>
      </c>
      <c r="AH255" s="847" t="str">
        <f t="shared" si="87"/>
        <v>Yes</v>
      </c>
      <c r="AI255" s="847" t="str">
        <f>IF(Calculation!K258&gt;0,"Yes","No")</f>
        <v>No</v>
      </c>
      <c r="AJ255" s="869">
        <v>34928.600000086037</v>
      </c>
      <c r="AK255" s="870">
        <v>32566.000000082626</v>
      </c>
      <c r="AL255" s="870">
        <v>30202.000000078784</v>
      </c>
      <c r="AN255" s="981">
        <v>33779.000000085704</v>
      </c>
      <c r="AO255" s="894">
        <v>32722.600000083738</v>
      </c>
      <c r="AP255" s="894">
        <v>29794.600000075763</v>
      </c>
      <c r="AQ255" s="894"/>
      <c r="AR255" s="894"/>
      <c r="AS255" s="894"/>
      <c r="AT255" s="894"/>
      <c r="AU255" s="427"/>
      <c r="AV255" s="410"/>
      <c r="AW255" s="442"/>
      <c r="AX255" s="441"/>
      <c r="AY255" s="441"/>
      <c r="AZ255" s="443"/>
      <c r="BB255" s="433"/>
      <c r="BC255" s="432"/>
      <c r="BD255" s="433"/>
      <c r="BE255" s="432"/>
      <c r="BF255" s="433"/>
      <c r="BG255" s="432"/>
      <c r="BH255" s="429"/>
    </row>
    <row r="256" spans="1:60" ht="13.8" thickBot="1" x14ac:dyDescent="0.3">
      <c r="A256" s="406">
        <v>42983</v>
      </c>
      <c r="B256" s="860">
        <f t="shared" si="83"/>
        <v>145.26329999999999</v>
      </c>
      <c r="C256" s="860">
        <f>Calculation!AK259</f>
        <v>0</v>
      </c>
      <c r="D256" s="860">
        <f>Calculation!AI259</f>
        <v>69.531018137771227</v>
      </c>
      <c r="E256" s="860">
        <f>Calculation!AE259</f>
        <v>71.93549999999999</v>
      </c>
      <c r="F256" s="860">
        <f>Calculation!AF259</f>
        <v>73.327799999999996</v>
      </c>
      <c r="G256" s="860">
        <f>Calculation!AG259</f>
        <v>0</v>
      </c>
      <c r="H256" s="861">
        <f>Sheet1!H257</f>
        <v>1.74</v>
      </c>
      <c r="I256" s="841">
        <f>Sheet1!DA257</f>
        <v>335</v>
      </c>
      <c r="J256" s="841">
        <f>Sheet1!DB257</f>
        <v>192</v>
      </c>
      <c r="K256" s="841">
        <f>Sheet1!CZ257</f>
        <v>333</v>
      </c>
      <c r="L256" s="865">
        <f>Calculation!F259</f>
        <v>250</v>
      </c>
      <c r="M256" s="865">
        <f>Calculation!E259</f>
        <v>400</v>
      </c>
      <c r="N256" s="865">
        <f>Calculation!D259</f>
        <v>200</v>
      </c>
      <c r="O256" s="888">
        <f>Sheet1!DC257</f>
        <v>1148.71</v>
      </c>
      <c r="P256" s="889">
        <f>Calculation!FD259</f>
        <v>1127.2527272726588</v>
      </c>
      <c r="Q256" s="895">
        <f>Calculation!DP259</f>
        <v>30621.000000079195</v>
      </c>
      <c r="R256" s="888">
        <f t="shared" si="72"/>
        <v>30002.000000079195</v>
      </c>
      <c r="S256" s="890">
        <f t="shared" si="84"/>
        <v>-467.30000000129439</v>
      </c>
      <c r="T256" s="895">
        <f ca="1">IF(A256&gt;($A$1-1),#N/A,VLOOKUP(A256,Calculation!$B$8:$JO$503,40,FALSE))</f>
        <v>4351.7731803571096</v>
      </c>
      <c r="U256" s="890">
        <f t="shared" si="85"/>
        <v>69.531018137771227</v>
      </c>
      <c r="V256" s="890">
        <f>Calculation!AZ259</f>
        <v>0</v>
      </c>
      <c r="W256" s="1165">
        <f t="shared" ca="1" si="101"/>
        <v>10817.226819722084</v>
      </c>
      <c r="X256" s="1165">
        <f t="shared" ca="1" si="102"/>
        <v>56.685099478510175</v>
      </c>
      <c r="Y256" s="1164">
        <f t="shared" ca="1" si="103"/>
        <v>0</v>
      </c>
      <c r="Z256" s="890">
        <f t="shared" ca="1" si="88"/>
        <v>10817.226819722084</v>
      </c>
      <c r="AA256" s="890">
        <f t="shared" ca="1" si="90"/>
        <v>0</v>
      </c>
      <c r="AB256" s="1165">
        <f t="shared" ca="1" si="99"/>
        <v>15452</v>
      </c>
      <c r="AC256" s="1166">
        <f t="shared" ca="1" si="100"/>
        <v>14833</v>
      </c>
      <c r="AD256" s="860">
        <f ca="1">IF(A256&gt;$A$1,VLOOKUP(A256,Calculation!$B$8:$JO$880,165,FALSE),VLOOKUP(A256,Calculation!$B$8:$JO$880,165,FALSE))</f>
        <v>14833</v>
      </c>
      <c r="AE256" s="399">
        <f t="shared" ca="1" si="86"/>
        <v>-217</v>
      </c>
      <c r="AF256" s="399">
        <f t="shared" ca="1" si="104"/>
        <v>15452</v>
      </c>
      <c r="AG256" s="841">
        <f>Calculation!G259</f>
        <v>97.34694906641738</v>
      </c>
      <c r="AH256" s="847" t="str">
        <f t="shared" si="87"/>
        <v>Yes</v>
      </c>
      <c r="AI256" s="847" t="str">
        <f>IF(Calculation!K259&gt;0,"Yes","No")</f>
        <v>No</v>
      </c>
      <c r="AJ256" s="869">
        <v>34628.740000084646</v>
      </c>
      <c r="AK256" s="870">
        <v>32245.000000081523</v>
      </c>
      <c r="AL256" s="870">
        <v>29970.400000076836</v>
      </c>
      <c r="AN256" s="981">
        <v>33450.000000085281</v>
      </c>
      <c r="AO256" s="894">
        <v>32501.600000082628</v>
      </c>
      <c r="AP256" s="894">
        <v>29286.000000075368</v>
      </c>
      <c r="AQ256" s="894"/>
      <c r="AR256" s="894"/>
      <c r="AS256" s="894"/>
      <c r="AT256" s="894"/>
      <c r="AU256" s="427"/>
      <c r="AV256" s="410"/>
      <c r="AW256" s="442"/>
      <c r="AX256" s="441"/>
      <c r="AY256" s="441"/>
      <c r="AZ256" s="443"/>
      <c r="BB256" s="433"/>
      <c r="BC256" s="432"/>
      <c r="BD256" s="433"/>
      <c r="BE256" s="432"/>
      <c r="BF256" s="433"/>
      <c r="BG256" s="432"/>
      <c r="BH256" s="429"/>
    </row>
    <row r="257" spans="1:60" ht="13.8" thickBot="1" x14ac:dyDescent="0.3">
      <c r="A257" s="406">
        <v>42984</v>
      </c>
      <c r="B257" s="860">
        <f t="shared" si="83"/>
        <v>144.73732000000001</v>
      </c>
      <c r="C257" s="860">
        <f>Calculation!AK260</f>
        <v>0</v>
      </c>
      <c r="D257" s="860">
        <f>Calculation!AI260</f>
        <v>73.128234631079977</v>
      </c>
      <c r="E257" s="860">
        <f>Calculation!AE260</f>
        <v>64.912120000000002</v>
      </c>
      <c r="F257" s="860">
        <f>Calculation!AF260</f>
        <v>79.825199999999995</v>
      </c>
      <c r="G257" s="860">
        <f>Calculation!AG260</f>
        <v>0</v>
      </c>
      <c r="H257" s="861">
        <f>Sheet1!H258</f>
        <v>1.51</v>
      </c>
      <c r="I257" s="841">
        <f>Sheet1!DA258</f>
        <v>335</v>
      </c>
      <c r="J257" s="841">
        <f>Sheet1!DB258</f>
        <v>205</v>
      </c>
      <c r="K257" s="841">
        <f>Sheet1!CZ258</f>
        <v>333</v>
      </c>
      <c r="L257" s="865">
        <f>Calculation!F260</f>
        <v>250</v>
      </c>
      <c r="M257" s="865">
        <f>Calculation!E260</f>
        <v>400</v>
      </c>
      <c r="N257" s="865">
        <f>Calculation!D260</f>
        <v>200</v>
      </c>
      <c r="O257" s="888">
        <f>Sheet1!DC258</f>
        <v>1148.18</v>
      </c>
      <c r="P257" s="889">
        <f>Calculation!FD260</f>
        <v>1126.854716981064</v>
      </c>
      <c r="Q257" s="895">
        <f>Calculation!DP260</f>
        <v>30148.200000077908</v>
      </c>
      <c r="R257" s="888">
        <f t="shared" si="72"/>
        <v>29529.200000077908</v>
      </c>
      <c r="S257" s="890">
        <f t="shared" si="84"/>
        <v>-472.80000000128712</v>
      </c>
      <c r="T257" s="895">
        <f ca="1">IF(A257&gt;($A$1-1),#N/A,VLOOKUP(A257,Calculation!$B$8:$JO$503,40,FALSE))</f>
        <v>4206.7457570551351</v>
      </c>
      <c r="U257" s="890">
        <f t="shared" si="85"/>
        <v>73.128234631079977</v>
      </c>
      <c r="V257" s="890">
        <f>Calculation!AZ260</f>
        <v>4.9807053373709778</v>
      </c>
      <c r="W257" s="1165">
        <f t="shared" ca="1" si="101"/>
        <v>10706.454243022774</v>
      </c>
      <c r="X257" s="1165">
        <f t="shared" ca="1" si="102"/>
        <v>55.861107765663064</v>
      </c>
      <c r="Y257" s="1164">
        <f t="shared" ca="1" si="103"/>
        <v>0</v>
      </c>
      <c r="Z257" s="890">
        <f t="shared" ca="1" si="88"/>
        <v>10706.454243022774</v>
      </c>
      <c r="AA257" s="890">
        <f t="shared" ca="1" si="90"/>
        <v>0</v>
      </c>
      <c r="AB257" s="1165">
        <f t="shared" ca="1" si="99"/>
        <v>15235</v>
      </c>
      <c r="AC257" s="1166">
        <f t="shared" ca="1" si="100"/>
        <v>14616</v>
      </c>
      <c r="AD257" s="860">
        <f ca="1">IF(A257&gt;$A$1,VLOOKUP(A257,Calculation!$B$8:$JO$880,165,FALSE),VLOOKUP(A257,Calculation!$B$8:$JO$880,165,FALSE))</f>
        <v>14616</v>
      </c>
      <c r="AE257" s="399">
        <f t="shared" ca="1" si="86"/>
        <v>-217</v>
      </c>
      <c r="AF257" s="399">
        <f t="shared" ca="1" si="104"/>
        <v>15235</v>
      </c>
      <c r="AG257" s="841">
        <f>Calculation!G260</f>
        <v>94.573373675599072</v>
      </c>
      <c r="AH257" s="847" t="str">
        <f t="shared" si="87"/>
        <v>Yes</v>
      </c>
      <c r="AI257" s="847" t="str">
        <f>IF(Calculation!K260&gt;0,"Yes","No")</f>
        <v>No</v>
      </c>
      <c r="AJ257" s="869">
        <v>34320.850000084429</v>
      </c>
      <c r="AK257" s="870">
        <v>31913.80000008221</v>
      </c>
      <c r="AL257" s="870">
        <v>30130.400000077909</v>
      </c>
      <c r="AN257" s="981">
        <v>33264.000000084161</v>
      </c>
      <c r="AO257" s="894">
        <v>32281.400000081521</v>
      </c>
      <c r="AP257" s="894">
        <v>28902.600000074111</v>
      </c>
      <c r="AQ257" s="894"/>
      <c r="AR257" s="894"/>
      <c r="AS257" s="894"/>
      <c r="AT257" s="894"/>
      <c r="AU257" s="427"/>
      <c r="AV257" s="410"/>
      <c r="AW257" s="442"/>
      <c r="AX257" s="441"/>
      <c r="AY257" s="441"/>
      <c r="AZ257" s="443"/>
      <c r="BB257" s="433"/>
      <c r="BC257" s="432"/>
      <c r="BD257" s="433"/>
      <c r="BE257" s="432"/>
      <c r="BF257" s="433"/>
      <c r="BG257" s="432"/>
      <c r="BH257" s="429"/>
    </row>
    <row r="258" spans="1:60" ht="13.8" thickBot="1" x14ac:dyDescent="0.3">
      <c r="A258" s="406">
        <v>42985</v>
      </c>
      <c r="B258" s="860">
        <f t="shared" si="83"/>
        <v>131.71158</v>
      </c>
      <c r="C258" s="860">
        <f>Calculation!AK261</f>
        <v>0</v>
      </c>
      <c r="D258" s="860">
        <f>Calculation!AI261</f>
        <v>68.128314415726251</v>
      </c>
      <c r="E258" s="860">
        <f>Calculation!AE261</f>
        <v>46.874099999999999</v>
      </c>
      <c r="F258" s="860">
        <f>Calculation!AF261</f>
        <v>84.837479999999999</v>
      </c>
      <c r="G258" s="860">
        <f>Calculation!AG261</f>
        <v>0</v>
      </c>
      <c r="H258" s="861">
        <f>Sheet1!H259</f>
        <v>1.46</v>
      </c>
      <c r="I258" s="841">
        <f>Sheet1!DA259</f>
        <v>349</v>
      </c>
      <c r="J258" s="841">
        <f>Sheet1!DB259</f>
        <v>207</v>
      </c>
      <c r="K258" s="841">
        <f>Sheet1!CZ259</f>
        <v>333</v>
      </c>
      <c r="L258" s="865">
        <f>Calculation!F261</f>
        <v>250</v>
      </c>
      <c r="M258" s="865">
        <f>Calculation!E261</f>
        <v>400</v>
      </c>
      <c r="N258" s="865">
        <f>Calculation!D261</f>
        <v>200</v>
      </c>
      <c r="O258" s="888">
        <f>Sheet1!DC259</f>
        <v>1147.6500000000001</v>
      </c>
      <c r="P258" s="889">
        <f>Calculation!FD261</f>
        <v>1126.4471698112529</v>
      </c>
      <c r="Q258" s="895">
        <f>Calculation!DP261</f>
        <v>29681.000000076634</v>
      </c>
      <c r="R258" s="888">
        <f t="shared" si="72"/>
        <v>29062.000000076634</v>
      </c>
      <c r="S258" s="890">
        <f t="shared" si="84"/>
        <v>-467.20000000127402</v>
      </c>
      <c r="T258" s="895">
        <f ca="1">IF(A258&gt;($A$1-1),#N/A,VLOOKUP(A258,Calculation!$B$8:$JO$503,40,FALSE))</f>
        <v>4071.6341419113419</v>
      </c>
      <c r="U258" s="890">
        <f t="shared" si="85"/>
        <v>68.128314415726251</v>
      </c>
      <c r="V258" s="890">
        <f>Calculation!AZ261</f>
        <v>0</v>
      </c>
      <c r="W258" s="1165">
        <f t="shared" ca="1" si="101"/>
        <v>10590.365858165293</v>
      </c>
      <c r="X258" s="1165">
        <f t="shared" ca="1" si="102"/>
        <v>58.541797709269424</v>
      </c>
      <c r="Y258" s="1164">
        <f t="shared" ca="1" si="103"/>
        <v>0</v>
      </c>
      <c r="Z258" s="890">
        <f t="shared" ca="1" si="88"/>
        <v>10590.365858165293</v>
      </c>
      <c r="AA258" s="890">
        <f t="shared" ca="1" si="90"/>
        <v>0</v>
      </c>
      <c r="AB258" s="1165">
        <f t="shared" ca="1" si="99"/>
        <v>15019</v>
      </c>
      <c r="AC258" s="1166">
        <f t="shared" ca="1" si="100"/>
        <v>14400</v>
      </c>
      <c r="AD258" s="860">
        <f ca="1">IF(A258&gt;$A$1,VLOOKUP(A258,Calculation!$B$8:$JO$880,165,FALSE),VLOOKUP(A258,Calculation!$B$8:$JO$880,165,FALSE))</f>
        <v>14400</v>
      </c>
      <c r="AE258" s="399">
        <f t="shared" ca="1" si="86"/>
        <v>-216</v>
      </c>
      <c r="AF258" s="399">
        <f t="shared" ca="1" si="104"/>
        <v>15019</v>
      </c>
      <c r="AG258" s="841">
        <f>Calculation!G261</f>
        <v>97.397377709897142</v>
      </c>
      <c r="AH258" s="847" t="str">
        <f t="shared" si="87"/>
        <v>Yes</v>
      </c>
      <c r="AI258" s="847" t="str">
        <f>IF(Calculation!K261&gt;0,"Yes","No")</f>
        <v>No</v>
      </c>
      <c r="AJ258" s="869">
        <v>34003.630000084013</v>
      </c>
      <c r="AK258" s="870">
        <v>31559.000000080014</v>
      </c>
      <c r="AL258" s="870">
        <v>29988.000000077707</v>
      </c>
      <c r="AN258" s="981">
        <v>32937.50000008395</v>
      </c>
      <c r="AO258" s="894">
        <v>32033.400000082209</v>
      </c>
      <c r="AP258" s="894">
        <v>28565.200000073721</v>
      </c>
      <c r="AQ258" s="894"/>
      <c r="AR258" s="894"/>
      <c r="AS258" s="894"/>
      <c r="AT258" s="894"/>
      <c r="AU258" s="427"/>
      <c r="AV258" s="410"/>
      <c r="AW258" s="442"/>
      <c r="AX258" s="441"/>
      <c r="AY258" s="441"/>
      <c r="AZ258" s="443"/>
      <c r="BB258" s="433"/>
      <c r="BC258" s="432"/>
      <c r="BD258" s="433"/>
      <c r="BE258" s="432"/>
      <c r="BF258" s="433"/>
      <c r="BG258" s="432"/>
      <c r="BH258" s="429"/>
    </row>
    <row r="259" spans="1:60" ht="13.8" thickBot="1" x14ac:dyDescent="0.3">
      <c r="A259" s="406">
        <v>42986</v>
      </c>
      <c r="B259" s="860">
        <f t="shared" si="83"/>
        <v>126.63741999999999</v>
      </c>
      <c r="C259" s="860">
        <f>Calculation!AK262</f>
        <v>0</v>
      </c>
      <c r="D259" s="860">
        <f>Calculation!AI262</f>
        <v>55.445051924610368</v>
      </c>
      <c r="E259" s="860">
        <f>Calculation!AE262</f>
        <v>41.444129999999994</v>
      </c>
      <c r="F259" s="860">
        <f>Calculation!AF262</f>
        <v>85.19328999999999</v>
      </c>
      <c r="G259" s="860">
        <f>Calculation!AG262</f>
        <v>0</v>
      </c>
      <c r="H259" s="861">
        <f>Sheet1!H260</f>
        <v>1.49</v>
      </c>
      <c r="I259" s="841">
        <f>Sheet1!DA260</f>
        <v>359</v>
      </c>
      <c r="J259" s="841">
        <f>Sheet1!DB260</f>
        <v>187</v>
      </c>
      <c r="K259" s="841">
        <f>Sheet1!CZ260</f>
        <v>314</v>
      </c>
      <c r="L259" s="865">
        <f>Calculation!F262</f>
        <v>250</v>
      </c>
      <c r="M259" s="865">
        <f>Calculation!E262</f>
        <v>400</v>
      </c>
      <c r="N259" s="865">
        <f>Calculation!D262</f>
        <v>200</v>
      </c>
      <c r="O259" s="888">
        <f>Sheet1!DC260</f>
        <v>1147.1400000000001</v>
      </c>
      <c r="P259" s="889">
        <f>Calculation!FD262</f>
        <v>1126.0407407406733</v>
      </c>
      <c r="Q259" s="895">
        <f>Calculation!DP262</f>
        <v>29233.200000076235</v>
      </c>
      <c r="R259" s="888">
        <f t="shared" si="72"/>
        <v>28614.200000076235</v>
      </c>
      <c r="S259" s="890">
        <f t="shared" si="84"/>
        <v>-447.80000000039945</v>
      </c>
      <c r="T259" s="895">
        <f ca="1">IF(A259&gt;($A$1-1),#N/A,VLOOKUP(A259,Calculation!$B$8:$JO$503,40,FALSE))</f>
        <v>3961.6758876742997</v>
      </c>
      <c r="U259" s="890">
        <f t="shared" si="85"/>
        <v>55.445051924610368</v>
      </c>
      <c r="V259" s="890">
        <f>Calculation!AZ262</f>
        <v>0</v>
      </c>
      <c r="W259" s="1165">
        <f t="shared" ca="1" si="101"/>
        <v>10469.524112401934</v>
      </c>
      <c r="X259" s="1165">
        <f t="shared" ca="1" si="102"/>
        <v>60.938853133312463</v>
      </c>
      <c r="Y259" s="1164">
        <f t="shared" ca="1" si="103"/>
        <v>0</v>
      </c>
      <c r="Z259" s="890">
        <f ca="1">W259-Y259</f>
        <v>10469.524112401934</v>
      </c>
      <c r="AA259" s="890">
        <f ca="1">IF(AB259&gt;=24257,Q259-T259-W259-24257,0)</f>
        <v>0</v>
      </c>
      <c r="AB259" s="1165">
        <f t="shared" ca="1" si="99"/>
        <v>14802</v>
      </c>
      <c r="AC259" s="1166">
        <f t="shared" ca="1" si="100"/>
        <v>14183</v>
      </c>
      <c r="AD259" s="860">
        <f ca="1">IF(A259&gt;$A$1,VLOOKUP(A259,Calculation!$B$8:$JO$880,165,FALSE),VLOOKUP(A259,Calculation!$B$8:$JO$880,165,FALSE))</f>
        <v>14183</v>
      </c>
      <c r="AE259" s="399">
        <f t="shared" ca="1" si="86"/>
        <v>-217</v>
      </c>
      <c r="AF259" s="399">
        <f t="shared" ca="1" si="104"/>
        <v>14802</v>
      </c>
      <c r="AG259" s="841">
        <f>Calculation!G262</f>
        <v>88.180534543419384</v>
      </c>
      <c r="AH259" s="847" t="str">
        <f t="shared" si="87"/>
        <v>Yes</v>
      </c>
      <c r="AI259" s="847" t="str">
        <f>IF(Calculation!K262&gt;0,"Yes","No")</f>
        <v>No</v>
      </c>
      <c r="AJ259" s="869">
        <v>33698.820000082538</v>
      </c>
      <c r="AK259" s="870">
        <v>31179.000000079603</v>
      </c>
      <c r="AL259" s="870">
        <v>29759.800000075764</v>
      </c>
      <c r="AN259" s="372">
        <v>32612.000000082837</v>
      </c>
      <c r="AO259" s="894">
        <v>31794.200000082001</v>
      </c>
      <c r="AP259" s="894">
        <v>28219.500000072669</v>
      </c>
      <c r="AQ259" s="894"/>
      <c r="AR259" s="894"/>
      <c r="AS259" s="894"/>
      <c r="AT259" s="894"/>
      <c r="AU259" s="427"/>
      <c r="AV259" s="410"/>
      <c r="AW259" s="442"/>
      <c r="AX259" s="441"/>
      <c r="AY259" s="441"/>
      <c r="AZ259" s="443"/>
      <c r="BB259" s="433"/>
      <c r="BC259" s="432"/>
      <c r="BD259" s="433"/>
      <c r="BE259" s="432"/>
      <c r="BF259" s="433"/>
      <c r="BG259" s="432"/>
      <c r="BH259" s="429"/>
    </row>
    <row r="260" spans="1:60" ht="13.8" thickBot="1" x14ac:dyDescent="0.3">
      <c r="A260" s="406">
        <v>42987</v>
      </c>
      <c r="B260" s="860">
        <f t="shared" si="83"/>
        <v>124.22409999999999</v>
      </c>
      <c r="C260" s="860">
        <f>Calculation!AK263</f>
        <v>0</v>
      </c>
      <c r="D260" s="860">
        <f>Calculation!AI263</f>
        <v>54.144999999999996</v>
      </c>
      <c r="E260" s="860">
        <f>Calculation!AE263</f>
        <v>39.309269999999998</v>
      </c>
      <c r="F260" s="860">
        <f>Calculation!AF263</f>
        <v>84.914829999999995</v>
      </c>
      <c r="G260" s="860">
        <f>Calculation!AG263</f>
        <v>0</v>
      </c>
      <c r="H260" s="861">
        <f>Sheet1!H261</f>
        <v>1.49</v>
      </c>
      <c r="I260" s="841">
        <f>Sheet1!DA261</f>
        <v>340</v>
      </c>
      <c r="J260" s="841">
        <f>Sheet1!DB261</f>
        <v>196</v>
      </c>
      <c r="K260" s="841">
        <f>Sheet1!CZ261</f>
        <v>314</v>
      </c>
      <c r="L260" s="865">
        <f>Calculation!F263</f>
        <v>250</v>
      </c>
      <c r="M260" s="865">
        <f>Calculation!E263</f>
        <v>400</v>
      </c>
      <c r="N260" s="865">
        <f>Calculation!D263</f>
        <v>200</v>
      </c>
      <c r="O260" s="888">
        <f>Sheet1!DC261</f>
        <v>1146.6500000000001</v>
      </c>
      <c r="P260" s="889">
        <f>Calculation!FD263</f>
        <v>1125.6249999999332</v>
      </c>
      <c r="Q260" s="895">
        <f>Calculation!DP263</f>
        <v>28807.500000074971</v>
      </c>
      <c r="R260" s="888">
        <f t="shared" si="72"/>
        <v>28188.500000074971</v>
      </c>
      <c r="S260" s="890">
        <f t="shared" si="84"/>
        <v>-425.70000000126311</v>
      </c>
      <c r="T260" s="895">
        <f ca="1">IF(A260&gt;($A$1-1),#N/A,VLOOKUP(A260,Calculation!$B$8:$JO$503,40,FALSE))</f>
        <v>3854.2958876742996</v>
      </c>
      <c r="U260" s="890">
        <f t="shared" si="85"/>
        <v>54.144999999999996</v>
      </c>
      <c r="V260" s="890">
        <f>Calculation!AZ263</f>
        <v>0</v>
      </c>
      <c r="W260" s="1165">
        <f t="shared" ca="1" si="101"/>
        <v>10368.204112400672</v>
      </c>
      <c r="X260" s="1165">
        <f t="shared" ca="1" si="102"/>
        <v>51.094301563924397</v>
      </c>
      <c r="Y260" s="1164">
        <f t="shared" ca="1" si="103"/>
        <v>0</v>
      </c>
      <c r="Z260" s="890">
        <f ca="1">W260-Y260</f>
        <v>10368.204112400672</v>
      </c>
      <c r="AA260" s="890">
        <f ca="1">IF(AB260&gt;=24257,Q260-T260-W260-24257,0)</f>
        <v>0</v>
      </c>
      <c r="AB260" s="1165">
        <f t="shared" ca="1" si="99"/>
        <v>14585</v>
      </c>
      <c r="AC260" s="1166">
        <f t="shared" ca="1" si="100"/>
        <v>13966</v>
      </c>
      <c r="AD260" s="860">
        <f ca="1">IF(A260&gt;$A$1,VLOOKUP(A260,Calculation!$B$8:$JO$880,165,FALSE),VLOOKUP(A260,Calculation!$B$8:$JO$880,165,FALSE))</f>
        <v>13966</v>
      </c>
      <c r="AE260" s="399">
        <f t="shared" ca="1" si="86"/>
        <v>-217</v>
      </c>
      <c r="AF260" s="399">
        <f t="shared" ca="1" si="104"/>
        <v>14585</v>
      </c>
      <c r="AG260" s="841">
        <f>Calculation!G263</f>
        <v>99.32526474974128</v>
      </c>
      <c r="AH260" s="847" t="str">
        <f t="shared" si="87"/>
        <v>Yes</v>
      </c>
      <c r="AI260" s="847" t="str">
        <f>IF(Calculation!K263&gt;0,"Yes","No")</f>
        <v>No</v>
      </c>
      <c r="AJ260" s="869">
        <v>33395.55000008233</v>
      </c>
      <c r="AK260" s="870">
        <v>30782.100000078517</v>
      </c>
      <c r="AL260" s="870">
        <v>29522.600000076432</v>
      </c>
      <c r="AN260" s="372">
        <v>32281.400000081521</v>
      </c>
      <c r="AO260" s="894">
        <v>31550.000000080014</v>
      </c>
      <c r="AP260" s="894">
        <v>27844.500000072283</v>
      </c>
      <c r="AQ260" s="894"/>
      <c r="AR260" s="894"/>
      <c r="AS260" s="894"/>
      <c r="AT260" s="894"/>
      <c r="AU260" s="427"/>
      <c r="AV260" s="410"/>
      <c r="AW260" s="442"/>
      <c r="AX260" s="441"/>
      <c r="AY260" s="441"/>
      <c r="AZ260" s="443"/>
      <c r="BB260" s="433"/>
      <c r="BC260" s="432"/>
      <c r="BD260" s="433"/>
      <c r="BE260" s="432"/>
      <c r="BF260" s="433"/>
      <c r="BG260" s="432"/>
      <c r="BH260" s="429"/>
    </row>
    <row r="261" spans="1:60" ht="13.8" thickBot="1" x14ac:dyDescent="0.3">
      <c r="A261" s="406">
        <v>42988</v>
      </c>
      <c r="B261" s="860">
        <f t="shared" si="83"/>
        <v>125.13683</v>
      </c>
      <c r="C261" s="860">
        <f>Calculation!AK264</f>
        <v>0</v>
      </c>
      <c r="D261" s="860">
        <f>Calculation!AI264</f>
        <v>54.149176872191262</v>
      </c>
      <c r="E261" s="860">
        <f>Calculation!AE264</f>
        <v>39.262859999999996</v>
      </c>
      <c r="F261" s="860">
        <f>Calculation!AF264</f>
        <v>85.87397</v>
      </c>
      <c r="G261" s="860">
        <f>Calculation!AG264</f>
        <v>0</v>
      </c>
      <c r="H261" s="861">
        <f>Sheet1!H262</f>
        <v>1.5</v>
      </c>
      <c r="I261" s="841">
        <f>Sheet1!DA261</f>
        <v>340</v>
      </c>
      <c r="J261" s="841">
        <f>Sheet1!DB262</f>
        <v>190</v>
      </c>
      <c r="K261" s="841">
        <f>Sheet1!CZ262</f>
        <v>311</v>
      </c>
      <c r="L261" s="865">
        <f>Calculation!F264</f>
        <v>250</v>
      </c>
      <c r="M261" s="865">
        <f>Calculation!E264</f>
        <v>400</v>
      </c>
      <c r="N261" s="865">
        <f>Calculation!D264</f>
        <v>200</v>
      </c>
      <c r="O261" s="888">
        <f>Sheet1!DC262</f>
        <v>1146.1600000000001</v>
      </c>
      <c r="P261" s="889">
        <f>Calculation!FD264</f>
        <v>1125.2057692307026</v>
      </c>
      <c r="Q261" s="895">
        <f>Calculation!DP264</f>
        <v>28383.600000073719</v>
      </c>
      <c r="R261" s="888">
        <f t="shared" si="72"/>
        <v>27764.600000073719</v>
      </c>
      <c r="S261" s="890">
        <f t="shared" si="84"/>
        <v>-423.90000000125292</v>
      </c>
      <c r="T261" s="895">
        <f ca="1">IF(A261&gt;($A$1-1),#N/A,VLOOKUP(A261,Calculation!$B$8:$JO$503,40,FALSE))</f>
        <v>3746.9076041294497</v>
      </c>
      <c r="U261" s="890">
        <f t="shared" si="85"/>
        <v>54.149176872191262</v>
      </c>
      <c r="V261" s="890">
        <f>Calculation!AZ264</f>
        <v>0</v>
      </c>
      <c r="W261" s="1165">
        <f t="shared" ca="1" si="101"/>
        <v>10267.692395944268</v>
      </c>
      <c r="X261" s="1165">
        <f t="shared" ca="1" si="102"/>
        <v>50.686695136865104</v>
      </c>
      <c r="Y261" s="1164">
        <f t="shared" ca="1" si="103"/>
        <v>0</v>
      </c>
      <c r="Z261" s="890">
        <f t="shared" ca="1" si="88"/>
        <v>10267.692395944268</v>
      </c>
      <c r="AA261" s="890">
        <f t="shared" ca="1" si="90"/>
        <v>0</v>
      </c>
      <c r="AB261" s="1165">
        <f t="shared" ca="1" si="99"/>
        <v>14369</v>
      </c>
      <c r="AC261" s="1166">
        <f t="shared" ca="1" si="100"/>
        <v>13750</v>
      </c>
      <c r="AD261" s="860">
        <f ca="1">IF(A261&gt;$A$1,VLOOKUP(A261,Calculation!$B$8:$JO$880,165,FALSE),VLOOKUP(A261,Calculation!$B$8:$JO$880,165,FALSE))</f>
        <v>13750</v>
      </c>
      <c r="AE261" s="399">
        <f t="shared" ca="1" si="86"/>
        <v>-216</v>
      </c>
      <c r="AF261" s="399">
        <f t="shared" ca="1" si="104"/>
        <v>14369</v>
      </c>
      <c r="AG261" s="841">
        <f>Calculation!G264</f>
        <v>97.232980332197258</v>
      </c>
      <c r="AH261" s="847" t="str">
        <f t="shared" si="87"/>
        <v>Yes</v>
      </c>
      <c r="AI261" s="847" t="str">
        <f>IF(Calculation!K264&gt;0,"Yes","No")</f>
        <v>No</v>
      </c>
      <c r="AJ261" s="869">
        <v>33073.900000081914</v>
      </c>
      <c r="AK261" s="870">
        <v>30398.400000078112</v>
      </c>
      <c r="AL261" s="870">
        <v>29224.400000076235</v>
      </c>
      <c r="AN261" s="372">
        <v>31895.400000082001</v>
      </c>
      <c r="AO261" s="894">
        <v>31278.400000080695</v>
      </c>
      <c r="AP261" s="894">
        <v>27427.000000071894</v>
      </c>
      <c r="AQ261" s="894"/>
      <c r="AR261" s="894"/>
      <c r="AS261" s="894"/>
      <c r="AT261" s="894"/>
      <c r="AU261" s="427"/>
      <c r="AV261" s="410"/>
      <c r="AW261" s="442"/>
      <c r="AX261" s="441"/>
      <c r="AY261" s="441"/>
      <c r="AZ261" s="443"/>
      <c r="BB261" s="433"/>
      <c r="BC261" s="432"/>
      <c r="BD261" s="433"/>
      <c r="BE261" s="432"/>
      <c r="BF261" s="433"/>
      <c r="BG261" s="432"/>
      <c r="BH261" s="429"/>
    </row>
    <row r="262" spans="1:60" ht="13.8" thickBot="1" x14ac:dyDescent="0.3">
      <c r="A262" s="406">
        <v>42989</v>
      </c>
      <c r="B262" s="860">
        <f t="shared" si="83"/>
        <v>125.33794</v>
      </c>
      <c r="C262" s="860">
        <f>Calculation!AK265</f>
        <v>0</v>
      </c>
      <c r="D262" s="860">
        <f>Calculation!AI265</f>
        <v>54.144999999999996</v>
      </c>
      <c r="E262" s="860">
        <f>Calculation!AE265</f>
        <v>40.871740000000003</v>
      </c>
      <c r="F262" s="860">
        <f>Calculation!AF265</f>
        <v>84.466200000000001</v>
      </c>
      <c r="G262" s="860">
        <f>Calculation!AG265</f>
        <v>0</v>
      </c>
      <c r="H262" s="861">
        <f>Sheet1!H263</f>
        <v>1.5</v>
      </c>
      <c r="I262" s="841">
        <f>Sheet1!DA263</f>
        <v>331</v>
      </c>
      <c r="J262" s="841">
        <f>Sheet1!DB263</f>
        <v>194</v>
      </c>
      <c r="K262" s="841">
        <f>Sheet1!CZ263</f>
        <v>325</v>
      </c>
      <c r="L262" s="865">
        <f>Calculation!F265</f>
        <v>250</v>
      </c>
      <c r="M262" s="865">
        <f>Calculation!E265</f>
        <v>400</v>
      </c>
      <c r="N262" s="865">
        <f>Calculation!D265</f>
        <v>200</v>
      </c>
      <c r="O262" s="888">
        <f>Sheet1!DC263</f>
        <v>1145.6600000000001</v>
      </c>
      <c r="P262" s="889">
        <f>Calculation!FD265</f>
        <v>1124.7803921567966</v>
      </c>
      <c r="Q262" s="895">
        <f>Calculation!DP265</f>
        <v>27955.000000072476</v>
      </c>
      <c r="R262" s="888">
        <f t="shared" ref="R262:R325" si="105">Q262-619</f>
        <v>27336.000000072476</v>
      </c>
      <c r="S262" s="890">
        <f t="shared" si="84"/>
        <v>-428.60000000124273</v>
      </c>
      <c r="T262" s="895">
        <f ca="1">IF(A262&gt;($A$1-1),#N/A,VLOOKUP(A262,Calculation!$B$8:$JO$503,40,FALSE))</f>
        <v>3639.5276041294496</v>
      </c>
      <c r="U262" s="890">
        <f t="shared" si="85"/>
        <v>54.144999999999996</v>
      </c>
      <c r="V262" s="890">
        <f>Calculation!AZ265</f>
        <v>0</v>
      </c>
      <c r="W262" s="1165">
        <f t="shared" ca="1" si="101"/>
        <v>10163.472395943027</v>
      </c>
      <c r="X262" s="1165">
        <f t="shared" ca="1" si="102"/>
        <v>52.556732224529348</v>
      </c>
      <c r="Y262" s="1164">
        <f t="shared" ca="1" si="103"/>
        <v>0</v>
      </c>
      <c r="Z262" s="890">
        <f t="shared" ca="1" si="88"/>
        <v>10163.472395943027</v>
      </c>
      <c r="AA262" s="890">
        <f t="shared" ca="1" si="90"/>
        <v>0</v>
      </c>
      <c r="AB262" s="1165">
        <f t="shared" ca="1" si="99"/>
        <v>14152</v>
      </c>
      <c r="AC262" s="1166">
        <f t="shared" ca="1" si="100"/>
        <v>13533</v>
      </c>
      <c r="AD262" s="860">
        <f ca="1">IF(A262&gt;$A$1,VLOOKUP(A262,Calculation!$B$8:$JO$880,165,FALSE),VLOOKUP(A262,Calculation!$B$8:$JO$880,165,FALSE))</f>
        <v>13533</v>
      </c>
      <c r="AE262" s="399">
        <f t="shared" ca="1" si="86"/>
        <v>-217</v>
      </c>
      <c r="AF262" s="399">
        <f t="shared" ca="1" si="104"/>
        <v>14152</v>
      </c>
      <c r="AG262" s="841">
        <f>Calculation!G265</f>
        <v>108.86283408913633</v>
      </c>
      <c r="AH262" s="847" t="str">
        <f t="shared" si="87"/>
        <v>Yes</v>
      </c>
      <c r="AI262" s="847" t="str">
        <f>IF(Calculation!K265&gt;0,"Yes","No")</f>
        <v>No</v>
      </c>
      <c r="AJ262" s="869">
        <v>32755.750000080458</v>
      </c>
      <c r="AK262" s="870">
        <v>30094.800000077706</v>
      </c>
      <c r="AL262" s="870">
        <v>28876.800000074109</v>
      </c>
      <c r="AN262" s="372">
        <v>31477.600000080904</v>
      </c>
      <c r="AO262" s="894">
        <v>30998.000000079603</v>
      </c>
      <c r="AP262" s="894">
        <v>27025.800000069827</v>
      </c>
      <c r="AQ262" s="894"/>
      <c r="AR262" s="894"/>
      <c r="AS262" s="894"/>
      <c r="AT262" s="894"/>
      <c r="AU262" s="427"/>
      <c r="AV262" s="410"/>
      <c r="AW262" s="442"/>
      <c r="AX262" s="441"/>
      <c r="AY262" s="441"/>
      <c r="AZ262" s="443"/>
      <c r="BB262" s="433"/>
      <c r="BC262" s="432"/>
      <c r="BD262" s="433"/>
      <c r="BE262" s="432"/>
      <c r="BF262" s="433"/>
      <c r="BG262" s="432"/>
      <c r="BH262" s="429"/>
    </row>
    <row r="263" spans="1:60" ht="13.8" thickBot="1" x14ac:dyDescent="0.3">
      <c r="A263" s="406">
        <v>42990</v>
      </c>
      <c r="B263" s="860">
        <f t="shared" si="83"/>
        <v>124.06939999999999</v>
      </c>
      <c r="C263" s="860">
        <f>Calculation!AK266</f>
        <v>0</v>
      </c>
      <c r="D263" s="860">
        <f>Calculation!AI266</f>
        <v>54.144999999999996</v>
      </c>
      <c r="E263" s="860">
        <f>Calculation!AE266</f>
        <v>43.934799999999996</v>
      </c>
      <c r="F263" s="860">
        <f>Calculation!AF266</f>
        <v>80.134599999999992</v>
      </c>
      <c r="G263" s="860">
        <f>Calculation!AG266</f>
        <v>0</v>
      </c>
      <c r="H263" s="861">
        <f>Sheet1!H264</f>
        <v>1.51</v>
      </c>
      <c r="I263" s="841">
        <f>Sheet1!DA264</f>
        <v>345</v>
      </c>
      <c r="J263" s="841">
        <f>Sheet1!DB264</f>
        <v>192</v>
      </c>
      <c r="K263" s="841">
        <f>Sheet1!CZ264</f>
        <v>322</v>
      </c>
      <c r="L263" s="865">
        <f>Calculation!F266</f>
        <v>250</v>
      </c>
      <c r="M263" s="865">
        <f>Calculation!E266</f>
        <v>400</v>
      </c>
      <c r="N263" s="865">
        <f>Calculation!D266</f>
        <v>200</v>
      </c>
      <c r="O263" s="888">
        <f>Sheet1!DC264</f>
        <v>1145.1199999999999</v>
      </c>
      <c r="P263" s="889">
        <f>Calculation!FD266</f>
        <v>1124.3519999999342</v>
      </c>
      <c r="Q263" s="895">
        <f>Calculation!DP266</f>
        <v>27495.000000071894</v>
      </c>
      <c r="R263" s="888">
        <f t="shared" si="105"/>
        <v>26876.000000071894</v>
      </c>
      <c r="S263" s="890">
        <f t="shared" si="84"/>
        <v>-460.00000000058208</v>
      </c>
      <c r="T263" s="895">
        <f ca="1">IF(A263&gt;($A$1-1),#N/A,VLOOKUP(A263,Calculation!$B$8:$JO$503,40,FALSE))</f>
        <v>3532.1476041294495</v>
      </c>
      <c r="U263" s="890">
        <f t="shared" si="85"/>
        <v>54.144999999999996</v>
      </c>
      <c r="V263" s="890">
        <f>Calculation!AZ266</f>
        <v>0</v>
      </c>
      <c r="W263" s="1165">
        <f t="shared" ca="1" si="101"/>
        <v>10027.852395942446</v>
      </c>
      <c r="X263" s="1165">
        <f t="shared" ca="1" si="102"/>
        <v>68.391326273616258</v>
      </c>
      <c r="Y263" s="1164">
        <f t="shared" ca="1" si="103"/>
        <v>0</v>
      </c>
      <c r="Z263" s="890">
        <f t="shared" ca="1" si="88"/>
        <v>10027.852395942446</v>
      </c>
      <c r="AA263" s="890">
        <f t="shared" ca="1" si="90"/>
        <v>0</v>
      </c>
      <c r="AB263" s="1165">
        <f t="shared" ca="1" si="99"/>
        <v>13935</v>
      </c>
      <c r="AC263" s="1166">
        <f t="shared" ca="1" si="100"/>
        <v>13316</v>
      </c>
      <c r="AD263" s="860">
        <f ca="1">IF(A263&gt;$A$1,VLOOKUP(A263,Calculation!$B$8:$JO$880,165,FALSE),VLOOKUP(A263,Calculation!$B$8:$JO$880,165,FALSE))</f>
        <v>13316</v>
      </c>
      <c r="AE263" s="399">
        <f t="shared" ca="1" si="86"/>
        <v>-217</v>
      </c>
      <c r="AF263" s="399">
        <f t="shared" ca="1" si="104"/>
        <v>13935</v>
      </c>
      <c r="AG263" s="841">
        <f>Calculation!G266</f>
        <v>90.028240040049411</v>
      </c>
      <c r="AH263" s="847" t="str">
        <f t="shared" si="87"/>
        <v>Yes</v>
      </c>
      <c r="AI263" s="847" t="str">
        <f>IF(Calculation!K266&gt;0,"Yes","No")</f>
        <v>No</v>
      </c>
      <c r="AJ263" s="869">
        <v>32439.00000008025</v>
      </c>
      <c r="AK263" s="870">
        <v>29777.200000075762</v>
      </c>
      <c r="AL263" s="870">
        <v>28505.00000007372</v>
      </c>
      <c r="AN263" s="372">
        <v>31061.000000080487</v>
      </c>
      <c r="AO263" s="894">
        <v>30710.900000078313</v>
      </c>
      <c r="AP263" s="894">
        <v>26608.800000069448</v>
      </c>
      <c r="AQ263" s="894"/>
      <c r="AR263" s="894"/>
      <c r="AS263" s="894"/>
      <c r="AT263" s="894"/>
      <c r="AU263" s="427"/>
      <c r="AV263" s="410"/>
      <c r="AW263" s="442"/>
      <c r="AX263" s="441"/>
      <c r="AY263" s="441"/>
      <c r="AZ263" s="443"/>
      <c r="BB263" s="433"/>
      <c r="BC263" s="432"/>
      <c r="BD263" s="433"/>
      <c r="BE263" s="432"/>
      <c r="BF263" s="433"/>
      <c r="BG263" s="432"/>
      <c r="BH263" s="429"/>
    </row>
    <row r="264" spans="1:60" ht="13.8" thickBot="1" x14ac:dyDescent="0.3">
      <c r="A264" s="406">
        <v>42991</v>
      </c>
      <c r="B264" s="860">
        <f t="shared" si="83"/>
        <v>124.34786</v>
      </c>
      <c r="C264" s="860">
        <f>Calculation!AK267</f>
        <v>0</v>
      </c>
      <c r="D264" s="860">
        <f>Calculation!AI267</f>
        <v>54.144999999999996</v>
      </c>
      <c r="E264" s="860">
        <f>Calculation!AE267</f>
        <v>44.089500000000001</v>
      </c>
      <c r="F264" s="860">
        <f>Calculation!AF267</f>
        <v>80.258359999999996</v>
      </c>
      <c r="G264" s="860">
        <f>Calculation!AG267</f>
        <v>0</v>
      </c>
      <c r="H264" s="861">
        <f>Sheet1!H265</f>
        <v>1.64</v>
      </c>
      <c r="I264" s="841">
        <f>Sheet1!DA265</f>
        <v>340</v>
      </c>
      <c r="J264" s="841">
        <f>Sheet1!DB265</f>
        <v>196</v>
      </c>
      <c r="K264" s="841">
        <f>Sheet1!CZ265</f>
        <v>322</v>
      </c>
      <c r="L264" s="865">
        <f>Calculation!F267</f>
        <v>250</v>
      </c>
      <c r="M264" s="865">
        <f>Calculation!E267</f>
        <v>400</v>
      </c>
      <c r="N264" s="865">
        <f>Calculation!D267</f>
        <v>200</v>
      </c>
      <c r="O264" s="888">
        <f>Sheet1!DC265</f>
        <v>1144.58</v>
      </c>
      <c r="P264" s="889">
        <f>Calculation!FD267</f>
        <v>1123.9183673468733</v>
      </c>
      <c r="Q264" s="895">
        <f>Calculation!DP267</f>
        <v>27042.400000069825</v>
      </c>
      <c r="R264" s="888">
        <f t="shared" si="105"/>
        <v>26423.400000069825</v>
      </c>
      <c r="S264" s="890">
        <f t="shared" si="84"/>
        <v>-452.60000000206855</v>
      </c>
      <c r="T264" s="895">
        <f ca="1">IF(A264&gt;($A$1-1),#N/A,VLOOKUP(A264,Calculation!$B$8:$JO$503,40,FALSE))</f>
        <v>3424.7676041294499</v>
      </c>
      <c r="U264" s="890">
        <f t="shared" si="85"/>
        <v>54.144999999999996</v>
      </c>
      <c r="V264" s="890">
        <f>Calculation!AZ267</f>
        <v>0</v>
      </c>
      <c r="W264" s="1165">
        <f t="shared" ca="1" si="101"/>
        <v>9898.6323959403744</v>
      </c>
      <c r="X264" s="1165">
        <f t="shared" ca="1" si="102"/>
        <v>65.163893092320308</v>
      </c>
      <c r="Y264" s="1164">
        <f t="shared" ca="1" si="103"/>
        <v>0</v>
      </c>
      <c r="Z264" s="890">
        <f t="shared" ca="1" si="88"/>
        <v>9898.6323959403744</v>
      </c>
      <c r="AA264" s="890">
        <f t="shared" ca="1" si="90"/>
        <v>0</v>
      </c>
      <c r="AB264" s="1165">
        <f t="shared" ca="1" si="99"/>
        <v>13719</v>
      </c>
      <c r="AC264" s="1166">
        <f t="shared" ca="1" si="100"/>
        <v>13100</v>
      </c>
      <c r="AD264" s="860">
        <f ca="1">IF(A264&gt;$A$1,VLOOKUP(A264,Calculation!$B$8:$JO$880,165,FALSE),VLOOKUP(A264,Calculation!$B$8:$JO$880,165,FALSE))</f>
        <v>13100</v>
      </c>
      <c r="AE264" s="399">
        <f t="shared" ca="1" si="86"/>
        <v>-216</v>
      </c>
      <c r="AF264" s="399">
        <f t="shared" ca="1" si="104"/>
        <v>13719</v>
      </c>
      <c r="AG264" s="841">
        <f>Calculation!G267</f>
        <v>93.759959656042099</v>
      </c>
      <c r="AH264" s="847" t="str">
        <f t="shared" si="87"/>
        <v>Yes</v>
      </c>
      <c r="AI264" s="847" t="str">
        <f>IF(Calculation!K267&gt;0,"Yes","No")</f>
        <v>No</v>
      </c>
      <c r="AJ264" s="869">
        <v>32140.350000079841</v>
      </c>
      <c r="AK264" s="870">
        <v>29443.400000076435</v>
      </c>
      <c r="AL264" s="870">
        <v>28075.000000072476</v>
      </c>
      <c r="AN264" s="372">
        <v>30612.000000079195</v>
      </c>
      <c r="AO264" s="894">
        <v>30398.400000078112</v>
      </c>
      <c r="AP264" s="894">
        <v>26192.500000067408</v>
      </c>
      <c r="AQ264" s="894"/>
      <c r="AR264" s="894"/>
      <c r="AS264" s="894"/>
      <c r="AT264" s="894"/>
      <c r="AU264" s="427"/>
      <c r="AV264" s="410"/>
      <c r="AW264" s="442"/>
      <c r="AX264" s="441"/>
      <c r="AY264" s="441"/>
      <c r="AZ264" s="443"/>
      <c r="BB264" s="433"/>
      <c r="BC264" s="432"/>
      <c r="BD264" s="433"/>
      <c r="BE264" s="432"/>
      <c r="BF264" s="433"/>
      <c r="BG264" s="432"/>
      <c r="BH264" s="429"/>
    </row>
    <row r="265" spans="1:60" ht="13.8" thickBot="1" x14ac:dyDescent="0.3">
      <c r="A265" s="406">
        <v>42992</v>
      </c>
      <c r="B265" s="860">
        <f t="shared" si="83"/>
        <v>120.666</v>
      </c>
      <c r="C265" s="860">
        <f>Calculation!AK268</f>
        <v>0</v>
      </c>
      <c r="D265" s="860">
        <f>Calculation!AI268</f>
        <v>54.144999999999996</v>
      </c>
      <c r="E265" s="860">
        <f>Calculation!AE268</f>
        <v>44.089500000000001</v>
      </c>
      <c r="F265" s="860">
        <f>Calculation!AF268</f>
        <v>76.576499999999996</v>
      </c>
      <c r="G265" s="860">
        <f>Calculation!AG268</f>
        <v>0</v>
      </c>
      <c r="H265" s="861">
        <f>Sheet1!H266</f>
        <v>1.54</v>
      </c>
      <c r="I265" s="841">
        <f>Sheet1!DA266</f>
        <v>340</v>
      </c>
      <c r="J265" s="841">
        <f>Sheet1!DB266</f>
        <v>196</v>
      </c>
      <c r="K265" s="841">
        <f>Sheet1!CZ266</f>
        <v>319</v>
      </c>
      <c r="L265" s="865">
        <f>Calculation!F268</f>
        <v>250</v>
      </c>
      <c r="M265" s="865">
        <f>Calculation!E268</f>
        <v>400</v>
      </c>
      <c r="N265" s="865">
        <f>Calculation!D268</f>
        <v>200</v>
      </c>
      <c r="O265" s="888">
        <f>Sheet1!DC266</f>
        <v>1144.04</v>
      </c>
      <c r="P265" s="889">
        <f>Calculation!FD268</f>
        <v>1123.4729166666016</v>
      </c>
      <c r="Q265" s="895">
        <f>Calculation!DP268</f>
        <v>26592.20000006945</v>
      </c>
      <c r="R265" s="888">
        <f t="shared" si="105"/>
        <v>25973.20000006945</v>
      </c>
      <c r="S265" s="890">
        <f t="shared" si="84"/>
        <v>-450.20000000037544</v>
      </c>
      <c r="T265" s="895">
        <f ca="1">IF(A265&gt;($A$1-1),#N/A,VLOOKUP(A265,Calculation!$B$8:$JO$503,40,FALSE))</f>
        <v>3317.3876041294498</v>
      </c>
      <c r="U265" s="890">
        <f t="shared" si="85"/>
        <v>54.144999999999996</v>
      </c>
      <c r="V265" s="890">
        <f>Calculation!AZ268</f>
        <v>0</v>
      </c>
      <c r="W265" s="1165">
        <f t="shared" ca="1" si="101"/>
        <v>9772.81239594</v>
      </c>
      <c r="X265" s="1165">
        <f t="shared" ca="1" si="102"/>
        <v>63.449319213501965</v>
      </c>
      <c r="Y265" s="1164">
        <f t="shared" ca="1" si="103"/>
        <v>0</v>
      </c>
      <c r="Z265" s="890">
        <f t="shared" ca="1" si="88"/>
        <v>9772.81239594</v>
      </c>
      <c r="AA265" s="890">
        <f t="shared" ca="1" si="90"/>
        <v>0</v>
      </c>
      <c r="AB265" s="1165">
        <f t="shared" ca="1" si="99"/>
        <v>13502</v>
      </c>
      <c r="AC265" s="1166">
        <f t="shared" ca="1" si="100"/>
        <v>12883</v>
      </c>
      <c r="AD265" s="860">
        <f ca="1">IF(A265&gt;$A$1,VLOOKUP(A265,Calculation!$B$8:$JO$880,165,FALSE),VLOOKUP(A265,Calculation!$B$8:$JO$880,165,FALSE))</f>
        <v>12883</v>
      </c>
      <c r="AE265" s="399">
        <f t="shared" ca="1" si="86"/>
        <v>-217</v>
      </c>
      <c r="AF265" s="399">
        <f t="shared" ca="1" si="104"/>
        <v>13502</v>
      </c>
      <c r="AG265" s="841">
        <f>Calculation!G268</f>
        <v>91.970247100163704</v>
      </c>
      <c r="AH265" s="847" t="str">
        <f t="shared" si="87"/>
        <v>Yes</v>
      </c>
      <c r="AI265" s="847" t="str">
        <f>IF(Calculation!K268&gt;0,"Yes","No")</f>
        <v>No</v>
      </c>
      <c r="AJ265" s="869">
        <v>31854.000000078489</v>
      </c>
      <c r="AK265" s="870">
        <v>29110.000000076034</v>
      </c>
      <c r="AL265" s="870">
        <v>27649.00000007209</v>
      </c>
      <c r="AN265" s="372">
        <v>30202.000000078784</v>
      </c>
      <c r="AO265" s="894">
        <v>30077.000000077707</v>
      </c>
      <c r="AP265" s="894">
        <v>25769.30000006704</v>
      </c>
      <c r="AQ265" s="894"/>
      <c r="AR265" s="894"/>
      <c r="AS265" s="894"/>
      <c r="AT265" s="894"/>
      <c r="AU265" s="427"/>
      <c r="AV265" s="410"/>
      <c r="AW265" s="442"/>
      <c r="AX265" s="441"/>
      <c r="AY265" s="441"/>
      <c r="AZ265" s="443"/>
      <c r="BB265" s="433"/>
      <c r="BC265" s="432"/>
      <c r="BD265" s="433"/>
      <c r="BE265" s="432"/>
      <c r="BF265" s="433"/>
      <c r="BG265" s="432"/>
      <c r="BH265" s="429"/>
    </row>
    <row r="266" spans="1:60" ht="13.8" thickBot="1" x14ac:dyDescent="0.3">
      <c r="A266" s="406">
        <v>42993</v>
      </c>
      <c r="B266" s="860">
        <f t="shared" si="83"/>
        <v>114.78739999999999</v>
      </c>
      <c r="C266" s="860">
        <f>Calculation!AK269</f>
        <v>0</v>
      </c>
      <c r="D266" s="860">
        <f>Calculation!AI269</f>
        <v>54.144999999999996</v>
      </c>
      <c r="E266" s="860">
        <f>Calculation!AE269</f>
        <v>43.934799999999996</v>
      </c>
      <c r="F266" s="860">
        <f>Calculation!AF269</f>
        <v>70.852599999999995</v>
      </c>
      <c r="G266" s="860">
        <f>Calculation!AG269</f>
        <v>0</v>
      </c>
      <c r="H266" s="861">
        <f>Sheet1!H267</f>
        <v>1.64</v>
      </c>
      <c r="I266" s="841">
        <f>Sheet1!DA267</f>
        <v>340</v>
      </c>
      <c r="J266" s="841">
        <f>Sheet1!DB267</f>
        <v>196</v>
      </c>
      <c r="K266" s="841">
        <f>Sheet1!CZ267</f>
        <v>319</v>
      </c>
      <c r="L266" s="865">
        <f>Calculation!F269</f>
        <v>250</v>
      </c>
      <c r="M266" s="865">
        <f>Calculation!E269</f>
        <v>400</v>
      </c>
      <c r="N266" s="865">
        <f>Calculation!D269</f>
        <v>200</v>
      </c>
      <c r="O266" s="888">
        <f>Sheet1!DC267</f>
        <v>1143.48</v>
      </c>
      <c r="P266" s="889">
        <f>Calculation!FD269</f>
        <v>1123.0291666666021</v>
      </c>
      <c r="Q266" s="895">
        <f>Calculation!DP269</f>
        <v>26135.800000067407</v>
      </c>
      <c r="R266" s="888">
        <f t="shared" si="105"/>
        <v>25516.800000067407</v>
      </c>
      <c r="S266" s="890">
        <f t="shared" si="84"/>
        <v>-456.40000000204236</v>
      </c>
      <c r="T266" s="895">
        <f ca="1">IF(A266&gt;($A$1-1),#N/A,VLOOKUP(A266,Calculation!$B$8:$JO$503,40,FALSE))</f>
        <v>3210.0076041294496</v>
      </c>
      <c r="U266" s="890">
        <f t="shared" si="85"/>
        <v>54.144999999999996</v>
      </c>
      <c r="V266" s="890">
        <f>Calculation!AZ269</f>
        <v>0</v>
      </c>
      <c r="W266" s="1165">
        <f t="shared" ca="1" si="101"/>
        <v>9640.7923959379586</v>
      </c>
      <c r="X266" s="1165">
        <f t="shared" ca="1" si="102"/>
        <v>66.575895109450997</v>
      </c>
      <c r="Y266" s="1164">
        <f t="shared" ca="1" si="103"/>
        <v>0</v>
      </c>
      <c r="Z266" s="890">
        <f t="shared" ca="1" si="88"/>
        <v>9640.7923959379586</v>
      </c>
      <c r="AA266" s="890">
        <f t="shared" ca="1" si="90"/>
        <v>0</v>
      </c>
      <c r="AB266" s="1165">
        <f t="shared" ca="1" si="99"/>
        <v>13285</v>
      </c>
      <c r="AC266" s="1166">
        <f t="shared" ca="1" si="100"/>
        <v>12666</v>
      </c>
      <c r="AD266" s="860">
        <f ca="1">IF(A266&gt;$A$1,VLOOKUP(A266,Calculation!$B$8:$JO$880,165,FALSE),VLOOKUP(A266,Calculation!$B$8:$JO$880,165,FALSE))</f>
        <v>12666</v>
      </c>
      <c r="AE266" s="399">
        <f t="shared" ca="1" si="86"/>
        <v>-217</v>
      </c>
      <c r="AF266" s="399">
        <f t="shared" ca="1" si="104"/>
        <v>13285</v>
      </c>
      <c r="AG266" s="841">
        <f>Calculation!G269</f>
        <v>88.843671204214672</v>
      </c>
      <c r="AH266" s="847" t="str">
        <f t="shared" si="87"/>
        <v>Yes</v>
      </c>
      <c r="AI266" s="847" t="str">
        <f>IF(Calculation!K269&gt;0,"Yes","No")</f>
        <v>No</v>
      </c>
      <c r="AJ266" s="869">
        <v>31559.640000078289</v>
      </c>
      <c r="AK266" s="870">
        <v>28755.400000073914</v>
      </c>
      <c r="AL266" s="870">
        <v>27226.000000070861</v>
      </c>
      <c r="AN266" s="372">
        <v>29777.200000075762</v>
      </c>
      <c r="AO266" s="894">
        <v>29777.200000075762</v>
      </c>
      <c r="AP266" s="894">
        <v>25333.000000065847</v>
      </c>
      <c r="AQ266" s="894"/>
      <c r="AR266" s="894"/>
      <c r="AS266" s="894"/>
      <c r="AT266" s="894"/>
      <c r="AU266" s="427"/>
      <c r="AV266" s="410"/>
      <c r="AW266" s="442"/>
      <c r="AX266" s="441"/>
      <c r="AY266" s="441"/>
      <c r="AZ266" s="443"/>
      <c r="BB266" s="433"/>
      <c r="BC266" s="432"/>
      <c r="BD266" s="433"/>
      <c r="BE266" s="432"/>
      <c r="BF266" s="433"/>
      <c r="BG266" s="432"/>
      <c r="BH266" s="429"/>
    </row>
    <row r="267" spans="1:60" ht="13.8" thickBot="1" x14ac:dyDescent="0.3">
      <c r="A267" s="406">
        <v>42994</v>
      </c>
      <c r="B267" s="860">
        <f t="shared" si="83"/>
        <v>115.05038999999999</v>
      </c>
      <c r="C267" s="860">
        <f>Calculation!AK270</f>
        <v>0</v>
      </c>
      <c r="D267" s="860">
        <f>Calculation!AI270</f>
        <v>54.144999999999996</v>
      </c>
      <c r="E267" s="860">
        <f>Calculation!AE270</f>
        <v>44.089500000000001</v>
      </c>
      <c r="F267" s="860">
        <f>Calculation!AF270</f>
        <v>70.960889999999992</v>
      </c>
      <c r="G267" s="860">
        <f>Calculation!AG270</f>
        <v>0</v>
      </c>
      <c r="H267" s="861">
        <f>Sheet1!H268</f>
        <v>1.61</v>
      </c>
      <c r="I267" s="841">
        <f>Sheet1!DA268</f>
        <v>345</v>
      </c>
      <c r="J267" s="841">
        <f>Sheet1!DB268</f>
        <v>203</v>
      </c>
      <c r="K267" s="841">
        <f>Sheet1!CZ268</f>
        <v>319</v>
      </c>
      <c r="L267" s="865">
        <f>Calculation!F270</f>
        <v>250</v>
      </c>
      <c r="M267" s="865">
        <f>Calculation!E270</f>
        <v>250</v>
      </c>
      <c r="N267" s="865">
        <f>Calculation!D270</f>
        <v>300</v>
      </c>
      <c r="O267" s="888">
        <f>Sheet1!DC268</f>
        <v>1142.93</v>
      </c>
      <c r="P267" s="889">
        <f>Calculation!FD270</f>
        <v>1122.5702127658933</v>
      </c>
      <c r="Q267" s="895">
        <f>Calculation!DP270</f>
        <v>25689.700000065382</v>
      </c>
      <c r="R267" s="888">
        <f t="shared" si="105"/>
        <v>25070.700000065382</v>
      </c>
      <c r="S267" s="890">
        <f t="shared" si="84"/>
        <v>-446.1000000020249</v>
      </c>
      <c r="T267" s="895">
        <f ca="1">IF(A267&gt;($A$1-1),#N/A,VLOOKUP(A267,Calculation!$B$8:$JO$503,40,FALSE))</f>
        <v>3102.6276041294495</v>
      </c>
      <c r="U267" s="890">
        <f t="shared" si="85"/>
        <v>54.144999999999996</v>
      </c>
      <c r="V267" s="890">
        <f>Calculation!AZ270</f>
        <v>0</v>
      </c>
      <c r="W267" s="1165">
        <f t="shared" ca="1" si="101"/>
        <v>9518.0723959359311</v>
      </c>
      <c r="X267" s="1165">
        <f t="shared" ca="1" si="102"/>
        <v>61.886031266781394</v>
      </c>
      <c r="Y267" s="1164">
        <f t="shared" ca="1" si="103"/>
        <v>0</v>
      </c>
      <c r="Z267" s="890">
        <f t="shared" ca="1" si="88"/>
        <v>9518.0723959359311</v>
      </c>
      <c r="AA267" s="890">
        <f t="shared" ca="1" si="90"/>
        <v>0</v>
      </c>
      <c r="AB267" s="1165">
        <f t="shared" ca="1" si="99"/>
        <v>13069</v>
      </c>
      <c r="AC267" s="1166">
        <f t="shared" ca="1" si="100"/>
        <v>12450</v>
      </c>
      <c r="AD267" s="860">
        <f ca="1">IF(A267&gt;$A$1,VLOOKUP(A267,Calculation!$B$8:$JO$880,165,FALSE),VLOOKUP(A267,Calculation!$B$8:$JO$880,165,FALSE))</f>
        <v>12450</v>
      </c>
      <c r="AE267" s="399">
        <f t="shared" ca="1" si="86"/>
        <v>-216</v>
      </c>
      <c r="AF267" s="399">
        <f t="shared" ca="1" si="104"/>
        <v>13069</v>
      </c>
      <c r="AG267" s="841">
        <f>Calculation!G270</f>
        <v>94.037821481581034</v>
      </c>
      <c r="AH267" s="847" t="str">
        <f t="shared" si="87"/>
        <v>Yes</v>
      </c>
      <c r="AI267" s="847" t="str">
        <f>IF(Calculation!K270&gt;0,"Yes","No")</f>
        <v>No</v>
      </c>
      <c r="AJ267" s="869">
        <v>31202.840000077882</v>
      </c>
      <c r="AK267" s="870">
        <v>28383.600000073719</v>
      </c>
      <c r="AL267" s="870">
        <v>26851.000000070475</v>
      </c>
      <c r="AN267" s="372">
        <v>29355.600000075367</v>
      </c>
      <c r="AO267" s="894">
        <v>29461.000000076434</v>
      </c>
      <c r="AP267" s="894">
        <v>24836.000000063668</v>
      </c>
      <c r="AQ267" s="894"/>
      <c r="AR267" s="894"/>
      <c r="AS267" s="894"/>
      <c r="AT267" s="894"/>
      <c r="AU267" s="427"/>
      <c r="AV267" s="410"/>
      <c r="AW267" s="442"/>
      <c r="AX267" s="441"/>
      <c r="AY267" s="441"/>
      <c r="AZ267" s="443"/>
      <c r="BB267" s="433"/>
      <c r="BC267" s="432"/>
      <c r="BD267" s="433"/>
      <c r="BE267" s="432"/>
      <c r="BF267" s="433"/>
      <c r="BG267" s="432"/>
      <c r="BH267" s="429"/>
    </row>
    <row r="268" spans="1:60" ht="13.8" thickBot="1" x14ac:dyDescent="0.3">
      <c r="A268" s="406">
        <v>42995</v>
      </c>
      <c r="B268" s="860">
        <f t="shared" si="83"/>
        <v>113.0857</v>
      </c>
      <c r="C268" s="860">
        <f>Calculation!AK271</f>
        <v>0</v>
      </c>
      <c r="D268" s="860">
        <f>Calculation!AI271</f>
        <v>54.144999999999996</v>
      </c>
      <c r="E268" s="860">
        <f>Calculation!AE271</f>
        <v>44.089500000000001</v>
      </c>
      <c r="F268" s="860">
        <f>Calculation!AF271</f>
        <v>68.996200000000002</v>
      </c>
      <c r="G268" s="860">
        <f>Calculation!AG271</f>
        <v>0</v>
      </c>
      <c r="H268" s="861">
        <f>Sheet1!H269</f>
        <v>1.68</v>
      </c>
      <c r="I268" s="841">
        <f>Sheet1!DA269</f>
        <v>359</v>
      </c>
      <c r="J268" s="841">
        <f>Sheet1!DB269</f>
        <v>215</v>
      </c>
      <c r="K268" s="841">
        <f>Sheet1!CZ269</f>
        <v>319</v>
      </c>
      <c r="L268" s="865">
        <f>Calculation!F271</f>
        <v>250</v>
      </c>
      <c r="M268" s="865">
        <f>Calculation!E271</f>
        <v>250</v>
      </c>
      <c r="N268" s="865">
        <f>Calculation!D271</f>
        <v>300</v>
      </c>
      <c r="O268" s="888">
        <f>Sheet1!DC269</f>
        <v>1142.4000000000001</v>
      </c>
      <c r="P268" s="889">
        <f>Calculation!FD271</f>
        <v>1122.1106382978085</v>
      </c>
      <c r="Q268" s="895">
        <f>Calculation!DP271</f>
        <v>25269.000000065847</v>
      </c>
      <c r="R268" s="888">
        <f t="shared" si="105"/>
        <v>24650.000000065847</v>
      </c>
      <c r="S268" s="890">
        <f t="shared" si="84"/>
        <v>-420.69999999953507</v>
      </c>
      <c r="T268" s="895">
        <f ca="1">IF(A268&gt;($A$1-1),#N/A,VLOOKUP(A268,Calculation!$B$8:$JO$503,40,FALSE))</f>
        <v>2995.2476041294499</v>
      </c>
      <c r="U268" s="890">
        <f t="shared" si="85"/>
        <v>54.144999999999996</v>
      </c>
      <c r="V268" s="890">
        <f>Calculation!AZ271</f>
        <v>0</v>
      </c>
      <c r="W268" s="1165">
        <f t="shared" ca="1" si="101"/>
        <v>9421.7523959363971</v>
      </c>
      <c r="X268" s="1165">
        <f t="shared" ca="1" si="102"/>
        <v>48.572869389578436</v>
      </c>
      <c r="Y268" s="1164">
        <f t="shared" ca="1" si="103"/>
        <v>0</v>
      </c>
      <c r="Z268" s="890">
        <f t="shared" ca="1" si="88"/>
        <v>9421.7523959363971</v>
      </c>
      <c r="AA268" s="890">
        <f t="shared" ca="1" si="90"/>
        <v>0</v>
      </c>
      <c r="AB268" s="1165">
        <f t="shared" ca="1" si="99"/>
        <v>12852</v>
      </c>
      <c r="AC268" s="1166">
        <f t="shared" ca="1" si="100"/>
        <v>12233</v>
      </c>
      <c r="AD268" s="860">
        <f ca="1">IF(A268&gt;$A$1,VLOOKUP(A268,Calculation!$B$8:$JO$880,165,FALSE),VLOOKUP(A268,Calculation!$B$8:$JO$880,165,FALSE))</f>
        <v>12233</v>
      </c>
      <c r="AE268" s="399">
        <f t="shared" ca="1" si="86"/>
        <v>-217</v>
      </c>
      <c r="AF268" s="399">
        <f t="shared" ca="1" si="104"/>
        <v>12852</v>
      </c>
      <c r="AG268" s="841">
        <f>Calculation!G271</f>
        <v>106.84669692408724</v>
      </c>
      <c r="AH268" s="847" t="str">
        <f t="shared" si="87"/>
        <v>Yes</v>
      </c>
      <c r="AI268" s="847" t="str">
        <f>IF(Calculation!K271&gt;0,"Yes","No")</f>
        <v>No</v>
      </c>
      <c r="AJ268" s="869">
        <v>30807.460000076258</v>
      </c>
      <c r="AK268" s="870">
        <v>27997.600000073329</v>
      </c>
      <c r="AL268" s="870">
        <v>26469.800000068612</v>
      </c>
      <c r="AN268" s="372">
        <v>28919.800000074109</v>
      </c>
      <c r="AO268" s="894">
        <v>29189.200000076034</v>
      </c>
      <c r="AP268" s="894">
        <v>24665.40000006367</v>
      </c>
      <c r="AQ268" s="894"/>
      <c r="AR268" s="894"/>
      <c r="AS268" s="894"/>
      <c r="AT268" s="894"/>
      <c r="AU268" s="427"/>
      <c r="AV268" s="410"/>
      <c r="AW268" s="442"/>
      <c r="AX268" s="441"/>
      <c r="AY268" s="441"/>
      <c r="AZ268" s="443"/>
      <c r="BB268" s="433"/>
      <c r="BC268" s="432"/>
      <c r="BD268" s="433"/>
      <c r="BE268" s="432"/>
      <c r="BF268" s="433"/>
      <c r="BG268" s="432"/>
      <c r="BH268" s="429"/>
    </row>
    <row r="269" spans="1:60" ht="13.8" thickBot="1" x14ac:dyDescent="0.3">
      <c r="A269" s="406">
        <v>42996</v>
      </c>
      <c r="B269" s="860">
        <f t="shared" si="83"/>
        <v>109.71324</v>
      </c>
      <c r="C269" s="860">
        <f>Calculation!AK272</f>
        <v>0</v>
      </c>
      <c r="D269" s="860">
        <f>Calculation!AI272</f>
        <v>48.835404799999999</v>
      </c>
      <c r="E269" s="860">
        <f>Calculation!AE272</f>
        <v>44.089500000000001</v>
      </c>
      <c r="F269" s="860">
        <f>Calculation!AF272</f>
        <v>65.623739999999998</v>
      </c>
      <c r="G269" s="860">
        <f>Calculation!AG272</f>
        <v>0</v>
      </c>
      <c r="H269" s="861">
        <f>Sheet1!H270</f>
        <v>1.88</v>
      </c>
      <c r="I269" s="841">
        <f>Sheet1!DA270</f>
        <v>381</v>
      </c>
      <c r="J269" s="841">
        <f>Sheet1!DB270</f>
        <v>201</v>
      </c>
      <c r="K269" s="841">
        <f>Sheet1!CZ270</f>
        <v>319</v>
      </c>
      <c r="L269" s="865">
        <f>Calculation!F272</f>
        <v>250</v>
      </c>
      <c r="M269" s="865">
        <f>Calculation!E272</f>
        <v>250</v>
      </c>
      <c r="N269" s="865">
        <f>Calculation!D272</f>
        <v>300</v>
      </c>
      <c r="O269" s="888">
        <f>Sheet1!DC270</f>
        <v>1141.95</v>
      </c>
      <c r="P269" s="889">
        <f>Calculation!FD272</f>
        <v>1121.6413043477628</v>
      </c>
      <c r="Q269" s="895">
        <f>Calculation!DP272</f>
        <v>24913.500000063028</v>
      </c>
      <c r="R269" s="888">
        <f t="shared" si="105"/>
        <v>24294.500000063028</v>
      </c>
      <c r="S269" s="890">
        <f t="shared" si="84"/>
        <v>-355.50000000281943</v>
      </c>
      <c r="T269" s="895">
        <f ca="1">IF(A269&gt;($A$1-1),#N/A,VLOOKUP(A269,Calculation!$B$8:$JO$503,40,FALSE))</f>
        <v>2898.3975576353323</v>
      </c>
      <c r="U269" s="890">
        <f t="shared" si="85"/>
        <v>48.835404799999999</v>
      </c>
      <c r="V269" s="890">
        <f>Calculation!AZ272</f>
        <v>0</v>
      </c>
      <c r="W269" s="1165">
        <f t="shared" ca="1" si="101"/>
        <v>9380.1024424276948</v>
      </c>
      <c r="X269" s="1165">
        <f t="shared" ca="1" si="102"/>
        <v>21.003506560112104</v>
      </c>
      <c r="Y269" s="1164">
        <f t="shared" ca="1" si="103"/>
        <v>0</v>
      </c>
      <c r="Z269" s="890">
        <f t="shared" ca="1" si="88"/>
        <v>9380.1024424276948</v>
      </c>
      <c r="AA269" s="890">
        <f t="shared" ca="1" si="90"/>
        <v>0</v>
      </c>
      <c r="AB269" s="1165">
        <f t="shared" ca="1" si="99"/>
        <v>12635</v>
      </c>
      <c r="AC269" s="1166">
        <f t="shared" ca="1" si="100"/>
        <v>12016</v>
      </c>
      <c r="AD269" s="860">
        <f ca="1">IF(A269&gt;$A$1,VLOOKUP(A269,Calculation!$B$8:$JO$880,165,FALSE),VLOOKUP(A269,Calculation!$B$8:$JO$880,165,FALSE))</f>
        <v>12016</v>
      </c>
      <c r="AE269" s="399">
        <f t="shared" ca="1" si="86"/>
        <v>-217</v>
      </c>
      <c r="AF269" s="399">
        <f t="shared" ca="1" si="104"/>
        <v>12635</v>
      </c>
      <c r="AG269" s="841">
        <f>Calculation!G272</f>
        <v>139.72617246453888</v>
      </c>
      <c r="AH269" s="847" t="str">
        <f t="shared" si="87"/>
        <v>Yes</v>
      </c>
      <c r="AI269" s="847" t="str">
        <f>IF(Calculation!K272&gt;0,"Yes","No")</f>
        <v>No</v>
      </c>
      <c r="AJ269" s="869">
        <v>30544.060000076061</v>
      </c>
      <c r="AK269" s="870">
        <v>27623.200000072939</v>
      </c>
      <c r="AL269" s="870">
        <v>26095.300000067407</v>
      </c>
      <c r="AN269" s="372">
        <v>28478.900000074576</v>
      </c>
      <c r="AO269" s="894">
        <v>28851.000000074109</v>
      </c>
      <c r="AP269" s="894">
        <v>24603.500000062679</v>
      </c>
      <c r="AQ269" s="894"/>
      <c r="AR269" s="894"/>
      <c r="AS269" s="894"/>
      <c r="AT269" s="894"/>
      <c r="AU269" s="427"/>
      <c r="AV269" s="410"/>
      <c r="AW269" s="442"/>
      <c r="AX269" s="441"/>
      <c r="AY269" s="441"/>
      <c r="AZ269" s="443"/>
      <c r="BB269" s="433"/>
      <c r="BC269" s="432"/>
      <c r="BD269" s="433"/>
      <c r="BE269" s="432"/>
      <c r="BF269" s="433"/>
      <c r="BG269" s="432"/>
      <c r="BH269" s="429"/>
    </row>
    <row r="270" spans="1:60" ht="13.8" thickBot="1" x14ac:dyDescent="0.3">
      <c r="A270" s="406">
        <v>42997</v>
      </c>
      <c r="B270" s="860">
        <f t="shared" si="83"/>
        <v>112.28125999999999</v>
      </c>
      <c r="C270" s="860">
        <f>Calculation!AK273</f>
        <v>0</v>
      </c>
      <c r="D270" s="860">
        <f>Calculation!AI273</f>
        <v>47.97811644504749</v>
      </c>
      <c r="E270" s="860">
        <f>Calculation!AE273</f>
        <v>43.934799999999996</v>
      </c>
      <c r="F270" s="860">
        <f>Calculation!AF273</f>
        <v>68.346459999999993</v>
      </c>
      <c r="G270" s="860">
        <f>Calculation!AG273</f>
        <v>0</v>
      </c>
      <c r="H270" s="861">
        <f>Sheet1!H271</f>
        <v>1.51</v>
      </c>
      <c r="I270" s="841">
        <f>Sheet1!DA271</f>
        <v>381</v>
      </c>
      <c r="J270" s="841">
        <f>Sheet1!DB271</f>
        <v>213</v>
      </c>
      <c r="K270" s="841">
        <f>Sheet1!CZ271</f>
        <v>319</v>
      </c>
      <c r="L270" s="865">
        <f>Calculation!F273</f>
        <v>250</v>
      </c>
      <c r="M270" s="865">
        <f>Calculation!E273</f>
        <v>250</v>
      </c>
      <c r="N270" s="865">
        <f>Calculation!D273</f>
        <v>300</v>
      </c>
      <c r="O270" s="888">
        <f>Sheet1!DC271</f>
        <v>1141.53</v>
      </c>
      <c r="P270" s="889">
        <f>Calculation!FD273</f>
        <v>1121.1652173912414</v>
      </c>
      <c r="Q270" s="895">
        <f>Calculation!DP273</f>
        <v>24588.100000062677</v>
      </c>
      <c r="R270" s="888">
        <f t="shared" si="105"/>
        <v>23969.100000062677</v>
      </c>
      <c r="S270" s="890">
        <f t="shared" si="84"/>
        <v>-325.4000000003507</v>
      </c>
      <c r="T270" s="895">
        <f ca="1">IF(A270&gt;($A$1-1),#N/A,VLOOKUP(A270,Calculation!$B$8:$JO$503,40,FALSE))</f>
        <v>2803.247679643473</v>
      </c>
      <c r="U270" s="890">
        <f t="shared" si="85"/>
        <v>47.97811644504749</v>
      </c>
      <c r="V270" s="890">
        <f>Calculation!AZ273</f>
        <v>0</v>
      </c>
      <c r="W270" s="1165">
        <f t="shared" ca="1" si="101"/>
        <v>9365.8523204192024</v>
      </c>
      <c r="X270" s="1165">
        <f t="shared" ca="1" si="102"/>
        <v>7.186143221630017</v>
      </c>
      <c r="Y270" s="1164">
        <f t="shared" ca="1" si="103"/>
        <v>0</v>
      </c>
      <c r="Z270" s="890">
        <f t="shared" ca="1" si="88"/>
        <v>9365.8523204192024</v>
      </c>
      <c r="AA270" s="890">
        <f t="shared" ca="1" si="90"/>
        <v>0</v>
      </c>
      <c r="AB270" s="1165">
        <f t="shared" ca="1" si="99"/>
        <v>12419</v>
      </c>
      <c r="AC270" s="1166">
        <f t="shared" ca="1" si="100"/>
        <v>11800</v>
      </c>
      <c r="AD270" s="860">
        <f ca="1">IF(A270&gt;$A$1,VLOOKUP(A270,Calculation!$B$8:$JO$880,165,FALSE),VLOOKUP(A270,Calculation!$B$8:$JO$880,165,FALSE))</f>
        <v>11800</v>
      </c>
      <c r="AE270" s="399">
        <f t="shared" ca="1" si="86"/>
        <v>-216</v>
      </c>
      <c r="AF270" s="399">
        <f t="shared" ca="1" si="104"/>
        <v>12419</v>
      </c>
      <c r="AG270" s="841">
        <f>Calculation!G273</f>
        <v>154.90519415010053</v>
      </c>
      <c r="AH270" s="847" t="str">
        <f t="shared" si="87"/>
        <v>Yes</v>
      </c>
      <c r="AI270" s="847" t="str">
        <f>IF(Calculation!K273&gt;0,"Yes","No")</f>
        <v>No</v>
      </c>
      <c r="AJ270" s="869">
        <v>30289.700000074739</v>
      </c>
      <c r="AK270" s="870">
        <v>27242.80000007086</v>
      </c>
      <c r="AL270" s="870">
        <v>25681.800000065385</v>
      </c>
      <c r="AN270" s="372">
        <v>27989.000000073327</v>
      </c>
      <c r="AO270" s="894">
        <v>28470.200000074576</v>
      </c>
      <c r="AP270" s="894">
        <v>24386.900000062502</v>
      </c>
      <c r="AQ270" s="894"/>
      <c r="AR270" s="894"/>
      <c r="AS270" s="894"/>
      <c r="AT270" s="894"/>
      <c r="AU270" s="427"/>
      <c r="AV270" s="410"/>
      <c r="AW270" s="442"/>
      <c r="AX270" s="441"/>
      <c r="AY270" s="441"/>
      <c r="AZ270" s="443"/>
      <c r="BB270" s="433"/>
      <c r="BC270" s="432"/>
      <c r="BD270" s="433"/>
      <c r="BE270" s="432"/>
      <c r="BF270" s="433"/>
      <c r="BG270" s="432"/>
      <c r="BH270" s="429"/>
    </row>
    <row r="271" spans="1:60" ht="13.8" thickBot="1" x14ac:dyDescent="0.3">
      <c r="A271" s="406">
        <v>42998</v>
      </c>
      <c r="B271" s="860">
        <f t="shared" si="83"/>
        <v>107.91872000000001</v>
      </c>
      <c r="C271" s="860">
        <f>Calculation!AK274</f>
        <v>0</v>
      </c>
      <c r="D271" s="860">
        <f>Calculation!AI274</f>
        <v>48.135055863231393</v>
      </c>
      <c r="E271" s="860">
        <f>Calculation!AE274</f>
        <v>43.872920000000001</v>
      </c>
      <c r="F271" s="860">
        <f>Calculation!AF274</f>
        <v>64.0458</v>
      </c>
      <c r="G271" s="860">
        <f>Calculation!AG274</f>
        <v>0</v>
      </c>
      <c r="H271" s="861">
        <f>Sheet1!H272</f>
        <v>1.96</v>
      </c>
      <c r="I271" s="841">
        <f>Sheet1!DA272</f>
        <v>434</v>
      </c>
      <c r="J271" s="841">
        <f>Sheet1!DB272</f>
        <v>192</v>
      </c>
      <c r="K271" s="841">
        <f>Sheet1!CZ272</f>
        <v>316</v>
      </c>
      <c r="L271" s="865">
        <f>Calculation!F274</f>
        <v>250</v>
      </c>
      <c r="M271" s="865">
        <f>Calculation!E274</f>
        <v>250</v>
      </c>
      <c r="N271" s="865">
        <f>Calculation!D274</f>
        <v>300</v>
      </c>
      <c r="O271" s="888">
        <f>Sheet1!DC272</f>
        <v>1141.0899999999999</v>
      </c>
      <c r="P271" s="889">
        <f>Calculation!FD274</f>
        <v>1120.6795454544831</v>
      </c>
      <c r="Q271" s="895">
        <f>Calculation!DP274</f>
        <v>24247.300000062329</v>
      </c>
      <c r="R271" s="888">
        <f t="shared" si="105"/>
        <v>23628.300000062329</v>
      </c>
      <c r="S271" s="890">
        <f t="shared" si="84"/>
        <v>-340.80000000034852</v>
      </c>
      <c r="T271" s="895">
        <f ca="1">IF(A271&gt;($A$1-1),#N/A,VLOOKUP(A271,Calculation!$B$8:$JO$503,40,FALSE))</f>
        <v>2707.7865604525268</v>
      </c>
      <c r="U271" s="890">
        <f t="shared" si="85"/>
        <v>48.135055863231393</v>
      </c>
      <c r="V271" s="890">
        <f>Calculation!AZ274</f>
        <v>0</v>
      </c>
      <c r="W271" s="1165">
        <f t="shared" ca="1" si="101"/>
        <v>9337.5134396098001</v>
      </c>
      <c r="X271" s="1165">
        <f t="shared" ca="1" si="102"/>
        <v>14.290913166617409</v>
      </c>
      <c r="Y271" s="1164">
        <f t="shared" ca="1" si="103"/>
        <v>0</v>
      </c>
      <c r="Z271" s="890">
        <f t="shared" ca="1" si="88"/>
        <v>9337.5134396098001</v>
      </c>
      <c r="AA271" s="890">
        <f t="shared" ca="1" si="90"/>
        <v>0</v>
      </c>
      <c r="AB271" s="1165">
        <f t="shared" ca="1" si="99"/>
        <v>12202</v>
      </c>
      <c r="AC271" s="1166">
        <f t="shared" ca="1" si="100"/>
        <v>11583</v>
      </c>
      <c r="AD271" s="860">
        <f ca="1">IF(A271&gt;$A$1,VLOOKUP(A271,Calculation!$B$8:$JO$880,165,FALSE),VLOOKUP(A271,Calculation!$B$8:$JO$880,165,FALSE))</f>
        <v>11583</v>
      </c>
      <c r="AE271" s="399">
        <f t="shared" ca="1" si="86"/>
        <v>-217</v>
      </c>
      <c r="AF271" s="399">
        <f t="shared" ca="1" si="104"/>
        <v>12202</v>
      </c>
      <c r="AG271" s="841">
        <f>Calculation!G274</f>
        <v>144.13918305580006</v>
      </c>
      <c r="AH271" s="847" t="str">
        <f t="shared" si="87"/>
        <v>Yes</v>
      </c>
      <c r="AI271" s="847" t="str">
        <f>IF(Calculation!K274&gt;0,"Yes","No")</f>
        <v>No</v>
      </c>
      <c r="AJ271" s="869">
        <v>29891.800000074345</v>
      </c>
      <c r="AK271" s="870">
        <v>26851.000000070475</v>
      </c>
      <c r="AL271" s="870">
        <v>25237.400000064845</v>
      </c>
      <c r="AN271" s="372">
        <v>27393.000000071894</v>
      </c>
      <c r="AO271" s="894">
        <v>28168.500000072669</v>
      </c>
      <c r="AP271" s="894">
        <v>24034.600000061346</v>
      </c>
      <c r="AQ271" s="894"/>
      <c r="AR271" s="894"/>
      <c r="AS271" s="894"/>
      <c r="AT271" s="894"/>
      <c r="AU271" s="427"/>
      <c r="AV271" s="410"/>
      <c r="AW271" s="442"/>
      <c r="AX271" s="441"/>
      <c r="AY271" s="441"/>
      <c r="AZ271" s="443"/>
      <c r="BB271" s="433"/>
      <c r="BC271" s="432"/>
      <c r="BD271" s="433"/>
      <c r="BE271" s="432"/>
      <c r="BF271" s="433"/>
      <c r="BG271" s="432"/>
      <c r="BH271" s="429"/>
    </row>
    <row r="272" spans="1:60" ht="13.8" thickBot="1" x14ac:dyDescent="0.3">
      <c r="A272" s="406">
        <v>42999</v>
      </c>
      <c r="B272" s="860">
        <f t="shared" si="83"/>
        <v>105.07223999999999</v>
      </c>
      <c r="C272" s="860">
        <f>Calculation!AK275</f>
        <v>0</v>
      </c>
      <c r="D272" s="860">
        <f>Calculation!AI275</f>
        <v>48.134285026548667</v>
      </c>
      <c r="E272" s="860">
        <f>Calculation!AE275</f>
        <v>43.934799999999996</v>
      </c>
      <c r="F272" s="860">
        <f>Calculation!AF275</f>
        <v>61.137440000000005</v>
      </c>
      <c r="G272" s="860">
        <f>Calculation!AG275</f>
        <v>0</v>
      </c>
      <c r="H272" s="861">
        <f>Sheet1!H273</f>
        <v>1.56</v>
      </c>
      <c r="I272" s="841">
        <f>Sheet1!DA273</f>
        <v>400</v>
      </c>
      <c r="J272" s="841">
        <f>Sheet1!DB273</f>
        <v>269</v>
      </c>
      <c r="K272" s="841">
        <f>Sheet1!CZ273</f>
        <v>378</v>
      </c>
      <c r="L272" s="865">
        <f>Calculation!F275</f>
        <v>250</v>
      </c>
      <c r="M272" s="865">
        <f>Calculation!E275</f>
        <v>250</v>
      </c>
      <c r="N272" s="865">
        <f>Calculation!D275</f>
        <v>300</v>
      </c>
      <c r="O272" s="888">
        <f>Sheet1!DC273</f>
        <v>1140.54</v>
      </c>
      <c r="P272" s="889">
        <f>Calculation!FD275</f>
        <v>1120.1909090908471</v>
      </c>
      <c r="Q272" s="895">
        <f>Calculation!DP275</f>
        <v>23831.400000061174</v>
      </c>
      <c r="R272" s="888">
        <f t="shared" si="105"/>
        <v>23212.400000061174</v>
      </c>
      <c r="S272" s="890">
        <f t="shared" si="84"/>
        <v>-415.90000000115469</v>
      </c>
      <c r="T272" s="895">
        <f ca="1">IF(A272&gt;($A$1-1),#N/A,VLOOKUP(A272,Calculation!$B$8:$JO$503,40,FALSE))</f>
        <v>2612.3269699797083</v>
      </c>
      <c r="U272" s="890">
        <f t="shared" si="85"/>
        <v>48.134285026548667</v>
      </c>
      <c r="V272" s="890">
        <f>Calculation!AZ275</f>
        <v>0</v>
      </c>
      <c r="W272" s="1165">
        <f t="shared" ca="1" si="101"/>
        <v>9234.0730300814648</v>
      </c>
      <c r="X272" s="1165">
        <f t="shared" ca="1" si="102"/>
        <v>52.163595324425252</v>
      </c>
      <c r="Y272" s="1164">
        <f t="shared" ca="1" si="103"/>
        <v>0</v>
      </c>
      <c r="Z272" s="890">
        <f t="shared" ca="1" si="88"/>
        <v>9234.0730300814648</v>
      </c>
      <c r="AA272" s="890">
        <f t="shared" ca="1" si="90"/>
        <v>0</v>
      </c>
      <c r="AB272" s="1165">
        <f t="shared" ca="1" si="99"/>
        <v>11985</v>
      </c>
      <c r="AC272" s="1166">
        <f t="shared" ca="1" si="100"/>
        <v>11366</v>
      </c>
      <c r="AD272" s="860">
        <f ca="1">IF(A272&gt;$A$1,VLOOKUP(A272,Calculation!$B$8:$JO$880,165,FALSE),VLOOKUP(A272,Calculation!$B$8:$JO$880,165,FALSE))</f>
        <v>11366</v>
      </c>
      <c r="AE272" s="399">
        <f t="shared" ca="1" si="86"/>
        <v>-217</v>
      </c>
      <c r="AF272" s="399">
        <f t="shared" ca="1" si="104"/>
        <v>11985</v>
      </c>
      <c r="AG272" s="841">
        <f>Calculation!G275</f>
        <v>168.26727180980603</v>
      </c>
      <c r="AH272" s="847" t="str">
        <f t="shared" si="87"/>
        <v>Yes</v>
      </c>
      <c r="AI272" s="847" t="str">
        <f>IF(Calculation!K275&gt;0,"Yes","No")</f>
        <v>No</v>
      </c>
      <c r="AJ272" s="869">
        <v>29356.800000072839</v>
      </c>
      <c r="AK272" s="870">
        <v>26396.000000068427</v>
      </c>
      <c r="AL272" s="870">
        <v>24804.800000063668</v>
      </c>
      <c r="AN272" s="372">
        <v>26825.800000070478</v>
      </c>
      <c r="AO272" s="894">
        <v>27870.000000072283</v>
      </c>
      <c r="AP272" s="894">
        <v>23545.000000060198</v>
      </c>
      <c r="AQ272" s="894"/>
      <c r="AR272" s="894"/>
      <c r="AS272" s="894"/>
      <c r="AT272" s="894"/>
      <c r="AU272" s="427"/>
      <c r="AV272" s="410"/>
      <c r="AW272" s="442"/>
      <c r="AX272" s="441"/>
      <c r="AY272" s="441"/>
      <c r="AZ272" s="443"/>
      <c r="BB272" s="433"/>
      <c r="BC272" s="432"/>
      <c r="BD272" s="433"/>
      <c r="BE272" s="432"/>
      <c r="BF272" s="433"/>
      <c r="BG272" s="432"/>
      <c r="BH272" s="429"/>
    </row>
    <row r="273" spans="1:60" ht="13.8" thickBot="1" x14ac:dyDescent="0.3">
      <c r="A273" s="406">
        <v>43000</v>
      </c>
      <c r="B273" s="860">
        <f t="shared" si="83"/>
        <v>102.59703999999999</v>
      </c>
      <c r="C273" s="860">
        <f>Calculation!AK276</f>
        <v>0</v>
      </c>
      <c r="D273" s="860">
        <f>Calculation!AI276</f>
        <v>25.802974545933143</v>
      </c>
      <c r="E273" s="860">
        <f>Calculation!AE276</f>
        <v>43.934799999999996</v>
      </c>
      <c r="F273" s="860">
        <f>Calculation!AF276</f>
        <v>58.662239999999997</v>
      </c>
      <c r="G273" s="860">
        <f>Calculation!AG276</f>
        <v>0</v>
      </c>
      <c r="H273" s="861">
        <f>Sheet1!H274</f>
        <v>1.7</v>
      </c>
      <c r="I273" s="841">
        <f>Sheet1!DA274</f>
        <v>469</v>
      </c>
      <c r="J273" s="841">
        <f>Sheet1!DB274</f>
        <v>359</v>
      </c>
      <c r="K273" s="841">
        <f>Sheet1!CZ274</f>
        <v>436</v>
      </c>
      <c r="L273" s="865">
        <f>Calculation!F276</f>
        <v>250</v>
      </c>
      <c r="M273" s="865">
        <f>Calculation!E276</f>
        <v>250</v>
      </c>
      <c r="N273" s="865">
        <f>Calculation!D276</f>
        <v>300</v>
      </c>
      <c r="O273" s="888">
        <f>Sheet1!DC274</f>
        <v>1139.81</v>
      </c>
      <c r="P273" s="889">
        <f>Calculation!FD276</f>
        <v>1119.6883720929618</v>
      </c>
      <c r="Q273" s="895">
        <f>Calculation!DP276</f>
        <v>23285.300000058262</v>
      </c>
      <c r="R273" s="888">
        <f t="shared" si="105"/>
        <v>22666.300000058262</v>
      </c>
      <c r="S273" s="890">
        <f t="shared" si="84"/>
        <v>-546.10000000291257</v>
      </c>
      <c r="T273" s="895">
        <f ca="1">IF(A273&gt;($A$1-1),#N/A,VLOOKUP(A273,Calculation!$B$8:$JO$503,40,FALSE))</f>
        <v>2561.1546843255883</v>
      </c>
      <c r="U273" s="890">
        <f t="shared" si="85"/>
        <v>25.802974545933143</v>
      </c>
      <c r="V273" s="890">
        <f>Calculation!AZ276</f>
        <v>0</v>
      </c>
      <c r="W273" s="1165">
        <f t="shared" ca="1" si="101"/>
        <v>8955.1453157326723</v>
      </c>
      <c r="X273" s="1165">
        <f t="shared" ca="1" si="102"/>
        <v>140.65946260655193</v>
      </c>
      <c r="Y273" s="1164">
        <f t="shared" ca="1" si="103"/>
        <v>0</v>
      </c>
      <c r="Z273" s="890">
        <f t="shared" ca="1" si="88"/>
        <v>8955.1453157326723</v>
      </c>
      <c r="AA273" s="890">
        <f t="shared" ca="1" si="90"/>
        <v>0</v>
      </c>
      <c r="AB273" s="1165">
        <f t="shared" ca="1" si="99"/>
        <v>11769</v>
      </c>
      <c r="AC273" s="1166">
        <f t="shared" ca="1" si="100"/>
        <v>11150</v>
      </c>
      <c r="AD273" s="860">
        <f ca="1">IF(A273&gt;$A$1,VLOOKUP(A273,Calculation!$B$8:$JO$880,165,FALSE),VLOOKUP(A273,Calculation!$B$8:$JO$880,165,FALSE))</f>
        <v>11150</v>
      </c>
      <c r="AE273" s="399">
        <f t="shared" ca="1" si="86"/>
        <v>-216</v>
      </c>
      <c r="AF273" s="399">
        <f t="shared" ca="1" si="104"/>
        <v>11769</v>
      </c>
      <c r="AG273" s="841">
        <f>Calculation!G276</f>
        <v>160.60917801164271</v>
      </c>
      <c r="AH273" s="847" t="str">
        <f t="shared" si="87"/>
        <v>Yes</v>
      </c>
      <c r="AI273" s="847" t="str">
        <f>IF(Calculation!K276&gt;0,"Yes","No")</f>
        <v>No</v>
      </c>
      <c r="AJ273" s="869">
        <v>28734.840000072261</v>
      </c>
      <c r="AK273" s="870">
        <v>25826.000000067866</v>
      </c>
      <c r="AL273" s="870">
        <v>24480.200000063491</v>
      </c>
      <c r="AN273" s="372">
        <v>26241.200000068238</v>
      </c>
      <c r="AO273" s="894">
        <v>27486.500000071894</v>
      </c>
      <c r="AP273" s="894">
        <v>23029.800000058094</v>
      </c>
      <c r="AQ273" s="894"/>
      <c r="AR273" s="894"/>
      <c r="AS273" s="894"/>
      <c r="AT273" s="894"/>
      <c r="AU273" s="427"/>
      <c r="AV273" s="410"/>
      <c r="AW273" s="442"/>
      <c r="AX273" s="441"/>
      <c r="AY273" s="441"/>
      <c r="AZ273" s="443"/>
      <c r="BB273" s="433"/>
      <c r="BC273" s="432"/>
      <c r="BD273" s="433"/>
      <c r="BE273" s="432"/>
      <c r="BF273" s="433"/>
      <c r="BG273" s="432"/>
      <c r="BH273" s="429"/>
    </row>
    <row r="274" spans="1:60" ht="13.8" thickBot="1" x14ac:dyDescent="0.3">
      <c r="A274" s="406">
        <v>43001</v>
      </c>
      <c r="B274" s="860">
        <f t="shared" si="83"/>
        <v>102.56609999999999</v>
      </c>
      <c r="C274" s="860">
        <f>Calculation!AK277</f>
        <v>0</v>
      </c>
      <c r="D274" s="860">
        <f>Calculation!AI277</f>
        <v>25.525499999999997</v>
      </c>
      <c r="E274" s="860">
        <f>Calculation!AE277</f>
        <v>43.934799999999996</v>
      </c>
      <c r="F274" s="860">
        <f>Calculation!AF277</f>
        <v>58.631299999999996</v>
      </c>
      <c r="G274" s="860">
        <f>Calculation!AG277</f>
        <v>0</v>
      </c>
      <c r="H274" s="861">
        <f>Sheet1!H275</f>
        <v>1.81</v>
      </c>
      <c r="I274" s="841">
        <f>Sheet1!DA275</f>
        <v>489</v>
      </c>
      <c r="J274" s="841">
        <f>Sheet1!DB275</f>
        <v>325</v>
      </c>
      <c r="K274" s="841">
        <f>Sheet1!CZ275</f>
        <v>436</v>
      </c>
      <c r="L274" s="865">
        <f>Calculation!F277</f>
        <v>250</v>
      </c>
      <c r="M274" s="865">
        <f>Calculation!E277</f>
        <v>250</v>
      </c>
      <c r="N274" s="865">
        <f>Calculation!D277</f>
        <v>300</v>
      </c>
      <c r="O274" s="888">
        <f>Sheet1!DC275</f>
        <v>1138.96</v>
      </c>
      <c r="P274" s="889">
        <f>Calculation!FD277</f>
        <v>1119.1790697673807</v>
      </c>
      <c r="Q274" s="895">
        <f>Calculation!DP277</f>
        <v>22664.200000056971</v>
      </c>
      <c r="R274" s="888">
        <f t="shared" si="105"/>
        <v>22045.200000056971</v>
      </c>
      <c r="S274" s="890">
        <f t="shared" si="84"/>
        <v>-621.10000000129003</v>
      </c>
      <c r="T274" s="895">
        <f ca="1">IF(A274&gt;($A$1-1),#N/A,VLOOKUP(A274,Calculation!$B$8:$JO$503,40,FALSE))</f>
        <v>2510.5326843255884</v>
      </c>
      <c r="U274" s="890">
        <f t="shared" si="85"/>
        <v>25.525499999999997</v>
      </c>
      <c r="V274" s="890">
        <f>Calculation!AZ277</f>
        <v>0</v>
      </c>
      <c r="W274" s="1165">
        <f t="shared" ca="1" si="101"/>
        <v>8601.6673157313817</v>
      </c>
      <c r="X274" s="1165">
        <f t="shared" ca="1" si="102"/>
        <v>178.25416036373707</v>
      </c>
      <c r="Y274" s="1164">
        <f t="shared" ca="1" si="103"/>
        <v>0</v>
      </c>
      <c r="Z274" s="890">
        <f t="shared" ca="1" si="88"/>
        <v>8601.6673157313817</v>
      </c>
      <c r="AA274" s="890">
        <f t="shared" ca="1" si="90"/>
        <v>0</v>
      </c>
      <c r="AB274" s="1165">
        <f t="shared" ca="1" si="99"/>
        <v>11552</v>
      </c>
      <c r="AC274" s="1166">
        <f t="shared" ca="1" si="100"/>
        <v>10933</v>
      </c>
      <c r="AD274" s="860">
        <f ca="1">IF(A274&gt;$A$1,VLOOKUP(A274,Calculation!$B$8:$JO$880,165,FALSE),VLOOKUP(A274,Calculation!$B$8:$JO$880,165,FALSE))</f>
        <v>10933</v>
      </c>
      <c r="AE274" s="399">
        <f t="shared" ca="1" si="86"/>
        <v>-217</v>
      </c>
      <c r="AF274" s="399">
        <f t="shared" ca="1" si="104"/>
        <v>11552</v>
      </c>
      <c r="AG274" s="841">
        <f>Calculation!G277</f>
        <v>122.78769541034296</v>
      </c>
      <c r="AH274" s="847" t="str">
        <f t="shared" si="87"/>
        <v>Yes</v>
      </c>
      <c r="AI274" s="847" t="str">
        <f>IF(Calculation!K277&gt;0,"Yes","No")</f>
        <v>No</v>
      </c>
      <c r="AJ274" s="869">
        <v>28039.560000069974</v>
      </c>
      <c r="AK274" s="870">
        <v>25150.500000064843</v>
      </c>
      <c r="AL274" s="870">
        <v>24133.000000060711</v>
      </c>
      <c r="AN274" s="372">
        <v>25626.000000066029</v>
      </c>
      <c r="AO274" s="894">
        <v>26984.300000069827</v>
      </c>
      <c r="AP274" s="894">
        <v>22513.000000056807</v>
      </c>
      <c r="AQ274" s="894"/>
      <c r="AR274" s="894"/>
      <c r="AS274" s="894"/>
      <c r="AT274" s="894"/>
      <c r="AU274" s="427"/>
      <c r="AV274" s="410"/>
      <c r="AW274" s="442"/>
      <c r="AX274" s="441"/>
      <c r="AY274" s="441"/>
      <c r="AZ274" s="443"/>
      <c r="BB274" s="433"/>
      <c r="BC274" s="432"/>
      <c r="BD274" s="433"/>
      <c r="BE274" s="432"/>
      <c r="BF274" s="433"/>
      <c r="BG274" s="432"/>
      <c r="BH274" s="429"/>
    </row>
    <row r="275" spans="1:60" ht="13.8" thickBot="1" x14ac:dyDescent="0.3">
      <c r="A275" s="406">
        <v>43002</v>
      </c>
      <c r="B275" s="860">
        <f t="shared" si="83"/>
        <v>102.56609999999999</v>
      </c>
      <c r="C275" s="860">
        <f>Calculation!AK278</f>
        <v>0</v>
      </c>
      <c r="D275" s="860">
        <f>Calculation!AI278</f>
        <v>25.525499999999997</v>
      </c>
      <c r="E275" s="860">
        <f>Calculation!AE278</f>
        <v>43.934799999999996</v>
      </c>
      <c r="F275" s="860">
        <f>Calculation!AF278</f>
        <v>58.631299999999996</v>
      </c>
      <c r="G275" s="860">
        <f>Calculation!AG278</f>
        <v>0</v>
      </c>
      <c r="H275" s="861">
        <f>Sheet1!H276</f>
        <v>1.72</v>
      </c>
      <c r="I275" s="841">
        <f>Sheet1!DA276</f>
        <v>494</v>
      </c>
      <c r="J275" s="841">
        <f>Sheet1!DB276</f>
        <v>322</v>
      </c>
      <c r="K275" s="841">
        <f>Sheet1!CZ276</f>
        <v>436</v>
      </c>
      <c r="L275" s="865">
        <f>Calculation!F278</f>
        <v>250</v>
      </c>
      <c r="M275" s="865">
        <f>Calculation!E278</f>
        <v>250</v>
      </c>
      <c r="N275" s="865">
        <f>Calculation!D278</f>
        <v>300</v>
      </c>
      <c r="O275" s="888">
        <f>Sheet1!DC276</f>
        <v>1138.08</v>
      </c>
      <c r="P275" s="889">
        <f>Calculation!FD278</f>
        <v>1118.6634146340857</v>
      </c>
      <c r="Q275" s="895">
        <f>Calculation!DP278</f>
        <v>22030.600000056314</v>
      </c>
      <c r="R275" s="888">
        <f t="shared" si="105"/>
        <v>21411.600000056314</v>
      </c>
      <c r="S275" s="890">
        <f t="shared" si="84"/>
        <v>-633.60000000065702</v>
      </c>
      <c r="T275" s="895">
        <f ca="1">IF(A275&gt;($A$1-1),#N/A,VLOOKUP(A275,Calculation!$B$8:$JO$503,40,FALSE))</f>
        <v>2459.9106843255886</v>
      </c>
      <c r="U275" s="890">
        <f t="shared" si="85"/>
        <v>25.525499999999997</v>
      </c>
      <c r="V275" s="890">
        <f>Calculation!AZ278</f>
        <v>0</v>
      </c>
      <c r="W275" s="1165">
        <f t="shared" ca="1" si="101"/>
        <v>8235.6893157307277</v>
      </c>
      <c r="X275" s="1165">
        <f t="shared" ca="1" si="102"/>
        <v>184.55774079710235</v>
      </c>
      <c r="Y275" s="1164">
        <f t="shared" ca="1" si="103"/>
        <v>0</v>
      </c>
      <c r="Z275" s="890">
        <f t="shared" ca="1" si="88"/>
        <v>8235.6893157307277</v>
      </c>
      <c r="AA275" s="890">
        <f t="shared" ca="1" si="90"/>
        <v>0</v>
      </c>
      <c r="AB275" s="1165">
        <f t="shared" ca="1" si="99"/>
        <v>11335</v>
      </c>
      <c r="AC275" s="1166">
        <f t="shared" ca="1" si="100"/>
        <v>10716</v>
      </c>
      <c r="AD275" s="860">
        <f ca="1">IF(A275&gt;$A$1,VLOOKUP(A275,Calculation!$B$8:$JO$880,165,FALSE),VLOOKUP(A275,Calculation!$B$8:$JO$880,165,FALSE))</f>
        <v>10716</v>
      </c>
      <c r="AE275" s="399">
        <f t="shared" ca="1" si="86"/>
        <v>-217</v>
      </c>
      <c r="AF275" s="399">
        <f t="shared" ca="1" si="104"/>
        <v>11335</v>
      </c>
      <c r="AG275" s="841">
        <f>Calculation!G278</f>
        <v>116.48411497697583</v>
      </c>
      <c r="AH275" s="847" t="str">
        <f t="shared" si="87"/>
        <v>Yes</v>
      </c>
      <c r="AI275" s="847" t="str">
        <f>IF(Calculation!K278&gt;0,"Yes","No")</f>
        <v>No</v>
      </c>
      <c r="AJ275" s="869">
        <v>27292.02000006774</v>
      </c>
      <c r="AK275" s="870">
        <v>24449.000000063315</v>
      </c>
      <c r="AL275" s="870">
        <v>23582.600000061</v>
      </c>
      <c r="AN275" s="372">
        <v>24983.600000064664</v>
      </c>
      <c r="AO275" s="894">
        <v>26404.200000068427</v>
      </c>
      <c r="AP275" s="894">
        <v>21973.000000056316</v>
      </c>
      <c r="AQ275" s="894"/>
      <c r="AR275" s="894"/>
      <c r="AS275" s="894"/>
      <c r="AT275" s="894"/>
      <c r="AU275" s="427"/>
      <c r="AV275" s="410"/>
      <c r="AW275" s="442"/>
      <c r="AX275" s="441"/>
      <c r="AY275" s="441"/>
      <c r="AZ275" s="443"/>
      <c r="BB275" s="433"/>
      <c r="BC275" s="432"/>
      <c r="BD275" s="433"/>
      <c r="BE275" s="432"/>
      <c r="BF275" s="433"/>
      <c r="BG275" s="432"/>
      <c r="BH275" s="429"/>
    </row>
    <row r="276" spans="1:60" ht="13.8" thickBot="1" x14ac:dyDescent="0.3">
      <c r="A276" s="406">
        <v>43003</v>
      </c>
      <c r="B276" s="860">
        <f t="shared" si="83"/>
        <v>104.06668999999999</v>
      </c>
      <c r="C276" s="860">
        <f>Calculation!AK279</f>
        <v>0</v>
      </c>
      <c r="D276" s="860">
        <f>Calculation!AI279</f>
        <v>25.552359956343086</v>
      </c>
      <c r="E276" s="860">
        <f>Calculation!AE279</f>
        <v>43.934799999999996</v>
      </c>
      <c r="F276" s="860">
        <f>Calculation!AF279</f>
        <v>60.131889999999991</v>
      </c>
      <c r="G276" s="860">
        <f>Calculation!AG279</f>
        <v>0</v>
      </c>
      <c r="H276" s="861">
        <f>Sheet1!H277</f>
        <v>1.7</v>
      </c>
      <c r="I276" s="841">
        <f>Sheet1!DA277</f>
        <v>494</v>
      </c>
      <c r="J276" s="841">
        <f>Sheet1!DB277</f>
        <v>307</v>
      </c>
      <c r="K276" s="841">
        <f>Sheet1!CZ277</f>
        <v>433</v>
      </c>
      <c r="L276" s="865">
        <f>Calculation!F279</f>
        <v>250</v>
      </c>
      <c r="M276" s="865">
        <f>Calculation!E279</f>
        <v>250</v>
      </c>
      <c r="N276" s="865">
        <f>Calculation!D279</f>
        <v>300</v>
      </c>
      <c r="O276" s="888">
        <f>Sheet1!DC277</f>
        <v>1137.19</v>
      </c>
      <c r="P276" s="889">
        <f>Calculation!FD279</f>
        <v>1118.1390243901837</v>
      </c>
      <c r="Q276" s="895">
        <f>Calculation!DP279</f>
        <v>21400.900000055048</v>
      </c>
      <c r="R276" s="888">
        <f t="shared" si="105"/>
        <v>20781.900000055048</v>
      </c>
      <c r="S276" s="890">
        <f t="shared" si="84"/>
        <v>-629.70000000126674</v>
      </c>
      <c r="T276" s="895">
        <f ca="1">IF(A276&gt;($A$1-1),#N/A,VLOOKUP(A276,Calculation!$B$8:$JO$503,40,FALSE))</f>
        <v>2409.2354158407397</v>
      </c>
      <c r="U276" s="890">
        <f t="shared" si="85"/>
        <v>25.552359956343086</v>
      </c>
      <c r="V276" s="890">
        <f>Calculation!AZ279</f>
        <v>0</v>
      </c>
      <c r="W276" s="1165">
        <f t="shared" ca="1" si="101"/>
        <v>7872.664584214308</v>
      </c>
      <c r="X276" s="1165">
        <f t="shared" ca="1" si="102"/>
        <v>183.068447562491</v>
      </c>
      <c r="Y276" s="1164">
        <f t="shared" ca="1" si="103"/>
        <v>0</v>
      </c>
      <c r="Z276" s="890">
        <f t="shared" ca="1" si="88"/>
        <v>7872.664584214308</v>
      </c>
      <c r="AA276" s="890">
        <f t="shared" ca="1" si="90"/>
        <v>0</v>
      </c>
      <c r="AB276" s="1165">
        <f t="shared" ca="1" si="99"/>
        <v>11119</v>
      </c>
      <c r="AC276" s="1166">
        <f t="shared" ca="1" si="100"/>
        <v>10500</v>
      </c>
      <c r="AD276" s="860">
        <f ca="1">IF(A276&gt;$A$1,VLOOKUP(A276,Calculation!$B$8:$JO$880,165,FALSE),VLOOKUP(A276,Calculation!$B$8:$JO$880,165,FALSE))</f>
        <v>10500</v>
      </c>
      <c r="AE276" s="399">
        <f t="shared" ca="1" si="86"/>
        <v>-216</v>
      </c>
      <c r="AF276" s="399">
        <f t="shared" ca="1" si="104"/>
        <v>11119</v>
      </c>
      <c r="AG276" s="841">
        <f>Calculation!G279</f>
        <v>115.45083207197848</v>
      </c>
      <c r="AH276" s="847" t="str">
        <f t="shared" si="87"/>
        <v>Yes</v>
      </c>
      <c r="AI276" s="847" t="str">
        <f>IF(Calculation!K279&gt;0,"Yes","No")</f>
        <v>No</v>
      </c>
      <c r="AJ276" s="869">
        <v>26601.010000065271</v>
      </c>
      <c r="AK276" s="870">
        <v>23831.400000061174</v>
      </c>
      <c r="AL276" s="870">
        <v>22882.800000057927</v>
      </c>
      <c r="AN276" s="372">
        <v>24301.800000063315</v>
      </c>
      <c r="AO276" s="894">
        <v>25826.000000067866</v>
      </c>
      <c r="AP276" s="894">
        <v>21436.000000054275</v>
      </c>
      <c r="AQ276" s="894"/>
      <c r="AR276" s="894"/>
      <c r="AS276" s="894"/>
      <c r="AT276" s="894"/>
      <c r="AU276" s="427"/>
      <c r="AV276" s="410"/>
      <c r="AW276" s="442"/>
      <c r="AX276" s="441"/>
      <c r="AY276" s="441"/>
      <c r="AZ276" s="443"/>
      <c r="BB276" s="433"/>
      <c r="BC276" s="432"/>
      <c r="BD276" s="433"/>
      <c r="BE276" s="432"/>
      <c r="BF276" s="433"/>
      <c r="BG276" s="432"/>
      <c r="BH276" s="429"/>
    </row>
    <row r="277" spans="1:60" ht="13.8" thickBot="1" x14ac:dyDescent="0.3">
      <c r="A277" s="406">
        <v>43004</v>
      </c>
      <c r="B277" s="860">
        <f t="shared" si="83"/>
        <v>107.14521999999999</v>
      </c>
      <c r="C277" s="860">
        <f>Calculation!AK280</f>
        <v>0</v>
      </c>
      <c r="D277" s="860">
        <f>Calculation!AI280</f>
        <v>25.537866928903</v>
      </c>
      <c r="E277" s="860">
        <f>Calculation!AE280</f>
        <v>43.934799999999996</v>
      </c>
      <c r="F277" s="860">
        <f>Calculation!AF280</f>
        <v>63.210419999999999</v>
      </c>
      <c r="G277" s="860">
        <f>Calculation!AG280</f>
        <v>0</v>
      </c>
      <c r="H277" s="861">
        <f>Sheet1!H278</f>
        <v>1.66</v>
      </c>
      <c r="I277" s="841">
        <f>Sheet1!DA278</f>
        <v>494</v>
      </c>
      <c r="J277" s="841">
        <f>Sheet1!DB278</f>
        <v>335</v>
      </c>
      <c r="K277" s="841">
        <f>Sheet1!CZ278</f>
        <v>446</v>
      </c>
      <c r="L277" s="865">
        <f>Calculation!F280</f>
        <v>250</v>
      </c>
      <c r="M277" s="865">
        <f>Calculation!E280</f>
        <v>250</v>
      </c>
      <c r="N277" s="865">
        <f>Calculation!D280</f>
        <v>300</v>
      </c>
      <c r="O277" s="888">
        <f>Sheet1!DC278</f>
        <v>1136.29</v>
      </c>
      <c r="P277" s="889">
        <f>Calculation!FD280</f>
        <v>1117.6024999999404</v>
      </c>
      <c r="Q277" s="895">
        <f>Calculation!DP280</f>
        <v>20778.100000052873</v>
      </c>
      <c r="R277" s="888">
        <f t="shared" si="105"/>
        <v>20159.100000052873</v>
      </c>
      <c r="S277" s="890">
        <f t="shared" si="84"/>
        <v>-622.80000000217478</v>
      </c>
      <c r="T277" s="895">
        <f ca="1">IF(A277&gt;($A$1-1),#N/A,VLOOKUP(A277,Calculation!$B$8:$JO$503,40,FALSE))</f>
        <v>1858.5048898304783</v>
      </c>
      <c r="U277" s="890">
        <f t="shared" si="85"/>
        <v>25.537866928903</v>
      </c>
      <c r="V277" s="890">
        <f>Calculation!AZ280</f>
        <v>0</v>
      </c>
      <c r="W277" s="1165">
        <f t="shared" ca="1" si="101"/>
        <v>8017.5951102223953</v>
      </c>
      <c r="X277" s="1165">
        <f t="shared" ca="1" si="102"/>
        <v>-73.086498239075794</v>
      </c>
      <c r="Y277" s="1164">
        <f t="shared" ca="1" si="103"/>
        <v>0</v>
      </c>
      <c r="Z277" s="890">
        <f t="shared" ca="1" si="88"/>
        <v>8017.5951102223953</v>
      </c>
      <c r="AA277" s="890">
        <f t="shared" ca="1" si="90"/>
        <v>0</v>
      </c>
      <c r="AB277" s="1165">
        <f t="shared" ca="1" si="99"/>
        <v>10902</v>
      </c>
      <c r="AC277" s="1166">
        <f t="shared" ca="1" si="100"/>
        <v>10283</v>
      </c>
      <c r="AD277" s="860">
        <f ca="1">IF(A277&gt;$A$1,VLOOKUP(A277,Calculation!$B$8:$JO$880,165,FALSE),VLOOKUP(A277,Calculation!$B$8:$JO$880,165,FALSE))</f>
        <v>10283</v>
      </c>
      <c r="AE277" s="399">
        <f t="shared" ca="1" si="86"/>
        <v>-217</v>
      </c>
      <c r="AF277" s="399">
        <f t="shared" ca="1" si="104"/>
        <v>10902</v>
      </c>
      <c r="AG277" s="841">
        <f>Calculation!G280</f>
        <v>131.93040847091544</v>
      </c>
      <c r="AH277" s="847" t="str">
        <f t="shared" si="87"/>
        <v>Yes</v>
      </c>
      <c r="AI277" s="847" t="str">
        <f>IF(Calculation!K280&gt;0,"Yes","No")</f>
        <v>No</v>
      </c>
      <c r="AJ277" s="869">
        <v>25924.540000063178</v>
      </c>
      <c r="AK277" s="870">
        <v>23175.800000058262</v>
      </c>
      <c r="AL277" s="870">
        <v>22138.600000056478</v>
      </c>
      <c r="AN277" s="372">
        <v>23651.000000060198</v>
      </c>
      <c r="AO277" s="894">
        <v>25349.000000065025</v>
      </c>
      <c r="AP277" s="894">
        <v>20881.600000053029</v>
      </c>
      <c r="AQ277" s="380">
        <v>42273</v>
      </c>
      <c r="AR277" s="380">
        <v>55.5</v>
      </c>
      <c r="AS277" s="1079">
        <f>AT277*1.983</f>
        <v>55.524000000000001</v>
      </c>
      <c r="AT277" s="1079">
        <v>28</v>
      </c>
      <c r="AU277" s="427"/>
      <c r="AV277" s="410"/>
      <c r="AW277" s="442"/>
      <c r="AX277" s="441"/>
      <c r="AY277" s="441"/>
      <c r="AZ277" s="443"/>
      <c r="BB277" s="433"/>
      <c r="BC277" s="432"/>
      <c r="BD277" s="433"/>
      <c r="BE277" s="432"/>
      <c r="BF277" s="433"/>
      <c r="BG277" s="432"/>
      <c r="BH277" s="429"/>
    </row>
    <row r="278" spans="1:60" ht="13.8" thickBot="1" x14ac:dyDescent="0.3">
      <c r="A278" s="406">
        <v>43005</v>
      </c>
      <c r="B278" s="860">
        <f t="shared" si="83"/>
        <v>108.56845999999999</v>
      </c>
      <c r="C278" s="860">
        <f>Calculation!AK281</f>
        <v>0</v>
      </c>
      <c r="D278" s="860">
        <f>Calculation!AI281</f>
        <v>25.525499999999997</v>
      </c>
      <c r="E278" s="860">
        <f>Calculation!AE281</f>
        <v>43.780099999999997</v>
      </c>
      <c r="F278" s="860">
        <f>Calculation!AF281</f>
        <v>64.788359999999997</v>
      </c>
      <c r="G278" s="860">
        <f>Calculation!AG281</f>
        <v>0</v>
      </c>
      <c r="H278" s="861">
        <f>Sheet1!H279</f>
        <v>1.71</v>
      </c>
      <c r="I278" s="841">
        <f>Sheet1!DA279</f>
        <v>504</v>
      </c>
      <c r="J278" s="841">
        <f>Sheet1!DB279</f>
        <v>340</v>
      </c>
      <c r="K278" s="841">
        <f>Sheet1!CZ279</f>
        <v>463</v>
      </c>
      <c r="L278" s="865">
        <f>Calculation!F281</f>
        <v>250</v>
      </c>
      <c r="M278" s="865">
        <f>Calculation!E281</f>
        <v>250</v>
      </c>
      <c r="N278" s="865">
        <f>Calculation!D281</f>
        <v>300</v>
      </c>
      <c r="O278" s="888">
        <f>Sheet1!DC279</f>
        <v>1135.29</v>
      </c>
      <c r="P278" s="889">
        <f>Calculation!FD281</f>
        <v>1117.0634146340872</v>
      </c>
      <c r="Q278" s="895">
        <f>Calculation!DP281</f>
        <v>20103.300000050731</v>
      </c>
      <c r="R278" s="888">
        <f t="shared" si="105"/>
        <v>19484.300000050731</v>
      </c>
      <c r="S278" s="890">
        <f t="shared" si="84"/>
        <v>-674.80000000214204</v>
      </c>
      <c r="T278" s="895">
        <f ca="1">IF(A278&gt;($A$1-1),#N/A,VLOOKUP(A278,Calculation!$B$8:$JO$503,40,FALSE))</f>
        <v>1807.8828898304782</v>
      </c>
      <c r="U278" s="890">
        <f t="shared" si="85"/>
        <v>25.525499999999997</v>
      </c>
      <c r="V278" s="890">
        <f>Calculation!AZ281</f>
        <v>0</v>
      </c>
      <c r="W278" s="1165">
        <f t="shared" ca="1" si="101"/>
        <v>7610.4171102202527</v>
      </c>
      <c r="X278" s="1165">
        <f t="shared" ca="1" si="102"/>
        <v>205.3343419072832</v>
      </c>
      <c r="Y278" s="1164">
        <f t="shared" ca="1" si="103"/>
        <v>0</v>
      </c>
      <c r="Z278" s="890">
        <f t="shared" ca="1" si="88"/>
        <v>7610.4171102202527</v>
      </c>
      <c r="AA278" s="890">
        <f t="shared" ca="1" si="90"/>
        <v>0</v>
      </c>
      <c r="AB278" s="1165">
        <f t="shared" ca="1" si="99"/>
        <v>10685</v>
      </c>
      <c r="AC278" s="1166">
        <f t="shared" ca="1" si="100"/>
        <v>10066</v>
      </c>
      <c r="AD278" s="860">
        <f ca="1">IF(A278&gt;$A$1,VLOOKUP(A278,Calculation!$B$8:$JO$880,165,FALSE),VLOOKUP(A278,Calculation!$B$8:$JO$880,165,FALSE))</f>
        <v>10066</v>
      </c>
      <c r="AE278" s="399">
        <f t="shared" ca="1" si="86"/>
        <v>-217</v>
      </c>
      <c r="AF278" s="399">
        <f t="shared" ca="1" si="104"/>
        <v>10685</v>
      </c>
      <c r="AG278" s="841">
        <f>Calculation!G281</f>
        <v>122.70751386679677</v>
      </c>
      <c r="AH278" s="847" t="str">
        <f t="shared" si="87"/>
        <v>Yes</v>
      </c>
      <c r="AI278" s="847" t="str">
        <f>IF(Calculation!K281&gt;0,"Yes","No")</f>
        <v>No</v>
      </c>
      <c r="AJ278" s="869">
        <v>25277.11000006078</v>
      </c>
      <c r="AK278" s="870">
        <v>22520.200000056808</v>
      </c>
      <c r="AL278" s="870">
        <v>21170.400000053185</v>
      </c>
      <c r="AN278" s="372">
        <v>22986.000000058095</v>
      </c>
      <c r="AO278" s="894">
        <v>24797.000000063668</v>
      </c>
      <c r="AP278" s="894">
        <v>20277.500000050881</v>
      </c>
      <c r="AQ278" s="380">
        <v>42274</v>
      </c>
      <c r="AR278" s="380">
        <f t="shared" ref="AR278:AR293" si="106">AR277+AU278</f>
        <v>55.5</v>
      </c>
      <c r="AS278" s="1079">
        <f t="shared" ref="AS278:AS300" si="107">AT278*1.983</f>
        <v>55.524000000000001</v>
      </c>
      <c r="AT278" s="1079">
        <v>28</v>
      </c>
      <c r="AU278" s="427"/>
      <c r="AV278" s="410"/>
      <c r="AW278" s="442"/>
      <c r="AX278" s="441"/>
      <c r="AY278" s="441"/>
      <c r="AZ278" s="443"/>
      <c r="BB278" s="433"/>
      <c r="BC278" s="432"/>
      <c r="BD278" s="433"/>
      <c r="BE278" s="432"/>
      <c r="BF278" s="433"/>
      <c r="BG278" s="432"/>
      <c r="BH278" s="429"/>
    </row>
    <row r="279" spans="1:60" ht="13.8" thickBot="1" x14ac:dyDescent="0.3">
      <c r="A279" s="406">
        <v>43006</v>
      </c>
      <c r="B279" s="860">
        <f t="shared" si="83"/>
        <v>110.28563</v>
      </c>
      <c r="C279" s="860">
        <f>Calculation!AK282</f>
        <v>0</v>
      </c>
      <c r="D279" s="860">
        <f>Calculation!AI282</f>
        <v>25.592688015373867</v>
      </c>
      <c r="E279" s="860">
        <f>Calculation!AE282</f>
        <v>43.934799999999996</v>
      </c>
      <c r="F279" s="860">
        <f>Calculation!AF282</f>
        <v>66.350830000000002</v>
      </c>
      <c r="G279" s="860">
        <f>Calculation!AG282</f>
        <v>0</v>
      </c>
      <c r="H279" s="861">
        <f>Sheet1!H280</f>
        <v>1.74</v>
      </c>
      <c r="I279" s="841">
        <f>Sheet1!DA280</f>
        <v>514</v>
      </c>
      <c r="J279" s="841">
        <f>Sheet1!DB280</f>
        <v>337</v>
      </c>
      <c r="K279" s="841">
        <f>Sheet1!CZ280</f>
        <v>460</v>
      </c>
      <c r="L279" s="865">
        <f>Calculation!F282</f>
        <v>250</v>
      </c>
      <c r="M279" s="865">
        <f>Calculation!E282</f>
        <v>250</v>
      </c>
      <c r="N279" s="865">
        <f>Calculation!D282</f>
        <v>300</v>
      </c>
      <c r="O279" s="888">
        <f>Sheet1!DC280</f>
        <v>1134.24</v>
      </c>
      <c r="P279" s="889">
        <f>Calculation!FD282</f>
        <v>1116.5076923076335</v>
      </c>
      <c r="Q279" s="895">
        <f>Calculation!DP282</f>
        <v>19414.000000048625</v>
      </c>
      <c r="R279" s="888">
        <f t="shared" si="105"/>
        <v>18795.000000048625</v>
      </c>
      <c r="S279" s="890">
        <f t="shared" si="84"/>
        <v>-689.30000000210566</v>
      </c>
      <c r="T279" s="895">
        <f ca="1">IF(A279&gt;($A$1-1),#N/A,VLOOKUP(A279,Calculation!$B$8:$JO$503,40,FALSE))</f>
        <v>1757.1276430100731</v>
      </c>
      <c r="U279" s="890">
        <f t="shared" si="85"/>
        <v>25.592688015373867</v>
      </c>
      <c r="V279" s="890">
        <f>Calculation!AZ282</f>
        <v>0</v>
      </c>
      <c r="W279" s="1165">
        <f t="shared" ca="1" si="101"/>
        <v>7187.8723570385519</v>
      </c>
      <c r="X279" s="1165">
        <f t="shared" ca="1" si="102"/>
        <v>213.08358708103921</v>
      </c>
      <c r="Y279" s="1164">
        <f t="shared" ca="1" si="103"/>
        <v>0</v>
      </c>
      <c r="Z279" s="890">
        <f t="shared" ca="1" si="88"/>
        <v>7187.8723570385519</v>
      </c>
      <c r="AA279" s="890">
        <f t="shared" ca="1" si="90"/>
        <v>0</v>
      </c>
      <c r="AB279" s="1165">
        <f t="shared" ca="1" si="99"/>
        <v>10469</v>
      </c>
      <c r="AC279" s="1166">
        <f t="shared" ca="1" si="100"/>
        <v>9850</v>
      </c>
      <c r="AD279" s="860">
        <f ca="1">IF(A279&gt;$A$1,VLOOKUP(A279,Calculation!$B$8:$JO$880,165,FALSE),VLOOKUP(A279,Calculation!$B$8:$JO$880,165,FALSE))</f>
        <v>9850</v>
      </c>
      <c r="AE279" s="399">
        <f t="shared" ca="1" si="86"/>
        <v>-216</v>
      </c>
      <c r="AF279" s="399">
        <f t="shared" ca="1" si="104"/>
        <v>10469</v>
      </c>
      <c r="AG279" s="841">
        <f>Calculation!G282</f>
        <v>112.39536056373902</v>
      </c>
      <c r="AH279" s="847" t="str">
        <f t="shared" si="87"/>
        <v>Yes</v>
      </c>
      <c r="AI279" s="847" t="str">
        <f>IF(Calculation!K282&gt;0,"Yes","No")</f>
        <v>No</v>
      </c>
      <c r="AJ279" s="869">
        <v>24467.860000058579</v>
      </c>
      <c r="AK279" s="870">
        <v>21859.400000055371</v>
      </c>
      <c r="AL279" s="870">
        <v>20757.400000052872</v>
      </c>
      <c r="AN279" s="372">
        <v>22246.600000056642</v>
      </c>
      <c r="AO279" s="894">
        <v>24278.400000063313</v>
      </c>
      <c r="AP279" s="894">
        <v>19596.000000048771</v>
      </c>
      <c r="AQ279" s="380">
        <v>42275</v>
      </c>
      <c r="AR279" s="380">
        <f t="shared" si="106"/>
        <v>55.5</v>
      </c>
      <c r="AS279" s="1079">
        <f t="shared" si="107"/>
        <v>55.524000000000001</v>
      </c>
      <c r="AT279" s="1079">
        <v>28</v>
      </c>
      <c r="AU279" s="427"/>
      <c r="AV279" s="410"/>
      <c r="AW279" s="442"/>
      <c r="AX279" s="441"/>
      <c r="AY279" s="441"/>
      <c r="AZ279" s="443"/>
      <c r="BB279" s="433"/>
      <c r="BC279" s="432"/>
      <c r="BD279" s="433"/>
      <c r="BE279" s="432"/>
      <c r="BF279" s="433"/>
      <c r="BG279" s="432"/>
      <c r="BH279" s="429"/>
    </row>
    <row r="280" spans="1:60" ht="13.8" thickBot="1" x14ac:dyDescent="0.3">
      <c r="A280" s="406">
        <v>43007</v>
      </c>
      <c r="B280" s="860">
        <f t="shared" si="83"/>
        <v>108.44469999999998</v>
      </c>
      <c r="C280" s="860">
        <f>Calculation!AK283</f>
        <v>0</v>
      </c>
      <c r="D280" s="860">
        <f>Calculation!AI283</f>
        <v>22.740900000000003</v>
      </c>
      <c r="E280" s="860">
        <f>Calculation!AE283</f>
        <v>43.780099999999997</v>
      </c>
      <c r="F280" s="860">
        <f>Calculation!AF283</f>
        <v>64.664599999999993</v>
      </c>
      <c r="G280" s="860">
        <f>Calculation!AG283</f>
        <v>0</v>
      </c>
      <c r="H280" s="861">
        <f>Sheet1!H281</f>
        <v>1.97</v>
      </c>
      <c r="I280" s="841">
        <f>Sheet1!DA281</f>
        <v>519</v>
      </c>
      <c r="J280" s="841">
        <f>Sheet1!DB281</f>
        <v>340</v>
      </c>
      <c r="K280" s="841">
        <f>Sheet1!CZ281</f>
        <v>466</v>
      </c>
      <c r="L280" s="865">
        <f>Calculation!F283</f>
        <v>250</v>
      </c>
      <c r="M280" s="865">
        <f>Calculation!E283</f>
        <v>250</v>
      </c>
      <c r="N280" s="865">
        <f>Calculation!D283</f>
        <v>300</v>
      </c>
      <c r="O280" s="888">
        <f>Sheet1!DC281</f>
        <v>1133.17</v>
      </c>
      <c r="P280" s="889">
        <f>Calculation!FD283</f>
        <v>1115.9473684209945</v>
      </c>
      <c r="Q280" s="895">
        <f>Calculation!DP283</f>
        <v>18731.100000046554</v>
      </c>
      <c r="R280" s="888">
        <f t="shared" si="105"/>
        <v>18112.100000046554</v>
      </c>
      <c r="S280" s="890">
        <f t="shared" si="84"/>
        <v>-682.90000000207147</v>
      </c>
      <c r="T280" s="895">
        <f ca="1">IF(A280&gt;($A$1-1),#N/A,VLOOKUP(A280,Calculation!$B$8:$JO$503,40,FALSE))</f>
        <v>1712.0280430100729</v>
      </c>
      <c r="U280" s="890">
        <f t="shared" si="85"/>
        <v>22.740900000000003</v>
      </c>
      <c r="V280" s="890">
        <f>Calculation!AZ283</f>
        <v>0</v>
      </c>
      <c r="W280" s="1165">
        <f t="shared" ca="1" si="101"/>
        <v>6767.0719570364818</v>
      </c>
      <c r="X280" s="1165">
        <f t="shared" ca="1" si="102"/>
        <v>212.20393343523452</v>
      </c>
      <c r="Y280" s="1164">
        <f t="shared" ca="1" si="103"/>
        <v>0</v>
      </c>
      <c r="Z280" s="890">
        <f t="shared" ca="1" si="88"/>
        <v>6767.0719570364818</v>
      </c>
      <c r="AA280" s="890">
        <f t="shared" ca="1" si="90"/>
        <v>0</v>
      </c>
      <c r="AB280" s="1165">
        <f t="shared" ca="1" si="99"/>
        <v>10252</v>
      </c>
      <c r="AC280" s="1166">
        <f t="shared" ca="1" si="100"/>
        <v>9633</v>
      </c>
      <c r="AD280" s="860">
        <f ca="1">IF(A280&gt;$A$1,VLOOKUP(A280,Calculation!$B$8:$JO$880,165,FALSE),VLOOKUP(A280,Calculation!$B$8:$JO$880,165,FALSE))</f>
        <v>9633</v>
      </c>
      <c r="AE280" s="399">
        <f t="shared" ca="1" si="86"/>
        <v>-217</v>
      </c>
      <c r="AF280" s="399">
        <f t="shared" ca="1" si="104"/>
        <v>10252</v>
      </c>
      <c r="AG280" s="841">
        <f>Calculation!G283</f>
        <v>121.62279374580362</v>
      </c>
      <c r="AH280" s="847" t="str">
        <f t="shared" si="87"/>
        <v>Yes</v>
      </c>
      <c r="AI280" s="847" t="str">
        <f>IF(Calculation!K283&gt;0,"Yes","No")</f>
        <v>No</v>
      </c>
      <c r="AJ280" s="869">
        <v>23716.640000056334</v>
      </c>
      <c r="AK280" s="870">
        <v>21191.100000053342</v>
      </c>
      <c r="AL280" s="870">
        <v>21478.00000005505</v>
      </c>
      <c r="AN280" s="372">
        <v>21584.50000005521</v>
      </c>
      <c r="AO280" s="894">
        <v>23763.500000060369</v>
      </c>
      <c r="AP280" s="894">
        <v>18908.500000046697</v>
      </c>
      <c r="AQ280" s="380">
        <v>42276</v>
      </c>
      <c r="AR280" s="380">
        <f t="shared" si="106"/>
        <v>55.5</v>
      </c>
      <c r="AS280" s="1079">
        <f t="shared" si="107"/>
        <v>55.524000000000001</v>
      </c>
      <c r="AT280" s="1079">
        <v>28</v>
      </c>
      <c r="AU280" s="427"/>
      <c r="AV280" s="410"/>
      <c r="AW280" s="442"/>
      <c r="AX280" s="441"/>
      <c r="AY280" s="441"/>
      <c r="AZ280" s="443"/>
      <c r="BB280" s="433"/>
      <c r="BC280" s="432"/>
      <c r="BD280" s="433"/>
      <c r="BE280" s="432"/>
      <c r="BF280" s="433"/>
      <c r="BG280" s="432"/>
      <c r="BH280" s="429"/>
    </row>
    <row r="281" spans="1:60" ht="13.8" thickBot="1" x14ac:dyDescent="0.3">
      <c r="A281" s="406">
        <v>43008</v>
      </c>
      <c r="B281" s="860">
        <f t="shared" si="83"/>
        <v>101.48319999999998</v>
      </c>
      <c r="C281" s="860">
        <f>Calculation!AK284</f>
        <v>0</v>
      </c>
      <c r="D281" s="860">
        <f>Calculation!AI284</f>
        <v>22.531000321457281</v>
      </c>
      <c r="E281" s="860">
        <f>Calculation!AE284</f>
        <v>43.780099999999997</v>
      </c>
      <c r="F281" s="860">
        <f>Calculation!AF284</f>
        <v>57.703099999999992</v>
      </c>
      <c r="G281" s="860">
        <f>Calculation!AG284</f>
        <v>0</v>
      </c>
      <c r="H281" s="861">
        <f>Sheet1!H282</f>
        <v>1.61</v>
      </c>
      <c r="I281" s="841">
        <f>Sheet1!DA282</f>
        <v>540</v>
      </c>
      <c r="J281" s="841">
        <f>Sheet1!DB282</f>
        <v>375</v>
      </c>
      <c r="K281" s="841">
        <f>Sheet1!CZ282</f>
        <v>466</v>
      </c>
      <c r="L281" s="865">
        <f>Calculation!F284</f>
        <v>250</v>
      </c>
      <c r="M281" s="865">
        <f>Calculation!E284</f>
        <v>250</v>
      </c>
      <c r="N281" s="865">
        <f>Calculation!D284</f>
        <v>300</v>
      </c>
      <c r="O281" s="888">
        <f>Sheet1!DC282</f>
        <v>1132.0999999999999</v>
      </c>
      <c r="P281" s="889">
        <f>Calculation!FD284</f>
        <v>1115.3736842104686</v>
      </c>
      <c r="Q281" s="895">
        <f>Calculation!DP284</f>
        <v>18068.000000044383</v>
      </c>
      <c r="R281" s="888">
        <f t="shared" si="105"/>
        <v>17449.000000044383</v>
      </c>
      <c r="S281" s="890">
        <f t="shared" si="84"/>
        <v>-663.10000000217042</v>
      </c>
      <c r="T281" s="895">
        <f ca="1">IF(A281&gt;($A$1-1),#N/A,VLOOKUP(A281,Calculation!$B$8:$JO$503,40,FALSE))</f>
        <v>1667.3447146414687</v>
      </c>
      <c r="U281" s="890">
        <f t="shared" si="85"/>
        <v>22.531000321457281</v>
      </c>
      <c r="V281" s="890">
        <f>Calculation!AZ284</f>
        <v>0</v>
      </c>
      <c r="W281" s="1165">
        <f t="shared" ca="1" si="101"/>
        <v>6365.6552854029142</v>
      </c>
      <c r="X281" s="1165">
        <f t="shared" ca="1" si="102"/>
        <v>202.42898216518788</v>
      </c>
      <c r="Y281" s="1164">
        <f t="shared" ca="1" si="103"/>
        <v>0</v>
      </c>
      <c r="Z281" s="890">
        <f t="shared" ca="1" si="88"/>
        <v>6365.6552854029142</v>
      </c>
      <c r="AA281" s="890">
        <f t="shared" ca="1" si="90"/>
        <v>0</v>
      </c>
      <c r="AB281" s="1165">
        <f t="shared" ca="1" si="99"/>
        <v>10035</v>
      </c>
      <c r="AC281" s="1166">
        <f t="shared" ca="1" si="100"/>
        <v>9416</v>
      </c>
      <c r="AD281" s="860">
        <f ca="1">IF(A281&gt;$A$1,VLOOKUP(A281,Calculation!$B$8:$JO$880,165,FALSE),VLOOKUP(A281,Calculation!$B$8:$JO$880,165,FALSE))</f>
        <v>9416</v>
      </c>
      <c r="AE281" s="399">
        <f t="shared" ca="1" si="86"/>
        <v>-217</v>
      </c>
      <c r="AF281" s="399">
        <f t="shared" ca="1" si="104"/>
        <v>10035</v>
      </c>
      <c r="AG281" s="841">
        <f>Calculation!G284</f>
        <v>131.60766515271291</v>
      </c>
      <c r="AH281" s="847" t="str">
        <f t="shared" si="87"/>
        <v>Yes</v>
      </c>
      <c r="AI281" s="847" t="str">
        <f>IF(Calculation!K284&gt;0,"Yes","No")</f>
        <v>No</v>
      </c>
      <c r="AJ281" s="869">
        <v>22986.350000054201</v>
      </c>
      <c r="AK281" s="870">
        <v>20524.400000051188</v>
      </c>
      <c r="AL281" s="870">
        <v>23651.000000060198</v>
      </c>
      <c r="AN281" s="372">
        <v>21039.300000053187</v>
      </c>
      <c r="AO281" s="894">
        <v>23256.100000058261</v>
      </c>
      <c r="AP281" s="894">
        <v>18215.800000045252</v>
      </c>
      <c r="AQ281" s="380">
        <v>42277</v>
      </c>
      <c r="AR281" s="380">
        <f t="shared" si="106"/>
        <v>55.5</v>
      </c>
      <c r="AS281" s="1079">
        <f t="shared" si="107"/>
        <v>55.524000000000001</v>
      </c>
      <c r="AT281" s="1079">
        <v>28</v>
      </c>
      <c r="AU281" s="427"/>
      <c r="AV281" s="410"/>
      <c r="AW281" s="442"/>
      <c r="AX281" s="441"/>
      <c r="AY281" s="441"/>
      <c r="AZ281" s="443"/>
      <c r="BB281" s="433"/>
      <c r="BC281" s="432"/>
      <c r="BD281" s="433"/>
      <c r="BE281" s="432"/>
      <c r="BF281" s="433"/>
      <c r="BG281" s="432"/>
      <c r="BH281" s="429"/>
    </row>
    <row r="282" spans="1:60" ht="13.8" thickBot="1" x14ac:dyDescent="0.3">
      <c r="A282" s="406">
        <v>43009</v>
      </c>
      <c r="B282" s="860">
        <f t="shared" si="83"/>
        <v>99.317399999999992</v>
      </c>
      <c r="C282" s="860">
        <f>Calculation!AK285</f>
        <v>0</v>
      </c>
      <c r="D282" s="860">
        <f>Calculation!AI285</f>
        <v>22.488241918491823</v>
      </c>
      <c r="E282" s="860">
        <f>Calculation!AE285</f>
        <v>43.780099999999997</v>
      </c>
      <c r="F282" s="860">
        <f>Calculation!AF285</f>
        <v>55.537299999999995</v>
      </c>
      <c r="G282" s="860">
        <f>Calculation!AG285</f>
        <v>0</v>
      </c>
      <c r="H282" s="861">
        <f>Sheet1!H283</f>
        <v>3.15</v>
      </c>
      <c r="I282" s="841">
        <f>Sheet1!DA283</f>
        <v>561</v>
      </c>
      <c r="J282" s="841">
        <f>Sheet1!DB283</f>
        <v>359</v>
      </c>
      <c r="K282" s="841">
        <f>Sheet1!CZ283</f>
        <v>460</v>
      </c>
      <c r="L282" s="865">
        <f>Calculation!F285</f>
        <v>250</v>
      </c>
      <c r="M282" s="865">
        <f>Calculation!E285</f>
        <v>250</v>
      </c>
      <c r="N282" s="865">
        <f>Calculation!D285</f>
        <v>300</v>
      </c>
      <c r="O282" s="888">
        <f>Sheet1!DC283</f>
        <v>1131.46</v>
      </c>
      <c r="P282" s="889">
        <f>Calculation!FD285</f>
        <v>1114.7918918918349</v>
      </c>
      <c r="Q282" s="895">
        <f>Calculation!DP285</f>
        <v>17680.000000043383</v>
      </c>
      <c r="R282" s="888">
        <f t="shared" si="105"/>
        <v>17061.000000043383</v>
      </c>
      <c r="S282" s="890">
        <f t="shared" si="84"/>
        <v>-388.00000000100044</v>
      </c>
      <c r="T282" s="895">
        <f ca="1">IF(A282&gt;($A$1-1),#N/A,VLOOKUP(A282,Calculation!$B$8:$JO$503,40,FALSE))</f>
        <v>1622.746184450174</v>
      </c>
      <c r="U282" s="890">
        <f t="shared" si="85"/>
        <v>22.488241918491823</v>
      </c>
      <c r="V282" s="890">
        <f>Calculation!AZ285</f>
        <v>0</v>
      </c>
      <c r="W282" s="1165">
        <f t="shared" ca="1" si="101"/>
        <v>6238.2538155932089</v>
      </c>
      <c r="X282" s="1165">
        <f t="shared" ca="1" si="102"/>
        <v>64.246832985227073</v>
      </c>
      <c r="Y282" s="1164">
        <f t="shared" ca="1" si="103"/>
        <v>0</v>
      </c>
      <c r="Z282" s="890">
        <f t="shared" ca="1" si="88"/>
        <v>6238.2538155932089</v>
      </c>
      <c r="AA282" s="890">
        <f t="shared" ca="1" si="90"/>
        <v>0</v>
      </c>
      <c r="AB282" s="1165">
        <f t="shared" ca="1" si="99"/>
        <v>9819</v>
      </c>
      <c r="AC282" s="1166">
        <f t="shared" ca="1" si="100"/>
        <v>9200</v>
      </c>
      <c r="AD282" s="860">
        <f ca="1">IF(A282&gt;$A$1,VLOOKUP(A282,Calculation!$B$8:$JO$880,165,FALSE),VLOOKUP(A282,Calculation!$B$8:$JO$880,165,FALSE))</f>
        <v>9200</v>
      </c>
      <c r="AE282" s="399">
        <f t="shared" ca="1" si="86"/>
        <v>-216</v>
      </c>
      <c r="AF282" s="399">
        <f t="shared" ca="1" si="104"/>
        <v>9819</v>
      </c>
      <c r="AG282" s="841">
        <f>Calculation!G285</f>
        <v>264.3368633378717</v>
      </c>
      <c r="AH282" s="847" t="str">
        <f t="shared" si="87"/>
        <v>Yes</v>
      </c>
      <c r="AI282" s="847" t="str">
        <f>IF(Calculation!K285&gt;0,"Yes","No")</f>
        <v>No</v>
      </c>
      <c r="AJ282" s="869">
        <v>22269.130000052184</v>
      </c>
      <c r="AK282" s="870">
        <v>19863.500000049069</v>
      </c>
      <c r="AL282" s="870">
        <v>24488.000000062679</v>
      </c>
      <c r="AN282" s="372">
        <v>20430.800000050273</v>
      </c>
      <c r="AO282" s="894">
        <v>22751.400000057762</v>
      </c>
      <c r="AP282" s="894">
        <v>17517.000000043248</v>
      </c>
      <c r="AQ282" s="380">
        <v>42278</v>
      </c>
      <c r="AR282" s="380">
        <f t="shared" si="106"/>
        <v>55.5</v>
      </c>
      <c r="AS282" s="1079">
        <f t="shared" si="107"/>
        <v>55.524000000000001</v>
      </c>
      <c r="AT282" s="1079">
        <v>28</v>
      </c>
      <c r="AU282" s="427"/>
      <c r="AV282" s="410"/>
      <c r="AW282" s="442"/>
      <c r="AX282" s="441"/>
      <c r="AY282" s="441"/>
      <c r="AZ282" s="443"/>
      <c r="BB282" s="433"/>
      <c r="BC282" s="432"/>
      <c r="BD282" s="433"/>
      <c r="BE282" s="432"/>
      <c r="BF282" s="433"/>
      <c r="BG282" s="432"/>
      <c r="BH282" s="429"/>
    </row>
    <row r="283" spans="1:60" ht="13.8" thickBot="1" x14ac:dyDescent="0.3">
      <c r="A283" s="406">
        <v>43010</v>
      </c>
      <c r="B283" s="860">
        <f t="shared" ref="B283:B291" si="108">E283+F283</f>
        <v>99.332869999999986</v>
      </c>
      <c r="C283" s="860">
        <f>Calculation!AK286</f>
        <v>0</v>
      </c>
      <c r="D283" s="860">
        <f>Calculation!AI286</f>
        <v>22.431500000000003</v>
      </c>
      <c r="E283" s="860">
        <f>Calculation!AE286</f>
        <v>43.780099999999997</v>
      </c>
      <c r="F283" s="860">
        <f>Calculation!AF286</f>
        <v>55.552769999999995</v>
      </c>
      <c r="G283" s="860">
        <f>Calculation!AG286</f>
        <v>0</v>
      </c>
      <c r="H283" s="861">
        <f>Sheet1!H284</f>
        <v>1.63</v>
      </c>
      <c r="I283" s="841">
        <f>Sheet1!DA284</f>
        <v>524</v>
      </c>
      <c r="J283" s="841">
        <f>Sheet1!DB284</f>
        <v>348</v>
      </c>
      <c r="K283" s="841">
        <f>Sheet1!CZ284</f>
        <v>459</v>
      </c>
      <c r="L283" s="865">
        <f>Calculation!F286</f>
        <v>250</v>
      </c>
      <c r="M283" s="865">
        <f>Calculation!E286</f>
        <v>250</v>
      </c>
      <c r="N283" s="865">
        <f>Calculation!D286</f>
        <v>300</v>
      </c>
      <c r="O283" s="888">
        <f>Sheet1!DC284</f>
        <v>1130.51</v>
      </c>
      <c r="P283" s="889">
        <f>Calculation!FD286</f>
        <v>1114.1999999999434</v>
      </c>
      <c r="Q283" s="895">
        <f>Calculation!DP286</f>
        <v>17113.900000042122</v>
      </c>
      <c r="R283" s="888">
        <f t="shared" si="105"/>
        <v>16494.900000042122</v>
      </c>
      <c r="S283" s="890">
        <f t="shared" ref="S283:S291" si="109">R283-R282</f>
        <v>-566.10000000126092</v>
      </c>
      <c r="T283" s="895">
        <f ca="1">IF(A283&gt;($A$1-1),#N/A,VLOOKUP(A283,Calculation!$B$8:$JO$503,40,FALSE))</f>
        <v>1578.2601844501739</v>
      </c>
      <c r="U283" s="890">
        <f t="shared" ref="U283:U291" si="110">D283</f>
        <v>22.431500000000003</v>
      </c>
      <c r="V283" s="890">
        <f>Calculation!AZ286</f>
        <v>0</v>
      </c>
      <c r="W283" s="1165">
        <f t="shared" ca="1" si="101"/>
        <v>5926.6398155919487</v>
      </c>
      <c r="X283" s="1165">
        <f t="shared" ca="1" si="102"/>
        <v>157.14271306165412</v>
      </c>
      <c r="Y283" s="1164">
        <f t="shared" ca="1" si="103"/>
        <v>0</v>
      </c>
      <c r="Z283" s="890">
        <f t="shared" ca="1" si="88"/>
        <v>5926.6398155919487</v>
      </c>
      <c r="AA283" s="890">
        <f t="shared" ca="1" si="90"/>
        <v>0</v>
      </c>
      <c r="AB283" s="1165">
        <f t="shared" ca="1" si="99"/>
        <v>9609</v>
      </c>
      <c r="AC283" s="1166">
        <f t="shared" ca="1" si="100"/>
        <v>8990</v>
      </c>
      <c r="AD283" s="860">
        <f ca="1">IF(A283&gt;$A$1,VLOOKUP(A283,Calculation!$B$8:$JO$880,165,FALSE),VLOOKUP(A283,Calculation!$B$8:$JO$880,165,FALSE))</f>
        <v>8990</v>
      </c>
      <c r="AE283" s="399">
        <f t="shared" ref="AE283:AE291" ca="1" si="111">AD283-AD282</f>
        <v>-210</v>
      </c>
      <c r="AF283" s="399">
        <f t="shared" ca="1" si="104"/>
        <v>9609</v>
      </c>
      <c r="AG283" s="841">
        <f>Calculation!G286</f>
        <v>173.52344931857749</v>
      </c>
      <c r="AH283" s="847" t="str">
        <f t="shared" ref="AH283:AH295" si="112">IF(I283&gt;L283,"Yes","No")</f>
        <v>Yes</v>
      </c>
      <c r="AI283" s="847" t="str">
        <f>IF(Calculation!K286&gt;0,"Yes","No")</f>
        <v>No</v>
      </c>
      <c r="AJ283" s="869">
        <v>21565.480000050044</v>
      </c>
      <c r="AK283" s="870">
        <v>19194.000000046984</v>
      </c>
      <c r="AL283" s="870">
        <v>23658.500000060198</v>
      </c>
      <c r="AN283" s="372">
        <v>19771.50000004892</v>
      </c>
      <c r="AO283" s="894">
        <v>22246.600000056642</v>
      </c>
      <c r="AP283" s="894">
        <v>16824.800000041854</v>
      </c>
      <c r="AQ283" s="380">
        <v>42279</v>
      </c>
      <c r="AR283" s="380">
        <f t="shared" si="106"/>
        <v>55.5</v>
      </c>
      <c r="AS283" s="1079">
        <f t="shared" si="107"/>
        <v>55.524000000000001</v>
      </c>
      <c r="AT283" s="1079">
        <v>28</v>
      </c>
      <c r="AU283" s="427"/>
      <c r="AV283" s="410"/>
      <c r="AW283" s="442"/>
      <c r="AX283" s="441"/>
      <c r="AY283" s="441"/>
      <c r="AZ283" s="443"/>
      <c r="BB283" s="433"/>
      <c r="BC283" s="432"/>
      <c r="BD283" s="433"/>
      <c r="BE283" s="432"/>
      <c r="BF283" s="433"/>
      <c r="BG283" s="432"/>
      <c r="BH283" s="429"/>
    </row>
    <row r="284" spans="1:60" ht="13.8" thickBot="1" x14ac:dyDescent="0.3">
      <c r="A284" s="406">
        <v>43011</v>
      </c>
      <c r="B284" s="860">
        <f t="shared" si="108"/>
        <v>99.410219999999995</v>
      </c>
      <c r="C284" s="860">
        <f>Calculation!AK287</f>
        <v>0</v>
      </c>
      <c r="D284" s="860">
        <f>Calculation!AI287</f>
        <v>22.488024835225705</v>
      </c>
      <c r="E284" s="860">
        <f>Calculation!AE287</f>
        <v>43.733689999999996</v>
      </c>
      <c r="F284" s="860">
        <f>Calculation!AF287</f>
        <v>55.67653</v>
      </c>
      <c r="G284" s="860">
        <f>Calculation!AG287</f>
        <v>0</v>
      </c>
      <c r="H284" s="861">
        <f>Sheet1!H285</f>
        <v>1.63</v>
      </c>
      <c r="I284" s="841">
        <f>Sheet1!DA285</f>
        <v>519</v>
      </c>
      <c r="J284" s="841">
        <f>Sheet1!DB285</f>
        <v>361</v>
      </c>
      <c r="K284" s="841">
        <f>Sheet1!CZ285</f>
        <v>469</v>
      </c>
      <c r="L284" s="865">
        <f>Calculation!F287</f>
        <v>250</v>
      </c>
      <c r="M284" s="865">
        <f>Calculation!E287</f>
        <v>250</v>
      </c>
      <c r="N284" s="865">
        <f>Calculation!D287</f>
        <v>300</v>
      </c>
      <c r="O284" s="888">
        <f>Sheet1!DC285</f>
        <v>1129.4100000000001</v>
      </c>
      <c r="P284" s="889">
        <f>Calculation!FD287</f>
        <v>1113.5944444443885</v>
      </c>
      <c r="Q284" s="895">
        <f>Calculation!DP287</f>
        <v>16471.800000040883</v>
      </c>
      <c r="R284" s="888">
        <f t="shared" si="105"/>
        <v>15852.800000040883</v>
      </c>
      <c r="S284" s="890">
        <f t="shared" si="109"/>
        <v>-642.1000000012391</v>
      </c>
      <c r="T284" s="895">
        <f ca="1">IF(A284&gt;($A$1-1),#N/A,VLOOKUP(A284,Calculation!$B$8:$JO$503,40,FALSE))</f>
        <v>1533.6620847769534</v>
      </c>
      <c r="U284" s="890">
        <f t="shared" si="110"/>
        <v>22.488024835225705</v>
      </c>
      <c r="V284" s="890">
        <f>Calculation!AZ287</f>
        <v>0</v>
      </c>
      <c r="W284" s="1165">
        <f t="shared" ca="1" si="101"/>
        <v>5539.1379152639292</v>
      </c>
      <c r="X284" s="1165">
        <f t="shared" ca="1" si="102"/>
        <v>195.411951753918</v>
      </c>
      <c r="Y284" s="1164">
        <f t="shared" ca="1" si="103"/>
        <v>0</v>
      </c>
      <c r="Z284" s="890">
        <f t="shared" ca="1" si="88"/>
        <v>5539.1379152639292</v>
      </c>
      <c r="AA284" s="890">
        <f t="shared" ca="1" si="90"/>
        <v>0</v>
      </c>
      <c r="AB284" s="1165">
        <f t="shared" ca="1" si="99"/>
        <v>9399</v>
      </c>
      <c r="AC284" s="1166">
        <f t="shared" ca="1" si="100"/>
        <v>8780</v>
      </c>
      <c r="AD284" s="860">
        <f ca="1">IF(A284&gt;$A$1,VLOOKUP(A284,Calculation!$B$8:$JO$880,165,FALSE),VLOOKUP(A284,Calculation!$B$8:$JO$880,165,FALSE))</f>
        <v>8780</v>
      </c>
      <c r="AE284" s="399">
        <f t="shared" ca="1" si="111"/>
        <v>-210</v>
      </c>
      <c r="AF284" s="399">
        <f t="shared" ca="1" si="104"/>
        <v>9399</v>
      </c>
      <c r="AG284" s="841">
        <f>Calculation!G287</f>
        <v>145.1976802817756</v>
      </c>
      <c r="AH284" s="847" t="str">
        <f t="shared" si="112"/>
        <v>Yes</v>
      </c>
      <c r="AI284" s="847" t="str">
        <f>IF(Calculation!K287&gt;0,"Yes","No")</f>
        <v>No</v>
      </c>
      <c r="AJ284" s="869">
        <v>20869.800000048021</v>
      </c>
      <c r="AK284" s="870">
        <v>18524.800000045532</v>
      </c>
      <c r="AL284" s="870">
        <v>22253.800000056643</v>
      </c>
      <c r="AN284" s="372">
        <v>19131.000000046843</v>
      </c>
      <c r="AO284" s="894">
        <v>21782.000000054592</v>
      </c>
      <c r="AP284" s="894">
        <v>16139.800000039089</v>
      </c>
      <c r="AQ284" s="380">
        <v>42280</v>
      </c>
      <c r="AR284" s="380">
        <f t="shared" si="106"/>
        <v>55.5</v>
      </c>
      <c r="AS284" s="1079">
        <f t="shared" si="107"/>
        <v>55.524000000000001</v>
      </c>
      <c r="AT284" s="1079">
        <v>28</v>
      </c>
      <c r="AU284" s="427"/>
      <c r="AV284" s="410"/>
      <c r="AW284" s="442"/>
      <c r="AX284" s="441"/>
      <c r="AY284" s="441"/>
      <c r="AZ284" s="443"/>
      <c r="BB284" s="433"/>
      <c r="BC284" s="432"/>
      <c r="BD284" s="433"/>
      <c r="BE284" s="432"/>
      <c r="BF284" s="433"/>
      <c r="BG284" s="432"/>
      <c r="BH284" s="429"/>
    </row>
    <row r="285" spans="1:60" ht="13.8" thickBot="1" x14ac:dyDescent="0.3">
      <c r="A285" s="406">
        <v>43012</v>
      </c>
      <c r="B285" s="860">
        <f t="shared" si="108"/>
        <v>99.162700000000001</v>
      </c>
      <c r="C285" s="860">
        <f>Calculation!AK288</f>
        <v>0</v>
      </c>
      <c r="D285" s="860">
        <f>Calculation!AI288</f>
        <v>25.386853611650483</v>
      </c>
      <c r="E285" s="860">
        <f>Calculation!AE288</f>
        <v>43.671810000000001</v>
      </c>
      <c r="F285" s="860">
        <f>Calculation!AF288</f>
        <v>55.490889999999993</v>
      </c>
      <c r="G285" s="860">
        <f>Calculation!AG288</f>
        <v>0</v>
      </c>
      <c r="H285" s="861">
        <f>Sheet1!H286</f>
        <v>1.55</v>
      </c>
      <c r="I285" s="841">
        <f>Sheet1!DA286</f>
        <v>529</v>
      </c>
      <c r="J285" s="841">
        <f>Sheet1!DB286</f>
        <v>356</v>
      </c>
      <c r="K285" s="841">
        <f>Sheet1!CZ286</f>
        <v>473</v>
      </c>
      <c r="L285" s="865">
        <f>Calculation!F288</f>
        <v>250</v>
      </c>
      <c r="M285" s="865">
        <f>Calculation!E288</f>
        <v>250</v>
      </c>
      <c r="N285" s="865">
        <f>Calculation!D288</f>
        <v>300</v>
      </c>
      <c r="O285" s="888">
        <f>Sheet1!DC286</f>
        <v>1128.21</v>
      </c>
      <c r="P285" s="889">
        <f>Calculation!FD288</f>
        <v>1113.0028571428018</v>
      </c>
      <c r="Q285" s="895">
        <f>Calculation!DP288</f>
        <v>15791.700000039529</v>
      </c>
      <c r="R285" s="888">
        <f t="shared" si="105"/>
        <v>15172.700000039529</v>
      </c>
      <c r="S285" s="890">
        <f t="shared" si="109"/>
        <v>-680.10000000135369</v>
      </c>
      <c r="T285" s="895">
        <f ca="1">IF(A285&gt;($A$1-1),#N/A,VLOOKUP(A285,Calculation!$B$8:$JO$503,40,FALSE))</f>
        <v>1483.3150473622513</v>
      </c>
      <c r="U285" s="890">
        <f t="shared" si="110"/>
        <v>25.386853611650483</v>
      </c>
      <c r="V285" s="890">
        <f>Calculation!AZ288</f>
        <v>0</v>
      </c>
      <c r="W285" s="1165">
        <f t="shared" ca="1" si="101"/>
        <v>5119.3849526772774</v>
      </c>
      <c r="X285" s="1165">
        <f t="shared" ca="1" si="102"/>
        <v>211.67572495544721</v>
      </c>
      <c r="Y285" s="1164">
        <f t="shared" ca="1" si="103"/>
        <v>0</v>
      </c>
      <c r="Z285" s="890">
        <f t="shared" ref="Z285:Z348" ca="1" si="113">W285-Y285</f>
        <v>5119.3849526772774</v>
      </c>
      <c r="AA285" s="890">
        <f t="shared" ca="1" si="90"/>
        <v>0</v>
      </c>
      <c r="AB285" s="1165">
        <f t="shared" ca="1" si="99"/>
        <v>9189</v>
      </c>
      <c r="AC285" s="1166">
        <f t="shared" ca="1" si="100"/>
        <v>8570</v>
      </c>
      <c r="AD285" s="860">
        <f ca="1">IF(A285&gt;$A$1,VLOOKUP(A285,Calculation!$B$8:$JO$880,165,FALSE),VLOOKUP(A285,Calculation!$B$8:$JO$880,165,FALSE))</f>
        <v>8570</v>
      </c>
      <c r="AE285" s="399">
        <f t="shared" ca="1" si="111"/>
        <v>-210</v>
      </c>
      <c r="AF285" s="399">
        <f t="shared" ca="1" si="104"/>
        <v>9189</v>
      </c>
      <c r="AG285" s="841">
        <f>Calculation!G288</f>
        <v>130.03479576331137</v>
      </c>
      <c r="AH285" s="847" t="str">
        <f t="shared" si="112"/>
        <v>Yes</v>
      </c>
      <c r="AI285" s="847" t="str">
        <f>IF(Calculation!K288&gt;0,"Yes","No")</f>
        <v>No</v>
      </c>
      <c r="AJ285" s="869">
        <v>20132.400000046033</v>
      </c>
      <c r="AK285" s="870">
        <v>17849.000000043518</v>
      </c>
      <c r="AL285" s="870">
        <v>20557.900000051188</v>
      </c>
      <c r="AN285" s="372">
        <v>18500.000000045533</v>
      </c>
      <c r="AO285" s="894">
        <v>21281.000000054115</v>
      </c>
      <c r="AP285" s="894">
        <v>15477.000000037891</v>
      </c>
      <c r="AQ285" s="380">
        <v>42281</v>
      </c>
      <c r="AR285" s="380">
        <f t="shared" si="106"/>
        <v>55.5</v>
      </c>
      <c r="AS285" s="1079">
        <f t="shared" si="107"/>
        <v>55.524000000000001</v>
      </c>
      <c r="AT285" s="1079">
        <v>28</v>
      </c>
      <c r="AU285" s="427"/>
      <c r="AV285" s="410"/>
      <c r="AW285" s="442"/>
      <c r="AX285" s="441"/>
      <c r="AY285" s="441"/>
      <c r="AZ285" s="443"/>
      <c r="BB285" s="433"/>
      <c r="BC285" s="432"/>
      <c r="BD285" s="433"/>
      <c r="BE285" s="432"/>
      <c r="BF285" s="433"/>
      <c r="BG285" s="432"/>
      <c r="BH285" s="429"/>
    </row>
    <row r="286" spans="1:60" ht="13.8" thickBot="1" x14ac:dyDescent="0.3">
      <c r="A286" s="406">
        <v>43013</v>
      </c>
      <c r="B286" s="860">
        <f t="shared" si="108"/>
        <v>99.363810000000001</v>
      </c>
      <c r="C286" s="860">
        <f>Calculation!AK289</f>
        <v>0</v>
      </c>
      <c r="D286" s="860">
        <f>Calculation!AI289</f>
        <v>22.431500000000003</v>
      </c>
      <c r="E286" s="860">
        <f>Calculation!AE289</f>
        <v>43.780099999999997</v>
      </c>
      <c r="F286" s="860">
        <f>Calculation!AF289</f>
        <v>55.583709999999996</v>
      </c>
      <c r="G286" s="860">
        <f>Calculation!AG289</f>
        <v>0</v>
      </c>
      <c r="H286" s="861">
        <f>Sheet1!H287</f>
        <v>1.55</v>
      </c>
      <c r="I286" s="841">
        <f>Sheet1!DA287</f>
        <v>529</v>
      </c>
      <c r="J286" s="841">
        <f>Sheet1!DB287</f>
        <v>359</v>
      </c>
      <c r="K286" s="841">
        <f>Sheet1!CZ287</f>
        <v>469</v>
      </c>
      <c r="L286" s="865">
        <f>Calculation!F289</f>
        <v>250</v>
      </c>
      <c r="M286" s="865">
        <f>Calculation!E289</f>
        <v>250</v>
      </c>
      <c r="N286" s="865">
        <f>Calculation!D289</f>
        <v>300</v>
      </c>
      <c r="O286" s="888">
        <f>Sheet1!DC287</f>
        <v>1126.95</v>
      </c>
      <c r="P286" s="889">
        <f>Calculation!FD289</f>
        <v>1112.3911764705333</v>
      </c>
      <c r="Q286" s="895">
        <f>Calculation!DP289</f>
        <v>15101.000000036835</v>
      </c>
      <c r="R286" s="888">
        <f t="shared" si="105"/>
        <v>14482.000000036835</v>
      </c>
      <c r="S286" s="890">
        <f t="shared" si="109"/>
        <v>-690.70000000269465</v>
      </c>
      <c r="T286" s="895">
        <f ca="1">IF(A286&gt;($A$1-1),#N/A,VLOOKUP(A286,Calculation!$B$8:$JO$503,40,FALSE))</f>
        <v>1438.8290473622515</v>
      </c>
      <c r="U286" s="890">
        <f t="shared" si="110"/>
        <v>22.431500000000003</v>
      </c>
      <c r="V286" s="890">
        <f>Calculation!AZ289</f>
        <v>0</v>
      </c>
      <c r="W286" s="1165">
        <f t="shared" ca="1" si="101"/>
        <v>4682.1709526745835</v>
      </c>
      <c r="X286" s="1165">
        <f t="shared" ca="1" si="102"/>
        <v>220.48108926005739</v>
      </c>
      <c r="Y286" s="1164">
        <f t="shared" ca="1" si="103"/>
        <v>0</v>
      </c>
      <c r="Z286" s="890">
        <f t="shared" ca="1" si="113"/>
        <v>4682.1709526745835</v>
      </c>
      <c r="AA286" s="890">
        <f t="shared" ca="1" si="90"/>
        <v>0</v>
      </c>
      <c r="AB286" s="1165">
        <f t="shared" ca="1" si="99"/>
        <v>8980</v>
      </c>
      <c r="AC286" s="1166">
        <f t="shared" ca="1" si="100"/>
        <v>8361</v>
      </c>
      <c r="AD286" s="860">
        <f ca="1">IF(A286&gt;$A$1,VLOOKUP(A286,Calculation!$B$8:$JO$880,165,FALSE),VLOOKUP(A286,Calculation!$B$8:$JO$880,165,FALSE))</f>
        <v>8361</v>
      </c>
      <c r="AE286" s="399">
        <f t="shared" ca="1" si="111"/>
        <v>-209</v>
      </c>
      <c r="AF286" s="399">
        <f t="shared" ca="1" si="104"/>
        <v>8980</v>
      </c>
      <c r="AG286" s="841">
        <f>Calculation!G289</f>
        <v>120.6893595548691</v>
      </c>
      <c r="AH286" s="847" t="str">
        <f t="shared" si="112"/>
        <v>Yes</v>
      </c>
      <c r="AI286" s="847" t="str">
        <f>IF(Calculation!K289&gt;0,"Yes","No")</f>
        <v>No</v>
      </c>
      <c r="AJ286" s="869">
        <v>19346.440000043949</v>
      </c>
      <c r="AK286" s="870">
        <v>17202.400000042257</v>
      </c>
      <c r="AL286" s="870">
        <v>18972.000000047439</v>
      </c>
      <c r="AN286" s="372">
        <v>17867.000000043518</v>
      </c>
      <c r="AO286" s="894">
        <v>20778.100000052873</v>
      </c>
      <c r="AP286" s="894">
        <v>14722.200000035791</v>
      </c>
      <c r="AQ286" s="380">
        <v>42282</v>
      </c>
      <c r="AR286" s="380">
        <f t="shared" si="106"/>
        <v>55.5</v>
      </c>
      <c r="AS286" s="1079">
        <f t="shared" si="107"/>
        <v>55.524000000000001</v>
      </c>
      <c r="AT286" s="1079">
        <v>28</v>
      </c>
      <c r="AU286" s="427"/>
      <c r="AV286" s="410"/>
      <c r="AW286" s="442"/>
      <c r="AX286" s="441"/>
      <c r="AY286" s="441"/>
      <c r="AZ286" s="443"/>
      <c r="BB286" s="433"/>
      <c r="BC286" s="432"/>
      <c r="BD286" s="433"/>
      <c r="BE286" s="432"/>
      <c r="BF286" s="433"/>
      <c r="BG286" s="432"/>
      <c r="BH286" s="429"/>
    </row>
    <row r="287" spans="1:60" ht="13.8" thickBot="1" x14ac:dyDescent="0.3">
      <c r="A287" s="406">
        <v>43014</v>
      </c>
      <c r="B287" s="860">
        <f t="shared" si="108"/>
        <v>99.317399999999992</v>
      </c>
      <c r="C287" s="860">
        <f>Calculation!AK290</f>
        <v>0</v>
      </c>
      <c r="D287" s="860">
        <f>Calculation!AI290</f>
        <v>21.185999694698857</v>
      </c>
      <c r="E287" s="860">
        <f>Calculation!AE290</f>
        <v>43.780099999999997</v>
      </c>
      <c r="F287" s="860">
        <f>Calculation!AF290</f>
        <v>55.537299999999995</v>
      </c>
      <c r="G287" s="860">
        <f>Calculation!AG290</f>
        <v>0</v>
      </c>
      <c r="H287" s="861">
        <f>Sheet1!H288</f>
        <v>1.55</v>
      </c>
      <c r="I287" s="841">
        <f>Sheet1!DA288</f>
        <v>530</v>
      </c>
      <c r="J287" s="841">
        <f>Sheet1!DB288</f>
        <v>353</v>
      </c>
      <c r="K287" s="841">
        <f>Sheet1!CZ288</f>
        <v>466</v>
      </c>
      <c r="L287" s="865">
        <f>Calculation!F290</f>
        <v>250</v>
      </c>
      <c r="M287" s="865">
        <f>Calculation!E290</f>
        <v>250</v>
      </c>
      <c r="N287" s="865">
        <f>Calculation!D290</f>
        <v>300</v>
      </c>
      <c r="O287" s="888">
        <f>Sheet1!DC288</f>
        <v>1125.6400000000001</v>
      </c>
      <c r="P287" s="889">
        <f>Calculation!FD290</f>
        <v>1111.7705882352398</v>
      </c>
      <c r="Q287" s="895">
        <f>Calculation!DP290</f>
        <v>14407.800000034878</v>
      </c>
      <c r="R287" s="888">
        <f t="shared" si="105"/>
        <v>13788.800000034878</v>
      </c>
      <c r="S287" s="890">
        <f t="shared" si="109"/>
        <v>-693.20000000195614</v>
      </c>
      <c r="T287" s="895">
        <f ca="1">IF(A287&gt;($A$1-1),#N/A,VLOOKUP(A287,Calculation!$B$8:$JO$503,40,FALSE))</f>
        <v>1396.8131151946131</v>
      </c>
      <c r="U287" s="890">
        <f t="shared" si="110"/>
        <v>21.185999694698857</v>
      </c>
      <c r="V287" s="890">
        <f>Calculation!AZ290</f>
        <v>0</v>
      </c>
      <c r="W287" s="1165">
        <f t="shared" ca="1" si="101"/>
        <v>4240.9868848402657</v>
      </c>
      <c r="X287" s="1165">
        <f t="shared" ca="1" si="102"/>
        <v>222.48314061236397</v>
      </c>
      <c r="Y287" s="1164">
        <f t="shared" ca="1" si="103"/>
        <v>0</v>
      </c>
      <c r="Z287" s="890">
        <f t="shared" ca="1" si="113"/>
        <v>4240.9868848402657</v>
      </c>
      <c r="AA287" s="890">
        <f t="shared" ca="1" si="90"/>
        <v>0</v>
      </c>
      <c r="AB287" s="1165">
        <f t="shared" ca="1" si="99"/>
        <v>8770</v>
      </c>
      <c r="AC287" s="1166">
        <f t="shared" ca="1" si="100"/>
        <v>8151</v>
      </c>
      <c r="AD287" s="860">
        <f ca="1">IF(A287&gt;$A$1,VLOOKUP(A287,Calculation!$B$8:$JO$880,165,FALSE),VLOOKUP(A287,Calculation!$B$8:$JO$880,165,FALSE))</f>
        <v>8151</v>
      </c>
      <c r="AE287" s="399">
        <f t="shared" ca="1" si="111"/>
        <v>-210</v>
      </c>
      <c r="AF287" s="399">
        <f t="shared" ca="1" si="104"/>
        <v>8770</v>
      </c>
      <c r="AG287" s="841">
        <f>Calculation!G290</f>
        <v>116.42864346850428</v>
      </c>
      <c r="AH287" s="847" t="str">
        <f t="shared" si="112"/>
        <v>Yes</v>
      </c>
      <c r="AI287" s="847" t="str">
        <f>IF(Calculation!K290&gt;0,"Yes","No")</f>
        <v>No</v>
      </c>
      <c r="AJ287" s="869">
        <v>18575.510000040755</v>
      </c>
      <c r="AK287" s="870">
        <v>16599.100000040307</v>
      </c>
      <c r="AL287" s="870">
        <v>17487.000000043248</v>
      </c>
      <c r="AN287" s="372">
        <v>17220.100000042257</v>
      </c>
      <c r="AO287" s="894">
        <v>20257.400000050882</v>
      </c>
      <c r="AP287" s="894">
        <v>14091.600000034525</v>
      </c>
      <c r="AQ287" s="380">
        <v>42283</v>
      </c>
      <c r="AR287" s="380">
        <f t="shared" si="106"/>
        <v>55.5</v>
      </c>
      <c r="AS287" s="1079">
        <f t="shared" si="107"/>
        <v>55.524000000000001</v>
      </c>
      <c r="AT287" s="1079">
        <v>28</v>
      </c>
      <c r="AU287" s="427"/>
      <c r="AV287" s="410"/>
      <c r="AW287" s="442"/>
      <c r="AX287" s="441"/>
      <c r="AY287" s="441"/>
      <c r="AZ287" s="443"/>
      <c r="BB287" s="433"/>
      <c r="BC287" s="432"/>
      <c r="BD287" s="433"/>
      <c r="BE287" s="432"/>
      <c r="BF287" s="433"/>
      <c r="BG287" s="432"/>
      <c r="BH287" s="429"/>
    </row>
    <row r="288" spans="1:60" ht="13.8" thickBot="1" x14ac:dyDescent="0.3">
      <c r="A288" s="406">
        <v>43015</v>
      </c>
      <c r="B288" s="860">
        <f t="shared" si="108"/>
        <v>99.317399999999992</v>
      </c>
      <c r="C288" s="860">
        <f>Calculation!AK291</f>
        <v>0</v>
      </c>
      <c r="D288" s="860">
        <f>Calculation!AI291</f>
        <v>20.884499999999999</v>
      </c>
      <c r="E288" s="860">
        <f>Calculation!AE291</f>
        <v>43.780099999999997</v>
      </c>
      <c r="F288" s="860">
        <f>Calculation!AF291</f>
        <v>55.537299999999995</v>
      </c>
      <c r="G288" s="860">
        <f>Calculation!AG291</f>
        <v>0</v>
      </c>
      <c r="H288" s="861">
        <f>Sheet1!H289</f>
        <v>3.15</v>
      </c>
      <c r="I288" s="841">
        <f>Sheet1!DA289</f>
        <v>540</v>
      </c>
      <c r="J288" s="841">
        <f>Sheet1!DB289</f>
        <v>361</v>
      </c>
      <c r="K288" s="841">
        <f>Sheet1!CZ289</f>
        <v>466</v>
      </c>
      <c r="L288" s="865">
        <f>Calculation!F291</f>
        <v>250</v>
      </c>
      <c r="M288" s="865">
        <f>Calculation!E291</f>
        <v>250</v>
      </c>
      <c r="N288" s="865">
        <f>Calculation!D291</f>
        <v>300</v>
      </c>
      <c r="O288" s="888">
        <f>Sheet1!DC289</f>
        <v>1124.49</v>
      </c>
      <c r="P288" s="889">
        <f>Calculation!FD291</f>
        <v>1111.1424242423705</v>
      </c>
      <c r="Q288" s="895">
        <f>Calculation!DP291</f>
        <v>13819.900000033629</v>
      </c>
      <c r="R288" s="888">
        <f t="shared" si="105"/>
        <v>13200.900000033629</v>
      </c>
      <c r="S288" s="890">
        <f t="shared" si="109"/>
        <v>-587.90000000124928</v>
      </c>
      <c r="T288" s="895">
        <f ca="1">IF(A288&gt;($A$1-1),#N/A,VLOOKUP(A288,Calculation!$B$8:$JO$503,40,FALSE))</f>
        <v>1355.3951151946133</v>
      </c>
      <c r="U288" s="890">
        <f t="shared" si="110"/>
        <v>20.884499999999999</v>
      </c>
      <c r="V288" s="890">
        <f>Calculation!AZ291</f>
        <v>0</v>
      </c>
      <c r="W288" s="1165">
        <f t="shared" ca="1" si="101"/>
        <v>3904.5048848390161</v>
      </c>
      <c r="X288" s="1165">
        <f t="shared" ca="1" si="102"/>
        <v>169.68330811964174</v>
      </c>
      <c r="Y288" s="1164">
        <f t="shared" ca="1" si="103"/>
        <v>0</v>
      </c>
      <c r="Z288" s="890">
        <f t="shared" ca="1" si="113"/>
        <v>3904.5048848390161</v>
      </c>
      <c r="AA288" s="890">
        <f t="shared" ca="1" si="90"/>
        <v>0</v>
      </c>
      <c r="AB288" s="1165">
        <f t="shared" ca="1" si="99"/>
        <v>8560</v>
      </c>
      <c r="AC288" s="1166">
        <f t="shared" ca="1" si="100"/>
        <v>7941</v>
      </c>
      <c r="AD288" s="860">
        <f ca="1">IF(A288&gt;$A$1,VLOOKUP(A288,Calculation!$B$8:$JO$880,165,FALSE),VLOOKUP(A288,Calculation!$B$8:$JO$880,165,FALSE))</f>
        <v>7941</v>
      </c>
      <c r="AE288" s="399">
        <f t="shared" ca="1" si="111"/>
        <v>-210</v>
      </c>
      <c r="AF288" s="399">
        <f t="shared" ca="1" si="104"/>
        <v>8560</v>
      </c>
      <c r="AG288" s="841">
        <f>Calculation!G291</f>
        <v>169.53000504223439</v>
      </c>
      <c r="AH288" s="847" t="str">
        <f t="shared" si="112"/>
        <v>Yes</v>
      </c>
      <c r="AI288" s="847" t="str">
        <f>IF(Calculation!K291&gt;0,"Yes","No")</f>
        <v>No</v>
      </c>
      <c r="AJ288" s="869">
        <v>17837.920000039048</v>
      </c>
      <c r="AK288" s="870">
        <v>16011.000000038963</v>
      </c>
      <c r="AL288" s="870">
        <v>16179.000000039918</v>
      </c>
      <c r="AN288" s="372">
        <v>16524.000000040884</v>
      </c>
      <c r="AO288" s="894">
        <v>19732.50000004892</v>
      </c>
      <c r="AP288" s="894">
        <v>13749.000000032855</v>
      </c>
      <c r="AQ288" s="380">
        <v>42284</v>
      </c>
      <c r="AR288" s="380">
        <f t="shared" si="106"/>
        <v>55.5</v>
      </c>
      <c r="AS288" s="1079">
        <f t="shared" si="107"/>
        <v>55.524000000000001</v>
      </c>
      <c r="AT288" s="1079">
        <v>28</v>
      </c>
      <c r="AU288" s="427"/>
      <c r="AV288" s="410"/>
      <c r="AW288" s="442"/>
      <c r="AX288" s="441"/>
      <c r="AY288" s="441"/>
      <c r="AZ288" s="443"/>
      <c r="BB288" s="433"/>
      <c r="BC288" s="432"/>
      <c r="BD288" s="433"/>
      <c r="BE288" s="432"/>
      <c r="BF288" s="433"/>
      <c r="BG288" s="432"/>
      <c r="BH288" s="429"/>
    </row>
    <row r="289" spans="1:60" ht="13.8" thickBot="1" x14ac:dyDescent="0.3">
      <c r="A289" s="406">
        <v>43016</v>
      </c>
      <c r="B289" s="860">
        <f t="shared" si="108"/>
        <v>99.317399999999992</v>
      </c>
      <c r="C289" s="860">
        <f>Calculation!AK292</f>
        <v>0</v>
      </c>
      <c r="D289" s="860">
        <f>Calculation!AI292</f>
        <v>20.884500000000006</v>
      </c>
      <c r="E289" s="860">
        <f>Calculation!AE292</f>
        <v>43.625399999999999</v>
      </c>
      <c r="F289" s="860">
        <f>Calculation!AF292</f>
        <v>55.692</v>
      </c>
      <c r="G289" s="860">
        <f>Calculation!AG292</f>
        <v>0</v>
      </c>
      <c r="H289" s="861">
        <f>Sheet1!H290</f>
        <v>3.27</v>
      </c>
      <c r="I289" s="841">
        <f>Sheet1!DA290</f>
        <v>550</v>
      </c>
      <c r="J289" s="841">
        <f>Sheet1!DB290</f>
        <v>353</v>
      </c>
      <c r="K289" s="841">
        <f>Sheet1!CZ290</f>
        <v>463</v>
      </c>
      <c r="L289" s="865">
        <f>Calculation!F292</f>
        <v>250</v>
      </c>
      <c r="M289" s="865">
        <f>Calculation!E292</f>
        <v>250</v>
      </c>
      <c r="N289" s="865">
        <f>Calculation!D292</f>
        <v>300</v>
      </c>
      <c r="O289" s="888">
        <f>Sheet1!DC290</f>
        <v>1123.81</v>
      </c>
      <c r="P289" s="889">
        <f>Calculation!FD292</f>
        <v>1110.4969696969165</v>
      </c>
      <c r="Q289" s="895">
        <f>Calculation!DP292</f>
        <v>13480.800000031322</v>
      </c>
      <c r="R289" s="888">
        <f t="shared" si="105"/>
        <v>12861.800000031322</v>
      </c>
      <c r="S289" s="890">
        <f t="shared" si="109"/>
        <v>-339.10000000230684</v>
      </c>
      <c r="T289" s="895">
        <f ca="1">IF(A289&gt;($A$1-1),#N/A,VLOOKUP(A289,Calculation!$B$8:$JO$503,40,FALSE))</f>
        <v>1313.9771151946134</v>
      </c>
      <c r="U289" s="890">
        <f t="shared" si="110"/>
        <v>20.884500000000006</v>
      </c>
      <c r="V289" s="890">
        <f>Calculation!AZ292</f>
        <v>0</v>
      </c>
      <c r="W289" s="1165">
        <f t="shared" ca="1" si="101"/>
        <v>3815.8228848367089</v>
      </c>
      <c r="X289" s="1165">
        <f t="shared" ca="1" si="102"/>
        <v>44.721129602777189</v>
      </c>
      <c r="Y289" s="1164">
        <f t="shared" ca="1" si="103"/>
        <v>0</v>
      </c>
      <c r="Z289" s="890">
        <f t="shared" ca="1" si="113"/>
        <v>3815.8228848367089</v>
      </c>
      <c r="AA289" s="890">
        <f t="shared" ca="1" si="90"/>
        <v>0</v>
      </c>
      <c r="AB289" s="1165">
        <f t="shared" ca="1" si="99"/>
        <v>8351</v>
      </c>
      <c r="AC289" s="1166">
        <f t="shared" ca="1" si="100"/>
        <v>7732</v>
      </c>
      <c r="AD289" s="860">
        <f ca="1">IF(A289&gt;$A$1,VLOOKUP(A289,Calculation!$B$8:$JO$880,165,FALSE),VLOOKUP(A289,Calculation!$B$8:$JO$880,165,FALSE))</f>
        <v>7732</v>
      </c>
      <c r="AE289" s="399">
        <f t="shared" ca="1" si="111"/>
        <v>-209</v>
      </c>
      <c r="AF289" s="399">
        <f t="shared" ca="1" si="104"/>
        <v>8351</v>
      </c>
      <c r="AG289" s="841">
        <f>Calculation!G292</f>
        <v>291.99646999379388</v>
      </c>
      <c r="AH289" s="847" t="str">
        <f t="shared" si="112"/>
        <v>Yes</v>
      </c>
      <c r="AI289" s="847" t="str">
        <f>IF(Calculation!K292&gt;0,"Yes","No")</f>
        <v>No</v>
      </c>
      <c r="AJ289" s="869">
        <v>17041.820000037394</v>
      </c>
      <c r="AK289" s="870">
        <v>15438.800000037079</v>
      </c>
      <c r="AL289" s="870">
        <v>15685.200000038709</v>
      </c>
      <c r="AN289" s="372">
        <v>15746.800000038835</v>
      </c>
      <c r="AO289" s="894">
        <v>19168.800000046842</v>
      </c>
      <c r="AP289" s="894">
        <v>12873.500000030137</v>
      </c>
      <c r="AQ289" s="380">
        <v>42285</v>
      </c>
      <c r="AR289" s="380">
        <f t="shared" si="106"/>
        <v>55.5</v>
      </c>
      <c r="AS289" s="1079">
        <f t="shared" si="107"/>
        <v>55.524000000000001</v>
      </c>
      <c r="AT289" s="1079">
        <v>28</v>
      </c>
      <c r="AU289" s="427"/>
      <c r="AV289" s="410"/>
      <c r="AW289" s="442"/>
      <c r="AX289" s="441"/>
      <c r="AY289" s="441"/>
      <c r="AZ289" s="443"/>
      <c r="BB289" s="433"/>
      <c r="BC289" s="432"/>
      <c r="BD289" s="433"/>
      <c r="BE289" s="432"/>
      <c r="BF289" s="433"/>
      <c r="BG289" s="432"/>
      <c r="BH289" s="429"/>
    </row>
    <row r="290" spans="1:60" ht="13.8" thickBot="1" x14ac:dyDescent="0.3">
      <c r="A290" s="406">
        <v>43017</v>
      </c>
      <c r="B290" s="860">
        <f t="shared" si="108"/>
        <v>99.317399999999992</v>
      </c>
      <c r="C290" s="860">
        <f>Calculation!AK293</f>
        <v>0</v>
      </c>
      <c r="D290" s="860">
        <f>Calculation!AI293</f>
        <v>20.884500000000006</v>
      </c>
      <c r="E290" s="860">
        <f>Calculation!AE293</f>
        <v>43.780099999999997</v>
      </c>
      <c r="F290" s="860">
        <f>Calculation!AF293</f>
        <v>55.537299999999995</v>
      </c>
      <c r="G290" s="860">
        <f>Calculation!AG293</f>
        <v>0</v>
      </c>
      <c r="H290" s="861">
        <f>Sheet1!H291</f>
        <v>2.3199999999999998</v>
      </c>
      <c r="I290" s="841">
        <f>Sheet1!DA291</f>
        <v>519</v>
      </c>
      <c r="J290" s="841">
        <f>Sheet1!DB291</f>
        <v>348</v>
      </c>
      <c r="K290" s="841">
        <f>Sheet1!CZ291</f>
        <v>459</v>
      </c>
      <c r="L290" s="865">
        <f>Calculation!F293</f>
        <v>250</v>
      </c>
      <c r="M290" s="865">
        <f>Calculation!E293</f>
        <v>250</v>
      </c>
      <c r="N290" s="865">
        <f>Calculation!D293</f>
        <v>300</v>
      </c>
      <c r="O290" s="888">
        <f>Sheet1!DC291</f>
        <v>1122.78</v>
      </c>
      <c r="P290" s="889">
        <f>Calculation!FD293</f>
        <v>1109.8437499999475</v>
      </c>
      <c r="Q290" s="895">
        <f>Calculation!DP293</f>
        <v>12981.600000030243</v>
      </c>
      <c r="R290" s="888">
        <f t="shared" si="105"/>
        <v>12362.600000030243</v>
      </c>
      <c r="S290" s="890">
        <f t="shared" si="109"/>
        <v>-499.20000000107939</v>
      </c>
      <c r="T290" s="895">
        <f ca="1">IF(A290&gt;($A$1-1),#N/A,VLOOKUP(A290,Calculation!$B$8:$JO$503,40,FALSE))</f>
        <v>1272.5591151946132</v>
      </c>
      <c r="U290" s="890">
        <f t="shared" si="110"/>
        <v>20.884500000000006</v>
      </c>
      <c r="V290" s="890">
        <f>Calculation!AZ293</f>
        <v>0</v>
      </c>
      <c r="W290" s="1165">
        <f t="shared" ca="1" si="101"/>
        <v>3568.0408848356292</v>
      </c>
      <c r="X290" s="1165">
        <f t="shared" ca="1" si="102"/>
        <v>124.95310136211785</v>
      </c>
      <c r="Y290" s="1164">
        <f t="shared" ca="1" si="103"/>
        <v>0</v>
      </c>
      <c r="Z290" s="890">
        <f t="shared" ca="1" si="113"/>
        <v>3568.0408848356292</v>
      </c>
      <c r="AA290" s="890">
        <f t="shared" ca="1" si="90"/>
        <v>0</v>
      </c>
      <c r="AB290" s="1165">
        <f t="shared" ca="1" si="99"/>
        <v>8141</v>
      </c>
      <c r="AC290" s="1166">
        <f t="shared" ca="1" si="100"/>
        <v>7522</v>
      </c>
      <c r="AD290" s="860">
        <f ca="1">IF(A290&gt;$A$1,VLOOKUP(A290,Calculation!$B$8:$JO$880,165,FALSE),VLOOKUP(A290,Calculation!$B$8:$JO$880,165,FALSE))</f>
        <v>7522</v>
      </c>
      <c r="AE290" s="399">
        <f t="shared" ca="1" si="111"/>
        <v>-210</v>
      </c>
      <c r="AF290" s="399">
        <f t="shared" ca="1" si="104"/>
        <v>8141</v>
      </c>
      <c r="AG290" s="841">
        <f>Calculation!G293</f>
        <v>207.26021179975828</v>
      </c>
      <c r="AH290" s="847" t="str">
        <f t="shared" si="112"/>
        <v>Yes</v>
      </c>
      <c r="AI290" s="847" t="str">
        <f>IF(Calculation!K293&gt;0,"Yes","No")</f>
        <v>No</v>
      </c>
      <c r="AJ290" s="869">
        <v>16208.31000003503</v>
      </c>
      <c r="AK290" s="870">
        <v>14871.600000035911</v>
      </c>
      <c r="AL290" s="870">
        <v>15253.500000037642</v>
      </c>
      <c r="AN290" s="372">
        <v>14994.500000036032</v>
      </c>
      <c r="AO290" s="894">
        <v>18549.600000045673</v>
      </c>
      <c r="AP290" s="894">
        <v>12431.000000029077</v>
      </c>
      <c r="AQ290" s="380">
        <v>42286</v>
      </c>
      <c r="AR290" s="380">
        <f t="shared" si="106"/>
        <v>55.5</v>
      </c>
      <c r="AS290" s="1079">
        <f t="shared" si="107"/>
        <v>55.524000000000001</v>
      </c>
      <c r="AT290" s="1079">
        <v>28</v>
      </c>
      <c r="AU290" s="427"/>
      <c r="AV290" s="410"/>
      <c r="AW290" s="442"/>
      <c r="AX290" s="441"/>
      <c r="AY290" s="441"/>
      <c r="AZ290" s="443"/>
      <c r="BB290" s="433"/>
      <c r="BC290" s="432"/>
      <c r="BD290" s="433"/>
      <c r="BE290" s="432"/>
      <c r="BF290" s="433"/>
      <c r="BG290" s="432"/>
      <c r="BH290" s="429"/>
    </row>
    <row r="291" spans="1:60" ht="13.8" thickBot="1" x14ac:dyDescent="0.3">
      <c r="A291" s="406">
        <v>43018</v>
      </c>
      <c r="B291" s="860">
        <f t="shared" si="108"/>
        <v>99.317399999999992</v>
      </c>
      <c r="C291" s="860">
        <f>Calculation!AK294</f>
        <v>0</v>
      </c>
      <c r="D291" s="860">
        <f>Calculation!AI294</f>
        <v>20.884499999999999</v>
      </c>
      <c r="E291" s="860">
        <f>Calculation!AE294</f>
        <v>43.780099999999997</v>
      </c>
      <c r="F291" s="860">
        <f>Calculation!AF294</f>
        <v>55.537299999999995</v>
      </c>
      <c r="G291" s="860">
        <f>Calculation!AG294</f>
        <v>0</v>
      </c>
      <c r="H291" s="861">
        <f>Sheet1!H292</f>
        <v>2.08</v>
      </c>
      <c r="I291" s="841">
        <f>Sheet1!DA292</f>
        <v>524</v>
      </c>
      <c r="J291" s="841">
        <f>Sheet1!DB292</f>
        <v>361</v>
      </c>
      <c r="K291" s="841">
        <f>Sheet1!CZ292</f>
        <v>469</v>
      </c>
      <c r="L291" s="865">
        <f>Calculation!F294</f>
        <v>250</v>
      </c>
      <c r="M291" s="865">
        <f>Calculation!E294</f>
        <v>250</v>
      </c>
      <c r="N291" s="865">
        <f>Calculation!D294</f>
        <v>300</v>
      </c>
      <c r="O291" s="888">
        <f>Sheet1!DC292</f>
        <v>1121.52</v>
      </c>
      <c r="P291" s="889">
        <f>Calculation!FD294</f>
        <v>1109.1781249999481</v>
      </c>
      <c r="Q291" s="895">
        <f>Calculation!DP294</f>
        <v>12394.200000029077</v>
      </c>
      <c r="R291" s="888">
        <f t="shared" si="105"/>
        <v>11775.200000029077</v>
      </c>
      <c r="S291" s="890">
        <f t="shared" si="109"/>
        <v>-587.40000000116561</v>
      </c>
      <c r="T291" s="895">
        <f ca="1">IF(A291&gt;($A$1-1),#N/A,VLOOKUP(A291,Calculation!$B$8:$JO$503,40,FALSE))</f>
        <v>931.09071519461338</v>
      </c>
      <c r="U291" s="890">
        <f t="shared" si="110"/>
        <v>20.884499999999999</v>
      </c>
      <c r="V291" s="890">
        <f>Calculation!AZ294</f>
        <v>0</v>
      </c>
      <c r="W291" s="1165">
        <f t="shared" ca="1" si="101"/>
        <v>3532.1092848344633</v>
      </c>
      <c r="X291" s="1165">
        <f t="shared" ca="1" si="102"/>
        <v>18.119818457471435</v>
      </c>
      <c r="Y291" s="1164">
        <f t="shared" ca="1" si="103"/>
        <v>0</v>
      </c>
      <c r="Z291" s="890">
        <f t="shared" ca="1" si="113"/>
        <v>3532.1092848344633</v>
      </c>
      <c r="AA291" s="890">
        <f t="shared" ca="1" si="90"/>
        <v>0</v>
      </c>
      <c r="AB291" s="1165">
        <f t="shared" ca="1" si="99"/>
        <v>7931</v>
      </c>
      <c r="AC291" s="1166">
        <f t="shared" ca="1" si="100"/>
        <v>7312</v>
      </c>
      <c r="AD291" s="860">
        <f ca="1">IF(A291&gt;$A$1,VLOOKUP(A291,Calculation!$B$8:$JO$880,165,FALSE),VLOOKUP(A291,Calculation!$B$8:$JO$880,165,FALSE))</f>
        <v>7312</v>
      </c>
      <c r="AE291" s="399">
        <f t="shared" ca="1" si="111"/>
        <v>-210</v>
      </c>
      <c r="AF291" s="399">
        <f t="shared" ca="1" si="104"/>
        <v>7931</v>
      </c>
      <c r="AG291" s="841">
        <f>Calculation!G294</f>
        <v>172.78214825962402</v>
      </c>
      <c r="AH291" s="847" t="str">
        <f t="shared" si="112"/>
        <v>Yes</v>
      </c>
      <c r="AI291" s="847" t="str">
        <f>IF(Calculation!K294&gt;0,"Yes","No")</f>
        <v>No</v>
      </c>
      <c r="AJ291" s="869">
        <v>15422.960000032665</v>
      </c>
      <c r="AK291" s="870">
        <v>14278.80000003476</v>
      </c>
      <c r="AL291" s="870">
        <v>14615.600000036344</v>
      </c>
      <c r="AN291" s="372">
        <v>14180.000000034643</v>
      </c>
      <c r="AO291" s="894">
        <v>18006.000000045111</v>
      </c>
      <c r="AP291" s="894">
        <v>12130.600000027613</v>
      </c>
      <c r="AQ291" s="380">
        <v>42287</v>
      </c>
      <c r="AR291" s="380">
        <f t="shared" si="106"/>
        <v>55.5</v>
      </c>
      <c r="AS291" s="1079">
        <f t="shared" si="107"/>
        <v>55.524000000000001</v>
      </c>
      <c r="AT291" s="1079">
        <v>28</v>
      </c>
      <c r="AU291" s="427"/>
      <c r="AV291" s="410"/>
      <c r="AW291" s="442"/>
      <c r="AX291" s="441"/>
      <c r="AY291" s="441"/>
      <c r="AZ291" s="443"/>
      <c r="BB291" s="433"/>
      <c r="BC291" s="432"/>
      <c r="BD291" s="433"/>
      <c r="BE291" s="432"/>
      <c r="BF291" s="433"/>
      <c r="BG291" s="432"/>
      <c r="BH291" s="429"/>
    </row>
    <row r="292" spans="1:60" ht="13.8" thickBot="1" x14ac:dyDescent="0.3">
      <c r="A292" s="406">
        <v>43019</v>
      </c>
      <c r="B292" s="860">
        <f t="shared" ref="B292:B303" si="114">E292+F292</f>
        <v>99.425690000000003</v>
      </c>
      <c r="C292" s="860">
        <f>Calculation!AK295</f>
        <v>0</v>
      </c>
      <c r="D292" s="860">
        <f>Calculation!AI295</f>
        <v>20.892886572143457</v>
      </c>
      <c r="E292" s="860">
        <f>Calculation!AE295</f>
        <v>43.733689999999996</v>
      </c>
      <c r="F292" s="860">
        <f>Calculation!AF295</f>
        <v>55.692</v>
      </c>
      <c r="G292" s="860">
        <f>Calculation!AG295</f>
        <v>0</v>
      </c>
      <c r="H292" s="861">
        <f>Sheet1!H293</f>
        <v>1.98</v>
      </c>
      <c r="I292" s="841">
        <f>Sheet1!DA293</f>
        <v>561</v>
      </c>
      <c r="J292" s="841">
        <f>Sheet1!DB293</f>
        <v>425</v>
      </c>
      <c r="K292" s="841">
        <f>Sheet1!CZ293</f>
        <v>542</v>
      </c>
      <c r="L292" s="865">
        <f>Calculation!F295</f>
        <v>250</v>
      </c>
      <c r="M292" s="865">
        <f>Calculation!E295</f>
        <v>250</v>
      </c>
      <c r="N292" s="865">
        <f>Calculation!D295</f>
        <v>300</v>
      </c>
      <c r="O292" s="888">
        <f>Sheet1!DC293</f>
        <v>1120.02</v>
      </c>
      <c r="P292" s="889">
        <f>Calculation!FD295</f>
        <v>1108.4999999999486</v>
      </c>
      <c r="Q292" s="895">
        <f>Calculation!DP295</f>
        <v>11724.800000027211</v>
      </c>
      <c r="R292" s="888">
        <f t="shared" ref="R292:R303" si="115">Q292-619</f>
        <v>11105.800000027211</v>
      </c>
      <c r="S292" s="890">
        <f t="shared" ref="S292:S303" si="116">R292-R291</f>
        <v>-669.40000000186592</v>
      </c>
      <c r="T292" s="895">
        <f ca="1">IF(A292&gt;($A$1-1),#N/A,VLOOKUP(A292,Calculation!$B$8:$JO$503,40,FALSE))</f>
        <v>889.65608300111887</v>
      </c>
      <c r="U292" s="890">
        <f t="shared" ref="U292:U303" si="117">D292</f>
        <v>20.892886572143457</v>
      </c>
      <c r="V292" s="890">
        <f>Calculation!AZ295</f>
        <v>0</v>
      </c>
      <c r="W292" s="1165">
        <f t="shared" ca="1" si="101"/>
        <v>3113.1439170260928</v>
      </c>
      <c r="X292" s="1165">
        <f t="shared" ca="1" si="102"/>
        <v>211.27855159272337</v>
      </c>
      <c r="Y292" s="1164">
        <f t="shared" ca="1" si="103"/>
        <v>0</v>
      </c>
      <c r="Z292" s="890">
        <f t="shared" ref="Z292:Z303" ca="1" si="118">W292-Y292</f>
        <v>3113.1439170260928</v>
      </c>
      <c r="AA292" s="890">
        <f t="shared" ref="AA292:AA303" ca="1" si="119">IF(AB292&gt;=24257,Q292-T292-W292-24257,0)</f>
        <v>0</v>
      </c>
      <c r="AB292" s="1165">
        <f t="shared" ca="1" si="99"/>
        <v>7722</v>
      </c>
      <c r="AC292" s="1166">
        <f t="shared" ca="1" si="100"/>
        <v>7103</v>
      </c>
      <c r="AD292" s="860">
        <f ca="1">IF(A292&gt;$A$1,VLOOKUP(A292,Calculation!$B$8:$JO$880,165,FALSE),VLOOKUP(A292,Calculation!$B$8:$JO$880,165,FALSE))</f>
        <v>7103</v>
      </c>
      <c r="AE292" s="399">
        <f t="shared" ref="AE292:AE303" ca="1" si="120">AD292-AD291</f>
        <v>-209</v>
      </c>
      <c r="AF292" s="399">
        <f t="shared" ref="AF292:AF303" ca="1" si="121">AD292+619</f>
        <v>7722</v>
      </c>
      <c r="AG292" s="841">
        <f>Calculation!G295</f>
        <v>204.43066061428851</v>
      </c>
      <c r="AH292" s="847" t="str">
        <f>IF(I292&gt;L292,"Yes","No")</f>
        <v>Yes</v>
      </c>
      <c r="AI292" s="847" t="str">
        <f>IF(Calculation!K295&gt;0,"Yes","No")</f>
        <v>No</v>
      </c>
      <c r="AJ292" s="869">
        <v>15009.680000032218</v>
      </c>
      <c r="AK292" s="870">
        <v>13618.900000033396</v>
      </c>
      <c r="AL292" s="870">
        <v>14081.200000034525</v>
      </c>
      <c r="AN292" s="372">
        <v>13624.000000032742</v>
      </c>
      <c r="AO292" s="894">
        <v>17511.000000043248</v>
      </c>
      <c r="AP292" s="894">
        <v>11545.000000026397</v>
      </c>
      <c r="AQ292" s="380">
        <v>42288</v>
      </c>
      <c r="AR292" s="380">
        <f t="shared" si="106"/>
        <v>55.5</v>
      </c>
      <c r="AS292" s="1079">
        <f t="shared" si="107"/>
        <v>55.524000000000001</v>
      </c>
      <c r="AT292" s="1079">
        <v>28</v>
      </c>
      <c r="AU292" s="427"/>
      <c r="AV292" s="410"/>
      <c r="AW292" s="442"/>
      <c r="AX292" s="441"/>
      <c r="AY292" s="441"/>
      <c r="AZ292" s="443"/>
      <c r="BB292" s="433"/>
      <c r="BC292" s="432"/>
      <c r="BD292" s="433"/>
      <c r="BE292" s="432"/>
      <c r="BF292" s="433"/>
      <c r="BG292" s="432"/>
      <c r="BH292" s="429"/>
    </row>
    <row r="293" spans="1:60" ht="13.8" thickBot="1" x14ac:dyDescent="0.3">
      <c r="A293" s="406">
        <v>43020</v>
      </c>
      <c r="B293" s="860">
        <f t="shared" si="114"/>
        <v>96.73390999999998</v>
      </c>
      <c r="C293" s="860">
        <f>Calculation!AK296</f>
        <v>0</v>
      </c>
      <c r="D293" s="860">
        <f>Calculation!AI296</f>
        <v>20.884499999999999</v>
      </c>
      <c r="E293" s="860">
        <f>Calculation!AE296</f>
        <v>43.517109999999995</v>
      </c>
      <c r="F293" s="860">
        <f>Calculation!AF296</f>
        <v>53.216799999999992</v>
      </c>
      <c r="G293" s="860">
        <f>Calculation!AG296</f>
        <v>0</v>
      </c>
      <c r="H293" s="861">
        <f>Sheet1!H294</f>
        <v>2.2200000000000002</v>
      </c>
      <c r="I293" s="841">
        <f>Sheet1!DA294</f>
        <v>743</v>
      </c>
      <c r="J293" s="841">
        <f>Sheet1!DB294</f>
        <v>478</v>
      </c>
      <c r="K293" s="841">
        <f>Sheet1!CZ294</f>
        <v>539</v>
      </c>
      <c r="L293" s="865">
        <f>Calculation!F296</f>
        <v>250</v>
      </c>
      <c r="M293" s="865">
        <f>Calculation!E296</f>
        <v>250</v>
      </c>
      <c r="N293" s="865">
        <f>Calculation!D296</f>
        <v>300</v>
      </c>
      <c r="O293" s="888">
        <f>Sheet1!DC294</f>
        <v>1118.68</v>
      </c>
      <c r="P293" s="889">
        <f>Calculation!FD296</f>
        <v>1107.8099999999492</v>
      </c>
      <c r="Q293" s="895">
        <f>Calculation!DP296</f>
        <v>11156.80000002489</v>
      </c>
      <c r="R293" s="888">
        <f t="shared" si="115"/>
        <v>10537.80000002489</v>
      </c>
      <c r="S293" s="890">
        <f t="shared" si="116"/>
        <v>-568.00000000232103</v>
      </c>
      <c r="T293" s="895">
        <f ca="1">IF(A293&gt;($A$1-1),#N/A,VLOOKUP(A293,Calculation!$B$8:$JO$503,40,FALSE))</f>
        <v>848.23808300111887</v>
      </c>
      <c r="U293" s="890">
        <f t="shared" si="117"/>
        <v>20.884499999999999</v>
      </c>
      <c r="V293" s="890">
        <f>Calculation!AZ296</f>
        <v>0</v>
      </c>
      <c r="W293" s="1165">
        <f t="shared" ref="W293:W298" ca="1" si="122">Q293-T293-AB293</f>
        <v>2796.5619170237715</v>
      </c>
      <c r="X293" s="1165">
        <f t="shared" ref="X293:X298" ca="1" si="123">(W292-W293)*AFtoCFS</f>
        <v>159.64800806975356</v>
      </c>
      <c r="Y293" s="1164">
        <f t="shared" ref="Y293:Y298" ca="1" si="124">IF(A293&lt;$A$1-1,0,#N/A)</f>
        <v>0</v>
      </c>
      <c r="Z293" s="890">
        <f t="shared" ca="1" si="118"/>
        <v>2796.5619170237715</v>
      </c>
      <c r="AA293" s="890">
        <f t="shared" ca="1" si="119"/>
        <v>0</v>
      </c>
      <c r="AB293" s="1165">
        <f t="shared" ref="AB293:AB298" ca="1" si="125">AC293+619</f>
        <v>7512</v>
      </c>
      <c r="AC293" s="1166">
        <f t="shared" ref="AC293:AC298" ca="1" si="126">IF(A293&lt;$A$1-1,AD293,#N/A)</f>
        <v>6893</v>
      </c>
      <c r="AD293" s="860">
        <f ca="1">IF(A293&gt;$A$1,VLOOKUP(A293,Calculation!$B$8:$JO$880,165,FALSE),VLOOKUP(A293,Calculation!$B$8:$JO$880,165,FALSE))</f>
        <v>6893</v>
      </c>
      <c r="AE293" s="399">
        <f t="shared" ca="1" si="120"/>
        <v>-210</v>
      </c>
      <c r="AF293" s="399">
        <f t="shared" ca="1" si="121"/>
        <v>7512</v>
      </c>
      <c r="AG293" s="841">
        <f>Calculation!G296</f>
        <v>252.56530509212257</v>
      </c>
      <c r="AH293" s="847" t="str">
        <f>IF(I293&gt;L293,"Yes","No")</f>
        <v>Yes</v>
      </c>
      <c r="AI293" s="847" t="str">
        <f>IF(Calculation!K296&gt;0,"Yes","No")</f>
        <v>No</v>
      </c>
      <c r="AJ293" s="869">
        <v>14615.600000031105</v>
      </c>
      <c r="AK293" s="870">
        <v>12925.200000030243</v>
      </c>
      <c r="AL293" s="870">
        <v>13563.200000032088</v>
      </c>
      <c r="AN293" s="372">
        <v>13105.200000030996</v>
      </c>
      <c r="AO293" s="894">
        <v>16966.400000041987</v>
      </c>
      <c r="AP293" s="894">
        <v>10583.000000023738</v>
      </c>
      <c r="AQ293" s="380">
        <v>42289</v>
      </c>
      <c r="AR293" s="380">
        <f t="shared" si="106"/>
        <v>55.5</v>
      </c>
      <c r="AS293" s="1079">
        <f t="shared" si="107"/>
        <v>55.524000000000001</v>
      </c>
      <c r="AT293" s="1079">
        <v>28</v>
      </c>
      <c r="AU293" s="427"/>
      <c r="AV293" s="410"/>
      <c r="AW293" s="442"/>
      <c r="AX293" s="441"/>
      <c r="AY293" s="441"/>
      <c r="AZ293" s="443"/>
      <c r="BB293" s="433"/>
      <c r="BC293" s="432"/>
      <c r="BD293" s="433"/>
      <c r="BE293" s="432"/>
      <c r="BF293" s="433"/>
      <c r="BG293" s="432"/>
      <c r="BH293" s="429"/>
    </row>
    <row r="294" spans="1:60" ht="13.8" thickBot="1" x14ac:dyDescent="0.3">
      <c r="A294" s="406">
        <v>43021</v>
      </c>
      <c r="B294" s="860">
        <f t="shared" si="114"/>
        <v>94.36699999999999</v>
      </c>
      <c r="C294" s="860">
        <f>Calculation!AK297</f>
        <v>0</v>
      </c>
      <c r="D294" s="860">
        <f>Calculation!AI297</f>
        <v>20.968135567010307</v>
      </c>
      <c r="E294" s="860">
        <f>Calculation!AE297</f>
        <v>43.470700000000001</v>
      </c>
      <c r="F294" s="860">
        <f>Calculation!AF297</f>
        <v>50.896299999999997</v>
      </c>
      <c r="G294" s="860">
        <f>Calculation!AG297</f>
        <v>0</v>
      </c>
      <c r="H294" s="861">
        <f>Sheet1!H295</f>
        <v>2.25</v>
      </c>
      <c r="I294" s="841">
        <f>Sheet1!DA295</f>
        <v>692</v>
      </c>
      <c r="J294" s="841">
        <f>Sheet1!DB295</f>
        <v>431</v>
      </c>
      <c r="K294" s="841">
        <f>Sheet1!CZ295</f>
        <v>531</v>
      </c>
      <c r="L294" s="865">
        <f>Calculation!F297</f>
        <v>250</v>
      </c>
      <c r="M294" s="865">
        <f>Calculation!E297</f>
        <v>250</v>
      </c>
      <c r="N294" s="865">
        <f>Calculation!D297</f>
        <v>300</v>
      </c>
      <c r="O294" s="888">
        <f>Sheet1!DC295</f>
        <v>1118.22</v>
      </c>
      <c r="P294" s="889">
        <f>Calculation!FD297</f>
        <v>1107.1133333332832</v>
      </c>
      <c r="Q294" s="895">
        <f>Calculation!DP297</f>
        <v>10966.400000025307</v>
      </c>
      <c r="R294" s="888">
        <f t="shared" si="115"/>
        <v>10347.400000025307</v>
      </c>
      <c r="S294" s="890">
        <f t="shared" si="116"/>
        <v>-190.39999999958309</v>
      </c>
      <c r="T294" s="895">
        <f ca="1">IF(A294&gt;($A$1-1),#N/A,VLOOKUP(A294,Calculation!$B$8:$JO$503,40,FALSE))</f>
        <v>806.65421750687995</v>
      </c>
      <c r="U294" s="890">
        <f t="shared" si="117"/>
        <v>20.968135567010307</v>
      </c>
      <c r="V294" s="890">
        <f>Calculation!AZ297</f>
        <v>0</v>
      </c>
      <c r="W294" s="1165">
        <f t="shared" ca="1" si="122"/>
        <v>2857.7457825184265</v>
      </c>
      <c r="X294" s="1165">
        <f t="shared" ca="1" si="123"/>
        <v>-30.854193391152311</v>
      </c>
      <c r="Y294" s="1164">
        <f t="shared" ca="1" si="124"/>
        <v>0</v>
      </c>
      <c r="Z294" s="890">
        <f t="shared" ca="1" si="118"/>
        <v>2857.7457825184265</v>
      </c>
      <c r="AA294" s="890">
        <f t="shared" ca="1" si="119"/>
        <v>0</v>
      </c>
      <c r="AB294" s="1165">
        <f t="shared" ca="1" si="125"/>
        <v>7302</v>
      </c>
      <c r="AC294" s="1166">
        <f t="shared" ca="1" si="126"/>
        <v>6683</v>
      </c>
      <c r="AD294" s="860">
        <f ca="1">IF(A294&gt;$A$1,VLOOKUP(A294,Calculation!$B$8:$JO$880,165,FALSE),VLOOKUP(A294,Calculation!$B$8:$JO$880,165,FALSE))</f>
        <v>6683</v>
      </c>
      <c r="AE294" s="399">
        <f t="shared" ca="1" si="120"/>
        <v>-210</v>
      </c>
      <c r="AF294" s="399">
        <f t="shared" ca="1" si="121"/>
        <v>7302</v>
      </c>
      <c r="AG294" s="841">
        <f>Calculation!G297</f>
        <v>434.9838628343</v>
      </c>
      <c r="AH294" s="847" t="str">
        <f>IF(I294&gt;L294,"Yes","No")</f>
        <v>Yes</v>
      </c>
      <c r="AI294" s="847" t="str">
        <f>IF(Calculation!K297&gt;0,"Yes","No")</f>
        <v>Yes</v>
      </c>
      <c r="AJ294" s="869">
        <v>13955.170000028991</v>
      </c>
      <c r="AK294" s="870">
        <v>12212.200000028868</v>
      </c>
      <c r="AL294" s="870">
        <v>13066.800000030995</v>
      </c>
      <c r="AN294" s="372">
        <v>12499.500000028547</v>
      </c>
      <c r="AO294" s="894">
        <v>16420.400000040048</v>
      </c>
      <c r="AP294" s="894">
        <v>9942.6000000219465</v>
      </c>
      <c r="AQ294" s="894"/>
      <c r="AR294" s="894"/>
      <c r="AS294" s="1079">
        <f t="shared" si="107"/>
        <v>55.524000000000001</v>
      </c>
      <c r="AT294" s="1079">
        <v>28</v>
      </c>
      <c r="AU294" s="427"/>
      <c r="AV294" s="410"/>
      <c r="AW294" s="442"/>
      <c r="AX294" s="441"/>
      <c r="AY294" s="441"/>
      <c r="AZ294" s="443"/>
      <c r="BB294" s="433"/>
      <c r="BC294" s="432"/>
      <c r="BD294" s="433"/>
      <c r="BE294" s="432"/>
      <c r="BF294" s="433"/>
      <c r="BG294" s="432"/>
      <c r="BH294" s="429"/>
    </row>
    <row r="295" spans="1:60" ht="13.8" thickBot="1" x14ac:dyDescent="0.3">
      <c r="A295" s="406">
        <v>43022</v>
      </c>
      <c r="B295" s="860">
        <f t="shared" si="114"/>
        <v>94.521699999999996</v>
      </c>
      <c r="C295" s="860">
        <f>Calculation!AK298</f>
        <v>0</v>
      </c>
      <c r="D295" s="860">
        <f>Calculation!AI298</f>
        <v>21.165708975521305</v>
      </c>
      <c r="E295" s="860">
        <f>Calculation!AE298</f>
        <v>43.470700000000001</v>
      </c>
      <c r="F295" s="860">
        <f>Calculation!AF298</f>
        <v>51.050999999999995</v>
      </c>
      <c r="G295" s="860">
        <f>Calculation!AG298</f>
        <v>0</v>
      </c>
      <c r="H295" s="861">
        <f>Sheet1!H296</f>
        <v>2.4700000000000002</v>
      </c>
      <c r="I295" s="841">
        <f>Sheet1!DA296</f>
        <v>642</v>
      </c>
      <c r="J295" s="841">
        <f>Sheet1!DB296</f>
        <v>422</v>
      </c>
      <c r="K295" s="841">
        <f>Sheet1!CZ296</f>
        <v>527</v>
      </c>
      <c r="L295" s="865">
        <f>Calculation!F298</f>
        <v>250</v>
      </c>
      <c r="M295" s="865">
        <f>Calculation!E298</f>
        <v>250</v>
      </c>
      <c r="N295" s="865">
        <f>Calculation!D298</f>
        <v>300</v>
      </c>
      <c r="O295" s="888">
        <f>Sheet1!DC296</f>
        <v>1117.1400000000001</v>
      </c>
      <c r="P295" s="889">
        <f>Calculation!FD298</f>
        <v>1106.3999999999505</v>
      </c>
      <c r="Q295" s="895">
        <f>Calculation!DP298</f>
        <v>10531.000000023738</v>
      </c>
      <c r="R295" s="888">
        <f t="shared" si="115"/>
        <v>9912.0000000237378</v>
      </c>
      <c r="S295" s="890">
        <f t="shared" si="116"/>
        <v>-435.40000000156942</v>
      </c>
      <c r="T295" s="895">
        <f ca="1">IF(A295&gt;($A$1-1),#N/A,VLOOKUP(A295,Calculation!$B$8:$JO$503,40,FALSE))</f>
        <v>764.67852575710651</v>
      </c>
      <c r="U295" s="890">
        <f t="shared" si="117"/>
        <v>21.165708975521305</v>
      </c>
      <c r="V295" s="890">
        <f>Calculation!AZ298</f>
        <v>0</v>
      </c>
      <c r="W295" s="1165">
        <f t="shared" ca="1" si="122"/>
        <v>2673.3214742666314</v>
      </c>
      <c r="X295" s="1165">
        <f t="shared" ca="1" si="123"/>
        <v>93.002676879372189</v>
      </c>
      <c r="Y295" s="1164">
        <f t="shared" ca="1" si="124"/>
        <v>0</v>
      </c>
      <c r="Z295" s="890">
        <f t="shared" ca="1" si="118"/>
        <v>2673.3214742666314</v>
      </c>
      <c r="AA295" s="890">
        <f t="shared" ca="1" si="119"/>
        <v>0</v>
      </c>
      <c r="AB295" s="1165">
        <f t="shared" ca="1" si="125"/>
        <v>7093</v>
      </c>
      <c r="AC295" s="1166">
        <f t="shared" ca="1" si="126"/>
        <v>6474</v>
      </c>
      <c r="AD295" s="860">
        <f ca="1">IF(A295&gt;$A$1,VLOOKUP(A295,Calculation!$B$8:$JO$880,165,FALSE),VLOOKUP(A295,Calculation!$B$8:$JO$880,165,FALSE))</f>
        <v>6474</v>
      </c>
      <c r="AE295" s="399">
        <f t="shared" ca="1" si="120"/>
        <v>-209</v>
      </c>
      <c r="AF295" s="399">
        <f t="shared" ca="1" si="121"/>
        <v>7093</v>
      </c>
      <c r="AG295" s="841">
        <f>Calculation!G298</f>
        <v>307.43368633304624</v>
      </c>
      <c r="AH295" s="847" t="str">
        <f t="shared" si="112"/>
        <v>Yes</v>
      </c>
      <c r="AI295" s="847" t="str">
        <f>IF(Calculation!K298&gt;0,"Yes","No")</f>
        <v>No</v>
      </c>
      <c r="AJ295" s="869">
        <v>13157.800000027521</v>
      </c>
      <c r="AK295" s="870">
        <v>11553.600000026398</v>
      </c>
      <c r="AL295" s="870">
        <v>12380.500000028445</v>
      </c>
      <c r="AN295" s="372">
        <v>11812.800000027311</v>
      </c>
      <c r="AO295" s="894">
        <v>15831.600000039529</v>
      </c>
      <c r="AP295" s="894">
        <v>9980.4000000214528</v>
      </c>
      <c r="AQ295" s="894"/>
      <c r="AR295" s="894"/>
      <c r="AS295" s="1079">
        <f t="shared" si="107"/>
        <v>55.524000000000001</v>
      </c>
      <c r="AT295" s="1079">
        <v>28</v>
      </c>
      <c r="AU295" s="427"/>
      <c r="AV295" s="410"/>
      <c r="AW295" s="442"/>
      <c r="AX295" s="441"/>
      <c r="AY295" s="441"/>
      <c r="AZ295" s="443"/>
      <c r="BB295" s="433"/>
      <c r="BC295" s="432"/>
      <c r="BD295" s="433"/>
      <c r="BE295" s="432"/>
      <c r="BF295" s="433"/>
      <c r="BG295" s="432"/>
      <c r="BH295" s="429"/>
    </row>
    <row r="296" spans="1:60" ht="13.8" thickBot="1" x14ac:dyDescent="0.3">
      <c r="A296" s="406">
        <v>43023</v>
      </c>
      <c r="B296" s="860">
        <f t="shared" si="114"/>
        <v>94.459820000000008</v>
      </c>
      <c r="C296" s="860">
        <f>Calculation!AK299</f>
        <v>0</v>
      </c>
      <c r="D296" s="860">
        <f>Calculation!AI299</f>
        <v>21.2613986440678</v>
      </c>
      <c r="E296" s="860">
        <f>Calculation!AE299</f>
        <v>43.470700000000001</v>
      </c>
      <c r="F296" s="860">
        <f>Calculation!AF299</f>
        <v>50.98912</v>
      </c>
      <c r="G296" s="860">
        <f>Calculation!AG299</f>
        <v>0</v>
      </c>
      <c r="H296" s="861">
        <f>Sheet1!H297</f>
        <v>2.16</v>
      </c>
      <c r="I296" s="841">
        <f>Sheet1!DA297</f>
        <v>620</v>
      </c>
      <c r="J296" s="841">
        <f>Sheet1!DB297</f>
        <v>416</v>
      </c>
      <c r="K296" s="841">
        <f>Sheet1!CZ297</f>
        <v>524</v>
      </c>
      <c r="L296" s="865">
        <f>Calculation!F299</f>
        <v>250</v>
      </c>
      <c r="M296" s="865">
        <f>Calculation!E299</f>
        <v>250</v>
      </c>
      <c r="N296" s="865">
        <f>Calculation!D299</f>
        <v>300</v>
      </c>
      <c r="O296" s="888">
        <f>Sheet1!DC297</f>
        <v>1115.69</v>
      </c>
      <c r="P296" s="889">
        <f>Calculation!FD299</f>
        <v>1105.6793103447787</v>
      </c>
      <c r="Q296" s="895">
        <f>Calculation!DP299</f>
        <v>9969.2000000220323</v>
      </c>
      <c r="R296" s="888">
        <f t="shared" si="115"/>
        <v>9350.2000000220323</v>
      </c>
      <c r="S296" s="890">
        <f t="shared" si="116"/>
        <v>-561.80000000170548</v>
      </c>
      <c r="T296" s="895">
        <f ca="1">IF(A296&gt;($A$1-1),#N/A,VLOOKUP(A296,Calculation!$B$8:$JO$503,40,FALSE))</f>
        <v>722.51306289996364</v>
      </c>
      <c r="U296" s="890">
        <f t="shared" si="117"/>
        <v>21.2613986440678</v>
      </c>
      <c r="V296" s="890">
        <f>Calculation!AZ299</f>
        <v>0</v>
      </c>
      <c r="W296" s="1165">
        <f t="shared" ca="1" si="122"/>
        <v>2363.6869371220691</v>
      </c>
      <c r="X296" s="1165">
        <f t="shared" ca="1" si="123"/>
        <v>156.14449679503895</v>
      </c>
      <c r="Y296" s="1164">
        <f t="shared" ca="1" si="124"/>
        <v>0</v>
      </c>
      <c r="Z296" s="890">
        <f t="shared" ca="1" si="118"/>
        <v>2363.6869371220691</v>
      </c>
      <c r="AA296" s="890">
        <f t="shared" ca="1" si="119"/>
        <v>0</v>
      </c>
      <c r="AB296" s="1165">
        <f t="shared" ca="1" si="125"/>
        <v>6883</v>
      </c>
      <c r="AC296" s="1166">
        <f t="shared" ca="1" si="126"/>
        <v>6264</v>
      </c>
      <c r="AD296" s="860">
        <f ca="1">IF(A296&gt;$A$1,VLOOKUP(A296,Calculation!$B$8:$JO$880,165,FALSE),VLOOKUP(A296,Calculation!$B$8:$JO$880,165,FALSE))</f>
        <v>6264</v>
      </c>
      <c r="AE296" s="399">
        <f t="shared" ca="1" si="120"/>
        <v>-210</v>
      </c>
      <c r="AF296" s="399">
        <f t="shared" ca="1" si="121"/>
        <v>6883</v>
      </c>
      <c r="AG296" s="841">
        <f>Calculation!G299</f>
        <v>240.69188098754142</v>
      </c>
      <c r="AH296" s="847" t="str">
        <f t="shared" ref="AH296:AH303" si="127">IF(I296&gt;L296,"Yes","No")</f>
        <v>Yes</v>
      </c>
      <c r="AI296" s="847" t="str">
        <f>IF(Calculation!K299&gt;0,"Yes","No")</f>
        <v>No</v>
      </c>
      <c r="AJ296" s="869">
        <v>12266.520000024731</v>
      </c>
      <c r="AK296" s="870">
        <v>10945.700000024704</v>
      </c>
      <c r="AL296" s="870">
        <v>11777.600000027312</v>
      </c>
      <c r="AN296" s="372">
        <v>11103.000000025402</v>
      </c>
      <c r="AO296" s="894">
        <v>15160.400000036834</v>
      </c>
      <c r="AP296" s="894">
        <v>9897.0000000219461</v>
      </c>
      <c r="AQ296" s="894"/>
      <c r="AR296" s="894"/>
      <c r="AS296" s="894">
        <f t="shared" si="107"/>
        <v>0</v>
      </c>
      <c r="AT296" s="894">
        <v>0</v>
      </c>
      <c r="AU296" s="427"/>
      <c r="AV296" s="410"/>
      <c r="AW296" s="442"/>
      <c r="AX296" s="441"/>
      <c r="AY296" s="441"/>
      <c r="AZ296" s="443"/>
      <c r="BB296" s="433"/>
      <c r="BC296" s="432"/>
      <c r="BD296" s="433"/>
      <c r="BE296" s="432"/>
      <c r="BF296" s="433"/>
      <c r="BG296" s="432"/>
      <c r="BH296" s="429"/>
    </row>
    <row r="297" spans="1:60" ht="13.8" thickBot="1" x14ac:dyDescent="0.3">
      <c r="A297" s="406">
        <v>43024</v>
      </c>
      <c r="B297" s="860">
        <f t="shared" si="114"/>
        <v>94.552639999999997</v>
      </c>
      <c r="C297" s="860">
        <f>Calculation!AK300</f>
        <v>0</v>
      </c>
      <c r="D297" s="860">
        <f>Calculation!AI300</f>
        <v>21.042243432203392</v>
      </c>
      <c r="E297" s="860">
        <f>Calculation!AE300</f>
        <v>43.578989999999997</v>
      </c>
      <c r="F297" s="860">
        <f>Calculation!AF300</f>
        <v>50.973649999999999</v>
      </c>
      <c r="G297" s="860">
        <f>Calculation!AG300</f>
        <v>0</v>
      </c>
      <c r="H297" s="861">
        <f>Sheet1!H298</f>
        <v>1.52</v>
      </c>
      <c r="I297" s="841">
        <f>Sheet1!DA298</f>
        <v>680</v>
      </c>
      <c r="J297" s="841">
        <f>Sheet1!DB298</f>
        <v>485</v>
      </c>
      <c r="K297" s="841">
        <f>Sheet1!CZ298</f>
        <v>608</v>
      </c>
      <c r="L297" s="865">
        <f>Calculation!F300</f>
        <v>250</v>
      </c>
      <c r="M297" s="865">
        <f>Calculation!E300</f>
        <v>250</v>
      </c>
      <c r="N297" s="865">
        <f>Calculation!D300</f>
        <v>300</v>
      </c>
      <c r="O297" s="888">
        <f>Sheet1!DC298</f>
        <v>1113.8800000000001</v>
      </c>
      <c r="P297" s="889">
        <f>Calculation!FD300</f>
        <v>1104.9517241378828</v>
      </c>
      <c r="Q297" s="895">
        <f>Calculation!DP300</f>
        <v>9300.8000000202992</v>
      </c>
      <c r="R297" s="888">
        <f t="shared" si="115"/>
        <v>8681.8000000202992</v>
      </c>
      <c r="S297" s="890">
        <f t="shared" si="116"/>
        <v>-668.40000000173313</v>
      </c>
      <c r="T297" s="895">
        <f ca="1">IF(A297&gt;($A$1-1),#N/A,VLOOKUP(A297,Calculation!$B$8:$JO$503,40,FALSE))</f>
        <v>680.78222718567793</v>
      </c>
      <c r="U297" s="890">
        <f t="shared" si="117"/>
        <v>21.042243432203392</v>
      </c>
      <c r="V297" s="890">
        <f>Calculation!AZ300</f>
        <v>0</v>
      </c>
      <c r="W297" s="1165">
        <f t="shared" ca="1" si="122"/>
        <v>1947.0177728346207</v>
      </c>
      <c r="X297" s="1165">
        <f t="shared" ca="1" si="123"/>
        <v>210.12060730582368</v>
      </c>
      <c r="Y297" s="1164">
        <f t="shared" ca="1" si="124"/>
        <v>0</v>
      </c>
      <c r="Z297" s="890">
        <f t="shared" ca="1" si="118"/>
        <v>1947.0177728346207</v>
      </c>
      <c r="AA297" s="890">
        <f t="shared" ca="1" si="119"/>
        <v>0</v>
      </c>
      <c r="AB297" s="1165">
        <f t="shared" ca="1" si="125"/>
        <v>6673</v>
      </c>
      <c r="AC297" s="1166">
        <f t="shared" ca="1" si="126"/>
        <v>6054</v>
      </c>
      <c r="AD297" s="860">
        <f ca="1">IF(A297&gt;$A$1,VLOOKUP(A297,Calculation!$B$8:$JO$880,165,FALSE),VLOOKUP(A297,Calculation!$B$8:$JO$880,165,FALSE))</f>
        <v>6054</v>
      </c>
      <c r="AE297" s="399">
        <f t="shared" ca="1" si="120"/>
        <v>-210</v>
      </c>
      <c r="AF297" s="399">
        <f t="shared" ca="1" si="121"/>
        <v>6673</v>
      </c>
      <c r="AG297" s="841">
        <f>Calculation!G300</f>
        <v>270.93494704905044</v>
      </c>
      <c r="AH297" s="847" t="str">
        <f t="shared" si="127"/>
        <v>Yes</v>
      </c>
      <c r="AI297" s="847" t="str">
        <f>IF(Calculation!K300&gt;0,"Yes","No")</f>
        <v>No</v>
      </c>
      <c r="AJ297" s="869">
        <v>11337.060000022671</v>
      </c>
      <c r="AK297" s="870">
        <v>10381.400000022966</v>
      </c>
      <c r="AL297" s="870">
        <v>11301.900000026202</v>
      </c>
      <c r="AN297" s="372">
        <v>10486.300000024237</v>
      </c>
      <c r="AO297" s="894">
        <v>14480.600000034879</v>
      </c>
      <c r="AP297" s="894">
        <v>9500.8000000204629</v>
      </c>
      <c r="AQ297" s="894"/>
      <c r="AR297" s="894"/>
      <c r="AS297" s="894">
        <f t="shared" si="107"/>
        <v>0</v>
      </c>
      <c r="AT297" s="894">
        <v>0</v>
      </c>
      <c r="AU297" s="427"/>
      <c r="AV297" s="410"/>
      <c r="AW297" s="442"/>
      <c r="AX297" s="441"/>
      <c r="AY297" s="441"/>
      <c r="AZ297" s="443"/>
      <c r="BB297" s="433"/>
      <c r="BC297" s="432"/>
      <c r="BD297" s="433"/>
      <c r="BE297" s="432"/>
      <c r="BF297" s="433"/>
      <c r="BG297" s="432"/>
      <c r="BH297" s="429"/>
    </row>
    <row r="298" spans="1:60" ht="13.8" thickBot="1" x14ac:dyDescent="0.3">
      <c r="A298" s="406">
        <v>43025</v>
      </c>
      <c r="B298" s="860">
        <f t="shared" si="114"/>
        <v>94.397939999999991</v>
      </c>
      <c r="C298" s="860">
        <f>Calculation!AK301</f>
        <v>0</v>
      </c>
      <c r="D298" s="860">
        <f>Calculation!AI301</f>
        <v>20.884499999999999</v>
      </c>
      <c r="E298" s="860">
        <f>Calculation!AE301</f>
        <v>43.517109999999995</v>
      </c>
      <c r="F298" s="860">
        <f>Calculation!AF301</f>
        <v>50.880829999999996</v>
      </c>
      <c r="G298" s="860">
        <f>Calculation!AG301</f>
        <v>0</v>
      </c>
      <c r="H298" s="861">
        <f>Sheet1!H299</f>
        <v>1.9</v>
      </c>
      <c r="I298" s="841">
        <f>Sheet1!DA299</f>
        <v>742</v>
      </c>
      <c r="J298" s="841">
        <f>Sheet1!DB299</f>
        <v>536</v>
      </c>
      <c r="K298" s="841">
        <f>Sheet1!CZ299</f>
        <v>649</v>
      </c>
      <c r="L298" s="865">
        <f>Calculation!F301</f>
        <v>250</v>
      </c>
      <c r="M298" s="865">
        <f>Calculation!E301</f>
        <v>250</v>
      </c>
      <c r="N298" s="865">
        <f>Calculation!D301</f>
        <v>300</v>
      </c>
      <c r="O298" s="888">
        <f>Sheet1!DC299</f>
        <v>1111.67</v>
      </c>
      <c r="P298" s="889">
        <f>Calculation!FD301</f>
        <v>1104.2035714285239</v>
      </c>
      <c r="Q298" s="895">
        <f>Calculation!DP301</f>
        <v>8536.1000000179338</v>
      </c>
      <c r="R298" s="888">
        <f t="shared" si="115"/>
        <v>7917.1000000179338</v>
      </c>
      <c r="S298" s="890">
        <f t="shared" si="116"/>
        <v>-764.70000000236541</v>
      </c>
      <c r="T298" s="895">
        <f ca="1">IF(A298&gt;($A$1-1),#N/A,VLOOKUP(A298,Calculation!$B$8:$JO$503,40,FALSE))</f>
        <v>639.36422718567792</v>
      </c>
      <c r="U298" s="890">
        <f t="shared" si="117"/>
        <v>20.884499999999999</v>
      </c>
      <c r="V298" s="890">
        <f>Calculation!AZ301</f>
        <v>0</v>
      </c>
      <c r="W298" s="1165">
        <f t="shared" ca="1" si="122"/>
        <v>1432.7357728322559</v>
      </c>
      <c r="X298" s="1165">
        <f t="shared" ca="1" si="123"/>
        <v>259.34543620895852</v>
      </c>
      <c r="Y298" s="1164">
        <f t="shared" ca="1" si="124"/>
        <v>0</v>
      </c>
      <c r="Z298" s="890">
        <f t="shared" ca="1" si="118"/>
        <v>1432.7357728322559</v>
      </c>
      <c r="AA298" s="890">
        <f t="shared" ca="1" si="119"/>
        <v>0</v>
      </c>
      <c r="AB298" s="1165">
        <f t="shared" ca="1" si="125"/>
        <v>6464</v>
      </c>
      <c r="AC298" s="1166">
        <f t="shared" ca="1" si="126"/>
        <v>5845</v>
      </c>
      <c r="AD298" s="860">
        <f ca="1">IF(A298&gt;$A$1,VLOOKUP(A298,Calculation!$B$8:$JO$880,165,FALSE),VLOOKUP(A298,Calculation!$B$8:$JO$880,165,FALSE))</f>
        <v>5845</v>
      </c>
      <c r="AE298" s="399">
        <f t="shared" ca="1" si="120"/>
        <v>-209</v>
      </c>
      <c r="AF298" s="399">
        <f t="shared" ca="1" si="121"/>
        <v>6464</v>
      </c>
      <c r="AG298" s="841">
        <f>Calculation!G301</f>
        <v>263.37216338761203</v>
      </c>
      <c r="AH298" s="847" t="str">
        <f t="shared" si="127"/>
        <v>Yes</v>
      </c>
      <c r="AI298" s="847" t="str">
        <f>IF(Calculation!K301&gt;0,"Yes","No")</f>
        <v>No</v>
      </c>
      <c r="AJ298" s="869">
        <v>10376.230000020667</v>
      </c>
      <c r="AK298" s="870">
        <v>9871.100000021368</v>
      </c>
      <c r="AL298" s="870">
        <v>10856.000000024011</v>
      </c>
      <c r="AN298" s="372">
        <v>9935.0000000219461</v>
      </c>
      <c r="AO298" s="894">
        <v>13784.200000033628</v>
      </c>
      <c r="AP298" s="894">
        <v>9003.0000000194177</v>
      </c>
      <c r="AQ298" s="894"/>
      <c r="AR298" s="894"/>
      <c r="AS298" s="894">
        <f t="shared" si="107"/>
        <v>0</v>
      </c>
      <c r="AT298" s="894">
        <v>0</v>
      </c>
      <c r="AU298" s="427"/>
      <c r="AV298" s="410"/>
      <c r="AW298" s="442"/>
      <c r="AX298" s="441"/>
      <c r="AY298" s="441"/>
      <c r="AZ298" s="443"/>
      <c r="BB298" s="433"/>
      <c r="BC298" s="432"/>
      <c r="BD298" s="433"/>
      <c r="BE298" s="432"/>
      <c r="BF298" s="433"/>
      <c r="BG298" s="432"/>
      <c r="BH298" s="429"/>
    </row>
    <row r="299" spans="1:60" ht="13.8" thickBot="1" x14ac:dyDescent="0.3">
      <c r="A299" s="406">
        <v>43026</v>
      </c>
      <c r="B299" s="860">
        <f t="shared" si="114"/>
        <v>94.645459999999986</v>
      </c>
      <c r="C299" s="860">
        <f>Calculation!AK302</f>
        <v>0</v>
      </c>
      <c r="D299" s="860">
        <f>Calculation!AI302</f>
        <v>21.039153050075871</v>
      </c>
      <c r="E299" s="860">
        <f>Calculation!AE302</f>
        <v>43.749159999999996</v>
      </c>
      <c r="F299" s="860">
        <f>Calculation!AF302</f>
        <v>50.896299999999997</v>
      </c>
      <c r="G299" s="860">
        <f>Calculation!AG302</f>
        <v>0</v>
      </c>
      <c r="H299" s="861">
        <f>Sheet1!H300</f>
        <v>2.25</v>
      </c>
      <c r="I299" s="841">
        <f>Sheet1!DA300</f>
        <v>800</v>
      </c>
      <c r="J299" s="841">
        <f>Sheet1!DB300</f>
        <v>672</v>
      </c>
      <c r="K299" s="841">
        <f>Sheet1!CZ300</f>
        <v>726</v>
      </c>
      <c r="L299" s="865">
        <f>Calculation!F302</f>
        <v>250</v>
      </c>
      <c r="M299" s="865">
        <f>Calculation!E302</f>
        <v>250</v>
      </c>
      <c r="N299" s="865">
        <f>Calculation!D302</f>
        <v>300</v>
      </c>
      <c r="O299" s="888">
        <f>Sheet1!DC300</f>
        <v>1109.69</v>
      </c>
      <c r="P299" s="889">
        <f>Calculation!FD302</f>
        <v>1103.4464285713818</v>
      </c>
      <c r="Q299" s="895">
        <f>Calculation!DP302</f>
        <v>7892.8000000168076</v>
      </c>
      <c r="R299" s="888">
        <f t="shared" si="115"/>
        <v>7273.8000000168076</v>
      </c>
      <c r="S299" s="890">
        <f t="shared" si="116"/>
        <v>-643.30000000112614</v>
      </c>
      <c r="T299" s="895">
        <f ca="1">IF(A299&gt;($A$1-1),#N/A,VLOOKUP(A299,Calculation!$B$8:$JO$503,40,FALSE))</f>
        <v>597.63952029645179</v>
      </c>
      <c r="U299" s="890">
        <f t="shared" si="117"/>
        <v>21.039153050075871</v>
      </c>
      <c r="V299" s="890">
        <f>Calculation!AZ302</f>
        <v>0</v>
      </c>
      <c r="W299" s="895">
        <f t="shared" ref="W299:W348" ca="1" si="128">IF(T299&lt;=0,0,MIN(MAX(Q299-T299-23559-619-(X299*1.983),0),5000))</f>
        <v>0</v>
      </c>
      <c r="X299" s="890">
        <v>0</v>
      </c>
      <c r="Y299" s="890">
        <f t="shared" ref="Y299:Y348" ca="1" si="129">W299*0.5</f>
        <v>0</v>
      </c>
      <c r="Z299" s="890">
        <f t="shared" ca="1" si="118"/>
        <v>0</v>
      </c>
      <c r="AA299" s="890">
        <f t="shared" ca="1" si="119"/>
        <v>0</v>
      </c>
      <c r="AB299" s="895">
        <f t="shared" ref="AB299:AB361" ca="1" si="130">IF(Q299-T299-W299&lt;0,0,MIN(Q299-T299-W299,24257))</f>
        <v>7295.1604797203563</v>
      </c>
      <c r="AC299" s="980">
        <f t="shared" ref="AC299:AC361" ca="1" si="131">AB299-619</f>
        <v>6676.1604797203563</v>
      </c>
      <c r="AD299" s="860">
        <f ca="1">IF(A299&gt;$A$1,VLOOKUP(A299,Calculation!$B$8:$JO$880,165,FALSE),VLOOKUP(A299,Calculation!$B$8:$JO$880,165,FALSE))</f>
        <v>5635</v>
      </c>
      <c r="AE299" s="399">
        <f t="shared" ca="1" si="120"/>
        <v>-210</v>
      </c>
      <c r="AF299" s="399">
        <f t="shared" ca="1" si="121"/>
        <v>6254</v>
      </c>
      <c r="AG299" s="841">
        <f>Calculation!G302</f>
        <v>401.59253656019865</v>
      </c>
      <c r="AH299" s="847" t="str">
        <f t="shared" si="127"/>
        <v>Yes</v>
      </c>
      <c r="AI299" s="847" t="str">
        <f>IF(Calculation!K302&gt;0,"Yes","No")</f>
        <v>Yes</v>
      </c>
      <c r="AJ299" s="869">
        <v>9477.4000000183023</v>
      </c>
      <c r="AK299" s="870">
        <v>9308.000000019736</v>
      </c>
      <c r="AL299" s="870">
        <v>10474.000000024238</v>
      </c>
      <c r="AN299" s="372">
        <v>9822.0000000218606</v>
      </c>
      <c r="AO299" s="894">
        <v>13110.000000030996</v>
      </c>
      <c r="AP299" s="894">
        <v>8603.1000000179338</v>
      </c>
      <c r="AQ299" s="894"/>
      <c r="AR299" s="894"/>
      <c r="AS299" s="894">
        <f t="shared" si="107"/>
        <v>0</v>
      </c>
      <c r="AT299" s="894">
        <v>0</v>
      </c>
      <c r="AU299" s="427"/>
      <c r="AV299" s="410"/>
      <c r="AW299" s="442"/>
      <c r="AX299" s="441"/>
      <c r="AY299" s="441"/>
      <c r="AZ299" s="443"/>
      <c r="BB299" s="433"/>
      <c r="BC299" s="432"/>
      <c r="BD299" s="433"/>
      <c r="BE299" s="432"/>
      <c r="BF299" s="433"/>
      <c r="BG299" s="432"/>
      <c r="BH299" s="429"/>
    </row>
    <row r="300" spans="1:60" ht="13.8" thickBot="1" x14ac:dyDescent="0.3">
      <c r="A300" s="406">
        <v>43027</v>
      </c>
      <c r="B300" s="860">
        <f t="shared" si="114"/>
        <v>94.537170000000003</v>
      </c>
      <c r="C300" s="860">
        <f>Calculation!AK303</f>
        <v>0</v>
      </c>
      <c r="D300" s="860">
        <f>Calculation!AI303</f>
        <v>20.937270618556699</v>
      </c>
      <c r="E300" s="860">
        <f>Calculation!AE303</f>
        <v>43.64087</v>
      </c>
      <c r="F300" s="860">
        <f>Calculation!AF303</f>
        <v>50.896299999999997</v>
      </c>
      <c r="G300" s="860">
        <f>Calculation!AG303</f>
        <v>0</v>
      </c>
      <c r="H300" s="861">
        <f>Sheet1!H301</f>
        <v>5.34</v>
      </c>
      <c r="I300" s="841">
        <f>Sheet1!DA301</f>
        <v>2096</v>
      </c>
      <c r="J300" s="841">
        <f>Sheet1!DB301</f>
        <v>1650</v>
      </c>
      <c r="K300" s="841">
        <f>Sheet1!CZ301</f>
        <v>1679</v>
      </c>
      <c r="L300" s="865">
        <f>Calculation!F303</f>
        <v>250</v>
      </c>
      <c r="M300" s="865">
        <f>Calculation!E303</f>
        <v>250</v>
      </c>
      <c r="N300" s="865">
        <f>Calculation!D303</f>
        <v>300</v>
      </c>
      <c r="O300" s="888">
        <f>Sheet1!DC301</f>
        <v>1111.77</v>
      </c>
      <c r="P300" s="889">
        <f>Calculation!FD303</f>
        <v>1102.6807692307232</v>
      </c>
      <c r="Q300" s="895">
        <f>Calculation!DP303</f>
        <v>8569.8000000184766</v>
      </c>
      <c r="R300" s="888">
        <f t="shared" si="115"/>
        <v>7950.8000000184766</v>
      </c>
      <c r="S300" s="890">
        <f t="shared" si="116"/>
        <v>677.00000000166892</v>
      </c>
      <c r="T300" s="895">
        <f ca="1">IF(A300&gt;($A$1-1),#N/A,VLOOKUP(A300,Calculation!$B$8:$JO$503,40,FALSE))</f>
        <v>556.1168659604906</v>
      </c>
      <c r="U300" s="890">
        <f t="shared" si="117"/>
        <v>20.937270618556699</v>
      </c>
      <c r="V300" s="890">
        <f>Calculation!AZ303</f>
        <v>0</v>
      </c>
      <c r="W300" s="895">
        <f t="shared" ca="1" si="128"/>
        <v>0</v>
      </c>
      <c r="X300" s="890">
        <v>0</v>
      </c>
      <c r="Y300" s="890">
        <f t="shared" ca="1" si="129"/>
        <v>0</v>
      </c>
      <c r="Z300" s="890">
        <f t="shared" ca="1" si="118"/>
        <v>0</v>
      </c>
      <c r="AA300" s="890">
        <f t="shared" ca="1" si="119"/>
        <v>0</v>
      </c>
      <c r="AB300" s="895">
        <f t="shared" ca="1" si="130"/>
        <v>8013.6831340579856</v>
      </c>
      <c r="AC300" s="980">
        <f t="shared" ca="1" si="131"/>
        <v>7394.6831340579856</v>
      </c>
      <c r="AD300" s="860">
        <f ca="1">IF(A300&gt;$A$1,VLOOKUP(A300,Calculation!$B$8:$JO$880,165,FALSE),VLOOKUP(A300,Calculation!$B$8:$JO$880,165,FALSE))</f>
        <v>5425</v>
      </c>
      <c r="AE300" s="399">
        <f t="shared" ca="1" si="120"/>
        <v>-210</v>
      </c>
      <c r="AF300" s="399">
        <f t="shared" ca="1" si="121"/>
        <v>6044</v>
      </c>
      <c r="AG300" s="841">
        <f>Calculation!G303</f>
        <v>2020.4019162892935</v>
      </c>
      <c r="AH300" s="847" t="str">
        <f t="shared" si="127"/>
        <v>Yes</v>
      </c>
      <c r="AI300" s="847" t="str">
        <f>IF(Calculation!K303&gt;0,"Yes","No")</f>
        <v>Yes</v>
      </c>
      <c r="AJ300" s="869">
        <v>8664.0000000166274</v>
      </c>
      <c r="AK300" s="870">
        <v>8797.0000000192595</v>
      </c>
      <c r="AL300" s="870">
        <v>10010.000000022032</v>
      </c>
      <c r="AN300" s="372">
        <v>9438.2000000209482</v>
      </c>
      <c r="AO300" s="894">
        <v>12472.400000029182</v>
      </c>
      <c r="AP300" s="894">
        <v>7911.5000000162818</v>
      </c>
      <c r="AQ300" s="894"/>
      <c r="AR300" s="894"/>
      <c r="AS300" s="894">
        <f t="shared" si="107"/>
        <v>0</v>
      </c>
      <c r="AT300" s="894">
        <v>0</v>
      </c>
      <c r="AU300" s="427"/>
      <c r="AV300" s="410"/>
      <c r="AW300" s="442"/>
      <c r="AX300" s="441"/>
      <c r="AY300" s="441"/>
      <c r="AZ300" s="443"/>
      <c r="BB300" s="433"/>
      <c r="BC300" s="432"/>
      <c r="BD300" s="433"/>
      <c r="BE300" s="432"/>
      <c r="BF300" s="433"/>
      <c r="BG300" s="432"/>
      <c r="BH300" s="429"/>
    </row>
    <row r="301" spans="1:60" ht="13.8" thickBot="1" x14ac:dyDescent="0.3">
      <c r="A301" s="406">
        <v>43028</v>
      </c>
      <c r="B301" s="860">
        <f t="shared" si="114"/>
        <v>94.537170000000003</v>
      </c>
      <c r="C301" s="860">
        <f>Calculation!AK304</f>
        <v>0</v>
      </c>
      <c r="D301" s="860">
        <f>Calculation!AI304</f>
        <v>53.83864335556229</v>
      </c>
      <c r="E301" s="860">
        <f>Calculation!AE304</f>
        <v>43.64087</v>
      </c>
      <c r="F301" s="860">
        <f>Calculation!AF304</f>
        <v>50.896299999999997</v>
      </c>
      <c r="G301" s="860">
        <f>Calculation!AG304</f>
        <v>0</v>
      </c>
      <c r="H301" s="861">
        <f>Sheet1!H302</f>
        <v>5.79</v>
      </c>
      <c r="I301" s="841">
        <f>Sheet1!DA302</f>
        <v>2970</v>
      </c>
      <c r="J301" s="841">
        <f>Sheet1!DB302</f>
        <v>2360</v>
      </c>
      <c r="K301" s="841">
        <f>Sheet1!CZ302</f>
        <v>2680</v>
      </c>
      <c r="L301" s="865">
        <f>Calculation!F304</f>
        <v>250</v>
      </c>
      <c r="M301" s="865">
        <f>Calculation!E304</f>
        <v>250</v>
      </c>
      <c r="N301" s="865">
        <f>Calculation!D304</f>
        <v>300</v>
      </c>
      <c r="O301" s="888">
        <f>Sheet1!DC302</f>
        <v>1108.43</v>
      </c>
      <c r="P301" s="889">
        <f>Calculation!FD304</f>
        <v>1101.896296296251</v>
      </c>
      <c r="Q301" s="895">
        <f>Calculation!DP304</f>
        <v>7501.0000000154159</v>
      </c>
      <c r="R301" s="888">
        <f t="shared" si="115"/>
        <v>6882.0000000154159</v>
      </c>
      <c r="S301" s="890">
        <f t="shared" si="116"/>
        <v>-1068.8000000030606</v>
      </c>
      <c r="T301" s="895">
        <f ca="1">IF(A301&gt;($A$1-1),#N/A,VLOOKUP(A301,Calculation!$B$8:$JO$503,40,FALSE))</f>
        <v>449.34443039819905</v>
      </c>
      <c r="U301" s="890">
        <f t="shared" si="117"/>
        <v>53.83864335556229</v>
      </c>
      <c r="V301" s="890">
        <f>Calculation!AZ304</f>
        <v>0</v>
      </c>
      <c r="W301" s="895">
        <f t="shared" ca="1" si="128"/>
        <v>0</v>
      </c>
      <c r="X301" s="890">
        <v>0</v>
      </c>
      <c r="Y301" s="890">
        <f t="shared" ca="1" si="129"/>
        <v>0</v>
      </c>
      <c r="Z301" s="890">
        <f t="shared" ca="1" si="118"/>
        <v>0</v>
      </c>
      <c r="AA301" s="890">
        <f t="shared" ca="1" si="119"/>
        <v>0</v>
      </c>
      <c r="AB301" s="895">
        <f t="shared" ca="1" si="130"/>
        <v>7051.6555696172172</v>
      </c>
      <c r="AC301" s="980">
        <f t="shared" ca="1" si="131"/>
        <v>6432.6555696172172</v>
      </c>
      <c r="AD301" s="860">
        <f ca="1">IF(A301&gt;$A$1,VLOOKUP(A301,Calculation!$B$8:$JO$880,165,FALSE),VLOOKUP(A301,Calculation!$B$8:$JO$880,165,FALSE))</f>
        <v>5216</v>
      </c>
      <c r="AE301" s="399">
        <f t="shared" ca="1" si="120"/>
        <v>-209</v>
      </c>
      <c r="AF301" s="399">
        <f t="shared" ca="1" si="121"/>
        <v>5835</v>
      </c>
      <c r="AG301" s="841">
        <f>Calculation!G304</f>
        <v>2141.0186585965403</v>
      </c>
      <c r="AH301" s="847" t="str">
        <f t="shared" si="127"/>
        <v>Yes</v>
      </c>
      <c r="AI301" s="847" t="str">
        <f>IF(Calculation!K304&gt;0,"Yes","No")</f>
        <v>Yes</v>
      </c>
      <c r="AJ301" s="869">
        <v>7987.0000000151267</v>
      </c>
      <c r="AK301" s="870">
        <v>8532.8000000179327</v>
      </c>
      <c r="AL301" s="870">
        <v>9577.4000000205451</v>
      </c>
      <c r="AN301" s="372">
        <v>8845.200000018709</v>
      </c>
      <c r="AO301" s="894">
        <v>11834.800000027311</v>
      </c>
      <c r="AP301" s="894">
        <v>9091.5000000194977</v>
      </c>
      <c r="AQ301" s="894"/>
      <c r="AR301" s="894"/>
      <c r="AS301" s="894"/>
      <c r="AT301" s="894"/>
      <c r="AU301" s="427"/>
      <c r="AV301" s="410"/>
      <c r="AW301" s="442"/>
      <c r="AX301" s="441"/>
      <c r="AY301" s="441"/>
      <c r="AZ301" s="443"/>
      <c r="BB301" s="433"/>
      <c r="BC301" s="432"/>
      <c r="BD301" s="433"/>
      <c r="BE301" s="432"/>
      <c r="BF301" s="433"/>
      <c r="BG301" s="432"/>
      <c r="BH301" s="429"/>
    </row>
    <row r="302" spans="1:60" ht="13.8" thickBot="1" x14ac:dyDescent="0.3">
      <c r="A302" s="406">
        <v>43029</v>
      </c>
      <c r="B302" s="860">
        <f t="shared" si="114"/>
        <v>94.691869999999994</v>
      </c>
      <c r="C302" s="860">
        <f>Calculation!AK305</f>
        <v>0</v>
      </c>
      <c r="D302" s="860">
        <f>Calculation!AI305</f>
        <v>55.45933548299729</v>
      </c>
      <c r="E302" s="860">
        <f>Calculation!AE305</f>
        <v>43.486169999999994</v>
      </c>
      <c r="F302" s="860">
        <f>Calculation!AF305</f>
        <v>51.2057</v>
      </c>
      <c r="G302" s="860">
        <f>Calculation!AG305</f>
        <v>0</v>
      </c>
      <c r="H302" s="861">
        <f>Sheet1!H303</f>
        <v>10.54</v>
      </c>
      <c r="I302" s="841">
        <f>Sheet1!DA303</f>
        <v>3360</v>
      </c>
      <c r="J302" s="841">
        <f>Sheet1!DB303</f>
        <v>2600</v>
      </c>
      <c r="K302" s="841">
        <f>Sheet1!CZ303</f>
        <v>2580</v>
      </c>
      <c r="L302" s="865">
        <f>Calculation!F305</f>
        <v>250</v>
      </c>
      <c r="M302" s="865">
        <f>Calculation!E305</f>
        <v>250</v>
      </c>
      <c r="N302" s="865">
        <f>Calculation!D305</f>
        <v>300</v>
      </c>
      <c r="O302" s="888">
        <f>Sheet1!DC303</f>
        <v>1103.5</v>
      </c>
      <c r="P302" s="889">
        <f>Calculation!FD305</f>
        <v>1101.103703703659</v>
      </c>
      <c r="Q302" s="895">
        <f>Calculation!DP305</f>
        <v>6069.0000000126465</v>
      </c>
      <c r="R302" s="888">
        <f t="shared" si="115"/>
        <v>5450.0000000126465</v>
      </c>
      <c r="S302" s="890">
        <f t="shared" si="116"/>
        <v>-1432.0000000027694</v>
      </c>
      <c r="T302" s="895">
        <f ca="1">IF(A302&gt;($A$1-1),#N/A,VLOOKUP(A302,Calculation!$B$8:$JO$503,40,FALSE))</f>
        <v>339.35784910418755</v>
      </c>
      <c r="U302" s="890">
        <f t="shared" si="117"/>
        <v>55.45933548299729</v>
      </c>
      <c r="V302" s="890">
        <f>Calculation!AZ305</f>
        <v>0</v>
      </c>
      <c r="W302" s="895">
        <f t="shared" ca="1" si="128"/>
        <v>0</v>
      </c>
      <c r="X302" s="890">
        <v>0</v>
      </c>
      <c r="Y302" s="890">
        <f t="shared" ca="1" si="129"/>
        <v>0</v>
      </c>
      <c r="Z302" s="890">
        <f t="shared" ca="1" si="118"/>
        <v>0</v>
      </c>
      <c r="AA302" s="890">
        <f t="shared" ca="1" si="119"/>
        <v>0</v>
      </c>
      <c r="AB302" s="895">
        <f t="shared" ca="1" si="130"/>
        <v>5729.6421509084594</v>
      </c>
      <c r="AC302" s="980">
        <f t="shared" ca="1" si="131"/>
        <v>5110.6421509084594</v>
      </c>
      <c r="AD302" s="860">
        <f ca="1">IF(A302&gt;$A$1,VLOOKUP(A302,Calculation!$B$8:$JO$880,165,FALSE),VLOOKUP(A302,Calculation!$B$8:$JO$880,165,FALSE))</f>
        <v>5006</v>
      </c>
      <c r="AE302" s="399">
        <f t="shared" ca="1" si="120"/>
        <v>-210</v>
      </c>
      <c r="AF302" s="399">
        <f t="shared" ca="1" si="121"/>
        <v>5625</v>
      </c>
      <c r="AG302" s="841">
        <f>Calculation!G305</f>
        <v>1857.861825515497</v>
      </c>
      <c r="AH302" s="847" t="str">
        <f t="shared" si="127"/>
        <v>Yes</v>
      </c>
      <c r="AI302" s="847" t="str">
        <f>IF(Calculation!K305&gt;0,"Yes","No")</f>
        <v>Yes</v>
      </c>
      <c r="AJ302" s="869">
        <v>7445.4700000138282</v>
      </c>
      <c r="AK302" s="870">
        <v>8499.8000000178581</v>
      </c>
      <c r="AL302" s="870">
        <v>9155.500000019576</v>
      </c>
      <c r="AN302" s="372">
        <v>8087.000000016953</v>
      </c>
      <c r="AO302" s="894">
        <v>11231.200000025498</v>
      </c>
      <c r="AP302" s="894">
        <v>9548.2000000210319</v>
      </c>
      <c r="AQ302" s="894"/>
      <c r="AR302" s="894"/>
      <c r="AS302" s="894"/>
      <c r="AT302" s="894"/>
      <c r="AU302" s="427"/>
      <c r="AV302" s="410"/>
      <c r="AW302" s="442"/>
      <c r="AX302" s="441"/>
      <c r="AY302" s="441"/>
      <c r="AZ302" s="443"/>
      <c r="BB302" s="433"/>
      <c r="BC302" s="432"/>
      <c r="BD302" s="433"/>
      <c r="BE302" s="432"/>
      <c r="BF302" s="433"/>
      <c r="BG302" s="432"/>
      <c r="BH302" s="429"/>
    </row>
    <row r="303" spans="1:60" ht="13.8" thickBot="1" x14ac:dyDescent="0.3">
      <c r="A303" s="406">
        <v>43030</v>
      </c>
      <c r="B303" s="860">
        <f t="shared" si="114"/>
        <v>89.834289999999996</v>
      </c>
      <c r="C303" s="860">
        <f>Calculation!AK306</f>
        <v>0</v>
      </c>
      <c r="D303" s="860">
        <f>Calculation!AI306</f>
        <v>49.926168698539165</v>
      </c>
      <c r="E303" s="860">
        <f>Calculation!AE306</f>
        <v>43.315999999999995</v>
      </c>
      <c r="F303" s="860">
        <f>Calculation!AF306</f>
        <v>46.51829</v>
      </c>
      <c r="G303" s="860">
        <f>Calculation!AG306</f>
        <v>45.574619999998646</v>
      </c>
      <c r="H303" s="861">
        <f>Sheet1!H304</f>
        <v>113.4</v>
      </c>
      <c r="I303" s="841">
        <f>Sheet1!DA304</f>
        <v>5430</v>
      </c>
      <c r="J303" s="841">
        <f>Sheet1!DB304</f>
        <v>3970</v>
      </c>
      <c r="K303" s="841">
        <f>Sheet1!CZ304</f>
        <v>4730</v>
      </c>
      <c r="L303" s="865">
        <f>Calculation!F306</f>
        <v>250</v>
      </c>
      <c r="M303" s="865">
        <f>Calculation!E306</f>
        <v>250</v>
      </c>
      <c r="N303" s="865">
        <f>Calculation!D306</f>
        <v>300</v>
      </c>
      <c r="O303" s="888">
        <f>Sheet1!DC304</f>
        <v>1128.48</v>
      </c>
      <c r="P303" s="889">
        <f>Calculation!FD306</f>
        <v>1100.29615384611</v>
      </c>
      <c r="Q303" s="895">
        <f>Calculation!DP306</f>
        <v>15943.800000038962</v>
      </c>
      <c r="R303" s="888">
        <f t="shared" si="115"/>
        <v>15324.800000038962</v>
      </c>
      <c r="S303" s="890">
        <f t="shared" si="116"/>
        <v>9874.8000000263164</v>
      </c>
      <c r="T303" s="895">
        <f ca="1">IF(A303&gt;($A$1-1),#N/A,VLOOKUP(A303,Calculation!$B$8:$JO$503,40,FALSE))</f>
        <v>240.34460697935361</v>
      </c>
      <c r="U303" s="890">
        <f t="shared" si="117"/>
        <v>49.926168698539165</v>
      </c>
      <c r="V303" s="890">
        <f>Calculation!AZ306</f>
        <v>0</v>
      </c>
      <c r="W303" s="895">
        <f t="shared" ca="1" si="128"/>
        <v>0</v>
      </c>
      <c r="X303" s="890">
        <v>0</v>
      </c>
      <c r="Y303" s="890">
        <f t="shared" ca="1" si="129"/>
        <v>0</v>
      </c>
      <c r="Z303" s="890">
        <f t="shared" ca="1" si="118"/>
        <v>0</v>
      </c>
      <c r="AA303" s="890">
        <f t="shared" ca="1" si="119"/>
        <v>0</v>
      </c>
      <c r="AB303" s="895">
        <f t="shared" ca="1" si="130"/>
        <v>15703.455393059608</v>
      </c>
      <c r="AC303" s="980">
        <f t="shared" ca="1" si="131"/>
        <v>15084.455393059608</v>
      </c>
      <c r="AD303" s="860">
        <f ca="1">IF(A303&gt;$A$1,VLOOKUP(A303,Calculation!$B$8:$JO$880,165,FALSE),VLOOKUP(A303,Calculation!$B$8:$JO$880,165,FALSE))</f>
        <v>4796</v>
      </c>
      <c r="AE303" s="399">
        <f t="shared" ca="1" si="120"/>
        <v>-210</v>
      </c>
      <c r="AF303" s="399">
        <f t="shared" ca="1" si="121"/>
        <v>5415</v>
      </c>
      <c r="AG303" s="841">
        <f>Calculation!G306</f>
        <v>9709.7276853385338</v>
      </c>
      <c r="AH303" s="847" t="str">
        <f t="shared" si="127"/>
        <v>Yes</v>
      </c>
      <c r="AI303" s="847" t="str">
        <f>IF(Calculation!K306&gt;0,"Yes","No")</f>
        <v>Yes</v>
      </c>
      <c r="AJ303" s="869">
        <v>7705.000000014461</v>
      </c>
      <c r="AK303" s="870">
        <v>8190.4000000170254</v>
      </c>
      <c r="AL303" s="870">
        <v>8783.0000000192595</v>
      </c>
      <c r="AN303" s="372">
        <v>7927.0000000168075</v>
      </c>
      <c r="AO303" s="894">
        <v>10659.000000023829</v>
      </c>
      <c r="AP303" s="894">
        <v>8045.1000000174827</v>
      </c>
      <c r="AQ303" s="894"/>
      <c r="AR303" s="894"/>
      <c r="AS303" s="894"/>
      <c r="AT303" s="894"/>
      <c r="AU303" s="427"/>
      <c r="AV303" s="410"/>
      <c r="AW303" s="442"/>
      <c r="AX303" s="441"/>
      <c r="AY303" s="441"/>
      <c r="AZ303" s="443"/>
      <c r="BB303" s="433"/>
      <c r="BC303" s="432"/>
      <c r="BD303" s="433"/>
      <c r="BE303" s="432"/>
      <c r="BF303" s="433"/>
      <c r="BG303" s="432"/>
      <c r="BH303" s="429"/>
    </row>
    <row r="304" spans="1:60" ht="13.8" thickBot="1" x14ac:dyDescent="0.3">
      <c r="A304" s="406">
        <v>43031</v>
      </c>
      <c r="B304" s="860">
        <f t="shared" ref="B304:B361" si="132">E304+F304</f>
        <v>85.100470000000001</v>
      </c>
      <c r="C304" s="860">
        <f>Calculation!AK307</f>
        <v>0</v>
      </c>
      <c r="D304" s="860">
        <f>Calculation!AI307</f>
        <v>45.628793542435425</v>
      </c>
      <c r="E304" s="860">
        <f>Calculation!AE307</f>
        <v>43.315999999999995</v>
      </c>
      <c r="F304" s="860">
        <f>Calculation!AF307</f>
        <v>41.784469999999999</v>
      </c>
      <c r="G304" s="860">
        <f>Calculation!AG307</f>
        <v>70.249269999999768</v>
      </c>
      <c r="H304" s="861">
        <f>Sheet1!H305</f>
        <v>74.7</v>
      </c>
      <c r="I304" s="841">
        <f>Sheet1!DA305</f>
        <v>5058</v>
      </c>
      <c r="J304" s="841">
        <f>Sheet1!DB305</f>
        <v>4340</v>
      </c>
      <c r="K304" s="841">
        <f>Sheet1!CZ305</f>
        <v>4330</v>
      </c>
      <c r="L304" s="865">
        <f>Calculation!F307</f>
        <v>250</v>
      </c>
      <c r="M304" s="865">
        <f>Calculation!E307</f>
        <v>250</v>
      </c>
      <c r="N304" s="865">
        <f>Calculation!D307</f>
        <v>300</v>
      </c>
      <c r="O304" s="888">
        <f>Sheet1!DC305</f>
        <v>1124.5999999999999</v>
      </c>
      <c r="P304" s="889">
        <f>Calculation!FD307</f>
        <v>1099.4759999999569</v>
      </c>
      <c r="Q304" s="895">
        <f>Calculation!DP307</f>
        <v>13875.000000032969</v>
      </c>
      <c r="R304" s="888">
        <f t="shared" si="105"/>
        <v>13256.000000032969</v>
      </c>
      <c r="S304" s="890">
        <f t="shared" ref="S304:S361" si="133">R304-R303</f>
        <v>-2068.8000000059928</v>
      </c>
      <c r="T304" s="895">
        <f ca="1">IF(A304&gt;($A$1-1),#N/A,VLOOKUP(A304,Calculation!$B$8:$JO$503,40,FALSE))</f>
        <v>149.85389037418756</v>
      </c>
      <c r="U304" s="890">
        <f t="shared" ref="U304:U361" si="134">D304</f>
        <v>45.628793542435425</v>
      </c>
      <c r="V304" s="890">
        <f>Calculation!AZ307</f>
        <v>0</v>
      </c>
      <c r="W304" s="895">
        <f t="shared" ca="1" si="128"/>
        <v>0</v>
      </c>
      <c r="X304" s="890">
        <v>0</v>
      </c>
      <c r="Y304" s="890">
        <f t="shared" ca="1" si="129"/>
        <v>0</v>
      </c>
      <c r="Z304" s="890">
        <f t="shared" ca="1" si="113"/>
        <v>0</v>
      </c>
      <c r="AA304" s="890">
        <f t="shared" ref="AA304:AA367" ca="1" si="135">IF(AB304&gt;=24257,Q304-T304-W304-24257,0)</f>
        <v>0</v>
      </c>
      <c r="AB304" s="895">
        <f t="shared" ca="1" si="130"/>
        <v>13725.146109658781</v>
      </c>
      <c r="AC304" s="980">
        <f t="shared" ca="1" si="131"/>
        <v>13106.146109658781</v>
      </c>
      <c r="AD304" s="860">
        <f ca="1">IF(A304&gt;$A$1,VLOOKUP(A304,Calculation!$B$8:$JO$880,165,FALSE),VLOOKUP(A304,Calculation!$B$8:$JO$880,165,FALSE))</f>
        <v>4587</v>
      </c>
      <c r="AE304" s="399">
        <f t="shared" ref="AE304:AE361" ca="1" si="136">AD304-AD303</f>
        <v>-209</v>
      </c>
      <c r="AF304" s="399">
        <f t="shared" ca="1" si="104"/>
        <v>5206</v>
      </c>
      <c r="AG304" s="841">
        <f>Calculation!G307</f>
        <v>3286.7322239001551</v>
      </c>
      <c r="AH304" s="847" t="str">
        <f t="shared" ref="AH304:AH361" si="137">IF(I304&gt;L304,"Yes","No")</f>
        <v>Yes</v>
      </c>
      <c r="AI304" s="847" t="str">
        <f>IF(Calculation!K307&gt;0,"Yes","No")</f>
        <v>Yes</v>
      </c>
      <c r="AJ304" s="869">
        <v>8885.0000000167747</v>
      </c>
      <c r="AK304" s="870">
        <v>7707.0000000165892</v>
      </c>
      <c r="AL304" s="870">
        <v>8413.0000000183209</v>
      </c>
      <c r="AN304" s="372">
        <v>8370.1000000177828</v>
      </c>
      <c r="AO304" s="894">
        <v>10074.600000022119</v>
      </c>
      <c r="AP304" s="894">
        <v>6603.0000000141108</v>
      </c>
      <c r="AQ304" s="894"/>
      <c r="AR304" s="894"/>
      <c r="AS304" s="894"/>
      <c r="AT304" s="894"/>
      <c r="AU304" s="427"/>
      <c r="AV304" s="410"/>
      <c r="AW304" s="442"/>
      <c r="AX304" s="441"/>
      <c r="AY304" s="441"/>
      <c r="AZ304" s="443"/>
      <c r="BB304" s="433"/>
      <c r="BC304" s="432"/>
      <c r="BD304" s="433"/>
      <c r="BE304" s="432"/>
      <c r="BF304" s="433"/>
      <c r="BG304" s="432"/>
      <c r="BH304" s="429"/>
    </row>
    <row r="305" spans="1:60" ht="13.8" thickBot="1" x14ac:dyDescent="0.3">
      <c r="A305" s="406">
        <v>43032</v>
      </c>
      <c r="B305" s="860">
        <f t="shared" si="132"/>
        <v>85.084999999999994</v>
      </c>
      <c r="C305" s="860">
        <f>Calculation!AK308</f>
        <v>0</v>
      </c>
      <c r="D305" s="860">
        <f>Calculation!AI308</f>
        <v>45.223852328159644</v>
      </c>
      <c r="E305" s="860">
        <f>Calculation!AE308</f>
        <v>43.470700000000001</v>
      </c>
      <c r="F305" s="860">
        <f>Calculation!AF308</f>
        <v>41.614299999999993</v>
      </c>
      <c r="G305" s="860">
        <f>Calculation!AG308</f>
        <v>54.330639999998425</v>
      </c>
      <c r="H305" s="861">
        <f>Sheet1!H306</f>
        <v>60.7</v>
      </c>
      <c r="I305" s="841">
        <f>Sheet1!DA306</f>
        <v>2810</v>
      </c>
      <c r="J305" s="841">
        <f>Sheet1!DB306</f>
        <v>2430</v>
      </c>
      <c r="K305" s="841">
        <f>Sheet1!CZ306</f>
        <v>3420</v>
      </c>
      <c r="L305" s="865">
        <f>Calculation!F308</f>
        <v>250</v>
      </c>
      <c r="M305" s="865">
        <f>Calculation!E308</f>
        <v>250</v>
      </c>
      <c r="N305" s="865">
        <f>Calculation!D308</f>
        <v>300</v>
      </c>
      <c r="O305" s="888">
        <f>Sheet1!DC306</f>
        <v>1115.82</v>
      </c>
      <c r="P305" s="889">
        <f>Calculation!FD308</f>
        <v>1098.6374999999575</v>
      </c>
      <c r="Q305" s="895">
        <f>Calculation!DP308</f>
        <v>10017.600000022032</v>
      </c>
      <c r="R305" s="888">
        <f t="shared" si="105"/>
        <v>9398.600000022032</v>
      </c>
      <c r="S305" s="890">
        <f t="shared" si="133"/>
        <v>-3857.4000000109372</v>
      </c>
      <c r="T305" s="895">
        <f ca="1">IF(A305&gt;($A$1-1),#N/A,VLOOKUP(A305,Calculation!$B$8:$JO$503,40,FALSE))</f>
        <v>60.16625046287934</v>
      </c>
      <c r="U305" s="890">
        <f t="shared" si="134"/>
        <v>45.223852328159644</v>
      </c>
      <c r="V305" s="890">
        <f>Calculation!AZ308</f>
        <v>0</v>
      </c>
      <c r="W305" s="895">
        <f t="shared" ca="1" si="128"/>
        <v>0</v>
      </c>
      <c r="X305" s="890">
        <v>0</v>
      </c>
      <c r="Y305" s="890">
        <f t="shared" ca="1" si="129"/>
        <v>0</v>
      </c>
      <c r="Z305" s="890">
        <f t="shared" ca="1" si="113"/>
        <v>0</v>
      </c>
      <c r="AA305" s="890">
        <f t="shared" ca="1" si="135"/>
        <v>0</v>
      </c>
      <c r="AB305" s="895">
        <f t="shared" ca="1" si="130"/>
        <v>9957.4337495591535</v>
      </c>
      <c r="AC305" s="980">
        <f t="shared" ca="1" si="131"/>
        <v>9338.4337495591535</v>
      </c>
      <c r="AD305" s="860">
        <f ca="1">IF(A305&gt;$A$1,VLOOKUP(A305,Calculation!$B$8:$JO$880,165,FALSE),VLOOKUP(A305,Calculation!$B$8:$JO$880,165,FALSE))</f>
        <v>4377</v>
      </c>
      <c r="AE305" s="399">
        <f t="shared" ca="1" si="136"/>
        <v>-210</v>
      </c>
      <c r="AF305" s="399">
        <f t="shared" ca="1" si="104"/>
        <v>4996</v>
      </c>
      <c r="AG305" s="841">
        <f>Calculation!G308</f>
        <v>1474.7655068023516</v>
      </c>
      <c r="AH305" s="847" t="str">
        <f t="shared" si="137"/>
        <v>Yes</v>
      </c>
      <c r="AI305" s="847" t="str">
        <f>IF(Calculation!K308&gt;0,"Yes","No")</f>
        <v>Yes</v>
      </c>
      <c r="AJ305" s="869">
        <v>8755.0000000167001</v>
      </c>
      <c r="AK305" s="870">
        <v>7177.0000000150749</v>
      </c>
      <c r="AL305" s="870">
        <v>8055.000000016953</v>
      </c>
      <c r="AN305" s="372">
        <v>8216.0000000176333</v>
      </c>
      <c r="AO305" s="894">
        <v>9493.600000020464</v>
      </c>
      <c r="AP305" s="894">
        <v>5732.2000000123398</v>
      </c>
      <c r="AQ305" s="894"/>
      <c r="AR305" s="894"/>
      <c r="AS305" s="894"/>
      <c r="AT305" s="894"/>
      <c r="AU305" s="427"/>
      <c r="AV305" s="410"/>
      <c r="AW305" s="442"/>
      <c r="AX305" s="441"/>
      <c r="AY305" s="441"/>
      <c r="AZ305" s="443"/>
      <c r="BB305" s="433"/>
      <c r="BC305" s="432"/>
      <c r="BD305" s="433"/>
      <c r="BE305" s="432"/>
      <c r="BF305" s="433"/>
      <c r="BG305" s="432"/>
      <c r="BH305" s="429"/>
    </row>
    <row r="306" spans="1:60" ht="13.8" thickBot="1" x14ac:dyDescent="0.3">
      <c r="A306" s="406">
        <v>43033</v>
      </c>
      <c r="B306" s="860">
        <f t="shared" si="132"/>
        <v>85.239699999999999</v>
      </c>
      <c r="C306" s="860">
        <f>Calculation!AK309</f>
        <v>0</v>
      </c>
      <c r="D306" s="860">
        <f>Calculation!AI309</f>
        <v>45.262565384615371</v>
      </c>
      <c r="E306" s="860">
        <f>Calculation!AE309</f>
        <v>43.470700000000001</v>
      </c>
      <c r="F306" s="860">
        <f>Calculation!AF309</f>
        <v>41.768999999999998</v>
      </c>
      <c r="G306" s="860">
        <f>Calculation!AG309</f>
        <v>35.642880000001348</v>
      </c>
      <c r="H306" s="861">
        <f>Sheet1!H307</f>
        <v>42</v>
      </c>
      <c r="I306" s="841">
        <f>Sheet1!DA307</f>
        <v>3530</v>
      </c>
      <c r="J306" s="841">
        <f>Sheet1!DB307</f>
        <v>2910</v>
      </c>
      <c r="K306" s="841">
        <f>Sheet1!CZ307</f>
        <v>2340</v>
      </c>
      <c r="L306" s="865">
        <f>Calculation!F309</f>
        <v>250</v>
      </c>
      <c r="M306" s="865">
        <f>Calculation!E309</f>
        <v>250</v>
      </c>
      <c r="N306" s="865">
        <f>Calculation!D309</f>
        <v>300</v>
      </c>
      <c r="O306" s="888">
        <f>Sheet1!DC307</f>
        <v>1107.22</v>
      </c>
      <c r="P306" s="889">
        <f>Calculation!FD309</f>
        <v>1097.7916666666251</v>
      </c>
      <c r="Q306" s="895">
        <f>Calculation!DP309</f>
        <v>7135.0000000150749</v>
      </c>
      <c r="R306" s="888">
        <f t="shared" si="105"/>
        <v>6516.0000000150749</v>
      </c>
      <c r="S306" s="890">
        <f t="shared" si="133"/>
        <v>-2882.6000000069571</v>
      </c>
      <c r="T306" s="895">
        <f ca="1">IF(A306&gt;($A$1-1),#N/A,VLOOKUP(A306,Calculation!$B$8:$JO$503,40,FALSE))</f>
        <v>-29.598164921735997</v>
      </c>
      <c r="U306" s="890">
        <f t="shared" si="134"/>
        <v>45.262565384615371</v>
      </c>
      <c r="V306" s="890">
        <f>Calculation!AZ309</f>
        <v>0</v>
      </c>
      <c r="W306" s="895">
        <f t="shared" ca="1" si="128"/>
        <v>0</v>
      </c>
      <c r="X306" s="890">
        <v>0</v>
      </c>
      <c r="Y306" s="890">
        <f t="shared" ca="1" si="129"/>
        <v>0</v>
      </c>
      <c r="Z306" s="890">
        <f t="shared" ca="1" si="113"/>
        <v>0</v>
      </c>
      <c r="AA306" s="890">
        <f t="shared" ca="1" si="135"/>
        <v>0</v>
      </c>
      <c r="AB306" s="895">
        <f t="shared" ca="1" si="130"/>
        <v>7164.5981649368105</v>
      </c>
      <c r="AC306" s="980">
        <f t="shared" ca="1" si="131"/>
        <v>6545.5981649368105</v>
      </c>
      <c r="AD306" s="860">
        <f ca="1">IF(A306&gt;$A$1,VLOOKUP(A306,Calculation!$B$8:$JO$880,165,FALSE),VLOOKUP(A306,Calculation!$B$8:$JO$880,165,FALSE))</f>
        <v>4167</v>
      </c>
      <c r="AE306" s="399">
        <f t="shared" ca="1" si="136"/>
        <v>-210</v>
      </c>
      <c r="AF306" s="399">
        <f t="shared" ca="1" si="104"/>
        <v>4786</v>
      </c>
      <c r="AG306" s="841">
        <f>Calculation!G309</f>
        <v>886.34392334495374</v>
      </c>
      <c r="AH306" s="847" t="str">
        <f t="shared" si="137"/>
        <v>Yes</v>
      </c>
      <c r="AI306" s="847" t="str">
        <f>IF(Calculation!K309&gt;0,"Yes","No")</f>
        <v>Yes</v>
      </c>
      <c r="AJ306" s="869">
        <v>8165.6400000152671</v>
      </c>
      <c r="AK306" s="870">
        <v>6657.200000013624</v>
      </c>
      <c r="AL306" s="870">
        <v>7707.0000000165892</v>
      </c>
      <c r="AN306" s="372">
        <v>7129.0000000150749</v>
      </c>
      <c r="AO306" s="894">
        <v>8944.5000000193377</v>
      </c>
      <c r="AP306" s="894">
        <v>4923.500000010743</v>
      </c>
      <c r="AQ306" s="894"/>
      <c r="AR306" s="894"/>
      <c r="AS306" s="894"/>
      <c r="AT306" s="894"/>
      <c r="AU306" s="427"/>
      <c r="AV306" s="410"/>
      <c r="AW306" s="442"/>
      <c r="AX306" s="441"/>
      <c r="AY306" s="441"/>
      <c r="AZ306" s="443"/>
      <c r="BB306" s="433"/>
      <c r="BC306" s="432"/>
      <c r="BD306" s="433"/>
      <c r="BE306" s="432"/>
      <c r="BF306" s="433"/>
      <c r="BG306" s="432"/>
      <c r="BH306" s="429"/>
    </row>
    <row r="307" spans="1:60" ht="13.8" thickBot="1" x14ac:dyDescent="0.3">
      <c r="A307" s="406">
        <v>43034</v>
      </c>
      <c r="B307" s="860">
        <f t="shared" si="132"/>
        <v>85.100470000000001</v>
      </c>
      <c r="C307" s="860">
        <f>Calculation!AK310</f>
        <v>0</v>
      </c>
      <c r="D307" s="860">
        <f>Calculation!AI310</f>
        <v>45.67766380125601</v>
      </c>
      <c r="E307" s="860">
        <f>Calculation!AE310</f>
        <v>43.315999999999995</v>
      </c>
      <c r="F307" s="860">
        <f>Calculation!AF310</f>
        <v>41.784469999999999</v>
      </c>
      <c r="G307" s="860">
        <f>Calculation!AG310</f>
        <v>35.318010000002701</v>
      </c>
      <c r="H307" s="861">
        <f>Sheet1!H308</f>
        <v>11.6</v>
      </c>
      <c r="I307" s="841">
        <f>Sheet1!DA308</f>
        <v>2520</v>
      </c>
      <c r="J307" s="841">
        <f>Sheet1!DB308</f>
        <v>1990</v>
      </c>
      <c r="K307" s="841">
        <f>Sheet1!CZ308</f>
        <v>1480</v>
      </c>
      <c r="L307" s="865">
        <f>Calculation!F310</f>
        <v>250</v>
      </c>
      <c r="M307" s="865">
        <f>Calculation!E310</f>
        <v>250</v>
      </c>
      <c r="N307" s="865">
        <f>Calculation!D310</f>
        <v>300</v>
      </c>
      <c r="O307" s="888">
        <f>Sheet1!DC308</f>
        <v>1101.9000000000001</v>
      </c>
      <c r="P307" s="889">
        <f>Calculation!FD310</f>
        <v>1096.9249999999593</v>
      </c>
      <c r="Q307" s="895">
        <f>Calculation!DP310</f>
        <v>5636.0000000118234</v>
      </c>
      <c r="R307" s="888">
        <f t="shared" si="105"/>
        <v>5017.0000000118234</v>
      </c>
      <c r="S307" s="890">
        <f t="shared" si="133"/>
        <v>-1499.0000000032514</v>
      </c>
      <c r="T307" s="895">
        <f ca="1">IF(A307&gt;($A$1-1),#N/A,VLOOKUP(A307,Calculation!$B$8:$JO$503,40,FALSE))</f>
        <v>-120.18580069565544</v>
      </c>
      <c r="U307" s="890">
        <f t="shared" si="134"/>
        <v>45.67766380125601</v>
      </c>
      <c r="V307" s="890">
        <f>Calculation!AZ310</f>
        <v>0</v>
      </c>
      <c r="W307" s="895">
        <f t="shared" ca="1" si="128"/>
        <v>0</v>
      </c>
      <c r="X307" s="890">
        <v>0</v>
      </c>
      <c r="Y307" s="890">
        <f t="shared" ca="1" si="129"/>
        <v>0</v>
      </c>
      <c r="Z307" s="890">
        <f t="shared" ca="1" si="113"/>
        <v>0</v>
      </c>
      <c r="AA307" s="890">
        <f t="shared" ca="1" si="135"/>
        <v>0</v>
      </c>
      <c r="AB307" s="895">
        <f t="shared" ca="1" si="130"/>
        <v>5756.1858007074788</v>
      </c>
      <c r="AC307" s="980">
        <f t="shared" ca="1" si="131"/>
        <v>5137.1858007074788</v>
      </c>
      <c r="AD307" s="860">
        <f ca="1">IF(A307&gt;$A$1,VLOOKUP(A307,Calculation!$B$8:$JO$880,165,FALSE),VLOOKUP(A307,Calculation!$B$8:$JO$880,165,FALSE))</f>
        <v>3958</v>
      </c>
      <c r="AE307" s="399">
        <f t="shared" ca="1" si="136"/>
        <v>-209</v>
      </c>
      <c r="AF307" s="399">
        <f t="shared" ca="1" si="104"/>
        <v>4577</v>
      </c>
      <c r="AG307" s="841">
        <f>Calculation!G310</f>
        <v>724.07463439069534</v>
      </c>
      <c r="AH307" s="847" t="str">
        <f t="shared" si="137"/>
        <v>Yes</v>
      </c>
      <c r="AI307" s="847" t="str">
        <f>IF(Calculation!K310&gt;0,"Yes","No")</f>
        <v>Yes</v>
      </c>
      <c r="AJ307" s="869">
        <v>7413.4600000137625</v>
      </c>
      <c r="AK307" s="870">
        <v>6121.2000000131784</v>
      </c>
      <c r="AL307" s="870">
        <v>7369.0000000157888</v>
      </c>
      <c r="AN307" s="372">
        <v>6394.6000000134336</v>
      </c>
      <c r="AO307" s="894">
        <v>8613.000000018008</v>
      </c>
      <c r="AP307" s="894">
        <v>4468.0000000098771</v>
      </c>
      <c r="AQ307" s="894"/>
      <c r="AR307" s="894"/>
      <c r="AS307" s="894"/>
      <c r="AT307" s="894"/>
      <c r="AU307" s="427"/>
      <c r="AV307" s="410"/>
      <c r="AW307" s="442"/>
      <c r="AX307" s="441"/>
      <c r="AY307" s="441"/>
      <c r="AZ307" s="443"/>
      <c r="BB307" s="433"/>
      <c r="BC307" s="432"/>
      <c r="BD307" s="433"/>
      <c r="BE307" s="432"/>
      <c r="BF307" s="433"/>
      <c r="BG307" s="432"/>
      <c r="BH307" s="429"/>
    </row>
    <row r="308" spans="1:60" ht="13.8" thickBot="1" x14ac:dyDescent="0.3">
      <c r="A308" s="406">
        <v>43035</v>
      </c>
      <c r="B308" s="860">
        <f t="shared" si="132"/>
        <v>88.488399999999999</v>
      </c>
      <c r="C308" s="860">
        <f>Calculation!AK311</f>
        <v>0</v>
      </c>
      <c r="D308" s="860">
        <f>Calculation!AI311</f>
        <v>49.02082739726027</v>
      </c>
      <c r="E308" s="860">
        <f>Calculation!AE311</f>
        <v>43.470700000000001</v>
      </c>
      <c r="F308" s="860">
        <f>Calculation!AF311</f>
        <v>45.017699999999998</v>
      </c>
      <c r="G308" s="860">
        <f>Calculation!AG311</f>
        <v>9.8389199999952712</v>
      </c>
      <c r="H308" s="861">
        <f>Sheet1!H309</f>
        <v>10.5</v>
      </c>
      <c r="I308" s="841">
        <f>Sheet1!DA309</f>
        <v>1750</v>
      </c>
      <c r="J308" s="841">
        <f>Sheet1!DB309</f>
        <v>1330</v>
      </c>
      <c r="K308" s="841">
        <f>Sheet1!CZ309</f>
        <v>1170</v>
      </c>
      <c r="L308" s="865">
        <f>Calculation!F311</f>
        <v>250</v>
      </c>
      <c r="M308" s="865">
        <f>Calculation!E311</f>
        <v>250</v>
      </c>
      <c r="N308" s="865">
        <f>Calculation!D311</f>
        <v>300</v>
      </c>
      <c r="O308" s="888">
        <f>Sheet1!DC309</f>
        <v>1098.8699999999999</v>
      </c>
      <c r="P308" s="889">
        <f>Calculation!FD311</f>
        <v>1096.0416666666265</v>
      </c>
      <c r="Q308" s="895">
        <f>Calculation!DP311</f>
        <v>4853.5000000106302</v>
      </c>
      <c r="R308" s="888">
        <f t="shared" si="105"/>
        <v>4234.5000000106302</v>
      </c>
      <c r="S308" s="890">
        <f t="shared" si="133"/>
        <v>-782.50000000119326</v>
      </c>
      <c r="T308" s="895">
        <f ca="1">IF(A308&gt;($A$1-1),#N/A,VLOOKUP(A308,Calculation!$B$8:$JO$503,40,FALSE))</f>
        <v>-217.4035760381212</v>
      </c>
      <c r="U308" s="890">
        <f t="shared" si="134"/>
        <v>49.02082739726027</v>
      </c>
      <c r="V308" s="890">
        <f>Calculation!AZ311</f>
        <v>0</v>
      </c>
      <c r="W308" s="895">
        <f t="shared" ca="1" si="128"/>
        <v>0</v>
      </c>
      <c r="X308" s="890">
        <v>0</v>
      </c>
      <c r="Y308" s="890">
        <f t="shared" ca="1" si="129"/>
        <v>0</v>
      </c>
      <c r="Z308" s="890">
        <f t="shared" ca="1" si="113"/>
        <v>0</v>
      </c>
      <c r="AA308" s="890">
        <f t="shared" ca="1" si="135"/>
        <v>0</v>
      </c>
      <c r="AB308" s="895">
        <f t="shared" ca="1" si="130"/>
        <v>5070.9035760487513</v>
      </c>
      <c r="AC308" s="980">
        <f t="shared" ca="1" si="131"/>
        <v>4451.9035760487513</v>
      </c>
      <c r="AD308" s="860">
        <f ca="1">IF(A308&gt;$A$1,VLOOKUP(A308,Calculation!$B$8:$JO$880,165,FALSE),VLOOKUP(A308,Calculation!$B$8:$JO$880,165,FALSE))</f>
        <v>3748</v>
      </c>
      <c r="AE308" s="399">
        <f t="shared" ca="1" si="136"/>
        <v>-210</v>
      </c>
      <c r="AF308" s="399">
        <f t="shared" ca="1" si="104"/>
        <v>4367</v>
      </c>
      <c r="AG308" s="841">
        <f>Calculation!G311</f>
        <v>775.39586485063387</v>
      </c>
      <c r="AH308" s="847" t="str">
        <f t="shared" si="137"/>
        <v>Yes</v>
      </c>
      <c r="AI308" s="847" t="str">
        <f>IF(Calculation!K311&gt;0,"Yes","No")</f>
        <v>Yes</v>
      </c>
      <c r="AJ308" s="869">
        <v>6611.9000000119149</v>
      </c>
      <c r="AK308" s="870">
        <v>5601.2000000117641</v>
      </c>
      <c r="AL308" s="870">
        <v>7040.0000000145064</v>
      </c>
      <c r="AN308" s="372">
        <v>5959.0000000125237</v>
      </c>
      <c r="AO308" s="894">
        <v>8239.1000000176336</v>
      </c>
      <c r="AP308" s="894">
        <v>4366.4000000094129</v>
      </c>
      <c r="AQ308" s="894"/>
      <c r="AR308" s="894"/>
      <c r="AS308" s="894"/>
      <c r="AT308" s="894"/>
      <c r="AU308" s="427"/>
      <c r="AV308" s="410"/>
      <c r="AW308" s="442"/>
      <c r="AX308" s="441"/>
      <c r="AY308" s="441"/>
      <c r="AZ308" s="443"/>
      <c r="BB308" s="433"/>
      <c r="BC308" s="432"/>
      <c r="BD308" s="433"/>
      <c r="BE308" s="432"/>
      <c r="BF308" s="433"/>
      <c r="BG308" s="432"/>
      <c r="BH308" s="429"/>
    </row>
    <row r="309" spans="1:60" ht="13.8" thickBot="1" x14ac:dyDescent="0.3">
      <c r="A309" s="406">
        <v>43036</v>
      </c>
      <c r="B309" s="860">
        <f t="shared" si="132"/>
        <v>94.36699999999999</v>
      </c>
      <c r="C309" s="860">
        <f>Calculation!AK312</f>
        <v>0</v>
      </c>
      <c r="D309" s="860">
        <f>Calculation!AI312</f>
        <v>54.210851710566146</v>
      </c>
      <c r="E309" s="860">
        <f>Calculation!AE312</f>
        <v>43.470700000000001</v>
      </c>
      <c r="F309" s="860">
        <f>Calculation!AF312</f>
        <v>50.896299999999997</v>
      </c>
      <c r="G309" s="860">
        <f>Calculation!AG312</f>
        <v>0</v>
      </c>
      <c r="H309" s="861">
        <f>Sheet1!H310</f>
        <v>6.42</v>
      </c>
      <c r="I309" s="841">
        <f>Sheet1!DA310</f>
        <v>1450</v>
      </c>
      <c r="J309" s="841">
        <f>Sheet1!DB310</f>
        <v>1150</v>
      </c>
      <c r="K309" s="841">
        <f>Sheet1!CZ310</f>
        <v>1150</v>
      </c>
      <c r="L309" s="865">
        <f>Calculation!F312</f>
        <v>250</v>
      </c>
      <c r="M309" s="865">
        <f>Calculation!E312</f>
        <v>250</v>
      </c>
      <c r="N309" s="865">
        <f>Calculation!D312</f>
        <v>300</v>
      </c>
      <c r="O309" s="888">
        <f>Sheet1!DC310</f>
        <v>1095.8</v>
      </c>
      <c r="P309" s="889">
        <f>Calculation!FD312</f>
        <v>1095.1434782608303</v>
      </c>
      <c r="Q309" s="895">
        <f>Calculation!DP312</f>
        <v>4111.0000000091513</v>
      </c>
      <c r="R309" s="888">
        <f t="shared" si="105"/>
        <v>3492.0000000091513</v>
      </c>
      <c r="S309" s="890">
        <f t="shared" si="133"/>
        <v>-742.50000000147884</v>
      </c>
      <c r="T309" s="895">
        <f ca="1">IF(A309&gt;($A$1-1),#N/A,VLOOKUP(A309,Calculation!$B$8:$JO$503,40,FALSE))</f>
        <v>-324.9141727078154</v>
      </c>
      <c r="U309" s="890">
        <f t="shared" si="134"/>
        <v>54.210851710566146</v>
      </c>
      <c r="V309" s="890">
        <f>Calculation!AZ312</f>
        <v>0</v>
      </c>
      <c r="W309" s="895">
        <f t="shared" ca="1" si="128"/>
        <v>0</v>
      </c>
      <c r="X309" s="890">
        <v>0</v>
      </c>
      <c r="Y309" s="890">
        <f t="shared" ca="1" si="129"/>
        <v>0</v>
      </c>
      <c r="Z309" s="890">
        <f t="shared" ca="1" si="113"/>
        <v>0</v>
      </c>
      <c r="AA309" s="890">
        <f t="shared" ca="1" si="135"/>
        <v>0</v>
      </c>
      <c r="AB309" s="895">
        <f t="shared" ca="1" si="130"/>
        <v>4435.9141727169663</v>
      </c>
      <c r="AC309" s="980">
        <f t="shared" ca="1" si="131"/>
        <v>3816.9141727169663</v>
      </c>
      <c r="AD309" s="860">
        <f ca="1">IF(A309&gt;$A$1,VLOOKUP(A309,Calculation!$B$8:$JO$880,165,FALSE),VLOOKUP(A309,Calculation!$B$8:$JO$880,165,FALSE))</f>
        <v>3538</v>
      </c>
      <c r="AE309" s="399">
        <f t="shared" ca="1" si="136"/>
        <v>-210</v>
      </c>
      <c r="AF309" s="399">
        <f t="shared" ca="1" si="104"/>
        <v>4157</v>
      </c>
      <c r="AG309" s="841">
        <f>Calculation!G312</f>
        <v>775.56732223828612</v>
      </c>
      <c r="AH309" s="847" t="str">
        <f t="shared" si="137"/>
        <v>Yes</v>
      </c>
      <c r="AI309" s="847" t="str">
        <f>IF(Calculation!K312&gt;0,"Yes","No")</f>
        <v>Yes</v>
      </c>
      <c r="AJ309" s="869">
        <v>5882.150000010306</v>
      </c>
      <c r="AK309" s="870">
        <v>5572.2000000122171</v>
      </c>
      <c r="AL309" s="870">
        <v>6674.5000000141772</v>
      </c>
      <c r="AN309" s="372">
        <v>4687.0000000105156</v>
      </c>
      <c r="AO309" s="894">
        <v>7779.300000016141</v>
      </c>
      <c r="AP309" s="894">
        <v>4018.0000000090995</v>
      </c>
      <c r="AQ309" s="894"/>
      <c r="AR309" s="894"/>
      <c r="AS309" s="894"/>
      <c r="AT309" s="894"/>
      <c r="AU309" s="427"/>
      <c r="AV309" s="410"/>
      <c r="AW309" s="442"/>
      <c r="AX309" s="441"/>
      <c r="AY309" s="441"/>
      <c r="AZ309" s="443"/>
      <c r="BB309" s="433"/>
      <c r="BC309" s="432"/>
      <c r="BD309" s="433"/>
      <c r="BE309" s="432"/>
      <c r="BF309" s="433"/>
      <c r="BG309" s="432"/>
      <c r="BH309" s="429"/>
    </row>
    <row r="310" spans="1:60" ht="13.8" thickBot="1" x14ac:dyDescent="0.3">
      <c r="A310" s="406">
        <v>43037</v>
      </c>
      <c r="B310" s="860">
        <f t="shared" si="132"/>
        <v>94.444349999999986</v>
      </c>
      <c r="C310" s="860">
        <f>Calculation!AK313</f>
        <v>0</v>
      </c>
      <c r="D310" s="860">
        <f>Calculation!AI313</f>
        <v>53.77556299638988</v>
      </c>
      <c r="E310" s="860">
        <f>Calculation!AE313</f>
        <v>43.393349999999998</v>
      </c>
      <c r="F310" s="860">
        <f>Calculation!AF313</f>
        <v>51.050999999999995</v>
      </c>
      <c r="G310" s="860">
        <f>Calculation!AG313</f>
        <v>0</v>
      </c>
      <c r="H310" s="861">
        <f>Sheet1!H311</f>
        <v>5.34</v>
      </c>
      <c r="I310" s="841">
        <f>Sheet1!DA311</f>
        <v>1390</v>
      </c>
      <c r="J310" s="841">
        <f>Sheet1!DB311</f>
        <v>1100</v>
      </c>
      <c r="K310" s="841">
        <f>Sheet1!CZ311</f>
        <v>1100</v>
      </c>
      <c r="L310" s="865">
        <f>Calculation!F313</f>
        <v>250</v>
      </c>
      <c r="M310" s="865">
        <f>Calculation!E313</f>
        <v>250</v>
      </c>
      <c r="N310" s="865">
        <f>Calculation!D313</f>
        <v>300</v>
      </c>
      <c r="O310" s="888">
        <f>Sheet1!DC311</f>
        <v>1091.8900000000001</v>
      </c>
      <c r="P310" s="889">
        <f>Calculation!FD313</f>
        <v>1094.2260869564834</v>
      </c>
      <c r="Q310" s="895">
        <f>Calculation!DP313</f>
        <v>3235.9000000076398</v>
      </c>
      <c r="R310" s="888">
        <f t="shared" si="105"/>
        <v>2616.9000000076398</v>
      </c>
      <c r="S310" s="890">
        <f t="shared" si="133"/>
        <v>-875.10000000151149</v>
      </c>
      <c r="T310" s="895">
        <f ca="1">IF(A310&gt;($A$1-1),#N/A,VLOOKUP(A310,Calculation!$B$8:$JO$503,40,FALSE))</f>
        <v>-431.56150772586591</v>
      </c>
      <c r="U310" s="890">
        <f t="shared" si="134"/>
        <v>53.77556299638988</v>
      </c>
      <c r="V310" s="890">
        <f>Calculation!AZ313</f>
        <v>0</v>
      </c>
      <c r="W310" s="895">
        <f t="shared" ca="1" si="128"/>
        <v>0</v>
      </c>
      <c r="X310" s="890">
        <v>0</v>
      </c>
      <c r="Y310" s="890">
        <f t="shared" ca="1" si="129"/>
        <v>0</v>
      </c>
      <c r="Z310" s="890">
        <f t="shared" ca="1" si="113"/>
        <v>0</v>
      </c>
      <c r="AA310" s="890">
        <f t="shared" ca="1" si="135"/>
        <v>0</v>
      </c>
      <c r="AB310" s="895">
        <f t="shared" ca="1" si="130"/>
        <v>3667.4615077335056</v>
      </c>
      <c r="AC310" s="980">
        <f t="shared" ca="1" si="131"/>
        <v>3048.4615077335056</v>
      </c>
      <c r="AD310" s="860">
        <f ca="1">IF(A310&gt;$A$1,VLOOKUP(A310,Calculation!$B$8:$JO$880,165,FALSE),VLOOKUP(A310,Calculation!$B$8:$JO$880,165,FALSE))</f>
        <v>3329</v>
      </c>
      <c r="AE310" s="399">
        <f t="shared" ca="1" si="136"/>
        <v>-209</v>
      </c>
      <c r="AF310" s="399">
        <f t="shared" ca="1" si="104"/>
        <v>3948</v>
      </c>
      <c r="AG310" s="841">
        <f>Calculation!G313</f>
        <v>658.698940997725</v>
      </c>
      <c r="AH310" s="847" t="str">
        <f t="shared" si="137"/>
        <v>Yes</v>
      </c>
      <c r="AI310" s="847" t="str">
        <f>IF(Calculation!K313&gt;0,"Yes","No")</f>
        <v>Yes</v>
      </c>
      <c r="AJ310" s="869">
        <v>5241.0400000089412</v>
      </c>
      <c r="AK310" s="870">
        <v>6703.5000000141772</v>
      </c>
      <c r="AL310" s="870">
        <v>6324.6000000133699</v>
      </c>
      <c r="AN310" s="372">
        <v>3497.0000000082036</v>
      </c>
      <c r="AO310" s="894">
        <v>7378.300000015789</v>
      </c>
      <c r="AP310" s="894">
        <v>3627.8000000083539</v>
      </c>
      <c r="AQ310" s="894"/>
      <c r="AR310" s="894"/>
      <c r="AS310" s="894"/>
      <c r="AT310" s="894"/>
      <c r="AU310" s="427"/>
      <c r="AV310" s="410"/>
      <c r="AW310" s="442"/>
      <c r="AX310" s="441"/>
      <c r="AY310" s="441"/>
      <c r="AZ310" s="443"/>
      <c r="BB310" s="433"/>
      <c r="BC310" s="432"/>
      <c r="BD310" s="433"/>
      <c r="BE310" s="432"/>
      <c r="BF310" s="433"/>
      <c r="BG310" s="432"/>
      <c r="BH310" s="429"/>
    </row>
    <row r="311" spans="1:60" ht="13.8" thickBot="1" x14ac:dyDescent="0.3">
      <c r="A311" s="406">
        <v>43038</v>
      </c>
      <c r="B311" s="860">
        <f t="shared" si="132"/>
        <v>94.459819999999993</v>
      </c>
      <c r="C311" s="860">
        <f>Calculation!AK314</f>
        <v>0</v>
      </c>
      <c r="D311" s="860">
        <f>Calculation!AI314</f>
        <v>53.767191547763005</v>
      </c>
      <c r="E311" s="860">
        <f>Calculation!AE314</f>
        <v>43.393349999999998</v>
      </c>
      <c r="F311" s="860">
        <f>Calculation!AF314</f>
        <v>51.066469999999995</v>
      </c>
      <c r="G311" s="860">
        <f>Calculation!AG314</f>
        <v>7.4874800000002244</v>
      </c>
      <c r="H311" s="861">
        <f>Sheet1!H312</f>
        <v>10.3</v>
      </c>
      <c r="I311" s="841">
        <f>Sheet1!DA312</f>
        <v>1320</v>
      </c>
      <c r="J311" s="841">
        <f>Sheet1!DB312</f>
        <v>1010</v>
      </c>
      <c r="K311" s="841">
        <f>Sheet1!CZ312</f>
        <v>931</v>
      </c>
      <c r="L311" s="865">
        <f>Calculation!F314</f>
        <v>250</v>
      </c>
      <c r="M311" s="865">
        <f>Calculation!E314</f>
        <v>250</v>
      </c>
      <c r="N311" s="865">
        <f>Calculation!D314</f>
        <v>300</v>
      </c>
      <c r="O311" s="888">
        <f>Sheet1!DC312</f>
        <v>1087.3499999999999</v>
      </c>
      <c r="P311" s="889">
        <f>Calculation!FD314</f>
        <v>1093.2826086956147</v>
      </c>
      <c r="Q311" s="895">
        <f>Calculation!DP314</f>
        <v>2349.5000000054501</v>
      </c>
      <c r="R311" s="888">
        <f t="shared" si="105"/>
        <v>1730.5000000054501</v>
      </c>
      <c r="S311" s="890">
        <f t="shared" si="133"/>
        <v>-886.4000000021897</v>
      </c>
      <c r="T311" s="895">
        <f ca="1">IF(A311&gt;($A$1-1),#N/A,VLOOKUP(A311,Calculation!$B$8:$JO$503,40,FALSE))</f>
        <v>-538.19224054327822</v>
      </c>
      <c r="U311" s="890">
        <f t="shared" si="134"/>
        <v>53.767191547763005</v>
      </c>
      <c r="V311" s="890">
        <f>Calculation!AZ314</f>
        <v>0</v>
      </c>
      <c r="W311" s="895">
        <f t="shared" ca="1" si="128"/>
        <v>0</v>
      </c>
      <c r="X311" s="890">
        <v>0</v>
      </c>
      <c r="Y311" s="890">
        <f t="shared" ca="1" si="129"/>
        <v>0</v>
      </c>
      <c r="Z311" s="890">
        <f t="shared" ca="1" si="113"/>
        <v>0</v>
      </c>
      <c r="AA311" s="890">
        <f t="shared" ca="1" si="135"/>
        <v>0</v>
      </c>
      <c r="AB311" s="895">
        <f t="shared" ca="1" si="130"/>
        <v>2887.6922405487285</v>
      </c>
      <c r="AC311" s="980">
        <f t="shared" ca="1" si="131"/>
        <v>2268.6922405487285</v>
      </c>
      <c r="AD311" s="860">
        <f ca="1">IF(A311&gt;$A$1,VLOOKUP(A311,Calculation!$B$8:$JO$880,165,FALSE),VLOOKUP(A311,Calculation!$B$8:$JO$880,165,FALSE))</f>
        <v>3119</v>
      </c>
      <c r="AE311" s="399">
        <f t="shared" ca="1" si="136"/>
        <v>-210</v>
      </c>
      <c r="AF311" s="399">
        <f t="shared" ca="1" si="104"/>
        <v>3738</v>
      </c>
      <c r="AG311" s="841">
        <f>Calculation!G314</f>
        <v>484.00050428533052</v>
      </c>
      <c r="AH311" s="847" t="str">
        <f t="shared" si="137"/>
        <v>Yes</v>
      </c>
      <c r="AI311" s="847" t="str">
        <f>IF(Calculation!K314&gt;0,"Yes","No")</f>
        <v>Yes</v>
      </c>
      <c r="AJ311" s="869">
        <v>4845.7500000080881</v>
      </c>
      <c r="AK311" s="870">
        <v>5770.000000012401</v>
      </c>
      <c r="AL311" s="870">
        <v>5956.2000000129874</v>
      </c>
      <c r="AN311" s="372">
        <v>2168.0000000052955</v>
      </c>
      <c r="AO311" s="894">
        <v>7028.4000000144406</v>
      </c>
      <c r="AP311" s="894">
        <v>3065.8000000074489</v>
      </c>
      <c r="AQ311" s="894"/>
      <c r="AR311" s="894"/>
      <c r="AS311" s="894"/>
      <c r="AT311" s="894"/>
      <c r="AU311" s="427"/>
      <c r="AV311" s="410"/>
      <c r="AW311" s="442"/>
      <c r="AX311" s="441"/>
      <c r="AY311" s="441"/>
      <c r="AZ311" s="443"/>
      <c r="BB311" s="433"/>
      <c r="BC311" s="432"/>
      <c r="BD311" s="433"/>
      <c r="BE311" s="432"/>
      <c r="BF311" s="433"/>
      <c r="BG311" s="432"/>
      <c r="BH311" s="429"/>
    </row>
    <row r="312" spans="1:60" ht="13.8" thickBot="1" x14ac:dyDescent="0.3">
      <c r="A312" s="406">
        <v>43039</v>
      </c>
      <c r="B312" s="860">
        <f t="shared" si="132"/>
        <v>95.4499</v>
      </c>
      <c r="C312" s="860">
        <f>Calculation!AK315</f>
        <v>0</v>
      </c>
      <c r="D312" s="860">
        <f>Calculation!AI315</f>
        <v>55.233765402843602</v>
      </c>
      <c r="E312" s="860">
        <f>Calculation!AE315</f>
        <v>43.470700000000001</v>
      </c>
      <c r="F312" s="860">
        <f>Calculation!AF315</f>
        <v>51.979199999999999</v>
      </c>
      <c r="G312" s="860">
        <f>Calculation!AG315</f>
        <v>16.088800000002252</v>
      </c>
      <c r="H312" s="861">
        <f>Sheet1!H313</f>
        <v>9.6999999999999993</v>
      </c>
      <c r="I312" s="841">
        <f>Sheet1!DA313</f>
        <v>1140</v>
      </c>
      <c r="J312" s="841">
        <f>Sheet1!DB313</f>
        <v>806</v>
      </c>
      <c r="K312" s="841">
        <f>Sheet1!CZ313</f>
        <v>762</v>
      </c>
      <c r="L312" s="865">
        <f>Calculation!F315</f>
        <v>250</v>
      </c>
      <c r="M312" s="865">
        <f>Calculation!E315</f>
        <v>250</v>
      </c>
      <c r="N312" s="865">
        <f>Calculation!D315</f>
        <v>300</v>
      </c>
      <c r="O312" s="888">
        <f>Sheet1!DC313</f>
        <v>1083.46</v>
      </c>
      <c r="P312" s="889">
        <f>Calculation!FD315</f>
        <v>1092.3238095237728</v>
      </c>
      <c r="Q312" s="895">
        <f>Calculation!DP315</f>
        <v>1710.6000000045838</v>
      </c>
      <c r="R312" s="888">
        <f t="shared" si="105"/>
        <v>1091.6000000045838</v>
      </c>
      <c r="S312" s="890">
        <f t="shared" si="133"/>
        <v>-638.90000000086638</v>
      </c>
      <c r="T312" s="895">
        <f ca="1">IF(A312&gt;($A$1-1),#N/A,VLOOKUP(A312,Calculation!$B$8:$JO$503,40,FALSE))</f>
        <v>-647.73147277076657</v>
      </c>
      <c r="U312" s="890">
        <f t="shared" si="134"/>
        <v>55.233765402843602</v>
      </c>
      <c r="V312" s="890">
        <f>Calculation!AZ315</f>
        <v>0</v>
      </c>
      <c r="W312" s="895">
        <f t="shared" ca="1" si="128"/>
        <v>0</v>
      </c>
      <c r="X312" s="890">
        <v>0</v>
      </c>
      <c r="Y312" s="890">
        <f t="shared" ca="1" si="129"/>
        <v>0</v>
      </c>
      <c r="Z312" s="890">
        <f t="shared" ca="1" si="113"/>
        <v>0</v>
      </c>
      <c r="AA312" s="890">
        <f t="shared" ca="1" si="135"/>
        <v>0</v>
      </c>
      <c r="AB312" s="895">
        <f t="shared" ca="1" si="130"/>
        <v>2358.3314727753504</v>
      </c>
      <c r="AC312" s="980">
        <f t="shared" ca="1" si="131"/>
        <v>1739.3314727753504</v>
      </c>
      <c r="AD312" s="860">
        <f ca="1">IF(A312&gt;$A$1,VLOOKUP(A312,Calculation!$B$8:$JO$880,165,FALSE),VLOOKUP(A312,Calculation!$B$8:$JO$880,165,FALSE))</f>
        <v>2909</v>
      </c>
      <c r="AE312" s="399">
        <f t="shared" ca="1" si="136"/>
        <v>-210</v>
      </c>
      <c r="AF312" s="399">
        <f t="shared" ca="1" si="104"/>
        <v>3528</v>
      </c>
      <c r="AG312" s="841">
        <f>Calculation!G315</f>
        <v>439.81139687298725</v>
      </c>
      <c r="AH312" s="847" t="str">
        <f t="shared" si="137"/>
        <v>Yes</v>
      </c>
      <c r="AI312" s="847" t="str">
        <f>IF(Calculation!K315&gt;0,"Yes","No")</f>
        <v>Yes</v>
      </c>
      <c r="AJ312" s="869">
        <v>5024.4000000085034</v>
      </c>
      <c r="AK312" s="870">
        <v>3324.0000000076875</v>
      </c>
      <c r="AL312" s="870">
        <v>5598.6000000117647</v>
      </c>
      <c r="AN312" s="372">
        <v>1640.0000000042292</v>
      </c>
      <c r="AO312" s="894">
        <v>12632.20000003056</v>
      </c>
      <c r="AP312" s="894">
        <v>2595.0000000063505</v>
      </c>
      <c r="AQ312" s="894"/>
      <c r="AR312" s="894"/>
      <c r="AS312" s="894"/>
      <c r="AT312" s="894"/>
      <c r="AU312" s="427"/>
      <c r="AV312" s="410"/>
      <c r="AW312" s="442"/>
      <c r="AX312" s="441"/>
      <c r="AY312" s="441"/>
      <c r="AZ312" s="443"/>
      <c r="BB312" s="433"/>
      <c r="BC312" s="432"/>
      <c r="BD312" s="433"/>
      <c r="BE312" s="432"/>
      <c r="BF312" s="433"/>
      <c r="BG312" s="432"/>
      <c r="BH312" s="429"/>
    </row>
    <row r="313" spans="1:60" ht="13.8" thickBot="1" x14ac:dyDescent="0.3">
      <c r="A313" s="406">
        <v>43040</v>
      </c>
      <c r="B313" s="860">
        <f t="shared" si="132"/>
        <v>97.460999999999999</v>
      </c>
      <c r="C313" s="860">
        <f>Calculation!AK316</f>
        <v>0</v>
      </c>
      <c r="D313" s="860">
        <f>Calculation!AI316</f>
        <v>57.565172039942937</v>
      </c>
      <c r="E313" s="860">
        <f>Calculation!AE316</f>
        <v>43.470700000000001</v>
      </c>
      <c r="F313" s="860">
        <f>Calculation!AF316</f>
        <v>53.990299999999998</v>
      </c>
      <c r="G313" s="860">
        <f>Calculation!AG316</f>
        <v>6.3272300000002248</v>
      </c>
      <c r="H313" s="861">
        <f>Sheet1!H314</f>
        <v>11.69</v>
      </c>
      <c r="I313" s="841">
        <f>Sheet1!DA314</f>
        <v>951</v>
      </c>
      <c r="J313" s="841">
        <f>Sheet1!DB314</f>
        <v>660</v>
      </c>
      <c r="K313" s="841">
        <f>Sheet1!CZ314</f>
        <v>735</v>
      </c>
      <c r="L313" s="865">
        <f>Calculation!F316</f>
        <v>250</v>
      </c>
      <c r="M313" s="865">
        <f>Calculation!E316</f>
        <v>250</v>
      </c>
      <c r="N313" s="865">
        <f>Calculation!D316</f>
        <v>300</v>
      </c>
      <c r="O313" s="888">
        <f>Sheet1!DC314</f>
        <v>1080.1300000000001</v>
      </c>
      <c r="P313" s="889">
        <f>Calculation!FD316</f>
        <v>1091.3333333332976</v>
      </c>
      <c r="Q313" s="895">
        <f>Calculation!DP316</f>
        <v>1233.9000000033402</v>
      </c>
      <c r="R313" s="888">
        <f t="shared" si="105"/>
        <v>614.90000000334021</v>
      </c>
      <c r="S313" s="890">
        <f t="shared" si="133"/>
        <v>-476.70000000124355</v>
      </c>
      <c r="T313" s="895">
        <f ca="1">IF(A313&gt;($A$1-1),#N/A,VLOOKUP(A313,Calculation!$B$8:$JO$503,40,FALSE))</f>
        <v>0</v>
      </c>
      <c r="U313" s="890">
        <f t="shared" si="134"/>
        <v>57.565172039942937</v>
      </c>
      <c r="V313" s="890">
        <f>Calculation!AZ316</f>
        <v>0</v>
      </c>
      <c r="W313" s="895">
        <f t="shared" ca="1" si="128"/>
        <v>0</v>
      </c>
      <c r="X313" s="890">
        <v>0</v>
      </c>
      <c r="Y313" s="890">
        <f t="shared" ca="1" si="129"/>
        <v>0</v>
      </c>
      <c r="Z313" s="890">
        <f t="shared" ca="1" si="113"/>
        <v>0</v>
      </c>
      <c r="AA313" s="890">
        <f t="shared" ca="1" si="135"/>
        <v>0</v>
      </c>
      <c r="AB313" s="895">
        <f t="shared" ca="1" si="130"/>
        <v>1233.9000000033402</v>
      </c>
      <c r="AC313" s="980">
        <f t="shared" ca="1" si="131"/>
        <v>614.90000000334021</v>
      </c>
      <c r="AD313" s="860">
        <f ca="1">IF(A313&gt;$A$1,VLOOKUP(A313,Calculation!$B$8:$JO$880,165,FALSE),VLOOKUP(A313,Calculation!$B$8:$JO$880,165,FALSE))</f>
        <v>2700</v>
      </c>
      <c r="AE313" s="399">
        <f t="shared" ca="1" si="136"/>
        <v>-209</v>
      </c>
      <c r="AF313" s="399">
        <f t="shared" ca="1" si="104"/>
        <v>3319</v>
      </c>
      <c r="AG313" s="841">
        <f>Calculation!G316</f>
        <v>494.60665658031087</v>
      </c>
      <c r="AH313" s="847" t="str">
        <f t="shared" si="137"/>
        <v>Yes</v>
      </c>
      <c r="AI313" s="847" t="str">
        <f>IF(Calculation!K316&gt;0,"Yes","No")</f>
        <v>Yes</v>
      </c>
      <c r="AJ313" s="869">
        <v>4764.8100000079912</v>
      </c>
      <c r="AK313" s="870">
        <v>2376.0000000058117</v>
      </c>
      <c r="AL313" s="870">
        <v>5063.0000000108575</v>
      </c>
      <c r="AN313" s="372">
        <v>1717.0000000042974</v>
      </c>
      <c r="AO313" s="894">
        <v>12235.200000028972</v>
      </c>
      <c r="AP313" s="894">
        <v>2294.2000000057296</v>
      </c>
      <c r="AQ313" s="894"/>
      <c r="AR313" s="894"/>
      <c r="AS313" s="894"/>
      <c r="AT313" s="894"/>
      <c r="AU313" s="427"/>
      <c r="AV313" s="410"/>
      <c r="AW313" s="442"/>
      <c r="AX313" s="441"/>
      <c r="AY313" s="441"/>
      <c r="AZ313" s="443"/>
      <c r="BB313" s="433"/>
      <c r="BC313" s="432"/>
      <c r="BD313" s="433"/>
      <c r="BE313" s="432"/>
      <c r="BF313" s="433"/>
      <c r="BG313" s="432"/>
      <c r="BH313" s="429"/>
    </row>
    <row r="314" spans="1:60" ht="13.8" thickBot="1" x14ac:dyDescent="0.3">
      <c r="A314" s="406">
        <v>43041</v>
      </c>
      <c r="B314" s="860">
        <f t="shared" si="132"/>
        <v>96.378100000000003</v>
      </c>
      <c r="C314" s="860">
        <f>Calculation!AK317</f>
        <v>0</v>
      </c>
      <c r="D314" s="860">
        <f>Calculation!AI317</f>
        <v>56.38851144859813</v>
      </c>
      <c r="E314" s="860">
        <f>Calculation!AE317</f>
        <v>43.470700000000001</v>
      </c>
      <c r="F314" s="860">
        <f>Calculation!AF317</f>
        <v>52.907400000000003</v>
      </c>
      <c r="G314" s="860">
        <f>Calculation!AG317</f>
        <v>4.7802300000002251</v>
      </c>
      <c r="H314" s="861">
        <f>Sheet1!H315</f>
        <v>24.61</v>
      </c>
      <c r="I314" s="841">
        <f>Sheet1!DA315</f>
        <v>958</v>
      </c>
      <c r="J314" s="841">
        <f>Sheet1!DB315</f>
        <v>607</v>
      </c>
      <c r="K314" s="841">
        <f>Sheet1!CZ315</f>
        <v>628</v>
      </c>
      <c r="L314" s="865">
        <f>Calculation!F317</f>
        <v>250</v>
      </c>
      <c r="M314" s="865">
        <f>Calculation!E317</f>
        <v>250</v>
      </c>
      <c r="N314" s="865">
        <f>Calculation!D317</f>
        <v>300</v>
      </c>
      <c r="O314" s="888">
        <f>Sheet1!DC315</f>
        <v>1077.6199999999999</v>
      </c>
      <c r="P314" s="889">
        <f>Calculation!FD317</f>
        <v>1090.3099999999652</v>
      </c>
      <c r="Q314" s="895">
        <f>Calculation!DP317</f>
        <v>916.40000000278303</v>
      </c>
      <c r="R314" s="888">
        <f t="shared" si="105"/>
        <v>297.40000000278303</v>
      </c>
      <c r="S314" s="890">
        <f t="shared" si="133"/>
        <v>-317.50000000055718</v>
      </c>
      <c r="T314" s="895">
        <f ca="1">IF(A314&gt;($A$1-1),#N/A,VLOOKUP(A314,Calculation!$B$8:$JO$503,40,FALSE))</f>
        <v>0</v>
      </c>
      <c r="U314" s="890">
        <f t="shared" si="134"/>
        <v>56.38851144859813</v>
      </c>
      <c r="V314" s="890">
        <f>Calculation!AZ317</f>
        <v>0</v>
      </c>
      <c r="W314" s="895">
        <f t="shared" ca="1" si="128"/>
        <v>0</v>
      </c>
      <c r="X314" s="890">
        <v>0</v>
      </c>
      <c r="Y314" s="890">
        <f t="shared" ca="1" si="129"/>
        <v>0</v>
      </c>
      <c r="Z314" s="890">
        <f t="shared" ca="1" si="113"/>
        <v>0</v>
      </c>
      <c r="AA314" s="890">
        <f t="shared" ca="1" si="135"/>
        <v>0</v>
      </c>
      <c r="AB314" s="895">
        <f t="shared" ca="1" si="130"/>
        <v>916.40000000278303</v>
      </c>
      <c r="AC314" s="980">
        <f t="shared" ca="1" si="131"/>
        <v>297.40000000278303</v>
      </c>
      <c r="AD314" s="860">
        <f ca="1">IF(A314&gt;$A$1,VLOOKUP(A314,Calculation!$B$8:$JO$880,165,FALSE),VLOOKUP(A314,Calculation!$B$8:$JO$880,165,FALSE))</f>
        <v>2610</v>
      </c>
      <c r="AE314" s="399">
        <f t="shared" ca="1" si="136"/>
        <v>-90</v>
      </c>
      <c r="AF314" s="399">
        <f t="shared" ca="1" si="104"/>
        <v>3229</v>
      </c>
      <c r="AG314" s="841">
        <f>Calculation!G317</f>
        <v>467.88905698408615</v>
      </c>
      <c r="AH314" s="847" t="str">
        <f t="shared" si="137"/>
        <v>Yes</v>
      </c>
      <c r="AI314" s="847" t="str">
        <f>IF(Calculation!K317&gt;0,"Yes","No")</f>
        <v>Yes</v>
      </c>
      <c r="AJ314" s="869">
        <v>4287.0500000071297</v>
      </c>
      <c r="AK314" s="870">
        <v>1496.0000000040927</v>
      </c>
      <c r="AL314" s="870">
        <v>4638.0000000104592</v>
      </c>
      <c r="AN314" s="372">
        <v>1444.000000003788</v>
      </c>
      <c r="AO314" s="894">
        <v>9131.000000019576</v>
      </c>
      <c r="AP314" s="894">
        <v>2195.200000005334</v>
      </c>
      <c r="AQ314" s="894"/>
      <c r="AR314" s="894"/>
      <c r="AS314" s="894"/>
      <c r="AT314" s="894"/>
      <c r="AU314" s="427"/>
      <c r="AV314" s="410"/>
      <c r="AW314" s="442"/>
      <c r="AX314" s="441"/>
      <c r="AY314" s="441"/>
      <c r="AZ314" s="443"/>
      <c r="BB314" s="433"/>
      <c r="BC314" s="432"/>
      <c r="BD314" s="433"/>
      <c r="BE314" s="432"/>
      <c r="BF314" s="433"/>
      <c r="BG314" s="432"/>
      <c r="BH314" s="429"/>
    </row>
    <row r="315" spans="1:60" ht="13.8" thickBot="1" x14ac:dyDescent="0.3">
      <c r="A315" s="406">
        <v>43042</v>
      </c>
      <c r="B315" s="860">
        <f t="shared" si="132"/>
        <v>94.831099999999992</v>
      </c>
      <c r="C315" s="860">
        <f>Calculation!AK318</f>
        <v>0</v>
      </c>
      <c r="D315" s="860">
        <f>Calculation!AI318</f>
        <v>55.867511659192814</v>
      </c>
      <c r="E315" s="860">
        <f>Calculation!AE318</f>
        <v>43.315999999999995</v>
      </c>
      <c r="F315" s="860">
        <f>Calculation!AF318</f>
        <v>51.515099999999997</v>
      </c>
      <c r="G315" s="860">
        <f>Calculation!AG318</f>
        <v>35.921340000001798</v>
      </c>
      <c r="H315" s="861">
        <f>Sheet1!H316</f>
        <v>13.6</v>
      </c>
      <c r="I315" s="841">
        <f>Sheet1!DA316</f>
        <v>743</v>
      </c>
      <c r="J315" s="841">
        <f>Sheet1!DB316</f>
        <v>361</v>
      </c>
      <c r="K315" s="841">
        <f>Sheet1!CZ316</f>
        <v>403</v>
      </c>
      <c r="L315" s="865">
        <f>Calculation!F318</f>
        <v>250</v>
      </c>
      <c r="M315" s="865">
        <f>Calculation!E318</f>
        <v>250</v>
      </c>
      <c r="N315" s="865">
        <f>Calculation!D318</f>
        <v>300</v>
      </c>
      <c r="O315" s="888">
        <f>Sheet1!DC316</f>
        <v>1077.76</v>
      </c>
      <c r="P315" s="889">
        <f>Calculation!FD318</f>
        <v>1089.2499999999661</v>
      </c>
      <c r="Q315" s="895">
        <f>Calculation!DP318</f>
        <v>932.60000000257617</v>
      </c>
      <c r="R315" s="888">
        <f t="shared" si="105"/>
        <v>313.60000000257617</v>
      </c>
      <c r="S315" s="890">
        <f t="shared" si="133"/>
        <v>16.199999999793135</v>
      </c>
      <c r="T315" s="895">
        <f ca="1">IF(A315&gt;($A$1-1),#N/A,VLOOKUP(A315,Calculation!$B$8:$JO$503,40,FALSE))</f>
        <v>0</v>
      </c>
      <c r="U315" s="890">
        <f t="shared" si="134"/>
        <v>55.867511659192814</v>
      </c>
      <c r="V315" s="890">
        <f>Calculation!AZ318</f>
        <v>0</v>
      </c>
      <c r="W315" s="895">
        <f t="shared" ca="1" si="128"/>
        <v>0</v>
      </c>
      <c r="X315" s="890">
        <v>0</v>
      </c>
      <c r="Y315" s="890">
        <f t="shared" ca="1" si="129"/>
        <v>0</v>
      </c>
      <c r="Z315" s="890">
        <f t="shared" ca="1" si="113"/>
        <v>0</v>
      </c>
      <c r="AA315" s="890">
        <f t="shared" ca="1" si="135"/>
        <v>0</v>
      </c>
      <c r="AB315" s="895">
        <f t="shared" ca="1" si="130"/>
        <v>932.60000000257617</v>
      </c>
      <c r="AC315" s="980">
        <f t="shared" ca="1" si="131"/>
        <v>313.60000000257617</v>
      </c>
      <c r="AD315" s="860">
        <f ca="1">IF(A315&gt;$A$1,VLOOKUP(A315,Calculation!$B$8:$JO$880,165,FALSE),VLOOKUP(A315,Calculation!$B$8:$JO$880,165,FALSE))</f>
        <v>2520</v>
      </c>
      <c r="AE315" s="399">
        <f t="shared" ca="1" si="136"/>
        <v>-90</v>
      </c>
      <c r="AF315" s="399">
        <f t="shared" ca="1" si="104"/>
        <v>3139</v>
      </c>
      <c r="AG315" s="841">
        <f>Calculation!G318</f>
        <v>411.16944024195317</v>
      </c>
      <c r="AH315" s="847" t="str">
        <f t="shared" si="137"/>
        <v>Yes</v>
      </c>
      <c r="AI315" s="847" t="str">
        <f>IF(Calculation!K318&gt;0,"Yes","No")</f>
        <v>Yes</v>
      </c>
      <c r="AJ315" s="869">
        <v>3769.5600000060663</v>
      </c>
      <c r="AK315" s="870">
        <v>1329.2000000036608</v>
      </c>
      <c r="AL315" s="870">
        <v>4266.400000009713</v>
      </c>
      <c r="AN315" s="372">
        <v>1547.5000000041268</v>
      </c>
      <c r="AO315" s="894">
        <v>6239.8000000137154</v>
      </c>
      <c r="AP315" s="894">
        <v>2023.8000000051795</v>
      </c>
      <c r="AQ315" s="894"/>
      <c r="AR315" s="894"/>
      <c r="AS315" s="894"/>
      <c r="AT315" s="894"/>
      <c r="AU315" s="427"/>
      <c r="AV315" s="410"/>
      <c r="AW315" s="442"/>
      <c r="AX315" s="441"/>
      <c r="AY315" s="441"/>
      <c r="AZ315" s="443"/>
      <c r="BB315" s="433"/>
      <c r="BC315" s="432"/>
      <c r="BD315" s="433"/>
      <c r="BE315" s="432"/>
      <c r="BF315" s="433"/>
      <c r="BG315" s="432"/>
      <c r="BH315" s="429"/>
    </row>
    <row r="316" spans="1:60" ht="13.8" thickBot="1" x14ac:dyDescent="0.3">
      <c r="A316" s="406">
        <v>43043</v>
      </c>
      <c r="B316" s="860">
        <f t="shared" si="132"/>
        <v>94.490759999999995</v>
      </c>
      <c r="C316" s="860">
        <f>Calculation!AK319</f>
        <v>0</v>
      </c>
      <c r="D316" s="860">
        <f>Calculation!AI319</f>
        <v>0</v>
      </c>
      <c r="E316" s="860">
        <f>Calculation!AE319</f>
        <v>43.470700000000001</v>
      </c>
      <c r="F316" s="860">
        <f>Calculation!AF319</f>
        <v>51.020059999999994</v>
      </c>
      <c r="G316" s="860">
        <f>Calculation!AG319</f>
        <v>21.657999999999998</v>
      </c>
      <c r="H316" s="861">
        <f>Sheet1!H317</f>
        <v>8.4</v>
      </c>
      <c r="I316" s="841">
        <f>Sheet1!DA317</f>
        <v>680</v>
      </c>
      <c r="J316" s="841">
        <f>Sheet1!DB317</f>
        <v>353</v>
      </c>
      <c r="K316" s="841">
        <f>Sheet1!CZ317</f>
        <v>413</v>
      </c>
      <c r="L316" s="865">
        <f>Calculation!F319</f>
        <v>250</v>
      </c>
      <c r="M316" s="865">
        <f>Calculation!E319</f>
        <v>250</v>
      </c>
      <c r="N316" s="865">
        <f>Calculation!D319</f>
        <v>300</v>
      </c>
      <c r="O316" s="888">
        <f>Sheet1!DC317</f>
        <v>1079.08</v>
      </c>
      <c r="P316" s="889">
        <f>Calculation!FD319</f>
        <v>1088.7789473683877</v>
      </c>
      <c r="Q316" s="895">
        <f>Calculation!DP319</f>
        <v>1096.4000000031924</v>
      </c>
      <c r="R316" s="888">
        <f t="shared" si="105"/>
        <v>477.40000000319242</v>
      </c>
      <c r="S316" s="890">
        <f t="shared" si="133"/>
        <v>163.80000000061625</v>
      </c>
      <c r="T316" s="895">
        <f ca="1">IF(A316&gt;($A$1-1),#N/A,VLOOKUP(A316,Calculation!$B$8:$JO$503,40,FALSE))</f>
        <v>0</v>
      </c>
      <c r="U316" s="890">
        <f t="shared" si="134"/>
        <v>0</v>
      </c>
      <c r="V316" s="890">
        <f>Calculation!AZ319</f>
        <v>0</v>
      </c>
      <c r="W316" s="895">
        <f t="shared" ca="1" si="128"/>
        <v>0</v>
      </c>
      <c r="X316" s="890">
        <v>0</v>
      </c>
      <c r="Y316" s="890">
        <f t="shared" ca="1" si="129"/>
        <v>0</v>
      </c>
      <c r="Z316" s="890">
        <f t="shared" ca="1" si="113"/>
        <v>0</v>
      </c>
      <c r="AA316" s="890">
        <f t="shared" ca="1" si="135"/>
        <v>0</v>
      </c>
      <c r="AB316" s="895">
        <f t="shared" ca="1" si="130"/>
        <v>1096.4000000031924</v>
      </c>
      <c r="AC316" s="980">
        <f t="shared" ca="1" si="131"/>
        <v>477.40000000319242</v>
      </c>
      <c r="AD316" s="860">
        <f ca="1">IF(A316&gt;$A$1,VLOOKUP(A316,Calculation!$B$8:$JO$880,165,FALSE),VLOOKUP(A316,Calculation!$B$8:$JO$880,165,FALSE))</f>
        <v>2430</v>
      </c>
      <c r="AE316" s="399">
        <f t="shared" ca="1" si="136"/>
        <v>-90</v>
      </c>
      <c r="AF316" s="399">
        <f t="shared" ca="1" si="104"/>
        <v>3049</v>
      </c>
      <c r="AG316" s="841">
        <f>Calculation!G319</f>
        <v>495.6021180033365</v>
      </c>
      <c r="AH316" s="847" t="str">
        <f t="shared" si="137"/>
        <v>Yes</v>
      </c>
      <c r="AI316" s="847" t="str">
        <f>IF(Calculation!K319&gt;0,"Yes","No")</f>
        <v>Yes</v>
      </c>
      <c r="AJ316" s="869">
        <v>3262.6000000051185</v>
      </c>
      <c r="AK316" s="870">
        <v>1236.5000000033401</v>
      </c>
      <c r="AL316" s="870">
        <v>3915.2000000086036</v>
      </c>
      <c r="AN316" s="372">
        <v>2758.0000000068212</v>
      </c>
      <c r="AO316" s="894">
        <v>4411.8000000098227</v>
      </c>
      <c r="AP316" s="894">
        <v>1754.5000000043315</v>
      </c>
      <c r="AQ316" s="894"/>
      <c r="AR316" s="894"/>
      <c r="AS316" s="894"/>
      <c r="AT316" s="894"/>
      <c r="AU316" s="427"/>
      <c r="AV316" s="410"/>
      <c r="AW316" s="442"/>
      <c r="AX316" s="441"/>
      <c r="AY316" s="441"/>
      <c r="AZ316" s="443"/>
      <c r="BB316" s="433"/>
      <c r="BC316" s="432"/>
      <c r="BD316" s="433"/>
      <c r="BE316" s="432"/>
      <c r="BF316" s="433"/>
      <c r="BG316" s="432"/>
      <c r="BH316" s="429"/>
    </row>
    <row r="317" spans="1:60" ht="13.8" thickBot="1" x14ac:dyDescent="0.3">
      <c r="A317" s="406">
        <v>43044</v>
      </c>
      <c r="B317" s="860">
        <f t="shared" si="132"/>
        <v>91.551459999999992</v>
      </c>
      <c r="C317" s="860">
        <f>Calculation!AK320</f>
        <v>0</v>
      </c>
      <c r="D317" s="860">
        <f>Calculation!AI320</f>
        <v>0</v>
      </c>
      <c r="E317" s="860">
        <f>Calculation!AE320</f>
        <v>42.697200000000002</v>
      </c>
      <c r="F317" s="860">
        <f>Calculation!AF320</f>
        <v>48.854259999999996</v>
      </c>
      <c r="G317" s="860">
        <f>Calculation!AG320</f>
        <v>8.5084999999999997</v>
      </c>
      <c r="H317" s="861">
        <f>Sheet1!H318</f>
        <v>4.7</v>
      </c>
      <c r="I317" s="841">
        <f>Sheet1!DA318</f>
        <v>772</v>
      </c>
      <c r="J317" s="841">
        <f>Sheet1!DB318</f>
        <v>345</v>
      </c>
      <c r="K317" s="841">
        <f>Sheet1!CZ318</f>
        <v>416</v>
      </c>
      <c r="L317" s="865">
        <f>Calculation!F320</f>
        <v>250</v>
      </c>
      <c r="M317" s="865">
        <f>Calculation!E320</f>
        <v>250</v>
      </c>
      <c r="N317" s="865">
        <f>Calculation!D320</f>
        <v>300</v>
      </c>
      <c r="O317" s="888">
        <f>Sheet1!DC318</f>
        <v>1080.4100000000001</v>
      </c>
      <c r="P317" s="889">
        <f>Calculation!FD320</f>
        <v>1088.2947368420723</v>
      </c>
      <c r="Q317" s="895">
        <f>Calculation!DP320</f>
        <v>1272.3000000033696</v>
      </c>
      <c r="R317" s="888">
        <f t="shared" si="105"/>
        <v>653.30000000336963</v>
      </c>
      <c r="S317" s="890">
        <f t="shared" si="133"/>
        <v>175.90000000017722</v>
      </c>
      <c r="T317" s="895">
        <f ca="1">IF(A317&gt;($A$1-1),#N/A,VLOOKUP(A317,Calculation!$B$8:$JO$503,40,FALSE))</f>
        <v>0</v>
      </c>
      <c r="U317" s="890">
        <f t="shared" si="134"/>
        <v>0</v>
      </c>
      <c r="V317" s="890">
        <f>Calculation!AZ320</f>
        <v>0</v>
      </c>
      <c r="W317" s="895">
        <f t="shared" ca="1" si="128"/>
        <v>0</v>
      </c>
      <c r="X317" s="890">
        <v>0</v>
      </c>
      <c r="Y317" s="890">
        <f t="shared" ca="1" si="129"/>
        <v>0</v>
      </c>
      <c r="Z317" s="890">
        <f t="shared" ca="1" si="113"/>
        <v>0</v>
      </c>
      <c r="AA317" s="890">
        <f t="shared" ca="1" si="135"/>
        <v>0</v>
      </c>
      <c r="AB317" s="895">
        <f t="shared" ca="1" si="130"/>
        <v>1272.3000000033696</v>
      </c>
      <c r="AC317" s="980">
        <f t="shared" ca="1" si="131"/>
        <v>653.30000000336963</v>
      </c>
      <c r="AD317" s="860">
        <f ca="1">IF(A317&gt;$A$1,VLOOKUP(A317,Calculation!$B$8:$JO$880,165,FALSE),VLOOKUP(A317,Calculation!$B$8:$JO$880,165,FALSE))</f>
        <v>2340</v>
      </c>
      <c r="AE317" s="399">
        <f t="shared" ca="1" si="136"/>
        <v>-90</v>
      </c>
      <c r="AF317" s="399">
        <f t="shared" ca="1" si="104"/>
        <v>2959</v>
      </c>
      <c r="AG317" s="841">
        <f>Calculation!G320</f>
        <v>504.70398386292345</v>
      </c>
      <c r="AH317" s="847" t="str">
        <f t="shared" si="137"/>
        <v>Yes</v>
      </c>
      <c r="AI317" s="847" t="str">
        <f>IF(Calculation!K320&gt;0,"Yes","No")</f>
        <v>Yes</v>
      </c>
      <c r="AJ317" s="869">
        <v>2778.2600000042439</v>
      </c>
      <c r="AK317" s="870">
        <v>976.4000000028376</v>
      </c>
      <c r="AL317" s="870">
        <v>3677.2000000084035</v>
      </c>
      <c r="AN317" s="372">
        <v>2971.2000000073531</v>
      </c>
      <c r="AO317" s="894">
        <v>3450.9000000078308</v>
      </c>
      <c r="AP317" s="894">
        <v>1576.8000000038835</v>
      </c>
      <c r="AQ317" s="894"/>
      <c r="AR317" s="894"/>
      <c r="AS317" s="894"/>
      <c r="AT317" s="894"/>
      <c r="AU317" s="427"/>
      <c r="AV317" s="410"/>
      <c r="AW317" s="442"/>
      <c r="AX317" s="441"/>
      <c r="AY317" s="441"/>
      <c r="AZ317" s="443"/>
      <c r="BB317" s="433"/>
      <c r="BC317" s="432"/>
      <c r="BD317" s="433"/>
      <c r="BE317" s="432"/>
      <c r="BF317" s="433"/>
      <c r="BG317" s="432"/>
      <c r="BH317" s="429"/>
    </row>
    <row r="318" spans="1:60" ht="13.8" thickBot="1" x14ac:dyDescent="0.3">
      <c r="A318" s="406">
        <v>43045</v>
      </c>
      <c r="B318" s="860">
        <f t="shared" si="132"/>
        <v>89.818819999999988</v>
      </c>
      <c r="C318" s="860">
        <f>Calculation!AK321</f>
        <v>0</v>
      </c>
      <c r="D318" s="860">
        <f>Calculation!AI321</f>
        <v>0</v>
      </c>
      <c r="E318" s="860">
        <f>Calculation!AE321</f>
        <v>43.408819999999999</v>
      </c>
      <c r="F318" s="860">
        <f>Calculation!AF321</f>
        <v>46.41</v>
      </c>
      <c r="G318" s="860">
        <f>Calculation!AG321</f>
        <v>0</v>
      </c>
      <c r="H318" s="861">
        <f>Sheet1!H319</f>
        <v>5.73</v>
      </c>
      <c r="I318" s="841">
        <f>Sheet1!DA319</f>
        <v>872</v>
      </c>
      <c r="J318" s="841">
        <f>Sheet1!DB319</f>
        <v>521</v>
      </c>
      <c r="K318" s="841">
        <f>Sheet1!CZ319</f>
        <v>585</v>
      </c>
      <c r="L318" s="865">
        <f>Calculation!F321</f>
        <v>250</v>
      </c>
      <c r="M318" s="865">
        <f>Calculation!E321</f>
        <v>250</v>
      </c>
      <c r="N318" s="865">
        <f>Calculation!D321</f>
        <v>300</v>
      </c>
      <c r="O318" s="888">
        <f>Sheet1!DC319</f>
        <v>1079.25</v>
      </c>
      <c r="P318" s="889">
        <f>Calculation!FD321</f>
        <v>1087.7999999999674</v>
      </c>
      <c r="Q318" s="895">
        <f>Calculation!DP321</f>
        <v>1118.5000000032219</v>
      </c>
      <c r="R318" s="888">
        <f t="shared" si="105"/>
        <v>499.50000000322188</v>
      </c>
      <c r="S318" s="890">
        <f t="shared" si="133"/>
        <v>-153.80000000014775</v>
      </c>
      <c r="T318" s="895">
        <f ca="1">IF(A318&gt;($A$1-1),#N/A,VLOOKUP(A318,Calculation!$B$8:$JO$503,40,FALSE))</f>
        <v>0</v>
      </c>
      <c r="U318" s="890">
        <f t="shared" si="134"/>
        <v>0</v>
      </c>
      <c r="V318" s="890">
        <f>Calculation!AZ321</f>
        <v>0</v>
      </c>
      <c r="W318" s="895">
        <f t="shared" ca="1" si="128"/>
        <v>0</v>
      </c>
      <c r="X318" s="890">
        <v>0</v>
      </c>
      <c r="Y318" s="890">
        <f t="shared" ca="1" si="129"/>
        <v>0</v>
      </c>
      <c r="Z318" s="890">
        <f t="shared" ca="1" si="113"/>
        <v>0</v>
      </c>
      <c r="AA318" s="890">
        <f t="shared" ca="1" si="135"/>
        <v>0</v>
      </c>
      <c r="AB318" s="895">
        <f t="shared" ca="1" si="130"/>
        <v>1118.5000000032219</v>
      </c>
      <c r="AC318" s="980">
        <f t="shared" ca="1" si="131"/>
        <v>499.50000000322188</v>
      </c>
      <c r="AD318" s="860">
        <f ca="1">IF(A318&gt;$A$1,VLOOKUP(A318,Calculation!$B$8:$JO$880,165,FALSE),VLOOKUP(A318,Calculation!$B$8:$JO$880,165,FALSE))</f>
        <v>2250</v>
      </c>
      <c r="AE318" s="399">
        <f t="shared" ca="1" si="136"/>
        <v>-90</v>
      </c>
      <c r="AF318" s="399">
        <f t="shared" ca="1" si="104"/>
        <v>2869</v>
      </c>
      <c r="AG318" s="841">
        <f>Calculation!G321</f>
        <v>507.44074634384884</v>
      </c>
      <c r="AH318" s="847" t="str">
        <f t="shared" si="137"/>
        <v>Yes</v>
      </c>
      <c r="AI318" s="847" t="str">
        <f>IF(Calculation!K321&gt;0,"Yes","No")</f>
        <v>Yes</v>
      </c>
      <c r="AJ318" s="869">
        <v>2345.0000000035016</v>
      </c>
      <c r="AK318" s="870">
        <v>995.10000000310367</v>
      </c>
      <c r="AL318" s="870">
        <v>3414.4000000081537</v>
      </c>
      <c r="AN318" s="372">
        <v>2543.6000000059753</v>
      </c>
      <c r="AO318" s="894">
        <v>3191.8000000075922</v>
      </c>
      <c r="AP318" s="894">
        <v>1744.0000000043315</v>
      </c>
      <c r="AQ318" s="894"/>
      <c r="AR318" s="894"/>
      <c r="AS318" s="894"/>
      <c r="AT318" s="894"/>
      <c r="AU318" s="427"/>
      <c r="AV318" s="410"/>
      <c r="AW318" s="442"/>
      <c r="AX318" s="441"/>
      <c r="AY318" s="441"/>
      <c r="AZ318" s="443"/>
      <c r="BB318" s="433"/>
      <c r="BC318" s="432"/>
      <c r="BD318" s="433"/>
      <c r="BE318" s="432"/>
      <c r="BF318" s="433"/>
      <c r="BG318" s="432"/>
      <c r="BH318" s="429"/>
    </row>
    <row r="319" spans="1:60" ht="13.8" thickBot="1" x14ac:dyDescent="0.3">
      <c r="A319" s="406">
        <v>43046</v>
      </c>
      <c r="B319" s="860">
        <f t="shared" si="132"/>
        <v>92.634359999999987</v>
      </c>
      <c r="C319" s="860">
        <f>Calculation!AK322</f>
        <v>0</v>
      </c>
      <c r="D319" s="860">
        <f>Calculation!AI322</f>
        <v>0</v>
      </c>
      <c r="E319" s="860">
        <f>Calculation!AE322</f>
        <v>43.346939999999996</v>
      </c>
      <c r="F319" s="860">
        <f>Calculation!AF322</f>
        <v>49.287419999999997</v>
      </c>
      <c r="G319" s="860">
        <f>Calculation!AG322</f>
        <v>0</v>
      </c>
      <c r="H319" s="861">
        <f>Sheet1!H320</f>
        <v>8.9</v>
      </c>
      <c r="I319" s="841">
        <f>Sheet1!DA320</f>
        <v>824</v>
      </c>
      <c r="J319" s="841">
        <f>Sheet1!DB320</f>
        <v>443</v>
      </c>
      <c r="K319" s="841">
        <f>Sheet1!CZ320</f>
        <v>527</v>
      </c>
      <c r="L319" s="865">
        <f>Calculation!F322</f>
        <v>250</v>
      </c>
      <c r="M319" s="865">
        <f>Calculation!E322</f>
        <v>250</v>
      </c>
      <c r="N319" s="865">
        <f>Calculation!D322</f>
        <v>300</v>
      </c>
      <c r="O319" s="888">
        <f>Sheet1!DC320</f>
        <v>1076.25</v>
      </c>
      <c r="P319" s="889">
        <f>Calculation!FD322</f>
        <v>1087.2944444444124</v>
      </c>
      <c r="Q319" s="895">
        <f>Calculation!DP322</f>
        <v>756.00000000264663</v>
      </c>
      <c r="R319" s="888">
        <f t="shared" si="105"/>
        <v>137.00000000264663</v>
      </c>
      <c r="S319" s="890">
        <f t="shared" si="133"/>
        <v>-362.50000000057526</v>
      </c>
      <c r="T319" s="895">
        <f ca="1">IF(A319&gt;($A$1-1),#N/A,VLOOKUP(A319,Calculation!$B$8:$JO$503,40,FALSE))</f>
        <v>0</v>
      </c>
      <c r="U319" s="890">
        <f t="shared" si="134"/>
        <v>0</v>
      </c>
      <c r="V319" s="890">
        <f>Calculation!AZ322</f>
        <v>0</v>
      </c>
      <c r="W319" s="895">
        <f t="shared" ca="1" si="128"/>
        <v>0</v>
      </c>
      <c r="X319" s="890">
        <v>0</v>
      </c>
      <c r="Y319" s="890">
        <f t="shared" ca="1" si="129"/>
        <v>0</v>
      </c>
      <c r="Z319" s="890">
        <f t="shared" ca="1" si="113"/>
        <v>0</v>
      </c>
      <c r="AA319" s="890">
        <f t="shared" ca="1" si="135"/>
        <v>0</v>
      </c>
      <c r="AB319" s="895">
        <f t="shared" ca="1" si="130"/>
        <v>756.00000000264663</v>
      </c>
      <c r="AC319" s="980">
        <f t="shared" ca="1" si="131"/>
        <v>137.00000000264663</v>
      </c>
      <c r="AD319" s="860">
        <f ca="1">IF(A319&gt;$A$1,VLOOKUP(A319,Calculation!$B$8:$JO$880,165,FALSE),VLOOKUP(A319,Calculation!$B$8:$JO$880,165,FALSE))</f>
        <v>2160</v>
      </c>
      <c r="AE319" s="399">
        <f t="shared" ca="1" si="136"/>
        <v>-90</v>
      </c>
      <c r="AF319" s="399">
        <f t="shared" ref="AF319:AF343" ca="1" si="138">AD319+619</f>
        <v>2779</v>
      </c>
      <c r="AG319" s="841">
        <f>Calculation!G322</f>
        <v>344.19616742280624</v>
      </c>
      <c r="AH319" s="847" t="str">
        <f t="shared" si="137"/>
        <v>Yes</v>
      </c>
      <c r="AI319" s="847" t="str">
        <f>IF(Calculation!K322&gt;0,"Yes","No")</f>
        <v>Yes</v>
      </c>
      <c r="AJ319" s="869">
        <v>2066.4000000030151</v>
      </c>
      <c r="AK319" s="870">
        <v>1082.4000000029469</v>
      </c>
      <c r="AL319" s="870">
        <v>3291.5000000076875</v>
      </c>
      <c r="AN319" s="372">
        <v>2341.0000000054501</v>
      </c>
      <c r="AO319" s="894">
        <v>2661.0000000067303</v>
      </c>
      <c r="AP319" s="894">
        <v>1672.5000000042633</v>
      </c>
      <c r="AQ319" s="894"/>
      <c r="AR319" s="894"/>
      <c r="AS319" s="894"/>
      <c r="AT319" s="894"/>
      <c r="AU319" s="427"/>
      <c r="AV319" s="410"/>
      <c r="AW319" s="442"/>
      <c r="AX319" s="441"/>
      <c r="AY319" s="441"/>
      <c r="AZ319" s="443"/>
      <c r="BB319" s="433"/>
      <c r="BC319" s="432"/>
      <c r="BD319" s="433"/>
      <c r="BE319" s="432"/>
      <c r="BF319" s="433"/>
      <c r="BG319" s="432"/>
      <c r="BH319" s="429"/>
    </row>
    <row r="320" spans="1:60" ht="13.8" thickBot="1" x14ac:dyDescent="0.3">
      <c r="A320" s="406">
        <v>43047</v>
      </c>
      <c r="B320" s="860">
        <f t="shared" si="132"/>
        <v>94.552639999999997</v>
      </c>
      <c r="C320" s="860">
        <f>Calculation!AK323</f>
        <v>0</v>
      </c>
      <c r="D320" s="860">
        <f>Calculation!AI323</f>
        <v>0</v>
      </c>
      <c r="E320" s="860">
        <f>Calculation!AE323</f>
        <v>43.594459999999998</v>
      </c>
      <c r="F320" s="860">
        <f>Calculation!AF323</f>
        <v>50.958179999999992</v>
      </c>
      <c r="G320" s="860">
        <f>Calculation!AG323</f>
        <v>39.603199999997749</v>
      </c>
      <c r="H320" s="861">
        <f>Sheet1!H321</f>
        <v>20.100000000000001</v>
      </c>
      <c r="I320" s="841">
        <f>Sheet1!DA321</f>
        <v>675</v>
      </c>
      <c r="J320" s="841">
        <f>Sheet1!DB321</f>
        <v>330</v>
      </c>
      <c r="K320" s="841">
        <f>Sheet1!CZ321</f>
        <v>357</v>
      </c>
      <c r="L320" s="865">
        <f>Calculation!F323</f>
        <v>250</v>
      </c>
      <c r="M320" s="865">
        <f>Calculation!E323</f>
        <v>250</v>
      </c>
      <c r="N320" s="865">
        <f>Calculation!D323</f>
        <v>300</v>
      </c>
      <c r="O320" s="888">
        <f>Sheet1!DC321</f>
        <v>1075.2</v>
      </c>
      <c r="P320" s="889">
        <f>Calculation!FD323</f>
        <v>1086.7823529411448</v>
      </c>
      <c r="Q320" s="895">
        <f>Calculation!DP323</f>
        <v>641.00000000211458</v>
      </c>
      <c r="R320" s="888">
        <f t="shared" si="105"/>
        <v>22.000000002114575</v>
      </c>
      <c r="S320" s="890">
        <f t="shared" si="133"/>
        <v>-115.00000000053205</v>
      </c>
      <c r="T320" s="895">
        <f ca="1">IF(A320&gt;($A$1-1),#N/A,VLOOKUP(A320,Calculation!$B$8:$JO$503,40,FALSE))</f>
        <v>0</v>
      </c>
      <c r="U320" s="890">
        <f t="shared" si="134"/>
        <v>0</v>
      </c>
      <c r="V320" s="890">
        <f>Calculation!AZ323</f>
        <v>0</v>
      </c>
      <c r="W320" s="895">
        <f t="shared" ca="1" si="128"/>
        <v>0</v>
      </c>
      <c r="X320" s="890">
        <v>0</v>
      </c>
      <c r="Y320" s="890">
        <f t="shared" ca="1" si="129"/>
        <v>0</v>
      </c>
      <c r="Z320" s="890">
        <f t="shared" ca="1" si="113"/>
        <v>0</v>
      </c>
      <c r="AA320" s="890">
        <f t="shared" ca="1" si="135"/>
        <v>0</v>
      </c>
      <c r="AB320" s="895">
        <f t="shared" ca="1" si="130"/>
        <v>641.00000000211458</v>
      </c>
      <c r="AC320" s="980">
        <f t="shared" ca="1" si="131"/>
        <v>22.000000002114575</v>
      </c>
      <c r="AD320" s="860">
        <f ca="1">IF(A320&gt;$A$1,VLOOKUP(A320,Calculation!$B$8:$JO$880,165,FALSE),VLOOKUP(A320,Calculation!$B$8:$JO$880,165,FALSE))</f>
        <v>2070</v>
      </c>
      <c r="AE320" s="399">
        <f t="shared" ca="1" si="136"/>
        <v>-90</v>
      </c>
      <c r="AF320" s="399">
        <f t="shared" ca="1" si="138"/>
        <v>2689</v>
      </c>
      <c r="AG320" s="841">
        <f>Calculation!G323</f>
        <v>299.00706000981745</v>
      </c>
      <c r="AH320" s="847" t="str">
        <f t="shared" si="137"/>
        <v>Yes</v>
      </c>
      <c r="AI320" s="847" t="str">
        <f>IF(Calculation!K323&gt;0,"Yes","No")</f>
        <v>Yes</v>
      </c>
      <c r="AJ320" s="869">
        <v>1916.200000002779</v>
      </c>
      <c r="AK320" s="870">
        <v>1049.0000000029195</v>
      </c>
      <c r="AL320" s="870">
        <v>3586.0000000083037</v>
      </c>
      <c r="AN320" s="372">
        <v>2001.0000000048385</v>
      </c>
      <c r="AO320" s="894">
        <v>2294.2000000057296</v>
      </c>
      <c r="AP320" s="894">
        <v>1438.4000000037563</v>
      </c>
      <c r="AQ320" s="894"/>
      <c r="AR320" s="894"/>
      <c r="AS320" s="894"/>
      <c r="AT320" s="894"/>
      <c r="AU320" s="427"/>
      <c r="AV320" s="410"/>
      <c r="AW320" s="442"/>
      <c r="AX320" s="441"/>
      <c r="AY320" s="441"/>
      <c r="AZ320" s="443"/>
      <c r="BB320" s="433"/>
      <c r="BC320" s="432"/>
      <c r="BD320" s="433"/>
      <c r="BE320" s="432"/>
      <c r="BF320" s="433"/>
      <c r="BG320" s="432"/>
      <c r="BH320" s="429"/>
    </row>
    <row r="321" spans="1:60" ht="13.8" thickBot="1" x14ac:dyDescent="0.3">
      <c r="A321" s="406">
        <v>43048</v>
      </c>
      <c r="B321" s="860">
        <f t="shared" si="132"/>
        <v>94.521699999999996</v>
      </c>
      <c r="C321" s="860">
        <f>Calculation!AK324</f>
        <v>0</v>
      </c>
      <c r="D321" s="860">
        <f>Calculation!AI324</f>
        <v>0</v>
      </c>
      <c r="E321" s="860">
        <f>Calculation!AE324</f>
        <v>43.470700000000001</v>
      </c>
      <c r="F321" s="860">
        <f>Calculation!AF324</f>
        <v>51.050999999999995</v>
      </c>
      <c r="G321" s="860">
        <f>Calculation!AG324</f>
        <v>40.9955</v>
      </c>
      <c r="H321" s="861">
        <f>Sheet1!H322</f>
        <v>16.600000000000001</v>
      </c>
      <c r="I321" s="841">
        <f>Sheet1!DA322</f>
        <v>669</v>
      </c>
      <c r="J321" s="841">
        <f>Sheet1!DB322</f>
        <v>327</v>
      </c>
      <c r="K321" s="841">
        <f>Sheet1!CZ322</f>
        <v>366</v>
      </c>
      <c r="L321" s="865">
        <f>Calculation!F324</f>
        <v>250</v>
      </c>
      <c r="M321" s="865">
        <f>Calculation!E324</f>
        <v>250</v>
      </c>
      <c r="N321" s="865">
        <f>Calculation!D324</f>
        <v>300</v>
      </c>
      <c r="O321" s="888">
        <f>Sheet1!DC322</f>
        <v>1076.8399999999999</v>
      </c>
      <c r="P321" s="889">
        <f>Calculation!FD324</f>
        <v>1086.2529411764394</v>
      </c>
      <c r="Q321" s="895">
        <f>Calculation!DP324</f>
        <v>823.40000000247608</v>
      </c>
      <c r="R321" s="888">
        <f t="shared" si="105"/>
        <v>204.40000000247608</v>
      </c>
      <c r="S321" s="890">
        <f t="shared" si="133"/>
        <v>182.4000000003615</v>
      </c>
      <c r="T321" s="895">
        <f ca="1">IF(A321&gt;($A$1-1),#N/A,VLOOKUP(A321,Calculation!$B$8:$JO$503,40,FALSE))</f>
        <v>0</v>
      </c>
      <c r="U321" s="890">
        <f t="shared" si="134"/>
        <v>0</v>
      </c>
      <c r="V321" s="890">
        <f>Calculation!AZ324</f>
        <v>0</v>
      </c>
      <c r="W321" s="895">
        <f t="shared" ca="1" si="128"/>
        <v>0</v>
      </c>
      <c r="X321" s="890">
        <v>0</v>
      </c>
      <c r="Y321" s="890">
        <f t="shared" ca="1" si="129"/>
        <v>0</v>
      </c>
      <c r="Z321" s="890">
        <f t="shared" ca="1" si="113"/>
        <v>0</v>
      </c>
      <c r="AA321" s="890">
        <f t="shared" ca="1" si="135"/>
        <v>0</v>
      </c>
      <c r="AB321" s="895">
        <f t="shared" ca="1" si="130"/>
        <v>823.40000000247608</v>
      </c>
      <c r="AC321" s="980">
        <f t="shared" ca="1" si="131"/>
        <v>204.40000000247608</v>
      </c>
      <c r="AD321" s="860">
        <f ca="1">IF(A321&gt;$A$1,VLOOKUP(A321,Calculation!$B$8:$JO$880,165,FALSE),VLOOKUP(A321,Calculation!$B$8:$JO$880,165,FALSE))</f>
        <v>1980</v>
      </c>
      <c r="AE321" s="399">
        <f t="shared" ca="1" si="136"/>
        <v>-90</v>
      </c>
      <c r="AF321" s="399">
        <f t="shared" ca="1" si="138"/>
        <v>2599</v>
      </c>
      <c r="AG321" s="841">
        <f>Calculation!G324</f>
        <v>457.98184568853327</v>
      </c>
      <c r="AH321" s="847" t="str">
        <f t="shared" si="137"/>
        <v>Yes</v>
      </c>
      <c r="AI321" s="847" t="str">
        <f>IF(Calculation!K324&gt;0,"Yes","No")</f>
        <v>Yes</v>
      </c>
      <c r="AJ321" s="869">
        <v>1825.1200000026074</v>
      </c>
      <c r="AK321" s="870">
        <v>964.90000000307407</v>
      </c>
      <c r="AL321" s="870">
        <v>3091.0000000074965</v>
      </c>
      <c r="AN321" s="372">
        <v>2042.0000000048749</v>
      </c>
      <c r="AO321" s="894">
        <v>2046.8000000048748</v>
      </c>
      <c r="AP321" s="894">
        <v>1197.800000003281</v>
      </c>
      <c r="AQ321" s="894"/>
      <c r="AR321" s="894"/>
      <c r="AS321" s="894"/>
      <c r="AT321" s="894"/>
      <c r="AU321" s="427"/>
      <c r="AV321" s="410"/>
      <c r="AW321" s="442"/>
      <c r="AX321" s="441"/>
      <c r="AY321" s="441"/>
      <c r="AZ321" s="443"/>
      <c r="BB321" s="433"/>
      <c r="BC321" s="432"/>
      <c r="BD321" s="433"/>
      <c r="BE321" s="432"/>
      <c r="BF321" s="433"/>
      <c r="BG321" s="432"/>
      <c r="BH321" s="429"/>
    </row>
    <row r="322" spans="1:60" ht="13.8" thickBot="1" x14ac:dyDescent="0.3">
      <c r="A322" s="406">
        <v>43049</v>
      </c>
      <c r="B322" s="860">
        <f t="shared" si="132"/>
        <v>92.2012</v>
      </c>
      <c r="C322" s="860">
        <f>Calculation!AK325</f>
        <v>0</v>
      </c>
      <c r="D322" s="860">
        <f>Calculation!AI325</f>
        <v>0</v>
      </c>
      <c r="E322" s="860">
        <f>Calculation!AE325</f>
        <v>43.315999999999995</v>
      </c>
      <c r="F322" s="860">
        <f>Calculation!AF325</f>
        <v>48.885199999999998</v>
      </c>
      <c r="G322" s="860">
        <f>Calculation!AG325</f>
        <v>12.515230000000225</v>
      </c>
      <c r="H322" s="861">
        <f>Sheet1!H323</f>
        <v>9.7799999999999994</v>
      </c>
      <c r="I322" s="841">
        <f>Sheet1!DA323</f>
        <v>614</v>
      </c>
      <c r="J322" s="841">
        <f>Sheet1!DB323</f>
        <v>300</v>
      </c>
      <c r="K322" s="841">
        <f>Sheet1!CZ323</f>
        <v>372</v>
      </c>
      <c r="L322" s="865">
        <f>Calculation!F325</f>
        <v>250</v>
      </c>
      <c r="M322" s="865">
        <f>Calculation!E325</f>
        <v>250</v>
      </c>
      <c r="N322" s="865">
        <f>Calculation!D325</f>
        <v>300</v>
      </c>
      <c r="O322" s="888">
        <f>Sheet1!DC323</f>
        <v>1078.79</v>
      </c>
      <c r="P322" s="889">
        <f>Calculation!FD325</f>
        <v>1085.7187499999693</v>
      </c>
      <c r="Q322" s="895">
        <f>Calculation!DP325</f>
        <v>1059.8000000029194</v>
      </c>
      <c r="R322" s="888">
        <f t="shared" si="105"/>
        <v>440.80000000291943</v>
      </c>
      <c r="S322" s="890">
        <f t="shared" si="133"/>
        <v>236.40000000044336</v>
      </c>
      <c r="T322" s="895">
        <f ca="1">IF(A322&gt;($A$1-1),#N/A,VLOOKUP(A322,Calculation!$B$8:$JO$503,40,FALSE))</f>
        <v>0</v>
      </c>
      <c r="U322" s="890">
        <f t="shared" si="134"/>
        <v>0</v>
      </c>
      <c r="V322" s="890">
        <f>Calculation!AZ325</f>
        <v>0</v>
      </c>
      <c r="W322" s="895">
        <f t="shared" ca="1" si="128"/>
        <v>0</v>
      </c>
      <c r="X322" s="890">
        <v>0</v>
      </c>
      <c r="Y322" s="890">
        <f t="shared" ca="1" si="129"/>
        <v>0</v>
      </c>
      <c r="Z322" s="890">
        <f t="shared" ca="1" si="113"/>
        <v>0</v>
      </c>
      <c r="AA322" s="890">
        <f t="shared" ca="1" si="135"/>
        <v>0</v>
      </c>
      <c r="AB322" s="895">
        <f t="shared" ca="1" si="130"/>
        <v>1059.8000000029194</v>
      </c>
      <c r="AC322" s="980">
        <f t="shared" ca="1" si="131"/>
        <v>440.80000000291943</v>
      </c>
      <c r="AD322" s="860">
        <f ca="1">IF(A322&gt;$A$1,VLOOKUP(A322,Calculation!$B$8:$JO$880,165,FALSE),VLOOKUP(A322,Calculation!$B$8:$JO$880,165,FALSE))</f>
        <v>1890</v>
      </c>
      <c r="AE322" s="399">
        <f t="shared" ca="1" si="136"/>
        <v>-90</v>
      </c>
      <c r="AF322" s="399">
        <f t="shared" ca="1" si="138"/>
        <v>2509</v>
      </c>
      <c r="AG322" s="841">
        <f>Calculation!G325</f>
        <v>491.2133131620995</v>
      </c>
      <c r="AH322" s="847" t="str">
        <f t="shared" si="137"/>
        <v>Yes</v>
      </c>
      <c r="AI322" s="847" t="str">
        <f>IF(Calculation!K325&gt;0,"Yes","No")</f>
        <v>Yes</v>
      </c>
      <c r="AJ322" s="869">
        <v>1848.3000000026354</v>
      </c>
      <c r="AK322" s="870">
        <v>992.50000000310365</v>
      </c>
      <c r="AL322" s="870">
        <v>2151.0000000052955</v>
      </c>
      <c r="AN322" s="372">
        <v>2202.0000000053342</v>
      </c>
      <c r="AO322" s="894">
        <v>1742.5000000043315</v>
      </c>
      <c r="AP322" s="894">
        <v>1151.0000000032514</v>
      </c>
      <c r="AQ322" s="894"/>
      <c r="AR322" s="894"/>
      <c r="AS322" s="894"/>
      <c r="AT322" s="894"/>
      <c r="AU322" s="427"/>
      <c r="AV322" s="410"/>
      <c r="AW322" s="442"/>
      <c r="AX322" s="441"/>
      <c r="AY322" s="441"/>
      <c r="AZ322" s="443"/>
      <c r="BB322" s="433"/>
      <c r="BC322" s="432"/>
      <c r="BD322" s="433"/>
      <c r="BE322" s="432"/>
      <c r="BF322" s="433"/>
      <c r="BG322" s="432"/>
      <c r="BH322" s="429"/>
    </row>
    <row r="323" spans="1:60" ht="13.8" thickBot="1" x14ac:dyDescent="0.3">
      <c r="A323" s="406">
        <v>43050</v>
      </c>
      <c r="B323" s="860">
        <f t="shared" si="132"/>
        <v>86.786699999999996</v>
      </c>
      <c r="C323" s="860">
        <f>Calculation!AK326</f>
        <v>0</v>
      </c>
      <c r="D323" s="860">
        <f>Calculation!AI326</f>
        <v>0</v>
      </c>
      <c r="E323" s="860">
        <f>Calculation!AE326</f>
        <v>43.315999999999995</v>
      </c>
      <c r="F323" s="860">
        <f>Calculation!AF326</f>
        <v>43.470700000000001</v>
      </c>
      <c r="G323" s="860">
        <f>Calculation!AG326</f>
        <v>0</v>
      </c>
      <c r="H323" s="861">
        <f>Sheet1!H324</f>
        <v>4.75</v>
      </c>
      <c r="I323" s="841">
        <f>Sheet1!DA324</f>
        <v>609</v>
      </c>
      <c r="J323" s="841">
        <f>Sheet1!DB324</f>
        <v>317</v>
      </c>
      <c r="K323" s="841">
        <f>Sheet1!CZ324</f>
        <v>378</v>
      </c>
      <c r="L323" s="865">
        <f>Calculation!F326</f>
        <v>250</v>
      </c>
      <c r="M323" s="865">
        <f>Calculation!E326</f>
        <v>250</v>
      </c>
      <c r="N323" s="865">
        <f>Calculation!D326</f>
        <v>300</v>
      </c>
      <c r="O323" s="888">
        <f>Sheet1!DC324</f>
        <v>1080.21</v>
      </c>
      <c r="P323" s="889">
        <f>Calculation!FD326</f>
        <v>1085.1749999999697</v>
      </c>
      <c r="Q323" s="895">
        <f>Calculation!DP326</f>
        <v>1244.4000000035971</v>
      </c>
      <c r="R323" s="888">
        <f t="shared" si="105"/>
        <v>625.40000000359714</v>
      </c>
      <c r="S323" s="890">
        <f t="shared" si="133"/>
        <v>184.60000000067771</v>
      </c>
      <c r="T323" s="895">
        <f ca="1">IF(A323&gt;($A$1-1),#N/A,VLOOKUP(A323,Calculation!$B$8:$JO$503,40,FALSE))</f>
        <v>0</v>
      </c>
      <c r="U323" s="890">
        <f t="shared" si="134"/>
        <v>0</v>
      </c>
      <c r="V323" s="890">
        <f>Calculation!AZ326</f>
        <v>0</v>
      </c>
      <c r="W323" s="895">
        <f t="shared" ca="1" si="128"/>
        <v>0</v>
      </c>
      <c r="X323" s="890">
        <v>0</v>
      </c>
      <c r="Y323" s="890">
        <f t="shared" ca="1" si="129"/>
        <v>0</v>
      </c>
      <c r="Z323" s="890">
        <f t="shared" ca="1" si="113"/>
        <v>0</v>
      </c>
      <c r="AA323" s="890">
        <f t="shared" ca="1" si="135"/>
        <v>0</v>
      </c>
      <c r="AB323" s="895">
        <f t="shared" ca="1" si="130"/>
        <v>1244.4000000035971</v>
      </c>
      <c r="AC323" s="980">
        <f t="shared" ca="1" si="131"/>
        <v>625.40000000359714</v>
      </c>
      <c r="AD323" s="860">
        <f ca="1">IF(A323&gt;$A$1,VLOOKUP(A323,Calculation!$B$8:$JO$880,165,FALSE),VLOOKUP(A323,Calculation!$B$8:$JO$880,165,FALSE))</f>
        <v>1800</v>
      </c>
      <c r="AE323" s="399">
        <f t="shared" ca="1" si="136"/>
        <v>-90</v>
      </c>
      <c r="AF323" s="399">
        <f t="shared" ca="1" si="138"/>
        <v>2419</v>
      </c>
      <c r="AG323" s="841">
        <f>Calculation!G326</f>
        <v>471.09127584502153</v>
      </c>
      <c r="AH323" s="847" t="str">
        <f t="shared" si="137"/>
        <v>Yes</v>
      </c>
      <c r="AI323" s="847" t="str">
        <f>IF(Calculation!K326&gt;0,"Yes","No")</f>
        <v>Yes</v>
      </c>
      <c r="AJ323" s="869">
        <v>1974.1600000028363</v>
      </c>
      <c r="AK323" s="870">
        <v>1046.4000000031629</v>
      </c>
      <c r="AL323" s="870">
        <v>1339.0000000034288</v>
      </c>
      <c r="AN323" s="372">
        <v>1608.000000004195</v>
      </c>
      <c r="AO323" s="894">
        <v>1537.0000000041268</v>
      </c>
      <c r="AP323" s="894">
        <v>1151.0000000032514</v>
      </c>
      <c r="AQ323" s="894"/>
      <c r="AR323" s="894"/>
      <c r="AS323" s="894"/>
      <c r="AT323" s="894"/>
      <c r="AU323" s="427"/>
      <c r="AV323" s="410"/>
      <c r="AW323" s="442"/>
      <c r="AX323" s="441"/>
      <c r="AY323" s="441"/>
      <c r="AZ323" s="443"/>
      <c r="BB323" s="433"/>
      <c r="BC323" s="432"/>
      <c r="BD323" s="433"/>
      <c r="BE323" s="432"/>
      <c r="BF323" s="433"/>
      <c r="BG323" s="432"/>
      <c r="BH323" s="429"/>
    </row>
    <row r="324" spans="1:60" ht="13.8" thickBot="1" x14ac:dyDescent="0.3">
      <c r="A324" s="406">
        <v>43051</v>
      </c>
      <c r="B324" s="860">
        <f t="shared" si="132"/>
        <v>86.167900000000003</v>
      </c>
      <c r="C324" s="860">
        <f>Calculation!AK327</f>
        <v>0</v>
      </c>
      <c r="D324" s="860">
        <f>Calculation!AI327</f>
        <v>0</v>
      </c>
      <c r="E324" s="860">
        <f>Calculation!AE327</f>
        <v>43.470700000000001</v>
      </c>
      <c r="F324" s="860">
        <f>Calculation!AF327</f>
        <v>42.697200000000002</v>
      </c>
      <c r="G324" s="860">
        <f>Calculation!AG327</f>
        <v>0</v>
      </c>
      <c r="H324" s="861">
        <f>Sheet1!H325</f>
        <v>2.73</v>
      </c>
      <c r="I324" s="841">
        <f>Sheet1!DA325</f>
        <v>620</v>
      </c>
      <c r="J324" s="841">
        <f>Sheet1!DB325</f>
        <v>325</v>
      </c>
      <c r="K324" s="841">
        <f>Sheet1!CZ325</f>
        <v>384</v>
      </c>
      <c r="L324" s="865">
        <f>Calculation!F327</f>
        <v>250</v>
      </c>
      <c r="M324" s="865">
        <f>Calculation!E327</f>
        <v>250</v>
      </c>
      <c r="N324" s="865">
        <f>Calculation!D327</f>
        <v>300</v>
      </c>
      <c r="O324" s="888">
        <f>Sheet1!DC325</f>
        <v>1081.5999999999999</v>
      </c>
      <c r="P324" s="889">
        <f>Calculation!FD327</f>
        <v>1084.6124999999704</v>
      </c>
      <c r="Q324" s="895">
        <f>Calculation!DP327</f>
        <v>1437.0000000037562</v>
      </c>
      <c r="R324" s="888">
        <f t="shared" si="105"/>
        <v>818.00000000375621</v>
      </c>
      <c r="S324" s="890">
        <f t="shared" si="133"/>
        <v>192.60000000015907</v>
      </c>
      <c r="T324" s="895">
        <f ca="1">IF(A324&gt;($A$1-1),#N/A,VLOOKUP(A324,Calculation!$B$8:$JO$503,40,FALSE))</f>
        <v>0</v>
      </c>
      <c r="U324" s="890">
        <f t="shared" si="134"/>
        <v>0</v>
      </c>
      <c r="V324" s="890">
        <f>Calculation!AZ327</f>
        <v>0</v>
      </c>
      <c r="W324" s="895">
        <f t="shared" ca="1" si="128"/>
        <v>0</v>
      </c>
      <c r="X324" s="890">
        <v>0</v>
      </c>
      <c r="Y324" s="890">
        <f t="shared" ca="1" si="129"/>
        <v>0</v>
      </c>
      <c r="Z324" s="890">
        <f t="shared" ca="1" si="113"/>
        <v>0</v>
      </c>
      <c r="AA324" s="890">
        <f t="shared" ca="1" si="135"/>
        <v>0</v>
      </c>
      <c r="AB324" s="895">
        <f t="shared" ca="1" si="130"/>
        <v>1437.0000000037562</v>
      </c>
      <c r="AC324" s="980">
        <f t="shared" ca="1" si="131"/>
        <v>818.00000000375621</v>
      </c>
      <c r="AD324" s="860">
        <f ca="1">IF(A324&gt;$A$1,VLOOKUP(A324,Calculation!$B$8:$JO$880,165,FALSE),VLOOKUP(A324,Calculation!$B$8:$JO$880,165,FALSE))</f>
        <v>1710</v>
      </c>
      <c r="AE324" s="399">
        <f t="shared" ca="1" si="136"/>
        <v>-90</v>
      </c>
      <c r="AF324" s="399">
        <f t="shared" ca="1" si="138"/>
        <v>2329</v>
      </c>
      <c r="AG324" s="841">
        <f>Calculation!G327</f>
        <v>481.12556732231923</v>
      </c>
      <c r="AH324" s="847" t="str">
        <f t="shared" si="137"/>
        <v>Yes</v>
      </c>
      <c r="AI324" s="847" t="str">
        <f>IF(Calculation!K327&gt;0,"Yes","No")</f>
        <v>Yes</v>
      </c>
      <c r="AJ324" s="869">
        <v>1942.6600000028077</v>
      </c>
      <c r="AK324" s="870">
        <v>1097.7000000031924</v>
      </c>
      <c r="AL324" s="870">
        <v>910.40000000278303</v>
      </c>
      <c r="AN324" s="372">
        <v>903.2000000027831</v>
      </c>
      <c r="AO324" s="894">
        <v>1307.1000000033991</v>
      </c>
      <c r="AP324" s="894">
        <v>1074.0000000029468</v>
      </c>
      <c r="AQ324" s="894"/>
      <c r="AR324" s="894"/>
      <c r="AS324" s="894"/>
      <c r="AT324" s="894"/>
      <c r="AU324" s="427"/>
      <c r="AV324" s="410"/>
      <c r="AW324" s="442"/>
      <c r="AX324" s="441"/>
      <c r="AY324" s="441"/>
      <c r="AZ324" s="443"/>
      <c r="BB324" s="433"/>
      <c r="BC324" s="432"/>
      <c r="BD324" s="433"/>
      <c r="BE324" s="432"/>
      <c r="BF324" s="433"/>
      <c r="BG324" s="432"/>
      <c r="BH324" s="429"/>
    </row>
    <row r="325" spans="1:60" ht="13.8" thickBot="1" x14ac:dyDescent="0.3">
      <c r="A325" s="406">
        <v>43052</v>
      </c>
      <c r="B325" s="860">
        <f t="shared" si="132"/>
        <v>89.88069999999999</v>
      </c>
      <c r="C325" s="860">
        <f>Calculation!AK328</f>
        <v>0</v>
      </c>
      <c r="D325" s="860">
        <f>Calculation!AI328</f>
        <v>0</v>
      </c>
      <c r="E325" s="860">
        <f>Calculation!AE328</f>
        <v>43.315999999999995</v>
      </c>
      <c r="F325" s="860">
        <f>Calculation!AF328</f>
        <v>46.564700000000002</v>
      </c>
      <c r="G325" s="860">
        <f>Calculation!AG328</f>
        <v>0</v>
      </c>
      <c r="H325" s="861">
        <f>Sheet1!H326</f>
        <v>5.99</v>
      </c>
      <c r="I325" s="841">
        <f>Sheet1!DA326</f>
        <v>914</v>
      </c>
      <c r="J325" s="841">
        <f>Sheet1!DB326</f>
        <v>697</v>
      </c>
      <c r="K325" s="841">
        <f>Sheet1!CZ326</f>
        <v>691</v>
      </c>
      <c r="L325" s="865">
        <f>Calculation!F328</f>
        <v>250</v>
      </c>
      <c r="M325" s="865">
        <f>Calculation!E328</f>
        <v>250</v>
      </c>
      <c r="N325" s="865">
        <f>Calculation!D328</f>
        <v>300</v>
      </c>
      <c r="O325" s="888">
        <f>Sheet1!DC326</f>
        <v>1082.02</v>
      </c>
      <c r="P325" s="889">
        <f>Calculation!FD328</f>
        <v>1084.0437499999709</v>
      </c>
      <c r="Q325" s="895">
        <f>Calculation!DP328</f>
        <v>1496.0000000040927</v>
      </c>
      <c r="R325" s="888">
        <f t="shared" si="105"/>
        <v>877.00000000409273</v>
      </c>
      <c r="S325" s="890">
        <f t="shared" si="133"/>
        <v>59.000000000336513</v>
      </c>
      <c r="T325" s="895">
        <f ca="1">IF(A325&gt;($A$1-1),#N/A,VLOOKUP(A325,Calculation!$B$8:$JO$503,40,FALSE))</f>
        <v>0</v>
      </c>
      <c r="U325" s="890">
        <f t="shared" si="134"/>
        <v>0</v>
      </c>
      <c r="V325" s="890">
        <f>Calculation!AZ328</f>
        <v>0</v>
      </c>
      <c r="W325" s="895">
        <f t="shared" ca="1" si="128"/>
        <v>0</v>
      </c>
      <c r="X325" s="890">
        <v>0</v>
      </c>
      <c r="Y325" s="890">
        <f t="shared" ca="1" si="129"/>
        <v>0</v>
      </c>
      <c r="Z325" s="890">
        <f t="shared" ca="1" si="113"/>
        <v>0</v>
      </c>
      <c r="AA325" s="890">
        <f t="shared" ca="1" si="135"/>
        <v>0</v>
      </c>
      <c r="AB325" s="895">
        <f t="shared" ca="1" si="130"/>
        <v>1496.0000000040927</v>
      </c>
      <c r="AC325" s="980">
        <f t="shared" ca="1" si="131"/>
        <v>877.00000000409273</v>
      </c>
      <c r="AD325" s="860">
        <f ca="1">IF(A325&gt;$A$1,VLOOKUP(A325,Calculation!$B$8:$JO$880,165,FALSE),VLOOKUP(A325,Calculation!$B$8:$JO$880,165,FALSE))</f>
        <v>1620</v>
      </c>
      <c r="AE325" s="399">
        <f t="shared" ca="1" si="136"/>
        <v>-90</v>
      </c>
      <c r="AF325" s="399">
        <f t="shared" ca="1" si="138"/>
        <v>2239</v>
      </c>
      <c r="AG325" s="841">
        <f>Calculation!G328</f>
        <v>720.75289964716922</v>
      </c>
      <c r="AH325" s="847" t="str">
        <f t="shared" si="137"/>
        <v>Yes</v>
      </c>
      <c r="AI325" s="847" t="str">
        <f>IF(Calculation!K328&gt;0,"Yes","No")</f>
        <v>Yes</v>
      </c>
      <c r="AJ325" s="869">
        <v>2426.2900000036416</v>
      </c>
      <c r="AK325" s="870">
        <v>1212.1000000033105</v>
      </c>
      <c r="AL325" s="870">
        <v>742.30000000242603</v>
      </c>
      <c r="AN325" s="372">
        <v>784.00000000267391</v>
      </c>
      <c r="AO325" s="894">
        <v>3276.6000000080035</v>
      </c>
      <c r="AP325" s="894">
        <v>999.00000000286491</v>
      </c>
      <c r="AQ325" s="894"/>
      <c r="AR325" s="894"/>
      <c r="AS325" s="894"/>
      <c r="AT325" s="894"/>
      <c r="AU325" s="427"/>
      <c r="AV325" s="410"/>
      <c r="AW325" s="442"/>
      <c r="AX325" s="441"/>
      <c r="AY325" s="441"/>
      <c r="AZ325" s="443"/>
      <c r="BB325" s="433"/>
      <c r="BC325" s="432"/>
      <c r="BD325" s="433"/>
      <c r="BE325" s="432"/>
      <c r="BF325" s="433"/>
      <c r="BG325" s="432"/>
      <c r="BH325" s="429"/>
    </row>
    <row r="326" spans="1:60" ht="13.8" thickBot="1" x14ac:dyDescent="0.3">
      <c r="A326" s="406">
        <v>43053</v>
      </c>
      <c r="B326" s="860">
        <f t="shared" si="132"/>
        <v>93.469740000000002</v>
      </c>
      <c r="C326" s="860">
        <f>Calculation!AK329</f>
        <v>0</v>
      </c>
      <c r="D326" s="860">
        <f>Calculation!AI329</f>
        <v>0</v>
      </c>
      <c r="E326" s="860">
        <f>Calculation!AE329</f>
        <v>43.470700000000001</v>
      </c>
      <c r="F326" s="860">
        <f>Calculation!AF329</f>
        <v>49.999040000000001</v>
      </c>
      <c r="G326" s="860">
        <f>Calculation!AG329</f>
        <v>19.662369999998649</v>
      </c>
      <c r="H326" s="861">
        <f>Sheet1!H327</f>
        <v>8.02</v>
      </c>
      <c r="I326" s="841">
        <f>Sheet1!DA327</f>
        <v>1352</v>
      </c>
      <c r="J326" s="841">
        <f>Sheet1!DB327</f>
        <v>1020</v>
      </c>
      <c r="K326" s="841">
        <f>Sheet1!CZ327</f>
        <v>992</v>
      </c>
      <c r="L326" s="865">
        <f>Calculation!F329</f>
        <v>250</v>
      </c>
      <c r="M326" s="865">
        <f>Calculation!E329</f>
        <v>250</v>
      </c>
      <c r="N326" s="865">
        <f>Calculation!D329</f>
        <v>300</v>
      </c>
      <c r="O326" s="888">
        <f>Sheet1!DC327</f>
        <v>1081.05</v>
      </c>
      <c r="P326" s="889">
        <f>Calculation!FD329</f>
        <v>1083.4562499999713</v>
      </c>
      <c r="Q326" s="895">
        <f>Calculation!DP329</f>
        <v>1359.0000000036925</v>
      </c>
      <c r="R326" s="888">
        <f t="shared" ref="R326:R384" si="139">Q326-619</f>
        <v>740.00000000369255</v>
      </c>
      <c r="S326" s="890">
        <f t="shared" si="133"/>
        <v>-137.00000000040018</v>
      </c>
      <c r="T326" s="895">
        <f ca="1">IF(A326&gt;($A$1-1),#N/A,VLOOKUP(A326,Calculation!$B$8:$JO$503,40,FALSE))</f>
        <v>0</v>
      </c>
      <c r="U326" s="890">
        <f t="shared" si="134"/>
        <v>0</v>
      </c>
      <c r="V326" s="890">
        <f>Calculation!AZ329</f>
        <v>0</v>
      </c>
      <c r="W326" s="895">
        <f t="shared" ca="1" si="128"/>
        <v>0</v>
      </c>
      <c r="X326" s="890">
        <v>0</v>
      </c>
      <c r="Y326" s="890">
        <f t="shared" ca="1" si="129"/>
        <v>0</v>
      </c>
      <c r="Z326" s="890">
        <f t="shared" ca="1" si="113"/>
        <v>0</v>
      </c>
      <c r="AA326" s="890">
        <f t="shared" ca="1" si="135"/>
        <v>0</v>
      </c>
      <c r="AB326" s="895">
        <f t="shared" ca="1" si="130"/>
        <v>1359.0000000036925</v>
      </c>
      <c r="AC326" s="980">
        <f t="shared" ca="1" si="131"/>
        <v>740.00000000369255</v>
      </c>
      <c r="AD326" s="860">
        <f ca="1">IF(A326&gt;$A$1,VLOOKUP(A326,Calculation!$B$8:$JO$880,165,FALSE),VLOOKUP(A326,Calculation!$B$8:$JO$880,165,FALSE))</f>
        <v>1530</v>
      </c>
      <c r="AE326" s="399">
        <f t="shared" ca="1" si="136"/>
        <v>-90</v>
      </c>
      <c r="AF326" s="399">
        <f t="shared" ca="1" si="138"/>
        <v>2149</v>
      </c>
      <c r="AG326" s="841">
        <f>Calculation!G329</f>
        <v>922.91275844659594</v>
      </c>
      <c r="AH326" s="847" t="str">
        <f t="shared" si="137"/>
        <v>Yes</v>
      </c>
      <c r="AI326" s="847" t="str">
        <f>IF(Calculation!K329&gt;0,"Yes","No")</f>
        <v>Yes</v>
      </c>
      <c r="AJ326" s="869">
        <v>3006.0400000045984</v>
      </c>
      <c r="AK326" s="870">
        <v>993.80000000310361</v>
      </c>
      <c r="AL326" s="870">
        <v>686.20000000235109</v>
      </c>
      <c r="AN326" s="372">
        <v>1011.0000000031332</v>
      </c>
      <c r="AO326" s="894">
        <v>6063.4000000131145</v>
      </c>
      <c r="AP326" s="894">
        <v>1409.0000000037562</v>
      </c>
      <c r="AQ326" s="894"/>
      <c r="AR326" s="894"/>
      <c r="AS326" s="894"/>
      <c r="AT326" s="894"/>
      <c r="AU326" s="427"/>
      <c r="AV326" s="410"/>
      <c r="AW326" s="442"/>
      <c r="AX326" s="441"/>
      <c r="AY326" s="441"/>
      <c r="AZ326" s="443"/>
      <c r="BB326" s="433"/>
      <c r="BC326" s="432"/>
      <c r="BD326" s="433"/>
      <c r="BE326" s="432"/>
      <c r="BF326" s="433"/>
      <c r="BG326" s="432"/>
      <c r="BH326" s="429"/>
    </row>
    <row r="327" spans="1:60" ht="13.8" thickBot="1" x14ac:dyDescent="0.3">
      <c r="A327" s="406">
        <v>43054</v>
      </c>
      <c r="B327" s="860">
        <f t="shared" si="132"/>
        <v>94.490759999999995</v>
      </c>
      <c r="C327" s="860">
        <f>Calculation!AK330</f>
        <v>0</v>
      </c>
      <c r="D327" s="860">
        <f>Calculation!AI330</f>
        <v>0</v>
      </c>
      <c r="E327" s="860">
        <f>Calculation!AE330</f>
        <v>43.470700000000001</v>
      </c>
      <c r="F327" s="860">
        <f>Calculation!AF330</f>
        <v>51.020059999999994</v>
      </c>
      <c r="G327" s="860">
        <f>Calculation!AG330</f>
        <v>12.963860000001576</v>
      </c>
      <c r="H327" s="861">
        <f>Sheet1!H328</f>
        <v>15.05</v>
      </c>
      <c r="I327" s="841">
        <f>Sheet1!DA328</f>
        <v>1436</v>
      </c>
      <c r="J327" s="841">
        <f>Sheet1!DB328</f>
        <v>1070</v>
      </c>
      <c r="K327" s="841">
        <f>Sheet1!CZ328</f>
        <v>1003</v>
      </c>
      <c r="L327" s="865">
        <f>Calculation!F330</f>
        <v>250</v>
      </c>
      <c r="M327" s="865">
        <f>Calculation!E330</f>
        <v>250</v>
      </c>
      <c r="N327" s="865">
        <f>Calculation!D330</f>
        <v>300</v>
      </c>
      <c r="O327" s="888">
        <f>Sheet1!DC328</f>
        <v>1079</v>
      </c>
      <c r="P327" s="889">
        <f>Calculation!FD330</f>
        <v>1082.8642857142577</v>
      </c>
      <c r="Q327" s="895">
        <f>Calculation!DP330</f>
        <v>1086.0000000031923</v>
      </c>
      <c r="R327" s="888">
        <f t="shared" si="139"/>
        <v>467.00000000319233</v>
      </c>
      <c r="S327" s="890">
        <f t="shared" si="133"/>
        <v>-273.00000000050022</v>
      </c>
      <c r="T327" s="895">
        <f ca="1">IF(A327&gt;($A$1-1),#N/A,VLOOKUP(A327,Calculation!$B$8:$JO$503,40,FALSE))</f>
        <v>0</v>
      </c>
      <c r="U327" s="890">
        <f t="shared" si="134"/>
        <v>0</v>
      </c>
      <c r="V327" s="890">
        <f>Calculation!AZ330</f>
        <v>0</v>
      </c>
      <c r="W327" s="895">
        <f t="shared" ca="1" si="128"/>
        <v>0</v>
      </c>
      <c r="X327" s="890">
        <v>0</v>
      </c>
      <c r="Y327" s="890">
        <f t="shared" ca="1" si="129"/>
        <v>0</v>
      </c>
      <c r="Z327" s="890">
        <f t="shared" ca="1" si="113"/>
        <v>0</v>
      </c>
      <c r="AA327" s="890">
        <f t="shared" ca="1" si="135"/>
        <v>0</v>
      </c>
      <c r="AB327" s="895">
        <f t="shared" ca="1" si="130"/>
        <v>1086.0000000031923</v>
      </c>
      <c r="AC327" s="980">
        <f t="shared" ca="1" si="131"/>
        <v>467.00000000319233</v>
      </c>
      <c r="AD327" s="860">
        <f ca="1">IF(A327&gt;$A$1,VLOOKUP(A327,Calculation!$B$8:$JO$880,165,FALSE),VLOOKUP(A327,Calculation!$B$8:$JO$880,165,FALSE))</f>
        <v>1440</v>
      </c>
      <c r="AE327" s="399">
        <f t="shared" ca="1" si="136"/>
        <v>-90</v>
      </c>
      <c r="AF327" s="399">
        <f t="shared" ca="1" si="138"/>
        <v>2059</v>
      </c>
      <c r="AG327" s="841">
        <f>Calculation!G330</f>
        <v>865.32980332803822</v>
      </c>
      <c r="AH327" s="847" t="str">
        <f t="shared" si="137"/>
        <v>Yes</v>
      </c>
      <c r="AI327" s="847" t="str">
        <f>IF(Calculation!K330&gt;0,"Yes","No")</f>
        <v>Yes</v>
      </c>
      <c r="AJ327" s="869">
        <v>2291.8000000034381</v>
      </c>
      <c r="AK327" s="870">
        <v>995.10000000310367</v>
      </c>
      <c r="AL327" s="870">
        <v>926.00000000257614</v>
      </c>
      <c r="AN327" s="372">
        <v>1024.0000000028922</v>
      </c>
      <c r="AO327" s="894">
        <v>4387.8000000098227</v>
      </c>
      <c r="AP327" s="894">
        <v>1218.8000000035652</v>
      </c>
      <c r="AQ327" s="894"/>
      <c r="AR327" s="894"/>
      <c r="AS327" s="894"/>
      <c r="AT327" s="894"/>
      <c r="AU327" s="427"/>
      <c r="AV327" s="410"/>
      <c r="AW327" s="442"/>
      <c r="AX327" s="441"/>
      <c r="AY327" s="441"/>
      <c r="AZ327" s="443"/>
      <c r="BB327" s="433"/>
      <c r="BC327" s="432"/>
      <c r="BD327" s="433"/>
      <c r="BE327" s="432"/>
      <c r="BF327" s="433"/>
      <c r="BG327" s="432"/>
      <c r="BH327" s="429"/>
    </row>
    <row r="328" spans="1:60" ht="13.8" thickBot="1" x14ac:dyDescent="0.3">
      <c r="A328" s="406">
        <v>43055</v>
      </c>
      <c r="B328" s="860">
        <f t="shared" si="132"/>
        <v>91.566929999999999</v>
      </c>
      <c r="C328" s="860">
        <f>Calculation!AK331</f>
        <v>0</v>
      </c>
      <c r="D328" s="860">
        <f>Calculation!AI331</f>
        <v>0</v>
      </c>
      <c r="E328" s="860">
        <f>Calculation!AE331</f>
        <v>43.45523</v>
      </c>
      <c r="F328" s="860">
        <f>Calculation!AF331</f>
        <v>48.111699999999999</v>
      </c>
      <c r="G328" s="860">
        <f>Calculation!AG331</f>
        <v>12.824630000001351</v>
      </c>
      <c r="H328" s="861">
        <f>Sheet1!H329</f>
        <v>13.6</v>
      </c>
      <c r="I328" s="841">
        <f>Sheet1!DA329</f>
        <v>1366</v>
      </c>
      <c r="J328" s="841">
        <f>Sheet1!DB329</f>
        <v>919</v>
      </c>
      <c r="K328" s="841">
        <f>Sheet1!CZ329</f>
        <v>866</v>
      </c>
      <c r="L328" s="865">
        <f>Calculation!F331</f>
        <v>250</v>
      </c>
      <c r="M328" s="865">
        <f>Calculation!E331</f>
        <v>250</v>
      </c>
      <c r="N328" s="865">
        <f>Calculation!D331</f>
        <v>300</v>
      </c>
      <c r="O328" s="888">
        <f>Sheet1!DC329</f>
        <v>1078.4000000000001</v>
      </c>
      <c r="P328" s="889">
        <f>Calculation!FD331</f>
        <v>1082.2499999999725</v>
      </c>
      <c r="Q328" s="895">
        <f>Calculation!DP331</f>
        <v>1011.0000000031332</v>
      </c>
      <c r="R328" s="888">
        <f t="shared" si="139"/>
        <v>392.00000000313321</v>
      </c>
      <c r="S328" s="890">
        <f t="shared" si="133"/>
        <v>-75.000000000059117</v>
      </c>
      <c r="T328" s="895">
        <f ca="1">IF(A328&gt;($A$1-1),#N/A,VLOOKUP(A328,Calculation!$B$8:$JO$503,40,FALSE))</f>
        <v>0</v>
      </c>
      <c r="U328" s="890">
        <f t="shared" si="134"/>
        <v>0</v>
      </c>
      <c r="V328" s="890">
        <f>Calculation!AZ331</f>
        <v>0</v>
      </c>
      <c r="W328" s="895">
        <f t="shared" ca="1" si="128"/>
        <v>0</v>
      </c>
      <c r="X328" s="890">
        <v>0</v>
      </c>
      <c r="Y328" s="890">
        <f t="shared" ca="1" si="129"/>
        <v>0</v>
      </c>
      <c r="Z328" s="890">
        <f t="shared" ca="1" si="113"/>
        <v>0</v>
      </c>
      <c r="AA328" s="890">
        <f t="shared" ca="1" si="135"/>
        <v>0</v>
      </c>
      <c r="AB328" s="895">
        <f t="shared" ca="1" si="130"/>
        <v>1011.0000000031332</v>
      </c>
      <c r="AC328" s="980">
        <f t="shared" ca="1" si="131"/>
        <v>392.00000000313321</v>
      </c>
      <c r="AD328" s="860">
        <f ca="1">IF(A328&gt;$A$1,VLOOKUP(A328,Calculation!$B$8:$JO$880,165,FALSE),VLOOKUP(A328,Calculation!$B$8:$JO$880,165,FALSE))</f>
        <v>1350</v>
      </c>
      <c r="AE328" s="399">
        <f t="shared" ca="1" si="136"/>
        <v>-90</v>
      </c>
      <c r="AF328" s="399">
        <f t="shared" ca="1" si="138"/>
        <v>1969</v>
      </c>
      <c r="AG328" s="841">
        <f>Calculation!G331</f>
        <v>828.17851739785215</v>
      </c>
      <c r="AH328" s="847" t="str">
        <f t="shared" si="137"/>
        <v>Yes</v>
      </c>
      <c r="AI328" s="847" t="str">
        <f>IF(Calculation!K331&gt;0,"Yes","No")</f>
        <v>Yes</v>
      </c>
      <c r="AJ328" s="869">
        <v>1991.8000000028362</v>
      </c>
      <c r="AK328" s="870">
        <v>625.60000000230104</v>
      </c>
      <c r="AL328" s="870">
        <v>1380.0000000037244</v>
      </c>
      <c r="AN328" s="372">
        <v>927.10000000257617</v>
      </c>
      <c r="AO328" s="894">
        <v>2494.8000000059346</v>
      </c>
      <c r="AP328" s="894">
        <v>1086.0000000031923</v>
      </c>
      <c r="AQ328" s="894"/>
      <c r="AR328" s="894"/>
      <c r="AS328" s="894"/>
      <c r="AT328" s="894"/>
      <c r="AU328" s="427"/>
      <c r="AV328" s="410"/>
      <c r="AW328" s="442"/>
      <c r="AX328" s="441"/>
      <c r="AY328" s="441"/>
      <c r="AZ328" s="443"/>
      <c r="BB328" s="433"/>
      <c r="BC328" s="432"/>
      <c r="BD328" s="433"/>
      <c r="BE328" s="432"/>
      <c r="BF328" s="433"/>
      <c r="BG328" s="432"/>
      <c r="BH328" s="429"/>
    </row>
    <row r="329" spans="1:60" ht="13.8" thickBot="1" x14ac:dyDescent="0.3">
      <c r="A329" s="406">
        <v>43056</v>
      </c>
      <c r="B329" s="860">
        <f t="shared" si="132"/>
        <v>89.88069999999999</v>
      </c>
      <c r="C329" s="860">
        <f>Calculation!AK332</f>
        <v>0</v>
      </c>
      <c r="D329" s="860">
        <f>Calculation!AI332</f>
        <v>0</v>
      </c>
      <c r="E329" s="860">
        <f>Calculation!AE332</f>
        <v>43.45523</v>
      </c>
      <c r="F329" s="860">
        <f>Calculation!AF332</f>
        <v>46.425469999999997</v>
      </c>
      <c r="G329" s="860">
        <f>Calculation!AG332</f>
        <v>11.49421000000045</v>
      </c>
      <c r="H329" s="861">
        <f>Sheet1!H330</f>
        <v>5.1100000000000003</v>
      </c>
      <c r="I329" s="841">
        <f>Sheet1!DA330</f>
        <v>1280</v>
      </c>
      <c r="J329" s="841">
        <f>Sheet1!DB330</f>
        <v>853</v>
      </c>
      <c r="K329" s="841">
        <f>Sheet1!CZ330</f>
        <v>866</v>
      </c>
      <c r="L329" s="865">
        <f>Calculation!F332</f>
        <v>250</v>
      </c>
      <c r="M329" s="865">
        <f>Calculation!E332</f>
        <v>250</v>
      </c>
      <c r="N329" s="865">
        <f>Calculation!D332</f>
        <v>300</v>
      </c>
      <c r="O329" s="888">
        <f>Sheet1!DC330</f>
        <v>1077.97</v>
      </c>
      <c r="P329" s="889">
        <f>Calculation!FD332</f>
        <v>1081.6214285714016</v>
      </c>
      <c r="Q329" s="895">
        <f>Calculation!DP332</f>
        <v>957.4000000028376</v>
      </c>
      <c r="R329" s="888">
        <f t="shared" si="139"/>
        <v>338.4000000028376</v>
      </c>
      <c r="S329" s="890">
        <f t="shared" si="133"/>
        <v>-53.600000000295609</v>
      </c>
      <c r="T329" s="895">
        <f ca="1">IF(A329&gt;($A$1-1),#N/A,VLOOKUP(A329,Calculation!$B$8:$JO$503,40,FALSE))</f>
        <v>0</v>
      </c>
      <c r="U329" s="890">
        <f t="shared" si="134"/>
        <v>0</v>
      </c>
      <c r="V329" s="890">
        <f>Calculation!AZ332</f>
        <v>0</v>
      </c>
      <c r="W329" s="895">
        <f t="shared" ca="1" si="128"/>
        <v>0</v>
      </c>
      <c r="X329" s="890">
        <v>0</v>
      </c>
      <c r="Y329" s="890">
        <f t="shared" ca="1" si="129"/>
        <v>0</v>
      </c>
      <c r="Z329" s="890">
        <f t="shared" ca="1" si="113"/>
        <v>0</v>
      </c>
      <c r="AA329" s="890">
        <f t="shared" ca="1" si="135"/>
        <v>0</v>
      </c>
      <c r="AB329" s="895">
        <f t="shared" ca="1" si="130"/>
        <v>957.4000000028376</v>
      </c>
      <c r="AC329" s="980">
        <f t="shared" ca="1" si="131"/>
        <v>338.4000000028376</v>
      </c>
      <c r="AD329" s="860">
        <f ca="1">IF(A329&gt;$A$1,VLOOKUP(A329,Calculation!$B$8:$JO$880,165,FALSE),VLOOKUP(A329,Calculation!$B$8:$JO$880,165,FALSE))</f>
        <v>1260</v>
      </c>
      <c r="AE329" s="399">
        <f t="shared" ca="1" si="136"/>
        <v>-90</v>
      </c>
      <c r="AF329" s="399">
        <f t="shared" ca="1" si="138"/>
        <v>1879</v>
      </c>
      <c r="AG329" s="841">
        <f>Calculation!G332</f>
        <v>838.97024710020389</v>
      </c>
      <c r="AH329" s="847" t="str">
        <f t="shared" si="137"/>
        <v>Yes</v>
      </c>
      <c r="AI329" s="847" t="str">
        <f>IF(Calculation!K332&gt;0,"Yes","No")</f>
        <v>Yes</v>
      </c>
      <c r="AJ329" s="869">
        <v>2466.3300000036743</v>
      </c>
      <c r="AK329" s="870">
        <v>619.00000000230102</v>
      </c>
      <c r="AL329" s="870">
        <v>1276.2000000033697</v>
      </c>
      <c r="AN329" s="372">
        <v>716.00000000240107</v>
      </c>
      <c r="AO329" s="894">
        <v>16972.300000041989</v>
      </c>
      <c r="AP329" s="894">
        <v>928.20000000257619</v>
      </c>
      <c r="AQ329" s="894"/>
      <c r="AR329" s="894"/>
      <c r="AS329" s="894"/>
      <c r="AT329" s="894"/>
      <c r="AU329" s="427"/>
      <c r="AV329" s="410"/>
      <c r="AW329" s="442"/>
      <c r="AX329" s="441"/>
      <c r="AY329" s="441"/>
      <c r="AZ329" s="443"/>
      <c r="BB329" s="433"/>
      <c r="BC329" s="432"/>
      <c r="BD329" s="433"/>
      <c r="BE329" s="432"/>
      <c r="BF329" s="433"/>
      <c r="BG329" s="432"/>
      <c r="BH329" s="429"/>
    </row>
    <row r="330" spans="1:60" ht="13.8" thickBot="1" x14ac:dyDescent="0.3">
      <c r="A330" s="406">
        <v>43057</v>
      </c>
      <c r="B330" s="860">
        <f t="shared" si="132"/>
        <v>89.772410000000008</v>
      </c>
      <c r="C330" s="860">
        <f>Calculation!AK333</f>
        <v>0</v>
      </c>
      <c r="D330" s="860">
        <f>Calculation!AI333</f>
        <v>0</v>
      </c>
      <c r="E330" s="860">
        <f>Calculation!AE333</f>
        <v>43.424289999999999</v>
      </c>
      <c r="F330" s="860">
        <f>Calculation!AF333</f>
        <v>46.348120000000002</v>
      </c>
      <c r="G330" s="860">
        <f>Calculation!AG333</f>
        <v>4.0840799999990995</v>
      </c>
      <c r="H330" s="861">
        <f>Sheet1!H331</f>
        <v>8.84</v>
      </c>
      <c r="I330" s="841">
        <f>Sheet1!DA331</f>
        <v>1200</v>
      </c>
      <c r="J330" s="841">
        <f>Sheet1!DB331</f>
        <v>842</v>
      </c>
      <c r="K330" s="841">
        <f>Sheet1!CZ331</f>
        <v>842</v>
      </c>
      <c r="L330" s="865">
        <f>Calculation!F333</f>
        <v>250</v>
      </c>
      <c r="M330" s="865">
        <f>Calculation!E333</f>
        <v>250</v>
      </c>
      <c r="N330" s="865">
        <f>Calculation!D333</f>
        <v>300</v>
      </c>
      <c r="O330" s="888">
        <f>Sheet1!DC331</f>
        <v>1075.98</v>
      </c>
      <c r="P330" s="889">
        <f>Calculation!FD333</f>
        <v>1080.984615384589</v>
      </c>
      <c r="Q330" s="895">
        <f>Calculation!DP333</f>
        <v>724.80000000240102</v>
      </c>
      <c r="R330" s="888">
        <f t="shared" si="139"/>
        <v>105.80000000240102</v>
      </c>
      <c r="S330" s="890">
        <f t="shared" si="133"/>
        <v>-232.60000000043658</v>
      </c>
      <c r="T330" s="895">
        <f ca="1">IF(A330&gt;($A$1-1),#N/A,VLOOKUP(A330,Calculation!$B$8:$JO$503,40,FALSE))</f>
        <v>0</v>
      </c>
      <c r="U330" s="890">
        <f t="shared" si="134"/>
        <v>0</v>
      </c>
      <c r="V330" s="890">
        <f>Calculation!AZ333</f>
        <v>0</v>
      </c>
      <c r="W330" s="895">
        <f t="shared" ca="1" si="128"/>
        <v>0</v>
      </c>
      <c r="X330" s="890">
        <v>0</v>
      </c>
      <c r="Y330" s="890">
        <f t="shared" ca="1" si="129"/>
        <v>0</v>
      </c>
      <c r="Z330" s="890">
        <f t="shared" ca="1" si="113"/>
        <v>0</v>
      </c>
      <c r="AA330" s="890">
        <f t="shared" ca="1" si="135"/>
        <v>0</v>
      </c>
      <c r="AB330" s="895">
        <f t="shared" ca="1" si="130"/>
        <v>724.80000000240102</v>
      </c>
      <c r="AC330" s="980">
        <f t="shared" ca="1" si="131"/>
        <v>105.80000000240102</v>
      </c>
      <c r="AD330" s="860">
        <f ca="1">IF(A330&gt;$A$1,VLOOKUP(A330,Calculation!$B$8:$JO$880,165,FALSE),VLOOKUP(A330,Calculation!$B$8:$JO$880,165,FALSE))</f>
        <v>1170</v>
      </c>
      <c r="AE330" s="399">
        <f t="shared" ca="1" si="136"/>
        <v>-90</v>
      </c>
      <c r="AF330" s="399">
        <f t="shared" ca="1" si="138"/>
        <v>1789</v>
      </c>
      <c r="AG330" s="841">
        <f>Calculation!G333</f>
        <v>724.70297528974459</v>
      </c>
      <c r="AH330" s="847" t="str">
        <f t="shared" si="137"/>
        <v>Yes</v>
      </c>
      <c r="AI330" s="847" t="str">
        <f>IF(Calculation!K333&gt;0,"Yes","No")</f>
        <v>Yes</v>
      </c>
      <c r="AJ330" s="869">
        <v>2163.2000000031921</v>
      </c>
      <c r="AK330" s="870">
        <v>599.0000000020691</v>
      </c>
      <c r="AL330" s="870">
        <v>1549.0000000041609</v>
      </c>
      <c r="AN330" s="372">
        <v>619.00000000230102</v>
      </c>
      <c r="AO330" s="894">
        <v>21824.000000054592</v>
      </c>
      <c r="AP330" s="894">
        <v>977.60000000286493</v>
      </c>
      <c r="AQ330" s="894"/>
      <c r="AR330" s="894"/>
      <c r="AS330" s="894"/>
      <c r="AT330" s="894"/>
      <c r="AU330" s="427"/>
      <c r="AV330" s="410"/>
      <c r="AW330" s="442"/>
      <c r="AX330" s="441"/>
      <c r="AY330" s="441"/>
      <c r="AZ330" s="443"/>
      <c r="BB330" s="433"/>
      <c r="BC330" s="432"/>
      <c r="BD330" s="433"/>
      <c r="BE330" s="432"/>
      <c r="BF330" s="433"/>
      <c r="BG330" s="432"/>
      <c r="BH330" s="429"/>
    </row>
    <row r="331" spans="1:60" ht="13.8" thickBot="1" x14ac:dyDescent="0.3">
      <c r="A331" s="406">
        <v>43058</v>
      </c>
      <c r="B331" s="860">
        <f t="shared" si="132"/>
        <v>89.88069999999999</v>
      </c>
      <c r="C331" s="860">
        <f>Calculation!AK334</f>
        <v>0</v>
      </c>
      <c r="D331" s="860">
        <f>Calculation!AI334</f>
        <v>0</v>
      </c>
      <c r="E331" s="860">
        <f>Calculation!AE334</f>
        <v>43.470700000000001</v>
      </c>
      <c r="F331" s="860">
        <f>Calculation!AF334</f>
        <v>46.41</v>
      </c>
      <c r="G331" s="860">
        <f>Calculation!AG334</f>
        <v>42.21763000000135</v>
      </c>
      <c r="H331" s="861">
        <f>Sheet1!H332</f>
        <v>7.53</v>
      </c>
      <c r="I331" s="841">
        <f>Sheet1!DA332</f>
        <v>1030</v>
      </c>
      <c r="J331" s="841">
        <f>Sheet1!DB332</f>
        <v>616</v>
      </c>
      <c r="K331" s="841">
        <f>Sheet1!CZ332</f>
        <v>600</v>
      </c>
      <c r="L331" s="865">
        <f>Calculation!F334</f>
        <v>250</v>
      </c>
      <c r="M331" s="865">
        <f>Calculation!E334</f>
        <v>250</v>
      </c>
      <c r="N331" s="865">
        <f>Calculation!D334</f>
        <v>300</v>
      </c>
      <c r="O331" s="888">
        <f>Sheet1!DC332</f>
        <v>1077.74</v>
      </c>
      <c r="P331" s="889">
        <f>Calculation!FD334</f>
        <v>1080.3214285714027</v>
      </c>
      <c r="Q331" s="895">
        <f>Calculation!DP334</f>
        <v>930.40000000257612</v>
      </c>
      <c r="R331" s="888">
        <f t="shared" si="139"/>
        <v>311.40000000257612</v>
      </c>
      <c r="S331" s="890">
        <f t="shared" si="133"/>
        <v>205.6000000001751</v>
      </c>
      <c r="T331" s="895">
        <f ca="1">IF(A331&gt;($A$1-1),#N/A,VLOOKUP(A331,Calculation!$B$8:$JO$503,40,FALSE))</f>
        <v>0</v>
      </c>
      <c r="U331" s="890">
        <f t="shared" si="134"/>
        <v>0</v>
      </c>
      <c r="V331" s="890">
        <f>Calculation!AZ334</f>
        <v>0</v>
      </c>
      <c r="W331" s="895">
        <f t="shared" ca="1" si="128"/>
        <v>0</v>
      </c>
      <c r="X331" s="890">
        <v>0</v>
      </c>
      <c r="Y331" s="890">
        <f t="shared" ca="1" si="129"/>
        <v>0</v>
      </c>
      <c r="Z331" s="890">
        <f t="shared" ca="1" si="113"/>
        <v>0</v>
      </c>
      <c r="AA331" s="890">
        <f t="shared" ca="1" si="135"/>
        <v>0</v>
      </c>
      <c r="AB331" s="895">
        <f t="shared" ca="1" si="130"/>
        <v>930.40000000257612</v>
      </c>
      <c r="AC331" s="980">
        <f t="shared" ca="1" si="131"/>
        <v>311.40000000257612</v>
      </c>
      <c r="AD331" s="860">
        <f ca="1">IF(A331&gt;$A$1,VLOOKUP(A331,Calculation!$B$8:$JO$880,165,FALSE),VLOOKUP(A331,Calculation!$B$8:$JO$880,165,FALSE))</f>
        <v>1080</v>
      </c>
      <c r="AE331" s="399">
        <f t="shared" ca="1" si="136"/>
        <v>-90</v>
      </c>
      <c r="AF331" s="399">
        <f t="shared" ca="1" si="138"/>
        <v>1699</v>
      </c>
      <c r="AG331" s="841">
        <f>Calculation!G334</f>
        <v>703.68129097336111</v>
      </c>
      <c r="AH331" s="847" t="str">
        <f t="shared" si="137"/>
        <v>Yes</v>
      </c>
      <c r="AI331" s="847" t="str">
        <f>IF(Calculation!K334&gt;0,"Yes","No")</f>
        <v>Yes</v>
      </c>
      <c r="AJ331" s="869">
        <v>1937.6200000027791</v>
      </c>
      <c r="AK331" s="870">
        <v>716.00000000240107</v>
      </c>
      <c r="AL331" s="870">
        <v>2931.0000000070031</v>
      </c>
      <c r="AN331" s="372">
        <v>641.00000000211458</v>
      </c>
      <c r="AO331" s="894">
        <v>18699.600000046412</v>
      </c>
      <c r="AP331" s="894">
        <v>554.00000000202363</v>
      </c>
      <c r="AQ331" s="894"/>
      <c r="AR331" s="894"/>
      <c r="AS331" s="894"/>
      <c r="AT331" s="894"/>
      <c r="AU331" s="427"/>
      <c r="AV331" s="410"/>
      <c r="AW331" s="442"/>
      <c r="AX331" s="441"/>
      <c r="AY331" s="441"/>
      <c r="AZ331" s="443"/>
      <c r="BB331" s="433"/>
      <c r="BC331" s="432"/>
      <c r="BD331" s="433"/>
      <c r="BE331" s="432"/>
      <c r="BF331" s="433"/>
      <c r="BG331" s="432"/>
      <c r="BH331" s="429"/>
    </row>
    <row r="332" spans="1:60" ht="13.8" thickBot="1" x14ac:dyDescent="0.3">
      <c r="A332" s="406">
        <v>43059</v>
      </c>
      <c r="B332" s="860">
        <f t="shared" si="132"/>
        <v>89.741469999999993</v>
      </c>
      <c r="C332" s="860">
        <f>Calculation!AK335</f>
        <v>0</v>
      </c>
      <c r="D332" s="860">
        <f>Calculation!AI335</f>
        <v>0</v>
      </c>
      <c r="E332" s="860">
        <f>Calculation!AE335</f>
        <v>43.346939999999996</v>
      </c>
      <c r="F332" s="860">
        <f>Calculation!AF335</f>
        <v>46.394529999999996</v>
      </c>
      <c r="G332" s="860">
        <f>Calculation!AG335</f>
        <v>0</v>
      </c>
      <c r="H332" s="861">
        <f>Sheet1!H333</f>
        <v>9.6</v>
      </c>
      <c r="I332" s="841">
        <f>Sheet1!DA333</f>
        <v>3330</v>
      </c>
      <c r="J332" s="841">
        <f>Sheet1!DB333</f>
        <v>4450</v>
      </c>
      <c r="K332" s="841">
        <f>Sheet1!CZ333</f>
        <v>4350</v>
      </c>
      <c r="L332" s="865">
        <f>Calculation!F335</f>
        <v>250</v>
      </c>
      <c r="M332" s="865">
        <f>Calculation!E335</f>
        <v>250</v>
      </c>
      <c r="N332" s="865">
        <f>Calculation!D335</f>
        <v>300</v>
      </c>
      <c r="O332" s="888">
        <f>Sheet1!DC333</f>
        <v>1094.05</v>
      </c>
      <c r="P332" s="889">
        <f>Calculation!FD335</f>
        <v>1079.6461538461288</v>
      </c>
      <c r="Q332" s="895">
        <f>Calculation!DP335</f>
        <v>3708.5000000087857</v>
      </c>
      <c r="R332" s="888">
        <f t="shared" si="139"/>
        <v>3089.5000000087857</v>
      </c>
      <c r="S332" s="890">
        <f t="shared" si="133"/>
        <v>2778.1000000062095</v>
      </c>
      <c r="T332" s="895">
        <f ca="1">IF(A332&gt;($A$1-1),#N/A,VLOOKUP(A332,Calculation!$B$8:$JO$503,40,FALSE))</f>
        <v>0</v>
      </c>
      <c r="U332" s="890">
        <f t="shared" si="134"/>
        <v>0</v>
      </c>
      <c r="V332" s="890">
        <f>Calculation!AZ335</f>
        <v>0</v>
      </c>
      <c r="W332" s="895">
        <f t="shared" ca="1" si="128"/>
        <v>0</v>
      </c>
      <c r="X332" s="890">
        <v>0</v>
      </c>
      <c r="Y332" s="890">
        <f t="shared" ca="1" si="129"/>
        <v>0</v>
      </c>
      <c r="Z332" s="890">
        <f t="shared" ca="1" si="113"/>
        <v>0</v>
      </c>
      <c r="AA332" s="890">
        <f t="shared" ca="1" si="135"/>
        <v>0</v>
      </c>
      <c r="AB332" s="895">
        <f t="shared" ca="1" si="130"/>
        <v>3708.5000000087857</v>
      </c>
      <c r="AC332" s="980">
        <f t="shared" ca="1" si="131"/>
        <v>3089.5000000087857</v>
      </c>
      <c r="AD332" s="860">
        <f ca="1">IF(A332&gt;$A$1,VLOOKUP(A332,Calculation!$B$8:$JO$880,165,FALSE),VLOOKUP(A332,Calculation!$B$8:$JO$880,165,FALSE))</f>
        <v>990</v>
      </c>
      <c r="AE332" s="399">
        <f t="shared" ca="1" si="136"/>
        <v>-90</v>
      </c>
      <c r="AF332" s="399">
        <f t="shared" ca="1" si="138"/>
        <v>1609</v>
      </c>
      <c r="AG332" s="841">
        <f>Calculation!G335</f>
        <v>5750.958144229051</v>
      </c>
      <c r="AH332" s="847" t="str">
        <f t="shared" si="137"/>
        <v>Yes</v>
      </c>
      <c r="AI332" s="847" t="str">
        <f>IF(Calculation!K335&gt;0,"Yes","No")</f>
        <v>Yes</v>
      </c>
      <c r="AJ332" s="869">
        <v>1955.2600000028076</v>
      </c>
      <c r="AK332" s="870">
        <v>1655.0000000045111</v>
      </c>
      <c r="AL332" s="870">
        <v>2018.7000000051796</v>
      </c>
      <c r="AN332" s="372">
        <v>674.10000000235107</v>
      </c>
      <c r="AO332" s="894">
        <v>14501.400000034879</v>
      </c>
      <c r="AP332" s="894">
        <v>414.00000000152795</v>
      </c>
      <c r="AQ332" s="894"/>
      <c r="AR332" s="894"/>
      <c r="AS332" s="894"/>
      <c r="AT332" s="894"/>
      <c r="AU332" s="427"/>
      <c r="AV332" s="410"/>
      <c r="AW332" s="442"/>
      <c r="AX332" s="441"/>
      <c r="AY332" s="441"/>
      <c r="AZ332" s="443"/>
      <c r="BB332" s="433"/>
      <c r="BC332" s="432"/>
      <c r="BD332" s="433"/>
      <c r="BE332" s="432"/>
      <c r="BF332" s="433"/>
      <c r="BG332" s="432"/>
      <c r="BH332" s="429"/>
    </row>
    <row r="333" spans="1:60" ht="13.8" thickBot="1" x14ac:dyDescent="0.3">
      <c r="A333" s="406">
        <v>43060</v>
      </c>
      <c r="B333" s="860">
        <f t="shared" si="132"/>
        <v>89.710529999999991</v>
      </c>
      <c r="C333" s="860">
        <f>Calculation!AK336</f>
        <v>0</v>
      </c>
      <c r="D333" s="860">
        <f>Calculation!AI336</f>
        <v>0</v>
      </c>
      <c r="E333" s="860">
        <f>Calculation!AE336</f>
        <v>43.439759999999993</v>
      </c>
      <c r="F333" s="860">
        <f>Calculation!AF336</f>
        <v>46.270769999999999</v>
      </c>
      <c r="G333" s="860">
        <f>Calculation!AG336</f>
        <v>43.934799999999996</v>
      </c>
      <c r="H333" s="861">
        <f>Sheet1!H334</f>
        <v>42.45</v>
      </c>
      <c r="I333" s="841">
        <f>Sheet1!DA334</f>
        <v>5330</v>
      </c>
      <c r="J333" s="841">
        <f>Sheet1!DB334</f>
        <v>4510</v>
      </c>
      <c r="K333" s="841">
        <f>Sheet1!CZ334</f>
        <v>4400</v>
      </c>
      <c r="L333" s="865">
        <f>Calculation!F336</f>
        <v>250</v>
      </c>
      <c r="M333" s="865">
        <f>Calculation!E336</f>
        <v>250</v>
      </c>
      <c r="N333" s="865">
        <f>Calculation!D336</f>
        <v>300</v>
      </c>
      <c r="O333" s="888">
        <f>Sheet1!DC334</f>
        <v>1087.8900000000001</v>
      </c>
      <c r="P333" s="889">
        <f>Calculation!FD336</f>
        <v>1078.9499999999755</v>
      </c>
      <c r="Q333" s="895">
        <f>Calculation!DP336</f>
        <v>2445.3000000055663</v>
      </c>
      <c r="R333" s="888">
        <f t="shared" si="139"/>
        <v>1826.3000000055663</v>
      </c>
      <c r="S333" s="890">
        <f t="shared" si="133"/>
        <v>-1263.2000000032194</v>
      </c>
      <c r="T333" s="895">
        <f ca="1">IF(A333&gt;($A$1-1),#N/A,VLOOKUP(A333,Calculation!$B$8:$JO$503,40,FALSE))</f>
        <v>0</v>
      </c>
      <c r="U333" s="890">
        <f t="shared" si="134"/>
        <v>0</v>
      </c>
      <c r="V333" s="890">
        <f>Calculation!AZ336</f>
        <v>0</v>
      </c>
      <c r="W333" s="895">
        <f t="shared" ca="1" si="128"/>
        <v>0</v>
      </c>
      <c r="X333" s="890">
        <v>0</v>
      </c>
      <c r="Y333" s="890">
        <f t="shared" ca="1" si="129"/>
        <v>0</v>
      </c>
      <c r="Z333" s="890">
        <f t="shared" ca="1" si="113"/>
        <v>0</v>
      </c>
      <c r="AA333" s="890">
        <f t="shared" ca="1" si="135"/>
        <v>0</v>
      </c>
      <c r="AB333" s="895">
        <f t="shared" ca="1" si="130"/>
        <v>2445.3000000055663</v>
      </c>
      <c r="AC333" s="980">
        <f t="shared" ca="1" si="131"/>
        <v>1826.3000000055663</v>
      </c>
      <c r="AD333" s="860">
        <f ca="1">IF(A333&gt;$A$1,VLOOKUP(A333,Calculation!$B$8:$JO$880,165,FALSE),VLOOKUP(A333,Calculation!$B$8:$JO$880,165,FALSE))</f>
        <v>900</v>
      </c>
      <c r="AE333" s="399">
        <f t="shared" ca="1" si="136"/>
        <v>-90</v>
      </c>
      <c r="AF333" s="399">
        <f t="shared" ca="1" si="138"/>
        <v>1519</v>
      </c>
      <c r="AG333" s="841">
        <f>Calculation!G336</f>
        <v>3762.9853756917705</v>
      </c>
      <c r="AH333" s="847" t="str">
        <f t="shared" si="137"/>
        <v>Yes</v>
      </c>
      <c r="AI333" s="847" t="str">
        <f>IF(Calculation!K336&gt;0,"Yes","No")</f>
        <v>Yes</v>
      </c>
      <c r="AJ333" s="869">
        <v>1906.1200000027502</v>
      </c>
      <c r="AK333" s="870">
        <v>2073.4000000049114</v>
      </c>
      <c r="AL333" s="870">
        <v>1344.2000000034288</v>
      </c>
      <c r="AN333" s="372">
        <v>999.00000000286491</v>
      </c>
      <c r="AO333" s="894">
        <v>10198.200000022205</v>
      </c>
      <c r="AP333" s="894">
        <v>874.40000000275575</v>
      </c>
      <c r="AQ333" s="894"/>
      <c r="AR333" s="894"/>
      <c r="AS333" s="894"/>
      <c r="AT333" s="894"/>
      <c r="AU333" s="427"/>
      <c r="AV333" s="410"/>
      <c r="AW333" s="442"/>
      <c r="AX333" s="441"/>
      <c r="AY333" s="441"/>
      <c r="AZ333" s="443"/>
      <c r="BB333" s="433"/>
      <c r="BC333" s="432"/>
      <c r="BD333" s="433"/>
      <c r="BE333" s="432"/>
      <c r="BF333" s="433"/>
      <c r="BG333" s="432"/>
      <c r="BH333" s="429"/>
    </row>
    <row r="334" spans="1:60" ht="13.8" thickBot="1" x14ac:dyDescent="0.3">
      <c r="A334" s="406">
        <v>43061</v>
      </c>
      <c r="B334" s="860">
        <f t="shared" si="132"/>
        <v>89.88069999999999</v>
      </c>
      <c r="C334" s="860">
        <f>Calculation!AK337</f>
        <v>0</v>
      </c>
      <c r="D334" s="860">
        <f>Calculation!AI337</f>
        <v>0</v>
      </c>
      <c r="E334" s="860">
        <f>Calculation!AE337</f>
        <v>43.470700000000001</v>
      </c>
      <c r="F334" s="860">
        <f>Calculation!AF337</f>
        <v>46.41</v>
      </c>
      <c r="G334" s="860">
        <f>Calculation!AG337</f>
        <v>49.890749999999997</v>
      </c>
      <c r="H334" s="861">
        <f>Sheet1!H335</f>
        <v>42.45</v>
      </c>
      <c r="I334" s="841">
        <f>Sheet1!DA335</f>
        <v>5670</v>
      </c>
      <c r="J334" s="841">
        <f>Sheet1!DB335</f>
        <v>4770</v>
      </c>
      <c r="K334" s="841">
        <f>Sheet1!CZ335</f>
        <v>4700</v>
      </c>
      <c r="L334" s="865">
        <f>Calculation!F337</f>
        <v>250</v>
      </c>
      <c r="M334" s="865">
        <f>Calculation!E337</f>
        <v>250</v>
      </c>
      <c r="N334" s="865">
        <f>Calculation!D337</f>
        <v>300</v>
      </c>
      <c r="O334" s="888">
        <f>Sheet1!DC335</f>
        <v>1086.8</v>
      </c>
      <c r="P334" s="889">
        <f>Calculation!FD337</f>
        <v>1078.2307692307454</v>
      </c>
      <c r="Q334" s="895">
        <f>Calculation!DP337</f>
        <v>2253.0000000053728</v>
      </c>
      <c r="R334" s="888">
        <f t="shared" si="139"/>
        <v>1634.0000000053728</v>
      </c>
      <c r="S334" s="890">
        <f t="shared" si="133"/>
        <v>-192.30000000019345</v>
      </c>
      <c r="T334" s="895">
        <f ca="1">IF(A334&gt;($A$1-1),#N/A,VLOOKUP(A334,Calculation!$B$8:$JO$503,40,FALSE))</f>
        <v>0</v>
      </c>
      <c r="U334" s="890">
        <f t="shared" si="134"/>
        <v>0</v>
      </c>
      <c r="V334" s="890">
        <f>Calculation!AZ337</f>
        <v>0</v>
      </c>
      <c r="W334" s="895">
        <f t="shared" ca="1" si="128"/>
        <v>0</v>
      </c>
      <c r="X334" s="890">
        <v>0</v>
      </c>
      <c r="Y334" s="890">
        <f t="shared" ca="1" si="129"/>
        <v>0</v>
      </c>
      <c r="Z334" s="890">
        <f t="shared" ca="1" si="113"/>
        <v>0</v>
      </c>
      <c r="AA334" s="890">
        <f t="shared" ca="1" si="135"/>
        <v>0</v>
      </c>
      <c r="AB334" s="895">
        <f t="shared" ca="1" si="130"/>
        <v>2253.0000000053728</v>
      </c>
      <c r="AC334" s="980">
        <f t="shared" ca="1" si="131"/>
        <v>1634.0000000053728</v>
      </c>
      <c r="AD334" s="860">
        <f ca="1">IF(A334&gt;$A$1,VLOOKUP(A334,Calculation!$B$8:$JO$880,165,FALSE),VLOOKUP(A334,Calculation!$B$8:$JO$880,165,FALSE))</f>
        <v>810</v>
      </c>
      <c r="AE334" s="399">
        <f t="shared" ca="1" si="136"/>
        <v>-90</v>
      </c>
      <c r="AF334" s="399">
        <f t="shared" ca="1" si="138"/>
        <v>1429</v>
      </c>
      <c r="AG334" s="841">
        <f>Calculation!G337</f>
        <v>4603.0257186080717</v>
      </c>
      <c r="AH334" s="847" t="str">
        <f t="shared" si="137"/>
        <v>Yes</v>
      </c>
      <c r="AI334" s="847" t="str">
        <f>IF(Calculation!K337&gt;0,"Yes","No")</f>
        <v>Yes</v>
      </c>
      <c r="AJ334" s="869">
        <v>2026.1000000029558</v>
      </c>
      <c r="AK334" s="870">
        <v>1687.5000000042633</v>
      </c>
      <c r="AL334" s="870">
        <v>1311.0000000036607</v>
      </c>
      <c r="AN334" s="372">
        <v>1625.0000000042292</v>
      </c>
      <c r="AO334" s="894">
        <v>5756.50000001234</v>
      </c>
      <c r="AP334" s="894">
        <v>1014.9000000031332</v>
      </c>
      <c r="AQ334" s="894"/>
      <c r="AR334" s="894"/>
      <c r="AS334" s="894"/>
      <c r="AT334" s="894"/>
      <c r="AU334" s="427"/>
      <c r="AV334" s="410"/>
      <c r="AW334" s="442"/>
      <c r="AX334" s="441"/>
      <c r="AY334" s="441"/>
      <c r="AZ334" s="443"/>
      <c r="BB334" s="433"/>
      <c r="BC334" s="432"/>
      <c r="BD334" s="433"/>
      <c r="BE334" s="432"/>
      <c r="BF334" s="433"/>
      <c r="BG334" s="432"/>
      <c r="BH334" s="429"/>
    </row>
    <row r="335" spans="1:60" ht="13.8" thickBot="1" x14ac:dyDescent="0.3">
      <c r="A335" s="406">
        <v>43062</v>
      </c>
      <c r="B335" s="860">
        <f t="shared" si="132"/>
        <v>89.67958999999999</v>
      </c>
      <c r="C335" s="860">
        <f>Calculation!AK338</f>
        <v>0</v>
      </c>
      <c r="D335" s="860">
        <f>Calculation!AI338</f>
        <v>0</v>
      </c>
      <c r="E335" s="860">
        <f>Calculation!AE338</f>
        <v>43.424289999999999</v>
      </c>
      <c r="F335" s="860">
        <f>Calculation!AF338</f>
        <v>46.255299999999998</v>
      </c>
      <c r="G335" s="860">
        <f>Calculation!AG338</f>
        <v>62.065639999998425</v>
      </c>
      <c r="H335" s="861">
        <f>Sheet1!H336</f>
        <v>68.53</v>
      </c>
      <c r="I335" s="841">
        <f>Sheet1!DA336</f>
        <v>6850</v>
      </c>
      <c r="J335" s="841">
        <f>Sheet1!DB336</f>
        <v>5810</v>
      </c>
      <c r="K335" s="841">
        <f>Sheet1!CZ336</f>
        <v>5670</v>
      </c>
      <c r="L335" s="865">
        <f>Calculation!F338</f>
        <v>250</v>
      </c>
      <c r="M335" s="865">
        <f>Calculation!E338</f>
        <v>250</v>
      </c>
      <c r="N335" s="865">
        <f>Calculation!D338</f>
        <v>300</v>
      </c>
      <c r="O335" s="888">
        <f>Sheet1!DC336</f>
        <v>1106.1300000000001</v>
      </c>
      <c r="P335" s="889">
        <f>Calculation!FD338</f>
        <v>1077.4833333333102</v>
      </c>
      <c r="Q335" s="895">
        <f>Calculation!DP338</f>
        <v>6813.7000000143089</v>
      </c>
      <c r="R335" s="888">
        <f t="shared" si="139"/>
        <v>6194.7000000143089</v>
      </c>
      <c r="S335" s="890">
        <f t="shared" si="133"/>
        <v>4560.7000000089356</v>
      </c>
      <c r="T335" s="895">
        <f ca="1">IF(A335&gt;($A$1-1),#N/A,VLOOKUP(A335,Calculation!$B$8:$JO$503,40,FALSE))</f>
        <v>0</v>
      </c>
      <c r="U335" s="890">
        <f t="shared" si="134"/>
        <v>0</v>
      </c>
      <c r="V335" s="890">
        <f>Calculation!AZ338</f>
        <v>0</v>
      </c>
      <c r="W335" s="895">
        <f t="shared" ca="1" si="128"/>
        <v>0</v>
      </c>
      <c r="X335" s="890">
        <v>0</v>
      </c>
      <c r="Y335" s="890">
        <f t="shared" ca="1" si="129"/>
        <v>0</v>
      </c>
      <c r="Z335" s="890">
        <f t="shared" ca="1" si="113"/>
        <v>0</v>
      </c>
      <c r="AA335" s="890">
        <f t="shared" ca="1" si="135"/>
        <v>0</v>
      </c>
      <c r="AB335" s="895">
        <f t="shared" ca="1" si="130"/>
        <v>6813.7000000143089</v>
      </c>
      <c r="AC335" s="980">
        <f t="shared" ca="1" si="131"/>
        <v>6194.7000000143089</v>
      </c>
      <c r="AD335" s="860">
        <f ca="1">IF(A335&gt;$A$1,VLOOKUP(A335,Calculation!$B$8:$JO$880,165,FALSE),VLOOKUP(A335,Calculation!$B$8:$JO$880,165,FALSE))</f>
        <v>720</v>
      </c>
      <c r="AE335" s="399">
        <f t="shared" ca="1" si="136"/>
        <v>-90</v>
      </c>
      <c r="AF335" s="399">
        <f t="shared" ca="1" si="138"/>
        <v>1339</v>
      </c>
      <c r="AG335" s="841">
        <f>Calculation!G338</f>
        <v>7969.899142717567</v>
      </c>
      <c r="AH335" s="847" t="str">
        <f t="shared" si="137"/>
        <v>Yes</v>
      </c>
      <c r="AI335" s="847" t="str">
        <f>IF(Calculation!K338&gt;0,"Yes","No")</f>
        <v>Yes</v>
      </c>
      <c r="AJ335" s="869">
        <v>2403.8000000035336</v>
      </c>
      <c r="AK335" s="870">
        <v>1056.2000000029195</v>
      </c>
      <c r="AL335" s="870">
        <v>1271.0000000033697</v>
      </c>
      <c r="AN335" s="372">
        <v>2496.6000000059344</v>
      </c>
      <c r="AO335" s="894">
        <v>2556.2000000059752</v>
      </c>
      <c r="AP335" s="894">
        <v>1082.4000000029469</v>
      </c>
      <c r="AQ335" s="894"/>
      <c r="AR335" s="894"/>
      <c r="AS335" s="894"/>
      <c r="AT335" s="894"/>
      <c r="AU335" s="427"/>
      <c r="AV335" s="410"/>
      <c r="AW335" s="442"/>
      <c r="AX335" s="441"/>
      <c r="AY335" s="441"/>
      <c r="AZ335" s="443"/>
      <c r="BB335" s="433"/>
      <c r="BC335" s="432"/>
      <c r="BD335" s="433"/>
      <c r="BE335" s="432"/>
      <c r="BF335" s="433"/>
      <c r="BG335" s="432"/>
      <c r="BH335" s="429"/>
    </row>
    <row r="336" spans="1:60" ht="13.8" thickBot="1" x14ac:dyDescent="0.3">
      <c r="A336" s="406">
        <v>43063</v>
      </c>
      <c r="B336" s="860">
        <f t="shared" si="132"/>
        <v>88.859679999999997</v>
      </c>
      <c r="C336" s="860">
        <f>Calculation!AK339</f>
        <v>0</v>
      </c>
      <c r="D336" s="860">
        <f>Calculation!AI339</f>
        <v>0</v>
      </c>
      <c r="E336" s="860">
        <f>Calculation!AE339</f>
        <v>43.362409999999997</v>
      </c>
      <c r="F336" s="860">
        <f>Calculation!AF339</f>
        <v>45.49727</v>
      </c>
      <c r="G336" s="860">
        <f>Calculation!AG339</f>
        <v>64.711010000002702</v>
      </c>
      <c r="H336" s="861">
        <f>Sheet1!H337</f>
        <v>67.400000000000006</v>
      </c>
      <c r="I336" s="841">
        <f>Sheet1!DA337</f>
        <v>5530</v>
      </c>
      <c r="J336" s="841">
        <f>Sheet1!DB337</f>
        <v>4440</v>
      </c>
      <c r="K336" s="841">
        <f>Sheet1!CZ337</f>
        <v>4280</v>
      </c>
      <c r="L336" s="865">
        <f>Calculation!F339</f>
        <v>250</v>
      </c>
      <c r="M336" s="865">
        <f>Calculation!E339</f>
        <v>250</v>
      </c>
      <c r="N336" s="865">
        <f>Calculation!D339</f>
        <v>300</v>
      </c>
      <c r="O336" s="888">
        <f>Sheet1!DC337</f>
        <v>1114.55</v>
      </c>
      <c r="P336" s="889">
        <f>Calculation!FD339</f>
        <v>1076.7249999999776</v>
      </c>
      <c r="Q336" s="895">
        <f>Calculation!DP339</f>
        <v>9544.5000000210312</v>
      </c>
      <c r="R336" s="888">
        <f t="shared" si="139"/>
        <v>8925.5000000210312</v>
      </c>
      <c r="S336" s="890">
        <f t="shared" si="133"/>
        <v>2730.8000000067223</v>
      </c>
      <c r="T336" s="895">
        <f ca="1">IF(A336&gt;($A$1-1),#N/A,VLOOKUP(A336,Calculation!$B$8:$JO$503,40,FALSE))</f>
        <v>0</v>
      </c>
      <c r="U336" s="890">
        <f t="shared" si="134"/>
        <v>0</v>
      </c>
      <c r="V336" s="890">
        <f>Calculation!AZ339</f>
        <v>0</v>
      </c>
      <c r="W336" s="895">
        <f t="shared" ca="1" si="128"/>
        <v>0</v>
      </c>
      <c r="X336" s="890">
        <v>0</v>
      </c>
      <c r="Y336" s="890">
        <f t="shared" ca="1" si="129"/>
        <v>0</v>
      </c>
      <c r="Z336" s="890">
        <f t="shared" ca="1" si="113"/>
        <v>0</v>
      </c>
      <c r="AA336" s="890">
        <f t="shared" ca="1" si="135"/>
        <v>0</v>
      </c>
      <c r="AB336" s="895">
        <f t="shared" ca="1" si="130"/>
        <v>9544.5000000210312</v>
      </c>
      <c r="AC336" s="980">
        <f t="shared" ca="1" si="131"/>
        <v>8925.5000000210312</v>
      </c>
      <c r="AD336" s="860">
        <f ca="1">IF(A336&gt;$A$1,VLOOKUP(A336,Calculation!$B$8:$JO$880,165,FALSE),VLOOKUP(A336,Calculation!$B$8:$JO$880,165,FALSE))</f>
        <v>630</v>
      </c>
      <c r="AE336" s="399">
        <f t="shared" ca="1" si="136"/>
        <v>-90</v>
      </c>
      <c r="AF336" s="399">
        <f t="shared" ca="1" si="138"/>
        <v>1249</v>
      </c>
      <c r="AG336" s="841">
        <f>Calculation!G339</f>
        <v>5657.1053958682405</v>
      </c>
      <c r="AH336" s="847" t="str">
        <f t="shared" si="137"/>
        <v>Yes</v>
      </c>
      <c r="AI336" s="847" t="str">
        <f>IF(Calculation!K339&gt;0,"Yes","No")</f>
        <v>Yes</v>
      </c>
      <c r="AJ336" s="869">
        <v>2100.2000000030444</v>
      </c>
      <c r="AK336" s="870">
        <v>1337.6000000036925</v>
      </c>
      <c r="AL336" s="870">
        <v>982.40000000286489</v>
      </c>
      <c r="AN336" s="372">
        <v>2195.200000005334</v>
      </c>
      <c r="AO336" s="894">
        <v>1371.6000000037243</v>
      </c>
      <c r="AP336" s="894">
        <v>1000.200000002865</v>
      </c>
      <c r="AQ336" s="894"/>
      <c r="AR336" s="894"/>
      <c r="AS336" s="894"/>
      <c r="AT336" s="894"/>
      <c r="AU336" s="427"/>
      <c r="AV336" s="410"/>
      <c r="AW336" s="442"/>
      <c r="AX336" s="441"/>
      <c r="AY336" s="441"/>
      <c r="AZ336" s="443"/>
      <c r="BB336" s="433"/>
      <c r="BC336" s="432"/>
      <c r="BD336" s="433"/>
      <c r="BE336" s="432"/>
      <c r="BF336" s="433"/>
      <c r="BG336" s="432"/>
      <c r="BH336" s="429"/>
    </row>
    <row r="337" spans="1:60" ht="13.8" thickBot="1" x14ac:dyDescent="0.3">
      <c r="A337" s="406">
        <v>43064</v>
      </c>
      <c r="B337" s="860">
        <f t="shared" si="132"/>
        <v>86.755760000000009</v>
      </c>
      <c r="C337" s="860">
        <f>Calculation!AK340</f>
        <v>0</v>
      </c>
      <c r="D337" s="860">
        <f>Calculation!AI340</f>
        <v>0</v>
      </c>
      <c r="E337" s="860">
        <f>Calculation!AE340</f>
        <v>43.470700000000001</v>
      </c>
      <c r="F337" s="860">
        <f>Calculation!AF340</f>
        <v>43.285060000000001</v>
      </c>
      <c r="G337" s="860">
        <f>Calculation!AG340</f>
        <v>53.665429999997968</v>
      </c>
      <c r="H337" s="861">
        <f>Sheet1!H338</f>
        <v>39.51</v>
      </c>
      <c r="I337" s="841">
        <f>Sheet1!DA338</f>
        <v>5090</v>
      </c>
      <c r="J337" s="841">
        <f>Sheet1!DB338</f>
        <v>4270</v>
      </c>
      <c r="K337" s="841">
        <f>Sheet1!CZ338</f>
        <v>4150</v>
      </c>
      <c r="L337" s="865">
        <f>Calculation!F340</f>
        <v>250</v>
      </c>
      <c r="M337" s="865">
        <f>Calculation!E340</f>
        <v>250</v>
      </c>
      <c r="N337" s="865">
        <f>Calculation!D340</f>
        <v>300</v>
      </c>
      <c r="O337" s="888">
        <f>Sheet1!DC338</f>
        <v>1110.3599999999999</v>
      </c>
      <c r="P337" s="889">
        <f>Calculation!FD340</f>
        <v>1075.9363636363419</v>
      </c>
      <c r="Q337" s="895">
        <f>Calculation!DP340</f>
        <v>8106.2000000169528</v>
      </c>
      <c r="R337" s="888">
        <f t="shared" si="139"/>
        <v>7487.2000000169528</v>
      </c>
      <c r="S337" s="890">
        <f t="shared" si="133"/>
        <v>-1438.3000000040784</v>
      </c>
      <c r="T337" s="895">
        <f ca="1">IF(A337&gt;($A$1-1),#N/A,VLOOKUP(A337,Calculation!$B$8:$JO$503,40,FALSE))</f>
        <v>0</v>
      </c>
      <c r="U337" s="890">
        <f t="shared" si="134"/>
        <v>0</v>
      </c>
      <c r="V337" s="890">
        <f>Calculation!AZ340</f>
        <v>0</v>
      </c>
      <c r="W337" s="895">
        <f t="shared" ca="1" si="128"/>
        <v>0</v>
      </c>
      <c r="X337" s="890">
        <v>0</v>
      </c>
      <c r="Y337" s="890">
        <f t="shared" ca="1" si="129"/>
        <v>0</v>
      </c>
      <c r="Z337" s="890">
        <f t="shared" ca="1" si="113"/>
        <v>0</v>
      </c>
      <c r="AA337" s="890">
        <f t="shared" ca="1" si="135"/>
        <v>0</v>
      </c>
      <c r="AB337" s="895">
        <f t="shared" ca="1" si="130"/>
        <v>8106.2000000169528</v>
      </c>
      <c r="AC337" s="980">
        <f t="shared" ca="1" si="131"/>
        <v>7487.2000000169528</v>
      </c>
      <c r="AD337" s="860">
        <f ca="1">IF(A337&gt;$A$1,VLOOKUP(A337,Calculation!$B$8:$JO$880,165,FALSE),VLOOKUP(A337,Calculation!$B$8:$JO$880,165,FALSE))</f>
        <v>540</v>
      </c>
      <c r="AE337" s="399">
        <f t="shared" ca="1" si="136"/>
        <v>-90</v>
      </c>
      <c r="AF337" s="399">
        <f t="shared" ca="1" si="138"/>
        <v>1159</v>
      </c>
      <c r="AG337" s="841">
        <f>Calculation!G340</f>
        <v>3424.6848209762593</v>
      </c>
      <c r="AH337" s="847" t="str">
        <f t="shared" si="137"/>
        <v>Yes</v>
      </c>
      <c r="AI337" s="847" t="str">
        <f>IF(Calculation!K340&gt;0,"Yes","No")</f>
        <v>Yes</v>
      </c>
      <c r="AJ337" s="869">
        <v>2152.4000000031924</v>
      </c>
      <c r="AK337" s="870">
        <v>3283.1000000076397</v>
      </c>
      <c r="AL337" s="870">
        <v>706.00000000216005</v>
      </c>
      <c r="AN337" s="372">
        <v>8025.3000000174079</v>
      </c>
      <c r="AO337" s="894">
        <v>1404.5000000039904</v>
      </c>
      <c r="AP337" s="894">
        <v>1038.6000000031331</v>
      </c>
      <c r="AQ337" s="894"/>
      <c r="AR337" s="894"/>
      <c r="AS337" s="894"/>
      <c r="AT337" s="894"/>
      <c r="AU337" s="427"/>
      <c r="AV337" s="410"/>
      <c r="AW337" s="442"/>
      <c r="AX337" s="441"/>
      <c r="AY337" s="441"/>
      <c r="AZ337" s="443"/>
      <c r="BB337" s="433"/>
      <c r="BC337" s="432"/>
      <c r="BD337" s="433"/>
      <c r="BE337" s="432"/>
      <c r="BF337" s="433"/>
      <c r="BG337" s="432"/>
      <c r="BH337" s="429"/>
    </row>
    <row r="338" spans="1:60" ht="13.8" thickBot="1" x14ac:dyDescent="0.3">
      <c r="A338" s="406">
        <v>43065</v>
      </c>
      <c r="B338" s="860">
        <f t="shared" si="132"/>
        <v>86.724819999999994</v>
      </c>
      <c r="C338" s="860">
        <f>Calculation!AK341</f>
        <v>0</v>
      </c>
      <c r="D338" s="860">
        <f>Calculation!AI341</f>
        <v>0</v>
      </c>
      <c r="E338" s="860">
        <f>Calculation!AE341</f>
        <v>43.424289999999999</v>
      </c>
      <c r="F338" s="860">
        <f>Calculation!AF341</f>
        <v>43.300529999999995</v>
      </c>
      <c r="G338" s="860">
        <f>Calculation!AG341</f>
        <v>41.27396000000045</v>
      </c>
      <c r="H338" s="861">
        <f>Sheet1!H339</f>
        <v>17.940000000000001</v>
      </c>
      <c r="I338" s="841">
        <f>Sheet1!DA339</f>
        <v>4920</v>
      </c>
      <c r="J338" s="841">
        <f>Sheet1!DB339</f>
        <v>4000</v>
      </c>
      <c r="K338" s="841">
        <f>Sheet1!CZ339</f>
        <v>3840</v>
      </c>
      <c r="L338" s="865">
        <f>Calculation!F341</f>
        <v>250</v>
      </c>
      <c r="M338" s="865">
        <f>Calculation!E341</f>
        <v>250</v>
      </c>
      <c r="N338" s="865">
        <f>Calculation!D341</f>
        <v>300</v>
      </c>
      <c r="O338" s="888">
        <f>Sheet1!DC339</f>
        <v>1100.49</v>
      </c>
      <c r="P338" s="889">
        <f>Calculation!FD341</f>
        <v>1075.099999999979</v>
      </c>
      <c r="Q338" s="895">
        <f>Calculation!DP341</f>
        <v>5265.4000000114684</v>
      </c>
      <c r="R338" s="888">
        <f t="shared" si="139"/>
        <v>4646.4000000114684</v>
      </c>
      <c r="S338" s="890">
        <f t="shared" si="133"/>
        <v>-2840.8000000054844</v>
      </c>
      <c r="T338" s="895">
        <f ca="1">IF(A338&gt;($A$1-1),#N/A,VLOOKUP(A338,Calculation!$B$8:$JO$503,40,FALSE))</f>
        <v>0</v>
      </c>
      <c r="U338" s="890">
        <f t="shared" si="134"/>
        <v>0</v>
      </c>
      <c r="V338" s="890">
        <f>Calculation!AZ341</f>
        <v>0</v>
      </c>
      <c r="W338" s="895">
        <f t="shared" ca="1" si="128"/>
        <v>0</v>
      </c>
      <c r="X338" s="890">
        <v>0</v>
      </c>
      <c r="Y338" s="890">
        <f t="shared" ca="1" si="129"/>
        <v>0</v>
      </c>
      <c r="Z338" s="890">
        <f t="shared" ca="1" si="113"/>
        <v>0</v>
      </c>
      <c r="AA338" s="890">
        <f t="shared" ca="1" si="135"/>
        <v>0</v>
      </c>
      <c r="AB338" s="895">
        <f t="shared" ca="1" si="130"/>
        <v>5265.4000000114684</v>
      </c>
      <c r="AC338" s="980">
        <f t="shared" ca="1" si="131"/>
        <v>4646.4000000114684</v>
      </c>
      <c r="AD338" s="860">
        <f ca="1">IF(A338&gt;$A$1,VLOOKUP(A338,Calculation!$B$8:$JO$880,165,FALSE),VLOOKUP(A338,Calculation!$B$8:$JO$880,165,FALSE))</f>
        <v>450</v>
      </c>
      <c r="AE338" s="399">
        <f t="shared" ca="1" si="136"/>
        <v>-90</v>
      </c>
      <c r="AF338" s="399">
        <f t="shared" ca="1" si="138"/>
        <v>1069</v>
      </c>
      <c r="AG338" s="841">
        <f>Calculation!G341</f>
        <v>2407.4230963159434</v>
      </c>
      <c r="AH338" s="847" t="str">
        <f t="shared" si="137"/>
        <v>Yes</v>
      </c>
      <c r="AI338" s="847" t="str">
        <f>IF(Calculation!K341&gt;0,"Yes","No")</f>
        <v>Yes</v>
      </c>
      <c r="AJ338" s="869">
        <v>2353.4000000035016</v>
      </c>
      <c r="AK338" s="870">
        <v>2907.0000000069576</v>
      </c>
      <c r="AL338" s="870">
        <v>696.10000000237608</v>
      </c>
      <c r="AN338" s="372">
        <v>11673.000000026594</v>
      </c>
      <c r="AO338" s="894">
        <v>1664.6000000045474</v>
      </c>
      <c r="AP338" s="894">
        <v>1066.2000000031628</v>
      </c>
      <c r="AQ338" s="894"/>
      <c r="AR338" s="894"/>
      <c r="AS338" s="894"/>
      <c r="AT338" s="894"/>
      <c r="AU338" s="427"/>
      <c r="AV338" s="410"/>
      <c r="AW338" s="442"/>
      <c r="AX338" s="441"/>
      <c r="AY338" s="441"/>
      <c r="AZ338" s="443"/>
      <c r="BB338" s="433"/>
      <c r="BC338" s="432"/>
      <c r="BD338" s="433"/>
      <c r="BE338" s="432"/>
      <c r="BF338" s="433"/>
      <c r="BG338" s="432"/>
      <c r="BH338" s="429"/>
    </row>
    <row r="339" spans="1:60" ht="13.8" thickBot="1" x14ac:dyDescent="0.3">
      <c r="A339" s="406">
        <v>43066</v>
      </c>
      <c r="B339" s="860">
        <f t="shared" si="132"/>
        <v>88.797799999999995</v>
      </c>
      <c r="C339" s="860">
        <f>Calculation!AK342</f>
        <v>0</v>
      </c>
      <c r="D339" s="860">
        <f>Calculation!AI342</f>
        <v>0</v>
      </c>
      <c r="E339" s="860">
        <f>Calculation!AE342</f>
        <v>43.207709999999999</v>
      </c>
      <c r="F339" s="860">
        <f>Calculation!AF342</f>
        <v>45.590089999999996</v>
      </c>
      <c r="G339" s="860">
        <f>Calculation!AG342</f>
        <v>35.379889999998426</v>
      </c>
      <c r="H339" s="861">
        <f>Sheet1!H340</f>
        <v>13.95</v>
      </c>
      <c r="I339" s="841">
        <f>Sheet1!DA340</f>
        <v>3862</v>
      </c>
      <c r="J339" s="841">
        <f>Sheet1!DB340</f>
        <v>2960</v>
      </c>
      <c r="K339" s="841">
        <f>Sheet1!CZ340</f>
        <v>2806</v>
      </c>
      <c r="L339" s="865">
        <f>Calculation!F342</f>
        <v>250</v>
      </c>
      <c r="M339" s="865">
        <f>Calculation!E342</f>
        <v>250</v>
      </c>
      <c r="N339" s="865">
        <f>Calculation!D342</f>
        <v>300</v>
      </c>
      <c r="O339" s="888">
        <f>Sheet1!DC340</f>
        <v>1089.6099999999999</v>
      </c>
      <c r="P339" s="889">
        <f>Calculation!FD342</f>
        <v>1074.2199999999798</v>
      </c>
      <c r="Q339" s="895">
        <f>Calculation!DP342</f>
        <v>2769.9000000064802</v>
      </c>
      <c r="R339" s="888">
        <f t="shared" si="139"/>
        <v>2150.9000000064802</v>
      </c>
      <c r="S339" s="890">
        <f t="shared" si="133"/>
        <v>-2495.5000000049881</v>
      </c>
      <c r="T339" s="895">
        <f ca="1">IF(A339&gt;($A$1-1),#N/A,VLOOKUP(A339,Calculation!$B$8:$JO$503,40,FALSE))</f>
        <v>0</v>
      </c>
      <c r="U339" s="890">
        <f t="shared" si="134"/>
        <v>0</v>
      </c>
      <c r="V339" s="890">
        <f>Calculation!AZ342</f>
        <v>0</v>
      </c>
      <c r="W339" s="895">
        <f t="shared" ca="1" si="128"/>
        <v>0</v>
      </c>
      <c r="X339" s="890">
        <v>0</v>
      </c>
      <c r="Y339" s="890">
        <f t="shared" ca="1" si="129"/>
        <v>0</v>
      </c>
      <c r="Z339" s="890">
        <f t="shared" ca="1" si="113"/>
        <v>0</v>
      </c>
      <c r="AA339" s="890">
        <f t="shared" ca="1" si="135"/>
        <v>0</v>
      </c>
      <c r="AB339" s="895">
        <f t="shared" ca="1" si="130"/>
        <v>2769.9000000064802</v>
      </c>
      <c r="AC339" s="980">
        <f t="shared" ca="1" si="131"/>
        <v>2150.9000000064802</v>
      </c>
      <c r="AD339" s="860">
        <f ca="1">IF(A339&gt;$A$1,VLOOKUP(A339,Calculation!$B$8:$JO$880,165,FALSE),VLOOKUP(A339,Calculation!$B$8:$JO$880,165,FALSE))</f>
        <v>360</v>
      </c>
      <c r="AE339" s="399">
        <f t="shared" ca="1" si="136"/>
        <v>-90</v>
      </c>
      <c r="AF339" s="399">
        <f t="shared" ca="1" si="138"/>
        <v>979</v>
      </c>
      <c r="AG339" s="841">
        <f>Calculation!G342</f>
        <v>1547.553202216345</v>
      </c>
      <c r="AH339" s="847" t="str">
        <f t="shared" si="137"/>
        <v>Yes</v>
      </c>
      <c r="AI339" s="847" t="str">
        <f>IF(Calculation!K342&gt;0,"Yes","No")</f>
        <v>Yes</v>
      </c>
      <c r="AJ339" s="869">
        <v>2773.6700000042438</v>
      </c>
      <c r="AK339" s="870">
        <v>1672.5000000042633</v>
      </c>
      <c r="AL339" s="870">
        <v>777.40000000245107</v>
      </c>
      <c r="AN339" s="372">
        <v>6574.0000000140444</v>
      </c>
      <c r="AO339" s="894">
        <v>1784.0000000043656</v>
      </c>
      <c r="AP339" s="894">
        <v>1122.400000003222</v>
      </c>
      <c r="AQ339" s="894"/>
      <c r="AR339" s="894"/>
      <c r="AS339" s="894"/>
      <c r="AT339" s="894"/>
      <c r="AU339" s="427"/>
      <c r="AV339" s="410"/>
      <c r="AW339" s="442"/>
      <c r="AX339" s="441"/>
      <c r="AY339" s="441"/>
      <c r="AZ339" s="443"/>
      <c r="BB339" s="433"/>
      <c r="BC339" s="432"/>
      <c r="BD339" s="433"/>
      <c r="BE339" s="432"/>
      <c r="BF339" s="433"/>
      <c r="BG339" s="432"/>
      <c r="BH339" s="429"/>
    </row>
    <row r="340" spans="1:60" ht="13.8" thickBot="1" x14ac:dyDescent="0.3">
      <c r="A340" s="406">
        <v>43067</v>
      </c>
      <c r="B340" s="860">
        <f t="shared" si="132"/>
        <v>89.586770000000001</v>
      </c>
      <c r="C340" s="860">
        <f>Calculation!AK343</f>
        <v>0</v>
      </c>
      <c r="D340" s="860">
        <f>Calculation!AI343</f>
        <v>0</v>
      </c>
      <c r="E340" s="860">
        <f>Calculation!AE343</f>
        <v>43.315999999999995</v>
      </c>
      <c r="F340" s="860">
        <f>Calculation!AF343</f>
        <v>46.270769999999999</v>
      </c>
      <c r="G340" s="860">
        <f>Calculation!AG343</f>
        <v>35.611940000000672</v>
      </c>
      <c r="H340" s="861">
        <f>Sheet1!H341</f>
        <v>15.05</v>
      </c>
      <c r="I340" s="841">
        <f>Sheet1!DA341</f>
        <v>3229</v>
      </c>
      <c r="J340" s="841">
        <f>Sheet1!DB341</f>
        <v>2360</v>
      </c>
      <c r="K340" s="841">
        <f>Sheet1!CZ341</f>
        <v>2157</v>
      </c>
      <c r="L340" s="865">
        <f>Calculation!F343</f>
        <v>250</v>
      </c>
      <c r="M340" s="865">
        <f>Calculation!E343</f>
        <v>250</v>
      </c>
      <c r="N340" s="865">
        <f>Calculation!D343</f>
        <v>300</v>
      </c>
      <c r="O340" s="888">
        <f>Sheet1!DC341</f>
        <v>1083.9100000000001</v>
      </c>
      <c r="P340" s="889">
        <f>Calculation!FD343</f>
        <v>1073.2899999999806</v>
      </c>
      <c r="Q340" s="895">
        <f>Calculation!DP343</f>
        <v>1779.5000000043656</v>
      </c>
      <c r="R340" s="888">
        <f t="shared" si="139"/>
        <v>1160.5000000043656</v>
      </c>
      <c r="S340" s="890">
        <f t="shared" si="133"/>
        <v>-990.40000000211467</v>
      </c>
      <c r="T340" s="895">
        <f ca="1">IF(A340&gt;($A$1-1),#N/A,VLOOKUP(A340,Calculation!$B$8:$JO$503,40,FALSE))</f>
        <v>0</v>
      </c>
      <c r="U340" s="890">
        <f t="shared" si="134"/>
        <v>0</v>
      </c>
      <c r="V340" s="890">
        <f>Calculation!AZ343</f>
        <v>0</v>
      </c>
      <c r="W340" s="895">
        <f t="shared" ca="1" si="128"/>
        <v>0</v>
      </c>
      <c r="X340" s="890">
        <v>0</v>
      </c>
      <c r="Y340" s="890">
        <f t="shared" ca="1" si="129"/>
        <v>0</v>
      </c>
      <c r="Z340" s="890">
        <f t="shared" ca="1" si="113"/>
        <v>0</v>
      </c>
      <c r="AA340" s="890">
        <f t="shared" ca="1" si="135"/>
        <v>0</v>
      </c>
      <c r="AB340" s="895">
        <f t="shared" ca="1" si="130"/>
        <v>1779.5000000043656</v>
      </c>
      <c r="AC340" s="980">
        <f t="shared" ca="1" si="131"/>
        <v>1160.5000000043656</v>
      </c>
      <c r="AD340" s="860">
        <f ca="1">IF(A340&gt;$A$1,VLOOKUP(A340,Calculation!$B$8:$JO$880,165,FALSE),VLOOKUP(A340,Calculation!$B$8:$JO$880,165,FALSE))</f>
        <v>270</v>
      </c>
      <c r="AE340" s="399">
        <f t="shared" ca="1" si="136"/>
        <v>-90</v>
      </c>
      <c r="AF340" s="399">
        <f t="shared" ca="1" si="138"/>
        <v>889</v>
      </c>
      <c r="AG340" s="841">
        <f>Calculation!G343</f>
        <v>1657.5547150770981</v>
      </c>
      <c r="AH340" s="847" t="str">
        <f t="shared" si="137"/>
        <v>Yes</v>
      </c>
      <c r="AI340" s="847" t="str">
        <f>IF(Calculation!K343&gt;0,"Yes","No")</f>
        <v>Yes</v>
      </c>
      <c r="AJ340" s="869">
        <v>3143.2600000048255</v>
      </c>
      <c r="AK340" s="870">
        <v>991.2000000031037</v>
      </c>
      <c r="AL340" s="870">
        <v>821.20000000247614</v>
      </c>
      <c r="AN340" s="372">
        <v>2287.0000000057298</v>
      </c>
      <c r="AO340" s="894">
        <v>1770.0000000046202</v>
      </c>
      <c r="AP340" s="894">
        <v>1177.000000003281</v>
      </c>
      <c r="AQ340" s="894"/>
      <c r="AR340" s="894"/>
      <c r="AS340" s="894"/>
      <c r="AT340" s="894"/>
      <c r="AU340" s="427"/>
      <c r="AV340" s="410"/>
      <c r="AW340" s="442"/>
      <c r="AX340" s="441"/>
      <c r="AY340" s="441"/>
      <c r="AZ340" s="443"/>
      <c r="BB340" s="433"/>
      <c r="BC340" s="432"/>
      <c r="BD340" s="433"/>
      <c r="BE340" s="432"/>
      <c r="BF340" s="433"/>
      <c r="BG340" s="432"/>
      <c r="BH340" s="429"/>
    </row>
    <row r="341" spans="1:60" ht="13.8" thickBot="1" x14ac:dyDescent="0.3">
      <c r="A341" s="406">
        <v>43068</v>
      </c>
      <c r="B341" s="860">
        <f t="shared" si="132"/>
        <v>89.710529999999991</v>
      </c>
      <c r="C341" s="860">
        <f>Calculation!AK344</f>
        <v>0</v>
      </c>
      <c r="D341" s="860">
        <f>Calculation!AI344</f>
        <v>0</v>
      </c>
      <c r="E341" s="860">
        <f>Calculation!AE344</f>
        <v>43.315999999999995</v>
      </c>
      <c r="F341" s="860">
        <f>Calculation!AF344</f>
        <v>46.394529999999996</v>
      </c>
      <c r="G341" s="860">
        <f>Calculation!AG344</f>
        <v>21.395010000002699</v>
      </c>
      <c r="H341" s="861">
        <f>Sheet1!H342</f>
        <v>13.26</v>
      </c>
      <c r="I341" s="841">
        <f>Sheet1!DA342</f>
        <v>2735</v>
      </c>
      <c r="J341" s="841">
        <f>Sheet1!DB342</f>
        <v>1970</v>
      </c>
      <c r="K341" s="841">
        <f>Sheet1!CZ342</f>
        <v>1849</v>
      </c>
      <c r="L341" s="865">
        <f>Calculation!F344</f>
        <v>250</v>
      </c>
      <c r="M341" s="865">
        <f>Calculation!E344</f>
        <v>250</v>
      </c>
      <c r="N341" s="865">
        <f>Calculation!D344</f>
        <v>300</v>
      </c>
      <c r="O341" s="888">
        <f>Sheet1!DC342</f>
        <v>1081.6300000000001</v>
      </c>
      <c r="P341" s="889">
        <f>Calculation!FD344</f>
        <v>1072.2624999999816</v>
      </c>
      <c r="Q341" s="895">
        <f>Calculation!DP344</f>
        <v>1441.2000000037881</v>
      </c>
      <c r="R341" s="888">
        <f t="shared" si="139"/>
        <v>822.20000000378809</v>
      </c>
      <c r="S341" s="890">
        <f t="shared" si="133"/>
        <v>-338.30000000057748</v>
      </c>
      <c r="T341" s="895">
        <f ca="1">IF(A341&gt;($A$1-1),#N/A,VLOOKUP(A341,Calculation!$B$8:$JO$503,40,FALSE))</f>
        <v>0</v>
      </c>
      <c r="U341" s="890">
        <f t="shared" si="134"/>
        <v>0</v>
      </c>
      <c r="V341" s="890">
        <f>Calculation!AZ344</f>
        <v>0</v>
      </c>
      <c r="W341" s="895">
        <f t="shared" ca="1" si="128"/>
        <v>0</v>
      </c>
      <c r="X341" s="890">
        <v>0</v>
      </c>
      <c r="Y341" s="890">
        <f t="shared" ca="1" si="129"/>
        <v>0</v>
      </c>
      <c r="Z341" s="890">
        <f t="shared" ca="1" si="113"/>
        <v>0</v>
      </c>
      <c r="AA341" s="890">
        <f t="shared" ca="1" si="135"/>
        <v>0</v>
      </c>
      <c r="AB341" s="895">
        <f t="shared" ca="1" si="130"/>
        <v>1441.2000000037881</v>
      </c>
      <c r="AC341" s="980">
        <f t="shared" ca="1" si="131"/>
        <v>822.20000000378809</v>
      </c>
      <c r="AD341" s="860">
        <f ca="1">IF(A341&gt;$A$1,VLOOKUP(A341,Calculation!$B$8:$JO$880,165,FALSE),VLOOKUP(A341,Calculation!$B$8:$JO$880,165,FALSE))</f>
        <v>180</v>
      </c>
      <c r="AE341" s="399">
        <f t="shared" ca="1" si="136"/>
        <v>-90</v>
      </c>
      <c r="AF341" s="399">
        <f t="shared" ca="1" si="138"/>
        <v>799</v>
      </c>
      <c r="AG341" s="841">
        <f>Calculation!G344</f>
        <v>1678.3998991424219</v>
      </c>
      <c r="AH341" s="847" t="str">
        <f t="shared" si="137"/>
        <v>Yes</v>
      </c>
      <c r="AI341" s="847" t="str">
        <f>IF(Calculation!K344&gt;0,"Yes","No")</f>
        <v>Yes</v>
      </c>
      <c r="AJ341" s="869">
        <v>2462.0400000036743</v>
      </c>
      <c r="AK341" s="870">
        <v>866.00000000275577</v>
      </c>
      <c r="AL341" s="870">
        <v>765.30000000242603</v>
      </c>
      <c r="AN341" s="372">
        <v>727.00000000261934</v>
      </c>
      <c r="AO341" s="894">
        <v>1653.5000000042292</v>
      </c>
      <c r="AP341" s="894">
        <v>1251.4000000035971</v>
      </c>
      <c r="AQ341" s="894"/>
      <c r="AR341" s="894"/>
      <c r="AS341" s="894"/>
      <c r="AT341" s="894"/>
      <c r="AU341" s="427"/>
      <c r="AV341" s="410"/>
      <c r="AW341" s="442"/>
      <c r="AX341" s="441"/>
      <c r="AY341" s="441"/>
      <c r="AZ341" s="443"/>
      <c r="BB341" s="433"/>
      <c r="BC341" s="432"/>
      <c r="BD341" s="433"/>
      <c r="BE341" s="432"/>
      <c r="BF341" s="433"/>
      <c r="BG341" s="432"/>
      <c r="BH341" s="429"/>
    </row>
    <row r="342" spans="1:60" ht="13.8" thickBot="1" x14ac:dyDescent="0.3">
      <c r="A342" s="406">
        <v>43069</v>
      </c>
      <c r="B342" s="860">
        <f t="shared" si="132"/>
        <v>89.710529999999991</v>
      </c>
      <c r="C342" s="860">
        <f>Calculation!AK345</f>
        <v>0</v>
      </c>
      <c r="D342" s="860">
        <f>Calculation!AI345</f>
        <v>0</v>
      </c>
      <c r="E342" s="860">
        <f>Calculation!AE345</f>
        <v>43.315999999999995</v>
      </c>
      <c r="F342" s="860">
        <f>Calculation!AF345</f>
        <v>46.394529999999996</v>
      </c>
      <c r="G342" s="860">
        <f>Calculation!AG345</f>
        <v>16.197089999996173</v>
      </c>
      <c r="H342" s="861">
        <f>Sheet1!H343</f>
        <v>11.56</v>
      </c>
      <c r="I342" s="841">
        <f>Sheet1!DA343</f>
        <v>2460</v>
      </c>
      <c r="J342" s="841">
        <f>Sheet1!DB343</f>
        <v>1770</v>
      </c>
      <c r="K342" s="841">
        <f>Sheet1!CZ343</f>
        <v>1594</v>
      </c>
      <c r="L342" s="865">
        <f>Calculation!F345</f>
        <v>250</v>
      </c>
      <c r="M342" s="865">
        <f>Calculation!E345</f>
        <v>250</v>
      </c>
      <c r="N342" s="865">
        <f>Calculation!D345</f>
        <v>300</v>
      </c>
      <c r="O342" s="888">
        <f>Sheet1!DC343</f>
        <v>1081.0899999999999</v>
      </c>
      <c r="P342" s="889">
        <f>Calculation!FD345</f>
        <v>1070.9999999999827</v>
      </c>
      <c r="Q342" s="895">
        <f>Calculation!DP345</f>
        <v>1364.6000000036925</v>
      </c>
      <c r="R342" s="888">
        <f t="shared" si="139"/>
        <v>745.60000000369246</v>
      </c>
      <c r="S342" s="890">
        <f t="shared" si="133"/>
        <v>-76.600000000095633</v>
      </c>
      <c r="T342" s="895">
        <f ca="1">IF(A342&gt;($A$1-1),#N/A,VLOOKUP(A342,Calculation!$B$8:$JO$503,40,FALSE))</f>
        <v>0</v>
      </c>
      <c r="U342" s="890">
        <f t="shared" si="134"/>
        <v>0</v>
      </c>
      <c r="V342" s="890">
        <f>Calculation!AZ345</f>
        <v>0</v>
      </c>
      <c r="W342" s="895">
        <f t="shared" ca="1" si="128"/>
        <v>0</v>
      </c>
      <c r="X342" s="890">
        <v>0</v>
      </c>
      <c r="Y342" s="890">
        <f t="shared" ca="1" si="129"/>
        <v>0</v>
      </c>
      <c r="Z342" s="890">
        <f t="shared" ca="1" si="113"/>
        <v>0</v>
      </c>
      <c r="AA342" s="890">
        <f t="shared" ca="1" si="135"/>
        <v>0</v>
      </c>
      <c r="AB342" s="895">
        <f t="shared" ca="1" si="130"/>
        <v>1364.6000000036925</v>
      </c>
      <c r="AC342" s="980">
        <f t="shared" ca="1" si="131"/>
        <v>745.60000000369246</v>
      </c>
      <c r="AD342" s="860">
        <f ca="1">IF(A342&gt;$A$1,VLOOKUP(A342,Calculation!$B$8:$JO$880,165,FALSE),VLOOKUP(A342,Calculation!$B$8:$JO$880,165,FALSE))</f>
        <v>90</v>
      </c>
      <c r="AE342" s="399">
        <f t="shared" ca="1" si="136"/>
        <v>-90</v>
      </c>
      <c r="AF342" s="399">
        <f t="shared" ca="1" si="138"/>
        <v>709</v>
      </c>
      <c r="AG342" s="841">
        <f>Calculation!G345</f>
        <v>1555.3716591023219</v>
      </c>
      <c r="AH342" s="847" t="str">
        <f t="shared" si="137"/>
        <v>Yes</v>
      </c>
      <c r="AI342" s="847" t="str">
        <f>IF(Calculation!K345&gt;0,"Yes","No")</f>
        <v>Yes</v>
      </c>
      <c r="AJ342" s="869">
        <v>1964.0800000028075</v>
      </c>
      <c r="AK342" s="870">
        <v>773.00000000245109</v>
      </c>
      <c r="AL342" s="870">
        <v>679.60000000235107</v>
      </c>
      <c r="AN342" s="372">
        <v>900.80000000278301</v>
      </c>
      <c r="AO342" s="894">
        <v>1404.5000000039904</v>
      </c>
      <c r="AP342" s="894">
        <v>1368.8000000036925</v>
      </c>
      <c r="AQ342" s="894"/>
      <c r="AR342" s="894"/>
      <c r="AS342" s="894"/>
      <c r="AT342" s="894"/>
      <c r="AU342" s="427"/>
      <c r="AV342" s="410"/>
      <c r="AW342" s="442"/>
      <c r="AX342" s="441"/>
      <c r="AY342" s="441"/>
      <c r="AZ342" s="443"/>
      <c r="BB342" s="433"/>
      <c r="BC342" s="432"/>
      <c r="BD342" s="433"/>
      <c r="BE342" s="432"/>
      <c r="BF342" s="433"/>
      <c r="BG342" s="432"/>
      <c r="BH342" s="429"/>
    </row>
    <row r="343" spans="1:60" ht="13.8" thickBot="1" x14ac:dyDescent="0.3">
      <c r="A343" s="406">
        <v>43070</v>
      </c>
      <c r="B343" s="860">
        <f t="shared" si="132"/>
        <v>87.250799999999998</v>
      </c>
      <c r="C343" s="860">
        <f>Calculation!AK346</f>
        <v>0</v>
      </c>
      <c r="D343" s="860">
        <f>Calculation!AI346</f>
        <v>0</v>
      </c>
      <c r="E343" s="860">
        <f>Calculation!AE346</f>
        <v>43.315999999999995</v>
      </c>
      <c r="F343" s="860">
        <f>Calculation!AF346</f>
        <v>43.934799999999996</v>
      </c>
      <c r="G343" s="860">
        <f>Calculation!AG346</f>
        <v>3.233230000000225</v>
      </c>
      <c r="H343" s="861">
        <f>Sheet1!H344</f>
        <v>8.36</v>
      </c>
      <c r="I343" s="841">
        <f>Sheet1!DA344</f>
        <v>2270</v>
      </c>
      <c r="J343" s="841">
        <f>Sheet1!DB344</f>
        <v>1680</v>
      </c>
      <c r="K343" s="841">
        <f>Sheet1!CZ344</f>
        <v>1520</v>
      </c>
      <c r="L343" s="865">
        <f>Calculation!F346</f>
        <v>250</v>
      </c>
      <c r="M343" s="865">
        <f>Calculation!E346</f>
        <v>250</v>
      </c>
      <c r="N343" s="865">
        <f>Calculation!D346</f>
        <v>300</v>
      </c>
      <c r="O343" s="888">
        <f>Sheet1!DC344</f>
        <v>1081.3699999999999</v>
      </c>
      <c r="P343" s="889">
        <f>Calculation!FD346</f>
        <v>1069.2199999999843</v>
      </c>
      <c r="Q343" s="895">
        <f>Calculation!DP346</f>
        <v>1404.5000000039904</v>
      </c>
      <c r="R343" s="888">
        <f t="shared" si="139"/>
        <v>785.50000000399041</v>
      </c>
      <c r="S343" s="890">
        <f t="shared" si="133"/>
        <v>39.90000000029795</v>
      </c>
      <c r="T343" s="895">
        <f ca="1">IF(A343&gt;($A$1-1),#N/A,VLOOKUP(A343,Calculation!$B$8:$JO$503,40,FALSE))</f>
        <v>0</v>
      </c>
      <c r="U343" s="890">
        <f t="shared" si="134"/>
        <v>0</v>
      </c>
      <c r="V343" s="890">
        <f>Calculation!AZ346</f>
        <v>0</v>
      </c>
      <c r="W343" s="895">
        <f t="shared" ca="1" si="128"/>
        <v>0</v>
      </c>
      <c r="X343" s="890">
        <v>0</v>
      </c>
      <c r="Y343" s="890">
        <f t="shared" ca="1" si="129"/>
        <v>0</v>
      </c>
      <c r="Z343" s="890">
        <f t="shared" ca="1" si="113"/>
        <v>0</v>
      </c>
      <c r="AA343" s="890">
        <f t="shared" ca="1" si="135"/>
        <v>0</v>
      </c>
      <c r="AB343" s="895">
        <f t="shared" ca="1" si="130"/>
        <v>1404.5000000039904</v>
      </c>
      <c r="AC343" s="980">
        <f t="shared" ca="1" si="131"/>
        <v>785.50000000399041</v>
      </c>
      <c r="AD343" s="860">
        <f ca="1">IF(A343&gt;$A$1,VLOOKUP(A343,Calculation!$B$8:$JO$880,165,FALSE),VLOOKUP(A343,Calculation!$B$8:$JO$880,165,FALSE))</f>
        <v>0</v>
      </c>
      <c r="AE343" s="399">
        <f t="shared" ca="1" si="136"/>
        <v>-90</v>
      </c>
      <c r="AF343" s="399">
        <f t="shared" ca="1" si="138"/>
        <v>619</v>
      </c>
      <c r="AG343" s="841">
        <f>Calculation!G346</f>
        <v>1540.1210287444769</v>
      </c>
      <c r="AH343" s="847" t="str">
        <f t="shared" si="137"/>
        <v>Yes</v>
      </c>
      <c r="AI343" s="847" t="str">
        <f>IF(Calculation!K346&gt;0,"Yes","No")</f>
        <v>Yes</v>
      </c>
      <c r="AJ343" s="869">
        <v>1898.5600000027503</v>
      </c>
      <c r="AK343" s="870">
        <v>743.40000000242605</v>
      </c>
      <c r="AL343" s="870">
        <v>2692.0000000067757</v>
      </c>
      <c r="AN343" s="372">
        <v>996.40000000310363</v>
      </c>
      <c r="AO343" s="894">
        <v>1036.0000000031332</v>
      </c>
      <c r="AP343" s="894">
        <v>1354.8000000036925</v>
      </c>
      <c r="AQ343" s="894"/>
      <c r="AR343" s="894"/>
      <c r="AS343" s="894"/>
      <c r="AT343" s="894"/>
      <c r="AU343" s="427"/>
      <c r="AV343" s="410"/>
      <c r="AW343" s="442"/>
      <c r="AX343" s="441"/>
      <c r="AY343" s="441"/>
      <c r="AZ343" s="443"/>
      <c r="BB343" s="433"/>
      <c r="BC343" s="432"/>
      <c r="BD343" s="433"/>
      <c r="BE343" s="432"/>
      <c r="BF343" s="433"/>
      <c r="BG343" s="432"/>
      <c r="BH343" s="429"/>
    </row>
    <row r="344" spans="1:60" ht="13.8" thickBot="1" x14ac:dyDescent="0.3">
      <c r="A344" s="406">
        <v>43071</v>
      </c>
      <c r="B344" s="860">
        <f t="shared" si="132"/>
        <v>82.393219999999999</v>
      </c>
      <c r="C344" s="860">
        <f>Calculation!AK347</f>
        <v>0</v>
      </c>
      <c r="D344" s="860">
        <f>Calculation!AI347</f>
        <v>0</v>
      </c>
      <c r="E344" s="860">
        <f>Calculation!AE347</f>
        <v>43.470700000000001</v>
      </c>
      <c r="F344" s="860">
        <f>Calculation!AF347</f>
        <v>38.922519999999999</v>
      </c>
      <c r="G344" s="860">
        <f>Calculation!AG347</f>
        <v>0</v>
      </c>
      <c r="H344" s="861">
        <f>Sheet1!H345</f>
        <v>6.2</v>
      </c>
      <c r="I344" s="841">
        <f>Sheet1!DA345</f>
        <v>2520</v>
      </c>
      <c r="J344" s="841">
        <f>Sheet1!DB345</f>
        <v>1690</v>
      </c>
      <c r="K344" s="841">
        <f>Sheet1!CZ345</f>
        <v>1510</v>
      </c>
      <c r="L344" s="865">
        <f>Calculation!F347</f>
        <v>250</v>
      </c>
      <c r="M344" s="865">
        <f>Calculation!E347</f>
        <v>250</v>
      </c>
      <c r="N344" s="865">
        <f>Calculation!D347</f>
        <v>300</v>
      </c>
      <c r="O344" s="888">
        <f>Sheet1!DC345</f>
        <v>1080.76</v>
      </c>
      <c r="P344" s="889">
        <f>Calculation!FD347</f>
        <v>1066.3999999999869</v>
      </c>
      <c r="Q344" s="895">
        <f>Calculation!DP347</f>
        <v>1319.4000000036608</v>
      </c>
      <c r="R344" s="888">
        <f t="shared" si="139"/>
        <v>700.40000000366081</v>
      </c>
      <c r="S344" s="890">
        <f t="shared" si="133"/>
        <v>-85.100000000329601</v>
      </c>
      <c r="T344" s="895">
        <f ca="1">IF(A344&gt;($A$1-1),#N/A,VLOOKUP(A344,Calculation!$B$8:$JO$503,40,FALSE))</f>
        <v>0</v>
      </c>
      <c r="U344" s="890">
        <f t="shared" si="134"/>
        <v>0</v>
      </c>
      <c r="V344" s="890">
        <f>Calculation!AZ347</f>
        <v>0</v>
      </c>
      <c r="W344" s="895">
        <f t="shared" ca="1" si="128"/>
        <v>0</v>
      </c>
      <c r="X344" s="890">
        <v>0</v>
      </c>
      <c r="Y344" s="890">
        <f t="shared" ca="1" si="129"/>
        <v>0</v>
      </c>
      <c r="Z344" s="890">
        <f t="shared" ca="1" si="113"/>
        <v>0</v>
      </c>
      <c r="AA344" s="890">
        <f t="shared" ca="1" si="135"/>
        <v>0</v>
      </c>
      <c r="AB344" s="895">
        <f t="shared" ca="1" si="130"/>
        <v>1319.4000000036608</v>
      </c>
      <c r="AC344" s="980">
        <f t="shared" ca="1" si="131"/>
        <v>700.40000000366081</v>
      </c>
      <c r="AD344" s="860" t="e">
        <f ca="1">IF(A344&gt;$A$1,VLOOKUP(A344,Calculation!$B$8:$JO$880,165,FALSE),VLOOKUP(A344,Calculation!$B$8:$JO$880,165,FALSE))</f>
        <v>#N/A</v>
      </c>
      <c r="AE344" s="399" t="e">
        <f t="shared" ca="1" si="136"/>
        <v>#N/A</v>
      </c>
      <c r="AF344" s="399"/>
      <c r="AG344" s="841">
        <f>Calculation!G347</f>
        <v>1467.0852244072971</v>
      </c>
      <c r="AH344" s="847" t="str">
        <f t="shared" si="137"/>
        <v>Yes</v>
      </c>
      <c r="AI344" s="847" t="str">
        <f>IF(Calculation!K347&gt;0,"Yes","No")</f>
        <v>Yes</v>
      </c>
      <c r="AJ344" s="869">
        <v>1972.9000000028364</v>
      </c>
      <c r="AK344" s="870">
        <v>724.80000000240102</v>
      </c>
      <c r="AL344" s="870">
        <v>4380.6000000098229</v>
      </c>
      <c r="AN344" s="372">
        <v>1027.6000000028921</v>
      </c>
      <c r="AO344" s="894">
        <v>644.00000000211458</v>
      </c>
      <c r="AP344" s="894">
        <v>1292.400000003629</v>
      </c>
      <c r="AQ344" s="894"/>
      <c r="AR344" s="894"/>
      <c r="AS344" s="894"/>
      <c r="AT344" s="894"/>
      <c r="AU344" s="427"/>
      <c r="AV344" s="410"/>
      <c r="AW344" s="442"/>
      <c r="AX344" s="441"/>
      <c r="AY344" s="441"/>
      <c r="AZ344" s="443"/>
      <c r="BB344" s="433"/>
      <c r="BC344" s="432"/>
      <c r="BD344" s="433"/>
      <c r="BE344" s="432"/>
      <c r="BF344" s="433"/>
      <c r="BG344" s="432"/>
      <c r="BH344" s="429"/>
    </row>
    <row r="345" spans="1:60" ht="13.8" thickBot="1" x14ac:dyDescent="0.3">
      <c r="A345" s="406">
        <v>43072</v>
      </c>
      <c r="B345" s="860">
        <f t="shared" si="132"/>
        <v>81.991</v>
      </c>
      <c r="C345" s="860">
        <f>Calculation!AK348</f>
        <v>0</v>
      </c>
      <c r="D345" s="860">
        <f>Calculation!AI348</f>
        <v>0</v>
      </c>
      <c r="E345" s="860">
        <f>Calculation!AE348</f>
        <v>43.161299999999997</v>
      </c>
      <c r="F345" s="860">
        <f>Calculation!AF348</f>
        <v>38.829700000000003</v>
      </c>
      <c r="G345" s="860">
        <f>Calculation!AG348</f>
        <v>0</v>
      </c>
      <c r="H345" s="861">
        <f>Sheet1!H346</f>
        <v>6.78</v>
      </c>
      <c r="I345" s="841">
        <f>Sheet1!DA346</f>
        <v>2440</v>
      </c>
      <c r="J345" s="841">
        <f>Sheet1!DB346</f>
        <v>1640</v>
      </c>
      <c r="K345" s="841">
        <f>Sheet1!CZ346</f>
        <v>1480</v>
      </c>
      <c r="L345" s="865">
        <f>Calculation!F348</f>
        <v>250</v>
      </c>
      <c r="M345" s="865">
        <f>Calculation!E348</f>
        <v>250</v>
      </c>
      <c r="N345" s="865">
        <f>Calculation!D348</f>
        <v>300</v>
      </c>
      <c r="O345" s="888">
        <f>Sheet1!DC346</f>
        <v>1079.18</v>
      </c>
      <c r="P345" s="889">
        <f>Calculation!FD348</f>
        <v>1049</v>
      </c>
      <c r="Q345" s="895">
        <f>Calculation!DP348</f>
        <v>1109.400000003222</v>
      </c>
      <c r="R345" s="888">
        <f t="shared" si="139"/>
        <v>490.40000000322198</v>
      </c>
      <c r="S345" s="890">
        <f t="shared" si="133"/>
        <v>-210.00000000043883</v>
      </c>
      <c r="T345" s="895">
        <f ca="1">IF(A345&gt;($A$1-1),#N/A,VLOOKUP(A345,Calculation!$B$8:$JO$503,40,FALSE))</f>
        <v>0</v>
      </c>
      <c r="U345" s="890">
        <f t="shared" si="134"/>
        <v>0</v>
      </c>
      <c r="V345" s="890">
        <f>Calculation!AZ348</f>
        <v>0</v>
      </c>
      <c r="W345" s="895">
        <f t="shared" ca="1" si="128"/>
        <v>0</v>
      </c>
      <c r="X345" s="890">
        <v>0</v>
      </c>
      <c r="Y345" s="890">
        <f t="shared" ca="1" si="129"/>
        <v>0</v>
      </c>
      <c r="Z345" s="890">
        <f t="shared" ca="1" si="113"/>
        <v>0</v>
      </c>
      <c r="AA345" s="890">
        <f t="shared" ca="1" si="135"/>
        <v>0</v>
      </c>
      <c r="AB345" s="895">
        <f t="shared" ca="1" si="130"/>
        <v>1109.400000003222</v>
      </c>
      <c r="AC345" s="980">
        <f t="shared" ca="1" si="131"/>
        <v>490.40000000322198</v>
      </c>
      <c r="AD345" s="860" t="e">
        <f ca="1">IF(A345&gt;$A$1,VLOOKUP(A345,Calculation!$B$8:$JO$880,165,FALSE),VLOOKUP(A345,Calculation!$B$8:$JO$880,165,FALSE))</f>
        <v>#N/A</v>
      </c>
      <c r="AE345" s="399" t="e">
        <f t="shared" ca="1" si="136"/>
        <v>#N/A</v>
      </c>
      <c r="AF345" s="399"/>
      <c r="AG345" s="841">
        <f>Calculation!G348</f>
        <v>1374.0998487138484</v>
      </c>
      <c r="AH345" s="847" t="str">
        <f t="shared" si="137"/>
        <v>Yes</v>
      </c>
      <c r="AI345" s="847" t="str">
        <f>IF(Calculation!K348&gt;0,"Yes","No")</f>
        <v>Yes</v>
      </c>
      <c r="AJ345" s="869">
        <v>1933.8400000027789</v>
      </c>
      <c r="AK345" s="870">
        <v>981.20000000286495</v>
      </c>
      <c r="AL345" s="870">
        <v>2394.0000000058117</v>
      </c>
      <c r="AN345" s="372">
        <v>904.40000000278303</v>
      </c>
      <c r="AO345" s="894">
        <v>665.300000002351</v>
      </c>
      <c r="AP345" s="894">
        <v>1813.8000000046929</v>
      </c>
      <c r="AQ345" s="894"/>
      <c r="AR345" s="894"/>
      <c r="AS345" s="894"/>
      <c r="AT345" s="894"/>
      <c r="AU345" s="427"/>
      <c r="AV345" s="410"/>
      <c r="AW345" s="442"/>
      <c r="AX345" s="441"/>
      <c r="AY345" s="441"/>
      <c r="AZ345" s="443"/>
      <c r="BB345" s="433"/>
      <c r="BC345" s="432"/>
      <c r="BD345" s="433"/>
      <c r="BE345" s="432"/>
      <c r="BF345" s="433"/>
      <c r="BG345" s="432"/>
      <c r="BH345" s="429"/>
    </row>
    <row r="346" spans="1:60" ht="13.8" thickBot="1" x14ac:dyDescent="0.3">
      <c r="A346" s="406">
        <v>43073</v>
      </c>
      <c r="B346" s="860">
        <f t="shared" si="132"/>
        <v>84.620899999999992</v>
      </c>
      <c r="C346" s="860">
        <f>Calculation!AK349</f>
        <v>0</v>
      </c>
      <c r="D346" s="860">
        <f>Calculation!AI349</f>
        <v>0</v>
      </c>
      <c r="E346" s="860">
        <f>Calculation!AE349</f>
        <v>42.542499999999997</v>
      </c>
      <c r="F346" s="860">
        <f>Calculation!AF349</f>
        <v>42.078399999999995</v>
      </c>
      <c r="G346" s="860">
        <f>Calculation!AG349</f>
        <v>17.775030000002477</v>
      </c>
      <c r="H346" s="861">
        <f>Sheet1!H347</f>
        <v>21.29</v>
      </c>
      <c r="I346" s="841">
        <f>Sheet1!DA347</f>
        <v>2150</v>
      </c>
      <c r="J346" s="841">
        <f>Sheet1!DB347</f>
        <v>1410</v>
      </c>
      <c r="K346" s="841">
        <f>Sheet1!CZ347</f>
        <v>1270</v>
      </c>
      <c r="L346" s="865">
        <f>Calculation!F349</f>
        <v>250</v>
      </c>
      <c r="M346" s="865">
        <f>Calculation!E349</f>
        <v>250</v>
      </c>
      <c r="N346" s="865">
        <f>Calculation!D349</f>
        <v>300</v>
      </c>
      <c r="O346" s="888">
        <f>Sheet1!DC347</f>
        <v>1076.46</v>
      </c>
      <c r="P346" s="889" t="e">
        <f>Calculation!FD349</f>
        <v>#N/A</v>
      </c>
      <c r="Q346" s="895">
        <f>Calculation!DP349</f>
        <v>779.60000000245111</v>
      </c>
      <c r="R346" s="888">
        <f t="shared" si="139"/>
        <v>160.60000000245111</v>
      </c>
      <c r="S346" s="890">
        <f t="shared" si="133"/>
        <v>-329.80000000077086</v>
      </c>
      <c r="T346" s="895">
        <f ca="1">IF(A346&gt;($A$1-1),#N/A,VLOOKUP(A346,Calculation!$B$8:$JO$503,40,FALSE))</f>
        <v>0</v>
      </c>
      <c r="U346" s="890">
        <f t="shared" si="134"/>
        <v>0</v>
      </c>
      <c r="V346" s="890">
        <f>Calculation!AZ349</f>
        <v>0</v>
      </c>
      <c r="W346" s="895">
        <f t="shared" ca="1" si="128"/>
        <v>0</v>
      </c>
      <c r="X346" s="890">
        <v>0</v>
      </c>
      <c r="Y346" s="890">
        <f t="shared" ca="1" si="129"/>
        <v>0</v>
      </c>
      <c r="Z346" s="890">
        <f t="shared" ca="1" si="113"/>
        <v>0</v>
      </c>
      <c r="AA346" s="890">
        <f t="shared" ca="1" si="135"/>
        <v>0</v>
      </c>
      <c r="AB346" s="895">
        <f t="shared" ca="1" si="130"/>
        <v>779.60000000245111</v>
      </c>
      <c r="AC346" s="980">
        <f t="shared" ca="1" si="131"/>
        <v>160.60000000245111</v>
      </c>
      <c r="AD346" s="860" t="e">
        <f ca="1">IF(A346&gt;$A$1,VLOOKUP(A346,Calculation!$B$8:$JO$880,165,FALSE),VLOOKUP(A346,Calculation!$B$8:$JO$880,165,FALSE))</f>
        <v>#N/A</v>
      </c>
      <c r="AE346" s="399" t="e">
        <f t="shared" ca="1" si="136"/>
        <v>#N/A</v>
      </c>
      <c r="AF346" s="399"/>
      <c r="AG346" s="841">
        <f>Calculation!G349</f>
        <v>1103.6863338372311</v>
      </c>
      <c r="AH346" s="847" t="str">
        <f t="shared" si="137"/>
        <v>Yes</v>
      </c>
      <c r="AI346" s="847" t="str">
        <f>IF(Calculation!K349&gt;0,"Yes","No")</f>
        <v>Yes</v>
      </c>
      <c r="AJ346" s="869">
        <v>1844.6400000026076</v>
      </c>
      <c r="AK346" s="870">
        <v>1250.0000000035971</v>
      </c>
      <c r="AL346" s="870">
        <v>1089.9000000031924</v>
      </c>
      <c r="AN346" s="372">
        <v>764.20000000242612</v>
      </c>
      <c r="AO346" s="894">
        <v>790.00000000267391</v>
      </c>
      <c r="AP346" s="894">
        <v>2002.6000000048384</v>
      </c>
      <c r="AQ346" s="894"/>
      <c r="AR346" s="894"/>
      <c r="AS346" s="894"/>
      <c r="AT346" s="894"/>
      <c r="AU346" s="427"/>
      <c r="AV346" s="410"/>
      <c r="AW346" s="442"/>
      <c r="AX346" s="441"/>
      <c r="AY346" s="441"/>
      <c r="AZ346" s="443"/>
      <c r="BB346" s="433"/>
      <c r="BC346" s="432"/>
      <c r="BD346" s="433"/>
      <c r="BE346" s="432"/>
      <c r="BF346" s="433"/>
      <c r="BG346" s="432"/>
      <c r="BH346" s="429"/>
    </row>
    <row r="347" spans="1:60" ht="13.8" thickBot="1" x14ac:dyDescent="0.3">
      <c r="A347" s="406">
        <v>43074</v>
      </c>
      <c r="B347" s="860">
        <f t="shared" si="132"/>
        <v>86.152429999999995</v>
      </c>
      <c r="C347" s="860">
        <f>Calculation!AK350</f>
        <v>0</v>
      </c>
      <c r="D347" s="860">
        <f>Calculation!AI350</f>
        <v>0</v>
      </c>
      <c r="E347" s="860">
        <f>Calculation!AE350</f>
        <v>39.742429999999999</v>
      </c>
      <c r="F347" s="860">
        <f>Calculation!AF350</f>
        <v>46.41</v>
      </c>
      <c r="G347" s="860">
        <f>Calculation!AG350</f>
        <v>67.294499999999999</v>
      </c>
      <c r="H347" s="861">
        <f>Sheet1!H348</f>
        <v>62.2</v>
      </c>
      <c r="I347" s="841">
        <f>Sheet1!DA348</f>
        <v>1810</v>
      </c>
      <c r="J347" s="841">
        <f>Sheet1!DB348</f>
        <v>1120</v>
      </c>
      <c r="K347" s="841">
        <f>Sheet1!CZ348</f>
        <v>998</v>
      </c>
      <c r="L347" s="865">
        <f>Calculation!F350</f>
        <v>250</v>
      </c>
      <c r="M347" s="865">
        <f>Calculation!E350</f>
        <v>250</v>
      </c>
      <c r="N347" s="865">
        <f>Calculation!D350</f>
        <v>300</v>
      </c>
      <c r="O347" s="888">
        <f>Sheet1!DC348</f>
        <v>1075.5999999999999</v>
      </c>
      <c r="P347" s="889" t="e">
        <f>Calculation!FD350</f>
        <v>#N/A</v>
      </c>
      <c r="Q347" s="895">
        <f>Calculation!DP350</f>
        <v>684.00000000235104</v>
      </c>
      <c r="R347" s="888">
        <f t="shared" si="139"/>
        <v>65.000000002351044</v>
      </c>
      <c r="S347" s="890">
        <f t="shared" si="133"/>
        <v>-95.600000000100067</v>
      </c>
      <c r="T347" s="895">
        <f ca="1">IF(A347&gt;($A$1-1),#N/A,VLOOKUP(A347,Calculation!$B$8:$JO$503,40,FALSE))</f>
        <v>0</v>
      </c>
      <c r="U347" s="890">
        <f t="shared" si="134"/>
        <v>0</v>
      </c>
      <c r="V347" s="890">
        <f>Calculation!AZ350</f>
        <v>0</v>
      </c>
      <c r="W347" s="895">
        <f t="shared" ca="1" si="128"/>
        <v>0</v>
      </c>
      <c r="X347" s="890">
        <v>0</v>
      </c>
      <c r="Y347" s="890">
        <f t="shared" ca="1" si="129"/>
        <v>0</v>
      </c>
      <c r="Z347" s="890">
        <f t="shared" ca="1" si="113"/>
        <v>0</v>
      </c>
      <c r="AA347" s="890">
        <f t="shared" ca="1" si="135"/>
        <v>0</v>
      </c>
      <c r="AB347" s="895">
        <f t="shared" ca="1" si="130"/>
        <v>684.00000000235104</v>
      </c>
      <c r="AC347" s="980">
        <f t="shared" ca="1" si="131"/>
        <v>65.000000002351044</v>
      </c>
      <c r="AD347" s="860" t="e">
        <f ca="1">IF(A347&gt;$A$1,VLOOKUP(A347,Calculation!$B$8:$JO$880,165,FALSE),VLOOKUP(A347,Calculation!$B$8:$JO$880,165,FALSE))</f>
        <v>#N/A</v>
      </c>
      <c r="AE347" s="399" t="e">
        <f t="shared" ca="1" si="136"/>
        <v>#N/A</v>
      </c>
      <c r="AF347" s="399"/>
      <c r="AG347" s="841">
        <f>Calculation!G350</f>
        <v>949.79021684311647</v>
      </c>
      <c r="AH347" s="847" t="str">
        <f t="shared" si="137"/>
        <v>Yes</v>
      </c>
      <c r="AI347" s="847" t="str">
        <f>IF(Calculation!K350&gt;0,"Yes","No")</f>
        <v>Yes</v>
      </c>
      <c r="AJ347" s="869">
        <v>1856.8400000026354</v>
      </c>
      <c r="AK347" s="870">
        <v>1787.0000000043656</v>
      </c>
      <c r="AL347" s="870">
        <v>809.40000000270118</v>
      </c>
      <c r="AN347" s="372">
        <v>750.00000000264663</v>
      </c>
      <c r="AO347" s="894">
        <v>945.40000000281032</v>
      </c>
      <c r="AP347" s="894">
        <v>1428.6000000037561</v>
      </c>
      <c r="AQ347" s="894"/>
      <c r="AR347" s="894"/>
      <c r="AS347" s="894"/>
      <c r="AT347" s="894"/>
      <c r="AU347" s="427"/>
      <c r="AV347" s="410"/>
      <c r="AW347" s="442"/>
      <c r="AX347" s="441"/>
      <c r="AY347" s="441"/>
      <c r="AZ347" s="443"/>
      <c r="BB347" s="433"/>
      <c r="BC347" s="432"/>
      <c r="BD347" s="433"/>
      <c r="BE347" s="432"/>
      <c r="BF347" s="433"/>
      <c r="BG347" s="432"/>
      <c r="BH347" s="429"/>
    </row>
    <row r="348" spans="1:60" ht="13.8" thickBot="1" x14ac:dyDescent="0.3">
      <c r="A348" s="406">
        <v>43075</v>
      </c>
      <c r="B348" s="860">
        <f t="shared" si="132"/>
        <v>85.657389999999992</v>
      </c>
      <c r="C348" s="860">
        <f>Calculation!AK351</f>
        <v>0</v>
      </c>
      <c r="D348" s="860">
        <f>Calculation!AI351</f>
        <v>0</v>
      </c>
      <c r="E348" s="860">
        <f>Calculation!AE351</f>
        <v>36.045099999999998</v>
      </c>
      <c r="F348" s="860">
        <f>Calculation!AF351</f>
        <v>49.612290000000002</v>
      </c>
      <c r="G348" s="860">
        <f>Calculation!AG351</f>
        <v>70.342090000001804</v>
      </c>
      <c r="H348" s="861">
        <f>Sheet1!H349</f>
        <v>31.46</v>
      </c>
      <c r="I348" s="841">
        <f>Sheet1!DA349</f>
        <v>1590</v>
      </c>
      <c r="J348" s="841">
        <f>Sheet1!DB349</f>
        <v>932</v>
      </c>
      <c r="K348" s="841">
        <f>Sheet1!CZ349</f>
        <v>856</v>
      </c>
      <c r="L348" s="865">
        <f>Calculation!F351</f>
        <v>250</v>
      </c>
      <c r="M348" s="865">
        <f>Calculation!E351</f>
        <v>250</v>
      </c>
      <c r="N348" s="865">
        <f>Calculation!D351</f>
        <v>300</v>
      </c>
      <c r="O348" s="888">
        <f>Sheet1!DC349</f>
        <v>1076.54</v>
      </c>
      <c r="P348" s="889" t="e">
        <f>Calculation!FD351</f>
        <v>#N/A</v>
      </c>
      <c r="Q348" s="895">
        <f>Calculation!DP351</f>
        <v>788.80000000267387</v>
      </c>
      <c r="R348" s="888">
        <f t="shared" si="139"/>
        <v>169.80000000267387</v>
      </c>
      <c r="S348" s="890">
        <f t="shared" si="133"/>
        <v>104.80000000032283</v>
      </c>
      <c r="T348" s="895">
        <f ca="1">IF(A348&gt;($A$1-1),#N/A,VLOOKUP(A348,Calculation!$B$8:$JO$503,40,FALSE))</f>
        <v>0</v>
      </c>
      <c r="U348" s="890">
        <f t="shared" si="134"/>
        <v>0</v>
      </c>
      <c r="V348" s="890">
        <f>Calculation!AZ351</f>
        <v>0</v>
      </c>
      <c r="W348" s="895">
        <f t="shared" ca="1" si="128"/>
        <v>0</v>
      </c>
      <c r="X348" s="890">
        <v>0</v>
      </c>
      <c r="Y348" s="890">
        <f t="shared" ca="1" si="129"/>
        <v>0</v>
      </c>
      <c r="Z348" s="890">
        <f t="shared" ca="1" si="113"/>
        <v>0</v>
      </c>
      <c r="AA348" s="890">
        <f t="shared" ca="1" si="135"/>
        <v>0</v>
      </c>
      <c r="AB348" s="895">
        <f t="shared" ca="1" si="130"/>
        <v>788.80000000267387</v>
      </c>
      <c r="AC348" s="980">
        <f t="shared" ca="1" si="131"/>
        <v>169.80000000267387</v>
      </c>
      <c r="AD348" s="860" t="e">
        <f ca="1">IF(A348&gt;$A$1,VLOOKUP(A348,Calculation!$B$8:$JO$880,165,FALSE),VLOOKUP(A348,Calculation!$B$8:$JO$880,165,FALSE))</f>
        <v>#N/A</v>
      </c>
      <c r="AE348" s="399" t="e">
        <f t="shared" ca="1" si="136"/>
        <v>#N/A</v>
      </c>
      <c r="AF348" s="399"/>
      <c r="AG348" s="841">
        <f>Calculation!G351</f>
        <v>908.849218356189</v>
      </c>
      <c r="AH348" s="847" t="str">
        <f t="shared" si="137"/>
        <v>Yes</v>
      </c>
      <c r="AI348" s="847" t="str">
        <f>IF(Calculation!K351&gt;0,"Yes","No")</f>
        <v>Yes</v>
      </c>
      <c r="AJ348" s="869">
        <v>1865.3800000026351</v>
      </c>
      <c r="AK348" s="870">
        <v>2149.2000000056069</v>
      </c>
      <c r="AL348" s="870">
        <v>784.00000000267391</v>
      </c>
      <c r="AN348" s="372">
        <v>1086.0000000031923</v>
      </c>
      <c r="AO348" s="894">
        <v>935.90000000257612</v>
      </c>
      <c r="AP348" s="894">
        <v>1296.6000000036288</v>
      </c>
      <c r="AQ348" s="894"/>
      <c r="AR348" s="894"/>
      <c r="AS348" s="894"/>
      <c r="AT348" s="894"/>
      <c r="AU348" s="427"/>
      <c r="AV348" s="410"/>
      <c r="AW348" s="442"/>
      <c r="AX348" s="441"/>
      <c r="AY348" s="441"/>
      <c r="AZ348" s="443"/>
      <c r="BB348" s="433"/>
      <c r="BC348" s="432"/>
      <c r="BD348" s="433"/>
      <c r="BE348" s="432"/>
      <c r="BF348" s="433"/>
      <c r="BG348" s="432"/>
      <c r="BH348" s="429"/>
    </row>
    <row r="349" spans="1:60" ht="13.8" thickBot="1" x14ac:dyDescent="0.3">
      <c r="A349" s="406">
        <v>43076</v>
      </c>
      <c r="B349" s="860">
        <f t="shared" si="132"/>
        <v>90.035399999999981</v>
      </c>
      <c r="C349" s="860">
        <f>Calculation!AK352</f>
        <v>0</v>
      </c>
      <c r="D349" s="860">
        <f>Calculation!AI352</f>
        <v>0</v>
      </c>
      <c r="E349" s="860">
        <f>Calculation!AE352</f>
        <v>38.984399999999994</v>
      </c>
      <c r="F349" s="860">
        <f>Calculation!AF352</f>
        <v>51.050999999999995</v>
      </c>
      <c r="G349" s="860">
        <f>Calculation!AG352</f>
        <v>28.665909999998199</v>
      </c>
      <c r="H349" s="861">
        <f>Sheet1!H350</f>
        <v>15.03</v>
      </c>
      <c r="I349" s="841">
        <f>Sheet1!DA350</f>
        <v>1460</v>
      </c>
      <c r="J349" s="841">
        <f>Sheet1!DB350</f>
        <v>823</v>
      </c>
      <c r="K349" s="841">
        <f>Sheet1!CZ350</f>
        <v>832</v>
      </c>
      <c r="L349" s="865">
        <f>Calculation!F352</f>
        <v>250</v>
      </c>
      <c r="M349" s="865">
        <f>Calculation!E352</f>
        <v>250</v>
      </c>
      <c r="N349" s="865">
        <f>Calculation!D352</f>
        <v>300</v>
      </c>
      <c r="O349" s="888">
        <f>Sheet1!DC350</f>
        <v>1077.28</v>
      </c>
      <c r="P349" s="889" t="e">
        <f>Calculation!FD352</f>
        <v>#N/A</v>
      </c>
      <c r="Q349" s="895">
        <f>Calculation!DP352</f>
        <v>875.60000000275579</v>
      </c>
      <c r="R349" s="888">
        <f t="shared" si="139"/>
        <v>256.60000000275579</v>
      </c>
      <c r="S349" s="890">
        <f t="shared" si="133"/>
        <v>86.800000000081923</v>
      </c>
      <c r="T349" s="895">
        <f ca="1">IF(A349&gt;($A$1-1),#N/A,VLOOKUP(A349,Calculation!$B$8:$JO$503,40,FALSE))</f>
        <v>0</v>
      </c>
      <c r="U349" s="890">
        <f t="shared" si="134"/>
        <v>0</v>
      </c>
      <c r="V349" s="890">
        <f>Calculation!AZ352</f>
        <v>0</v>
      </c>
      <c r="W349" s="895">
        <f t="shared" ref="W349:W384" ca="1" si="140">IF(T349&lt;=0,0,MIN(MAX(Q349-T349-23559-619-(X349*1.983),0),5000))</f>
        <v>0</v>
      </c>
      <c r="X349" s="890">
        <v>0</v>
      </c>
      <c r="Y349" s="890">
        <f t="shared" ref="Y349:Y384" ca="1" si="141">W349*0.5</f>
        <v>0</v>
      </c>
      <c r="Z349" s="890">
        <f t="shared" ref="Z349:Z384" ca="1" si="142">W349-Y349</f>
        <v>0</v>
      </c>
      <c r="AA349" s="890">
        <f t="shared" ca="1" si="135"/>
        <v>0</v>
      </c>
      <c r="AB349" s="895">
        <f t="shared" ca="1" si="130"/>
        <v>875.60000000275579</v>
      </c>
      <c r="AC349" s="980">
        <f t="shared" ca="1" si="131"/>
        <v>256.60000000275579</v>
      </c>
      <c r="AD349" s="860" t="e">
        <f ca="1">IF(A349&gt;$A$1,VLOOKUP(A349,Calculation!$B$8:$JO$880,165,FALSE),VLOOKUP(A349,Calculation!$B$8:$JO$880,165,FALSE))</f>
        <v>#N/A</v>
      </c>
      <c r="AE349" s="399" t="e">
        <f t="shared" ca="1" si="136"/>
        <v>#N/A</v>
      </c>
      <c r="AF349" s="399"/>
      <c r="AG349" s="841">
        <f>Calculation!G352</f>
        <v>875.77206253155919</v>
      </c>
      <c r="AH349" s="847" t="str">
        <f t="shared" si="137"/>
        <v>Yes</v>
      </c>
      <c r="AI349" s="847" t="str">
        <f>IF(Calculation!K352&gt;0,"Yes","No")</f>
        <v>Yes</v>
      </c>
      <c r="AJ349" s="869">
        <v>1860.5000000026353</v>
      </c>
      <c r="AK349" s="870">
        <v>1776.4000000046567</v>
      </c>
      <c r="AL349" s="870">
        <v>762.00000000242608</v>
      </c>
      <c r="AN349" s="372">
        <v>1311.0000000036607</v>
      </c>
      <c r="AO349" s="894">
        <v>5108.8000000113507</v>
      </c>
      <c r="AP349" s="894">
        <v>1220.2000000035653</v>
      </c>
      <c r="AQ349" s="894"/>
      <c r="AR349" s="894"/>
      <c r="AS349" s="894"/>
      <c r="AT349" s="894"/>
      <c r="AU349" s="427"/>
      <c r="AV349" s="410"/>
      <c r="AW349" s="442"/>
      <c r="AX349" s="441"/>
      <c r="AY349" s="441"/>
      <c r="AZ349" s="443"/>
      <c r="BB349" s="433"/>
      <c r="BC349" s="432"/>
      <c r="BD349" s="433"/>
      <c r="BE349" s="432"/>
      <c r="BF349" s="433"/>
      <c r="BG349" s="432"/>
      <c r="BH349" s="429"/>
    </row>
    <row r="350" spans="1:60" ht="13.8" thickBot="1" x14ac:dyDescent="0.3">
      <c r="A350" s="406">
        <v>43077</v>
      </c>
      <c r="B350" s="860">
        <f t="shared" si="132"/>
        <v>92.2012</v>
      </c>
      <c r="C350" s="860">
        <f>Calculation!AK353</f>
        <v>0</v>
      </c>
      <c r="D350" s="860">
        <f>Calculation!AI353</f>
        <v>0</v>
      </c>
      <c r="E350" s="860">
        <f>Calculation!AE353</f>
        <v>41.150199999999998</v>
      </c>
      <c r="F350" s="860">
        <f>Calculation!AF353</f>
        <v>51.050999999999995</v>
      </c>
      <c r="G350" s="860">
        <f>Calculation!AG353</f>
        <v>0</v>
      </c>
      <c r="H350" s="861">
        <f>Sheet1!H351</f>
        <v>7.38</v>
      </c>
      <c r="I350" s="841">
        <f>Sheet1!DA351</f>
        <v>1350</v>
      </c>
      <c r="J350" s="841">
        <f>Sheet1!DB351</f>
        <v>737</v>
      </c>
      <c r="K350" s="841">
        <f>Sheet1!CZ351</f>
        <v>753</v>
      </c>
      <c r="L350" s="865">
        <f>Calculation!F353</f>
        <v>250</v>
      </c>
      <c r="M350" s="865">
        <f>Calculation!E353</f>
        <v>250</v>
      </c>
      <c r="N350" s="865">
        <f>Calculation!D353</f>
        <v>300</v>
      </c>
      <c r="O350" s="888">
        <f>Sheet1!DC351</f>
        <v>1077.9100000000001</v>
      </c>
      <c r="P350" s="889" t="e">
        <f>Calculation!FD353</f>
        <v>#N/A</v>
      </c>
      <c r="Q350" s="895">
        <f>Calculation!DP353</f>
        <v>950.20000000283767</v>
      </c>
      <c r="R350" s="888">
        <f t="shared" si="139"/>
        <v>331.20000000283767</v>
      </c>
      <c r="S350" s="890">
        <f t="shared" si="133"/>
        <v>74.600000000081877</v>
      </c>
      <c r="T350" s="895">
        <f ca="1">IF(A350&gt;($A$1-1),#N/A,VLOOKUP(A350,Calculation!$B$8:$JO$503,40,FALSE))</f>
        <v>0</v>
      </c>
      <c r="U350" s="890">
        <f t="shared" si="134"/>
        <v>0</v>
      </c>
      <c r="V350" s="890">
        <f>Calculation!AZ353</f>
        <v>0</v>
      </c>
      <c r="W350" s="895">
        <f t="shared" ca="1" si="140"/>
        <v>0</v>
      </c>
      <c r="X350" s="890">
        <v>0</v>
      </c>
      <c r="Y350" s="890">
        <f t="shared" ca="1" si="141"/>
        <v>0</v>
      </c>
      <c r="Z350" s="890">
        <f t="shared" ca="1" si="142"/>
        <v>0</v>
      </c>
      <c r="AA350" s="890">
        <f t="shared" ca="1" si="135"/>
        <v>0</v>
      </c>
      <c r="AB350" s="895">
        <f t="shared" ca="1" si="130"/>
        <v>950.20000000283767</v>
      </c>
      <c r="AC350" s="980">
        <f t="shared" ca="1" si="131"/>
        <v>331.20000000283767</v>
      </c>
      <c r="AD350" s="860" t="e">
        <f ca="1">IF(A350&gt;$A$1,VLOOKUP(A350,Calculation!$B$8:$JO$880,165,FALSE),VLOOKUP(A350,Calculation!$B$8:$JO$880,165,FALSE))</f>
        <v>#N/A</v>
      </c>
      <c r="AE350" s="399" t="e">
        <f t="shared" ca="1" si="136"/>
        <v>#N/A</v>
      </c>
      <c r="AF350" s="399"/>
      <c r="AG350" s="841">
        <f>Calculation!G353</f>
        <v>790.61976802828133</v>
      </c>
      <c r="AH350" s="847" t="str">
        <f t="shared" si="137"/>
        <v>Yes</v>
      </c>
      <c r="AI350" s="847" t="str">
        <f>IF(Calculation!K353&gt;0,"Yes","No")</f>
        <v>Yes</v>
      </c>
      <c r="AJ350" s="869">
        <v>1817.8000000026075</v>
      </c>
      <c r="AK350" s="870">
        <v>1931.2000000047658</v>
      </c>
      <c r="AL350" s="870">
        <v>857.60000000275579</v>
      </c>
      <c r="AN350" s="372">
        <v>1227.2000000035653</v>
      </c>
      <c r="AO350" s="894">
        <v>9423.4000000209471</v>
      </c>
      <c r="AP350" s="894">
        <v>1139.3000000032514</v>
      </c>
      <c r="AQ350" s="894"/>
      <c r="AR350" s="894"/>
      <c r="AS350" s="894"/>
      <c r="AT350" s="894"/>
      <c r="AU350" s="427"/>
      <c r="AV350" s="410"/>
      <c r="AW350" s="442"/>
      <c r="AX350" s="441"/>
      <c r="AY350" s="441"/>
      <c r="AZ350" s="443"/>
      <c r="BB350" s="433"/>
      <c r="BC350" s="432"/>
      <c r="BD350" s="433"/>
      <c r="BE350" s="432"/>
      <c r="BF350" s="433"/>
      <c r="BG350" s="432"/>
      <c r="BH350" s="429"/>
    </row>
    <row r="351" spans="1:60" ht="13.8" thickBot="1" x14ac:dyDescent="0.3">
      <c r="A351" s="406">
        <v>43078</v>
      </c>
      <c r="B351" s="860">
        <f t="shared" si="132"/>
        <v>89.725999999999999</v>
      </c>
      <c r="C351" s="860">
        <f>Calculation!AK354</f>
        <v>0</v>
      </c>
      <c r="D351" s="860">
        <f>Calculation!AI354</f>
        <v>0</v>
      </c>
      <c r="E351" s="860">
        <f>Calculation!AE354</f>
        <v>38.829700000000003</v>
      </c>
      <c r="F351" s="860">
        <f>Calculation!AF354</f>
        <v>50.896299999999997</v>
      </c>
      <c r="G351" s="860">
        <f>Calculation!AG354</f>
        <v>0</v>
      </c>
      <c r="H351" s="861">
        <f>Sheet1!H352</f>
        <v>7.08</v>
      </c>
      <c r="I351" s="841">
        <f>Sheet1!DA352</f>
        <v>1260</v>
      </c>
      <c r="J351" s="841">
        <f>Sheet1!DB352</f>
        <v>747</v>
      </c>
      <c r="K351" s="841">
        <f>Sheet1!CZ352</f>
        <v>758</v>
      </c>
      <c r="L351" s="865">
        <f>Calculation!F354</f>
        <v>250</v>
      </c>
      <c r="M351" s="865">
        <f>Calculation!E354</f>
        <v>250</v>
      </c>
      <c r="N351" s="865">
        <f>Calculation!D354</f>
        <v>300</v>
      </c>
      <c r="O351" s="888">
        <f>Sheet1!DC352</f>
        <v>1078.23</v>
      </c>
      <c r="P351" s="889" t="e">
        <f>Calculation!FD354</f>
        <v>#N/A</v>
      </c>
      <c r="Q351" s="895">
        <f>Calculation!DP354</f>
        <v>989.90000000310363</v>
      </c>
      <c r="R351" s="888">
        <f t="shared" si="139"/>
        <v>370.90000000310363</v>
      </c>
      <c r="S351" s="890">
        <f t="shared" si="133"/>
        <v>39.700000000265959</v>
      </c>
      <c r="T351" s="895">
        <f ca="1">IF(A351&gt;($A$1-1),#N/A,VLOOKUP(A351,Calculation!$B$8:$JO$503,40,FALSE))</f>
        <v>0</v>
      </c>
      <c r="U351" s="890">
        <f t="shared" si="134"/>
        <v>0</v>
      </c>
      <c r="V351" s="890">
        <f>Calculation!AZ354</f>
        <v>0</v>
      </c>
      <c r="W351" s="895">
        <f t="shared" ca="1" si="140"/>
        <v>0</v>
      </c>
      <c r="X351" s="890">
        <v>0</v>
      </c>
      <c r="Y351" s="890">
        <f t="shared" ca="1" si="141"/>
        <v>0</v>
      </c>
      <c r="Z351" s="890">
        <f t="shared" ca="1" si="142"/>
        <v>0</v>
      </c>
      <c r="AA351" s="890">
        <f t="shared" ca="1" si="135"/>
        <v>0</v>
      </c>
      <c r="AB351" s="895">
        <f t="shared" ca="1" si="130"/>
        <v>989.90000000310363</v>
      </c>
      <c r="AC351" s="980">
        <f t="shared" ca="1" si="131"/>
        <v>370.90000000310363</v>
      </c>
      <c r="AD351" s="860" t="e">
        <f ca="1">IF(A351&gt;$A$1,VLOOKUP(A351,Calculation!$B$8:$JO$880,165,FALSE),VLOOKUP(A351,Calculation!$B$8:$JO$880,165,FALSE))</f>
        <v>#N/A</v>
      </c>
      <c r="AE351" s="399" t="e">
        <f t="shared" ca="1" si="136"/>
        <v>#N/A</v>
      </c>
      <c r="AF351" s="399"/>
      <c r="AG351" s="841">
        <f>Calculation!G354</f>
        <v>778.02017145752188</v>
      </c>
      <c r="AH351" s="847" t="str">
        <f t="shared" si="137"/>
        <v>Yes</v>
      </c>
      <c r="AI351" s="847" t="str">
        <f>IF(Calculation!K354&gt;0,"Yes","No")</f>
        <v>Yes</v>
      </c>
      <c r="AJ351" s="869">
        <v>1908.6400000027788</v>
      </c>
      <c r="AK351" s="870">
        <v>1672.5000000042633</v>
      </c>
      <c r="AL351" s="870">
        <v>868.40000000275575</v>
      </c>
      <c r="AN351" s="372">
        <v>1112.0000000032219</v>
      </c>
      <c r="AO351" s="894">
        <v>28608.400000074773</v>
      </c>
      <c r="AP351" s="894">
        <v>1209.5000000033106</v>
      </c>
      <c r="AQ351" s="894"/>
      <c r="AR351" s="894"/>
      <c r="AS351" s="894"/>
      <c r="AT351" s="894"/>
      <c r="AU351" s="427"/>
      <c r="AV351" s="410"/>
      <c r="AW351" s="442"/>
      <c r="AX351" s="441"/>
      <c r="AY351" s="441"/>
      <c r="AZ351" s="443"/>
      <c r="BB351" s="433"/>
      <c r="BC351" s="432"/>
      <c r="BD351" s="433"/>
      <c r="BE351" s="432"/>
      <c r="BF351" s="433"/>
      <c r="BG351" s="432"/>
      <c r="BH351" s="429"/>
    </row>
    <row r="352" spans="1:60" ht="13.8" thickBot="1" x14ac:dyDescent="0.3">
      <c r="A352" s="406">
        <v>43079</v>
      </c>
      <c r="B352" s="860">
        <f t="shared" si="132"/>
        <v>88.952499999999986</v>
      </c>
      <c r="C352" s="860">
        <f>Calculation!AK355</f>
        <v>0</v>
      </c>
      <c r="D352" s="860">
        <f>Calculation!AI355</f>
        <v>0</v>
      </c>
      <c r="E352" s="860">
        <f>Calculation!AE355</f>
        <v>37.901499999999999</v>
      </c>
      <c r="F352" s="860">
        <f>Calculation!AF355</f>
        <v>51.050999999999995</v>
      </c>
      <c r="G352" s="860">
        <f>Calculation!AG355</f>
        <v>0</v>
      </c>
      <c r="H352" s="861">
        <f>Sheet1!H353</f>
        <v>7.81</v>
      </c>
      <c r="I352" s="841">
        <f>Sheet1!DA353</f>
        <v>1220</v>
      </c>
      <c r="J352" s="841">
        <f>Sheet1!DB353</f>
        <v>723</v>
      </c>
      <c r="K352" s="841">
        <f>Sheet1!CZ353</f>
        <v>749</v>
      </c>
      <c r="L352" s="865">
        <f>Calculation!F355</f>
        <v>250</v>
      </c>
      <c r="M352" s="865">
        <f>Calculation!E355</f>
        <v>250</v>
      </c>
      <c r="N352" s="865">
        <f>Calculation!D355</f>
        <v>300</v>
      </c>
      <c r="O352" s="888">
        <f>Sheet1!DC353</f>
        <v>1077.49</v>
      </c>
      <c r="P352" s="889" t="e">
        <f>Calculation!FD355</f>
        <v>#N/A</v>
      </c>
      <c r="Q352" s="895">
        <f>Calculation!DP355</f>
        <v>900.80000000278301</v>
      </c>
      <c r="R352" s="888">
        <f t="shared" si="139"/>
        <v>281.80000000278301</v>
      </c>
      <c r="S352" s="890">
        <f t="shared" si="133"/>
        <v>-89.10000000032062</v>
      </c>
      <c r="T352" s="895">
        <f ca="1">IF(A352&gt;($A$1-1),#N/A,VLOOKUP(A352,Calculation!$B$8:$JO$503,40,FALSE))</f>
        <v>0</v>
      </c>
      <c r="U352" s="890">
        <f t="shared" si="134"/>
        <v>0</v>
      </c>
      <c r="V352" s="890">
        <f>Calculation!AZ355</f>
        <v>0</v>
      </c>
      <c r="W352" s="895">
        <f t="shared" ca="1" si="140"/>
        <v>0</v>
      </c>
      <c r="X352" s="890">
        <v>0</v>
      </c>
      <c r="Y352" s="890">
        <f t="shared" ca="1" si="141"/>
        <v>0</v>
      </c>
      <c r="Z352" s="890">
        <f t="shared" ca="1" si="142"/>
        <v>0</v>
      </c>
      <c r="AA352" s="890">
        <f t="shared" ca="1" si="135"/>
        <v>0</v>
      </c>
      <c r="AB352" s="895">
        <f t="shared" ca="1" si="130"/>
        <v>900.80000000278301</v>
      </c>
      <c r="AC352" s="980">
        <f t="shared" ca="1" si="131"/>
        <v>281.80000000278301</v>
      </c>
      <c r="AD352" s="860" t="e">
        <f ca="1">IF(A352&gt;$A$1,VLOOKUP(A352,Calculation!$B$8:$JO$880,165,FALSE),VLOOKUP(A352,Calculation!$B$8:$JO$880,165,FALSE))</f>
        <v>#N/A</v>
      </c>
      <c r="AE352" s="399" t="e">
        <f t="shared" ca="1" si="136"/>
        <v>#N/A</v>
      </c>
      <c r="AF352" s="399"/>
      <c r="AG352" s="841">
        <f>Calculation!G355</f>
        <v>704.06807866852216</v>
      </c>
      <c r="AH352" s="847" t="str">
        <f t="shared" si="137"/>
        <v>Yes</v>
      </c>
      <c r="AI352" s="847" t="str">
        <f>IF(Calculation!K355&gt;0,"Yes","No")</f>
        <v>Yes</v>
      </c>
      <c r="AJ352" s="869">
        <v>2010.700000002865</v>
      </c>
      <c r="AK352" s="870">
        <v>926.00000000257614</v>
      </c>
      <c r="AL352" s="870">
        <v>677.40000000235102</v>
      </c>
      <c r="AN352" s="372">
        <v>1055.0000000029195</v>
      </c>
      <c r="AO352" s="894">
        <v>27972.000000072476</v>
      </c>
      <c r="AP352" s="894">
        <v>1258.4000000035971</v>
      </c>
      <c r="AQ352" s="894"/>
      <c r="AR352" s="894"/>
      <c r="AS352" s="894"/>
      <c r="AT352" s="894"/>
      <c r="AU352" s="427"/>
      <c r="AV352" s="410"/>
      <c r="AW352" s="442"/>
      <c r="AX352" s="441"/>
      <c r="AY352" s="441"/>
      <c r="AZ352" s="443"/>
      <c r="BB352" s="433"/>
      <c r="BC352" s="432"/>
      <c r="BD352" s="433"/>
      <c r="BE352" s="432"/>
      <c r="BF352" s="433"/>
      <c r="BG352" s="432"/>
      <c r="BH352" s="429"/>
    </row>
    <row r="353" spans="1:60" ht="13.8" thickBot="1" x14ac:dyDescent="0.3">
      <c r="A353" s="406">
        <v>43080</v>
      </c>
      <c r="B353" s="860">
        <f t="shared" si="132"/>
        <v>91.737099999999998</v>
      </c>
      <c r="C353" s="860">
        <f>Calculation!AK356</f>
        <v>0</v>
      </c>
      <c r="D353" s="860">
        <f>Calculation!AI356</f>
        <v>0</v>
      </c>
      <c r="E353" s="860">
        <f>Calculation!AE356</f>
        <v>37.592100000000002</v>
      </c>
      <c r="F353" s="860">
        <f>Calculation!AF356</f>
        <v>54.144999999999996</v>
      </c>
      <c r="G353" s="860">
        <f>Calculation!AG356</f>
        <v>0</v>
      </c>
      <c r="H353" s="861">
        <f>Sheet1!H354</f>
        <v>10.24</v>
      </c>
      <c r="I353" s="841">
        <f>Sheet1!DA354</f>
        <v>1097</v>
      </c>
      <c r="J353" s="841">
        <f>Sheet1!DB354</f>
        <v>542</v>
      </c>
      <c r="K353" s="841">
        <f>Sheet1!CZ354</f>
        <v>600</v>
      </c>
      <c r="L353" s="865">
        <f>Calculation!F356</f>
        <v>250</v>
      </c>
      <c r="M353" s="865">
        <f>Calculation!E356</f>
        <v>250</v>
      </c>
      <c r="N353" s="865">
        <f>Calculation!D356</f>
        <v>300</v>
      </c>
      <c r="O353" s="888">
        <f>Sheet1!DC354</f>
        <v>1077.5</v>
      </c>
      <c r="P353" s="889" t="e">
        <f>Calculation!FD356</f>
        <v>#N/A</v>
      </c>
      <c r="Q353" s="895">
        <f>Calculation!DP356</f>
        <v>902.00000000278305</v>
      </c>
      <c r="R353" s="888">
        <f t="shared" si="139"/>
        <v>283.00000000278305</v>
      </c>
      <c r="S353" s="890">
        <f t="shared" si="133"/>
        <v>1.2000000000000455</v>
      </c>
      <c r="T353" s="895">
        <f ca="1">IF(A353&gt;($A$1-1),#N/A,VLOOKUP(A353,Calculation!$B$8:$JO$503,40,FALSE))</f>
        <v>0</v>
      </c>
      <c r="U353" s="890">
        <f t="shared" si="134"/>
        <v>0</v>
      </c>
      <c r="V353" s="890">
        <f>Calculation!AZ356</f>
        <v>0</v>
      </c>
      <c r="W353" s="895">
        <f t="shared" ca="1" si="140"/>
        <v>0</v>
      </c>
      <c r="X353" s="890">
        <v>0</v>
      </c>
      <c r="Y353" s="890">
        <f t="shared" ca="1" si="141"/>
        <v>0</v>
      </c>
      <c r="Z353" s="890">
        <f t="shared" ca="1" si="142"/>
        <v>0</v>
      </c>
      <c r="AA353" s="890">
        <f t="shared" ca="1" si="135"/>
        <v>0</v>
      </c>
      <c r="AB353" s="895">
        <f t="shared" ca="1" si="130"/>
        <v>902.00000000278305</v>
      </c>
      <c r="AC353" s="980">
        <f t="shared" ca="1" si="131"/>
        <v>283.00000000278305</v>
      </c>
      <c r="AD353" s="860" t="e">
        <f ca="1">IF(A353&gt;$A$1,VLOOKUP(A353,Calculation!$B$8:$JO$880,165,FALSE),VLOOKUP(A353,Calculation!$B$8:$JO$880,165,FALSE))</f>
        <v>#N/A</v>
      </c>
      <c r="AE353" s="399" t="e">
        <f t="shared" ca="1" si="136"/>
        <v>#N/A</v>
      </c>
      <c r="AF353" s="399"/>
      <c r="AG353" s="841">
        <f>Calculation!G356</f>
        <v>600.60514372163391</v>
      </c>
      <c r="AH353" s="847" t="str">
        <f t="shared" si="137"/>
        <v>Yes</v>
      </c>
      <c r="AI353" s="847" t="str">
        <f>IF(Calculation!K356&gt;0,"Yes","No")</f>
        <v>Yes</v>
      </c>
      <c r="AJ353" s="869">
        <v>1940.1400000028077</v>
      </c>
      <c r="AK353" s="870">
        <v>734.20000000261939</v>
      </c>
      <c r="AL353" s="870">
        <v>668.60000000235107</v>
      </c>
      <c r="AN353" s="372">
        <v>966.20000000307414</v>
      </c>
      <c r="AO353" s="894">
        <v>22412.200000056644</v>
      </c>
      <c r="AP353" s="894">
        <v>1228.6000000035651</v>
      </c>
      <c r="AQ353" s="894"/>
      <c r="AR353" s="894"/>
      <c r="AS353" s="894"/>
      <c r="AT353" s="894"/>
      <c r="AU353" s="427"/>
      <c r="AV353" s="410"/>
      <c r="AW353" s="442"/>
      <c r="AX353" s="441"/>
      <c r="AY353" s="441"/>
      <c r="AZ353" s="443"/>
      <c r="BB353" s="433"/>
      <c r="BC353" s="432"/>
      <c r="BD353" s="433"/>
      <c r="BE353" s="432"/>
      <c r="BF353" s="433"/>
      <c r="BG353" s="432"/>
      <c r="BH353" s="429"/>
    </row>
    <row r="354" spans="1:60" ht="13.8" thickBot="1" x14ac:dyDescent="0.3">
      <c r="A354" s="406">
        <v>43081</v>
      </c>
      <c r="B354" s="860">
        <f t="shared" si="132"/>
        <v>93.748199999999997</v>
      </c>
      <c r="C354" s="860">
        <f>Calculation!AK357</f>
        <v>0</v>
      </c>
      <c r="D354" s="860">
        <f>Calculation!AI357</f>
        <v>0</v>
      </c>
      <c r="E354" s="860">
        <f>Calculation!AE357</f>
        <v>37.901499999999999</v>
      </c>
      <c r="F354" s="860">
        <f>Calculation!AF357</f>
        <v>55.846699999999998</v>
      </c>
      <c r="G354" s="860">
        <f>Calculation!AG357</f>
        <v>0</v>
      </c>
      <c r="H354" s="861">
        <f>Sheet1!H355</f>
        <v>5.26</v>
      </c>
      <c r="I354" s="841">
        <f>Sheet1!DA355</f>
        <v>1084</v>
      </c>
      <c r="J354" s="841">
        <f>Sheet1!DB355</f>
        <v>609</v>
      </c>
      <c r="K354" s="841">
        <f>Sheet1!CZ355</f>
        <v>661</v>
      </c>
      <c r="L354" s="865">
        <f>Calculation!F357</f>
        <v>250</v>
      </c>
      <c r="M354" s="865">
        <f>Calculation!E357</f>
        <v>250</v>
      </c>
      <c r="N354" s="865">
        <f>Calculation!D357</f>
        <v>300</v>
      </c>
      <c r="O354" s="888">
        <f>Sheet1!DC355</f>
        <v>1077.42</v>
      </c>
      <c r="P354" s="889" t="e">
        <f>Calculation!FD357</f>
        <v>#N/A</v>
      </c>
      <c r="Q354" s="895">
        <f>Calculation!DP357</f>
        <v>892.40000000278303</v>
      </c>
      <c r="R354" s="888">
        <f t="shared" si="139"/>
        <v>273.40000000278303</v>
      </c>
      <c r="S354" s="890">
        <f t="shared" si="133"/>
        <v>-9.6000000000000227</v>
      </c>
      <c r="T354" s="895">
        <f ca="1">IF(A354&gt;($A$1-1),#N/A,VLOOKUP(A354,Calculation!$B$8:$JO$503,40,FALSE))</f>
        <v>0</v>
      </c>
      <c r="U354" s="890">
        <f t="shared" si="134"/>
        <v>0</v>
      </c>
      <c r="V354" s="890">
        <f>Calculation!AZ357</f>
        <v>0</v>
      </c>
      <c r="W354" s="895">
        <f t="shared" ca="1" si="140"/>
        <v>0</v>
      </c>
      <c r="X354" s="890">
        <v>0</v>
      </c>
      <c r="Y354" s="890">
        <f t="shared" ca="1" si="141"/>
        <v>0</v>
      </c>
      <c r="Z354" s="890">
        <f t="shared" ca="1" si="142"/>
        <v>0</v>
      </c>
      <c r="AA354" s="890">
        <f t="shared" ca="1" si="135"/>
        <v>0</v>
      </c>
      <c r="AB354" s="895">
        <f t="shared" ca="1" si="130"/>
        <v>892.40000000278303</v>
      </c>
      <c r="AC354" s="980">
        <f t="shared" ca="1" si="131"/>
        <v>273.40000000278303</v>
      </c>
      <c r="AD354" s="860" t="e">
        <f ca="1">IF(A354&gt;$A$1,VLOOKUP(A354,Calculation!$B$8:$JO$880,165,FALSE),VLOOKUP(A354,Calculation!$B$8:$JO$880,165,FALSE))</f>
        <v>#N/A</v>
      </c>
      <c r="AE354" s="399" t="e">
        <f t="shared" ca="1" si="136"/>
        <v>#N/A</v>
      </c>
      <c r="AF354" s="399"/>
      <c r="AG354" s="841">
        <f>Calculation!G357</f>
        <v>656.15885022692885</v>
      </c>
      <c r="AH354" s="847" t="str">
        <f t="shared" si="137"/>
        <v>Yes</v>
      </c>
      <c r="AI354" s="847" t="str">
        <f>IF(Calculation!K357&gt;0,"Yes","No")</f>
        <v>Yes</v>
      </c>
      <c r="AJ354" s="869">
        <v>1825.1200000026074</v>
      </c>
      <c r="AK354" s="870">
        <v>810.60000000270122</v>
      </c>
      <c r="AL354" s="870">
        <v>699.40000000237603</v>
      </c>
      <c r="AN354" s="372">
        <v>1125.0000000032219</v>
      </c>
      <c r="AO354" s="894">
        <v>16247.400000039917</v>
      </c>
      <c r="AP354" s="894">
        <v>1169.200000003281</v>
      </c>
      <c r="AQ354" s="894"/>
      <c r="AR354" s="894"/>
      <c r="AS354" s="894"/>
      <c r="AT354" s="894"/>
      <c r="AU354" s="427"/>
      <c r="AV354" s="410"/>
      <c r="AW354" s="442"/>
      <c r="AX354" s="441"/>
      <c r="AY354" s="441"/>
      <c r="AZ354" s="443"/>
      <c r="BB354" s="433"/>
      <c r="BC354" s="432"/>
      <c r="BD354" s="433"/>
      <c r="BE354" s="432"/>
      <c r="BF354" s="433"/>
      <c r="BG354" s="432"/>
      <c r="BH354" s="429"/>
    </row>
    <row r="355" spans="1:60" ht="13.8" thickBot="1" x14ac:dyDescent="0.3">
      <c r="A355" s="406">
        <v>43082</v>
      </c>
      <c r="B355" s="860">
        <f t="shared" si="132"/>
        <v>84.342439999999982</v>
      </c>
      <c r="C355" s="860">
        <f>Calculation!AK358</f>
        <v>0</v>
      </c>
      <c r="D355" s="860">
        <f>Calculation!AI358</f>
        <v>0</v>
      </c>
      <c r="E355" s="860">
        <f>Calculation!AE358</f>
        <v>37.746799999999993</v>
      </c>
      <c r="F355" s="860">
        <f>Calculation!AF358</f>
        <v>46.595639999999996</v>
      </c>
      <c r="G355" s="860">
        <f>Calculation!AG358</f>
        <v>0</v>
      </c>
      <c r="H355" s="861">
        <f>Sheet1!H356</f>
        <v>5.71</v>
      </c>
      <c r="I355" s="841">
        <f>Sheet1!DA356</f>
        <v>1064</v>
      </c>
      <c r="J355" s="841">
        <f>Sheet1!DB356</f>
        <v>612</v>
      </c>
      <c r="K355" s="841">
        <f>Sheet1!CZ356</f>
        <v>616</v>
      </c>
      <c r="L355" s="865">
        <f>Calculation!F358</f>
        <v>250</v>
      </c>
      <c r="M355" s="865">
        <f>Calculation!E358</f>
        <v>250</v>
      </c>
      <c r="N355" s="865">
        <f>Calculation!D358</f>
        <v>300</v>
      </c>
      <c r="O355" s="888">
        <f>Sheet1!DC356</f>
        <v>1077.01</v>
      </c>
      <c r="P355" s="889" t="e">
        <f>Calculation!FD358</f>
        <v>#N/A</v>
      </c>
      <c r="Q355" s="895">
        <f>Calculation!DP358</f>
        <v>843.20000000272853</v>
      </c>
      <c r="R355" s="888">
        <f t="shared" si="139"/>
        <v>224.20000000272853</v>
      </c>
      <c r="S355" s="890">
        <f t="shared" si="133"/>
        <v>-49.200000000054501</v>
      </c>
      <c r="T355" s="895">
        <f ca="1">IF(A355&gt;($A$1-1),#N/A,VLOOKUP(A355,Calculation!$B$8:$JO$503,40,FALSE))</f>
        <v>0</v>
      </c>
      <c r="U355" s="890">
        <f t="shared" si="134"/>
        <v>0</v>
      </c>
      <c r="V355" s="890">
        <f>Calculation!AZ358</f>
        <v>0</v>
      </c>
      <c r="W355" s="895">
        <f t="shared" ca="1" si="140"/>
        <v>0</v>
      </c>
      <c r="X355" s="890">
        <v>0</v>
      </c>
      <c r="Y355" s="890">
        <f t="shared" ca="1" si="141"/>
        <v>0</v>
      </c>
      <c r="Z355" s="890">
        <f t="shared" ca="1" si="142"/>
        <v>0</v>
      </c>
      <c r="AA355" s="890">
        <f t="shared" ca="1" si="135"/>
        <v>0</v>
      </c>
      <c r="AB355" s="895">
        <f t="shared" ca="1" si="130"/>
        <v>843.20000000272853</v>
      </c>
      <c r="AC355" s="980">
        <f t="shared" ca="1" si="131"/>
        <v>224.20000000272853</v>
      </c>
      <c r="AD355" s="860" t="e">
        <f ca="1">IF(A355&gt;$A$1,VLOOKUP(A355,Calculation!$B$8:$JO$880,165,FALSE),VLOOKUP(A355,Calculation!$B$8:$JO$880,165,FALSE))</f>
        <v>#N/A</v>
      </c>
      <c r="AE355" s="399" t="e">
        <f t="shared" ca="1" si="136"/>
        <v>#N/A</v>
      </c>
      <c r="AF355" s="399"/>
      <c r="AG355" s="841">
        <f>Calculation!G358</f>
        <v>591.18910741298316</v>
      </c>
      <c r="AH355" s="847" t="str">
        <f t="shared" si="137"/>
        <v>Yes</v>
      </c>
      <c r="AI355" s="847" t="str">
        <f>IF(Calculation!K358&gt;0,"Yes","No")</f>
        <v>Yes</v>
      </c>
      <c r="AJ355" s="869">
        <v>1792.1800000025798</v>
      </c>
      <c r="AK355" s="870">
        <v>931.50000000257614</v>
      </c>
      <c r="AL355" s="870">
        <v>807.0000000027012</v>
      </c>
      <c r="AN355" s="372">
        <v>1465.000000003788</v>
      </c>
      <c r="AO355" s="894">
        <v>11214.400000025498</v>
      </c>
      <c r="AP355" s="894">
        <v>1086.0000000031923</v>
      </c>
      <c r="AQ355" s="894"/>
      <c r="AR355" s="894"/>
      <c r="AS355" s="894"/>
      <c r="AT355" s="894"/>
      <c r="AU355" s="427"/>
      <c r="AV355" s="410"/>
      <c r="AW355" s="442"/>
      <c r="AX355" s="441"/>
      <c r="AY355" s="441"/>
      <c r="AZ355" s="443"/>
      <c r="BB355" s="433"/>
      <c r="BC355" s="432"/>
      <c r="BD355" s="433"/>
      <c r="BE355" s="432"/>
      <c r="BF355" s="433"/>
      <c r="BG355" s="432"/>
      <c r="BH355" s="429"/>
    </row>
    <row r="356" spans="1:60" ht="13.8" thickBot="1" x14ac:dyDescent="0.3">
      <c r="A356" s="406">
        <v>43083</v>
      </c>
      <c r="B356" s="860">
        <f t="shared" si="132"/>
        <v>76.70026</v>
      </c>
      <c r="C356" s="860">
        <f>Calculation!AK359</f>
        <v>0</v>
      </c>
      <c r="D356" s="860">
        <f>Calculation!AI359</f>
        <v>0</v>
      </c>
      <c r="E356" s="860">
        <f>Calculation!AE359</f>
        <v>38.520299999999999</v>
      </c>
      <c r="F356" s="860">
        <f>Calculation!AF359</f>
        <v>38.179960000000001</v>
      </c>
      <c r="G356" s="860">
        <f>Calculation!AG359</f>
        <v>0</v>
      </c>
      <c r="H356" s="861">
        <f>Sheet1!H357</f>
        <v>6.91</v>
      </c>
      <c r="I356" s="841">
        <f>Sheet1!DA357</f>
        <v>993</v>
      </c>
      <c r="J356" s="841">
        <f>Sheet1!DB357</f>
        <v>478</v>
      </c>
      <c r="K356" s="841">
        <f>Sheet1!CZ357</f>
        <v>553</v>
      </c>
      <c r="L356" s="865">
        <f>Calculation!F359</f>
        <v>250</v>
      </c>
      <c r="M356" s="865">
        <f>Calculation!E359</f>
        <v>250</v>
      </c>
      <c r="N356" s="865">
        <f>Calculation!D359</f>
        <v>300</v>
      </c>
      <c r="O356" s="888">
        <f>Sheet1!DC357</f>
        <v>1077.06</v>
      </c>
      <c r="P356" s="889" t="e">
        <f>Calculation!FD359</f>
        <v>#N/A</v>
      </c>
      <c r="Q356" s="895">
        <f>Calculation!DP359</f>
        <v>849.20000000272853</v>
      </c>
      <c r="R356" s="888">
        <f t="shared" si="139"/>
        <v>230.20000000272853</v>
      </c>
      <c r="S356" s="890">
        <f t="shared" si="133"/>
        <v>6</v>
      </c>
      <c r="T356" s="895">
        <f ca="1">IF(A356&gt;($A$1-1),#N/A,VLOOKUP(A356,Calculation!$B$8:$JO$503,40,FALSE))</f>
        <v>0</v>
      </c>
      <c r="U356" s="890">
        <f t="shared" si="134"/>
        <v>0</v>
      </c>
      <c r="V356" s="890">
        <f>Calculation!AZ359</f>
        <v>0</v>
      </c>
      <c r="W356" s="895">
        <f t="shared" ca="1" si="140"/>
        <v>0</v>
      </c>
      <c r="X356" s="890">
        <v>0</v>
      </c>
      <c r="Y356" s="890">
        <f t="shared" ca="1" si="141"/>
        <v>0</v>
      </c>
      <c r="Z356" s="890">
        <f t="shared" ca="1" si="142"/>
        <v>0</v>
      </c>
      <c r="AA356" s="890">
        <f t="shared" ca="1" si="135"/>
        <v>0</v>
      </c>
      <c r="AB356" s="895">
        <f t="shared" ca="1" si="130"/>
        <v>849.20000000272853</v>
      </c>
      <c r="AC356" s="980">
        <f t="shared" ca="1" si="131"/>
        <v>230.20000000272853</v>
      </c>
      <c r="AD356" s="860" t="e">
        <f ca="1">IF(A356&gt;$A$1,VLOOKUP(A356,Calculation!$B$8:$JO$880,165,FALSE),VLOOKUP(A356,Calculation!$B$8:$JO$880,165,FALSE))</f>
        <v>#N/A</v>
      </c>
      <c r="AE356" s="399" t="e">
        <f t="shared" ca="1" si="136"/>
        <v>#N/A</v>
      </c>
      <c r="AF356" s="399"/>
      <c r="AG356" s="841">
        <f>Calculation!G359</f>
        <v>556.02571860816943</v>
      </c>
      <c r="AH356" s="847" t="str">
        <f t="shared" si="137"/>
        <v>Yes</v>
      </c>
      <c r="AI356" s="847" t="str">
        <f>IF(Calculation!K359&gt;0,"Yes","No")</f>
        <v>Yes</v>
      </c>
      <c r="AJ356" s="869">
        <v>1794.6200000025799</v>
      </c>
      <c r="AK356" s="870">
        <v>866.00000000275577</v>
      </c>
      <c r="AL356" s="870">
        <v>784.00000000267391</v>
      </c>
      <c r="AN356" s="372">
        <v>1626.5000000042292</v>
      </c>
      <c r="AO356" s="894">
        <v>7617.1000000160002</v>
      </c>
      <c r="AP356" s="894">
        <v>1039.9000000031629</v>
      </c>
      <c r="AQ356" s="894"/>
      <c r="AR356" s="894"/>
      <c r="AS356" s="894"/>
      <c r="AT356" s="894"/>
      <c r="AU356" s="427"/>
      <c r="AV356" s="410"/>
      <c r="AW356" s="442"/>
      <c r="AX356" s="441"/>
      <c r="AY356" s="441"/>
      <c r="AZ356" s="443"/>
      <c r="BB356" s="433"/>
      <c r="BC356" s="432"/>
      <c r="BD356" s="433"/>
      <c r="BE356" s="432"/>
      <c r="BF356" s="433"/>
      <c r="BG356" s="432"/>
      <c r="BH356" s="429"/>
    </row>
    <row r="357" spans="1:60" ht="13.8" thickBot="1" x14ac:dyDescent="0.3">
      <c r="A357" s="406">
        <v>43084</v>
      </c>
      <c r="B357" s="860">
        <f t="shared" si="132"/>
        <v>92.232139999999987</v>
      </c>
      <c r="C357" s="860">
        <f>Calculation!AK360</f>
        <v>0</v>
      </c>
      <c r="D357" s="860">
        <f>Calculation!AI360</f>
        <v>0</v>
      </c>
      <c r="E357" s="860">
        <f>Calculation!AE360</f>
        <v>37.468339999999998</v>
      </c>
      <c r="F357" s="860">
        <f>Calculation!AF360</f>
        <v>54.763799999999996</v>
      </c>
      <c r="G357" s="860">
        <f>Calculation!AG360</f>
        <v>0</v>
      </c>
      <c r="H357" s="861">
        <f>Sheet1!H358</f>
        <v>5.27</v>
      </c>
      <c r="I357" s="841">
        <f>Sheet1!DA358</f>
        <v>956</v>
      </c>
      <c r="J357" s="841">
        <f>Sheet1!DB358</f>
        <v>496</v>
      </c>
      <c r="K357" s="841">
        <f>Sheet1!CZ358</f>
        <v>557</v>
      </c>
      <c r="L357" s="865">
        <f>Calculation!F360</f>
        <v>250</v>
      </c>
      <c r="M357" s="865">
        <f>Calculation!E360</f>
        <v>250</v>
      </c>
      <c r="N357" s="865">
        <f>Calculation!D360</f>
        <v>300</v>
      </c>
      <c r="O357" s="888">
        <f>Sheet1!DC358</f>
        <v>1077.93</v>
      </c>
      <c r="P357" s="889" t="e">
        <f>Calculation!FD360</f>
        <v>#N/A</v>
      </c>
      <c r="Q357" s="895">
        <f>Calculation!DP360</f>
        <v>952.60000000283765</v>
      </c>
      <c r="R357" s="888">
        <f t="shared" si="139"/>
        <v>333.60000000283765</v>
      </c>
      <c r="S357" s="890">
        <f t="shared" si="133"/>
        <v>103.40000000010912</v>
      </c>
      <c r="T357" s="895">
        <f ca="1">IF(A357&gt;($A$1-1),#N/A,VLOOKUP(A357,Calculation!$B$8:$JO$503,40,FALSE))</f>
        <v>0</v>
      </c>
      <c r="U357" s="890">
        <f t="shared" si="134"/>
        <v>0</v>
      </c>
      <c r="V357" s="890">
        <f>Calculation!AZ360</f>
        <v>0</v>
      </c>
      <c r="W357" s="895">
        <f t="shared" ca="1" si="140"/>
        <v>0</v>
      </c>
      <c r="X357" s="890">
        <v>0</v>
      </c>
      <c r="Y357" s="890">
        <f t="shared" ca="1" si="141"/>
        <v>0</v>
      </c>
      <c r="Z357" s="890">
        <f t="shared" ca="1" si="142"/>
        <v>0</v>
      </c>
      <c r="AA357" s="890">
        <f t="shared" ca="1" si="135"/>
        <v>0</v>
      </c>
      <c r="AB357" s="895">
        <f t="shared" ca="1" si="130"/>
        <v>952.60000000283765</v>
      </c>
      <c r="AC357" s="980">
        <f t="shared" ca="1" si="131"/>
        <v>333.60000000283765</v>
      </c>
      <c r="AD357" s="860" t="e">
        <f ca="1">IF(A357&gt;$A$1,VLOOKUP(A357,Calculation!$B$8:$JO$880,165,FALSE),VLOOKUP(A357,Calculation!$B$8:$JO$880,165,FALSE))</f>
        <v>#N/A</v>
      </c>
      <c r="AE357" s="399" t="e">
        <f t="shared" ca="1" si="136"/>
        <v>#N/A</v>
      </c>
      <c r="AF357" s="399"/>
      <c r="AG357" s="841">
        <f>Calculation!G360</f>
        <v>609.14321734750843</v>
      </c>
      <c r="AH357" s="847" t="str">
        <f t="shared" si="137"/>
        <v>Yes</v>
      </c>
      <c r="AI357" s="847" t="str">
        <f>IF(Calculation!K360&gt;0,"Yes","No")</f>
        <v>Yes</v>
      </c>
      <c r="AJ357" s="869">
        <v>1795.8400000025799</v>
      </c>
      <c r="AK357" s="870">
        <v>974.00000000283762</v>
      </c>
      <c r="AL357" s="870">
        <v>760.80000000264658</v>
      </c>
      <c r="AN357" s="372">
        <v>1508.0000000040927</v>
      </c>
      <c r="AO357" s="894">
        <v>4507.0000000103455</v>
      </c>
      <c r="AP357" s="894">
        <v>1053.8000000029194</v>
      </c>
      <c r="AQ357" s="894"/>
      <c r="AR357" s="894"/>
      <c r="AS357" s="894"/>
      <c r="AT357" s="894"/>
      <c r="AU357" s="427"/>
      <c r="AV357" s="410"/>
      <c r="AW357" s="442"/>
      <c r="AX357" s="441"/>
      <c r="AY357" s="441"/>
      <c r="AZ357" s="443"/>
      <c r="BB357" s="433"/>
      <c r="BC357" s="432"/>
      <c r="BD357" s="433"/>
      <c r="BE357" s="432"/>
      <c r="BF357" s="433"/>
      <c r="BG357" s="432"/>
      <c r="BH357" s="429"/>
    </row>
    <row r="358" spans="1:60" ht="13.8" thickBot="1" x14ac:dyDescent="0.3">
      <c r="A358" s="406">
        <v>43085</v>
      </c>
      <c r="B358" s="860">
        <f t="shared" si="132"/>
        <v>92.943759999999997</v>
      </c>
      <c r="C358" s="860">
        <f>Calculation!AK361</f>
        <v>0</v>
      </c>
      <c r="D358" s="860">
        <f>Calculation!AI361</f>
        <v>0</v>
      </c>
      <c r="E358" s="860">
        <f>Calculation!AE361</f>
        <v>37.406459999999996</v>
      </c>
      <c r="F358" s="860">
        <f>Calculation!AF361</f>
        <v>55.537299999999995</v>
      </c>
      <c r="G358" s="860">
        <f>Calculation!AG361</f>
        <v>0</v>
      </c>
      <c r="H358" s="861">
        <f>Sheet1!H359</f>
        <v>7.67</v>
      </c>
      <c r="I358" s="841">
        <f>Sheet1!DA359</f>
        <v>943</v>
      </c>
      <c r="J358" s="841">
        <f>Sheet1!DB359</f>
        <v>485</v>
      </c>
      <c r="K358" s="841">
        <f>Sheet1!CZ359</f>
        <v>561</v>
      </c>
      <c r="L358" s="865">
        <f>Calculation!F361</f>
        <v>250</v>
      </c>
      <c r="M358" s="865">
        <f>Calculation!E361</f>
        <v>250</v>
      </c>
      <c r="N358" s="865">
        <f>Calculation!D361</f>
        <v>300</v>
      </c>
      <c r="O358" s="888">
        <f>Sheet1!DC359</f>
        <v>1078.53</v>
      </c>
      <c r="P358" s="889" t="e">
        <f>Calculation!FD361</f>
        <v>#N/A</v>
      </c>
      <c r="Q358" s="895">
        <f>Calculation!DP361</f>
        <v>1027.6000000028921</v>
      </c>
      <c r="R358" s="888">
        <f t="shared" si="139"/>
        <v>408.6000000028921</v>
      </c>
      <c r="S358" s="890">
        <f t="shared" si="133"/>
        <v>75.000000000054456</v>
      </c>
      <c r="T358" s="895">
        <f ca="1">IF(A358&gt;($A$1-1),#N/A,VLOOKUP(A358,Calculation!$B$8:$JO$503,40,FALSE))</f>
        <v>0</v>
      </c>
      <c r="U358" s="890">
        <f t="shared" si="134"/>
        <v>0</v>
      </c>
      <c r="V358" s="890">
        <f>Calculation!AZ361</f>
        <v>0</v>
      </c>
      <c r="W358" s="895">
        <f t="shared" ca="1" si="140"/>
        <v>0</v>
      </c>
      <c r="X358" s="890">
        <v>0</v>
      </c>
      <c r="Y358" s="890">
        <f t="shared" ca="1" si="141"/>
        <v>0</v>
      </c>
      <c r="Z358" s="890">
        <f t="shared" ca="1" si="142"/>
        <v>0</v>
      </c>
      <c r="AA358" s="890">
        <f t="shared" ca="1" si="135"/>
        <v>0</v>
      </c>
      <c r="AB358" s="895">
        <f t="shared" ca="1" si="130"/>
        <v>1027.6000000028921</v>
      </c>
      <c r="AC358" s="980">
        <f t="shared" ca="1" si="131"/>
        <v>408.6000000028921</v>
      </c>
      <c r="AD358" s="860" t="e">
        <f ca="1">IF(A358&gt;$A$1,VLOOKUP(A358,Calculation!$B$8:$JO$880,165,FALSE),VLOOKUP(A358,Calculation!$B$8:$JO$880,165,FALSE))</f>
        <v>#N/A</v>
      </c>
      <c r="AE358" s="399" t="e">
        <f t="shared" ca="1" si="136"/>
        <v>#N/A</v>
      </c>
      <c r="AF358" s="399"/>
      <c r="AG358" s="841">
        <f>Calculation!G361</f>
        <v>598.82148260214547</v>
      </c>
      <c r="AH358" s="847" t="str">
        <f t="shared" si="137"/>
        <v>Yes</v>
      </c>
      <c r="AI358" s="847" t="str">
        <f>IF(Calculation!K361&gt;0,"Yes","No")</f>
        <v>Yes</v>
      </c>
      <c r="AJ358" s="869">
        <v>1803.1600000025796</v>
      </c>
      <c r="AK358" s="870">
        <v>937.00000000281034</v>
      </c>
      <c r="AL358" s="870">
        <v>768.6000000024261</v>
      </c>
      <c r="AN358" s="372">
        <v>1152.3000000032514</v>
      </c>
      <c r="AO358" s="894">
        <v>2171.4000000052956</v>
      </c>
      <c r="AP358" s="894">
        <v>1088.6000000031922</v>
      </c>
      <c r="AQ358" s="894"/>
      <c r="AR358" s="894"/>
      <c r="AS358" s="894"/>
      <c r="AT358" s="894"/>
      <c r="AU358" s="427"/>
      <c r="AV358" s="410"/>
      <c r="AW358" s="442"/>
      <c r="AX358" s="441"/>
      <c r="AY358" s="441"/>
      <c r="AZ358" s="443"/>
      <c r="BB358" s="433"/>
      <c r="BC358" s="432"/>
      <c r="BD358" s="433"/>
      <c r="BE358" s="432"/>
      <c r="BF358" s="433"/>
      <c r="BG358" s="432"/>
      <c r="BH358" s="429"/>
    </row>
    <row r="359" spans="1:60" ht="13.8" thickBot="1" x14ac:dyDescent="0.3">
      <c r="A359" s="406">
        <v>43086</v>
      </c>
      <c r="B359" s="860">
        <f t="shared" si="132"/>
        <v>93.129400000000004</v>
      </c>
      <c r="C359" s="860">
        <f>Calculation!AK362</f>
        <v>0</v>
      </c>
      <c r="D359" s="860">
        <f>Calculation!AI362</f>
        <v>0</v>
      </c>
      <c r="E359" s="860">
        <f>Calculation!AE362</f>
        <v>37.592100000000002</v>
      </c>
      <c r="F359" s="860">
        <f>Calculation!AF362</f>
        <v>55.537299999999995</v>
      </c>
      <c r="G359" s="860">
        <f>Calculation!AG362</f>
        <v>0</v>
      </c>
      <c r="H359" s="861">
        <f>Sheet1!H360</f>
        <v>4.0599999999999996</v>
      </c>
      <c r="I359" s="841">
        <f>Sheet1!DA360</f>
        <v>987</v>
      </c>
      <c r="J359" s="841">
        <f>Sheet1!DB360</f>
        <v>545</v>
      </c>
      <c r="K359" s="841">
        <f>Sheet1!CZ360</f>
        <v>577</v>
      </c>
      <c r="L359" s="865">
        <f>Calculation!F362</f>
        <v>250</v>
      </c>
      <c r="M359" s="865">
        <f>Calculation!E362</f>
        <v>250</v>
      </c>
      <c r="N359" s="865">
        <f>Calculation!D362</f>
        <v>300</v>
      </c>
      <c r="O359" s="888">
        <f>Sheet1!DC360</f>
        <v>1080.76</v>
      </c>
      <c r="P359" s="889" t="e">
        <f>Calculation!FD362</f>
        <v>#N/A</v>
      </c>
      <c r="Q359" s="895">
        <f>Calculation!DP362</f>
        <v>1319.4000000036608</v>
      </c>
      <c r="R359" s="888">
        <f t="shared" si="139"/>
        <v>700.40000000366081</v>
      </c>
      <c r="S359" s="890">
        <f t="shared" si="133"/>
        <v>291.8000000007687</v>
      </c>
      <c r="T359" s="895">
        <f ca="1">IF(A359&gt;($A$1-1),#N/A,VLOOKUP(A359,Calculation!$B$8:$JO$503,40,FALSE))</f>
        <v>0</v>
      </c>
      <c r="U359" s="890">
        <f t="shared" si="134"/>
        <v>0</v>
      </c>
      <c r="V359" s="890">
        <f>Calculation!AZ362</f>
        <v>0</v>
      </c>
      <c r="W359" s="895">
        <f t="shared" ca="1" si="140"/>
        <v>0</v>
      </c>
      <c r="X359" s="890">
        <v>0</v>
      </c>
      <c r="Y359" s="890">
        <f t="shared" ca="1" si="141"/>
        <v>0</v>
      </c>
      <c r="Z359" s="890">
        <f t="shared" ca="1" si="142"/>
        <v>0</v>
      </c>
      <c r="AA359" s="890">
        <f t="shared" ca="1" si="135"/>
        <v>0</v>
      </c>
      <c r="AB359" s="895">
        <f t="shared" ca="1" si="130"/>
        <v>1319.4000000036608</v>
      </c>
      <c r="AC359" s="980">
        <f t="shared" ca="1" si="131"/>
        <v>700.40000000366081</v>
      </c>
      <c r="AD359" s="860" t="e">
        <f ca="1">IF(A359&gt;$A$1,VLOOKUP(A359,Calculation!$B$8:$JO$880,165,FALSE),VLOOKUP(A359,Calculation!$B$8:$JO$880,165,FALSE))</f>
        <v>#N/A</v>
      </c>
      <c r="AE359" s="399" t="e">
        <f t="shared" ca="1" si="136"/>
        <v>#N/A</v>
      </c>
      <c r="AF359" s="399"/>
      <c r="AG359" s="841">
        <f>Calculation!G362</f>
        <v>724.15078164436136</v>
      </c>
      <c r="AH359" s="847" t="str">
        <f t="shared" si="137"/>
        <v>Yes</v>
      </c>
      <c r="AI359" s="847" t="str">
        <f>IF(Calculation!K362&gt;0,"Yes","No")</f>
        <v>Yes</v>
      </c>
      <c r="AJ359" s="869">
        <v>1790.9600000025798</v>
      </c>
      <c r="AK359" s="870">
        <v>926.00000000257614</v>
      </c>
      <c r="AL359" s="870">
        <v>750.00000000264663</v>
      </c>
      <c r="AN359" s="372">
        <v>882.80000000275572</v>
      </c>
      <c r="AO359" s="894">
        <v>1183.500000003281</v>
      </c>
      <c r="AP359" s="894">
        <v>1131.5000000032219</v>
      </c>
      <c r="AQ359" s="894"/>
      <c r="AR359" s="894"/>
      <c r="AS359" s="894"/>
      <c r="AT359" s="894"/>
      <c r="AU359" s="427"/>
      <c r="AV359" s="410"/>
      <c r="AW359" s="442"/>
      <c r="AX359" s="441"/>
      <c r="AY359" s="441"/>
      <c r="AZ359" s="443"/>
      <c r="BB359" s="433"/>
      <c r="BC359" s="432"/>
      <c r="BD359" s="433"/>
      <c r="BE359" s="432"/>
      <c r="BF359" s="433"/>
      <c r="BG359" s="432"/>
      <c r="BH359" s="429"/>
    </row>
    <row r="360" spans="1:60" ht="13.8" thickBot="1" x14ac:dyDescent="0.3">
      <c r="A360" s="406">
        <v>43087</v>
      </c>
      <c r="B360" s="860">
        <f t="shared" si="132"/>
        <v>91.737099999999998</v>
      </c>
      <c r="C360" s="860">
        <f>Calculation!AK363</f>
        <v>0</v>
      </c>
      <c r="D360" s="860">
        <f>Calculation!AI363</f>
        <v>0</v>
      </c>
      <c r="E360" s="860">
        <f>Calculation!AE363</f>
        <v>38.365600000000001</v>
      </c>
      <c r="F360" s="860">
        <f>Calculation!AF363</f>
        <v>53.371499999999997</v>
      </c>
      <c r="G360" s="860">
        <f>Calculation!AG363</f>
        <v>14.077699999997748</v>
      </c>
      <c r="H360" s="861">
        <f>Sheet1!H361</f>
        <v>21.3</v>
      </c>
      <c r="I360" s="841">
        <f>Sheet1!DA361</f>
        <v>2580</v>
      </c>
      <c r="J360" s="841">
        <f>Sheet1!DB361</f>
        <v>2420</v>
      </c>
      <c r="K360" s="841">
        <f>Sheet1!CZ361</f>
        <v>2160</v>
      </c>
      <c r="L360" s="865">
        <f>Calculation!F363</f>
        <v>250</v>
      </c>
      <c r="M360" s="865">
        <f>Calculation!E363</f>
        <v>250</v>
      </c>
      <c r="N360" s="865">
        <f>Calculation!D363</f>
        <v>300</v>
      </c>
      <c r="O360" s="888">
        <f>Sheet1!DC361</f>
        <v>1094.8699999999999</v>
      </c>
      <c r="P360" s="889" t="e">
        <f>Calculation!FD363</f>
        <v>#N/A</v>
      </c>
      <c r="Q360" s="895">
        <f>Calculation!DP363</f>
        <v>3895.1000000089425</v>
      </c>
      <c r="R360" s="888">
        <f t="shared" si="139"/>
        <v>3276.1000000089425</v>
      </c>
      <c r="S360" s="890">
        <f t="shared" si="133"/>
        <v>2575.7000000052817</v>
      </c>
      <c r="T360" s="895">
        <f ca="1">IF(A360&gt;($A$1-1),#N/A,VLOOKUP(A360,Calculation!$B$8:$JO$503,40,FALSE))</f>
        <v>0</v>
      </c>
      <c r="U360" s="890">
        <f t="shared" si="134"/>
        <v>0</v>
      </c>
      <c r="V360" s="890">
        <f>Calculation!AZ363</f>
        <v>0</v>
      </c>
      <c r="W360" s="895">
        <f t="shared" ca="1" si="140"/>
        <v>0</v>
      </c>
      <c r="X360" s="890">
        <v>0</v>
      </c>
      <c r="Y360" s="890">
        <f t="shared" ca="1" si="141"/>
        <v>0</v>
      </c>
      <c r="Z360" s="890">
        <f t="shared" ca="1" si="142"/>
        <v>0</v>
      </c>
      <c r="AA360" s="890">
        <f t="shared" ca="1" si="135"/>
        <v>0</v>
      </c>
      <c r="AB360" s="895">
        <f t="shared" ca="1" si="130"/>
        <v>3895.1000000089425</v>
      </c>
      <c r="AC360" s="980">
        <f t="shared" ca="1" si="131"/>
        <v>3276.1000000089425</v>
      </c>
      <c r="AD360" s="860" t="e">
        <f ca="1">IF(A360&gt;$A$1,VLOOKUP(A360,Calculation!$B$8:$JO$880,165,FALSE),VLOOKUP(A360,Calculation!$B$8:$JO$880,165,FALSE))</f>
        <v>#N/A</v>
      </c>
      <c r="AE360" s="399" t="e">
        <f t="shared" ca="1" si="136"/>
        <v>#N/A</v>
      </c>
      <c r="AF360" s="399"/>
      <c r="AG360" s="841">
        <f>Calculation!G363</f>
        <v>3458.8905698463345</v>
      </c>
      <c r="AH360" s="847" t="str">
        <f t="shared" si="137"/>
        <v>Yes</v>
      </c>
      <c r="AI360" s="847" t="str">
        <f>IF(Calculation!K363&gt;0,"Yes","No")</f>
        <v>Yes</v>
      </c>
      <c r="AJ360" s="869">
        <v>1828.7800000026075</v>
      </c>
      <c r="AK360" s="870">
        <v>937.00000000281034</v>
      </c>
      <c r="AL360" s="870">
        <v>727.00000000261934</v>
      </c>
      <c r="AN360" s="372">
        <v>739.00000000240107</v>
      </c>
      <c r="AO360" s="894">
        <v>1446.800000003788</v>
      </c>
      <c r="AP360" s="894">
        <v>1127.6000000032218</v>
      </c>
      <c r="AQ360" s="894"/>
      <c r="AR360" s="894"/>
      <c r="AS360" s="894"/>
      <c r="AT360" s="894"/>
      <c r="AU360" s="427"/>
      <c r="AV360" s="410"/>
      <c r="AW360" s="442"/>
      <c r="AX360" s="441"/>
      <c r="AY360" s="441"/>
      <c r="AZ360" s="443"/>
      <c r="BB360" s="433"/>
      <c r="BC360" s="432"/>
      <c r="BD360" s="433"/>
      <c r="BE360" s="432"/>
      <c r="BF360" s="433"/>
      <c r="BG360" s="432"/>
      <c r="BH360" s="429"/>
    </row>
    <row r="361" spans="1:60" ht="13.8" thickBot="1" x14ac:dyDescent="0.3">
      <c r="A361" s="406">
        <v>43088</v>
      </c>
      <c r="B361" s="860">
        <f t="shared" si="132"/>
        <v>91.737099999999998</v>
      </c>
      <c r="C361" s="860">
        <f>Calculation!AK364</f>
        <v>0</v>
      </c>
      <c r="D361" s="860">
        <f>Calculation!AI364</f>
        <v>0</v>
      </c>
      <c r="E361" s="860">
        <f>Calculation!AE364</f>
        <v>39.139099999999999</v>
      </c>
      <c r="F361" s="860">
        <f>Calculation!AF364</f>
        <v>52.597999999999999</v>
      </c>
      <c r="G361" s="860">
        <f>Calculation!AG364</f>
        <v>31.295809999999324</v>
      </c>
      <c r="H361" s="861">
        <f>Sheet1!H362</f>
        <v>16.100000000000001</v>
      </c>
      <c r="I361" s="841">
        <f>Sheet1!DA362</f>
        <v>4040</v>
      </c>
      <c r="J361" s="841">
        <f>Sheet1!DB362</f>
        <v>3230</v>
      </c>
      <c r="K361" s="841">
        <f>Sheet1!CZ362</f>
        <v>2990</v>
      </c>
      <c r="L361" s="865">
        <f>Calculation!F364</f>
        <v>250</v>
      </c>
      <c r="M361" s="865">
        <f>Calculation!E364</f>
        <v>250</v>
      </c>
      <c r="N361" s="865">
        <f>Calculation!D364</f>
        <v>300</v>
      </c>
      <c r="O361" s="888">
        <f>Sheet1!DC362</f>
        <v>1102.57</v>
      </c>
      <c r="P361" s="889" t="e">
        <f>Calculation!FD364</f>
        <v>#N/A</v>
      </c>
      <c r="Q361" s="895">
        <f>Calculation!DP364</f>
        <v>5815.9000000124006</v>
      </c>
      <c r="R361" s="888">
        <f t="shared" si="139"/>
        <v>5196.9000000124006</v>
      </c>
      <c r="S361" s="890">
        <f t="shared" si="133"/>
        <v>1920.8000000034581</v>
      </c>
      <c r="T361" s="895">
        <f ca="1">IF(A361&gt;($A$1-1),#N/A,VLOOKUP(A361,Calculation!$B$8:$JO$503,40,FALSE))</f>
        <v>0</v>
      </c>
      <c r="U361" s="890">
        <f t="shared" si="134"/>
        <v>0</v>
      </c>
      <c r="V361" s="890">
        <f>Calculation!AZ364</f>
        <v>0</v>
      </c>
      <c r="W361" s="895">
        <f t="shared" ca="1" si="140"/>
        <v>0</v>
      </c>
      <c r="X361" s="890">
        <v>0</v>
      </c>
      <c r="Y361" s="890">
        <f t="shared" ca="1" si="141"/>
        <v>0</v>
      </c>
      <c r="Z361" s="890">
        <f t="shared" ca="1" si="142"/>
        <v>0</v>
      </c>
      <c r="AA361" s="890">
        <f t="shared" ca="1" si="135"/>
        <v>0</v>
      </c>
      <c r="AB361" s="895">
        <f t="shared" ca="1" si="130"/>
        <v>5815.9000000124006</v>
      </c>
      <c r="AC361" s="980">
        <f t="shared" ca="1" si="131"/>
        <v>5196.9000000124006</v>
      </c>
      <c r="AD361" s="860" t="e">
        <f ca="1">IF(A361&gt;$A$1,VLOOKUP(A361,Calculation!$B$8:$JO$880,165,FALSE),VLOOKUP(A361,Calculation!$B$8:$JO$880,165,FALSE))</f>
        <v>#N/A</v>
      </c>
      <c r="AE361" s="399" t="e">
        <f t="shared" ca="1" si="136"/>
        <v>#N/A</v>
      </c>
      <c r="AF361" s="399"/>
      <c r="AG361" s="841">
        <f>Calculation!G364</f>
        <v>3958.6333837637203</v>
      </c>
      <c r="AH361" s="847" t="str">
        <f t="shared" si="137"/>
        <v>Yes</v>
      </c>
      <c r="AI361" s="847" t="str">
        <f>IF(Calculation!K364&gt;0,"Yes","No")</f>
        <v>Yes</v>
      </c>
      <c r="AJ361" s="869">
        <v>1860.5000000026353</v>
      </c>
      <c r="AK361" s="870">
        <v>916.40000000278303</v>
      </c>
      <c r="AL361" s="870">
        <v>748.90000000242605</v>
      </c>
      <c r="AN361" s="372">
        <v>727.00000000261934</v>
      </c>
      <c r="AO361" s="894">
        <v>1502.0000000040927</v>
      </c>
      <c r="AP361" s="894">
        <v>1050.2000000029195</v>
      </c>
      <c r="AQ361" s="894"/>
      <c r="AR361" s="894"/>
      <c r="AS361" s="894"/>
      <c r="AT361" s="894"/>
      <c r="AU361" s="427"/>
      <c r="AV361" s="410"/>
      <c r="AW361" s="442"/>
      <c r="AX361" s="441"/>
      <c r="AY361" s="441"/>
      <c r="AZ361" s="443"/>
      <c r="BB361" s="433"/>
      <c r="BC361" s="432"/>
      <c r="BD361" s="433"/>
      <c r="BE361" s="432"/>
      <c r="BF361" s="433"/>
      <c r="BG361" s="432"/>
      <c r="BH361" s="429"/>
    </row>
    <row r="362" spans="1:60" ht="13.8" thickBot="1" x14ac:dyDescent="0.3">
      <c r="A362" s="406">
        <v>43089</v>
      </c>
      <c r="B362" s="860">
        <f t="shared" ref="B362:B384" si="143">E362+F362</f>
        <v>91.520519999999991</v>
      </c>
      <c r="C362" s="860">
        <f>Calculation!AK365</f>
        <v>0</v>
      </c>
      <c r="D362" s="860">
        <f>Calculation!AI365</f>
        <v>0</v>
      </c>
      <c r="E362" s="860">
        <f>Calculation!AE365</f>
        <v>38.984399999999994</v>
      </c>
      <c r="F362" s="860">
        <f>Calculation!AF365</f>
        <v>52.536119999999997</v>
      </c>
      <c r="G362" s="860">
        <f>Calculation!AG365</f>
        <v>15.980510000002701</v>
      </c>
      <c r="H362" s="861">
        <f>Sheet1!H363</f>
        <v>12.9</v>
      </c>
      <c r="I362" s="841">
        <f>Sheet1!DA363</f>
        <v>3630</v>
      </c>
      <c r="J362" s="841">
        <f>Sheet1!DB363</f>
        <v>2890</v>
      </c>
      <c r="K362" s="841">
        <f>Sheet1!CZ363</f>
        <v>2780</v>
      </c>
      <c r="L362" s="865">
        <f>Calculation!F365</f>
        <v>250</v>
      </c>
      <c r="M362" s="865">
        <f>Calculation!E365</f>
        <v>250</v>
      </c>
      <c r="N362" s="865">
        <f>Calculation!D365</f>
        <v>300</v>
      </c>
      <c r="O362" s="888">
        <f>Sheet1!DC363</f>
        <v>1101.3</v>
      </c>
      <c r="P362" s="889" t="e">
        <f>Calculation!FD365</f>
        <v>#N/A</v>
      </c>
      <c r="Q362" s="895">
        <f>Calculation!DP365</f>
        <v>5477.0000000116461</v>
      </c>
      <c r="R362" s="888">
        <f t="shared" si="139"/>
        <v>4858.0000000116461</v>
      </c>
      <c r="S362" s="890">
        <f t="shared" ref="S362:S384" si="144">R362-R361</f>
        <v>-338.90000000075452</v>
      </c>
      <c r="T362" s="895">
        <f ca="1">IF(A362&gt;($A$1-1),#N/A,VLOOKUP(A362,Calculation!$B$8:$JO$503,40,FALSE))</f>
        <v>0</v>
      </c>
      <c r="U362" s="890">
        <f t="shared" ref="U362:U384" si="145">D362</f>
        <v>0</v>
      </c>
      <c r="V362" s="890">
        <f>Calculation!AZ365</f>
        <v>0</v>
      </c>
      <c r="W362" s="895">
        <f t="shared" ca="1" si="140"/>
        <v>0</v>
      </c>
      <c r="X362" s="890">
        <v>0</v>
      </c>
      <c r="Y362" s="890">
        <f t="shared" ca="1" si="141"/>
        <v>0</v>
      </c>
      <c r="Z362" s="890">
        <f t="shared" ca="1" si="142"/>
        <v>0</v>
      </c>
      <c r="AA362" s="890">
        <f t="shared" ca="1" si="135"/>
        <v>0</v>
      </c>
      <c r="AB362" s="895">
        <f t="shared" ref="AB362:AB384" ca="1" si="146">IF(Q362-T362-W362&lt;0,0,MIN(Q362-T362-W362,24257))</f>
        <v>5477.0000000116461</v>
      </c>
      <c r="AC362" s="980">
        <f t="shared" ref="AC362:AC384" ca="1" si="147">AB362-619</f>
        <v>4858.0000000116461</v>
      </c>
      <c r="AD362" s="860" t="e">
        <f ca="1">IF(A362&gt;$A$1,VLOOKUP(A362,Calculation!$B$8:$JO$880,165,FALSE),VLOOKUP(A362,Calculation!$B$8:$JO$880,165,FALSE))</f>
        <v>#N/A</v>
      </c>
      <c r="AE362" s="399" t="e">
        <f t="shared" ref="AE362:AE384" ca="1" si="148">AD362-AD361</f>
        <v>#N/A</v>
      </c>
      <c r="AF362" s="399"/>
      <c r="AG362" s="841">
        <f>Calculation!G365</f>
        <v>2609.0973272815158</v>
      </c>
      <c r="AH362" s="847" t="str">
        <f t="shared" ref="AH362:AH384" si="149">IF(I362&gt;L362,"Yes","No")</f>
        <v>Yes</v>
      </c>
      <c r="AI362" s="847" t="str">
        <f>IF(Calculation!K365&gt;0,"Yes","No")</f>
        <v>Yes</v>
      </c>
      <c r="AJ362" s="869">
        <v>1861.7200000026353</v>
      </c>
      <c r="AK362" s="870">
        <v>902.00000000278305</v>
      </c>
      <c r="AL362" s="870">
        <v>1074.0000000029468</v>
      </c>
      <c r="AN362" s="372">
        <v>999.00000000286491</v>
      </c>
      <c r="AO362" s="894">
        <v>1420.2000000037563</v>
      </c>
      <c r="AP362" s="894">
        <v>1323.6000000036606</v>
      </c>
      <c r="AQ362" s="894"/>
      <c r="AR362" s="894"/>
      <c r="AS362" s="894"/>
      <c r="AT362" s="894"/>
      <c r="AU362" s="427"/>
      <c r="AV362" s="410"/>
      <c r="AW362" s="442"/>
      <c r="AX362" s="441"/>
      <c r="AY362" s="441"/>
      <c r="AZ362" s="443"/>
      <c r="BB362" s="433"/>
      <c r="BC362" s="432"/>
      <c r="BD362" s="433"/>
      <c r="BE362" s="432"/>
      <c r="BF362" s="433"/>
      <c r="BG362" s="432"/>
      <c r="BH362" s="429"/>
    </row>
    <row r="363" spans="1:60" ht="13.8" thickBot="1" x14ac:dyDescent="0.3">
      <c r="A363" s="406">
        <v>43090</v>
      </c>
      <c r="B363" s="860">
        <f t="shared" si="143"/>
        <v>91.489579999999989</v>
      </c>
      <c r="C363" s="860">
        <f>Calculation!AK366</f>
        <v>0</v>
      </c>
      <c r="D363" s="860">
        <f>Calculation!AI366</f>
        <v>0</v>
      </c>
      <c r="E363" s="860">
        <f>Calculation!AE366</f>
        <v>38.984399999999994</v>
      </c>
      <c r="F363" s="860">
        <f>Calculation!AF366</f>
        <v>52.505179999999996</v>
      </c>
      <c r="G363" s="860">
        <f>Calculation!AG366</f>
        <v>2.4287899999995495</v>
      </c>
      <c r="H363" s="861">
        <f>Sheet1!H364</f>
        <v>6.46</v>
      </c>
      <c r="I363" s="841">
        <f>Sheet1!DA364</f>
        <v>2650</v>
      </c>
      <c r="J363" s="841">
        <f>Sheet1!DB364</f>
        <v>2030</v>
      </c>
      <c r="K363" s="841">
        <f>Sheet1!CZ364</f>
        <v>1960</v>
      </c>
      <c r="L363" s="865">
        <f>Calculation!F366</f>
        <v>250</v>
      </c>
      <c r="M363" s="865">
        <f>Calculation!E366</f>
        <v>250</v>
      </c>
      <c r="N363" s="865">
        <f>Calculation!D366</f>
        <v>300</v>
      </c>
      <c r="O363" s="888">
        <f>Sheet1!DC364</f>
        <v>1098.19</v>
      </c>
      <c r="P363" s="889" t="e">
        <f>Calculation!FD366</f>
        <v>#N/A</v>
      </c>
      <c r="Q363" s="895">
        <f>Calculation!DP366</f>
        <v>4684.6000000100958</v>
      </c>
      <c r="R363" s="888">
        <f t="shared" si="139"/>
        <v>4065.6000000100958</v>
      </c>
      <c r="S363" s="890">
        <f t="shared" si="144"/>
        <v>-792.40000000155032</v>
      </c>
      <c r="T363" s="895">
        <f ca="1">IF(A363&gt;($A$1-1),#N/A,VLOOKUP(A363,Calculation!$B$8:$JO$503,40,FALSE))</f>
        <v>0</v>
      </c>
      <c r="U363" s="890">
        <f t="shared" si="145"/>
        <v>0</v>
      </c>
      <c r="V363" s="890">
        <f>Calculation!AZ366</f>
        <v>0</v>
      </c>
      <c r="W363" s="895">
        <f t="shared" ca="1" si="140"/>
        <v>0</v>
      </c>
      <c r="X363" s="890">
        <v>0</v>
      </c>
      <c r="Y363" s="890">
        <f t="shared" ca="1" si="141"/>
        <v>0</v>
      </c>
      <c r="Z363" s="890">
        <f t="shared" ca="1" si="142"/>
        <v>0</v>
      </c>
      <c r="AA363" s="890">
        <f t="shared" ca="1" si="135"/>
        <v>0</v>
      </c>
      <c r="AB363" s="895">
        <f t="shared" ca="1" si="146"/>
        <v>4684.6000000100958</v>
      </c>
      <c r="AC363" s="980">
        <f t="shared" ca="1" si="147"/>
        <v>4065.6000000100958</v>
      </c>
      <c r="AD363" s="860" t="e">
        <f ca="1">IF(A363&gt;$A$1,VLOOKUP(A363,Calculation!$B$8:$JO$880,165,FALSE),VLOOKUP(A363,Calculation!$B$8:$JO$880,165,FALSE))</f>
        <v>#N/A</v>
      </c>
      <c r="AE363" s="399" t="e">
        <f t="shared" ca="1" si="148"/>
        <v>#N/A</v>
      </c>
      <c r="AF363" s="399"/>
      <c r="AG363" s="841">
        <f>Calculation!G366</f>
        <v>1560.4034291469743</v>
      </c>
      <c r="AH363" s="847" t="str">
        <f t="shared" si="149"/>
        <v>Yes</v>
      </c>
      <c r="AI363" s="847" t="str">
        <f>IF(Calculation!K366&gt;0,"Yes","No")</f>
        <v>Yes</v>
      </c>
      <c r="AJ363" s="869">
        <v>1853.1800000026353</v>
      </c>
      <c r="AK363" s="870">
        <v>920.00000000281034</v>
      </c>
      <c r="AL363" s="870">
        <v>2270.0000000054115</v>
      </c>
      <c r="AN363" s="372">
        <v>4080.1000000091517</v>
      </c>
      <c r="AO363" s="894">
        <v>1221.6000000035651</v>
      </c>
      <c r="AP363" s="894">
        <v>1115.900000003222</v>
      </c>
      <c r="AQ363" s="894"/>
      <c r="AR363" s="894"/>
      <c r="AS363" s="894"/>
      <c r="AT363" s="894"/>
      <c r="AU363" s="427"/>
      <c r="AV363" s="410"/>
      <c r="AW363" s="442"/>
      <c r="AX363" s="441"/>
      <c r="AY363" s="441"/>
      <c r="AZ363" s="443"/>
      <c r="BB363" s="433"/>
      <c r="BC363" s="432"/>
      <c r="BD363" s="433"/>
      <c r="BE363" s="432"/>
      <c r="BF363" s="433"/>
      <c r="BG363" s="432"/>
      <c r="BH363" s="429"/>
    </row>
    <row r="364" spans="1:60" ht="13.8" thickBot="1" x14ac:dyDescent="0.3">
      <c r="A364" s="406">
        <v>43091</v>
      </c>
      <c r="B364" s="860">
        <f t="shared" si="143"/>
        <v>91.427699999999987</v>
      </c>
      <c r="C364" s="860">
        <f>Calculation!AK367</f>
        <v>0</v>
      </c>
      <c r="D364" s="860">
        <f>Calculation!AI367</f>
        <v>0</v>
      </c>
      <c r="E364" s="860">
        <f>Calculation!AE367</f>
        <v>38.984399999999994</v>
      </c>
      <c r="F364" s="860">
        <f>Calculation!AF367</f>
        <v>52.443299999999994</v>
      </c>
      <c r="G364" s="860">
        <f>Calculation!AG367</f>
        <v>0</v>
      </c>
      <c r="H364" s="861">
        <f>Sheet1!H365</f>
        <v>4.5999999999999996</v>
      </c>
      <c r="I364" s="841">
        <f>Sheet1!DA365</f>
        <v>2110</v>
      </c>
      <c r="J364" s="841">
        <f>Sheet1!DB365</f>
        <v>1500</v>
      </c>
      <c r="K364" s="841">
        <f>Sheet1!CZ365</f>
        <v>1450</v>
      </c>
      <c r="L364" s="865">
        <f>Calculation!F367</f>
        <v>250</v>
      </c>
      <c r="M364" s="865">
        <f>Calculation!E367</f>
        <v>250</v>
      </c>
      <c r="N364" s="865">
        <f>Calculation!D367</f>
        <v>300</v>
      </c>
      <c r="O364" s="888">
        <f>Sheet1!DC365</f>
        <v>1097.33</v>
      </c>
      <c r="P364" s="889" t="e">
        <f>Calculation!FD367</f>
        <v>#N/A</v>
      </c>
      <c r="Q364" s="895">
        <f>Calculation!DP367</f>
        <v>4475.2000000098769</v>
      </c>
      <c r="R364" s="888">
        <f t="shared" si="139"/>
        <v>3856.2000000098769</v>
      </c>
      <c r="S364" s="890">
        <f t="shared" si="144"/>
        <v>-209.40000000021882</v>
      </c>
      <c r="T364" s="895">
        <f ca="1">IF(A364&gt;($A$1-1),#N/A,VLOOKUP(A364,Calculation!$B$8:$JO$503,40,FALSE))</f>
        <v>0</v>
      </c>
      <c r="U364" s="890">
        <f t="shared" si="145"/>
        <v>0</v>
      </c>
      <c r="V364" s="890">
        <f>Calculation!AZ367</f>
        <v>0</v>
      </c>
      <c r="W364" s="895">
        <f t="shared" ca="1" si="140"/>
        <v>0</v>
      </c>
      <c r="X364" s="890">
        <v>0</v>
      </c>
      <c r="Y364" s="890">
        <f t="shared" ca="1" si="141"/>
        <v>0</v>
      </c>
      <c r="Z364" s="890">
        <f t="shared" ca="1" si="142"/>
        <v>0</v>
      </c>
      <c r="AA364" s="890">
        <f t="shared" ca="1" si="135"/>
        <v>0</v>
      </c>
      <c r="AB364" s="895">
        <f t="shared" ca="1" si="146"/>
        <v>4475.2000000098769</v>
      </c>
      <c r="AC364" s="980">
        <f t="shared" ca="1" si="147"/>
        <v>3856.2000000098769</v>
      </c>
      <c r="AD364" s="860" t="e">
        <f ca="1">IF(A364&gt;$A$1,VLOOKUP(A364,Calculation!$B$8:$JO$880,165,FALSE),VLOOKUP(A364,Calculation!$B$8:$JO$880,165,FALSE))</f>
        <v>#N/A</v>
      </c>
      <c r="AE364" s="399" t="e">
        <f t="shared" ca="1" si="148"/>
        <v>#N/A</v>
      </c>
      <c r="AF364" s="399"/>
      <c r="AG364" s="841">
        <f>Calculation!G367</f>
        <v>1344.4024205747762</v>
      </c>
      <c r="AH364" s="847" t="str">
        <f t="shared" si="149"/>
        <v>Yes</v>
      </c>
      <c r="AI364" s="847" t="str">
        <f>IF(Calculation!K367&gt;0,"Yes","No")</f>
        <v>Yes</v>
      </c>
      <c r="AJ364" s="869">
        <v>1826.3400000026074</v>
      </c>
      <c r="AK364" s="870">
        <v>999.00000000286491</v>
      </c>
      <c r="AL364" s="870">
        <v>2830.0000000069122</v>
      </c>
      <c r="AN364" s="372">
        <v>3503.6000000082536</v>
      </c>
      <c r="AO364" s="894">
        <v>1089.9000000031924</v>
      </c>
      <c r="AP364" s="894">
        <v>971.40000000307407</v>
      </c>
      <c r="AQ364" s="894"/>
      <c r="AR364" s="894"/>
      <c r="AS364" s="894"/>
      <c r="AT364" s="894"/>
      <c r="AU364" s="427"/>
      <c r="AV364" s="410"/>
      <c r="AW364" s="442"/>
      <c r="AX364" s="441"/>
      <c r="AY364" s="441"/>
      <c r="AZ364" s="443"/>
      <c r="BB364" s="433"/>
      <c r="BC364" s="432"/>
      <c r="BD364" s="433"/>
      <c r="BE364" s="432"/>
      <c r="BF364" s="433"/>
      <c r="BG364" s="432"/>
      <c r="BH364" s="429"/>
    </row>
    <row r="365" spans="1:60" ht="13.8" thickBot="1" x14ac:dyDescent="0.3">
      <c r="A365" s="406">
        <v>43092</v>
      </c>
      <c r="B365" s="860">
        <f t="shared" si="143"/>
        <v>86.91046</v>
      </c>
      <c r="C365" s="860">
        <f>Calculation!AK368</f>
        <v>0</v>
      </c>
      <c r="D365" s="860">
        <f>Calculation!AI368</f>
        <v>0</v>
      </c>
      <c r="E365" s="860">
        <f>Calculation!AE368</f>
        <v>38.984399999999994</v>
      </c>
      <c r="F365" s="860">
        <f>Calculation!AF368</f>
        <v>47.92606</v>
      </c>
      <c r="G365" s="860">
        <f>Calculation!AG368</f>
        <v>0</v>
      </c>
      <c r="H365" s="861">
        <f>Sheet1!H366</f>
        <v>2</v>
      </c>
      <c r="I365" s="841">
        <f>Sheet1!DA366</f>
        <v>2020</v>
      </c>
      <c r="J365" s="841">
        <f>Sheet1!DB366</f>
        <v>1470</v>
      </c>
      <c r="K365" s="841">
        <f>Sheet1!CZ366</f>
        <v>1440</v>
      </c>
      <c r="L365" s="865">
        <f>Calculation!F368</f>
        <v>250</v>
      </c>
      <c r="M365" s="865">
        <f>Calculation!E368</f>
        <v>250</v>
      </c>
      <c r="N365" s="865">
        <f>Calculation!D368</f>
        <v>300</v>
      </c>
      <c r="O365" s="888">
        <f>Sheet1!DC366</f>
        <v>1096.01</v>
      </c>
      <c r="P365" s="889" t="e">
        <f>Calculation!FD368</f>
        <v>#N/A</v>
      </c>
      <c r="Q365" s="895">
        <f>Calculation!DP368</f>
        <v>4159.4000000096039</v>
      </c>
      <c r="R365" s="888">
        <f t="shared" si="139"/>
        <v>3540.4000000096039</v>
      </c>
      <c r="S365" s="890">
        <f t="shared" si="144"/>
        <v>-315.80000000027303</v>
      </c>
      <c r="T365" s="895">
        <f ca="1">IF(A365&gt;($A$1-1),#N/A,VLOOKUP(A365,Calculation!$B$8:$JO$503,40,FALSE))</f>
        <v>0</v>
      </c>
      <c r="U365" s="890">
        <f t="shared" si="145"/>
        <v>0</v>
      </c>
      <c r="V365" s="890">
        <f>Calculation!AZ368</f>
        <v>0</v>
      </c>
      <c r="W365" s="895">
        <f t="shared" ca="1" si="140"/>
        <v>0</v>
      </c>
      <c r="X365" s="890">
        <v>0</v>
      </c>
      <c r="Y365" s="890">
        <f t="shared" ca="1" si="141"/>
        <v>0</v>
      </c>
      <c r="Z365" s="890">
        <f t="shared" ca="1" si="142"/>
        <v>0</v>
      </c>
      <c r="AA365" s="890">
        <f t="shared" ca="1" si="135"/>
        <v>0</v>
      </c>
      <c r="AB365" s="895">
        <f t="shared" ca="1" si="146"/>
        <v>4159.4000000096039</v>
      </c>
      <c r="AC365" s="980">
        <f t="shared" ca="1" si="147"/>
        <v>3540.4000000096039</v>
      </c>
      <c r="AD365" s="860" t="e">
        <f ca="1">IF(A365&gt;$A$1,VLOOKUP(A365,Calculation!$B$8:$JO$880,165,FALSE),VLOOKUP(A365,Calculation!$B$8:$JO$880,165,FALSE))</f>
        <v>#N/A</v>
      </c>
      <c r="AE365" s="399" t="e">
        <f t="shared" ca="1" si="148"/>
        <v>#N/A</v>
      </c>
      <c r="AF365" s="399"/>
      <c r="AG365" s="841">
        <f>Calculation!G368</f>
        <v>1280.7463439232108</v>
      </c>
      <c r="AH365" s="847" t="str">
        <f t="shared" si="149"/>
        <v>Yes</v>
      </c>
      <c r="AI365" s="847" t="str">
        <f>IF(Calculation!K368&gt;0,"Yes","No")</f>
        <v>Yes</v>
      </c>
      <c r="AJ365" s="869">
        <v>1854.4000000026354</v>
      </c>
      <c r="AK365" s="870">
        <v>1132.8000000032218</v>
      </c>
      <c r="AL365" s="870">
        <v>4064.0000000090995</v>
      </c>
      <c r="AN365" s="372">
        <v>5281.0000000114687</v>
      </c>
      <c r="AO365" s="894">
        <v>1326.4000000036608</v>
      </c>
      <c r="AP365" s="894">
        <v>1055.0000000029195</v>
      </c>
      <c r="AQ365" s="894"/>
      <c r="AR365" s="894"/>
      <c r="AS365" s="894"/>
      <c r="AT365" s="894"/>
      <c r="AU365" s="427"/>
      <c r="AV365" s="410"/>
      <c r="AW365" s="442"/>
      <c r="AX365" s="441"/>
      <c r="AY365" s="441"/>
      <c r="AZ365" s="443"/>
      <c r="BB365" s="433"/>
      <c r="BC365" s="432"/>
      <c r="BD365" s="433"/>
      <c r="BE365" s="432"/>
      <c r="BF365" s="433"/>
      <c r="BG365" s="432"/>
      <c r="BH365" s="429"/>
    </row>
    <row r="366" spans="1:60" ht="13.8" thickBot="1" x14ac:dyDescent="0.3">
      <c r="A366" s="406">
        <v>43093</v>
      </c>
      <c r="B366" s="860">
        <f t="shared" si="143"/>
        <v>85.549099999999996</v>
      </c>
      <c r="C366" s="860">
        <f>Calculation!AK369</f>
        <v>0</v>
      </c>
      <c r="D366" s="860">
        <f>Calculation!AI369</f>
        <v>0</v>
      </c>
      <c r="E366" s="860">
        <f>Calculation!AE369</f>
        <v>38.984399999999994</v>
      </c>
      <c r="F366" s="860">
        <f>Calculation!AF369</f>
        <v>46.564700000000002</v>
      </c>
      <c r="G366" s="860">
        <f>Calculation!AG369</f>
        <v>0</v>
      </c>
      <c r="H366" s="861">
        <f>Sheet1!H367</f>
        <v>3</v>
      </c>
      <c r="I366" s="841">
        <f>Sheet1!DA367</f>
        <v>1940</v>
      </c>
      <c r="J366" s="841">
        <f>Sheet1!DB367</f>
        <v>1420</v>
      </c>
      <c r="K366" s="841">
        <f>Sheet1!CZ367</f>
        <v>1410</v>
      </c>
      <c r="L366" s="865">
        <f>Calculation!F369</f>
        <v>250</v>
      </c>
      <c r="M366" s="865">
        <f>Calculation!E369</f>
        <v>250</v>
      </c>
      <c r="N366" s="865">
        <f>Calculation!D369</f>
        <v>300</v>
      </c>
      <c r="O366" s="888">
        <f>Sheet1!DC367</f>
        <v>1093.33</v>
      </c>
      <c r="P366" s="889" t="e">
        <f>Calculation!FD369</f>
        <v>#N/A</v>
      </c>
      <c r="Q366" s="895">
        <f>Calculation!DP369</f>
        <v>3548.6000000082536</v>
      </c>
      <c r="R366" s="888">
        <f t="shared" si="139"/>
        <v>2929.6000000082536</v>
      </c>
      <c r="S366" s="890">
        <f t="shared" si="144"/>
        <v>-610.80000000135033</v>
      </c>
      <c r="T366" s="895">
        <f ca="1">IF(A366&gt;($A$1-1),#N/A,VLOOKUP(A366,Calculation!$B$8:$JO$503,40,FALSE))</f>
        <v>0</v>
      </c>
      <c r="U366" s="890">
        <f t="shared" si="145"/>
        <v>0</v>
      </c>
      <c r="V366" s="890">
        <f>Calculation!AZ369</f>
        <v>0</v>
      </c>
      <c r="W366" s="895">
        <f t="shared" ca="1" si="140"/>
        <v>0</v>
      </c>
      <c r="X366" s="890">
        <v>0</v>
      </c>
      <c r="Y366" s="890">
        <f t="shared" ca="1" si="141"/>
        <v>0</v>
      </c>
      <c r="Z366" s="890">
        <f t="shared" ca="1" si="142"/>
        <v>0</v>
      </c>
      <c r="AA366" s="890">
        <f t="shared" ca="1" si="135"/>
        <v>0</v>
      </c>
      <c r="AB366" s="895">
        <f t="shared" ca="1" si="146"/>
        <v>3548.6000000082536</v>
      </c>
      <c r="AC366" s="980">
        <f t="shared" ca="1" si="147"/>
        <v>2929.6000000082536</v>
      </c>
      <c r="AD366" s="860" t="e">
        <f ca="1">IF(A366&gt;$A$1,VLOOKUP(A366,Calculation!$B$8:$JO$880,165,FALSE),VLOOKUP(A366,Calculation!$B$8:$JO$880,165,FALSE))</f>
        <v>#N/A</v>
      </c>
      <c r="AE366" s="399" t="e">
        <f t="shared" ca="1" si="148"/>
        <v>#N/A</v>
      </c>
      <c r="AF366" s="399"/>
      <c r="AG366" s="841">
        <f>Calculation!G369</f>
        <v>1101.9818456876701</v>
      </c>
      <c r="AH366" s="847" t="str">
        <f t="shared" si="149"/>
        <v>Yes</v>
      </c>
      <c r="AI366" s="847" t="str">
        <f>IF(Calculation!K369&gt;0,"Yes","No")</f>
        <v>Yes</v>
      </c>
      <c r="AJ366" s="869">
        <v>1902.3400000027502</v>
      </c>
      <c r="AK366" s="870">
        <v>1182.200000003281</v>
      </c>
      <c r="AL366" s="870">
        <v>3653.0000000083537</v>
      </c>
      <c r="AN366" s="372">
        <v>10436.000000022465</v>
      </c>
      <c r="AO366" s="894">
        <v>1698.0000000042974</v>
      </c>
      <c r="AP366" s="894">
        <v>1205.6000000033105</v>
      </c>
      <c r="AQ366" s="894"/>
      <c r="AR366" s="894"/>
      <c r="AS366" s="894"/>
      <c r="AT366" s="894"/>
      <c r="AU366" s="427"/>
      <c r="AV366" s="410"/>
      <c r="AW366" s="442"/>
      <c r="AX366" s="441"/>
      <c r="AY366" s="441"/>
      <c r="AZ366" s="443"/>
      <c r="BB366" s="433"/>
      <c r="BC366" s="432"/>
      <c r="BD366" s="433"/>
      <c r="BE366" s="432"/>
      <c r="BF366" s="433"/>
      <c r="BG366" s="432"/>
      <c r="BH366" s="429"/>
    </row>
    <row r="367" spans="1:60" ht="13.8" thickBot="1" x14ac:dyDescent="0.3">
      <c r="A367" s="406">
        <v>43094</v>
      </c>
      <c r="B367" s="860">
        <f t="shared" si="143"/>
        <v>88.44198999999999</v>
      </c>
      <c r="C367" s="860">
        <f>Calculation!AK370</f>
        <v>0</v>
      </c>
      <c r="D367" s="860">
        <f>Calculation!AI370</f>
        <v>0</v>
      </c>
      <c r="E367" s="860">
        <f>Calculation!AE370</f>
        <v>38.984399999999994</v>
      </c>
      <c r="F367" s="860">
        <f>Calculation!AF370</f>
        <v>49.457589999999996</v>
      </c>
      <c r="G367" s="860">
        <f>Calculation!AG370</f>
        <v>0</v>
      </c>
      <c r="H367" s="861">
        <f>Sheet1!H368</f>
        <v>3.9</v>
      </c>
      <c r="I367" s="841">
        <f>Sheet1!DA368</f>
        <v>1860</v>
      </c>
      <c r="J367" s="841">
        <f>Sheet1!DB368</f>
        <v>1360</v>
      </c>
      <c r="K367" s="841">
        <f>Sheet1!CZ368</f>
        <v>1360</v>
      </c>
      <c r="L367" s="865">
        <f>Calculation!F370</f>
        <v>250</v>
      </c>
      <c r="M367" s="865">
        <f>Calculation!E370</f>
        <v>250</v>
      </c>
      <c r="N367" s="865">
        <f>Calculation!D370</f>
        <v>300</v>
      </c>
      <c r="O367" s="888">
        <f>Sheet1!DC368</f>
        <v>1089.78</v>
      </c>
      <c r="P367" s="889" t="e">
        <f>Calculation!FD370</f>
        <v>#N/A</v>
      </c>
      <c r="Q367" s="895">
        <f>Calculation!DP370</f>
        <v>2803.0000000068667</v>
      </c>
      <c r="R367" s="888">
        <f t="shared" si="139"/>
        <v>2184.0000000068667</v>
      </c>
      <c r="S367" s="890">
        <f t="shared" si="144"/>
        <v>-745.60000000138689</v>
      </c>
      <c r="T367" s="895">
        <f ca="1">IF(A367&gt;($A$1-1),#N/A,VLOOKUP(A367,Calculation!$B$8:$JO$503,40,FALSE))</f>
        <v>0</v>
      </c>
      <c r="U367" s="890">
        <f t="shared" si="145"/>
        <v>0</v>
      </c>
      <c r="V367" s="890">
        <f>Calculation!AZ370</f>
        <v>0</v>
      </c>
      <c r="W367" s="895">
        <f t="shared" ca="1" si="140"/>
        <v>0</v>
      </c>
      <c r="X367" s="890">
        <v>0</v>
      </c>
      <c r="Y367" s="890">
        <f t="shared" ca="1" si="141"/>
        <v>0</v>
      </c>
      <c r="Z367" s="890">
        <f t="shared" ca="1" si="142"/>
        <v>0</v>
      </c>
      <c r="AA367" s="890">
        <f t="shared" ca="1" si="135"/>
        <v>0</v>
      </c>
      <c r="AB367" s="895">
        <f t="shared" ca="1" si="146"/>
        <v>2803.0000000068667</v>
      </c>
      <c r="AC367" s="980">
        <f t="shared" ca="1" si="147"/>
        <v>2184.0000000068667</v>
      </c>
      <c r="AD367" s="860" t="e">
        <f ca="1">IF(A367&gt;$A$1,VLOOKUP(A367,Calculation!$B$8:$JO$880,165,FALSE),VLOOKUP(A367,Calculation!$B$8:$JO$880,165,FALSE))</f>
        <v>#N/A</v>
      </c>
      <c r="AE367" s="399" t="e">
        <f t="shared" ca="1" si="148"/>
        <v>#N/A</v>
      </c>
      <c r="AF367" s="399"/>
      <c r="AG367" s="841">
        <f>Calculation!G370</f>
        <v>984.00403429077824</v>
      </c>
      <c r="AH367" s="847" t="str">
        <f t="shared" si="149"/>
        <v>Yes</v>
      </c>
      <c r="AI367" s="847" t="str">
        <f>IF(Calculation!K370&gt;0,"Yes","No")</f>
        <v>Yes</v>
      </c>
      <c r="AJ367" s="869">
        <v>2022.2000000029559</v>
      </c>
      <c r="AK367" s="870">
        <v>1216.0000000035652</v>
      </c>
      <c r="AL367" s="870">
        <v>1809.0000000046566</v>
      </c>
      <c r="AN367" s="372">
        <v>9900.8000000219454</v>
      </c>
      <c r="AO367" s="894">
        <v>1852.8000000047293</v>
      </c>
      <c r="AP367" s="894">
        <v>1156.2000000032515</v>
      </c>
      <c r="AQ367" s="894"/>
      <c r="AR367" s="894"/>
      <c r="AS367" s="894"/>
      <c r="AT367" s="894"/>
      <c r="AU367" s="427"/>
      <c r="AV367" s="410"/>
      <c r="AW367" s="442"/>
      <c r="AX367" s="441"/>
      <c r="AY367" s="441"/>
      <c r="AZ367" s="443"/>
      <c r="BB367" s="433"/>
      <c r="BC367" s="432"/>
      <c r="BD367" s="433"/>
      <c r="BE367" s="432"/>
      <c r="BF367" s="433"/>
      <c r="BG367" s="432"/>
      <c r="BH367" s="429"/>
    </row>
    <row r="368" spans="1:60" ht="13.8" thickBot="1" x14ac:dyDescent="0.3">
      <c r="A368" s="406">
        <v>43095</v>
      </c>
      <c r="B368" s="860">
        <f t="shared" si="143"/>
        <v>89.416599999999988</v>
      </c>
      <c r="C368" s="860">
        <f>Calculation!AK371</f>
        <v>0</v>
      </c>
      <c r="D368" s="860">
        <f>Calculation!AI371</f>
        <v>0</v>
      </c>
      <c r="E368" s="860">
        <f>Calculation!AE371</f>
        <v>38.984399999999994</v>
      </c>
      <c r="F368" s="860">
        <f>Calculation!AF371</f>
        <v>50.432200000000002</v>
      </c>
      <c r="G368" s="860">
        <f>Calculation!AG371</f>
        <v>0</v>
      </c>
      <c r="H368" s="861">
        <f>Sheet1!H369</f>
        <v>2.6</v>
      </c>
      <c r="I368" s="841">
        <f>Sheet1!DA369</f>
        <v>1736</v>
      </c>
      <c r="J368" s="841">
        <f>Sheet1!DB369</f>
        <v>1240</v>
      </c>
      <c r="K368" s="841">
        <f>Sheet1!CZ369</f>
        <v>1233</v>
      </c>
      <c r="L368" s="865">
        <f>Calculation!F371</f>
        <v>250</v>
      </c>
      <c r="M368" s="865">
        <f>Calculation!E371</f>
        <v>250</v>
      </c>
      <c r="N368" s="865">
        <f>Calculation!D371</f>
        <v>300</v>
      </c>
      <c r="O368" s="888">
        <f>Sheet1!DC369</f>
        <v>1085.3900000000001</v>
      </c>
      <c r="P368" s="889" t="e">
        <f>Calculation!FD371</f>
        <v>#N/A</v>
      </c>
      <c r="Q368" s="895">
        <f>Calculation!DP371</f>
        <v>2015.400000004875</v>
      </c>
      <c r="R368" s="888">
        <f t="shared" si="139"/>
        <v>1396.400000004875</v>
      </c>
      <c r="S368" s="890">
        <f t="shared" si="144"/>
        <v>-787.6000000019917</v>
      </c>
      <c r="T368" s="895">
        <f ca="1">IF(A368&gt;($A$1-1),#N/A,VLOOKUP(A368,Calculation!$B$8:$JO$503,40,FALSE))</f>
        <v>0</v>
      </c>
      <c r="U368" s="890">
        <f t="shared" si="145"/>
        <v>0</v>
      </c>
      <c r="V368" s="890">
        <f>Calculation!AZ371</f>
        <v>0</v>
      </c>
      <c r="W368" s="895">
        <f t="shared" ca="1" si="140"/>
        <v>0</v>
      </c>
      <c r="X368" s="890">
        <v>0</v>
      </c>
      <c r="Y368" s="890">
        <f t="shared" ca="1" si="141"/>
        <v>0</v>
      </c>
      <c r="Z368" s="890">
        <f t="shared" ca="1" si="142"/>
        <v>0</v>
      </c>
      <c r="AA368" s="890">
        <f t="shared" ref="AA368:AA396" ca="1" si="150">IF(AB368&gt;=24257,Q368-T368-W368-24257,0)</f>
        <v>0</v>
      </c>
      <c r="AB368" s="895">
        <f t="shared" ca="1" si="146"/>
        <v>2015.400000004875</v>
      </c>
      <c r="AC368" s="980">
        <f t="shared" ca="1" si="147"/>
        <v>1396.400000004875</v>
      </c>
      <c r="AD368" s="860" t="e">
        <f ca="1">IF(A368&gt;$A$1,VLOOKUP(A368,Calculation!$B$8:$JO$880,165,FALSE),VLOOKUP(A368,Calculation!$B$8:$JO$880,165,FALSE))</f>
        <v>#N/A</v>
      </c>
      <c r="AE368" s="399" t="e">
        <f t="shared" ca="1" si="148"/>
        <v>#N/A</v>
      </c>
      <c r="AF368" s="399"/>
      <c r="AG368" s="841">
        <f>Calculation!G371</f>
        <v>835.82400403328711</v>
      </c>
      <c r="AH368" s="847" t="str">
        <f t="shared" si="149"/>
        <v>Yes</v>
      </c>
      <c r="AI368" s="847" t="str">
        <f>IF(Calculation!K371&gt;0,"Yes","No")</f>
        <v>Yes</v>
      </c>
      <c r="AJ368" s="869">
        <v>2032.6000000029558</v>
      </c>
      <c r="AK368" s="870">
        <v>1192.6000000032809</v>
      </c>
      <c r="AL368" s="870">
        <v>1021.4000000031332</v>
      </c>
      <c r="AN368" s="372">
        <v>8055.000000016953</v>
      </c>
      <c r="AO368" s="894">
        <v>1812.2000000046567</v>
      </c>
      <c r="AP368" s="894">
        <v>1003.8000000028649</v>
      </c>
      <c r="AQ368" s="894"/>
      <c r="AR368" s="894"/>
      <c r="AS368" s="894"/>
      <c r="AT368" s="894"/>
      <c r="AU368" s="427"/>
      <c r="AV368" s="410"/>
      <c r="AW368" s="442"/>
      <c r="AX368" s="441"/>
      <c r="AY368" s="441"/>
      <c r="AZ368" s="443"/>
      <c r="BB368" s="433"/>
      <c r="BC368" s="432"/>
      <c r="BD368" s="433"/>
      <c r="BE368" s="432"/>
      <c r="BF368" s="433"/>
      <c r="BG368" s="432"/>
      <c r="BH368" s="429"/>
    </row>
    <row r="369" spans="1:60" ht="13.8" thickBot="1" x14ac:dyDescent="0.3">
      <c r="A369" s="406">
        <v>43096</v>
      </c>
      <c r="B369" s="860">
        <f t="shared" si="143"/>
        <v>91.427699999999987</v>
      </c>
      <c r="C369" s="860">
        <f>Calculation!AK372</f>
        <v>0</v>
      </c>
      <c r="D369" s="860">
        <f>Calculation!AI372</f>
        <v>0</v>
      </c>
      <c r="E369" s="860">
        <f>Calculation!AE372</f>
        <v>38.984399999999994</v>
      </c>
      <c r="F369" s="860">
        <f>Calculation!AF372</f>
        <v>52.443299999999994</v>
      </c>
      <c r="G369" s="860">
        <f>Calculation!AG372</f>
        <v>0</v>
      </c>
      <c r="H369" s="861">
        <f>Sheet1!H370</f>
        <v>2.8</v>
      </c>
      <c r="I369" s="841">
        <f>Sheet1!DA370</f>
        <v>1542</v>
      </c>
      <c r="J369" s="841">
        <f>Sheet1!DB370</f>
        <v>1050</v>
      </c>
      <c r="K369" s="841">
        <f>Sheet1!CZ370</f>
        <v>1056</v>
      </c>
      <c r="L369" s="865">
        <f>Calculation!F372</f>
        <v>250</v>
      </c>
      <c r="M369" s="865">
        <f>Calculation!E372</f>
        <v>250</v>
      </c>
      <c r="N369" s="865">
        <f>Calculation!D372</f>
        <v>300</v>
      </c>
      <c r="O369" s="888">
        <f>Sheet1!DC370</f>
        <v>1081.3599999999999</v>
      </c>
      <c r="P369" s="889" t="e">
        <f>Calculation!FD372</f>
        <v>#N/A</v>
      </c>
      <c r="Q369" s="895">
        <f>Calculation!DP372</f>
        <v>1403.0000000039904</v>
      </c>
      <c r="R369" s="888">
        <f t="shared" si="139"/>
        <v>784.00000000399041</v>
      </c>
      <c r="S369" s="890">
        <f t="shared" si="144"/>
        <v>-612.40000000088457</v>
      </c>
      <c r="T369" s="895">
        <f ca="1">IF(A369&gt;($A$1-1),#N/A,VLOOKUP(A369,Calculation!$B$8:$JO$503,40,FALSE))</f>
        <v>0</v>
      </c>
      <c r="U369" s="890">
        <f t="shared" si="145"/>
        <v>0</v>
      </c>
      <c r="V369" s="890">
        <f>Calculation!AZ372</f>
        <v>0</v>
      </c>
      <c r="W369" s="895">
        <f t="shared" ca="1" si="140"/>
        <v>0</v>
      </c>
      <c r="X369" s="890">
        <v>0</v>
      </c>
      <c r="Y369" s="890">
        <f t="shared" ca="1" si="141"/>
        <v>0</v>
      </c>
      <c r="Z369" s="890">
        <f t="shared" ca="1" si="142"/>
        <v>0</v>
      </c>
      <c r="AA369" s="890">
        <f t="shared" ca="1" si="150"/>
        <v>0</v>
      </c>
      <c r="AB369" s="895">
        <f t="shared" ca="1" si="146"/>
        <v>1403.0000000039904</v>
      </c>
      <c r="AC369" s="980">
        <f t="shared" ca="1" si="147"/>
        <v>784.00000000399041</v>
      </c>
      <c r="AD369" s="860" t="e">
        <f ca="1">IF(A369&gt;$A$1,VLOOKUP(A369,Calculation!$B$8:$JO$880,165,FALSE),VLOOKUP(A369,Calculation!$B$8:$JO$880,165,FALSE))</f>
        <v>#N/A</v>
      </c>
      <c r="AE369" s="399" t="e">
        <f t="shared" ca="1" si="148"/>
        <v>#N/A</v>
      </c>
      <c r="AF369" s="399"/>
      <c r="AG369" s="841">
        <f>Calculation!G372</f>
        <v>747.17498739239318</v>
      </c>
      <c r="AH369" s="847" t="str">
        <f t="shared" si="149"/>
        <v>Yes</v>
      </c>
      <c r="AI369" s="847" t="str">
        <f>IF(Calculation!K372&gt;0,"Yes","No")</f>
        <v>Yes</v>
      </c>
      <c r="AJ369" s="869">
        <v>2030.0000000029559</v>
      </c>
      <c r="AK369" s="870">
        <v>1119.8000000032218</v>
      </c>
      <c r="AL369" s="870">
        <v>1437.0000000037562</v>
      </c>
      <c r="AN369" s="372">
        <v>6347.0000000133696</v>
      </c>
      <c r="AO369" s="894">
        <v>1664.6000000045474</v>
      </c>
      <c r="AP369" s="894">
        <v>926.00000000257614</v>
      </c>
      <c r="AQ369" s="894"/>
      <c r="AR369" s="894"/>
      <c r="AS369" s="894"/>
      <c r="AT369" s="894"/>
      <c r="AU369" s="427"/>
      <c r="AV369" s="410"/>
      <c r="AW369" s="442"/>
      <c r="AX369" s="441"/>
      <c r="AY369" s="441"/>
      <c r="AZ369" s="443"/>
      <c r="BB369" s="433"/>
      <c r="BC369" s="432"/>
      <c r="BD369" s="433"/>
      <c r="BE369" s="432"/>
      <c r="BF369" s="433"/>
      <c r="BG369" s="432"/>
      <c r="BH369" s="429"/>
    </row>
    <row r="370" spans="1:60" ht="13.8" thickBot="1" x14ac:dyDescent="0.3">
      <c r="A370" s="406">
        <v>43097</v>
      </c>
      <c r="B370" s="860">
        <f t="shared" si="143"/>
        <v>88.72045</v>
      </c>
      <c r="C370" s="860">
        <f>Calculation!AK373</f>
        <v>0</v>
      </c>
      <c r="D370" s="860">
        <f>Calculation!AI373</f>
        <v>0</v>
      </c>
      <c r="E370" s="860">
        <f>Calculation!AE373</f>
        <v>39.139099999999999</v>
      </c>
      <c r="F370" s="860">
        <f>Calculation!AF373</f>
        <v>49.581349999999993</v>
      </c>
      <c r="G370" s="860">
        <f>Calculation!AG373</f>
        <v>0</v>
      </c>
      <c r="H370" s="861">
        <f>Sheet1!H371</f>
        <v>4.4000000000000004</v>
      </c>
      <c r="I370" s="841">
        <f>Sheet1!DA371</f>
        <v>1744</v>
      </c>
      <c r="J370" s="841">
        <f>Sheet1!DB371</f>
        <v>1280</v>
      </c>
      <c r="K370" s="841">
        <f>Sheet1!CZ371</f>
        <v>1174</v>
      </c>
      <c r="L370" s="865">
        <f>Calculation!F373</f>
        <v>250</v>
      </c>
      <c r="M370" s="865">
        <f>Calculation!E373</f>
        <v>250</v>
      </c>
      <c r="N370" s="865">
        <f>Calculation!D373</f>
        <v>300</v>
      </c>
      <c r="O370" s="888">
        <f>Sheet1!DC371</f>
        <v>1079.46</v>
      </c>
      <c r="P370" s="889" t="e">
        <f>Calculation!FD373</f>
        <v>#N/A</v>
      </c>
      <c r="Q370" s="895">
        <f>Calculation!DP373</f>
        <v>1145.8000000032514</v>
      </c>
      <c r="R370" s="888">
        <f t="shared" si="139"/>
        <v>526.8000000032514</v>
      </c>
      <c r="S370" s="890">
        <f t="shared" si="144"/>
        <v>-257.20000000073901</v>
      </c>
      <c r="T370" s="895">
        <f ca="1">IF(A370&gt;($A$1-1),#N/A,VLOOKUP(A370,Calculation!$B$8:$JO$503,40,FALSE))</f>
        <v>0</v>
      </c>
      <c r="U370" s="890">
        <f t="shared" si="145"/>
        <v>0</v>
      </c>
      <c r="V370" s="890">
        <f>Calculation!AZ373</f>
        <v>0</v>
      </c>
      <c r="W370" s="895">
        <f t="shared" ca="1" si="140"/>
        <v>0</v>
      </c>
      <c r="X370" s="890">
        <v>0</v>
      </c>
      <c r="Y370" s="890">
        <f t="shared" ca="1" si="141"/>
        <v>0</v>
      </c>
      <c r="Z370" s="890">
        <f t="shared" ca="1" si="142"/>
        <v>0</v>
      </c>
      <c r="AA370" s="890">
        <f t="shared" ca="1" si="150"/>
        <v>0</v>
      </c>
      <c r="AB370" s="895">
        <f t="shared" ca="1" si="146"/>
        <v>1145.8000000032514</v>
      </c>
      <c r="AC370" s="980">
        <f t="shared" ca="1" si="147"/>
        <v>526.8000000032514</v>
      </c>
      <c r="AD370" s="860" t="e">
        <f ca="1">IF(A370&gt;$A$1,VLOOKUP(A370,Calculation!$B$8:$JO$880,165,FALSE),VLOOKUP(A370,Calculation!$B$8:$JO$880,165,FALSE))</f>
        <v>#N/A</v>
      </c>
      <c r="AE370" s="399" t="e">
        <f t="shared" ca="1" si="148"/>
        <v>#N/A</v>
      </c>
      <c r="AF370" s="399"/>
      <c r="AG370" s="841">
        <f>Calculation!G373</f>
        <v>1044.2975289960973</v>
      </c>
      <c r="AH370" s="847" t="str">
        <f t="shared" si="149"/>
        <v>Yes</v>
      </c>
      <c r="AI370" s="847" t="str">
        <f>IF(Calculation!K373&gt;0,"Yes","No")</f>
        <v>Yes</v>
      </c>
      <c r="AJ370" s="869">
        <v>4873.4400000081359</v>
      </c>
      <c r="AK370" s="870">
        <v>1131.5000000032219</v>
      </c>
      <c r="AL370" s="870">
        <v>1625.0000000042292</v>
      </c>
      <c r="AN370" s="372">
        <v>5244.6000000114691</v>
      </c>
      <c r="AO370" s="894">
        <v>1438.4000000037563</v>
      </c>
      <c r="AP370" s="894">
        <v>850.40000000272846</v>
      </c>
      <c r="AQ370" s="894"/>
      <c r="AR370" s="894"/>
      <c r="AS370" s="894"/>
      <c r="AT370" s="894"/>
      <c r="AU370" s="427"/>
      <c r="AV370" s="410"/>
      <c r="AW370" s="442"/>
      <c r="AX370" s="441"/>
      <c r="AY370" s="441"/>
      <c r="AZ370" s="443"/>
      <c r="BB370" s="433"/>
      <c r="BC370" s="432"/>
      <c r="BD370" s="433"/>
      <c r="BE370" s="432"/>
      <c r="BF370" s="433"/>
      <c r="BG370" s="432"/>
      <c r="BH370" s="429"/>
    </row>
    <row r="371" spans="1:60" ht="13.8" thickBot="1" x14ac:dyDescent="0.3">
      <c r="A371" s="406">
        <v>43098</v>
      </c>
      <c r="B371" s="860">
        <f t="shared" si="143"/>
        <v>88.488399999999984</v>
      </c>
      <c r="C371" s="860">
        <f>Calculation!AK374</f>
        <v>0</v>
      </c>
      <c r="D371" s="860">
        <f>Calculation!AI374</f>
        <v>0</v>
      </c>
      <c r="E371" s="860">
        <f>Calculation!AE374</f>
        <v>39.139099999999999</v>
      </c>
      <c r="F371" s="860">
        <f>Calculation!AF374</f>
        <v>49.349299999999992</v>
      </c>
      <c r="G371" s="860">
        <f>Calculation!AG374</f>
        <v>21.255780000002474</v>
      </c>
      <c r="H371" s="861">
        <f>Sheet1!H372</f>
        <v>44.5</v>
      </c>
      <c r="I371" s="841">
        <f>Sheet1!DA372</f>
        <v>5270</v>
      </c>
      <c r="J371" s="841">
        <f>Sheet1!DB372</f>
        <v>4100</v>
      </c>
      <c r="K371" s="841">
        <f>Sheet1!CZ372</f>
        <v>3750</v>
      </c>
      <c r="L371" s="865">
        <f>Calculation!F374</f>
        <v>250</v>
      </c>
      <c r="M371" s="865">
        <f>Calculation!E374</f>
        <v>250</v>
      </c>
      <c r="N371" s="865">
        <f>Calculation!D374</f>
        <v>300</v>
      </c>
      <c r="O371" s="888">
        <f>Sheet1!DC372</f>
        <v>1099.46</v>
      </c>
      <c r="P371" s="889" t="e">
        <f>Calculation!FD374</f>
        <v>#N/A</v>
      </c>
      <c r="Q371" s="895">
        <f>Calculation!DP374</f>
        <v>5002.0000000108002</v>
      </c>
      <c r="R371" s="888">
        <f t="shared" si="139"/>
        <v>4383.0000000108002</v>
      </c>
      <c r="S371" s="890">
        <f t="shared" si="144"/>
        <v>3856.2000000075486</v>
      </c>
      <c r="T371" s="895">
        <f ca="1">IF(A371&gt;($A$1-1),#N/A,VLOOKUP(A371,Calculation!$B$8:$JO$503,40,FALSE))</f>
        <v>0</v>
      </c>
      <c r="U371" s="890">
        <f t="shared" si="145"/>
        <v>0</v>
      </c>
      <c r="V371" s="890">
        <f>Calculation!AZ374</f>
        <v>0</v>
      </c>
      <c r="W371" s="895">
        <f t="shared" ca="1" si="140"/>
        <v>0</v>
      </c>
      <c r="X371" s="890">
        <v>0</v>
      </c>
      <c r="Y371" s="890">
        <f t="shared" ca="1" si="141"/>
        <v>0</v>
      </c>
      <c r="Z371" s="890">
        <f t="shared" ca="1" si="142"/>
        <v>0</v>
      </c>
      <c r="AA371" s="890">
        <f t="shared" ca="1" si="150"/>
        <v>0</v>
      </c>
      <c r="AB371" s="895">
        <f t="shared" ca="1" si="146"/>
        <v>5002.0000000108002</v>
      </c>
      <c r="AC371" s="980">
        <f t="shared" ca="1" si="147"/>
        <v>4383.0000000108002</v>
      </c>
      <c r="AD371" s="860" t="e">
        <f ca="1">IF(A371&gt;$A$1,VLOOKUP(A371,Calculation!$B$8:$JO$880,165,FALSE),VLOOKUP(A371,Calculation!$B$8:$JO$880,165,FALSE))</f>
        <v>#N/A</v>
      </c>
      <c r="AE371" s="399" t="e">
        <f t="shared" ca="1" si="148"/>
        <v>#N/A</v>
      </c>
      <c r="AF371" s="399"/>
      <c r="AG371" s="841">
        <f>Calculation!G374</f>
        <v>5694.6293494743059</v>
      </c>
      <c r="AH371" s="847" t="str">
        <f t="shared" si="149"/>
        <v>Yes</v>
      </c>
      <c r="AI371" s="847" t="str">
        <f>IF(Calculation!K374&gt;0,"Yes","No")</f>
        <v>Yes</v>
      </c>
      <c r="AJ371" s="869">
        <v>5345.0000000092841</v>
      </c>
      <c r="AK371" s="870">
        <v>1114.6000000032218</v>
      </c>
      <c r="AL371" s="870">
        <v>1467.800000003788</v>
      </c>
      <c r="AN371" s="372">
        <v>4687.0000000105156</v>
      </c>
      <c r="AO371" s="894">
        <v>1300.6000000033696</v>
      </c>
      <c r="AP371" s="894">
        <v>959.80000000283758</v>
      </c>
      <c r="AQ371" s="894"/>
      <c r="AR371" s="894"/>
      <c r="AS371" s="894"/>
      <c r="AT371" s="894"/>
      <c r="AU371" s="427"/>
      <c r="AV371" s="410"/>
      <c r="AW371" s="442"/>
      <c r="AX371" s="441"/>
      <c r="AY371" s="441"/>
      <c r="AZ371" s="443"/>
      <c r="BB371" s="433"/>
      <c r="BC371" s="432"/>
      <c r="BD371" s="433"/>
      <c r="BE371" s="432"/>
      <c r="BF371" s="433"/>
      <c r="BG371" s="432"/>
      <c r="BH371" s="429"/>
    </row>
    <row r="372" spans="1:60" ht="13.8" thickBot="1" x14ac:dyDescent="0.3">
      <c r="A372" s="406">
        <v>43099</v>
      </c>
      <c r="B372" s="860">
        <f t="shared" si="143"/>
        <v>88.488399999999984</v>
      </c>
      <c r="C372" s="860">
        <f>Calculation!AK375</f>
        <v>0</v>
      </c>
      <c r="D372" s="860">
        <f>Calculation!AI375</f>
        <v>0</v>
      </c>
      <c r="E372" s="860">
        <f>Calculation!AE375</f>
        <v>38.984399999999994</v>
      </c>
      <c r="F372" s="860">
        <f>Calculation!AF375</f>
        <v>49.503999999999998</v>
      </c>
      <c r="G372" s="860">
        <f>Calculation!AG375</f>
        <v>52.953809999999322</v>
      </c>
      <c r="H372" s="861">
        <f>Sheet1!H373</f>
        <v>43.6</v>
      </c>
      <c r="I372" s="841">
        <f>Sheet1!DA373</f>
        <v>5270</v>
      </c>
      <c r="J372" s="841">
        <f>Sheet1!DB373</f>
        <v>4140</v>
      </c>
      <c r="K372" s="841">
        <f>Sheet1!CZ373</f>
        <v>3970</v>
      </c>
      <c r="L372" s="865">
        <f>Calculation!F375</f>
        <v>250</v>
      </c>
      <c r="M372" s="865">
        <f>Calculation!E375</f>
        <v>250</v>
      </c>
      <c r="N372" s="865">
        <f>Calculation!D375</f>
        <v>300</v>
      </c>
      <c r="O372" s="888">
        <f>Sheet1!DC373</f>
        <v>1107.33</v>
      </c>
      <c r="P372" s="889" t="e">
        <f>Calculation!FD375</f>
        <v>#N/A</v>
      </c>
      <c r="Q372" s="895">
        <f>Calculation!DP375</f>
        <v>7168.0000000150749</v>
      </c>
      <c r="R372" s="888">
        <f t="shared" si="139"/>
        <v>6549.0000000150749</v>
      </c>
      <c r="S372" s="890">
        <f t="shared" si="144"/>
        <v>2166.0000000042746</v>
      </c>
      <c r="T372" s="895">
        <f ca="1">IF(A372&gt;($A$1-1),#N/A,VLOOKUP(A372,Calculation!$B$8:$JO$503,40,FALSE))</f>
        <v>0</v>
      </c>
      <c r="U372" s="890">
        <f t="shared" si="145"/>
        <v>0</v>
      </c>
      <c r="V372" s="890">
        <f>Calculation!AZ375</f>
        <v>0</v>
      </c>
      <c r="W372" s="895">
        <f t="shared" ca="1" si="140"/>
        <v>0</v>
      </c>
      <c r="X372" s="890">
        <v>0</v>
      </c>
      <c r="Y372" s="890">
        <f t="shared" ca="1" si="141"/>
        <v>0</v>
      </c>
      <c r="Z372" s="890">
        <f t="shared" ca="1" si="142"/>
        <v>0</v>
      </c>
      <c r="AA372" s="890">
        <f t="shared" ca="1" si="150"/>
        <v>0</v>
      </c>
      <c r="AB372" s="895">
        <f t="shared" ca="1" si="146"/>
        <v>7168.0000000150749</v>
      </c>
      <c r="AC372" s="980">
        <f t="shared" ca="1" si="147"/>
        <v>6549.0000000150749</v>
      </c>
      <c r="AD372" s="860" t="e">
        <f ca="1">IF(A372&gt;$A$1,VLOOKUP(A372,Calculation!$B$8:$JO$880,165,FALSE),VLOOKUP(A372,Calculation!$B$8:$JO$880,165,FALSE))</f>
        <v>#N/A</v>
      </c>
      <c r="AE372" s="399" t="e">
        <f t="shared" ca="1" si="148"/>
        <v>#N/A</v>
      </c>
      <c r="AF372" s="399"/>
      <c r="AG372" s="841">
        <f>Calculation!G375</f>
        <v>5062.2844175513237</v>
      </c>
      <c r="AH372" s="847" t="str">
        <f t="shared" si="149"/>
        <v>Yes</v>
      </c>
      <c r="AI372" s="847" t="str">
        <f>IF(Calculation!K375&gt;0,"Yes","No")</f>
        <v>Yes</v>
      </c>
      <c r="AJ372" s="869">
        <v>6144.1600000108301</v>
      </c>
      <c r="AK372" s="870">
        <v>1095.1000000031922</v>
      </c>
      <c r="AL372" s="870">
        <v>1164.0000000032514</v>
      </c>
      <c r="AN372" s="372">
        <v>2710.0000000064369</v>
      </c>
      <c r="AO372" s="894">
        <v>1303.2000000033993</v>
      </c>
      <c r="AP372" s="894">
        <v>1368.8000000036925</v>
      </c>
      <c r="AQ372" s="894"/>
      <c r="AR372" s="894"/>
      <c r="AS372" s="894"/>
      <c r="AT372" s="894"/>
      <c r="AU372" s="427"/>
      <c r="AV372" s="410"/>
      <c r="AW372" s="442"/>
      <c r="AX372" s="441"/>
      <c r="AY372" s="441"/>
      <c r="AZ372" s="443"/>
      <c r="BB372" s="433"/>
      <c r="BC372" s="432"/>
      <c r="BD372" s="433"/>
      <c r="BE372" s="432"/>
      <c r="BF372" s="433"/>
      <c r="BG372" s="432"/>
      <c r="BH372" s="429"/>
    </row>
    <row r="373" spans="1:60" ht="13.8" thickBot="1" x14ac:dyDescent="0.3">
      <c r="A373" s="406">
        <v>43100</v>
      </c>
      <c r="B373" s="860">
        <f t="shared" si="143"/>
        <v>88.333699999999993</v>
      </c>
      <c r="C373" s="860">
        <f>Calculation!AK376</f>
        <v>0</v>
      </c>
      <c r="D373" s="860">
        <f>Calculation!AI376</f>
        <v>0</v>
      </c>
      <c r="E373" s="860">
        <f>Calculation!AE376</f>
        <v>38.984399999999994</v>
      </c>
      <c r="F373" s="860">
        <f>Calculation!AF376</f>
        <v>49.349299999999992</v>
      </c>
      <c r="G373" s="860">
        <f>Calculation!AG376</f>
        <v>43.192239999997298</v>
      </c>
      <c r="H373" s="861">
        <f>Sheet1!H374</f>
        <v>26.4</v>
      </c>
      <c r="I373" s="841">
        <f>Sheet1!DA374</f>
        <v>4320</v>
      </c>
      <c r="J373" s="841">
        <f>Sheet1!DB374</f>
        <v>3400</v>
      </c>
      <c r="K373" s="841">
        <f>Sheet1!CZ374</f>
        <v>3230</v>
      </c>
      <c r="L373" s="865">
        <f>Calculation!F376</f>
        <v>250</v>
      </c>
      <c r="M373" s="865">
        <f>Calculation!E376</f>
        <v>250</v>
      </c>
      <c r="N373" s="865">
        <f>Calculation!D376</f>
        <v>300</v>
      </c>
      <c r="O373" s="888">
        <f>Sheet1!DC374</f>
        <v>1104.1199999999999</v>
      </c>
      <c r="P373" s="889" t="e">
        <f>Calculation!FD376</f>
        <v>#N/A</v>
      </c>
      <c r="Q373" s="895">
        <f>Calculation!DP376</f>
        <v>6239.8000000137154</v>
      </c>
      <c r="R373" s="888">
        <f t="shared" si="139"/>
        <v>5620.8000000137154</v>
      </c>
      <c r="S373" s="890">
        <f t="shared" si="144"/>
        <v>-928.20000000135951</v>
      </c>
      <c r="T373" s="895">
        <f ca="1">IF(A373&gt;($A$1-1),#N/A,VLOOKUP(A373,Calculation!$B$8:$JO$503,40,FALSE))</f>
        <v>0</v>
      </c>
      <c r="U373" s="890">
        <f t="shared" si="145"/>
        <v>0</v>
      </c>
      <c r="V373" s="890">
        <f>Calculation!AZ376</f>
        <v>0</v>
      </c>
      <c r="W373" s="895">
        <f t="shared" ca="1" si="140"/>
        <v>0</v>
      </c>
      <c r="X373" s="890">
        <v>0</v>
      </c>
      <c r="Y373" s="890">
        <f t="shared" ca="1" si="141"/>
        <v>0</v>
      </c>
      <c r="Z373" s="890">
        <f t="shared" ca="1" si="142"/>
        <v>0</v>
      </c>
      <c r="AA373" s="890">
        <f t="shared" ca="1" si="150"/>
        <v>0</v>
      </c>
      <c r="AB373" s="895">
        <f t="shared" ca="1" si="146"/>
        <v>6239.8000000137154</v>
      </c>
      <c r="AC373" s="980">
        <f t="shared" ca="1" si="147"/>
        <v>5620.8000000137154</v>
      </c>
      <c r="AD373" s="860" t="e">
        <f ca="1">IF(A373&gt;$A$1,VLOOKUP(A373,Calculation!$B$8:$JO$880,165,FALSE),VLOOKUP(A373,Calculation!$B$8:$JO$880,165,FALSE))</f>
        <v>#N/A</v>
      </c>
      <c r="AE373" s="399" t="e">
        <f t="shared" ca="1" si="148"/>
        <v>#N/A</v>
      </c>
      <c r="AF373" s="399"/>
      <c r="AG373" s="841">
        <f>Calculation!G376</f>
        <v>2761.9213313155019</v>
      </c>
      <c r="AH373" s="847" t="str">
        <f t="shared" si="149"/>
        <v>Yes</v>
      </c>
      <c r="AI373" s="847" t="str">
        <f>IF(Calculation!K376&gt;0,"Yes","No")</f>
        <v>Yes</v>
      </c>
      <c r="AJ373" s="869">
        <v>4686.0000000079426</v>
      </c>
      <c r="AK373" s="870">
        <v>1020.1000000031332</v>
      </c>
      <c r="AL373" s="870">
        <v>974.00000000283762</v>
      </c>
      <c r="AN373" s="372">
        <v>2540.0000000059754</v>
      </c>
      <c r="AO373" s="894">
        <v>1385.6000000037243</v>
      </c>
      <c r="AP373" s="894">
        <v>1514.0000000041268</v>
      </c>
      <c r="AQ373" s="894"/>
      <c r="AR373" s="894"/>
      <c r="AS373" s="894"/>
      <c r="AT373" s="894"/>
      <c r="AU373" s="427"/>
      <c r="AV373" s="410"/>
      <c r="AW373" s="442"/>
      <c r="AX373" s="441"/>
      <c r="AY373" s="441"/>
      <c r="AZ373" s="443"/>
      <c r="BB373" s="433"/>
      <c r="BC373" s="432"/>
      <c r="BD373" s="433"/>
      <c r="BE373" s="432"/>
      <c r="BF373" s="433"/>
      <c r="BG373" s="432"/>
      <c r="BH373" s="429"/>
    </row>
    <row r="374" spans="1:60" ht="13.8" thickBot="1" x14ac:dyDescent="0.3">
      <c r="A374" s="406">
        <v>43101</v>
      </c>
      <c r="B374" s="860">
        <f t="shared" si="143"/>
        <v>88.179000000000002</v>
      </c>
      <c r="C374" s="860">
        <f>Calculation!AK377</f>
        <v>0</v>
      </c>
      <c r="D374" s="860">
        <f>Calculation!AI377</f>
        <v>0</v>
      </c>
      <c r="E374" s="860">
        <f>Calculation!AE377</f>
        <v>38.829700000000003</v>
      </c>
      <c r="F374" s="860">
        <f>Calculation!AF377</f>
        <v>49.349299999999992</v>
      </c>
      <c r="G374" s="860">
        <f>Calculation!AG377</f>
        <v>9.7770399999995501</v>
      </c>
      <c r="H374" s="861">
        <f>Sheet1!H375</f>
        <v>8.4</v>
      </c>
      <c r="I374" s="841">
        <f>Sheet1!DA375</f>
        <v>3970</v>
      </c>
      <c r="J374" s="841">
        <f>Sheet1!DB375</f>
        <v>3150</v>
      </c>
      <c r="K374" s="841">
        <f>Sheet1!CZ375</f>
        <v>3040</v>
      </c>
      <c r="L374" s="865">
        <f>Calculation!F377</f>
        <v>250</v>
      </c>
      <c r="M374" s="865">
        <f>Calculation!E377</f>
        <v>250</v>
      </c>
      <c r="N374" s="865">
        <f>Calculation!D377</f>
        <v>300</v>
      </c>
      <c r="O374" s="888">
        <f>Sheet1!DC375</f>
        <v>1096.57</v>
      </c>
      <c r="P374" s="889" t="e">
        <f>Calculation!FD377</f>
        <v>#N/A</v>
      </c>
      <c r="Q374" s="895">
        <f>Calculation!DP377</f>
        <v>4292.8000000097136</v>
      </c>
      <c r="R374" s="888">
        <f t="shared" si="139"/>
        <v>3673.8000000097136</v>
      </c>
      <c r="S374" s="890">
        <f t="shared" si="144"/>
        <v>-1947.0000000040018</v>
      </c>
      <c r="T374" s="895">
        <f ca="1">IF(A374&gt;($A$1-1),#N/A,VLOOKUP(A374,Calculation!$B$8:$JO$503,40,FALSE))</f>
        <v>0</v>
      </c>
      <c r="U374" s="890">
        <f t="shared" si="145"/>
        <v>0</v>
      </c>
      <c r="V374" s="890">
        <f>Calculation!AZ377</f>
        <v>0</v>
      </c>
      <c r="W374" s="895">
        <f t="shared" ca="1" si="140"/>
        <v>0</v>
      </c>
      <c r="X374" s="890">
        <v>0</v>
      </c>
      <c r="Y374" s="890">
        <f t="shared" ca="1" si="141"/>
        <v>0</v>
      </c>
      <c r="Z374" s="890">
        <f t="shared" ca="1" si="142"/>
        <v>0</v>
      </c>
      <c r="AA374" s="890">
        <f t="shared" ca="1" si="150"/>
        <v>0</v>
      </c>
      <c r="AB374" s="895">
        <f t="shared" ca="1" si="146"/>
        <v>4292.8000000097136</v>
      </c>
      <c r="AC374" s="980">
        <f t="shared" ca="1" si="147"/>
        <v>3673.8000000097136</v>
      </c>
      <c r="AD374" s="860" t="e">
        <f ca="1">IF(A374&gt;$A$1,VLOOKUP(A374,Calculation!$B$8:$JO$880,165,FALSE),VLOOKUP(A374,Calculation!$B$8:$JO$880,165,FALSE))</f>
        <v>#N/A</v>
      </c>
      <c r="AE374" s="399" t="e">
        <f t="shared" ca="1" si="148"/>
        <v>#N/A</v>
      </c>
      <c r="AF374" s="399"/>
      <c r="AG374" s="841">
        <f>Calculation!G377</f>
        <v>2058.1543116469988</v>
      </c>
      <c r="AH374" s="847" t="str">
        <f t="shared" si="149"/>
        <v>Yes</v>
      </c>
      <c r="AI374" s="847" t="str">
        <f>IF(Calculation!K377&gt;0,"Yes","No")</f>
        <v>Yes</v>
      </c>
      <c r="AJ374" s="869"/>
      <c r="AK374" s="870">
        <v>971.40000000307407</v>
      </c>
      <c r="AL374" s="870"/>
      <c r="AO374" s="894" t="e">
        <f t="shared" ref="AO374:AO383" ca="1" si="151">AD374-AD373</f>
        <v>#N/A</v>
      </c>
      <c r="AP374" s="894"/>
      <c r="AQ374" s="894"/>
      <c r="AR374" s="894"/>
      <c r="AS374" s="894"/>
      <c r="AT374" s="894"/>
      <c r="AU374" s="427"/>
      <c r="AV374" s="410"/>
      <c r="AW374" s="442"/>
      <c r="AX374" s="441"/>
      <c r="AY374" s="441"/>
      <c r="AZ374" s="443"/>
      <c r="BB374" s="433"/>
      <c r="BC374" s="432"/>
      <c r="BD374" s="433"/>
      <c r="BE374" s="432"/>
      <c r="BF374" s="433"/>
      <c r="BG374" s="432"/>
      <c r="BH374" s="429"/>
    </row>
    <row r="375" spans="1:60" ht="13.8" thickBot="1" x14ac:dyDescent="0.3">
      <c r="A375" s="406">
        <v>43102</v>
      </c>
      <c r="B375" s="860">
        <f t="shared" si="143"/>
        <v>88.380109999999988</v>
      </c>
      <c r="C375" s="860">
        <f>Calculation!AK378</f>
        <v>0</v>
      </c>
      <c r="D375" s="860">
        <f>Calculation!AI378</f>
        <v>0</v>
      </c>
      <c r="E375" s="860">
        <f>Calculation!AE378</f>
        <v>38.984399999999994</v>
      </c>
      <c r="F375" s="860">
        <f>Calculation!AF378</f>
        <v>49.395709999999994</v>
      </c>
      <c r="G375" s="860">
        <f>Calculation!AG378</f>
        <v>0</v>
      </c>
      <c r="H375" s="861">
        <f>Sheet1!H376</f>
        <v>5.9</v>
      </c>
      <c r="I375" s="841">
        <f>Sheet1!DA376</f>
        <v>3010</v>
      </c>
      <c r="J375" s="841">
        <f>Sheet1!DB376</f>
        <v>2290</v>
      </c>
      <c r="K375" s="841">
        <f>Sheet1!CZ376</f>
        <v>2200</v>
      </c>
      <c r="L375" s="865">
        <f>Calculation!F378</f>
        <v>250</v>
      </c>
      <c r="M375" s="865">
        <f>Calculation!E378</f>
        <v>250</v>
      </c>
      <c r="N375" s="865">
        <f>Calculation!D378</f>
        <v>300</v>
      </c>
      <c r="O375" s="888">
        <f>Sheet1!DC376</f>
        <v>1087.93</v>
      </c>
      <c r="P375" s="889" t="e">
        <f>Calculation!FD378</f>
        <v>#N/A</v>
      </c>
      <c r="Q375" s="895">
        <f>Calculation!DP378</f>
        <v>2452.4000000058936</v>
      </c>
      <c r="R375" s="888">
        <f t="shared" si="139"/>
        <v>1833.4000000058936</v>
      </c>
      <c r="S375" s="890">
        <f t="shared" si="144"/>
        <v>-1840.40000000382</v>
      </c>
      <c r="T375" s="895">
        <f ca="1">IF(A375&gt;($A$1-1),#N/A,VLOOKUP(A375,Calculation!$B$8:$JO$503,40,FALSE))</f>
        <v>0</v>
      </c>
      <c r="U375" s="890">
        <f t="shared" si="145"/>
        <v>0</v>
      </c>
      <c r="V375" s="890">
        <f>Calculation!AZ378</f>
        <v>0</v>
      </c>
      <c r="W375" s="895">
        <f t="shared" ca="1" si="140"/>
        <v>0</v>
      </c>
      <c r="X375" s="890">
        <v>0</v>
      </c>
      <c r="Y375" s="890">
        <f t="shared" ca="1" si="141"/>
        <v>0</v>
      </c>
      <c r="Z375" s="890">
        <f t="shared" ca="1" si="142"/>
        <v>0</v>
      </c>
      <c r="AA375" s="890">
        <f t="shared" ca="1" si="150"/>
        <v>0</v>
      </c>
      <c r="AB375" s="895">
        <f t="shared" ca="1" si="146"/>
        <v>2452.4000000058936</v>
      </c>
      <c r="AC375" s="980">
        <f t="shared" ca="1" si="147"/>
        <v>1833.4000000058936</v>
      </c>
      <c r="AD375" s="860" t="e">
        <f ca="1">IF(A375&gt;$A$1,VLOOKUP(A375,Calculation!$B$8:$JO$880,165,FALSE),VLOOKUP(A375,Calculation!$B$8:$JO$880,165,FALSE))</f>
        <v>#N/A</v>
      </c>
      <c r="AE375" s="399" t="e">
        <f t="shared" ca="1" si="148"/>
        <v>#N/A</v>
      </c>
      <c r="AF375" s="399"/>
      <c r="AG375" s="841">
        <f>Calculation!G378</f>
        <v>1271.9112455855675</v>
      </c>
      <c r="AH375" s="847" t="str">
        <f t="shared" si="149"/>
        <v>Yes</v>
      </c>
      <c r="AI375" s="847" t="str">
        <f>IF(Calculation!K378&gt;0,"Yes","No")</f>
        <v>Yes</v>
      </c>
      <c r="AJ375" s="867"/>
      <c r="AK375" s="868"/>
      <c r="AL375" s="868"/>
      <c r="AO375" s="894" t="e">
        <f t="shared" ca="1" si="151"/>
        <v>#N/A</v>
      </c>
      <c r="AP375" s="894"/>
      <c r="AQ375" s="894"/>
      <c r="AR375" s="894"/>
      <c r="AS375" s="894"/>
      <c r="AT375" s="894"/>
      <c r="AU375" s="427"/>
      <c r="AV375" s="410"/>
      <c r="AW375" s="442"/>
      <c r="AX375" s="441"/>
      <c r="AY375" s="441"/>
      <c r="AZ375" s="443"/>
      <c r="BB375" s="433"/>
      <c r="BC375" s="432"/>
      <c r="BD375" s="433"/>
      <c r="BE375" s="432"/>
      <c r="BF375" s="433"/>
      <c r="BG375" s="432"/>
      <c r="BH375" s="429"/>
    </row>
    <row r="376" spans="1:60" ht="13.8" thickBot="1" x14ac:dyDescent="0.3">
      <c r="A376" s="406">
        <v>43103</v>
      </c>
      <c r="B376" s="860">
        <f t="shared" si="143"/>
        <v>88.797799999999995</v>
      </c>
      <c r="C376" s="860">
        <f>Calculation!AK379</f>
        <v>0</v>
      </c>
      <c r="D376" s="860">
        <f>Calculation!AI379</f>
        <v>0</v>
      </c>
      <c r="E376" s="860">
        <f>Calculation!AE379</f>
        <v>38.984399999999994</v>
      </c>
      <c r="F376" s="860">
        <f>Calculation!AF379</f>
        <v>49.813400000000001</v>
      </c>
      <c r="G376" s="860">
        <f>Calculation!AG379</f>
        <v>0</v>
      </c>
      <c r="H376" s="861">
        <f>Sheet1!H377</f>
        <v>6.68</v>
      </c>
      <c r="I376" s="841">
        <f>Sheet1!DA377</f>
        <v>2410</v>
      </c>
      <c r="J376" s="841">
        <f>Sheet1!DB377</f>
        <v>1760</v>
      </c>
      <c r="K376" s="841">
        <f>Sheet1!CZ377</f>
        <v>1680</v>
      </c>
      <c r="L376" s="865">
        <f>Calculation!F379</f>
        <v>250</v>
      </c>
      <c r="M376" s="865">
        <f>Calculation!E379</f>
        <v>250</v>
      </c>
      <c r="N376" s="865">
        <f>Calculation!D379</f>
        <v>300</v>
      </c>
      <c r="O376" s="888">
        <f>Sheet1!DC377</f>
        <v>1081.8800000000001</v>
      </c>
      <c r="P376" s="889" t="e">
        <f>Calculation!FD379</f>
        <v>#N/A</v>
      </c>
      <c r="Q376" s="895">
        <f>Calculation!DP379</f>
        <v>1476.2000000038199</v>
      </c>
      <c r="R376" s="888">
        <f t="shared" si="139"/>
        <v>857.20000000381992</v>
      </c>
      <c r="S376" s="890">
        <f t="shared" si="144"/>
        <v>-976.20000000207369</v>
      </c>
      <c r="T376" s="895">
        <f ca="1">IF(A376&gt;($A$1-1),#N/A,VLOOKUP(A376,Calculation!$B$8:$JO$503,40,FALSE))</f>
        <v>0</v>
      </c>
      <c r="U376" s="890">
        <f t="shared" si="145"/>
        <v>0</v>
      </c>
      <c r="V376" s="890">
        <f>Calculation!AZ379</f>
        <v>0</v>
      </c>
      <c r="W376" s="895">
        <f t="shared" ca="1" si="140"/>
        <v>0</v>
      </c>
      <c r="X376" s="890">
        <v>0</v>
      </c>
      <c r="Y376" s="890">
        <f t="shared" ca="1" si="141"/>
        <v>0</v>
      </c>
      <c r="Z376" s="890">
        <f t="shared" ca="1" si="142"/>
        <v>0</v>
      </c>
      <c r="AA376" s="890">
        <f t="shared" ca="1" si="150"/>
        <v>0</v>
      </c>
      <c r="AB376" s="895">
        <f t="shared" ca="1" si="146"/>
        <v>1476.2000000038199</v>
      </c>
      <c r="AC376" s="980">
        <f t="shared" ca="1" si="147"/>
        <v>857.20000000381992</v>
      </c>
      <c r="AD376" s="860" t="e">
        <f ca="1">IF(A376&gt;$A$1,VLOOKUP(A376,Calculation!$B$8:$JO$880,165,FALSE),VLOOKUP(A376,Calculation!$B$8:$JO$880,165,FALSE))</f>
        <v>#N/A</v>
      </c>
      <c r="AE376" s="399" t="e">
        <f t="shared" ca="1" si="148"/>
        <v>#N/A</v>
      </c>
      <c r="AF376" s="399"/>
      <c r="AG376" s="841">
        <f>Calculation!G379</f>
        <v>1187.7155824497863</v>
      </c>
      <c r="AH376" s="847" t="str">
        <f t="shared" si="149"/>
        <v>Yes</v>
      </c>
      <c r="AI376" s="847" t="str">
        <f>IF(Calculation!K379&gt;0,"Yes","No")</f>
        <v>Yes</v>
      </c>
      <c r="AJ376" s="868"/>
      <c r="AK376" s="868"/>
      <c r="AL376" s="868"/>
      <c r="AO376" s="894" t="e">
        <f t="shared" ca="1" si="151"/>
        <v>#N/A</v>
      </c>
      <c r="AP376" s="894"/>
      <c r="AQ376" s="894"/>
      <c r="AR376" s="894"/>
      <c r="AS376" s="894"/>
      <c r="AT376" s="894"/>
      <c r="AU376" s="427"/>
      <c r="AV376" s="410"/>
      <c r="AW376" s="442"/>
      <c r="AX376" s="441"/>
      <c r="AY376" s="441"/>
      <c r="AZ376" s="443"/>
      <c r="BB376" s="433"/>
      <c r="BC376" s="432"/>
      <c r="BD376" s="433"/>
      <c r="BE376" s="432"/>
      <c r="BF376" s="433"/>
      <c r="BG376" s="432"/>
      <c r="BH376" s="429"/>
    </row>
    <row r="377" spans="1:60" ht="13.8" thickBot="1" x14ac:dyDescent="0.3">
      <c r="A377" s="406">
        <v>43104</v>
      </c>
      <c r="B377" s="860">
        <f t="shared" si="143"/>
        <v>91.489579999999989</v>
      </c>
      <c r="C377" s="860">
        <f>Calculation!AK380</f>
        <v>0</v>
      </c>
      <c r="D377" s="860">
        <f>Calculation!AI380</f>
        <v>0</v>
      </c>
      <c r="E377" s="860">
        <f>Calculation!AE380</f>
        <v>38.984399999999994</v>
      </c>
      <c r="F377" s="860">
        <f>Calculation!AF380</f>
        <v>52.505179999999996</v>
      </c>
      <c r="G377" s="860">
        <f>Calculation!AG380</f>
        <v>0</v>
      </c>
      <c r="H377" s="861">
        <f>Sheet1!H378</f>
        <v>11</v>
      </c>
      <c r="I377" s="841">
        <f>Sheet1!DA378</f>
        <v>1970</v>
      </c>
      <c r="J377" s="841">
        <f>Sheet1!DB378</f>
        <v>1300</v>
      </c>
      <c r="K377" s="841">
        <f>Sheet1!CZ378</f>
        <v>1280</v>
      </c>
      <c r="L377" s="865">
        <f>Calculation!F380</f>
        <v>250</v>
      </c>
      <c r="M377" s="865">
        <f>Calculation!E380</f>
        <v>250</v>
      </c>
      <c r="N377" s="865">
        <f>Calculation!D380</f>
        <v>300</v>
      </c>
      <c r="O377" s="888">
        <f>Sheet1!DC378</f>
        <v>1078.52</v>
      </c>
      <c r="P377" s="889" t="e">
        <f>Calculation!FD380</f>
        <v>#N/A</v>
      </c>
      <c r="Q377" s="895">
        <f>Calculation!DP380</f>
        <v>1026.4000000028923</v>
      </c>
      <c r="R377" s="888">
        <f t="shared" si="139"/>
        <v>407.40000000289228</v>
      </c>
      <c r="S377" s="890">
        <f t="shared" si="144"/>
        <v>-449.80000000092764</v>
      </c>
      <c r="T377" s="895">
        <f ca="1">IF(A377&gt;($A$1-1),#N/A,VLOOKUP(A377,Calculation!$B$8:$JO$503,40,FALSE))</f>
        <v>0</v>
      </c>
      <c r="U377" s="890">
        <f t="shared" si="145"/>
        <v>0</v>
      </c>
      <c r="V377" s="890">
        <f>Calculation!AZ380</f>
        <v>0</v>
      </c>
      <c r="W377" s="895">
        <f t="shared" ca="1" si="140"/>
        <v>0</v>
      </c>
      <c r="X377" s="890">
        <v>0</v>
      </c>
      <c r="Y377" s="890">
        <f t="shared" ca="1" si="141"/>
        <v>0</v>
      </c>
      <c r="Z377" s="890">
        <f t="shared" ca="1" si="142"/>
        <v>0</v>
      </c>
      <c r="AA377" s="890">
        <f t="shared" ca="1" si="150"/>
        <v>0</v>
      </c>
      <c r="AB377" s="895">
        <f t="shared" ca="1" si="146"/>
        <v>1026.4000000028923</v>
      </c>
      <c r="AC377" s="980">
        <f t="shared" ca="1" si="147"/>
        <v>407.40000000289228</v>
      </c>
      <c r="AD377" s="860" t="e">
        <f ca="1">IF(A377&gt;$A$1,VLOOKUP(A377,Calculation!$B$8:$JO$880,165,FALSE),VLOOKUP(A377,Calculation!$B$8:$JO$880,165,FALSE))</f>
        <v>#N/A</v>
      </c>
      <c r="AE377" s="399" t="e">
        <f t="shared" ca="1" si="148"/>
        <v>#N/A</v>
      </c>
      <c r="AF377" s="399"/>
      <c r="AG377" s="841">
        <f>Calculation!G380</f>
        <v>1053.1719616737632</v>
      </c>
      <c r="AH377" s="847" t="str">
        <f t="shared" si="149"/>
        <v>Yes</v>
      </c>
      <c r="AI377" s="847" t="str">
        <f>IF(Calculation!K380&gt;0,"Yes","No")</f>
        <v>Yes</v>
      </c>
      <c r="AJ377" s="868"/>
      <c r="AK377" s="868"/>
      <c r="AL377" s="868"/>
      <c r="AO377" s="894" t="e">
        <f t="shared" ca="1" si="151"/>
        <v>#N/A</v>
      </c>
      <c r="AP377" s="894"/>
      <c r="AQ377" s="894"/>
      <c r="AR377" s="894"/>
      <c r="AS377" s="894"/>
      <c r="AT377" s="894"/>
      <c r="AU377" s="427"/>
      <c r="AV377" s="410"/>
      <c r="AW377" s="442"/>
      <c r="AX377" s="441"/>
      <c r="AY377" s="441"/>
      <c r="AZ377" s="443"/>
      <c r="BB377" s="433"/>
      <c r="BC377" s="432"/>
      <c r="BD377" s="433"/>
      <c r="BE377" s="432"/>
      <c r="BF377" s="433"/>
      <c r="BG377" s="432"/>
      <c r="BH377" s="429"/>
    </row>
    <row r="378" spans="1:60" ht="13.8" thickBot="1" x14ac:dyDescent="0.3">
      <c r="A378" s="406">
        <v>43105</v>
      </c>
      <c r="B378" s="860">
        <f t="shared" si="143"/>
        <v>0</v>
      </c>
      <c r="C378" s="860">
        <f>Calculation!AK381</f>
        <v>0</v>
      </c>
      <c r="D378" s="860" t="e">
        <f>Calculation!AI381</f>
        <v>#N/A</v>
      </c>
      <c r="E378" s="860">
        <f>Calculation!AE381</f>
        <v>0</v>
      </c>
      <c r="F378" s="860">
        <f>Calculation!AF381</f>
        <v>0</v>
      </c>
      <c r="G378" s="860">
        <f>Calculation!AG381</f>
        <v>0</v>
      </c>
      <c r="H378" s="861">
        <f>Sheet1!H379</f>
        <v>0</v>
      </c>
      <c r="I378" s="841">
        <f>Sheet1!DA379</f>
        <v>0</v>
      </c>
      <c r="J378" s="841">
        <f>Sheet1!DB379</f>
        <v>0</v>
      </c>
      <c r="K378" s="841">
        <f>Sheet1!CZ379</f>
        <v>0</v>
      </c>
      <c r="L378" s="865">
        <f>Calculation!F381</f>
        <v>250</v>
      </c>
      <c r="M378" s="865">
        <f>Calculation!E381</f>
        <v>250</v>
      </c>
      <c r="N378" s="865">
        <f>Calculation!D381</f>
        <v>300</v>
      </c>
      <c r="O378" s="888">
        <f>Sheet1!DC379</f>
        <v>0</v>
      </c>
      <c r="P378" s="889" t="e">
        <f>Calculation!FD381</f>
        <v>#N/A</v>
      </c>
      <c r="Q378" s="895" t="e">
        <f>Calculation!DP381</f>
        <v>#N/A</v>
      </c>
      <c r="R378" s="888" t="e">
        <f t="shared" si="139"/>
        <v>#N/A</v>
      </c>
      <c r="S378" s="890" t="e">
        <f t="shared" si="144"/>
        <v>#N/A</v>
      </c>
      <c r="T378" s="895">
        <f ca="1">IF(A378&gt;($A$1-1),#N/A,VLOOKUP(A378,Calculation!$B$8:$JO$503,40,FALSE))</f>
        <v>0</v>
      </c>
      <c r="U378" s="890" t="e">
        <f t="shared" si="145"/>
        <v>#N/A</v>
      </c>
      <c r="V378" s="890">
        <f>Calculation!AZ381</f>
        <v>0</v>
      </c>
      <c r="W378" s="895">
        <f t="shared" ca="1" si="140"/>
        <v>0</v>
      </c>
      <c r="X378" s="890">
        <v>0</v>
      </c>
      <c r="Y378" s="890">
        <f t="shared" ca="1" si="141"/>
        <v>0</v>
      </c>
      <c r="Z378" s="890">
        <f t="shared" ca="1" si="142"/>
        <v>0</v>
      </c>
      <c r="AA378" s="890" t="e">
        <f t="shared" ca="1" si="150"/>
        <v>#N/A</v>
      </c>
      <c r="AB378" s="895" t="e">
        <f t="shared" ca="1" si="146"/>
        <v>#N/A</v>
      </c>
      <c r="AC378" s="980" t="e">
        <f t="shared" ca="1" si="147"/>
        <v>#N/A</v>
      </c>
      <c r="AD378" s="860">
        <f ca="1">IF(A378&gt;$A$1,VLOOKUP(A378,Calculation!$B$8:$JO$880,165,FALSE),VLOOKUP(A378,Calculation!$B$8:$JO$880,165,FALSE))</f>
        <v>0</v>
      </c>
      <c r="AE378" s="399" t="e">
        <f t="shared" ca="1" si="148"/>
        <v>#N/A</v>
      </c>
      <c r="AF378" s="399"/>
      <c r="AG378" s="841" t="e">
        <f>Calculation!G381</f>
        <v>#N/A</v>
      </c>
      <c r="AH378" s="847" t="str">
        <f t="shared" si="149"/>
        <v>No</v>
      </c>
      <c r="AI378" s="847" t="e">
        <f>IF(Calculation!K381&gt;0,"Yes","No")</f>
        <v>#N/A</v>
      </c>
      <c r="AJ378" s="868"/>
      <c r="AK378" s="868"/>
      <c r="AL378" s="868"/>
      <c r="AO378" s="894" t="e">
        <f t="shared" ca="1" si="151"/>
        <v>#N/A</v>
      </c>
      <c r="AP378" s="894"/>
      <c r="AQ378" s="894"/>
      <c r="AR378" s="894"/>
      <c r="AS378" s="894"/>
      <c r="AT378" s="894"/>
      <c r="AU378" s="427"/>
      <c r="AV378" s="410"/>
      <c r="AW378" s="442"/>
      <c r="AX378" s="441"/>
      <c r="AY378" s="441"/>
      <c r="AZ378" s="443"/>
      <c r="BB378" s="433"/>
      <c r="BC378" s="432"/>
      <c r="BD378" s="433"/>
      <c r="BE378" s="432"/>
      <c r="BF378" s="433"/>
      <c r="BG378" s="432"/>
      <c r="BH378" s="429"/>
    </row>
    <row r="379" spans="1:60" ht="13.8" thickBot="1" x14ac:dyDescent="0.3">
      <c r="A379" s="406">
        <v>43106</v>
      </c>
      <c r="B379" s="860" t="e">
        <f t="shared" si="143"/>
        <v>#REF!</v>
      </c>
      <c r="C379" s="860" t="e">
        <f>Calculation!#REF!</f>
        <v>#REF!</v>
      </c>
      <c r="D379" s="860">
        <f>Calculation!AI382</f>
        <v>0</v>
      </c>
      <c r="E379" s="860" t="e">
        <f>Calculation!#REF!</f>
        <v>#REF!</v>
      </c>
      <c r="F379" s="860" t="e">
        <f>Calculation!#REF!</f>
        <v>#REF!</v>
      </c>
      <c r="G379" s="860" t="e">
        <f>Calculation!#REF!</f>
        <v>#REF!</v>
      </c>
      <c r="H379" s="861" t="e">
        <f>Sheet1!#REF!</f>
        <v>#REF!</v>
      </c>
      <c r="I379" s="841" t="e">
        <f>Sheet1!#REF!</f>
        <v>#REF!</v>
      </c>
      <c r="J379" s="841" t="e">
        <f>Sheet1!#REF!</f>
        <v>#REF!</v>
      </c>
      <c r="K379" s="841" t="e">
        <f>Sheet1!#REF!</f>
        <v>#REF!</v>
      </c>
      <c r="L379" s="865" t="e">
        <f>Calculation!#REF!</f>
        <v>#REF!</v>
      </c>
      <c r="M379" s="865" t="e">
        <f>Calculation!#REF!</f>
        <v>#REF!</v>
      </c>
      <c r="N379" s="865" t="e">
        <f>Calculation!#REF!</f>
        <v>#REF!</v>
      </c>
      <c r="O379" s="888">
        <f>Sheet1!DC380</f>
        <v>0</v>
      </c>
      <c r="P379" s="889" t="e">
        <f>Calculation!#REF!</f>
        <v>#REF!</v>
      </c>
      <c r="Q379" s="895" t="e">
        <f>Calculation!#REF!</f>
        <v>#REF!</v>
      </c>
      <c r="R379" s="888" t="e">
        <f t="shared" si="139"/>
        <v>#REF!</v>
      </c>
      <c r="S379" s="890" t="e">
        <f t="shared" si="144"/>
        <v>#REF!</v>
      </c>
      <c r="T379" s="895" t="e">
        <f ca="1">IF(A379&gt;($A$1-1),#N/A,VLOOKUP(A379,Calculation!$B$8:$JO$503,40,FALSE))</f>
        <v>#N/A</v>
      </c>
      <c r="U379" s="890">
        <f t="shared" si="145"/>
        <v>0</v>
      </c>
      <c r="V379" s="890">
        <f>Calculation!AZ382</f>
        <v>0</v>
      </c>
      <c r="W379" s="895" t="e">
        <f t="shared" ca="1" si="140"/>
        <v>#N/A</v>
      </c>
      <c r="X379" s="890">
        <v>0</v>
      </c>
      <c r="Y379" s="890" t="e">
        <f t="shared" ca="1" si="141"/>
        <v>#N/A</v>
      </c>
      <c r="Z379" s="890" t="e">
        <f t="shared" ca="1" si="142"/>
        <v>#N/A</v>
      </c>
      <c r="AA379" s="890" t="e">
        <f t="shared" ca="1" si="150"/>
        <v>#REF!</v>
      </c>
      <c r="AB379" s="895" t="e">
        <f t="shared" ca="1" si="146"/>
        <v>#REF!</v>
      </c>
      <c r="AC379" s="980" t="e">
        <f t="shared" ca="1" si="147"/>
        <v>#REF!</v>
      </c>
      <c r="AD379" s="860" t="e">
        <f ca="1">IF(A379&gt;$A$1,VLOOKUP(A379,Calculation!$B$8:$JO$880,165,FALSE),VLOOKUP(A379,Calculation!$B$8:$JO$880,165,FALSE))</f>
        <v>#N/A</v>
      </c>
      <c r="AE379" s="399" t="e">
        <f t="shared" ca="1" si="148"/>
        <v>#N/A</v>
      </c>
      <c r="AF379" s="399"/>
      <c r="AG379" s="841" t="e">
        <f>Calculation!#REF!</f>
        <v>#REF!</v>
      </c>
      <c r="AH379" s="847" t="e">
        <f t="shared" si="149"/>
        <v>#REF!</v>
      </c>
      <c r="AI379" s="847" t="str">
        <f>IF(Calculation!K382&gt;0,"Yes","No")</f>
        <v>No</v>
      </c>
      <c r="AJ379" s="868"/>
      <c r="AK379" s="868"/>
      <c r="AL379" s="868"/>
      <c r="AO379" s="894" t="e">
        <f t="shared" ca="1" si="151"/>
        <v>#N/A</v>
      </c>
      <c r="AP379" s="894"/>
      <c r="AQ379" s="894"/>
      <c r="AR379" s="894"/>
      <c r="AS379" s="894"/>
      <c r="AT379" s="894"/>
      <c r="AU379" s="427"/>
      <c r="AV379" s="410"/>
      <c r="AW379" s="442"/>
      <c r="AX379" s="441"/>
      <c r="AY379" s="441"/>
      <c r="AZ379" s="443"/>
      <c r="BB379" s="433"/>
      <c r="BC379" s="432"/>
      <c r="BD379" s="433"/>
      <c r="BE379" s="432"/>
      <c r="BF379" s="433"/>
      <c r="BG379" s="432"/>
      <c r="BH379" s="429"/>
    </row>
    <row r="380" spans="1:60" ht="13.8" thickBot="1" x14ac:dyDescent="0.3">
      <c r="A380" s="406">
        <v>43107</v>
      </c>
      <c r="B380" s="860">
        <f t="shared" si="143"/>
        <v>0</v>
      </c>
      <c r="C380" s="860">
        <f>Calculation!AK382</f>
        <v>0</v>
      </c>
      <c r="D380" s="860">
        <f>Calculation!AI383</f>
        <v>0</v>
      </c>
      <c r="E380" s="860">
        <f>Calculation!AE382</f>
        <v>0</v>
      </c>
      <c r="F380" s="860">
        <f>Calculation!AF382</f>
        <v>0</v>
      </c>
      <c r="G380" s="860">
        <f>Calculation!AG382</f>
        <v>0</v>
      </c>
      <c r="H380" s="861">
        <f>Sheet1!H380</f>
        <v>0</v>
      </c>
      <c r="I380" s="841">
        <f>Sheet1!DA380</f>
        <v>0</v>
      </c>
      <c r="J380" s="841">
        <f>Sheet1!DB380</f>
        <v>0</v>
      </c>
      <c r="K380" s="841">
        <f>Sheet1!CZ380</f>
        <v>0</v>
      </c>
      <c r="L380" s="865">
        <f>Calculation!F382</f>
        <v>0</v>
      </c>
      <c r="M380" s="865">
        <f>Calculation!E382</f>
        <v>0</v>
      </c>
      <c r="N380" s="865">
        <f>Calculation!D382</f>
        <v>0</v>
      </c>
      <c r="O380" s="888">
        <f>Sheet1!DC381</f>
        <v>0</v>
      </c>
      <c r="P380" s="889">
        <f>Calculation!FD382</f>
        <v>0</v>
      </c>
      <c r="Q380" s="895">
        <f>Calculation!DP382</f>
        <v>0</v>
      </c>
      <c r="R380" s="888">
        <f t="shared" si="139"/>
        <v>-619</v>
      </c>
      <c r="S380" s="890" t="e">
        <f t="shared" si="144"/>
        <v>#REF!</v>
      </c>
      <c r="T380" s="895" t="e">
        <f ca="1">IF(A380&gt;($A$1-1),#N/A,VLOOKUP(A380,Calculation!$B$8:$JO$503,40,FALSE))</f>
        <v>#N/A</v>
      </c>
      <c r="U380" s="890">
        <f t="shared" si="145"/>
        <v>0</v>
      </c>
      <c r="V380" s="890">
        <f>Calculation!AZ383</f>
        <v>0</v>
      </c>
      <c r="W380" s="895" t="e">
        <f t="shared" ca="1" si="140"/>
        <v>#N/A</v>
      </c>
      <c r="X380" s="890">
        <v>0</v>
      </c>
      <c r="Y380" s="890" t="e">
        <f t="shared" ca="1" si="141"/>
        <v>#N/A</v>
      </c>
      <c r="Z380" s="890" t="e">
        <f t="shared" ca="1" si="142"/>
        <v>#N/A</v>
      </c>
      <c r="AA380" s="890" t="e">
        <f t="shared" ca="1" si="150"/>
        <v>#N/A</v>
      </c>
      <c r="AB380" s="895" t="e">
        <f t="shared" ca="1" si="146"/>
        <v>#N/A</v>
      </c>
      <c r="AC380" s="980" t="e">
        <f t="shared" ca="1" si="147"/>
        <v>#N/A</v>
      </c>
      <c r="AD380" s="860" t="e">
        <f ca="1">IF(A380&gt;$A$1,VLOOKUP(A380,Calculation!$B$8:$JO$880,165,FALSE),VLOOKUP(A380,Calculation!$B$8:$JO$880,165,FALSE))</f>
        <v>#N/A</v>
      </c>
      <c r="AE380" s="399" t="e">
        <f t="shared" ca="1" si="148"/>
        <v>#N/A</v>
      </c>
      <c r="AF380" s="399"/>
      <c r="AG380" s="841">
        <f>Calculation!G382</f>
        <v>0</v>
      </c>
      <c r="AH380" s="847" t="str">
        <f t="shared" si="149"/>
        <v>No</v>
      </c>
      <c r="AI380" s="847" t="str">
        <f>IF(Calculation!K383&gt;0,"Yes","No")</f>
        <v>No</v>
      </c>
      <c r="AJ380" s="868"/>
      <c r="AK380" s="868"/>
      <c r="AL380" s="868"/>
      <c r="AO380" s="894" t="e">
        <f t="shared" ca="1" si="151"/>
        <v>#N/A</v>
      </c>
      <c r="AP380" s="894"/>
      <c r="AQ380" s="894"/>
      <c r="AR380" s="894"/>
      <c r="AS380" s="894"/>
      <c r="AT380" s="894"/>
      <c r="AU380" s="427"/>
      <c r="AV380" s="410"/>
      <c r="AW380" s="442"/>
      <c r="AX380" s="441"/>
      <c r="AY380" s="441"/>
      <c r="AZ380" s="443"/>
      <c r="BB380" s="433"/>
      <c r="BC380" s="432"/>
      <c r="BD380" s="433"/>
      <c r="BE380" s="432"/>
      <c r="BF380" s="433"/>
      <c r="BG380" s="432"/>
      <c r="BH380" s="429"/>
    </row>
    <row r="381" spans="1:60" ht="13.8" thickBot="1" x14ac:dyDescent="0.3">
      <c r="A381" s="406">
        <v>43108</v>
      </c>
      <c r="B381" s="860">
        <f t="shared" si="143"/>
        <v>0</v>
      </c>
      <c r="C381" s="860">
        <f>Calculation!AK383</f>
        <v>0</v>
      </c>
      <c r="D381" s="860">
        <f>Calculation!AI384</f>
        <v>0</v>
      </c>
      <c r="E381" s="860">
        <f>Calculation!AE383</f>
        <v>0</v>
      </c>
      <c r="F381" s="860">
        <f>Calculation!AF383</f>
        <v>0</v>
      </c>
      <c r="G381" s="860">
        <f>Calculation!AG383</f>
        <v>0</v>
      </c>
      <c r="H381" s="861">
        <f>Sheet1!H381</f>
        <v>0</v>
      </c>
      <c r="I381" s="841">
        <f>Sheet1!DA381</f>
        <v>0</v>
      </c>
      <c r="J381" s="841">
        <f>Sheet1!DB381</f>
        <v>0</v>
      </c>
      <c r="K381" s="841">
        <f>Sheet1!CZ381</f>
        <v>0</v>
      </c>
      <c r="L381" s="865">
        <f>Calculation!F383</f>
        <v>0</v>
      </c>
      <c r="M381" s="865">
        <f>Calculation!E383</f>
        <v>0</v>
      </c>
      <c r="N381" s="865">
        <f>Calculation!D383</f>
        <v>0</v>
      </c>
      <c r="O381" s="888">
        <f>Sheet1!DC382</f>
        <v>0</v>
      </c>
      <c r="P381" s="889">
        <f>Calculation!FD383</f>
        <v>0</v>
      </c>
      <c r="Q381" s="895">
        <f>Calculation!DP383</f>
        <v>0</v>
      </c>
      <c r="R381" s="888">
        <f t="shared" si="139"/>
        <v>-619</v>
      </c>
      <c r="S381" s="890">
        <f t="shared" si="144"/>
        <v>0</v>
      </c>
      <c r="T381" s="895" t="e">
        <f ca="1">IF(A381&gt;($A$1-1),#N/A,VLOOKUP(A381,Calculation!$B$8:$JO$503,40,FALSE))</f>
        <v>#N/A</v>
      </c>
      <c r="U381" s="890">
        <f t="shared" si="145"/>
        <v>0</v>
      </c>
      <c r="V381" s="890">
        <f>Calculation!AZ384</f>
        <v>0</v>
      </c>
      <c r="W381" s="895" t="e">
        <f t="shared" ca="1" si="140"/>
        <v>#N/A</v>
      </c>
      <c r="X381" s="890">
        <v>0</v>
      </c>
      <c r="Y381" s="890" t="e">
        <f t="shared" ca="1" si="141"/>
        <v>#N/A</v>
      </c>
      <c r="Z381" s="890" t="e">
        <f t="shared" ca="1" si="142"/>
        <v>#N/A</v>
      </c>
      <c r="AA381" s="890" t="e">
        <f t="shared" ca="1" si="150"/>
        <v>#N/A</v>
      </c>
      <c r="AB381" s="895" t="e">
        <f t="shared" ca="1" si="146"/>
        <v>#N/A</v>
      </c>
      <c r="AC381" s="980" t="e">
        <f t="shared" ca="1" si="147"/>
        <v>#N/A</v>
      </c>
      <c r="AD381" s="860" t="e">
        <f ca="1">IF(A381&gt;$A$1,VLOOKUP(A381,Calculation!$B$8:$JO$880,165,FALSE),VLOOKUP(A381,Calculation!$B$8:$JO$880,165,FALSE))</f>
        <v>#N/A</v>
      </c>
      <c r="AE381" s="399" t="e">
        <f t="shared" ca="1" si="148"/>
        <v>#N/A</v>
      </c>
      <c r="AF381" s="399"/>
      <c r="AG381" s="841">
        <f>Calculation!G383</f>
        <v>0</v>
      </c>
      <c r="AH381" s="847" t="str">
        <f t="shared" si="149"/>
        <v>No</v>
      </c>
      <c r="AI381" s="847" t="str">
        <f>IF(Calculation!K384&gt;0,"Yes","No")</f>
        <v>No</v>
      </c>
      <c r="AJ381" s="868"/>
      <c r="AK381" s="868"/>
      <c r="AL381" s="868"/>
      <c r="AO381" s="894" t="e">
        <f t="shared" ca="1" si="151"/>
        <v>#N/A</v>
      </c>
      <c r="AP381" s="894"/>
      <c r="AQ381" s="894"/>
      <c r="AR381" s="894"/>
      <c r="AS381" s="894"/>
      <c r="AT381" s="894"/>
      <c r="AU381" s="427"/>
      <c r="AV381" s="410"/>
      <c r="AW381" s="442"/>
      <c r="AX381" s="441"/>
      <c r="AY381" s="441"/>
      <c r="AZ381" s="443"/>
      <c r="BB381" s="433"/>
      <c r="BC381" s="432"/>
      <c r="BD381" s="433"/>
      <c r="BE381" s="432"/>
      <c r="BF381" s="433"/>
      <c r="BG381" s="432"/>
      <c r="BH381" s="429"/>
    </row>
    <row r="382" spans="1:60" ht="13.8" thickBot="1" x14ac:dyDescent="0.3">
      <c r="A382" s="406">
        <v>43109</v>
      </c>
      <c r="B382" s="860">
        <f t="shared" si="143"/>
        <v>0</v>
      </c>
      <c r="C382" s="860">
        <f>Calculation!AK384</f>
        <v>0</v>
      </c>
      <c r="D382" s="860">
        <f>Calculation!AI385</f>
        <v>0</v>
      </c>
      <c r="E382" s="860">
        <f>Calculation!AE384</f>
        <v>0</v>
      </c>
      <c r="F382" s="860">
        <f>Calculation!AF384</f>
        <v>0</v>
      </c>
      <c r="G382" s="860">
        <f>Calculation!AG384</f>
        <v>0</v>
      </c>
      <c r="H382" s="861">
        <f>Sheet1!H382</f>
        <v>0</v>
      </c>
      <c r="I382" s="841">
        <f>Sheet1!DA382</f>
        <v>0</v>
      </c>
      <c r="J382" s="841">
        <f>Sheet1!DB382</f>
        <v>0</v>
      </c>
      <c r="K382" s="841">
        <f>Sheet1!CZ382</f>
        <v>0</v>
      </c>
      <c r="L382" s="865">
        <f>Calculation!F384</f>
        <v>0</v>
      </c>
      <c r="M382" s="865">
        <f>Calculation!E384</f>
        <v>0</v>
      </c>
      <c r="N382" s="865">
        <f>Calculation!D384</f>
        <v>0</v>
      </c>
      <c r="O382" s="888">
        <f>Sheet1!DC383</f>
        <v>0</v>
      </c>
      <c r="P382" s="889">
        <f>Calculation!FD384</f>
        <v>0</v>
      </c>
      <c r="Q382" s="895">
        <f>Calculation!DP384</f>
        <v>0</v>
      </c>
      <c r="R382" s="888">
        <f t="shared" si="139"/>
        <v>-619</v>
      </c>
      <c r="S382" s="890">
        <f t="shared" si="144"/>
        <v>0</v>
      </c>
      <c r="T382" s="895" t="e">
        <f ca="1">IF(A382&gt;($A$1-1),#N/A,VLOOKUP(A382,Calculation!$B$8:$JO$503,40,FALSE))</f>
        <v>#N/A</v>
      </c>
      <c r="U382" s="890">
        <f t="shared" si="145"/>
        <v>0</v>
      </c>
      <c r="V382" s="890">
        <f>Calculation!AZ385</f>
        <v>0</v>
      </c>
      <c r="W382" s="895" t="e">
        <f t="shared" ca="1" si="140"/>
        <v>#N/A</v>
      </c>
      <c r="X382" s="890">
        <v>0</v>
      </c>
      <c r="Y382" s="890" t="e">
        <f t="shared" ca="1" si="141"/>
        <v>#N/A</v>
      </c>
      <c r="Z382" s="890" t="e">
        <f t="shared" ca="1" si="142"/>
        <v>#N/A</v>
      </c>
      <c r="AA382" s="890" t="e">
        <f t="shared" ca="1" si="150"/>
        <v>#N/A</v>
      </c>
      <c r="AB382" s="895" t="e">
        <f t="shared" ca="1" si="146"/>
        <v>#N/A</v>
      </c>
      <c r="AC382" s="980" t="e">
        <f t="shared" ca="1" si="147"/>
        <v>#N/A</v>
      </c>
      <c r="AD382" s="860" t="e">
        <f ca="1">IF(A382&gt;$A$1,VLOOKUP(A382,Calculation!$B$8:$JO$880,165,FALSE),VLOOKUP(A382,Calculation!$B$8:$JO$880,165,FALSE))</f>
        <v>#N/A</v>
      </c>
      <c r="AE382" s="399" t="e">
        <f t="shared" ca="1" si="148"/>
        <v>#N/A</v>
      </c>
      <c r="AF382" s="399"/>
      <c r="AG382" s="841">
        <f>Calculation!G384</f>
        <v>0</v>
      </c>
      <c r="AH382" s="847" t="str">
        <f t="shared" si="149"/>
        <v>No</v>
      </c>
      <c r="AI382" s="847" t="str">
        <f>IF(Calculation!K385&gt;0,"Yes","No")</f>
        <v>No</v>
      </c>
      <c r="AJ382" s="868"/>
      <c r="AK382" s="868"/>
      <c r="AL382" s="868"/>
      <c r="AO382" s="894" t="e">
        <f t="shared" ca="1" si="151"/>
        <v>#N/A</v>
      </c>
      <c r="AP382" s="894"/>
      <c r="AQ382" s="894"/>
      <c r="AR382" s="894"/>
      <c r="AS382" s="894"/>
      <c r="AT382" s="894"/>
      <c r="AU382" s="427"/>
      <c r="AV382" s="410"/>
      <c r="AW382" s="442"/>
      <c r="AX382" s="441"/>
      <c r="AY382" s="441"/>
      <c r="AZ382" s="443"/>
      <c r="BB382" s="433"/>
      <c r="BC382" s="432"/>
      <c r="BD382" s="433"/>
      <c r="BE382" s="432"/>
      <c r="BF382" s="433"/>
      <c r="BG382" s="432"/>
      <c r="BH382" s="429"/>
    </row>
    <row r="383" spans="1:60" ht="13.8" thickBot="1" x14ac:dyDescent="0.3">
      <c r="A383" s="406">
        <v>43110</v>
      </c>
      <c r="B383" s="860">
        <f t="shared" si="143"/>
        <v>0</v>
      </c>
      <c r="C383" s="860">
        <f>Calculation!AK385</f>
        <v>0</v>
      </c>
      <c r="D383" s="860">
        <f>Calculation!AI386</f>
        <v>0</v>
      </c>
      <c r="E383" s="860">
        <f>Calculation!AE385</f>
        <v>0</v>
      </c>
      <c r="F383" s="860">
        <f>Calculation!AF385</f>
        <v>0</v>
      </c>
      <c r="G383" s="860">
        <f>Calculation!AG385</f>
        <v>0</v>
      </c>
      <c r="H383" s="861">
        <f>Sheet1!H383</f>
        <v>0</v>
      </c>
      <c r="I383" s="841">
        <f>Sheet1!DA383</f>
        <v>0</v>
      </c>
      <c r="J383" s="841">
        <f>Sheet1!DB383</f>
        <v>0</v>
      </c>
      <c r="K383" s="841">
        <f>Sheet1!CZ383</f>
        <v>0</v>
      </c>
      <c r="L383" s="865">
        <f>Calculation!F385</f>
        <v>0</v>
      </c>
      <c r="M383" s="865">
        <f>Calculation!E385</f>
        <v>0</v>
      </c>
      <c r="N383" s="865">
        <f>Calculation!D385</f>
        <v>0</v>
      </c>
      <c r="O383" s="888">
        <f>Sheet1!DC384</f>
        <v>0</v>
      </c>
      <c r="P383" s="889">
        <f>Calculation!FD385</f>
        <v>0</v>
      </c>
      <c r="Q383" s="895">
        <f>Calculation!DP385</f>
        <v>0</v>
      </c>
      <c r="R383" s="888">
        <f t="shared" si="139"/>
        <v>-619</v>
      </c>
      <c r="S383" s="890">
        <f t="shared" si="144"/>
        <v>0</v>
      </c>
      <c r="T383" s="895" t="e">
        <f ca="1">IF(A383&gt;($A$1-1),#N/A,VLOOKUP(A383,Calculation!$B$8:$JO$503,40,FALSE))</f>
        <v>#N/A</v>
      </c>
      <c r="U383" s="890">
        <f t="shared" si="145"/>
        <v>0</v>
      </c>
      <c r="V383" s="890">
        <f>Calculation!AZ386</f>
        <v>0</v>
      </c>
      <c r="W383" s="895" t="e">
        <f t="shared" ca="1" si="140"/>
        <v>#N/A</v>
      </c>
      <c r="X383" s="890">
        <v>0</v>
      </c>
      <c r="Y383" s="890" t="e">
        <f t="shared" ca="1" si="141"/>
        <v>#N/A</v>
      </c>
      <c r="Z383" s="890" t="e">
        <f t="shared" ca="1" si="142"/>
        <v>#N/A</v>
      </c>
      <c r="AA383" s="890" t="e">
        <f t="shared" ca="1" si="150"/>
        <v>#N/A</v>
      </c>
      <c r="AB383" s="895" t="e">
        <f t="shared" ca="1" si="146"/>
        <v>#N/A</v>
      </c>
      <c r="AC383" s="980" t="e">
        <f t="shared" ca="1" si="147"/>
        <v>#N/A</v>
      </c>
      <c r="AD383" s="860" t="e">
        <f ca="1">IF(A383&gt;$A$1,VLOOKUP(A383,Calculation!$B$8:$JO$880,165,FALSE),VLOOKUP(A383,Calculation!$B$8:$JO$880,165,FALSE))</f>
        <v>#N/A</v>
      </c>
      <c r="AE383" s="399" t="e">
        <f t="shared" ca="1" si="148"/>
        <v>#N/A</v>
      </c>
      <c r="AF383" s="399"/>
      <c r="AG383" s="841">
        <f>Calculation!G385</f>
        <v>0</v>
      </c>
      <c r="AH383" s="847" t="str">
        <f t="shared" si="149"/>
        <v>No</v>
      </c>
      <c r="AI383" s="847" t="str">
        <f>IF(Calculation!K386&gt;0,"Yes","No")</f>
        <v>No</v>
      </c>
      <c r="AJ383" s="868"/>
      <c r="AK383" s="868"/>
      <c r="AL383" s="868"/>
      <c r="AO383" s="894" t="e">
        <f t="shared" ca="1" si="151"/>
        <v>#N/A</v>
      </c>
      <c r="AP383" s="894"/>
      <c r="AQ383" s="894"/>
      <c r="AR383" s="894"/>
      <c r="AS383" s="894"/>
      <c r="AT383" s="894"/>
      <c r="AU383" s="427"/>
      <c r="AV383" s="410"/>
      <c r="AW383" s="442"/>
      <c r="AX383" s="441"/>
      <c r="AY383" s="441"/>
      <c r="AZ383" s="443"/>
      <c r="BB383" s="433"/>
      <c r="BC383" s="432"/>
      <c r="BD383" s="433"/>
      <c r="BE383" s="432"/>
      <c r="BF383" s="433"/>
      <c r="BG383" s="432"/>
      <c r="BH383" s="429"/>
    </row>
    <row r="384" spans="1:60" ht="13.8" thickBot="1" x14ac:dyDescent="0.3">
      <c r="A384" s="406">
        <v>43111</v>
      </c>
      <c r="B384" s="860">
        <f t="shared" si="143"/>
        <v>0</v>
      </c>
      <c r="C384" s="860">
        <f>Calculation!AK386</f>
        <v>0</v>
      </c>
      <c r="D384" s="860">
        <f>Calculation!AI387</f>
        <v>0</v>
      </c>
      <c r="E384" s="860">
        <f>Calculation!AE386</f>
        <v>0</v>
      </c>
      <c r="F384" s="860">
        <f>Calculation!AF386</f>
        <v>0</v>
      </c>
      <c r="G384" s="860">
        <f>Calculation!AG386</f>
        <v>0</v>
      </c>
      <c r="H384" s="861">
        <f>Sheet1!H384</f>
        <v>0</v>
      </c>
      <c r="I384" s="841">
        <f>Sheet1!DA384</f>
        <v>0</v>
      </c>
      <c r="J384" s="841">
        <f>Sheet1!DB384</f>
        <v>0</v>
      </c>
      <c r="K384" s="841">
        <f>Sheet1!CZ384</f>
        <v>0</v>
      </c>
      <c r="L384" s="865">
        <f>Calculation!F386</f>
        <v>0</v>
      </c>
      <c r="M384" s="865">
        <f>Calculation!E386</f>
        <v>0</v>
      </c>
      <c r="N384" s="865">
        <f>Calculation!D386</f>
        <v>0</v>
      </c>
      <c r="O384" s="888">
        <f>Sheet1!DC385</f>
        <v>0</v>
      </c>
      <c r="P384" s="889">
        <f>Calculation!FD386</f>
        <v>0</v>
      </c>
      <c r="Q384" s="895">
        <f>Calculation!DP386</f>
        <v>0</v>
      </c>
      <c r="R384" s="888">
        <f t="shared" si="139"/>
        <v>-619</v>
      </c>
      <c r="S384" s="890">
        <f t="shared" si="144"/>
        <v>0</v>
      </c>
      <c r="T384" s="895" t="e">
        <f ca="1">IF(A384&gt;($A$1-1),#N/A,VLOOKUP(A384,Calculation!$B$8:$JO$503,40,FALSE))</f>
        <v>#N/A</v>
      </c>
      <c r="U384" s="890">
        <f t="shared" si="145"/>
        <v>0</v>
      </c>
      <c r="V384" s="890">
        <f>Calculation!AZ387</f>
        <v>0</v>
      </c>
      <c r="W384" s="895" t="e">
        <f t="shared" ca="1" si="140"/>
        <v>#N/A</v>
      </c>
      <c r="X384" s="890">
        <v>0</v>
      </c>
      <c r="Y384" s="890" t="e">
        <f t="shared" ca="1" si="141"/>
        <v>#N/A</v>
      </c>
      <c r="Z384" s="890" t="e">
        <f t="shared" ca="1" si="142"/>
        <v>#N/A</v>
      </c>
      <c r="AA384" s="890" t="e">
        <f t="shared" ca="1" si="150"/>
        <v>#N/A</v>
      </c>
      <c r="AB384" s="895" t="e">
        <f t="shared" ca="1" si="146"/>
        <v>#N/A</v>
      </c>
      <c r="AC384" s="980" t="e">
        <f t="shared" ca="1" si="147"/>
        <v>#N/A</v>
      </c>
      <c r="AD384" s="860" t="e">
        <f ca="1">IF(A384&gt;$A$1,VLOOKUP(A384,Calculation!$B$8:$JO$880,165,FALSE),VLOOKUP(A384,Calculation!$B$8:$JO$880,165,FALSE))</f>
        <v>#N/A</v>
      </c>
      <c r="AE384" s="399" t="e">
        <f t="shared" ca="1" si="148"/>
        <v>#N/A</v>
      </c>
      <c r="AF384" s="399"/>
      <c r="AG384" s="841">
        <f>Calculation!G386</f>
        <v>0</v>
      </c>
      <c r="AH384" s="847" t="str">
        <f t="shared" si="149"/>
        <v>No</v>
      </c>
      <c r="AI384" s="847" t="str">
        <f>IF(Calculation!K387&gt;0,"Yes","No")</f>
        <v>No</v>
      </c>
      <c r="AJ384" s="868"/>
      <c r="AK384" s="868"/>
      <c r="AL384" s="868"/>
      <c r="AP384" s="894"/>
      <c r="AQ384" s="894"/>
      <c r="AR384" s="894"/>
      <c r="AU384" s="427"/>
      <c r="AV384" s="410"/>
      <c r="AW384" s="442"/>
      <c r="AX384" s="441"/>
      <c r="AY384" s="441"/>
      <c r="AZ384" s="443"/>
      <c r="BB384" s="433"/>
      <c r="BC384" s="432"/>
      <c r="BD384" s="433"/>
      <c r="BE384" s="432"/>
      <c r="BF384" s="433"/>
      <c r="BG384" s="432"/>
      <c r="BH384" s="429"/>
    </row>
    <row r="385" spans="1:60" ht="13.8" thickBot="1" x14ac:dyDescent="0.3">
      <c r="B385" s="860"/>
      <c r="C385" s="860"/>
      <c r="D385" s="860"/>
      <c r="E385" s="860"/>
      <c r="F385" s="860"/>
      <c r="G385" s="860"/>
      <c r="H385" s="861"/>
      <c r="I385" s="841"/>
      <c r="J385" s="841"/>
      <c r="K385" s="841"/>
      <c r="L385" s="865"/>
      <c r="M385" s="865"/>
      <c r="N385" s="865"/>
      <c r="O385" s="888"/>
      <c r="P385" s="889"/>
      <c r="Q385" s="895"/>
      <c r="R385" s="888"/>
      <c r="S385" s="890"/>
      <c r="T385" s="895"/>
      <c r="U385" s="890"/>
      <c r="V385" s="890"/>
      <c r="W385" s="895"/>
      <c r="X385" s="890">
        <v>0</v>
      </c>
      <c r="Y385" s="890"/>
      <c r="Z385" s="890"/>
      <c r="AA385" s="890">
        <f t="shared" si="150"/>
        <v>0</v>
      </c>
      <c r="AB385" s="895"/>
      <c r="AC385" s="401"/>
      <c r="AD385" s="860"/>
      <c r="AE385" s="399"/>
      <c r="AF385" s="399"/>
      <c r="AG385" s="841"/>
      <c r="AH385" s="847"/>
      <c r="AI385" s="847"/>
      <c r="AJ385" s="546"/>
      <c r="AP385" s="894"/>
      <c r="AQ385" s="894"/>
      <c r="AR385" s="894"/>
      <c r="AU385" s="427"/>
      <c r="AV385" s="410"/>
      <c r="AW385" s="442"/>
      <c r="AX385" s="441"/>
      <c r="AY385" s="441"/>
      <c r="AZ385" s="443"/>
      <c r="BB385" s="433"/>
      <c r="BC385" s="432"/>
      <c r="BD385" s="433"/>
      <c r="BE385" s="432"/>
      <c r="BF385" s="433"/>
      <c r="BG385" s="432"/>
      <c r="BH385" s="429"/>
    </row>
    <row r="386" spans="1:60" ht="13.8" thickBot="1" x14ac:dyDescent="0.3">
      <c r="B386" s="860"/>
      <c r="C386" s="860"/>
      <c r="D386" s="860"/>
      <c r="E386" s="860"/>
      <c r="F386" s="860"/>
      <c r="G386" s="860"/>
      <c r="H386" s="861"/>
      <c r="I386" s="841"/>
      <c r="J386" s="841"/>
      <c r="K386" s="841"/>
      <c r="L386" s="865"/>
      <c r="M386" s="865"/>
      <c r="N386" s="865"/>
      <c r="O386" s="888"/>
      <c r="P386" s="889"/>
      <c r="Q386" s="895"/>
      <c r="R386" s="888"/>
      <c r="S386" s="890"/>
      <c r="T386" s="895"/>
      <c r="U386" s="890"/>
      <c r="V386" s="890"/>
      <c r="W386" s="895"/>
      <c r="X386" s="890">
        <v>0</v>
      </c>
      <c r="Y386" s="890"/>
      <c r="Z386" s="890"/>
      <c r="AA386" s="890">
        <f t="shared" si="150"/>
        <v>0</v>
      </c>
      <c r="AB386" s="895"/>
      <c r="AC386" s="401"/>
      <c r="AD386" s="860"/>
      <c r="AE386" s="399"/>
      <c r="AF386" s="399"/>
      <c r="AG386" s="841"/>
      <c r="AH386" s="847"/>
      <c r="AI386" s="847"/>
      <c r="AJ386" s="546"/>
      <c r="AP386" s="894"/>
      <c r="AQ386" s="894"/>
      <c r="AR386" s="894"/>
      <c r="AU386" s="427"/>
      <c r="AV386" s="410"/>
      <c r="AW386" s="442"/>
      <c r="AX386" s="441"/>
      <c r="AY386" s="441"/>
      <c r="AZ386" s="443"/>
      <c r="BB386" s="433"/>
      <c r="BC386" s="432"/>
      <c r="BD386" s="433"/>
      <c r="BE386" s="432"/>
      <c r="BF386" s="433"/>
      <c r="BG386" s="432"/>
      <c r="BH386" s="429"/>
    </row>
    <row r="387" spans="1:60" ht="13.8" thickBot="1" x14ac:dyDescent="0.3">
      <c r="B387" s="860">
        <f>E387+F387</f>
        <v>84.466199999999986</v>
      </c>
      <c r="C387" s="860">
        <f>Calculation!AK15</f>
        <v>0</v>
      </c>
      <c r="D387" s="860">
        <f>Calculation!AI15</f>
        <v>0</v>
      </c>
      <c r="E387" s="860">
        <f>Calculation!AE15</f>
        <v>41.150199999999998</v>
      </c>
      <c r="F387" s="860">
        <f>Calculation!AF15</f>
        <v>43.315999999999995</v>
      </c>
      <c r="G387" s="860">
        <f>Calculation!AG15</f>
        <v>39.185510000002701</v>
      </c>
      <c r="H387" s="861">
        <f>Sheet1!H13</f>
        <v>20.399999999999999</v>
      </c>
      <c r="I387" s="841">
        <f>Sheet1!DA13</f>
        <v>911</v>
      </c>
      <c r="J387" s="841">
        <f>Sheet1!DB13</f>
        <v>518</v>
      </c>
      <c r="K387" s="841">
        <f>Sheet1!CZ13</f>
        <v>542</v>
      </c>
      <c r="L387" s="865">
        <f>Calculation!F15</f>
        <v>250</v>
      </c>
      <c r="M387" s="865">
        <f>Calculation!E15</f>
        <v>250</v>
      </c>
      <c r="N387" s="865">
        <f>Calculation!D15</f>
        <v>300</v>
      </c>
      <c r="O387" s="888">
        <f>Sheet1!DC13</f>
        <v>1074.2</v>
      </c>
      <c r="P387" s="889" t="e">
        <f>Calculation!FD15</f>
        <v>#N/A</v>
      </c>
      <c r="Q387" s="895">
        <f>Calculation!DP15</f>
        <v>538.00000000202363</v>
      </c>
      <c r="R387" s="888">
        <f>Q387-1220</f>
        <v>-681.99999999797637</v>
      </c>
      <c r="S387" s="890">
        <f>R387-R11</f>
        <v>-870.00000000067757</v>
      </c>
      <c r="T387" s="895" t="e">
        <f ca="1">IF(A387&gt;$A$1,#N/A,VLOOKUP(A387,Calculation!$B$8:$JO$503,30,FALSE))</f>
        <v>#N/A</v>
      </c>
      <c r="U387" s="890">
        <f>D387</f>
        <v>0</v>
      </c>
      <c r="V387" s="890">
        <f>Calculation!AZ15</f>
        <v>0</v>
      </c>
      <c r="W387" s="895">
        <f ca="1">IF(A387&gt;=$A$1,#N/A,W11-X387*1.983)</f>
        <v>0</v>
      </c>
      <c r="X387" s="890">
        <v>0</v>
      </c>
      <c r="Y387" s="890">
        <f ca="1">IF((A387+1)&gt;$A$1,#N/A,0)</f>
        <v>0</v>
      </c>
      <c r="Z387" s="890">
        <f ca="1">W387-Y387</f>
        <v>0</v>
      </c>
      <c r="AA387" s="890" t="e">
        <f t="shared" ca="1" si="150"/>
        <v>#N/A</v>
      </c>
      <c r="AB387" s="895" t="e">
        <f ca="1">IF(Q387-T387-W387&lt;0,0,Q387-T387-W387)</f>
        <v>#N/A</v>
      </c>
      <c r="AC387" s="401" t="e">
        <f ca="1">AB387-1220</f>
        <v>#N/A</v>
      </c>
      <c r="AD387" s="860"/>
      <c r="AE387" s="399" t="e">
        <f ca="1">AD387-AD11</f>
        <v>#N/A</v>
      </c>
      <c r="AF387" s="399"/>
      <c r="AG387" s="841">
        <f>Calculation!G15</f>
        <v>406.34694906672843</v>
      </c>
      <c r="AH387" s="847" t="str">
        <f>IF(I387&gt;L387,"Yes","No")</f>
        <v>Yes</v>
      </c>
      <c r="AI387" s="847" t="str">
        <f>IF(AND(I387&gt;M387,J387&gt;N387),"Yes","No")</f>
        <v>Yes</v>
      </c>
      <c r="AJ387" s="546"/>
      <c r="AP387" s="894"/>
      <c r="AQ387" s="894"/>
      <c r="AR387" s="894"/>
      <c r="AU387" s="428"/>
      <c r="AV387" s="440"/>
      <c r="AW387" s="444"/>
      <c r="AX387" s="445"/>
      <c r="AY387" s="445"/>
      <c r="AZ387" s="446"/>
      <c r="BA387" s="430"/>
      <c r="BB387" s="434"/>
      <c r="BC387" s="435"/>
      <c r="BD387" s="434"/>
      <c r="BE387" s="435"/>
      <c r="BF387" s="434"/>
      <c r="BG387" s="435"/>
      <c r="BH387" s="431"/>
    </row>
    <row r="388" spans="1:60" x14ac:dyDescent="0.2">
      <c r="A388" s="372">
        <v>1</v>
      </c>
      <c r="B388" s="862">
        <v>1</v>
      </c>
      <c r="C388" s="862">
        <v>1</v>
      </c>
      <c r="D388" s="862">
        <v>1</v>
      </c>
      <c r="E388" s="862">
        <v>1</v>
      </c>
      <c r="F388" s="862">
        <v>1</v>
      </c>
      <c r="G388" s="862">
        <v>1</v>
      </c>
      <c r="H388" s="862">
        <v>1</v>
      </c>
      <c r="I388" s="842">
        <v>1</v>
      </c>
      <c r="J388" s="842">
        <v>1</v>
      </c>
      <c r="K388" s="842">
        <v>1</v>
      </c>
      <c r="L388" s="862">
        <v>1</v>
      </c>
      <c r="M388" s="862">
        <v>1</v>
      </c>
      <c r="N388" s="862">
        <v>1</v>
      </c>
      <c r="O388" s="891">
        <v>1</v>
      </c>
      <c r="P388" s="891">
        <v>1</v>
      </c>
      <c r="Q388" s="917">
        <v>1</v>
      </c>
      <c r="R388" s="891">
        <v>1</v>
      </c>
      <c r="S388" s="891">
        <v>1</v>
      </c>
      <c r="T388" s="917">
        <v>1</v>
      </c>
      <c r="U388" s="891">
        <v>1</v>
      </c>
      <c r="V388" s="891">
        <v>1</v>
      </c>
      <c r="W388" s="917">
        <v>1</v>
      </c>
      <c r="X388" s="890">
        <v>0</v>
      </c>
      <c r="Y388" s="891">
        <v>1</v>
      </c>
      <c r="Z388" s="891">
        <v>1</v>
      </c>
      <c r="AA388" s="890">
        <f t="shared" si="150"/>
        <v>0</v>
      </c>
      <c r="AB388" s="917">
        <v>1</v>
      </c>
      <c r="AC388" s="372">
        <v>1</v>
      </c>
      <c r="AD388" s="862">
        <v>1</v>
      </c>
      <c r="AE388" s="372">
        <v>1</v>
      </c>
      <c r="AF388" s="372">
        <v>1</v>
      </c>
      <c r="AG388" s="842">
        <v>1</v>
      </c>
      <c r="AH388" s="842">
        <v>1</v>
      </c>
      <c r="AI388" s="842">
        <v>1</v>
      </c>
      <c r="AJ388" s="546">
        <v>1</v>
      </c>
      <c r="AK388" s="547">
        <v>1</v>
      </c>
      <c r="AM388" s="372">
        <v>1</v>
      </c>
      <c r="AN388" s="372">
        <v>1</v>
      </c>
      <c r="AP388" s="894"/>
      <c r="AQ388" s="894"/>
      <c r="AR388" s="894"/>
      <c r="AU388" s="372">
        <f>SUM(A388:AN388)+1</f>
        <v>38</v>
      </c>
      <c r="AV388" s="372">
        <f>AU388+1</f>
        <v>39</v>
      </c>
      <c r="AW388" s="372">
        <f t="shared" ref="AW388:BH388" si="152">AV388+1</f>
        <v>40</v>
      </c>
      <c r="AX388" s="372">
        <f t="shared" si="152"/>
        <v>41</v>
      </c>
      <c r="AY388" s="372">
        <f t="shared" si="152"/>
        <v>42</v>
      </c>
      <c r="AZ388" s="372">
        <f t="shared" si="152"/>
        <v>43</v>
      </c>
      <c r="BA388" s="372">
        <f t="shared" si="152"/>
        <v>44</v>
      </c>
      <c r="BB388" s="372">
        <f t="shared" si="152"/>
        <v>45</v>
      </c>
      <c r="BC388" s="372">
        <f t="shared" si="152"/>
        <v>46</v>
      </c>
      <c r="BD388" s="372">
        <f t="shared" si="152"/>
        <v>47</v>
      </c>
      <c r="BE388" s="372">
        <f t="shared" si="152"/>
        <v>48</v>
      </c>
      <c r="BF388" s="372">
        <f t="shared" si="152"/>
        <v>49</v>
      </c>
      <c r="BG388" s="372">
        <f t="shared" si="152"/>
        <v>50</v>
      </c>
      <c r="BH388" s="372">
        <f t="shared" si="152"/>
        <v>51</v>
      </c>
    </row>
    <row r="389" spans="1:60" x14ac:dyDescent="0.2">
      <c r="B389" s="863">
        <f>E389+F389</f>
        <v>84.419789999999992</v>
      </c>
      <c r="C389" s="863">
        <f>Calculation!AK17</f>
        <v>0</v>
      </c>
      <c r="D389" s="863">
        <f>Calculation!AI17</f>
        <v>0</v>
      </c>
      <c r="E389" s="863">
        <f>Calculation!AE17</f>
        <v>41.150199999999998</v>
      </c>
      <c r="F389" s="863">
        <f>Calculation!AF17</f>
        <v>43.269589999999994</v>
      </c>
      <c r="G389" s="863">
        <f>Calculation!AG17</f>
        <v>41.444130000001351</v>
      </c>
      <c r="H389" s="864">
        <f>Sheet1!H15</f>
        <v>17.05</v>
      </c>
      <c r="I389" s="843">
        <f>Sheet1!DA15</f>
        <v>777</v>
      </c>
      <c r="J389" s="843">
        <f>Sheet1!DB15</f>
        <v>279</v>
      </c>
      <c r="K389" s="843">
        <f>Sheet1!CZ15</f>
        <v>354</v>
      </c>
      <c r="L389" s="866">
        <f>Calculation!F17</f>
        <v>250</v>
      </c>
      <c r="M389" s="866">
        <f>Calculation!E17</f>
        <v>250</v>
      </c>
      <c r="N389" s="866">
        <f>Calculation!D17</f>
        <v>300</v>
      </c>
      <c r="O389" s="892">
        <f>Sheet1!DC15</f>
        <v>1076.5899999999999</v>
      </c>
      <c r="P389" s="892" t="e">
        <f>Calculation!FD17</f>
        <v>#N/A</v>
      </c>
      <c r="Q389" s="918">
        <f>Calculation!DP17</f>
        <v>794.80000000267387</v>
      </c>
      <c r="R389" s="892">
        <f>Q389-1220</f>
        <v>-425.19999999732613</v>
      </c>
      <c r="S389" s="893">
        <f>R389-R388</f>
        <v>-426.19999999732613</v>
      </c>
      <c r="T389" s="918" t="e">
        <f ca="1">IF(A389&gt;$A$1,#N/A,VLOOKUP(A389,Calculation!$B$8:$JO$503,30,FALSE))</f>
        <v>#N/A</v>
      </c>
      <c r="U389" s="893">
        <f>D389</f>
        <v>0</v>
      </c>
      <c r="V389" s="893">
        <f>Calculation!AZ17</f>
        <v>0</v>
      </c>
      <c r="W389" s="918">
        <f ca="1">IF(A389&gt;=$A$1,#N/A,W388-X389*1.983)</f>
        <v>1</v>
      </c>
      <c r="X389" s="890">
        <v>0</v>
      </c>
      <c r="Y389" s="893">
        <f ca="1">IF((A389+1)&gt;$A$1,#N/A,2500)</f>
        <v>2500</v>
      </c>
      <c r="Z389" s="893">
        <f ca="1">W389-Y389</f>
        <v>-2499</v>
      </c>
      <c r="AA389" s="890" t="e">
        <f t="shared" ca="1" si="150"/>
        <v>#N/A</v>
      </c>
      <c r="AB389" s="918" t="e">
        <f ca="1">IF(Q389-T389-W389&lt;0,0,Q389-T389-W389)</f>
        <v>#N/A</v>
      </c>
      <c r="AC389" s="572" t="e">
        <f ca="1">AB389-1220</f>
        <v>#N/A</v>
      </c>
      <c r="AD389" s="863"/>
      <c r="AE389" s="571">
        <f>AD389-AD388</f>
        <v>-1</v>
      </c>
      <c r="AF389" s="571"/>
      <c r="AG389" s="843">
        <f>Calculation!G17</f>
        <v>456.06757438244972</v>
      </c>
      <c r="AH389" s="848" t="str">
        <f>IF(I389&gt;L389,"Yes","No")</f>
        <v>Yes</v>
      </c>
      <c r="AI389" s="848" t="str">
        <f>IF(AND(I389&gt;M389,J389&gt;N389),"Yes","No")</f>
        <v>No</v>
      </c>
      <c r="AJ389" s="546"/>
      <c r="AP389" s="894"/>
      <c r="AQ389" s="894"/>
      <c r="AR389" s="894"/>
      <c r="AU389" s="381" t="s">
        <v>120</v>
      </c>
      <c r="AV389" s="381"/>
      <c r="BA389" s="1178" t="s">
        <v>151</v>
      </c>
      <c r="BB389" s="1179"/>
      <c r="BC389" s="1178" t="s">
        <v>248</v>
      </c>
      <c r="BD389" s="1179"/>
      <c r="BE389" s="1178" t="s">
        <v>247</v>
      </c>
      <c r="BF389" s="1179"/>
      <c r="BG389" s="1178" t="s">
        <v>246</v>
      </c>
      <c r="BH389" s="1179"/>
    </row>
    <row r="390" spans="1:60" x14ac:dyDescent="0.2">
      <c r="AA390" s="890">
        <f t="shared" si="150"/>
        <v>0</v>
      </c>
      <c r="AJ390" s="546"/>
      <c r="AP390" s="894"/>
      <c r="AQ390" s="894"/>
      <c r="AR390" s="894"/>
      <c r="AU390" s="381" t="str">
        <f ca="1">IF(VLOOKUP($A$1-1,$A$5:AU$387,AU388)&lt;A1,"no Prediction yet",VLOOKUP($A$1-1,$A$5:AU$387,AU388))</f>
        <v>no Prediction yet</v>
      </c>
      <c r="AV390" s="381" t="str">
        <f ca="1">IF(VLOOKUP($A$1-1,$A$5:AV$387,AV388)&lt;B1,"no Prediction yet",VLOOKUP($A$1-1,$A$5:AV$387,AV388))</f>
        <v>no Prediction yet</v>
      </c>
      <c r="AW390" s="382"/>
      <c r="AX390" s="382"/>
      <c r="AY390" s="382"/>
      <c r="AZ390" s="382"/>
      <c r="BA390" s="574" t="str">
        <f ca="1">IF(VLOOKUP($A$1-1,$A$5:BA$387,BA388)&lt;A1,"no Prediction yet",VLOOKUP($A$1-1,$A$5:BA$387,BA388))</f>
        <v>no Prediction yet</v>
      </c>
      <c r="BB390" s="574" t="str">
        <f ca="1">IF(VLOOKUP($A$1-1,$A$5:BB$387,BB388)&lt;B1,"no Prediction yet",VLOOKUP($A$1-1,$A$5:BB$387,BB388))</f>
        <v>no Prediction yet</v>
      </c>
      <c r="BC390" s="417">
        <f ca="1">IF(VLOOKUP($A$1-1,$A$5:BC$387,BC388)&lt;C1,"no Prediction yet",VLOOKUP($A$1-1,$A$5:BC$387,BC388))</f>
        <v>0</v>
      </c>
      <c r="BD390" s="417">
        <f ca="1">IF(VLOOKUP($A$1-1,$A$5:BD$387,BD388)&lt;D1,"no Prediction yet",VLOOKUP($A$1-1,$A$5:BD$387,BD388))</f>
        <v>0</v>
      </c>
      <c r="BE390" s="573">
        <f ca="1">IF(VLOOKUP($A$1-1,$A$5:BE$387,BE388)&lt;E1,"no Prediction yet",VLOOKUP($A$1-1,$A$5:BE$387,BE388))</f>
        <v>0</v>
      </c>
      <c r="BF390" s="573">
        <f ca="1">IF(VLOOKUP($A$1-1,$A$5:BF$387,BF388)&lt;F1,"no Prediction yet",VLOOKUP($A$1-1,$A$5:BF$387,BF388))</f>
        <v>0</v>
      </c>
      <c r="BG390" s="594">
        <f ca="1">IF(VLOOKUP($A$1-1,$A$5:BG$387,BG388)&lt;G1,"no Prediction yet",VLOOKUP($A$1-1,$A$5:BG$387,BG388))</f>
        <v>0</v>
      </c>
      <c r="BH390" s="594">
        <f ca="1">IF(VLOOKUP($A$1-1,$A$5:BH$387,BH388)&lt;H1,"no Prediction yet",VLOOKUP($A$1-1,$A$5:BH$387,BH388))</f>
        <v>0</v>
      </c>
    </row>
    <row r="391" spans="1:60" x14ac:dyDescent="0.2">
      <c r="AA391" s="890">
        <f t="shared" si="150"/>
        <v>0</v>
      </c>
      <c r="AJ391" s="546"/>
      <c r="AP391" s="894"/>
      <c r="AQ391" s="894"/>
      <c r="AR391" s="894"/>
      <c r="AU391" s="381" t="str">
        <f ca="1">TEXT(AU390,"d-mmm-y")</f>
        <v>no Prediction yet</v>
      </c>
      <c r="AV391" s="381" t="str">
        <f ca="1">TEXT(AV390,"d-mmm-y")</f>
        <v>no Prediction yet</v>
      </c>
      <c r="AW391" s="382"/>
      <c r="AX391" s="382"/>
      <c r="AY391" s="382"/>
      <c r="AZ391" s="382"/>
      <c r="BA391" s="574" t="str">
        <f t="shared" ref="BA391:BH391" ca="1" si="153">TEXT(BA390,"d-mmm-y")</f>
        <v>no Prediction yet</v>
      </c>
      <c r="BB391" s="574" t="str">
        <f t="shared" ca="1" si="153"/>
        <v>no Prediction yet</v>
      </c>
      <c r="BC391" s="417" t="str">
        <f t="shared" ca="1" si="153"/>
        <v>0-Jan-00</v>
      </c>
      <c r="BD391" s="417" t="str">
        <f t="shared" ca="1" si="153"/>
        <v>0-Jan-00</v>
      </c>
      <c r="BE391" s="573" t="str">
        <f t="shared" ca="1" si="153"/>
        <v>0-Jan-00</v>
      </c>
      <c r="BF391" s="573" t="str">
        <f t="shared" ca="1" si="153"/>
        <v>0-Jan-00</v>
      </c>
      <c r="BG391" s="594" t="str">
        <f t="shared" ca="1" si="153"/>
        <v>0-Jan-00</v>
      </c>
      <c r="BH391" s="594" t="str">
        <f t="shared" ca="1" si="153"/>
        <v>0-Jan-00</v>
      </c>
    </row>
    <row r="392" spans="1:60" x14ac:dyDescent="0.2">
      <c r="AA392" s="890">
        <f t="shared" si="150"/>
        <v>0</v>
      </c>
      <c r="AJ392" s="546"/>
      <c r="AK392" s="799"/>
      <c r="AL392" s="799"/>
      <c r="AM392" s="460"/>
      <c r="AN392" s="460"/>
      <c r="AO392" s="1001"/>
      <c r="AP392" s="894"/>
      <c r="AQ392" s="894"/>
      <c r="AR392" s="894"/>
      <c r="AS392" s="1001"/>
      <c r="AT392" s="1001"/>
      <c r="AU392" s="411"/>
      <c r="AV392" s="383" t="e">
        <f ca="1">IF(NOW()&lt;Calculation!#REF!,CONCATENATE("Current Predicted date for Municipal Storage to be at 20000AF is ",AV391),CONCATENATE("Current Predicted date for Municipal Storage to be at 0AF is ",AU391))</f>
        <v>#REF!</v>
      </c>
    </row>
    <row r="393" spans="1:60" x14ac:dyDescent="0.2">
      <c r="AA393" s="890">
        <f t="shared" si="150"/>
        <v>0</v>
      </c>
      <c r="AJ393" s="546"/>
      <c r="AP393" s="894"/>
      <c r="AQ393" s="894"/>
      <c r="AR393" s="894"/>
      <c r="AW393" s="575"/>
      <c r="AX393" s="576"/>
      <c r="AY393" s="576"/>
      <c r="AZ393" s="576"/>
      <c r="BA393" s="575"/>
      <c r="BB393" s="577" t="e">
        <f ca="1">IF(NOW()&lt;Calculation!#REF!,CONCATENATE("Current Predicted date for Tacoma Storage to be at 20000AF is ",BB391),CONCATENATE("Current Predicted date for Tacoma Storage to be at 0AF is ",BA391))</f>
        <v>#REF!</v>
      </c>
    </row>
    <row r="394" spans="1:60" x14ac:dyDescent="0.2">
      <c r="AA394" s="890">
        <f t="shared" si="150"/>
        <v>0</v>
      </c>
      <c r="AJ394" s="546"/>
      <c r="AP394" s="894"/>
      <c r="AQ394" s="894"/>
      <c r="AR394" s="894"/>
      <c r="AY394" s="414"/>
      <c r="AZ394" s="415"/>
      <c r="BA394" s="374"/>
      <c r="BB394" s="416"/>
      <c r="BC394" s="412"/>
      <c r="BD394" s="413" t="e">
        <f ca="1">IF(NOW()&lt;Calculation!#REF!,CONCATENATE("Current Predicted date for Lakehaven Storage to be at 20000AF is ",BD391),CONCATENATE("Current Predicted date for Lakehaven Storage to be at 0AF is ",BC391))</f>
        <v>#REF!</v>
      </c>
    </row>
    <row r="395" spans="1:60" x14ac:dyDescent="0.2">
      <c r="AA395" s="890">
        <f t="shared" si="150"/>
        <v>0</v>
      </c>
      <c r="AJ395" s="546"/>
      <c r="AP395" s="894"/>
      <c r="AQ395" s="894"/>
      <c r="AR395" s="894"/>
      <c r="BA395" s="586"/>
      <c r="BB395" s="587"/>
      <c r="BC395" s="587"/>
      <c r="BD395" s="588"/>
      <c r="BE395" s="589"/>
      <c r="BF395" s="590" t="e">
        <f ca="1">IF(NOW()&lt;Calculation!#REF!,CONCATENATE("Current Predicted date for Covington Storage to be at 200000AF is ",BF391),CONCATENATE("Current Predicted date for Covington Storage to be at 0AF is ",BE391))</f>
        <v>#REF!</v>
      </c>
    </row>
    <row r="396" spans="1:60" x14ac:dyDescent="0.2">
      <c r="AA396" s="890">
        <f t="shared" si="150"/>
        <v>0</v>
      </c>
      <c r="AJ396" s="546"/>
      <c r="AP396" s="894"/>
      <c r="AQ396" s="894"/>
      <c r="AR396" s="894"/>
      <c r="BD396" s="591"/>
      <c r="BE396" s="592"/>
      <c r="BF396" s="592"/>
      <c r="BG396" s="591"/>
      <c r="BH396" s="593" t="e">
        <f ca="1">IF(NOW()&lt;Calculation!#REF!,CONCATENATE("Current Predicted date for Kent Storage to be at 200000AF is ",BH391),CONCATENATE("Current Predicted date for Kent Storage to be at 0AF is ",BG391))</f>
        <v>#REF!</v>
      </c>
    </row>
    <row r="397" spans="1:60" x14ac:dyDescent="0.2">
      <c r="AJ397" s="546"/>
    </row>
    <row r="398" spans="1:60" x14ac:dyDescent="0.2">
      <c r="AJ398" s="546"/>
    </row>
    <row r="399" spans="1:60" x14ac:dyDescent="0.2">
      <c r="AJ399" s="546"/>
    </row>
    <row r="400" spans="1:60" x14ac:dyDescent="0.2">
      <c r="AJ400" s="546"/>
    </row>
    <row r="401" spans="36:36" x14ac:dyDescent="0.2">
      <c r="AJ401" s="546"/>
    </row>
    <row r="402" spans="36:36" x14ac:dyDescent="0.2">
      <c r="AJ402" s="546"/>
    </row>
    <row r="403" spans="36:36" x14ac:dyDescent="0.2">
      <c r="AJ403" s="546"/>
    </row>
    <row r="404" spans="36:36" x14ac:dyDescent="0.2">
      <c r="AJ404" s="546"/>
    </row>
    <row r="405" spans="36:36" x14ac:dyDescent="0.2">
      <c r="AJ405" s="546"/>
    </row>
    <row r="406" spans="36:36" x14ac:dyDescent="0.2">
      <c r="AJ406" s="546"/>
    </row>
    <row r="407" spans="36:36" x14ac:dyDescent="0.2">
      <c r="AJ407" s="546"/>
    </row>
    <row r="408" spans="36:36" x14ac:dyDescent="0.2">
      <c r="AJ408" s="546"/>
    </row>
    <row r="409" spans="36:36" x14ac:dyDescent="0.2">
      <c r="AJ409" s="546"/>
    </row>
    <row r="410" spans="36:36" x14ac:dyDescent="0.2">
      <c r="AJ410" s="546"/>
    </row>
    <row r="411" spans="36:36" x14ac:dyDescent="0.2">
      <c r="AJ411" s="546"/>
    </row>
    <row r="412" spans="36:36" x14ac:dyDescent="0.2">
      <c r="AJ412" s="546"/>
    </row>
    <row r="413" spans="36:36" x14ac:dyDescent="0.2">
      <c r="AJ413" s="546"/>
    </row>
    <row r="414" spans="36:36" x14ac:dyDescent="0.2">
      <c r="AJ414" s="546"/>
    </row>
    <row r="415" spans="36:36" x14ac:dyDescent="0.2">
      <c r="AJ415" s="546"/>
    </row>
    <row r="416" spans="36:36" x14ac:dyDescent="0.2">
      <c r="AJ416" s="546"/>
    </row>
    <row r="417" spans="36:36" x14ac:dyDescent="0.2">
      <c r="AJ417" s="546"/>
    </row>
    <row r="418" spans="36:36" x14ac:dyDescent="0.2">
      <c r="AJ418" s="546"/>
    </row>
    <row r="419" spans="36:36" x14ac:dyDescent="0.2">
      <c r="AJ419" s="546"/>
    </row>
    <row r="420" spans="36:36" x14ac:dyDescent="0.2">
      <c r="AJ420" s="546"/>
    </row>
    <row r="421" spans="36:36" x14ac:dyDescent="0.2">
      <c r="AJ421" s="546"/>
    </row>
    <row r="422" spans="36:36" x14ac:dyDescent="0.2">
      <c r="AJ422" s="546"/>
    </row>
    <row r="423" spans="36:36" x14ac:dyDescent="0.2">
      <c r="AJ423" s="546"/>
    </row>
    <row r="424" spans="36:36" x14ac:dyDescent="0.2">
      <c r="AJ424" s="546"/>
    </row>
    <row r="425" spans="36:36" x14ac:dyDescent="0.2">
      <c r="AJ425" s="546"/>
    </row>
  </sheetData>
  <mergeCells count="10">
    <mergeCell ref="L1:N1"/>
    <mergeCell ref="B1:H1"/>
    <mergeCell ref="O1:AB1"/>
    <mergeCell ref="I1:K1"/>
    <mergeCell ref="AD1:AF1"/>
    <mergeCell ref="BG389:BH389"/>
    <mergeCell ref="BA389:BB389"/>
    <mergeCell ref="BC389:BD389"/>
    <mergeCell ref="BE389:BF389"/>
    <mergeCell ref="AG1:AI1"/>
  </mergeCells>
  <phoneticPr fontId="42" type="noConversion"/>
  <conditionalFormatting sqref="AC389:AI389 B389:W389 B5:AA7 Y389:Z389 B8:Z132 B385:W387 Y385:Z387 AC385:AI387 AA304:AA396 Z304:Z384 AD292:AH384 W133:Z165 B133:V384 AC5:AI9 X166:Y181 AC214:AE223 AD183:AH190 X182 Z194:AA303 Z166:Z193 AA8:AA193 AC183:AC189 AD191:AE213 Y299:Y384 X201:X220 AC201:AC213 X228:X234 AC224:AC234 AD224:AE291 AF191:AH291 W166:W234 AC299:AC384 W299:W384 X299:X389 AC10:AH182 AI10:AI384">
    <cfRule type="expression" dxfId="1021" priority="337" stopIfTrue="1">
      <formula>ISERROR(B5)</formula>
    </cfRule>
    <cfRule type="expression" dxfId="1020" priority="339" stopIfTrue="1">
      <formula>OR(B5=0,$B5&lt;=0)</formula>
    </cfRule>
  </conditionalFormatting>
  <conditionalFormatting sqref="AD6 AB389 AB6:AB189 AB203:AB234 AB299:AB384">
    <cfRule type="expression" dxfId="1019" priority="340" stopIfTrue="1">
      <formula>ISERROR(AB6)</formula>
    </cfRule>
    <cfRule type="expression" dxfId="1018" priority="341" stopIfTrue="1">
      <formula>AND($B5&gt;0,AB6=0)</formula>
    </cfRule>
    <cfRule type="expression" dxfId="1017" priority="342" stopIfTrue="1">
      <formula>OR(AB6=0,$B5&lt;=0)</formula>
    </cfRule>
  </conditionalFormatting>
  <conditionalFormatting sqref="AU3:AU4">
    <cfRule type="expression" dxfId="1016" priority="343" stopIfTrue="1">
      <formula>ISERROR(AU3)</formula>
    </cfRule>
    <cfRule type="expression" dxfId="1015" priority="344" stopIfTrue="1">
      <formula>AND($B1048223&gt;0,AU3=0)</formula>
    </cfRule>
    <cfRule type="expression" dxfId="1014" priority="345" stopIfTrue="1">
      <formula>OR(AU3=0,$B1048223&lt;=0)</formula>
    </cfRule>
  </conditionalFormatting>
  <conditionalFormatting sqref="AB17:AB189 AB203:AB234 AB299:AB386">
    <cfRule type="expression" dxfId="1013" priority="470" stopIfTrue="1">
      <formula>ISERROR(AB17)</formula>
    </cfRule>
    <cfRule type="expression" dxfId="1012" priority="471" stopIfTrue="1">
      <formula>AND(#REF!&gt;0,AB17=0)</formula>
    </cfRule>
    <cfRule type="expression" dxfId="1011" priority="472" stopIfTrue="1">
      <formula>OR(AB17=0,#REF!&lt;=0)</formula>
    </cfRule>
  </conditionalFormatting>
  <conditionalFormatting sqref="AB387">
    <cfRule type="expression" dxfId="1010" priority="476" stopIfTrue="1">
      <formula>ISERROR(AB387)</formula>
    </cfRule>
    <cfRule type="expression" dxfId="1009" priority="477" stopIfTrue="1">
      <formula>AND($B11&gt;0,AB387=0)</formula>
    </cfRule>
    <cfRule type="expression" dxfId="1008" priority="478" stopIfTrue="1">
      <formula>OR(AB387=0,$B11&lt;=0)</formula>
    </cfRule>
  </conditionalFormatting>
  <conditionalFormatting sqref="AB23 AB161">
    <cfRule type="expression" dxfId="1007" priority="800" stopIfTrue="1">
      <formula>ISERROR(AB23)</formula>
    </cfRule>
    <cfRule type="expression" dxfId="1006" priority="801" stopIfTrue="1">
      <formula>AND($B12&gt;0,AB23=0)</formula>
    </cfRule>
    <cfRule type="expression" dxfId="1005" priority="802" stopIfTrue="1">
      <formula>OR(AB23=0,$B12&lt;=0)</formula>
    </cfRule>
  </conditionalFormatting>
  <conditionalFormatting sqref="AB22 AB160:AB161">
    <cfRule type="expression" dxfId="1004" priority="806" stopIfTrue="1">
      <formula>ISERROR(AB22)</formula>
    </cfRule>
    <cfRule type="expression" dxfId="1003" priority="807" stopIfTrue="1">
      <formula>AND($B12&gt;0,AB22=0)</formula>
    </cfRule>
    <cfRule type="expression" dxfId="1002" priority="808" stopIfTrue="1">
      <formula>OR(AB22=0,$B12&lt;=0)</formula>
    </cfRule>
  </conditionalFormatting>
  <conditionalFormatting sqref="AB21 AB159">
    <cfRule type="expression" dxfId="1001" priority="812" stopIfTrue="1">
      <formula>ISERROR(AB21)</formula>
    </cfRule>
    <cfRule type="expression" dxfId="1000" priority="813" stopIfTrue="1">
      <formula>AND($B12&gt;0,AB21=0)</formula>
    </cfRule>
    <cfRule type="expression" dxfId="999" priority="814" stopIfTrue="1">
      <formula>OR(AB21=0,$B12&lt;=0)</formula>
    </cfRule>
  </conditionalFormatting>
  <conditionalFormatting sqref="AB20 AB158">
    <cfRule type="expression" dxfId="998" priority="818" stopIfTrue="1">
      <formula>ISERROR(AB20)</formula>
    </cfRule>
    <cfRule type="expression" dxfId="997" priority="819" stopIfTrue="1">
      <formula>AND($B12&gt;0,AB20=0)</formula>
    </cfRule>
    <cfRule type="expression" dxfId="996" priority="820" stopIfTrue="1">
      <formula>OR(AB20=0,$B12&lt;=0)</formula>
    </cfRule>
  </conditionalFormatting>
  <conditionalFormatting sqref="AB159">
    <cfRule type="expression" dxfId="995" priority="836" stopIfTrue="1">
      <formula>ISERROR(AB159)</formula>
    </cfRule>
    <cfRule type="expression" dxfId="994" priority="837" stopIfTrue="1">
      <formula>AND($B13&gt;0,AB159=0)</formula>
    </cfRule>
    <cfRule type="expression" dxfId="993" priority="838" stopIfTrue="1">
      <formula>OR(AB159=0,$B13&lt;=0)</formula>
    </cfRule>
  </conditionalFormatting>
  <conditionalFormatting sqref="AB15 AB158">
    <cfRule type="expression" dxfId="992" priority="842" stopIfTrue="1">
      <formula>ISERROR(AB15)</formula>
    </cfRule>
    <cfRule type="expression" dxfId="991" priority="843" stopIfTrue="1">
      <formula>AND($B11&gt;0,AB15=0)</formula>
    </cfRule>
    <cfRule type="expression" dxfId="990" priority="844" stopIfTrue="1">
      <formula>OR(AB15=0,$B11&lt;=0)</formula>
    </cfRule>
  </conditionalFormatting>
  <conditionalFormatting sqref="AB14 AB157:AB161">
    <cfRule type="expression" dxfId="989" priority="848" stopIfTrue="1">
      <formula>ISERROR(AB14)</formula>
    </cfRule>
    <cfRule type="expression" dxfId="988" priority="849" stopIfTrue="1">
      <formula>AND($B11&gt;0,AB14=0)</formula>
    </cfRule>
    <cfRule type="expression" dxfId="987" priority="850" stopIfTrue="1">
      <formula>OR(AB14=0,$B11&lt;=0)</formula>
    </cfRule>
  </conditionalFormatting>
  <conditionalFormatting sqref="AB13 AB156:AB168">
    <cfRule type="expression" dxfId="986" priority="854" stopIfTrue="1">
      <formula>ISERROR(AB13)</formula>
    </cfRule>
    <cfRule type="expression" dxfId="985" priority="855" stopIfTrue="1">
      <formula>AND($B11&gt;0,AB13=0)</formula>
    </cfRule>
    <cfRule type="expression" dxfId="984" priority="856" stopIfTrue="1">
      <formula>OR(AB13=0,$B11&lt;=0)</formula>
    </cfRule>
  </conditionalFormatting>
  <conditionalFormatting sqref="AB386">
    <cfRule type="expression" dxfId="983" priority="866" stopIfTrue="1">
      <formula>ISERROR(AB386)</formula>
    </cfRule>
    <cfRule type="expression" dxfId="982" priority="867" stopIfTrue="1">
      <formula>AND($B12&gt;0,AB386=0)</formula>
    </cfRule>
    <cfRule type="expression" dxfId="981" priority="868" stopIfTrue="1">
      <formula>OR(AB386=0,$B12&lt;=0)</formula>
    </cfRule>
  </conditionalFormatting>
  <conditionalFormatting sqref="AB163">
    <cfRule type="expression" dxfId="980" priority="878" stopIfTrue="1">
      <formula>ISERROR(AB163)</formula>
    </cfRule>
    <cfRule type="expression" dxfId="979" priority="879" stopIfTrue="1">
      <formula>AND($B13&gt;0,AB163=0)</formula>
    </cfRule>
    <cfRule type="expression" dxfId="978" priority="880" stopIfTrue="1">
      <formula>OR(AB163=0,$B13&lt;=0)</formula>
    </cfRule>
  </conditionalFormatting>
  <conditionalFormatting sqref="AB153">
    <cfRule type="expression" dxfId="977" priority="890" stopIfTrue="1">
      <formula>ISERROR(AB153)</formula>
    </cfRule>
    <cfRule type="expression" dxfId="976" priority="891" stopIfTrue="1">
      <formula>AND($B12&gt;0,AB153=0)</formula>
    </cfRule>
    <cfRule type="expression" dxfId="975" priority="892" stopIfTrue="1">
      <formula>OR(AB153=0,$B12&lt;=0)</formula>
    </cfRule>
  </conditionalFormatting>
  <conditionalFormatting sqref="AB152">
    <cfRule type="expression" dxfId="974" priority="902" stopIfTrue="1">
      <formula>ISERROR(AB152)</formula>
    </cfRule>
    <cfRule type="expression" dxfId="973" priority="903" stopIfTrue="1">
      <formula>AND($B12&gt;0,AB152=0)</formula>
    </cfRule>
    <cfRule type="expression" dxfId="972" priority="904" stopIfTrue="1">
      <formula>OR(AB152=0,$B12&lt;=0)</formula>
    </cfRule>
  </conditionalFormatting>
  <conditionalFormatting sqref="AB151">
    <cfRule type="expression" dxfId="971" priority="914" stopIfTrue="1">
      <formula>ISERROR(AB151)</formula>
    </cfRule>
    <cfRule type="expression" dxfId="970" priority="915" stopIfTrue="1">
      <formula>AND($B12&gt;0,AB151=0)</formula>
    </cfRule>
    <cfRule type="expression" dxfId="969" priority="916" stopIfTrue="1">
      <formula>OR(AB151=0,$B12&lt;=0)</formula>
    </cfRule>
  </conditionalFormatting>
  <conditionalFormatting sqref="AB150:AB168">
    <cfRule type="expression" dxfId="968" priority="926" stopIfTrue="1">
      <formula>ISERROR(AB150)</formula>
    </cfRule>
    <cfRule type="expression" dxfId="967" priority="927" stopIfTrue="1">
      <formula>AND($B12&gt;0,AB150=0)</formula>
    </cfRule>
    <cfRule type="expression" dxfId="966" priority="928" stopIfTrue="1">
      <formula>OR(AB150=0,$B12&lt;=0)</formula>
    </cfRule>
  </conditionalFormatting>
  <conditionalFormatting sqref="AB149">
    <cfRule type="expression" dxfId="965" priority="938" stopIfTrue="1">
      <formula>ISERROR(AB149)</formula>
    </cfRule>
    <cfRule type="expression" dxfId="964" priority="939" stopIfTrue="1">
      <formula>AND($B12&gt;0,AB149=0)</formula>
    </cfRule>
    <cfRule type="expression" dxfId="963" priority="940" stopIfTrue="1">
      <formula>OR(AB149=0,$B12&lt;=0)</formula>
    </cfRule>
  </conditionalFormatting>
  <conditionalFormatting sqref="AB148:AB149">
    <cfRule type="expression" dxfId="962" priority="971" stopIfTrue="1">
      <formula>ISERROR(AB148)</formula>
    </cfRule>
    <cfRule type="expression" dxfId="961" priority="972" stopIfTrue="1">
      <formula>AND($B12&gt;0,AB148=0)</formula>
    </cfRule>
    <cfRule type="expression" dxfId="960" priority="973" stopIfTrue="1">
      <formula>OR(AB148=0,$B12&lt;=0)</formula>
    </cfRule>
  </conditionalFormatting>
  <conditionalFormatting sqref="AB147:AB168">
    <cfRule type="expression" dxfId="959" priority="1007" stopIfTrue="1">
      <formula>ISERROR(AB147)</formula>
    </cfRule>
    <cfRule type="expression" dxfId="958" priority="1008" stopIfTrue="1">
      <formula>AND($B12&gt;0,AB147=0)</formula>
    </cfRule>
    <cfRule type="expression" dxfId="957" priority="1009" stopIfTrue="1">
      <formula>OR(AB147=0,$B12&lt;=0)</formula>
    </cfRule>
  </conditionalFormatting>
  <conditionalFormatting sqref="AB146">
    <cfRule type="expression" dxfId="956" priority="1046" stopIfTrue="1">
      <formula>ISERROR(AB146)</formula>
    </cfRule>
    <cfRule type="expression" dxfId="955" priority="1047" stopIfTrue="1">
      <formula>AND($B12&gt;0,AB146=0)</formula>
    </cfRule>
    <cfRule type="expression" dxfId="954" priority="1048" stopIfTrue="1">
      <formula>OR(AB146=0,$B12&lt;=0)</formula>
    </cfRule>
  </conditionalFormatting>
  <conditionalFormatting sqref="AB145">
    <cfRule type="expression" dxfId="953" priority="1088" stopIfTrue="1">
      <formula>ISERROR(AB145)</formula>
    </cfRule>
    <cfRule type="expression" dxfId="952" priority="1089" stopIfTrue="1">
      <formula>AND($B12&gt;0,AB145=0)</formula>
    </cfRule>
    <cfRule type="expression" dxfId="951" priority="1090" stopIfTrue="1">
      <formula>OR(AB145=0,$B12&lt;=0)</formula>
    </cfRule>
  </conditionalFormatting>
  <conditionalFormatting sqref="AB144">
    <cfRule type="expression" dxfId="950" priority="1133" stopIfTrue="1">
      <formula>ISERROR(AB144)</formula>
    </cfRule>
    <cfRule type="expression" dxfId="949" priority="1134" stopIfTrue="1">
      <formula>AND($B12&gt;0,AB144=0)</formula>
    </cfRule>
    <cfRule type="expression" dxfId="948" priority="1135" stopIfTrue="1">
      <formula>OR(AB144=0,$B12&lt;=0)</formula>
    </cfRule>
  </conditionalFormatting>
  <conditionalFormatting sqref="AB143">
    <cfRule type="expression" dxfId="947" priority="1181" stopIfTrue="1">
      <formula>ISERROR(AB143)</formula>
    </cfRule>
    <cfRule type="expression" dxfId="946" priority="1182" stopIfTrue="1">
      <formula>AND($B12&gt;0,AB143=0)</formula>
    </cfRule>
    <cfRule type="expression" dxfId="945" priority="1183" stopIfTrue="1">
      <formula>OR(AB143=0,$B12&lt;=0)</formula>
    </cfRule>
  </conditionalFormatting>
  <conditionalFormatting sqref="AB142">
    <cfRule type="expression" dxfId="944" priority="1232" stopIfTrue="1">
      <formula>ISERROR(AB142)</formula>
    </cfRule>
    <cfRule type="expression" dxfId="943" priority="1233" stopIfTrue="1">
      <formula>AND($B12&gt;0,AB142=0)</formula>
    </cfRule>
    <cfRule type="expression" dxfId="942" priority="1234" stopIfTrue="1">
      <formula>OR(AB142=0,$B12&lt;=0)</formula>
    </cfRule>
  </conditionalFormatting>
  <conditionalFormatting sqref="AB141:AB168">
    <cfRule type="expression" dxfId="941" priority="1286" stopIfTrue="1">
      <formula>ISERROR(AB141)</formula>
    </cfRule>
    <cfRule type="expression" dxfId="940" priority="1287" stopIfTrue="1">
      <formula>AND($B12&gt;0,AB141=0)</formula>
    </cfRule>
    <cfRule type="expression" dxfId="939" priority="1288" stopIfTrue="1">
      <formula>OR(AB141=0,$B12&lt;=0)</formula>
    </cfRule>
  </conditionalFormatting>
  <conditionalFormatting sqref="AB140">
    <cfRule type="expression" dxfId="938" priority="1343" stopIfTrue="1">
      <formula>ISERROR(AB140)</formula>
    </cfRule>
    <cfRule type="expression" dxfId="937" priority="1344" stopIfTrue="1">
      <formula>AND($B12&gt;0,AB140=0)</formula>
    </cfRule>
    <cfRule type="expression" dxfId="936" priority="1345" stopIfTrue="1">
      <formula>OR(AB140=0,$B12&lt;=0)</formula>
    </cfRule>
  </conditionalFormatting>
  <conditionalFormatting sqref="AB139">
    <cfRule type="expression" dxfId="935" priority="1403" stopIfTrue="1">
      <formula>ISERROR(AB139)</formula>
    </cfRule>
    <cfRule type="expression" dxfId="934" priority="1404" stopIfTrue="1">
      <formula>AND($B12&gt;0,AB139=0)</formula>
    </cfRule>
    <cfRule type="expression" dxfId="933" priority="1405" stopIfTrue="1">
      <formula>OR(AB139=0,$B12&lt;=0)</formula>
    </cfRule>
  </conditionalFormatting>
  <conditionalFormatting sqref="AB138">
    <cfRule type="expression" dxfId="932" priority="1466" stopIfTrue="1">
      <formula>ISERROR(AB138)</formula>
    </cfRule>
    <cfRule type="expression" dxfId="931" priority="1467" stopIfTrue="1">
      <formula>AND($B12&gt;0,AB138=0)</formula>
    </cfRule>
    <cfRule type="expression" dxfId="930" priority="1468" stopIfTrue="1">
      <formula>OR(AB138=0,$B12&lt;=0)</formula>
    </cfRule>
  </conditionalFormatting>
  <conditionalFormatting sqref="AB137">
    <cfRule type="expression" dxfId="929" priority="1532" stopIfTrue="1">
      <formula>ISERROR(AB137)</formula>
    </cfRule>
    <cfRule type="expression" dxfId="928" priority="1533" stopIfTrue="1">
      <formula>AND($B12&gt;0,AB137=0)</formula>
    </cfRule>
    <cfRule type="expression" dxfId="927" priority="1534" stopIfTrue="1">
      <formula>OR(AB137=0,$B12&lt;=0)</formula>
    </cfRule>
  </conditionalFormatting>
  <conditionalFormatting sqref="AB136">
    <cfRule type="expression" dxfId="926" priority="1601" stopIfTrue="1">
      <formula>ISERROR(AB136)</formula>
    </cfRule>
    <cfRule type="expression" dxfId="925" priority="1602" stopIfTrue="1">
      <formula>AND($B12&gt;0,AB136=0)</formula>
    </cfRule>
    <cfRule type="expression" dxfId="924" priority="1603" stopIfTrue="1">
      <formula>OR(AB136=0,$B12&lt;=0)</formula>
    </cfRule>
  </conditionalFormatting>
  <conditionalFormatting sqref="AB135">
    <cfRule type="expression" dxfId="923" priority="1673" stopIfTrue="1">
      <formula>ISERROR(AB135)</formula>
    </cfRule>
    <cfRule type="expression" dxfId="922" priority="1674" stopIfTrue="1">
      <formula>AND($B12&gt;0,AB135=0)</formula>
    </cfRule>
    <cfRule type="expression" dxfId="921" priority="1675" stopIfTrue="1">
      <formula>OR(AB135=0,$B12&lt;=0)</formula>
    </cfRule>
  </conditionalFormatting>
  <conditionalFormatting sqref="AB134">
    <cfRule type="expression" dxfId="920" priority="1748" stopIfTrue="1">
      <formula>ISERROR(AB134)</formula>
    </cfRule>
    <cfRule type="expression" dxfId="919" priority="1749" stopIfTrue="1">
      <formula>AND($B12&gt;0,AB134=0)</formula>
    </cfRule>
    <cfRule type="expression" dxfId="918" priority="1750" stopIfTrue="1">
      <formula>OR(AB134=0,$B12&lt;=0)</formula>
    </cfRule>
  </conditionalFormatting>
  <conditionalFormatting sqref="AB133">
    <cfRule type="expression" dxfId="917" priority="1826" stopIfTrue="1">
      <formula>ISERROR(AB133)</formula>
    </cfRule>
    <cfRule type="expression" dxfId="916" priority="1827" stopIfTrue="1">
      <formula>AND($B12&gt;0,AB133=0)</formula>
    </cfRule>
    <cfRule type="expression" dxfId="915" priority="1828" stopIfTrue="1">
      <formula>OR(AB133=0,$B12&lt;=0)</formula>
    </cfRule>
  </conditionalFormatting>
  <conditionalFormatting sqref="AB132">
    <cfRule type="expression" dxfId="914" priority="1907" stopIfTrue="1">
      <formula>ISERROR(AB132)</formula>
    </cfRule>
    <cfRule type="expression" dxfId="913" priority="1908" stopIfTrue="1">
      <formula>AND($B12&gt;0,AB132=0)</formula>
    </cfRule>
    <cfRule type="expression" dxfId="912" priority="1909" stopIfTrue="1">
      <formula>OR(AB132=0,$B12&lt;=0)</formula>
    </cfRule>
  </conditionalFormatting>
  <conditionalFormatting sqref="AB131">
    <cfRule type="expression" dxfId="911" priority="1991" stopIfTrue="1">
      <formula>ISERROR(AB131)</formula>
    </cfRule>
    <cfRule type="expression" dxfId="910" priority="1992" stopIfTrue="1">
      <formula>AND($B12&gt;0,AB131=0)</formula>
    </cfRule>
    <cfRule type="expression" dxfId="909" priority="1993" stopIfTrue="1">
      <formula>OR(AB131=0,$B12&lt;=0)</formula>
    </cfRule>
  </conditionalFormatting>
  <conditionalFormatting sqref="AB130">
    <cfRule type="expression" dxfId="908" priority="2078" stopIfTrue="1">
      <formula>ISERROR(AB130)</formula>
    </cfRule>
    <cfRule type="expression" dxfId="907" priority="2079" stopIfTrue="1">
      <formula>AND($B12&gt;0,AB130=0)</formula>
    </cfRule>
    <cfRule type="expression" dxfId="906" priority="2080" stopIfTrue="1">
      <formula>OR(AB130=0,$B12&lt;=0)</formula>
    </cfRule>
  </conditionalFormatting>
  <conditionalFormatting sqref="AB129">
    <cfRule type="expression" dxfId="905" priority="2168" stopIfTrue="1">
      <formula>ISERROR(AB129)</formula>
    </cfRule>
    <cfRule type="expression" dxfId="904" priority="2169" stopIfTrue="1">
      <formula>AND($B12&gt;0,AB129=0)</formula>
    </cfRule>
    <cfRule type="expression" dxfId="903" priority="2170" stopIfTrue="1">
      <formula>OR(AB129=0,$B12&lt;=0)</formula>
    </cfRule>
  </conditionalFormatting>
  <conditionalFormatting sqref="AB128:AB189 AB203:AB234 AB299:AB384">
    <cfRule type="expression" dxfId="902" priority="2261" stopIfTrue="1">
      <formula>ISERROR(AB128)</formula>
    </cfRule>
    <cfRule type="expression" dxfId="901" priority="2262" stopIfTrue="1">
      <formula>AND($B12&gt;0,AB128=0)</formula>
    </cfRule>
    <cfRule type="expression" dxfId="900" priority="2263" stopIfTrue="1">
      <formula>OR(AB128=0,$B12&lt;=0)</formula>
    </cfRule>
  </conditionalFormatting>
  <conditionalFormatting sqref="AB127">
    <cfRule type="expression" dxfId="899" priority="2357" stopIfTrue="1">
      <formula>ISERROR(AB127)</formula>
    </cfRule>
    <cfRule type="expression" dxfId="898" priority="2358" stopIfTrue="1">
      <formula>AND($B12&gt;0,AB127=0)</formula>
    </cfRule>
    <cfRule type="expression" dxfId="897" priority="2359" stopIfTrue="1">
      <formula>OR(AB127=0,$B12&lt;=0)</formula>
    </cfRule>
  </conditionalFormatting>
  <conditionalFormatting sqref="AB126">
    <cfRule type="expression" dxfId="896" priority="2456" stopIfTrue="1">
      <formula>ISERROR(AB126)</formula>
    </cfRule>
    <cfRule type="expression" dxfId="895" priority="2457" stopIfTrue="1">
      <formula>AND($B12&gt;0,AB126=0)</formula>
    </cfRule>
    <cfRule type="expression" dxfId="894" priority="2458" stopIfTrue="1">
      <formula>OR(AB126=0,$B12&lt;=0)</formula>
    </cfRule>
  </conditionalFormatting>
  <conditionalFormatting sqref="AB125">
    <cfRule type="expression" dxfId="893" priority="2558" stopIfTrue="1">
      <formula>ISERROR(AB125)</formula>
    </cfRule>
    <cfRule type="expression" dxfId="892" priority="2559" stopIfTrue="1">
      <formula>AND($B12&gt;0,AB125=0)</formula>
    </cfRule>
    <cfRule type="expression" dxfId="891" priority="2560" stopIfTrue="1">
      <formula>OR(AB125=0,$B12&lt;=0)</formula>
    </cfRule>
  </conditionalFormatting>
  <conditionalFormatting sqref="AB124">
    <cfRule type="expression" dxfId="890" priority="2663" stopIfTrue="1">
      <formula>ISERROR(AB124)</formula>
    </cfRule>
    <cfRule type="expression" dxfId="889" priority="2664" stopIfTrue="1">
      <formula>AND($B12&gt;0,AB124=0)</formula>
    </cfRule>
    <cfRule type="expression" dxfId="888" priority="2665" stopIfTrue="1">
      <formula>OR(AB124=0,$B12&lt;=0)</formula>
    </cfRule>
  </conditionalFormatting>
  <conditionalFormatting sqref="AB123">
    <cfRule type="expression" dxfId="887" priority="2771" stopIfTrue="1">
      <formula>ISERROR(AB123)</formula>
    </cfRule>
    <cfRule type="expression" dxfId="886" priority="2772" stopIfTrue="1">
      <formula>AND($B12&gt;0,AB123=0)</formula>
    </cfRule>
    <cfRule type="expression" dxfId="885" priority="2773" stopIfTrue="1">
      <formula>OR(AB123=0,$B12&lt;=0)</formula>
    </cfRule>
  </conditionalFormatting>
  <conditionalFormatting sqref="AB122">
    <cfRule type="expression" dxfId="884" priority="2882" stopIfTrue="1">
      <formula>ISERROR(AB122)</formula>
    </cfRule>
    <cfRule type="expression" dxfId="883" priority="2883" stopIfTrue="1">
      <formula>AND($B12&gt;0,AB122=0)</formula>
    </cfRule>
    <cfRule type="expression" dxfId="882" priority="2884" stopIfTrue="1">
      <formula>OR(AB122=0,$B12&lt;=0)</formula>
    </cfRule>
  </conditionalFormatting>
  <conditionalFormatting sqref="AB121">
    <cfRule type="expression" dxfId="881" priority="2996" stopIfTrue="1">
      <formula>ISERROR(AB121)</formula>
    </cfRule>
    <cfRule type="expression" dxfId="880" priority="2997" stopIfTrue="1">
      <formula>AND($B12&gt;0,AB121=0)</formula>
    </cfRule>
    <cfRule type="expression" dxfId="879" priority="2998" stopIfTrue="1">
      <formula>OR(AB121=0,$B12&lt;=0)</formula>
    </cfRule>
  </conditionalFormatting>
  <conditionalFormatting sqref="AB120">
    <cfRule type="expression" dxfId="878" priority="3113" stopIfTrue="1">
      <formula>ISERROR(AB120)</formula>
    </cfRule>
    <cfRule type="expression" dxfId="877" priority="3114" stopIfTrue="1">
      <formula>AND($B12&gt;0,AB120=0)</formula>
    </cfRule>
    <cfRule type="expression" dxfId="876" priority="3115" stopIfTrue="1">
      <formula>OR(AB120=0,$B12&lt;=0)</formula>
    </cfRule>
  </conditionalFormatting>
  <conditionalFormatting sqref="AB119">
    <cfRule type="expression" dxfId="875" priority="3233" stopIfTrue="1">
      <formula>ISERROR(AB119)</formula>
    </cfRule>
    <cfRule type="expression" dxfId="874" priority="3234" stopIfTrue="1">
      <formula>AND($B12&gt;0,AB119=0)</formula>
    </cfRule>
    <cfRule type="expression" dxfId="873" priority="3235" stopIfTrue="1">
      <formula>OR(AB119=0,$B12&lt;=0)</formula>
    </cfRule>
  </conditionalFormatting>
  <conditionalFormatting sqref="AB118">
    <cfRule type="expression" dxfId="872" priority="3356" stopIfTrue="1">
      <formula>ISERROR(AB118)</formula>
    </cfRule>
    <cfRule type="expression" dxfId="871" priority="3357" stopIfTrue="1">
      <formula>AND($B12&gt;0,AB118=0)</formula>
    </cfRule>
    <cfRule type="expression" dxfId="870" priority="3358" stopIfTrue="1">
      <formula>OR(AB118=0,$B12&lt;=0)</formula>
    </cfRule>
  </conditionalFormatting>
  <conditionalFormatting sqref="AB117">
    <cfRule type="expression" dxfId="869" priority="3482" stopIfTrue="1">
      <formula>ISERROR(AB117)</formula>
    </cfRule>
    <cfRule type="expression" dxfId="868" priority="3483" stopIfTrue="1">
      <formula>AND($B12&gt;0,AB117=0)</formula>
    </cfRule>
    <cfRule type="expression" dxfId="867" priority="3484" stopIfTrue="1">
      <formula>OR(AB117=0,$B12&lt;=0)</formula>
    </cfRule>
  </conditionalFormatting>
  <conditionalFormatting sqref="AB116">
    <cfRule type="expression" dxfId="866" priority="3611" stopIfTrue="1">
      <formula>ISERROR(AB116)</formula>
    </cfRule>
    <cfRule type="expression" dxfId="865" priority="3612" stopIfTrue="1">
      <formula>AND($B12&gt;0,AB116=0)</formula>
    </cfRule>
    <cfRule type="expression" dxfId="864" priority="3613" stopIfTrue="1">
      <formula>OR(AB116=0,$B12&lt;=0)</formula>
    </cfRule>
  </conditionalFormatting>
  <conditionalFormatting sqref="AB115">
    <cfRule type="expression" dxfId="863" priority="3743" stopIfTrue="1">
      <formula>ISERROR(AB115)</formula>
    </cfRule>
    <cfRule type="expression" dxfId="862" priority="3744" stopIfTrue="1">
      <formula>AND($B12&gt;0,AB115=0)</formula>
    </cfRule>
    <cfRule type="expression" dxfId="861" priority="3745" stopIfTrue="1">
      <formula>OR(AB115=0,$B12&lt;=0)</formula>
    </cfRule>
  </conditionalFormatting>
  <conditionalFormatting sqref="AB114">
    <cfRule type="expression" dxfId="860" priority="3878" stopIfTrue="1">
      <formula>ISERROR(AB114)</formula>
    </cfRule>
    <cfRule type="expression" dxfId="859" priority="3879" stopIfTrue="1">
      <formula>AND($B12&gt;0,AB114=0)</formula>
    </cfRule>
    <cfRule type="expression" dxfId="858" priority="3880" stopIfTrue="1">
      <formula>OR(AB114=0,$B12&lt;=0)</formula>
    </cfRule>
  </conditionalFormatting>
  <conditionalFormatting sqref="AB113">
    <cfRule type="expression" dxfId="857" priority="4016" stopIfTrue="1">
      <formula>ISERROR(AB113)</formula>
    </cfRule>
    <cfRule type="expression" dxfId="856" priority="4017" stopIfTrue="1">
      <formula>AND($B12&gt;0,AB113=0)</formula>
    </cfRule>
    <cfRule type="expression" dxfId="855" priority="4018" stopIfTrue="1">
      <formula>OR(AB113=0,$B12&lt;=0)</formula>
    </cfRule>
  </conditionalFormatting>
  <conditionalFormatting sqref="AB112">
    <cfRule type="expression" dxfId="854" priority="4157" stopIfTrue="1">
      <formula>ISERROR(AB112)</formula>
    </cfRule>
    <cfRule type="expression" dxfId="853" priority="4158" stopIfTrue="1">
      <formula>AND($B12&gt;0,AB112=0)</formula>
    </cfRule>
    <cfRule type="expression" dxfId="852" priority="4159" stopIfTrue="1">
      <formula>OR(AB112=0,$B12&lt;=0)</formula>
    </cfRule>
  </conditionalFormatting>
  <conditionalFormatting sqref="AB111">
    <cfRule type="expression" dxfId="851" priority="4301" stopIfTrue="1">
      <formula>ISERROR(AB111)</formula>
    </cfRule>
    <cfRule type="expression" dxfId="850" priority="4302" stopIfTrue="1">
      <formula>AND($B12&gt;0,AB111=0)</formula>
    </cfRule>
    <cfRule type="expression" dxfId="849" priority="4303" stopIfTrue="1">
      <formula>OR(AB111=0,$B12&lt;=0)</formula>
    </cfRule>
  </conditionalFormatting>
  <conditionalFormatting sqref="AB110">
    <cfRule type="expression" dxfId="848" priority="4448" stopIfTrue="1">
      <formula>ISERROR(AB110)</formula>
    </cfRule>
    <cfRule type="expression" dxfId="847" priority="4449" stopIfTrue="1">
      <formula>AND($B12&gt;0,AB110=0)</formula>
    </cfRule>
    <cfRule type="expression" dxfId="846" priority="4450" stopIfTrue="1">
      <formula>OR(AB110=0,$B12&lt;=0)</formula>
    </cfRule>
  </conditionalFormatting>
  <conditionalFormatting sqref="AB109">
    <cfRule type="expression" dxfId="845" priority="4598" stopIfTrue="1">
      <formula>ISERROR(AB109)</formula>
    </cfRule>
    <cfRule type="expression" dxfId="844" priority="4599" stopIfTrue="1">
      <formula>AND($B12&gt;0,AB109=0)</formula>
    </cfRule>
    <cfRule type="expression" dxfId="843" priority="4600" stopIfTrue="1">
      <formula>OR(AB109=0,$B12&lt;=0)</formula>
    </cfRule>
  </conditionalFormatting>
  <conditionalFormatting sqref="AB108">
    <cfRule type="expression" dxfId="842" priority="4751" stopIfTrue="1">
      <formula>ISERROR(AB108)</formula>
    </cfRule>
    <cfRule type="expression" dxfId="841" priority="4752" stopIfTrue="1">
      <formula>AND($B12&gt;0,AB108=0)</formula>
    </cfRule>
    <cfRule type="expression" dxfId="840" priority="4753" stopIfTrue="1">
      <formula>OR(AB108=0,$B12&lt;=0)</formula>
    </cfRule>
  </conditionalFormatting>
  <conditionalFormatting sqref="AB107">
    <cfRule type="expression" dxfId="839" priority="4907" stopIfTrue="1">
      <formula>ISERROR(AB107)</formula>
    </cfRule>
    <cfRule type="expression" dxfId="838" priority="4908" stopIfTrue="1">
      <formula>AND($B12&gt;0,AB107=0)</formula>
    </cfRule>
    <cfRule type="expression" dxfId="837" priority="4909" stopIfTrue="1">
      <formula>OR(AB107=0,$B12&lt;=0)</formula>
    </cfRule>
  </conditionalFormatting>
  <conditionalFormatting sqref="AB106">
    <cfRule type="expression" dxfId="836" priority="5066" stopIfTrue="1">
      <formula>ISERROR(AB106)</formula>
    </cfRule>
    <cfRule type="expression" dxfId="835" priority="5067" stopIfTrue="1">
      <formula>AND($B12&gt;0,AB106=0)</formula>
    </cfRule>
    <cfRule type="expression" dxfId="834" priority="5068" stopIfTrue="1">
      <formula>OR(AB106=0,$B12&lt;=0)</formula>
    </cfRule>
  </conditionalFormatting>
  <conditionalFormatting sqref="AB105">
    <cfRule type="expression" dxfId="833" priority="5228" stopIfTrue="1">
      <formula>ISERROR(AB105)</formula>
    </cfRule>
    <cfRule type="expression" dxfId="832" priority="5229" stopIfTrue="1">
      <formula>AND($B12&gt;0,AB105=0)</formula>
    </cfRule>
    <cfRule type="expression" dxfId="831" priority="5230" stopIfTrue="1">
      <formula>OR(AB105=0,$B12&lt;=0)</formula>
    </cfRule>
  </conditionalFormatting>
  <conditionalFormatting sqref="AB104">
    <cfRule type="expression" dxfId="830" priority="5393" stopIfTrue="1">
      <formula>ISERROR(AB104)</formula>
    </cfRule>
    <cfRule type="expression" dxfId="829" priority="5394" stopIfTrue="1">
      <formula>AND($B12&gt;0,AB104=0)</formula>
    </cfRule>
    <cfRule type="expression" dxfId="828" priority="5395" stopIfTrue="1">
      <formula>OR(AB104=0,$B12&lt;=0)</formula>
    </cfRule>
  </conditionalFormatting>
  <conditionalFormatting sqref="AB103">
    <cfRule type="expression" dxfId="827" priority="5561" stopIfTrue="1">
      <formula>ISERROR(AB103)</formula>
    </cfRule>
    <cfRule type="expression" dxfId="826" priority="5562" stopIfTrue="1">
      <formula>AND($B12&gt;0,AB103=0)</formula>
    </cfRule>
    <cfRule type="expression" dxfId="825" priority="5563" stopIfTrue="1">
      <formula>OR(AB103=0,$B12&lt;=0)</formula>
    </cfRule>
  </conditionalFormatting>
  <conditionalFormatting sqref="AB102">
    <cfRule type="expression" dxfId="824" priority="5732" stopIfTrue="1">
      <formula>ISERROR(AB102)</formula>
    </cfRule>
    <cfRule type="expression" dxfId="823" priority="5733" stopIfTrue="1">
      <formula>AND($B12&gt;0,AB102=0)</formula>
    </cfRule>
    <cfRule type="expression" dxfId="822" priority="5734" stopIfTrue="1">
      <formula>OR(AB102=0,$B12&lt;=0)</formula>
    </cfRule>
  </conditionalFormatting>
  <conditionalFormatting sqref="AB101">
    <cfRule type="expression" dxfId="821" priority="5906" stopIfTrue="1">
      <formula>ISERROR(AB101)</formula>
    </cfRule>
    <cfRule type="expression" dxfId="820" priority="5907" stopIfTrue="1">
      <formula>AND($B12&gt;0,AB101=0)</formula>
    </cfRule>
    <cfRule type="expression" dxfId="819" priority="5908" stopIfTrue="1">
      <formula>OR(AB101=0,$B12&lt;=0)</formula>
    </cfRule>
  </conditionalFormatting>
  <conditionalFormatting sqref="AB100">
    <cfRule type="expression" dxfId="818" priority="6083" stopIfTrue="1">
      <formula>ISERROR(AB100)</formula>
    </cfRule>
    <cfRule type="expression" dxfId="817" priority="6084" stopIfTrue="1">
      <formula>AND($B12&gt;0,AB100=0)</formula>
    </cfRule>
    <cfRule type="expression" dxfId="816" priority="6085" stopIfTrue="1">
      <formula>OR(AB100=0,$B12&lt;=0)</formula>
    </cfRule>
  </conditionalFormatting>
  <conditionalFormatting sqref="AB99">
    <cfRule type="expression" dxfId="815" priority="6263" stopIfTrue="1">
      <formula>ISERROR(AB99)</formula>
    </cfRule>
    <cfRule type="expression" dxfId="814" priority="6264" stopIfTrue="1">
      <formula>AND($B12&gt;0,AB99=0)</formula>
    </cfRule>
    <cfRule type="expression" dxfId="813" priority="6265" stopIfTrue="1">
      <formula>OR(AB99=0,$B12&lt;=0)</formula>
    </cfRule>
  </conditionalFormatting>
  <conditionalFormatting sqref="AB98">
    <cfRule type="expression" dxfId="812" priority="22421" stopIfTrue="1">
      <formula>ISERROR(AB98)</formula>
    </cfRule>
    <cfRule type="expression" dxfId="811" priority="22422" stopIfTrue="1">
      <formula>AND($B12&gt;0,AB98=0)</formula>
    </cfRule>
    <cfRule type="expression" dxfId="810" priority="22423" stopIfTrue="1">
      <formula>OR(AB98=0,$B12&lt;=0)</formula>
    </cfRule>
  </conditionalFormatting>
  <conditionalFormatting sqref="AB92 AB230">
    <cfRule type="expression" dxfId="809" priority="22427" stopIfTrue="1">
      <formula>ISERROR(AB92)</formula>
    </cfRule>
    <cfRule type="expression" dxfId="808" priority="22428" stopIfTrue="1">
      <formula>AND($B12&gt;0,AB92=0)</formula>
    </cfRule>
    <cfRule type="expression" dxfId="807" priority="22429" stopIfTrue="1">
      <formula>OR(AB92=0,$B12&lt;=0)</formula>
    </cfRule>
  </conditionalFormatting>
  <conditionalFormatting sqref="AB91 AB229">
    <cfRule type="expression" dxfId="806" priority="22433" stopIfTrue="1">
      <formula>ISERROR(AB91)</formula>
    </cfRule>
    <cfRule type="expression" dxfId="805" priority="22434" stopIfTrue="1">
      <formula>AND($B12&gt;0,AB91=0)</formula>
    </cfRule>
    <cfRule type="expression" dxfId="804" priority="22435" stopIfTrue="1">
      <formula>OR(AB91=0,$B12&lt;=0)</formula>
    </cfRule>
  </conditionalFormatting>
  <conditionalFormatting sqref="AB90 AB228">
    <cfRule type="expression" dxfId="803" priority="22439" stopIfTrue="1">
      <formula>ISERROR(AB90)</formula>
    </cfRule>
    <cfRule type="expression" dxfId="802" priority="22440" stopIfTrue="1">
      <formula>AND($B12&gt;0,AB90=0)</formula>
    </cfRule>
    <cfRule type="expression" dxfId="801" priority="22441" stopIfTrue="1">
      <formula>OR(AB90=0,$B12&lt;=0)</formula>
    </cfRule>
  </conditionalFormatting>
  <conditionalFormatting sqref="AB89 AB227">
    <cfRule type="expression" dxfId="800" priority="22445" stopIfTrue="1">
      <formula>ISERROR(AB89)</formula>
    </cfRule>
    <cfRule type="expression" dxfId="799" priority="22446" stopIfTrue="1">
      <formula>AND($B12&gt;0,AB89=0)</formula>
    </cfRule>
    <cfRule type="expression" dxfId="798" priority="22447" stopIfTrue="1">
      <formula>OR(AB89=0,$B12&lt;=0)</formula>
    </cfRule>
  </conditionalFormatting>
  <conditionalFormatting sqref="AB88 AB226">
    <cfRule type="expression" dxfId="797" priority="22451" stopIfTrue="1">
      <formula>ISERROR(AB88)</formula>
    </cfRule>
    <cfRule type="expression" dxfId="796" priority="22452" stopIfTrue="1">
      <formula>AND($B12&gt;0,AB88=0)</formula>
    </cfRule>
    <cfRule type="expression" dxfId="795" priority="22453" stopIfTrue="1">
      <formula>OR(AB88=0,$B12&lt;=0)</formula>
    </cfRule>
  </conditionalFormatting>
  <conditionalFormatting sqref="AB87:AB189 AB203:AB234 AB299:AB384">
    <cfRule type="expression" dxfId="794" priority="22457" stopIfTrue="1">
      <formula>ISERROR(AB87)</formula>
    </cfRule>
    <cfRule type="expression" dxfId="793" priority="22458" stopIfTrue="1">
      <formula>AND($B12&gt;0,AB87=0)</formula>
    </cfRule>
    <cfRule type="expression" dxfId="792" priority="22459" stopIfTrue="1">
      <formula>OR(AB87=0,$B12&lt;=0)</formula>
    </cfRule>
  </conditionalFormatting>
  <conditionalFormatting sqref="AB86 AB224">
    <cfRule type="expression" dxfId="791" priority="22463" stopIfTrue="1">
      <formula>ISERROR(AB86)</formula>
    </cfRule>
    <cfRule type="expression" dxfId="790" priority="22464" stopIfTrue="1">
      <formula>AND($B12&gt;0,AB86=0)</formula>
    </cfRule>
    <cfRule type="expression" dxfId="789" priority="22465" stopIfTrue="1">
      <formula>OR(AB86=0,$B12&lt;=0)</formula>
    </cfRule>
  </conditionalFormatting>
  <conditionalFormatting sqref="AB85 AB223">
    <cfRule type="expression" dxfId="788" priority="22469" stopIfTrue="1">
      <formula>ISERROR(AB85)</formula>
    </cfRule>
    <cfRule type="expression" dxfId="787" priority="22470" stopIfTrue="1">
      <formula>AND($B12&gt;0,AB85=0)</formula>
    </cfRule>
    <cfRule type="expression" dxfId="786" priority="22471" stopIfTrue="1">
      <formula>OR(AB85=0,$B12&lt;=0)</formula>
    </cfRule>
  </conditionalFormatting>
  <conditionalFormatting sqref="AB84 AB222">
    <cfRule type="expression" dxfId="785" priority="22475" stopIfTrue="1">
      <formula>ISERROR(AB84)</formula>
    </cfRule>
    <cfRule type="expression" dxfId="784" priority="22476" stopIfTrue="1">
      <formula>AND($B12&gt;0,AB84=0)</formula>
    </cfRule>
    <cfRule type="expression" dxfId="783" priority="22477" stopIfTrue="1">
      <formula>OR(AB84=0,$B12&lt;=0)</formula>
    </cfRule>
  </conditionalFormatting>
  <conditionalFormatting sqref="AB83 AB221">
    <cfRule type="expression" dxfId="782" priority="22481" stopIfTrue="1">
      <formula>ISERROR(AB83)</formula>
    </cfRule>
    <cfRule type="expression" dxfId="781" priority="22482" stopIfTrue="1">
      <formula>AND($B12&gt;0,AB83=0)</formula>
    </cfRule>
    <cfRule type="expression" dxfId="780" priority="22483" stopIfTrue="1">
      <formula>OR(AB83=0,$B12&lt;=0)</formula>
    </cfRule>
  </conditionalFormatting>
  <conditionalFormatting sqref="AB82 AB220">
    <cfRule type="expression" dxfId="779" priority="22487" stopIfTrue="1">
      <formula>ISERROR(AB82)</formula>
    </cfRule>
    <cfRule type="expression" dxfId="778" priority="22488" stopIfTrue="1">
      <formula>AND($B12&gt;0,AB82=0)</formula>
    </cfRule>
    <cfRule type="expression" dxfId="777" priority="22489" stopIfTrue="1">
      <formula>OR(AB82=0,$B12&lt;=0)</formula>
    </cfRule>
  </conditionalFormatting>
  <conditionalFormatting sqref="AB81 AB219">
    <cfRule type="expression" dxfId="776" priority="22493" stopIfTrue="1">
      <formula>ISERROR(AB81)</formula>
    </cfRule>
    <cfRule type="expression" dxfId="775" priority="22494" stopIfTrue="1">
      <formula>AND($B12&gt;0,AB81=0)</formula>
    </cfRule>
    <cfRule type="expression" dxfId="774" priority="22495" stopIfTrue="1">
      <formula>OR(AB81=0,$B12&lt;=0)</formula>
    </cfRule>
  </conditionalFormatting>
  <conditionalFormatting sqref="AB80 AB218">
    <cfRule type="expression" dxfId="773" priority="22499" stopIfTrue="1">
      <formula>ISERROR(AB80)</formula>
    </cfRule>
    <cfRule type="expression" dxfId="772" priority="22500" stopIfTrue="1">
      <formula>AND($B12&gt;0,AB80=0)</formula>
    </cfRule>
    <cfRule type="expression" dxfId="771" priority="22501" stopIfTrue="1">
      <formula>OR(AB80=0,$B12&lt;=0)</formula>
    </cfRule>
  </conditionalFormatting>
  <conditionalFormatting sqref="AB79 AB217">
    <cfRule type="expression" dxfId="770" priority="22505" stopIfTrue="1">
      <formula>ISERROR(AB79)</formula>
    </cfRule>
    <cfRule type="expression" dxfId="769" priority="22506" stopIfTrue="1">
      <formula>AND($B12&gt;0,AB79=0)</formula>
    </cfRule>
    <cfRule type="expression" dxfId="768" priority="22507" stopIfTrue="1">
      <formula>OR(AB79=0,$B12&lt;=0)</formula>
    </cfRule>
  </conditionalFormatting>
  <conditionalFormatting sqref="AB78 AB216">
    <cfRule type="expression" dxfId="767" priority="22511" stopIfTrue="1">
      <formula>ISERROR(AB78)</formula>
    </cfRule>
    <cfRule type="expression" dxfId="766" priority="22512" stopIfTrue="1">
      <formula>AND($B12&gt;0,AB78=0)</formula>
    </cfRule>
    <cfRule type="expression" dxfId="765" priority="22513" stopIfTrue="1">
      <formula>OR(AB78=0,$B12&lt;=0)</formula>
    </cfRule>
  </conditionalFormatting>
  <conditionalFormatting sqref="AB77 AB215 AB210 AB212 AB203:AB208">
    <cfRule type="expression" dxfId="764" priority="22517" stopIfTrue="1">
      <formula>ISERROR(AB77)</formula>
    </cfRule>
    <cfRule type="expression" dxfId="763" priority="22518" stopIfTrue="1">
      <formula>AND($B12&gt;0,AB77=0)</formula>
    </cfRule>
    <cfRule type="expression" dxfId="762" priority="22519" stopIfTrue="1">
      <formula>OR(AB77=0,$B12&lt;=0)</formula>
    </cfRule>
  </conditionalFormatting>
  <conditionalFormatting sqref="AB76 AB209 AB211 AB213:AB214 AB203:AB207">
    <cfRule type="expression" dxfId="761" priority="22523" stopIfTrue="1">
      <formula>ISERROR(AB76)</formula>
    </cfRule>
    <cfRule type="expression" dxfId="760" priority="22524" stopIfTrue="1">
      <formula>AND($B12&gt;0,AB76=0)</formula>
    </cfRule>
    <cfRule type="expression" dxfId="759" priority="22525" stopIfTrue="1">
      <formula>OR(AB76=0,$B12&lt;=0)</formula>
    </cfRule>
  </conditionalFormatting>
  <conditionalFormatting sqref="AB75">
    <cfRule type="expression" dxfId="758" priority="22529" stopIfTrue="1">
      <formula>ISERROR(AB75)</formula>
    </cfRule>
    <cfRule type="expression" dxfId="757" priority="22530" stopIfTrue="1">
      <formula>AND($B12&gt;0,AB75=0)</formula>
    </cfRule>
    <cfRule type="expression" dxfId="756" priority="22531" stopIfTrue="1">
      <formula>OR(AB75=0,$B12&lt;=0)</formula>
    </cfRule>
  </conditionalFormatting>
  <conditionalFormatting sqref="AB74">
    <cfRule type="expression" dxfId="755" priority="22535" stopIfTrue="1">
      <formula>ISERROR(AB74)</formula>
    </cfRule>
    <cfRule type="expression" dxfId="754" priority="22536" stopIfTrue="1">
      <formula>AND($B12&gt;0,AB74=0)</formula>
    </cfRule>
    <cfRule type="expression" dxfId="753" priority="22537" stopIfTrue="1">
      <formula>OR(AB74=0,$B12&lt;=0)</formula>
    </cfRule>
  </conditionalFormatting>
  <conditionalFormatting sqref="AB73">
    <cfRule type="expression" dxfId="752" priority="22541" stopIfTrue="1">
      <formula>ISERROR(AB73)</formula>
    </cfRule>
    <cfRule type="expression" dxfId="751" priority="22542" stopIfTrue="1">
      <formula>AND($B12&gt;0,AB73=0)</formula>
    </cfRule>
    <cfRule type="expression" dxfId="750" priority="22543" stopIfTrue="1">
      <formula>OR(AB73=0,$B12&lt;=0)</formula>
    </cfRule>
  </conditionalFormatting>
  <conditionalFormatting sqref="AB72">
    <cfRule type="expression" dxfId="749" priority="22547" stopIfTrue="1">
      <formula>ISERROR(AB72)</formula>
    </cfRule>
    <cfRule type="expression" dxfId="748" priority="22548" stopIfTrue="1">
      <formula>AND($B12&gt;0,AB72=0)</formula>
    </cfRule>
    <cfRule type="expression" dxfId="747" priority="22549" stopIfTrue="1">
      <formula>OR(AB72=0,$B12&lt;=0)</formula>
    </cfRule>
  </conditionalFormatting>
  <conditionalFormatting sqref="AB71">
    <cfRule type="expression" dxfId="746" priority="22553" stopIfTrue="1">
      <formula>ISERROR(AB71)</formula>
    </cfRule>
    <cfRule type="expression" dxfId="745" priority="22554" stopIfTrue="1">
      <formula>AND($B12&gt;0,AB71=0)</formula>
    </cfRule>
    <cfRule type="expression" dxfId="744" priority="22555" stopIfTrue="1">
      <formula>OR(AB71=0,$B12&lt;=0)</formula>
    </cfRule>
  </conditionalFormatting>
  <conditionalFormatting sqref="AB70">
    <cfRule type="expression" dxfId="743" priority="22559" stopIfTrue="1">
      <formula>ISERROR(AB70)</formula>
    </cfRule>
    <cfRule type="expression" dxfId="742" priority="22560" stopIfTrue="1">
      <formula>AND($B12&gt;0,AB70=0)</formula>
    </cfRule>
    <cfRule type="expression" dxfId="741" priority="22561" stopIfTrue="1">
      <formula>OR(AB70=0,$B12&lt;=0)</formula>
    </cfRule>
  </conditionalFormatting>
  <conditionalFormatting sqref="AB69">
    <cfRule type="expression" dxfId="740" priority="22565" stopIfTrue="1">
      <formula>ISERROR(AB69)</formula>
    </cfRule>
    <cfRule type="expression" dxfId="739" priority="22566" stopIfTrue="1">
      <formula>AND($B12&gt;0,AB69=0)</formula>
    </cfRule>
    <cfRule type="expression" dxfId="738" priority="22567" stopIfTrue="1">
      <formula>OR(AB69=0,$B12&lt;=0)</formula>
    </cfRule>
  </conditionalFormatting>
  <conditionalFormatting sqref="AB68">
    <cfRule type="expression" dxfId="737" priority="22571" stopIfTrue="1">
      <formula>ISERROR(AB68)</formula>
    </cfRule>
    <cfRule type="expression" dxfId="736" priority="22572" stopIfTrue="1">
      <formula>AND($B12&gt;0,AB68=0)</formula>
    </cfRule>
    <cfRule type="expression" dxfId="735" priority="22573" stopIfTrue="1">
      <formula>OR(AB68=0,$B12&lt;=0)</formula>
    </cfRule>
  </conditionalFormatting>
  <conditionalFormatting sqref="AB67 AB203:AB219">
    <cfRule type="expression" dxfId="734" priority="22577" stopIfTrue="1">
      <formula>ISERROR(AB67)</formula>
    </cfRule>
    <cfRule type="expression" dxfId="733" priority="22578" stopIfTrue="1">
      <formula>AND($B12&gt;0,AB67=0)</formula>
    </cfRule>
    <cfRule type="expression" dxfId="732" priority="22579" stopIfTrue="1">
      <formula>OR(AB67=0,$B12&lt;=0)</formula>
    </cfRule>
  </conditionalFormatting>
  <conditionalFormatting sqref="AB66 AB203:AB219">
    <cfRule type="expression" dxfId="731" priority="22583" stopIfTrue="1">
      <formula>ISERROR(AB66)</formula>
    </cfRule>
    <cfRule type="expression" dxfId="730" priority="22584" stopIfTrue="1">
      <formula>AND($B12&gt;0,AB66=0)</formula>
    </cfRule>
    <cfRule type="expression" dxfId="729" priority="22585" stopIfTrue="1">
      <formula>OR(AB66=0,$B12&lt;=0)</formula>
    </cfRule>
  </conditionalFormatting>
  <conditionalFormatting sqref="AB65">
    <cfRule type="expression" dxfId="728" priority="22589" stopIfTrue="1">
      <formula>ISERROR(AB65)</formula>
    </cfRule>
    <cfRule type="expression" dxfId="727" priority="22590" stopIfTrue="1">
      <formula>AND($B12&gt;0,AB65=0)</formula>
    </cfRule>
    <cfRule type="expression" dxfId="726" priority="22591" stopIfTrue="1">
      <formula>OR(AB65=0,$B12&lt;=0)</formula>
    </cfRule>
  </conditionalFormatting>
  <conditionalFormatting sqref="AB64">
    <cfRule type="expression" dxfId="725" priority="22595" stopIfTrue="1">
      <formula>ISERROR(AB64)</formula>
    </cfRule>
    <cfRule type="expression" dxfId="724" priority="22596" stopIfTrue="1">
      <formula>AND($B12&gt;0,AB64=0)</formula>
    </cfRule>
    <cfRule type="expression" dxfId="723" priority="22597" stopIfTrue="1">
      <formula>OR(AB64=0,$B12&lt;=0)</formula>
    </cfRule>
  </conditionalFormatting>
  <conditionalFormatting sqref="AB63">
    <cfRule type="expression" dxfId="722" priority="22601" stopIfTrue="1">
      <formula>ISERROR(AB63)</formula>
    </cfRule>
    <cfRule type="expression" dxfId="721" priority="22602" stopIfTrue="1">
      <formula>AND($B12&gt;0,AB63=0)</formula>
    </cfRule>
    <cfRule type="expression" dxfId="720" priority="22603" stopIfTrue="1">
      <formula>OR(AB63=0,$B12&lt;=0)</formula>
    </cfRule>
  </conditionalFormatting>
  <conditionalFormatting sqref="AB62">
    <cfRule type="expression" dxfId="719" priority="22607" stopIfTrue="1">
      <formula>ISERROR(AB62)</formula>
    </cfRule>
    <cfRule type="expression" dxfId="718" priority="22608" stopIfTrue="1">
      <formula>AND($B12&gt;0,AB62=0)</formula>
    </cfRule>
    <cfRule type="expression" dxfId="717" priority="22609" stopIfTrue="1">
      <formula>OR(AB62=0,$B12&lt;=0)</formula>
    </cfRule>
  </conditionalFormatting>
  <conditionalFormatting sqref="AB61">
    <cfRule type="expression" dxfId="716" priority="22613" stopIfTrue="1">
      <formula>ISERROR(AB61)</formula>
    </cfRule>
    <cfRule type="expression" dxfId="715" priority="22614" stopIfTrue="1">
      <formula>AND($B12&gt;0,AB61=0)</formula>
    </cfRule>
    <cfRule type="expression" dxfId="714" priority="22615" stopIfTrue="1">
      <formula>OR(AB61=0,$B12&lt;=0)</formula>
    </cfRule>
  </conditionalFormatting>
  <conditionalFormatting sqref="AB60">
    <cfRule type="expression" dxfId="713" priority="22619" stopIfTrue="1">
      <formula>ISERROR(AB60)</formula>
    </cfRule>
    <cfRule type="expression" dxfId="712" priority="22620" stopIfTrue="1">
      <formula>AND($B12&gt;0,AB60=0)</formula>
    </cfRule>
    <cfRule type="expression" dxfId="711" priority="22621" stopIfTrue="1">
      <formula>OR(AB60=0,$B12&lt;=0)</formula>
    </cfRule>
  </conditionalFormatting>
  <conditionalFormatting sqref="AB59">
    <cfRule type="expression" dxfId="710" priority="22625" stopIfTrue="1">
      <formula>ISERROR(AB59)</formula>
    </cfRule>
    <cfRule type="expression" dxfId="709" priority="22626" stopIfTrue="1">
      <formula>AND($B12&gt;0,AB59=0)</formula>
    </cfRule>
    <cfRule type="expression" dxfId="708" priority="22627" stopIfTrue="1">
      <formula>OR(AB59=0,$B12&lt;=0)</formula>
    </cfRule>
  </conditionalFormatting>
  <conditionalFormatting sqref="AB58">
    <cfRule type="expression" dxfId="707" priority="22631" stopIfTrue="1">
      <formula>ISERROR(AB58)</formula>
    </cfRule>
    <cfRule type="expression" dxfId="706" priority="22632" stopIfTrue="1">
      <formula>AND($B12&gt;0,AB58=0)</formula>
    </cfRule>
    <cfRule type="expression" dxfId="705" priority="22633" stopIfTrue="1">
      <formula>OR(AB58=0,$B12&lt;=0)</formula>
    </cfRule>
  </conditionalFormatting>
  <conditionalFormatting sqref="AB57">
    <cfRule type="expression" dxfId="704" priority="22637" stopIfTrue="1">
      <formula>ISERROR(AB57)</formula>
    </cfRule>
    <cfRule type="expression" dxfId="703" priority="22638" stopIfTrue="1">
      <formula>AND($B12&gt;0,AB57=0)</formula>
    </cfRule>
    <cfRule type="expression" dxfId="702" priority="22639" stopIfTrue="1">
      <formula>OR(AB57=0,$B12&lt;=0)</formula>
    </cfRule>
  </conditionalFormatting>
  <conditionalFormatting sqref="AB56">
    <cfRule type="expression" dxfId="701" priority="22643" stopIfTrue="1">
      <formula>ISERROR(AB56)</formula>
    </cfRule>
    <cfRule type="expression" dxfId="700" priority="22644" stopIfTrue="1">
      <formula>AND($B12&gt;0,AB56=0)</formula>
    </cfRule>
    <cfRule type="expression" dxfId="699" priority="22645" stopIfTrue="1">
      <formula>OR(AB56=0,$B12&lt;=0)</formula>
    </cfRule>
  </conditionalFormatting>
  <conditionalFormatting sqref="AB55">
    <cfRule type="expression" dxfId="698" priority="22649" stopIfTrue="1">
      <formula>ISERROR(AB55)</formula>
    </cfRule>
    <cfRule type="expression" dxfId="697" priority="22650" stopIfTrue="1">
      <formula>AND($B12&gt;0,AB55=0)</formula>
    </cfRule>
    <cfRule type="expression" dxfId="696" priority="22651" stopIfTrue="1">
      <formula>OR(AB55=0,$B12&lt;=0)</formula>
    </cfRule>
  </conditionalFormatting>
  <conditionalFormatting sqref="AB54">
    <cfRule type="expression" dxfId="695" priority="22655" stopIfTrue="1">
      <formula>ISERROR(AB54)</formula>
    </cfRule>
    <cfRule type="expression" dxfId="694" priority="22656" stopIfTrue="1">
      <formula>AND($B12&gt;0,AB54=0)</formula>
    </cfRule>
    <cfRule type="expression" dxfId="693" priority="22657" stopIfTrue="1">
      <formula>OR(AB54=0,$B12&lt;=0)</formula>
    </cfRule>
  </conditionalFormatting>
  <conditionalFormatting sqref="AB53">
    <cfRule type="expression" dxfId="692" priority="22661" stopIfTrue="1">
      <formula>ISERROR(AB53)</formula>
    </cfRule>
    <cfRule type="expression" dxfId="691" priority="22662" stopIfTrue="1">
      <formula>AND($B12&gt;0,AB53=0)</formula>
    </cfRule>
    <cfRule type="expression" dxfId="690" priority="22663" stopIfTrue="1">
      <formula>OR(AB53=0,$B12&lt;=0)</formula>
    </cfRule>
  </conditionalFormatting>
  <conditionalFormatting sqref="AB52">
    <cfRule type="expression" dxfId="689" priority="22667" stopIfTrue="1">
      <formula>ISERROR(AB52)</formula>
    </cfRule>
    <cfRule type="expression" dxfId="688" priority="22668" stopIfTrue="1">
      <formula>AND($B12&gt;0,AB52=0)</formula>
    </cfRule>
    <cfRule type="expression" dxfId="687" priority="22669" stopIfTrue="1">
      <formula>OR(AB52=0,$B12&lt;=0)</formula>
    </cfRule>
  </conditionalFormatting>
  <conditionalFormatting sqref="AB51">
    <cfRule type="expression" dxfId="686" priority="22673" stopIfTrue="1">
      <formula>ISERROR(AB51)</formula>
    </cfRule>
    <cfRule type="expression" dxfId="685" priority="22674" stopIfTrue="1">
      <formula>AND($B12&gt;0,AB51=0)</formula>
    </cfRule>
    <cfRule type="expression" dxfId="684" priority="22675" stopIfTrue="1">
      <formula>OR(AB51=0,$B12&lt;=0)</formula>
    </cfRule>
  </conditionalFormatting>
  <conditionalFormatting sqref="AB50">
    <cfRule type="expression" dxfId="683" priority="22679" stopIfTrue="1">
      <formula>ISERROR(AB50)</formula>
    </cfRule>
    <cfRule type="expression" dxfId="682" priority="22680" stopIfTrue="1">
      <formula>AND($B12&gt;0,AB50=0)</formula>
    </cfRule>
    <cfRule type="expression" dxfId="681" priority="22681" stopIfTrue="1">
      <formula>OR(AB50=0,$B12&lt;=0)</formula>
    </cfRule>
  </conditionalFormatting>
  <conditionalFormatting sqref="AB49">
    <cfRule type="expression" dxfId="680" priority="22685" stopIfTrue="1">
      <formula>ISERROR(AB49)</formula>
    </cfRule>
    <cfRule type="expression" dxfId="679" priority="22686" stopIfTrue="1">
      <formula>AND($B12&gt;0,AB49=0)</formula>
    </cfRule>
    <cfRule type="expression" dxfId="678" priority="22687" stopIfTrue="1">
      <formula>OR(AB49=0,$B12&lt;=0)</formula>
    </cfRule>
  </conditionalFormatting>
  <conditionalFormatting sqref="AB48">
    <cfRule type="expression" dxfId="677" priority="22691" stopIfTrue="1">
      <formula>ISERROR(AB48)</formula>
    </cfRule>
    <cfRule type="expression" dxfId="676" priority="22692" stopIfTrue="1">
      <formula>AND($B12&gt;0,AB48=0)</formula>
    </cfRule>
    <cfRule type="expression" dxfId="675" priority="22693" stopIfTrue="1">
      <formula>OR(AB48=0,$B12&lt;=0)</formula>
    </cfRule>
  </conditionalFormatting>
  <conditionalFormatting sqref="AB47">
    <cfRule type="expression" dxfId="674" priority="22697" stopIfTrue="1">
      <formula>ISERROR(AB47)</formula>
    </cfRule>
    <cfRule type="expression" dxfId="673" priority="22698" stopIfTrue="1">
      <formula>AND($B12&gt;0,AB47=0)</formula>
    </cfRule>
    <cfRule type="expression" dxfId="672" priority="22699" stopIfTrue="1">
      <formula>OR(AB47=0,$B12&lt;=0)</formula>
    </cfRule>
  </conditionalFormatting>
  <conditionalFormatting sqref="AB46">
    <cfRule type="expression" dxfId="671" priority="22703" stopIfTrue="1">
      <formula>ISERROR(AB46)</formula>
    </cfRule>
    <cfRule type="expression" dxfId="670" priority="22704" stopIfTrue="1">
      <formula>AND($B12&gt;0,AB46=0)</formula>
    </cfRule>
    <cfRule type="expression" dxfId="669" priority="22705" stopIfTrue="1">
      <formula>OR(AB46=0,$B12&lt;=0)</formula>
    </cfRule>
  </conditionalFormatting>
  <conditionalFormatting sqref="AB45">
    <cfRule type="expression" dxfId="668" priority="22709" stopIfTrue="1">
      <formula>ISERROR(AB45)</formula>
    </cfRule>
    <cfRule type="expression" dxfId="667" priority="22710" stopIfTrue="1">
      <formula>AND($B12&gt;0,AB45=0)</formula>
    </cfRule>
    <cfRule type="expression" dxfId="666" priority="22711" stopIfTrue="1">
      <formula>OR(AB45=0,$B12&lt;=0)</formula>
    </cfRule>
  </conditionalFormatting>
  <conditionalFormatting sqref="AB44 AB182:AB189">
    <cfRule type="expression" dxfId="665" priority="22715" stopIfTrue="1">
      <formula>ISERROR(AB44)</formula>
    </cfRule>
    <cfRule type="expression" dxfId="664" priority="22716" stopIfTrue="1">
      <formula>AND($B12&gt;0,AB44=0)</formula>
    </cfRule>
    <cfRule type="expression" dxfId="663" priority="22717" stopIfTrue="1">
      <formula>OR(AB44=0,$B12&lt;=0)</formula>
    </cfRule>
  </conditionalFormatting>
  <conditionalFormatting sqref="AB43 AB181">
    <cfRule type="expression" dxfId="662" priority="22721" stopIfTrue="1">
      <formula>ISERROR(AB43)</formula>
    </cfRule>
    <cfRule type="expression" dxfId="661" priority="22722" stopIfTrue="1">
      <formula>AND($B12&gt;0,AB43=0)</formula>
    </cfRule>
    <cfRule type="expression" dxfId="660" priority="22723" stopIfTrue="1">
      <formula>OR(AB43=0,$B12&lt;=0)</formula>
    </cfRule>
  </conditionalFormatting>
  <conditionalFormatting sqref="AB42">
    <cfRule type="expression" dxfId="659" priority="22727" stopIfTrue="1">
      <formula>ISERROR(AB42)</formula>
    </cfRule>
    <cfRule type="expression" dxfId="658" priority="22728" stopIfTrue="1">
      <formula>AND($B12&gt;0,AB42=0)</formula>
    </cfRule>
    <cfRule type="expression" dxfId="657" priority="22729" stopIfTrue="1">
      <formula>OR(AB42=0,$B12&lt;=0)</formula>
    </cfRule>
  </conditionalFormatting>
  <conditionalFormatting sqref="AB41">
    <cfRule type="expression" dxfId="656" priority="22733" stopIfTrue="1">
      <formula>ISERROR(AB41)</formula>
    </cfRule>
    <cfRule type="expression" dxfId="655" priority="22734" stopIfTrue="1">
      <formula>AND($B12&gt;0,AB41=0)</formula>
    </cfRule>
    <cfRule type="expression" dxfId="654" priority="22735" stopIfTrue="1">
      <formula>OR(AB41=0,$B12&lt;=0)</formula>
    </cfRule>
  </conditionalFormatting>
  <conditionalFormatting sqref="AB97">
    <cfRule type="expression" dxfId="653" priority="22736" stopIfTrue="1">
      <formula>ISERROR(AB97)</formula>
    </cfRule>
    <cfRule type="expression" dxfId="652" priority="22737" stopIfTrue="1">
      <formula>AND($B12&gt;0,AB97=0)</formula>
    </cfRule>
    <cfRule type="expression" dxfId="651" priority="22738" stopIfTrue="1">
      <formula>OR(AB97=0,$B12&lt;=0)</formula>
    </cfRule>
  </conditionalFormatting>
  <conditionalFormatting sqref="AB40">
    <cfRule type="expression" dxfId="650" priority="22742" stopIfTrue="1">
      <formula>ISERROR(AB40)</formula>
    </cfRule>
    <cfRule type="expression" dxfId="649" priority="22743" stopIfTrue="1">
      <formula>AND($B12&gt;0,AB40=0)</formula>
    </cfRule>
    <cfRule type="expression" dxfId="648" priority="22744" stopIfTrue="1">
      <formula>OR(AB40=0,$B12&lt;=0)</formula>
    </cfRule>
  </conditionalFormatting>
  <conditionalFormatting sqref="AB96">
    <cfRule type="expression" dxfId="647" priority="22745" stopIfTrue="1">
      <formula>ISERROR(AB96)</formula>
    </cfRule>
    <cfRule type="expression" dxfId="646" priority="22746" stopIfTrue="1">
      <formula>AND($B12&gt;0,AB96=0)</formula>
    </cfRule>
    <cfRule type="expression" dxfId="645" priority="22747" stopIfTrue="1">
      <formula>OR(AB96=0,$B12&lt;=0)</formula>
    </cfRule>
  </conditionalFormatting>
  <conditionalFormatting sqref="AB39">
    <cfRule type="expression" dxfId="644" priority="22751" stopIfTrue="1">
      <formula>ISERROR(AB39)</formula>
    </cfRule>
    <cfRule type="expression" dxfId="643" priority="22752" stopIfTrue="1">
      <formula>AND($B12&gt;0,AB39=0)</formula>
    </cfRule>
    <cfRule type="expression" dxfId="642" priority="22753" stopIfTrue="1">
      <formula>OR(AB39=0,$B12&lt;=0)</formula>
    </cfRule>
  </conditionalFormatting>
  <conditionalFormatting sqref="AB95 AB233:AB234 AB299:AB384">
    <cfRule type="expression" dxfId="641" priority="22754" stopIfTrue="1">
      <formula>ISERROR(AB95)</formula>
    </cfRule>
    <cfRule type="expression" dxfId="640" priority="22755" stopIfTrue="1">
      <formula>AND($B12&gt;0,AB95=0)</formula>
    </cfRule>
    <cfRule type="expression" dxfId="639" priority="22756" stopIfTrue="1">
      <formula>OR(AB95=0,$B12&lt;=0)</formula>
    </cfRule>
  </conditionalFormatting>
  <conditionalFormatting sqref="AB38 AB176:AB180">
    <cfRule type="expression" dxfId="638" priority="22760" stopIfTrue="1">
      <formula>ISERROR(AB38)</formula>
    </cfRule>
    <cfRule type="expression" dxfId="637" priority="22761" stopIfTrue="1">
      <formula>AND($B12&gt;0,AB38=0)</formula>
    </cfRule>
    <cfRule type="expression" dxfId="636" priority="22762" stopIfTrue="1">
      <formula>OR(AB38=0,$B12&lt;=0)</formula>
    </cfRule>
  </conditionalFormatting>
  <conditionalFormatting sqref="AB94 AB232">
    <cfRule type="expression" dxfId="635" priority="22763" stopIfTrue="1">
      <formula>ISERROR(AB94)</formula>
    </cfRule>
    <cfRule type="expression" dxfId="634" priority="22764" stopIfTrue="1">
      <formula>AND($B12&gt;0,AB94=0)</formula>
    </cfRule>
    <cfRule type="expression" dxfId="633" priority="22765" stopIfTrue="1">
      <formula>OR(AB94=0,$B12&lt;=0)</formula>
    </cfRule>
  </conditionalFormatting>
  <conditionalFormatting sqref="AB37 AB175">
    <cfRule type="expression" dxfId="632" priority="22769" stopIfTrue="1">
      <formula>ISERROR(AB37)</formula>
    </cfRule>
    <cfRule type="expression" dxfId="631" priority="22770" stopIfTrue="1">
      <formula>AND($B12&gt;0,AB37=0)</formula>
    </cfRule>
    <cfRule type="expression" dxfId="630" priority="22771" stopIfTrue="1">
      <formula>OR(AB37=0,$B12&lt;=0)</formula>
    </cfRule>
  </conditionalFormatting>
  <conditionalFormatting sqref="AB93 AB231">
    <cfRule type="expression" dxfId="629" priority="22772" stopIfTrue="1">
      <formula>ISERROR(AB93)</formula>
    </cfRule>
    <cfRule type="expression" dxfId="628" priority="22773" stopIfTrue="1">
      <formula>AND($B12&gt;0,AB93=0)</formula>
    </cfRule>
    <cfRule type="expression" dxfId="627" priority="22774" stopIfTrue="1">
      <formula>OR(AB93=0,$B12&lt;=0)</formula>
    </cfRule>
  </conditionalFormatting>
  <conditionalFormatting sqref="AB36 AB174">
    <cfRule type="expression" dxfId="626" priority="22778" stopIfTrue="1">
      <formula>ISERROR(AB36)</formula>
    </cfRule>
    <cfRule type="expression" dxfId="625" priority="22779" stopIfTrue="1">
      <formula>AND($B12&gt;0,AB36=0)</formula>
    </cfRule>
    <cfRule type="expression" dxfId="624" priority="22780" stopIfTrue="1">
      <formula>OR(AB36=0,$B12&lt;=0)</formula>
    </cfRule>
  </conditionalFormatting>
  <conditionalFormatting sqref="AB35 AB173">
    <cfRule type="expression" dxfId="623" priority="22784" stopIfTrue="1">
      <formula>ISERROR(AB35)</formula>
    </cfRule>
    <cfRule type="expression" dxfId="622" priority="22785" stopIfTrue="1">
      <formula>AND($B12&gt;0,AB35=0)</formula>
    </cfRule>
    <cfRule type="expression" dxfId="621" priority="22786" stopIfTrue="1">
      <formula>OR(AB35=0,$B12&lt;=0)</formula>
    </cfRule>
  </conditionalFormatting>
  <conditionalFormatting sqref="AB34 AB172">
    <cfRule type="expression" dxfId="620" priority="22790" stopIfTrue="1">
      <formula>ISERROR(AB34)</formula>
    </cfRule>
    <cfRule type="expression" dxfId="619" priority="22791" stopIfTrue="1">
      <formula>AND($B12&gt;0,AB34=0)</formula>
    </cfRule>
    <cfRule type="expression" dxfId="618" priority="22792" stopIfTrue="1">
      <formula>OR(AB34=0,$B12&lt;=0)</formula>
    </cfRule>
  </conditionalFormatting>
  <conditionalFormatting sqref="AB33 AB171">
    <cfRule type="expression" dxfId="617" priority="22796" stopIfTrue="1">
      <formula>ISERROR(AB33)</formula>
    </cfRule>
    <cfRule type="expression" dxfId="616" priority="22797" stopIfTrue="1">
      <formula>AND($B12&gt;0,AB33=0)</formula>
    </cfRule>
    <cfRule type="expression" dxfId="615" priority="22798" stopIfTrue="1">
      <formula>OR(AB33=0,$B12&lt;=0)</formula>
    </cfRule>
  </conditionalFormatting>
  <conditionalFormatting sqref="AB32 AB170">
    <cfRule type="expression" dxfId="614" priority="22802" stopIfTrue="1">
      <formula>ISERROR(AB32)</formula>
    </cfRule>
    <cfRule type="expression" dxfId="613" priority="22803" stopIfTrue="1">
      <formula>AND($B12&gt;0,AB32=0)</formula>
    </cfRule>
    <cfRule type="expression" dxfId="612" priority="22804" stopIfTrue="1">
      <formula>OR(AB32=0,$B12&lt;=0)</formula>
    </cfRule>
  </conditionalFormatting>
  <conditionalFormatting sqref="AB31 AB169">
    <cfRule type="expression" dxfId="611" priority="22808" stopIfTrue="1">
      <formula>ISERROR(AB31)</formula>
    </cfRule>
    <cfRule type="expression" dxfId="610" priority="22809" stopIfTrue="1">
      <formula>AND($B12&gt;0,AB31=0)</formula>
    </cfRule>
    <cfRule type="expression" dxfId="609" priority="22810" stopIfTrue="1">
      <formula>OR(AB31=0,$B12&lt;=0)</formula>
    </cfRule>
  </conditionalFormatting>
  <conditionalFormatting sqref="AB30 AB168">
    <cfRule type="expression" dxfId="608" priority="22814" stopIfTrue="1">
      <formula>ISERROR(AB30)</formula>
    </cfRule>
    <cfRule type="expression" dxfId="607" priority="22815" stopIfTrue="1">
      <formula>AND($B12&gt;0,AB30=0)</formula>
    </cfRule>
    <cfRule type="expression" dxfId="606" priority="22816" stopIfTrue="1">
      <formula>OR(AB30=0,$B12&lt;=0)</formula>
    </cfRule>
  </conditionalFormatting>
  <conditionalFormatting sqref="AB29 AB167:AB168">
    <cfRule type="expression" dxfId="605" priority="22820" stopIfTrue="1">
      <formula>ISERROR(AB29)</formula>
    </cfRule>
    <cfRule type="expression" dxfId="604" priority="22821" stopIfTrue="1">
      <formula>AND($B12&gt;0,AB29=0)</formula>
    </cfRule>
    <cfRule type="expression" dxfId="603" priority="22822" stopIfTrue="1">
      <formula>OR(AB29=0,$B12&lt;=0)</formula>
    </cfRule>
  </conditionalFormatting>
  <conditionalFormatting sqref="AB28 AB166">
    <cfRule type="expression" dxfId="602" priority="22826" stopIfTrue="1">
      <formula>ISERROR(AB28)</formula>
    </cfRule>
    <cfRule type="expression" dxfId="601" priority="22827" stopIfTrue="1">
      <formula>AND($B12&gt;0,AB28=0)</formula>
    </cfRule>
    <cfRule type="expression" dxfId="600" priority="22828" stopIfTrue="1">
      <formula>OR(AB28=0,$B12&lt;=0)</formula>
    </cfRule>
  </conditionalFormatting>
  <conditionalFormatting sqref="AB27 AB165:AB168">
    <cfRule type="expression" dxfId="599" priority="22832" stopIfTrue="1">
      <formula>ISERROR(AB27)</formula>
    </cfRule>
    <cfRule type="expression" dxfId="598" priority="22833" stopIfTrue="1">
      <formula>AND($B12&gt;0,AB27=0)</formula>
    </cfRule>
    <cfRule type="expression" dxfId="597" priority="22834" stopIfTrue="1">
      <formula>OR(AB27=0,$B12&lt;=0)</formula>
    </cfRule>
  </conditionalFormatting>
  <conditionalFormatting sqref="AB26 AB164:AB168">
    <cfRule type="expression" dxfId="596" priority="22838" stopIfTrue="1">
      <formula>ISERROR(AB26)</formula>
    </cfRule>
    <cfRule type="expression" dxfId="595" priority="22839" stopIfTrue="1">
      <formula>AND($B12&gt;0,AB26=0)</formula>
    </cfRule>
    <cfRule type="expression" dxfId="594" priority="22840" stopIfTrue="1">
      <formula>OR(AB26=0,$B12&lt;=0)</formula>
    </cfRule>
  </conditionalFormatting>
  <conditionalFormatting sqref="AB25 AB163">
    <cfRule type="expression" dxfId="593" priority="22844" stopIfTrue="1">
      <formula>ISERROR(AB25)</formula>
    </cfRule>
    <cfRule type="expression" dxfId="592" priority="22845" stopIfTrue="1">
      <formula>AND($B12&gt;0,AB25=0)</formula>
    </cfRule>
    <cfRule type="expression" dxfId="591" priority="22846" stopIfTrue="1">
      <formula>OR(AB25=0,$B12&lt;=0)</formula>
    </cfRule>
  </conditionalFormatting>
  <conditionalFormatting sqref="AB24 AB162">
    <cfRule type="expression" dxfId="590" priority="22850" stopIfTrue="1">
      <formula>ISERROR(AB24)</formula>
    </cfRule>
    <cfRule type="expression" dxfId="589" priority="22851" stopIfTrue="1">
      <formula>AND($B12&gt;0,AB24=0)</formula>
    </cfRule>
    <cfRule type="expression" dxfId="588" priority="22852" stopIfTrue="1">
      <formula>OR(AB24=0,$B12&lt;=0)</formula>
    </cfRule>
  </conditionalFormatting>
  <conditionalFormatting sqref="AB19 AB157:AB161">
    <cfRule type="expression" dxfId="587" priority="22880" stopIfTrue="1">
      <formula>ISERROR(AB19)</formula>
    </cfRule>
    <cfRule type="expression" dxfId="586" priority="22881" stopIfTrue="1">
      <formula>AND($B12&gt;0,AB19=0)</formula>
    </cfRule>
    <cfRule type="expression" dxfId="585" priority="22882" stopIfTrue="1">
      <formula>OR(AB19=0,$B12&lt;=0)</formula>
    </cfRule>
  </conditionalFormatting>
  <conditionalFormatting sqref="AB18 AB156:AB168">
    <cfRule type="expression" dxfId="584" priority="22886" stopIfTrue="1">
      <formula>ISERROR(AB18)</formula>
    </cfRule>
    <cfRule type="expression" dxfId="583" priority="22887" stopIfTrue="1">
      <formula>AND($B12&gt;0,AB18=0)</formula>
    </cfRule>
    <cfRule type="expression" dxfId="582" priority="22888" stopIfTrue="1">
      <formula>OR(AB18=0,$B12&lt;=0)</formula>
    </cfRule>
  </conditionalFormatting>
  <conditionalFormatting sqref="AB385">
    <cfRule type="expression" dxfId="581" priority="22904" stopIfTrue="1">
      <formula>ISERROR(AB385)</formula>
    </cfRule>
    <cfRule type="expression" dxfId="580" priority="22905" stopIfTrue="1">
      <formula>AND($B13&gt;0,AB385=0)</formula>
    </cfRule>
    <cfRule type="expression" dxfId="579" priority="22906" stopIfTrue="1">
      <formula>OR(AB385=0,$B13&lt;=0)</formula>
    </cfRule>
  </conditionalFormatting>
  <conditionalFormatting sqref="AB158">
    <cfRule type="expression" dxfId="578" priority="22994" stopIfTrue="1">
      <formula>ISERROR(AB158)</formula>
    </cfRule>
    <cfRule type="expression" dxfId="577" priority="22995" stopIfTrue="1">
      <formula>AND($B13&gt;0,AB158=0)</formula>
    </cfRule>
    <cfRule type="expression" dxfId="576" priority="22996" stopIfTrue="1">
      <formula>OR(AB158=0,$B13&lt;=0)</formula>
    </cfRule>
  </conditionalFormatting>
  <conditionalFormatting sqref="AB157:AB161">
    <cfRule type="expression" dxfId="575" priority="23033" stopIfTrue="1">
      <formula>ISERROR(AB157)</formula>
    </cfRule>
    <cfRule type="expression" dxfId="574" priority="23034" stopIfTrue="1">
      <formula>AND($B13&gt;0,AB157=0)</formula>
    </cfRule>
    <cfRule type="expression" dxfId="573" priority="23035" stopIfTrue="1">
      <formula>OR(AB157=0,$B13&lt;=0)</formula>
    </cfRule>
  </conditionalFormatting>
  <conditionalFormatting sqref="AB156:AB168">
    <cfRule type="expression" dxfId="572" priority="23069" stopIfTrue="1">
      <formula>ISERROR(AB156)</formula>
    </cfRule>
    <cfRule type="expression" dxfId="571" priority="23070" stopIfTrue="1">
      <formula>AND($B13&gt;0,AB156=0)</formula>
    </cfRule>
    <cfRule type="expression" dxfId="570" priority="23071" stopIfTrue="1">
      <formula>OR(AB156=0,$B13&lt;=0)</formula>
    </cfRule>
  </conditionalFormatting>
  <conditionalFormatting sqref="AB154:AB189 AB203:AB234 AB299:AB384">
    <cfRule type="expression" dxfId="569" priority="23102" stopIfTrue="1">
      <formula>ISERROR(AB154)</formula>
    </cfRule>
    <cfRule type="expression" dxfId="568" priority="23103" stopIfTrue="1">
      <formula>AND($B12&gt;0,AB154=0)</formula>
    </cfRule>
    <cfRule type="expression" dxfId="567" priority="23104" stopIfTrue="1">
      <formula>OR(AB154=0,$B12&lt;=0)</formula>
    </cfRule>
  </conditionalFormatting>
  <conditionalFormatting sqref="AB385">
    <cfRule type="expression" dxfId="566" priority="24725" stopIfTrue="1">
      <formula>ISERROR(AB385)</formula>
    </cfRule>
    <cfRule type="expression" dxfId="565" priority="24726" stopIfTrue="1">
      <formula>AND($B150&gt;0,AB385=0)</formula>
    </cfRule>
    <cfRule type="expression" dxfId="564" priority="24727" stopIfTrue="1">
      <formula>OR(AB385=0,$B150&lt;=0)</formula>
    </cfRule>
  </conditionalFormatting>
  <conditionalFormatting sqref="AB385">
    <cfRule type="expression" dxfId="563" priority="24869" stopIfTrue="1">
      <formula>ISERROR(AB385)</formula>
    </cfRule>
    <cfRule type="expression" dxfId="562" priority="24870" stopIfTrue="1">
      <formula>AND($B154&gt;0,AB385=0)</formula>
    </cfRule>
    <cfRule type="expression" dxfId="561" priority="24871" stopIfTrue="1">
      <formula>OR(AB385=0,$B154&lt;=0)</formula>
    </cfRule>
  </conditionalFormatting>
  <conditionalFormatting sqref="AB233:AB234 AB299:AB384">
    <cfRule type="expression" dxfId="560" priority="25265" stopIfTrue="1">
      <formula>ISERROR(AB233)</formula>
    </cfRule>
    <cfRule type="expression" dxfId="559" priority="25266" stopIfTrue="1">
      <formula>AND($B13&gt;0,AB233=0)</formula>
    </cfRule>
    <cfRule type="expression" dxfId="558" priority="25267" stopIfTrue="1">
      <formula>OR(AB233=0,$B13&lt;=0)</formula>
    </cfRule>
  </conditionalFormatting>
  <conditionalFormatting sqref="AB232">
    <cfRule type="expression" dxfId="557" priority="25301" stopIfTrue="1">
      <formula>ISERROR(AB232)</formula>
    </cfRule>
    <cfRule type="expression" dxfId="556" priority="25302" stopIfTrue="1">
      <formula>AND($B13&gt;0,AB232=0)</formula>
    </cfRule>
    <cfRule type="expression" dxfId="555" priority="25303" stopIfTrue="1">
      <formula>OR(AB232=0,$B13&lt;=0)</formula>
    </cfRule>
  </conditionalFormatting>
  <conditionalFormatting sqref="AB231">
    <cfRule type="expression" dxfId="554" priority="25337" stopIfTrue="1">
      <formula>ISERROR(AB231)</formula>
    </cfRule>
    <cfRule type="expression" dxfId="553" priority="25338" stopIfTrue="1">
      <formula>AND($B13&gt;0,AB231=0)</formula>
    </cfRule>
    <cfRule type="expression" dxfId="552" priority="25339" stopIfTrue="1">
      <formula>OR(AB231=0,$B13&lt;=0)</formula>
    </cfRule>
  </conditionalFormatting>
  <conditionalFormatting sqref="AB233:AB234 AB299:AB384">
    <cfRule type="expression" dxfId="551" priority="25361" stopIfTrue="1">
      <formula>ISERROR(AB233)</formula>
    </cfRule>
    <cfRule type="expression" dxfId="550" priority="25362" stopIfTrue="1">
      <formula>AND($B154&gt;0,AB233=0)</formula>
    </cfRule>
    <cfRule type="expression" dxfId="549" priority="25363" stopIfTrue="1">
      <formula>OR(AB233=0,$B154&lt;=0)</formula>
    </cfRule>
  </conditionalFormatting>
  <conditionalFormatting sqref="AB230">
    <cfRule type="expression" dxfId="548" priority="25373" stopIfTrue="1">
      <formula>ISERROR(AB230)</formula>
    </cfRule>
    <cfRule type="expression" dxfId="547" priority="25374" stopIfTrue="1">
      <formula>AND($B13&gt;0,AB230=0)</formula>
    </cfRule>
    <cfRule type="expression" dxfId="546" priority="25375" stopIfTrue="1">
      <formula>OR(AB230=0,$B13&lt;=0)</formula>
    </cfRule>
  </conditionalFormatting>
  <conditionalFormatting sqref="AB232">
    <cfRule type="expression" dxfId="545" priority="25397" stopIfTrue="1">
      <formula>ISERROR(AB232)</formula>
    </cfRule>
    <cfRule type="expression" dxfId="544" priority="25398" stopIfTrue="1">
      <formula>AND($B154&gt;0,AB232=0)</formula>
    </cfRule>
    <cfRule type="expression" dxfId="543" priority="25399" stopIfTrue="1">
      <formula>OR(AB232=0,$B154&lt;=0)</formula>
    </cfRule>
  </conditionalFormatting>
  <conditionalFormatting sqref="AB229">
    <cfRule type="expression" dxfId="542" priority="25409" stopIfTrue="1">
      <formula>ISERROR(AB229)</formula>
    </cfRule>
    <cfRule type="expression" dxfId="541" priority="25410" stopIfTrue="1">
      <formula>AND($B13&gt;0,AB229=0)</formula>
    </cfRule>
    <cfRule type="expression" dxfId="540" priority="25411" stopIfTrue="1">
      <formula>OR(AB229=0,$B13&lt;=0)</formula>
    </cfRule>
  </conditionalFormatting>
  <conditionalFormatting sqref="AB231">
    <cfRule type="expression" dxfId="539" priority="25433" stopIfTrue="1">
      <formula>ISERROR(AB231)</formula>
    </cfRule>
    <cfRule type="expression" dxfId="538" priority="25434" stopIfTrue="1">
      <formula>AND($B154&gt;0,AB231=0)</formula>
    </cfRule>
    <cfRule type="expression" dxfId="537" priority="25435" stopIfTrue="1">
      <formula>OR(AB231=0,$B154&lt;=0)</formula>
    </cfRule>
  </conditionalFormatting>
  <conditionalFormatting sqref="AB228">
    <cfRule type="expression" dxfId="536" priority="25445" stopIfTrue="1">
      <formula>ISERROR(AB228)</formula>
    </cfRule>
    <cfRule type="expression" dxfId="535" priority="25446" stopIfTrue="1">
      <formula>AND($B13&gt;0,AB228=0)</formula>
    </cfRule>
    <cfRule type="expression" dxfId="534" priority="25447" stopIfTrue="1">
      <formula>OR(AB228=0,$B13&lt;=0)</formula>
    </cfRule>
  </conditionalFormatting>
  <conditionalFormatting sqref="AB230">
    <cfRule type="expression" dxfId="533" priority="25469" stopIfTrue="1">
      <formula>ISERROR(AB230)</formula>
    </cfRule>
    <cfRule type="expression" dxfId="532" priority="25470" stopIfTrue="1">
      <formula>AND($B154&gt;0,AB230=0)</formula>
    </cfRule>
    <cfRule type="expression" dxfId="531" priority="25471" stopIfTrue="1">
      <formula>OR(AB230=0,$B154&lt;=0)</formula>
    </cfRule>
  </conditionalFormatting>
  <conditionalFormatting sqref="AB227">
    <cfRule type="expression" dxfId="530" priority="25481" stopIfTrue="1">
      <formula>ISERROR(AB227)</formula>
    </cfRule>
    <cfRule type="expression" dxfId="529" priority="25482" stopIfTrue="1">
      <formula>AND($B13&gt;0,AB227=0)</formula>
    </cfRule>
    <cfRule type="expression" dxfId="528" priority="25483" stopIfTrue="1">
      <formula>OR(AB227=0,$B13&lt;=0)</formula>
    </cfRule>
  </conditionalFormatting>
  <conditionalFormatting sqref="AB229">
    <cfRule type="expression" dxfId="527" priority="25505" stopIfTrue="1">
      <formula>ISERROR(AB229)</formula>
    </cfRule>
    <cfRule type="expression" dxfId="526" priority="25506" stopIfTrue="1">
      <formula>AND($B154&gt;0,AB229=0)</formula>
    </cfRule>
    <cfRule type="expression" dxfId="525" priority="25507" stopIfTrue="1">
      <formula>OR(AB229=0,$B154&lt;=0)</formula>
    </cfRule>
  </conditionalFormatting>
  <conditionalFormatting sqref="AB226">
    <cfRule type="expression" dxfId="524" priority="25517" stopIfTrue="1">
      <formula>ISERROR(AB226)</formula>
    </cfRule>
    <cfRule type="expression" dxfId="523" priority="25518" stopIfTrue="1">
      <formula>AND($B13&gt;0,AB226=0)</formula>
    </cfRule>
    <cfRule type="expression" dxfId="522" priority="25519" stopIfTrue="1">
      <formula>OR(AB226=0,$B13&lt;=0)</formula>
    </cfRule>
  </conditionalFormatting>
  <conditionalFormatting sqref="AB228">
    <cfRule type="expression" dxfId="521" priority="25541" stopIfTrue="1">
      <formula>ISERROR(AB228)</formula>
    </cfRule>
    <cfRule type="expression" dxfId="520" priority="25542" stopIfTrue="1">
      <formula>AND($B154&gt;0,AB228=0)</formula>
    </cfRule>
    <cfRule type="expression" dxfId="519" priority="25543" stopIfTrue="1">
      <formula>OR(AB228=0,$B154&lt;=0)</formula>
    </cfRule>
  </conditionalFormatting>
  <conditionalFormatting sqref="AB225">
    <cfRule type="expression" dxfId="518" priority="25553" stopIfTrue="1">
      <formula>ISERROR(AB225)</formula>
    </cfRule>
    <cfRule type="expression" dxfId="517" priority="25554" stopIfTrue="1">
      <formula>AND($B13&gt;0,AB225=0)</formula>
    </cfRule>
    <cfRule type="expression" dxfId="516" priority="25555" stopIfTrue="1">
      <formula>OR(AB225=0,$B13&lt;=0)</formula>
    </cfRule>
  </conditionalFormatting>
  <conditionalFormatting sqref="AB227">
    <cfRule type="expression" dxfId="515" priority="25577" stopIfTrue="1">
      <formula>ISERROR(AB227)</formula>
    </cfRule>
    <cfRule type="expression" dxfId="514" priority="25578" stopIfTrue="1">
      <formula>AND($B154&gt;0,AB227=0)</formula>
    </cfRule>
    <cfRule type="expression" dxfId="513" priority="25579" stopIfTrue="1">
      <formula>OR(AB227=0,$B154&lt;=0)</formula>
    </cfRule>
  </conditionalFormatting>
  <conditionalFormatting sqref="AB224">
    <cfRule type="expression" dxfId="512" priority="25589" stopIfTrue="1">
      <formula>ISERROR(AB224)</formula>
    </cfRule>
    <cfRule type="expression" dxfId="511" priority="25590" stopIfTrue="1">
      <formula>AND($B13&gt;0,AB224=0)</formula>
    </cfRule>
    <cfRule type="expression" dxfId="510" priority="25591" stopIfTrue="1">
      <formula>OR(AB224=0,$B13&lt;=0)</formula>
    </cfRule>
  </conditionalFormatting>
  <conditionalFormatting sqref="AB226">
    <cfRule type="expression" dxfId="509" priority="25613" stopIfTrue="1">
      <formula>ISERROR(AB226)</formula>
    </cfRule>
    <cfRule type="expression" dxfId="508" priority="25614" stopIfTrue="1">
      <formula>AND($B154&gt;0,AB226=0)</formula>
    </cfRule>
    <cfRule type="expression" dxfId="507" priority="25615" stopIfTrue="1">
      <formula>OR(AB226=0,$B154&lt;=0)</formula>
    </cfRule>
  </conditionalFormatting>
  <conditionalFormatting sqref="AB223">
    <cfRule type="expression" dxfId="506" priority="25625" stopIfTrue="1">
      <formula>ISERROR(AB223)</formula>
    </cfRule>
    <cfRule type="expression" dxfId="505" priority="25626" stopIfTrue="1">
      <formula>AND($B13&gt;0,AB223=0)</formula>
    </cfRule>
    <cfRule type="expression" dxfId="504" priority="25627" stopIfTrue="1">
      <formula>OR(AB223=0,$B13&lt;=0)</formula>
    </cfRule>
  </conditionalFormatting>
  <conditionalFormatting sqref="AB225">
    <cfRule type="expression" dxfId="503" priority="25649" stopIfTrue="1">
      <formula>ISERROR(AB225)</formula>
    </cfRule>
    <cfRule type="expression" dxfId="502" priority="25650" stopIfTrue="1">
      <formula>AND($B154&gt;0,AB225=0)</formula>
    </cfRule>
    <cfRule type="expression" dxfId="501" priority="25651" stopIfTrue="1">
      <formula>OR(AB225=0,$B154&lt;=0)</formula>
    </cfRule>
  </conditionalFormatting>
  <conditionalFormatting sqref="AB222">
    <cfRule type="expression" dxfId="500" priority="25661" stopIfTrue="1">
      <formula>ISERROR(AB222)</formula>
    </cfRule>
    <cfRule type="expression" dxfId="499" priority="25662" stopIfTrue="1">
      <formula>AND($B13&gt;0,AB222=0)</formula>
    </cfRule>
    <cfRule type="expression" dxfId="498" priority="25663" stopIfTrue="1">
      <formula>OR(AB222=0,$B13&lt;=0)</formula>
    </cfRule>
  </conditionalFormatting>
  <conditionalFormatting sqref="AB224">
    <cfRule type="expression" dxfId="497" priority="25685" stopIfTrue="1">
      <formula>ISERROR(AB224)</formula>
    </cfRule>
    <cfRule type="expression" dxfId="496" priority="25686" stopIfTrue="1">
      <formula>AND($B154&gt;0,AB224=0)</formula>
    </cfRule>
    <cfRule type="expression" dxfId="495" priority="25687" stopIfTrue="1">
      <formula>OR(AB224=0,$B154&lt;=0)</formula>
    </cfRule>
  </conditionalFormatting>
  <conditionalFormatting sqref="AB221">
    <cfRule type="expression" dxfId="494" priority="25697" stopIfTrue="1">
      <formula>ISERROR(AB221)</formula>
    </cfRule>
    <cfRule type="expression" dxfId="493" priority="25698" stopIfTrue="1">
      <formula>AND($B13&gt;0,AB221=0)</formula>
    </cfRule>
    <cfRule type="expression" dxfId="492" priority="25699" stopIfTrue="1">
      <formula>OR(AB221=0,$B13&lt;=0)</formula>
    </cfRule>
  </conditionalFormatting>
  <conditionalFormatting sqref="AB223">
    <cfRule type="expression" dxfId="491" priority="25721" stopIfTrue="1">
      <formula>ISERROR(AB223)</formula>
    </cfRule>
    <cfRule type="expression" dxfId="490" priority="25722" stopIfTrue="1">
      <formula>AND($B154&gt;0,AB223=0)</formula>
    </cfRule>
    <cfRule type="expression" dxfId="489" priority="25723" stopIfTrue="1">
      <formula>OR(AB223=0,$B154&lt;=0)</formula>
    </cfRule>
  </conditionalFormatting>
  <conditionalFormatting sqref="AB220">
    <cfRule type="expression" dxfId="488" priority="25733" stopIfTrue="1">
      <formula>ISERROR(AB220)</formula>
    </cfRule>
    <cfRule type="expression" dxfId="487" priority="25734" stopIfTrue="1">
      <formula>AND($B13&gt;0,AB220=0)</formula>
    </cfRule>
    <cfRule type="expression" dxfId="486" priority="25735" stopIfTrue="1">
      <formula>OR(AB220=0,$B13&lt;=0)</formula>
    </cfRule>
  </conditionalFormatting>
  <conditionalFormatting sqref="AB222">
    <cfRule type="expression" dxfId="485" priority="25757" stopIfTrue="1">
      <formula>ISERROR(AB222)</formula>
    </cfRule>
    <cfRule type="expression" dxfId="484" priority="25758" stopIfTrue="1">
      <formula>AND($B154&gt;0,AB222=0)</formula>
    </cfRule>
    <cfRule type="expression" dxfId="483" priority="25759" stopIfTrue="1">
      <formula>OR(AB222=0,$B154&lt;=0)</formula>
    </cfRule>
  </conditionalFormatting>
  <conditionalFormatting sqref="AB219">
    <cfRule type="expression" dxfId="482" priority="25769" stopIfTrue="1">
      <formula>ISERROR(AB219)</formula>
    </cfRule>
    <cfRule type="expression" dxfId="481" priority="25770" stopIfTrue="1">
      <formula>AND($B13&gt;0,AB219=0)</formula>
    </cfRule>
    <cfRule type="expression" dxfId="480" priority="25771" stopIfTrue="1">
      <formula>OR(AB219=0,$B13&lt;=0)</formula>
    </cfRule>
  </conditionalFormatting>
  <conditionalFormatting sqref="AB221">
    <cfRule type="expression" dxfId="479" priority="25793" stopIfTrue="1">
      <formula>ISERROR(AB221)</formula>
    </cfRule>
    <cfRule type="expression" dxfId="478" priority="25794" stopIfTrue="1">
      <formula>AND($B154&gt;0,AB221=0)</formula>
    </cfRule>
    <cfRule type="expression" dxfId="477" priority="25795" stopIfTrue="1">
      <formula>OR(AB221=0,$B154&lt;=0)</formula>
    </cfRule>
  </conditionalFormatting>
  <conditionalFormatting sqref="AB218">
    <cfRule type="expression" dxfId="476" priority="25805" stopIfTrue="1">
      <formula>ISERROR(AB218)</formula>
    </cfRule>
    <cfRule type="expression" dxfId="475" priority="25806" stopIfTrue="1">
      <formula>AND($B13&gt;0,AB218=0)</formula>
    </cfRule>
    <cfRule type="expression" dxfId="474" priority="25807" stopIfTrue="1">
      <formula>OR(AB218=0,$B13&lt;=0)</formula>
    </cfRule>
  </conditionalFormatting>
  <conditionalFormatting sqref="AB220">
    <cfRule type="expression" dxfId="473" priority="25829" stopIfTrue="1">
      <formula>ISERROR(AB220)</formula>
    </cfRule>
    <cfRule type="expression" dxfId="472" priority="25830" stopIfTrue="1">
      <formula>AND($B154&gt;0,AB220=0)</formula>
    </cfRule>
    <cfRule type="expression" dxfId="471" priority="25831" stopIfTrue="1">
      <formula>OR(AB220=0,$B154&lt;=0)</formula>
    </cfRule>
  </conditionalFormatting>
  <conditionalFormatting sqref="AB217">
    <cfRule type="expression" dxfId="470" priority="25841" stopIfTrue="1">
      <formula>ISERROR(AB217)</formula>
    </cfRule>
    <cfRule type="expression" dxfId="469" priority="25842" stopIfTrue="1">
      <formula>AND($B13&gt;0,AB217=0)</formula>
    </cfRule>
    <cfRule type="expression" dxfId="468" priority="25843" stopIfTrue="1">
      <formula>OR(AB217=0,$B13&lt;=0)</formula>
    </cfRule>
  </conditionalFormatting>
  <conditionalFormatting sqref="AB219">
    <cfRule type="expression" dxfId="467" priority="25865" stopIfTrue="1">
      <formula>ISERROR(AB219)</formula>
    </cfRule>
    <cfRule type="expression" dxfId="466" priority="25866" stopIfTrue="1">
      <formula>AND($B154&gt;0,AB219=0)</formula>
    </cfRule>
    <cfRule type="expression" dxfId="465" priority="25867" stopIfTrue="1">
      <formula>OR(AB219=0,$B154&lt;=0)</formula>
    </cfRule>
  </conditionalFormatting>
  <conditionalFormatting sqref="AB216">
    <cfRule type="expression" dxfId="464" priority="25877" stopIfTrue="1">
      <formula>ISERROR(AB216)</formula>
    </cfRule>
    <cfRule type="expression" dxfId="463" priority="25878" stopIfTrue="1">
      <formula>AND($B13&gt;0,AB216=0)</formula>
    </cfRule>
    <cfRule type="expression" dxfId="462" priority="25879" stopIfTrue="1">
      <formula>OR(AB216=0,$B13&lt;=0)</formula>
    </cfRule>
  </conditionalFormatting>
  <conditionalFormatting sqref="AB218">
    <cfRule type="expression" dxfId="461" priority="25901" stopIfTrue="1">
      <formula>ISERROR(AB218)</formula>
    </cfRule>
    <cfRule type="expression" dxfId="460" priority="25902" stopIfTrue="1">
      <formula>AND($B154&gt;0,AB218=0)</formula>
    </cfRule>
    <cfRule type="expression" dxfId="459" priority="25903" stopIfTrue="1">
      <formula>OR(AB218=0,$B154&lt;=0)</formula>
    </cfRule>
  </conditionalFormatting>
  <conditionalFormatting sqref="AB215 AB210 AB212 AB203:AB208">
    <cfRule type="expression" dxfId="458" priority="25913" stopIfTrue="1">
      <formula>ISERROR(AB203)</formula>
    </cfRule>
    <cfRule type="expression" dxfId="457" priority="25914" stopIfTrue="1">
      <formula>AND($B1&gt;0,AB203=0)</formula>
    </cfRule>
    <cfRule type="expression" dxfId="456" priority="25915" stopIfTrue="1">
      <formula>OR(AB203=0,$B1&lt;=0)</formula>
    </cfRule>
  </conditionalFormatting>
  <conditionalFormatting sqref="AB217">
    <cfRule type="expression" dxfId="455" priority="25937" stopIfTrue="1">
      <formula>ISERROR(AB217)</formula>
    </cfRule>
    <cfRule type="expression" dxfId="454" priority="25938" stopIfTrue="1">
      <formula>AND($B154&gt;0,AB217=0)</formula>
    </cfRule>
    <cfRule type="expression" dxfId="453" priority="25939" stopIfTrue="1">
      <formula>OR(AB217=0,$B154&lt;=0)</formula>
    </cfRule>
  </conditionalFormatting>
  <conditionalFormatting sqref="AB209 AB211 AB213:AB214 AB203:AB207">
    <cfRule type="expression" dxfId="452" priority="25949" stopIfTrue="1">
      <formula>ISERROR(AB203)</formula>
    </cfRule>
    <cfRule type="expression" dxfId="451" priority="25950" stopIfTrue="1">
      <formula>AND($B2&gt;0,AB203=0)</formula>
    </cfRule>
    <cfRule type="expression" dxfId="450" priority="25951" stopIfTrue="1">
      <formula>OR(AB203=0,$B2&lt;=0)</formula>
    </cfRule>
  </conditionalFormatting>
  <conditionalFormatting sqref="AB216">
    <cfRule type="expression" dxfId="449" priority="25973" stopIfTrue="1">
      <formula>ISERROR(AB216)</formula>
    </cfRule>
    <cfRule type="expression" dxfId="448" priority="25974" stopIfTrue="1">
      <formula>AND($B154&gt;0,AB216=0)</formula>
    </cfRule>
    <cfRule type="expression" dxfId="447" priority="25975" stopIfTrue="1">
      <formula>OR(AB216=0,$B154&lt;=0)</formula>
    </cfRule>
  </conditionalFormatting>
  <conditionalFormatting sqref="AB215 AB210 AB212 AB203:AB208">
    <cfRule type="expression" dxfId="446" priority="26009" stopIfTrue="1">
      <formula>ISERROR(AB203)</formula>
    </cfRule>
    <cfRule type="expression" dxfId="445" priority="26010" stopIfTrue="1">
      <formula>AND($B142&gt;0,AB203=0)</formula>
    </cfRule>
    <cfRule type="expression" dxfId="444" priority="26011" stopIfTrue="1">
      <formula>OR(AB203=0,$B142&lt;=0)</formula>
    </cfRule>
  </conditionalFormatting>
  <conditionalFormatting sqref="AB209 AB211 AB213:AB214 AB203:AB207">
    <cfRule type="expression" dxfId="443" priority="26045" stopIfTrue="1">
      <formula>ISERROR(AB203)</formula>
    </cfRule>
    <cfRule type="expression" dxfId="442" priority="26046" stopIfTrue="1">
      <formula>AND($B143&gt;0,AB203=0)</formula>
    </cfRule>
    <cfRule type="expression" dxfId="441" priority="26047" stopIfTrue="1">
      <formula>OR(AB203=0,$B143&lt;=0)</formula>
    </cfRule>
  </conditionalFormatting>
  <conditionalFormatting sqref="AB203:AB219">
    <cfRule type="expression" dxfId="440" priority="26273" stopIfTrue="1">
      <formula>ISERROR(AB203)</formula>
    </cfRule>
    <cfRule type="expression" dxfId="439" priority="26274" stopIfTrue="1">
      <formula>AND($B11&gt;0,AB203=0)</formula>
    </cfRule>
    <cfRule type="expression" dxfId="438" priority="26275" stopIfTrue="1">
      <formula>OR(AB203=0,$B11&lt;=0)</formula>
    </cfRule>
  </conditionalFormatting>
  <conditionalFormatting sqref="AB203:AB219">
    <cfRule type="expression" dxfId="437" priority="26309" stopIfTrue="1">
      <formula>ISERROR(AB203)</formula>
    </cfRule>
    <cfRule type="expression" dxfId="436" priority="26310" stopIfTrue="1">
      <formula>AND($B12&gt;0,AB203=0)</formula>
    </cfRule>
    <cfRule type="expression" dxfId="435" priority="26311" stopIfTrue="1">
      <formula>OR(AB203=0,$B12&lt;=0)</formula>
    </cfRule>
  </conditionalFormatting>
  <conditionalFormatting sqref="AB203:AB219">
    <cfRule type="expression" dxfId="434" priority="26369" stopIfTrue="1">
      <formula>ISERROR(AB203)</formula>
    </cfRule>
    <cfRule type="expression" dxfId="433" priority="26370" stopIfTrue="1">
      <formula>AND($B152&gt;0,AB203=0)</formula>
    </cfRule>
    <cfRule type="expression" dxfId="432" priority="26371" stopIfTrue="1">
      <formula>OR(AB203=0,$B152&lt;=0)</formula>
    </cfRule>
  </conditionalFormatting>
  <conditionalFormatting sqref="AB203:AB219">
    <cfRule type="expression" dxfId="431" priority="26405" stopIfTrue="1">
      <formula>ISERROR(AB203)</formula>
    </cfRule>
    <cfRule type="expression" dxfId="430" priority="26406" stopIfTrue="1">
      <formula>AND($B153&gt;0,AB203=0)</formula>
    </cfRule>
    <cfRule type="expression" dxfId="429" priority="26407" stopIfTrue="1">
      <formula>OR(AB203=0,$B153&lt;=0)</formula>
    </cfRule>
  </conditionalFormatting>
  <conditionalFormatting sqref="AB182:AB189">
    <cfRule type="expression" dxfId="428" priority="27101" stopIfTrue="1">
      <formula>ISERROR(AB182)</formula>
    </cfRule>
    <cfRule type="expression" dxfId="427" priority="27102" stopIfTrue="1">
      <formula>AND($B13&gt;0,AB182=0)</formula>
    </cfRule>
    <cfRule type="expression" dxfId="426" priority="27103" stopIfTrue="1">
      <formula>OR(AB182=0,$B13&lt;=0)</formula>
    </cfRule>
  </conditionalFormatting>
  <conditionalFormatting sqref="AB181">
    <cfRule type="expression" dxfId="425" priority="27137" stopIfTrue="1">
      <formula>ISERROR(AB181)</formula>
    </cfRule>
    <cfRule type="expression" dxfId="424" priority="27138" stopIfTrue="1">
      <formula>AND($B13&gt;0,AB181=0)</formula>
    </cfRule>
    <cfRule type="expression" dxfId="423" priority="27139" stopIfTrue="1">
      <formula>OR(AB181=0,$B13&lt;=0)</formula>
    </cfRule>
  </conditionalFormatting>
  <conditionalFormatting sqref="AB182:AB189">
    <cfRule type="expression" dxfId="422" priority="27197" stopIfTrue="1">
      <formula>ISERROR(AB182)</formula>
    </cfRule>
    <cfRule type="expression" dxfId="421" priority="27198" stopIfTrue="1">
      <formula>AND($B154&gt;0,AB182=0)</formula>
    </cfRule>
    <cfRule type="expression" dxfId="420" priority="27199" stopIfTrue="1">
      <formula>OR(AB182=0,$B154&lt;=0)</formula>
    </cfRule>
  </conditionalFormatting>
  <conditionalFormatting sqref="AB181">
    <cfRule type="expression" dxfId="419" priority="27233" stopIfTrue="1">
      <formula>ISERROR(AB181)</formula>
    </cfRule>
    <cfRule type="expression" dxfId="418" priority="27234" stopIfTrue="1">
      <formula>AND($B154&gt;0,AB181=0)</formula>
    </cfRule>
    <cfRule type="expression" dxfId="417" priority="27235" stopIfTrue="1">
      <formula>OR(AB181=0,$B154&lt;=0)</formula>
    </cfRule>
  </conditionalFormatting>
  <conditionalFormatting sqref="AB176:AB180">
    <cfRule type="expression" dxfId="416" priority="27317" stopIfTrue="1">
      <formula>ISERROR(AB176)</formula>
    </cfRule>
    <cfRule type="expression" dxfId="415" priority="27318" stopIfTrue="1">
      <formula>AND($B13&gt;0,AB176=0)</formula>
    </cfRule>
    <cfRule type="expression" dxfId="414" priority="27319" stopIfTrue="1">
      <formula>OR(AB176=0,$B13&lt;=0)</formula>
    </cfRule>
  </conditionalFormatting>
  <conditionalFormatting sqref="AB175">
    <cfRule type="expression" dxfId="413" priority="27353" stopIfTrue="1">
      <formula>ISERROR(AB175)</formula>
    </cfRule>
    <cfRule type="expression" dxfId="412" priority="27354" stopIfTrue="1">
      <formula>AND($B13&gt;0,AB175=0)</formula>
    </cfRule>
    <cfRule type="expression" dxfId="411" priority="27355" stopIfTrue="1">
      <formula>OR(AB175=0,$B13&lt;=0)</formula>
    </cfRule>
  </conditionalFormatting>
  <conditionalFormatting sqref="AB174">
    <cfRule type="expression" dxfId="410" priority="27389" stopIfTrue="1">
      <formula>ISERROR(AB174)</formula>
    </cfRule>
    <cfRule type="expression" dxfId="409" priority="27390" stopIfTrue="1">
      <formula>AND($B13&gt;0,AB174=0)</formula>
    </cfRule>
    <cfRule type="expression" dxfId="408" priority="27391" stopIfTrue="1">
      <formula>OR(AB174=0,$B13&lt;=0)</formula>
    </cfRule>
  </conditionalFormatting>
  <conditionalFormatting sqref="AB176:AB180">
    <cfRule type="expression" dxfId="407" priority="27413" stopIfTrue="1">
      <formula>ISERROR(AB176)</formula>
    </cfRule>
    <cfRule type="expression" dxfId="406" priority="27414" stopIfTrue="1">
      <formula>AND($B154&gt;0,AB176=0)</formula>
    </cfRule>
    <cfRule type="expression" dxfId="405" priority="27415" stopIfTrue="1">
      <formula>OR(AB176=0,$B154&lt;=0)</formula>
    </cfRule>
  </conditionalFormatting>
  <conditionalFormatting sqref="AB173">
    <cfRule type="expression" dxfId="404" priority="27425" stopIfTrue="1">
      <formula>ISERROR(AB173)</formula>
    </cfRule>
    <cfRule type="expression" dxfId="403" priority="27426" stopIfTrue="1">
      <formula>AND($B13&gt;0,AB173=0)</formula>
    </cfRule>
    <cfRule type="expression" dxfId="402" priority="27427" stopIfTrue="1">
      <formula>OR(AB173=0,$B13&lt;=0)</formula>
    </cfRule>
  </conditionalFormatting>
  <conditionalFormatting sqref="AB175">
    <cfRule type="expression" dxfId="401" priority="27449" stopIfTrue="1">
      <formula>ISERROR(AB175)</formula>
    </cfRule>
    <cfRule type="expression" dxfId="400" priority="27450" stopIfTrue="1">
      <formula>AND($B154&gt;0,AB175=0)</formula>
    </cfRule>
    <cfRule type="expression" dxfId="399" priority="27451" stopIfTrue="1">
      <formula>OR(AB175=0,$B154&lt;=0)</formula>
    </cfRule>
  </conditionalFormatting>
  <conditionalFormatting sqref="AB172">
    <cfRule type="expression" dxfId="398" priority="27461" stopIfTrue="1">
      <formula>ISERROR(AB172)</formula>
    </cfRule>
    <cfRule type="expression" dxfId="397" priority="27462" stopIfTrue="1">
      <formula>AND($B13&gt;0,AB172=0)</formula>
    </cfRule>
    <cfRule type="expression" dxfId="396" priority="27463" stopIfTrue="1">
      <formula>OR(AB172=0,$B13&lt;=0)</formula>
    </cfRule>
  </conditionalFormatting>
  <conditionalFormatting sqref="AB174">
    <cfRule type="expression" dxfId="395" priority="27485" stopIfTrue="1">
      <formula>ISERROR(AB174)</formula>
    </cfRule>
    <cfRule type="expression" dxfId="394" priority="27486" stopIfTrue="1">
      <formula>AND($B154&gt;0,AB174=0)</formula>
    </cfRule>
    <cfRule type="expression" dxfId="393" priority="27487" stopIfTrue="1">
      <formula>OR(AB174=0,$B154&lt;=0)</formula>
    </cfRule>
  </conditionalFormatting>
  <conditionalFormatting sqref="AB171">
    <cfRule type="expression" dxfId="392" priority="27497" stopIfTrue="1">
      <formula>ISERROR(AB171)</formula>
    </cfRule>
    <cfRule type="expression" dxfId="391" priority="27498" stopIfTrue="1">
      <formula>AND($B13&gt;0,AB171=0)</formula>
    </cfRule>
    <cfRule type="expression" dxfId="390" priority="27499" stopIfTrue="1">
      <formula>OR(AB171=0,$B13&lt;=0)</formula>
    </cfRule>
  </conditionalFormatting>
  <conditionalFormatting sqref="AB173">
    <cfRule type="expression" dxfId="389" priority="27521" stopIfTrue="1">
      <formula>ISERROR(AB173)</formula>
    </cfRule>
    <cfRule type="expression" dxfId="388" priority="27522" stopIfTrue="1">
      <formula>AND($B154&gt;0,AB173=0)</formula>
    </cfRule>
    <cfRule type="expression" dxfId="387" priority="27523" stopIfTrue="1">
      <formula>OR(AB173=0,$B154&lt;=0)</formula>
    </cfRule>
  </conditionalFormatting>
  <conditionalFormatting sqref="AB170">
    <cfRule type="expression" dxfId="386" priority="27533" stopIfTrue="1">
      <formula>ISERROR(AB170)</formula>
    </cfRule>
    <cfRule type="expression" dxfId="385" priority="27534" stopIfTrue="1">
      <formula>AND($B13&gt;0,AB170=0)</formula>
    </cfRule>
    <cfRule type="expression" dxfId="384" priority="27535" stopIfTrue="1">
      <formula>OR(AB170=0,$B13&lt;=0)</formula>
    </cfRule>
  </conditionalFormatting>
  <conditionalFormatting sqref="AB172">
    <cfRule type="expression" dxfId="383" priority="27557" stopIfTrue="1">
      <formula>ISERROR(AB172)</formula>
    </cfRule>
    <cfRule type="expression" dxfId="382" priority="27558" stopIfTrue="1">
      <formula>AND($B154&gt;0,AB172=0)</formula>
    </cfRule>
    <cfRule type="expression" dxfId="381" priority="27559" stopIfTrue="1">
      <formula>OR(AB172=0,$B154&lt;=0)</formula>
    </cfRule>
  </conditionalFormatting>
  <conditionalFormatting sqref="AB169">
    <cfRule type="expression" dxfId="380" priority="27569" stopIfTrue="1">
      <formula>ISERROR(AB169)</formula>
    </cfRule>
    <cfRule type="expression" dxfId="379" priority="27570" stopIfTrue="1">
      <formula>AND($B13&gt;0,AB169=0)</formula>
    </cfRule>
    <cfRule type="expression" dxfId="378" priority="27571" stopIfTrue="1">
      <formula>OR(AB169=0,$B13&lt;=0)</formula>
    </cfRule>
  </conditionalFormatting>
  <conditionalFormatting sqref="AB171">
    <cfRule type="expression" dxfId="377" priority="27593" stopIfTrue="1">
      <formula>ISERROR(AB171)</formula>
    </cfRule>
    <cfRule type="expression" dxfId="376" priority="27594" stopIfTrue="1">
      <formula>AND($B154&gt;0,AB171=0)</formula>
    </cfRule>
    <cfRule type="expression" dxfId="375" priority="27595" stopIfTrue="1">
      <formula>OR(AB171=0,$B154&lt;=0)</formula>
    </cfRule>
  </conditionalFormatting>
  <conditionalFormatting sqref="AB168">
    <cfRule type="expression" dxfId="374" priority="27605" stopIfTrue="1">
      <formula>ISERROR(AB168)</formula>
    </cfRule>
    <cfRule type="expression" dxfId="373" priority="27606" stopIfTrue="1">
      <formula>AND($B13&gt;0,AB168=0)</formula>
    </cfRule>
    <cfRule type="expression" dxfId="372" priority="27607" stopIfTrue="1">
      <formula>OR(AB168=0,$B13&lt;=0)</formula>
    </cfRule>
  </conditionalFormatting>
  <conditionalFormatting sqref="AB170">
    <cfRule type="expression" dxfId="371" priority="27629" stopIfTrue="1">
      <formula>ISERROR(AB170)</formula>
    </cfRule>
    <cfRule type="expression" dxfId="370" priority="27630" stopIfTrue="1">
      <formula>AND($B154&gt;0,AB170=0)</formula>
    </cfRule>
    <cfRule type="expression" dxfId="369" priority="27631" stopIfTrue="1">
      <formula>OR(AB170=0,$B154&lt;=0)</formula>
    </cfRule>
  </conditionalFormatting>
  <conditionalFormatting sqref="AB167:AB168">
    <cfRule type="expression" dxfId="368" priority="27641" stopIfTrue="1">
      <formula>ISERROR(AB167)</formula>
    </cfRule>
    <cfRule type="expression" dxfId="367" priority="27642" stopIfTrue="1">
      <formula>AND($B13&gt;0,AB167=0)</formula>
    </cfRule>
    <cfRule type="expression" dxfId="366" priority="27643" stopIfTrue="1">
      <formula>OR(AB167=0,$B13&lt;=0)</formula>
    </cfRule>
  </conditionalFormatting>
  <conditionalFormatting sqref="AB169">
    <cfRule type="expression" dxfId="365" priority="27665" stopIfTrue="1">
      <formula>ISERROR(AB169)</formula>
    </cfRule>
    <cfRule type="expression" dxfId="364" priority="27666" stopIfTrue="1">
      <formula>AND($B154&gt;0,AB169=0)</formula>
    </cfRule>
    <cfRule type="expression" dxfId="363" priority="27667" stopIfTrue="1">
      <formula>OR(AB169=0,$B154&lt;=0)</formula>
    </cfRule>
  </conditionalFormatting>
  <conditionalFormatting sqref="AB166">
    <cfRule type="expression" dxfId="362" priority="27677" stopIfTrue="1">
      <formula>ISERROR(AB166)</formula>
    </cfRule>
    <cfRule type="expression" dxfId="361" priority="27678" stopIfTrue="1">
      <formula>AND($B13&gt;0,AB166=0)</formula>
    </cfRule>
    <cfRule type="expression" dxfId="360" priority="27679" stopIfTrue="1">
      <formula>OR(AB166=0,$B13&lt;=0)</formula>
    </cfRule>
  </conditionalFormatting>
  <conditionalFormatting sqref="AB168">
    <cfRule type="expression" dxfId="359" priority="27701" stopIfTrue="1">
      <formula>ISERROR(AB168)</formula>
    </cfRule>
    <cfRule type="expression" dxfId="358" priority="27702" stopIfTrue="1">
      <formula>AND($B154&gt;0,AB168=0)</formula>
    </cfRule>
    <cfRule type="expression" dxfId="357" priority="27703" stopIfTrue="1">
      <formula>OR(AB168=0,$B154&lt;=0)</formula>
    </cfRule>
  </conditionalFormatting>
  <conditionalFormatting sqref="AB165:AB168">
    <cfRule type="expression" dxfId="356" priority="27713" stopIfTrue="1">
      <formula>ISERROR(AB165)</formula>
    </cfRule>
    <cfRule type="expression" dxfId="355" priority="27714" stopIfTrue="1">
      <formula>AND($B13&gt;0,AB165=0)</formula>
    </cfRule>
    <cfRule type="expression" dxfId="354" priority="27715" stopIfTrue="1">
      <formula>OR(AB165=0,$B13&lt;=0)</formula>
    </cfRule>
  </conditionalFormatting>
  <conditionalFormatting sqref="AB167:AB168">
    <cfRule type="expression" dxfId="353" priority="27737" stopIfTrue="1">
      <formula>ISERROR(AB167)</formula>
    </cfRule>
    <cfRule type="expression" dxfId="352" priority="27738" stopIfTrue="1">
      <formula>AND($B154&gt;0,AB167=0)</formula>
    </cfRule>
    <cfRule type="expression" dxfId="351" priority="27739" stopIfTrue="1">
      <formula>OR(AB167=0,$B154&lt;=0)</formula>
    </cfRule>
  </conditionalFormatting>
  <conditionalFormatting sqref="AB164:AB168">
    <cfRule type="expression" dxfId="350" priority="27749" stopIfTrue="1">
      <formula>ISERROR(AB164)</formula>
    </cfRule>
    <cfRule type="expression" dxfId="349" priority="27750" stopIfTrue="1">
      <formula>AND($B13&gt;0,AB164=0)</formula>
    </cfRule>
    <cfRule type="expression" dxfId="348" priority="27751" stopIfTrue="1">
      <formula>OR(AB164=0,$B13&lt;=0)</formula>
    </cfRule>
  </conditionalFormatting>
  <conditionalFormatting sqref="AB166">
    <cfRule type="expression" dxfId="347" priority="27773" stopIfTrue="1">
      <formula>ISERROR(AB166)</formula>
    </cfRule>
    <cfRule type="expression" dxfId="346" priority="27774" stopIfTrue="1">
      <formula>AND($B154&gt;0,AB166=0)</formula>
    </cfRule>
    <cfRule type="expression" dxfId="345" priority="27775" stopIfTrue="1">
      <formula>OR(AB166=0,$B154&lt;=0)</formula>
    </cfRule>
  </conditionalFormatting>
  <conditionalFormatting sqref="AB162">
    <cfRule type="expression" dxfId="344" priority="27782" stopIfTrue="1">
      <formula>ISERROR(AB162)</formula>
    </cfRule>
    <cfRule type="expression" dxfId="343" priority="27783" stopIfTrue="1">
      <formula>AND($B13&gt;0,AB162=0)</formula>
    </cfRule>
    <cfRule type="expression" dxfId="342" priority="27784" stopIfTrue="1">
      <formula>OR(AB162=0,$B13&lt;=0)</formula>
    </cfRule>
  </conditionalFormatting>
  <conditionalFormatting sqref="AB165:AB168">
    <cfRule type="expression" dxfId="341" priority="27806" stopIfTrue="1">
      <formula>ISERROR(AB165)</formula>
    </cfRule>
    <cfRule type="expression" dxfId="340" priority="27807" stopIfTrue="1">
      <formula>AND($B154&gt;0,AB165=0)</formula>
    </cfRule>
    <cfRule type="expression" dxfId="339" priority="27808" stopIfTrue="1">
      <formula>OR(AB165=0,$B154&lt;=0)</formula>
    </cfRule>
  </conditionalFormatting>
  <conditionalFormatting sqref="AB161">
    <cfRule type="expression" dxfId="338" priority="27818" stopIfTrue="1">
      <formula>ISERROR(AB161)</formula>
    </cfRule>
    <cfRule type="expression" dxfId="337" priority="27819" stopIfTrue="1">
      <formula>AND($B13&gt;0,AB161=0)</formula>
    </cfRule>
    <cfRule type="expression" dxfId="336" priority="27820" stopIfTrue="1">
      <formula>OR(AB161=0,$B13&lt;=0)</formula>
    </cfRule>
  </conditionalFormatting>
  <conditionalFormatting sqref="AB164:AB168">
    <cfRule type="expression" dxfId="335" priority="27842" stopIfTrue="1">
      <formula>ISERROR(AB164)</formula>
    </cfRule>
    <cfRule type="expression" dxfId="334" priority="27843" stopIfTrue="1">
      <formula>AND($B154&gt;0,AB164=0)</formula>
    </cfRule>
    <cfRule type="expression" dxfId="333" priority="27844" stopIfTrue="1">
      <formula>OR(AB164=0,$B154&lt;=0)</formula>
    </cfRule>
  </conditionalFormatting>
  <conditionalFormatting sqref="AB160:AB161">
    <cfRule type="expression" dxfId="332" priority="27854" stopIfTrue="1">
      <formula>ISERROR(AB160)</formula>
    </cfRule>
    <cfRule type="expression" dxfId="331" priority="27855" stopIfTrue="1">
      <formula>AND($B13&gt;0,AB160=0)</formula>
    </cfRule>
    <cfRule type="expression" dxfId="330" priority="27856" stopIfTrue="1">
      <formula>OR(AB160=0,$B13&lt;=0)</formula>
    </cfRule>
  </conditionalFormatting>
  <conditionalFormatting sqref="AB163">
    <cfRule type="expression" dxfId="329" priority="27878" stopIfTrue="1">
      <formula>ISERROR(AB163)</formula>
    </cfRule>
    <cfRule type="expression" dxfId="328" priority="27879" stopIfTrue="1">
      <formula>AND($B154&gt;0,AB163=0)</formula>
    </cfRule>
    <cfRule type="expression" dxfId="327" priority="27880" stopIfTrue="1">
      <formula>OR(AB163=0,$B154&lt;=0)</formula>
    </cfRule>
  </conditionalFormatting>
  <conditionalFormatting sqref="AB162">
    <cfRule type="expression" dxfId="326" priority="27908" stopIfTrue="1">
      <formula>ISERROR(AB162)</formula>
    </cfRule>
    <cfRule type="expression" dxfId="325" priority="27909" stopIfTrue="1">
      <formula>AND($B154&gt;0,AB162=0)</formula>
    </cfRule>
    <cfRule type="expression" dxfId="324" priority="27910" stopIfTrue="1">
      <formula>OR(AB162=0,$B154&lt;=0)</formula>
    </cfRule>
  </conditionalFormatting>
  <conditionalFormatting sqref="AB161">
    <cfRule type="expression" dxfId="323" priority="27935" stopIfTrue="1">
      <formula>ISERROR(AB161)</formula>
    </cfRule>
    <cfRule type="expression" dxfId="322" priority="27936" stopIfTrue="1">
      <formula>AND($B154&gt;0,AB161=0)</formula>
    </cfRule>
    <cfRule type="expression" dxfId="321" priority="27937" stopIfTrue="1">
      <formula>OR(AB161=0,$B154&lt;=0)</formula>
    </cfRule>
  </conditionalFormatting>
  <conditionalFormatting sqref="AB160:AB161">
    <cfRule type="expression" dxfId="320" priority="27962" stopIfTrue="1">
      <formula>ISERROR(AB160)</formula>
    </cfRule>
    <cfRule type="expression" dxfId="319" priority="27963" stopIfTrue="1">
      <formula>AND($B154&gt;0,AB160=0)</formula>
    </cfRule>
    <cfRule type="expression" dxfId="318" priority="27964" stopIfTrue="1">
      <formula>OR(AB160=0,$B154&lt;=0)</formula>
    </cfRule>
  </conditionalFormatting>
  <conditionalFormatting sqref="AB16:AB189 AB203:AB234 AB299:AB384">
    <cfRule type="expression" dxfId="317" priority="27989" stopIfTrue="1">
      <formula>ISERROR(AB16)</formula>
    </cfRule>
    <cfRule type="expression" dxfId="316" priority="27990" stopIfTrue="1">
      <formula>AND($B11&gt;0,AB16=0)</formula>
    </cfRule>
    <cfRule type="expression" dxfId="315" priority="27991" stopIfTrue="1">
      <formula>OR(AB16=0,$B11&lt;=0)</formula>
    </cfRule>
  </conditionalFormatting>
  <conditionalFormatting sqref="AW9:AZ67 AW10:AW68">
    <cfRule type="expression" dxfId="314" priority="310" stopIfTrue="1">
      <formula>ISERROR(AW9)</formula>
    </cfRule>
    <cfRule type="expression" dxfId="313" priority="311" stopIfTrue="1">
      <formula>AND($B5&gt;0,AW9=0)</formula>
    </cfRule>
    <cfRule type="expression" dxfId="312" priority="312" stopIfTrue="1">
      <formula>OR(AW9=0,$B5&lt;=0)</formula>
    </cfRule>
  </conditionalFormatting>
  <conditionalFormatting sqref="X140:X182 X201:X220 X228:X234 X299:X389">
    <cfRule type="expression" dxfId="311" priority="307" stopIfTrue="1">
      <formula>ISERROR(X140)</formula>
    </cfRule>
    <cfRule type="expression" dxfId="310" priority="308" stopIfTrue="1">
      <formula>AND($B140&gt;0,X140=0)</formula>
    </cfRule>
    <cfRule type="expression" dxfId="309" priority="309" stopIfTrue="1">
      <formula>OR(X140=0,$B140&lt;=0)</formula>
    </cfRule>
  </conditionalFormatting>
  <conditionalFormatting sqref="AC389:AI389 B389:W389 B5:AA7 Y389:Z389 B8:Z132 B385:W387 Y385:Z387 AC385:AI387 AA304:AA396 Z304:Z384 AD292:AH384 W133:Z165 B133:V384 AC5:AI9 X166:Y181 AC214:AE223 AD183:AH190 X182 Z194:AA303 Z166:Z193 AA8:AA193 AC183:AC189 AD191:AE213 Y299:Y384 X201:X220 AC201:AC213 X228:X234 AC224:AC234 AD224:AE291 AF191:AH291 W166:W234 AC299:AC384 W299:W384 X299:X389 AC10:AH182 AI10:AI384">
    <cfRule type="expression" dxfId="308" priority="338" stopIfTrue="1">
      <formula>AND($B5&gt;0,B5=0)</formula>
    </cfRule>
  </conditionalFormatting>
  <conditionalFormatting sqref="AB5:AB189 AB203:AB234 AB299:AB384">
    <cfRule type="expression" dxfId="307" priority="29673" stopIfTrue="1">
      <formula>ISERROR(AB5)</formula>
    </cfRule>
    <cfRule type="expression" dxfId="306" priority="29674" stopIfTrue="1">
      <formula>AND(#REF!&gt;0,AB5=0)</formula>
    </cfRule>
    <cfRule type="expression" dxfId="305" priority="29675" stopIfTrue="1">
      <formula>OR(AB5=0,#REF!&lt;=0)</formula>
    </cfRule>
  </conditionalFormatting>
  <conditionalFormatting sqref="AN240:AN258">
    <cfRule type="expression" dxfId="304" priority="302" stopIfTrue="1">
      <formula>ISERROR(AN240)</formula>
    </cfRule>
    <cfRule type="expression" dxfId="303" priority="303" stopIfTrue="1">
      <formula>OR(AN240=0,$B240&lt;=0)</formula>
    </cfRule>
  </conditionalFormatting>
  <conditionalFormatting sqref="AN240:AN258">
    <cfRule type="expression" dxfId="302" priority="299" stopIfTrue="1">
      <formula>ISERROR(AN240)</formula>
    </cfRule>
    <cfRule type="expression" dxfId="301" priority="300" stopIfTrue="1">
      <formula>AND($B240&gt;0,AN240=0)</formula>
    </cfRule>
    <cfRule type="expression" dxfId="300" priority="301" stopIfTrue="1">
      <formula>OR(AN240=0,$B240&lt;=0)</formula>
    </cfRule>
  </conditionalFormatting>
  <conditionalFormatting sqref="AN240:AN258">
    <cfRule type="expression" dxfId="299" priority="298" stopIfTrue="1">
      <formula>AND($B240&gt;0,AN240=0)</formula>
    </cfRule>
  </conditionalFormatting>
  <conditionalFormatting sqref="X183:X194 Y182:Y194 X195:Y200 Y201:Y298">
    <cfRule type="expression" dxfId="298" priority="244" stopIfTrue="1">
      <formula>ISERROR(X182)</formula>
    </cfRule>
    <cfRule type="expression" dxfId="297" priority="246" stopIfTrue="1">
      <formula>OR(X182=0,$B182&lt;=0)</formula>
    </cfRule>
  </conditionalFormatting>
  <conditionalFormatting sqref="X183:X200">
    <cfRule type="expression" dxfId="296" priority="241" stopIfTrue="1">
      <formula>ISERROR(X183)</formula>
    </cfRule>
    <cfRule type="expression" dxfId="295" priority="242" stopIfTrue="1">
      <formula>AND($B183&gt;0,X183=0)</formula>
    </cfRule>
    <cfRule type="expression" dxfId="294" priority="243" stopIfTrue="1">
      <formula>OR(X183=0,$B183&lt;=0)</formula>
    </cfRule>
  </conditionalFormatting>
  <conditionalFormatting sqref="X183:X194 Y182:Y194 X195:Y200 Y201:Y298">
    <cfRule type="expression" dxfId="293" priority="245" stopIfTrue="1">
      <formula>AND($B182&gt;0,X182=0)</formula>
    </cfRule>
  </conditionalFormatting>
  <conditionalFormatting sqref="AC190:AC200">
    <cfRule type="expression" dxfId="292" priority="208" stopIfTrue="1">
      <formula>ISERROR(AC190)</formula>
    </cfRule>
    <cfRule type="expression" dxfId="291" priority="210" stopIfTrue="1">
      <formula>OR(AC190=0,$B190&lt;=0)</formula>
    </cfRule>
  </conditionalFormatting>
  <conditionalFormatting sqref="AB190:AB200">
    <cfRule type="expression" dxfId="290" priority="211" stopIfTrue="1">
      <formula>ISERROR(AB190)</formula>
    </cfRule>
    <cfRule type="expression" dxfId="289" priority="212" stopIfTrue="1">
      <formula>AND($B189&gt;0,AB190=0)</formula>
    </cfRule>
    <cfRule type="expression" dxfId="288" priority="213" stopIfTrue="1">
      <formula>OR(AB190=0,$B189&lt;=0)</formula>
    </cfRule>
  </conditionalFormatting>
  <conditionalFormatting sqref="AB190:AB200">
    <cfRule type="expression" dxfId="287" priority="214" stopIfTrue="1">
      <formula>ISERROR(AB190)</formula>
    </cfRule>
    <cfRule type="expression" dxfId="286" priority="215" stopIfTrue="1">
      <formula>AND(#REF!&gt;0,AB190=0)</formula>
    </cfRule>
    <cfRule type="expression" dxfId="285" priority="216" stopIfTrue="1">
      <formula>OR(AB190=0,#REF!&lt;=0)</formula>
    </cfRule>
  </conditionalFormatting>
  <conditionalFormatting sqref="AB190:AB200">
    <cfRule type="expression" dxfId="284" priority="217" stopIfTrue="1">
      <formula>ISERROR(AB190)</formula>
    </cfRule>
    <cfRule type="expression" dxfId="283" priority="218" stopIfTrue="1">
      <formula>AND($B74&gt;0,AB190=0)</formula>
    </cfRule>
    <cfRule type="expression" dxfId="282" priority="219" stopIfTrue="1">
      <formula>OR(AB190=0,$B74&lt;=0)</formula>
    </cfRule>
  </conditionalFormatting>
  <conditionalFormatting sqref="AB190:AB200">
    <cfRule type="expression" dxfId="281" priority="220" stopIfTrue="1">
      <formula>ISERROR(AB190)</formula>
    </cfRule>
    <cfRule type="expression" dxfId="280" priority="221" stopIfTrue="1">
      <formula>AND($B115&gt;0,AB190=0)</formula>
    </cfRule>
    <cfRule type="expression" dxfId="279" priority="222" stopIfTrue="1">
      <formula>OR(AB190=0,$B115&lt;=0)</formula>
    </cfRule>
  </conditionalFormatting>
  <conditionalFormatting sqref="AB190:AB200">
    <cfRule type="expression" dxfId="278" priority="223" stopIfTrue="1">
      <formula>ISERROR(AB190)</formula>
    </cfRule>
    <cfRule type="expression" dxfId="277" priority="224" stopIfTrue="1">
      <formula>AND($B106&gt;0,AB190=0)</formula>
    </cfRule>
    <cfRule type="expression" dxfId="276" priority="225" stopIfTrue="1">
      <formula>OR(AB190=0,$B106&lt;=0)</formula>
    </cfRule>
  </conditionalFormatting>
  <conditionalFormatting sqref="AB190:AB200">
    <cfRule type="expression" dxfId="275" priority="226" stopIfTrue="1">
      <formula>ISERROR(AB190)</formula>
    </cfRule>
    <cfRule type="expression" dxfId="274" priority="227" stopIfTrue="1">
      <formula>AND($B48&gt;0,AB190=0)</formula>
    </cfRule>
    <cfRule type="expression" dxfId="273" priority="228" stopIfTrue="1">
      <formula>OR(AB190=0,$B48&lt;=0)</formula>
    </cfRule>
  </conditionalFormatting>
  <conditionalFormatting sqref="AB190:AB200">
    <cfRule type="expression" dxfId="272" priority="229" stopIfTrue="1">
      <formula>ISERROR(AB190)</formula>
    </cfRule>
    <cfRule type="expression" dxfId="271" priority="230" stopIfTrue="1">
      <formula>AND($B1048545&gt;0,AB190=0)</formula>
    </cfRule>
    <cfRule type="expression" dxfId="270" priority="231" stopIfTrue="1">
      <formula>OR(AB190=0,$B1048545&lt;=0)</formula>
    </cfRule>
  </conditionalFormatting>
  <conditionalFormatting sqref="AB190:AB200">
    <cfRule type="expression" dxfId="269" priority="232" stopIfTrue="1">
      <formula>ISERROR(AB190)</formula>
    </cfRule>
    <cfRule type="expression" dxfId="268" priority="233" stopIfTrue="1">
      <formula>AND($B110&gt;0,AB190=0)</formula>
    </cfRule>
    <cfRule type="expression" dxfId="267" priority="234" stopIfTrue="1">
      <formula>OR(AB190=0,$B110&lt;=0)</formula>
    </cfRule>
  </conditionalFormatting>
  <conditionalFormatting sqref="AB190:AB200">
    <cfRule type="expression" dxfId="266" priority="235" stopIfTrue="1">
      <formula>ISERROR(AB190)</formula>
    </cfRule>
    <cfRule type="expression" dxfId="265" priority="236" stopIfTrue="1">
      <formula>AND($B185&gt;0,AB190=0)</formula>
    </cfRule>
    <cfRule type="expression" dxfId="264" priority="237" stopIfTrue="1">
      <formula>OR(AB190=0,$B185&lt;=0)</formula>
    </cfRule>
  </conditionalFormatting>
  <conditionalFormatting sqref="AC190:AC200">
    <cfRule type="expression" dxfId="263" priority="209" stopIfTrue="1">
      <formula>AND($B190&gt;0,AC190=0)</formula>
    </cfRule>
  </conditionalFormatting>
  <conditionalFormatting sqref="AB190:AB200">
    <cfRule type="expression" dxfId="262" priority="238" stopIfTrue="1">
      <formula>ISERROR(AB190)</formula>
    </cfRule>
    <cfRule type="expression" dxfId="261" priority="239" stopIfTrue="1">
      <formula>AND(#REF!&gt;0,AB190=0)</formula>
    </cfRule>
    <cfRule type="expression" dxfId="260" priority="240" stopIfTrue="1">
      <formula>OR(AB190=0,#REF!&lt;=0)</formula>
    </cfRule>
  </conditionalFormatting>
  <conditionalFormatting sqref="AB201:AB202">
    <cfRule type="expression" dxfId="259" priority="148" stopIfTrue="1">
      <formula>ISERROR(AB201)</formula>
    </cfRule>
    <cfRule type="expression" dxfId="258" priority="149" stopIfTrue="1">
      <formula>AND($B200&gt;0,AB201=0)</formula>
    </cfRule>
    <cfRule type="expression" dxfId="257" priority="150" stopIfTrue="1">
      <formula>OR(AB201=0,$B200&lt;=0)</formula>
    </cfRule>
  </conditionalFormatting>
  <conditionalFormatting sqref="AB201:AB202">
    <cfRule type="expression" dxfId="256" priority="151" stopIfTrue="1">
      <formula>ISERROR(AB201)</formula>
    </cfRule>
    <cfRule type="expression" dxfId="255" priority="152" stopIfTrue="1">
      <formula>AND(#REF!&gt;0,AB201=0)</formula>
    </cfRule>
    <cfRule type="expression" dxfId="254" priority="153" stopIfTrue="1">
      <formula>OR(AB201=0,#REF!&lt;=0)</formula>
    </cfRule>
  </conditionalFormatting>
  <conditionalFormatting sqref="AB201:AB202">
    <cfRule type="expression" dxfId="253" priority="154" stopIfTrue="1">
      <formula>ISERROR(AB201)</formula>
    </cfRule>
    <cfRule type="expression" dxfId="252" priority="155" stopIfTrue="1">
      <formula>AND($B85&gt;0,AB201=0)</formula>
    </cfRule>
    <cfRule type="expression" dxfId="251" priority="156" stopIfTrue="1">
      <formula>OR(AB201=0,$B85&lt;=0)</formula>
    </cfRule>
  </conditionalFormatting>
  <conditionalFormatting sqref="AB201:AB202">
    <cfRule type="expression" dxfId="250" priority="157" stopIfTrue="1">
      <formula>ISERROR(AB201)</formula>
    </cfRule>
    <cfRule type="expression" dxfId="249" priority="158" stopIfTrue="1">
      <formula>AND($B126&gt;0,AB201=0)</formula>
    </cfRule>
    <cfRule type="expression" dxfId="248" priority="159" stopIfTrue="1">
      <formula>OR(AB201=0,$B126&lt;=0)</formula>
    </cfRule>
  </conditionalFormatting>
  <conditionalFormatting sqref="AB201:AB202">
    <cfRule type="expression" dxfId="247" priority="160" stopIfTrue="1">
      <formula>ISERROR(AB201)</formula>
    </cfRule>
    <cfRule type="expression" dxfId="246" priority="161" stopIfTrue="1">
      <formula>AND($B136&gt;0,AB201=0)</formula>
    </cfRule>
    <cfRule type="expression" dxfId="245" priority="162" stopIfTrue="1">
      <formula>OR(AB201=0,$B136&lt;=0)</formula>
    </cfRule>
  </conditionalFormatting>
  <conditionalFormatting sqref="AB201:AB202">
    <cfRule type="expression" dxfId="244" priority="163" stopIfTrue="1">
      <formula>ISERROR(AB201)</formula>
    </cfRule>
    <cfRule type="expression" dxfId="243" priority="164" stopIfTrue="1">
      <formula>AND($B137&gt;0,AB201=0)</formula>
    </cfRule>
    <cfRule type="expression" dxfId="242" priority="165" stopIfTrue="1">
      <formula>OR(AB201=0,$B137&lt;=0)</formula>
    </cfRule>
  </conditionalFormatting>
  <conditionalFormatting sqref="AB201:AB202">
    <cfRule type="expression" dxfId="241" priority="166" stopIfTrue="1">
      <formula>ISERROR(AB201)</formula>
    </cfRule>
    <cfRule type="expression" dxfId="240" priority="167" stopIfTrue="1">
      <formula>AND($B146&gt;0,AB201=0)</formula>
    </cfRule>
    <cfRule type="expression" dxfId="239" priority="168" stopIfTrue="1">
      <formula>OR(AB201=0,$B146&lt;=0)</formula>
    </cfRule>
  </conditionalFormatting>
  <conditionalFormatting sqref="AB201:AB202">
    <cfRule type="expression" dxfId="238" priority="169" stopIfTrue="1">
      <formula>ISERROR(AB201)</formula>
    </cfRule>
    <cfRule type="expression" dxfId="237" priority="170" stopIfTrue="1">
      <formula>AND($B147&gt;0,AB201=0)</formula>
    </cfRule>
    <cfRule type="expression" dxfId="236" priority="171" stopIfTrue="1">
      <formula>OR(AB201=0,$B147&lt;=0)</formula>
    </cfRule>
  </conditionalFormatting>
  <conditionalFormatting sqref="AB201:AB202">
    <cfRule type="expression" dxfId="235" priority="172" stopIfTrue="1">
      <formula>ISERROR(AB201)</formula>
    </cfRule>
    <cfRule type="expression" dxfId="234" priority="173" stopIfTrue="1">
      <formula>AND($B59&gt;0,AB201=0)</formula>
    </cfRule>
    <cfRule type="expression" dxfId="233" priority="174" stopIfTrue="1">
      <formula>OR(AB201=0,$B59&lt;=0)</formula>
    </cfRule>
  </conditionalFormatting>
  <conditionalFormatting sqref="AB201:AB202">
    <cfRule type="expression" dxfId="232" priority="175" stopIfTrue="1">
      <formula>ISERROR(AB201)</formula>
    </cfRule>
    <cfRule type="expression" dxfId="231" priority="176" stopIfTrue="1">
      <formula>AND($B1048575&gt;0,AB201=0)</formula>
    </cfRule>
    <cfRule type="expression" dxfId="230" priority="177" stopIfTrue="1">
      <formula>OR(AB201=0,$B1048575&lt;=0)</formula>
    </cfRule>
  </conditionalFormatting>
  <conditionalFormatting sqref="AB201:AB202">
    <cfRule type="expression" dxfId="229" priority="178" stopIfTrue="1">
      <formula>ISERROR(AB201)</formula>
    </cfRule>
    <cfRule type="expression" dxfId="228" priority="179" stopIfTrue="1">
      <formula>AND($B1048576&gt;0,AB201=0)</formula>
    </cfRule>
    <cfRule type="expression" dxfId="227" priority="180" stopIfTrue="1">
      <formula>OR(AB201=0,$B1048576&lt;=0)</formula>
    </cfRule>
  </conditionalFormatting>
  <conditionalFormatting sqref="AB201:AB202">
    <cfRule type="expression" dxfId="226" priority="181" stopIfTrue="1">
      <formula>ISERROR(AB201)</formula>
    </cfRule>
    <cfRule type="expression" dxfId="225" priority="182" stopIfTrue="1">
      <formula>AND($B140&gt;0,AB201=0)</formula>
    </cfRule>
    <cfRule type="expression" dxfId="224" priority="183" stopIfTrue="1">
      <formula>OR(AB201=0,$B140&lt;=0)</formula>
    </cfRule>
  </conditionalFormatting>
  <conditionalFormatting sqref="AB201:AB202">
    <cfRule type="expression" dxfId="223" priority="184" stopIfTrue="1">
      <formula>ISERROR(AB201)</formula>
    </cfRule>
    <cfRule type="expression" dxfId="222" priority="185" stopIfTrue="1">
      <formula>AND($B141&gt;0,AB201=0)</formula>
    </cfRule>
    <cfRule type="expression" dxfId="221" priority="186" stopIfTrue="1">
      <formula>OR(AB201=0,$B141&lt;=0)</formula>
    </cfRule>
  </conditionalFormatting>
  <conditionalFormatting sqref="AB201:AB202">
    <cfRule type="expression" dxfId="220" priority="187" stopIfTrue="1">
      <formula>ISERROR(AB201)</formula>
    </cfRule>
    <cfRule type="expression" dxfId="219" priority="188" stopIfTrue="1">
      <formula>AND($B9&gt;0,AB201=0)</formula>
    </cfRule>
    <cfRule type="expression" dxfId="218" priority="189" stopIfTrue="1">
      <formula>OR(AB201=0,$B9&lt;=0)</formula>
    </cfRule>
  </conditionalFormatting>
  <conditionalFormatting sqref="AB201:AB202">
    <cfRule type="expression" dxfId="217" priority="190" stopIfTrue="1">
      <formula>ISERROR(AB201)</formula>
    </cfRule>
    <cfRule type="expression" dxfId="216" priority="191" stopIfTrue="1">
      <formula>AND($B10&gt;0,AB201=0)</formula>
    </cfRule>
    <cfRule type="expression" dxfId="215" priority="192" stopIfTrue="1">
      <formula>OR(AB201=0,$B10&lt;=0)</formula>
    </cfRule>
  </conditionalFormatting>
  <conditionalFormatting sqref="AB201:AB202">
    <cfRule type="expression" dxfId="214" priority="193" stopIfTrue="1">
      <formula>ISERROR(AB201)</formula>
    </cfRule>
    <cfRule type="expression" dxfId="213" priority="194" stopIfTrue="1">
      <formula>AND($B150&gt;0,AB201=0)</formula>
    </cfRule>
    <cfRule type="expression" dxfId="212" priority="195" stopIfTrue="1">
      <formula>OR(AB201=0,$B150&lt;=0)</formula>
    </cfRule>
  </conditionalFormatting>
  <conditionalFormatting sqref="AB201:AB202">
    <cfRule type="expression" dxfId="211" priority="196" stopIfTrue="1">
      <formula>ISERROR(AB201)</formula>
    </cfRule>
    <cfRule type="expression" dxfId="210" priority="197" stopIfTrue="1">
      <formula>AND($B151&gt;0,AB201=0)</formula>
    </cfRule>
    <cfRule type="expression" dxfId="209" priority="198" stopIfTrue="1">
      <formula>OR(AB201=0,$B151&lt;=0)</formula>
    </cfRule>
  </conditionalFormatting>
  <conditionalFormatting sqref="AB201:AB202">
    <cfRule type="expression" dxfId="208" priority="199" stopIfTrue="1">
      <formula>ISERROR(AB201)</formula>
    </cfRule>
    <cfRule type="expression" dxfId="207" priority="200" stopIfTrue="1">
      <formula>AND($B196&gt;0,AB201=0)</formula>
    </cfRule>
    <cfRule type="expression" dxfId="206" priority="201" stopIfTrue="1">
      <formula>OR(AB201=0,$B196&lt;=0)</formula>
    </cfRule>
  </conditionalFormatting>
  <conditionalFormatting sqref="AB201:AB202">
    <cfRule type="expression" dxfId="205" priority="202" stopIfTrue="1">
      <formula>ISERROR(AB201)</formula>
    </cfRule>
    <cfRule type="expression" dxfId="204" priority="203" stopIfTrue="1">
      <formula>AND(#REF!&gt;0,AB201=0)</formula>
    </cfRule>
    <cfRule type="expression" dxfId="203" priority="204" stopIfTrue="1">
      <formula>OR(AB201=0,#REF!&lt;=0)</formula>
    </cfRule>
  </conditionalFormatting>
  <conditionalFormatting sqref="X221:X227">
    <cfRule type="expression" dxfId="202" priority="139" stopIfTrue="1">
      <formula>ISERROR(X221)</formula>
    </cfRule>
    <cfRule type="expression" dxfId="201" priority="141" stopIfTrue="1">
      <formula>OR(X221=0,$B221&lt;=0)</formula>
    </cfRule>
  </conditionalFormatting>
  <conditionalFormatting sqref="X221:X227">
    <cfRule type="expression" dxfId="200" priority="136" stopIfTrue="1">
      <formula>ISERROR(X221)</formula>
    </cfRule>
    <cfRule type="expression" dxfId="199" priority="137" stopIfTrue="1">
      <formula>AND($B221&gt;0,X221=0)</formula>
    </cfRule>
    <cfRule type="expression" dxfId="198" priority="138" stopIfTrue="1">
      <formula>OR(X221=0,$B221&lt;=0)</formula>
    </cfRule>
  </conditionalFormatting>
  <conditionalFormatting sqref="X221:X227">
    <cfRule type="expression" dxfId="197" priority="140" stopIfTrue="1">
      <formula>AND($B221&gt;0,X221=0)</formula>
    </cfRule>
  </conditionalFormatting>
  <conditionalFormatting sqref="AC237:AC298">
    <cfRule type="expression" dxfId="196" priority="97" stopIfTrue="1">
      <formula>ISERROR(AC237)</formula>
    </cfRule>
    <cfRule type="expression" dxfId="195" priority="99" stopIfTrue="1">
      <formula>OR(AC237=0,$B237&lt;=0)</formula>
    </cfRule>
  </conditionalFormatting>
  <conditionalFormatting sqref="AB237:AB298">
    <cfRule type="expression" dxfId="194" priority="100" stopIfTrue="1">
      <formula>ISERROR(AB237)</formula>
    </cfRule>
    <cfRule type="expression" dxfId="193" priority="101" stopIfTrue="1">
      <formula>AND($B236&gt;0,AB237=0)</formula>
    </cfRule>
    <cfRule type="expression" dxfId="192" priority="102" stopIfTrue="1">
      <formula>OR(AB237=0,$B236&lt;=0)</formula>
    </cfRule>
  </conditionalFormatting>
  <conditionalFormatting sqref="AB237:AB298">
    <cfRule type="expression" dxfId="191" priority="103" stopIfTrue="1">
      <formula>ISERROR(AB237)</formula>
    </cfRule>
    <cfRule type="expression" dxfId="190" priority="104" stopIfTrue="1">
      <formula>AND(#REF!&gt;0,AB237=0)</formula>
    </cfRule>
    <cfRule type="expression" dxfId="189" priority="105" stopIfTrue="1">
      <formula>OR(AB237=0,#REF!&lt;=0)</formula>
    </cfRule>
  </conditionalFormatting>
  <conditionalFormatting sqref="AB237:AB298">
    <cfRule type="expression" dxfId="188" priority="106" stopIfTrue="1">
      <formula>ISERROR(AB237)</formula>
    </cfRule>
    <cfRule type="expression" dxfId="187" priority="107" stopIfTrue="1">
      <formula>AND($B121&gt;0,AB237=0)</formula>
    </cfRule>
    <cfRule type="expression" dxfId="186" priority="108" stopIfTrue="1">
      <formula>OR(AB237=0,$B121&lt;=0)</formula>
    </cfRule>
  </conditionalFormatting>
  <conditionalFormatting sqref="AB237:AB298">
    <cfRule type="expression" dxfId="185" priority="109" stopIfTrue="1">
      <formula>ISERROR(AB237)</formula>
    </cfRule>
    <cfRule type="expression" dxfId="184" priority="110" stopIfTrue="1">
      <formula>AND($B162&gt;0,AB237=0)</formula>
    </cfRule>
    <cfRule type="expression" dxfId="183" priority="111" stopIfTrue="1">
      <formula>OR(AB237=0,$B162&lt;=0)</formula>
    </cfRule>
  </conditionalFormatting>
  <conditionalFormatting sqref="AB237:AB298">
    <cfRule type="expression" dxfId="182" priority="112" stopIfTrue="1">
      <formula>ISERROR(AB237)</formula>
    </cfRule>
    <cfRule type="expression" dxfId="181" priority="113" stopIfTrue="1">
      <formula>AND($B153&gt;0,AB237=0)</formula>
    </cfRule>
    <cfRule type="expression" dxfId="180" priority="114" stopIfTrue="1">
      <formula>OR(AB237=0,$B153&lt;=0)</formula>
    </cfRule>
  </conditionalFormatting>
  <conditionalFormatting sqref="AB237:AB298">
    <cfRule type="expression" dxfId="179" priority="115" stopIfTrue="1">
      <formula>ISERROR(AB237)</formula>
    </cfRule>
    <cfRule type="expression" dxfId="178" priority="116" stopIfTrue="1">
      <formula>AND($B95&gt;0,AB237=0)</formula>
    </cfRule>
    <cfRule type="expression" dxfId="177" priority="117" stopIfTrue="1">
      <formula>OR(AB237=0,$B95&lt;=0)</formula>
    </cfRule>
  </conditionalFormatting>
  <conditionalFormatting sqref="AB237:AB298">
    <cfRule type="expression" dxfId="176" priority="118" stopIfTrue="1">
      <formula>ISERROR(AB237)</formula>
    </cfRule>
    <cfRule type="expression" dxfId="175" priority="119" stopIfTrue="1">
      <formula>AND($B16&gt;0,AB237=0)</formula>
    </cfRule>
    <cfRule type="expression" dxfId="174" priority="120" stopIfTrue="1">
      <formula>OR(AB237=0,$B16&lt;=0)</formula>
    </cfRule>
  </conditionalFormatting>
  <conditionalFormatting sqref="AB237:AB298">
    <cfRule type="expression" dxfId="173" priority="121" stopIfTrue="1">
      <formula>ISERROR(AB237)</formula>
    </cfRule>
    <cfRule type="expression" dxfId="172" priority="122" stopIfTrue="1">
      <formula>AND($B157&gt;0,AB237=0)</formula>
    </cfRule>
    <cfRule type="expression" dxfId="171" priority="123" stopIfTrue="1">
      <formula>OR(AB237=0,$B157&lt;=0)</formula>
    </cfRule>
  </conditionalFormatting>
  <conditionalFormatting sqref="AB237:AB298">
    <cfRule type="expression" dxfId="170" priority="124" stopIfTrue="1">
      <formula>ISERROR(AB237)</formula>
    </cfRule>
    <cfRule type="expression" dxfId="169" priority="125" stopIfTrue="1">
      <formula>AND($B232&gt;0,AB237=0)</formula>
    </cfRule>
    <cfRule type="expression" dxfId="168" priority="126" stopIfTrue="1">
      <formula>OR(AB237=0,$B232&lt;=0)</formula>
    </cfRule>
  </conditionalFormatting>
  <conditionalFormatting sqref="AC237:AC298">
    <cfRule type="expression" dxfId="167" priority="98" stopIfTrue="1">
      <formula>AND($B237&gt;0,AC237=0)</formula>
    </cfRule>
  </conditionalFormatting>
  <conditionalFormatting sqref="AB237:AB298">
    <cfRule type="expression" dxfId="166" priority="127" stopIfTrue="1">
      <formula>ISERROR(AB237)</formula>
    </cfRule>
    <cfRule type="expression" dxfId="165" priority="128" stopIfTrue="1">
      <formula>AND(#REF!&gt;0,AB237=0)</formula>
    </cfRule>
    <cfRule type="expression" dxfId="164" priority="129" stopIfTrue="1">
      <formula>OR(AB237=0,#REF!&lt;=0)</formula>
    </cfRule>
  </conditionalFormatting>
  <conditionalFormatting sqref="W238:W298">
    <cfRule type="expression" dxfId="163" priority="94" stopIfTrue="1">
      <formula>ISERROR(W238)</formula>
    </cfRule>
    <cfRule type="expression" dxfId="162" priority="96" stopIfTrue="1">
      <formula>OR(W238=0,$B238&lt;=0)</formula>
    </cfRule>
  </conditionalFormatting>
  <conditionalFormatting sqref="W238:W298">
    <cfRule type="expression" dxfId="161" priority="95" stopIfTrue="1">
      <formula>AND($B238&gt;0,W238=0)</formula>
    </cfRule>
  </conditionalFormatting>
  <conditionalFormatting sqref="X238:X298">
    <cfRule type="expression" dxfId="160" priority="91" stopIfTrue="1">
      <formula>ISERROR(X238)</formula>
    </cfRule>
    <cfRule type="expression" dxfId="159" priority="93" stopIfTrue="1">
      <formula>OR(X238=0,$B238&lt;=0)</formula>
    </cfRule>
  </conditionalFormatting>
  <conditionalFormatting sqref="X238:X298">
    <cfRule type="expression" dxfId="158" priority="88" stopIfTrue="1">
      <formula>ISERROR(X238)</formula>
    </cfRule>
    <cfRule type="expression" dxfId="157" priority="89" stopIfTrue="1">
      <formula>AND($B238&gt;0,X238=0)</formula>
    </cfRule>
    <cfRule type="expression" dxfId="156" priority="90" stopIfTrue="1">
      <formula>OR(X238=0,$B238&lt;=0)</formula>
    </cfRule>
  </conditionalFormatting>
  <conditionalFormatting sqref="X238:X298">
    <cfRule type="expression" dxfId="155" priority="92" stopIfTrue="1">
      <formula>AND($B238&gt;0,X238=0)</formula>
    </cfRule>
  </conditionalFormatting>
  <conditionalFormatting sqref="W235 W237">
    <cfRule type="expression" dxfId="154" priority="85" stopIfTrue="1">
      <formula>ISERROR(W235)</formula>
    </cfRule>
    <cfRule type="expression" dxfId="153" priority="87" stopIfTrue="1">
      <formula>OR(W235=0,$B235&lt;=0)</formula>
    </cfRule>
  </conditionalFormatting>
  <conditionalFormatting sqref="W235 W237">
    <cfRule type="expression" dxfId="152" priority="86" stopIfTrue="1">
      <formula>AND($B235&gt;0,W235=0)</formula>
    </cfRule>
  </conditionalFormatting>
  <conditionalFormatting sqref="X235 X237">
    <cfRule type="expression" dxfId="151" priority="82" stopIfTrue="1">
      <formula>ISERROR(X235)</formula>
    </cfRule>
    <cfRule type="expression" dxfId="150" priority="84" stopIfTrue="1">
      <formula>OR(X235=0,$B235&lt;=0)</formula>
    </cfRule>
  </conditionalFormatting>
  <conditionalFormatting sqref="X235 X237">
    <cfRule type="expression" dxfId="149" priority="79" stopIfTrue="1">
      <formula>ISERROR(X235)</formula>
    </cfRule>
    <cfRule type="expression" dxfId="148" priority="80" stopIfTrue="1">
      <formula>AND($B235&gt;0,X235=0)</formula>
    </cfRule>
    <cfRule type="expression" dxfId="147" priority="81" stopIfTrue="1">
      <formula>OR(X235=0,$B235&lt;=0)</formula>
    </cfRule>
  </conditionalFormatting>
  <conditionalFormatting sqref="X235 X237">
    <cfRule type="expression" dxfId="146" priority="83" stopIfTrue="1">
      <formula>AND($B235&gt;0,X235=0)</formula>
    </cfRule>
  </conditionalFormatting>
  <conditionalFormatting sqref="AC235">
    <cfRule type="expression" dxfId="145" priority="46" stopIfTrue="1">
      <formula>ISERROR(AC235)</formula>
    </cfRule>
    <cfRule type="expression" dxfId="144" priority="48" stopIfTrue="1">
      <formula>OR(AC235=0,$B235&lt;=0)</formula>
    </cfRule>
  </conditionalFormatting>
  <conditionalFormatting sqref="AB235">
    <cfRule type="expression" dxfId="143" priority="49" stopIfTrue="1">
      <formula>ISERROR(AB235)</formula>
    </cfRule>
    <cfRule type="expression" dxfId="142" priority="50" stopIfTrue="1">
      <formula>AND($B234&gt;0,AB235=0)</formula>
    </cfRule>
    <cfRule type="expression" dxfId="141" priority="51" stopIfTrue="1">
      <formula>OR(AB235=0,$B234&lt;=0)</formula>
    </cfRule>
  </conditionalFormatting>
  <conditionalFormatting sqref="AB235">
    <cfRule type="expression" dxfId="140" priority="52" stopIfTrue="1">
      <formula>ISERROR(AB235)</formula>
    </cfRule>
    <cfRule type="expression" dxfId="139" priority="53" stopIfTrue="1">
      <formula>AND(#REF!&gt;0,AB235=0)</formula>
    </cfRule>
    <cfRule type="expression" dxfId="138" priority="54" stopIfTrue="1">
      <formula>OR(AB235=0,#REF!&lt;=0)</formula>
    </cfRule>
  </conditionalFormatting>
  <conditionalFormatting sqref="AB235">
    <cfRule type="expression" dxfId="137" priority="55" stopIfTrue="1">
      <formula>ISERROR(AB235)</formula>
    </cfRule>
    <cfRule type="expression" dxfId="136" priority="56" stopIfTrue="1">
      <formula>AND($B119&gt;0,AB235=0)</formula>
    </cfRule>
    <cfRule type="expression" dxfId="135" priority="57" stopIfTrue="1">
      <formula>OR(AB235=0,$B119&lt;=0)</formula>
    </cfRule>
  </conditionalFormatting>
  <conditionalFormatting sqref="AB235">
    <cfRule type="expression" dxfId="134" priority="58" stopIfTrue="1">
      <formula>ISERROR(AB235)</formula>
    </cfRule>
    <cfRule type="expression" dxfId="133" priority="59" stopIfTrue="1">
      <formula>AND($B160&gt;0,AB235=0)</formula>
    </cfRule>
    <cfRule type="expression" dxfId="132" priority="60" stopIfTrue="1">
      <formula>OR(AB235=0,$B160&lt;=0)</formula>
    </cfRule>
  </conditionalFormatting>
  <conditionalFormatting sqref="AB235">
    <cfRule type="expression" dxfId="131" priority="61" stopIfTrue="1">
      <formula>ISERROR(AB235)</formula>
    </cfRule>
    <cfRule type="expression" dxfId="130" priority="62" stopIfTrue="1">
      <formula>AND($B151&gt;0,AB235=0)</formula>
    </cfRule>
    <cfRule type="expression" dxfId="129" priority="63" stopIfTrue="1">
      <formula>OR(AB235=0,$B151&lt;=0)</formula>
    </cfRule>
  </conditionalFormatting>
  <conditionalFormatting sqref="AB235">
    <cfRule type="expression" dxfId="128" priority="64" stopIfTrue="1">
      <formula>ISERROR(AB235)</formula>
    </cfRule>
    <cfRule type="expression" dxfId="127" priority="65" stopIfTrue="1">
      <formula>AND($B93&gt;0,AB235=0)</formula>
    </cfRule>
    <cfRule type="expression" dxfId="126" priority="66" stopIfTrue="1">
      <formula>OR(AB235=0,$B93&lt;=0)</formula>
    </cfRule>
  </conditionalFormatting>
  <conditionalFormatting sqref="AB235">
    <cfRule type="expression" dxfId="125" priority="67" stopIfTrue="1">
      <formula>ISERROR(AB235)</formula>
    </cfRule>
    <cfRule type="expression" dxfId="124" priority="68" stopIfTrue="1">
      <formula>AND($B14&gt;0,AB235=0)</formula>
    </cfRule>
    <cfRule type="expression" dxfId="123" priority="69" stopIfTrue="1">
      <formula>OR(AB235=0,$B14&lt;=0)</formula>
    </cfRule>
  </conditionalFormatting>
  <conditionalFormatting sqref="AB235">
    <cfRule type="expression" dxfId="122" priority="70" stopIfTrue="1">
      <formula>ISERROR(AB235)</formula>
    </cfRule>
    <cfRule type="expression" dxfId="121" priority="71" stopIfTrue="1">
      <formula>AND($B155&gt;0,AB235=0)</formula>
    </cfRule>
    <cfRule type="expression" dxfId="120" priority="72" stopIfTrue="1">
      <formula>OR(AB235=0,$B155&lt;=0)</formula>
    </cfRule>
  </conditionalFormatting>
  <conditionalFormatting sqref="AB235">
    <cfRule type="expression" dxfId="119" priority="73" stopIfTrue="1">
      <formula>ISERROR(AB235)</formula>
    </cfRule>
    <cfRule type="expression" dxfId="118" priority="74" stopIfTrue="1">
      <formula>AND($B230&gt;0,AB235=0)</formula>
    </cfRule>
    <cfRule type="expression" dxfId="117" priority="75" stopIfTrue="1">
      <formula>OR(AB235=0,$B230&lt;=0)</formula>
    </cfRule>
  </conditionalFormatting>
  <conditionalFormatting sqref="AC235">
    <cfRule type="expression" dxfId="116" priority="47" stopIfTrue="1">
      <formula>AND($B235&gt;0,AC235=0)</formula>
    </cfRule>
  </conditionalFormatting>
  <conditionalFormatting sqref="AB235">
    <cfRule type="expression" dxfId="115" priority="76" stopIfTrue="1">
      <formula>ISERROR(AB235)</formula>
    </cfRule>
    <cfRule type="expression" dxfId="114" priority="77" stopIfTrue="1">
      <formula>AND(#REF!&gt;0,AB235=0)</formula>
    </cfRule>
    <cfRule type="expression" dxfId="113" priority="78" stopIfTrue="1">
      <formula>OR(AB235=0,#REF!&lt;=0)</formula>
    </cfRule>
  </conditionalFormatting>
  <conditionalFormatting sqref="W236">
    <cfRule type="expression" dxfId="112" priority="43" stopIfTrue="1">
      <formula>ISERROR(W236)</formula>
    </cfRule>
    <cfRule type="expression" dxfId="111" priority="45" stopIfTrue="1">
      <formula>OR(W236=0,$B236&lt;=0)</formula>
    </cfRule>
  </conditionalFormatting>
  <conditionalFormatting sqref="W236">
    <cfRule type="expression" dxfId="110" priority="44" stopIfTrue="1">
      <formula>AND($B236&gt;0,W236=0)</formula>
    </cfRule>
  </conditionalFormatting>
  <conditionalFormatting sqref="X236">
    <cfRule type="expression" dxfId="109" priority="40" stopIfTrue="1">
      <formula>ISERROR(X236)</formula>
    </cfRule>
    <cfRule type="expression" dxfId="108" priority="42" stopIfTrue="1">
      <formula>OR(X236=0,$B236&lt;=0)</formula>
    </cfRule>
  </conditionalFormatting>
  <conditionalFormatting sqref="X236">
    <cfRule type="expression" dxfId="107" priority="37" stopIfTrue="1">
      <formula>ISERROR(X236)</formula>
    </cfRule>
    <cfRule type="expression" dxfId="106" priority="38" stopIfTrue="1">
      <formula>AND($B236&gt;0,X236=0)</formula>
    </cfRule>
    <cfRule type="expression" dxfId="105" priority="39" stopIfTrue="1">
      <formula>OR(X236=0,$B236&lt;=0)</formula>
    </cfRule>
  </conditionalFormatting>
  <conditionalFormatting sqref="X236">
    <cfRule type="expression" dxfId="104" priority="41" stopIfTrue="1">
      <formula>AND($B236&gt;0,X236=0)</formula>
    </cfRule>
  </conditionalFormatting>
  <conditionalFormatting sqref="AB236">
    <cfRule type="expression" dxfId="103" priority="7" stopIfTrue="1">
      <formula>ISERROR(AB236)</formula>
    </cfRule>
    <cfRule type="expression" dxfId="102" priority="8" stopIfTrue="1">
      <formula>AND($B235&gt;0,AB236=0)</formula>
    </cfRule>
    <cfRule type="expression" dxfId="101" priority="9" stopIfTrue="1">
      <formula>OR(AB236=0,$B235&lt;=0)</formula>
    </cfRule>
  </conditionalFormatting>
  <conditionalFormatting sqref="AB236">
    <cfRule type="expression" dxfId="100" priority="10" stopIfTrue="1">
      <formula>ISERROR(AB236)</formula>
    </cfRule>
    <cfRule type="expression" dxfId="99" priority="11" stopIfTrue="1">
      <formula>AND(#REF!&gt;0,AB236=0)</formula>
    </cfRule>
    <cfRule type="expression" dxfId="98" priority="12" stopIfTrue="1">
      <formula>OR(AB236=0,#REF!&lt;=0)</formula>
    </cfRule>
  </conditionalFormatting>
  <conditionalFormatting sqref="AB236">
    <cfRule type="expression" dxfId="97" priority="13" stopIfTrue="1">
      <formula>ISERROR(AB236)</formula>
    </cfRule>
    <cfRule type="expression" dxfId="96" priority="14" stopIfTrue="1">
      <formula>AND($B120&gt;0,AB236=0)</formula>
    </cfRule>
    <cfRule type="expression" dxfId="95" priority="15" stopIfTrue="1">
      <formula>OR(AB236=0,$B120&lt;=0)</formula>
    </cfRule>
  </conditionalFormatting>
  <conditionalFormatting sqref="AB236">
    <cfRule type="expression" dxfId="94" priority="16" stopIfTrue="1">
      <formula>ISERROR(AB236)</formula>
    </cfRule>
    <cfRule type="expression" dxfId="93" priority="17" stopIfTrue="1">
      <formula>AND($B161&gt;0,AB236=0)</formula>
    </cfRule>
    <cfRule type="expression" dxfId="92" priority="18" stopIfTrue="1">
      <formula>OR(AB236=0,$B161&lt;=0)</formula>
    </cfRule>
  </conditionalFormatting>
  <conditionalFormatting sqref="AB236">
    <cfRule type="expression" dxfId="91" priority="19" stopIfTrue="1">
      <formula>ISERROR(AB236)</formula>
    </cfRule>
    <cfRule type="expression" dxfId="90" priority="20" stopIfTrue="1">
      <formula>AND($B152&gt;0,AB236=0)</formula>
    </cfRule>
    <cfRule type="expression" dxfId="89" priority="21" stopIfTrue="1">
      <formula>OR(AB236=0,$B152&lt;=0)</formula>
    </cfRule>
  </conditionalFormatting>
  <conditionalFormatting sqref="AB236">
    <cfRule type="expression" dxfId="88" priority="22" stopIfTrue="1">
      <formula>ISERROR(AB236)</formula>
    </cfRule>
    <cfRule type="expression" dxfId="87" priority="23" stopIfTrue="1">
      <formula>AND($B94&gt;0,AB236=0)</formula>
    </cfRule>
    <cfRule type="expression" dxfId="86" priority="24" stopIfTrue="1">
      <formula>OR(AB236=0,$B94&lt;=0)</formula>
    </cfRule>
  </conditionalFormatting>
  <conditionalFormatting sqref="AB236">
    <cfRule type="expression" dxfId="85" priority="25" stopIfTrue="1">
      <formula>ISERROR(AB236)</formula>
    </cfRule>
    <cfRule type="expression" dxfId="84" priority="26" stopIfTrue="1">
      <formula>AND($B15&gt;0,AB236=0)</formula>
    </cfRule>
    <cfRule type="expression" dxfId="83" priority="27" stopIfTrue="1">
      <formula>OR(AB236=0,$B15&lt;=0)</formula>
    </cfRule>
  </conditionalFormatting>
  <conditionalFormatting sqref="AB236">
    <cfRule type="expression" dxfId="82" priority="28" stopIfTrue="1">
      <formula>ISERROR(AB236)</formula>
    </cfRule>
    <cfRule type="expression" dxfId="81" priority="29" stopIfTrue="1">
      <formula>AND($B156&gt;0,AB236=0)</formula>
    </cfRule>
    <cfRule type="expression" dxfId="80" priority="30" stopIfTrue="1">
      <formula>OR(AB236=0,$B156&lt;=0)</formula>
    </cfRule>
  </conditionalFormatting>
  <conditionalFormatting sqref="AB236">
    <cfRule type="expression" dxfId="79" priority="31" stopIfTrue="1">
      <formula>ISERROR(AB236)</formula>
    </cfRule>
    <cfRule type="expression" dxfId="78" priority="32" stopIfTrue="1">
      <formula>AND($B231&gt;0,AB236=0)</formula>
    </cfRule>
    <cfRule type="expression" dxfId="77" priority="33" stopIfTrue="1">
      <formula>OR(AB236=0,$B231&lt;=0)</formula>
    </cfRule>
  </conditionalFormatting>
  <conditionalFormatting sqref="AB236">
    <cfRule type="expression" dxfId="76" priority="34" stopIfTrue="1">
      <formula>ISERROR(AB236)</formula>
    </cfRule>
    <cfRule type="expression" dxfId="75" priority="35" stopIfTrue="1">
      <formula>AND(#REF!&gt;0,AB236=0)</formula>
    </cfRule>
    <cfRule type="expression" dxfId="74" priority="36" stopIfTrue="1">
      <formula>OR(AB236=0,#REF!&lt;=0)</formula>
    </cfRule>
  </conditionalFormatting>
  <conditionalFormatting sqref="AC236">
    <cfRule type="expression" dxfId="73" priority="1" stopIfTrue="1">
      <formula>ISERROR(AC236)</formula>
    </cfRule>
    <cfRule type="expression" dxfId="72" priority="3" stopIfTrue="1">
      <formula>OR(AC236=0,$B236&lt;=0)</formula>
    </cfRule>
  </conditionalFormatting>
  <conditionalFormatting sqref="AC236">
    <cfRule type="expression" dxfId="71" priority="2" stopIfTrue="1">
      <formula>AND($B236&gt;0,AC236=0)</formula>
    </cfRule>
  </conditionalFormatting>
  <pageMargins left="0.75" right="0.75" top="1" bottom="1" header="0.5" footer="0.5"/>
  <pageSetup paperSize="5" scale="72"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W122"/>
  <sheetViews>
    <sheetView zoomScaleNormal="100" workbookViewId="0">
      <pane ySplit="7" topLeftCell="A8" activePane="bottomLeft" state="frozen"/>
      <selection pane="bottomLeft" activeCell="F3" sqref="F3"/>
    </sheetView>
  </sheetViews>
  <sheetFormatPr defaultRowHeight="13.2" x14ac:dyDescent="0.25"/>
  <cols>
    <col min="1" max="1" width="29.5546875" customWidth="1"/>
    <col min="2" max="2" width="5" customWidth="1"/>
    <col min="3" max="11" width="10.5546875" customWidth="1"/>
    <col min="13" max="13" width="9.44140625" customWidth="1"/>
  </cols>
  <sheetData>
    <row r="1" spans="1:18" s="6" customFormat="1" ht="15.6" x14ac:dyDescent="0.3">
      <c r="A1" s="1200" t="s">
        <v>70</v>
      </c>
      <c r="B1" s="1200"/>
      <c r="C1" s="1200"/>
      <c r="D1" s="1200"/>
      <c r="E1" s="1200"/>
      <c r="F1" s="1200"/>
      <c r="G1" s="1200"/>
      <c r="H1" s="1200"/>
      <c r="I1" s="1200"/>
      <c r="J1" s="1200"/>
      <c r="K1" s="1200"/>
    </row>
    <row r="2" spans="1:18" s="7" customFormat="1" x14ac:dyDescent="0.25">
      <c r="A2" s="1200" t="s">
        <v>71</v>
      </c>
      <c r="B2" s="1201"/>
      <c r="C2" s="1201"/>
      <c r="D2" s="1201"/>
      <c r="E2" s="1201"/>
      <c r="F2" s="1201"/>
      <c r="G2" s="1201"/>
      <c r="H2" s="1201"/>
      <c r="I2" s="1201"/>
      <c r="J2" s="1201"/>
      <c r="K2" s="1201"/>
    </row>
    <row r="3" spans="1:18" s="7" customFormat="1" x14ac:dyDescent="0.25">
      <c r="A3" s="114"/>
      <c r="B3" s="114"/>
      <c r="C3" s="114"/>
      <c r="D3" s="114"/>
      <c r="E3" s="115" t="s">
        <v>250</v>
      </c>
      <c r="F3" s="495">
        <f ca="1">TODAY()-1</f>
        <v>43116</v>
      </c>
      <c r="G3" s="179"/>
      <c r="H3" s="180"/>
      <c r="I3" s="180"/>
      <c r="J3" s="180"/>
      <c r="K3" s="118"/>
    </row>
    <row r="4" spans="1:18" s="7" customFormat="1" ht="12" customHeight="1" x14ac:dyDescent="0.25">
      <c r="A4" s="114"/>
      <c r="B4" s="114"/>
      <c r="C4" s="114"/>
      <c r="D4" s="114"/>
      <c r="E4" s="181"/>
      <c r="F4" s="181"/>
      <c r="G4" s="182"/>
      <c r="H4" s="182"/>
      <c r="I4" s="183"/>
      <c r="J4" s="183"/>
      <c r="K4" s="184"/>
    </row>
    <row r="5" spans="1:18" s="17" customFormat="1" ht="10.8" thickBot="1" x14ac:dyDescent="0.25">
      <c r="A5" s="14" t="s">
        <v>21</v>
      </c>
      <c r="B5" s="14"/>
      <c r="C5" s="14"/>
      <c r="D5" s="14"/>
      <c r="E5" s="185"/>
      <c r="F5" s="185"/>
      <c r="G5" s="186"/>
      <c r="H5" s="186"/>
      <c r="I5" s="186"/>
      <c r="J5" s="186"/>
      <c r="K5" s="186" t="s">
        <v>10</v>
      </c>
    </row>
    <row r="6" spans="1:18" s="111" customFormat="1" ht="13.5" customHeight="1" x14ac:dyDescent="0.25">
      <c r="A6" s="187"/>
      <c r="B6" s="188"/>
      <c r="C6" s="35" t="str">
        <f t="shared" ref="C6:K6" ca="1" si="0">CHOOSE(WEEKDAY(C7,2),"Monday","Tuesday","Wednesday","Thursday","Friday","Saturday","Sunday")</f>
        <v>Monday</v>
      </c>
      <c r="D6" s="35" t="str">
        <f t="shared" ca="1" si="0"/>
        <v>Tuesday</v>
      </c>
      <c r="E6" s="35" t="str">
        <f t="shared" ca="1" si="0"/>
        <v>Wednesday</v>
      </c>
      <c r="F6" s="35" t="str">
        <f t="shared" ca="1" si="0"/>
        <v>Thursday</v>
      </c>
      <c r="G6" s="35" t="str">
        <f t="shared" ca="1" si="0"/>
        <v>Friday</v>
      </c>
      <c r="H6" s="35" t="str">
        <f t="shared" ca="1" si="0"/>
        <v>Saturday</v>
      </c>
      <c r="I6" s="35" t="str">
        <f t="shared" ca="1" si="0"/>
        <v>Sunday</v>
      </c>
      <c r="J6" s="35" t="str">
        <f t="shared" ca="1" si="0"/>
        <v>Monday</v>
      </c>
      <c r="K6" s="35" t="str">
        <f t="shared" ca="1" si="0"/>
        <v>Tuesday</v>
      </c>
    </row>
    <row r="7" spans="1:18" s="111" customFormat="1" ht="15" customHeight="1" thickBot="1" x14ac:dyDescent="0.3">
      <c r="A7" s="189"/>
      <c r="B7" s="190"/>
      <c r="C7" s="191">
        <f ca="1">D7-1</f>
        <v>43108</v>
      </c>
      <c r="D7" s="191">
        <f ca="1">E7-1</f>
        <v>43109</v>
      </c>
      <c r="E7" s="191">
        <f t="shared" ref="E7:J7" ca="1" si="1">F7-1</f>
        <v>43110</v>
      </c>
      <c r="F7" s="191">
        <f t="shared" ca="1" si="1"/>
        <v>43111</v>
      </c>
      <c r="G7" s="191">
        <f t="shared" ca="1" si="1"/>
        <v>43112</v>
      </c>
      <c r="H7" s="191">
        <f t="shared" ca="1" si="1"/>
        <v>43113</v>
      </c>
      <c r="I7" s="191">
        <f t="shared" ca="1" si="1"/>
        <v>43114</v>
      </c>
      <c r="J7" s="191">
        <f t="shared" ca="1" si="1"/>
        <v>43115</v>
      </c>
      <c r="K7" s="191">
        <f ca="1">F3</f>
        <v>43116</v>
      </c>
    </row>
    <row r="8" spans="1:18" s="112" customFormat="1" ht="13.8" thickBot="1" x14ac:dyDescent="0.3">
      <c r="A8" s="1202" t="s">
        <v>104</v>
      </c>
      <c r="B8" s="1202"/>
      <c r="C8" s="1202"/>
      <c r="D8" s="1202"/>
      <c r="E8" s="1202"/>
      <c r="F8" s="1202"/>
      <c r="G8" s="1202"/>
      <c r="H8" s="1202"/>
      <c r="I8" s="1202"/>
      <c r="J8" s="1202"/>
      <c r="K8" s="1203"/>
    </row>
    <row r="9" spans="1:18" s="106" customFormat="1" x14ac:dyDescent="0.25">
      <c r="A9" s="478" t="s">
        <v>785</v>
      </c>
      <c r="B9" s="479" t="s">
        <v>13</v>
      </c>
      <c r="C9" s="480"/>
      <c r="D9" s="481"/>
      <c r="E9" s="482"/>
      <c r="F9" s="481"/>
      <c r="G9" s="481"/>
      <c r="H9" s="481"/>
      <c r="I9" s="481"/>
      <c r="J9" s="481"/>
      <c r="K9" s="483"/>
    </row>
    <row r="10" spans="1:18" s="106" customFormat="1" x14ac:dyDescent="0.25">
      <c r="A10" s="21" t="s">
        <v>251</v>
      </c>
      <c r="B10" s="113" t="s">
        <v>13</v>
      </c>
      <c r="C10" s="133" t="e">
        <f ca="1">VLOOKUP(C7,'Calculations II'!$B$8:$IV$430,46,FALSE)</f>
        <v>#N/A</v>
      </c>
      <c r="D10" s="37" t="e">
        <f ca="1">VLOOKUP(D7,'Calculations II'!$B$8:$IV$430,46,FALSE)</f>
        <v>#N/A</v>
      </c>
      <c r="E10" s="174" t="e">
        <f ca="1">VLOOKUP(E7,'Calculations II'!$B$8:$IV$430,46,FALSE)</f>
        <v>#N/A</v>
      </c>
      <c r="F10" s="37" t="e">
        <f ca="1">VLOOKUP(F7,'Calculations II'!$B$8:$IV$430,46,FALSE)</f>
        <v>#N/A</v>
      </c>
      <c r="G10" s="37" t="e">
        <f ca="1">VLOOKUP(G7,'Calculations II'!$B$8:$IV$430,46,FALSE)</f>
        <v>#N/A</v>
      </c>
      <c r="H10" s="37" t="e">
        <f ca="1">VLOOKUP(H7,'Calculations II'!$B$8:$IV$430,46,FALSE)</f>
        <v>#N/A</v>
      </c>
      <c r="I10" s="37" t="e">
        <f ca="1">VLOOKUP(I7,'Calculations II'!$B$8:$IV$430,46,FALSE)</f>
        <v>#N/A</v>
      </c>
      <c r="J10" s="37" t="e">
        <f ca="1">VLOOKUP(J7,'Calculations II'!$B$8:$IV$430,46,FALSE)</f>
        <v>#N/A</v>
      </c>
      <c r="K10" s="39" t="e">
        <f ca="1">VLOOKUP(K7,'Calculations II'!$B$8:$IV$430,46,FALSE)</f>
        <v>#N/A</v>
      </c>
    </row>
    <row r="11" spans="1:18" s="106" customFormat="1" x14ac:dyDescent="0.25">
      <c r="A11" s="21" t="s">
        <v>768</v>
      </c>
      <c r="B11" s="113" t="s">
        <v>13</v>
      </c>
      <c r="C11" s="133" t="e">
        <f ca="1">VLOOKUP(C7,'Calculations II'!$B$8:$IV$430,47,FALSE)</f>
        <v>#N/A</v>
      </c>
      <c r="D11" s="37" t="e">
        <f ca="1">VLOOKUP(D7,'Calculations II'!$B$8:$IV$430,47,FALSE)</f>
        <v>#N/A</v>
      </c>
      <c r="E11" s="174" t="e">
        <f ca="1">VLOOKUP(E7,'Calculations II'!$B$8:$IV$430,47,FALSE)</f>
        <v>#N/A</v>
      </c>
      <c r="F11" s="37" t="e">
        <f ca="1">VLOOKUP(F7,'Calculations II'!$B$8:$IV$430,47,FALSE)</f>
        <v>#N/A</v>
      </c>
      <c r="G11" s="37" t="e">
        <f ca="1">VLOOKUP(G7,'Calculations II'!$B$8:$IV$430,47,FALSE)</f>
        <v>#N/A</v>
      </c>
      <c r="H11" s="37" t="e">
        <f ca="1">VLOOKUP(H7,'Calculations II'!$B$8:$IV$430,47,FALSE)</f>
        <v>#N/A</v>
      </c>
      <c r="I11" s="37" t="e">
        <f ca="1">VLOOKUP(I7,'Calculations II'!$B$8:$IV$430,47,FALSE)</f>
        <v>#N/A</v>
      </c>
      <c r="J11" s="37" t="e">
        <f ca="1">VLOOKUP(J7,'Calculations II'!$B$8:$IV$430,47,FALSE)</f>
        <v>#N/A</v>
      </c>
      <c r="K11" s="172" t="e">
        <f ca="1">VLOOKUP(K7,'Calculations II'!$B$8:$IV$430,47,FALSE)</f>
        <v>#N/A</v>
      </c>
    </row>
    <row r="12" spans="1:18" s="106" customFormat="1" x14ac:dyDescent="0.25">
      <c r="A12" s="21" t="s">
        <v>909</v>
      </c>
      <c r="B12" s="113" t="s">
        <v>13</v>
      </c>
      <c r="C12" s="133" t="e">
        <f ca="1">VLOOKUP(C7,'Calculations II'!$B$8:$IV$430,48,FALSE)</f>
        <v>#N/A</v>
      </c>
      <c r="D12" s="37" t="e">
        <f ca="1">VLOOKUP(D7,'Calculations II'!$B$8:$IV$430,48,FALSE)</f>
        <v>#N/A</v>
      </c>
      <c r="E12" s="174" t="e">
        <f ca="1">VLOOKUP(E7,'Calculations II'!$B$8:$IV$430,48,FALSE)</f>
        <v>#N/A</v>
      </c>
      <c r="F12" s="37" t="e">
        <f ca="1">VLOOKUP(F7,'Calculations II'!$B$8:$IV$430,48,FALSE)</f>
        <v>#N/A</v>
      </c>
      <c r="G12" s="37" t="e">
        <f ca="1">VLOOKUP(G7,'Calculations II'!$B$8:$IV$430,48,FALSE)</f>
        <v>#N/A</v>
      </c>
      <c r="H12" s="37" t="e">
        <f ca="1">VLOOKUP(H7,'Calculations II'!$B$8:$IV$430,48,FALSE)</f>
        <v>#N/A</v>
      </c>
      <c r="I12" s="37" t="e">
        <f ca="1">VLOOKUP(I7,'Calculations II'!$B$8:$IV$430,48,FALSE)</f>
        <v>#N/A</v>
      </c>
      <c r="J12" s="37" t="e">
        <f ca="1">VLOOKUP(J7,'Calculations II'!$B$8:$IV$430,48,FALSE)</f>
        <v>#N/A</v>
      </c>
      <c r="K12" s="172" t="e">
        <f ca="1">VLOOKUP(K7,'Calculations II'!$B$8:$IV$430,48,FALSE)</f>
        <v>#N/A</v>
      </c>
    </row>
    <row r="13" spans="1:18" s="106" customFormat="1" x14ac:dyDescent="0.25">
      <c r="A13" s="21" t="s">
        <v>910</v>
      </c>
      <c r="B13" s="131" t="s">
        <v>13</v>
      </c>
      <c r="C13" s="230" t="e">
        <f ca="1">VLOOKUP(C7,'Calculations II'!$B$8:$IV$430,49,FALSE)</f>
        <v>#N/A</v>
      </c>
      <c r="D13" s="197" t="e">
        <f ca="1">VLOOKUP(D7,'Calculations II'!$B$8:$IV$430,49,FALSE)</f>
        <v>#N/A</v>
      </c>
      <c r="E13" s="232" t="e">
        <f ca="1">VLOOKUP(E7,'Calculations II'!$B$8:$IV$430,49,FALSE)</f>
        <v>#N/A</v>
      </c>
      <c r="F13" s="197" t="e">
        <f ca="1">VLOOKUP(F7,'Calculations II'!$B$8:$IV$430,49,FALSE)</f>
        <v>#N/A</v>
      </c>
      <c r="G13" s="197" t="e">
        <f ca="1">VLOOKUP(G7,'Calculations II'!$B$8:$IV$430,49,FALSE)</f>
        <v>#N/A</v>
      </c>
      <c r="H13" s="197" t="e">
        <f ca="1">VLOOKUP(H7,'Calculations II'!$B$8:$IV$430,49,FALSE)</f>
        <v>#N/A</v>
      </c>
      <c r="I13" s="197" t="e">
        <f ca="1">VLOOKUP(I7,'Calculations II'!$B$8:$IV$430,49,FALSE)</f>
        <v>#N/A</v>
      </c>
      <c r="J13" s="197" t="e">
        <f ca="1">VLOOKUP(J7,'Calculations II'!$B$8:$IV$430,49,FALSE)</f>
        <v>#N/A</v>
      </c>
      <c r="K13" s="604" t="e">
        <f ca="1">VLOOKUP(K7,'Calculations II'!$B$8:$IV$430,49,FALSE)</f>
        <v>#N/A</v>
      </c>
    </row>
    <row r="14" spans="1:18" s="106" customFormat="1" x14ac:dyDescent="0.25">
      <c r="A14" s="21" t="s">
        <v>72</v>
      </c>
      <c r="B14" s="113" t="s">
        <v>13</v>
      </c>
      <c r="C14" s="133" t="e">
        <f ca="1">VLOOKUP(C7,'Calculations II'!$B$8:$IV$430,50,FALSE)</f>
        <v>#N/A</v>
      </c>
      <c r="D14" s="37" t="e">
        <f ca="1">VLOOKUP(D7,'Calculations II'!$B$8:$IV$430,50,FALSE)</f>
        <v>#N/A</v>
      </c>
      <c r="E14" s="174" t="e">
        <f ca="1">VLOOKUP(E7,'Calculations II'!$B$8:$IV$430,50,FALSE)</f>
        <v>#N/A</v>
      </c>
      <c r="F14" s="37" t="e">
        <f ca="1">VLOOKUP(F7,'Calculations II'!$B$8:$IV$430,50,FALSE)</f>
        <v>#N/A</v>
      </c>
      <c r="G14" s="37" t="e">
        <f ca="1">VLOOKUP(G7,'Calculations II'!$B$8:$IV$430,50,FALSE)</f>
        <v>#N/A</v>
      </c>
      <c r="H14" s="37" t="e">
        <f ca="1">VLOOKUP(H7,'Calculations II'!$B$8:$IV$430,50,FALSE)</f>
        <v>#N/A</v>
      </c>
      <c r="I14" s="37" t="e">
        <f ca="1">VLOOKUP(I7,'Calculations II'!$B$8:$IV$430,50,FALSE)</f>
        <v>#N/A</v>
      </c>
      <c r="J14" s="37" t="e">
        <f ca="1">VLOOKUP(J7,'Calculations II'!$B$8:$IV$430,50,FALSE)</f>
        <v>#N/A</v>
      </c>
      <c r="K14" s="39" t="e">
        <f ca="1">VLOOKUP(K7,'Calculations II'!$B$8:$IV$430,50,FALSE)</f>
        <v>#N/A</v>
      </c>
    </row>
    <row r="15" spans="1:18" s="106" customFormat="1" x14ac:dyDescent="0.25">
      <c r="A15" s="484" t="s">
        <v>771</v>
      </c>
      <c r="B15" s="485" t="s">
        <v>13</v>
      </c>
      <c r="C15" s="486" t="e">
        <f ca="1">VLOOKUP(C7,'Calculations II'!$B$8:$IV$430,14,FALSE)</f>
        <v>#N/A</v>
      </c>
      <c r="D15" s="487" t="e">
        <f ca="1">VLOOKUP(D7,'Calculations II'!$B$8:$IV$430,14,FALSE)</f>
        <v>#N/A</v>
      </c>
      <c r="E15" s="487" t="e">
        <f ca="1">VLOOKUP(E7,'Calculations II'!$B$8:$IV$430,14,FALSE)</f>
        <v>#N/A</v>
      </c>
      <c r="F15" s="487" t="e">
        <f ca="1">VLOOKUP(F7,'Calculations II'!$B$8:$IV$430,14,FALSE)</f>
        <v>#N/A</v>
      </c>
      <c r="G15" s="487" t="e">
        <f ca="1">VLOOKUP(G7,'Calculations II'!$B$8:$IV$430,14,FALSE)</f>
        <v>#N/A</v>
      </c>
      <c r="H15" s="487" t="e">
        <f ca="1">VLOOKUP(H7,'Calculations II'!$B$8:$IV$430,14,FALSE)</f>
        <v>#N/A</v>
      </c>
      <c r="I15" s="487" t="e">
        <f ca="1">VLOOKUP(I7,'Calculations II'!$B$8:$IV$430,14,FALSE)</f>
        <v>#N/A</v>
      </c>
      <c r="J15" s="487" t="e">
        <f ca="1">VLOOKUP(J7,'Calculations II'!$B$8:$IV$430,14,FALSE)</f>
        <v>#N/A</v>
      </c>
      <c r="K15" s="489" t="e">
        <f ca="1">VLOOKUP(K7,'Calculations II'!$B$8:$IV$430,14,FALSE)</f>
        <v>#N/A</v>
      </c>
    </row>
    <row r="16" spans="1:18" s="106" customFormat="1" ht="13.8" thickBot="1" x14ac:dyDescent="0.3">
      <c r="A16" s="484" t="s">
        <v>792</v>
      </c>
      <c r="B16" s="490" t="s">
        <v>786</v>
      </c>
      <c r="C16" s="960" t="e">
        <f ca="1">VLOOKUP(C7,'Calculations II'!$B$8:$IV$430,42,FALSE)</f>
        <v>#N/A</v>
      </c>
      <c r="D16" s="961" t="e">
        <f ca="1">VLOOKUP(D7,'Calculations II'!$B$8:$IV$430,42,FALSE)</f>
        <v>#N/A</v>
      </c>
      <c r="E16" s="962" t="e">
        <f ca="1">VLOOKUP(E7,'Calculations II'!$B$8:$IV$430,42,FALSE)</f>
        <v>#N/A</v>
      </c>
      <c r="F16" s="961" t="e">
        <f ca="1">VLOOKUP(F7,'Calculations II'!$B$8:$IV$430,42,FALSE)</f>
        <v>#N/A</v>
      </c>
      <c r="G16" s="961" t="e">
        <f ca="1">VLOOKUP(G7,'Calculations II'!$B$8:$IV$430,42,FALSE)</f>
        <v>#N/A</v>
      </c>
      <c r="H16" s="961" t="e">
        <f ca="1">VLOOKUP(H7,'Calculations II'!$B$8:$IV$430,42,FALSE)</f>
        <v>#N/A</v>
      </c>
      <c r="I16" s="961" t="e">
        <f ca="1">VLOOKUP(I7,'Calculations II'!$B$8:$IV$430,42,FALSE)</f>
        <v>#N/A</v>
      </c>
      <c r="J16" s="961" t="e">
        <f ca="1">VLOOKUP(J7,'Calculations II'!$B$8:$IV$430,42,FALSE)</f>
        <v>#N/A</v>
      </c>
      <c r="K16" s="963" t="e">
        <f ca="1">VLOOKUP(K7,'Calculations II'!$B$8:$IV$430,42,FALSE)</f>
        <v>#N/A</v>
      </c>
      <c r="M16" s="631"/>
      <c r="N16" s="631"/>
      <c r="O16" s="631"/>
      <c r="P16" s="949"/>
      <c r="Q16" s="949"/>
      <c r="R16" s="949"/>
    </row>
    <row r="17" spans="1:23" s="106" customFormat="1" x14ac:dyDescent="0.25">
      <c r="A17" s="21" t="s">
        <v>772</v>
      </c>
      <c r="B17" s="781" t="s">
        <v>13</v>
      </c>
      <c r="C17" s="964"/>
      <c r="D17" s="38"/>
      <c r="E17" s="38"/>
      <c r="F17" s="965"/>
      <c r="G17" s="965"/>
      <c r="H17" s="965"/>
      <c r="I17" s="965"/>
      <c r="J17" s="38"/>
      <c r="K17" s="558"/>
    </row>
    <row r="18" spans="1:23" s="106" customFormat="1" x14ac:dyDescent="0.25">
      <c r="A18" s="21" t="s">
        <v>793</v>
      </c>
      <c r="B18" s="135" t="s">
        <v>13</v>
      </c>
      <c r="C18" s="954" t="e">
        <f ca="1">VLOOKUP(C7,'Calculations II'!$B$8:BP381,44,FALSE)</f>
        <v>#N/A</v>
      </c>
      <c r="D18" s="955" t="e">
        <f ca="1">VLOOKUP(D7,'Calculations II'!$B$8:BP381,44,FALSE)</f>
        <v>#N/A</v>
      </c>
      <c r="E18" s="955" t="e">
        <f ca="1">VLOOKUP(E7,'Calculations II'!$B$8:BP381,44,FALSE)</f>
        <v>#N/A</v>
      </c>
      <c r="F18" s="955" t="e">
        <f ca="1">VLOOKUP(F7,'Calculations II'!$B$8:BP381,44,FALSE)</f>
        <v>#N/A</v>
      </c>
      <c r="G18" s="955" t="e">
        <f ca="1">VLOOKUP(G7,'Calculations II'!$B$8:BP381,44,FALSE)</f>
        <v>#N/A</v>
      </c>
      <c r="H18" s="955" t="e">
        <f ca="1">VLOOKUP(H7,'Calculations II'!$B$8:BP381,44,FALSE)</f>
        <v>#N/A</v>
      </c>
      <c r="I18" s="955" t="e">
        <f ca="1">VLOOKUP(I7,'Calculations II'!$B$8:BP381,44,FALSE)</f>
        <v>#N/A</v>
      </c>
      <c r="J18" s="955" t="e">
        <f ca="1">VLOOKUP(J7,'Calculations II'!$B$8:BP381,44,FALSE)</f>
        <v>#N/A</v>
      </c>
      <c r="K18" s="956" t="e">
        <f ca="1">VLOOKUP(K7,'Calculations II'!$B$8:BP381,44,FALSE)</f>
        <v>#N/A</v>
      </c>
    </row>
    <row r="19" spans="1:23" s="106" customFormat="1" x14ac:dyDescent="0.25">
      <c r="A19" s="21" t="s">
        <v>18</v>
      </c>
      <c r="B19" s="781" t="s">
        <v>13</v>
      </c>
      <c r="C19" s="44" t="e">
        <f ca="1">VLOOKUP(C7,'Calculations II'!$B$8:$IV$430,54,FALSE)</f>
        <v>#N/A</v>
      </c>
      <c r="D19" s="37" t="e">
        <f ca="1">VLOOKUP(D7,'Calculations II'!$B$8:$IV$430,54,FALSE)</f>
        <v>#N/A</v>
      </c>
      <c r="E19" s="37" t="e">
        <f ca="1">VLOOKUP(E7,'Calculations II'!$B$8:$IV$430,54,FALSE)</f>
        <v>#N/A</v>
      </c>
      <c r="F19" s="37" t="e">
        <f ca="1">VLOOKUP(F7,'Calculations II'!$B$8:$IV$430,54,FALSE)</f>
        <v>#N/A</v>
      </c>
      <c r="G19" s="37" t="e">
        <f ca="1">VLOOKUP(G7,'Calculations II'!$B$8:$IV$430,54,FALSE)</f>
        <v>#N/A</v>
      </c>
      <c r="H19" s="37" t="e">
        <f ca="1">VLOOKUP(H7,'Calculations II'!$B$8:$IV$430,54,FALSE)</f>
        <v>#N/A</v>
      </c>
      <c r="I19" s="37" t="e">
        <f ca="1">VLOOKUP(I7,'Calculations II'!$B$8:$IV$430,54,FALSE)</f>
        <v>#N/A</v>
      </c>
      <c r="J19" s="37" t="e">
        <f ca="1">VLOOKUP(J7,'Calculations II'!$B$8:$IV$430,54,FALSE)</f>
        <v>#N/A</v>
      </c>
      <c r="K19" s="39" t="e">
        <f ca="1">VLOOKUP(K7,'Calculations II'!$B$8:$IV$430,54,FALSE)</f>
        <v>#N/A</v>
      </c>
    </row>
    <row r="20" spans="1:23" s="106" customFormat="1" x14ac:dyDescent="0.25">
      <c r="A20" s="21" t="s">
        <v>784</v>
      </c>
      <c r="B20" s="135" t="s">
        <v>13</v>
      </c>
      <c r="C20" s="967" t="e">
        <f ca="1">VLOOKUP(C7,Calculation!$B$8:$JO$503,41,FALSE)</f>
        <v>#N/A</v>
      </c>
      <c r="D20" s="968" t="e">
        <f ca="1">VLOOKUP(D7,Calculation!$B$8:$JO$503,41,FALSE)</f>
        <v>#N/A</v>
      </c>
      <c r="E20" s="968" t="e">
        <f ca="1">VLOOKUP(E7,Calculation!$B$8:$JO$503,41,FALSE)</f>
        <v>#N/A</v>
      </c>
      <c r="F20" s="968" t="e">
        <f ca="1">VLOOKUP(F7,Calculation!$B$8:$JO$503,41,FALSE)</f>
        <v>#N/A</v>
      </c>
      <c r="G20" s="968" t="e">
        <f ca="1">VLOOKUP(G7,Calculation!$B$8:$JO$503,41,FALSE)</f>
        <v>#N/A</v>
      </c>
      <c r="H20" s="968" t="e">
        <f ca="1">VLOOKUP(H7,Calculation!$B$8:$JO$503,41,FALSE)</f>
        <v>#N/A</v>
      </c>
      <c r="I20" s="968" t="e">
        <f ca="1">VLOOKUP(I7,Calculation!$B$8:$JO$503,41,FALSE)</f>
        <v>#N/A</v>
      </c>
      <c r="J20" s="968" t="e">
        <f ca="1">VLOOKUP(J7,Calculation!$B$8:$JO$503,41,FALSE)</f>
        <v>#N/A</v>
      </c>
      <c r="K20" s="969" t="e">
        <f ca="1">VLOOKUP(K7,Calculation!$B$8:$JO$503,41,FALSE)</f>
        <v>#N/A</v>
      </c>
      <c r="M20" s="996"/>
      <c r="N20" s="996"/>
      <c r="O20" s="996"/>
    </row>
    <row r="21" spans="1:23" s="106" customFormat="1" ht="13.8" thickBot="1" x14ac:dyDescent="0.3">
      <c r="A21" s="199" t="s">
        <v>73</v>
      </c>
      <c r="B21" s="221" t="s">
        <v>13</v>
      </c>
      <c r="C21" s="45" t="e">
        <f t="shared" ref="C21:J21" ca="1" si="2">SUM(C10,C11,C12,C13,C14,C15,C18,C19,C20)</f>
        <v>#N/A</v>
      </c>
      <c r="D21" s="40" t="e">
        <f t="shared" ca="1" si="2"/>
        <v>#N/A</v>
      </c>
      <c r="E21" s="40" t="e">
        <f t="shared" ca="1" si="2"/>
        <v>#N/A</v>
      </c>
      <c r="F21" s="40" t="e">
        <f t="shared" ca="1" si="2"/>
        <v>#N/A</v>
      </c>
      <c r="G21" s="40" t="e">
        <f t="shared" ca="1" si="2"/>
        <v>#N/A</v>
      </c>
      <c r="H21" s="40" t="e">
        <f t="shared" ca="1" si="2"/>
        <v>#N/A</v>
      </c>
      <c r="I21" s="40" t="e">
        <f t="shared" ca="1" si="2"/>
        <v>#N/A</v>
      </c>
      <c r="J21" s="40" t="e">
        <f t="shared" ca="1" si="2"/>
        <v>#N/A</v>
      </c>
      <c r="K21" s="41" t="e">
        <f ca="1">SUM(K10,K11,K12,K13,K14,K15,K18,K19,K20)</f>
        <v>#N/A</v>
      </c>
      <c r="L21" s="570"/>
      <c r="M21" s="997"/>
      <c r="N21" s="997"/>
      <c r="O21" s="997"/>
      <c r="P21" s="56"/>
      <c r="Q21" s="56"/>
      <c r="R21" s="56"/>
      <c r="S21" s="56"/>
      <c r="T21" s="56"/>
      <c r="U21" s="56"/>
      <c r="V21" s="56"/>
      <c r="W21" s="56"/>
    </row>
    <row r="22" spans="1:23" s="106" customFormat="1" ht="13.8" thickBot="1" x14ac:dyDescent="0.3">
      <c r="A22" s="1195" t="s">
        <v>103</v>
      </c>
      <c r="B22" s="1198"/>
      <c r="C22" s="1204"/>
      <c r="D22" s="1204"/>
      <c r="E22" s="1204"/>
      <c r="F22" s="1204"/>
      <c r="G22" s="1204"/>
      <c r="H22" s="1204"/>
      <c r="I22" s="1204"/>
      <c r="J22" s="1204"/>
      <c r="K22" s="1205"/>
      <c r="M22" s="998"/>
      <c r="N22" s="998"/>
      <c r="O22" s="998"/>
      <c r="P22" s="998"/>
      <c r="Q22" s="998"/>
      <c r="R22" s="998"/>
      <c r="S22" s="998"/>
    </row>
    <row r="23" spans="1:23" s="106" customFormat="1" x14ac:dyDescent="0.25">
      <c r="A23" s="127" t="s">
        <v>394</v>
      </c>
      <c r="B23" s="155" t="s">
        <v>11</v>
      </c>
      <c r="C23" s="1121" t="e">
        <f ca="1">VLOOKUP(C7,Sheet1!$B$8:$HT$524,105,FALSE)</f>
        <v>#N/A</v>
      </c>
      <c r="D23" s="1122" t="e">
        <f ca="1">VLOOKUP(D7,Sheet1!$B$8:$HT$524,105,FALSE)</f>
        <v>#N/A</v>
      </c>
      <c r="E23" s="1123" t="e">
        <f ca="1">VLOOKUP(E7,Sheet1!$B$8:$HT$524,105,FALSE)</f>
        <v>#N/A</v>
      </c>
      <c r="F23" s="1122" t="e">
        <f ca="1">VLOOKUP(F7,Sheet1!$B$8:$HT$524,105,FALSE)</f>
        <v>#N/A</v>
      </c>
      <c r="G23" s="1122" t="e">
        <f ca="1">VLOOKUP(G7,Sheet1!$B$8:$HT$524,105,FALSE)</f>
        <v>#N/A</v>
      </c>
      <c r="H23" s="1122" t="e">
        <f ca="1">VLOOKUP(H7,Sheet1!$B$8:$HT$524,105,FALSE)</f>
        <v>#N/A</v>
      </c>
      <c r="I23" s="1122" t="e">
        <f ca="1">VLOOKUP(I7,Sheet1!$B$8:$HT$524,105,FALSE)</f>
        <v>#N/A</v>
      </c>
      <c r="J23" s="1122" t="e">
        <f ca="1">VLOOKUP(J7,Sheet1!$B$8:$HT$524,105,FALSE)</f>
        <v>#N/A</v>
      </c>
      <c r="K23" s="1124" t="e">
        <f ca="1">VLOOKUP(K7,Sheet1!$B$8:$HT$524,105,FALSE)</f>
        <v>#N/A</v>
      </c>
      <c r="M23" s="999"/>
      <c r="N23" s="999"/>
      <c r="O23" s="999"/>
      <c r="P23" s="999"/>
      <c r="Q23" s="999"/>
      <c r="R23" s="999"/>
      <c r="S23" s="999"/>
    </row>
    <row r="24" spans="1:23" s="106" customFormat="1" x14ac:dyDescent="0.25">
      <c r="A24" s="21" t="s">
        <v>112</v>
      </c>
      <c r="B24" s="113" t="s">
        <v>12</v>
      </c>
      <c r="C24" s="133" t="e">
        <f ca="1">VLOOKUP(C7,Sheet1!$B$8:$HT$524,6,FALSE)</f>
        <v>#N/A</v>
      </c>
      <c r="D24" s="37" t="e">
        <f ca="1">VLOOKUP(D7,Sheet1!$B$8:$HT$524,6,FALSE)</f>
        <v>#N/A</v>
      </c>
      <c r="E24" s="174" t="e">
        <f ca="1">VLOOKUP(E7,Sheet1!$B$8:$HT$524,6,FALSE)</f>
        <v>#N/A</v>
      </c>
      <c r="F24" s="37" t="e">
        <f ca="1">VLOOKUP(F7,Sheet1!$B$8:$HT$524,6,FALSE)</f>
        <v>#N/A</v>
      </c>
      <c r="G24" s="37" t="e">
        <f ca="1">VLOOKUP(G7,Sheet1!$B$8:$HT$524,6,FALSE)</f>
        <v>#N/A</v>
      </c>
      <c r="H24" s="37" t="e">
        <f ca="1">VLOOKUP(H7,Sheet1!$B$8:$HT$524,6,FALSE)</f>
        <v>#N/A</v>
      </c>
      <c r="I24" s="37" t="e">
        <f ca="1">VLOOKUP(I7,Sheet1!$B$8:$HT$524,6,FALSE)</f>
        <v>#N/A</v>
      </c>
      <c r="J24" s="37" t="e">
        <f ca="1">VLOOKUP(J7,Sheet1!$B$8:$HT$524,6,FALSE)</f>
        <v>#N/A</v>
      </c>
      <c r="K24" s="39" t="e">
        <f ca="1">VLOOKUP(K7,Sheet1!$B$8:$HT$524,6,FALSE)</f>
        <v>#N/A</v>
      </c>
      <c r="M24" s="998"/>
      <c r="N24" s="998"/>
      <c r="O24" s="998"/>
      <c r="P24" s="998"/>
      <c r="Q24" s="998"/>
      <c r="R24" s="998"/>
      <c r="S24" s="998"/>
    </row>
    <row r="25" spans="1:23" s="106" customFormat="1" x14ac:dyDescent="0.25">
      <c r="A25" s="134" t="s">
        <v>269</v>
      </c>
      <c r="B25" s="131" t="s">
        <v>13</v>
      </c>
      <c r="C25" s="230" t="e">
        <f ca="1">VLOOKUP(C7,Sheet1!$B$8:$HT$524,26,FALSE)</f>
        <v>#N/A</v>
      </c>
      <c r="D25" s="197" t="e">
        <f ca="1">VLOOKUP(D7,Sheet1!$B$8:$HT$524,26,FALSE)</f>
        <v>#N/A</v>
      </c>
      <c r="E25" s="232" t="e">
        <f ca="1">VLOOKUP(E7,Sheet1!$B$8:$HT$524,26,FALSE)</f>
        <v>#N/A</v>
      </c>
      <c r="F25" s="197" t="e">
        <f ca="1">VLOOKUP(F7,Sheet1!$B$8:$HT$524,26,FALSE)</f>
        <v>#N/A</v>
      </c>
      <c r="G25" s="197" t="e">
        <f ca="1">VLOOKUP(G7,Sheet1!$B$8:$HT$524,26,FALSE)</f>
        <v>#N/A</v>
      </c>
      <c r="H25" s="197" t="e">
        <f ca="1">VLOOKUP(H7,Sheet1!$B$8:$HT$524,26,FALSE)</f>
        <v>#N/A</v>
      </c>
      <c r="I25" s="197" t="e">
        <f ca="1">VLOOKUP(I7,Sheet1!$B$8:$HT$524,26,FALSE)</f>
        <v>#N/A</v>
      </c>
      <c r="J25" s="197" t="e">
        <f ca="1">VLOOKUP(J7,Sheet1!$B$8:$HT$524,26,FALSE)</f>
        <v>#N/A</v>
      </c>
      <c r="K25" s="198" t="e">
        <f ca="1">VLOOKUP(K7,Sheet1!$B$8:$HT$524,26,FALSE)</f>
        <v>#N/A</v>
      </c>
    </row>
    <row r="26" spans="1:23" s="106" customFormat="1" x14ac:dyDescent="0.25">
      <c r="A26" s="201" t="s">
        <v>264</v>
      </c>
      <c r="B26" s="202" t="s">
        <v>13</v>
      </c>
      <c r="C26" s="133" t="e">
        <f ca="1">VLOOKUP(C7,Sheet1!$B$8:$HT$524,11,FALSE)</f>
        <v>#N/A</v>
      </c>
      <c r="D26" s="37" t="e">
        <f ca="1">VLOOKUP(D7,Sheet1!$B$8:$HT$524,11,FALSE)</f>
        <v>#N/A</v>
      </c>
      <c r="E26" s="174" t="e">
        <f ca="1">VLOOKUP(E7,Sheet1!$B$8:$HT$524,11,FALSE)</f>
        <v>#N/A</v>
      </c>
      <c r="F26" s="37" t="e">
        <f ca="1">VLOOKUP(F7,Sheet1!$B$8:$HT$524,11,FALSE)</f>
        <v>#N/A</v>
      </c>
      <c r="G26" s="37" t="e">
        <f ca="1">VLOOKUP(G7,Sheet1!$B$8:$HT$524,11,FALSE)</f>
        <v>#N/A</v>
      </c>
      <c r="H26" s="37" t="e">
        <f ca="1">VLOOKUP(H7,Sheet1!$B$8:$HT$524,11,FALSE)</f>
        <v>#N/A</v>
      </c>
      <c r="I26" s="37" t="e">
        <f ca="1">VLOOKUP(I7,Sheet1!$B$8:$HT$524,11,FALSE)</f>
        <v>#N/A</v>
      </c>
      <c r="J26" s="37" t="e">
        <f ca="1">VLOOKUP(J7,Sheet1!$B$8:$HT$524,11,FALSE)</f>
        <v>#N/A</v>
      </c>
      <c r="K26" s="39" t="e">
        <f ca="1">VLOOKUP(K7,Sheet1!$B$8:$HT$524,11,FALSE)</f>
        <v>#N/A</v>
      </c>
    </row>
    <row r="27" spans="1:23" s="106" customFormat="1" x14ac:dyDescent="0.25">
      <c r="A27" s="134" t="s">
        <v>74</v>
      </c>
      <c r="B27" s="131" t="s">
        <v>12</v>
      </c>
      <c r="C27" s="230" t="e">
        <f ca="1">VLOOKUP(C7,Sheet1!$B$8:$HT$524,12,FALSE)</f>
        <v>#N/A</v>
      </c>
      <c r="D27" s="197" t="e">
        <f ca="1">VLOOKUP(D7,Sheet1!$B$8:$HT$524,12,FALSE)</f>
        <v>#N/A</v>
      </c>
      <c r="E27" s="232" t="e">
        <f ca="1">VLOOKUP(E7,Sheet1!$B$8:$HT$524,12,FALSE)</f>
        <v>#N/A</v>
      </c>
      <c r="F27" s="197" t="e">
        <f ca="1">VLOOKUP(F7,Sheet1!$B$8:$HT$524,12,FALSE)</f>
        <v>#N/A</v>
      </c>
      <c r="G27" s="197" t="e">
        <f ca="1">VLOOKUP(G7,Sheet1!$B$8:$HT$524,12,FALSE)</f>
        <v>#N/A</v>
      </c>
      <c r="H27" s="197" t="e">
        <f ca="1">VLOOKUP(H7,Sheet1!$B$8:$HT$524,12,FALSE)</f>
        <v>#N/A</v>
      </c>
      <c r="I27" s="197" t="e">
        <f ca="1">VLOOKUP(I7,Sheet1!$B$8:$HT$524,12,FALSE)</f>
        <v>#N/A</v>
      </c>
      <c r="J27" s="197" t="e">
        <f ca="1">VLOOKUP(J7,Sheet1!$B$8:$HT$524,12,FALSE)</f>
        <v>#N/A</v>
      </c>
      <c r="K27" s="198" t="e">
        <f ca="1">VLOOKUP(K7,Sheet1!$B$8:$HT$524,12,FALSE)</f>
        <v>#N/A</v>
      </c>
    </row>
    <row r="28" spans="1:23" s="106" customFormat="1" x14ac:dyDescent="0.25">
      <c r="A28" s="203" t="s">
        <v>875</v>
      </c>
      <c r="B28" s="204" t="s">
        <v>38</v>
      </c>
      <c r="C28" s="133" t="e">
        <f ca="1">VLOOKUP(C7,Sheet1!$B$8:$HT$524,7,FALSE)</f>
        <v>#N/A</v>
      </c>
      <c r="D28" s="37" t="e">
        <f ca="1">VLOOKUP(D7,Sheet1!$B$8:$HT$524,7,FALSE)</f>
        <v>#N/A</v>
      </c>
      <c r="E28" s="174" t="e">
        <f ca="1">VLOOKUP(E7,Sheet1!$B$8:$HT$524,7,FALSE)</f>
        <v>#N/A</v>
      </c>
      <c r="F28" s="37" t="e">
        <f ca="1">VLOOKUP(F7,Sheet1!$B$8:$HT$524,7,FALSE)</f>
        <v>#N/A</v>
      </c>
      <c r="G28" s="37" t="e">
        <f ca="1">VLOOKUP(G7,Sheet1!$B$8:$HT$524,7,FALSE)</f>
        <v>#N/A</v>
      </c>
      <c r="H28" s="37" t="e">
        <f ca="1">VLOOKUP(H7,Sheet1!$B$8:$HT$524,7,FALSE)</f>
        <v>#N/A</v>
      </c>
      <c r="I28" s="37" t="e">
        <f ca="1">VLOOKUP(I7,Sheet1!$B$8:$HT$524,7,FALSE)</f>
        <v>#N/A</v>
      </c>
      <c r="J28" s="37" t="e">
        <f ca="1">VLOOKUP(J7,Sheet1!$B$8:$HT$524,7,FALSE)</f>
        <v>#N/A</v>
      </c>
      <c r="K28" s="39" t="e">
        <f ca="1">VLOOKUP(K7,Sheet1!$B$8:$HT$524,7,FALSE)</f>
        <v>#N/A</v>
      </c>
    </row>
    <row r="29" spans="1:23" s="106" customFormat="1" x14ac:dyDescent="0.25">
      <c r="A29" s="21" t="s">
        <v>874</v>
      </c>
      <c r="B29" s="130" t="s">
        <v>38</v>
      </c>
      <c r="C29" s="346" t="e">
        <f ca="1">IF(VLOOKUP(C7,Sheet1!$B$8:$HT$524,9,FALSE)=0,VLOOKUP(C7,Sheet1!$B$8:$HT$524,10,FALSE),VLOOKUP(C7,Sheet1!$B$8:$HT$524,9,FALSE))</f>
        <v>#N/A</v>
      </c>
      <c r="D29" s="197" t="e">
        <f ca="1">IF(VLOOKUP(D7,Sheet1!$B$8:$HT$524,9,FALSE)=0,VLOOKUP(D7,Sheet1!$B$8:$HT$524,10,FALSE),VLOOKUP(D7,Sheet1!$B$8:$HT$524,9,FALSE))</f>
        <v>#N/A</v>
      </c>
      <c r="E29" s="197" t="e">
        <f ca="1">IF(VLOOKUP(E7,Sheet1!$B$8:$HT$524,9,FALSE)=0,VLOOKUP(E7,Sheet1!$B$8:$HT$524,10,FALSE),VLOOKUP(E7,Sheet1!$B$8:$HT$524,9,FALSE))</f>
        <v>#N/A</v>
      </c>
      <c r="F29" s="197" t="e">
        <f ca="1">IF(VLOOKUP(F7,Sheet1!$B$8:$HT$524,9,FALSE)=0,VLOOKUP(F7,Sheet1!$B$8:$HT$524,10,FALSE),VLOOKUP(F7,Sheet1!$B$8:$HT$524,9,FALSE))</f>
        <v>#N/A</v>
      </c>
      <c r="G29" s="197" t="e">
        <f ca="1">IF(VLOOKUP(G7,Sheet1!$B$8:$HT$524,9,FALSE)=0,VLOOKUP(G7,Sheet1!$B$8:$HT$524,10,FALSE),VLOOKUP(G7,Sheet1!$B$8:$HT$524,9,FALSE))</f>
        <v>#N/A</v>
      </c>
      <c r="H29" s="197" t="e">
        <f ca="1">IF(VLOOKUP(H7,Sheet1!$B$8:$HT$524,9,FALSE)=0,VLOOKUP(H7,Sheet1!$B$8:$HT$524,10,FALSE),VLOOKUP(H7,Sheet1!$B$8:$HT$524,9,FALSE))</f>
        <v>#N/A</v>
      </c>
      <c r="I29" s="197" t="e">
        <f ca="1">IF(VLOOKUP(I7,Sheet1!$B$8:$HT$524,9,FALSE)=0,VLOOKUP(I7,Sheet1!$B$8:$HT$524,10,FALSE),VLOOKUP(I7,Sheet1!$B$8:$HT$524,9,FALSE))</f>
        <v>#N/A</v>
      </c>
      <c r="J29" s="197" t="e">
        <f ca="1">IF(VLOOKUP(J7,Sheet1!$B$8:$HT$524,9,FALSE)=0,VLOOKUP(J7,Sheet1!$B$8:$HT$524,10,FALSE),VLOOKUP(J7,Sheet1!$B$8:$HT$524,9,FALSE))</f>
        <v>#N/A</v>
      </c>
      <c r="K29" s="198" t="e">
        <f ca="1">IF(VLOOKUP(K7,Sheet1!$B$8:$HT$524,9,FALSE)=0,VLOOKUP(K7,Sheet1!$B$8:$HT$524,10,FALSE),VLOOKUP(K7,Sheet1!$B$8:$HT$524,9,FALSE))</f>
        <v>#N/A</v>
      </c>
    </row>
    <row r="30" spans="1:23" s="106" customFormat="1" x14ac:dyDescent="0.25">
      <c r="A30" s="201" t="s">
        <v>275</v>
      </c>
      <c r="B30" s="202" t="s">
        <v>276</v>
      </c>
      <c r="C30" s="44" t="e">
        <f ca="1">IF(VLOOKUP(C7,Sheet1!$B$8:$HT$524,20,FALSE)="os",VLOOKUP(C7,Sheet1!$B$8:$HT$524,21,FALSE),VLOOKUP(C7,Sheet1!$B$8:$HT$524,20,FALSE))</f>
        <v>#N/A</v>
      </c>
      <c r="D30" s="37" t="e">
        <f ca="1">IF(VLOOKUP(D7,Sheet1!$B$8:$HT$524,20,FALSE)="os",VLOOKUP(D7,Sheet1!$B$8:$HT$524,21,FALSE),VLOOKUP(D7,Sheet1!$B$8:$HT$524,20,FALSE))</f>
        <v>#N/A</v>
      </c>
      <c r="E30" s="37" t="e">
        <f ca="1">IF(VLOOKUP(E7,Sheet1!$B$8:$HT$524,20,FALSE)="os",VLOOKUP(E7,Sheet1!$B$8:$HT$524,21,FALSE),VLOOKUP(E7,Sheet1!$B$8:$HT$524,20,FALSE))</f>
        <v>#N/A</v>
      </c>
      <c r="F30" s="37" t="e">
        <f ca="1">IF(VLOOKUP(F7,Sheet1!$B$8:$HT$524,20,FALSE)="os",VLOOKUP(F7,Sheet1!$B$8:$HT$524,21,FALSE),VLOOKUP(F7,Sheet1!$B$8:$HT$524,20,FALSE))</f>
        <v>#N/A</v>
      </c>
      <c r="G30" s="37" t="e">
        <f ca="1">IF(VLOOKUP(G7,Sheet1!$B$8:$HT$524,20,FALSE)="os",VLOOKUP(G7,Sheet1!$B$8:$HT$524,21,FALSE),VLOOKUP(G7,Sheet1!$B$8:$HT$524,20,FALSE))</f>
        <v>#N/A</v>
      </c>
      <c r="H30" s="37" t="e">
        <f ca="1">IF(VLOOKUP(H7,Sheet1!$B$8:$HT$524,20,FALSE)="os",VLOOKUP(H7,Sheet1!$B$8:$HT$524,21,FALSE),VLOOKUP(H7,Sheet1!$B$8:$HT$524,20,FALSE))</f>
        <v>#N/A</v>
      </c>
      <c r="I30" s="37" t="e">
        <f ca="1">IF(VLOOKUP(I7,Sheet1!$B$8:$HT$524,20,FALSE)="os",VLOOKUP(I7,Sheet1!$B$8:$HT$524,21,FALSE),VLOOKUP(I7,Sheet1!$B$8:$HT$524,20,FALSE))</f>
        <v>#N/A</v>
      </c>
      <c r="J30" s="37" t="e">
        <f ca="1">IF(VLOOKUP(J7,Sheet1!$B$8:$HT$524,20,FALSE)="os",VLOOKUP(J7,Sheet1!$B$8:$HT$524,21,FALSE),VLOOKUP(J7,Sheet1!$B$8:$HT$524,20,FALSE))</f>
        <v>#N/A</v>
      </c>
      <c r="K30" s="39" t="e">
        <f ca="1">IF(VLOOKUP(K7,Sheet1!$B$8:$HT$524,20,FALSE)="os",VLOOKUP(K7,Sheet1!$B$8:$HT$524,21,FALSE),VLOOKUP(K7,Sheet1!$B$8:$HT$524,20,FALSE))</f>
        <v>#N/A</v>
      </c>
    </row>
    <row r="31" spans="1:23" s="106" customFormat="1" x14ac:dyDescent="0.25">
      <c r="A31" s="201" t="s">
        <v>516</v>
      </c>
      <c r="B31" s="205" t="s">
        <v>85</v>
      </c>
      <c r="C31" s="230" t="e">
        <f ca="1">VLOOKUP(C7,Sheet1!$B$8:$HT$524,13,FALSE)</f>
        <v>#N/A</v>
      </c>
      <c r="D31" s="197" t="e">
        <f ca="1">VLOOKUP(D7,Sheet1!$B$8:$HT$524,13,FALSE)</f>
        <v>#N/A</v>
      </c>
      <c r="E31" s="232" t="e">
        <f ca="1">VLOOKUP(E7,Sheet1!$B$8:$HT$524,13,FALSE)</f>
        <v>#N/A</v>
      </c>
      <c r="F31" s="197" t="e">
        <f ca="1">VLOOKUP(F7,Sheet1!$B$8:$HT$524,13,FALSE)</f>
        <v>#N/A</v>
      </c>
      <c r="G31" s="197" t="e">
        <f ca="1">VLOOKUP(G7,Sheet1!$B$8:$HT$524,13,FALSE)</f>
        <v>#N/A</v>
      </c>
      <c r="H31" s="197" t="e">
        <f ca="1">VLOOKUP(H7,Sheet1!$B$8:$HT$524,13,FALSE)</f>
        <v>#N/A</v>
      </c>
      <c r="I31" s="197" t="e">
        <f ca="1">VLOOKUP(I7,Sheet1!$B$8:$HT$524,13,FALSE)</f>
        <v>#N/A</v>
      </c>
      <c r="J31" s="197" t="e">
        <f ca="1">VLOOKUP(J7,Sheet1!$B$8:$HT$524,13,FALSE)</f>
        <v>#N/A</v>
      </c>
      <c r="K31" s="198" t="e">
        <f ca="1">VLOOKUP(K7,Sheet1!$B$8:$HT$524,13,FALSE)</f>
        <v>#N/A</v>
      </c>
    </row>
    <row r="32" spans="1:23" s="106" customFormat="1" x14ac:dyDescent="0.25">
      <c r="A32" s="201" t="s">
        <v>75</v>
      </c>
      <c r="B32" s="206" t="s">
        <v>86</v>
      </c>
      <c r="C32" s="207" t="e">
        <f ca="1">VLOOKUP(C7,Sheet1!$B$8:$HT$524,17,FALSE)</f>
        <v>#N/A</v>
      </c>
      <c r="D32" s="207" t="e">
        <f ca="1">VLOOKUP(D7,Sheet1!$B$8:$HT$524,17,FALSE)</f>
        <v>#N/A</v>
      </c>
      <c r="E32" s="207" t="e">
        <f ca="1">VLOOKUP(E7,Sheet1!$B$8:$HT$524,17,FALSE)</f>
        <v>#N/A</v>
      </c>
      <c r="F32" s="207" t="e">
        <f ca="1">VLOOKUP(F7,Sheet1!$B$8:$HT$524,17,FALSE)</f>
        <v>#N/A</v>
      </c>
      <c r="G32" s="207" t="e">
        <f ca="1">VLOOKUP(G7,Sheet1!$B$8:$HT$524,17,FALSE)</f>
        <v>#N/A</v>
      </c>
      <c r="H32" s="207" t="e">
        <f ca="1">VLOOKUP(H7,Sheet1!$B$8:$HT$524,17,FALSE)</f>
        <v>#N/A</v>
      </c>
      <c r="I32" s="207" t="e">
        <f ca="1">VLOOKUP(I7,Sheet1!$B$8:$HT$524,17,FALSE)</f>
        <v>#N/A</v>
      </c>
      <c r="J32" s="207" t="e">
        <f ca="1">VLOOKUP(J7,Sheet1!$B$8:$HT$524,17,FALSE)</f>
        <v>#N/A</v>
      </c>
      <c r="K32" s="208" t="e">
        <f ca="1">VLOOKUP(K7,Sheet1!$B$8:$HT$524,17,FALSE)</f>
        <v>#N/A</v>
      </c>
      <c r="O32" s="631"/>
    </row>
    <row r="33" spans="1:16" s="106" customFormat="1" x14ac:dyDescent="0.25">
      <c r="A33" s="201" t="s">
        <v>834</v>
      </c>
      <c r="B33" s="209"/>
      <c r="C33" s="346" t="e">
        <f ca="1">IF(VLOOKUP(C7,Sheet1!$B$8:$HT$524,18,FALSE)="os",VLOOKUP(C7,Sheet1!$B$8:$HT$524,19,FALSE),VLOOKUP(C7,Sheet1!$B$8:$HT$524,18,FALSE))</f>
        <v>#N/A</v>
      </c>
      <c r="D33" s="197" t="e">
        <f ca="1">IF(VLOOKUP(D7,Sheet1!$B$8:$HT$524,18,FALSE)="os",VLOOKUP(D7,Sheet1!$B$8:$HT$524,19,FALSE),VLOOKUP(D7,Sheet1!$B$8:$HT$524,18,FALSE))</f>
        <v>#N/A</v>
      </c>
      <c r="E33" s="197" t="e">
        <f ca="1">IF(VLOOKUP(E7,Sheet1!$B$8:$HT$524,18,FALSE)="os",VLOOKUP(E7,Sheet1!$B$8:$HT$524,19,FALSE),VLOOKUP(E7,Sheet1!$B$8:$HT$524,18,FALSE))</f>
        <v>#N/A</v>
      </c>
      <c r="F33" s="197" t="e">
        <f ca="1">IF(VLOOKUP(F7,Sheet1!$B$8:$HT$524,18,FALSE)="os",VLOOKUP(F7,Sheet1!$B$8:$HT$524,19,FALSE),VLOOKUP(F7,Sheet1!$B$8:$HT$524,18,FALSE))</f>
        <v>#N/A</v>
      </c>
      <c r="G33" s="197" t="e">
        <f ca="1">IF(VLOOKUP(G7,Sheet1!$B$8:$HT$524,18,FALSE)="os",VLOOKUP(G7,Sheet1!$B$8:$HT$524,19,FALSE),VLOOKUP(G7,Sheet1!$B$8:$HT$524,18,FALSE))</f>
        <v>#N/A</v>
      </c>
      <c r="H33" s="197" t="e">
        <f ca="1">IF(VLOOKUP(H7,Sheet1!$B$8:$HT$524,18,FALSE)="os",VLOOKUP(H7,Sheet1!$B$8:$HT$524,19,FALSE),VLOOKUP(H7,Sheet1!$B$8:$HT$524,18,FALSE))</f>
        <v>#N/A</v>
      </c>
      <c r="I33" s="197" t="e">
        <f ca="1">IF(VLOOKUP(I7,Sheet1!$B$8:$HT$524,18,FALSE)="os",VLOOKUP(I7,Sheet1!$B$8:$HT$524,19,FALSE),VLOOKUP(I7,Sheet1!$B$8:$HT$524,18,FALSE))</f>
        <v>#N/A</v>
      </c>
      <c r="J33" s="197" t="e">
        <f ca="1">IF(VLOOKUP(J7,Sheet1!$B$8:$HT$524,18,FALSE)="os",VLOOKUP(J7,Sheet1!$B$8:$HT$524,19,FALSE),VLOOKUP(J7,Sheet1!$B$8:$HT$524,18,FALSE))</f>
        <v>#N/A</v>
      </c>
      <c r="K33" s="198" t="e">
        <f ca="1">IF(VLOOKUP(K7,Sheet1!$B$8:$HT$524,18,FALSE)="os",VLOOKUP(K7,Sheet1!$B$8:$HT$524,19,FALSE),VLOOKUP(K7,Sheet1!$B$8:$HT$524,18,FALSE))</f>
        <v>#N/A</v>
      </c>
      <c r="O33" s="631"/>
    </row>
    <row r="34" spans="1:16" s="106" customFormat="1" x14ac:dyDescent="0.25">
      <c r="A34" s="201" t="s">
        <v>393</v>
      </c>
      <c r="B34" s="202" t="s">
        <v>87</v>
      </c>
      <c r="C34" s="133" t="e">
        <f ca="1">VLOOKUP(C7,Sheet1!$B$8:$HT$524,106,FALSE)</f>
        <v>#N/A</v>
      </c>
      <c r="D34" s="37" t="e">
        <f ca="1">VLOOKUP(D7,Sheet1!$B$8:$HT$524,106,FALSE)</f>
        <v>#N/A</v>
      </c>
      <c r="E34" s="174" t="e">
        <f ca="1">VLOOKUP(E7,Sheet1!$B$8:$HT$524,106,FALSE)</f>
        <v>#N/A</v>
      </c>
      <c r="F34" s="37" t="e">
        <f ca="1">VLOOKUP(F7,Sheet1!$B$8:$HT$524,106,FALSE)</f>
        <v>#N/A</v>
      </c>
      <c r="G34" s="37" t="e">
        <f ca="1">VLOOKUP(G7,Sheet1!$B$8:$HT$524,106,FALSE)</f>
        <v>#N/A</v>
      </c>
      <c r="H34" s="37" t="e">
        <f ca="1">VLOOKUP(H7,Sheet1!$B$8:$HT$524,106,FALSE)</f>
        <v>#N/A</v>
      </c>
      <c r="I34" s="37" t="e">
        <f ca="1">VLOOKUP(I7,Sheet1!$B$8:$HT$524,106,FALSE)</f>
        <v>#N/A</v>
      </c>
      <c r="J34" s="37" t="e">
        <f ca="1">VLOOKUP(J7,Sheet1!$B$8:$HT$524,106,FALSE)</f>
        <v>#N/A</v>
      </c>
      <c r="K34" s="39" t="e">
        <f ca="1">VLOOKUP(K7,Sheet1!$B$8:$HT$524,106,FALSE)</f>
        <v>#N/A</v>
      </c>
      <c r="O34" s="631"/>
    </row>
    <row r="35" spans="1:16" s="106" customFormat="1" x14ac:dyDescent="0.25">
      <c r="A35" s="129" t="s">
        <v>76</v>
      </c>
      <c r="B35" s="130" t="s">
        <v>16</v>
      </c>
      <c r="C35" s="230" t="e">
        <f ca="1">VLOOKUP(C7,Sheet1!$B$8:$HT$524,3,FALSE)</f>
        <v>#N/A</v>
      </c>
      <c r="D35" s="197" t="e">
        <f ca="1">VLOOKUP(D7,Sheet1!$B$8:$HT$524,3,FALSE)</f>
        <v>#N/A</v>
      </c>
      <c r="E35" s="232" t="e">
        <f ca="1">VLOOKUP(E7,Sheet1!$B$8:$HT$524,3,FALSE)</f>
        <v>#N/A</v>
      </c>
      <c r="F35" s="197" t="e">
        <f ca="1">VLOOKUP(F7,Sheet1!$B$8:$HT$524,3,FALSE)</f>
        <v>#N/A</v>
      </c>
      <c r="G35" s="197" t="e">
        <f ca="1">VLOOKUP(G7,Sheet1!$B$8:$HT$524,3,FALSE)</f>
        <v>#N/A</v>
      </c>
      <c r="H35" s="197" t="e">
        <f ca="1">VLOOKUP(H7,Sheet1!$B$8:$HT$524,3,FALSE)</f>
        <v>#N/A</v>
      </c>
      <c r="I35" s="197" t="e">
        <f ca="1">VLOOKUP(I7,Sheet1!$B$8:$HT$524,3,FALSE)</f>
        <v>#N/A</v>
      </c>
      <c r="J35" s="197" t="e">
        <f ca="1">VLOOKUP(J7,Sheet1!$B$8:$HT$524,3,FALSE)</f>
        <v>#N/A</v>
      </c>
      <c r="K35" s="198" t="e">
        <f ca="1">VLOOKUP(K7,Sheet1!$B$8:$HT$524,3,FALSE)</f>
        <v>#N/A</v>
      </c>
      <c r="O35" s="631"/>
      <c r="P35" s="631"/>
    </row>
    <row r="36" spans="1:16" s="106" customFormat="1" x14ac:dyDescent="0.25">
      <c r="A36" s="201" t="s">
        <v>77</v>
      </c>
      <c r="B36" s="202" t="s">
        <v>16</v>
      </c>
      <c r="C36" s="133" t="e">
        <f ca="1">VLOOKUP(C7,Sheet1!$B$8:$HT$524,4,FALSE)</f>
        <v>#N/A</v>
      </c>
      <c r="D36" s="37" t="e">
        <f ca="1">VLOOKUP(D7,Sheet1!$B$8:$HT$524,4,FALSE)</f>
        <v>#N/A</v>
      </c>
      <c r="E36" s="174" t="e">
        <f ca="1">VLOOKUP(E7,Sheet1!$B$8:$HT$524,4,FALSE)</f>
        <v>#N/A</v>
      </c>
      <c r="F36" s="37" t="e">
        <f ca="1">VLOOKUP(F7,Sheet1!$B$8:$HT$524,4,FALSE)</f>
        <v>#N/A</v>
      </c>
      <c r="G36" s="37" t="e">
        <f ca="1">VLOOKUP(G7,Sheet1!$B$8:$HT$524,4,FALSE)</f>
        <v>#N/A</v>
      </c>
      <c r="H36" s="37" t="e">
        <f ca="1">VLOOKUP(H7,Sheet1!$B$8:$HT$524,4,FALSE)</f>
        <v>#N/A</v>
      </c>
      <c r="I36" s="37" t="e">
        <f ca="1">VLOOKUP(I7,Sheet1!$B$8:$HT$524,4,FALSE)</f>
        <v>#N/A</v>
      </c>
      <c r="J36" s="37" t="e">
        <f ca="1">VLOOKUP(J7,Sheet1!$B$8:$HT$524,4,FALSE)</f>
        <v>#N/A</v>
      </c>
      <c r="K36" s="39" t="e">
        <f ca="1">VLOOKUP(K7,Sheet1!$B$8:$HT$524,4,FALSE)</f>
        <v>#N/A</v>
      </c>
      <c r="O36" s="631"/>
      <c r="P36" s="631"/>
    </row>
    <row r="37" spans="1:16" s="106" customFormat="1" x14ac:dyDescent="0.25">
      <c r="A37" s="129" t="s">
        <v>78</v>
      </c>
      <c r="B37" s="130" t="s">
        <v>17</v>
      </c>
      <c r="C37" s="230" t="e">
        <f ca="1">VLOOKUP(C7,Sheet1!$B$8:$HT$524,5,FALSE)</f>
        <v>#N/A</v>
      </c>
      <c r="D37" s="197" t="e">
        <f ca="1">VLOOKUP(D7,Sheet1!$B$8:$HT$524,5,FALSE)</f>
        <v>#N/A</v>
      </c>
      <c r="E37" s="232" t="e">
        <f ca="1">VLOOKUP(E7,Sheet1!$B$8:$HT$524,5,FALSE)</f>
        <v>#N/A</v>
      </c>
      <c r="F37" s="197" t="e">
        <f ca="1">VLOOKUP(F7,Sheet1!$B$8:$HT$524,5,FALSE)</f>
        <v>#N/A</v>
      </c>
      <c r="G37" s="197" t="e">
        <f ca="1">VLOOKUP(G7,Sheet1!$B$8:$HT$524,5,FALSE)</f>
        <v>#N/A</v>
      </c>
      <c r="H37" s="197" t="e">
        <f ca="1">VLOOKUP(H7,Sheet1!$B$8:$HT$524,5,FALSE)</f>
        <v>#N/A</v>
      </c>
      <c r="I37" s="197" t="e">
        <f ca="1">VLOOKUP(I7,Sheet1!$B$8:$HT$524,5,FALSE)</f>
        <v>#N/A</v>
      </c>
      <c r="J37" s="197" t="e">
        <f ca="1">VLOOKUP(J7,Sheet1!$B$8:$HT$524,5,FALSE)</f>
        <v>#N/A</v>
      </c>
      <c r="K37" s="604" t="e">
        <f ca="1">VLOOKUP(K7,Sheet1!$B$8:$HT$524,5,FALSE)</f>
        <v>#N/A</v>
      </c>
      <c r="O37" s="631"/>
      <c r="P37" s="631"/>
    </row>
    <row r="38" spans="1:16" s="106" customFormat="1" ht="13.8" thickBot="1" x14ac:dyDescent="0.3">
      <c r="A38" s="199" t="s">
        <v>79</v>
      </c>
      <c r="B38" s="200" t="s">
        <v>17</v>
      </c>
      <c r="C38" s="237" t="e">
        <f ca="1">IF(ISNUMBER(VLOOKUP(C7,Sheet1!$B$8:$HT$524,22,FALSE))=TRUE,VLOOKUP(C7,Sheet1!$B$8:$HT$524,22,FALSE),VLOOKUP(C7,Sheet1!$B$8:$HT$524,23,FALSE))</f>
        <v>#N/A</v>
      </c>
      <c r="D38" s="218" t="e">
        <f ca="1">IF(ISNUMBER(VLOOKUP(D7,Sheet1!$B$8:$HT$524,22,FALSE))=TRUE,VLOOKUP(D7,Sheet1!$B$8:$HT$524,22,FALSE),VLOOKUP(D7,Sheet1!$B$8:$HT$524,23,FALSE))</f>
        <v>#N/A</v>
      </c>
      <c r="E38" s="238" t="e">
        <f ca="1">IF(ISNUMBER(VLOOKUP(E7,Sheet1!$B$8:$HT$524,22,FALSE))=TRUE,VLOOKUP(E7,Sheet1!$B$8:$HT$524,22,FALSE),VLOOKUP(E7,Sheet1!$B$8:$HT$524,23,FALSE))</f>
        <v>#N/A</v>
      </c>
      <c r="F38" s="218" t="e">
        <f ca="1">IF(ISNUMBER(VLOOKUP(F7,Sheet1!$B$8:$HT$524,22,FALSE))=TRUE,VLOOKUP(F7,Sheet1!$B$8:$HT$524,22,FALSE),VLOOKUP(F7,Sheet1!$B$8:$HT$524,23,FALSE))</f>
        <v>#N/A</v>
      </c>
      <c r="G38" s="218" t="e">
        <f ca="1">IF(ISNUMBER(VLOOKUP(G7,Sheet1!$B$8:$HT$524,22,FALSE))=TRUE,VLOOKUP(G7,Sheet1!$B$8:$HT$524,22,FALSE),VLOOKUP(G7,Sheet1!$B$8:$HT$524,23,FALSE))</f>
        <v>#N/A</v>
      </c>
      <c r="H38" s="218" t="e">
        <f ca="1">IF(ISNUMBER(VLOOKUP(H7,Sheet1!$B$8:$HT$524,22,FALSE))=TRUE,VLOOKUP(H7,Sheet1!$B$8:$HT$524,22,FALSE),VLOOKUP(H7,Sheet1!$B$8:$HT$524,23,FALSE))</f>
        <v>#N/A</v>
      </c>
      <c r="I38" s="218" t="e">
        <f ca="1">IF(ISNUMBER(VLOOKUP(I7,Sheet1!$B$8:$HT$524,22,FALSE))=TRUE,VLOOKUP(I7,Sheet1!$B$8:$HT$524,22,FALSE),VLOOKUP(I7,Sheet1!$B$8:$HT$524,23,FALSE))</f>
        <v>#N/A</v>
      </c>
      <c r="J38" s="218" t="e">
        <f ca="1">IF(ISNUMBER(VLOOKUP(J7,Sheet1!$B$8:$HT$524,22,FALSE))=TRUE,VLOOKUP(J7,Sheet1!$B$8:$HT$524,22,FALSE),VLOOKUP(J7,Sheet1!$B$8:$HT$524,23,FALSE))</f>
        <v>#N/A</v>
      </c>
      <c r="K38" s="605" t="e">
        <f ca="1">IF(ISNUMBER(VLOOKUP(K7,Sheet1!$B$8:$HT$524,22,FALSE))=TRUE,VLOOKUP(K7,Sheet1!$B$8:$HT$524,22,FALSE),VLOOKUP(K7,Sheet1!$B$8:$HT$524,23,FALSE))</f>
        <v>#N/A</v>
      </c>
      <c r="O38" s="631"/>
      <c r="P38" s="631"/>
    </row>
    <row r="39" spans="1:16" s="106" customFormat="1" ht="13.8" thickBot="1" x14ac:dyDescent="0.3">
      <c r="A39" s="1195" t="s">
        <v>88</v>
      </c>
      <c r="B39" s="1198"/>
      <c r="C39" s="1202"/>
      <c r="D39" s="1202"/>
      <c r="E39" s="1202"/>
      <c r="F39" s="1202"/>
      <c r="G39" s="1202"/>
      <c r="H39" s="1202"/>
      <c r="I39" s="1202"/>
      <c r="J39" s="1202"/>
      <c r="K39" s="1203"/>
      <c r="O39" s="631"/>
      <c r="P39" s="631"/>
    </row>
    <row r="40" spans="1:16" s="106" customFormat="1" x14ac:dyDescent="0.25">
      <c r="A40" s="203" t="s">
        <v>676</v>
      </c>
      <c r="B40" s="794" t="s">
        <v>22</v>
      </c>
      <c r="C40" s="43" t="e">
        <f ca="1">VLOOKUP(C7,Sheet1!$B$8:$HT$524,68,FALSE)</f>
        <v>#N/A</v>
      </c>
      <c r="D40" s="38" t="e">
        <f ca="1">VLOOKUP(D7,Sheet1!$B$8:$HT$524,68,FALSE)</f>
        <v>#N/A</v>
      </c>
      <c r="E40" s="38" t="e">
        <f ca="1">VLOOKUP(E7,Sheet1!$B$8:$HT$524,68,FALSE)</f>
        <v>#N/A</v>
      </c>
      <c r="F40" s="38" t="e">
        <f ca="1">VLOOKUP(F7,Sheet1!$B$8:$HT$524,68,FALSE)</f>
        <v>#N/A</v>
      </c>
      <c r="G40" s="38" t="e">
        <f ca="1">VLOOKUP(G7,Sheet1!$B$8:$HT$524,68,FALSE)</f>
        <v>#N/A</v>
      </c>
      <c r="H40" s="38" t="e">
        <f ca="1">VLOOKUP(H7,Sheet1!$B$8:$HT$524,68,FALSE)</f>
        <v>#N/A</v>
      </c>
      <c r="I40" s="38" t="e">
        <f ca="1">VLOOKUP(I7,Sheet1!$B$8:$HT$524,68,FALSE)</f>
        <v>#N/A</v>
      </c>
      <c r="J40" s="38" t="e">
        <f ca="1">VLOOKUP(J7,Sheet1!$B$8:$HT$524,68,FALSE)</f>
        <v>#N/A</v>
      </c>
      <c r="K40" s="777" t="e">
        <f ca="1">VLOOKUP(K7,Sheet1!$B$8:$HT$524,68,FALSE)</f>
        <v>#N/A</v>
      </c>
    </row>
    <row r="41" spans="1:16" s="106" customFormat="1" x14ac:dyDescent="0.25">
      <c r="A41" s="203" t="s">
        <v>677</v>
      </c>
      <c r="B41" s="794" t="s">
        <v>22</v>
      </c>
      <c r="C41" s="44" t="e">
        <f ca="1">VLOOKUP(C7,Sheet1!$B$8:$HT$524,69,FALSE)</f>
        <v>#N/A</v>
      </c>
      <c r="D41" s="37" t="e">
        <f ca="1">VLOOKUP(D7,Sheet1!$B$8:$HT$524,69,FALSE)</f>
        <v>#N/A</v>
      </c>
      <c r="E41" s="37" t="e">
        <f ca="1">VLOOKUP(E7,Sheet1!$B$8:$HT$524,69,FALSE)</f>
        <v>#N/A</v>
      </c>
      <c r="F41" s="37" t="e">
        <f ca="1">VLOOKUP(F7,Sheet1!$B$8:$HT$524,69,FALSE)</f>
        <v>#N/A</v>
      </c>
      <c r="G41" s="37" t="e">
        <f ca="1">VLOOKUP(G7,Sheet1!$B$8:$HT$524,69,FALSE)</f>
        <v>#N/A</v>
      </c>
      <c r="H41" s="37" t="e">
        <f ca="1">VLOOKUP(H7,Sheet1!$B$8:$HT$524,69,FALSE)</f>
        <v>#N/A</v>
      </c>
      <c r="I41" s="37" t="e">
        <f ca="1">VLOOKUP(I7,Sheet1!$B$8:$HT$524,69,FALSE)</f>
        <v>#N/A</v>
      </c>
      <c r="J41" s="37" t="e">
        <f ca="1">VLOOKUP(J7,Sheet1!$B$8:$HT$524,69,FALSE)</f>
        <v>#N/A</v>
      </c>
      <c r="K41" s="39" t="e">
        <f ca="1">VLOOKUP(K7,Sheet1!$B$8:$HT$524,69,FALSE)</f>
        <v>#N/A</v>
      </c>
    </row>
    <row r="42" spans="1:16" s="106" customFormat="1" x14ac:dyDescent="0.25">
      <c r="A42" s="134" t="s">
        <v>678</v>
      </c>
      <c r="B42" s="795" t="s">
        <v>13</v>
      </c>
      <c r="C42" s="44" t="e">
        <f ca="1">VLOOKUP(C7,Sheet1!$B$8:$HT$524,70,FALSE)</f>
        <v>#N/A</v>
      </c>
      <c r="D42" s="37" t="e">
        <f ca="1">VLOOKUP(D7,Sheet1!$B$8:$HT$524,70,FALSE)</f>
        <v>#N/A</v>
      </c>
      <c r="E42" s="37" t="e">
        <f ca="1">VLOOKUP(E7,Sheet1!$B$8:$HT$524,70,FALSE)</f>
        <v>#N/A</v>
      </c>
      <c r="F42" s="37" t="e">
        <f ca="1">VLOOKUP(F7,Sheet1!$B$8:$HT$524,70,FALSE)</f>
        <v>#N/A</v>
      </c>
      <c r="G42" s="37" t="e">
        <f ca="1">VLOOKUP(G7,Sheet1!$B$8:$HT$524,70,FALSE)</f>
        <v>#N/A</v>
      </c>
      <c r="H42" s="37" t="e">
        <f ca="1">VLOOKUP(H7,Sheet1!$B$8:$HT$524,70,FALSE)</f>
        <v>#N/A</v>
      </c>
      <c r="I42" s="37" t="e">
        <f ca="1">VLOOKUP(I7,Sheet1!$B$8:$HT$524,70,FALSE)</f>
        <v>#N/A</v>
      </c>
      <c r="J42" s="37" t="e">
        <f ca="1">VLOOKUP(J7,Sheet1!$B$8:$HT$524,70,FALSE)</f>
        <v>#N/A</v>
      </c>
      <c r="K42" s="39" t="e">
        <f ca="1">VLOOKUP(K7,Sheet1!$B$8:$HT$524,70,FALSE)</f>
        <v>#N/A</v>
      </c>
    </row>
    <row r="43" spans="1:16" s="106" customFormat="1" x14ac:dyDescent="0.25">
      <c r="A43" s="203" t="s">
        <v>679</v>
      </c>
      <c r="B43" s="794" t="s">
        <v>13</v>
      </c>
      <c r="C43" s="44" t="e">
        <f ca="1">VLOOKUP(C7,Sheet1!$B$8:$HT$524,71,FALSE)</f>
        <v>#N/A</v>
      </c>
      <c r="D43" s="37" t="e">
        <f ca="1">VLOOKUP(D7,Sheet1!$B$8:$HT$524,71,FALSE)</f>
        <v>#N/A</v>
      </c>
      <c r="E43" s="37" t="e">
        <f ca="1">VLOOKUP(E7,Sheet1!$B$8:$HT$524,71,FALSE)</f>
        <v>#N/A</v>
      </c>
      <c r="F43" s="37" t="e">
        <f ca="1">VLOOKUP(F7,Sheet1!$B$8:$HT$524,71,FALSE)</f>
        <v>#N/A</v>
      </c>
      <c r="G43" s="37" t="e">
        <f ca="1">VLOOKUP(G7,Sheet1!$B$8:$HT$524,71,FALSE)</f>
        <v>#N/A</v>
      </c>
      <c r="H43" s="37" t="e">
        <f ca="1">VLOOKUP(H7,Sheet1!$B$8:$HT$524,71,FALSE)</f>
        <v>#N/A</v>
      </c>
      <c r="I43" s="37" t="e">
        <f ca="1">VLOOKUP(I7,Sheet1!$B$8:$HT$524,71,FALSE)</f>
        <v>#N/A</v>
      </c>
      <c r="J43" s="37" t="e">
        <f ca="1">VLOOKUP(J7,Sheet1!$B$8:$HT$524,71,FALSE)</f>
        <v>#N/A</v>
      </c>
      <c r="K43" s="39" t="e">
        <f ca="1">VLOOKUP(K7,Sheet1!$B$8:$HT$524,71,FALSE)</f>
        <v>#N/A</v>
      </c>
    </row>
    <row r="44" spans="1:16" s="106" customFormat="1" x14ac:dyDescent="0.25">
      <c r="A44" s="484" t="s">
        <v>80</v>
      </c>
      <c r="B44" s="485" t="s">
        <v>38</v>
      </c>
      <c r="C44" s="486" t="e">
        <f ca="1">(VLOOKUP(C7,Sheet1!$B$8:$HT$524,76,FALSE))</f>
        <v>#N/A</v>
      </c>
      <c r="D44" s="487" t="e">
        <f ca="1">(VLOOKUP(D7,Sheet1!$B$8:$HT$524,76,FALSE))</f>
        <v>#N/A</v>
      </c>
      <c r="E44" s="487" t="e">
        <f ca="1">(VLOOKUP(E7,Sheet1!$B$8:$HT$524,76,FALSE))</f>
        <v>#N/A</v>
      </c>
      <c r="F44" s="487" t="e">
        <f ca="1">(VLOOKUP(F7,Sheet1!$B$8:$HT$524,76,FALSE))</f>
        <v>#N/A</v>
      </c>
      <c r="G44" s="487" t="e">
        <f ca="1">(VLOOKUP(G7,Sheet1!$B$8:$HT$524,76,FALSE))</f>
        <v>#N/A</v>
      </c>
      <c r="H44" s="487" t="e">
        <f ca="1">(VLOOKUP(H7,Sheet1!$B$8:$HT$524,76,FALSE))</f>
        <v>#N/A</v>
      </c>
      <c r="I44" s="487" t="e">
        <f ca="1">(VLOOKUP(I7,Sheet1!$B$8:$HT$524,76,FALSE))</f>
        <v>#N/A</v>
      </c>
      <c r="J44" s="487" t="e">
        <f ca="1">(VLOOKUP(J7,Sheet1!$B$8:$HT$524,76,FALSE))</f>
        <v>#N/A</v>
      </c>
      <c r="K44" s="489" t="e">
        <f ca="1">(VLOOKUP(K7,Sheet1!$B$8:$HT$524,76,FALSE))</f>
        <v>#N/A</v>
      </c>
    </row>
    <row r="45" spans="1:16" s="106" customFormat="1" x14ac:dyDescent="0.25">
      <c r="A45" s="134" t="s">
        <v>81</v>
      </c>
      <c r="B45" s="795" t="s">
        <v>14</v>
      </c>
      <c r="C45" s="44" t="e">
        <f ca="1">VLOOKUP(C7,Sheet1!$B$8:$HT$524,77,FALSE)</f>
        <v>#N/A</v>
      </c>
      <c r="D45" s="37" t="e">
        <f ca="1">VLOOKUP(D7,Sheet1!$B$8:$HT$524,77,FALSE)</f>
        <v>#N/A</v>
      </c>
      <c r="E45" s="37" t="e">
        <f ca="1">VLOOKUP(E7,Sheet1!$B$8:$HT$524,77,FALSE)</f>
        <v>#N/A</v>
      </c>
      <c r="F45" s="37" t="e">
        <f ca="1">VLOOKUP(F7,Sheet1!$B$8:$HT$524,77,FALSE)</f>
        <v>#N/A</v>
      </c>
      <c r="G45" s="37" t="e">
        <f ca="1">VLOOKUP(G7,Sheet1!$B$8:$HT$524,77,FALSE)</f>
        <v>#N/A</v>
      </c>
      <c r="H45" s="37" t="e">
        <f ca="1">VLOOKUP(H7,Sheet1!$B$8:$HT$524,77,FALSE)</f>
        <v>#N/A</v>
      </c>
      <c r="I45" s="37" t="e">
        <f ca="1">VLOOKUP(I7,Sheet1!$B$8:$HT$524,77,FALSE)</f>
        <v>#N/A</v>
      </c>
      <c r="J45" s="37" t="e">
        <f ca="1">VLOOKUP(J7,Sheet1!$B$8:$HT$524,77,FALSE)</f>
        <v>#N/A</v>
      </c>
      <c r="K45" s="39" t="e">
        <f ca="1">VLOOKUP(K7,Sheet1!$B$8:$HT$524,77,FALSE)</f>
        <v>#N/A</v>
      </c>
    </row>
    <row r="46" spans="1:16" s="106" customFormat="1" ht="13.8" thickBot="1" x14ac:dyDescent="0.3">
      <c r="A46" s="203" t="s">
        <v>82</v>
      </c>
      <c r="B46" s="796" t="s">
        <v>14</v>
      </c>
      <c r="C46" s="45" t="e">
        <f ca="1">VLOOKUP(C7,Sheet1!$B$8:$HT$524,78,FALSE)</f>
        <v>#N/A</v>
      </c>
      <c r="D46" s="40" t="e">
        <f ca="1">VLOOKUP(D7,Sheet1!$B$8:$HT$524,78,FALSE)</f>
        <v>#N/A</v>
      </c>
      <c r="E46" s="40" t="e">
        <f ca="1">VLOOKUP(E7,Sheet1!$B$8:$HT$524,78,FALSE)</f>
        <v>#N/A</v>
      </c>
      <c r="F46" s="40" t="e">
        <f ca="1">VLOOKUP(F7,Sheet1!$B$8:$HT$524,78,FALSE)</f>
        <v>#N/A</v>
      </c>
      <c r="G46" s="40" t="e">
        <f ca="1">VLOOKUP(G7,Sheet1!$B$8:$HT$524,78,FALSE)</f>
        <v>#N/A</v>
      </c>
      <c r="H46" s="40" t="e">
        <f ca="1">VLOOKUP(H7,Sheet1!$B$8:$HT$524,78,FALSE)</f>
        <v>#N/A</v>
      </c>
      <c r="I46" s="40" t="e">
        <f ca="1">VLOOKUP(I7,Sheet1!$B$8:$HT$524,78,FALSE)</f>
        <v>#N/A</v>
      </c>
      <c r="J46" s="40" t="e">
        <f ca="1">VLOOKUP(J7,Sheet1!$B$8:$HT$524,78,FALSE)</f>
        <v>#N/A</v>
      </c>
      <c r="K46" s="41" t="e">
        <f ca="1">VLOOKUP(K7,Sheet1!$B$8:$HT$524,78,FALSE)</f>
        <v>#N/A</v>
      </c>
    </row>
    <row r="47" spans="1:16" s="106" customFormat="1" ht="13.8" thickBot="1" x14ac:dyDescent="0.3">
      <c r="A47" s="1195" t="s">
        <v>853</v>
      </c>
      <c r="B47" s="1198"/>
      <c r="C47" s="1204"/>
      <c r="D47" s="1204"/>
      <c r="E47" s="1204"/>
      <c r="F47" s="1204"/>
      <c r="G47" s="1204"/>
      <c r="H47" s="1204"/>
      <c r="I47" s="1204"/>
      <c r="J47" s="1204"/>
      <c r="K47" s="1205"/>
    </row>
    <row r="48" spans="1:16" s="106" customFormat="1" x14ac:dyDescent="0.25">
      <c r="A48" s="192" t="s">
        <v>83</v>
      </c>
      <c r="B48" s="193" t="s">
        <v>13</v>
      </c>
      <c r="C48" s="229" t="e">
        <f ca="1">VLOOKUP(C7,Sheet1!$B$8:$HT$524,97,FALSE)</f>
        <v>#N/A</v>
      </c>
      <c r="D48" s="195" t="e">
        <f ca="1">VLOOKUP(D7,Sheet1!$B$8:$HT$524,97,FALSE)</f>
        <v>#N/A</v>
      </c>
      <c r="E48" s="231" t="e">
        <f ca="1">VLOOKUP(E7,Sheet1!$B$8:$HT$524,97,FALSE)</f>
        <v>#N/A</v>
      </c>
      <c r="F48" s="195" t="e">
        <f ca="1">VLOOKUP(F7,Sheet1!$B$8:$HT$524,97,FALSE)</f>
        <v>#N/A</v>
      </c>
      <c r="G48" s="195" t="e">
        <f ca="1">VLOOKUP(G7,Sheet1!$B$8:$HT$524,97,FALSE)</f>
        <v>#N/A</v>
      </c>
      <c r="H48" s="195" t="e">
        <f ca="1">VLOOKUP(H7,Sheet1!$B$8:$HT$524,97,FALSE)</f>
        <v>#N/A</v>
      </c>
      <c r="I48" s="195" t="e">
        <f ca="1">VLOOKUP(I7,Sheet1!$B$8:$HT$524,97,FALSE)</f>
        <v>#N/A</v>
      </c>
      <c r="J48" s="195" t="e">
        <f ca="1">VLOOKUP(J7,Sheet1!$B$8:$HT$524,97,FALSE)</f>
        <v>#N/A</v>
      </c>
      <c r="K48" s="196" t="e">
        <f ca="1">VLOOKUP(K7,Sheet1!$B$8:$HT$524,97,FALSE)</f>
        <v>#N/A</v>
      </c>
    </row>
    <row r="49" spans="1:11" s="106" customFormat="1" ht="13.8" thickBot="1" x14ac:dyDescent="0.3">
      <c r="A49" s="212" t="s">
        <v>79</v>
      </c>
      <c r="B49" s="213" t="s">
        <v>17</v>
      </c>
      <c r="C49" s="235" t="e">
        <f ca="1">VLOOKUP(C7,Sheet1!$B$8:$HT$524,98,FALSE)</f>
        <v>#N/A</v>
      </c>
      <c r="D49" s="216" t="e">
        <f ca="1">VLOOKUP(D7,Sheet1!$B$8:$HT$524,98,FALSE)</f>
        <v>#N/A</v>
      </c>
      <c r="E49" s="236" t="e">
        <f ca="1">VLOOKUP(E7,Sheet1!$B$8:$HT$524,98,FALSE)</f>
        <v>#N/A</v>
      </c>
      <c r="F49" s="216" t="e">
        <f ca="1">VLOOKUP(F7,Sheet1!$B$8:$HT$524,98,FALSE)</f>
        <v>#N/A</v>
      </c>
      <c r="G49" s="216" t="e">
        <f ca="1">VLOOKUP(G7,Sheet1!$B$8:$HT$524,98,FALSE)</f>
        <v>#N/A</v>
      </c>
      <c r="H49" s="216" t="e">
        <f ca="1">VLOOKUP(H7,Sheet1!$B$8:$HT$524,98,FALSE)</f>
        <v>#N/A</v>
      </c>
      <c r="I49" s="216" t="e">
        <f ca="1">VLOOKUP(I7,Sheet1!$B$8:$HT$524,98,FALSE)</f>
        <v>#N/A</v>
      </c>
      <c r="J49" s="216" t="e">
        <f ca="1">VLOOKUP(J7,Sheet1!$B$8:$HT$524,98,FALSE)</f>
        <v>#N/A</v>
      </c>
      <c r="K49" s="217" t="e">
        <f ca="1">VLOOKUP(K7,Sheet1!$B$8:$HT$524,98,FALSE)</f>
        <v>#N/A</v>
      </c>
    </row>
    <row r="50" spans="1:11" s="106" customFormat="1" ht="13.8" thickBot="1" x14ac:dyDescent="0.3">
      <c r="A50" s="1195" t="s">
        <v>95</v>
      </c>
      <c r="B50" s="1198"/>
      <c r="C50" s="1198"/>
      <c r="D50" s="1198"/>
      <c r="E50" s="1198"/>
      <c r="F50" s="1198"/>
      <c r="G50" s="1198"/>
      <c r="H50" s="1198"/>
      <c r="I50" s="1198"/>
      <c r="J50" s="1198"/>
      <c r="K50" s="1199"/>
    </row>
    <row r="51" spans="1:11" s="106" customFormat="1" x14ac:dyDescent="0.25">
      <c r="A51" s="127" t="s">
        <v>253</v>
      </c>
      <c r="B51" s="155" t="s">
        <v>22</v>
      </c>
      <c r="C51" s="229" t="e">
        <f ca="1">VLOOKUP(C7,Sheet1!$B$8:$HT$524,81,FALSE)</f>
        <v>#N/A</v>
      </c>
      <c r="D51" s="195" t="e">
        <f ca="1">VLOOKUP(D7,Sheet1!$B$8:$HT$524,81,FALSE)</f>
        <v>#N/A</v>
      </c>
      <c r="E51" s="231" t="e">
        <f ca="1">VLOOKUP(E7,Sheet1!$B$8:$HT$524,81,FALSE)</f>
        <v>#N/A</v>
      </c>
      <c r="F51" s="195" t="e">
        <f ca="1">VLOOKUP(F7,Sheet1!$B$8:$HT$524,81,FALSE)</f>
        <v>#N/A</v>
      </c>
      <c r="G51" s="195" t="e">
        <f ca="1">VLOOKUP(G7,Sheet1!$B$8:$HT$524,81,FALSE)</f>
        <v>#N/A</v>
      </c>
      <c r="H51" s="195" t="e">
        <f ca="1">VLOOKUP(H7,Sheet1!$B$8:$HT$524,81,FALSE)</f>
        <v>#N/A</v>
      </c>
      <c r="I51" s="195" t="e">
        <f ca="1">VLOOKUP(I7,Sheet1!$B$8:$HT$524,81,FALSE)</f>
        <v>#N/A</v>
      </c>
      <c r="J51" s="195" t="e">
        <f ca="1">VLOOKUP(J7,Sheet1!$B$8:$HT$524,81,FALSE)</f>
        <v>#N/A</v>
      </c>
      <c r="K51" s="196" t="e">
        <f ca="1">VLOOKUP(K7,Sheet1!$B$8:$HT$524,81,FALSE)</f>
        <v>#N/A</v>
      </c>
    </row>
    <row r="52" spans="1:11" s="106" customFormat="1" x14ac:dyDescent="0.25">
      <c r="A52" s="201" t="s">
        <v>511</v>
      </c>
      <c r="B52" s="113" t="s">
        <v>13</v>
      </c>
      <c r="C52" s="133" t="e">
        <f ca="1">VLOOKUP(C7,Sheet1!$B$8:$HT$524,89,FALSE)</f>
        <v>#N/A</v>
      </c>
      <c r="D52" s="37" t="e">
        <f ca="1">VLOOKUP(D7,Sheet1!$B$8:$HT$524,89,FALSE)</f>
        <v>#N/A</v>
      </c>
      <c r="E52" s="174" t="e">
        <f ca="1">VLOOKUP(E7,Sheet1!$B$8:$HT$524,89,FALSE)</f>
        <v>#N/A</v>
      </c>
      <c r="F52" s="37" t="e">
        <f ca="1">VLOOKUP(F7,Sheet1!$B$8:$HT$524,89,FALSE)</f>
        <v>#N/A</v>
      </c>
      <c r="G52" s="37" t="e">
        <f ca="1">VLOOKUP(G7,Sheet1!$B$8:$HT$524,89,FALSE)</f>
        <v>#N/A</v>
      </c>
      <c r="H52" s="37" t="e">
        <f ca="1">VLOOKUP(H7,Sheet1!$B$8:$HT$524,89,FALSE)</f>
        <v>#N/A</v>
      </c>
      <c r="I52" s="37" t="e">
        <f ca="1">VLOOKUP(I7,Sheet1!$B$8:$HT$524,89,FALSE)</f>
        <v>#N/A</v>
      </c>
      <c r="J52" s="37" t="e">
        <f ca="1">VLOOKUP(J7,Sheet1!$B$8:$HT$524,89,FALSE)</f>
        <v>#N/A</v>
      </c>
      <c r="K52" s="39" t="e">
        <f ca="1">VLOOKUP(K7,Sheet1!$B$8:$HT$524,89,FALSE)</f>
        <v>#N/A</v>
      </c>
    </row>
    <row r="53" spans="1:11" s="106" customFormat="1" x14ac:dyDescent="0.25">
      <c r="A53" s="129" t="s">
        <v>512</v>
      </c>
      <c r="B53" s="131" t="s">
        <v>13</v>
      </c>
      <c r="C53" s="230" t="e">
        <f ca="1">VLOOKUP(C7,Sheet1!$B$8:$HT$524,90,FALSE)</f>
        <v>#N/A</v>
      </c>
      <c r="D53" s="197" t="e">
        <f ca="1">VLOOKUP(D7,Sheet1!$B$8:$HT$524,90,FALSE)</f>
        <v>#N/A</v>
      </c>
      <c r="E53" s="232" t="e">
        <f ca="1">VLOOKUP(E7,Sheet1!$B$8:$HT$524,90,FALSE)</f>
        <v>#N/A</v>
      </c>
      <c r="F53" s="197" t="e">
        <f ca="1">VLOOKUP(F7,Sheet1!$B$8:$HT$524,90,FALSE)</f>
        <v>#N/A</v>
      </c>
      <c r="G53" s="197" t="e">
        <f ca="1">VLOOKUP(G7,Sheet1!$B$8:$HT$524,90,FALSE)</f>
        <v>#N/A</v>
      </c>
      <c r="H53" s="197" t="e">
        <f ca="1">VLOOKUP(H7,Sheet1!$B$8:$HT$524,90,FALSE)</f>
        <v>#N/A</v>
      </c>
      <c r="I53" s="197" t="e">
        <f ca="1">VLOOKUP(I7,Sheet1!$B$8:$HT$524,90,FALSE)</f>
        <v>#N/A</v>
      </c>
      <c r="J53" s="197" t="e">
        <f ca="1">VLOOKUP(J7,Sheet1!$B$8:$HT$524,90,FALSE)</f>
        <v>#N/A</v>
      </c>
      <c r="K53" s="198" t="e">
        <f ca="1">VLOOKUP(K7,Sheet1!$B$8:$HT$524,90,FALSE)</f>
        <v>#N/A</v>
      </c>
    </row>
    <row r="54" spans="1:11" s="106" customFormat="1" ht="13.8" thickBot="1" x14ac:dyDescent="0.3">
      <c r="A54" s="214" t="s">
        <v>75</v>
      </c>
      <c r="B54" s="215" t="s">
        <v>15</v>
      </c>
      <c r="C54" s="235" t="e">
        <f ca="1">VLOOKUP(C7,Sheet1!$B$8:$HT$524,102,FALSE)</f>
        <v>#N/A</v>
      </c>
      <c r="D54" s="216" t="e">
        <f ca="1">VLOOKUP(D7,Sheet1!$B$8:$HT$524,102,FALSE)</f>
        <v>#N/A</v>
      </c>
      <c r="E54" s="236" t="e">
        <f ca="1">VLOOKUP(E7,Sheet1!$B$8:$HT$524,102,FALSE)</f>
        <v>#N/A</v>
      </c>
      <c r="F54" s="216" t="e">
        <f ca="1">VLOOKUP(F7,Sheet1!$B$8:$HT$524,102,FALSE)</f>
        <v>#N/A</v>
      </c>
      <c r="G54" s="216" t="e">
        <f ca="1">VLOOKUP(G7,Sheet1!$B$8:$HT$524,102,FALSE)</f>
        <v>#N/A</v>
      </c>
      <c r="H54" s="216" t="e">
        <f ca="1">VLOOKUP(H7,Sheet1!$B$8:$HT$524,102,FALSE)</f>
        <v>#N/A</v>
      </c>
      <c r="I54" s="216" t="e">
        <f ca="1">VLOOKUP(I7,Sheet1!$B$8:$HT$524,102,FALSE)</f>
        <v>#N/A</v>
      </c>
      <c r="J54" s="216" t="e">
        <f ca="1">VLOOKUP(J7,Sheet1!$B$8:$HT$524,102,FALSE)</f>
        <v>#N/A</v>
      </c>
      <c r="K54" s="217" t="e">
        <f ca="1">VLOOKUP(K7,Sheet1!$B$8:$HT$524,102,FALSE)</f>
        <v>#N/A</v>
      </c>
    </row>
    <row r="55" spans="1:11" s="106" customFormat="1" ht="13.8" thickBot="1" x14ac:dyDescent="0.3">
      <c r="A55" s="1195" t="s">
        <v>96</v>
      </c>
      <c r="B55" s="1198"/>
      <c r="C55" s="1198"/>
      <c r="D55" s="1198"/>
      <c r="E55" s="1198"/>
      <c r="F55" s="1198"/>
      <c r="G55" s="1198"/>
      <c r="H55" s="1198"/>
      <c r="I55" s="1198"/>
      <c r="J55" s="1198"/>
      <c r="K55" s="1199"/>
    </row>
    <row r="56" spans="1:11" s="106" customFormat="1" x14ac:dyDescent="0.25">
      <c r="A56" s="127" t="s">
        <v>253</v>
      </c>
      <c r="B56" s="155" t="s">
        <v>22</v>
      </c>
      <c r="C56" s="229" t="e">
        <f ca="1">VLOOKUP(C7,Sheet1!$B$8:$HT$524,83,FALSE)</f>
        <v>#N/A</v>
      </c>
      <c r="D56" s="195" t="e">
        <f ca="1">VLOOKUP(D7,Sheet1!$B$8:$HT$524,83,FALSE)</f>
        <v>#N/A</v>
      </c>
      <c r="E56" s="231" t="e">
        <f ca="1">VLOOKUP(E7,Sheet1!$B$8:$HT$524,83,FALSE)</f>
        <v>#N/A</v>
      </c>
      <c r="F56" s="195" t="e">
        <f ca="1">VLOOKUP(F7,Sheet1!$B$8:$HT$524,83,FALSE)</f>
        <v>#N/A</v>
      </c>
      <c r="G56" s="195" t="e">
        <f ca="1">VLOOKUP(G7,Sheet1!$B$8:$HT$524,83,FALSE)</f>
        <v>#N/A</v>
      </c>
      <c r="H56" s="195" t="e">
        <f ca="1">VLOOKUP(H7,Sheet1!$B$8:$HT$524,83,FALSE)</f>
        <v>#N/A</v>
      </c>
      <c r="I56" s="195" t="e">
        <f ca="1">VLOOKUP(I7,Sheet1!$B$8:$HT$524,83,FALSE)</f>
        <v>#N/A</v>
      </c>
      <c r="J56" s="195" t="e">
        <f ca="1">VLOOKUP(J7,Sheet1!$B$8:$HT$524,83,FALSE)</f>
        <v>#N/A</v>
      </c>
      <c r="K56" s="196" t="e">
        <f ca="1">VLOOKUP(K7,Sheet1!$B$8:$HT$524,83,FALSE)</f>
        <v>#N/A</v>
      </c>
    </row>
    <row r="57" spans="1:11" s="106" customFormat="1" x14ac:dyDescent="0.25">
      <c r="A57" s="201" t="s">
        <v>89</v>
      </c>
      <c r="B57" s="202" t="s">
        <v>13</v>
      </c>
      <c r="C57" s="133" t="e">
        <f ca="1">VLOOKUP(C7,'Calculations II'!$B$8:$IV$430,57,FALSE)</f>
        <v>#N/A</v>
      </c>
      <c r="D57" s="37" t="e">
        <f ca="1">VLOOKUP(D7,'Calculations II'!$B$8:$IV$430,57,FALSE)</f>
        <v>#N/A</v>
      </c>
      <c r="E57" s="174" t="e">
        <f ca="1">VLOOKUP(E7,'Calculations II'!$B$8:$IV$430,57,FALSE)</f>
        <v>#N/A</v>
      </c>
      <c r="F57" s="37" t="e">
        <f ca="1">VLOOKUP(F7,'Calculations II'!$B$8:$IV$430,57,FALSE)</f>
        <v>#N/A</v>
      </c>
      <c r="G57" s="37" t="e">
        <f ca="1">VLOOKUP(G7,'Calculations II'!$B$8:$IV$430,57,FALSE)</f>
        <v>#N/A</v>
      </c>
      <c r="H57" s="37" t="e">
        <f ca="1">VLOOKUP(H7,'Calculations II'!$B$8:$IV$430,57,FALSE)</f>
        <v>#N/A</v>
      </c>
      <c r="I57" s="37" t="e">
        <f ca="1">VLOOKUP(I7,'Calculations II'!$B$8:$IV$430,57,FALSE)</f>
        <v>#N/A</v>
      </c>
      <c r="J57" s="37" t="e">
        <f ca="1">VLOOKUP(J7,'Calculations II'!$B$8:$IV$430,57,FALSE)</f>
        <v>#N/A</v>
      </c>
      <c r="K57" s="39" t="e">
        <f ca="1">VLOOKUP(K7,'Calculations II'!$B$8:$IV$430,57,FALSE)</f>
        <v>#N/A</v>
      </c>
    </row>
    <row r="58" spans="1:11" s="106" customFormat="1" ht="13.8" thickBot="1" x14ac:dyDescent="0.3">
      <c r="A58" s="136" t="s">
        <v>90</v>
      </c>
      <c r="B58" s="152" t="s">
        <v>13</v>
      </c>
      <c r="C58" s="237" t="e">
        <f ca="1">VLOOKUP(C7,'Calculations II'!$B$8:$IV$430,58,FALSE)</f>
        <v>#N/A</v>
      </c>
      <c r="D58" s="218" t="e">
        <f ca="1">VLOOKUP(D7,'Calculations II'!$B$8:$IV$430,58,FALSE)</f>
        <v>#N/A</v>
      </c>
      <c r="E58" s="238" t="e">
        <f ca="1">VLOOKUP(E7,'Calculations II'!$B$8:$IV$430,58,FALSE)</f>
        <v>#N/A</v>
      </c>
      <c r="F58" s="218" t="e">
        <f ca="1">VLOOKUP(F7,'Calculations II'!$B$8:$IV$430,58,FALSE)</f>
        <v>#N/A</v>
      </c>
      <c r="G58" s="218" t="e">
        <f ca="1">VLOOKUP(G7,'Calculations II'!$B$8:$IV$430,58,FALSE)</f>
        <v>#N/A</v>
      </c>
      <c r="H58" s="218" t="e">
        <f ca="1">VLOOKUP(H7,'Calculations II'!$B$8:$IV$430,58,FALSE)</f>
        <v>#N/A</v>
      </c>
      <c r="I58" s="218" t="e">
        <f ca="1">VLOOKUP(I7,'Calculations II'!$B$8:$IV$430,58,FALSE)</f>
        <v>#N/A</v>
      </c>
      <c r="J58" s="218" t="e">
        <f ca="1">VLOOKUP(J7,'Calculations II'!$B$8:$IV$430,58,FALSE)</f>
        <v>#N/A</v>
      </c>
      <c r="K58" s="219" t="e">
        <f ca="1">VLOOKUP(K7,'Calculations II'!$B$8:$IV$430,58,FALSE)</f>
        <v>#N/A</v>
      </c>
    </row>
    <row r="59" spans="1:11" s="106" customFormat="1" ht="13.8" thickBot="1" x14ac:dyDescent="0.3">
      <c r="A59" s="1195" t="s">
        <v>97</v>
      </c>
      <c r="B59" s="1198"/>
      <c r="C59" s="1198"/>
      <c r="D59" s="1198"/>
      <c r="E59" s="1198"/>
      <c r="F59" s="1198"/>
      <c r="G59" s="1198"/>
      <c r="H59" s="1198"/>
      <c r="I59" s="1198"/>
      <c r="J59" s="1198"/>
      <c r="K59" s="1199"/>
    </row>
    <row r="60" spans="1:11" s="106" customFormat="1" x14ac:dyDescent="0.25">
      <c r="A60" s="220" t="s">
        <v>253</v>
      </c>
      <c r="B60" s="128" t="s">
        <v>22</v>
      </c>
      <c r="C60" s="194" t="e">
        <f ca="1">VLOOKUP(C7,Sheet1!$B$8:$HT$524,82,FALSE)</f>
        <v>#N/A</v>
      </c>
      <c r="D60" s="195" t="e">
        <f ca="1">VLOOKUP(D7,Sheet1!$B$8:$HT$524,82,FALSE)</f>
        <v>#N/A</v>
      </c>
      <c r="E60" s="231" t="e">
        <f ca="1">VLOOKUP(E7,Sheet1!$B$8:$HT$524,82,FALSE)</f>
        <v>#N/A</v>
      </c>
      <c r="F60" s="195" t="e">
        <f ca="1">VLOOKUP(F7,Sheet1!$B$8:$HT$524,82,FALSE)</f>
        <v>#N/A</v>
      </c>
      <c r="G60" s="195" t="e">
        <f ca="1">VLOOKUP(G7,Sheet1!$B$8:$HT$524,82,FALSE)</f>
        <v>#N/A</v>
      </c>
      <c r="H60" s="195" t="e">
        <f ca="1">VLOOKUP(H7,Sheet1!$B$8:$HT$524,82,FALSE)</f>
        <v>#N/A</v>
      </c>
      <c r="I60" s="195" t="e">
        <f ca="1">VLOOKUP(I7,Sheet1!$B$8:$HT$524,82,FALSE)</f>
        <v>#N/A</v>
      </c>
      <c r="J60" s="195" t="e">
        <f ca="1">VLOOKUP(J7,Sheet1!$B$8:$HT$524,82,FALSE)</f>
        <v>#N/A</v>
      </c>
      <c r="K60" s="196" t="e">
        <f ca="1">VLOOKUP(K7,Sheet1!$B$8:$HT$524,82,FALSE)</f>
        <v>#N/A</v>
      </c>
    </row>
    <row r="61" spans="1:11" s="106" customFormat="1" ht="13.8" thickBot="1" x14ac:dyDescent="0.3">
      <c r="A61" s="101" t="s">
        <v>91</v>
      </c>
      <c r="B61" s="221" t="s">
        <v>13</v>
      </c>
      <c r="C61" s="45" t="e">
        <f ca="1">VLOOKUP(C7,'Calculations II'!$B$8:$IV$430,59,FALSE)</f>
        <v>#N/A</v>
      </c>
      <c r="D61" s="40" t="e">
        <f ca="1">VLOOKUP(D7,'Calculations II'!$B$8:$IV$430,59,FALSE)</f>
        <v>#N/A</v>
      </c>
      <c r="E61" s="175" t="e">
        <f ca="1">VLOOKUP(E7,'Calculations II'!$B$8:$IV$430,59,FALSE)</f>
        <v>#N/A</v>
      </c>
      <c r="F61" s="40" t="e">
        <f ca="1">VLOOKUP(F7,'Calculations II'!$B$8:$IV$430,59,FALSE)</f>
        <v>#N/A</v>
      </c>
      <c r="G61" s="40" t="e">
        <f ca="1">VLOOKUP(G7,'Calculations II'!$B$8:$IV$430,59,FALSE)</f>
        <v>#N/A</v>
      </c>
      <c r="H61" s="40" t="e">
        <f ca="1">VLOOKUP(H7,'Calculations II'!$B$8:$IV$430,59,FALSE)</f>
        <v>#N/A</v>
      </c>
      <c r="I61" s="40" t="e">
        <f ca="1">VLOOKUP(I7,'Calculations II'!$B$8:$IV$430,59,FALSE)</f>
        <v>#N/A</v>
      </c>
      <c r="J61" s="40" t="e">
        <f ca="1">VLOOKUP(J7,'Calculations II'!$B$8:$IV$430,59,FALSE)</f>
        <v>#N/A</v>
      </c>
      <c r="K61" s="41" t="e">
        <f ca="1">VLOOKUP(K7,'Calculations II'!$B$8:$IV$430,59,FALSE)</f>
        <v>#N/A</v>
      </c>
    </row>
    <row r="62" spans="1:11" s="106" customFormat="1" ht="13.8" thickBot="1" x14ac:dyDescent="0.3">
      <c r="A62" s="1195" t="s">
        <v>98</v>
      </c>
      <c r="B62" s="1198"/>
      <c r="C62" s="1198"/>
      <c r="D62" s="1198"/>
      <c r="E62" s="1198"/>
      <c r="F62" s="1198"/>
      <c r="G62" s="1198"/>
      <c r="H62" s="1198"/>
      <c r="I62" s="1198"/>
      <c r="J62" s="1198"/>
      <c r="K62" s="1199"/>
    </row>
    <row r="63" spans="1:11" s="106" customFormat="1" x14ac:dyDescent="0.25">
      <c r="A63" s="220" t="s">
        <v>92</v>
      </c>
      <c r="B63" s="155" t="s">
        <v>22</v>
      </c>
      <c r="C63" s="229" t="e">
        <f ca="1">VLOOKUP(C7,Sheet1!$B$8:$HT$524,84,FALSE)</f>
        <v>#N/A</v>
      </c>
      <c r="D63" s="195" t="e">
        <f ca="1">VLOOKUP(D7,Sheet1!$B$8:$HT$524,84,FALSE)</f>
        <v>#N/A</v>
      </c>
      <c r="E63" s="231" t="e">
        <f ca="1">VLOOKUP(E7,Sheet1!$B$8:$HT$524,84,FALSE)</f>
        <v>#N/A</v>
      </c>
      <c r="F63" s="195" t="e">
        <f ca="1">VLOOKUP(F7,Sheet1!$B$8:$HT$524,84,FALSE)</f>
        <v>#N/A</v>
      </c>
      <c r="G63" s="195" t="e">
        <f ca="1">VLOOKUP(G7,Sheet1!$B$8:$HT$524,84,FALSE)</f>
        <v>#N/A</v>
      </c>
      <c r="H63" s="195" t="e">
        <f ca="1">VLOOKUP(H7,Sheet1!$B$8:$HT$524,84,FALSE)</f>
        <v>#N/A</v>
      </c>
      <c r="I63" s="195" t="e">
        <f ca="1">VLOOKUP(I7,Sheet1!$B$8:$HT$524,84,FALSE)</f>
        <v>#N/A</v>
      </c>
      <c r="J63" s="195" t="e">
        <f ca="1">VLOOKUP(J7,Sheet1!$B$8:$HT$524,84,FALSE)</f>
        <v>#N/A</v>
      </c>
      <c r="K63" s="196" t="e">
        <f ca="1">VLOOKUP(K7,Sheet1!$B$8:$HT$524,84,FALSE)</f>
        <v>#N/A</v>
      </c>
    </row>
    <row r="64" spans="1:11" s="106" customFormat="1" x14ac:dyDescent="0.25">
      <c r="A64" s="222" t="s">
        <v>258</v>
      </c>
      <c r="B64" s="113" t="s">
        <v>22</v>
      </c>
      <c r="C64" s="133" t="e">
        <f ca="1">VLOOKUP(C7,Sheet1!$B$8:$HT$524,85,FALSE)</f>
        <v>#N/A</v>
      </c>
      <c r="D64" s="37" t="e">
        <f ca="1">VLOOKUP(D7,Sheet1!$B$8:$HT$524,85,FALSE)</f>
        <v>#N/A</v>
      </c>
      <c r="E64" s="174" t="e">
        <f ca="1">VLOOKUP(E7,Sheet1!$B$8:$HT$524,85,FALSE)</f>
        <v>#N/A</v>
      </c>
      <c r="F64" s="37" t="e">
        <f ca="1">VLOOKUP(F7,Sheet1!$B$8:$HT$524,85,FALSE)</f>
        <v>#N/A</v>
      </c>
      <c r="G64" s="37" t="e">
        <f ca="1">VLOOKUP(G7,Sheet1!$B$8:$HT$524,85,FALSE)</f>
        <v>#N/A</v>
      </c>
      <c r="H64" s="37" t="e">
        <f ca="1">VLOOKUP(H7,Sheet1!$B$8:$HT$524,85,FALSE)</f>
        <v>#N/A</v>
      </c>
      <c r="I64" s="37" t="e">
        <f ca="1">VLOOKUP(I7,Sheet1!$B$8:$HT$524,85,FALSE)</f>
        <v>#N/A</v>
      </c>
      <c r="J64" s="37" t="e">
        <f ca="1">VLOOKUP(J7,Sheet1!$B$8:$HT$524,85,FALSE)</f>
        <v>#N/A</v>
      </c>
      <c r="K64" s="39" t="e">
        <f ca="1">VLOOKUP(K7,Sheet1!$B$8:$HT$524,85,FALSE)</f>
        <v>#N/A</v>
      </c>
    </row>
    <row r="65" spans="1:11" s="106" customFormat="1" x14ac:dyDescent="0.25">
      <c r="A65" s="151" t="s">
        <v>93</v>
      </c>
      <c r="B65" s="131" t="s">
        <v>22</v>
      </c>
      <c r="C65" s="230" t="e">
        <f ca="1">VLOOKUP(C7,Sheet1!$B$8:$HT$524,86,FALSE)</f>
        <v>#N/A</v>
      </c>
      <c r="D65" s="197" t="e">
        <f ca="1">VLOOKUP(D7,Sheet1!$B$8:$HT$524,86,FALSE)</f>
        <v>#N/A</v>
      </c>
      <c r="E65" s="232" t="e">
        <f ca="1">VLOOKUP(E7,Sheet1!$B$8:$HT$524,86,FALSE)</f>
        <v>#N/A</v>
      </c>
      <c r="F65" s="197" t="e">
        <f ca="1">VLOOKUP(F7,Sheet1!$B$8:$HT$524,86,FALSE)</f>
        <v>#N/A</v>
      </c>
      <c r="G65" s="197" t="e">
        <f ca="1">VLOOKUP(G7,Sheet1!$B$8:$HT$524,86,FALSE)</f>
        <v>#N/A</v>
      </c>
      <c r="H65" s="197" t="e">
        <f ca="1">VLOOKUP(H7,Sheet1!$B$8:$HT$524,86,FALSE)</f>
        <v>#N/A</v>
      </c>
      <c r="I65" s="197" t="e">
        <f ca="1">VLOOKUP(I7,Sheet1!$B$8:$HT$524,86,FALSE)</f>
        <v>#N/A</v>
      </c>
      <c r="J65" s="197" t="e">
        <f ca="1">VLOOKUP(J7,Sheet1!$B$8:$HT$524,86,FALSE)</f>
        <v>#N/A</v>
      </c>
      <c r="K65" s="198" t="e">
        <f ca="1">VLOOKUP(K7,Sheet1!$B$8:$HT$524,86,FALSE)</f>
        <v>#N/A</v>
      </c>
    </row>
    <row r="66" spans="1:11" s="106" customFormat="1" ht="13.8" thickBot="1" x14ac:dyDescent="0.3">
      <c r="A66" s="223" t="s">
        <v>19</v>
      </c>
      <c r="B66" s="215" t="s">
        <v>13</v>
      </c>
      <c r="C66" s="176" t="e">
        <f ca="1">VLOOKUP(C7,'Calculations II'!$B$8:$IV$430,60,FALSE)</f>
        <v>#N/A</v>
      </c>
      <c r="D66" s="40" t="e">
        <f ca="1">VLOOKUP(D7,'Calculations II'!$B$8:$IV$430,60,FALSE)</f>
        <v>#N/A</v>
      </c>
      <c r="E66" s="175" t="e">
        <f ca="1">VLOOKUP(E7,'Calculations II'!$B$8:$IV$430,60,FALSE)</f>
        <v>#N/A</v>
      </c>
      <c r="F66" s="40" t="e">
        <f ca="1">VLOOKUP(F7,'Calculations II'!$B$8:$IV$430,60,FALSE)</f>
        <v>#N/A</v>
      </c>
      <c r="G66" s="40" t="e">
        <f ca="1">VLOOKUP(G7,'Calculations II'!$B$8:$IV$430,60,FALSE)</f>
        <v>#N/A</v>
      </c>
      <c r="H66" s="40" t="e">
        <f ca="1">VLOOKUP(H7,'Calculations II'!$B$8:$IV$430,60,FALSE)</f>
        <v>#N/A</v>
      </c>
      <c r="I66" s="40" t="e">
        <f ca="1">VLOOKUP(I7,'Calculations II'!$B$8:$IV$430,60,FALSE)</f>
        <v>#N/A</v>
      </c>
      <c r="J66" s="40" t="e">
        <f ca="1">VLOOKUP(J7,'Calculations II'!$B$8:$IV$430,60,FALSE)</f>
        <v>#N/A</v>
      </c>
      <c r="K66" s="41" t="e">
        <f ca="1">VLOOKUP(K7,'Calculations II'!$B$8:$IV$430,60,FALSE)</f>
        <v>#N/A</v>
      </c>
    </row>
    <row r="67" spans="1:11" s="106" customFormat="1" ht="13.8" thickBot="1" x14ac:dyDescent="0.3">
      <c r="A67" s="1195" t="s">
        <v>94</v>
      </c>
      <c r="B67" s="1196"/>
      <c r="C67" s="1196"/>
      <c r="D67" s="1196"/>
      <c r="E67" s="1196"/>
      <c r="F67" s="1196"/>
      <c r="G67" s="1196"/>
      <c r="H67" s="1196"/>
      <c r="I67" s="1196"/>
      <c r="J67" s="1196"/>
      <c r="K67" s="1197"/>
    </row>
    <row r="68" spans="1:11" s="106" customFormat="1" x14ac:dyDescent="0.25">
      <c r="A68" s="220" t="s">
        <v>254</v>
      </c>
      <c r="B68" s="155" t="s">
        <v>22</v>
      </c>
      <c r="C68" s="229" t="e">
        <f ca="1">VLOOKUP(C7,Sheet1!$B$8:$HT$524,87,FALSE)</f>
        <v>#N/A</v>
      </c>
      <c r="D68" s="195" t="e">
        <f ca="1">VLOOKUP(D7,Sheet1!$B$8:$HT$524,87,FALSE)</f>
        <v>#N/A</v>
      </c>
      <c r="E68" s="231" t="e">
        <f ca="1">VLOOKUP(E7,Sheet1!$B$8:$HT$524,87,FALSE)</f>
        <v>#N/A</v>
      </c>
      <c r="F68" s="195" t="e">
        <f ca="1">VLOOKUP(F7,Sheet1!$B$8:$HT$524,87,FALSE)</f>
        <v>#N/A</v>
      </c>
      <c r="G68" s="195" t="e">
        <f ca="1">VLOOKUP(G7,Sheet1!$B$8:$HT$524,87,FALSE)</f>
        <v>#N/A</v>
      </c>
      <c r="H68" s="195" t="e">
        <f ca="1">VLOOKUP(H7,Sheet1!$B$8:$HT$524,87,FALSE)</f>
        <v>#N/A</v>
      </c>
      <c r="I68" s="195" t="e">
        <f ca="1">VLOOKUP(I7,Sheet1!$B$8:$HT$524,87,FALSE)</f>
        <v>#N/A</v>
      </c>
      <c r="J68" s="195" t="e">
        <f ca="1">VLOOKUP(J7,Sheet1!$B$8:$HT$524,87,FALSE)</f>
        <v>#N/A</v>
      </c>
      <c r="K68" s="196" t="e">
        <f ca="1">VLOOKUP(K7,Sheet1!$B$8:$HT$524,87,FALSE)</f>
        <v>#N/A</v>
      </c>
    </row>
    <row r="69" spans="1:11" s="106" customFormat="1" x14ac:dyDescent="0.25">
      <c r="A69" s="34" t="s">
        <v>99</v>
      </c>
      <c r="B69" s="202" t="s">
        <v>13</v>
      </c>
      <c r="C69" s="133" t="e">
        <f ca="1">VLOOKUP(C7,Sheet1!$B$8:$HT$524,94,FALSE)</f>
        <v>#N/A</v>
      </c>
      <c r="D69" s="37" t="e">
        <f ca="1">VLOOKUP(D7,Sheet1!$B$8:$HT$524,94,FALSE)</f>
        <v>#N/A</v>
      </c>
      <c r="E69" s="174" t="e">
        <f ca="1">VLOOKUP(E7,Sheet1!$B$8:$HT$524,94,FALSE)</f>
        <v>#N/A</v>
      </c>
      <c r="F69" s="37" t="e">
        <f ca="1">VLOOKUP(F7,Sheet1!$B$8:$HT$524,94,FALSE)</f>
        <v>#N/A</v>
      </c>
      <c r="G69" s="37" t="e">
        <f ca="1">VLOOKUP(G7,Sheet1!$B$8:$HT$524,94,FALSE)</f>
        <v>#N/A</v>
      </c>
      <c r="H69" s="37" t="e">
        <f ca="1">VLOOKUP(H7,Sheet1!$B$8:$HT$524,94,FALSE)</f>
        <v>#N/A</v>
      </c>
      <c r="I69" s="37" t="e">
        <f ca="1">VLOOKUP(I7,Sheet1!$B$8:$HT$524,94,FALSE)</f>
        <v>#N/A</v>
      </c>
      <c r="J69" s="37" t="e">
        <f ca="1">VLOOKUP(J7,Sheet1!$B$8:$HT$524,94,FALSE)</f>
        <v>#N/A</v>
      </c>
      <c r="K69" s="39" t="e">
        <f ca="1">VLOOKUP(K7,Sheet1!$B$8:$HT$524,94,FALSE)</f>
        <v>#N/A</v>
      </c>
    </row>
    <row r="70" spans="1:11" s="106" customFormat="1" x14ac:dyDescent="0.25">
      <c r="A70" s="151" t="s">
        <v>100</v>
      </c>
      <c r="B70" s="131" t="s">
        <v>13</v>
      </c>
      <c r="C70" s="230" t="e">
        <f ca="1">VLOOKUP(C7,Sheet1!$B$8:$HT$524,95,FALSE)</f>
        <v>#N/A</v>
      </c>
      <c r="D70" s="197" t="e">
        <f ca="1">VLOOKUP(D7,Sheet1!$B$8:$HT$524,95,FALSE)</f>
        <v>#N/A</v>
      </c>
      <c r="E70" s="232" t="e">
        <f ca="1">VLOOKUP(E7,Sheet1!$B$8:$HT$524,95,FALSE)</f>
        <v>#N/A</v>
      </c>
      <c r="F70" s="197" t="e">
        <f ca="1">VLOOKUP(F7,Sheet1!$B$8:$HT$524,95,FALSE)</f>
        <v>#N/A</v>
      </c>
      <c r="G70" s="197" t="e">
        <f ca="1">VLOOKUP(G7,Sheet1!$B$8:$HT$524,95,FALSE)</f>
        <v>#N/A</v>
      </c>
      <c r="H70" s="197" t="e">
        <f ca="1">VLOOKUP(H7,Sheet1!$B$8:$HT$524,95,FALSE)</f>
        <v>#N/A</v>
      </c>
      <c r="I70" s="197" t="e">
        <f ca="1">VLOOKUP(I7,Sheet1!$B$8:$HT$524,95,FALSE)</f>
        <v>#N/A</v>
      </c>
      <c r="J70" s="197" t="e">
        <f ca="1">VLOOKUP(J7,Sheet1!$B$8:$HT$524,95,FALSE)</f>
        <v>#N/A</v>
      </c>
      <c r="K70" s="198" t="e">
        <f ca="1">VLOOKUP(K7,Sheet1!$B$8:$HT$524,95,FALSE)</f>
        <v>#N/A</v>
      </c>
    </row>
    <row r="71" spans="1:11" s="106" customFormat="1" x14ac:dyDescent="0.25">
      <c r="A71" s="21" t="s">
        <v>274</v>
      </c>
      <c r="B71" s="113" t="s">
        <v>15</v>
      </c>
      <c r="C71" s="230" t="e">
        <f ca="1">IF(VLOOKUP(C7,Sheet1!$B$8:$HT$524,99,FALSE)=0,VLOOKUP(C7,Sheet1!$B$8:$HT$524,115,FALSE),VLOOKUP(C7,Sheet1!$B$8:$HT$524,99,FALSE))</f>
        <v>#N/A</v>
      </c>
      <c r="D71" s="197" t="e">
        <f ca="1">IF(VLOOKUP(D7,Sheet1!$B$8:$HT$524,99,FALSE)=0,VLOOKUP(D7,Sheet1!$B$8:$HT$524,115,FALSE),VLOOKUP(D7,Sheet1!$B$8:$HT$524,99,FALSE))</f>
        <v>#N/A</v>
      </c>
      <c r="E71" s="232" t="e">
        <f ca="1">IF(VLOOKUP(E7,Sheet1!$B$8:$HT$524,99,FALSE)=0,VLOOKUP(E7,Sheet1!$B$8:$HT$524,115,FALSE),VLOOKUP(E7,Sheet1!$B$8:$HT$524,99,FALSE))</f>
        <v>#N/A</v>
      </c>
      <c r="F71" s="197" t="e">
        <f ca="1">IF(VLOOKUP(F7,Sheet1!$B$8:$HT$524,99,FALSE)=0,VLOOKUP(F7,Sheet1!$B$8:$HT$524,115,FALSE),VLOOKUP(F7,Sheet1!$B$8:$HT$524,99,FALSE))</f>
        <v>#N/A</v>
      </c>
      <c r="G71" s="197" t="e">
        <f ca="1">IF(VLOOKUP(G7,Sheet1!$B$8:$HT$524,99,FALSE)=0,VLOOKUP(G7,Sheet1!$B$8:$HT$524,115,FALSE),VLOOKUP(G7,Sheet1!$B$8:$HT$524,99,FALSE))</f>
        <v>#N/A</v>
      </c>
      <c r="H71" s="197" t="e">
        <f ca="1">IF(VLOOKUP(H7,Sheet1!$B$8:$HT$524,99,FALSE)=0,VLOOKUP(H7,Sheet1!$B$8:$HT$524,115,FALSE),VLOOKUP(H7,Sheet1!$B$8:$HT$524,99,FALSE))</f>
        <v>#N/A</v>
      </c>
      <c r="I71" s="197" t="e">
        <f ca="1">IF(VLOOKUP(I7,Sheet1!$B$8:$HT$524,99,FALSE)=0,VLOOKUP(I7,Sheet1!$B$8:$HT$524,115,FALSE),VLOOKUP(I7,Sheet1!$B$8:$HT$524,99,FALSE))</f>
        <v>#N/A</v>
      </c>
      <c r="J71" s="197" t="e">
        <f ca="1">IF(VLOOKUP(J7,Sheet1!$B$8:$HT$524,99,FALSE)=0,VLOOKUP(J7,Sheet1!$B$8:$HT$524,115,FALSE),VLOOKUP(J7,Sheet1!$B$8:$HT$524,99,FALSE))</f>
        <v>#N/A</v>
      </c>
      <c r="K71" s="198" t="e">
        <f ca="1">IF(VLOOKUP(K7,Sheet1!$B$8:$HT$524,99,FALSE)=0,VLOOKUP(K7,Sheet1!$B$8:$HT$524,115,FALSE),VLOOKUP(K7,Sheet1!$B$8:$HT$524,99,FALSE))</f>
        <v>#N/A</v>
      </c>
    </row>
    <row r="72" spans="1:11" s="106" customFormat="1" x14ac:dyDescent="0.25">
      <c r="A72" s="224" t="s">
        <v>395</v>
      </c>
      <c r="B72" s="131" t="s">
        <v>14</v>
      </c>
      <c r="C72" s="230" t="e">
        <f ca="1">IF(VLOOKUP(C7,Sheet1!$B$8:$HT$524,100,FALSE)=0,VLOOKUP(C7,Sheet1!$B$8:$HT$524,116,FALSE),VLOOKUP(C7,Sheet1!$B$8:$HT$524,100,FALSE))</f>
        <v>#N/A</v>
      </c>
      <c r="D72" s="197" t="e">
        <f ca="1">IF(VLOOKUP(D7,Sheet1!$B$8:$HT$524,100,FALSE)=0,VLOOKUP(D7,Sheet1!$B$8:$HT$524,116,FALSE),VLOOKUP(D7,Sheet1!$B$8:$HT$524,100,FALSE))</f>
        <v>#N/A</v>
      </c>
      <c r="E72" s="232" t="e">
        <f ca="1">IF(VLOOKUP(E7,Sheet1!$B$8:$HT$524,100,FALSE)=0,VLOOKUP(E7,Sheet1!$B$8:$HT$524,116,FALSE),VLOOKUP(E7,Sheet1!$B$8:$HT$524,100,FALSE))</f>
        <v>#N/A</v>
      </c>
      <c r="F72" s="197" t="e">
        <f ca="1">IF(VLOOKUP(F7,Sheet1!$B$8:$HT$524,100,FALSE)=0,VLOOKUP(F7,Sheet1!$B$8:$HT$524,116,FALSE),VLOOKUP(F7,Sheet1!$B$8:$HT$524,100,FALSE))</f>
        <v>#N/A</v>
      </c>
      <c r="G72" s="197" t="e">
        <f ca="1">IF(VLOOKUP(G7,Sheet1!$B$8:$HT$524,100,FALSE)=0,VLOOKUP(G7,Sheet1!$B$8:$HT$524,116,FALSE),VLOOKUP(G7,Sheet1!$B$8:$HT$524,100,FALSE))</f>
        <v>#N/A</v>
      </c>
      <c r="H72" s="197" t="e">
        <f ca="1">IF(VLOOKUP(H7,Sheet1!$B$8:$HT$524,100,FALSE)=0,VLOOKUP(H7,Sheet1!$B$8:$HT$524,116,FALSE),VLOOKUP(H7,Sheet1!$B$8:$HT$524,100,FALSE))</f>
        <v>#N/A</v>
      </c>
      <c r="I72" s="197" t="e">
        <f ca="1">IF(VLOOKUP(I7,Sheet1!$B$8:$HT$524,100,FALSE)=0,VLOOKUP(I7,Sheet1!$B$8:$HT$524,116,FALSE),VLOOKUP(I7,Sheet1!$B$8:$HT$524,100,FALSE))</f>
        <v>#N/A</v>
      </c>
      <c r="J72" s="197" t="e">
        <f ca="1">IF(VLOOKUP(J7,Sheet1!$B$8:$HT$524,100,FALSE)=0,VLOOKUP(J7,Sheet1!$B$8:$HT$524,116,FALSE),VLOOKUP(J7,Sheet1!$B$8:$HT$524,100,FALSE))</f>
        <v>#N/A</v>
      </c>
      <c r="K72" s="198" t="e">
        <f ca="1">IF(VLOOKUP(K7,Sheet1!$B$8:$HT$524,100,FALSE)=0,VLOOKUP(K7,Sheet1!$B$8:$HT$524,116,FALSE),VLOOKUP(K7,Sheet1!$B$8:$HT$524,100,FALSE))</f>
        <v>#N/A</v>
      </c>
    </row>
    <row r="73" spans="1:11" s="106" customFormat="1" x14ac:dyDescent="0.25">
      <c r="A73" s="21" t="s">
        <v>396</v>
      </c>
      <c r="B73" s="113" t="s">
        <v>14</v>
      </c>
      <c r="C73" s="230" t="e">
        <f ca="1">IF(VLOOKUP(C7,Sheet1!$B$8:$HT$524,101,FALSE)=0,VLOOKUP(C7,Sheet1!$B$8:$HT$524,117,FALSE),VLOOKUP(C7,Sheet1!$B$8:$HT$524,101,FALSE))</f>
        <v>#N/A</v>
      </c>
      <c r="D73" s="197" t="e">
        <f ca="1">IF(VLOOKUP(D7,Sheet1!$B$8:$HT$524,101,FALSE)=0,VLOOKUP(D7,Sheet1!$B$8:$HT$524,117,FALSE),VLOOKUP(D7,Sheet1!$B$8:$HT$524,101,FALSE))</f>
        <v>#N/A</v>
      </c>
      <c r="E73" s="232" t="e">
        <f ca="1">IF(VLOOKUP(E7,Sheet1!$B$8:$HT$524,101,FALSE)=0,VLOOKUP(E7,Sheet1!$B$8:$HT$524,117,FALSE),VLOOKUP(E7,Sheet1!$B$8:$HT$524,101,FALSE))</f>
        <v>#N/A</v>
      </c>
      <c r="F73" s="197" t="e">
        <f ca="1">IF(VLOOKUP(F7,Sheet1!$B$8:$HT$524,101,FALSE)=0,VLOOKUP(F7,Sheet1!$B$8:$HT$524,117,FALSE),VLOOKUP(F7,Sheet1!$B$8:$HT$524,101,FALSE))</f>
        <v>#N/A</v>
      </c>
      <c r="G73" s="197" t="e">
        <f ca="1">IF(VLOOKUP(G7,Sheet1!$B$8:$HT$524,101,FALSE)=0,VLOOKUP(G7,Sheet1!$B$8:$HT$524,117,FALSE),VLOOKUP(G7,Sheet1!$B$8:$HT$524,101,FALSE))</f>
        <v>#N/A</v>
      </c>
      <c r="H73" s="197" t="e">
        <f ca="1">IF(VLOOKUP(H7,Sheet1!$B$8:$HT$524,101,FALSE)=0,VLOOKUP(H7,Sheet1!$B$8:$HT$524,117,FALSE),VLOOKUP(H7,Sheet1!$B$8:$HT$524,101,FALSE))</f>
        <v>#N/A</v>
      </c>
      <c r="I73" s="197" t="e">
        <f ca="1">IF(VLOOKUP(I7,Sheet1!$B$8:$HT$524,101,FALSE)=0,VLOOKUP(I7,Sheet1!$B$8:$HT$524,117,FALSE),VLOOKUP(I7,Sheet1!$B$8:$HT$524,101,FALSE))</f>
        <v>#N/A</v>
      </c>
      <c r="J73" s="197" t="e">
        <f ca="1">IF(VLOOKUP(J7,Sheet1!$B$8:$HT$524,101,FALSE)=0,VLOOKUP(J7,Sheet1!$B$8:$HT$524,117,FALSE),VLOOKUP(J7,Sheet1!$B$8:$HT$524,101,FALSE))</f>
        <v>#N/A</v>
      </c>
      <c r="K73" s="198" t="e">
        <f ca="1">IF(VLOOKUP(K7,Sheet1!$B$8:$HT$524,101,FALSE)=0,VLOOKUP(K7,Sheet1!$B$8:$HT$524,117,FALSE),VLOOKUP(K7,Sheet1!$B$8:$HT$524,101,FALSE))</f>
        <v>#N/A</v>
      </c>
    </row>
    <row r="74" spans="1:11" s="106" customFormat="1" ht="13.8" thickBot="1" x14ac:dyDescent="0.3">
      <c r="A74" s="225" t="s">
        <v>101</v>
      </c>
      <c r="B74" s="153" t="s">
        <v>102</v>
      </c>
      <c r="C74" s="233" t="e">
        <f ca="1">VLOOKUP(C7,Sheet1!$B$8:$HT$524,88,FALSE)</f>
        <v>#N/A</v>
      </c>
      <c r="D74" s="210" t="e">
        <f ca="1">VLOOKUP(D7,Sheet1!$B$8:$HT$524,88,FALSE)</f>
        <v>#N/A</v>
      </c>
      <c r="E74" s="234" t="e">
        <f ca="1">VLOOKUP(E7,Sheet1!$B$8:$HT$524,88,FALSE)</f>
        <v>#N/A</v>
      </c>
      <c r="F74" s="210" t="e">
        <f ca="1">VLOOKUP(F7,Sheet1!$B$8:$HT$524,88,FALSE)</f>
        <v>#N/A</v>
      </c>
      <c r="G74" s="210" t="e">
        <f ca="1">VLOOKUP(G7,Sheet1!$B$8:$HT$524,88,FALSE)</f>
        <v>#N/A</v>
      </c>
      <c r="H74" s="210" t="e">
        <f ca="1">VLOOKUP(H7,Sheet1!$B$8:$HT$524,88,FALSE)</f>
        <v>#N/A</v>
      </c>
      <c r="I74" s="210" t="e">
        <f ca="1">VLOOKUP(I7,Sheet1!$B$8:$HT$524,88,FALSE)</f>
        <v>#N/A</v>
      </c>
      <c r="J74" s="210" t="e">
        <f ca="1">VLOOKUP(J7,Sheet1!$B$8:$HT$524,88,FALSE)</f>
        <v>#N/A</v>
      </c>
      <c r="K74" s="211" t="e">
        <f ca="1">VLOOKUP(K7,Sheet1!$B$8:$HT$524,88,FALSE)</f>
        <v>#N/A</v>
      </c>
    </row>
    <row r="75" spans="1:11" s="106" customFormat="1" x14ac:dyDescent="0.25">
      <c r="A75" s="226"/>
      <c r="B75" s="226"/>
      <c r="C75" s="226"/>
      <c r="D75" s="226"/>
      <c r="E75" s="226"/>
      <c r="F75" s="226"/>
      <c r="G75" s="226"/>
      <c r="H75" s="226"/>
      <c r="I75" s="226"/>
      <c r="J75" s="226"/>
      <c r="K75" s="226"/>
    </row>
    <row r="76" spans="1:11" s="106" customFormat="1" x14ac:dyDescent="0.25">
      <c r="A76" s="227" t="s">
        <v>273</v>
      </c>
      <c r="B76" s="228"/>
      <c r="C76" s="228"/>
      <c r="D76" s="228"/>
      <c r="E76" s="228"/>
      <c r="F76" s="228"/>
      <c r="G76" s="228"/>
      <c r="H76" s="228"/>
      <c r="I76" s="228"/>
      <c r="J76" s="228"/>
      <c r="K76" s="228"/>
    </row>
    <row r="77" spans="1:11" s="106" customFormat="1" x14ac:dyDescent="0.25"/>
    <row r="78" spans="1:11" s="106" customFormat="1" x14ac:dyDescent="0.25"/>
    <row r="79" spans="1:11" s="106" customFormat="1" x14ac:dyDescent="0.25"/>
    <row r="80" spans="1:11" s="106" customFormat="1" x14ac:dyDescent="0.25"/>
    <row r="81" s="106" customFormat="1" x14ac:dyDescent="0.25"/>
    <row r="82" s="106" customFormat="1" x14ac:dyDescent="0.25"/>
    <row r="83" s="106" customFormat="1" x14ac:dyDescent="0.25"/>
    <row r="84" s="106" customFormat="1" x14ac:dyDescent="0.25"/>
    <row r="85" s="106" customFormat="1" x14ac:dyDescent="0.25"/>
    <row r="86" s="106" customFormat="1" x14ac:dyDescent="0.25"/>
    <row r="87" s="106" customFormat="1" x14ac:dyDescent="0.25"/>
    <row r="88" s="106" customFormat="1" x14ac:dyDescent="0.25"/>
    <row r="89" s="106" customFormat="1" x14ac:dyDescent="0.25"/>
    <row r="90" s="106" customFormat="1" x14ac:dyDescent="0.25"/>
    <row r="91" s="106" customFormat="1" x14ac:dyDescent="0.25"/>
    <row r="92" s="106" customFormat="1" x14ac:dyDescent="0.25"/>
    <row r="93" s="106" customFormat="1" x14ac:dyDescent="0.25"/>
    <row r="94" s="106" customFormat="1" x14ac:dyDescent="0.25"/>
    <row r="95" s="106" customFormat="1" x14ac:dyDescent="0.25"/>
    <row r="96" s="106" customFormat="1" x14ac:dyDescent="0.25"/>
    <row r="97" s="106" customFormat="1" x14ac:dyDescent="0.25"/>
    <row r="98" s="106" customFormat="1" x14ac:dyDescent="0.25"/>
    <row r="99" s="106" customFormat="1" x14ac:dyDescent="0.25"/>
    <row r="100" s="106" customFormat="1" x14ac:dyDescent="0.25"/>
    <row r="101" s="106" customFormat="1" x14ac:dyDescent="0.25"/>
    <row r="102" s="106" customFormat="1" x14ac:dyDescent="0.25"/>
    <row r="103" s="106" customFormat="1" x14ac:dyDescent="0.25"/>
    <row r="104" s="106" customFormat="1" x14ac:dyDescent="0.25"/>
    <row r="105" s="106" customFormat="1" x14ac:dyDescent="0.25"/>
    <row r="106" s="106" customFormat="1" x14ac:dyDescent="0.25"/>
    <row r="107" s="106" customFormat="1" x14ac:dyDescent="0.25"/>
    <row r="108" s="106" customFormat="1" x14ac:dyDescent="0.25"/>
    <row r="109" s="106" customFormat="1" x14ac:dyDescent="0.25"/>
    <row r="110" s="106" customFormat="1" x14ac:dyDescent="0.25"/>
    <row r="111" s="106" customFormat="1" x14ac:dyDescent="0.25"/>
    <row r="112" s="106" customFormat="1" x14ac:dyDescent="0.25"/>
    <row r="113" s="106" customFormat="1" x14ac:dyDescent="0.25"/>
    <row r="114" s="106" customFormat="1" x14ac:dyDescent="0.25"/>
    <row r="115" s="106" customFormat="1" x14ac:dyDescent="0.25"/>
    <row r="116" s="106" customFormat="1" x14ac:dyDescent="0.25"/>
    <row r="117" s="106" customFormat="1" x14ac:dyDescent="0.25"/>
    <row r="118" s="106" customFormat="1" x14ac:dyDescent="0.25"/>
    <row r="119" s="106" customFormat="1" x14ac:dyDescent="0.25"/>
    <row r="120" s="106" customFormat="1" x14ac:dyDescent="0.25"/>
    <row r="121" s="106" customFormat="1" x14ac:dyDescent="0.25"/>
    <row r="122" s="106" customFormat="1" x14ac:dyDescent="0.25"/>
  </sheetData>
  <mergeCells count="11">
    <mergeCell ref="A67:K67"/>
    <mergeCell ref="A62:K62"/>
    <mergeCell ref="A59:K59"/>
    <mergeCell ref="A55:K55"/>
    <mergeCell ref="A1:K1"/>
    <mergeCell ref="A2:K2"/>
    <mergeCell ref="A8:K8"/>
    <mergeCell ref="A50:K50"/>
    <mergeCell ref="A47:K47"/>
    <mergeCell ref="A22:K22"/>
    <mergeCell ref="A39:K39"/>
  </mergeCells>
  <phoneticPr fontId="0" type="noConversion"/>
  <pageMargins left="0" right="0" top="0" bottom="0" header="0" footer="0"/>
  <pageSetup paperSize="5" scale="81" orientation="portrait" r:id="rId1"/>
  <headerFooter alignWithMargins="0"/>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V110"/>
  <sheetViews>
    <sheetView tabSelected="1" workbookViewId="0">
      <pane ySplit="4" topLeftCell="A5" activePane="bottomLeft" state="frozen"/>
      <selection activeCell="DM10" sqref="DM10"/>
      <selection pane="bottomLeft" activeCell="G3" sqref="G3"/>
    </sheetView>
  </sheetViews>
  <sheetFormatPr defaultRowHeight="13.2" x14ac:dyDescent="0.25"/>
  <cols>
    <col min="1" max="1" width="3.44140625" customWidth="1"/>
    <col min="2" max="2" width="31.5546875" customWidth="1"/>
    <col min="3" max="3" width="6" customWidth="1"/>
    <col min="4" max="12" width="9.5546875" customWidth="1"/>
  </cols>
  <sheetData>
    <row r="1" spans="1:14" s="6" customFormat="1" ht="15.6" x14ac:dyDescent="0.3">
      <c r="B1" s="1206" t="s">
        <v>260</v>
      </c>
      <c r="C1" s="1206"/>
      <c r="D1" s="1206"/>
      <c r="E1" s="1206"/>
      <c r="F1" s="1206"/>
      <c r="G1" s="1206"/>
      <c r="H1" s="1206"/>
      <c r="I1" s="1206"/>
      <c r="J1" s="1206"/>
      <c r="K1" s="1206"/>
      <c r="L1" s="1206"/>
    </row>
    <row r="2" spans="1:14" s="7" customFormat="1" ht="12" customHeight="1" thickBot="1" x14ac:dyDescent="0.3">
      <c r="B2" s="114"/>
      <c r="C2" s="114"/>
      <c r="D2" s="114"/>
      <c r="E2" s="114"/>
      <c r="F2" s="115" t="s">
        <v>250</v>
      </c>
      <c r="G2" s="494">
        <v>43100</v>
      </c>
      <c r="H2" s="116"/>
      <c r="I2" s="117"/>
      <c r="J2" s="117"/>
      <c r="K2" s="117"/>
      <c r="L2" s="118"/>
    </row>
    <row r="3" spans="1:14" s="17" customFormat="1" ht="12" customHeight="1" x14ac:dyDescent="0.2">
      <c r="B3" s="119"/>
      <c r="C3" s="120"/>
      <c r="D3" s="121" t="str">
        <f t="shared" ref="D3:L3" si="0">CHOOSE(WEEKDAY(D4,2),"Monday","Tuesday","Wednesday","Thursday","Friday","Saturday","Sunday")</f>
        <v>Saturday</v>
      </c>
      <c r="E3" s="121" t="str">
        <f t="shared" si="0"/>
        <v>Sunday</v>
      </c>
      <c r="F3" s="121" t="str">
        <f t="shared" si="0"/>
        <v>Monday</v>
      </c>
      <c r="G3" s="121" t="str">
        <f>CHOOSE(WEEKDAY(G4,2),"Monday","Tuesday","Wednesday","Thursday","Friday","Saturday","Sunday")</f>
        <v>Tuesday</v>
      </c>
      <c r="H3" s="121" t="str">
        <f t="shared" si="0"/>
        <v>Wednesday</v>
      </c>
      <c r="I3" s="121" t="str">
        <f t="shared" si="0"/>
        <v>Thursday</v>
      </c>
      <c r="J3" s="121" t="str">
        <f t="shared" si="0"/>
        <v>Friday</v>
      </c>
      <c r="K3" s="121" t="str">
        <f t="shared" si="0"/>
        <v>Saturday</v>
      </c>
      <c r="L3" s="122" t="str">
        <f t="shared" si="0"/>
        <v>Sunday</v>
      </c>
    </row>
    <row r="4" spans="1:14" s="17" customFormat="1" ht="12" customHeight="1" thickBot="1" x14ac:dyDescent="0.25">
      <c r="B4" s="123"/>
      <c r="C4" s="124"/>
      <c r="D4" s="125">
        <f>E4-1</f>
        <v>43092</v>
      </c>
      <c r="E4" s="125">
        <f>F4-1</f>
        <v>43093</v>
      </c>
      <c r="F4" s="125">
        <f t="shared" ref="F4:K4" si="1">G4-1</f>
        <v>43094</v>
      </c>
      <c r="G4" s="125">
        <f t="shared" si="1"/>
        <v>43095</v>
      </c>
      <c r="H4" s="125">
        <f t="shared" si="1"/>
        <v>43096</v>
      </c>
      <c r="I4" s="125">
        <f t="shared" si="1"/>
        <v>43097</v>
      </c>
      <c r="J4" s="125">
        <f t="shared" si="1"/>
        <v>43098</v>
      </c>
      <c r="K4" s="125">
        <f t="shared" si="1"/>
        <v>43099</v>
      </c>
      <c r="L4" s="126">
        <f>G2</f>
        <v>43100</v>
      </c>
    </row>
    <row r="5" spans="1:14" s="20" customFormat="1" ht="12" customHeight="1" thickBot="1" x14ac:dyDescent="0.3">
      <c r="B5" s="1213" t="s">
        <v>763</v>
      </c>
      <c r="C5" s="1211"/>
      <c r="D5" s="1214"/>
      <c r="E5" s="1214"/>
      <c r="F5" s="1209"/>
      <c r="G5" s="1209"/>
      <c r="H5" s="1209"/>
      <c r="I5" s="1209"/>
      <c r="J5" s="1209"/>
      <c r="K5" s="1209"/>
      <c r="L5" s="1210"/>
    </row>
    <row r="6" spans="1:14" ht="12" customHeight="1" x14ac:dyDescent="0.25">
      <c r="A6" s="1217" t="s">
        <v>764</v>
      </c>
      <c r="B6" s="926" t="s">
        <v>765</v>
      </c>
      <c r="C6" s="128" t="s">
        <v>22</v>
      </c>
      <c r="D6" s="770">
        <f>VLOOKUP(D4,Sheet1!$B$8:$HT$524,106,FALSE)</f>
        <v>1096.01</v>
      </c>
      <c r="E6" s="556">
        <f>VLOOKUP(E4,Sheet1!$B$8:$HT$524,106,FALSE)</f>
        <v>1093.33</v>
      </c>
      <c r="F6" s="556">
        <f>VLOOKUP(F4,Sheet1!$B$8:$HT$524,106,FALSE)</f>
        <v>1089.78</v>
      </c>
      <c r="G6" s="556">
        <f>VLOOKUP(G4,Sheet1!$B$8:$HT$524,106,FALSE)</f>
        <v>1085.3900000000001</v>
      </c>
      <c r="H6" s="556">
        <f>VLOOKUP(H4,Sheet1!$B$8:$HT$524,106,FALSE)</f>
        <v>1081.3599999999999</v>
      </c>
      <c r="I6" s="556">
        <f>VLOOKUP(I4,Sheet1!$B$8:$HT$524,106,FALSE)</f>
        <v>1079.46</v>
      </c>
      <c r="J6" s="556">
        <f>VLOOKUP(J4,Sheet1!$B$8:$HT$524,106,FALSE)</f>
        <v>1099.46</v>
      </c>
      <c r="K6" s="556">
        <f>VLOOKUP(K4,Sheet1!$B$8:$HT$524,106,FALSE)</f>
        <v>1107.33</v>
      </c>
      <c r="L6" s="558">
        <f>VLOOKUP(L4,Sheet1!$B$8:$HT$524,106,FALSE)</f>
        <v>1104.1199999999999</v>
      </c>
      <c r="M6" s="540"/>
    </row>
    <row r="7" spans="1:14" ht="12" customHeight="1" x14ac:dyDescent="0.25">
      <c r="A7" s="1218"/>
      <c r="B7" s="129" t="s">
        <v>23</v>
      </c>
      <c r="C7" s="132" t="s">
        <v>24</v>
      </c>
      <c r="D7" s="1125">
        <f>VLOOKUP(D4,Calculation!$B$8:$JO$503,37,FALSE)</f>
        <v>4159.4000000096039</v>
      </c>
      <c r="E7" s="1126">
        <f>VLOOKUP(E4,Calculation!$B$8:$JO$503,37,FALSE)</f>
        <v>3548.6000000082536</v>
      </c>
      <c r="F7" s="1126">
        <f>VLOOKUP(F4,Calculation!$B$8:$JO$503,37,FALSE)</f>
        <v>2803.0000000068667</v>
      </c>
      <c r="G7" s="1126">
        <f>VLOOKUP(G4,Calculation!$B$8:$JO$503,37,FALSE)</f>
        <v>2015.400000004875</v>
      </c>
      <c r="H7" s="1126">
        <f>VLOOKUP(H4,Calculation!$B$8:$JO$503,37,FALSE)</f>
        <v>1403.0000000039904</v>
      </c>
      <c r="I7" s="1126">
        <f>VLOOKUP(I4,Calculation!$B$8:$JO$503,37,FALSE)</f>
        <v>1145.8000000032514</v>
      </c>
      <c r="J7" s="1126">
        <f>VLOOKUP(J4,Calculation!$B$8:$JO$503,37,FALSE)</f>
        <v>5002.0000000108002</v>
      </c>
      <c r="K7" s="1126">
        <f>VLOOKUP(K4,Calculation!$B$8:$JO$503,37,FALSE)</f>
        <v>7168.0000000150749</v>
      </c>
      <c r="L7" s="1127">
        <f>VLOOKUP(L4,Calculation!$B$8:$JO$503,37,FALSE)</f>
        <v>6239.8000000137154</v>
      </c>
      <c r="M7" s="540"/>
      <c r="N7" s="30"/>
    </row>
    <row r="8" spans="1:14" ht="12" customHeight="1" x14ac:dyDescent="0.25">
      <c r="A8" s="1218"/>
      <c r="B8" s="129" t="s">
        <v>25</v>
      </c>
      <c r="C8" s="135" t="s">
        <v>24</v>
      </c>
      <c r="D8" s="1125">
        <f>VLOOKUP(D4,Calculation!$B$8:$JO$503,38,FALSE)</f>
        <v>-315.80000000027303</v>
      </c>
      <c r="E8" s="1126">
        <f>VLOOKUP(E4,Calculation!$B$8:$JO$503,38,FALSE)</f>
        <v>-610.80000000135033</v>
      </c>
      <c r="F8" s="1126">
        <f>VLOOKUP(F4,Calculation!$B$8:$JO$503,38,FALSE)</f>
        <v>-745.60000000138689</v>
      </c>
      <c r="G8" s="1126">
        <f>VLOOKUP(G4,Calculation!$B$8:$JO$503,38,FALSE)</f>
        <v>-787.6000000019917</v>
      </c>
      <c r="H8" s="1126">
        <f>VLOOKUP(H4,Calculation!$B$8:$JO$503,38,FALSE)</f>
        <v>-612.40000000088457</v>
      </c>
      <c r="I8" s="1126">
        <f>VLOOKUP(I4,Calculation!$B$8:$JO$503,38,FALSE)</f>
        <v>-257.20000000073901</v>
      </c>
      <c r="J8" s="1126">
        <f>VLOOKUP(J4,Calculation!$B$8:$JO$503,38,FALSE)</f>
        <v>3856.2000000075486</v>
      </c>
      <c r="K8" s="1126">
        <f>VLOOKUP(K4,Calculation!$B$8:$JO$503,38,FALSE)</f>
        <v>2166.0000000042746</v>
      </c>
      <c r="L8" s="1127">
        <f>VLOOKUP(L4,Calculation!$B$8:$JO$503,38,FALSE)</f>
        <v>-928.20000000135951</v>
      </c>
      <c r="M8" s="540"/>
    </row>
    <row r="9" spans="1:14" ht="12" customHeight="1" x14ac:dyDescent="0.25">
      <c r="A9" s="1218"/>
      <c r="B9" s="129" t="s">
        <v>26</v>
      </c>
      <c r="C9" s="132" t="s">
        <v>11</v>
      </c>
      <c r="D9" s="1125">
        <f>VLOOKUP(D4,Calculation!$B$8:$JO$503,6,FALSE)</f>
        <v>1280.7463439232108</v>
      </c>
      <c r="E9" s="1126">
        <f>VLOOKUP(E4,Calculation!$B$8:$JO$503,6,FALSE)</f>
        <v>1101.9818456876701</v>
      </c>
      <c r="F9" s="1126">
        <f>VLOOKUP(F4,Calculation!$B$8:$JO$503,6,FALSE)</f>
        <v>984.00403429077824</v>
      </c>
      <c r="G9" s="1126">
        <f>VLOOKUP(G4,Calculation!$B$8:$JO$503,6,FALSE)</f>
        <v>835.82400403328711</v>
      </c>
      <c r="H9" s="1126">
        <f>VLOOKUP(H4,Calculation!$B$8:$JO$503,6,FALSE)</f>
        <v>747.17498739239318</v>
      </c>
      <c r="I9" s="1126">
        <f>VLOOKUP(I4,Calculation!$B$8:$JO$503,6,FALSE)</f>
        <v>1044.2975289960973</v>
      </c>
      <c r="J9" s="1126">
        <f>VLOOKUP(J4,Calculation!$B$8:$JO$503,6,FALSE)</f>
        <v>5694.6293494743059</v>
      </c>
      <c r="K9" s="1126">
        <f>VLOOKUP(K4,Calculation!$B$8:$JO$503,6,FALSE)</f>
        <v>5062.2844175513237</v>
      </c>
      <c r="L9" s="1127">
        <f>VLOOKUP(L4,Calculation!$B$8:$JO$503,6,FALSE)</f>
        <v>2761.9213313155019</v>
      </c>
      <c r="M9" s="540" t="s">
        <v>10</v>
      </c>
    </row>
    <row r="10" spans="1:14" ht="12" customHeight="1" x14ac:dyDescent="0.25">
      <c r="A10" s="1218"/>
      <c r="B10" s="129" t="s">
        <v>27</v>
      </c>
      <c r="C10" s="132" t="s">
        <v>11</v>
      </c>
      <c r="D10" s="1125">
        <f>VLOOKUP(D4,Sheet1!$B$8:$HT$524,103,FALSE)</f>
        <v>1440</v>
      </c>
      <c r="E10" s="1126">
        <f>VLOOKUP(E4,Sheet1!$B$8:$HT$524,103,FALSE)</f>
        <v>1410</v>
      </c>
      <c r="F10" s="1126">
        <f>VLOOKUP(F4,Sheet1!$B$8:$HT$524,103,FALSE)</f>
        <v>1360</v>
      </c>
      <c r="G10" s="1126">
        <f>VLOOKUP(G4,Sheet1!$B$8:$HT$524,103,FALSE)</f>
        <v>1233</v>
      </c>
      <c r="H10" s="1126">
        <f>VLOOKUP(H4,Sheet1!$B$8:$HT$524,103,FALSE)</f>
        <v>1056</v>
      </c>
      <c r="I10" s="1126">
        <f>VLOOKUP(I4,Sheet1!$B$8:$HT$524,103,FALSE)</f>
        <v>1174</v>
      </c>
      <c r="J10" s="1126">
        <f>VLOOKUP(J4,Sheet1!$B$8:$HT$524,103,FALSE)</f>
        <v>3750</v>
      </c>
      <c r="K10" s="1126">
        <f>VLOOKUP(K4,Sheet1!$B$8:$HT$524,103,FALSE)</f>
        <v>3970</v>
      </c>
      <c r="L10" s="1127">
        <f>VLOOKUP(L4,Sheet1!$B$8:$HT$524,103,FALSE)</f>
        <v>3230</v>
      </c>
      <c r="M10" s="540"/>
    </row>
    <row r="11" spans="1:14" ht="12" customHeight="1" x14ac:dyDescent="0.25">
      <c r="A11" s="1218"/>
      <c r="B11" s="201" t="s">
        <v>866</v>
      </c>
      <c r="C11" s="132" t="s">
        <v>11</v>
      </c>
      <c r="D11" s="1125">
        <f>VLOOKUP(D4,Sheet1!$B$8:$HT$524,105,FALSE)</f>
        <v>1470</v>
      </c>
      <c r="E11" s="1126">
        <f>VLOOKUP(E4,Sheet1!$B$8:$HT$524,105,FALSE)</f>
        <v>1420</v>
      </c>
      <c r="F11" s="1126">
        <f>VLOOKUP(F4,Sheet1!$B$8:$HT$524,105,FALSE)</f>
        <v>1360</v>
      </c>
      <c r="G11" s="1126">
        <f>VLOOKUP(G4,Sheet1!$B$8:$HT$524,105,FALSE)</f>
        <v>1240</v>
      </c>
      <c r="H11" s="1126">
        <f>VLOOKUP(H4,Sheet1!$B$8:$HT$524,105,FALSE)</f>
        <v>1050</v>
      </c>
      <c r="I11" s="1126">
        <f>VLOOKUP(I4,Sheet1!$B$8:$HT$524,105,FALSE)</f>
        <v>1280</v>
      </c>
      <c r="J11" s="1126">
        <f>VLOOKUP(J4,Sheet1!$B$8:$HT$524,105,FALSE)</f>
        <v>4100</v>
      </c>
      <c r="K11" s="1126">
        <f>VLOOKUP(K4,Sheet1!$B$8:$HT$524,105,FALSE)</f>
        <v>4140</v>
      </c>
      <c r="L11" s="1127">
        <f>VLOOKUP(L4,Sheet1!$B$8:$HT$524,105,FALSE)</f>
        <v>3400</v>
      </c>
      <c r="M11" s="540"/>
    </row>
    <row r="12" spans="1:14" ht="12" customHeight="1" x14ac:dyDescent="0.25">
      <c r="A12" s="1218"/>
      <c r="B12" s="129" t="s">
        <v>28</v>
      </c>
      <c r="C12" s="132" t="s">
        <v>11</v>
      </c>
      <c r="D12" s="1125">
        <f>VLOOKUP(D4,Calculation!$B$8:$JO$503,3,FALSE)</f>
        <v>300</v>
      </c>
      <c r="E12" s="1126">
        <f>VLOOKUP(E4,Calculation!$B$8:$JO$503,3,FALSE)</f>
        <v>300</v>
      </c>
      <c r="F12" s="1126">
        <f>VLOOKUP(F4,Calculation!$B$8:$JO$503,3,FALSE)</f>
        <v>300</v>
      </c>
      <c r="G12" s="1126">
        <f>VLOOKUP(G4,Calculation!$B$8:$JO$503,3,FALSE)</f>
        <v>300</v>
      </c>
      <c r="H12" s="1126">
        <f>VLOOKUP(H4,Calculation!$B$8:$JO$503,3,FALSE)</f>
        <v>300</v>
      </c>
      <c r="I12" s="1126">
        <f>VLOOKUP(I4,Calculation!$B$8:$JO$503,3,FALSE)</f>
        <v>300</v>
      </c>
      <c r="J12" s="1126">
        <f>VLOOKUP(J4,Calculation!$B$8:$JO$503,3,FALSE)</f>
        <v>300</v>
      </c>
      <c r="K12" s="1126">
        <f>VLOOKUP(K4,Calculation!$B$8:$JO$503,3,FALSE)</f>
        <v>300</v>
      </c>
      <c r="L12" s="1127">
        <f>VLOOKUP(L4,Calculation!$B$8:$JO$503,3,FALSE)</f>
        <v>300</v>
      </c>
      <c r="M12" s="540"/>
    </row>
    <row r="13" spans="1:14" ht="12" customHeight="1" x14ac:dyDescent="0.25">
      <c r="A13" s="1218"/>
      <c r="B13" s="201" t="s">
        <v>29</v>
      </c>
      <c r="C13" s="132" t="s">
        <v>11</v>
      </c>
      <c r="D13" s="1125">
        <f>VLOOKUP(D4,Sheet1!$B$8:$HT$524,104,FALSE)</f>
        <v>2020</v>
      </c>
      <c r="E13" s="1126">
        <f>VLOOKUP(E4,Sheet1!$B$8:$HT$524,104,FALSE)</f>
        <v>1940</v>
      </c>
      <c r="F13" s="1126">
        <f>VLOOKUP(F4,Sheet1!$B$8:$HT$524,104,FALSE)</f>
        <v>1860</v>
      </c>
      <c r="G13" s="1126">
        <f>VLOOKUP(G4,Sheet1!$B$8:$HT$524,104,FALSE)</f>
        <v>1736</v>
      </c>
      <c r="H13" s="1126">
        <f>VLOOKUP(H4,Sheet1!$B$8:$HT$524,104,FALSE)</f>
        <v>1542</v>
      </c>
      <c r="I13" s="1126">
        <f>VLOOKUP(I4,Sheet1!$B$8:$HT$524,104,FALSE)</f>
        <v>1744</v>
      </c>
      <c r="J13" s="1126">
        <f>VLOOKUP(J4,Sheet1!$B$8:$HT$524,104,FALSE)</f>
        <v>5270</v>
      </c>
      <c r="K13" s="1126">
        <f>VLOOKUP(K4,Sheet1!$B$8:$HT$524,104,FALSE)</f>
        <v>5270</v>
      </c>
      <c r="L13" s="1127">
        <f>VLOOKUP(L4,Sheet1!$B$8:$HT$524,104,FALSE)</f>
        <v>4320</v>
      </c>
      <c r="M13" s="540"/>
    </row>
    <row r="14" spans="1:14" ht="12" customHeight="1" x14ac:dyDescent="0.25">
      <c r="A14" s="1218"/>
      <c r="B14" s="129" t="s">
        <v>30</v>
      </c>
      <c r="C14" s="132" t="s">
        <v>11</v>
      </c>
      <c r="D14" s="1125">
        <f>VLOOKUP(D4,Calculation!$B$8:$JO$503,4,FALSE)</f>
        <v>250</v>
      </c>
      <c r="E14" s="1126">
        <f>VLOOKUP(E4,Calculation!$B$8:$JO$503,4,FALSE)</f>
        <v>250</v>
      </c>
      <c r="F14" s="1126">
        <f>VLOOKUP(F4,Calculation!$B$8:$JO$503,4,FALSE)</f>
        <v>250</v>
      </c>
      <c r="G14" s="1126">
        <f>VLOOKUP(G4,Calculation!$B$8:$JO$503,4,FALSE)</f>
        <v>250</v>
      </c>
      <c r="H14" s="1126">
        <f>VLOOKUP(H4,Calculation!$B$8:$JO$503,4,FALSE)</f>
        <v>250</v>
      </c>
      <c r="I14" s="1126">
        <f>VLOOKUP(I4,Calculation!$B$8:$JO$503,4,FALSE)</f>
        <v>250</v>
      </c>
      <c r="J14" s="1126">
        <f>VLOOKUP(J4,Calculation!$B$8:$JO$503,4,FALSE)</f>
        <v>250</v>
      </c>
      <c r="K14" s="1126">
        <f>VLOOKUP(K4,Calculation!$B$8:$JO$503,4,FALSE)</f>
        <v>250</v>
      </c>
      <c r="L14" s="1127">
        <f>VLOOKUP(L4,Calculation!$B$8:$JO$503,4,FALSE)</f>
        <v>250</v>
      </c>
      <c r="M14" s="540"/>
    </row>
    <row r="15" spans="1:14" ht="12" customHeight="1" x14ac:dyDescent="0.25">
      <c r="A15" s="1218"/>
      <c r="B15" s="129" t="s">
        <v>31</v>
      </c>
      <c r="C15" s="132" t="s">
        <v>11</v>
      </c>
      <c r="D15" s="1125">
        <f>VLOOKUP(D4,Calculation!$B$8:$JO$503,5,FALSE)</f>
        <v>250</v>
      </c>
      <c r="E15" s="1126">
        <f>VLOOKUP(E4,Calculation!$B$8:$JO$503,5,FALSE)</f>
        <v>250</v>
      </c>
      <c r="F15" s="1126">
        <f>VLOOKUP(F4,Calculation!$B$8:$JO$503,5,FALSE)</f>
        <v>250</v>
      </c>
      <c r="G15" s="1126">
        <f>VLOOKUP(G4,Calculation!$B$8:$JO$503,5,FALSE)</f>
        <v>250</v>
      </c>
      <c r="H15" s="1126">
        <f>VLOOKUP(H4,Calculation!$B$8:$JO$503,5,FALSE)</f>
        <v>250</v>
      </c>
      <c r="I15" s="1126">
        <f>VLOOKUP(I4,Calculation!$B$8:$JO$503,5,FALSE)</f>
        <v>250</v>
      </c>
      <c r="J15" s="1126">
        <f>VLOOKUP(J4,Calculation!$B$8:$JO$503,5,FALSE)</f>
        <v>250</v>
      </c>
      <c r="K15" s="1126">
        <f>VLOOKUP(K4,Calculation!$B$8:$JO$503,5,FALSE)</f>
        <v>250</v>
      </c>
      <c r="L15" s="1127">
        <f>VLOOKUP(L4,Calculation!$B$8:$JO$503,5,FALSE)</f>
        <v>250</v>
      </c>
      <c r="M15" s="540"/>
    </row>
    <row r="16" spans="1:14" ht="12" customHeight="1" x14ac:dyDescent="0.25">
      <c r="A16" s="1218"/>
      <c r="B16" s="129" t="s">
        <v>108</v>
      </c>
      <c r="C16" s="132" t="s">
        <v>11</v>
      </c>
      <c r="D16" s="559">
        <f>VLOOKUP(D4,Calculation!$B$8:$JO$503,28,FALSE)</f>
        <v>38.984399999999994</v>
      </c>
      <c r="E16" s="171">
        <f>VLOOKUP(E4,Calculation!$B$8:$JO$503,28,FALSE)</f>
        <v>38.984399999999994</v>
      </c>
      <c r="F16" s="171">
        <f>VLOOKUP(F4,Calculation!$B$8:$JO$503,28,FALSE)</f>
        <v>38.984399999999994</v>
      </c>
      <c r="G16" s="171">
        <f>VLOOKUP(G4,Calculation!$B$8:$JO$503,28,FALSE)</f>
        <v>38.984399999999994</v>
      </c>
      <c r="H16" s="171">
        <f>VLOOKUP(H4,Calculation!$B$8:$JO$503,28,FALSE)</f>
        <v>38.984399999999994</v>
      </c>
      <c r="I16" s="171">
        <f>VLOOKUP(I4,Calculation!$B$8:$JO$503,28,FALSE)</f>
        <v>38.984399999999994</v>
      </c>
      <c r="J16" s="171">
        <f>VLOOKUP(J4,Calculation!$B$8:$JO$503,28,FALSE)</f>
        <v>39.139099999999999</v>
      </c>
      <c r="K16" s="171">
        <f>VLOOKUP(K4,Calculation!$B$8:$JO$503,28,FALSE)</f>
        <v>39.139099999999999</v>
      </c>
      <c r="L16" s="172">
        <f>VLOOKUP(L4,Calculation!$B$8:$JO$503,28,FALSE)</f>
        <v>38.984399999999994</v>
      </c>
      <c r="M16" s="540"/>
    </row>
    <row r="17" spans="1:13" ht="12" customHeight="1" x14ac:dyDescent="0.25">
      <c r="A17" s="1218"/>
      <c r="B17" s="129" t="s">
        <v>108</v>
      </c>
      <c r="C17" s="132" t="s">
        <v>32</v>
      </c>
      <c r="D17" s="559">
        <f>VLOOKUP(D4,Sheet1!$B$8:$HT$524,24,FALSE)</f>
        <v>25.2</v>
      </c>
      <c r="E17" s="171">
        <f>VLOOKUP(E4,Sheet1!$B$8:$HT$524,24,FALSE)</f>
        <v>25.2</v>
      </c>
      <c r="F17" s="171">
        <f>VLOOKUP(F4,Sheet1!$B$8:$HT$524,24,FALSE)</f>
        <v>25.2</v>
      </c>
      <c r="G17" s="171">
        <f>VLOOKUP(G4,Sheet1!$B$8:$HT$524,24,FALSE)</f>
        <v>25.2</v>
      </c>
      <c r="H17" s="171">
        <f>VLOOKUP(H4,Sheet1!$B$8:$HT$524,24,FALSE)</f>
        <v>25.2</v>
      </c>
      <c r="I17" s="171">
        <f>VLOOKUP(I4,Sheet1!$B$8:$HT$524,24,FALSE)</f>
        <v>25.2</v>
      </c>
      <c r="J17" s="171">
        <f>VLOOKUP(J4,Sheet1!$B$8:$HT$524,24,FALSE)</f>
        <v>25.3</v>
      </c>
      <c r="K17" s="171">
        <f>VLOOKUP(K4,Sheet1!$B$8:$HT$524,24,FALSE)</f>
        <v>25.3</v>
      </c>
      <c r="L17" s="172">
        <f>VLOOKUP(L4,Sheet1!$B$8:$HT$524,24,FALSE)</f>
        <v>25.2</v>
      </c>
      <c r="M17" s="540"/>
    </row>
    <row r="18" spans="1:13" ht="12" customHeight="1" x14ac:dyDescent="0.25">
      <c r="A18" s="1218"/>
      <c r="B18" s="129" t="s">
        <v>109</v>
      </c>
      <c r="C18" s="132" t="s">
        <v>11</v>
      </c>
      <c r="D18" s="559">
        <f>VLOOKUP(D4,Calculation!$B$8:$JO$503,29,FALSE)</f>
        <v>52.443299999999994</v>
      </c>
      <c r="E18" s="171">
        <f>VLOOKUP(E4,Calculation!$B$8:$JO$503,29,FALSE)</f>
        <v>47.92606</v>
      </c>
      <c r="F18" s="171">
        <f>VLOOKUP(F4,Calculation!$B$8:$JO$503,29,FALSE)</f>
        <v>46.564700000000002</v>
      </c>
      <c r="G18" s="171">
        <f>VLOOKUP(G4,Calculation!$B$8:$JO$503,29,FALSE)</f>
        <v>49.457589999999996</v>
      </c>
      <c r="H18" s="171">
        <f>VLOOKUP(H4,Calculation!$B$8:$JO$503,29,FALSE)</f>
        <v>50.432200000000002</v>
      </c>
      <c r="I18" s="171">
        <f>VLOOKUP(I4,Calculation!$B$8:$JO$503,29,FALSE)</f>
        <v>52.443299999999994</v>
      </c>
      <c r="J18" s="171">
        <f>VLOOKUP(J4,Calculation!$B$8:$JO$503,29,FALSE)</f>
        <v>49.581349999999993</v>
      </c>
      <c r="K18" s="171">
        <f>VLOOKUP(K4,Calculation!$B$8:$JO$503,29,FALSE)</f>
        <v>49.349299999999992</v>
      </c>
      <c r="L18" s="172">
        <f>VLOOKUP(L4,Calculation!$B$8:$JO$503,29,FALSE)</f>
        <v>49.503999999999998</v>
      </c>
      <c r="M18" s="540"/>
    </row>
    <row r="19" spans="1:13" ht="12" customHeight="1" x14ac:dyDescent="0.25">
      <c r="A19" s="1218"/>
      <c r="B19" s="134" t="s">
        <v>109</v>
      </c>
      <c r="C19" s="135" t="s">
        <v>32</v>
      </c>
      <c r="D19" s="559">
        <f>VLOOKUP(D4,Sheet1!$B$8:$HT$524,25,FALSE)</f>
        <v>33.9</v>
      </c>
      <c r="E19" s="171">
        <f>VLOOKUP(E4,Sheet1!$B$8:$HT$524,25,FALSE)</f>
        <v>30.98</v>
      </c>
      <c r="F19" s="171">
        <f>VLOOKUP(F4,Sheet1!$B$8:$HT$524,25,FALSE)</f>
        <v>30.1</v>
      </c>
      <c r="G19" s="171">
        <f>VLOOKUP(G4,Sheet1!$B$8:$HT$524,25,FALSE)</f>
        <v>31.97</v>
      </c>
      <c r="H19" s="171">
        <f>VLOOKUP(H4,Sheet1!$B$8:$HT$524,25,FALSE)</f>
        <v>32.6</v>
      </c>
      <c r="I19" s="171">
        <f>VLOOKUP(I4,Sheet1!$B$8:$HT$524,25,FALSE)</f>
        <v>33.9</v>
      </c>
      <c r="J19" s="171">
        <f>VLOOKUP(J4,Sheet1!$B$8:$HT$524,25,FALSE)</f>
        <v>32.049999999999997</v>
      </c>
      <c r="K19" s="171">
        <f>VLOOKUP(K4,Sheet1!$B$8:$HT$524,25,FALSE)</f>
        <v>31.9</v>
      </c>
      <c r="L19" s="172">
        <f>VLOOKUP(L4,Sheet1!$B$8:$HT$524,25,FALSE)</f>
        <v>32</v>
      </c>
      <c r="M19" s="540"/>
    </row>
    <row r="20" spans="1:13" ht="12" customHeight="1" x14ac:dyDescent="0.25">
      <c r="A20" s="1218"/>
      <c r="B20" s="129" t="s">
        <v>107</v>
      </c>
      <c r="C20" s="132" t="s">
        <v>32</v>
      </c>
      <c r="D20" s="559">
        <f>VLOOKUP(D4,Calculation!$B$8:$JO$503,10,FALSE)</f>
        <v>64.64</v>
      </c>
      <c r="E20" s="171">
        <f>VLOOKUP(E4,Calculation!$B$8:$JO$503,10,FALSE)</f>
        <v>64.64</v>
      </c>
      <c r="F20" s="171">
        <f>VLOOKUP(F4,Calculation!$B$8:$JO$503,10,FALSE)</f>
        <v>64.64</v>
      </c>
      <c r="G20" s="171">
        <f>VLOOKUP(G4,Calculation!$B$8:$JO$503,10,FALSE)</f>
        <v>64.64</v>
      </c>
      <c r="H20" s="171">
        <f>VLOOKUP(H4,Calculation!$B$8:$JO$503,10,FALSE)</f>
        <v>64.64</v>
      </c>
      <c r="I20" s="171">
        <f>VLOOKUP(I4,Calculation!$B$8:$JO$503,10,FALSE)</f>
        <v>64.64</v>
      </c>
      <c r="J20" s="171">
        <f>VLOOKUP(J4,Calculation!$B$8:$JO$503,10,FALSE)</f>
        <v>64.64</v>
      </c>
      <c r="K20" s="171">
        <f>VLOOKUP(K4,Calculation!$B$8:$JO$503,10,FALSE)</f>
        <v>64.64</v>
      </c>
      <c r="L20" s="172">
        <f>VLOOKUP(L4,Calculation!$B$8:$JO$503,10,FALSE)</f>
        <v>64.64</v>
      </c>
      <c r="M20" s="540"/>
    </row>
    <row r="21" spans="1:13" ht="12" customHeight="1" thickBot="1" x14ac:dyDescent="0.3">
      <c r="A21" s="1219"/>
      <c r="B21" s="136" t="s">
        <v>33</v>
      </c>
      <c r="C21" s="771" t="s">
        <v>32</v>
      </c>
      <c r="D21" s="772">
        <f>VLOOKUP(D4,Calculation!$B$8:$JO$503,13,FALSE)</f>
        <v>73.043199999999999</v>
      </c>
      <c r="E21" s="561">
        <f>VLOOKUP(E4,Calculation!$B$8:$JO$503,13,FALSE)</f>
        <v>73.043199999999999</v>
      </c>
      <c r="F21" s="561">
        <f>VLOOKUP(F4,Calculation!$B$8:$JO$503,13,FALSE)</f>
        <v>73.043199999999999</v>
      </c>
      <c r="G21" s="561">
        <f>VLOOKUP(G4,Calculation!$B$8:$JO$503,13,FALSE)</f>
        <v>73.043199999999999</v>
      </c>
      <c r="H21" s="561">
        <f>VLOOKUP(H4,Calculation!$B$8:$JO$503,13,FALSE)</f>
        <v>73.043199999999999</v>
      </c>
      <c r="I21" s="561">
        <f>VLOOKUP(I4,Calculation!$B$8:$JO$503,13,FALSE)</f>
        <v>73.043199999999999</v>
      </c>
      <c r="J21" s="561">
        <f>VLOOKUP(J4,Calculation!$B$8:$JO$503,13,FALSE)</f>
        <v>73.043199999999999</v>
      </c>
      <c r="K21" s="561">
        <f>VLOOKUP(K4,Calculation!$B$8:$JO$503,13,FALSE)</f>
        <v>73.043199999999999</v>
      </c>
      <c r="L21" s="554">
        <f>VLOOKUP(L4,Calculation!$B$8:$JO$503,13,FALSE)</f>
        <v>73.043199999999999</v>
      </c>
      <c r="M21" s="540"/>
    </row>
    <row r="22" spans="1:13" ht="12" customHeight="1" thickBot="1" x14ac:dyDescent="0.3">
      <c r="B22" s="1215" t="s">
        <v>762</v>
      </c>
      <c r="C22" s="1208"/>
      <c r="D22" s="1214"/>
      <c r="E22" s="1214"/>
      <c r="F22" s="1214"/>
      <c r="G22" s="1214"/>
      <c r="H22" s="1214"/>
      <c r="I22" s="1214"/>
      <c r="J22" s="1214"/>
      <c r="K22" s="1214"/>
      <c r="L22" s="1216"/>
      <c r="M22" s="540"/>
    </row>
    <row r="23" spans="1:13" ht="12" customHeight="1" x14ac:dyDescent="0.25">
      <c r="A23" s="1226" t="s">
        <v>761</v>
      </c>
      <c r="B23" s="137" t="s">
        <v>113</v>
      </c>
      <c r="C23" s="138" t="s">
        <v>13</v>
      </c>
      <c r="D23" s="770">
        <f>VLOOKUP(D4,Calculation!$B$8:$JO$503,14,FALSE)</f>
        <v>56.18</v>
      </c>
      <c r="E23" s="556">
        <f>VLOOKUP(E4,Calculation!$B$8:$JO$503,14,FALSE)</f>
        <v>55.3</v>
      </c>
      <c r="F23" s="556">
        <f>VLOOKUP(F4,Calculation!$B$8:$JO$503,14,FALSE)</f>
        <v>57.17</v>
      </c>
      <c r="G23" s="556">
        <f>VLOOKUP(G4,Calculation!$B$8:$JO$503,14,FALSE)</f>
        <v>57.8</v>
      </c>
      <c r="H23" s="556">
        <f>VLOOKUP(H4,Calculation!$B$8:$JO$503,14,FALSE)</f>
        <v>59.099999999999994</v>
      </c>
      <c r="I23" s="556">
        <f>VLOOKUP(I4,Calculation!$B$8:$JO$503,14,FALSE)</f>
        <v>57.349999999999994</v>
      </c>
      <c r="J23" s="556">
        <f>VLOOKUP(J4,Calculation!$B$8:$JO$503,14,FALSE)</f>
        <v>57.2</v>
      </c>
      <c r="K23" s="556">
        <f>VLOOKUP(K4,Calculation!$B$8:$JO$503,14,FALSE)</f>
        <v>57.2</v>
      </c>
      <c r="L23" s="558">
        <f>VLOOKUP(L4,Calculation!$B$8:$JO$503,14,FALSE)</f>
        <v>57.099999999999994</v>
      </c>
      <c r="M23" s="540"/>
    </row>
    <row r="24" spans="1:13" ht="12" customHeight="1" x14ac:dyDescent="0.25">
      <c r="A24" s="1227"/>
      <c r="B24" s="1049" t="s">
        <v>894</v>
      </c>
      <c r="C24" s="1050" t="s">
        <v>13</v>
      </c>
      <c r="D24" s="1051">
        <f>VLOOKUP(D4,Calculation!$B$8:$JO$503,16,FALSE)</f>
        <v>0</v>
      </c>
      <c r="E24" s="1052">
        <f>VLOOKUP(E4,Calculation!$B$8:$JO$503,16,FALSE)</f>
        <v>0</v>
      </c>
      <c r="F24" s="1052">
        <f>VLOOKUP(F4,Calculation!$B$8:$JO$503,16,FALSE)</f>
        <v>0</v>
      </c>
      <c r="G24" s="1052">
        <f>VLOOKUP(G4,Calculation!$B$8:$JO$503,16,FALSE)</f>
        <v>0</v>
      </c>
      <c r="H24" s="1052">
        <f>VLOOKUP(H4,Calculation!$B$8:$JO$503,16,FALSE)</f>
        <v>0</v>
      </c>
      <c r="I24" s="1052">
        <f>VLOOKUP(I4,Calculation!$B$8:$JO$503,16,FALSE)</f>
        <v>0</v>
      </c>
      <c r="J24" s="1052">
        <f>VLOOKUP(J4,Calculation!$B$8:$JO$503,16,FALSE)</f>
        <v>0</v>
      </c>
      <c r="K24" s="1052">
        <f>VLOOKUP(K4,Calculation!$B$8:$JO$503,16,FALSE)</f>
        <v>0</v>
      </c>
      <c r="L24" s="1053">
        <f>VLOOKUP(L4,Calculation!$B$8:$JO$503,16,FALSE)</f>
        <v>0</v>
      </c>
      <c r="M24" s="540"/>
    </row>
    <row r="25" spans="1:13" ht="12" customHeight="1" x14ac:dyDescent="0.25">
      <c r="A25" s="1227"/>
      <c r="B25" s="21" t="s">
        <v>708</v>
      </c>
      <c r="C25" s="132" t="s">
        <v>13</v>
      </c>
      <c r="D25" s="559">
        <f>VLOOKUP(D4,Calculation!$B$8:$JO$503,18,FALSE)</f>
        <v>56.18</v>
      </c>
      <c r="E25" s="171">
        <f>VLOOKUP(E4,Calculation!$B$8:$JO$503,18,FALSE)</f>
        <v>55.3</v>
      </c>
      <c r="F25" s="171">
        <f>VLOOKUP(F4,Calculation!$B$8:$JO$503,18,FALSE)</f>
        <v>57.17</v>
      </c>
      <c r="G25" s="171">
        <f>VLOOKUP(G4,Calculation!$B$8:$JO$503,18,FALSE)</f>
        <v>57.8</v>
      </c>
      <c r="H25" s="171">
        <f>VLOOKUP(H4,Calculation!$B$8:$JO$503,18,FALSE)</f>
        <v>59.099999999999994</v>
      </c>
      <c r="I25" s="171">
        <f>VLOOKUP(I4,Calculation!$B$8:$JO$503,18,FALSE)</f>
        <v>57.349999999999994</v>
      </c>
      <c r="J25" s="171">
        <f>VLOOKUP(J4,Calculation!$B$8:$JO$503,18,FALSE)</f>
        <v>57.2</v>
      </c>
      <c r="K25" s="171">
        <f>VLOOKUP(K4,Calculation!$B$8:$JO$503,18,FALSE)</f>
        <v>57.2</v>
      </c>
      <c r="L25" s="172">
        <f>VLOOKUP(L4,Calculation!$B$8:$JO$503,18,FALSE)</f>
        <v>57.099999999999994</v>
      </c>
      <c r="M25" s="540"/>
    </row>
    <row r="26" spans="1:13" ht="12" customHeight="1" x14ac:dyDescent="0.25">
      <c r="A26" s="1227"/>
      <c r="B26" s="826" t="s">
        <v>709</v>
      </c>
      <c r="C26" s="827" t="s">
        <v>13</v>
      </c>
      <c r="D26" s="828">
        <f>VLOOKUP(D4,Calculation!$B$8:$JO$503,19,FALSE)</f>
        <v>0</v>
      </c>
      <c r="E26" s="831">
        <f>VLOOKUP(E4,Calculation!$B$8:$JO$503,19,FALSE)</f>
        <v>0</v>
      </c>
      <c r="F26" s="831">
        <f>VLOOKUP(F4,Calculation!$B$8:$JO$503,19,FALSE)</f>
        <v>0</v>
      </c>
      <c r="G26" s="831">
        <f>VLOOKUP(G4,Calculation!$B$8:$JO$503,19,FALSE)</f>
        <v>0</v>
      </c>
      <c r="H26" s="831">
        <f>VLOOKUP(H4,Calculation!$B$8:$JO$503,19,FALSE)</f>
        <v>0</v>
      </c>
      <c r="I26" s="831">
        <f>VLOOKUP(I4,Calculation!$B$8:$JO$503,19,FALSE)</f>
        <v>0</v>
      </c>
      <c r="J26" s="831">
        <f>VLOOKUP(J4,Calculation!$B$8:$JO$503,19,FALSE)</f>
        <v>0</v>
      </c>
      <c r="K26" s="831">
        <f>VLOOKUP(K4,Calculation!$B$8:$JO$503,19,FALSE)</f>
        <v>0</v>
      </c>
      <c r="L26" s="603">
        <f>VLOOKUP(L4,Calculation!$B$8:$JO$503,19,FALSE)</f>
        <v>0</v>
      </c>
      <c r="M26" s="540"/>
    </row>
    <row r="27" spans="1:13" ht="12" customHeight="1" x14ac:dyDescent="0.25">
      <c r="A27" s="1227"/>
      <c r="B27" s="129" t="s">
        <v>108</v>
      </c>
      <c r="C27" s="132" t="s">
        <v>13</v>
      </c>
      <c r="D27" s="830">
        <f>VLOOKUP(D4,Sheet1!$B$8:$HT$524,26,FALSE)</f>
        <v>25.2</v>
      </c>
      <c r="E27" s="803">
        <f>VLOOKUP(E4,Sheet1!$B$8:$HT$524,26,FALSE)</f>
        <v>25.2</v>
      </c>
      <c r="F27" s="803">
        <f>VLOOKUP(F4,Sheet1!$B$8:$HT$524,26,FALSE)</f>
        <v>25.2</v>
      </c>
      <c r="G27" s="803">
        <f>VLOOKUP(G4,Sheet1!$B$8:$HT$524,26,FALSE)</f>
        <v>25.2</v>
      </c>
      <c r="H27" s="803">
        <f>VLOOKUP(H4,Sheet1!$B$8:$HT$524,26,FALSE)</f>
        <v>25.2</v>
      </c>
      <c r="I27" s="803">
        <f>VLOOKUP(I4,Sheet1!$B$8:$HT$524,26,FALSE)</f>
        <v>25.3</v>
      </c>
      <c r="J27" s="803">
        <f>VLOOKUP(J4,Sheet1!$B$8:$HT$524,26,FALSE)</f>
        <v>25.3</v>
      </c>
      <c r="K27" s="803">
        <f>VLOOKUP(K4,Sheet1!$B$8:$HT$524,26,FALSE)</f>
        <v>25.2</v>
      </c>
      <c r="L27" s="804">
        <f>VLOOKUP(L4,Sheet1!$B$8:$HT$524,26,FALSE)</f>
        <v>25.2</v>
      </c>
      <c r="M27" s="540"/>
    </row>
    <row r="28" spans="1:13" ht="12" customHeight="1" x14ac:dyDescent="0.25">
      <c r="A28" s="1227"/>
      <c r="B28" s="129" t="s">
        <v>108</v>
      </c>
      <c r="C28" s="132" t="s">
        <v>35</v>
      </c>
      <c r="D28" s="44">
        <f>VLOOKUP(D4,Calculation!$B$8:$JO$503,30,FALSE)</f>
        <v>38.984399999999994</v>
      </c>
      <c r="E28" s="37">
        <f>VLOOKUP(E4,Calculation!$B$8:$JO$503,30,FALSE)</f>
        <v>38.984399999999994</v>
      </c>
      <c r="F28" s="37">
        <f>VLOOKUP(F4,Calculation!$B$8:$JO$503,30,FALSE)</f>
        <v>38.984399999999994</v>
      </c>
      <c r="G28" s="37">
        <f>VLOOKUP(G4,Calculation!$B$8:$JO$503,30,FALSE)</f>
        <v>38.984399999999994</v>
      </c>
      <c r="H28" s="37">
        <f>VLOOKUP(H4,Calculation!$B$8:$JO$503,30,FALSE)</f>
        <v>38.984399999999994</v>
      </c>
      <c r="I28" s="37">
        <f>VLOOKUP(I4,Calculation!$B$8:$JO$503,30,FALSE)</f>
        <v>39.139099999999999</v>
      </c>
      <c r="J28" s="37">
        <f>VLOOKUP(J4,Calculation!$B$8:$JO$503,30,FALSE)</f>
        <v>39.139099999999999</v>
      </c>
      <c r="K28" s="37">
        <f>VLOOKUP(K4,Calculation!$B$8:$JO$503,30,FALSE)</f>
        <v>38.984399999999994</v>
      </c>
      <c r="L28" s="39">
        <f>VLOOKUP(L4,Calculation!$B$8:$JO$503,30,FALSE)</f>
        <v>38.984399999999994</v>
      </c>
      <c r="M28" s="540"/>
    </row>
    <row r="29" spans="1:13" ht="12" customHeight="1" x14ac:dyDescent="0.25">
      <c r="A29" s="1227"/>
      <c r="B29" s="129" t="s">
        <v>109</v>
      </c>
      <c r="C29" s="132" t="s">
        <v>13</v>
      </c>
      <c r="D29" s="44">
        <f>VLOOKUP(D4,Sheet1!$B$8:$HT$524,27,FALSE)</f>
        <v>30.98</v>
      </c>
      <c r="E29" s="37">
        <f>VLOOKUP(E4,Sheet1!$B$8:$HT$524,27,FALSE)</f>
        <v>30.1</v>
      </c>
      <c r="F29" s="37">
        <f>VLOOKUP(F4,Sheet1!$B$8:$HT$524,27,FALSE)</f>
        <v>31.97</v>
      </c>
      <c r="G29" s="37">
        <f>VLOOKUP(G4,Sheet1!$B$8:$HT$524,27,FALSE)</f>
        <v>32.6</v>
      </c>
      <c r="H29" s="37">
        <f>VLOOKUP(H4,Sheet1!$B$8:$HT$524,27,FALSE)</f>
        <v>33.9</v>
      </c>
      <c r="I29" s="37">
        <f>VLOOKUP(I4,Sheet1!$B$8:$HT$524,27,FALSE)</f>
        <v>32.049999999999997</v>
      </c>
      <c r="J29" s="37">
        <f>VLOOKUP(J4,Sheet1!$B$8:$HT$524,27,FALSE)</f>
        <v>31.9</v>
      </c>
      <c r="K29" s="37">
        <f>VLOOKUP(K4,Sheet1!$B$8:$HT$524,27,FALSE)</f>
        <v>32</v>
      </c>
      <c r="L29" s="603">
        <f>VLOOKUP(L4,Sheet1!$B$8:$HT$524,27,FALSE)</f>
        <v>31.9</v>
      </c>
      <c r="M29" s="540"/>
    </row>
    <row r="30" spans="1:13" ht="12" customHeight="1" x14ac:dyDescent="0.25">
      <c r="A30" s="1227"/>
      <c r="B30" s="129" t="s">
        <v>109</v>
      </c>
      <c r="C30" s="132" t="s">
        <v>35</v>
      </c>
      <c r="D30" s="44">
        <f>VLOOKUP(D4,Calculation!$B$8:$JO$503,31,FALSE)</f>
        <v>47.92606</v>
      </c>
      <c r="E30" s="37">
        <f>VLOOKUP(E4,Calculation!$B$8:$JO$503,31,FALSE)</f>
        <v>46.564700000000002</v>
      </c>
      <c r="F30" s="37">
        <f>VLOOKUP(F4,Calculation!$B$8:$JO$503,31,FALSE)</f>
        <v>49.457589999999996</v>
      </c>
      <c r="G30" s="37">
        <f>VLOOKUP(G4,Calculation!$B$8:$JO$503,31,FALSE)</f>
        <v>50.432200000000002</v>
      </c>
      <c r="H30" s="37">
        <f>VLOOKUP(H4,Calculation!$B$8:$JO$503,31,FALSE)</f>
        <v>52.443299999999994</v>
      </c>
      <c r="I30" s="37">
        <f>VLOOKUP(I4,Calculation!$B$8:$JO$503,31,FALSE)</f>
        <v>49.581349999999993</v>
      </c>
      <c r="J30" s="37">
        <f>VLOOKUP(J4,Calculation!$B$8:$JO$503,31,FALSE)</f>
        <v>49.349299999999992</v>
      </c>
      <c r="K30" s="37">
        <f>VLOOKUP(K4,Calculation!$B$8:$JO$503,31,FALSE)</f>
        <v>49.503999999999998</v>
      </c>
      <c r="L30" s="39">
        <f>VLOOKUP(L4,Calculation!$B$8:$JO$503,31,FALSE)</f>
        <v>49.349299999999992</v>
      </c>
      <c r="M30" s="540"/>
    </row>
    <row r="31" spans="1:13" ht="12" customHeight="1" x14ac:dyDescent="0.25">
      <c r="A31" s="1227"/>
      <c r="B31" s="129" t="s">
        <v>110</v>
      </c>
      <c r="C31" s="132" t="s">
        <v>13</v>
      </c>
      <c r="D31" s="44">
        <f>VLOOKUP(D4,Sheet1!$B$8:$HT$524,11,FALSE)</f>
        <v>0</v>
      </c>
      <c r="E31" s="37">
        <f>VLOOKUP(E4,Sheet1!$B$8:$HT$524,11,FALSE)</f>
        <v>0</v>
      </c>
      <c r="F31" s="37">
        <f>VLOOKUP(F4,Sheet1!$B$8:$HT$524,11,FALSE)</f>
        <v>0</v>
      </c>
      <c r="G31" s="37">
        <f>VLOOKUP(G4,Sheet1!$B$8:$HT$524,11,FALSE)</f>
        <v>0</v>
      </c>
      <c r="H31" s="37">
        <f>VLOOKUP(H4,Sheet1!$B$8:$HT$524,11,FALSE)</f>
        <v>0</v>
      </c>
      <c r="I31" s="37">
        <f>VLOOKUP(I4,Sheet1!$B$8:$HT$524,11,FALSE)</f>
        <v>0</v>
      </c>
      <c r="J31" s="37">
        <f>VLOOKUP(J4,Sheet1!$B$8:$HT$524,11,FALSE)</f>
        <v>13.740000000001601</v>
      </c>
      <c r="K31" s="37">
        <f>VLOOKUP(K4,Sheet1!$B$8:$HT$524,11,FALSE)</f>
        <v>34.229999999999563</v>
      </c>
      <c r="L31" s="172">
        <f>VLOOKUP(L4,Sheet1!$B$8:$HT$524,11,FALSE)</f>
        <v>27.919999999998254</v>
      </c>
      <c r="M31" s="540"/>
    </row>
    <row r="32" spans="1:13" ht="12" customHeight="1" x14ac:dyDescent="0.25">
      <c r="A32" s="1227"/>
      <c r="B32" s="129" t="s">
        <v>110</v>
      </c>
      <c r="C32" s="132" t="s">
        <v>11</v>
      </c>
      <c r="D32" s="44">
        <f>VLOOKUP(D4,Calculation!$B$8:$JO$503,32,FALSE)</f>
        <v>0</v>
      </c>
      <c r="E32" s="37">
        <f>VLOOKUP(E4,Calculation!$B$8:$JO$503,32,FALSE)</f>
        <v>0</v>
      </c>
      <c r="F32" s="37">
        <f>VLOOKUP(F4,Calculation!$B$8:$JO$503,32,FALSE)</f>
        <v>0</v>
      </c>
      <c r="G32" s="37">
        <f>VLOOKUP(G4,Calculation!$B$8:$JO$503,32,FALSE)</f>
        <v>0</v>
      </c>
      <c r="H32" s="37">
        <f>VLOOKUP(H4,Calculation!$B$8:$JO$503,32,FALSE)</f>
        <v>0</v>
      </c>
      <c r="I32" s="37">
        <f>VLOOKUP(I4,Calculation!$B$8:$JO$503,32,FALSE)</f>
        <v>0</v>
      </c>
      <c r="J32" s="37">
        <f>VLOOKUP(J4,Calculation!$B$8:$JO$503,32,FALSE)</f>
        <v>21.255780000002474</v>
      </c>
      <c r="K32" s="37">
        <f>VLOOKUP(K4,Calculation!$B$8:$JO$503,32,FALSE)</f>
        <v>52.953809999999322</v>
      </c>
      <c r="L32" s="39">
        <f>VLOOKUP(L4,Calculation!$B$8:$JO$503,32,FALSE)</f>
        <v>43.192239999997298</v>
      </c>
      <c r="M32" s="540"/>
    </row>
    <row r="33" spans="1:13" ht="12" customHeight="1" x14ac:dyDescent="0.25">
      <c r="A33" s="1227"/>
      <c r="B33" s="1042" t="s">
        <v>821</v>
      </c>
      <c r="C33" s="1043" t="s">
        <v>11</v>
      </c>
      <c r="D33" s="1168">
        <f>VLOOKUP(D4,Calculation!$B$8:$JO$503,136,FALSE)</f>
        <v>16.243500000000001</v>
      </c>
      <c r="E33" s="1169">
        <f>VLOOKUP(E4,Calculation!$B$8:$JO$503,136,FALSE)</f>
        <v>16.243500000000001</v>
      </c>
      <c r="F33" s="1169">
        <f>VLOOKUP(F4,Calculation!$B$8:$JO$503,136,FALSE)</f>
        <v>16.243500000000001</v>
      </c>
      <c r="G33" s="1169">
        <f>VLOOKUP(G4,Calculation!$B$8:$JO$503,136,FALSE)</f>
        <v>16.243500000000001</v>
      </c>
      <c r="H33" s="1169">
        <f>VLOOKUP(H4,Calculation!$B$8:$JO$503,136,FALSE)</f>
        <v>16.243500000000001</v>
      </c>
      <c r="I33" s="1169">
        <f>VLOOKUP(I4,Calculation!$B$8:$JO$503,136,FALSE)</f>
        <v>16.243500000000001</v>
      </c>
      <c r="J33" s="1169">
        <f>VLOOKUP(J4,Calculation!$B$8:$JO$503,136,FALSE)</f>
        <v>16.243500000000001</v>
      </c>
      <c r="K33" s="1169">
        <f>VLOOKUP(K4,Calculation!$B$8:$JO$503,136,FALSE)</f>
        <v>16.243500000000001</v>
      </c>
      <c r="L33" s="1170">
        <f>VLOOKUP(L4,Calculation!$B$8:$JO$503,136,FALSE)</f>
        <v>16.243500000000001</v>
      </c>
      <c r="M33" s="540"/>
    </row>
    <row r="34" spans="1:13" ht="12" customHeight="1" x14ac:dyDescent="0.25">
      <c r="A34" s="1227"/>
      <c r="B34" s="1042" t="s">
        <v>818</v>
      </c>
      <c r="C34" s="1047" t="s">
        <v>11</v>
      </c>
      <c r="D34" s="1044">
        <f>VLOOKUP(D4,Calculation!$B$8:$JO$503,51,FALSE)</f>
        <v>0</v>
      </c>
      <c r="E34" s="1045">
        <f>VLOOKUP(E4,Calculation!$B$8:$JO$503,51,FALSE)</f>
        <v>0</v>
      </c>
      <c r="F34" s="1045">
        <f>VLOOKUP(F4,Calculation!$B$8:$JO$503,51,FALSE)</f>
        <v>0</v>
      </c>
      <c r="G34" s="1045">
        <f>VLOOKUP(G4,Calculation!$B$8:$JO$503,51,FALSE)</f>
        <v>0</v>
      </c>
      <c r="H34" s="1045">
        <f>VLOOKUP(H4,Calculation!$B$8:$JO$503,51,FALSE)</f>
        <v>0</v>
      </c>
      <c r="I34" s="1045">
        <f>VLOOKUP(I4,Calculation!$B$8:$JO$503,51,FALSE)</f>
        <v>0</v>
      </c>
      <c r="J34" s="1045">
        <f>VLOOKUP(J4,Calculation!$B$8:$JO$503,51,FALSE)</f>
        <v>0</v>
      </c>
      <c r="K34" s="1045">
        <f>VLOOKUP(K4,Calculation!$B$8:$JO$503,51,FALSE)</f>
        <v>0</v>
      </c>
      <c r="L34" s="1046">
        <f>VLOOKUP(L4,Calculation!$B$8:$JO$503,51,FALSE)</f>
        <v>0</v>
      </c>
      <c r="M34" s="540"/>
    </row>
    <row r="35" spans="1:13" ht="12" customHeight="1" x14ac:dyDescent="0.25">
      <c r="A35" s="1227"/>
      <c r="B35" s="134" t="s">
        <v>36</v>
      </c>
      <c r="C35" s="135" t="s">
        <v>13</v>
      </c>
      <c r="D35" s="44">
        <f>VLOOKUP(D4,Calculation!$B$8:$JO$503,35,FALSE)</f>
        <v>0</v>
      </c>
      <c r="E35" s="37">
        <f>VLOOKUP(E4,Calculation!$B$8:$JO$503,35,FALSE)</f>
        <v>0</v>
      </c>
      <c r="F35" s="37">
        <f>VLOOKUP(F4,Calculation!$B$8:$JO$503,35,FALSE)</f>
        <v>0</v>
      </c>
      <c r="G35" s="37">
        <f>VLOOKUP(G4,Calculation!$B$8:$JO$503,35,FALSE)</f>
        <v>0</v>
      </c>
      <c r="H35" s="37">
        <f>VLOOKUP(H4,Calculation!$B$8:$JO$503,35,FALSE)</f>
        <v>0</v>
      </c>
      <c r="I35" s="37">
        <f>VLOOKUP(I4,Calculation!$B$8:$JO$503,35,FALSE)</f>
        <v>0</v>
      </c>
      <c r="J35" s="37">
        <f>VLOOKUP(J4,Calculation!$B$8:$JO$503,35,FALSE)</f>
        <v>0</v>
      </c>
      <c r="K35" s="37">
        <f>VLOOKUP(K4,Calculation!$B$8:$JO$503,35,FALSE)</f>
        <v>0</v>
      </c>
      <c r="L35" s="39">
        <f>VLOOKUP(L4,Calculation!$B$8:$JO$503,35,FALSE)</f>
        <v>0</v>
      </c>
      <c r="M35" s="540"/>
    </row>
    <row r="36" spans="1:13" ht="12" customHeight="1" x14ac:dyDescent="0.25">
      <c r="A36" s="1227"/>
      <c r="B36" s="134" t="s">
        <v>36</v>
      </c>
      <c r="C36" s="135" t="s">
        <v>11</v>
      </c>
      <c r="D36" s="44">
        <f>VLOOKUP(D4,Calculation!$B$8:$JO$503,36,FALSE)</f>
        <v>0</v>
      </c>
      <c r="E36" s="37">
        <f>VLOOKUP(E4,Calculation!$B$8:$JO$503,36,FALSE)</f>
        <v>0</v>
      </c>
      <c r="F36" s="37">
        <f>VLOOKUP(F4,Calculation!$B$8:$JO$503,36,FALSE)</f>
        <v>0</v>
      </c>
      <c r="G36" s="37">
        <f>VLOOKUP(G4,Calculation!$B$8:$JO$503,36,FALSE)</f>
        <v>0</v>
      </c>
      <c r="H36" s="37">
        <f>VLOOKUP(H4,Calculation!$B$8:$JO$503,36,FALSE)</f>
        <v>0</v>
      </c>
      <c r="I36" s="37">
        <f>VLOOKUP(I4,Calculation!$B$8:$JO$503,36,FALSE)</f>
        <v>0</v>
      </c>
      <c r="J36" s="37">
        <f>VLOOKUP(J4,Calculation!$B$8:$JO$503,36,FALSE)</f>
        <v>0</v>
      </c>
      <c r="K36" s="37">
        <f>VLOOKUP(K4,Calculation!$B$8:$JO$503,36,FALSE)</f>
        <v>0</v>
      </c>
      <c r="L36" s="39">
        <f>VLOOKUP(L4,Calculation!$B$8:$JO$503,36,FALSE)</f>
        <v>0</v>
      </c>
      <c r="M36" s="540"/>
    </row>
    <row r="37" spans="1:13" ht="12" customHeight="1" x14ac:dyDescent="0.25">
      <c r="A37" s="1227"/>
      <c r="B37" s="139" t="s">
        <v>505</v>
      </c>
      <c r="C37" s="140" t="s">
        <v>24</v>
      </c>
      <c r="D37" s="44">
        <f>VLOOKUP(D4,Calculation!$B$8:$JO$503,127,FALSE)</f>
        <v>0</v>
      </c>
      <c r="E37" s="37">
        <f>VLOOKUP(E4,Calculation!$B$8:$JO$503,127,FALSE)</f>
        <v>0</v>
      </c>
      <c r="F37" s="37">
        <f>VLOOKUP(F4,Calculation!$B$8:$JO$503,127,FALSE)</f>
        <v>0</v>
      </c>
      <c r="G37" s="37">
        <f>VLOOKUP(G4,Calculation!$B$8:$JO$503,127,FALSE)</f>
        <v>0</v>
      </c>
      <c r="H37" s="37">
        <f>VLOOKUP(H4,Calculation!$B$8:$JO$503,127,FALSE)</f>
        <v>0</v>
      </c>
      <c r="I37" s="37">
        <f>VLOOKUP(I4,Calculation!$B$8:$JO$503,127,FALSE)</f>
        <v>0</v>
      </c>
      <c r="J37" s="37">
        <f>VLOOKUP(J4,Calculation!$B$8:$JO$503,127,FALSE)</f>
        <v>0</v>
      </c>
      <c r="K37" s="37">
        <f>VLOOKUP(K4,Calculation!$B$8:$JO$503,127,FALSE)</f>
        <v>0</v>
      </c>
      <c r="L37" s="39">
        <f>VLOOKUP(L4,Calculation!$B$8:$JO$503,127,FALSE)</f>
        <v>0</v>
      </c>
      <c r="M37" s="540"/>
    </row>
    <row r="38" spans="1:13" ht="12" customHeight="1" x14ac:dyDescent="0.25">
      <c r="A38" s="1227"/>
      <c r="B38" s="139" t="s">
        <v>505</v>
      </c>
      <c r="C38" s="138" t="s">
        <v>13</v>
      </c>
      <c r="D38" s="44">
        <f>VLOOKUP(D4,Calculation!$B$8:$JO$503,126,FALSE)</f>
        <v>0</v>
      </c>
      <c r="E38" s="37">
        <f>VLOOKUP(E4,Calculation!$B$8:$JO$503,126,FALSE)</f>
        <v>0</v>
      </c>
      <c r="F38" s="37">
        <f>VLOOKUP(F4,Calculation!$B$8:$JO$503,126,FALSE)</f>
        <v>0</v>
      </c>
      <c r="G38" s="37">
        <f>VLOOKUP(G4,Calculation!$B$8:$JO$503,126,FALSE)</f>
        <v>0</v>
      </c>
      <c r="H38" s="37">
        <f>VLOOKUP(H4,Calculation!$B$8:$JO$503,126,FALSE)</f>
        <v>0</v>
      </c>
      <c r="I38" s="37">
        <f>VLOOKUP(I4,Calculation!$B$8:$JO$503,126,FALSE)</f>
        <v>0</v>
      </c>
      <c r="J38" s="37">
        <f>VLOOKUP(J4,Calculation!$B$8:$JO$503,126,FALSE)</f>
        <v>0</v>
      </c>
      <c r="K38" s="37">
        <f>VLOOKUP(K4,Calculation!$B$8:$JO$503,126,FALSE)</f>
        <v>0</v>
      </c>
      <c r="L38" s="39">
        <f>VLOOKUP(L4,Calculation!$B$8:$JO$503,126,FALSE)</f>
        <v>0</v>
      </c>
      <c r="M38" s="540"/>
    </row>
    <row r="39" spans="1:13" ht="12" customHeight="1" x14ac:dyDescent="0.25">
      <c r="A39" s="1227"/>
      <c r="B39" s="1048" t="s">
        <v>37</v>
      </c>
      <c r="C39" s="1047" t="s">
        <v>24</v>
      </c>
      <c r="D39" s="1044">
        <f>VLOOKUP(D4,Calculation!$B$8:$JO$503,40,FALSE)</f>
        <v>0</v>
      </c>
      <c r="E39" s="1045">
        <f>VLOOKUP(E4,Calculation!$B$8:$JO$503,40,FALSE)</f>
        <v>0</v>
      </c>
      <c r="F39" s="1045">
        <f>VLOOKUP(F4,Calculation!$B$8:$JO$503,40,FALSE)</f>
        <v>0</v>
      </c>
      <c r="G39" s="1045">
        <f>VLOOKUP(G4,Calculation!$B$8:$JO$503,40,FALSE)</f>
        <v>0</v>
      </c>
      <c r="H39" s="1045">
        <f>VLOOKUP(H4,Calculation!$B$8:$JO$503,40,FALSE)</f>
        <v>0</v>
      </c>
      <c r="I39" s="1045">
        <f>VLOOKUP(I4,Calculation!$B$8:$JO$503,40,FALSE)</f>
        <v>0</v>
      </c>
      <c r="J39" s="1045">
        <f>VLOOKUP(J4,Calculation!$B$8:$JO$503,40,FALSE)</f>
        <v>0</v>
      </c>
      <c r="K39" s="1045">
        <f>VLOOKUP(K4,Calculation!$B$8:$JO$503,40,FALSE)</f>
        <v>0</v>
      </c>
      <c r="L39" s="1046">
        <f>VLOOKUP(L4,Calculation!$B$8:$JO$503,40,FALSE)</f>
        <v>0</v>
      </c>
      <c r="M39" s="540"/>
    </row>
    <row r="40" spans="1:13" ht="12" customHeight="1" thickBot="1" x14ac:dyDescent="0.3">
      <c r="A40" s="1228"/>
      <c r="B40" s="142" t="s">
        <v>37</v>
      </c>
      <c r="C40" s="143" t="s">
        <v>13</v>
      </c>
      <c r="D40" s="45">
        <f>VLOOKUP(D4,Calculation!$B$8:$JO$503,39,FALSE)</f>
        <v>0</v>
      </c>
      <c r="E40" s="40">
        <f>VLOOKUP(E4,Calculation!$B$8:$JO$503,39,FALSE)</f>
        <v>0</v>
      </c>
      <c r="F40" s="40">
        <f>VLOOKUP(F4,Calculation!$B$8:$JO$503,39,FALSE)</f>
        <v>0</v>
      </c>
      <c r="G40" s="40">
        <f>VLOOKUP(G4,Calculation!$B$8:$JO$503,39,FALSE)</f>
        <v>0</v>
      </c>
      <c r="H40" s="40">
        <f>VLOOKUP(H4,Calculation!$B$8:$JO$503,39,FALSE)</f>
        <v>0</v>
      </c>
      <c r="I40" s="40">
        <f>VLOOKUP(I4,Calculation!$B$8:$JO$503,39,FALSE)</f>
        <v>0</v>
      </c>
      <c r="J40" s="40">
        <f>VLOOKUP(J4,Calculation!$B$8:$JO$503,39,FALSE)</f>
        <v>0</v>
      </c>
      <c r="K40" s="40">
        <f>VLOOKUP(K4,Calculation!$B$8:$JO$503,39,FALSE)</f>
        <v>0</v>
      </c>
      <c r="L40" s="41">
        <f>VLOOKUP(L4,Calculation!$B$8:$JO$503,39,FALSE)</f>
        <v>0</v>
      </c>
      <c r="M40" s="540"/>
    </row>
    <row r="41" spans="1:13" ht="12" customHeight="1" thickBot="1" x14ac:dyDescent="0.3">
      <c r="B41" s="1207" t="s">
        <v>106</v>
      </c>
      <c r="C41" s="1208"/>
      <c r="D41" s="1211"/>
      <c r="E41" s="1211"/>
      <c r="F41" s="1211"/>
      <c r="G41" s="1211"/>
      <c r="H41" s="1211"/>
      <c r="I41" s="1211"/>
      <c r="J41" s="1211"/>
      <c r="K41" s="1211"/>
      <c r="L41" s="1212"/>
      <c r="M41" s="540"/>
    </row>
    <row r="42" spans="1:13" ht="12" customHeight="1" x14ac:dyDescent="0.25">
      <c r="B42" s="127" t="s">
        <v>111</v>
      </c>
      <c r="C42" s="144" t="s">
        <v>38</v>
      </c>
      <c r="D42" s="555">
        <f>VLOOKUP(D4,Sheet1!$B$8:$HT$524,7,FALSE)</f>
        <v>2</v>
      </c>
      <c r="E42" s="556">
        <f>VLOOKUP(E4,Sheet1!$B$8:$HT$524,7,FALSE)</f>
        <v>3</v>
      </c>
      <c r="F42" s="557">
        <f>VLOOKUP(F4,Sheet1!$B$8:$HT$524,7,FALSE)</f>
        <v>3.9</v>
      </c>
      <c r="G42" s="556">
        <f>VLOOKUP(G4,Sheet1!$B$8:$HT$524,7,FALSE)</f>
        <v>2.6</v>
      </c>
      <c r="H42" s="556">
        <f>VLOOKUP(H4,Sheet1!$B$8:$HT$524,7,FALSE)</f>
        <v>2.8</v>
      </c>
      <c r="I42" s="556">
        <f>VLOOKUP(I4,Sheet1!$B$8:$HT$524,7,FALSE)</f>
        <v>4.4000000000000004</v>
      </c>
      <c r="J42" s="556">
        <f>VLOOKUP(J4,Sheet1!$B$8:$HT$524,7,FALSE)</f>
        <v>44.5</v>
      </c>
      <c r="K42" s="556">
        <f>VLOOKUP(K4,Sheet1!$B$8:$HT$524,7,FALSE)</f>
        <v>43.6</v>
      </c>
      <c r="L42" s="606">
        <f>VLOOKUP(L4,Sheet1!$B$8:$HT$524,7,FALSE)</f>
        <v>26.4</v>
      </c>
      <c r="M42" s="540"/>
    </row>
    <row r="43" spans="1:13" ht="12" customHeight="1" x14ac:dyDescent="0.25">
      <c r="B43" s="21" t="s">
        <v>872</v>
      </c>
      <c r="C43" s="145" t="s">
        <v>38</v>
      </c>
      <c r="D43" s="559">
        <f>IF(VLOOKUP(D4,Sheet1!$B$8:$HT$524,10,FALSE)="os",VLOOKUP(D4,Sheet1!$B$8:$HT$524,9,FALSE),VLOOKUP(D4,Sheet1!$B$8:$HT$524,10,FALSE))</f>
        <v>2.06</v>
      </c>
      <c r="E43" s="171">
        <f>IF(VLOOKUP(E4,Sheet1!$B$8:$HT$524,10,FALSE)="os",VLOOKUP(E4,Sheet1!$B$8:$HT$524,9,FALSE),VLOOKUP(E4,Sheet1!$B$8:$HT$524,10,FALSE))</f>
        <v>3.03</v>
      </c>
      <c r="F43" s="171">
        <f>IF(VLOOKUP(F4,Sheet1!$B$8:$HT$524,10,FALSE)="os",VLOOKUP(F4,Sheet1!$B$8:$HT$524,9,FALSE),VLOOKUP(F4,Sheet1!$B$8:$HT$524,10,FALSE))</f>
        <v>2.9</v>
      </c>
      <c r="G43" s="171">
        <f>IF(VLOOKUP(G4,Sheet1!$B$8:$HT$524,10,FALSE)="os",VLOOKUP(G4,Sheet1!$B$8:$HT$524,9,FALSE),VLOOKUP(G4,Sheet1!$B$8:$HT$524,10,FALSE))</f>
        <v>2.37</v>
      </c>
      <c r="H43" s="171">
        <f>IF(VLOOKUP(H4,Sheet1!$B$8:$HT$524,10,FALSE)="os",VLOOKUP(H4,Sheet1!$B$8:$HT$524,9,FALSE),VLOOKUP(H4,Sheet1!$B$8:$HT$524,10,FALSE))</f>
        <v>2.71</v>
      </c>
      <c r="I43" s="171">
        <f>IF(VLOOKUP(I4,Sheet1!$B$8:$HT$524,10,FALSE)="os",VLOOKUP(I4,Sheet1!$B$8:$HT$524,9,FALSE),VLOOKUP(I4,Sheet1!$B$8:$HT$524,10,FALSE))</f>
        <v>5.01</v>
      </c>
      <c r="J43" s="171">
        <f>IF(VLOOKUP(J4,Sheet1!$B$8:$HT$524,10,FALSE)="os",VLOOKUP(J4,Sheet1!$B$8:$HT$524,9,FALSE),VLOOKUP(J4,Sheet1!$B$8:$HT$524,10,FALSE))</f>
        <v>14.42</v>
      </c>
      <c r="K43" s="171">
        <f>IF(VLOOKUP(K4,Sheet1!$B$8:$HT$524,10,FALSE)="os",VLOOKUP(K4,Sheet1!$B$8:$HT$524,9,FALSE),VLOOKUP(K4,Sheet1!$B$8:$HT$524,10,FALSE))</f>
        <v>15.35</v>
      </c>
      <c r="L43" s="603">
        <f>IF(VLOOKUP(L4,Sheet1!$B$8:$HT$524,10,FALSE)="os",VLOOKUP(L4,Sheet1!$B$8:$HT$524,9,FALSE),VLOOKUP(L4,Sheet1!$B$8:$HT$524,10,FALSE))</f>
        <v>8.35</v>
      </c>
      <c r="M43" s="540"/>
    </row>
    <row r="44" spans="1:13" ht="12" customHeight="1" x14ac:dyDescent="0.25">
      <c r="B44" s="408" t="s">
        <v>510</v>
      </c>
      <c r="C44" s="145" t="s">
        <v>17</v>
      </c>
      <c r="D44" s="177">
        <f>IF(ISNUMBER(VLOOKUP(D4,Sheet1!$B$8:$HT$524,22,FALSE))=TRUE,VLOOKUP(D4,Sheet1!$B$8:$HT$524,22,FALSE),VLOOKUP(D4,Sheet1!$B$8:$HT$524,23,FALSE))</f>
        <v>39.92</v>
      </c>
      <c r="E44" s="171">
        <f>IF(ISNUMBER(VLOOKUP(E4,Sheet1!$B$8:$HT$524,22,FALSE))=TRUE,VLOOKUP(E4,Sheet1!$B$8:$HT$524,22,FALSE),VLOOKUP(E4,Sheet1!$B$8:$HT$524,23,FALSE))</f>
        <v>39.200000000000003</v>
      </c>
      <c r="F44" s="178">
        <f>IF(ISNUMBER(VLOOKUP(F4,Sheet1!$B$8:$HT$524,22,FALSE))=TRUE,VLOOKUP(F4,Sheet1!$B$8:$HT$524,22,FALSE),VLOOKUP(F4,Sheet1!$B$8:$HT$524,23,FALSE))</f>
        <v>37.22</v>
      </c>
      <c r="G44" s="171">
        <f>IF(ISNUMBER(VLOOKUP(G4,Sheet1!$B$8:$HT$524,22,FALSE))=TRUE,VLOOKUP(G4,Sheet1!$B$8:$HT$524,22,FALSE),VLOOKUP(G4,Sheet1!$B$8:$HT$524,23,FALSE))</f>
        <v>37.039999999999992</v>
      </c>
      <c r="H44" s="171">
        <f>IF(ISNUMBER(VLOOKUP(H4,Sheet1!$B$8:$HT$524,22,FALSE))=TRUE,VLOOKUP(H4,Sheet1!$B$8:$HT$524,22,FALSE),VLOOKUP(H4,Sheet1!$B$8:$HT$524,23,FALSE))</f>
        <v>37.94</v>
      </c>
      <c r="I44" s="171">
        <f>IF(ISNUMBER(VLOOKUP(I4,Sheet1!$B$8:$HT$524,22,FALSE))=TRUE,VLOOKUP(I4,Sheet1!$B$8:$HT$524,22,FALSE),VLOOKUP(I4,Sheet1!$B$8:$HT$524,23,FALSE))</f>
        <v>39.200000000000003</v>
      </c>
      <c r="J44" s="171">
        <f>IF(ISNUMBER(VLOOKUP(J4,Sheet1!$B$8:$HT$524,22,FALSE))=TRUE,VLOOKUP(J4,Sheet1!$B$8:$HT$524,22,FALSE),VLOOKUP(J4,Sheet1!$B$8:$HT$524,23,FALSE))</f>
        <v>39.92</v>
      </c>
      <c r="K44" s="171">
        <f>IF(ISNUMBER(VLOOKUP(K4,Sheet1!$B$8:$HT$524,22,FALSE))=TRUE,VLOOKUP(K4,Sheet1!$B$8:$HT$524,22,FALSE),VLOOKUP(K4,Sheet1!$B$8:$HT$524,23,FALSE))</f>
        <v>43.519999999999996</v>
      </c>
      <c r="L44" s="603">
        <f>IF(ISNUMBER(VLOOKUP(L4,Sheet1!$B$8:$HT$524,22,FALSE))=TRUE,VLOOKUP(L4,Sheet1!$B$8:$HT$524,22,FALSE),VLOOKUP(L4,Sheet1!$B$8:$HT$524,23,FALSE))</f>
        <v>43.7</v>
      </c>
      <c r="M44" s="540"/>
    </row>
    <row r="45" spans="1:13" ht="12" customHeight="1" x14ac:dyDescent="0.25">
      <c r="B45" s="129" t="s">
        <v>271</v>
      </c>
      <c r="C45" s="146" t="s">
        <v>14</v>
      </c>
      <c r="D45" s="559">
        <f>IF(VLOOKUP(D4,Sheet1!$B$8:$HT$524,21,FALSE)="os",VLOOKUP(D4,Sheet1!$B$8:$HT$524,20,FALSE),VLOOKUP(D4,Sheet1!$B$8:$HT$524,21,FALSE))</f>
        <v>0.74</v>
      </c>
      <c r="E45" s="171">
        <f>IF(VLOOKUP(E4,Sheet1!$B$8:$HT$524,21,FALSE)="os",VLOOKUP(E4,Sheet1!$B$8:$HT$524,20,FALSE),VLOOKUP(E4,Sheet1!$B$8:$HT$524,21,FALSE))</f>
        <v>0.72</v>
      </c>
      <c r="F45" s="171">
        <f>IF(VLOOKUP(F4,Sheet1!$B$8:$HT$524,21,FALSE)="os",VLOOKUP(F4,Sheet1!$B$8:$HT$524,20,FALSE),VLOOKUP(F4,Sheet1!$B$8:$HT$524,21,FALSE))</f>
        <v>0.73</v>
      </c>
      <c r="G45" s="171">
        <f>IF(VLOOKUP(G4,Sheet1!$B$8:$HT$524,21,FALSE)="os",VLOOKUP(G4,Sheet1!$B$8:$HT$524,20,FALSE),VLOOKUP(G4,Sheet1!$B$8:$HT$524,21,FALSE))</f>
        <v>0.77</v>
      </c>
      <c r="H45" s="171">
        <f>IF(VLOOKUP(H4,Sheet1!$B$8:$HT$524,21,FALSE)="os",VLOOKUP(H4,Sheet1!$B$8:$HT$524,20,FALSE),VLOOKUP(H4,Sheet1!$B$8:$HT$524,21,FALSE))</f>
        <v>0.77</v>
      </c>
      <c r="I45" s="171">
        <f>IF(VLOOKUP(I4,Sheet1!$B$8:$HT$524,21,FALSE)="os",VLOOKUP(I4,Sheet1!$B$8:$HT$524,20,FALSE),VLOOKUP(I4,Sheet1!$B$8:$HT$524,21,FALSE))</f>
        <v>0.76</v>
      </c>
      <c r="J45" s="171">
        <f>IF(VLOOKUP(J4,Sheet1!$B$8:$HT$524,21,FALSE)="os",VLOOKUP(J4,Sheet1!$B$8:$HT$524,20,FALSE),VLOOKUP(J4,Sheet1!$B$8:$HT$524,21,FALSE))</f>
        <v>0.64</v>
      </c>
      <c r="K45" s="171">
        <f>IF(VLOOKUP(K4,Sheet1!$B$8:$HT$524,21,FALSE)="os",VLOOKUP(K4,Sheet1!$B$8:$HT$524,20,FALSE),VLOOKUP(K4,Sheet1!$B$8:$HT$524,21,FALSE))</f>
        <v>0.7</v>
      </c>
      <c r="L45" s="603">
        <f>IF(VLOOKUP(L4,Sheet1!$B$8:$HT$524,21,FALSE)="os",VLOOKUP(L4,Sheet1!$B$8:$HT$524,20,FALSE),VLOOKUP(L4,Sheet1!$B$8:$HT$524,21,FALSE))</f>
        <v>0.71</v>
      </c>
      <c r="M45" s="540"/>
    </row>
    <row r="46" spans="1:13" ht="12" customHeight="1" x14ac:dyDescent="0.25">
      <c r="B46" s="21" t="s">
        <v>515</v>
      </c>
      <c r="C46" s="131" t="s">
        <v>14</v>
      </c>
      <c r="D46" s="177">
        <f>VLOOKUP(D4,Sheet1!$B$8:$HT$524,15,FALSE)</f>
        <v>1.24</v>
      </c>
      <c r="E46" s="171">
        <f>VLOOKUP(E4,Sheet1!$B$8:$HT$524,15,FALSE)</f>
        <v>1.29</v>
      </c>
      <c r="F46" s="178">
        <f>VLOOKUP(F4,Sheet1!$B$8:$HT$524,15,FALSE)</f>
        <v>1.28</v>
      </c>
      <c r="G46" s="171">
        <f>VLOOKUP(G4,Sheet1!$B$8:$HT$524,15,FALSE)</f>
        <v>1.27</v>
      </c>
      <c r="H46" s="171">
        <f>VLOOKUP(H4,Sheet1!$B$8:$HT$524,15,FALSE)</f>
        <v>1.25</v>
      </c>
      <c r="I46" s="171">
        <f>VLOOKUP(I4,Sheet1!$B$8:$HT$524,15,FALSE)</f>
        <v>1.25</v>
      </c>
      <c r="J46" s="171">
        <f>VLOOKUP(J4,Sheet1!$B$8:$HT$524,15,FALSE)</f>
        <v>1.24</v>
      </c>
      <c r="K46" s="171">
        <f>VLOOKUP(K4,Sheet1!$B$8:$HT$524,15,FALSE)</f>
        <v>1.28</v>
      </c>
      <c r="L46" s="603">
        <f>VLOOKUP(L4,Sheet1!$B$8:$HT$524,15,FALSE)</f>
        <v>1.27</v>
      </c>
      <c r="M46" s="540"/>
    </row>
    <row r="47" spans="1:13" ht="12" customHeight="1" x14ac:dyDescent="0.25">
      <c r="B47" s="147" t="s">
        <v>39</v>
      </c>
      <c r="C47" s="148" t="s">
        <v>40</v>
      </c>
      <c r="D47" s="559">
        <f>IF(VLOOKUP(D4,Sheet1!$B$8:$HT$524,8,FALSE)&gt;1,VLOOKUP(D4,Sheet1!$B$8:$HT$524,8,FALSE),VLOOKUP(D4,Sheet1!$B$8:$HT$524,8,FALSE)*100)</f>
        <v>11.65</v>
      </c>
      <c r="E47" s="171">
        <f>IF(VLOOKUP(E4,Sheet1!$B$8:$HT$524,8,FALSE)&gt;1,VLOOKUP(E4,Sheet1!$B$8:$HT$524,8,FALSE),VLOOKUP(E4,Sheet1!$B$8:$HT$524,8,FALSE)*100)</f>
        <v>12.6</v>
      </c>
      <c r="F47" s="171">
        <f>IF(VLOOKUP(F4,Sheet1!$B$8:$HT$524,8,FALSE)&gt;1,VLOOKUP(F4,Sheet1!$B$8:$HT$524,8,FALSE),VLOOKUP(F4,Sheet1!$B$8:$HT$524,8,FALSE)*100)</f>
        <v>14</v>
      </c>
      <c r="G47" s="171">
        <f>IF(VLOOKUP(G4,Sheet1!$B$8:$HT$524,8,FALSE)&gt;1,VLOOKUP(G4,Sheet1!$B$8:$HT$524,8,FALSE),VLOOKUP(G4,Sheet1!$B$8:$HT$524,8,FALSE)*100)</f>
        <v>13.8</v>
      </c>
      <c r="H47" s="171">
        <f>IF(VLOOKUP(H4,Sheet1!$B$8:$HT$524,8,FALSE)&gt;1,VLOOKUP(H4,Sheet1!$B$8:$HT$524,8,FALSE),VLOOKUP(H4,Sheet1!$B$8:$HT$524,8,FALSE)*100)</f>
        <v>13.9</v>
      </c>
      <c r="I47" s="171">
        <f>IF(VLOOKUP(I4,Sheet1!$B$8:$HT$524,8,FALSE)&gt;1,VLOOKUP(I4,Sheet1!$B$8:$HT$524,8,FALSE),VLOOKUP(I4,Sheet1!$B$8:$HT$524,8,FALSE)*100)</f>
        <v>15.9</v>
      </c>
      <c r="J47" s="171">
        <f>IF(VLOOKUP(J4,Sheet1!$B$8:$HT$524,8,FALSE)&gt;1,VLOOKUP(J4,Sheet1!$B$8:$HT$524,8,FALSE),VLOOKUP(J4,Sheet1!$B$8:$HT$524,8,FALSE)*100)</f>
        <v>9.6999999999999993</v>
      </c>
      <c r="K47" s="171">
        <f>IF(VLOOKUP(K4,Sheet1!$B$8:$HT$524,8,FALSE)&gt;1,VLOOKUP(K4,Sheet1!$B$8:$HT$524,8,FALSE),VLOOKUP(K4,Sheet1!$B$8:$HT$524,8,FALSE)*100)</f>
        <v>8.4</v>
      </c>
      <c r="L47" s="603">
        <f>IF(VLOOKUP(L4,Sheet1!$B$8:$HT$524,8,FALSE)&gt;1,VLOOKUP(L4,Sheet1!$B$8:$HT$524,8,FALSE),VLOOKUP(L4,Sheet1!$B$8:$HT$524,8,FALSE)*100)</f>
        <v>11.3</v>
      </c>
      <c r="M47" s="540"/>
    </row>
    <row r="48" spans="1:13" ht="12" customHeight="1" thickBot="1" x14ac:dyDescent="0.3">
      <c r="B48" s="214" t="s">
        <v>526</v>
      </c>
      <c r="C48" s="149"/>
      <c r="D48" s="560">
        <f>IF(OR(ISNUMBER(VLOOKUP(D4,Sheet1!$B$8:$HT$524,19,FALSE))=FALSE,VLOOKUP(D4,Sheet1!$B$8:$HT$524,19,FALSE)=0),VLOOKUP(D4,Sheet1!$B$8:$HT$524,18,FALSE),VLOOKUP(D4,Sheet1!$B$8:$HT$524,19,FALSE))</f>
        <v>8.32</v>
      </c>
      <c r="E48" s="561">
        <f>IF(OR(ISNUMBER(VLOOKUP(E4,Sheet1!$B$8:$HT$524,19,FALSE))=FALSE,VLOOKUP(E4,Sheet1!$B$8:$HT$524,19,FALSE)=0),VLOOKUP(E4,Sheet1!$B$8:$HT$524,18,FALSE),VLOOKUP(E4,Sheet1!$B$8:$HT$524,19,FALSE))</f>
        <v>8.2200000000000006</v>
      </c>
      <c r="F48" s="562">
        <f>IF(OR(ISNUMBER(VLOOKUP(F4,Sheet1!$B$8:$HT$524,19,FALSE))=FALSE,VLOOKUP(F4,Sheet1!$B$8:$HT$524,19,FALSE)=0),VLOOKUP(F4,Sheet1!$B$8:$HT$524,18,FALSE),VLOOKUP(F4,Sheet1!$B$8:$HT$524,19,FALSE))</f>
        <v>8.27</v>
      </c>
      <c r="G48" s="561">
        <f>IF(OR(ISNUMBER(VLOOKUP(G4,Sheet1!$B$8:$HT$524,19,FALSE))=FALSE,VLOOKUP(G4,Sheet1!$B$8:$HT$524,19,FALSE)=0),VLOOKUP(G4,Sheet1!$B$8:$HT$524,18,FALSE),VLOOKUP(G4,Sheet1!$B$8:$HT$524,19,FALSE))</f>
        <v>8.33</v>
      </c>
      <c r="H48" s="561">
        <f>IF(OR(ISNUMBER(VLOOKUP(H4,Sheet1!$B$8:$HT$524,19,FALSE))=FALSE,VLOOKUP(H4,Sheet1!$B$8:$HT$524,19,FALSE)=0),VLOOKUP(H4,Sheet1!$B$8:$HT$524,18,FALSE),VLOOKUP(H4,Sheet1!$B$8:$HT$524,19,FALSE))</f>
        <v>8.2100000000000009</v>
      </c>
      <c r="I48" s="561">
        <f>IF(OR(ISNUMBER(VLOOKUP(I4,Sheet1!$B$8:$HT$524,19,FALSE))=FALSE,VLOOKUP(I4,Sheet1!$B$8:$HT$524,19,FALSE)=0),VLOOKUP(I4,Sheet1!$B$8:$HT$524,18,FALSE),VLOOKUP(I4,Sheet1!$B$8:$HT$524,19,FALSE))</f>
        <v>8.34</v>
      </c>
      <c r="J48" s="561">
        <f>IF(OR(ISNUMBER(VLOOKUP(J4,Sheet1!$B$8:$HT$524,19,FALSE))=FALSE,VLOOKUP(J4,Sheet1!$B$8:$HT$524,19,FALSE)=0),VLOOKUP(J4,Sheet1!$B$8:$HT$524,18,FALSE),VLOOKUP(J4,Sheet1!$B$8:$HT$524,19,FALSE))</f>
        <v>8.19</v>
      </c>
      <c r="K48" s="561">
        <f>IF(OR(ISNUMBER(VLOOKUP(K4,Sheet1!$B$8:$HT$524,19,FALSE))=FALSE,VLOOKUP(K4,Sheet1!$B$8:$HT$524,19,FALSE)=0),VLOOKUP(K4,Sheet1!$B$8:$HT$524,18,FALSE),VLOOKUP(K4,Sheet1!$B$8:$HT$524,19,FALSE))</f>
        <v>8.14</v>
      </c>
      <c r="L48" s="607">
        <f>IF(OR(ISNUMBER(VLOOKUP(L4,Sheet1!$B$8:$HT$524,19,FALSE))=FALSE,VLOOKUP(L4,Sheet1!$B$8:$HT$524,19,FALSE)=0),VLOOKUP(L4,Sheet1!$B$8:$HT$524,18,FALSE),VLOOKUP(L4,Sheet1!$B$8:$HT$524,19,FALSE))</f>
        <v>8.31</v>
      </c>
      <c r="M48" s="540"/>
    </row>
    <row r="49" spans="1:13" ht="12" customHeight="1" thickBot="1" x14ac:dyDescent="0.3">
      <c r="B49" s="1207" t="s">
        <v>411</v>
      </c>
      <c r="C49" s="1208"/>
      <c r="D49" s="1209"/>
      <c r="E49" s="1209"/>
      <c r="F49" s="1209"/>
      <c r="G49" s="1209"/>
      <c r="H49" s="1209"/>
      <c r="I49" s="1209"/>
      <c r="J49" s="1209"/>
      <c r="K49" s="1209"/>
      <c r="L49" s="1210"/>
      <c r="M49" s="540"/>
    </row>
    <row r="50" spans="1:13" ht="12" customHeight="1" x14ac:dyDescent="0.25">
      <c r="A50" s="1223" t="s">
        <v>757</v>
      </c>
      <c r="B50" s="150" t="s">
        <v>507</v>
      </c>
      <c r="C50" s="140" t="s">
        <v>13</v>
      </c>
      <c r="D50" s="770">
        <f>VLOOKUP(D4,Calculation!$B$8:$JO$503,41,FALSE)</f>
        <v>20.5</v>
      </c>
      <c r="E50" s="556">
        <f>VLOOKUP(E4,Calculation!$B$8:$JO$503,41,FALSE)</f>
        <v>19.5</v>
      </c>
      <c r="F50" s="556">
        <f>VLOOKUP(F4,Calculation!$B$8:$JO$503,41,FALSE)</f>
        <v>21.5</v>
      </c>
      <c r="G50" s="556">
        <f>VLOOKUP(G4,Calculation!$B$8:$JO$503,41,FALSE)</f>
        <v>22.2</v>
      </c>
      <c r="H50" s="556">
        <f>VLOOKUP(H4,Calculation!$B$8:$JO$503,41,FALSE)</f>
        <v>23.5</v>
      </c>
      <c r="I50" s="556">
        <f>VLOOKUP(I4,Calculation!$B$8:$JO$503,41,FALSE)</f>
        <v>21.6</v>
      </c>
      <c r="J50" s="556">
        <f>VLOOKUP(J4,Calculation!$B$8:$JO$503,41,FALSE)</f>
        <v>21.5</v>
      </c>
      <c r="K50" s="556">
        <f>VLOOKUP(K4,Calculation!$B$8:$JO$503,41,FALSE)</f>
        <v>21.5</v>
      </c>
      <c r="L50" s="558">
        <f>VLOOKUP(L4,Calculation!$B$8:$JO$503,41,FALSE)</f>
        <v>21.4</v>
      </c>
      <c r="M50" s="540"/>
    </row>
    <row r="51" spans="1:13" ht="12" customHeight="1" x14ac:dyDescent="0.25">
      <c r="A51" s="1224"/>
      <c r="B51" s="150" t="s">
        <v>508</v>
      </c>
      <c r="C51" s="135" t="s">
        <v>13</v>
      </c>
      <c r="D51" s="559">
        <f>VLOOKUP(D4,Calculation!$B$8:$JO$503,42,FALSE)</f>
        <v>20.414336226293798</v>
      </c>
      <c r="E51" s="171">
        <f>VLOOKUP(E4,Calculation!$B$8:$JO$503,42,FALSE)</f>
        <v>19.409722222222221</v>
      </c>
      <c r="F51" s="171">
        <f>VLOOKUP(F4,Calculation!$B$8:$JO$503,42,FALSE)</f>
        <v>21.506727158948685</v>
      </c>
      <c r="G51" s="171">
        <f>VLOOKUP(G4,Calculation!$B$8:$JO$503,42,FALSE)</f>
        <v>22.159216166564608</v>
      </c>
      <c r="H51" s="171">
        <f>VLOOKUP(H4,Calculation!$B$8:$JO$503,42,FALSE)</f>
        <v>23.43777581641659</v>
      </c>
      <c r="I51" s="171">
        <f>VLOOKUP(I4,Calculation!$B$8:$JO$503,42,FALSE)</f>
        <v>21.579800498753119</v>
      </c>
      <c r="J51" s="171">
        <f>VLOOKUP(J4,Calculation!$B$8:$JO$503,42,FALSE)</f>
        <v>21.446216385240774</v>
      </c>
      <c r="K51" s="171">
        <f>VLOOKUP(K4,Calculation!$B$8:$JO$503,42,FALSE)</f>
        <v>21.526908635794744</v>
      </c>
      <c r="L51" s="172">
        <f>VLOOKUP(L4,Calculation!$B$8:$JO$503,42,FALSE)</f>
        <v>21.366510172143975</v>
      </c>
      <c r="M51" s="540"/>
    </row>
    <row r="52" spans="1:13" ht="12" customHeight="1" x14ac:dyDescent="0.25">
      <c r="A52" s="1224"/>
      <c r="B52" s="151" t="s">
        <v>509</v>
      </c>
      <c r="C52" s="135" t="s">
        <v>13</v>
      </c>
      <c r="D52" s="559">
        <f>VLOOKUP(D4,Calculation!$B$8:$JO$503,172,FALSE)</f>
        <v>1.6222638248847927</v>
      </c>
      <c r="E52" s="171">
        <f>VLOOKUP(E4,Calculation!$B$8:$JO$503,172,FALSE)</f>
        <v>1.6758352534562213</v>
      </c>
      <c r="F52" s="171">
        <f>VLOOKUP(F4,Calculation!$B$8:$JO$503,172,FALSE)</f>
        <v>1.6404089861751152</v>
      </c>
      <c r="G52" s="171">
        <f>VLOOKUP(G4,Calculation!$B$8:$JO$503,172,FALSE)</f>
        <v>1.5555875576036864</v>
      </c>
      <c r="H52" s="171">
        <f>VLOOKUP(H4,Calculation!$B$8:$JO$503,172,FALSE)</f>
        <v>1.4951036866359448</v>
      </c>
      <c r="I52" s="171">
        <f>VLOOKUP(I4,Calculation!$B$8:$JO$503,172,FALSE)</f>
        <v>1.5240495391705069</v>
      </c>
      <c r="J52" s="171">
        <f>VLOOKUP(J4,Calculation!$B$8:$JO$503,172,FALSE)</f>
        <v>1.571860599078341</v>
      </c>
      <c r="K52" s="171">
        <f>VLOOKUP(K4,Calculation!$B$8:$JO$503,172,FALSE)</f>
        <v>1.7154377880184333</v>
      </c>
      <c r="L52" s="172">
        <f>VLOOKUP(L4,Calculation!$B$8:$JO$503,172,FALSE)</f>
        <v>1.5493951612903225</v>
      </c>
      <c r="M52" s="540"/>
    </row>
    <row r="53" spans="1:13" ht="12" customHeight="1" x14ac:dyDescent="0.25">
      <c r="A53" s="1224"/>
      <c r="B53" s="151" t="s">
        <v>473</v>
      </c>
      <c r="C53" s="135" t="s">
        <v>13</v>
      </c>
      <c r="D53" s="559">
        <f>VLOOKUP(D4,Calculation!$B$8:$JO$503,43,FALSE)</f>
        <v>0</v>
      </c>
      <c r="E53" s="171">
        <f>VLOOKUP(E4,Calculation!$B$8:$JO$503,43,FALSE)</f>
        <v>0</v>
      </c>
      <c r="F53" s="171">
        <f>VLOOKUP(F4,Calculation!$B$8:$JO$503,43,FALSE)</f>
        <v>0</v>
      </c>
      <c r="G53" s="171">
        <f>VLOOKUP(G4,Calculation!$B$8:$JO$503,43,FALSE)</f>
        <v>0</v>
      </c>
      <c r="H53" s="171">
        <f>VLOOKUP(H4,Calculation!$B$8:$JO$503,43,FALSE)</f>
        <v>0</v>
      </c>
      <c r="I53" s="171">
        <f>VLOOKUP(I4,Calculation!$B$8:$JO$503,43,FALSE)</f>
        <v>0</v>
      </c>
      <c r="J53" s="171">
        <f>VLOOKUP(J4,Calculation!$B$8:$JO$503,43,FALSE)</f>
        <v>0</v>
      </c>
      <c r="K53" s="171">
        <f>VLOOKUP(K4,Calculation!$B$8:$JO$503,43,FALSE)</f>
        <v>0</v>
      </c>
      <c r="L53" s="172">
        <f>VLOOKUP(L4,Calculation!$B$8:$JO$503,43,FALSE)</f>
        <v>0</v>
      </c>
      <c r="M53" s="540"/>
    </row>
    <row r="54" spans="1:13" ht="12" customHeight="1" x14ac:dyDescent="0.25">
      <c r="A54" s="1224"/>
      <c r="B54" s="493" t="s">
        <v>632</v>
      </c>
      <c r="C54" s="492" t="s">
        <v>13</v>
      </c>
      <c r="D54" s="773">
        <f>VLOOKUP(D4,Sheet1!$B$8:$HT$524,52,FALSE)</f>
        <v>0</v>
      </c>
      <c r="E54" s="491">
        <f>VLOOKUP(E4,Sheet1!$B$8:$HT$524,52,FALSE)</f>
        <v>0</v>
      </c>
      <c r="F54" s="491">
        <f>VLOOKUP(F4,Sheet1!$B$8:$HT$524,52,FALSE)</f>
        <v>0</v>
      </c>
      <c r="G54" s="491">
        <f>VLOOKUP(G4,Sheet1!$B$8:$HT$524,52,FALSE)</f>
        <v>0</v>
      </c>
      <c r="H54" s="491">
        <f>VLOOKUP(H4,Sheet1!$B$8:$HT$524,52,FALSE)</f>
        <v>0</v>
      </c>
      <c r="I54" s="491">
        <f>VLOOKUP(I4,Sheet1!$B$8:$HT$524,52,FALSE)</f>
        <v>0</v>
      </c>
      <c r="J54" s="491">
        <f>VLOOKUP(J4,Sheet1!$B$8:$HT$524,52,FALSE)</f>
        <v>0</v>
      </c>
      <c r="K54" s="491">
        <f>VLOOKUP(K4,Sheet1!$B$8:$HT$524,52,FALSE)</f>
        <v>0</v>
      </c>
      <c r="L54" s="488">
        <f>VLOOKUP(L4,Sheet1!$B$8:$HT$524,52,FALSE)</f>
        <v>0</v>
      </c>
      <c r="M54" s="540"/>
    </row>
    <row r="55" spans="1:13" ht="12" customHeight="1" x14ac:dyDescent="0.25">
      <c r="A55" s="1224"/>
      <c r="B55" s="222" t="s">
        <v>648</v>
      </c>
      <c r="C55" s="135" t="s">
        <v>13</v>
      </c>
      <c r="D55" s="44">
        <f>VLOOKUP(D4,Sheet1!$B$8:$HT$524,53,FALSE)</f>
        <v>0</v>
      </c>
      <c r="E55" s="37">
        <f>VLOOKUP(E4,Sheet1!$B$8:$HT$524,53,FALSE)</f>
        <v>0</v>
      </c>
      <c r="F55" s="37">
        <f>VLOOKUP(F4,Sheet1!$B$8:$HT$524,53,FALSE)</f>
        <v>0</v>
      </c>
      <c r="G55" s="37">
        <f>VLOOKUP(G4,Sheet1!$B$8:$HT$524,53,FALSE)</f>
        <v>0</v>
      </c>
      <c r="H55" s="37">
        <f>VLOOKUP(H4,Sheet1!$B$8:$HT$524,53,FALSE)</f>
        <v>0</v>
      </c>
      <c r="I55" s="37">
        <f>VLOOKUP(I4,Sheet1!$B$8:$HT$524,53,FALSE)</f>
        <v>0</v>
      </c>
      <c r="J55" s="37">
        <f>VLOOKUP(J4,Sheet1!$B$8:$HT$524,53,FALSE)</f>
        <v>0</v>
      </c>
      <c r="K55" s="37">
        <f>VLOOKUP(K4,Sheet1!$B$8:$HT$524,53,FALSE)</f>
        <v>0</v>
      </c>
      <c r="L55" s="172">
        <f>VLOOKUP(L4,Sheet1!$B$8:$HT$524,53,FALSE)</f>
        <v>0</v>
      </c>
      <c r="M55" s="540"/>
    </row>
    <row r="56" spans="1:13" ht="12" customHeight="1" x14ac:dyDescent="0.25">
      <c r="A56" s="1224"/>
      <c r="B56" s="151" t="s">
        <v>41</v>
      </c>
      <c r="C56" s="135" t="s">
        <v>13</v>
      </c>
      <c r="D56" s="44">
        <f>VLOOKUP(D4,Calculation!$B$8:$JO$503,44,FALSE)</f>
        <v>0</v>
      </c>
      <c r="E56" s="37">
        <f>VLOOKUP(E4,Calculation!$B$8:$JO$503,44,FALSE)</f>
        <v>0</v>
      </c>
      <c r="F56" s="37">
        <f>VLOOKUP(F4,Calculation!$B$8:$JO$503,44,FALSE)</f>
        <v>0</v>
      </c>
      <c r="G56" s="37">
        <f>VLOOKUP(G4,Calculation!$B$8:$JO$503,44,FALSE)</f>
        <v>0</v>
      </c>
      <c r="H56" s="37">
        <f>VLOOKUP(H4,Calculation!$B$8:$JO$503,44,FALSE)</f>
        <v>0</v>
      </c>
      <c r="I56" s="37">
        <f>VLOOKUP(I4,Calculation!$B$8:$JO$503,44,FALSE)</f>
        <v>0</v>
      </c>
      <c r="J56" s="37">
        <f>VLOOKUP(J4,Calculation!$B$8:$JO$503,44,FALSE)</f>
        <v>0</v>
      </c>
      <c r="K56" s="37">
        <f>VLOOKUP(K4,Calculation!$B$8:$JO$503,44,FALSE)</f>
        <v>0</v>
      </c>
      <c r="L56" s="39">
        <f>VLOOKUP(L4,Calculation!$B$8:$JO$503,44,FALSE)</f>
        <v>0</v>
      </c>
      <c r="M56" s="540"/>
    </row>
    <row r="57" spans="1:13" ht="12" customHeight="1" x14ac:dyDescent="0.25">
      <c r="A57" s="1224"/>
      <c r="B57" s="921" t="s">
        <v>755</v>
      </c>
      <c r="C57" s="922" t="s">
        <v>13</v>
      </c>
      <c r="D57" s="923">
        <f>VLOOKUP(D4,Calculation!$B$8:$JO$503,45,FALSE)</f>
        <v>0</v>
      </c>
      <c r="E57" s="924">
        <f>VLOOKUP(E4,Calculation!$B$8:$JO$503,45,FALSE)</f>
        <v>0</v>
      </c>
      <c r="F57" s="924">
        <f>VLOOKUP(F4,Calculation!$B$8:$JO$503,45,FALSE)</f>
        <v>0</v>
      </c>
      <c r="G57" s="924">
        <f>VLOOKUP(G4,Calculation!$B$8:$JO$503,45,FALSE)</f>
        <v>0</v>
      </c>
      <c r="H57" s="924">
        <f>VLOOKUP(H4,Calculation!$B$8:$JO$503,45,FALSE)</f>
        <v>0</v>
      </c>
      <c r="I57" s="924">
        <f>VLOOKUP(I4,Calculation!$B$8:$JO$503,45,FALSE)</f>
        <v>0</v>
      </c>
      <c r="J57" s="924">
        <f>VLOOKUP(J4,Calculation!$B$8:$JO$503,45,FALSE)</f>
        <v>0</v>
      </c>
      <c r="K57" s="924">
        <f>VLOOKUP(K4,Calculation!$B$8:$JO$503,45,FALSE)</f>
        <v>0</v>
      </c>
      <c r="L57" s="925">
        <f>VLOOKUP(L4,Calculation!$B$8:$JO$503,45,FALSE)</f>
        <v>0</v>
      </c>
      <c r="M57" s="540"/>
    </row>
    <row r="58" spans="1:13" ht="12" customHeight="1" x14ac:dyDescent="0.25">
      <c r="A58" s="1224"/>
      <c r="B58" s="222" t="s">
        <v>626</v>
      </c>
      <c r="C58" s="135" t="s">
        <v>13</v>
      </c>
      <c r="D58" s="44">
        <f>VLOOKUP(D4,Calculation!$B$8:$JO$503,46,FALSE)</f>
        <v>0</v>
      </c>
      <c r="E58" s="37">
        <f>VLOOKUP(E4,Calculation!$B$8:$JO$503,46,FALSE)</f>
        <v>0</v>
      </c>
      <c r="F58" s="37">
        <f>VLOOKUP(F4,Calculation!$B$8:$JO$503,46,FALSE)</f>
        <v>0</v>
      </c>
      <c r="G58" s="37">
        <f>VLOOKUP(G4,Calculation!$B$8:$JO$503,46,FALSE)</f>
        <v>0</v>
      </c>
      <c r="H58" s="37">
        <f>VLOOKUP(H4,Calculation!$B$8:$JO$503,46,FALSE)</f>
        <v>0</v>
      </c>
      <c r="I58" s="37">
        <f>VLOOKUP(I4,Calculation!$B$8:$JO$503,46,FALSE)</f>
        <v>0</v>
      </c>
      <c r="J58" s="37">
        <f>VLOOKUP(J4,Calculation!$B$8:$JO$503,46,FALSE)</f>
        <v>0</v>
      </c>
      <c r="K58" s="37">
        <f>VLOOKUP(K4,Calculation!$B$8:$JO$503,46,FALSE)</f>
        <v>0</v>
      </c>
      <c r="L58" s="39">
        <f>VLOOKUP(L4,Calculation!$B$8:$JO$503,46,FALSE)</f>
        <v>0</v>
      </c>
      <c r="M58" s="540"/>
    </row>
    <row r="59" spans="1:13" ht="12" customHeight="1" x14ac:dyDescent="0.25">
      <c r="A59" s="1224"/>
      <c r="B59" s="496" t="s">
        <v>641</v>
      </c>
      <c r="C59" s="135" t="s">
        <v>13</v>
      </c>
      <c r="D59" s="44">
        <f>VLOOKUP(D4,Calculation!$B$8:$JO$503,52,FALSE)</f>
        <v>0</v>
      </c>
      <c r="E59" s="37">
        <f>VLOOKUP(E4,Calculation!$B$8:$JO$503,52,FALSE)</f>
        <v>0</v>
      </c>
      <c r="F59" s="37">
        <f>VLOOKUP(F4,Calculation!$B$8:$JO$503,52,FALSE)</f>
        <v>0</v>
      </c>
      <c r="G59" s="37">
        <f>VLOOKUP(G4,Calculation!$B$8:$JO$503,52,FALSE)</f>
        <v>0</v>
      </c>
      <c r="H59" s="37">
        <f>VLOOKUP(H4,Calculation!$B$8:$JO$503,52,FALSE)</f>
        <v>0</v>
      </c>
      <c r="I59" s="37">
        <f>VLOOKUP(I4,Calculation!$B$8:$JO$503,52,FALSE)</f>
        <v>0</v>
      </c>
      <c r="J59" s="37">
        <f>VLOOKUP(J4,Calculation!$B$8:$JO$503,52,FALSE)</f>
        <v>0</v>
      </c>
      <c r="K59" s="37">
        <f>VLOOKUP(K4,Calculation!$B$8:$JO$503,52,FALSE)</f>
        <v>0</v>
      </c>
      <c r="L59" s="39">
        <f>VLOOKUP(L4,Calculation!$B$8:$JO$503,52,FALSE)</f>
        <v>0</v>
      </c>
      <c r="M59" s="540"/>
    </row>
    <row r="60" spans="1:13" ht="12" customHeight="1" x14ac:dyDescent="0.25">
      <c r="A60" s="1224"/>
      <c r="B60" s="222" t="s">
        <v>627</v>
      </c>
      <c r="C60" s="135" t="s">
        <v>13</v>
      </c>
      <c r="D60" s="44">
        <f>VLOOKUP(D4,Calculation!$B$8:$JO$503,47,FALSE)</f>
        <v>0</v>
      </c>
      <c r="E60" s="37">
        <f>VLOOKUP(E4,Calculation!$B$8:$JO$503,47,FALSE)</f>
        <v>0</v>
      </c>
      <c r="F60" s="37">
        <f>VLOOKUP(F4,Calculation!$B$8:$JO$503,47,FALSE)</f>
        <v>0</v>
      </c>
      <c r="G60" s="37">
        <f>VLOOKUP(G4,Calculation!$B$8:$JO$503,47,FALSE)</f>
        <v>0</v>
      </c>
      <c r="H60" s="37">
        <f>VLOOKUP(H4,Calculation!$B$8:$JO$503,47,FALSE)</f>
        <v>0</v>
      </c>
      <c r="I60" s="37">
        <f>VLOOKUP(I4,Calculation!$B$8:$JO$503,47,FALSE)</f>
        <v>0</v>
      </c>
      <c r="J60" s="37">
        <f>VLOOKUP(J4,Calculation!$B$8:$JO$503,47,FALSE)</f>
        <v>0</v>
      </c>
      <c r="K60" s="37">
        <f>VLOOKUP(K4,Calculation!$B$8:$JO$503,47,FALSE)</f>
        <v>0</v>
      </c>
      <c r="L60" s="39">
        <f>VLOOKUP(L4,Calculation!$B$8:$JO$503,47,FALSE)</f>
        <v>0</v>
      </c>
      <c r="M60" s="540"/>
    </row>
    <row r="61" spans="1:13" ht="12" customHeight="1" x14ac:dyDescent="0.25">
      <c r="A61" s="1224"/>
      <c r="B61" s="222" t="s">
        <v>628</v>
      </c>
      <c r="C61" s="135" t="s">
        <v>13</v>
      </c>
      <c r="D61" s="44">
        <f>VLOOKUP(D4,Calculation!$B$8:$JO$503,122,FALSE)</f>
        <v>0</v>
      </c>
      <c r="E61" s="37">
        <f>VLOOKUP(E4,Calculation!$B$8:$JO$503,122,FALSE)</f>
        <v>0</v>
      </c>
      <c r="F61" s="37">
        <f>VLOOKUP(F4,Calculation!$B$8:$JO$503,122,FALSE)</f>
        <v>0</v>
      </c>
      <c r="G61" s="37">
        <f>VLOOKUP(G4,Calculation!$B$8:$JO$503,122,FALSE)</f>
        <v>0</v>
      </c>
      <c r="H61" s="37">
        <f>VLOOKUP(H4,Calculation!$B$8:$JO$503,122,FALSE)</f>
        <v>0</v>
      </c>
      <c r="I61" s="37">
        <f>VLOOKUP(I4,Calculation!$B$8:$JO$503,122,FALSE)</f>
        <v>0</v>
      </c>
      <c r="J61" s="37">
        <f>VLOOKUP(J4,Calculation!$B$8:$JO$503,122,FALSE)</f>
        <v>0</v>
      </c>
      <c r="K61" s="37">
        <f>VLOOKUP(K4,Calculation!$B$8:$JO$503,122,FALSE)</f>
        <v>0</v>
      </c>
      <c r="L61" s="39">
        <f>VLOOKUP(L4,Calculation!$B$8:$JO$503,122,FALSE)</f>
        <v>0</v>
      </c>
      <c r="M61" s="540"/>
    </row>
    <row r="62" spans="1:13" ht="12" customHeight="1" x14ac:dyDescent="0.25">
      <c r="A62" s="1224"/>
      <c r="B62" s="222" t="s">
        <v>628</v>
      </c>
      <c r="C62" s="135" t="s">
        <v>24</v>
      </c>
      <c r="D62" s="774">
        <f>VLOOKUP(D4,Sheet1!$B$8:$HT$524,130,FALSE)</f>
        <v>0</v>
      </c>
      <c r="E62" s="775">
        <f>VLOOKUP(E4,Sheet1!$B$8:$HT$524,130,FALSE)</f>
        <v>0</v>
      </c>
      <c r="F62" s="775">
        <f>VLOOKUP(F4,Sheet1!$B$8:$HT$524,130,FALSE)</f>
        <v>0</v>
      </c>
      <c r="G62" s="775">
        <f>VLOOKUP(G4,Sheet1!$B$8:$HT$524,130,FALSE)</f>
        <v>0</v>
      </c>
      <c r="H62" s="775">
        <f>VLOOKUP(H4,Sheet1!$B$8:$HT$524,130,FALSE)</f>
        <v>0</v>
      </c>
      <c r="I62" s="775">
        <f>VLOOKUP(I4,Sheet1!$B$8:$HT$524,130,FALSE)</f>
        <v>0</v>
      </c>
      <c r="J62" s="775">
        <f>VLOOKUP(J4,Sheet1!$B$8:$HT$524,130,FALSE)</f>
        <v>0</v>
      </c>
      <c r="K62" s="775">
        <f>VLOOKUP(K4,Sheet1!$B$8:$HT$524,130,FALSE)</f>
        <v>0</v>
      </c>
      <c r="L62" s="802">
        <f>VLOOKUP(L4,Sheet1!$B$8:$HT$524,130,FALSE)</f>
        <v>0</v>
      </c>
      <c r="M62" s="540"/>
    </row>
    <row r="63" spans="1:13" ht="12" customHeight="1" x14ac:dyDescent="0.25">
      <c r="A63" s="1224"/>
      <c r="B63" s="222" t="s">
        <v>629</v>
      </c>
      <c r="C63" s="135" t="s">
        <v>13</v>
      </c>
      <c r="D63" s="44">
        <f>VLOOKUP(D4,Calculation!$B$8:$JO$503,53,FALSE)</f>
        <v>0</v>
      </c>
      <c r="E63" s="37">
        <f>VLOOKUP(E4,Calculation!$B$8:$JO$503,53,FALSE)</f>
        <v>0</v>
      </c>
      <c r="F63" s="37">
        <f>VLOOKUP(F4,Calculation!$B$8:$JO$503,53,FALSE)</f>
        <v>0</v>
      </c>
      <c r="G63" s="37">
        <f>VLOOKUP(G4,Calculation!$B$8:$JO$503,53,FALSE)</f>
        <v>0</v>
      </c>
      <c r="H63" s="37">
        <f>VLOOKUP(H4,Calculation!$B$8:$JO$503,53,FALSE)</f>
        <v>0</v>
      </c>
      <c r="I63" s="37">
        <f>VLOOKUP(I4,Calculation!$B$8:$JO$503,53,FALSE)</f>
        <v>0</v>
      </c>
      <c r="J63" s="37">
        <f>VLOOKUP(J4,Calculation!$B$8:$JO$503,53,FALSE)</f>
        <v>0</v>
      </c>
      <c r="K63" s="37">
        <f>VLOOKUP(K4,Calculation!$B$8:$JO$503,53,FALSE)</f>
        <v>0</v>
      </c>
      <c r="L63" s="39">
        <f>VLOOKUP(L4,Calculation!$B$8:$JO$503,53,FALSE)</f>
        <v>0</v>
      </c>
      <c r="M63" s="540"/>
    </row>
    <row r="64" spans="1:13" ht="12" customHeight="1" thickBot="1" x14ac:dyDescent="0.3">
      <c r="A64" s="1225"/>
      <c r="B64" s="101" t="s">
        <v>629</v>
      </c>
      <c r="C64" s="771" t="s">
        <v>24</v>
      </c>
      <c r="D64" s="871">
        <f ca="1">VLOOKUP(D4,Calculation!$B$8:$JO$503,55,FALSE)</f>
        <v>0</v>
      </c>
      <c r="E64" s="872">
        <f ca="1">VLOOKUP(E4,Calculation!$B$8:$JO$503,55,FALSE)</f>
        <v>0</v>
      </c>
      <c r="F64" s="872">
        <f ca="1">VLOOKUP(F4,Calculation!$B$8:$JO$503,55,FALSE)</f>
        <v>0</v>
      </c>
      <c r="G64" s="872">
        <f ca="1">VLOOKUP(G4,Calculation!$B$8:$JO$503,55,FALSE)</f>
        <v>0</v>
      </c>
      <c r="H64" s="872">
        <f ca="1">VLOOKUP(H4,Calculation!$B$8:$JO$503,55,FALSE)</f>
        <v>0</v>
      </c>
      <c r="I64" s="872">
        <f ca="1">VLOOKUP(I4,Calculation!$B$8:$JO$503,55,FALSE)</f>
        <v>0</v>
      </c>
      <c r="J64" s="872">
        <f ca="1">VLOOKUP(J4,Calculation!$B$8:$JO$503,55,FALSE)</f>
        <v>0</v>
      </c>
      <c r="K64" s="872">
        <f ca="1">VLOOKUP(K4,Calculation!$B$8:$JO$503,55,FALSE)</f>
        <v>0</v>
      </c>
      <c r="L64" s="873">
        <f ca="1">VLOOKUP(L4,Calculation!$B$8:$JO$503,55,FALSE)</f>
        <v>0</v>
      </c>
      <c r="M64" s="540"/>
    </row>
    <row r="65" spans="1:13" ht="12" customHeight="1" x14ac:dyDescent="0.25">
      <c r="A65" s="1220" t="s">
        <v>758</v>
      </c>
      <c r="B65" s="141" t="s">
        <v>44</v>
      </c>
      <c r="C65" s="140" t="s">
        <v>13</v>
      </c>
      <c r="D65" s="43">
        <f>VLOOKUP(D4,Calculation!$B$8:$JO$503,62,FALSE)</f>
        <v>1.01</v>
      </c>
      <c r="E65" s="38">
        <f>VLOOKUP(E4,Calculation!$B$8:$JO$503,62,FALSE)</f>
        <v>1.02</v>
      </c>
      <c r="F65" s="38">
        <f>VLOOKUP(F4,Calculation!$B$8:$JO$503,62,FALSE)</f>
        <v>1.01</v>
      </c>
      <c r="G65" s="38">
        <f>VLOOKUP(G4,Calculation!$B$8:$JO$503,62,FALSE)</f>
        <v>1.01</v>
      </c>
      <c r="H65" s="38">
        <f>VLOOKUP(H4,Calculation!$B$8:$JO$503,62,FALSE)</f>
        <v>1.01</v>
      </c>
      <c r="I65" s="38">
        <f>VLOOKUP(I4,Calculation!$B$8:$JO$503,62,FALSE)</f>
        <v>1.02</v>
      </c>
      <c r="J65" s="38">
        <f>VLOOKUP(J4,Calculation!$B$8:$JO$503,62,FALSE)</f>
        <v>1.01</v>
      </c>
      <c r="K65" s="38">
        <f>VLOOKUP(K4,Calculation!$B$8:$JO$503,62,FALSE)</f>
        <v>1</v>
      </c>
      <c r="L65" s="777">
        <f>VLOOKUP(L4,Calculation!$B$8:$JO$503,62,FALSE)</f>
        <v>1.01</v>
      </c>
      <c r="M65" s="540"/>
    </row>
    <row r="66" spans="1:13" ht="12" customHeight="1" x14ac:dyDescent="0.25">
      <c r="A66" s="1221"/>
      <c r="B66" s="151" t="s">
        <v>45</v>
      </c>
      <c r="C66" s="135" t="s">
        <v>13</v>
      </c>
      <c r="D66" s="44">
        <f>VLOOKUP(D4,Calculation!$B$8:$JO$503,63,FALSE)</f>
        <v>1.0057794921247187</v>
      </c>
      <c r="E66" s="37">
        <f>VLOOKUP(E4,Calculation!$B$8:$JO$503,63,FALSE)</f>
        <v>1.0152777777777777</v>
      </c>
      <c r="F66" s="37">
        <f>VLOOKUP(F4,Calculation!$B$8:$JO$503,63,FALSE)</f>
        <v>1.0103160200250312</v>
      </c>
      <c r="G66" s="37">
        <f>VLOOKUP(G4,Calculation!$B$8:$JO$503,63,FALSE)</f>
        <v>1.0081445192896512</v>
      </c>
      <c r="H66" s="37">
        <f>VLOOKUP(H4,Calculation!$B$8:$JO$503,63,FALSE)</f>
        <v>1.0073256840247131</v>
      </c>
      <c r="I66" s="37">
        <f>VLOOKUP(I4,Calculation!$B$8:$JO$503,63,FALSE)</f>
        <v>1.0190461346633417</v>
      </c>
      <c r="J66" s="37">
        <f>VLOOKUP(J4,Calculation!$B$8:$JO$503,63,FALSE)</f>
        <v>1.0074734208880549</v>
      </c>
      <c r="K66" s="37">
        <f>VLOOKUP(K4,Calculation!$B$8:$JO$503,63,FALSE)</f>
        <v>1.0012515644555695</v>
      </c>
      <c r="L66" s="603">
        <f>VLOOKUP(L4,Calculation!$B$8:$JO$503,63,FALSE)</f>
        <v>1.008419405320814</v>
      </c>
      <c r="M66" s="540"/>
    </row>
    <row r="67" spans="1:13" ht="12" customHeight="1" x14ac:dyDescent="0.25">
      <c r="A67" s="1221"/>
      <c r="B67" s="151" t="s">
        <v>317</v>
      </c>
      <c r="C67" s="135" t="s">
        <v>13</v>
      </c>
      <c r="D67" s="44">
        <f>VLOOKUP(D4,Sheet1!$B$8:$HT$524,58,FALSE)</f>
        <v>0</v>
      </c>
      <c r="E67" s="37">
        <f>VLOOKUP(E4,Sheet1!$B$8:$HT$524,58,FALSE)</f>
        <v>0</v>
      </c>
      <c r="F67" s="37">
        <f>VLOOKUP(F4,Sheet1!$B$8:$HT$524,58,FALSE)</f>
        <v>0</v>
      </c>
      <c r="G67" s="37">
        <f>VLOOKUP(G4,Sheet1!$B$8:$HT$524,58,FALSE)</f>
        <v>0</v>
      </c>
      <c r="H67" s="37">
        <f>VLOOKUP(H4,Sheet1!$B$8:$HT$524,58,FALSE)</f>
        <v>0</v>
      </c>
      <c r="I67" s="37">
        <f>VLOOKUP(I4,Sheet1!$B$8:$HT$524,58,FALSE)</f>
        <v>0</v>
      </c>
      <c r="J67" s="37">
        <f>VLOOKUP(J4,Sheet1!$B$8:$HT$524,58,FALSE)</f>
        <v>0</v>
      </c>
      <c r="K67" s="37">
        <f>VLOOKUP(K4,Sheet1!$B$8:$HT$524,58,FALSE)</f>
        <v>0</v>
      </c>
      <c r="L67" s="39">
        <f>VLOOKUP(L4,Sheet1!$B$8:$HT$524,58,FALSE)</f>
        <v>0</v>
      </c>
      <c r="M67" s="540"/>
    </row>
    <row r="68" spans="1:13" ht="12" customHeight="1" x14ac:dyDescent="0.25">
      <c r="A68" s="1221"/>
      <c r="B68" s="493" t="s">
        <v>631</v>
      </c>
      <c r="C68" s="492" t="s">
        <v>13</v>
      </c>
      <c r="D68" s="773">
        <f>VLOOKUP(D4,Sheet1!$B$8:$HT$524,59,FALSE)</f>
        <v>0</v>
      </c>
      <c r="E68" s="491">
        <f>VLOOKUP(E4,Sheet1!$B$8:$HT$524,59,FALSE)</f>
        <v>0</v>
      </c>
      <c r="F68" s="491">
        <f>VLOOKUP(F4,Sheet1!$B$8:$HT$524,59,FALSE)</f>
        <v>0</v>
      </c>
      <c r="G68" s="491">
        <f>VLOOKUP(G4,Sheet1!$B$8:$HT$524,59,FALSE)</f>
        <v>0</v>
      </c>
      <c r="H68" s="491">
        <f>VLOOKUP(H4,Sheet1!$B$8:$HT$524,59,FALSE)</f>
        <v>0</v>
      </c>
      <c r="I68" s="491">
        <f>VLOOKUP(I4,Sheet1!$B$8:$HT$524,59,FALSE)</f>
        <v>0</v>
      </c>
      <c r="J68" s="491">
        <f>VLOOKUP(J4,Sheet1!$B$8:$HT$524,59,FALSE)</f>
        <v>0</v>
      </c>
      <c r="K68" s="491">
        <f>VLOOKUP(K4,Sheet1!$B$8:$HT$524,59,FALSE)</f>
        <v>0</v>
      </c>
      <c r="L68" s="488">
        <f>VLOOKUP(L4,Sheet1!$B$8:$HT$524,59,FALSE)</f>
        <v>0</v>
      </c>
      <c r="M68" s="540"/>
    </row>
    <row r="69" spans="1:13" ht="12" customHeight="1" x14ac:dyDescent="0.25">
      <c r="A69" s="1221"/>
      <c r="B69" s="151" t="s">
        <v>318</v>
      </c>
      <c r="C69" s="135" t="s">
        <v>13</v>
      </c>
      <c r="D69" s="44">
        <f>VLOOKUP(D4,Sheet1!$B$8:$HT$524,60,FALSE)</f>
        <v>1.01</v>
      </c>
      <c r="E69" s="37">
        <f>VLOOKUP(E4,Sheet1!$B$8:$HT$524,60,FALSE)</f>
        <v>1.02</v>
      </c>
      <c r="F69" s="37">
        <f>VLOOKUP(F4,Sheet1!$B$8:$HT$524,60,FALSE)</f>
        <v>1.01</v>
      </c>
      <c r="G69" s="37">
        <f>VLOOKUP(G4,Sheet1!$B$8:$HT$524,60,FALSE)</f>
        <v>1.01</v>
      </c>
      <c r="H69" s="37">
        <f>VLOOKUP(H4,Sheet1!$B$8:$HT$524,60,FALSE)</f>
        <v>1.01</v>
      </c>
      <c r="I69" s="37">
        <f>VLOOKUP(I4,Sheet1!$B$8:$HT$524,60,FALSE)</f>
        <v>1.02</v>
      </c>
      <c r="J69" s="37">
        <f>VLOOKUP(J4,Sheet1!$B$8:$HT$524,60,FALSE)</f>
        <v>1.01</v>
      </c>
      <c r="K69" s="37">
        <f>VLOOKUP(K4,Sheet1!$B$8:$HT$524,60,FALSE)</f>
        <v>1</v>
      </c>
      <c r="L69" s="39">
        <f>VLOOKUP(L4,Sheet1!$B$8:$HT$524,60,FALSE)</f>
        <v>1.01</v>
      </c>
      <c r="M69" s="540"/>
    </row>
    <row r="70" spans="1:13" ht="12" customHeight="1" x14ac:dyDescent="0.25">
      <c r="A70" s="1221"/>
      <c r="B70" s="222" t="s">
        <v>891</v>
      </c>
      <c r="C70" s="135" t="s">
        <v>13</v>
      </c>
      <c r="D70" s="44">
        <f>VLOOKUP(D4,Calculation!$B$8:$JO$503,64,FALSE)</f>
        <v>0</v>
      </c>
      <c r="E70" s="37">
        <f>VLOOKUP(E4,Calculation!$B$8:$JO$503,64,FALSE)</f>
        <v>0</v>
      </c>
      <c r="F70" s="37">
        <f>VLOOKUP(F4,Calculation!$B$8:$JO$503,64,FALSE)</f>
        <v>0</v>
      </c>
      <c r="G70" s="37">
        <f>VLOOKUP(G4,Calculation!$B$8:$JO$503,64,FALSE)</f>
        <v>0</v>
      </c>
      <c r="H70" s="37">
        <f>VLOOKUP(H4,Calculation!$B$8:$JO$503,64,FALSE)</f>
        <v>0</v>
      </c>
      <c r="I70" s="37">
        <f>VLOOKUP(I4,Calculation!$B$8:$JO$503,64,FALSE)</f>
        <v>0</v>
      </c>
      <c r="J70" s="37">
        <f>VLOOKUP(J4,Calculation!$B$8:$JO$503,64,FALSE)</f>
        <v>0</v>
      </c>
      <c r="K70" s="37">
        <f>VLOOKUP(K4,Calculation!$B$8:$JO$503,64,FALSE)</f>
        <v>0</v>
      </c>
      <c r="L70" s="39">
        <f>VLOOKUP(L4,Calculation!$B$8:$JO$503,64,FALSE)</f>
        <v>0</v>
      </c>
      <c r="M70" s="540"/>
    </row>
    <row r="71" spans="1:13" ht="12" customHeight="1" x14ac:dyDescent="0.25">
      <c r="A71" s="1221"/>
      <c r="B71" s="222" t="s">
        <v>522</v>
      </c>
      <c r="C71" s="135" t="s">
        <v>13</v>
      </c>
      <c r="D71" s="44">
        <f>VLOOKUP(D4,Calculation!$B$8:$JO$503,67,FALSE)</f>
        <v>1.0057794921247187</v>
      </c>
      <c r="E71" s="37">
        <f>VLOOKUP(E4,Calculation!$B$8:$JO$503,67,FALSE)</f>
        <v>1.0152777777777777</v>
      </c>
      <c r="F71" s="37">
        <f>VLOOKUP(F4,Calculation!$B$8:$JO$503,67,FALSE)</f>
        <v>1.0103160200250312</v>
      </c>
      <c r="G71" s="37">
        <f>VLOOKUP(G4,Calculation!$B$8:$JO$503,67,FALSE)</f>
        <v>1.0081445192896512</v>
      </c>
      <c r="H71" s="37">
        <f>VLOOKUP(H4,Calculation!$B$8:$JO$503,67,FALSE)</f>
        <v>1.0073256840247131</v>
      </c>
      <c r="I71" s="37">
        <f>VLOOKUP(I4,Calculation!$B$8:$JO$503,67,FALSE)</f>
        <v>1.0190461346633417</v>
      </c>
      <c r="J71" s="37">
        <f>VLOOKUP(J4,Calculation!$B$8:$JO$503,67,FALSE)</f>
        <v>1.0074734208880549</v>
      </c>
      <c r="K71" s="37">
        <f>VLOOKUP(K4,Calculation!$B$8:$JO$503,67,FALSE)</f>
        <v>1.0012515644555695</v>
      </c>
      <c r="L71" s="39">
        <f>VLOOKUP(L4,Calculation!$B$8:$JO$503,67,FALSE)</f>
        <v>1.008419405320814</v>
      </c>
      <c r="M71" s="540"/>
    </row>
    <row r="72" spans="1:13" ht="12" customHeight="1" x14ac:dyDescent="0.25">
      <c r="A72" s="1221"/>
      <c r="B72" s="151" t="s">
        <v>42</v>
      </c>
      <c r="C72" s="135" t="s">
        <v>13</v>
      </c>
      <c r="D72" s="44">
        <f>VLOOKUP(D4,Calculation!$B$8:$JO$503,65,FALSE)</f>
        <v>0</v>
      </c>
      <c r="E72" s="37">
        <f>VLOOKUP(E4,Calculation!$B$8:$JO$503,65,FALSE)</f>
        <v>0</v>
      </c>
      <c r="F72" s="37">
        <f>VLOOKUP(F4,Calculation!$B$8:$JO$503,65,FALSE)</f>
        <v>0</v>
      </c>
      <c r="G72" s="37">
        <f>VLOOKUP(G4,Calculation!$B$8:$JO$503,65,FALSE)</f>
        <v>0</v>
      </c>
      <c r="H72" s="37">
        <f>VLOOKUP(H4,Calculation!$B$8:$JO$503,65,FALSE)</f>
        <v>0</v>
      </c>
      <c r="I72" s="37">
        <f>VLOOKUP(I4,Calculation!$B$8:$JO$503,65,FALSE)</f>
        <v>0</v>
      </c>
      <c r="J72" s="37">
        <f>VLOOKUP(J4,Calculation!$B$8:$JO$503,65,FALSE)</f>
        <v>0</v>
      </c>
      <c r="K72" s="37">
        <f>VLOOKUP(K4,Calculation!$B$8:$JO$503,65,FALSE)</f>
        <v>0</v>
      </c>
      <c r="L72" s="39">
        <f>VLOOKUP(L4,Calculation!$B$8:$JO$503,65,FALSE)</f>
        <v>0</v>
      </c>
      <c r="M72" s="540"/>
    </row>
    <row r="73" spans="1:13" ht="12" customHeight="1" x14ac:dyDescent="0.25">
      <c r="A73" s="1221"/>
      <c r="B73" s="151" t="s">
        <v>43</v>
      </c>
      <c r="C73" s="135" t="s">
        <v>13</v>
      </c>
      <c r="D73" s="44">
        <f>VLOOKUP(D4,Calculation!$B$8:$JO$503,66,FALSE)</f>
        <v>0</v>
      </c>
      <c r="E73" s="37">
        <f>VLOOKUP(E4,Calculation!$B$8:$JO$503,66,FALSE)</f>
        <v>0</v>
      </c>
      <c r="F73" s="37">
        <f>VLOOKUP(F4,Calculation!$B$8:$JO$503,66,FALSE)</f>
        <v>0</v>
      </c>
      <c r="G73" s="37">
        <f>VLOOKUP(G4,Calculation!$B$8:$JO$503,66,FALSE)</f>
        <v>0</v>
      </c>
      <c r="H73" s="37">
        <f>VLOOKUP(H4,Calculation!$B$8:$JO$503,66,FALSE)</f>
        <v>0</v>
      </c>
      <c r="I73" s="37">
        <f>VLOOKUP(I4,Calculation!$B$8:$JO$503,66,FALSE)</f>
        <v>0</v>
      </c>
      <c r="J73" s="37">
        <f>VLOOKUP(J4,Calculation!$B$8:$JO$503,66,FALSE)</f>
        <v>0</v>
      </c>
      <c r="K73" s="37">
        <f>VLOOKUP(K4,Calculation!$B$8:$JO$503,66,FALSE)</f>
        <v>0</v>
      </c>
      <c r="L73" s="39">
        <f>VLOOKUP(L4,Calculation!$B$8:$JO$503,66,FALSE)</f>
        <v>0</v>
      </c>
      <c r="M73" s="540"/>
    </row>
    <row r="74" spans="1:13" ht="12" customHeight="1" x14ac:dyDescent="0.25">
      <c r="A74" s="1221"/>
      <c r="B74" s="151" t="s">
        <v>217</v>
      </c>
      <c r="C74" s="135" t="s">
        <v>13</v>
      </c>
      <c r="D74" s="44">
        <f>VLOOKUP(D4,Calculation!$B$8:$JO$503,123,FALSE)</f>
        <v>0</v>
      </c>
      <c r="E74" s="37">
        <f>VLOOKUP(E4,Calculation!$B$8:$JO$503,123,FALSE)</f>
        <v>0</v>
      </c>
      <c r="F74" s="37">
        <f>VLOOKUP(F4,Calculation!$B$8:$JO$503,123,FALSE)</f>
        <v>0</v>
      </c>
      <c r="G74" s="37">
        <f>VLOOKUP(G4,Calculation!$B$8:$JO$503,123,FALSE)</f>
        <v>0</v>
      </c>
      <c r="H74" s="37">
        <f>VLOOKUP(H4,Calculation!$B$8:$JO$503,123,FALSE)</f>
        <v>0</v>
      </c>
      <c r="I74" s="37">
        <f>VLOOKUP(I4,Calculation!$B$8:$JO$503,123,FALSE)</f>
        <v>0</v>
      </c>
      <c r="J74" s="37">
        <f>VLOOKUP(J4,Calculation!$B$8:$JO$503,123,FALSE)</f>
        <v>0</v>
      </c>
      <c r="K74" s="37">
        <f>VLOOKUP(K4,Calculation!$B$8:$JO$503,123,FALSE)</f>
        <v>0</v>
      </c>
      <c r="L74" s="39">
        <f>VLOOKUP(L4,Calculation!$B$8:$JO$503,123,FALSE)</f>
        <v>0</v>
      </c>
      <c r="M74" s="540"/>
    </row>
    <row r="75" spans="1:13" ht="12" customHeight="1" x14ac:dyDescent="0.25">
      <c r="A75" s="1221"/>
      <c r="B75" s="151" t="s">
        <v>217</v>
      </c>
      <c r="C75" s="135" t="s">
        <v>24</v>
      </c>
      <c r="D75" s="44">
        <f>VLOOKUP(D4,Sheet1!$B$8:$HT$524,131,FALSE)</f>
        <v>0</v>
      </c>
      <c r="E75" s="37">
        <f>VLOOKUP(E4,Sheet1!$B$8:$HT$524,131,FALSE)</f>
        <v>0</v>
      </c>
      <c r="F75" s="37">
        <f>VLOOKUP(F4,Sheet1!$B$8:$HT$524,131,FALSE)</f>
        <v>0</v>
      </c>
      <c r="G75" s="37">
        <f>VLOOKUP(G4,Sheet1!$B$8:$HT$524,131,FALSE)</f>
        <v>0</v>
      </c>
      <c r="H75" s="37">
        <f>VLOOKUP(H4,Sheet1!$B$8:$HT$524,131,FALSE)</f>
        <v>0</v>
      </c>
      <c r="I75" s="37">
        <f>VLOOKUP(I4,Sheet1!$B$8:$HT$524,131,FALSE)</f>
        <v>0</v>
      </c>
      <c r="J75" s="37">
        <f>VLOOKUP(J4,Sheet1!$B$8:$HT$524,131,FALSE)</f>
        <v>0</v>
      </c>
      <c r="K75" s="37">
        <f>VLOOKUP(K4,Sheet1!$B$8:$HT$524,131,FALSE)</f>
        <v>0</v>
      </c>
      <c r="L75" s="39">
        <f>VLOOKUP(L4,Sheet1!$B$8:$HT$524,131,FALSE)</f>
        <v>0</v>
      </c>
      <c r="M75" s="540"/>
    </row>
    <row r="76" spans="1:13" ht="12" customHeight="1" x14ac:dyDescent="0.25">
      <c r="A76" s="1221"/>
      <c r="B76" s="151" t="s">
        <v>37</v>
      </c>
      <c r="C76" s="135" t="s">
        <v>13</v>
      </c>
      <c r="D76" s="44">
        <f>VLOOKUP(D4,Calculation!$B$8:$JO$503,72,FALSE)</f>
        <v>0</v>
      </c>
      <c r="E76" s="37">
        <f>VLOOKUP(E4,Calculation!$B$8:$JO$503,72,FALSE)</f>
        <v>0</v>
      </c>
      <c r="F76" s="37">
        <f>VLOOKUP(F4,Calculation!$B$8:$JO$503,72,FALSE)</f>
        <v>0</v>
      </c>
      <c r="G76" s="37">
        <f>VLOOKUP(G4,Calculation!$B$8:$JO$503,72,FALSE)</f>
        <v>0</v>
      </c>
      <c r="H76" s="37">
        <f>VLOOKUP(H4,Calculation!$B$8:$JO$503,72,FALSE)</f>
        <v>0</v>
      </c>
      <c r="I76" s="37">
        <f>VLOOKUP(I4,Calculation!$B$8:$JO$503,72,FALSE)</f>
        <v>0</v>
      </c>
      <c r="J76" s="37">
        <f>VLOOKUP(J4,Calculation!$B$8:$JO$503,72,FALSE)</f>
        <v>0</v>
      </c>
      <c r="K76" s="37">
        <f>VLOOKUP(K4,Calculation!$B$8:$JO$503,72,FALSE)</f>
        <v>0</v>
      </c>
      <c r="L76" s="39">
        <f>VLOOKUP(L4,Calculation!$B$8:$JO$503,72,FALSE)</f>
        <v>0</v>
      </c>
      <c r="M76" s="540"/>
    </row>
    <row r="77" spans="1:13" ht="12" customHeight="1" thickBot="1" x14ac:dyDescent="0.3">
      <c r="A77" s="1222"/>
      <c r="B77" s="101" t="s">
        <v>37</v>
      </c>
      <c r="C77" s="771" t="s">
        <v>24</v>
      </c>
      <c r="D77" s="774">
        <f ca="1">VLOOKUP(D4,Calculation!$B$8:$JO$503,74,FALSE)</f>
        <v>0</v>
      </c>
      <c r="E77" s="775">
        <f ca="1">VLOOKUP(E4,Calculation!$B$8:$JO$503,74,FALSE)</f>
        <v>0</v>
      </c>
      <c r="F77" s="775">
        <f ca="1">VLOOKUP(F4,Calculation!$B$8:$JO$503,74,FALSE)</f>
        <v>0</v>
      </c>
      <c r="G77" s="775">
        <f ca="1">VLOOKUP(G4,Calculation!$B$8:$JO$503,74,FALSE)</f>
        <v>0</v>
      </c>
      <c r="H77" s="775">
        <f ca="1">VLOOKUP(H4,Calculation!$B$8:$JO$503,74,FALSE)</f>
        <v>0</v>
      </c>
      <c r="I77" s="775">
        <f ca="1">VLOOKUP(I4,Calculation!$B$8:$JO$503,74,FALSE)</f>
        <v>0</v>
      </c>
      <c r="J77" s="775">
        <f ca="1">VLOOKUP(J4,Calculation!$B$8:$JO$503,74,FALSE)</f>
        <v>0</v>
      </c>
      <c r="K77" s="775">
        <f ca="1">VLOOKUP(K4,Calculation!$B$8:$JO$503,74,FALSE)</f>
        <v>0</v>
      </c>
      <c r="L77" s="776">
        <f ca="1">VLOOKUP(L4,Calculation!$B$8:$JO$503,74,FALSE)</f>
        <v>0</v>
      </c>
      <c r="M77" s="540"/>
    </row>
    <row r="78" spans="1:13" ht="12" customHeight="1" x14ac:dyDescent="0.25">
      <c r="A78" s="1223" t="s">
        <v>759</v>
      </c>
      <c r="B78" s="139" t="s">
        <v>46</v>
      </c>
      <c r="C78" s="140" t="s">
        <v>13</v>
      </c>
      <c r="D78" s="43">
        <f>VLOOKUP(D4,Calculation!$B$8:$JO$503,82,FALSE)</f>
        <v>2.99</v>
      </c>
      <c r="E78" s="38">
        <f>VLOOKUP(E4,Calculation!$B$8:$JO$503,82,FALSE)</f>
        <v>2.98</v>
      </c>
      <c r="F78" s="38">
        <f>VLOOKUP(F4,Calculation!$B$8:$JO$503,82,FALSE)</f>
        <v>2.99</v>
      </c>
      <c r="G78" s="38">
        <f>VLOOKUP(G4,Calculation!$B$8:$JO$503,82,FALSE)</f>
        <v>2.9800000000000004</v>
      </c>
      <c r="H78" s="38">
        <f>VLOOKUP(H4,Calculation!$B$8:$JO$503,82,FALSE)</f>
        <v>2.99</v>
      </c>
      <c r="I78" s="38">
        <f>VLOOKUP(I4,Calculation!$B$8:$JO$503,82,FALSE)</f>
        <v>2.99</v>
      </c>
      <c r="J78" s="38">
        <f>VLOOKUP(J4,Calculation!$B$8:$JO$503,82,FALSE)</f>
        <v>2.99</v>
      </c>
      <c r="K78" s="38">
        <f>VLOOKUP(K4,Calculation!$B$8:$JO$503,82,FALSE)</f>
        <v>2.99</v>
      </c>
      <c r="L78" s="777">
        <f>VLOOKUP(L4,Calculation!$B$8:$JO$503,82,FALSE)</f>
        <v>3</v>
      </c>
      <c r="M78" s="540"/>
    </row>
    <row r="79" spans="1:13" ht="12" customHeight="1" x14ac:dyDescent="0.25">
      <c r="A79" s="1224"/>
      <c r="B79" s="134" t="s">
        <v>47</v>
      </c>
      <c r="C79" s="135" t="s">
        <v>13</v>
      </c>
      <c r="D79" s="44">
        <f>VLOOKUP(D4,Calculation!$B$8:$JO$503,83,FALSE)</f>
        <v>2.9775056252009002</v>
      </c>
      <c r="E79" s="37">
        <f>VLOOKUP(E4,Calculation!$B$8:$JO$503,83,FALSE)</f>
        <v>2.9662037037037035</v>
      </c>
      <c r="F79" s="37">
        <f>VLOOKUP(F4,Calculation!$B$8:$JO$503,83,FALSE)</f>
        <v>2.9909355444305383</v>
      </c>
      <c r="G79" s="37">
        <f>VLOOKUP(G4,Calculation!$B$8:$JO$503,83,FALSE)</f>
        <v>2.9745254133496641</v>
      </c>
      <c r="H79" s="37">
        <f>VLOOKUP(H4,Calculation!$B$8:$JO$503,83,FALSE)</f>
        <v>2.9820829655781109</v>
      </c>
      <c r="I79" s="37">
        <f>VLOOKUP(I4,Calculation!$B$8:$JO$503,83,FALSE)</f>
        <v>2.9872038653366584</v>
      </c>
      <c r="J79" s="37">
        <f>VLOOKUP(J4,Calculation!$B$8:$JO$503,83,FALSE)</f>
        <v>2.9825203252032519</v>
      </c>
      <c r="K79" s="37">
        <f>VLOOKUP(K4,Calculation!$B$8:$JO$503,83,FALSE)</f>
        <v>2.9937421777221527</v>
      </c>
      <c r="L79" s="39">
        <f>VLOOKUP(L4,Calculation!$B$8:$JO$503,83,FALSE)</f>
        <v>2.995305164319249</v>
      </c>
      <c r="M79" s="540"/>
    </row>
    <row r="80" spans="1:13" ht="12" customHeight="1" x14ac:dyDescent="0.25">
      <c r="A80" s="1224"/>
      <c r="B80" s="134" t="s">
        <v>319</v>
      </c>
      <c r="C80" s="135" t="s">
        <v>13</v>
      </c>
      <c r="D80" s="44">
        <f>VLOOKUP(D4,Sheet1!$B$8:$HT$524,54,FALSE)</f>
        <v>1</v>
      </c>
      <c r="E80" s="37">
        <f>VLOOKUP(E4,Sheet1!$B$8:$HT$524,54,FALSE)</f>
        <v>0.71</v>
      </c>
      <c r="F80" s="37">
        <f>VLOOKUP(F4,Sheet1!$B$8:$HT$524,54,FALSE)</f>
        <v>0.5</v>
      </c>
      <c r="G80" s="37">
        <f>VLOOKUP(G4,Sheet1!$B$8:$HT$524,54,FALSE)</f>
        <v>0.9</v>
      </c>
      <c r="H80" s="37">
        <f>VLOOKUP(H4,Sheet1!$B$8:$HT$524,54,FALSE)</f>
        <v>0.65</v>
      </c>
      <c r="I80" s="37">
        <f>VLOOKUP(I4,Sheet1!$B$8:$HT$524,54,FALSE)</f>
        <v>0.5</v>
      </c>
      <c r="J80" s="37">
        <f>VLOOKUP(J4,Sheet1!$B$8:$HT$524,54,FALSE)</f>
        <v>0.5</v>
      </c>
      <c r="K80" s="37">
        <f>VLOOKUP(K4,Sheet1!$B$8:$HT$524,54,FALSE)</f>
        <v>0.5</v>
      </c>
      <c r="L80" s="39">
        <f>VLOOKUP(L4,Sheet1!$B$8:$HT$524,54,FALSE)</f>
        <v>0.5</v>
      </c>
      <c r="M80" s="540"/>
    </row>
    <row r="81" spans="1:13" ht="12" customHeight="1" x14ac:dyDescent="0.25">
      <c r="A81" s="1224"/>
      <c r="B81" s="134" t="s">
        <v>320</v>
      </c>
      <c r="C81" s="135" t="s">
        <v>13</v>
      </c>
      <c r="D81" s="44">
        <f>VLOOKUP(D4,Sheet1!$B$8:$HT$524,55,FALSE)</f>
        <v>1</v>
      </c>
      <c r="E81" s="37">
        <f>VLOOKUP(E4,Sheet1!$B$8:$HT$524,55,FALSE)</f>
        <v>1.28</v>
      </c>
      <c r="F81" s="37">
        <f>VLOOKUP(F4,Sheet1!$B$8:$HT$524,55,FALSE)</f>
        <v>1.5</v>
      </c>
      <c r="G81" s="37">
        <f>VLOOKUP(G4,Sheet1!$B$8:$HT$524,55,FALSE)</f>
        <v>1.0900000000000001</v>
      </c>
      <c r="H81" s="37">
        <f>VLOOKUP(H4,Sheet1!$B$8:$HT$524,55,FALSE)</f>
        <v>1.35</v>
      </c>
      <c r="I81" s="37">
        <f>VLOOKUP(I4,Sheet1!$B$8:$HT$524,55,FALSE)</f>
        <v>1.5</v>
      </c>
      <c r="J81" s="37">
        <f>VLOOKUP(J4,Sheet1!$B$8:$HT$524,55,FALSE)</f>
        <v>1.5</v>
      </c>
      <c r="K81" s="37">
        <f>VLOOKUP(K4,Sheet1!$B$8:$HT$524,55,FALSE)</f>
        <v>1.5</v>
      </c>
      <c r="L81" s="39">
        <f>VLOOKUP(L4,Sheet1!$B$8:$HT$524,55,FALSE)</f>
        <v>1.5</v>
      </c>
      <c r="M81" s="540"/>
    </row>
    <row r="82" spans="1:13" ht="12" customHeight="1" x14ac:dyDescent="0.25">
      <c r="A82" s="1224"/>
      <c r="B82" s="484" t="s">
        <v>630</v>
      </c>
      <c r="C82" s="492" t="s">
        <v>13</v>
      </c>
      <c r="D82" s="773">
        <f>VLOOKUP(D4,Sheet1!$B$8:$HT$524,56,FALSE)</f>
        <v>0</v>
      </c>
      <c r="E82" s="491">
        <f>VLOOKUP(E4,Sheet1!$B$8:$HT$524,56,FALSE)</f>
        <v>0</v>
      </c>
      <c r="F82" s="491">
        <f>VLOOKUP(F4,Sheet1!$B$8:$HT$524,56,FALSE)</f>
        <v>0</v>
      </c>
      <c r="G82" s="491">
        <f>VLOOKUP(G4,Sheet1!$B$8:$HT$524,56,FALSE)</f>
        <v>0</v>
      </c>
      <c r="H82" s="491">
        <f>VLOOKUP(H4,Sheet1!$B$8:$HT$524,56,FALSE)</f>
        <v>0</v>
      </c>
      <c r="I82" s="491">
        <f>VLOOKUP(I4,Sheet1!$B$8:$HT$524,56,FALSE)</f>
        <v>0</v>
      </c>
      <c r="J82" s="491">
        <f>VLOOKUP(J4,Sheet1!$B$8:$HT$524,56,FALSE)</f>
        <v>0</v>
      </c>
      <c r="K82" s="491">
        <f>VLOOKUP(K4,Sheet1!$B$8:$HT$524,56,FALSE)</f>
        <v>0</v>
      </c>
      <c r="L82" s="488">
        <f>VLOOKUP(L4,Sheet1!$B$8:$HT$524,56,FALSE)</f>
        <v>0</v>
      </c>
      <c r="M82" s="540"/>
    </row>
    <row r="83" spans="1:13" ht="12" customHeight="1" x14ac:dyDescent="0.25">
      <c r="A83" s="1224"/>
      <c r="B83" s="21" t="s">
        <v>650</v>
      </c>
      <c r="C83" s="135" t="s">
        <v>13</v>
      </c>
      <c r="D83" s="44">
        <f>VLOOKUP(D4,Sheet1!$B$8:$HT$524,57,FALSE)</f>
        <v>0.99</v>
      </c>
      <c r="E83" s="37">
        <f>VLOOKUP(E4,Sheet1!$B$8:$HT$524,57,FALSE)</f>
        <v>0.99</v>
      </c>
      <c r="F83" s="37">
        <f>VLOOKUP(F4,Sheet1!$B$8:$HT$524,57,FALSE)</f>
        <v>0.99</v>
      </c>
      <c r="G83" s="37">
        <f>VLOOKUP(G4,Sheet1!$B$8:$HT$524,57,FALSE)</f>
        <v>0.99</v>
      </c>
      <c r="H83" s="37">
        <f>VLOOKUP(H4,Sheet1!$B$8:$HT$524,57,FALSE)</f>
        <v>0.99</v>
      </c>
      <c r="I83" s="37">
        <f>VLOOKUP(I4,Sheet1!$B$8:$HT$524,57,FALSE)</f>
        <v>0.99</v>
      </c>
      <c r="J83" s="37">
        <f>VLOOKUP(J4,Sheet1!$B$8:$HT$524,57,FALSE)</f>
        <v>0.99</v>
      </c>
      <c r="K83" s="37">
        <f>VLOOKUP(K4,Sheet1!$B$8:$HT$524,57,FALSE)</f>
        <v>0.99</v>
      </c>
      <c r="L83" s="39">
        <f>VLOOKUP(L4,Sheet1!$B$8:$HT$524,57,FALSE)</f>
        <v>1</v>
      </c>
      <c r="M83" s="540"/>
    </row>
    <row r="84" spans="1:13" ht="12" customHeight="1" x14ac:dyDescent="0.25">
      <c r="A84" s="1224"/>
      <c r="B84" s="134" t="s">
        <v>379</v>
      </c>
      <c r="C84" s="135" t="s">
        <v>13</v>
      </c>
      <c r="D84" s="44">
        <f>VLOOKUP(D4,Calculation!$B$8:$JO$503,84,FALSE)</f>
        <v>0</v>
      </c>
      <c r="E84" s="37">
        <f>VLOOKUP(E4,Calculation!$B$8:$JO$503,84,FALSE)</f>
        <v>0</v>
      </c>
      <c r="F84" s="37">
        <f>VLOOKUP(F4,Calculation!$B$8:$JO$503,84,FALSE)</f>
        <v>0</v>
      </c>
      <c r="G84" s="37">
        <f>VLOOKUP(G4,Calculation!$B$8:$JO$503,84,FALSE)</f>
        <v>0</v>
      </c>
      <c r="H84" s="37">
        <f>VLOOKUP(H4,Calculation!$B$8:$JO$503,84,FALSE)</f>
        <v>0</v>
      </c>
      <c r="I84" s="37">
        <f>VLOOKUP(I4,Calculation!$B$8:$JO$503,84,FALSE)</f>
        <v>0</v>
      </c>
      <c r="J84" s="37">
        <f>VLOOKUP(J4,Calculation!$B$8:$JO$503,84,FALSE)</f>
        <v>0</v>
      </c>
      <c r="K84" s="37">
        <f>VLOOKUP(K4,Calculation!$B$8:$JO$503,84,FALSE)</f>
        <v>0</v>
      </c>
      <c r="L84" s="39">
        <f>VLOOKUP(L4,Calculation!$B$8:$JO$503,84,FALSE)</f>
        <v>0</v>
      </c>
      <c r="M84" s="540"/>
    </row>
    <row r="85" spans="1:13" ht="12" customHeight="1" x14ac:dyDescent="0.25">
      <c r="A85" s="1224"/>
      <c r="B85" s="222" t="s">
        <v>892</v>
      </c>
      <c r="C85" s="135" t="s">
        <v>13</v>
      </c>
      <c r="D85" s="44">
        <f>VLOOKUP(D4,Calculation!$B$8:$JO$503,85,FALSE)</f>
        <v>0</v>
      </c>
      <c r="E85" s="37">
        <f>VLOOKUP(E4,Calculation!$B$8:$JO$503,85,FALSE)</f>
        <v>0</v>
      </c>
      <c r="F85" s="37">
        <f>VLOOKUP(F4,Calculation!$B$8:$JO$503,85,FALSE)</f>
        <v>0</v>
      </c>
      <c r="G85" s="37">
        <f>VLOOKUP(G4,Calculation!$B$8:$JO$503,85,FALSE)</f>
        <v>0</v>
      </c>
      <c r="H85" s="37">
        <f>VLOOKUP(H4,Calculation!$B$8:$JO$503,85,FALSE)</f>
        <v>0</v>
      </c>
      <c r="I85" s="37">
        <f>VLOOKUP(I4,Calculation!$B$8:$JO$503,85,FALSE)</f>
        <v>0</v>
      </c>
      <c r="J85" s="37">
        <f>VLOOKUP(J4,Calculation!$B$8:$JO$503,85,FALSE)</f>
        <v>0</v>
      </c>
      <c r="K85" s="37">
        <f>VLOOKUP(K4,Calculation!$B$8:$JO$503,85,FALSE)</f>
        <v>0</v>
      </c>
      <c r="L85" s="39">
        <f>VLOOKUP(L4,Calculation!$B$8:$JO$503,85,FALSE)</f>
        <v>0</v>
      </c>
      <c r="M85" s="540"/>
    </row>
    <row r="86" spans="1:13" ht="12" customHeight="1" x14ac:dyDescent="0.25">
      <c r="A86" s="1224"/>
      <c r="B86" s="222" t="s">
        <v>521</v>
      </c>
      <c r="C86" s="135" t="s">
        <v>13</v>
      </c>
      <c r="D86" s="44">
        <f>VLOOKUP(D4,Calculation!$B$8:$JO$503,88,FALSE)</f>
        <v>2.9775056252009002</v>
      </c>
      <c r="E86" s="37">
        <f>VLOOKUP(E4,Calculation!$B$8:$JO$503,88,FALSE)</f>
        <v>2.9662037037037035</v>
      </c>
      <c r="F86" s="37">
        <f>VLOOKUP(F4,Calculation!$B$8:$JO$503,88,FALSE)</f>
        <v>2.9909355444305383</v>
      </c>
      <c r="G86" s="37">
        <f>VLOOKUP(G4,Calculation!$B$8:$JO$503,88,FALSE)</f>
        <v>2.9745254133496641</v>
      </c>
      <c r="H86" s="37">
        <f>VLOOKUP(H4,Calculation!$B$8:$JO$503,88,FALSE)</f>
        <v>2.9820829655781109</v>
      </c>
      <c r="I86" s="37">
        <f>VLOOKUP(I4,Calculation!$B$8:$JO$503,88,FALSE)</f>
        <v>2.9872038653366584</v>
      </c>
      <c r="J86" s="37">
        <f>VLOOKUP(J4,Calculation!$B$8:$JO$503,88,FALSE)</f>
        <v>2.9825203252032519</v>
      </c>
      <c r="K86" s="37">
        <f>VLOOKUP(K4,Calculation!$B$8:$JO$503,88,FALSE)</f>
        <v>2.9937421777221527</v>
      </c>
      <c r="L86" s="39">
        <f>VLOOKUP(L4,Calculation!$B$8:$JO$503,88,FALSE)</f>
        <v>2.995305164319249</v>
      </c>
      <c r="M86" s="540"/>
    </row>
    <row r="87" spans="1:13" ht="12" customHeight="1" x14ac:dyDescent="0.25">
      <c r="A87" s="1224"/>
      <c r="B87" s="151" t="s">
        <v>42</v>
      </c>
      <c r="C87" s="135" t="s">
        <v>13</v>
      </c>
      <c r="D87" s="44">
        <f>VLOOKUP(D4,Calculation!$B$8:$JO$503,86,FALSE)</f>
        <v>0</v>
      </c>
      <c r="E87" s="37">
        <f>VLOOKUP(E4,Calculation!$B$8:$JO$503,86,FALSE)</f>
        <v>0</v>
      </c>
      <c r="F87" s="37">
        <f>VLOOKUP(F4,Calculation!$B$8:$JO$503,86,FALSE)</f>
        <v>0</v>
      </c>
      <c r="G87" s="37">
        <f>VLOOKUP(G4,Calculation!$B$8:$JO$503,86,FALSE)</f>
        <v>0</v>
      </c>
      <c r="H87" s="37">
        <f>VLOOKUP(H4,Calculation!$B$8:$JO$503,86,FALSE)</f>
        <v>0</v>
      </c>
      <c r="I87" s="37">
        <f>VLOOKUP(I4,Calculation!$B$8:$JO$503,86,FALSE)</f>
        <v>0</v>
      </c>
      <c r="J87" s="37">
        <f>VLOOKUP(J4,Calculation!$B$8:$JO$503,86,FALSE)</f>
        <v>0</v>
      </c>
      <c r="K87" s="37">
        <f>VLOOKUP(K4,Calculation!$B$8:$JO$503,86,FALSE)</f>
        <v>0</v>
      </c>
      <c r="L87" s="39">
        <f>VLOOKUP(L4,Calculation!$B$8:$JO$503,86,FALSE)</f>
        <v>0</v>
      </c>
      <c r="M87" s="540"/>
    </row>
    <row r="88" spans="1:13" ht="12" customHeight="1" x14ac:dyDescent="0.25">
      <c r="A88" s="1224"/>
      <c r="B88" s="151" t="s">
        <v>43</v>
      </c>
      <c r="C88" s="135" t="s">
        <v>13</v>
      </c>
      <c r="D88" s="44">
        <f>VLOOKUP(D4,Calculation!$B$8:$JO$503,87,FALSE)</f>
        <v>0</v>
      </c>
      <c r="E88" s="37">
        <f>VLOOKUP(E4,Calculation!$B$8:$JO$503,87,FALSE)</f>
        <v>0</v>
      </c>
      <c r="F88" s="37">
        <f>VLOOKUP(F4,Calculation!$B$8:$JO$503,87,FALSE)</f>
        <v>0</v>
      </c>
      <c r="G88" s="37">
        <f>VLOOKUP(G4,Calculation!$B$8:$JO$503,87,FALSE)</f>
        <v>0</v>
      </c>
      <c r="H88" s="37">
        <f>VLOOKUP(H4,Calculation!$B$8:$JO$503,87,FALSE)</f>
        <v>0</v>
      </c>
      <c r="I88" s="37">
        <f>VLOOKUP(I4,Calculation!$B$8:$JO$503,87,FALSE)</f>
        <v>0</v>
      </c>
      <c r="J88" s="37">
        <f>VLOOKUP(J4,Calculation!$B$8:$JO$503,87,FALSE)</f>
        <v>0</v>
      </c>
      <c r="K88" s="37">
        <f>VLOOKUP(K4,Calculation!$B$8:$JO$503,87,FALSE)</f>
        <v>0</v>
      </c>
      <c r="L88" s="39">
        <f>VLOOKUP(L4,Calculation!$B$8:$JO$503,87,FALSE)</f>
        <v>0</v>
      </c>
      <c r="M88" s="540"/>
    </row>
    <row r="89" spans="1:13" ht="12" customHeight="1" x14ac:dyDescent="0.25">
      <c r="A89" s="1224"/>
      <c r="B89" s="151" t="s">
        <v>217</v>
      </c>
      <c r="C89" s="135" t="s">
        <v>13</v>
      </c>
      <c r="D89" s="44">
        <f>VLOOKUP(D4,Calculation!$B$8:$JO$503,124,FALSE)</f>
        <v>0</v>
      </c>
      <c r="E89" s="37">
        <f>VLOOKUP(E4,Calculation!$B$8:$JO$503,124,FALSE)</f>
        <v>0</v>
      </c>
      <c r="F89" s="37">
        <f>VLOOKUP(F4,Calculation!$B$8:$JO$503,124,FALSE)</f>
        <v>0</v>
      </c>
      <c r="G89" s="37">
        <f>VLOOKUP(G4,Calculation!$B$8:$JO$503,124,FALSE)</f>
        <v>0</v>
      </c>
      <c r="H89" s="37">
        <f>VLOOKUP(H4,Calculation!$B$8:$JO$503,124,FALSE)</f>
        <v>0</v>
      </c>
      <c r="I89" s="37">
        <f>VLOOKUP(I4,Calculation!$B$8:$JO$503,124,FALSE)</f>
        <v>0</v>
      </c>
      <c r="J89" s="37">
        <f>VLOOKUP(J4,Calculation!$B$8:$JO$503,124,FALSE)</f>
        <v>0</v>
      </c>
      <c r="K89" s="37">
        <f>VLOOKUP(K4,Calculation!$B$8:$JO$503,124,FALSE)</f>
        <v>0</v>
      </c>
      <c r="L89" s="39">
        <f>VLOOKUP(L4,Calculation!$B$8:$JO$503,124,FALSE)</f>
        <v>0</v>
      </c>
      <c r="M89" s="540"/>
    </row>
    <row r="90" spans="1:13" ht="12" customHeight="1" x14ac:dyDescent="0.25">
      <c r="A90" s="1224"/>
      <c r="B90" s="151" t="s">
        <v>217</v>
      </c>
      <c r="C90" s="135" t="s">
        <v>24</v>
      </c>
      <c r="D90" s="44">
        <f>VLOOKUP(D4,Sheet1!$B$8:$HT$524,132,FALSE)</f>
        <v>0</v>
      </c>
      <c r="E90" s="37">
        <f>VLOOKUP(E4,Sheet1!$B$8:$HT$524,132,FALSE)</f>
        <v>0</v>
      </c>
      <c r="F90" s="37">
        <f>VLOOKUP(F4,Sheet1!$B$8:$HT$524,132,FALSE)</f>
        <v>0</v>
      </c>
      <c r="G90" s="37">
        <f>VLOOKUP(G4,Sheet1!$B$8:$HT$524,132,FALSE)</f>
        <v>0</v>
      </c>
      <c r="H90" s="37">
        <f>VLOOKUP(H4,Sheet1!$B$8:$HT$524,132,FALSE)</f>
        <v>0</v>
      </c>
      <c r="I90" s="37">
        <f>VLOOKUP(I4,Sheet1!$B$8:$HT$524,132,FALSE)</f>
        <v>0</v>
      </c>
      <c r="J90" s="37">
        <f>VLOOKUP(J4,Sheet1!$B$8:$HT$524,132,FALSE)</f>
        <v>0</v>
      </c>
      <c r="K90" s="37">
        <f>VLOOKUP(K4,Sheet1!$B$8:$HT$524,132,FALSE)</f>
        <v>0</v>
      </c>
      <c r="L90" s="39">
        <f>VLOOKUP(L4,Sheet1!$B$8:$HT$524,132,FALSE)</f>
        <v>0</v>
      </c>
      <c r="M90" s="540"/>
    </row>
    <row r="91" spans="1:13" ht="12" customHeight="1" x14ac:dyDescent="0.25">
      <c r="A91" s="1224"/>
      <c r="B91" s="151" t="s">
        <v>37</v>
      </c>
      <c r="C91" s="135" t="s">
        <v>13</v>
      </c>
      <c r="D91" s="44">
        <f>VLOOKUP(D4,Calculation!$B$8:$JO$503,93,FALSE)</f>
        <v>0</v>
      </c>
      <c r="E91" s="37">
        <f>VLOOKUP(E4,Calculation!$B$8:$JO$503,93,FALSE)</f>
        <v>0</v>
      </c>
      <c r="F91" s="37">
        <f>VLOOKUP(F4,Calculation!$B$8:$JO$503,93,FALSE)</f>
        <v>0</v>
      </c>
      <c r="G91" s="37">
        <f>VLOOKUP(G4,Calculation!$B$8:$JO$503,93,FALSE)</f>
        <v>0</v>
      </c>
      <c r="H91" s="37">
        <f>VLOOKUP(H4,Calculation!$B$8:$JO$503,93,FALSE)</f>
        <v>0</v>
      </c>
      <c r="I91" s="37">
        <f>VLOOKUP(I4,Calculation!$B$8:$JO$503,93,FALSE)</f>
        <v>0</v>
      </c>
      <c r="J91" s="37">
        <f>VLOOKUP(J4,Calculation!$B$8:$JO$503,93,FALSE)</f>
        <v>0</v>
      </c>
      <c r="K91" s="37">
        <f>VLOOKUP(K4,Calculation!$B$8:$JO$503,93,FALSE)</f>
        <v>0</v>
      </c>
      <c r="L91" s="39">
        <f>VLOOKUP(L4,Calculation!$B$8:$JO$503,93,FALSE)</f>
        <v>0</v>
      </c>
      <c r="M91" s="540"/>
    </row>
    <row r="92" spans="1:13" ht="12" customHeight="1" thickBot="1" x14ac:dyDescent="0.3">
      <c r="A92" s="1225"/>
      <c r="B92" s="101" t="s">
        <v>37</v>
      </c>
      <c r="C92" s="771" t="s">
        <v>24</v>
      </c>
      <c r="D92" s="774">
        <f ca="1">VLOOKUP(D4,Calculation!$B$8:$JO$503,95,FALSE)</f>
        <v>0</v>
      </c>
      <c r="E92" s="775">
        <f ca="1">VLOOKUP(E4,Calculation!$B$8:$JO$503,95,FALSE)</f>
        <v>0</v>
      </c>
      <c r="F92" s="775">
        <f ca="1">VLOOKUP(F4,Calculation!$B$8:$JO$503,95,FALSE)</f>
        <v>0</v>
      </c>
      <c r="G92" s="775">
        <f ca="1">VLOOKUP(G4,Calculation!$B$8:$JO$503,95,FALSE)</f>
        <v>0</v>
      </c>
      <c r="H92" s="775">
        <f ca="1">VLOOKUP(H4,Calculation!$B$8:$JO$503,95,FALSE)</f>
        <v>0</v>
      </c>
      <c r="I92" s="775">
        <f ca="1">VLOOKUP(I4,Calculation!$B$8:$JO$503,95,FALSE)</f>
        <v>0</v>
      </c>
      <c r="J92" s="775">
        <f ca="1">VLOOKUP(J4,Calculation!$B$8:$JO$503,95,FALSE)</f>
        <v>0</v>
      </c>
      <c r="K92" s="775">
        <f ca="1">VLOOKUP(K4,Calculation!$B$8:$JO$503,95,FALSE)</f>
        <v>0</v>
      </c>
      <c r="L92" s="776">
        <f ca="1">VLOOKUP(L4,Calculation!$B$8:$JO$503,95,FALSE)</f>
        <v>0</v>
      </c>
      <c r="M92" s="540"/>
    </row>
    <row r="93" spans="1:13" ht="12" customHeight="1" x14ac:dyDescent="0.25">
      <c r="A93" s="1220" t="s">
        <v>760</v>
      </c>
      <c r="B93" s="139" t="s">
        <v>48</v>
      </c>
      <c r="C93" s="140" t="s">
        <v>13</v>
      </c>
      <c r="D93" s="43">
        <f>VLOOKUP(D4,Calculation!$B$8:$JO$503,102,FALSE)</f>
        <v>6.6099999999999994</v>
      </c>
      <c r="E93" s="38">
        <f>VLOOKUP(E4,Calculation!$B$8:$JO$503,102,FALSE)</f>
        <v>6.74</v>
      </c>
      <c r="F93" s="38">
        <f>VLOOKUP(F4,Calculation!$B$8:$JO$503,102,FALSE)</f>
        <v>6.46</v>
      </c>
      <c r="G93" s="38">
        <f>VLOOKUP(G4,Calculation!$B$8:$JO$503,102,FALSE)</f>
        <v>6.4700000000000006</v>
      </c>
      <c r="H93" s="38">
        <f>VLOOKUP(H4,Calculation!$B$8:$JO$503,102,FALSE)</f>
        <v>6.49</v>
      </c>
      <c r="I93" s="38">
        <f>VLOOKUP(I4,Calculation!$B$8:$JO$503,102,FALSE)</f>
        <v>6.4700000000000006</v>
      </c>
      <c r="J93" s="38">
        <f>VLOOKUP(J4,Calculation!$B$8:$JO$503,102,FALSE)</f>
        <v>6.48</v>
      </c>
      <c r="K93" s="38">
        <f>VLOOKUP(K4,Calculation!$B$8:$JO$503,102,FALSE)</f>
        <v>6.4700000000000006</v>
      </c>
      <c r="L93" s="777">
        <f>VLOOKUP(L4,Calculation!$B$8:$JO$503,102,FALSE)</f>
        <v>6.54</v>
      </c>
      <c r="M93" s="540"/>
    </row>
    <row r="94" spans="1:13" ht="12" customHeight="1" x14ac:dyDescent="0.25">
      <c r="A94" s="1221"/>
      <c r="B94" s="134" t="s">
        <v>49</v>
      </c>
      <c r="C94" s="135" t="s">
        <v>13</v>
      </c>
      <c r="D94" s="44">
        <f>VLOOKUP(D4,Calculation!$B$8:$JO$503,103,FALSE)</f>
        <v>6.5823786563805848</v>
      </c>
      <c r="E94" s="37">
        <f>VLOOKUP(E4,Calculation!$B$8:$JO$503,103,FALSE)</f>
        <v>6.7087962962962964</v>
      </c>
      <c r="F94" s="37">
        <f>VLOOKUP(F4,Calculation!$B$8:$JO$503,103,FALSE)</f>
        <v>6.4620212765957445</v>
      </c>
      <c r="G94" s="37">
        <f>VLOOKUP(G4,Calculation!$B$8:$JO$503,103,FALSE)</f>
        <v>6.4581139007960822</v>
      </c>
      <c r="H94" s="37">
        <f>VLOOKUP(H4,Calculation!$B$8:$JO$503,103,FALSE)</f>
        <v>6.4728155339805822</v>
      </c>
      <c r="I94" s="37">
        <f>VLOOKUP(I4,Calculation!$B$8:$JO$503,103,FALSE)</f>
        <v>6.4639495012468835</v>
      </c>
      <c r="J94" s="37">
        <f>VLOOKUP(J4,Calculation!$B$8:$JO$503,103,FALSE)</f>
        <v>6.4637898686679174</v>
      </c>
      <c r="K94" s="37">
        <f>VLOOKUP(K4,Calculation!$B$8:$JO$503,103,FALSE)</f>
        <v>6.4780976220275353</v>
      </c>
      <c r="L94" s="39">
        <f>VLOOKUP(L4,Calculation!$B$8:$JO$503,103,FALSE)</f>
        <v>6.5297652582159627</v>
      </c>
      <c r="M94" s="540"/>
    </row>
    <row r="95" spans="1:13" ht="12" customHeight="1" x14ac:dyDescent="0.25">
      <c r="A95" s="1221"/>
      <c r="B95" s="134" t="s">
        <v>321</v>
      </c>
      <c r="C95" s="135" t="s">
        <v>13</v>
      </c>
      <c r="D95" s="44">
        <f>VLOOKUP(D4,Sheet1!$B$8:$HT$524,62,FALSE)</f>
        <v>3.02</v>
      </c>
      <c r="E95" s="37">
        <f>VLOOKUP(E4,Sheet1!$B$8:$HT$524,62,FALSE)</f>
        <v>3.24</v>
      </c>
      <c r="F95" s="37">
        <f>VLOOKUP(F4,Sheet1!$B$8:$HT$524,62,FALSE)</f>
        <v>3.01</v>
      </c>
      <c r="G95" s="37">
        <f>VLOOKUP(G4,Sheet1!$B$8:$HT$524,62,FALSE)</f>
        <v>2.66</v>
      </c>
      <c r="H95" s="37">
        <f>VLOOKUP(H4,Sheet1!$B$8:$HT$524,62,FALSE)</f>
        <v>2.86</v>
      </c>
      <c r="I95" s="37">
        <f>VLOOKUP(I4,Sheet1!$B$8:$HT$524,62,FALSE)</f>
        <v>2.89</v>
      </c>
      <c r="J95" s="37">
        <f>VLOOKUP(J4,Sheet1!$B$8:$HT$524,62,FALSE)</f>
        <v>3.07</v>
      </c>
      <c r="K95" s="37">
        <f>VLOOKUP(K4,Sheet1!$B$8:$HT$524,62,FALSE)</f>
        <v>3.16</v>
      </c>
      <c r="L95" s="39">
        <f>VLOOKUP(L4,Sheet1!$B$8:$HT$524,62,FALSE)</f>
        <v>3.24</v>
      </c>
      <c r="M95" s="540"/>
    </row>
    <row r="96" spans="1:13" ht="12" customHeight="1" x14ac:dyDescent="0.25">
      <c r="A96" s="1221"/>
      <c r="B96" s="134" t="s">
        <v>322</v>
      </c>
      <c r="C96" s="135" t="s">
        <v>13</v>
      </c>
      <c r="D96" s="44">
        <f>VLOOKUP(D4,Sheet1!$B$8:$HT$524,63,FALSE)</f>
        <v>3.59</v>
      </c>
      <c r="E96" s="37">
        <f>VLOOKUP(E4,Sheet1!$B$8:$HT$524,63,FALSE)</f>
        <v>3.5</v>
      </c>
      <c r="F96" s="37">
        <f>VLOOKUP(F4,Sheet1!$B$8:$HT$524,63,FALSE)</f>
        <v>3.45</v>
      </c>
      <c r="G96" s="37">
        <f>VLOOKUP(G4,Sheet1!$B$8:$HT$524,63,FALSE)</f>
        <v>3.81</v>
      </c>
      <c r="H96" s="37">
        <f>VLOOKUP(H4,Sheet1!$B$8:$HT$524,63,FALSE)</f>
        <v>3.63</v>
      </c>
      <c r="I96" s="37">
        <f>VLOOKUP(I4,Sheet1!$B$8:$HT$524,63,FALSE)</f>
        <v>3.58</v>
      </c>
      <c r="J96" s="37">
        <f>VLOOKUP(J4,Sheet1!$B$8:$HT$524,63,FALSE)</f>
        <v>3.41</v>
      </c>
      <c r="K96" s="37">
        <f>VLOOKUP(K4,Sheet1!$B$8:$HT$524,63,FALSE)</f>
        <v>3.31</v>
      </c>
      <c r="L96" s="39">
        <f>VLOOKUP(L4,Sheet1!$B$8:$HT$524,63,FALSE)</f>
        <v>3.3</v>
      </c>
      <c r="M96" s="540"/>
    </row>
    <row r="97" spans="1:22" ht="12" customHeight="1" x14ac:dyDescent="0.25">
      <c r="A97" s="1221"/>
      <c r="B97" s="134" t="s">
        <v>323</v>
      </c>
      <c r="C97" s="135" t="s">
        <v>13</v>
      </c>
      <c r="D97" s="44">
        <f>VLOOKUP(D4,Sheet1!$B$8:$HT$524,64,FALSE)</f>
        <v>0</v>
      </c>
      <c r="E97" s="37">
        <f>VLOOKUP(E4,Sheet1!$B$8:$HT$524,64,FALSE)</f>
        <v>0</v>
      </c>
      <c r="F97" s="37">
        <f>VLOOKUP(F4,Sheet1!$B$8:$HT$524,64,FALSE)</f>
        <v>0</v>
      </c>
      <c r="G97" s="37">
        <f>VLOOKUP(G4,Sheet1!$B$8:$HT$524,64,FALSE)</f>
        <v>0</v>
      </c>
      <c r="H97" s="37">
        <f>VLOOKUP(H4,Sheet1!$B$8:$HT$524,64,FALSE)</f>
        <v>0</v>
      </c>
      <c r="I97" s="37">
        <f>VLOOKUP(I4,Sheet1!$B$8:$HT$524,64,FALSE)</f>
        <v>0</v>
      </c>
      <c r="J97" s="37">
        <f>VLOOKUP(J4,Sheet1!$B$8:$HT$524,64,FALSE)</f>
        <v>0</v>
      </c>
      <c r="K97" s="37">
        <f>VLOOKUP(K4,Sheet1!$B$8:$HT$524,64,FALSE)</f>
        <v>0</v>
      </c>
      <c r="L97" s="39">
        <f>VLOOKUP(L4,Sheet1!$B$8:$HT$524,64,FALSE)</f>
        <v>0</v>
      </c>
      <c r="M97" s="540"/>
    </row>
    <row r="98" spans="1:22" ht="12" customHeight="1" x14ac:dyDescent="0.25">
      <c r="A98" s="1221"/>
      <c r="B98" s="222" t="s">
        <v>893</v>
      </c>
      <c r="C98" s="135" t="s">
        <v>13</v>
      </c>
      <c r="D98" s="559">
        <f>VLOOKUP(D4,Calculation!$B$8:$JO$503,104,FALSE)</f>
        <v>0</v>
      </c>
      <c r="E98" s="171">
        <f>VLOOKUP(E4,Calculation!$B$8:$JO$503,104,FALSE)</f>
        <v>0</v>
      </c>
      <c r="F98" s="171">
        <f>VLOOKUP(F4,Calculation!$B$8:$JO$503,104,FALSE)</f>
        <v>0</v>
      </c>
      <c r="G98" s="171">
        <f>VLOOKUP(G4,Calculation!$B$8:$JO$503,104,FALSE)</f>
        <v>0</v>
      </c>
      <c r="H98" s="171">
        <f>VLOOKUP(H4,Calculation!$B$8:$JO$503,104,FALSE)</f>
        <v>0</v>
      </c>
      <c r="I98" s="171">
        <f>VLOOKUP(I4,Calculation!$B$8:$JO$503,104,FALSE)</f>
        <v>0</v>
      </c>
      <c r="J98" s="171">
        <f>VLOOKUP(J4,Calculation!$B$8:$JO$503,104,FALSE)</f>
        <v>0</v>
      </c>
      <c r="K98" s="171">
        <f>VLOOKUP(K4,Calculation!$B$8:$JO$503,104,FALSE)</f>
        <v>0</v>
      </c>
      <c r="L98" s="172">
        <f>VLOOKUP(L4,Calculation!$B$8:$JO$503,104,FALSE)</f>
        <v>0</v>
      </c>
      <c r="M98" s="540"/>
    </row>
    <row r="99" spans="1:22" ht="12" customHeight="1" x14ac:dyDescent="0.25">
      <c r="A99" s="1221"/>
      <c r="B99" s="222" t="s">
        <v>520</v>
      </c>
      <c r="C99" s="135" t="s">
        <v>13</v>
      </c>
      <c r="D99" s="44">
        <f>VLOOKUP(D4,Calculation!$B$8:$JO$503,107,FALSE)</f>
        <v>6.5823786563805848</v>
      </c>
      <c r="E99" s="37">
        <f>VLOOKUP(E4,Calculation!$B$8:$JO$503,107,FALSE)</f>
        <v>6.7087962962962964</v>
      </c>
      <c r="F99" s="37">
        <f>VLOOKUP(F4,Calculation!$B$8:$JO$503,107,FALSE)</f>
        <v>6.4620212765957445</v>
      </c>
      <c r="G99" s="37">
        <f>VLOOKUP(G4,Calculation!$B$8:$JO$503,107,FALSE)</f>
        <v>6.4581139007960822</v>
      </c>
      <c r="H99" s="37">
        <f>VLOOKUP(H4,Calculation!$B$8:$JO$503,107,FALSE)</f>
        <v>6.4728155339805822</v>
      </c>
      <c r="I99" s="37">
        <f>VLOOKUP(I4,Calculation!$B$8:$JO$503,107,FALSE)</f>
        <v>6.4639495012468835</v>
      </c>
      <c r="J99" s="37">
        <f>VLOOKUP(J4,Calculation!$B$8:$JO$503,107,FALSE)</f>
        <v>6.4637898686679174</v>
      </c>
      <c r="K99" s="37">
        <f>VLOOKUP(K4,Calculation!$B$8:$JO$503,107,FALSE)</f>
        <v>6.4780976220275353</v>
      </c>
      <c r="L99" s="39">
        <f>VLOOKUP(L4,Calculation!$B$8:$JO$503,107,FALSE)</f>
        <v>6.5297652582159627</v>
      </c>
      <c r="M99" s="540"/>
    </row>
    <row r="100" spans="1:22" ht="12" customHeight="1" x14ac:dyDescent="0.25">
      <c r="A100" s="1221"/>
      <c r="B100" s="151" t="s">
        <v>42</v>
      </c>
      <c r="C100" s="135" t="s">
        <v>13</v>
      </c>
      <c r="D100" s="44">
        <f>VLOOKUP(D4,Calculation!$B$8:$JO$503,105,FALSE)</f>
        <v>0</v>
      </c>
      <c r="E100" s="37">
        <f>VLOOKUP(E4,Calculation!$B$8:$JO$503,105,FALSE)</f>
        <v>0</v>
      </c>
      <c r="F100" s="37">
        <f>VLOOKUP(F4,Calculation!$B$8:$JO$503,105,FALSE)</f>
        <v>0</v>
      </c>
      <c r="G100" s="37">
        <f>VLOOKUP(G4,Calculation!$B$8:$JO$503,105,FALSE)</f>
        <v>0</v>
      </c>
      <c r="H100" s="37">
        <f>VLOOKUP(H4,Calculation!$B$8:$JO$503,105,FALSE)</f>
        <v>0</v>
      </c>
      <c r="I100" s="37">
        <f>VLOOKUP(I4,Calculation!$B$8:$JO$503,105,FALSE)</f>
        <v>0</v>
      </c>
      <c r="J100" s="37">
        <f>VLOOKUP(J4,Calculation!$B$8:$JO$503,105,FALSE)</f>
        <v>0</v>
      </c>
      <c r="K100" s="37">
        <f>VLOOKUP(K4,Calculation!$B$8:$JO$503,105,FALSE)</f>
        <v>0</v>
      </c>
      <c r="L100" s="39">
        <f>VLOOKUP(L4,Calculation!$B$8:$JO$503,105,FALSE)</f>
        <v>0</v>
      </c>
      <c r="M100" s="540"/>
    </row>
    <row r="101" spans="1:22" ht="12" customHeight="1" x14ac:dyDescent="0.25">
      <c r="A101" s="1221"/>
      <c r="B101" s="151" t="s">
        <v>43</v>
      </c>
      <c r="C101" s="135" t="s">
        <v>13</v>
      </c>
      <c r="D101" s="44">
        <f>VLOOKUP(D4,Calculation!$B$8:$JO$503,106,FALSE)</f>
        <v>0</v>
      </c>
      <c r="E101" s="37">
        <f>VLOOKUP(E4,Calculation!$B$8:$JO$503,106,FALSE)</f>
        <v>0</v>
      </c>
      <c r="F101" s="37">
        <f>VLOOKUP(F4,Calculation!$B$8:$JO$503,106,FALSE)</f>
        <v>0</v>
      </c>
      <c r="G101" s="37">
        <f>VLOOKUP(G4,Calculation!$B$8:$JO$503,106,FALSE)</f>
        <v>0</v>
      </c>
      <c r="H101" s="37">
        <f>VLOOKUP(H4,Calculation!$B$8:$JO$503,106,FALSE)</f>
        <v>0</v>
      </c>
      <c r="I101" s="37">
        <f>VLOOKUP(I4,Calculation!$B$8:$JO$503,106,FALSE)</f>
        <v>0</v>
      </c>
      <c r="J101" s="37">
        <f>VLOOKUP(J4,Calculation!$B$8:$JO$503,106,FALSE)</f>
        <v>0</v>
      </c>
      <c r="K101" s="37">
        <f>VLOOKUP(K4,Calculation!$B$8:$JO$503,106,FALSE)</f>
        <v>0</v>
      </c>
      <c r="L101" s="39">
        <f>VLOOKUP(L4,Calculation!$B$8:$JO$503,106,FALSE)</f>
        <v>0</v>
      </c>
      <c r="M101" s="540"/>
    </row>
    <row r="102" spans="1:22" ht="12" customHeight="1" x14ac:dyDescent="0.25">
      <c r="A102" s="1221"/>
      <c r="B102" s="151" t="s">
        <v>217</v>
      </c>
      <c r="C102" s="135" t="s">
        <v>13</v>
      </c>
      <c r="D102" s="44">
        <f>VLOOKUP(D4,Calculation!$B$8:$JO$503,125,FALSE)</f>
        <v>0</v>
      </c>
      <c r="E102" s="37">
        <f>VLOOKUP(E4,Calculation!$B$8:$JO$503,125,FALSE)</f>
        <v>0</v>
      </c>
      <c r="F102" s="37">
        <f>VLOOKUP(F4,Calculation!$B$8:$JO$503,125,FALSE)</f>
        <v>0</v>
      </c>
      <c r="G102" s="37">
        <f>VLOOKUP(G4,Calculation!$B$8:$JO$503,125,FALSE)</f>
        <v>0</v>
      </c>
      <c r="H102" s="37">
        <f>VLOOKUP(H4,Calculation!$B$8:$JO$503,125,FALSE)</f>
        <v>0</v>
      </c>
      <c r="I102" s="37">
        <f>VLOOKUP(I4,Calculation!$B$8:$JO$503,125,FALSE)</f>
        <v>0</v>
      </c>
      <c r="J102" s="37">
        <f>VLOOKUP(J4,Calculation!$B$8:$JO$503,125,FALSE)</f>
        <v>0</v>
      </c>
      <c r="K102" s="37">
        <f>VLOOKUP(K4,Calculation!$B$8:$JO$503,125,FALSE)</f>
        <v>0</v>
      </c>
      <c r="L102" s="39">
        <f>VLOOKUP(L4,Calculation!$B$8:$JO$503,125,FALSE)</f>
        <v>0</v>
      </c>
      <c r="M102" s="540"/>
    </row>
    <row r="103" spans="1:22" ht="12" customHeight="1" x14ac:dyDescent="0.25">
      <c r="A103" s="1221"/>
      <c r="B103" s="151" t="s">
        <v>217</v>
      </c>
      <c r="C103" s="135" t="s">
        <v>24</v>
      </c>
      <c r="D103" s="44">
        <f>VLOOKUP(D4,Sheet1!$B$8:$HT$524,133,FALSE)</f>
        <v>0</v>
      </c>
      <c r="E103" s="37">
        <f>VLOOKUP(E4,Sheet1!$B$8:$HT$524,133,FALSE)</f>
        <v>0</v>
      </c>
      <c r="F103" s="37">
        <f>VLOOKUP(F4,Sheet1!$B$8:$HT$524,133,FALSE)</f>
        <v>0</v>
      </c>
      <c r="G103" s="37">
        <f>VLOOKUP(G4,Sheet1!$B$8:$HT$524,133,FALSE)</f>
        <v>0</v>
      </c>
      <c r="H103" s="37">
        <f>VLOOKUP(H4,Sheet1!$B$8:$HT$524,133,FALSE)</f>
        <v>0</v>
      </c>
      <c r="I103" s="37">
        <f>VLOOKUP(I4,Sheet1!$B$8:$HT$524,133,FALSE)</f>
        <v>0</v>
      </c>
      <c r="J103" s="37">
        <f>VLOOKUP(J4,Sheet1!$B$8:$HT$524,133,FALSE)</f>
        <v>0</v>
      </c>
      <c r="K103" s="37">
        <f>VLOOKUP(K4,Sheet1!$B$8:$HT$524,133,FALSE)</f>
        <v>0</v>
      </c>
      <c r="L103" s="39">
        <f>VLOOKUP(L4,Sheet1!$B$8:$HT$524,133,FALSE)</f>
        <v>0</v>
      </c>
      <c r="M103" s="540"/>
    </row>
    <row r="104" spans="1:22" ht="12" customHeight="1" x14ac:dyDescent="0.25">
      <c r="A104" s="1221"/>
      <c r="B104" s="151" t="s">
        <v>37</v>
      </c>
      <c r="C104" s="135" t="s">
        <v>13</v>
      </c>
      <c r="D104" s="44">
        <f>VLOOKUP(D4,Calculation!$B$8:$JO$503,112,FALSE)</f>
        <v>0</v>
      </c>
      <c r="E104" s="37">
        <f>VLOOKUP(E4,Calculation!$B$8:$JO$503,112,FALSE)</f>
        <v>0</v>
      </c>
      <c r="F104" s="37">
        <f>VLOOKUP(F4,Calculation!$B$8:$JO$503,112,FALSE)</f>
        <v>0</v>
      </c>
      <c r="G104" s="37">
        <f>VLOOKUP(G4,Calculation!$B$8:$JO$503,112,FALSE)</f>
        <v>0</v>
      </c>
      <c r="H104" s="37">
        <f>VLOOKUP(H4,Calculation!$B$8:$JO$503,112,FALSE)</f>
        <v>0</v>
      </c>
      <c r="I104" s="37">
        <f>VLOOKUP(I4,Calculation!$B$8:$JO$503,112,FALSE)</f>
        <v>0</v>
      </c>
      <c r="J104" s="37">
        <f>VLOOKUP(J4,Calculation!$B$8:$JO$503,112,FALSE)</f>
        <v>0</v>
      </c>
      <c r="K104" s="37">
        <f>VLOOKUP(K4,Calculation!$B$8:$JO$503,112,FALSE)</f>
        <v>0</v>
      </c>
      <c r="L104" s="39">
        <f>VLOOKUP(L4,Calculation!$B$8:$JO$503,112,FALSE)</f>
        <v>0</v>
      </c>
      <c r="M104" s="540"/>
    </row>
    <row r="105" spans="1:22" ht="12" customHeight="1" thickBot="1" x14ac:dyDescent="0.3">
      <c r="A105" s="1222"/>
      <c r="B105" s="223" t="s">
        <v>37</v>
      </c>
      <c r="C105" s="143" t="s">
        <v>24</v>
      </c>
      <c r="D105" s="774">
        <f ca="1">VLOOKUP(D4,Calculation!$B$8:$JO$503,114,FALSE)</f>
        <v>0</v>
      </c>
      <c r="E105" s="775">
        <f ca="1">VLOOKUP(E4,Calculation!$B$8:$JO$503,114,FALSE)</f>
        <v>0</v>
      </c>
      <c r="F105" s="775">
        <f ca="1">VLOOKUP(F4,Calculation!$B$8:$JO$503,114,FALSE)</f>
        <v>0</v>
      </c>
      <c r="G105" s="775">
        <f ca="1">VLOOKUP(G4,Calculation!$B$8:$JO$503,114,FALSE)</f>
        <v>0</v>
      </c>
      <c r="H105" s="775">
        <f ca="1">VLOOKUP(H4,Calculation!$B$8:$JO$503,114,FALSE)</f>
        <v>0</v>
      </c>
      <c r="I105" s="775">
        <f ca="1">VLOOKUP(I4,Calculation!$B$8:$JO$503,114,FALSE)</f>
        <v>0</v>
      </c>
      <c r="J105" s="775">
        <f ca="1">VLOOKUP(J4,Calculation!$B$8:$JO$503,114,FALSE)</f>
        <v>0</v>
      </c>
      <c r="K105" s="775">
        <f ca="1">VLOOKUP(K4,Calculation!$B$8:$JO$503,114,FALSE)</f>
        <v>0</v>
      </c>
      <c r="L105" s="776">
        <f ca="1">VLOOKUP(L4,Calculation!$B$8:$JO$503,114,FALSE)</f>
        <v>0</v>
      </c>
      <c r="M105" s="540"/>
    </row>
    <row r="106" spans="1:22" ht="12" customHeight="1" thickBot="1" x14ac:dyDescent="0.3">
      <c r="B106" s="1118" t="s">
        <v>887</v>
      </c>
      <c r="C106" s="128" t="s">
        <v>13</v>
      </c>
      <c r="D106" s="43">
        <f>VLOOKUP(D4,Calculation!$B$8:$JO$503,115,FALSE)</f>
        <v>10.61</v>
      </c>
      <c r="E106" s="38">
        <f>VLOOKUP(E4,Calculation!$B$8:$JO$503,115,FALSE)</f>
        <v>10.74</v>
      </c>
      <c r="F106" s="38">
        <f>VLOOKUP(F4,Calculation!$B$8:$JO$503,115,FALSE)</f>
        <v>10.459999999999999</v>
      </c>
      <c r="G106" s="38">
        <f>VLOOKUP(G4,Calculation!$B$8:$JO$503,115,FALSE)</f>
        <v>10.46</v>
      </c>
      <c r="H106" s="38">
        <f>VLOOKUP(H4,Calculation!$B$8:$JO$503,115,FALSE)</f>
        <v>10.49</v>
      </c>
      <c r="I106" s="38">
        <f>VLOOKUP(I4,Calculation!$B$8:$JO$503,115,FALSE)</f>
        <v>10.48</v>
      </c>
      <c r="J106" s="38">
        <f>VLOOKUP(J4,Calculation!$B$8:$JO$503,115,FALSE)</f>
        <v>10.48</v>
      </c>
      <c r="K106" s="38">
        <f>VLOOKUP(K4,Calculation!$B$8:$JO$503,115,FALSE)</f>
        <v>10.46</v>
      </c>
      <c r="L106" s="777">
        <f>VLOOKUP(L4,Calculation!$B$8:$JO$503,115,FALSE)</f>
        <v>10.549999999999999</v>
      </c>
      <c r="M106" s="540"/>
    </row>
    <row r="107" spans="1:22" ht="12" customHeight="1" thickBot="1" x14ac:dyDescent="0.3">
      <c r="B107" s="154" t="s">
        <v>50</v>
      </c>
      <c r="C107" s="778" t="s">
        <v>13</v>
      </c>
      <c r="D107" s="44">
        <f>VLOOKUP(D4,Calculation!$B$8:$JO$503,116,FALSE)</f>
        <v>31.11</v>
      </c>
      <c r="E107" s="37">
        <f>VLOOKUP(E4,Calculation!$B$8:$JO$503,116,FALSE)</f>
        <v>30.240000000000002</v>
      </c>
      <c r="F107" s="37">
        <f>VLOOKUP(F4,Calculation!$B$8:$JO$503,116,FALSE)</f>
        <v>31.96</v>
      </c>
      <c r="G107" s="37">
        <f>VLOOKUP(G4,Calculation!$B$8:$JO$503,116,FALSE)</f>
        <v>32.659999999999997</v>
      </c>
      <c r="H107" s="37">
        <f>VLOOKUP(H4,Calculation!$B$8:$JO$503,116,FALSE)</f>
        <v>33.99</v>
      </c>
      <c r="I107" s="37">
        <f>VLOOKUP(I4,Calculation!$B$8:$JO$503,116,FALSE)</f>
        <v>32.08</v>
      </c>
      <c r="J107" s="37">
        <f>VLOOKUP(J4,Calculation!$B$8:$JO$503,116,FALSE)</f>
        <v>31.98</v>
      </c>
      <c r="K107" s="37">
        <f>VLOOKUP(K4,Calculation!$B$8:$JO$503,116,FALSE)</f>
        <v>31.96</v>
      </c>
      <c r="L107" s="39">
        <f>VLOOKUP(L4,Calculation!$B$8:$JO$503,116,FALSE)</f>
        <v>31.949999999999996</v>
      </c>
      <c r="M107" s="540"/>
    </row>
    <row r="108" spans="1:22" ht="12" customHeight="1" thickBot="1" x14ac:dyDescent="0.3">
      <c r="B108" s="154" t="s">
        <v>51</v>
      </c>
      <c r="C108" s="778" t="s">
        <v>13</v>
      </c>
      <c r="D108" s="774">
        <f>VLOOKUP(D4,Calculation!$B$8:$JO$503,117,FALSE)</f>
        <v>-0.12999999999999901</v>
      </c>
      <c r="E108" s="775">
        <f>VLOOKUP(E4,Calculation!$B$8:$JO$503,117,FALSE)</f>
        <v>-0.14000000000000057</v>
      </c>
      <c r="F108" s="775">
        <f>VLOOKUP(F4,Calculation!$B$8:$JO$503,117,FALSE)</f>
        <v>9.9999999999980105E-3</v>
      </c>
      <c r="G108" s="775">
        <f>VLOOKUP(G4,Calculation!$B$8:$JO$503,117,FALSE)</f>
        <v>-5.9999999999995168E-2</v>
      </c>
      <c r="H108" s="775">
        <f>VLOOKUP(H4,Calculation!$B$8:$JO$503,117,FALSE)</f>
        <v>-9.0000000000003411E-2</v>
      </c>
      <c r="I108" s="775">
        <f>VLOOKUP(I4,Calculation!$B$8:$JO$503,117,FALSE)</f>
        <v>-3.0000000000001137E-2</v>
      </c>
      <c r="J108" s="829">
        <f>VLOOKUP(J4,Calculation!$B$8:$JO$503,117,FALSE)</f>
        <v>-8.0000000000001847E-2</v>
      </c>
      <c r="K108" s="829">
        <f>VLOOKUP(K4,Calculation!$B$8:$JO$503,117,FALSE)</f>
        <v>3.9999999999999147E-2</v>
      </c>
      <c r="L108" s="802">
        <f>VLOOKUP(L4,Calculation!$B$8:$JO$503,117,FALSE)</f>
        <v>-4.9999999999997158E-2</v>
      </c>
      <c r="M108" s="540"/>
    </row>
    <row r="109" spans="1:22" ht="12" customHeight="1" thickBot="1" x14ac:dyDescent="0.3">
      <c r="B109" s="156"/>
      <c r="C109" s="779" t="s">
        <v>52</v>
      </c>
      <c r="D109" s="780">
        <f>VLOOKUP(D4,Calculation!$B$8:$JO$503,118,FALSE)</f>
        <v>-4.178720668595275E-3</v>
      </c>
      <c r="E109" s="157">
        <f>VLOOKUP(E4,Calculation!$B$8:$JO$503,118,FALSE)</f>
        <v>-4.6296296296296485E-3</v>
      </c>
      <c r="F109" s="157">
        <f>VLOOKUP(F4,Calculation!$B$8:$JO$503,118,FALSE)</f>
        <v>3.1289111389230318E-4</v>
      </c>
      <c r="G109" s="157">
        <f>VLOOKUP(G4,Calculation!$B$8:$JO$503,118,FALSE)</f>
        <v>-1.8371096142068334E-3</v>
      </c>
      <c r="H109" s="157">
        <f>VLOOKUP(H4,Calculation!$B$8:$JO$503,118,FALSE)</f>
        <v>-2.6478375992940104E-3</v>
      </c>
      <c r="I109" s="157">
        <f>VLOOKUP(I4,Calculation!$B$8:$JO$503,118,FALSE)</f>
        <v>-9.3516209476312781E-4</v>
      </c>
      <c r="J109" s="982">
        <f>VLOOKUP(J4,Calculation!$B$8:$JO$503,118,FALSE)</f>
        <v>-2.5015634771732909E-3</v>
      </c>
      <c r="K109" s="982">
        <f>VLOOKUP(K4,Calculation!$B$8:$JO$503,118,FALSE)</f>
        <v>1.2515644555694352E-3</v>
      </c>
      <c r="L109" s="983">
        <f>VLOOKUP(L4,Calculation!$B$8:$JO$503,118,FALSE)</f>
        <v>-1.5649452269169693E-3</v>
      </c>
      <c r="M109" s="540"/>
      <c r="N109" s="742"/>
      <c r="O109" s="742"/>
      <c r="P109" s="742"/>
      <c r="Q109" s="742"/>
      <c r="R109" s="742"/>
      <c r="S109" s="742"/>
      <c r="T109" s="742"/>
      <c r="U109" s="742"/>
      <c r="V109" s="742"/>
    </row>
    <row r="110" spans="1:22" x14ac:dyDescent="0.25">
      <c r="M110" s="540"/>
    </row>
  </sheetData>
  <mergeCells count="11">
    <mergeCell ref="A6:A21"/>
    <mergeCell ref="A65:A77"/>
    <mergeCell ref="A78:A92"/>
    <mergeCell ref="A93:A105"/>
    <mergeCell ref="A50:A64"/>
    <mergeCell ref="A23:A40"/>
    <mergeCell ref="B1:L1"/>
    <mergeCell ref="B49:L49"/>
    <mergeCell ref="B41:L41"/>
    <mergeCell ref="B5:L5"/>
    <mergeCell ref="B22:L22"/>
  </mergeCells>
  <phoneticPr fontId="12" type="noConversion"/>
  <printOptions horizontalCentered="1"/>
  <pageMargins left="0" right="0" top="0" bottom="0" header="0" footer="0"/>
  <pageSetup paperSize="5" scale="74"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B51"/>
  <sheetViews>
    <sheetView zoomScale="90" zoomScaleNormal="90" workbookViewId="0">
      <selection activeCell="M44" sqref="M44"/>
    </sheetView>
  </sheetViews>
  <sheetFormatPr defaultColWidth="1" defaultRowHeight="13.2" x14ac:dyDescent="0.25"/>
  <cols>
    <col min="1" max="1" width="11.44140625" style="52" customWidth="1"/>
    <col min="2" max="2" width="7" style="52" bestFit="1" customWidth="1"/>
    <col min="3" max="3" width="7.109375" style="52" bestFit="1" customWidth="1"/>
    <col min="4" max="4" width="7.88671875" style="52" bestFit="1" customWidth="1"/>
    <col min="5" max="5" width="7.88671875" style="244" bestFit="1" customWidth="1"/>
    <col min="6" max="6" width="9.109375" style="244" customWidth="1"/>
    <col min="7" max="7" width="9" style="244" bestFit="1" customWidth="1"/>
    <col min="8" max="8" width="9.88671875" style="52" hidden="1" customWidth="1"/>
    <col min="9" max="9" width="12.5546875" style="52" hidden="1" customWidth="1"/>
    <col min="10" max="10" width="9.88671875" style="52" hidden="1" customWidth="1"/>
    <col min="11" max="11" width="9.44140625" style="52" customWidth="1"/>
    <col min="12" max="12" width="12" style="52" bestFit="1" customWidth="1"/>
    <col min="13" max="13" width="10" style="52" bestFit="1" customWidth="1"/>
    <col min="14" max="14" width="12.21875" style="52" bestFit="1" customWidth="1"/>
    <col min="15" max="15" width="9" style="52" bestFit="1" customWidth="1"/>
    <col min="16" max="16" width="10" style="52" bestFit="1" customWidth="1"/>
    <col min="17" max="17" width="9.77734375" style="52" bestFit="1" customWidth="1"/>
    <col min="18" max="18" width="12.109375" style="52" bestFit="1" customWidth="1"/>
    <col min="19" max="19" width="9.77734375" style="52" bestFit="1" customWidth="1"/>
    <col min="20" max="20" width="10" style="52" bestFit="1" customWidth="1"/>
    <col min="21" max="21" width="10.44140625" bestFit="1" customWidth="1"/>
    <col min="22" max="22" width="13.21875" style="52" bestFit="1" customWidth="1"/>
    <col min="23" max="25" width="9.109375" customWidth="1"/>
    <col min="26" max="28" width="9.44140625" style="52" customWidth="1"/>
    <col min="29" max="32" width="1" style="52"/>
    <col min="33" max="33" width="4" style="52" customWidth="1"/>
    <col min="34" max="46" width="7.44140625" style="52" customWidth="1"/>
    <col min="47" max="16384" width="1" style="52"/>
  </cols>
  <sheetData>
    <row r="1" spans="1:28" x14ac:dyDescent="0.25">
      <c r="A1" s="244"/>
      <c r="B1" s="244"/>
      <c r="C1" s="244"/>
      <c r="D1" s="244"/>
      <c r="E1" s="298">
        <v>42736</v>
      </c>
      <c r="F1" s="244" t="s">
        <v>439</v>
      </c>
      <c r="J1" s="244"/>
      <c r="K1" s="244"/>
      <c r="L1" s="244"/>
      <c r="M1" s="244"/>
      <c r="N1" s="244"/>
      <c r="O1" s="244"/>
      <c r="P1" s="244"/>
      <c r="Q1" s="244"/>
      <c r="R1" s="244"/>
      <c r="S1" s="244"/>
      <c r="T1" s="244"/>
      <c r="V1" s="244"/>
      <c r="Z1" s="244"/>
    </row>
    <row r="2" spans="1:28" ht="17.399999999999999" x14ac:dyDescent="0.3">
      <c r="A2" s="1234" t="s">
        <v>420</v>
      </c>
      <c r="B2" s="1234"/>
      <c r="C2" s="1234"/>
      <c r="D2" s="1234"/>
      <c r="E2" s="1234"/>
      <c r="F2" s="1234"/>
      <c r="G2" s="1234"/>
      <c r="H2" s="1234"/>
      <c r="I2" s="1234"/>
      <c r="J2" s="1234"/>
      <c r="K2" s="1234"/>
      <c r="L2" s="1234"/>
      <c r="M2" s="1234"/>
      <c r="N2" s="1234"/>
      <c r="O2" s="1234"/>
      <c r="P2" s="1234"/>
      <c r="Q2" s="1234"/>
      <c r="R2" s="1234"/>
      <c r="S2" s="241"/>
      <c r="T2" s="241"/>
      <c r="V2" s="241"/>
      <c r="Z2" s="241"/>
      <c r="AA2" s="241"/>
      <c r="AB2" s="241"/>
    </row>
    <row r="3" spans="1:28" ht="20.25" customHeight="1" x14ac:dyDescent="0.35">
      <c r="A3" s="1235" t="str">
        <f>"Annual Production Report for: "&amp;YEAR(E1)</f>
        <v>Annual Production Report for: 2017</v>
      </c>
      <c r="B3" s="1235"/>
      <c r="C3" s="1235"/>
      <c r="D3" s="1235"/>
      <c r="E3" s="1235"/>
      <c r="F3" s="1235"/>
      <c r="G3" s="1235"/>
      <c r="H3" s="1235"/>
      <c r="I3" s="1235"/>
      <c r="J3" s="1235"/>
      <c r="K3" s="1235"/>
      <c r="L3" s="1235"/>
      <c r="M3" s="1235"/>
      <c r="N3" s="1235"/>
      <c r="O3" s="1235"/>
      <c r="P3" s="1235"/>
      <c r="Q3" s="1235"/>
      <c r="R3" s="1235"/>
      <c r="S3" s="173"/>
      <c r="T3" s="173"/>
      <c r="V3" s="315"/>
      <c r="Z3" s="173"/>
      <c r="AA3" s="173"/>
      <c r="AB3" s="173"/>
    </row>
    <row r="4" spans="1:28" ht="17.399999999999999" x14ac:dyDescent="0.3">
      <c r="A4" s="241"/>
      <c r="B4" s="173"/>
      <c r="C4" s="173"/>
      <c r="D4" s="173"/>
      <c r="E4" s="173"/>
      <c r="F4" s="173"/>
      <c r="G4" s="173"/>
      <c r="H4" s="173"/>
      <c r="I4" s="173"/>
      <c r="J4" s="173"/>
      <c r="K4" s="173"/>
      <c r="L4" s="173"/>
      <c r="M4" s="173"/>
      <c r="N4" s="173"/>
      <c r="O4" s="173"/>
      <c r="P4" s="173"/>
      <c r="Q4" s="173"/>
      <c r="R4" s="173"/>
      <c r="S4" s="173"/>
      <c r="T4" s="173"/>
      <c r="V4" s="173"/>
      <c r="Z4" s="173"/>
      <c r="AA4" s="173"/>
      <c r="AB4" s="173"/>
    </row>
    <row r="5" spans="1:28" ht="18" thickBot="1" x14ac:dyDescent="0.35">
      <c r="A5" s="53"/>
      <c r="B5" s="53"/>
      <c r="C5" s="54"/>
      <c r="D5" s="54"/>
      <c r="E5" s="301"/>
      <c r="F5" s="301"/>
      <c r="G5" s="301"/>
      <c r="H5" s="54"/>
      <c r="I5" s="54"/>
      <c r="J5" s="54"/>
      <c r="K5" s="54"/>
      <c r="L5" s="54"/>
      <c r="M5" s="54"/>
      <c r="N5" s="54"/>
      <c r="O5" s="54"/>
      <c r="P5" s="54"/>
      <c r="Q5" s="54"/>
      <c r="R5" s="54"/>
      <c r="S5"/>
      <c r="T5"/>
      <c r="X5" s="299"/>
      <c r="Y5" s="300"/>
      <c r="Z5" s="300"/>
    </row>
    <row r="6" spans="1:28" ht="18" customHeight="1" thickBot="1" x14ac:dyDescent="0.3">
      <c r="A6" s="313"/>
      <c r="B6" s="314"/>
      <c r="C6" s="1236" t="s">
        <v>398</v>
      </c>
      <c r="D6" s="1237"/>
      <c r="E6" s="1237"/>
      <c r="F6" s="1237"/>
      <c r="G6" s="1238"/>
      <c r="H6" s="1239" t="s">
        <v>419</v>
      </c>
      <c r="I6" s="1240"/>
      <c r="J6" s="1241"/>
      <c r="K6" s="1229" t="s">
        <v>399</v>
      </c>
      <c r="L6" s="1232"/>
      <c r="M6" s="1232"/>
      <c r="N6" s="1232"/>
      <c r="O6" s="1232"/>
      <c r="P6" s="1232"/>
      <c r="Q6" s="1232"/>
      <c r="R6" s="1233"/>
      <c r="S6" s="1229" t="s">
        <v>647</v>
      </c>
      <c r="T6" s="1230"/>
      <c r="U6" s="1231"/>
      <c r="V6" s="663" t="s">
        <v>215</v>
      </c>
      <c r="W6" s="52"/>
      <c r="X6" s="52"/>
      <c r="Y6" s="52"/>
    </row>
    <row r="7" spans="1:28" x14ac:dyDescent="0.25">
      <c r="A7" s="703"/>
      <c r="B7" s="704" t="s">
        <v>149</v>
      </c>
      <c r="C7" s="705" t="s">
        <v>422</v>
      </c>
      <c r="D7" s="706" t="s">
        <v>400</v>
      </c>
      <c r="E7" s="706" t="s">
        <v>193</v>
      </c>
      <c r="F7" s="706" t="s">
        <v>151</v>
      </c>
      <c r="G7" s="707" t="s">
        <v>401</v>
      </c>
      <c r="H7" s="708"/>
      <c r="I7" s="706" t="s">
        <v>150</v>
      </c>
      <c r="J7" s="709" t="s">
        <v>20</v>
      </c>
      <c r="K7" s="710" t="s">
        <v>402</v>
      </c>
      <c r="L7" s="706" t="s">
        <v>415</v>
      </c>
      <c r="M7" s="711"/>
      <c r="N7" s="706" t="s">
        <v>416</v>
      </c>
      <c r="O7" s="706" t="s">
        <v>245</v>
      </c>
      <c r="P7" s="706" t="s">
        <v>154</v>
      </c>
      <c r="Q7" s="706" t="s">
        <v>418</v>
      </c>
      <c r="R7" s="707" t="s">
        <v>153</v>
      </c>
      <c r="S7" s="705" t="s">
        <v>246</v>
      </c>
      <c r="T7" s="706" t="s">
        <v>247</v>
      </c>
      <c r="U7" s="707" t="s">
        <v>248</v>
      </c>
      <c r="V7" s="712" t="s">
        <v>209</v>
      </c>
      <c r="X7" s="52"/>
      <c r="Y7" s="52"/>
    </row>
    <row r="8" spans="1:28" s="549" customFormat="1" x14ac:dyDescent="0.25">
      <c r="A8" s="713" t="s">
        <v>194</v>
      </c>
      <c r="B8" s="714" t="s">
        <v>18</v>
      </c>
      <c r="C8" s="715" t="s">
        <v>18</v>
      </c>
      <c r="D8" s="716" t="s">
        <v>152</v>
      </c>
      <c r="E8" s="716" t="s">
        <v>152</v>
      </c>
      <c r="F8" s="716" t="s">
        <v>67</v>
      </c>
      <c r="G8" s="717" t="s">
        <v>158</v>
      </c>
      <c r="H8" s="718" t="s">
        <v>20</v>
      </c>
      <c r="I8" s="719" t="s">
        <v>155</v>
      </c>
      <c r="J8" s="720" t="s">
        <v>403</v>
      </c>
      <c r="K8" s="721" t="s">
        <v>414</v>
      </c>
      <c r="L8" s="716" t="s">
        <v>922</v>
      </c>
      <c r="M8" s="716" t="s">
        <v>853</v>
      </c>
      <c r="N8" s="716" t="s">
        <v>854</v>
      </c>
      <c r="O8" s="716" t="s">
        <v>417</v>
      </c>
      <c r="P8" s="716" t="s">
        <v>157</v>
      </c>
      <c r="Q8" s="716" t="s">
        <v>404</v>
      </c>
      <c r="R8" s="717" t="s">
        <v>423</v>
      </c>
      <c r="S8" s="713" t="s">
        <v>404</v>
      </c>
      <c r="T8" s="716" t="s">
        <v>404</v>
      </c>
      <c r="U8" s="717" t="s">
        <v>404</v>
      </c>
      <c r="V8" s="722" t="s">
        <v>210</v>
      </c>
      <c r="W8" s="548"/>
    </row>
    <row r="9" spans="1:28" x14ac:dyDescent="0.25">
      <c r="A9" s="664" t="s">
        <v>195</v>
      </c>
      <c r="B9" s="253">
        <f>SUMIF(Sheet1!$B$8:$B$380,"&gt;="&amp;Conversions!L51,Sheet1!L$8:L$380)-SUMIF(Sheet1!$B$8:$B$380,"&gt;"&amp;Conversions!M51,Sheet1!L$8:L$380)</f>
        <v>106.17000000000212</v>
      </c>
      <c r="C9" s="306">
        <f>SUMIF('Calculations II'!$B$8:$B$384,"&gt;="&amp;Conversions!L51,'Calculations II'!BC$8:BC$384)-SUMIF('Calculations II'!$B$8:$B$384,"&gt;"&amp;Conversions!M51,'Calculations II'!BC$8:BC$384)</f>
        <v>0.41601600000001326</v>
      </c>
      <c r="D9" s="255">
        <f>SUMIF(Sheet1!$B$8:$B$377,"&gt;="&amp;Conversions!L51,Sheet1!$AA$8:AA$377)-SUMIF(Sheet1!$B$8:$B$377,"&gt;"&amp;Conversions!M51,Sheet1!$AA$8:$AA$377)</f>
        <v>804.47999999999229</v>
      </c>
      <c r="E9" s="56">
        <f>SUMIF(Sheet1!$B$8:$B$377,"&gt;="&amp;Conversions!L51,Sheet1!$AB$8:$AB$377)-SUMIF(Sheet1!$B$8:$B$377,"&gt;"&amp;Conversions!M51,Sheet1!$AB$8:$AB$377)</f>
        <v>799.83999999999833</v>
      </c>
      <c r="F9" s="681">
        <f>SUMIF('Calculations II'!$B$8:$B$384,"&gt;="&amp;Conversions!L51,'Calculations II'!$AE$8:$AE$384)-SUMIF('Calculations II'!$B$8:$B$384,"&gt;"&amp;Conversions!M51,'Calculations II'!$AE$8:$AE$384)</f>
        <v>1285.9037229117275</v>
      </c>
      <c r="G9" s="682">
        <f>SUMIF('Calculations II'!$B$8:$B$384,"&gt;="&amp;Conversions!L51,'Calculations II'!$AC$8:$AC$384)-SUMIF('Calculations II'!$B$8:$B$384,"&gt;"&amp;Conversions!M51,'Calculations II'!$AC$8:$AC$384)</f>
        <v>1604.7360160000098</v>
      </c>
      <c r="H9" s="56">
        <f>SUMIF(Calculation!$B$8:$B$389,"&gt;="&amp;Conversions!L51,Calculation!$ES$8:$ES$389)-SUMIF(Calculation!$B$8:$B$389,"&gt;"&amp;Conversions!M51,Calculation!$ES$8:$ES$389)</f>
        <v>5.2630303652034627</v>
      </c>
      <c r="I9" s="255">
        <f ca="1">SUMIF('Calculations II'!$B$8:$B$384,"&gt;="&amp;Conversions!L51,'Calculations II'!$O8:$O384)-SUMIF('Calculations II'!$B$8:$B$384,"&gt;"&amp;Conversions!M51,'Calculations II'!$O8:$O384)</f>
        <v>0.62573726881346659</v>
      </c>
      <c r="J9" s="665">
        <f>SUMIF('Calculations II'!$B$8:$B$384,"&gt;="&amp;Conversions!L51,'Calculations II'!$W8:$W384)-SUMIF('Calculations II'!$B$8:$B$384,"&gt;"&amp;Conversions!M51,'Calculations II'!$W8:$W384)</f>
        <v>0</v>
      </c>
      <c r="K9" s="666">
        <f ca="1">SUMIF('Calculations II'!$B$8:$B$384,"&gt;="&amp;Conversions!L51,'Calculations II'!$P$8:$P$384)-SUMIF('Calculations II'!$B$8:$B$384,"&gt;"&amp;Conversions!M51,'Calculations II'!$P$8:$P$384)</f>
        <v>5.8887676340169435</v>
      </c>
      <c r="L9" s="255">
        <f>SUMIF(Sheet1!$B$8:$B$377,"&gt;="&amp;Conversions!L51,Sheet1!$BN$8:$BN$377)-SUMIF(Sheet1!$B$8:$B$377,"&gt;"&amp;Conversions!M51,Sheet1!$BN$8:$BN$377)</f>
        <v>483.30300000000079</v>
      </c>
      <c r="M9" s="56">
        <f>SUMIF(Sheet1!$B$8:$B$377,"&gt;="&amp;Conversions!L51,Sheet1!$CT$8:$CT$377)-SUMIF(Sheet1!$B$8:$B$377,"&gt;"&amp;Conversions!M51,Sheet1!$CT$8:$CT$377)</f>
        <v>356.82500000000073</v>
      </c>
      <c r="N9" s="692">
        <f ca="1">SUMIF('Calculations II'!$B$8:$B$380,"&gt;="&amp;Conversions!L51,'Calculations II'!$AG$8:$AG$380)-SUMIF('Calculations II'!$B$8:$B$380,"&gt;"&amp;Conversions!M51,'Calculations II'!$AG$8:$AG$381)</f>
        <v>937.26278363402162</v>
      </c>
      <c r="O9" s="692">
        <f ca="1">SUMIF('Calculations II'!$B$8:$B$380,"&gt;="&amp;Conversions!L51,'Calculations II'!$AH$8:$AH$380)-SUMIF('Calculations II'!$B$8:$B$380,"&gt;"&amp;Conversions!M51,'Calculations II'!$AH$8:$AH$380)</f>
        <v>1294.0877836340187</v>
      </c>
      <c r="P9" s="56">
        <f>SUMIF(Calculation!$B$8:$B$380,"&gt;="&amp;Conversions!L51,Calculation!$AS$8:$AS$380)-SUMIF(Calculation!$B$8:$B$380,"&gt;"&amp;Conversions!M51,Calculation!$AS$8:$AS$380)</f>
        <v>0</v>
      </c>
      <c r="Q9" s="255">
        <f>SUMIF(Calculation!$B$8:$B$380,"&gt;="&amp;Conversions!L51,Calculation!$DJ$8:$DJ$380)-SUMIF(Calculation!$B$8:$B$380,"&gt;"&amp;Conversions!M51,Calculation!$DJ$8:$DJ$380)</f>
        <v>318.83229308827504</v>
      </c>
      <c r="R9" s="698">
        <f ca="1">SUMIF('Calculations II'!$B$8:$B$380,"&gt;="&amp;Conversions!L51,'Calculations II'!$AI$8:$AI$380)-SUMIF('Calculations II'!$B$8:$B$380,"&gt;"&amp;Conversions!M51,'Calculations II'!$AI$8:$AI$380)</f>
        <v>1612.9200767222865</v>
      </c>
      <c r="S9" s="306">
        <f>SUMIF(Calculation!$B$8:$B$380,"&gt;="&amp;Conversions!$L51,Calculation!$BL$8:$BL$380)-SUMIF(Calculation!$B$8:$B$380,"&gt;"&amp;Conversions!$M51,Calculation!$BL$8:$BL$380)</f>
        <v>31.38652893744802</v>
      </c>
      <c r="T9" s="255">
        <f>SUMIF(Calculation!$B$8:$B$380,"&gt;="&amp;Conversions!$L51,Calculation!$CF$8:$CF$380)-SUMIF(Calculation!$B$8:$B$380,"&gt;"&amp;Conversions!$M51,Calculation!$CF$8:$CF$380)</f>
        <v>86.980528618565813</v>
      </c>
      <c r="U9" s="253">
        <f>SUMIF(Calculation!$B$8:$B$380,"&gt;="&amp;Conversions!$L51,Calculation!$CZ$8:$CZ$380)-SUMIF(Calculation!$B$8:$B$380,"&gt;"&amp;Conversions!$M51,Calculation!$CZ$8:$CZ$380)</f>
        <v>200.46523553225961</v>
      </c>
      <c r="V9" s="465">
        <f>SUMIF(Sheet1!$B$8:$B$375,"&gt;="&amp;Conversions!N51,'Calculations II'!$BP$8:$BP$379)-SUMIF(Sheet1!$B$8:$B$375,"&gt;"&amp;Conversions!O51,'Calculations II'!$BP$8:$BP$379)</f>
        <v>0</v>
      </c>
      <c r="X9" s="52"/>
      <c r="Y9" s="52"/>
    </row>
    <row r="10" spans="1:28" x14ac:dyDescent="0.25">
      <c r="A10" s="664" t="s">
        <v>196</v>
      </c>
      <c r="B10" s="253">
        <f>SUMIF(Sheet1!$B$8:$B$380,"&gt;="&amp;Conversions!L52,Sheet1!L$8:L$380)-SUMIF(Sheet1!$B$8:$B$380,"&gt;"&amp;Conversions!M52,Sheet1!L$8:L$380)</f>
        <v>92.729999999998654</v>
      </c>
      <c r="C10" s="306">
        <f>SUMIF('Calculations II'!$B$8:$B$380,"&gt;="&amp;Conversions!L52,'Calculations II'!BC$8:BC$380)-SUMIF('Calculations II'!$B$8:$B$380,"&gt;"&amp;Conversions!M52,'Calculations II'!BC$8:BC$380)</f>
        <v>2.1028320000000349</v>
      </c>
      <c r="D10" s="255">
        <f>SUMIF(Sheet1!$B$8:$B$377,"&gt;="&amp;Conversions!L52,Sheet1!$AA$8:AA$377)-SUMIF(Sheet1!$B$8:$B$377,"&gt;"&amp;Conversions!M52,Sheet1!$AA$8:$AA$377)</f>
        <v>717.34999999999309</v>
      </c>
      <c r="E10" s="56">
        <f>SUMIF(Sheet1!$B$8:$B$377,"&gt;="&amp;Conversions!L52,Sheet1!$AB$8:$AB$377)-SUMIF(Sheet1!$B$8:$B$377,"&gt;"&amp;Conversions!M52,Sheet1!$AB$8:$AB$377)</f>
        <v>841.96000000000095</v>
      </c>
      <c r="F10" s="681">
        <f>SUMIF('Calculations II'!$B$8:$B$380,"&gt;="&amp;Conversions!L52,'Calculations II'!$AE$8:$AE$380)-SUMIF('Calculations II'!$B$8:$B$380,"&gt;"&amp;Conversions!M52,'Calculations II'!$AE$8:$AE$380)</f>
        <v>1265.2453768097439</v>
      </c>
      <c r="G10" s="682">
        <f>SUMIF('Calculations II'!$B$8:$B$380,"&gt;="&amp;Conversions!L52,'Calculations II'!$AC$8:$AC$380)-SUMIF('Calculations II'!$B$8:$B$380,"&gt;"&amp;Conversions!M52,'Calculations II'!$AC$8:$AC$380)</f>
        <v>1561.4128319999836</v>
      </c>
      <c r="H10" s="56">
        <f>SUMIF(Calculation!$B$8:$B$380,"&gt;="&amp;Conversions!L52,Calculation!$ES$8:$ES$380)-SUMIF(Calculation!$B$8:$B$380,"&gt;"&amp;Conversions!M52,Calculation!$ES$8:$ES$380)</f>
        <v>-0.9691819703272806</v>
      </c>
      <c r="I10" s="255" t="e">
        <f>SUMIF('Calculations II'!$B$8:$B$380,"&gt;="&amp;Conversions!L52,'Calculations II'!#REF!)-SUMIF('Calculations II'!$B$8:$B$380,"&gt;"&amp;Conversions!M52,'Calculations II'!#REF!)</f>
        <v>#REF!</v>
      </c>
      <c r="J10" s="665" t="e">
        <f>SUMIF('Calculations II'!$B$8:$B$380,"&gt;="&amp;Conversions!L52,'Calculations II'!#REF!)-SUMIF('Calculations II'!$B$8:$B$380,"&gt;"&amp;Conversions!M52,'Calculations II'!#REF!)</f>
        <v>#REF!</v>
      </c>
      <c r="K10" s="666">
        <f ca="1">SUMIF('Calculations II'!$B$8:$B$380,"&gt;="&amp;Conversions!L52,'Calculations II'!$P$8:$P$380)-SUMIF('Calculations II'!$B$8:$B$380,"&gt;"&amp;Conversions!M52,'Calculations II'!$P$8:$P$380)</f>
        <v>-1.327613719175571</v>
      </c>
      <c r="L10" s="255">
        <f>SUMIF(Sheet1!$B$8:$B$377,"&gt;="&amp;Conversions!L52,Sheet1!$BN$8:$BN$377)-SUMIF(Sheet1!$B$8:$B$377,"&gt;"&amp;Conversions!M52,Sheet1!$BN$8:$BN$377)</f>
        <v>548.00000000000182</v>
      </c>
      <c r="M10" s="56">
        <f>SUMIF(Sheet1!$B$8:$B$377,"&gt;="&amp;Conversions!L52,Sheet1!$CT$8:$CT$377)-SUMIF(Sheet1!$B$8:$B$377,"&gt;"&amp;Conversions!M52,Sheet1!$CT$8:$CT$377)</f>
        <v>436.69199999999637</v>
      </c>
      <c r="N10" s="692">
        <f ca="1">SUMIF('Calculations II'!$B$8:$B$380,"&gt;="&amp;Conversions!L52,'Calculations II'!$AG$8:$AG$380)-SUMIF('Calculations II'!$B$8:$B$380,"&gt;"&amp;Conversions!M52,'Calculations II'!$AG$8:$AG$380)</f>
        <v>829.4332182808248</v>
      </c>
      <c r="O10" s="692">
        <f ca="1">SUMIF('Calculations II'!$B$8:$B$380,"&gt;="&amp;Conversions!L52,'Calculations II'!$AH$8:$AH$380)-SUMIF('Calculations II'!$B$8:$B$380,"&gt;"&amp;Conversions!M52,'Calculations II'!$AH$8:$AH$380)</f>
        <v>1266.1252182808275</v>
      </c>
      <c r="P10" s="56">
        <f>SUMIF(Calculation!$B$8:$B$380,"&gt;="&amp;Conversions!L52,Calculation!$AS$8:$AS$380)-SUMIF(Calculation!$B$8:$B$380,"&gt;"&amp;Conversions!M52,Calculation!$AS$8:$AS$380)</f>
        <v>0</v>
      </c>
      <c r="Q10" s="255">
        <f>SUMIF(Calculation!$B$8:$B$380,"&gt;="&amp;Conversions!L52,Calculation!$DJ$8:$DJ$380)-SUMIF(Calculation!$B$8:$B$380,"&gt;"&amp;Conversions!M52,Calculation!$DJ$8:$DJ$380)</f>
        <v>296.16745519024789</v>
      </c>
      <c r="R10" s="698">
        <f ca="1">SUMIF('Calculations II'!$B$8:$B$380,"&gt;="&amp;Conversions!L52,'Calculations II'!$AI$8:$AI$380)-SUMIF('Calculations II'!$B$8:$B$380,"&gt;"&amp;Conversions!M52,'Calculations II'!$AI$8:$AI$380)</f>
        <v>1562.2926734710563</v>
      </c>
      <c r="S10" s="306">
        <f>SUMIF(Calculation!$B$8:$B$380,"&gt;="&amp;Conversions!$L52,Calculation!$BL$8:$BL$380)-SUMIF(Calculation!$B$8:$B$380,"&gt;"&amp;Conversions!$M52,Calculation!$BL$8:$BL$380)</f>
        <v>28.231569072786897</v>
      </c>
      <c r="T10" s="255">
        <f>SUMIF(Calculation!$B$8:$B$380,"&gt;="&amp;Conversions!$L52,Calculation!$CF$8:$CF$380)-SUMIF(Calculation!$B$8:$B$380,"&gt;"&amp;Conversions!$M52,Calculation!$CF$8:$CF$380)</f>
        <v>85.065880117783081</v>
      </c>
      <c r="U10" s="253">
        <f>SUMIF(Calculation!$B$8:$B$380,"&gt;="&amp;Conversions!$L52,Calculation!$CZ$8:$CZ$380)-SUMIF(Calculation!$B$8:$B$380,"&gt;"&amp;Conversions!$M52,Calculation!$CZ$8:$CZ$380)</f>
        <v>182.87000599967814</v>
      </c>
      <c r="V10" s="465">
        <f>SUMIF(Sheet1!$B$8:$B$375,"&gt;="&amp;Conversions!N52,'Calculations II'!$BP$8:$BP$380)-SUMIF(Sheet1!$B$8:$B$375,"&gt;"&amp;Conversions!O52,'Calculations II'!$BP$8:$BP$379)</f>
        <v>0</v>
      </c>
      <c r="X10" s="52"/>
      <c r="Y10" s="52"/>
    </row>
    <row r="11" spans="1:28" x14ac:dyDescent="0.25">
      <c r="A11" s="664" t="s">
        <v>197</v>
      </c>
      <c r="B11" s="253">
        <f>SUMIF(Sheet1!$B$8:$B$361,"&gt;="&amp;Conversions!L53,Sheet1!L$8:L$361)-SUMIF(Sheet1!$B$8:$B$361,"&gt;"&amp;Conversions!M53,Sheet1!L$8:L$361)</f>
        <v>314.47000000000128</v>
      </c>
      <c r="C11" s="306">
        <f>SUMIF('Calculations II'!$B$8:$B$380,"&gt;="&amp;Conversions!L53,'Calculations II'!BC$8:BC$380)-SUMIF('Calculations II'!$B$8:$B$380,"&gt;"&amp;Conversions!M53,'Calculations II'!BC$8:BC$380)</f>
        <v>0</v>
      </c>
      <c r="D11" s="255">
        <f>SUMIF(Sheet1!$B$8:$B$377,"&gt;="&amp;Conversions!L53,Sheet1!$AA$8:AA$377)-SUMIF(Sheet1!$B$8:$B$377,"&gt;"&amp;Conversions!M53,Sheet1!$AA$8:$AA$377)</f>
        <v>797.74999999999636</v>
      </c>
      <c r="E11" s="56">
        <f>SUMIF(Sheet1!$B$8:$B$377,"&gt;="&amp;Conversions!L53,Sheet1!$AB$8:$AB$377)-SUMIF(Sheet1!$B$8:$B$377,"&gt;"&amp;Conversions!M53,Sheet1!$AB$8:$AB$377)</f>
        <v>898.42999999999483</v>
      </c>
      <c r="F11" s="681">
        <f>SUMIF('Calculations II'!$B$8:$B$380,"&gt;="&amp;Conversions!L53,'Calculations II'!$AE$8:$AE$380)-SUMIF('Calculations II'!$B$8:$B$380,"&gt;"&amp;Conversions!M53,'Calculations II'!$AE$8:$AE$380)</f>
        <v>1364.4643188343362</v>
      </c>
      <c r="G11" s="682">
        <f>SUMIF('Calculations II'!$B$8:$B$380,"&gt;="&amp;Conversions!L53,'Calculations II'!$AC$8:$AC$380)-SUMIF('Calculations II'!$B$8:$B$380,"&gt;"&amp;Conversions!M53,'Calculations II'!$AC$8:$AC$380)</f>
        <v>1696.1800000000003</v>
      </c>
      <c r="H11" s="56">
        <f>SUMIF(Calculation!$B$8:$B$380,"&gt;="&amp;Conversions!L53,Calculation!$ES$8:$ES$380)-SUMIF(Calculation!$B$8:$B$380,"&gt;"&amp;Conversions!M53,Calculation!$ES$8:$ES$380)</f>
        <v>-3.6010591976916917</v>
      </c>
      <c r="I11" s="255" t="e">
        <f>SUMIF('Calculations II'!$B$8:$B$380,"&gt;="&amp;Conversions!L53,'Calculations II'!#REF!)-SUMIF('Calculations II'!$B$8:$B$380,"&gt;"&amp;Conversions!M53,'Calculations II'!#REF!)</f>
        <v>#REF!</v>
      </c>
      <c r="J11" s="665" t="e">
        <f>SUMIF('Calculations II'!$B$8:$B$380,"&gt;="&amp;Conversions!L53,'Calculations II'!#REF!)-SUMIF('Calculations II'!$B$8:$B$380,"&gt;"&amp;Conversions!M53,'Calculations II'!#REF!)</f>
        <v>#REF!</v>
      </c>
      <c r="K11" s="666">
        <f ca="1">SUMIF('Calculations II'!$B$8:$B$380,"&gt;="&amp;Conversions!L53,'Calculations II'!$P$8:$P$380)-SUMIF('Calculations II'!$B$8:$B$380,"&gt;"&amp;Conversions!M53,'Calculations II'!$P$8:$P$380)</f>
        <v>-3.6209400105302141</v>
      </c>
      <c r="L11" s="255">
        <f>SUMIF(Sheet1!$B$8:$B$377,"&gt;="&amp;Conversions!L53,Sheet1!$BN$8:$BN$377)-SUMIF(Sheet1!$B$8:$B$377,"&gt;"&amp;Conversions!M53,Sheet1!$BN$8:$BN$377)</f>
        <v>569.19999999999982</v>
      </c>
      <c r="M11" s="56">
        <f>SUMIF(Sheet1!$B$8:$B$377,"&gt;="&amp;Conversions!L53,Sheet1!$CT$8:$CT$377)-SUMIF(Sheet1!$B$8:$B$377,"&gt;"&amp;Conversions!M53,Sheet1!$CT$8:$CT$377)</f>
        <v>488.01600000000235</v>
      </c>
      <c r="N11" s="692">
        <f ca="1">SUMIF('Calculations II'!$B$8:$B$380,"&gt;="&amp;Conversions!L53,'Calculations II'!$AG$8:$AG$380)-SUMIF('Calculations II'!$B$8:$B$380,"&gt;"&amp;Conversions!M53,'Calculations II'!$AG$8:$AG$380)</f>
        <v>875.31305998947028</v>
      </c>
      <c r="O11" s="692">
        <f ca="1">SUMIF('Calculations II'!$B$8:$B$380,"&gt;="&amp;Conversions!L53,'Calculations II'!$AH$8:$AH$380)-SUMIF('Calculations II'!$B$8:$B$380,"&gt;"&amp;Conversions!M53,'Calculations II'!$AH$8:$AH$380)</f>
        <v>1363.3290599894663</v>
      </c>
      <c r="P11" s="56">
        <f>SUMIF(Calculation!$B$8:$B$380,"&gt;="&amp;Conversions!L53,Calculation!$AS$8:$AS$380)-SUMIF(Calculation!$B$8:$B$380,"&gt;"&amp;Conversions!M53,Calculation!$AS$8:$AS$380)</f>
        <v>0</v>
      </c>
      <c r="Q11" s="255">
        <f>SUMIF(Calculation!$B$8:$B$380,"&gt;="&amp;Conversions!L53,Calculation!$DJ$8:$DJ$380)-SUMIF(Calculation!$B$8:$B$380,"&gt;"&amp;Conversions!M53,Calculation!$DJ$8:$DJ$380)</f>
        <v>331.7156811656605</v>
      </c>
      <c r="R11" s="698">
        <f ca="1">SUMIF('Calculations II'!$B$8:$B$380,"&gt;="&amp;Conversions!L53,'Calculations II'!$AI$8:$AI$380)-SUMIF('Calculations II'!$B$8:$B$380,"&gt;"&amp;Conversions!M53,'Calculations II'!$AI$8:$AI$380)</f>
        <v>1695.0447411551286</v>
      </c>
      <c r="S11" s="306">
        <f>SUMIF(Calculation!$B$8:$B$380,"&gt;="&amp;Conversions!$L53,Calculation!$BL$8:$BL$380)-SUMIF(Calculation!$B$8:$B$380,"&gt;"&amp;Conversions!$M53,Calculation!$BL$8:$BL$380)</f>
        <v>32.296815167285104</v>
      </c>
      <c r="T11" s="255">
        <f>SUMIF(Calculation!$B$8:$B$380,"&gt;="&amp;Conversions!$L53,Calculation!$CF$8:$CF$380)-SUMIF(Calculation!$B$8:$B$380,"&gt;"&amp;Conversions!$M53,Calculation!$CF$8:$CF$380)</f>
        <v>97.907519538182441</v>
      </c>
      <c r="U11" s="253">
        <f>SUMIF(Calculation!$B$8:$B$380,"&gt;="&amp;Conversions!$L53,Calculation!$CZ$8:$CZ$380)-SUMIF(Calculation!$B$8:$B$380,"&gt;"&amp;Conversions!$M53,Calculation!$CZ$8:$CZ$380)</f>
        <v>201.51134646019</v>
      </c>
      <c r="V11" s="465">
        <f>SUMIF(Sheet1!$B$8:$B$375,"&gt;="&amp;Conversions!N53,'Calculations II'!$BP$8:$BP$380)-SUMIF(Sheet1!$B$8:$B$375,"&gt;"&amp;Conversions!O53,'Calculations II'!$BP$8:$BP$380)</f>
        <v>0</v>
      </c>
      <c r="X11" s="52"/>
      <c r="Y11" s="52"/>
    </row>
    <row r="12" spans="1:28" x14ac:dyDescent="0.25">
      <c r="A12" s="664" t="s">
        <v>198</v>
      </c>
      <c r="B12" s="253">
        <f>SUMIF(Sheet1!$B$8:$B$361,"&gt;="&amp;Conversions!L54,Sheet1!L$8:L$361)-SUMIF(Sheet1!$B$8:$B$361,"&gt;"&amp;Conversions!M54,Sheet1!L$8:L$361)</f>
        <v>0</v>
      </c>
      <c r="C12" s="306">
        <f>SUMIF('Calculations II'!$B$8:$B$380,"&gt;="&amp;Conversions!L54,'Calculations II'!BC$8:BC$380)-SUMIF('Calculations II'!$B$8:$B$380,"&gt;"&amp;Conversions!M54,'Calculations II'!BC$8:BC$380)</f>
        <v>54.831312000000025</v>
      </c>
      <c r="D12" s="255">
        <f>SUMIF(Sheet1!$B$8:$B$377,"&gt;="&amp;Conversions!L54,Sheet1!$AA$8:AA$377)-SUMIF(Sheet1!$B$8:$B$377,"&gt;"&amp;Conversions!M54,Sheet1!$AA$8:$AA$377)</f>
        <v>774.80000000000746</v>
      </c>
      <c r="E12" s="56">
        <f>SUMIF(Sheet1!$B$8:$B$377,"&gt;="&amp;Conversions!L54,Sheet1!$AB$8:$AB$377)-SUMIF(Sheet1!$B$8:$B$377,"&gt;"&amp;Conversions!M54,Sheet1!$AB$8:$AB$377)</f>
        <v>808.25000000000364</v>
      </c>
      <c r="F12" s="681">
        <f>SUMIF('Calculations II'!$B$8:$B$380,"&gt;="&amp;Conversions!L54,'Calculations II'!$AE$8:$AE$380)-SUMIF('Calculations II'!$B$8:$B$380,"&gt;"&amp;Conversions!M54,'Calculations II'!$AE$8:$AE$380)</f>
        <v>1318.4103658837957</v>
      </c>
      <c r="G12" s="682">
        <f>SUMIF('Calculations II'!$B$8:$B$380,"&gt;="&amp;Conversions!L54,'Calculations II'!$AC$8:$AC$380)-SUMIF('Calculations II'!$B$8:$B$380,"&gt;"&amp;Conversions!M54,'Calculations II'!$AC$8:$AC$380)</f>
        <v>1637.8813119999904</v>
      </c>
      <c r="H12" s="56">
        <f>SUMIF(Calculation!$B$8:$B$380,"&gt;="&amp;Conversions!L54,Calculation!$ES$8:$ES$380)-SUMIF(Calculation!$B$8:$B$380,"&gt;"&amp;Conversions!M54,Calculation!$ES$8:$ES$380)</f>
        <v>30.091442537240603</v>
      </c>
      <c r="I12" s="255" t="e">
        <f>SUMIF('Calculations II'!$B$8:$B$380,"&gt;="&amp;Conversions!L54,'Calculations II'!#REF!)-SUMIF('Calculations II'!$B$8:$B$380,"&gt;"&amp;Conversions!M54,'Calculations II'!#REF!)</f>
        <v>#REF!</v>
      </c>
      <c r="J12" s="665" t="e">
        <f>SUMIF('Calculations II'!$B$8:$B$380,"&gt;="&amp;Conversions!L54,'Calculations II'!#REF!)-SUMIF('Calculations II'!$B$8:$B$380,"&gt;"&amp;Conversions!M54,'Calculations II'!#REF!)</f>
        <v>#REF!</v>
      </c>
      <c r="K12" s="666">
        <f ca="1">SUMIF('Calculations II'!$B$8:$B$380,"&gt;="&amp;Conversions!L54,'Calculations II'!$P$8:$P$380)-SUMIF('Calculations II'!$B$8:$B$380,"&gt;"&amp;Conversions!M54,'Calculations II'!$P$8:$P$380)</f>
        <v>29.460741126355614</v>
      </c>
      <c r="L12" s="255">
        <f>SUMIF(Sheet1!$B$8:$B$377,"&gt;="&amp;Conversions!L54,Sheet1!$BN$8:$BN$377)-SUMIF(Sheet1!$B$8:$B$377,"&gt;"&amp;Conversions!M54,Sheet1!$BN$8:$BN$377)</f>
        <v>489.78000000000156</v>
      </c>
      <c r="M12" s="56">
        <f>SUMIF(Sheet1!$B$8:$B$377,"&gt;="&amp;Conversions!L54,Sheet1!$CT$8:$CT$377)-SUMIF(Sheet1!$B$8:$B$377,"&gt;"&amp;Conversions!M54,Sheet1!$CT$8:$CT$377)</f>
        <v>468.88099999999622</v>
      </c>
      <c r="N12" s="692">
        <f ca="1">SUMIF('Calculations II'!$B$8:$B$380,"&gt;="&amp;Conversions!L54,'Calculations II'!$AG$8:$AG$380)-SUMIF('Calculations II'!$B$8:$B$380,"&gt;"&amp;Conversions!M54,'Calculations II'!$AG$8:$AG$380)</f>
        <v>849.56536243816845</v>
      </c>
      <c r="O12" s="692">
        <f ca="1">SUMIF('Calculations II'!$B$8:$B$380,"&gt;="&amp;Conversions!L54,'Calculations II'!$AH$8:$AH$380)-SUMIF('Calculations II'!$B$8:$B$380,"&gt;"&amp;Conversions!M54,'Calculations II'!$AH$8:$AH$380)</f>
        <v>1318.4463624381569</v>
      </c>
      <c r="P12" s="56">
        <f>SUMIF(Calculation!$B$8:$B$380,"&gt;="&amp;Conversions!L54,Calculation!$AS$8:$AS$380)-SUMIF(Calculation!$B$8:$B$380,"&gt;"&amp;Conversions!M54,Calculation!$AS$8:$AS$380)</f>
        <v>0</v>
      </c>
      <c r="Q12" s="255">
        <f>SUMIF(Calculation!$B$8:$B$380,"&gt;="&amp;Conversions!L54,Calculation!$DJ$8:$DJ$380)-SUMIF(Calculation!$B$8:$B$380,"&gt;"&amp;Conversions!M54,Calculation!$DJ$8:$DJ$380)</f>
        <v>319.47094611620332</v>
      </c>
      <c r="R12" s="698">
        <f ca="1">SUMIF('Calculations II'!$B$8:$B$380,"&gt;="&amp;Conversions!L54,'Calculations II'!$AI$8:$AI$380)-SUMIF('Calculations II'!$B$8:$B$380,"&gt;"&amp;Conversions!M54,'Calculations II'!$AI$8:$AI$380)</f>
        <v>1637.9173085543662</v>
      </c>
      <c r="S12" s="306">
        <f>SUMIF(Calculation!$B$8:$B$380,"&gt;="&amp;Conversions!$L54,Calculation!$BL$8:$BL$380)-SUMIF(Calculation!$B$8:$B$380,"&gt;"&amp;Conversions!$M54,Calculation!$BL$8:$BL$380)</f>
        <v>30.241363981085442</v>
      </c>
      <c r="T12" s="255">
        <f>SUMIF(Calculation!$B$8:$B$380,"&gt;="&amp;Conversions!$L54,Calculation!$CF$8:$CF$380)-SUMIF(Calculation!$B$8:$B$380,"&gt;"&amp;Conversions!$M54,Calculation!$CF$8:$CF$380)</f>
        <v>95.039687005788437</v>
      </c>
      <c r="U12" s="253">
        <f>SUMIF(Calculation!$B$8:$B$380,"&gt;="&amp;Conversions!$L54,Calculation!$CZ$8:$CZ$380)-SUMIF(Calculation!$B$8:$B$380,"&gt;"&amp;Conversions!$M54,Calculation!$CZ$8:$CZ$380)</f>
        <v>194.18989512933194</v>
      </c>
      <c r="V12" s="465">
        <f>SUMIF(Sheet1!$B$8:$B$375,"&gt;="&amp;Conversions!N54,'Calculations II'!$BP$8:$BP$380)-SUMIF(Sheet1!$B$8:$B$375,"&gt;"&amp;Conversions!O54,'Calculations II'!$BP$8:$BP$380)</f>
        <v>30.425690688193818</v>
      </c>
      <c r="X12" s="52"/>
      <c r="Y12" s="52"/>
    </row>
    <row r="13" spans="1:28" x14ac:dyDescent="0.25">
      <c r="A13" s="664" t="s">
        <v>199</v>
      </c>
      <c r="B13" s="253">
        <f>SUMIF(Sheet1!$B$8:$B$361,"&gt;="&amp;Conversions!L55,Sheet1!L$8:L$361)-SUMIF(Sheet1!$B$8:$B$361,"&gt;"&amp;Conversions!M55,Sheet1!L$8:L$361)</f>
        <v>140.72999999999956</v>
      </c>
      <c r="C13" s="306">
        <f>SUMIF('Calculations II'!$B$8:$B$380,"&gt;="&amp;Conversions!L55,'Calculations II'!BC$8:BC$380)-SUMIF('Calculations II'!$B$8:$B$380,"&gt;"&amp;Conversions!M55,'Calculations II'!BC$8:BC$380)</f>
        <v>162.64627199999995</v>
      </c>
      <c r="D13" s="255">
        <f>SUMIF(Sheet1!$B$8:$B$377,"&gt;="&amp;Conversions!L55,Sheet1!$AA$8:AA$377)-SUMIF(Sheet1!$B$8:$B$377,"&gt;"&amp;Conversions!M55,Sheet1!$AA$8:$AA$377)</f>
        <v>824.41999999999916</v>
      </c>
      <c r="E13" s="56">
        <f>SUMIF(Sheet1!$B$8:$B$377,"&gt;="&amp;Conversions!L55,Sheet1!$AB$8:$AB$377)-SUMIF(Sheet1!$B$8:$B$377,"&gt;"&amp;Conversions!M55,Sheet1!$AB$8:$AB$377)</f>
        <v>953.17999999999665</v>
      </c>
      <c r="F13" s="681">
        <f>SUMIF('Calculations II'!$B$8:$B$380,"&gt;="&amp;Conversions!L55,'Calculations II'!$AE$8:$AE$380)-SUMIF('Calculations II'!$B$8:$B$380,"&gt;"&amp;Conversions!M55,'Calculations II'!$AE$8:$AE$380)</f>
        <v>1565.6164161310953</v>
      </c>
      <c r="G13" s="682">
        <f>SUMIF('Calculations II'!$B$8:$B$380,"&gt;="&amp;Conversions!L55,'Calculations II'!$AC$8:$AC$380)-SUMIF('Calculations II'!$B$8:$B$380,"&gt;"&amp;Conversions!M55,'Calculations II'!$AC$8:$AC$380)</f>
        <v>1940.2462719999894</v>
      </c>
      <c r="H13" s="56">
        <f>SUMIF(Calculation!$B$8:$B$380,"&gt;="&amp;Conversions!L55,Calculation!$ES$8:$ES$380)-SUMIF(Calculation!$B$8:$B$380,"&gt;"&amp;Conversions!M55,Calculation!$ES$8:$ES$380)</f>
        <v>-26.351898564707859</v>
      </c>
      <c r="I13" s="255" t="e">
        <f>SUMIF('Calculations II'!$B$8:$B$380,"&gt;="&amp;Conversions!L55,'Calculations II'!#REF!)-SUMIF('Calculations II'!$B$8:$B$380,"&gt;"&amp;Conversions!M55,'Calculations II'!#REF!)</f>
        <v>#REF!</v>
      </c>
      <c r="J13" s="665" t="e">
        <f>SUMIF('Calculations II'!$B$8:$B$380,"&gt;="&amp;Conversions!L55,'Calculations II'!#REF!)-SUMIF('Calculations II'!$B$8:$B$380,"&gt;"&amp;Conversions!M55,'Calculations II'!#REF!)</f>
        <v>#REF!</v>
      </c>
      <c r="K13" s="666">
        <f ca="1">SUMIF('Calculations II'!$B$8:$B$380,"&gt;="&amp;Conversions!L55,'Calculations II'!$P$8:$P$380)-SUMIF('Calculations II'!$B$8:$B$380,"&gt;"&amp;Conversions!M55,'Calculations II'!$P$8:$P$380)</f>
        <v>-27.226824058411054</v>
      </c>
      <c r="L13" s="255">
        <f>SUMIF(Sheet1!$B$8:$B$377,"&gt;="&amp;Conversions!L55,Sheet1!$BN$8:$BN$377)-SUMIF(Sheet1!$B$8:$B$377,"&gt;"&amp;Conversions!M55,Sheet1!$BN$8:$BN$377)</f>
        <v>580.08999999999924</v>
      </c>
      <c r="M13" s="56">
        <f>SUMIF(Sheet1!$B$8:$B$377,"&gt;="&amp;Conversions!L55,Sheet1!$CT$8:$CT$377)-SUMIF(Sheet1!$B$8:$B$377,"&gt;"&amp;Conversions!M55,Sheet1!$CT$8:$CT$377)</f>
        <v>499.30100000000039</v>
      </c>
      <c r="N13" s="692">
        <f ca="1">SUMIF('Calculations II'!$B$8:$B$380,"&gt;="&amp;Conversions!L55,'Calculations II'!$AG$8:$AG$380)-SUMIF('Calculations II'!$B$8:$B$380,"&gt;"&amp;Conversions!M55,'Calculations II'!$AG$8:$AG$380)</f>
        <v>1040.6284479415917</v>
      </c>
      <c r="O13" s="692">
        <f ca="1">SUMIF('Calculations II'!$B$8:$B$380,"&gt;="&amp;Conversions!L55,'Calculations II'!$AH$8:$AH$380)-SUMIF('Calculations II'!$B$8:$B$380,"&gt;"&amp;Conversions!M55,'Calculations II'!$AH$8:$AH$380)</f>
        <v>1539.9294479415948</v>
      </c>
      <c r="P13" s="56">
        <f>SUMIF(Calculation!$B$8:$B$380,"&gt;="&amp;Conversions!L55,Calculation!$AS$8:$AS$380)-SUMIF(Calculation!$B$8:$B$380,"&gt;"&amp;Conversions!M55,Calculation!$AS$8:$AS$380)</f>
        <v>0</v>
      </c>
      <c r="Q13" s="255">
        <f>SUMIF(Calculation!$B$8:$B$380,"&gt;="&amp;Conversions!L55,Calculation!$DJ$8:$DJ$380)-SUMIF(Calculation!$B$8:$B$380,"&gt;"&amp;Conversions!M55,Calculation!$DJ$8:$DJ$380)</f>
        <v>374.62985586890773</v>
      </c>
      <c r="R13" s="698">
        <f ca="1">SUMIF('Calculations II'!$B$8:$B$380,"&gt;="&amp;Conversions!L55,'Calculations II'!$AI$8:$AI$380)-SUMIF('Calculations II'!$B$8:$B$380,"&gt;"&amp;Conversions!M55,'Calculations II'!$AI$8:$AI$380)</f>
        <v>1914.5593038104998</v>
      </c>
      <c r="S13" s="306">
        <f>SUMIF(Calculation!$B$8:$B$380,"&gt;="&amp;Conversions!$L55,Calculation!$BL$8:$BL$380)-SUMIF(Calculation!$B$8:$B$380,"&gt;"&amp;Conversions!$M55,Calculation!$BL$8:$BL$380)</f>
        <v>33.43111703957743</v>
      </c>
      <c r="T13" s="255">
        <f>SUMIF(Calculation!$B$8:$B$380,"&gt;="&amp;Conversions!$L55,Calculation!$CF$8:$CF$380)-SUMIF(Calculation!$B$8:$B$380,"&gt;"&amp;Conversions!$M55,Calculation!$CF$8:$CF$380)</f>
        <v>131.55213278401095</v>
      </c>
      <c r="U13" s="253">
        <f>SUMIF(Calculation!$B$8:$B$380,"&gt;="&amp;Conversions!$L55,Calculation!$CZ$8:$CZ$380)-SUMIF(Calculation!$B$8:$B$380,"&gt;"&amp;Conversions!$M55,Calculation!$CZ$8:$CZ$380)</f>
        <v>209.64660604531809</v>
      </c>
      <c r="V13" s="465">
        <f>SUMIF(Sheet1!$B$8:$B$375,"&gt;="&amp;Conversions!N55,'Calculations II'!$BP$8:$BP$380)-SUMIF(Sheet1!$B$8:$B$375,"&gt;"&amp;Conversions!O55,'Calculations II'!$BP$8:$BP$380)</f>
        <v>0</v>
      </c>
      <c r="X13" s="52"/>
      <c r="Y13" s="52"/>
    </row>
    <row r="14" spans="1:28" x14ac:dyDescent="0.25">
      <c r="A14" s="664" t="s">
        <v>200</v>
      </c>
      <c r="B14" s="253">
        <f>SUMIF(Sheet1!$B$8:$B$361,"&gt;="&amp;Conversions!L56,Sheet1!L$8:L$361)-SUMIF(Sheet1!$B$8:$B$361,"&gt;"&amp;Conversions!M56,Sheet1!L$8:L$361)</f>
        <v>0</v>
      </c>
      <c r="C14" s="306">
        <f>SUMIF('Calculations II'!$B$8:$B$380,"&gt;="&amp;Conversions!L56,'Calculations II'!BC$8:BC$380)-SUMIF('Calculations II'!$B$8:$B$380,"&gt;"&amp;Conversions!M56,'Calculations II'!BC$8:BC$380)</f>
        <v>70.124687999999992</v>
      </c>
      <c r="D14" s="255">
        <f>SUMIF(Sheet1!$B$8:$B$377,"&gt;="&amp;Conversions!L56,Sheet1!$AA$8:AA$377)-SUMIF(Sheet1!$B$8:$B$377,"&gt;"&amp;Conversions!M56,Sheet1!$AA$8:$AA$377)</f>
        <v>908.8799999999992</v>
      </c>
      <c r="E14" s="56">
        <f>SUMIF(Sheet1!$B$8:$B$377,"&gt;="&amp;Conversions!L56,Sheet1!$AB$8:$AB$377)-SUMIF(Sheet1!$B$8:$B$377,"&gt;"&amp;Conversions!M56,Sheet1!$AB$8:$AB$377)</f>
        <v>1281.1400000000021</v>
      </c>
      <c r="F14" s="681">
        <f>SUMIF('Calculations II'!$B$8:$B$380,"&gt;="&amp;Conversions!L56,'Calculations II'!$AE$8:$AE$380)-SUMIF('Calculations II'!$B$8:$B$380,"&gt;"&amp;Conversions!M56,'Calculations II'!$AE$8:$AE$380)</f>
        <v>1817.6888014630094</v>
      </c>
      <c r="G14" s="682">
        <f>SUMIF('Calculations II'!$B$8:$B$380,"&gt;="&amp;Conversions!L56,'Calculations II'!$AC$8:$AC$380)-SUMIF('Calculations II'!$B$8:$B$380,"&gt;"&amp;Conversions!M56,'Calculations II'!$AC$8:$AC$380)</f>
        <v>2260.1446880000003</v>
      </c>
      <c r="H14" s="56">
        <f>SUMIF(Calculation!$B$8:$B$380,"&gt;="&amp;Conversions!L56,Calculation!$ES$8:$ES$380)-SUMIF(Calculation!$B$8:$B$380,"&gt;"&amp;Conversions!M56,Calculation!$ES$8:$ES$380)</f>
        <v>3.183733788623436</v>
      </c>
      <c r="I14" s="255" t="e">
        <f>SUMIF('Calculations II'!$B$8:$B$380,"&gt;="&amp;Conversions!L56,'Calculations II'!#REF!)-SUMIF('Calculations II'!$B$8:$B$380,"&gt;"&amp;Conversions!M56,'Calculations II'!#REF!)</f>
        <v>#REF!</v>
      </c>
      <c r="J14" s="665" t="e">
        <f>SUMIF('Calculations II'!$B$8:$B$380,"&gt;="&amp;Conversions!L56,'Calculations II'!#REF!)-SUMIF('Calculations II'!$B$8:$B$380,"&gt;"&amp;Conversions!M56,'Calculations II'!#REF!)</f>
        <v>#REF!</v>
      </c>
      <c r="K14" s="666">
        <f ca="1">SUMIF('Calculations II'!$B$8:$B$380,"&gt;="&amp;Conversions!L56,'Calculations II'!$P$8:$P$380)-SUMIF('Calculations II'!$B$8:$B$380,"&gt;"&amp;Conversions!M56,'Calculations II'!$P$8:$P$380)</f>
        <v>2.4207952827220884</v>
      </c>
      <c r="L14" s="255">
        <f>SUMIF(Sheet1!$B$8:$B$377,"&gt;="&amp;Conversions!L56,Sheet1!$BN$8:$BN$377)-SUMIF(Sheet1!$B$8:$B$377,"&gt;"&amp;Conversions!M56,Sheet1!$BN$8:$BN$377)</f>
        <v>838.94999999999709</v>
      </c>
      <c r="M14" s="56">
        <f>SUMIF(Sheet1!$B$8:$B$377,"&gt;="&amp;Conversions!L56,Sheet1!$CT$8:$CT$377)-SUMIF(Sheet1!$B$8:$B$377,"&gt;"&amp;Conversions!M56,Sheet1!$CT$8:$CT$377)</f>
        <v>474.19299999999976</v>
      </c>
      <c r="N14" s="692">
        <f ca="1">SUMIF('Calculations II'!$B$8:$B$380,"&gt;="&amp;Conversions!L56,'Calculations II'!$AG$8:$AG$380)-SUMIF('Calculations II'!$B$8:$B$380,"&gt;"&amp;Conversions!M56,'Calculations II'!$AG$8:$AG$380)</f>
        <v>1346.1824832827251</v>
      </c>
      <c r="O14" s="692">
        <f ca="1">SUMIF('Calculations II'!$B$8:$B$380,"&gt;="&amp;Conversions!L56,'Calculations II'!$AH$8:$AH$380)-SUMIF('Calculations II'!$B$8:$B$380,"&gt;"&amp;Conversions!M56,'Calculations II'!$AH$8:$AH$380)</f>
        <v>1820.3754832827181</v>
      </c>
      <c r="P14" s="56">
        <f>SUMIF(Calculation!$B$8:$B$380,"&gt;="&amp;Conversions!L56,Calculation!$AS$8:$AS$380)-SUMIF(Calculation!$B$8:$B$380,"&gt;"&amp;Conversions!M56,Calculation!$AS$8:$AS$380)</f>
        <v>0</v>
      </c>
      <c r="Q14" s="255">
        <f>SUMIF(Calculation!$B$8:$B$380,"&gt;="&amp;Conversions!L56,Calculation!$DJ$8:$DJ$380)-SUMIF(Calculation!$B$8:$B$380,"&gt;"&amp;Conversions!M56,Calculation!$DJ$8:$DJ$380)</f>
        <v>442.45588653698906</v>
      </c>
      <c r="R14" s="698">
        <f ca="1">SUMIF('Calculations II'!$B$8:$B$380,"&gt;="&amp;Conversions!L56,'Calculations II'!$AI$8:$AI$380)-SUMIF('Calculations II'!$B$8:$B$380,"&gt;"&amp;Conversions!M56,'Calculations II'!$AI$8:$AI$380)</f>
        <v>2262.8313698197126</v>
      </c>
      <c r="S14" s="306">
        <f>SUMIF(Calculation!$B$8:$B$380,"&gt;="&amp;Conversions!$L56,Calculation!$BL$8:$BL$380)-SUMIF(Calculation!$B$8:$B$380,"&gt;"&amp;Conversions!$M56,Calculation!$BL$8:$BL$380)</f>
        <v>54.244210217955242</v>
      </c>
      <c r="T14" s="255">
        <f>SUMIF(Calculation!$B$8:$B$380,"&gt;="&amp;Conversions!$L56,Calculation!$CF$8:$CF$380)-SUMIF(Calculation!$B$8:$B$380,"&gt;"&amp;Conversions!$M56,Calculation!$CF$8:$CF$380)</f>
        <v>133.78685182946379</v>
      </c>
      <c r="U14" s="253">
        <f>SUMIF(Calculation!$B$8:$B$380,"&gt;="&amp;Conversions!$L56,Calculation!$CZ$8:$CZ$380)-SUMIF(Calculation!$B$8:$B$380,"&gt;"&amp;Conversions!$M56,Calculation!$CZ$8:$CZ$380)</f>
        <v>254.4248244895698</v>
      </c>
      <c r="V14" s="465">
        <f>SUMIF(Sheet1!$B$8:$B$375,"&gt;="&amp;Conversions!N56,'Calculations II'!$BP$8:$BP$380)-SUMIF(Sheet1!$B$8:$B$375,"&gt;"&amp;Conversions!O56,'Calculations II'!$BP$8:$BP$380)</f>
        <v>0</v>
      </c>
      <c r="X14" s="52"/>
      <c r="Y14" s="52"/>
    </row>
    <row r="15" spans="1:28" ht="12.75" customHeight="1" x14ac:dyDescent="0.25">
      <c r="A15" s="664" t="s">
        <v>201</v>
      </c>
      <c r="B15" s="253">
        <f>SUMIF(Sheet1!$B$8:$B$361,"&gt;="&amp;Conversions!L57,Sheet1!L$8:L$361)-SUMIF(Sheet1!$B$8:$B$361,"&gt;"&amp;Conversions!M57,Sheet1!L$8:L$361)</f>
        <v>0</v>
      </c>
      <c r="C15" s="306">
        <f>SUMIF('Calculations II'!$B$8:$B$380,"&gt;="&amp;Conversions!L57,'Calculations II'!BC$8:BC$380)-SUMIF('Calculations II'!$B$8:$B$380,"&gt;"&amp;Conversions!M57,'Calculations II'!BC$8:BC$380)</f>
        <v>103.64745600000003</v>
      </c>
      <c r="D15" s="255">
        <f>SUMIF(Sheet1!$B$8:$B$377,"&gt;="&amp;Conversions!L57,Sheet1!$AA$8:AA$377)-SUMIF(Sheet1!$B$8:$B$377,"&gt;"&amp;Conversions!M57,Sheet1!$AA$8:$AA$377)</f>
        <v>1004.3400000000074</v>
      </c>
      <c r="E15" s="56">
        <f>SUMIF(Sheet1!$B$8:$B$377,"&gt;="&amp;Conversions!L57,Sheet1!$AB$8:$AB$377)-SUMIF(Sheet1!$B$8:$B$377,"&gt;"&amp;Conversions!M57,Sheet1!$AB$8:$AB$377)</f>
        <v>1854.3999999999969</v>
      </c>
      <c r="F15" s="681">
        <f>SUMIF('Calculations II'!$B$8:$B$380,"&gt;="&amp;Conversions!L57,'Calculations II'!$AE$8:$AE$380)-SUMIF('Calculations II'!$B$8:$B$380,"&gt;"&amp;Conversions!M57,'Calculations II'!$AE$8:$AE$380)</f>
        <v>2337.7380778751776</v>
      </c>
      <c r="G15" s="682">
        <f>SUMIF('Calculations II'!$B$8:$B$380,"&gt;="&amp;Conversions!L57,'Calculations II'!$AC$8:$AC$380)-SUMIF('Calculations II'!$B$8:$B$380,"&gt;"&amp;Conversions!M57,'Calculations II'!$AC$8:$AC$380)</f>
        <v>2962.3874559999986</v>
      </c>
      <c r="H15" s="56">
        <f>SUMIF(Calculation!$B$8:$B$380,"&gt;="&amp;Conversions!L57,Calculation!$ES$8:$ES$380)-SUMIF(Calculation!$B$8:$B$380,"&gt;"&amp;Conversions!M57,Calculation!$ES$8:$ES$380)</f>
        <v>-2.0761631572854382</v>
      </c>
      <c r="I15" s="255" t="e">
        <f>SUMIF('Calculations II'!$B$8:$B$380,"&gt;="&amp;Conversions!L57,'Calculations II'!#REF!)-SUMIF('Calculations II'!$B$8:$B$380,"&gt;"&amp;Conversions!M57,'Calculations II'!#REF!)</f>
        <v>#REF!</v>
      </c>
      <c r="J15" s="665" t="e">
        <f>SUMIF('Calculations II'!$B$8:$B$380,"&gt;="&amp;Conversions!L57,'Calculations II'!#REF!)-SUMIF('Calculations II'!$B$8:$B$380,"&gt;"&amp;Conversions!M57,'Calculations II'!#REF!)</f>
        <v>#REF!</v>
      </c>
      <c r="K15" s="666">
        <f ca="1">SUMIF('Calculations II'!$B$8:$B$380,"&gt;="&amp;Conversions!L57,'Calculations II'!$P$8:$P$380)-SUMIF('Calculations II'!$B$8:$B$380,"&gt;"&amp;Conversions!M57,'Calculations II'!$P$8:$P$380)</f>
        <v>-2.4683277440514209</v>
      </c>
      <c r="L15" s="255">
        <f>SUMIF(Sheet1!$B$8:$B$377,"&gt;="&amp;Conversions!L57,Sheet1!$BN$8:$BN$377)-SUMIF(Sheet1!$B$8:$B$377,"&gt;"&amp;Conversions!M57,Sheet1!$BN$8:$BN$377)</f>
        <v>1232.9000000000001</v>
      </c>
      <c r="M15" s="56">
        <f>SUMIF(Sheet1!$B$8:$B$377,"&gt;="&amp;Conversions!L57,Sheet1!$CT$8:$CT$377)-SUMIF(Sheet1!$B$8:$B$377,"&gt;"&amp;Conversions!M57,Sheet1!$CT$8:$CT$377)</f>
        <v>503.78999999999996</v>
      </c>
      <c r="N15" s="692">
        <f ca="1">SUMIF('Calculations II'!$B$8:$B$380,"&gt;="&amp;Conversions!L57,'Calculations II'!$AG$8:$AG$380)-SUMIF('Calculations II'!$B$8:$B$380,"&gt;"&amp;Conversions!M57,'Calculations II'!$AG$8:$AG$380)</f>
        <v>1834.629128255945</v>
      </c>
      <c r="O15" s="692">
        <f ca="1">SUMIF('Calculations II'!$B$8:$B$380,"&gt;="&amp;Conversions!L57,'Calculations II'!$AH$8:$AH$380)-SUMIF('Calculations II'!$B$8:$B$380,"&gt;"&amp;Conversions!M57,'Calculations II'!$AH$8:$AH$380)</f>
        <v>2338.4191282559495</v>
      </c>
      <c r="P15" s="56">
        <f>SUMIF(Calculation!$B$8:$B$380,"&gt;="&amp;Conversions!L57,Calculation!$AS$8:$AS$380)-SUMIF(Calculation!$B$8:$B$380,"&gt;"&amp;Conversions!M57,Calculation!$AS$8:$AS$380)</f>
        <v>0.7900000000000027</v>
      </c>
      <c r="Q15" s="255">
        <f>SUMIF(Calculation!$B$8:$B$380,"&gt;="&amp;Conversions!L57,Calculation!$DJ$8:$DJ$380)-SUMIF(Calculation!$B$8:$B$380,"&gt;"&amp;Conversions!M57,Calculation!$DJ$8:$DJ$380)</f>
        <v>623.85937812482825</v>
      </c>
      <c r="R15" s="698">
        <f ca="1">SUMIF('Calculations II'!$B$8:$B$380,"&gt;="&amp;Conversions!L57,'Calculations II'!$AI$8:$AI$380)-SUMIF('Calculations II'!$B$8:$B$380,"&gt;"&amp;Conversions!M57,'Calculations II'!$AI$8:$AI$380)</f>
        <v>2963.0685063807759</v>
      </c>
      <c r="S15" s="306">
        <f>SUMIF(Calculation!$B$8:$B$380,"&gt;="&amp;Conversions!$L57,Calculation!$BL$8:$BL$380)-SUMIF(Calculation!$B$8:$B$380,"&gt;"&amp;Conversions!$M57,Calculation!$BL$8:$BL$380)</f>
        <v>80.250854103732308</v>
      </c>
      <c r="T15" s="255">
        <f>SUMIF(Calculation!$B$8:$B$380,"&gt;="&amp;Conversions!$L57,Calculation!$CF$8:$CF$380)-SUMIF(Calculation!$B$8:$B$380,"&gt;"&amp;Conversions!$M57,Calculation!$CF$8:$CF$380)</f>
        <v>207.10946027137129</v>
      </c>
      <c r="U15" s="253">
        <f>SUMIF(Calculation!$B$8:$B$380,"&gt;="&amp;Conversions!$L57,Calculation!$CZ$8:$CZ$380)-SUMIF(Calculation!$B$8:$B$380,"&gt;"&amp;Conversions!$M57,Calculation!$CZ$8:$CZ$380)</f>
        <v>336.4990637497267</v>
      </c>
      <c r="V15" s="465">
        <f>SUMIF(Sheet1!$B$8:$B$375,"&gt;="&amp;Conversions!N57,'Calculations II'!$BP$8:$BP$380)-SUMIF(Sheet1!$B$8:$B$375,"&gt;"&amp;Conversions!O57,'Calculations II'!$BP$8:$BP$380)</f>
        <v>0</v>
      </c>
      <c r="X15" s="52"/>
      <c r="Y15" s="52"/>
    </row>
    <row r="16" spans="1:28" x14ac:dyDescent="0.25">
      <c r="A16" s="664" t="s">
        <v>202</v>
      </c>
      <c r="B16" s="253">
        <f>SUMIF(Sheet1!$B$8:$B$361,"&gt;="&amp;Conversions!L58,Sheet1!L$8:L$361)-SUMIF(Sheet1!$B$8:$B$361,"&gt;"&amp;Conversions!M58,Sheet1!L$8:L$361)</f>
        <v>0</v>
      </c>
      <c r="C16" s="306">
        <f>SUMIF('Calculations II'!$B$8:$B$380,"&gt;="&amp;Conversions!L58,'Calculations II'!BC$8:BC$380)-SUMIF('Calculations II'!$B$8:$B$380,"&gt;"&amp;Conversions!M58,'Calculations II'!BC$8:BC$380)</f>
        <v>319.07491199999998</v>
      </c>
      <c r="D16" s="255">
        <f>SUMIF(Sheet1!$B$8:$B$377,"&gt;="&amp;Conversions!L58,Sheet1!$AA$8:AA$377)-SUMIF(Sheet1!$B$8:$B$377,"&gt;"&amp;Conversions!M58,Sheet1!$AA$8:$AA$377)</f>
        <v>1597.9800000000046</v>
      </c>
      <c r="E16" s="56">
        <f>SUMIF(Sheet1!$B$8:$B$377,"&gt;="&amp;Conversions!L58,Sheet1!$AB$8:$AB$377)-SUMIF(Sheet1!$B$8:$B$377,"&gt;"&amp;Conversions!M58,Sheet1!$AB$8:$AB$377)</f>
        <v>1192.5899999999974</v>
      </c>
      <c r="F16" s="681">
        <f>SUMIF('Calculations II'!$B$8:$B$380,"&gt;="&amp;Conversions!L58,'Calculations II'!$AE$8:$AE$380)-SUMIF('Calculations II'!$B$8:$B$380,"&gt;"&amp;Conversions!M58,'Calculations II'!$AE$8:$AE$380)</f>
        <v>2349.7792816058973</v>
      </c>
      <c r="G16" s="682">
        <f>SUMIF('Calculations II'!$B$8:$B$380,"&gt;="&amp;Conversions!L58,'Calculations II'!$AC$8:$AC$380)-SUMIF('Calculations II'!$B$8:$B$380,"&gt;"&amp;Conversions!M58,'Calculations II'!$AC$8:$AC$380)</f>
        <v>3109.6449120000043</v>
      </c>
      <c r="H16" s="56">
        <f>SUMIF(Calculation!$B$8:$B$380,"&gt;="&amp;Conversions!L58,Calculation!$ES$8:$ES$380)-SUMIF(Calculation!$B$8:$B$380,"&gt;"&amp;Conversions!M58,Calculation!$ES$8:$ES$380)</f>
        <v>-5.1242123349358621</v>
      </c>
      <c r="I16" s="255" t="e">
        <f>SUMIF('Calculations II'!$B$8:$B$380,"&gt;="&amp;Conversions!L58,'Calculations II'!#REF!)-SUMIF('Calculations II'!$B$8:$B$380,"&gt;"&amp;Conversions!M58,'Calculations II'!#REF!)</f>
        <v>#REF!</v>
      </c>
      <c r="J16" s="665" t="e">
        <f>SUMIF('Calculations II'!$B$8:$B$380,"&gt;="&amp;Conversions!L58,'Calculations II'!#REF!)-SUMIF('Calculations II'!$B$8:$B$380,"&gt;"&amp;Conversions!M58,'Calculations II'!#REF!)</f>
        <v>#REF!</v>
      </c>
      <c r="K16" s="666">
        <f ca="1">SUMIF('Calculations II'!$B$8:$B$380,"&gt;="&amp;Conversions!L58,'Calculations II'!$P$8:$P$380)-SUMIF('Calculations II'!$B$8:$B$380,"&gt;"&amp;Conversions!M58,'Calculations II'!$P$8:$P$380)</f>
        <v>-4.6186935301724308</v>
      </c>
      <c r="L16" s="255">
        <f>SUMIF(Sheet1!$B$8:$B$377,"&gt;="&amp;Conversions!L58,Sheet1!$BN$8:$BN$377)-SUMIF(Sheet1!$B$8:$B$377,"&gt;"&amp;Conversions!M58,Sheet1!$BN$8:$BN$377)</f>
        <v>434.19999999999982</v>
      </c>
      <c r="M16" s="56">
        <f>SUMIF(Sheet1!$B$8:$B$377,"&gt;="&amp;Conversions!L58,Sheet1!$CT$8:$CT$377)-SUMIF(Sheet1!$B$8:$B$377,"&gt;"&amp;Conversions!M58,Sheet1!$CT$8:$CT$377)</f>
        <v>510.21400000000199</v>
      </c>
      <c r="N16" s="692">
        <f ca="1">SUMIF('Calculations II'!$B$8:$B$380,"&gt;="&amp;Conversions!L58,'Calculations II'!$AG$8:$AG$380)-SUMIF('Calculations II'!$B$8:$B$380,"&gt;"&amp;Conversions!M58,'Calculations II'!$AG$8:$AG$380)</f>
        <v>1836.4222184698256</v>
      </c>
      <c r="O16" s="692">
        <f ca="1">SUMIF('Calculations II'!$B$8:$B$380,"&gt;="&amp;Conversions!L58,'Calculations II'!$AH$8:$AH$380)-SUMIF('Calculations II'!$B$8:$B$380,"&gt;"&amp;Conversions!M58,'Calculations II'!$AH$8:$AH$380)</f>
        <v>2346.6362184698273</v>
      </c>
      <c r="P16" s="56">
        <f>SUMIF(Calculation!$B$8:$B$380,"&gt;="&amp;Conversions!L58,Calculation!$AS$8:$AS$380)-SUMIF(Calculation!$B$8:$B$380,"&gt;"&amp;Conversions!M58,Calculation!$AS$8:$AS$380)</f>
        <v>7.5299999999999976</v>
      </c>
      <c r="Q16" s="255">
        <f>SUMIF(Calculation!$B$8:$B$380,"&gt;="&amp;Conversions!L58,Calculation!$DJ$8:$DJ$380)-SUMIF(Calculation!$B$8:$B$380,"&gt;"&amp;Conversions!M58,Calculation!$DJ$8:$DJ$380)</f>
        <v>752.33563039410342</v>
      </c>
      <c r="R16" s="698">
        <f ca="1">SUMIF('Calculations II'!$B$8:$B$380,"&gt;="&amp;Conversions!L58,'Calculations II'!$AI$8:$AI$380)-SUMIF('Calculations II'!$B$8:$B$380,"&gt;"&amp;Conversions!M58,'Calculations II'!$AI$8:$AI$380)</f>
        <v>3106.5018488639244</v>
      </c>
      <c r="S16" s="306">
        <f>SUMIF(Calculation!$B$8:$B$380,"&gt;="&amp;Conversions!$L58,Calculation!$BL$8:$BL$380)-SUMIF(Calculation!$B$8:$B$380,"&gt;"&amp;Conversions!$M58,Calculation!$BL$8:$BL$380)</f>
        <v>182.35250157398565</v>
      </c>
      <c r="T16" s="255">
        <f>SUMIF(Calculation!$B$8:$B$380,"&gt;="&amp;Conversions!$L58,Calculation!$CF$8:$CF$380)-SUMIF(Calculation!$B$8:$B$380,"&gt;"&amp;Conversions!$M58,Calculation!$CF$8:$CF$380)</f>
        <v>204.10812158999994</v>
      </c>
      <c r="U16" s="253">
        <f>SUMIF(Calculation!$B$8:$B$380,"&gt;="&amp;Conversions!$L58,Calculation!$CZ$8:$CZ$380)-SUMIF(Calculation!$B$8:$B$380,"&gt;"&amp;Conversions!$M58,Calculation!$CZ$8:$CZ$380)</f>
        <v>365.87500723011715</v>
      </c>
      <c r="V16" s="465">
        <f>SUMIF(Sheet1!$B$8:$B$375,"&gt;="&amp;Conversions!N58,'Calculations II'!$BP$8:$BP$380)-SUMIF(Sheet1!$B$8:$B$375,"&gt;"&amp;Conversions!O58,'Calculations II'!$BP$8:$BP$380)</f>
        <v>0</v>
      </c>
      <c r="X16" s="52"/>
      <c r="Y16" s="52"/>
    </row>
    <row r="17" spans="1:27" x14ac:dyDescent="0.25">
      <c r="A17" s="664" t="s">
        <v>203</v>
      </c>
      <c r="B17" s="253">
        <f>SUMIF(Sheet1!$B$8:$B$361,"&gt;="&amp;Conversions!L59,Sheet1!L$8:L$361)-SUMIF(Sheet1!$B$8:$B$361,"&gt;"&amp;Conversions!M59,Sheet1!L$8:L$361)</f>
        <v>0</v>
      </c>
      <c r="C17" s="306">
        <f>SUMIF('Calculations II'!$B$8:$B$380,"&gt;="&amp;Conversions!L59,'Calculations II'!BC$8:BC$380)-SUMIF('Calculations II'!$B$8:$B$380,"&gt;"&amp;Conversions!M59,'Calculations II'!BC$8:BC$380)</f>
        <v>75.050927999999999</v>
      </c>
      <c r="D17" s="255">
        <f>SUMIF(Sheet1!$B$8:$B$377,"&gt;="&amp;Conversions!L59,Sheet1!$AA$8:AA$377)-SUMIF(Sheet1!$B$8:$B$377,"&gt;"&amp;Conversions!M59,Sheet1!$AA$8:$AA$377)</f>
        <v>954.60999999999967</v>
      </c>
      <c r="E17" s="56">
        <f>SUMIF(Sheet1!$B$8:$B$377,"&gt;="&amp;Conversions!L59,Sheet1!$AB$8:$AB$377)-SUMIF(Sheet1!$B$8:$B$377,"&gt;"&amp;Conversions!M59,Sheet1!$AB$8:$AB$377)</f>
        <v>1373.1599999999994</v>
      </c>
      <c r="F17" s="681">
        <f>SUMIF('Calculations II'!$B$8:$B$380,"&gt;="&amp;Conversions!L59,'Calculations II'!$AE$8:$AE$380)-SUMIF('Calculations II'!$B$8:$B$380,"&gt;"&amp;Conversions!M59,'Calculations II'!$AE$8:$AE$380)</f>
        <v>1848.1136239166917</v>
      </c>
      <c r="G17" s="682">
        <f>SUMIF('Calculations II'!$B$8:$B$380,"&gt;="&amp;Conversions!L59,'Calculations II'!$AC$8:$AC$380)-SUMIF('Calculations II'!$B$8:$B$380,"&gt;"&amp;Conversions!M59,'Calculations II'!$AC$8:$AC$380)</f>
        <v>2402.8209280000019</v>
      </c>
      <c r="H17" s="56">
        <f>SUMIF(Calculation!$B$8:$B$380,"&gt;="&amp;Conversions!L59,Calculation!$ES$8:$ES$380)-SUMIF(Calculation!$B$8:$B$380,"&gt;"&amp;Conversions!M59,Calculation!$ES$8:$ES$380)</f>
        <v>-5.4059892851455897</v>
      </c>
      <c r="I17" s="255" t="e">
        <f>SUMIF('Calculations II'!$B$8:$B$380,"&gt;="&amp;Conversions!L59,'Calculations II'!#REF!)-SUMIF('Calculations II'!$B$8:$B$380,"&gt;"&amp;Conversions!M59,'Calculations II'!#REF!)</f>
        <v>#REF!</v>
      </c>
      <c r="J17" s="665" t="e">
        <f>SUMIF('Calculations II'!$B$8:$B$380,"&gt;="&amp;Conversions!L59,'Calculations II'!#REF!)-SUMIF('Calculations II'!$B$8:$B$380,"&gt;"&amp;Conversions!M59,'Calculations II'!#REF!)</f>
        <v>#REF!</v>
      </c>
      <c r="K17" s="666">
        <f ca="1">SUMIF('Calculations II'!$B$8:$B$380,"&gt;="&amp;Conversions!L59,'Calculations II'!$P$8:$P$380)-SUMIF('Calculations II'!$B$8:$B$380,"&gt;"&amp;Conversions!M59,'Calculations II'!$P$8:$P$380)</f>
        <v>-5.7863976730794633</v>
      </c>
      <c r="L17" s="255">
        <f>SUMIF(Sheet1!$B$8:$B$377,"&gt;="&amp;Conversions!L59,Sheet1!$BN$8:$BN$377)-SUMIF(Sheet1!$B$8:$B$377,"&gt;"&amp;Conversions!M59,Sheet1!$BN$8:$BN$377)</f>
        <v>820.09999999999991</v>
      </c>
      <c r="M17" s="56">
        <f>SUMIF(Sheet1!$B$8:$B$377,"&gt;="&amp;Conversions!L59,Sheet1!$CT$8:$CT$377)-SUMIF(Sheet1!$B$8:$B$377,"&gt;"&amp;Conversions!M59,Sheet1!$CT$8:$CT$377)</f>
        <v>508.71000000000004</v>
      </c>
      <c r="N17" s="692">
        <f ca="1">SUMIF('Calculations II'!$B$8:$B$380,"&gt;="&amp;Conversions!L59,'Calculations II'!$AG$8:$AG$380)-SUMIF('Calculations II'!$B$8:$B$380,"&gt;"&amp;Conversions!M59,'Calculations II'!$AG$8:$AG$380)</f>
        <v>1335.2645303269219</v>
      </c>
      <c r="O17" s="692">
        <f ca="1">SUMIF('Calculations II'!$B$8:$B$380,"&gt;="&amp;Conversions!L59,'Calculations II'!$AH$8:$AH$380)-SUMIF('Calculations II'!$B$8:$B$380,"&gt;"&amp;Conversions!M59,'Calculations II'!$AH$8:$AH$380)</f>
        <v>1843.9745303269183</v>
      </c>
      <c r="P17" s="56">
        <f>SUMIF(Calculation!$B$8:$B$380,"&gt;="&amp;Conversions!L59,Calculation!$AS$8:$AS$380)-SUMIF(Calculation!$B$8:$B$380,"&gt;"&amp;Conversions!M59,Calculation!$AS$8:$AS$380)</f>
        <v>0</v>
      </c>
      <c r="Q17" s="255">
        <f>SUMIF(Calculation!$B$8:$B$380,"&gt;="&amp;Conversions!L59,Calculation!$DJ$8:$DJ$380)-SUMIF(Calculation!$B$8:$B$380,"&gt;"&amp;Conversions!M59,Calculation!$DJ$8:$DJ$380)</f>
        <v>554.70730408330496</v>
      </c>
      <c r="R17" s="698">
        <f ca="1">SUMIF('Calculations II'!$B$8:$B$380,"&gt;="&amp;Conversions!L59,'Calculations II'!$AI$8:$AI$380)-SUMIF('Calculations II'!$B$8:$B$380,"&gt;"&amp;Conversions!M59,'Calculations II'!$AI$8:$AI$380)</f>
        <v>2398.6818344102248</v>
      </c>
      <c r="S17" s="306">
        <f>SUMIF(Calculation!$B$8:$B$380,"&gt;="&amp;Conversions!$L59,Calculation!$BL$8:$BL$380)-SUMIF(Calculation!$B$8:$B$380,"&gt;"&amp;Conversions!$M59,Calculation!$BL$8:$BL$380)</f>
        <v>158.61148907612085</v>
      </c>
      <c r="T17" s="255">
        <f>SUMIF(Calculation!$B$8:$B$380,"&gt;="&amp;Conversions!$L59,Calculation!$CF$8:$CF$380)-SUMIF(Calculation!$B$8:$B$380,"&gt;"&amp;Conversions!$M59,Calculation!$CF$8:$CF$380)</f>
        <v>150.30708171415705</v>
      </c>
      <c r="U17" s="253">
        <f>SUMIF(Calculation!$B$8:$B$380,"&gt;="&amp;Conversions!$L59,Calculation!$CZ$8:$CZ$380)-SUMIF(Calculation!$B$8:$B$380,"&gt;"&amp;Conversions!$M59,Calculation!$CZ$8:$CZ$380)</f>
        <v>245.78873329302667</v>
      </c>
      <c r="V17" s="465">
        <f>SUMIF(Sheet1!$B$8:$B$375,"&gt;="&amp;Conversions!N59,'Calculations II'!$BP$8:$BP$380)-SUMIF(Sheet1!$B$8:$B$375,"&gt;"&amp;Conversions!O59,'Calculations II'!$BP$8:$BP$380)</f>
        <v>0</v>
      </c>
      <c r="X17" s="52"/>
      <c r="Y17" s="52"/>
    </row>
    <row r="18" spans="1:27" x14ac:dyDescent="0.25">
      <c r="A18" s="664" t="s">
        <v>204</v>
      </c>
      <c r="B18" s="253">
        <f>SUMIF(Sheet1!$B$8:$B$361,"&gt;="&amp;Conversions!L60,Sheet1!L$8:L$361)-SUMIF(Sheet1!$B$8:$B$361,"&gt;"&amp;Conversions!M60,Sheet1!L$8:L$361)</f>
        <v>177.45999999999913</v>
      </c>
      <c r="C18" s="306">
        <f>SUMIF('Calculations II'!$B$8:$B$380,"&gt;="&amp;Conversions!L60,'Calculations II'!BC$8:BC$380)-SUMIF('Calculations II'!$B$8:$B$380,"&gt;"&amp;Conversions!M60,'Calculations II'!BC$8:BC$380)</f>
        <v>18.470304000000002</v>
      </c>
      <c r="D18" s="255">
        <f>SUMIF(Sheet1!$B$8:$B$377,"&gt;="&amp;Conversions!L60,Sheet1!$AA$8:AA$377)-SUMIF(Sheet1!$B$8:$B$377,"&gt;"&amp;Conversions!M60,Sheet1!$AA$8:$AA$377)</f>
        <v>873.20999999999731</v>
      </c>
      <c r="E18" s="56">
        <f>SUMIF(Sheet1!$B$8:$B$377,"&gt;="&amp;Conversions!L60,Sheet1!$AB$8:$AB$377)-SUMIF(Sheet1!$B$8:$B$377,"&gt;"&amp;Conversions!M60,Sheet1!$AB$8:$AB$377)</f>
        <v>1025.6999999999991</v>
      </c>
      <c r="F18" s="681">
        <f>SUMIF('Calculations II'!$B$8:$B$380,"&gt;="&amp;Conversions!L60,'Calculations II'!$AE$8:$AE$380)-SUMIF('Calculations II'!$B$8:$B$380,"&gt;"&amp;Conversions!M60,'Calculations II'!$AE$8:$AE$380)</f>
        <v>1506.0857301902865</v>
      </c>
      <c r="G18" s="682">
        <f>SUMIF('Calculations II'!$B$8:$B$380,"&gt;="&amp;Conversions!L60,'Calculations II'!$AC$8:$AC$380)-SUMIF('Calculations II'!$B$8:$B$380,"&gt;"&amp;Conversions!M60,'Calculations II'!$AC$8:$AC$380)</f>
        <v>1917.3803040000025</v>
      </c>
      <c r="H18" s="56">
        <f>SUMIF(Calculation!$B$8:$B$380,"&gt;="&amp;Conversions!L60,Calculation!$ES$8:$ES$380)-SUMIF(Calculation!$B$8:$B$380,"&gt;"&amp;Conversions!M60,Calculation!$ES$8:$ES$380)</f>
        <v>12.744676574685927</v>
      </c>
      <c r="I18" s="255" t="e">
        <f>SUMIF('Calculations II'!$B$8:$B$380,"&gt;="&amp;Conversions!L60,'Calculations II'!#REF!)-SUMIF('Calculations II'!$B$8:$B$380,"&gt;"&amp;Conversions!M60,'Calculations II'!#REF!)</f>
        <v>#REF!</v>
      </c>
      <c r="J18" s="665" t="e">
        <f>SUMIF('Calculations II'!$B$8:$B$380,"&gt;="&amp;Conversions!L60,'Calculations II'!#REF!)-SUMIF('Calculations II'!$B$8:$B$380,"&gt;"&amp;Conversions!M60,'Calculations II'!#REF!)</f>
        <v>#REF!</v>
      </c>
      <c r="K18" s="666">
        <f ca="1">SUMIF('Calculations II'!$B$8:$B$380,"&gt;="&amp;Conversions!L60,'Calculations II'!$P$8:$P$380)-SUMIF('Calculations II'!$B$8:$B$380,"&gt;"&amp;Conversions!M60,'Calculations II'!$P$8:$P$380)</f>
        <v>14.8932567015459</v>
      </c>
      <c r="L18" s="255">
        <f>SUMIF(Sheet1!$B$8:$B$377,"&gt;="&amp;Conversions!L60,Sheet1!$BN$8:$BN$377)-SUMIF(Sheet1!$B$8:$B$377,"&gt;"&amp;Conversions!M60,Sheet1!$BN$8:$BN$377)</f>
        <v>616.28000000000043</v>
      </c>
      <c r="M18" s="56">
        <f>SUMIF(Sheet1!$B$8:$B$377,"&gt;="&amp;Conversions!L60,Sheet1!$CT$8:$CT$377)-SUMIF(Sheet1!$B$8:$B$377,"&gt;"&amp;Conversions!M60,Sheet1!$CT$8:$CT$377)</f>
        <v>507.22799999999938</v>
      </c>
      <c r="N18" s="692">
        <f ca="1">SUMIF('Calculations II'!$B$8:$B$380,"&gt;="&amp;Conversions!L60,'Calculations II'!$AG$8:$AG$380)-SUMIF('Calculations II'!$B$8:$B$380,"&gt;"&amp;Conversions!M60,'Calculations II'!$AG$8:$AG$380)</f>
        <v>1015.6255607015441</v>
      </c>
      <c r="O18" s="692">
        <f ca="1">SUMIF('Calculations II'!$B$8:$B$380,"&gt;="&amp;Conversions!L60,'Calculations II'!$AH$8:$AH$380)-SUMIF('Calculations II'!$B$8:$B$380,"&gt;"&amp;Conversions!M60,'Calculations II'!$AH$8:$AH$380)</f>
        <v>1522.8535607015451</v>
      </c>
      <c r="P18" s="56">
        <f>SUMIF(Calculation!$B$8:$B$380,"&gt;="&amp;Conversions!L60,Calculation!$AS$8:$AS$380)-SUMIF(Calculation!$B$8:$B$380,"&gt;"&amp;Conversions!M60,Calculation!$AS$8:$AS$380)</f>
        <v>0</v>
      </c>
      <c r="Q18" s="255">
        <f>SUMIF(Calculation!$B$8:$B$380,"&gt;="&amp;Conversions!L60,Calculation!$DJ$8:$DJ$380)-SUMIF(Calculation!$B$8:$B$380,"&gt;"&amp;Conversions!M60,Calculation!$DJ$8:$DJ$380)</f>
        <v>411.29457380971587</v>
      </c>
      <c r="R18" s="698">
        <f ca="1">SUMIF('Calculations II'!$B$8:$B$380,"&gt;="&amp;Conversions!L60,'Calculations II'!$AI$8:$AI$380)-SUMIF('Calculations II'!$B$8:$B$380,"&gt;"&amp;Conversions!M60,'Calculations II'!$AI$8:$AI$380)</f>
        <v>1934.1481345112638</v>
      </c>
      <c r="S18" s="306">
        <f>SUMIF(Calculation!$B$8:$B$380,"&gt;="&amp;Conversions!$L60,Calculation!$BL$8:$BL$380)-SUMIF(Calculation!$B$8:$B$380,"&gt;"&amp;Conversions!$M60,Calculation!$BL$8:$BL$380)</f>
        <v>108.41780599194833</v>
      </c>
      <c r="T18" s="255">
        <f>SUMIF(Calculation!$B$8:$B$380,"&gt;="&amp;Conversions!$L60,Calculation!$CF$8:$CF$380)-SUMIF(Calculation!$B$8:$B$380,"&gt;"&amp;Conversions!$M60,Calculation!$CF$8:$CF$380)</f>
        <v>97.34440490370568</v>
      </c>
      <c r="U18" s="253">
        <f>SUMIF(Calculation!$B$8:$B$380,"&gt;="&amp;Conversions!$L60,Calculation!$CZ$8:$CZ$380)-SUMIF(Calculation!$B$8:$B$380,"&gt;"&amp;Conversions!$M60,Calculation!$CZ$8:$CZ$380)</f>
        <v>205.53236291406193</v>
      </c>
      <c r="V18" s="465">
        <f>SUMIF(Sheet1!$B$8:$B$375,"&gt;="&amp;Conversions!N60,'Calculations II'!$BP$8:$BP$380)-SUMIF(Sheet1!$B$8:$B$375,"&gt;"&amp;Conversions!O60,'Calculations II'!$BP$8:$BP$380)</f>
        <v>0</v>
      </c>
      <c r="X18" s="52"/>
      <c r="Y18" s="52"/>
    </row>
    <row r="19" spans="1:27" x14ac:dyDescent="0.25">
      <c r="A19" s="664" t="s">
        <v>205</v>
      </c>
      <c r="B19" s="253">
        <f>SUMIF(Sheet1!$B$8:$B$361,"&gt;="&amp;Conversions!L61,Sheet1!L$8:L$361)-SUMIF(Sheet1!$B$8:$B$361,"&gt;"&amp;Conversions!M61,Sheet1!L$8:L$361)</f>
        <v>450.99000000000012</v>
      </c>
      <c r="C19" s="306">
        <f>SUMIF('Calculations II'!$B$8:$B$380,"&gt;="&amp;Conversions!L61,'Calculations II'!BC$8:BC$380)-SUMIF('Calculations II'!$B$8:$B$380,"&gt;"&amp;Conversions!M61,'Calculations II'!BC$8:BC$380)</f>
        <v>0</v>
      </c>
      <c r="D19" s="255">
        <f>SUMIF(Sheet1!$B$8:$B$377,"&gt;="&amp;Conversions!L61,Sheet1!$AA$8:AA$377)-SUMIF(Sheet1!$B$8:$B$377,"&gt;"&amp;Conversions!M61,Sheet1!$AA$8:$AA$377)</f>
        <v>841.31</v>
      </c>
      <c r="E19" s="56">
        <f>SUMIF(Sheet1!$B$8:$B$377,"&gt;="&amp;Conversions!L61,Sheet1!$AB$8:$AB$377)-SUMIF(Sheet1!$B$8:$B$377,"&gt;"&amp;Conversions!M61,Sheet1!$AB$8:$AB$377)</f>
        <v>923.07000000000085</v>
      </c>
      <c r="F19" s="681">
        <f>SUMIF('Calculations II'!$B$8:$B$380,"&gt;="&amp;Conversions!L61,'Calculations II'!$AE$8:$AE$380)-SUMIF('Calculations II'!$B$8:$B$380,"&gt;"&amp;Conversions!M61,'Calculations II'!$AE$8:$AE$380)</f>
        <v>1410.6441069041764</v>
      </c>
      <c r="G19" s="682">
        <f>SUMIF('Calculations II'!$B$8:$B$380,"&gt;="&amp;Conversions!L61,'Calculations II'!$AC$8:$AC$380)-SUMIF('Calculations II'!$B$8:$B$380,"&gt;"&amp;Conversions!M61,'Calculations II'!$AC$8:$AC$380)</f>
        <v>1764.379999999999</v>
      </c>
      <c r="H19" s="56">
        <f>SUMIF(Calculation!$B$8:$B$380,"&gt;="&amp;Conversions!L61,Calculation!$ES$8:$ES$380)-SUMIF(Calculation!$B$8:$B$380,"&gt;"&amp;Conversions!M61,Calculation!$ES$8:$ES$380)</f>
        <v>-9.6946077505942583</v>
      </c>
      <c r="I19" s="255" t="e">
        <f>SUMIF('Calculations II'!$B$8:$B$380,"&gt;="&amp;Conversions!L61,'Calculations II'!#REF!)-SUMIF('Calculations II'!$B$8:$B$380,"&gt;"&amp;Conversions!M61,'Calculations II'!#REF!)</f>
        <v>#REF!</v>
      </c>
      <c r="J19" s="665" t="e">
        <f>SUMIF('Calculations II'!$B$8:$B$380,"&gt;="&amp;Conversions!L61,'Calculations II'!#REF!)-SUMIF('Calculations II'!$B$8:$B$380,"&gt;"&amp;Conversions!M61,'Calculations II'!#REF!)</f>
        <v>#REF!</v>
      </c>
      <c r="K19" s="666">
        <f ca="1">SUMIF('Calculations II'!$B$8:$B$380,"&gt;="&amp;Conversions!L61,'Calculations II'!$P$8:$P$380)-SUMIF('Calculations II'!$B$8:$B$380,"&gt;"&amp;Conversions!M61,'Calculations II'!$P$8:$P$380)</f>
        <v>-9.6949519242440392</v>
      </c>
      <c r="L19" s="255">
        <f>SUMIF(Sheet1!$B$8:$B$377,"&gt;="&amp;Conversions!L61,Sheet1!$BN$8:$BN$377)-SUMIF(Sheet1!$B$8:$B$377,"&gt;"&amp;Conversions!M61,Sheet1!$BN$8:$BN$377)</f>
        <v>571.20000000000016</v>
      </c>
      <c r="M19" s="56">
        <f>SUMIF(Sheet1!$B$8:$B$377,"&gt;="&amp;Conversions!L61,Sheet1!$CT$8:$CT$377)-SUMIF(Sheet1!$B$8:$B$377,"&gt;"&amp;Conversions!M61,Sheet1!$CT$8:$CT$377)</f>
        <v>478.71000000000015</v>
      </c>
      <c r="N19" s="692">
        <f ca="1">SUMIF('Calculations II'!$B$8:$B$380,"&gt;="&amp;Conversions!L61,'Calculations II'!$AG$8:$AG$380)-SUMIF('Calculations II'!$B$8:$B$380,"&gt;"&amp;Conversions!M61,'Calculations II'!$AG$8:$AG$380)</f>
        <v>924.10504807575694</v>
      </c>
      <c r="O19" s="692">
        <f ca="1">SUMIF('Calculations II'!$B$8:$B$380,"&gt;="&amp;Conversions!L61,'Calculations II'!$AH$8:$AH$380)-SUMIF('Calculations II'!$B$8:$B$380,"&gt;"&amp;Conversions!M61,'Calculations II'!$AH$8:$AH$380)</f>
        <v>1402.8150480757558</v>
      </c>
      <c r="P19" s="56">
        <f>SUMIF(Calculation!$B$8:$B$380,"&gt;="&amp;Conversions!L61,Calculation!$AS$8:$AS$380)-SUMIF(Calculation!$B$8:$B$380,"&gt;"&amp;Conversions!M61,Calculation!$AS$8:$AS$380)</f>
        <v>0</v>
      </c>
      <c r="Q19" s="255">
        <f>SUMIF(Calculation!$B$8:$B$380,"&gt;="&amp;Conversions!L61,Calculation!$DJ$8:$DJ$380)-SUMIF(Calculation!$B$8:$B$380,"&gt;"&amp;Conversions!M61,Calculation!$DJ$8:$DJ$380)</f>
        <v>353.73589309582275</v>
      </c>
      <c r="R19" s="698">
        <f ca="1">SUMIF('Calculations II'!$B$8:$B$380,"&gt;="&amp;Conversions!L61,'Calculations II'!$AI$8:$AI$380)-SUMIF('Calculations II'!$B$8:$B$380,"&gt;"&amp;Conversions!M61,'Calculations II'!$AI$8:$AI$380)</f>
        <v>1756.5509411715791</v>
      </c>
      <c r="S19" s="306">
        <f>SUMIF(Calculation!$B$8:$B$380,"&gt;="&amp;Conversions!$L61,Calculation!$BL$8:$BL$380)-SUMIF(Calculation!$B$8:$B$380,"&gt;"&amp;Conversions!$M61,Calculation!$BL$8:$BL$380)</f>
        <v>79.732334801113296</v>
      </c>
      <c r="T19" s="255">
        <f>SUMIF(Calculation!$B$8:$B$380,"&gt;="&amp;Conversions!$L61,Calculation!$CF$8:$CF$380)-SUMIF(Calculation!$B$8:$B$380,"&gt;"&amp;Conversions!$M61,Calculation!$CF$8:$CF$380)</f>
        <v>90.229337674749758</v>
      </c>
      <c r="U19" s="253">
        <f>SUMIF(Calculation!$B$8:$B$380,"&gt;="&amp;Conversions!$L61,Calculation!$CZ$8:$CZ$380)-SUMIF(Calculation!$B$8:$B$380,"&gt;"&amp;Conversions!$M61,Calculation!$CZ$8:$CZ$380)</f>
        <v>183.77422061995961</v>
      </c>
      <c r="V19" s="465">
        <f>SUMIF(Sheet1!$B$8:$B$375,"&gt;="&amp;Conversions!N61,'Calculations II'!$BP$8:$BP$380)-SUMIF(Sheet1!$B$8:$B$375,"&gt;"&amp;Conversions!O61,'Calculations II'!$BP$8:$BP$380)</f>
        <v>0</v>
      </c>
      <c r="X19" s="52"/>
      <c r="Y19" s="52"/>
    </row>
    <row r="20" spans="1:27" x14ac:dyDescent="0.25">
      <c r="A20" s="664" t="s">
        <v>206</v>
      </c>
      <c r="B20" s="253">
        <f>SUMIF(Sheet1!$B$8:$B$361,"&gt;="&amp;Conversions!L62,Sheet1!L$8:L$361)-SUMIF(Sheet1!$B$8:$B$361,"&gt;"&amp;Conversions!M62,Sheet1!L$8:L$361)</f>
        <v>130.18000000000029</v>
      </c>
      <c r="C20" s="306">
        <f>SUMIF('Calculations II'!$B$8:$B$380,"&gt;="&amp;Conversions!L62,'Calculations II'!BC$8:BC$380)-SUMIF('Calculations II'!$B$8:$B$380,"&gt;"&amp;Conversions!M62,'Calculations II'!BC$8:BC$380)</f>
        <v>0</v>
      </c>
      <c r="D20" s="255">
        <f>SUMIF(Sheet1!$B$8:$B$377,"&gt;="&amp;Conversions!L62,Sheet1!$AA$8:AA$377)-SUMIF(Sheet1!$B$8:$B$377,"&gt;"&amp;Conversions!M62,Sheet1!$AA$8:$AA$377)</f>
        <v>785.39000000000033</v>
      </c>
      <c r="E20" s="56">
        <f>SUMIF(Sheet1!$B$8:$B$377,"&gt;="&amp;Conversions!L62,Sheet1!$AB$8:$AB$377)-SUMIF(Sheet1!$B$8:$B$377,"&gt;"&amp;Conversions!M62,Sheet1!$AB$8:$AB$377)</f>
        <v>990.62999999999988</v>
      </c>
      <c r="F20" s="681">
        <f>SUMIF('Calculations II'!$B$8:$B$380,"&gt;="&amp;Conversions!L62,'Calculations II'!$AE$8:$AE$380)-SUMIF('Calculations II'!$B$8:$B$380,"&gt;"&amp;Conversions!M62,'Calculations II'!$AE$8:$AE$380)</f>
        <v>1451.1794154138283</v>
      </c>
      <c r="G20" s="682">
        <f>SUMIF('Calculations II'!$B$8:$B$380,"&gt;="&amp;Conversions!L62,'Calculations II'!$AC$8:$AC$380)-SUMIF('Calculations II'!$B$8:$B$380,"&gt;"&amp;Conversions!M62,'Calculations II'!$AC$8:$AC$380)</f>
        <v>1776.0200000000002</v>
      </c>
      <c r="H20" s="56">
        <f>SUMIF(Calculation!$B$8:$B$380,"&gt;="&amp;Conversions!L62,Calculation!$ES$8:$ES$380)-SUMIF(Calculation!$B$8:$B$380,"&gt;"&amp;Conversions!M62,Calculation!$ES$8:$ES$380)</f>
        <v>3.1871303309334591</v>
      </c>
      <c r="I20" s="255" t="e">
        <f>SUMIF('Calculations II'!$B$8:$B$380,"&gt;="&amp;Conversions!L62,'Calculations II'!#REF!)-SUMIF('Calculations II'!$B$8:$B$380,"&gt;"&amp;Conversions!M62,'Calculations II'!#REF!)</f>
        <v>#REF!</v>
      </c>
      <c r="J20" s="665" t="e">
        <f>SUMIF('Calculations II'!$B$8:$B$380,"&gt;="&amp;Conversions!L62,'Calculations II'!#REF!)-SUMIF('Calculations II'!$B$8:$B$380,"&gt;"&amp;Conversions!M62,'Calculations II'!#REF!)</f>
        <v>#REF!</v>
      </c>
      <c r="K20" s="666">
        <f ca="1">SUMIF('Calculations II'!$B$8:$B$380,"&gt;="&amp;Conversions!L62,'Calculations II'!$P$8:$P$380)-SUMIF('Calculations II'!$B$8:$B$380,"&gt;"&amp;Conversions!M62,'Calculations II'!$P$8:$P$380)</f>
        <v>3.2779352355102311</v>
      </c>
      <c r="L20" s="255">
        <f>SUMIF(Sheet1!$B$8:$B$377,"&gt;="&amp;Conversions!L62,Sheet1!$BN$8:$BN$377)-SUMIF(Sheet1!$B$8:$B$377,"&gt;"&amp;Conversions!M62,Sheet1!$BN$8:$BN$377)</f>
        <v>666.61000000000013</v>
      </c>
      <c r="M20" s="56">
        <f>SUMIF(Sheet1!$B$8:$B$377,"&gt;="&amp;Conversions!L62,Sheet1!$CT$8:$CT$377)-SUMIF(Sheet1!$B$8:$B$377,"&gt;"&amp;Conversions!M62,Sheet1!$CT$8:$CT$377)</f>
        <v>491.58499999999992</v>
      </c>
      <c r="N20" s="692">
        <f ca="1">SUMIF('Calculations II'!$B$8:$B$380,"&gt;="&amp;Conversions!L62,'Calculations II'!$AG$8:$AG$380)-SUMIF('Calculations II'!$B$8:$B$380,"&gt;"&amp;Conversions!M62,'Calculations II'!$AG$8:$AG$380)</f>
        <v>963.69293523551005</v>
      </c>
      <c r="O20" s="692">
        <f ca="1">SUMIF('Calculations II'!$B$8:$B$380,"&gt;="&amp;Conversions!L62,'Calculations II'!$AH$8:$AH$380)-SUMIF('Calculations II'!$B$8:$B$380,"&gt;"&amp;Conversions!M62,'Calculations II'!$AH$8:$AH$380)</f>
        <v>1455.2779352355103</v>
      </c>
      <c r="P20" s="56">
        <f>SUMIF(Calculation!$B$8:$B$380,"&gt;="&amp;Conversions!L62,Calculation!$AS$8:$AS$380)-SUMIF(Calculation!$B$8:$B$380,"&gt;"&amp;Conversions!M62,Calculation!$AS$8:$AS$380)</f>
        <v>0</v>
      </c>
      <c r="Q20" s="255">
        <f>SUMIF(Calculation!$B$8:$B$380,"&gt;="&amp;Conversions!L62,Calculation!$DJ$8:$DJ$380)-SUMIF(Calculation!$B$8:$B$380,"&gt;"&amp;Conversions!M62,Calculation!$DJ$8:$DJ$380)</f>
        <v>324.84058458617136</v>
      </c>
      <c r="R20" s="698">
        <f ca="1">SUMIF('Calculations II'!$B$8:$B$380,"&gt;="&amp;Conversions!L62,'Calculations II'!$AI$8:$AI$380)-SUMIF('Calculations II'!$B$8:$B$380,"&gt;"&amp;Conversions!M62,'Calculations II'!$AI$8:$AI$380)</f>
        <v>1780.1185198216815</v>
      </c>
      <c r="S20" s="306">
        <f>SUMIF(Calculation!$B$8:$B$380,"&gt;="&amp;Conversions!$L62,Calculation!$BL$8:$BL$380)-SUMIF(Calculation!$B$8:$B$380,"&gt;"&amp;Conversions!$M62,Calculation!$BL$8:$BL$380)</f>
        <v>31.238946724521735</v>
      </c>
      <c r="T20" s="255">
        <f>SUMIF(Calculation!$B$8:$B$380,"&gt;="&amp;Conversions!$L62,Calculation!$CF$8:$CF$380)-SUMIF(Calculation!$B$8:$B$380,"&gt;"&amp;Conversions!$M62,Calculation!$CF$8:$CF$380)</f>
        <v>92.258674567493586</v>
      </c>
      <c r="U20" s="253">
        <f>SUMIF(Calculation!$B$8:$B$380,"&gt;="&amp;Conversions!$L62,Calculation!$CZ$8:$CZ$380)-SUMIF(Calculation!$B$8:$B$380,"&gt;"&amp;Conversions!$M62,Calculation!$CZ$8:$CZ$380)</f>
        <v>201.34296329415611</v>
      </c>
      <c r="V20" s="465">
        <f>SUMIF(Sheet1!$B$8:$B$375,"&gt;="&amp;Conversions!N62,'Calculations II'!$BP$8:$BP$380)-SUMIF(Sheet1!$B$8:$B$375,"&gt;"&amp;Conversions!O62,'Calculations II'!$BP$8:$BP$380)</f>
        <v>0</v>
      </c>
      <c r="X20" s="52"/>
      <c r="Y20" s="52"/>
    </row>
    <row r="21" spans="1:27" x14ac:dyDescent="0.25">
      <c r="A21" s="327" t="s">
        <v>405</v>
      </c>
      <c r="B21" s="312"/>
      <c r="C21" s="305"/>
      <c r="D21" s="58"/>
      <c r="E21" s="55"/>
      <c r="F21" s="683"/>
      <c r="G21" s="684"/>
      <c r="H21" s="55"/>
      <c r="I21" s="58"/>
      <c r="J21" s="667"/>
      <c r="K21" s="55"/>
      <c r="L21" s="58"/>
      <c r="M21" s="55"/>
      <c r="N21" s="693"/>
      <c r="O21" s="693"/>
      <c r="P21" s="55"/>
      <c r="Q21" s="58"/>
      <c r="R21" s="699"/>
      <c r="S21" s="305"/>
      <c r="T21" s="58"/>
      <c r="U21" s="312"/>
      <c r="V21" s="466"/>
      <c r="X21" s="52"/>
      <c r="Y21" s="52"/>
    </row>
    <row r="22" spans="1:27" s="498" customFormat="1" x14ac:dyDescent="0.25">
      <c r="A22" s="668" t="s">
        <v>159</v>
      </c>
      <c r="B22" s="669">
        <f t="shared" ref="B22:R22" si="0">SUM(B9:B20)</f>
        <v>1412.7300000000012</v>
      </c>
      <c r="C22" s="670">
        <f t="shared" si="0"/>
        <v>806.36472000000003</v>
      </c>
      <c r="D22" s="671">
        <f t="shared" si="0"/>
        <v>10884.519999999997</v>
      </c>
      <c r="E22" s="671">
        <f t="shared" si="0"/>
        <v>12942.349999999989</v>
      </c>
      <c r="F22" s="685">
        <f t="shared" si="0"/>
        <v>19520.869237939765</v>
      </c>
      <c r="G22" s="686">
        <f t="shared" si="0"/>
        <v>24633.234719999979</v>
      </c>
      <c r="H22" s="672">
        <f t="shared" si="0"/>
        <v>1.2469013359989063</v>
      </c>
      <c r="I22" s="671" t="e">
        <f t="shared" ca="1" si="0"/>
        <v>#REF!</v>
      </c>
      <c r="J22" s="673" t="e">
        <f t="shared" si="0"/>
        <v>#REF!</v>
      </c>
      <c r="K22" s="672">
        <f t="shared" ca="1" si="0"/>
        <v>1.1977473204865827</v>
      </c>
      <c r="L22" s="671">
        <f t="shared" si="0"/>
        <v>7850.6129999999994</v>
      </c>
      <c r="M22" s="672">
        <f t="shared" si="0"/>
        <v>5724.1449999999968</v>
      </c>
      <c r="N22" s="694">
        <f t="shared" ca="1" si="0"/>
        <v>13788.124776632307</v>
      </c>
      <c r="O22" s="694">
        <f t="shared" ca="1" si="0"/>
        <v>19512.269776632285</v>
      </c>
      <c r="P22" s="672">
        <f t="shared" si="0"/>
        <v>8.32</v>
      </c>
      <c r="Q22" s="671">
        <f t="shared" si="0"/>
        <v>5104.0454820602299</v>
      </c>
      <c r="R22" s="700">
        <f t="shared" ca="1" si="0"/>
        <v>24624.635258692499</v>
      </c>
      <c r="S22" s="670">
        <f>SUM(S9:S20)</f>
        <v>850.43553668756033</v>
      </c>
      <c r="T22" s="671">
        <f>SUM(T9:T20)</f>
        <v>1471.6896806152718</v>
      </c>
      <c r="U22" s="669">
        <f>SUM(U9:U20)</f>
        <v>2781.9202647573961</v>
      </c>
      <c r="V22" s="674">
        <f>SUM(V9:V20)</f>
        <v>30.425690688193818</v>
      </c>
      <c r="W22" s="497"/>
    </row>
    <row r="23" spans="1:27" x14ac:dyDescent="0.25">
      <c r="A23" s="258" t="s">
        <v>207</v>
      </c>
      <c r="B23" s="316"/>
      <c r="C23" s="317"/>
      <c r="D23" s="318"/>
      <c r="E23" s="319"/>
      <c r="F23" s="687"/>
      <c r="G23" s="688"/>
      <c r="H23" s="317"/>
      <c r="I23" s="318"/>
      <c r="J23" s="675"/>
      <c r="K23" s="317"/>
      <c r="L23" s="318"/>
      <c r="M23" s="319"/>
      <c r="N23" s="695"/>
      <c r="O23" s="695"/>
      <c r="P23" s="334"/>
      <c r="Q23" s="318"/>
      <c r="R23" s="701"/>
      <c r="S23" s="317"/>
      <c r="T23" s="318"/>
      <c r="U23" s="316"/>
      <c r="V23" s="468"/>
      <c r="X23" s="52"/>
      <c r="Y23" s="52"/>
    </row>
    <row r="24" spans="1:27" ht="13.8" thickBot="1" x14ac:dyDescent="0.3">
      <c r="A24" s="676" t="s">
        <v>208</v>
      </c>
      <c r="B24" s="322">
        <f ca="1">B22/IF(Summary!$A$1&lt;Conversions!$M$62,(ROUNDDOWN(Summary!$A$1,0)-Conversions!$L$51+1),(Conversions!$M$62-Conversions!$L$51+1))</f>
        <v>3.8704931506849345</v>
      </c>
      <c r="C24" s="323">
        <f ca="1">C22/IF(Summary!$A$1&lt;Conversions!$M$62,(ROUNDDOWN(Summary!$A$1,0)-Conversions!$L$51+1),(Conversions!$M$62-Conversions!$L$51+1))</f>
        <v>2.2092184109589041</v>
      </c>
      <c r="D24" s="324">
        <f ca="1">D22/IF(Summary!$A$1&lt;Conversions!$M$62,(ROUNDDOWN(Summary!$A$1,0)-Conversions!$L$51+1),(Conversions!$M$62-Conversions!$L$51+1))</f>
        <v>29.82060273972602</v>
      </c>
      <c r="E24" s="325">
        <f ca="1">E22/IF(Summary!$A$1&lt;Conversions!$M$62,(ROUNDDOWN(Summary!$A$1,0)-Conversions!$L$51+1),(Conversions!$M$62-Conversions!$L$51+1))</f>
        <v>35.458493150684902</v>
      </c>
      <c r="F24" s="689">
        <f ca="1">F22/IF(Summary!$A$1&lt;Conversions!$M$62,(ROUNDDOWN(Summary!$A$1,0)-Conversions!$L$51+1),(Conversions!$M$62-Conversions!$L$51+1))</f>
        <v>53.481833528602095</v>
      </c>
      <c r="G24" s="690">
        <f ca="1">G22/IF(Summary!$A$1&lt;Conversions!$M$62,(ROUNDDOWN(Summary!$A$1,0)-Conversions!$L$51+1),(Conversions!$M$62-Conversions!$L$51+1))</f>
        <v>67.488314301369797</v>
      </c>
      <c r="H24" s="323">
        <f ca="1">H22/IF(Summary!$A$1&lt;Conversions!$M$62,(ROUNDDOWN(Summary!$A$1,0)-Conversions!$L$51+1),(Conversions!$M$62-Conversions!$L$51+1))</f>
        <v>3.4161680438326201E-3</v>
      </c>
      <c r="I24" s="324" t="e">
        <f ca="1">I22/IF(Summary!$A$1&lt;Conversions!$M$62,(ROUNDDOWN(Summary!$A$1,0)-Conversions!$L$51+1),(Conversions!$M$62-Conversions!$L$51+1))</f>
        <v>#REF!</v>
      </c>
      <c r="J24" s="325" t="e">
        <f ca="1">J22/IF(Summary!$A$1&lt;Conversions!$M$62,(ROUNDDOWN(Summary!$A$1,0)-Conversions!$L$51+1),(Conversions!$M$62-Conversions!$L$51+1))</f>
        <v>#REF!</v>
      </c>
      <c r="K24" s="323">
        <f ca="1">K22/IF(Summary!$A$1&lt;Conversions!$M$62,(ROUNDDOWN(Summary!$A$1,0)-Conversions!$L$51+1),(Conversions!$M$62-Conversions!$L$51+1))</f>
        <v>3.2814995081824182E-3</v>
      </c>
      <c r="L24" s="324">
        <f ca="1">L22/IF(Summary!$A$1&lt;Conversions!$M$62,(ROUNDDOWN(Summary!$A$1,0)-Conversions!$L$51+1),(Conversions!$M$62-Conversions!$L$51+1))</f>
        <v>21.508528767123288</v>
      </c>
      <c r="M24" s="325">
        <f ca="1">M22/IF(Summary!$A$1&lt;Conversions!$M$62,(ROUNDDOWN(Summary!$A$1,0)-Conversions!$L$51+1),(Conversions!$M$62-Conversions!$L$51+1))</f>
        <v>15.682589041095882</v>
      </c>
      <c r="N24" s="696">
        <f ca="1">N22/IF(Summary!$A$1&lt;Conversions!$M$62,(ROUNDDOWN(Summary!$A$1,0)-Conversions!$L$51+1),(Conversions!$M$62-Conversions!$L$51+1))</f>
        <v>37.775684319540566</v>
      </c>
      <c r="O24" s="697">
        <f ca="1">O22/IF(Summary!$A$1&lt;Conversions!$M$62,(ROUNDDOWN(Summary!$A$1,0)-Conversions!$L$51+1),(Conversions!$M$62-Conversions!$L$51+1))</f>
        <v>53.458273360636397</v>
      </c>
      <c r="P24" s="331">
        <f ca="1">P22/IF(Summary!$A$1&lt;Conversions!$M$62,(ROUNDDOWN(Summary!$A$1,0)-Conversions!$L$51+1),(Conversions!$M$62-Conversions!$L$51+1))</f>
        <v>2.2794520547945205E-2</v>
      </c>
      <c r="Q24" s="324">
        <f ca="1">Q22/IF(Summary!$A$1&lt;Conversions!$M$62,(ROUNDDOWN(Summary!$A$1,0)-Conversions!$L$51+1),(Conversions!$M$62-Conversions!$L$51+1))</f>
        <v>13.983686252219808</v>
      </c>
      <c r="R24" s="702">
        <f ca="1">R22/IF(Summary!$A$1&lt;Conversions!$M$62,(ROUNDDOWN(Summary!$A$1,0)-Conversions!$L$51+1),(Conversions!$M$62-Conversions!$L$51+1))</f>
        <v>67.464754133404099</v>
      </c>
      <c r="S24" s="323">
        <f ca="1">S22/IF(Summary!$A$1&lt;Conversions!$M$62,(ROUNDDOWN(Summary!$A$1,0)-Conversions!$L$51+1),(Conversions!$M$62-Conversions!$L$51+1))</f>
        <v>2.3299603744864665</v>
      </c>
      <c r="T24" s="324">
        <f ca="1">T22/IF(Summary!$A$1&lt;Conversions!$M$62,(ROUNDDOWN(Summary!$A$1,0)-Conversions!$L$51+1),(Conversions!$M$62-Conversions!$L$51+1))</f>
        <v>4.0320265222336209</v>
      </c>
      <c r="U24" s="322">
        <f ca="1">U22/IF(Summary!$A$1&lt;Conversions!$M$62,(ROUNDDOWN(Summary!$A$1,0)-Conversions!$L$51+1),(Conversions!$M$62-Conversions!$L$51+1))</f>
        <v>7.6216993554997154</v>
      </c>
      <c r="V24" s="469">
        <f ca="1">V22/IF(Summary!$A$1&lt;Conversions!$M$62,(ROUNDDOWN(Summary!$A$1,0)-Conversions!$L$51+1),(Conversions!$M$62-Conversions!$L$51+1))</f>
        <v>8.3358056679983056E-2</v>
      </c>
      <c r="X24" s="52"/>
      <c r="Y24" s="52"/>
    </row>
    <row r="25" spans="1:27" x14ac:dyDescent="0.25">
      <c r="A25" s="677"/>
      <c r="B25" s="53"/>
      <c r="C25" s="53"/>
      <c r="D25" s="53"/>
      <c r="E25" s="678"/>
      <c r="F25" s="299"/>
      <c r="G25" s="299"/>
      <c r="H25" s="53"/>
      <c r="I25" s="53"/>
      <c r="J25" s="679"/>
      <c r="K25" s="53"/>
      <c r="L25" s="53"/>
      <c r="M25" s="677"/>
      <c r="N25" s="677"/>
      <c r="O25" s="677"/>
      <c r="P25" s="677"/>
      <c r="Q25" s="677"/>
      <c r="R25" s="677"/>
      <c r="S25" s="540"/>
      <c r="T25" s="540"/>
      <c r="U25" s="540"/>
      <c r="V25" s="677"/>
      <c r="X25" s="52"/>
      <c r="Y25" s="52"/>
    </row>
    <row r="26" spans="1:27" ht="13.8" thickBot="1" x14ac:dyDescent="0.3"/>
    <row r="27" spans="1:27" ht="13.8" thickBot="1" x14ac:dyDescent="0.3">
      <c r="A27" s="266" t="s">
        <v>424</v>
      </c>
      <c r="B27" s="267"/>
      <c r="C27" s="267"/>
      <c r="D27" s="267"/>
      <c r="E27" s="267"/>
      <c r="F27" s="268" t="s">
        <v>160</v>
      </c>
      <c r="G27" s="269" t="s">
        <v>161</v>
      </c>
      <c r="H27" s="51"/>
      <c r="I27" s="51"/>
      <c r="J27" s="51"/>
      <c r="K27" s="270" t="s">
        <v>425</v>
      </c>
      <c r="L27" s="271"/>
      <c r="M27" s="271"/>
      <c r="N27" s="271"/>
      <c r="O27" s="271"/>
      <c r="P27" s="271"/>
      <c r="Q27" s="272" t="s">
        <v>160</v>
      </c>
      <c r="R27" s="273" t="s">
        <v>161</v>
      </c>
      <c r="Z27" s="60"/>
      <c r="AA27" s="60"/>
    </row>
    <row r="28" spans="1:27" x14ac:dyDescent="0.25">
      <c r="A28" s="274" t="s">
        <v>437</v>
      </c>
      <c r="B28" s="275"/>
      <c r="C28" s="275"/>
      <c r="D28" s="275"/>
      <c r="E28" s="276"/>
      <c r="F28" s="339">
        <f>INDEX('Calculations II'!$AC$12:$AM$377, MATCH(G28,'Calculations II'!$AC$12:$AC$377,), MATCH("Date",'Calculations II'!$AC$7:$AM$7,))</f>
        <v>42760</v>
      </c>
      <c r="G28" s="278">
        <f>MIN(IF(('Calculations II'!$B$12:$B$377&gt;=Conversions!$L$51)*('Calculations II'!$B$12:$B$377&lt;=Conversions!$M$62),'Calculations II'!$AC$12:$AC$377))</f>
        <v>41.42</v>
      </c>
      <c r="H28" s="51"/>
      <c r="I28" s="51"/>
      <c r="J28" s="51"/>
      <c r="K28" s="279" t="s">
        <v>443</v>
      </c>
      <c r="L28" s="280"/>
      <c r="M28" s="280"/>
      <c r="N28" s="280"/>
      <c r="O28" s="280"/>
      <c r="P28" s="281"/>
      <c r="Q28" s="340">
        <f ca="1">INDEX('Calculations II'!$AC$12:$AM$377, MATCH(R28,'Calculations II'!$AI$12:$AI$377,), MATCH("Date",'Calculations II'!$AC$7:$AM$7,))</f>
        <v>42760</v>
      </c>
      <c r="R28" s="283">
        <f ca="1">MIN(IF(('Calculations II'!$B$12:$B$377&gt;=Conversions!$L$51)*('Calculations II'!$B$12:$B$377&lt;=Conversions!$M$62),'Calculations II'!$AI$12:$AI$377))</f>
        <v>39.828901872898179</v>
      </c>
      <c r="V28" s="284"/>
      <c r="Z28" s="60"/>
      <c r="AA28" s="60"/>
    </row>
    <row r="29" spans="1:27" ht="13.8" thickBot="1" x14ac:dyDescent="0.3">
      <c r="A29" s="285" t="s">
        <v>438</v>
      </c>
      <c r="B29" s="286"/>
      <c r="C29" s="286"/>
      <c r="D29" s="286"/>
      <c r="E29" s="680"/>
      <c r="F29" s="338">
        <f>INDEX('Calculations II'!$AC$12:$AM$377, MATCH(G29,'Calculations II'!$AC$12:$AC$377,), MATCH("Date",'Calculations II'!$AC$7:$AM$7,))</f>
        <v>42950</v>
      </c>
      <c r="G29" s="288">
        <f>MAX(IF(('Calculations II'!$B$12:$B$377&gt;=Conversions!$L$51)*('Calculations II'!$B$12:$B$377&lt;=Conversions!$M$62),'Calculations II'!$AC$12:$AC$377))</f>
        <v>114.24444800000001</v>
      </c>
      <c r="H29" s="51"/>
      <c r="I29" s="51"/>
      <c r="J29" s="51"/>
      <c r="K29" s="289" t="s">
        <v>442</v>
      </c>
      <c r="L29" s="290"/>
      <c r="M29" s="290"/>
      <c r="N29" s="290"/>
      <c r="O29" s="290"/>
      <c r="P29" s="291"/>
      <c r="Q29" s="341">
        <f ca="1">INDEX('Calculations II'!$AC$8:$AM$377, MATCH(R29,'Calculations II'!$AI$8:$AI$377,), MATCH("Date",'Calculations II'!$AC$7:$AM$7,))</f>
        <v>42949</v>
      </c>
      <c r="R29" s="293">
        <f ca="1">MAX(IF(('Calculations II'!$B$12:$B$377&gt;=Conversions!$L$51)*('Calculations II'!$B$12:$B$377&lt;=Conversions!$M$62),'Calculations II'!$AI$12:$AI$377))</f>
        <v>112.24491111595034</v>
      </c>
    </row>
    <row r="30" spans="1:27" x14ac:dyDescent="0.25">
      <c r="A30" s="265"/>
      <c r="B30" s="59"/>
      <c r="C30" s="59"/>
      <c r="D30" s="59"/>
      <c r="E30" s="59"/>
      <c r="F30" s="59"/>
      <c r="G30" s="59"/>
      <c r="H30" s="51"/>
      <c r="I30" s="51"/>
      <c r="J30" s="51"/>
      <c r="K30" s="59"/>
      <c r="L30" s="59"/>
      <c r="M30" s="59"/>
      <c r="N30" s="59"/>
      <c r="O30" s="59"/>
      <c r="P30" s="59"/>
      <c r="Q30" s="59"/>
      <c r="R30" s="59"/>
    </row>
    <row r="31" spans="1:27" ht="13.8" thickBot="1" x14ac:dyDescent="0.3">
      <c r="A31" s="265" t="s">
        <v>428</v>
      </c>
      <c r="B31" s="59"/>
      <c r="C31" s="59"/>
      <c r="D31" s="59"/>
      <c r="E31" s="59"/>
      <c r="F31" s="59"/>
      <c r="G31" s="59"/>
      <c r="H31" s="51"/>
      <c r="I31" s="51"/>
      <c r="J31" s="51"/>
      <c r="K31" s="265" t="s">
        <v>428</v>
      </c>
      <c r="L31" s="59"/>
      <c r="M31" s="59"/>
      <c r="N31" s="59"/>
      <c r="O31" s="59"/>
      <c r="P31" s="59"/>
      <c r="Q31" s="59"/>
      <c r="R31" s="59"/>
    </row>
    <row r="32" spans="1:27" ht="13.8" thickBot="1" x14ac:dyDescent="0.3">
      <c r="A32" s="266" t="s">
        <v>424</v>
      </c>
      <c r="B32" s="267"/>
      <c r="C32" s="267"/>
      <c r="D32" s="267"/>
      <c r="E32" s="268" t="s">
        <v>160</v>
      </c>
      <c r="F32" s="269" t="s">
        <v>161</v>
      </c>
      <c r="G32" s="52"/>
      <c r="H32" s="51"/>
      <c r="I32" s="51"/>
      <c r="J32" s="51"/>
      <c r="K32" s="270" t="s">
        <v>425</v>
      </c>
      <c r="L32" s="271"/>
      <c r="M32" s="271"/>
      <c r="N32" s="272" t="s">
        <v>160</v>
      </c>
      <c r="O32" s="273" t="s">
        <v>161</v>
      </c>
      <c r="P32" s="51"/>
      <c r="Q32" s="51"/>
    </row>
    <row r="33" spans="1:22" x14ac:dyDescent="0.25">
      <c r="A33" s="274" t="s">
        <v>440</v>
      </c>
      <c r="B33" s="275"/>
      <c r="C33" s="275"/>
      <c r="D33" s="275"/>
      <c r="E33" s="339">
        <f>INDEX('Calculations II'!$AE$8:$AM$380, MATCH(F33,'Calculations II'!$AE$8:$AE$380,), MATCH("Date",'Calculations II'!$AE$7:$AM$7,))</f>
        <v>42760</v>
      </c>
      <c r="F33" s="278">
        <f t="array" ref="F33">MIN(IF(('Calculations II'!$B$8:$B$380&gt;=Conversions!L51)*('Calculations II'!$B$8:$B$380&lt;=Conversions!M62),'Calculations II'!$AE$8:$AE$380))</f>
        <v>31.010635296837968</v>
      </c>
      <c r="G33" s="52"/>
      <c r="H33" s="51"/>
      <c r="I33" s="51"/>
      <c r="J33" s="51"/>
      <c r="K33" s="279" t="s">
        <v>443</v>
      </c>
      <c r="L33" s="280"/>
      <c r="M33" s="280"/>
      <c r="N33" s="340">
        <f ca="1">INDEX('Calculations II'!$AH$8:$AM$380, MATCH(O33,'Calculations II'!$AH$8:$AH$380,), MATCH("Date",'Calculations II'!$AH$7:$AM$7,))</f>
        <v>42760</v>
      </c>
      <c r="O33" s="283">
        <f t="array" aca="1" ref="O33" ca="1">MIN(IF(('Calculations II'!$B$8:$B$380&gt;=Conversions!L51)*('Calculations II'!$B$8:$B$380&lt;=Conversions!M62),'Calculations II'!$AH$8:$AH$380))</f>
        <v>29.419537169736149</v>
      </c>
      <c r="P33" s="51"/>
      <c r="Q33" s="51"/>
    </row>
    <row r="34" spans="1:22" ht="13.8" thickBot="1" x14ac:dyDescent="0.3">
      <c r="A34" s="285" t="s">
        <v>441</v>
      </c>
      <c r="B34" s="286"/>
      <c r="C34" s="286"/>
      <c r="D34" s="286"/>
      <c r="E34" s="338">
        <f>INDEX('Calculations II'!$AE$8:$AM$380, MATCH(F34,'Calculations II'!$AE$8:$AE$380,), MATCH("Date",'Calculations II'!$AE$7:$AM$7,))</f>
        <v>42950</v>
      </c>
      <c r="F34" s="288">
        <f t="array" ref="F34">MAX(IF(('Calculations II'!$B$8:$B$380&gt;=Conversions!L51)*('Calculations II'!$B$8:$B$380&lt;=Conversions!M62),'Calculations II'!$AE$8:$AE$380))</f>
        <v>91.969180540861828</v>
      </c>
      <c r="G34" s="52"/>
      <c r="H34" s="51"/>
      <c r="I34" s="51"/>
      <c r="J34" s="51"/>
      <c r="K34" s="289" t="s">
        <v>442</v>
      </c>
      <c r="L34" s="290"/>
      <c r="M34" s="691"/>
      <c r="N34" s="341">
        <f ca="1">INDEX('Calculations II'!$AH$8:$AM$380, MATCH(O34,'Calculations II'!$AH$8:$AH$380,), MATCH("Date",'Calculations II'!$AH$7:$AM$7,))</f>
        <v>42949</v>
      </c>
      <c r="O34" s="293">
        <f t="array" aca="1" ref="O34" ca="1">MAX(IF(('Calculations II'!$B$8:$B$380&gt;=Conversions!L51)*('Calculations II'!$B$8:$B$380&lt;=Conversions!M62),'Calculations II'!$AH$8:$AH$380))</f>
        <v>90.261792488340674</v>
      </c>
      <c r="P34" s="51"/>
      <c r="Q34" s="51"/>
    </row>
    <row r="35" spans="1:22" x14ac:dyDescent="0.25">
      <c r="E35" s="52"/>
      <c r="F35" s="52"/>
      <c r="G35" s="52"/>
      <c r="K35" s="52" t="s">
        <v>429</v>
      </c>
    </row>
    <row r="36" spans="1:22" x14ac:dyDescent="0.25">
      <c r="A36" s="294" t="s">
        <v>430</v>
      </c>
      <c r="B36" s="337">
        <v>1</v>
      </c>
      <c r="C36" s="337">
        <v>2</v>
      </c>
      <c r="D36" s="337">
        <v>3</v>
      </c>
      <c r="E36" s="337">
        <v>4</v>
      </c>
      <c r="F36" s="294" t="s">
        <v>431</v>
      </c>
      <c r="G36" s="294" t="s">
        <v>432</v>
      </c>
      <c r="H36" s="337">
        <v>5</v>
      </c>
      <c r="I36" s="337">
        <v>6</v>
      </c>
      <c r="J36" s="337">
        <v>7</v>
      </c>
      <c r="K36" s="294" t="s">
        <v>433</v>
      </c>
      <c r="L36" s="294">
        <v>8</v>
      </c>
      <c r="M36" s="294">
        <v>9</v>
      </c>
      <c r="N36" s="294" t="s">
        <v>434</v>
      </c>
      <c r="O36" s="294" t="s">
        <v>435</v>
      </c>
      <c r="P36" s="294">
        <v>10</v>
      </c>
      <c r="Q36" s="294">
        <v>11</v>
      </c>
      <c r="R36" s="294" t="s">
        <v>436</v>
      </c>
      <c r="V36" s="297"/>
    </row>
    <row r="39" spans="1:22" x14ac:dyDescent="0.25">
      <c r="N39" s="97"/>
      <c r="O39" s="97"/>
      <c r="V39" s="97"/>
    </row>
    <row r="40" spans="1:22" x14ac:dyDescent="0.25">
      <c r="N40" s="60"/>
      <c r="O40" s="60"/>
      <c r="V40" s="60"/>
    </row>
    <row r="41" spans="1:22" x14ac:dyDescent="0.25">
      <c r="N41" s="60"/>
      <c r="O41" s="60"/>
      <c r="V41" s="60"/>
    </row>
    <row r="42" spans="1:22" x14ac:dyDescent="0.25">
      <c r="N42" s="60"/>
      <c r="O42" s="60"/>
      <c r="V42" s="60"/>
    </row>
    <row r="43" spans="1:22" x14ac:dyDescent="0.25">
      <c r="N43" s="60"/>
      <c r="O43" s="60"/>
      <c r="V43" s="60"/>
    </row>
    <row r="44" spans="1:22" x14ac:dyDescent="0.25">
      <c r="N44" s="60"/>
      <c r="O44" s="60"/>
      <c r="V44" s="60"/>
    </row>
    <row r="45" spans="1:22" x14ac:dyDescent="0.25">
      <c r="N45" s="60"/>
      <c r="O45" s="60"/>
      <c r="V45" s="60"/>
    </row>
    <row r="46" spans="1:22" x14ac:dyDescent="0.25">
      <c r="N46" s="60"/>
      <c r="O46" s="60"/>
      <c r="V46" s="60"/>
    </row>
    <row r="47" spans="1:22" x14ac:dyDescent="0.25">
      <c r="N47" s="60"/>
      <c r="O47" s="60"/>
      <c r="V47" s="60"/>
    </row>
    <row r="48" spans="1:22" x14ac:dyDescent="0.25">
      <c r="N48" s="60"/>
      <c r="O48" s="60"/>
      <c r="V48" s="60"/>
    </row>
    <row r="49" spans="14:22" x14ac:dyDescent="0.25">
      <c r="N49" s="60"/>
      <c r="O49" s="60"/>
      <c r="V49" s="60"/>
    </row>
    <row r="50" spans="14:22" x14ac:dyDescent="0.25">
      <c r="N50" s="60"/>
      <c r="O50" s="60"/>
      <c r="V50" s="60"/>
    </row>
    <row r="51" spans="14:22" x14ac:dyDescent="0.25">
      <c r="N51" s="60"/>
      <c r="O51" s="60"/>
      <c r="V51" s="60"/>
    </row>
  </sheetData>
  <mergeCells count="6">
    <mergeCell ref="S6:U6"/>
    <mergeCell ref="K6:R6"/>
    <mergeCell ref="A2:R2"/>
    <mergeCell ref="A3:R3"/>
    <mergeCell ref="C6:G6"/>
    <mergeCell ref="H6:J6"/>
  </mergeCells>
  <phoneticPr fontId="0" type="noConversion"/>
  <conditionalFormatting sqref="W24">
    <cfRule type="expression" priority="4" stopIfTrue="1">
      <formula>IF(MONTH($A$39)=MONTH($E$1),TRUE,FALSE)</formula>
    </cfRule>
    <cfRule type="expression" dxfId="70" priority="5" stopIfTrue="1">
      <formula>IF(MONTH($A$39)&gt;MONTH($E$1),TRUE,FALSE)</formula>
    </cfRule>
    <cfRule type="expression" dxfId="69" priority="6" stopIfTrue="1">
      <formula>IF(MONTH($A$39)&lt;MONTH($E$1),TRUE,FALSE)</formula>
    </cfRule>
  </conditionalFormatting>
  <pageMargins left="0.25" right="0.25" top="0.75" bottom="0.75" header="0.3" footer="0.3"/>
  <pageSetup paperSize="5" scale="93"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HR381"/>
  <sheetViews>
    <sheetView zoomScale="90" zoomScaleNormal="90" workbookViewId="0">
      <pane xSplit="3" ySplit="7" topLeftCell="D359" activePane="bottomRight" state="frozen"/>
      <selection activeCell="A2" sqref="A2:R2"/>
      <selection pane="topRight" activeCell="A2" sqref="A2:R2"/>
      <selection pane="bottomLeft" activeCell="A2" sqref="A2:R2"/>
      <selection pane="bottomRight" activeCell="EJ379" sqref="EJ379"/>
    </sheetView>
  </sheetViews>
  <sheetFormatPr defaultColWidth="9.109375" defaultRowHeight="13.2" x14ac:dyDescent="0.25"/>
  <cols>
    <col min="1" max="1" width="11.5546875" style="2" bestFit="1" customWidth="1"/>
    <col min="2" max="2" width="15" style="631" customWidth="1"/>
    <col min="3" max="3" width="12.33203125" style="2" customWidth="1"/>
    <col min="4" max="4" width="8.5546875" style="353" customWidth="1"/>
    <col min="5" max="5" width="8" style="653" customWidth="1"/>
    <col min="6" max="6" width="12.33203125" style="653" customWidth="1"/>
    <col min="7" max="7" width="8.6640625" style="653" customWidth="1"/>
    <col min="8" max="8" width="11.88671875" style="354" customWidth="1"/>
    <col min="9" max="9" width="8.109375" style="354" customWidth="1"/>
    <col min="10" max="10" width="9.5546875" style="347" customWidth="1"/>
    <col min="11" max="11" width="10.109375" style="347" customWidth="1"/>
    <col min="12" max="12" width="9.88671875" style="731" customWidth="1"/>
    <col min="13" max="17" width="10.44140625" style="355" customWidth="1"/>
    <col min="18" max="18" width="11.109375" style="347" customWidth="1"/>
    <col min="19" max="19" width="10.6640625" style="347" customWidth="1"/>
    <col min="20" max="20" width="10.33203125" style="347" customWidth="1"/>
    <col min="21" max="22" width="12.44140625" style="347" customWidth="1"/>
    <col min="23" max="23" width="11.88671875" style="355" customWidth="1"/>
    <col min="24" max="24" width="10.88671875" style="3" customWidth="1"/>
    <col min="25" max="25" width="9.44140625" style="347" bestFit="1" customWidth="1"/>
    <col min="26" max="26" width="11.109375" style="633" customWidth="1"/>
    <col min="27" max="28" width="8.6640625" style="633" customWidth="1"/>
    <col min="29" max="29" width="10" style="1161" customWidth="1"/>
    <col min="30" max="30" width="14.109375" style="1161" customWidth="1"/>
    <col min="31" max="31" width="12" style="1161" customWidth="1"/>
    <col min="32" max="32" width="12" style="356" customWidth="1"/>
    <col min="33" max="33" width="12" style="1161" customWidth="1"/>
    <col min="34" max="35" width="12" style="356" customWidth="1"/>
    <col min="36" max="37" width="9.109375" style="3"/>
    <col min="38" max="38" width="9.5546875" style="3" customWidth="1"/>
    <col min="39" max="39" width="9.88671875" style="3" customWidth="1"/>
    <col min="40" max="42" width="9.109375" style="3"/>
    <col min="43" max="43" width="12" style="347" customWidth="1"/>
    <col min="44" max="44" width="12" style="550" customWidth="1"/>
    <col min="45" max="47" width="12" style="347" customWidth="1"/>
    <col min="48" max="48" width="10.44140625" style="347" bestFit="1" customWidth="1"/>
    <col min="49" max="49" width="10.109375" style="347" bestFit="1" customWidth="1"/>
    <col min="50" max="50" width="11.44140625" style="347" bestFit="1" customWidth="1"/>
    <col min="51" max="51" width="11.44140625" style="550" bestFit="1" customWidth="1"/>
    <col min="52" max="52" width="11.5546875" style="550" customWidth="1"/>
    <col min="53" max="53" width="12" style="550" customWidth="1"/>
    <col min="54" max="55" width="12.44140625" style="347" customWidth="1"/>
    <col min="56" max="56" width="11.88671875" style="347" customWidth="1"/>
    <col min="57" max="57" width="11.5546875" style="550" customWidth="1"/>
    <col min="58" max="58" width="11.88671875" style="347" customWidth="1"/>
    <col min="59" max="59" width="10.44140625" style="365" customWidth="1"/>
    <col min="60" max="60" width="10.5546875" style="550" bestFit="1" customWidth="1"/>
    <col min="61" max="61" width="13.5546875" style="347" customWidth="1"/>
    <col min="62" max="62" width="10.5546875" style="347" customWidth="1"/>
    <col min="63" max="63" width="11.44140625" style="347" customWidth="1"/>
    <col min="64" max="64" width="9.44140625" style="347" bestFit="1" customWidth="1"/>
    <col min="65" max="65" width="9.5546875" style="365" bestFit="1" customWidth="1"/>
    <col min="66" max="66" width="12" style="347" bestFit="1" customWidth="1"/>
    <col min="67" max="67" width="11.109375" style="347" customWidth="1"/>
    <col min="68" max="68" width="11.5546875" style="347" customWidth="1"/>
    <col min="69" max="72" width="13.5546875" style="365" customWidth="1"/>
    <col min="73" max="73" width="10.5546875" style="365" customWidth="1"/>
    <col min="74" max="74" width="11.109375" style="365" customWidth="1"/>
    <col min="75" max="75" width="9.88671875" style="352" bestFit="1" customWidth="1"/>
    <col min="76" max="76" width="10.44140625" style="352" customWidth="1"/>
    <col min="77" max="77" width="11.88671875" style="365" customWidth="1"/>
    <col min="78" max="78" width="11" style="365" customWidth="1"/>
    <col min="79" max="79" width="9.44140625" style="352" bestFit="1" customWidth="1"/>
    <col min="80" max="80" width="8.5546875" style="352" customWidth="1"/>
    <col min="81" max="81" width="9.44140625" style="352" customWidth="1"/>
    <col min="82" max="84" width="10.44140625" style="3" customWidth="1"/>
    <col min="85" max="87" width="10.5546875" style="3" bestFit="1" customWidth="1"/>
    <col min="88" max="88" width="9.44140625" style="3" bestFit="1" customWidth="1"/>
    <col min="89" max="89" width="12" style="3" customWidth="1"/>
    <col min="90" max="91" width="9.44140625" style="3" bestFit="1" customWidth="1"/>
    <col min="92" max="92" width="9.5546875" style="3" customWidth="1"/>
    <col min="93" max="93" width="10.44140625" style="3" customWidth="1"/>
    <col min="94" max="94" width="10.5546875" style="3" customWidth="1"/>
    <col min="95" max="96" width="9.44140625" style="3" bestFit="1" customWidth="1"/>
    <col min="97" max="97" width="13.44140625" style="347" customWidth="1"/>
    <col min="98" max="98" width="17.5546875" style="347" customWidth="1"/>
    <col min="99" max="99" width="11.5546875" style="347" customWidth="1"/>
    <col min="100" max="100" width="9.109375" style="352"/>
    <col min="101" max="101" width="10" style="352" customWidth="1"/>
    <col min="102" max="102" width="10.44140625" style="352" customWidth="1"/>
    <col min="103" max="103" width="9.109375" style="352"/>
    <col min="104" max="104" width="11" style="365" customWidth="1"/>
    <col min="105" max="105" width="12.88671875" style="365" customWidth="1"/>
    <col min="106" max="106" width="13.44140625" style="365" bestFit="1" customWidth="1"/>
    <col min="107" max="107" width="11.5546875" style="365" bestFit="1" customWidth="1"/>
    <col min="108" max="113" width="10.44140625" style="1140" customWidth="1"/>
    <col min="114" max="114" width="9.109375" style="1140"/>
    <col min="115" max="115" width="10.33203125" style="1140" bestFit="1" customWidth="1"/>
    <col min="116" max="116" width="9.109375" style="3"/>
    <col min="117" max="118" width="10.44140625" style="3" customWidth="1"/>
    <col min="119" max="126" width="9.109375" style="3"/>
    <col min="127" max="127" width="10" style="3" customWidth="1"/>
    <col min="128" max="128" width="11.5546875" style="3" bestFit="1" customWidth="1"/>
    <col min="129" max="136" width="9.109375" style="3"/>
    <col min="137" max="137" width="9.109375" style="1140"/>
    <col min="138" max="143" width="9.109375" style="3"/>
    <col min="144" max="144" width="10.88671875" style="3" customWidth="1"/>
    <col min="145" max="145" width="10.44140625" style="3" customWidth="1"/>
    <col min="146" max="146" width="9.109375" style="3"/>
    <col min="147" max="147" width="10.44140625" style="3" customWidth="1"/>
    <col min="148" max="149" width="11.109375" style="3" customWidth="1"/>
    <col min="150" max="150" width="9.109375" style="3"/>
    <col min="151" max="151" width="9.109375" style="348"/>
    <col min="152" max="152" width="12.5546875" style="1143" customWidth="1"/>
    <col min="153" max="16384" width="9.109375" style="348"/>
  </cols>
  <sheetData>
    <row r="1" spans="1:226" s="500" customFormat="1" ht="29.25" customHeight="1" x14ac:dyDescent="0.25">
      <c r="A1" s="352"/>
      <c r="B1" s="632"/>
      <c r="C1" s="352"/>
      <c r="D1" s="501" t="s">
        <v>222</v>
      </c>
      <c r="E1" s="637"/>
      <c r="F1" s="637"/>
      <c r="G1" s="637"/>
      <c r="H1" s="502"/>
      <c r="I1" s="502"/>
      <c r="J1" s="502"/>
      <c r="K1" s="502"/>
      <c r="L1" s="726"/>
      <c r="M1" s="502"/>
      <c r="N1" s="502"/>
      <c r="O1" s="502"/>
      <c r="P1" s="502"/>
      <c r="Q1" s="502"/>
      <c r="R1" s="502"/>
      <c r="S1" s="502"/>
      <c r="T1" s="502"/>
      <c r="U1" s="502"/>
      <c r="V1" s="502"/>
      <c r="W1" s="502"/>
      <c r="X1" s="502"/>
      <c r="Y1" s="502"/>
      <c r="Z1" s="637"/>
      <c r="AA1" s="637"/>
      <c r="AB1" s="637"/>
      <c r="AC1" s="1156"/>
      <c r="AD1" s="1156"/>
      <c r="AE1" s="1156"/>
      <c r="AF1" s="503"/>
      <c r="AG1" s="1156"/>
      <c r="AH1" s="503"/>
      <c r="AI1" s="503"/>
      <c r="AJ1" s="352"/>
      <c r="AK1" s="352"/>
      <c r="AL1" s="352"/>
      <c r="AM1" s="352"/>
      <c r="AN1" s="352"/>
      <c r="AO1" s="352"/>
      <c r="AP1" s="352"/>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52"/>
      <c r="BX1" s="352"/>
      <c r="BY1" s="365"/>
      <c r="BZ1" s="365"/>
      <c r="CA1" s="352"/>
      <c r="CB1" s="352"/>
      <c r="CC1" s="352"/>
      <c r="CD1" s="352"/>
      <c r="CE1" s="352"/>
      <c r="CF1" s="352"/>
      <c r="CG1" s="352"/>
      <c r="CH1" s="352"/>
      <c r="CI1" s="352"/>
      <c r="CJ1" s="352"/>
      <c r="CK1" s="352"/>
      <c r="CL1" s="352"/>
      <c r="CM1" s="352"/>
      <c r="CN1" s="352"/>
      <c r="CO1" s="352"/>
      <c r="CP1" s="352"/>
      <c r="CQ1" s="352"/>
      <c r="CR1" s="352"/>
      <c r="CS1" s="365"/>
      <c r="CT1" s="365"/>
      <c r="CU1" s="365"/>
      <c r="CV1" s="352"/>
      <c r="CW1" s="352"/>
      <c r="CX1" s="352"/>
      <c r="CY1" s="352"/>
      <c r="CZ1" s="365"/>
      <c r="DA1" s="365"/>
      <c r="DB1" s="365"/>
      <c r="DC1" s="365"/>
      <c r="DD1" s="1140"/>
      <c r="DE1" s="1140"/>
      <c r="DF1" s="1140"/>
      <c r="DG1" s="1140"/>
      <c r="DH1" s="1140"/>
      <c r="DI1" s="1140"/>
      <c r="DJ1" s="1140"/>
      <c r="DK1" s="1140"/>
      <c r="DL1" s="352"/>
      <c r="DM1" s="352"/>
      <c r="DN1" s="352"/>
      <c r="DO1" s="352"/>
      <c r="DP1" s="352"/>
      <c r="DQ1" s="352"/>
      <c r="DR1" s="352"/>
      <c r="DS1" s="352"/>
      <c r="DT1" s="352"/>
      <c r="DU1" s="352"/>
      <c r="DV1" s="352"/>
      <c r="DW1" s="352"/>
      <c r="DX1" s="352"/>
      <c r="DY1" s="352"/>
      <c r="DZ1" s="352"/>
      <c r="EA1" s="352"/>
      <c r="EB1" s="352"/>
      <c r="EC1" s="352"/>
      <c r="ED1" s="352"/>
      <c r="EE1" s="352"/>
      <c r="EF1" s="352"/>
      <c r="EG1" s="1140"/>
      <c r="EH1" s="352"/>
      <c r="EI1" s="352"/>
      <c r="EJ1" s="352"/>
      <c r="EK1" s="352"/>
      <c r="EL1" s="352"/>
      <c r="EM1" s="352"/>
      <c r="EN1" s="352"/>
      <c r="EO1" s="352"/>
      <c r="EP1" s="352"/>
      <c r="EQ1" s="352"/>
      <c r="ER1" s="352"/>
      <c r="ES1" s="352"/>
      <c r="ET1" s="352"/>
      <c r="EV1" s="1143"/>
    </row>
    <row r="2" spans="1:226" s="500" customFormat="1" ht="8.25" customHeight="1" x14ac:dyDescent="0.25">
      <c r="A2" s="352"/>
      <c r="B2" s="632"/>
      <c r="C2" s="352"/>
      <c r="D2" s="504"/>
      <c r="E2" s="639"/>
      <c r="F2" s="639"/>
      <c r="G2" s="639"/>
      <c r="H2" s="505"/>
      <c r="I2" s="505"/>
      <c r="J2" s="505"/>
      <c r="K2" s="505"/>
      <c r="L2" s="727"/>
      <c r="M2" s="505"/>
      <c r="N2" s="505"/>
      <c r="O2" s="505"/>
      <c r="P2" s="505"/>
      <c r="Q2" s="505"/>
      <c r="R2" s="505"/>
      <c r="S2" s="505"/>
      <c r="T2" s="505"/>
      <c r="U2" s="505"/>
      <c r="V2" s="505"/>
      <c r="W2" s="505"/>
      <c r="X2" s="505"/>
      <c r="Y2" s="505"/>
      <c r="Z2" s="639"/>
      <c r="AA2" s="639"/>
      <c r="AB2" s="639"/>
      <c r="AC2" s="1156"/>
      <c r="AD2" s="1156"/>
      <c r="AE2" s="1156"/>
      <c r="AF2" s="503"/>
      <c r="AG2" s="1156"/>
      <c r="AH2" s="503"/>
      <c r="AI2" s="503"/>
      <c r="AJ2" s="352"/>
      <c r="AK2" s="352"/>
      <c r="AL2" s="352"/>
      <c r="AM2" s="352"/>
      <c r="AN2" s="352"/>
      <c r="AO2" s="352"/>
      <c r="AP2" s="352"/>
      <c r="AQ2" s="365"/>
      <c r="AR2" s="365"/>
      <c r="AS2" s="365"/>
      <c r="AT2" s="365"/>
      <c r="AU2" s="365"/>
      <c r="AV2" s="365"/>
      <c r="AW2" s="365"/>
      <c r="AX2" s="365"/>
      <c r="AY2" s="365"/>
      <c r="AZ2" s="365"/>
      <c r="BA2" s="365"/>
      <c r="BB2" s="365"/>
      <c r="BC2" s="365"/>
      <c r="BD2" s="365"/>
      <c r="BE2" s="365"/>
      <c r="BF2" s="365"/>
      <c r="BG2" s="365"/>
      <c r="BH2" s="365"/>
      <c r="BI2" s="365"/>
      <c r="BJ2" s="365"/>
      <c r="BK2" s="365"/>
      <c r="BL2" s="365"/>
      <c r="BM2" s="365"/>
      <c r="BN2" s="365"/>
      <c r="BO2" s="365"/>
      <c r="BP2" s="365"/>
      <c r="BQ2" s="365"/>
      <c r="BR2" s="365"/>
      <c r="BS2" s="365"/>
      <c r="BT2" s="365"/>
      <c r="BU2" s="365"/>
      <c r="BV2" s="365"/>
      <c r="BW2" s="352"/>
      <c r="BX2" s="352"/>
      <c r="BY2" s="365"/>
      <c r="BZ2" s="365"/>
      <c r="CA2" s="352"/>
      <c r="CB2" s="352"/>
      <c r="CC2" s="352"/>
      <c r="CD2" s="352"/>
      <c r="CE2" s="352"/>
      <c r="CF2" s="352"/>
      <c r="CG2" s="352"/>
      <c r="CH2" s="352"/>
      <c r="CI2" s="352"/>
      <c r="CJ2" s="352"/>
      <c r="CK2" s="352"/>
      <c r="CL2" s="352"/>
      <c r="CM2" s="352"/>
      <c r="CN2" s="352"/>
      <c r="CO2" s="352"/>
      <c r="CP2" s="352"/>
      <c r="CQ2" s="352"/>
      <c r="CR2" s="352"/>
      <c r="CS2" s="365"/>
      <c r="CT2" s="365"/>
      <c r="CU2" s="365"/>
      <c r="CV2" s="352"/>
      <c r="CW2" s="352"/>
      <c r="CX2" s="352"/>
      <c r="CY2" s="352"/>
      <c r="CZ2" s="365"/>
      <c r="DA2" s="365"/>
      <c r="DB2" s="365"/>
      <c r="DC2" s="365"/>
      <c r="DD2" s="1140"/>
      <c r="DE2" s="1140"/>
      <c r="DF2" s="1140"/>
      <c r="DG2" s="1140"/>
      <c r="DH2" s="1140"/>
      <c r="DI2" s="1140"/>
      <c r="DJ2" s="1140"/>
      <c r="DK2" s="1140"/>
      <c r="DL2" s="352"/>
      <c r="DM2" s="352"/>
      <c r="DN2" s="352"/>
      <c r="DO2" s="352"/>
      <c r="DP2" s="352"/>
      <c r="DQ2" s="352"/>
      <c r="DR2" s="352"/>
      <c r="DS2" s="352"/>
      <c r="DT2" s="352"/>
      <c r="DU2" s="352"/>
      <c r="DV2" s="352"/>
      <c r="DW2" s="352"/>
      <c r="DX2" s="352"/>
      <c r="DY2" s="352"/>
      <c r="DZ2" s="352"/>
      <c r="EA2" s="352"/>
      <c r="EB2" s="352"/>
      <c r="EC2" s="352"/>
      <c r="ED2" s="352"/>
      <c r="EE2" s="352"/>
      <c r="EF2" s="352"/>
      <c r="EG2" s="1140"/>
      <c r="EH2" s="352"/>
      <c r="EI2" s="352"/>
      <c r="EJ2" s="352"/>
      <c r="EK2" s="352"/>
      <c r="EL2" s="352"/>
      <c r="EM2" s="352"/>
      <c r="EN2" s="352"/>
      <c r="EO2" s="352"/>
      <c r="EP2" s="352"/>
      <c r="EQ2" s="352"/>
      <c r="ER2" s="352"/>
      <c r="ES2" s="352"/>
      <c r="ET2" s="352"/>
      <c r="EV2" s="1143"/>
    </row>
    <row r="3" spans="1:226" s="349" customFormat="1" x14ac:dyDescent="0.25">
      <c r="A3" s="506"/>
      <c r="B3" s="634">
        <v>1</v>
      </c>
      <c r="C3" s="359">
        <v>2</v>
      </c>
      <c r="D3" s="359">
        <v>3</v>
      </c>
      <c r="E3" s="634">
        <v>4</v>
      </c>
      <c r="F3" s="634">
        <v>5</v>
      </c>
      <c r="G3" s="634">
        <v>6</v>
      </c>
      <c r="H3" s="359">
        <v>7</v>
      </c>
      <c r="I3" s="359">
        <v>8</v>
      </c>
      <c r="J3" s="359">
        <v>9</v>
      </c>
      <c r="K3" s="359">
        <v>10</v>
      </c>
      <c r="L3" s="728">
        <v>11</v>
      </c>
      <c r="M3" s="359">
        <v>12</v>
      </c>
      <c r="N3" s="359">
        <v>13</v>
      </c>
      <c r="O3" s="359">
        <v>14</v>
      </c>
      <c r="P3" s="359">
        <v>15</v>
      </c>
      <c r="Q3" s="359">
        <v>16</v>
      </c>
      <c r="R3" s="359">
        <v>17</v>
      </c>
      <c r="S3" s="359">
        <v>18</v>
      </c>
      <c r="T3" s="359">
        <v>19</v>
      </c>
      <c r="U3" s="359">
        <v>20</v>
      </c>
      <c r="V3" s="359">
        <v>21</v>
      </c>
      <c r="W3" s="359">
        <v>22</v>
      </c>
      <c r="X3" s="359">
        <v>23</v>
      </c>
      <c r="Y3" s="359">
        <v>24</v>
      </c>
      <c r="Z3" s="634">
        <v>25</v>
      </c>
      <c r="AA3" s="634">
        <v>26</v>
      </c>
      <c r="AB3" s="634">
        <v>27</v>
      </c>
      <c r="AC3" s="1141">
        <v>28</v>
      </c>
      <c r="AD3" s="1141">
        <v>29</v>
      </c>
      <c r="AE3" s="1141">
        <v>30</v>
      </c>
      <c r="AF3" s="359">
        <v>31</v>
      </c>
      <c r="AG3" s="1141">
        <v>32</v>
      </c>
      <c r="AH3" s="359">
        <v>33</v>
      </c>
      <c r="AI3" s="359">
        <v>34</v>
      </c>
      <c r="AJ3" s="359">
        <v>35</v>
      </c>
      <c r="AK3" s="359">
        <v>36</v>
      </c>
      <c r="AL3" s="359">
        <v>37</v>
      </c>
      <c r="AM3" s="359">
        <v>38</v>
      </c>
      <c r="AN3" s="359">
        <v>39</v>
      </c>
      <c r="AO3" s="359">
        <v>40</v>
      </c>
      <c r="AP3" s="359">
        <v>41</v>
      </c>
      <c r="AQ3" s="359">
        <v>42</v>
      </c>
      <c r="AR3" s="359">
        <v>43</v>
      </c>
      <c r="AS3" s="359">
        <v>44</v>
      </c>
      <c r="AT3" s="359">
        <v>45</v>
      </c>
      <c r="AU3" s="359">
        <v>46</v>
      </c>
      <c r="AV3" s="359">
        <v>47</v>
      </c>
      <c r="AW3" s="359">
        <v>48</v>
      </c>
      <c r="AX3" s="359">
        <v>49</v>
      </c>
      <c r="AY3" s="359">
        <v>50</v>
      </c>
      <c r="AZ3" s="359">
        <v>51</v>
      </c>
      <c r="BA3" s="359">
        <v>52</v>
      </c>
      <c r="BB3" s="359">
        <v>53</v>
      </c>
      <c r="BC3" s="359">
        <v>54</v>
      </c>
      <c r="BD3" s="359">
        <v>55</v>
      </c>
      <c r="BE3" s="359">
        <v>56</v>
      </c>
      <c r="BF3" s="359">
        <v>57</v>
      </c>
      <c r="BG3" s="359">
        <v>58</v>
      </c>
      <c r="BH3" s="359">
        <v>59</v>
      </c>
      <c r="BI3" s="359">
        <v>60</v>
      </c>
      <c r="BJ3" s="359">
        <v>61</v>
      </c>
      <c r="BK3" s="359">
        <v>62</v>
      </c>
      <c r="BL3" s="359">
        <v>63</v>
      </c>
      <c r="BM3" s="359">
        <v>64</v>
      </c>
      <c r="BN3" s="359">
        <v>65</v>
      </c>
      <c r="BO3" s="359">
        <v>66</v>
      </c>
      <c r="BP3" s="359">
        <v>67</v>
      </c>
      <c r="BQ3" s="359">
        <v>71</v>
      </c>
      <c r="BR3" s="359">
        <v>72</v>
      </c>
      <c r="BS3" s="359">
        <v>73</v>
      </c>
      <c r="BT3" s="359">
        <v>74</v>
      </c>
      <c r="BU3" s="359">
        <v>75</v>
      </c>
      <c r="BV3" s="359">
        <v>76</v>
      </c>
      <c r="BW3" s="359">
        <v>77</v>
      </c>
      <c r="BX3" s="359"/>
      <c r="BY3" s="359">
        <v>78</v>
      </c>
      <c r="BZ3" s="359">
        <v>79</v>
      </c>
      <c r="CA3" s="359">
        <v>80</v>
      </c>
      <c r="CB3" s="359"/>
      <c r="CC3" s="359"/>
      <c r="CD3" s="359">
        <v>81</v>
      </c>
      <c r="CE3" s="359">
        <v>82</v>
      </c>
      <c r="CF3" s="359">
        <v>83</v>
      </c>
      <c r="CG3" s="359">
        <v>84</v>
      </c>
      <c r="CH3" s="359">
        <v>85</v>
      </c>
      <c r="CI3" s="359">
        <v>86</v>
      </c>
      <c r="CJ3" s="359">
        <v>87</v>
      </c>
      <c r="CK3" s="359">
        <v>88</v>
      </c>
      <c r="CL3" s="359">
        <v>89</v>
      </c>
      <c r="CM3" s="359">
        <v>90</v>
      </c>
      <c r="CN3" s="359">
        <v>91</v>
      </c>
      <c r="CO3" s="359">
        <v>92</v>
      </c>
      <c r="CP3" s="359">
        <v>93</v>
      </c>
      <c r="CQ3" s="359">
        <v>94</v>
      </c>
      <c r="CR3" s="359">
        <v>95</v>
      </c>
      <c r="CS3" s="359">
        <v>96</v>
      </c>
      <c r="CT3" s="359">
        <v>97</v>
      </c>
      <c r="CU3" s="359">
        <v>98</v>
      </c>
      <c r="CV3" s="359">
        <v>99</v>
      </c>
      <c r="CW3" s="359">
        <v>100</v>
      </c>
      <c r="CX3" s="359">
        <v>101</v>
      </c>
      <c r="CY3" s="359">
        <v>102</v>
      </c>
      <c r="CZ3" s="359">
        <v>103</v>
      </c>
      <c r="DA3" s="359">
        <v>104</v>
      </c>
      <c r="DB3" s="359">
        <v>105</v>
      </c>
      <c r="DC3" s="359">
        <v>106</v>
      </c>
      <c r="DD3" s="1141">
        <v>107</v>
      </c>
      <c r="DE3" s="1141">
        <v>108</v>
      </c>
      <c r="DF3" s="1141">
        <v>109</v>
      </c>
      <c r="DG3" s="1141">
        <v>110</v>
      </c>
      <c r="DH3" s="1141">
        <v>111</v>
      </c>
      <c r="DI3" s="1141">
        <v>112</v>
      </c>
      <c r="DJ3" s="1141">
        <v>113</v>
      </c>
      <c r="DK3" s="1141">
        <v>114</v>
      </c>
      <c r="DL3" s="359">
        <v>115</v>
      </c>
      <c r="DM3" s="359">
        <v>116</v>
      </c>
      <c r="DN3" s="359">
        <v>117</v>
      </c>
      <c r="DO3" s="359">
        <v>118</v>
      </c>
      <c r="DP3" s="359">
        <v>119</v>
      </c>
      <c r="DQ3" s="359">
        <v>120</v>
      </c>
      <c r="DR3" s="359">
        <v>121</v>
      </c>
      <c r="DS3" s="359">
        <v>122</v>
      </c>
      <c r="DT3" s="359">
        <v>123</v>
      </c>
      <c r="DU3" s="359">
        <v>124</v>
      </c>
      <c r="DV3" s="359">
        <v>125</v>
      </c>
      <c r="DW3" s="359">
        <v>126</v>
      </c>
      <c r="DX3" s="359">
        <v>127</v>
      </c>
      <c r="DY3" s="359">
        <v>128</v>
      </c>
      <c r="DZ3" s="359">
        <v>129</v>
      </c>
      <c r="EA3" s="359">
        <v>130</v>
      </c>
      <c r="EB3" s="359">
        <v>131</v>
      </c>
      <c r="EC3" s="359">
        <v>132</v>
      </c>
      <c r="ED3" s="359">
        <v>133</v>
      </c>
      <c r="EE3" s="359">
        <v>134</v>
      </c>
      <c r="EF3" s="359">
        <v>135</v>
      </c>
      <c r="EG3" s="1141">
        <v>136</v>
      </c>
      <c r="EH3" s="359">
        <v>137</v>
      </c>
      <c r="EI3" s="359">
        <v>138</v>
      </c>
      <c r="EJ3" s="359">
        <v>139</v>
      </c>
      <c r="EK3" s="359">
        <v>140</v>
      </c>
      <c r="EL3" s="359">
        <v>141</v>
      </c>
      <c r="EM3" s="359">
        <v>142</v>
      </c>
      <c r="EN3" s="359">
        <v>143</v>
      </c>
      <c r="EO3" s="359">
        <v>144</v>
      </c>
      <c r="EP3" s="359">
        <v>145</v>
      </c>
      <c r="EQ3" s="359">
        <v>146</v>
      </c>
      <c r="ER3" s="359">
        <v>147</v>
      </c>
      <c r="ES3" s="359">
        <v>148</v>
      </c>
      <c r="ET3" s="359">
        <v>149</v>
      </c>
      <c r="EV3" s="1148"/>
    </row>
    <row r="4" spans="1:226" s="500" customFormat="1" ht="23.25" customHeight="1" x14ac:dyDescent="0.25">
      <c r="A4" s="352"/>
      <c r="B4" s="632"/>
      <c r="C4" s="352"/>
      <c r="D4" s="504"/>
      <c r="E4" s="639"/>
      <c r="F4" s="639"/>
      <c r="G4" s="639"/>
      <c r="H4" s="505"/>
      <c r="I4" s="505"/>
      <c r="J4" s="505"/>
      <c r="K4" s="505"/>
      <c r="L4" s="727"/>
      <c r="M4" s="505"/>
      <c r="N4" s="505"/>
      <c r="O4" s="505"/>
      <c r="P4" s="505"/>
      <c r="Q4" s="505"/>
      <c r="R4" s="505"/>
      <c r="S4" s="505"/>
      <c r="T4" s="505"/>
      <c r="U4" s="505"/>
      <c r="V4" s="505"/>
      <c r="W4" s="505"/>
      <c r="X4" s="505"/>
      <c r="Y4" s="505"/>
      <c r="Z4" s="639"/>
      <c r="AA4" s="639"/>
      <c r="AB4" s="639"/>
      <c r="AC4" s="1156"/>
      <c r="AD4" s="1156"/>
      <c r="AE4" s="1156"/>
      <c r="AF4" s="503"/>
      <c r="AG4" s="1156"/>
      <c r="AH4" s="503"/>
      <c r="AI4" s="503"/>
      <c r="AJ4" s="352"/>
      <c r="AK4" s="352"/>
      <c r="AL4" s="352"/>
      <c r="AM4" s="352"/>
      <c r="AN4" s="352"/>
      <c r="AO4" s="352"/>
      <c r="AP4" s="352"/>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506">
        <v>68</v>
      </c>
      <c r="BR4" s="744">
        <f>BQ4+1</f>
        <v>69</v>
      </c>
      <c r="BS4" s="744">
        <f t="shared" ref="BS4:ED4" si="0">BR4+1</f>
        <v>70</v>
      </c>
      <c r="BT4" s="744">
        <f t="shared" si="0"/>
        <v>71</v>
      </c>
      <c r="BU4" s="744">
        <f t="shared" si="0"/>
        <v>72</v>
      </c>
      <c r="BV4" s="744">
        <f t="shared" si="0"/>
        <v>73</v>
      </c>
      <c r="BW4" s="744">
        <f t="shared" si="0"/>
        <v>74</v>
      </c>
      <c r="BX4" s="744">
        <f t="shared" si="0"/>
        <v>75</v>
      </c>
      <c r="BY4" s="744">
        <f t="shared" si="0"/>
        <v>76</v>
      </c>
      <c r="BZ4" s="744">
        <f t="shared" si="0"/>
        <v>77</v>
      </c>
      <c r="CA4" s="744">
        <f t="shared" si="0"/>
        <v>78</v>
      </c>
      <c r="CB4" s="744">
        <f t="shared" si="0"/>
        <v>79</v>
      </c>
      <c r="CC4" s="744">
        <f t="shared" si="0"/>
        <v>80</v>
      </c>
      <c r="CD4" s="744">
        <f t="shared" si="0"/>
        <v>81</v>
      </c>
      <c r="CE4" s="744">
        <f t="shared" si="0"/>
        <v>82</v>
      </c>
      <c r="CF4" s="744">
        <f t="shared" si="0"/>
        <v>83</v>
      </c>
      <c r="CG4" s="744">
        <f t="shared" si="0"/>
        <v>84</v>
      </c>
      <c r="CH4" s="744">
        <f t="shared" si="0"/>
        <v>85</v>
      </c>
      <c r="CI4" s="744">
        <f t="shared" si="0"/>
        <v>86</v>
      </c>
      <c r="CJ4" s="744">
        <f t="shared" si="0"/>
        <v>87</v>
      </c>
      <c r="CK4" s="744">
        <f t="shared" si="0"/>
        <v>88</v>
      </c>
      <c r="CL4" s="744">
        <f t="shared" si="0"/>
        <v>89</v>
      </c>
      <c r="CM4" s="744">
        <f t="shared" si="0"/>
        <v>90</v>
      </c>
      <c r="CN4" s="744">
        <f t="shared" si="0"/>
        <v>91</v>
      </c>
      <c r="CO4" s="744">
        <f t="shared" si="0"/>
        <v>92</v>
      </c>
      <c r="CP4" s="744">
        <f t="shared" si="0"/>
        <v>93</v>
      </c>
      <c r="CQ4" s="744">
        <f t="shared" si="0"/>
        <v>94</v>
      </c>
      <c r="CR4" s="744">
        <f t="shared" si="0"/>
        <v>95</v>
      </c>
      <c r="CS4" s="744">
        <f t="shared" si="0"/>
        <v>96</v>
      </c>
      <c r="CT4" s="744">
        <f t="shared" si="0"/>
        <v>97</v>
      </c>
      <c r="CU4" s="744">
        <f t="shared" si="0"/>
        <v>98</v>
      </c>
      <c r="CV4" s="744">
        <f t="shared" si="0"/>
        <v>99</v>
      </c>
      <c r="CW4" s="744">
        <f t="shared" si="0"/>
        <v>100</v>
      </c>
      <c r="CX4" s="744">
        <f t="shared" si="0"/>
        <v>101</v>
      </c>
      <c r="CY4" s="744">
        <f t="shared" si="0"/>
        <v>102</v>
      </c>
      <c r="CZ4" s="744">
        <f t="shared" si="0"/>
        <v>103</v>
      </c>
      <c r="DA4" s="744">
        <f t="shared" si="0"/>
        <v>104</v>
      </c>
      <c r="DB4" s="744">
        <f t="shared" si="0"/>
        <v>105</v>
      </c>
      <c r="DC4" s="744">
        <f t="shared" si="0"/>
        <v>106</v>
      </c>
      <c r="DD4" s="1142">
        <f t="shared" si="0"/>
        <v>107</v>
      </c>
      <c r="DE4" s="1142">
        <f t="shared" si="0"/>
        <v>108</v>
      </c>
      <c r="DF4" s="1142">
        <f t="shared" si="0"/>
        <v>109</v>
      </c>
      <c r="DG4" s="1142">
        <f t="shared" si="0"/>
        <v>110</v>
      </c>
      <c r="DH4" s="1142">
        <f t="shared" si="0"/>
        <v>111</v>
      </c>
      <c r="DI4" s="1142">
        <f t="shared" si="0"/>
        <v>112</v>
      </c>
      <c r="DJ4" s="1142">
        <f t="shared" si="0"/>
        <v>113</v>
      </c>
      <c r="DK4" s="1142">
        <f t="shared" si="0"/>
        <v>114</v>
      </c>
      <c r="DL4" s="744">
        <f t="shared" si="0"/>
        <v>115</v>
      </c>
      <c r="DM4" s="744">
        <f t="shared" si="0"/>
        <v>116</v>
      </c>
      <c r="DN4" s="744">
        <f t="shared" si="0"/>
        <v>117</v>
      </c>
      <c r="DO4" s="744">
        <f t="shared" si="0"/>
        <v>118</v>
      </c>
      <c r="DP4" s="744">
        <f t="shared" si="0"/>
        <v>119</v>
      </c>
      <c r="DQ4" s="744">
        <f t="shared" si="0"/>
        <v>120</v>
      </c>
      <c r="DR4" s="744">
        <f t="shared" si="0"/>
        <v>121</v>
      </c>
      <c r="DS4" s="744">
        <f t="shared" si="0"/>
        <v>122</v>
      </c>
      <c r="DT4" s="744">
        <f t="shared" si="0"/>
        <v>123</v>
      </c>
      <c r="DU4" s="744">
        <f t="shared" si="0"/>
        <v>124</v>
      </c>
      <c r="DV4" s="744">
        <f t="shared" si="0"/>
        <v>125</v>
      </c>
      <c r="DW4" s="744">
        <f t="shared" si="0"/>
        <v>126</v>
      </c>
      <c r="DX4" s="744">
        <f t="shared" si="0"/>
        <v>127</v>
      </c>
      <c r="DY4" s="744">
        <f t="shared" si="0"/>
        <v>128</v>
      </c>
      <c r="DZ4" s="744">
        <f t="shared" si="0"/>
        <v>129</v>
      </c>
      <c r="EA4" s="744">
        <f t="shared" si="0"/>
        <v>130</v>
      </c>
      <c r="EB4" s="744">
        <f t="shared" si="0"/>
        <v>131</v>
      </c>
      <c r="EC4" s="744">
        <f t="shared" si="0"/>
        <v>132</v>
      </c>
      <c r="ED4" s="744">
        <f t="shared" si="0"/>
        <v>133</v>
      </c>
      <c r="EE4" s="744">
        <f t="shared" ref="EE4:ET4" si="1">ED4+1</f>
        <v>134</v>
      </c>
      <c r="EF4" s="744">
        <f t="shared" si="1"/>
        <v>135</v>
      </c>
      <c r="EG4" s="1142">
        <f t="shared" si="1"/>
        <v>136</v>
      </c>
      <c r="EH4" s="744">
        <f t="shared" si="1"/>
        <v>137</v>
      </c>
      <c r="EI4" s="744">
        <f t="shared" si="1"/>
        <v>138</v>
      </c>
      <c r="EJ4" s="744">
        <f t="shared" si="1"/>
        <v>139</v>
      </c>
      <c r="EK4" s="744">
        <f t="shared" si="1"/>
        <v>140</v>
      </c>
      <c r="EL4" s="744">
        <f t="shared" si="1"/>
        <v>141</v>
      </c>
      <c r="EM4" s="744">
        <f t="shared" si="1"/>
        <v>142</v>
      </c>
      <c r="EN4" s="744">
        <f t="shared" si="1"/>
        <v>143</v>
      </c>
      <c r="EO4" s="744">
        <f t="shared" si="1"/>
        <v>144</v>
      </c>
      <c r="EP4" s="744">
        <f t="shared" si="1"/>
        <v>145</v>
      </c>
      <c r="EQ4" s="744">
        <f t="shared" si="1"/>
        <v>146</v>
      </c>
      <c r="ER4" s="744">
        <f t="shared" si="1"/>
        <v>147</v>
      </c>
      <c r="ES4" s="744">
        <f t="shared" si="1"/>
        <v>148</v>
      </c>
      <c r="ET4" s="744">
        <f t="shared" si="1"/>
        <v>149</v>
      </c>
      <c r="EV4" s="1143"/>
    </row>
    <row r="5" spans="1:226" s="500" customFormat="1" x14ac:dyDescent="0.25">
      <c r="B5" s="1242"/>
      <c r="C5" s="1243"/>
      <c r="D5" s="504" t="s">
        <v>103</v>
      </c>
      <c r="E5" s="638"/>
      <c r="F5" s="638"/>
      <c r="G5" s="638"/>
      <c r="H5" s="503"/>
      <c r="I5" s="503"/>
      <c r="J5" s="503"/>
      <c r="K5" s="503"/>
      <c r="L5" s="729"/>
      <c r="M5" s="503"/>
      <c r="N5" s="503"/>
      <c r="O5" s="503"/>
      <c r="P5" s="503"/>
      <c r="Q5" s="503"/>
      <c r="R5" s="503"/>
      <c r="S5" s="503"/>
      <c r="T5" s="503"/>
      <c r="U5" s="503"/>
      <c r="V5" s="503"/>
      <c r="W5" s="503"/>
      <c r="X5" s="503"/>
      <c r="Y5" s="503"/>
      <c r="Z5" s="638"/>
      <c r="AA5" s="638"/>
      <c r="AB5" s="638"/>
      <c r="AC5" s="1156"/>
      <c r="AD5" s="1156"/>
      <c r="AE5" s="1156"/>
      <c r="AF5" s="503"/>
      <c r="AG5" s="1156"/>
      <c r="AH5" s="503"/>
      <c r="AI5" s="503"/>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84"/>
      <c r="DA5" s="384"/>
      <c r="DB5" s="384"/>
      <c r="DC5" s="384"/>
      <c r="DD5" s="1148"/>
      <c r="DE5" s="1148"/>
      <c r="DF5" s="1148"/>
      <c r="DG5" s="1148"/>
      <c r="DH5" s="1148"/>
      <c r="DI5" s="1148"/>
      <c r="DJ5" s="1148"/>
      <c r="DK5" s="1143"/>
      <c r="DL5" s="349"/>
      <c r="DM5" s="349"/>
      <c r="DN5" s="349"/>
      <c r="DP5" s="349"/>
      <c r="DQ5" s="349"/>
      <c r="DR5" s="349"/>
      <c r="EG5" s="1143"/>
      <c r="EV5" s="1143"/>
    </row>
    <row r="6" spans="1:226" s="511" customFormat="1" x14ac:dyDescent="0.25">
      <c r="A6" s="507"/>
      <c r="B6" s="1244" t="s">
        <v>0</v>
      </c>
      <c r="C6" s="1245"/>
      <c r="D6" s="508"/>
      <c r="E6" s="651"/>
      <c r="F6" s="651"/>
      <c r="G6" s="651"/>
      <c r="H6" s="509"/>
      <c r="I6" s="509"/>
      <c r="J6" s="510"/>
      <c r="K6" s="510"/>
      <c r="L6" s="730"/>
      <c r="M6" s="510"/>
      <c r="N6" s="510"/>
      <c r="O6" s="510"/>
      <c r="P6" s="510"/>
      <c r="Q6" s="510"/>
      <c r="R6" s="364"/>
      <c r="S6" s="364"/>
      <c r="T6" s="364"/>
      <c r="U6" s="364"/>
      <c r="V6" s="364"/>
      <c r="W6" s="510"/>
      <c r="X6" s="368"/>
      <c r="Y6" s="364"/>
      <c r="Z6" s="635"/>
      <c r="AA6" s="635"/>
      <c r="AB6" s="635"/>
      <c r="AC6" s="1157"/>
      <c r="AD6" s="1157"/>
      <c r="AE6" s="1158"/>
      <c r="AF6" s="911" t="s">
        <v>752</v>
      </c>
      <c r="AG6" s="1157"/>
      <c r="AH6" s="363"/>
      <c r="AI6" s="735"/>
      <c r="AQ6" s="737"/>
      <c r="AR6" s="362" t="s">
        <v>380</v>
      </c>
      <c r="AS6" s="362"/>
      <c r="AT6" s="362"/>
      <c r="AU6" s="362"/>
      <c r="AV6" s="362"/>
      <c r="AW6" s="364"/>
      <c r="AX6" s="362"/>
      <c r="AY6" s="362"/>
      <c r="AZ6" s="362"/>
      <c r="BA6" s="364" t="s">
        <v>381</v>
      </c>
      <c r="BB6" s="364"/>
      <c r="BC6" s="364"/>
      <c r="BD6" s="364"/>
      <c r="BE6" s="364"/>
      <c r="BF6" s="364"/>
      <c r="BG6" s="364"/>
      <c r="BH6" s="364"/>
      <c r="BI6" s="364"/>
      <c r="BJ6" s="364"/>
      <c r="BK6" s="364"/>
      <c r="BL6" s="364"/>
      <c r="BM6" s="364"/>
      <c r="BN6" s="364"/>
      <c r="BO6" s="364"/>
      <c r="BP6" s="364"/>
      <c r="BQ6" s="788" t="s">
        <v>382</v>
      </c>
      <c r="BR6" s="364"/>
      <c r="BS6" s="364"/>
      <c r="BT6" s="364"/>
      <c r="BU6" s="364"/>
      <c r="BV6" s="364"/>
      <c r="BW6" s="368"/>
      <c r="BX6" s="368"/>
      <c r="BY6" s="364"/>
      <c r="BZ6" s="364"/>
      <c r="CA6" s="368"/>
      <c r="CB6" s="368"/>
      <c r="CC6" s="368"/>
      <c r="CD6" s="368" t="s">
        <v>383</v>
      </c>
      <c r="CE6" s="368"/>
      <c r="CF6" s="368"/>
      <c r="CG6" s="368"/>
      <c r="CH6" s="368"/>
      <c r="CI6" s="368"/>
      <c r="CJ6" s="368"/>
      <c r="CK6" s="368"/>
      <c r="CL6" s="368" t="s">
        <v>384</v>
      </c>
      <c r="CM6" s="368"/>
      <c r="CN6" s="368"/>
      <c r="CO6" s="368"/>
      <c r="CP6" s="368"/>
      <c r="CQ6" s="368"/>
      <c r="CR6" s="368"/>
      <c r="CS6" s="364" t="s">
        <v>18</v>
      </c>
      <c r="CT6" s="362" t="s">
        <v>853</v>
      </c>
      <c r="CU6" s="362"/>
      <c r="CV6" s="368" t="s">
        <v>385</v>
      </c>
      <c r="CW6" s="368"/>
      <c r="CX6" s="368"/>
      <c r="CY6" s="368"/>
      <c r="CZ6" s="364"/>
      <c r="DA6" s="364"/>
      <c r="DB6" s="364"/>
      <c r="DC6" s="364"/>
      <c r="DD6" s="1144"/>
      <c r="DE6" s="1144"/>
      <c r="DF6" s="1144"/>
      <c r="DG6" s="1144"/>
      <c r="DH6" s="1144"/>
      <c r="DI6" s="1144"/>
      <c r="DJ6" s="1144"/>
      <c r="DK6" s="1149"/>
      <c r="DL6" s="368"/>
      <c r="DM6" s="368"/>
      <c r="DN6" s="368"/>
      <c r="DP6" s="368"/>
      <c r="DQ6" s="368"/>
      <c r="DR6" s="368"/>
      <c r="DS6" s="368"/>
      <c r="DT6" s="368"/>
      <c r="DU6" s="368"/>
      <c r="DV6" s="368"/>
      <c r="DW6" s="368"/>
      <c r="DX6" s="368"/>
      <c r="DY6" s="368"/>
      <c r="DZ6" s="368"/>
      <c r="EA6" s="368"/>
      <c r="EB6" s="368"/>
      <c r="EC6" s="368"/>
      <c r="ED6" s="368"/>
      <c r="EE6" s="368"/>
      <c r="EF6" s="368"/>
      <c r="EG6" s="1144"/>
      <c r="EH6" s="368"/>
      <c r="EI6" s="368"/>
      <c r="EJ6" s="368"/>
      <c r="EK6" s="368"/>
      <c r="EL6" s="368"/>
      <c r="EM6" s="368"/>
      <c r="EN6" s="368"/>
      <c r="EO6" s="368"/>
      <c r="EP6" s="368"/>
      <c r="EQ6" s="368"/>
      <c r="ER6" s="368"/>
      <c r="ES6" s="368"/>
      <c r="ET6" s="368"/>
      <c r="EV6" s="1149"/>
    </row>
    <row r="7" spans="1:226" s="513" customFormat="1" ht="119.4" thickBot="1" x14ac:dyDescent="0.3">
      <c r="A7" s="659"/>
      <c r="B7" s="660" t="s">
        <v>1</v>
      </c>
      <c r="C7" s="660" t="s">
        <v>2</v>
      </c>
      <c r="D7" s="991" t="s">
        <v>266</v>
      </c>
      <c r="E7" s="652" t="s">
        <v>267</v>
      </c>
      <c r="F7" s="635" t="s">
        <v>535</v>
      </c>
      <c r="G7" s="635" t="s">
        <v>536</v>
      </c>
      <c r="H7" s="652" t="s">
        <v>537</v>
      </c>
      <c r="I7" s="640" t="s">
        <v>538</v>
      </c>
      <c r="J7" s="640" t="s">
        <v>539</v>
      </c>
      <c r="K7" s="552" t="s">
        <v>540</v>
      </c>
      <c r="L7" s="992" t="s">
        <v>541</v>
      </c>
      <c r="M7" s="652" t="s">
        <v>542</v>
      </c>
      <c r="N7" s="652" t="s">
        <v>543</v>
      </c>
      <c r="O7" s="652" t="s">
        <v>544</v>
      </c>
      <c r="P7" s="652" t="s">
        <v>545</v>
      </c>
      <c r="Q7" s="661" t="s">
        <v>546</v>
      </c>
      <c r="R7" s="552" t="s">
        <v>268</v>
      </c>
      <c r="S7" s="652" t="s">
        <v>835</v>
      </c>
      <c r="T7" s="652" t="s">
        <v>836</v>
      </c>
      <c r="U7" s="652" t="s">
        <v>547</v>
      </c>
      <c r="V7" s="652" t="s">
        <v>548</v>
      </c>
      <c r="W7" s="661" t="s">
        <v>549</v>
      </c>
      <c r="X7" s="652" t="s">
        <v>550</v>
      </c>
      <c r="Y7" s="652" t="s">
        <v>551</v>
      </c>
      <c r="Z7" s="640" t="s">
        <v>552</v>
      </c>
      <c r="AA7" s="640" t="s">
        <v>553</v>
      </c>
      <c r="AB7" s="640" t="s">
        <v>554</v>
      </c>
      <c r="AC7" s="1159" t="s">
        <v>680</v>
      </c>
      <c r="AD7" s="1159" t="s">
        <v>751</v>
      </c>
      <c r="AE7" s="1159" t="s">
        <v>804</v>
      </c>
      <c r="AF7" s="357" t="s">
        <v>753</v>
      </c>
      <c r="AG7" s="1159" t="s">
        <v>746</v>
      </c>
      <c r="AH7" s="357" t="s">
        <v>747</v>
      </c>
      <c r="AI7" s="357" t="s">
        <v>748</v>
      </c>
      <c r="AJ7" s="659"/>
      <c r="AK7" s="659"/>
      <c r="AL7" s="659" t="s">
        <v>750</v>
      </c>
      <c r="AM7" s="659" t="s">
        <v>749</v>
      </c>
      <c r="AN7" s="659"/>
      <c r="AO7" s="512"/>
      <c r="AP7" s="543" t="s">
        <v>801</v>
      </c>
      <c r="AQ7" s="543" t="s">
        <v>766</v>
      </c>
      <c r="AR7" s="543" t="s">
        <v>574</v>
      </c>
      <c r="AS7" s="366" t="s">
        <v>573</v>
      </c>
      <c r="AT7" s="366" t="s">
        <v>767</v>
      </c>
      <c r="AU7" s="366" t="s">
        <v>580</v>
      </c>
      <c r="AV7" s="366" t="s">
        <v>575</v>
      </c>
      <c r="AW7" s="366" t="s">
        <v>576</v>
      </c>
      <c r="AX7" s="366" t="s">
        <v>577</v>
      </c>
      <c r="AY7" s="543" t="s">
        <v>578</v>
      </c>
      <c r="AZ7" s="543" t="s">
        <v>579</v>
      </c>
      <c r="BA7" s="543" t="s">
        <v>581</v>
      </c>
      <c r="BB7" s="552" t="s">
        <v>649</v>
      </c>
      <c r="BC7" s="366" t="s">
        <v>582</v>
      </c>
      <c r="BD7" s="366" t="s">
        <v>583</v>
      </c>
      <c r="BE7" s="543" t="s">
        <v>584</v>
      </c>
      <c r="BF7" s="552" t="s">
        <v>651</v>
      </c>
      <c r="BG7" s="366" t="s">
        <v>585</v>
      </c>
      <c r="BH7" s="543" t="s">
        <v>586</v>
      </c>
      <c r="BI7" s="366" t="s">
        <v>587</v>
      </c>
      <c r="BJ7" s="366" t="s">
        <v>588</v>
      </c>
      <c r="BK7" s="366" t="s">
        <v>589</v>
      </c>
      <c r="BL7" s="366" t="s">
        <v>590</v>
      </c>
      <c r="BM7" s="366" t="s">
        <v>591</v>
      </c>
      <c r="BN7" s="366" t="s">
        <v>592</v>
      </c>
      <c r="BO7" s="366" t="s">
        <v>593</v>
      </c>
      <c r="BP7" s="366" t="s">
        <v>594</v>
      </c>
      <c r="BQ7" s="629" t="s">
        <v>673</v>
      </c>
      <c r="BR7" s="641" t="s">
        <v>674</v>
      </c>
      <c r="BS7" s="552" t="s">
        <v>707</v>
      </c>
      <c r="BT7" s="552" t="s">
        <v>675</v>
      </c>
      <c r="BU7" s="366" t="s">
        <v>595</v>
      </c>
      <c r="BV7" s="366" t="s">
        <v>596</v>
      </c>
      <c r="BW7" s="366" t="s">
        <v>597</v>
      </c>
      <c r="BX7" s="789" t="s">
        <v>700</v>
      </c>
      <c r="BY7" s="787" t="s">
        <v>598</v>
      </c>
      <c r="BZ7" s="787" t="s">
        <v>599</v>
      </c>
      <c r="CA7" s="787" t="s">
        <v>600</v>
      </c>
      <c r="CB7" s="789" t="s">
        <v>701</v>
      </c>
      <c r="CC7" s="789" t="s">
        <v>702</v>
      </c>
      <c r="CD7" s="366" t="s">
        <v>601</v>
      </c>
      <c r="CE7" s="366" t="s">
        <v>602</v>
      </c>
      <c r="CF7" s="366" t="s">
        <v>603</v>
      </c>
      <c r="CG7" s="366" t="s">
        <v>604</v>
      </c>
      <c r="CH7" s="366" t="s">
        <v>605</v>
      </c>
      <c r="CI7" s="366" t="s">
        <v>606</v>
      </c>
      <c r="CJ7" s="512" t="s">
        <v>607</v>
      </c>
      <c r="CK7" s="366" t="s">
        <v>608</v>
      </c>
      <c r="CL7" s="366" t="s">
        <v>609</v>
      </c>
      <c r="CM7" s="366" t="s">
        <v>610</v>
      </c>
      <c r="CN7" s="366" t="s">
        <v>639</v>
      </c>
      <c r="CO7" s="366" t="s">
        <v>640</v>
      </c>
      <c r="CP7" s="366" t="s">
        <v>611</v>
      </c>
      <c r="CQ7" s="366" t="s">
        <v>612</v>
      </c>
      <c r="CR7" s="366" t="s">
        <v>613</v>
      </c>
      <c r="CS7" s="366" t="s">
        <v>614</v>
      </c>
      <c r="CT7" s="366" t="s">
        <v>855</v>
      </c>
      <c r="CU7" s="366" t="s">
        <v>856</v>
      </c>
      <c r="CV7" s="366" t="s">
        <v>615</v>
      </c>
      <c r="CW7" s="366" t="s">
        <v>616</v>
      </c>
      <c r="CX7" s="366" t="s">
        <v>617</v>
      </c>
      <c r="CY7" s="366" t="s">
        <v>618</v>
      </c>
      <c r="CZ7" s="385" t="s">
        <v>570</v>
      </c>
      <c r="DA7" s="385" t="s">
        <v>571</v>
      </c>
      <c r="DB7" s="1090" t="s">
        <v>868</v>
      </c>
      <c r="DC7" s="655" t="s">
        <v>568</v>
      </c>
      <c r="DD7" s="1150"/>
      <c r="DE7" s="1145" t="s">
        <v>852</v>
      </c>
      <c r="DF7" s="1145" t="s">
        <v>822</v>
      </c>
      <c r="DG7" s="1145" t="s">
        <v>823</v>
      </c>
      <c r="DH7" s="1151" t="s">
        <v>572</v>
      </c>
      <c r="DI7" s="1145" t="s">
        <v>861</v>
      </c>
      <c r="DJ7" s="1145" t="s">
        <v>860</v>
      </c>
      <c r="DK7" s="1152" t="s">
        <v>852</v>
      </c>
      <c r="DL7" s="366" t="s">
        <v>569</v>
      </c>
      <c r="DM7" s="366" t="s">
        <v>566</v>
      </c>
      <c r="DN7" s="366" t="s">
        <v>567</v>
      </c>
      <c r="DO7" s="516" t="s">
        <v>555</v>
      </c>
      <c r="DP7" s="516" t="s">
        <v>556</v>
      </c>
      <c r="DQ7" s="516" t="s">
        <v>557</v>
      </c>
      <c r="DR7" s="517" t="s">
        <v>324</v>
      </c>
      <c r="DS7" s="517" t="s">
        <v>325</v>
      </c>
      <c r="DT7" s="515"/>
      <c r="DU7" s="515" t="s">
        <v>252</v>
      </c>
      <c r="DV7" s="515"/>
      <c r="DW7" s="515"/>
      <c r="DX7" s="514" t="s">
        <v>249</v>
      </c>
      <c r="DY7" s="514" t="s">
        <v>211</v>
      </c>
      <c r="DZ7" s="514"/>
      <c r="EA7" s="514" t="s">
        <v>218</v>
      </c>
      <c r="EB7" s="514" t="s">
        <v>221</v>
      </c>
      <c r="EC7" s="514" t="s">
        <v>219</v>
      </c>
      <c r="ED7" s="514" t="s">
        <v>220</v>
      </c>
      <c r="EE7" s="515"/>
      <c r="EF7" s="515"/>
      <c r="EG7" s="1145" t="s">
        <v>871</v>
      </c>
      <c r="EH7" s="366" t="s">
        <v>558</v>
      </c>
      <c r="EI7" s="366" t="s">
        <v>559</v>
      </c>
      <c r="EJ7" s="366" t="s">
        <v>560</v>
      </c>
      <c r="EK7" s="366" t="s">
        <v>561</v>
      </c>
      <c r="EL7" s="366" t="s">
        <v>562</v>
      </c>
      <c r="EM7" s="552" t="s">
        <v>652</v>
      </c>
      <c r="EN7" s="552" t="s">
        <v>654</v>
      </c>
      <c r="EO7" s="552" t="s">
        <v>653</v>
      </c>
      <c r="EP7" s="366" t="s">
        <v>563</v>
      </c>
      <c r="EQ7" s="366" t="s">
        <v>564</v>
      </c>
      <c r="ER7" s="366" t="s">
        <v>565</v>
      </c>
      <c r="ES7" s="515"/>
      <c r="ET7" s="805" t="s">
        <v>704</v>
      </c>
      <c r="EU7" s="518"/>
      <c r="EV7" s="1145" t="s">
        <v>800</v>
      </c>
      <c r="EW7" s="519"/>
      <c r="EX7" s="519"/>
      <c r="EY7" s="519"/>
      <c r="EZ7" s="519"/>
      <c r="FA7" s="519"/>
      <c r="FB7" s="519"/>
      <c r="FC7" s="519"/>
      <c r="FD7" s="519"/>
      <c r="FE7" s="519"/>
      <c r="FF7" s="519"/>
      <c r="FG7" s="519"/>
      <c r="FH7" s="519"/>
      <c r="FI7" s="519"/>
      <c r="FJ7" s="519"/>
      <c r="FK7" s="519"/>
      <c r="FL7" s="519"/>
      <c r="FM7" s="519"/>
      <c r="FN7" s="519"/>
      <c r="FO7" s="519"/>
      <c r="FP7" s="519"/>
      <c r="FQ7" s="519"/>
      <c r="FR7" s="519"/>
      <c r="FS7" s="519"/>
      <c r="FT7" s="519"/>
      <c r="FU7" s="519"/>
      <c r="FV7" s="519"/>
      <c r="FW7" s="519"/>
      <c r="FX7" s="519"/>
      <c r="FY7" s="519"/>
      <c r="FZ7" s="519"/>
      <c r="GA7" s="519"/>
      <c r="GB7" s="519"/>
      <c r="GC7" s="519"/>
      <c r="GD7" s="519"/>
      <c r="GE7" s="519"/>
      <c r="GF7" s="519"/>
      <c r="GG7" s="519"/>
      <c r="GH7" s="519"/>
      <c r="GI7" s="519"/>
      <c r="GJ7" s="519"/>
      <c r="GK7" s="519"/>
      <c r="GL7" s="519"/>
      <c r="GM7" s="519"/>
      <c r="GN7" s="519"/>
      <c r="GO7" s="519"/>
      <c r="GP7" s="519"/>
      <c r="GQ7" s="519"/>
      <c r="GR7" s="519"/>
      <c r="GS7" s="519"/>
      <c r="GT7" s="519"/>
      <c r="GU7" s="519"/>
      <c r="GV7" s="519"/>
      <c r="GW7" s="519"/>
      <c r="GX7" s="519"/>
      <c r="GY7" s="519"/>
      <c r="GZ7" s="519"/>
      <c r="HA7" s="519"/>
      <c r="HB7" s="519"/>
      <c r="HC7" s="519"/>
      <c r="HD7" s="519"/>
      <c r="HE7" s="519"/>
      <c r="HF7" s="519"/>
      <c r="HG7" s="519"/>
      <c r="HH7" s="519"/>
      <c r="HI7" s="519"/>
      <c r="HJ7" s="519"/>
      <c r="HK7" s="519"/>
      <c r="HL7" s="519"/>
      <c r="HM7" s="519"/>
      <c r="HN7" s="519"/>
      <c r="HO7" s="519"/>
      <c r="HP7" s="519"/>
      <c r="HQ7" s="519"/>
      <c r="HR7" s="519"/>
    </row>
    <row r="8" spans="1:226" s="350" customFormat="1" ht="15" x14ac:dyDescent="0.25">
      <c r="A8" s="632" t="s">
        <v>8</v>
      </c>
      <c r="B8" s="662">
        <v>42734</v>
      </c>
      <c r="C8" s="1132" t="s">
        <v>904</v>
      </c>
      <c r="D8" s="636">
        <v>0.09</v>
      </c>
      <c r="E8" s="636">
        <v>0</v>
      </c>
      <c r="F8" s="636">
        <v>30</v>
      </c>
      <c r="G8" s="636">
        <v>0.08</v>
      </c>
      <c r="H8" s="636">
        <v>4.4400000000000004</v>
      </c>
      <c r="I8" s="636">
        <v>14</v>
      </c>
      <c r="J8" s="636">
        <v>0</v>
      </c>
      <c r="K8" s="636">
        <v>4.4800000000000004</v>
      </c>
      <c r="L8" s="610">
        <v>0</v>
      </c>
      <c r="M8" s="636">
        <v>20.399999999999999</v>
      </c>
      <c r="N8" s="636">
        <v>1.27</v>
      </c>
      <c r="O8" s="636">
        <v>1.4160705022909237</v>
      </c>
      <c r="P8" s="636">
        <v>1.3</v>
      </c>
      <c r="Q8" s="636">
        <v>0.59141347424042268</v>
      </c>
      <c r="R8" s="636">
        <v>771.05603197674418</v>
      </c>
      <c r="S8" s="636">
        <v>7.96</v>
      </c>
      <c r="T8" s="636">
        <v>8.26</v>
      </c>
      <c r="U8" s="636">
        <v>0.68</v>
      </c>
      <c r="V8" s="1116">
        <v>0.8</v>
      </c>
      <c r="W8" s="783">
        <v>39.92</v>
      </c>
      <c r="X8" s="630">
        <v>40.100000000000009</v>
      </c>
      <c r="Y8" s="636">
        <v>26.6</v>
      </c>
      <c r="Z8" s="636">
        <v>27.9</v>
      </c>
      <c r="AA8" s="636">
        <v>26.56</v>
      </c>
      <c r="AB8" s="636">
        <v>28</v>
      </c>
      <c r="AC8" s="1160">
        <f>AA8+AB8</f>
        <v>54.56</v>
      </c>
      <c r="AD8" s="1160">
        <f>AC8*1.547</f>
        <v>84.404319999999998</v>
      </c>
      <c r="AE8" s="1160">
        <f>AD8-(L8*1.547)</f>
        <v>84.404319999999998</v>
      </c>
      <c r="AF8" s="988"/>
      <c r="AG8" s="1160">
        <f t="shared" ref="AG8:AG71" si="2">BB8</f>
        <v>0</v>
      </c>
      <c r="AH8" s="988"/>
      <c r="AI8" s="988"/>
      <c r="AJ8" s="632"/>
      <c r="AK8" s="632"/>
      <c r="AL8" s="632"/>
      <c r="AM8" s="632"/>
      <c r="AN8" s="632"/>
      <c r="AO8" s="949"/>
      <c r="AP8" s="949"/>
      <c r="AQ8" s="636"/>
      <c r="AR8" s="790">
        <v>0</v>
      </c>
      <c r="AS8" s="636">
        <v>21.2</v>
      </c>
      <c r="AT8" s="636">
        <v>0</v>
      </c>
      <c r="AU8" s="636">
        <v>0</v>
      </c>
      <c r="AV8" s="636">
        <v>362.9</v>
      </c>
      <c r="AW8" s="636">
        <v>324.7</v>
      </c>
      <c r="AX8" s="636">
        <v>0</v>
      </c>
      <c r="AY8" s="790">
        <v>0</v>
      </c>
      <c r="AZ8" s="790">
        <v>0</v>
      </c>
      <c r="BA8" s="790">
        <v>0</v>
      </c>
      <c r="BB8" s="989">
        <v>0</v>
      </c>
      <c r="BC8" s="636">
        <v>0.64</v>
      </c>
      <c r="BD8" s="636">
        <v>1.57</v>
      </c>
      <c r="BE8" s="790">
        <v>0</v>
      </c>
      <c r="BF8" s="636">
        <v>0.3</v>
      </c>
      <c r="BG8" s="636">
        <v>0</v>
      </c>
      <c r="BH8" s="790">
        <v>0</v>
      </c>
      <c r="BI8" s="636">
        <v>1.02</v>
      </c>
      <c r="BJ8" s="636">
        <v>24.5</v>
      </c>
      <c r="BK8" s="636">
        <v>3.12</v>
      </c>
      <c r="BL8" s="636">
        <v>3.39</v>
      </c>
      <c r="BM8" s="636">
        <v>0</v>
      </c>
      <c r="BN8" s="636">
        <v>18.100000000000001</v>
      </c>
      <c r="BO8" s="636">
        <v>1002</v>
      </c>
      <c r="BP8" s="636">
        <v>1.6</v>
      </c>
      <c r="BQ8" s="630">
        <v>20.65</v>
      </c>
      <c r="BR8" s="630">
        <v>21.33</v>
      </c>
      <c r="BS8" s="630">
        <v>15.04</v>
      </c>
      <c r="BT8" s="630">
        <v>8</v>
      </c>
      <c r="BU8" s="636">
        <v>25.1</v>
      </c>
      <c r="BV8" s="636">
        <v>28.3</v>
      </c>
      <c r="BW8" s="630">
        <v>527</v>
      </c>
      <c r="BX8" s="1117"/>
      <c r="BY8" s="630">
        <v>0</v>
      </c>
      <c r="BZ8" s="630">
        <v>1.33</v>
      </c>
      <c r="CA8" s="630">
        <v>1.3</v>
      </c>
      <c r="CB8" s="630">
        <v>8.1999999999999993</v>
      </c>
      <c r="CC8" s="630">
        <v>8.3000000000000007</v>
      </c>
      <c r="CD8" s="630">
        <v>15.5</v>
      </c>
      <c r="CE8" s="630">
        <v>31.1</v>
      </c>
      <c r="CF8" s="630">
        <v>14.7</v>
      </c>
      <c r="CG8" s="630">
        <v>7.7</v>
      </c>
      <c r="CH8" s="630">
        <v>13.39</v>
      </c>
      <c r="CI8" s="630">
        <v>17.399999999999999</v>
      </c>
      <c r="CJ8" s="630">
        <v>13.12</v>
      </c>
      <c r="CK8" s="630">
        <v>503.5</v>
      </c>
      <c r="CL8" s="630">
        <v>1.9</v>
      </c>
      <c r="CM8" s="630">
        <v>2.4</v>
      </c>
      <c r="CN8" s="630">
        <v>135.1</v>
      </c>
      <c r="CO8" s="630">
        <v>387.7</v>
      </c>
      <c r="CP8" s="630">
        <v>360.7</v>
      </c>
      <c r="CQ8" s="630">
        <v>11.9</v>
      </c>
      <c r="CR8" s="630">
        <v>0.72</v>
      </c>
      <c r="CS8" s="636">
        <v>0</v>
      </c>
      <c r="CT8" s="636">
        <v>15.221</v>
      </c>
      <c r="CU8" s="636">
        <v>42</v>
      </c>
      <c r="CV8" s="630">
        <v>0</v>
      </c>
      <c r="CW8" s="630">
        <v>0</v>
      </c>
      <c r="CX8" s="630">
        <v>0</v>
      </c>
      <c r="CY8" s="630">
        <v>0</v>
      </c>
      <c r="CZ8" s="990">
        <v>687</v>
      </c>
      <c r="DA8" s="990">
        <v>1100</v>
      </c>
      <c r="DB8" s="990">
        <v>624</v>
      </c>
      <c r="DC8" s="990">
        <v>1081.1199999999999</v>
      </c>
      <c r="DD8" s="1153" t="e">
        <f t="shared" ref="DD8:DD14" si="3">DC8-DC7</f>
        <v>#VALUE!</v>
      </c>
      <c r="DE8" s="1154">
        <f t="shared" ref="DE8:DE14" si="4">(CS8*1440/1000000)*3.068</f>
        <v>0</v>
      </c>
      <c r="DF8" s="1154">
        <f t="shared" ref="DF8:DF14" si="5">DB8-110</f>
        <v>514</v>
      </c>
      <c r="DG8" s="1154">
        <f t="shared" ref="DG8:DG14" si="6">DA8-250</f>
        <v>850</v>
      </c>
      <c r="DH8" s="1155" t="str">
        <f t="shared" ref="DH8:DH14" si="7">IF(DG8&lt;DF8,"Aub","Palm")</f>
        <v>Palm</v>
      </c>
      <c r="DI8" s="1146">
        <f t="shared" ref="DI8:DI14" si="8">DA8-DB8</f>
        <v>476</v>
      </c>
      <c r="DJ8" s="1146">
        <f t="shared" ref="DJ8:DJ14" si="9">DK8/3.068</f>
        <v>0</v>
      </c>
      <c r="DK8" s="1154">
        <f t="shared" ref="DK8:DK14" si="10">(CS8*1440/1000000)*3.068</f>
        <v>0</v>
      </c>
      <c r="DL8" s="630"/>
      <c r="DM8" s="630"/>
      <c r="DN8" s="630"/>
      <c r="DO8" s="630"/>
      <c r="DP8" s="630"/>
      <c r="DQ8" s="630"/>
      <c r="DR8" s="630"/>
      <c r="DS8" s="630"/>
      <c r="DT8" s="630"/>
      <c r="DU8" s="630"/>
      <c r="DV8" s="630"/>
      <c r="DW8" s="630"/>
      <c r="DX8" s="630"/>
      <c r="DY8" s="630"/>
      <c r="DZ8" s="630"/>
      <c r="EA8" s="630"/>
      <c r="EB8" s="630"/>
      <c r="EC8" s="630"/>
      <c r="ED8" s="630"/>
      <c r="EE8" s="630"/>
      <c r="EF8" s="630"/>
      <c r="EG8" s="1146">
        <f t="shared" ref="EG8:EG14" si="11">(SUM(EH8:EK8))</f>
        <v>10</v>
      </c>
      <c r="EH8" s="630">
        <v>0</v>
      </c>
      <c r="EI8" s="642">
        <v>1</v>
      </c>
      <c r="EJ8" s="642">
        <v>2.5</v>
      </c>
      <c r="EK8" s="642">
        <v>6.5</v>
      </c>
      <c r="EL8" s="630"/>
      <c r="EM8" s="630"/>
      <c r="EN8" s="630"/>
      <c r="EO8" s="630"/>
      <c r="EP8" s="630"/>
      <c r="EQ8" s="630"/>
      <c r="ER8" s="630"/>
      <c r="ES8" s="632"/>
      <c r="ET8" s="632"/>
      <c r="EU8" s="1088"/>
      <c r="EV8" s="1167">
        <f t="shared" ref="EV8:EV71" si="12">(EH8+EK8+EJ8+EI8)*MGDtoCFS</f>
        <v>15.469999999999999</v>
      </c>
      <c r="EW8" s="1088"/>
    </row>
    <row r="9" spans="1:226" s="350" customFormat="1" ht="15" x14ac:dyDescent="0.25">
      <c r="A9" s="632" t="s">
        <v>9</v>
      </c>
      <c r="B9" s="662">
        <v>42735</v>
      </c>
      <c r="C9" s="1132" t="s">
        <v>904</v>
      </c>
      <c r="D9" s="636">
        <v>0.23</v>
      </c>
      <c r="E9" s="636">
        <v>0.3</v>
      </c>
      <c r="F9" s="636">
        <v>33</v>
      </c>
      <c r="G9" s="636">
        <v>0.8</v>
      </c>
      <c r="H9" s="636">
        <v>1.7</v>
      </c>
      <c r="I9" s="636">
        <v>13.8</v>
      </c>
      <c r="J9" s="636">
        <v>0</v>
      </c>
      <c r="K9" s="636">
        <v>1.33</v>
      </c>
      <c r="L9" s="610">
        <v>0</v>
      </c>
      <c r="M9" s="636">
        <v>20.2</v>
      </c>
      <c r="N9" s="636">
        <v>1.28</v>
      </c>
      <c r="O9" s="636">
        <v>1.4075106786902329</v>
      </c>
      <c r="P9" s="636">
        <v>1.3</v>
      </c>
      <c r="Q9" s="636">
        <v>0.59216635077428981</v>
      </c>
      <c r="R9" s="636">
        <v>769.05588662790706</v>
      </c>
      <c r="S9" s="636">
        <v>8.11</v>
      </c>
      <c r="T9" s="636">
        <v>8.41</v>
      </c>
      <c r="U9" s="636">
        <v>0.66</v>
      </c>
      <c r="V9" s="1116">
        <v>0.64</v>
      </c>
      <c r="W9" s="783">
        <v>39.38000000000001</v>
      </c>
      <c r="X9" s="630">
        <v>39.739999999999995</v>
      </c>
      <c r="Y9" s="636">
        <v>26.56</v>
      </c>
      <c r="Z9" s="636">
        <v>28</v>
      </c>
      <c r="AA9" s="636">
        <v>23.64</v>
      </c>
      <c r="AB9" s="636">
        <v>28</v>
      </c>
      <c r="AC9" s="1160">
        <f>AA9+AB9</f>
        <v>51.64</v>
      </c>
      <c r="AD9" s="1160">
        <f>AC9*1.547</f>
        <v>79.887079999999997</v>
      </c>
      <c r="AE9" s="1160">
        <f>AD9-(L9*1.547)</f>
        <v>79.887079999999997</v>
      </c>
      <c r="AF9" s="988"/>
      <c r="AG9" s="1160">
        <f t="shared" si="2"/>
        <v>0</v>
      </c>
      <c r="AH9" s="988"/>
      <c r="AI9" s="988"/>
      <c r="AJ9" s="632"/>
      <c r="AK9" s="632"/>
      <c r="AL9" s="632"/>
      <c r="AM9" s="632"/>
      <c r="AN9" s="632"/>
      <c r="AO9" s="949"/>
      <c r="AP9" s="949"/>
      <c r="AQ9" s="636"/>
      <c r="AR9" s="790">
        <v>0</v>
      </c>
      <c r="AS9" s="636">
        <v>11.2</v>
      </c>
      <c r="AT9" s="636">
        <v>0</v>
      </c>
      <c r="AU9" s="636">
        <v>0</v>
      </c>
      <c r="AV9" s="636">
        <v>226.7</v>
      </c>
      <c r="AW9" s="636">
        <v>357.6</v>
      </c>
      <c r="AX9" s="636">
        <v>0</v>
      </c>
      <c r="AY9" s="790">
        <v>0</v>
      </c>
      <c r="AZ9" s="790">
        <v>0</v>
      </c>
      <c r="BA9" s="790">
        <v>0</v>
      </c>
      <c r="BB9" s="989">
        <v>0</v>
      </c>
      <c r="BC9" s="636">
        <v>0.91</v>
      </c>
      <c r="BD9" s="636">
        <v>1.58</v>
      </c>
      <c r="BE9" s="790">
        <v>0</v>
      </c>
      <c r="BF9" s="636">
        <v>0</v>
      </c>
      <c r="BG9" s="636">
        <v>0</v>
      </c>
      <c r="BH9" s="790">
        <v>0</v>
      </c>
      <c r="BI9" s="636">
        <v>1.06</v>
      </c>
      <c r="BJ9" s="636">
        <v>24.5</v>
      </c>
      <c r="BK9" s="636">
        <v>3.27</v>
      </c>
      <c r="BL9" s="636">
        <v>3.4</v>
      </c>
      <c r="BM9" s="636">
        <v>0</v>
      </c>
      <c r="BN9" s="636">
        <v>18.059999999999999</v>
      </c>
      <c r="BO9" s="636">
        <v>1073.2</v>
      </c>
      <c r="BP9" s="636">
        <v>1.6</v>
      </c>
      <c r="BQ9" s="630">
        <v>21.04</v>
      </c>
      <c r="BR9" s="630">
        <v>21.71</v>
      </c>
      <c r="BS9" s="630">
        <v>15.08</v>
      </c>
      <c r="BT9" s="630">
        <v>7.99</v>
      </c>
      <c r="BU9" s="636">
        <v>25.1</v>
      </c>
      <c r="BV9" s="636">
        <v>28.4</v>
      </c>
      <c r="BW9" s="630">
        <v>519.79999999999995</v>
      </c>
      <c r="BX9" s="1117"/>
      <c r="BY9" s="630">
        <v>0</v>
      </c>
      <c r="BZ9" s="630">
        <v>1.33</v>
      </c>
      <c r="CA9" s="630">
        <v>1.3</v>
      </c>
      <c r="CB9" s="630">
        <v>8.1999999999999993</v>
      </c>
      <c r="CC9" s="630">
        <v>8.3000000000000007</v>
      </c>
      <c r="CD9" s="630">
        <v>15.7</v>
      </c>
      <c r="CE9" s="630">
        <v>31.2</v>
      </c>
      <c r="CF9" s="630">
        <v>13.9</v>
      </c>
      <c r="CG9" s="630">
        <v>7.5</v>
      </c>
      <c r="CH9" s="630">
        <v>13.1</v>
      </c>
      <c r="CI9" s="630">
        <v>17</v>
      </c>
      <c r="CJ9" s="630">
        <v>13.38</v>
      </c>
      <c r="CK9" s="630">
        <v>529.20000000000005</v>
      </c>
      <c r="CL9" s="630">
        <v>1.9</v>
      </c>
      <c r="CM9" s="630">
        <v>1.4</v>
      </c>
      <c r="CN9" s="630">
        <v>257.7</v>
      </c>
      <c r="CO9" s="630">
        <v>376.9</v>
      </c>
      <c r="CP9" s="630">
        <v>348.9</v>
      </c>
      <c r="CQ9" s="630">
        <v>12.5</v>
      </c>
      <c r="CR9" s="630">
        <v>0.74</v>
      </c>
      <c r="CS9" s="636">
        <v>0</v>
      </c>
      <c r="CT9" s="636">
        <v>15.528</v>
      </c>
      <c r="CU9" s="636">
        <v>41</v>
      </c>
      <c r="CV9" s="630">
        <v>0</v>
      </c>
      <c r="CW9" s="630">
        <v>0</v>
      </c>
      <c r="CX9" s="630">
        <v>0</v>
      </c>
      <c r="CY9" s="630">
        <v>0</v>
      </c>
      <c r="CZ9" s="990">
        <v>692</v>
      </c>
      <c r="DA9" s="990">
        <v>1080</v>
      </c>
      <c r="DB9" s="990">
        <v>628</v>
      </c>
      <c r="DC9" s="990">
        <v>1082.1400000000001</v>
      </c>
      <c r="DD9" s="1153">
        <f t="shared" si="3"/>
        <v>1.0200000000002092</v>
      </c>
      <c r="DE9" s="1154">
        <f t="shared" si="4"/>
        <v>0</v>
      </c>
      <c r="DF9" s="1154">
        <f t="shared" si="5"/>
        <v>518</v>
      </c>
      <c r="DG9" s="1154">
        <f t="shared" si="6"/>
        <v>830</v>
      </c>
      <c r="DH9" s="1155" t="str">
        <f t="shared" si="7"/>
        <v>Palm</v>
      </c>
      <c r="DI9" s="1146">
        <f t="shared" si="8"/>
        <v>452</v>
      </c>
      <c r="DJ9" s="1146">
        <f t="shared" si="9"/>
        <v>0</v>
      </c>
      <c r="DK9" s="1154">
        <f t="shared" si="10"/>
        <v>0</v>
      </c>
      <c r="DL9" s="630"/>
      <c r="DM9" s="630"/>
      <c r="DN9" s="630"/>
      <c r="DO9" s="630"/>
      <c r="DP9" s="630"/>
      <c r="DQ9" s="630"/>
      <c r="DR9" s="630"/>
      <c r="DS9" s="630"/>
      <c r="DT9" s="630"/>
      <c r="DU9" s="630"/>
      <c r="DV9" s="630"/>
      <c r="DW9" s="630"/>
      <c r="DX9" s="630"/>
      <c r="DY9" s="630"/>
      <c r="DZ9" s="630"/>
      <c r="EA9" s="630"/>
      <c r="EB9" s="630"/>
      <c r="EC9" s="630"/>
      <c r="ED9" s="630"/>
      <c r="EE9" s="630"/>
      <c r="EF9" s="630"/>
      <c r="EG9" s="1146">
        <f t="shared" si="11"/>
        <v>10</v>
      </c>
      <c r="EH9" s="630">
        <v>0</v>
      </c>
      <c r="EI9" s="642">
        <v>1</v>
      </c>
      <c r="EJ9" s="642">
        <v>2.5</v>
      </c>
      <c r="EK9" s="642">
        <v>6.5</v>
      </c>
      <c r="EL9" s="630"/>
      <c r="EM9" s="630"/>
      <c r="EN9" s="630"/>
      <c r="EO9" s="630"/>
      <c r="EP9" s="630"/>
      <c r="EQ9" s="630"/>
      <c r="ER9" s="630"/>
      <c r="ES9" s="632"/>
      <c r="ET9" s="632"/>
      <c r="EU9" s="1088"/>
      <c r="EV9" s="1167">
        <f t="shared" si="12"/>
        <v>15.469999999999999</v>
      </c>
      <c r="EW9" s="1088"/>
    </row>
    <row r="10" spans="1:226" s="350" customFormat="1" ht="15" x14ac:dyDescent="0.25">
      <c r="A10" s="632" t="s">
        <v>3</v>
      </c>
      <c r="B10" s="662">
        <v>42736</v>
      </c>
      <c r="C10" s="1132" t="s">
        <v>904</v>
      </c>
      <c r="D10" s="636">
        <v>0.08</v>
      </c>
      <c r="E10" s="636">
        <v>0.7</v>
      </c>
      <c r="F10" s="636">
        <v>26</v>
      </c>
      <c r="G10" s="636">
        <v>0.8</v>
      </c>
      <c r="H10" s="636">
        <v>1.42</v>
      </c>
      <c r="I10" s="636">
        <v>13.8</v>
      </c>
      <c r="J10" s="636">
        <v>0</v>
      </c>
      <c r="K10" s="636">
        <v>1.04</v>
      </c>
      <c r="L10" s="610">
        <v>0</v>
      </c>
      <c r="M10" s="636">
        <v>20.399999999999999</v>
      </c>
      <c r="N10" s="636">
        <v>1.25</v>
      </c>
      <c r="O10" s="636">
        <v>1.4120571614866335</v>
      </c>
      <c r="P10" s="636">
        <v>1.32</v>
      </c>
      <c r="Q10" s="636">
        <v>0.59211350991729783</v>
      </c>
      <c r="R10" s="636">
        <v>765.38895348837207</v>
      </c>
      <c r="S10" s="636">
        <v>8.11</v>
      </c>
      <c r="T10" s="636">
        <v>8.44</v>
      </c>
      <c r="U10" s="636">
        <v>0.7</v>
      </c>
      <c r="V10" s="1116">
        <v>0.67</v>
      </c>
      <c r="W10" s="783">
        <v>38.480000000000004</v>
      </c>
      <c r="X10" s="630">
        <v>38.660000000000011</v>
      </c>
      <c r="Y10" s="636">
        <v>23.64</v>
      </c>
      <c r="Z10" s="636">
        <v>27.96</v>
      </c>
      <c r="AA10" s="636">
        <v>26.59</v>
      </c>
      <c r="AB10" s="636">
        <v>27.94</v>
      </c>
      <c r="AC10" s="1160">
        <f>AA10+AB10</f>
        <v>54.53</v>
      </c>
      <c r="AD10" s="1160">
        <f>AC10*1.547</f>
        <v>84.357910000000004</v>
      </c>
      <c r="AE10" s="1160">
        <f>AD10-(L10*1.547)</f>
        <v>84.357910000000004</v>
      </c>
      <c r="AF10" s="988"/>
      <c r="AG10" s="1160">
        <f t="shared" si="2"/>
        <v>0</v>
      </c>
      <c r="AH10" s="988"/>
      <c r="AI10" s="988"/>
      <c r="AJ10" s="632"/>
      <c r="AK10" s="632"/>
      <c r="AL10" s="632"/>
      <c r="AM10" s="632"/>
      <c r="AN10" s="632"/>
      <c r="AO10" s="949"/>
      <c r="AP10" s="949"/>
      <c r="AQ10" s="636"/>
      <c r="AR10" s="790">
        <v>0</v>
      </c>
      <c r="AS10" s="636">
        <v>20.6</v>
      </c>
      <c r="AT10" s="636">
        <v>0</v>
      </c>
      <c r="AU10" s="636">
        <v>0</v>
      </c>
      <c r="AV10" s="636">
        <v>597.1</v>
      </c>
      <c r="AW10" s="636">
        <v>574.5</v>
      </c>
      <c r="AX10" s="636">
        <v>0</v>
      </c>
      <c r="AY10" s="790">
        <v>0</v>
      </c>
      <c r="AZ10" s="790">
        <v>0</v>
      </c>
      <c r="BA10" s="790">
        <v>0</v>
      </c>
      <c r="BB10" s="989">
        <v>0</v>
      </c>
      <c r="BC10" s="636">
        <v>0.92</v>
      </c>
      <c r="BD10" s="636">
        <v>1.57</v>
      </c>
      <c r="BE10" s="790">
        <v>0</v>
      </c>
      <c r="BF10" s="636">
        <v>0</v>
      </c>
      <c r="BG10" s="636">
        <v>0</v>
      </c>
      <c r="BH10" s="790">
        <v>0</v>
      </c>
      <c r="BI10" s="636">
        <v>1.01</v>
      </c>
      <c r="BJ10" s="636">
        <v>24.5</v>
      </c>
      <c r="BK10" s="636">
        <v>3.18</v>
      </c>
      <c r="BL10" s="636">
        <v>3.39</v>
      </c>
      <c r="BM10" s="636">
        <v>0</v>
      </c>
      <c r="BN10" s="636">
        <v>18</v>
      </c>
      <c r="BO10" s="636">
        <v>1000.7</v>
      </c>
      <c r="BP10" s="636">
        <v>1.7</v>
      </c>
      <c r="BQ10" s="630">
        <v>22.04</v>
      </c>
      <c r="BR10" s="630">
        <v>22.73</v>
      </c>
      <c r="BS10" s="630">
        <v>14.84</v>
      </c>
      <c r="BT10" s="630">
        <v>7.7</v>
      </c>
      <c r="BU10" s="636">
        <v>24.6</v>
      </c>
      <c r="BV10" s="636">
        <v>25.9</v>
      </c>
      <c r="BW10" s="630">
        <v>371.2</v>
      </c>
      <c r="BX10" s="1117"/>
      <c r="BY10" s="630">
        <v>0</v>
      </c>
      <c r="BZ10" s="630">
        <v>1.34</v>
      </c>
      <c r="CA10" s="630">
        <v>1.3</v>
      </c>
      <c r="CB10" s="630">
        <v>8.3000000000000007</v>
      </c>
      <c r="CC10" s="630">
        <v>8.3000000000000007</v>
      </c>
      <c r="CD10" s="630">
        <v>16.3</v>
      </c>
      <c r="CE10" s="630">
        <v>31.3</v>
      </c>
      <c r="CF10" s="630">
        <v>13.1</v>
      </c>
      <c r="CG10" s="630">
        <v>7</v>
      </c>
      <c r="CH10" s="630">
        <v>12.6</v>
      </c>
      <c r="CI10" s="630">
        <v>16.600000000000001</v>
      </c>
      <c r="CJ10" s="630">
        <v>13.48</v>
      </c>
      <c r="CK10" s="630">
        <v>498.4</v>
      </c>
      <c r="CL10" s="630">
        <v>1.9</v>
      </c>
      <c r="CM10" s="630">
        <v>1.3</v>
      </c>
      <c r="CN10" s="630">
        <v>139.6</v>
      </c>
      <c r="CO10" s="630">
        <v>370.1</v>
      </c>
      <c r="CP10" s="630">
        <v>371.1</v>
      </c>
      <c r="CQ10" s="630">
        <v>11.8</v>
      </c>
      <c r="CR10" s="630">
        <v>0.69</v>
      </c>
      <c r="CS10" s="636">
        <v>0</v>
      </c>
      <c r="CT10" s="636">
        <v>14.442</v>
      </c>
      <c r="CU10" s="636">
        <v>41</v>
      </c>
      <c r="CV10" s="630">
        <v>0</v>
      </c>
      <c r="CW10" s="630">
        <v>0</v>
      </c>
      <c r="CX10" s="630">
        <v>0</v>
      </c>
      <c r="CY10" s="630">
        <v>0</v>
      </c>
      <c r="CZ10" s="990">
        <v>692</v>
      </c>
      <c r="DA10" s="990">
        <v>1070</v>
      </c>
      <c r="DB10" s="990">
        <v>616</v>
      </c>
      <c r="DC10" s="990">
        <v>1082.55</v>
      </c>
      <c r="DD10" s="1153">
        <f t="shared" si="3"/>
        <v>0.40999999999985448</v>
      </c>
      <c r="DE10" s="1154">
        <f t="shared" si="4"/>
        <v>0</v>
      </c>
      <c r="DF10" s="1154">
        <f t="shared" si="5"/>
        <v>506</v>
      </c>
      <c r="DG10" s="1154">
        <f t="shared" si="6"/>
        <v>820</v>
      </c>
      <c r="DH10" s="1155" t="str">
        <f t="shared" si="7"/>
        <v>Palm</v>
      </c>
      <c r="DI10" s="1146">
        <f t="shared" si="8"/>
        <v>454</v>
      </c>
      <c r="DJ10" s="1146">
        <f t="shared" si="9"/>
        <v>0</v>
      </c>
      <c r="DK10" s="1154">
        <f t="shared" si="10"/>
        <v>0</v>
      </c>
      <c r="DL10" s="630"/>
      <c r="DM10" s="630"/>
      <c r="DN10" s="630"/>
      <c r="DO10" s="630"/>
      <c r="DP10" s="630"/>
      <c r="DQ10" s="630"/>
      <c r="DR10" s="630"/>
      <c r="DS10" s="630"/>
      <c r="DT10" s="630"/>
      <c r="DU10" s="630"/>
      <c r="DV10" s="630"/>
      <c r="DW10" s="630"/>
      <c r="DX10" s="630"/>
      <c r="DY10" s="630"/>
      <c r="DZ10" s="630"/>
      <c r="EA10" s="630"/>
      <c r="EB10" s="630"/>
      <c r="EC10" s="630"/>
      <c r="ED10" s="630"/>
      <c r="EE10" s="630"/>
      <c r="EF10" s="630"/>
      <c r="EG10" s="1146">
        <f t="shared" si="11"/>
        <v>10</v>
      </c>
      <c r="EH10" s="630">
        <v>0</v>
      </c>
      <c r="EI10" s="642">
        <v>1</v>
      </c>
      <c r="EJ10" s="642">
        <v>2.5</v>
      </c>
      <c r="EK10" s="642">
        <v>6.5</v>
      </c>
      <c r="EL10" s="630"/>
      <c r="EM10" s="630"/>
      <c r="EN10" s="630"/>
      <c r="EO10" s="630"/>
      <c r="EP10" s="630"/>
      <c r="EQ10" s="630"/>
      <c r="ER10" s="630"/>
      <c r="ES10" s="632"/>
      <c r="ET10" s="632"/>
      <c r="EU10" s="1088"/>
      <c r="EV10" s="1167">
        <f t="shared" si="12"/>
        <v>15.469999999999999</v>
      </c>
      <c r="EW10" s="1088"/>
    </row>
    <row r="11" spans="1:226" s="350" customFormat="1" ht="16.2" x14ac:dyDescent="0.35">
      <c r="A11" s="632" t="s">
        <v>4</v>
      </c>
      <c r="B11" s="662">
        <v>42737</v>
      </c>
      <c r="C11" s="1132" t="s">
        <v>904</v>
      </c>
      <c r="D11" s="636">
        <v>0</v>
      </c>
      <c r="E11" s="636">
        <v>0.7</v>
      </c>
      <c r="F11" s="636">
        <v>24</v>
      </c>
      <c r="G11" s="636">
        <v>1.1000000000000001</v>
      </c>
      <c r="H11" s="636">
        <v>1.9</v>
      </c>
      <c r="I11" s="636">
        <v>14.2</v>
      </c>
      <c r="J11" s="636">
        <v>0</v>
      </c>
      <c r="K11" s="636">
        <v>1.6</v>
      </c>
      <c r="L11" s="610">
        <v>0</v>
      </c>
      <c r="M11" s="636">
        <v>20.3</v>
      </c>
      <c r="N11" s="636">
        <v>1.286</v>
      </c>
      <c r="O11" s="636">
        <v>1.4337063392295146</v>
      </c>
      <c r="P11" s="636">
        <v>1.36</v>
      </c>
      <c r="Q11" s="636">
        <v>0.59085371808651299</v>
      </c>
      <c r="R11" s="636">
        <v>746.05421511627912</v>
      </c>
      <c r="S11" s="636">
        <v>8.17</v>
      </c>
      <c r="T11" s="636">
        <v>8.4600000000000009</v>
      </c>
      <c r="U11" s="636">
        <v>0.625</v>
      </c>
      <c r="V11" s="1116">
        <v>0.63800000000000001</v>
      </c>
      <c r="W11" s="783">
        <v>38.660000000000011</v>
      </c>
      <c r="X11" s="630">
        <v>39.200000000000003</v>
      </c>
      <c r="Y11" s="636">
        <v>26.59</v>
      </c>
      <c r="Z11" s="636">
        <v>27.94</v>
      </c>
      <c r="AA11" s="636">
        <v>26.51</v>
      </c>
      <c r="AB11" s="636">
        <v>26.1</v>
      </c>
      <c r="AC11" s="1160">
        <f>AA11+AB11</f>
        <v>52.61</v>
      </c>
      <c r="AD11" s="1160">
        <f>AC11*1.547</f>
        <v>81.38767</v>
      </c>
      <c r="AE11" s="1160">
        <f>AD11-(L11*1.547)</f>
        <v>81.38767</v>
      </c>
      <c r="AF11" s="988"/>
      <c r="AG11" s="1160">
        <f t="shared" si="2"/>
        <v>0</v>
      </c>
      <c r="AH11" s="988"/>
      <c r="AI11" s="988"/>
      <c r="AJ11" s="632"/>
      <c r="AK11" s="632"/>
      <c r="AL11" s="632"/>
      <c r="AM11" s="632"/>
      <c r="AN11" s="632"/>
      <c r="AO11" s="949"/>
      <c r="AP11" s="949"/>
      <c r="AQ11" s="636"/>
      <c r="AR11" s="790">
        <v>0</v>
      </c>
      <c r="AS11" s="636">
        <v>11.4</v>
      </c>
      <c r="AT11" s="636">
        <v>0</v>
      </c>
      <c r="AU11" s="636">
        <v>0</v>
      </c>
      <c r="AV11" s="636">
        <v>220.5</v>
      </c>
      <c r="AW11" s="636">
        <v>343</v>
      </c>
      <c r="AX11" s="636">
        <v>0</v>
      </c>
      <c r="AY11" s="790">
        <v>0</v>
      </c>
      <c r="AZ11" s="790">
        <v>0</v>
      </c>
      <c r="BA11" s="790">
        <v>0</v>
      </c>
      <c r="BB11" s="989">
        <v>0</v>
      </c>
      <c r="BC11" s="636">
        <v>0.92</v>
      </c>
      <c r="BD11" s="636">
        <v>1.58</v>
      </c>
      <c r="BE11" s="790">
        <v>0</v>
      </c>
      <c r="BF11" s="636">
        <v>0</v>
      </c>
      <c r="BG11" s="636">
        <v>0</v>
      </c>
      <c r="BH11" s="790">
        <v>0</v>
      </c>
      <c r="BI11" s="636">
        <v>1.01</v>
      </c>
      <c r="BJ11" s="636">
        <v>22.6</v>
      </c>
      <c r="BK11" s="636">
        <v>2.98</v>
      </c>
      <c r="BL11" s="636">
        <v>3.54</v>
      </c>
      <c r="BM11" s="636">
        <v>0</v>
      </c>
      <c r="BN11" s="636">
        <v>16.2</v>
      </c>
      <c r="BO11" s="636">
        <v>1353.7</v>
      </c>
      <c r="BP11" s="636">
        <v>1.6</v>
      </c>
      <c r="BQ11" s="630">
        <v>21.47</v>
      </c>
      <c r="BR11" s="630">
        <v>22.13</v>
      </c>
      <c r="BS11" s="630">
        <v>14.91</v>
      </c>
      <c r="BT11" s="630">
        <v>7.92</v>
      </c>
      <c r="BU11" s="636">
        <v>24.9</v>
      </c>
      <c r="BV11" s="636">
        <v>31.4</v>
      </c>
      <c r="BW11" s="630">
        <v>537</v>
      </c>
      <c r="BX11" s="1117"/>
      <c r="BY11" s="630">
        <v>0</v>
      </c>
      <c r="BZ11" s="630">
        <v>1.35</v>
      </c>
      <c r="CA11" s="630">
        <v>1.3</v>
      </c>
      <c r="CB11" s="630">
        <v>8.3000000000000007</v>
      </c>
      <c r="CC11" s="630">
        <v>8.3000000000000007</v>
      </c>
      <c r="CD11" s="630">
        <v>15.7</v>
      </c>
      <c r="CE11" s="630">
        <v>31.3</v>
      </c>
      <c r="CF11" s="630">
        <v>12.2</v>
      </c>
      <c r="CG11" s="630">
        <v>8</v>
      </c>
      <c r="CH11" s="630">
        <v>13.7</v>
      </c>
      <c r="CI11" s="630">
        <v>17.8</v>
      </c>
      <c r="CJ11" s="630">
        <v>12.87</v>
      </c>
      <c r="CK11" s="630">
        <v>479.6</v>
      </c>
      <c r="CL11" s="630">
        <v>1.8</v>
      </c>
      <c r="CM11" s="630">
        <v>2.5</v>
      </c>
      <c r="CN11" s="630">
        <v>230.8</v>
      </c>
      <c r="CO11" s="630">
        <v>402.1</v>
      </c>
      <c r="CP11" s="630">
        <v>394.1</v>
      </c>
      <c r="CQ11" s="630">
        <v>11.7</v>
      </c>
      <c r="CR11" s="630">
        <v>0.69</v>
      </c>
      <c r="CS11" s="636">
        <v>0</v>
      </c>
      <c r="CT11" s="636">
        <v>15.342000000000001</v>
      </c>
      <c r="CU11" s="636">
        <v>41</v>
      </c>
      <c r="CV11" s="630">
        <v>0</v>
      </c>
      <c r="CW11" s="630">
        <v>0</v>
      </c>
      <c r="CX11" s="630">
        <v>0</v>
      </c>
      <c r="CY11" s="630">
        <v>0</v>
      </c>
      <c r="CZ11" s="990">
        <v>851</v>
      </c>
      <c r="DA11" s="990">
        <v>1190</v>
      </c>
      <c r="DB11" s="990">
        <v>761</v>
      </c>
      <c r="DC11" s="966">
        <v>1080.8900000000001</v>
      </c>
      <c r="DD11" s="1153">
        <f t="shared" si="3"/>
        <v>-1.6599999999998545</v>
      </c>
      <c r="DE11" s="1154">
        <f t="shared" si="4"/>
        <v>0</v>
      </c>
      <c r="DF11" s="1154">
        <f t="shared" si="5"/>
        <v>651</v>
      </c>
      <c r="DG11" s="1154">
        <f t="shared" si="6"/>
        <v>940</v>
      </c>
      <c r="DH11" s="1155" t="str">
        <f t="shared" si="7"/>
        <v>Palm</v>
      </c>
      <c r="DI11" s="1146">
        <f t="shared" si="8"/>
        <v>429</v>
      </c>
      <c r="DJ11" s="1146">
        <f t="shared" si="9"/>
        <v>0</v>
      </c>
      <c r="DK11" s="1154">
        <f t="shared" si="10"/>
        <v>0</v>
      </c>
      <c r="DL11" s="630"/>
      <c r="DM11" s="630"/>
      <c r="DN11" s="630"/>
      <c r="DO11" s="630"/>
      <c r="DP11" s="630"/>
      <c r="DQ11" s="630"/>
      <c r="DR11" s="630"/>
      <c r="DS11" s="630"/>
      <c r="DT11" s="630"/>
      <c r="DU11" s="630"/>
      <c r="DV11" s="630"/>
      <c r="DW11" s="630"/>
      <c r="DX11" s="630"/>
      <c r="DY11" s="630"/>
      <c r="DZ11" s="630"/>
      <c r="EA11" s="630"/>
      <c r="EB11" s="630"/>
      <c r="EC11" s="630"/>
      <c r="ED11" s="630"/>
      <c r="EE11" s="630"/>
      <c r="EF11" s="630"/>
      <c r="EG11" s="1146">
        <f t="shared" si="11"/>
        <v>10</v>
      </c>
      <c r="EH11" s="630">
        <v>0</v>
      </c>
      <c r="EI11" s="642">
        <v>1</v>
      </c>
      <c r="EJ11" s="642">
        <v>2.5</v>
      </c>
      <c r="EK11" s="642">
        <v>6.5</v>
      </c>
      <c r="EL11" s="630"/>
      <c r="EM11" s="630"/>
      <c r="EN11" s="630"/>
      <c r="EO11" s="630"/>
      <c r="EP11" s="630"/>
      <c r="EQ11" s="630"/>
      <c r="ER11" s="630"/>
      <c r="ES11" s="632"/>
      <c r="ET11" s="632"/>
      <c r="EU11" s="1088"/>
      <c r="EV11" s="1167">
        <f t="shared" si="12"/>
        <v>15.469999999999999</v>
      </c>
      <c r="EW11" s="1088"/>
    </row>
    <row r="12" spans="1:226" s="350" customFormat="1" ht="16.2" x14ac:dyDescent="0.35">
      <c r="A12" s="632" t="s">
        <v>5</v>
      </c>
      <c r="B12" s="662">
        <v>42738</v>
      </c>
      <c r="C12" s="1132" t="s">
        <v>904</v>
      </c>
      <c r="D12" s="386">
        <v>0</v>
      </c>
      <c r="E12" s="636">
        <v>0.7</v>
      </c>
      <c r="F12" s="636">
        <v>24</v>
      </c>
      <c r="G12" s="636">
        <v>0.95</v>
      </c>
      <c r="H12" s="386">
        <v>2.31</v>
      </c>
      <c r="I12" s="386">
        <v>14.8</v>
      </c>
      <c r="J12" s="636">
        <v>0</v>
      </c>
      <c r="K12" s="386">
        <v>1.9</v>
      </c>
      <c r="L12" s="610">
        <v>0</v>
      </c>
      <c r="M12" s="386">
        <v>20.100000000000001</v>
      </c>
      <c r="N12" s="386">
        <v>1.31</v>
      </c>
      <c r="O12" s="386">
        <v>1.4131756907559394</v>
      </c>
      <c r="P12" s="386">
        <v>1.3260000000000001</v>
      </c>
      <c r="Q12" s="386">
        <v>0.59172086170104665</v>
      </c>
      <c r="R12" s="386">
        <v>742.38728197674413</v>
      </c>
      <c r="S12" s="386">
        <v>8.0399999999999991</v>
      </c>
      <c r="T12" s="386">
        <v>8.32</v>
      </c>
      <c r="U12" s="386">
        <v>0.58799999999999997</v>
      </c>
      <c r="V12" s="387">
        <v>0.629</v>
      </c>
      <c r="W12" s="783">
        <v>35.42</v>
      </c>
      <c r="X12" s="369">
        <v>36.5</v>
      </c>
      <c r="Y12" s="367">
        <v>26.51</v>
      </c>
      <c r="Z12" s="636">
        <v>26.1</v>
      </c>
      <c r="AA12" s="636">
        <v>26.5</v>
      </c>
      <c r="AB12" s="636">
        <v>26.4</v>
      </c>
      <c r="AC12" s="1160">
        <f t="shared" ref="AC12:AC75" si="13">AA12+AB12</f>
        <v>52.9</v>
      </c>
      <c r="AD12" s="1160">
        <f t="shared" ref="AD12:AD75" si="14">AC12*1.547</f>
        <v>81.836299999999994</v>
      </c>
      <c r="AE12" s="1160">
        <f t="shared" ref="AE12:AE75" si="15">AD12-(L12*1.547)</f>
        <v>81.836299999999994</v>
      </c>
      <c r="AF12" s="656"/>
      <c r="AG12" s="1160">
        <f t="shared" si="2"/>
        <v>0</v>
      </c>
      <c r="AH12" s="656"/>
      <c r="AI12" s="656"/>
      <c r="AJ12" s="388"/>
      <c r="AK12" s="388"/>
      <c r="AL12" s="388"/>
      <c r="AM12" s="388"/>
      <c r="AN12" s="388"/>
      <c r="AO12" s="370"/>
      <c r="AP12" s="370"/>
      <c r="AQ12" s="386"/>
      <c r="AR12" s="551">
        <v>0</v>
      </c>
      <c r="AS12" s="386">
        <v>20.9</v>
      </c>
      <c r="AT12" s="386">
        <v>0</v>
      </c>
      <c r="AU12" s="386">
        <v>0</v>
      </c>
      <c r="AV12" s="636">
        <v>326.10000000000002</v>
      </c>
      <c r="AW12" s="636">
        <v>312.3</v>
      </c>
      <c r="AX12" s="386">
        <v>0</v>
      </c>
      <c r="AY12" s="551">
        <v>0</v>
      </c>
      <c r="AZ12" s="551">
        <v>0</v>
      </c>
      <c r="BA12" s="551">
        <v>0</v>
      </c>
      <c r="BB12" s="832">
        <v>0</v>
      </c>
      <c r="BC12" s="386">
        <v>0.91</v>
      </c>
      <c r="BD12" s="386">
        <v>1.58</v>
      </c>
      <c r="BE12" s="551">
        <v>0</v>
      </c>
      <c r="BF12" s="386">
        <v>0</v>
      </c>
      <c r="BG12" s="386">
        <v>0</v>
      </c>
      <c r="BH12" s="551">
        <v>0</v>
      </c>
      <c r="BI12" s="386">
        <v>1.01</v>
      </c>
      <c r="BJ12" s="386">
        <v>22.9</v>
      </c>
      <c r="BK12" s="386">
        <v>3.09</v>
      </c>
      <c r="BL12" s="386">
        <v>3.39</v>
      </c>
      <c r="BM12" s="386">
        <v>0</v>
      </c>
      <c r="BN12" s="386">
        <v>16.600000000000001</v>
      </c>
      <c r="BO12" s="386">
        <v>789.9</v>
      </c>
      <c r="BP12" s="386">
        <v>1.5</v>
      </c>
      <c r="BQ12" s="499">
        <v>20.059999999999999</v>
      </c>
      <c r="BR12" s="499">
        <v>20.72</v>
      </c>
      <c r="BS12" s="499">
        <v>14.65</v>
      </c>
      <c r="BT12" s="499">
        <v>7.97</v>
      </c>
      <c r="BU12" s="386">
        <v>24.8</v>
      </c>
      <c r="BV12" s="386">
        <v>33.6</v>
      </c>
      <c r="BW12" s="499">
        <v>368.4</v>
      </c>
      <c r="BX12" s="793"/>
      <c r="BY12" s="499">
        <v>0</v>
      </c>
      <c r="BZ12" s="499">
        <v>1.4</v>
      </c>
      <c r="CA12" s="499">
        <v>1.3</v>
      </c>
      <c r="CB12" s="499">
        <v>8.3000000000000007</v>
      </c>
      <c r="CC12" s="499">
        <v>8.3000000000000007</v>
      </c>
      <c r="CD12" s="499">
        <v>15.5</v>
      </c>
      <c r="CE12" s="499">
        <v>31.4</v>
      </c>
      <c r="CF12" s="499">
        <v>14.7</v>
      </c>
      <c r="CG12" s="499">
        <v>6.5</v>
      </c>
      <c r="CH12" s="499">
        <v>11.9</v>
      </c>
      <c r="CI12" s="499">
        <v>16.399999999999999</v>
      </c>
      <c r="CJ12" s="499">
        <v>13.35</v>
      </c>
      <c r="CK12" s="499">
        <v>549.70000000000005</v>
      </c>
      <c r="CL12" s="499">
        <v>2</v>
      </c>
      <c r="CM12" s="499">
        <v>2.1</v>
      </c>
      <c r="CN12" s="499">
        <v>158.30000000000001</v>
      </c>
      <c r="CO12" s="499">
        <v>381.5</v>
      </c>
      <c r="CP12" s="499">
        <v>347.7</v>
      </c>
      <c r="CQ12" s="499">
        <v>13</v>
      </c>
      <c r="CR12" s="499">
        <v>0.78</v>
      </c>
      <c r="CS12" s="386">
        <v>0</v>
      </c>
      <c r="CT12" s="386">
        <v>16.122</v>
      </c>
      <c r="CU12" s="386">
        <v>41</v>
      </c>
      <c r="CV12" s="499">
        <v>0</v>
      </c>
      <c r="CW12" s="499">
        <v>0</v>
      </c>
      <c r="CX12" s="499">
        <v>0</v>
      </c>
      <c r="CY12" s="499">
        <v>0</v>
      </c>
      <c r="CZ12" s="608">
        <v>781</v>
      </c>
      <c r="DA12" s="608">
        <v>1190</v>
      </c>
      <c r="DB12" s="608">
        <v>688</v>
      </c>
      <c r="DC12" s="986">
        <v>1076.7</v>
      </c>
      <c r="DD12" s="1153">
        <f t="shared" si="3"/>
        <v>-4.1900000000000546</v>
      </c>
      <c r="DE12" s="1154">
        <f t="shared" si="4"/>
        <v>0</v>
      </c>
      <c r="DF12" s="1154">
        <f t="shared" si="5"/>
        <v>578</v>
      </c>
      <c r="DG12" s="1154">
        <f t="shared" si="6"/>
        <v>940</v>
      </c>
      <c r="DH12" s="1155" t="str">
        <f t="shared" si="7"/>
        <v>Palm</v>
      </c>
      <c r="DI12" s="1146">
        <f t="shared" si="8"/>
        <v>502</v>
      </c>
      <c r="DJ12" s="1146">
        <f t="shared" si="9"/>
        <v>0</v>
      </c>
      <c r="DK12" s="1154">
        <f t="shared" si="10"/>
        <v>0</v>
      </c>
      <c r="DL12" s="499"/>
      <c r="DM12" s="499"/>
      <c r="DN12" s="499"/>
      <c r="DO12" s="499"/>
      <c r="DP12" s="499"/>
      <c r="DQ12" s="499"/>
      <c r="DR12" s="499"/>
      <c r="DS12" s="499"/>
      <c r="DT12" s="499"/>
      <c r="DU12" s="499"/>
      <c r="DV12" s="499"/>
      <c r="DW12" s="499"/>
      <c r="DX12" s="499"/>
      <c r="DY12" s="499"/>
      <c r="DZ12" s="499"/>
      <c r="EA12" s="499"/>
      <c r="EB12" s="499"/>
      <c r="EC12" s="499"/>
      <c r="ED12" s="499"/>
      <c r="EE12" s="499"/>
      <c r="EF12" s="499"/>
      <c r="EG12" s="1146">
        <f t="shared" si="11"/>
        <v>10</v>
      </c>
      <c r="EH12" s="630">
        <v>0</v>
      </c>
      <c r="EI12" s="642">
        <v>1</v>
      </c>
      <c r="EJ12" s="642">
        <v>2.5</v>
      </c>
      <c r="EK12" s="642">
        <v>6.5</v>
      </c>
      <c r="EL12" s="499"/>
      <c r="EM12" s="499"/>
      <c r="EN12" s="499"/>
      <c r="EO12" s="499"/>
      <c r="EP12" s="499"/>
      <c r="EQ12" s="499"/>
      <c r="ER12" s="499"/>
      <c r="ES12" s="388"/>
      <c r="ET12" s="388"/>
      <c r="EV12" s="1167">
        <f t="shared" si="12"/>
        <v>15.469999999999999</v>
      </c>
      <c r="EW12" s="1088"/>
    </row>
    <row r="13" spans="1:226" s="350" customFormat="1" ht="15" x14ac:dyDescent="0.25">
      <c r="A13" s="632" t="s">
        <v>6</v>
      </c>
      <c r="B13" s="662">
        <v>42739</v>
      </c>
      <c r="C13" s="1132" t="s">
        <v>904</v>
      </c>
      <c r="D13" s="636">
        <v>0</v>
      </c>
      <c r="E13" s="636">
        <v>0.7</v>
      </c>
      <c r="F13" s="636">
        <v>22.6</v>
      </c>
      <c r="G13" s="739">
        <v>0.6</v>
      </c>
      <c r="H13" s="739">
        <v>20.399999999999999</v>
      </c>
      <c r="I13" s="739">
        <v>15.6</v>
      </c>
      <c r="J13" s="636">
        <v>0</v>
      </c>
      <c r="K13" s="739">
        <v>7.2</v>
      </c>
      <c r="L13" s="741">
        <v>25.330000000001746</v>
      </c>
      <c r="M13" s="739">
        <v>15</v>
      </c>
      <c r="N13" s="739">
        <v>1.26</v>
      </c>
      <c r="O13" s="739">
        <v>1.4294436759746787</v>
      </c>
      <c r="P13" s="739">
        <v>1.33</v>
      </c>
      <c r="Q13" s="739">
        <v>0.59577278731836203</v>
      </c>
      <c r="R13" s="782">
        <v>778.05654069767445</v>
      </c>
      <c r="S13" s="739">
        <v>8</v>
      </c>
      <c r="T13" s="739">
        <v>8.27</v>
      </c>
      <c r="U13" s="739">
        <v>0.66</v>
      </c>
      <c r="V13" s="739">
        <v>0.67</v>
      </c>
      <c r="W13" s="739">
        <v>33.44</v>
      </c>
      <c r="X13" s="644">
        <v>34.160000000000011</v>
      </c>
      <c r="Y13" s="739">
        <v>26.5</v>
      </c>
      <c r="Z13" s="739">
        <v>26.4</v>
      </c>
      <c r="AA13" s="739">
        <v>26.6</v>
      </c>
      <c r="AB13" s="739">
        <v>28</v>
      </c>
      <c r="AC13" s="1160">
        <f t="shared" si="13"/>
        <v>54.6</v>
      </c>
      <c r="AD13" s="1160">
        <f t="shared" si="14"/>
        <v>84.466200000000001</v>
      </c>
      <c r="AE13" s="1160">
        <f t="shared" si="15"/>
        <v>45.2806899999973</v>
      </c>
      <c r="AF13" s="542"/>
      <c r="AG13" s="1160">
        <f t="shared" si="2"/>
        <v>0</v>
      </c>
      <c r="AH13" s="656"/>
      <c r="AI13" s="351"/>
      <c r="AJ13" s="2"/>
      <c r="AK13" s="388"/>
      <c r="AL13" s="388"/>
      <c r="AM13" s="388"/>
      <c r="AN13" s="388"/>
      <c r="AO13" s="370"/>
      <c r="AP13" s="370"/>
      <c r="AQ13" s="386"/>
      <c r="AR13" s="551">
        <v>0</v>
      </c>
      <c r="AS13" s="386">
        <v>14.8</v>
      </c>
      <c r="AT13" s="386">
        <v>0</v>
      </c>
      <c r="AU13" s="386">
        <v>0</v>
      </c>
      <c r="AV13" s="636">
        <v>533</v>
      </c>
      <c r="AW13" s="636">
        <v>755.8</v>
      </c>
      <c r="AX13" s="386">
        <v>0</v>
      </c>
      <c r="AY13" s="551">
        <v>0</v>
      </c>
      <c r="AZ13" s="551">
        <v>0</v>
      </c>
      <c r="BA13" s="551">
        <v>0</v>
      </c>
      <c r="BB13" s="975">
        <v>0</v>
      </c>
      <c r="BC13" s="386">
        <v>0.64</v>
      </c>
      <c r="BD13" s="386">
        <v>1.52</v>
      </c>
      <c r="BE13" s="551">
        <v>0</v>
      </c>
      <c r="BF13" s="386">
        <v>0.34</v>
      </c>
      <c r="BG13" s="386">
        <v>0</v>
      </c>
      <c r="BH13" s="551">
        <v>0</v>
      </c>
      <c r="BI13" s="386">
        <v>1.01</v>
      </c>
      <c r="BJ13" s="386">
        <v>24.5</v>
      </c>
      <c r="BK13" s="386">
        <v>3.09</v>
      </c>
      <c r="BL13" s="386">
        <v>3.39</v>
      </c>
      <c r="BM13" s="386">
        <v>0</v>
      </c>
      <c r="BN13" s="386">
        <v>18.100000000000001</v>
      </c>
      <c r="BO13" s="614">
        <v>1175.0999999999999</v>
      </c>
      <c r="BP13" s="614">
        <v>1.6</v>
      </c>
      <c r="BQ13" s="615">
        <v>19.54</v>
      </c>
      <c r="BR13" s="615">
        <v>20.190000000000001</v>
      </c>
      <c r="BS13" s="615">
        <v>14.29</v>
      </c>
      <c r="BT13" s="615">
        <v>7.71</v>
      </c>
      <c r="BU13" s="614">
        <v>24.3</v>
      </c>
      <c r="BV13" s="614">
        <v>30.2</v>
      </c>
      <c r="BW13" s="615">
        <v>537.4</v>
      </c>
      <c r="BX13" s="791"/>
      <c r="BY13" s="615">
        <v>0</v>
      </c>
      <c r="BZ13" s="615">
        <v>1.08</v>
      </c>
      <c r="CA13" s="615">
        <v>1.3</v>
      </c>
      <c r="CB13" s="615">
        <v>6.5</v>
      </c>
      <c r="CC13" s="615">
        <v>8.3000000000000007</v>
      </c>
      <c r="CD13" s="615">
        <v>15.6</v>
      </c>
      <c r="CE13" s="615">
        <v>31.56</v>
      </c>
      <c r="CF13" s="615">
        <v>14.5</v>
      </c>
      <c r="CG13" s="615">
        <v>7.5</v>
      </c>
      <c r="CH13" s="615">
        <v>13</v>
      </c>
      <c r="CI13" s="615">
        <v>17.5</v>
      </c>
      <c r="CJ13" s="615">
        <v>13.39</v>
      </c>
      <c r="CK13" s="615">
        <v>540.6</v>
      </c>
      <c r="CL13" s="615">
        <v>1.9</v>
      </c>
      <c r="CM13" s="615">
        <v>1.6</v>
      </c>
      <c r="CN13" s="615">
        <v>143.69999999999999</v>
      </c>
      <c r="CO13" s="615">
        <v>771.6</v>
      </c>
      <c r="CP13" s="615">
        <v>357.2</v>
      </c>
      <c r="CQ13" s="615">
        <v>12.9</v>
      </c>
      <c r="CR13" s="615">
        <v>0.83</v>
      </c>
      <c r="CS13" s="386">
        <v>0</v>
      </c>
      <c r="CT13" s="386">
        <v>15.728999999999999</v>
      </c>
      <c r="CU13" s="386">
        <v>40</v>
      </c>
      <c r="CV13" s="499">
        <v>0</v>
      </c>
      <c r="CW13" s="499">
        <v>0</v>
      </c>
      <c r="CX13" s="499">
        <v>0</v>
      </c>
      <c r="CY13" s="499">
        <v>0</v>
      </c>
      <c r="CZ13" s="877">
        <v>542</v>
      </c>
      <c r="DA13" s="877">
        <v>911</v>
      </c>
      <c r="DB13" s="782">
        <v>518</v>
      </c>
      <c r="DC13" s="609">
        <v>1074.2</v>
      </c>
      <c r="DD13" s="1153">
        <f t="shared" si="3"/>
        <v>-2.5</v>
      </c>
      <c r="DE13" s="1154">
        <f t="shared" si="4"/>
        <v>0</v>
      </c>
      <c r="DF13" s="1154">
        <f t="shared" si="5"/>
        <v>408</v>
      </c>
      <c r="DG13" s="1154">
        <f t="shared" si="6"/>
        <v>661</v>
      </c>
      <c r="DH13" s="1155" t="str">
        <f t="shared" si="7"/>
        <v>Palm</v>
      </c>
      <c r="DI13" s="1146">
        <f t="shared" si="8"/>
        <v>393</v>
      </c>
      <c r="DJ13" s="1146">
        <f t="shared" si="9"/>
        <v>0</v>
      </c>
      <c r="DK13" s="1154">
        <f t="shared" si="10"/>
        <v>0</v>
      </c>
      <c r="DL13" s="615"/>
      <c r="DM13" s="643"/>
      <c r="DN13" s="615"/>
      <c r="DO13" s="499"/>
      <c r="DP13" s="499"/>
      <c r="DQ13" s="499"/>
      <c r="DR13" s="499"/>
      <c r="DS13" s="499"/>
      <c r="DT13" s="499"/>
      <c r="DU13" s="499"/>
      <c r="DV13" s="499"/>
      <c r="DW13" s="499"/>
      <c r="DX13" s="499"/>
      <c r="DY13" s="499"/>
      <c r="DZ13" s="499"/>
      <c r="EA13" s="499"/>
      <c r="EB13" s="499"/>
      <c r="EC13" s="499"/>
      <c r="ED13" s="499"/>
      <c r="EE13" s="499"/>
      <c r="EF13" s="499"/>
      <c r="EG13" s="1146">
        <f t="shared" si="11"/>
        <v>10</v>
      </c>
      <c r="EH13" s="630">
        <v>0</v>
      </c>
      <c r="EI13" s="642">
        <v>1</v>
      </c>
      <c r="EJ13" s="642">
        <v>2.5</v>
      </c>
      <c r="EK13" s="642">
        <v>6.5</v>
      </c>
      <c r="EL13" s="499"/>
      <c r="EM13" s="499"/>
      <c r="EN13" s="499"/>
      <c r="EO13" s="499"/>
      <c r="EP13" s="499"/>
      <c r="EQ13" s="499"/>
      <c r="ER13" s="499"/>
      <c r="ES13" s="388"/>
      <c r="ET13" s="388"/>
      <c r="EV13" s="1167">
        <f t="shared" si="12"/>
        <v>15.469999999999999</v>
      </c>
    </row>
    <row r="14" spans="1:226" s="350" customFormat="1" ht="15" x14ac:dyDescent="0.25">
      <c r="A14" s="632" t="s">
        <v>7</v>
      </c>
      <c r="B14" s="662">
        <v>42740</v>
      </c>
      <c r="C14" s="1132" t="s">
        <v>904</v>
      </c>
      <c r="D14" s="636">
        <v>0</v>
      </c>
      <c r="E14" s="636">
        <v>0.05</v>
      </c>
      <c r="F14" s="636">
        <v>21.8</v>
      </c>
      <c r="G14" s="739">
        <v>0.6</v>
      </c>
      <c r="H14" s="739">
        <v>21.48</v>
      </c>
      <c r="I14" s="739">
        <v>18.5</v>
      </c>
      <c r="J14" s="636">
        <v>0</v>
      </c>
      <c r="K14" s="739">
        <v>5.26</v>
      </c>
      <c r="L14" s="741">
        <v>38.849999999998545</v>
      </c>
      <c r="M14" s="739">
        <v>13.9</v>
      </c>
      <c r="N14" s="739">
        <v>1.26</v>
      </c>
      <c r="O14" s="739">
        <v>1.4097754536400229</v>
      </c>
      <c r="P14" s="739">
        <v>1.32</v>
      </c>
      <c r="Q14" s="739">
        <v>0.58996036988110956</v>
      </c>
      <c r="R14" s="782">
        <v>766.72238372093022</v>
      </c>
      <c r="S14" s="739">
        <v>8.15</v>
      </c>
      <c r="T14" s="739">
        <v>8.42</v>
      </c>
      <c r="U14" s="739">
        <v>0.66</v>
      </c>
      <c r="V14" s="739">
        <v>0.7</v>
      </c>
      <c r="W14" s="739">
        <v>41.72</v>
      </c>
      <c r="X14" s="644">
        <v>41.72</v>
      </c>
      <c r="Y14" s="739">
        <v>26.6</v>
      </c>
      <c r="Z14" s="739">
        <v>28</v>
      </c>
      <c r="AA14" s="739">
        <v>26.6</v>
      </c>
      <c r="AB14" s="739">
        <v>27.93</v>
      </c>
      <c r="AC14" s="1160">
        <f t="shared" si="13"/>
        <v>54.53</v>
      </c>
      <c r="AD14" s="1160">
        <f t="shared" si="14"/>
        <v>84.357910000000004</v>
      </c>
      <c r="AE14" s="1160">
        <f t="shared" si="15"/>
        <v>24.256960000002259</v>
      </c>
      <c r="AF14" s="542"/>
      <c r="AG14" s="1160">
        <f t="shared" si="2"/>
        <v>0</v>
      </c>
      <c r="AH14" s="656"/>
      <c r="AI14" s="351"/>
      <c r="AJ14" s="2"/>
      <c r="AK14" s="388"/>
      <c r="AL14" s="388"/>
      <c r="AM14" s="388"/>
      <c r="AN14" s="388"/>
      <c r="AO14" s="370"/>
      <c r="AP14" s="370"/>
      <c r="AQ14" s="386"/>
      <c r="AR14" s="551">
        <v>0</v>
      </c>
      <c r="AS14" s="386">
        <v>17.3</v>
      </c>
      <c r="AT14" s="386">
        <v>0</v>
      </c>
      <c r="AU14" s="386">
        <v>0</v>
      </c>
      <c r="AV14" s="636">
        <v>487.8</v>
      </c>
      <c r="AW14" s="636">
        <v>75.099999999999994</v>
      </c>
      <c r="AX14" s="386">
        <v>0</v>
      </c>
      <c r="AY14" s="551">
        <v>0</v>
      </c>
      <c r="AZ14" s="551">
        <v>0</v>
      </c>
      <c r="BA14" s="551">
        <v>0</v>
      </c>
      <c r="BB14" s="975">
        <v>0</v>
      </c>
      <c r="BC14" s="386">
        <v>0.5</v>
      </c>
      <c r="BD14" s="386">
        <v>1.49</v>
      </c>
      <c r="BE14" s="551">
        <v>0</v>
      </c>
      <c r="BF14" s="386">
        <v>0.5</v>
      </c>
      <c r="BG14" s="386">
        <v>0</v>
      </c>
      <c r="BH14" s="551">
        <v>0</v>
      </c>
      <c r="BI14" s="386">
        <v>1.01</v>
      </c>
      <c r="BJ14" s="386">
        <v>24.4</v>
      </c>
      <c r="BK14" s="386">
        <v>3.08</v>
      </c>
      <c r="BL14" s="386">
        <v>3.39</v>
      </c>
      <c r="BM14" s="386">
        <v>0</v>
      </c>
      <c r="BN14" s="386">
        <v>18.100000000000001</v>
      </c>
      <c r="BO14" s="614">
        <v>1125</v>
      </c>
      <c r="BP14" s="614">
        <v>1.3</v>
      </c>
      <c r="BQ14" s="615">
        <v>19.38</v>
      </c>
      <c r="BR14" s="615">
        <v>20.07</v>
      </c>
      <c r="BS14" s="615">
        <v>14.86</v>
      </c>
      <c r="BT14" s="615">
        <v>8.08</v>
      </c>
      <c r="BU14" s="614">
        <v>21.9</v>
      </c>
      <c r="BV14" s="614">
        <v>29.6</v>
      </c>
      <c r="BW14" s="615">
        <v>412.9</v>
      </c>
      <c r="BX14" s="791"/>
      <c r="BY14" s="615">
        <v>0</v>
      </c>
      <c r="BZ14" s="615">
        <v>1.34</v>
      </c>
      <c r="CA14" s="615">
        <v>1.3</v>
      </c>
      <c r="CB14" s="615">
        <v>8.1999999999999993</v>
      </c>
      <c r="CC14" s="615">
        <v>8.3000000000000007</v>
      </c>
      <c r="CD14" s="615">
        <v>15.9</v>
      </c>
      <c r="CE14" s="615">
        <v>31.5</v>
      </c>
      <c r="CF14" s="615">
        <v>13.6</v>
      </c>
      <c r="CG14" s="615">
        <v>8.1999999999999993</v>
      </c>
      <c r="CH14" s="615">
        <v>14</v>
      </c>
      <c r="CI14" s="615">
        <v>8</v>
      </c>
      <c r="CJ14" s="615">
        <v>13.41</v>
      </c>
      <c r="CK14" s="615">
        <v>524</v>
      </c>
      <c r="CL14" s="615">
        <v>1.9</v>
      </c>
      <c r="CM14" s="615">
        <v>1.6</v>
      </c>
      <c r="CN14" s="615">
        <v>146.30000000000001</v>
      </c>
      <c r="CO14" s="615">
        <v>418.9</v>
      </c>
      <c r="CP14" s="615">
        <v>392.1</v>
      </c>
      <c r="CQ14" s="615">
        <v>12.5</v>
      </c>
      <c r="CR14" s="615">
        <v>0.8</v>
      </c>
      <c r="CS14" s="386">
        <v>0</v>
      </c>
      <c r="CT14" s="386">
        <v>15.010999999999999</v>
      </c>
      <c r="CU14" s="386">
        <v>40</v>
      </c>
      <c r="CV14" s="499">
        <v>0</v>
      </c>
      <c r="CW14" s="499">
        <v>0</v>
      </c>
      <c r="CX14" s="499">
        <v>0</v>
      </c>
      <c r="CY14" s="499">
        <v>0</v>
      </c>
      <c r="CZ14" s="877">
        <v>443</v>
      </c>
      <c r="DA14" s="877">
        <v>825</v>
      </c>
      <c r="DB14" s="782">
        <v>416</v>
      </c>
      <c r="DC14" s="609">
        <v>1074.74</v>
      </c>
      <c r="DD14" s="1153">
        <f t="shared" si="3"/>
        <v>0.53999999999996362</v>
      </c>
      <c r="DE14" s="1154">
        <f t="shared" si="4"/>
        <v>0</v>
      </c>
      <c r="DF14" s="1154">
        <f t="shared" si="5"/>
        <v>306</v>
      </c>
      <c r="DG14" s="1154">
        <f t="shared" si="6"/>
        <v>575</v>
      </c>
      <c r="DH14" s="1155" t="str">
        <f t="shared" si="7"/>
        <v>Palm</v>
      </c>
      <c r="DI14" s="1146">
        <f t="shared" si="8"/>
        <v>409</v>
      </c>
      <c r="DJ14" s="1146">
        <f t="shared" si="9"/>
        <v>0</v>
      </c>
      <c r="DK14" s="1154">
        <f t="shared" si="10"/>
        <v>0</v>
      </c>
      <c r="DL14" s="615"/>
      <c r="DM14" s="643"/>
      <c r="DN14" s="615"/>
      <c r="DO14" s="499"/>
      <c r="DP14" s="499"/>
      <c r="DQ14" s="499"/>
      <c r="DR14" s="499"/>
      <c r="DS14" s="499"/>
      <c r="DT14" s="499"/>
      <c r="DU14" s="499"/>
      <c r="DV14" s="499"/>
      <c r="DW14" s="499"/>
      <c r="DX14" s="499"/>
      <c r="DY14" s="499"/>
      <c r="DZ14" s="499"/>
      <c r="EA14" s="499"/>
      <c r="EB14" s="499"/>
      <c r="EC14" s="499"/>
      <c r="ED14" s="499"/>
      <c r="EE14" s="499"/>
      <c r="EF14" s="499"/>
      <c r="EG14" s="1146">
        <f t="shared" si="11"/>
        <v>10</v>
      </c>
      <c r="EH14" s="630">
        <v>0</v>
      </c>
      <c r="EI14" s="642">
        <v>1</v>
      </c>
      <c r="EJ14" s="642">
        <v>2.5</v>
      </c>
      <c r="EK14" s="642">
        <v>6.5</v>
      </c>
      <c r="EL14" s="499"/>
      <c r="EM14" s="499"/>
      <c r="EN14" s="499"/>
      <c r="EO14" s="499"/>
      <c r="EP14" s="499"/>
      <c r="EQ14" s="499"/>
      <c r="ER14" s="499"/>
      <c r="ES14" s="388"/>
      <c r="ET14" s="388"/>
      <c r="EV14" s="1167">
        <f t="shared" si="12"/>
        <v>15.469999999999999</v>
      </c>
    </row>
    <row r="15" spans="1:226" s="350" customFormat="1" ht="15" x14ac:dyDescent="0.25">
      <c r="A15" s="632" t="s">
        <v>8</v>
      </c>
      <c r="B15" s="662">
        <v>42741</v>
      </c>
      <c r="C15" s="1132" t="s">
        <v>904</v>
      </c>
      <c r="D15" s="636">
        <v>0</v>
      </c>
      <c r="E15" s="636">
        <v>0.05</v>
      </c>
      <c r="F15" s="636">
        <v>20</v>
      </c>
      <c r="G15" s="739">
        <v>0.65</v>
      </c>
      <c r="H15" s="739">
        <v>17.05</v>
      </c>
      <c r="I15" s="739">
        <v>17.100000000000001</v>
      </c>
      <c r="J15" s="636">
        <v>0</v>
      </c>
      <c r="K15" s="739">
        <v>4.84</v>
      </c>
      <c r="L15" s="741">
        <v>26.790000000000873</v>
      </c>
      <c r="M15" s="739">
        <v>18.7</v>
      </c>
      <c r="N15" s="739">
        <v>1.25</v>
      </c>
      <c r="O15" s="739">
        <v>1.4026973286071691</v>
      </c>
      <c r="P15" s="739">
        <v>1.3340000000000001</v>
      </c>
      <c r="Q15" s="739">
        <v>0.58637499282050698</v>
      </c>
      <c r="R15" s="782">
        <v>764.38888081395339</v>
      </c>
      <c r="S15" s="739">
        <v>8.18</v>
      </c>
      <c r="T15" s="739">
        <v>8.4499999999999993</v>
      </c>
      <c r="U15" s="739">
        <v>0.64</v>
      </c>
      <c r="V15" s="739">
        <v>0.70899999999999996</v>
      </c>
      <c r="W15" s="739">
        <v>40.819999999999993</v>
      </c>
      <c r="X15" s="644">
        <v>41.539999999999992</v>
      </c>
      <c r="Y15" s="739">
        <v>26.6</v>
      </c>
      <c r="Z15" s="739">
        <v>27.93</v>
      </c>
      <c r="AA15" s="739">
        <v>26.6</v>
      </c>
      <c r="AB15" s="739">
        <v>27.97</v>
      </c>
      <c r="AC15" s="1160">
        <f t="shared" si="13"/>
        <v>54.57</v>
      </c>
      <c r="AD15" s="1160">
        <f t="shared" si="14"/>
        <v>84.419789999999992</v>
      </c>
      <c r="AE15" s="1160">
        <f t="shared" si="15"/>
        <v>42.975659999998641</v>
      </c>
      <c r="AF15" s="542"/>
      <c r="AG15" s="1160">
        <f t="shared" si="2"/>
        <v>0</v>
      </c>
      <c r="AH15" s="351"/>
      <c r="AI15" s="351"/>
      <c r="AJ15" s="2"/>
      <c r="AK15" s="388"/>
      <c r="AL15" s="388"/>
      <c r="AM15" s="388"/>
      <c r="AN15" s="388"/>
      <c r="AO15" s="370"/>
      <c r="AP15" s="370"/>
      <c r="AQ15" s="386"/>
      <c r="AR15" s="551">
        <v>0</v>
      </c>
      <c r="AS15" s="386">
        <v>22.6</v>
      </c>
      <c r="AT15" s="386">
        <v>0</v>
      </c>
      <c r="AU15" s="386">
        <v>0</v>
      </c>
      <c r="AV15" s="636">
        <v>332.4</v>
      </c>
      <c r="AW15" s="636">
        <v>326.60000000000002</v>
      </c>
      <c r="AX15" s="386">
        <v>0</v>
      </c>
      <c r="AY15" s="551">
        <v>0</v>
      </c>
      <c r="AZ15" s="551">
        <v>0</v>
      </c>
      <c r="BA15" s="551">
        <v>0</v>
      </c>
      <c r="BB15" s="975">
        <v>0</v>
      </c>
      <c r="BC15" s="386">
        <v>0.5</v>
      </c>
      <c r="BD15" s="386">
        <v>1.5</v>
      </c>
      <c r="BE15" s="551">
        <v>0</v>
      </c>
      <c r="BF15" s="386">
        <v>0.49</v>
      </c>
      <c r="BG15" s="386">
        <v>0</v>
      </c>
      <c r="BH15" s="551">
        <v>0</v>
      </c>
      <c r="BI15" s="386">
        <v>1.01</v>
      </c>
      <c r="BJ15" s="386">
        <v>24.4</v>
      </c>
      <c r="BK15" s="386">
        <v>3.09</v>
      </c>
      <c r="BL15" s="386">
        <v>3.39</v>
      </c>
      <c r="BM15" s="386">
        <v>0</v>
      </c>
      <c r="BN15" s="386">
        <v>18.100000000000001</v>
      </c>
      <c r="BO15" s="614">
        <v>1026.8</v>
      </c>
      <c r="BP15" s="614">
        <v>1.5</v>
      </c>
      <c r="BQ15" s="615">
        <v>19.7</v>
      </c>
      <c r="BR15" s="615">
        <v>20.3</v>
      </c>
      <c r="BS15" s="615">
        <v>15.1</v>
      </c>
      <c r="BT15" s="615">
        <v>8.1</v>
      </c>
      <c r="BU15" s="614">
        <v>25.2</v>
      </c>
      <c r="BV15" s="614">
        <v>28.6</v>
      </c>
      <c r="BW15" s="615">
        <v>530</v>
      </c>
      <c r="BX15" s="791"/>
      <c r="BY15" s="615">
        <v>0</v>
      </c>
      <c r="BZ15" s="615">
        <v>1.34</v>
      </c>
      <c r="CA15" s="615">
        <v>1.3</v>
      </c>
      <c r="CB15" s="615">
        <v>8.4</v>
      </c>
      <c r="CC15" s="615">
        <v>8.3000000000000007</v>
      </c>
      <c r="CD15" s="615">
        <v>14.9</v>
      </c>
      <c r="CE15" s="615">
        <v>31.6</v>
      </c>
      <c r="CF15" s="615">
        <v>12.7</v>
      </c>
      <c r="CG15" s="615">
        <v>8.1</v>
      </c>
      <c r="CH15" s="615">
        <v>13.7</v>
      </c>
      <c r="CI15" s="615">
        <v>18.2</v>
      </c>
      <c r="CJ15" s="615">
        <v>12.4</v>
      </c>
      <c r="CK15" s="615">
        <v>513.6</v>
      </c>
      <c r="CL15" s="615">
        <v>1.6</v>
      </c>
      <c r="CM15" s="615">
        <v>2.1</v>
      </c>
      <c r="CN15" s="613">
        <v>125.2</v>
      </c>
      <c r="CO15" s="613">
        <v>402.9</v>
      </c>
      <c r="CP15" s="615">
        <v>360.6</v>
      </c>
      <c r="CQ15" s="615">
        <v>12.9</v>
      </c>
      <c r="CR15" s="615">
        <v>0.72</v>
      </c>
      <c r="CS15" s="386">
        <v>0</v>
      </c>
      <c r="CT15" s="386">
        <v>15.67</v>
      </c>
      <c r="CU15" s="386">
        <v>40</v>
      </c>
      <c r="CV15" s="499">
        <v>0</v>
      </c>
      <c r="CW15" s="499">
        <v>0</v>
      </c>
      <c r="CX15" s="499">
        <v>0</v>
      </c>
      <c r="CY15" s="499">
        <v>0</v>
      </c>
      <c r="CZ15" s="877">
        <v>354</v>
      </c>
      <c r="DA15" s="877">
        <v>777</v>
      </c>
      <c r="DB15" s="782">
        <v>279</v>
      </c>
      <c r="DC15" s="609">
        <v>1076.5899999999999</v>
      </c>
      <c r="DD15" s="1153">
        <f t="shared" ref="DD15:DD78" si="16">DC15-DC14</f>
        <v>1.8499999999999091</v>
      </c>
      <c r="DE15" s="1154">
        <f t="shared" ref="DE15:DE78" si="17">(CS15*1440/1000000)*3.068</f>
        <v>0</v>
      </c>
      <c r="DF15" s="1154">
        <f t="shared" ref="DF15:DF78" si="18">DB15-110</f>
        <v>169</v>
      </c>
      <c r="DG15" s="1154">
        <f t="shared" ref="DG15:DG78" si="19">DA15-250</f>
        <v>527</v>
      </c>
      <c r="DH15" s="1155" t="str">
        <f t="shared" ref="DH15:DH78" si="20">IF(DG15&lt;DF15,"Aub","Palm")</f>
        <v>Palm</v>
      </c>
      <c r="DI15" s="1146">
        <f t="shared" ref="DI15:DI78" si="21">DA15-DB15</f>
        <v>498</v>
      </c>
      <c r="DJ15" s="1146">
        <f t="shared" ref="DJ15:DJ78" si="22">DK15/3.068</f>
        <v>0</v>
      </c>
      <c r="DK15" s="1154">
        <f t="shared" ref="DK15:DK78" si="23">(CS15*1440/1000000)*3.068</f>
        <v>0</v>
      </c>
      <c r="DL15" s="615"/>
      <c r="DM15" s="643"/>
      <c r="DN15" s="615"/>
      <c r="DO15" s="499"/>
      <c r="DP15" s="499"/>
      <c r="DQ15" s="499"/>
      <c r="DR15" s="499"/>
      <c r="DS15" s="499"/>
      <c r="DT15" s="499"/>
      <c r="DU15" s="499"/>
      <c r="DV15" s="499"/>
      <c r="DW15" s="499"/>
      <c r="DX15" s="499"/>
      <c r="DY15" s="499"/>
      <c r="DZ15" s="499"/>
      <c r="EA15" s="499"/>
      <c r="EB15" s="499"/>
      <c r="EC15" s="499"/>
      <c r="ED15" s="499"/>
      <c r="EE15" s="499"/>
      <c r="EF15" s="499"/>
      <c r="EG15" s="1146">
        <f t="shared" ref="EG15:EG21" si="24">(SUM(EH15:EK15))</f>
        <v>10</v>
      </c>
      <c r="EH15" s="630">
        <v>0</v>
      </c>
      <c r="EI15" s="642">
        <v>1</v>
      </c>
      <c r="EJ15" s="642">
        <v>2.5</v>
      </c>
      <c r="EK15" s="642">
        <v>6.5</v>
      </c>
      <c r="EL15" s="499"/>
      <c r="EM15" s="499"/>
      <c r="EN15" s="499"/>
      <c r="EO15" s="499"/>
      <c r="EP15" s="630"/>
      <c r="EQ15" s="630"/>
      <c r="ER15" s="630"/>
      <c r="ES15" s="388"/>
      <c r="ET15" s="388"/>
      <c r="EV15" s="1167">
        <f t="shared" si="12"/>
        <v>15.469999999999999</v>
      </c>
    </row>
    <row r="16" spans="1:226" s="350" customFormat="1" ht="15" x14ac:dyDescent="0.25">
      <c r="A16" s="632" t="s">
        <v>9</v>
      </c>
      <c r="B16" s="662">
        <v>42742</v>
      </c>
      <c r="C16" s="1132" t="s">
        <v>904</v>
      </c>
      <c r="D16" s="636">
        <v>0</v>
      </c>
      <c r="E16" s="636">
        <v>1.45</v>
      </c>
      <c r="F16" s="636">
        <v>34.6</v>
      </c>
      <c r="G16" s="739">
        <v>0.65</v>
      </c>
      <c r="H16" s="739">
        <v>2.13</v>
      </c>
      <c r="I16" s="739">
        <v>17.7</v>
      </c>
      <c r="J16" s="636">
        <v>0</v>
      </c>
      <c r="K16" s="739">
        <v>4.37</v>
      </c>
      <c r="L16" s="741">
        <v>0</v>
      </c>
      <c r="M16" s="739">
        <v>19.7</v>
      </c>
      <c r="N16" s="739">
        <v>1.22</v>
      </c>
      <c r="O16" s="739">
        <v>1.426150881295434</v>
      </c>
      <c r="P16" s="739">
        <v>1.2889999999999999</v>
      </c>
      <c r="Q16" s="739">
        <v>0.59722589167767492</v>
      </c>
      <c r="R16" s="782">
        <v>775.72303779069773</v>
      </c>
      <c r="S16" s="739">
        <v>8.0500000000000007</v>
      </c>
      <c r="T16" s="739">
        <v>8.32</v>
      </c>
      <c r="U16" s="739">
        <v>0.64500000000000002</v>
      </c>
      <c r="V16" s="739">
        <v>0.73799999999999999</v>
      </c>
      <c r="W16" s="739">
        <v>34.160000000000011</v>
      </c>
      <c r="X16" s="644">
        <v>35.960000000000008</v>
      </c>
      <c r="Y16" s="739">
        <v>26.6</v>
      </c>
      <c r="Z16" s="739">
        <v>27.97</v>
      </c>
      <c r="AA16" s="739">
        <v>26.6</v>
      </c>
      <c r="AB16" s="739">
        <v>28</v>
      </c>
      <c r="AC16" s="1160">
        <f t="shared" si="13"/>
        <v>54.6</v>
      </c>
      <c r="AD16" s="1160">
        <f t="shared" si="14"/>
        <v>84.466200000000001</v>
      </c>
      <c r="AE16" s="1160">
        <f t="shared" si="15"/>
        <v>84.466200000000001</v>
      </c>
      <c r="AF16" s="542"/>
      <c r="AG16" s="1160">
        <f t="shared" si="2"/>
        <v>0</v>
      </c>
      <c r="AH16" s="351"/>
      <c r="AI16" s="351"/>
      <c r="AJ16" s="2"/>
      <c r="AK16" s="388"/>
      <c r="AL16" s="388"/>
      <c r="AM16" s="388"/>
      <c r="AN16" s="388"/>
      <c r="AO16" s="370"/>
      <c r="AP16" s="370"/>
      <c r="AQ16" s="386"/>
      <c r="AR16" s="551">
        <v>0</v>
      </c>
      <c r="AS16" s="386">
        <v>14.2</v>
      </c>
      <c r="AT16" s="386">
        <v>0</v>
      </c>
      <c r="AU16" s="386">
        <v>0</v>
      </c>
      <c r="AV16" s="636">
        <v>528.1</v>
      </c>
      <c r="AW16" s="636">
        <v>617</v>
      </c>
      <c r="AX16" s="386">
        <v>0</v>
      </c>
      <c r="AY16" s="551">
        <v>0</v>
      </c>
      <c r="AZ16" s="551">
        <v>0</v>
      </c>
      <c r="BA16" s="551">
        <v>0</v>
      </c>
      <c r="BB16" s="975">
        <v>0</v>
      </c>
      <c r="BC16" s="386">
        <v>0.5</v>
      </c>
      <c r="BD16" s="386">
        <v>1.49</v>
      </c>
      <c r="BE16" s="551">
        <v>0</v>
      </c>
      <c r="BF16" s="386">
        <v>0.5</v>
      </c>
      <c r="BG16" s="386">
        <v>0</v>
      </c>
      <c r="BH16" s="551">
        <v>0</v>
      </c>
      <c r="BI16" s="386">
        <v>1.01</v>
      </c>
      <c r="BJ16" s="386">
        <v>24.4</v>
      </c>
      <c r="BK16" s="386">
        <v>2.73</v>
      </c>
      <c r="BL16" s="386">
        <v>3.79</v>
      </c>
      <c r="BM16" s="386">
        <v>0</v>
      </c>
      <c r="BN16" s="386">
        <v>18</v>
      </c>
      <c r="BO16" s="614">
        <v>1069.4000000000001</v>
      </c>
      <c r="BP16" s="614">
        <v>1.4</v>
      </c>
      <c r="BQ16" s="615">
        <v>18</v>
      </c>
      <c r="BR16" s="615">
        <v>18.600000000000001</v>
      </c>
      <c r="BS16" s="615">
        <v>14.2</v>
      </c>
      <c r="BT16" s="615">
        <v>7.9</v>
      </c>
      <c r="BU16" s="614">
        <v>24.3</v>
      </c>
      <c r="BV16" s="614">
        <v>34.200000000000003</v>
      </c>
      <c r="BW16" s="615">
        <v>404.8</v>
      </c>
      <c r="BX16" s="791"/>
      <c r="BY16" s="615">
        <v>0</v>
      </c>
      <c r="BZ16" s="615">
        <v>1.3</v>
      </c>
      <c r="CA16" s="615">
        <v>1.3</v>
      </c>
      <c r="CB16" s="615">
        <v>8.3000000000000007</v>
      </c>
      <c r="CC16" s="615">
        <v>8.3000000000000007</v>
      </c>
      <c r="CD16" s="615">
        <v>15.2</v>
      </c>
      <c r="CE16" s="615">
        <v>30.7</v>
      </c>
      <c r="CF16" s="615">
        <v>15.3</v>
      </c>
      <c r="CG16" s="615">
        <v>7.8</v>
      </c>
      <c r="CH16" s="615">
        <v>13.3</v>
      </c>
      <c r="CI16" s="615">
        <v>17.7</v>
      </c>
      <c r="CJ16" s="615">
        <v>12.7</v>
      </c>
      <c r="CK16" s="615">
        <v>542.4</v>
      </c>
      <c r="CL16" s="615">
        <v>2.4</v>
      </c>
      <c r="CM16" s="615">
        <v>2.9</v>
      </c>
      <c r="CN16" s="613">
        <v>284.60000000000002</v>
      </c>
      <c r="CO16" s="613">
        <v>422.3</v>
      </c>
      <c r="CP16" s="615">
        <v>352.6</v>
      </c>
      <c r="CQ16" s="615">
        <v>13.1</v>
      </c>
      <c r="CR16" s="615">
        <v>0.78</v>
      </c>
      <c r="CS16" s="386">
        <v>0</v>
      </c>
      <c r="CT16" s="386">
        <v>16.904</v>
      </c>
      <c r="CU16" s="386">
        <v>41</v>
      </c>
      <c r="CV16" s="499">
        <v>0</v>
      </c>
      <c r="CW16" s="499">
        <v>0</v>
      </c>
      <c r="CX16" s="499">
        <v>0</v>
      </c>
      <c r="CY16" s="499">
        <v>0</v>
      </c>
      <c r="CZ16" s="877">
        <v>366</v>
      </c>
      <c r="DA16" s="877">
        <v>630</v>
      </c>
      <c r="DB16" s="782">
        <v>288</v>
      </c>
      <c r="DC16" s="609">
        <v>1079.22</v>
      </c>
      <c r="DD16" s="1153">
        <f t="shared" si="16"/>
        <v>2.6300000000001091</v>
      </c>
      <c r="DE16" s="1154">
        <f t="shared" si="17"/>
        <v>0</v>
      </c>
      <c r="DF16" s="1154">
        <f t="shared" si="18"/>
        <v>178</v>
      </c>
      <c r="DG16" s="1154">
        <f t="shared" si="19"/>
        <v>380</v>
      </c>
      <c r="DH16" s="1155" t="str">
        <f t="shared" si="20"/>
        <v>Palm</v>
      </c>
      <c r="DI16" s="1146">
        <f t="shared" si="21"/>
        <v>342</v>
      </c>
      <c r="DJ16" s="1146">
        <f t="shared" si="22"/>
        <v>0</v>
      </c>
      <c r="DK16" s="1154">
        <f t="shared" si="23"/>
        <v>0</v>
      </c>
      <c r="DL16" s="615"/>
      <c r="DM16" s="643"/>
      <c r="DN16" s="615"/>
      <c r="DO16" s="499"/>
      <c r="DP16" s="499"/>
      <c r="DQ16" s="499"/>
      <c r="DR16" s="499"/>
      <c r="DS16" s="499"/>
      <c r="DT16" s="499"/>
      <c r="DU16" s="499"/>
      <c r="DV16" s="499"/>
      <c r="DW16" s="499"/>
      <c r="DX16" s="499"/>
      <c r="DY16" s="499"/>
      <c r="DZ16" s="499"/>
      <c r="EA16" s="499"/>
      <c r="EB16" s="499"/>
      <c r="EC16" s="499"/>
      <c r="ED16" s="499"/>
      <c r="EE16" s="499"/>
      <c r="EF16" s="499"/>
      <c r="EG16" s="1146">
        <f t="shared" si="24"/>
        <v>10</v>
      </c>
      <c r="EH16" s="630">
        <v>0</v>
      </c>
      <c r="EI16" s="642">
        <v>1</v>
      </c>
      <c r="EJ16" s="642">
        <v>2.5</v>
      </c>
      <c r="EK16" s="642">
        <v>6.5</v>
      </c>
      <c r="EL16" s="499"/>
      <c r="EM16" s="499"/>
      <c r="EN16" s="499"/>
      <c r="EO16" s="499"/>
      <c r="EP16" s="630"/>
      <c r="EQ16" s="630"/>
      <c r="ER16" s="630"/>
      <c r="ES16" s="388"/>
      <c r="ET16" s="388"/>
      <c r="EV16" s="1167">
        <f t="shared" si="12"/>
        <v>15.469999999999999</v>
      </c>
    </row>
    <row r="17" spans="1:152" s="350" customFormat="1" ht="15" x14ac:dyDescent="0.25">
      <c r="A17" s="632" t="s">
        <v>3</v>
      </c>
      <c r="B17" s="662">
        <v>42743</v>
      </c>
      <c r="C17" s="1132" t="s">
        <v>904</v>
      </c>
      <c r="D17" s="636">
        <v>0.12</v>
      </c>
      <c r="E17" s="636">
        <v>1</v>
      </c>
      <c r="F17" s="636">
        <v>33</v>
      </c>
      <c r="G17" s="739">
        <v>0.6</v>
      </c>
      <c r="H17" s="739">
        <v>2.77</v>
      </c>
      <c r="I17" s="739">
        <v>17.5</v>
      </c>
      <c r="J17" s="636">
        <v>0</v>
      </c>
      <c r="K17" s="739">
        <v>2.29</v>
      </c>
      <c r="L17" s="741">
        <v>0</v>
      </c>
      <c r="M17" s="739">
        <v>19.8</v>
      </c>
      <c r="N17" s="739">
        <v>1.238</v>
      </c>
      <c r="O17" s="739">
        <v>1.3986288330935894</v>
      </c>
      <c r="P17" s="739">
        <v>1.31</v>
      </c>
      <c r="Q17" s="739">
        <v>0.59014321082704035</v>
      </c>
      <c r="R17" s="782">
        <v>807.72536337209294</v>
      </c>
      <c r="S17" s="739">
        <v>8.18</v>
      </c>
      <c r="T17" s="739">
        <v>8.41</v>
      </c>
      <c r="U17" s="739">
        <v>0.69099999999999995</v>
      </c>
      <c r="V17" s="739">
        <v>0.81299999999999994</v>
      </c>
      <c r="W17" s="739">
        <v>33.799999999999997</v>
      </c>
      <c r="X17" s="644">
        <v>34.519999999999996</v>
      </c>
      <c r="Y17" s="739">
        <v>26.6</v>
      </c>
      <c r="Z17" s="739">
        <v>28</v>
      </c>
      <c r="AA17" s="739">
        <v>26.6</v>
      </c>
      <c r="AB17" s="739">
        <v>30.4</v>
      </c>
      <c r="AC17" s="1160">
        <f t="shared" si="13"/>
        <v>57</v>
      </c>
      <c r="AD17" s="1160">
        <f t="shared" si="14"/>
        <v>88.179000000000002</v>
      </c>
      <c r="AE17" s="1160">
        <f t="shared" si="15"/>
        <v>88.179000000000002</v>
      </c>
      <c r="AF17" s="542"/>
      <c r="AG17" s="1160">
        <f t="shared" si="2"/>
        <v>0</v>
      </c>
      <c r="AH17" s="351"/>
      <c r="AI17" s="351"/>
      <c r="AJ17" s="2"/>
      <c r="AK17" s="388"/>
      <c r="AL17" s="388"/>
      <c r="AM17" s="388"/>
      <c r="AN17" s="388"/>
      <c r="AO17" s="370"/>
      <c r="AP17" s="370"/>
      <c r="AQ17" s="386"/>
      <c r="AR17" s="551">
        <v>0</v>
      </c>
      <c r="AS17" s="386">
        <v>19.3</v>
      </c>
      <c r="AT17" s="386">
        <v>0</v>
      </c>
      <c r="AU17" s="386">
        <v>0</v>
      </c>
      <c r="AV17" s="636">
        <v>243.7</v>
      </c>
      <c r="AW17" s="636">
        <v>377.3</v>
      </c>
      <c r="AX17" s="386">
        <v>0</v>
      </c>
      <c r="AY17" s="551">
        <v>0</v>
      </c>
      <c r="AZ17" s="551">
        <v>0</v>
      </c>
      <c r="BA17" s="551">
        <v>0</v>
      </c>
      <c r="BB17" s="975">
        <v>0</v>
      </c>
      <c r="BC17" s="386">
        <v>0.49</v>
      </c>
      <c r="BD17" s="386">
        <v>1.5</v>
      </c>
      <c r="BE17" s="551">
        <v>0</v>
      </c>
      <c r="BF17" s="386">
        <v>0.5</v>
      </c>
      <c r="BG17" s="386">
        <v>0</v>
      </c>
      <c r="BH17" s="551">
        <v>0</v>
      </c>
      <c r="BI17" s="386">
        <v>1.01</v>
      </c>
      <c r="BJ17" s="386">
        <v>27</v>
      </c>
      <c r="BK17" s="386">
        <v>3.09</v>
      </c>
      <c r="BL17" s="386">
        <v>3.39</v>
      </c>
      <c r="BM17" s="386">
        <v>0</v>
      </c>
      <c r="BN17" s="386">
        <v>20.5</v>
      </c>
      <c r="BO17" s="614">
        <v>1106.9000000000001</v>
      </c>
      <c r="BP17" s="614">
        <v>1.5</v>
      </c>
      <c r="BQ17" s="615">
        <v>17.399999999999999</v>
      </c>
      <c r="BR17" s="615">
        <v>18.2</v>
      </c>
      <c r="BS17" s="615">
        <v>14.3</v>
      </c>
      <c r="BT17" s="615">
        <v>8</v>
      </c>
      <c r="BU17" s="614">
        <v>24.7</v>
      </c>
      <c r="BV17" s="614">
        <v>31</v>
      </c>
      <c r="BW17" s="615">
        <v>604.5</v>
      </c>
      <c r="BX17" s="791"/>
      <c r="BY17" s="615">
        <v>0</v>
      </c>
      <c r="BZ17" s="615">
        <v>1.34</v>
      </c>
      <c r="CA17" s="615">
        <v>1.3</v>
      </c>
      <c r="CB17" s="615">
        <v>8.3000000000000007</v>
      </c>
      <c r="CC17" s="615">
        <v>8.3000000000000007</v>
      </c>
      <c r="CD17" s="615">
        <v>15.7</v>
      </c>
      <c r="CE17" s="615">
        <v>31</v>
      </c>
      <c r="CF17" s="615">
        <v>14.2</v>
      </c>
      <c r="CG17" s="615">
        <v>7.5</v>
      </c>
      <c r="CH17" s="615">
        <v>13.1</v>
      </c>
      <c r="CI17" s="615">
        <v>17.100000000000001</v>
      </c>
      <c r="CJ17" s="615">
        <v>13.3</v>
      </c>
      <c r="CK17" s="615">
        <v>544.29999999999995</v>
      </c>
      <c r="CL17" s="615">
        <v>2.2000000000000002</v>
      </c>
      <c r="CM17" s="615">
        <v>2.5</v>
      </c>
      <c r="CN17" s="613">
        <v>168.3</v>
      </c>
      <c r="CO17" s="613">
        <v>454.6</v>
      </c>
      <c r="CP17" s="615">
        <v>275.7</v>
      </c>
      <c r="CQ17" s="615">
        <v>12.9</v>
      </c>
      <c r="CR17" s="615">
        <v>0.77</v>
      </c>
      <c r="CS17" s="386">
        <v>0</v>
      </c>
      <c r="CT17" s="386">
        <v>16.088000000000001</v>
      </c>
      <c r="CU17" s="386">
        <v>40</v>
      </c>
      <c r="CV17" s="499">
        <v>0</v>
      </c>
      <c r="CW17" s="499">
        <v>0</v>
      </c>
      <c r="CX17" s="499">
        <v>0</v>
      </c>
      <c r="CY17" s="499">
        <v>0</v>
      </c>
      <c r="CZ17" s="877">
        <v>502</v>
      </c>
      <c r="DA17" s="877">
        <v>789</v>
      </c>
      <c r="DB17" s="782">
        <v>401</v>
      </c>
      <c r="DC17" s="609">
        <v>1080.3599999999999</v>
      </c>
      <c r="DD17" s="1153">
        <f t="shared" si="16"/>
        <v>1.1399999999998727</v>
      </c>
      <c r="DE17" s="1154">
        <f t="shared" si="17"/>
        <v>0</v>
      </c>
      <c r="DF17" s="1154">
        <f t="shared" si="18"/>
        <v>291</v>
      </c>
      <c r="DG17" s="1154">
        <f t="shared" si="19"/>
        <v>539</v>
      </c>
      <c r="DH17" s="1155" t="str">
        <f t="shared" si="20"/>
        <v>Palm</v>
      </c>
      <c r="DI17" s="1146">
        <f t="shared" si="21"/>
        <v>388</v>
      </c>
      <c r="DJ17" s="1146">
        <f t="shared" si="22"/>
        <v>0</v>
      </c>
      <c r="DK17" s="1154">
        <f t="shared" si="23"/>
        <v>0</v>
      </c>
      <c r="DL17" s="615"/>
      <c r="DM17" s="643"/>
      <c r="DN17" s="615"/>
      <c r="DO17" s="499"/>
      <c r="DP17" s="499"/>
      <c r="DQ17" s="499"/>
      <c r="DR17" s="499"/>
      <c r="DS17" s="499"/>
      <c r="DT17" s="499"/>
      <c r="DU17" s="499"/>
      <c r="DV17" s="499"/>
      <c r="DW17" s="499"/>
      <c r="DX17" s="499"/>
      <c r="DY17" s="499"/>
      <c r="DZ17" s="499"/>
      <c r="EA17" s="499"/>
      <c r="EB17" s="499"/>
      <c r="EC17" s="499"/>
      <c r="ED17" s="499"/>
      <c r="EE17" s="499"/>
      <c r="EF17" s="499"/>
      <c r="EG17" s="1146">
        <f t="shared" si="24"/>
        <v>10</v>
      </c>
      <c r="EH17" s="630">
        <v>0</v>
      </c>
      <c r="EI17" s="642">
        <v>1</v>
      </c>
      <c r="EJ17" s="642">
        <v>2.5</v>
      </c>
      <c r="EK17" s="642">
        <v>6.5</v>
      </c>
      <c r="EL17" s="499"/>
      <c r="EM17" s="499"/>
      <c r="EN17" s="499"/>
      <c r="EO17" s="499"/>
      <c r="EP17" s="499"/>
      <c r="EQ17" s="499"/>
      <c r="ER17" s="499"/>
      <c r="ES17" s="388"/>
      <c r="ET17" s="388"/>
      <c r="EV17" s="1167">
        <f t="shared" si="12"/>
        <v>15.469999999999999</v>
      </c>
    </row>
    <row r="18" spans="1:152" s="350" customFormat="1" ht="15" x14ac:dyDescent="0.25">
      <c r="A18" s="632" t="s">
        <v>4</v>
      </c>
      <c r="B18" s="662">
        <v>42744</v>
      </c>
      <c r="C18" s="1132" t="s">
        <v>904</v>
      </c>
      <c r="D18" s="636">
        <v>0.21</v>
      </c>
      <c r="E18" s="636">
        <v>1</v>
      </c>
      <c r="F18" s="636">
        <v>32</v>
      </c>
      <c r="G18" s="739">
        <v>0.6</v>
      </c>
      <c r="H18" s="739">
        <v>2.29</v>
      </c>
      <c r="I18" s="739">
        <v>0</v>
      </c>
      <c r="J18" s="636">
        <v>0</v>
      </c>
      <c r="K18" s="739">
        <v>2.0699999999999998</v>
      </c>
      <c r="L18" s="741">
        <v>0</v>
      </c>
      <c r="M18" s="739">
        <v>19.8</v>
      </c>
      <c r="N18" s="739">
        <v>1.26</v>
      </c>
      <c r="O18" s="739">
        <v>1.4016561989576981</v>
      </c>
      <c r="P18" s="739">
        <v>1.27</v>
      </c>
      <c r="Q18" s="739">
        <v>0.59704102928871694</v>
      </c>
      <c r="R18" s="782">
        <v>867.39636627906975</v>
      </c>
      <c r="S18" s="739">
        <v>8.17</v>
      </c>
      <c r="T18" s="739">
        <v>8.4600000000000009</v>
      </c>
      <c r="U18" s="739">
        <v>0.95</v>
      </c>
      <c r="V18" s="739">
        <v>0.89</v>
      </c>
      <c r="W18" s="739">
        <v>34.519999999999996</v>
      </c>
      <c r="X18" s="644">
        <v>35.06</v>
      </c>
      <c r="Y18" s="739">
        <v>26.6</v>
      </c>
      <c r="Z18" s="739">
        <v>30.4</v>
      </c>
      <c r="AA18" s="739">
        <v>26.64</v>
      </c>
      <c r="AB18" s="739">
        <v>35</v>
      </c>
      <c r="AC18" s="1160">
        <f t="shared" si="13"/>
        <v>61.64</v>
      </c>
      <c r="AD18" s="1160">
        <f t="shared" si="14"/>
        <v>95.357079999999996</v>
      </c>
      <c r="AE18" s="1160">
        <f t="shared" si="15"/>
        <v>95.357079999999996</v>
      </c>
      <c r="AF18" s="542"/>
      <c r="AG18" s="1160">
        <f t="shared" si="2"/>
        <v>0</v>
      </c>
      <c r="AH18" s="351"/>
      <c r="AI18" s="351"/>
      <c r="AJ18" s="2"/>
      <c r="AK18" s="388"/>
      <c r="AL18" s="388"/>
      <c r="AM18" s="388"/>
      <c r="AN18" s="388"/>
      <c r="AO18" s="370"/>
      <c r="AP18" s="370"/>
      <c r="AQ18" s="386"/>
      <c r="AR18" s="551">
        <v>0</v>
      </c>
      <c r="AS18" s="386">
        <v>22.2</v>
      </c>
      <c r="AT18" s="386">
        <v>0</v>
      </c>
      <c r="AU18" s="386">
        <v>0</v>
      </c>
      <c r="AV18" s="636">
        <v>514.79999999999995</v>
      </c>
      <c r="AW18" s="636">
        <v>612.9</v>
      </c>
      <c r="AX18" s="386">
        <v>0</v>
      </c>
      <c r="AY18" s="551">
        <v>0</v>
      </c>
      <c r="AZ18" s="551">
        <v>0</v>
      </c>
      <c r="BA18" s="551">
        <v>0</v>
      </c>
      <c r="BB18" s="975">
        <v>0</v>
      </c>
      <c r="BC18" s="386">
        <v>0.23</v>
      </c>
      <c r="BD18" s="386">
        <v>1.5</v>
      </c>
      <c r="BE18" s="551">
        <v>0</v>
      </c>
      <c r="BF18" s="386">
        <v>0.76</v>
      </c>
      <c r="BG18" s="386">
        <v>0</v>
      </c>
      <c r="BH18" s="551">
        <v>0</v>
      </c>
      <c r="BI18" s="386">
        <v>1.01</v>
      </c>
      <c r="BJ18" s="386">
        <v>31.5</v>
      </c>
      <c r="BK18" s="386">
        <v>3.09</v>
      </c>
      <c r="BL18" s="386">
        <v>3.39</v>
      </c>
      <c r="BM18" s="386">
        <v>0</v>
      </c>
      <c r="BN18" s="386">
        <v>24.9</v>
      </c>
      <c r="BO18" s="612">
        <v>906.6</v>
      </c>
      <c r="BP18" s="614">
        <v>1.6</v>
      </c>
      <c r="BQ18" s="615">
        <v>19.5</v>
      </c>
      <c r="BR18" s="615">
        <v>20.3</v>
      </c>
      <c r="BS18" s="615">
        <v>14.3</v>
      </c>
      <c r="BT18" s="615">
        <v>7.5</v>
      </c>
      <c r="BU18" s="614">
        <v>24.2</v>
      </c>
      <c r="BV18" s="614">
        <v>22</v>
      </c>
      <c r="BW18" s="615">
        <v>567.1</v>
      </c>
      <c r="BX18" s="791"/>
      <c r="BY18" s="615">
        <v>0</v>
      </c>
      <c r="BZ18" s="615">
        <v>1.35</v>
      </c>
      <c r="CA18" s="615">
        <v>1.3</v>
      </c>
      <c r="CB18" s="615">
        <v>8.4</v>
      </c>
      <c r="CC18" s="615">
        <v>8.3000000000000007</v>
      </c>
      <c r="CD18" s="615">
        <v>14.2</v>
      </c>
      <c r="CE18" s="615">
        <v>30.7</v>
      </c>
      <c r="CF18" s="615">
        <v>13.2</v>
      </c>
      <c r="CG18" s="615">
        <v>6.6</v>
      </c>
      <c r="CH18" s="615">
        <v>12.1</v>
      </c>
      <c r="CI18" s="615">
        <v>16.100000000000001</v>
      </c>
      <c r="CJ18" s="615">
        <v>12</v>
      </c>
      <c r="CK18" s="615">
        <v>526.5</v>
      </c>
      <c r="CL18" s="615">
        <v>1.5</v>
      </c>
      <c r="CM18" s="613">
        <v>2.6</v>
      </c>
      <c r="CN18" s="613">
        <v>111.4</v>
      </c>
      <c r="CO18" s="613">
        <v>435.6</v>
      </c>
      <c r="CP18" s="613">
        <v>360.9</v>
      </c>
      <c r="CQ18" s="615">
        <v>13.3</v>
      </c>
      <c r="CR18" s="615">
        <v>0.81</v>
      </c>
      <c r="CS18" s="386">
        <v>0</v>
      </c>
      <c r="CT18" s="386">
        <v>16.503</v>
      </c>
      <c r="CU18" s="386">
        <v>39</v>
      </c>
      <c r="CV18" s="499">
        <v>0</v>
      </c>
      <c r="CW18" s="499">
        <v>0</v>
      </c>
      <c r="CX18" s="499">
        <v>0</v>
      </c>
      <c r="CY18" s="499">
        <v>0</v>
      </c>
      <c r="CZ18" s="877">
        <v>616</v>
      </c>
      <c r="DA18" s="877">
        <v>923</v>
      </c>
      <c r="DB18" s="782">
        <v>518</v>
      </c>
      <c r="DC18" s="609">
        <v>1079.08</v>
      </c>
      <c r="DD18" s="1153">
        <f t="shared" si="16"/>
        <v>-1.2799999999999727</v>
      </c>
      <c r="DE18" s="1154">
        <f t="shared" si="17"/>
        <v>0</v>
      </c>
      <c r="DF18" s="1154">
        <f t="shared" si="18"/>
        <v>408</v>
      </c>
      <c r="DG18" s="1154">
        <f t="shared" si="19"/>
        <v>673</v>
      </c>
      <c r="DH18" s="1155" t="str">
        <f t="shared" si="20"/>
        <v>Palm</v>
      </c>
      <c r="DI18" s="1146">
        <f t="shared" si="21"/>
        <v>405</v>
      </c>
      <c r="DJ18" s="1146">
        <f t="shared" si="22"/>
        <v>0</v>
      </c>
      <c r="DK18" s="1154">
        <f t="shared" si="23"/>
        <v>0</v>
      </c>
      <c r="DL18" s="615"/>
      <c r="DM18" s="643"/>
      <c r="DN18" s="615"/>
      <c r="DO18" s="499"/>
      <c r="DP18" s="499"/>
      <c r="DQ18" s="499"/>
      <c r="DR18" s="499"/>
      <c r="DS18" s="499"/>
      <c r="DT18" s="499"/>
      <c r="DU18" s="499"/>
      <c r="DV18" s="499"/>
      <c r="DW18" s="499"/>
      <c r="DX18" s="499"/>
      <c r="DY18" s="499"/>
      <c r="DZ18" s="499"/>
      <c r="EA18" s="499"/>
      <c r="EB18" s="499"/>
      <c r="EC18" s="499"/>
      <c r="ED18" s="499"/>
      <c r="EE18" s="499"/>
      <c r="EF18" s="499"/>
      <c r="EG18" s="1146">
        <f t="shared" si="24"/>
        <v>10</v>
      </c>
      <c r="EH18" s="630">
        <v>0</v>
      </c>
      <c r="EI18" s="642">
        <v>1</v>
      </c>
      <c r="EJ18" s="642">
        <v>2.5</v>
      </c>
      <c r="EK18" s="642">
        <v>6.5</v>
      </c>
      <c r="EL18" s="499"/>
      <c r="EM18" s="499"/>
      <c r="EN18" s="499"/>
      <c r="EO18" s="499"/>
      <c r="EP18" s="499"/>
      <c r="EQ18" s="499"/>
      <c r="ER18" s="499"/>
      <c r="ES18" s="388"/>
      <c r="ET18" s="388"/>
      <c r="EV18" s="1167">
        <f t="shared" si="12"/>
        <v>15.469999999999999</v>
      </c>
    </row>
    <row r="19" spans="1:152" s="350" customFormat="1" ht="15" x14ac:dyDescent="0.25">
      <c r="A19" s="632" t="s">
        <v>5</v>
      </c>
      <c r="B19" s="662">
        <v>42745</v>
      </c>
      <c r="C19" s="1132" t="s">
        <v>904</v>
      </c>
      <c r="D19" s="636">
        <v>0.02</v>
      </c>
      <c r="E19" s="636">
        <v>1</v>
      </c>
      <c r="F19" s="636">
        <v>31</v>
      </c>
      <c r="G19" s="739">
        <v>0.6</v>
      </c>
      <c r="H19" s="739">
        <v>1.57</v>
      </c>
      <c r="I19" s="739">
        <v>15</v>
      </c>
      <c r="J19" s="636">
        <v>0</v>
      </c>
      <c r="K19" s="739">
        <v>1.57</v>
      </c>
      <c r="L19" s="741">
        <v>0</v>
      </c>
      <c r="M19" s="739">
        <v>19.8</v>
      </c>
      <c r="N19" s="739">
        <v>1.27</v>
      </c>
      <c r="O19" s="739">
        <v>1.39</v>
      </c>
      <c r="P19" s="739">
        <v>1.27</v>
      </c>
      <c r="Q19" s="739">
        <v>0.59</v>
      </c>
      <c r="R19" s="782">
        <v>837.06</v>
      </c>
      <c r="S19" s="739">
        <v>8.16</v>
      </c>
      <c r="T19" s="739">
        <v>8.4600000000000009</v>
      </c>
      <c r="U19" s="739">
        <v>0.71</v>
      </c>
      <c r="V19" s="739">
        <v>0.85</v>
      </c>
      <c r="W19" s="739">
        <v>36.14</v>
      </c>
      <c r="X19" s="644">
        <v>36.32</v>
      </c>
      <c r="Y19" s="739">
        <v>26.64</v>
      </c>
      <c r="Z19" s="739">
        <v>35</v>
      </c>
      <c r="AA19" s="739">
        <v>26.66</v>
      </c>
      <c r="AB19" s="739">
        <v>33</v>
      </c>
      <c r="AC19" s="1160">
        <f t="shared" si="13"/>
        <v>59.66</v>
      </c>
      <c r="AD19" s="1160">
        <f t="shared" si="14"/>
        <v>92.294019999999989</v>
      </c>
      <c r="AE19" s="1160">
        <f t="shared" si="15"/>
        <v>92.294019999999989</v>
      </c>
      <c r="AF19" s="542"/>
      <c r="AG19" s="1160">
        <f t="shared" si="2"/>
        <v>0</v>
      </c>
      <c r="AH19" s="351"/>
      <c r="AI19" s="351"/>
      <c r="AJ19" s="2"/>
      <c r="AK19" s="388"/>
      <c r="AL19" s="388"/>
      <c r="AM19" s="388"/>
      <c r="AN19" s="388"/>
      <c r="AO19" s="370"/>
      <c r="AP19" s="370"/>
      <c r="AQ19" s="386"/>
      <c r="AR19" s="551">
        <v>0</v>
      </c>
      <c r="AS19" s="386">
        <v>10.8</v>
      </c>
      <c r="AT19" s="386">
        <v>0</v>
      </c>
      <c r="AU19" s="386">
        <v>0</v>
      </c>
      <c r="AV19" s="636">
        <v>440.8</v>
      </c>
      <c r="AW19" s="636">
        <v>342.4</v>
      </c>
      <c r="AX19" s="386">
        <v>0</v>
      </c>
      <c r="AY19" s="551">
        <v>0</v>
      </c>
      <c r="AZ19" s="551">
        <v>0</v>
      </c>
      <c r="BA19" s="551">
        <v>0</v>
      </c>
      <c r="BB19" s="975">
        <v>0</v>
      </c>
      <c r="BC19" s="386">
        <v>0.04</v>
      </c>
      <c r="BD19" s="386">
        <v>1.5</v>
      </c>
      <c r="BE19" s="551">
        <v>0</v>
      </c>
      <c r="BF19" s="386">
        <v>1</v>
      </c>
      <c r="BG19" s="386">
        <v>0</v>
      </c>
      <c r="BH19" s="551">
        <v>0</v>
      </c>
      <c r="BI19" s="386">
        <v>1.01</v>
      </c>
      <c r="BJ19" s="386">
        <v>29.3</v>
      </c>
      <c r="BK19" s="386">
        <v>3.26</v>
      </c>
      <c r="BL19" s="386">
        <v>3.39</v>
      </c>
      <c r="BM19" s="386">
        <v>0</v>
      </c>
      <c r="BN19" s="386">
        <v>22.7</v>
      </c>
      <c r="BO19" s="612">
        <v>901.6</v>
      </c>
      <c r="BP19" s="614">
        <v>5.8</v>
      </c>
      <c r="BQ19" s="615">
        <v>20</v>
      </c>
      <c r="BR19" s="615">
        <v>20.7</v>
      </c>
      <c r="BS19" s="615">
        <v>14.6</v>
      </c>
      <c r="BT19" s="615">
        <v>7.8</v>
      </c>
      <c r="BU19" s="614">
        <v>24.7</v>
      </c>
      <c r="BV19" s="614">
        <v>27.6</v>
      </c>
      <c r="BW19" s="615">
        <v>508.8</v>
      </c>
      <c r="BX19" s="791"/>
      <c r="BY19" s="615">
        <v>0</v>
      </c>
      <c r="BZ19" s="615">
        <v>1.33</v>
      </c>
      <c r="CA19" s="615">
        <v>1.3</v>
      </c>
      <c r="CB19" s="615">
        <v>8.3000000000000007</v>
      </c>
      <c r="CC19" s="615">
        <v>8.4</v>
      </c>
      <c r="CD19" s="615">
        <v>15.1</v>
      </c>
      <c r="CE19" s="615">
        <v>30.8</v>
      </c>
      <c r="CF19" s="615">
        <v>12.3</v>
      </c>
      <c r="CG19" s="615">
        <v>5.6</v>
      </c>
      <c r="CH19" s="615">
        <v>11</v>
      </c>
      <c r="CI19" s="615">
        <v>14.9</v>
      </c>
      <c r="CJ19" s="615">
        <v>13</v>
      </c>
      <c r="CK19" s="615">
        <v>590</v>
      </c>
      <c r="CL19" s="615">
        <v>2.4</v>
      </c>
      <c r="CM19" s="613">
        <v>1.7</v>
      </c>
      <c r="CN19" s="613">
        <v>128.19999999999999</v>
      </c>
      <c r="CO19" s="613">
        <v>406.8</v>
      </c>
      <c r="CP19" s="613">
        <v>358.1</v>
      </c>
      <c r="CQ19" s="615">
        <v>13.3</v>
      </c>
      <c r="CR19" s="615">
        <v>0.83</v>
      </c>
      <c r="CS19" s="386">
        <v>0</v>
      </c>
      <c r="CT19" s="386">
        <v>16.132000000000001</v>
      </c>
      <c r="CU19" s="386">
        <v>39</v>
      </c>
      <c r="CV19" s="499">
        <v>0</v>
      </c>
      <c r="CW19" s="499">
        <v>0</v>
      </c>
      <c r="CX19" s="499">
        <v>0</v>
      </c>
      <c r="CY19" s="499">
        <v>0</v>
      </c>
      <c r="CZ19" s="877">
        <v>557</v>
      </c>
      <c r="DA19" s="877">
        <v>917</v>
      </c>
      <c r="DB19" s="782">
        <v>465</v>
      </c>
      <c r="DC19" s="609">
        <v>1076.7</v>
      </c>
      <c r="DD19" s="1153">
        <f t="shared" si="16"/>
        <v>-2.3799999999998818</v>
      </c>
      <c r="DE19" s="1154">
        <f t="shared" si="17"/>
        <v>0</v>
      </c>
      <c r="DF19" s="1154">
        <f t="shared" si="18"/>
        <v>355</v>
      </c>
      <c r="DG19" s="1154">
        <f t="shared" si="19"/>
        <v>667</v>
      </c>
      <c r="DH19" s="1155" t="str">
        <f t="shared" si="20"/>
        <v>Palm</v>
      </c>
      <c r="DI19" s="1146">
        <f t="shared" si="21"/>
        <v>452</v>
      </c>
      <c r="DJ19" s="1146">
        <f t="shared" si="22"/>
        <v>0</v>
      </c>
      <c r="DK19" s="1154">
        <f t="shared" si="23"/>
        <v>0</v>
      </c>
      <c r="DL19" s="615"/>
      <c r="DM19" s="643"/>
      <c r="DN19" s="615"/>
      <c r="DO19" s="499"/>
      <c r="DP19" s="499"/>
      <c r="DQ19" s="499"/>
      <c r="DR19" s="499"/>
      <c r="DS19" s="499"/>
      <c r="DT19" s="499"/>
      <c r="DU19" s="499"/>
      <c r="DV19" s="499"/>
      <c r="DW19" s="499"/>
      <c r="DX19" s="499"/>
      <c r="DY19" s="499"/>
      <c r="DZ19" s="499"/>
      <c r="EA19" s="499"/>
      <c r="EB19" s="499"/>
      <c r="EC19" s="499"/>
      <c r="ED19" s="499"/>
      <c r="EE19" s="499"/>
      <c r="EF19" s="499"/>
      <c r="EG19" s="1146">
        <f t="shared" si="24"/>
        <v>10</v>
      </c>
      <c r="EH19" s="630">
        <v>0</v>
      </c>
      <c r="EI19" s="642">
        <v>1</v>
      </c>
      <c r="EJ19" s="642">
        <v>2.5</v>
      </c>
      <c r="EK19" s="642">
        <v>6.5</v>
      </c>
      <c r="EL19" s="499"/>
      <c r="EM19" s="499"/>
      <c r="EN19" s="499"/>
      <c r="EO19" s="499"/>
      <c r="EP19" s="499"/>
      <c r="EQ19" s="499"/>
      <c r="ER19" s="499"/>
      <c r="ES19" s="388"/>
      <c r="ET19" s="388"/>
      <c r="EV19" s="1167">
        <f t="shared" si="12"/>
        <v>15.469999999999999</v>
      </c>
    </row>
    <row r="20" spans="1:152" s="350" customFormat="1" ht="15" x14ac:dyDescent="0.25">
      <c r="A20" s="632" t="s">
        <v>6</v>
      </c>
      <c r="B20" s="662">
        <v>42746</v>
      </c>
      <c r="C20" s="1132" t="s">
        <v>904</v>
      </c>
      <c r="D20" s="636">
        <v>0</v>
      </c>
      <c r="E20" s="636">
        <v>1</v>
      </c>
      <c r="F20" s="636">
        <v>28</v>
      </c>
      <c r="G20" s="739">
        <v>0.6</v>
      </c>
      <c r="H20" s="739">
        <v>4.93</v>
      </c>
      <c r="I20" s="739">
        <v>17</v>
      </c>
      <c r="J20" s="636">
        <v>0</v>
      </c>
      <c r="K20" s="739">
        <v>3.9</v>
      </c>
      <c r="L20" s="741">
        <v>0</v>
      </c>
      <c r="M20" s="739">
        <v>19.7</v>
      </c>
      <c r="N20" s="739">
        <v>1.2490000000000001</v>
      </c>
      <c r="O20" s="739">
        <v>1.3972325174111719</v>
      </c>
      <c r="P20" s="739">
        <v>1.256</v>
      </c>
      <c r="Q20" s="739">
        <v>0.5883416021581338</v>
      </c>
      <c r="R20" s="782">
        <v>816.05930232558137</v>
      </c>
      <c r="S20" s="739">
        <v>8.1199999999999992</v>
      </c>
      <c r="T20" s="739">
        <v>8.4700000000000006</v>
      </c>
      <c r="U20" s="739">
        <v>0.82899999999999996</v>
      </c>
      <c r="V20" s="739">
        <v>0.84399999999999997</v>
      </c>
      <c r="W20" s="739">
        <v>37.22</v>
      </c>
      <c r="X20" s="644">
        <v>37.760000000000005</v>
      </c>
      <c r="Y20" s="739">
        <v>26.66</v>
      </c>
      <c r="Z20" s="739">
        <v>33</v>
      </c>
      <c r="AA20" s="739">
        <v>26.6</v>
      </c>
      <c r="AB20" s="739">
        <v>31</v>
      </c>
      <c r="AC20" s="1160">
        <f t="shared" si="13"/>
        <v>57.6</v>
      </c>
      <c r="AD20" s="1160">
        <f t="shared" si="14"/>
        <v>89.107199999999992</v>
      </c>
      <c r="AE20" s="1160">
        <f t="shared" si="15"/>
        <v>89.107199999999992</v>
      </c>
      <c r="AF20" s="542"/>
      <c r="AG20" s="1160">
        <f t="shared" si="2"/>
        <v>0</v>
      </c>
      <c r="AH20" s="351"/>
      <c r="AI20" s="351"/>
      <c r="AJ20" s="2"/>
      <c r="AK20" s="388"/>
      <c r="AL20" s="388"/>
      <c r="AM20" s="388"/>
      <c r="AN20" s="388"/>
      <c r="AO20" s="370"/>
      <c r="AP20" s="370"/>
      <c r="AQ20" s="386"/>
      <c r="AR20" s="551">
        <v>0</v>
      </c>
      <c r="AS20" s="386">
        <v>21.6</v>
      </c>
      <c r="AT20" s="386">
        <v>0</v>
      </c>
      <c r="AU20" s="386">
        <v>0</v>
      </c>
      <c r="AV20" s="636">
        <v>305.39999999999998</v>
      </c>
      <c r="AW20" s="636">
        <v>345.4</v>
      </c>
      <c r="AX20" s="386">
        <v>0</v>
      </c>
      <c r="AY20" s="551">
        <v>0</v>
      </c>
      <c r="AZ20" s="551">
        <v>0</v>
      </c>
      <c r="BA20" s="551">
        <v>0</v>
      </c>
      <c r="BB20" s="975">
        <v>0</v>
      </c>
      <c r="BC20" s="386">
        <v>0.34</v>
      </c>
      <c r="BD20" s="386">
        <v>1.5</v>
      </c>
      <c r="BE20" s="551">
        <v>0</v>
      </c>
      <c r="BF20" s="386">
        <v>0.66</v>
      </c>
      <c r="BG20" s="386">
        <v>0</v>
      </c>
      <c r="BH20" s="551">
        <v>0</v>
      </c>
      <c r="BI20" s="386">
        <v>1.01</v>
      </c>
      <c r="BJ20" s="386">
        <v>27.4</v>
      </c>
      <c r="BK20" s="386">
        <v>2.89</v>
      </c>
      <c r="BL20" s="386">
        <v>3.39</v>
      </c>
      <c r="BM20" s="386">
        <v>0</v>
      </c>
      <c r="BN20" s="386">
        <v>21.2</v>
      </c>
      <c r="BO20" s="612">
        <v>951.2</v>
      </c>
      <c r="BP20" s="614">
        <v>3.1</v>
      </c>
      <c r="BQ20" s="615">
        <v>19.899999999999999</v>
      </c>
      <c r="BR20" s="615">
        <v>20.6</v>
      </c>
      <c r="BS20" s="615">
        <v>14.7</v>
      </c>
      <c r="BT20" s="615">
        <v>7.9</v>
      </c>
      <c r="BU20" s="614">
        <v>24.8</v>
      </c>
      <c r="BV20" s="614">
        <v>29.2</v>
      </c>
      <c r="BW20" s="615">
        <v>430.7</v>
      </c>
      <c r="BX20" s="791"/>
      <c r="BY20" s="615">
        <v>0</v>
      </c>
      <c r="BZ20" s="615">
        <v>1.21</v>
      </c>
      <c r="CA20" s="615">
        <v>1.3</v>
      </c>
      <c r="CB20" s="615">
        <v>8.3000000000000007</v>
      </c>
      <c r="CC20" s="615">
        <v>8.4</v>
      </c>
      <c r="CD20" s="615">
        <v>16.100000000000001</v>
      </c>
      <c r="CE20" s="615">
        <v>31</v>
      </c>
      <c r="CF20" s="615">
        <v>15.4</v>
      </c>
      <c r="CG20" s="615">
        <v>5.0999999999999996</v>
      </c>
      <c r="CH20" s="615">
        <v>10.4</v>
      </c>
      <c r="CI20" s="615">
        <v>14.4</v>
      </c>
      <c r="CJ20" s="615">
        <v>14</v>
      </c>
      <c r="CK20" s="615">
        <v>576.6</v>
      </c>
      <c r="CL20" s="615">
        <v>1.9</v>
      </c>
      <c r="CM20" s="613">
        <v>0.6</v>
      </c>
      <c r="CN20" s="613">
        <v>156.30000000000001</v>
      </c>
      <c r="CO20" s="613">
        <v>398.6</v>
      </c>
      <c r="CP20" s="613">
        <v>319</v>
      </c>
      <c r="CQ20" s="615">
        <v>13.1</v>
      </c>
      <c r="CR20" s="615">
        <v>0.84</v>
      </c>
      <c r="CS20" s="386">
        <v>0</v>
      </c>
      <c r="CT20" s="386">
        <v>14.755000000000001</v>
      </c>
      <c r="CU20" s="386">
        <v>39</v>
      </c>
      <c r="CV20" s="499">
        <v>0</v>
      </c>
      <c r="CW20" s="499">
        <v>0</v>
      </c>
      <c r="CX20" s="499">
        <v>0</v>
      </c>
      <c r="CY20" s="499">
        <v>0</v>
      </c>
      <c r="CZ20" s="877">
        <v>439</v>
      </c>
      <c r="DA20" s="877">
        <v>788</v>
      </c>
      <c r="DB20" s="782">
        <v>356</v>
      </c>
      <c r="DC20" s="609">
        <v>1074.98</v>
      </c>
      <c r="DD20" s="1153">
        <f t="shared" si="16"/>
        <v>-1.7200000000000273</v>
      </c>
      <c r="DE20" s="1154">
        <f t="shared" si="17"/>
        <v>0</v>
      </c>
      <c r="DF20" s="1154">
        <f t="shared" si="18"/>
        <v>246</v>
      </c>
      <c r="DG20" s="1154">
        <f t="shared" si="19"/>
        <v>538</v>
      </c>
      <c r="DH20" s="1155" t="str">
        <f t="shared" si="20"/>
        <v>Palm</v>
      </c>
      <c r="DI20" s="1146">
        <f t="shared" si="21"/>
        <v>432</v>
      </c>
      <c r="DJ20" s="1146">
        <f t="shared" si="22"/>
        <v>0</v>
      </c>
      <c r="DK20" s="1154">
        <f t="shared" si="23"/>
        <v>0</v>
      </c>
      <c r="DL20" s="615"/>
      <c r="DM20" s="643"/>
      <c r="DN20" s="615"/>
      <c r="DO20" s="499"/>
      <c r="DP20" s="499"/>
      <c r="DQ20" s="499"/>
      <c r="DR20" s="499"/>
      <c r="DS20" s="499"/>
      <c r="DT20" s="499"/>
      <c r="DU20" s="499"/>
      <c r="DV20" s="499"/>
      <c r="DW20" s="499"/>
      <c r="DX20" s="499"/>
      <c r="DY20" s="499"/>
      <c r="DZ20" s="499"/>
      <c r="EA20" s="499"/>
      <c r="EB20" s="499"/>
      <c r="EC20" s="499"/>
      <c r="ED20" s="499"/>
      <c r="EE20" s="499"/>
      <c r="EF20" s="499"/>
      <c r="EG20" s="1146">
        <f t="shared" si="24"/>
        <v>10</v>
      </c>
      <c r="EH20" s="630">
        <v>0</v>
      </c>
      <c r="EI20" s="642">
        <v>1</v>
      </c>
      <c r="EJ20" s="642">
        <v>2.5</v>
      </c>
      <c r="EK20" s="642">
        <v>6.5</v>
      </c>
      <c r="EL20" s="499"/>
      <c r="EM20" s="499"/>
      <c r="EN20" s="499"/>
      <c r="EO20" s="499"/>
      <c r="EP20" s="499"/>
      <c r="EQ20" s="499"/>
      <c r="ER20" s="499"/>
      <c r="ES20" s="388"/>
      <c r="ET20" s="388"/>
      <c r="EV20" s="1167">
        <f t="shared" si="12"/>
        <v>15.469999999999999</v>
      </c>
    </row>
    <row r="21" spans="1:152" s="350" customFormat="1" ht="15" x14ac:dyDescent="0.25">
      <c r="A21" s="632" t="s">
        <v>7</v>
      </c>
      <c r="B21" s="662">
        <v>42747</v>
      </c>
      <c r="C21" s="1132" t="s">
        <v>904</v>
      </c>
      <c r="D21" s="636">
        <v>0</v>
      </c>
      <c r="E21" s="636">
        <v>1</v>
      </c>
      <c r="F21" s="636">
        <v>24</v>
      </c>
      <c r="G21" s="739">
        <v>0.55000000000000004</v>
      </c>
      <c r="H21" s="739">
        <v>4.62</v>
      </c>
      <c r="I21" s="739">
        <v>16.5</v>
      </c>
      <c r="J21" s="636">
        <v>0</v>
      </c>
      <c r="K21" s="739">
        <v>3.81</v>
      </c>
      <c r="L21" s="741">
        <v>0</v>
      </c>
      <c r="M21" s="739">
        <v>19.399999999999999</v>
      </c>
      <c r="N21" s="739">
        <v>1.232</v>
      </c>
      <c r="O21" s="739">
        <v>1.4128761969906443</v>
      </c>
      <c r="P21" s="739">
        <v>1.2170000000000001</v>
      </c>
      <c r="Q21" s="739">
        <v>0.59741416765795874</v>
      </c>
      <c r="R21" s="782">
        <v>811.05893895348845</v>
      </c>
      <c r="S21" s="739">
        <v>8.18</v>
      </c>
      <c r="T21" s="739">
        <v>8.4</v>
      </c>
      <c r="U21" s="739">
        <v>0.70099999999999996</v>
      </c>
      <c r="V21" s="739">
        <v>0.80900000000000005</v>
      </c>
      <c r="W21" s="739">
        <v>35.600000000000009</v>
      </c>
      <c r="X21" s="644">
        <v>35.600000000000009</v>
      </c>
      <c r="Y21" s="739">
        <v>26.6</v>
      </c>
      <c r="Z21" s="739">
        <v>31</v>
      </c>
      <c r="AA21" s="739">
        <v>26.5</v>
      </c>
      <c r="AB21" s="739">
        <v>30.9</v>
      </c>
      <c r="AC21" s="1160">
        <f t="shared" si="13"/>
        <v>57.4</v>
      </c>
      <c r="AD21" s="1160">
        <f t="shared" si="14"/>
        <v>88.797799999999995</v>
      </c>
      <c r="AE21" s="1160">
        <f t="shared" si="15"/>
        <v>88.797799999999995</v>
      </c>
      <c r="AF21" s="542"/>
      <c r="AG21" s="1160">
        <f t="shared" si="2"/>
        <v>0</v>
      </c>
      <c r="AH21" s="351"/>
      <c r="AI21" s="351"/>
      <c r="AJ21" s="2"/>
      <c r="AK21" s="388"/>
      <c r="AL21" s="388"/>
      <c r="AM21" s="388"/>
      <c r="AN21" s="388"/>
      <c r="AO21" s="370"/>
      <c r="AP21" s="370"/>
      <c r="AQ21" s="386"/>
      <c r="AR21" s="551">
        <v>0</v>
      </c>
      <c r="AS21" s="386">
        <v>17.100000000000001</v>
      </c>
      <c r="AT21" s="386">
        <v>0</v>
      </c>
      <c r="AU21" s="386">
        <v>0</v>
      </c>
      <c r="AV21" s="636">
        <v>334.8</v>
      </c>
      <c r="AW21" s="636">
        <v>457.7</v>
      </c>
      <c r="AX21" s="386">
        <v>0</v>
      </c>
      <c r="AY21" s="551">
        <v>0</v>
      </c>
      <c r="AZ21" s="551">
        <v>0</v>
      </c>
      <c r="BA21" s="551">
        <v>0</v>
      </c>
      <c r="BB21" s="975">
        <v>0</v>
      </c>
      <c r="BC21" s="386">
        <v>0.49</v>
      </c>
      <c r="BD21" s="386">
        <v>1.5</v>
      </c>
      <c r="BE21" s="551">
        <v>0</v>
      </c>
      <c r="BF21" s="386">
        <v>0.5</v>
      </c>
      <c r="BG21" s="386">
        <v>0</v>
      </c>
      <c r="BH21" s="551">
        <v>0</v>
      </c>
      <c r="BI21" s="386">
        <v>1</v>
      </c>
      <c r="BJ21" s="386">
        <v>27.5</v>
      </c>
      <c r="BK21" s="386">
        <v>3.1</v>
      </c>
      <c r="BL21" s="386">
        <v>3.39</v>
      </c>
      <c r="BM21" s="386">
        <v>0</v>
      </c>
      <c r="BN21" s="386">
        <v>21.1</v>
      </c>
      <c r="BO21" s="612">
        <v>1172.2</v>
      </c>
      <c r="BP21" s="614">
        <v>11.1</v>
      </c>
      <c r="BQ21" s="615">
        <v>21.2</v>
      </c>
      <c r="BR21" s="615">
        <v>21.9</v>
      </c>
      <c r="BS21" s="615">
        <v>14.7</v>
      </c>
      <c r="BT21" s="615">
        <v>7.7</v>
      </c>
      <c r="BU21" s="614">
        <v>24.7</v>
      </c>
      <c r="BV21" s="614">
        <v>24.9</v>
      </c>
      <c r="BW21" s="615">
        <v>526.79999999999995</v>
      </c>
      <c r="BX21" s="791"/>
      <c r="BY21" s="615">
        <v>0</v>
      </c>
      <c r="BZ21" s="615">
        <v>1.07</v>
      </c>
      <c r="CA21" s="615">
        <v>1.3</v>
      </c>
      <c r="CB21" s="615">
        <v>8.1999999999999993</v>
      </c>
      <c r="CC21" s="615">
        <v>8.4</v>
      </c>
      <c r="CD21" s="615">
        <v>15.7</v>
      </c>
      <c r="CE21" s="615">
        <v>30.8</v>
      </c>
      <c r="CF21" s="615">
        <v>14.5</v>
      </c>
      <c r="CG21" s="615">
        <v>5.8</v>
      </c>
      <c r="CH21" s="615">
        <v>11</v>
      </c>
      <c r="CI21" s="615">
        <v>15.5</v>
      </c>
      <c r="CJ21" s="615">
        <v>12.7</v>
      </c>
      <c r="CK21" s="615">
        <v>468.6</v>
      </c>
      <c r="CL21" s="615">
        <v>2</v>
      </c>
      <c r="CM21" s="613">
        <v>2.2999999999999998</v>
      </c>
      <c r="CN21" s="613">
        <v>153.69999999999999</v>
      </c>
      <c r="CO21" s="613">
        <v>395.4</v>
      </c>
      <c r="CP21" s="613">
        <v>351.6</v>
      </c>
      <c r="CQ21" s="615">
        <v>11.6</v>
      </c>
      <c r="CR21" s="615">
        <v>0.73</v>
      </c>
      <c r="CS21" s="386">
        <v>0</v>
      </c>
      <c r="CT21" s="386">
        <v>14.808</v>
      </c>
      <c r="CU21" s="386">
        <v>39</v>
      </c>
      <c r="CV21" s="499">
        <v>0</v>
      </c>
      <c r="CW21" s="499">
        <v>0</v>
      </c>
      <c r="CX21" s="499">
        <v>0</v>
      </c>
      <c r="CY21" s="499">
        <v>0</v>
      </c>
      <c r="CZ21" s="877">
        <v>410</v>
      </c>
      <c r="DA21" s="877">
        <v>702</v>
      </c>
      <c r="DB21" s="782">
        <v>314</v>
      </c>
      <c r="DC21" s="609">
        <v>1075.02</v>
      </c>
      <c r="DD21" s="1153">
        <f t="shared" si="16"/>
        <v>3.999999999996362E-2</v>
      </c>
      <c r="DE21" s="1154">
        <f t="shared" si="17"/>
        <v>0</v>
      </c>
      <c r="DF21" s="1154">
        <f t="shared" si="18"/>
        <v>204</v>
      </c>
      <c r="DG21" s="1154">
        <f t="shared" si="19"/>
        <v>452</v>
      </c>
      <c r="DH21" s="1155" t="str">
        <f t="shared" si="20"/>
        <v>Palm</v>
      </c>
      <c r="DI21" s="1146">
        <f t="shared" si="21"/>
        <v>388</v>
      </c>
      <c r="DJ21" s="1146">
        <f t="shared" si="22"/>
        <v>0</v>
      </c>
      <c r="DK21" s="1154">
        <f t="shared" si="23"/>
        <v>0</v>
      </c>
      <c r="DL21" s="615"/>
      <c r="DM21" s="643"/>
      <c r="DN21" s="615"/>
      <c r="DO21" s="499"/>
      <c r="DP21" s="499"/>
      <c r="DQ21" s="499"/>
      <c r="DR21" s="499"/>
      <c r="DS21" s="499"/>
      <c r="DT21" s="499"/>
      <c r="DU21" s="499"/>
      <c r="DV21" s="499"/>
      <c r="DW21" s="499"/>
      <c r="DX21" s="499"/>
      <c r="DY21" s="499"/>
      <c r="DZ21" s="499"/>
      <c r="EA21" s="499"/>
      <c r="EB21" s="499"/>
      <c r="EC21" s="499"/>
      <c r="ED21" s="499"/>
      <c r="EE21" s="499"/>
      <c r="EF21" s="499"/>
      <c r="EG21" s="1146">
        <f t="shared" si="24"/>
        <v>10</v>
      </c>
      <c r="EH21" s="630">
        <v>0</v>
      </c>
      <c r="EI21" s="642">
        <v>1</v>
      </c>
      <c r="EJ21" s="642">
        <v>2.5</v>
      </c>
      <c r="EK21" s="642">
        <v>6.5</v>
      </c>
      <c r="EL21" s="499"/>
      <c r="EM21" s="499"/>
      <c r="EN21" s="499"/>
      <c r="EO21" s="499"/>
      <c r="EP21" s="499"/>
      <c r="EQ21" s="499"/>
      <c r="ER21" s="499"/>
      <c r="ES21" s="388"/>
      <c r="ET21" s="388"/>
      <c r="EV21" s="1167">
        <f t="shared" si="12"/>
        <v>15.469999999999999</v>
      </c>
    </row>
    <row r="22" spans="1:152" s="350" customFormat="1" ht="15" x14ac:dyDescent="0.25">
      <c r="A22" s="632" t="s">
        <v>8</v>
      </c>
      <c r="B22" s="662">
        <v>42748</v>
      </c>
      <c r="C22" s="1132" t="s">
        <v>904</v>
      </c>
      <c r="D22" s="636">
        <v>0</v>
      </c>
      <c r="E22" s="636">
        <v>1</v>
      </c>
      <c r="F22" s="636">
        <v>30</v>
      </c>
      <c r="G22" s="739">
        <v>0.3</v>
      </c>
      <c r="H22" s="739">
        <v>4.26</v>
      </c>
      <c r="I22" s="739">
        <v>17.399999999999999</v>
      </c>
      <c r="J22" s="636">
        <v>0</v>
      </c>
      <c r="K22" s="739">
        <v>3.5</v>
      </c>
      <c r="L22" s="741">
        <v>0</v>
      </c>
      <c r="M22" s="739">
        <v>19.399999999999999</v>
      </c>
      <c r="N22" s="739">
        <v>1.25</v>
      </c>
      <c r="O22" s="739">
        <v>1.4047545336241596</v>
      </c>
      <c r="P22" s="739">
        <v>1.23</v>
      </c>
      <c r="Q22" s="739">
        <v>0.59054061974466754</v>
      </c>
      <c r="R22" s="782">
        <v>793.39098837209303</v>
      </c>
      <c r="S22" s="739">
        <v>8.1</v>
      </c>
      <c r="T22" s="739">
        <v>8.07</v>
      </c>
      <c r="U22" s="739">
        <v>0.72</v>
      </c>
      <c r="V22" s="739">
        <v>0.84</v>
      </c>
      <c r="W22" s="739">
        <v>34.88000000000001</v>
      </c>
      <c r="X22" s="644">
        <v>35.960000000000008</v>
      </c>
      <c r="Y22" s="739">
        <v>26.5</v>
      </c>
      <c r="Z22" s="739">
        <v>30.9</v>
      </c>
      <c r="AA22" s="739">
        <v>26.57</v>
      </c>
      <c r="AB22" s="739">
        <v>29.8</v>
      </c>
      <c r="AC22" s="1160">
        <f t="shared" si="13"/>
        <v>56.370000000000005</v>
      </c>
      <c r="AD22" s="1160">
        <f t="shared" si="14"/>
        <v>87.204390000000004</v>
      </c>
      <c r="AE22" s="1160">
        <f t="shared" si="15"/>
        <v>87.204390000000004</v>
      </c>
      <c r="AF22" s="542"/>
      <c r="AG22" s="1160">
        <f t="shared" si="2"/>
        <v>0</v>
      </c>
      <c r="AH22" s="351"/>
      <c r="AI22" s="351"/>
      <c r="AJ22" s="2"/>
      <c r="AK22" s="388"/>
      <c r="AL22" s="388"/>
      <c r="AM22" s="388"/>
      <c r="AN22" s="388"/>
      <c r="AO22" s="370"/>
      <c r="AP22" s="370"/>
      <c r="AQ22" s="386"/>
      <c r="AR22" s="551">
        <v>0</v>
      </c>
      <c r="AS22" s="386">
        <v>14.5</v>
      </c>
      <c r="AT22" s="386">
        <v>0</v>
      </c>
      <c r="AU22" s="386">
        <v>0</v>
      </c>
      <c r="AV22" s="636">
        <v>385.1</v>
      </c>
      <c r="AW22" s="636">
        <v>406</v>
      </c>
      <c r="AX22" s="386">
        <v>0</v>
      </c>
      <c r="AY22" s="551">
        <v>0</v>
      </c>
      <c r="AZ22" s="551">
        <v>0</v>
      </c>
      <c r="BA22" s="551">
        <v>0</v>
      </c>
      <c r="BB22" s="975">
        <v>0</v>
      </c>
      <c r="BC22" s="386">
        <v>0.49</v>
      </c>
      <c r="BD22" s="386">
        <v>1.5</v>
      </c>
      <c r="BE22" s="551">
        <v>0</v>
      </c>
      <c r="BF22" s="386">
        <v>0.83</v>
      </c>
      <c r="BG22" s="386">
        <v>0</v>
      </c>
      <c r="BH22" s="551">
        <v>0</v>
      </c>
      <c r="BI22" s="386">
        <v>1</v>
      </c>
      <c r="BJ22" s="386">
        <v>26</v>
      </c>
      <c r="BK22" s="386">
        <v>3.08</v>
      </c>
      <c r="BL22" s="386">
        <v>3.39</v>
      </c>
      <c r="BM22" s="386">
        <v>0</v>
      </c>
      <c r="BN22" s="386">
        <v>19.600000000000001</v>
      </c>
      <c r="BO22" s="614">
        <v>1433.6</v>
      </c>
      <c r="BP22" s="614">
        <v>1.6</v>
      </c>
      <c r="BQ22" s="615">
        <v>21.3</v>
      </c>
      <c r="BR22" s="615">
        <v>21.96</v>
      </c>
      <c r="BS22" s="615">
        <v>14.73</v>
      </c>
      <c r="BT22" s="615">
        <v>7.73</v>
      </c>
      <c r="BU22" s="614">
        <v>24.7</v>
      </c>
      <c r="BV22" s="614">
        <v>29.1</v>
      </c>
      <c r="BW22" s="615">
        <v>523.6</v>
      </c>
      <c r="BX22" s="791"/>
      <c r="BY22" s="615">
        <v>0</v>
      </c>
      <c r="BZ22" s="615">
        <v>1.18</v>
      </c>
      <c r="CA22" s="615">
        <v>1.2</v>
      </c>
      <c r="CB22" s="615">
        <v>8.1999999999999993</v>
      </c>
      <c r="CC22" s="615">
        <v>8.3000000000000007</v>
      </c>
      <c r="CD22" s="615">
        <v>14.9</v>
      </c>
      <c r="CE22" s="615">
        <v>31.4</v>
      </c>
      <c r="CF22" s="615">
        <v>13.6</v>
      </c>
      <c r="CG22" s="615">
        <v>7.92</v>
      </c>
      <c r="CH22" s="615">
        <v>13.5</v>
      </c>
      <c r="CI22" s="615">
        <v>17.899999999999999</v>
      </c>
      <c r="CJ22" s="615">
        <v>12.76</v>
      </c>
      <c r="CK22" s="615">
        <v>518.79999999999995</v>
      </c>
      <c r="CL22" s="615">
        <v>1.9</v>
      </c>
      <c r="CM22" s="615">
        <v>2.6</v>
      </c>
      <c r="CN22" s="615">
        <v>119.1</v>
      </c>
      <c r="CO22" s="613">
        <v>410.4</v>
      </c>
      <c r="CP22" s="615">
        <v>361</v>
      </c>
      <c r="CQ22" s="615">
        <v>12.1</v>
      </c>
      <c r="CR22" s="615">
        <v>0.75</v>
      </c>
      <c r="CS22" s="386">
        <v>0</v>
      </c>
      <c r="CT22" s="386">
        <v>15.571</v>
      </c>
      <c r="CU22" s="386">
        <v>39</v>
      </c>
      <c r="CV22" s="499">
        <v>0</v>
      </c>
      <c r="CW22" s="499">
        <v>0</v>
      </c>
      <c r="CX22" s="499">
        <v>0</v>
      </c>
      <c r="CY22" s="499">
        <v>0</v>
      </c>
      <c r="CZ22" s="877">
        <v>351</v>
      </c>
      <c r="DA22" s="877">
        <v>646</v>
      </c>
      <c r="DB22" s="782">
        <v>254</v>
      </c>
      <c r="DC22" s="609">
        <v>1075.94</v>
      </c>
      <c r="DD22" s="1153">
        <f t="shared" si="16"/>
        <v>0.92000000000007276</v>
      </c>
      <c r="DE22" s="1154">
        <f t="shared" si="17"/>
        <v>0</v>
      </c>
      <c r="DF22" s="1154">
        <f t="shared" si="18"/>
        <v>144</v>
      </c>
      <c r="DG22" s="1154">
        <f t="shared" si="19"/>
        <v>396</v>
      </c>
      <c r="DH22" s="1155" t="str">
        <f t="shared" si="20"/>
        <v>Palm</v>
      </c>
      <c r="DI22" s="1146">
        <f t="shared" si="21"/>
        <v>392</v>
      </c>
      <c r="DJ22" s="1146">
        <f t="shared" si="22"/>
        <v>0</v>
      </c>
      <c r="DK22" s="1154">
        <f t="shared" si="23"/>
        <v>0</v>
      </c>
      <c r="DL22" s="615"/>
      <c r="DM22" s="643"/>
      <c r="DN22" s="615"/>
      <c r="DO22" s="499"/>
      <c r="DP22" s="499"/>
      <c r="DQ22" s="499"/>
      <c r="DR22" s="499"/>
      <c r="DS22" s="499"/>
      <c r="DT22" s="499"/>
      <c r="DU22" s="499"/>
      <c r="DV22" s="499"/>
      <c r="DW22" s="499"/>
      <c r="DX22" s="499"/>
      <c r="DY22" s="499"/>
      <c r="DZ22" s="499"/>
      <c r="EA22" s="499"/>
      <c r="EB22" s="499"/>
      <c r="EC22" s="499"/>
      <c r="ED22" s="499"/>
      <c r="EE22" s="499"/>
      <c r="EF22" s="499"/>
      <c r="EG22" s="1146">
        <f t="shared" ref="EG22:EG28" si="25">(SUM(EH22:EK22))</f>
        <v>10.5</v>
      </c>
      <c r="EH22" s="630">
        <v>0</v>
      </c>
      <c r="EI22" s="642">
        <v>1</v>
      </c>
      <c r="EJ22" s="642">
        <v>3</v>
      </c>
      <c r="EK22" s="642">
        <v>6.5</v>
      </c>
      <c r="EL22" s="499"/>
      <c r="EM22" s="499"/>
      <c r="EN22" s="499"/>
      <c r="EO22" s="499"/>
      <c r="EP22" s="499"/>
      <c r="EQ22" s="499"/>
      <c r="ER22" s="499"/>
      <c r="ES22" s="388"/>
      <c r="ET22" s="388"/>
      <c r="EV22" s="1167">
        <f t="shared" si="12"/>
        <v>16.243500000000001</v>
      </c>
    </row>
    <row r="23" spans="1:152" s="350" customFormat="1" ht="15" x14ac:dyDescent="0.25">
      <c r="A23" s="632" t="s">
        <v>9</v>
      </c>
      <c r="B23" s="662">
        <v>42749</v>
      </c>
      <c r="C23" s="1132" t="s">
        <v>904</v>
      </c>
      <c r="D23" s="636">
        <v>0</v>
      </c>
      <c r="E23" s="636">
        <v>1</v>
      </c>
      <c r="F23" s="636">
        <v>34</v>
      </c>
      <c r="G23" s="739">
        <v>0.4</v>
      </c>
      <c r="H23" s="739">
        <v>3.54</v>
      </c>
      <c r="I23" s="739">
        <v>16.399999999999999</v>
      </c>
      <c r="J23" s="636">
        <v>0</v>
      </c>
      <c r="K23" s="739">
        <v>2.4500000000000002</v>
      </c>
      <c r="L23" s="741">
        <v>0</v>
      </c>
      <c r="M23" s="739">
        <v>19.2</v>
      </c>
      <c r="N23" s="739">
        <v>1.3</v>
      </c>
      <c r="O23" s="739">
        <v>1.4221156392039973</v>
      </c>
      <c r="P23" s="739">
        <v>1.23</v>
      </c>
      <c r="Q23" s="739">
        <v>0.59412776351536611</v>
      </c>
      <c r="R23" s="782">
        <v>756.38829941860467</v>
      </c>
      <c r="S23" s="739">
        <v>8.2100000000000009</v>
      </c>
      <c r="T23" s="739">
        <v>8.18</v>
      </c>
      <c r="U23" s="739">
        <v>0.71</v>
      </c>
      <c r="V23" s="739">
        <v>0.84</v>
      </c>
      <c r="W23" s="739">
        <v>34.88000000000001</v>
      </c>
      <c r="X23" s="644">
        <v>35.06</v>
      </c>
      <c r="Y23" s="739">
        <v>26.57</v>
      </c>
      <c r="Z23" s="739">
        <v>29.8</v>
      </c>
      <c r="AA23" s="739">
        <v>26.63</v>
      </c>
      <c r="AB23" s="739">
        <v>27</v>
      </c>
      <c r="AC23" s="1160">
        <f t="shared" si="13"/>
        <v>53.629999999999995</v>
      </c>
      <c r="AD23" s="1160">
        <f t="shared" si="14"/>
        <v>82.965609999999984</v>
      </c>
      <c r="AE23" s="1160">
        <f t="shared" si="15"/>
        <v>82.965609999999984</v>
      </c>
      <c r="AF23" s="542"/>
      <c r="AG23" s="1160">
        <f t="shared" si="2"/>
        <v>0</v>
      </c>
      <c r="AH23" s="351"/>
      <c r="AI23" s="351"/>
      <c r="AJ23" s="2"/>
      <c r="AK23" s="388"/>
      <c r="AL23" s="388"/>
      <c r="AM23" s="388"/>
      <c r="AN23" s="388"/>
      <c r="AO23" s="370"/>
      <c r="AP23" s="370"/>
      <c r="AQ23" s="386"/>
      <c r="AR23" s="551">
        <v>0</v>
      </c>
      <c r="AS23" s="386">
        <v>12.7</v>
      </c>
      <c r="AT23" s="386">
        <v>0</v>
      </c>
      <c r="AU23" s="386">
        <v>0</v>
      </c>
      <c r="AV23" s="636">
        <v>200.3</v>
      </c>
      <c r="AW23" s="636">
        <v>362.1</v>
      </c>
      <c r="AX23" s="386">
        <v>0</v>
      </c>
      <c r="AY23" s="551">
        <v>0</v>
      </c>
      <c r="AZ23" s="551">
        <v>0</v>
      </c>
      <c r="BA23" s="551">
        <v>0</v>
      </c>
      <c r="BB23" s="975">
        <v>0</v>
      </c>
      <c r="BC23" s="386">
        <v>0.49</v>
      </c>
      <c r="BD23" s="386">
        <v>1.5</v>
      </c>
      <c r="BE23" s="551">
        <v>0</v>
      </c>
      <c r="BF23" s="386">
        <v>1</v>
      </c>
      <c r="BG23" s="386">
        <v>0</v>
      </c>
      <c r="BH23" s="551">
        <v>0</v>
      </c>
      <c r="BI23" s="386">
        <v>1</v>
      </c>
      <c r="BJ23" s="386">
        <v>23</v>
      </c>
      <c r="BK23" s="386">
        <v>3.1</v>
      </c>
      <c r="BL23" s="386">
        <v>3.39</v>
      </c>
      <c r="BM23" s="386">
        <v>0</v>
      </c>
      <c r="BN23" s="386">
        <v>16.600000000000001</v>
      </c>
      <c r="BO23" s="614">
        <v>1198.3</v>
      </c>
      <c r="BP23" s="614">
        <v>1.6</v>
      </c>
      <c r="BQ23" s="615">
        <v>19.899999999999999</v>
      </c>
      <c r="BR23" s="615">
        <v>20.57</v>
      </c>
      <c r="BS23" s="615">
        <v>14.59</v>
      </c>
      <c r="BT23" s="615">
        <v>7.9</v>
      </c>
      <c r="BU23" s="614">
        <v>24.7</v>
      </c>
      <c r="BV23" s="614">
        <v>33.9</v>
      </c>
      <c r="BW23" s="615">
        <v>545.29999999999995</v>
      </c>
      <c r="BX23" s="791"/>
      <c r="BY23" s="615">
        <v>0</v>
      </c>
      <c r="BZ23" s="615">
        <v>1.41</v>
      </c>
      <c r="CA23" s="615">
        <v>1.2</v>
      </c>
      <c r="CB23" s="615">
        <v>8.3000000000000007</v>
      </c>
      <c r="CC23" s="615">
        <v>8.3000000000000007</v>
      </c>
      <c r="CD23" s="615">
        <v>15.3</v>
      </c>
      <c r="CE23" s="615">
        <v>31.3</v>
      </c>
      <c r="CF23" s="615">
        <v>12.6</v>
      </c>
      <c r="CG23" s="615">
        <v>8.4</v>
      </c>
      <c r="CH23" s="615">
        <v>14.2</v>
      </c>
      <c r="CI23" s="615">
        <v>18.3</v>
      </c>
      <c r="CJ23" s="615">
        <v>13.15</v>
      </c>
      <c r="CK23" s="615">
        <v>588.29999999999995</v>
      </c>
      <c r="CL23" s="615">
        <v>1.8</v>
      </c>
      <c r="CM23" s="615">
        <v>1.4</v>
      </c>
      <c r="CN23" s="615">
        <v>226.2</v>
      </c>
      <c r="CO23" s="613">
        <v>415.9</v>
      </c>
      <c r="CP23" s="615">
        <v>333.2</v>
      </c>
      <c r="CQ23" s="615">
        <v>13.1</v>
      </c>
      <c r="CR23" s="615">
        <v>0.8</v>
      </c>
      <c r="CS23" s="386">
        <v>0</v>
      </c>
      <c r="CT23" s="386">
        <v>15.888999999999999</v>
      </c>
      <c r="CU23" s="386">
        <v>39</v>
      </c>
      <c r="CV23" s="499">
        <v>0</v>
      </c>
      <c r="CW23" s="499">
        <v>0</v>
      </c>
      <c r="CX23" s="499">
        <v>0</v>
      </c>
      <c r="CY23" s="499">
        <v>0</v>
      </c>
      <c r="CZ23" s="877">
        <v>357</v>
      </c>
      <c r="DA23" s="877">
        <v>592</v>
      </c>
      <c r="DB23" s="782">
        <v>272</v>
      </c>
      <c r="DC23" s="609">
        <v>1077.1600000000001</v>
      </c>
      <c r="DD23" s="1153">
        <f t="shared" si="16"/>
        <v>1.2200000000000273</v>
      </c>
      <c r="DE23" s="1154">
        <f t="shared" si="17"/>
        <v>0</v>
      </c>
      <c r="DF23" s="1154">
        <f t="shared" si="18"/>
        <v>162</v>
      </c>
      <c r="DG23" s="1154">
        <f t="shared" si="19"/>
        <v>342</v>
      </c>
      <c r="DH23" s="1155" t="str">
        <f t="shared" si="20"/>
        <v>Palm</v>
      </c>
      <c r="DI23" s="1146">
        <f t="shared" si="21"/>
        <v>320</v>
      </c>
      <c r="DJ23" s="1146">
        <f t="shared" si="22"/>
        <v>0</v>
      </c>
      <c r="DK23" s="1154">
        <f t="shared" si="23"/>
        <v>0</v>
      </c>
      <c r="DL23" s="615"/>
      <c r="DM23" s="643"/>
      <c r="DN23" s="615"/>
      <c r="DO23" s="499"/>
      <c r="DP23" s="499"/>
      <c r="DQ23" s="499"/>
      <c r="DR23" s="499"/>
      <c r="DS23" s="499"/>
      <c r="DT23" s="499"/>
      <c r="DU23" s="499"/>
      <c r="DV23" s="499"/>
      <c r="DW23" s="499"/>
      <c r="DX23" s="499"/>
      <c r="DY23" s="499"/>
      <c r="DZ23" s="499"/>
      <c r="EA23" s="499"/>
      <c r="EB23" s="499"/>
      <c r="EC23" s="499"/>
      <c r="ED23" s="499"/>
      <c r="EE23" s="499"/>
      <c r="EF23" s="499"/>
      <c r="EG23" s="1146">
        <f t="shared" si="25"/>
        <v>10.5</v>
      </c>
      <c r="EH23" s="630">
        <v>0</v>
      </c>
      <c r="EI23" s="642">
        <v>1</v>
      </c>
      <c r="EJ23" s="642">
        <v>3</v>
      </c>
      <c r="EK23" s="642">
        <v>6.5</v>
      </c>
      <c r="EL23" s="499"/>
      <c r="EM23" s="499"/>
      <c r="EN23" s="499"/>
      <c r="EO23" s="499"/>
      <c r="EP23" s="499"/>
      <c r="EQ23" s="499"/>
      <c r="ER23" s="499"/>
      <c r="ES23" s="388"/>
      <c r="ET23" s="388"/>
      <c r="EV23" s="1167">
        <f t="shared" si="12"/>
        <v>16.243500000000001</v>
      </c>
    </row>
    <row r="24" spans="1:152" s="350" customFormat="1" ht="15" x14ac:dyDescent="0.25">
      <c r="A24" s="632" t="s">
        <v>3</v>
      </c>
      <c r="B24" s="662">
        <v>42750</v>
      </c>
      <c r="C24" s="1132" t="s">
        <v>904</v>
      </c>
      <c r="D24" s="636">
        <v>0</v>
      </c>
      <c r="E24" s="636">
        <v>1</v>
      </c>
      <c r="F24" s="636">
        <v>33</v>
      </c>
      <c r="G24" s="739">
        <v>0.3</v>
      </c>
      <c r="H24" s="739">
        <v>1.65</v>
      </c>
      <c r="I24" s="739">
        <v>16.5</v>
      </c>
      <c r="J24" s="636">
        <v>0</v>
      </c>
      <c r="K24" s="739">
        <v>1.37</v>
      </c>
      <c r="L24" s="741">
        <v>0</v>
      </c>
      <c r="M24" s="739">
        <v>19.2</v>
      </c>
      <c r="N24" s="739">
        <v>1.31</v>
      </c>
      <c r="O24" s="739">
        <v>1.4182502088189017</v>
      </c>
      <c r="P24" s="739">
        <v>1.27</v>
      </c>
      <c r="Q24" s="739">
        <v>0.58967736828310546</v>
      </c>
      <c r="R24" s="782">
        <v>757.05501453488387</v>
      </c>
      <c r="S24" s="739">
        <v>8.26</v>
      </c>
      <c r="T24" s="739">
        <v>8.2899999999999991</v>
      </c>
      <c r="U24" s="739">
        <v>0.76</v>
      </c>
      <c r="V24" s="739">
        <v>0.79</v>
      </c>
      <c r="W24" s="739">
        <v>34.88000000000001</v>
      </c>
      <c r="X24" s="644">
        <v>34.88000000000001</v>
      </c>
      <c r="Y24" s="739">
        <v>26.63</v>
      </c>
      <c r="Z24" s="739">
        <v>27</v>
      </c>
      <c r="AA24" s="739">
        <v>26.5</v>
      </c>
      <c r="AB24" s="739">
        <v>27.1</v>
      </c>
      <c r="AC24" s="1160">
        <f t="shared" si="13"/>
        <v>53.6</v>
      </c>
      <c r="AD24" s="1160">
        <f t="shared" si="14"/>
        <v>82.919200000000004</v>
      </c>
      <c r="AE24" s="1160">
        <f t="shared" si="15"/>
        <v>82.919200000000004</v>
      </c>
      <c r="AF24" s="542"/>
      <c r="AG24" s="1160">
        <f t="shared" si="2"/>
        <v>0</v>
      </c>
      <c r="AH24" s="656"/>
      <c r="AI24" s="351"/>
      <c r="AJ24" s="2"/>
      <c r="AK24" s="388"/>
      <c r="AL24" s="388"/>
      <c r="AM24" s="388"/>
      <c r="AN24" s="388"/>
      <c r="AO24" s="370"/>
      <c r="AP24" s="370"/>
      <c r="AQ24" s="386"/>
      <c r="AR24" s="551">
        <v>0</v>
      </c>
      <c r="AS24" s="386">
        <v>19.899999999999999</v>
      </c>
      <c r="AT24" s="386">
        <v>0</v>
      </c>
      <c r="AU24" s="386">
        <v>0</v>
      </c>
      <c r="AV24" s="636">
        <v>389.7</v>
      </c>
      <c r="AW24" s="636">
        <v>566.79999999999995</v>
      </c>
      <c r="AX24" s="386">
        <v>0</v>
      </c>
      <c r="AY24" s="551">
        <v>0</v>
      </c>
      <c r="AZ24" s="551">
        <v>0</v>
      </c>
      <c r="BA24" s="551">
        <v>0</v>
      </c>
      <c r="BB24" s="975">
        <v>0</v>
      </c>
      <c r="BC24" s="386">
        <v>0.5</v>
      </c>
      <c r="BD24" s="386">
        <v>1.5</v>
      </c>
      <c r="BE24" s="551">
        <v>0</v>
      </c>
      <c r="BF24" s="386">
        <v>1</v>
      </c>
      <c r="BG24" s="386">
        <v>0</v>
      </c>
      <c r="BH24" s="551">
        <v>0</v>
      </c>
      <c r="BI24" s="386">
        <v>1</v>
      </c>
      <c r="BJ24" s="386">
        <v>23.1</v>
      </c>
      <c r="BK24" s="386">
        <v>3.09</v>
      </c>
      <c r="BL24" s="386">
        <v>3.39</v>
      </c>
      <c r="BM24" s="386">
        <v>0</v>
      </c>
      <c r="BN24" s="386">
        <v>16.8</v>
      </c>
      <c r="BO24" s="614">
        <v>938.5</v>
      </c>
      <c r="BP24" s="614">
        <v>1.7</v>
      </c>
      <c r="BQ24" s="615">
        <v>18.559999999999999</v>
      </c>
      <c r="BR24" s="615">
        <v>19.25</v>
      </c>
      <c r="BS24" s="615">
        <v>14.2</v>
      </c>
      <c r="BT24" s="615">
        <v>7.79</v>
      </c>
      <c r="BU24" s="614">
        <v>24.2</v>
      </c>
      <c r="BV24" s="614">
        <v>32.9</v>
      </c>
      <c r="BW24" s="615">
        <v>441.3</v>
      </c>
      <c r="BX24" s="791"/>
      <c r="BY24" s="615">
        <v>0</v>
      </c>
      <c r="BZ24" s="615">
        <v>1.48</v>
      </c>
      <c r="CA24" s="615">
        <v>1.3</v>
      </c>
      <c r="CB24" s="615">
        <v>8.4</v>
      </c>
      <c r="CC24" s="615">
        <v>8.4</v>
      </c>
      <c r="CD24" s="615">
        <v>15.2</v>
      </c>
      <c r="CE24" s="615">
        <v>31.3</v>
      </c>
      <c r="CF24" s="615">
        <v>15.6</v>
      </c>
      <c r="CG24" s="615">
        <v>7.5</v>
      </c>
      <c r="CH24" s="615">
        <v>13</v>
      </c>
      <c r="CI24" s="615">
        <v>17.399999999999999</v>
      </c>
      <c r="CJ24" s="615">
        <v>12.78</v>
      </c>
      <c r="CK24" s="615">
        <v>520</v>
      </c>
      <c r="CL24" s="615">
        <v>1.9</v>
      </c>
      <c r="CM24" s="615">
        <v>2</v>
      </c>
      <c r="CN24" s="615">
        <v>243.4</v>
      </c>
      <c r="CO24" s="613">
        <v>416.7</v>
      </c>
      <c r="CP24" s="615">
        <v>395.9</v>
      </c>
      <c r="CQ24" s="615">
        <v>12.6</v>
      </c>
      <c r="CR24" s="615">
        <v>0.76</v>
      </c>
      <c r="CS24" s="386">
        <v>0</v>
      </c>
      <c r="CT24" s="386">
        <v>15.856</v>
      </c>
      <c r="CU24" s="386">
        <v>39</v>
      </c>
      <c r="CV24" s="499">
        <v>0</v>
      </c>
      <c r="CW24" s="499">
        <v>0</v>
      </c>
      <c r="CX24" s="499">
        <v>0</v>
      </c>
      <c r="CY24" s="499">
        <v>0</v>
      </c>
      <c r="CZ24" s="877">
        <v>360</v>
      </c>
      <c r="DA24" s="877">
        <v>586</v>
      </c>
      <c r="DB24" s="782">
        <v>274</v>
      </c>
      <c r="DC24" s="609">
        <v>1077.83</v>
      </c>
      <c r="DD24" s="1153">
        <f t="shared" si="16"/>
        <v>0.66999999999984539</v>
      </c>
      <c r="DE24" s="1154">
        <f t="shared" si="17"/>
        <v>0</v>
      </c>
      <c r="DF24" s="1154">
        <f t="shared" si="18"/>
        <v>164</v>
      </c>
      <c r="DG24" s="1154">
        <f t="shared" si="19"/>
        <v>336</v>
      </c>
      <c r="DH24" s="1155" t="str">
        <f t="shared" si="20"/>
        <v>Palm</v>
      </c>
      <c r="DI24" s="1146">
        <f t="shared" si="21"/>
        <v>312</v>
      </c>
      <c r="DJ24" s="1146">
        <f t="shared" si="22"/>
        <v>0</v>
      </c>
      <c r="DK24" s="1154">
        <f t="shared" si="23"/>
        <v>0</v>
      </c>
      <c r="DL24" s="615"/>
      <c r="DM24" s="643"/>
      <c r="DN24" s="615"/>
      <c r="DO24" s="499"/>
      <c r="DP24" s="499"/>
      <c r="DQ24" s="499"/>
      <c r="DR24" s="499"/>
      <c r="DS24" s="499"/>
      <c r="DT24" s="499"/>
      <c r="DU24" s="499"/>
      <c r="DV24" s="499"/>
      <c r="DW24" s="499"/>
      <c r="DX24" s="499"/>
      <c r="DY24" s="499"/>
      <c r="DZ24" s="499"/>
      <c r="EA24" s="499"/>
      <c r="EB24" s="499"/>
      <c r="EC24" s="499"/>
      <c r="ED24" s="499"/>
      <c r="EE24" s="499"/>
      <c r="EF24" s="499"/>
      <c r="EG24" s="1146">
        <f t="shared" si="25"/>
        <v>11</v>
      </c>
      <c r="EH24" s="630">
        <v>0</v>
      </c>
      <c r="EI24" s="642">
        <v>1</v>
      </c>
      <c r="EJ24" s="642">
        <v>3.5</v>
      </c>
      <c r="EK24" s="642">
        <v>6.5</v>
      </c>
      <c r="EL24" s="499"/>
      <c r="EM24" s="499"/>
      <c r="EN24" s="499"/>
      <c r="EO24" s="499"/>
      <c r="EP24" s="499"/>
      <c r="EQ24" s="499"/>
      <c r="ER24" s="499"/>
      <c r="ES24" s="388"/>
      <c r="ET24" s="388"/>
      <c r="EV24" s="1167">
        <f t="shared" si="12"/>
        <v>17.016999999999999</v>
      </c>
    </row>
    <row r="25" spans="1:152" s="350" customFormat="1" ht="15" x14ac:dyDescent="0.25">
      <c r="A25" s="632" t="s">
        <v>4</v>
      </c>
      <c r="B25" s="662">
        <v>42751</v>
      </c>
      <c r="C25" s="1132" t="s">
        <v>904</v>
      </c>
      <c r="D25" s="636">
        <v>0</v>
      </c>
      <c r="E25" s="636">
        <v>0</v>
      </c>
      <c r="F25" s="636">
        <v>39</v>
      </c>
      <c r="G25" s="739">
        <v>0.4</v>
      </c>
      <c r="H25" s="739">
        <v>1.56</v>
      </c>
      <c r="I25" s="739">
        <v>13.6</v>
      </c>
      <c r="J25" s="636">
        <v>0</v>
      </c>
      <c r="K25" s="739">
        <v>2.33</v>
      </c>
      <c r="L25" s="741">
        <v>0</v>
      </c>
      <c r="M25" s="739">
        <v>19</v>
      </c>
      <c r="N25" s="739">
        <v>1.28</v>
      </c>
      <c r="O25" s="739">
        <v>1.3964888280892307</v>
      </c>
      <c r="P25" s="739">
        <v>1.29</v>
      </c>
      <c r="Q25" s="739">
        <v>0.5846550761128223</v>
      </c>
      <c r="R25" s="782">
        <v>798.72470930232566</v>
      </c>
      <c r="S25" s="739">
        <v>8.16</v>
      </c>
      <c r="T25" s="739">
        <v>8.19</v>
      </c>
      <c r="U25" s="739">
        <v>0.75</v>
      </c>
      <c r="V25" s="739">
        <v>0.79</v>
      </c>
      <c r="W25" s="739">
        <v>34.88000000000001</v>
      </c>
      <c r="X25" s="644">
        <v>34.88000000000001</v>
      </c>
      <c r="Y25" s="739">
        <v>26.5</v>
      </c>
      <c r="Z25" s="739">
        <v>27.1</v>
      </c>
      <c r="AA25" s="739">
        <v>26.68</v>
      </c>
      <c r="AB25" s="739">
        <v>30.3</v>
      </c>
      <c r="AC25" s="1160">
        <f t="shared" si="13"/>
        <v>56.980000000000004</v>
      </c>
      <c r="AD25" s="1160">
        <f t="shared" si="14"/>
        <v>88.148060000000001</v>
      </c>
      <c r="AE25" s="1160">
        <f t="shared" si="15"/>
        <v>88.148060000000001</v>
      </c>
      <c r="AF25" s="542"/>
      <c r="AG25" s="1160">
        <f t="shared" si="2"/>
        <v>0</v>
      </c>
      <c r="AH25" s="656"/>
      <c r="AI25" s="351"/>
      <c r="AJ25" s="2"/>
      <c r="AK25" s="388"/>
      <c r="AL25" s="388"/>
      <c r="AM25" s="388"/>
      <c r="AN25" s="388"/>
      <c r="AO25" s="370"/>
      <c r="AP25" s="370"/>
      <c r="AQ25" s="386"/>
      <c r="AR25" s="551">
        <v>0</v>
      </c>
      <c r="AS25" s="386">
        <v>22.1</v>
      </c>
      <c r="AT25" s="386">
        <v>0</v>
      </c>
      <c r="AU25" s="386">
        <v>0</v>
      </c>
      <c r="AV25" s="636">
        <v>278.5</v>
      </c>
      <c r="AW25" s="636">
        <v>331.8</v>
      </c>
      <c r="AX25" s="386">
        <v>0</v>
      </c>
      <c r="AY25" s="551">
        <v>0</v>
      </c>
      <c r="AZ25" s="551">
        <v>0</v>
      </c>
      <c r="BA25" s="551">
        <v>0</v>
      </c>
      <c r="BB25" s="975">
        <v>0</v>
      </c>
      <c r="BC25" s="386">
        <v>1.1100000000000001</v>
      </c>
      <c r="BD25" s="386">
        <v>1.1299999999999999</v>
      </c>
      <c r="BE25" s="551">
        <v>0</v>
      </c>
      <c r="BF25" s="386">
        <v>1</v>
      </c>
      <c r="BG25" s="386">
        <v>0</v>
      </c>
      <c r="BH25" s="551">
        <v>0</v>
      </c>
      <c r="BI25" s="386">
        <v>1.01</v>
      </c>
      <c r="BJ25" s="386">
        <v>26.1</v>
      </c>
      <c r="BK25" s="386">
        <v>3.15</v>
      </c>
      <c r="BL25" s="386">
        <v>3.39</v>
      </c>
      <c r="BM25" s="386">
        <v>0</v>
      </c>
      <c r="BN25" s="386">
        <v>19.7</v>
      </c>
      <c r="BO25" s="614">
        <v>1117</v>
      </c>
      <c r="BP25" s="614">
        <v>1.8</v>
      </c>
      <c r="BQ25" s="615">
        <v>18.239999999999998</v>
      </c>
      <c r="BR25" s="615">
        <v>18.95</v>
      </c>
      <c r="BS25" s="615">
        <v>14.6</v>
      </c>
      <c r="BT25" s="615">
        <v>8.02</v>
      </c>
      <c r="BU25" s="614">
        <v>24.9</v>
      </c>
      <c r="BV25" s="614">
        <v>30.4</v>
      </c>
      <c r="BW25" s="615">
        <v>562.9</v>
      </c>
      <c r="BX25" s="791"/>
      <c r="BY25" s="615">
        <v>0</v>
      </c>
      <c r="BZ25" s="615">
        <v>1.46</v>
      </c>
      <c r="CA25" s="615">
        <v>1.3</v>
      </c>
      <c r="CB25" s="615">
        <v>8.4</v>
      </c>
      <c r="CC25" s="615">
        <v>8.4</v>
      </c>
      <c r="CD25" s="615">
        <v>15.4</v>
      </c>
      <c r="CE25" s="615">
        <v>31.3</v>
      </c>
      <c r="CF25" s="615">
        <v>14.6</v>
      </c>
      <c r="CG25" s="615">
        <v>7.7</v>
      </c>
      <c r="CH25" s="615">
        <v>13.4</v>
      </c>
      <c r="CI25" s="615">
        <v>17.399999999999999</v>
      </c>
      <c r="CJ25" s="615">
        <v>13.03</v>
      </c>
      <c r="CK25" s="615">
        <v>534.1</v>
      </c>
      <c r="CL25" s="615">
        <v>1.9</v>
      </c>
      <c r="CM25" s="615">
        <v>1.9</v>
      </c>
      <c r="CN25" s="615">
        <v>584.79999999999995</v>
      </c>
      <c r="CO25" s="615">
        <v>437</v>
      </c>
      <c r="CP25" s="615">
        <v>381.7</v>
      </c>
      <c r="CQ25" s="615">
        <v>12.6</v>
      </c>
      <c r="CR25" s="615">
        <v>0.77</v>
      </c>
      <c r="CS25" s="386">
        <v>0</v>
      </c>
      <c r="CT25" s="386">
        <v>15.448</v>
      </c>
      <c r="CU25" s="386">
        <v>38</v>
      </c>
      <c r="CV25" s="499">
        <v>0</v>
      </c>
      <c r="CW25" s="499">
        <v>0</v>
      </c>
      <c r="CX25" s="499">
        <v>0</v>
      </c>
      <c r="CY25" s="499">
        <v>0</v>
      </c>
      <c r="CZ25" s="877">
        <v>360</v>
      </c>
      <c r="DA25" s="877">
        <v>570</v>
      </c>
      <c r="DB25" s="782">
        <v>272</v>
      </c>
      <c r="DC25" s="609">
        <v>1078.21</v>
      </c>
      <c r="DD25" s="1153">
        <f t="shared" si="16"/>
        <v>0.38000000000010914</v>
      </c>
      <c r="DE25" s="1154">
        <f t="shared" si="17"/>
        <v>0</v>
      </c>
      <c r="DF25" s="1154">
        <f t="shared" si="18"/>
        <v>162</v>
      </c>
      <c r="DG25" s="1154">
        <f t="shared" si="19"/>
        <v>320</v>
      </c>
      <c r="DH25" s="1155" t="str">
        <f t="shared" si="20"/>
        <v>Palm</v>
      </c>
      <c r="DI25" s="1146">
        <f t="shared" si="21"/>
        <v>298</v>
      </c>
      <c r="DJ25" s="1146">
        <f t="shared" si="22"/>
        <v>0</v>
      </c>
      <c r="DK25" s="1154">
        <f t="shared" si="23"/>
        <v>0</v>
      </c>
      <c r="DL25" s="615"/>
      <c r="DM25" s="643"/>
      <c r="DN25" s="615"/>
      <c r="DO25" s="499"/>
      <c r="DP25" s="499"/>
      <c r="DQ25" s="499"/>
      <c r="DR25" s="499"/>
      <c r="DS25" s="499"/>
      <c r="DT25" s="499"/>
      <c r="DU25" s="499"/>
      <c r="DV25" s="499"/>
      <c r="DW25" s="499"/>
      <c r="DX25" s="499"/>
      <c r="DY25" s="499"/>
      <c r="DZ25" s="499"/>
      <c r="EA25" s="499"/>
      <c r="EB25" s="499"/>
      <c r="EC25" s="499"/>
      <c r="ED25" s="499"/>
      <c r="EE25" s="499"/>
      <c r="EF25" s="499"/>
      <c r="EG25" s="1146">
        <f t="shared" si="25"/>
        <v>11</v>
      </c>
      <c r="EH25" s="630">
        <v>0</v>
      </c>
      <c r="EI25" s="642">
        <v>1</v>
      </c>
      <c r="EJ25" s="642">
        <v>3.5</v>
      </c>
      <c r="EK25" s="642">
        <v>6.5</v>
      </c>
      <c r="EL25" s="499"/>
      <c r="EM25" s="499"/>
      <c r="EN25" s="499"/>
      <c r="EO25" s="499"/>
      <c r="EP25" s="499"/>
      <c r="EQ25" s="499"/>
      <c r="ER25" s="499"/>
      <c r="ES25" s="388"/>
      <c r="ET25" s="388"/>
      <c r="EV25" s="1167">
        <f t="shared" si="12"/>
        <v>17.016999999999999</v>
      </c>
    </row>
    <row r="26" spans="1:152" s="350" customFormat="1" ht="15" x14ac:dyDescent="0.25">
      <c r="A26" s="632" t="s">
        <v>5</v>
      </c>
      <c r="B26" s="662">
        <v>42752</v>
      </c>
      <c r="C26" s="1132" t="s">
        <v>904</v>
      </c>
      <c r="D26" s="636">
        <v>1.1499999999999999</v>
      </c>
      <c r="E26" s="636">
        <v>0</v>
      </c>
      <c r="F26" s="636">
        <v>38</v>
      </c>
      <c r="G26" s="739">
        <v>0.7</v>
      </c>
      <c r="H26" s="739">
        <v>2.29</v>
      </c>
      <c r="I26" s="739">
        <v>17.100000000000001</v>
      </c>
      <c r="J26" s="636">
        <v>0</v>
      </c>
      <c r="K26" s="739">
        <v>1.54</v>
      </c>
      <c r="L26" s="741">
        <v>0</v>
      </c>
      <c r="M26" s="739">
        <v>18.899999999999999</v>
      </c>
      <c r="N26" s="739">
        <v>1.33</v>
      </c>
      <c r="O26" s="739">
        <v>1.4018478577977098</v>
      </c>
      <c r="P26" s="739">
        <v>1.29</v>
      </c>
      <c r="Q26" s="739">
        <v>0.59060072095470528</v>
      </c>
      <c r="R26" s="782">
        <v>797.72463662790699</v>
      </c>
      <c r="S26" s="739">
        <v>8.1199999999999992</v>
      </c>
      <c r="T26" s="739">
        <v>8.11</v>
      </c>
      <c r="U26" s="739">
        <v>0.76</v>
      </c>
      <c r="V26" s="739">
        <v>0.82</v>
      </c>
      <c r="W26" s="739">
        <v>36.5</v>
      </c>
      <c r="X26" s="644">
        <v>36.680000000000007</v>
      </c>
      <c r="Y26" s="739">
        <v>26.68</v>
      </c>
      <c r="Z26" s="739">
        <v>30.3</v>
      </c>
      <c r="AA26" s="739">
        <v>26.7</v>
      </c>
      <c r="AB26" s="739">
        <v>30</v>
      </c>
      <c r="AC26" s="1160">
        <f t="shared" si="13"/>
        <v>56.7</v>
      </c>
      <c r="AD26" s="1160">
        <f t="shared" si="14"/>
        <v>87.7149</v>
      </c>
      <c r="AE26" s="1160">
        <f t="shared" si="15"/>
        <v>87.7149</v>
      </c>
      <c r="AF26" s="542"/>
      <c r="AG26" s="1160">
        <f t="shared" si="2"/>
        <v>0</v>
      </c>
      <c r="AH26" s="656"/>
      <c r="AI26" s="351"/>
      <c r="AJ26" s="2"/>
      <c r="AK26" s="388"/>
      <c r="AL26" s="388"/>
      <c r="AM26" s="388"/>
      <c r="AN26" s="388"/>
      <c r="AO26" s="370"/>
      <c r="AP26" s="370"/>
      <c r="AQ26" s="386"/>
      <c r="AR26" s="551">
        <v>0</v>
      </c>
      <c r="AS26" s="386">
        <v>10.8</v>
      </c>
      <c r="AT26" s="386">
        <v>0</v>
      </c>
      <c r="AU26" s="386">
        <v>0</v>
      </c>
      <c r="AV26" s="636">
        <v>427.6</v>
      </c>
      <c r="AW26" s="636">
        <v>595.4</v>
      </c>
      <c r="AX26" s="386">
        <v>0</v>
      </c>
      <c r="AY26" s="551">
        <v>0</v>
      </c>
      <c r="AZ26" s="551">
        <v>0</v>
      </c>
      <c r="BA26" s="551">
        <v>0</v>
      </c>
      <c r="BB26" s="975">
        <v>0</v>
      </c>
      <c r="BC26" s="386">
        <v>1.0900000000000001</v>
      </c>
      <c r="BD26" s="386">
        <v>1.41</v>
      </c>
      <c r="BE26" s="551">
        <v>0</v>
      </c>
      <c r="BF26" s="386">
        <v>1</v>
      </c>
      <c r="BG26" s="386">
        <v>0</v>
      </c>
      <c r="BH26" s="551">
        <v>0</v>
      </c>
      <c r="BI26" s="386">
        <v>1.02</v>
      </c>
      <c r="BJ26" s="386">
        <v>25.5</v>
      </c>
      <c r="BK26" s="386">
        <v>3.09</v>
      </c>
      <c r="BL26" s="386">
        <v>3.39</v>
      </c>
      <c r="BM26" s="386">
        <v>0</v>
      </c>
      <c r="BN26" s="386">
        <v>19.100000000000001</v>
      </c>
      <c r="BO26" s="614">
        <v>1042.8</v>
      </c>
      <c r="BP26" s="614">
        <v>1.9</v>
      </c>
      <c r="BQ26" s="615">
        <v>18.34</v>
      </c>
      <c r="BR26" s="615">
        <v>19.02</v>
      </c>
      <c r="BS26" s="615">
        <v>14.34</v>
      </c>
      <c r="BT26" s="615">
        <v>7.86</v>
      </c>
      <c r="BU26" s="614">
        <v>24.4</v>
      </c>
      <c r="BV26" s="614">
        <v>28.5</v>
      </c>
      <c r="BW26" s="615">
        <v>512.70000000000005</v>
      </c>
      <c r="BX26" s="791"/>
      <c r="BY26" s="615">
        <v>0</v>
      </c>
      <c r="BZ26" s="615">
        <v>1.43</v>
      </c>
      <c r="CA26" s="615">
        <v>1.3</v>
      </c>
      <c r="CB26" s="615">
        <v>8.3000000000000007</v>
      </c>
      <c r="CC26" s="615">
        <v>8.3000000000000007</v>
      </c>
      <c r="CD26" s="615">
        <v>15.6</v>
      </c>
      <c r="CE26" s="615">
        <v>31.2</v>
      </c>
      <c r="CF26" s="615">
        <v>13.7</v>
      </c>
      <c r="CG26" s="615">
        <v>8</v>
      </c>
      <c r="CH26" s="615">
        <v>13.76</v>
      </c>
      <c r="CI26" s="615">
        <v>17.7</v>
      </c>
      <c r="CJ26" s="615">
        <v>13.1</v>
      </c>
      <c r="CK26" s="615">
        <v>533.20000000000005</v>
      </c>
      <c r="CL26" s="615">
        <v>1.9</v>
      </c>
      <c r="CM26" s="615">
        <v>1.5</v>
      </c>
      <c r="CN26" s="615">
        <v>587.20000000000005</v>
      </c>
      <c r="CO26" s="615">
        <v>401.2</v>
      </c>
      <c r="CP26" s="615">
        <v>374.2</v>
      </c>
      <c r="CQ26" s="615">
        <v>12.6</v>
      </c>
      <c r="CR26" s="615">
        <v>0.78</v>
      </c>
      <c r="CS26" s="386">
        <v>0</v>
      </c>
      <c r="CT26" s="386">
        <v>15.531000000000001</v>
      </c>
      <c r="CU26" s="386">
        <v>38</v>
      </c>
      <c r="CV26" s="499">
        <v>0</v>
      </c>
      <c r="CW26" s="499">
        <v>0</v>
      </c>
      <c r="CX26" s="499">
        <v>0</v>
      </c>
      <c r="CY26" s="499">
        <v>0</v>
      </c>
      <c r="CZ26" s="877">
        <v>542</v>
      </c>
      <c r="DA26" s="877">
        <v>1010</v>
      </c>
      <c r="DB26" s="782">
        <v>488</v>
      </c>
      <c r="DC26" s="609">
        <v>1078.71</v>
      </c>
      <c r="DD26" s="1153">
        <f t="shared" si="16"/>
        <v>0.5</v>
      </c>
      <c r="DE26" s="1154">
        <f t="shared" si="17"/>
        <v>0</v>
      </c>
      <c r="DF26" s="1154">
        <f t="shared" si="18"/>
        <v>378</v>
      </c>
      <c r="DG26" s="1154">
        <f t="shared" si="19"/>
        <v>760</v>
      </c>
      <c r="DH26" s="1155" t="str">
        <f t="shared" si="20"/>
        <v>Palm</v>
      </c>
      <c r="DI26" s="1146">
        <f t="shared" si="21"/>
        <v>522</v>
      </c>
      <c r="DJ26" s="1146">
        <f t="shared" si="22"/>
        <v>0</v>
      </c>
      <c r="DK26" s="1154">
        <f t="shared" si="23"/>
        <v>0</v>
      </c>
      <c r="DL26" s="615"/>
      <c r="DM26" s="643"/>
      <c r="DN26" s="615"/>
      <c r="DO26" s="499"/>
      <c r="DP26" s="499"/>
      <c r="DQ26" s="499"/>
      <c r="DR26" s="499"/>
      <c r="DS26" s="499"/>
      <c r="DT26" s="499"/>
      <c r="DU26" s="499"/>
      <c r="DV26" s="499"/>
      <c r="DW26" s="499"/>
      <c r="DX26" s="499"/>
      <c r="DY26" s="499"/>
      <c r="DZ26" s="499"/>
      <c r="EA26" s="499"/>
      <c r="EB26" s="499"/>
      <c r="EC26" s="499"/>
      <c r="ED26" s="499"/>
      <c r="EE26" s="499"/>
      <c r="EF26" s="499"/>
      <c r="EG26" s="1146">
        <f t="shared" si="25"/>
        <v>11</v>
      </c>
      <c r="EH26" s="630">
        <v>0</v>
      </c>
      <c r="EI26" s="642">
        <v>1</v>
      </c>
      <c r="EJ26" s="642">
        <v>3.5</v>
      </c>
      <c r="EK26" s="642">
        <v>6.5</v>
      </c>
      <c r="EL26" s="499"/>
      <c r="EM26" s="499"/>
      <c r="EN26" s="499"/>
      <c r="EO26" s="499"/>
      <c r="EP26" s="499"/>
      <c r="EQ26" s="499"/>
      <c r="ER26" s="499"/>
      <c r="ES26" s="388"/>
      <c r="ET26" s="388"/>
      <c r="EV26" s="1167">
        <f t="shared" si="12"/>
        <v>17.016999999999999</v>
      </c>
    </row>
    <row r="27" spans="1:152" s="350" customFormat="1" ht="15" x14ac:dyDescent="0.25">
      <c r="A27" s="632" t="s">
        <v>6</v>
      </c>
      <c r="B27" s="662">
        <v>42753</v>
      </c>
      <c r="C27" s="1132" t="s">
        <v>904</v>
      </c>
      <c r="D27" s="636">
        <v>0.85</v>
      </c>
      <c r="E27" s="636">
        <v>0</v>
      </c>
      <c r="F27" s="636">
        <v>38</v>
      </c>
      <c r="G27" s="739">
        <v>0.95</v>
      </c>
      <c r="H27" s="739">
        <v>15.78</v>
      </c>
      <c r="I27" s="739">
        <v>13.6</v>
      </c>
      <c r="J27" s="636">
        <v>0</v>
      </c>
      <c r="K27" s="739">
        <v>7.36</v>
      </c>
      <c r="L27" s="741">
        <v>13.119999999998981</v>
      </c>
      <c r="M27" s="739">
        <v>18.600000000000001</v>
      </c>
      <c r="N27" s="739">
        <v>1.33</v>
      </c>
      <c r="O27" s="739">
        <v>1.4187168594217634</v>
      </c>
      <c r="P27" s="739">
        <v>1.35</v>
      </c>
      <c r="Q27" s="739">
        <v>0.60212394072568276</v>
      </c>
      <c r="R27" s="782">
        <v>806.72529069767438</v>
      </c>
      <c r="S27" s="739">
        <v>8.02</v>
      </c>
      <c r="T27" s="739">
        <v>8.07</v>
      </c>
      <c r="U27" s="739">
        <v>0.71</v>
      </c>
      <c r="V27" s="739">
        <v>0.83</v>
      </c>
      <c r="W27" s="739">
        <v>37.400000000000006</v>
      </c>
      <c r="X27" s="644">
        <v>37.400000000000006</v>
      </c>
      <c r="Y27" s="739">
        <v>26.7</v>
      </c>
      <c r="Z27" s="739">
        <v>30</v>
      </c>
      <c r="AA27" s="739">
        <v>26.7</v>
      </c>
      <c r="AB27" s="739">
        <v>29.9</v>
      </c>
      <c r="AC27" s="1160">
        <f t="shared" si="13"/>
        <v>56.599999999999994</v>
      </c>
      <c r="AD27" s="1160">
        <f t="shared" si="14"/>
        <v>87.56019999999998</v>
      </c>
      <c r="AE27" s="1160">
        <f t="shared" si="15"/>
        <v>67.263560000001561</v>
      </c>
      <c r="AF27" s="542"/>
      <c r="AG27" s="1160">
        <f t="shared" si="2"/>
        <v>0</v>
      </c>
      <c r="AH27" s="656"/>
      <c r="AI27" s="351"/>
      <c r="AJ27" s="2"/>
      <c r="AK27" s="388"/>
      <c r="AL27" s="388"/>
      <c r="AM27" s="388"/>
      <c r="AN27" s="388"/>
      <c r="AO27" s="370"/>
      <c r="AP27" s="370"/>
      <c r="AQ27" s="386"/>
      <c r="AR27" s="551">
        <v>0</v>
      </c>
      <c r="AS27" s="386">
        <v>15.5</v>
      </c>
      <c r="AT27" s="386">
        <v>0</v>
      </c>
      <c r="AU27" s="386">
        <v>0</v>
      </c>
      <c r="AV27" s="636">
        <v>164</v>
      </c>
      <c r="AW27" s="636">
        <v>286</v>
      </c>
      <c r="AX27" s="386">
        <v>0</v>
      </c>
      <c r="AY27" s="551">
        <v>0</v>
      </c>
      <c r="AZ27" s="551">
        <v>0</v>
      </c>
      <c r="BA27" s="551">
        <v>0</v>
      </c>
      <c r="BB27" s="975">
        <v>0</v>
      </c>
      <c r="BC27" s="386">
        <v>0.66</v>
      </c>
      <c r="BD27" s="386">
        <v>1.49</v>
      </c>
      <c r="BE27" s="551">
        <v>0</v>
      </c>
      <c r="BF27" s="386">
        <v>0.98</v>
      </c>
      <c r="BG27" s="386">
        <v>0</v>
      </c>
      <c r="BH27" s="551">
        <v>0</v>
      </c>
      <c r="BI27" s="386">
        <v>1.02</v>
      </c>
      <c r="BJ27" s="386">
        <v>25.8</v>
      </c>
      <c r="BK27" s="386">
        <v>3.1</v>
      </c>
      <c r="BL27" s="386">
        <v>3.39</v>
      </c>
      <c r="BM27" s="386">
        <v>0</v>
      </c>
      <c r="BN27" s="386">
        <v>19.5</v>
      </c>
      <c r="BO27" s="614">
        <v>1032.5</v>
      </c>
      <c r="BP27" s="614">
        <v>5.6</v>
      </c>
      <c r="BQ27" s="615">
        <v>19.29</v>
      </c>
      <c r="BR27" s="615">
        <v>19.98</v>
      </c>
      <c r="BS27" s="615">
        <v>14.96</v>
      </c>
      <c r="BT27" s="615">
        <v>8.0500000000000007</v>
      </c>
      <c r="BU27" s="614">
        <v>25.1</v>
      </c>
      <c r="BV27" s="614">
        <v>26.7</v>
      </c>
      <c r="BW27" s="615">
        <v>419.1</v>
      </c>
      <c r="BX27" s="791"/>
      <c r="BY27" s="615">
        <v>0</v>
      </c>
      <c r="BZ27" s="615">
        <v>1.43</v>
      </c>
      <c r="CA27" s="615">
        <v>1.3</v>
      </c>
      <c r="CB27" s="615">
        <v>8.3000000000000007</v>
      </c>
      <c r="CC27" s="615">
        <v>8.3000000000000007</v>
      </c>
      <c r="CD27" s="615">
        <v>15.4</v>
      </c>
      <c r="CE27" s="615">
        <v>31.3</v>
      </c>
      <c r="CF27" s="615">
        <v>12.8</v>
      </c>
      <c r="CG27" s="615">
        <v>8.1999999999999993</v>
      </c>
      <c r="CH27" s="615">
        <v>14</v>
      </c>
      <c r="CI27" s="615">
        <v>18</v>
      </c>
      <c r="CJ27" s="615">
        <v>12.8</v>
      </c>
      <c r="CK27" s="615">
        <v>503.7</v>
      </c>
      <c r="CL27" s="615">
        <v>1.9</v>
      </c>
      <c r="CM27" s="615">
        <v>1.9</v>
      </c>
      <c r="CN27" s="615">
        <v>663.1</v>
      </c>
      <c r="CO27" s="615">
        <v>401.4</v>
      </c>
      <c r="CP27" s="615">
        <v>300</v>
      </c>
      <c r="CQ27" s="615">
        <v>12</v>
      </c>
      <c r="CR27" s="615">
        <v>0.75</v>
      </c>
      <c r="CS27" s="386">
        <v>0</v>
      </c>
      <c r="CT27" s="386">
        <v>14.862</v>
      </c>
      <c r="CU27" s="386">
        <v>39</v>
      </c>
      <c r="CV27" s="499">
        <v>0</v>
      </c>
      <c r="CW27" s="499">
        <v>0</v>
      </c>
      <c r="CX27" s="499">
        <v>0</v>
      </c>
      <c r="CY27" s="499">
        <v>0</v>
      </c>
      <c r="CZ27" s="877">
        <v>1210</v>
      </c>
      <c r="DA27" s="877">
        <v>2270</v>
      </c>
      <c r="DB27" s="782">
        <v>1120</v>
      </c>
      <c r="DC27" s="609">
        <v>1082.69</v>
      </c>
      <c r="DD27" s="1153">
        <f t="shared" si="16"/>
        <v>3.9800000000000182</v>
      </c>
      <c r="DE27" s="1154">
        <f t="shared" si="17"/>
        <v>0</v>
      </c>
      <c r="DF27" s="1154">
        <f t="shared" si="18"/>
        <v>1010</v>
      </c>
      <c r="DG27" s="1154">
        <f t="shared" si="19"/>
        <v>2020</v>
      </c>
      <c r="DH27" s="1155" t="str">
        <f t="shared" si="20"/>
        <v>Palm</v>
      </c>
      <c r="DI27" s="1146">
        <f t="shared" si="21"/>
        <v>1150</v>
      </c>
      <c r="DJ27" s="1146">
        <f t="shared" si="22"/>
        <v>0</v>
      </c>
      <c r="DK27" s="1154">
        <f t="shared" si="23"/>
        <v>0</v>
      </c>
      <c r="DL27" s="615"/>
      <c r="DM27" s="643"/>
      <c r="DN27" s="615"/>
      <c r="DO27" s="499"/>
      <c r="DP27" s="499"/>
      <c r="DQ27" s="499"/>
      <c r="DR27" s="499"/>
      <c r="DS27" s="499"/>
      <c r="DT27" s="499"/>
      <c r="DU27" s="499"/>
      <c r="DV27" s="499"/>
      <c r="DW27" s="499"/>
      <c r="DX27" s="499"/>
      <c r="DY27" s="499"/>
      <c r="DZ27" s="499"/>
      <c r="EA27" s="499"/>
      <c r="EB27" s="499"/>
      <c r="EC27" s="499"/>
      <c r="ED27" s="499"/>
      <c r="EE27" s="499"/>
      <c r="EF27" s="499"/>
      <c r="EG27" s="1146">
        <f t="shared" si="25"/>
        <v>11</v>
      </c>
      <c r="EH27" s="630">
        <v>0</v>
      </c>
      <c r="EI27" s="642">
        <v>1</v>
      </c>
      <c r="EJ27" s="642">
        <v>3.5</v>
      </c>
      <c r="EK27" s="642">
        <v>6.5</v>
      </c>
      <c r="EL27" s="499"/>
      <c r="EM27" s="499"/>
      <c r="EN27" s="499"/>
      <c r="EO27" s="499"/>
      <c r="EP27" s="499"/>
      <c r="EQ27" s="499"/>
      <c r="ER27" s="499"/>
      <c r="ES27" s="388"/>
      <c r="ET27" s="388"/>
      <c r="EV27" s="1167">
        <f t="shared" si="12"/>
        <v>17.016999999999999</v>
      </c>
    </row>
    <row r="28" spans="1:152" s="350" customFormat="1" ht="15" x14ac:dyDescent="0.25">
      <c r="A28" s="632" t="s">
        <v>7</v>
      </c>
      <c r="B28" s="662">
        <v>42754</v>
      </c>
      <c r="C28" s="1132" t="s">
        <v>904</v>
      </c>
      <c r="D28" s="636">
        <v>0.02</v>
      </c>
      <c r="E28" s="636">
        <v>0</v>
      </c>
      <c r="F28" s="636">
        <v>35</v>
      </c>
      <c r="G28" s="739">
        <v>1</v>
      </c>
      <c r="H28" s="739">
        <v>6.14</v>
      </c>
      <c r="I28" s="739">
        <v>13.1</v>
      </c>
      <c r="J28" s="636">
        <v>0</v>
      </c>
      <c r="K28" s="739">
        <v>3.74</v>
      </c>
      <c r="L28" s="741">
        <v>2.069999999999709</v>
      </c>
      <c r="M28" s="739">
        <v>19.8</v>
      </c>
      <c r="N28" s="739">
        <v>1.23</v>
      </c>
      <c r="O28" s="739">
        <v>1.2952877750404372</v>
      </c>
      <c r="P28" s="739">
        <v>1.29</v>
      </c>
      <c r="Q28" s="739">
        <v>0.59060072095470528</v>
      </c>
      <c r="R28" s="782">
        <v>747.05428779069769</v>
      </c>
      <c r="S28" s="739">
        <v>8.16</v>
      </c>
      <c r="T28" s="739">
        <v>8.09</v>
      </c>
      <c r="U28" s="739">
        <v>0.72</v>
      </c>
      <c r="V28" s="739">
        <v>0.87</v>
      </c>
      <c r="W28" s="739">
        <v>39.56</v>
      </c>
      <c r="X28" s="644">
        <v>40.100000000000009</v>
      </c>
      <c r="Y28" s="739">
        <v>26.7</v>
      </c>
      <c r="Z28" s="739">
        <v>29.9</v>
      </c>
      <c r="AA28" s="739">
        <v>26.58</v>
      </c>
      <c r="AB28" s="739">
        <v>30</v>
      </c>
      <c r="AC28" s="1160">
        <f t="shared" si="13"/>
        <v>56.58</v>
      </c>
      <c r="AD28" s="1160">
        <f t="shared" si="14"/>
        <v>87.529259999999994</v>
      </c>
      <c r="AE28" s="1160">
        <f t="shared" si="15"/>
        <v>84.326970000000443</v>
      </c>
      <c r="AF28" s="542"/>
      <c r="AG28" s="1160">
        <f t="shared" si="2"/>
        <v>0</v>
      </c>
      <c r="AH28" s="656"/>
      <c r="AI28" s="351"/>
      <c r="AJ28" s="2"/>
      <c r="AK28" s="388"/>
      <c r="AL28" s="388"/>
      <c r="AM28" s="388"/>
      <c r="AN28" s="388"/>
      <c r="AO28" s="370"/>
      <c r="AP28" s="370"/>
      <c r="AQ28" s="386"/>
      <c r="AR28" s="551">
        <v>0</v>
      </c>
      <c r="AS28" s="386">
        <v>16.7</v>
      </c>
      <c r="AT28" s="386">
        <v>0</v>
      </c>
      <c r="AU28" s="386">
        <v>0</v>
      </c>
      <c r="AV28" s="636">
        <v>364.7</v>
      </c>
      <c r="AW28" s="636">
        <v>498.4</v>
      </c>
      <c r="AX28" s="386">
        <v>0</v>
      </c>
      <c r="AY28" s="551">
        <v>0</v>
      </c>
      <c r="AZ28" s="551">
        <v>0</v>
      </c>
      <c r="BA28" s="551">
        <v>0</v>
      </c>
      <c r="BB28" s="975">
        <v>0</v>
      </c>
      <c r="BC28" s="386">
        <v>0.5</v>
      </c>
      <c r="BD28" s="386">
        <v>1.5</v>
      </c>
      <c r="BE28" s="551">
        <v>0</v>
      </c>
      <c r="BF28" s="386">
        <v>1</v>
      </c>
      <c r="BG28" s="386">
        <v>0</v>
      </c>
      <c r="BH28" s="551">
        <v>0</v>
      </c>
      <c r="BI28" s="386">
        <v>1.02</v>
      </c>
      <c r="BJ28" s="386">
        <v>26</v>
      </c>
      <c r="BK28" s="386">
        <v>3.68</v>
      </c>
      <c r="BL28" s="386">
        <v>2.91</v>
      </c>
      <c r="BM28" s="386">
        <v>0</v>
      </c>
      <c r="BN28" s="386">
        <v>19.5</v>
      </c>
      <c r="BO28" s="614">
        <v>962.3</v>
      </c>
      <c r="BP28" s="614">
        <v>21.1</v>
      </c>
      <c r="BQ28" s="615">
        <v>19.34</v>
      </c>
      <c r="BR28" s="615">
        <v>20.02</v>
      </c>
      <c r="BS28" s="615">
        <v>14.76</v>
      </c>
      <c r="BT28" s="615">
        <v>7.96</v>
      </c>
      <c r="BU28" s="614">
        <v>24.8</v>
      </c>
      <c r="BV28" s="614">
        <v>28.9</v>
      </c>
      <c r="BW28" s="615">
        <v>544.1</v>
      </c>
      <c r="BX28" s="791"/>
      <c r="BY28" s="615">
        <v>0</v>
      </c>
      <c r="BZ28" s="615">
        <v>1.32</v>
      </c>
      <c r="CA28" s="615">
        <v>1.3</v>
      </c>
      <c r="CB28" s="615">
        <v>8.1999999999999993</v>
      </c>
      <c r="CC28" s="615">
        <v>8.1999999999999993</v>
      </c>
      <c r="CD28" s="615">
        <v>15.6</v>
      </c>
      <c r="CE28" s="615">
        <v>30.9</v>
      </c>
      <c r="CF28" s="615">
        <v>13.67</v>
      </c>
      <c r="CG28" s="615">
        <v>8.1999999999999993</v>
      </c>
      <c r="CH28" s="615">
        <v>13.9</v>
      </c>
      <c r="CI28" s="615">
        <v>18.100000000000001</v>
      </c>
      <c r="CJ28" s="615">
        <v>13.31</v>
      </c>
      <c r="CK28" s="615">
        <v>544.20000000000005</v>
      </c>
      <c r="CL28" s="615">
        <v>2</v>
      </c>
      <c r="CM28" s="615">
        <v>1.6</v>
      </c>
      <c r="CN28" s="615">
        <v>557.20000000000005</v>
      </c>
      <c r="CO28" s="615">
        <v>403.5</v>
      </c>
      <c r="CP28" s="615">
        <v>371.5</v>
      </c>
      <c r="CQ28" s="615">
        <v>12.6</v>
      </c>
      <c r="CR28" s="615">
        <v>0.79</v>
      </c>
      <c r="CS28" s="386">
        <v>0</v>
      </c>
      <c r="CT28" s="386">
        <v>15.237</v>
      </c>
      <c r="CU28" s="386">
        <v>39</v>
      </c>
      <c r="CV28" s="499">
        <v>0</v>
      </c>
      <c r="CW28" s="499">
        <v>0</v>
      </c>
      <c r="CX28" s="499">
        <v>0</v>
      </c>
      <c r="CY28" s="499">
        <v>0</v>
      </c>
      <c r="CZ28" s="877">
        <v>1060</v>
      </c>
      <c r="DA28" s="877">
        <v>1870</v>
      </c>
      <c r="DB28" s="782">
        <v>955</v>
      </c>
      <c r="DC28" s="609">
        <v>1080.08</v>
      </c>
      <c r="DD28" s="1153">
        <f t="shared" si="16"/>
        <v>-2.6100000000001273</v>
      </c>
      <c r="DE28" s="1154">
        <f t="shared" si="17"/>
        <v>0</v>
      </c>
      <c r="DF28" s="1154">
        <f t="shared" si="18"/>
        <v>845</v>
      </c>
      <c r="DG28" s="1154">
        <f t="shared" si="19"/>
        <v>1620</v>
      </c>
      <c r="DH28" s="1155" t="str">
        <f t="shared" si="20"/>
        <v>Palm</v>
      </c>
      <c r="DI28" s="1146">
        <f t="shared" si="21"/>
        <v>915</v>
      </c>
      <c r="DJ28" s="1146">
        <f t="shared" si="22"/>
        <v>0</v>
      </c>
      <c r="DK28" s="1154">
        <f t="shared" si="23"/>
        <v>0</v>
      </c>
      <c r="DL28" s="615"/>
      <c r="DM28" s="643"/>
      <c r="DN28" s="615"/>
      <c r="DO28" s="499"/>
      <c r="DP28" s="499"/>
      <c r="DQ28" s="499"/>
      <c r="DR28" s="499"/>
      <c r="DS28" s="499"/>
      <c r="DT28" s="499"/>
      <c r="DU28" s="499"/>
      <c r="DV28" s="499"/>
      <c r="DW28" s="499"/>
      <c r="DX28" s="499"/>
      <c r="DY28" s="499"/>
      <c r="DZ28" s="499"/>
      <c r="EA28" s="499"/>
      <c r="EB28" s="499"/>
      <c r="EC28" s="499"/>
      <c r="ED28" s="499"/>
      <c r="EE28" s="499"/>
      <c r="EF28" s="499"/>
      <c r="EG28" s="1146">
        <f t="shared" si="25"/>
        <v>10.5</v>
      </c>
      <c r="EH28" s="630">
        <v>0</v>
      </c>
      <c r="EI28" s="642">
        <v>1</v>
      </c>
      <c r="EJ28" s="642">
        <v>3</v>
      </c>
      <c r="EK28" s="642">
        <v>6.5</v>
      </c>
      <c r="EL28" s="499"/>
      <c r="EM28" s="499"/>
      <c r="EN28" s="499"/>
      <c r="EO28" s="499"/>
      <c r="EP28" s="499"/>
      <c r="EQ28" s="499"/>
      <c r="ER28" s="499"/>
      <c r="ES28" s="388"/>
      <c r="ET28" s="388"/>
      <c r="EV28" s="1167">
        <f t="shared" si="12"/>
        <v>16.243500000000001</v>
      </c>
    </row>
    <row r="29" spans="1:152" s="350" customFormat="1" ht="15" x14ac:dyDescent="0.25">
      <c r="A29" s="632" t="s">
        <v>8</v>
      </c>
      <c r="B29" s="662">
        <v>42755</v>
      </c>
      <c r="C29" s="1132" t="s">
        <v>904</v>
      </c>
      <c r="D29" s="636">
        <v>0</v>
      </c>
      <c r="E29" s="636">
        <v>0</v>
      </c>
      <c r="F29" s="636">
        <v>38</v>
      </c>
      <c r="G29" s="739">
        <v>0.9</v>
      </c>
      <c r="H29" s="739">
        <v>2.79</v>
      </c>
      <c r="I29" s="739">
        <v>13.9</v>
      </c>
      <c r="J29" s="636">
        <v>0</v>
      </c>
      <c r="K29" s="739">
        <v>2.33</v>
      </c>
      <c r="L29" s="741">
        <v>1.0000000002037268E-2</v>
      </c>
      <c r="M29" s="739">
        <v>19.7</v>
      </c>
      <c r="N29" s="739">
        <v>1.24</v>
      </c>
      <c r="O29" s="739">
        <v>1.3102384350601664</v>
      </c>
      <c r="P29" s="739">
        <v>1.27</v>
      </c>
      <c r="Q29" s="739">
        <v>0.601465361096994</v>
      </c>
      <c r="R29" s="782">
        <v>751.38793604651175</v>
      </c>
      <c r="S29" s="739">
        <v>8.2200000000000006</v>
      </c>
      <c r="T29" s="739">
        <v>8.18</v>
      </c>
      <c r="U29" s="739">
        <v>0.72</v>
      </c>
      <c r="V29" s="739">
        <v>0.81</v>
      </c>
      <c r="W29" s="739">
        <v>38.660000000000011</v>
      </c>
      <c r="X29" s="644">
        <v>38.840000000000003</v>
      </c>
      <c r="Y29" s="739">
        <v>26.58</v>
      </c>
      <c r="Z29" s="739">
        <v>30</v>
      </c>
      <c r="AA29" s="739">
        <v>26.62</v>
      </c>
      <c r="AB29" s="739">
        <v>30</v>
      </c>
      <c r="AC29" s="1160">
        <f t="shared" si="13"/>
        <v>56.620000000000005</v>
      </c>
      <c r="AD29" s="1160">
        <f t="shared" si="14"/>
        <v>87.59114000000001</v>
      </c>
      <c r="AE29" s="1160">
        <f t="shared" si="15"/>
        <v>87.575669999996862</v>
      </c>
      <c r="AF29" s="542"/>
      <c r="AG29" s="1160">
        <f t="shared" si="2"/>
        <v>0</v>
      </c>
      <c r="AH29" s="351"/>
      <c r="AI29" s="351"/>
      <c r="AJ29" s="2"/>
      <c r="AK29" s="388"/>
      <c r="AL29" s="388"/>
      <c r="AM29" s="388"/>
      <c r="AN29" s="388"/>
      <c r="AO29" s="370"/>
      <c r="AP29" s="370"/>
      <c r="AQ29" s="386"/>
      <c r="AR29" s="551">
        <v>0</v>
      </c>
      <c r="AS29" s="386">
        <v>10.8</v>
      </c>
      <c r="AT29" s="386">
        <v>0</v>
      </c>
      <c r="AU29" s="386">
        <v>0</v>
      </c>
      <c r="AV29" s="636">
        <v>330.8</v>
      </c>
      <c r="AW29" s="636">
        <v>391</v>
      </c>
      <c r="AX29" s="386">
        <v>0</v>
      </c>
      <c r="AY29" s="551">
        <v>0</v>
      </c>
      <c r="AZ29" s="551">
        <v>0</v>
      </c>
      <c r="BA29" s="551">
        <v>0</v>
      </c>
      <c r="BB29" s="975">
        <v>0</v>
      </c>
      <c r="BC29" s="386">
        <v>0.49</v>
      </c>
      <c r="BD29" s="386">
        <v>1.5</v>
      </c>
      <c r="BE29" s="551">
        <v>0</v>
      </c>
      <c r="BF29" s="386">
        <v>1</v>
      </c>
      <c r="BG29" s="386">
        <v>0</v>
      </c>
      <c r="BH29" s="551">
        <v>0</v>
      </c>
      <c r="BI29" s="386">
        <v>1.02</v>
      </c>
      <c r="BJ29" s="386">
        <v>26</v>
      </c>
      <c r="BK29" s="386">
        <v>2.81</v>
      </c>
      <c r="BL29" s="386">
        <v>3.82</v>
      </c>
      <c r="BM29" s="386">
        <v>0</v>
      </c>
      <c r="BN29" s="386">
        <v>19.5</v>
      </c>
      <c r="BO29" s="614">
        <v>910.5</v>
      </c>
      <c r="BP29" s="614">
        <v>1.8</v>
      </c>
      <c r="BQ29" s="615">
        <v>20.21</v>
      </c>
      <c r="BR29" s="615">
        <v>20.89</v>
      </c>
      <c r="BS29" s="615">
        <v>14.9</v>
      </c>
      <c r="BT29" s="615">
        <v>7.96</v>
      </c>
      <c r="BU29" s="614">
        <v>24.9</v>
      </c>
      <c r="BV29" s="614">
        <v>26.4</v>
      </c>
      <c r="BW29" s="615">
        <v>525</v>
      </c>
      <c r="BX29" s="791"/>
      <c r="BY29" s="615">
        <v>0</v>
      </c>
      <c r="BZ29" s="615">
        <v>1.29</v>
      </c>
      <c r="CA29" s="615">
        <v>1.2</v>
      </c>
      <c r="CB29" s="615">
        <v>8.4</v>
      </c>
      <c r="CC29" s="615">
        <v>8.4</v>
      </c>
      <c r="CD29" s="615">
        <v>16.5</v>
      </c>
      <c r="CE29" s="615">
        <v>30.7</v>
      </c>
      <c r="CF29" s="615">
        <v>14.6</v>
      </c>
      <c r="CG29" s="615">
        <v>7.98</v>
      </c>
      <c r="CH29" s="615">
        <v>13.7</v>
      </c>
      <c r="CI29" s="615">
        <v>17.7</v>
      </c>
      <c r="CJ29" s="615">
        <v>13.57</v>
      </c>
      <c r="CK29" s="615">
        <v>493</v>
      </c>
      <c r="CL29" s="615">
        <v>2</v>
      </c>
      <c r="CM29" s="615">
        <v>0.8</v>
      </c>
      <c r="CN29" s="613">
        <v>521.20000000000005</v>
      </c>
      <c r="CO29" s="613">
        <v>385.7</v>
      </c>
      <c r="CP29" s="615">
        <v>349.2</v>
      </c>
      <c r="CQ29" s="615">
        <v>11.4</v>
      </c>
      <c r="CR29" s="615">
        <v>0.72</v>
      </c>
      <c r="CS29" s="386">
        <v>0</v>
      </c>
      <c r="CT29" s="386">
        <v>13.249000000000001</v>
      </c>
      <c r="CU29" s="386">
        <v>40</v>
      </c>
      <c r="CV29" s="499">
        <v>0</v>
      </c>
      <c r="CW29" s="499">
        <v>0</v>
      </c>
      <c r="CX29" s="499">
        <v>0</v>
      </c>
      <c r="CY29" s="499">
        <v>0</v>
      </c>
      <c r="CZ29" s="877">
        <v>665</v>
      </c>
      <c r="DA29" s="877">
        <v>1380</v>
      </c>
      <c r="DB29" s="782">
        <v>586</v>
      </c>
      <c r="DC29" s="609">
        <v>1080.06</v>
      </c>
      <c r="DD29" s="1153">
        <f t="shared" si="16"/>
        <v>-1.999999999998181E-2</v>
      </c>
      <c r="DE29" s="1154">
        <f t="shared" si="17"/>
        <v>0</v>
      </c>
      <c r="DF29" s="1154">
        <f t="shared" si="18"/>
        <v>476</v>
      </c>
      <c r="DG29" s="1154">
        <f t="shared" si="19"/>
        <v>1130</v>
      </c>
      <c r="DH29" s="1155" t="str">
        <f t="shared" si="20"/>
        <v>Palm</v>
      </c>
      <c r="DI29" s="1146">
        <f t="shared" si="21"/>
        <v>794</v>
      </c>
      <c r="DJ29" s="1146">
        <f t="shared" si="22"/>
        <v>0</v>
      </c>
      <c r="DK29" s="1154">
        <f t="shared" si="23"/>
        <v>0</v>
      </c>
      <c r="DL29" s="615"/>
      <c r="DM29" s="643"/>
      <c r="DN29" s="615"/>
      <c r="DO29" s="499"/>
      <c r="DP29" s="499"/>
      <c r="DQ29" s="499"/>
      <c r="DR29" s="499"/>
      <c r="DS29" s="499"/>
      <c r="DT29" s="499"/>
      <c r="DU29" s="499"/>
      <c r="DV29" s="499"/>
      <c r="DW29" s="499"/>
      <c r="DX29" s="499"/>
      <c r="DY29" s="499"/>
      <c r="DZ29" s="499"/>
      <c r="EA29" s="499"/>
      <c r="EB29" s="499"/>
      <c r="EC29" s="499"/>
      <c r="ED29" s="499"/>
      <c r="EE29" s="499"/>
      <c r="EF29" s="499"/>
      <c r="EG29" s="1146">
        <f t="shared" ref="EG29:EG42" si="26">(SUM(EH29:EK29))</f>
        <v>10.5</v>
      </c>
      <c r="EH29" s="630">
        <v>0</v>
      </c>
      <c r="EI29" s="642">
        <v>1</v>
      </c>
      <c r="EJ29" s="642">
        <v>3</v>
      </c>
      <c r="EK29" s="642">
        <v>6.5</v>
      </c>
      <c r="EL29" s="499"/>
      <c r="EM29" s="499"/>
      <c r="EN29" s="499"/>
      <c r="EO29" s="499"/>
      <c r="EP29" s="499"/>
      <c r="EQ29" s="499"/>
      <c r="ER29" s="499"/>
      <c r="ES29" s="388"/>
      <c r="ET29" s="388"/>
      <c r="EV29" s="1167">
        <f t="shared" si="12"/>
        <v>16.243500000000001</v>
      </c>
    </row>
    <row r="30" spans="1:152" s="350" customFormat="1" ht="15" x14ac:dyDescent="0.25">
      <c r="A30" s="632" t="s">
        <v>9</v>
      </c>
      <c r="B30" s="662">
        <v>42756</v>
      </c>
      <c r="C30" s="1132" t="s">
        <v>904</v>
      </c>
      <c r="D30" s="636">
        <v>0.05</v>
      </c>
      <c r="E30" s="636">
        <v>0</v>
      </c>
      <c r="F30" s="636">
        <v>38</v>
      </c>
      <c r="G30" s="739">
        <v>0.6</v>
      </c>
      <c r="H30" s="739">
        <v>1.74</v>
      </c>
      <c r="I30" s="739">
        <v>14</v>
      </c>
      <c r="J30" s="636">
        <v>0</v>
      </c>
      <c r="K30" s="739">
        <v>2.08</v>
      </c>
      <c r="L30" s="741">
        <v>0</v>
      </c>
      <c r="M30" s="739">
        <v>19.600000000000001</v>
      </c>
      <c r="N30" s="739">
        <v>1.26</v>
      </c>
      <c r="O30" s="739">
        <v>1.3266616143333192</v>
      </c>
      <c r="P30" s="739">
        <v>1.28</v>
      </c>
      <c r="Q30" s="739">
        <v>0.58109701221520471</v>
      </c>
      <c r="R30" s="782">
        <v>690.38350290697679</v>
      </c>
      <c r="S30" s="739">
        <v>8.2200000000000006</v>
      </c>
      <c r="T30" s="739">
        <v>8.18</v>
      </c>
      <c r="U30" s="739">
        <v>0.76</v>
      </c>
      <c r="V30" s="739">
        <v>0.8</v>
      </c>
      <c r="W30" s="739">
        <v>39.56</v>
      </c>
      <c r="X30" s="644">
        <v>39.739999999999995</v>
      </c>
      <c r="Y30" s="739">
        <v>26.62</v>
      </c>
      <c r="Z30" s="739">
        <v>30</v>
      </c>
      <c r="AA30" s="739">
        <v>26.6</v>
      </c>
      <c r="AB30" s="739">
        <v>25.2</v>
      </c>
      <c r="AC30" s="1160">
        <f t="shared" si="13"/>
        <v>51.8</v>
      </c>
      <c r="AD30" s="1160">
        <f t="shared" si="14"/>
        <v>80.134599999999992</v>
      </c>
      <c r="AE30" s="1160">
        <f t="shared" si="15"/>
        <v>80.134599999999992</v>
      </c>
      <c r="AF30" s="542"/>
      <c r="AG30" s="1160">
        <f t="shared" si="2"/>
        <v>0</v>
      </c>
      <c r="AH30" s="351"/>
      <c r="AI30" s="351"/>
      <c r="AJ30" s="2"/>
      <c r="AK30" s="388"/>
      <c r="AL30" s="388"/>
      <c r="AM30" s="388"/>
      <c r="AN30" s="388"/>
      <c r="AO30" s="370"/>
      <c r="AP30" s="370"/>
      <c r="AQ30" s="386"/>
      <c r="AR30" s="551">
        <v>0</v>
      </c>
      <c r="AS30" s="386">
        <v>20.9</v>
      </c>
      <c r="AT30" s="386">
        <v>0</v>
      </c>
      <c r="AU30" s="386">
        <v>0</v>
      </c>
      <c r="AV30" s="636">
        <v>208.3</v>
      </c>
      <c r="AW30" s="636">
        <v>366.5</v>
      </c>
      <c r="AX30" s="386">
        <v>0</v>
      </c>
      <c r="AY30" s="551">
        <v>0</v>
      </c>
      <c r="AZ30" s="551">
        <v>0</v>
      </c>
      <c r="BA30" s="551">
        <v>0</v>
      </c>
      <c r="BB30" s="975">
        <v>0</v>
      </c>
      <c r="BC30" s="386">
        <v>0.5</v>
      </c>
      <c r="BD30" s="386">
        <v>1.5</v>
      </c>
      <c r="BE30" s="551">
        <v>0</v>
      </c>
      <c r="BF30" s="386">
        <v>0.99</v>
      </c>
      <c r="BG30" s="386">
        <v>0</v>
      </c>
      <c r="BH30" s="551">
        <v>0</v>
      </c>
      <c r="BI30" s="386">
        <v>1.06</v>
      </c>
      <c r="BJ30" s="386">
        <v>21.19</v>
      </c>
      <c r="BK30" s="386">
        <v>2.74</v>
      </c>
      <c r="BL30" s="386">
        <v>3.89</v>
      </c>
      <c r="BM30" s="386">
        <v>0</v>
      </c>
      <c r="BN30" s="386">
        <v>14.77</v>
      </c>
      <c r="BO30" s="614">
        <v>1068</v>
      </c>
      <c r="BP30" s="614">
        <v>2</v>
      </c>
      <c r="BQ30" s="615">
        <v>20.95</v>
      </c>
      <c r="BR30" s="615">
        <v>21.64</v>
      </c>
      <c r="BS30" s="615">
        <v>15.03</v>
      </c>
      <c r="BT30" s="615">
        <v>7.93</v>
      </c>
      <c r="BU30" s="614">
        <v>25</v>
      </c>
      <c r="BV30" s="614">
        <v>27.1</v>
      </c>
      <c r="BW30" s="615">
        <v>436</v>
      </c>
      <c r="BX30" s="791"/>
      <c r="BY30" s="615">
        <v>0</v>
      </c>
      <c r="BZ30" s="615">
        <v>1.31</v>
      </c>
      <c r="CA30" s="615">
        <v>1.2</v>
      </c>
      <c r="CB30" s="615">
        <v>8.4</v>
      </c>
      <c r="CC30" s="615">
        <v>8.4</v>
      </c>
      <c r="CD30" s="615">
        <v>15.8</v>
      </c>
      <c r="CE30" s="615">
        <v>30.5</v>
      </c>
      <c r="CF30" s="615">
        <v>13.8</v>
      </c>
      <c r="CG30" s="615">
        <v>8.1</v>
      </c>
      <c r="CH30" s="615">
        <v>13.9</v>
      </c>
      <c r="CI30" s="615">
        <v>18</v>
      </c>
      <c r="CJ30" s="615">
        <v>12.87</v>
      </c>
      <c r="CK30" s="615">
        <v>445.6</v>
      </c>
      <c r="CL30" s="615">
        <v>0.7</v>
      </c>
      <c r="CM30" s="615">
        <v>0.7</v>
      </c>
      <c r="CN30" s="613">
        <v>651.4</v>
      </c>
      <c r="CO30" s="613">
        <v>387.2</v>
      </c>
      <c r="CP30" s="615">
        <v>342.2</v>
      </c>
      <c r="CQ30" s="615">
        <v>10.7</v>
      </c>
      <c r="CR30" s="615">
        <v>0.67</v>
      </c>
      <c r="CS30" s="386">
        <v>0</v>
      </c>
      <c r="CT30" s="386">
        <v>12.478999999999999</v>
      </c>
      <c r="CU30" s="386">
        <v>40</v>
      </c>
      <c r="CV30" s="499">
        <v>0</v>
      </c>
      <c r="CW30" s="499">
        <v>0</v>
      </c>
      <c r="CX30" s="499">
        <v>0</v>
      </c>
      <c r="CY30" s="499">
        <v>0</v>
      </c>
      <c r="CZ30" s="877">
        <v>674</v>
      </c>
      <c r="DA30" s="877">
        <v>1220</v>
      </c>
      <c r="DB30" s="782">
        <v>605</v>
      </c>
      <c r="DC30" s="609">
        <v>1080.67</v>
      </c>
      <c r="DD30" s="1153">
        <f t="shared" si="16"/>
        <v>0.61000000000012733</v>
      </c>
      <c r="DE30" s="1154">
        <f t="shared" si="17"/>
        <v>0</v>
      </c>
      <c r="DF30" s="1154">
        <f t="shared" si="18"/>
        <v>495</v>
      </c>
      <c r="DG30" s="1154">
        <f t="shared" si="19"/>
        <v>970</v>
      </c>
      <c r="DH30" s="1155" t="str">
        <f t="shared" si="20"/>
        <v>Palm</v>
      </c>
      <c r="DI30" s="1146">
        <f t="shared" si="21"/>
        <v>615</v>
      </c>
      <c r="DJ30" s="1146">
        <f t="shared" si="22"/>
        <v>0</v>
      </c>
      <c r="DK30" s="1154">
        <f t="shared" si="23"/>
        <v>0</v>
      </c>
      <c r="DL30" s="615"/>
      <c r="DM30" s="643"/>
      <c r="DN30" s="615"/>
      <c r="DO30" s="499"/>
      <c r="DP30" s="499"/>
      <c r="DQ30" s="499"/>
      <c r="DR30" s="499"/>
      <c r="DS30" s="499"/>
      <c r="DT30" s="499"/>
      <c r="DU30" s="499"/>
      <c r="DV30" s="499"/>
      <c r="DW30" s="499"/>
      <c r="DX30" s="499"/>
      <c r="DY30" s="499"/>
      <c r="DZ30" s="499"/>
      <c r="EA30" s="499"/>
      <c r="EB30" s="499"/>
      <c r="EC30" s="499"/>
      <c r="ED30" s="499"/>
      <c r="EE30" s="499"/>
      <c r="EF30" s="499"/>
      <c r="EG30" s="1146">
        <f t="shared" si="26"/>
        <v>10.5</v>
      </c>
      <c r="EH30" s="630">
        <v>0</v>
      </c>
      <c r="EI30" s="642">
        <v>1</v>
      </c>
      <c r="EJ30" s="642">
        <v>3</v>
      </c>
      <c r="EK30" s="642">
        <v>6.5</v>
      </c>
      <c r="EL30" s="499"/>
      <c r="EM30" s="499"/>
      <c r="EN30" s="499"/>
      <c r="EO30" s="499"/>
      <c r="EP30" s="499"/>
      <c r="EQ30" s="499"/>
      <c r="ER30" s="499"/>
      <c r="ES30" s="388"/>
      <c r="ET30" s="388"/>
      <c r="EV30" s="1167">
        <f t="shared" si="12"/>
        <v>16.243500000000001</v>
      </c>
    </row>
    <row r="31" spans="1:152" s="350" customFormat="1" ht="15" x14ac:dyDescent="0.25">
      <c r="A31" s="632" t="s">
        <v>3</v>
      </c>
      <c r="B31" s="662">
        <v>42757</v>
      </c>
      <c r="C31" s="1132" t="s">
        <v>904</v>
      </c>
      <c r="D31" s="636">
        <v>0</v>
      </c>
      <c r="E31" s="636">
        <v>0</v>
      </c>
      <c r="F31" s="636">
        <v>35</v>
      </c>
      <c r="G31" s="739">
        <v>0.6</v>
      </c>
      <c r="H31" s="739">
        <v>2.04</v>
      </c>
      <c r="I31" s="739">
        <v>14.3</v>
      </c>
      <c r="J31" s="636">
        <v>0</v>
      </c>
      <c r="K31" s="739">
        <v>1.5</v>
      </c>
      <c r="L31" s="741">
        <v>0</v>
      </c>
      <c r="M31" s="739">
        <v>19.5</v>
      </c>
      <c r="N31" s="739">
        <v>1.29</v>
      </c>
      <c r="O31" s="739">
        <v>1.3499441483635708</v>
      </c>
      <c r="P31" s="739">
        <v>1.28</v>
      </c>
      <c r="Q31" s="739">
        <v>0.58536541825841693</v>
      </c>
      <c r="R31" s="782">
        <v>576.70857558139539</v>
      </c>
      <c r="S31" s="739">
        <v>8.33</v>
      </c>
      <c r="T31" s="739">
        <v>8.34</v>
      </c>
      <c r="U31" s="739">
        <v>0.76</v>
      </c>
      <c r="V31" s="739">
        <v>0.8</v>
      </c>
      <c r="W31" s="739">
        <v>40.100000000000009</v>
      </c>
      <c r="X31" s="644">
        <v>40.100000000000009</v>
      </c>
      <c r="Y31" s="739">
        <v>26.6</v>
      </c>
      <c r="Z31" s="739">
        <v>23.16</v>
      </c>
      <c r="AA31" s="739">
        <v>25.2</v>
      </c>
      <c r="AB31" s="739">
        <v>18.91</v>
      </c>
      <c r="AC31" s="1160">
        <f t="shared" si="13"/>
        <v>44.11</v>
      </c>
      <c r="AD31" s="1160">
        <f t="shared" si="14"/>
        <v>68.238169999999997</v>
      </c>
      <c r="AE31" s="1160">
        <f t="shared" si="15"/>
        <v>68.238169999999997</v>
      </c>
      <c r="AF31" s="542"/>
      <c r="AG31" s="1160">
        <f t="shared" si="2"/>
        <v>0</v>
      </c>
      <c r="AH31" s="351"/>
      <c r="AI31" s="351"/>
      <c r="AJ31" s="2"/>
      <c r="AK31" s="388"/>
      <c r="AL31" s="388"/>
      <c r="AM31" s="388"/>
      <c r="AN31" s="388"/>
      <c r="AO31" s="370"/>
      <c r="AP31" s="370"/>
      <c r="AQ31" s="386"/>
      <c r="AR31" s="551">
        <v>0</v>
      </c>
      <c r="AS31" s="386">
        <v>12</v>
      </c>
      <c r="AT31" s="386">
        <v>0</v>
      </c>
      <c r="AU31" s="386">
        <v>0</v>
      </c>
      <c r="AV31" s="636">
        <v>235.1</v>
      </c>
      <c r="AW31" s="636">
        <v>431</v>
      </c>
      <c r="AX31" s="386">
        <v>0</v>
      </c>
      <c r="AY31" s="551">
        <v>0</v>
      </c>
      <c r="AZ31" s="551">
        <v>0</v>
      </c>
      <c r="BA31" s="551">
        <v>0</v>
      </c>
      <c r="BB31" s="975">
        <v>0</v>
      </c>
      <c r="BC31" s="386">
        <v>0.49</v>
      </c>
      <c r="BD31" s="386">
        <v>1.5</v>
      </c>
      <c r="BE31" s="551">
        <v>0</v>
      </c>
      <c r="BF31" s="386">
        <v>1</v>
      </c>
      <c r="BG31" s="386">
        <v>0</v>
      </c>
      <c r="BH31" s="551">
        <v>0</v>
      </c>
      <c r="BI31" s="386">
        <v>1.01</v>
      </c>
      <c r="BJ31" s="386">
        <v>14.91</v>
      </c>
      <c r="BK31" s="386">
        <v>2.89</v>
      </c>
      <c r="BL31" s="386">
        <v>3.59</v>
      </c>
      <c r="BM31" s="386">
        <v>0</v>
      </c>
      <c r="BN31" s="386">
        <v>8.5670000000000002</v>
      </c>
      <c r="BO31" s="612">
        <v>977.6</v>
      </c>
      <c r="BP31" s="614">
        <v>1.9</v>
      </c>
      <c r="BQ31" s="615">
        <v>19.95</v>
      </c>
      <c r="BR31" s="615">
        <v>20.62</v>
      </c>
      <c r="BS31" s="615">
        <v>13.9</v>
      </c>
      <c r="BT31" s="615">
        <v>7.48</v>
      </c>
      <c r="BU31" s="614">
        <v>23.5</v>
      </c>
      <c r="BV31" s="614">
        <v>30.9</v>
      </c>
      <c r="BW31" s="615">
        <v>580</v>
      </c>
      <c r="BX31" s="791"/>
      <c r="BY31" s="615">
        <v>0</v>
      </c>
      <c r="BZ31" s="615">
        <v>1.35</v>
      </c>
      <c r="CA31" s="615">
        <v>1.2</v>
      </c>
      <c r="CB31" s="615">
        <v>8.5</v>
      </c>
      <c r="CC31" s="615">
        <v>8.3000000000000007</v>
      </c>
      <c r="CD31" s="615">
        <v>16.3</v>
      </c>
      <c r="CE31" s="615">
        <v>30.5</v>
      </c>
      <c r="CF31" s="615">
        <v>12.9</v>
      </c>
      <c r="CG31" s="615">
        <v>7.8</v>
      </c>
      <c r="CH31" s="615">
        <v>13.5</v>
      </c>
      <c r="CI31" s="615">
        <v>17.5</v>
      </c>
      <c r="CJ31" s="615">
        <v>12.11</v>
      </c>
      <c r="CK31" s="615">
        <v>334.1</v>
      </c>
      <c r="CL31" s="615">
        <v>0.3</v>
      </c>
      <c r="CM31" s="613">
        <v>0.1</v>
      </c>
      <c r="CN31" s="613">
        <v>595</v>
      </c>
      <c r="CO31" s="613">
        <v>401.8</v>
      </c>
      <c r="CP31" s="613">
        <v>349.9</v>
      </c>
      <c r="CQ31" s="615">
        <v>7.6</v>
      </c>
      <c r="CR31" s="615">
        <v>0.5</v>
      </c>
      <c r="CS31" s="386">
        <v>0</v>
      </c>
      <c r="CT31" s="386">
        <v>7.7990000000000004</v>
      </c>
      <c r="CU31" s="386">
        <v>40</v>
      </c>
      <c r="CV31" s="499">
        <v>0</v>
      </c>
      <c r="CW31" s="499">
        <v>0</v>
      </c>
      <c r="CX31" s="499">
        <v>0</v>
      </c>
      <c r="CY31" s="499">
        <v>0</v>
      </c>
      <c r="CZ31" s="877">
        <v>674</v>
      </c>
      <c r="DA31" s="877">
        <v>1210</v>
      </c>
      <c r="DB31" s="782">
        <v>616</v>
      </c>
      <c r="DC31" s="609">
        <v>1080.8399999999999</v>
      </c>
      <c r="DD31" s="1153">
        <f t="shared" si="16"/>
        <v>0.16999999999984539</v>
      </c>
      <c r="DE31" s="1154">
        <f t="shared" si="17"/>
        <v>0</v>
      </c>
      <c r="DF31" s="1154">
        <f t="shared" si="18"/>
        <v>506</v>
      </c>
      <c r="DG31" s="1154">
        <f t="shared" si="19"/>
        <v>960</v>
      </c>
      <c r="DH31" s="1155" t="str">
        <f t="shared" si="20"/>
        <v>Palm</v>
      </c>
      <c r="DI31" s="1146">
        <f t="shared" si="21"/>
        <v>594</v>
      </c>
      <c r="DJ31" s="1146">
        <f t="shared" si="22"/>
        <v>0</v>
      </c>
      <c r="DK31" s="1154">
        <f t="shared" si="23"/>
        <v>0</v>
      </c>
      <c r="DL31" s="615"/>
      <c r="DM31" s="643"/>
      <c r="DN31" s="615"/>
      <c r="DO31" s="499"/>
      <c r="DP31" s="499"/>
      <c r="DQ31" s="499"/>
      <c r="DR31" s="499"/>
      <c r="DS31" s="499"/>
      <c r="DT31" s="499"/>
      <c r="DU31" s="499"/>
      <c r="DV31" s="499"/>
      <c r="DW31" s="499"/>
      <c r="DX31" s="499"/>
      <c r="DY31" s="499"/>
      <c r="DZ31" s="499"/>
      <c r="EA31" s="499"/>
      <c r="EB31" s="499"/>
      <c r="EC31" s="499"/>
      <c r="ED31" s="499"/>
      <c r="EE31" s="499"/>
      <c r="EF31" s="499"/>
      <c r="EG31" s="1146">
        <f t="shared" si="26"/>
        <v>10.5</v>
      </c>
      <c r="EH31" s="630">
        <v>0</v>
      </c>
      <c r="EI31" s="642">
        <v>1</v>
      </c>
      <c r="EJ31" s="642">
        <v>3</v>
      </c>
      <c r="EK31" s="642">
        <v>6.5</v>
      </c>
      <c r="EL31" s="499"/>
      <c r="EM31" s="499"/>
      <c r="EN31" s="499"/>
      <c r="EO31" s="499"/>
      <c r="EP31" s="499"/>
      <c r="EQ31" s="499"/>
      <c r="ER31" s="499"/>
      <c r="ES31" s="388"/>
      <c r="ET31" s="388"/>
      <c r="EV31" s="1167">
        <f t="shared" si="12"/>
        <v>16.243500000000001</v>
      </c>
    </row>
    <row r="32" spans="1:152" s="350" customFormat="1" ht="15" x14ac:dyDescent="0.25">
      <c r="A32" s="632" t="s">
        <v>4</v>
      </c>
      <c r="B32" s="662">
        <v>42758</v>
      </c>
      <c r="C32" s="1132" t="s">
        <v>904</v>
      </c>
      <c r="D32" s="636">
        <v>0</v>
      </c>
      <c r="E32" s="636">
        <v>0</v>
      </c>
      <c r="F32" s="636">
        <v>31</v>
      </c>
      <c r="G32" s="739">
        <v>0.6</v>
      </c>
      <c r="H32" s="739">
        <v>1.6</v>
      </c>
      <c r="I32" s="739">
        <v>14.6</v>
      </c>
      <c r="J32" s="636">
        <v>0</v>
      </c>
      <c r="K32" s="739">
        <v>1.18</v>
      </c>
      <c r="L32" s="741">
        <v>0</v>
      </c>
      <c r="M32" s="739">
        <v>19.5</v>
      </c>
      <c r="N32" s="739">
        <v>1.31</v>
      </c>
      <c r="O32" s="739">
        <v>1.3911833522404993</v>
      </c>
      <c r="P32" s="739">
        <v>1.29</v>
      </c>
      <c r="Q32" s="739">
        <v>0.6041627351076716</v>
      </c>
      <c r="R32" s="782">
        <v>560.37405523255813</v>
      </c>
      <c r="S32" s="739">
        <v>8.24</v>
      </c>
      <c r="T32" s="739">
        <v>8.33</v>
      </c>
      <c r="U32" s="739">
        <v>0.73</v>
      </c>
      <c r="V32" s="739">
        <v>0.82</v>
      </c>
      <c r="W32" s="739">
        <v>39.56</v>
      </c>
      <c r="X32" s="644">
        <v>39.56</v>
      </c>
      <c r="Y32" s="739">
        <v>25.2</v>
      </c>
      <c r="Z32" s="739">
        <v>18.850000000000001</v>
      </c>
      <c r="AA32" s="739">
        <v>24.5</v>
      </c>
      <c r="AB32" s="739">
        <v>17.010000000000002</v>
      </c>
      <c r="AC32" s="1160">
        <f t="shared" si="13"/>
        <v>41.510000000000005</v>
      </c>
      <c r="AD32" s="1160">
        <f t="shared" si="14"/>
        <v>64.215969999999999</v>
      </c>
      <c r="AE32" s="1160">
        <f t="shared" si="15"/>
        <v>64.215969999999999</v>
      </c>
      <c r="AF32" s="542"/>
      <c r="AG32" s="1160">
        <f t="shared" si="2"/>
        <v>0</v>
      </c>
      <c r="AH32" s="351"/>
      <c r="AI32" s="351"/>
      <c r="AJ32" s="2"/>
      <c r="AK32" s="388"/>
      <c r="AL32" s="388"/>
      <c r="AM32" s="388"/>
      <c r="AN32" s="388"/>
      <c r="AO32" s="370"/>
      <c r="AP32" s="370"/>
      <c r="AQ32" s="386"/>
      <c r="AR32" s="551">
        <v>0</v>
      </c>
      <c r="AS32" s="386">
        <v>20</v>
      </c>
      <c r="AT32" s="386">
        <v>0</v>
      </c>
      <c r="AU32" s="386">
        <v>0</v>
      </c>
      <c r="AV32" s="636">
        <v>234</v>
      </c>
      <c r="AW32" s="636">
        <v>300.39999999999998</v>
      </c>
      <c r="AX32" s="386">
        <v>0</v>
      </c>
      <c r="AY32" s="551">
        <v>0</v>
      </c>
      <c r="AZ32" s="551">
        <v>0</v>
      </c>
      <c r="BA32" s="551">
        <v>0</v>
      </c>
      <c r="BB32" s="975">
        <v>0</v>
      </c>
      <c r="BC32" s="386">
        <v>0.48</v>
      </c>
      <c r="BD32" s="386">
        <v>1.5</v>
      </c>
      <c r="BE32" s="551">
        <v>0</v>
      </c>
      <c r="BF32" s="386">
        <v>1</v>
      </c>
      <c r="BG32" s="386">
        <v>0</v>
      </c>
      <c r="BH32" s="551">
        <v>0</v>
      </c>
      <c r="BI32" s="386">
        <v>1.05</v>
      </c>
      <c r="BJ32" s="386">
        <v>13.01</v>
      </c>
      <c r="BK32" s="386">
        <v>2.88</v>
      </c>
      <c r="BL32" s="386">
        <v>3.69</v>
      </c>
      <c r="BM32" s="386">
        <v>0</v>
      </c>
      <c r="BN32" s="386">
        <v>6.69</v>
      </c>
      <c r="BO32" s="612">
        <v>690.8</v>
      </c>
      <c r="BP32" s="614">
        <v>160.69999999999999</v>
      </c>
      <c r="BQ32" s="615">
        <v>18.809999999999999</v>
      </c>
      <c r="BR32" s="615">
        <v>19.47</v>
      </c>
      <c r="BS32" s="615">
        <v>13.52</v>
      </c>
      <c r="BT32" s="615">
        <v>7.44</v>
      </c>
      <c r="BU32" s="614">
        <v>23.1</v>
      </c>
      <c r="BV32" s="614">
        <v>30.4</v>
      </c>
      <c r="BW32" s="615">
        <v>559.6</v>
      </c>
      <c r="BX32" s="791"/>
      <c r="BY32" s="615">
        <v>0</v>
      </c>
      <c r="BZ32" s="615">
        <v>1.34</v>
      </c>
      <c r="CA32" s="615">
        <v>1.2</v>
      </c>
      <c r="CB32" s="615">
        <v>8.5</v>
      </c>
      <c r="CC32" s="615">
        <v>8.3000000000000007</v>
      </c>
      <c r="CD32" s="615">
        <v>15.59</v>
      </c>
      <c r="CE32" s="615">
        <v>30.5</v>
      </c>
      <c r="CF32" s="615">
        <v>12.6</v>
      </c>
      <c r="CG32" s="615">
        <v>7.3</v>
      </c>
      <c r="CH32" s="615">
        <v>12.77</v>
      </c>
      <c r="CI32" s="615">
        <v>17.2</v>
      </c>
      <c r="CJ32" s="615">
        <v>11.54</v>
      </c>
      <c r="CK32" s="615">
        <v>255.6</v>
      </c>
      <c r="CL32" s="615">
        <v>0.6</v>
      </c>
      <c r="CM32" s="613">
        <v>0.2</v>
      </c>
      <c r="CN32" s="613">
        <v>758.6</v>
      </c>
      <c r="CO32" s="613">
        <v>375.2</v>
      </c>
      <c r="CP32" s="613">
        <v>338.1</v>
      </c>
      <c r="CQ32" s="615">
        <v>5.6</v>
      </c>
      <c r="CR32" s="615">
        <v>0.38</v>
      </c>
      <c r="CS32" s="386">
        <v>0</v>
      </c>
      <c r="CT32" s="386">
        <v>6.1950000000000003</v>
      </c>
      <c r="CU32" s="386">
        <v>40</v>
      </c>
      <c r="CV32" s="499">
        <v>0</v>
      </c>
      <c r="CW32" s="499">
        <v>0</v>
      </c>
      <c r="CX32" s="499">
        <v>0</v>
      </c>
      <c r="CY32" s="499">
        <v>0</v>
      </c>
      <c r="CZ32" s="877">
        <v>670</v>
      </c>
      <c r="DA32" s="877">
        <v>1160</v>
      </c>
      <c r="DB32" s="782">
        <v>605</v>
      </c>
      <c r="DC32" s="609">
        <v>1080.27</v>
      </c>
      <c r="DD32" s="1153">
        <f t="shared" si="16"/>
        <v>-0.56999999999993634</v>
      </c>
      <c r="DE32" s="1154">
        <f t="shared" si="17"/>
        <v>0</v>
      </c>
      <c r="DF32" s="1154">
        <f t="shared" si="18"/>
        <v>495</v>
      </c>
      <c r="DG32" s="1154">
        <f t="shared" si="19"/>
        <v>910</v>
      </c>
      <c r="DH32" s="1155" t="str">
        <f t="shared" si="20"/>
        <v>Palm</v>
      </c>
      <c r="DI32" s="1146">
        <f t="shared" si="21"/>
        <v>555</v>
      </c>
      <c r="DJ32" s="1146">
        <f t="shared" si="22"/>
        <v>0</v>
      </c>
      <c r="DK32" s="1154">
        <f t="shared" si="23"/>
        <v>0</v>
      </c>
      <c r="DL32" s="615"/>
      <c r="DM32" s="643"/>
      <c r="DN32" s="615"/>
      <c r="DO32" s="499"/>
      <c r="DP32" s="499"/>
      <c r="DQ32" s="499"/>
      <c r="DR32" s="499"/>
      <c r="DS32" s="499"/>
      <c r="DT32" s="499"/>
      <c r="DU32" s="499"/>
      <c r="DV32" s="499"/>
      <c r="DW32" s="499"/>
      <c r="DX32" s="499"/>
      <c r="DY32" s="499"/>
      <c r="DZ32" s="499"/>
      <c r="EA32" s="499"/>
      <c r="EB32" s="499"/>
      <c r="EC32" s="499"/>
      <c r="ED32" s="499"/>
      <c r="EE32" s="499"/>
      <c r="EF32" s="499"/>
      <c r="EG32" s="1146">
        <f t="shared" si="26"/>
        <v>10.5</v>
      </c>
      <c r="EH32" s="630">
        <v>0</v>
      </c>
      <c r="EI32" s="642">
        <v>1</v>
      </c>
      <c r="EJ32" s="642">
        <v>3</v>
      </c>
      <c r="EK32" s="642">
        <v>6.5</v>
      </c>
      <c r="EL32" s="499"/>
      <c r="EM32" s="499"/>
      <c r="EN32" s="499"/>
      <c r="EO32" s="499"/>
      <c r="EP32" s="499"/>
      <c r="EQ32" s="499"/>
      <c r="ER32" s="499"/>
      <c r="ES32" s="388"/>
      <c r="ET32" s="388"/>
      <c r="EV32" s="1167">
        <f t="shared" si="12"/>
        <v>16.243500000000001</v>
      </c>
    </row>
    <row r="33" spans="1:152" s="350" customFormat="1" ht="15" x14ac:dyDescent="0.25">
      <c r="A33" s="632" t="s">
        <v>5</v>
      </c>
      <c r="B33" s="662">
        <v>42759</v>
      </c>
      <c r="C33" s="1132" t="s">
        <v>904</v>
      </c>
      <c r="D33" s="636">
        <v>0</v>
      </c>
      <c r="E33" s="636">
        <v>0</v>
      </c>
      <c r="F33" s="636">
        <v>35</v>
      </c>
      <c r="G33" s="739">
        <v>0.6</v>
      </c>
      <c r="H33" s="739">
        <v>1.22</v>
      </c>
      <c r="I33" s="739">
        <v>14.5</v>
      </c>
      <c r="J33" s="636">
        <v>0</v>
      </c>
      <c r="K33" s="739">
        <v>1.05</v>
      </c>
      <c r="L33" s="741">
        <v>0</v>
      </c>
      <c r="M33" s="739">
        <v>19.100000000000001</v>
      </c>
      <c r="N33" s="739">
        <v>1.3</v>
      </c>
      <c r="O33" s="739">
        <v>1.322265736055229</v>
      </c>
      <c r="P33" s="739">
        <v>1.29</v>
      </c>
      <c r="Q33" s="739">
        <v>0.59464836132593335</v>
      </c>
      <c r="R33" s="782">
        <v>534.3721656976744</v>
      </c>
      <c r="S33" s="739">
        <v>8.2100000000000009</v>
      </c>
      <c r="T33" s="739">
        <v>8.24</v>
      </c>
      <c r="U33" s="739">
        <v>0.76</v>
      </c>
      <c r="V33" s="739">
        <v>0.87</v>
      </c>
      <c r="W33" s="739">
        <v>38.660000000000011</v>
      </c>
      <c r="X33" s="644">
        <v>38.840000000000003</v>
      </c>
      <c r="Y33" s="739">
        <v>24.5</v>
      </c>
      <c r="Z33" s="739">
        <v>17</v>
      </c>
      <c r="AA33" s="739">
        <v>24.5</v>
      </c>
      <c r="AB33" s="739">
        <v>17.02</v>
      </c>
      <c r="AC33" s="1160">
        <f t="shared" si="13"/>
        <v>41.519999999999996</v>
      </c>
      <c r="AD33" s="1160">
        <f t="shared" si="14"/>
        <v>64.231439999999992</v>
      </c>
      <c r="AE33" s="1160">
        <f t="shared" si="15"/>
        <v>64.231439999999992</v>
      </c>
      <c r="AF33" s="542"/>
      <c r="AG33" s="1160">
        <f t="shared" si="2"/>
        <v>0</v>
      </c>
      <c r="AH33" s="351"/>
      <c r="AI33" s="351"/>
      <c r="AJ33" s="2"/>
      <c r="AK33" s="388"/>
      <c r="AL33" s="388"/>
      <c r="AM33" s="388"/>
      <c r="AN33" s="388"/>
      <c r="AO33" s="370"/>
      <c r="AP33" s="370"/>
      <c r="AQ33" s="386"/>
      <c r="AR33" s="551">
        <v>0</v>
      </c>
      <c r="AS33" s="386">
        <v>10.4</v>
      </c>
      <c r="AT33" s="1171">
        <v>0.54</v>
      </c>
      <c r="AU33" s="386">
        <v>0</v>
      </c>
      <c r="AV33" s="636">
        <v>236.5</v>
      </c>
      <c r="AW33" s="636">
        <v>479.4</v>
      </c>
      <c r="AX33" s="386">
        <v>0</v>
      </c>
      <c r="AY33" s="551">
        <v>0</v>
      </c>
      <c r="AZ33" s="551">
        <v>0</v>
      </c>
      <c r="BA33" s="551">
        <v>0</v>
      </c>
      <c r="BB33" s="975">
        <v>0</v>
      </c>
      <c r="BC33" s="386">
        <v>0.49</v>
      </c>
      <c r="BD33" s="386">
        <v>1.5</v>
      </c>
      <c r="BE33" s="551">
        <v>0</v>
      </c>
      <c r="BF33" s="386">
        <v>1</v>
      </c>
      <c r="BG33" s="386">
        <v>0</v>
      </c>
      <c r="BH33" s="551">
        <v>0</v>
      </c>
      <c r="BI33" s="386">
        <v>1.05</v>
      </c>
      <c r="BJ33" s="386">
        <v>13.01</v>
      </c>
      <c r="BK33" s="386">
        <v>2.98</v>
      </c>
      <c r="BL33" s="386">
        <v>3.57</v>
      </c>
      <c r="BM33" s="386">
        <v>0</v>
      </c>
      <c r="BN33" s="386">
        <v>6.6829999999999998</v>
      </c>
      <c r="BO33" s="612">
        <v>171.5</v>
      </c>
      <c r="BP33" s="614">
        <v>491.5</v>
      </c>
      <c r="BQ33" s="615">
        <v>18.5</v>
      </c>
      <c r="BR33" s="615">
        <v>19.190000000000001</v>
      </c>
      <c r="BS33" s="615">
        <v>13.13</v>
      </c>
      <c r="BT33" s="615">
        <v>7.18</v>
      </c>
      <c r="BU33" s="614">
        <v>22.5</v>
      </c>
      <c r="BV33" s="614">
        <v>27.2</v>
      </c>
      <c r="BW33" s="615">
        <v>395.9</v>
      </c>
      <c r="BX33" s="791"/>
      <c r="BY33" s="615">
        <v>0</v>
      </c>
      <c r="BZ33" s="615">
        <v>1.23</v>
      </c>
      <c r="CA33" s="615">
        <v>1.2</v>
      </c>
      <c r="CB33" s="615">
        <v>8.4</v>
      </c>
      <c r="CC33" s="615">
        <v>8.3000000000000007</v>
      </c>
      <c r="CD33" s="615">
        <v>15.52</v>
      </c>
      <c r="CE33" s="615">
        <v>30.5</v>
      </c>
      <c r="CF33" s="615">
        <v>12.9</v>
      </c>
      <c r="CG33" s="615">
        <v>6.8</v>
      </c>
      <c r="CH33" s="615">
        <v>12.3</v>
      </c>
      <c r="CI33" s="615">
        <v>16.489999999999998</v>
      </c>
      <c r="CJ33" s="615">
        <v>11.32</v>
      </c>
      <c r="CK33" s="615">
        <v>234.9</v>
      </c>
      <c r="CL33" s="615">
        <v>0</v>
      </c>
      <c r="CM33" s="613">
        <v>0.1</v>
      </c>
      <c r="CN33" s="613">
        <v>586.1</v>
      </c>
      <c r="CO33" s="613">
        <v>366.8</v>
      </c>
      <c r="CP33" s="613">
        <v>339.6</v>
      </c>
      <c r="CQ33" s="615">
        <v>5.4</v>
      </c>
      <c r="CR33" s="615">
        <v>0.36</v>
      </c>
      <c r="CS33" s="386">
        <v>288.89999999999998</v>
      </c>
      <c r="CT33" s="386">
        <v>2.8450000000000002</v>
      </c>
      <c r="CU33" s="386">
        <v>41</v>
      </c>
      <c r="CV33" s="499">
        <v>0</v>
      </c>
      <c r="CW33" s="499">
        <v>0</v>
      </c>
      <c r="CX33" s="499">
        <v>0</v>
      </c>
      <c r="CY33" s="499">
        <v>0</v>
      </c>
      <c r="CZ33" s="877">
        <v>608</v>
      </c>
      <c r="DA33" s="877">
        <v>1069</v>
      </c>
      <c r="DB33" s="782">
        <v>543</v>
      </c>
      <c r="DC33" s="609">
        <v>1079.54</v>
      </c>
      <c r="DD33" s="1153">
        <f t="shared" si="16"/>
        <v>-0.73000000000001819</v>
      </c>
      <c r="DE33" s="1154">
        <f t="shared" si="17"/>
        <v>1.2763370879999998</v>
      </c>
      <c r="DF33" s="1154">
        <f t="shared" si="18"/>
        <v>433</v>
      </c>
      <c r="DG33" s="1154">
        <f t="shared" si="19"/>
        <v>819</v>
      </c>
      <c r="DH33" s="1155" t="str">
        <f t="shared" si="20"/>
        <v>Palm</v>
      </c>
      <c r="DI33" s="1146">
        <f t="shared" si="21"/>
        <v>526</v>
      </c>
      <c r="DJ33" s="1146">
        <f t="shared" si="22"/>
        <v>0.41601599999999994</v>
      </c>
      <c r="DK33" s="1154">
        <f t="shared" si="23"/>
        <v>1.2763370879999998</v>
      </c>
      <c r="DL33" s="615"/>
      <c r="DM33" s="643"/>
      <c r="DN33" s="615"/>
      <c r="DO33" s="499"/>
      <c r="DP33" s="499"/>
      <c r="DQ33" s="499"/>
      <c r="DR33" s="499"/>
      <c r="DS33" s="499"/>
      <c r="DT33" s="499"/>
      <c r="DU33" s="499"/>
      <c r="DV33" s="499"/>
      <c r="DW33" s="499"/>
      <c r="DX33" s="499"/>
      <c r="DY33" s="499"/>
      <c r="DZ33" s="499"/>
      <c r="EA33" s="499"/>
      <c r="EB33" s="499"/>
      <c r="EC33" s="499"/>
      <c r="ED33" s="499"/>
      <c r="EE33" s="499"/>
      <c r="EF33" s="499"/>
      <c r="EG33" s="1146">
        <f t="shared" si="26"/>
        <v>10.5</v>
      </c>
      <c r="EH33" s="630">
        <v>0</v>
      </c>
      <c r="EI33" s="642">
        <v>1</v>
      </c>
      <c r="EJ33" s="642">
        <v>3</v>
      </c>
      <c r="EK33" s="642">
        <v>6.5</v>
      </c>
      <c r="EL33" s="499"/>
      <c r="EM33" s="499"/>
      <c r="EN33" s="499"/>
      <c r="EO33" s="499"/>
      <c r="EP33" s="499"/>
      <c r="EQ33" s="499"/>
      <c r="ER33" s="499"/>
      <c r="ES33" s="388"/>
      <c r="ET33" s="388"/>
      <c r="EV33" s="1167">
        <f t="shared" si="12"/>
        <v>16.243500000000001</v>
      </c>
    </row>
    <row r="34" spans="1:152" s="350" customFormat="1" ht="15" x14ac:dyDescent="0.25">
      <c r="A34" s="632" t="s">
        <v>6</v>
      </c>
      <c r="B34" s="662">
        <v>42760</v>
      </c>
      <c r="C34" s="1132" t="s">
        <v>904</v>
      </c>
      <c r="D34" s="636">
        <v>0.55000000000000004</v>
      </c>
      <c r="E34" s="636">
        <v>0</v>
      </c>
      <c r="F34" s="636">
        <v>36</v>
      </c>
      <c r="G34" s="739">
        <v>0.6</v>
      </c>
      <c r="H34" s="739">
        <v>1.34</v>
      </c>
      <c r="I34" s="739">
        <v>13.9</v>
      </c>
      <c r="J34" s="636">
        <v>0</v>
      </c>
      <c r="K34" s="739">
        <v>1.05</v>
      </c>
      <c r="L34" s="741">
        <v>0</v>
      </c>
      <c r="M34" s="739">
        <v>19.3</v>
      </c>
      <c r="N34" s="739">
        <v>1.36</v>
      </c>
      <c r="O34" s="739">
        <v>1.2624964549064095</v>
      </c>
      <c r="P34" s="739">
        <v>1.29</v>
      </c>
      <c r="Q34" s="739">
        <v>0.57799820720880724</v>
      </c>
      <c r="R34" s="782">
        <v>512.70392441860463</v>
      </c>
      <c r="S34" s="739">
        <v>8.18</v>
      </c>
      <c r="T34" s="739">
        <v>8.2200000000000006</v>
      </c>
      <c r="U34" s="739">
        <v>0.78</v>
      </c>
      <c r="V34" s="739">
        <v>0.86</v>
      </c>
      <c r="W34" s="739">
        <f>X34</f>
        <v>38.840000000000003</v>
      </c>
      <c r="X34" s="644">
        <v>38.840000000000003</v>
      </c>
      <c r="Y34" s="739">
        <v>24.5</v>
      </c>
      <c r="Z34" s="739">
        <v>17</v>
      </c>
      <c r="AA34" s="739">
        <v>24.4</v>
      </c>
      <c r="AB34" s="739">
        <v>17.02</v>
      </c>
      <c r="AC34" s="1160">
        <f t="shared" si="13"/>
        <v>41.42</v>
      </c>
      <c r="AD34" s="1160">
        <f t="shared" si="14"/>
        <v>64.076740000000001</v>
      </c>
      <c r="AE34" s="1160">
        <f t="shared" si="15"/>
        <v>64.076740000000001</v>
      </c>
      <c r="AF34" s="542"/>
      <c r="AG34" s="1160">
        <f t="shared" si="2"/>
        <v>0</v>
      </c>
      <c r="AH34" s="351"/>
      <c r="AI34" s="351"/>
      <c r="AJ34" s="2"/>
      <c r="AK34" s="388"/>
      <c r="AL34" s="388"/>
      <c r="AM34" s="388"/>
      <c r="AN34" s="388"/>
      <c r="AO34" s="370"/>
      <c r="AP34" s="370"/>
      <c r="AQ34" s="386"/>
      <c r="AR34" s="551">
        <v>0</v>
      </c>
      <c r="AS34" s="386">
        <v>21.1</v>
      </c>
      <c r="AT34" s="1171">
        <v>1.1000000000000001</v>
      </c>
      <c r="AU34" s="386">
        <v>0</v>
      </c>
      <c r="AV34" s="636">
        <v>311.3</v>
      </c>
      <c r="AW34" s="636">
        <v>456.3</v>
      </c>
      <c r="AX34" s="386">
        <v>0</v>
      </c>
      <c r="AY34" s="551">
        <v>0</v>
      </c>
      <c r="AZ34" s="551">
        <v>0</v>
      </c>
      <c r="BA34" s="551">
        <v>0</v>
      </c>
      <c r="BB34" s="975">
        <v>0</v>
      </c>
      <c r="BC34" s="386">
        <v>0.49</v>
      </c>
      <c r="BD34" s="386">
        <v>1.5</v>
      </c>
      <c r="BE34" s="551">
        <v>0</v>
      </c>
      <c r="BF34" s="386">
        <v>0.98</v>
      </c>
      <c r="BG34" s="386">
        <v>0</v>
      </c>
      <c r="BH34" s="551">
        <v>0</v>
      </c>
      <c r="BI34" s="386">
        <v>1.06</v>
      </c>
      <c r="BJ34" s="386">
        <v>13.05</v>
      </c>
      <c r="BK34" s="386">
        <v>3.02</v>
      </c>
      <c r="BL34" s="386">
        <v>3.53</v>
      </c>
      <c r="BM34" s="386">
        <v>0</v>
      </c>
      <c r="BN34" s="386">
        <v>6.7190000000000003</v>
      </c>
      <c r="BO34" s="612">
        <v>0</v>
      </c>
      <c r="BP34" s="614">
        <v>467.6</v>
      </c>
      <c r="BQ34" s="615">
        <v>19.010000000000002</v>
      </c>
      <c r="BR34" s="615">
        <v>19.71</v>
      </c>
      <c r="BS34" s="615">
        <v>12.75</v>
      </c>
      <c r="BT34" s="615">
        <v>6.85</v>
      </c>
      <c r="BU34" s="614">
        <v>21.9</v>
      </c>
      <c r="BV34" s="614">
        <v>24</v>
      </c>
      <c r="BW34" s="615">
        <v>549.29999999999995</v>
      </c>
      <c r="BX34" s="791"/>
      <c r="BY34" s="615">
        <v>0</v>
      </c>
      <c r="BZ34" s="615">
        <v>1.1499999999999999</v>
      </c>
      <c r="CA34" s="615">
        <v>1.2</v>
      </c>
      <c r="CB34" s="615">
        <v>8.3000000000000007</v>
      </c>
      <c r="CC34" s="615">
        <v>8.3000000000000007</v>
      </c>
      <c r="CD34" s="615">
        <v>15.2</v>
      </c>
      <c r="CE34" s="615">
        <v>30.7</v>
      </c>
      <c r="CF34" s="615">
        <v>15.3</v>
      </c>
      <c r="CG34" s="615">
        <v>5.57</v>
      </c>
      <c r="CH34" s="615">
        <v>10.9</v>
      </c>
      <c r="CI34" s="615">
        <v>15</v>
      </c>
      <c r="CJ34" s="615">
        <v>10.97</v>
      </c>
      <c r="CK34" s="615">
        <v>17</v>
      </c>
      <c r="CL34" s="615">
        <v>0</v>
      </c>
      <c r="CM34" s="613">
        <v>0.1</v>
      </c>
      <c r="CN34" s="613">
        <v>426.3</v>
      </c>
      <c r="CO34" s="613">
        <v>372.1</v>
      </c>
      <c r="CP34" s="613">
        <v>332.4</v>
      </c>
      <c r="CQ34" s="615">
        <v>1.8</v>
      </c>
      <c r="CR34" s="615">
        <v>0.09</v>
      </c>
      <c r="CS34" s="386">
        <v>0</v>
      </c>
      <c r="CT34" s="386">
        <v>0.23300000000000001</v>
      </c>
      <c r="CU34" s="386">
        <v>41</v>
      </c>
      <c r="CV34" s="499">
        <v>0</v>
      </c>
      <c r="CW34" s="499">
        <v>0</v>
      </c>
      <c r="CX34" s="499">
        <v>0</v>
      </c>
      <c r="CY34" s="499">
        <v>0</v>
      </c>
      <c r="CZ34" s="877">
        <v>573</v>
      </c>
      <c r="DA34" s="877">
        <v>1010</v>
      </c>
      <c r="DB34" s="782">
        <v>511</v>
      </c>
      <c r="DC34" s="609">
        <v>1079.2</v>
      </c>
      <c r="DD34" s="1153">
        <f t="shared" si="16"/>
        <v>-0.33999999999991815</v>
      </c>
      <c r="DE34" s="1154">
        <f t="shared" si="17"/>
        <v>0</v>
      </c>
      <c r="DF34" s="1154">
        <f t="shared" si="18"/>
        <v>401</v>
      </c>
      <c r="DG34" s="1154">
        <f t="shared" si="19"/>
        <v>760</v>
      </c>
      <c r="DH34" s="1155" t="str">
        <f t="shared" si="20"/>
        <v>Palm</v>
      </c>
      <c r="DI34" s="1146">
        <f t="shared" si="21"/>
        <v>499</v>
      </c>
      <c r="DJ34" s="1146">
        <f t="shared" si="22"/>
        <v>0</v>
      </c>
      <c r="DK34" s="1154">
        <f t="shared" si="23"/>
        <v>0</v>
      </c>
      <c r="DL34" s="615"/>
      <c r="DM34" s="643"/>
      <c r="DN34" s="615"/>
      <c r="DO34" s="499"/>
      <c r="DP34" s="499"/>
      <c r="DQ34" s="499"/>
      <c r="DR34" s="499"/>
      <c r="DS34" s="499"/>
      <c r="DT34" s="499"/>
      <c r="DU34" s="499"/>
      <c r="DV34" s="499"/>
      <c r="DW34" s="499"/>
      <c r="DX34" s="499"/>
      <c r="DY34" s="499"/>
      <c r="DZ34" s="499"/>
      <c r="EA34" s="499"/>
      <c r="EB34" s="499"/>
      <c r="EC34" s="499"/>
      <c r="ED34" s="499"/>
      <c r="EE34" s="499"/>
      <c r="EF34" s="499"/>
      <c r="EG34" s="1146">
        <f t="shared" si="26"/>
        <v>10.5</v>
      </c>
      <c r="EH34" s="630">
        <v>0</v>
      </c>
      <c r="EI34" s="642">
        <v>1</v>
      </c>
      <c r="EJ34" s="642">
        <v>3</v>
      </c>
      <c r="EK34" s="642">
        <v>6.5</v>
      </c>
      <c r="EL34" s="499"/>
      <c r="EM34" s="499"/>
      <c r="EN34" s="499"/>
      <c r="EO34" s="499"/>
      <c r="EP34" s="499"/>
      <c r="EQ34" s="499"/>
      <c r="ER34" s="499"/>
      <c r="ES34" s="388"/>
      <c r="ET34" s="388"/>
      <c r="EV34" s="1167">
        <f t="shared" si="12"/>
        <v>16.243500000000001</v>
      </c>
    </row>
    <row r="35" spans="1:152" s="350" customFormat="1" ht="15" x14ac:dyDescent="0.25">
      <c r="A35" s="632" t="s">
        <v>7</v>
      </c>
      <c r="B35" s="662">
        <v>42761</v>
      </c>
      <c r="C35" s="1132" t="s">
        <v>904</v>
      </c>
      <c r="D35" s="636">
        <v>0.16</v>
      </c>
      <c r="E35" s="636">
        <v>0</v>
      </c>
      <c r="F35" s="636">
        <v>38</v>
      </c>
      <c r="G35" s="739">
        <v>0.7</v>
      </c>
      <c r="H35" s="739">
        <v>1.31</v>
      </c>
      <c r="I35" s="739">
        <v>15.7</v>
      </c>
      <c r="J35" s="636">
        <v>0</v>
      </c>
      <c r="K35" s="739">
        <v>1.38</v>
      </c>
      <c r="L35" s="741">
        <v>0</v>
      </c>
      <c r="M35" s="739">
        <v>19.3</v>
      </c>
      <c r="N35" s="739">
        <v>1.34</v>
      </c>
      <c r="O35" s="739">
        <v>1.2832772337820406</v>
      </c>
      <c r="P35" s="739">
        <v>1.27</v>
      </c>
      <c r="Q35" s="739">
        <v>0.58698848412939086</v>
      </c>
      <c r="R35" s="782">
        <v>534.03880813953492</v>
      </c>
      <c r="S35" s="739">
        <v>8.26</v>
      </c>
      <c r="T35" s="739">
        <v>8.27</v>
      </c>
      <c r="U35" s="739">
        <v>0.78</v>
      </c>
      <c r="V35" s="739">
        <v>0.85</v>
      </c>
      <c r="W35" s="739">
        <v>39.92</v>
      </c>
      <c r="X35" s="644">
        <v>39.739999999999995</v>
      </c>
      <c r="Y35" s="739">
        <v>24.4</v>
      </c>
      <c r="Z35" s="739">
        <v>17</v>
      </c>
      <c r="AA35" s="739">
        <v>24.5</v>
      </c>
      <c r="AB35" s="739">
        <v>17.899999999999999</v>
      </c>
      <c r="AC35" s="1160">
        <f t="shared" si="13"/>
        <v>42.4</v>
      </c>
      <c r="AD35" s="1160">
        <f t="shared" si="14"/>
        <v>65.592799999999997</v>
      </c>
      <c r="AE35" s="1160">
        <f t="shared" si="15"/>
        <v>65.592799999999997</v>
      </c>
      <c r="AF35" s="542"/>
      <c r="AG35" s="1160">
        <f t="shared" si="2"/>
        <v>0</v>
      </c>
      <c r="AH35" s="351"/>
      <c r="AI35" s="351"/>
      <c r="AJ35" s="2"/>
      <c r="AK35" s="388"/>
      <c r="AL35" s="388"/>
      <c r="AM35" s="388"/>
      <c r="AN35" s="388"/>
      <c r="AO35" s="370"/>
      <c r="AP35" s="370"/>
      <c r="AQ35" s="386"/>
      <c r="AR35" s="551">
        <v>0</v>
      </c>
      <c r="AS35" s="386">
        <v>10.7</v>
      </c>
      <c r="AT35" s="1171">
        <v>0.45</v>
      </c>
      <c r="AU35" s="386">
        <v>0</v>
      </c>
      <c r="AV35" s="636">
        <v>0</v>
      </c>
      <c r="AW35" s="636">
        <v>0</v>
      </c>
      <c r="AX35" s="386">
        <v>0</v>
      </c>
      <c r="AY35" s="551">
        <v>0</v>
      </c>
      <c r="AZ35" s="551">
        <v>0</v>
      </c>
      <c r="BA35" s="551">
        <v>0</v>
      </c>
      <c r="BB35" s="975">
        <v>0</v>
      </c>
      <c r="BC35" s="386">
        <v>0.49</v>
      </c>
      <c r="BD35" s="386">
        <v>1.5</v>
      </c>
      <c r="BE35" s="551">
        <v>0</v>
      </c>
      <c r="BF35" s="386">
        <v>1</v>
      </c>
      <c r="BG35" s="386">
        <v>0</v>
      </c>
      <c r="BH35" s="551">
        <v>0</v>
      </c>
      <c r="BI35" s="386">
        <v>1</v>
      </c>
      <c r="BJ35" s="386">
        <v>14</v>
      </c>
      <c r="BK35" s="386">
        <v>2.95</v>
      </c>
      <c r="BL35" s="386">
        <v>3.35</v>
      </c>
      <c r="BM35" s="386">
        <v>0</v>
      </c>
      <c r="BN35" s="386">
        <v>7.6</v>
      </c>
      <c r="BO35" s="614">
        <v>885.8</v>
      </c>
      <c r="BP35" s="614">
        <v>305.2</v>
      </c>
      <c r="BQ35" s="615">
        <v>19.47</v>
      </c>
      <c r="BR35" s="615">
        <v>20.149999999999999</v>
      </c>
      <c r="BS35" s="615">
        <v>13.56</v>
      </c>
      <c r="BT35" s="615">
        <v>7.27</v>
      </c>
      <c r="BU35" s="614">
        <v>22.9</v>
      </c>
      <c r="BV35" s="614">
        <v>25.3</v>
      </c>
      <c r="BW35" s="615">
        <v>566.5</v>
      </c>
      <c r="BX35" s="791"/>
      <c r="BY35" s="615">
        <v>0</v>
      </c>
      <c r="BZ35" s="615">
        <v>1.1399999999999999</v>
      </c>
      <c r="CA35" s="615">
        <v>1.2</v>
      </c>
      <c r="CB35" s="615">
        <v>8.4</v>
      </c>
      <c r="CC35" s="615">
        <v>8.3000000000000007</v>
      </c>
      <c r="CD35" s="615">
        <v>15.8</v>
      </c>
      <c r="CE35" s="615">
        <v>30.8</v>
      </c>
      <c r="CF35" s="615">
        <v>14.5</v>
      </c>
      <c r="CG35" s="615">
        <v>7.7</v>
      </c>
      <c r="CH35" s="615">
        <v>13.3</v>
      </c>
      <c r="CI35" s="615">
        <v>17.7</v>
      </c>
      <c r="CJ35" s="615">
        <v>11.43</v>
      </c>
      <c r="CK35" s="615">
        <v>0</v>
      </c>
      <c r="CL35" s="615">
        <v>0</v>
      </c>
      <c r="CM35" s="615">
        <v>0</v>
      </c>
      <c r="CN35" s="615">
        <v>577.5</v>
      </c>
      <c r="CO35" s="613">
        <v>368.2</v>
      </c>
      <c r="CP35" s="615">
        <v>279.60000000000002</v>
      </c>
      <c r="CQ35" s="615">
        <v>2.2999999999999998</v>
      </c>
      <c r="CR35" s="615">
        <v>0.04</v>
      </c>
      <c r="CS35" s="386">
        <v>0</v>
      </c>
      <c r="CT35" s="386">
        <v>0.02</v>
      </c>
      <c r="CU35" s="386">
        <v>41</v>
      </c>
      <c r="CV35" s="499">
        <v>0</v>
      </c>
      <c r="CW35" s="499">
        <v>0</v>
      </c>
      <c r="CX35" s="499">
        <v>0</v>
      </c>
      <c r="CY35" s="499">
        <v>0</v>
      </c>
      <c r="CZ35" s="877">
        <v>569</v>
      </c>
      <c r="DA35" s="877">
        <v>993</v>
      </c>
      <c r="DB35" s="782">
        <v>515</v>
      </c>
      <c r="DC35" s="609">
        <v>1079.04</v>
      </c>
      <c r="DD35" s="1153">
        <f t="shared" si="16"/>
        <v>-0.16000000000008185</v>
      </c>
      <c r="DE35" s="1154">
        <f t="shared" si="17"/>
        <v>0</v>
      </c>
      <c r="DF35" s="1154">
        <f t="shared" si="18"/>
        <v>405</v>
      </c>
      <c r="DG35" s="1154">
        <f t="shared" si="19"/>
        <v>743</v>
      </c>
      <c r="DH35" s="1155" t="str">
        <f t="shared" si="20"/>
        <v>Palm</v>
      </c>
      <c r="DI35" s="1146">
        <f t="shared" si="21"/>
        <v>478</v>
      </c>
      <c r="DJ35" s="1146">
        <f t="shared" si="22"/>
        <v>0</v>
      </c>
      <c r="DK35" s="1154">
        <f t="shared" si="23"/>
        <v>0</v>
      </c>
      <c r="DL35" s="615"/>
      <c r="DM35" s="643"/>
      <c r="DN35" s="615"/>
      <c r="DO35" s="499"/>
      <c r="DP35" s="499"/>
      <c r="DQ35" s="499"/>
      <c r="DR35" s="499"/>
      <c r="DS35" s="499"/>
      <c r="DT35" s="499"/>
      <c r="DU35" s="499"/>
      <c r="DV35" s="499"/>
      <c r="DW35" s="499"/>
      <c r="DX35" s="499"/>
      <c r="DY35" s="499"/>
      <c r="DZ35" s="499"/>
      <c r="EA35" s="499"/>
      <c r="EB35" s="499"/>
      <c r="EC35" s="499"/>
      <c r="ED35" s="499"/>
      <c r="EE35" s="499"/>
      <c r="EF35" s="499"/>
      <c r="EG35" s="1146">
        <f t="shared" si="26"/>
        <v>10.5</v>
      </c>
      <c r="EH35" s="630">
        <v>0</v>
      </c>
      <c r="EI35" s="642">
        <v>1</v>
      </c>
      <c r="EJ35" s="642">
        <v>3</v>
      </c>
      <c r="EK35" s="642">
        <v>6.5</v>
      </c>
      <c r="EL35" s="499"/>
      <c r="EM35" s="499"/>
      <c r="EN35" s="499"/>
      <c r="EO35" s="499"/>
      <c r="EP35" s="499"/>
      <c r="EQ35" s="499"/>
      <c r="ER35" s="499"/>
      <c r="ES35" s="388"/>
      <c r="ET35" s="388"/>
      <c r="EV35" s="1167">
        <f t="shared" si="12"/>
        <v>16.243500000000001</v>
      </c>
    </row>
    <row r="36" spans="1:152" s="350" customFormat="1" ht="15" x14ac:dyDescent="0.25">
      <c r="A36" s="632" t="s">
        <v>8</v>
      </c>
      <c r="B36" s="662">
        <v>42762</v>
      </c>
      <c r="C36" s="1132" t="s">
        <v>904</v>
      </c>
      <c r="D36" s="636">
        <v>0</v>
      </c>
      <c r="E36" s="636">
        <v>0</v>
      </c>
      <c r="F36" s="636">
        <v>40</v>
      </c>
      <c r="G36" s="739">
        <v>0.4</v>
      </c>
      <c r="H36" s="739">
        <v>1.27</v>
      </c>
      <c r="I36" s="739">
        <v>14.3</v>
      </c>
      <c r="J36" s="636">
        <v>0</v>
      </c>
      <c r="K36" s="739">
        <v>1.1599999999999999</v>
      </c>
      <c r="L36" s="741">
        <v>0</v>
      </c>
      <c r="M36" s="739">
        <v>19.2</v>
      </c>
      <c r="N36" s="739">
        <v>1.27</v>
      </c>
      <c r="O36" s="739">
        <v>1.3679548954018419</v>
      </c>
      <c r="P36" s="739">
        <v>1.28</v>
      </c>
      <c r="Q36" s="739">
        <v>0.60650510631743892</v>
      </c>
      <c r="R36" s="782">
        <v>599.37688953488373</v>
      </c>
      <c r="S36" s="739">
        <v>8.33</v>
      </c>
      <c r="T36" s="739">
        <v>8.33</v>
      </c>
      <c r="U36" s="739">
        <v>0.77</v>
      </c>
      <c r="V36" s="739">
        <v>0.87</v>
      </c>
      <c r="W36" s="739">
        <v>40.28</v>
      </c>
      <c r="X36" s="644">
        <v>40.460000000000008</v>
      </c>
      <c r="Y36" s="739">
        <v>24.5</v>
      </c>
      <c r="Z36" s="739">
        <v>17.899999999999999</v>
      </c>
      <c r="AA36" s="739">
        <v>24.5</v>
      </c>
      <c r="AB36" s="739">
        <v>20.010000000000002</v>
      </c>
      <c r="AC36" s="1160">
        <f t="shared" si="13"/>
        <v>44.510000000000005</v>
      </c>
      <c r="AD36" s="1160">
        <f t="shared" si="14"/>
        <v>68.856970000000004</v>
      </c>
      <c r="AE36" s="1160">
        <f t="shared" si="15"/>
        <v>68.856970000000004</v>
      </c>
      <c r="AF36" s="542"/>
      <c r="AG36" s="1160">
        <f t="shared" si="2"/>
        <v>0</v>
      </c>
      <c r="AH36" s="351"/>
      <c r="AI36" s="351"/>
      <c r="AJ36" s="2"/>
      <c r="AK36" s="388"/>
      <c r="AL36" s="388"/>
      <c r="AM36" s="388"/>
      <c r="AN36" s="388"/>
      <c r="AO36" s="370"/>
      <c r="AP36" s="370"/>
      <c r="AQ36" s="386"/>
      <c r="AR36" s="551">
        <v>0</v>
      </c>
      <c r="AS36" s="386">
        <v>18</v>
      </c>
      <c r="AT36" s="386">
        <v>0</v>
      </c>
      <c r="AU36" s="386">
        <v>0</v>
      </c>
      <c r="AV36" s="636">
        <v>180.1</v>
      </c>
      <c r="AW36" s="636">
        <v>266.10000000000002</v>
      </c>
      <c r="AX36" s="386">
        <v>0</v>
      </c>
      <c r="AY36" s="551">
        <v>0</v>
      </c>
      <c r="AZ36" s="551">
        <v>0</v>
      </c>
      <c r="BA36" s="551">
        <v>0</v>
      </c>
      <c r="BB36" s="975">
        <v>0</v>
      </c>
      <c r="BC36" s="386">
        <v>0.5</v>
      </c>
      <c r="BD36" s="386">
        <v>1.5</v>
      </c>
      <c r="BE36" s="551">
        <v>0</v>
      </c>
      <c r="BF36" s="386">
        <v>1</v>
      </c>
      <c r="BG36" s="386">
        <v>0</v>
      </c>
      <c r="BH36" s="551">
        <v>0</v>
      </c>
      <c r="BI36" s="386">
        <v>1.06</v>
      </c>
      <c r="BJ36" s="386">
        <v>15.99</v>
      </c>
      <c r="BK36" s="386">
        <v>3.02</v>
      </c>
      <c r="BL36" s="386">
        <v>3.53</v>
      </c>
      <c r="BM36" s="386">
        <v>0</v>
      </c>
      <c r="BN36" s="386">
        <v>9.6920000000000002</v>
      </c>
      <c r="BO36" s="614">
        <v>1017.5</v>
      </c>
      <c r="BP36" s="614">
        <v>1.7</v>
      </c>
      <c r="BQ36" s="615">
        <v>19.3</v>
      </c>
      <c r="BR36" s="615">
        <v>20.6</v>
      </c>
      <c r="BS36" s="615">
        <v>14.1</v>
      </c>
      <c r="BT36" s="615">
        <v>7.9</v>
      </c>
      <c r="BU36" s="614">
        <v>24.1</v>
      </c>
      <c r="BV36" s="614">
        <v>25.2</v>
      </c>
      <c r="BW36" s="615">
        <v>0</v>
      </c>
      <c r="BX36" s="791"/>
      <c r="BY36" s="615">
        <v>0</v>
      </c>
      <c r="BZ36" s="615">
        <v>1.19</v>
      </c>
      <c r="CA36" s="615">
        <v>1.1000000000000001</v>
      </c>
      <c r="CB36" s="615">
        <v>8.5</v>
      </c>
      <c r="CC36" s="615">
        <v>8.4</v>
      </c>
      <c r="CD36" s="615">
        <v>16.8</v>
      </c>
      <c r="CE36" s="615">
        <v>30.7</v>
      </c>
      <c r="CF36" s="615">
        <v>13.8</v>
      </c>
      <c r="CG36" s="615">
        <v>7.8</v>
      </c>
      <c r="CH36" s="615">
        <v>13.4</v>
      </c>
      <c r="CI36" s="615">
        <v>17.8</v>
      </c>
      <c r="CJ36" s="615">
        <v>12.81</v>
      </c>
      <c r="CK36" s="615">
        <v>0</v>
      </c>
      <c r="CL36" s="615">
        <v>0</v>
      </c>
      <c r="CM36" s="615">
        <v>0</v>
      </c>
      <c r="CN36" s="615">
        <v>551.70000000000005</v>
      </c>
      <c r="CO36" s="613">
        <v>354.9</v>
      </c>
      <c r="CP36" s="615">
        <v>275.3</v>
      </c>
      <c r="CQ36" s="615">
        <v>4.7</v>
      </c>
      <c r="CR36" s="615">
        <v>0.32</v>
      </c>
      <c r="CS36" s="386">
        <v>0</v>
      </c>
      <c r="CT36" s="386">
        <v>1.0129999999999999</v>
      </c>
      <c r="CU36" s="386">
        <v>41</v>
      </c>
      <c r="CV36" s="499">
        <v>0</v>
      </c>
      <c r="CW36" s="499">
        <v>0</v>
      </c>
      <c r="CX36" s="499">
        <v>0</v>
      </c>
      <c r="CY36" s="499">
        <v>0</v>
      </c>
      <c r="CZ36" s="877">
        <v>484</v>
      </c>
      <c r="DA36" s="877">
        <v>899</v>
      </c>
      <c r="DB36" s="782">
        <v>428</v>
      </c>
      <c r="DC36" s="609">
        <v>1079.2</v>
      </c>
      <c r="DD36" s="1153">
        <f t="shared" si="16"/>
        <v>0.16000000000008185</v>
      </c>
      <c r="DE36" s="1154">
        <f t="shared" si="17"/>
        <v>0</v>
      </c>
      <c r="DF36" s="1154">
        <f t="shared" si="18"/>
        <v>318</v>
      </c>
      <c r="DG36" s="1154">
        <f t="shared" si="19"/>
        <v>649</v>
      </c>
      <c r="DH36" s="1155" t="str">
        <f t="shared" si="20"/>
        <v>Palm</v>
      </c>
      <c r="DI36" s="1146">
        <f t="shared" si="21"/>
        <v>471</v>
      </c>
      <c r="DJ36" s="1146">
        <f t="shared" si="22"/>
        <v>0</v>
      </c>
      <c r="DK36" s="1154">
        <f t="shared" si="23"/>
        <v>0</v>
      </c>
      <c r="DL36" s="615"/>
      <c r="DM36" s="643"/>
      <c r="DN36" s="615"/>
      <c r="DO36" s="499"/>
      <c r="DP36" s="499"/>
      <c r="DQ36" s="499"/>
      <c r="DR36" s="499"/>
      <c r="DS36" s="499"/>
      <c r="DT36" s="499"/>
      <c r="DU36" s="499"/>
      <c r="DV36" s="499"/>
      <c r="DW36" s="499"/>
      <c r="DX36" s="499"/>
      <c r="DY36" s="499"/>
      <c r="DZ36" s="499"/>
      <c r="EA36" s="499"/>
      <c r="EB36" s="499"/>
      <c r="EC36" s="499"/>
      <c r="ED36" s="499"/>
      <c r="EE36" s="499"/>
      <c r="EF36" s="499"/>
      <c r="EG36" s="1146">
        <f t="shared" si="26"/>
        <v>10.5</v>
      </c>
      <c r="EH36" s="630">
        <v>0</v>
      </c>
      <c r="EI36" s="642">
        <v>1</v>
      </c>
      <c r="EJ36" s="642">
        <v>3</v>
      </c>
      <c r="EK36" s="642">
        <v>6.5</v>
      </c>
      <c r="EL36" s="499"/>
      <c r="EM36" s="499"/>
      <c r="EN36" s="499"/>
      <c r="EO36" s="499"/>
      <c r="EP36" s="499"/>
      <c r="EQ36" s="499"/>
      <c r="ER36" s="499"/>
      <c r="ES36" s="388"/>
      <c r="ET36" s="388"/>
      <c r="EV36" s="1167">
        <f t="shared" si="12"/>
        <v>16.243500000000001</v>
      </c>
    </row>
    <row r="37" spans="1:152" s="350" customFormat="1" ht="15" x14ac:dyDescent="0.25">
      <c r="A37" s="632" t="s">
        <v>9</v>
      </c>
      <c r="B37" s="662">
        <v>42763</v>
      </c>
      <c r="C37" s="1132" t="s">
        <v>904</v>
      </c>
      <c r="D37" s="636">
        <v>0</v>
      </c>
      <c r="E37" s="636">
        <v>0</v>
      </c>
      <c r="F37" s="636">
        <v>41</v>
      </c>
      <c r="G37" s="739">
        <v>0.4</v>
      </c>
      <c r="H37" s="739">
        <v>1.0900000000000001</v>
      </c>
      <c r="I37" s="739">
        <v>14.6</v>
      </c>
      <c r="J37" s="636">
        <v>0</v>
      </c>
      <c r="K37" s="739">
        <v>1.1100000000000001</v>
      </c>
      <c r="L37" s="741">
        <v>0</v>
      </c>
      <c r="M37" s="739">
        <v>19.100000000000001</v>
      </c>
      <c r="N37" s="739">
        <v>1.23</v>
      </c>
      <c r="O37" s="739">
        <v>1.3438973353814143</v>
      </c>
      <c r="P37" s="739">
        <v>1.26</v>
      </c>
      <c r="Q37" s="739">
        <v>0.59433443528721852</v>
      </c>
      <c r="R37" s="782">
        <v>589.70952034883726</v>
      </c>
      <c r="S37" s="739">
        <v>8.2899999999999991</v>
      </c>
      <c r="T37" s="739">
        <v>8.35</v>
      </c>
      <c r="U37" s="739">
        <v>0.77</v>
      </c>
      <c r="V37" s="739">
        <v>0.9</v>
      </c>
      <c r="W37" s="739">
        <v>39.739999999999995</v>
      </c>
      <c r="X37" s="644">
        <v>39.739999999999995</v>
      </c>
      <c r="Y37" s="739">
        <v>24.5</v>
      </c>
      <c r="Z37" s="739">
        <v>19.96</v>
      </c>
      <c r="AA37" s="739">
        <v>24.57</v>
      </c>
      <c r="AB37" s="739">
        <v>20.04</v>
      </c>
      <c r="AC37" s="1160">
        <f t="shared" si="13"/>
        <v>44.61</v>
      </c>
      <c r="AD37" s="1160">
        <f t="shared" si="14"/>
        <v>69.011669999999995</v>
      </c>
      <c r="AE37" s="1160">
        <f t="shared" si="15"/>
        <v>69.011669999999995</v>
      </c>
      <c r="AF37" s="542"/>
      <c r="AG37" s="1160">
        <f t="shared" si="2"/>
        <v>0</v>
      </c>
      <c r="AH37" s="656"/>
      <c r="AI37" s="351"/>
      <c r="AJ37" s="2"/>
      <c r="AK37" s="388"/>
      <c r="AL37" s="388"/>
      <c r="AM37" s="388"/>
      <c r="AN37" s="388"/>
      <c r="AO37" s="370"/>
      <c r="AP37" s="370"/>
      <c r="AQ37" s="386"/>
      <c r="AR37" s="551">
        <v>0</v>
      </c>
      <c r="AS37" s="386">
        <v>13.7</v>
      </c>
      <c r="AT37" s="386">
        <v>0</v>
      </c>
      <c r="AU37" s="386">
        <v>0</v>
      </c>
      <c r="AV37" s="636">
        <v>222.2</v>
      </c>
      <c r="AW37" s="636">
        <v>407.5</v>
      </c>
      <c r="AX37" s="386">
        <v>0</v>
      </c>
      <c r="AY37" s="551">
        <v>0</v>
      </c>
      <c r="AZ37" s="551">
        <v>0</v>
      </c>
      <c r="BA37" s="551">
        <v>0</v>
      </c>
      <c r="BB37" s="975">
        <v>0</v>
      </c>
      <c r="BC37" s="386">
        <v>0.51</v>
      </c>
      <c r="BD37" s="386">
        <v>1.5</v>
      </c>
      <c r="BE37" s="551">
        <v>0</v>
      </c>
      <c r="BF37" s="386">
        <v>1</v>
      </c>
      <c r="BG37" s="386">
        <v>0</v>
      </c>
      <c r="BH37" s="551">
        <v>0</v>
      </c>
      <c r="BI37" s="386">
        <v>1.01</v>
      </c>
      <c r="BJ37" s="386">
        <v>16</v>
      </c>
      <c r="BK37" s="386">
        <v>2.95</v>
      </c>
      <c r="BL37" s="386">
        <v>3.54</v>
      </c>
      <c r="BM37" s="386">
        <v>0</v>
      </c>
      <c r="BN37" s="386">
        <v>9.6999999999999993</v>
      </c>
      <c r="BO37" s="614">
        <v>1051.2</v>
      </c>
      <c r="BP37" s="614">
        <v>1.9</v>
      </c>
      <c r="BQ37" s="615">
        <v>19.3</v>
      </c>
      <c r="BR37" s="615">
        <v>19.899999999999999</v>
      </c>
      <c r="BS37" s="615">
        <v>13.5</v>
      </c>
      <c r="BT37" s="615">
        <v>7.3</v>
      </c>
      <c r="BU37" s="614">
        <v>23.1</v>
      </c>
      <c r="BV37" s="614">
        <v>27.3</v>
      </c>
      <c r="BW37" s="615">
        <v>563.29999999999995</v>
      </c>
      <c r="BX37" s="791"/>
      <c r="BY37" s="615">
        <v>0</v>
      </c>
      <c r="BZ37" s="615">
        <v>1.21</v>
      </c>
      <c r="CA37" s="615">
        <v>1.1000000000000001</v>
      </c>
      <c r="CB37" s="615">
        <v>8.5</v>
      </c>
      <c r="CC37" s="615">
        <v>8.4</v>
      </c>
      <c r="CD37" s="615">
        <v>17.2</v>
      </c>
      <c r="CE37" s="615">
        <v>30.6</v>
      </c>
      <c r="CF37" s="615">
        <v>12.9</v>
      </c>
      <c r="CG37" s="615">
        <v>7.8</v>
      </c>
      <c r="CH37" s="615">
        <v>13.4</v>
      </c>
      <c r="CI37" s="615">
        <v>17.8</v>
      </c>
      <c r="CJ37" s="615">
        <v>13.2</v>
      </c>
      <c r="CK37" s="615">
        <v>0</v>
      </c>
      <c r="CL37" s="615">
        <v>0</v>
      </c>
      <c r="CM37" s="615">
        <v>0</v>
      </c>
      <c r="CN37" s="615">
        <v>547.70000000000005</v>
      </c>
      <c r="CO37" s="613">
        <v>377.8</v>
      </c>
      <c r="CP37" s="615">
        <v>395.2</v>
      </c>
      <c r="CQ37" s="615">
        <v>5.3</v>
      </c>
      <c r="CR37" s="615">
        <v>0.38</v>
      </c>
      <c r="CS37" s="386">
        <v>0</v>
      </c>
      <c r="CT37" s="386">
        <v>3.5329999999999999</v>
      </c>
      <c r="CU37" s="386">
        <v>41</v>
      </c>
      <c r="CV37" s="499">
        <v>0</v>
      </c>
      <c r="CW37" s="499">
        <v>0</v>
      </c>
      <c r="CX37" s="499">
        <v>0</v>
      </c>
      <c r="CY37" s="499">
        <v>0</v>
      </c>
      <c r="CZ37" s="877">
        <v>487</v>
      </c>
      <c r="DA37" s="877">
        <v>843</v>
      </c>
      <c r="DB37" s="782">
        <v>434</v>
      </c>
      <c r="DC37" s="609">
        <v>1079.75</v>
      </c>
      <c r="DD37" s="1153">
        <f t="shared" si="16"/>
        <v>0.54999999999995453</v>
      </c>
      <c r="DE37" s="1154">
        <f t="shared" si="17"/>
        <v>0</v>
      </c>
      <c r="DF37" s="1154">
        <f t="shared" si="18"/>
        <v>324</v>
      </c>
      <c r="DG37" s="1154">
        <f t="shared" si="19"/>
        <v>593</v>
      </c>
      <c r="DH37" s="1155" t="str">
        <f t="shared" si="20"/>
        <v>Palm</v>
      </c>
      <c r="DI37" s="1146">
        <f t="shared" si="21"/>
        <v>409</v>
      </c>
      <c r="DJ37" s="1146">
        <f t="shared" si="22"/>
        <v>0</v>
      </c>
      <c r="DK37" s="1154">
        <f t="shared" si="23"/>
        <v>0</v>
      </c>
      <c r="DL37" s="615"/>
      <c r="DM37" s="643"/>
      <c r="DN37" s="615"/>
      <c r="DO37" s="499"/>
      <c r="DP37" s="499"/>
      <c r="DQ37" s="499"/>
      <c r="DR37" s="499"/>
      <c r="DS37" s="499"/>
      <c r="DT37" s="499"/>
      <c r="DU37" s="499"/>
      <c r="DV37" s="499"/>
      <c r="DW37" s="499"/>
      <c r="DX37" s="499"/>
      <c r="DY37" s="499"/>
      <c r="DZ37" s="499"/>
      <c r="EA37" s="499"/>
      <c r="EB37" s="499"/>
      <c r="EC37" s="499"/>
      <c r="ED37" s="499"/>
      <c r="EE37" s="499"/>
      <c r="EF37" s="499"/>
      <c r="EG37" s="1146">
        <f t="shared" si="26"/>
        <v>10.5</v>
      </c>
      <c r="EH37" s="630">
        <v>0</v>
      </c>
      <c r="EI37" s="642">
        <v>1</v>
      </c>
      <c r="EJ37" s="642">
        <v>3</v>
      </c>
      <c r="EK37" s="642">
        <v>6.5</v>
      </c>
      <c r="EL37" s="499"/>
      <c r="EM37" s="499"/>
      <c r="EN37" s="499"/>
      <c r="EO37" s="499"/>
      <c r="EP37" s="499"/>
      <c r="EQ37" s="499"/>
      <c r="ER37" s="499"/>
      <c r="ES37" s="388"/>
      <c r="ET37" s="388"/>
      <c r="EV37" s="1167">
        <f t="shared" si="12"/>
        <v>16.243500000000001</v>
      </c>
    </row>
    <row r="38" spans="1:152" s="350" customFormat="1" ht="15" x14ac:dyDescent="0.25">
      <c r="A38" s="632" t="s">
        <v>3</v>
      </c>
      <c r="B38" s="662">
        <v>42764</v>
      </c>
      <c r="C38" s="1132" t="s">
        <v>904</v>
      </c>
      <c r="D38" s="636">
        <v>0.38</v>
      </c>
      <c r="E38" s="636">
        <v>0</v>
      </c>
      <c r="F38" s="636">
        <v>43</v>
      </c>
      <c r="G38" s="739">
        <v>0.45</v>
      </c>
      <c r="H38" s="739">
        <v>1.64</v>
      </c>
      <c r="I38" s="739">
        <v>14.6</v>
      </c>
      <c r="J38" s="636">
        <v>0</v>
      </c>
      <c r="K38" s="739">
        <v>1.1599999999999999</v>
      </c>
      <c r="L38" s="741">
        <v>0</v>
      </c>
      <c r="M38" s="739">
        <v>18.899999999999999</v>
      </c>
      <c r="N38" s="739">
        <v>1.21</v>
      </c>
      <c r="O38" s="739">
        <v>1.3241511362433169</v>
      </c>
      <c r="P38" s="739">
        <v>1.24</v>
      </c>
      <c r="Q38" s="739">
        <v>0.59433443528765761</v>
      </c>
      <c r="R38" s="782">
        <v>581.37558139534883</v>
      </c>
      <c r="S38" s="739">
        <v>8.14</v>
      </c>
      <c r="T38" s="739">
        <v>8.24</v>
      </c>
      <c r="U38" s="739">
        <v>0.79</v>
      </c>
      <c r="V38" s="739">
        <v>0.78</v>
      </c>
      <c r="W38" s="739">
        <v>39.92</v>
      </c>
      <c r="X38" s="644">
        <v>40.100000000000009</v>
      </c>
      <c r="Y38" s="739">
        <v>24.57</v>
      </c>
      <c r="Z38" s="739">
        <v>20.04</v>
      </c>
      <c r="AA38" s="739">
        <v>24.53</v>
      </c>
      <c r="AB38" s="739">
        <v>20.010000000000002</v>
      </c>
      <c r="AC38" s="1160">
        <f t="shared" si="13"/>
        <v>44.540000000000006</v>
      </c>
      <c r="AD38" s="1160">
        <f t="shared" si="14"/>
        <v>68.903380000000013</v>
      </c>
      <c r="AE38" s="1160">
        <f t="shared" si="15"/>
        <v>68.903380000000013</v>
      </c>
      <c r="AF38" s="542"/>
      <c r="AG38" s="1160">
        <f t="shared" si="2"/>
        <v>0</v>
      </c>
      <c r="AH38" s="656"/>
      <c r="AI38" s="351"/>
      <c r="AJ38" s="2"/>
      <c r="AK38" s="388"/>
      <c r="AL38" s="388"/>
      <c r="AM38" s="388"/>
      <c r="AN38" s="388"/>
      <c r="AO38" s="370"/>
      <c r="AP38" s="370"/>
      <c r="AQ38" s="386"/>
      <c r="AR38" s="551">
        <v>0</v>
      </c>
      <c r="AS38" s="386">
        <v>20.2</v>
      </c>
      <c r="AT38" s="386">
        <v>0</v>
      </c>
      <c r="AU38" s="386">
        <v>0</v>
      </c>
      <c r="AV38" s="636">
        <v>243</v>
      </c>
      <c r="AW38" s="636">
        <v>372.1</v>
      </c>
      <c r="AX38" s="386">
        <v>0</v>
      </c>
      <c r="AY38" s="551">
        <v>0</v>
      </c>
      <c r="AZ38" s="551">
        <v>0</v>
      </c>
      <c r="BA38" s="551">
        <v>0</v>
      </c>
      <c r="BB38" s="975">
        <v>0</v>
      </c>
      <c r="BC38" s="386">
        <v>0.5</v>
      </c>
      <c r="BD38" s="386">
        <v>1.5</v>
      </c>
      <c r="BE38" s="551">
        <v>0</v>
      </c>
      <c r="BF38" s="386">
        <v>1</v>
      </c>
      <c r="BG38" s="386">
        <v>0</v>
      </c>
      <c r="BH38" s="551">
        <v>0</v>
      </c>
      <c r="BI38" s="386">
        <v>1.06</v>
      </c>
      <c r="BJ38" s="386">
        <v>15.99</v>
      </c>
      <c r="BK38" s="386">
        <v>3.02</v>
      </c>
      <c r="BL38" s="386">
        <v>3.53</v>
      </c>
      <c r="BM38" s="386">
        <v>0</v>
      </c>
      <c r="BN38" s="386">
        <v>9.6820000000000004</v>
      </c>
      <c r="BO38" s="614">
        <v>1034.3</v>
      </c>
      <c r="BP38" s="614">
        <v>1.9</v>
      </c>
      <c r="BQ38" s="615">
        <v>19.52</v>
      </c>
      <c r="BR38" s="615">
        <v>20.2</v>
      </c>
      <c r="BS38" s="615">
        <v>13.64</v>
      </c>
      <c r="BT38" s="615">
        <v>7.31</v>
      </c>
      <c r="BU38" s="614">
        <v>23.1</v>
      </c>
      <c r="BV38" s="614">
        <v>26.4</v>
      </c>
      <c r="BW38" s="615">
        <v>562.70000000000005</v>
      </c>
      <c r="BX38" s="791"/>
      <c r="BY38" s="615">
        <v>0</v>
      </c>
      <c r="BZ38" s="615">
        <v>1.21</v>
      </c>
      <c r="CA38" s="615">
        <v>1.1000000000000001</v>
      </c>
      <c r="CB38" s="615">
        <v>8.4</v>
      </c>
      <c r="CC38" s="615">
        <v>8.5</v>
      </c>
      <c r="CD38" s="615">
        <v>17</v>
      </c>
      <c r="CE38" s="615">
        <v>30.6</v>
      </c>
      <c r="CF38" s="615">
        <v>12.2</v>
      </c>
      <c r="CG38" s="615">
        <v>7.6</v>
      </c>
      <c r="CH38" s="615">
        <v>13.1</v>
      </c>
      <c r="CI38" s="615">
        <v>17.55</v>
      </c>
      <c r="CJ38" s="615">
        <v>13.06</v>
      </c>
      <c r="CK38" s="615">
        <v>0</v>
      </c>
      <c r="CL38" s="615">
        <v>0</v>
      </c>
      <c r="CM38" s="615">
        <v>0.3</v>
      </c>
      <c r="CN38" s="615">
        <v>788.1</v>
      </c>
      <c r="CO38" s="615">
        <v>394</v>
      </c>
      <c r="CP38" s="615">
        <v>327.7</v>
      </c>
      <c r="CQ38" s="615">
        <v>4.8</v>
      </c>
      <c r="CR38" s="615">
        <v>0.32</v>
      </c>
      <c r="CS38" s="386">
        <v>0</v>
      </c>
      <c r="CT38" s="386">
        <v>3.8090000000000002</v>
      </c>
      <c r="CU38" s="386">
        <v>41</v>
      </c>
      <c r="CV38" s="499">
        <v>0</v>
      </c>
      <c r="CW38" s="499">
        <v>0</v>
      </c>
      <c r="CX38" s="499">
        <v>0</v>
      </c>
      <c r="CY38" s="499">
        <v>0</v>
      </c>
      <c r="CZ38" s="877">
        <v>491</v>
      </c>
      <c r="DA38" s="877">
        <v>843</v>
      </c>
      <c r="DB38" s="782">
        <v>452</v>
      </c>
      <c r="DC38" s="609">
        <v>1080.18</v>
      </c>
      <c r="DD38" s="1153">
        <f t="shared" si="16"/>
        <v>0.43000000000006366</v>
      </c>
      <c r="DE38" s="1154">
        <f t="shared" si="17"/>
        <v>0</v>
      </c>
      <c r="DF38" s="1154">
        <f t="shared" si="18"/>
        <v>342</v>
      </c>
      <c r="DG38" s="1154">
        <f t="shared" si="19"/>
        <v>593</v>
      </c>
      <c r="DH38" s="1155" t="str">
        <f t="shared" si="20"/>
        <v>Palm</v>
      </c>
      <c r="DI38" s="1146">
        <f t="shared" si="21"/>
        <v>391</v>
      </c>
      <c r="DJ38" s="1146">
        <f t="shared" si="22"/>
        <v>0</v>
      </c>
      <c r="DK38" s="1154">
        <f t="shared" si="23"/>
        <v>0</v>
      </c>
      <c r="DL38" s="615"/>
      <c r="DM38" s="643"/>
      <c r="DN38" s="615"/>
      <c r="DO38" s="499"/>
      <c r="DP38" s="499"/>
      <c r="DQ38" s="499"/>
      <c r="DR38" s="499"/>
      <c r="DS38" s="499"/>
      <c r="DT38" s="499"/>
      <c r="DU38" s="499"/>
      <c r="DV38" s="499"/>
      <c r="DW38" s="499"/>
      <c r="DX38" s="499"/>
      <c r="DY38" s="499"/>
      <c r="DZ38" s="499"/>
      <c r="EA38" s="499"/>
      <c r="EB38" s="499"/>
      <c r="EC38" s="499"/>
      <c r="ED38" s="499"/>
      <c r="EE38" s="499"/>
      <c r="EF38" s="499"/>
      <c r="EG38" s="1146">
        <f t="shared" si="26"/>
        <v>10.5</v>
      </c>
      <c r="EH38" s="630">
        <v>0</v>
      </c>
      <c r="EI38" s="642">
        <v>1</v>
      </c>
      <c r="EJ38" s="642">
        <v>3</v>
      </c>
      <c r="EK38" s="642">
        <v>6.5</v>
      </c>
      <c r="EL38" s="499"/>
      <c r="EM38" s="499"/>
      <c r="EN38" s="499"/>
      <c r="EO38" s="499"/>
      <c r="EP38" s="499"/>
      <c r="EQ38" s="499"/>
      <c r="ER38" s="499"/>
      <c r="ES38" s="388"/>
      <c r="ET38" s="388"/>
      <c r="EV38" s="1167">
        <f t="shared" si="12"/>
        <v>16.243500000000001</v>
      </c>
    </row>
    <row r="39" spans="1:152" s="350" customFormat="1" ht="15" x14ac:dyDescent="0.25">
      <c r="A39" s="632" t="s">
        <v>4</v>
      </c>
      <c r="B39" s="662">
        <v>42765</v>
      </c>
      <c r="C39" s="1132" t="s">
        <v>904</v>
      </c>
      <c r="D39" s="636">
        <v>0</v>
      </c>
      <c r="E39" s="636">
        <v>0</v>
      </c>
      <c r="F39" s="636">
        <v>38</v>
      </c>
      <c r="G39" s="739">
        <v>0.6</v>
      </c>
      <c r="H39" s="739">
        <v>1.36</v>
      </c>
      <c r="I39" s="739">
        <v>15.7</v>
      </c>
      <c r="J39" s="636">
        <v>0</v>
      </c>
      <c r="K39" s="739">
        <v>1.48</v>
      </c>
      <c r="L39" s="741">
        <v>0</v>
      </c>
      <c r="M39" s="739">
        <v>19.100000000000001</v>
      </c>
      <c r="N39" s="739">
        <v>1.34</v>
      </c>
      <c r="O39" s="739">
        <v>1.3420763362819814</v>
      </c>
      <c r="P39" s="739">
        <v>1.24</v>
      </c>
      <c r="Q39" s="739">
        <v>0.58419220942950656</v>
      </c>
      <c r="R39" s="782">
        <v>587.37601744186043</v>
      </c>
      <c r="S39" s="739">
        <v>8.25</v>
      </c>
      <c r="T39" s="739">
        <v>8.27</v>
      </c>
      <c r="U39" s="739">
        <v>0.78</v>
      </c>
      <c r="V39" s="739">
        <v>0.78</v>
      </c>
      <c r="W39" s="739">
        <v>40.460000000000008</v>
      </c>
      <c r="X39" s="644">
        <v>40.28</v>
      </c>
      <c r="Y39" s="739">
        <v>24.53</v>
      </c>
      <c r="Z39" s="739">
        <v>19.920000000000002</v>
      </c>
      <c r="AA39" s="739">
        <v>24.6</v>
      </c>
      <c r="AB39" s="739">
        <v>19.989999999999998</v>
      </c>
      <c r="AC39" s="1160">
        <f t="shared" si="13"/>
        <v>44.59</v>
      </c>
      <c r="AD39" s="1160">
        <f t="shared" si="14"/>
        <v>68.980730000000008</v>
      </c>
      <c r="AE39" s="1160">
        <f t="shared" si="15"/>
        <v>68.980730000000008</v>
      </c>
      <c r="AF39" s="542"/>
      <c r="AG39" s="1160">
        <f t="shared" si="2"/>
        <v>0</v>
      </c>
      <c r="AH39" s="656"/>
      <c r="AI39" s="351"/>
      <c r="AJ39" s="2"/>
      <c r="AK39" s="388"/>
      <c r="AL39" s="388"/>
      <c r="AM39" s="388"/>
      <c r="AN39" s="388"/>
      <c r="AO39" s="370"/>
      <c r="AP39" s="370"/>
      <c r="AQ39" s="386"/>
      <c r="AR39" s="551">
        <v>0</v>
      </c>
      <c r="AS39" s="386">
        <v>21.4</v>
      </c>
      <c r="AT39" s="386">
        <v>0</v>
      </c>
      <c r="AU39" s="386">
        <v>0</v>
      </c>
      <c r="AV39" s="636">
        <v>351</v>
      </c>
      <c r="AW39" s="636">
        <v>594.6</v>
      </c>
      <c r="AX39" s="386">
        <v>0</v>
      </c>
      <c r="AY39" s="551">
        <v>0</v>
      </c>
      <c r="AZ39" s="551">
        <v>0</v>
      </c>
      <c r="BA39" s="551">
        <v>0</v>
      </c>
      <c r="BB39" s="975">
        <v>0</v>
      </c>
      <c r="BC39" s="386">
        <v>0.49</v>
      </c>
      <c r="BD39" s="386">
        <v>1.5</v>
      </c>
      <c r="BE39" s="551">
        <v>0</v>
      </c>
      <c r="BF39" s="386">
        <v>1</v>
      </c>
      <c r="BG39" s="386">
        <v>0</v>
      </c>
      <c r="BH39" s="551">
        <v>0</v>
      </c>
      <c r="BI39" s="386">
        <v>1.01</v>
      </c>
      <c r="BJ39" s="386">
        <v>16</v>
      </c>
      <c r="BK39" s="386">
        <v>2.95</v>
      </c>
      <c r="BL39" s="386">
        <v>3.53</v>
      </c>
      <c r="BM39" s="386">
        <v>0</v>
      </c>
      <c r="BN39" s="386">
        <v>9.6999999999999993</v>
      </c>
      <c r="BO39" s="614">
        <v>960.1</v>
      </c>
      <c r="BP39" s="614">
        <v>1.9</v>
      </c>
      <c r="BQ39" s="615">
        <v>19.440000000000001</v>
      </c>
      <c r="BR39" s="615">
        <v>20.11</v>
      </c>
      <c r="BS39" s="615">
        <v>13.31</v>
      </c>
      <c r="BT39" s="615">
        <v>7.15</v>
      </c>
      <c r="BU39" s="614">
        <v>22.6</v>
      </c>
      <c r="BV39" s="614">
        <v>26.8</v>
      </c>
      <c r="BW39" s="615">
        <v>409.8</v>
      </c>
      <c r="BX39" s="791"/>
      <c r="BY39" s="615">
        <v>0</v>
      </c>
      <c r="BZ39" s="615">
        <v>1.18</v>
      </c>
      <c r="CA39" s="615">
        <v>1.1000000000000001</v>
      </c>
      <c r="CB39" s="615">
        <v>8.3000000000000007</v>
      </c>
      <c r="CC39" s="615">
        <v>8.4</v>
      </c>
      <c r="CD39" s="615">
        <v>16.38</v>
      </c>
      <c r="CE39" s="615">
        <v>30.7</v>
      </c>
      <c r="CF39" s="615">
        <v>14.5</v>
      </c>
      <c r="CG39" s="615">
        <v>7.4</v>
      </c>
      <c r="CH39" s="615">
        <v>12.9</v>
      </c>
      <c r="CI39" s="615">
        <v>17.399999999999999</v>
      </c>
      <c r="CJ39" s="615">
        <v>12.5</v>
      </c>
      <c r="CK39" s="615">
        <v>123</v>
      </c>
      <c r="CL39" s="615">
        <v>0</v>
      </c>
      <c r="CM39" s="615">
        <v>0.1</v>
      </c>
      <c r="CN39" s="615">
        <v>562.4</v>
      </c>
      <c r="CO39" s="615">
        <v>376.4</v>
      </c>
      <c r="CP39" s="615">
        <v>359.8</v>
      </c>
      <c r="CQ39" s="615">
        <v>4.8</v>
      </c>
      <c r="CR39" s="615">
        <v>0.34</v>
      </c>
      <c r="CS39" s="386">
        <v>0</v>
      </c>
      <c r="CT39" s="386">
        <v>3.7229999999999999</v>
      </c>
      <c r="CU39" s="386">
        <v>41</v>
      </c>
      <c r="CV39" s="499">
        <v>0</v>
      </c>
      <c r="CW39" s="499">
        <v>0</v>
      </c>
      <c r="CX39" s="499">
        <v>0</v>
      </c>
      <c r="CY39" s="499">
        <v>0</v>
      </c>
      <c r="CZ39" s="877">
        <v>585</v>
      </c>
      <c r="DA39" s="877">
        <v>905</v>
      </c>
      <c r="DB39" s="782">
        <v>539</v>
      </c>
      <c r="DC39" s="609">
        <v>1080.69</v>
      </c>
      <c r="DD39" s="1153">
        <f t="shared" si="16"/>
        <v>0.50999999999999091</v>
      </c>
      <c r="DE39" s="1154">
        <f t="shared" si="17"/>
        <v>0</v>
      </c>
      <c r="DF39" s="1154">
        <f t="shared" si="18"/>
        <v>429</v>
      </c>
      <c r="DG39" s="1154">
        <f t="shared" si="19"/>
        <v>655</v>
      </c>
      <c r="DH39" s="1155" t="str">
        <f t="shared" si="20"/>
        <v>Palm</v>
      </c>
      <c r="DI39" s="1146">
        <f t="shared" si="21"/>
        <v>366</v>
      </c>
      <c r="DJ39" s="1146">
        <f t="shared" si="22"/>
        <v>0</v>
      </c>
      <c r="DK39" s="1154">
        <f t="shared" si="23"/>
        <v>0</v>
      </c>
      <c r="DL39" s="615"/>
      <c r="DM39" s="643"/>
      <c r="DN39" s="615"/>
      <c r="DO39" s="499"/>
      <c r="DP39" s="499"/>
      <c r="DQ39" s="499"/>
      <c r="DR39" s="499"/>
      <c r="DS39" s="499"/>
      <c r="DT39" s="499"/>
      <c r="DU39" s="499"/>
      <c r="DV39" s="499"/>
      <c r="DW39" s="499"/>
      <c r="DX39" s="499"/>
      <c r="DY39" s="499"/>
      <c r="DZ39" s="499"/>
      <c r="EA39" s="499"/>
      <c r="EB39" s="499"/>
      <c r="EC39" s="499"/>
      <c r="ED39" s="499"/>
      <c r="EE39" s="499"/>
      <c r="EF39" s="499"/>
      <c r="EG39" s="1146">
        <f t="shared" si="26"/>
        <v>10.5</v>
      </c>
      <c r="EH39" s="630">
        <v>0</v>
      </c>
      <c r="EI39" s="642">
        <v>1</v>
      </c>
      <c r="EJ39" s="642">
        <v>3</v>
      </c>
      <c r="EK39" s="642">
        <v>6.5</v>
      </c>
      <c r="EL39" s="499"/>
      <c r="EM39" s="499"/>
      <c r="EN39" s="499"/>
      <c r="EO39" s="499"/>
      <c r="EP39" s="499"/>
      <c r="EQ39" s="499"/>
      <c r="ER39" s="499"/>
      <c r="ES39" s="388"/>
      <c r="ET39" s="388"/>
      <c r="EV39" s="1167">
        <f t="shared" si="12"/>
        <v>16.243500000000001</v>
      </c>
    </row>
    <row r="40" spans="1:152" s="350" customFormat="1" ht="15" x14ac:dyDescent="0.25">
      <c r="A40" s="632" t="s">
        <v>5</v>
      </c>
      <c r="B40" s="662">
        <v>42766</v>
      </c>
      <c r="C40" s="1132" t="s">
        <v>904</v>
      </c>
      <c r="D40" s="636">
        <v>0.04</v>
      </c>
      <c r="E40" s="636">
        <v>0</v>
      </c>
      <c r="F40" s="636">
        <v>32</v>
      </c>
      <c r="G40" s="739">
        <v>0.8</v>
      </c>
      <c r="H40" s="739">
        <v>1.56</v>
      </c>
      <c r="I40" s="739">
        <v>15.1</v>
      </c>
      <c r="J40" s="636">
        <v>0</v>
      </c>
      <c r="K40" s="739">
        <v>1.1599999999999999</v>
      </c>
      <c r="L40" s="741">
        <v>0</v>
      </c>
      <c r="M40" s="739">
        <v>19.2</v>
      </c>
      <c r="N40" s="739">
        <v>1.24</v>
      </c>
      <c r="O40" s="739">
        <v>1.3278014495061241</v>
      </c>
      <c r="P40" s="739">
        <v>1.22</v>
      </c>
      <c r="Q40" s="739">
        <v>0.597366753834778</v>
      </c>
      <c r="R40" s="782">
        <v>582.70901162790699</v>
      </c>
      <c r="S40" s="739">
        <v>8.27</v>
      </c>
      <c r="T40" s="739">
        <v>8.3000000000000007</v>
      </c>
      <c r="U40" s="739">
        <v>0.7</v>
      </c>
      <c r="V40" s="739">
        <v>0.73</v>
      </c>
      <c r="W40" s="739">
        <v>40.819999999999993</v>
      </c>
      <c r="X40" s="644">
        <v>40.64</v>
      </c>
      <c r="Y40" s="739">
        <v>24.6</v>
      </c>
      <c r="Z40" s="739">
        <v>19.989999999999998</v>
      </c>
      <c r="AA40" s="739">
        <v>24.6</v>
      </c>
      <c r="AB40" s="739">
        <v>19.989999999999998</v>
      </c>
      <c r="AC40" s="1160">
        <f t="shared" si="13"/>
        <v>44.59</v>
      </c>
      <c r="AD40" s="1160">
        <f t="shared" si="14"/>
        <v>68.980730000000008</v>
      </c>
      <c r="AE40" s="1160">
        <f t="shared" si="15"/>
        <v>68.980730000000008</v>
      </c>
      <c r="AF40" s="542"/>
      <c r="AG40" s="1160">
        <f t="shared" si="2"/>
        <v>0</v>
      </c>
      <c r="AH40" s="656"/>
      <c r="AI40" s="351"/>
      <c r="AJ40" s="2"/>
      <c r="AK40" s="388"/>
      <c r="AL40" s="388"/>
      <c r="AM40" s="388"/>
      <c r="AN40" s="388"/>
      <c r="AO40" s="370"/>
      <c r="AP40" s="370"/>
      <c r="AQ40" s="386"/>
      <c r="AR40" s="551">
        <v>0</v>
      </c>
      <c r="AS40" s="386">
        <v>10.5</v>
      </c>
      <c r="AT40" s="386">
        <v>0</v>
      </c>
      <c r="AU40" s="386">
        <v>0</v>
      </c>
      <c r="AV40" s="636">
        <v>171.6</v>
      </c>
      <c r="AW40" s="636">
        <v>297.3</v>
      </c>
      <c r="AX40" s="386">
        <v>0</v>
      </c>
      <c r="AY40" s="551">
        <v>0</v>
      </c>
      <c r="AZ40" s="551">
        <v>0</v>
      </c>
      <c r="BA40" s="551">
        <v>0</v>
      </c>
      <c r="BB40" s="975">
        <v>0</v>
      </c>
      <c r="BC40" s="386">
        <v>0.5</v>
      </c>
      <c r="BD40" s="386">
        <v>1.5</v>
      </c>
      <c r="BE40" s="551">
        <v>0</v>
      </c>
      <c r="BF40" s="386">
        <v>0.99</v>
      </c>
      <c r="BG40" s="386">
        <v>0</v>
      </c>
      <c r="BH40" s="551">
        <v>0</v>
      </c>
      <c r="BI40" s="386">
        <v>1.01</v>
      </c>
      <c r="BJ40" s="386">
        <v>16</v>
      </c>
      <c r="BK40" s="386">
        <v>2.94</v>
      </c>
      <c r="BL40" s="386">
        <v>3.53</v>
      </c>
      <c r="BM40" s="386">
        <v>0</v>
      </c>
      <c r="BN40" s="386">
        <v>9.6999999999999993</v>
      </c>
      <c r="BO40" s="614">
        <v>832.1</v>
      </c>
      <c r="BP40" s="614">
        <v>1.9</v>
      </c>
      <c r="BQ40" s="615">
        <v>19.190000000000001</v>
      </c>
      <c r="BR40" s="615">
        <v>19.84</v>
      </c>
      <c r="BS40" s="615">
        <v>13.74</v>
      </c>
      <c r="BT40" s="615">
        <v>7.45</v>
      </c>
      <c r="BU40" s="614">
        <v>23.3</v>
      </c>
      <c r="BV40" s="614">
        <v>28.2</v>
      </c>
      <c r="BW40" s="615">
        <v>542.29999999999995</v>
      </c>
      <c r="BX40" s="791"/>
      <c r="BY40" s="615">
        <v>0</v>
      </c>
      <c r="BZ40" s="615">
        <v>1.21</v>
      </c>
      <c r="CA40" s="615">
        <v>1.2</v>
      </c>
      <c r="CB40" s="615">
        <v>8.4</v>
      </c>
      <c r="CC40" s="615">
        <v>8.4</v>
      </c>
      <c r="CD40" s="615">
        <v>16</v>
      </c>
      <c r="CE40" s="615">
        <v>30.63</v>
      </c>
      <c r="CF40" s="615">
        <v>13.7</v>
      </c>
      <c r="CG40" s="615">
        <v>6.8</v>
      </c>
      <c r="CH40" s="615">
        <v>12.2</v>
      </c>
      <c r="CI40" s="615">
        <v>16.600000000000001</v>
      </c>
      <c r="CJ40" s="615">
        <v>12.4</v>
      </c>
      <c r="CK40" s="615">
        <v>263.39999999999998</v>
      </c>
      <c r="CL40" s="615">
        <v>0.4</v>
      </c>
      <c r="CM40" s="615">
        <v>0.2</v>
      </c>
      <c r="CN40" s="615">
        <v>541.5</v>
      </c>
      <c r="CO40" s="615">
        <v>370.9</v>
      </c>
      <c r="CP40" s="615">
        <v>381.2</v>
      </c>
      <c r="CQ40" s="615">
        <v>6</v>
      </c>
      <c r="CR40" s="615">
        <v>0.42</v>
      </c>
      <c r="CS40" s="386">
        <v>0</v>
      </c>
      <c r="CT40" s="386">
        <v>6.0270000000000001</v>
      </c>
      <c r="CU40" s="386">
        <v>41</v>
      </c>
      <c r="CV40" s="499">
        <v>0</v>
      </c>
      <c r="CW40" s="499">
        <v>0</v>
      </c>
      <c r="CX40" s="499">
        <v>0</v>
      </c>
      <c r="CY40" s="499">
        <v>0</v>
      </c>
      <c r="CZ40" s="877">
        <v>581</v>
      </c>
      <c r="DA40" s="877">
        <v>936</v>
      </c>
      <c r="DB40" s="782">
        <v>529</v>
      </c>
      <c r="DC40" s="609">
        <v>1080.49</v>
      </c>
      <c r="DD40" s="1153">
        <f t="shared" si="16"/>
        <v>-0.20000000000004547</v>
      </c>
      <c r="DE40" s="1154">
        <f t="shared" si="17"/>
        <v>0</v>
      </c>
      <c r="DF40" s="1154">
        <f t="shared" si="18"/>
        <v>419</v>
      </c>
      <c r="DG40" s="1154">
        <f t="shared" si="19"/>
        <v>686</v>
      </c>
      <c r="DH40" s="1155" t="str">
        <f t="shared" si="20"/>
        <v>Palm</v>
      </c>
      <c r="DI40" s="1146">
        <f t="shared" si="21"/>
        <v>407</v>
      </c>
      <c r="DJ40" s="1146">
        <f t="shared" si="22"/>
        <v>0</v>
      </c>
      <c r="DK40" s="1154">
        <f t="shared" si="23"/>
        <v>0</v>
      </c>
      <c r="DL40" s="615"/>
      <c r="DM40" s="643"/>
      <c r="DN40" s="615"/>
      <c r="DO40" s="499"/>
      <c r="DP40" s="499"/>
      <c r="DQ40" s="499"/>
      <c r="DR40" s="499"/>
      <c r="DS40" s="499"/>
      <c r="DT40" s="499"/>
      <c r="DU40" s="499"/>
      <c r="DV40" s="499"/>
      <c r="DW40" s="499"/>
      <c r="DX40" s="499"/>
      <c r="DY40" s="499"/>
      <c r="DZ40" s="499"/>
      <c r="EA40" s="499"/>
      <c r="EB40" s="499"/>
      <c r="EC40" s="499"/>
      <c r="ED40" s="499"/>
      <c r="EE40" s="499"/>
      <c r="EF40" s="499"/>
      <c r="EG40" s="1146">
        <f t="shared" si="26"/>
        <v>10.5</v>
      </c>
      <c r="EH40" s="630">
        <v>0</v>
      </c>
      <c r="EI40" s="642">
        <v>1</v>
      </c>
      <c r="EJ40" s="642">
        <v>3</v>
      </c>
      <c r="EK40" s="642">
        <v>6.5</v>
      </c>
      <c r="EL40" s="499"/>
      <c r="EM40" s="499"/>
      <c r="EN40" s="499"/>
      <c r="EO40" s="499"/>
      <c r="EP40" s="499"/>
      <c r="EQ40" s="499"/>
      <c r="ER40" s="499"/>
      <c r="ES40" s="388"/>
      <c r="ET40" s="388"/>
      <c r="EV40" s="1167">
        <f t="shared" si="12"/>
        <v>16.243500000000001</v>
      </c>
    </row>
    <row r="41" spans="1:152" s="350" customFormat="1" ht="15" x14ac:dyDescent="0.25">
      <c r="A41" s="632" t="s">
        <v>6</v>
      </c>
      <c r="B41" s="662">
        <v>42767</v>
      </c>
      <c r="C41" s="1132" t="s">
        <v>904</v>
      </c>
      <c r="D41" s="636">
        <v>0</v>
      </c>
      <c r="E41" s="636">
        <v>0</v>
      </c>
      <c r="F41" s="636">
        <v>32</v>
      </c>
      <c r="G41" s="739">
        <v>0.5</v>
      </c>
      <c r="H41" s="739">
        <v>5.2</v>
      </c>
      <c r="I41" s="739">
        <v>15.1</v>
      </c>
      <c r="J41" s="636">
        <v>0</v>
      </c>
      <c r="K41" s="739">
        <v>3.73</v>
      </c>
      <c r="L41" s="741">
        <v>0</v>
      </c>
      <c r="M41" s="739">
        <v>19.100000000000001</v>
      </c>
      <c r="N41" s="739">
        <v>1.24</v>
      </c>
      <c r="O41" s="739">
        <v>1.3539702493197079</v>
      </c>
      <c r="P41" s="739">
        <v>1.22</v>
      </c>
      <c r="Q41" s="739">
        <v>0.59645281152626428</v>
      </c>
      <c r="R41" s="782">
        <v>602.37710755813953</v>
      </c>
      <c r="S41" s="739">
        <v>8.27</v>
      </c>
      <c r="T41" s="739">
        <v>8.3000000000000007</v>
      </c>
      <c r="U41" s="739">
        <v>0.62</v>
      </c>
      <c r="V41" s="739">
        <v>0.71</v>
      </c>
      <c r="W41" s="739">
        <v>40.100000000000009</v>
      </c>
      <c r="X41" s="644">
        <v>40.460000000000008</v>
      </c>
      <c r="Y41" s="739">
        <v>24.6</v>
      </c>
      <c r="Z41" s="739">
        <v>19.989999999999998</v>
      </c>
      <c r="AA41" s="739">
        <v>24.57</v>
      </c>
      <c r="AB41" s="739">
        <v>20.52</v>
      </c>
      <c r="AC41" s="1160">
        <f t="shared" si="13"/>
        <v>45.09</v>
      </c>
      <c r="AD41" s="1160">
        <f t="shared" si="14"/>
        <v>69.754230000000007</v>
      </c>
      <c r="AE41" s="1160">
        <f t="shared" si="15"/>
        <v>69.754230000000007</v>
      </c>
      <c r="AF41" s="542"/>
      <c r="AG41" s="1160">
        <f t="shared" si="2"/>
        <v>0</v>
      </c>
      <c r="AH41" s="656"/>
      <c r="AI41" s="351"/>
      <c r="AJ41" s="2"/>
      <c r="AK41" s="388"/>
      <c r="AL41" s="388"/>
      <c r="AM41" s="388"/>
      <c r="AN41" s="388"/>
      <c r="AO41" s="370"/>
      <c r="AP41" s="370"/>
      <c r="AQ41" s="386"/>
      <c r="AR41" s="551">
        <v>0</v>
      </c>
      <c r="AS41" s="386">
        <v>17</v>
      </c>
      <c r="AT41" s="386">
        <v>0</v>
      </c>
      <c r="AU41" s="386">
        <v>0</v>
      </c>
      <c r="AV41" s="636">
        <v>186.9</v>
      </c>
      <c r="AW41" s="636">
        <v>284.8</v>
      </c>
      <c r="AX41" s="386">
        <v>0</v>
      </c>
      <c r="AY41" s="551">
        <v>0</v>
      </c>
      <c r="AZ41" s="551">
        <v>0</v>
      </c>
      <c r="BA41" s="551">
        <v>0</v>
      </c>
      <c r="BB41" s="975">
        <v>0</v>
      </c>
      <c r="BC41" s="386">
        <v>0.5</v>
      </c>
      <c r="BD41" s="386">
        <v>1.49</v>
      </c>
      <c r="BE41" s="551">
        <v>0</v>
      </c>
      <c r="BF41" s="386">
        <v>1</v>
      </c>
      <c r="BG41" s="386">
        <v>0</v>
      </c>
      <c r="BH41" s="551">
        <v>0</v>
      </c>
      <c r="BI41" s="386">
        <v>1.01</v>
      </c>
      <c r="BJ41" s="386">
        <v>16.5</v>
      </c>
      <c r="BK41" s="386">
        <v>2.95</v>
      </c>
      <c r="BL41" s="386">
        <v>3.53</v>
      </c>
      <c r="BM41" s="386">
        <v>0</v>
      </c>
      <c r="BN41" s="386">
        <v>10.199999999999999</v>
      </c>
      <c r="BO41" s="614">
        <v>847</v>
      </c>
      <c r="BP41" s="614">
        <v>1.9</v>
      </c>
      <c r="BQ41" s="615">
        <v>18.05</v>
      </c>
      <c r="BR41" s="615">
        <v>18.72</v>
      </c>
      <c r="BS41" s="615">
        <v>13.73</v>
      </c>
      <c r="BT41" s="615">
        <v>7.4</v>
      </c>
      <c r="BU41" s="614">
        <v>23.2</v>
      </c>
      <c r="BV41" s="614">
        <v>30.7</v>
      </c>
      <c r="BW41" s="615">
        <v>559.5</v>
      </c>
      <c r="BX41" s="791"/>
      <c r="BY41" s="615">
        <v>0</v>
      </c>
      <c r="BZ41" s="615">
        <v>1.2</v>
      </c>
      <c r="CA41" s="615">
        <v>1.2</v>
      </c>
      <c r="CB41" s="615">
        <v>8.4</v>
      </c>
      <c r="CC41" s="615">
        <v>8.4</v>
      </c>
      <c r="CD41" s="615">
        <v>15.2</v>
      </c>
      <c r="CE41" s="615">
        <v>30.7</v>
      </c>
      <c r="CF41" s="615">
        <v>12.9</v>
      </c>
      <c r="CG41" s="615">
        <v>6.1</v>
      </c>
      <c r="CH41" s="615">
        <v>11.4</v>
      </c>
      <c r="CI41" s="615">
        <v>15.8</v>
      </c>
      <c r="CJ41" s="615">
        <v>12.26</v>
      </c>
      <c r="CK41" s="615">
        <v>367.5</v>
      </c>
      <c r="CL41" s="615">
        <v>0.5</v>
      </c>
      <c r="CM41" s="615">
        <v>0.7</v>
      </c>
      <c r="CN41" s="615">
        <v>477.8</v>
      </c>
      <c r="CO41" s="615">
        <v>384</v>
      </c>
      <c r="CP41" s="615">
        <v>347.7</v>
      </c>
      <c r="CQ41" s="615">
        <v>8.3000000000000007</v>
      </c>
      <c r="CR41" s="615">
        <v>0.55000000000000004</v>
      </c>
      <c r="CS41" s="386">
        <v>0</v>
      </c>
      <c r="CT41" s="386">
        <v>9.3879999999999999</v>
      </c>
      <c r="CU41" s="386">
        <v>41</v>
      </c>
      <c r="CV41" s="499">
        <v>0</v>
      </c>
      <c r="CW41" s="499">
        <v>0</v>
      </c>
      <c r="CX41" s="499">
        <v>0</v>
      </c>
      <c r="CY41" s="499">
        <v>0</v>
      </c>
      <c r="CZ41" s="877">
        <v>550</v>
      </c>
      <c r="DA41" s="877">
        <v>911</v>
      </c>
      <c r="DB41" s="782">
        <v>485</v>
      </c>
      <c r="DC41" s="609">
        <v>1080.06</v>
      </c>
      <c r="DD41" s="1153">
        <f t="shared" si="16"/>
        <v>-0.43000000000006366</v>
      </c>
      <c r="DE41" s="1154">
        <f t="shared" si="17"/>
        <v>0</v>
      </c>
      <c r="DF41" s="1154">
        <f t="shared" si="18"/>
        <v>375</v>
      </c>
      <c r="DG41" s="1154">
        <f t="shared" si="19"/>
        <v>661</v>
      </c>
      <c r="DH41" s="1155" t="str">
        <f t="shared" si="20"/>
        <v>Palm</v>
      </c>
      <c r="DI41" s="1146">
        <f t="shared" si="21"/>
        <v>426</v>
      </c>
      <c r="DJ41" s="1146">
        <f t="shared" si="22"/>
        <v>0</v>
      </c>
      <c r="DK41" s="1154">
        <f t="shared" si="23"/>
        <v>0</v>
      </c>
      <c r="DL41" s="615"/>
      <c r="DM41" s="643"/>
      <c r="DN41" s="615"/>
      <c r="DO41" s="499"/>
      <c r="DP41" s="499"/>
      <c r="DQ41" s="499"/>
      <c r="DR41" s="499"/>
      <c r="DS41" s="499"/>
      <c r="DT41" s="499"/>
      <c r="DU41" s="499"/>
      <c r="DV41" s="499"/>
      <c r="DW41" s="499"/>
      <c r="DX41" s="499"/>
      <c r="DY41" s="499"/>
      <c r="DZ41" s="499"/>
      <c r="EA41" s="499"/>
      <c r="EB41" s="499"/>
      <c r="EC41" s="499"/>
      <c r="ED41" s="499"/>
      <c r="EE41" s="499"/>
      <c r="EF41" s="499"/>
      <c r="EG41" s="1146">
        <f t="shared" si="26"/>
        <v>10.5</v>
      </c>
      <c r="EH41" s="630">
        <v>0</v>
      </c>
      <c r="EI41" s="642">
        <v>1</v>
      </c>
      <c r="EJ41" s="642">
        <v>3</v>
      </c>
      <c r="EK41" s="642">
        <v>6.5</v>
      </c>
      <c r="EL41" s="499"/>
      <c r="EM41" s="499"/>
      <c r="EN41" s="499"/>
      <c r="EO41" s="499"/>
      <c r="EP41" s="499"/>
      <c r="EQ41" s="499"/>
      <c r="ER41" s="499"/>
      <c r="ES41" s="388"/>
      <c r="ET41" s="388"/>
      <c r="EV41" s="1167">
        <f t="shared" si="12"/>
        <v>16.243500000000001</v>
      </c>
    </row>
    <row r="42" spans="1:152" s="350" customFormat="1" ht="15" x14ac:dyDescent="0.25">
      <c r="A42" s="632" t="s">
        <v>7</v>
      </c>
      <c r="B42" s="662">
        <v>42768</v>
      </c>
      <c r="C42" s="1132" t="s">
        <v>904</v>
      </c>
      <c r="D42" s="636">
        <v>0</v>
      </c>
      <c r="E42" s="636">
        <v>0</v>
      </c>
      <c r="F42" s="636">
        <v>30</v>
      </c>
      <c r="G42" s="739">
        <v>0.5</v>
      </c>
      <c r="H42" s="739">
        <v>3.72</v>
      </c>
      <c r="I42" s="739">
        <v>16.7</v>
      </c>
      <c r="J42" s="636">
        <v>0</v>
      </c>
      <c r="K42" s="739">
        <v>2.99</v>
      </c>
      <c r="L42" s="741">
        <v>0</v>
      </c>
      <c r="M42" s="739">
        <v>19</v>
      </c>
      <c r="N42" s="739">
        <v>1.23</v>
      </c>
      <c r="O42" s="739">
        <v>1.3342993100450313</v>
      </c>
      <c r="P42" s="739">
        <v>1.22</v>
      </c>
      <c r="Q42" s="739">
        <v>0.59274548656979309</v>
      </c>
      <c r="R42" s="782">
        <v>655.04760174418607</v>
      </c>
      <c r="S42" s="739">
        <v>8.31</v>
      </c>
      <c r="T42" s="739">
        <v>8.3000000000000007</v>
      </c>
      <c r="U42" s="739">
        <v>0.61</v>
      </c>
      <c r="V42" s="739">
        <v>0.73</v>
      </c>
      <c r="W42" s="739">
        <v>35.78</v>
      </c>
      <c r="X42" s="644">
        <v>36.319999999999993</v>
      </c>
      <c r="Y42" s="739">
        <v>24.57</v>
      </c>
      <c r="Z42" s="739">
        <v>20.5</v>
      </c>
      <c r="AA42" s="739">
        <v>24.53</v>
      </c>
      <c r="AB42" s="739">
        <v>24.4</v>
      </c>
      <c r="AC42" s="1160">
        <f t="shared" si="13"/>
        <v>48.93</v>
      </c>
      <c r="AD42" s="1160">
        <f t="shared" si="14"/>
        <v>75.694710000000001</v>
      </c>
      <c r="AE42" s="1160">
        <f t="shared" si="15"/>
        <v>75.694710000000001</v>
      </c>
      <c r="AF42" s="542"/>
      <c r="AG42" s="1160">
        <f t="shared" si="2"/>
        <v>0</v>
      </c>
      <c r="AH42" s="656"/>
      <c r="AI42" s="351"/>
      <c r="AJ42" s="2"/>
      <c r="AK42" s="388"/>
      <c r="AL42" s="388"/>
      <c r="AM42" s="388"/>
      <c r="AN42" s="388"/>
      <c r="AO42" s="370"/>
      <c r="AP42" s="370"/>
      <c r="AQ42" s="386"/>
      <c r="AR42" s="551">
        <v>0</v>
      </c>
      <c r="AS42" s="386">
        <v>14.6</v>
      </c>
      <c r="AT42" s="386">
        <v>0</v>
      </c>
      <c r="AU42" s="386">
        <v>0</v>
      </c>
      <c r="AV42" s="636">
        <v>352.3</v>
      </c>
      <c r="AW42" s="636">
        <v>583.1</v>
      </c>
      <c r="AX42" s="386">
        <v>0</v>
      </c>
      <c r="AY42" s="551">
        <v>0</v>
      </c>
      <c r="AZ42" s="551">
        <v>0</v>
      </c>
      <c r="BA42" s="551">
        <v>0</v>
      </c>
      <c r="BB42" s="975">
        <v>0</v>
      </c>
      <c r="BC42" s="386">
        <v>0.51</v>
      </c>
      <c r="BD42" s="386">
        <v>1.49</v>
      </c>
      <c r="BE42" s="551">
        <v>0</v>
      </c>
      <c r="BF42" s="386">
        <v>1</v>
      </c>
      <c r="BG42" s="386">
        <v>0</v>
      </c>
      <c r="BH42" s="551">
        <v>0</v>
      </c>
      <c r="BI42" s="386">
        <v>1.06</v>
      </c>
      <c r="BJ42" s="386">
        <v>20.34</v>
      </c>
      <c r="BK42" s="386">
        <v>3.02</v>
      </c>
      <c r="BL42" s="386">
        <v>3.53</v>
      </c>
      <c r="BM42" s="386">
        <v>0</v>
      </c>
      <c r="BN42" s="386">
        <v>14</v>
      </c>
      <c r="BO42" s="614">
        <v>1148.0999999999999</v>
      </c>
      <c r="BP42" s="614">
        <v>1.9</v>
      </c>
      <c r="BQ42" s="615">
        <v>16.84</v>
      </c>
      <c r="BR42" s="615">
        <v>17.55</v>
      </c>
      <c r="BS42" s="615">
        <v>12.85</v>
      </c>
      <c r="BT42" s="615">
        <v>7.3</v>
      </c>
      <c r="BU42" s="614">
        <v>22.4</v>
      </c>
      <c r="BV42" s="614">
        <v>29.9</v>
      </c>
      <c r="BW42" s="615">
        <v>403.2</v>
      </c>
      <c r="BX42" s="791"/>
      <c r="BY42" s="615">
        <v>0</v>
      </c>
      <c r="BZ42" s="615">
        <v>1.22</v>
      </c>
      <c r="CA42" s="615">
        <v>1.2</v>
      </c>
      <c r="CB42" s="615">
        <v>8.4</v>
      </c>
      <c r="CC42" s="615">
        <v>8.4</v>
      </c>
      <c r="CD42" s="615">
        <v>15.7</v>
      </c>
      <c r="CE42" s="615">
        <v>30.8</v>
      </c>
      <c r="CF42" s="615">
        <v>12.07</v>
      </c>
      <c r="CG42" s="615">
        <v>6.9</v>
      </c>
      <c r="CH42" s="615">
        <v>12.36</v>
      </c>
      <c r="CI42" s="615">
        <v>16.7</v>
      </c>
      <c r="CJ42" s="615">
        <v>12.63</v>
      </c>
      <c r="CK42" s="615">
        <v>441.8</v>
      </c>
      <c r="CL42" s="615">
        <v>1.2</v>
      </c>
      <c r="CM42" s="615">
        <v>0.4</v>
      </c>
      <c r="CN42" s="615">
        <v>496.3</v>
      </c>
      <c r="CO42" s="615">
        <v>381.8</v>
      </c>
      <c r="CP42" s="615">
        <v>358.6</v>
      </c>
      <c r="CQ42" s="615">
        <v>10.199999999999999</v>
      </c>
      <c r="CR42" s="615">
        <v>0.65</v>
      </c>
      <c r="CS42" s="386">
        <v>0</v>
      </c>
      <c r="CT42" s="386">
        <v>11</v>
      </c>
      <c r="CU42" s="386">
        <v>41</v>
      </c>
      <c r="CV42" s="499">
        <v>0</v>
      </c>
      <c r="CW42" s="499">
        <v>0</v>
      </c>
      <c r="CX42" s="499">
        <v>0</v>
      </c>
      <c r="CY42" s="499">
        <v>0</v>
      </c>
      <c r="CZ42" s="643">
        <v>546</v>
      </c>
      <c r="DA42" s="643">
        <v>837</v>
      </c>
      <c r="DB42" s="782">
        <v>481</v>
      </c>
      <c r="DC42" s="609">
        <v>1079.5</v>
      </c>
      <c r="DD42" s="1153">
        <f t="shared" si="16"/>
        <v>-0.55999999999994543</v>
      </c>
      <c r="DE42" s="1154">
        <f t="shared" si="17"/>
        <v>0</v>
      </c>
      <c r="DF42" s="1154">
        <f t="shared" si="18"/>
        <v>371</v>
      </c>
      <c r="DG42" s="1154">
        <f t="shared" si="19"/>
        <v>587</v>
      </c>
      <c r="DH42" s="1155" t="str">
        <f t="shared" si="20"/>
        <v>Palm</v>
      </c>
      <c r="DI42" s="1146">
        <f t="shared" si="21"/>
        <v>356</v>
      </c>
      <c r="DJ42" s="1146">
        <f t="shared" si="22"/>
        <v>0</v>
      </c>
      <c r="DK42" s="1154">
        <f t="shared" si="23"/>
        <v>0</v>
      </c>
      <c r="DL42" s="615"/>
      <c r="DM42" s="643"/>
      <c r="DN42" s="615"/>
      <c r="DO42" s="499"/>
      <c r="DP42" s="499"/>
      <c r="DQ42" s="499"/>
      <c r="DR42" s="499"/>
      <c r="DS42" s="499"/>
      <c r="DT42" s="499"/>
      <c r="DU42" s="499"/>
      <c r="DV42" s="499"/>
      <c r="DW42" s="499"/>
      <c r="DX42" s="499"/>
      <c r="DY42" s="499"/>
      <c r="DZ42" s="499"/>
      <c r="EA42" s="499"/>
      <c r="EB42" s="499"/>
      <c r="EC42" s="499"/>
      <c r="ED42" s="499"/>
      <c r="EE42" s="499"/>
      <c r="EF42" s="499"/>
      <c r="EG42" s="1146">
        <f t="shared" si="26"/>
        <v>10.5</v>
      </c>
      <c r="EH42" s="630">
        <v>0</v>
      </c>
      <c r="EI42" s="642">
        <v>1</v>
      </c>
      <c r="EJ42" s="642">
        <v>3</v>
      </c>
      <c r="EK42" s="642">
        <v>6.5</v>
      </c>
      <c r="EL42" s="499"/>
      <c r="EM42" s="499"/>
      <c r="EN42" s="499"/>
      <c r="EO42" s="499"/>
      <c r="EP42" s="499"/>
      <c r="EQ42" s="499"/>
      <c r="ER42" s="499"/>
      <c r="ES42" s="388"/>
      <c r="ET42" s="388"/>
      <c r="EV42" s="1167">
        <f t="shared" si="12"/>
        <v>16.243500000000001</v>
      </c>
    </row>
    <row r="43" spans="1:152" s="350" customFormat="1" ht="15" x14ac:dyDescent="0.25">
      <c r="A43" s="632" t="s">
        <v>8</v>
      </c>
      <c r="B43" s="662">
        <v>42769</v>
      </c>
      <c r="C43" s="1132" t="s">
        <v>904</v>
      </c>
      <c r="D43" s="636">
        <v>0</v>
      </c>
      <c r="E43" s="636">
        <v>4.5</v>
      </c>
      <c r="F43" s="636">
        <v>32</v>
      </c>
      <c r="G43" s="739">
        <v>1</v>
      </c>
      <c r="H43" s="739">
        <v>3.35</v>
      </c>
      <c r="I43" s="739">
        <v>0</v>
      </c>
      <c r="J43" s="636">
        <v>0</v>
      </c>
      <c r="K43" s="739">
        <v>3.47</v>
      </c>
      <c r="L43" s="741">
        <v>0</v>
      </c>
      <c r="M43" s="739">
        <v>19</v>
      </c>
      <c r="N43" s="739">
        <v>1.23</v>
      </c>
      <c r="O43" s="739">
        <v>1.2772142503711754</v>
      </c>
      <c r="P43" s="739">
        <v>1.21</v>
      </c>
      <c r="Q43" s="739">
        <v>0.58269484808454419</v>
      </c>
      <c r="R43" s="782">
        <v>684.38306686046519</v>
      </c>
      <c r="S43" s="739">
        <v>8.33</v>
      </c>
      <c r="T43" s="739">
        <v>8.36</v>
      </c>
      <c r="U43" s="739">
        <v>0.61</v>
      </c>
      <c r="V43" s="739">
        <v>0.71</v>
      </c>
      <c r="W43" s="739">
        <v>34.519999999999996</v>
      </c>
      <c r="X43" s="644">
        <v>34.519999999999996</v>
      </c>
      <c r="Y43" s="739">
        <v>24.53</v>
      </c>
      <c r="Z43" s="739">
        <v>24.35</v>
      </c>
      <c r="AA43" s="739">
        <v>24.6</v>
      </c>
      <c r="AB43" s="739">
        <v>27.86</v>
      </c>
      <c r="AC43" s="1160">
        <f t="shared" si="13"/>
        <v>52.46</v>
      </c>
      <c r="AD43" s="1160">
        <f t="shared" si="14"/>
        <v>81.155619999999999</v>
      </c>
      <c r="AE43" s="1160">
        <f t="shared" si="15"/>
        <v>81.155619999999999</v>
      </c>
      <c r="AF43" s="542"/>
      <c r="AG43" s="1160">
        <f t="shared" si="2"/>
        <v>0</v>
      </c>
      <c r="AH43" s="656"/>
      <c r="AI43" s="351"/>
      <c r="AJ43" s="2"/>
      <c r="AK43" s="388"/>
      <c r="AL43" s="388"/>
      <c r="AM43" s="388"/>
      <c r="AN43" s="388"/>
      <c r="AO43" s="370"/>
      <c r="AP43" s="370"/>
      <c r="AQ43" s="386"/>
      <c r="AR43" s="551">
        <v>0</v>
      </c>
      <c r="AS43" s="386">
        <v>10.6</v>
      </c>
      <c r="AT43" s="386">
        <v>0</v>
      </c>
      <c r="AU43" s="386">
        <v>0</v>
      </c>
      <c r="AV43" s="636">
        <v>0</v>
      </c>
      <c r="AW43" s="636">
        <v>750.2</v>
      </c>
      <c r="AX43" s="386">
        <v>0</v>
      </c>
      <c r="AY43" s="551">
        <v>0</v>
      </c>
      <c r="AZ43" s="551">
        <v>0</v>
      </c>
      <c r="BA43" s="551">
        <v>0</v>
      </c>
      <c r="BB43" s="975">
        <v>0</v>
      </c>
      <c r="BC43" s="386">
        <v>0.51</v>
      </c>
      <c r="BD43" s="386">
        <v>1.49</v>
      </c>
      <c r="BE43" s="551">
        <v>0</v>
      </c>
      <c r="BF43" s="386">
        <v>1</v>
      </c>
      <c r="BG43" s="386">
        <v>0</v>
      </c>
      <c r="BH43" s="551">
        <v>0</v>
      </c>
      <c r="BI43" s="386">
        <v>1.04</v>
      </c>
      <c r="BJ43" s="386">
        <v>23.9</v>
      </c>
      <c r="BK43" s="386">
        <v>2.95</v>
      </c>
      <c r="BL43" s="386">
        <v>3.53</v>
      </c>
      <c r="BM43" s="386">
        <v>0</v>
      </c>
      <c r="BN43" s="386">
        <v>17.5</v>
      </c>
      <c r="BO43" s="614">
        <v>1030.3</v>
      </c>
      <c r="BP43" s="614">
        <v>2</v>
      </c>
      <c r="BQ43" s="615">
        <v>16.100000000000001</v>
      </c>
      <c r="BR43" s="615">
        <v>16.8</v>
      </c>
      <c r="BS43" s="615">
        <v>13.1</v>
      </c>
      <c r="BT43" s="615">
        <v>7.5</v>
      </c>
      <c r="BU43" s="614">
        <v>23</v>
      </c>
      <c r="BV43" s="614">
        <v>29.4</v>
      </c>
      <c r="BW43" s="615">
        <v>541.6</v>
      </c>
      <c r="BX43" s="791"/>
      <c r="BY43" s="615">
        <v>0</v>
      </c>
      <c r="BZ43" s="615">
        <v>1.21</v>
      </c>
      <c r="CA43" s="615">
        <v>1.2</v>
      </c>
      <c r="CB43" s="615">
        <v>8.5</v>
      </c>
      <c r="CC43" s="615">
        <v>8.4</v>
      </c>
      <c r="CD43" s="615">
        <v>15</v>
      </c>
      <c r="CE43" s="615">
        <v>30.9</v>
      </c>
      <c r="CF43" s="615">
        <v>17.7</v>
      </c>
      <c r="CG43" s="615">
        <v>7.2</v>
      </c>
      <c r="CH43" s="615">
        <v>12.7</v>
      </c>
      <c r="CI43" s="615">
        <v>17.100000000000001</v>
      </c>
      <c r="CJ43" s="615">
        <v>11.9</v>
      </c>
      <c r="CK43" s="615">
        <v>446.9</v>
      </c>
      <c r="CL43" s="615">
        <v>1.5</v>
      </c>
      <c r="CM43" s="615">
        <v>1.9</v>
      </c>
      <c r="CN43" s="615">
        <v>485.4</v>
      </c>
      <c r="CO43" s="615">
        <v>357.6</v>
      </c>
      <c r="CP43" s="615">
        <v>383.7</v>
      </c>
      <c r="CQ43" s="615">
        <v>11</v>
      </c>
      <c r="CR43" s="615">
        <v>0.7</v>
      </c>
      <c r="CS43" s="386">
        <v>0</v>
      </c>
      <c r="CT43" s="386">
        <v>13.808999999999999</v>
      </c>
      <c r="CU43" s="386">
        <v>41</v>
      </c>
      <c r="CV43" s="499">
        <v>0</v>
      </c>
      <c r="CW43" s="499">
        <v>0</v>
      </c>
      <c r="CX43" s="499">
        <v>0</v>
      </c>
      <c r="CY43" s="499">
        <v>0</v>
      </c>
      <c r="CZ43" s="643">
        <v>569</v>
      </c>
      <c r="DA43" s="643">
        <v>949</v>
      </c>
      <c r="DB43" s="782">
        <v>498</v>
      </c>
      <c r="DC43" s="609">
        <v>1078.72</v>
      </c>
      <c r="DD43" s="1153">
        <f t="shared" si="16"/>
        <v>-0.77999999999997272</v>
      </c>
      <c r="DE43" s="1154">
        <f t="shared" si="17"/>
        <v>0</v>
      </c>
      <c r="DF43" s="1154">
        <f t="shared" si="18"/>
        <v>388</v>
      </c>
      <c r="DG43" s="1154">
        <f t="shared" si="19"/>
        <v>699</v>
      </c>
      <c r="DH43" s="1155" t="str">
        <f t="shared" si="20"/>
        <v>Palm</v>
      </c>
      <c r="DI43" s="1146">
        <f t="shared" si="21"/>
        <v>451</v>
      </c>
      <c r="DJ43" s="1146">
        <f t="shared" si="22"/>
        <v>0</v>
      </c>
      <c r="DK43" s="1154">
        <f t="shared" si="23"/>
        <v>0</v>
      </c>
      <c r="DL43" s="615"/>
      <c r="DM43" s="643"/>
      <c r="DN43" s="615"/>
      <c r="DO43" s="499"/>
      <c r="DP43" s="499"/>
      <c r="DQ43" s="499"/>
      <c r="DR43" s="499"/>
      <c r="DS43" s="499"/>
      <c r="DT43" s="499"/>
      <c r="DU43" s="499"/>
      <c r="DV43" s="499"/>
      <c r="DW43" s="499"/>
      <c r="DX43" s="499"/>
      <c r="DY43" s="499"/>
      <c r="DZ43" s="499"/>
      <c r="EA43" s="499"/>
      <c r="EB43" s="499"/>
      <c r="EC43" s="499"/>
      <c r="ED43" s="499"/>
      <c r="EE43" s="499"/>
      <c r="EF43" s="499"/>
      <c r="EG43" s="1146">
        <f t="shared" ref="EG43:EG56" si="27">(SUM(EH43:EK43))</f>
        <v>10.5</v>
      </c>
      <c r="EH43" s="630">
        <v>0</v>
      </c>
      <c r="EI43" s="642">
        <v>1</v>
      </c>
      <c r="EJ43" s="642">
        <v>3</v>
      </c>
      <c r="EK43" s="642">
        <v>6.5</v>
      </c>
      <c r="EL43" s="499"/>
      <c r="EM43" s="499"/>
      <c r="EN43" s="499"/>
      <c r="EO43" s="499"/>
      <c r="EP43" s="499"/>
      <c r="EQ43" s="499"/>
      <c r="ER43" s="499"/>
      <c r="ES43" s="388"/>
      <c r="ET43" s="388"/>
      <c r="EV43" s="1167">
        <f t="shared" si="12"/>
        <v>16.243500000000001</v>
      </c>
    </row>
    <row r="44" spans="1:152" s="350" customFormat="1" ht="15" x14ac:dyDescent="0.25">
      <c r="A44" s="632" t="s">
        <v>9</v>
      </c>
      <c r="B44" s="662">
        <v>42770</v>
      </c>
      <c r="C44" s="1132" t="s">
        <v>904</v>
      </c>
      <c r="D44" s="636">
        <v>2.1</v>
      </c>
      <c r="E44" s="636">
        <v>0</v>
      </c>
      <c r="F44" s="636">
        <v>37</v>
      </c>
      <c r="G44" s="739">
        <v>1.1000000000000001</v>
      </c>
      <c r="H44" s="739">
        <v>2.96</v>
      </c>
      <c r="I44" s="739">
        <v>15.9</v>
      </c>
      <c r="J44" s="636">
        <v>0</v>
      </c>
      <c r="K44" s="739">
        <v>3.19</v>
      </c>
      <c r="L44" s="741">
        <v>0</v>
      </c>
      <c r="M44" s="739">
        <v>19.3</v>
      </c>
      <c r="N44" s="739">
        <v>1.24</v>
      </c>
      <c r="O44" s="739">
        <v>1.294296788482697</v>
      </c>
      <c r="P44" s="739">
        <v>1.24</v>
      </c>
      <c r="Q44" s="739">
        <v>0.59283311895971291</v>
      </c>
      <c r="R44" s="782">
        <v>739.72042151162793</v>
      </c>
      <c r="S44" s="739">
        <v>8.15</v>
      </c>
      <c r="T44" s="739">
        <v>8.14</v>
      </c>
      <c r="U44" s="739">
        <v>0.68</v>
      </c>
      <c r="V44" s="739">
        <v>0.73</v>
      </c>
      <c r="W44" s="739">
        <v>35.06</v>
      </c>
      <c r="X44" s="644">
        <v>35.06</v>
      </c>
      <c r="Y44" s="739">
        <v>24.6</v>
      </c>
      <c r="Z44" s="739">
        <v>27.86</v>
      </c>
      <c r="AA44" s="739">
        <v>24.5</v>
      </c>
      <c r="AB44" s="739">
        <v>30.94</v>
      </c>
      <c r="AC44" s="1160">
        <f t="shared" si="13"/>
        <v>55.44</v>
      </c>
      <c r="AD44" s="1160">
        <f t="shared" si="14"/>
        <v>85.765679999999989</v>
      </c>
      <c r="AE44" s="1160">
        <f t="shared" si="15"/>
        <v>85.765679999999989</v>
      </c>
      <c r="AF44" s="542"/>
      <c r="AG44" s="1160">
        <f t="shared" si="2"/>
        <v>0</v>
      </c>
      <c r="AH44" s="656"/>
      <c r="AI44" s="351"/>
      <c r="AJ44" s="2"/>
      <c r="AK44" s="388"/>
      <c r="AL44" s="388"/>
      <c r="AM44" s="388"/>
      <c r="AN44" s="388"/>
      <c r="AO44" s="370"/>
      <c r="AP44" s="370"/>
      <c r="AQ44" s="386"/>
      <c r="AR44" s="551">
        <v>0</v>
      </c>
      <c r="AS44" s="386">
        <v>20.399999999999999</v>
      </c>
      <c r="AT44" s="386">
        <v>0</v>
      </c>
      <c r="AU44" s="386">
        <v>0</v>
      </c>
      <c r="AV44" s="636">
        <v>0</v>
      </c>
      <c r="AW44" s="636">
        <v>954.3</v>
      </c>
      <c r="AX44" s="386">
        <v>0</v>
      </c>
      <c r="AY44" s="551">
        <v>0</v>
      </c>
      <c r="AZ44" s="551">
        <v>0</v>
      </c>
      <c r="BA44" s="551">
        <v>0</v>
      </c>
      <c r="BB44" s="975">
        <v>0</v>
      </c>
      <c r="BC44" s="386">
        <v>0.51</v>
      </c>
      <c r="BD44" s="386">
        <v>1.5</v>
      </c>
      <c r="BE44" s="551">
        <v>0</v>
      </c>
      <c r="BF44" s="386">
        <v>1</v>
      </c>
      <c r="BG44" s="386">
        <v>0</v>
      </c>
      <c r="BH44" s="551">
        <v>0</v>
      </c>
      <c r="BI44" s="386">
        <v>1.03</v>
      </c>
      <c r="BJ44" s="386">
        <v>27</v>
      </c>
      <c r="BK44" s="386">
        <v>2.95</v>
      </c>
      <c r="BL44" s="386">
        <v>3.53</v>
      </c>
      <c r="BM44" s="386">
        <v>0</v>
      </c>
      <c r="BN44" s="386">
        <v>20.6</v>
      </c>
      <c r="BO44" s="614">
        <v>1186.9000000000001</v>
      </c>
      <c r="BP44" s="614">
        <v>2</v>
      </c>
      <c r="BQ44" s="615">
        <v>15.6</v>
      </c>
      <c r="BR44" s="615">
        <v>16.3</v>
      </c>
      <c r="BS44" s="615">
        <v>12.9</v>
      </c>
      <c r="BT44" s="615">
        <v>7.4</v>
      </c>
      <c r="BU44" s="614">
        <v>22.7</v>
      </c>
      <c r="BV44" s="614">
        <v>28.3</v>
      </c>
      <c r="BW44" s="615">
        <v>553.6</v>
      </c>
      <c r="BX44" s="791"/>
      <c r="BY44" s="615">
        <v>0</v>
      </c>
      <c r="BZ44" s="615">
        <v>1.1499999999999999</v>
      </c>
      <c r="CA44" s="615">
        <v>1.2</v>
      </c>
      <c r="CB44" s="615">
        <v>8.4</v>
      </c>
      <c r="CC44" s="615">
        <v>8.5</v>
      </c>
      <c r="CD44" s="615">
        <v>14.7</v>
      </c>
      <c r="CE44" s="615">
        <v>30.7</v>
      </c>
      <c r="CF44" s="615">
        <v>16.8</v>
      </c>
      <c r="CG44" s="615">
        <v>8.1</v>
      </c>
      <c r="CH44" s="615">
        <v>13.9</v>
      </c>
      <c r="CI44" s="615">
        <v>17.899999999999999</v>
      </c>
      <c r="CJ44" s="615">
        <v>12.3</v>
      </c>
      <c r="CK44" s="615">
        <v>519.9</v>
      </c>
      <c r="CL44" s="615">
        <v>2.4</v>
      </c>
      <c r="CM44" s="615">
        <v>3</v>
      </c>
      <c r="CN44" s="615">
        <v>550.79999999999995</v>
      </c>
      <c r="CO44" s="615">
        <v>402.9</v>
      </c>
      <c r="CP44" s="615">
        <v>371.7</v>
      </c>
      <c r="CQ44" s="615">
        <v>12.3</v>
      </c>
      <c r="CR44" s="615">
        <v>0.76</v>
      </c>
      <c r="CS44" s="386">
        <v>0</v>
      </c>
      <c r="CT44" s="386">
        <v>16.812999999999999</v>
      </c>
      <c r="CU44" s="386">
        <v>40</v>
      </c>
      <c r="CV44" s="499">
        <v>0</v>
      </c>
      <c r="CW44" s="499">
        <v>0</v>
      </c>
      <c r="CX44" s="499">
        <v>0</v>
      </c>
      <c r="CY44" s="499">
        <v>0</v>
      </c>
      <c r="CZ44" s="643">
        <v>569</v>
      </c>
      <c r="DA44" s="643">
        <v>1280</v>
      </c>
      <c r="DB44" s="782">
        <v>536</v>
      </c>
      <c r="DC44" s="609">
        <v>1078.5</v>
      </c>
      <c r="DD44" s="1153">
        <f t="shared" si="16"/>
        <v>-0.22000000000002728</v>
      </c>
      <c r="DE44" s="1154">
        <f t="shared" si="17"/>
        <v>0</v>
      </c>
      <c r="DF44" s="1154">
        <f t="shared" si="18"/>
        <v>426</v>
      </c>
      <c r="DG44" s="1154">
        <f t="shared" si="19"/>
        <v>1030</v>
      </c>
      <c r="DH44" s="1155" t="str">
        <f t="shared" si="20"/>
        <v>Palm</v>
      </c>
      <c r="DI44" s="1146">
        <f t="shared" si="21"/>
        <v>744</v>
      </c>
      <c r="DJ44" s="1146">
        <f t="shared" si="22"/>
        <v>0</v>
      </c>
      <c r="DK44" s="1154">
        <f t="shared" si="23"/>
        <v>0</v>
      </c>
      <c r="DL44" s="615"/>
      <c r="DM44" s="643"/>
      <c r="DN44" s="615"/>
      <c r="DO44" s="499"/>
      <c r="DP44" s="499"/>
      <c r="DQ44" s="499"/>
      <c r="DR44" s="499"/>
      <c r="DS44" s="499"/>
      <c r="DT44" s="499"/>
      <c r="DU44" s="499"/>
      <c r="DV44" s="499"/>
      <c r="DW44" s="499"/>
      <c r="DX44" s="499"/>
      <c r="DY44" s="499"/>
      <c r="DZ44" s="499"/>
      <c r="EA44" s="499"/>
      <c r="EB44" s="499"/>
      <c r="EC44" s="499"/>
      <c r="ED44" s="499"/>
      <c r="EE44" s="499"/>
      <c r="EF44" s="499"/>
      <c r="EG44" s="1146">
        <f t="shared" si="27"/>
        <v>10.5</v>
      </c>
      <c r="EH44" s="630">
        <v>0</v>
      </c>
      <c r="EI44" s="642">
        <v>1</v>
      </c>
      <c r="EJ44" s="642">
        <v>3</v>
      </c>
      <c r="EK44" s="642">
        <v>6.5</v>
      </c>
      <c r="EL44" s="499"/>
      <c r="EM44" s="499"/>
      <c r="EN44" s="499"/>
      <c r="EO44" s="499"/>
      <c r="EP44" s="499"/>
      <c r="EQ44" s="499"/>
      <c r="ER44" s="499"/>
      <c r="ES44" s="388"/>
      <c r="ET44" s="388"/>
      <c r="EV44" s="1167">
        <f t="shared" si="12"/>
        <v>16.243500000000001</v>
      </c>
    </row>
    <row r="45" spans="1:152" s="350" customFormat="1" ht="15" x14ac:dyDescent="0.25">
      <c r="A45" s="632" t="s">
        <v>3</v>
      </c>
      <c r="B45" s="662">
        <v>42771</v>
      </c>
      <c r="C45" s="1132" t="s">
        <v>904</v>
      </c>
      <c r="D45" s="636">
        <v>1.1499999999999999</v>
      </c>
      <c r="E45" s="636">
        <v>0</v>
      </c>
      <c r="F45" s="636">
        <v>32</v>
      </c>
      <c r="G45" s="739">
        <v>1</v>
      </c>
      <c r="H45" s="739">
        <v>2.65</v>
      </c>
      <c r="I45" s="739">
        <v>15.4</v>
      </c>
      <c r="J45" s="636">
        <v>0</v>
      </c>
      <c r="K45" s="739">
        <v>2.79</v>
      </c>
      <c r="L45" s="741">
        <v>0</v>
      </c>
      <c r="M45" s="739">
        <v>19.3</v>
      </c>
      <c r="N45" s="739">
        <v>1.32</v>
      </c>
      <c r="O45" s="739">
        <v>1.2844895545920378</v>
      </c>
      <c r="P45" s="739">
        <v>1.28</v>
      </c>
      <c r="Q45" s="739">
        <v>0.58339768491120614</v>
      </c>
      <c r="R45" s="782">
        <v>796.05784883720935</v>
      </c>
      <c r="S45" s="739">
        <v>8.16</v>
      </c>
      <c r="T45" s="739">
        <v>8.15</v>
      </c>
      <c r="U45" s="739">
        <v>0.7</v>
      </c>
      <c r="V45" s="739">
        <v>0.78</v>
      </c>
      <c r="W45" s="739">
        <v>36.319999999999993</v>
      </c>
      <c r="X45" s="644">
        <v>36.319999999999993</v>
      </c>
      <c r="Y45" s="739">
        <v>24.5</v>
      </c>
      <c r="Z45" s="739">
        <v>30.94</v>
      </c>
      <c r="AA45" s="739">
        <v>25.55</v>
      </c>
      <c r="AB45" s="739">
        <v>34.200000000000003</v>
      </c>
      <c r="AC45" s="1160">
        <f t="shared" si="13"/>
        <v>59.75</v>
      </c>
      <c r="AD45" s="1160">
        <f t="shared" si="14"/>
        <v>92.433250000000001</v>
      </c>
      <c r="AE45" s="1160">
        <f t="shared" si="15"/>
        <v>92.433250000000001</v>
      </c>
      <c r="AF45" s="542"/>
      <c r="AG45" s="1160">
        <f t="shared" si="2"/>
        <v>0</v>
      </c>
      <c r="AH45" s="656"/>
      <c r="AI45" s="351"/>
      <c r="AJ45" s="2"/>
      <c r="AK45" s="388"/>
      <c r="AL45" s="388"/>
      <c r="AM45" s="388"/>
      <c r="AN45" s="388"/>
      <c r="AO45" s="370"/>
      <c r="AP45" s="370"/>
      <c r="AQ45" s="386"/>
      <c r="AR45" s="551">
        <v>0</v>
      </c>
      <c r="AS45" s="386">
        <v>11.3</v>
      </c>
      <c r="AT45" s="386">
        <v>0</v>
      </c>
      <c r="AU45" s="386">
        <v>0</v>
      </c>
      <c r="AV45" s="636">
        <v>170.8</v>
      </c>
      <c r="AW45" s="636">
        <v>1000.3</v>
      </c>
      <c r="AX45" s="386">
        <v>0</v>
      </c>
      <c r="AY45" s="551">
        <v>0</v>
      </c>
      <c r="AZ45" s="551">
        <v>0</v>
      </c>
      <c r="BA45" s="551">
        <v>0</v>
      </c>
      <c r="BB45" s="975">
        <v>0</v>
      </c>
      <c r="BC45" s="386">
        <v>0.49</v>
      </c>
      <c r="BD45" s="386">
        <v>1.5</v>
      </c>
      <c r="BE45" s="551">
        <v>0</v>
      </c>
      <c r="BF45" s="386">
        <v>0.99</v>
      </c>
      <c r="BG45" s="386">
        <v>0</v>
      </c>
      <c r="BH45" s="551">
        <v>0</v>
      </c>
      <c r="BI45" s="386">
        <v>1.01</v>
      </c>
      <c r="BJ45" s="386">
        <v>30.3</v>
      </c>
      <c r="BK45" s="386">
        <v>2.83</v>
      </c>
      <c r="BL45" s="386">
        <v>3.8</v>
      </c>
      <c r="BM45" s="386">
        <v>0</v>
      </c>
      <c r="BN45" s="386">
        <v>23.7</v>
      </c>
      <c r="BO45" s="614">
        <v>1032.7</v>
      </c>
      <c r="BP45" s="614">
        <v>1.9</v>
      </c>
      <c r="BQ45" s="615">
        <v>16.3</v>
      </c>
      <c r="BR45" s="615">
        <v>17</v>
      </c>
      <c r="BS45" s="615">
        <v>13.3</v>
      </c>
      <c r="BT45" s="615">
        <v>7.7</v>
      </c>
      <c r="BU45" s="614">
        <v>23.3</v>
      </c>
      <c r="BV45" s="614">
        <v>25</v>
      </c>
      <c r="BW45" s="615">
        <v>421.2</v>
      </c>
      <c r="BX45" s="791"/>
      <c r="BY45" s="615">
        <v>0</v>
      </c>
      <c r="BZ45" s="615">
        <v>1.22</v>
      </c>
      <c r="CA45" s="615">
        <v>1.2</v>
      </c>
      <c r="CB45" s="615">
        <v>8.4</v>
      </c>
      <c r="CC45" s="615">
        <v>8.4</v>
      </c>
      <c r="CD45" s="615">
        <v>15</v>
      </c>
      <c r="CE45" s="615">
        <v>31</v>
      </c>
      <c r="CF45" s="615">
        <v>15.9</v>
      </c>
      <c r="CG45" s="615">
        <v>7.7</v>
      </c>
      <c r="CH45" s="615">
        <v>13.4</v>
      </c>
      <c r="CI45" s="615">
        <v>17.3</v>
      </c>
      <c r="CJ45" s="615">
        <v>12.6</v>
      </c>
      <c r="CK45" s="615">
        <v>551.79999999999995</v>
      </c>
      <c r="CL45" s="615">
        <v>2.5</v>
      </c>
      <c r="CM45" s="615">
        <v>2.6</v>
      </c>
      <c r="CN45" s="615">
        <v>588</v>
      </c>
      <c r="CO45" s="615">
        <v>401.8</v>
      </c>
      <c r="CP45" s="615">
        <v>299.89999999999998</v>
      </c>
      <c r="CQ45" s="615">
        <v>13.1</v>
      </c>
      <c r="CR45" s="615">
        <v>0.8</v>
      </c>
      <c r="CS45" s="386">
        <v>0</v>
      </c>
      <c r="CT45" s="386">
        <v>17.437000000000001</v>
      </c>
      <c r="CU45" s="386">
        <v>39</v>
      </c>
      <c r="CV45" s="499">
        <v>0</v>
      </c>
      <c r="CW45" s="499">
        <v>0</v>
      </c>
      <c r="CX45" s="499">
        <v>0</v>
      </c>
      <c r="CY45" s="499">
        <v>0</v>
      </c>
      <c r="CZ45" s="643">
        <v>577</v>
      </c>
      <c r="DA45" s="643">
        <v>1580</v>
      </c>
      <c r="DB45" s="782">
        <v>543</v>
      </c>
      <c r="DC45" s="609">
        <v>1079.8699999999999</v>
      </c>
      <c r="DD45" s="1153">
        <f t="shared" si="16"/>
        <v>1.3699999999998909</v>
      </c>
      <c r="DE45" s="1154">
        <f t="shared" si="17"/>
        <v>0</v>
      </c>
      <c r="DF45" s="1154">
        <f t="shared" si="18"/>
        <v>433</v>
      </c>
      <c r="DG45" s="1154">
        <f t="shared" si="19"/>
        <v>1330</v>
      </c>
      <c r="DH45" s="1155" t="str">
        <f t="shared" si="20"/>
        <v>Palm</v>
      </c>
      <c r="DI45" s="1146">
        <f t="shared" si="21"/>
        <v>1037</v>
      </c>
      <c r="DJ45" s="1146">
        <f t="shared" si="22"/>
        <v>0</v>
      </c>
      <c r="DK45" s="1154">
        <f t="shared" si="23"/>
        <v>0</v>
      </c>
      <c r="DL45" s="615"/>
      <c r="DM45" s="643"/>
      <c r="DN45" s="615"/>
      <c r="DO45" s="499"/>
      <c r="DP45" s="499"/>
      <c r="DQ45" s="499"/>
      <c r="DR45" s="499"/>
      <c r="DS45" s="499"/>
      <c r="DT45" s="499"/>
      <c r="DU45" s="499"/>
      <c r="DV45" s="499"/>
      <c r="DW45" s="499"/>
      <c r="DX45" s="499"/>
      <c r="DY45" s="499"/>
      <c r="DZ45" s="499"/>
      <c r="EA45" s="499"/>
      <c r="EB45" s="499"/>
      <c r="EC45" s="499"/>
      <c r="ED45" s="499"/>
      <c r="EE45" s="499"/>
      <c r="EF45" s="499"/>
      <c r="EG45" s="1146">
        <f t="shared" si="27"/>
        <v>10.5</v>
      </c>
      <c r="EH45" s="630">
        <v>0</v>
      </c>
      <c r="EI45" s="642">
        <v>1</v>
      </c>
      <c r="EJ45" s="642">
        <v>3</v>
      </c>
      <c r="EK45" s="642">
        <v>6.5</v>
      </c>
      <c r="EL45" s="499"/>
      <c r="EM45" s="499"/>
      <c r="EN45" s="499"/>
      <c r="EO45" s="499"/>
      <c r="EP45" s="499"/>
      <c r="EQ45" s="499"/>
      <c r="ER45" s="499"/>
      <c r="ES45" s="388"/>
      <c r="ET45" s="388"/>
      <c r="EV45" s="1167">
        <f t="shared" si="12"/>
        <v>16.243500000000001</v>
      </c>
    </row>
    <row r="46" spans="1:152" s="350" customFormat="1" ht="15" x14ac:dyDescent="0.25">
      <c r="A46" s="632" t="s">
        <v>4</v>
      </c>
      <c r="B46" s="662">
        <v>42772</v>
      </c>
      <c r="C46" s="1132" t="s">
        <v>904</v>
      </c>
      <c r="D46" s="636">
        <v>0.65</v>
      </c>
      <c r="E46" s="636">
        <v>5</v>
      </c>
      <c r="F46" s="636">
        <v>32</v>
      </c>
      <c r="G46" s="739">
        <v>0.8</v>
      </c>
      <c r="H46" s="739">
        <v>2.06</v>
      </c>
      <c r="I46" s="739">
        <v>12.4</v>
      </c>
      <c r="J46" s="636">
        <v>0</v>
      </c>
      <c r="K46" s="739">
        <v>1.64</v>
      </c>
      <c r="L46" s="741">
        <v>0</v>
      </c>
      <c r="M46" s="739">
        <v>19.399999999999999</v>
      </c>
      <c r="N46" s="739">
        <v>1.31</v>
      </c>
      <c r="O46" s="739">
        <v>1.273538370177449</v>
      </c>
      <c r="P46" s="739">
        <v>1.27</v>
      </c>
      <c r="Q46" s="739">
        <v>0.60566714463666116</v>
      </c>
      <c r="R46" s="782">
        <v>822.05973837209297</v>
      </c>
      <c r="S46" s="739">
        <v>8.32</v>
      </c>
      <c r="T46" s="739">
        <v>8.2899999999999991</v>
      </c>
      <c r="U46" s="739">
        <v>0.7</v>
      </c>
      <c r="V46" s="739">
        <v>0.8</v>
      </c>
      <c r="W46" s="739">
        <v>35.960000000000008</v>
      </c>
      <c r="X46" s="644">
        <v>36.319999999999993</v>
      </c>
      <c r="Y46" s="739">
        <v>25.55</v>
      </c>
      <c r="Z46" s="739">
        <v>34.200000000000003</v>
      </c>
      <c r="AA46" s="739">
        <v>26</v>
      </c>
      <c r="AB46" s="739">
        <v>35.94</v>
      </c>
      <c r="AC46" s="1160">
        <f t="shared" si="13"/>
        <v>61.94</v>
      </c>
      <c r="AD46" s="1160">
        <f t="shared" si="14"/>
        <v>95.821179999999998</v>
      </c>
      <c r="AE46" s="1160">
        <f t="shared" si="15"/>
        <v>95.821179999999998</v>
      </c>
      <c r="AF46" s="542"/>
      <c r="AG46" s="1160">
        <f t="shared" si="2"/>
        <v>0</v>
      </c>
      <c r="AH46" s="656"/>
      <c r="AI46" s="351"/>
      <c r="AJ46" s="2"/>
      <c r="AK46" s="388"/>
      <c r="AL46" s="388"/>
      <c r="AM46" s="388"/>
      <c r="AN46" s="388"/>
      <c r="AO46" s="370"/>
      <c r="AP46" s="370"/>
      <c r="AQ46" s="386"/>
      <c r="AR46" s="551">
        <v>0</v>
      </c>
      <c r="AS46" s="386">
        <v>21.2</v>
      </c>
      <c r="AT46" s="386">
        <v>0</v>
      </c>
      <c r="AU46" s="386">
        <v>0</v>
      </c>
      <c r="AV46" s="636">
        <v>299.3</v>
      </c>
      <c r="AW46" s="636">
        <v>321.7</v>
      </c>
      <c r="AX46" s="386">
        <v>0</v>
      </c>
      <c r="AY46" s="551">
        <v>0</v>
      </c>
      <c r="AZ46" s="551">
        <v>0</v>
      </c>
      <c r="BA46" s="551">
        <v>0</v>
      </c>
      <c r="BB46" s="975">
        <v>0</v>
      </c>
      <c r="BC46" s="386">
        <v>0.5</v>
      </c>
      <c r="BD46" s="386">
        <v>1.5</v>
      </c>
      <c r="BE46" s="551">
        <v>0</v>
      </c>
      <c r="BF46" s="386">
        <v>1</v>
      </c>
      <c r="BG46" s="386">
        <v>0</v>
      </c>
      <c r="BH46" s="551">
        <v>0</v>
      </c>
      <c r="BI46" s="386">
        <v>1.1399999999999999</v>
      </c>
      <c r="BJ46" s="386">
        <v>32</v>
      </c>
      <c r="BK46" s="386">
        <v>2.94</v>
      </c>
      <c r="BL46" s="386">
        <v>3.53</v>
      </c>
      <c r="BM46" s="386">
        <v>0</v>
      </c>
      <c r="BN46" s="386">
        <v>25.5</v>
      </c>
      <c r="BO46" s="614">
        <v>951</v>
      </c>
      <c r="BP46" s="614">
        <v>1.9</v>
      </c>
      <c r="BQ46" s="615">
        <v>18.2</v>
      </c>
      <c r="BR46" s="615">
        <v>18.95</v>
      </c>
      <c r="BS46" s="615">
        <v>14.3</v>
      </c>
      <c r="BT46" s="615">
        <v>7.88</v>
      </c>
      <c r="BU46" s="614">
        <v>24.4</v>
      </c>
      <c r="BV46" s="614">
        <v>23</v>
      </c>
      <c r="BW46" s="615">
        <v>567.29999999999995</v>
      </c>
      <c r="BX46" s="791"/>
      <c r="BY46" s="615">
        <v>0</v>
      </c>
      <c r="BZ46" s="615">
        <v>1.22</v>
      </c>
      <c r="CA46" s="615">
        <v>1.2</v>
      </c>
      <c r="CB46" s="615">
        <v>8.4</v>
      </c>
      <c r="CC46" s="615">
        <v>8.4</v>
      </c>
      <c r="CD46" s="615">
        <v>15.1</v>
      </c>
      <c r="CE46" s="615">
        <v>31</v>
      </c>
      <c r="CF46" s="615">
        <v>15</v>
      </c>
      <c r="CG46" s="615">
        <v>7.3</v>
      </c>
      <c r="CH46" s="615">
        <v>12.9</v>
      </c>
      <c r="CI46" s="615">
        <v>17</v>
      </c>
      <c r="CJ46" s="615">
        <v>12.8</v>
      </c>
      <c r="CK46" s="615">
        <v>554.9</v>
      </c>
      <c r="CL46" s="615">
        <v>2.5</v>
      </c>
      <c r="CM46" s="615">
        <v>2.6</v>
      </c>
      <c r="CN46" s="615">
        <v>448.9</v>
      </c>
      <c r="CO46" s="615">
        <v>376.7</v>
      </c>
      <c r="CP46" s="615">
        <v>374.7</v>
      </c>
      <c r="CQ46" s="615">
        <v>13.1</v>
      </c>
      <c r="CR46" s="615">
        <v>0.81</v>
      </c>
      <c r="CS46" s="386">
        <v>0</v>
      </c>
      <c r="CT46" s="386">
        <v>17.254999999999999</v>
      </c>
      <c r="CU46" s="386">
        <v>39</v>
      </c>
      <c r="CV46" s="499">
        <v>0</v>
      </c>
      <c r="CW46" s="499">
        <v>0</v>
      </c>
      <c r="CX46" s="499">
        <v>0</v>
      </c>
      <c r="CY46" s="499">
        <v>0</v>
      </c>
      <c r="CZ46" s="643">
        <v>649</v>
      </c>
      <c r="DA46" s="643">
        <v>1550</v>
      </c>
      <c r="DB46" s="782">
        <v>579</v>
      </c>
      <c r="DC46" s="609">
        <v>1079.5</v>
      </c>
      <c r="DD46" s="1153">
        <f t="shared" si="16"/>
        <v>-0.36999999999989086</v>
      </c>
      <c r="DE46" s="1154">
        <f t="shared" si="17"/>
        <v>0</v>
      </c>
      <c r="DF46" s="1154">
        <f t="shared" si="18"/>
        <v>469</v>
      </c>
      <c r="DG46" s="1154">
        <f t="shared" si="19"/>
        <v>1300</v>
      </c>
      <c r="DH46" s="1155" t="str">
        <f t="shared" si="20"/>
        <v>Palm</v>
      </c>
      <c r="DI46" s="1146">
        <f t="shared" si="21"/>
        <v>971</v>
      </c>
      <c r="DJ46" s="1146">
        <f t="shared" si="22"/>
        <v>0</v>
      </c>
      <c r="DK46" s="1154">
        <f t="shared" si="23"/>
        <v>0</v>
      </c>
      <c r="DL46" s="615"/>
      <c r="DM46" s="643"/>
      <c r="DN46" s="615"/>
      <c r="DO46" s="499"/>
      <c r="DP46" s="499"/>
      <c r="DQ46" s="499"/>
      <c r="DR46" s="499"/>
      <c r="DS46" s="499"/>
      <c r="DT46" s="499"/>
      <c r="DU46" s="499"/>
      <c r="DV46" s="499"/>
      <c r="DW46" s="499"/>
      <c r="DX46" s="499"/>
      <c r="DY46" s="499"/>
      <c r="DZ46" s="499"/>
      <c r="EA46" s="499"/>
      <c r="EB46" s="499"/>
      <c r="EC46" s="499"/>
      <c r="ED46" s="499"/>
      <c r="EE46" s="499"/>
      <c r="EF46" s="499"/>
      <c r="EG46" s="1146">
        <f t="shared" si="27"/>
        <v>10.5</v>
      </c>
      <c r="EH46" s="630">
        <v>0</v>
      </c>
      <c r="EI46" s="642">
        <v>1</v>
      </c>
      <c r="EJ46" s="642">
        <v>3</v>
      </c>
      <c r="EK46" s="642">
        <v>6.5</v>
      </c>
      <c r="EL46" s="499"/>
      <c r="EM46" s="499"/>
      <c r="EN46" s="499"/>
      <c r="EO46" s="499"/>
      <c r="EP46" s="499"/>
      <c r="EQ46" s="499"/>
      <c r="ER46" s="499"/>
      <c r="ES46" s="388"/>
      <c r="ET46" s="388"/>
      <c r="EV46" s="1167">
        <f t="shared" si="12"/>
        <v>16.243500000000001</v>
      </c>
    </row>
    <row r="47" spans="1:152" s="350" customFormat="1" ht="15" x14ac:dyDescent="0.25">
      <c r="A47" s="632" t="s">
        <v>5</v>
      </c>
      <c r="B47" s="662">
        <v>42773</v>
      </c>
      <c r="C47" s="1132" t="s">
        <v>904</v>
      </c>
      <c r="D47" s="636">
        <v>0</v>
      </c>
      <c r="E47" s="636">
        <v>0</v>
      </c>
      <c r="F47" s="636">
        <v>32</v>
      </c>
      <c r="G47" s="739">
        <v>0.7</v>
      </c>
      <c r="H47" s="739">
        <v>1.48</v>
      </c>
      <c r="I47" s="739">
        <v>15.8</v>
      </c>
      <c r="J47" s="636">
        <v>0</v>
      </c>
      <c r="K47" s="739">
        <v>0.95</v>
      </c>
      <c r="L47" s="741">
        <v>0</v>
      </c>
      <c r="M47" s="739">
        <v>19.399999999999999</v>
      </c>
      <c r="N47" s="739">
        <v>1.3</v>
      </c>
      <c r="O47" s="739">
        <v>1.2733214396826011</v>
      </c>
      <c r="P47" s="739">
        <v>1.29</v>
      </c>
      <c r="Q47" s="739">
        <v>0.591226525141614</v>
      </c>
      <c r="R47" s="782">
        <v>803.72507267441858</v>
      </c>
      <c r="S47" s="739">
        <v>8.2899999999999991</v>
      </c>
      <c r="T47" s="739">
        <v>8.24</v>
      </c>
      <c r="U47" s="739">
        <v>0.65</v>
      </c>
      <c r="V47" s="739">
        <v>0.81</v>
      </c>
      <c r="W47" s="739">
        <v>36.14</v>
      </c>
      <c r="X47" s="644">
        <v>36.14</v>
      </c>
      <c r="Y47" s="739">
        <v>26</v>
      </c>
      <c r="Z47" s="739">
        <v>35.94</v>
      </c>
      <c r="AA47" s="739">
        <v>26</v>
      </c>
      <c r="AB47" s="739">
        <v>34.78</v>
      </c>
      <c r="AC47" s="1160">
        <f t="shared" si="13"/>
        <v>60.78</v>
      </c>
      <c r="AD47" s="1160">
        <f t="shared" si="14"/>
        <v>94.026659999999993</v>
      </c>
      <c r="AE47" s="1160">
        <f t="shared" si="15"/>
        <v>94.026659999999993</v>
      </c>
      <c r="AF47" s="542"/>
      <c r="AG47" s="1160">
        <f t="shared" si="2"/>
        <v>0</v>
      </c>
      <c r="AH47" s="656"/>
      <c r="AI47" s="351"/>
      <c r="AJ47" s="2"/>
      <c r="AK47" s="388"/>
      <c r="AL47" s="388"/>
      <c r="AM47" s="388"/>
      <c r="AN47" s="388"/>
      <c r="AO47" s="370"/>
      <c r="AP47" s="370"/>
      <c r="AQ47" s="386"/>
      <c r="AR47" s="551">
        <v>0</v>
      </c>
      <c r="AS47" s="386">
        <v>10.6</v>
      </c>
      <c r="AT47" s="386">
        <v>0</v>
      </c>
      <c r="AU47" s="386">
        <v>0</v>
      </c>
      <c r="AV47" s="636">
        <v>177.1</v>
      </c>
      <c r="AW47" s="636">
        <v>314.3</v>
      </c>
      <c r="AX47" s="386">
        <v>0</v>
      </c>
      <c r="AY47" s="551">
        <v>0</v>
      </c>
      <c r="AZ47" s="551">
        <v>0</v>
      </c>
      <c r="BA47" s="551">
        <v>0</v>
      </c>
      <c r="BB47" s="975">
        <v>0</v>
      </c>
      <c r="BC47" s="386">
        <v>0.5</v>
      </c>
      <c r="BD47" s="386">
        <v>1.5</v>
      </c>
      <c r="BE47" s="551">
        <v>0</v>
      </c>
      <c r="BF47" s="386">
        <v>1</v>
      </c>
      <c r="BG47" s="386">
        <v>0</v>
      </c>
      <c r="BH47" s="551">
        <v>0</v>
      </c>
      <c r="BI47" s="386">
        <v>1.01</v>
      </c>
      <c r="BJ47" s="386">
        <v>30.8</v>
      </c>
      <c r="BK47" s="386">
        <v>2.93</v>
      </c>
      <c r="BL47" s="386">
        <v>3.53</v>
      </c>
      <c r="BM47" s="386">
        <v>0</v>
      </c>
      <c r="BN47" s="386">
        <v>24.4</v>
      </c>
      <c r="BO47" s="614">
        <v>889.8</v>
      </c>
      <c r="BP47" s="614">
        <v>2</v>
      </c>
      <c r="BQ47" s="615">
        <v>19.600000000000001</v>
      </c>
      <c r="BR47" s="615">
        <v>20.3</v>
      </c>
      <c r="BS47" s="615">
        <v>14.4</v>
      </c>
      <c r="BT47" s="615">
        <v>7.6</v>
      </c>
      <c r="BU47" s="614">
        <v>24.3</v>
      </c>
      <c r="BV47" s="614">
        <v>24.3</v>
      </c>
      <c r="BW47" s="615">
        <v>545.1</v>
      </c>
      <c r="BX47" s="791"/>
      <c r="BY47" s="615">
        <v>0</v>
      </c>
      <c r="BZ47" s="615">
        <v>1.22</v>
      </c>
      <c r="CA47" s="615">
        <v>1.2</v>
      </c>
      <c r="CB47" s="615">
        <v>8.4</v>
      </c>
      <c r="CC47" s="615">
        <v>8.4</v>
      </c>
      <c r="CD47" s="499">
        <v>15.5</v>
      </c>
      <c r="CE47" s="499">
        <v>30.9</v>
      </c>
      <c r="CF47" s="615">
        <v>13.6</v>
      </c>
      <c r="CG47" s="499">
        <v>6.8</v>
      </c>
      <c r="CH47" s="499">
        <v>12.3</v>
      </c>
      <c r="CI47" s="615">
        <v>16.399999999999999</v>
      </c>
      <c r="CJ47" s="615">
        <v>13</v>
      </c>
      <c r="CK47" s="615">
        <v>547.5</v>
      </c>
      <c r="CL47" s="499">
        <v>2.5</v>
      </c>
      <c r="CM47" s="499">
        <v>2.5</v>
      </c>
      <c r="CN47" s="499">
        <v>433.4</v>
      </c>
      <c r="CO47" s="615">
        <v>534.1</v>
      </c>
      <c r="CP47" s="499">
        <v>363.1</v>
      </c>
      <c r="CQ47" s="499">
        <v>12.8</v>
      </c>
      <c r="CR47" s="615">
        <v>0.81</v>
      </c>
      <c r="CS47" s="386">
        <v>0</v>
      </c>
      <c r="CT47" s="386">
        <v>16.385000000000002</v>
      </c>
      <c r="CU47" s="386">
        <v>39</v>
      </c>
      <c r="CV47" s="499">
        <v>0</v>
      </c>
      <c r="CW47" s="499">
        <v>0</v>
      </c>
      <c r="CX47" s="499">
        <v>0</v>
      </c>
      <c r="CY47" s="499">
        <v>0</v>
      </c>
      <c r="CZ47" s="643">
        <v>539</v>
      </c>
      <c r="DA47" s="643">
        <v>1320</v>
      </c>
      <c r="DB47" s="782">
        <v>468</v>
      </c>
      <c r="DC47" s="609">
        <v>1078.27</v>
      </c>
      <c r="DD47" s="1153">
        <f t="shared" si="16"/>
        <v>-1.2300000000000182</v>
      </c>
      <c r="DE47" s="1154">
        <f t="shared" si="17"/>
        <v>0</v>
      </c>
      <c r="DF47" s="1154">
        <f t="shared" si="18"/>
        <v>358</v>
      </c>
      <c r="DG47" s="1154">
        <f t="shared" si="19"/>
        <v>1070</v>
      </c>
      <c r="DH47" s="1155" t="str">
        <f t="shared" si="20"/>
        <v>Palm</v>
      </c>
      <c r="DI47" s="1146">
        <f t="shared" si="21"/>
        <v>852</v>
      </c>
      <c r="DJ47" s="1146">
        <f t="shared" si="22"/>
        <v>0</v>
      </c>
      <c r="DK47" s="1154">
        <f t="shared" si="23"/>
        <v>0</v>
      </c>
      <c r="DL47" s="615"/>
      <c r="DM47" s="643"/>
      <c r="DN47" s="615"/>
      <c r="DO47" s="499"/>
      <c r="DP47" s="499"/>
      <c r="DQ47" s="499"/>
      <c r="DR47" s="499"/>
      <c r="DS47" s="499"/>
      <c r="DT47" s="499"/>
      <c r="DU47" s="499"/>
      <c r="DV47" s="499"/>
      <c r="DW47" s="499"/>
      <c r="DX47" s="499"/>
      <c r="DY47" s="499"/>
      <c r="DZ47" s="499"/>
      <c r="EA47" s="499"/>
      <c r="EB47" s="499"/>
      <c r="EC47" s="499"/>
      <c r="ED47" s="499"/>
      <c r="EE47" s="499"/>
      <c r="EF47" s="499"/>
      <c r="EG47" s="1146">
        <f t="shared" si="27"/>
        <v>10.5</v>
      </c>
      <c r="EH47" s="630">
        <v>0</v>
      </c>
      <c r="EI47" s="642">
        <v>1</v>
      </c>
      <c r="EJ47" s="642">
        <v>3</v>
      </c>
      <c r="EK47" s="642">
        <v>6.5</v>
      </c>
      <c r="EL47" s="499"/>
      <c r="EM47" s="499"/>
      <c r="EN47" s="499"/>
      <c r="EO47" s="499"/>
      <c r="EP47" s="499"/>
      <c r="EQ47" s="499"/>
      <c r="ER47" s="499"/>
      <c r="ES47" s="388"/>
      <c r="ET47" s="388"/>
      <c r="EV47" s="1167">
        <f t="shared" si="12"/>
        <v>16.243500000000001</v>
      </c>
    </row>
    <row r="48" spans="1:152" s="350" customFormat="1" ht="15" x14ac:dyDescent="0.25">
      <c r="A48" s="632" t="s">
        <v>6</v>
      </c>
      <c r="B48" s="662">
        <v>42774</v>
      </c>
      <c r="C48" s="1132" t="s">
        <v>904</v>
      </c>
      <c r="D48" s="636">
        <v>0.8</v>
      </c>
      <c r="E48" s="636">
        <v>0</v>
      </c>
      <c r="F48" s="636">
        <v>35</v>
      </c>
      <c r="G48" s="739">
        <v>0.8</v>
      </c>
      <c r="H48" s="739">
        <v>1.81</v>
      </c>
      <c r="I48" s="739">
        <v>16</v>
      </c>
      <c r="J48" s="636">
        <v>0</v>
      </c>
      <c r="K48" s="739">
        <v>1.77</v>
      </c>
      <c r="L48" s="741">
        <v>0</v>
      </c>
      <c r="M48" s="739">
        <v>19.100000000000001</v>
      </c>
      <c r="N48" s="739">
        <v>1.3</v>
      </c>
      <c r="O48" s="739">
        <v>1.1400404448938324</v>
      </c>
      <c r="P48" s="739">
        <v>1.28</v>
      </c>
      <c r="Q48" s="739">
        <v>0.59565926354029064</v>
      </c>
      <c r="R48" s="782">
        <v>705.71795058139526</v>
      </c>
      <c r="S48" s="739">
        <v>8.17</v>
      </c>
      <c r="T48" s="739">
        <v>8.16</v>
      </c>
      <c r="U48" s="739">
        <v>0.68</v>
      </c>
      <c r="V48" s="739">
        <v>0.82</v>
      </c>
      <c r="W48" s="739">
        <v>37.94</v>
      </c>
      <c r="X48" s="644">
        <v>37.94</v>
      </c>
      <c r="Y48" s="739">
        <v>26</v>
      </c>
      <c r="Z48" s="739">
        <v>34.78</v>
      </c>
      <c r="AA48" s="739">
        <v>25.83</v>
      </c>
      <c r="AB48" s="739">
        <v>32.6</v>
      </c>
      <c r="AC48" s="1160">
        <f t="shared" si="13"/>
        <v>58.43</v>
      </c>
      <c r="AD48" s="1160">
        <f t="shared" si="14"/>
        <v>90.391210000000001</v>
      </c>
      <c r="AE48" s="1160">
        <f t="shared" si="15"/>
        <v>90.391210000000001</v>
      </c>
      <c r="AF48" s="542"/>
      <c r="AG48" s="1160">
        <f t="shared" si="2"/>
        <v>0</v>
      </c>
      <c r="AH48" s="656"/>
      <c r="AI48" s="351"/>
      <c r="AJ48" s="2"/>
      <c r="AK48" s="388"/>
      <c r="AL48" s="388"/>
      <c r="AM48" s="388"/>
      <c r="AN48" s="388"/>
      <c r="AO48" s="370"/>
      <c r="AP48" s="370"/>
      <c r="AQ48" s="386"/>
      <c r="AR48" s="790">
        <v>0</v>
      </c>
      <c r="AS48" s="636">
        <v>20.8</v>
      </c>
      <c r="AT48" s="636">
        <v>0</v>
      </c>
      <c r="AU48" s="636">
        <v>0</v>
      </c>
      <c r="AV48" s="636">
        <v>415.4</v>
      </c>
      <c r="AW48" s="636">
        <v>565.1</v>
      </c>
      <c r="AX48" s="636">
        <v>0</v>
      </c>
      <c r="AY48" s="790">
        <v>0</v>
      </c>
      <c r="AZ48" s="790">
        <v>0</v>
      </c>
      <c r="BA48" s="790">
        <v>0</v>
      </c>
      <c r="BB48" s="975">
        <v>0</v>
      </c>
      <c r="BC48" s="636">
        <v>0.5</v>
      </c>
      <c r="BD48" s="636">
        <v>1.5</v>
      </c>
      <c r="BE48" s="790">
        <v>0</v>
      </c>
      <c r="BF48" s="636">
        <v>1</v>
      </c>
      <c r="BG48" s="636">
        <v>0</v>
      </c>
      <c r="BH48" s="790">
        <v>0</v>
      </c>
      <c r="BI48" s="636">
        <v>1.03</v>
      </c>
      <c r="BJ48" s="636">
        <v>28.6</v>
      </c>
      <c r="BK48" s="636">
        <v>2.85</v>
      </c>
      <c r="BL48" s="636">
        <v>3.82</v>
      </c>
      <c r="BM48" s="636">
        <v>0</v>
      </c>
      <c r="BN48" s="636">
        <v>22</v>
      </c>
      <c r="BO48" s="654">
        <v>878.7</v>
      </c>
      <c r="BP48" s="654">
        <v>2</v>
      </c>
      <c r="BQ48" s="615">
        <v>20.100000000000001</v>
      </c>
      <c r="BR48" s="615">
        <v>20.8</v>
      </c>
      <c r="BS48" s="615">
        <v>14</v>
      </c>
      <c r="BT48" s="615">
        <v>7.4</v>
      </c>
      <c r="BU48" s="614">
        <v>23.7</v>
      </c>
      <c r="BV48" s="614">
        <v>26</v>
      </c>
      <c r="BW48" s="615">
        <v>384.1</v>
      </c>
      <c r="BX48" s="791"/>
      <c r="BY48" s="615">
        <v>0</v>
      </c>
      <c r="BZ48" s="615">
        <v>1.23</v>
      </c>
      <c r="CA48" s="615">
        <v>1.2</v>
      </c>
      <c r="CB48" s="615">
        <v>8.4</v>
      </c>
      <c r="CC48" s="615">
        <v>8.4</v>
      </c>
      <c r="CD48" s="499">
        <v>15.4</v>
      </c>
      <c r="CE48" s="499">
        <v>30.9</v>
      </c>
      <c r="CF48" s="615">
        <v>12.6</v>
      </c>
      <c r="CG48" s="499">
        <v>6.2</v>
      </c>
      <c r="CH48" s="499">
        <v>11.7</v>
      </c>
      <c r="CI48" s="615">
        <v>15.6</v>
      </c>
      <c r="CJ48" s="615">
        <v>12.8</v>
      </c>
      <c r="CK48" s="615">
        <v>539.9</v>
      </c>
      <c r="CL48" s="615">
        <v>2.5</v>
      </c>
      <c r="CM48" s="499">
        <v>2.9</v>
      </c>
      <c r="CN48" s="499">
        <v>417.3</v>
      </c>
      <c r="CO48" s="615">
        <v>417.6</v>
      </c>
      <c r="CP48" s="499">
        <v>366.4</v>
      </c>
      <c r="CQ48" s="499">
        <v>12.8</v>
      </c>
      <c r="CR48" s="615">
        <v>0.81</v>
      </c>
      <c r="CS48" s="386">
        <v>0</v>
      </c>
      <c r="CT48" s="386">
        <v>16.939</v>
      </c>
      <c r="CU48" s="386">
        <v>39</v>
      </c>
      <c r="CV48" s="499">
        <v>0</v>
      </c>
      <c r="CW48" s="499">
        <v>0</v>
      </c>
      <c r="CX48" s="499">
        <v>0</v>
      </c>
      <c r="CY48" s="499">
        <v>0</v>
      </c>
      <c r="CZ48" s="643">
        <v>542</v>
      </c>
      <c r="DA48" s="643">
        <v>1419</v>
      </c>
      <c r="DB48" s="782">
        <v>485</v>
      </c>
      <c r="DC48" s="609">
        <v>1078.04</v>
      </c>
      <c r="DD48" s="1153">
        <f t="shared" si="16"/>
        <v>-0.23000000000001819</v>
      </c>
      <c r="DE48" s="1154">
        <f t="shared" si="17"/>
        <v>0</v>
      </c>
      <c r="DF48" s="1154">
        <f t="shared" si="18"/>
        <v>375</v>
      </c>
      <c r="DG48" s="1154">
        <f t="shared" si="19"/>
        <v>1169</v>
      </c>
      <c r="DH48" s="1155" t="str">
        <f t="shared" si="20"/>
        <v>Palm</v>
      </c>
      <c r="DI48" s="1146">
        <f t="shared" si="21"/>
        <v>934</v>
      </c>
      <c r="DJ48" s="1146">
        <f t="shared" si="22"/>
        <v>0</v>
      </c>
      <c r="DK48" s="1154">
        <f t="shared" si="23"/>
        <v>0</v>
      </c>
      <c r="DL48" s="615"/>
      <c r="DM48" s="643"/>
      <c r="DN48" s="615"/>
      <c r="DO48" s="499"/>
      <c r="DP48" s="499"/>
      <c r="DQ48" s="499"/>
      <c r="DR48" s="499"/>
      <c r="DS48" s="499"/>
      <c r="DT48" s="499"/>
      <c r="DU48" s="499"/>
      <c r="DV48" s="499"/>
      <c r="DW48" s="499"/>
      <c r="DX48" s="499"/>
      <c r="DY48" s="499"/>
      <c r="DZ48" s="499"/>
      <c r="EA48" s="499"/>
      <c r="EB48" s="499"/>
      <c r="EC48" s="499"/>
      <c r="ED48" s="499"/>
      <c r="EE48" s="499"/>
      <c r="EF48" s="499"/>
      <c r="EG48" s="1146">
        <f t="shared" si="27"/>
        <v>10.5</v>
      </c>
      <c r="EH48" s="630">
        <v>0</v>
      </c>
      <c r="EI48" s="642">
        <v>1</v>
      </c>
      <c r="EJ48" s="642">
        <v>3</v>
      </c>
      <c r="EK48" s="642">
        <v>6.5</v>
      </c>
      <c r="EL48" s="499"/>
      <c r="EM48" s="499"/>
      <c r="EN48" s="499"/>
      <c r="EO48" s="499"/>
      <c r="EP48" s="499"/>
      <c r="EQ48" s="499"/>
      <c r="ER48" s="499"/>
      <c r="ES48" s="388"/>
      <c r="ET48" s="388"/>
      <c r="EV48" s="1167">
        <f t="shared" si="12"/>
        <v>16.243500000000001</v>
      </c>
    </row>
    <row r="49" spans="1:152" s="350" customFormat="1" ht="15" x14ac:dyDescent="0.25">
      <c r="A49" s="632" t="s">
        <v>7</v>
      </c>
      <c r="B49" s="662">
        <v>42775</v>
      </c>
      <c r="C49" s="1132" t="s">
        <v>904</v>
      </c>
      <c r="D49" s="636">
        <v>1.95</v>
      </c>
      <c r="E49" s="636">
        <v>0</v>
      </c>
      <c r="F49" s="636">
        <v>37</v>
      </c>
      <c r="G49" s="739">
        <v>1.3</v>
      </c>
      <c r="H49" s="739">
        <v>16.2</v>
      </c>
      <c r="I49" s="739">
        <v>15.4</v>
      </c>
      <c r="J49" s="636">
        <v>0</v>
      </c>
      <c r="K49" s="739">
        <v>8.77</v>
      </c>
      <c r="L49" s="741">
        <v>12.609999999996944</v>
      </c>
      <c r="M49" s="739">
        <v>19.399999999999999</v>
      </c>
      <c r="N49" s="739">
        <v>1.28</v>
      </c>
      <c r="O49" s="739">
        <v>1.4539425872093026</v>
      </c>
      <c r="P49" s="739">
        <v>1.28</v>
      </c>
      <c r="Q49" s="739">
        <v>0.59219957987742811</v>
      </c>
      <c r="R49" s="782">
        <v>829.72696220930231</v>
      </c>
      <c r="S49" s="739">
        <v>8.25</v>
      </c>
      <c r="T49" s="739">
        <v>8.2200000000000006</v>
      </c>
      <c r="U49" s="739">
        <v>0.73</v>
      </c>
      <c r="V49" s="739">
        <v>0.87</v>
      </c>
      <c r="W49" s="739">
        <v>36.860000000000014</v>
      </c>
      <c r="X49" s="644">
        <v>37.22</v>
      </c>
      <c r="Y49" s="739">
        <v>25.83</v>
      </c>
      <c r="Z49" s="739">
        <v>32.6</v>
      </c>
      <c r="AA49" s="739">
        <v>25.87</v>
      </c>
      <c r="AB49" s="739">
        <v>31.1</v>
      </c>
      <c r="AC49" s="1160">
        <f t="shared" si="13"/>
        <v>56.97</v>
      </c>
      <c r="AD49" s="1160">
        <f t="shared" si="14"/>
        <v>88.132589999999993</v>
      </c>
      <c r="AE49" s="1160">
        <f t="shared" si="15"/>
        <v>68.624920000004721</v>
      </c>
      <c r="AF49" s="542"/>
      <c r="AG49" s="1160">
        <f t="shared" si="2"/>
        <v>0</v>
      </c>
      <c r="AH49" s="656"/>
      <c r="AI49" s="351"/>
      <c r="AJ49" s="2"/>
      <c r="AK49" s="388"/>
      <c r="AL49" s="388"/>
      <c r="AM49" s="388"/>
      <c r="AN49" s="388"/>
      <c r="AO49" s="370"/>
      <c r="AP49" s="370"/>
      <c r="AQ49" s="386"/>
      <c r="AR49" s="551">
        <v>0</v>
      </c>
      <c r="AS49" s="386">
        <v>10.5</v>
      </c>
      <c r="AT49" s="386">
        <v>0</v>
      </c>
      <c r="AU49" s="386">
        <v>0</v>
      </c>
      <c r="AV49" s="636">
        <v>267.5</v>
      </c>
      <c r="AW49" s="636">
        <v>290.5</v>
      </c>
      <c r="AX49" s="386">
        <v>0</v>
      </c>
      <c r="AY49" s="551">
        <v>0</v>
      </c>
      <c r="AZ49" s="551">
        <v>0</v>
      </c>
      <c r="BA49" s="551">
        <v>0</v>
      </c>
      <c r="BB49" s="975">
        <v>0</v>
      </c>
      <c r="BC49" s="386">
        <v>0.51</v>
      </c>
      <c r="BD49" s="386">
        <v>1.5</v>
      </c>
      <c r="BE49" s="551">
        <v>0</v>
      </c>
      <c r="BF49" s="386">
        <v>1</v>
      </c>
      <c r="BG49" s="386">
        <v>0</v>
      </c>
      <c r="BH49" s="551">
        <v>0</v>
      </c>
      <c r="BI49" s="386">
        <v>1.02</v>
      </c>
      <c r="BJ49" s="386">
        <v>27.1</v>
      </c>
      <c r="BK49" s="386">
        <v>2.61</v>
      </c>
      <c r="BL49" s="386">
        <v>4.04</v>
      </c>
      <c r="BM49" s="386">
        <v>0</v>
      </c>
      <c r="BN49" s="386">
        <v>20.6</v>
      </c>
      <c r="BO49" s="614">
        <v>875.2</v>
      </c>
      <c r="BP49" s="614">
        <v>2</v>
      </c>
      <c r="BQ49" s="615">
        <v>20</v>
      </c>
      <c r="BR49" s="615">
        <v>20.7</v>
      </c>
      <c r="BS49" s="615">
        <v>14.5</v>
      </c>
      <c r="BT49" s="615">
        <v>7.7</v>
      </c>
      <c r="BU49" s="614">
        <v>24.4</v>
      </c>
      <c r="BV49" s="614">
        <v>29.3</v>
      </c>
      <c r="BW49" s="615">
        <v>533.6</v>
      </c>
      <c r="BX49" s="791"/>
      <c r="BY49" s="615">
        <v>0</v>
      </c>
      <c r="BZ49" s="615">
        <v>1.23</v>
      </c>
      <c r="CA49" s="615">
        <v>1.2</v>
      </c>
      <c r="CB49" s="615">
        <v>8.3000000000000007</v>
      </c>
      <c r="CC49" s="615">
        <v>8.4</v>
      </c>
      <c r="CD49" s="615">
        <v>15.2</v>
      </c>
      <c r="CE49" s="615">
        <v>30.5</v>
      </c>
      <c r="CF49" s="615">
        <v>15.5</v>
      </c>
      <c r="CG49" s="615">
        <v>5.8</v>
      </c>
      <c r="CH49" s="615">
        <v>11.2</v>
      </c>
      <c r="CI49" s="615">
        <v>15.2</v>
      </c>
      <c r="CJ49" s="615">
        <v>12.6</v>
      </c>
      <c r="CK49" s="615">
        <v>307.2</v>
      </c>
      <c r="CL49" s="615">
        <v>2.4</v>
      </c>
      <c r="CM49" s="615">
        <v>2.9</v>
      </c>
      <c r="CN49" s="615">
        <v>475.3</v>
      </c>
      <c r="CO49" s="615">
        <v>423.8</v>
      </c>
      <c r="CP49" s="615">
        <v>362.1</v>
      </c>
      <c r="CQ49" s="615">
        <v>12.5</v>
      </c>
      <c r="CR49" s="615">
        <v>0.8</v>
      </c>
      <c r="CS49" s="386">
        <v>0</v>
      </c>
      <c r="CT49" s="386">
        <v>16.648</v>
      </c>
      <c r="CU49" s="386">
        <v>40</v>
      </c>
      <c r="CV49" s="499">
        <v>0</v>
      </c>
      <c r="CW49" s="499">
        <v>0</v>
      </c>
      <c r="CX49" s="499">
        <v>0</v>
      </c>
      <c r="CY49" s="499">
        <v>0</v>
      </c>
      <c r="CZ49" s="643">
        <v>1310</v>
      </c>
      <c r="DA49" s="643">
        <v>3480</v>
      </c>
      <c r="DB49" s="782">
        <v>1520</v>
      </c>
      <c r="DC49" s="609">
        <v>1084.9100000000001</v>
      </c>
      <c r="DD49" s="1153">
        <f t="shared" si="16"/>
        <v>6.8700000000001182</v>
      </c>
      <c r="DE49" s="1154">
        <f t="shared" si="17"/>
        <v>0</v>
      </c>
      <c r="DF49" s="1154">
        <f t="shared" si="18"/>
        <v>1410</v>
      </c>
      <c r="DG49" s="1154">
        <f t="shared" si="19"/>
        <v>3230</v>
      </c>
      <c r="DH49" s="1155" t="str">
        <f t="shared" si="20"/>
        <v>Palm</v>
      </c>
      <c r="DI49" s="1146">
        <f t="shared" si="21"/>
        <v>1960</v>
      </c>
      <c r="DJ49" s="1146">
        <f t="shared" si="22"/>
        <v>0</v>
      </c>
      <c r="DK49" s="1154">
        <f t="shared" si="23"/>
        <v>0</v>
      </c>
      <c r="DL49" s="615"/>
      <c r="DM49" s="643"/>
      <c r="DN49" s="615"/>
      <c r="DO49" s="499"/>
      <c r="DP49" s="499"/>
      <c r="DQ49" s="499"/>
      <c r="DR49" s="499"/>
      <c r="DS49" s="499"/>
      <c r="DT49" s="499"/>
      <c r="DU49" s="499"/>
      <c r="DV49" s="499"/>
      <c r="DW49" s="499"/>
      <c r="DX49" s="499"/>
      <c r="DY49" s="499"/>
      <c r="DZ49" s="499"/>
      <c r="EA49" s="499"/>
      <c r="EB49" s="499"/>
      <c r="EC49" s="499"/>
      <c r="ED49" s="499"/>
      <c r="EE49" s="499"/>
      <c r="EF49" s="499"/>
      <c r="EG49" s="1146">
        <f t="shared" si="27"/>
        <v>10.5</v>
      </c>
      <c r="EH49" s="630">
        <v>0</v>
      </c>
      <c r="EI49" s="642">
        <v>1</v>
      </c>
      <c r="EJ49" s="642">
        <v>3</v>
      </c>
      <c r="EK49" s="642">
        <v>6.5</v>
      </c>
      <c r="EL49" s="499"/>
      <c r="EM49" s="499"/>
      <c r="EN49" s="499"/>
      <c r="EO49" s="499"/>
      <c r="EP49" s="499"/>
      <c r="EQ49" s="499"/>
      <c r="ER49" s="499"/>
      <c r="ES49" s="388"/>
      <c r="ET49" s="388"/>
      <c r="EV49" s="1167">
        <f t="shared" si="12"/>
        <v>16.243500000000001</v>
      </c>
    </row>
    <row r="50" spans="1:152" s="350" customFormat="1" ht="15" x14ac:dyDescent="0.25">
      <c r="A50" s="632" t="s">
        <v>8</v>
      </c>
      <c r="B50" s="662">
        <v>42776</v>
      </c>
      <c r="C50" s="1132" t="s">
        <v>904</v>
      </c>
      <c r="D50" s="636">
        <v>0.13</v>
      </c>
      <c r="E50" s="636">
        <v>0</v>
      </c>
      <c r="F50" s="636">
        <v>37</v>
      </c>
      <c r="G50" s="739">
        <v>1.3</v>
      </c>
      <c r="H50" s="739">
        <v>15.73</v>
      </c>
      <c r="I50" s="739">
        <v>11</v>
      </c>
      <c r="J50" s="636">
        <v>0</v>
      </c>
      <c r="K50" s="739">
        <v>5.81</v>
      </c>
      <c r="L50" s="741">
        <v>19.870000000002619</v>
      </c>
      <c r="M50" s="739">
        <v>21.3</v>
      </c>
      <c r="N50" s="739">
        <v>1.3</v>
      </c>
      <c r="O50" s="739">
        <v>1.2808203191311498</v>
      </c>
      <c r="P50" s="739">
        <v>1.26</v>
      </c>
      <c r="Q50" s="739">
        <v>0.58989117443554473</v>
      </c>
      <c r="R50" s="782">
        <v>730.05305232558158</v>
      </c>
      <c r="S50" s="739">
        <v>8.15</v>
      </c>
      <c r="T50" s="739">
        <v>8.17</v>
      </c>
      <c r="U50" s="739">
        <v>0.73</v>
      </c>
      <c r="V50" s="739">
        <v>0.93</v>
      </c>
      <c r="W50" s="739">
        <v>41.539999999999992</v>
      </c>
      <c r="X50" s="644">
        <v>41.539999999999992</v>
      </c>
      <c r="Y50" s="739">
        <v>25.87</v>
      </c>
      <c r="Z50" s="739">
        <v>31.1</v>
      </c>
      <c r="AA50" s="739">
        <v>25.8</v>
      </c>
      <c r="AB50" s="739">
        <v>30</v>
      </c>
      <c r="AC50" s="1160">
        <f t="shared" si="13"/>
        <v>55.8</v>
      </c>
      <c r="AD50" s="1160">
        <f t="shared" si="14"/>
        <v>86.322599999999994</v>
      </c>
      <c r="AE50" s="1160">
        <f t="shared" si="15"/>
        <v>55.583709999995946</v>
      </c>
      <c r="AF50" s="542"/>
      <c r="AG50" s="1160">
        <f t="shared" si="2"/>
        <v>0</v>
      </c>
      <c r="AH50" s="656"/>
      <c r="AI50" s="351"/>
      <c r="AJ50" s="2"/>
      <c r="AK50" s="388"/>
      <c r="AL50" s="388"/>
      <c r="AM50" s="388"/>
      <c r="AN50" s="388"/>
      <c r="AO50" s="370"/>
      <c r="AP50" s="370"/>
      <c r="AQ50" s="386"/>
      <c r="AR50" s="790">
        <v>0</v>
      </c>
      <c r="AS50" s="636">
        <v>10.6</v>
      </c>
      <c r="AT50" s="636">
        <v>0</v>
      </c>
      <c r="AU50" s="636">
        <v>0</v>
      </c>
      <c r="AV50" s="636">
        <v>177</v>
      </c>
      <c r="AW50" s="636">
        <v>300.89999999999998</v>
      </c>
      <c r="AX50" s="636">
        <v>0</v>
      </c>
      <c r="AY50" s="790">
        <v>0</v>
      </c>
      <c r="AZ50" s="790">
        <v>0</v>
      </c>
      <c r="BA50" s="790">
        <v>0</v>
      </c>
      <c r="BB50" s="975">
        <v>0</v>
      </c>
      <c r="BC50" s="636">
        <v>0.51</v>
      </c>
      <c r="BD50" s="636">
        <v>1.5</v>
      </c>
      <c r="BE50" s="790">
        <v>0</v>
      </c>
      <c r="BF50" s="636">
        <v>0.99</v>
      </c>
      <c r="BG50" s="636">
        <v>0</v>
      </c>
      <c r="BH50" s="790">
        <v>0</v>
      </c>
      <c r="BI50" s="636">
        <v>1.02</v>
      </c>
      <c r="BJ50" s="636">
        <v>20.6</v>
      </c>
      <c r="BK50" s="636">
        <v>2.37</v>
      </c>
      <c r="BL50" s="636">
        <v>4.2</v>
      </c>
      <c r="BM50" s="636">
        <v>0</v>
      </c>
      <c r="BN50" s="636">
        <v>19.600000000000001</v>
      </c>
      <c r="BO50" s="654">
        <v>929.3</v>
      </c>
      <c r="BP50" s="654">
        <v>2</v>
      </c>
      <c r="BQ50" s="615">
        <v>20</v>
      </c>
      <c r="BR50" s="642">
        <v>20.71</v>
      </c>
      <c r="BS50" s="615">
        <v>14.52</v>
      </c>
      <c r="BT50" s="615">
        <v>7.84</v>
      </c>
      <c r="BU50" s="654">
        <v>24.4</v>
      </c>
      <c r="BV50" s="654">
        <v>28.9</v>
      </c>
      <c r="BW50" s="642">
        <v>548.1</v>
      </c>
      <c r="BX50" s="792"/>
      <c r="BY50" s="642">
        <v>0</v>
      </c>
      <c r="BZ50" s="642">
        <v>1.22</v>
      </c>
      <c r="CA50" s="642">
        <v>1.2</v>
      </c>
      <c r="CB50" s="642">
        <v>8.4</v>
      </c>
      <c r="CC50" s="642">
        <v>8.4</v>
      </c>
      <c r="CD50" s="642">
        <v>15.6</v>
      </c>
      <c r="CE50" s="642">
        <v>30.7</v>
      </c>
      <c r="CF50" s="642">
        <v>14.8</v>
      </c>
      <c r="CG50" s="642">
        <v>5.7</v>
      </c>
      <c r="CH50" s="642">
        <v>11</v>
      </c>
      <c r="CI50" s="642">
        <v>15</v>
      </c>
      <c r="CJ50" s="642">
        <v>12.79</v>
      </c>
      <c r="CK50" s="642">
        <v>0</v>
      </c>
      <c r="CL50" s="642">
        <v>2.2000000000000002</v>
      </c>
      <c r="CM50" s="642">
        <v>2.1</v>
      </c>
      <c r="CN50" s="642">
        <v>521</v>
      </c>
      <c r="CO50" s="642">
        <v>423.5</v>
      </c>
      <c r="CP50" s="642">
        <v>365.3</v>
      </c>
      <c r="CQ50" s="642">
        <v>12.3</v>
      </c>
      <c r="CR50" s="642">
        <v>0.78</v>
      </c>
      <c r="CS50" s="636">
        <v>0</v>
      </c>
      <c r="CT50" s="636">
        <v>15.54</v>
      </c>
      <c r="CU50" s="636">
        <v>40</v>
      </c>
      <c r="CV50" s="630">
        <v>0</v>
      </c>
      <c r="CW50" s="630">
        <v>0</v>
      </c>
      <c r="CX50" s="630">
        <v>0</v>
      </c>
      <c r="CY50" s="630">
        <v>0</v>
      </c>
      <c r="CZ50" s="644">
        <v>1580</v>
      </c>
      <c r="DA50" s="644">
        <v>3180</v>
      </c>
      <c r="DB50" s="782">
        <v>1570</v>
      </c>
      <c r="DC50" s="739">
        <v>1090.3900000000001</v>
      </c>
      <c r="DD50" s="1153">
        <f t="shared" si="16"/>
        <v>5.4800000000000182</v>
      </c>
      <c r="DE50" s="1154">
        <f t="shared" si="17"/>
        <v>0</v>
      </c>
      <c r="DF50" s="1154">
        <f t="shared" si="18"/>
        <v>1460</v>
      </c>
      <c r="DG50" s="1154">
        <f t="shared" si="19"/>
        <v>2930</v>
      </c>
      <c r="DH50" s="1155" t="str">
        <f t="shared" si="20"/>
        <v>Palm</v>
      </c>
      <c r="DI50" s="1146">
        <f t="shared" si="21"/>
        <v>1610</v>
      </c>
      <c r="DJ50" s="1146">
        <f t="shared" si="22"/>
        <v>0</v>
      </c>
      <c r="DK50" s="1154">
        <f t="shared" si="23"/>
        <v>0</v>
      </c>
      <c r="DL50" s="642"/>
      <c r="DM50" s="644"/>
      <c r="DN50" s="642"/>
      <c r="DO50" s="630"/>
      <c r="DP50" s="630"/>
      <c r="DQ50" s="630"/>
      <c r="DR50" s="630"/>
      <c r="DS50" s="630"/>
      <c r="DT50" s="630"/>
      <c r="DU50" s="630"/>
      <c r="DV50" s="630"/>
      <c r="DW50" s="630"/>
      <c r="DX50" s="630"/>
      <c r="DY50" s="630"/>
      <c r="DZ50" s="630"/>
      <c r="EA50" s="630"/>
      <c r="EB50" s="630"/>
      <c r="EC50" s="630"/>
      <c r="ED50" s="630"/>
      <c r="EE50" s="630"/>
      <c r="EF50" s="630"/>
      <c r="EG50" s="1146">
        <f t="shared" si="27"/>
        <v>10.5</v>
      </c>
      <c r="EH50" s="630">
        <v>0</v>
      </c>
      <c r="EI50" s="642">
        <v>1</v>
      </c>
      <c r="EJ50" s="642">
        <v>3</v>
      </c>
      <c r="EK50" s="642">
        <v>6.5</v>
      </c>
      <c r="EL50" s="630"/>
      <c r="EM50" s="630"/>
      <c r="EN50" s="630"/>
      <c r="EO50" s="630"/>
      <c r="EP50" s="630"/>
      <c r="EQ50" s="630"/>
      <c r="ER50" s="630"/>
      <c r="ES50" s="632"/>
      <c r="ET50" s="632"/>
      <c r="EV50" s="1167">
        <f t="shared" si="12"/>
        <v>16.243500000000001</v>
      </c>
    </row>
    <row r="51" spans="1:152" s="350" customFormat="1" ht="15" x14ac:dyDescent="0.25">
      <c r="A51" s="632" t="s">
        <v>9</v>
      </c>
      <c r="B51" s="662">
        <v>42777</v>
      </c>
      <c r="C51" s="1132" t="s">
        <v>904</v>
      </c>
      <c r="D51" s="636">
        <v>0</v>
      </c>
      <c r="E51" s="636">
        <v>0</v>
      </c>
      <c r="F51" s="636">
        <v>34</v>
      </c>
      <c r="G51" s="739">
        <v>1.75</v>
      </c>
      <c r="H51" s="739">
        <v>6.58</v>
      </c>
      <c r="I51" s="739">
        <v>10.8</v>
      </c>
      <c r="J51" s="636">
        <v>0</v>
      </c>
      <c r="K51" s="739">
        <v>3.92</v>
      </c>
      <c r="L51" s="741">
        <v>3.5200000000004366</v>
      </c>
      <c r="M51" s="739">
        <v>21.6</v>
      </c>
      <c r="N51" s="739">
        <v>1.25</v>
      </c>
      <c r="O51" s="739">
        <v>1.3036222949701748</v>
      </c>
      <c r="P51" s="739">
        <v>1.23</v>
      </c>
      <c r="Q51" s="739">
        <v>0.58989117443525285</v>
      </c>
      <c r="R51" s="782">
        <v>739.38706395348845</v>
      </c>
      <c r="S51" s="739">
        <v>8.24</v>
      </c>
      <c r="T51" s="739">
        <v>8.18</v>
      </c>
      <c r="U51" s="739">
        <v>0.75</v>
      </c>
      <c r="V51" s="739">
        <v>0.98</v>
      </c>
      <c r="W51" s="739">
        <v>40.460000000000008</v>
      </c>
      <c r="X51" s="644">
        <v>40.460000000000008</v>
      </c>
      <c r="Y51" s="739">
        <v>25.8</v>
      </c>
      <c r="Z51" s="739">
        <v>30</v>
      </c>
      <c r="AA51" s="739">
        <v>25.7</v>
      </c>
      <c r="AB51" s="739">
        <v>30.01</v>
      </c>
      <c r="AC51" s="1160">
        <f t="shared" si="13"/>
        <v>55.71</v>
      </c>
      <c r="AD51" s="1160">
        <f t="shared" si="14"/>
        <v>86.183369999999996</v>
      </c>
      <c r="AE51" s="1160">
        <f t="shared" si="15"/>
        <v>80.737929999999324</v>
      </c>
      <c r="AF51" s="542"/>
      <c r="AG51" s="1160">
        <f t="shared" si="2"/>
        <v>0</v>
      </c>
      <c r="AH51" s="656"/>
      <c r="AI51" s="351"/>
      <c r="AJ51" s="2"/>
      <c r="AK51" s="388"/>
      <c r="AL51" s="388"/>
      <c r="AM51" s="388"/>
      <c r="AN51" s="388"/>
      <c r="AO51" s="370"/>
      <c r="AP51" s="370"/>
      <c r="AQ51" s="386"/>
      <c r="AR51" s="790">
        <v>0</v>
      </c>
      <c r="AS51" s="636">
        <v>20.9</v>
      </c>
      <c r="AT51" s="636">
        <v>0</v>
      </c>
      <c r="AU51" s="636">
        <v>0</v>
      </c>
      <c r="AV51" s="636">
        <v>404</v>
      </c>
      <c r="AW51" s="636">
        <v>548.5</v>
      </c>
      <c r="AX51" s="636">
        <v>0</v>
      </c>
      <c r="AY51" s="790">
        <v>0</v>
      </c>
      <c r="AZ51" s="790">
        <v>0</v>
      </c>
      <c r="BA51" s="790">
        <v>0</v>
      </c>
      <c r="BB51" s="975">
        <v>0</v>
      </c>
      <c r="BC51" s="636">
        <v>0.5</v>
      </c>
      <c r="BD51" s="636">
        <v>1.5</v>
      </c>
      <c r="BE51" s="790">
        <v>0</v>
      </c>
      <c r="BF51" s="636">
        <v>1</v>
      </c>
      <c r="BG51" s="636">
        <v>0</v>
      </c>
      <c r="BH51" s="790">
        <v>0</v>
      </c>
      <c r="BI51" s="636">
        <v>1.02</v>
      </c>
      <c r="BJ51" s="636">
        <v>26</v>
      </c>
      <c r="BK51" s="636">
        <v>3.68</v>
      </c>
      <c r="BL51" s="636">
        <v>2.91</v>
      </c>
      <c r="BM51" s="636">
        <v>0</v>
      </c>
      <c r="BN51" s="636">
        <v>19.5</v>
      </c>
      <c r="BO51" s="654">
        <v>1462.7</v>
      </c>
      <c r="BP51" s="654">
        <v>1.9</v>
      </c>
      <c r="BQ51" s="615">
        <v>19.920000000000002</v>
      </c>
      <c r="BR51" s="642">
        <v>20.61</v>
      </c>
      <c r="BS51" s="615">
        <v>14.13</v>
      </c>
      <c r="BT51" s="615">
        <v>7.58</v>
      </c>
      <c r="BU51" s="654">
        <v>23.7</v>
      </c>
      <c r="BV51" s="654">
        <v>28.1</v>
      </c>
      <c r="BW51" s="642">
        <v>414.3</v>
      </c>
      <c r="BX51" s="792"/>
      <c r="BY51" s="642">
        <v>0</v>
      </c>
      <c r="BZ51" s="642">
        <v>1.1499999999999999</v>
      </c>
      <c r="CA51" s="642">
        <v>1.2</v>
      </c>
      <c r="CB51" s="642">
        <v>8.1999999999999993</v>
      </c>
      <c r="CC51" s="642">
        <v>8.4</v>
      </c>
      <c r="CD51" s="642">
        <v>15</v>
      </c>
      <c r="CE51" s="642">
        <v>30.7</v>
      </c>
      <c r="CF51" s="642">
        <v>13.7</v>
      </c>
      <c r="CG51" s="642">
        <v>7.8</v>
      </c>
      <c r="CH51" s="642">
        <v>13.5</v>
      </c>
      <c r="CI51" s="642">
        <v>17.5</v>
      </c>
      <c r="CJ51" s="642">
        <v>12.7</v>
      </c>
      <c r="CK51" s="642">
        <v>0</v>
      </c>
      <c r="CL51" s="642">
        <v>1.7</v>
      </c>
      <c r="CM51" s="642">
        <v>1.9</v>
      </c>
      <c r="CN51" s="642">
        <v>672.1</v>
      </c>
      <c r="CO51" s="642">
        <v>448.8</v>
      </c>
      <c r="CP51" s="642">
        <v>379.6</v>
      </c>
      <c r="CQ51" s="642">
        <v>12.3</v>
      </c>
      <c r="CR51" s="642">
        <v>0.74</v>
      </c>
      <c r="CS51" s="636">
        <v>0</v>
      </c>
      <c r="CT51" s="636">
        <v>15.571</v>
      </c>
      <c r="CU51" s="636">
        <v>41</v>
      </c>
      <c r="CV51" s="630">
        <v>0</v>
      </c>
      <c r="CW51" s="630">
        <v>0</v>
      </c>
      <c r="CX51" s="630">
        <v>0</v>
      </c>
      <c r="CY51" s="630">
        <v>0</v>
      </c>
      <c r="CZ51" s="644">
        <v>1560</v>
      </c>
      <c r="DA51" s="644">
        <v>2710</v>
      </c>
      <c r="DB51" s="782">
        <v>1490</v>
      </c>
      <c r="DC51" s="739">
        <v>1089.2</v>
      </c>
      <c r="DD51" s="1153">
        <f t="shared" si="16"/>
        <v>-1.1900000000000546</v>
      </c>
      <c r="DE51" s="1154">
        <f t="shared" si="17"/>
        <v>0</v>
      </c>
      <c r="DF51" s="1154">
        <f t="shared" si="18"/>
        <v>1380</v>
      </c>
      <c r="DG51" s="1154">
        <f t="shared" si="19"/>
        <v>2460</v>
      </c>
      <c r="DH51" s="1155" t="str">
        <f t="shared" si="20"/>
        <v>Palm</v>
      </c>
      <c r="DI51" s="1146">
        <f t="shared" si="21"/>
        <v>1220</v>
      </c>
      <c r="DJ51" s="1146">
        <f t="shared" si="22"/>
        <v>0</v>
      </c>
      <c r="DK51" s="1154">
        <f t="shared" si="23"/>
        <v>0</v>
      </c>
      <c r="DL51" s="642"/>
      <c r="DM51" s="644"/>
      <c r="DN51" s="642"/>
      <c r="DO51" s="630"/>
      <c r="DP51" s="630"/>
      <c r="DQ51" s="630"/>
      <c r="DR51" s="630"/>
      <c r="DS51" s="630"/>
      <c r="DT51" s="630"/>
      <c r="DU51" s="630"/>
      <c r="DV51" s="630"/>
      <c r="DW51" s="630"/>
      <c r="DX51" s="630"/>
      <c r="DY51" s="630"/>
      <c r="DZ51" s="630"/>
      <c r="EA51" s="630"/>
      <c r="EB51" s="630"/>
      <c r="EC51" s="630"/>
      <c r="ED51" s="630"/>
      <c r="EE51" s="630"/>
      <c r="EF51" s="630"/>
      <c r="EG51" s="1146">
        <f t="shared" si="27"/>
        <v>10.5</v>
      </c>
      <c r="EH51" s="630">
        <v>0</v>
      </c>
      <c r="EI51" s="642">
        <v>1</v>
      </c>
      <c r="EJ51" s="642">
        <v>3</v>
      </c>
      <c r="EK51" s="642">
        <v>6.5</v>
      </c>
      <c r="EL51" s="630"/>
      <c r="EM51" s="630"/>
      <c r="EN51" s="630"/>
      <c r="EO51" s="630"/>
      <c r="EP51" s="630"/>
      <c r="EQ51" s="630"/>
      <c r="ER51" s="630"/>
      <c r="ES51" s="632"/>
      <c r="ET51" s="632"/>
      <c r="EV51" s="1167">
        <f t="shared" si="12"/>
        <v>16.243500000000001</v>
      </c>
    </row>
    <row r="52" spans="1:152" s="350" customFormat="1" ht="15" x14ac:dyDescent="0.25">
      <c r="A52" s="632" t="s">
        <v>3</v>
      </c>
      <c r="B52" s="662">
        <v>42778</v>
      </c>
      <c r="C52" s="1132" t="s">
        <v>904</v>
      </c>
      <c r="D52" s="636">
        <v>0</v>
      </c>
      <c r="E52" s="636">
        <v>0</v>
      </c>
      <c r="F52" s="636">
        <v>39</v>
      </c>
      <c r="G52" s="739">
        <v>1.7</v>
      </c>
      <c r="H52" s="739">
        <v>3.9</v>
      </c>
      <c r="I52" s="739">
        <v>13.5</v>
      </c>
      <c r="J52" s="636">
        <v>0</v>
      </c>
      <c r="K52" s="739">
        <v>2.69</v>
      </c>
      <c r="L52" s="741">
        <v>0</v>
      </c>
      <c r="M52" s="739">
        <v>21.5</v>
      </c>
      <c r="N52" s="739">
        <v>1.26</v>
      </c>
      <c r="O52" s="739">
        <v>1.3078079910031559</v>
      </c>
      <c r="P52" s="739">
        <v>1.24</v>
      </c>
      <c r="Q52" s="739">
        <v>0.59396876319892422</v>
      </c>
      <c r="R52" s="782">
        <v>743.3873546511627</v>
      </c>
      <c r="S52" s="739">
        <v>8.16</v>
      </c>
      <c r="T52" s="739">
        <v>8.15</v>
      </c>
      <c r="U52" s="739">
        <v>0.75</v>
      </c>
      <c r="V52" s="739">
        <v>1</v>
      </c>
      <c r="W52" s="739">
        <v>39.56</v>
      </c>
      <c r="X52" s="644">
        <v>39.56</v>
      </c>
      <c r="Y52" s="739">
        <v>25.7</v>
      </c>
      <c r="Z52" s="739">
        <v>29.9</v>
      </c>
      <c r="AA52" s="739">
        <v>25.8</v>
      </c>
      <c r="AB52" s="739">
        <v>30</v>
      </c>
      <c r="AC52" s="1160">
        <f t="shared" si="13"/>
        <v>55.8</v>
      </c>
      <c r="AD52" s="1160">
        <f t="shared" si="14"/>
        <v>86.322599999999994</v>
      </c>
      <c r="AE52" s="1160">
        <f t="shared" si="15"/>
        <v>86.322599999999994</v>
      </c>
      <c r="AF52" s="542"/>
      <c r="AG52" s="1160">
        <f t="shared" si="2"/>
        <v>0</v>
      </c>
      <c r="AH52" s="656"/>
      <c r="AI52" s="351"/>
      <c r="AJ52" s="2"/>
      <c r="AK52" s="388"/>
      <c r="AL52" s="388"/>
      <c r="AM52" s="388"/>
      <c r="AN52" s="388"/>
      <c r="AO52" s="370"/>
      <c r="AP52" s="370"/>
      <c r="AQ52" s="386"/>
      <c r="AR52" s="790">
        <v>0</v>
      </c>
      <c r="AS52" s="636">
        <v>11.4</v>
      </c>
      <c r="AT52" s="636">
        <v>0</v>
      </c>
      <c r="AU52" s="636">
        <v>0</v>
      </c>
      <c r="AV52" s="636">
        <v>332.6</v>
      </c>
      <c r="AW52" s="636">
        <v>359.4</v>
      </c>
      <c r="AX52" s="636">
        <v>0</v>
      </c>
      <c r="AY52" s="790">
        <v>0</v>
      </c>
      <c r="AZ52" s="790">
        <v>0</v>
      </c>
      <c r="BA52" s="790">
        <v>0</v>
      </c>
      <c r="BB52" s="975">
        <v>0</v>
      </c>
      <c r="BC52" s="636">
        <v>0.5</v>
      </c>
      <c r="BD52" s="636">
        <v>1.5</v>
      </c>
      <c r="BE52" s="790">
        <v>0</v>
      </c>
      <c r="BF52" s="636">
        <v>1</v>
      </c>
      <c r="BG52" s="636">
        <v>0</v>
      </c>
      <c r="BH52" s="790">
        <v>0</v>
      </c>
      <c r="BI52" s="636">
        <v>1.02</v>
      </c>
      <c r="BJ52" s="636">
        <v>26</v>
      </c>
      <c r="BK52" s="636">
        <v>2.96</v>
      </c>
      <c r="BL52" s="636">
        <v>3.59</v>
      </c>
      <c r="BM52" s="636">
        <v>0</v>
      </c>
      <c r="BN52" s="636">
        <v>19.5</v>
      </c>
      <c r="BO52" s="636">
        <v>1025</v>
      </c>
      <c r="BP52" s="636">
        <v>2</v>
      </c>
      <c r="BQ52" s="615">
        <v>19.66</v>
      </c>
      <c r="BR52" s="642">
        <v>20.36</v>
      </c>
      <c r="BS52" s="615">
        <v>14.38</v>
      </c>
      <c r="BT52" s="615">
        <v>7.77</v>
      </c>
      <c r="BU52" s="654">
        <v>24.2</v>
      </c>
      <c r="BV52" s="654">
        <v>29.5</v>
      </c>
      <c r="BW52" s="642">
        <v>594.5</v>
      </c>
      <c r="BX52" s="792"/>
      <c r="BY52" s="642">
        <v>0</v>
      </c>
      <c r="BZ52" s="642">
        <v>1.1399999999999999</v>
      </c>
      <c r="CA52" s="642">
        <v>1.2</v>
      </c>
      <c r="CB52" s="642">
        <v>8.4</v>
      </c>
      <c r="CC52" s="642">
        <v>8.4</v>
      </c>
      <c r="CD52" s="642">
        <v>15.2</v>
      </c>
      <c r="CE52" s="642">
        <v>30.7</v>
      </c>
      <c r="CF52" s="642">
        <v>12.6</v>
      </c>
      <c r="CG52" s="642">
        <v>7.4</v>
      </c>
      <c r="CH52" s="642">
        <v>13.05</v>
      </c>
      <c r="CI52" s="642">
        <v>17</v>
      </c>
      <c r="CJ52" s="642">
        <v>12.88</v>
      </c>
      <c r="CK52" s="642">
        <v>0</v>
      </c>
      <c r="CL52" s="642">
        <v>2</v>
      </c>
      <c r="CM52" s="642">
        <v>1.6</v>
      </c>
      <c r="CN52" s="642">
        <v>683.9</v>
      </c>
      <c r="CO52" s="642">
        <v>456.4</v>
      </c>
      <c r="CP52" s="642">
        <v>377</v>
      </c>
      <c r="CQ52" s="642">
        <v>12.9</v>
      </c>
      <c r="CR52" s="642">
        <v>0.77</v>
      </c>
      <c r="CS52" s="636">
        <v>0</v>
      </c>
      <c r="CT52" s="636">
        <v>16.106999999999999</v>
      </c>
      <c r="CU52" s="636">
        <v>41</v>
      </c>
      <c r="CV52" s="630">
        <v>0</v>
      </c>
      <c r="CW52" s="630">
        <v>0</v>
      </c>
      <c r="CX52" s="630">
        <v>0</v>
      </c>
      <c r="CY52" s="630">
        <v>0</v>
      </c>
      <c r="CZ52" s="644">
        <v>1500</v>
      </c>
      <c r="DA52" s="644">
        <v>2450</v>
      </c>
      <c r="DB52" s="782">
        <v>1390</v>
      </c>
      <c r="DC52" s="739">
        <v>1085.3599999999999</v>
      </c>
      <c r="DD52" s="1153">
        <f t="shared" si="16"/>
        <v>-3.8400000000001455</v>
      </c>
      <c r="DE52" s="1154">
        <f t="shared" si="17"/>
        <v>0</v>
      </c>
      <c r="DF52" s="1154">
        <f t="shared" si="18"/>
        <v>1280</v>
      </c>
      <c r="DG52" s="1154">
        <f t="shared" si="19"/>
        <v>2200</v>
      </c>
      <c r="DH52" s="1155" t="str">
        <f t="shared" si="20"/>
        <v>Palm</v>
      </c>
      <c r="DI52" s="1146">
        <f t="shared" si="21"/>
        <v>1060</v>
      </c>
      <c r="DJ52" s="1146">
        <f t="shared" si="22"/>
        <v>0</v>
      </c>
      <c r="DK52" s="1154">
        <f t="shared" si="23"/>
        <v>0</v>
      </c>
      <c r="DL52" s="642"/>
      <c r="DM52" s="644"/>
      <c r="DN52" s="642"/>
      <c r="DO52" s="630"/>
      <c r="DP52" s="630"/>
      <c r="DQ52" s="630"/>
      <c r="DR52" s="630"/>
      <c r="DS52" s="630"/>
      <c r="DT52" s="630"/>
      <c r="DU52" s="630"/>
      <c r="DV52" s="630"/>
      <c r="DW52" s="630"/>
      <c r="DX52" s="630"/>
      <c r="DY52" s="630"/>
      <c r="DZ52" s="630"/>
      <c r="EA52" s="630"/>
      <c r="EB52" s="630"/>
      <c r="EC52" s="630"/>
      <c r="ED52" s="630"/>
      <c r="EE52" s="630"/>
      <c r="EF52" s="630"/>
      <c r="EG52" s="1146">
        <f t="shared" si="27"/>
        <v>10.5</v>
      </c>
      <c r="EH52" s="630">
        <v>0</v>
      </c>
      <c r="EI52" s="642">
        <v>1</v>
      </c>
      <c r="EJ52" s="642">
        <v>3</v>
      </c>
      <c r="EK52" s="642">
        <v>6.5</v>
      </c>
      <c r="EL52" s="630"/>
      <c r="EM52" s="630"/>
      <c r="EN52" s="630"/>
      <c r="EO52" s="630"/>
      <c r="EP52" s="630"/>
      <c r="EQ52" s="630"/>
      <c r="ER52" s="630"/>
      <c r="ES52" s="632"/>
      <c r="ET52" s="632"/>
      <c r="EV52" s="1167">
        <f t="shared" si="12"/>
        <v>16.243500000000001</v>
      </c>
    </row>
    <row r="53" spans="1:152" s="350" customFormat="1" ht="15" x14ac:dyDescent="0.25">
      <c r="A53" s="632" t="s">
        <v>4</v>
      </c>
      <c r="B53" s="662">
        <v>42779</v>
      </c>
      <c r="C53" s="1132" t="s">
        <v>904</v>
      </c>
      <c r="D53" s="636">
        <v>0</v>
      </c>
      <c r="E53" s="636">
        <v>0</v>
      </c>
      <c r="F53" s="636">
        <v>47.8</v>
      </c>
      <c r="G53" s="739">
        <v>1.4</v>
      </c>
      <c r="H53" s="739">
        <v>3.63</v>
      </c>
      <c r="I53" s="739">
        <v>12.5</v>
      </c>
      <c r="J53" s="636">
        <v>0</v>
      </c>
      <c r="K53" s="739">
        <v>2.71</v>
      </c>
      <c r="L53" s="741">
        <v>0</v>
      </c>
      <c r="M53" s="739">
        <v>21.3</v>
      </c>
      <c r="N53" s="739">
        <v>1.27</v>
      </c>
      <c r="O53" s="739">
        <v>1.2777592451392892</v>
      </c>
      <c r="P53" s="739">
        <v>1.24</v>
      </c>
      <c r="Q53" s="739">
        <v>0.61027911825244163</v>
      </c>
      <c r="R53" s="782">
        <v>734.72005813953479</v>
      </c>
      <c r="S53" s="739">
        <v>8.26</v>
      </c>
      <c r="T53" s="739">
        <v>8.24</v>
      </c>
      <c r="U53" s="739">
        <v>0.75</v>
      </c>
      <c r="V53" s="739">
        <v>0.85</v>
      </c>
      <c r="W53" s="739">
        <v>39.92</v>
      </c>
      <c r="X53" s="644">
        <v>39.92</v>
      </c>
      <c r="Y53" s="739">
        <v>25.8</v>
      </c>
      <c r="Z53" s="739">
        <v>30</v>
      </c>
      <c r="AA53" s="739">
        <v>25.8</v>
      </c>
      <c r="AB53" s="739">
        <v>30</v>
      </c>
      <c r="AC53" s="1160">
        <f t="shared" si="13"/>
        <v>55.8</v>
      </c>
      <c r="AD53" s="1160">
        <f t="shared" si="14"/>
        <v>86.322599999999994</v>
      </c>
      <c r="AE53" s="1160">
        <f t="shared" si="15"/>
        <v>86.322599999999994</v>
      </c>
      <c r="AF53" s="542"/>
      <c r="AG53" s="1160">
        <f t="shared" si="2"/>
        <v>0</v>
      </c>
      <c r="AH53" s="656"/>
      <c r="AI53" s="351"/>
      <c r="AJ53" s="2"/>
      <c r="AK53" s="388"/>
      <c r="AL53" s="388"/>
      <c r="AM53" s="388"/>
      <c r="AN53" s="388"/>
      <c r="AO53" s="370"/>
      <c r="AP53" s="370"/>
      <c r="AQ53" s="386"/>
      <c r="AR53" s="551">
        <v>0</v>
      </c>
      <c r="AS53" s="386">
        <v>21.2</v>
      </c>
      <c r="AT53" s="386">
        <v>0</v>
      </c>
      <c r="AU53" s="386">
        <v>0</v>
      </c>
      <c r="AV53" s="636">
        <v>348.5</v>
      </c>
      <c r="AW53" s="636">
        <v>488.2</v>
      </c>
      <c r="AX53" s="386">
        <v>0</v>
      </c>
      <c r="AY53" s="551">
        <v>0</v>
      </c>
      <c r="AZ53" s="551">
        <v>0</v>
      </c>
      <c r="BA53" s="551">
        <v>0</v>
      </c>
      <c r="BB53" s="975">
        <v>0</v>
      </c>
      <c r="BC53" s="386">
        <v>0.51</v>
      </c>
      <c r="BD53" s="386">
        <v>1.5</v>
      </c>
      <c r="BE53" s="551">
        <v>0</v>
      </c>
      <c r="BF53" s="386">
        <v>0.99</v>
      </c>
      <c r="BG53" s="386">
        <v>0</v>
      </c>
      <c r="BH53" s="551">
        <v>0</v>
      </c>
      <c r="BI53" s="386">
        <v>1.02</v>
      </c>
      <c r="BJ53" s="386">
        <v>26</v>
      </c>
      <c r="BK53" s="386">
        <v>3.02</v>
      </c>
      <c r="BL53" s="386">
        <v>3.46</v>
      </c>
      <c r="BM53" s="386">
        <v>0</v>
      </c>
      <c r="BN53" s="386">
        <v>19.600000000000001</v>
      </c>
      <c r="BO53" s="386">
        <v>924.9</v>
      </c>
      <c r="BP53" s="386">
        <v>2</v>
      </c>
      <c r="BQ53" s="615">
        <v>18.78</v>
      </c>
      <c r="BR53" s="615">
        <v>19.45</v>
      </c>
      <c r="BS53" s="615">
        <v>14.16</v>
      </c>
      <c r="BT53" s="615">
        <v>7.77</v>
      </c>
      <c r="BU53" s="614">
        <v>24</v>
      </c>
      <c r="BV53" s="614">
        <v>31.1</v>
      </c>
      <c r="BW53" s="615">
        <v>559.6</v>
      </c>
      <c r="BX53" s="791"/>
      <c r="BY53" s="615">
        <v>0</v>
      </c>
      <c r="BZ53" s="615">
        <v>1.1499999999999999</v>
      </c>
      <c r="CA53" s="615">
        <v>1.2</v>
      </c>
      <c r="CB53" s="615">
        <v>8.3000000000000007</v>
      </c>
      <c r="CC53" s="615">
        <v>8.4</v>
      </c>
      <c r="CD53" s="615">
        <v>15.6</v>
      </c>
      <c r="CE53" s="615">
        <v>35.1</v>
      </c>
      <c r="CF53" s="615">
        <v>15</v>
      </c>
      <c r="CG53" s="615">
        <v>7.1</v>
      </c>
      <c r="CH53" s="615">
        <v>12.6</v>
      </c>
      <c r="CI53" s="615">
        <v>16.600000000000001</v>
      </c>
      <c r="CJ53" s="615">
        <v>13.24</v>
      </c>
      <c r="CK53" s="615">
        <v>0</v>
      </c>
      <c r="CL53" s="615">
        <v>2</v>
      </c>
      <c r="CM53" s="615">
        <v>1.5</v>
      </c>
      <c r="CN53" s="615">
        <v>537.79999999999995</v>
      </c>
      <c r="CO53" s="615">
        <v>422.2</v>
      </c>
      <c r="CP53" s="615">
        <v>411.5</v>
      </c>
      <c r="CQ53" s="615">
        <v>12.7</v>
      </c>
      <c r="CR53" s="615">
        <v>0.77</v>
      </c>
      <c r="CS53" s="386">
        <v>0</v>
      </c>
      <c r="CT53" s="386">
        <v>15.302</v>
      </c>
      <c r="CU53" s="386">
        <v>41</v>
      </c>
      <c r="CV53" s="499">
        <v>0</v>
      </c>
      <c r="CW53" s="499">
        <v>0</v>
      </c>
      <c r="CX53" s="499">
        <v>0</v>
      </c>
      <c r="CY53" s="499">
        <v>0</v>
      </c>
      <c r="CZ53" s="643">
        <v>1200</v>
      </c>
      <c r="DA53" s="643">
        <v>2030</v>
      </c>
      <c r="DB53" s="782">
        <v>1120</v>
      </c>
      <c r="DC53" s="739">
        <v>1081.4100000000001</v>
      </c>
      <c r="DD53" s="1153">
        <f t="shared" si="16"/>
        <v>-3.9499999999998181</v>
      </c>
      <c r="DE53" s="1154">
        <f t="shared" si="17"/>
        <v>0</v>
      </c>
      <c r="DF53" s="1154">
        <f t="shared" si="18"/>
        <v>1010</v>
      </c>
      <c r="DG53" s="1154">
        <f t="shared" si="19"/>
        <v>1780</v>
      </c>
      <c r="DH53" s="1155" t="str">
        <f t="shared" si="20"/>
        <v>Palm</v>
      </c>
      <c r="DI53" s="1146">
        <f t="shared" si="21"/>
        <v>910</v>
      </c>
      <c r="DJ53" s="1146">
        <f t="shared" si="22"/>
        <v>0</v>
      </c>
      <c r="DK53" s="1154">
        <f t="shared" si="23"/>
        <v>0</v>
      </c>
      <c r="DL53" s="615"/>
      <c r="DM53" s="643"/>
      <c r="DN53" s="615"/>
      <c r="DO53" s="499"/>
      <c r="DP53" s="499"/>
      <c r="DQ53" s="499"/>
      <c r="DR53" s="499"/>
      <c r="DS53" s="499"/>
      <c r="DT53" s="499"/>
      <c r="DU53" s="499"/>
      <c r="DV53" s="499"/>
      <c r="DW53" s="499"/>
      <c r="DX53" s="499"/>
      <c r="DY53" s="499"/>
      <c r="DZ53" s="499"/>
      <c r="EA53" s="499"/>
      <c r="EB53" s="499"/>
      <c r="EC53" s="499"/>
      <c r="ED53" s="499"/>
      <c r="EE53" s="499"/>
      <c r="EF53" s="499"/>
      <c r="EG53" s="1146">
        <f t="shared" si="27"/>
        <v>10.5</v>
      </c>
      <c r="EH53" s="630">
        <v>0</v>
      </c>
      <c r="EI53" s="642">
        <v>1</v>
      </c>
      <c r="EJ53" s="642">
        <v>3</v>
      </c>
      <c r="EK53" s="642">
        <v>6.5</v>
      </c>
      <c r="EL53" s="499"/>
      <c r="EM53" s="499"/>
      <c r="EN53" s="499"/>
      <c r="EO53" s="499"/>
      <c r="EP53" s="499"/>
      <c r="EQ53" s="499"/>
      <c r="ER53" s="499"/>
      <c r="ES53" s="388"/>
      <c r="ET53" s="388"/>
      <c r="EV53" s="1167">
        <f t="shared" si="12"/>
        <v>16.243500000000001</v>
      </c>
    </row>
    <row r="54" spans="1:152" s="350" customFormat="1" ht="15" x14ac:dyDescent="0.25">
      <c r="A54" s="632" t="s">
        <v>5</v>
      </c>
      <c r="B54" s="662">
        <v>42780</v>
      </c>
      <c r="C54" s="1132" t="s">
        <v>904</v>
      </c>
      <c r="D54" s="636">
        <v>0.05</v>
      </c>
      <c r="E54" s="636">
        <v>0</v>
      </c>
      <c r="F54" s="636">
        <v>44.2</v>
      </c>
      <c r="G54" s="739">
        <v>1.3</v>
      </c>
      <c r="H54" s="739">
        <v>3.85</v>
      </c>
      <c r="I54" s="739">
        <v>13.9</v>
      </c>
      <c r="J54" s="636">
        <v>0</v>
      </c>
      <c r="K54" s="739">
        <v>3.16</v>
      </c>
      <c r="L54" s="741">
        <v>0</v>
      </c>
      <c r="M54" s="739">
        <v>21.4</v>
      </c>
      <c r="N54" s="739">
        <v>1.27</v>
      </c>
      <c r="O54" s="739">
        <v>1.302702215243523</v>
      </c>
      <c r="P54" s="739">
        <v>1.26</v>
      </c>
      <c r="Q54" s="739">
        <v>0.6129975107610578</v>
      </c>
      <c r="R54" s="782">
        <v>745.72085755813953</v>
      </c>
      <c r="S54" s="739">
        <v>8.2200000000000006</v>
      </c>
      <c r="T54" s="739">
        <v>8.23</v>
      </c>
      <c r="U54" s="739">
        <v>0.76</v>
      </c>
      <c r="V54" s="739">
        <v>0.73</v>
      </c>
      <c r="W54" s="739">
        <v>41.180000000000007</v>
      </c>
      <c r="X54" s="644">
        <v>40.64</v>
      </c>
      <c r="Y54" s="739">
        <v>25.8</v>
      </c>
      <c r="Z54" s="739">
        <v>30</v>
      </c>
      <c r="AA54" s="739">
        <v>25.84</v>
      </c>
      <c r="AB54" s="739">
        <v>30.02</v>
      </c>
      <c r="AC54" s="1160">
        <f t="shared" si="13"/>
        <v>55.86</v>
      </c>
      <c r="AD54" s="1160">
        <f t="shared" si="14"/>
        <v>86.415419999999997</v>
      </c>
      <c r="AE54" s="1160">
        <f t="shared" si="15"/>
        <v>86.415419999999997</v>
      </c>
      <c r="AF54" s="542"/>
      <c r="AG54" s="1160">
        <f t="shared" si="2"/>
        <v>0</v>
      </c>
      <c r="AH54" s="656"/>
      <c r="AI54" s="351"/>
      <c r="AJ54" s="2"/>
      <c r="AK54" s="388"/>
      <c r="AL54" s="388"/>
      <c r="AM54" s="388"/>
      <c r="AN54" s="388"/>
      <c r="AO54" s="370"/>
      <c r="AP54" s="370"/>
      <c r="AQ54" s="386"/>
      <c r="AR54" s="551">
        <v>0</v>
      </c>
      <c r="AS54" s="386">
        <v>10.4</v>
      </c>
      <c r="AT54" s="386">
        <v>0</v>
      </c>
      <c r="AU54" s="386">
        <v>0</v>
      </c>
      <c r="AV54" s="636">
        <v>356.4</v>
      </c>
      <c r="AW54" s="636">
        <v>370.5</v>
      </c>
      <c r="AX54" s="386">
        <v>0</v>
      </c>
      <c r="AY54" s="551">
        <v>0</v>
      </c>
      <c r="AZ54" s="551">
        <v>0</v>
      </c>
      <c r="BA54" s="551">
        <v>0</v>
      </c>
      <c r="BB54" s="975">
        <v>0</v>
      </c>
      <c r="BC54" s="386">
        <v>0.49</v>
      </c>
      <c r="BD54" s="386">
        <v>1.5</v>
      </c>
      <c r="BE54" s="551">
        <v>0</v>
      </c>
      <c r="BF54" s="386">
        <v>1</v>
      </c>
      <c r="BG54" s="386">
        <v>0</v>
      </c>
      <c r="BH54" s="551">
        <v>0</v>
      </c>
      <c r="BI54" s="386">
        <v>1.01</v>
      </c>
      <c r="BJ54" s="386">
        <v>26</v>
      </c>
      <c r="BK54" s="386">
        <v>3.16</v>
      </c>
      <c r="BL54" s="386">
        <v>3.39</v>
      </c>
      <c r="BM54" s="386">
        <v>0</v>
      </c>
      <c r="BN54" s="386">
        <v>19.5</v>
      </c>
      <c r="BO54" s="386">
        <v>886.5</v>
      </c>
      <c r="BP54" s="386">
        <v>2</v>
      </c>
      <c r="BQ54" s="615">
        <v>19.010000000000002</v>
      </c>
      <c r="BR54" s="615">
        <v>19.72</v>
      </c>
      <c r="BS54" s="615">
        <v>14.34</v>
      </c>
      <c r="BT54" s="615">
        <v>7.81</v>
      </c>
      <c r="BU54" s="614">
        <v>24.2</v>
      </c>
      <c r="BV54" s="614">
        <v>27.6</v>
      </c>
      <c r="BW54" s="615">
        <v>397.7</v>
      </c>
      <c r="BX54" s="791"/>
      <c r="BY54" s="615">
        <v>0</v>
      </c>
      <c r="BZ54" s="615">
        <v>1.18</v>
      </c>
      <c r="CA54" s="615">
        <v>1.2</v>
      </c>
      <c r="CB54" s="615">
        <v>8.4</v>
      </c>
      <c r="CC54" s="615">
        <v>8.4</v>
      </c>
      <c r="CD54" s="615">
        <v>15.2</v>
      </c>
      <c r="CE54" s="615">
        <v>35.1</v>
      </c>
      <c r="CF54" s="615">
        <v>14.5</v>
      </c>
      <c r="CG54" s="615">
        <v>6.7</v>
      </c>
      <c r="CH54" s="615">
        <v>12.2</v>
      </c>
      <c r="CI54" s="615">
        <v>16.2</v>
      </c>
      <c r="CJ54" s="615">
        <v>12.88</v>
      </c>
      <c r="CK54" s="615">
        <v>0</v>
      </c>
      <c r="CL54" s="615">
        <v>1.8</v>
      </c>
      <c r="CM54" s="615">
        <v>1.8</v>
      </c>
      <c r="CN54" s="615">
        <v>574.4</v>
      </c>
      <c r="CO54" s="615">
        <v>429.1</v>
      </c>
      <c r="CP54" s="615">
        <v>440.1</v>
      </c>
      <c r="CQ54" s="615">
        <v>12.9</v>
      </c>
      <c r="CR54" s="615">
        <v>0.79</v>
      </c>
      <c r="CS54" s="386">
        <v>0</v>
      </c>
      <c r="CT54" s="386">
        <v>15.973000000000001</v>
      </c>
      <c r="CU54" s="386">
        <v>41</v>
      </c>
      <c r="CV54" s="499">
        <v>0</v>
      </c>
      <c r="CW54" s="499">
        <v>0</v>
      </c>
      <c r="CX54" s="499">
        <v>0</v>
      </c>
      <c r="CY54" s="499">
        <v>0</v>
      </c>
      <c r="CZ54" s="643">
        <v>1110</v>
      </c>
      <c r="DA54" s="643">
        <v>1880</v>
      </c>
      <c r="DB54" s="782">
        <v>1010</v>
      </c>
      <c r="DC54" s="609">
        <v>1078.46</v>
      </c>
      <c r="DD54" s="1153">
        <f t="shared" si="16"/>
        <v>-2.9500000000000455</v>
      </c>
      <c r="DE54" s="1154">
        <f t="shared" si="17"/>
        <v>0</v>
      </c>
      <c r="DF54" s="1154">
        <f t="shared" si="18"/>
        <v>900</v>
      </c>
      <c r="DG54" s="1154">
        <f t="shared" si="19"/>
        <v>1630</v>
      </c>
      <c r="DH54" s="1155" t="str">
        <f t="shared" si="20"/>
        <v>Palm</v>
      </c>
      <c r="DI54" s="1146">
        <f t="shared" si="21"/>
        <v>870</v>
      </c>
      <c r="DJ54" s="1146">
        <f t="shared" si="22"/>
        <v>0</v>
      </c>
      <c r="DK54" s="1154">
        <f t="shared" si="23"/>
        <v>0</v>
      </c>
      <c r="DL54" s="615"/>
      <c r="DM54" s="643"/>
      <c r="DN54" s="615"/>
      <c r="DO54" s="499"/>
      <c r="DP54" s="499"/>
      <c r="DQ54" s="499"/>
      <c r="DR54" s="499"/>
      <c r="DS54" s="499"/>
      <c r="DT54" s="499"/>
      <c r="DU54" s="499"/>
      <c r="DV54" s="499"/>
      <c r="DW54" s="499"/>
      <c r="DX54" s="499"/>
      <c r="DY54" s="499"/>
      <c r="DZ54" s="499"/>
      <c r="EA54" s="499"/>
      <c r="EB54" s="499"/>
      <c r="EC54" s="499"/>
      <c r="ED54" s="499"/>
      <c r="EE54" s="499"/>
      <c r="EF54" s="499"/>
      <c r="EG54" s="1146">
        <f t="shared" si="27"/>
        <v>10.5</v>
      </c>
      <c r="EH54" s="630">
        <v>0</v>
      </c>
      <c r="EI54" s="642">
        <v>1</v>
      </c>
      <c r="EJ54" s="642">
        <v>3</v>
      </c>
      <c r="EK54" s="642">
        <v>6.5</v>
      </c>
      <c r="EL54" s="499"/>
      <c r="EM54" s="499"/>
      <c r="EN54" s="499"/>
      <c r="EO54" s="499"/>
      <c r="EP54" s="499"/>
      <c r="EQ54" s="499"/>
      <c r="ER54" s="499"/>
      <c r="ES54" s="388"/>
      <c r="ET54" s="388"/>
      <c r="EV54" s="1167">
        <f t="shared" si="12"/>
        <v>16.243500000000001</v>
      </c>
    </row>
    <row r="55" spans="1:152" s="350" customFormat="1" ht="15" x14ac:dyDescent="0.25">
      <c r="A55" s="632" t="s">
        <v>6</v>
      </c>
      <c r="B55" s="662">
        <v>42781</v>
      </c>
      <c r="C55" s="1132" t="s">
        <v>904</v>
      </c>
      <c r="D55" s="636">
        <v>1.03</v>
      </c>
      <c r="E55" s="636">
        <v>0</v>
      </c>
      <c r="F55" s="636">
        <v>45</v>
      </c>
      <c r="G55" s="739">
        <v>1.6</v>
      </c>
      <c r="H55" s="739">
        <v>17.13</v>
      </c>
      <c r="I55" s="739">
        <v>15.3</v>
      </c>
      <c r="J55" s="636">
        <v>0</v>
      </c>
      <c r="K55" s="739">
        <v>7.95</v>
      </c>
      <c r="L55" s="741">
        <v>7.7</v>
      </c>
      <c r="M55" s="739">
        <v>20.3</v>
      </c>
      <c r="N55" s="739">
        <v>1.29</v>
      </c>
      <c r="O55" s="739">
        <v>0.41209361053737131</v>
      </c>
      <c r="P55" s="739">
        <v>1.26</v>
      </c>
      <c r="Q55" s="739">
        <v>8.5273470488953271E-2</v>
      </c>
      <c r="R55" s="1128">
        <v>895.84643372093001</v>
      </c>
      <c r="S55" s="739">
        <v>8.16</v>
      </c>
      <c r="T55" s="739">
        <v>8.18</v>
      </c>
      <c r="U55" s="739">
        <v>0.75</v>
      </c>
      <c r="V55" s="739">
        <v>0.76</v>
      </c>
      <c r="W55" s="739">
        <v>41</v>
      </c>
      <c r="X55" s="644">
        <v>41.360000000000014</v>
      </c>
      <c r="Y55" s="739">
        <v>0</v>
      </c>
      <c r="Z55" s="739">
        <v>0</v>
      </c>
      <c r="AA55" s="739">
        <v>25.86</v>
      </c>
      <c r="AB55" s="739">
        <v>29.99</v>
      </c>
      <c r="AC55" s="1160">
        <f t="shared" si="13"/>
        <v>55.849999999999994</v>
      </c>
      <c r="AD55" s="1160">
        <f t="shared" si="14"/>
        <v>86.39994999999999</v>
      </c>
      <c r="AE55" s="1160">
        <f t="shared" si="15"/>
        <v>74.488049999999987</v>
      </c>
      <c r="AF55" s="542"/>
      <c r="AG55" s="1160">
        <f t="shared" si="2"/>
        <v>0</v>
      </c>
      <c r="AH55" s="656"/>
      <c r="AI55" s="351"/>
      <c r="AJ55" s="2"/>
      <c r="AK55" s="388"/>
      <c r="AL55" s="388"/>
      <c r="AM55" s="388"/>
      <c r="AN55" s="388"/>
      <c r="AO55" s="370"/>
      <c r="AP55" s="370"/>
      <c r="AQ55" s="386"/>
      <c r="AR55" s="551">
        <v>0</v>
      </c>
      <c r="AS55" s="386">
        <v>21.7</v>
      </c>
      <c r="AT55" s="386">
        <v>1.5409999999999999</v>
      </c>
      <c r="AU55" s="386">
        <v>0</v>
      </c>
      <c r="AV55" s="636">
        <v>169.9</v>
      </c>
      <c r="AW55" s="636">
        <v>284.60000000000002</v>
      </c>
      <c r="AX55" s="386">
        <v>0</v>
      </c>
      <c r="AY55" s="551">
        <v>0</v>
      </c>
      <c r="AZ55" s="551">
        <v>0</v>
      </c>
      <c r="BA55" s="551">
        <v>0</v>
      </c>
      <c r="BB55" s="975">
        <v>0</v>
      </c>
      <c r="BC55" s="386">
        <v>0.5</v>
      </c>
      <c r="BD55" s="386">
        <v>1.5</v>
      </c>
      <c r="BE55" s="551">
        <v>0</v>
      </c>
      <c r="BF55" s="386">
        <v>1</v>
      </c>
      <c r="BG55" s="386">
        <v>0</v>
      </c>
      <c r="BH55" s="551">
        <v>0</v>
      </c>
      <c r="BI55" s="386">
        <v>1.02</v>
      </c>
      <c r="BJ55" s="386">
        <v>26</v>
      </c>
      <c r="BK55" s="386">
        <v>3.09</v>
      </c>
      <c r="BL55" s="386">
        <v>3.39</v>
      </c>
      <c r="BM55" s="386">
        <v>0</v>
      </c>
      <c r="BN55" s="386">
        <v>19.600000000000001</v>
      </c>
      <c r="BO55" s="386">
        <v>875.2</v>
      </c>
      <c r="BP55" s="386">
        <v>2</v>
      </c>
      <c r="BQ55" s="615">
        <v>19.36</v>
      </c>
      <c r="BR55" s="615">
        <v>20.09</v>
      </c>
      <c r="BS55" s="615">
        <v>14.58</v>
      </c>
      <c r="BT55" s="615">
        <v>7.94</v>
      </c>
      <c r="BU55" s="614">
        <v>24.5</v>
      </c>
      <c r="BV55" s="614">
        <v>27.8</v>
      </c>
      <c r="BW55" s="615">
        <v>555.4</v>
      </c>
      <c r="BX55" s="791"/>
      <c r="BY55" s="615">
        <v>0</v>
      </c>
      <c r="BZ55" s="615">
        <v>1.17</v>
      </c>
      <c r="CA55" s="615">
        <v>1.2</v>
      </c>
      <c r="CB55" s="615">
        <v>8.3000000000000007</v>
      </c>
      <c r="CC55" s="615">
        <v>8.4</v>
      </c>
      <c r="CD55" s="615">
        <v>15.5</v>
      </c>
      <c r="CE55" s="615">
        <v>34.799999999999997</v>
      </c>
      <c r="CF55" s="615">
        <v>13.5</v>
      </c>
      <c r="CG55" s="615">
        <v>6.3</v>
      </c>
      <c r="CH55" s="615">
        <v>11.8</v>
      </c>
      <c r="CI55" s="615">
        <v>15.7</v>
      </c>
      <c r="CJ55" s="615">
        <v>12.65</v>
      </c>
      <c r="CK55" s="615">
        <v>0</v>
      </c>
      <c r="CL55" s="615">
        <v>1.9</v>
      </c>
      <c r="CM55" s="615">
        <v>1.4</v>
      </c>
      <c r="CN55" s="615">
        <v>645.79999999999995</v>
      </c>
      <c r="CO55" s="615">
        <v>409.6</v>
      </c>
      <c r="CP55" s="615">
        <v>437.2</v>
      </c>
      <c r="CQ55" s="615">
        <v>12.6</v>
      </c>
      <c r="CR55" s="615">
        <v>0.77</v>
      </c>
      <c r="CS55" s="386">
        <v>0</v>
      </c>
      <c r="CT55" s="386">
        <v>15.875999999999999</v>
      </c>
      <c r="CU55" s="386">
        <v>41</v>
      </c>
      <c r="CV55" s="499">
        <v>0</v>
      </c>
      <c r="CW55" s="499">
        <v>0</v>
      </c>
      <c r="CX55" s="499">
        <v>0</v>
      </c>
      <c r="CY55" s="499">
        <v>0</v>
      </c>
      <c r="CZ55" s="643">
        <v>1370</v>
      </c>
      <c r="DA55" s="643">
        <v>2570</v>
      </c>
      <c r="DB55" s="782">
        <v>1420</v>
      </c>
      <c r="DC55" s="609">
        <v>1082.73</v>
      </c>
      <c r="DD55" s="1153">
        <f t="shared" si="16"/>
        <v>4.2699999999999818</v>
      </c>
      <c r="DE55" s="1154">
        <f t="shared" si="17"/>
        <v>0</v>
      </c>
      <c r="DF55" s="1154">
        <f t="shared" si="18"/>
        <v>1310</v>
      </c>
      <c r="DG55" s="1154">
        <f t="shared" si="19"/>
        <v>2320</v>
      </c>
      <c r="DH55" s="1155" t="str">
        <f t="shared" si="20"/>
        <v>Palm</v>
      </c>
      <c r="DI55" s="1146">
        <f t="shared" si="21"/>
        <v>1150</v>
      </c>
      <c r="DJ55" s="1146">
        <f t="shared" si="22"/>
        <v>0</v>
      </c>
      <c r="DK55" s="1154">
        <f t="shared" si="23"/>
        <v>0</v>
      </c>
      <c r="DL55" s="615"/>
      <c r="DM55" s="643"/>
      <c r="DN55" s="615"/>
      <c r="DO55" s="499"/>
      <c r="DP55" s="499"/>
      <c r="DQ55" s="499"/>
      <c r="DR55" s="499"/>
      <c r="DS55" s="499"/>
      <c r="DT55" s="499"/>
      <c r="DU55" s="499"/>
      <c r="DV55" s="499"/>
      <c r="DW55" s="499"/>
      <c r="DX55" s="499"/>
      <c r="DY55" s="499"/>
      <c r="DZ55" s="499"/>
      <c r="EA55" s="499"/>
      <c r="EB55" s="499"/>
      <c r="EC55" s="499"/>
      <c r="ED55" s="499"/>
      <c r="EE55" s="499"/>
      <c r="EF55" s="499"/>
      <c r="EG55" s="1146">
        <f t="shared" si="27"/>
        <v>10.5</v>
      </c>
      <c r="EH55" s="630">
        <v>0</v>
      </c>
      <c r="EI55" s="642">
        <v>1</v>
      </c>
      <c r="EJ55" s="642">
        <v>3</v>
      </c>
      <c r="EK55" s="642">
        <v>6.5</v>
      </c>
      <c r="EL55" s="499"/>
      <c r="EM55" s="499"/>
      <c r="EN55" s="499"/>
      <c r="EO55" s="499"/>
      <c r="EP55" s="499"/>
      <c r="EQ55" s="499"/>
      <c r="ER55" s="499"/>
      <c r="ES55" s="388"/>
      <c r="ET55" s="388"/>
      <c r="EV55" s="1167">
        <f t="shared" si="12"/>
        <v>16.243500000000001</v>
      </c>
    </row>
    <row r="56" spans="1:152" s="350" customFormat="1" ht="15" x14ac:dyDescent="0.25">
      <c r="A56" s="632" t="s">
        <v>7</v>
      </c>
      <c r="B56" s="662">
        <v>42782</v>
      </c>
      <c r="C56" s="1132" t="s">
        <v>904</v>
      </c>
      <c r="D56" s="636">
        <v>1.28</v>
      </c>
      <c r="E56" s="636">
        <v>0</v>
      </c>
      <c r="F56" s="636">
        <v>43</v>
      </c>
      <c r="G56" s="739">
        <v>2</v>
      </c>
      <c r="H56" s="739">
        <v>10.69</v>
      </c>
      <c r="I56" s="739">
        <v>9.4</v>
      </c>
      <c r="J56" s="636">
        <v>0</v>
      </c>
      <c r="K56" s="739">
        <v>5.2</v>
      </c>
      <c r="L56" s="741">
        <v>23.329999999998108</v>
      </c>
      <c r="M56" s="739">
        <v>21.7</v>
      </c>
      <c r="N56" s="739">
        <v>1.29</v>
      </c>
      <c r="O56" s="739">
        <v>1.3092667840773369</v>
      </c>
      <c r="P56" s="739">
        <v>1.32</v>
      </c>
      <c r="Q56" s="739">
        <v>0.59260956694417111</v>
      </c>
      <c r="R56" s="782">
        <v>743.72071220930241</v>
      </c>
      <c r="S56" s="739">
        <v>8.19</v>
      </c>
      <c r="T56" s="739">
        <v>8.18</v>
      </c>
      <c r="U56" s="739">
        <v>0.75</v>
      </c>
      <c r="V56" s="739">
        <v>0.8</v>
      </c>
      <c r="W56" s="739">
        <v>42.8</v>
      </c>
      <c r="X56" s="644">
        <v>42.980000000000004</v>
      </c>
      <c r="Y56" s="739">
        <v>25.86</v>
      </c>
      <c r="Z56" s="739">
        <v>29.99</v>
      </c>
      <c r="AA56" s="739">
        <v>25.9</v>
      </c>
      <c r="AB56" s="739">
        <v>30</v>
      </c>
      <c r="AC56" s="1160">
        <f t="shared" si="13"/>
        <v>55.9</v>
      </c>
      <c r="AD56" s="1160">
        <f t="shared" si="14"/>
        <v>86.4773</v>
      </c>
      <c r="AE56" s="1160">
        <f t="shared" si="15"/>
        <v>50.385790000002928</v>
      </c>
      <c r="AF56" s="542"/>
      <c r="AG56" s="1160">
        <f t="shared" si="2"/>
        <v>0</v>
      </c>
      <c r="AH56" s="656"/>
      <c r="AI56" s="351"/>
      <c r="AJ56" s="2"/>
      <c r="AK56" s="388"/>
      <c r="AL56" s="388"/>
      <c r="AM56" s="388"/>
      <c r="AN56" s="388"/>
      <c r="AO56" s="370"/>
      <c r="AP56" s="370"/>
      <c r="AQ56" s="386"/>
      <c r="AR56" s="551">
        <v>0</v>
      </c>
      <c r="AS56" s="386">
        <v>10.7</v>
      </c>
      <c r="AT56" s="386">
        <v>0</v>
      </c>
      <c r="AU56" s="386">
        <v>0</v>
      </c>
      <c r="AV56" s="636">
        <v>461.5</v>
      </c>
      <c r="AW56" s="636">
        <v>498</v>
      </c>
      <c r="AX56" s="386">
        <v>0</v>
      </c>
      <c r="AY56" s="551">
        <v>0</v>
      </c>
      <c r="AZ56" s="551">
        <v>0</v>
      </c>
      <c r="BA56" s="551">
        <v>0</v>
      </c>
      <c r="BB56" s="975">
        <v>0</v>
      </c>
      <c r="BC56" s="386">
        <v>0.5</v>
      </c>
      <c r="BD56" s="386">
        <v>1.5</v>
      </c>
      <c r="BE56" s="551">
        <v>0</v>
      </c>
      <c r="BF56" s="386">
        <v>1</v>
      </c>
      <c r="BG56" s="386">
        <v>0</v>
      </c>
      <c r="BH56" s="551">
        <v>0</v>
      </c>
      <c r="BI56" s="386">
        <v>1.01</v>
      </c>
      <c r="BJ56" s="386">
        <v>26</v>
      </c>
      <c r="BK56" s="386">
        <v>2.5499999999999998</v>
      </c>
      <c r="BL56" s="386">
        <v>3.92</v>
      </c>
      <c r="BM56" s="386">
        <v>0</v>
      </c>
      <c r="BN56" s="386">
        <v>19.600000000000001</v>
      </c>
      <c r="BO56" s="386">
        <v>902.7</v>
      </c>
      <c r="BP56" s="386">
        <v>2</v>
      </c>
      <c r="BQ56" s="615">
        <v>19.39</v>
      </c>
      <c r="BR56" s="615">
        <v>20.079999999999998</v>
      </c>
      <c r="BS56" s="615">
        <v>14.35</v>
      </c>
      <c r="BT56" s="615">
        <v>7.79</v>
      </c>
      <c r="BU56" s="614">
        <v>24.1</v>
      </c>
      <c r="BV56" s="614">
        <v>28.4</v>
      </c>
      <c r="BW56" s="615">
        <v>568.1</v>
      </c>
      <c r="BX56" s="791"/>
      <c r="BY56" s="615">
        <v>0</v>
      </c>
      <c r="BZ56" s="615">
        <v>1.17</v>
      </c>
      <c r="CA56" s="615">
        <v>1.2</v>
      </c>
      <c r="CB56" s="615">
        <v>8.3000000000000007</v>
      </c>
      <c r="CC56" s="615">
        <v>8.3000000000000007</v>
      </c>
      <c r="CD56" s="615">
        <v>15.3</v>
      </c>
      <c r="CE56" s="615">
        <v>34.6</v>
      </c>
      <c r="CF56" s="615">
        <v>12.6</v>
      </c>
      <c r="CG56" s="615">
        <v>5.9</v>
      </c>
      <c r="CH56" s="615">
        <v>11.3</v>
      </c>
      <c r="CI56" s="615">
        <v>15.3</v>
      </c>
      <c r="CJ56" s="615">
        <v>13.02</v>
      </c>
      <c r="CK56" s="615">
        <v>0</v>
      </c>
      <c r="CL56" s="615">
        <v>1.8</v>
      </c>
      <c r="CM56" s="615">
        <v>1.6</v>
      </c>
      <c r="CN56" s="615">
        <v>591.4</v>
      </c>
      <c r="CO56" s="615">
        <v>416.9</v>
      </c>
      <c r="CP56" s="615">
        <v>435.1</v>
      </c>
      <c r="CQ56" s="615">
        <v>12.7</v>
      </c>
      <c r="CR56" s="615">
        <v>0.74</v>
      </c>
      <c r="CS56" s="386">
        <v>0</v>
      </c>
      <c r="CT56" s="386">
        <v>15.878</v>
      </c>
      <c r="CU56" s="386">
        <v>42</v>
      </c>
      <c r="CV56" s="499">
        <v>0</v>
      </c>
      <c r="CW56" s="499">
        <v>0</v>
      </c>
      <c r="CX56" s="499">
        <v>0</v>
      </c>
      <c r="CY56" s="499">
        <v>0</v>
      </c>
      <c r="CZ56" s="643">
        <v>1740</v>
      </c>
      <c r="DA56" s="643">
        <v>3560</v>
      </c>
      <c r="DB56" s="782">
        <v>1800</v>
      </c>
      <c r="DC56" s="609">
        <v>1093.6500000000001</v>
      </c>
      <c r="DD56" s="1153">
        <f t="shared" si="16"/>
        <v>10.920000000000073</v>
      </c>
      <c r="DE56" s="1154">
        <f t="shared" si="17"/>
        <v>0</v>
      </c>
      <c r="DF56" s="1154">
        <f t="shared" si="18"/>
        <v>1690</v>
      </c>
      <c r="DG56" s="1154">
        <f t="shared" si="19"/>
        <v>3310</v>
      </c>
      <c r="DH56" s="1155" t="str">
        <f t="shared" si="20"/>
        <v>Palm</v>
      </c>
      <c r="DI56" s="1146">
        <f t="shared" si="21"/>
        <v>1760</v>
      </c>
      <c r="DJ56" s="1146">
        <f t="shared" si="22"/>
        <v>0</v>
      </c>
      <c r="DK56" s="1154">
        <f t="shared" si="23"/>
        <v>0</v>
      </c>
      <c r="DL56" s="615"/>
      <c r="DM56" s="643"/>
      <c r="DN56" s="615"/>
      <c r="DO56" s="499"/>
      <c r="DP56" s="499"/>
      <c r="DQ56" s="499"/>
      <c r="DR56" s="499"/>
      <c r="DS56" s="499"/>
      <c r="DT56" s="499"/>
      <c r="DU56" s="499"/>
      <c r="DV56" s="499"/>
      <c r="DW56" s="499"/>
      <c r="DX56" s="499"/>
      <c r="DY56" s="499"/>
      <c r="DZ56" s="499"/>
      <c r="EA56" s="499"/>
      <c r="EB56" s="499"/>
      <c r="EC56" s="499"/>
      <c r="ED56" s="499"/>
      <c r="EE56" s="499"/>
      <c r="EF56" s="499"/>
      <c r="EG56" s="1146">
        <f t="shared" si="27"/>
        <v>10.5</v>
      </c>
      <c r="EH56" s="630">
        <v>0</v>
      </c>
      <c r="EI56" s="642">
        <v>1</v>
      </c>
      <c r="EJ56" s="642">
        <v>3</v>
      </c>
      <c r="EK56" s="642">
        <v>6.5</v>
      </c>
      <c r="EL56" s="499"/>
      <c r="EM56" s="499"/>
      <c r="EN56" s="499"/>
      <c r="EO56" s="499"/>
      <c r="EP56" s="499"/>
      <c r="EQ56" s="499"/>
      <c r="ER56" s="499"/>
      <c r="ES56" s="388"/>
      <c r="ET56" s="388"/>
      <c r="EV56" s="1167">
        <f t="shared" si="12"/>
        <v>16.243500000000001</v>
      </c>
    </row>
    <row r="57" spans="1:152" s="350" customFormat="1" ht="15" x14ac:dyDescent="0.25">
      <c r="A57" s="632" t="s">
        <v>8</v>
      </c>
      <c r="B57" s="662">
        <v>42783</v>
      </c>
      <c r="C57" s="1132" t="s">
        <v>904</v>
      </c>
      <c r="D57" s="636">
        <v>0.02</v>
      </c>
      <c r="E57" s="636">
        <v>0</v>
      </c>
      <c r="F57" s="636">
        <v>44.9</v>
      </c>
      <c r="G57" s="739">
        <v>2.5</v>
      </c>
      <c r="H57" s="739">
        <v>9.16</v>
      </c>
      <c r="I57" s="739">
        <v>9.6999999999999993</v>
      </c>
      <c r="J57" s="636">
        <v>0</v>
      </c>
      <c r="K57" s="739">
        <v>5.07</v>
      </c>
      <c r="L57" s="741">
        <v>17.549999999999272</v>
      </c>
      <c r="M57" s="739">
        <v>22</v>
      </c>
      <c r="N57" s="739">
        <v>1.33</v>
      </c>
      <c r="O57" s="739">
        <v>1.31197843859886</v>
      </c>
      <c r="P57" s="739">
        <v>1.31</v>
      </c>
      <c r="Q57" s="739">
        <v>0.5994055482167634</v>
      </c>
      <c r="R57" s="782">
        <v>747.72100290697676</v>
      </c>
      <c r="S57" s="739">
        <v>8.1300000000000008</v>
      </c>
      <c r="T57" s="739">
        <v>8.11</v>
      </c>
      <c r="U57" s="739">
        <v>0.75</v>
      </c>
      <c r="V57" s="739">
        <v>0.85</v>
      </c>
      <c r="W57" s="739">
        <v>42.8</v>
      </c>
      <c r="X57" s="644">
        <v>42.8</v>
      </c>
      <c r="Y57" s="739">
        <v>25.9</v>
      </c>
      <c r="Z57" s="739">
        <v>30</v>
      </c>
      <c r="AA57" s="739">
        <v>25.8</v>
      </c>
      <c r="AB57" s="739">
        <v>29.9</v>
      </c>
      <c r="AC57" s="1160">
        <f t="shared" si="13"/>
        <v>55.7</v>
      </c>
      <c r="AD57" s="1160">
        <f t="shared" si="14"/>
        <v>86.167900000000003</v>
      </c>
      <c r="AE57" s="1160">
        <f t="shared" si="15"/>
        <v>59.018050000001125</v>
      </c>
      <c r="AF57" s="542"/>
      <c r="AG57" s="1160">
        <f t="shared" si="2"/>
        <v>0</v>
      </c>
      <c r="AH57" s="656"/>
      <c r="AI57" s="351"/>
      <c r="AJ57" s="2"/>
      <c r="AK57" s="388"/>
      <c r="AL57" s="388"/>
      <c r="AM57" s="388"/>
      <c r="AN57" s="388"/>
      <c r="AO57" s="370"/>
      <c r="AP57" s="370"/>
      <c r="AQ57" s="386"/>
      <c r="AR57" s="551">
        <v>0</v>
      </c>
      <c r="AS57" s="386">
        <v>16.7</v>
      </c>
      <c r="AT57" s="386">
        <v>0</v>
      </c>
      <c r="AU57" s="386">
        <v>0</v>
      </c>
      <c r="AV57" s="636">
        <v>275.7</v>
      </c>
      <c r="AW57" s="636">
        <v>391.5</v>
      </c>
      <c r="AX57" s="386">
        <v>0</v>
      </c>
      <c r="AY57" s="551">
        <v>0</v>
      </c>
      <c r="AZ57" s="551">
        <v>0</v>
      </c>
      <c r="BA57" s="551">
        <v>0</v>
      </c>
      <c r="BB57" s="975">
        <v>0</v>
      </c>
      <c r="BC57" s="386">
        <v>0.49</v>
      </c>
      <c r="BD57" s="386">
        <v>1.5</v>
      </c>
      <c r="BE57" s="551">
        <v>0</v>
      </c>
      <c r="BF57" s="386">
        <v>0.99</v>
      </c>
      <c r="BG57" s="386">
        <v>0</v>
      </c>
      <c r="BH57" s="551">
        <v>0</v>
      </c>
      <c r="BI57" s="386">
        <v>1</v>
      </c>
      <c r="BJ57" s="386">
        <v>26</v>
      </c>
      <c r="BK57" s="386">
        <v>3</v>
      </c>
      <c r="BL57" s="386">
        <v>3.39</v>
      </c>
      <c r="BM57" s="386">
        <v>0</v>
      </c>
      <c r="BN57" s="386">
        <v>19.7</v>
      </c>
      <c r="BO57" s="386">
        <v>954.5</v>
      </c>
      <c r="BP57" s="386">
        <v>1.8</v>
      </c>
      <c r="BQ57" s="615">
        <v>19.03</v>
      </c>
      <c r="BR57" s="615">
        <v>19.72</v>
      </c>
      <c r="BS57" s="615">
        <v>14.41</v>
      </c>
      <c r="BT57" s="615">
        <v>7.91</v>
      </c>
      <c r="BU57" s="614">
        <v>24.3</v>
      </c>
      <c r="BV57" s="614">
        <v>29.8</v>
      </c>
      <c r="BW57" s="615">
        <v>403.5</v>
      </c>
      <c r="BX57" s="791"/>
      <c r="BY57" s="615">
        <v>0</v>
      </c>
      <c r="BZ57" s="615">
        <v>1.1599999999999999</v>
      </c>
      <c r="CA57" s="615">
        <v>1.2</v>
      </c>
      <c r="CB57" s="615">
        <v>8.3000000000000007</v>
      </c>
      <c r="CC57" s="615">
        <v>8.3000000000000007</v>
      </c>
      <c r="CD57" s="615">
        <v>15.3</v>
      </c>
      <c r="CE57" s="615">
        <v>34.659999999999997</v>
      </c>
      <c r="CF57" s="615">
        <v>15.7</v>
      </c>
      <c r="CG57" s="615">
        <v>5.8</v>
      </c>
      <c r="CH57" s="615">
        <v>11.2</v>
      </c>
      <c r="CI57" s="615">
        <v>15.1</v>
      </c>
      <c r="CJ57" s="615">
        <v>12.95</v>
      </c>
      <c r="CK57" s="615">
        <v>0</v>
      </c>
      <c r="CL57" s="615">
        <v>2</v>
      </c>
      <c r="CM57" s="615">
        <v>2</v>
      </c>
      <c r="CN57" s="615">
        <v>624.4</v>
      </c>
      <c r="CO57" s="615">
        <v>421.4</v>
      </c>
      <c r="CP57" s="615">
        <v>431.8</v>
      </c>
      <c r="CQ57" s="615">
        <v>13.1</v>
      </c>
      <c r="CR57" s="615">
        <v>0.8</v>
      </c>
      <c r="CS57" s="386">
        <v>0</v>
      </c>
      <c r="CT57" s="386">
        <v>16.298999999999999</v>
      </c>
      <c r="CU57" s="386">
        <v>42</v>
      </c>
      <c r="CV57" s="499">
        <v>0</v>
      </c>
      <c r="CW57" s="499">
        <v>0</v>
      </c>
      <c r="CX57" s="499">
        <v>0</v>
      </c>
      <c r="CY57" s="499">
        <v>0</v>
      </c>
      <c r="CZ57" s="643">
        <v>2480</v>
      </c>
      <c r="DA57" s="643">
        <v>3870</v>
      </c>
      <c r="DB57" s="782">
        <v>2290</v>
      </c>
      <c r="DC57" s="609">
        <v>1098.79</v>
      </c>
      <c r="DD57" s="1153">
        <f t="shared" si="16"/>
        <v>5.1399999999998727</v>
      </c>
      <c r="DE57" s="1154">
        <f t="shared" si="17"/>
        <v>0</v>
      </c>
      <c r="DF57" s="1154">
        <f t="shared" si="18"/>
        <v>2180</v>
      </c>
      <c r="DG57" s="1154">
        <f t="shared" si="19"/>
        <v>3620</v>
      </c>
      <c r="DH57" s="1155" t="str">
        <f t="shared" si="20"/>
        <v>Palm</v>
      </c>
      <c r="DI57" s="1146">
        <f t="shared" si="21"/>
        <v>1580</v>
      </c>
      <c r="DJ57" s="1146">
        <f t="shared" si="22"/>
        <v>0</v>
      </c>
      <c r="DK57" s="1154">
        <f t="shared" si="23"/>
        <v>0</v>
      </c>
      <c r="DL57" s="615"/>
      <c r="DM57" s="643"/>
      <c r="DN57" s="615"/>
      <c r="DO57" s="499"/>
      <c r="DP57" s="499"/>
      <c r="DQ57" s="499"/>
      <c r="DR57" s="499"/>
      <c r="DS57" s="499"/>
      <c r="DT57" s="499"/>
      <c r="DU57" s="499"/>
      <c r="DV57" s="499"/>
      <c r="DW57" s="499"/>
      <c r="DX57" s="499"/>
      <c r="DY57" s="499"/>
      <c r="DZ57" s="499"/>
      <c r="EA57" s="499"/>
      <c r="EB57" s="499"/>
      <c r="EC57" s="499"/>
      <c r="ED57" s="499"/>
      <c r="EE57" s="499"/>
      <c r="EF57" s="499"/>
      <c r="EG57" s="1146">
        <f t="shared" ref="EG57:EG63" si="28">(SUM(EH57:EK57))</f>
        <v>10.5</v>
      </c>
      <c r="EH57" s="630">
        <v>0</v>
      </c>
      <c r="EI57" s="642">
        <v>1</v>
      </c>
      <c r="EJ57" s="642">
        <v>3</v>
      </c>
      <c r="EK57" s="642">
        <v>6.5</v>
      </c>
      <c r="EL57" s="499"/>
      <c r="EM57" s="499"/>
      <c r="EN57" s="499"/>
      <c r="EO57" s="499"/>
      <c r="EP57" s="499"/>
      <c r="EQ57" s="499"/>
      <c r="ER57" s="499"/>
      <c r="ES57" s="388"/>
      <c r="ET57" s="388"/>
      <c r="EV57" s="1167">
        <f t="shared" si="12"/>
        <v>16.243500000000001</v>
      </c>
    </row>
    <row r="58" spans="1:152" s="350" customFormat="1" ht="15" x14ac:dyDescent="0.25">
      <c r="A58" s="632" t="s">
        <v>9</v>
      </c>
      <c r="B58" s="662">
        <v>42784</v>
      </c>
      <c r="C58" s="1132" t="s">
        <v>904</v>
      </c>
      <c r="D58" s="636">
        <v>0.43</v>
      </c>
      <c r="E58" s="636">
        <v>0</v>
      </c>
      <c r="F58" s="636">
        <v>38.4</v>
      </c>
      <c r="G58" s="739">
        <v>2.4</v>
      </c>
      <c r="H58" s="739">
        <v>6.39</v>
      </c>
      <c r="I58" s="739">
        <v>13.8</v>
      </c>
      <c r="J58" s="636">
        <v>0</v>
      </c>
      <c r="K58" s="739">
        <v>4.1399999999999997</v>
      </c>
      <c r="L58" s="741">
        <v>8.1500000000014552</v>
      </c>
      <c r="M58" s="739">
        <v>23.4</v>
      </c>
      <c r="N58" s="739">
        <v>1.28</v>
      </c>
      <c r="O58" s="739">
        <v>1.3136431632998793</v>
      </c>
      <c r="P58" s="739">
        <v>1.35</v>
      </c>
      <c r="Q58" s="739">
        <v>0.5966871557078437</v>
      </c>
      <c r="R58" s="782">
        <v>746.7209302325582</v>
      </c>
      <c r="S58" s="739">
        <v>8.31</v>
      </c>
      <c r="T58" s="739">
        <v>8.2200000000000006</v>
      </c>
      <c r="U58" s="739">
        <v>0.74</v>
      </c>
      <c r="V58" s="739">
        <v>0.85</v>
      </c>
      <c r="W58" s="739">
        <v>41</v>
      </c>
      <c r="X58" s="644">
        <v>41</v>
      </c>
      <c r="Y58" s="739">
        <v>25.8</v>
      </c>
      <c r="Z58" s="739">
        <v>29.9</v>
      </c>
      <c r="AA58" s="739">
        <v>25.8</v>
      </c>
      <c r="AB58" s="739">
        <v>30</v>
      </c>
      <c r="AC58" s="1160">
        <f t="shared" si="13"/>
        <v>55.8</v>
      </c>
      <c r="AD58" s="1160">
        <f t="shared" si="14"/>
        <v>86.322599999999994</v>
      </c>
      <c r="AE58" s="1160">
        <f t="shared" si="15"/>
        <v>73.714549999997743</v>
      </c>
      <c r="AF58" s="542"/>
      <c r="AG58" s="1160">
        <f t="shared" si="2"/>
        <v>0</v>
      </c>
      <c r="AH58" s="656"/>
      <c r="AI58" s="351"/>
      <c r="AJ58" s="2"/>
      <c r="AK58" s="388"/>
      <c r="AL58" s="388"/>
      <c r="AM58" s="388"/>
      <c r="AN58" s="388"/>
      <c r="AO58" s="370"/>
      <c r="AP58" s="370"/>
      <c r="AQ58" s="386"/>
      <c r="AR58" s="551">
        <v>0</v>
      </c>
      <c r="AS58" s="386">
        <v>15.5</v>
      </c>
      <c r="AT58" s="386">
        <v>0</v>
      </c>
      <c r="AU58" s="386">
        <v>0</v>
      </c>
      <c r="AV58" s="636">
        <v>300.3</v>
      </c>
      <c r="AW58" s="636">
        <v>365</v>
      </c>
      <c r="AX58" s="386">
        <v>0</v>
      </c>
      <c r="AY58" s="551">
        <v>0</v>
      </c>
      <c r="AZ58" s="551">
        <v>0</v>
      </c>
      <c r="BA58" s="551">
        <v>0</v>
      </c>
      <c r="BB58" s="975">
        <v>0</v>
      </c>
      <c r="BC58" s="386">
        <v>0.83</v>
      </c>
      <c r="BD58" s="386">
        <v>1.5</v>
      </c>
      <c r="BE58" s="551">
        <v>0</v>
      </c>
      <c r="BF58" s="386">
        <v>0.99</v>
      </c>
      <c r="BG58" s="386">
        <v>0</v>
      </c>
      <c r="BH58" s="551">
        <v>0</v>
      </c>
      <c r="BI58" s="386">
        <v>1.01</v>
      </c>
      <c r="BJ58" s="386">
        <v>25.6</v>
      </c>
      <c r="BK58" s="386">
        <v>3.09</v>
      </c>
      <c r="BL58" s="386">
        <v>3.39</v>
      </c>
      <c r="BM58" s="386">
        <v>0</v>
      </c>
      <c r="BN58" s="386">
        <v>19.2</v>
      </c>
      <c r="BO58" s="386">
        <v>1087.5</v>
      </c>
      <c r="BP58" s="386">
        <v>1.8</v>
      </c>
      <c r="BQ58" s="615">
        <v>19.149999999999999</v>
      </c>
      <c r="BR58" s="615">
        <v>19.829999999999998</v>
      </c>
      <c r="BS58" s="615">
        <v>14.51</v>
      </c>
      <c r="BT58" s="615">
        <v>7.98</v>
      </c>
      <c r="BU58" s="614">
        <v>24.4</v>
      </c>
      <c r="BV58" s="614">
        <v>28.5</v>
      </c>
      <c r="BW58" s="615">
        <v>585</v>
      </c>
      <c r="BX58" s="791"/>
      <c r="BY58" s="615">
        <v>0</v>
      </c>
      <c r="BZ58" s="615">
        <v>1.1599999999999999</v>
      </c>
      <c r="CA58" s="615">
        <v>1.2</v>
      </c>
      <c r="CB58" s="615">
        <v>8.3000000000000007</v>
      </c>
      <c r="CC58" s="615">
        <v>8.3000000000000007</v>
      </c>
      <c r="CD58" s="615">
        <v>16.100000000000001</v>
      </c>
      <c r="CE58" s="615">
        <v>34.6</v>
      </c>
      <c r="CF58" s="615">
        <v>14.7</v>
      </c>
      <c r="CG58" s="615">
        <v>6.1</v>
      </c>
      <c r="CH58" s="615">
        <v>11.6</v>
      </c>
      <c r="CI58" s="615">
        <v>15.5</v>
      </c>
      <c r="CJ58" s="615">
        <v>13.68</v>
      </c>
      <c r="CK58" s="615">
        <v>0</v>
      </c>
      <c r="CL58" s="615">
        <v>2</v>
      </c>
      <c r="CM58" s="615">
        <v>1</v>
      </c>
      <c r="CN58" s="615">
        <v>636.5</v>
      </c>
      <c r="CO58" s="615">
        <v>426.7</v>
      </c>
      <c r="CP58" s="615">
        <v>428</v>
      </c>
      <c r="CQ58" s="615">
        <v>12.7</v>
      </c>
      <c r="CR58" s="615">
        <v>0.76</v>
      </c>
      <c r="CS58" s="386">
        <v>0</v>
      </c>
      <c r="CT58" s="386">
        <v>15.489000000000001</v>
      </c>
      <c r="CU58" s="386">
        <v>42</v>
      </c>
      <c r="CV58" s="499">
        <v>0</v>
      </c>
      <c r="CW58" s="499">
        <v>0</v>
      </c>
      <c r="CX58" s="499">
        <v>0</v>
      </c>
      <c r="CY58" s="499">
        <v>0</v>
      </c>
      <c r="CZ58" s="643">
        <v>2440</v>
      </c>
      <c r="DA58" s="643">
        <v>3610</v>
      </c>
      <c r="DB58" s="782">
        <v>2200</v>
      </c>
      <c r="DC58" s="609">
        <v>1097.01</v>
      </c>
      <c r="DD58" s="1153">
        <f t="shared" si="16"/>
        <v>-1.7799999999999727</v>
      </c>
      <c r="DE58" s="1154">
        <f t="shared" si="17"/>
        <v>0</v>
      </c>
      <c r="DF58" s="1154">
        <f t="shared" si="18"/>
        <v>2090</v>
      </c>
      <c r="DG58" s="1154">
        <f t="shared" si="19"/>
        <v>3360</v>
      </c>
      <c r="DH58" s="1155" t="str">
        <f t="shared" si="20"/>
        <v>Palm</v>
      </c>
      <c r="DI58" s="1146">
        <f t="shared" si="21"/>
        <v>1410</v>
      </c>
      <c r="DJ58" s="1146">
        <f t="shared" si="22"/>
        <v>0</v>
      </c>
      <c r="DK58" s="1154">
        <f t="shared" si="23"/>
        <v>0</v>
      </c>
      <c r="DL58" s="615"/>
      <c r="DM58" s="643"/>
      <c r="DN58" s="615"/>
      <c r="DO58" s="499"/>
      <c r="DP58" s="499"/>
      <c r="DQ58" s="499"/>
      <c r="DR58" s="499"/>
      <c r="DS58" s="499"/>
      <c r="DT58" s="499"/>
      <c r="DU58" s="499"/>
      <c r="DV58" s="499"/>
      <c r="DW58" s="499"/>
      <c r="DX58" s="499"/>
      <c r="DY58" s="499"/>
      <c r="DZ58" s="499"/>
      <c r="EA58" s="499"/>
      <c r="EB58" s="499"/>
      <c r="EC58" s="499"/>
      <c r="ED58" s="499"/>
      <c r="EE58" s="499"/>
      <c r="EF58" s="499"/>
      <c r="EG58" s="1146">
        <f t="shared" si="28"/>
        <v>11</v>
      </c>
      <c r="EH58" s="630">
        <v>0</v>
      </c>
      <c r="EI58" s="642">
        <v>1</v>
      </c>
      <c r="EJ58" s="642">
        <v>3.5</v>
      </c>
      <c r="EK58" s="642">
        <v>6.5</v>
      </c>
      <c r="EL58" s="499"/>
      <c r="EM58" s="499"/>
      <c r="EN58" s="499"/>
      <c r="EO58" s="499"/>
      <c r="EP58" s="499"/>
      <c r="EQ58" s="499"/>
      <c r="ER58" s="499"/>
      <c r="ES58" s="388"/>
      <c r="ET58" s="388"/>
      <c r="EV58" s="1167">
        <f t="shared" si="12"/>
        <v>17.016999999999999</v>
      </c>
    </row>
    <row r="59" spans="1:152" s="350" customFormat="1" ht="15" x14ac:dyDescent="0.25">
      <c r="A59" s="632" t="s">
        <v>3</v>
      </c>
      <c r="B59" s="662">
        <v>42785</v>
      </c>
      <c r="C59" s="1132" t="s">
        <v>904</v>
      </c>
      <c r="D59" s="636">
        <v>0.27</v>
      </c>
      <c r="E59" s="636">
        <v>0</v>
      </c>
      <c r="F59" s="636">
        <v>38.799999999999997</v>
      </c>
      <c r="G59" s="739">
        <v>2.4</v>
      </c>
      <c r="H59" s="739">
        <v>4.8499999999999996</v>
      </c>
      <c r="I59" s="739">
        <v>11.9</v>
      </c>
      <c r="J59" s="636">
        <v>0</v>
      </c>
      <c r="K59" s="739">
        <v>3.43</v>
      </c>
      <c r="L59" s="741">
        <v>0</v>
      </c>
      <c r="M59" s="739">
        <v>23.4</v>
      </c>
      <c r="N59" s="739">
        <v>1.34</v>
      </c>
      <c r="O59" s="739">
        <v>1.3019728187064323</v>
      </c>
      <c r="P59" s="739">
        <v>1.35</v>
      </c>
      <c r="Q59" s="739">
        <v>0.59599596034277069</v>
      </c>
      <c r="R59" s="782">
        <v>740.72049418604661</v>
      </c>
      <c r="S59" s="739">
        <v>8.33</v>
      </c>
      <c r="T59" s="739">
        <v>8.3000000000000007</v>
      </c>
      <c r="U59" s="739">
        <v>0.72</v>
      </c>
      <c r="V59" s="739">
        <v>0.86</v>
      </c>
      <c r="W59" s="739">
        <v>41</v>
      </c>
      <c r="X59" s="644">
        <v>41.180000000000007</v>
      </c>
      <c r="Y59" s="739">
        <v>25.8</v>
      </c>
      <c r="Z59" s="739">
        <v>30</v>
      </c>
      <c r="AA59" s="739">
        <v>25.8</v>
      </c>
      <c r="AB59" s="739">
        <v>29.9</v>
      </c>
      <c r="AC59" s="1160">
        <f t="shared" si="13"/>
        <v>55.7</v>
      </c>
      <c r="AD59" s="1160">
        <f t="shared" si="14"/>
        <v>86.167900000000003</v>
      </c>
      <c r="AE59" s="1160">
        <f t="shared" si="15"/>
        <v>86.167900000000003</v>
      </c>
      <c r="AF59" s="542"/>
      <c r="AG59" s="1160">
        <f t="shared" si="2"/>
        <v>0</v>
      </c>
      <c r="AH59" s="656"/>
      <c r="AI59" s="351"/>
      <c r="AJ59" s="2"/>
      <c r="AK59" s="388"/>
      <c r="AL59" s="388"/>
      <c r="AM59" s="388"/>
      <c r="AN59" s="388"/>
      <c r="AO59" s="370"/>
      <c r="AP59" s="370"/>
      <c r="AQ59" s="386"/>
      <c r="AR59" s="551">
        <v>0</v>
      </c>
      <c r="AS59" s="386">
        <v>12.7</v>
      </c>
      <c r="AT59" s="386">
        <v>0</v>
      </c>
      <c r="AU59" s="386">
        <v>0</v>
      </c>
      <c r="AV59" s="636">
        <v>560.20000000000005</v>
      </c>
      <c r="AW59" s="636">
        <v>560.6</v>
      </c>
      <c r="AX59" s="386">
        <v>0</v>
      </c>
      <c r="AY59" s="551">
        <v>0</v>
      </c>
      <c r="AZ59" s="551">
        <v>0</v>
      </c>
      <c r="BA59" s="551">
        <v>0</v>
      </c>
      <c r="BB59" s="975">
        <v>0</v>
      </c>
      <c r="BC59" s="386">
        <v>1</v>
      </c>
      <c r="BD59" s="386">
        <v>1.49</v>
      </c>
      <c r="BE59" s="551">
        <v>0</v>
      </c>
      <c r="BF59" s="386">
        <v>1</v>
      </c>
      <c r="BG59" s="386">
        <v>0</v>
      </c>
      <c r="BH59" s="551">
        <v>0</v>
      </c>
      <c r="BI59" s="386">
        <v>1.02</v>
      </c>
      <c r="BJ59" s="386">
        <v>25.5</v>
      </c>
      <c r="BK59" s="386">
        <v>3</v>
      </c>
      <c r="BL59" s="386">
        <v>3.48</v>
      </c>
      <c r="BM59" s="386">
        <v>0</v>
      </c>
      <c r="BN59" s="386">
        <v>19.100000000000001</v>
      </c>
      <c r="BO59" s="386">
        <v>1098.3</v>
      </c>
      <c r="BP59" s="386">
        <v>2</v>
      </c>
      <c r="BQ59" s="615">
        <v>19.41</v>
      </c>
      <c r="BR59" s="615">
        <v>20.100000000000001</v>
      </c>
      <c r="BS59" s="615">
        <v>14.27</v>
      </c>
      <c r="BT59" s="615">
        <v>7.72</v>
      </c>
      <c r="BU59" s="614">
        <v>24</v>
      </c>
      <c r="BV59" s="614">
        <v>27.5</v>
      </c>
      <c r="BW59" s="615">
        <v>570.9</v>
      </c>
      <c r="BX59" s="791"/>
      <c r="BY59" s="615">
        <v>0</v>
      </c>
      <c r="BZ59" s="615">
        <v>1.1499999999999999</v>
      </c>
      <c r="CA59" s="615">
        <v>1.2</v>
      </c>
      <c r="CB59" s="615">
        <v>8.4</v>
      </c>
      <c r="CC59" s="615">
        <v>8.3000000000000007</v>
      </c>
      <c r="CD59" s="615">
        <v>16.399999999999999</v>
      </c>
      <c r="CE59" s="615">
        <v>34.6</v>
      </c>
      <c r="CF59" s="615">
        <v>13.7</v>
      </c>
      <c r="CG59" s="615">
        <v>6.4</v>
      </c>
      <c r="CH59" s="615">
        <v>11.9</v>
      </c>
      <c r="CI59" s="615">
        <v>15.9</v>
      </c>
      <c r="CJ59" s="615">
        <v>13.84</v>
      </c>
      <c r="CK59" s="615">
        <v>0</v>
      </c>
      <c r="CL59" s="615">
        <v>2</v>
      </c>
      <c r="CM59" s="615">
        <v>1.6</v>
      </c>
      <c r="CN59" s="615">
        <v>652.29999999999995</v>
      </c>
      <c r="CO59" s="615">
        <v>419.1</v>
      </c>
      <c r="CP59" s="615">
        <v>427</v>
      </c>
      <c r="CQ59" s="615">
        <v>12.2</v>
      </c>
      <c r="CR59" s="615">
        <v>0.72</v>
      </c>
      <c r="CS59" s="386">
        <v>0</v>
      </c>
      <c r="CT59" s="386">
        <v>15.574999999999999</v>
      </c>
      <c r="CU59" s="386">
        <v>43</v>
      </c>
      <c r="CV59" s="499">
        <v>0</v>
      </c>
      <c r="CW59" s="499">
        <v>0</v>
      </c>
      <c r="CX59" s="499">
        <v>0</v>
      </c>
      <c r="CY59" s="499">
        <v>0</v>
      </c>
      <c r="CZ59" s="643">
        <v>2430</v>
      </c>
      <c r="DA59" s="643">
        <v>3480</v>
      </c>
      <c r="DB59" s="782">
        <v>2180</v>
      </c>
      <c r="DC59" s="609">
        <v>1092.27</v>
      </c>
      <c r="DD59" s="1153">
        <f t="shared" si="16"/>
        <v>-4.7400000000000091</v>
      </c>
      <c r="DE59" s="1154">
        <f t="shared" si="17"/>
        <v>0</v>
      </c>
      <c r="DF59" s="1154">
        <f t="shared" si="18"/>
        <v>2070</v>
      </c>
      <c r="DG59" s="1154">
        <f t="shared" si="19"/>
        <v>3230</v>
      </c>
      <c r="DH59" s="1155" t="str">
        <f t="shared" si="20"/>
        <v>Palm</v>
      </c>
      <c r="DI59" s="1146">
        <f t="shared" si="21"/>
        <v>1300</v>
      </c>
      <c r="DJ59" s="1146">
        <f t="shared" si="22"/>
        <v>0</v>
      </c>
      <c r="DK59" s="1154">
        <f t="shared" si="23"/>
        <v>0</v>
      </c>
      <c r="DL59" s="615"/>
      <c r="DM59" s="643"/>
      <c r="DN59" s="615"/>
      <c r="DO59" s="499"/>
      <c r="DP59" s="499"/>
      <c r="DQ59" s="499"/>
      <c r="DR59" s="499"/>
      <c r="DS59" s="499"/>
      <c r="DT59" s="499"/>
      <c r="DU59" s="499"/>
      <c r="DV59" s="499"/>
      <c r="DW59" s="499"/>
      <c r="DX59" s="499"/>
      <c r="DY59" s="499"/>
      <c r="DZ59" s="499"/>
      <c r="EA59" s="499"/>
      <c r="EB59" s="499"/>
      <c r="EC59" s="499"/>
      <c r="ED59" s="499"/>
      <c r="EE59" s="499"/>
      <c r="EF59" s="499"/>
      <c r="EG59" s="1146">
        <f t="shared" si="28"/>
        <v>11</v>
      </c>
      <c r="EH59" s="630">
        <v>0</v>
      </c>
      <c r="EI59" s="642">
        <v>1</v>
      </c>
      <c r="EJ59" s="642">
        <v>3.5</v>
      </c>
      <c r="EK59" s="642">
        <v>6.5</v>
      </c>
      <c r="EL59" s="499"/>
      <c r="EM59" s="499"/>
      <c r="EN59" s="499"/>
      <c r="EO59" s="499"/>
      <c r="EP59" s="499"/>
      <c r="EQ59" s="499"/>
      <c r="ER59" s="499"/>
      <c r="ES59" s="388"/>
      <c r="ET59" s="388"/>
      <c r="EV59" s="1167">
        <f t="shared" si="12"/>
        <v>17.016999999999999</v>
      </c>
    </row>
    <row r="60" spans="1:152" s="350" customFormat="1" ht="15" x14ac:dyDescent="0.25">
      <c r="A60" s="632" t="s">
        <v>4</v>
      </c>
      <c r="B60" s="662">
        <v>42786</v>
      </c>
      <c r="C60" s="1132" t="s">
        <v>904</v>
      </c>
      <c r="D60" s="636">
        <v>0.36</v>
      </c>
      <c r="E60" s="636">
        <v>0</v>
      </c>
      <c r="F60" s="636">
        <v>39</v>
      </c>
      <c r="G60" s="739">
        <v>2.2999999999999998</v>
      </c>
      <c r="H60" s="739">
        <v>4</v>
      </c>
      <c r="I60" s="739">
        <v>12.3</v>
      </c>
      <c r="J60" s="636">
        <v>0</v>
      </c>
      <c r="K60" s="739">
        <v>3.28</v>
      </c>
      <c r="L60" s="741">
        <v>0</v>
      </c>
      <c r="M60" s="739">
        <v>23.3</v>
      </c>
      <c r="N60" s="739">
        <v>1.35</v>
      </c>
      <c r="O60" s="739">
        <v>1.2869761052899218</v>
      </c>
      <c r="P60" s="739">
        <v>1.38</v>
      </c>
      <c r="Q60" s="739">
        <v>0.58099377369798699</v>
      </c>
      <c r="R60" s="782">
        <v>728.05290697674423</v>
      </c>
      <c r="S60" s="739">
        <v>8.18</v>
      </c>
      <c r="T60" s="739">
        <v>8.23</v>
      </c>
      <c r="U60" s="739">
        <v>0.73</v>
      </c>
      <c r="V60" s="739">
        <v>0.89</v>
      </c>
      <c r="W60" s="739">
        <v>41.900000000000006</v>
      </c>
      <c r="X60" s="644">
        <v>41.72</v>
      </c>
      <c r="Y60" s="739">
        <v>25.8</v>
      </c>
      <c r="Z60" s="739">
        <v>29.9</v>
      </c>
      <c r="AA60" s="739">
        <v>25.8</v>
      </c>
      <c r="AB60" s="739">
        <v>30</v>
      </c>
      <c r="AC60" s="1160">
        <f t="shared" si="13"/>
        <v>55.8</v>
      </c>
      <c r="AD60" s="1160">
        <f t="shared" si="14"/>
        <v>86.322599999999994</v>
      </c>
      <c r="AE60" s="1160">
        <f t="shared" si="15"/>
        <v>86.322599999999994</v>
      </c>
      <c r="AF60" s="542"/>
      <c r="AG60" s="1160">
        <f t="shared" si="2"/>
        <v>0</v>
      </c>
      <c r="AH60" s="656"/>
      <c r="AI60" s="351"/>
      <c r="AJ60" s="2"/>
      <c r="AK60" s="388"/>
      <c r="AL60" s="388"/>
      <c r="AM60" s="388"/>
      <c r="AN60" s="388"/>
      <c r="AO60" s="370"/>
      <c r="AP60" s="370"/>
      <c r="AQ60" s="386"/>
      <c r="AR60" s="551">
        <v>0</v>
      </c>
      <c r="AS60" s="386">
        <v>20.9</v>
      </c>
      <c r="AT60" s="386">
        <v>0</v>
      </c>
      <c r="AU60" s="386">
        <v>0</v>
      </c>
      <c r="AV60" s="636">
        <v>247.2</v>
      </c>
      <c r="AW60" s="636">
        <v>362.8</v>
      </c>
      <c r="AX60" s="386">
        <v>0</v>
      </c>
      <c r="AY60" s="551">
        <v>0</v>
      </c>
      <c r="AZ60" s="551">
        <v>0</v>
      </c>
      <c r="BA60" s="551">
        <v>0</v>
      </c>
      <c r="BB60" s="975">
        <v>0</v>
      </c>
      <c r="BC60" s="386">
        <v>1</v>
      </c>
      <c r="BD60" s="386">
        <v>1.5</v>
      </c>
      <c r="BE60" s="551">
        <v>0</v>
      </c>
      <c r="BF60" s="386">
        <v>1</v>
      </c>
      <c r="BG60" s="386">
        <v>0</v>
      </c>
      <c r="BH60" s="551">
        <v>0</v>
      </c>
      <c r="BI60" s="386">
        <v>1.02</v>
      </c>
      <c r="BJ60" s="386">
        <v>25.5</v>
      </c>
      <c r="BK60" s="386">
        <v>2.75</v>
      </c>
      <c r="BL60" s="386">
        <v>3.75</v>
      </c>
      <c r="BM60" s="386">
        <v>0</v>
      </c>
      <c r="BN60" s="386">
        <v>19.100000000000001</v>
      </c>
      <c r="BO60" s="386">
        <v>965.7</v>
      </c>
      <c r="BP60" s="386">
        <v>19.7</v>
      </c>
      <c r="BQ60" s="615">
        <v>19.940000000000001</v>
      </c>
      <c r="BR60" s="615">
        <v>20.63</v>
      </c>
      <c r="BS60" s="615">
        <v>14.47</v>
      </c>
      <c r="BT60" s="615">
        <v>7.77</v>
      </c>
      <c r="BU60" s="614">
        <v>24.2</v>
      </c>
      <c r="BV60" s="614">
        <v>26.8</v>
      </c>
      <c r="BW60" s="615">
        <v>409.8</v>
      </c>
      <c r="BX60" s="791"/>
      <c r="BY60" s="643">
        <v>0</v>
      </c>
      <c r="BZ60" s="615">
        <v>1.19</v>
      </c>
      <c r="CA60" s="615">
        <v>1.2</v>
      </c>
      <c r="CB60" s="615">
        <v>8.4</v>
      </c>
      <c r="CC60" s="615">
        <v>8.4</v>
      </c>
      <c r="CD60" s="615">
        <v>16.600000000000001</v>
      </c>
      <c r="CE60" s="615">
        <v>34.6</v>
      </c>
      <c r="CF60" s="615">
        <v>12.7</v>
      </c>
      <c r="CG60" s="615">
        <v>6.2</v>
      </c>
      <c r="CH60" s="615">
        <v>11.6</v>
      </c>
      <c r="CI60" s="615">
        <v>15.6</v>
      </c>
      <c r="CJ60" s="615">
        <v>14.03</v>
      </c>
      <c r="CK60" s="615">
        <v>0</v>
      </c>
      <c r="CL60" s="615">
        <v>2</v>
      </c>
      <c r="CM60" s="615">
        <v>1.6</v>
      </c>
      <c r="CN60" s="615">
        <v>712.7</v>
      </c>
      <c r="CO60" s="615">
        <v>436.7</v>
      </c>
      <c r="CP60" s="615">
        <v>427.3</v>
      </c>
      <c r="CQ60" s="615">
        <v>11.6</v>
      </c>
      <c r="CR60" s="615">
        <v>0.7</v>
      </c>
      <c r="CS60" s="386">
        <v>0</v>
      </c>
      <c r="CT60" s="386">
        <v>15.08</v>
      </c>
      <c r="CU60" s="386">
        <v>42</v>
      </c>
      <c r="CV60" s="499">
        <v>0</v>
      </c>
      <c r="CW60" s="499">
        <v>0</v>
      </c>
      <c r="CX60" s="499">
        <v>0</v>
      </c>
      <c r="CY60" s="499">
        <v>0</v>
      </c>
      <c r="CZ60" s="643">
        <v>2260</v>
      </c>
      <c r="DA60" s="643">
        <v>3320</v>
      </c>
      <c r="DB60" s="782">
        <v>2020</v>
      </c>
      <c r="DC60" s="609">
        <v>1084.9100000000001</v>
      </c>
      <c r="DD60" s="1153">
        <f t="shared" si="16"/>
        <v>-7.3599999999999</v>
      </c>
      <c r="DE60" s="1154">
        <f t="shared" si="17"/>
        <v>0</v>
      </c>
      <c r="DF60" s="1154">
        <f t="shared" si="18"/>
        <v>1910</v>
      </c>
      <c r="DG60" s="1154">
        <f t="shared" si="19"/>
        <v>3070</v>
      </c>
      <c r="DH60" s="1155" t="str">
        <f t="shared" si="20"/>
        <v>Palm</v>
      </c>
      <c r="DI60" s="1146">
        <f t="shared" si="21"/>
        <v>1300</v>
      </c>
      <c r="DJ60" s="1146">
        <f t="shared" si="22"/>
        <v>0</v>
      </c>
      <c r="DK60" s="1154">
        <f t="shared" si="23"/>
        <v>0</v>
      </c>
      <c r="DL60" s="615"/>
      <c r="DM60" s="643"/>
      <c r="DN60" s="615"/>
      <c r="DO60" s="499"/>
      <c r="DP60" s="499"/>
      <c r="DQ60" s="499"/>
      <c r="DR60" s="499"/>
      <c r="DS60" s="499"/>
      <c r="DT60" s="499"/>
      <c r="DU60" s="499"/>
      <c r="DV60" s="499"/>
      <c r="DW60" s="499"/>
      <c r="DX60" s="499"/>
      <c r="DY60" s="499"/>
      <c r="DZ60" s="499"/>
      <c r="EA60" s="499"/>
      <c r="EB60" s="499"/>
      <c r="EC60" s="499"/>
      <c r="ED60" s="499"/>
      <c r="EE60" s="499"/>
      <c r="EF60" s="499"/>
      <c r="EG60" s="1146">
        <f t="shared" si="28"/>
        <v>11</v>
      </c>
      <c r="EH60" s="630">
        <v>0</v>
      </c>
      <c r="EI60" s="642">
        <v>1</v>
      </c>
      <c r="EJ60" s="642">
        <v>3.5</v>
      </c>
      <c r="EK60" s="642">
        <v>6.5</v>
      </c>
      <c r="EL60" s="499"/>
      <c r="EM60" s="499"/>
      <c r="EN60" s="499"/>
      <c r="EO60" s="499"/>
      <c r="EP60" s="499"/>
      <c r="EQ60" s="499"/>
      <c r="ER60" s="499"/>
      <c r="ES60" s="388"/>
      <c r="ET60" s="388"/>
      <c r="EV60" s="1167">
        <f t="shared" si="12"/>
        <v>17.016999999999999</v>
      </c>
    </row>
    <row r="61" spans="1:152" s="350" customFormat="1" ht="15" x14ac:dyDescent="0.25">
      <c r="A61" s="632" t="s">
        <v>5</v>
      </c>
      <c r="B61" s="662">
        <v>42787</v>
      </c>
      <c r="C61" s="1132" t="s">
        <v>904</v>
      </c>
      <c r="D61" s="636">
        <v>0.3</v>
      </c>
      <c r="E61" s="636">
        <v>0</v>
      </c>
      <c r="F61" s="636">
        <v>36</v>
      </c>
      <c r="G61" s="739">
        <v>1.65</v>
      </c>
      <c r="H61" s="739">
        <v>3.48</v>
      </c>
      <c r="I61" s="739">
        <v>14.9</v>
      </c>
      <c r="J61" s="636">
        <v>0</v>
      </c>
      <c r="K61" s="739">
        <v>2.52</v>
      </c>
      <c r="L61" s="741">
        <v>0</v>
      </c>
      <c r="M61" s="739">
        <v>23.2</v>
      </c>
      <c r="N61" s="739">
        <v>1.36</v>
      </c>
      <c r="O61" s="739">
        <v>1.3043530249564914</v>
      </c>
      <c r="P61" s="739">
        <v>1.41</v>
      </c>
      <c r="Q61" s="739">
        <v>0.59190445489419319</v>
      </c>
      <c r="R61" s="782">
        <v>739.72042151162793</v>
      </c>
      <c r="S61" s="739">
        <v>8.02</v>
      </c>
      <c r="T61" s="739">
        <v>8.0299999999999994</v>
      </c>
      <c r="U61" s="739">
        <v>0.76</v>
      </c>
      <c r="V61" s="739">
        <v>0.96</v>
      </c>
      <c r="W61" s="739">
        <v>41.900000000000006</v>
      </c>
      <c r="X61" s="644">
        <v>41.72</v>
      </c>
      <c r="Y61" s="739">
        <v>25.8</v>
      </c>
      <c r="Z61" s="739">
        <v>30</v>
      </c>
      <c r="AA61" s="739">
        <v>25.74</v>
      </c>
      <c r="AB61" s="739">
        <v>30</v>
      </c>
      <c r="AC61" s="1160">
        <f t="shared" si="13"/>
        <v>55.739999999999995</v>
      </c>
      <c r="AD61" s="1160">
        <f t="shared" si="14"/>
        <v>86.229779999999991</v>
      </c>
      <c r="AE61" s="1160">
        <f t="shared" si="15"/>
        <v>86.229779999999991</v>
      </c>
      <c r="AF61" s="542"/>
      <c r="AG61" s="1160">
        <f t="shared" si="2"/>
        <v>0</v>
      </c>
      <c r="AH61" s="656"/>
      <c r="AI61" s="351"/>
      <c r="AJ61" s="2"/>
      <c r="AK61" s="388"/>
      <c r="AL61" s="388"/>
      <c r="AM61" s="388"/>
      <c r="AN61" s="388"/>
      <c r="AO61" s="370"/>
      <c r="AP61" s="370"/>
      <c r="AQ61" s="386"/>
      <c r="AR61" s="551">
        <v>0</v>
      </c>
      <c r="AS61" s="386">
        <v>10.9</v>
      </c>
      <c r="AT61" s="386">
        <v>0</v>
      </c>
      <c r="AU61" s="386">
        <v>0</v>
      </c>
      <c r="AV61" s="636">
        <v>304.10000000000002</v>
      </c>
      <c r="AW61" s="636">
        <v>361.6</v>
      </c>
      <c r="AX61" s="386">
        <v>0</v>
      </c>
      <c r="AY61" s="551">
        <v>0</v>
      </c>
      <c r="AZ61" s="551">
        <v>0</v>
      </c>
      <c r="BA61" s="551">
        <v>0</v>
      </c>
      <c r="BB61" s="975">
        <v>0</v>
      </c>
      <c r="BC61" s="386">
        <v>0.67</v>
      </c>
      <c r="BD61" s="386">
        <v>1.5</v>
      </c>
      <c r="BE61" s="551">
        <v>0</v>
      </c>
      <c r="BF61" s="386">
        <v>0.99</v>
      </c>
      <c r="BG61" s="386">
        <v>0</v>
      </c>
      <c r="BH61" s="551">
        <v>0</v>
      </c>
      <c r="BI61" s="386">
        <v>1.02</v>
      </c>
      <c r="BJ61" s="386">
        <v>25.8</v>
      </c>
      <c r="BK61" s="386">
        <v>2.58</v>
      </c>
      <c r="BL61" s="386">
        <v>3.98</v>
      </c>
      <c r="BM61" s="386">
        <v>0</v>
      </c>
      <c r="BN61" s="386">
        <v>19.399999999999999</v>
      </c>
      <c r="BO61" s="386">
        <v>911.8</v>
      </c>
      <c r="BP61" s="386">
        <v>2</v>
      </c>
      <c r="BQ61" s="615">
        <v>19.649999999999999</v>
      </c>
      <c r="BR61" s="615">
        <v>20.329999999999998</v>
      </c>
      <c r="BS61" s="615">
        <v>14.26</v>
      </c>
      <c r="BT61" s="615">
        <v>7.18</v>
      </c>
      <c r="BU61" s="614">
        <v>24</v>
      </c>
      <c r="BV61" s="614">
        <v>29.2</v>
      </c>
      <c r="BW61" s="615">
        <v>367.3</v>
      </c>
      <c r="BX61" s="791"/>
      <c r="BY61" s="643">
        <v>0</v>
      </c>
      <c r="BZ61" s="615">
        <v>1.1599999999999999</v>
      </c>
      <c r="CA61" s="615">
        <v>1.2</v>
      </c>
      <c r="CB61" s="615">
        <v>8.1999999999999993</v>
      </c>
      <c r="CC61" s="615">
        <v>8.3000000000000007</v>
      </c>
      <c r="CD61" s="615">
        <v>15.8</v>
      </c>
      <c r="CE61" s="615">
        <v>34.6</v>
      </c>
      <c r="CF61" s="615">
        <v>15.8</v>
      </c>
      <c r="CG61" s="615">
        <v>5.8</v>
      </c>
      <c r="CH61" s="615">
        <v>11.1</v>
      </c>
      <c r="CI61" s="615">
        <v>15.1</v>
      </c>
      <c r="CJ61" s="615">
        <v>13.34</v>
      </c>
      <c r="CK61" s="615">
        <v>0</v>
      </c>
      <c r="CL61" s="615">
        <v>2</v>
      </c>
      <c r="CM61" s="615">
        <v>2.6</v>
      </c>
      <c r="CN61" s="615">
        <v>733.5</v>
      </c>
      <c r="CO61" s="615">
        <v>409.5</v>
      </c>
      <c r="CP61" s="615">
        <v>452.5</v>
      </c>
      <c r="CQ61" s="615">
        <v>12.3</v>
      </c>
      <c r="CR61" s="615">
        <v>0.74</v>
      </c>
      <c r="CS61" s="386">
        <v>0</v>
      </c>
      <c r="CT61" s="386">
        <v>16.443999999999999</v>
      </c>
      <c r="CU61" s="386">
        <v>42</v>
      </c>
      <c r="CV61" s="499">
        <v>0</v>
      </c>
      <c r="CW61" s="499">
        <v>0</v>
      </c>
      <c r="CX61" s="499">
        <v>0</v>
      </c>
      <c r="CY61" s="499">
        <v>0</v>
      </c>
      <c r="CZ61" s="643">
        <v>1480</v>
      </c>
      <c r="DA61" s="643">
        <v>2519</v>
      </c>
      <c r="DB61" s="782">
        <v>1370</v>
      </c>
      <c r="DC61" s="609">
        <v>1080.6400000000001</v>
      </c>
      <c r="DD61" s="1153">
        <f t="shared" si="16"/>
        <v>-4.2699999999999818</v>
      </c>
      <c r="DE61" s="1154">
        <f t="shared" si="17"/>
        <v>0</v>
      </c>
      <c r="DF61" s="1154">
        <f t="shared" si="18"/>
        <v>1260</v>
      </c>
      <c r="DG61" s="1154">
        <f t="shared" si="19"/>
        <v>2269</v>
      </c>
      <c r="DH61" s="1155" t="str">
        <f t="shared" si="20"/>
        <v>Palm</v>
      </c>
      <c r="DI61" s="1146">
        <f t="shared" si="21"/>
        <v>1149</v>
      </c>
      <c r="DJ61" s="1146">
        <f t="shared" si="22"/>
        <v>0</v>
      </c>
      <c r="DK61" s="1154">
        <f t="shared" si="23"/>
        <v>0</v>
      </c>
      <c r="DL61" s="615"/>
      <c r="DM61" s="643"/>
      <c r="DN61" s="615"/>
      <c r="DO61" s="499"/>
      <c r="DP61" s="499"/>
      <c r="DQ61" s="499"/>
      <c r="DR61" s="499"/>
      <c r="DS61" s="499"/>
      <c r="DT61" s="499"/>
      <c r="DU61" s="499"/>
      <c r="DV61" s="499"/>
      <c r="DW61" s="499"/>
      <c r="DX61" s="499"/>
      <c r="DY61" s="499"/>
      <c r="DZ61" s="499"/>
      <c r="EA61" s="499"/>
      <c r="EB61" s="499"/>
      <c r="EC61" s="499"/>
      <c r="ED61" s="499"/>
      <c r="EE61" s="499"/>
      <c r="EF61" s="499"/>
      <c r="EG61" s="1146">
        <f t="shared" si="28"/>
        <v>10.5</v>
      </c>
      <c r="EH61" s="630">
        <v>0</v>
      </c>
      <c r="EI61" s="642">
        <v>1</v>
      </c>
      <c r="EJ61" s="642">
        <v>3</v>
      </c>
      <c r="EK61" s="642">
        <v>6.5</v>
      </c>
      <c r="EL61" s="499"/>
      <c r="EM61" s="499"/>
      <c r="EN61" s="499"/>
      <c r="EO61" s="499"/>
      <c r="EP61" s="499"/>
      <c r="EQ61" s="499"/>
      <c r="ER61" s="499"/>
      <c r="ES61" s="388"/>
      <c r="ET61" s="388"/>
      <c r="EV61" s="1167">
        <f t="shared" si="12"/>
        <v>16.243500000000001</v>
      </c>
    </row>
    <row r="62" spans="1:152" s="350" customFormat="1" ht="15" x14ac:dyDescent="0.25">
      <c r="A62" s="632" t="s">
        <v>6</v>
      </c>
      <c r="B62" s="662">
        <v>42788</v>
      </c>
      <c r="C62" s="1132" t="s">
        <v>904</v>
      </c>
      <c r="D62" s="636">
        <v>0.04</v>
      </c>
      <c r="E62" s="636">
        <v>0</v>
      </c>
      <c r="F62" s="636">
        <v>31.2</v>
      </c>
      <c r="G62" s="739">
        <v>1.5</v>
      </c>
      <c r="H62" s="739">
        <v>2.8</v>
      </c>
      <c r="I62" s="739">
        <v>14</v>
      </c>
      <c r="J62" s="636">
        <v>0</v>
      </c>
      <c r="K62" s="739">
        <v>2.09</v>
      </c>
      <c r="L62" s="741">
        <v>0</v>
      </c>
      <c r="M62" s="739">
        <v>23.1</v>
      </c>
      <c r="N62" s="739">
        <v>1.34</v>
      </c>
      <c r="O62" s="739">
        <v>1.3682356887297291</v>
      </c>
      <c r="P62" s="739">
        <v>1.39</v>
      </c>
      <c r="Q62" s="739">
        <v>0.54144255436173894</v>
      </c>
      <c r="R62" s="782">
        <v>755.38822674418611</v>
      </c>
      <c r="S62" s="739">
        <v>8.2200000000000006</v>
      </c>
      <c r="T62" s="739">
        <v>8.14</v>
      </c>
      <c r="U62" s="739">
        <v>0.78</v>
      </c>
      <c r="V62" s="739">
        <v>0.83</v>
      </c>
      <c r="W62" s="739">
        <v>40.819999999999993</v>
      </c>
      <c r="X62" s="644">
        <v>41.180000000000007</v>
      </c>
      <c r="Y62" s="739">
        <v>25.74</v>
      </c>
      <c r="Z62" s="739">
        <v>29.9</v>
      </c>
      <c r="AA62" s="739">
        <v>25.76</v>
      </c>
      <c r="AB62" s="739">
        <v>29.99</v>
      </c>
      <c r="AC62" s="1160">
        <f t="shared" si="13"/>
        <v>55.75</v>
      </c>
      <c r="AD62" s="1160">
        <f t="shared" si="14"/>
        <v>86.245249999999999</v>
      </c>
      <c r="AE62" s="1160">
        <f t="shared" si="15"/>
        <v>86.245249999999999</v>
      </c>
      <c r="AF62" s="542"/>
      <c r="AG62" s="1160">
        <f t="shared" si="2"/>
        <v>0</v>
      </c>
      <c r="AH62" s="656"/>
      <c r="AI62" s="351"/>
      <c r="AJ62" s="2"/>
      <c r="AK62" s="388"/>
      <c r="AL62" s="388"/>
      <c r="AM62" s="388"/>
      <c r="AN62" s="388"/>
      <c r="AO62" s="370"/>
      <c r="AP62" s="370"/>
      <c r="AQ62" s="386"/>
      <c r="AR62" s="551">
        <v>0</v>
      </c>
      <c r="AS62" s="386">
        <v>21</v>
      </c>
      <c r="AT62" s="386">
        <v>0</v>
      </c>
      <c r="AU62" s="386">
        <v>0</v>
      </c>
      <c r="AV62" s="636">
        <v>492.3</v>
      </c>
      <c r="AW62" s="636">
        <v>553.79999999999995</v>
      </c>
      <c r="AX62" s="386">
        <v>0</v>
      </c>
      <c r="AY62" s="551">
        <v>0</v>
      </c>
      <c r="AZ62" s="551">
        <v>0</v>
      </c>
      <c r="BA62" s="551">
        <v>0</v>
      </c>
      <c r="BB62" s="975">
        <v>0</v>
      </c>
      <c r="BC62" s="386">
        <v>0.51</v>
      </c>
      <c r="BD62" s="386">
        <v>1.5</v>
      </c>
      <c r="BE62" s="551">
        <v>0</v>
      </c>
      <c r="BF62" s="386">
        <v>0.99</v>
      </c>
      <c r="BG62" s="386">
        <v>0</v>
      </c>
      <c r="BH62" s="551">
        <v>0</v>
      </c>
      <c r="BI62" s="386">
        <v>1.02</v>
      </c>
      <c r="BJ62" s="386">
        <v>26</v>
      </c>
      <c r="BK62" s="386">
        <v>3.13</v>
      </c>
      <c r="BL62" s="386">
        <v>3.53</v>
      </c>
      <c r="BM62" s="386">
        <v>0</v>
      </c>
      <c r="BN62" s="386">
        <v>19.399999999999999</v>
      </c>
      <c r="BO62" s="386">
        <v>929.7</v>
      </c>
      <c r="BP62" s="386">
        <v>2</v>
      </c>
      <c r="BQ62" s="615">
        <v>20.329999999999998</v>
      </c>
      <c r="BR62" s="615">
        <v>21.04</v>
      </c>
      <c r="BS62" s="615">
        <v>13.82</v>
      </c>
      <c r="BT62" s="615">
        <v>7.37</v>
      </c>
      <c r="BU62" s="614">
        <v>23.2</v>
      </c>
      <c r="BV62" s="614">
        <v>25.2</v>
      </c>
      <c r="BW62" s="615">
        <v>565.29999999999995</v>
      </c>
      <c r="BX62" s="791"/>
      <c r="BY62" s="643">
        <v>0</v>
      </c>
      <c r="BZ62" s="615">
        <v>1.1599999999999999</v>
      </c>
      <c r="CA62" s="615">
        <v>1.2</v>
      </c>
      <c r="CB62" s="615">
        <v>8.1999999999999993</v>
      </c>
      <c r="CC62" s="615">
        <v>8.3000000000000007</v>
      </c>
      <c r="CD62" s="615">
        <v>16.100000000000001</v>
      </c>
      <c r="CE62" s="615">
        <v>34.700000000000003</v>
      </c>
      <c r="CF62" s="615">
        <v>14.9</v>
      </c>
      <c r="CG62" s="615">
        <v>5.6</v>
      </c>
      <c r="CH62" s="615">
        <v>10.9</v>
      </c>
      <c r="CI62" s="615">
        <v>14.9</v>
      </c>
      <c r="CJ62" s="615">
        <v>12.78</v>
      </c>
      <c r="CK62" s="615">
        <v>0</v>
      </c>
      <c r="CL62" s="615">
        <v>2.1</v>
      </c>
      <c r="CM62" s="615">
        <v>1.8</v>
      </c>
      <c r="CN62" s="615">
        <v>517.4</v>
      </c>
      <c r="CO62" s="615">
        <v>406</v>
      </c>
      <c r="CP62" s="615">
        <v>438.9</v>
      </c>
      <c r="CQ62" s="615">
        <v>12.7</v>
      </c>
      <c r="CR62" s="615">
        <v>0.78</v>
      </c>
      <c r="CS62" s="386">
        <v>1460.3</v>
      </c>
      <c r="CT62" s="386">
        <v>15.708</v>
      </c>
      <c r="CU62" s="386">
        <v>43</v>
      </c>
      <c r="CV62" s="499">
        <v>0</v>
      </c>
      <c r="CW62" s="499">
        <v>0</v>
      </c>
      <c r="CX62" s="499">
        <v>0</v>
      </c>
      <c r="CY62" s="499">
        <v>0</v>
      </c>
      <c r="CZ62" s="643">
        <v>1279</v>
      </c>
      <c r="DA62" s="643">
        <v>2169</v>
      </c>
      <c r="DB62" s="782">
        <v>1190</v>
      </c>
      <c r="DC62" s="609">
        <v>1080.5999999999999</v>
      </c>
      <c r="DD62" s="1153">
        <f t="shared" si="16"/>
        <v>-4.0000000000190994E-2</v>
      </c>
      <c r="DE62" s="1154">
        <f t="shared" si="17"/>
        <v>6.4514885759999991</v>
      </c>
      <c r="DF62" s="1154">
        <f t="shared" si="18"/>
        <v>1080</v>
      </c>
      <c r="DG62" s="1154">
        <f t="shared" si="19"/>
        <v>1919</v>
      </c>
      <c r="DH62" s="1155" t="str">
        <f t="shared" si="20"/>
        <v>Palm</v>
      </c>
      <c r="DI62" s="1146">
        <f t="shared" si="21"/>
        <v>979</v>
      </c>
      <c r="DJ62" s="1146">
        <f t="shared" si="22"/>
        <v>2.1028319999999998</v>
      </c>
      <c r="DK62" s="1154">
        <f t="shared" si="23"/>
        <v>6.4514885759999991</v>
      </c>
      <c r="DL62" s="615"/>
      <c r="DM62" s="643"/>
      <c r="DN62" s="615"/>
      <c r="DO62" s="499"/>
      <c r="DP62" s="499"/>
      <c r="DQ62" s="499"/>
      <c r="DR62" s="499"/>
      <c r="DS62" s="499"/>
      <c r="DT62" s="499"/>
      <c r="DU62" s="499"/>
      <c r="DV62" s="499"/>
      <c r="DW62" s="499"/>
      <c r="DX62" s="499"/>
      <c r="DY62" s="499"/>
      <c r="DZ62" s="499"/>
      <c r="EA62" s="499"/>
      <c r="EB62" s="499"/>
      <c r="EC62" s="499"/>
      <c r="ED62" s="499"/>
      <c r="EE62" s="499"/>
      <c r="EF62" s="499"/>
      <c r="EG62" s="1146">
        <f t="shared" si="28"/>
        <v>10.5</v>
      </c>
      <c r="EH62" s="630">
        <v>0</v>
      </c>
      <c r="EI62" s="642">
        <v>1</v>
      </c>
      <c r="EJ62" s="642">
        <v>3</v>
      </c>
      <c r="EK62" s="642">
        <v>6.5</v>
      </c>
      <c r="EL62" s="499"/>
      <c r="EM62" s="499"/>
      <c r="EN62" s="499"/>
      <c r="EO62" s="499"/>
      <c r="EP62" s="499"/>
      <c r="EQ62" s="499"/>
      <c r="ER62" s="499"/>
      <c r="ES62" s="388"/>
      <c r="ET62" s="388"/>
      <c r="EV62" s="1167">
        <f t="shared" si="12"/>
        <v>16.243500000000001</v>
      </c>
    </row>
    <row r="63" spans="1:152" s="350" customFormat="1" ht="15" x14ac:dyDescent="0.25">
      <c r="A63" s="632" t="s">
        <v>7</v>
      </c>
      <c r="B63" s="662">
        <v>42789</v>
      </c>
      <c r="C63" s="1132" t="s">
        <v>904</v>
      </c>
      <c r="D63" s="636">
        <v>0.03</v>
      </c>
      <c r="E63" s="636">
        <v>0.02</v>
      </c>
      <c r="F63" s="636">
        <v>31.6</v>
      </c>
      <c r="G63" s="739">
        <v>1.2</v>
      </c>
      <c r="H63" s="739">
        <v>2.35</v>
      </c>
      <c r="I63" s="739">
        <v>13.9</v>
      </c>
      <c r="J63" s="636">
        <v>0</v>
      </c>
      <c r="K63" s="739">
        <v>1.64</v>
      </c>
      <c r="L63" s="741">
        <v>0</v>
      </c>
      <c r="M63" s="739">
        <v>22.9</v>
      </c>
      <c r="N63" s="739">
        <v>1.31</v>
      </c>
      <c r="O63" s="739">
        <v>1.2759666638010916</v>
      </c>
      <c r="P63" s="739">
        <v>1.35</v>
      </c>
      <c r="Q63" s="739">
        <v>0.5790176043998666</v>
      </c>
      <c r="R63" s="782">
        <v>717.71882267441867</v>
      </c>
      <c r="S63" s="739">
        <v>8.2799999999999994</v>
      </c>
      <c r="T63" s="739">
        <v>8.2899999999999991</v>
      </c>
      <c r="U63" s="739">
        <v>0.76</v>
      </c>
      <c r="V63" s="739">
        <v>0.75</v>
      </c>
      <c r="W63" s="739">
        <v>41</v>
      </c>
      <c r="X63" s="644">
        <v>40.819999999999993</v>
      </c>
      <c r="Y63" s="739">
        <v>25.32</v>
      </c>
      <c r="Z63" s="739">
        <v>29.3</v>
      </c>
      <c r="AA63" s="739">
        <v>25.7</v>
      </c>
      <c r="AB63" s="739">
        <v>29.91</v>
      </c>
      <c r="AC63" s="1160">
        <f t="shared" si="13"/>
        <v>55.61</v>
      </c>
      <c r="AD63" s="1160">
        <f t="shared" si="14"/>
        <v>86.028669999999991</v>
      </c>
      <c r="AE63" s="1160">
        <f t="shared" si="15"/>
        <v>86.028669999999991</v>
      </c>
      <c r="AF63" s="542"/>
      <c r="AG63" s="1160">
        <f t="shared" si="2"/>
        <v>0</v>
      </c>
      <c r="AH63" s="656"/>
      <c r="AI63" s="351"/>
      <c r="AJ63" s="2"/>
      <c r="AK63" s="388"/>
      <c r="AL63" s="388"/>
      <c r="AM63" s="388"/>
      <c r="AN63" s="388"/>
      <c r="AO63" s="370"/>
      <c r="AP63" s="370"/>
      <c r="AQ63" s="386"/>
      <c r="AR63" s="551">
        <v>0</v>
      </c>
      <c r="AS63" s="386">
        <v>10.7</v>
      </c>
      <c r="AT63" s="386">
        <v>0</v>
      </c>
      <c r="AU63" s="386">
        <v>0</v>
      </c>
      <c r="AV63" s="636">
        <v>669.9</v>
      </c>
      <c r="AW63" s="636">
        <v>606.4</v>
      </c>
      <c r="AX63" s="386">
        <v>0</v>
      </c>
      <c r="AY63" s="551">
        <v>0</v>
      </c>
      <c r="AZ63" s="551">
        <v>0</v>
      </c>
      <c r="BA63" s="551">
        <v>0</v>
      </c>
      <c r="BB63" s="975">
        <v>0</v>
      </c>
      <c r="BC63" s="386">
        <v>0.5</v>
      </c>
      <c r="BD63" s="386">
        <v>1.5</v>
      </c>
      <c r="BE63" s="551">
        <v>0</v>
      </c>
      <c r="BF63" s="386">
        <v>0.99</v>
      </c>
      <c r="BG63" s="386">
        <v>0</v>
      </c>
      <c r="BH63" s="551">
        <v>0</v>
      </c>
      <c r="BI63" s="386">
        <v>1.01</v>
      </c>
      <c r="BJ63" s="386">
        <v>26</v>
      </c>
      <c r="BK63" s="386">
        <v>3.1</v>
      </c>
      <c r="BL63" s="386">
        <v>3.53</v>
      </c>
      <c r="BM63" s="386">
        <v>0</v>
      </c>
      <c r="BN63" s="386">
        <v>19.399999999999999</v>
      </c>
      <c r="BO63" s="386">
        <v>949.3</v>
      </c>
      <c r="BP63" s="386">
        <v>2</v>
      </c>
      <c r="BQ63" s="615">
        <v>20.260000000000002</v>
      </c>
      <c r="BR63" s="615">
        <v>20.97</v>
      </c>
      <c r="BS63" s="615">
        <v>14.12</v>
      </c>
      <c r="BT63" s="615">
        <v>7.58</v>
      </c>
      <c r="BU63" s="614">
        <v>23.7</v>
      </c>
      <c r="BV63" s="614">
        <v>28</v>
      </c>
      <c r="BW63" s="615">
        <v>429.4</v>
      </c>
      <c r="BX63" s="791"/>
      <c r="BY63" s="643">
        <v>0</v>
      </c>
      <c r="BZ63" s="615">
        <v>1.18</v>
      </c>
      <c r="CA63" s="615">
        <v>1.2</v>
      </c>
      <c r="CB63" s="615">
        <v>8.4</v>
      </c>
      <c r="CC63" s="615">
        <v>8.3000000000000007</v>
      </c>
      <c r="CD63" s="615">
        <v>15.3</v>
      </c>
      <c r="CE63" s="615">
        <v>34.700000000000003</v>
      </c>
      <c r="CF63" s="615">
        <v>13.9</v>
      </c>
      <c r="CG63" s="615">
        <v>5.4</v>
      </c>
      <c r="CH63" s="615">
        <v>10.7</v>
      </c>
      <c r="CI63" s="615">
        <v>14.7</v>
      </c>
      <c r="CJ63" s="615">
        <v>12.95</v>
      </c>
      <c r="CK63" s="615">
        <v>0</v>
      </c>
      <c r="CL63" s="615">
        <v>2</v>
      </c>
      <c r="CM63" s="615">
        <v>2.9</v>
      </c>
      <c r="CN63" s="615">
        <v>598.4</v>
      </c>
      <c r="CO63" s="615">
        <v>419.4</v>
      </c>
      <c r="CP63" s="615">
        <v>446.9</v>
      </c>
      <c r="CQ63" s="615">
        <v>12.9</v>
      </c>
      <c r="CR63" s="615">
        <v>0.79</v>
      </c>
      <c r="CS63" s="386">
        <v>0</v>
      </c>
      <c r="CT63" s="386">
        <v>17.102</v>
      </c>
      <c r="CU63" s="386">
        <v>42</v>
      </c>
      <c r="CV63" s="499">
        <v>0</v>
      </c>
      <c r="CW63" s="499">
        <v>0</v>
      </c>
      <c r="CX63" s="499">
        <v>0</v>
      </c>
      <c r="CY63" s="499">
        <v>0</v>
      </c>
      <c r="CZ63" s="643">
        <v>1010</v>
      </c>
      <c r="DA63" s="643">
        <v>1850</v>
      </c>
      <c r="DB63" s="782">
        <v>935</v>
      </c>
      <c r="DC63" s="609">
        <v>1081.81</v>
      </c>
      <c r="DD63" s="1153">
        <f t="shared" si="16"/>
        <v>1.2100000000000364</v>
      </c>
      <c r="DE63" s="1154">
        <f t="shared" si="17"/>
        <v>0</v>
      </c>
      <c r="DF63" s="1154">
        <f t="shared" si="18"/>
        <v>825</v>
      </c>
      <c r="DG63" s="1154">
        <f t="shared" si="19"/>
        <v>1600</v>
      </c>
      <c r="DH63" s="1155" t="str">
        <f t="shared" si="20"/>
        <v>Palm</v>
      </c>
      <c r="DI63" s="1146">
        <f t="shared" si="21"/>
        <v>915</v>
      </c>
      <c r="DJ63" s="1146">
        <f t="shared" si="22"/>
        <v>0</v>
      </c>
      <c r="DK63" s="1154">
        <f t="shared" si="23"/>
        <v>0</v>
      </c>
      <c r="DL63" s="615"/>
      <c r="DM63" s="643"/>
      <c r="DN63" s="615"/>
      <c r="DO63" s="499"/>
      <c r="DP63" s="499"/>
      <c r="DQ63" s="499"/>
      <c r="DR63" s="499"/>
      <c r="DS63" s="499"/>
      <c r="DT63" s="499"/>
      <c r="DU63" s="499"/>
      <c r="DV63" s="499"/>
      <c r="DW63" s="499"/>
      <c r="DX63" s="499"/>
      <c r="DY63" s="499"/>
      <c r="DZ63" s="499"/>
      <c r="EA63" s="499"/>
      <c r="EB63" s="499"/>
      <c r="EC63" s="499"/>
      <c r="ED63" s="499"/>
      <c r="EE63" s="499"/>
      <c r="EF63" s="499"/>
      <c r="EG63" s="1146">
        <f t="shared" si="28"/>
        <v>10.5</v>
      </c>
      <c r="EH63" s="630">
        <v>0</v>
      </c>
      <c r="EI63" s="642">
        <v>1</v>
      </c>
      <c r="EJ63" s="642">
        <v>3</v>
      </c>
      <c r="EK63" s="642">
        <v>6.5</v>
      </c>
      <c r="EL63" s="499"/>
      <c r="EM63" s="499"/>
      <c r="EN63" s="499"/>
      <c r="EO63" s="499"/>
      <c r="EP63" s="499"/>
      <c r="EQ63" s="499"/>
      <c r="ER63" s="499"/>
      <c r="ES63" s="388"/>
      <c r="ET63" s="388"/>
      <c r="EV63" s="1167">
        <f t="shared" si="12"/>
        <v>16.243500000000001</v>
      </c>
    </row>
    <row r="64" spans="1:152" s="350" customFormat="1" ht="15" x14ac:dyDescent="0.25">
      <c r="A64" s="632" t="s">
        <v>8</v>
      </c>
      <c r="B64" s="662">
        <v>42790</v>
      </c>
      <c r="C64" s="1132" t="s">
        <v>904</v>
      </c>
      <c r="D64" s="636">
        <v>0</v>
      </c>
      <c r="E64" s="636">
        <v>0</v>
      </c>
      <c r="F64" s="636">
        <v>32</v>
      </c>
      <c r="G64" s="739">
        <v>1</v>
      </c>
      <c r="H64" s="739">
        <v>4.76</v>
      </c>
      <c r="I64" s="739">
        <v>14.3</v>
      </c>
      <c r="J64" s="636">
        <v>0</v>
      </c>
      <c r="K64" s="739">
        <v>1.39</v>
      </c>
      <c r="L64" s="741">
        <v>0</v>
      </c>
      <c r="M64" s="739">
        <v>22.8</v>
      </c>
      <c r="N64" s="739">
        <v>1.32</v>
      </c>
      <c r="O64" s="739">
        <v>1.2813785576355969</v>
      </c>
      <c r="P64" s="739">
        <v>1.32</v>
      </c>
      <c r="Q64" s="739">
        <v>0.59054061974466754</v>
      </c>
      <c r="R64" s="782">
        <v>736.38684593023254</v>
      </c>
      <c r="S64" s="739">
        <v>8.2200000000000006</v>
      </c>
      <c r="T64" s="739">
        <v>8.1999999999999993</v>
      </c>
      <c r="U64" s="739">
        <v>0.75</v>
      </c>
      <c r="V64" s="739">
        <v>0.77</v>
      </c>
      <c r="W64" s="739">
        <v>40.64</v>
      </c>
      <c r="X64" s="644">
        <v>41</v>
      </c>
      <c r="Y64" s="739">
        <v>25.7</v>
      </c>
      <c r="Z64" s="739">
        <v>29.91</v>
      </c>
      <c r="AA64" s="739">
        <v>25.8</v>
      </c>
      <c r="AB64" s="739">
        <v>30</v>
      </c>
      <c r="AC64" s="1160">
        <f t="shared" si="13"/>
        <v>55.8</v>
      </c>
      <c r="AD64" s="1160">
        <f t="shared" si="14"/>
        <v>86.322599999999994</v>
      </c>
      <c r="AE64" s="1160">
        <f t="shared" si="15"/>
        <v>86.322599999999994</v>
      </c>
      <c r="AF64" s="542"/>
      <c r="AG64" s="1160">
        <f t="shared" si="2"/>
        <v>0</v>
      </c>
      <c r="AH64" s="656"/>
      <c r="AI64" s="351"/>
      <c r="AJ64" s="2"/>
      <c r="AK64" s="388"/>
      <c r="AL64" s="388"/>
      <c r="AM64" s="388"/>
      <c r="AN64" s="388"/>
      <c r="AO64" s="370"/>
      <c r="AP64" s="370"/>
      <c r="AQ64" s="386"/>
      <c r="AR64" s="551">
        <v>0</v>
      </c>
      <c r="AS64" s="386">
        <v>21</v>
      </c>
      <c r="AT64" s="386">
        <v>0</v>
      </c>
      <c r="AU64" s="386">
        <v>0</v>
      </c>
      <c r="AV64" s="636">
        <v>189.6</v>
      </c>
      <c r="AW64" s="636">
        <v>336.4</v>
      </c>
      <c r="AX64" s="386">
        <v>0</v>
      </c>
      <c r="AY64" s="551">
        <v>0</v>
      </c>
      <c r="AZ64" s="551">
        <v>0</v>
      </c>
      <c r="BA64" s="551">
        <v>0</v>
      </c>
      <c r="BB64" s="975">
        <v>0</v>
      </c>
      <c r="BC64" s="386">
        <v>0.5</v>
      </c>
      <c r="BD64" s="386">
        <v>1.5</v>
      </c>
      <c r="BE64" s="551">
        <v>0</v>
      </c>
      <c r="BF64" s="386">
        <v>1</v>
      </c>
      <c r="BG64" s="386">
        <v>0</v>
      </c>
      <c r="BH64" s="551">
        <v>0</v>
      </c>
      <c r="BI64" s="386">
        <v>1.02</v>
      </c>
      <c r="BJ64" s="386">
        <v>26</v>
      </c>
      <c r="BK64" s="386">
        <v>2.91</v>
      </c>
      <c r="BL64" s="386">
        <v>3.68</v>
      </c>
      <c r="BM64" s="386">
        <v>0</v>
      </c>
      <c r="BN64" s="386">
        <v>19.5</v>
      </c>
      <c r="BO64" s="386">
        <v>1001.2</v>
      </c>
      <c r="BP64" s="386">
        <v>2</v>
      </c>
      <c r="BQ64" s="615">
        <v>20.399999999999999</v>
      </c>
      <c r="BR64" s="615">
        <v>20.9</v>
      </c>
      <c r="BS64" s="615">
        <v>14.26</v>
      </c>
      <c r="BT64" s="615">
        <v>7.68</v>
      </c>
      <c r="BU64" s="614">
        <v>23.9</v>
      </c>
      <c r="BV64" s="614">
        <v>28.3</v>
      </c>
      <c r="BW64" s="615">
        <v>547.4</v>
      </c>
      <c r="BX64" s="791"/>
      <c r="BY64" s="615">
        <v>0</v>
      </c>
      <c r="BZ64" s="615">
        <v>1.27</v>
      </c>
      <c r="CA64" s="615">
        <v>1.2</v>
      </c>
      <c r="CB64" s="615">
        <v>8.3000000000000007</v>
      </c>
      <c r="CC64" s="615">
        <v>8.3000000000000007</v>
      </c>
      <c r="CD64" s="615">
        <v>15.2</v>
      </c>
      <c r="CE64" s="615">
        <v>34.700000000000003</v>
      </c>
      <c r="CF64" s="615">
        <v>13</v>
      </c>
      <c r="CG64" s="615">
        <v>5.4</v>
      </c>
      <c r="CH64" s="615">
        <v>10.6</v>
      </c>
      <c r="CI64" s="615">
        <v>15.1</v>
      </c>
      <c r="CJ64" s="615">
        <v>12.94</v>
      </c>
      <c r="CK64" s="615">
        <v>306.89999999999998</v>
      </c>
      <c r="CL64" s="615">
        <v>2</v>
      </c>
      <c r="CM64" s="615">
        <v>1.9</v>
      </c>
      <c r="CN64" s="615">
        <v>574</v>
      </c>
      <c r="CO64" s="615">
        <v>403.3</v>
      </c>
      <c r="CP64" s="615">
        <v>440.7</v>
      </c>
      <c r="CQ64" s="615">
        <v>13.2</v>
      </c>
      <c r="CR64" s="615">
        <v>0.81</v>
      </c>
      <c r="CS64" s="386">
        <v>0</v>
      </c>
      <c r="CT64" s="386">
        <v>16.515000000000001</v>
      </c>
      <c r="CU64" s="386">
        <v>42</v>
      </c>
      <c r="CV64" s="499">
        <v>0</v>
      </c>
      <c r="CW64" s="499">
        <v>0</v>
      </c>
      <c r="CX64" s="499">
        <v>0</v>
      </c>
      <c r="CY64" s="499">
        <v>0</v>
      </c>
      <c r="CZ64" s="643">
        <v>847</v>
      </c>
      <c r="DA64" s="643">
        <v>1600</v>
      </c>
      <c r="DB64" s="782">
        <v>769</v>
      </c>
      <c r="DC64" s="609">
        <v>1083.98</v>
      </c>
      <c r="DD64" s="1153">
        <f t="shared" si="16"/>
        <v>2.1700000000000728</v>
      </c>
      <c r="DE64" s="1154">
        <f t="shared" si="17"/>
        <v>0</v>
      </c>
      <c r="DF64" s="1154">
        <f t="shared" si="18"/>
        <v>659</v>
      </c>
      <c r="DG64" s="1154">
        <f t="shared" si="19"/>
        <v>1350</v>
      </c>
      <c r="DH64" s="1155" t="str">
        <f t="shared" si="20"/>
        <v>Palm</v>
      </c>
      <c r="DI64" s="1146">
        <f t="shared" si="21"/>
        <v>831</v>
      </c>
      <c r="DJ64" s="1146">
        <f t="shared" si="22"/>
        <v>0</v>
      </c>
      <c r="DK64" s="1154">
        <f t="shared" si="23"/>
        <v>0</v>
      </c>
      <c r="DL64" s="615"/>
      <c r="DM64" s="643"/>
      <c r="DN64" s="615"/>
      <c r="DO64" s="499"/>
      <c r="DP64" s="499"/>
      <c r="DQ64" s="499"/>
      <c r="DR64" s="499"/>
      <c r="DS64" s="499"/>
      <c r="DT64" s="499"/>
      <c r="DU64" s="499"/>
      <c r="DV64" s="499"/>
      <c r="DW64" s="499"/>
      <c r="DX64" s="499"/>
      <c r="DY64" s="499"/>
      <c r="DZ64" s="499"/>
      <c r="EA64" s="499"/>
      <c r="EB64" s="499"/>
      <c r="EC64" s="499"/>
      <c r="ED64" s="499"/>
      <c r="EE64" s="499"/>
      <c r="EF64" s="499"/>
      <c r="EG64" s="1146">
        <f t="shared" ref="EG64:EG70" si="29">(SUM(EH64:EK64))</f>
        <v>10.5</v>
      </c>
      <c r="EH64" s="630">
        <v>0</v>
      </c>
      <c r="EI64" s="642">
        <v>1</v>
      </c>
      <c r="EJ64" s="642">
        <v>3</v>
      </c>
      <c r="EK64" s="642">
        <v>6.5</v>
      </c>
      <c r="EL64" s="499"/>
      <c r="EM64" s="499"/>
      <c r="EN64" s="499"/>
      <c r="EO64" s="499"/>
      <c r="EP64" s="499"/>
      <c r="EQ64" s="499"/>
      <c r="ER64" s="499"/>
      <c r="ES64" s="388"/>
      <c r="ET64" s="388"/>
      <c r="EV64" s="1167">
        <f t="shared" si="12"/>
        <v>16.243500000000001</v>
      </c>
    </row>
    <row r="65" spans="1:152" s="350" customFormat="1" ht="15" x14ac:dyDescent="0.25">
      <c r="A65" s="632" t="s">
        <v>9</v>
      </c>
      <c r="B65" s="662">
        <v>42791</v>
      </c>
      <c r="C65" s="1132" t="s">
        <v>904</v>
      </c>
      <c r="D65" s="636">
        <v>0.04</v>
      </c>
      <c r="E65" s="636">
        <v>0</v>
      </c>
      <c r="F65" s="636">
        <v>32</v>
      </c>
      <c r="G65" s="739">
        <v>1</v>
      </c>
      <c r="H65" s="739">
        <v>1.65</v>
      </c>
      <c r="I65" s="739">
        <v>11.2</v>
      </c>
      <c r="J65" s="636">
        <v>0</v>
      </c>
      <c r="K65" s="739">
        <v>1</v>
      </c>
      <c r="L65" s="741">
        <v>0</v>
      </c>
      <c r="M65" s="739">
        <v>22.5</v>
      </c>
      <c r="N65" s="739">
        <v>1.29</v>
      </c>
      <c r="O65" s="739">
        <v>1.3109295948305704</v>
      </c>
      <c r="P65" s="739">
        <v>1.34</v>
      </c>
      <c r="Q65" s="739">
        <v>0.59396876319892422</v>
      </c>
      <c r="R65" s="782">
        <v>743.72071220930241</v>
      </c>
      <c r="S65" s="739">
        <v>8.2899999999999991</v>
      </c>
      <c r="T65" s="739">
        <v>8.25</v>
      </c>
      <c r="U65" s="739">
        <v>0.74</v>
      </c>
      <c r="V65" s="739">
        <v>0.78</v>
      </c>
      <c r="W65" s="739">
        <v>40.28</v>
      </c>
      <c r="X65" s="644">
        <v>40.460000000000008</v>
      </c>
      <c r="Y65" s="739">
        <v>25.8</v>
      </c>
      <c r="Z65" s="739">
        <v>30</v>
      </c>
      <c r="AA65" s="739">
        <v>25.73</v>
      </c>
      <c r="AB65" s="739">
        <v>30</v>
      </c>
      <c r="AC65" s="1160">
        <f t="shared" si="13"/>
        <v>55.730000000000004</v>
      </c>
      <c r="AD65" s="1160">
        <f t="shared" si="14"/>
        <v>86.214309999999998</v>
      </c>
      <c r="AE65" s="1160">
        <f t="shared" si="15"/>
        <v>86.214309999999998</v>
      </c>
      <c r="AF65" s="542"/>
      <c r="AG65" s="1160">
        <f t="shared" si="2"/>
        <v>0</v>
      </c>
      <c r="AH65" s="656"/>
      <c r="AI65" s="351"/>
      <c r="AJ65" s="2"/>
      <c r="AK65" s="388"/>
      <c r="AL65" s="388"/>
      <c r="AM65" s="388"/>
      <c r="AN65" s="388"/>
      <c r="AO65" s="370"/>
      <c r="AP65" s="370"/>
      <c r="AQ65" s="386"/>
      <c r="AR65" s="551">
        <v>0</v>
      </c>
      <c r="AS65" s="386">
        <v>11.1</v>
      </c>
      <c r="AT65" s="386">
        <v>0</v>
      </c>
      <c r="AU65" s="386">
        <v>0</v>
      </c>
      <c r="AV65" s="636">
        <v>380</v>
      </c>
      <c r="AW65" s="636">
        <v>377.3</v>
      </c>
      <c r="AX65" s="386">
        <v>0</v>
      </c>
      <c r="AY65" s="551">
        <v>0</v>
      </c>
      <c r="AZ65" s="551">
        <v>0</v>
      </c>
      <c r="BA65" s="551">
        <v>0</v>
      </c>
      <c r="BB65" s="975">
        <v>0</v>
      </c>
      <c r="BC65" s="386">
        <v>0.5</v>
      </c>
      <c r="BD65" s="386">
        <v>1.49</v>
      </c>
      <c r="BE65" s="551">
        <v>0</v>
      </c>
      <c r="BF65" s="386">
        <v>1</v>
      </c>
      <c r="BG65" s="386">
        <v>0</v>
      </c>
      <c r="BH65" s="551">
        <v>0</v>
      </c>
      <c r="BI65" s="386">
        <v>1.01</v>
      </c>
      <c r="BJ65" s="386">
        <v>26</v>
      </c>
      <c r="BK65" s="386">
        <v>2.27</v>
      </c>
      <c r="BL65" s="386">
        <v>4.45</v>
      </c>
      <c r="BM65" s="386">
        <v>0</v>
      </c>
      <c r="BN65" s="386">
        <v>19.399999999999999</v>
      </c>
      <c r="BO65" s="386">
        <v>1527.2</v>
      </c>
      <c r="BP65" s="386">
        <v>2</v>
      </c>
      <c r="BQ65" s="615">
        <v>19.07</v>
      </c>
      <c r="BR65" s="615">
        <v>19.75</v>
      </c>
      <c r="BS65" s="615">
        <v>14.03</v>
      </c>
      <c r="BT65" s="615">
        <v>7.69</v>
      </c>
      <c r="BU65" s="614">
        <v>23.8</v>
      </c>
      <c r="BV65" s="614">
        <v>31.7</v>
      </c>
      <c r="BW65" s="615">
        <v>562.79999999999995</v>
      </c>
      <c r="BX65" s="791"/>
      <c r="BY65" s="615">
        <v>0</v>
      </c>
      <c r="BZ65" s="615">
        <v>1.2</v>
      </c>
      <c r="CA65" s="615">
        <v>1.2</v>
      </c>
      <c r="CB65" s="615">
        <v>8.4</v>
      </c>
      <c r="CC65" s="615">
        <v>8.3000000000000007</v>
      </c>
      <c r="CD65" s="615">
        <v>15.3</v>
      </c>
      <c r="CE65" s="615">
        <v>34.700000000000003</v>
      </c>
      <c r="CF65" s="615">
        <v>15.3</v>
      </c>
      <c r="CG65" s="615">
        <v>8</v>
      </c>
      <c r="CH65" s="615">
        <v>13.8</v>
      </c>
      <c r="CI65" s="615">
        <v>17.7</v>
      </c>
      <c r="CJ65" s="615">
        <v>13.29</v>
      </c>
      <c r="CK65" s="615">
        <v>559.70000000000005</v>
      </c>
      <c r="CL65" s="615">
        <v>2</v>
      </c>
      <c r="CM65" s="615">
        <v>1.8</v>
      </c>
      <c r="CN65" s="615">
        <v>595.79999999999995</v>
      </c>
      <c r="CO65" s="615">
        <v>439.7</v>
      </c>
      <c r="CP65" s="615">
        <v>428</v>
      </c>
      <c r="CQ65" s="615">
        <v>13.3</v>
      </c>
      <c r="CR65" s="615">
        <v>0.83</v>
      </c>
      <c r="CS65" s="386">
        <v>0</v>
      </c>
      <c r="CT65" s="386">
        <v>15.976000000000001</v>
      </c>
      <c r="CU65" s="386">
        <v>42</v>
      </c>
      <c r="CV65" s="499">
        <v>0</v>
      </c>
      <c r="CW65" s="499">
        <v>0</v>
      </c>
      <c r="CX65" s="499">
        <v>0</v>
      </c>
      <c r="CY65" s="499">
        <v>0</v>
      </c>
      <c r="CZ65" s="643">
        <v>866</v>
      </c>
      <c r="DA65" s="643">
        <v>1530</v>
      </c>
      <c r="DB65" s="782">
        <v>787</v>
      </c>
      <c r="DC65" s="609">
        <v>1085.6500000000001</v>
      </c>
      <c r="DD65" s="1153">
        <f t="shared" si="16"/>
        <v>1.6700000000000728</v>
      </c>
      <c r="DE65" s="1154">
        <f t="shared" si="17"/>
        <v>0</v>
      </c>
      <c r="DF65" s="1154">
        <f t="shared" si="18"/>
        <v>677</v>
      </c>
      <c r="DG65" s="1154">
        <f t="shared" si="19"/>
        <v>1280</v>
      </c>
      <c r="DH65" s="1155" t="str">
        <f t="shared" si="20"/>
        <v>Palm</v>
      </c>
      <c r="DI65" s="1146">
        <f t="shared" si="21"/>
        <v>743</v>
      </c>
      <c r="DJ65" s="1146">
        <f t="shared" si="22"/>
        <v>0</v>
      </c>
      <c r="DK65" s="1154">
        <f t="shared" si="23"/>
        <v>0</v>
      </c>
      <c r="DL65" s="615"/>
      <c r="DM65" s="643"/>
      <c r="DN65" s="615"/>
      <c r="DO65" s="499"/>
      <c r="DP65" s="499"/>
      <c r="DQ65" s="499"/>
      <c r="DR65" s="499"/>
      <c r="DS65" s="499"/>
      <c r="DT65" s="499"/>
      <c r="DU65" s="499"/>
      <c r="DV65" s="499"/>
      <c r="DW65" s="499"/>
      <c r="DX65" s="499"/>
      <c r="DY65" s="499"/>
      <c r="DZ65" s="499"/>
      <c r="EA65" s="499"/>
      <c r="EB65" s="499"/>
      <c r="EC65" s="499"/>
      <c r="ED65" s="499"/>
      <c r="EE65" s="499"/>
      <c r="EF65" s="499"/>
      <c r="EG65" s="1146">
        <f t="shared" si="29"/>
        <v>10.5</v>
      </c>
      <c r="EH65" s="630">
        <v>0</v>
      </c>
      <c r="EI65" s="642">
        <v>1</v>
      </c>
      <c r="EJ65" s="642">
        <v>3</v>
      </c>
      <c r="EK65" s="642">
        <v>6.5</v>
      </c>
      <c r="EL65" s="499"/>
      <c r="EM65" s="499"/>
      <c r="EN65" s="499"/>
      <c r="EO65" s="499"/>
      <c r="EP65" s="499"/>
      <c r="EQ65" s="499"/>
      <c r="ER65" s="499"/>
      <c r="ES65" s="388"/>
      <c r="ET65" s="388"/>
      <c r="EV65" s="1167">
        <f t="shared" si="12"/>
        <v>16.243500000000001</v>
      </c>
    </row>
    <row r="66" spans="1:152" s="350" customFormat="1" ht="15" x14ac:dyDescent="0.25">
      <c r="A66" s="632" t="s">
        <v>3</v>
      </c>
      <c r="B66" s="662">
        <v>42792</v>
      </c>
      <c r="C66" s="1132" t="s">
        <v>904</v>
      </c>
      <c r="D66" s="636">
        <v>0.45</v>
      </c>
      <c r="E66" s="636">
        <v>1.75</v>
      </c>
      <c r="F66" s="636">
        <v>32</v>
      </c>
      <c r="G66" s="739">
        <v>1</v>
      </c>
      <c r="H66" s="739">
        <v>1.69</v>
      </c>
      <c r="I66" s="739">
        <v>13</v>
      </c>
      <c r="J66" s="636">
        <v>0</v>
      </c>
      <c r="K66" s="739">
        <v>1.04</v>
      </c>
      <c r="L66" s="741">
        <v>0</v>
      </c>
      <c r="M66" s="739">
        <v>22.5</v>
      </c>
      <c r="N66" s="739">
        <v>1.27</v>
      </c>
      <c r="O66" s="739">
        <v>1.3092667840769892</v>
      </c>
      <c r="P66" s="739">
        <v>1.31</v>
      </c>
      <c r="Q66" s="739">
        <v>0.59125037068971198</v>
      </c>
      <c r="R66" s="782">
        <v>743.3873546511627</v>
      </c>
      <c r="S66" s="739">
        <v>8.27</v>
      </c>
      <c r="T66" s="739">
        <v>8.24</v>
      </c>
      <c r="U66" s="739">
        <v>0.8</v>
      </c>
      <c r="V66" s="739">
        <v>0.82</v>
      </c>
      <c r="W66" s="739">
        <v>39.56</v>
      </c>
      <c r="X66" s="644">
        <v>39.739999999999995</v>
      </c>
      <c r="Y66" s="739">
        <v>25.73</v>
      </c>
      <c r="Z66" s="739">
        <v>30</v>
      </c>
      <c r="AA66" s="739">
        <v>25.81</v>
      </c>
      <c r="AB66" s="739">
        <v>29.99</v>
      </c>
      <c r="AC66" s="1160">
        <f t="shared" si="13"/>
        <v>55.8</v>
      </c>
      <c r="AD66" s="1160">
        <f t="shared" si="14"/>
        <v>86.322599999999994</v>
      </c>
      <c r="AE66" s="1160">
        <f t="shared" si="15"/>
        <v>86.322599999999994</v>
      </c>
      <c r="AF66" s="542"/>
      <c r="AG66" s="1160">
        <f t="shared" si="2"/>
        <v>0</v>
      </c>
      <c r="AH66" s="656"/>
      <c r="AI66" s="351"/>
      <c r="AJ66" s="2"/>
      <c r="AK66" s="388"/>
      <c r="AL66" s="388"/>
      <c r="AM66" s="388"/>
      <c r="AN66" s="388"/>
      <c r="AO66" s="370"/>
      <c r="AP66" s="370"/>
      <c r="AQ66" s="386"/>
      <c r="AR66" s="551">
        <v>0</v>
      </c>
      <c r="AS66" s="386">
        <v>11.5</v>
      </c>
      <c r="AT66" s="386">
        <v>0</v>
      </c>
      <c r="AU66" s="386">
        <v>0</v>
      </c>
      <c r="AV66" s="636">
        <v>524.5</v>
      </c>
      <c r="AW66" s="636">
        <v>528.9</v>
      </c>
      <c r="AX66" s="386">
        <v>0</v>
      </c>
      <c r="AY66" s="551">
        <v>0</v>
      </c>
      <c r="AZ66" s="551">
        <v>0</v>
      </c>
      <c r="BA66" s="551">
        <v>0</v>
      </c>
      <c r="BB66" s="975">
        <v>0</v>
      </c>
      <c r="BC66" s="386">
        <v>0.5</v>
      </c>
      <c r="BD66" s="386">
        <v>1.5</v>
      </c>
      <c r="BE66" s="551">
        <v>0</v>
      </c>
      <c r="BF66" s="386">
        <v>1</v>
      </c>
      <c r="BG66" s="386">
        <v>0</v>
      </c>
      <c r="BH66" s="551">
        <v>0</v>
      </c>
      <c r="BI66" s="386">
        <v>1.02</v>
      </c>
      <c r="BJ66" s="386">
        <v>25.9</v>
      </c>
      <c r="BK66" s="386">
        <v>2.5099999999999998</v>
      </c>
      <c r="BL66" s="386">
        <v>4.5199999999999996</v>
      </c>
      <c r="BM66" s="386">
        <v>0</v>
      </c>
      <c r="BN66" s="386">
        <v>19</v>
      </c>
      <c r="BO66" s="386">
        <v>1000.7</v>
      </c>
      <c r="BP66" s="386">
        <v>2</v>
      </c>
      <c r="BQ66" s="615">
        <v>18.670000000000002</v>
      </c>
      <c r="BR66" s="615">
        <v>19.36</v>
      </c>
      <c r="BS66" s="615">
        <v>13.79</v>
      </c>
      <c r="BT66" s="615">
        <v>7.56</v>
      </c>
      <c r="BU66" s="614">
        <v>23.4</v>
      </c>
      <c r="BV66" s="614">
        <v>28.9</v>
      </c>
      <c r="BW66" s="615">
        <v>527.79999999999995</v>
      </c>
      <c r="BX66" s="791"/>
      <c r="BY66" s="615">
        <v>0</v>
      </c>
      <c r="BZ66" s="615">
        <v>1.17</v>
      </c>
      <c r="CA66" s="615">
        <v>1.2</v>
      </c>
      <c r="CB66" s="615">
        <v>8.4</v>
      </c>
      <c r="CC66" s="615">
        <v>8.4</v>
      </c>
      <c r="CD66" s="615">
        <v>15.8</v>
      </c>
      <c r="CE66" s="615">
        <v>34.799999999999997</v>
      </c>
      <c r="CF66" s="615">
        <v>14.4</v>
      </c>
      <c r="CG66" s="615">
        <v>7.7</v>
      </c>
      <c r="CH66" s="615">
        <v>13.3</v>
      </c>
      <c r="CI66" s="615">
        <v>17.399999999999999</v>
      </c>
      <c r="CJ66" s="615">
        <v>13.21</v>
      </c>
      <c r="CK66" s="615">
        <v>537.4</v>
      </c>
      <c r="CL66" s="615">
        <v>2</v>
      </c>
      <c r="CM66" s="615">
        <v>1.3</v>
      </c>
      <c r="CN66" s="615">
        <v>699.5</v>
      </c>
      <c r="CO66" s="615">
        <v>448.5</v>
      </c>
      <c r="CP66" s="615">
        <v>439.3</v>
      </c>
      <c r="CQ66" s="615">
        <v>13</v>
      </c>
      <c r="CR66" s="615">
        <v>0.79</v>
      </c>
      <c r="CS66" s="386">
        <v>0</v>
      </c>
      <c r="CT66" s="386">
        <v>15.667999999999999</v>
      </c>
      <c r="CU66" s="386">
        <v>42</v>
      </c>
      <c r="CV66" s="499">
        <v>0</v>
      </c>
      <c r="CW66" s="499">
        <v>0</v>
      </c>
      <c r="CX66" s="499">
        <v>0</v>
      </c>
      <c r="CY66" s="499">
        <v>0</v>
      </c>
      <c r="CZ66" s="643">
        <v>871</v>
      </c>
      <c r="DA66" s="643">
        <v>1580</v>
      </c>
      <c r="DB66" s="782">
        <v>783</v>
      </c>
      <c r="DC66" s="609">
        <v>1086.45</v>
      </c>
      <c r="DD66" s="1153">
        <f t="shared" si="16"/>
        <v>0.79999999999995453</v>
      </c>
      <c r="DE66" s="1154">
        <f t="shared" si="17"/>
        <v>0</v>
      </c>
      <c r="DF66" s="1154">
        <f t="shared" si="18"/>
        <v>673</v>
      </c>
      <c r="DG66" s="1154">
        <f t="shared" si="19"/>
        <v>1330</v>
      </c>
      <c r="DH66" s="1155" t="str">
        <f t="shared" si="20"/>
        <v>Palm</v>
      </c>
      <c r="DI66" s="1146">
        <f t="shared" si="21"/>
        <v>797</v>
      </c>
      <c r="DJ66" s="1146">
        <f t="shared" si="22"/>
        <v>0</v>
      </c>
      <c r="DK66" s="1154">
        <f t="shared" si="23"/>
        <v>0</v>
      </c>
      <c r="DL66" s="615"/>
      <c r="DM66" s="643"/>
      <c r="DN66" s="615"/>
      <c r="DO66" s="499"/>
      <c r="DP66" s="499"/>
      <c r="DQ66" s="499"/>
      <c r="DR66" s="499"/>
      <c r="DS66" s="499"/>
      <c r="DT66" s="499"/>
      <c r="DU66" s="499"/>
      <c r="DV66" s="499"/>
      <c r="DW66" s="499"/>
      <c r="DX66" s="499"/>
      <c r="DY66" s="499"/>
      <c r="DZ66" s="499"/>
      <c r="EA66" s="499"/>
      <c r="EB66" s="499"/>
      <c r="EC66" s="499"/>
      <c r="ED66" s="499"/>
      <c r="EE66" s="499"/>
      <c r="EF66" s="499"/>
      <c r="EG66" s="1146">
        <f t="shared" si="29"/>
        <v>10.5</v>
      </c>
      <c r="EH66" s="630">
        <v>0</v>
      </c>
      <c r="EI66" s="642">
        <v>1</v>
      </c>
      <c r="EJ66" s="642">
        <v>3</v>
      </c>
      <c r="EK66" s="642">
        <v>6.5</v>
      </c>
      <c r="EL66" s="499"/>
      <c r="EM66" s="499"/>
      <c r="EN66" s="499"/>
      <c r="EO66" s="499"/>
      <c r="EP66" s="499"/>
      <c r="EQ66" s="499"/>
      <c r="ER66" s="499"/>
      <c r="ES66" s="388"/>
      <c r="ET66" s="388"/>
      <c r="EV66" s="1167">
        <f t="shared" si="12"/>
        <v>16.243500000000001</v>
      </c>
    </row>
    <row r="67" spans="1:152" s="350" customFormat="1" ht="15" x14ac:dyDescent="0.25">
      <c r="A67" s="632" t="s">
        <v>4</v>
      </c>
      <c r="B67" s="662">
        <v>42793</v>
      </c>
      <c r="C67" s="1132" t="s">
        <v>904</v>
      </c>
      <c r="D67" s="636">
        <v>0.45</v>
      </c>
      <c r="E67" s="636">
        <v>0.5</v>
      </c>
      <c r="F67" s="636">
        <v>31.1</v>
      </c>
      <c r="G67" s="739">
        <v>1</v>
      </c>
      <c r="H67" s="739">
        <v>0.93</v>
      </c>
      <c r="I67" s="739">
        <v>15.3</v>
      </c>
      <c r="J67" s="636">
        <v>0</v>
      </c>
      <c r="K67" s="739">
        <v>1.02</v>
      </c>
      <c r="L67" s="741">
        <v>0</v>
      </c>
      <c r="M67" s="739">
        <v>22.3</v>
      </c>
      <c r="N67" s="739">
        <v>1.3</v>
      </c>
      <c r="O67" s="739">
        <v>1.3021608349989278</v>
      </c>
      <c r="P67" s="739">
        <v>1.29</v>
      </c>
      <c r="Q67" s="739">
        <v>0.59190445489448718</v>
      </c>
      <c r="R67" s="782">
        <v>738.72034883720949</v>
      </c>
      <c r="S67" s="739">
        <v>8.15</v>
      </c>
      <c r="T67" s="739">
        <v>8.1999999999999993</v>
      </c>
      <c r="U67" s="739">
        <v>0.8</v>
      </c>
      <c r="V67" s="739">
        <v>0.84</v>
      </c>
      <c r="W67" s="739">
        <v>38.660000000000011</v>
      </c>
      <c r="X67" s="644">
        <v>36.319999999999993</v>
      </c>
      <c r="Y67" s="739">
        <v>25.81</v>
      </c>
      <c r="Z67" s="739">
        <v>29.99</v>
      </c>
      <c r="AA67" s="739">
        <v>25.76</v>
      </c>
      <c r="AB67" s="739">
        <v>29.91</v>
      </c>
      <c r="AC67" s="1160">
        <f t="shared" si="13"/>
        <v>55.67</v>
      </c>
      <c r="AD67" s="1160">
        <f t="shared" si="14"/>
        <v>86.121489999999994</v>
      </c>
      <c r="AE67" s="1160">
        <f t="shared" si="15"/>
        <v>86.121489999999994</v>
      </c>
      <c r="AF67" s="542"/>
      <c r="AG67" s="1160">
        <f t="shared" si="2"/>
        <v>0</v>
      </c>
      <c r="AH67" s="656"/>
      <c r="AI67" s="351"/>
      <c r="AJ67" s="2"/>
      <c r="AK67" s="388"/>
      <c r="AL67" s="388"/>
      <c r="AM67" s="388"/>
      <c r="AN67" s="388"/>
      <c r="AO67" s="370"/>
      <c r="AP67" s="370"/>
      <c r="AQ67" s="386"/>
      <c r="AR67" s="551">
        <v>0</v>
      </c>
      <c r="AS67" s="386">
        <v>20.8</v>
      </c>
      <c r="AT67" s="386">
        <v>0</v>
      </c>
      <c r="AU67" s="386">
        <v>0</v>
      </c>
      <c r="AV67" s="636">
        <v>318</v>
      </c>
      <c r="AW67" s="636">
        <v>283.7</v>
      </c>
      <c r="AX67" s="386">
        <v>0</v>
      </c>
      <c r="AY67" s="551">
        <v>0</v>
      </c>
      <c r="AZ67" s="551">
        <v>0</v>
      </c>
      <c r="BA67" s="551">
        <v>0</v>
      </c>
      <c r="BB67" s="975">
        <v>0</v>
      </c>
      <c r="BC67" s="386">
        <v>0.51</v>
      </c>
      <c r="BD67" s="386">
        <v>1.49</v>
      </c>
      <c r="BE67" s="551">
        <v>0</v>
      </c>
      <c r="BF67" s="386">
        <v>1</v>
      </c>
      <c r="BG67" s="386">
        <v>0</v>
      </c>
      <c r="BH67" s="551">
        <v>0</v>
      </c>
      <c r="BI67" s="386">
        <v>1.01</v>
      </c>
      <c r="BJ67" s="386">
        <v>25.9</v>
      </c>
      <c r="BK67" s="386">
        <v>2.86</v>
      </c>
      <c r="BL67" s="386">
        <v>3.63</v>
      </c>
      <c r="BM67" s="386">
        <v>0</v>
      </c>
      <c r="BN67" s="386">
        <v>19.600000000000001</v>
      </c>
      <c r="BO67" s="386">
        <v>963.7</v>
      </c>
      <c r="BP67" s="386">
        <v>2</v>
      </c>
      <c r="BQ67" s="615">
        <v>19.059999999999999</v>
      </c>
      <c r="BR67" s="615">
        <v>19.75</v>
      </c>
      <c r="BS67" s="615">
        <v>14.26</v>
      </c>
      <c r="BT67" s="615">
        <v>7.76</v>
      </c>
      <c r="BU67" s="614">
        <v>24.1</v>
      </c>
      <c r="BV67" s="614">
        <v>27.2</v>
      </c>
      <c r="BW67" s="615">
        <v>464</v>
      </c>
      <c r="BX67" s="791"/>
      <c r="BY67" s="615">
        <v>0</v>
      </c>
      <c r="BZ67" s="615">
        <v>1.18</v>
      </c>
      <c r="CA67" s="615">
        <v>1.2</v>
      </c>
      <c r="CB67" s="615">
        <v>8.3000000000000007</v>
      </c>
      <c r="CC67" s="615">
        <v>8.4</v>
      </c>
      <c r="CD67" s="615">
        <v>15.7</v>
      </c>
      <c r="CE67" s="615">
        <v>34.700000000000003</v>
      </c>
      <c r="CF67" s="615">
        <v>13.5</v>
      </c>
      <c r="CG67" s="615">
        <v>7.6</v>
      </c>
      <c r="CH67" s="615">
        <v>13.24</v>
      </c>
      <c r="CI67" s="615">
        <v>17.3</v>
      </c>
      <c r="CJ67" s="615">
        <v>13.3</v>
      </c>
      <c r="CK67" s="615">
        <v>537.4</v>
      </c>
      <c r="CL67" s="615">
        <v>1.7</v>
      </c>
      <c r="CM67" s="615">
        <v>0.9</v>
      </c>
      <c r="CN67" s="615">
        <v>529</v>
      </c>
      <c r="CO67" s="615">
        <v>416.7</v>
      </c>
      <c r="CP67" s="615">
        <v>467.7</v>
      </c>
      <c r="CQ67" s="615">
        <v>12.8</v>
      </c>
      <c r="CR67" s="615">
        <v>0.79</v>
      </c>
      <c r="CS67" s="386">
        <v>0</v>
      </c>
      <c r="CT67" s="386">
        <v>15.667</v>
      </c>
      <c r="CU67" s="386">
        <v>41</v>
      </c>
      <c r="CV67" s="499">
        <v>0</v>
      </c>
      <c r="CW67" s="499">
        <v>0</v>
      </c>
      <c r="CX67" s="499">
        <v>0</v>
      </c>
      <c r="CY67" s="499">
        <v>0</v>
      </c>
      <c r="CZ67" s="643">
        <v>762</v>
      </c>
      <c r="DA67" s="643">
        <v>1530</v>
      </c>
      <c r="DB67" s="782">
        <v>680</v>
      </c>
      <c r="DC67" s="609">
        <v>1086.97</v>
      </c>
      <c r="DD67" s="1153">
        <f t="shared" si="16"/>
        <v>0.51999999999998181</v>
      </c>
      <c r="DE67" s="1154">
        <f t="shared" si="17"/>
        <v>0</v>
      </c>
      <c r="DF67" s="1154">
        <f t="shared" si="18"/>
        <v>570</v>
      </c>
      <c r="DG67" s="1154">
        <f t="shared" si="19"/>
        <v>1280</v>
      </c>
      <c r="DH67" s="1155" t="str">
        <f t="shared" si="20"/>
        <v>Palm</v>
      </c>
      <c r="DI67" s="1146">
        <f t="shared" si="21"/>
        <v>850</v>
      </c>
      <c r="DJ67" s="1146">
        <f t="shared" si="22"/>
        <v>0</v>
      </c>
      <c r="DK67" s="1154">
        <f t="shared" si="23"/>
        <v>0</v>
      </c>
      <c r="DL67" s="615"/>
      <c r="DM67" s="643"/>
      <c r="DN67" s="615"/>
      <c r="DO67" s="499"/>
      <c r="DP67" s="499"/>
      <c r="DQ67" s="499"/>
      <c r="DR67" s="499"/>
      <c r="DS67" s="499"/>
      <c r="DT67" s="499"/>
      <c r="DU67" s="499"/>
      <c r="DV67" s="499"/>
      <c r="DW67" s="499"/>
      <c r="DX67" s="499"/>
      <c r="DY67" s="499"/>
      <c r="DZ67" s="499"/>
      <c r="EA67" s="499"/>
      <c r="EB67" s="499"/>
      <c r="EC67" s="499"/>
      <c r="ED67" s="499"/>
      <c r="EE67" s="499"/>
      <c r="EF67" s="499"/>
      <c r="EG67" s="1146">
        <f t="shared" si="29"/>
        <v>10.5</v>
      </c>
      <c r="EH67" s="630">
        <v>0</v>
      </c>
      <c r="EI67" s="642">
        <v>1</v>
      </c>
      <c r="EJ67" s="642">
        <v>3</v>
      </c>
      <c r="EK67" s="642">
        <v>6.5</v>
      </c>
      <c r="EL67" s="499"/>
      <c r="EM67" s="499"/>
      <c r="EN67" s="499"/>
      <c r="EO67" s="499"/>
      <c r="EP67" s="499"/>
      <c r="EQ67" s="499"/>
      <c r="ER67" s="499"/>
      <c r="ES67" s="388"/>
      <c r="ET67" s="388"/>
      <c r="EV67" s="1167">
        <f t="shared" si="12"/>
        <v>16.243500000000001</v>
      </c>
    </row>
    <row r="68" spans="1:152" s="350" customFormat="1" ht="15" x14ac:dyDescent="0.25">
      <c r="A68" s="632" t="s">
        <v>5</v>
      </c>
      <c r="B68" s="662">
        <v>42794</v>
      </c>
      <c r="C68" s="1132" t="s">
        <v>904</v>
      </c>
      <c r="D68" s="636">
        <v>0.57999999999999996</v>
      </c>
      <c r="E68" s="636">
        <v>0</v>
      </c>
      <c r="F68" s="636">
        <v>34.700000000000003</v>
      </c>
      <c r="G68" s="739">
        <v>0.95</v>
      </c>
      <c r="H68" s="739">
        <v>1.06</v>
      </c>
      <c r="I68" s="739">
        <v>15.2</v>
      </c>
      <c r="J68" s="636">
        <v>0</v>
      </c>
      <c r="K68" s="739">
        <v>1.0900000000000001</v>
      </c>
      <c r="L68" s="741">
        <v>0</v>
      </c>
      <c r="M68" s="739">
        <v>22.1</v>
      </c>
      <c r="N68" s="739">
        <v>1.3</v>
      </c>
      <c r="O68" s="739">
        <v>1.2694064656272608</v>
      </c>
      <c r="P68" s="739">
        <v>1.27</v>
      </c>
      <c r="Q68" s="739">
        <v>0.58917678459514167</v>
      </c>
      <c r="R68" s="782">
        <v>722.05247093023252</v>
      </c>
      <c r="S68" s="739">
        <v>8.1300000000000008</v>
      </c>
      <c r="T68" s="739">
        <v>8.11</v>
      </c>
      <c r="U68" s="739">
        <v>0.81</v>
      </c>
      <c r="V68" s="739">
        <v>0.87</v>
      </c>
      <c r="W68" s="739">
        <v>37.760000000000005</v>
      </c>
      <c r="X68" s="644">
        <v>37.94</v>
      </c>
      <c r="Y68" s="739">
        <v>25.76</v>
      </c>
      <c r="Z68" s="739">
        <v>29.91</v>
      </c>
      <c r="AA68" s="739">
        <v>25.7</v>
      </c>
      <c r="AB68" s="739">
        <v>30</v>
      </c>
      <c r="AC68" s="1160">
        <f t="shared" si="13"/>
        <v>55.7</v>
      </c>
      <c r="AD68" s="1160">
        <f t="shared" si="14"/>
        <v>86.167900000000003</v>
      </c>
      <c r="AE68" s="1160">
        <f t="shared" si="15"/>
        <v>86.167900000000003</v>
      </c>
      <c r="AF68" s="542"/>
      <c r="AG68" s="1160">
        <f t="shared" si="2"/>
        <v>0</v>
      </c>
      <c r="AH68" s="656"/>
      <c r="AI68" s="351"/>
      <c r="AJ68" s="2"/>
      <c r="AK68" s="388"/>
      <c r="AL68" s="388"/>
      <c r="AM68" s="388"/>
      <c r="AN68" s="388"/>
      <c r="AO68" s="370"/>
      <c r="AP68" s="370"/>
      <c r="AQ68" s="386"/>
      <c r="AR68" s="551">
        <v>0</v>
      </c>
      <c r="AS68" s="386">
        <v>10.6</v>
      </c>
      <c r="AT68" s="386">
        <v>0</v>
      </c>
      <c r="AU68" s="386">
        <v>0</v>
      </c>
      <c r="AV68" s="636">
        <v>417.9</v>
      </c>
      <c r="AW68" s="636">
        <v>542</v>
      </c>
      <c r="AX68" s="386">
        <v>0</v>
      </c>
      <c r="AY68" s="551">
        <v>0</v>
      </c>
      <c r="AZ68" s="551">
        <v>0</v>
      </c>
      <c r="BA68" s="551">
        <v>0</v>
      </c>
      <c r="BB68" s="975">
        <v>0</v>
      </c>
      <c r="BC68" s="386">
        <v>0.51</v>
      </c>
      <c r="BD68" s="386">
        <v>1.5</v>
      </c>
      <c r="BE68" s="551">
        <v>0</v>
      </c>
      <c r="BF68" s="386">
        <v>1</v>
      </c>
      <c r="BG68" s="386">
        <v>0</v>
      </c>
      <c r="BH68" s="551">
        <v>0</v>
      </c>
      <c r="BI68" s="386">
        <v>0.72</v>
      </c>
      <c r="BJ68" s="386">
        <v>26.2</v>
      </c>
      <c r="BK68" s="386">
        <v>3.01</v>
      </c>
      <c r="BL68" s="386">
        <v>3.53</v>
      </c>
      <c r="BM68" s="386">
        <v>0</v>
      </c>
      <c r="BN68" s="386">
        <v>19.8</v>
      </c>
      <c r="BO68" s="386">
        <v>961.4</v>
      </c>
      <c r="BP68" s="386">
        <v>2</v>
      </c>
      <c r="BQ68" s="615">
        <v>19.5</v>
      </c>
      <c r="BR68" s="615">
        <v>20.22</v>
      </c>
      <c r="BS68" s="615">
        <v>14.01</v>
      </c>
      <c r="BT68" s="615">
        <v>7.52</v>
      </c>
      <c r="BU68" s="614">
        <v>23.6</v>
      </c>
      <c r="BV68" s="614">
        <v>26.3</v>
      </c>
      <c r="BW68" s="615">
        <v>557.6</v>
      </c>
      <c r="BX68" s="791"/>
      <c r="BY68" s="615">
        <v>0</v>
      </c>
      <c r="BZ68" s="615">
        <v>1.1599999999999999</v>
      </c>
      <c r="CA68" s="615">
        <v>1.2</v>
      </c>
      <c r="CB68" s="615">
        <v>8.1</v>
      </c>
      <c r="CC68" s="615">
        <v>8.3000000000000007</v>
      </c>
      <c r="CD68" s="615">
        <v>15.8</v>
      </c>
      <c r="CE68" s="615">
        <v>34.700000000000003</v>
      </c>
      <c r="CF68" s="615">
        <v>12.58</v>
      </c>
      <c r="CG68" s="615">
        <v>7.5</v>
      </c>
      <c r="CH68" s="615">
        <v>13.2</v>
      </c>
      <c r="CI68" s="615">
        <v>17.2</v>
      </c>
      <c r="CJ68" s="615">
        <v>12.71</v>
      </c>
      <c r="CK68" s="615">
        <v>486.3</v>
      </c>
      <c r="CL68" s="615">
        <v>2.1</v>
      </c>
      <c r="CM68" s="615">
        <v>1.9</v>
      </c>
      <c r="CN68" s="615">
        <v>436.3</v>
      </c>
      <c r="CO68" s="615">
        <v>402.1</v>
      </c>
      <c r="CP68" s="615">
        <v>469.1</v>
      </c>
      <c r="CQ68" s="615">
        <v>11.8</v>
      </c>
      <c r="CR68" s="615">
        <v>0.69</v>
      </c>
      <c r="CS68" s="386">
        <v>0</v>
      </c>
      <c r="CT68" s="386">
        <v>15.247999999999999</v>
      </c>
      <c r="CU68" s="386">
        <v>41</v>
      </c>
      <c r="CV68" s="499">
        <v>0</v>
      </c>
      <c r="CW68" s="499">
        <v>0</v>
      </c>
      <c r="CX68" s="499">
        <v>0</v>
      </c>
      <c r="CY68" s="499">
        <v>0</v>
      </c>
      <c r="CZ68" s="643">
        <v>771</v>
      </c>
      <c r="DA68" s="643">
        <v>1490</v>
      </c>
      <c r="DB68" s="782">
        <v>680</v>
      </c>
      <c r="DC68" s="609">
        <v>1087.58</v>
      </c>
      <c r="DD68" s="1153">
        <f t="shared" si="16"/>
        <v>0.60999999999989996</v>
      </c>
      <c r="DE68" s="1154">
        <f t="shared" si="17"/>
        <v>0</v>
      </c>
      <c r="DF68" s="1154">
        <f t="shared" si="18"/>
        <v>570</v>
      </c>
      <c r="DG68" s="1154">
        <f t="shared" si="19"/>
        <v>1240</v>
      </c>
      <c r="DH68" s="1155" t="str">
        <f t="shared" si="20"/>
        <v>Palm</v>
      </c>
      <c r="DI68" s="1146">
        <f t="shared" si="21"/>
        <v>810</v>
      </c>
      <c r="DJ68" s="1146">
        <f t="shared" si="22"/>
        <v>0</v>
      </c>
      <c r="DK68" s="1154">
        <f t="shared" si="23"/>
        <v>0</v>
      </c>
      <c r="DL68" s="615"/>
      <c r="DM68" s="643"/>
      <c r="DN68" s="615"/>
      <c r="DO68" s="499"/>
      <c r="DP68" s="499"/>
      <c r="DQ68" s="499"/>
      <c r="DR68" s="499"/>
      <c r="DS68" s="499"/>
      <c r="DT68" s="499"/>
      <c r="DU68" s="499"/>
      <c r="DV68" s="499"/>
      <c r="DW68" s="499"/>
      <c r="DX68" s="499"/>
      <c r="DY68" s="499"/>
      <c r="DZ68" s="499"/>
      <c r="EA68" s="499"/>
      <c r="EB68" s="499"/>
      <c r="EC68" s="499"/>
      <c r="ED68" s="499"/>
      <c r="EE68" s="499"/>
      <c r="EF68" s="499"/>
      <c r="EG68" s="1146">
        <f t="shared" si="29"/>
        <v>10.5</v>
      </c>
      <c r="EH68" s="630">
        <v>0</v>
      </c>
      <c r="EI68" s="642">
        <v>1</v>
      </c>
      <c r="EJ68" s="642">
        <v>3</v>
      </c>
      <c r="EK68" s="642">
        <v>6.5</v>
      </c>
      <c r="EL68" s="499"/>
      <c r="EM68" s="499"/>
      <c r="EN68" s="499"/>
      <c r="EO68" s="499"/>
      <c r="EP68" s="499"/>
      <c r="EQ68" s="499"/>
      <c r="ER68" s="499"/>
      <c r="ES68" s="388"/>
      <c r="ET68" s="388"/>
      <c r="EV68" s="1167">
        <f t="shared" si="12"/>
        <v>16.243500000000001</v>
      </c>
    </row>
    <row r="69" spans="1:152" s="350" customFormat="1" ht="15" x14ac:dyDescent="0.25">
      <c r="A69" s="632" t="s">
        <v>6</v>
      </c>
      <c r="B69" s="662">
        <v>42795</v>
      </c>
      <c r="C69" s="1132" t="s">
        <v>904</v>
      </c>
      <c r="D69" s="636">
        <v>0.33</v>
      </c>
      <c r="E69" s="636">
        <v>0</v>
      </c>
      <c r="F69" s="636">
        <v>36</v>
      </c>
      <c r="G69" s="739">
        <v>0.8</v>
      </c>
      <c r="H69" s="739">
        <v>1.33</v>
      </c>
      <c r="I69" s="739">
        <v>13.7</v>
      </c>
      <c r="J69" s="636">
        <v>0</v>
      </c>
      <c r="K69" s="739">
        <v>1.1599999999999999</v>
      </c>
      <c r="L69" s="741">
        <v>0</v>
      </c>
      <c r="M69" s="739">
        <v>22</v>
      </c>
      <c r="N69" s="739">
        <v>1.28</v>
      </c>
      <c r="O69" s="739">
        <v>1.3221153846152438</v>
      </c>
      <c r="P69" s="739">
        <v>1.28</v>
      </c>
      <c r="Q69" s="739">
        <v>0.59735979549229645</v>
      </c>
      <c r="R69" s="782">
        <v>748.05436046511636</v>
      </c>
      <c r="S69" s="739">
        <v>8.1300000000000008</v>
      </c>
      <c r="T69" s="739">
        <v>8.1300000000000008</v>
      </c>
      <c r="U69" s="739">
        <v>0.83</v>
      </c>
      <c r="V69" s="739">
        <v>0.9</v>
      </c>
      <c r="W69" s="739">
        <v>38.480000000000004</v>
      </c>
      <c r="X69" s="644">
        <v>38.299999999999997</v>
      </c>
      <c r="Y69" s="739">
        <v>25.7</v>
      </c>
      <c r="Z69" s="739">
        <v>30</v>
      </c>
      <c r="AA69" s="739">
        <v>25.7</v>
      </c>
      <c r="AB69" s="739">
        <v>29.8</v>
      </c>
      <c r="AC69" s="1160">
        <f t="shared" si="13"/>
        <v>55.5</v>
      </c>
      <c r="AD69" s="1160">
        <f t="shared" si="14"/>
        <v>85.858499999999992</v>
      </c>
      <c r="AE69" s="1160">
        <f t="shared" si="15"/>
        <v>85.858499999999992</v>
      </c>
      <c r="AF69" s="542"/>
      <c r="AG69" s="1160">
        <f t="shared" si="2"/>
        <v>0</v>
      </c>
      <c r="AH69" s="656"/>
      <c r="AI69" s="351"/>
      <c r="AJ69" s="2"/>
      <c r="AK69" s="388"/>
      <c r="AL69" s="388"/>
      <c r="AM69" s="388"/>
      <c r="AN69" s="388"/>
      <c r="AO69" s="370"/>
      <c r="AP69" s="370"/>
      <c r="AQ69" s="386"/>
      <c r="AR69" s="551">
        <v>0</v>
      </c>
      <c r="AS69" s="386">
        <v>21.2</v>
      </c>
      <c r="AT69" s="386">
        <v>0</v>
      </c>
      <c r="AU69" s="386">
        <v>0</v>
      </c>
      <c r="AV69" s="636">
        <v>324.8</v>
      </c>
      <c r="AW69" s="636">
        <v>561.70000000000005</v>
      </c>
      <c r="AX69" s="386">
        <v>0</v>
      </c>
      <c r="AY69" s="551">
        <v>0</v>
      </c>
      <c r="AZ69" s="551">
        <v>0</v>
      </c>
      <c r="BA69" s="551">
        <v>0</v>
      </c>
      <c r="BB69" s="975">
        <v>0</v>
      </c>
      <c r="BC69" s="386">
        <v>0.51</v>
      </c>
      <c r="BD69" s="386">
        <v>1.5</v>
      </c>
      <c r="BE69" s="551">
        <v>0</v>
      </c>
      <c r="BF69" s="386">
        <v>1</v>
      </c>
      <c r="BG69" s="386">
        <v>0</v>
      </c>
      <c r="BH69" s="551">
        <v>0</v>
      </c>
      <c r="BI69" s="386">
        <v>1.07</v>
      </c>
      <c r="BJ69" s="386">
        <v>25.8</v>
      </c>
      <c r="BK69" s="386">
        <v>2.99</v>
      </c>
      <c r="BL69" s="386">
        <v>3.53</v>
      </c>
      <c r="BM69" s="386">
        <v>0</v>
      </c>
      <c r="BN69" s="386">
        <v>19.399999999999999</v>
      </c>
      <c r="BO69" s="386">
        <v>943.8</v>
      </c>
      <c r="BP69" s="386">
        <v>2</v>
      </c>
      <c r="BQ69" s="615">
        <v>19.489999999999998</v>
      </c>
      <c r="BR69" s="615">
        <v>20.170000000000002</v>
      </c>
      <c r="BS69" s="615">
        <v>14.21</v>
      </c>
      <c r="BT69" s="615">
        <v>7.64</v>
      </c>
      <c r="BU69" s="614">
        <v>23.9</v>
      </c>
      <c r="BV69" s="614">
        <v>28.3</v>
      </c>
      <c r="BW69" s="615">
        <v>474.3</v>
      </c>
      <c r="BX69" s="791"/>
      <c r="BY69" s="615">
        <v>0</v>
      </c>
      <c r="BZ69" s="615">
        <v>1.1399999999999999</v>
      </c>
      <c r="CA69" s="615">
        <v>1.2</v>
      </c>
      <c r="CB69" s="615">
        <v>8.1999999999999993</v>
      </c>
      <c r="CC69" s="615">
        <v>8.3000000000000007</v>
      </c>
      <c r="CD69" s="499">
        <v>15.5</v>
      </c>
      <c r="CE69" s="499">
        <v>34.700000000000003</v>
      </c>
      <c r="CF69" s="499">
        <v>15.3</v>
      </c>
      <c r="CG69" s="499">
        <v>7.4</v>
      </c>
      <c r="CH69" s="499">
        <v>13</v>
      </c>
      <c r="CI69" s="499">
        <v>17</v>
      </c>
      <c r="CJ69" s="499">
        <v>12.81</v>
      </c>
      <c r="CK69" s="499">
        <v>495.6</v>
      </c>
      <c r="CL69" s="499">
        <v>2</v>
      </c>
      <c r="CM69" s="499">
        <v>2.1</v>
      </c>
      <c r="CN69" s="615">
        <v>222.7</v>
      </c>
      <c r="CO69" s="499">
        <v>453.9</v>
      </c>
      <c r="CP69" s="499">
        <v>446.1</v>
      </c>
      <c r="CQ69" s="499">
        <v>11.7</v>
      </c>
      <c r="CR69" s="499">
        <v>0.64</v>
      </c>
      <c r="CS69" s="386">
        <v>0</v>
      </c>
      <c r="CT69" s="386">
        <v>15.33</v>
      </c>
      <c r="CU69" s="386">
        <v>41</v>
      </c>
      <c r="CV69" s="499">
        <v>0</v>
      </c>
      <c r="CW69" s="499">
        <v>0</v>
      </c>
      <c r="CX69" s="499">
        <v>0</v>
      </c>
      <c r="CY69" s="499">
        <v>0</v>
      </c>
      <c r="CZ69" s="643">
        <v>679</v>
      </c>
      <c r="DA69" s="643">
        <v>1410</v>
      </c>
      <c r="DB69" s="782">
        <v>613</v>
      </c>
      <c r="DC69" s="609">
        <v>1088.57</v>
      </c>
      <c r="DD69" s="1153">
        <f t="shared" si="16"/>
        <v>0.99000000000000909</v>
      </c>
      <c r="DE69" s="1154">
        <f t="shared" si="17"/>
        <v>0</v>
      </c>
      <c r="DF69" s="1154">
        <f t="shared" si="18"/>
        <v>503</v>
      </c>
      <c r="DG69" s="1154">
        <f t="shared" si="19"/>
        <v>1160</v>
      </c>
      <c r="DH69" s="1155" t="str">
        <f t="shared" si="20"/>
        <v>Palm</v>
      </c>
      <c r="DI69" s="1146">
        <f t="shared" si="21"/>
        <v>797</v>
      </c>
      <c r="DJ69" s="1146">
        <f t="shared" si="22"/>
        <v>0</v>
      </c>
      <c r="DK69" s="1154">
        <f t="shared" si="23"/>
        <v>0</v>
      </c>
      <c r="DL69" s="615"/>
      <c r="DM69" s="643"/>
      <c r="DN69" s="615"/>
      <c r="DO69" s="499"/>
      <c r="DP69" s="499"/>
      <c r="DQ69" s="499"/>
      <c r="DR69" s="499"/>
      <c r="DS69" s="499"/>
      <c r="DT69" s="499"/>
      <c r="DU69" s="499"/>
      <c r="DV69" s="499"/>
      <c r="DW69" s="499"/>
      <c r="DX69" s="499"/>
      <c r="DY69" s="499"/>
      <c r="DZ69" s="499"/>
      <c r="EA69" s="499"/>
      <c r="EB69" s="499"/>
      <c r="EC69" s="499"/>
      <c r="ED69" s="499"/>
      <c r="EE69" s="499"/>
      <c r="EF69" s="499"/>
      <c r="EG69" s="1146">
        <f t="shared" si="29"/>
        <v>10.5</v>
      </c>
      <c r="EH69" s="630">
        <v>0</v>
      </c>
      <c r="EI69" s="642">
        <v>1</v>
      </c>
      <c r="EJ69" s="642">
        <v>3</v>
      </c>
      <c r="EK69" s="642">
        <v>6.5</v>
      </c>
      <c r="EL69" s="499"/>
      <c r="EM69" s="499"/>
      <c r="EN69" s="499"/>
      <c r="EO69" s="499"/>
      <c r="EP69" s="499"/>
      <c r="EQ69" s="499"/>
      <c r="ER69" s="499"/>
      <c r="ES69" s="388"/>
      <c r="ET69" s="388"/>
      <c r="EV69" s="1167">
        <f t="shared" si="12"/>
        <v>16.243500000000001</v>
      </c>
    </row>
    <row r="70" spans="1:152" s="350" customFormat="1" ht="15" x14ac:dyDescent="0.25">
      <c r="A70" s="632" t="s">
        <v>7</v>
      </c>
      <c r="B70" s="662">
        <v>42796</v>
      </c>
      <c r="C70" s="1132" t="s">
        <v>904</v>
      </c>
      <c r="D70" s="636">
        <v>0.15</v>
      </c>
      <c r="E70" s="636">
        <v>0</v>
      </c>
      <c r="F70" s="636">
        <v>37</v>
      </c>
      <c r="G70" s="739">
        <v>0.75</v>
      </c>
      <c r="H70" s="739">
        <v>4.62</v>
      </c>
      <c r="I70" s="739">
        <v>15</v>
      </c>
      <c r="J70" s="636">
        <v>0</v>
      </c>
      <c r="K70" s="739">
        <v>4.3</v>
      </c>
      <c r="L70" s="741">
        <v>0</v>
      </c>
      <c r="M70" s="739">
        <v>21.9</v>
      </c>
      <c r="N70" s="739">
        <v>1.34</v>
      </c>
      <c r="O70" s="739">
        <v>1.3100342124638016</v>
      </c>
      <c r="P70" s="739">
        <v>1.28</v>
      </c>
      <c r="Q70" s="739">
        <v>0.59305142579732584</v>
      </c>
      <c r="R70" s="782">
        <v>726.71947674418607</v>
      </c>
      <c r="S70" s="739">
        <v>8.1199999999999992</v>
      </c>
      <c r="T70" s="739">
        <v>8.1300000000000008</v>
      </c>
      <c r="U70" s="739">
        <v>0.84</v>
      </c>
      <c r="V70" s="739">
        <v>0.95</v>
      </c>
      <c r="W70" s="739">
        <v>40.28</v>
      </c>
      <c r="X70" s="644">
        <v>40.100000000000009</v>
      </c>
      <c r="Y70" s="739">
        <v>25.7</v>
      </c>
      <c r="Z70" s="739">
        <v>29.8</v>
      </c>
      <c r="AA70" s="739">
        <v>25.8</v>
      </c>
      <c r="AB70" s="739">
        <v>28.9</v>
      </c>
      <c r="AC70" s="1160">
        <f t="shared" si="13"/>
        <v>54.7</v>
      </c>
      <c r="AD70" s="1160">
        <f t="shared" si="14"/>
        <v>84.620900000000006</v>
      </c>
      <c r="AE70" s="1160">
        <f t="shared" si="15"/>
        <v>84.620900000000006</v>
      </c>
      <c r="AF70" s="542"/>
      <c r="AG70" s="1160">
        <f t="shared" si="2"/>
        <v>0</v>
      </c>
      <c r="AH70" s="656"/>
      <c r="AI70" s="351"/>
      <c r="AJ70" s="2"/>
      <c r="AK70" s="388"/>
      <c r="AL70" s="388"/>
      <c r="AM70" s="388"/>
      <c r="AN70" s="388"/>
      <c r="AO70" s="370"/>
      <c r="AP70" s="370"/>
      <c r="AQ70" s="386"/>
      <c r="AR70" s="551">
        <v>0</v>
      </c>
      <c r="AS70" s="386">
        <v>10.1</v>
      </c>
      <c r="AT70" s="386">
        <v>0</v>
      </c>
      <c r="AU70" s="386">
        <v>0</v>
      </c>
      <c r="AV70" s="636">
        <v>189.5</v>
      </c>
      <c r="AW70" s="636">
        <v>330.3</v>
      </c>
      <c r="AX70" s="386">
        <v>0</v>
      </c>
      <c r="AY70" s="551">
        <v>0</v>
      </c>
      <c r="AZ70" s="551">
        <v>0</v>
      </c>
      <c r="BA70" s="551">
        <v>0</v>
      </c>
      <c r="BB70" s="975">
        <v>0</v>
      </c>
      <c r="BC70" s="386">
        <v>0.51</v>
      </c>
      <c r="BD70" s="386">
        <v>1.49</v>
      </c>
      <c r="BE70" s="551">
        <v>0</v>
      </c>
      <c r="BF70" s="386">
        <v>1</v>
      </c>
      <c r="BG70" s="386">
        <v>0</v>
      </c>
      <c r="BH70" s="551">
        <v>0</v>
      </c>
      <c r="BI70" s="386">
        <v>1.02</v>
      </c>
      <c r="BJ70" s="386">
        <v>24.9</v>
      </c>
      <c r="BK70" s="386">
        <v>3.07</v>
      </c>
      <c r="BL70" s="386">
        <v>3.53</v>
      </c>
      <c r="BM70" s="386">
        <v>0</v>
      </c>
      <c r="BN70" s="386">
        <v>18.5</v>
      </c>
      <c r="BO70" s="386">
        <v>932.4</v>
      </c>
      <c r="BP70" s="386">
        <v>2</v>
      </c>
      <c r="BQ70" s="615">
        <v>19.84</v>
      </c>
      <c r="BR70" s="615">
        <v>20.55</v>
      </c>
      <c r="BS70" s="615">
        <v>14.38</v>
      </c>
      <c r="BT70" s="615">
        <v>7.72</v>
      </c>
      <c r="BU70" s="614">
        <v>24.2</v>
      </c>
      <c r="BV70" s="614">
        <v>27.3</v>
      </c>
      <c r="BW70" s="615">
        <v>469.8</v>
      </c>
      <c r="BX70" s="791"/>
      <c r="BY70" s="615">
        <v>0</v>
      </c>
      <c r="BZ70" s="615">
        <v>1.1599999999999999</v>
      </c>
      <c r="CA70" s="615">
        <v>1.2</v>
      </c>
      <c r="CB70" s="615">
        <v>8.1</v>
      </c>
      <c r="CC70" s="615">
        <v>8.3000000000000007</v>
      </c>
      <c r="CD70" s="499">
        <v>15.6</v>
      </c>
      <c r="CE70" s="499">
        <v>34.700000000000003</v>
      </c>
      <c r="CF70" s="499">
        <v>13.9</v>
      </c>
      <c r="CG70" s="499">
        <v>7.2</v>
      </c>
      <c r="CH70" s="499">
        <v>12.8</v>
      </c>
      <c r="CI70" s="499">
        <v>16.7</v>
      </c>
      <c r="CJ70" s="499">
        <v>12.86</v>
      </c>
      <c r="CK70" s="499">
        <v>458.3</v>
      </c>
      <c r="CL70" s="499">
        <v>2</v>
      </c>
      <c r="CM70" s="499">
        <v>1.7</v>
      </c>
      <c r="CN70" s="499">
        <v>162.4</v>
      </c>
      <c r="CO70" s="499">
        <v>519.1</v>
      </c>
      <c r="CP70" s="499">
        <v>440.3</v>
      </c>
      <c r="CQ70" s="499">
        <v>11.5</v>
      </c>
      <c r="CR70" s="499">
        <v>0.45</v>
      </c>
      <c r="CS70" s="386">
        <v>0</v>
      </c>
      <c r="CT70" s="386">
        <v>14.904999999999999</v>
      </c>
      <c r="CU70" s="386">
        <v>41</v>
      </c>
      <c r="CV70" s="499">
        <v>0</v>
      </c>
      <c r="CW70" s="499">
        <v>0</v>
      </c>
      <c r="CX70" s="499">
        <v>0</v>
      </c>
      <c r="CY70" s="499">
        <v>0</v>
      </c>
      <c r="CZ70" s="643">
        <v>641</v>
      </c>
      <c r="DA70" s="643">
        <v>1330</v>
      </c>
      <c r="DB70" s="782">
        <v>583</v>
      </c>
      <c r="DC70" s="609">
        <v>1089.92</v>
      </c>
      <c r="DD70" s="1153">
        <f t="shared" si="16"/>
        <v>1.3500000000001364</v>
      </c>
      <c r="DE70" s="1154">
        <f t="shared" si="17"/>
        <v>0</v>
      </c>
      <c r="DF70" s="1154">
        <f t="shared" si="18"/>
        <v>473</v>
      </c>
      <c r="DG70" s="1154">
        <f t="shared" si="19"/>
        <v>1080</v>
      </c>
      <c r="DH70" s="1155" t="str">
        <f t="shared" si="20"/>
        <v>Palm</v>
      </c>
      <c r="DI70" s="1146">
        <f t="shared" si="21"/>
        <v>747</v>
      </c>
      <c r="DJ70" s="1146">
        <f t="shared" si="22"/>
        <v>0</v>
      </c>
      <c r="DK70" s="1154">
        <f t="shared" si="23"/>
        <v>0</v>
      </c>
      <c r="DL70" s="615"/>
      <c r="DM70" s="643"/>
      <c r="DN70" s="615"/>
      <c r="DO70" s="499"/>
      <c r="DP70" s="499"/>
      <c r="DQ70" s="499"/>
      <c r="DR70" s="499"/>
      <c r="DS70" s="499"/>
      <c r="DT70" s="499"/>
      <c r="DU70" s="499"/>
      <c r="DV70" s="499"/>
      <c r="DW70" s="499"/>
      <c r="DX70" s="499"/>
      <c r="DY70" s="499"/>
      <c r="DZ70" s="499"/>
      <c r="EA70" s="499"/>
      <c r="EB70" s="499"/>
      <c r="EC70" s="499"/>
      <c r="ED70" s="499"/>
      <c r="EE70" s="499"/>
      <c r="EF70" s="499"/>
      <c r="EG70" s="1146">
        <f t="shared" si="29"/>
        <v>10.5</v>
      </c>
      <c r="EH70" s="630">
        <v>0</v>
      </c>
      <c r="EI70" s="642">
        <v>1</v>
      </c>
      <c r="EJ70" s="642">
        <v>3</v>
      </c>
      <c r="EK70" s="642">
        <v>6.5</v>
      </c>
      <c r="EL70" s="499"/>
      <c r="EM70" s="499"/>
      <c r="EN70" s="499"/>
      <c r="EO70" s="499"/>
      <c r="EP70" s="499"/>
      <c r="EQ70" s="499"/>
      <c r="ER70" s="499"/>
      <c r="ES70" s="388"/>
      <c r="ET70" s="388"/>
      <c r="EV70" s="1167">
        <f t="shared" si="12"/>
        <v>16.243500000000001</v>
      </c>
    </row>
    <row r="71" spans="1:152" s="350" customFormat="1" ht="15" x14ac:dyDescent="0.25">
      <c r="A71" s="632" t="s">
        <v>8</v>
      </c>
      <c r="B71" s="662">
        <v>42797</v>
      </c>
      <c r="C71" s="1132" t="s">
        <v>904</v>
      </c>
      <c r="D71" s="636">
        <v>0.75</v>
      </c>
      <c r="E71" s="636">
        <v>0</v>
      </c>
      <c r="F71" s="636">
        <v>35</v>
      </c>
      <c r="G71" s="739">
        <v>0.9</v>
      </c>
      <c r="H71" s="739">
        <v>3.66</v>
      </c>
      <c r="I71" s="739">
        <v>15.4</v>
      </c>
      <c r="J71" s="636">
        <v>0</v>
      </c>
      <c r="K71" s="739">
        <v>2.2999999999999998</v>
      </c>
      <c r="L71" s="741">
        <v>0</v>
      </c>
      <c r="M71" s="739">
        <v>22</v>
      </c>
      <c r="N71" s="739">
        <v>1.36</v>
      </c>
      <c r="O71" s="739">
        <v>1.3150287455692209</v>
      </c>
      <c r="P71" s="739">
        <v>1.32</v>
      </c>
      <c r="Q71" s="739">
        <v>0.59237027182924684</v>
      </c>
      <c r="R71" s="782">
        <v>730.38640988372094</v>
      </c>
      <c r="S71" s="739">
        <v>8.09</v>
      </c>
      <c r="T71" s="739">
        <v>8.15</v>
      </c>
      <c r="U71" s="739">
        <v>0.85</v>
      </c>
      <c r="V71" s="739">
        <v>0.77</v>
      </c>
      <c r="W71" s="739">
        <v>40.460000000000008</v>
      </c>
      <c r="X71" s="644">
        <v>40.28</v>
      </c>
      <c r="Y71" s="739">
        <v>25.8</v>
      </c>
      <c r="Z71" s="739">
        <v>28.9</v>
      </c>
      <c r="AA71" s="739">
        <v>25.81</v>
      </c>
      <c r="AB71" s="739">
        <v>28.99</v>
      </c>
      <c r="AC71" s="1160">
        <f t="shared" si="13"/>
        <v>54.8</v>
      </c>
      <c r="AD71" s="1160">
        <f t="shared" si="14"/>
        <v>84.775599999999997</v>
      </c>
      <c r="AE71" s="1160">
        <f t="shared" si="15"/>
        <v>84.775599999999997</v>
      </c>
      <c r="AF71" s="542"/>
      <c r="AG71" s="1160">
        <f t="shared" si="2"/>
        <v>0</v>
      </c>
      <c r="AH71" s="656"/>
      <c r="AI71" s="351"/>
      <c r="AJ71" s="2"/>
      <c r="AK71" s="388"/>
      <c r="AL71" s="388"/>
      <c r="AM71" s="388"/>
      <c r="AN71" s="388"/>
      <c r="AO71" s="370"/>
      <c r="AP71" s="370"/>
      <c r="AQ71" s="386"/>
      <c r="AR71" s="551">
        <v>0</v>
      </c>
      <c r="AS71" s="386">
        <v>19.2</v>
      </c>
      <c r="AT71" s="386">
        <v>0</v>
      </c>
      <c r="AU71" s="386">
        <v>0</v>
      </c>
      <c r="AV71" s="636">
        <v>607.6</v>
      </c>
      <c r="AW71" s="636">
        <v>615.5</v>
      </c>
      <c r="AX71" s="386">
        <v>0</v>
      </c>
      <c r="AY71" s="551">
        <v>0</v>
      </c>
      <c r="AZ71" s="551">
        <v>0</v>
      </c>
      <c r="BA71" s="551">
        <v>0</v>
      </c>
      <c r="BB71" s="975">
        <v>0</v>
      </c>
      <c r="BC71" s="386">
        <v>0.51</v>
      </c>
      <c r="BD71" s="386">
        <v>1.5</v>
      </c>
      <c r="BE71" s="551">
        <v>0</v>
      </c>
      <c r="BF71" s="386">
        <v>1</v>
      </c>
      <c r="BG71" s="386">
        <v>0</v>
      </c>
      <c r="BH71" s="551">
        <v>0</v>
      </c>
      <c r="BI71" s="386">
        <v>1.02</v>
      </c>
      <c r="BJ71" s="386">
        <v>24.9</v>
      </c>
      <c r="BK71" s="386">
        <v>2.97</v>
      </c>
      <c r="BL71" s="386">
        <v>3.53</v>
      </c>
      <c r="BM71" s="386">
        <v>0</v>
      </c>
      <c r="BN71" s="386">
        <v>18.600000000000001</v>
      </c>
      <c r="BO71" s="386">
        <v>883.7</v>
      </c>
      <c r="BP71" s="386">
        <v>2</v>
      </c>
      <c r="BQ71" s="615">
        <v>20.2</v>
      </c>
      <c r="BR71" s="615">
        <v>20.7</v>
      </c>
      <c r="BS71" s="615">
        <v>14</v>
      </c>
      <c r="BT71" s="615">
        <v>7.5</v>
      </c>
      <c r="BU71" s="614">
        <v>23.7</v>
      </c>
      <c r="BV71" s="614">
        <v>27.2</v>
      </c>
      <c r="BW71" s="615">
        <v>543.9</v>
      </c>
      <c r="BX71" s="791"/>
      <c r="BY71" s="615">
        <v>0</v>
      </c>
      <c r="BZ71" s="615">
        <v>1.2</v>
      </c>
      <c r="CA71" s="615">
        <v>1.2</v>
      </c>
      <c r="CB71" s="615">
        <v>8.1999999999999993</v>
      </c>
      <c r="CC71" s="615">
        <v>8.1999999999999993</v>
      </c>
      <c r="CD71" s="499">
        <v>15.1</v>
      </c>
      <c r="CE71" s="499">
        <v>34.6</v>
      </c>
      <c r="CF71" s="499">
        <v>12.7</v>
      </c>
      <c r="CG71" s="499">
        <v>6.8</v>
      </c>
      <c r="CH71" s="499">
        <v>12.3</v>
      </c>
      <c r="CI71" s="499">
        <v>16.3</v>
      </c>
      <c r="CJ71" s="499">
        <v>12.7</v>
      </c>
      <c r="CK71" s="499">
        <v>515.29999999999995</v>
      </c>
      <c r="CL71" s="499">
        <v>2</v>
      </c>
      <c r="CM71" s="499">
        <v>2.2000000000000002</v>
      </c>
      <c r="CN71" s="499">
        <v>145.4</v>
      </c>
      <c r="CO71" s="499">
        <v>491.6</v>
      </c>
      <c r="CP71" s="499">
        <v>442.2</v>
      </c>
      <c r="CQ71" s="499">
        <v>12.3</v>
      </c>
      <c r="CR71" s="499">
        <v>0.47</v>
      </c>
      <c r="CS71" s="386">
        <v>0</v>
      </c>
      <c r="CT71" s="386">
        <v>16.134</v>
      </c>
      <c r="CU71" s="386">
        <v>41</v>
      </c>
      <c r="CV71" s="499">
        <v>0</v>
      </c>
      <c r="CW71" s="499">
        <v>0</v>
      </c>
      <c r="CX71" s="499">
        <v>0</v>
      </c>
      <c r="CY71" s="499">
        <v>0</v>
      </c>
      <c r="CZ71" s="643">
        <v>658</v>
      </c>
      <c r="DA71" s="643">
        <v>1420</v>
      </c>
      <c r="DB71" s="782">
        <v>656</v>
      </c>
      <c r="DC71" s="609">
        <v>1091.94</v>
      </c>
      <c r="DD71" s="1153">
        <f t="shared" si="16"/>
        <v>2.0199999999999818</v>
      </c>
      <c r="DE71" s="1154">
        <f t="shared" si="17"/>
        <v>0</v>
      </c>
      <c r="DF71" s="1154">
        <f t="shared" si="18"/>
        <v>546</v>
      </c>
      <c r="DG71" s="1154">
        <f t="shared" si="19"/>
        <v>1170</v>
      </c>
      <c r="DH71" s="1155" t="str">
        <f t="shared" si="20"/>
        <v>Palm</v>
      </c>
      <c r="DI71" s="1146">
        <f t="shared" si="21"/>
        <v>764</v>
      </c>
      <c r="DJ71" s="1146">
        <f t="shared" si="22"/>
        <v>0</v>
      </c>
      <c r="DK71" s="1154">
        <f t="shared" si="23"/>
        <v>0</v>
      </c>
      <c r="DL71" s="615"/>
      <c r="DM71" s="643"/>
      <c r="DN71" s="615"/>
      <c r="DO71" s="499"/>
      <c r="DP71" s="499"/>
      <c r="DQ71" s="499"/>
      <c r="DR71" s="499"/>
      <c r="DS71" s="499"/>
      <c r="DT71" s="499"/>
      <c r="DU71" s="499"/>
      <c r="DV71" s="499"/>
      <c r="DW71" s="499"/>
      <c r="DX71" s="499"/>
      <c r="DY71" s="499"/>
      <c r="DZ71" s="499"/>
      <c r="EA71" s="499"/>
      <c r="EB71" s="499"/>
      <c r="EC71" s="499"/>
      <c r="ED71" s="499"/>
      <c r="EE71" s="499"/>
      <c r="EF71" s="499"/>
      <c r="EG71" s="1146">
        <f t="shared" ref="EG71:EG98" si="30">(SUM(EH71:EK71))</f>
        <v>10.5</v>
      </c>
      <c r="EH71" s="630">
        <v>0</v>
      </c>
      <c r="EI71" s="642">
        <v>1</v>
      </c>
      <c r="EJ71" s="642">
        <v>3</v>
      </c>
      <c r="EK71" s="642">
        <v>6.5</v>
      </c>
      <c r="EL71" s="499"/>
      <c r="EM71" s="499"/>
      <c r="EN71" s="499"/>
      <c r="EO71" s="499"/>
      <c r="EP71" s="499"/>
      <c r="EQ71" s="499"/>
      <c r="ER71" s="499"/>
      <c r="ES71" s="388"/>
      <c r="ET71" s="388"/>
      <c r="EV71" s="1167">
        <f t="shared" si="12"/>
        <v>16.243500000000001</v>
      </c>
    </row>
    <row r="72" spans="1:152" s="350" customFormat="1" ht="15" x14ac:dyDescent="0.25">
      <c r="A72" s="632" t="s">
        <v>9</v>
      </c>
      <c r="B72" s="662">
        <v>42798</v>
      </c>
      <c r="C72" s="1132" t="s">
        <v>904</v>
      </c>
      <c r="D72" s="636">
        <v>0.08</v>
      </c>
      <c r="E72" s="636">
        <v>0</v>
      </c>
      <c r="F72" s="636">
        <v>35</v>
      </c>
      <c r="G72" s="739">
        <v>0.95</v>
      </c>
      <c r="H72" s="739">
        <v>2.9</v>
      </c>
      <c r="I72" s="739">
        <v>15.5</v>
      </c>
      <c r="J72" s="636">
        <v>0</v>
      </c>
      <c r="K72" s="739">
        <v>1.55</v>
      </c>
      <c r="L72" s="741">
        <v>0</v>
      </c>
      <c r="M72" s="739">
        <v>21.9</v>
      </c>
      <c r="N72" s="739">
        <v>1.34</v>
      </c>
      <c r="O72" s="739">
        <v>1.2971978473242145</v>
      </c>
      <c r="P72" s="739">
        <v>1.34</v>
      </c>
      <c r="Q72" s="739">
        <v>0.588149105996433</v>
      </c>
      <c r="R72" s="782">
        <v>721.38575581395355</v>
      </c>
      <c r="S72" s="739">
        <v>8.1300000000000008</v>
      </c>
      <c r="T72" s="739">
        <v>8.14</v>
      </c>
      <c r="U72" s="739">
        <v>0.89</v>
      </c>
      <c r="V72" s="739">
        <v>0.72</v>
      </c>
      <c r="W72" s="739">
        <v>40.460000000000008</v>
      </c>
      <c r="X72" s="644">
        <v>40.64</v>
      </c>
      <c r="Y72" s="739">
        <v>25.81</v>
      </c>
      <c r="Z72" s="739">
        <v>28.99</v>
      </c>
      <c r="AA72" s="739">
        <v>25.8</v>
      </c>
      <c r="AB72" s="739">
        <v>28.92</v>
      </c>
      <c r="AC72" s="1160">
        <f t="shared" si="13"/>
        <v>54.72</v>
      </c>
      <c r="AD72" s="1160">
        <f t="shared" si="14"/>
        <v>84.651839999999993</v>
      </c>
      <c r="AE72" s="1160">
        <f t="shared" si="15"/>
        <v>84.651839999999993</v>
      </c>
      <c r="AF72" s="542"/>
      <c r="AG72" s="1160">
        <f t="shared" ref="AG72:AG135" si="31">BB72</f>
        <v>0</v>
      </c>
      <c r="AH72" s="656"/>
      <c r="AI72" s="351"/>
      <c r="AJ72" s="2"/>
      <c r="AK72" s="388"/>
      <c r="AL72" s="388"/>
      <c r="AM72" s="388"/>
      <c r="AN72" s="388"/>
      <c r="AO72" s="370"/>
      <c r="AP72" s="370"/>
      <c r="AQ72" s="386"/>
      <c r="AR72" s="551">
        <v>0</v>
      </c>
      <c r="AS72" s="386">
        <v>13</v>
      </c>
      <c r="AT72" s="386">
        <v>0</v>
      </c>
      <c r="AU72" s="386">
        <v>0</v>
      </c>
      <c r="AV72" s="636">
        <v>205.1</v>
      </c>
      <c r="AW72" s="636">
        <v>303.2</v>
      </c>
      <c r="AX72" s="386">
        <v>0</v>
      </c>
      <c r="AY72" s="551">
        <v>0</v>
      </c>
      <c r="AZ72" s="551">
        <v>0</v>
      </c>
      <c r="BA72" s="551">
        <v>0</v>
      </c>
      <c r="BB72" s="975">
        <v>0</v>
      </c>
      <c r="BC72" s="386">
        <v>0</v>
      </c>
      <c r="BD72" s="386">
        <v>0.51</v>
      </c>
      <c r="BE72" s="551">
        <v>1.49</v>
      </c>
      <c r="BF72" s="386">
        <v>0</v>
      </c>
      <c r="BG72" s="386">
        <v>1</v>
      </c>
      <c r="BH72" s="551">
        <v>0</v>
      </c>
      <c r="BI72" s="386">
        <v>1.02</v>
      </c>
      <c r="BJ72" s="386">
        <v>24.9</v>
      </c>
      <c r="BK72" s="386">
        <v>2.74</v>
      </c>
      <c r="BL72" s="386">
        <v>3.82</v>
      </c>
      <c r="BM72" s="386">
        <v>0</v>
      </c>
      <c r="BN72" s="386">
        <v>18.5</v>
      </c>
      <c r="BO72" s="386">
        <v>1082.2</v>
      </c>
      <c r="BP72" s="386">
        <v>2</v>
      </c>
      <c r="BQ72" s="615">
        <v>19.600000000000001</v>
      </c>
      <c r="BR72" s="615">
        <v>20.6</v>
      </c>
      <c r="BS72" s="615">
        <v>14.4</v>
      </c>
      <c r="BT72" s="615">
        <v>7.8</v>
      </c>
      <c r="BU72" s="614">
        <v>24.3</v>
      </c>
      <c r="BV72" s="614">
        <v>30</v>
      </c>
      <c r="BW72" s="615">
        <v>567.20000000000005</v>
      </c>
      <c r="BX72" s="791"/>
      <c r="BY72" s="615">
        <v>0</v>
      </c>
      <c r="BZ72" s="615">
        <v>1.2</v>
      </c>
      <c r="CA72" s="615">
        <v>1.2</v>
      </c>
      <c r="CB72" s="615">
        <v>8.1999999999999993</v>
      </c>
      <c r="CC72" s="615">
        <v>8.1999999999999993</v>
      </c>
      <c r="CD72" s="499">
        <v>16.100000000000001</v>
      </c>
      <c r="CE72" s="499">
        <v>34.700000000000003</v>
      </c>
      <c r="CF72" s="499">
        <v>14.8</v>
      </c>
      <c r="CG72" s="499">
        <v>6.9</v>
      </c>
      <c r="CH72" s="499">
        <v>12.5</v>
      </c>
      <c r="CI72" s="499">
        <v>16.399999999999999</v>
      </c>
      <c r="CJ72" s="499">
        <v>13.77</v>
      </c>
      <c r="CK72" s="499">
        <v>547.29999999999995</v>
      </c>
      <c r="CL72" s="499">
        <v>2</v>
      </c>
      <c r="CM72" s="499">
        <v>0.6</v>
      </c>
      <c r="CN72" s="499">
        <v>324.60000000000002</v>
      </c>
      <c r="CO72" s="499">
        <v>422.2</v>
      </c>
      <c r="CP72" s="499">
        <v>431.7</v>
      </c>
      <c r="CQ72" s="499">
        <v>12.6</v>
      </c>
      <c r="CR72" s="499">
        <v>0.55000000000000004</v>
      </c>
      <c r="CS72" s="386">
        <v>0</v>
      </c>
      <c r="CT72" s="386">
        <v>15.206</v>
      </c>
      <c r="CU72" s="386">
        <v>41</v>
      </c>
      <c r="CV72" s="499">
        <v>0</v>
      </c>
      <c r="CW72" s="499">
        <v>0</v>
      </c>
      <c r="CX72" s="499">
        <v>0</v>
      </c>
      <c r="CY72" s="499">
        <v>0</v>
      </c>
      <c r="CZ72" s="643">
        <v>674</v>
      </c>
      <c r="DA72" s="643">
        <v>1440</v>
      </c>
      <c r="DB72" s="782">
        <v>636</v>
      </c>
      <c r="DC72" s="609">
        <v>1094.81</v>
      </c>
      <c r="DD72" s="1153">
        <f t="shared" si="16"/>
        <v>2.8699999999998909</v>
      </c>
      <c r="DE72" s="1154">
        <f t="shared" si="17"/>
        <v>0</v>
      </c>
      <c r="DF72" s="1154">
        <f t="shared" si="18"/>
        <v>526</v>
      </c>
      <c r="DG72" s="1154">
        <f t="shared" si="19"/>
        <v>1190</v>
      </c>
      <c r="DH72" s="1155" t="str">
        <f t="shared" si="20"/>
        <v>Palm</v>
      </c>
      <c r="DI72" s="1146">
        <f t="shared" si="21"/>
        <v>804</v>
      </c>
      <c r="DJ72" s="1146">
        <f t="shared" si="22"/>
        <v>0</v>
      </c>
      <c r="DK72" s="1154">
        <f t="shared" si="23"/>
        <v>0</v>
      </c>
      <c r="DL72" s="615"/>
      <c r="DM72" s="643"/>
      <c r="DN72" s="615"/>
      <c r="DO72" s="499"/>
      <c r="DP72" s="499"/>
      <c r="DQ72" s="499"/>
      <c r="DR72" s="499"/>
      <c r="DS72" s="499"/>
      <c r="DT72" s="499"/>
      <c r="DU72" s="499"/>
      <c r="DV72" s="499"/>
      <c r="DW72" s="499"/>
      <c r="DX72" s="499"/>
      <c r="DY72" s="499"/>
      <c r="DZ72" s="499"/>
      <c r="EA72" s="499"/>
      <c r="EB72" s="499"/>
      <c r="EC72" s="499"/>
      <c r="ED72" s="499"/>
      <c r="EE72" s="499"/>
      <c r="EF72" s="499"/>
      <c r="EG72" s="1146">
        <f t="shared" si="30"/>
        <v>10.5</v>
      </c>
      <c r="EH72" s="630">
        <v>0</v>
      </c>
      <c r="EI72" s="642">
        <v>1</v>
      </c>
      <c r="EJ72" s="642">
        <v>3</v>
      </c>
      <c r="EK72" s="642">
        <v>6.5</v>
      </c>
      <c r="EL72" s="499"/>
      <c r="EM72" s="499"/>
      <c r="EN72" s="499"/>
      <c r="EO72" s="499"/>
      <c r="EP72" s="499"/>
      <c r="EQ72" s="499"/>
      <c r="ER72" s="499"/>
      <c r="ES72" s="388"/>
      <c r="ET72" s="388"/>
      <c r="EV72" s="1167">
        <f t="shared" ref="EV72:EV135" si="32">(EH72+EK72+EJ72+EI72)*MGDtoCFS</f>
        <v>16.243500000000001</v>
      </c>
    </row>
    <row r="73" spans="1:152" s="350" customFormat="1" ht="15" x14ac:dyDescent="0.25">
      <c r="A73" s="632" t="s">
        <v>3</v>
      </c>
      <c r="B73" s="662">
        <v>42799</v>
      </c>
      <c r="C73" s="1132" t="s">
        <v>904</v>
      </c>
      <c r="D73" s="636">
        <v>0.23</v>
      </c>
      <c r="E73" s="636">
        <v>0</v>
      </c>
      <c r="F73" s="636">
        <v>36.5</v>
      </c>
      <c r="G73" s="739">
        <v>0.9</v>
      </c>
      <c r="H73" s="739">
        <v>1.8</v>
      </c>
      <c r="I73" s="739">
        <v>14.4</v>
      </c>
      <c r="J73" s="636">
        <v>0</v>
      </c>
      <c r="K73" s="739">
        <v>1.38</v>
      </c>
      <c r="L73" s="741">
        <v>0</v>
      </c>
      <c r="M73" s="739">
        <v>22</v>
      </c>
      <c r="N73" s="739">
        <v>1.34</v>
      </c>
      <c r="O73" s="739">
        <v>1.2905112604826861</v>
      </c>
      <c r="P73" s="739">
        <v>1.33</v>
      </c>
      <c r="Q73" s="739">
        <v>0.58955616127423849</v>
      </c>
      <c r="R73" s="782">
        <v>718.71889534883724</v>
      </c>
      <c r="S73" s="739">
        <v>8.25</v>
      </c>
      <c r="T73" s="739">
        <v>8.23</v>
      </c>
      <c r="U73" s="739">
        <v>0.81</v>
      </c>
      <c r="V73" s="739">
        <v>0.75</v>
      </c>
      <c r="W73" s="739">
        <v>40.819999999999993</v>
      </c>
      <c r="X73" s="644">
        <v>41</v>
      </c>
      <c r="Y73" s="739">
        <v>25.8</v>
      </c>
      <c r="Z73" s="739">
        <v>28.92</v>
      </c>
      <c r="AA73" s="739">
        <v>25.79</v>
      </c>
      <c r="AB73" s="739">
        <v>28.99</v>
      </c>
      <c r="AC73" s="1160">
        <f t="shared" si="13"/>
        <v>54.78</v>
      </c>
      <c r="AD73" s="1160">
        <f t="shared" si="14"/>
        <v>84.744659999999996</v>
      </c>
      <c r="AE73" s="1160">
        <f t="shared" si="15"/>
        <v>84.744659999999996</v>
      </c>
      <c r="AF73" s="542"/>
      <c r="AG73" s="1160">
        <f t="shared" si="31"/>
        <v>0</v>
      </c>
      <c r="AH73" s="656"/>
      <c r="AI73" s="351"/>
      <c r="AJ73" s="2"/>
      <c r="AK73" s="388"/>
      <c r="AL73" s="388"/>
      <c r="AM73" s="388"/>
      <c r="AN73" s="388"/>
      <c r="AO73" s="370"/>
      <c r="AP73" s="370"/>
      <c r="AQ73" s="386"/>
      <c r="AR73" s="551">
        <v>0</v>
      </c>
      <c r="AS73" s="386">
        <v>11.5</v>
      </c>
      <c r="AT73" s="386">
        <v>0</v>
      </c>
      <c r="AU73" s="386">
        <v>0</v>
      </c>
      <c r="AV73" s="636">
        <v>309.3</v>
      </c>
      <c r="AW73" s="636">
        <v>365.9</v>
      </c>
      <c r="AX73" s="386">
        <v>0</v>
      </c>
      <c r="AY73" s="551">
        <v>0</v>
      </c>
      <c r="AZ73" s="551">
        <v>0</v>
      </c>
      <c r="BA73" s="551">
        <v>0</v>
      </c>
      <c r="BB73" s="975">
        <v>0</v>
      </c>
      <c r="BC73" s="386">
        <v>0.5</v>
      </c>
      <c r="BD73" s="386">
        <v>1.5</v>
      </c>
      <c r="BE73" s="551">
        <v>0</v>
      </c>
      <c r="BF73" s="386">
        <v>1</v>
      </c>
      <c r="BG73" s="386">
        <v>0</v>
      </c>
      <c r="BH73" s="551">
        <v>0</v>
      </c>
      <c r="BI73" s="386">
        <v>1.02</v>
      </c>
      <c r="BJ73" s="386">
        <v>24.9</v>
      </c>
      <c r="BK73" s="386">
        <v>3.01</v>
      </c>
      <c r="BL73" s="386">
        <v>3.53</v>
      </c>
      <c r="BM73" s="386">
        <v>0</v>
      </c>
      <c r="BN73" s="386">
        <v>18.5</v>
      </c>
      <c r="BO73" s="386">
        <v>1126.0999999999999</v>
      </c>
      <c r="BP73" s="386">
        <v>2</v>
      </c>
      <c r="BQ73" s="615">
        <v>19.7</v>
      </c>
      <c r="BR73" s="615">
        <v>20.399999999999999</v>
      </c>
      <c r="BS73" s="615">
        <v>14.4</v>
      </c>
      <c r="BT73" s="615">
        <v>7.8</v>
      </c>
      <c r="BU73" s="614">
        <v>24.3</v>
      </c>
      <c r="BV73" s="614">
        <v>28.3</v>
      </c>
      <c r="BW73" s="615">
        <v>434.9</v>
      </c>
      <c r="BX73" s="791"/>
      <c r="BY73" s="615">
        <v>0</v>
      </c>
      <c r="BZ73" s="615">
        <v>1.1000000000000001</v>
      </c>
      <c r="CA73" s="615">
        <v>1.2</v>
      </c>
      <c r="CB73" s="615">
        <v>8.1999999999999993</v>
      </c>
      <c r="CC73" s="615">
        <v>8.1999999999999993</v>
      </c>
      <c r="CD73" s="499">
        <v>16.399999999999999</v>
      </c>
      <c r="CE73" s="499">
        <v>34.700000000000003</v>
      </c>
      <c r="CF73" s="499">
        <v>14.3</v>
      </c>
      <c r="CG73" s="499">
        <v>7</v>
      </c>
      <c r="CH73" s="499">
        <v>12.6</v>
      </c>
      <c r="CI73" s="499">
        <v>16.600000000000001</v>
      </c>
      <c r="CJ73" s="499">
        <v>13.8</v>
      </c>
      <c r="CK73" s="499">
        <v>517.79999999999995</v>
      </c>
      <c r="CL73" s="499">
        <v>2</v>
      </c>
      <c r="CM73" s="499">
        <v>1.6</v>
      </c>
      <c r="CN73" s="499">
        <v>253.8</v>
      </c>
      <c r="CO73" s="499">
        <v>443.8</v>
      </c>
      <c r="CP73" s="499">
        <v>432.6</v>
      </c>
      <c r="CQ73" s="499">
        <v>12.5</v>
      </c>
      <c r="CR73" s="499">
        <v>0.6</v>
      </c>
      <c r="CS73" s="386">
        <v>0</v>
      </c>
      <c r="CT73" s="386">
        <v>15.971</v>
      </c>
      <c r="CU73" s="386">
        <v>41</v>
      </c>
      <c r="CV73" s="499">
        <v>0</v>
      </c>
      <c r="CW73" s="499">
        <v>0</v>
      </c>
      <c r="CX73" s="499">
        <v>0</v>
      </c>
      <c r="CY73" s="499">
        <v>0</v>
      </c>
      <c r="CZ73" s="643">
        <v>683</v>
      </c>
      <c r="DA73" s="643">
        <v>1390</v>
      </c>
      <c r="DB73" s="782">
        <v>632</v>
      </c>
      <c r="DC73" s="609">
        <v>1096.83</v>
      </c>
      <c r="DD73" s="1153">
        <f t="shared" si="16"/>
        <v>2.0199999999999818</v>
      </c>
      <c r="DE73" s="1154">
        <f t="shared" si="17"/>
        <v>0</v>
      </c>
      <c r="DF73" s="1154">
        <f t="shared" si="18"/>
        <v>522</v>
      </c>
      <c r="DG73" s="1154">
        <f t="shared" si="19"/>
        <v>1140</v>
      </c>
      <c r="DH73" s="1155" t="str">
        <f t="shared" si="20"/>
        <v>Palm</v>
      </c>
      <c r="DI73" s="1146">
        <f t="shared" si="21"/>
        <v>758</v>
      </c>
      <c r="DJ73" s="1146">
        <f t="shared" si="22"/>
        <v>0</v>
      </c>
      <c r="DK73" s="1154">
        <f t="shared" si="23"/>
        <v>0</v>
      </c>
      <c r="DL73" s="615"/>
      <c r="DM73" s="643"/>
      <c r="DN73" s="615"/>
      <c r="DO73" s="499"/>
      <c r="DP73" s="499"/>
      <c r="DQ73" s="499"/>
      <c r="DR73" s="499"/>
      <c r="DS73" s="499"/>
      <c r="DT73" s="499"/>
      <c r="DU73" s="499"/>
      <c r="DV73" s="499"/>
      <c r="DW73" s="499"/>
      <c r="DX73" s="499"/>
      <c r="DY73" s="499"/>
      <c r="DZ73" s="499"/>
      <c r="EA73" s="499"/>
      <c r="EB73" s="499"/>
      <c r="EC73" s="499"/>
      <c r="ED73" s="499"/>
      <c r="EE73" s="499"/>
      <c r="EF73" s="499"/>
      <c r="EG73" s="1146">
        <f t="shared" si="30"/>
        <v>10.5</v>
      </c>
      <c r="EH73" s="630">
        <v>0</v>
      </c>
      <c r="EI73" s="642">
        <v>1</v>
      </c>
      <c r="EJ73" s="642">
        <v>3</v>
      </c>
      <c r="EK73" s="642">
        <v>6.5</v>
      </c>
      <c r="EL73" s="499"/>
      <c r="EM73" s="499"/>
      <c r="EN73" s="499"/>
      <c r="EO73" s="499"/>
      <c r="EP73" s="499"/>
      <c r="EQ73" s="499"/>
      <c r="ER73" s="499"/>
      <c r="ES73" s="388"/>
      <c r="ET73" s="388"/>
      <c r="EV73" s="1167">
        <f t="shared" si="32"/>
        <v>16.243500000000001</v>
      </c>
    </row>
    <row r="74" spans="1:152" s="350" customFormat="1" ht="15" x14ac:dyDescent="0.25">
      <c r="A74" s="632" t="s">
        <v>4</v>
      </c>
      <c r="B74" s="662">
        <v>42800</v>
      </c>
      <c r="C74" s="1132" t="s">
        <v>904</v>
      </c>
      <c r="D74" s="636">
        <v>0.24</v>
      </c>
      <c r="E74" s="636">
        <v>2</v>
      </c>
      <c r="F74" s="636">
        <v>32</v>
      </c>
      <c r="G74" s="739">
        <v>0.95</v>
      </c>
      <c r="H74" s="739">
        <v>1.69</v>
      </c>
      <c r="I74" s="739">
        <v>14.9</v>
      </c>
      <c r="J74" s="636">
        <v>0</v>
      </c>
      <c r="K74" s="739">
        <v>1.31</v>
      </c>
      <c r="L74" s="741">
        <v>0</v>
      </c>
      <c r="M74" s="739">
        <v>22</v>
      </c>
      <c r="N74" s="739">
        <v>1.32</v>
      </c>
      <c r="O74" s="739">
        <v>1.3209723783175564</v>
      </c>
      <c r="P74" s="739">
        <v>1.32</v>
      </c>
      <c r="Q74" s="739">
        <v>0.59730237085448101</v>
      </c>
      <c r="R74" s="782">
        <v>734.72005813953479</v>
      </c>
      <c r="S74" s="739">
        <v>8.2899999999999991</v>
      </c>
      <c r="T74" s="739">
        <v>8.2899999999999991</v>
      </c>
      <c r="U74" s="739">
        <v>0.79</v>
      </c>
      <c r="V74" s="739">
        <v>0.78</v>
      </c>
      <c r="W74" s="739">
        <v>41</v>
      </c>
      <c r="X74" s="644">
        <v>41.180000000000007</v>
      </c>
      <c r="Y74" s="739">
        <v>25.79</v>
      </c>
      <c r="Z74" s="739">
        <v>28.99</v>
      </c>
      <c r="AA74" s="739">
        <v>25.71</v>
      </c>
      <c r="AB74" s="739">
        <v>29</v>
      </c>
      <c r="AC74" s="1160">
        <f t="shared" si="13"/>
        <v>54.71</v>
      </c>
      <c r="AD74" s="1160">
        <f t="shared" si="14"/>
        <v>84.636369999999999</v>
      </c>
      <c r="AE74" s="1160">
        <f t="shared" si="15"/>
        <v>84.636369999999999</v>
      </c>
      <c r="AF74" s="542"/>
      <c r="AG74" s="1160">
        <f t="shared" si="31"/>
        <v>0</v>
      </c>
      <c r="AH74" s="656"/>
      <c r="AI74" s="351"/>
      <c r="AJ74" s="2"/>
      <c r="AK74" s="388"/>
      <c r="AL74" s="388"/>
      <c r="AM74" s="388"/>
      <c r="AN74" s="388"/>
      <c r="AO74" s="370"/>
      <c r="AP74" s="370"/>
      <c r="AQ74" s="386"/>
      <c r="AR74" s="551">
        <v>0</v>
      </c>
      <c r="AS74" s="386">
        <v>21.2</v>
      </c>
      <c r="AT74" s="386">
        <v>0</v>
      </c>
      <c r="AU74" s="386">
        <v>0</v>
      </c>
      <c r="AV74" s="636">
        <v>472.8</v>
      </c>
      <c r="AW74" s="636">
        <v>563.4</v>
      </c>
      <c r="AX74" s="386">
        <v>0</v>
      </c>
      <c r="AY74" s="551">
        <v>0</v>
      </c>
      <c r="AZ74" s="551">
        <v>0</v>
      </c>
      <c r="BA74" s="551">
        <v>0</v>
      </c>
      <c r="BB74" s="975">
        <v>0</v>
      </c>
      <c r="BC74" s="386">
        <v>0.5</v>
      </c>
      <c r="BD74" s="386">
        <v>1.5</v>
      </c>
      <c r="BE74" s="551">
        <v>0</v>
      </c>
      <c r="BF74" s="386">
        <v>1</v>
      </c>
      <c r="BG74" s="386">
        <v>0</v>
      </c>
      <c r="BH74" s="551">
        <v>0</v>
      </c>
      <c r="BI74" s="386">
        <v>1.02</v>
      </c>
      <c r="BJ74" s="386">
        <v>24.9</v>
      </c>
      <c r="BK74" s="386">
        <v>3.06</v>
      </c>
      <c r="BL74" s="386">
        <v>3.53</v>
      </c>
      <c r="BM74" s="386">
        <v>0</v>
      </c>
      <c r="BN74" s="386">
        <v>18.5</v>
      </c>
      <c r="BO74" s="386">
        <v>898.6</v>
      </c>
      <c r="BP74" s="386">
        <v>2</v>
      </c>
      <c r="BQ74" s="615">
        <v>20.3</v>
      </c>
      <c r="BR74" s="615">
        <v>21</v>
      </c>
      <c r="BS74" s="615">
        <v>14.18</v>
      </c>
      <c r="BT74" s="615">
        <v>7.5</v>
      </c>
      <c r="BU74" s="614">
        <v>23.7</v>
      </c>
      <c r="BV74" s="614">
        <v>25.9</v>
      </c>
      <c r="BW74" s="615">
        <v>568.4</v>
      </c>
      <c r="BX74" s="791"/>
      <c r="BY74" s="615">
        <v>0</v>
      </c>
      <c r="BZ74" s="615">
        <v>1.2</v>
      </c>
      <c r="CA74" s="615">
        <v>1.2</v>
      </c>
      <c r="CB74" s="615">
        <v>8.3000000000000007</v>
      </c>
      <c r="CC74" s="615">
        <v>8.3000000000000007</v>
      </c>
      <c r="CD74" s="499">
        <v>15.6</v>
      </c>
      <c r="CE74" s="499">
        <v>34.799999999999997</v>
      </c>
      <c r="CF74" s="499">
        <v>13</v>
      </c>
      <c r="CG74" s="499">
        <v>6.4</v>
      </c>
      <c r="CH74" s="499">
        <v>11.9</v>
      </c>
      <c r="CI74" s="499">
        <v>15.9</v>
      </c>
      <c r="CJ74" s="499">
        <v>12.7</v>
      </c>
      <c r="CK74" s="499">
        <v>410.1</v>
      </c>
      <c r="CL74" s="499">
        <v>2</v>
      </c>
      <c r="CM74" s="499">
        <v>2.7</v>
      </c>
      <c r="CN74" s="499">
        <v>145.5</v>
      </c>
      <c r="CO74" s="499">
        <v>507.2</v>
      </c>
      <c r="CP74" s="499">
        <v>458.6</v>
      </c>
      <c r="CQ74" s="499">
        <v>12.1</v>
      </c>
      <c r="CR74" s="615">
        <v>0.67</v>
      </c>
      <c r="CS74" s="386">
        <v>0</v>
      </c>
      <c r="CT74" s="386">
        <v>16.11</v>
      </c>
      <c r="CU74" s="386">
        <v>42</v>
      </c>
      <c r="CV74" s="499">
        <v>0</v>
      </c>
      <c r="CW74" s="499">
        <v>0</v>
      </c>
      <c r="CX74" s="499">
        <v>0</v>
      </c>
      <c r="CY74" s="499">
        <v>0</v>
      </c>
      <c r="CZ74" s="643">
        <v>687</v>
      </c>
      <c r="DA74" s="643">
        <v>1370</v>
      </c>
      <c r="DB74" s="782">
        <v>620</v>
      </c>
      <c r="DC74" s="609">
        <v>1098.21</v>
      </c>
      <c r="DD74" s="1153">
        <f t="shared" si="16"/>
        <v>1.3800000000001091</v>
      </c>
      <c r="DE74" s="1154">
        <f t="shared" si="17"/>
        <v>0</v>
      </c>
      <c r="DF74" s="1154">
        <f t="shared" si="18"/>
        <v>510</v>
      </c>
      <c r="DG74" s="1154">
        <f t="shared" si="19"/>
        <v>1120</v>
      </c>
      <c r="DH74" s="1155" t="str">
        <f t="shared" si="20"/>
        <v>Palm</v>
      </c>
      <c r="DI74" s="1146">
        <f t="shared" si="21"/>
        <v>750</v>
      </c>
      <c r="DJ74" s="1146">
        <f t="shared" si="22"/>
        <v>0</v>
      </c>
      <c r="DK74" s="1154">
        <f t="shared" si="23"/>
        <v>0</v>
      </c>
      <c r="DL74" s="615"/>
      <c r="DM74" s="643"/>
      <c r="DN74" s="615"/>
      <c r="DO74" s="499"/>
      <c r="DP74" s="499"/>
      <c r="DQ74" s="499"/>
      <c r="DR74" s="499"/>
      <c r="DS74" s="499"/>
      <c r="DT74" s="499"/>
      <c r="DU74" s="499"/>
      <c r="DV74" s="499"/>
      <c r="DW74" s="499"/>
      <c r="DX74" s="499"/>
      <c r="DY74" s="499"/>
      <c r="DZ74" s="499"/>
      <c r="EA74" s="499"/>
      <c r="EB74" s="499"/>
      <c r="EC74" s="499"/>
      <c r="ED74" s="499"/>
      <c r="EE74" s="499"/>
      <c r="EF74" s="499"/>
      <c r="EG74" s="1146">
        <f t="shared" si="30"/>
        <v>10.5</v>
      </c>
      <c r="EH74" s="630">
        <v>0</v>
      </c>
      <c r="EI74" s="642">
        <v>1</v>
      </c>
      <c r="EJ74" s="642">
        <v>3</v>
      </c>
      <c r="EK74" s="642">
        <v>6.5</v>
      </c>
      <c r="EL74" s="499"/>
      <c r="EM74" s="499"/>
      <c r="EN74" s="499"/>
      <c r="EO74" s="499"/>
      <c r="EP74" s="499"/>
      <c r="EQ74" s="499"/>
      <c r="ER74" s="499"/>
      <c r="ES74" s="388"/>
      <c r="ET74" s="388"/>
      <c r="EV74" s="1167">
        <f t="shared" si="32"/>
        <v>16.243500000000001</v>
      </c>
    </row>
    <row r="75" spans="1:152" s="350" customFormat="1" ht="15" x14ac:dyDescent="0.25">
      <c r="A75" s="632" t="s">
        <v>5</v>
      </c>
      <c r="B75" s="662">
        <v>42801</v>
      </c>
      <c r="C75" s="1132" t="s">
        <v>904</v>
      </c>
      <c r="D75" s="636">
        <v>0.27</v>
      </c>
      <c r="E75" s="636">
        <v>2</v>
      </c>
      <c r="F75" s="636">
        <v>37</v>
      </c>
      <c r="G75" s="739">
        <v>0.85</v>
      </c>
      <c r="H75" s="739">
        <v>4.63</v>
      </c>
      <c r="I75" s="739">
        <v>15.5</v>
      </c>
      <c r="J75" s="636">
        <v>0</v>
      </c>
      <c r="K75" s="739">
        <v>4.88</v>
      </c>
      <c r="L75" s="741">
        <v>0</v>
      </c>
      <c r="M75" s="739">
        <v>21.9</v>
      </c>
      <c r="N75" s="739">
        <v>1.3</v>
      </c>
      <c r="O75" s="739">
        <v>1.3109868535229401</v>
      </c>
      <c r="P75" s="739">
        <v>1.3</v>
      </c>
      <c r="Q75" s="739">
        <v>0.59515444503786452</v>
      </c>
      <c r="R75" s="782">
        <v>726.05276162790688</v>
      </c>
      <c r="S75" s="739">
        <v>8.23</v>
      </c>
      <c r="T75" s="739">
        <v>8.27</v>
      </c>
      <c r="U75" s="739">
        <v>0.76</v>
      </c>
      <c r="V75" s="739">
        <v>0.79</v>
      </c>
      <c r="W75" s="739">
        <v>40.460000000000008</v>
      </c>
      <c r="X75" s="644">
        <v>40.64</v>
      </c>
      <c r="Y75" s="739">
        <v>25.71</v>
      </c>
      <c r="Z75" s="739">
        <v>29</v>
      </c>
      <c r="AA75" s="739">
        <v>25.79</v>
      </c>
      <c r="AB75" s="739">
        <v>28.93</v>
      </c>
      <c r="AC75" s="1160">
        <f t="shared" si="13"/>
        <v>54.72</v>
      </c>
      <c r="AD75" s="1160">
        <f t="shared" si="14"/>
        <v>84.651839999999993</v>
      </c>
      <c r="AE75" s="1160">
        <f t="shared" si="15"/>
        <v>84.651839999999993</v>
      </c>
      <c r="AF75" s="542"/>
      <c r="AG75" s="1160">
        <f t="shared" si="31"/>
        <v>0</v>
      </c>
      <c r="AH75" s="656"/>
      <c r="AI75" s="351"/>
      <c r="AJ75" s="2"/>
      <c r="AK75" s="388"/>
      <c r="AL75" s="388"/>
      <c r="AM75" s="388"/>
      <c r="AN75" s="388"/>
      <c r="AO75" s="370"/>
      <c r="AP75" s="370"/>
      <c r="AQ75" s="386"/>
      <c r="AR75" s="551">
        <v>0</v>
      </c>
      <c r="AS75" s="386">
        <v>10.6</v>
      </c>
      <c r="AT75" s="386">
        <v>0</v>
      </c>
      <c r="AU75" s="386">
        <v>0</v>
      </c>
      <c r="AV75" s="636">
        <v>316.8</v>
      </c>
      <c r="AW75" s="636">
        <v>309.10000000000002</v>
      </c>
      <c r="AX75" s="386">
        <v>0</v>
      </c>
      <c r="AY75" s="551">
        <v>0</v>
      </c>
      <c r="AZ75" s="551">
        <v>0</v>
      </c>
      <c r="BA75" s="551">
        <v>0</v>
      </c>
      <c r="BB75" s="975">
        <v>0</v>
      </c>
      <c r="BC75" s="386">
        <v>0.51</v>
      </c>
      <c r="BD75" s="386">
        <v>1.5</v>
      </c>
      <c r="BE75" s="551">
        <v>0</v>
      </c>
      <c r="BF75" s="386">
        <v>1</v>
      </c>
      <c r="BG75" s="386">
        <v>0</v>
      </c>
      <c r="BH75" s="551">
        <v>0</v>
      </c>
      <c r="BI75" s="386">
        <v>1.02</v>
      </c>
      <c r="BJ75" s="386">
        <v>25</v>
      </c>
      <c r="BK75" s="386">
        <v>3.02</v>
      </c>
      <c r="BL75" s="386">
        <v>3.53</v>
      </c>
      <c r="BM75" s="386">
        <v>0</v>
      </c>
      <c r="BN75" s="386">
        <v>18.5</v>
      </c>
      <c r="BO75" s="386">
        <v>906.9</v>
      </c>
      <c r="BP75" s="386">
        <v>2</v>
      </c>
      <c r="BQ75" s="615">
        <v>20.5</v>
      </c>
      <c r="BR75" s="615">
        <v>21.2</v>
      </c>
      <c r="BS75" s="615">
        <v>14.5</v>
      </c>
      <c r="BT75" s="615">
        <v>7.7</v>
      </c>
      <c r="BU75" s="614">
        <v>24.3</v>
      </c>
      <c r="BV75" s="614">
        <v>28.4</v>
      </c>
      <c r="BW75" s="615">
        <v>557.29999999999995</v>
      </c>
      <c r="BX75" s="791"/>
      <c r="BY75" s="615">
        <v>0</v>
      </c>
      <c r="BZ75" s="615">
        <v>1.2</v>
      </c>
      <c r="CA75" s="615">
        <v>1.2</v>
      </c>
      <c r="CB75" s="615">
        <v>8.3000000000000007</v>
      </c>
      <c r="CC75" s="615">
        <v>8.3000000000000007</v>
      </c>
      <c r="CD75" s="499">
        <v>15.6</v>
      </c>
      <c r="CE75" s="499">
        <v>34.700000000000003</v>
      </c>
      <c r="CF75" s="499">
        <v>15.5</v>
      </c>
      <c r="CG75" s="499">
        <v>6.1</v>
      </c>
      <c r="CH75" s="499">
        <v>11.5</v>
      </c>
      <c r="CI75" s="499">
        <v>15.6</v>
      </c>
      <c r="CJ75" s="499">
        <v>12.9</v>
      </c>
      <c r="CK75" s="499">
        <v>498.7</v>
      </c>
      <c r="CL75" s="499">
        <v>2</v>
      </c>
      <c r="CM75" s="499">
        <v>1.9</v>
      </c>
      <c r="CN75" s="499">
        <v>152.19999999999999</v>
      </c>
      <c r="CO75" s="499">
        <v>502.8</v>
      </c>
      <c r="CP75" s="499">
        <v>445.9</v>
      </c>
      <c r="CQ75" s="499">
        <v>11.9</v>
      </c>
      <c r="CR75" s="615">
        <v>0.59</v>
      </c>
      <c r="CS75" s="386">
        <v>0</v>
      </c>
      <c r="CT75" s="386">
        <v>15.154999999999999</v>
      </c>
      <c r="CU75" s="386">
        <v>42</v>
      </c>
      <c r="CV75" s="499">
        <v>0</v>
      </c>
      <c r="CW75" s="499">
        <v>0</v>
      </c>
      <c r="CX75" s="499">
        <v>0</v>
      </c>
      <c r="CY75" s="499">
        <v>0</v>
      </c>
      <c r="CZ75" s="643">
        <v>696</v>
      </c>
      <c r="DA75" s="643">
        <v>1650</v>
      </c>
      <c r="DB75" s="782">
        <v>636</v>
      </c>
      <c r="DC75" s="609">
        <v>1099.24</v>
      </c>
      <c r="DD75" s="1153">
        <f t="shared" si="16"/>
        <v>1.0299999999999727</v>
      </c>
      <c r="DE75" s="1154">
        <f t="shared" si="17"/>
        <v>0</v>
      </c>
      <c r="DF75" s="1154">
        <f t="shared" si="18"/>
        <v>526</v>
      </c>
      <c r="DG75" s="1154">
        <f t="shared" si="19"/>
        <v>1400</v>
      </c>
      <c r="DH75" s="1155" t="str">
        <f t="shared" si="20"/>
        <v>Palm</v>
      </c>
      <c r="DI75" s="1146">
        <f t="shared" si="21"/>
        <v>1014</v>
      </c>
      <c r="DJ75" s="1146">
        <f t="shared" si="22"/>
        <v>0</v>
      </c>
      <c r="DK75" s="1154">
        <f t="shared" si="23"/>
        <v>0</v>
      </c>
      <c r="DL75" s="615"/>
      <c r="DM75" s="643"/>
      <c r="DN75" s="615"/>
      <c r="DO75" s="499"/>
      <c r="DP75" s="499"/>
      <c r="DQ75" s="499"/>
      <c r="DR75" s="499"/>
      <c r="DS75" s="499"/>
      <c r="DT75" s="499"/>
      <c r="DU75" s="499"/>
      <c r="DV75" s="499"/>
      <c r="DW75" s="499"/>
      <c r="DX75" s="499"/>
      <c r="DY75" s="499"/>
      <c r="DZ75" s="499"/>
      <c r="EA75" s="499"/>
      <c r="EB75" s="499"/>
      <c r="EC75" s="499"/>
      <c r="ED75" s="499"/>
      <c r="EE75" s="499"/>
      <c r="EF75" s="499"/>
      <c r="EG75" s="1146">
        <f t="shared" si="30"/>
        <v>10.5</v>
      </c>
      <c r="EH75" s="630">
        <v>0</v>
      </c>
      <c r="EI75" s="642">
        <v>1</v>
      </c>
      <c r="EJ75" s="642">
        <v>3</v>
      </c>
      <c r="EK75" s="642">
        <v>6.5</v>
      </c>
      <c r="EL75" s="499"/>
      <c r="EM75" s="499"/>
      <c r="EN75" s="499"/>
      <c r="EO75" s="499"/>
      <c r="EP75" s="499"/>
      <c r="EQ75" s="499"/>
      <c r="ER75" s="499"/>
      <c r="ES75" s="388"/>
      <c r="ET75" s="388"/>
      <c r="EV75" s="1167">
        <f t="shared" si="32"/>
        <v>16.243500000000001</v>
      </c>
    </row>
    <row r="76" spans="1:152" s="350" customFormat="1" ht="15" x14ac:dyDescent="0.25">
      <c r="A76" s="632" t="s">
        <v>6</v>
      </c>
      <c r="B76" s="662">
        <v>42802</v>
      </c>
      <c r="C76" s="1132" t="s">
        <v>904</v>
      </c>
      <c r="D76" s="636">
        <v>0.49</v>
      </c>
      <c r="E76" s="636">
        <v>0</v>
      </c>
      <c r="F76" s="636">
        <v>33</v>
      </c>
      <c r="G76" s="739">
        <v>0.9</v>
      </c>
      <c r="H76" s="739">
        <v>2.74</v>
      </c>
      <c r="I76" s="739">
        <v>13.3</v>
      </c>
      <c r="J76" s="636">
        <v>0</v>
      </c>
      <c r="K76" s="739">
        <v>3.62</v>
      </c>
      <c r="L76" s="741">
        <v>0</v>
      </c>
      <c r="M76" s="739">
        <v>21.8</v>
      </c>
      <c r="N76" s="739">
        <v>1.31</v>
      </c>
      <c r="O76" s="739">
        <v>1.3088225651338363</v>
      </c>
      <c r="P76" s="739">
        <v>1.31</v>
      </c>
      <c r="Q76" s="739">
        <v>0.59078100795447275</v>
      </c>
      <c r="R76" s="782">
        <v>717.71882267441867</v>
      </c>
      <c r="S76" s="739">
        <v>8.17</v>
      </c>
      <c r="T76" s="739">
        <v>8.17</v>
      </c>
      <c r="U76" s="739">
        <v>0.79</v>
      </c>
      <c r="V76" s="739">
        <v>0.82</v>
      </c>
      <c r="W76" s="739">
        <v>39.56</v>
      </c>
      <c r="X76" s="644">
        <v>39.739999999999995</v>
      </c>
      <c r="Y76" s="739">
        <v>25.79</v>
      </c>
      <c r="Z76" s="739">
        <v>28.93</v>
      </c>
      <c r="AA76" s="739">
        <v>25.7</v>
      </c>
      <c r="AB76" s="739">
        <v>28.47</v>
      </c>
      <c r="AC76" s="1160">
        <f t="shared" ref="AC76:AC139" si="33">AA76+AB76</f>
        <v>54.17</v>
      </c>
      <c r="AD76" s="1160">
        <f t="shared" ref="AD76:AD139" si="34">AC76*1.547</f>
        <v>83.800989999999999</v>
      </c>
      <c r="AE76" s="1160">
        <f t="shared" ref="AE76:AE139" si="35">AD76-(L76*1.547)</f>
        <v>83.800989999999999</v>
      </c>
      <c r="AF76" s="542"/>
      <c r="AG76" s="1160">
        <f t="shared" si="31"/>
        <v>0</v>
      </c>
      <c r="AH76" s="656"/>
      <c r="AI76" s="351"/>
      <c r="AJ76" s="2"/>
      <c r="AK76" s="388"/>
      <c r="AL76" s="388"/>
      <c r="AM76" s="388"/>
      <c r="AN76" s="388"/>
      <c r="AO76" s="370"/>
      <c r="AP76" s="370"/>
      <c r="AQ76" s="386"/>
      <c r="AR76" s="551">
        <v>0</v>
      </c>
      <c r="AS76" s="386">
        <v>22.1</v>
      </c>
      <c r="AT76" s="386">
        <v>0</v>
      </c>
      <c r="AU76" s="386">
        <v>0</v>
      </c>
      <c r="AV76" s="636">
        <v>410.3</v>
      </c>
      <c r="AW76" s="636">
        <v>510.6</v>
      </c>
      <c r="AX76" s="386">
        <v>0</v>
      </c>
      <c r="AY76" s="551">
        <v>0</v>
      </c>
      <c r="AZ76" s="551">
        <v>0</v>
      </c>
      <c r="BA76" s="551">
        <v>0</v>
      </c>
      <c r="BB76" s="975">
        <v>0</v>
      </c>
      <c r="BC76" s="386">
        <v>0.51</v>
      </c>
      <c r="BD76" s="386">
        <v>1.5</v>
      </c>
      <c r="BE76" s="551">
        <v>0</v>
      </c>
      <c r="BF76" s="386">
        <v>1</v>
      </c>
      <c r="BG76" s="386">
        <v>0</v>
      </c>
      <c r="BH76" s="551">
        <v>0</v>
      </c>
      <c r="BI76" s="386">
        <v>1.02</v>
      </c>
      <c r="BJ76" s="386">
        <v>24.4</v>
      </c>
      <c r="BK76" s="386">
        <v>2.72</v>
      </c>
      <c r="BL76" s="386">
        <v>3.77</v>
      </c>
      <c r="BM76" s="386">
        <v>0</v>
      </c>
      <c r="BN76" s="386">
        <v>18.100000000000001</v>
      </c>
      <c r="BO76" s="386">
        <v>914.8</v>
      </c>
      <c r="BP76" s="386">
        <v>2</v>
      </c>
      <c r="BQ76" s="615">
        <v>20.8</v>
      </c>
      <c r="BR76" s="615">
        <v>21.5</v>
      </c>
      <c r="BS76" s="615">
        <v>14.1</v>
      </c>
      <c r="BT76" s="615">
        <v>7.5</v>
      </c>
      <c r="BU76" s="614">
        <v>23.7</v>
      </c>
      <c r="BV76" s="614">
        <v>26.8</v>
      </c>
      <c r="BW76" s="615">
        <v>437.6</v>
      </c>
      <c r="BX76" s="791"/>
      <c r="BY76" s="615">
        <v>0</v>
      </c>
      <c r="BZ76" s="615">
        <v>1.2</v>
      </c>
      <c r="CA76" s="615">
        <v>1.2</v>
      </c>
      <c r="CB76" s="615">
        <v>8.1999999999999993</v>
      </c>
      <c r="CC76" s="615">
        <v>8.3000000000000007</v>
      </c>
      <c r="CD76" s="615">
        <v>15.4</v>
      </c>
      <c r="CE76" s="615">
        <v>34.700000000000003</v>
      </c>
      <c r="CF76" s="615">
        <v>14.2</v>
      </c>
      <c r="CG76" s="615">
        <v>5.6</v>
      </c>
      <c r="CH76" s="615">
        <v>11</v>
      </c>
      <c r="CI76" s="615">
        <v>15.1</v>
      </c>
      <c r="CJ76" s="615">
        <v>12.7</v>
      </c>
      <c r="CK76" s="615">
        <v>500.8</v>
      </c>
      <c r="CL76" s="615">
        <v>2</v>
      </c>
      <c r="CM76" s="615">
        <v>2.1</v>
      </c>
      <c r="CN76" s="615">
        <v>167.3</v>
      </c>
      <c r="CO76" s="615">
        <v>501.6</v>
      </c>
      <c r="CP76" s="615">
        <v>444.2</v>
      </c>
      <c r="CQ76" s="615">
        <v>12</v>
      </c>
      <c r="CR76" s="615">
        <v>0.59</v>
      </c>
      <c r="CS76" s="386">
        <v>0</v>
      </c>
      <c r="CT76" s="386">
        <v>15.417999999999999</v>
      </c>
      <c r="CU76" s="386">
        <v>41</v>
      </c>
      <c r="CV76" s="499">
        <v>0</v>
      </c>
      <c r="CW76" s="499">
        <v>0</v>
      </c>
      <c r="CX76" s="499">
        <v>0</v>
      </c>
      <c r="CY76" s="499">
        <v>0</v>
      </c>
      <c r="CZ76" s="643">
        <v>700</v>
      </c>
      <c r="DA76" s="643">
        <v>1580</v>
      </c>
      <c r="DB76" s="782">
        <v>636</v>
      </c>
      <c r="DC76" s="609">
        <v>1100.07</v>
      </c>
      <c r="DD76" s="1153">
        <f t="shared" si="16"/>
        <v>0.82999999999992724</v>
      </c>
      <c r="DE76" s="1154">
        <f t="shared" si="17"/>
        <v>0</v>
      </c>
      <c r="DF76" s="1154">
        <f t="shared" si="18"/>
        <v>526</v>
      </c>
      <c r="DG76" s="1154">
        <f t="shared" si="19"/>
        <v>1330</v>
      </c>
      <c r="DH76" s="1155" t="str">
        <f t="shared" si="20"/>
        <v>Palm</v>
      </c>
      <c r="DI76" s="1146">
        <f t="shared" si="21"/>
        <v>944</v>
      </c>
      <c r="DJ76" s="1146">
        <f t="shared" si="22"/>
        <v>0</v>
      </c>
      <c r="DK76" s="1154">
        <f t="shared" si="23"/>
        <v>0</v>
      </c>
      <c r="DL76" s="615"/>
      <c r="DM76" s="643"/>
      <c r="DN76" s="615"/>
      <c r="DO76" s="499"/>
      <c r="DP76" s="499"/>
      <c r="DQ76" s="499"/>
      <c r="DR76" s="499"/>
      <c r="DS76" s="499"/>
      <c r="DT76" s="499"/>
      <c r="DU76" s="499"/>
      <c r="DV76" s="499"/>
      <c r="DW76" s="499"/>
      <c r="DX76" s="499"/>
      <c r="DY76" s="499"/>
      <c r="DZ76" s="499"/>
      <c r="EA76" s="499"/>
      <c r="EB76" s="499"/>
      <c r="EC76" s="499"/>
      <c r="ED76" s="499"/>
      <c r="EE76" s="499"/>
      <c r="EF76" s="499"/>
      <c r="EG76" s="1146">
        <f t="shared" si="30"/>
        <v>10.5</v>
      </c>
      <c r="EH76" s="630">
        <v>0</v>
      </c>
      <c r="EI76" s="642">
        <v>1</v>
      </c>
      <c r="EJ76" s="642">
        <v>3</v>
      </c>
      <c r="EK76" s="642">
        <v>6.5</v>
      </c>
      <c r="EL76" s="499"/>
      <c r="EM76" s="499"/>
      <c r="EN76" s="499"/>
      <c r="EO76" s="499"/>
      <c r="EP76" s="499"/>
      <c r="EQ76" s="499"/>
      <c r="ER76" s="499"/>
      <c r="ES76" s="388"/>
      <c r="ET76" s="388"/>
      <c r="EV76" s="1167">
        <f t="shared" si="32"/>
        <v>16.243500000000001</v>
      </c>
    </row>
    <row r="77" spans="1:152" s="350" customFormat="1" ht="15" x14ac:dyDescent="0.25">
      <c r="A77" s="632" t="s">
        <v>7</v>
      </c>
      <c r="B77" s="662">
        <v>42803</v>
      </c>
      <c r="C77" s="1132" t="s">
        <v>904</v>
      </c>
      <c r="D77" s="636">
        <v>1.1000000000000001</v>
      </c>
      <c r="E77" s="636">
        <v>0</v>
      </c>
      <c r="F77" s="636">
        <v>40.299999999999997</v>
      </c>
      <c r="G77" s="739">
        <v>1.2</v>
      </c>
      <c r="H77" s="739">
        <v>4.46</v>
      </c>
      <c r="I77" s="739">
        <v>13.4</v>
      </c>
      <c r="J77" s="636">
        <v>0</v>
      </c>
      <c r="K77" s="739">
        <v>4.9000000000000004</v>
      </c>
      <c r="L77" s="741">
        <v>0</v>
      </c>
      <c r="M77" s="739">
        <v>21.9</v>
      </c>
      <c r="N77" s="739">
        <v>1.24</v>
      </c>
      <c r="O77" s="739">
        <v>1.3186600221483944</v>
      </c>
      <c r="P77" s="739">
        <v>1.32</v>
      </c>
      <c r="Q77" s="739">
        <v>0.5927700624429012</v>
      </c>
      <c r="R77" s="782">
        <v>711.38502906976748</v>
      </c>
      <c r="S77" s="739">
        <v>8.3000000000000007</v>
      </c>
      <c r="T77" s="739">
        <v>8.33</v>
      </c>
      <c r="U77" s="739">
        <v>0.76</v>
      </c>
      <c r="V77" s="739">
        <v>0.83</v>
      </c>
      <c r="W77" s="739">
        <v>39.200000000000003</v>
      </c>
      <c r="X77" s="644">
        <v>39.38000000000001</v>
      </c>
      <c r="Y77" s="739">
        <v>25.7</v>
      </c>
      <c r="Z77" s="739">
        <v>28.47</v>
      </c>
      <c r="AA77" s="739">
        <v>25.8</v>
      </c>
      <c r="AB77" s="739">
        <v>27.7</v>
      </c>
      <c r="AC77" s="1160">
        <f t="shared" si="33"/>
        <v>53.5</v>
      </c>
      <c r="AD77" s="1160">
        <f t="shared" si="34"/>
        <v>82.764499999999998</v>
      </c>
      <c r="AE77" s="1160">
        <f t="shared" si="35"/>
        <v>82.764499999999998</v>
      </c>
      <c r="AF77" s="542"/>
      <c r="AG77" s="1160">
        <f t="shared" si="31"/>
        <v>0</v>
      </c>
      <c r="AH77" s="656"/>
      <c r="AI77" s="351"/>
      <c r="AJ77" s="2"/>
      <c r="AK77" s="388"/>
      <c r="AL77" s="388"/>
      <c r="AM77" s="388"/>
      <c r="AN77" s="388"/>
      <c r="AO77" s="370"/>
      <c r="AP77" s="370"/>
      <c r="AQ77" s="386"/>
      <c r="AR77" s="551">
        <v>0</v>
      </c>
      <c r="AS77" s="386">
        <v>10.4</v>
      </c>
      <c r="AT77" s="386">
        <v>0</v>
      </c>
      <c r="AU77" s="386">
        <v>0</v>
      </c>
      <c r="AV77" s="636">
        <v>217.3</v>
      </c>
      <c r="AW77" s="636">
        <v>327.39999999999998</v>
      </c>
      <c r="AX77" s="386">
        <v>0</v>
      </c>
      <c r="AY77" s="551">
        <v>0</v>
      </c>
      <c r="AZ77" s="551">
        <v>0</v>
      </c>
      <c r="BA77" s="551">
        <v>0</v>
      </c>
      <c r="BB77" s="975">
        <v>0</v>
      </c>
      <c r="BC77" s="386">
        <v>0.51</v>
      </c>
      <c r="BD77" s="386">
        <v>1.5</v>
      </c>
      <c r="BE77" s="551">
        <v>0</v>
      </c>
      <c r="BF77" s="386">
        <v>1</v>
      </c>
      <c r="BG77" s="386">
        <v>0</v>
      </c>
      <c r="BH77" s="551">
        <v>0</v>
      </c>
      <c r="BI77" s="386">
        <v>1.02</v>
      </c>
      <c r="BJ77" s="386">
        <v>23.7</v>
      </c>
      <c r="BK77" s="386">
        <v>2.74</v>
      </c>
      <c r="BL77" s="386">
        <v>3.69</v>
      </c>
      <c r="BM77" s="386">
        <v>0</v>
      </c>
      <c r="BN77" s="386">
        <v>17.399999999999999</v>
      </c>
      <c r="BO77" s="386">
        <v>965.2</v>
      </c>
      <c r="BP77" s="386">
        <v>2</v>
      </c>
      <c r="BQ77" s="615">
        <v>20.8</v>
      </c>
      <c r="BR77" s="615">
        <v>21.5</v>
      </c>
      <c r="BS77" s="615">
        <v>14.5</v>
      </c>
      <c r="BT77" s="615">
        <v>7.7</v>
      </c>
      <c r="BU77" s="614">
        <v>24.3</v>
      </c>
      <c r="BV77" s="614">
        <v>28.6</v>
      </c>
      <c r="BW77" s="615">
        <v>510.1</v>
      </c>
      <c r="BX77" s="791"/>
      <c r="BY77" s="615">
        <v>0</v>
      </c>
      <c r="BZ77" s="615">
        <v>1.3</v>
      </c>
      <c r="CA77" s="615">
        <v>1.2</v>
      </c>
      <c r="CB77" s="615">
        <v>8.3000000000000007</v>
      </c>
      <c r="CC77" s="615">
        <v>8.3000000000000007</v>
      </c>
      <c r="CD77" s="615">
        <v>15.3</v>
      </c>
      <c r="CE77" s="615">
        <v>34.6</v>
      </c>
      <c r="CF77" s="615">
        <v>12.6</v>
      </c>
      <c r="CG77" s="615">
        <v>5.5</v>
      </c>
      <c r="CH77" s="615">
        <v>10.9</v>
      </c>
      <c r="CI77" s="615">
        <v>14.8</v>
      </c>
      <c r="CJ77" s="615">
        <v>12.8</v>
      </c>
      <c r="CK77" s="615">
        <v>513</v>
      </c>
      <c r="CL77" s="615">
        <v>1.9</v>
      </c>
      <c r="CM77" s="615">
        <v>2</v>
      </c>
      <c r="CN77" s="615">
        <v>155.80000000000001</v>
      </c>
      <c r="CO77" s="615">
        <v>551.6</v>
      </c>
      <c r="CP77" s="615">
        <v>442.4</v>
      </c>
      <c r="CQ77" s="615">
        <v>12.2</v>
      </c>
      <c r="CR77" s="615">
        <v>0.66</v>
      </c>
      <c r="CS77" s="386">
        <v>0</v>
      </c>
      <c r="CT77" s="386">
        <v>15.795</v>
      </c>
      <c r="CU77" s="386">
        <v>41</v>
      </c>
      <c r="CV77" s="499">
        <v>0</v>
      </c>
      <c r="CW77" s="499">
        <v>0</v>
      </c>
      <c r="CX77" s="499">
        <v>0</v>
      </c>
      <c r="CY77" s="499">
        <v>0</v>
      </c>
      <c r="CZ77" s="1130">
        <v>911</v>
      </c>
      <c r="DA77" s="643">
        <v>2010</v>
      </c>
      <c r="DB77" s="782">
        <v>920</v>
      </c>
      <c r="DC77" s="609">
        <v>1100.93</v>
      </c>
      <c r="DD77" s="1153">
        <f t="shared" si="16"/>
        <v>0.86000000000012733</v>
      </c>
      <c r="DE77" s="1154">
        <f t="shared" si="17"/>
        <v>0</v>
      </c>
      <c r="DF77" s="1154">
        <f t="shared" si="18"/>
        <v>810</v>
      </c>
      <c r="DG77" s="1154">
        <f t="shared" si="19"/>
        <v>1760</v>
      </c>
      <c r="DH77" s="1155" t="str">
        <f t="shared" si="20"/>
        <v>Palm</v>
      </c>
      <c r="DI77" s="1146">
        <f t="shared" si="21"/>
        <v>1090</v>
      </c>
      <c r="DJ77" s="1146">
        <f t="shared" si="22"/>
        <v>0</v>
      </c>
      <c r="DK77" s="1154">
        <f t="shared" si="23"/>
        <v>0</v>
      </c>
      <c r="DL77" s="615"/>
      <c r="DM77" s="643"/>
      <c r="DN77" s="615"/>
      <c r="DO77" s="499"/>
      <c r="DP77" s="499"/>
      <c r="DQ77" s="499"/>
      <c r="DR77" s="499"/>
      <c r="DS77" s="499"/>
      <c r="DT77" s="499"/>
      <c r="DU77" s="499"/>
      <c r="DV77" s="499"/>
      <c r="DW77" s="499"/>
      <c r="DX77" s="499"/>
      <c r="DY77" s="499"/>
      <c r="DZ77" s="499"/>
      <c r="EA77" s="499"/>
      <c r="EB77" s="499"/>
      <c r="EC77" s="499"/>
      <c r="ED77" s="499"/>
      <c r="EE77" s="499"/>
      <c r="EF77" s="499"/>
      <c r="EG77" s="1146">
        <f t="shared" si="30"/>
        <v>10.5</v>
      </c>
      <c r="EH77" s="630">
        <v>0</v>
      </c>
      <c r="EI77" s="642">
        <v>1</v>
      </c>
      <c r="EJ77" s="642">
        <v>3</v>
      </c>
      <c r="EK77" s="642">
        <v>6.5</v>
      </c>
      <c r="EL77" s="499"/>
      <c r="EM77" s="499"/>
      <c r="EN77" s="499"/>
      <c r="EO77" s="499"/>
      <c r="EP77" s="499"/>
      <c r="EQ77" s="499"/>
      <c r="ER77" s="499"/>
      <c r="ES77" s="388"/>
      <c r="ET77" s="388"/>
      <c r="EV77" s="1167">
        <f t="shared" si="32"/>
        <v>16.243500000000001</v>
      </c>
    </row>
    <row r="78" spans="1:152" s="350" customFormat="1" ht="15" x14ac:dyDescent="0.25">
      <c r="A78" s="632" t="s">
        <v>8</v>
      </c>
      <c r="B78" s="662">
        <v>42804</v>
      </c>
      <c r="C78" s="1132" t="s">
        <v>904</v>
      </c>
      <c r="D78" s="636">
        <v>0.31</v>
      </c>
      <c r="E78" s="636">
        <v>0</v>
      </c>
      <c r="F78" s="636">
        <v>41</v>
      </c>
      <c r="G78" s="739">
        <v>2.0499999999999998</v>
      </c>
      <c r="H78" s="739">
        <v>5.14</v>
      </c>
      <c r="I78" s="739">
        <v>13.6</v>
      </c>
      <c r="J78" s="636">
        <v>0</v>
      </c>
      <c r="K78" s="739">
        <v>2.96</v>
      </c>
      <c r="L78" s="741">
        <v>0</v>
      </c>
      <c r="M78" s="739">
        <v>22.9</v>
      </c>
      <c r="N78" s="739">
        <v>1.25</v>
      </c>
      <c r="O78" s="739">
        <v>1.3158708560119494</v>
      </c>
      <c r="P78" s="739">
        <v>1.28</v>
      </c>
      <c r="Q78" s="739">
        <v>0.59486459709392236</v>
      </c>
      <c r="R78" s="782">
        <v>698.38408430232562</v>
      </c>
      <c r="S78" s="739">
        <v>8.2899999999999991</v>
      </c>
      <c r="T78" s="739">
        <v>8.2899999999999991</v>
      </c>
      <c r="U78" s="739">
        <v>0.78</v>
      </c>
      <c r="V78" s="739">
        <v>0.85</v>
      </c>
      <c r="W78" s="739">
        <v>39.200000000000003</v>
      </c>
      <c r="X78" s="644">
        <v>39.38000000000001</v>
      </c>
      <c r="Y78" s="739">
        <v>25.8</v>
      </c>
      <c r="Z78" s="739">
        <v>27.6</v>
      </c>
      <c r="AA78" s="739">
        <v>25.7</v>
      </c>
      <c r="AB78" s="739">
        <v>27</v>
      </c>
      <c r="AC78" s="1160">
        <f t="shared" si="33"/>
        <v>52.7</v>
      </c>
      <c r="AD78" s="1160">
        <f t="shared" si="34"/>
        <v>81.526899999999998</v>
      </c>
      <c r="AE78" s="1160">
        <f t="shared" si="35"/>
        <v>81.526899999999998</v>
      </c>
      <c r="AF78" s="542"/>
      <c r="AG78" s="1160">
        <f t="shared" si="31"/>
        <v>0</v>
      </c>
      <c r="AH78" s="656"/>
      <c r="AI78" s="351"/>
      <c r="AJ78" s="2"/>
      <c r="AK78" s="388"/>
      <c r="AL78" s="388"/>
      <c r="AM78" s="388"/>
      <c r="AN78" s="388"/>
      <c r="AO78" s="370"/>
      <c r="AP78" s="370"/>
      <c r="AQ78" s="386"/>
      <c r="AR78" s="551">
        <v>0</v>
      </c>
      <c r="AS78" s="386">
        <v>21.2</v>
      </c>
      <c r="AT78" s="386">
        <v>0</v>
      </c>
      <c r="AU78" s="386">
        <v>0</v>
      </c>
      <c r="AV78" s="636">
        <v>445.1</v>
      </c>
      <c r="AW78" s="636">
        <v>496.9</v>
      </c>
      <c r="AX78" s="386">
        <v>0</v>
      </c>
      <c r="AY78" s="551">
        <v>0</v>
      </c>
      <c r="AZ78" s="551">
        <v>0</v>
      </c>
      <c r="BA78" s="551">
        <v>0</v>
      </c>
      <c r="BB78" s="975">
        <v>0</v>
      </c>
      <c r="BC78" s="386">
        <v>0.51</v>
      </c>
      <c r="BD78" s="386">
        <v>1.5</v>
      </c>
      <c r="BE78" s="551">
        <v>0</v>
      </c>
      <c r="BF78" s="386">
        <v>0.99</v>
      </c>
      <c r="BG78" s="386">
        <v>0</v>
      </c>
      <c r="BH78" s="551">
        <v>0</v>
      </c>
      <c r="BI78" s="386">
        <v>1.02</v>
      </c>
      <c r="BJ78" s="386">
        <v>23</v>
      </c>
      <c r="BK78" s="386">
        <v>2.58</v>
      </c>
      <c r="BL78" s="386">
        <v>3.91</v>
      </c>
      <c r="BM78" s="386">
        <v>0</v>
      </c>
      <c r="BN78" s="386">
        <v>16.600000000000001</v>
      </c>
      <c r="BO78" s="386">
        <v>995.3</v>
      </c>
      <c r="BP78" s="386">
        <v>2</v>
      </c>
      <c r="BQ78" s="615">
        <v>19.79</v>
      </c>
      <c r="BR78" s="615">
        <v>20.49</v>
      </c>
      <c r="BS78" s="615">
        <v>14.17</v>
      </c>
      <c r="BT78" s="615">
        <v>7.7</v>
      </c>
      <c r="BU78" s="614">
        <v>23.9</v>
      </c>
      <c r="BV78" s="614">
        <v>31.8</v>
      </c>
      <c r="BW78" s="615">
        <v>550.79999999999995</v>
      </c>
      <c r="BX78" s="791"/>
      <c r="BY78" s="615">
        <v>0</v>
      </c>
      <c r="BZ78" s="615">
        <v>1.25</v>
      </c>
      <c r="CA78" s="615">
        <v>1.2</v>
      </c>
      <c r="CB78" s="615">
        <v>8.3000000000000007</v>
      </c>
      <c r="CC78" s="615">
        <v>8.3000000000000007</v>
      </c>
      <c r="CD78" s="615">
        <v>15.2</v>
      </c>
      <c r="CE78" s="615">
        <v>34.6</v>
      </c>
      <c r="CF78" s="615">
        <v>15.4</v>
      </c>
      <c r="CG78" s="615">
        <v>5.6</v>
      </c>
      <c r="CH78" s="615">
        <v>10.9</v>
      </c>
      <c r="CI78" s="615">
        <v>14.9</v>
      </c>
      <c r="CJ78" s="615">
        <v>12.83</v>
      </c>
      <c r="CK78" s="615">
        <v>531.29999999999995</v>
      </c>
      <c r="CL78" s="615">
        <v>1.9</v>
      </c>
      <c r="CM78" s="615">
        <v>1.9</v>
      </c>
      <c r="CN78" s="615">
        <v>170.5</v>
      </c>
      <c r="CO78" s="615">
        <v>500.7</v>
      </c>
      <c r="CP78" s="615">
        <v>451.4</v>
      </c>
      <c r="CQ78" s="615">
        <v>12.7</v>
      </c>
      <c r="CR78" s="615">
        <v>0.7</v>
      </c>
      <c r="CS78" s="386">
        <v>0</v>
      </c>
      <c r="CT78" s="386">
        <v>16.047000000000001</v>
      </c>
      <c r="CU78" s="386">
        <v>42</v>
      </c>
      <c r="CV78" s="499">
        <v>0</v>
      </c>
      <c r="CW78" s="499">
        <v>0</v>
      </c>
      <c r="CX78" s="499">
        <v>0</v>
      </c>
      <c r="CY78" s="499">
        <v>0</v>
      </c>
      <c r="CZ78" s="643">
        <v>1720</v>
      </c>
      <c r="DA78" s="643">
        <v>2930</v>
      </c>
      <c r="DB78" s="782">
        <v>1710</v>
      </c>
      <c r="DC78" s="609">
        <v>1103.99</v>
      </c>
      <c r="DD78" s="1153">
        <f t="shared" si="16"/>
        <v>3.0599999999999454</v>
      </c>
      <c r="DE78" s="1154">
        <f t="shared" si="17"/>
        <v>0</v>
      </c>
      <c r="DF78" s="1154">
        <f t="shared" si="18"/>
        <v>1600</v>
      </c>
      <c r="DG78" s="1154">
        <f t="shared" si="19"/>
        <v>2680</v>
      </c>
      <c r="DH78" s="1155" t="str">
        <f t="shared" si="20"/>
        <v>Palm</v>
      </c>
      <c r="DI78" s="1146">
        <f t="shared" si="21"/>
        <v>1220</v>
      </c>
      <c r="DJ78" s="1146">
        <f t="shared" si="22"/>
        <v>0</v>
      </c>
      <c r="DK78" s="1154">
        <f t="shared" si="23"/>
        <v>0</v>
      </c>
      <c r="DL78" s="615"/>
      <c r="DM78" s="643"/>
      <c r="DN78" s="615"/>
      <c r="DO78" s="499"/>
      <c r="DP78" s="499"/>
      <c r="DQ78" s="499"/>
      <c r="DR78" s="499"/>
      <c r="DS78" s="499"/>
      <c r="DT78" s="499"/>
      <c r="DU78" s="499"/>
      <c r="DV78" s="499"/>
      <c r="DW78" s="499"/>
      <c r="DX78" s="499"/>
      <c r="DY78" s="499"/>
      <c r="DZ78" s="499"/>
      <c r="EA78" s="499"/>
      <c r="EB78" s="499"/>
      <c r="EC78" s="499"/>
      <c r="ED78" s="499"/>
      <c r="EE78" s="499"/>
      <c r="EF78" s="499"/>
      <c r="EG78" s="1146">
        <f t="shared" si="30"/>
        <v>10.5</v>
      </c>
      <c r="EH78" s="630">
        <v>0</v>
      </c>
      <c r="EI78" s="642">
        <v>1</v>
      </c>
      <c r="EJ78" s="642">
        <v>3</v>
      </c>
      <c r="EK78" s="642">
        <v>6.5</v>
      </c>
      <c r="EL78" s="499"/>
      <c r="EM78" s="499"/>
      <c r="EN78" s="499"/>
      <c r="EO78" s="499"/>
      <c r="EP78" s="499"/>
      <c r="EQ78" s="499"/>
      <c r="ER78" s="499"/>
      <c r="ES78" s="388"/>
      <c r="ET78" s="388"/>
      <c r="EV78" s="1167">
        <f t="shared" si="32"/>
        <v>16.243500000000001</v>
      </c>
    </row>
    <row r="79" spans="1:152" s="350" customFormat="1" ht="15" x14ac:dyDescent="0.25">
      <c r="A79" s="632" t="s">
        <v>9</v>
      </c>
      <c r="B79" s="662">
        <v>42805</v>
      </c>
      <c r="C79" s="1132" t="s">
        <v>904</v>
      </c>
      <c r="D79" s="636">
        <v>0.55000000000000004</v>
      </c>
      <c r="E79" s="636">
        <v>0</v>
      </c>
      <c r="F79" s="636">
        <v>45</v>
      </c>
      <c r="G79" s="739">
        <v>2</v>
      </c>
      <c r="H79" s="739">
        <v>2.95</v>
      </c>
      <c r="I79" s="739">
        <v>12.7</v>
      </c>
      <c r="J79" s="636">
        <v>0</v>
      </c>
      <c r="K79" s="739">
        <v>2.79</v>
      </c>
      <c r="L79" s="741">
        <v>0</v>
      </c>
      <c r="M79" s="739">
        <v>23.5</v>
      </c>
      <c r="N79" s="739">
        <v>1.21</v>
      </c>
      <c r="O79" s="739">
        <v>1.3141022043637585</v>
      </c>
      <c r="P79" s="739">
        <v>1.29</v>
      </c>
      <c r="Q79" s="739">
        <v>0.59335094671963762</v>
      </c>
      <c r="R79" s="782">
        <v>698.38408430232562</v>
      </c>
      <c r="S79" s="739">
        <v>8.2100000000000009</v>
      </c>
      <c r="T79" s="739">
        <v>8.2899999999999991</v>
      </c>
      <c r="U79" s="739">
        <v>0.73</v>
      </c>
      <c r="V79" s="739">
        <v>0.87</v>
      </c>
      <c r="W79" s="739">
        <v>39.92</v>
      </c>
      <c r="X79" s="644">
        <v>39.92</v>
      </c>
      <c r="Y79" s="739">
        <v>25.7</v>
      </c>
      <c r="Z79" s="739">
        <v>27</v>
      </c>
      <c r="AA79" s="739">
        <v>25.8</v>
      </c>
      <c r="AB79" s="739">
        <v>27</v>
      </c>
      <c r="AC79" s="1160">
        <f t="shared" si="33"/>
        <v>52.8</v>
      </c>
      <c r="AD79" s="1160">
        <f t="shared" si="34"/>
        <v>81.681599999999989</v>
      </c>
      <c r="AE79" s="1160">
        <f t="shared" si="35"/>
        <v>81.681599999999989</v>
      </c>
      <c r="AF79" s="542"/>
      <c r="AG79" s="1160">
        <f t="shared" si="31"/>
        <v>0</v>
      </c>
      <c r="AH79" s="656"/>
      <c r="AI79" s="351"/>
      <c r="AJ79" s="2"/>
      <c r="AK79" s="388"/>
      <c r="AL79" s="388"/>
      <c r="AM79" s="388"/>
      <c r="AN79" s="388"/>
      <c r="AO79" s="370"/>
      <c r="AP79" s="370"/>
      <c r="AQ79" s="386"/>
      <c r="AR79" s="551">
        <v>0</v>
      </c>
      <c r="AS79" s="386">
        <v>10.8</v>
      </c>
      <c r="AT79" s="386">
        <v>0</v>
      </c>
      <c r="AU79" s="386">
        <v>0</v>
      </c>
      <c r="AV79" s="636">
        <v>290.5</v>
      </c>
      <c r="AW79" s="636">
        <v>414.1</v>
      </c>
      <c r="AX79" s="386">
        <v>0</v>
      </c>
      <c r="AY79" s="551">
        <v>0</v>
      </c>
      <c r="AZ79" s="551">
        <v>0</v>
      </c>
      <c r="BA79" s="551">
        <v>0</v>
      </c>
      <c r="BB79" s="975">
        <v>0</v>
      </c>
      <c r="BC79" s="386">
        <v>0.67</v>
      </c>
      <c r="BD79" s="386">
        <v>1.66</v>
      </c>
      <c r="BE79" s="551">
        <v>0</v>
      </c>
      <c r="BF79" s="386">
        <v>1</v>
      </c>
      <c r="BG79" s="386">
        <v>0</v>
      </c>
      <c r="BH79" s="551">
        <v>0</v>
      </c>
      <c r="BI79" s="386">
        <v>1.02</v>
      </c>
      <c r="BJ79" s="386">
        <v>22.7</v>
      </c>
      <c r="BK79" s="386">
        <v>2.81</v>
      </c>
      <c r="BL79" s="386">
        <v>3.68</v>
      </c>
      <c r="BM79" s="386">
        <v>0</v>
      </c>
      <c r="BN79" s="386">
        <v>16.3</v>
      </c>
      <c r="BO79" s="386">
        <v>1492.4</v>
      </c>
      <c r="BP79" s="386">
        <v>2</v>
      </c>
      <c r="BQ79" s="615">
        <v>18.75</v>
      </c>
      <c r="BR79" s="615">
        <v>19.440000000000001</v>
      </c>
      <c r="BS79" s="615">
        <v>14.2</v>
      </c>
      <c r="BT79" s="615">
        <v>7.83</v>
      </c>
      <c r="BU79" s="614">
        <v>24.1</v>
      </c>
      <c r="BV79" s="614">
        <v>31.9</v>
      </c>
      <c r="BW79" s="615">
        <v>574.4</v>
      </c>
      <c r="BX79" s="791"/>
      <c r="BY79" s="615">
        <v>0</v>
      </c>
      <c r="BZ79" s="615">
        <v>1.24</v>
      </c>
      <c r="CA79" s="615">
        <v>1.2</v>
      </c>
      <c r="CB79" s="615">
        <v>8.3000000000000007</v>
      </c>
      <c r="CC79" s="615">
        <v>8.4</v>
      </c>
      <c r="CD79" s="615">
        <v>15.14</v>
      </c>
      <c r="CE79" s="615">
        <v>34.6</v>
      </c>
      <c r="CF79" s="615">
        <v>14.3</v>
      </c>
      <c r="CG79" s="615">
        <v>7.9</v>
      </c>
      <c r="CH79" s="615">
        <v>13.6</v>
      </c>
      <c r="CI79" s="615">
        <v>17.600000000000001</v>
      </c>
      <c r="CJ79" s="615">
        <v>12.7</v>
      </c>
      <c r="CK79" s="615">
        <v>529.5</v>
      </c>
      <c r="CL79" s="615">
        <v>1.8</v>
      </c>
      <c r="CM79" s="615">
        <v>1.8</v>
      </c>
      <c r="CN79" s="615">
        <v>198.9</v>
      </c>
      <c r="CO79" s="615">
        <v>425.4</v>
      </c>
      <c r="CP79" s="615">
        <v>430.1</v>
      </c>
      <c r="CQ79" s="615">
        <v>12.8</v>
      </c>
      <c r="CR79" s="615">
        <v>0.71</v>
      </c>
      <c r="CS79" s="386">
        <v>0</v>
      </c>
      <c r="CT79" s="386">
        <v>16.594000000000001</v>
      </c>
      <c r="CU79" s="386">
        <v>42</v>
      </c>
      <c r="CV79" s="499">
        <v>0</v>
      </c>
      <c r="CW79" s="499">
        <v>0</v>
      </c>
      <c r="CX79" s="499">
        <v>0</v>
      </c>
      <c r="CY79" s="499">
        <v>0</v>
      </c>
      <c r="CZ79" s="643">
        <v>1740</v>
      </c>
      <c r="DA79" s="643">
        <v>2840</v>
      </c>
      <c r="DB79" s="782">
        <v>1720</v>
      </c>
      <c r="DC79" s="609">
        <v>1105.77</v>
      </c>
      <c r="DD79" s="1153">
        <f t="shared" ref="DD79:DD142" si="36">DC79-DC78</f>
        <v>1.7799999999999727</v>
      </c>
      <c r="DE79" s="1154">
        <f t="shared" ref="DE79:DE142" si="37">(CS79*1440/1000000)*3.068</f>
        <v>0</v>
      </c>
      <c r="DF79" s="1154">
        <f t="shared" ref="DF79:DF142" si="38">DB79-110</f>
        <v>1610</v>
      </c>
      <c r="DG79" s="1154">
        <f t="shared" ref="DG79:DG142" si="39">DA79-250</f>
        <v>2590</v>
      </c>
      <c r="DH79" s="1155" t="str">
        <f t="shared" ref="DH79:DH142" si="40">IF(DG79&lt;DF79,"Aub","Palm")</f>
        <v>Palm</v>
      </c>
      <c r="DI79" s="1146">
        <f t="shared" ref="DI79:DI142" si="41">DA79-DB79</f>
        <v>1120</v>
      </c>
      <c r="DJ79" s="1146">
        <f t="shared" ref="DJ79:DJ142" si="42">DK79/3.068</f>
        <v>0</v>
      </c>
      <c r="DK79" s="1154">
        <f t="shared" ref="DK79:DK142" si="43">(CS79*1440/1000000)*3.068</f>
        <v>0</v>
      </c>
      <c r="DL79" s="615"/>
      <c r="DM79" s="643"/>
      <c r="DN79" s="615"/>
      <c r="DO79" s="499"/>
      <c r="DP79" s="499"/>
      <c r="DQ79" s="499"/>
      <c r="DR79" s="499"/>
      <c r="DS79" s="499"/>
      <c r="DT79" s="499"/>
      <c r="DU79" s="499"/>
      <c r="DV79" s="499"/>
      <c r="DW79" s="499"/>
      <c r="DX79" s="499"/>
      <c r="DY79" s="499"/>
      <c r="DZ79" s="499"/>
      <c r="EA79" s="499"/>
      <c r="EB79" s="499"/>
      <c r="EC79" s="499"/>
      <c r="ED79" s="499"/>
      <c r="EE79" s="499"/>
      <c r="EF79" s="499"/>
      <c r="EG79" s="1146">
        <f t="shared" si="30"/>
        <v>11</v>
      </c>
      <c r="EH79" s="630">
        <v>0</v>
      </c>
      <c r="EI79" s="642">
        <v>1</v>
      </c>
      <c r="EJ79" s="642">
        <v>3.5</v>
      </c>
      <c r="EK79" s="642">
        <v>6.5</v>
      </c>
      <c r="EL79" s="499"/>
      <c r="EM79" s="499"/>
      <c r="EN79" s="499"/>
      <c r="EO79" s="499"/>
      <c r="EP79" s="499"/>
      <c r="EQ79" s="499"/>
      <c r="ER79" s="499"/>
      <c r="ES79" s="388"/>
      <c r="ET79" s="388"/>
      <c r="EV79" s="1167">
        <f t="shared" si="32"/>
        <v>17.016999999999999</v>
      </c>
    </row>
    <row r="80" spans="1:152" s="350" customFormat="1" ht="15" x14ac:dyDescent="0.25">
      <c r="A80" s="632" t="s">
        <v>3</v>
      </c>
      <c r="B80" s="662">
        <v>42806</v>
      </c>
      <c r="C80" s="1132" t="s">
        <v>904</v>
      </c>
      <c r="D80" s="636">
        <v>0.09</v>
      </c>
      <c r="E80" s="636">
        <v>0</v>
      </c>
      <c r="F80" s="636">
        <v>43</v>
      </c>
      <c r="G80" s="739">
        <v>2.25</v>
      </c>
      <c r="H80" s="739">
        <v>3.06</v>
      </c>
      <c r="I80" s="739">
        <v>12</v>
      </c>
      <c r="J80" s="636">
        <v>0</v>
      </c>
      <c r="K80" s="739">
        <v>4.88</v>
      </c>
      <c r="L80" s="741">
        <v>0</v>
      </c>
      <c r="M80" s="739">
        <v>24.2</v>
      </c>
      <c r="N80" s="739">
        <v>1.2</v>
      </c>
      <c r="O80" s="739">
        <v>1.2958194905869327</v>
      </c>
      <c r="P80" s="739">
        <v>1.3</v>
      </c>
      <c r="Q80" s="739">
        <v>0.59129551004876468</v>
      </c>
      <c r="R80" s="782">
        <v>701.05094476744182</v>
      </c>
      <c r="S80" s="739">
        <v>8.3000000000000007</v>
      </c>
      <c r="T80" s="739">
        <v>8.2899999999999991</v>
      </c>
      <c r="U80" s="739">
        <v>0.73</v>
      </c>
      <c r="V80" s="739">
        <v>0.9</v>
      </c>
      <c r="W80" s="739">
        <v>40.64</v>
      </c>
      <c r="X80" s="644">
        <v>40.819999999999993</v>
      </c>
      <c r="Y80" s="739">
        <v>25.8</v>
      </c>
      <c r="Z80" s="739">
        <v>26.9</v>
      </c>
      <c r="AA80" s="739">
        <v>25.8</v>
      </c>
      <c r="AB80" s="739">
        <v>27.6</v>
      </c>
      <c r="AC80" s="1160">
        <f t="shared" si="33"/>
        <v>53.400000000000006</v>
      </c>
      <c r="AD80" s="1160">
        <f t="shared" si="34"/>
        <v>82.609800000000007</v>
      </c>
      <c r="AE80" s="1160">
        <f t="shared" si="35"/>
        <v>82.609800000000007</v>
      </c>
      <c r="AF80" s="542"/>
      <c r="AG80" s="1160">
        <f t="shared" si="31"/>
        <v>0</v>
      </c>
      <c r="AH80" s="656"/>
      <c r="AI80" s="351"/>
      <c r="AJ80" s="2"/>
      <c r="AK80" s="388"/>
      <c r="AL80" s="388"/>
      <c r="AM80" s="388"/>
      <c r="AN80" s="388"/>
      <c r="AO80" s="370"/>
      <c r="AP80" s="370"/>
      <c r="AQ80" s="386"/>
      <c r="AR80" s="551">
        <v>0</v>
      </c>
      <c r="AS80" s="386">
        <v>11.1</v>
      </c>
      <c r="AT80" s="386">
        <v>0</v>
      </c>
      <c r="AU80" s="386">
        <v>0</v>
      </c>
      <c r="AV80" s="636">
        <v>302.39999999999998</v>
      </c>
      <c r="AW80" s="636">
        <v>367.6</v>
      </c>
      <c r="AX80" s="386">
        <v>0</v>
      </c>
      <c r="AY80" s="551">
        <v>0</v>
      </c>
      <c r="AZ80" s="551">
        <v>0</v>
      </c>
      <c r="BA80" s="551">
        <v>0</v>
      </c>
      <c r="BB80" s="975">
        <v>0</v>
      </c>
      <c r="BC80" s="386">
        <v>0.79</v>
      </c>
      <c r="BD80" s="386">
        <v>1.61</v>
      </c>
      <c r="BE80" s="551">
        <v>0</v>
      </c>
      <c r="BF80" s="386">
        <v>1</v>
      </c>
      <c r="BG80" s="386">
        <v>0</v>
      </c>
      <c r="BH80" s="551">
        <v>0</v>
      </c>
      <c r="BI80" s="386">
        <v>0.98</v>
      </c>
      <c r="BJ80" s="386">
        <v>23.1</v>
      </c>
      <c r="BK80" s="386">
        <v>2.82</v>
      </c>
      <c r="BL80" s="386">
        <v>3.68</v>
      </c>
      <c r="BM80" s="386">
        <v>0</v>
      </c>
      <c r="BN80" s="386">
        <v>16.7</v>
      </c>
      <c r="BO80" s="386">
        <v>1190.4000000000001</v>
      </c>
      <c r="BP80" s="386">
        <v>2</v>
      </c>
      <c r="BQ80" s="615">
        <v>17.8</v>
      </c>
      <c r="BR80" s="615">
        <v>18.48</v>
      </c>
      <c r="BS80" s="615">
        <v>14.26</v>
      </c>
      <c r="BT80" s="615">
        <v>7.97</v>
      </c>
      <c r="BU80" s="614">
        <v>24.3</v>
      </c>
      <c r="BV80" s="614">
        <v>31.4</v>
      </c>
      <c r="BW80" s="615">
        <v>451.9</v>
      </c>
      <c r="BX80" s="791"/>
      <c r="BY80" s="615">
        <v>0</v>
      </c>
      <c r="BZ80" s="615">
        <v>1.18</v>
      </c>
      <c r="CA80" s="615">
        <v>1.2</v>
      </c>
      <c r="CB80" s="615">
        <v>8.1999999999999993</v>
      </c>
      <c r="CC80" s="615">
        <v>8.3000000000000007</v>
      </c>
      <c r="CD80" s="615">
        <v>15.5</v>
      </c>
      <c r="CE80" s="615">
        <v>34.450000000000003</v>
      </c>
      <c r="CF80" s="615">
        <v>13.2</v>
      </c>
      <c r="CG80" s="615">
        <v>8.1</v>
      </c>
      <c r="CH80" s="615">
        <v>13.7</v>
      </c>
      <c r="CI80" s="615">
        <v>18.05</v>
      </c>
      <c r="CJ80" s="615">
        <v>13.09</v>
      </c>
      <c r="CK80" s="615">
        <v>535.20000000000005</v>
      </c>
      <c r="CL80" s="615">
        <v>1.8</v>
      </c>
      <c r="CM80" s="615">
        <v>1.2</v>
      </c>
      <c r="CN80" s="615">
        <v>231.5</v>
      </c>
      <c r="CO80" s="615">
        <v>451.3</v>
      </c>
      <c r="CP80" s="615">
        <v>442.8</v>
      </c>
      <c r="CQ80" s="615">
        <v>12.7</v>
      </c>
      <c r="CR80" s="615">
        <v>0.68</v>
      </c>
      <c r="CS80" s="386">
        <v>0</v>
      </c>
      <c r="CT80" s="386">
        <v>16.111000000000001</v>
      </c>
      <c r="CU80" s="386">
        <v>42</v>
      </c>
      <c r="CV80" s="499">
        <v>0</v>
      </c>
      <c r="CW80" s="499">
        <v>0</v>
      </c>
      <c r="CX80" s="499">
        <v>0</v>
      </c>
      <c r="CY80" s="499">
        <v>0</v>
      </c>
      <c r="CZ80" s="643">
        <v>2150</v>
      </c>
      <c r="DA80" s="643">
        <v>2840</v>
      </c>
      <c r="DB80" s="782">
        <v>2030</v>
      </c>
      <c r="DC80" s="1104">
        <v>1108.77</v>
      </c>
      <c r="DD80" s="1153">
        <f t="shared" si="36"/>
        <v>3</v>
      </c>
      <c r="DE80" s="1154">
        <f t="shared" si="37"/>
        <v>0</v>
      </c>
      <c r="DF80" s="1154">
        <f t="shared" si="38"/>
        <v>1920</v>
      </c>
      <c r="DG80" s="1154">
        <f t="shared" si="39"/>
        <v>2590</v>
      </c>
      <c r="DH80" s="1155" t="str">
        <f t="shared" si="40"/>
        <v>Palm</v>
      </c>
      <c r="DI80" s="1146">
        <f t="shared" si="41"/>
        <v>810</v>
      </c>
      <c r="DJ80" s="1146">
        <f t="shared" si="42"/>
        <v>0</v>
      </c>
      <c r="DK80" s="1154">
        <f t="shared" si="43"/>
        <v>0</v>
      </c>
      <c r="DL80" s="615"/>
      <c r="DM80" s="643"/>
      <c r="DN80" s="615"/>
      <c r="DO80" s="499"/>
      <c r="DP80" s="499"/>
      <c r="DQ80" s="499"/>
      <c r="DR80" s="499"/>
      <c r="DS80" s="499"/>
      <c r="DT80" s="499"/>
      <c r="DU80" s="499"/>
      <c r="DV80" s="499"/>
      <c r="DW80" s="499"/>
      <c r="DX80" s="499"/>
      <c r="DY80" s="499"/>
      <c r="DZ80" s="499"/>
      <c r="EA80" s="499"/>
      <c r="EB80" s="499"/>
      <c r="EC80" s="499"/>
      <c r="ED80" s="499"/>
      <c r="EE80" s="499"/>
      <c r="EF80" s="499"/>
      <c r="EG80" s="1146">
        <f t="shared" si="30"/>
        <v>11</v>
      </c>
      <c r="EH80" s="630">
        <v>0</v>
      </c>
      <c r="EI80" s="642">
        <v>1</v>
      </c>
      <c r="EJ80" s="642">
        <v>3.5</v>
      </c>
      <c r="EK80" s="642">
        <v>6.5</v>
      </c>
      <c r="EL80" s="499"/>
      <c r="EM80" s="499"/>
      <c r="EN80" s="499"/>
      <c r="EO80" s="499"/>
      <c r="EP80" s="499"/>
      <c r="EQ80" s="499"/>
      <c r="ER80" s="499"/>
      <c r="ES80" s="388"/>
      <c r="ET80" s="388"/>
      <c r="EV80" s="1167">
        <f t="shared" si="32"/>
        <v>17.016999999999999</v>
      </c>
    </row>
    <row r="81" spans="1:152" s="350" customFormat="1" ht="15" x14ac:dyDescent="0.25">
      <c r="A81" s="632" t="s">
        <v>4</v>
      </c>
      <c r="B81" s="662">
        <v>42807</v>
      </c>
      <c r="C81" s="1132" t="s">
        <v>904</v>
      </c>
      <c r="D81" s="636">
        <v>1.51</v>
      </c>
      <c r="E81" s="636">
        <v>0</v>
      </c>
      <c r="F81" s="636">
        <v>44</v>
      </c>
      <c r="G81" s="739">
        <v>3.1</v>
      </c>
      <c r="H81" s="739">
        <v>6.08</v>
      </c>
      <c r="I81" s="739">
        <v>12.8</v>
      </c>
      <c r="J81" s="636">
        <v>0</v>
      </c>
      <c r="K81" s="739">
        <v>4.53</v>
      </c>
      <c r="L81" s="741">
        <v>0</v>
      </c>
      <c r="M81" s="739">
        <v>25.5</v>
      </c>
      <c r="N81" s="739">
        <v>1.21</v>
      </c>
      <c r="O81" s="739">
        <v>1.3227733915484261</v>
      </c>
      <c r="P81" s="739">
        <v>1.32</v>
      </c>
      <c r="Q81" s="739">
        <v>0.58765249825167531</v>
      </c>
      <c r="R81" s="782">
        <v>700.38422965116285</v>
      </c>
      <c r="S81" s="739">
        <v>8.3000000000000007</v>
      </c>
      <c r="T81" s="739">
        <v>8.24</v>
      </c>
      <c r="U81" s="739">
        <v>0.7</v>
      </c>
      <c r="V81" s="739">
        <v>0.9</v>
      </c>
      <c r="W81" s="739">
        <v>40.64</v>
      </c>
      <c r="X81" s="644">
        <v>41.539999999999992</v>
      </c>
      <c r="Y81" s="739">
        <v>25.8</v>
      </c>
      <c r="Z81" s="739">
        <v>27.6</v>
      </c>
      <c r="AA81" s="739">
        <v>24.8</v>
      </c>
      <c r="AB81" s="739">
        <v>29</v>
      </c>
      <c r="AC81" s="1160">
        <f t="shared" si="33"/>
        <v>53.8</v>
      </c>
      <c r="AD81" s="1160">
        <f t="shared" si="34"/>
        <v>83.228599999999986</v>
      </c>
      <c r="AE81" s="1160">
        <f t="shared" si="35"/>
        <v>83.228599999999986</v>
      </c>
      <c r="AF81" s="542"/>
      <c r="AG81" s="1160">
        <f t="shared" si="31"/>
        <v>0</v>
      </c>
      <c r="AH81" s="656"/>
      <c r="AI81" s="351"/>
      <c r="AJ81" s="2"/>
      <c r="AK81" s="388"/>
      <c r="AL81" s="388"/>
      <c r="AM81" s="388"/>
      <c r="AN81" s="388"/>
      <c r="AO81" s="370"/>
      <c r="AP81" s="370"/>
      <c r="AQ81" s="386"/>
      <c r="AR81" s="551">
        <v>0</v>
      </c>
      <c r="AS81" s="386">
        <v>21.4</v>
      </c>
      <c r="AT81" s="386">
        <v>0</v>
      </c>
      <c r="AU81" s="386">
        <v>0</v>
      </c>
      <c r="AV81" s="636">
        <v>461.3</v>
      </c>
      <c r="AW81" s="636">
        <v>605</v>
      </c>
      <c r="AX81" s="386">
        <v>0</v>
      </c>
      <c r="AY81" s="551">
        <v>0</v>
      </c>
      <c r="AZ81" s="551">
        <v>0</v>
      </c>
      <c r="BA81" s="551">
        <v>0</v>
      </c>
      <c r="BB81" s="975">
        <v>0</v>
      </c>
      <c r="BC81" s="386">
        <v>0.83</v>
      </c>
      <c r="BD81" s="386">
        <v>1.68</v>
      </c>
      <c r="BE81" s="551">
        <v>0</v>
      </c>
      <c r="BF81" s="386">
        <v>1</v>
      </c>
      <c r="BG81" s="386">
        <v>0</v>
      </c>
      <c r="BH81" s="551">
        <v>0</v>
      </c>
      <c r="BI81" s="386">
        <v>1.02</v>
      </c>
      <c r="BJ81" s="386">
        <v>24.5</v>
      </c>
      <c r="BK81" s="386">
        <v>3.09</v>
      </c>
      <c r="BL81" s="386">
        <v>3.1</v>
      </c>
      <c r="BM81" s="386">
        <v>0</v>
      </c>
      <c r="BN81" s="386">
        <v>18.100000000000001</v>
      </c>
      <c r="BO81" s="386">
        <v>817</v>
      </c>
      <c r="BP81" s="386">
        <v>16.600000000000001</v>
      </c>
      <c r="BQ81" s="615">
        <v>17.62</v>
      </c>
      <c r="BR81" s="615">
        <v>18.3</v>
      </c>
      <c r="BS81" s="615">
        <v>14</v>
      </c>
      <c r="BT81" s="615">
        <v>7.8</v>
      </c>
      <c r="BU81" s="614">
        <v>23.8</v>
      </c>
      <c r="BV81" s="614">
        <v>28.5</v>
      </c>
      <c r="BW81" s="615">
        <v>577.79999999999995</v>
      </c>
      <c r="BX81" s="791"/>
      <c r="BY81" s="615">
        <v>0</v>
      </c>
      <c r="BZ81" s="615">
        <v>1.17</v>
      </c>
      <c r="CA81" s="615">
        <v>1.2</v>
      </c>
      <c r="CB81" s="615">
        <v>8.3000000000000007</v>
      </c>
      <c r="CC81" s="615">
        <v>8.3000000000000007</v>
      </c>
      <c r="CD81" s="615">
        <v>15.6</v>
      </c>
      <c r="CE81" s="615">
        <v>34.200000000000003</v>
      </c>
      <c r="CF81" s="615">
        <v>12.7</v>
      </c>
      <c r="CG81" s="615">
        <v>7.05</v>
      </c>
      <c r="CH81" s="615">
        <v>12.5</v>
      </c>
      <c r="CI81" s="615">
        <v>16.899999999999999</v>
      </c>
      <c r="CJ81" s="615">
        <v>13.28</v>
      </c>
      <c r="CK81" s="615">
        <v>522</v>
      </c>
      <c r="CL81" s="615">
        <v>2</v>
      </c>
      <c r="CM81" s="615">
        <v>1.8</v>
      </c>
      <c r="CN81" s="615">
        <v>142.9</v>
      </c>
      <c r="CO81" s="615">
        <v>491</v>
      </c>
      <c r="CP81" s="615">
        <v>476.1</v>
      </c>
      <c r="CQ81" s="615">
        <v>12.6</v>
      </c>
      <c r="CR81" s="615">
        <v>0.67</v>
      </c>
      <c r="CS81" s="386">
        <v>0</v>
      </c>
      <c r="CT81" s="386">
        <v>15.861000000000001</v>
      </c>
      <c r="CU81" s="386">
        <v>42</v>
      </c>
      <c r="CV81" s="499">
        <v>0</v>
      </c>
      <c r="CW81" s="499">
        <v>0</v>
      </c>
      <c r="CX81" s="499">
        <v>0</v>
      </c>
      <c r="CY81" s="499">
        <v>0</v>
      </c>
      <c r="CZ81" s="643">
        <v>3150</v>
      </c>
      <c r="DA81" s="643">
        <v>4830</v>
      </c>
      <c r="DB81" s="782">
        <v>2960</v>
      </c>
      <c r="DC81" s="1129">
        <v>1111.4000000000001</v>
      </c>
      <c r="DD81" s="1153">
        <f t="shared" si="36"/>
        <v>2.6300000000001091</v>
      </c>
      <c r="DE81" s="1154">
        <f t="shared" si="37"/>
        <v>0</v>
      </c>
      <c r="DF81" s="1154">
        <f t="shared" si="38"/>
        <v>2850</v>
      </c>
      <c r="DG81" s="1154">
        <f t="shared" si="39"/>
        <v>4580</v>
      </c>
      <c r="DH81" s="1155" t="str">
        <f t="shared" si="40"/>
        <v>Palm</v>
      </c>
      <c r="DI81" s="1146">
        <f t="shared" si="41"/>
        <v>1870</v>
      </c>
      <c r="DJ81" s="1146">
        <f t="shared" si="42"/>
        <v>0</v>
      </c>
      <c r="DK81" s="1154">
        <f t="shared" si="43"/>
        <v>0</v>
      </c>
      <c r="DL81" s="615"/>
      <c r="DM81" s="643"/>
      <c r="DN81" s="615"/>
      <c r="DO81" s="499"/>
      <c r="DP81" s="499"/>
      <c r="DQ81" s="499"/>
      <c r="DR81" s="499"/>
      <c r="DS81" s="499"/>
      <c r="DT81" s="499"/>
      <c r="DU81" s="499"/>
      <c r="DV81" s="499"/>
      <c r="DW81" s="499"/>
      <c r="DX81" s="499"/>
      <c r="DY81" s="499"/>
      <c r="DZ81" s="499"/>
      <c r="EA81" s="499"/>
      <c r="EB81" s="499"/>
      <c r="EC81" s="499"/>
      <c r="ED81" s="499"/>
      <c r="EE81" s="499"/>
      <c r="EF81" s="499"/>
      <c r="EG81" s="1146">
        <f t="shared" si="30"/>
        <v>11</v>
      </c>
      <c r="EH81" s="630">
        <v>0</v>
      </c>
      <c r="EI81" s="642">
        <v>1</v>
      </c>
      <c r="EJ81" s="642">
        <v>3.5</v>
      </c>
      <c r="EK81" s="642">
        <v>6.5</v>
      </c>
      <c r="EL81" s="499"/>
      <c r="EM81" s="499"/>
      <c r="EN81" s="499"/>
      <c r="EO81" s="499"/>
      <c r="EP81" s="499"/>
      <c r="EQ81" s="499"/>
      <c r="ER81" s="499"/>
      <c r="ES81" s="388"/>
      <c r="ET81" s="388"/>
      <c r="EV81" s="1167">
        <f t="shared" si="32"/>
        <v>17.016999999999999</v>
      </c>
    </row>
    <row r="82" spans="1:152" s="350" customFormat="1" ht="15" x14ac:dyDescent="0.25">
      <c r="A82" s="632" t="s">
        <v>5</v>
      </c>
      <c r="B82" s="662">
        <v>42808</v>
      </c>
      <c r="C82" s="1132" t="s">
        <v>904</v>
      </c>
      <c r="D82" s="636">
        <v>0.72</v>
      </c>
      <c r="E82" s="636">
        <v>0</v>
      </c>
      <c r="F82" s="636">
        <v>46</v>
      </c>
      <c r="G82" s="739">
        <v>4</v>
      </c>
      <c r="H82" s="739">
        <v>15.13</v>
      </c>
      <c r="I82" s="739">
        <v>12.8</v>
      </c>
      <c r="J82" s="636">
        <v>0</v>
      </c>
      <c r="K82" s="739">
        <v>6.58</v>
      </c>
      <c r="L82" s="741">
        <v>16.299999999999272</v>
      </c>
      <c r="M82" s="739">
        <v>24.8</v>
      </c>
      <c r="N82" s="739">
        <v>1.29</v>
      </c>
      <c r="O82" s="739">
        <v>1.3489275541006631</v>
      </c>
      <c r="P82" s="739">
        <v>1.31</v>
      </c>
      <c r="Q82" s="739">
        <v>0.59666853658101171</v>
      </c>
      <c r="R82" s="782">
        <v>760.72194767441863</v>
      </c>
      <c r="S82" s="739">
        <v>8.2799999999999994</v>
      </c>
      <c r="T82" s="739">
        <v>8.2100000000000009</v>
      </c>
      <c r="U82" s="739">
        <v>0.71</v>
      </c>
      <c r="V82" s="739">
        <v>0.96</v>
      </c>
      <c r="W82" s="739">
        <v>41.72</v>
      </c>
      <c r="X82" s="644">
        <v>42.44</v>
      </c>
      <c r="Y82" s="739">
        <v>24.8</v>
      </c>
      <c r="Z82" s="739">
        <v>27.87</v>
      </c>
      <c r="AA82" s="739">
        <v>24.7</v>
      </c>
      <c r="AB82" s="739">
        <v>29.92</v>
      </c>
      <c r="AC82" s="1160">
        <f t="shared" si="33"/>
        <v>54.620000000000005</v>
      </c>
      <c r="AD82" s="1160">
        <f t="shared" si="34"/>
        <v>84.497140000000002</v>
      </c>
      <c r="AE82" s="1160">
        <f t="shared" si="35"/>
        <v>59.281040000001127</v>
      </c>
      <c r="AF82" s="542"/>
      <c r="AG82" s="1160">
        <f t="shared" si="31"/>
        <v>0</v>
      </c>
      <c r="AH82" s="656"/>
      <c r="AI82" s="351"/>
      <c r="AJ82" s="2"/>
      <c r="AK82" s="388"/>
      <c r="AL82" s="388"/>
      <c r="AM82" s="388"/>
      <c r="AN82" s="388"/>
      <c r="AO82" s="370"/>
      <c r="AP82" s="370"/>
      <c r="AQ82" s="386"/>
      <c r="AR82" s="551">
        <v>0</v>
      </c>
      <c r="AS82" s="386">
        <v>10.6</v>
      </c>
      <c r="AT82" s="386">
        <v>0</v>
      </c>
      <c r="AU82" s="386">
        <v>0</v>
      </c>
      <c r="AV82" s="636">
        <v>307.8</v>
      </c>
      <c r="AW82" s="636">
        <v>334</v>
      </c>
      <c r="AX82" s="386">
        <v>0</v>
      </c>
      <c r="AY82" s="551">
        <v>0</v>
      </c>
      <c r="AZ82" s="551">
        <v>0</v>
      </c>
      <c r="BA82" s="551">
        <v>0</v>
      </c>
      <c r="BB82" s="975">
        <v>0</v>
      </c>
      <c r="BC82" s="386">
        <v>0.75</v>
      </c>
      <c r="BD82" s="386">
        <v>1.75</v>
      </c>
      <c r="BE82" s="551">
        <v>0</v>
      </c>
      <c r="BF82" s="386">
        <v>1</v>
      </c>
      <c r="BG82" s="386">
        <v>0</v>
      </c>
      <c r="BH82" s="551">
        <v>0</v>
      </c>
      <c r="BI82" s="386">
        <v>1.01</v>
      </c>
      <c r="BJ82" s="386">
        <v>25.4</v>
      </c>
      <c r="BK82" s="386">
        <v>3.21</v>
      </c>
      <c r="BL82" s="386">
        <v>3.26</v>
      </c>
      <c r="BM82" s="386">
        <v>0</v>
      </c>
      <c r="BN82" s="386">
        <v>19.100000000000001</v>
      </c>
      <c r="BO82" s="386">
        <v>1101.9000000000001</v>
      </c>
      <c r="BP82" s="386">
        <v>2</v>
      </c>
      <c r="BQ82" s="615">
        <v>18.13</v>
      </c>
      <c r="BR82" s="615">
        <v>18.8</v>
      </c>
      <c r="BS82" s="615">
        <v>14.43</v>
      </c>
      <c r="BT82" s="615">
        <v>8</v>
      </c>
      <c r="BU82" s="614">
        <v>24.4</v>
      </c>
      <c r="BV82" s="614">
        <v>27</v>
      </c>
      <c r="BW82" s="615">
        <v>513.1</v>
      </c>
      <c r="BX82" s="791"/>
      <c r="BY82" s="615">
        <v>0</v>
      </c>
      <c r="BZ82" s="615">
        <v>1.18</v>
      </c>
      <c r="CA82" s="615">
        <v>1.2</v>
      </c>
      <c r="CB82" s="615">
        <v>8.1999999999999993</v>
      </c>
      <c r="CC82" s="615">
        <v>8.3000000000000007</v>
      </c>
      <c r="CD82" s="615">
        <v>14.8</v>
      </c>
      <c r="CE82" s="615">
        <v>34.1</v>
      </c>
      <c r="CF82" s="615">
        <v>14</v>
      </c>
      <c r="CG82" s="615">
        <v>7.51</v>
      </c>
      <c r="CH82" s="615">
        <v>13.02</v>
      </c>
      <c r="CI82" s="615">
        <v>17.54</v>
      </c>
      <c r="CJ82" s="615">
        <v>12.54</v>
      </c>
      <c r="CK82" s="615">
        <v>517.6</v>
      </c>
      <c r="CL82" s="615">
        <v>1.5</v>
      </c>
      <c r="CM82" s="615">
        <v>1.5</v>
      </c>
      <c r="CN82" s="615">
        <v>157</v>
      </c>
      <c r="CO82" s="615">
        <v>546.4</v>
      </c>
      <c r="CP82" s="615">
        <v>475.1</v>
      </c>
      <c r="CQ82" s="615">
        <v>13</v>
      </c>
      <c r="CR82" s="615">
        <v>0.64</v>
      </c>
      <c r="CS82" s="386">
        <v>0</v>
      </c>
      <c r="CT82" s="386">
        <v>16.041</v>
      </c>
      <c r="CU82" s="386">
        <v>42</v>
      </c>
      <c r="CV82" s="499">
        <v>0</v>
      </c>
      <c r="CW82" s="499">
        <v>0</v>
      </c>
      <c r="CX82" s="499">
        <v>0</v>
      </c>
      <c r="CY82" s="499">
        <v>0</v>
      </c>
      <c r="CZ82" s="643">
        <v>5130</v>
      </c>
      <c r="DA82" s="643">
        <v>6550</v>
      </c>
      <c r="DB82" s="782">
        <v>4350</v>
      </c>
      <c r="DC82" s="609">
        <v>1115.6300000000001</v>
      </c>
      <c r="DD82" s="1153">
        <f t="shared" si="36"/>
        <v>4.2300000000000182</v>
      </c>
      <c r="DE82" s="1154">
        <f t="shared" si="37"/>
        <v>0</v>
      </c>
      <c r="DF82" s="1154">
        <f t="shared" si="38"/>
        <v>4240</v>
      </c>
      <c r="DG82" s="1154">
        <f t="shared" si="39"/>
        <v>6300</v>
      </c>
      <c r="DH82" s="1155" t="str">
        <f t="shared" si="40"/>
        <v>Palm</v>
      </c>
      <c r="DI82" s="1146">
        <f t="shared" si="41"/>
        <v>2200</v>
      </c>
      <c r="DJ82" s="1146">
        <f t="shared" si="42"/>
        <v>0</v>
      </c>
      <c r="DK82" s="1154">
        <f t="shared" si="43"/>
        <v>0</v>
      </c>
      <c r="DL82" s="615"/>
      <c r="DM82" s="643"/>
      <c r="DN82" s="615"/>
      <c r="DO82" s="499"/>
      <c r="DP82" s="499"/>
      <c r="DQ82" s="499"/>
      <c r="DR82" s="499"/>
      <c r="DS82" s="499"/>
      <c r="DT82" s="499"/>
      <c r="DU82" s="499"/>
      <c r="DV82" s="499"/>
      <c r="DW82" s="499"/>
      <c r="DX82" s="499"/>
      <c r="DY82" s="499"/>
      <c r="DZ82" s="499"/>
      <c r="EA82" s="499"/>
      <c r="EB82" s="499"/>
      <c r="EC82" s="499"/>
      <c r="ED82" s="499"/>
      <c r="EE82" s="499"/>
      <c r="EF82" s="499"/>
      <c r="EG82" s="1146">
        <f t="shared" si="30"/>
        <v>11</v>
      </c>
      <c r="EH82" s="630">
        <v>0</v>
      </c>
      <c r="EI82" s="642">
        <v>1</v>
      </c>
      <c r="EJ82" s="642">
        <v>3.5</v>
      </c>
      <c r="EK82" s="642">
        <v>6.5</v>
      </c>
      <c r="EL82" s="499"/>
      <c r="EM82" s="499"/>
      <c r="EN82" s="499"/>
      <c r="EO82" s="499"/>
      <c r="EP82" s="499"/>
      <c r="EQ82" s="499"/>
      <c r="ER82" s="499"/>
      <c r="ES82" s="388"/>
      <c r="ET82" s="388"/>
      <c r="EV82" s="1167">
        <f t="shared" si="32"/>
        <v>17.016999999999999</v>
      </c>
    </row>
    <row r="83" spans="1:152" s="350" customFormat="1" ht="15" x14ac:dyDescent="0.25">
      <c r="A83" s="632" t="s">
        <v>6</v>
      </c>
      <c r="B83" s="662">
        <v>42809</v>
      </c>
      <c r="C83" s="1132" t="s">
        <v>904</v>
      </c>
      <c r="D83" s="636">
        <v>1.34</v>
      </c>
      <c r="E83" s="636">
        <v>0</v>
      </c>
      <c r="F83" s="636">
        <v>43</v>
      </c>
      <c r="G83" s="739">
        <v>4.25</v>
      </c>
      <c r="H83" s="739">
        <v>21.57</v>
      </c>
      <c r="I83" s="739">
        <v>11.2</v>
      </c>
      <c r="J83" s="636">
        <v>0</v>
      </c>
      <c r="K83" s="739">
        <v>5.6</v>
      </c>
      <c r="L83" s="741">
        <v>37.06000000000131</v>
      </c>
      <c r="M83" s="739">
        <v>25.9</v>
      </c>
      <c r="N83" s="739">
        <v>1.34</v>
      </c>
      <c r="O83" s="739">
        <v>1.319522275146968</v>
      </c>
      <c r="P83" s="739">
        <v>1.37</v>
      </c>
      <c r="Q83" s="739">
        <v>0.59434727354804029</v>
      </c>
      <c r="R83" s="782">
        <v>796.05784883720935</v>
      </c>
      <c r="S83" s="739">
        <v>8.42</v>
      </c>
      <c r="T83" s="739">
        <v>8.39</v>
      </c>
      <c r="U83" s="739">
        <v>0.76</v>
      </c>
      <c r="V83" s="739">
        <v>0.87</v>
      </c>
      <c r="W83" s="739">
        <v>44.239999999999995</v>
      </c>
      <c r="X83" s="644">
        <v>44.239999999999995</v>
      </c>
      <c r="Y83" s="739">
        <v>24.7</v>
      </c>
      <c r="Z83" s="739">
        <v>28.64</v>
      </c>
      <c r="AA83" s="739">
        <v>25.8</v>
      </c>
      <c r="AB83" s="739">
        <v>31</v>
      </c>
      <c r="AC83" s="1160">
        <f t="shared" si="33"/>
        <v>56.8</v>
      </c>
      <c r="AD83" s="1160">
        <f t="shared" si="34"/>
        <v>87.869599999999991</v>
      </c>
      <c r="AE83" s="1160">
        <f t="shared" si="35"/>
        <v>30.537779999997966</v>
      </c>
      <c r="AF83" s="542"/>
      <c r="AG83" s="1160">
        <f t="shared" si="31"/>
        <v>0</v>
      </c>
      <c r="AH83" s="656"/>
      <c r="AI83" s="351"/>
      <c r="AJ83" s="2"/>
      <c r="AK83" s="388"/>
      <c r="AL83" s="388"/>
      <c r="AM83" s="388"/>
      <c r="AN83" s="388"/>
      <c r="AO83" s="370"/>
      <c r="AP83" s="370"/>
      <c r="AQ83" s="386"/>
      <c r="AR83" s="551">
        <v>0</v>
      </c>
      <c r="AS83" s="386">
        <v>12</v>
      </c>
      <c r="AT83" s="386">
        <v>0</v>
      </c>
      <c r="AU83" s="386">
        <v>0</v>
      </c>
      <c r="AV83" s="636">
        <v>351.5</v>
      </c>
      <c r="AW83" s="636">
        <v>443.1</v>
      </c>
      <c r="AX83" s="386">
        <v>0</v>
      </c>
      <c r="AY83" s="551">
        <v>0</v>
      </c>
      <c r="AZ83" s="551">
        <v>0</v>
      </c>
      <c r="BA83" s="551">
        <v>0</v>
      </c>
      <c r="BB83" s="975">
        <v>0</v>
      </c>
      <c r="BC83" s="386">
        <v>0.75</v>
      </c>
      <c r="BD83" s="386">
        <v>1.75</v>
      </c>
      <c r="BE83" s="551">
        <v>0</v>
      </c>
      <c r="BF83" s="386">
        <v>1</v>
      </c>
      <c r="BG83" s="386">
        <v>0</v>
      </c>
      <c r="BH83" s="551">
        <v>0</v>
      </c>
      <c r="BI83" s="386">
        <v>1.02</v>
      </c>
      <c r="BJ83" s="386">
        <v>25.5</v>
      </c>
      <c r="BK83" s="386">
        <v>2.89</v>
      </c>
      <c r="BL83" s="386">
        <v>3.64</v>
      </c>
      <c r="BM83" s="386">
        <v>0</v>
      </c>
      <c r="BN83" s="386">
        <v>20.100000000000001</v>
      </c>
      <c r="BO83" s="386">
        <v>1072.3</v>
      </c>
      <c r="BP83" s="386">
        <v>2</v>
      </c>
      <c r="BQ83" s="615">
        <v>18.77</v>
      </c>
      <c r="BR83" s="615">
        <v>19.420000000000002</v>
      </c>
      <c r="BS83" s="615">
        <v>14.52</v>
      </c>
      <c r="BT83" s="615">
        <v>7.98</v>
      </c>
      <c r="BU83" s="614">
        <v>24.4</v>
      </c>
      <c r="BV83" s="614">
        <v>26.8</v>
      </c>
      <c r="BW83" s="615">
        <v>468.3</v>
      </c>
      <c r="BX83" s="791"/>
      <c r="BY83" s="615">
        <v>0</v>
      </c>
      <c r="BZ83" s="615">
        <v>1.32</v>
      </c>
      <c r="CA83" s="615">
        <v>1.2</v>
      </c>
      <c r="CB83" s="615">
        <v>8.4</v>
      </c>
      <c r="CC83" s="615">
        <v>8.3000000000000007</v>
      </c>
      <c r="CD83" s="615">
        <v>14.9</v>
      </c>
      <c r="CE83" s="615">
        <v>34.200000000000003</v>
      </c>
      <c r="CF83" s="615">
        <v>12.6</v>
      </c>
      <c r="CG83" s="615">
        <v>7.9</v>
      </c>
      <c r="CH83" s="615">
        <v>13.5</v>
      </c>
      <c r="CI83" s="615">
        <v>17.95</v>
      </c>
      <c r="CJ83" s="615">
        <v>12.99</v>
      </c>
      <c r="CK83" s="615">
        <v>560.9</v>
      </c>
      <c r="CL83" s="615">
        <v>1.8</v>
      </c>
      <c r="CM83" s="615">
        <v>1.3</v>
      </c>
      <c r="CN83" s="615">
        <v>148</v>
      </c>
      <c r="CO83" s="615">
        <v>509.3</v>
      </c>
      <c r="CP83" s="615">
        <v>460.8</v>
      </c>
      <c r="CQ83" s="615">
        <v>13.3</v>
      </c>
      <c r="CR83" s="615">
        <v>0.67</v>
      </c>
      <c r="CS83" s="386">
        <v>0</v>
      </c>
      <c r="CT83" s="386">
        <v>16.198</v>
      </c>
      <c r="CU83" s="386">
        <v>43</v>
      </c>
      <c r="CV83" s="499">
        <v>0</v>
      </c>
      <c r="CW83" s="499">
        <v>0</v>
      </c>
      <c r="CX83" s="499">
        <v>0</v>
      </c>
      <c r="CY83" s="499">
        <v>0</v>
      </c>
      <c r="CZ83" s="643">
        <v>5500</v>
      </c>
      <c r="DA83" s="643">
        <v>7040</v>
      </c>
      <c r="DB83" s="782">
        <v>4660</v>
      </c>
      <c r="DC83" s="609">
        <v>1117.53</v>
      </c>
      <c r="DD83" s="1153">
        <f t="shared" si="36"/>
        <v>1.8999999999998636</v>
      </c>
      <c r="DE83" s="1154">
        <f t="shared" si="37"/>
        <v>0</v>
      </c>
      <c r="DF83" s="1154">
        <f t="shared" si="38"/>
        <v>4550</v>
      </c>
      <c r="DG83" s="1154">
        <f t="shared" si="39"/>
        <v>6790</v>
      </c>
      <c r="DH83" s="1155" t="str">
        <f t="shared" si="40"/>
        <v>Palm</v>
      </c>
      <c r="DI83" s="1146">
        <f t="shared" si="41"/>
        <v>2380</v>
      </c>
      <c r="DJ83" s="1146">
        <f t="shared" si="42"/>
        <v>0</v>
      </c>
      <c r="DK83" s="1154">
        <f t="shared" si="43"/>
        <v>0</v>
      </c>
      <c r="DL83" s="615"/>
      <c r="DM83" s="643"/>
      <c r="DN83" s="615"/>
      <c r="DO83" s="499"/>
      <c r="DP83" s="499"/>
      <c r="DQ83" s="499"/>
      <c r="DR83" s="499"/>
      <c r="DS83" s="499"/>
      <c r="DT83" s="499"/>
      <c r="DU83" s="499"/>
      <c r="DV83" s="499"/>
      <c r="DW83" s="499"/>
      <c r="DX83" s="499"/>
      <c r="DY83" s="499"/>
      <c r="DZ83" s="499"/>
      <c r="EA83" s="499"/>
      <c r="EB83" s="499"/>
      <c r="EC83" s="499"/>
      <c r="ED83" s="499"/>
      <c r="EE83" s="499"/>
      <c r="EF83" s="499"/>
      <c r="EG83" s="1146">
        <f t="shared" si="30"/>
        <v>11</v>
      </c>
      <c r="EH83" s="630">
        <v>0</v>
      </c>
      <c r="EI83" s="642">
        <v>1</v>
      </c>
      <c r="EJ83" s="642">
        <v>3.5</v>
      </c>
      <c r="EK83" s="642">
        <v>6.5</v>
      </c>
      <c r="EL83" s="499"/>
      <c r="EM83" s="499"/>
      <c r="EN83" s="499"/>
      <c r="EO83" s="499"/>
      <c r="EP83" s="499"/>
      <c r="EQ83" s="499"/>
      <c r="ER83" s="499"/>
      <c r="ES83" s="388"/>
      <c r="ET83" s="388"/>
      <c r="EV83" s="1167">
        <f t="shared" si="32"/>
        <v>17.016999999999999</v>
      </c>
    </row>
    <row r="84" spans="1:152" s="350" customFormat="1" ht="15" x14ac:dyDescent="0.25">
      <c r="A84" s="632" t="s">
        <v>7</v>
      </c>
      <c r="B84" s="662">
        <v>42810</v>
      </c>
      <c r="C84" s="1132" t="s">
        <v>904</v>
      </c>
      <c r="D84" s="636">
        <v>0</v>
      </c>
      <c r="E84" s="636">
        <v>0</v>
      </c>
      <c r="F84" s="636">
        <v>36</v>
      </c>
      <c r="G84" s="739">
        <v>3.7</v>
      </c>
      <c r="H84" s="739">
        <v>25.83</v>
      </c>
      <c r="I84" s="739">
        <v>11.1</v>
      </c>
      <c r="J84" s="636">
        <v>0</v>
      </c>
      <c r="K84" s="739">
        <v>6.63</v>
      </c>
      <c r="L84" s="741">
        <v>33.799999999999272</v>
      </c>
      <c r="M84" s="739">
        <v>25.5</v>
      </c>
      <c r="N84" s="739">
        <v>1.27</v>
      </c>
      <c r="O84" s="739">
        <v>1.2988677516470342</v>
      </c>
      <c r="P84" s="739">
        <v>1.32</v>
      </c>
      <c r="Q84" s="739">
        <v>0.59389377306062963</v>
      </c>
      <c r="R84" s="782">
        <v>721.05239825581384</v>
      </c>
      <c r="S84" s="739">
        <v>8.36</v>
      </c>
      <c r="T84" s="739">
        <v>8.4</v>
      </c>
      <c r="U84" s="739">
        <v>0.75</v>
      </c>
      <c r="V84" s="739">
        <v>0.75</v>
      </c>
      <c r="W84" s="739">
        <v>44.239999999999995</v>
      </c>
      <c r="X84" s="644">
        <v>44.42</v>
      </c>
      <c r="Y84" s="739">
        <v>25.8</v>
      </c>
      <c r="Z84" s="739">
        <v>31</v>
      </c>
      <c r="AA84" s="739">
        <v>25.85</v>
      </c>
      <c r="AB84" s="739">
        <v>31.01</v>
      </c>
      <c r="AC84" s="1160">
        <f t="shared" si="33"/>
        <v>56.86</v>
      </c>
      <c r="AD84" s="1160">
        <f t="shared" si="34"/>
        <v>87.962419999999995</v>
      </c>
      <c r="AE84" s="1160">
        <f t="shared" si="35"/>
        <v>35.673820000001122</v>
      </c>
      <c r="AF84" s="542"/>
      <c r="AG84" s="1160">
        <f t="shared" si="31"/>
        <v>0</v>
      </c>
      <c r="AH84" s="656"/>
      <c r="AI84" s="351"/>
      <c r="AJ84" s="2"/>
      <c r="AK84" s="388"/>
      <c r="AL84" s="388"/>
      <c r="AM84" s="388"/>
      <c r="AN84" s="388"/>
      <c r="AO84" s="370"/>
      <c r="AP84" s="370"/>
      <c r="AQ84" s="386"/>
      <c r="AR84" s="551">
        <v>0</v>
      </c>
      <c r="AS84" s="386">
        <v>19.8</v>
      </c>
      <c r="AT84" s="386">
        <v>0</v>
      </c>
      <c r="AU84" s="386">
        <v>0</v>
      </c>
      <c r="AV84" s="636">
        <v>380.7</v>
      </c>
      <c r="AW84" s="636">
        <v>491.7</v>
      </c>
      <c r="AX84" s="386">
        <v>0</v>
      </c>
      <c r="AY84" s="551">
        <v>0</v>
      </c>
      <c r="AZ84" s="551">
        <v>0</v>
      </c>
      <c r="BA84" s="551">
        <v>0</v>
      </c>
      <c r="BB84" s="975">
        <v>0</v>
      </c>
      <c r="BC84" s="386">
        <v>0.74</v>
      </c>
      <c r="BD84" s="386">
        <v>1.75</v>
      </c>
      <c r="BE84" s="551">
        <v>0</v>
      </c>
      <c r="BF84" s="386">
        <v>1</v>
      </c>
      <c r="BG84" s="386">
        <v>0</v>
      </c>
      <c r="BH84" s="551">
        <v>0</v>
      </c>
      <c r="BI84" s="386">
        <v>1.02</v>
      </c>
      <c r="BJ84" s="386">
        <v>26.5</v>
      </c>
      <c r="BK84" s="386">
        <v>2.84</v>
      </c>
      <c r="BL84" s="386">
        <v>3.68</v>
      </c>
      <c r="BM84" s="386">
        <v>0</v>
      </c>
      <c r="BN84" s="386">
        <v>20</v>
      </c>
      <c r="BO84" s="386">
        <v>982.4</v>
      </c>
      <c r="BP84" s="386">
        <v>2</v>
      </c>
      <c r="BQ84" s="615">
        <v>18.809999999999999</v>
      </c>
      <c r="BR84" s="615">
        <v>19.48</v>
      </c>
      <c r="BS84" s="615">
        <v>14.32</v>
      </c>
      <c r="BT84" s="615">
        <v>7.87</v>
      </c>
      <c r="BU84" s="614">
        <v>24.1</v>
      </c>
      <c r="BV84" s="614">
        <v>28.1</v>
      </c>
      <c r="BW84" s="615">
        <v>577.70000000000005</v>
      </c>
      <c r="BX84" s="791"/>
      <c r="BY84" s="615">
        <v>0</v>
      </c>
      <c r="BZ84" s="615">
        <v>1.29</v>
      </c>
      <c r="CA84" s="615">
        <v>1.2</v>
      </c>
      <c r="CB84" s="615">
        <v>8.4</v>
      </c>
      <c r="CC84" s="615">
        <v>8.4</v>
      </c>
      <c r="CD84" s="615">
        <v>15.1</v>
      </c>
      <c r="CE84" s="615">
        <v>33.9</v>
      </c>
      <c r="CF84" s="615">
        <v>15.3</v>
      </c>
      <c r="CG84" s="615">
        <v>7.7</v>
      </c>
      <c r="CH84" s="615">
        <v>13.3</v>
      </c>
      <c r="CI84" s="615">
        <v>17.8</v>
      </c>
      <c r="CJ84" s="615">
        <v>12.66</v>
      </c>
      <c r="CK84" s="615">
        <v>531.29999999999995</v>
      </c>
      <c r="CL84" s="615">
        <v>1.9</v>
      </c>
      <c r="CM84" s="615">
        <v>1.6</v>
      </c>
      <c r="CN84" s="615">
        <v>147.80000000000001</v>
      </c>
      <c r="CO84" s="615">
        <v>502.7</v>
      </c>
      <c r="CP84" s="615">
        <v>463</v>
      </c>
      <c r="CQ84" s="615">
        <v>13.2</v>
      </c>
      <c r="CR84" s="615">
        <v>0.79</v>
      </c>
      <c r="CS84" s="386">
        <v>0</v>
      </c>
      <c r="CT84" s="386">
        <v>15.965999999999999</v>
      </c>
      <c r="CU84" s="386">
        <v>43</v>
      </c>
      <c r="CV84" s="499">
        <v>0</v>
      </c>
      <c r="CW84" s="499">
        <v>0</v>
      </c>
      <c r="CX84" s="499">
        <v>0</v>
      </c>
      <c r="CY84" s="499">
        <v>0</v>
      </c>
      <c r="CZ84" s="643">
        <v>4450</v>
      </c>
      <c r="DA84" s="643">
        <v>6650</v>
      </c>
      <c r="DB84" s="782">
        <v>3850</v>
      </c>
      <c r="DC84" s="609">
        <v>1118.1500000000001</v>
      </c>
      <c r="DD84" s="1153">
        <f t="shared" si="36"/>
        <v>0.62000000000011823</v>
      </c>
      <c r="DE84" s="1154">
        <f t="shared" si="37"/>
        <v>0</v>
      </c>
      <c r="DF84" s="1154">
        <f t="shared" si="38"/>
        <v>3740</v>
      </c>
      <c r="DG84" s="1154">
        <f t="shared" si="39"/>
        <v>6400</v>
      </c>
      <c r="DH84" s="1155" t="str">
        <f t="shared" si="40"/>
        <v>Palm</v>
      </c>
      <c r="DI84" s="1146">
        <f t="shared" si="41"/>
        <v>2800</v>
      </c>
      <c r="DJ84" s="1146">
        <f t="shared" si="42"/>
        <v>0</v>
      </c>
      <c r="DK84" s="1154">
        <f t="shared" si="43"/>
        <v>0</v>
      </c>
      <c r="DL84" s="615"/>
      <c r="DM84" s="643"/>
      <c r="DN84" s="615"/>
      <c r="DO84" s="499"/>
      <c r="DP84" s="499"/>
      <c r="DQ84" s="499"/>
      <c r="DR84" s="499"/>
      <c r="DS84" s="499"/>
      <c r="DT84" s="499"/>
      <c r="DU84" s="499"/>
      <c r="DV84" s="499"/>
      <c r="DW84" s="499"/>
      <c r="DX84" s="499"/>
      <c r="DY84" s="499"/>
      <c r="DZ84" s="499"/>
      <c r="EA84" s="499"/>
      <c r="EB84" s="499"/>
      <c r="EC84" s="499"/>
      <c r="ED84" s="499"/>
      <c r="EE84" s="499"/>
      <c r="EF84" s="499"/>
      <c r="EG84" s="1146">
        <f t="shared" si="30"/>
        <v>11</v>
      </c>
      <c r="EH84" s="630">
        <v>0</v>
      </c>
      <c r="EI84" s="642">
        <v>1</v>
      </c>
      <c r="EJ84" s="642">
        <v>3.5</v>
      </c>
      <c r="EK84" s="642">
        <v>6.5</v>
      </c>
      <c r="EL84" s="499"/>
      <c r="EM84" s="499"/>
      <c r="EN84" s="499"/>
      <c r="EO84" s="499"/>
      <c r="EP84" s="499"/>
      <c r="EQ84" s="499"/>
      <c r="ER84" s="499"/>
      <c r="ES84" s="388"/>
      <c r="ET84" s="388"/>
      <c r="EV84" s="1167">
        <f t="shared" si="32"/>
        <v>17.016999999999999</v>
      </c>
    </row>
    <row r="85" spans="1:152" s="350" customFormat="1" ht="15" x14ac:dyDescent="0.25">
      <c r="A85" s="632" t="s">
        <v>8</v>
      </c>
      <c r="B85" s="662">
        <v>42811</v>
      </c>
      <c r="C85" s="1132" t="s">
        <v>904</v>
      </c>
      <c r="D85" s="636">
        <v>0.66</v>
      </c>
      <c r="E85" s="636">
        <v>0</v>
      </c>
      <c r="F85" s="636">
        <v>44</v>
      </c>
      <c r="G85" s="739">
        <v>3</v>
      </c>
      <c r="H85" s="739">
        <v>12.65</v>
      </c>
      <c r="I85" s="739">
        <v>9.1</v>
      </c>
      <c r="J85" s="636">
        <v>0</v>
      </c>
      <c r="K85" s="739">
        <v>5.27</v>
      </c>
      <c r="L85" s="741">
        <v>28.680000000000291</v>
      </c>
      <c r="M85" s="739">
        <v>25.5</v>
      </c>
      <c r="N85" s="739">
        <v>1.3</v>
      </c>
      <c r="O85" s="739">
        <v>1.2700440735183134</v>
      </c>
      <c r="P85" s="739">
        <v>1.29</v>
      </c>
      <c r="Q85" s="739">
        <v>0.58160142302203499</v>
      </c>
      <c r="R85" s="782">
        <v>738.05363372093018</v>
      </c>
      <c r="S85" s="739">
        <v>8.31</v>
      </c>
      <c r="T85" s="739">
        <v>8.33</v>
      </c>
      <c r="U85" s="739">
        <v>0.68</v>
      </c>
      <c r="V85" s="739">
        <v>0.74</v>
      </c>
      <c r="W85" s="739">
        <v>44.239999999999995</v>
      </c>
      <c r="X85" s="644">
        <v>44.239999999999995</v>
      </c>
      <c r="Y85" s="739">
        <v>24.69</v>
      </c>
      <c r="Z85" s="739">
        <v>29.6</v>
      </c>
      <c r="AA85" s="739">
        <v>25.9</v>
      </c>
      <c r="AB85" s="739">
        <v>30.91</v>
      </c>
      <c r="AC85" s="1160">
        <f t="shared" si="33"/>
        <v>56.81</v>
      </c>
      <c r="AD85" s="1160">
        <f t="shared" si="34"/>
        <v>87.885069999999999</v>
      </c>
      <c r="AE85" s="1160">
        <f t="shared" si="35"/>
        <v>43.517109999999548</v>
      </c>
      <c r="AF85" s="542"/>
      <c r="AG85" s="1160">
        <f t="shared" si="31"/>
        <v>0</v>
      </c>
      <c r="AH85" s="656"/>
      <c r="AI85" s="351"/>
      <c r="AJ85" s="2"/>
      <c r="AK85" s="388"/>
      <c r="AL85" s="388"/>
      <c r="AM85" s="388"/>
      <c r="AN85" s="388"/>
      <c r="AO85" s="370"/>
      <c r="AP85" s="370"/>
      <c r="AQ85" s="386"/>
      <c r="AR85" s="551">
        <v>0</v>
      </c>
      <c r="AS85" s="386">
        <v>11.2</v>
      </c>
      <c r="AT85" s="386">
        <v>0</v>
      </c>
      <c r="AU85" s="386">
        <v>0</v>
      </c>
      <c r="AV85" s="636">
        <v>298.7</v>
      </c>
      <c r="AW85" s="636">
        <v>327.39999999999998</v>
      </c>
      <c r="AX85" s="386">
        <v>0</v>
      </c>
      <c r="AY85" s="551">
        <v>0</v>
      </c>
      <c r="AZ85" s="551">
        <v>0</v>
      </c>
      <c r="BA85" s="551">
        <v>0</v>
      </c>
      <c r="BB85" s="975">
        <v>0</v>
      </c>
      <c r="BC85" s="386">
        <v>0.75</v>
      </c>
      <c r="BD85" s="386">
        <v>1.75</v>
      </c>
      <c r="BE85" s="551">
        <v>0</v>
      </c>
      <c r="BF85" s="386">
        <v>1</v>
      </c>
      <c r="BG85" s="386">
        <v>0</v>
      </c>
      <c r="BH85" s="551">
        <v>0</v>
      </c>
      <c r="BI85" s="386">
        <v>1.01</v>
      </c>
      <c r="BJ85" s="386">
        <v>26.4</v>
      </c>
      <c r="BK85" s="386">
        <v>2.73</v>
      </c>
      <c r="BL85" s="386">
        <v>3.87</v>
      </c>
      <c r="BM85" s="386">
        <v>0</v>
      </c>
      <c r="BN85" s="386">
        <v>19.899999999999999</v>
      </c>
      <c r="BO85" s="386">
        <v>1062.5999999999999</v>
      </c>
      <c r="BP85" s="386">
        <v>2</v>
      </c>
      <c r="BQ85" s="615">
        <v>19.61</v>
      </c>
      <c r="BR85" s="615">
        <v>20.29</v>
      </c>
      <c r="BS85" s="615">
        <v>14.77</v>
      </c>
      <c r="BT85" s="615">
        <v>7.98</v>
      </c>
      <c r="BU85" s="614">
        <v>24.6</v>
      </c>
      <c r="BV85" s="614">
        <v>26.2</v>
      </c>
      <c r="BW85" s="615">
        <v>511.2</v>
      </c>
      <c r="BX85" s="791"/>
      <c r="BY85" s="615">
        <v>0</v>
      </c>
      <c r="BZ85" s="615">
        <v>1.26</v>
      </c>
      <c r="CA85" s="615">
        <v>1.2</v>
      </c>
      <c r="CB85" s="615">
        <v>8.3000000000000007</v>
      </c>
      <c r="CC85" s="615">
        <v>8.4</v>
      </c>
      <c r="CD85" s="615">
        <v>15.4</v>
      </c>
      <c r="CE85" s="615">
        <v>34.4</v>
      </c>
      <c r="CF85" s="615">
        <v>14</v>
      </c>
      <c r="CG85" s="615">
        <v>8.3000000000000007</v>
      </c>
      <c r="CH85" s="615">
        <v>14.1</v>
      </c>
      <c r="CI85" s="615">
        <v>18.100000000000001</v>
      </c>
      <c r="CJ85" s="615">
        <v>13.14</v>
      </c>
      <c r="CK85" s="615">
        <v>552.1</v>
      </c>
      <c r="CL85" s="615">
        <v>1.9</v>
      </c>
      <c r="CM85" s="615">
        <v>1.2</v>
      </c>
      <c r="CN85" s="615">
        <v>174.4</v>
      </c>
      <c r="CO85" s="615">
        <v>497.3</v>
      </c>
      <c r="CP85" s="615">
        <v>462.7</v>
      </c>
      <c r="CQ85" s="615">
        <v>13.2</v>
      </c>
      <c r="CR85" s="615">
        <v>0.8</v>
      </c>
      <c r="CS85" s="386">
        <v>0</v>
      </c>
      <c r="CT85" s="386">
        <v>15.87</v>
      </c>
      <c r="CU85" s="386">
        <v>44</v>
      </c>
      <c r="CV85" s="499">
        <v>0</v>
      </c>
      <c r="CW85" s="499">
        <v>0</v>
      </c>
      <c r="CX85" s="499">
        <v>0</v>
      </c>
      <c r="CY85" s="499">
        <v>0</v>
      </c>
      <c r="CZ85" s="643">
        <v>3440</v>
      </c>
      <c r="DA85" s="643">
        <v>5230</v>
      </c>
      <c r="DB85" s="782">
        <v>3080</v>
      </c>
      <c r="DC85" s="609">
        <v>1116.3900000000001</v>
      </c>
      <c r="DD85" s="1153">
        <f t="shared" si="36"/>
        <v>-1.7599999999999909</v>
      </c>
      <c r="DE85" s="1154">
        <f t="shared" si="37"/>
        <v>0</v>
      </c>
      <c r="DF85" s="1154">
        <f t="shared" si="38"/>
        <v>2970</v>
      </c>
      <c r="DG85" s="1154">
        <f t="shared" si="39"/>
        <v>4980</v>
      </c>
      <c r="DH85" s="1155" t="str">
        <f t="shared" si="40"/>
        <v>Palm</v>
      </c>
      <c r="DI85" s="1146">
        <f t="shared" si="41"/>
        <v>2150</v>
      </c>
      <c r="DJ85" s="1146">
        <f t="shared" si="42"/>
        <v>0</v>
      </c>
      <c r="DK85" s="1154">
        <f t="shared" si="43"/>
        <v>0</v>
      </c>
      <c r="DL85" s="615"/>
      <c r="DM85" s="643"/>
      <c r="DN85" s="615"/>
      <c r="DO85" s="499"/>
      <c r="DP85" s="499"/>
      <c r="DQ85" s="499"/>
      <c r="DR85" s="499"/>
      <c r="DS85" s="499"/>
      <c r="DT85" s="499"/>
      <c r="DU85" s="499"/>
      <c r="DV85" s="499"/>
      <c r="DW85" s="499"/>
      <c r="DX85" s="499"/>
      <c r="DY85" s="499"/>
      <c r="DZ85" s="499"/>
      <c r="EA85" s="499"/>
      <c r="EB85" s="499"/>
      <c r="EC85" s="499"/>
      <c r="ED85" s="499"/>
      <c r="EE85" s="499"/>
      <c r="EF85" s="499"/>
      <c r="EG85" s="1146">
        <f t="shared" si="30"/>
        <v>11</v>
      </c>
      <c r="EH85" s="630">
        <v>0</v>
      </c>
      <c r="EI85" s="642">
        <v>1</v>
      </c>
      <c r="EJ85" s="642">
        <v>3.5</v>
      </c>
      <c r="EK85" s="642">
        <v>6.5</v>
      </c>
      <c r="EL85" s="499"/>
      <c r="EM85" s="499"/>
      <c r="EN85" s="499"/>
      <c r="EO85" s="499"/>
      <c r="EP85" s="499"/>
      <c r="EQ85" s="499"/>
      <c r="ER85" s="499"/>
      <c r="ES85" s="388"/>
      <c r="ET85" s="388"/>
      <c r="EV85" s="1167">
        <f t="shared" si="32"/>
        <v>17.016999999999999</v>
      </c>
    </row>
    <row r="86" spans="1:152" s="350" customFormat="1" ht="15" x14ac:dyDescent="0.25">
      <c r="A86" s="632" t="s">
        <v>9</v>
      </c>
      <c r="B86" s="662">
        <v>42812</v>
      </c>
      <c r="C86" s="1132" t="s">
        <v>904</v>
      </c>
      <c r="D86" s="636">
        <v>1.56</v>
      </c>
      <c r="E86" s="636">
        <v>0</v>
      </c>
      <c r="F86" s="636">
        <v>35</v>
      </c>
      <c r="G86" s="739">
        <v>2.6</v>
      </c>
      <c r="H86" s="739">
        <v>45.4</v>
      </c>
      <c r="I86" s="739">
        <v>11.3</v>
      </c>
      <c r="J86" s="636">
        <v>0</v>
      </c>
      <c r="K86" s="739">
        <v>7.4</v>
      </c>
      <c r="L86" s="741">
        <v>32.989999999997963</v>
      </c>
      <c r="M86" s="739">
        <v>21.5</v>
      </c>
      <c r="N86" s="739">
        <v>1.29</v>
      </c>
      <c r="O86" s="739">
        <v>1.3270923958509699</v>
      </c>
      <c r="P86" s="739">
        <v>1.3</v>
      </c>
      <c r="Q86" s="739">
        <v>0.60139692877567841</v>
      </c>
      <c r="R86" s="782">
        <v>766.38902616279074</v>
      </c>
      <c r="S86" s="739">
        <v>8.25</v>
      </c>
      <c r="T86" s="739">
        <v>8.25</v>
      </c>
      <c r="U86" s="739">
        <v>0.7</v>
      </c>
      <c r="V86" s="739">
        <v>0.77</v>
      </c>
      <c r="W86" s="739">
        <v>43.34</v>
      </c>
      <c r="X86" s="644">
        <v>43.7</v>
      </c>
      <c r="Y86" s="739">
        <v>25.9</v>
      </c>
      <c r="Z86" s="739">
        <v>30.91</v>
      </c>
      <c r="AA86" s="739">
        <v>25.8</v>
      </c>
      <c r="AB86" s="739">
        <v>30.69</v>
      </c>
      <c r="AC86" s="1160">
        <f t="shared" si="33"/>
        <v>56.49</v>
      </c>
      <c r="AD86" s="1160">
        <f t="shared" si="34"/>
        <v>87.390029999999996</v>
      </c>
      <c r="AE86" s="1160">
        <f t="shared" si="35"/>
        <v>36.354500000003149</v>
      </c>
      <c r="AF86" s="542"/>
      <c r="AG86" s="1160">
        <f t="shared" si="31"/>
        <v>0</v>
      </c>
      <c r="AH86" s="656"/>
      <c r="AI86" s="351"/>
      <c r="AJ86" s="2"/>
      <c r="AK86" s="388"/>
      <c r="AL86" s="388"/>
      <c r="AM86" s="388"/>
      <c r="AN86" s="388"/>
      <c r="AO86" s="370"/>
      <c r="AP86" s="370"/>
      <c r="AQ86" s="386"/>
      <c r="AR86" s="551">
        <v>0</v>
      </c>
      <c r="AS86" s="386">
        <v>21.4</v>
      </c>
      <c r="AT86" s="386">
        <v>0</v>
      </c>
      <c r="AU86" s="386">
        <v>0</v>
      </c>
      <c r="AV86" s="636">
        <v>438.3</v>
      </c>
      <c r="AW86" s="636">
        <v>560.79999999999995</v>
      </c>
      <c r="AX86" s="386">
        <v>0</v>
      </c>
      <c r="AY86" s="551">
        <v>0</v>
      </c>
      <c r="AZ86" s="551">
        <v>0</v>
      </c>
      <c r="BA86" s="551">
        <v>0</v>
      </c>
      <c r="BB86" s="975">
        <v>0</v>
      </c>
      <c r="BC86" s="386">
        <v>0.75</v>
      </c>
      <c r="BD86" s="386">
        <v>1.75</v>
      </c>
      <c r="BE86" s="551">
        <v>0</v>
      </c>
      <c r="BF86" s="386">
        <v>1</v>
      </c>
      <c r="BG86" s="386">
        <v>0</v>
      </c>
      <c r="BH86" s="551">
        <v>0</v>
      </c>
      <c r="BI86" s="386">
        <v>1.02</v>
      </c>
      <c r="BJ86" s="386">
        <v>26.2</v>
      </c>
      <c r="BK86" s="386">
        <v>2.82</v>
      </c>
      <c r="BL86" s="386">
        <v>3.96</v>
      </c>
      <c r="BM86" s="386">
        <v>0</v>
      </c>
      <c r="BN86" s="386">
        <v>19.600000000000001</v>
      </c>
      <c r="BO86" s="386">
        <v>825.6</v>
      </c>
      <c r="BP86" s="386">
        <v>2</v>
      </c>
      <c r="BQ86" s="615">
        <v>20.66</v>
      </c>
      <c r="BR86" s="615">
        <v>21.33</v>
      </c>
      <c r="BS86" s="615">
        <v>14.47</v>
      </c>
      <c r="BT86" s="615">
        <v>7.66</v>
      </c>
      <c r="BU86" s="614">
        <v>24</v>
      </c>
      <c r="BV86" s="614">
        <v>25</v>
      </c>
      <c r="BW86" s="615">
        <v>499.6</v>
      </c>
      <c r="BX86" s="791"/>
      <c r="BY86" s="615">
        <v>0</v>
      </c>
      <c r="BZ86" s="615">
        <v>1.26</v>
      </c>
      <c r="CA86" s="615">
        <v>1.2</v>
      </c>
      <c r="CB86" s="615">
        <v>8.3000000000000007</v>
      </c>
      <c r="CC86" s="615">
        <v>8.3000000000000007</v>
      </c>
      <c r="CD86" s="615">
        <v>15.4</v>
      </c>
      <c r="CE86" s="615">
        <v>34.4</v>
      </c>
      <c r="CF86" s="615">
        <v>13</v>
      </c>
      <c r="CG86" s="615">
        <v>7</v>
      </c>
      <c r="CH86" s="615">
        <v>12.5</v>
      </c>
      <c r="CI86" s="615">
        <v>16.600000000000001</v>
      </c>
      <c r="CJ86" s="615">
        <v>12.78</v>
      </c>
      <c r="CK86" s="615">
        <v>519.4</v>
      </c>
      <c r="CL86" s="615">
        <v>1.6</v>
      </c>
      <c r="CM86" s="615">
        <v>0.7</v>
      </c>
      <c r="CN86" s="615">
        <v>245.1</v>
      </c>
      <c r="CO86" s="615">
        <v>425</v>
      </c>
      <c r="CP86" s="615">
        <v>459.3</v>
      </c>
      <c r="CQ86" s="615">
        <v>12.9</v>
      </c>
      <c r="CR86" s="615">
        <v>0.77</v>
      </c>
      <c r="CS86" s="386">
        <v>0</v>
      </c>
      <c r="CT86" s="386">
        <v>15.286</v>
      </c>
      <c r="CU86" s="386">
        <v>44</v>
      </c>
      <c r="CV86" s="499">
        <v>0</v>
      </c>
      <c r="CW86" s="499">
        <v>0</v>
      </c>
      <c r="CX86" s="499">
        <v>0</v>
      </c>
      <c r="CY86" s="499">
        <v>0</v>
      </c>
      <c r="CZ86" s="643">
        <v>2280</v>
      </c>
      <c r="DA86" s="643">
        <v>5150</v>
      </c>
      <c r="DB86" s="782">
        <v>2250</v>
      </c>
      <c r="DC86" s="609">
        <v>1117.33</v>
      </c>
      <c r="DD86" s="1153">
        <f t="shared" si="36"/>
        <v>0.9399999999998272</v>
      </c>
      <c r="DE86" s="1154">
        <f t="shared" si="37"/>
        <v>0</v>
      </c>
      <c r="DF86" s="1154">
        <f t="shared" si="38"/>
        <v>2140</v>
      </c>
      <c r="DG86" s="1154">
        <f t="shared" si="39"/>
        <v>4900</v>
      </c>
      <c r="DH86" s="1155" t="str">
        <f t="shared" si="40"/>
        <v>Palm</v>
      </c>
      <c r="DI86" s="1146">
        <f t="shared" si="41"/>
        <v>2900</v>
      </c>
      <c r="DJ86" s="1146">
        <f t="shared" si="42"/>
        <v>0</v>
      </c>
      <c r="DK86" s="1154">
        <f t="shared" si="43"/>
        <v>0</v>
      </c>
      <c r="DL86" s="615"/>
      <c r="DM86" s="643"/>
      <c r="DN86" s="615"/>
      <c r="DO86" s="499"/>
      <c r="DP86" s="499"/>
      <c r="DQ86" s="499"/>
      <c r="DR86" s="499"/>
      <c r="DS86" s="499"/>
      <c r="DT86" s="499"/>
      <c r="DU86" s="499"/>
      <c r="DV86" s="499"/>
      <c r="DW86" s="499"/>
      <c r="DX86" s="499"/>
      <c r="DY86" s="499"/>
      <c r="DZ86" s="499"/>
      <c r="EA86" s="499"/>
      <c r="EB86" s="499"/>
      <c r="EC86" s="499"/>
      <c r="ED86" s="499"/>
      <c r="EE86" s="499"/>
      <c r="EF86" s="499"/>
      <c r="EG86" s="1146">
        <f t="shared" si="30"/>
        <v>11</v>
      </c>
      <c r="EH86" s="630">
        <v>0</v>
      </c>
      <c r="EI86" s="642">
        <v>1</v>
      </c>
      <c r="EJ86" s="642">
        <v>3.5</v>
      </c>
      <c r="EK86" s="642">
        <v>6.5</v>
      </c>
      <c r="EL86" s="499"/>
      <c r="EM86" s="499"/>
      <c r="EN86" s="499"/>
      <c r="EO86" s="499"/>
      <c r="EP86" s="499"/>
      <c r="EQ86" s="499"/>
      <c r="ER86" s="499"/>
      <c r="ES86" s="388"/>
      <c r="ET86" s="388"/>
      <c r="EV86" s="1167">
        <f t="shared" si="32"/>
        <v>17.016999999999999</v>
      </c>
    </row>
    <row r="87" spans="1:152" s="350" customFormat="1" ht="15" x14ac:dyDescent="0.25">
      <c r="A87" s="632" t="s">
        <v>3</v>
      </c>
      <c r="B87" s="662">
        <v>42813</v>
      </c>
      <c r="C87" s="1132" t="s">
        <v>904</v>
      </c>
      <c r="D87" s="636">
        <v>0</v>
      </c>
      <c r="E87" s="636">
        <v>0</v>
      </c>
      <c r="F87" s="636">
        <v>38</v>
      </c>
      <c r="G87" s="739">
        <v>2.5</v>
      </c>
      <c r="H87" s="739">
        <v>59.1</v>
      </c>
      <c r="I87" s="739">
        <v>13.1</v>
      </c>
      <c r="J87" s="636">
        <v>0</v>
      </c>
      <c r="K87" s="739">
        <v>7.27</v>
      </c>
      <c r="L87" s="741">
        <v>49.210000000002765</v>
      </c>
      <c r="M87" s="739">
        <v>20.6</v>
      </c>
      <c r="N87" s="739">
        <v>1.34</v>
      </c>
      <c r="O87" s="739">
        <v>1.3035973837208588</v>
      </c>
      <c r="P87" s="739">
        <v>1.33</v>
      </c>
      <c r="Q87" s="739">
        <v>0.58919669459719537</v>
      </c>
      <c r="R87" s="782">
        <v>708.71816860465117</v>
      </c>
      <c r="S87" s="739">
        <v>8.3000000000000007</v>
      </c>
      <c r="T87" s="739">
        <v>8.24</v>
      </c>
      <c r="U87" s="739">
        <v>0.73</v>
      </c>
      <c r="V87" s="739">
        <v>0.81</v>
      </c>
      <c r="W87" s="739">
        <v>44.960000000000008</v>
      </c>
      <c r="X87" s="644">
        <v>44.600000000000009</v>
      </c>
      <c r="Y87" s="739">
        <v>25.8</v>
      </c>
      <c r="Z87" s="739">
        <v>30.69</v>
      </c>
      <c r="AA87" s="739">
        <v>25.85</v>
      </c>
      <c r="AB87" s="739">
        <v>28.02</v>
      </c>
      <c r="AC87" s="1160">
        <f t="shared" si="33"/>
        <v>53.870000000000005</v>
      </c>
      <c r="AD87" s="1160">
        <f t="shared" si="34"/>
        <v>83.336889999999997</v>
      </c>
      <c r="AE87" s="1160">
        <f t="shared" si="35"/>
        <v>7.2090199999957179</v>
      </c>
      <c r="AF87" s="542"/>
      <c r="AG87" s="1160">
        <f t="shared" si="31"/>
        <v>0</v>
      </c>
      <c r="AH87" s="656"/>
      <c r="AI87" s="351"/>
      <c r="AJ87" s="2"/>
      <c r="AK87" s="388"/>
      <c r="AL87" s="388"/>
      <c r="AM87" s="388"/>
      <c r="AN87" s="388"/>
      <c r="AO87" s="370"/>
      <c r="AP87" s="370"/>
      <c r="AQ87" s="386"/>
      <c r="AR87" s="551">
        <v>0</v>
      </c>
      <c r="AS87" s="386">
        <v>11.2</v>
      </c>
      <c r="AT87" s="386">
        <v>0</v>
      </c>
      <c r="AU87" s="386">
        <v>0</v>
      </c>
      <c r="AV87" s="636">
        <v>307.2</v>
      </c>
      <c r="AW87" s="636">
        <v>385.3</v>
      </c>
      <c r="AX87" s="386">
        <v>0</v>
      </c>
      <c r="AY87" s="551">
        <v>0</v>
      </c>
      <c r="AZ87" s="551">
        <v>0</v>
      </c>
      <c r="BA87" s="551">
        <v>0</v>
      </c>
      <c r="BB87" s="975">
        <v>0</v>
      </c>
      <c r="BC87" s="386">
        <v>0.75</v>
      </c>
      <c r="BD87" s="386">
        <v>1.75</v>
      </c>
      <c r="BE87" s="551">
        <v>0</v>
      </c>
      <c r="BF87" s="386">
        <v>1</v>
      </c>
      <c r="BG87" s="386">
        <v>0</v>
      </c>
      <c r="BH87" s="551">
        <v>0</v>
      </c>
      <c r="BI87" s="386">
        <v>1.02</v>
      </c>
      <c r="BJ87" s="386">
        <v>23.6</v>
      </c>
      <c r="BK87" s="386">
        <v>2.92</v>
      </c>
      <c r="BL87" s="386">
        <v>3.58</v>
      </c>
      <c r="BM87" s="386">
        <v>0</v>
      </c>
      <c r="BN87" s="386">
        <v>17.2</v>
      </c>
      <c r="BO87" s="386">
        <v>1244.8</v>
      </c>
      <c r="BP87" s="386">
        <v>2</v>
      </c>
      <c r="BQ87" s="615">
        <v>20.02</v>
      </c>
      <c r="BR87" s="615">
        <v>20.72</v>
      </c>
      <c r="BS87" s="615">
        <v>14.64</v>
      </c>
      <c r="BT87" s="615">
        <v>7.96</v>
      </c>
      <c r="BU87" s="614">
        <v>24.4</v>
      </c>
      <c r="BV87" s="614">
        <v>31</v>
      </c>
      <c r="BW87" s="615">
        <v>620.5</v>
      </c>
      <c r="BX87" s="791"/>
      <c r="BY87" s="615">
        <v>0</v>
      </c>
      <c r="BZ87" s="615">
        <v>1.28</v>
      </c>
      <c r="CA87" s="615">
        <v>1.2</v>
      </c>
      <c r="CB87" s="615">
        <v>8.1999999999999993</v>
      </c>
      <c r="CC87" s="615">
        <v>8.3000000000000007</v>
      </c>
      <c r="CD87" s="615">
        <v>16.7</v>
      </c>
      <c r="CE87" s="615">
        <v>34.5</v>
      </c>
      <c r="CF87" s="615">
        <v>11.9</v>
      </c>
      <c r="CG87" s="615">
        <v>7.43</v>
      </c>
      <c r="CH87" s="615">
        <v>13.1</v>
      </c>
      <c r="CI87" s="615">
        <v>17.100000000000001</v>
      </c>
      <c r="CJ87" s="615">
        <v>13.56</v>
      </c>
      <c r="CK87" s="615">
        <v>493.7</v>
      </c>
      <c r="CL87" s="615">
        <v>2.1</v>
      </c>
      <c r="CM87" s="615">
        <v>0.9</v>
      </c>
      <c r="CN87" s="615">
        <v>324.5</v>
      </c>
      <c r="CO87" s="615">
        <v>455.8</v>
      </c>
      <c r="CP87" s="615">
        <v>455.4</v>
      </c>
      <c r="CQ87" s="615">
        <v>0.68</v>
      </c>
      <c r="CR87" s="615">
        <v>0</v>
      </c>
      <c r="CS87" s="386">
        <v>0</v>
      </c>
      <c r="CT87" s="386">
        <v>14.356</v>
      </c>
      <c r="CU87" s="386">
        <v>44</v>
      </c>
      <c r="CV87" s="499">
        <v>0</v>
      </c>
      <c r="CW87" s="499">
        <v>0</v>
      </c>
      <c r="CX87" s="499">
        <v>0</v>
      </c>
      <c r="CY87" s="499">
        <v>0</v>
      </c>
      <c r="CZ87" s="643">
        <v>2320</v>
      </c>
      <c r="DA87" s="643">
        <v>4000</v>
      </c>
      <c r="DB87" s="782">
        <v>2190</v>
      </c>
      <c r="DC87" s="609">
        <v>1120.93</v>
      </c>
      <c r="DD87" s="1153">
        <f t="shared" si="36"/>
        <v>3.6000000000001364</v>
      </c>
      <c r="DE87" s="1154">
        <f t="shared" si="37"/>
        <v>0</v>
      </c>
      <c r="DF87" s="1154">
        <f t="shared" si="38"/>
        <v>2080</v>
      </c>
      <c r="DG87" s="1154">
        <f t="shared" si="39"/>
        <v>3750</v>
      </c>
      <c r="DH87" s="1155" t="str">
        <f t="shared" si="40"/>
        <v>Palm</v>
      </c>
      <c r="DI87" s="1146">
        <f t="shared" si="41"/>
        <v>1810</v>
      </c>
      <c r="DJ87" s="1146">
        <f t="shared" si="42"/>
        <v>0</v>
      </c>
      <c r="DK87" s="1154">
        <f t="shared" si="43"/>
        <v>0</v>
      </c>
      <c r="DL87" s="615"/>
      <c r="DM87" s="643"/>
      <c r="DN87" s="615"/>
      <c r="DO87" s="499"/>
      <c r="DP87" s="499"/>
      <c r="DQ87" s="499"/>
      <c r="DR87" s="499"/>
      <c r="DS87" s="499"/>
      <c r="DT87" s="499"/>
      <c r="DU87" s="499"/>
      <c r="DV87" s="499"/>
      <c r="DW87" s="499"/>
      <c r="DX87" s="499"/>
      <c r="DY87" s="499"/>
      <c r="DZ87" s="499"/>
      <c r="EA87" s="499"/>
      <c r="EB87" s="499"/>
      <c r="EC87" s="499"/>
      <c r="ED87" s="499"/>
      <c r="EE87" s="499"/>
      <c r="EF87" s="499"/>
      <c r="EG87" s="1146">
        <f t="shared" si="30"/>
        <v>11</v>
      </c>
      <c r="EH87" s="630">
        <v>0</v>
      </c>
      <c r="EI87" s="642">
        <v>1</v>
      </c>
      <c r="EJ87" s="642">
        <v>3.5</v>
      </c>
      <c r="EK87" s="642">
        <v>6.5</v>
      </c>
      <c r="EL87" s="499"/>
      <c r="EM87" s="499"/>
      <c r="EN87" s="499"/>
      <c r="EO87" s="499"/>
      <c r="EP87" s="499"/>
      <c r="EQ87" s="499"/>
      <c r="ER87" s="499"/>
      <c r="ES87" s="388"/>
      <c r="ET87" s="388"/>
      <c r="EV87" s="1167">
        <f t="shared" si="32"/>
        <v>17.016999999999999</v>
      </c>
    </row>
    <row r="88" spans="1:152" s="350" customFormat="1" ht="15" x14ac:dyDescent="0.25">
      <c r="A88" s="632" t="s">
        <v>4</v>
      </c>
      <c r="B88" s="662">
        <v>42814</v>
      </c>
      <c r="C88" s="1132" t="s">
        <v>904</v>
      </c>
      <c r="D88" s="636">
        <v>0.01</v>
      </c>
      <c r="E88" s="636">
        <v>0</v>
      </c>
      <c r="F88" s="636">
        <v>46</v>
      </c>
      <c r="G88" s="739">
        <v>1.95</v>
      </c>
      <c r="H88" s="739">
        <v>37.82</v>
      </c>
      <c r="I88" s="739">
        <v>11.8</v>
      </c>
      <c r="J88" s="636">
        <v>0</v>
      </c>
      <c r="K88" s="739">
        <v>8.98</v>
      </c>
      <c r="L88" s="741">
        <v>39.819999999999709</v>
      </c>
      <c r="M88" s="739">
        <v>24</v>
      </c>
      <c r="N88" s="739">
        <v>1.37</v>
      </c>
      <c r="O88" s="739">
        <v>1.296137646409709</v>
      </c>
      <c r="P88" s="739">
        <v>1.31</v>
      </c>
      <c r="Q88" s="739">
        <v>0.5776584081454067</v>
      </c>
      <c r="R88" s="782">
        <v>734.05334302325582</v>
      </c>
      <c r="S88" s="739">
        <v>8.32</v>
      </c>
      <c r="T88" s="739">
        <v>8.35</v>
      </c>
      <c r="U88" s="739">
        <v>0.71</v>
      </c>
      <c r="V88" s="739">
        <v>0.83</v>
      </c>
      <c r="W88" s="739">
        <v>44.960000000000008</v>
      </c>
      <c r="X88" s="644">
        <v>44.960000000000008</v>
      </c>
      <c r="Y88" s="739">
        <v>25.85</v>
      </c>
      <c r="Z88" s="739">
        <v>28.02</v>
      </c>
      <c r="AA88" s="739">
        <v>25.86</v>
      </c>
      <c r="AB88" s="739">
        <v>29.18</v>
      </c>
      <c r="AC88" s="1160">
        <f t="shared" si="33"/>
        <v>55.04</v>
      </c>
      <c r="AD88" s="1160">
        <f t="shared" si="34"/>
        <v>85.146879999999996</v>
      </c>
      <c r="AE88" s="1160">
        <f t="shared" si="35"/>
        <v>23.545340000000451</v>
      </c>
      <c r="AF88" s="542"/>
      <c r="AG88" s="1160">
        <f t="shared" si="31"/>
        <v>0</v>
      </c>
      <c r="AH88" s="656"/>
      <c r="AI88" s="351"/>
      <c r="AJ88" s="2"/>
      <c r="AK88" s="388"/>
      <c r="AL88" s="388"/>
      <c r="AM88" s="388"/>
      <c r="AN88" s="388"/>
      <c r="AO88" s="370"/>
      <c r="AP88" s="370"/>
      <c r="AQ88" s="386"/>
      <c r="AR88" s="551">
        <v>0</v>
      </c>
      <c r="AS88" s="386">
        <v>18.399999999999999</v>
      </c>
      <c r="AT88" s="386">
        <v>0</v>
      </c>
      <c r="AU88" s="386">
        <v>0</v>
      </c>
      <c r="AV88" s="636">
        <v>491.5</v>
      </c>
      <c r="AW88" s="636">
        <v>669.3</v>
      </c>
      <c r="AX88" s="386">
        <v>0</v>
      </c>
      <c r="AY88" s="551">
        <v>0</v>
      </c>
      <c r="AZ88" s="551">
        <v>0</v>
      </c>
      <c r="BA88" s="551">
        <v>0</v>
      </c>
      <c r="BB88" s="975">
        <v>0</v>
      </c>
      <c r="BC88" s="386">
        <v>0.68</v>
      </c>
      <c r="BD88" s="386">
        <v>1.67</v>
      </c>
      <c r="BE88" s="551">
        <v>0</v>
      </c>
      <c r="BF88" s="386">
        <v>0.99</v>
      </c>
      <c r="BG88" s="386">
        <v>0</v>
      </c>
      <c r="BH88" s="551">
        <v>0</v>
      </c>
      <c r="BI88" s="386">
        <v>1.02</v>
      </c>
      <c r="BJ88" s="386">
        <v>24.9</v>
      </c>
      <c r="BK88" s="386">
        <v>2.98</v>
      </c>
      <c r="BL88" s="386">
        <v>3.53</v>
      </c>
      <c r="BM88" s="386">
        <v>0</v>
      </c>
      <c r="BN88" s="386">
        <v>18.399999999999999</v>
      </c>
      <c r="BO88" s="386">
        <v>1076.5</v>
      </c>
      <c r="BP88" s="386">
        <v>32.4</v>
      </c>
      <c r="BQ88" s="615">
        <v>19.899999999999999</v>
      </c>
      <c r="BR88" s="615">
        <v>20.58</v>
      </c>
      <c r="BS88" s="615">
        <v>14.36</v>
      </c>
      <c r="BT88" s="615">
        <v>7.75</v>
      </c>
      <c r="BU88" s="614">
        <v>23.9</v>
      </c>
      <c r="BV88" s="614">
        <v>28.6</v>
      </c>
      <c r="BW88" s="615">
        <v>573.4</v>
      </c>
      <c r="BX88" s="791"/>
      <c r="BY88" s="615">
        <v>0</v>
      </c>
      <c r="BZ88" s="615">
        <v>1.34</v>
      </c>
      <c r="CA88" s="615">
        <v>1.3</v>
      </c>
      <c r="CB88" s="615">
        <v>8.4</v>
      </c>
      <c r="CC88" s="615">
        <v>8.3000000000000007</v>
      </c>
      <c r="CD88" s="615">
        <v>16</v>
      </c>
      <c r="CE88" s="615">
        <v>34.200000000000003</v>
      </c>
      <c r="CF88" s="615">
        <v>14.6</v>
      </c>
      <c r="CG88" s="615">
        <v>7.9</v>
      </c>
      <c r="CH88" s="615">
        <v>13.6</v>
      </c>
      <c r="CI88" s="615">
        <v>17.5</v>
      </c>
      <c r="CJ88" s="615">
        <v>13.01</v>
      </c>
      <c r="CK88" s="615">
        <v>461.7</v>
      </c>
      <c r="CL88" s="615">
        <v>2.2000000000000002</v>
      </c>
      <c r="CM88" s="615">
        <v>3.1</v>
      </c>
      <c r="CN88" s="615">
        <v>159.80000000000001</v>
      </c>
      <c r="CO88" s="615">
        <v>540.79999999999995</v>
      </c>
      <c r="CP88" s="615">
        <v>455.1</v>
      </c>
      <c r="CQ88" s="615">
        <v>11.5</v>
      </c>
      <c r="CR88" s="615">
        <v>0.69</v>
      </c>
      <c r="CS88" s="386">
        <v>0</v>
      </c>
      <c r="CT88" s="386">
        <v>15.590999999999999</v>
      </c>
      <c r="CU88" s="386">
        <v>44</v>
      </c>
      <c r="CV88" s="499">
        <v>0</v>
      </c>
      <c r="CW88" s="499">
        <v>0</v>
      </c>
      <c r="CX88" s="499">
        <v>0</v>
      </c>
      <c r="CY88" s="499">
        <v>0</v>
      </c>
      <c r="CZ88" s="643">
        <v>1810</v>
      </c>
      <c r="DA88" s="643">
        <v>3230</v>
      </c>
      <c r="DB88" s="782">
        <v>1730</v>
      </c>
      <c r="DC88" s="609">
        <v>1122.08</v>
      </c>
      <c r="DD88" s="1153">
        <f t="shared" si="36"/>
        <v>1.1499999999998636</v>
      </c>
      <c r="DE88" s="1154">
        <f t="shared" si="37"/>
        <v>0</v>
      </c>
      <c r="DF88" s="1154">
        <f t="shared" si="38"/>
        <v>1620</v>
      </c>
      <c r="DG88" s="1154">
        <f t="shared" si="39"/>
        <v>2980</v>
      </c>
      <c r="DH88" s="1155" t="str">
        <f t="shared" si="40"/>
        <v>Palm</v>
      </c>
      <c r="DI88" s="1146">
        <f t="shared" si="41"/>
        <v>1500</v>
      </c>
      <c r="DJ88" s="1146">
        <f t="shared" si="42"/>
        <v>0</v>
      </c>
      <c r="DK88" s="1154">
        <f t="shared" si="43"/>
        <v>0</v>
      </c>
      <c r="DL88" s="615"/>
      <c r="DM88" s="643"/>
      <c r="DN88" s="615"/>
      <c r="DO88" s="499"/>
      <c r="DP88" s="499"/>
      <c r="DQ88" s="499"/>
      <c r="DR88" s="499"/>
      <c r="DS88" s="499"/>
      <c r="DT88" s="499"/>
      <c r="DU88" s="499"/>
      <c r="DV88" s="499"/>
      <c r="DW88" s="499"/>
      <c r="DX88" s="499"/>
      <c r="DY88" s="499"/>
      <c r="DZ88" s="499"/>
      <c r="EA88" s="499"/>
      <c r="EB88" s="499"/>
      <c r="EC88" s="499"/>
      <c r="ED88" s="499"/>
      <c r="EE88" s="499"/>
      <c r="EF88" s="499"/>
      <c r="EG88" s="1146">
        <f t="shared" si="30"/>
        <v>10.5</v>
      </c>
      <c r="EH88" s="630">
        <v>0</v>
      </c>
      <c r="EI88" s="642">
        <v>1</v>
      </c>
      <c r="EJ88" s="642">
        <v>3</v>
      </c>
      <c r="EK88" s="642">
        <v>6.5</v>
      </c>
      <c r="EL88" s="499"/>
      <c r="EM88" s="499"/>
      <c r="EN88" s="499"/>
      <c r="EO88" s="499"/>
      <c r="EP88" s="499"/>
      <c r="EQ88" s="499"/>
      <c r="ER88" s="499"/>
      <c r="ES88" s="388"/>
      <c r="ET88" s="388"/>
      <c r="EV88" s="1167">
        <f t="shared" si="32"/>
        <v>16.243500000000001</v>
      </c>
    </row>
    <row r="89" spans="1:152" s="350" customFormat="1" ht="15" x14ac:dyDescent="0.25">
      <c r="A89" s="632" t="s">
        <v>5</v>
      </c>
      <c r="B89" s="662">
        <v>42815</v>
      </c>
      <c r="C89" s="1132" t="s">
        <v>904</v>
      </c>
      <c r="D89" s="636">
        <v>0.47</v>
      </c>
      <c r="E89" s="636">
        <v>0</v>
      </c>
      <c r="F89" s="636">
        <v>42</v>
      </c>
      <c r="G89" s="739">
        <v>1.85</v>
      </c>
      <c r="H89" s="739">
        <v>24.9</v>
      </c>
      <c r="I89" s="739">
        <v>11.4</v>
      </c>
      <c r="J89" s="636">
        <v>0</v>
      </c>
      <c r="K89" s="739">
        <v>7.05</v>
      </c>
      <c r="L89" s="741">
        <v>35.099999999998545</v>
      </c>
      <c r="M89" s="739">
        <v>24</v>
      </c>
      <c r="N89" s="739">
        <v>1.36</v>
      </c>
      <c r="O89" s="739">
        <v>1.3267274150268338</v>
      </c>
      <c r="P89" s="739">
        <v>1.34</v>
      </c>
      <c r="Q89" s="739">
        <v>0.61373096383440084</v>
      </c>
      <c r="R89" s="782">
        <v>711.05167151162789</v>
      </c>
      <c r="S89" s="739">
        <v>8.2899999999999991</v>
      </c>
      <c r="T89" s="739">
        <v>8.35</v>
      </c>
      <c r="U89" s="739">
        <v>0.74</v>
      </c>
      <c r="V89" s="739">
        <v>0.86</v>
      </c>
      <c r="W89" s="739">
        <v>44.600000000000009</v>
      </c>
      <c r="X89" s="644">
        <v>44.600000000000009</v>
      </c>
      <c r="Y89" s="739">
        <v>25.86</v>
      </c>
      <c r="Z89" s="739">
        <v>29.18</v>
      </c>
      <c r="AA89" s="739">
        <v>25.89</v>
      </c>
      <c r="AB89" s="739">
        <v>27.97</v>
      </c>
      <c r="AC89" s="1160">
        <f t="shared" si="33"/>
        <v>53.86</v>
      </c>
      <c r="AD89" s="1160">
        <f t="shared" si="34"/>
        <v>83.321419999999989</v>
      </c>
      <c r="AE89" s="1160">
        <f t="shared" si="35"/>
        <v>29.02172000000224</v>
      </c>
      <c r="AF89" s="542"/>
      <c r="AG89" s="1160">
        <f t="shared" si="31"/>
        <v>0</v>
      </c>
      <c r="AH89" s="656"/>
      <c r="AI89" s="351"/>
      <c r="AJ89" s="2"/>
      <c r="AK89" s="388"/>
      <c r="AL89" s="388"/>
      <c r="AM89" s="388"/>
      <c r="AN89" s="388"/>
      <c r="AO89" s="370"/>
      <c r="AP89" s="370"/>
      <c r="AQ89" s="386"/>
      <c r="AR89" s="551">
        <v>0</v>
      </c>
      <c r="AS89" s="386">
        <v>2.9</v>
      </c>
      <c r="AT89" s="1171">
        <v>0.57999999999999996</v>
      </c>
      <c r="AU89" s="386">
        <v>0</v>
      </c>
      <c r="AV89" s="636">
        <v>294.60000000000002</v>
      </c>
      <c r="AW89" s="636">
        <v>320.10000000000002</v>
      </c>
      <c r="AX89" s="386">
        <v>0</v>
      </c>
      <c r="AY89" s="551">
        <v>0</v>
      </c>
      <c r="AZ89" s="551">
        <v>0</v>
      </c>
      <c r="BA89" s="551">
        <v>0</v>
      </c>
      <c r="BB89" s="975">
        <v>0</v>
      </c>
      <c r="BC89" s="386">
        <v>0.5</v>
      </c>
      <c r="BD89" s="386">
        <v>1.5</v>
      </c>
      <c r="BE89" s="551">
        <v>0</v>
      </c>
      <c r="BF89" s="386">
        <v>1</v>
      </c>
      <c r="BG89" s="386">
        <v>0</v>
      </c>
      <c r="BH89" s="551">
        <v>0</v>
      </c>
      <c r="BI89" s="386">
        <v>1.01</v>
      </c>
      <c r="BJ89" s="386">
        <v>24</v>
      </c>
      <c r="BK89" s="386">
        <v>2.96</v>
      </c>
      <c r="BL89" s="386">
        <v>3.53</v>
      </c>
      <c r="BM89" s="386">
        <v>0</v>
      </c>
      <c r="BN89" s="386">
        <v>17.600000000000001</v>
      </c>
      <c r="BO89" s="386">
        <v>1052.4000000000001</v>
      </c>
      <c r="BP89" s="386">
        <v>2</v>
      </c>
      <c r="BQ89" s="615">
        <v>20.18</v>
      </c>
      <c r="BR89" s="615">
        <v>20.87</v>
      </c>
      <c r="BS89" s="615">
        <v>14.43</v>
      </c>
      <c r="BT89" s="615">
        <v>7.73</v>
      </c>
      <c r="BU89" s="614">
        <v>24</v>
      </c>
      <c r="BV89" s="614">
        <v>27.5</v>
      </c>
      <c r="BW89" s="615">
        <v>423.6</v>
      </c>
      <c r="BX89" s="791"/>
      <c r="BY89" s="615">
        <v>0</v>
      </c>
      <c r="BZ89" s="615">
        <v>1.35</v>
      </c>
      <c r="CA89" s="615">
        <v>1.3</v>
      </c>
      <c r="CB89" s="615">
        <v>8.3000000000000007</v>
      </c>
      <c r="CC89" s="615">
        <v>8.3000000000000007</v>
      </c>
      <c r="CD89" s="615">
        <v>15.4</v>
      </c>
      <c r="CE89" s="615">
        <v>34.200000000000003</v>
      </c>
      <c r="CF89" s="615">
        <v>13.2</v>
      </c>
      <c r="CG89" s="615">
        <v>8.1999999999999993</v>
      </c>
      <c r="CH89" s="615">
        <v>14</v>
      </c>
      <c r="CI89" s="615">
        <v>17.899999999999999</v>
      </c>
      <c r="CJ89" s="615">
        <v>12.4</v>
      </c>
      <c r="CK89" s="615">
        <v>478.2</v>
      </c>
      <c r="CL89" s="615">
        <v>2.1</v>
      </c>
      <c r="CM89" s="615">
        <v>3.2</v>
      </c>
      <c r="CN89" s="615">
        <v>158.30000000000001</v>
      </c>
      <c r="CO89" s="615">
        <v>509.6</v>
      </c>
      <c r="CP89" s="615">
        <v>453.7</v>
      </c>
      <c r="CQ89" s="615">
        <v>12</v>
      </c>
      <c r="CR89" s="615">
        <v>0.71</v>
      </c>
      <c r="CS89" s="386">
        <v>0</v>
      </c>
      <c r="CT89" s="386">
        <v>16.286999999999999</v>
      </c>
      <c r="CU89" s="386">
        <v>44</v>
      </c>
      <c r="CV89" s="499">
        <v>0</v>
      </c>
      <c r="CW89" s="499">
        <v>0</v>
      </c>
      <c r="CX89" s="499">
        <v>0</v>
      </c>
      <c r="CY89" s="499">
        <v>0</v>
      </c>
      <c r="CZ89" s="643">
        <v>1690</v>
      </c>
      <c r="DA89" s="643">
        <v>3050</v>
      </c>
      <c r="DB89" s="782">
        <v>1630</v>
      </c>
      <c r="DC89" s="609">
        <v>1123.42</v>
      </c>
      <c r="DD89" s="1153">
        <f t="shared" si="36"/>
        <v>1.3400000000001455</v>
      </c>
      <c r="DE89" s="1154">
        <f t="shared" si="37"/>
        <v>0</v>
      </c>
      <c r="DF89" s="1154">
        <f t="shared" si="38"/>
        <v>1520</v>
      </c>
      <c r="DG89" s="1154">
        <f t="shared" si="39"/>
        <v>2800</v>
      </c>
      <c r="DH89" s="1155" t="str">
        <f t="shared" si="40"/>
        <v>Palm</v>
      </c>
      <c r="DI89" s="1146">
        <f t="shared" si="41"/>
        <v>1420</v>
      </c>
      <c r="DJ89" s="1146">
        <f t="shared" si="42"/>
        <v>0</v>
      </c>
      <c r="DK89" s="1154">
        <f t="shared" si="43"/>
        <v>0</v>
      </c>
      <c r="DL89" s="615"/>
      <c r="DM89" s="643"/>
      <c r="DN89" s="615"/>
      <c r="DO89" s="499"/>
      <c r="DP89" s="499"/>
      <c r="DQ89" s="499"/>
      <c r="DR89" s="499"/>
      <c r="DS89" s="499"/>
      <c r="DT89" s="499"/>
      <c r="DU89" s="499"/>
      <c r="DV89" s="499"/>
      <c r="DW89" s="499"/>
      <c r="DX89" s="499"/>
      <c r="DY89" s="499"/>
      <c r="DZ89" s="499"/>
      <c r="EA89" s="499"/>
      <c r="EB89" s="499"/>
      <c r="EC89" s="499"/>
      <c r="ED89" s="499"/>
      <c r="EE89" s="499"/>
      <c r="EF89" s="499"/>
      <c r="EG89" s="1146">
        <f t="shared" si="30"/>
        <v>10.5</v>
      </c>
      <c r="EH89" s="630">
        <v>0</v>
      </c>
      <c r="EI89" s="642">
        <v>1</v>
      </c>
      <c r="EJ89" s="642">
        <v>3</v>
      </c>
      <c r="EK89" s="642">
        <v>6.5</v>
      </c>
      <c r="EL89" s="499"/>
      <c r="EM89" s="499"/>
      <c r="EN89" s="499"/>
      <c r="EO89" s="499"/>
      <c r="EP89" s="499"/>
      <c r="EQ89" s="499"/>
      <c r="ER89" s="499"/>
      <c r="ES89" s="388"/>
      <c r="ET89" s="388"/>
      <c r="EV89" s="1167">
        <f t="shared" si="32"/>
        <v>16.243500000000001</v>
      </c>
    </row>
    <row r="90" spans="1:152" s="350" customFormat="1" ht="15" x14ac:dyDescent="0.25">
      <c r="A90" s="632" t="s">
        <v>6</v>
      </c>
      <c r="B90" s="662">
        <v>42816</v>
      </c>
      <c r="C90" s="1132" t="s">
        <v>904</v>
      </c>
      <c r="D90" s="636">
        <v>0.2</v>
      </c>
      <c r="E90" s="636">
        <v>0</v>
      </c>
      <c r="F90" s="636">
        <v>40</v>
      </c>
      <c r="G90" s="739">
        <v>1.7</v>
      </c>
      <c r="H90" s="739">
        <v>14.9</v>
      </c>
      <c r="I90" s="739">
        <v>11.9</v>
      </c>
      <c r="J90" s="636">
        <v>0</v>
      </c>
      <c r="K90" s="739">
        <v>5.55</v>
      </c>
      <c r="L90" s="741">
        <v>29.409999999999854</v>
      </c>
      <c r="M90" s="739">
        <v>24.4</v>
      </c>
      <c r="N90" s="739">
        <v>1.34</v>
      </c>
      <c r="O90" s="739">
        <v>1.3121386964388881</v>
      </c>
      <c r="P90" s="739">
        <v>1.35</v>
      </c>
      <c r="Q90" s="739">
        <v>0.58989117443536521</v>
      </c>
      <c r="R90" s="782">
        <v>711.05167151162789</v>
      </c>
      <c r="S90" s="739">
        <v>8.43</v>
      </c>
      <c r="T90" s="739">
        <v>8.3800000000000008</v>
      </c>
      <c r="U90" s="739">
        <v>0.77</v>
      </c>
      <c r="V90" s="739">
        <v>0.88</v>
      </c>
      <c r="W90" s="739">
        <v>44.42</v>
      </c>
      <c r="X90" s="644">
        <v>44.42</v>
      </c>
      <c r="Y90" s="739">
        <v>25.89</v>
      </c>
      <c r="Z90" s="739">
        <v>27.97</v>
      </c>
      <c r="AA90" s="739">
        <v>25.8</v>
      </c>
      <c r="AB90" s="739">
        <v>27.93</v>
      </c>
      <c r="AC90" s="1160">
        <f t="shared" si="33"/>
        <v>53.730000000000004</v>
      </c>
      <c r="AD90" s="1160">
        <f t="shared" si="34"/>
        <v>83.120310000000003</v>
      </c>
      <c r="AE90" s="1160">
        <f t="shared" si="35"/>
        <v>37.623040000000231</v>
      </c>
      <c r="AF90" s="542"/>
      <c r="AG90" s="1160">
        <f t="shared" si="31"/>
        <v>0</v>
      </c>
      <c r="AH90" s="656"/>
      <c r="AI90" s="351"/>
      <c r="AJ90" s="2"/>
      <c r="AK90" s="388"/>
      <c r="AL90" s="388"/>
      <c r="AM90" s="388"/>
      <c r="AN90" s="388"/>
      <c r="AO90" s="370"/>
      <c r="AP90" s="370"/>
      <c r="AQ90" s="636" t="s">
        <v>912</v>
      </c>
      <c r="AR90" s="551">
        <v>0</v>
      </c>
      <c r="AS90" s="386">
        <v>10.5</v>
      </c>
      <c r="AT90" s="1171">
        <v>0.93</v>
      </c>
      <c r="AU90" s="386">
        <v>0</v>
      </c>
      <c r="AV90" s="636">
        <v>334.9</v>
      </c>
      <c r="AW90" s="636">
        <v>519.5</v>
      </c>
      <c r="AX90" s="386">
        <v>0</v>
      </c>
      <c r="AY90" s="551">
        <v>0</v>
      </c>
      <c r="AZ90" s="551">
        <v>0</v>
      </c>
      <c r="BA90" s="551">
        <v>0</v>
      </c>
      <c r="BB90" s="975">
        <v>0</v>
      </c>
      <c r="BC90" s="386">
        <v>0.5</v>
      </c>
      <c r="BD90" s="386">
        <v>1.5</v>
      </c>
      <c r="BE90" s="551">
        <v>0</v>
      </c>
      <c r="BF90" s="386">
        <v>0.99</v>
      </c>
      <c r="BG90" s="386">
        <v>0</v>
      </c>
      <c r="BH90" s="551">
        <v>0</v>
      </c>
      <c r="BI90" s="386">
        <v>1.02</v>
      </c>
      <c r="BJ90" s="386">
        <v>24</v>
      </c>
      <c r="BK90" s="386">
        <v>3.03</v>
      </c>
      <c r="BL90" s="386">
        <v>3.53</v>
      </c>
      <c r="BM90" s="386">
        <v>0</v>
      </c>
      <c r="BN90" s="386">
        <v>17.5</v>
      </c>
      <c r="BO90" s="386">
        <v>957</v>
      </c>
      <c r="BP90" s="386">
        <v>2</v>
      </c>
      <c r="BQ90" s="615">
        <v>19.329999999999998</v>
      </c>
      <c r="BR90" s="615">
        <v>19.989999999999998</v>
      </c>
      <c r="BS90" s="615">
        <v>13.85</v>
      </c>
      <c r="BT90" s="615">
        <v>7.56</v>
      </c>
      <c r="BU90" s="614">
        <v>23.3</v>
      </c>
      <c r="BV90" s="614">
        <v>30.1</v>
      </c>
      <c r="BW90" s="615">
        <v>578.70000000000005</v>
      </c>
      <c r="BX90" s="791"/>
      <c r="BY90" s="615">
        <v>0</v>
      </c>
      <c r="BZ90" s="615">
        <v>1.33</v>
      </c>
      <c r="CA90" s="615">
        <v>1.3</v>
      </c>
      <c r="CB90" s="615">
        <v>8.3000000000000007</v>
      </c>
      <c r="CC90" s="615">
        <v>8.3000000000000007</v>
      </c>
      <c r="CD90" s="615">
        <v>14.4</v>
      </c>
      <c r="CE90" s="615">
        <v>33.9</v>
      </c>
      <c r="CF90" s="615">
        <v>15.4</v>
      </c>
      <c r="CG90" s="615">
        <v>7.9</v>
      </c>
      <c r="CH90" s="615">
        <v>13.4</v>
      </c>
      <c r="CI90" s="615">
        <v>18</v>
      </c>
      <c r="CJ90" s="615">
        <v>11.65</v>
      </c>
      <c r="CK90" s="615">
        <v>495.4</v>
      </c>
      <c r="CL90" s="615">
        <v>2.1</v>
      </c>
      <c r="CM90" s="615">
        <v>3.5</v>
      </c>
      <c r="CN90" s="615">
        <v>203.5</v>
      </c>
      <c r="CO90" s="615">
        <v>548.4</v>
      </c>
      <c r="CP90" s="615">
        <v>455.5</v>
      </c>
      <c r="CQ90" s="615">
        <v>12.5</v>
      </c>
      <c r="CR90" s="615">
        <v>0.75</v>
      </c>
      <c r="CS90" s="386">
        <v>0</v>
      </c>
      <c r="CT90" s="386">
        <v>17.111999999999998</v>
      </c>
      <c r="CU90" s="386">
        <v>45</v>
      </c>
      <c r="CV90" s="499">
        <v>0</v>
      </c>
      <c r="CW90" s="499">
        <v>0</v>
      </c>
      <c r="CX90" s="499">
        <v>0</v>
      </c>
      <c r="CY90" s="499">
        <v>0</v>
      </c>
      <c r="CZ90" s="643">
        <v>1550</v>
      </c>
      <c r="DA90" s="643">
        <v>2760</v>
      </c>
      <c r="DB90" s="782">
        <v>1490</v>
      </c>
      <c r="DC90" s="609">
        <v>1124.5</v>
      </c>
      <c r="DD90" s="1153">
        <f t="shared" si="36"/>
        <v>1.0799999999999272</v>
      </c>
      <c r="DE90" s="1154">
        <f t="shared" si="37"/>
        <v>0</v>
      </c>
      <c r="DF90" s="1154">
        <f t="shared" si="38"/>
        <v>1380</v>
      </c>
      <c r="DG90" s="1154">
        <f t="shared" si="39"/>
        <v>2510</v>
      </c>
      <c r="DH90" s="1155" t="str">
        <f t="shared" si="40"/>
        <v>Palm</v>
      </c>
      <c r="DI90" s="1146">
        <f t="shared" si="41"/>
        <v>1270</v>
      </c>
      <c r="DJ90" s="1146">
        <f t="shared" si="42"/>
        <v>0</v>
      </c>
      <c r="DK90" s="1154">
        <f t="shared" si="43"/>
        <v>0</v>
      </c>
      <c r="DL90" s="615"/>
      <c r="DM90" s="643"/>
      <c r="DN90" s="615"/>
      <c r="DO90" s="499"/>
      <c r="DP90" s="499"/>
      <c r="DQ90" s="499"/>
      <c r="DR90" s="499"/>
      <c r="DS90" s="499"/>
      <c r="DT90" s="499"/>
      <c r="DU90" s="499"/>
      <c r="DV90" s="499"/>
      <c r="DW90" s="499"/>
      <c r="DX90" s="499"/>
      <c r="DY90" s="499"/>
      <c r="DZ90" s="499"/>
      <c r="EA90" s="499"/>
      <c r="EB90" s="499"/>
      <c r="EC90" s="499"/>
      <c r="ED90" s="499"/>
      <c r="EE90" s="499"/>
      <c r="EF90" s="499"/>
      <c r="EG90" s="1146">
        <f t="shared" si="30"/>
        <v>10.5</v>
      </c>
      <c r="EH90" s="630">
        <v>0</v>
      </c>
      <c r="EI90" s="642">
        <v>1</v>
      </c>
      <c r="EJ90" s="642">
        <v>3</v>
      </c>
      <c r="EK90" s="642">
        <v>6.5</v>
      </c>
      <c r="EL90" s="499"/>
      <c r="EM90" s="499"/>
      <c r="EN90" s="499"/>
      <c r="EO90" s="499"/>
      <c r="EP90" s="499"/>
      <c r="EQ90" s="499"/>
      <c r="ER90" s="499"/>
      <c r="ES90" s="388"/>
      <c r="ET90" s="388"/>
      <c r="EV90" s="1167">
        <f t="shared" si="32"/>
        <v>16.243500000000001</v>
      </c>
    </row>
    <row r="91" spans="1:152" s="350" customFormat="1" ht="15" x14ac:dyDescent="0.25">
      <c r="A91" s="632" t="s">
        <v>7</v>
      </c>
      <c r="B91" s="662">
        <v>42817</v>
      </c>
      <c r="C91" s="1132" t="s">
        <v>904</v>
      </c>
      <c r="D91" s="636">
        <v>0.25</v>
      </c>
      <c r="E91" s="636">
        <v>0</v>
      </c>
      <c r="F91" s="636">
        <v>43</v>
      </c>
      <c r="G91" s="739">
        <v>1.7</v>
      </c>
      <c r="H91" s="739">
        <v>13.03</v>
      </c>
      <c r="I91" s="739">
        <v>10.9</v>
      </c>
      <c r="J91" s="636">
        <v>0</v>
      </c>
      <c r="K91" s="739">
        <v>6.19</v>
      </c>
      <c r="L91" s="741">
        <v>12.100000000002183</v>
      </c>
      <c r="M91" s="739">
        <v>25.6</v>
      </c>
      <c r="N91" s="739">
        <v>1.3</v>
      </c>
      <c r="O91" s="739">
        <v>1.3222897524946164</v>
      </c>
      <c r="P91" s="739">
        <v>1.31</v>
      </c>
      <c r="Q91" s="739">
        <v>0.59141347424042268</v>
      </c>
      <c r="R91" s="782">
        <v>719.05225290697683</v>
      </c>
      <c r="S91" s="739">
        <v>8.31</v>
      </c>
      <c r="T91" s="739">
        <v>8.33</v>
      </c>
      <c r="U91" s="739">
        <v>0.74</v>
      </c>
      <c r="V91" s="739">
        <v>0.81</v>
      </c>
      <c r="W91" s="739">
        <v>43.88000000000001</v>
      </c>
      <c r="X91" s="644">
        <v>43.88000000000001</v>
      </c>
      <c r="Y91" s="739">
        <v>25.8</v>
      </c>
      <c r="Z91" s="739">
        <v>27.93</v>
      </c>
      <c r="AA91" s="739">
        <v>25.8</v>
      </c>
      <c r="AB91" s="739">
        <v>28.1</v>
      </c>
      <c r="AC91" s="1160">
        <f t="shared" si="33"/>
        <v>53.900000000000006</v>
      </c>
      <c r="AD91" s="1160">
        <f t="shared" si="34"/>
        <v>83.383300000000006</v>
      </c>
      <c r="AE91" s="1160">
        <f t="shared" si="35"/>
        <v>64.664599999996625</v>
      </c>
      <c r="AF91" s="542"/>
      <c r="AG91" s="1160">
        <f t="shared" si="31"/>
        <v>0</v>
      </c>
      <c r="AH91" s="656"/>
      <c r="AI91" s="351"/>
      <c r="AJ91" s="2"/>
      <c r="AK91" s="388"/>
      <c r="AL91" s="388"/>
      <c r="AM91" s="388"/>
      <c r="AN91" s="388"/>
      <c r="AO91" s="370"/>
      <c r="AP91" s="370"/>
      <c r="AQ91" s="386"/>
      <c r="AR91" s="551">
        <v>0</v>
      </c>
      <c r="AS91" s="386">
        <v>21.4</v>
      </c>
      <c r="AT91" s="1171">
        <v>0.39</v>
      </c>
      <c r="AU91" s="386">
        <v>0</v>
      </c>
      <c r="AV91" s="636">
        <v>321.5</v>
      </c>
      <c r="AW91" s="636">
        <v>597.6</v>
      </c>
      <c r="AX91" s="386">
        <v>0</v>
      </c>
      <c r="AY91" s="551">
        <v>0</v>
      </c>
      <c r="AZ91" s="551">
        <v>0</v>
      </c>
      <c r="BA91" s="551">
        <v>0</v>
      </c>
      <c r="BB91" s="975">
        <v>0</v>
      </c>
      <c r="BC91" s="386">
        <v>0.5</v>
      </c>
      <c r="BD91" s="386">
        <v>1.5</v>
      </c>
      <c r="BE91" s="551">
        <v>0</v>
      </c>
      <c r="BF91" s="386">
        <v>1</v>
      </c>
      <c r="BG91" s="386">
        <v>0</v>
      </c>
      <c r="BH91" s="551">
        <v>0</v>
      </c>
      <c r="BI91" s="386">
        <v>1.01</v>
      </c>
      <c r="BJ91" s="386">
        <v>24.2</v>
      </c>
      <c r="BK91" s="386">
        <v>2.85</v>
      </c>
      <c r="BL91" s="386">
        <v>3.64</v>
      </c>
      <c r="BM91" s="386">
        <v>0</v>
      </c>
      <c r="BN91" s="386">
        <v>17.8</v>
      </c>
      <c r="BO91" s="386">
        <v>945.8</v>
      </c>
      <c r="BP91" s="386">
        <v>2</v>
      </c>
      <c r="BQ91" s="615">
        <v>18.57</v>
      </c>
      <c r="BR91" s="615">
        <v>19.239999999999998</v>
      </c>
      <c r="BS91" s="615">
        <v>14.09</v>
      </c>
      <c r="BT91" s="615">
        <v>7.8</v>
      </c>
      <c r="BU91" s="614">
        <v>25.8</v>
      </c>
      <c r="BV91" s="614">
        <v>30.3</v>
      </c>
      <c r="BW91" s="615">
        <v>599.70000000000005</v>
      </c>
      <c r="BX91" s="791"/>
      <c r="BY91" s="615">
        <v>0</v>
      </c>
      <c r="BZ91" s="615">
        <v>1.33</v>
      </c>
      <c r="CA91" s="615">
        <v>1.3</v>
      </c>
      <c r="CB91" s="615">
        <v>8.4</v>
      </c>
      <c r="CC91" s="615">
        <v>8.4</v>
      </c>
      <c r="CD91" s="615">
        <v>15.2</v>
      </c>
      <c r="CE91" s="615">
        <v>34.200000000000003</v>
      </c>
      <c r="CF91" s="615">
        <v>13.9</v>
      </c>
      <c r="CG91" s="615">
        <v>7.65</v>
      </c>
      <c r="CH91" s="615">
        <v>13.12</v>
      </c>
      <c r="CI91" s="615">
        <v>17.600000000000001</v>
      </c>
      <c r="CJ91" s="615">
        <v>12.82</v>
      </c>
      <c r="CK91" s="615">
        <v>549.9</v>
      </c>
      <c r="CL91" s="615">
        <v>2.1</v>
      </c>
      <c r="CM91" s="615">
        <v>1.5</v>
      </c>
      <c r="CN91" s="615">
        <v>145.4</v>
      </c>
      <c r="CO91" s="615">
        <v>544</v>
      </c>
      <c r="CP91" s="615">
        <v>457.3</v>
      </c>
      <c r="CQ91" s="615">
        <v>12.8</v>
      </c>
      <c r="CR91" s="615">
        <v>0.77</v>
      </c>
      <c r="CS91" s="386">
        <v>0</v>
      </c>
      <c r="CT91" s="386">
        <v>15.601000000000001</v>
      </c>
      <c r="CU91" s="386">
        <v>45</v>
      </c>
      <c r="CV91" s="499">
        <v>0</v>
      </c>
      <c r="CW91" s="499">
        <v>0</v>
      </c>
      <c r="CX91" s="499">
        <v>0</v>
      </c>
      <c r="CY91" s="499">
        <v>0</v>
      </c>
      <c r="CZ91" s="643">
        <v>1560</v>
      </c>
      <c r="DA91" s="643">
        <v>2620</v>
      </c>
      <c r="DB91" s="782">
        <v>1450</v>
      </c>
      <c r="DC91" s="609">
        <v>1125.77</v>
      </c>
      <c r="DD91" s="1153">
        <f t="shared" si="36"/>
        <v>1.2699999999999818</v>
      </c>
      <c r="DE91" s="1154">
        <f t="shared" si="37"/>
        <v>0</v>
      </c>
      <c r="DF91" s="1154">
        <f t="shared" si="38"/>
        <v>1340</v>
      </c>
      <c r="DG91" s="1154">
        <f t="shared" si="39"/>
        <v>2370</v>
      </c>
      <c r="DH91" s="1155" t="str">
        <f t="shared" si="40"/>
        <v>Palm</v>
      </c>
      <c r="DI91" s="1146">
        <f t="shared" si="41"/>
        <v>1170</v>
      </c>
      <c r="DJ91" s="1146">
        <f t="shared" si="42"/>
        <v>0</v>
      </c>
      <c r="DK91" s="1154">
        <f t="shared" si="43"/>
        <v>0</v>
      </c>
      <c r="DL91" s="615"/>
      <c r="DM91" s="643"/>
      <c r="DN91" s="615"/>
      <c r="DO91" s="499"/>
      <c r="DP91" s="499"/>
      <c r="DQ91" s="499"/>
      <c r="DR91" s="499"/>
      <c r="DS91" s="499"/>
      <c r="DT91" s="499"/>
      <c r="DU91" s="499"/>
      <c r="DV91" s="499"/>
      <c r="DW91" s="499"/>
      <c r="DX91" s="499"/>
      <c r="DY91" s="499"/>
      <c r="DZ91" s="499"/>
      <c r="EA91" s="499"/>
      <c r="EB91" s="499"/>
      <c r="EC91" s="499"/>
      <c r="ED91" s="499"/>
      <c r="EE91" s="499"/>
      <c r="EF91" s="499"/>
      <c r="EG91" s="1146">
        <f t="shared" si="30"/>
        <v>10.5</v>
      </c>
      <c r="EH91" s="630">
        <v>0</v>
      </c>
      <c r="EI91" s="642">
        <v>1</v>
      </c>
      <c r="EJ91" s="642">
        <v>3</v>
      </c>
      <c r="EK91" s="642">
        <v>6.5</v>
      </c>
      <c r="EL91" s="499"/>
      <c r="EM91" s="499"/>
      <c r="EN91" s="499"/>
      <c r="EO91" s="499"/>
      <c r="EP91" s="499"/>
      <c r="EQ91" s="499"/>
      <c r="ER91" s="499"/>
      <c r="ES91" s="388"/>
      <c r="ET91" s="388"/>
      <c r="EV91" s="1167">
        <f t="shared" si="32"/>
        <v>16.243500000000001</v>
      </c>
    </row>
    <row r="92" spans="1:152" s="350" customFormat="1" ht="15" x14ac:dyDescent="0.25">
      <c r="A92" s="632" t="s">
        <v>8</v>
      </c>
      <c r="B92" s="662">
        <v>42818</v>
      </c>
      <c r="C92" s="1132" t="s">
        <v>904</v>
      </c>
      <c r="D92" s="636">
        <v>0.76</v>
      </c>
      <c r="E92" s="636">
        <v>0</v>
      </c>
      <c r="F92" s="636">
        <v>42</v>
      </c>
      <c r="G92" s="739">
        <v>2.0499999999999998</v>
      </c>
      <c r="H92" s="739">
        <v>7.77</v>
      </c>
      <c r="I92" s="739">
        <v>12.4</v>
      </c>
      <c r="J92" s="636">
        <v>0</v>
      </c>
      <c r="K92" s="739">
        <v>5.0599999999999996</v>
      </c>
      <c r="L92" s="741">
        <v>0</v>
      </c>
      <c r="M92" s="739">
        <v>26.2</v>
      </c>
      <c r="N92" s="739">
        <v>1.3</v>
      </c>
      <c r="O92" s="739">
        <v>1.302702215243523</v>
      </c>
      <c r="P92" s="739">
        <v>1.29</v>
      </c>
      <c r="Q92" s="739">
        <v>0.59735979549229645</v>
      </c>
      <c r="R92" s="782">
        <v>741.38720930232546</v>
      </c>
      <c r="S92" s="739">
        <v>8.35</v>
      </c>
      <c r="T92" s="739">
        <v>8.32</v>
      </c>
      <c r="U92" s="739">
        <v>0.72</v>
      </c>
      <c r="V92" s="739">
        <v>0.76</v>
      </c>
      <c r="W92" s="739">
        <v>43.160000000000011</v>
      </c>
      <c r="X92" s="644">
        <v>43.34</v>
      </c>
      <c r="Y92" s="739">
        <v>25.8</v>
      </c>
      <c r="Z92" s="739">
        <v>28.1</v>
      </c>
      <c r="AA92" s="739">
        <v>25.87</v>
      </c>
      <c r="AB92" s="739">
        <v>29.93</v>
      </c>
      <c r="AC92" s="1160">
        <f t="shared" si="33"/>
        <v>55.8</v>
      </c>
      <c r="AD92" s="1160">
        <f t="shared" si="34"/>
        <v>86.322599999999994</v>
      </c>
      <c r="AE92" s="1160">
        <f t="shared" si="35"/>
        <v>86.322599999999994</v>
      </c>
      <c r="AF92" s="542"/>
      <c r="AG92" s="1160">
        <f t="shared" si="31"/>
        <v>0</v>
      </c>
      <c r="AH92" s="656"/>
      <c r="AI92" s="351"/>
      <c r="AJ92" s="2"/>
      <c r="AK92" s="388"/>
      <c r="AL92" s="388"/>
      <c r="AM92" s="388"/>
      <c r="AN92" s="388"/>
      <c r="AO92" s="370"/>
      <c r="AP92" s="370"/>
      <c r="AQ92" s="386"/>
      <c r="AR92" s="551">
        <v>0</v>
      </c>
      <c r="AS92" s="386">
        <v>10.7</v>
      </c>
      <c r="AT92" s="386">
        <v>0</v>
      </c>
      <c r="AU92" s="386">
        <v>0</v>
      </c>
      <c r="AV92" s="636">
        <v>196</v>
      </c>
      <c r="AW92" s="636">
        <v>300.60000000000002</v>
      </c>
      <c r="AX92" s="386">
        <v>0</v>
      </c>
      <c r="AY92" s="551">
        <v>0</v>
      </c>
      <c r="AZ92" s="551">
        <v>0</v>
      </c>
      <c r="BA92" s="551">
        <v>0</v>
      </c>
      <c r="BB92" s="975">
        <v>0</v>
      </c>
      <c r="BC92" s="386">
        <v>0.61</v>
      </c>
      <c r="BD92" s="386">
        <v>1.63</v>
      </c>
      <c r="BE92" s="551">
        <v>0</v>
      </c>
      <c r="BF92" s="386">
        <v>1</v>
      </c>
      <c r="BG92" s="386">
        <v>0</v>
      </c>
      <c r="BH92" s="551">
        <v>0</v>
      </c>
      <c r="BI92" s="386">
        <v>1.02</v>
      </c>
      <c r="BJ92" s="386">
        <v>25.7</v>
      </c>
      <c r="BK92" s="386">
        <v>3.08</v>
      </c>
      <c r="BL92" s="386">
        <v>3.62</v>
      </c>
      <c r="BM92" s="386">
        <v>0</v>
      </c>
      <c r="BN92" s="386">
        <v>19.100000000000001</v>
      </c>
      <c r="BO92" s="386">
        <v>1033.4000000000001</v>
      </c>
      <c r="BP92" s="386">
        <v>2</v>
      </c>
      <c r="BQ92" s="615">
        <v>19.63</v>
      </c>
      <c r="BR92" s="615">
        <v>20.27</v>
      </c>
      <c r="BS92" s="615">
        <v>14.76</v>
      </c>
      <c r="BT92" s="615">
        <v>7.97</v>
      </c>
      <c r="BU92" s="614">
        <v>24.6</v>
      </c>
      <c r="BV92" s="614">
        <v>25.7</v>
      </c>
      <c r="BW92" s="615">
        <v>426.7</v>
      </c>
      <c r="BX92" s="791"/>
      <c r="BY92" s="615">
        <v>0</v>
      </c>
      <c r="BZ92" s="615">
        <v>1.26</v>
      </c>
      <c r="CA92" s="615">
        <v>1.3</v>
      </c>
      <c r="CB92" s="615">
        <v>8.3000000000000007</v>
      </c>
      <c r="CC92" s="615">
        <v>8.3000000000000007</v>
      </c>
      <c r="CD92" s="615">
        <v>15.8</v>
      </c>
      <c r="CE92" s="615">
        <v>34.200000000000003</v>
      </c>
      <c r="CF92" s="615">
        <v>12.2</v>
      </c>
      <c r="CG92" s="615">
        <v>8</v>
      </c>
      <c r="CH92" s="615">
        <v>13.6</v>
      </c>
      <c r="CI92" s="615">
        <v>18.2</v>
      </c>
      <c r="CJ92" s="615">
        <v>13.33</v>
      </c>
      <c r="CK92" s="615">
        <v>502</v>
      </c>
      <c r="CL92" s="615">
        <v>2.1</v>
      </c>
      <c r="CM92" s="615">
        <v>1.3</v>
      </c>
      <c r="CN92" s="615">
        <v>167.6</v>
      </c>
      <c r="CO92" s="615">
        <v>588.29999999999995</v>
      </c>
      <c r="CP92" s="615">
        <v>465.3</v>
      </c>
      <c r="CQ92" s="615">
        <v>12.5</v>
      </c>
      <c r="CR92" s="615">
        <v>0.75</v>
      </c>
      <c r="CS92" s="386">
        <v>0</v>
      </c>
      <c r="CT92" s="386">
        <v>15.218</v>
      </c>
      <c r="CU92" s="386">
        <v>45</v>
      </c>
      <c r="CV92" s="499">
        <v>0</v>
      </c>
      <c r="CW92" s="499">
        <v>0</v>
      </c>
      <c r="CX92" s="499">
        <v>0</v>
      </c>
      <c r="CY92" s="499">
        <v>0</v>
      </c>
      <c r="CZ92" s="643">
        <v>1920</v>
      </c>
      <c r="DA92" s="643">
        <v>2980</v>
      </c>
      <c r="DB92" s="782">
        <v>1770</v>
      </c>
      <c r="DC92" s="609">
        <v>1127.3900000000001</v>
      </c>
      <c r="DD92" s="1153">
        <f t="shared" si="36"/>
        <v>1.6200000000001182</v>
      </c>
      <c r="DE92" s="1154">
        <f t="shared" si="37"/>
        <v>0</v>
      </c>
      <c r="DF92" s="1154">
        <f t="shared" si="38"/>
        <v>1660</v>
      </c>
      <c r="DG92" s="1154">
        <f t="shared" si="39"/>
        <v>2730</v>
      </c>
      <c r="DH92" s="1155" t="str">
        <f t="shared" si="40"/>
        <v>Palm</v>
      </c>
      <c r="DI92" s="1146">
        <f t="shared" si="41"/>
        <v>1210</v>
      </c>
      <c r="DJ92" s="1146">
        <f t="shared" si="42"/>
        <v>0</v>
      </c>
      <c r="DK92" s="1154">
        <f t="shared" si="43"/>
        <v>0</v>
      </c>
      <c r="DL92" s="615"/>
      <c r="DM92" s="643"/>
      <c r="DN92" s="615"/>
      <c r="DO92" s="499"/>
      <c r="DP92" s="499"/>
      <c r="DQ92" s="499"/>
      <c r="DR92" s="499"/>
      <c r="DS92" s="499"/>
      <c r="DT92" s="499"/>
      <c r="DU92" s="499"/>
      <c r="DV92" s="499"/>
      <c r="DW92" s="499"/>
      <c r="DX92" s="499"/>
      <c r="DY92" s="499"/>
      <c r="DZ92" s="499"/>
      <c r="EA92" s="499"/>
      <c r="EB92" s="499"/>
      <c r="EC92" s="499"/>
      <c r="ED92" s="499"/>
      <c r="EE92" s="499"/>
      <c r="EF92" s="499"/>
      <c r="EG92" s="1146">
        <f t="shared" si="30"/>
        <v>11</v>
      </c>
      <c r="EH92" s="630">
        <v>0</v>
      </c>
      <c r="EI92" s="642">
        <v>1</v>
      </c>
      <c r="EJ92" s="630">
        <v>3.5</v>
      </c>
      <c r="EK92" s="642">
        <v>6.5</v>
      </c>
      <c r="EL92" s="499"/>
      <c r="EM92" s="499"/>
      <c r="EN92" s="499"/>
      <c r="EO92" s="499"/>
      <c r="EP92" s="499"/>
      <c r="EQ92" s="499"/>
      <c r="ER92" s="499"/>
      <c r="ES92" s="388"/>
      <c r="ET92" s="388"/>
      <c r="EV92" s="1167">
        <f t="shared" si="32"/>
        <v>17.016999999999999</v>
      </c>
    </row>
    <row r="93" spans="1:152" s="350" customFormat="1" ht="15" x14ac:dyDescent="0.25">
      <c r="A93" s="632" t="s">
        <v>9</v>
      </c>
      <c r="B93" s="662">
        <v>42819</v>
      </c>
      <c r="C93" s="1132" t="s">
        <v>904</v>
      </c>
      <c r="D93" s="636">
        <v>0.16</v>
      </c>
      <c r="E93" s="636">
        <v>0</v>
      </c>
      <c r="F93" s="636">
        <v>40</v>
      </c>
      <c r="G93" s="739">
        <v>2.0499999999999998</v>
      </c>
      <c r="H93" s="739">
        <v>5.85</v>
      </c>
      <c r="I93" s="739">
        <v>12.2</v>
      </c>
      <c r="J93" s="636">
        <v>0</v>
      </c>
      <c r="K93" s="739">
        <v>4.54</v>
      </c>
      <c r="L93" s="741">
        <v>0</v>
      </c>
      <c r="M93" s="739">
        <v>26.1</v>
      </c>
      <c r="N93" s="739">
        <v>1.27</v>
      </c>
      <c r="O93" s="739">
        <v>1.3038136766336526</v>
      </c>
      <c r="P93" s="739">
        <v>1.29</v>
      </c>
      <c r="Q93" s="739">
        <v>0.59326829004371906</v>
      </c>
      <c r="R93" s="782">
        <v>738.72034883720949</v>
      </c>
      <c r="S93" s="739">
        <v>8.35</v>
      </c>
      <c r="T93" s="739">
        <v>8.36</v>
      </c>
      <c r="U93" s="739">
        <v>0.74</v>
      </c>
      <c r="V93" s="739">
        <v>0.77</v>
      </c>
      <c r="W93" s="739">
        <v>43.160000000000011</v>
      </c>
      <c r="X93" s="644">
        <v>43.34</v>
      </c>
      <c r="Y93" s="739">
        <v>25.87</v>
      </c>
      <c r="Z93" s="739">
        <v>29.93</v>
      </c>
      <c r="AA93" s="739">
        <v>25.81</v>
      </c>
      <c r="AB93" s="739">
        <v>29.97</v>
      </c>
      <c r="AC93" s="1160">
        <f t="shared" si="33"/>
        <v>55.78</v>
      </c>
      <c r="AD93" s="1160">
        <f t="shared" si="34"/>
        <v>86.291659999999993</v>
      </c>
      <c r="AE93" s="1160">
        <f t="shared" si="35"/>
        <v>86.291659999999993</v>
      </c>
      <c r="AF93" s="542"/>
      <c r="AG93" s="1160">
        <f t="shared" si="31"/>
        <v>0</v>
      </c>
      <c r="AH93" s="656"/>
      <c r="AI93" s="351"/>
      <c r="AJ93" s="2"/>
      <c r="AK93" s="388"/>
      <c r="AL93" s="388"/>
      <c r="AM93" s="388"/>
      <c r="AN93" s="388"/>
      <c r="AO93" s="370"/>
      <c r="AP93" s="370"/>
      <c r="AQ93" s="386"/>
      <c r="AR93" s="551">
        <v>0</v>
      </c>
      <c r="AS93" s="386">
        <v>11.8</v>
      </c>
      <c r="AT93" s="386">
        <v>0</v>
      </c>
      <c r="AU93" s="386">
        <v>0</v>
      </c>
      <c r="AV93" s="636">
        <v>422</v>
      </c>
      <c r="AW93" s="636">
        <v>580.70000000000005</v>
      </c>
      <c r="AX93" s="386">
        <v>0</v>
      </c>
      <c r="AY93" s="551">
        <v>0</v>
      </c>
      <c r="AZ93" s="551">
        <v>0</v>
      </c>
      <c r="BA93" s="551">
        <v>0</v>
      </c>
      <c r="BB93" s="975">
        <v>0</v>
      </c>
      <c r="BC93" s="386">
        <v>0.71</v>
      </c>
      <c r="BD93" s="386">
        <v>1.77</v>
      </c>
      <c r="BE93" s="551">
        <v>0</v>
      </c>
      <c r="BF93" s="386">
        <v>1</v>
      </c>
      <c r="BG93" s="386">
        <v>0</v>
      </c>
      <c r="BH93" s="551">
        <v>0</v>
      </c>
      <c r="BI93" s="386">
        <v>1.02</v>
      </c>
      <c r="BJ93" s="386">
        <v>25.5</v>
      </c>
      <c r="BK93" s="386">
        <v>2.94</v>
      </c>
      <c r="BL93" s="386">
        <v>3.54</v>
      </c>
      <c r="BM93" s="386">
        <v>0</v>
      </c>
      <c r="BN93" s="386">
        <v>19.100000000000001</v>
      </c>
      <c r="BO93" s="386">
        <v>1054.3</v>
      </c>
      <c r="BP93" s="386">
        <v>2</v>
      </c>
      <c r="BQ93" s="615">
        <v>19.77</v>
      </c>
      <c r="BR93" s="615">
        <v>20.48</v>
      </c>
      <c r="BS93" s="615">
        <v>14.32</v>
      </c>
      <c r="BT93" s="615">
        <v>7.72</v>
      </c>
      <c r="BU93" s="614">
        <v>23.9</v>
      </c>
      <c r="BV93" s="614">
        <v>27.9</v>
      </c>
      <c r="BW93" s="615">
        <v>596.6</v>
      </c>
      <c r="BX93" s="791"/>
      <c r="BY93" s="615">
        <v>0</v>
      </c>
      <c r="BZ93" s="615">
        <v>1.25</v>
      </c>
      <c r="CA93" s="615">
        <v>1.3</v>
      </c>
      <c r="CB93" s="615">
        <v>8.4</v>
      </c>
      <c r="CC93" s="615">
        <v>8.3000000000000007</v>
      </c>
      <c r="CD93" s="615">
        <v>15.4</v>
      </c>
      <c r="CE93" s="615">
        <v>34.200000000000003</v>
      </c>
      <c r="CF93" s="615">
        <v>15.1</v>
      </c>
      <c r="CG93" s="615">
        <v>8</v>
      </c>
      <c r="CH93" s="615">
        <v>13.7</v>
      </c>
      <c r="CI93" s="615">
        <v>17.7</v>
      </c>
      <c r="CJ93" s="615">
        <v>13.03</v>
      </c>
      <c r="CK93" s="615">
        <v>511.6</v>
      </c>
      <c r="CL93" s="615">
        <v>1.5</v>
      </c>
      <c r="CM93" s="615">
        <v>1.1000000000000001</v>
      </c>
      <c r="CN93" s="615">
        <v>333</v>
      </c>
      <c r="CO93" s="615">
        <v>464.4</v>
      </c>
      <c r="CP93" s="615">
        <v>459.7</v>
      </c>
      <c r="CQ93" s="615">
        <v>12</v>
      </c>
      <c r="CR93" s="615">
        <v>0.76</v>
      </c>
      <c r="CS93" s="386">
        <v>0</v>
      </c>
      <c r="CT93" s="386">
        <v>15.537000000000001</v>
      </c>
      <c r="CU93" s="386">
        <v>45</v>
      </c>
      <c r="CV93" s="499">
        <v>0</v>
      </c>
      <c r="CW93" s="499">
        <v>0</v>
      </c>
      <c r="CX93" s="499">
        <v>0</v>
      </c>
      <c r="CY93" s="499">
        <v>0</v>
      </c>
      <c r="CZ93" s="643">
        <v>1930</v>
      </c>
      <c r="DA93" s="643">
        <v>2970</v>
      </c>
      <c r="DB93" s="782">
        <v>1790</v>
      </c>
      <c r="DC93" s="609">
        <v>1128.93</v>
      </c>
      <c r="DD93" s="1153">
        <f t="shared" si="36"/>
        <v>1.5399999999999636</v>
      </c>
      <c r="DE93" s="1154">
        <f t="shared" si="37"/>
        <v>0</v>
      </c>
      <c r="DF93" s="1154">
        <f t="shared" si="38"/>
        <v>1680</v>
      </c>
      <c r="DG93" s="1154">
        <f t="shared" si="39"/>
        <v>2720</v>
      </c>
      <c r="DH93" s="1155" t="str">
        <f t="shared" si="40"/>
        <v>Palm</v>
      </c>
      <c r="DI93" s="1146">
        <f t="shared" si="41"/>
        <v>1180</v>
      </c>
      <c r="DJ93" s="1146">
        <f t="shared" si="42"/>
        <v>0</v>
      </c>
      <c r="DK93" s="1154">
        <f t="shared" si="43"/>
        <v>0</v>
      </c>
      <c r="DL93" s="615"/>
      <c r="DM93" s="643"/>
      <c r="DN93" s="615"/>
      <c r="DO93" s="499"/>
      <c r="DP93" s="499"/>
      <c r="DQ93" s="499"/>
      <c r="DR93" s="499"/>
      <c r="DS93" s="499"/>
      <c r="DT93" s="499"/>
      <c r="DU93" s="499"/>
      <c r="DV93" s="499"/>
      <c r="DW93" s="499"/>
      <c r="DX93" s="499"/>
      <c r="DY93" s="499"/>
      <c r="DZ93" s="499"/>
      <c r="EA93" s="499"/>
      <c r="EB93" s="499"/>
      <c r="EC93" s="499"/>
      <c r="ED93" s="499"/>
      <c r="EE93" s="499"/>
      <c r="EF93" s="499"/>
      <c r="EG93" s="1146">
        <f t="shared" si="30"/>
        <v>11</v>
      </c>
      <c r="EH93" s="630">
        <v>0</v>
      </c>
      <c r="EI93" s="642">
        <v>1</v>
      </c>
      <c r="EJ93" s="630">
        <v>3.5</v>
      </c>
      <c r="EK93" s="642">
        <v>6.5</v>
      </c>
      <c r="EL93" s="499"/>
      <c r="EM93" s="499"/>
      <c r="EN93" s="499"/>
      <c r="EO93" s="499"/>
      <c r="EP93" s="499"/>
      <c r="EQ93" s="499"/>
      <c r="ER93" s="499"/>
      <c r="ES93" s="388"/>
      <c r="ET93" s="388"/>
      <c r="EV93" s="1167">
        <f t="shared" si="32"/>
        <v>17.016999999999999</v>
      </c>
    </row>
    <row r="94" spans="1:152" s="350" customFormat="1" ht="15" x14ac:dyDescent="0.25">
      <c r="A94" s="632" t="s">
        <v>3</v>
      </c>
      <c r="B94" s="662">
        <v>42820</v>
      </c>
      <c r="C94" s="1132" t="s">
        <v>904</v>
      </c>
      <c r="D94" s="636">
        <v>0.86</v>
      </c>
      <c r="E94" s="636">
        <v>0</v>
      </c>
      <c r="F94" s="636">
        <v>39</v>
      </c>
      <c r="G94" s="739">
        <v>2.1</v>
      </c>
      <c r="H94" s="739">
        <v>3.98</v>
      </c>
      <c r="I94" s="739">
        <v>12.2</v>
      </c>
      <c r="J94" s="636">
        <v>0</v>
      </c>
      <c r="K94" s="739">
        <v>3.61</v>
      </c>
      <c r="L94" s="741">
        <v>0</v>
      </c>
      <c r="M94" s="739">
        <v>26.1</v>
      </c>
      <c r="N94" s="739">
        <v>1.29</v>
      </c>
      <c r="O94" s="739">
        <v>1.3032416232474804</v>
      </c>
      <c r="P94" s="739">
        <v>1.29</v>
      </c>
      <c r="Q94" s="739">
        <v>0.59190445489448718</v>
      </c>
      <c r="R94" s="782">
        <v>741.38720930232546</v>
      </c>
      <c r="S94" s="739">
        <v>8.31</v>
      </c>
      <c r="T94" s="739">
        <v>8.31</v>
      </c>
      <c r="U94" s="739">
        <v>0.74</v>
      </c>
      <c r="V94" s="739">
        <v>0.77</v>
      </c>
      <c r="W94" s="739">
        <v>43.34</v>
      </c>
      <c r="X94" s="644">
        <v>43.34</v>
      </c>
      <c r="Y94" s="739">
        <v>25.81</v>
      </c>
      <c r="Z94" s="739">
        <v>29.97</v>
      </c>
      <c r="AA94" s="739">
        <v>25.82</v>
      </c>
      <c r="AB94" s="739">
        <v>29.91</v>
      </c>
      <c r="AC94" s="1160">
        <f t="shared" si="33"/>
        <v>55.730000000000004</v>
      </c>
      <c r="AD94" s="1160">
        <f t="shared" si="34"/>
        <v>86.214309999999998</v>
      </c>
      <c r="AE94" s="1160">
        <f t="shared" si="35"/>
        <v>86.214309999999998</v>
      </c>
      <c r="AF94" s="542"/>
      <c r="AG94" s="1160">
        <f t="shared" si="31"/>
        <v>0</v>
      </c>
      <c r="AH94" s="656"/>
      <c r="AI94" s="351"/>
      <c r="AJ94" s="2"/>
      <c r="AK94" s="388"/>
      <c r="AL94" s="388"/>
      <c r="AM94" s="388"/>
      <c r="AN94" s="388"/>
      <c r="AO94" s="370"/>
      <c r="AP94" s="370"/>
      <c r="AQ94" s="386"/>
      <c r="AR94" s="551">
        <v>0</v>
      </c>
      <c r="AS94" s="386">
        <v>20.8</v>
      </c>
      <c r="AT94" s="386">
        <v>0</v>
      </c>
      <c r="AU94" s="386">
        <v>0</v>
      </c>
      <c r="AV94" s="636">
        <v>290.10000000000002</v>
      </c>
      <c r="AW94" s="636">
        <v>359.7</v>
      </c>
      <c r="AX94" s="386">
        <v>0</v>
      </c>
      <c r="AY94" s="551">
        <v>0</v>
      </c>
      <c r="AZ94" s="551">
        <v>0</v>
      </c>
      <c r="BA94" s="551">
        <v>0</v>
      </c>
      <c r="BB94" s="975">
        <v>0</v>
      </c>
      <c r="BC94" s="386">
        <v>0.73</v>
      </c>
      <c r="BD94" s="386">
        <v>1.77</v>
      </c>
      <c r="BE94" s="551">
        <v>0</v>
      </c>
      <c r="BF94" s="386">
        <v>1</v>
      </c>
      <c r="BG94" s="386">
        <v>0</v>
      </c>
      <c r="BH94" s="551">
        <v>0</v>
      </c>
      <c r="BI94" s="386">
        <v>1.01</v>
      </c>
      <c r="BJ94" s="386">
        <v>25.5</v>
      </c>
      <c r="BK94" s="386">
        <v>2.94</v>
      </c>
      <c r="BL94" s="386">
        <v>3.54</v>
      </c>
      <c r="BM94" s="386">
        <v>0</v>
      </c>
      <c r="BN94" s="386">
        <v>19.100000000000001</v>
      </c>
      <c r="BO94" s="386">
        <v>1079.5999999999999</v>
      </c>
      <c r="BP94" s="386">
        <v>2</v>
      </c>
      <c r="BQ94" s="615">
        <v>20.28</v>
      </c>
      <c r="BR94" s="615">
        <v>20.97</v>
      </c>
      <c r="BS94" s="615">
        <v>14.73</v>
      </c>
      <c r="BT94" s="615">
        <v>7.88</v>
      </c>
      <c r="BU94" s="614">
        <v>24.5</v>
      </c>
      <c r="BV94" s="614">
        <v>27.5</v>
      </c>
      <c r="BW94" s="615">
        <v>603.5</v>
      </c>
      <c r="BX94" s="791"/>
      <c r="BY94" s="615">
        <v>0</v>
      </c>
      <c r="BZ94" s="615">
        <v>1.25</v>
      </c>
      <c r="CA94" s="615">
        <v>1.3</v>
      </c>
      <c r="CB94" s="615">
        <v>8.4</v>
      </c>
      <c r="CC94" s="615">
        <v>8.4</v>
      </c>
      <c r="CD94" s="615">
        <v>15.8</v>
      </c>
      <c r="CE94" s="615">
        <v>34.200000000000003</v>
      </c>
      <c r="CF94" s="615">
        <v>14.1</v>
      </c>
      <c r="CG94" s="615">
        <v>7.8</v>
      </c>
      <c r="CH94" s="615">
        <v>13.69</v>
      </c>
      <c r="CI94" s="615">
        <v>17.600000000000001</v>
      </c>
      <c r="CJ94" s="615">
        <v>13.32</v>
      </c>
      <c r="CK94" s="615">
        <v>535.20000000000005</v>
      </c>
      <c r="CL94" s="615">
        <v>1.7</v>
      </c>
      <c r="CM94" s="615">
        <v>0.4</v>
      </c>
      <c r="CN94" s="615">
        <v>322.8</v>
      </c>
      <c r="CO94" s="615">
        <v>443.1</v>
      </c>
      <c r="CP94" s="615">
        <v>461</v>
      </c>
      <c r="CQ94" s="615">
        <v>12.8</v>
      </c>
      <c r="CR94" s="615">
        <v>0.76</v>
      </c>
      <c r="CS94" s="386">
        <v>0</v>
      </c>
      <c r="CT94" s="386">
        <v>15.432</v>
      </c>
      <c r="CU94" s="386">
        <v>44</v>
      </c>
      <c r="CV94" s="499">
        <v>0</v>
      </c>
      <c r="CW94" s="499">
        <v>0</v>
      </c>
      <c r="CX94" s="499">
        <v>0</v>
      </c>
      <c r="CY94" s="499">
        <v>0</v>
      </c>
      <c r="CZ94" s="643">
        <v>1950</v>
      </c>
      <c r="DA94" s="643">
        <v>3070</v>
      </c>
      <c r="DB94" s="782">
        <v>1820</v>
      </c>
      <c r="DC94" s="609">
        <v>1130</v>
      </c>
      <c r="DD94" s="1153">
        <f t="shared" si="36"/>
        <v>1.0699999999999363</v>
      </c>
      <c r="DE94" s="1154">
        <f t="shared" si="37"/>
        <v>0</v>
      </c>
      <c r="DF94" s="1154">
        <f t="shared" si="38"/>
        <v>1710</v>
      </c>
      <c r="DG94" s="1154">
        <f t="shared" si="39"/>
        <v>2820</v>
      </c>
      <c r="DH94" s="1155" t="str">
        <f t="shared" si="40"/>
        <v>Palm</v>
      </c>
      <c r="DI94" s="1146">
        <f t="shared" si="41"/>
        <v>1250</v>
      </c>
      <c r="DJ94" s="1146">
        <f t="shared" si="42"/>
        <v>0</v>
      </c>
      <c r="DK94" s="1154">
        <f t="shared" si="43"/>
        <v>0</v>
      </c>
      <c r="DL94" s="615"/>
      <c r="DM94" s="643"/>
      <c r="DN94" s="615"/>
      <c r="DO94" s="499"/>
      <c r="DP94" s="499"/>
      <c r="DQ94" s="499"/>
      <c r="DR94" s="499"/>
      <c r="DS94" s="499"/>
      <c r="DT94" s="499"/>
      <c r="DU94" s="499"/>
      <c r="DV94" s="499"/>
      <c r="DW94" s="499"/>
      <c r="DX94" s="499"/>
      <c r="DY94" s="499"/>
      <c r="DZ94" s="499"/>
      <c r="EA94" s="499"/>
      <c r="EB94" s="499"/>
      <c r="EC94" s="499"/>
      <c r="ED94" s="499"/>
      <c r="EE94" s="499"/>
      <c r="EF94" s="499"/>
      <c r="EG94" s="1146">
        <f t="shared" si="30"/>
        <v>11</v>
      </c>
      <c r="EH94" s="630">
        <v>0</v>
      </c>
      <c r="EI94" s="642">
        <v>1</v>
      </c>
      <c r="EJ94" s="630">
        <v>3.5</v>
      </c>
      <c r="EK94" s="642">
        <v>6.5</v>
      </c>
      <c r="EL94" s="499"/>
      <c r="EM94" s="499"/>
      <c r="EN94" s="499"/>
      <c r="EO94" s="499"/>
      <c r="EP94" s="499"/>
      <c r="EQ94" s="499"/>
      <c r="ER94" s="499"/>
      <c r="ES94" s="388"/>
      <c r="ET94" s="388"/>
      <c r="EV94" s="1167">
        <f t="shared" si="32"/>
        <v>17.016999999999999</v>
      </c>
    </row>
    <row r="95" spans="1:152" s="350" customFormat="1" ht="15" x14ac:dyDescent="0.25">
      <c r="A95" s="632" t="s">
        <v>4</v>
      </c>
      <c r="B95" s="662">
        <v>42821</v>
      </c>
      <c r="C95" s="1132" t="s">
        <v>904</v>
      </c>
      <c r="D95" s="636">
        <v>0.56999999999999995</v>
      </c>
      <c r="E95" s="636">
        <v>0</v>
      </c>
      <c r="F95" s="636">
        <v>42</v>
      </c>
      <c r="G95" s="739">
        <v>2.2000000000000002</v>
      </c>
      <c r="H95" s="739">
        <v>3.69</v>
      </c>
      <c r="I95" s="739">
        <v>12.9</v>
      </c>
      <c r="J95" s="636">
        <v>0</v>
      </c>
      <c r="K95" s="739">
        <v>3.52</v>
      </c>
      <c r="L95" s="741">
        <v>0</v>
      </c>
      <c r="M95" s="739">
        <v>26.2</v>
      </c>
      <c r="N95" s="739">
        <v>1.27</v>
      </c>
      <c r="O95" s="739">
        <v>1.3081395348835092</v>
      </c>
      <c r="P95" s="739">
        <v>1.29</v>
      </c>
      <c r="Q95" s="739">
        <v>0.59102225383587204</v>
      </c>
      <c r="R95" s="782">
        <v>729.0529796511629</v>
      </c>
      <c r="S95" s="739">
        <v>8.19</v>
      </c>
      <c r="T95" s="739">
        <v>8.26</v>
      </c>
      <c r="U95" s="739">
        <v>0.73</v>
      </c>
      <c r="V95" s="739">
        <v>0.81</v>
      </c>
      <c r="W95" s="739">
        <v>43.34</v>
      </c>
      <c r="X95" s="644">
        <v>43.34</v>
      </c>
      <c r="Y95" s="739">
        <v>25.82</v>
      </c>
      <c r="Z95" s="739">
        <v>29.91</v>
      </c>
      <c r="AA95" s="739">
        <v>25.7</v>
      </c>
      <c r="AB95" s="739">
        <v>29.19</v>
      </c>
      <c r="AC95" s="1160">
        <f t="shared" si="33"/>
        <v>54.89</v>
      </c>
      <c r="AD95" s="1160">
        <f t="shared" si="34"/>
        <v>84.914829999999995</v>
      </c>
      <c r="AE95" s="1160">
        <f t="shared" si="35"/>
        <v>84.914829999999995</v>
      </c>
      <c r="AF95" s="542"/>
      <c r="AG95" s="1160">
        <f t="shared" si="31"/>
        <v>0</v>
      </c>
      <c r="AH95" s="656"/>
      <c r="AI95" s="351"/>
      <c r="AJ95" s="2"/>
      <c r="AK95" s="388"/>
      <c r="AL95" s="388"/>
      <c r="AM95" s="388"/>
      <c r="AN95" s="388"/>
      <c r="AO95" s="370"/>
      <c r="AP95" s="370"/>
      <c r="AQ95" s="386"/>
      <c r="AR95" s="551">
        <v>0</v>
      </c>
      <c r="AS95" s="386">
        <v>10.8</v>
      </c>
      <c r="AT95" s="386">
        <v>0</v>
      </c>
      <c r="AU95" s="386">
        <v>0</v>
      </c>
      <c r="AV95" s="636">
        <v>431.7</v>
      </c>
      <c r="AW95" s="636">
        <v>550.6</v>
      </c>
      <c r="AX95" s="386">
        <v>0</v>
      </c>
      <c r="AY95" s="551">
        <v>0</v>
      </c>
      <c r="AZ95" s="551">
        <v>0</v>
      </c>
      <c r="BA95" s="551">
        <v>0</v>
      </c>
      <c r="BB95" s="975">
        <v>0</v>
      </c>
      <c r="BC95" s="386">
        <v>0.57999999999999996</v>
      </c>
      <c r="BD95" s="386">
        <v>1.59</v>
      </c>
      <c r="BE95" s="551">
        <v>0</v>
      </c>
      <c r="BF95" s="386">
        <v>1</v>
      </c>
      <c r="BG95" s="386">
        <v>0</v>
      </c>
      <c r="BH95" s="551">
        <v>0</v>
      </c>
      <c r="BI95" s="386">
        <v>1.01</v>
      </c>
      <c r="BJ95" s="386">
        <v>25</v>
      </c>
      <c r="BK95" s="386">
        <v>2.94</v>
      </c>
      <c r="BL95" s="386">
        <v>3.53</v>
      </c>
      <c r="BM95" s="386">
        <v>0</v>
      </c>
      <c r="BN95" s="386">
        <v>18.600000000000001</v>
      </c>
      <c r="BO95" s="386">
        <v>1037.7</v>
      </c>
      <c r="BP95" s="386">
        <v>25.5</v>
      </c>
      <c r="BQ95" s="615">
        <v>20.63</v>
      </c>
      <c r="BR95" s="615">
        <v>21.31</v>
      </c>
      <c r="BS95" s="615">
        <v>14.48</v>
      </c>
      <c r="BT95" s="615">
        <v>7.72</v>
      </c>
      <c r="BU95" s="614">
        <v>24.1</v>
      </c>
      <c r="BV95" s="614">
        <v>27.3</v>
      </c>
      <c r="BW95" s="615">
        <v>554.9</v>
      </c>
      <c r="BX95" s="791"/>
      <c r="BY95" s="615">
        <v>0</v>
      </c>
      <c r="BZ95" s="615">
        <v>1.26</v>
      </c>
      <c r="CA95" s="615">
        <v>1.3</v>
      </c>
      <c r="CB95" s="615">
        <v>8.5</v>
      </c>
      <c r="CC95" s="615">
        <v>8.4</v>
      </c>
      <c r="CD95" s="499">
        <v>15.3</v>
      </c>
      <c r="CE95" s="499">
        <v>34.200000000000003</v>
      </c>
      <c r="CF95" s="499">
        <v>12.69</v>
      </c>
      <c r="CG95" s="499">
        <v>8.1999999999999993</v>
      </c>
      <c r="CH95" s="499">
        <v>13.9</v>
      </c>
      <c r="CI95" s="499">
        <v>18.100000000000001</v>
      </c>
      <c r="CJ95" s="499">
        <v>13.06</v>
      </c>
      <c r="CK95" s="499">
        <v>520.6</v>
      </c>
      <c r="CL95" s="499">
        <v>1.8</v>
      </c>
      <c r="CM95" s="499">
        <v>1.9</v>
      </c>
      <c r="CN95" s="615">
        <v>145.69999999999999</v>
      </c>
      <c r="CO95" s="499">
        <v>526.79999999999995</v>
      </c>
      <c r="CP95" s="499">
        <v>470.1</v>
      </c>
      <c r="CQ95" s="499">
        <v>12.8</v>
      </c>
      <c r="CR95" s="499">
        <v>0.77</v>
      </c>
      <c r="CS95" s="386">
        <v>0</v>
      </c>
      <c r="CT95" s="386">
        <v>15.913</v>
      </c>
      <c r="CU95" s="386">
        <v>44</v>
      </c>
      <c r="CV95" s="499">
        <v>0</v>
      </c>
      <c r="CW95" s="499">
        <v>0</v>
      </c>
      <c r="CX95" s="499">
        <v>0</v>
      </c>
      <c r="CY95" s="499">
        <v>0</v>
      </c>
      <c r="CZ95" s="643">
        <v>2090</v>
      </c>
      <c r="DA95" s="643">
        <v>3220</v>
      </c>
      <c r="DB95" s="782">
        <v>1960</v>
      </c>
      <c r="DC95" s="609">
        <v>1131.04</v>
      </c>
      <c r="DD95" s="1153">
        <f t="shared" si="36"/>
        <v>1.0399999999999636</v>
      </c>
      <c r="DE95" s="1154">
        <f t="shared" si="37"/>
        <v>0</v>
      </c>
      <c r="DF95" s="1154">
        <f t="shared" si="38"/>
        <v>1850</v>
      </c>
      <c r="DG95" s="1154">
        <f t="shared" si="39"/>
        <v>2970</v>
      </c>
      <c r="DH95" s="1155" t="str">
        <f t="shared" si="40"/>
        <v>Palm</v>
      </c>
      <c r="DI95" s="1146">
        <f t="shared" si="41"/>
        <v>1260</v>
      </c>
      <c r="DJ95" s="1146">
        <f t="shared" si="42"/>
        <v>0</v>
      </c>
      <c r="DK95" s="1154">
        <f t="shared" si="43"/>
        <v>0</v>
      </c>
      <c r="DL95" s="615"/>
      <c r="DM95" s="615"/>
      <c r="DN95" s="615"/>
      <c r="DO95" s="499"/>
      <c r="DP95" s="499"/>
      <c r="DQ95" s="499"/>
      <c r="DR95" s="499"/>
      <c r="DS95" s="499"/>
      <c r="DT95" s="499"/>
      <c r="DU95" s="499"/>
      <c r="DV95" s="499"/>
      <c r="DW95" s="499"/>
      <c r="DX95" s="499"/>
      <c r="DY95" s="499"/>
      <c r="DZ95" s="499"/>
      <c r="EA95" s="499"/>
      <c r="EB95" s="499"/>
      <c r="EC95" s="499"/>
      <c r="ED95" s="499"/>
      <c r="EE95" s="499"/>
      <c r="EF95" s="499"/>
      <c r="EG95" s="1146">
        <f t="shared" si="30"/>
        <v>10.5</v>
      </c>
      <c r="EH95" s="630">
        <v>0</v>
      </c>
      <c r="EI95" s="642">
        <v>1</v>
      </c>
      <c r="EJ95" s="642">
        <v>3</v>
      </c>
      <c r="EK95" s="642">
        <v>6.5</v>
      </c>
      <c r="EL95" s="499"/>
      <c r="EM95" s="499"/>
      <c r="EN95" s="499"/>
      <c r="EO95" s="499"/>
      <c r="EP95" s="499"/>
      <c r="EQ95" s="499"/>
      <c r="ER95" s="499"/>
      <c r="ES95" s="388"/>
      <c r="ET95" s="388"/>
      <c r="EV95" s="1167">
        <f t="shared" si="32"/>
        <v>16.243500000000001</v>
      </c>
    </row>
    <row r="96" spans="1:152" s="350" customFormat="1" ht="15" x14ac:dyDescent="0.25">
      <c r="A96" s="632" t="s">
        <v>5</v>
      </c>
      <c r="B96" s="662">
        <v>42822</v>
      </c>
      <c r="C96" s="1132" t="s">
        <v>904</v>
      </c>
      <c r="D96" s="636">
        <v>0.57999999999999996</v>
      </c>
      <c r="E96" s="636">
        <v>0</v>
      </c>
      <c r="F96" s="636">
        <v>43</v>
      </c>
      <c r="G96" s="739">
        <v>2.4</v>
      </c>
      <c r="H96" s="739">
        <v>3.65</v>
      </c>
      <c r="I96" s="739">
        <v>12.3</v>
      </c>
      <c r="J96" s="636">
        <v>0</v>
      </c>
      <c r="K96" s="739">
        <v>2.75</v>
      </c>
      <c r="L96" s="741">
        <v>0</v>
      </c>
      <c r="M96" s="739">
        <v>26.4</v>
      </c>
      <c r="N96" s="739">
        <v>1.26</v>
      </c>
      <c r="O96" s="739">
        <v>1.313224032454223</v>
      </c>
      <c r="P96" s="739">
        <v>1.26</v>
      </c>
      <c r="Q96" s="739">
        <v>0.59373741064491736</v>
      </c>
      <c r="R96" s="782">
        <v>726.71947674418607</v>
      </c>
      <c r="S96" s="739">
        <v>8.3000000000000007</v>
      </c>
      <c r="T96" s="739">
        <v>8.35</v>
      </c>
      <c r="U96" s="739">
        <v>0.74</v>
      </c>
      <c r="V96" s="739">
        <v>0.81</v>
      </c>
      <c r="W96" s="739">
        <v>43.34</v>
      </c>
      <c r="X96" s="644">
        <v>43.34</v>
      </c>
      <c r="Y96" s="739">
        <v>25.7</v>
      </c>
      <c r="Z96" s="739">
        <v>29.19</v>
      </c>
      <c r="AA96" s="739">
        <v>25.8</v>
      </c>
      <c r="AB96" s="739">
        <v>28.9</v>
      </c>
      <c r="AC96" s="1160">
        <f t="shared" si="33"/>
        <v>54.7</v>
      </c>
      <c r="AD96" s="1160">
        <f t="shared" si="34"/>
        <v>84.620900000000006</v>
      </c>
      <c r="AE96" s="1160">
        <f t="shared" si="35"/>
        <v>84.620900000000006</v>
      </c>
      <c r="AF96" s="542"/>
      <c r="AG96" s="1160">
        <f t="shared" si="31"/>
        <v>0</v>
      </c>
      <c r="AH96" s="656"/>
      <c r="AI96" s="351"/>
      <c r="AJ96" s="2"/>
      <c r="AK96" s="388"/>
      <c r="AL96" s="388"/>
      <c r="AM96" s="388"/>
      <c r="AN96" s="388"/>
      <c r="AO96" s="370"/>
      <c r="AP96" s="370"/>
      <c r="AQ96" s="386"/>
      <c r="AR96" s="551">
        <v>0</v>
      </c>
      <c r="AS96" s="386">
        <v>21.1</v>
      </c>
      <c r="AT96" s="386">
        <v>0</v>
      </c>
      <c r="AU96" s="386">
        <v>0</v>
      </c>
      <c r="AV96" s="636">
        <v>478.3</v>
      </c>
      <c r="AW96" s="636">
        <v>68.099999999999994</v>
      </c>
      <c r="AX96" s="386">
        <v>0</v>
      </c>
      <c r="AY96" s="551">
        <v>0</v>
      </c>
      <c r="AZ96" s="551">
        <v>0</v>
      </c>
      <c r="BA96" s="551">
        <v>0</v>
      </c>
      <c r="BB96" s="975">
        <v>0</v>
      </c>
      <c r="BC96" s="386">
        <v>0.51</v>
      </c>
      <c r="BD96" s="386">
        <v>1.49</v>
      </c>
      <c r="BE96" s="551">
        <v>0</v>
      </c>
      <c r="BF96" s="386">
        <v>1</v>
      </c>
      <c r="BG96" s="386">
        <v>0</v>
      </c>
      <c r="BH96" s="551">
        <v>0</v>
      </c>
      <c r="BI96" s="386">
        <v>1.01</v>
      </c>
      <c r="BJ96" s="386">
        <v>24.9</v>
      </c>
      <c r="BK96" s="386">
        <v>2.95</v>
      </c>
      <c r="BL96" s="386">
        <v>3.53</v>
      </c>
      <c r="BM96" s="386">
        <v>0</v>
      </c>
      <c r="BN96" s="386">
        <v>18.600000000000001</v>
      </c>
      <c r="BO96" s="386">
        <v>970</v>
      </c>
      <c r="BP96" s="386">
        <v>2</v>
      </c>
      <c r="BQ96" s="615">
        <v>20.440000000000001</v>
      </c>
      <c r="BR96" s="615">
        <v>21.12</v>
      </c>
      <c r="BS96" s="615">
        <v>14.59</v>
      </c>
      <c r="BT96" s="615">
        <v>7.85</v>
      </c>
      <c r="BU96" s="614">
        <v>24.3</v>
      </c>
      <c r="BV96" s="614">
        <v>29.2</v>
      </c>
      <c r="BW96" s="615">
        <v>435.4</v>
      </c>
      <c r="BX96" s="791"/>
      <c r="BY96" s="615">
        <v>0</v>
      </c>
      <c r="BZ96" s="615">
        <v>1.25</v>
      </c>
      <c r="CA96" s="615">
        <v>1.2</v>
      </c>
      <c r="CB96" s="615">
        <v>8.4</v>
      </c>
      <c r="CC96" s="615">
        <v>8.4</v>
      </c>
      <c r="CD96" s="499">
        <v>15.3</v>
      </c>
      <c r="CE96" s="615">
        <v>34.200000000000003</v>
      </c>
      <c r="CF96" s="615">
        <v>15.4</v>
      </c>
      <c r="CG96" s="615">
        <v>8</v>
      </c>
      <c r="CH96" s="615">
        <v>13.6</v>
      </c>
      <c r="CI96" s="615">
        <v>18</v>
      </c>
      <c r="CJ96" s="615">
        <v>13.11</v>
      </c>
      <c r="CK96" s="499">
        <v>548.4</v>
      </c>
      <c r="CL96" s="499">
        <v>1.8</v>
      </c>
      <c r="CM96" s="499">
        <v>1.3</v>
      </c>
      <c r="CN96" s="615">
        <v>151.6</v>
      </c>
      <c r="CO96" s="499">
        <v>534.5</v>
      </c>
      <c r="CP96" s="499">
        <v>491.9</v>
      </c>
      <c r="CQ96" s="615">
        <v>13.3</v>
      </c>
      <c r="CR96" s="615">
        <v>0.8</v>
      </c>
      <c r="CS96" s="386">
        <v>0</v>
      </c>
      <c r="CT96" s="386">
        <v>16.256</v>
      </c>
      <c r="CU96" s="386">
        <v>44</v>
      </c>
      <c r="CV96" s="499">
        <v>0</v>
      </c>
      <c r="CW96" s="499">
        <v>0</v>
      </c>
      <c r="CX96" s="499">
        <v>0</v>
      </c>
      <c r="CY96" s="499">
        <v>0</v>
      </c>
      <c r="CZ96" s="643">
        <v>2360</v>
      </c>
      <c r="DA96" s="643">
        <v>3480</v>
      </c>
      <c r="DB96" s="782">
        <v>2170</v>
      </c>
      <c r="DC96" s="609">
        <v>1132.08</v>
      </c>
      <c r="DD96" s="1153">
        <f t="shared" si="36"/>
        <v>1.0399999999999636</v>
      </c>
      <c r="DE96" s="1154">
        <f t="shared" si="37"/>
        <v>0</v>
      </c>
      <c r="DF96" s="1154">
        <f t="shared" si="38"/>
        <v>2060</v>
      </c>
      <c r="DG96" s="1154">
        <f t="shared" si="39"/>
        <v>3230</v>
      </c>
      <c r="DH96" s="1155" t="str">
        <f t="shared" si="40"/>
        <v>Palm</v>
      </c>
      <c r="DI96" s="1146">
        <f t="shared" si="41"/>
        <v>1310</v>
      </c>
      <c r="DJ96" s="1146">
        <f t="shared" si="42"/>
        <v>0</v>
      </c>
      <c r="DK96" s="1154">
        <f t="shared" si="43"/>
        <v>0</v>
      </c>
      <c r="DL96" s="615"/>
      <c r="DM96" s="615"/>
      <c r="DN96" s="615"/>
      <c r="DO96" s="499"/>
      <c r="DP96" s="499"/>
      <c r="DQ96" s="499"/>
      <c r="DR96" s="499"/>
      <c r="DS96" s="499"/>
      <c r="DT96" s="499"/>
      <c r="DU96" s="499"/>
      <c r="DV96" s="499"/>
      <c r="DW96" s="499"/>
      <c r="DX96" s="499"/>
      <c r="DY96" s="499"/>
      <c r="DZ96" s="499"/>
      <c r="EA96" s="499"/>
      <c r="EB96" s="499"/>
      <c r="EC96" s="499"/>
      <c r="ED96" s="499"/>
      <c r="EE96" s="499"/>
      <c r="EF96" s="499"/>
      <c r="EG96" s="1146">
        <f t="shared" si="30"/>
        <v>10.5</v>
      </c>
      <c r="EH96" s="630">
        <v>0</v>
      </c>
      <c r="EI96" s="642">
        <v>1</v>
      </c>
      <c r="EJ96" s="642">
        <v>3</v>
      </c>
      <c r="EK96" s="642">
        <v>6.5</v>
      </c>
      <c r="EL96" s="499"/>
      <c r="EM96" s="499"/>
      <c r="EN96" s="499"/>
      <c r="EO96" s="499"/>
      <c r="EP96" s="499"/>
      <c r="EQ96" s="499"/>
      <c r="ER96" s="499"/>
      <c r="ES96" s="388"/>
      <c r="ET96" s="388"/>
      <c r="EV96" s="1167">
        <f t="shared" si="32"/>
        <v>16.243500000000001</v>
      </c>
    </row>
    <row r="97" spans="1:152" s="350" customFormat="1" ht="15" x14ac:dyDescent="0.25">
      <c r="A97" s="632" t="s">
        <v>6</v>
      </c>
      <c r="B97" s="662">
        <v>42823</v>
      </c>
      <c r="C97" s="1132" t="s">
        <v>904</v>
      </c>
      <c r="D97" s="636">
        <v>0.8</v>
      </c>
      <c r="E97" s="636">
        <v>0</v>
      </c>
      <c r="F97" s="636">
        <v>42</v>
      </c>
      <c r="G97" s="739">
        <v>2.95</v>
      </c>
      <c r="H97" s="739">
        <v>3.9</v>
      </c>
      <c r="I97" s="739">
        <v>13.35</v>
      </c>
      <c r="J97" s="636">
        <v>0</v>
      </c>
      <c r="K97" s="739">
        <v>3.34</v>
      </c>
      <c r="L97" s="741">
        <v>0</v>
      </c>
      <c r="M97" s="739">
        <v>27.3</v>
      </c>
      <c r="N97" s="739">
        <v>1.24</v>
      </c>
      <c r="O97" s="739">
        <v>1.3059660943273204</v>
      </c>
      <c r="P97" s="739">
        <v>1.25</v>
      </c>
      <c r="Q97" s="739">
        <v>0.59515444503786452</v>
      </c>
      <c r="R97" s="782">
        <v>722.7191860465116</v>
      </c>
      <c r="S97" s="739">
        <v>8.2200000000000006</v>
      </c>
      <c r="T97" s="739">
        <v>8.3000000000000007</v>
      </c>
      <c r="U97" s="739">
        <v>0.73</v>
      </c>
      <c r="V97" s="739">
        <v>0.75</v>
      </c>
      <c r="W97" s="739">
        <v>43.34</v>
      </c>
      <c r="X97" s="644">
        <v>43.34</v>
      </c>
      <c r="Y97" s="739">
        <v>25.8</v>
      </c>
      <c r="Z97" s="739">
        <v>28.9</v>
      </c>
      <c r="AA97" s="739">
        <v>25.9</v>
      </c>
      <c r="AB97" s="739">
        <v>28.9</v>
      </c>
      <c r="AC97" s="1160">
        <f t="shared" si="33"/>
        <v>54.8</v>
      </c>
      <c r="AD97" s="1160">
        <f t="shared" si="34"/>
        <v>84.775599999999997</v>
      </c>
      <c r="AE97" s="1160">
        <f t="shared" si="35"/>
        <v>84.775599999999997</v>
      </c>
      <c r="AF97" s="542"/>
      <c r="AG97" s="1160">
        <f t="shared" si="31"/>
        <v>0</v>
      </c>
      <c r="AH97" s="656"/>
      <c r="AI97" s="351"/>
      <c r="AJ97" s="2"/>
      <c r="AK97" s="388"/>
      <c r="AL97" s="388"/>
      <c r="AM97" s="388"/>
      <c r="AN97" s="388"/>
      <c r="AO97" s="370"/>
      <c r="AP97" s="370"/>
      <c r="AQ97" s="386"/>
      <c r="AR97" s="551">
        <v>0</v>
      </c>
      <c r="AS97" s="386">
        <v>10.9</v>
      </c>
      <c r="AT97" s="386">
        <v>0</v>
      </c>
      <c r="AU97" s="386">
        <v>0</v>
      </c>
      <c r="AV97" s="636">
        <v>793</v>
      </c>
      <c r="AW97" s="636">
        <v>113.2</v>
      </c>
      <c r="AX97" s="386">
        <v>0</v>
      </c>
      <c r="AY97" s="551">
        <v>0</v>
      </c>
      <c r="AZ97" s="551">
        <v>0</v>
      </c>
      <c r="BA97" s="551">
        <v>0</v>
      </c>
      <c r="BB97" s="975">
        <v>0</v>
      </c>
      <c r="BC97" s="386">
        <v>0.51</v>
      </c>
      <c r="BD97" s="386">
        <v>1.5</v>
      </c>
      <c r="BE97" s="551">
        <v>0</v>
      </c>
      <c r="BF97" s="386">
        <v>1</v>
      </c>
      <c r="BG97" s="386">
        <v>0</v>
      </c>
      <c r="BH97" s="551">
        <v>0</v>
      </c>
      <c r="BI97" s="386">
        <v>0.92</v>
      </c>
      <c r="BJ97" s="386">
        <v>25</v>
      </c>
      <c r="BK97" s="386">
        <v>2.97</v>
      </c>
      <c r="BL97" s="386">
        <v>3.59</v>
      </c>
      <c r="BM97" s="386">
        <v>0</v>
      </c>
      <c r="BN97" s="386">
        <v>18.5</v>
      </c>
      <c r="BO97" s="386">
        <v>932</v>
      </c>
      <c r="BP97" s="386">
        <v>2</v>
      </c>
      <c r="BQ97" s="615">
        <v>20.51</v>
      </c>
      <c r="BR97" s="615">
        <v>21.17</v>
      </c>
      <c r="BS97" s="615">
        <v>14.4</v>
      </c>
      <c r="BT97" s="615">
        <v>7.71</v>
      </c>
      <c r="BU97" s="614">
        <v>24</v>
      </c>
      <c r="BV97" s="614">
        <v>28.1</v>
      </c>
      <c r="BW97" s="615">
        <v>573.20000000000005</v>
      </c>
      <c r="BX97" s="791"/>
      <c r="BY97" s="615">
        <v>0</v>
      </c>
      <c r="BZ97" s="615">
        <v>1.25</v>
      </c>
      <c r="CA97" s="615">
        <v>1</v>
      </c>
      <c r="CB97" s="615">
        <v>8.5</v>
      </c>
      <c r="CC97" s="615">
        <v>7.2</v>
      </c>
      <c r="CD97" s="499">
        <v>15.8</v>
      </c>
      <c r="CE97" s="499">
        <v>34.200000000000003</v>
      </c>
      <c r="CF97" s="499">
        <v>14.1</v>
      </c>
      <c r="CG97" s="615">
        <v>7.6</v>
      </c>
      <c r="CH97" s="615">
        <v>13.1</v>
      </c>
      <c r="CI97" s="499">
        <v>17.649999999999999</v>
      </c>
      <c r="CJ97" s="499">
        <v>13.56</v>
      </c>
      <c r="CK97" s="499">
        <v>554.79999999999995</v>
      </c>
      <c r="CL97" s="499">
        <v>1.8</v>
      </c>
      <c r="CM97" s="499">
        <v>0.7</v>
      </c>
      <c r="CN97" s="615">
        <v>166.6</v>
      </c>
      <c r="CO97" s="499">
        <v>496.2</v>
      </c>
      <c r="CP97" s="499">
        <v>460.3</v>
      </c>
      <c r="CQ97" s="615">
        <v>13.2</v>
      </c>
      <c r="CR97" s="615">
        <v>0.81</v>
      </c>
      <c r="CS97" s="386">
        <v>0</v>
      </c>
      <c r="CT97" s="386">
        <v>15.413</v>
      </c>
      <c r="CU97" s="386">
        <v>45</v>
      </c>
      <c r="CV97" s="499">
        <v>0</v>
      </c>
      <c r="CW97" s="499">
        <v>0</v>
      </c>
      <c r="CX97" s="499">
        <v>0</v>
      </c>
      <c r="CY97" s="499">
        <v>0</v>
      </c>
      <c r="CZ97" s="643">
        <v>3060</v>
      </c>
      <c r="DA97" s="643">
        <v>4440</v>
      </c>
      <c r="DB97" s="782">
        <v>2820</v>
      </c>
      <c r="DC97" s="609">
        <v>1134.3800000000001</v>
      </c>
      <c r="DD97" s="1153">
        <f t="shared" si="36"/>
        <v>2.3000000000001819</v>
      </c>
      <c r="DE97" s="1154">
        <f t="shared" si="37"/>
        <v>0</v>
      </c>
      <c r="DF97" s="1154">
        <f t="shared" si="38"/>
        <v>2710</v>
      </c>
      <c r="DG97" s="1154">
        <f t="shared" si="39"/>
        <v>4190</v>
      </c>
      <c r="DH97" s="1155" t="str">
        <f t="shared" si="40"/>
        <v>Palm</v>
      </c>
      <c r="DI97" s="1146">
        <f t="shared" si="41"/>
        <v>1620</v>
      </c>
      <c r="DJ97" s="1146">
        <f t="shared" si="42"/>
        <v>0</v>
      </c>
      <c r="DK97" s="1154">
        <f t="shared" si="43"/>
        <v>0</v>
      </c>
      <c r="DL97" s="615"/>
      <c r="DM97" s="615"/>
      <c r="DN97" s="615"/>
      <c r="DO97" s="499"/>
      <c r="DP97" s="499"/>
      <c r="DQ97" s="499"/>
      <c r="DR97" s="499"/>
      <c r="DS97" s="499"/>
      <c r="DT97" s="499"/>
      <c r="DU97" s="499"/>
      <c r="DV97" s="499"/>
      <c r="DW97" s="499"/>
      <c r="DX97" s="499"/>
      <c r="DY97" s="499"/>
      <c r="DZ97" s="499"/>
      <c r="EA97" s="499"/>
      <c r="EB97" s="499"/>
      <c r="EC97" s="499"/>
      <c r="ED97" s="499"/>
      <c r="EE97" s="499"/>
      <c r="EF97" s="499"/>
      <c r="EG97" s="1146">
        <f t="shared" si="30"/>
        <v>10.5</v>
      </c>
      <c r="EH97" s="630">
        <v>0</v>
      </c>
      <c r="EI97" s="642">
        <v>1</v>
      </c>
      <c r="EJ97" s="642">
        <v>3</v>
      </c>
      <c r="EK97" s="642">
        <v>6.5</v>
      </c>
      <c r="EL97" s="499"/>
      <c r="EM97" s="499"/>
      <c r="EN97" s="499"/>
      <c r="EO97" s="499"/>
      <c r="EP97" s="499"/>
      <c r="EQ97" s="499"/>
      <c r="ER97" s="499"/>
      <c r="ES97" s="388"/>
      <c r="ET97" s="388"/>
      <c r="EV97" s="1167">
        <f t="shared" si="32"/>
        <v>16.243500000000001</v>
      </c>
    </row>
    <row r="98" spans="1:152" s="350" customFormat="1" ht="15" x14ac:dyDescent="0.25">
      <c r="A98" s="632" t="s">
        <v>7</v>
      </c>
      <c r="B98" s="662">
        <v>42824</v>
      </c>
      <c r="C98" s="1132" t="s">
        <v>904</v>
      </c>
      <c r="D98" s="636">
        <v>0.24</v>
      </c>
      <c r="E98" s="636">
        <v>0</v>
      </c>
      <c r="F98" s="636">
        <v>38</v>
      </c>
      <c r="G98" s="739">
        <v>3.05</v>
      </c>
      <c r="H98" s="739">
        <v>5.3</v>
      </c>
      <c r="I98" s="739">
        <v>11.5</v>
      </c>
      <c r="J98" s="636">
        <v>0</v>
      </c>
      <c r="K98" s="739">
        <v>4.8499999999999996</v>
      </c>
      <c r="L98" s="741">
        <v>0</v>
      </c>
      <c r="M98" s="739">
        <v>27.7</v>
      </c>
      <c r="N98" s="739">
        <v>1.25</v>
      </c>
      <c r="O98" s="739">
        <v>1.3012758397929312</v>
      </c>
      <c r="P98" s="739">
        <v>1.25</v>
      </c>
      <c r="Q98" s="739">
        <v>0.5895561612739364</v>
      </c>
      <c r="R98" s="782">
        <v>725.71940406976751</v>
      </c>
      <c r="S98" s="739">
        <v>8.18</v>
      </c>
      <c r="T98" s="739">
        <v>8.27</v>
      </c>
      <c r="U98" s="739">
        <v>0.75</v>
      </c>
      <c r="V98" s="739">
        <v>0.8</v>
      </c>
      <c r="W98" s="739">
        <v>42.980000000000004</v>
      </c>
      <c r="X98" s="644">
        <v>43.160000000000011</v>
      </c>
      <c r="Y98" s="739">
        <v>25.9</v>
      </c>
      <c r="Z98" s="739">
        <v>28.9</v>
      </c>
      <c r="AA98" s="739">
        <v>25.8</v>
      </c>
      <c r="AB98" s="739">
        <v>28.9</v>
      </c>
      <c r="AC98" s="1160">
        <f t="shared" si="33"/>
        <v>54.7</v>
      </c>
      <c r="AD98" s="1160">
        <f t="shared" si="34"/>
        <v>84.620900000000006</v>
      </c>
      <c r="AE98" s="1160">
        <f t="shared" si="35"/>
        <v>84.620900000000006</v>
      </c>
      <c r="AF98" s="542"/>
      <c r="AG98" s="1160">
        <f t="shared" si="31"/>
        <v>0</v>
      </c>
      <c r="AH98" s="656"/>
      <c r="AI98" s="351"/>
      <c r="AJ98" s="2"/>
      <c r="AK98" s="388"/>
      <c r="AL98" s="388"/>
      <c r="AM98" s="388"/>
      <c r="AN98" s="388"/>
      <c r="AO98" s="370"/>
      <c r="AP98" s="370"/>
      <c r="AQ98" s="386"/>
      <c r="AR98" s="551">
        <v>0</v>
      </c>
      <c r="AS98" s="386">
        <v>21.5</v>
      </c>
      <c r="AT98" s="386">
        <v>0</v>
      </c>
      <c r="AU98" s="386">
        <v>0</v>
      </c>
      <c r="AV98" s="636">
        <v>235.3</v>
      </c>
      <c r="AW98" s="636">
        <v>295.3</v>
      </c>
      <c r="AX98" s="386">
        <v>0</v>
      </c>
      <c r="AY98" s="551">
        <v>0</v>
      </c>
      <c r="AZ98" s="551">
        <v>0</v>
      </c>
      <c r="BA98" s="551">
        <v>0</v>
      </c>
      <c r="BB98" s="975">
        <v>0</v>
      </c>
      <c r="BC98" s="386">
        <v>0.51</v>
      </c>
      <c r="BD98" s="386">
        <v>1.49</v>
      </c>
      <c r="BE98" s="551">
        <v>0</v>
      </c>
      <c r="BF98" s="386">
        <v>1</v>
      </c>
      <c r="BG98" s="386">
        <v>0</v>
      </c>
      <c r="BH98" s="551">
        <v>0</v>
      </c>
      <c r="BI98" s="386">
        <v>1.01</v>
      </c>
      <c r="BJ98" s="386">
        <v>25</v>
      </c>
      <c r="BK98" s="386">
        <v>2.99</v>
      </c>
      <c r="BL98" s="386">
        <v>3.68</v>
      </c>
      <c r="BM98" s="386">
        <v>0</v>
      </c>
      <c r="BN98" s="386">
        <v>18.399999999999999</v>
      </c>
      <c r="BO98" s="386">
        <v>1113</v>
      </c>
      <c r="BP98" s="386">
        <v>2</v>
      </c>
      <c r="BQ98" s="615">
        <v>21.19</v>
      </c>
      <c r="BR98" s="615">
        <v>21.86</v>
      </c>
      <c r="BS98" s="615">
        <v>14.91</v>
      </c>
      <c r="BT98" s="615">
        <v>7.61</v>
      </c>
      <c r="BU98" s="614">
        <v>24.4</v>
      </c>
      <c r="BV98" s="614">
        <v>26.7</v>
      </c>
      <c r="BW98" s="615">
        <v>574.79999999999995</v>
      </c>
      <c r="BX98" s="791"/>
      <c r="BY98" s="615">
        <v>0</v>
      </c>
      <c r="BZ98" s="615">
        <v>1.23</v>
      </c>
      <c r="CA98" s="615">
        <v>1.1000000000000001</v>
      </c>
      <c r="CB98" s="615">
        <v>8.4</v>
      </c>
      <c r="CC98" s="615">
        <v>8.6</v>
      </c>
      <c r="CD98" s="499">
        <v>15.4</v>
      </c>
      <c r="CE98" s="499">
        <v>34.1</v>
      </c>
      <c r="CF98" s="499">
        <v>12.6</v>
      </c>
      <c r="CG98" s="615">
        <v>8.1</v>
      </c>
      <c r="CH98" s="615">
        <v>13.77</v>
      </c>
      <c r="CI98" s="499">
        <v>18.2</v>
      </c>
      <c r="CJ98" s="499">
        <v>13.02</v>
      </c>
      <c r="CK98" s="499">
        <v>517.1</v>
      </c>
      <c r="CL98" s="499">
        <v>1.6</v>
      </c>
      <c r="CM98" s="499">
        <v>1.2</v>
      </c>
      <c r="CN98" s="615">
        <v>282.5</v>
      </c>
      <c r="CO98" s="499">
        <v>540.20000000000005</v>
      </c>
      <c r="CP98" s="499">
        <v>466.8</v>
      </c>
      <c r="CQ98" s="615">
        <v>12.9</v>
      </c>
      <c r="CR98" s="615">
        <v>0.78</v>
      </c>
      <c r="CS98" s="386">
        <v>0</v>
      </c>
      <c r="CT98" s="386">
        <v>15.56</v>
      </c>
      <c r="CU98" s="386">
        <v>45</v>
      </c>
      <c r="CV98" s="499">
        <v>0</v>
      </c>
      <c r="CW98" s="499">
        <v>0</v>
      </c>
      <c r="CX98" s="499">
        <v>0</v>
      </c>
      <c r="CY98" s="499">
        <v>0</v>
      </c>
      <c r="CZ98" s="643">
        <v>3240</v>
      </c>
      <c r="DA98" s="643">
        <v>4490</v>
      </c>
      <c r="DB98" s="782">
        <v>2890</v>
      </c>
      <c r="DC98" s="609">
        <v>1136.8699999999999</v>
      </c>
      <c r="DD98" s="1153">
        <f t="shared" si="36"/>
        <v>2.4899999999997817</v>
      </c>
      <c r="DE98" s="1154">
        <f t="shared" si="37"/>
        <v>0</v>
      </c>
      <c r="DF98" s="1154">
        <f t="shared" si="38"/>
        <v>2780</v>
      </c>
      <c r="DG98" s="1154">
        <f t="shared" si="39"/>
        <v>4240</v>
      </c>
      <c r="DH98" s="1155" t="str">
        <f t="shared" si="40"/>
        <v>Palm</v>
      </c>
      <c r="DI98" s="1146">
        <f t="shared" si="41"/>
        <v>1600</v>
      </c>
      <c r="DJ98" s="1146">
        <f t="shared" si="42"/>
        <v>0</v>
      </c>
      <c r="DK98" s="1154">
        <f t="shared" si="43"/>
        <v>0</v>
      </c>
      <c r="DL98" s="615"/>
      <c r="DM98" s="615"/>
      <c r="DN98" s="615"/>
      <c r="DO98" s="499"/>
      <c r="DP98" s="499"/>
      <c r="DQ98" s="499"/>
      <c r="DR98" s="499"/>
      <c r="DS98" s="499"/>
      <c r="DT98" s="499"/>
      <c r="DU98" s="499"/>
      <c r="DV98" s="499"/>
      <c r="DW98" s="499"/>
      <c r="DX98" s="499"/>
      <c r="DY98" s="499"/>
      <c r="DZ98" s="499"/>
      <c r="EA98" s="499"/>
      <c r="EB98" s="499"/>
      <c r="EC98" s="499"/>
      <c r="ED98" s="499"/>
      <c r="EE98" s="499"/>
      <c r="EF98" s="499"/>
      <c r="EG98" s="1146">
        <f t="shared" si="30"/>
        <v>10.5</v>
      </c>
      <c r="EH98" s="630">
        <v>0</v>
      </c>
      <c r="EI98" s="642">
        <v>1</v>
      </c>
      <c r="EJ98" s="642">
        <v>3</v>
      </c>
      <c r="EK98" s="642">
        <v>6.5</v>
      </c>
      <c r="EL98" s="499"/>
      <c r="EM98" s="499"/>
      <c r="EN98" s="499"/>
      <c r="EO98" s="499"/>
      <c r="EP98" s="499"/>
      <c r="EQ98" s="499"/>
      <c r="ER98" s="499"/>
      <c r="ES98" s="388"/>
      <c r="ET98" s="388"/>
      <c r="EV98" s="1167">
        <f t="shared" si="32"/>
        <v>16.243500000000001</v>
      </c>
    </row>
    <row r="99" spans="1:152" s="350" customFormat="1" ht="15" x14ac:dyDescent="0.25">
      <c r="A99" s="632" t="s">
        <v>8</v>
      </c>
      <c r="B99" s="662">
        <v>42825</v>
      </c>
      <c r="C99" s="1132" t="s">
        <v>904</v>
      </c>
      <c r="D99" s="636">
        <v>0</v>
      </c>
      <c r="E99" s="636">
        <v>0</v>
      </c>
      <c r="F99" s="636">
        <v>44</v>
      </c>
      <c r="G99" s="739">
        <v>2.2000000000000002</v>
      </c>
      <c r="H99" s="739">
        <v>5.13</v>
      </c>
      <c r="I99" s="739">
        <v>11.3</v>
      </c>
      <c r="J99" s="636">
        <v>0</v>
      </c>
      <c r="K99" s="739">
        <v>4.3099999999999996</v>
      </c>
      <c r="L99" s="741">
        <v>0</v>
      </c>
      <c r="M99" s="739">
        <v>27.4</v>
      </c>
      <c r="N99" s="739">
        <v>1.25</v>
      </c>
      <c r="O99" s="739">
        <v>1.3275240117393678</v>
      </c>
      <c r="P99" s="739">
        <v>1.24</v>
      </c>
      <c r="Q99" s="739">
        <v>0.59200547972014284</v>
      </c>
      <c r="R99" s="782">
        <v>712.38510174418616</v>
      </c>
      <c r="S99" s="739">
        <v>8.16</v>
      </c>
      <c r="T99" s="739">
        <v>8.27</v>
      </c>
      <c r="U99" s="739">
        <v>0.74</v>
      </c>
      <c r="V99" s="739">
        <v>0.8</v>
      </c>
      <c r="W99" s="739">
        <v>43.34</v>
      </c>
      <c r="X99" s="644">
        <v>43.34</v>
      </c>
      <c r="Y99" s="739">
        <v>25.8</v>
      </c>
      <c r="Z99" s="739">
        <v>28.9</v>
      </c>
      <c r="AA99" s="739">
        <v>25.8</v>
      </c>
      <c r="AB99" s="739">
        <v>27.7</v>
      </c>
      <c r="AC99" s="1160">
        <f t="shared" si="33"/>
        <v>53.5</v>
      </c>
      <c r="AD99" s="1160">
        <f t="shared" si="34"/>
        <v>82.764499999999998</v>
      </c>
      <c r="AE99" s="1160">
        <f t="shared" si="35"/>
        <v>82.764499999999998</v>
      </c>
      <c r="AF99" s="542"/>
      <c r="AG99" s="1160">
        <f t="shared" si="31"/>
        <v>0</v>
      </c>
      <c r="AH99" s="656"/>
      <c r="AI99" s="351"/>
      <c r="AJ99" s="2"/>
      <c r="AK99" s="388"/>
      <c r="AL99" s="388"/>
      <c r="AM99" s="388"/>
      <c r="AN99" s="388"/>
      <c r="AO99" s="370"/>
      <c r="AP99" s="370"/>
      <c r="AQ99" s="386"/>
      <c r="AR99" s="551">
        <v>0</v>
      </c>
      <c r="AS99" s="386">
        <v>11</v>
      </c>
      <c r="AT99" s="386">
        <v>0</v>
      </c>
      <c r="AU99" s="386">
        <v>0</v>
      </c>
      <c r="AV99" s="636">
        <v>238</v>
      </c>
      <c r="AW99" s="636">
        <v>406.9</v>
      </c>
      <c r="AX99" s="386">
        <v>0</v>
      </c>
      <c r="AY99" s="551">
        <v>0</v>
      </c>
      <c r="AZ99" s="551">
        <v>0</v>
      </c>
      <c r="BA99" s="551">
        <v>0</v>
      </c>
      <c r="BB99" s="975">
        <v>0</v>
      </c>
      <c r="BC99" s="386">
        <v>0.65</v>
      </c>
      <c r="BD99" s="386">
        <v>1.67</v>
      </c>
      <c r="BE99" s="551">
        <v>0</v>
      </c>
      <c r="BF99" s="386">
        <v>1</v>
      </c>
      <c r="BG99" s="386">
        <v>0</v>
      </c>
      <c r="BH99" s="551">
        <v>0</v>
      </c>
      <c r="BI99" s="386">
        <v>1.01</v>
      </c>
      <c r="BJ99" s="386">
        <v>23.4</v>
      </c>
      <c r="BK99" s="386">
        <v>2.98</v>
      </c>
      <c r="BL99" s="386">
        <v>3.68</v>
      </c>
      <c r="BM99" s="386">
        <v>0</v>
      </c>
      <c r="BN99" s="386">
        <v>16.899999999999999</v>
      </c>
      <c r="BO99" s="386">
        <v>1022.1</v>
      </c>
      <c r="BP99" s="386">
        <v>2</v>
      </c>
      <c r="BQ99" s="615">
        <v>20.9</v>
      </c>
      <c r="BR99" s="615">
        <v>21.5</v>
      </c>
      <c r="BS99" s="615">
        <v>14.6</v>
      </c>
      <c r="BT99" s="615">
        <v>7.8</v>
      </c>
      <c r="BU99" s="614">
        <v>24.4</v>
      </c>
      <c r="BV99" s="614">
        <v>29.5</v>
      </c>
      <c r="BW99" s="615">
        <v>415.6</v>
      </c>
      <c r="BX99" s="791"/>
      <c r="BY99" s="615">
        <v>1.26</v>
      </c>
      <c r="BZ99" s="615">
        <v>1.2</v>
      </c>
      <c r="CA99" s="615">
        <v>1.2</v>
      </c>
      <c r="CB99" s="615">
        <v>8.4</v>
      </c>
      <c r="CC99" s="615">
        <v>8.5</v>
      </c>
      <c r="CD99" s="499">
        <v>14.8</v>
      </c>
      <c r="CE99" s="499">
        <v>34</v>
      </c>
      <c r="CF99" s="499">
        <v>15.2</v>
      </c>
      <c r="CG99" s="615">
        <v>8.1999999999999993</v>
      </c>
      <c r="CH99" s="615">
        <v>13.8</v>
      </c>
      <c r="CI99" s="499">
        <v>18.2</v>
      </c>
      <c r="CJ99" s="499">
        <v>12.5</v>
      </c>
      <c r="CK99" s="499">
        <v>524</v>
      </c>
      <c r="CL99" s="499">
        <v>1.5</v>
      </c>
      <c r="CM99" s="499">
        <v>1.4</v>
      </c>
      <c r="CN99" s="615">
        <v>176.3</v>
      </c>
      <c r="CO99" s="499">
        <v>557.29999999999995</v>
      </c>
      <c r="CP99" s="499">
        <v>455.4</v>
      </c>
      <c r="CQ99" s="615">
        <v>13</v>
      </c>
      <c r="CR99" s="615">
        <v>0.78</v>
      </c>
      <c r="CS99" s="386">
        <v>0</v>
      </c>
      <c r="CT99" s="386">
        <v>15.742000000000001</v>
      </c>
      <c r="CU99" s="386">
        <v>45</v>
      </c>
      <c r="CV99" s="499">
        <v>0</v>
      </c>
      <c r="CW99" s="499">
        <v>0</v>
      </c>
      <c r="CX99" s="499">
        <v>0</v>
      </c>
      <c r="CY99" s="499">
        <v>0</v>
      </c>
      <c r="CZ99" s="643">
        <v>2130</v>
      </c>
      <c r="DA99" s="643">
        <v>3210</v>
      </c>
      <c r="DB99" s="782">
        <v>2220</v>
      </c>
      <c r="DC99" s="609">
        <v>1138.21</v>
      </c>
      <c r="DD99" s="1153">
        <f t="shared" si="36"/>
        <v>1.3400000000001455</v>
      </c>
      <c r="DE99" s="1154">
        <f t="shared" si="37"/>
        <v>0</v>
      </c>
      <c r="DF99" s="1154">
        <f t="shared" si="38"/>
        <v>2110</v>
      </c>
      <c r="DG99" s="1154">
        <f t="shared" si="39"/>
        <v>2960</v>
      </c>
      <c r="DH99" s="1155" t="str">
        <f t="shared" si="40"/>
        <v>Palm</v>
      </c>
      <c r="DI99" s="1146">
        <f t="shared" si="41"/>
        <v>990</v>
      </c>
      <c r="DJ99" s="1146">
        <f t="shared" si="42"/>
        <v>0</v>
      </c>
      <c r="DK99" s="1154">
        <f t="shared" si="43"/>
        <v>0</v>
      </c>
      <c r="DL99" s="615"/>
      <c r="DM99" s="615"/>
      <c r="DN99" s="615"/>
      <c r="DO99" s="499"/>
      <c r="DP99" s="499"/>
      <c r="DQ99" s="499"/>
      <c r="DR99" s="499"/>
      <c r="DS99" s="499"/>
      <c r="DT99" s="499"/>
      <c r="DU99" s="499"/>
      <c r="DV99" s="499"/>
      <c r="DW99" s="499"/>
      <c r="DX99" s="499"/>
      <c r="DY99" s="499"/>
      <c r="DZ99" s="499"/>
      <c r="EA99" s="499"/>
      <c r="EB99" s="499"/>
      <c r="EC99" s="499"/>
      <c r="ED99" s="499"/>
      <c r="EE99" s="499"/>
      <c r="EF99" s="499"/>
      <c r="EG99" s="1146">
        <f t="shared" ref="EG99:EG112" si="44">(SUM(EH99:EK99))</f>
        <v>11</v>
      </c>
      <c r="EH99" s="630">
        <v>0</v>
      </c>
      <c r="EI99" s="642">
        <v>1</v>
      </c>
      <c r="EJ99" s="630">
        <v>3.5</v>
      </c>
      <c r="EK99" s="642">
        <v>6.5</v>
      </c>
      <c r="EL99" s="499"/>
      <c r="EM99" s="499"/>
      <c r="EN99" s="499"/>
      <c r="EO99" s="499"/>
      <c r="EP99" s="499"/>
      <c r="EQ99" s="499"/>
      <c r="ER99" s="499"/>
      <c r="ES99" s="388"/>
      <c r="ET99" s="388"/>
      <c r="EV99" s="1167">
        <f t="shared" si="32"/>
        <v>17.016999999999999</v>
      </c>
    </row>
    <row r="100" spans="1:152" s="350" customFormat="1" ht="15" x14ac:dyDescent="0.25">
      <c r="A100" s="632" t="s">
        <v>9</v>
      </c>
      <c r="B100" s="662">
        <v>42826</v>
      </c>
      <c r="C100" s="1132" t="s">
        <v>904</v>
      </c>
      <c r="D100" s="636">
        <v>0.41</v>
      </c>
      <c r="E100" s="636">
        <v>0</v>
      </c>
      <c r="F100" s="636">
        <v>43</v>
      </c>
      <c r="G100" s="739">
        <v>2.2000000000000002</v>
      </c>
      <c r="H100" s="739">
        <v>4.95</v>
      </c>
      <c r="I100" s="739">
        <v>11.6</v>
      </c>
      <c r="J100" s="636">
        <v>0</v>
      </c>
      <c r="K100" s="739">
        <v>4.0599999999999996</v>
      </c>
      <c r="L100" s="741">
        <v>0</v>
      </c>
      <c r="M100" s="739">
        <v>27</v>
      </c>
      <c r="N100" s="739">
        <v>1.26</v>
      </c>
      <c r="O100" s="739">
        <v>1.3295349959593401</v>
      </c>
      <c r="P100" s="739">
        <v>1.24</v>
      </c>
      <c r="Q100" s="739">
        <v>0.59560703396932491</v>
      </c>
      <c r="R100" s="782">
        <v>705.05123546511629</v>
      </c>
      <c r="S100" s="739">
        <v>8.2200000000000006</v>
      </c>
      <c r="T100" s="739">
        <v>8.2799999999999994</v>
      </c>
      <c r="U100" s="739">
        <v>0.76</v>
      </c>
      <c r="V100" s="739">
        <v>0.82</v>
      </c>
      <c r="W100" s="739">
        <v>43.34</v>
      </c>
      <c r="X100" s="644">
        <v>43.34</v>
      </c>
      <c r="Y100" s="739">
        <v>25.8</v>
      </c>
      <c r="Z100" s="739">
        <v>27.7</v>
      </c>
      <c r="AA100" s="739">
        <v>25.85</v>
      </c>
      <c r="AB100" s="739">
        <v>27</v>
      </c>
      <c r="AC100" s="1160">
        <f t="shared" si="33"/>
        <v>52.85</v>
      </c>
      <c r="AD100" s="1160">
        <f t="shared" si="34"/>
        <v>81.758949999999999</v>
      </c>
      <c r="AE100" s="1160">
        <f t="shared" si="35"/>
        <v>81.758949999999999</v>
      </c>
      <c r="AF100" s="542"/>
      <c r="AG100" s="1160">
        <f t="shared" si="31"/>
        <v>0</v>
      </c>
      <c r="AH100" s="656"/>
      <c r="AI100" s="351"/>
      <c r="AJ100" s="2"/>
      <c r="AK100" s="388"/>
      <c r="AL100" s="388"/>
      <c r="AM100" s="388"/>
      <c r="AN100" s="388"/>
      <c r="AO100" s="370"/>
      <c r="AP100" s="370"/>
      <c r="AQ100" s="386"/>
      <c r="AR100" s="551">
        <v>0</v>
      </c>
      <c r="AS100" s="386">
        <v>11.3</v>
      </c>
      <c r="AT100" s="386">
        <v>0</v>
      </c>
      <c r="AU100" s="386">
        <v>0</v>
      </c>
      <c r="AV100" s="636">
        <v>409.8</v>
      </c>
      <c r="AW100" s="636">
        <v>557.79999999999995</v>
      </c>
      <c r="AX100" s="386">
        <v>0</v>
      </c>
      <c r="AY100" s="551">
        <v>0</v>
      </c>
      <c r="AZ100" s="551">
        <v>0</v>
      </c>
      <c r="BA100" s="551">
        <v>0</v>
      </c>
      <c r="BB100" s="975">
        <v>0</v>
      </c>
      <c r="BC100" s="386">
        <v>0.71</v>
      </c>
      <c r="BD100" s="386">
        <v>1.77</v>
      </c>
      <c r="BE100" s="551">
        <v>0</v>
      </c>
      <c r="BF100" s="386">
        <v>1</v>
      </c>
      <c r="BG100" s="386">
        <v>0</v>
      </c>
      <c r="BH100" s="551">
        <v>0</v>
      </c>
      <c r="BI100" s="386">
        <v>1</v>
      </c>
      <c r="BJ100" s="386">
        <v>22.5</v>
      </c>
      <c r="BK100" s="386">
        <v>2.8</v>
      </c>
      <c r="BL100" s="386">
        <v>3.68</v>
      </c>
      <c r="BM100" s="386">
        <v>0</v>
      </c>
      <c r="BN100" s="386">
        <v>16.100000000000001</v>
      </c>
      <c r="BO100" s="386">
        <v>1018.7</v>
      </c>
      <c r="BP100" s="386">
        <v>2</v>
      </c>
      <c r="BQ100" s="615">
        <v>20.3</v>
      </c>
      <c r="BR100" s="615">
        <v>20.9</v>
      </c>
      <c r="BS100" s="615">
        <v>14.3</v>
      </c>
      <c r="BT100" s="615">
        <v>7.7</v>
      </c>
      <c r="BU100" s="614">
        <v>24.1</v>
      </c>
      <c r="BV100" s="614">
        <v>30.2</v>
      </c>
      <c r="BW100" s="615">
        <v>581.20000000000005</v>
      </c>
      <c r="BX100" s="791"/>
      <c r="BY100" s="615">
        <v>1.25</v>
      </c>
      <c r="BZ100" s="615">
        <v>1.21</v>
      </c>
      <c r="CA100" s="615">
        <v>1.2</v>
      </c>
      <c r="CB100" s="615">
        <v>8.4</v>
      </c>
      <c r="CC100" s="615">
        <v>8.5</v>
      </c>
      <c r="CD100" s="499">
        <v>14.5</v>
      </c>
      <c r="CE100" s="499">
        <v>34.1</v>
      </c>
      <c r="CF100" s="499">
        <v>14.2</v>
      </c>
      <c r="CG100" s="499">
        <v>8.1</v>
      </c>
      <c r="CH100" s="499">
        <v>13.9</v>
      </c>
      <c r="CI100" s="499">
        <v>18</v>
      </c>
      <c r="CJ100" s="499">
        <v>12.4</v>
      </c>
      <c r="CK100" s="499">
        <v>556.4</v>
      </c>
      <c r="CL100" s="499">
        <v>1.5</v>
      </c>
      <c r="CM100" s="499">
        <v>1</v>
      </c>
      <c r="CN100" s="615">
        <v>389.9</v>
      </c>
      <c r="CO100" s="499">
        <v>428.1</v>
      </c>
      <c r="CP100" s="615">
        <v>442.9</v>
      </c>
      <c r="CQ100" s="615">
        <v>13.6</v>
      </c>
      <c r="CR100" s="615">
        <v>0.81</v>
      </c>
      <c r="CS100" s="386">
        <v>0</v>
      </c>
      <c r="CT100" s="386">
        <v>16.372</v>
      </c>
      <c r="CU100" s="386">
        <v>45</v>
      </c>
      <c r="CV100" s="499">
        <v>0</v>
      </c>
      <c r="CW100" s="499">
        <v>0</v>
      </c>
      <c r="CX100" s="499">
        <v>0</v>
      </c>
      <c r="CY100" s="499">
        <v>0</v>
      </c>
      <c r="CZ100" s="643">
        <v>2130</v>
      </c>
      <c r="DA100" s="643">
        <v>3100</v>
      </c>
      <c r="DB100" s="782">
        <v>2220</v>
      </c>
      <c r="DC100" s="609">
        <v>1139.57</v>
      </c>
      <c r="DD100" s="1153">
        <f t="shared" si="36"/>
        <v>1.3599999999999</v>
      </c>
      <c r="DE100" s="1154">
        <f t="shared" si="37"/>
        <v>0</v>
      </c>
      <c r="DF100" s="1154">
        <f t="shared" si="38"/>
        <v>2110</v>
      </c>
      <c r="DG100" s="1154">
        <f t="shared" si="39"/>
        <v>2850</v>
      </c>
      <c r="DH100" s="1155" t="str">
        <f t="shared" si="40"/>
        <v>Palm</v>
      </c>
      <c r="DI100" s="1146">
        <f t="shared" si="41"/>
        <v>880</v>
      </c>
      <c r="DJ100" s="1146">
        <f t="shared" si="42"/>
        <v>0</v>
      </c>
      <c r="DK100" s="1154">
        <f t="shared" si="43"/>
        <v>0</v>
      </c>
      <c r="DL100" s="615"/>
      <c r="DM100" s="615"/>
      <c r="DN100" s="615"/>
      <c r="DO100" s="499"/>
      <c r="DP100" s="499"/>
      <c r="DQ100" s="499"/>
      <c r="DR100" s="499"/>
      <c r="DS100" s="499"/>
      <c r="DT100" s="499"/>
      <c r="DU100" s="499"/>
      <c r="DV100" s="499"/>
      <c r="DW100" s="499"/>
      <c r="DX100" s="499"/>
      <c r="DY100" s="499"/>
      <c r="DZ100" s="499"/>
      <c r="EA100" s="499"/>
      <c r="EB100" s="499"/>
      <c r="EC100" s="499"/>
      <c r="ED100" s="499"/>
      <c r="EE100" s="499"/>
      <c r="EF100" s="499"/>
      <c r="EG100" s="1146">
        <f t="shared" si="44"/>
        <v>11</v>
      </c>
      <c r="EH100" s="630">
        <v>0</v>
      </c>
      <c r="EI100" s="642">
        <v>1</v>
      </c>
      <c r="EJ100" s="630">
        <v>3.5</v>
      </c>
      <c r="EK100" s="642">
        <v>6.5</v>
      </c>
      <c r="EL100" s="499"/>
      <c r="EM100" s="499"/>
      <c r="EN100" s="499"/>
      <c r="EO100" s="499"/>
      <c r="EP100" s="499"/>
      <c r="EQ100" s="499"/>
      <c r="ER100" s="499"/>
      <c r="ES100" s="388"/>
      <c r="ET100" s="388"/>
      <c r="EV100" s="1167">
        <f t="shared" si="32"/>
        <v>17.016999999999999</v>
      </c>
    </row>
    <row r="101" spans="1:152" s="350" customFormat="1" ht="15" x14ac:dyDescent="0.25">
      <c r="A101" s="632" t="s">
        <v>3</v>
      </c>
      <c r="B101" s="662">
        <v>42827</v>
      </c>
      <c r="C101" s="1132" t="s">
        <v>904</v>
      </c>
      <c r="D101" s="636">
        <v>0.28000000000000003</v>
      </c>
      <c r="E101" s="636">
        <v>0</v>
      </c>
      <c r="F101" s="636">
        <v>38</v>
      </c>
      <c r="G101" s="739">
        <v>2.2000000000000002</v>
      </c>
      <c r="H101" s="739">
        <v>5.0599999999999996</v>
      </c>
      <c r="I101" s="739">
        <v>10.6</v>
      </c>
      <c r="J101" s="636">
        <v>0</v>
      </c>
      <c r="K101" s="739">
        <v>4.28</v>
      </c>
      <c r="L101" s="741">
        <v>0</v>
      </c>
      <c r="M101" s="739">
        <v>26.7</v>
      </c>
      <c r="N101" s="739">
        <v>1.24</v>
      </c>
      <c r="O101" s="739">
        <v>1.2963544940288398</v>
      </c>
      <c r="P101" s="739">
        <v>1.24</v>
      </c>
      <c r="Q101" s="739">
        <v>0.58880999559678338</v>
      </c>
      <c r="R101" s="782">
        <v>689.71678779069771</v>
      </c>
      <c r="S101" s="739">
        <v>8.2899999999999991</v>
      </c>
      <c r="T101" s="739">
        <v>8.39</v>
      </c>
      <c r="U101" s="739">
        <v>0.77</v>
      </c>
      <c r="V101" s="739">
        <v>0.83</v>
      </c>
      <c r="W101" s="739">
        <v>43.34</v>
      </c>
      <c r="X101" s="644">
        <v>43.34</v>
      </c>
      <c r="Y101" s="739">
        <v>25.85</v>
      </c>
      <c r="Z101" s="739">
        <v>27</v>
      </c>
      <c r="AA101" s="739">
        <v>25.85</v>
      </c>
      <c r="AB101" s="739">
        <v>27.01</v>
      </c>
      <c r="AC101" s="1160">
        <f t="shared" si="33"/>
        <v>52.86</v>
      </c>
      <c r="AD101" s="1160">
        <f t="shared" si="34"/>
        <v>81.774419999999992</v>
      </c>
      <c r="AE101" s="1160">
        <f t="shared" si="35"/>
        <v>81.774419999999992</v>
      </c>
      <c r="AF101" s="542"/>
      <c r="AG101" s="1160">
        <f t="shared" si="31"/>
        <v>0</v>
      </c>
      <c r="AH101" s="656"/>
      <c r="AI101" s="351"/>
      <c r="AJ101" s="2"/>
      <c r="AK101" s="388"/>
      <c r="AL101" s="388"/>
      <c r="AM101" s="388"/>
      <c r="AN101" s="388"/>
      <c r="AO101" s="370"/>
      <c r="AP101" s="370"/>
      <c r="AQ101" s="386"/>
      <c r="AR101" s="551">
        <v>0</v>
      </c>
      <c r="AS101" s="386">
        <v>21.3</v>
      </c>
      <c r="AT101" s="386">
        <v>0</v>
      </c>
      <c r="AU101" s="386">
        <v>0</v>
      </c>
      <c r="AV101" s="636">
        <v>299.60000000000002</v>
      </c>
      <c r="AW101" s="636">
        <v>376.7</v>
      </c>
      <c r="AX101" s="386">
        <v>0</v>
      </c>
      <c r="AY101" s="551">
        <v>0</v>
      </c>
      <c r="AZ101" s="551">
        <v>0</v>
      </c>
      <c r="BA101" s="551">
        <v>0</v>
      </c>
      <c r="BB101" s="975">
        <v>0</v>
      </c>
      <c r="BC101" s="386">
        <v>0.73</v>
      </c>
      <c r="BD101" s="386">
        <v>1.77</v>
      </c>
      <c r="BE101" s="551">
        <v>0</v>
      </c>
      <c r="BF101" s="386">
        <v>1</v>
      </c>
      <c r="BG101" s="386">
        <v>0</v>
      </c>
      <c r="BH101" s="551">
        <v>0</v>
      </c>
      <c r="BI101" s="386">
        <v>1.01</v>
      </c>
      <c r="BJ101" s="386">
        <v>22.5</v>
      </c>
      <c r="BK101" s="386">
        <v>2.82</v>
      </c>
      <c r="BL101" s="386">
        <v>3.68</v>
      </c>
      <c r="BM101" s="386">
        <v>0</v>
      </c>
      <c r="BN101" s="386">
        <v>16.100000000000001</v>
      </c>
      <c r="BO101" s="386">
        <v>1055.8</v>
      </c>
      <c r="BP101" s="386">
        <v>2</v>
      </c>
      <c r="BQ101" s="615">
        <v>19.2</v>
      </c>
      <c r="BR101" s="615">
        <v>19.899999999999999</v>
      </c>
      <c r="BS101" s="615">
        <v>14.5</v>
      </c>
      <c r="BT101" s="615">
        <v>7.9</v>
      </c>
      <c r="BU101" s="614">
        <v>24.4</v>
      </c>
      <c r="BV101" s="614">
        <v>32.200000000000003</v>
      </c>
      <c r="BW101" s="615">
        <v>606.6</v>
      </c>
      <c r="BX101" s="791"/>
      <c r="BY101" s="615">
        <v>1.23</v>
      </c>
      <c r="BZ101" s="615">
        <v>1.2</v>
      </c>
      <c r="CA101" s="615">
        <v>1.2</v>
      </c>
      <c r="CB101" s="615">
        <v>8.5</v>
      </c>
      <c r="CC101" s="615">
        <v>8.5</v>
      </c>
      <c r="CD101" s="499">
        <v>15.4</v>
      </c>
      <c r="CE101" s="499">
        <v>34.1</v>
      </c>
      <c r="CF101" s="499">
        <v>13.1</v>
      </c>
      <c r="CG101" s="499">
        <v>7.8</v>
      </c>
      <c r="CH101" s="499">
        <v>13.5</v>
      </c>
      <c r="CI101" s="499">
        <v>17.5</v>
      </c>
      <c r="CJ101" s="499">
        <v>13</v>
      </c>
      <c r="CK101" s="499">
        <v>548.29999999999995</v>
      </c>
      <c r="CL101" s="499">
        <v>1.7</v>
      </c>
      <c r="CM101" s="499">
        <v>0.5</v>
      </c>
      <c r="CN101" s="615">
        <v>618.5</v>
      </c>
      <c r="CO101" s="499">
        <v>450.3</v>
      </c>
      <c r="CP101" s="499">
        <v>444.6</v>
      </c>
      <c r="CQ101" s="615">
        <v>13.1</v>
      </c>
      <c r="CR101" s="615">
        <v>0.7</v>
      </c>
      <c r="CS101" s="386">
        <v>0</v>
      </c>
      <c r="CT101" s="386">
        <v>15.544</v>
      </c>
      <c r="CU101" s="386">
        <v>45</v>
      </c>
      <c r="CV101" s="499">
        <v>0</v>
      </c>
      <c r="CW101" s="499">
        <v>0</v>
      </c>
      <c r="CX101" s="499">
        <v>0</v>
      </c>
      <c r="CY101" s="499">
        <v>0</v>
      </c>
      <c r="CZ101" s="643">
        <v>2130</v>
      </c>
      <c r="DA101" s="643">
        <v>3085</v>
      </c>
      <c r="DB101" s="782">
        <v>2210</v>
      </c>
      <c r="DC101" s="609">
        <v>1140.4100000000001</v>
      </c>
      <c r="DD101" s="1153">
        <f t="shared" si="36"/>
        <v>0.84000000000014552</v>
      </c>
      <c r="DE101" s="1154">
        <f t="shared" si="37"/>
        <v>0</v>
      </c>
      <c r="DF101" s="1154">
        <f t="shared" si="38"/>
        <v>2100</v>
      </c>
      <c r="DG101" s="1154">
        <f t="shared" si="39"/>
        <v>2835</v>
      </c>
      <c r="DH101" s="1155" t="str">
        <f t="shared" si="40"/>
        <v>Palm</v>
      </c>
      <c r="DI101" s="1146">
        <f t="shared" si="41"/>
        <v>875</v>
      </c>
      <c r="DJ101" s="1146">
        <f t="shared" si="42"/>
        <v>0</v>
      </c>
      <c r="DK101" s="1154">
        <f t="shared" si="43"/>
        <v>0</v>
      </c>
      <c r="DL101" s="615"/>
      <c r="DM101" s="615"/>
      <c r="DN101" s="615"/>
      <c r="DO101" s="499"/>
      <c r="DP101" s="499"/>
      <c r="DQ101" s="499"/>
      <c r="DR101" s="499"/>
      <c r="DS101" s="499"/>
      <c r="DT101" s="499"/>
      <c r="DU101" s="499"/>
      <c r="DV101" s="499"/>
      <c r="DW101" s="499"/>
      <c r="DX101" s="499"/>
      <c r="DY101" s="499"/>
      <c r="DZ101" s="499"/>
      <c r="EA101" s="499"/>
      <c r="EB101" s="499"/>
      <c r="EC101" s="499"/>
      <c r="ED101" s="499"/>
      <c r="EE101" s="499"/>
      <c r="EF101" s="499"/>
      <c r="EG101" s="1146">
        <f t="shared" si="44"/>
        <v>11</v>
      </c>
      <c r="EH101" s="630">
        <v>0</v>
      </c>
      <c r="EI101" s="642">
        <v>1</v>
      </c>
      <c r="EJ101" s="630">
        <v>3.5</v>
      </c>
      <c r="EK101" s="642">
        <v>6.5</v>
      </c>
      <c r="EL101" s="499"/>
      <c r="EM101" s="499"/>
      <c r="EN101" s="499"/>
      <c r="EO101" s="499"/>
      <c r="EP101" s="499"/>
      <c r="EQ101" s="499"/>
      <c r="ER101" s="499"/>
      <c r="ES101" s="388"/>
      <c r="ET101" s="388"/>
      <c r="EV101" s="1167">
        <f t="shared" si="32"/>
        <v>17.016999999999999</v>
      </c>
    </row>
    <row r="102" spans="1:152" s="350" customFormat="1" ht="15" x14ac:dyDescent="0.25">
      <c r="A102" s="632" t="s">
        <v>4</v>
      </c>
      <c r="B102" s="662">
        <v>42828</v>
      </c>
      <c r="C102" s="1132" t="s">
        <v>904</v>
      </c>
      <c r="D102" s="386">
        <v>0.03</v>
      </c>
      <c r="E102" s="636">
        <v>0</v>
      </c>
      <c r="F102" s="636">
        <v>40.200000000000003</v>
      </c>
      <c r="G102" s="739">
        <v>1.95</v>
      </c>
      <c r="H102" s="609">
        <v>3.83</v>
      </c>
      <c r="I102" s="609">
        <v>11.7</v>
      </c>
      <c r="J102" s="636">
        <v>0</v>
      </c>
      <c r="K102" s="609">
        <v>3.71</v>
      </c>
      <c r="L102" s="741">
        <v>0</v>
      </c>
      <c r="M102" s="609">
        <v>26.3</v>
      </c>
      <c r="N102" s="609">
        <v>1.25</v>
      </c>
      <c r="O102" s="609">
        <v>1.3315665181267697</v>
      </c>
      <c r="P102" s="609">
        <v>1.24</v>
      </c>
      <c r="Q102" s="609">
        <v>0.59697880510652612</v>
      </c>
      <c r="R102" s="877">
        <v>679.38270348837216</v>
      </c>
      <c r="S102" s="609">
        <v>8.2200000000000006</v>
      </c>
      <c r="T102" s="609">
        <v>8.33</v>
      </c>
      <c r="U102" s="609">
        <v>0.75</v>
      </c>
      <c r="V102" s="739">
        <v>0.83</v>
      </c>
      <c r="W102" s="739">
        <v>43.519999999999996</v>
      </c>
      <c r="X102" s="650">
        <v>43.519999999999996</v>
      </c>
      <c r="Y102" s="738">
        <v>25.85</v>
      </c>
      <c r="Z102" s="739">
        <v>26.9</v>
      </c>
      <c r="AA102" s="739">
        <v>25.8</v>
      </c>
      <c r="AB102" s="739">
        <v>25.2</v>
      </c>
      <c r="AC102" s="1160">
        <f t="shared" si="33"/>
        <v>51</v>
      </c>
      <c r="AD102" s="1160">
        <f t="shared" si="34"/>
        <v>78.896999999999991</v>
      </c>
      <c r="AE102" s="1160">
        <f t="shared" si="35"/>
        <v>78.896999999999991</v>
      </c>
      <c r="AF102" s="542"/>
      <c r="AG102" s="1160">
        <f t="shared" si="31"/>
        <v>0</v>
      </c>
      <c r="AH102" s="656"/>
      <c r="AI102" s="351"/>
      <c r="AJ102" s="2"/>
      <c r="AK102" s="388"/>
      <c r="AL102" s="388"/>
      <c r="AM102" s="388"/>
      <c r="AN102" s="388"/>
      <c r="AO102" s="370"/>
      <c r="AP102" s="370"/>
      <c r="AQ102" s="386"/>
      <c r="AR102" s="551">
        <v>0</v>
      </c>
      <c r="AS102" s="386">
        <v>10.9</v>
      </c>
      <c r="AT102" s="386">
        <v>0</v>
      </c>
      <c r="AU102" s="386">
        <v>0</v>
      </c>
      <c r="AV102" s="636">
        <v>484.5</v>
      </c>
      <c r="AW102" s="636">
        <v>640.70000000000005</v>
      </c>
      <c r="AX102" s="386">
        <v>0</v>
      </c>
      <c r="AY102" s="551">
        <v>0</v>
      </c>
      <c r="AZ102" s="551">
        <v>0</v>
      </c>
      <c r="BA102" s="551">
        <v>0</v>
      </c>
      <c r="BB102" s="975">
        <v>0</v>
      </c>
      <c r="BC102" s="386">
        <v>0.62</v>
      </c>
      <c r="BD102" s="386">
        <v>1.64</v>
      </c>
      <c r="BE102" s="551">
        <v>0</v>
      </c>
      <c r="BF102" s="386">
        <v>1</v>
      </c>
      <c r="BG102" s="386">
        <v>0</v>
      </c>
      <c r="BH102" s="551">
        <v>0</v>
      </c>
      <c r="BI102" s="386">
        <v>1.01</v>
      </c>
      <c r="BJ102" s="386">
        <v>20.9</v>
      </c>
      <c r="BK102" s="386">
        <v>2.9</v>
      </c>
      <c r="BL102" s="386">
        <v>3.61</v>
      </c>
      <c r="BM102" s="386">
        <v>0</v>
      </c>
      <c r="BN102" s="386">
        <v>14.5</v>
      </c>
      <c r="BO102" s="386">
        <v>951.2</v>
      </c>
      <c r="BP102" s="386">
        <v>2</v>
      </c>
      <c r="BQ102" s="615">
        <v>16.8</v>
      </c>
      <c r="BR102" s="615">
        <v>17.600000000000001</v>
      </c>
      <c r="BS102" s="615">
        <v>12.2</v>
      </c>
      <c r="BT102" s="615">
        <v>10.1</v>
      </c>
      <c r="BU102" s="614">
        <v>23.9</v>
      </c>
      <c r="BV102" s="614">
        <v>35.6</v>
      </c>
      <c r="BW102" s="615">
        <v>497.2</v>
      </c>
      <c r="BX102" s="791"/>
      <c r="BY102" s="615">
        <v>0</v>
      </c>
      <c r="BZ102" s="615">
        <v>1.17</v>
      </c>
      <c r="CA102" s="615">
        <v>1.1000000000000001</v>
      </c>
      <c r="CB102" s="615">
        <v>8.5</v>
      </c>
      <c r="CC102" s="615">
        <v>8.5</v>
      </c>
      <c r="CD102" s="499">
        <v>15.9</v>
      </c>
      <c r="CE102" s="499">
        <v>34.1</v>
      </c>
      <c r="CF102" s="499">
        <v>12.2</v>
      </c>
      <c r="CG102" s="499">
        <v>7.8</v>
      </c>
      <c r="CH102" s="499">
        <v>13.5</v>
      </c>
      <c r="CI102" s="499">
        <v>17.5</v>
      </c>
      <c r="CJ102" s="499">
        <v>12.7</v>
      </c>
      <c r="CK102" s="615">
        <v>532.6</v>
      </c>
      <c r="CL102" s="499">
        <v>2.7</v>
      </c>
      <c r="CM102" s="499">
        <v>3</v>
      </c>
      <c r="CN102" s="615">
        <v>316.10000000000002</v>
      </c>
      <c r="CO102" s="499">
        <v>551.5</v>
      </c>
      <c r="CP102" s="499">
        <v>458.1</v>
      </c>
      <c r="CQ102" s="615">
        <v>13.3</v>
      </c>
      <c r="CR102" s="615">
        <v>0.64</v>
      </c>
      <c r="CS102" s="386">
        <v>0</v>
      </c>
      <c r="CT102" s="386">
        <v>15.461</v>
      </c>
      <c r="CU102" s="386">
        <v>45</v>
      </c>
      <c r="CV102" s="499">
        <v>0</v>
      </c>
      <c r="CW102" s="499">
        <v>0</v>
      </c>
      <c r="CX102" s="499">
        <v>0</v>
      </c>
      <c r="CY102" s="499">
        <v>0</v>
      </c>
      <c r="CZ102" s="643">
        <v>1880</v>
      </c>
      <c r="DA102" s="643">
        <v>2764</v>
      </c>
      <c r="DB102" s="782">
        <v>1950</v>
      </c>
      <c r="DC102" s="609">
        <v>1140.8900000000001</v>
      </c>
      <c r="DD102" s="1153">
        <f t="shared" si="36"/>
        <v>0.48000000000001819</v>
      </c>
      <c r="DE102" s="1154">
        <f t="shared" si="37"/>
        <v>0</v>
      </c>
      <c r="DF102" s="1154">
        <f t="shared" si="38"/>
        <v>1840</v>
      </c>
      <c r="DG102" s="1154">
        <f t="shared" si="39"/>
        <v>2514</v>
      </c>
      <c r="DH102" s="1155" t="str">
        <f t="shared" si="40"/>
        <v>Palm</v>
      </c>
      <c r="DI102" s="1146">
        <f t="shared" si="41"/>
        <v>814</v>
      </c>
      <c r="DJ102" s="1146">
        <f t="shared" si="42"/>
        <v>0</v>
      </c>
      <c r="DK102" s="1154">
        <f t="shared" si="43"/>
        <v>0</v>
      </c>
      <c r="DL102" s="615"/>
      <c r="DM102" s="615"/>
      <c r="DN102" s="615"/>
      <c r="DO102" s="499"/>
      <c r="DP102" s="499"/>
      <c r="DQ102" s="499"/>
      <c r="DR102" s="499"/>
      <c r="DS102" s="499"/>
      <c r="DT102" s="499"/>
      <c r="DU102" s="499"/>
      <c r="DV102" s="499"/>
      <c r="DW102" s="499"/>
      <c r="DX102" s="499"/>
      <c r="DY102" s="499"/>
      <c r="DZ102" s="499"/>
      <c r="EA102" s="499"/>
      <c r="EB102" s="499"/>
      <c r="EC102" s="499"/>
      <c r="ED102" s="499"/>
      <c r="EE102" s="499"/>
      <c r="EF102" s="499"/>
      <c r="EG102" s="1146">
        <f t="shared" si="44"/>
        <v>10.5</v>
      </c>
      <c r="EH102" s="630">
        <v>0</v>
      </c>
      <c r="EI102" s="642">
        <v>1</v>
      </c>
      <c r="EJ102" s="642">
        <v>3</v>
      </c>
      <c r="EK102" s="642">
        <v>6.5</v>
      </c>
      <c r="EL102" s="499"/>
      <c r="EM102" s="499"/>
      <c r="EN102" s="499"/>
      <c r="EO102" s="499"/>
      <c r="EP102" s="499"/>
      <c r="EQ102" s="499"/>
      <c r="ER102" s="499"/>
      <c r="ES102" s="388"/>
      <c r="ET102" s="388"/>
      <c r="EV102" s="1167">
        <f t="shared" si="32"/>
        <v>16.243500000000001</v>
      </c>
    </row>
    <row r="103" spans="1:152" s="350" customFormat="1" ht="15" x14ac:dyDescent="0.25">
      <c r="A103" s="632" t="s">
        <v>5</v>
      </c>
      <c r="B103" s="662">
        <v>42829</v>
      </c>
      <c r="C103" s="1132" t="s">
        <v>904</v>
      </c>
      <c r="D103" s="386">
        <v>0.02</v>
      </c>
      <c r="E103" s="636">
        <v>0</v>
      </c>
      <c r="F103" s="636">
        <v>44</v>
      </c>
      <c r="G103" s="739">
        <v>1.85</v>
      </c>
      <c r="H103" s="609">
        <v>3.37</v>
      </c>
      <c r="I103" s="609">
        <v>11</v>
      </c>
      <c r="J103" s="636">
        <v>0</v>
      </c>
      <c r="K103" s="609">
        <v>3.13</v>
      </c>
      <c r="L103" s="741">
        <v>0</v>
      </c>
      <c r="M103" s="609">
        <v>26</v>
      </c>
      <c r="N103" s="609">
        <v>1</v>
      </c>
      <c r="O103" s="609">
        <v>1.3321066303806997</v>
      </c>
      <c r="P103" s="609">
        <v>1.26</v>
      </c>
      <c r="Q103" s="609">
        <v>0.59408762827042372</v>
      </c>
      <c r="R103" s="877">
        <v>704.71787790697681</v>
      </c>
      <c r="S103" s="609">
        <v>8.19</v>
      </c>
      <c r="T103" s="609">
        <v>8.31</v>
      </c>
      <c r="U103" s="609">
        <v>0.77</v>
      </c>
      <c r="V103" s="739">
        <v>0.86</v>
      </c>
      <c r="W103" s="739">
        <v>43.88000000000001</v>
      </c>
      <c r="X103" s="650">
        <v>43.7</v>
      </c>
      <c r="Y103" s="738">
        <v>25.8</v>
      </c>
      <c r="Z103" s="739">
        <v>25.2</v>
      </c>
      <c r="AA103" s="739">
        <v>25.8</v>
      </c>
      <c r="AB103" s="739">
        <v>26.9</v>
      </c>
      <c r="AC103" s="1160">
        <f t="shared" si="33"/>
        <v>52.7</v>
      </c>
      <c r="AD103" s="1160">
        <f t="shared" si="34"/>
        <v>81.526899999999998</v>
      </c>
      <c r="AE103" s="1160">
        <f t="shared" si="35"/>
        <v>81.526899999999998</v>
      </c>
      <c r="AF103" s="542"/>
      <c r="AG103" s="1160">
        <f t="shared" si="31"/>
        <v>0</v>
      </c>
      <c r="AH103" s="656"/>
      <c r="AI103" s="351"/>
      <c r="AJ103" s="2"/>
      <c r="AK103" s="388"/>
      <c r="AL103" s="388"/>
      <c r="AM103" s="388"/>
      <c r="AN103" s="388"/>
      <c r="AO103" s="370"/>
      <c r="AP103" s="370"/>
      <c r="AQ103" s="386"/>
      <c r="AR103" s="551">
        <v>0</v>
      </c>
      <c r="AS103" s="386">
        <v>15.4</v>
      </c>
      <c r="AT103" s="386">
        <v>0</v>
      </c>
      <c r="AU103" s="386">
        <v>0</v>
      </c>
      <c r="AV103" s="636">
        <v>301.5</v>
      </c>
      <c r="AW103" s="636">
        <v>329</v>
      </c>
      <c r="AX103" s="386">
        <v>0</v>
      </c>
      <c r="AY103" s="551">
        <v>0</v>
      </c>
      <c r="AZ103" s="551">
        <v>0</v>
      </c>
      <c r="BA103" s="551">
        <v>0</v>
      </c>
      <c r="BB103" s="975">
        <v>0</v>
      </c>
      <c r="BC103" s="386">
        <v>0.49</v>
      </c>
      <c r="BD103" s="386">
        <v>1.5</v>
      </c>
      <c r="BE103" s="551">
        <v>0</v>
      </c>
      <c r="BF103" s="386">
        <v>1</v>
      </c>
      <c r="BG103" s="386">
        <v>0</v>
      </c>
      <c r="BH103" s="551">
        <v>0</v>
      </c>
      <c r="BI103" s="386">
        <v>1.01</v>
      </c>
      <c r="BJ103" s="386">
        <v>22.9</v>
      </c>
      <c r="BK103" s="386">
        <v>2.95</v>
      </c>
      <c r="BL103" s="386">
        <v>3.53</v>
      </c>
      <c r="BM103" s="386">
        <v>0</v>
      </c>
      <c r="BN103" s="386">
        <v>16.5</v>
      </c>
      <c r="BO103" s="386">
        <v>89.3</v>
      </c>
      <c r="BP103" s="386">
        <v>2</v>
      </c>
      <c r="BQ103" s="615">
        <v>16.3</v>
      </c>
      <c r="BR103" s="615">
        <v>17.100000000000001</v>
      </c>
      <c r="BS103" s="615">
        <v>10.4</v>
      </c>
      <c r="BT103" s="615">
        <v>13.1</v>
      </c>
      <c r="BU103" s="614">
        <v>24.5</v>
      </c>
      <c r="BV103" s="614">
        <v>30.4</v>
      </c>
      <c r="BW103" s="615">
        <v>536.70000000000005</v>
      </c>
      <c r="BX103" s="791"/>
      <c r="BY103" s="615">
        <v>0</v>
      </c>
      <c r="BZ103" s="615">
        <v>1.18</v>
      </c>
      <c r="CA103" s="615">
        <v>1.1000000000000001</v>
      </c>
      <c r="CB103" s="615">
        <v>8.5</v>
      </c>
      <c r="CC103" s="615">
        <v>8.5</v>
      </c>
      <c r="CD103" s="499">
        <v>15.4</v>
      </c>
      <c r="CE103" s="499">
        <v>34</v>
      </c>
      <c r="CF103" s="499">
        <v>14.5</v>
      </c>
      <c r="CG103" s="499">
        <v>7.3</v>
      </c>
      <c r="CH103" s="499">
        <v>12.8</v>
      </c>
      <c r="CI103" s="615">
        <v>17.100000000000001</v>
      </c>
      <c r="CJ103" s="615">
        <v>12.6</v>
      </c>
      <c r="CK103" s="615">
        <v>488</v>
      </c>
      <c r="CL103" s="499">
        <v>2</v>
      </c>
      <c r="CM103" s="499">
        <v>2.8</v>
      </c>
      <c r="CN103" s="615">
        <v>202.2</v>
      </c>
      <c r="CO103" s="499">
        <v>402</v>
      </c>
      <c r="CP103" s="499">
        <v>458.9</v>
      </c>
      <c r="CQ103" s="499">
        <v>12</v>
      </c>
      <c r="CR103" s="615">
        <v>0.64</v>
      </c>
      <c r="CS103" s="386">
        <v>0</v>
      </c>
      <c r="CT103" s="386">
        <v>15.288</v>
      </c>
      <c r="CU103" s="386">
        <v>45</v>
      </c>
      <c r="CV103" s="499">
        <v>0</v>
      </c>
      <c r="CW103" s="499">
        <v>0</v>
      </c>
      <c r="CX103" s="499">
        <v>0</v>
      </c>
      <c r="CY103" s="499">
        <v>0</v>
      </c>
      <c r="CZ103" s="643">
        <v>1689</v>
      </c>
      <c r="DA103" s="643">
        <v>2554</v>
      </c>
      <c r="DB103" s="782">
        <v>1790</v>
      </c>
      <c r="DC103" s="609">
        <v>1141.25</v>
      </c>
      <c r="DD103" s="1153">
        <f t="shared" si="36"/>
        <v>0.35999999999989996</v>
      </c>
      <c r="DE103" s="1154">
        <f t="shared" si="37"/>
        <v>0</v>
      </c>
      <c r="DF103" s="1154">
        <f t="shared" si="38"/>
        <v>1680</v>
      </c>
      <c r="DG103" s="1154">
        <f t="shared" si="39"/>
        <v>2304</v>
      </c>
      <c r="DH103" s="1155" t="str">
        <f t="shared" si="40"/>
        <v>Palm</v>
      </c>
      <c r="DI103" s="1146">
        <f t="shared" si="41"/>
        <v>764</v>
      </c>
      <c r="DJ103" s="1146">
        <f t="shared" si="42"/>
        <v>0</v>
      </c>
      <c r="DK103" s="1154">
        <f t="shared" si="43"/>
        <v>0</v>
      </c>
      <c r="DL103" s="615"/>
      <c r="DM103" s="615"/>
      <c r="DN103" s="615"/>
      <c r="DO103" s="499"/>
      <c r="DP103" s="499"/>
      <c r="DQ103" s="499"/>
      <c r="DR103" s="499"/>
      <c r="DS103" s="499"/>
      <c r="DT103" s="499"/>
      <c r="DU103" s="499"/>
      <c r="DV103" s="499"/>
      <c r="DW103" s="499"/>
      <c r="DX103" s="499"/>
      <c r="DY103" s="499"/>
      <c r="DZ103" s="499"/>
      <c r="EA103" s="499"/>
      <c r="EB103" s="499"/>
      <c r="EC103" s="499"/>
      <c r="ED103" s="499"/>
      <c r="EE103" s="499"/>
      <c r="EF103" s="499"/>
      <c r="EG103" s="1146">
        <f t="shared" si="44"/>
        <v>10.5</v>
      </c>
      <c r="EH103" s="630">
        <v>0</v>
      </c>
      <c r="EI103" s="642">
        <v>1</v>
      </c>
      <c r="EJ103" s="642">
        <v>3</v>
      </c>
      <c r="EK103" s="642">
        <v>6.5</v>
      </c>
      <c r="EL103" s="499"/>
      <c r="EM103" s="499"/>
      <c r="EN103" s="499"/>
      <c r="EO103" s="499"/>
      <c r="EP103" s="499"/>
      <c r="EQ103" s="499"/>
      <c r="ER103" s="499"/>
      <c r="ES103" s="388"/>
      <c r="ET103" s="388"/>
      <c r="EV103" s="1167">
        <f t="shared" si="32"/>
        <v>16.243500000000001</v>
      </c>
    </row>
    <row r="104" spans="1:152" s="350" customFormat="1" ht="15" x14ac:dyDescent="0.25">
      <c r="A104" s="632" t="s">
        <v>6</v>
      </c>
      <c r="B104" s="662">
        <v>42830</v>
      </c>
      <c r="C104" s="1132" t="s">
        <v>904</v>
      </c>
      <c r="D104" s="874">
        <v>0.33</v>
      </c>
      <c r="E104">
        <v>0</v>
      </c>
      <c r="F104" s="874">
        <v>48</v>
      </c>
      <c r="G104" s="878">
        <v>1.8</v>
      </c>
      <c r="H104" s="875">
        <v>3.15</v>
      </c>
      <c r="I104" s="878">
        <v>10.9</v>
      </c>
      <c r="J104" s="636">
        <v>0</v>
      </c>
      <c r="K104" s="878">
        <v>3.09</v>
      </c>
      <c r="L104" s="741">
        <v>0</v>
      </c>
      <c r="M104" s="878">
        <v>25.8</v>
      </c>
      <c r="N104" s="875">
        <v>1.27</v>
      </c>
      <c r="O104" s="876">
        <v>1.3048425294064097</v>
      </c>
      <c r="P104" s="875">
        <v>1.25</v>
      </c>
      <c r="Q104" s="876">
        <v>0.586490599775917</v>
      </c>
      <c r="R104" s="879">
        <v>692.38364825581391</v>
      </c>
      <c r="S104" s="878">
        <v>8.1999999999999993</v>
      </c>
      <c r="T104" s="875">
        <v>8.31</v>
      </c>
      <c r="U104" s="878">
        <v>0.78</v>
      </c>
      <c r="V104" s="875">
        <v>0.88</v>
      </c>
      <c r="W104" s="875">
        <v>44.239999999999995</v>
      </c>
      <c r="X104" s="880">
        <v>44.42</v>
      </c>
      <c r="Y104" s="881">
        <v>25.8</v>
      </c>
      <c r="Z104" s="739">
        <v>26.9</v>
      </c>
      <c r="AA104" s="739">
        <v>25.83</v>
      </c>
      <c r="AB104" s="739">
        <v>27</v>
      </c>
      <c r="AC104" s="1160">
        <f t="shared" si="33"/>
        <v>52.83</v>
      </c>
      <c r="AD104" s="1160">
        <f t="shared" si="34"/>
        <v>81.728009999999998</v>
      </c>
      <c r="AE104" s="1160">
        <f t="shared" si="35"/>
        <v>81.728009999999998</v>
      </c>
      <c r="AF104" s="542"/>
      <c r="AG104" s="1160">
        <f t="shared" si="31"/>
        <v>0</v>
      </c>
      <c r="AH104" s="656"/>
      <c r="AI104" s="351"/>
      <c r="AJ104" s="2"/>
      <c r="AK104" s="388"/>
      <c r="AL104" s="388"/>
      <c r="AM104" s="388"/>
      <c r="AN104" s="388"/>
      <c r="AO104" s="370"/>
      <c r="AP104" s="370"/>
      <c r="AQ104" s="386"/>
      <c r="AR104" s="551">
        <v>0</v>
      </c>
      <c r="AS104" s="386">
        <v>17</v>
      </c>
      <c r="AT104" s="386">
        <v>0</v>
      </c>
      <c r="AU104" s="386">
        <v>0</v>
      </c>
      <c r="AV104" s="636">
        <v>349.1</v>
      </c>
      <c r="AW104" s="636">
        <v>422.1</v>
      </c>
      <c r="AX104" s="386">
        <v>0</v>
      </c>
      <c r="AY104" s="551">
        <v>0</v>
      </c>
      <c r="AZ104" s="551">
        <v>0</v>
      </c>
      <c r="BA104" s="551">
        <v>0</v>
      </c>
      <c r="BB104" s="975">
        <v>0</v>
      </c>
      <c r="BC104" s="386">
        <v>0.49</v>
      </c>
      <c r="BD104" s="386">
        <v>1.5</v>
      </c>
      <c r="BE104" s="551">
        <v>0</v>
      </c>
      <c r="BF104" s="386">
        <v>1</v>
      </c>
      <c r="BG104" s="386">
        <v>0</v>
      </c>
      <c r="BH104" s="551">
        <v>0</v>
      </c>
      <c r="BI104" s="386">
        <v>1.01</v>
      </c>
      <c r="BJ104" s="386">
        <v>23</v>
      </c>
      <c r="BK104" s="386">
        <v>3.17</v>
      </c>
      <c r="BL104" s="386">
        <v>3.53</v>
      </c>
      <c r="BM104" s="386">
        <v>0</v>
      </c>
      <c r="BN104" s="386">
        <v>16.3</v>
      </c>
      <c r="BO104" s="386">
        <v>862.4</v>
      </c>
      <c r="BP104" s="386">
        <v>2</v>
      </c>
      <c r="BQ104" s="615">
        <v>16.2</v>
      </c>
      <c r="BR104" s="615">
        <v>16.899999999999999</v>
      </c>
      <c r="BS104" s="615">
        <v>10.4</v>
      </c>
      <c r="BT104" s="615">
        <v>12.9</v>
      </c>
      <c r="BU104" s="614">
        <v>24.4</v>
      </c>
      <c r="BV104" s="614">
        <v>29.2</v>
      </c>
      <c r="BW104" s="615">
        <v>524.29999999999995</v>
      </c>
      <c r="BX104" s="791"/>
      <c r="BY104" s="615">
        <v>0</v>
      </c>
      <c r="BZ104" s="615">
        <v>1.18</v>
      </c>
      <c r="CA104" s="615">
        <v>1.1000000000000001</v>
      </c>
      <c r="CB104" s="615">
        <v>8.5</v>
      </c>
      <c r="CC104" s="615">
        <v>8.5</v>
      </c>
      <c r="CD104" s="615">
        <v>15.4</v>
      </c>
      <c r="CE104" s="615">
        <v>34</v>
      </c>
      <c r="CF104" s="615">
        <v>13.2</v>
      </c>
      <c r="CG104" s="615">
        <v>7.1</v>
      </c>
      <c r="CH104" s="615">
        <v>12.7</v>
      </c>
      <c r="CI104" s="615">
        <v>16.600000000000001</v>
      </c>
      <c r="CJ104" s="615">
        <v>12.6</v>
      </c>
      <c r="CK104" s="615">
        <v>491.3</v>
      </c>
      <c r="CL104" s="615">
        <v>2</v>
      </c>
      <c r="CM104" s="615">
        <v>2.2999999999999998</v>
      </c>
      <c r="CN104" s="615">
        <v>186.4</v>
      </c>
      <c r="CO104" s="615">
        <v>513.1</v>
      </c>
      <c r="CP104" s="615">
        <v>450.3</v>
      </c>
      <c r="CQ104" s="615">
        <v>12.1</v>
      </c>
      <c r="CR104" s="615">
        <v>0.7</v>
      </c>
      <c r="CS104" s="386">
        <v>0</v>
      </c>
      <c r="CT104" s="386">
        <v>15.452999999999999</v>
      </c>
      <c r="CU104" s="386">
        <v>45</v>
      </c>
      <c r="CV104" s="499">
        <v>0</v>
      </c>
      <c r="CW104" s="499">
        <v>0</v>
      </c>
      <c r="CX104" s="499">
        <v>0</v>
      </c>
      <c r="CY104" s="499">
        <v>0</v>
      </c>
      <c r="CZ104" s="643">
        <v>1689</v>
      </c>
      <c r="DA104" s="643">
        <v>2554</v>
      </c>
      <c r="DB104" s="782">
        <v>1790</v>
      </c>
      <c r="DC104" s="609">
        <v>1141.5899999999999</v>
      </c>
      <c r="DD104" s="1153">
        <f t="shared" si="36"/>
        <v>0.33999999999991815</v>
      </c>
      <c r="DE104" s="1154">
        <f t="shared" si="37"/>
        <v>0</v>
      </c>
      <c r="DF104" s="1154">
        <f t="shared" si="38"/>
        <v>1680</v>
      </c>
      <c r="DG104" s="1154">
        <f t="shared" si="39"/>
        <v>2304</v>
      </c>
      <c r="DH104" s="1155" t="str">
        <f t="shared" si="40"/>
        <v>Palm</v>
      </c>
      <c r="DI104" s="1146">
        <f t="shared" si="41"/>
        <v>764</v>
      </c>
      <c r="DJ104" s="1146">
        <f t="shared" si="42"/>
        <v>0</v>
      </c>
      <c r="DK104" s="1154">
        <f t="shared" si="43"/>
        <v>0</v>
      </c>
      <c r="DL104" s="615"/>
      <c r="DM104" s="615"/>
      <c r="DN104" s="615"/>
      <c r="DO104" s="499"/>
      <c r="DP104" s="499"/>
      <c r="DQ104" s="499"/>
      <c r="DR104" s="499"/>
      <c r="DS104" s="499"/>
      <c r="DT104" s="499"/>
      <c r="DU104" s="499"/>
      <c r="DV104" s="499"/>
      <c r="DW104" s="499"/>
      <c r="DX104" s="499"/>
      <c r="DY104" s="499"/>
      <c r="DZ104" s="499"/>
      <c r="EA104" s="499"/>
      <c r="EB104" s="499"/>
      <c r="EC104" s="499"/>
      <c r="ED104" s="499"/>
      <c r="EE104" s="499"/>
      <c r="EF104" s="499"/>
      <c r="EG104" s="1146">
        <f t="shared" si="44"/>
        <v>10.5</v>
      </c>
      <c r="EH104" s="630">
        <v>0</v>
      </c>
      <c r="EI104" s="642">
        <v>1</v>
      </c>
      <c r="EJ104" s="642">
        <v>3</v>
      </c>
      <c r="EK104" s="642">
        <v>6.5</v>
      </c>
      <c r="EL104" s="499"/>
      <c r="EM104" s="499"/>
      <c r="EN104" s="499"/>
      <c r="EO104" s="499"/>
      <c r="EP104" s="499"/>
      <c r="EQ104" s="499"/>
      <c r="ER104" s="499"/>
      <c r="ES104" s="388"/>
      <c r="ET104" s="388"/>
      <c r="EV104" s="1167">
        <f t="shared" si="32"/>
        <v>16.243500000000001</v>
      </c>
    </row>
    <row r="105" spans="1:152" s="350" customFormat="1" ht="15" x14ac:dyDescent="0.25">
      <c r="A105" s="632" t="s">
        <v>7</v>
      </c>
      <c r="B105" s="662">
        <v>42831</v>
      </c>
      <c r="C105" s="1132" t="s">
        <v>904</v>
      </c>
      <c r="D105" s="874">
        <v>0.37</v>
      </c>
      <c r="E105">
        <v>0</v>
      </c>
      <c r="F105" s="874">
        <v>52</v>
      </c>
      <c r="G105" s="878">
        <v>1.8</v>
      </c>
      <c r="H105" s="875">
        <v>2.86</v>
      </c>
      <c r="I105" s="878">
        <v>11.2</v>
      </c>
      <c r="J105" s="636">
        <v>0</v>
      </c>
      <c r="K105" s="878">
        <v>2.84</v>
      </c>
      <c r="L105" s="741">
        <v>0</v>
      </c>
      <c r="M105" s="880">
        <v>25.5</v>
      </c>
      <c r="N105" s="875">
        <v>1.23</v>
      </c>
      <c r="O105" s="876">
        <v>1.3202753210023619</v>
      </c>
      <c r="P105" s="875">
        <v>1.27</v>
      </c>
      <c r="Q105" s="876">
        <v>0.59637824746820733</v>
      </c>
      <c r="R105" s="879">
        <v>701.7176598837209</v>
      </c>
      <c r="S105" s="878">
        <v>8.25</v>
      </c>
      <c r="T105" s="875">
        <v>8.34</v>
      </c>
      <c r="U105" s="878">
        <v>0.78</v>
      </c>
      <c r="V105" s="875">
        <v>0.89</v>
      </c>
      <c r="W105" s="875">
        <v>44.42</v>
      </c>
      <c r="X105" s="880">
        <v>44.600000000000009</v>
      </c>
      <c r="Y105" s="881">
        <v>25.83</v>
      </c>
      <c r="Z105" s="739">
        <v>27</v>
      </c>
      <c r="AA105" s="739">
        <v>25.87</v>
      </c>
      <c r="AB105" s="739">
        <v>27.01</v>
      </c>
      <c r="AC105" s="1160">
        <f t="shared" si="33"/>
        <v>52.88</v>
      </c>
      <c r="AD105" s="1160">
        <f t="shared" si="34"/>
        <v>81.805359999999993</v>
      </c>
      <c r="AE105" s="1160">
        <f t="shared" si="35"/>
        <v>81.805359999999993</v>
      </c>
      <c r="AF105" s="542"/>
      <c r="AG105" s="1160">
        <f t="shared" si="31"/>
        <v>0</v>
      </c>
      <c r="AH105" s="656"/>
      <c r="AI105" s="351"/>
      <c r="AJ105" s="2"/>
      <c r="AK105" s="388"/>
      <c r="AL105" s="388"/>
      <c r="AM105" s="388"/>
      <c r="AN105" s="388"/>
      <c r="AO105" s="370"/>
      <c r="AP105" s="370"/>
      <c r="AQ105" s="386"/>
      <c r="AR105" s="551">
        <v>0</v>
      </c>
      <c r="AS105" s="386">
        <v>11.3</v>
      </c>
      <c r="AT105" s="386">
        <v>0</v>
      </c>
      <c r="AU105" s="386">
        <v>0</v>
      </c>
      <c r="AV105" s="636">
        <v>554.1</v>
      </c>
      <c r="AW105" s="636">
        <v>646.6</v>
      </c>
      <c r="AX105" s="386">
        <v>0</v>
      </c>
      <c r="AY105" s="551">
        <v>0</v>
      </c>
      <c r="AZ105" s="551">
        <v>0</v>
      </c>
      <c r="BA105" s="551">
        <v>0</v>
      </c>
      <c r="BB105" s="975">
        <v>0</v>
      </c>
      <c r="BC105" s="386">
        <v>0.5</v>
      </c>
      <c r="BD105" s="386">
        <v>1.5</v>
      </c>
      <c r="BE105" s="551">
        <v>0</v>
      </c>
      <c r="BF105" s="386">
        <v>0.99</v>
      </c>
      <c r="BG105" s="386">
        <v>0</v>
      </c>
      <c r="BH105" s="551">
        <v>0</v>
      </c>
      <c r="BI105" s="386">
        <v>1.01</v>
      </c>
      <c r="BJ105" s="386">
        <v>23</v>
      </c>
      <c r="BK105" s="386">
        <v>3.46</v>
      </c>
      <c r="BL105" s="386">
        <v>3</v>
      </c>
      <c r="BM105" s="386">
        <v>0</v>
      </c>
      <c r="BN105" s="386">
        <v>16.600000000000001</v>
      </c>
      <c r="BO105" s="386">
        <v>1119.5999999999999</v>
      </c>
      <c r="BP105" s="386">
        <v>2</v>
      </c>
      <c r="BQ105" s="615">
        <v>15.7</v>
      </c>
      <c r="BR105" s="615">
        <v>16.399999999999999</v>
      </c>
      <c r="BS105" s="615">
        <v>10.1</v>
      </c>
      <c r="BT105" s="615">
        <v>12.6</v>
      </c>
      <c r="BU105" s="614">
        <v>23.9</v>
      </c>
      <c r="BV105" s="614">
        <v>29.7</v>
      </c>
      <c r="BW105" s="615">
        <v>443.9</v>
      </c>
      <c r="BX105" s="791"/>
      <c r="BY105" s="615">
        <v>0</v>
      </c>
      <c r="BZ105" s="615">
        <v>1.17</v>
      </c>
      <c r="CA105" s="615">
        <v>1.1000000000000001</v>
      </c>
      <c r="CB105" s="615">
        <v>8.5</v>
      </c>
      <c r="CC105" s="615">
        <v>8.4</v>
      </c>
      <c r="CD105" s="615">
        <v>15.1</v>
      </c>
      <c r="CE105" s="615">
        <v>34</v>
      </c>
      <c r="CF105" s="615">
        <v>13.4</v>
      </c>
      <c r="CG105" s="615">
        <v>7.9</v>
      </c>
      <c r="CH105" s="615">
        <v>13.6</v>
      </c>
      <c r="CI105" s="615">
        <v>17.5</v>
      </c>
      <c r="CJ105" s="615">
        <v>12.3</v>
      </c>
      <c r="CK105" s="615">
        <v>490.3</v>
      </c>
      <c r="CL105" s="615">
        <v>2</v>
      </c>
      <c r="CM105" s="615">
        <v>2.6</v>
      </c>
      <c r="CN105" s="615">
        <v>236.8</v>
      </c>
      <c r="CO105" s="615">
        <v>506</v>
      </c>
      <c r="CP105" s="615">
        <v>455</v>
      </c>
      <c r="CQ105" s="615">
        <v>12.3</v>
      </c>
      <c r="CR105" s="615">
        <v>0.7</v>
      </c>
      <c r="CS105" s="386">
        <v>0</v>
      </c>
      <c r="CT105" s="386">
        <v>15.962</v>
      </c>
      <c r="CU105" s="386">
        <v>45</v>
      </c>
      <c r="CV105" s="499">
        <v>0</v>
      </c>
      <c r="CW105" s="499">
        <v>0</v>
      </c>
      <c r="CX105" s="499">
        <v>0</v>
      </c>
      <c r="CY105" s="499">
        <v>0</v>
      </c>
      <c r="CZ105" s="643">
        <v>1690</v>
      </c>
      <c r="DA105" s="643">
        <v>2563</v>
      </c>
      <c r="DB105" s="782">
        <v>1800</v>
      </c>
      <c r="DC105" s="609">
        <v>1142.03</v>
      </c>
      <c r="DD105" s="1153">
        <f t="shared" si="36"/>
        <v>0.44000000000005457</v>
      </c>
      <c r="DE105" s="1154">
        <f t="shared" si="37"/>
        <v>0</v>
      </c>
      <c r="DF105" s="1154">
        <f t="shared" si="38"/>
        <v>1690</v>
      </c>
      <c r="DG105" s="1154">
        <f t="shared" si="39"/>
        <v>2313</v>
      </c>
      <c r="DH105" s="1155" t="str">
        <f t="shared" si="40"/>
        <v>Palm</v>
      </c>
      <c r="DI105" s="1146">
        <f t="shared" si="41"/>
        <v>763</v>
      </c>
      <c r="DJ105" s="1146">
        <f t="shared" si="42"/>
        <v>0</v>
      </c>
      <c r="DK105" s="1154">
        <f t="shared" si="43"/>
        <v>0</v>
      </c>
      <c r="DL105" s="615"/>
      <c r="DM105" s="615"/>
      <c r="DN105" s="615"/>
      <c r="DO105" s="499"/>
      <c r="DP105" s="499"/>
      <c r="DQ105" s="499"/>
      <c r="DR105" s="499"/>
      <c r="DS105" s="499"/>
      <c r="DT105" s="499"/>
      <c r="DU105" s="499"/>
      <c r="DV105" s="499"/>
      <c r="DW105" s="499"/>
      <c r="DX105" s="499"/>
      <c r="DY105" s="499"/>
      <c r="DZ105" s="499"/>
      <c r="EA105" s="499"/>
      <c r="EB105" s="499"/>
      <c r="EC105" s="499"/>
      <c r="ED105" s="499"/>
      <c r="EE105" s="499"/>
      <c r="EF105" s="499"/>
      <c r="EG105" s="1146">
        <f t="shared" si="44"/>
        <v>10.5</v>
      </c>
      <c r="EH105" s="630">
        <v>0</v>
      </c>
      <c r="EI105" s="642">
        <v>1</v>
      </c>
      <c r="EJ105" s="642">
        <v>3</v>
      </c>
      <c r="EK105" s="642">
        <v>6.5</v>
      </c>
      <c r="EL105" s="499"/>
      <c r="EM105" s="499"/>
      <c r="EN105" s="499"/>
      <c r="EO105" s="499"/>
      <c r="EP105" s="499"/>
      <c r="EQ105" s="499"/>
      <c r="ER105" s="499"/>
      <c r="ES105" s="388"/>
      <c r="ET105" s="388"/>
      <c r="EV105" s="1167">
        <f t="shared" si="32"/>
        <v>16.243500000000001</v>
      </c>
    </row>
    <row r="106" spans="1:152" s="350" customFormat="1" ht="15" x14ac:dyDescent="0.25">
      <c r="A106" s="632" t="s">
        <v>8</v>
      </c>
      <c r="B106" s="662">
        <v>42832</v>
      </c>
      <c r="C106" s="1132" t="s">
        <v>904</v>
      </c>
      <c r="D106" s="874">
        <v>0.02</v>
      </c>
      <c r="E106">
        <v>0</v>
      </c>
      <c r="F106" s="874">
        <v>47.4</v>
      </c>
      <c r="G106" s="878">
        <v>1.85</v>
      </c>
      <c r="H106" s="875">
        <v>2.76</v>
      </c>
      <c r="I106" s="878">
        <v>10.7</v>
      </c>
      <c r="J106" s="636">
        <v>0</v>
      </c>
      <c r="K106" s="878">
        <v>2.5299999999999998</v>
      </c>
      <c r="L106" s="741">
        <v>0</v>
      </c>
      <c r="M106" s="878">
        <v>25.6</v>
      </c>
      <c r="N106" s="875">
        <v>1.25</v>
      </c>
      <c r="O106" s="876">
        <v>1.3318499146986771</v>
      </c>
      <c r="P106" s="875">
        <v>1.25</v>
      </c>
      <c r="Q106" s="876">
        <v>0.5963782474678786</v>
      </c>
      <c r="R106" s="879">
        <v>706.71802325581393</v>
      </c>
      <c r="S106" s="878">
        <v>8.25</v>
      </c>
      <c r="T106" s="875">
        <v>8.34</v>
      </c>
      <c r="U106" s="878">
        <v>0.79</v>
      </c>
      <c r="V106" s="875">
        <v>0.92</v>
      </c>
      <c r="W106" s="875">
        <v>44.600000000000009</v>
      </c>
      <c r="X106" s="880">
        <v>44.600000000000009</v>
      </c>
      <c r="Y106" s="881">
        <v>25.87</v>
      </c>
      <c r="Z106" s="739">
        <v>26.9</v>
      </c>
      <c r="AA106" s="739">
        <v>25.8</v>
      </c>
      <c r="AB106" s="739">
        <v>27</v>
      </c>
      <c r="AC106" s="1160">
        <f t="shared" si="33"/>
        <v>52.8</v>
      </c>
      <c r="AD106" s="1160">
        <f t="shared" si="34"/>
        <v>81.681599999999989</v>
      </c>
      <c r="AE106" s="1160">
        <f t="shared" si="35"/>
        <v>81.681599999999989</v>
      </c>
      <c r="AF106" s="542"/>
      <c r="AG106" s="1160">
        <f t="shared" si="31"/>
        <v>0</v>
      </c>
      <c r="AH106" s="656"/>
      <c r="AI106" s="351"/>
      <c r="AJ106" s="2"/>
      <c r="AK106" s="388"/>
      <c r="AL106" s="388"/>
      <c r="AM106" s="388"/>
      <c r="AN106" s="388"/>
      <c r="AO106" s="370"/>
      <c r="AP106" s="370"/>
      <c r="AQ106" s="386"/>
      <c r="AR106" s="551">
        <v>0</v>
      </c>
      <c r="AS106" s="386">
        <v>20.6</v>
      </c>
      <c r="AT106" s="386">
        <v>0</v>
      </c>
      <c r="AU106" s="386">
        <v>0</v>
      </c>
      <c r="AV106" s="636">
        <v>296.2</v>
      </c>
      <c r="AW106" s="636">
        <v>287.8</v>
      </c>
      <c r="AX106" s="386">
        <v>0</v>
      </c>
      <c r="AY106" s="551">
        <v>0</v>
      </c>
      <c r="AZ106" s="551">
        <v>0</v>
      </c>
      <c r="BA106" s="551">
        <v>0</v>
      </c>
      <c r="BB106" s="975">
        <v>0</v>
      </c>
      <c r="BC106" s="386">
        <v>0.67</v>
      </c>
      <c r="BD106" s="386">
        <v>1.5</v>
      </c>
      <c r="BE106" s="551">
        <v>0</v>
      </c>
      <c r="BF106" s="386">
        <v>0.99</v>
      </c>
      <c r="BG106" s="386">
        <v>0</v>
      </c>
      <c r="BH106" s="551">
        <v>0</v>
      </c>
      <c r="BI106" s="386">
        <v>1.01</v>
      </c>
      <c r="BJ106" s="386">
        <v>22.8</v>
      </c>
      <c r="BK106" s="386">
        <v>3.8</v>
      </c>
      <c r="BL106" s="386">
        <v>2.64</v>
      </c>
      <c r="BM106" s="386">
        <v>0</v>
      </c>
      <c r="BN106" s="386">
        <v>16.399999999999999</v>
      </c>
      <c r="BO106" s="386">
        <v>884.3</v>
      </c>
      <c r="BP106" s="386">
        <v>2</v>
      </c>
      <c r="BQ106" s="615">
        <v>14.86</v>
      </c>
      <c r="BR106" s="615">
        <v>15.59</v>
      </c>
      <c r="BS106" s="615">
        <v>10.52</v>
      </c>
      <c r="BT106" s="615">
        <v>12.93</v>
      </c>
      <c r="BU106" s="614">
        <v>25.4</v>
      </c>
      <c r="BV106" s="614">
        <v>31.9</v>
      </c>
      <c r="BW106" s="615">
        <v>593.20000000000005</v>
      </c>
      <c r="BX106" s="791"/>
      <c r="BY106" s="615">
        <v>0</v>
      </c>
      <c r="BZ106" s="615">
        <v>1.1299999999999999</v>
      </c>
      <c r="CA106" s="615">
        <v>1.1000000000000001</v>
      </c>
      <c r="CB106" s="615">
        <v>8.4</v>
      </c>
      <c r="CC106" s="615">
        <v>8.4</v>
      </c>
      <c r="CD106" s="615">
        <v>15.1</v>
      </c>
      <c r="CE106" s="615">
        <v>34</v>
      </c>
      <c r="CF106" s="615">
        <v>14.1</v>
      </c>
      <c r="CG106" s="615">
        <v>7.7</v>
      </c>
      <c r="CH106" s="615">
        <v>13.4</v>
      </c>
      <c r="CI106" s="615">
        <v>17.5</v>
      </c>
      <c r="CJ106" s="615">
        <v>13</v>
      </c>
      <c r="CK106" s="615">
        <v>543.4</v>
      </c>
      <c r="CL106" s="615">
        <v>2</v>
      </c>
      <c r="CM106" s="615">
        <v>2.2999999999999998</v>
      </c>
      <c r="CN106" s="615">
        <v>189.6</v>
      </c>
      <c r="CO106" s="615">
        <v>501.4</v>
      </c>
      <c r="CP106" s="615">
        <v>445.8</v>
      </c>
      <c r="CQ106" s="615">
        <v>13.2</v>
      </c>
      <c r="CR106" s="615">
        <v>0.8</v>
      </c>
      <c r="CS106" s="386">
        <v>0</v>
      </c>
      <c r="CT106" s="386">
        <v>16.460999999999999</v>
      </c>
      <c r="CU106" s="386">
        <v>45</v>
      </c>
      <c r="CV106" s="499">
        <v>0</v>
      </c>
      <c r="CW106" s="499">
        <v>0</v>
      </c>
      <c r="CX106" s="499">
        <v>0</v>
      </c>
      <c r="CY106" s="499">
        <v>0</v>
      </c>
      <c r="CZ106" s="643">
        <v>1780</v>
      </c>
      <c r="DA106" s="643">
        <v>2380</v>
      </c>
      <c r="DB106" s="782">
        <v>1710</v>
      </c>
      <c r="DC106" s="609">
        <v>1143.25</v>
      </c>
      <c r="DD106" s="1153">
        <f t="shared" si="36"/>
        <v>1.2200000000000273</v>
      </c>
      <c r="DE106" s="1154">
        <f t="shared" si="37"/>
        <v>0</v>
      </c>
      <c r="DF106" s="1154">
        <f t="shared" si="38"/>
        <v>1600</v>
      </c>
      <c r="DG106" s="1154">
        <f t="shared" si="39"/>
        <v>2130</v>
      </c>
      <c r="DH106" s="1155" t="str">
        <f t="shared" si="40"/>
        <v>Palm</v>
      </c>
      <c r="DI106" s="1146">
        <f t="shared" si="41"/>
        <v>670</v>
      </c>
      <c r="DJ106" s="1146">
        <f t="shared" si="42"/>
        <v>0</v>
      </c>
      <c r="DK106" s="1154">
        <f t="shared" si="43"/>
        <v>0</v>
      </c>
      <c r="DL106" s="615"/>
      <c r="DM106" s="615"/>
      <c r="DN106" s="615"/>
      <c r="DO106" s="499"/>
      <c r="DP106" s="499"/>
      <c r="DQ106" s="499"/>
      <c r="DR106" s="499"/>
      <c r="DS106" s="499"/>
      <c r="DT106" s="499"/>
      <c r="DU106" s="499"/>
      <c r="DV106" s="499"/>
      <c r="DW106" s="499"/>
      <c r="DX106" s="499"/>
      <c r="DY106" s="499"/>
      <c r="DZ106" s="499"/>
      <c r="EA106" s="499"/>
      <c r="EB106" s="499"/>
      <c r="EC106" s="499"/>
      <c r="ED106" s="499"/>
      <c r="EE106" s="499"/>
      <c r="EF106" s="499"/>
      <c r="EG106" s="1146">
        <f t="shared" si="44"/>
        <v>11</v>
      </c>
      <c r="EH106" s="630">
        <v>0</v>
      </c>
      <c r="EI106" s="642">
        <v>1</v>
      </c>
      <c r="EJ106" s="642">
        <v>3.5</v>
      </c>
      <c r="EK106" s="642">
        <v>6.5</v>
      </c>
      <c r="EL106" s="499"/>
      <c r="EM106" s="499"/>
      <c r="EN106" s="499"/>
      <c r="EO106" s="499"/>
      <c r="EP106" s="499"/>
      <c r="EQ106" s="499"/>
      <c r="ER106" s="499"/>
      <c r="ES106" s="388"/>
      <c r="ET106" s="388"/>
      <c r="EV106" s="1167">
        <f t="shared" si="32"/>
        <v>17.016999999999999</v>
      </c>
    </row>
    <row r="107" spans="1:152" s="350" customFormat="1" ht="15" x14ac:dyDescent="0.25">
      <c r="A107" s="632" t="s">
        <v>9</v>
      </c>
      <c r="B107" s="662">
        <v>42833</v>
      </c>
      <c r="C107" s="1132" t="s">
        <v>904</v>
      </c>
      <c r="D107" s="386">
        <v>0.28000000000000003</v>
      </c>
      <c r="E107" s="636">
        <v>0</v>
      </c>
      <c r="F107" s="636">
        <v>36</v>
      </c>
      <c r="G107" s="739">
        <v>1.9</v>
      </c>
      <c r="H107" s="609">
        <v>2.54</v>
      </c>
      <c r="I107" s="609">
        <v>13.4</v>
      </c>
      <c r="J107" s="636">
        <v>0</v>
      </c>
      <c r="K107" s="609">
        <v>2.33</v>
      </c>
      <c r="L107" s="741">
        <v>0</v>
      </c>
      <c r="M107" s="609">
        <v>25.4</v>
      </c>
      <c r="N107" s="609">
        <v>1.28</v>
      </c>
      <c r="O107" s="609">
        <v>1.3212827808016581</v>
      </c>
      <c r="P107" s="609">
        <v>1.25</v>
      </c>
      <c r="Q107" s="609">
        <v>0.59256822257185027</v>
      </c>
      <c r="R107" s="877">
        <v>699.71751453488378</v>
      </c>
      <c r="S107" s="609">
        <v>8.16</v>
      </c>
      <c r="T107" s="609">
        <v>8.2899999999999991</v>
      </c>
      <c r="U107" s="609">
        <v>0.81</v>
      </c>
      <c r="V107" s="739">
        <v>0.96</v>
      </c>
      <c r="W107" s="739">
        <v>44.239999999999995</v>
      </c>
      <c r="X107" s="650">
        <v>44.06</v>
      </c>
      <c r="Y107" s="738">
        <v>25.8</v>
      </c>
      <c r="Z107" s="739">
        <v>27</v>
      </c>
      <c r="AA107" s="739">
        <v>25.7</v>
      </c>
      <c r="AB107" s="739">
        <v>27</v>
      </c>
      <c r="AC107" s="1160">
        <f t="shared" si="33"/>
        <v>52.7</v>
      </c>
      <c r="AD107" s="1160">
        <f t="shared" si="34"/>
        <v>81.526899999999998</v>
      </c>
      <c r="AE107" s="1160">
        <f t="shared" si="35"/>
        <v>81.526899999999998</v>
      </c>
      <c r="AF107" s="542"/>
      <c r="AG107" s="1160">
        <f t="shared" si="31"/>
        <v>0</v>
      </c>
      <c r="AH107" s="656"/>
      <c r="AI107" s="351"/>
      <c r="AJ107" s="2"/>
      <c r="AK107" s="388"/>
      <c r="AL107" s="388"/>
      <c r="AM107" s="388"/>
      <c r="AN107" s="388"/>
      <c r="AO107" s="370"/>
      <c r="AP107" s="370"/>
      <c r="AQ107" s="386"/>
      <c r="AR107" s="551">
        <v>0</v>
      </c>
      <c r="AS107" s="386">
        <v>11.5</v>
      </c>
      <c r="AT107" s="386">
        <v>0</v>
      </c>
      <c r="AU107" s="386">
        <v>0</v>
      </c>
      <c r="AV107" s="636">
        <v>393</v>
      </c>
      <c r="AW107" s="636">
        <v>364.2</v>
      </c>
      <c r="AX107" s="386">
        <v>0</v>
      </c>
      <c r="AY107" s="551">
        <v>0</v>
      </c>
      <c r="AZ107" s="551">
        <v>0</v>
      </c>
      <c r="BA107" s="551">
        <v>0</v>
      </c>
      <c r="BB107" s="975">
        <v>0</v>
      </c>
      <c r="BC107" s="386">
        <v>1</v>
      </c>
      <c r="BD107" s="386">
        <v>1.5</v>
      </c>
      <c r="BE107" s="551">
        <v>0</v>
      </c>
      <c r="BF107" s="386">
        <v>0.99</v>
      </c>
      <c r="BG107" s="386">
        <v>0</v>
      </c>
      <c r="BH107" s="551">
        <v>0</v>
      </c>
      <c r="BI107" s="386">
        <v>1.02</v>
      </c>
      <c r="BJ107" s="386">
        <v>22.5</v>
      </c>
      <c r="BK107" s="386">
        <v>3.92</v>
      </c>
      <c r="BL107" s="386">
        <v>2.5299999999999998</v>
      </c>
      <c r="BM107" s="386">
        <v>0</v>
      </c>
      <c r="BN107" s="386">
        <v>16.100000000000001</v>
      </c>
      <c r="BO107" s="386">
        <v>948.8</v>
      </c>
      <c r="BP107" s="386">
        <v>2</v>
      </c>
      <c r="BQ107" s="615">
        <v>14.33</v>
      </c>
      <c r="BR107" s="615">
        <v>15.08</v>
      </c>
      <c r="BS107" s="615">
        <v>10.46</v>
      </c>
      <c r="BT107" s="615">
        <v>12.79</v>
      </c>
      <c r="BU107" s="614">
        <v>25.6</v>
      </c>
      <c r="BV107" s="614">
        <v>30.6</v>
      </c>
      <c r="BW107" s="615">
        <v>604.70000000000005</v>
      </c>
      <c r="BX107" s="791"/>
      <c r="BY107" s="615">
        <v>0</v>
      </c>
      <c r="BZ107" s="615">
        <v>1.1599999999999999</v>
      </c>
      <c r="CA107" s="615">
        <v>1.1000000000000001</v>
      </c>
      <c r="CB107" s="615">
        <v>8.4</v>
      </c>
      <c r="CC107" s="615">
        <v>8.4</v>
      </c>
      <c r="CD107" s="615">
        <v>16.2</v>
      </c>
      <c r="CE107" s="615">
        <v>34.1</v>
      </c>
      <c r="CF107" s="615">
        <v>13.1</v>
      </c>
      <c r="CG107" s="615">
        <v>7.35</v>
      </c>
      <c r="CH107" s="615">
        <v>12.99</v>
      </c>
      <c r="CI107" s="615">
        <v>17.07</v>
      </c>
      <c r="CJ107" s="615">
        <v>13.18</v>
      </c>
      <c r="CK107" s="615">
        <v>512.6</v>
      </c>
      <c r="CL107" s="615">
        <v>1.8</v>
      </c>
      <c r="CM107" s="615">
        <v>0.7</v>
      </c>
      <c r="CN107" s="615">
        <v>456.8</v>
      </c>
      <c r="CO107" s="615">
        <v>420.3</v>
      </c>
      <c r="CP107" s="615">
        <v>441.3</v>
      </c>
      <c r="CQ107" s="615">
        <v>12.6</v>
      </c>
      <c r="CR107" s="615">
        <v>0.77</v>
      </c>
      <c r="CS107" s="386">
        <v>0</v>
      </c>
      <c r="CT107" s="386">
        <v>15.012</v>
      </c>
      <c r="CU107" s="386">
        <v>45</v>
      </c>
      <c r="CV107" s="499">
        <v>0</v>
      </c>
      <c r="CW107" s="499">
        <v>0</v>
      </c>
      <c r="CX107" s="499">
        <v>0</v>
      </c>
      <c r="CY107" s="499">
        <v>0</v>
      </c>
      <c r="CZ107" s="643">
        <v>1790</v>
      </c>
      <c r="DA107" s="643">
        <v>2350</v>
      </c>
      <c r="DB107" s="782">
        <v>1710</v>
      </c>
      <c r="DC107" s="609">
        <v>1144.58</v>
      </c>
      <c r="DD107" s="1153">
        <f t="shared" si="36"/>
        <v>1.3299999999999272</v>
      </c>
      <c r="DE107" s="1154">
        <f t="shared" si="37"/>
        <v>0</v>
      </c>
      <c r="DF107" s="1154">
        <f t="shared" si="38"/>
        <v>1600</v>
      </c>
      <c r="DG107" s="1154">
        <f t="shared" si="39"/>
        <v>2100</v>
      </c>
      <c r="DH107" s="1155" t="str">
        <f t="shared" si="40"/>
        <v>Palm</v>
      </c>
      <c r="DI107" s="1146">
        <f t="shared" si="41"/>
        <v>640</v>
      </c>
      <c r="DJ107" s="1146">
        <f t="shared" si="42"/>
        <v>0</v>
      </c>
      <c r="DK107" s="1154">
        <f t="shared" si="43"/>
        <v>0</v>
      </c>
      <c r="DL107" s="615"/>
      <c r="DM107" s="615"/>
      <c r="DN107" s="615"/>
      <c r="DO107" s="499"/>
      <c r="DP107" s="499"/>
      <c r="DQ107" s="499"/>
      <c r="DR107" s="499"/>
      <c r="DS107" s="499"/>
      <c r="DT107" s="499"/>
      <c r="DU107" s="499"/>
      <c r="DV107" s="499"/>
      <c r="DW107" s="499"/>
      <c r="DX107" s="499"/>
      <c r="DY107" s="499"/>
      <c r="DZ107" s="499"/>
      <c r="EA107" s="499"/>
      <c r="EB107" s="499"/>
      <c r="EC107" s="499"/>
      <c r="ED107" s="499"/>
      <c r="EE107" s="499"/>
      <c r="EF107" s="499"/>
      <c r="EG107" s="1146">
        <f t="shared" si="44"/>
        <v>11</v>
      </c>
      <c r="EH107" s="630">
        <v>0</v>
      </c>
      <c r="EI107" s="642">
        <v>1</v>
      </c>
      <c r="EJ107" s="642">
        <v>3.5</v>
      </c>
      <c r="EK107" s="642">
        <v>6.5</v>
      </c>
      <c r="EL107" s="499"/>
      <c r="EM107" s="499"/>
      <c r="EN107" s="499"/>
      <c r="EO107" s="499"/>
      <c r="EP107" s="499"/>
      <c r="EQ107" s="499"/>
      <c r="ER107" s="499"/>
      <c r="ES107" s="388"/>
      <c r="ET107" s="388"/>
      <c r="EV107" s="1167">
        <f t="shared" si="32"/>
        <v>17.016999999999999</v>
      </c>
    </row>
    <row r="108" spans="1:152" s="350" customFormat="1" ht="15" x14ac:dyDescent="0.25">
      <c r="A108" s="632" t="s">
        <v>3</v>
      </c>
      <c r="B108" s="662">
        <v>42834</v>
      </c>
      <c r="C108" s="1132" t="s">
        <v>904</v>
      </c>
      <c r="D108" s="386">
        <v>0</v>
      </c>
      <c r="E108" s="636">
        <v>0</v>
      </c>
      <c r="F108" s="636">
        <v>44.9</v>
      </c>
      <c r="G108" s="739">
        <v>1.9</v>
      </c>
      <c r="H108" s="609">
        <v>2.4300000000000002</v>
      </c>
      <c r="I108" s="609">
        <v>12.2</v>
      </c>
      <c r="J108" s="636">
        <v>0</v>
      </c>
      <c r="K108" s="609">
        <v>2.0699999999999998</v>
      </c>
      <c r="L108" s="741">
        <v>0</v>
      </c>
      <c r="M108" s="609">
        <v>24.8</v>
      </c>
      <c r="N108" s="609">
        <v>1.2989999999999999</v>
      </c>
      <c r="O108" s="609">
        <v>1.3218732832813747</v>
      </c>
      <c r="P108" s="609">
        <v>1.262</v>
      </c>
      <c r="Q108" s="609">
        <v>0.58921957158028337</v>
      </c>
      <c r="R108" s="877">
        <v>685.38313953488364</v>
      </c>
      <c r="S108" s="609">
        <v>8.2100000000000009</v>
      </c>
      <c r="T108" s="609">
        <v>8.32</v>
      </c>
      <c r="U108" s="609">
        <v>0.8</v>
      </c>
      <c r="V108" s="739">
        <v>0.94799999999999995</v>
      </c>
      <c r="W108" s="739">
        <v>44.239999999999995</v>
      </c>
      <c r="X108" s="650">
        <v>44.42</v>
      </c>
      <c r="Y108" s="738">
        <v>25.7</v>
      </c>
      <c r="Z108" s="739">
        <v>26.9</v>
      </c>
      <c r="AA108" s="739">
        <v>25.75</v>
      </c>
      <c r="AB108" s="739">
        <v>26.08</v>
      </c>
      <c r="AC108" s="1160">
        <f t="shared" si="33"/>
        <v>51.83</v>
      </c>
      <c r="AD108" s="1160">
        <f t="shared" si="34"/>
        <v>80.181010000000001</v>
      </c>
      <c r="AE108" s="1160">
        <f t="shared" si="35"/>
        <v>80.181010000000001</v>
      </c>
      <c r="AF108" s="542"/>
      <c r="AG108" s="1160">
        <f t="shared" si="31"/>
        <v>0</v>
      </c>
      <c r="AH108" s="656"/>
      <c r="AI108" s="351"/>
      <c r="AJ108" s="2"/>
      <c r="AK108" s="388"/>
      <c r="AL108" s="388"/>
      <c r="AM108" s="388"/>
      <c r="AN108" s="388"/>
      <c r="AO108" s="370"/>
      <c r="AP108" s="370"/>
      <c r="AQ108" s="386"/>
      <c r="AR108" s="551">
        <v>0</v>
      </c>
      <c r="AS108" s="386">
        <v>21.9</v>
      </c>
      <c r="AT108" s="386">
        <v>0</v>
      </c>
      <c r="AU108" s="386">
        <v>0</v>
      </c>
      <c r="AV108" s="636">
        <v>451.4</v>
      </c>
      <c r="AW108" s="636">
        <v>592.9</v>
      </c>
      <c r="AX108" s="386">
        <v>0</v>
      </c>
      <c r="AY108" s="551">
        <v>0</v>
      </c>
      <c r="AZ108" s="551">
        <v>0</v>
      </c>
      <c r="BA108" s="551">
        <v>0</v>
      </c>
      <c r="BB108" s="975">
        <v>0</v>
      </c>
      <c r="BC108" s="386">
        <v>0.99</v>
      </c>
      <c r="BD108" s="386">
        <v>1.49</v>
      </c>
      <c r="BE108" s="551">
        <v>0</v>
      </c>
      <c r="BF108" s="386">
        <v>0.99</v>
      </c>
      <c r="BG108" s="386">
        <v>0</v>
      </c>
      <c r="BH108" s="551">
        <v>0</v>
      </c>
      <c r="BI108" s="386">
        <v>1.02</v>
      </c>
      <c r="BJ108" s="386">
        <v>21.6</v>
      </c>
      <c r="BK108" s="386">
        <v>3.92</v>
      </c>
      <c r="BL108" s="386">
        <v>2.5299999999999998</v>
      </c>
      <c r="BM108" s="386">
        <v>0</v>
      </c>
      <c r="BN108" s="386">
        <v>15.2</v>
      </c>
      <c r="BO108" s="386">
        <v>1092.2</v>
      </c>
      <c r="BP108" s="386">
        <v>2</v>
      </c>
      <c r="BQ108" s="615">
        <v>13.7</v>
      </c>
      <c r="BR108" s="615">
        <v>14.45</v>
      </c>
      <c r="BS108" s="615">
        <v>10.220000000000001</v>
      </c>
      <c r="BT108" s="615">
        <v>12.53</v>
      </c>
      <c r="BU108" s="614">
        <v>25.2</v>
      </c>
      <c r="BV108" s="614">
        <v>30.3</v>
      </c>
      <c r="BW108" s="615">
        <v>471.4</v>
      </c>
      <c r="BX108" s="791"/>
      <c r="BY108" s="615">
        <v>0</v>
      </c>
      <c r="BZ108" s="615">
        <v>1.1599999999999999</v>
      </c>
      <c r="CA108" s="615">
        <v>1.1000000000000001</v>
      </c>
      <c r="CB108" s="615">
        <v>8.3000000000000007</v>
      </c>
      <c r="CC108" s="615">
        <v>8.3000000000000007</v>
      </c>
      <c r="CD108" s="615">
        <v>15.3</v>
      </c>
      <c r="CE108" s="615">
        <v>33.82</v>
      </c>
      <c r="CF108" s="615">
        <v>12</v>
      </c>
      <c r="CG108" s="615">
        <v>7.75</v>
      </c>
      <c r="CH108" s="615">
        <v>13.4</v>
      </c>
      <c r="CI108" s="615">
        <v>17.3</v>
      </c>
      <c r="CJ108" s="615">
        <v>12.74</v>
      </c>
      <c r="CK108" s="615">
        <v>472.7</v>
      </c>
      <c r="CL108" s="615">
        <v>1.6</v>
      </c>
      <c r="CM108" s="615">
        <v>2</v>
      </c>
      <c r="CN108" s="615">
        <v>681.5</v>
      </c>
      <c r="CO108" s="615">
        <v>452.1</v>
      </c>
      <c r="CP108" s="615">
        <v>454.2</v>
      </c>
      <c r="CQ108" s="615">
        <v>12.1</v>
      </c>
      <c r="CR108" s="615">
        <v>0.71</v>
      </c>
      <c r="CS108" s="386">
        <v>0</v>
      </c>
      <c r="CT108" s="386">
        <v>15.298999999999999</v>
      </c>
      <c r="CU108" s="386">
        <v>46</v>
      </c>
      <c r="CV108" s="499">
        <v>0</v>
      </c>
      <c r="CW108" s="499">
        <v>0</v>
      </c>
      <c r="CX108" s="499">
        <v>0</v>
      </c>
      <c r="CY108" s="499">
        <v>0</v>
      </c>
      <c r="CZ108" s="643">
        <v>1790</v>
      </c>
      <c r="DA108" s="643">
        <v>2290</v>
      </c>
      <c r="DB108" s="782">
        <v>1710</v>
      </c>
      <c r="DC108" s="609">
        <v>1145.1500000000001</v>
      </c>
      <c r="DD108" s="1153">
        <f t="shared" si="36"/>
        <v>0.57000000000016371</v>
      </c>
      <c r="DE108" s="1154">
        <f t="shared" si="37"/>
        <v>0</v>
      </c>
      <c r="DF108" s="1154">
        <f t="shared" si="38"/>
        <v>1600</v>
      </c>
      <c r="DG108" s="1154">
        <f t="shared" si="39"/>
        <v>2040</v>
      </c>
      <c r="DH108" s="1155" t="str">
        <f t="shared" si="40"/>
        <v>Palm</v>
      </c>
      <c r="DI108" s="1146">
        <f t="shared" si="41"/>
        <v>580</v>
      </c>
      <c r="DJ108" s="1146">
        <f t="shared" si="42"/>
        <v>0</v>
      </c>
      <c r="DK108" s="1154">
        <f t="shared" si="43"/>
        <v>0</v>
      </c>
      <c r="DL108" s="615"/>
      <c r="DM108" s="615"/>
      <c r="DN108" s="615"/>
      <c r="DO108" s="499"/>
      <c r="DP108" s="499"/>
      <c r="DQ108" s="499"/>
      <c r="DR108" s="499"/>
      <c r="DS108" s="499"/>
      <c r="DT108" s="499"/>
      <c r="DU108" s="499"/>
      <c r="DV108" s="499"/>
      <c r="DW108" s="499"/>
      <c r="DX108" s="499"/>
      <c r="DY108" s="499"/>
      <c r="DZ108" s="499"/>
      <c r="EA108" s="499"/>
      <c r="EB108" s="499"/>
      <c r="EC108" s="499"/>
      <c r="ED108" s="499"/>
      <c r="EE108" s="499"/>
      <c r="EF108" s="499"/>
      <c r="EG108" s="1146">
        <f t="shared" si="44"/>
        <v>11</v>
      </c>
      <c r="EH108" s="630">
        <v>0</v>
      </c>
      <c r="EI108" s="642">
        <v>1</v>
      </c>
      <c r="EJ108" s="642">
        <v>3.5</v>
      </c>
      <c r="EK108" s="642">
        <v>6.5</v>
      </c>
      <c r="EL108" s="499"/>
      <c r="EM108" s="499"/>
      <c r="EN108" s="499"/>
      <c r="EO108" s="499"/>
      <c r="EP108" s="499"/>
      <c r="EQ108" s="499"/>
      <c r="ER108" s="499"/>
      <c r="ES108" s="388"/>
      <c r="ET108" s="388"/>
      <c r="EV108" s="1167">
        <f t="shared" si="32"/>
        <v>17.016999999999999</v>
      </c>
    </row>
    <row r="109" spans="1:152" s="350" customFormat="1" ht="15" x14ac:dyDescent="0.25">
      <c r="A109" s="632" t="s">
        <v>4</v>
      </c>
      <c r="B109" s="662">
        <v>42835</v>
      </c>
      <c r="C109" s="1132" t="s">
        <v>904</v>
      </c>
      <c r="D109" s="386">
        <v>0.26</v>
      </c>
      <c r="E109" s="636">
        <v>0</v>
      </c>
      <c r="F109" s="636">
        <v>39.200000000000003</v>
      </c>
      <c r="G109" s="739">
        <v>1.75</v>
      </c>
      <c r="H109" s="609">
        <v>2.1</v>
      </c>
      <c r="I109" s="609">
        <v>15.5</v>
      </c>
      <c r="J109" s="636">
        <v>0</v>
      </c>
      <c r="K109" s="609">
        <v>1.83</v>
      </c>
      <c r="L109" s="741">
        <v>0</v>
      </c>
      <c r="M109" s="609">
        <v>24.9</v>
      </c>
      <c r="N109" s="609">
        <v>1.284</v>
      </c>
      <c r="O109" s="609">
        <v>1.3207448846221697</v>
      </c>
      <c r="P109" s="609">
        <v>1.3109999999999999</v>
      </c>
      <c r="Q109" s="609">
        <v>0.59330472838720405</v>
      </c>
      <c r="R109" s="877">
        <v>698.05072674418614</v>
      </c>
      <c r="S109" s="609">
        <v>8.2200000000000006</v>
      </c>
      <c r="T109" s="609">
        <v>8.3000000000000007</v>
      </c>
      <c r="U109" s="609">
        <v>0.82699999999999996</v>
      </c>
      <c r="V109" s="739">
        <v>0.90800000000000003</v>
      </c>
      <c r="W109" s="739">
        <v>44.239999999999995</v>
      </c>
      <c r="X109" s="650">
        <v>44.600000000000009</v>
      </c>
      <c r="Y109" s="738">
        <v>25.75</v>
      </c>
      <c r="Z109" s="739">
        <v>26</v>
      </c>
      <c r="AA109" s="739">
        <v>25.75</v>
      </c>
      <c r="AB109" s="739">
        <v>26.82</v>
      </c>
      <c r="AC109" s="1160">
        <f t="shared" si="33"/>
        <v>52.57</v>
      </c>
      <c r="AD109" s="1160">
        <f t="shared" si="34"/>
        <v>81.325789999999998</v>
      </c>
      <c r="AE109" s="1160">
        <f t="shared" si="35"/>
        <v>81.325789999999998</v>
      </c>
      <c r="AF109" s="542"/>
      <c r="AG109" s="1160">
        <f t="shared" si="31"/>
        <v>0</v>
      </c>
      <c r="AH109" s="656"/>
      <c r="AI109" s="351"/>
      <c r="AJ109" s="2"/>
      <c r="AK109" s="388"/>
      <c r="AL109" s="388"/>
      <c r="AM109" s="388"/>
      <c r="AN109" s="388"/>
      <c r="AO109" s="370"/>
      <c r="AP109" s="370"/>
      <c r="AQ109" s="386"/>
      <c r="AR109" s="551">
        <v>0</v>
      </c>
      <c r="AS109" s="386">
        <v>10.9</v>
      </c>
      <c r="AT109" s="386">
        <v>0</v>
      </c>
      <c r="AU109" s="386">
        <v>0</v>
      </c>
      <c r="AV109" s="636">
        <v>312.7</v>
      </c>
      <c r="AW109" s="636">
        <v>393.2</v>
      </c>
      <c r="AX109" s="386">
        <v>0</v>
      </c>
      <c r="AY109" s="551">
        <v>0</v>
      </c>
      <c r="AZ109" s="551">
        <v>0</v>
      </c>
      <c r="BA109" s="551">
        <v>0</v>
      </c>
      <c r="BB109" s="975">
        <v>0</v>
      </c>
      <c r="BC109" s="386">
        <v>0.83</v>
      </c>
      <c r="BD109" s="386">
        <v>1.36</v>
      </c>
      <c r="BE109" s="551">
        <v>0</v>
      </c>
      <c r="BF109" s="386">
        <v>0.99</v>
      </c>
      <c r="BG109" s="386">
        <v>0</v>
      </c>
      <c r="BH109" s="551">
        <v>0</v>
      </c>
      <c r="BI109" s="386">
        <v>1.01</v>
      </c>
      <c r="BJ109" s="386">
        <v>22.5</v>
      </c>
      <c r="BK109" s="386">
        <v>2.98</v>
      </c>
      <c r="BL109" s="386">
        <v>3.5</v>
      </c>
      <c r="BM109" s="386">
        <v>0</v>
      </c>
      <c r="BN109" s="386">
        <v>16.2</v>
      </c>
      <c r="BO109" s="386">
        <v>1045.7</v>
      </c>
      <c r="BP109" s="386">
        <v>28.1</v>
      </c>
      <c r="BQ109" s="615">
        <v>4.9800000000000004</v>
      </c>
      <c r="BR109" s="615">
        <v>14.98</v>
      </c>
      <c r="BS109" s="615">
        <v>4.24</v>
      </c>
      <c r="BT109" s="615">
        <v>18.52</v>
      </c>
      <c r="BU109" s="614">
        <v>25.2</v>
      </c>
      <c r="BV109" s="614">
        <v>30.2</v>
      </c>
      <c r="BW109" s="615">
        <v>698.4</v>
      </c>
      <c r="BX109" s="791"/>
      <c r="BY109" s="615">
        <v>0</v>
      </c>
      <c r="BZ109" s="615">
        <v>1.2</v>
      </c>
      <c r="CA109" s="615">
        <v>1.2</v>
      </c>
      <c r="CB109" s="615">
        <v>8.4</v>
      </c>
      <c r="CC109" s="615">
        <v>8.3000000000000007</v>
      </c>
      <c r="CD109" s="615">
        <v>14.8</v>
      </c>
      <c r="CE109" s="615">
        <v>34</v>
      </c>
      <c r="CF109" s="615">
        <v>14</v>
      </c>
      <c r="CG109" s="615">
        <v>7.7</v>
      </c>
      <c r="CH109" s="615">
        <v>13.4</v>
      </c>
      <c r="CI109" s="615">
        <v>17.5</v>
      </c>
      <c r="CJ109" s="615">
        <v>12.46</v>
      </c>
      <c r="CK109" s="615">
        <v>497.1</v>
      </c>
      <c r="CL109" s="615">
        <v>1.5</v>
      </c>
      <c r="CM109" s="615">
        <v>1.6</v>
      </c>
      <c r="CN109" s="615">
        <v>279.60000000000002</v>
      </c>
      <c r="CO109" s="615">
        <v>532.1</v>
      </c>
      <c r="CP109" s="615">
        <v>472.1</v>
      </c>
      <c r="CQ109" s="615">
        <v>12.7</v>
      </c>
      <c r="CR109" s="615">
        <v>0.76</v>
      </c>
      <c r="CS109" s="386">
        <v>0</v>
      </c>
      <c r="CT109" s="386">
        <v>15.651</v>
      </c>
      <c r="CU109" s="386">
        <v>46</v>
      </c>
      <c r="CV109" s="499">
        <v>0</v>
      </c>
      <c r="CW109" s="499">
        <v>0</v>
      </c>
      <c r="CX109" s="499">
        <v>0</v>
      </c>
      <c r="CY109" s="499">
        <v>0</v>
      </c>
      <c r="CZ109" s="643">
        <v>1650</v>
      </c>
      <c r="DA109" s="643">
        <v>2150</v>
      </c>
      <c r="DB109" s="782">
        <v>1560</v>
      </c>
      <c r="DC109" s="609">
        <v>1145.3599999999999</v>
      </c>
      <c r="DD109" s="1153">
        <f t="shared" si="36"/>
        <v>0.20999999999980901</v>
      </c>
      <c r="DE109" s="1154">
        <f t="shared" si="37"/>
        <v>0</v>
      </c>
      <c r="DF109" s="1154">
        <f t="shared" si="38"/>
        <v>1450</v>
      </c>
      <c r="DG109" s="1154">
        <f t="shared" si="39"/>
        <v>1900</v>
      </c>
      <c r="DH109" s="1155" t="str">
        <f t="shared" si="40"/>
        <v>Palm</v>
      </c>
      <c r="DI109" s="1146">
        <f t="shared" si="41"/>
        <v>590</v>
      </c>
      <c r="DJ109" s="1146">
        <f t="shared" si="42"/>
        <v>0</v>
      </c>
      <c r="DK109" s="1154">
        <f t="shared" si="43"/>
        <v>0</v>
      </c>
      <c r="DL109" s="615"/>
      <c r="DM109" s="643"/>
      <c r="DN109" s="615"/>
      <c r="DO109" s="499"/>
      <c r="DP109" s="499"/>
      <c r="DQ109" s="499"/>
      <c r="DR109" s="499"/>
      <c r="DS109" s="499"/>
      <c r="DT109" s="499"/>
      <c r="DU109" s="499"/>
      <c r="DV109" s="499"/>
      <c r="DW109" s="499"/>
      <c r="DX109" s="1131">
        <f>(VLOOKUP(12.05,Lookup!$O$4:$Q$262,2)-VLOOKUP(Sheet1!BQ109,Lookup!$O$4:$Q$262,2))/1000000</f>
        <v>9.7792595961621824</v>
      </c>
      <c r="DY109" s="630" t="s">
        <v>902</v>
      </c>
      <c r="DZ109" s="499"/>
      <c r="EA109" s="499"/>
      <c r="EB109" s="499"/>
      <c r="EC109" s="499"/>
      <c r="ED109" s="499"/>
      <c r="EE109" s="499"/>
      <c r="EF109" s="499"/>
      <c r="EG109" s="1146">
        <f t="shared" si="44"/>
        <v>10.5</v>
      </c>
      <c r="EH109" s="630">
        <v>0</v>
      </c>
      <c r="EI109" s="642">
        <v>1</v>
      </c>
      <c r="EJ109" s="642">
        <v>3</v>
      </c>
      <c r="EK109" s="642">
        <v>6.5</v>
      </c>
      <c r="EL109" s="499"/>
      <c r="EM109" s="499"/>
      <c r="EN109" s="499"/>
      <c r="EO109" s="499"/>
      <c r="EP109" s="499"/>
      <c r="EQ109" s="499"/>
      <c r="ER109" s="499"/>
      <c r="ES109" s="388"/>
      <c r="ET109" s="388"/>
      <c r="EV109" s="1167">
        <f t="shared" si="32"/>
        <v>16.243500000000001</v>
      </c>
    </row>
    <row r="110" spans="1:152" s="350" customFormat="1" ht="15" x14ac:dyDescent="0.25">
      <c r="A110" s="632" t="s">
        <v>5</v>
      </c>
      <c r="B110" s="662">
        <v>42836</v>
      </c>
      <c r="C110" s="1132" t="s">
        <v>904</v>
      </c>
      <c r="D110" s="386">
        <v>0</v>
      </c>
      <c r="E110" s="636">
        <v>0</v>
      </c>
      <c r="F110" s="636">
        <v>51</v>
      </c>
      <c r="G110" s="739">
        <v>1.6</v>
      </c>
      <c r="H110" s="609">
        <v>2.16</v>
      </c>
      <c r="I110" s="609">
        <v>15</v>
      </c>
      <c r="J110" s="636">
        <v>0</v>
      </c>
      <c r="K110" s="609">
        <v>1.84</v>
      </c>
      <c r="L110" s="741">
        <v>0</v>
      </c>
      <c r="M110" s="609">
        <v>24.6</v>
      </c>
      <c r="N110" s="609">
        <v>1.296</v>
      </c>
      <c r="O110" s="609">
        <v>1.3060710030449514</v>
      </c>
      <c r="P110" s="609">
        <v>1.2849999999999999</v>
      </c>
      <c r="Q110" s="609">
        <v>0.59211350991729783</v>
      </c>
      <c r="R110" s="877">
        <v>709.38488372093025</v>
      </c>
      <c r="S110" s="609">
        <v>8.08</v>
      </c>
      <c r="T110" s="609">
        <v>8.1999999999999993</v>
      </c>
      <c r="U110" s="609">
        <v>0.80500000000000005</v>
      </c>
      <c r="V110" s="739">
        <v>0.76800000000000002</v>
      </c>
      <c r="W110" s="739">
        <v>44.239999999999995</v>
      </c>
      <c r="X110" s="650">
        <v>44.239999999999995</v>
      </c>
      <c r="Y110" s="738">
        <v>25.75</v>
      </c>
      <c r="Z110" s="739">
        <v>26.73</v>
      </c>
      <c r="AA110" s="739">
        <v>25.8</v>
      </c>
      <c r="AB110" s="739">
        <v>28.07</v>
      </c>
      <c r="AC110" s="1160">
        <f t="shared" si="33"/>
        <v>53.870000000000005</v>
      </c>
      <c r="AD110" s="1160">
        <f t="shared" si="34"/>
        <v>83.336889999999997</v>
      </c>
      <c r="AE110" s="1160">
        <f t="shared" si="35"/>
        <v>83.336889999999997</v>
      </c>
      <c r="AF110" s="542"/>
      <c r="AG110" s="1160">
        <f t="shared" si="31"/>
        <v>0</v>
      </c>
      <c r="AH110" s="656"/>
      <c r="AI110" s="351"/>
      <c r="AJ110" s="2"/>
      <c r="AK110" s="388"/>
      <c r="AL110" s="388"/>
      <c r="AM110" s="388"/>
      <c r="AN110" s="388"/>
      <c r="AO110" s="370"/>
      <c r="AP110" s="370"/>
      <c r="AQ110" s="386"/>
      <c r="AR110" s="551">
        <v>0</v>
      </c>
      <c r="AS110" s="386">
        <v>21.7</v>
      </c>
      <c r="AT110" s="386">
        <v>0</v>
      </c>
      <c r="AU110" s="386">
        <v>0</v>
      </c>
      <c r="AV110" s="636">
        <v>437.9</v>
      </c>
      <c r="AW110" s="636">
        <v>509.8</v>
      </c>
      <c r="AX110" s="386">
        <v>0</v>
      </c>
      <c r="AY110" s="551">
        <v>0</v>
      </c>
      <c r="AZ110" s="551">
        <v>0</v>
      </c>
      <c r="BA110" s="551">
        <v>0</v>
      </c>
      <c r="BB110" s="975">
        <v>0</v>
      </c>
      <c r="BC110" s="386">
        <v>0.51</v>
      </c>
      <c r="BD110" s="386">
        <v>1.49</v>
      </c>
      <c r="BE110" s="551">
        <v>0</v>
      </c>
      <c r="BF110" s="386">
        <v>0.99</v>
      </c>
      <c r="BG110" s="386">
        <v>0</v>
      </c>
      <c r="BH110" s="551">
        <v>0</v>
      </c>
      <c r="BI110" s="386">
        <v>1.01</v>
      </c>
      <c r="BJ110" s="386">
        <v>24.1</v>
      </c>
      <c r="BK110" s="386">
        <v>3.07</v>
      </c>
      <c r="BL110" s="386">
        <v>3.42</v>
      </c>
      <c r="BM110" s="386">
        <v>0</v>
      </c>
      <c r="BN110" s="386">
        <v>17.7</v>
      </c>
      <c r="BO110" s="386">
        <v>1101</v>
      </c>
      <c r="BP110" s="386">
        <v>2</v>
      </c>
      <c r="BQ110" s="615">
        <v>1.27</v>
      </c>
      <c r="BR110" s="615">
        <v>14.09</v>
      </c>
      <c r="BS110" s="615">
        <v>0</v>
      </c>
      <c r="BT110" s="615">
        <v>22.53</v>
      </c>
      <c r="BU110" s="614">
        <v>25.1</v>
      </c>
      <c r="BV110" s="614">
        <v>29.6</v>
      </c>
      <c r="BW110" s="615">
        <v>762.8</v>
      </c>
      <c r="BX110" s="791"/>
      <c r="BY110" s="615">
        <v>0</v>
      </c>
      <c r="BZ110" s="615">
        <v>1.17</v>
      </c>
      <c r="CA110" s="615">
        <v>1.2</v>
      </c>
      <c r="CB110" s="615">
        <v>8.4</v>
      </c>
      <c r="CC110" s="615">
        <v>8.3000000000000007</v>
      </c>
      <c r="CD110" s="615">
        <v>15.2</v>
      </c>
      <c r="CE110" s="615">
        <v>34.1</v>
      </c>
      <c r="CF110" s="615">
        <v>12.4</v>
      </c>
      <c r="CG110" s="615">
        <v>8.1999999999999993</v>
      </c>
      <c r="CH110" s="615">
        <v>14</v>
      </c>
      <c r="CI110" s="615">
        <v>17.899999999999999</v>
      </c>
      <c r="CJ110" s="615">
        <v>13.04</v>
      </c>
      <c r="CK110" s="615">
        <v>538.9</v>
      </c>
      <c r="CL110" s="615">
        <v>1.9</v>
      </c>
      <c r="CM110" s="615">
        <v>1.2</v>
      </c>
      <c r="CN110" s="615">
        <v>342.2</v>
      </c>
      <c r="CO110" s="615">
        <v>574</v>
      </c>
      <c r="CP110" s="615">
        <v>469</v>
      </c>
      <c r="CQ110" s="615">
        <v>13.1</v>
      </c>
      <c r="CR110" s="615">
        <v>0.78</v>
      </c>
      <c r="CS110" s="386">
        <v>0</v>
      </c>
      <c r="CT110" s="386">
        <v>15.691000000000001</v>
      </c>
      <c r="CU110" s="386">
        <v>46</v>
      </c>
      <c r="CV110" s="499">
        <v>0</v>
      </c>
      <c r="CW110" s="499">
        <v>0</v>
      </c>
      <c r="CX110" s="499">
        <v>0</v>
      </c>
      <c r="CY110" s="499">
        <v>0</v>
      </c>
      <c r="CZ110" s="643">
        <v>1440</v>
      </c>
      <c r="DA110" s="643">
        <v>1920</v>
      </c>
      <c r="DB110" s="782">
        <v>1360</v>
      </c>
      <c r="DC110" s="609">
        <v>1145.51</v>
      </c>
      <c r="DD110" s="1153">
        <f t="shared" si="36"/>
        <v>0.15000000000009095</v>
      </c>
      <c r="DE110" s="1154">
        <f t="shared" si="37"/>
        <v>0</v>
      </c>
      <c r="DF110" s="1154">
        <f t="shared" si="38"/>
        <v>1250</v>
      </c>
      <c r="DG110" s="1154">
        <f t="shared" si="39"/>
        <v>1670</v>
      </c>
      <c r="DH110" s="1155" t="str">
        <f t="shared" si="40"/>
        <v>Palm</v>
      </c>
      <c r="DI110" s="1146">
        <f t="shared" si="41"/>
        <v>560</v>
      </c>
      <c r="DJ110" s="1146">
        <f t="shared" si="42"/>
        <v>0</v>
      </c>
      <c r="DK110" s="1154">
        <f t="shared" si="43"/>
        <v>0</v>
      </c>
      <c r="DL110" s="615"/>
      <c r="DM110" s="643"/>
      <c r="DN110" s="615"/>
      <c r="DO110" s="499"/>
      <c r="DP110" s="499"/>
      <c r="DQ110" s="499"/>
      <c r="DR110" s="499"/>
      <c r="DS110" s="499"/>
      <c r="DT110" s="499"/>
      <c r="DU110" s="499"/>
      <c r="DV110" s="499"/>
      <c r="DW110" s="499"/>
      <c r="DX110" s="1131">
        <f>(VLOOKUP(BQ109,Lookup!$O$4:$Q$262,2)-VLOOKUP(Sheet1!BQ110,Lookup!$O$4:$Q$262,2))/1000000</f>
        <v>4.4961121574309031</v>
      </c>
      <c r="DY110" s="630" t="s">
        <v>902</v>
      </c>
      <c r="DZ110" s="499"/>
      <c r="EA110" s="499"/>
      <c r="EB110" s="499"/>
      <c r="EC110" s="499"/>
      <c r="ED110" s="499"/>
      <c r="EE110" s="499"/>
      <c r="EF110" s="499"/>
      <c r="EG110" s="1146">
        <f t="shared" si="44"/>
        <v>10.5</v>
      </c>
      <c r="EH110" s="630">
        <v>0</v>
      </c>
      <c r="EI110" s="642">
        <v>1</v>
      </c>
      <c r="EJ110" s="642">
        <v>3</v>
      </c>
      <c r="EK110" s="642">
        <v>6.5</v>
      </c>
      <c r="EL110" s="499"/>
      <c r="EM110" s="499"/>
      <c r="EN110" s="499"/>
      <c r="EO110" s="499"/>
      <c r="EP110" s="499"/>
      <c r="EQ110" s="499"/>
      <c r="ER110" s="499"/>
      <c r="ES110" s="388"/>
      <c r="ET110" s="388"/>
      <c r="EV110" s="1167">
        <f t="shared" si="32"/>
        <v>16.243500000000001</v>
      </c>
    </row>
    <row r="111" spans="1:152" s="350" customFormat="1" ht="15" x14ac:dyDescent="0.25">
      <c r="A111" s="632" t="s">
        <v>6</v>
      </c>
      <c r="B111" s="662">
        <v>42837</v>
      </c>
      <c r="C111" s="1132" t="s">
        <v>904</v>
      </c>
      <c r="D111" s="386">
        <v>0.63</v>
      </c>
      <c r="E111" s="636">
        <v>0</v>
      </c>
      <c r="F111" s="636">
        <v>43</v>
      </c>
      <c r="G111" s="739">
        <v>1.6</v>
      </c>
      <c r="H111" s="609">
        <v>2.2000000000000002</v>
      </c>
      <c r="I111" s="609">
        <v>13</v>
      </c>
      <c r="J111" s="636">
        <v>0</v>
      </c>
      <c r="K111" s="609">
        <v>2.02</v>
      </c>
      <c r="L111" s="741">
        <v>0</v>
      </c>
      <c r="M111" s="609">
        <v>24.6</v>
      </c>
      <c r="N111" s="609">
        <v>1.27</v>
      </c>
      <c r="O111" s="609">
        <v>1.1374904911976174</v>
      </c>
      <c r="P111" s="609">
        <v>1.29</v>
      </c>
      <c r="Q111" s="609">
        <v>0.47103544808036651</v>
      </c>
      <c r="R111" s="877">
        <v>760.72194767441863</v>
      </c>
      <c r="S111" s="739">
        <v>8.0500000000000007</v>
      </c>
      <c r="T111" s="609">
        <v>8.2100000000000009</v>
      </c>
      <c r="U111" s="609">
        <v>0.83</v>
      </c>
      <c r="V111" s="739">
        <v>0.77</v>
      </c>
      <c r="W111" s="739">
        <v>45.14</v>
      </c>
      <c r="X111" s="650">
        <v>45.14</v>
      </c>
      <c r="Y111" s="738">
        <v>25.8</v>
      </c>
      <c r="Z111" s="739">
        <v>28.07</v>
      </c>
      <c r="AA111" s="739">
        <v>25.77</v>
      </c>
      <c r="AB111" s="739">
        <v>30.95</v>
      </c>
      <c r="AC111" s="1160">
        <f t="shared" si="33"/>
        <v>56.72</v>
      </c>
      <c r="AD111" s="1160">
        <f t="shared" si="34"/>
        <v>87.745840000000001</v>
      </c>
      <c r="AE111" s="1160">
        <f t="shared" si="35"/>
        <v>87.745840000000001</v>
      </c>
      <c r="AF111" s="542"/>
      <c r="AG111" s="1160">
        <f t="shared" si="31"/>
        <v>0</v>
      </c>
      <c r="AH111" s="656"/>
      <c r="AI111" s="351"/>
      <c r="AJ111" s="2"/>
      <c r="AK111" s="388"/>
      <c r="AL111" s="388"/>
      <c r="AM111" s="388"/>
      <c r="AN111" s="388"/>
      <c r="AO111" s="370"/>
      <c r="AP111" s="370"/>
      <c r="AQ111" s="386"/>
      <c r="AR111" s="551">
        <v>0</v>
      </c>
      <c r="AS111" s="386">
        <v>0</v>
      </c>
      <c r="AT111" s="386">
        <v>0</v>
      </c>
      <c r="AU111" s="386">
        <v>0</v>
      </c>
      <c r="AV111" s="636">
        <v>333</v>
      </c>
      <c r="AW111" s="636">
        <v>403</v>
      </c>
      <c r="AX111" s="386">
        <v>0</v>
      </c>
      <c r="AY111" s="551">
        <v>0</v>
      </c>
      <c r="AZ111" s="551">
        <v>0</v>
      </c>
      <c r="BA111" s="551">
        <v>0</v>
      </c>
      <c r="BB111" s="975">
        <v>0</v>
      </c>
      <c r="BC111" s="386">
        <v>0.51</v>
      </c>
      <c r="BD111" s="386">
        <v>1.5</v>
      </c>
      <c r="BE111" s="551">
        <v>0</v>
      </c>
      <c r="BF111" s="386">
        <v>0.99</v>
      </c>
      <c r="BG111" s="386">
        <v>0</v>
      </c>
      <c r="BH111" s="551">
        <v>0</v>
      </c>
      <c r="BI111" s="386">
        <v>1.01</v>
      </c>
      <c r="BJ111" s="386">
        <v>26.9</v>
      </c>
      <c r="BK111" s="386">
        <v>3.27</v>
      </c>
      <c r="BL111" s="386">
        <v>3.22</v>
      </c>
      <c r="BM111" s="386">
        <v>0</v>
      </c>
      <c r="BN111" s="386">
        <v>20.5</v>
      </c>
      <c r="BO111" s="386">
        <v>972.1</v>
      </c>
      <c r="BP111" s="386">
        <v>2</v>
      </c>
      <c r="BQ111" s="615">
        <v>0</v>
      </c>
      <c r="BR111" s="615">
        <v>15.4</v>
      </c>
      <c r="BS111" s="615">
        <v>0</v>
      </c>
      <c r="BT111" s="615">
        <v>22.72</v>
      </c>
      <c r="BU111" s="614">
        <v>25.2</v>
      </c>
      <c r="BV111" s="614">
        <v>26.5</v>
      </c>
      <c r="BW111" s="615">
        <v>761</v>
      </c>
      <c r="BX111" s="791"/>
      <c r="BY111" s="615">
        <v>0</v>
      </c>
      <c r="BZ111" s="615">
        <v>1.1499999999999999</v>
      </c>
      <c r="CA111" s="615">
        <v>1.2</v>
      </c>
      <c r="CB111" s="615">
        <v>8.3000000000000007</v>
      </c>
      <c r="CC111" s="615">
        <v>8.3000000000000007</v>
      </c>
      <c r="CD111" s="615">
        <v>15.4</v>
      </c>
      <c r="CE111" s="615">
        <v>33.9</v>
      </c>
      <c r="CF111" s="615">
        <v>14.9</v>
      </c>
      <c r="CG111" s="615">
        <v>8.1</v>
      </c>
      <c r="CH111" s="615">
        <v>13.8</v>
      </c>
      <c r="CI111" s="615">
        <v>17.8</v>
      </c>
      <c r="CJ111" s="615">
        <v>13.02</v>
      </c>
      <c r="CK111" s="615">
        <v>535.9</v>
      </c>
      <c r="CL111" s="615">
        <v>1.8</v>
      </c>
      <c r="CM111" s="615">
        <v>0.9</v>
      </c>
      <c r="CN111" s="615">
        <v>292.5</v>
      </c>
      <c r="CO111" s="615">
        <v>542.6</v>
      </c>
      <c r="CP111" s="615">
        <v>425.3</v>
      </c>
      <c r="CQ111" s="615">
        <v>13.4</v>
      </c>
      <c r="CR111" s="615">
        <v>0.8</v>
      </c>
      <c r="CS111" s="386">
        <v>0</v>
      </c>
      <c r="CT111" s="386">
        <v>15.653</v>
      </c>
      <c r="CU111" s="386">
        <v>46</v>
      </c>
      <c r="CV111" s="499">
        <v>0</v>
      </c>
      <c r="CW111" s="499">
        <v>0</v>
      </c>
      <c r="CX111" s="499">
        <v>0</v>
      </c>
      <c r="CY111" s="499">
        <v>0</v>
      </c>
      <c r="CZ111" s="643">
        <v>1450</v>
      </c>
      <c r="DA111" s="643">
        <v>1960</v>
      </c>
      <c r="DB111" s="782">
        <v>1370</v>
      </c>
      <c r="DC111" s="609">
        <v>1145.8599999999999</v>
      </c>
      <c r="DD111" s="1153">
        <f t="shared" si="36"/>
        <v>0.34999999999990905</v>
      </c>
      <c r="DE111" s="1154">
        <f t="shared" si="37"/>
        <v>0</v>
      </c>
      <c r="DF111" s="1154">
        <f t="shared" si="38"/>
        <v>1260</v>
      </c>
      <c r="DG111" s="1154">
        <f t="shared" si="39"/>
        <v>1710</v>
      </c>
      <c r="DH111" s="1155" t="str">
        <f t="shared" si="40"/>
        <v>Palm</v>
      </c>
      <c r="DI111" s="1146">
        <f t="shared" si="41"/>
        <v>590</v>
      </c>
      <c r="DJ111" s="1146">
        <f t="shared" si="42"/>
        <v>0</v>
      </c>
      <c r="DK111" s="1154">
        <f t="shared" si="43"/>
        <v>0</v>
      </c>
      <c r="DL111" s="615"/>
      <c r="DM111" s="643"/>
      <c r="DN111" s="615"/>
      <c r="DO111" s="499"/>
      <c r="DP111" s="499"/>
      <c r="DQ111" s="499"/>
      <c r="DR111" s="499"/>
      <c r="DS111" s="499"/>
      <c r="DT111" s="499"/>
      <c r="DU111" s="499"/>
      <c r="DV111" s="499"/>
      <c r="DW111" s="499"/>
      <c r="DX111" s="1131">
        <f>(VLOOKUP(BQ110,Lookup!$O$4:$Q$262,2)-VLOOKUP(Sheet1!BQ111,Lookup!$O$4:$Q$262,2))/1000000</f>
        <v>0.44524345798896375</v>
      </c>
      <c r="DY111" s="630" t="s">
        <v>902</v>
      </c>
      <c r="DZ111" s="499"/>
      <c r="EA111" s="499"/>
      <c r="EB111" s="499"/>
      <c r="EC111" s="499"/>
      <c r="ED111" s="499"/>
      <c r="EE111" s="499"/>
      <c r="EF111" s="499"/>
      <c r="EG111" s="1146">
        <f t="shared" si="44"/>
        <v>10.5</v>
      </c>
      <c r="EH111" s="630">
        <v>0</v>
      </c>
      <c r="EI111" s="642">
        <v>1</v>
      </c>
      <c r="EJ111" s="642">
        <v>3</v>
      </c>
      <c r="EK111" s="642">
        <v>6.5</v>
      </c>
      <c r="EL111" s="499"/>
      <c r="EM111" s="499"/>
      <c r="EN111" s="499"/>
      <c r="EO111" s="499"/>
      <c r="EP111" s="499"/>
      <c r="EQ111" s="499"/>
      <c r="ER111" s="499"/>
      <c r="ES111" s="388"/>
      <c r="ET111" s="388"/>
      <c r="EV111" s="1167">
        <f t="shared" si="32"/>
        <v>16.243500000000001</v>
      </c>
    </row>
    <row r="112" spans="1:152" s="350" customFormat="1" ht="15" x14ac:dyDescent="0.25">
      <c r="A112" s="632" t="s">
        <v>7</v>
      </c>
      <c r="B112" s="662">
        <v>42838</v>
      </c>
      <c r="C112" s="1132" t="s">
        <v>904</v>
      </c>
      <c r="D112" s="386">
        <v>0.66</v>
      </c>
      <c r="E112" s="636">
        <v>0</v>
      </c>
      <c r="F112" s="636">
        <v>40</v>
      </c>
      <c r="G112" s="739">
        <v>1.6</v>
      </c>
      <c r="H112" s="609">
        <v>1.98</v>
      </c>
      <c r="I112" s="609">
        <v>14.3</v>
      </c>
      <c r="J112" s="636">
        <v>0</v>
      </c>
      <c r="K112" s="609">
        <v>1.7</v>
      </c>
      <c r="L112" s="741">
        <v>0</v>
      </c>
      <c r="M112" s="609">
        <v>24.5</v>
      </c>
      <c r="N112" s="609">
        <v>1.29</v>
      </c>
      <c r="O112" s="609">
        <v>1.5239443084455326</v>
      </c>
      <c r="P112" s="609">
        <v>1.3</v>
      </c>
      <c r="Q112" s="609">
        <v>0.80634317795831489</v>
      </c>
      <c r="R112" s="877">
        <v>754.38815406976744</v>
      </c>
      <c r="S112" s="609">
        <v>8.09</v>
      </c>
      <c r="T112" s="609">
        <v>8.18</v>
      </c>
      <c r="U112" s="609">
        <v>0.84</v>
      </c>
      <c r="V112" s="739">
        <v>0.8</v>
      </c>
      <c r="W112" s="739">
        <v>44.78</v>
      </c>
      <c r="X112" s="650">
        <v>44.960000000000008</v>
      </c>
      <c r="Y112" s="738">
        <v>25.77</v>
      </c>
      <c r="Z112" s="739">
        <v>30.95</v>
      </c>
      <c r="AA112" s="739">
        <v>25.73</v>
      </c>
      <c r="AB112" s="739">
        <v>31.34</v>
      </c>
      <c r="AC112" s="1160">
        <f t="shared" si="33"/>
        <v>57.07</v>
      </c>
      <c r="AD112" s="1160">
        <f t="shared" si="34"/>
        <v>88.287289999999999</v>
      </c>
      <c r="AE112" s="1160">
        <f t="shared" si="35"/>
        <v>88.287289999999999</v>
      </c>
      <c r="AF112" s="542"/>
      <c r="AG112" s="1160">
        <f t="shared" si="31"/>
        <v>0</v>
      </c>
      <c r="AH112" s="656"/>
      <c r="AI112" s="351"/>
      <c r="AJ112" s="2"/>
      <c r="AK112" s="388"/>
      <c r="AL112" s="388"/>
      <c r="AM112" s="388"/>
      <c r="AN112" s="388"/>
      <c r="AO112" s="370"/>
      <c r="AP112" s="370"/>
      <c r="AQ112" s="386"/>
      <c r="AR112" s="551">
        <v>0</v>
      </c>
      <c r="AS112" s="386">
        <v>19.8</v>
      </c>
      <c r="AT112" s="386">
        <v>0</v>
      </c>
      <c r="AU112" s="386">
        <v>0</v>
      </c>
      <c r="AV112" s="636">
        <v>397.9</v>
      </c>
      <c r="AW112" s="636">
        <v>481.8</v>
      </c>
      <c r="AX112" s="386">
        <v>0</v>
      </c>
      <c r="AY112" s="551">
        <v>0</v>
      </c>
      <c r="AZ112" s="551">
        <v>0</v>
      </c>
      <c r="BA112" s="551">
        <v>0</v>
      </c>
      <c r="BB112" s="975">
        <v>0</v>
      </c>
      <c r="BC112" s="386">
        <v>0.51</v>
      </c>
      <c r="BD112" s="386">
        <v>1.5</v>
      </c>
      <c r="BE112" s="551">
        <v>0</v>
      </c>
      <c r="BF112" s="386">
        <v>1</v>
      </c>
      <c r="BG112" s="386">
        <v>0</v>
      </c>
      <c r="BH112" s="551">
        <v>0</v>
      </c>
      <c r="BI112" s="386">
        <v>1.01</v>
      </c>
      <c r="BJ112" s="386">
        <v>27.3</v>
      </c>
      <c r="BK112" s="386">
        <v>3.02</v>
      </c>
      <c r="BL112" s="386">
        <v>3.59</v>
      </c>
      <c r="BM112" s="386">
        <v>0</v>
      </c>
      <c r="BN112" s="386">
        <v>20.7</v>
      </c>
      <c r="BO112" s="386">
        <v>1023.3</v>
      </c>
      <c r="BP112" s="386">
        <v>2</v>
      </c>
      <c r="BQ112" s="615">
        <v>0</v>
      </c>
      <c r="BR112" s="615">
        <v>18.329999999999998</v>
      </c>
      <c r="BS112" s="615">
        <v>0</v>
      </c>
      <c r="BT112" s="615">
        <v>22.81</v>
      </c>
      <c r="BU112" s="614">
        <v>24.8</v>
      </c>
      <c r="BV112" s="614">
        <v>24</v>
      </c>
      <c r="BW112" s="615">
        <v>765.2</v>
      </c>
      <c r="BX112" s="791"/>
      <c r="BY112" s="615">
        <v>0</v>
      </c>
      <c r="BZ112" s="615">
        <v>1</v>
      </c>
      <c r="CA112" s="615">
        <v>1.1599999999999999</v>
      </c>
      <c r="CB112" s="615">
        <v>1.2</v>
      </c>
      <c r="CC112" s="615">
        <v>8.3000000000000007</v>
      </c>
      <c r="CD112" s="499">
        <v>15.2</v>
      </c>
      <c r="CE112" s="499">
        <v>34.1</v>
      </c>
      <c r="CF112" s="615">
        <v>13.4</v>
      </c>
      <c r="CG112" s="499">
        <v>8.1999999999999993</v>
      </c>
      <c r="CH112" s="499">
        <v>13.9</v>
      </c>
      <c r="CI112" s="499">
        <v>18</v>
      </c>
      <c r="CJ112" s="499">
        <v>12.72</v>
      </c>
      <c r="CK112" s="499">
        <v>512.20000000000005</v>
      </c>
      <c r="CL112" s="615">
        <v>1.8</v>
      </c>
      <c r="CM112" s="615">
        <v>1.4</v>
      </c>
      <c r="CN112" s="615">
        <v>273.5</v>
      </c>
      <c r="CO112" s="499">
        <v>542.20000000000005</v>
      </c>
      <c r="CP112" s="499">
        <v>485.1</v>
      </c>
      <c r="CQ112" s="499">
        <v>12.8</v>
      </c>
      <c r="CR112" s="615">
        <v>0.77</v>
      </c>
      <c r="CS112" s="386">
        <v>0</v>
      </c>
      <c r="CT112" s="386">
        <v>15.438000000000001</v>
      </c>
      <c r="CU112" s="386">
        <v>46</v>
      </c>
      <c r="CV112" s="499">
        <v>0</v>
      </c>
      <c r="CW112" s="499">
        <v>0</v>
      </c>
      <c r="CX112" s="499">
        <v>0</v>
      </c>
      <c r="CY112" s="499">
        <v>0</v>
      </c>
      <c r="CZ112" s="643">
        <v>1450</v>
      </c>
      <c r="DA112" s="643">
        <v>2040</v>
      </c>
      <c r="DB112" s="782">
        <v>1390</v>
      </c>
      <c r="DC112" s="609">
        <v>1146.79</v>
      </c>
      <c r="DD112" s="1153">
        <f t="shared" si="36"/>
        <v>0.93000000000006366</v>
      </c>
      <c r="DE112" s="1154">
        <f t="shared" si="37"/>
        <v>0</v>
      </c>
      <c r="DF112" s="1154">
        <f t="shared" si="38"/>
        <v>1280</v>
      </c>
      <c r="DG112" s="1154">
        <f t="shared" si="39"/>
        <v>1790</v>
      </c>
      <c r="DH112" s="1155" t="str">
        <f t="shared" si="40"/>
        <v>Palm</v>
      </c>
      <c r="DI112" s="1146">
        <f t="shared" si="41"/>
        <v>650</v>
      </c>
      <c r="DJ112" s="1146">
        <f t="shared" si="42"/>
        <v>0</v>
      </c>
      <c r="DK112" s="1154">
        <f t="shared" si="43"/>
        <v>0</v>
      </c>
      <c r="DL112" s="615"/>
      <c r="DM112" s="643"/>
      <c r="DN112" s="615"/>
      <c r="DO112" s="499"/>
      <c r="DP112" s="499"/>
      <c r="DQ112" s="499"/>
      <c r="DR112" s="499"/>
      <c r="DS112" s="499"/>
      <c r="DT112" s="499"/>
      <c r="DU112" s="499"/>
      <c r="DV112" s="499"/>
      <c r="DW112" s="499"/>
      <c r="DX112" s="499"/>
      <c r="DY112" s="499"/>
      <c r="DZ112" s="499"/>
      <c r="EA112" s="499"/>
      <c r="EB112" s="499"/>
      <c r="EC112" s="499"/>
      <c r="ED112" s="499"/>
      <c r="EE112" s="499"/>
      <c r="EF112" s="499"/>
      <c r="EG112" s="1146">
        <f t="shared" si="44"/>
        <v>10.5</v>
      </c>
      <c r="EH112" s="630">
        <v>0</v>
      </c>
      <c r="EI112" s="642">
        <v>1</v>
      </c>
      <c r="EJ112" s="642">
        <v>3</v>
      </c>
      <c r="EK112" s="642">
        <v>6.5</v>
      </c>
      <c r="EL112" s="499"/>
      <c r="EM112" s="499"/>
      <c r="EN112" s="499"/>
      <c r="EO112" s="499"/>
      <c r="EP112" s="499"/>
      <c r="EQ112" s="499"/>
      <c r="ER112" s="499"/>
      <c r="ES112" s="388"/>
      <c r="ET112" s="388"/>
      <c r="EV112" s="1167">
        <f t="shared" si="32"/>
        <v>16.243500000000001</v>
      </c>
    </row>
    <row r="113" spans="1:152" s="350" customFormat="1" ht="15" x14ac:dyDescent="0.25">
      <c r="A113" s="632" t="s">
        <v>8</v>
      </c>
      <c r="B113" s="662">
        <v>42839</v>
      </c>
      <c r="C113" s="1132" t="s">
        <v>904</v>
      </c>
      <c r="D113" s="386">
        <v>0.36</v>
      </c>
      <c r="E113" s="636">
        <v>0</v>
      </c>
      <c r="F113" s="636">
        <v>39</v>
      </c>
      <c r="G113" s="739">
        <v>1.5</v>
      </c>
      <c r="H113" s="609">
        <v>1.84</v>
      </c>
      <c r="I113" s="609">
        <v>12</v>
      </c>
      <c r="J113" s="636">
        <v>0</v>
      </c>
      <c r="K113" s="609">
        <v>1.57</v>
      </c>
      <c r="L113" s="741">
        <v>0</v>
      </c>
      <c r="M113" s="609">
        <v>24.4</v>
      </c>
      <c r="N113" s="609">
        <v>1.2470000000000001</v>
      </c>
      <c r="O113" s="609">
        <v>1.2971978473245653</v>
      </c>
      <c r="P113" s="609">
        <v>1.2929999999999999</v>
      </c>
      <c r="Q113" s="609">
        <v>0.58955616127423849</v>
      </c>
      <c r="R113" s="877">
        <v>721.71911337209315</v>
      </c>
      <c r="S113" s="609">
        <v>8.2200000000000006</v>
      </c>
      <c r="T113" s="609">
        <v>8.26</v>
      </c>
      <c r="U113" s="609">
        <v>0.84</v>
      </c>
      <c r="V113" s="739">
        <v>0.8</v>
      </c>
      <c r="W113" s="739">
        <v>44.600000000000009</v>
      </c>
      <c r="X113" s="650">
        <v>44.600000000000009</v>
      </c>
      <c r="Y113" s="738">
        <v>25.73</v>
      </c>
      <c r="Z113" s="739">
        <v>31.34</v>
      </c>
      <c r="AA113" s="739">
        <v>25.7</v>
      </c>
      <c r="AB113" s="739">
        <v>29.04</v>
      </c>
      <c r="AC113" s="1160">
        <f t="shared" si="33"/>
        <v>54.739999999999995</v>
      </c>
      <c r="AD113" s="1160">
        <f t="shared" si="34"/>
        <v>84.682779999999994</v>
      </c>
      <c r="AE113" s="1160">
        <f t="shared" si="35"/>
        <v>84.682779999999994</v>
      </c>
      <c r="AF113" s="542"/>
      <c r="AG113" s="1160">
        <f t="shared" si="31"/>
        <v>0</v>
      </c>
      <c r="AH113" s="656"/>
      <c r="AI113" s="351"/>
      <c r="AJ113" s="2"/>
      <c r="AK113" s="388"/>
      <c r="AL113" s="388"/>
      <c r="AM113" s="388"/>
      <c r="AN113" s="388"/>
      <c r="AO113" s="370"/>
      <c r="AP113" s="370"/>
      <c r="AQ113" s="386"/>
      <c r="AR113" s="551">
        <v>0</v>
      </c>
      <c r="AS113" s="386">
        <v>10.9</v>
      </c>
      <c r="AT113" s="386">
        <v>0</v>
      </c>
      <c r="AU113" s="386">
        <v>0</v>
      </c>
      <c r="AV113" s="636">
        <v>376.9</v>
      </c>
      <c r="AW113" s="636">
        <v>440.7</v>
      </c>
      <c r="AX113" s="386">
        <v>0</v>
      </c>
      <c r="AY113" s="551">
        <v>0</v>
      </c>
      <c r="AZ113" s="551">
        <v>0</v>
      </c>
      <c r="BA113" s="551">
        <v>0</v>
      </c>
      <c r="BB113" s="975">
        <v>0</v>
      </c>
      <c r="BC113" s="386">
        <v>0.47</v>
      </c>
      <c r="BD113" s="386">
        <v>1.57</v>
      </c>
      <c r="BE113" s="551">
        <v>0</v>
      </c>
      <c r="BF113" s="386">
        <v>1</v>
      </c>
      <c r="BG113" s="386">
        <v>0</v>
      </c>
      <c r="BH113" s="551">
        <v>0</v>
      </c>
      <c r="BI113" s="386">
        <v>1.01</v>
      </c>
      <c r="BJ113" s="386">
        <v>25.1</v>
      </c>
      <c r="BK113" s="386">
        <v>2.83</v>
      </c>
      <c r="BL113" s="386">
        <v>3.68</v>
      </c>
      <c r="BM113" s="386">
        <v>0</v>
      </c>
      <c r="BN113" s="386">
        <v>18.600000000000001</v>
      </c>
      <c r="BO113" s="386">
        <v>1076.5</v>
      </c>
      <c r="BP113" s="386">
        <v>2</v>
      </c>
      <c r="BQ113" s="615">
        <v>0</v>
      </c>
      <c r="BR113" s="615">
        <v>19.89</v>
      </c>
      <c r="BS113" s="615">
        <v>0</v>
      </c>
      <c r="BT113" s="615">
        <v>22.75</v>
      </c>
      <c r="BU113" s="614">
        <v>24.6</v>
      </c>
      <c r="BV113" s="614">
        <v>26</v>
      </c>
      <c r="BW113" s="615">
        <v>545.6</v>
      </c>
      <c r="BX113" s="791"/>
      <c r="BY113" s="615">
        <v>0</v>
      </c>
      <c r="BZ113" s="615">
        <v>1.1499999999999999</v>
      </c>
      <c r="CA113" s="615">
        <v>1.2</v>
      </c>
      <c r="CB113" s="615">
        <v>8.3000000000000007</v>
      </c>
      <c r="CC113" s="615">
        <v>8.4</v>
      </c>
      <c r="CD113" s="499">
        <v>15.2</v>
      </c>
      <c r="CE113" s="499">
        <v>34.1</v>
      </c>
      <c r="CF113" s="615">
        <v>12.3</v>
      </c>
      <c r="CG113" s="499">
        <v>8.3000000000000007</v>
      </c>
      <c r="CH113" s="499">
        <v>14</v>
      </c>
      <c r="CI113" s="499">
        <v>18.3</v>
      </c>
      <c r="CJ113" s="499">
        <v>12.7</v>
      </c>
      <c r="CK113" s="499">
        <v>511.8</v>
      </c>
      <c r="CL113" s="615">
        <v>1.7</v>
      </c>
      <c r="CM113" s="615">
        <v>1.2</v>
      </c>
      <c r="CN113" s="615">
        <v>278.3</v>
      </c>
      <c r="CO113" s="499">
        <v>447.2</v>
      </c>
      <c r="CP113" s="499">
        <v>474.9</v>
      </c>
      <c r="CQ113" s="499">
        <v>12.6</v>
      </c>
      <c r="CR113" s="499">
        <v>0.75</v>
      </c>
      <c r="CS113" s="386">
        <v>0</v>
      </c>
      <c r="CT113" s="386">
        <v>15.143000000000001</v>
      </c>
      <c r="CU113" s="386">
        <v>46</v>
      </c>
      <c r="CV113" s="499">
        <v>0</v>
      </c>
      <c r="CW113" s="499">
        <v>0</v>
      </c>
      <c r="CX113" s="499">
        <v>0</v>
      </c>
      <c r="CY113" s="499">
        <v>0</v>
      </c>
      <c r="CZ113" s="643">
        <v>1220</v>
      </c>
      <c r="DA113" s="643">
        <v>1950</v>
      </c>
      <c r="DB113" s="782">
        <v>1160</v>
      </c>
      <c r="DC113" s="609">
        <v>1147.76</v>
      </c>
      <c r="DD113" s="1153">
        <f t="shared" si="36"/>
        <v>0.97000000000002728</v>
      </c>
      <c r="DE113" s="1154">
        <f t="shared" si="37"/>
        <v>0</v>
      </c>
      <c r="DF113" s="1154">
        <f t="shared" si="38"/>
        <v>1050</v>
      </c>
      <c r="DG113" s="1154">
        <f t="shared" si="39"/>
        <v>1700</v>
      </c>
      <c r="DH113" s="1155" t="str">
        <f t="shared" si="40"/>
        <v>Palm</v>
      </c>
      <c r="DI113" s="1146">
        <f t="shared" si="41"/>
        <v>790</v>
      </c>
      <c r="DJ113" s="1146">
        <f t="shared" si="42"/>
        <v>0</v>
      </c>
      <c r="DK113" s="1154">
        <f t="shared" si="43"/>
        <v>0</v>
      </c>
      <c r="DL113" s="615"/>
      <c r="DM113" s="643"/>
      <c r="DN113" s="615"/>
      <c r="DO113" s="499"/>
      <c r="DP113" s="499"/>
      <c r="DQ113" s="499"/>
      <c r="DR113" s="499"/>
      <c r="DS113" s="499"/>
      <c r="DT113" s="499"/>
      <c r="DU113" s="499"/>
      <c r="DV113" s="499"/>
      <c r="DW113" s="499"/>
      <c r="DX113" s="499"/>
      <c r="DY113" s="499"/>
      <c r="DZ113" s="499"/>
      <c r="EA113" s="499"/>
      <c r="EB113" s="499"/>
      <c r="EC113" s="499"/>
      <c r="ED113" s="499"/>
      <c r="EE113" s="499"/>
      <c r="EF113" s="499"/>
      <c r="EG113" s="1146">
        <f t="shared" ref="EG113:EG119" si="45">(SUM(EH113:EK113))</f>
        <v>10.5</v>
      </c>
      <c r="EH113" s="630">
        <v>0</v>
      </c>
      <c r="EI113" s="642">
        <v>1</v>
      </c>
      <c r="EJ113" s="642">
        <v>3</v>
      </c>
      <c r="EK113" s="642">
        <v>6.5</v>
      </c>
      <c r="EL113" s="499"/>
      <c r="EM113" s="499"/>
      <c r="EN113" s="499"/>
      <c r="EO113" s="499"/>
      <c r="EP113" s="499"/>
      <c r="EQ113" s="499"/>
      <c r="ER113" s="499"/>
      <c r="ES113" s="388"/>
      <c r="ET113" s="388"/>
      <c r="EV113" s="1167">
        <f t="shared" si="32"/>
        <v>16.243500000000001</v>
      </c>
    </row>
    <row r="114" spans="1:152" s="350" customFormat="1" ht="15" x14ac:dyDescent="0.25">
      <c r="A114" s="632" t="s">
        <v>9</v>
      </c>
      <c r="B114" s="662">
        <v>42840</v>
      </c>
      <c r="C114" s="1132" t="s">
        <v>904</v>
      </c>
      <c r="D114" s="386">
        <v>0</v>
      </c>
      <c r="E114" s="636">
        <v>0</v>
      </c>
      <c r="F114" s="636">
        <v>39</v>
      </c>
      <c r="G114" s="739">
        <v>1.5</v>
      </c>
      <c r="H114" s="609">
        <v>1.98</v>
      </c>
      <c r="I114" s="609">
        <v>13.7</v>
      </c>
      <c r="J114" s="636">
        <v>0</v>
      </c>
      <c r="K114" s="609">
        <v>1.61</v>
      </c>
      <c r="L114" s="741">
        <v>0</v>
      </c>
      <c r="M114" s="609">
        <v>24.2</v>
      </c>
      <c r="N114" s="609">
        <v>1.234</v>
      </c>
      <c r="O114" s="609">
        <v>1.3020833333329027</v>
      </c>
      <c r="P114" s="609">
        <v>1.252</v>
      </c>
      <c r="Q114" s="609">
        <v>0.59357191757687744</v>
      </c>
      <c r="R114" s="877">
        <v>709.05152616279088</v>
      </c>
      <c r="S114" s="609">
        <v>8.1999999999999993</v>
      </c>
      <c r="T114" s="609">
        <v>8.3000000000000007</v>
      </c>
      <c r="U114" s="609">
        <v>0.82799999999999996</v>
      </c>
      <c r="V114" s="739">
        <v>0.79</v>
      </c>
      <c r="W114" s="739">
        <v>44.600000000000009</v>
      </c>
      <c r="X114" s="650">
        <v>44.78</v>
      </c>
      <c r="Y114" s="738">
        <v>25.7</v>
      </c>
      <c r="Z114" s="739">
        <v>29.04</v>
      </c>
      <c r="AA114" s="739">
        <v>25.7</v>
      </c>
      <c r="AB114" s="739">
        <v>27.97</v>
      </c>
      <c r="AC114" s="1160">
        <f t="shared" si="33"/>
        <v>53.67</v>
      </c>
      <c r="AD114" s="1160">
        <f t="shared" si="34"/>
        <v>83.02749</v>
      </c>
      <c r="AE114" s="1160">
        <f t="shared" si="35"/>
        <v>83.02749</v>
      </c>
      <c r="AF114" s="542"/>
      <c r="AG114" s="1160">
        <f t="shared" si="31"/>
        <v>0</v>
      </c>
      <c r="AH114" s="656"/>
      <c r="AI114" s="351"/>
      <c r="AJ114" s="2"/>
      <c r="AK114" s="388"/>
      <c r="AL114" s="388"/>
      <c r="AM114" s="388"/>
      <c r="AN114" s="388"/>
      <c r="AO114" s="370"/>
      <c r="AP114" s="370"/>
      <c r="AQ114" s="386"/>
      <c r="AR114" s="551">
        <v>0</v>
      </c>
      <c r="AS114" s="386">
        <v>11.5</v>
      </c>
      <c r="AT114" s="386">
        <v>0</v>
      </c>
      <c r="AU114" s="386">
        <v>0</v>
      </c>
      <c r="AV114" s="636">
        <v>324.2</v>
      </c>
      <c r="AW114" s="636">
        <v>451.4</v>
      </c>
      <c r="AX114" s="386">
        <v>0</v>
      </c>
      <c r="AY114" s="551">
        <v>0</v>
      </c>
      <c r="AZ114" s="551">
        <v>0</v>
      </c>
      <c r="BA114" s="551">
        <v>0</v>
      </c>
      <c r="BB114" s="975">
        <v>0</v>
      </c>
      <c r="BC114" s="386">
        <v>0.64</v>
      </c>
      <c r="BD114" s="386">
        <v>1.67</v>
      </c>
      <c r="BE114" s="551">
        <v>0</v>
      </c>
      <c r="BF114" s="386">
        <v>0.99</v>
      </c>
      <c r="BG114" s="386">
        <v>0</v>
      </c>
      <c r="BH114" s="551">
        <v>0</v>
      </c>
      <c r="BI114" s="386">
        <v>1.01</v>
      </c>
      <c r="BJ114" s="386">
        <v>23.6</v>
      </c>
      <c r="BK114" s="386">
        <v>2.91</v>
      </c>
      <c r="BL114" s="386">
        <v>3.57</v>
      </c>
      <c r="BM114" s="386">
        <v>0</v>
      </c>
      <c r="BN114" s="386">
        <v>17.2</v>
      </c>
      <c r="BO114" s="386">
        <v>1176.9000000000001</v>
      </c>
      <c r="BP114" s="386">
        <v>2</v>
      </c>
      <c r="BQ114" s="615">
        <v>0</v>
      </c>
      <c r="BR114" s="615">
        <v>18.649999999999999</v>
      </c>
      <c r="BS114" s="615">
        <v>0</v>
      </c>
      <c r="BT114" s="615">
        <v>22.92</v>
      </c>
      <c r="BU114" s="614">
        <v>24.6</v>
      </c>
      <c r="BV114" s="614">
        <v>30.8</v>
      </c>
      <c r="BW114" s="615">
        <v>777.5</v>
      </c>
      <c r="BX114" s="791"/>
      <c r="BY114" s="615">
        <v>0</v>
      </c>
      <c r="BZ114" s="615">
        <v>1.1399999999999999</v>
      </c>
      <c r="CA114" s="615">
        <v>1.2</v>
      </c>
      <c r="CB114" s="615">
        <v>8.4</v>
      </c>
      <c r="CC114" s="615">
        <v>8.3000000000000007</v>
      </c>
      <c r="CD114" s="499">
        <v>15.46</v>
      </c>
      <c r="CE114" s="499">
        <v>34.130000000000003</v>
      </c>
      <c r="CF114" s="615">
        <v>13.66</v>
      </c>
      <c r="CG114" s="499">
        <v>6.93</v>
      </c>
      <c r="CH114" s="499">
        <v>12.45</v>
      </c>
      <c r="CI114" s="499">
        <v>16.53</v>
      </c>
      <c r="CJ114" s="499">
        <v>12.92</v>
      </c>
      <c r="CK114" s="499">
        <v>507.2</v>
      </c>
      <c r="CL114" s="615">
        <v>1.7</v>
      </c>
      <c r="CM114" s="615">
        <v>0.8</v>
      </c>
      <c r="CN114" s="615">
        <v>624</v>
      </c>
      <c r="CO114" s="499">
        <v>453.2</v>
      </c>
      <c r="CP114" s="615">
        <v>456.7</v>
      </c>
      <c r="CQ114" s="499">
        <v>12.4</v>
      </c>
      <c r="CR114" s="499">
        <v>0.73</v>
      </c>
      <c r="CS114" s="386">
        <v>0</v>
      </c>
      <c r="CT114" s="386">
        <v>15.183999999999999</v>
      </c>
      <c r="CU114" s="386">
        <v>46</v>
      </c>
      <c r="CV114" s="499">
        <v>0</v>
      </c>
      <c r="CW114" s="499">
        <v>0</v>
      </c>
      <c r="CX114" s="499">
        <v>0</v>
      </c>
      <c r="CY114" s="499">
        <v>0</v>
      </c>
      <c r="CZ114" s="643">
        <v>1220</v>
      </c>
      <c r="DA114" s="643">
        <v>1850</v>
      </c>
      <c r="DB114" s="782">
        <v>1150</v>
      </c>
      <c r="DC114" s="609">
        <v>1148.5</v>
      </c>
      <c r="DD114" s="1153">
        <f t="shared" si="36"/>
        <v>0.74000000000000909</v>
      </c>
      <c r="DE114" s="1154">
        <f t="shared" si="37"/>
        <v>0</v>
      </c>
      <c r="DF114" s="1154">
        <f t="shared" si="38"/>
        <v>1040</v>
      </c>
      <c r="DG114" s="1154">
        <f t="shared" si="39"/>
        <v>1600</v>
      </c>
      <c r="DH114" s="1155" t="str">
        <f t="shared" si="40"/>
        <v>Palm</v>
      </c>
      <c r="DI114" s="1146">
        <f t="shared" si="41"/>
        <v>700</v>
      </c>
      <c r="DJ114" s="1146">
        <f t="shared" si="42"/>
        <v>0</v>
      </c>
      <c r="DK114" s="1154">
        <f t="shared" si="43"/>
        <v>0</v>
      </c>
      <c r="DL114" s="615"/>
      <c r="DM114" s="643"/>
      <c r="DN114" s="615"/>
      <c r="DO114" s="499"/>
      <c r="DP114" s="499"/>
      <c r="DQ114" s="499"/>
      <c r="DR114" s="499"/>
      <c r="DS114" s="499"/>
      <c r="DT114" s="499"/>
      <c r="DU114" s="499"/>
      <c r="DV114" s="499"/>
      <c r="DW114" s="499"/>
      <c r="DX114" s="499"/>
      <c r="DY114" s="499"/>
      <c r="DZ114" s="499"/>
      <c r="EA114" s="499"/>
      <c r="EB114" s="499"/>
      <c r="EC114" s="499"/>
      <c r="ED114" s="499"/>
      <c r="EE114" s="499"/>
      <c r="EF114" s="499"/>
      <c r="EG114" s="1146">
        <f t="shared" si="45"/>
        <v>11</v>
      </c>
      <c r="EH114" s="630">
        <v>0</v>
      </c>
      <c r="EI114" s="642">
        <v>1</v>
      </c>
      <c r="EJ114" s="642">
        <v>3.5</v>
      </c>
      <c r="EK114" s="642">
        <v>6.5</v>
      </c>
      <c r="EL114" s="499"/>
      <c r="EM114" s="499"/>
      <c r="EN114" s="499"/>
      <c r="EO114" s="499"/>
      <c r="EP114" s="499"/>
      <c r="EQ114" s="499"/>
      <c r="ER114" s="499"/>
      <c r="ES114" s="388"/>
      <c r="ET114" s="388"/>
      <c r="EV114" s="1167">
        <f t="shared" si="32"/>
        <v>17.016999999999999</v>
      </c>
    </row>
    <row r="115" spans="1:152" s="350" customFormat="1" ht="15" x14ac:dyDescent="0.25">
      <c r="A115" s="632" t="s">
        <v>3</v>
      </c>
      <c r="B115" s="662">
        <v>42841</v>
      </c>
      <c r="C115" s="1132" t="s">
        <v>904</v>
      </c>
      <c r="D115" s="386">
        <v>0</v>
      </c>
      <c r="E115" s="636">
        <v>0</v>
      </c>
      <c r="F115" s="636">
        <v>52</v>
      </c>
      <c r="G115" s="739">
        <v>1.5</v>
      </c>
      <c r="H115" s="609">
        <v>2.29</v>
      </c>
      <c r="I115" s="609">
        <v>15</v>
      </c>
      <c r="J115" s="636">
        <v>0</v>
      </c>
      <c r="K115" s="609">
        <v>2.02</v>
      </c>
      <c r="L115" s="741">
        <v>0</v>
      </c>
      <c r="M115" s="609">
        <v>24</v>
      </c>
      <c r="N115" s="609">
        <v>1.2370000000000001</v>
      </c>
      <c r="O115" s="609">
        <v>1.303994606065821</v>
      </c>
      <c r="P115" s="609">
        <v>1.24</v>
      </c>
      <c r="Q115" s="609">
        <v>0.58989117443536521</v>
      </c>
      <c r="R115" s="877">
        <v>706.38466569767445</v>
      </c>
      <c r="S115" s="609">
        <v>8.32</v>
      </c>
      <c r="T115" s="609">
        <v>8.39</v>
      </c>
      <c r="U115" s="609">
        <v>0.82199999999999995</v>
      </c>
      <c r="V115" s="739">
        <v>0.79</v>
      </c>
      <c r="W115" s="739">
        <v>44.600000000000009</v>
      </c>
      <c r="X115" s="650">
        <v>44.960000000000008</v>
      </c>
      <c r="Y115" s="738">
        <v>25.7</v>
      </c>
      <c r="Z115" s="739">
        <v>27.97</v>
      </c>
      <c r="AA115" s="739">
        <v>25.8</v>
      </c>
      <c r="AB115" s="739">
        <v>28.01</v>
      </c>
      <c r="AC115" s="1160">
        <f t="shared" si="33"/>
        <v>53.81</v>
      </c>
      <c r="AD115" s="1160">
        <f t="shared" si="34"/>
        <v>83.244069999999994</v>
      </c>
      <c r="AE115" s="1160">
        <f t="shared" si="35"/>
        <v>83.244069999999994</v>
      </c>
      <c r="AF115" s="542"/>
      <c r="AG115" s="1160">
        <f t="shared" si="31"/>
        <v>0</v>
      </c>
      <c r="AH115" s="656"/>
      <c r="AI115" s="351"/>
      <c r="AJ115" s="2"/>
      <c r="AK115" s="388"/>
      <c r="AL115" s="388"/>
      <c r="AM115" s="388"/>
      <c r="AN115" s="388"/>
      <c r="AO115" s="370"/>
      <c r="AP115" s="370"/>
      <c r="AQ115" s="386"/>
      <c r="AR115" s="551">
        <v>0</v>
      </c>
      <c r="AS115" s="386">
        <v>20.8</v>
      </c>
      <c r="AT115" s="386">
        <v>0</v>
      </c>
      <c r="AU115" s="386">
        <v>0</v>
      </c>
      <c r="AV115" s="636">
        <v>399.5</v>
      </c>
      <c r="AW115" s="636">
        <v>468.2</v>
      </c>
      <c r="AX115" s="386">
        <v>0</v>
      </c>
      <c r="AY115" s="551">
        <v>0</v>
      </c>
      <c r="AZ115" s="551">
        <v>0</v>
      </c>
      <c r="BA115" s="551">
        <v>0</v>
      </c>
      <c r="BB115" s="975">
        <v>0</v>
      </c>
      <c r="BC115" s="386">
        <v>0.73</v>
      </c>
      <c r="BD115" s="386">
        <v>1.78</v>
      </c>
      <c r="BE115" s="551">
        <v>0</v>
      </c>
      <c r="BF115" s="386">
        <v>0.998</v>
      </c>
      <c r="BG115" s="386">
        <v>0</v>
      </c>
      <c r="BH115" s="551">
        <v>0</v>
      </c>
      <c r="BI115" s="386">
        <v>1.04</v>
      </c>
      <c r="BJ115" s="386">
        <v>23.45</v>
      </c>
      <c r="BK115" s="386">
        <v>3.45</v>
      </c>
      <c r="BL115" s="386">
        <v>3.1</v>
      </c>
      <c r="BM115" s="386">
        <v>0</v>
      </c>
      <c r="BN115" s="386">
        <v>17.059999999999999</v>
      </c>
      <c r="BO115" s="386">
        <v>1203.2</v>
      </c>
      <c r="BP115" s="386">
        <v>2</v>
      </c>
      <c r="BQ115" s="499">
        <v>0</v>
      </c>
      <c r="BR115" s="499">
        <v>18.36</v>
      </c>
      <c r="BS115" s="499">
        <v>0</v>
      </c>
      <c r="BT115" s="499">
        <v>22.93</v>
      </c>
      <c r="BU115" s="614">
        <v>24.6</v>
      </c>
      <c r="BV115" s="614">
        <v>29.1</v>
      </c>
      <c r="BW115" s="615">
        <v>815.6</v>
      </c>
      <c r="BX115" s="791"/>
      <c r="BY115" s="615">
        <v>0</v>
      </c>
      <c r="BZ115" s="615">
        <v>1.1599999999999999</v>
      </c>
      <c r="CA115" s="615">
        <v>1.2</v>
      </c>
      <c r="CB115" s="615">
        <v>8.5</v>
      </c>
      <c r="CC115" s="615">
        <v>8.3000000000000007</v>
      </c>
      <c r="CD115" s="615">
        <v>15.22</v>
      </c>
      <c r="CE115" s="615">
        <v>34</v>
      </c>
      <c r="CF115" s="615">
        <v>14.1</v>
      </c>
      <c r="CG115" s="615">
        <v>8.5</v>
      </c>
      <c r="CH115" s="615">
        <v>14.3</v>
      </c>
      <c r="CI115" s="615">
        <v>18.2</v>
      </c>
      <c r="CJ115" s="615">
        <v>12.71</v>
      </c>
      <c r="CK115" s="615">
        <v>506.9</v>
      </c>
      <c r="CL115" s="615">
        <v>1.7</v>
      </c>
      <c r="CM115" s="615">
        <v>1.5</v>
      </c>
      <c r="CN115" s="615">
        <v>455.4</v>
      </c>
      <c r="CO115" s="615">
        <v>467.5</v>
      </c>
      <c r="CP115" s="615">
        <v>454.4</v>
      </c>
      <c r="CQ115" s="615">
        <v>12.6</v>
      </c>
      <c r="CR115" s="615">
        <v>0.72</v>
      </c>
      <c r="CS115" s="386">
        <v>0</v>
      </c>
      <c r="CT115" s="386">
        <v>15.609</v>
      </c>
      <c r="CU115" s="386">
        <v>46</v>
      </c>
      <c r="CV115" s="499">
        <v>0</v>
      </c>
      <c r="CW115" s="499">
        <v>0</v>
      </c>
      <c r="CX115" s="499">
        <v>0</v>
      </c>
      <c r="CY115" s="499">
        <v>0</v>
      </c>
      <c r="CZ115" s="643">
        <v>1220</v>
      </c>
      <c r="DA115" s="643">
        <v>1800</v>
      </c>
      <c r="DB115" s="782">
        <v>1150</v>
      </c>
      <c r="DC115" s="609">
        <v>1148.93</v>
      </c>
      <c r="DD115" s="1153">
        <f t="shared" si="36"/>
        <v>0.43000000000006366</v>
      </c>
      <c r="DE115" s="1154">
        <f t="shared" si="37"/>
        <v>0</v>
      </c>
      <c r="DF115" s="1154">
        <f t="shared" si="38"/>
        <v>1040</v>
      </c>
      <c r="DG115" s="1154">
        <f t="shared" si="39"/>
        <v>1550</v>
      </c>
      <c r="DH115" s="1155" t="str">
        <f t="shared" si="40"/>
        <v>Palm</v>
      </c>
      <c r="DI115" s="1146">
        <f t="shared" si="41"/>
        <v>650</v>
      </c>
      <c r="DJ115" s="1146">
        <f t="shared" si="42"/>
        <v>0</v>
      </c>
      <c r="DK115" s="1154">
        <f t="shared" si="43"/>
        <v>0</v>
      </c>
      <c r="DL115" s="615"/>
      <c r="DM115" s="643"/>
      <c r="DN115" s="615"/>
      <c r="DO115" s="499"/>
      <c r="DP115" s="499"/>
      <c r="DQ115" s="499"/>
      <c r="DR115" s="499"/>
      <c r="DS115" s="499"/>
      <c r="DT115" s="499"/>
      <c r="DU115" s="499"/>
      <c r="DV115" s="499"/>
      <c r="DW115" s="499"/>
      <c r="DX115" s="499"/>
      <c r="DY115" s="499"/>
      <c r="DZ115" s="499"/>
      <c r="EA115" s="499"/>
      <c r="EB115" s="499"/>
      <c r="EC115" s="499"/>
      <c r="ED115" s="499"/>
      <c r="EE115" s="499"/>
      <c r="EF115" s="499"/>
      <c r="EG115" s="1146">
        <f t="shared" si="45"/>
        <v>11</v>
      </c>
      <c r="EH115" s="630">
        <v>0</v>
      </c>
      <c r="EI115" s="642">
        <v>1</v>
      </c>
      <c r="EJ115" s="642">
        <v>3.5</v>
      </c>
      <c r="EK115" s="642">
        <v>6.5</v>
      </c>
      <c r="EL115" s="499"/>
      <c r="EM115" s="499"/>
      <c r="EN115" s="499"/>
      <c r="EO115" s="499"/>
      <c r="EP115" s="499"/>
      <c r="EQ115" s="499"/>
      <c r="ER115" s="499"/>
      <c r="ES115" s="388"/>
      <c r="ET115" s="388"/>
      <c r="EV115" s="1167">
        <f t="shared" si="32"/>
        <v>17.016999999999999</v>
      </c>
    </row>
    <row r="116" spans="1:152" s="350" customFormat="1" ht="15" x14ac:dyDescent="0.25">
      <c r="A116" s="632" t="s">
        <v>4</v>
      </c>
      <c r="B116" s="662">
        <v>42842</v>
      </c>
      <c r="C116" s="1132" t="s">
        <v>904</v>
      </c>
      <c r="D116" s="386">
        <v>0.08</v>
      </c>
      <c r="E116" s="636">
        <v>0</v>
      </c>
      <c r="F116" s="636">
        <v>47</v>
      </c>
      <c r="G116" s="739">
        <v>1.5</v>
      </c>
      <c r="H116" s="609">
        <v>2.39</v>
      </c>
      <c r="I116" s="609">
        <v>11.1</v>
      </c>
      <c r="J116" s="636">
        <v>0</v>
      </c>
      <c r="K116" s="609">
        <v>2</v>
      </c>
      <c r="L116" s="741">
        <v>0</v>
      </c>
      <c r="M116" s="609">
        <v>24</v>
      </c>
      <c r="N116" s="609">
        <v>1.24</v>
      </c>
      <c r="O116" s="609">
        <v>1.325201091939928</v>
      </c>
      <c r="P116" s="609">
        <v>1.26</v>
      </c>
      <c r="Q116" s="609">
        <v>0.60006063624748252</v>
      </c>
      <c r="R116" s="877">
        <v>769.38924418604654</v>
      </c>
      <c r="S116" s="609">
        <v>8.23</v>
      </c>
      <c r="T116" s="609">
        <v>8.34</v>
      </c>
      <c r="U116" s="609">
        <v>0.87</v>
      </c>
      <c r="V116" s="739">
        <v>0.84</v>
      </c>
      <c r="W116" s="739">
        <v>45.5</v>
      </c>
      <c r="X116" s="650">
        <v>44.960000000000008</v>
      </c>
      <c r="Y116" s="738">
        <v>25.8</v>
      </c>
      <c r="Z116" s="739">
        <v>27.9</v>
      </c>
      <c r="AA116" s="739">
        <v>25.73</v>
      </c>
      <c r="AB116" s="739">
        <v>31.1</v>
      </c>
      <c r="AC116" s="1160">
        <f t="shared" si="33"/>
        <v>56.83</v>
      </c>
      <c r="AD116" s="1160">
        <f t="shared" si="34"/>
        <v>87.91601</v>
      </c>
      <c r="AE116" s="1160">
        <f t="shared" si="35"/>
        <v>87.91601</v>
      </c>
      <c r="AF116" s="542"/>
      <c r="AG116" s="1160">
        <f t="shared" si="31"/>
        <v>0</v>
      </c>
      <c r="AH116" s="656"/>
      <c r="AI116" s="351"/>
      <c r="AJ116" s="2"/>
      <c r="AK116" s="388"/>
      <c r="AL116" s="388"/>
      <c r="AM116" s="388"/>
      <c r="AN116" s="388"/>
      <c r="AO116" s="370"/>
      <c r="AP116" s="370"/>
      <c r="AQ116" s="386"/>
      <c r="AR116" s="551">
        <v>0</v>
      </c>
      <c r="AS116" s="386">
        <v>11.5</v>
      </c>
      <c r="AT116" s="386">
        <v>0</v>
      </c>
      <c r="AU116" s="386">
        <v>0</v>
      </c>
      <c r="AV116" s="636">
        <v>510.7</v>
      </c>
      <c r="AW116" s="636">
        <v>540.20000000000005</v>
      </c>
      <c r="AX116" s="386">
        <v>0</v>
      </c>
      <c r="AY116" s="551">
        <v>0</v>
      </c>
      <c r="AZ116" s="551">
        <v>0</v>
      </c>
      <c r="BA116" s="551">
        <v>0</v>
      </c>
      <c r="BB116" s="975">
        <v>0</v>
      </c>
      <c r="BC116" s="386">
        <v>0.93</v>
      </c>
      <c r="BD116" s="386">
        <v>1.26</v>
      </c>
      <c r="BE116" s="551">
        <v>0</v>
      </c>
      <c r="BF116" s="386">
        <v>0.99</v>
      </c>
      <c r="BG116" s="386">
        <v>0</v>
      </c>
      <c r="BH116" s="551">
        <v>0</v>
      </c>
      <c r="BI116" s="386">
        <v>1.01</v>
      </c>
      <c r="BJ116" s="386">
        <v>27</v>
      </c>
      <c r="BK116" s="386">
        <v>3.43</v>
      </c>
      <c r="BL116" s="386">
        <v>3.04</v>
      </c>
      <c r="BM116" s="386">
        <v>0</v>
      </c>
      <c r="BN116" s="386">
        <v>20.5</v>
      </c>
      <c r="BO116" s="386">
        <v>1018.5</v>
      </c>
      <c r="BP116" s="386">
        <v>22.3</v>
      </c>
      <c r="BQ116" s="615">
        <v>3.8</v>
      </c>
      <c r="BR116" s="615">
        <v>17.059999999999999</v>
      </c>
      <c r="BS116" s="615">
        <v>3.55</v>
      </c>
      <c r="BT116" s="615">
        <v>19</v>
      </c>
      <c r="BU116" s="614">
        <v>24.3</v>
      </c>
      <c r="BV116" s="614">
        <v>26</v>
      </c>
      <c r="BW116" s="615">
        <v>696</v>
      </c>
      <c r="BX116" s="791"/>
      <c r="BY116" s="615">
        <v>0</v>
      </c>
      <c r="BZ116" s="615">
        <v>1.18</v>
      </c>
      <c r="CA116" s="615">
        <v>1.2</v>
      </c>
      <c r="CB116" s="615">
        <v>8.5</v>
      </c>
      <c r="CC116" s="615">
        <v>8.4</v>
      </c>
      <c r="CD116" s="615">
        <v>15.6</v>
      </c>
      <c r="CE116" s="615">
        <v>33.9</v>
      </c>
      <c r="CF116" s="615">
        <v>15.61</v>
      </c>
      <c r="CG116" s="615">
        <v>8.4</v>
      </c>
      <c r="CH116" s="615">
        <v>14</v>
      </c>
      <c r="CI116" s="615">
        <v>18.309999999999999</v>
      </c>
      <c r="CJ116" s="615">
        <v>13.09</v>
      </c>
      <c r="CK116" s="615">
        <v>508.7</v>
      </c>
      <c r="CL116" s="615">
        <v>1.9</v>
      </c>
      <c r="CM116" s="615">
        <v>0.9</v>
      </c>
      <c r="CN116" s="615">
        <v>373.7</v>
      </c>
      <c r="CO116" s="615">
        <v>538.29999999999995</v>
      </c>
      <c r="CP116" s="615">
        <v>469.9</v>
      </c>
      <c r="CQ116" s="615">
        <v>12.4</v>
      </c>
      <c r="CR116" s="615">
        <v>0.71</v>
      </c>
      <c r="CS116" s="386">
        <v>0</v>
      </c>
      <c r="CT116" s="386">
        <v>14.592000000000001</v>
      </c>
      <c r="CU116" s="386">
        <v>46</v>
      </c>
      <c r="CV116" s="499">
        <v>0</v>
      </c>
      <c r="CW116" s="499">
        <v>0</v>
      </c>
      <c r="CX116" s="499">
        <v>0</v>
      </c>
      <c r="CY116" s="499">
        <v>0</v>
      </c>
      <c r="CZ116" s="643">
        <v>1230</v>
      </c>
      <c r="DA116" s="643">
        <v>1780</v>
      </c>
      <c r="DB116" s="782">
        <v>1140</v>
      </c>
      <c r="DC116" s="609">
        <v>1149.26</v>
      </c>
      <c r="DD116" s="1153">
        <f t="shared" si="36"/>
        <v>0.32999999999992724</v>
      </c>
      <c r="DE116" s="1154">
        <f t="shared" si="37"/>
        <v>0</v>
      </c>
      <c r="DF116" s="1154">
        <f t="shared" si="38"/>
        <v>1030</v>
      </c>
      <c r="DG116" s="1154">
        <f t="shared" si="39"/>
        <v>1530</v>
      </c>
      <c r="DH116" s="1155" t="str">
        <f t="shared" si="40"/>
        <v>Palm</v>
      </c>
      <c r="DI116" s="1146">
        <f t="shared" si="41"/>
        <v>640</v>
      </c>
      <c r="DJ116" s="1146">
        <f t="shared" si="42"/>
        <v>0</v>
      </c>
      <c r="DK116" s="1154">
        <f t="shared" si="43"/>
        <v>0</v>
      </c>
      <c r="DL116" s="615"/>
      <c r="DM116" s="644"/>
      <c r="DN116" s="615"/>
      <c r="DO116" s="499"/>
      <c r="DP116" s="499"/>
      <c r="DQ116" s="499"/>
      <c r="DR116" s="499"/>
      <c r="DS116" s="499"/>
      <c r="DT116" s="499"/>
      <c r="DU116" s="499"/>
      <c r="DV116" s="499"/>
      <c r="DW116" s="499"/>
      <c r="DX116" s="499"/>
      <c r="DY116" s="499"/>
      <c r="DZ116" s="499"/>
      <c r="EA116" s="499"/>
      <c r="EB116" s="499"/>
      <c r="EC116" s="499"/>
      <c r="ED116" s="499"/>
      <c r="EE116" s="499"/>
      <c r="EF116" s="499"/>
      <c r="EG116" s="1146">
        <f t="shared" si="45"/>
        <v>10.5</v>
      </c>
      <c r="EH116" s="630">
        <v>0</v>
      </c>
      <c r="EI116" s="642">
        <v>1</v>
      </c>
      <c r="EJ116" s="642">
        <v>3</v>
      </c>
      <c r="EK116" s="642">
        <v>6.5</v>
      </c>
      <c r="EL116" s="499"/>
      <c r="EM116" s="499"/>
      <c r="EN116" s="499"/>
      <c r="EO116" s="499"/>
      <c r="EP116" s="499"/>
      <c r="EQ116" s="499"/>
      <c r="ER116" s="499"/>
      <c r="ES116" s="388"/>
      <c r="ET116" s="388"/>
      <c r="EV116" s="1167">
        <f t="shared" si="32"/>
        <v>16.243500000000001</v>
      </c>
    </row>
    <row r="117" spans="1:152" s="350" customFormat="1" ht="15" x14ac:dyDescent="0.25">
      <c r="A117" s="632" t="s">
        <v>5</v>
      </c>
      <c r="B117" s="662">
        <v>42843</v>
      </c>
      <c r="C117" s="1132" t="s">
        <v>904</v>
      </c>
      <c r="D117" s="386">
        <v>0.46</v>
      </c>
      <c r="E117" s="636">
        <v>0</v>
      </c>
      <c r="F117" s="636">
        <v>45</v>
      </c>
      <c r="G117" s="739">
        <v>1.6</v>
      </c>
      <c r="H117" s="609">
        <v>2</v>
      </c>
      <c r="I117" s="609">
        <v>15</v>
      </c>
      <c r="J117" s="636">
        <v>0</v>
      </c>
      <c r="K117" s="609">
        <v>1.65</v>
      </c>
      <c r="L117" s="741">
        <v>0</v>
      </c>
      <c r="M117" s="609">
        <v>24</v>
      </c>
      <c r="N117" s="609">
        <v>1.26</v>
      </c>
      <c r="O117" s="609">
        <v>1.2970566860465118</v>
      </c>
      <c r="P117" s="609">
        <v>1.3</v>
      </c>
      <c r="Q117" s="609">
        <v>0.5914623554268742</v>
      </c>
      <c r="R117" s="877">
        <v>810.39222383720926</v>
      </c>
      <c r="S117" s="609">
        <v>8.08</v>
      </c>
      <c r="T117" s="609">
        <v>8.17</v>
      </c>
      <c r="U117" s="609">
        <v>0.87</v>
      </c>
      <c r="V117" s="739">
        <v>0.86</v>
      </c>
      <c r="W117" s="739">
        <v>44.78</v>
      </c>
      <c r="X117" s="650">
        <v>44.960000000000008</v>
      </c>
      <c r="Y117" s="738">
        <v>25.73</v>
      </c>
      <c r="Z117" s="739">
        <v>31.1</v>
      </c>
      <c r="AA117" s="739">
        <v>27.77</v>
      </c>
      <c r="AB117" s="739">
        <v>33.51</v>
      </c>
      <c r="AC117" s="1160">
        <f t="shared" si="33"/>
        <v>61.28</v>
      </c>
      <c r="AD117" s="1160">
        <f t="shared" si="34"/>
        <v>94.800159999999991</v>
      </c>
      <c r="AE117" s="1160">
        <f t="shared" si="35"/>
        <v>94.800159999999991</v>
      </c>
      <c r="AF117" s="542"/>
      <c r="AG117" s="1160">
        <f t="shared" si="31"/>
        <v>0</v>
      </c>
      <c r="AH117" s="656"/>
      <c r="AI117" s="351"/>
      <c r="AJ117" s="2"/>
      <c r="AK117" s="388"/>
      <c r="AL117" s="388"/>
      <c r="AM117" s="388"/>
      <c r="AN117" s="388"/>
      <c r="AO117" s="370"/>
      <c r="AP117" s="370"/>
      <c r="AQ117" s="386"/>
      <c r="AR117" s="551">
        <v>0</v>
      </c>
      <c r="AS117" s="386">
        <v>21.3</v>
      </c>
      <c r="AT117" s="1171">
        <v>0.57999999999999996</v>
      </c>
      <c r="AU117" s="386">
        <v>0</v>
      </c>
      <c r="AV117" s="636">
        <v>232</v>
      </c>
      <c r="AW117" s="636">
        <v>364</v>
      </c>
      <c r="AX117" s="386">
        <v>0</v>
      </c>
      <c r="AY117" s="551">
        <v>0</v>
      </c>
      <c r="AZ117" s="551">
        <v>0</v>
      </c>
      <c r="BA117" s="551">
        <v>0</v>
      </c>
      <c r="BB117" s="975">
        <v>0</v>
      </c>
      <c r="BC117" s="386">
        <v>0.34</v>
      </c>
      <c r="BD117" s="386">
        <v>1.77</v>
      </c>
      <c r="BE117" s="551">
        <v>0</v>
      </c>
      <c r="BF117" s="386">
        <v>1</v>
      </c>
      <c r="BG117" s="386">
        <v>0</v>
      </c>
      <c r="BH117" s="551">
        <v>0</v>
      </c>
      <c r="BI117" s="386">
        <v>1.01</v>
      </c>
      <c r="BJ117" s="386">
        <v>29.4</v>
      </c>
      <c r="BK117" s="386">
        <v>3.67</v>
      </c>
      <c r="BL117" s="386">
        <v>2.78</v>
      </c>
      <c r="BM117" s="386">
        <v>0</v>
      </c>
      <c r="BN117" s="386">
        <v>22.9</v>
      </c>
      <c r="BO117" s="386">
        <v>976.9</v>
      </c>
      <c r="BP117" s="386">
        <v>2</v>
      </c>
      <c r="BQ117" s="615">
        <v>10.09</v>
      </c>
      <c r="BR117" s="615">
        <v>16.39</v>
      </c>
      <c r="BS117" s="615">
        <v>7.79</v>
      </c>
      <c r="BT117" s="615">
        <v>16.670000000000002</v>
      </c>
      <c r="BU117" s="614">
        <v>25.9</v>
      </c>
      <c r="BV117" s="614">
        <v>21.8</v>
      </c>
      <c r="BW117" s="615">
        <v>735.2</v>
      </c>
      <c r="BX117" s="791"/>
      <c r="BY117" s="615">
        <v>0</v>
      </c>
      <c r="BZ117" s="615">
        <v>1.1599999999999999</v>
      </c>
      <c r="CA117" s="615">
        <v>1.1000000000000001</v>
      </c>
      <c r="CB117" s="615">
        <v>8.4</v>
      </c>
      <c r="CC117" s="615">
        <v>8.4</v>
      </c>
      <c r="CD117" s="615">
        <v>15.2</v>
      </c>
      <c r="CE117" s="615">
        <v>33.9</v>
      </c>
      <c r="CF117" s="615">
        <v>16.5</v>
      </c>
      <c r="CG117" s="615">
        <v>8.1</v>
      </c>
      <c r="CH117" s="615">
        <v>13.8</v>
      </c>
      <c r="CI117" s="615">
        <v>17.899999999999999</v>
      </c>
      <c r="CJ117" s="615">
        <v>12.22</v>
      </c>
      <c r="CK117" s="615">
        <v>474</v>
      </c>
      <c r="CL117" s="615">
        <v>2.1</v>
      </c>
      <c r="CM117" s="615">
        <v>2.2000000000000002</v>
      </c>
      <c r="CN117" s="615">
        <v>191.2</v>
      </c>
      <c r="CO117" s="615">
        <v>539.70000000000005</v>
      </c>
      <c r="CP117" s="615">
        <v>469.8</v>
      </c>
      <c r="CQ117" s="615">
        <v>12.2</v>
      </c>
      <c r="CR117" s="615">
        <v>0.56000000000000005</v>
      </c>
      <c r="CS117" s="386">
        <v>0</v>
      </c>
      <c r="CT117" s="386">
        <v>15.68</v>
      </c>
      <c r="CU117" s="386">
        <v>46</v>
      </c>
      <c r="CV117" s="499">
        <v>0</v>
      </c>
      <c r="CW117" s="499">
        <v>0</v>
      </c>
      <c r="CX117" s="499">
        <v>0</v>
      </c>
      <c r="CY117" s="499">
        <v>0</v>
      </c>
      <c r="CZ117" s="643">
        <v>1330</v>
      </c>
      <c r="DA117" s="643">
        <v>1860</v>
      </c>
      <c r="DB117" s="782">
        <v>1250</v>
      </c>
      <c r="DC117" s="609">
        <v>1149.77</v>
      </c>
      <c r="DD117" s="1153">
        <f t="shared" si="36"/>
        <v>0.50999999999999091</v>
      </c>
      <c r="DE117" s="1154">
        <f t="shared" si="37"/>
        <v>0</v>
      </c>
      <c r="DF117" s="1154">
        <f t="shared" si="38"/>
        <v>1140</v>
      </c>
      <c r="DG117" s="1154">
        <f t="shared" si="39"/>
        <v>1610</v>
      </c>
      <c r="DH117" s="1155" t="str">
        <f t="shared" si="40"/>
        <v>Palm</v>
      </c>
      <c r="DI117" s="1146">
        <f t="shared" si="41"/>
        <v>610</v>
      </c>
      <c r="DJ117" s="1146">
        <f t="shared" si="42"/>
        <v>0</v>
      </c>
      <c r="DK117" s="1154">
        <f t="shared" si="43"/>
        <v>0</v>
      </c>
      <c r="DL117" s="615"/>
      <c r="DM117" s="643"/>
      <c r="DN117" s="615"/>
      <c r="DO117" s="499"/>
      <c r="DP117" s="499"/>
      <c r="DQ117" s="499"/>
      <c r="DR117" s="499"/>
      <c r="DS117" s="499"/>
      <c r="DT117" s="499"/>
      <c r="DU117" s="499"/>
      <c r="DV117" s="499"/>
      <c r="DW117" s="499"/>
      <c r="DX117" s="499"/>
      <c r="DY117" s="499"/>
      <c r="DZ117" s="499"/>
      <c r="EA117" s="499"/>
      <c r="EB117" s="499"/>
      <c r="EC117" s="499"/>
      <c r="ED117" s="499"/>
      <c r="EE117" s="499"/>
      <c r="EF117" s="499"/>
      <c r="EG117" s="1146">
        <f t="shared" si="45"/>
        <v>10.5</v>
      </c>
      <c r="EH117" s="630">
        <v>0</v>
      </c>
      <c r="EI117" s="642">
        <v>1</v>
      </c>
      <c r="EJ117" s="642">
        <v>3</v>
      </c>
      <c r="EK117" s="642">
        <v>6.5</v>
      </c>
      <c r="EL117" s="499"/>
      <c r="EM117" s="499"/>
      <c r="EN117" s="499"/>
      <c r="EO117" s="499"/>
      <c r="EP117" s="499"/>
      <c r="EQ117" s="499"/>
      <c r="ER117" s="499"/>
      <c r="ES117" s="388"/>
      <c r="ET117" s="388"/>
      <c r="EV117" s="1167">
        <f t="shared" si="32"/>
        <v>16.243500000000001</v>
      </c>
    </row>
    <row r="118" spans="1:152" s="350" customFormat="1" ht="15" x14ac:dyDescent="0.25">
      <c r="A118" s="632" t="s">
        <v>6</v>
      </c>
      <c r="B118" s="662">
        <v>42844</v>
      </c>
      <c r="C118" s="1132" t="s">
        <v>904</v>
      </c>
      <c r="D118" s="386">
        <v>0.46</v>
      </c>
      <c r="E118" s="636">
        <v>0</v>
      </c>
      <c r="F118" s="636">
        <v>44</v>
      </c>
      <c r="G118" s="739">
        <v>1.8</v>
      </c>
      <c r="H118" s="609">
        <v>2.2999999999999998</v>
      </c>
      <c r="I118" s="609">
        <v>14.5</v>
      </c>
      <c r="J118" s="636">
        <v>0</v>
      </c>
      <c r="K118" s="609">
        <v>1.94</v>
      </c>
      <c r="L118" s="741">
        <v>0</v>
      </c>
      <c r="M118" s="609">
        <v>23.9</v>
      </c>
      <c r="N118" s="609">
        <v>1.2490000000000001</v>
      </c>
      <c r="O118" s="609">
        <v>1.2831004494821185</v>
      </c>
      <c r="P118" s="609">
        <v>1.292</v>
      </c>
      <c r="Q118" s="609">
        <v>0.59029604140494607</v>
      </c>
      <c r="R118" s="877">
        <v>798.72470930232566</v>
      </c>
      <c r="S118" s="609">
        <v>8.1199999999999992</v>
      </c>
      <c r="T118" s="609">
        <v>8.1999999999999993</v>
      </c>
      <c r="U118" s="609">
        <v>0.86299999999999999</v>
      </c>
      <c r="V118" s="739">
        <v>0.872</v>
      </c>
      <c r="W118" s="739">
        <v>45.14</v>
      </c>
      <c r="X118" s="650">
        <v>45.14</v>
      </c>
      <c r="Y118" s="738">
        <v>27.77</v>
      </c>
      <c r="Z118" s="739">
        <v>33.51</v>
      </c>
      <c r="AA118" s="739">
        <v>27</v>
      </c>
      <c r="AB118" s="739">
        <v>33.69</v>
      </c>
      <c r="AC118" s="1160">
        <f t="shared" si="33"/>
        <v>60.69</v>
      </c>
      <c r="AD118" s="1160">
        <f t="shared" si="34"/>
        <v>93.887429999999995</v>
      </c>
      <c r="AE118" s="1160">
        <f t="shared" si="35"/>
        <v>93.887429999999995</v>
      </c>
      <c r="AF118" s="542"/>
      <c r="AG118" s="1160">
        <f t="shared" si="31"/>
        <v>0</v>
      </c>
      <c r="AH118" s="656"/>
      <c r="AI118" s="351"/>
      <c r="AJ118" s="2"/>
      <c r="AK118" s="388"/>
      <c r="AL118" s="388"/>
      <c r="AM118" s="388"/>
      <c r="AN118" s="388"/>
      <c r="AO118" s="370"/>
      <c r="AP118" s="370"/>
      <c r="AQ118" s="636" t="s">
        <v>912</v>
      </c>
      <c r="AR118" s="551">
        <v>0</v>
      </c>
      <c r="AS118" s="386">
        <v>11</v>
      </c>
      <c r="AT118" s="1171">
        <v>0.89</v>
      </c>
      <c r="AU118" s="386">
        <v>0</v>
      </c>
      <c r="AV118" s="636">
        <v>485</v>
      </c>
      <c r="AW118" s="636">
        <v>537.70000000000005</v>
      </c>
      <c r="AX118" s="386">
        <v>0</v>
      </c>
      <c r="AY118" s="551">
        <v>0</v>
      </c>
      <c r="AZ118" s="551">
        <v>0</v>
      </c>
      <c r="BA118" s="551">
        <v>0</v>
      </c>
      <c r="BB118" s="975">
        <v>0</v>
      </c>
      <c r="BC118" s="386">
        <v>0.34</v>
      </c>
      <c r="BD118" s="386">
        <v>1.65</v>
      </c>
      <c r="BE118" s="551">
        <v>0</v>
      </c>
      <c r="BF118" s="386">
        <v>1</v>
      </c>
      <c r="BG118" s="386">
        <v>0</v>
      </c>
      <c r="BH118" s="551">
        <v>0</v>
      </c>
      <c r="BI118" s="386">
        <v>1.01</v>
      </c>
      <c r="BJ118" s="386">
        <v>29.6</v>
      </c>
      <c r="BK118" s="386">
        <v>3.35</v>
      </c>
      <c r="BL118" s="386">
        <v>3.1</v>
      </c>
      <c r="BM118" s="386">
        <v>0</v>
      </c>
      <c r="BN118" s="386">
        <v>23.1</v>
      </c>
      <c r="BO118" s="386">
        <v>914</v>
      </c>
      <c r="BP118" s="386">
        <v>2</v>
      </c>
      <c r="BQ118" s="615">
        <v>15.01</v>
      </c>
      <c r="BR118" s="615">
        <v>15.46</v>
      </c>
      <c r="BS118" s="615">
        <v>6.07</v>
      </c>
      <c r="BT118" s="499">
        <v>17.12</v>
      </c>
      <c r="BU118" s="614">
        <v>25.1</v>
      </c>
      <c r="BV118" s="614">
        <v>22.7</v>
      </c>
      <c r="BW118" s="615">
        <v>741.5</v>
      </c>
      <c r="BX118" s="791"/>
      <c r="BY118" s="615">
        <v>0</v>
      </c>
      <c r="BZ118" s="615">
        <v>1.1299999999999999</v>
      </c>
      <c r="CA118" s="615">
        <v>1.1000000000000001</v>
      </c>
      <c r="CB118" s="615">
        <v>8.3000000000000007</v>
      </c>
      <c r="CC118" s="615">
        <v>8.3000000000000007</v>
      </c>
      <c r="CD118" s="615">
        <v>16</v>
      </c>
      <c r="CE118" s="615">
        <v>33.9</v>
      </c>
      <c r="CF118" s="615">
        <v>14.6</v>
      </c>
      <c r="CG118" s="615">
        <v>7.4</v>
      </c>
      <c r="CH118" s="615">
        <v>12.9</v>
      </c>
      <c r="CI118" s="615">
        <v>17.3</v>
      </c>
      <c r="CJ118" s="615">
        <v>13.15</v>
      </c>
      <c r="CK118" s="615">
        <v>498.5</v>
      </c>
      <c r="CL118" s="615">
        <v>2.7</v>
      </c>
      <c r="CM118" s="615">
        <v>2.5</v>
      </c>
      <c r="CN118" s="615">
        <v>594.79999999999995</v>
      </c>
      <c r="CO118" s="615">
        <v>636.5</v>
      </c>
      <c r="CP118" s="615">
        <v>464.6</v>
      </c>
      <c r="CQ118" s="615">
        <v>11.8</v>
      </c>
      <c r="CR118" s="615">
        <v>0.55000000000000004</v>
      </c>
      <c r="CS118" s="386">
        <v>0</v>
      </c>
      <c r="CT118" s="386">
        <v>15.349</v>
      </c>
      <c r="CU118" s="386">
        <v>46</v>
      </c>
      <c r="CV118" s="499">
        <v>0</v>
      </c>
      <c r="CW118" s="499">
        <v>0</v>
      </c>
      <c r="CX118" s="499">
        <v>0</v>
      </c>
      <c r="CY118" s="499">
        <v>0</v>
      </c>
      <c r="CZ118" s="643">
        <v>1549</v>
      </c>
      <c r="DA118" s="643">
        <v>2136</v>
      </c>
      <c r="DB118" s="782">
        <v>1470</v>
      </c>
      <c r="DC118" s="609">
        <v>1150.17</v>
      </c>
      <c r="DD118" s="1153">
        <f t="shared" si="36"/>
        <v>0.40000000000009095</v>
      </c>
      <c r="DE118" s="1154">
        <f t="shared" si="37"/>
        <v>0</v>
      </c>
      <c r="DF118" s="1154">
        <f t="shared" si="38"/>
        <v>1360</v>
      </c>
      <c r="DG118" s="1154">
        <f t="shared" si="39"/>
        <v>1886</v>
      </c>
      <c r="DH118" s="1155" t="str">
        <f t="shared" si="40"/>
        <v>Palm</v>
      </c>
      <c r="DI118" s="1146">
        <f t="shared" si="41"/>
        <v>666</v>
      </c>
      <c r="DJ118" s="1146">
        <f t="shared" si="42"/>
        <v>0</v>
      </c>
      <c r="DK118" s="1154">
        <f t="shared" si="43"/>
        <v>0</v>
      </c>
      <c r="DL118" s="615"/>
      <c r="DM118" s="643"/>
      <c r="DN118" s="615"/>
      <c r="DO118" s="499"/>
      <c r="DP118" s="499"/>
      <c r="DQ118" s="499"/>
      <c r="DR118" s="499"/>
      <c r="DS118" s="499"/>
      <c r="DT118" s="499"/>
      <c r="DU118" s="499"/>
      <c r="DV118" s="499"/>
      <c r="DW118" s="499"/>
      <c r="DX118" s="499"/>
      <c r="DY118" s="499"/>
      <c r="DZ118" s="499"/>
      <c r="EA118" s="499"/>
      <c r="EB118" s="499"/>
      <c r="EC118" s="499"/>
      <c r="ED118" s="499"/>
      <c r="EE118" s="499"/>
      <c r="EF118" s="499"/>
      <c r="EG118" s="1146">
        <f t="shared" si="45"/>
        <v>10.5</v>
      </c>
      <c r="EH118" s="630">
        <v>0</v>
      </c>
      <c r="EI118" s="642">
        <v>1</v>
      </c>
      <c r="EJ118" s="642">
        <v>3</v>
      </c>
      <c r="EK118" s="642">
        <v>6.5</v>
      </c>
      <c r="EL118" s="499"/>
      <c r="EM118" s="499"/>
      <c r="EN118" s="499"/>
      <c r="EO118" s="499"/>
      <c r="EP118" s="499"/>
      <c r="EQ118" s="499"/>
      <c r="ER118" s="499"/>
      <c r="ES118" s="388"/>
      <c r="ET118" s="388"/>
      <c r="EV118" s="1167">
        <f t="shared" si="32"/>
        <v>16.243500000000001</v>
      </c>
    </row>
    <row r="119" spans="1:152" s="350" customFormat="1" ht="15" x14ac:dyDescent="0.25">
      <c r="A119" s="632" t="s">
        <v>7</v>
      </c>
      <c r="B119" s="662">
        <v>42845</v>
      </c>
      <c r="C119" s="1132" t="s">
        <v>904</v>
      </c>
      <c r="D119" s="386">
        <v>0.32</v>
      </c>
      <c r="E119" s="636">
        <v>0</v>
      </c>
      <c r="F119" s="636">
        <v>43</v>
      </c>
      <c r="G119" s="739">
        <v>1.8</v>
      </c>
      <c r="H119" s="609">
        <v>1.82</v>
      </c>
      <c r="I119" s="609">
        <v>14</v>
      </c>
      <c r="J119" s="636">
        <v>0</v>
      </c>
      <c r="K119" s="609">
        <v>1.5</v>
      </c>
      <c r="L119" s="741">
        <v>0</v>
      </c>
      <c r="M119" s="609">
        <v>23.9</v>
      </c>
      <c r="N119" s="609">
        <v>1.2569999999999999</v>
      </c>
      <c r="O119" s="609">
        <v>1.3134416568634093</v>
      </c>
      <c r="P119" s="609">
        <v>1.2490000000000001</v>
      </c>
      <c r="Q119" s="609">
        <v>0.59251582927149349</v>
      </c>
      <c r="R119" s="877">
        <v>692.05029069767454</v>
      </c>
      <c r="S119" s="609">
        <v>8.14</v>
      </c>
      <c r="T119" s="609">
        <v>8.2200000000000006</v>
      </c>
      <c r="U119" s="609">
        <v>0.86299999999999999</v>
      </c>
      <c r="V119" s="739">
        <v>0.872</v>
      </c>
      <c r="W119" s="739">
        <v>45.319999999999993</v>
      </c>
      <c r="X119" s="650">
        <v>45.5</v>
      </c>
      <c r="Y119" s="738">
        <v>27</v>
      </c>
      <c r="Z119" s="739">
        <v>33.69</v>
      </c>
      <c r="AA119" s="739">
        <v>25.6</v>
      </c>
      <c r="AB119" s="739">
        <v>26.6</v>
      </c>
      <c r="AC119" s="1160">
        <f t="shared" si="33"/>
        <v>52.2</v>
      </c>
      <c r="AD119" s="1160">
        <f t="shared" si="34"/>
        <v>80.753399999999999</v>
      </c>
      <c r="AE119" s="1160">
        <f t="shared" si="35"/>
        <v>80.753399999999999</v>
      </c>
      <c r="AF119" s="542"/>
      <c r="AG119" s="1160">
        <f t="shared" si="31"/>
        <v>0</v>
      </c>
      <c r="AH119" s="656"/>
      <c r="AI119" s="351"/>
      <c r="AJ119" s="2"/>
      <c r="AK119" s="388"/>
      <c r="AL119" s="388"/>
      <c r="AM119" s="388"/>
      <c r="AN119" s="388"/>
      <c r="AO119" s="370"/>
      <c r="AP119" s="370"/>
      <c r="AQ119" s="386"/>
      <c r="AR119" s="551">
        <v>0</v>
      </c>
      <c r="AS119" s="386">
        <v>10.7</v>
      </c>
      <c r="AT119" s="1171">
        <v>0.31</v>
      </c>
      <c r="AU119" s="386">
        <v>0</v>
      </c>
      <c r="AV119" s="636">
        <v>176.7</v>
      </c>
      <c r="AW119" s="636">
        <v>302.39999999999998</v>
      </c>
      <c r="AX119" s="386">
        <v>0</v>
      </c>
      <c r="AY119" s="551">
        <v>0</v>
      </c>
      <c r="AZ119" s="551">
        <v>0</v>
      </c>
      <c r="BA119" s="551">
        <v>0</v>
      </c>
      <c r="BB119" s="975">
        <v>0</v>
      </c>
      <c r="BC119" s="386">
        <v>0.51</v>
      </c>
      <c r="BD119" s="386">
        <v>1.49</v>
      </c>
      <c r="BE119" s="551">
        <v>0</v>
      </c>
      <c r="BF119" s="386">
        <v>1</v>
      </c>
      <c r="BG119" s="386">
        <v>0</v>
      </c>
      <c r="BH119" s="551">
        <v>0</v>
      </c>
      <c r="BI119" s="386">
        <v>1.01</v>
      </c>
      <c r="BJ119" s="386">
        <v>22.6</v>
      </c>
      <c r="BK119" s="386">
        <v>2.95</v>
      </c>
      <c r="BL119" s="386">
        <v>3.53</v>
      </c>
      <c r="BM119" s="386">
        <v>0</v>
      </c>
      <c r="BN119" s="386">
        <v>16.2</v>
      </c>
      <c r="BO119" s="386">
        <v>1067.4000000000001</v>
      </c>
      <c r="BP119" s="386">
        <v>4.0999999999999996</v>
      </c>
      <c r="BQ119" s="615">
        <v>15.04</v>
      </c>
      <c r="BR119" s="615">
        <v>15.72</v>
      </c>
      <c r="BS119" s="615">
        <v>5.23</v>
      </c>
      <c r="BT119" s="499">
        <v>17.57</v>
      </c>
      <c r="BU119" s="614">
        <v>24.9</v>
      </c>
      <c r="BV119" s="614">
        <v>28</v>
      </c>
      <c r="BW119" s="615">
        <v>746.7</v>
      </c>
      <c r="BX119" s="791"/>
      <c r="BY119" s="615">
        <v>0</v>
      </c>
      <c r="BZ119" s="615">
        <v>1.1299999999999999</v>
      </c>
      <c r="CA119" s="615">
        <v>1.2</v>
      </c>
      <c r="CB119" s="615">
        <v>8.3000000000000007</v>
      </c>
      <c r="CC119" s="615">
        <v>8.3000000000000007</v>
      </c>
      <c r="CD119" s="615">
        <v>16.7</v>
      </c>
      <c r="CE119" s="615">
        <v>33.9</v>
      </c>
      <c r="CF119" s="615">
        <v>15.1</v>
      </c>
      <c r="CG119" s="615">
        <v>7.9</v>
      </c>
      <c r="CH119" s="615">
        <v>13.6</v>
      </c>
      <c r="CI119" s="615">
        <v>17.600000000000001</v>
      </c>
      <c r="CJ119" s="615">
        <v>14.02</v>
      </c>
      <c r="CK119" s="615">
        <v>382.8</v>
      </c>
      <c r="CL119" s="615">
        <v>2.4</v>
      </c>
      <c r="CM119" s="615">
        <v>2.2999999999999998</v>
      </c>
      <c r="CN119" s="615">
        <v>910.1</v>
      </c>
      <c r="CO119" s="615">
        <v>409.2</v>
      </c>
      <c r="CP119" s="615">
        <v>465.6</v>
      </c>
      <c r="CQ119" s="615">
        <v>12</v>
      </c>
      <c r="CR119" s="615">
        <v>0.64</v>
      </c>
      <c r="CS119" s="386">
        <v>2661</v>
      </c>
      <c r="CT119" s="386">
        <v>15.69</v>
      </c>
      <c r="CU119" s="386">
        <v>47</v>
      </c>
      <c r="CV119" s="499">
        <v>0</v>
      </c>
      <c r="CW119" s="499">
        <v>0</v>
      </c>
      <c r="CX119" s="499">
        <v>0</v>
      </c>
      <c r="CY119" s="499">
        <v>0</v>
      </c>
      <c r="CZ119" s="643">
        <v>1549</v>
      </c>
      <c r="DA119" s="643">
        <v>2213</v>
      </c>
      <c r="DB119" s="782">
        <v>1480</v>
      </c>
      <c r="DC119" s="609">
        <v>1150.54</v>
      </c>
      <c r="DD119" s="1153">
        <f t="shared" si="36"/>
        <v>0.36999999999989086</v>
      </c>
      <c r="DE119" s="1154">
        <f t="shared" si="37"/>
        <v>11.75608512</v>
      </c>
      <c r="DF119" s="1154">
        <f t="shared" si="38"/>
        <v>1370</v>
      </c>
      <c r="DG119" s="1154">
        <f t="shared" si="39"/>
        <v>1963</v>
      </c>
      <c r="DH119" s="1155" t="str">
        <f t="shared" si="40"/>
        <v>Palm</v>
      </c>
      <c r="DI119" s="1146">
        <f t="shared" si="41"/>
        <v>733</v>
      </c>
      <c r="DJ119" s="1146">
        <f t="shared" si="42"/>
        <v>3.8318399999999997</v>
      </c>
      <c r="DK119" s="1154">
        <f t="shared" si="43"/>
        <v>11.75608512</v>
      </c>
      <c r="DL119" s="615"/>
      <c r="DM119" s="643"/>
      <c r="DN119" s="615"/>
      <c r="DO119" s="499"/>
      <c r="DP119" s="499"/>
      <c r="DQ119" s="499"/>
      <c r="DR119" s="499"/>
      <c r="DS119" s="499"/>
      <c r="DT119" s="499"/>
      <c r="DU119" s="499"/>
      <c r="DV119" s="499"/>
      <c r="DW119" s="499"/>
      <c r="DX119" s="499"/>
      <c r="DY119" s="499"/>
      <c r="DZ119" s="499"/>
      <c r="EA119" s="499"/>
      <c r="EB119" s="499"/>
      <c r="EC119" s="499"/>
      <c r="ED119" s="499"/>
      <c r="EE119" s="499"/>
      <c r="EF119" s="499"/>
      <c r="EG119" s="1146">
        <f t="shared" si="45"/>
        <v>10.5</v>
      </c>
      <c r="EH119" s="630">
        <v>0</v>
      </c>
      <c r="EI119" s="642">
        <v>1</v>
      </c>
      <c r="EJ119" s="642">
        <v>3</v>
      </c>
      <c r="EK119" s="642">
        <v>6.5</v>
      </c>
      <c r="EL119" s="499"/>
      <c r="EM119" s="499"/>
      <c r="EN119" s="499"/>
      <c r="EO119" s="499"/>
      <c r="EP119" s="499"/>
      <c r="EQ119" s="499"/>
      <c r="ER119" s="499"/>
      <c r="ES119" s="388"/>
      <c r="ET119" s="388"/>
      <c r="EV119" s="1167">
        <f t="shared" si="32"/>
        <v>16.243500000000001</v>
      </c>
    </row>
    <row r="120" spans="1:152" s="350" customFormat="1" ht="15" x14ac:dyDescent="0.25">
      <c r="A120" s="632" t="s">
        <v>8</v>
      </c>
      <c r="B120" s="662">
        <v>42846</v>
      </c>
      <c r="C120" s="1132" t="s">
        <v>904</v>
      </c>
      <c r="D120" s="386">
        <v>0</v>
      </c>
      <c r="E120" s="636">
        <v>0</v>
      </c>
      <c r="F120" s="636">
        <v>56</v>
      </c>
      <c r="G120" s="739">
        <v>2.0499999999999998</v>
      </c>
      <c r="H120" s="609">
        <v>1.83</v>
      </c>
      <c r="I120" s="609">
        <v>15</v>
      </c>
      <c r="J120" s="636">
        <v>0</v>
      </c>
      <c r="K120" s="609">
        <v>1.43</v>
      </c>
      <c r="L120" s="741">
        <v>0</v>
      </c>
      <c r="M120" s="609">
        <v>23.9</v>
      </c>
      <c r="N120" s="609">
        <v>1.27</v>
      </c>
      <c r="O120" s="609">
        <v>1.1294690244138481</v>
      </c>
      <c r="P120" s="609">
        <v>1.23</v>
      </c>
      <c r="Q120" s="609">
        <v>0.59511795488168728</v>
      </c>
      <c r="R120" s="877">
        <v>569.70806686046524</v>
      </c>
      <c r="S120" s="609">
        <v>8.17</v>
      </c>
      <c r="T120" s="609">
        <v>8.25</v>
      </c>
      <c r="U120" s="609">
        <v>0.86</v>
      </c>
      <c r="V120" s="739">
        <v>0.89</v>
      </c>
      <c r="W120" s="739">
        <v>45.14</v>
      </c>
      <c r="X120" s="650">
        <v>44.960000000000008</v>
      </c>
      <c r="Y120" s="738">
        <v>25.6</v>
      </c>
      <c r="Z120" s="739">
        <v>26.6</v>
      </c>
      <c r="AA120" s="739">
        <v>25.64</v>
      </c>
      <c r="AB120" s="739">
        <v>23.97</v>
      </c>
      <c r="AC120" s="1160">
        <f t="shared" si="33"/>
        <v>49.61</v>
      </c>
      <c r="AD120" s="1160">
        <f t="shared" si="34"/>
        <v>76.746669999999995</v>
      </c>
      <c r="AE120" s="1160">
        <f t="shared" si="35"/>
        <v>76.746669999999995</v>
      </c>
      <c r="AF120" s="542"/>
      <c r="AG120" s="1160">
        <f t="shared" si="31"/>
        <v>0</v>
      </c>
      <c r="AH120" s="656"/>
      <c r="AI120" s="351"/>
      <c r="AJ120" s="2"/>
      <c r="AK120" s="388"/>
      <c r="AL120" s="388"/>
      <c r="AM120" s="388"/>
      <c r="AN120" s="388"/>
      <c r="AO120" s="370"/>
      <c r="AP120" s="370"/>
      <c r="AQ120" s="386"/>
      <c r="AR120" s="551">
        <v>0</v>
      </c>
      <c r="AS120" s="386">
        <v>21.8</v>
      </c>
      <c r="AT120" s="386">
        <v>0</v>
      </c>
      <c r="AU120" s="386">
        <v>0</v>
      </c>
      <c r="AV120" s="636">
        <v>583</v>
      </c>
      <c r="AW120" s="636">
        <v>615.5</v>
      </c>
      <c r="AX120" s="386">
        <v>0</v>
      </c>
      <c r="AY120" s="551">
        <v>0</v>
      </c>
      <c r="AZ120" s="551">
        <v>0</v>
      </c>
      <c r="BA120" s="551">
        <v>0</v>
      </c>
      <c r="BB120" s="975">
        <v>0</v>
      </c>
      <c r="BC120" s="386">
        <v>0.64</v>
      </c>
      <c r="BD120" s="386">
        <v>1.67</v>
      </c>
      <c r="BE120" s="551">
        <v>0</v>
      </c>
      <c r="BF120" s="386">
        <v>1</v>
      </c>
      <c r="BG120" s="386">
        <v>0</v>
      </c>
      <c r="BH120" s="551">
        <v>0</v>
      </c>
      <c r="BI120" s="386">
        <v>1.01</v>
      </c>
      <c r="BJ120" s="386">
        <v>19.600000000000001</v>
      </c>
      <c r="BK120" s="386">
        <v>2.88</v>
      </c>
      <c r="BL120" s="386">
        <v>3.6</v>
      </c>
      <c r="BM120" s="386">
        <v>0</v>
      </c>
      <c r="BN120" s="386">
        <v>13.2</v>
      </c>
      <c r="BO120" s="386">
        <v>825.3</v>
      </c>
      <c r="BP120" s="386">
        <v>2</v>
      </c>
      <c r="BQ120" s="499">
        <v>17.77</v>
      </c>
      <c r="BR120" s="499">
        <v>5.4</v>
      </c>
      <c r="BS120" s="615">
        <v>18.61</v>
      </c>
      <c r="BT120" s="499">
        <v>3.59</v>
      </c>
      <c r="BU120" s="614">
        <v>24.4</v>
      </c>
      <c r="BV120" s="614">
        <v>27.8</v>
      </c>
      <c r="BW120" s="615">
        <v>810.9</v>
      </c>
      <c r="BX120" s="791">
        <v>0</v>
      </c>
      <c r="BY120" s="615">
        <v>0</v>
      </c>
      <c r="BZ120" s="615">
        <v>1.19</v>
      </c>
      <c r="CA120" s="615">
        <v>1.3</v>
      </c>
      <c r="CB120" s="615">
        <v>8.3000000000000007</v>
      </c>
      <c r="CC120" s="615">
        <v>8.3000000000000007</v>
      </c>
      <c r="CD120" s="615">
        <v>16.7</v>
      </c>
      <c r="CE120" s="615">
        <v>33.9</v>
      </c>
      <c r="CF120" s="615">
        <v>16.3</v>
      </c>
      <c r="CG120" s="615">
        <v>6.8</v>
      </c>
      <c r="CH120" s="615">
        <v>12.2</v>
      </c>
      <c r="CI120" s="615">
        <v>16.600000000000001</v>
      </c>
      <c r="CJ120" s="615">
        <v>13.27</v>
      </c>
      <c r="CK120" s="615">
        <v>277.7</v>
      </c>
      <c r="CL120" s="615">
        <v>2.2999999999999998</v>
      </c>
      <c r="CM120" s="615">
        <v>2.9</v>
      </c>
      <c r="CN120" s="615">
        <v>784.7</v>
      </c>
      <c r="CO120" s="615">
        <v>424.2</v>
      </c>
      <c r="CP120" s="615">
        <v>456.4</v>
      </c>
      <c r="CQ120" s="615">
        <v>12</v>
      </c>
      <c r="CR120" s="615">
        <v>0.71</v>
      </c>
      <c r="CS120" s="386">
        <v>3591.8</v>
      </c>
      <c r="CT120" s="386">
        <v>15.776999999999999</v>
      </c>
      <c r="CU120" s="386">
        <v>47</v>
      </c>
      <c r="CV120" s="499">
        <v>0</v>
      </c>
      <c r="CW120" s="499">
        <v>0</v>
      </c>
      <c r="CX120" s="499">
        <v>0</v>
      </c>
      <c r="CY120" s="499">
        <v>0</v>
      </c>
      <c r="CZ120" s="643">
        <v>1850</v>
      </c>
      <c r="DA120" s="643">
        <v>2420</v>
      </c>
      <c r="DB120" s="782">
        <v>1740</v>
      </c>
      <c r="DC120" s="609">
        <v>1150.99</v>
      </c>
      <c r="DD120" s="1153">
        <f t="shared" si="36"/>
        <v>0.45000000000004547</v>
      </c>
      <c r="DE120" s="1154">
        <f t="shared" si="37"/>
        <v>15.868285055999999</v>
      </c>
      <c r="DF120" s="1154">
        <f t="shared" si="38"/>
        <v>1630</v>
      </c>
      <c r="DG120" s="1154">
        <f t="shared" si="39"/>
        <v>2170</v>
      </c>
      <c r="DH120" s="1155" t="str">
        <f t="shared" si="40"/>
        <v>Palm</v>
      </c>
      <c r="DI120" s="1146">
        <f t="shared" si="41"/>
        <v>680</v>
      </c>
      <c r="DJ120" s="1146">
        <f t="shared" si="42"/>
        <v>5.1721919999999999</v>
      </c>
      <c r="DK120" s="1154">
        <f t="shared" si="43"/>
        <v>15.868285055999999</v>
      </c>
      <c r="DL120" s="615"/>
      <c r="DM120" s="643"/>
      <c r="DN120" s="615"/>
      <c r="DO120" s="499"/>
      <c r="DP120" s="499"/>
      <c r="DQ120" s="499"/>
      <c r="DR120" s="499"/>
      <c r="DS120" s="499"/>
      <c r="DT120" s="499"/>
      <c r="DU120" s="499"/>
      <c r="DV120" s="499"/>
      <c r="DW120" s="499"/>
      <c r="DX120" s="1131">
        <f>(VLOOKUP(12.93,Lookup!$O$4:$Q$262,3)-VLOOKUP(Sheet1!BR120,Lookup!$O$4:$Q$262,3))/1000000</f>
        <v>10.471097570404314</v>
      </c>
      <c r="DY120" s="630" t="s">
        <v>903</v>
      </c>
      <c r="DZ120" s="499"/>
      <c r="EA120" s="499"/>
      <c r="EB120" s="499"/>
      <c r="EC120" s="499"/>
      <c r="ED120" s="499"/>
      <c r="EE120" s="499"/>
      <c r="EF120" s="499"/>
      <c r="EG120" s="1146">
        <f t="shared" ref="EG120:EG125" si="46">(SUM(EH120:EK120))</f>
        <v>11</v>
      </c>
      <c r="EH120" s="630">
        <v>0</v>
      </c>
      <c r="EI120" s="642">
        <v>1</v>
      </c>
      <c r="EJ120" s="642">
        <v>3.5</v>
      </c>
      <c r="EK120" s="642">
        <v>6.5</v>
      </c>
      <c r="EL120" s="499"/>
      <c r="EM120" s="499"/>
      <c r="EN120" s="499"/>
      <c r="EO120" s="499"/>
      <c r="EP120" s="499"/>
      <c r="EQ120" s="499"/>
      <c r="ER120" s="499"/>
      <c r="ES120" s="388"/>
      <c r="ET120" s="388"/>
      <c r="EV120" s="1167">
        <f t="shared" si="32"/>
        <v>17.016999999999999</v>
      </c>
    </row>
    <row r="121" spans="1:152" s="350" customFormat="1" ht="15" x14ac:dyDescent="0.25">
      <c r="A121" s="632" t="s">
        <v>9</v>
      </c>
      <c r="B121" s="662">
        <v>42847</v>
      </c>
      <c r="C121" s="1132" t="s">
        <v>904</v>
      </c>
      <c r="D121" s="386">
        <v>0.31</v>
      </c>
      <c r="E121" s="636">
        <v>0</v>
      </c>
      <c r="F121" s="636">
        <v>44</v>
      </c>
      <c r="G121" s="739">
        <v>2.0499999999999998</v>
      </c>
      <c r="H121" s="609">
        <v>1.72</v>
      </c>
      <c r="I121" s="609">
        <v>14.7</v>
      </c>
      <c r="J121" s="636">
        <v>0</v>
      </c>
      <c r="K121" s="609">
        <v>1.34</v>
      </c>
      <c r="L121" s="741">
        <v>0</v>
      </c>
      <c r="M121" s="609">
        <v>23.9</v>
      </c>
      <c r="N121" s="609">
        <v>1.28</v>
      </c>
      <c r="O121" s="609">
        <v>1.5497771770724156</v>
      </c>
      <c r="P121" s="609">
        <v>1.24</v>
      </c>
      <c r="Q121" s="609">
        <v>0.58988314881455839</v>
      </c>
      <c r="R121" s="877">
        <v>752.7213662790698</v>
      </c>
      <c r="S121" s="609">
        <v>8.2100000000000009</v>
      </c>
      <c r="T121" s="609">
        <v>8.31</v>
      </c>
      <c r="U121" s="609">
        <v>0.88</v>
      </c>
      <c r="V121" s="739">
        <v>0.92</v>
      </c>
      <c r="W121" s="739">
        <v>45.5</v>
      </c>
      <c r="X121" s="650">
        <v>45.680000000000007</v>
      </c>
      <c r="Y121" s="738">
        <v>25.64</v>
      </c>
      <c r="Z121" s="739">
        <v>23.97</v>
      </c>
      <c r="AA121" s="739">
        <v>25.66</v>
      </c>
      <c r="AB121" s="739">
        <v>24.03</v>
      </c>
      <c r="AC121" s="1160">
        <f t="shared" si="33"/>
        <v>49.69</v>
      </c>
      <c r="AD121" s="1160">
        <f t="shared" si="34"/>
        <v>76.870429999999999</v>
      </c>
      <c r="AE121" s="1160">
        <f t="shared" si="35"/>
        <v>76.870429999999999</v>
      </c>
      <c r="AF121" s="542"/>
      <c r="AG121" s="1160">
        <f t="shared" si="31"/>
        <v>0</v>
      </c>
      <c r="AH121" s="656"/>
      <c r="AI121" s="351"/>
      <c r="AJ121" s="2"/>
      <c r="AK121" s="388"/>
      <c r="AL121" s="388"/>
      <c r="AM121" s="388"/>
      <c r="AN121" s="388"/>
      <c r="AO121" s="370"/>
      <c r="AP121" s="370"/>
      <c r="AQ121" s="386"/>
      <c r="AR121" s="551">
        <v>0</v>
      </c>
      <c r="AS121" s="386">
        <v>11.2</v>
      </c>
      <c r="AT121" s="386">
        <v>0</v>
      </c>
      <c r="AU121" s="386">
        <v>0</v>
      </c>
      <c r="AV121" s="636">
        <v>215.2</v>
      </c>
      <c r="AW121" s="636">
        <v>328.7</v>
      </c>
      <c r="AX121" s="386">
        <v>0</v>
      </c>
      <c r="AY121" s="551">
        <v>0</v>
      </c>
      <c r="AZ121" s="551">
        <v>0</v>
      </c>
      <c r="BA121" s="551">
        <v>0</v>
      </c>
      <c r="BB121" s="975">
        <v>0</v>
      </c>
      <c r="BC121" s="386">
        <v>0.73</v>
      </c>
      <c r="BD121" s="386">
        <v>1.78</v>
      </c>
      <c r="BE121" s="551">
        <v>0</v>
      </c>
      <c r="BF121" s="386">
        <v>1</v>
      </c>
      <c r="BG121" s="386">
        <v>0</v>
      </c>
      <c r="BH121" s="551">
        <v>0</v>
      </c>
      <c r="BI121" s="386">
        <v>1</v>
      </c>
      <c r="BJ121" s="386">
        <v>19.2</v>
      </c>
      <c r="BK121" s="386">
        <v>2.85</v>
      </c>
      <c r="BL121" s="386">
        <v>3.63</v>
      </c>
      <c r="BM121" s="386">
        <v>0</v>
      </c>
      <c r="BN121" s="386">
        <v>13.1</v>
      </c>
      <c r="BO121" s="386">
        <v>1038</v>
      </c>
      <c r="BP121" s="386">
        <v>2</v>
      </c>
      <c r="BQ121" s="615">
        <v>19.850000000000001</v>
      </c>
      <c r="BR121" s="615">
        <v>4.71</v>
      </c>
      <c r="BS121" s="615">
        <v>22.89</v>
      </c>
      <c r="BT121" s="499">
        <v>0</v>
      </c>
      <c r="BU121" s="614">
        <v>24.9</v>
      </c>
      <c r="BV121" s="614">
        <v>25.2</v>
      </c>
      <c r="BW121" s="615">
        <v>600.20000000000005</v>
      </c>
      <c r="BX121" s="791"/>
      <c r="BY121" s="615">
        <v>0</v>
      </c>
      <c r="BZ121" s="615">
        <v>1.23</v>
      </c>
      <c r="CA121" s="615">
        <v>1.3</v>
      </c>
      <c r="CB121" s="615">
        <v>8.3000000000000007</v>
      </c>
      <c r="CC121" s="615">
        <v>8.3000000000000007</v>
      </c>
      <c r="CD121" s="615">
        <v>15.4</v>
      </c>
      <c r="CE121" s="615">
        <v>33.9</v>
      </c>
      <c r="CF121" s="615">
        <v>15.2</v>
      </c>
      <c r="CG121" s="615">
        <v>6.7</v>
      </c>
      <c r="CH121" s="615">
        <v>12</v>
      </c>
      <c r="CI121" s="615">
        <v>16.5</v>
      </c>
      <c r="CJ121" s="615">
        <v>12.36</v>
      </c>
      <c r="CK121" s="615">
        <v>262.2</v>
      </c>
      <c r="CL121" s="615">
        <v>1.8</v>
      </c>
      <c r="CM121" s="615">
        <v>3.3</v>
      </c>
      <c r="CN121" s="615">
        <v>877.8</v>
      </c>
      <c r="CO121" s="615">
        <v>441.4</v>
      </c>
      <c r="CP121" s="615">
        <v>448.4</v>
      </c>
      <c r="CQ121" s="615">
        <v>11.7</v>
      </c>
      <c r="CR121" s="615">
        <v>0.66</v>
      </c>
      <c r="CS121" s="386">
        <v>3562</v>
      </c>
      <c r="CT121" s="386">
        <v>16.05</v>
      </c>
      <c r="CU121" s="386">
        <v>48</v>
      </c>
      <c r="CV121" s="499">
        <v>0</v>
      </c>
      <c r="CW121" s="499">
        <v>0</v>
      </c>
      <c r="CX121" s="499">
        <v>0</v>
      </c>
      <c r="CY121" s="499">
        <v>0</v>
      </c>
      <c r="CZ121" s="643">
        <v>1850</v>
      </c>
      <c r="DA121" s="643">
        <v>2550</v>
      </c>
      <c r="DB121" s="782">
        <v>1740</v>
      </c>
      <c r="DC121" s="609">
        <v>1151.3399999999999</v>
      </c>
      <c r="DD121" s="1153">
        <f t="shared" si="36"/>
        <v>0.34999999999990905</v>
      </c>
      <c r="DE121" s="1154">
        <f t="shared" si="37"/>
        <v>15.736631039999999</v>
      </c>
      <c r="DF121" s="1154">
        <f t="shared" si="38"/>
        <v>1630</v>
      </c>
      <c r="DG121" s="1154">
        <f t="shared" si="39"/>
        <v>2300</v>
      </c>
      <c r="DH121" s="1155" t="str">
        <f t="shared" si="40"/>
        <v>Palm</v>
      </c>
      <c r="DI121" s="1146">
        <f t="shared" si="41"/>
        <v>810</v>
      </c>
      <c r="DJ121" s="1146">
        <f t="shared" si="42"/>
        <v>5.1292799999999996</v>
      </c>
      <c r="DK121" s="1154">
        <f t="shared" si="43"/>
        <v>15.736631039999999</v>
      </c>
      <c r="DL121" s="615"/>
      <c r="DM121" s="643"/>
      <c r="DN121" s="615"/>
      <c r="DO121" s="499"/>
      <c r="DP121" s="499"/>
      <c r="DQ121" s="499"/>
      <c r="DR121" s="499"/>
      <c r="DS121" s="499"/>
      <c r="DT121" s="499"/>
      <c r="DU121" s="499"/>
      <c r="DV121" s="499"/>
      <c r="DW121" s="499"/>
      <c r="DX121" s="1131">
        <f>(VLOOKUP(BR120,Lookup!$O$4:$Q$262,3)-VLOOKUP(Sheet1!BR121,Lookup!$O$4:$Q$262,3))/1000000</f>
        <v>0.82509371571784751</v>
      </c>
      <c r="DY121" s="630" t="s">
        <v>903</v>
      </c>
      <c r="DZ121" s="499"/>
      <c r="EA121" s="499"/>
      <c r="EB121" s="499"/>
      <c r="EC121" s="499"/>
      <c r="ED121" s="499"/>
      <c r="EE121" s="499"/>
      <c r="EF121" s="499"/>
      <c r="EG121" s="1146">
        <f t="shared" si="46"/>
        <v>11</v>
      </c>
      <c r="EH121" s="630">
        <v>0</v>
      </c>
      <c r="EI121" s="642">
        <v>1</v>
      </c>
      <c r="EJ121" s="642">
        <v>3.5</v>
      </c>
      <c r="EK121" s="642">
        <v>6.5</v>
      </c>
      <c r="EL121" s="499"/>
      <c r="EM121" s="499"/>
      <c r="EN121" s="499"/>
      <c r="EO121" s="499"/>
      <c r="EP121" s="499"/>
      <c r="EQ121" s="499"/>
      <c r="ER121" s="499"/>
      <c r="ES121" s="388"/>
      <c r="ET121" s="388"/>
      <c r="EV121" s="1167">
        <f t="shared" si="32"/>
        <v>17.016999999999999</v>
      </c>
    </row>
    <row r="122" spans="1:152" s="350" customFormat="1" ht="15" x14ac:dyDescent="0.25">
      <c r="A122" s="632" t="s">
        <v>3</v>
      </c>
      <c r="B122" s="662">
        <v>42848</v>
      </c>
      <c r="C122" s="1132" t="s">
        <v>904</v>
      </c>
      <c r="D122" s="386">
        <v>0.49</v>
      </c>
      <c r="E122" s="636">
        <v>0</v>
      </c>
      <c r="F122" s="636">
        <v>43</v>
      </c>
      <c r="G122" s="636">
        <v>2.0499999999999998</v>
      </c>
      <c r="H122" s="386">
        <v>1.53</v>
      </c>
      <c r="I122" s="386">
        <v>13.5</v>
      </c>
      <c r="J122" s="636">
        <v>0</v>
      </c>
      <c r="K122" s="386">
        <v>1.22</v>
      </c>
      <c r="L122" s="741">
        <v>0</v>
      </c>
      <c r="M122" s="386">
        <v>23.9</v>
      </c>
      <c r="N122" s="386">
        <v>1.27</v>
      </c>
      <c r="O122" s="609">
        <v>1.3464066187036694</v>
      </c>
      <c r="P122" s="386">
        <v>1.23</v>
      </c>
      <c r="Q122" s="386">
        <v>0.5962176791230076</v>
      </c>
      <c r="R122" s="732">
        <v>658.71453488372094</v>
      </c>
      <c r="S122" s="386">
        <v>8.18</v>
      </c>
      <c r="T122" s="386">
        <v>8.2799999999999994</v>
      </c>
      <c r="U122" s="386">
        <v>0.89</v>
      </c>
      <c r="V122" s="739">
        <v>0.92</v>
      </c>
      <c r="W122" s="739">
        <v>45.5</v>
      </c>
      <c r="X122" s="613">
        <v>45.680000000000007</v>
      </c>
      <c r="Y122" s="367">
        <v>25.66</v>
      </c>
      <c r="Z122" s="636">
        <v>23.93</v>
      </c>
      <c r="AA122" s="636">
        <v>25.7</v>
      </c>
      <c r="AB122" s="636">
        <v>24</v>
      </c>
      <c r="AC122" s="1160">
        <f t="shared" si="33"/>
        <v>49.7</v>
      </c>
      <c r="AD122" s="1160">
        <f t="shared" si="34"/>
        <v>76.885900000000007</v>
      </c>
      <c r="AE122" s="1160">
        <f t="shared" si="35"/>
        <v>76.885900000000007</v>
      </c>
      <c r="AF122" s="542"/>
      <c r="AG122" s="1160">
        <f t="shared" si="31"/>
        <v>0</v>
      </c>
      <c r="AH122" s="656"/>
      <c r="AI122" s="351"/>
      <c r="AJ122" s="2"/>
      <c r="AK122" s="388"/>
      <c r="AL122" s="388"/>
      <c r="AM122" s="388"/>
      <c r="AN122" s="388"/>
      <c r="AO122" s="370"/>
      <c r="AP122" s="370"/>
      <c r="AQ122" s="386"/>
      <c r="AR122" s="551">
        <v>0</v>
      </c>
      <c r="AS122" s="386">
        <v>22.6</v>
      </c>
      <c r="AT122" s="386">
        <v>0</v>
      </c>
      <c r="AU122" s="386">
        <v>0</v>
      </c>
      <c r="AV122" s="636">
        <v>314.89999999999998</v>
      </c>
      <c r="AW122" s="636">
        <v>398.4</v>
      </c>
      <c r="AX122" s="386">
        <v>0</v>
      </c>
      <c r="AY122" s="551">
        <v>0</v>
      </c>
      <c r="AZ122" s="551">
        <v>0</v>
      </c>
      <c r="BA122" s="551">
        <v>0</v>
      </c>
      <c r="BB122" s="975">
        <v>0</v>
      </c>
      <c r="BC122" s="386">
        <v>0.73</v>
      </c>
      <c r="BD122" s="386">
        <v>1.78</v>
      </c>
      <c r="BE122" s="551">
        <v>0</v>
      </c>
      <c r="BF122" s="386">
        <v>1</v>
      </c>
      <c r="BG122" s="386">
        <v>0</v>
      </c>
      <c r="BH122" s="551">
        <v>0</v>
      </c>
      <c r="BI122" s="386">
        <v>1.01</v>
      </c>
      <c r="BJ122" s="386">
        <v>19.399999999999999</v>
      </c>
      <c r="BK122" s="386">
        <v>2.95</v>
      </c>
      <c r="BL122" s="386">
        <v>3.53</v>
      </c>
      <c r="BM122" s="386">
        <v>0</v>
      </c>
      <c r="BN122" s="386">
        <v>13.1</v>
      </c>
      <c r="BO122" s="386">
        <v>1260.4000000000001</v>
      </c>
      <c r="BP122" s="386">
        <v>2</v>
      </c>
      <c r="BQ122" s="499">
        <v>18.510000000000002</v>
      </c>
      <c r="BR122" s="615">
        <v>4.54</v>
      </c>
      <c r="BS122" s="615">
        <v>22.74</v>
      </c>
      <c r="BT122" s="615">
        <v>0</v>
      </c>
      <c r="BU122" s="614">
        <v>24.6</v>
      </c>
      <c r="BV122" s="614">
        <v>30.4</v>
      </c>
      <c r="BW122" s="615">
        <v>742.1</v>
      </c>
      <c r="BX122" s="791"/>
      <c r="BY122" s="615">
        <v>0</v>
      </c>
      <c r="BZ122" s="615">
        <v>1.24</v>
      </c>
      <c r="CA122" s="615">
        <v>1.2</v>
      </c>
      <c r="CB122" s="615">
        <v>8.3000000000000007</v>
      </c>
      <c r="CC122" s="615">
        <v>8.3000000000000007</v>
      </c>
      <c r="CD122" s="615">
        <v>15.6</v>
      </c>
      <c r="CE122" s="615">
        <v>33.9</v>
      </c>
      <c r="CF122" s="615">
        <v>14.8</v>
      </c>
      <c r="CG122" s="615">
        <v>7.5</v>
      </c>
      <c r="CH122" s="615">
        <v>13</v>
      </c>
      <c r="CI122" s="615">
        <v>17.3</v>
      </c>
      <c r="CJ122" s="615">
        <v>12.48</v>
      </c>
      <c r="CK122" s="615">
        <v>308.7</v>
      </c>
      <c r="CL122" s="615">
        <v>2.6</v>
      </c>
      <c r="CM122" s="615">
        <v>3.1</v>
      </c>
      <c r="CN122" s="615">
        <v>1030.9000000000001</v>
      </c>
      <c r="CO122" s="615">
        <v>459.9</v>
      </c>
      <c r="CP122" s="615">
        <v>473.5</v>
      </c>
      <c r="CQ122" s="615">
        <v>12.3</v>
      </c>
      <c r="CR122" s="615">
        <v>0.69</v>
      </c>
      <c r="CS122" s="386">
        <v>3557.9</v>
      </c>
      <c r="CT122" s="386">
        <v>16.681000000000001</v>
      </c>
      <c r="CU122" s="386">
        <v>48</v>
      </c>
      <c r="CV122" s="499">
        <v>0</v>
      </c>
      <c r="CW122" s="499">
        <v>0</v>
      </c>
      <c r="CX122" s="499">
        <v>0</v>
      </c>
      <c r="CY122" s="499">
        <v>0</v>
      </c>
      <c r="CZ122" s="643">
        <v>1847</v>
      </c>
      <c r="DA122" s="643">
        <v>2590</v>
      </c>
      <c r="DB122" s="782">
        <v>1760</v>
      </c>
      <c r="DC122" s="609">
        <v>1151.8599999999999</v>
      </c>
      <c r="DD122" s="1153">
        <f t="shared" si="36"/>
        <v>0.51999999999998181</v>
      </c>
      <c r="DE122" s="1154">
        <f t="shared" si="37"/>
        <v>15.718517568000001</v>
      </c>
      <c r="DF122" s="1154">
        <f t="shared" si="38"/>
        <v>1650</v>
      </c>
      <c r="DG122" s="1154">
        <f t="shared" si="39"/>
        <v>2340</v>
      </c>
      <c r="DH122" s="1155" t="str">
        <f t="shared" si="40"/>
        <v>Palm</v>
      </c>
      <c r="DI122" s="1146">
        <f t="shared" si="41"/>
        <v>830</v>
      </c>
      <c r="DJ122" s="1146">
        <f t="shared" si="42"/>
        <v>5.1233760000000004</v>
      </c>
      <c r="DK122" s="1154">
        <f t="shared" si="43"/>
        <v>15.718517568000001</v>
      </c>
      <c r="DL122" s="615"/>
      <c r="DM122" s="644"/>
      <c r="DN122" s="615"/>
      <c r="DO122" s="499"/>
      <c r="DP122" s="499"/>
      <c r="DQ122" s="499"/>
      <c r="DR122" s="499"/>
      <c r="DS122" s="499"/>
      <c r="DT122" s="499"/>
      <c r="DU122" s="499"/>
      <c r="DV122" s="499"/>
      <c r="DW122" s="499"/>
      <c r="DX122" s="1131">
        <f>(VLOOKUP(BR121,Lookup!$O$4:$Q$262,3)-VLOOKUP(Sheet1!BR122,Lookup!$O$4:$Q$262,3))/1000000</f>
        <v>0.27481497972214036</v>
      </c>
      <c r="DY122" s="630" t="s">
        <v>903</v>
      </c>
      <c r="DZ122" s="499"/>
      <c r="EA122" s="499"/>
      <c r="EB122" s="499"/>
      <c r="EC122" s="499"/>
      <c r="ED122" s="499"/>
      <c r="EE122" s="499"/>
      <c r="EF122" s="499"/>
      <c r="EG122" s="1146">
        <f t="shared" si="46"/>
        <v>11</v>
      </c>
      <c r="EH122" s="630">
        <v>0</v>
      </c>
      <c r="EI122" s="642">
        <v>1</v>
      </c>
      <c r="EJ122" s="642">
        <v>3.5</v>
      </c>
      <c r="EK122" s="642">
        <v>6.5</v>
      </c>
      <c r="EL122" s="499"/>
      <c r="EM122" s="499"/>
      <c r="EN122" s="499"/>
      <c r="EO122" s="499"/>
      <c r="EP122" s="499"/>
      <c r="EQ122" s="499"/>
      <c r="ER122" s="499"/>
      <c r="ES122" s="388"/>
      <c r="ET122" s="388"/>
      <c r="EV122" s="1167">
        <f t="shared" si="32"/>
        <v>17.016999999999999</v>
      </c>
    </row>
    <row r="123" spans="1:152" s="350" customFormat="1" ht="15" x14ac:dyDescent="0.25">
      <c r="A123" s="632" t="s">
        <v>4</v>
      </c>
      <c r="B123" s="662">
        <v>42849</v>
      </c>
      <c r="C123" s="1132" t="s">
        <v>904</v>
      </c>
      <c r="D123" s="386">
        <v>0.3</v>
      </c>
      <c r="E123" s="636">
        <v>0</v>
      </c>
      <c r="F123" s="636">
        <v>44</v>
      </c>
      <c r="G123" s="636">
        <v>2.1</v>
      </c>
      <c r="H123" s="386">
        <v>2.4500000000000002</v>
      </c>
      <c r="I123" s="386">
        <v>13</v>
      </c>
      <c r="J123" s="636">
        <v>0</v>
      </c>
      <c r="K123" s="386">
        <v>1.31</v>
      </c>
      <c r="L123" s="741">
        <v>0</v>
      </c>
      <c r="M123" s="386">
        <v>23.8</v>
      </c>
      <c r="N123" s="386">
        <v>1.2749999999999999</v>
      </c>
      <c r="O123" s="386">
        <v>1.3195991737453789</v>
      </c>
      <c r="P123" s="386">
        <v>1.25</v>
      </c>
      <c r="Q123" s="386">
        <v>0.5913490220308677</v>
      </c>
      <c r="R123" s="732">
        <v>673.71562500000005</v>
      </c>
      <c r="S123" s="386">
        <v>8.2100000000000009</v>
      </c>
      <c r="T123" s="386">
        <v>8.31</v>
      </c>
      <c r="U123" s="386">
        <v>0.89</v>
      </c>
      <c r="V123" s="739">
        <v>0.93500000000000005</v>
      </c>
      <c r="W123" s="739">
        <v>45.5</v>
      </c>
      <c r="X123" s="613">
        <v>45.680000000000007</v>
      </c>
      <c r="Y123" s="367">
        <v>25.7</v>
      </c>
      <c r="Z123" s="636">
        <v>24</v>
      </c>
      <c r="AA123" s="636">
        <v>25.6</v>
      </c>
      <c r="AB123" s="636">
        <v>25.27</v>
      </c>
      <c r="AC123" s="1160">
        <f t="shared" si="33"/>
        <v>50.870000000000005</v>
      </c>
      <c r="AD123" s="1160">
        <f t="shared" si="34"/>
        <v>78.695890000000006</v>
      </c>
      <c r="AE123" s="1160">
        <f t="shared" si="35"/>
        <v>78.695890000000006</v>
      </c>
      <c r="AF123" s="542"/>
      <c r="AG123" s="1160">
        <f t="shared" si="31"/>
        <v>0</v>
      </c>
      <c r="AH123" s="656"/>
      <c r="AI123" s="351"/>
      <c r="AJ123" s="2"/>
      <c r="AK123" s="388"/>
      <c r="AL123" s="388"/>
      <c r="AM123" s="388"/>
      <c r="AN123" s="388"/>
      <c r="AO123" s="370"/>
      <c r="AP123" s="370"/>
      <c r="AQ123" s="386"/>
      <c r="AR123" s="551">
        <v>0</v>
      </c>
      <c r="AS123" s="386">
        <v>10.9</v>
      </c>
      <c r="AT123" s="386">
        <v>0</v>
      </c>
      <c r="AU123" s="386">
        <v>0</v>
      </c>
      <c r="AV123" s="636">
        <v>428.7</v>
      </c>
      <c r="AW123" s="636">
        <v>575.29999999999995</v>
      </c>
      <c r="AX123" s="386">
        <v>0</v>
      </c>
      <c r="AY123" s="551">
        <v>0</v>
      </c>
      <c r="AZ123" s="551">
        <v>0</v>
      </c>
      <c r="BA123" s="551">
        <v>0</v>
      </c>
      <c r="BB123" s="975">
        <v>0</v>
      </c>
      <c r="BC123" s="386">
        <v>0.64</v>
      </c>
      <c r="BD123" s="386">
        <v>1.67</v>
      </c>
      <c r="BE123" s="551">
        <v>0</v>
      </c>
      <c r="BF123" s="386">
        <v>1</v>
      </c>
      <c r="BG123" s="386">
        <v>0</v>
      </c>
      <c r="BH123" s="551">
        <v>0</v>
      </c>
      <c r="BI123" s="386">
        <v>1</v>
      </c>
      <c r="BJ123" s="386">
        <v>21</v>
      </c>
      <c r="BK123" s="386">
        <v>2.95</v>
      </c>
      <c r="BL123" s="386">
        <v>3.53</v>
      </c>
      <c r="BM123" s="386">
        <v>0</v>
      </c>
      <c r="BN123" s="386">
        <v>14.6</v>
      </c>
      <c r="BO123" s="386">
        <v>1034.3</v>
      </c>
      <c r="BP123" s="386">
        <v>2</v>
      </c>
      <c r="BQ123" s="499">
        <v>17.95</v>
      </c>
      <c r="BR123" s="499">
        <v>0.98</v>
      </c>
      <c r="BS123" s="615">
        <v>22.33</v>
      </c>
      <c r="BT123" s="499">
        <v>0</v>
      </c>
      <c r="BU123" s="614">
        <v>24.2</v>
      </c>
      <c r="BV123" s="614">
        <v>28.5</v>
      </c>
      <c r="BW123" s="615">
        <v>743.1</v>
      </c>
      <c r="BX123" s="791"/>
      <c r="BY123" s="615">
        <v>0</v>
      </c>
      <c r="BZ123" s="615">
        <v>1.22</v>
      </c>
      <c r="CA123" s="615">
        <v>1.2</v>
      </c>
      <c r="CB123" s="615">
        <v>8.3000000000000007</v>
      </c>
      <c r="CC123" s="615">
        <v>8.3000000000000007</v>
      </c>
      <c r="CD123" s="615">
        <v>16.2</v>
      </c>
      <c r="CE123" s="615">
        <v>33.9</v>
      </c>
      <c r="CF123" s="615">
        <v>17</v>
      </c>
      <c r="CG123" s="615">
        <v>7.4</v>
      </c>
      <c r="CH123" s="615">
        <v>12.9</v>
      </c>
      <c r="CI123" s="615">
        <v>17.399999999999999</v>
      </c>
      <c r="CJ123" s="615">
        <v>12.89</v>
      </c>
      <c r="CK123" s="615">
        <v>285.7</v>
      </c>
      <c r="CL123" s="615">
        <v>2.9</v>
      </c>
      <c r="CM123" s="615">
        <v>3.4</v>
      </c>
      <c r="CN123" s="615">
        <v>874</v>
      </c>
      <c r="CO123" s="615">
        <v>410.8</v>
      </c>
      <c r="CP123" s="615">
        <v>499</v>
      </c>
      <c r="CQ123" s="615">
        <v>11.4</v>
      </c>
      <c r="CR123" s="615">
        <v>0.66</v>
      </c>
      <c r="CS123" s="386">
        <v>3555.1</v>
      </c>
      <c r="CT123" s="386">
        <v>15.727</v>
      </c>
      <c r="CU123" s="386">
        <v>48</v>
      </c>
      <c r="CV123" s="499">
        <v>0</v>
      </c>
      <c r="CW123" s="499">
        <v>0</v>
      </c>
      <c r="CX123" s="499">
        <v>0</v>
      </c>
      <c r="CY123" s="499">
        <v>0</v>
      </c>
      <c r="CZ123" s="643">
        <v>1970</v>
      </c>
      <c r="DA123" s="643">
        <v>2670</v>
      </c>
      <c r="DB123" s="782">
        <v>1850</v>
      </c>
      <c r="DC123" s="609">
        <v>1152.24</v>
      </c>
      <c r="DD123" s="1153">
        <f t="shared" si="36"/>
        <v>0.38000000000010914</v>
      </c>
      <c r="DE123" s="1154">
        <f t="shared" si="37"/>
        <v>15.706147392</v>
      </c>
      <c r="DF123" s="1154">
        <f t="shared" si="38"/>
        <v>1740</v>
      </c>
      <c r="DG123" s="1154">
        <f t="shared" si="39"/>
        <v>2420</v>
      </c>
      <c r="DH123" s="1155" t="str">
        <f t="shared" si="40"/>
        <v>Palm</v>
      </c>
      <c r="DI123" s="1146">
        <f t="shared" si="41"/>
        <v>820</v>
      </c>
      <c r="DJ123" s="1146">
        <f t="shared" si="42"/>
        <v>5.1193439999999999</v>
      </c>
      <c r="DK123" s="1154">
        <f t="shared" si="43"/>
        <v>15.706147392</v>
      </c>
      <c r="DL123" s="615"/>
      <c r="DM123" s="643"/>
      <c r="DN123" s="615"/>
      <c r="DO123" s="499"/>
      <c r="DP123" s="499"/>
      <c r="DQ123" s="499"/>
      <c r="DR123" s="499"/>
      <c r="DS123" s="499"/>
      <c r="DT123" s="499"/>
      <c r="DU123" s="499"/>
      <c r="DV123" s="499"/>
      <c r="DW123" s="499"/>
      <c r="DX123" s="1131">
        <f>(VLOOKUP(BR122,Lookup!$O$4:$Q$262,3)-VLOOKUP(Sheet1!BR123,Lookup!$O$4:$Q$262,3))/1000000</f>
        <v>4.1340692107674677</v>
      </c>
      <c r="DY123" s="630" t="s">
        <v>903</v>
      </c>
      <c r="DZ123" s="499"/>
      <c r="EA123" s="499"/>
      <c r="EB123" s="499"/>
      <c r="EC123" s="499"/>
      <c r="ED123" s="499"/>
      <c r="EE123" s="499"/>
      <c r="EF123" s="499"/>
      <c r="EG123" s="1146">
        <f t="shared" si="46"/>
        <v>10.5</v>
      </c>
      <c r="EH123" s="630">
        <v>0</v>
      </c>
      <c r="EI123" s="642">
        <v>1</v>
      </c>
      <c r="EJ123" s="642">
        <v>3</v>
      </c>
      <c r="EK123" s="642">
        <v>6.5</v>
      </c>
      <c r="EL123" s="499"/>
      <c r="EM123" s="499"/>
      <c r="EN123" s="499"/>
      <c r="EO123" s="499"/>
      <c r="EP123" s="499"/>
      <c r="EQ123" s="499"/>
      <c r="ER123" s="499"/>
      <c r="ES123" s="388"/>
      <c r="ET123" s="388"/>
      <c r="EV123" s="1167">
        <f t="shared" si="32"/>
        <v>16.243500000000001</v>
      </c>
    </row>
    <row r="124" spans="1:152" s="350" customFormat="1" ht="15" x14ac:dyDescent="0.25">
      <c r="A124" s="632" t="s">
        <v>5</v>
      </c>
      <c r="B124" s="662">
        <v>42850</v>
      </c>
      <c r="C124" s="1132" t="s">
        <v>904</v>
      </c>
      <c r="D124" s="386">
        <v>0.2</v>
      </c>
      <c r="E124" s="636">
        <v>0</v>
      </c>
      <c r="F124" s="636">
        <v>44</v>
      </c>
      <c r="G124" s="636">
        <v>2.2000000000000002</v>
      </c>
      <c r="H124" s="386">
        <v>3.18</v>
      </c>
      <c r="I124" s="386">
        <v>16</v>
      </c>
      <c r="J124" s="636">
        <v>0</v>
      </c>
      <c r="K124" s="386">
        <v>1.35</v>
      </c>
      <c r="L124" s="741">
        <v>0</v>
      </c>
      <c r="M124" s="386">
        <v>23.6</v>
      </c>
      <c r="N124" s="386">
        <v>1.2470000000000001</v>
      </c>
      <c r="O124" s="386">
        <v>1.319512795275515</v>
      </c>
      <c r="P124" s="386">
        <v>1.2889999999999999</v>
      </c>
      <c r="Q124" s="386">
        <v>0.59235371823762528</v>
      </c>
      <c r="R124" s="732">
        <v>685.04978197674427</v>
      </c>
      <c r="S124" s="386">
        <v>8.18</v>
      </c>
      <c r="T124" s="386">
        <v>8.2899999999999991</v>
      </c>
      <c r="U124" s="386">
        <v>0.89100000000000001</v>
      </c>
      <c r="V124" s="739">
        <v>0.93700000000000006</v>
      </c>
      <c r="W124" s="739">
        <v>45.680000000000007</v>
      </c>
      <c r="X124" s="613">
        <v>46.039999999999992</v>
      </c>
      <c r="Y124" s="367">
        <v>25.6</v>
      </c>
      <c r="Z124" s="636">
        <v>25.27</v>
      </c>
      <c r="AA124" s="636">
        <v>25.6</v>
      </c>
      <c r="AB124" s="636">
        <v>25.93</v>
      </c>
      <c r="AC124" s="1160">
        <f t="shared" si="33"/>
        <v>51.53</v>
      </c>
      <c r="AD124" s="1160">
        <f t="shared" si="34"/>
        <v>79.716909999999999</v>
      </c>
      <c r="AE124" s="1160">
        <f t="shared" si="35"/>
        <v>79.716909999999999</v>
      </c>
      <c r="AF124" s="542"/>
      <c r="AG124" s="1160">
        <f t="shared" si="31"/>
        <v>0</v>
      </c>
      <c r="AH124" s="656"/>
      <c r="AI124" s="351"/>
      <c r="AJ124" s="2"/>
      <c r="AK124" s="388"/>
      <c r="AL124" s="388"/>
      <c r="AM124" s="388"/>
      <c r="AN124" s="388"/>
      <c r="AO124" s="370"/>
      <c r="AP124" s="370"/>
      <c r="AQ124" s="386"/>
      <c r="AR124" s="551">
        <v>0</v>
      </c>
      <c r="AS124" s="386">
        <v>21.8</v>
      </c>
      <c r="AT124" s="386">
        <v>0</v>
      </c>
      <c r="AU124" s="386">
        <v>0</v>
      </c>
      <c r="AV124" s="636">
        <v>271.2</v>
      </c>
      <c r="AW124" s="636">
        <v>291.8</v>
      </c>
      <c r="AX124" s="386">
        <v>0</v>
      </c>
      <c r="AY124" s="551">
        <v>0</v>
      </c>
      <c r="AZ124" s="551">
        <v>0</v>
      </c>
      <c r="BA124" s="551">
        <v>0</v>
      </c>
      <c r="BB124" s="975">
        <v>0</v>
      </c>
      <c r="BC124" s="386">
        <v>0.5</v>
      </c>
      <c r="BD124" s="386">
        <v>1.48</v>
      </c>
      <c r="BE124" s="551">
        <v>0</v>
      </c>
      <c r="BF124" s="386">
        <v>0.99</v>
      </c>
      <c r="BG124" s="386">
        <v>0</v>
      </c>
      <c r="BH124" s="551">
        <v>0</v>
      </c>
      <c r="BI124" s="386">
        <v>1</v>
      </c>
      <c r="BJ124" s="386">
        <v>21.9</v>
      </c>
      <c r="BK124" s="386">
        <v>2.95</v>
      </c>
      <c r="BL124" s="386">
        <v>3.54</v>
      </c>
      <c r="BM124" s="386">
        <v>0</v>
      </c>
      <c r="BN124" s="386">
        <v>15.5</v>
      </c>
      <c r="BO124" s="386">
        <v>1135.3</v>
      </c>
      <c r="BP124" s="386">
        <v>2</v>
      </c>
      <c r="BQ124" s="499">
        <v>20.5</v>
      </c>
      <c r="BR124" s="499">
        <v>0.91</v>
      </c>
      <c r="BS124" s="615">
        <v>22.88</v>
      </c>
      <c r="BT124" s="615">
        <v>0</v>
      </c>
      <c r="BU124" s="614">
        <v>24.7</v>
      </c>
      <c r="BV124" s="614">
        <v>24.5</v>
      </c>
      <c r="BW124" s="615">
        <v>744.8</v>
      </c>
      <c r="BX124" s="791"/>
      <c r="BY124" s="615">
        <v>0</v>
      </c>
      <c r="BZ124" s="615">
        <v>1.23</v>
      </c>
      <c r="CA124" s="615">
        <v>1.2</v>
      </c>
      <c r="CB124" s="615">
        <v>8.4</v>
      </c>
      <c r="CC124" s="615">
        <v>8.3000000000000007</v>
      </c>
      <c r="CD124" s="615">
        <v>15.63</v>
      </c>
      <c r="CE124" s="499">
        <v>33.799999999999997</v>
      </c>
      <c r="CF124" s="615">
        <v>15.6</v>
      </c>
      <c r="CG124" s="615">
        <v>8.3000000000000007</v>
      </c>
      <c r="CH124" s="499">
        <v>13.9</v>
      </c>
      <c r="CI124" s="499">
        <v>18.100000000000001</v>
      </c>
      <c r="CJ124" s="499">
        <v>12.63</v>
      </c>
      <c r="CK124" s="499">
        <v>278.7</v>
      </c>
      <c r="CL124" s="499">
        <v>2.1</v>
      </c>
      <c r="CM124" s="499">
        <v>3.1</v>
      </c>
      <c r="CN124" s="615">
        <v>843.7</v>
      </c>
      <c r="CO124" s="499">
        <v>525.29999999999995</v>
      </c>
      <c r="CP124" s="499">
        <v>479.7</v>
      </c>
      <c r="CQ124" s="615">
        <v>11.6</v>
      </c>
      <c r="CR124" s="615">
        <v>0.67</v>
      </c>
      <c r="CS124" s="386">
        <v>3544</v>
      </c>
      <c r="CT124" s="386">
        <v>15.454000000000001</v>
      </c>
      <c r="CU124" s="386">
        <v>48</v>
      </c>
      <c r="CV124" s="499">
        <v>0</v>
      </c>
      <c r="CW124" s="499">
        <v>0</v>
      </c>
      <c r="CX124" s="615">
        <v>0</v>
      </c>
      <c r="CY124" s="499">
        <v>0</v>
      </c>
      <c r="CZ124" s="643">
        <v>2050</v>
      </c>
      <c r="DA124" s="643">
        <v>2690</v>
      </c>
      <c r="DB124" s="782">
        <v>1930</v>
      </c>
      <c r="DC124" s="609">
        <v>1152.3699999999999</v>
      </c>
      <c r="DD124" s="1153">
        <f t="shared" si="36"/>
        <v>0.12999999999988177</v>
      </c>
      <c r="DE124" s="1154">
        <f t="shared" si="37"/>
        <v>15.657108480000002</v>
      </c>
      <c r="DF124" s="1154">
        <f t="shared" si="38"/>
        <v>1820</v>
      </c>
      <c r="DG124" s="1154">
        <f t="shared" si="39"/>
        <v>2440</v>
      </c>
      <c r="DH124" s="1155" t="str">
        <f t="shared" si="40"/>
        <v>Palm</v>
      </c>
      <c r="DI124" s="1146">
        <f t="shared" si="41"/>
        <v>760</v>
      </c>
      <c r="DJ124" s="1146">
        <f t="shared" si="42"/>
        <v>5.1033600000000003</v>
      </c>
      <c r="DK124" s="1154">
        <f t="shared" si="43"/>
        <v>15.657108480000002</v>
      </c>
      <c r="DL124" s="615"/>
      <c r="DM124" s="643"/>
      <c r="DN124" s="615"/>
      <c r="DO124" s="499"/>
      <c r="DP124" s="499"/>
      <c r="DQ124" s="499"/>
      <c r="DR124" s="499"/>
      <c r="DS124" s="499"/>
      <c r="DT124" s="499"/>
      <c r="DU124" s="499"/>
      <c r="DV124" s="499"/>
      <c r="DW124" s="499"/>
      <c r="DX124" s="1131"/>
      <c r="DY124" s="630"/>
      <c r="DZ124" s="499"/>
      <c r="EA124" s="499"/>
      <c r="EB124" s="499"/>
      <c r="EC124" s="499"/>
      <c r="ED124" s="499"/>
      <c r="EE124" s="499"/>
      <c r="EF124" s="499"/>
      <c r="EG124" s="1146">
        <f t="shared" si="46"/>
        <v>10.5</v>
      </c>
      <c r="EH124" s="630">
        <v>0</v>
      </c>
      <c r="EI124" s="642">
        <v>1</v>
      </c>
      <c r="EJ124" s="642">
        <v>3</v>
      </c>
      <c r="EK124" s="642">
        <v>6.5</v>
      </c>
      <c r="EL124" s="499"/>
      <c r="EM124" s="499"/>
      <c r="EN124" s="499"/>
      <c r="EO124" s="499"/>
      <c r="EP124" s="499"/>
      <c r="EQ124" s="499"/>
      <c r="ER124" s="499"/>
      <c r="ES124" s="388"/>
      <c r="ET124" s="388"/>
      <c r="EV124" s="1167">
        <f t="shared" si="32"/>
        <v>16.243500000000001</v>
      </c>
    </row>
    <row r="125" spans="1:152" s="350" customFormat="1" ht="15" x14ac:dyDescent="0.25">
      <c r="A125" s="632" t="s">
        <v>6</v>
      </c>
      <c r="B125" s="662">
        <v>42851</v>
      </c>
      <c r="C125" s="1132" t="s">
        <v>904</v>
      </c>
      <c r="D125" s="386">
        <v>0.11</v>
      </c>
      <c r="E125" s="636">
        <v>0</v>
      </c>
      <c r="F125" s="636">
        <v>43</v>
      </c>
      <c r="G125" s="636">
        <v>2.1</v>
      </c>
      <c r="H125" s="386">
        <v>1.83</v>
      </c>
      <c r="I125" s="386">
        <v>11.7</v>
      </c>
      <c r="J125" s="636">
        <v>0</v>
      </c>
      <c r="K125" s="386">
        <v>1.44</v>
      </c>
      <c r="L125" s="741">
        <v>0</v>
      </c>
      <c r="M125" s="386">
        <v>23.7</v>
      </c>
      <c r="N125" s="386">
        <v>1.26</v>
      </c>
      <c r="O125" s="609">
        <v>1.3425719711176223</v>
      </c>
      <c r="P125" s="386">
        <v>1.27</v>
      </c>
      <c r="Q125" s="386">
        <v>0.59693885871773922</v>
      </c>
      <c r="R125" s="732">
        <v>676.38248546511636</v>
      </c>
      <c r="S125" s="386">
        <v>8.1199999999999992</v>
      </c>
      <c r="T125" s="386">
        <v>8.26</v>
      </c>
      <c r="U125" s="386">
        <v>0.87</v>
      </c>
      <c r="V125" s="739">
        <v>0.79</v>
      </c>
      <c r="W125" s="739">
        <v>46.22</v>
      </c>
      <c r="X125" s="613">
        <v>46.22</v>
      </c>
      <c r="Y125" s="367">
        <v>25.6</v>
      </c>
      <c r="Z125" s="636">
        <v>25.93</v>
      </c>
      <c r="AA125" s="636">
        <v>25.6</v>
      </c>
      <c r="AB125" s="636">
        <v>24.76</v>
      </c>
      <c r="AC125" s="1160">
        <f t="shared" si="33"/>
        <v>50.36</v>
      </c>
      <c r="AD125" s="1160">
        <f t="shared" si="34"/>
        <v>77.90692</v>
      </c>
      <c r="AE125" s="1160">
        <f t="shared" si="35"/>
        <v>77.90692</v>
      </c>
      <c r="AF125" s="542"/>
      <c r="AG125" s="1160">
        <f t="shared" si="31"/>
        <v>0</v>
      </c>
      <c r="AH125" s="656"/>
      <c r="AI125" s="351"/>
      <c r="AJ125" s="2"/>
      <c r="AK125" s="388"/>
      <c r="AL125" s="388"/>
      <c r="AM125" s="388"/>
      <c r="AN125" s="388"/>
      <c r="AO125" s="370"/>
      <c r="AP125" s="370"/>
      <c r="AQ125" s="386"/>
      <c r="AR125" s="551">
        <v>0</v>
      </c>
      <c r="AS125" s="386">
        <v>10.9</v>
      </c>
      <c r="AT125" s="386">
        <v>0</v>
      </c>
      <c r="AU125" s="386">
        <v>0</v>
      </c>
      <c r="AV125" s="636">
        <v>482</v>
      </c>
      <c r="AW125" s="636">
        <v>654</v>
      </c>
      <c r="AX125" s="386">
        <v>0</v>
      </c>
      <c r="AY125" s="551">
        <v>0</v>
      </c>
      <c r="AZ125" s="551">
        <v>0</v>
      </c>
      <c r="BA125" s="551">
        <v>0</v>
      </c>
      <c r="BB125" s="975">
        <v>0</v>
      </c>
      <c r="BC125" s="386">
        <v>0.51</v>
      </c>
      <c r="BD125" s="386">
        <v>1.5</v>
      </c>
      <c r="BE125" s="551">
        <v>0</v>
      </c>
      <c r="BF125" s="386">
        <v>1</v>
      </c>
      <c r="BG125" s="386">
        <v>0</v>
      </c>
      <c r="BH125" s="551">
        <v>0</v>
      </c>
      <c r="BI125" s="386">
        <v>1.01</v>
      </c>
      <c r="BJ125" s="386">
        <v>20.69</v>
      </c>
      <c r="BK125" s="386">
        <v>2.87</v>
      </c>
      <c r="BL125" s="386">
        <v>3.51</v>
      </c>
      <c r="BM125" s="386">
        <v>0</v>
      </c>
      <c r="BN125" s="386">
        <v>14.42</v>
      </c>
      <c r="BO125" s="386">
        <v>979.1</v>
      </c>
      <c r="BP125" s="386">
        <v>2</v>
      </c>
      <c r="BQ125" s="499">
        <v>20.83</v>
      </c>
      <c r="BR125" s="499">
        <v>0.62</v>
      </c>
      <c r="BS125" s="499">
        <v>22.41</v>
      </c>
      <c r="BT125" s="615">
        <v>0</v>
      </c>
      <c r="BU125" s="614">
        <v>23.9</v>
      </c>
      <c r="BV125" s="614">
        <v>27.4</v>
      </c>
      <c r="BW125" s="615">
        <v>784.5</v>
      </c>
      <c r="BX125" s="791"/>
      <c r="BY125" s="615">
        <v>0</v>
      </c>
      <c r="BZ125" s="615">
        <v>1.19</v>
      </c>
      <c r="CA125" s="615">
        <v>1.2</v>
      </c>
      <c r="CB125" s="615">
        <v>8.3000000000000007</v>
      </c>
      <c r="CC125" s="615">
        <v>8.3000000000000007</v>
      </c>
      <c r="CD125" s="499">
        <v>15.9</v>
      </c>
      <c r="CE125" s="499">
        <v>33.9</v>
      </c>
      <c r="CF125" s="499">
        <v>14.7</v>
      </c>
      <c r="CG125" s="499">
        <v>8</v>
      </c>
      <c r="CH125" s="499">
        <v>13.53</v>
      </c>
      <c r="CI125" s="499">
        <v>18</v>
      </c>
      <c r="CJ125" s="499">
        <v>13.31</v>
      </c>
      <c r="CK125" s="499">
        <v>326</v>
      </c>
      <c r="CL125" s="499">
        <v>2.2000000000000002</v>
      </c>
      <c r="CM125" s="499">
        <v>2.4</v>
      </c>
      <c r="CN125" s="615">
        <v>889.4</v>
      </c>
      <c r="CO125" s="499">
        <v>406</v>
      </c>
      <c r="CP125" s="499">
        <v>485.2</v>
      </c>
      <c r="CQ125" s="499">
        <v>12.2</v>
      </c>
      <c r="CR125" s="499">
        <v>0.71</v>
      </c>
      <c r="CS125" s="386">
        <v>3536.5</v>
      </c>
      <c r="CT125" s="386">
        <v>15.46</v>
      </c>
      <c r="CU125" s="386">
        <v>48</v>
      </c>
      <c r="CV125" s="499">
        <v>0</v>
      </c>
      <c r="CW125" s="499">
        <v>0</v>
      </c>
      <c r="CX125" s="499">
        <v>0</v>
      </c>
      <c r="CY125" s="499">
        <v>0</v>
      </c>
      <c r="CZ125" s="643">
        <v>1970</v>
      </c>
      <c r="DA125" s="643">
        <v>2590</v>
      </c>
      <c r="DB125" s="782">
        <v>1860</v>
      </c>
      <c r="DC125" s="609">
        <v>1152.68</v>
      </c>
      <c r="DD125" s="1153">
        <f t="shared" si="36"/>
        <v>0.3100000000001728</v>
      </c>
      <c r="DE125" s="1154">
        <f t="shared" si="37"/>
        <v>15.62397408</v>
      </c>
      <c r="DF125" s="1154">
        <f t="shared" si="38"/>
        <v>1750</v>
      </c>
      <c r="DG125" s="1154">
        <f t="shared" si="39"/>
        <v>2340</v>
      </c>
      <c r="DH125" s="1155" t="str">
        <f t="shared" si="40"/>
        <v>Palm</v>
      </c>
      <c r="DI125" s="1146">
        <f t="shared" si="41"/>
        <v>730</v>
      </c>
      <c r="DJ125" s="1146">
        <f t="shared" si="42"/>
        <v>5.0925599999999998</v>
      </c>
      <c r="DK125" s="1154">
        <f t="shared" si="43"/>
        <v>15.62397408</v>
      </c>
      <c r="DL125" s="615"/>
      <c r="DM125" s="643"/>
      <c r="DN125" s="615"/>
      <c r="DO125" s="499"/>
      <c r="DP125" s="499"/>
      <c r="DQ125" s="499"/>
      <c r="DR125" s="499"/>
      <c r="DS125" s="499"/>
      <c r="DT125" s="499"/>
      <c r="DU125" s="499"/>
      <c r="DV125" s="499"/>
      <c r="DW125" s="499"/>
      <c r="DX125" s="1131"/>
      <c r="DY125" s="630"/>
      <c r="DZ125" s="499"/>
      <c r="EA125" s="499"/>
      <c r="EB125" s="499"/>
      <c r="EC125" s="499"/>
      <c r="ED125" s="499"/>
      <c r="EE125" s="499"/>
      <c r="EF125" s="499"/>
      <c r="EG125" s="1146">
        <f t="shared" si="46"/>
        <v>10.5</v>
      </c>
      <c r="EH125" s="630">
        <v>0</v>
      </c>
      <c r="EI125" s="642">
        <v>1</v>
      </c>
      <c r="EJ125" s="642">
        <v>3</v>
      </c>
      <c r="EK125" s="642">
        <v>6.5</v>
      </c>
      <c r="EL125" s="499"/>
      <c r="EM125" s="499"/>
      <c r="EN125" s="499"/>
      <c r="EO125" s="499"/>
      <c r="EP125" s="499"/>
      <c r="EQ125" s="499"/>
      <c r="ER125" s="499"/>
      <c r="ES125" s="388"/>
      <c r="ET125" s="388"/>
      <c r="EV125" s="1167">
        <f t="shared" si="32"/>
        <v>16.243500000000001</v>
      </c>
    </row>
    <row r="126" spans="1:152" s="350" customFormat="1" ht="15" x14ac:dyDescent="0.25">
      <c r="A126" s="632" t="s">
        <v>7</v>
      </c>
      <c r="B126" s="662">
        <v>42852</v>
      </c>
      <c r="C126" s="1132" t="s">
        <v>904</v>
      </c>
      <c r="D126" s="386">
        <v>0.28999999999999998</v>
      </c>
      <c r="E126" s="636">
        <v>0</v>
      </c>
      <c r="F126" s="636">
        <v>40</v>
      </c>
      <c r="G126" s="636">
        <v>2.1</v>
      </c>
      <c r="H126" s="386">
        <v>1.84</v>
      </c>
      <c r="I126" s="386">
        <v>14.8</v>
      </c>
      <c r="J126" s="636">
        <v>0</v>
      </c>
      <c r="K126" s="386">
        <v>1.46</v>
      </c>
      <c r="L126" s="741">
        <v>0</v>
      </c>
      <c r="M126" s="386">
        <v>23.7</v>
      </c>
      <c r="N126" s="386">
        <v>1.27</v>
      </c>
      <c r="O126" s="609">
        <v>1.3309822203999804</v>
      </c>
      <c r="P126" s="386">
        <v>1.24</v>
      </c>
      <c r="Q126" s="386">
        <v>0.59162106057769104</v>
      </c>
      <c r="R126" s="732">
        <v>649.04716569767447</v>
      </c>
      <c r="S126" s="386">
        <v>8.1300000000000008</v>
      </c>
      <c r="T126" s="386">
        <v>8.2200000000000006</v>
      </c>
      <c r="U126" s="386">
        <v>0.66</v>
      </c>
      <c r="V126" s="739">
        <v>0.71</v>
      </c>
      <c r="W126" s="739">
        <v>45.319999999999993</v>
      </c>
      <c r="X126" s="613">
        <v>45.680000000000007</v>
      </c>
      <c r="Y126" s="367">
        <v>25.6</v>
      </c>
      <c r="Z126" s="636">
        <v>24.7</v>
      </c>
      <c r="AA126" s="636">
        <v>25.6</v>
      </c>
      <c r="AB126" s="636">
        <v>23.6</v>
      </c>
      <c r="AC126" s="1160">
        <f t="shared" si="33"/>
        <v>49.2</v>
      </c>
      <c r="AD126" s="1160">
        <f t="shared" si="34"/>
        <v>76.112400000000008</v>
      </c>
      <c r="AE126" s="1160">
        <f t="shared" si="35"/>
        <v>76.112400000000008</v>
      </c>
      <c r="AF126" s="542"/>
      <c r="AG126" s="1160">
        <f t="shared" si="31"/>
        <v>0</v>
      </c>
      <c r="AH126" s="656"/>
      <c r="AI126" s="351"/>
      <c r="AJ126" s="2"/>
      <c r="AK126" s="388"/>
      <c r="AL126" s="388"/>
      <c r="AM126" s="388"/>
      <c r="AN126" s="388"/>
      <c r="AO126" s="370"/>
      <c r="AP126" s="370"/>
      <c r="AQ126" s="386"/>
      <c r="AR126" s="551">
        <v>0</v>
      </c>
      <c r="AS126" s="386">
        <v>19</v>
      </c>
      <c r="AT126" s="386">
        <v>0</v>
      </c>
      <c r="AU126" s="386">
        <v>0</v>
      </c>
      <c r="AV126" s="636">
        <v>256.89999999999998</v>
      </c>
      <c r="AW126" s="636">
        <v>322.60000000000002</v>
      </c>
      <c r="AX126" s="386">
        <v>0</v>
      </c>
      <c r="AY126" s="551">
        <v>0</v>
      </c>
      <c r="AZ126" s="551">
        <v>0</v>
      </c>
      <c r="BA126" s="551">
        <v>0</v>
      </c>
      <c r="BB126" s="975">
        <v>0</v>
      </c>
      <c r="BC126" s="386">
        <v>0.5</v>
      </c>
      <c r="BD126" s="386">
        <v>1.5</v>
      </c>
      <c r="BE126" s="551">
        <v>0</v>
      </c>
      <c r="BF126" s="386">
        <v>1</v>
      </c>
      <c r="BG126" s="386">
        <v>0</v>
      </c>
      <c r="BH126" s="551">
        <v>0</v>
      </c>
      <c r="BI126" s="386">
        <v>1.01</v>
      </c>
      <c r="BJ126" s="386">
        <v>19.600000000000001</v>
      </c>
      <c r="BK126" s="386">
        <v>2.95</v>
      </c>
      <c r="BL126" s="386">
        <v>3.53</v>
      </c>
      <c r="BM126" s="386">
        <v>0</v>
      </c>
      <c r="BN126" s="386">
        <v>13.2</v>
      </c>
      <c r="BO126" s="386">
        <v>1025.4000000000001</v>
      </c>
      <c r="BP126" s="386">
        <v>2</v>
      </c>
      <c r="BQ126" s="499">
        <v>21.48</v>
      </c>
      <c r="BR126" s="499">
        <v>0.59</v>
      </c>
      <c r="BS126" s="499">
        <v>23.09</v>
      </c>
      <c r="BT126" s="615">
        <v>0</v>
      </c>
      <c r="BU126" s="614">
        <v>24.4</v>
      </c>
      <c r="BV126" s="614">
        <v>27.8</v>
      </c>
      <c r="BW126" s="615">
        <v>681.7</v>
      </c>
      <c r="BX126" s="791"/>
      <c r="BY126" s="615">
        <v>0</v>
      </c>
      <c r="BZ126" s="615">
        <v>1.2</v>
      </c>
      <c r="CA126" s="615">
        <v>1.2</v>
      </c>
      <c r="CB126" s="615">
        <v>8.3000000000000007</v>
      </c>
      <c r="CC126" s="615">
        <v>8.3000000000000007</v>
      </c>
      <c r="CD126" s="615">
        <v>15.2</v>
      </c>
      <c r="CE126" s="615">
        <v>33.9</v>
      </c>
      <c r="CF126" s="615">
        <v>18.100000000000001</v>
      </c>
      <c r="CG126" s="615">
        <v>8.1999999999999993</v>
      </c>
      <c r="CH126" s="615">
        <v>13.8</v>
      </c>
      <c r="CI126" s="615">
        <v>18</v>
      </c>
      <c r="CJ126" s="615">
        <v>12.52</v>
      </c>
      <c r="CK126" s="499">
        <v>275.39999999999998</v>
      </c>
      <c r="CL126" s="499">
        <v>1.8</v>
      </c>
      <c r="CM126" s="499">
        <v>2.4</v>
      </c>
      <c r="CN126" s="615">
        <v>926.9</v>
      </c>
      <c r="CO126" s="499">
        <v>432</v>
      </c>
      <c r="CP126" s="499">
        <v>473.7</v>
      </c>
      <c r="CQ126" s="499">
        <v>11.8</v>
      </c>
      <c r="CR126" s="499">
        <v>0.69</v>
      </c>
      <c r="CS126" s="386">
        <v>3528.8</v>
      </c>
      <c r="CT126" s="386">
        <v>14.949</v>
      </c>
      <c r="CU126" s="386">
        <v>48</v>
      </c>
      <c r="CV126" s="499">
        <v>0</v>
      </c>
      <c r="CW126" s="499">
        <v>0</v>
      </c>
      <c r="CX126" s="499">
        <v>0</v>
      </c>
      <c r="CY126" s="499">
        <v>0</v>
      </c>
      <c r="CZ126" s="643">
        <v>1970</v>
      </c>
      <c r="DA126" s="643">
        <v>2560</v>
      </c>
      <c r="DB126" s="782">
        <v>1850</v>
      </c>
      <c r="DC126" s="609">
        <v>1153.23</v>
      </c>
      <c r="DD126" s="1153">
        <f t="shared" si="36"/>
        <v>0.54999999999995453</v>
      </c>
      <c r="DE126" s="1154">
        <f t="shared" si="37"/>
        <v>15.589956096</v>
      </c>
      <c r="DF126" s="1154">
        <f t="shared" si="38"/>
        <v>1740</v>
      </c>
      <c r="DG126" s="1154">
        <f t="shared" si="39"/>
        <v>2310</v>
      </c>
      <c r="DH126" s="1155" t="str">
        <f t="shared" si="40"/>
        <v>Palm</v>
      </c>
      <c r="DI126" s="1146">
        <f t="shared" si="41"/>
        <v>710</v>
      </c>
      <c r="DJ126" s="1146">
        <f t="shared" si="42"/>
        <v>5.0814719999999998</v>
      </c>
      <c r="DK126" s="1154">
        <f t="shared" si="43"/>
        <v>15.589956096</v>
      </c>
      <c r="DL126" s="615"/>
      <c r="DM126" s="644"/>
      <c r="DN126" s="615"/>
      <c r="DO126" s="499"/>
      <c r="DP126" s="499"/>
      <c r="DQ126" s="499"/>
      <c r="DR126" s="499"/>
      <c r="DS126" s="499"/>
      <c r="DT126" s="499"/>
      <c r="DU126" s="499"/>
      <c r="DV126" s="499"/>
      <c r="DW126" s="499"/>
      <c r="DX126" s="1131"/>
      <c r="DY126" s="499"/>
      <c r="DZ126" s="499"/>
      <c r="EA126" s="499"/>
      <c r="EB126" s="499"/>
      <c r="EC126" s="499"/>
      <c r="ED126" s="499"/>
      <c r="EE126" s="499"/>
      <c r="EF126" s="499"/>
      <c r="EG126" s="1146">
        <f t="shared" ref="EG126:EG132" si="47">(SUM(EH126:EK126))</f>
        <v>10.5</v>
      </c>
      <c r="EH126" s="630">
        <v>0</v>
      </c>
      <c r="EI126" s="642">
        <v>1</v>
      </c>
      <c r="EJ126" s="642">
        <v>3</v>
      </c>
      <c r="EK126" s="642">
        <v>6.5</v>
      </c>
      <c r="EL126" s="499"/>
      <c r="EM126" s="499"/>
      <c r="EN126" s="499"/>
      <c r="EO126" s="499"/>
      <c r="EP126" s="499"/>
      <c r="EQ126" s="499"/>
      <c r="ER126" s="499"/>
      <c r="ES126" s="388"/>
      <c r="ET126" s="388"/>
      <c r="EV126" s="1167">
        <f t="shared" si="32"/>
        <v>16.243500000000001</v>
      </c>
    </row>
    <row r="127" spans="1:152" s="350" customFormat="1" ht="15" x14ac:dyDescent="0.25">
      <c r="A127" s="632" t="s">
        <v>8</v>
      </c>
      <c r="B127" s="662">
        <v>42853</v>
      </c>
      <c r="C127" s="1132" t="s">
        <v>904</v>
      </c>
      <c r="D127" s="386">
        <v>0.1</v>
      </c>
      <c r="E127" s="636">
        <v>0</v>
      </c>
      <c r="F127" s="636">
        <v>42</v>
      </c>
      <c r="G127" s="636">
        <v>1.95</v>
      </c>
      <c r="H127" s="386">
        <v>1.73</v>
      </c>
      <c r="I127" s="386">
        <v>13.5</v>
      </c>
      <c r="J127" s="636">
        <v>0</v>
      </c>
      <c r="K127" s="386">
        <v>1.43</v>
      </c>
      <c r="L127" s="741">
        <v>0</v>
      </c>
      <c r="M127" s="386">
        <v>23.5</v>
      </c>
      <c r="N127" s="386">
        <v>1.2729999999999999</v>
      </c>
      <c r="O127" s="386">
        <v>1.3484884955313596</v>
      </c>
      <c r="P127" s="386">
        <v>1.234</v>
      </c>
      <c r="Q127" s="386">
        <v>0.59313374128455443</v>
      </c>
      <c r="R127" s="732">
        <v>640.04651162790697</v>
      </c>
      <c r="S127" s="386">
        <v>8.18</v>
      </c>
      <c r="T127" s="386">
        <v>8.2799999999999994</v>
      </c>
      <c r="U127" s="386">
        <v>0.60399999999999998</v>
      </c>
      <c r="V127" s="739">
        <v>0.66700000000000004</v>
      </c>
      <c r="W127" s="739">
        <v>45.680000000000007</v>
      </c>
      <c r="X127" s="613">
        <v>46.039999999999992</v>
      </c>
      <c r="Y127" s="367">
        <v>25.6</v>
      </c>
      <c r="Z127" s="636">
        <v>23.6</v>
      </c>
      <c r="AA127" s="636">
        <v>25.6</v>
      </c>
      <c r="AB127" s="636">
        <v>23</v>
      </c>
      <c r="AC127" s="1160">
        <f t="shared" si="33"/>
        <v>48.6</v>
      </c>
      <c r="AD127" s="1160">
        <f t="shared" si="34"/>
        <v>75.184200000000004</v>
      </c>
      <c r="AE127" s="1160">
        <f t="shared" si="35"/>
        <v>75.184200000000004</v>
      </c>
      <c r="AF127" s="542"/>
      <c r="AG127" s="1160">
        <f t="shared" si="31"/>
        <v>0</v>
      </c>
      <c r="AH127" s="656"/>
      <c r="AI127" s="351"/>
      <c r="AJ127" s="2"/>
      <c r="AK127" s="388"/>
      <c r="AL127" s="388"/>
      <c r="AM127" s="388"/>
      <c r="AN127" s="388"/>
      <c r="AO127" s="370"/>
      <c r="AP127" s="370"/>
      <c r="AQ127" s="386"/>
      <c r="AR127" s="551">
        <v>0</v>
      </c>
      <c r="AS127" s="386">
        <v>13.6</v>
      </c>
      <c r="AT127" s="386">
        <v>0</v>
      </c>
      <c r="AU127" s="386">
        <v>0</v>
      </c>
      <c r="AV127" s="636">
        <v>331.5</v>
      </c>
      <c r="AW127" s="636">
        <v>495.2</v>
      </c>
      <c r="AX127" s="386">
        <v>0</v>
      </c>
      <c r="AY127" s="551">
        <v>0</v>
      </c>
      <c r="AZ127" s="551">
        <v>0</v>
      </c>
      <c r="BA127" s="551">
        <v>0</v>
      </c>
      <c r="BB127" s="975">
        <v>0</v>
      </c>
      <c r="BC127" s="386">
        <v>0.51</v>
      </c>
      <c r="BD127" s="386">
        <v>1.49</v>
      </c>
      <c r="BE127" s="551">
        <v>0</v>
      </c>
      <c r="BF127" s="386">
        <v>1</v>
      </c>
      <c r="BG127" s="386">
        <v>0</v>
      </c>
      <c r="BH127" s="551">
        <v>0</v>
      </c>
      <c r="BI127" s="386">
        <v>1.01</v>
      </c>
      <c r="BJ127" s="386">
        <v>18.899999999999999</v>
      </c>
      <c r="BK127" s="386">
        <v>2.95</v>
      </c>
      <c r="BL127" s="386">
        <v>3.53</v>
      </c>
      <c r="BM127" s="386">
        <v>0</v>
      </c>
      <c r="BN127" s="386">
        <v>12.6</v>
      </c>
      <c r="BO127" s="386">
        <v>1016.7</v>
      </c>
      <c r="BP127" s="386">
        <v>2</v>
      </c>
      <c r="BQ127" s="499">
        <v>21.52</v>
      </c>
      <c r="BR127" s="499">
        <v>0.62</v>
      </c>
      <c r="BS127" s="615">
        <v>22.8</v>
      </c>
      <c r="BT127" s="615">
        <v>0</v>
      </c>
      <c r="BU127" s="614">
        <v>24.2</v>
      </c>
      <c r="BV127" s="614">
        <v>28.3</v>
      </c>
      <c r="BW127" s="615">
        <v>719.2</v>
      </c>
      <c r="BX127" s="791"/>
      <c r="BY127" s="615">
        <v>0</v>
      </c>
      <c r="BZ127" s="615">
        <v>1.22</v>
      </c>
      <c r="CA127" s="615">
        <v>1.2</v>
      </c>
      <c r="CB127" s="615">
        <v>8.3000000000000007</v>
      </c>
      <c r="CC127" s="615">
        <v>8.3000000000000007</v>
      </c>
      <c r="CD127" s="615">
        <v>15</v>
      </c>
      <c r="CE127" s="615">
        <v>33.9</v>
      </c>
      <c r="CF127" s="615">
        <v>17</v>
      </c>
      <c r="CG127" s="615">
        <v>8.1999999999999993</v>
      </c>
      <c r="CH127" s="615">
        <v>14</v>
      </c>
      <c r="CI127" s="615">
        <v>18</v>
      </c>
      <c r="CJ127" s="615">
        <v>12.3</v>
      </c>
      <c r="CK127" s="499">
        <v>336.2</v>
      </c>
      <c r="CL127" s="615">
        <v>1.8</v>
      </c>
      <c r="CM127" s="499">
        <v>2.1</v>
      </c>
      <c r="CN127" s="615">
        <v>881.2</v>
      </c>
      <c r="CO127" s="499">
        <v>450.7</v>
      </c>
      <c r="CP127" s="499">
        <v>473.3</v>
      </c>
      <c r="CQ127" s="499">
        <v>12.9</v>
      </c>
      <c r="CR127" s="615">
        <v>0.76</v>
      </c>
      <c r="CS127" s="386">
        <v>3517.6</v>
      </c>
      <c r="CT127" s="386">
        <v>15.94</v>
      </c>
      <c r="CU127" s="386">
        <v>48</v>
      </c>
      <c r="CV127" s="499">
        <v>0</v>
      </c>
      <c r="CW127" s="499">
        <v>0</v>
      </c>
      <c r="CX127" s="499">
        <v>0</v>
      </c>
      <c r="CY127" s="499">
        <v>0</v>
      </c>
      <c r="CZ127" s="643">
        <v>1770</v>
      </c>
      <c r="DA127" s="643">
        <v>2330</v>
      </c>
      <c r="DB127" s="782">
        <v>1670</v>
      </c>
      <c r="DC127" s="609">
        <v>1153.6300000000001</v>
      </c>
      <c r="DD127" s="1153">
        <f t="shared" si="36"/>
        <v>0.40000000000009095</v>
      </c>
      <c r="DE127" s="1154">
        <f t="shared" si="37"/>
        <v>15.540475391999999</v>
      </c>
      <c r="DF127" s="1154">
        <f t="shared" si="38"/>
        <v>1560</v>
      </c>
      <c r="DG127" s="1154">
        <f t="shared" si="39"/>
        <v>2080</v>
      </c>
      <c r="DH127" s="1155" t="str">
        <f t="shared" si="40"/>
        <v>Palm</v>
      </c>
      <c r="DI127" s="1146">
        <f t="shared" si="41"/>
        <v>660</v>
      </c>
      <c r="DJ127" s="1146">
        <f t="shared" si="42"/>
        <v>5.0653439999999996</v>
      </c>
      <c r="DK127" s="1154">
        <f t="shared" si="43"/>
        <v>15.540475391999999</v>
      </c>
      <c r="DL127" s="615"/>
      <c r="DM127" s="643"/>
      <c r="DN127" s="615"/>
      <c r="DO127" s="499"/>
      <c r="DP127" s="499"/>
      <c r="DQ127" s="499"/>
      <c r="DR127" s="499"/>
      <c r="DS127" s="499"/>
      <c r="DT127" s="499"/>
      <c r="DU127" s="499"/>
      <c r="DV127" s="499"/>
      <c r="DW127" s="499"/>
      <c r="DX127" s="499"/>
      <c r="DY127" s="499"/>
      <c r="DZ127" s="499"/>
      <c r="EA127" s="499"/>
      <c r="EB127" s="499"/>
      <c r="EC127" s="499"/>
      <c r="ED127" s="499"/>
      <c r="EE127" s="499"/>
      <c r="EF127" s="499"/>
      <c r="EG127" s="1146">
        <f t="shared" si="47"/>
        <v>11</v>
      </c>
      <c r="EH127" s="630">
        <v>0</v>
      </c>
      <c r="EI127" s="642">
        <v>1</v>
      </c>
      <c r="EJ127" s="642">
        <v>3.5</v>
      </c>
      <c r="EK127" s="642">
        <v>6.5</v>
      </c>
      <c r="EL127" s="499"/>
      <c r="EM127" s="499"/>
      <c r="EN127" s="499"/>
      <c r="EO127" s="499"/>
      <c r="EP127" s="499"/>
      <c r="EQ127" s="499"/>
      <c r="ER127" s="499"/>
      <c r="ES127" s="388"/>
      <c r="ET127" s="388"/>
      <c r="EV127" s="1167">
        <f t="shared" si="32"/>
        <v>17.016999999999999</v>
      </c>
    </row>
    <row r="128" spans="1:152" s="350" customFormat="1" ht="15" x14ac:dyDescent="0.25">
      <c r="A128" s="632" t="s">
        <v>9</v>
      </c>
      <c r="B128" s="662">
        <v>42854</v>
      </c>
      <c r="C128" s="1132" t="s">
        <v>904</v>
      </c>
      <c r="D128" s="386">
        <v>0.21</v>
      </c>
      <c r="E128" s="636">
        <v>0</v>
      </c>
      <c r="F128" s="636">
        <v>48</v>
      </c>
      <c r="G128" s="636">
        <v>2</v>
      </c>
      <c r="H128" s="386">
        <v>1.81</v>
      </c>
      <c r="I128" s="386">
        <v>15</v>
      </c>
      <c r="J128" s="636">
        <v>0</v>
      </c>
      <c r="K128" s="386">
        <v>1.5</v>
      </c>
      <c r="L128" s="741">
        <v>0</v>
      </c>
      <c r="M128" s="386">
        <v>23.3</v>
      </c>
      <c r="N128" s="386">
        <v>1.256</v>
      </c>
      <c r="O128" s="386">
        <v>1.3447846866378443</v>
      </c>
      <c r="P128" s="386">
        <v>1.2509999999999999</v>
      </c>
      <c r="Q128" s="386">
        <v>0.59296032726815806</v>
      </c>
      <c r="R128" s="732">
        <v>636.71293604651169</v>
      </c>
      <c r="S128" s="386">
        <v>8.06</v>
      </c>
      <c r="T128" s="386">
        <v>8.18</v>
      </c>
      <c r="U128" s="386">
        <v>0.628</v>
      </c>
      <c r="V128" s="739">
        <v>0.67500000000000004</v>
      </c>
      <c r="W128" s="739">
        <v>45.5</v>
      </c>
      <c r="X128" s="613">
        <v>45.5</v>
      </c>
      <c r="Y128" s="367">
        <v>25.6</v>
      </c>
      <c r="Z128" s="636">
        <v>23</v>
      </c>
      <c r="AA128" s="636">
        <v>25.6</v>
      </c>
      <c r="AB128" s="636">
        <v>22.19</v>
      </c>
      <c r="AC128" s="1160">
        <f t="shared" si="33"/>
        <v>47.790000000000006</v>
      </c>
      <c r="AD128" s="1160">
        <f t="shared" si="34"/>
        <v>73.93113000000001</v>
      </c>
      <c r="AE128" s="1160">
        <f t="shared" si="35"/>
        <v>73.93113000000001</v>
      </c>
      <c r="AF128" s="542"/>
      <c r="AG128" s="1160">
        <f t="shared" si="31"/>
        <v>0</v>
      </c>
      <c r="AH128" s="656"/>
      <c r="AI128" s="351"/>
      <c r="AJ128" s="2"/>
      <c r="AK128" s="388"/>
      <c r="AL128" s="388"/>
      <c r="AM128" s="388"/>
      <c r="AN128" s="388"/>
      <c r="AO128" s="370"/>
      <c r="AP128" s="370"/>
      <c r="AQ128" s="386"/>
      <c r="AR128" s="551">
        <v>0</v>
      </c>
      <c r="AS128" s="386">
        <v>11.6</v>
      </c>
      <c r="AT128" s="386">
        <v>0</v>
      </c>
      <c r="AU128" s="386">
        <v>0</v>
      </c>
      <c r="AV128" s="636">
        <v>429.7</v>
      </c>
      <c r="AW128" s="636">
        <v>547.70000000000005</v>
      </c>
      <c r="AX128" s="386">
        <v>0</v>
      </c>
      <c r="AY128" s="551">
        <v>0</v>
      </c>
      <c r="AZ128" s="551">
        <v>0</v>
      </c>
      <c r="BA128" s="551">
        <v>0</v>
      </c>
      <c r="BB128" s="975">
        <v>0</v>
      </c>
      <c r="BC128" s="386">
        <v>0.51</v>
      </c>
      <c r="BD128" s="386">
        <v>1.49</v>
      </c>
      <c r="BE128" s="551">
        <v>0</v>
      </c>
      <c r="BF128" s="386">
        <v>1</v>
      </c>
      <c r="BG128" s="386">
        <v>0</v>
      </c>
      <c r="BH128" s="551">
        <v>0</v>
      </c>
      <c r="BI128" s="386">
        <v>1.01</v>
      </c>
      <c r="BJ128" s="386">
        <v>18.100000000000001</v>
      </c>
      <c r="BK128" s="386">
        <v>2.95</v>
      </c>
      <c r="BL128" s="386">
        <v>3.53</v>
      </c>
      <c r="BM128" s="386">
        <v>0</v>
      </c>
      <c r="BN128" s="386">
        <v>11.8</v>
      </c>
      <c r="BO128" s="386">
        <v>1034.3</v>
      </c>
      <c r="BP128" s="386">
        <v>2</v>
      </c>
      <c r="BQ128" s="499">
        <v>19.09</v>
      </c>
      <c r="BR128" s="499">
        <v>0.62</v>
      </c>
      <c r="BS128" s="615">
        <v>22.5</v>
      </c>
      <c r="BT128" s="615">
        <v>0</v>
      </c>
      <c r="BU128" s="614">
        <v>23.9</v>
      </c>
      <c r="BV128" s="614">
        <v>31.9</v>
      </c>
      <c r="BW128" s="615">
        <v>760.5</v>
      </c>
      <c r="BX128" s="791"/>
      <c r="BY128" s="615">
        <v>0</v>
      </c>
      <c r="BZ128" s="615">
        <v>1.21</v>
      </c>
      <c r="CA128" s="615">
        <v>1.2</v>
      </c>
      <c r="CB128" s="615">
        <v>8.3000000000000007</v>
      </c>
      <c r="CC128" s="615">
        <v>8.3000000000000007</v>
      </c>
      <c r="CD128" s="615">
        <v>15.6</v>
      </c>
      <c r="CE128" s="615">
        <v>33.9</v>
      </c>
      <c r="CF128" s="615">
        <v>15.7</v>
      </c>
      <c r="CG128" s="615">
        <v>8.1</v>
      </c>
      <c r="CH128" s="615">
        <v>13.8</v>
      </c>
      <c r="CI128" s="615">
        <v>17.8</v>
      </c>
      <c r="CJ128" s="615">
        <v>12.9</v>
      </c>
      <c r="CK128" s="499">
        <v>342.4</v>
      </c>
      <c r="CL128" s="615">
        <v>2.5</v>
      </c>
      <c r="CM128" s="499">
        <v>2.5</v>
      </c>
      <c r="CN128" s="615">
        <v>942.2</v>
      </c>
      <c r="CO128" s="499">
        <v>491.9</v>
      </c>
      <c r="CP128" s="499">
        <v>478.8</v>
      </c>
      <c r="CQ128" s="499">
        <v>12.7</v>
      </c>
      <c r="CR128" s="615">
        <v>0.74</v>
      </c>
      <c r="CS128" s="386">
        <v>3511.6</v>
      </c>
      <c r="CT128" s="386">
        <v>16.265999999999998</v>
      </c>
      <c r="CU128" s="386">
        <v>48</v>
      </c>
      <c r="CV128" s="499">
        <v>0</v>
      </c>
      <c r="CW128" s="499">
        <v>0</v>
      </c>
      <c r="CX128" s="499">
        <v>0</v>
      </c>
      <c r="CY128" s="499">
        <v>0</v>
      </c>
      <c r="CZ128" s="643">
        <v>1770</v>
      </c>
      <c r="DA128" s="643">
        <v>2310</v>
      </c>
      <c r="DB128" s="782">
        <v>1680</v>
      </c>
      <c r="DC128" s="609">
        <v>1153.75</v>
      </c>
      <c r="DD128" s="1153">
        <f t="shared" si="36"/>
        <v>0.11999999999989086</v>
      </c>
      <c r="DE128" s="1154">
        <f t="shared" si="37"/>
        <v>15.513967872</v>
      </c>
      <c r="DF128" s="1154">
        <f t="shared" si="38"/>
        <v>1570</v>
      </c>
      <c r="DG128" s="1154">
        <f t="shared" si="39"/>
        <v>2060</v>
      </c>
      <c r="DH128" s="1155" t="str">
        <f t="shared" si="40"/>
        <v>Palm</v>
      </c>
      <c r="DI128" s="1146">
        <f t="shared" si="41"/>
        <v>630</v>
      </c>
      <c r="DJ128" s="1146">
        <f t="shared" si="42"/>
        <v>5.0567039999999999</v>
      </c>
      <c r="DK128" s="1154">
        <f t="shared" si="43"/>
        <v>15.513967872</v>
      </c>
      <c r="DL128" s="615"/>
      <c r="DM128" s="643"/>
      <c r="DN128" s="615"/>
      <c r="DO128" s="499"/>
      <c r="DP128" s="499"/>
      <c r="DQ128" s="499"/>
      <c r="DR128" s="499"/>
      <c r="DS128" s="499"/>
      <c r="DT128" s="499"/>
      <c r="DU128" s="499"/>
      <c r="DV128" s="499"/>
      <c r="DW128" s="499"/>
      <c r="DX128" s="499"/>
      <c r="DY128" s="499"/>
      <c r="DZ128" s="499"/>
      <c r="EA128" s="499"/>
      <c r="EB128" s="499"/>
      <c r="EC128" s="499"/>
      <c r="ED128" s="499"/>
      <c r="EE128" s="499"/>
      <c r="EF128" s="499"/>
      <c r="EG128" s="1146">
        <f t="shared" si="47"/>
        <v>11</v>
      </c>
      <c r="EH128" s="630">
        <v>0</v>
      </c>
      <c r="EI128" s="642">
        <v>1</v>
      </c>
      <c r="EJ128" s="642">
        <v>3.5</v>
      </c>
      <c r="EK128" s="642">
        <v>6.5</v>
      </c>
      <c r="EL128" s="499"/>
      <c r="EM128" s="499"/>
      <c r="EN128" s="499"/>
      <c r="EO128" s="499"/>
      <c r="EP128" s="499"/>
      <c r="EQ128" s="499"/>
      <c r="ER128" s="499"/>
      <c r="ES128" s="388"/>
      <c r="ET128" s="388"/>
      <c r="EV128" s="1167">
        <f t="shared" si="32"/>
        <v>17.016999999999999</v>
      </c>
    </row>
    <row r="129" spans="1:152" s="350" customFormat="1" ht="15" x14ac:dyDescent="0.25">
      <c r="A129" s="632" t="s">
        <v>3</v>
      </c>
      <c r="B129" s="662">
        <v>42855</v>
      </c>
      <c r="C129" s="1132" t="s">
        <v>904</v>
      </c>
      <c r="D129" s="386">
        <v>0.31</v>
      </c>
      <c r="E129" s="636">
        <v>0</v>
      </c>
      <c r="F129" s="636">
        <v>43</v>
      </c>
      <c r="G129" s="636">
        <v>2</v>
      </c>
      <c r="H129" s="386">
        <v>1.9</v>
      </c>
      <c r="I129" s="386">
        <v>15</v>
      </c>
      <c r="J129" s="636">
        <v>0</v>
      </c>
      <c r="K129" s="386">
        <v>1.57</v>
      </c>
      <c r="L129" s="741">
        <v>0</v>
      </c>
      <c r="M129" s="386">
        <v>23.4</v>
      </c>
      <c r="N129" s="386">
        <v>1.22</v>
      </c>
      <c r="O129" s="386">
        <v>1.3383709016392642</v>
      </c>
      <c r="P129" s="386">
        <v>1.258</v>
      </c>
      <c r="Q129" s="386">
        <v>0.59350422777014022</v>
      </c>
      <c r="R129" s="732">
        <v>662.04811046511634</v>
      </c>
      <c r="S129" s="386">
        <v>8.0500000000000007</v>
      </c>
      <c r="T129" s="386">
        <v>8.1</v>
      </c>
      <c r="U129" s="386">
        <v>0.621</v>
      </c>
      <c r="V129" s="739">
        <v>0.68799999999999994</v>
      </c>
      <c r="W129" s="739">
        <v>45.680000000000007</v>
      </c>
      <c r="X129" s="613">
        <v>45.680000000000007</v>
      </c>
      <c r="Y129" s="367">
        <v>25.6</v>
      </c>
      <c r="Z129" s="636">
        <v>22.1</v>
      </c>
      <c r="AA129" s="636">
        <v>25.6</v>
      </c>
      <c r="AB129" s="636">
        <v>24.2</v>
      </c>
      <c r="AC129" s="1160">
        <f t="shared" si="33"/>
        <v>49.8</v>
      </c>
      <c r="AD129" s="1160">
        <f t="shared" si="34"/>
        <v>77.040599999999998</v>
      </c>
      <c r="AE129" s="1160">
        <f t="shared" si="35"/>
        <v>77.040599999999998</v>
      </c>
      <c r="AF129" s="542"/>
      <c r="AG129" s="1160">
        <f t="shared" si="31"/>
        <v>0</v>
      </c>
      <c r="AH129" s="656"/>
      <c r="AI129" s="351"/>
      <c r="AJ129" s="2"/>
      <c r="AK129" s="388"/>
      <c r="AL129" s="388"/>
      <c r="AM129" s="388"/>
      <c r="AN129" s="388"/>
      <c r="AO129" s="370"/>
      <c r="AP129" s="370"/>
      <c r="AQ129" s="386"/>
      <c r="AR129" s="551">
        <v>0</v>
      </c>
      <c r="AS129" s="386">
        <v>21.4</v>
      </c>
      <c r="AT129" s="386">
        <v>0</v>
      </c>
      <c r="AU129" s="386">
        <v>0</v>
      </c>
      <c r="AV129" s="636">
        <v>338.6</v>
      </c>
      <c r="AW129" s="636">
        <v>438.1</v>
      </c>
      <c r="AX129" s="386">
        <v>0</v>
      </c>
      <c r="AY129" s="551">
        <v>0</v>
      </c>
      <c r="AZ129" s="551">
        <v>0</v>
      </c>
      <c r="BA129" s="551">
        <v>0</v>
      </c>
      <c r="BB129" s="975">
        <v>0</v>
      </c>
      <c r="BC129" s="386">
        <v>0.51</v>
      </c>
      <c r="BD129" s="386">
        <v>1.49</v>
      </c>
      <c r="BE129" s="551">
        <v>0</v>
      </c>
      <c r="BF129" s="386">
        <v>1</v>
      </c>
      <c r="BG129" s="386">
        <v>0</v>
      </c>
      <c r="BH129" s="551">
        <v>0</v>
      </c>
      <c r="BI129" s="386">
        <v>1.01</v>
      </c>
      <c r="BJ129" s="386">
        <v>20.2</v>
      </c>
      <c r="BK129" s="386">
        <v>2.94</v>
      </c>
      <c r="BL129" s="386">
        <v>3.53</v>
      </c>
      <c r="BM129" s="386">
        <v>0</v>
      </c>
      <c r="BN129" s="386">
        <v>13.8</v>
      </c>
      <c r="BO129" s="386">
        <v>1148.3</v>
      </c>
      <c r="BP129" s="386">
        <v>2</v>
      </c>
      <c r="BQ129" s="499">
        <v>19.03</v>
      </c>
      <c r="BR129" s="499">
        <v>0.62</v>
      </c>
      <c r="BS129" s="615">
        <v>22.8</v>
      </c>
      <c r="BT129" s="615">
        <v>0</v>
      </c>
      <c r="BU129" s="614">
        <v>24.2</v>
      </c>
      <c r="BV129" s="614">
        <v>28.6</v>
      </c>
      <c r="BW129" s="615">
        <v>785.9</v>
      </c>
      <c r="BX129" s="791"/>
      <c r="BY129" s="615">
        <v>0</v>
      </c>
      <c r="BZ129" s="615">
        <v>1.2</v>
      </c>
      <c r="CA129" s="615">
        <v>1.2</v>
      </c>
      <c r="CB129" s="615">
        <v>8.3000000000000007</v>
      </c>
      <c r="CC129" s="615">
        <v>8.3000000000000007</v>
      </c>
      <c r="CD129" s="615">
        <v>15.6</v>
      </c>
      <c r="CE129" s="615">
        <v>33.9</v>
      </c>
      <c r="CF129" s="615">
        <v>14.4</v>
      </c>
      <c r="CG129" s="615">
        <v>8.1</v>
      </c>
      <c r="CH129" s="615">
        <v>13.9</v>
      </c>
      <c r="CI129" s="615">
        <v>17.899999999999999</v>
      </c>
      <c r="CJ129" s="615">
        <v>12.8</v>
      </c>
      <c r="CK129" s="499">
        <v>315.3</v>
      </c>
      <c r="CL129" s="615">
        <v>2</v>
      </c>
      <c r="CM129" s="499">
        <v>2.2000000000000002</v>
      </c>
      <c r="CN129" s="615">
        <v>1094.5999999999999</v>
      </c>
      <c r="CO129" s="499">
        <v>508.8</v>
      </c>
      <c r="CP129" s="499">
        <v>477.7</v>
      </c>
      <c r="CQ129" s="499">
        <v>12.4</v>
      </c>
      <c r="CR129" s="615">
        <v>0.7</v>
      </c>
      <c r="CS129" s="386">
        <v>3511</v>
      </c>
      <c r="CT129" s="386">
        <v>16.045000000000002</v>
      </c>
      <c r="CU129" s="386">
        <v>48</v>
      </c>
      <c r="CV129" s="499">
        <v>0</v>
      </c>
      <c r="CW129" s="499">
        <v>0</v>
      </c>
      <c r="CX129" s="499">
        <v>0</v>
      </c>
      <c r="CY129" s="499">
        <v>0</v>
      </c>
      <c r="CZ129" s="643">
        <v>1770</v>
      </c>
      <c r="DA129" s="643">
        <v>2290</v>
      </c>
      <c r="DB129" s="782">
        <v>1680</v>
      </c>
      <c r="DC129" s="609">
        <v>1153.96</v>
      </c>
      <c r="DD129" s="1153">
        <f t="shared" si="36"/>
        <v>0.21000000000003638</v>
      </c>
      <c r="DE129" s="1154">
        <f t="shared" si="37"/>
        <v>15.511317119999999</v>
      </c>
      <c r="DF129" s="1154">
        <f t="shared" si="38"/>
        <v>1570</v>
      </c>
      <c r="DG129" s="1154">
        <f t="shared" si="39"/>
        <v>2040</v>
      </c>
      <c r="DH129" s="1155" t="str">
        <f t="shared" si="40"/>
        <v>Palm</v>
      </c>
      <c r="DI129" s="1146">
        <f t="shared" si="41"/>
        <v>610</v>
      </c>
      <c r="DJ129" s="1146">
        <f t="shared" si="42"/>
        <v>5.0558399999999999</v>
      </c>
      <c r="DK129" s="1154">
        <f t="shared" si="43"/>
        <v>15.511317119999999</v>
      </c>
      <c r="DL129" s="615"/>
      <c r="DM129" s="643"/>
      <c r="DN129" s="615"/>
      <c r="DO129" s="499"/>
      <c r="DP129" s="499"/>
      <c r="DQ129" s="499"/>
      <c r="DR129" s="499"/>
      <c r="DS129" s="499"/>
      <c r="DT129" s="499"/>
      <c r="DU129" s="499"/>
      <c r="DV129" s="499"/>
      <c r="DW129" s="499"/>
      <c r="DX129" s="499"/>
      <c r="DY129" s="499"/>
      <c r="DZ129" s="499"/>
      <c r="EA129" s="499"/>
      <c r="EB129" s="499"/>
      <c r="EC129" s="499"/>
      <c r="ED129" s="499"/>
      <c r="EE129" s="499"/>
      <c r="EF129" s="499"/>
      <c r="EG129" s="1146">
        <f t="shared" si="47"/>
        <v>11</v>
      </c>
      <c r="EH129" s="630">
        <v>0</v>
      </c>
      <c r="EI129" s="642">
        <v>1</v>
      </c>
      <c r="EJ129" s="642">
        <v>3.5</v>
      </c>
      <c r="EK129" s="642">
        <v>6.5</v>
      </c>
      <c r="EL129" s="499"/>
      <c r="EM129" s="499"/>
      <c r="EN129" s="499"/>
      <c r="EO129" s="499"/>
      <c r="EP129" s="499"/>
      <c r="EQ129" s="499"/>
      <c r="ER129" s="499"/>
      <c r="ES129" s="388"/>
      <c r="ET129" s="388"/>
      <c r="EV129" s="1167">
        <f t="shared" si="32"/>
        <v>17.016999999999999</v>
      </c>
    </row>
    <row r="130" spans="1:152" s="350" customFormat="1" ht="15" x14ac:dyDescent="0.25">
      <c r="A130" s="632" t="s">
        <v>4</v>
      </c>
      <c r="B130" s="662">
        <v>42856</v>
      </c>
      <c r="C130" s="1132" t="s">
        <v>904</v>
      </c>
      <c r="D130" s="386">
        <v>0.17</v>
      </c>
      <c r="E130" s="636">
        <v>0</v>
      </c>
      <c r="F130" s="636">
        <v>43</v>
      </c>
      <c r="G130" s="636">
        <v>2.2000000000000002</v>
      </c>
      <c r="H130" s="386">
        <v>1.65</v>
      </c>
      <c r="I130" s="386">
        <v>13.8</v>
      </c>
      <c r="J130" s="636">
        <v>0</v>
      </c>
      <c r="K130" s="386">
        <v>1.56</v>
      </c>
      <c r="L130" s="741">
        <v>0</v>
      </c>
      <c r="M130" s="386">
        <v>23.3</v>
      </c>
      <c r="N130" s="386">
        <v>1.23</v>
      </c>
      <c r="O130" s="386">
        <v>1.3267118863049097</v>
      </c>
      <c r="P130" s="386">
        <v>1.25</v>
      </c>
      <c r="Q130" s="386">
        <v>0.59449238798514792</v>
      </c>
      <c r="R130" s="732">
        <v>668.71526162790701</v>
      </c>
      <c r="S130" s="386">
        <v>8.07</v>
      </c>
      <c r="T130" s="386">
        <v>8.16</v>
      </c>
      <c r="U130" s="386">
        <v>0.621</v>
      </c>
      <c r="V130" s="739">
        <v>0.68</v>
      </c>
      <c r="W130" s="739">
        <v>45.5</v>
      </c>
      <c r="X130" s="613">
        <v>45.680000000000007</v>
      </c>
      <c r="Y130" s="367">
        <v>25.6</v>
      </c>
      <c r="Z130" s="636">
        <v>24.2</v>
      </c>
      <c r="AA130" s="636">
        <v>25.6</v>
      </c>
      <c r="AB130" s="636">
        <v>24.9</v>
      </c>
      <c r="AC130" s="1160">
        <f t="shared" si="33"/>
        <v>50.5</v>
      </c>
      <c r="AD130" s="1160">
        <f t="shared" si="34"/>
        <v>78.123499999999993</v>
      </c>
      <c r="AE130" s="1160">
        <f t="shared" si="35"/>
        <v>78.123499999999993</v>
      </c>
      <c r="AF130" s="542"/>
      <c r="AG130" s="1160">
        <f t="shared" si="31"/>
        <v>0</v>
      </c>
      <c r="AH130" s="896"/>
      <c r="AI130" s="351"/>
      <c r="AJ130" s="897"/>
      <c r="AK130" s="388"/>
      <c r="AL130" s="388"/>
      <c r="AM130" s="388"/>
      <c r="AN130" s="388"/>
      <c r="AO130" s="370"/>
      <c r="AP130" s="370"/>
      <c r="AQ130" s="927"/>
      <c r="AR130" s="551">
        <v>0</v>
      </c>
      <c r="AS130" s="386">
        <v>10.9</v>
      </c>
      <c r="AT130" s="386">
        <v>0</v>
      </c>
      <c r="AU130" s="386">
        <v>0</v>
      </c>
      <c r="AV130" s="636">
        <v>576</v>
      </c>
      <c r="AW130" s="636">
        <v>622.9</v>
      </c>
      <c r="AX130" s="386">
        <v>0</v>
      </c>
      <c r="AY130" s="551">
        <v>0</v>
      </c>
      <c r="AZ130" s="551">
        <v>0</v>
      </c>
      <c r="BA130" s="551">
        <v>0</v>
      </c>
      <c r="BB130" s="975">
        <v>0</v>
      </c>
      <c r="BC130" s="386">
        <v>0.65</v>
      </c>
      <c r="BD130" s="386">
        <v>1.68</v>
      </c>
      <c r="BE130" s="551">
        <v>0</v>
      </c>
      <c r="BF130" s="386">
        <v>0.99</v>
      </c>
      <c r="BG130" s="386">
        <v>0</v>
      </c>
      <c r="BH130" s="551">
        <v>0</v>
      </c>
      <c r="BI130" s="386">
        <v>1.01</v>
      </c>
      <c r="BJ130" s="386">
        <v>20.6</v>
      </c>
      <c r="BK130" s="386">
        <v>2.95</v>
      </c>
      <c r="BL130" s="386">
        <v>3.54</v>
      </c>
      <c r="BM130" s="386">
        <v>0</v>
      </c>
      <c r="BN130" s="386">
        <v>14.2</v>
      </c>
      <c r="BO130" s="386">
        <v>924.3</v>
      </c>
      <c r="BP130" s="386">
        <v>2</v>
      </c>
      <c r="BQ130" s="1131">
        <v>18.600000000000001</v>
      </c>
      <c r="BR130" s="1131">
        <v>0.62</v>
      </c>
      <c r="BS130" s="499">
        <v>22.3</v>
      </c>
      <c r="BT130" s="615">
        <v>0</v>
      </c>
      <c r="BU130" s="614">
        <v>23.7</v>
      </c>
      <c r="BV130" s="614">
        <v>28.4</v>
      </c>
      <c r="BW130" s="615">
        <v>740.2</v>
      </c>
      <c r="BX130" s="791"/>
      <c r="BY130" s="615">
        <v>0</v>
      </c>
      <c r="BZ130" s="615">
        <v>1.19</v>
      </c>
      <c r="CA130" s="615">
        <v>1.1000000000000001</v>
      </c>
      <c r="CB130" s="615">
        <v>8.4</v>
      </c>
      <c r="CC130" s="615">
        <v>8.3000000000000007</v>
      </c>
      <c r="CD130" s="615">
        <v>14.6</v>
      </c>
      <c r="CE130" s="615">
        <v>33.9</v>
      </c>
      <c r="CF130" s="615">
        <v>17.8</v>
      </c>
      <c r="CG130" s="615">
        <v>7.4</v>
      </c>
      <c r="CH130" s="615">
        <v>12.9</v>
      </c>
      <c r="CI130" s="615">
        <v>17.3</v>
      </c>
      <c r="CJ130" s="615">
        <v>11.9</v>
      </c>
      <c r="CK130" s="499">
        <v>313.60000000000002</v>
      </c>
      <c r="CL130" s="615">
        <v>1.9</v>
      </c>
      <c r="CM130" s="499">
        <v>3.2</v>
      </c>
      <c r="CN130" s="615">
        <v>927</v>
      </c>
      <c r="CO130" s="499">
        <v>454.6</v>
      </c>
      <c r="CP130" s="499">
        <v>494.9</v>
      </c>
      <c r="CQ130" s="499">
        <v>12.9</v>
      </c>
      <c r="CR130" s="615">
        <v>0.74</v>
      </c>
      <c r="CS130" s="386">
        <v>3503.6</v>
      </c>
      <c r="CT130" s="386">
        <v>17.059999999999999</v>
      </c>
      <c r="CU130" s="386">
        <v>48</v>
      </c>
      <c r="CV130" s="499">
        <v>0</v>
      </c>
      <c r="CW130" s="499">
        <v>0</v>
      </c>
      <c r="CX130" s="499">
        <v>0</v>
      </c>
      <c r="CY130" s="499">
        <v>0</v>
      </c>
      <c r="CZ130" s="643">
        <v>1880</v>
      </c>
      <c r="DA130" s="643">
        <v>2400</v>
      </c>
      <c r="DB130" s="782">
        <v>1790</v>
      </c>
      <c r="DC130" s="609">
        <v>1154.48</v>
      </c>
      <c r="DD130" s="1153">
        <f t="shared" si="36"/>
        <v>0.51999999999998181</v>
      </c>
      <c r="DE130" s="1154">
        <f t="shared" si="37"/>
        <v>15.478624512</v>
      </c>
      <c r="DF130" s="1154">
        <f t="shared" si="38"/>
        <v>1680</v>
      </c>
      <c r="DG130" s="1154">
        <f t="shared" si="39"/>
        <v>2150</v>
      </c>
      <c r="DH130" s="1155" t="str">
        <f t="shared" si="40"/>
        <v>Palm</v>
      </c>
      <c r="DI130" s="1146">
        <f t="shared" si="41"/>
        <v>610</v>
      </c>
      <c r="DJ130" s="1146">
        <f t="shared" si="42"/>
        <v>5.0451839999999999</v>
      </c>
      <c r="DK130" s="1154">
        <f t="shared" si="43"/>
        <v>15.478624512</v>
      </c>
      <c r="DL130" s="615"/>
      <c r="DM130" s="643"/>
      <c r="DN130" s="615"/>
      <c r="DO130" s="499"/>
      <c r="DP130" s="499"/>
      <c r="DQ130" s="499"/>
      <c r="DR130" s="499"/>
      <c r="DS130" s="499"/>
      <c r="DT130" s="499"/>
      <c r="DU130" s="499"/>
      <c r="DV130" s="499"/>
      <c r="DW130" s="499"/>
      <c r="DX130" s="499"/>
      <c r="DY130" s="499"/>
      <c r="DZ130" s="499"/>
      <c r="EA130" s="499"/>
      <c r="EB130" s="499"/>
      <c r="EC130" s="499"/>
      <c r="ED130" s="499"/>
      <c r="EE130" s="499"/>
      <c r="EF130" s="499"/>
      <c r="EG130" s="1146">
        <f t="shared" si="47"/>
        <v>11</v>
      </c>
      <c r="EH130" s="630">
        <v>0</v>
      </c>
      <c r="EI130" s="642">
        <v>1</v>
      </c>
      <c r="EJ130" s="642">
        <v>3.5</v>
      </c>
      <c r="EK130" s="642">
        <v>6.5</v>
      </c>
      <c r="EL130" s="499"/>
      <c r="EM130" s="499"/>
      <c r="EN130" s="499"/>
      <c r="EO130" s="499"/>
      <c r="EP130" s="499"/>
      <c r="EQ130" s="499"/>
      <c r="ER130" s="499"/>
      <c r="ES130" s="388"/>
      <c r="ET130" s="388"/>
      <c r="EV130" s="1167">
        <f t="shared" si="32"/>
        <v>17.016999999999999</v>
      </c>
    </row>
    <row r="131" spans="1:152" s="350" customFormat="1" ht="15" x14ac:dyDescent="0.25">
      <c r="A131" s="632" t="s">
        <v>5</v>
      </c>
      <c r="B131" s="662">
        <v>42857</v>
      </c>
      <c r="C131" s="1132" t="s">
        <v>904</v>
      </c>
      <c r="D131" s="386">
        <v>0.03</v>
      </c>
      <c r="E131" s="636">
        <v>0</v>
      </c>
      <c r="F131" s="636">
        <v>53</v>
      </c>
      <c r="G131" s="636">
        <v>2.2000000000000002</v>
      </c>
      <c r="H131" s="386">
        <v>1.59</v>
      </c>
      <c r="I131" s="386">
        <v>12.6</v>
      </c>
      <c r="J131" s="636">
        <v>0</v>
      </c>
      <c r="K131" s="386">
        <v>1.58</v>
      </c>
      <c r="L131" s="741">
        <v>0</v>
      </c>
      <c r="M131" s="386">
        <v>23.3</v>
      </c>
      <c r="N131" s="386">
        <v>1.34</v>
      </c>
      <c r="O131" s="386">
        <v>1.6747115778453474</v>
      </c>
      <c r="P131" s="386">
        <v>1.23</v>
      </c>
      <c r="Q131" s="386">
        <v>0.23697428650422814</v>
      </c>
      <c r="R131" s="732">
        <v>764.7222383720931</v>
      </c>
      <c r="S131" s="386">
        <v>8.1199999999999992</v>
      </c>
      <c r="T131" s="386">
        <v>8.1999999999999993</v>
      </c>
      <c r="U131" s="386">
        <v>0.66</v>
      </c>
      <c r="V131" s="739">
        <v>0.71</v>
      </c>
      <c r="W131" s="739">
        <v>45.5</v>
      </c>
      <c r="X131" s="613">
        <v>45.5</v>
      </c>
      <c r="Y131" s="367">
        <v>25.6</v>
      </c>
      <c r="Z131" s="636">
        <v>24.9</v>
      </c>
      <c r="AA131" s="636">
        <v>25.6</v>
      </c>
      <c r="AB131" s="636">
        <v>26.43</v>
      </c>
      <c r="AC131" s="1160">
        <f t="shared" si="33"/>
        <v>52.03</v>
      </c>
      <c r="AD131" s="1160">
        <f t="shared" si="34"/>
        <v>80.490409999999997</v>
      </c>
      <c r="AE131" s="1160">
        <f t="shared" si="35"/>
        <v>80.490409999999997</v>
      </c>
      <c r="AF131" s="542"/>
      <c r="AG131" s="1160">
        <f t="shared" si="31"/>
        <v>0</v>
      </c>
      <c r="AH131" s="896"/>
      <c r="AI131" s="351"/>
      <c r="AJ131" s="897"/>
      <c r="AK131" s="388"/>
      <c r="AL131" s="388"/>
      <c r="AM131" s="388"/>
      <c r="AN131" s="388"/>
      <c r="AO131" s="370"/>
      <c r="AP131" s="370"/>
      <c r="AQ131" s="927"/>
      <c r="AR131" s="551">
        <v>0</v>
      </c>
      <c r="AS131" s="386">
        <v>22.6</v>
      </c>
      <c r="AT131" s="386">
        <v>0</v>
      </c>
      <c r="AU131" s="386">
        <v>0</v>
      </c>
      <c r="AV131" s="636">
        <v>259.60000000000002</v>
      </c>
      <c r="AW131" s="636">
        <v>370.7</v>
      </c>
      <c r="AX131" s="386">
        <v>0</v>
      </c>
      <c r="AY131" s="551">
        <v>0</v>
      </c>
      <c r="AZ131" s="551">
        <v>0</v>
      </c>
      <c r="BA131" s="551">
        <v>0</v>
      </c>
      <c r="BB131" s="975">
        <v>0</v>
      </c>
      <c r="BC131" s="386">
        <v>0.73</v>
      </c>
      <c r="BD131" s="386">
        <v>1.78</v>
      </c>
      <c r="BE131" s="551">
        <v>0</v>
      </c>
      <c r="BF131" s="386">
        <v>0.99</v>
      </c>
      <c r="BG131" s="386">
        <v>0</v>
      </c>
      <c r="BH131" s="551">
        <v>0</v>
      </c>
      <c r="BI131" s="386">
        <v>1.01</v>
      </c>
      <c r="BJ131" s="386">
        <v>21.9</v>
      </c>
      <c r="BK131" s="386">
        <v>2.95</v>
      </c>
      <c r="BL131" s="386">
        <v>3.54</v>
      </c>
      <c r="BM131" s="386">
        <v>0</v>
      </c>
      <c r="BN131" s="386">
        <v>15.5</v>
      </c>
      <c r="BO131" s="386">
        <v>1117.9000000000001</v>
      </c>
      <c r="BP131" s="386">
        <v>10.1</v>
      </c>
      <c r="BQ131" s="1131">
        <v>19.5</v>
      </c>
      <c r="BR131" s="1131">
        <v>0.61</v>
      </c>
      <c r="BS131" s="499">
        <v>22.5</v>
      </c>
      <c r="BT131" s="499">
        <v>0</v>
      </c>
      <c r="BU131" s="614">
        <v>23.8</v>
      </c>
      <c r="BV131" s="614">
        <v>26.6</v>
      </c>
      <c r="BW131" s="615">
        <v>737.6</v>
      </c>
      <c r="BX131" s="791"/>
      <c r="BY131" s="615">
        <v>0</v>
      </c>
      <c r="BZ131" s="615">
        <v>1.22</v>
      </c>
      <c r="CA131" s="615">
        <v>1.2</v>
      </c>
      <c r="CB131" s="615">
        <v>8.3000000000000007</v>
      </c>
      <c r="CC131" s="615">
        <v>8.3000000000000007</v>
      </c>
      <c r="CD131" s="499">
        <v>15.6</v>
      </c>
      <c r="CE131" s="499">
        <v>33.799999999999997</v>
      </c>
      <c r="CF131" s="499">
        <v>16.7</v>
      </c>
      <c r="CG131" s="499">
        <v>7.9</v>
      </c>
      <c r="CH131" s="499">
        <v>13.4</v>
      </c>
      <c r="CI131" s="499">
        <v>17.8</v>
      </c>
      <c r="CJ131" s="499">
        <v>12.9</v>
      </c>
      <c r="CK131" s="499">
        <v>343.2</v>
      </c>
      <c r="CL131" s="615">
        <v>1.9</v>
      </c>
      <c r="CM131" s="499">
        <v>0.9</v>
      </c>
      <c r="CN131" s="615">
        <v>895.1</v>
      </c>
      <c r="CO131" s="499">
        <v>444.6</v>
      </c>
      <c r="CP131" s="615">
        <v>487.7</v>
      </c>
      <c r="CQ131" s="499">
        <v>12.4</v>
      </c>
      <c r="CR131" s="499">
        <v>0.72</v>
      </c>
      <c r="CS131" s="386">
        <v>3498.5</v>
      </c>
      <c r="CT131" s="386">
        <v>14.526999999999999</v>
      </c>
      <c r="CU131" s="386">
        <v>48</v>
      </c>
      <c r="CV131" s="499">
        <v>0</v>
      </c>
      <c r="CW131" s="499">
        <v>0</v>
      </c>
      <c r="CX131" s="499">
        <v>0</v>
      </c>
      <c r="CY131" s="499">
        <v>0</v>
      </c>
      <c r="CZ131" s="643">
        <v>1884</v>
      </c>
      <c r="DA131" s="643">
        <v>2403</v>
      </c>
      <c r="DB131" s="782">
        <v>1780</v>
      </c>
      <c r="DC131" s="609">
        <v>1154.72</v>
      </c>
      <c r="DD131" s="1153">
        <f t="shared" si="36"/>
        <v>0.24000000000000909</v>
      </c>
      <c r="DE131" s="1154">
        <f t="shared" si="37"/>
        <v>15.45609312</v>
      </c>
      <c r="DF131" s="1154">
        <f t="shared" si="38"/>
        <v>1670</v>
      </c>
      <c r="DG131" s="1154">
        <f t="shared" si="39"/>
        <v>2153</v>
      </c>
      <c r="DH131" s="1155" t="str">
        <f t="shared" si="40"/>
        <v>Palm</v>
      </c>
      <c r="DI131" s="1146">
        <f t="shared" si="41"/>
        <v>623</v>
      </c>
      <c r="DJ131" s="1146">
        <f t="shared" si="42"/>
        <v>5.0378400000000001</v>
      </c>
      <c r="DK131" s="1154">
        <f t="shared" si="43"/>
        <v>15.45609312</v>
      </c>
      <c r="DL131" s="615"/>
      <c r="DM131" s="643"/>
      <c r="DN131" s="615"/>
      <c r="DO131" s="499"/>
      <c r="DP131" s="499"/>
      <c r="DQ131" s="499"/>
      <c r="DR131" s="499"/>
      <c r="DS131" s="499"/>
      <c r="DT131" s="499"/>
      <c r="DU131" s="499"/>
      <c r="DV131" s="499"/>
      <c r="DW131" s="499"/>
      <c r="DX131" s="499"/>
      <c r="DY131" s="499"/>
      <c r="DZ131" s="499"/>
      <c r="EA131" s="499"/>
      <c r="EB131" s="499"/>
      <c r="EC131" s="499"/>
      <c r="ED131" s="499"/>
      <c r="EE131" s="499"/>
      <c r="EF131" s="499"/>
      <c r="EG131" s="1146">
        <f t="shared" si="47"/>
        <v>11</v>
      </c>
      <c r="EH131" s="630">
        <v>0</v>
      </c>
      <c r="EI131" s="642">
        <v>1</v>
      </c>
      <c r="EJ131" s="642">
        <v>3.5</v>
      </c>
      <c r="EK131" s="642">
        <v>6.5</v>
      </c>
      <c r="EL131" s="499"/>
      <c r="EM131" s="499"/>
      <c r="EN131" s="499"/>
      <c r="EO131" s="499"/>
      <c r="EP131" s="499"/>
      <c r="EQ131" s="499"/>
      <c r="ER131" s="499"/>
      <c r="ES131" s="388"/>
      <c r="ET131" s="388"/>
      <c r="EV131" s="1167">
        <f t="shared" si="32"/>
        <v>17.016999999999999</v>
      </c>
    </row>
    <row r="132" spans="1:152" s="350" customFormat="1" ht="15" x14ac:dyDescent="0.25">
      <c r="A132" s="632" t="s">
        <v>6</v>
      </c>
      <c r="B132" s="662">
        <v>42858</v>
      </c>
      <c r="C132" s="1132" t="s">
        <v>904</v>
      </c>
      <c r="D132" s="386">
        <v>0.15</v>
      </c>
      <c r="E132" s="636">
        <v>0</v>
      </c>
      <c r="F132" s="636">
        <v>60</v>
      </c>
      <c r="G132" s="636">
        <v>2.1</v>
      </c>
      <c r="H132" s="386">
        <v>2.2400000000000002</v>
      </c>
      <c r="I132" s="386">
        <v>13.7</v>
      </c>
      <c r="J132" s="636">
        <v>0</v>
      </c>
      <c r="K132" s="386">
        <v>1.76</v>
      </c>
      <c r="L132" s="741">
        <v>0</v>
      </c>
      <c r="M132" s="386">
        <v>23.3</v>
      </c>
      <c r="N132" s="386">
        <v>1.3220000000000001</v>
      </c>
      <c r="O132" s="386">
        <v>1.6991473982002196</v>
      </c>
      <c r="P132" s="386">
        <v>1.3109999999999999</v>
      </c>
      <c r="Q132" s="386">
        <v>0</v>
      </c>
      <c r="R132" s="732">
        <v>739.72042151162793</v>
      </c>
      <c r="S132" s="386">
        <v>8.2899999999999991</v>
      </c>
      <c r="T132" s="386">
        <v>8.33</v>
      </c>
      <c r="U132" s="386">
        <v>0.71899999999999997</v>
      </c>
      <c r="V132" s="739">
        <v>0.72299999999999998</v>
      </c>
      <c r="W132" s="739">
        <v>46.039999999999992</v>
      </c>
      <c r="X132" s="613">
        <v>45.860000000000014</v>
      </c>
      <c r="Y132" s="367">
        <v>25.6</v>
      </c>
      <c r="Z132" s="636">
        <v>26.43</v>
      </c>
      <c r="AA132" s="636">
        <v>25.7</v>
      </c>
      <c r="AB132" s="636">
        <v>26.97</v>
      </c>
      <c r="AC132" s="1160">
        <f t="shared" si="33"/>
        <v>52.67</v>
      </c>
      <c r="AD132" s="1160">
        <f t="shared" si="34"/>
        <v>81.480490000000003</v>
      </c>
      <c r="AE132" s="1160">
        <f t="shared" si="35"/>
        <v>81.480490000000003</v>
      </c>
      <c r="AF132" s="542"/>
      <c r="AG132" s="1160">
        <f t="shared" si="31"/>
        <v>0</v>
      </c>
      <c r="AH132" s="896"/>
      <c r="AI132" s="351"/>
      <c r="AJ132" s="897"/>
      <c r="AK132" s="388"/>
      <c r="AL132" s="388"/>
      <c r="AM132" s="388"/>
      <c r="AN132" s="388"/>
      <c r="AO132" s="370"/>
      <c r="AP132" s="370"/>
      <c r="AQ132" s="927"/>
      <c r="AR132" s="551">
        <v>0</v>
      </c>
      <c r="AS132" s="386">
        <v>10.8</v>
      </c>
      <c r="AT132" s="386">
        <v>0</v>
      </c>
      <c r="AU132" s="386">
        <v>0</v>
      </c>
      <c r="AV132" s="636">
        <v>473.4</v>
      </c>
      <c r="AW132" s="636">
        <v>549.9</v>
      </c>
      <c r="AX132" s="386">
        <v>0</v>
      </c>
      <c r="AY132" s="551">
        <v>0</v>
      </c>
      <c r="AZ132" s="551">
        <v>0</v>
      </c>
      <c r="BA132" s="551">
        <v>0</v>
      </c>
      <c r="BB132" s="975">
        <v>0</v>
      </c>
      <c r="BC132" s="386">
        <v>0.73</v>
      </c>
      <c r="BD132" s="386">
        <v>1.78</v>
      </c>
      <c r="BE132" s="551">
        <v>0</v>
      </c>
      <c r="BF132" s="386">
        <v>0.99</v>
      </c>
      <c r="BG132" s="386">
        <v>0</v>
      </c>
      <c r="BH132" s="551">
        <v>0</v>
      </c>
      <c r="BI132" s="386">
        <v>1</v>
      </c>
      <c r="BJ132" s="386">
        <v>22.4</v>
      </c>
      <c r="BK132" s="386">
        <v>2.95</v>
      </c>
      <c r="BL132" s="386">
        <v>3.53</v>
      </c>
      <c r="BM132" s="386">
        <v>0</v>
      </c>
      <c r="BN132" s="386">
        <v>16</v>
      </c>
      <c r="BO132" s="386">
        <v>1072.7</v>
      </c>
      <c r="BP132" s="386">
        <v>2</v>
      </c>
      <c r="BQ132" s="1131">
        <v>20.399999999999999</v>
      </c>
      <c r="BR132" s="1131">
        <v>0.61</v>
      </c>
      <c r="BS132" s="499">
        <v>22.5</v>
      </c>
      <c r="BT132" s="499">
        <v>0</v>
      </c>
      <c r="BU132" s="614">
        <v>23.9</v>
      </c>
      <c r="BV132" s="614">
        <v>26.6</v>
      </c>
      <c r="BW132" s="615">
        <v>736.7</v>
      </c>
      <c r="BX132" s="791"/>
      <c r="BY132" s="615">
        <v>0</v>
      </c>
      <c r="BZ132" s="615">
        <v>1.35</v>
      </c>
      <c r="CA132" s="615">
        <v>1.2</v>
      </c>
      <c r="CB132" s="615">
        <v>8.5</v>
      </c>
      <c r="CC132" s="615">
        <v>8.3000000000000007</v>
      </c>
      <c r="CD132" s="499">
        <v>15.8</v>
      </c>
      <c r="CE132" s="499">
        <v>33.5</v>
      </c>
      <c r="CF132" s="499">
        <v>15.6</v>
      </c>
      <c r="CG132" s="499">
        <v>7.9</v>
      </c>
      <c r="CH132" s="615">
        <v>13.5</v>
      </c>
      <c r="CI132" s="499">
        <v>17.899999999999999</v>
      </c>
      <c r="CJ132" s="499">
        <v>13.3</v>
      </c>
      <c r="CK132" s="499">
        <v>348.7</v>
      </c>
      <c r="CL132" s="499">
        <v>2</v>
      </c>
      <c r="CM132" s="499">
        <v>1.8</v>
      </c>
      <c r="CN132" s="615">
        <v>966.2</v>
      </c>
      <c r="CO132" s="499">
        <v>463.4</v>
      </c>
      <c r="CP132" s="499">
        <v>483.9</v>
      </c>
      <c r="CQ132" s="499">
        <v>12.9</v>
      </c>
      <c r="CR132" s="499">
        <v>0.77</v>
      </c>
      <c r="CS132" s="386">
        <v>3496</v>
      </c>
      <c r="CT132" s="386">
        <v>15.683999999999999</v>
      </c>
      <c r="CU132" s="386">
        <v>49</v>
      </c>
      <c r="CV132" s="499">
        <v>0</v>
      </c>
      <c r="CW132" s="499">
        <v>0</v>
      </c>
      <c r="CX132" s="499">
        <v>0</v>
      </c>
      <c r="CY132" s="499">
        <v>0</v>
      </c>
      <c r="CZ132" s="643">
        <v>1960</v>
      </c>
      <c r="DA132" s="643">
        <v>2456</v>
      </c>
      <c r="DB132" s="782">
        <v>1830</v>
      </c>
      <c r="DC132" s="609">
        <v>1155.05</v>
      </c>
      <c r="DD132" s="1153">
        <f t="shared" si="36"/>
        <v>0.32999999999992724</v>
      </c>
      <c r="DE132" s="1154">
        <f t="shared" si="37"/>
        <v>15.44504832</v>
      </c>
      <c r="DF132" s="1154">
        <f t="shared" si="38"/>
        <v>1720</v>
      </c>
      <c r="DG132" s="1154">
        <f t="shared" si="39"/>
        <v>2206</v>
      </c>
      <c r="DH132" s="1155" t="str">
        <f t="shared" si="40"/>
        <v>Palm</v>
      </c>
      <c r="DI132" s="1146">
        <f t="shared" si="41"/>
        <v>626</v>
      </c>
      <c r="DJ132" s="1146">
        <f t="shared" si="42"/>
        <v>5.0342399999999996</v>
      </c>
      <c r="DK132" s="1154">
        <f t="shared" si="43"/>
        <v>15.44504832</v>
      </c>
      <c r="DL132" s="615"/>
      <c r="DM132" s="643"/>
      <c r="DN132" s="615"/>
      <c r="DO132" s="499"/>
      <c r="DP132" s="499"/>
      <c r="DQ132" s="499"/>
      <c r="DR132" s="499"/>
      <c r="DS132" s="499"/>
      <c r="DT132" s="499"/>
      <c r="DU132" s="499"/>
      <c r="DV132" s="499"/>
      <c r="DW132" s="499"/>
      <c r="DX132" s="499"/>
      <c r="DY132" s="499"/>
      <c r="DZ132" s="499"/>
      <c r="EA132" s="499"/>
      <c r="EB132" s="499"/>
      <c r="EC132" s="499"/>
      <c r="ED132" s="499"/>
      <c r="EE132" s="499"/>
      <c r="EF132" s="499"/>
      <c r="EG132" s="1146">
        <f t="shared" si="47"/>
        <v>11</v>
      </c>
      <c r="EH132" s="630">
        <v>0</v>
      </c>
      <c r="EI132" s="642">
        <v>1</v>
      </c>
      <c r="EJ132" s="642">
        <v>3.5</v>
      </c>
      <c r="EK132" s="642">
        <v>6.5</v>
      </c>
      <c r="EL132" s="499"/>
      <c r="EM132" s="499"/>
      <c r="EN132" s="499"/>
      <c r="EO132" s="499"/>
      <c r="EP132" s="499"/>
      <c r="EQ132" s="499"/>
      <c r="ER132" s="499"/>
      <c r="ES132" s="388"/>
      <c r="ET132" s="388"/>
      <c r="EV132" s="1167">
        <f t="shared" si="32"/>
        <v>17.016999999999999</v>
      </c>
    </row>
    <row r="133" spans="1:152" s="350" customFormat="1" ht="15" x14ac:dyDescent="0.25">
      <c r="A133" s="632" t="s">
        <v>7</v>
      </c>
      <c r="B133" s="662">
        <v>42859</v>
      </c>
      <c r="C133" s="1132" t="s">
        <v>904</v>
      </c>
      <c r="D133" s="386">
        <v>0.24</v>
      </c>
      <c r="E133" s="636">
        <v>0</v>
      </c>
      <c r="F133" s="636">
        <v>60</v>
      </c>
      <c r="G133" s="636">
        <v>2.85</v>
      </c>
      <c r="H133" s="386">
        <v>2.5299999999999998</v>
      </c>
      <c r="I133" s="386">
        <v>13.9</v>
      </c>
      <c r="J133" s="636">
        <v>0</v>
      </c>
      <c r="K133" s="386">
        <v>2.09</v>
      </c>
      <c r="L133" s="741">
        <v>0</v>
      </c>
      <c r="M133" s="386">
        <v>23.5</v>
      </c>
      <c r="N133" s="386">
        <v>1.2729999999999999</v>
      </c>
      <c r="O133" s="386">
        <v>1.6690986101018392</v>
      </c>
      <c r="P133" s="386">
        <v>1.2669999999999999</v>
      </c>
      <c r="Q133" s="386">
        <v>0</v>
      </c>
      <c r="R133" s="732">
        <v>712.71845930232564</v>
      </c>
      <c r="S133" s="386">
        <v>8.2799999999999994</v>
      </c>
      <c r="T133" s="386">
        <v>8.35</v>
      </c>
      <c r="U133" s="386">
        <v>0.74099999999999999</v>
      </c>
      <c r="V133" s="739">
        <v>0.748</v>
      </c>
      <c r="W133" s="739">
        <v>46.039999999999992</v>
      </c>
      <c r="X133" s="613">
        <v>46.039999999999992</v>
      </c>
      <c r="Y133" s="367">
        <v>25.7</v>
      </c>
      <c r="Z133" s="636">
        <v>26.97</v>
      </c>
      <c r="AA133" s="636">
        <v>25.6</v>
      </c>
      <c r="AB133" s="636">
        <v>26.9</v>
      </c>
      <c r="AC133" s="1160">
        <f t="shared" si="33"/>
        <v>52.5</v>
      </c>
      <c r="AD133" s="1160">
        <f t="shared" si="34"/>
        <v>81.217500000000001</v>
      </c>
      <c r="AE133" s="1160">
        <f t="shared" si="35"/>
        <v>81.217500000000001</v>
      </c>
      <c r="AF133" s="542"/>
      <c r="AG133" s="1160">
        <f t="shared" si="31"/>
        <v>0</v>
      </c>
      <c r="AH133" s="896"/>
      <c r="AI133" s="351"/>
      <c r="AJ133" s="897"/>
      <c r="AK133" s="388"/>
      <c r="AL133" s="388"/>
      <c r="AM133" s="388"/>
      <c r="AN133" s="388"/>
      <c r="AO133" s="370"/>
      <c r="AP133" s="370"/>
      <c r="AQ133" s="927"/>
      <c r="AR133" s="551">
        <v>0</v>
      </c>
      <c r="AS133" s="386">
        <v>21.6</v>
      </c>
      <c r="AT133" s="386">
        <v>0</v>
      </c>
      <c r="AU133" s="386">
        <v>0</v>
      </c>
      <c r="AV133" s="636">
        <v>318.60000000000002</v>
      </c>
      <c r="AW133" s="636">
        <v>434.6</v>
      </c>
      <c r="AX133" s="386">
        <v>0</v>
      </c>
      <c r="AY133" s="551">
        <v>0</v>
      </c>
      <c r="AZ133" s="551">
        <v>0</v>
      </c>
      <c r="BA133" s="551">
        <v>0</v>
      </c>
      <c r="BB133" s="975">
        <v>0</v>
      </c>
      <c r="BC133" s="386">
        <v>0.73</v>
      </c>
      <c r="BD133" s="386">
        <v>1.78</v>
      </c>
      <c r="BE133" s="551">
        <v>0</v>
      </c>
      <c r="BF133" s="386">
        <v>0.99</v>
      </c>
      <c r="BG133" s="386">
        <v>0</v>
      </c>
      <c r="BH133" s="551">
        <v>0</v>
      </c>
      <c r="BI133" s="386">
        <v>1</v>
      </c>
      <c r="BJ133" s="386">
        <v>22.4</v>
      </c>
      <c r="BK133" s="386">
        <v>2.98</v>
      </c>
      <c r="BL133" s="386">
        <v>3.53</v>
      </c>
      <c r="BM133" s="386">
        <v>0</v>
      </c>
      <c r="BN133" s="386">
        <v>16</v>
      </c>
      <c r="BO133" s="386">
        <v>1107.7</v>
      </c>
      <c r="BP133" s="386">
        <v>2</v>
      </c>
      <c r="BQ133" s="1131">
        <v>19.899999999999999</v>
      </c>
      <c r="BR133" s="1131">
        <v>0.61</v>
      </c>
      <c r="BS133" s="499">
        <v>22.6</v>
      </c>
      <c r="BT133" s="499">
        <v>0</v>
      </c>
      <c r="BU133" s="614">
        <v>23.9</v>
      </c>
      <c r="BV133" s="614">
        <v>29</v>
      </c>
      <c r="BW133" s="615">
        <v>743.3</v>
      </c>
      <c r="BX133" s="791"/>
      <c r="BY133" s="615">
        <v>0</v>
      </c>
      <c r="BZ133" s="615">
        <v>1.32</v>
      </c>
      <c r="CA133" s="615">
        <v>1.2</v>
      </c>
      <c r="CB133" s="615">
        <v>8.5</v>
      </c>
      <c r="CC133" s="615">
        <v>8.5</v>
      </c>
      <c r="CD133" s="615">
        <f>AVERAGE(CD132,CD134)</f>
        <v>15.55</v>
      </c>
      <c r="CE133" s="499">
        <v>33.4</v>
      </c>
      <c r="CF133" s="499">
        <v>22.2</v>
      </c>
      <c r="CG133" s="499">
        <v>8.3000000000000007</v>
      </c>
      <c r="CH133" s="499">
        <v>13.9</v>
      </c>
      <c r="CI133" s="499">
        <v>18.2</v>
      </c>
      <c r="CJ133" s="499">
        <v>13.6</v>
      </c>
      <c r="CK133" s="499">
        <v>340.2</v>
      </c>
      <c r="CL133" s="499">
        <v>2</v>
      </c>
      <c r="CM133" s="499">
        <v>1.8</v>
      </c>
      <c r="CN133" s="615">
        <v>750.9</v>
      </c>
      <c r="CO133" s="499">
        <v>451.6</v>
      </c>
      <c r="CP133" s="499">
        <v>488.5</v>
      </c>
      <c r="CQ133" s="499">
        <v>12.8</v>
      </c>
      <c r="CR133" s="499">
        <v>0.75</v>
      </c>
      <c r="CS133" s="386">
        <v>3496.2</v>
      </c>
      <c r="CT133" s="386">
        <v>15.3</v>
      </c>
      <c r="CU133" s="386">
        <v>49</v>
      </c>
      <c r="CV133" s="499">
        <v>0</v>
      </c>
      <c r="CW133" s="499">
        <v>0</v>
      </c>
      <c r="CX133" s="499">
        <v>0</v>
      </c>
      <c r="CY133" s="499">
        <v>0</v>
      </c>
      <c r="CZ133" s="643">
        <v>2966</v>
      </c>
      <c r="DA133" s="643">
        <v>3558</v>
      </c>
      <c r="DB133" s="782">
        <v>2700</v>
      </c>
      <c r="DC133" s="609">
        <v>1156.47</v>
      </c>
      <c r="DD133" s="1153">
        <f t="shared" si="36"/>
        <v>1.4200000000000728</v>
      </c>
      <c r="DE133" s="1154">
        <f t="shared" si="37"/>
        <v>15.445931904</v>
      </c>
      <c r="DF133" s="1154">
        <f t="shared" si="38"/>
        <v>2590</v>
      </c>
      <c r="DG133" s="1154">
        <f t="shared" si="39"/>
        <v>3308</v>
      </c>
      <c r="DH133" s="1155" t="str">
        <f t="shared" si="40"/>
        <v>Palm</v>
      </c>
      <c r="DI133" s="1146">
        <f t="shared" si="41"/>
        <v>858</v>
      </c>
      <c r="DJ133" s="1146">
        <f t="shared" si="42"/>
        <v>5.0345279999999999</v>
      </c>
      <c r="DK133" s="1154">
        <f t="shared" si="43"/>
        <v>15.445931904</v>
      </c>
      <c r="DL133" s="615"/>
      <c r="DM133" s="643"/>
      <c r="DN133" s="615"/>
      <c r="DO133" s="499"/>
      <c r="DP133" s="499"/>
      <c r="DQ133" s="499"/>
      <c r="DR133" s="499"/>
      <c r="DS133" s="499"/>
      <c r="DT133" s="499"/>
      <c r="DU133" s="499"/>
      <c r="DV133" s="499"/>
      <c r="DW133" s="499"/>
      <c r="DX133" s="499"/>
      <c r="DY133" s="499"/>
      <c r="DZ133" s="499"/>
      <c r="EA133" s="499"/>
      <c r="EB133" s="499"/>
      <c r="EC133" s="499"/>
      <c r="ED133" s="499"/>
      <c r="EE133" s="499"/>
      <c r="EF133" s="499"/>
      <c r="EG133" s="1146">
        <f t="shared" ref="EG133:EG154" si="48">(SUM(EH133:EK133))</f>
        <v>11</v>
      </c>
      <c r="EH133" s="630">
        <v>0</v>
      </c>
      <c r="EI133" s="642">
        <v>1</v>
      </c>
      <c r="EJ133" s="642">
        <v>3.5</v>
      </c>
      <c r="EK133" s="642">
        <v>6.5</v>
      </c>
      <c r="EL133" s="499"/>
      <c r="EM133" s="499"/>
      <c r="EN133" s="499"/>
      <c r="EO133" s="499"/>
      <c r="EP133" s="499"/>
      <c r="EQ133" s="499"/>
      <c r="ER133" s="499"/>
      <c r="ES133" s="388"/>
      <c r="ET133" s="388"/>
      <c r="EV133" s="1167">
        <f t="shared" si="32"/>
        <v>17.016999999999999</v>
      </c>
    </row>
    <row r="134" spans="1:152" s="350" customFormat="1" ht="15" x14ac:dyDescent="0.25">
      <c r="A134" s="632" t="s">
        <v>8</v>
      </c>
      <c r="B134" s="662">
        <v>42860</v>
      </c>
      <c r="C134" s="1132" t="s">
        <v>904</v>
      </c>
      <c r="D134" s="386">
        <v>0.78</v>
      </c>
      <c r="E134" s="636">
        <v>0</v>
      </c>
      <c r="F134" s="636">
        <v>41.3</v>
      </c>
      <c r="G134" s="636">
        <v>3</v>
      </c>
      <c r="H134" s="386">
        <v>3.72</v>
      </c>
      <c r="I134" s="386">
        <v>13.1</v>
      </c>
      <c r="J134" s="636">
        <v>0</v>
      </c>
      <c r="K134" s="386">
        <v>2.76</v>
      </c>
      <c r="L134" s="741">
        <v>0</v>
      </c>
      <c r="M134" s="386">
        <v>23.7</v>
      </c>
      <c r="N134" s="386">
        <v>1.26</v>
      </c>
      <c r="O134" s="386">
        <v>1.5025965229171372</v>
      </c>
      <c r="P134" s="386">
        <v>1.26</v>
      </c>
      <c r="Q134" s="386">
        <v>0.20282915015405006</v>
      </c>
      <c r="R134" s="732">
        <v>690.0501453488373</v>
      </c>
      <c r="S134" s="386">
        <v>8.16</v>
      </c>
      <c r="T134" s="386">
        <v>8.1999999999999993</v>
      </c>
      <c r="U134" s="386">
        <v>0.71</v>
      </c>
      <c r="V134" s="739">
        <v>0.72</v>
      </c>
      <c r="W134" s="739">
        <v>46.400000000000006</v>
      </c>
      <c r="X134" s="613">
        <v>46.400000000000006</v>
      </c>
      <c r="Y134" s="367">
        <v>25.6</v>
      </c>
      <c r="Z134" s="636">
        <v>26.9</v>
      </c>
      <c r="AA134" s="636">
        <v>25.64</v>
      </c>
      <c r="AB134" s="636">
        <v>26.9</v>
      </c>
      <c r="AC134" s="1160">
        <f t="shared" si="33"/>
        <v>52.54</v>
      </c>
      <c r="AD134" s="1160">
        <f t="shared" si="34"/>
        <v>81.279379999999989</v>
      </c>
      <c r="AE134" s="1160">
        <f t="shared" si="35"/>
        <v>81.279379999999989</v>
      </c>
      <c r="AF134" s="542"/>
      <c r="AG134" s="1160">
        <f t="shared" si="31"/>
        <v>0</v>
      </c>
      <c r="AH134" s="896"/>
      <c r="AI134" s="351"/>
      <c r="AJ134" s="897"/>
      <c r="AK134" s="388"/>
      <c r="AL134" s="388"/>
      <c r="AM134" s="388"/>
      <c r="AN134" s="388"/>
      <c r="AO134" s="370"/>
      <c r="AP134" s="370"/>
      <c r="AQ134" s="927"/>
      <c r="AR134" s="551">
        <v>0</v>
      </c>
      <c r="AS134" s="386">
        <v>11</v>
      </c>
      <c r="AT134" s="386">
        <v>0</v>
      </c>
      <c r="AU134" s="386">
        <v>0</v>
      </c>
      <c r="AV134" s="636">
        <v>376.1</v>
      </c>
      <c r="AW134" s="636">
        <v>418.5</v>
      </c>
      <c r="AX134" s="386">
        <v>0</v>
      </c>
      <c r="AY134" s="551">
        <v>0</v>
      </c>
      <c r="AZ134" s="551">
        <v>0</v>
      </c>
      <c r="BA134" s="551">
        <v>0</v>
      </c>
      <c r="BB134" s="975">
        <v>0</v>
      </c>
      <c r="BC134" s="386">
        <v>1.31</v>
      </c>
      <c r="BD134" s="386">
        <v>1.86</v>
      </c>
      <c r="BE134" s="551">
        <v>0</v>
      </c>
      <c r="BF134" s="386">
        <v>1</v>
      </c>
      <c r="BG134" s="386">
        <v>0</v>
      </c>
      <c r="BH134" s="551">
        <v>0</v>
      </c>
      <c r="BI134" s="386">
        <v>1</v>
      </c>
      <c r="BJ134" s="386">
        <v>21.8</v>
      </c>
      <c r="BK134" s="386">
        <v>2.95</v>
      </c>
      <c r="BL134" s="386">
        <v>3.53</v>
      </c>
      <c r="BM134" s="386">
        <v>0</v>
      </c>
      <c r="BN134" s="386">
        <v>15.4</v>
      </c>
      <c r="BO134" s="386">
        <v>1016.6</v>
      </c>
      <c r="BP134" s="386">
        <v>2</v>
      </c>
      <c r="BQ134" s="1131">
        <v>19.36</v>
      </c>
      <c r="BR134" s="1131">
        <v>4.53</v>
      </c>
      <c r="BS134" s="615">
        <v>19.170000000000002</v>
      </c>
      <c r="BT134" s="615">
        <v>3.58</v>
      </c>
      <c r="BU134" s="614">
        <v>24.1</v>
      </c>
      <c r="BV134" s="614">
        <v>24.9</v>
      </c>
      <c r="BW134" s="615">
        <v>808.3</v>
      </c>
      <c r="BX134" s="791"/>
      <c r="BY134" s="615">
        <v>0</v>
      </c>
      <c r="BZ134" s="615">
        <v>1.28</v>
      </c>
      <c r="CA134" s="615">
        <v>1.2</v>
      </c>
      <c r="CB134" s="615">
        <v>8.5</v>
      </c>
      <c r="CC134" s="615">
        <v>8.5</v>
      </c>
      <c r="CD134" s="499">
        <f>-5.9+21.2</f>
        <v>15.299999999999999</v>
      </c>
      <c r="CE134" s="499">
        <v>33.6</v>
      </c>
      <c r="CF134" s="499">
        <v>21.8</v>
      </c>
      <c r="CG134" s="499">
        <v>8.1</v>
      </c>
      <c r="CH134" s="499">
        <v>13.7</v>
      </c>
      <c r="CI134" s="499">
        <v>18.100000000000001</v>
      </c>
      <c r="CJ134" s="499">
        <v>12.39</v>
      </c>
      <c r="CK134" s="499">
        <v>300</v>
      </c>
      <c r="CL134" s="499">
        <v>1.9</v>
      </c>
      <c r="CM134" s="615">
        <v>2</v>
      </c>
      <c r="CN134" s="615">
        <v>830.5</v>
      </c>
      <c r="CO134" s="499">
        <v>471.4</v>
      </c>
      <c r="CP134" s="499">
        <v>472.5</v>
      </c>
      <c r="CQ134" s="499">
        <v>12.7</v>
      </c>
      <c r="CR134" s="615">
        <v>0.74</v>
      </c>
      <c r="CS134" s="386">
        <v>3557.9</v>
      </c>
      <c r="CT134" s="386">
        <v>16.54</v>
      </c>
      <c r="CU134" s="386">
        <v>49</v>
      </c>
      <c r="CV134" s="499">
        <v>0</v>
      </c>
      <c r="CW134" s="499">
        <v>0</v>
      </c>
      <c r="CX134" s="499">
        <v>0</v>
      </c>
      <c r="CY134" s="499">
        <v>0</v>
      </c>
      <c r="CZ134" s="643">
        <v>3240</v>
      </c>
      <c r="DA134" s="643">
        <v>4270</v>
      </c>
      <c r="DB134" s="782">
        <v>2940</v>
      </c>
      <c r="DC134" s="609">
        <v>1159.5</v>
      </c>
      <c r="DD134" s="1153">
        <f t="shared" si="36"/>
        <v>3.0299999999999727</v>
      </c>
      <c r="DE134" s="1154">
        <f t="shared" si="37"/>
        <v>15.718517568000001</v>
      </c>
      <c r="DF134" s="1154">
        <f t="shared" si="38"/>
        <v>2830</v>
      </c>
      <c r="DG134" s="1154">
        <f t="shared" si="39"/>
        <v>4020</v>
      </c>
      <c r="DH134" s="1155" t="str">
        <f t="shared" si="40"/>
        <v>Palm</v>
      </c>
      <c r="DI134" s="1146">
        <f t="shared" si="41"/>
        <v>1330</v>
      </c>
      <c r="DJ134" s="1146">
        <f t="shared" si="42"/>
        <v>5.1233760000000004</v>
      </c>
      <c r="DK134" s="1154">
        <f t="shared" si="43"/>
        <v>15.718517568000001</v>
      </c>
      <c r="DL134" s="615"/>
      <c r="DM134" s="643"/>
      <c r="DN134" s="615"/>
      <c r="DO134" s="499"/>
      <c r="DP134" s="499"/>
      <c r="DQ134" s="499"/>
      <c r="DR134" s="499"/>
      <c r="DS134" s="499"/>
      <c r="DT134" s="499"/>
      <c r="DU134" s="499"/>
      <c r="DV134" s="499"/>
      <c r="DW134" s="499"/>
      <c r="DX134" s="499"/>
      <c r="DY134" s="499"/>
      <c r="DZ134" s="499"/>
      <c r="EA134" s="499"/>
      <c r="EB134" s="499"/>
      <c r="EC134" s="499"/>
      <c r="ED134" s="499"/>
      <c r="EE134" s="499"/>
      <c r="EF134" s="499"/>
      <c r="EG134" s="1146">
        <f t="shared" si="48"/>
        <v>12</v>
      </c>
      <c r="EH134" s="630">
        <v>0</v>
      </c>
      <c r="EI134" s="642">
        <v>1</v>
      </c>
      <c r="EJ134" s="642">
        <v>4.5</v>
      </c>
      <c r="EK134" s="642">
        <v>6.5</v>
      </c>
      <c r="EL134" s="499"/>
      <c r="EM134" s="499"/>
      <c r="EN134" s="499"/>
      <c r="EO134" s="499"/>
      <c r="EP134" s="499"/>
      <c r="EQ134" s="499"/>
      <c r="ER134" s="499"/>
      <c r="ES134" s="388"/>
      <c r="ET134" s="388"/>
      <c r="EV134" s="1167">
        <f t="shared" si="32"/>
        <v>18.564</v>
      </c>
    </row>
    <row r="135" spans="1:152" s="350" customFormat="1" ht="15" x14ac:dyDescent="0.25">
      <c r="A135" s="632" t="s">
        <v>9</v>
      </c>
      <c r="B135" s="662">
        <v>42861</v>
      </c>
      <c r="C135" s="1132" t="s">
        <v>904</v>
      </c>
      <c r="D135" s="386">
        <v>0.11</v>
      </c>
      <c r="E135" s="636">
        <v>0</v>
      </c>
      <c r="F135" s="636">
        <v>40.1</v>
      </c>
      <c r="G135" s="636">
        <v>3.1</v>
      </c>
      <c r="H135" s="386">
        <v>6</v>
      </c>
      <c r="I135" s="386">
        <v>10.7</v>
      </c>
      <c r="J135" s="636">
        <v>0</v>
      </c>
      <c r="K135" s="386">
        <v>4.84</v>
      </c>
      <c r="L135" s="741">
        <v>0</v>
      </c>
      <c r="M135" s="386">
        <v>23.7</v>
      </c>
      <c r="N135" s="386">
        <v>1.26</v>
      </c>
      <c r="O135" s="386">
        <v>1.3142073606215656</v>
      </c>
      <c r="P135" s="386">
        <v>1.23</v>
      </c>
      <c r="Q135" s="386">
        <v>0.57340902505991309</v>
      </c>
      <c r="R135" s="732">
        <v>699.71751453488378</v>
      </c>
      <c r="S135" s="386">
        <v>8.16</v>
      </c>
      <c r="T135" s="386">
        <v>8.19</v>
      </c>
      <c r="U135" s="386">
        <v>0.66</v>
      </c>
      <c r="V135" s="739">
        <v>0.72</v>
      </c>
      <c r="W135" s="739">
        <v>46.400000000000006</v>
      </c>
      <c r="X135" s="613">
        <v>46.400000000000006</v>
      </c>
      <c r="Y135" s="367">
        <v>25.64</v>
      </c>
      <c r="Z135" s="636">
        <v>26.9</v>
      </c>
      <c r="AA135" s="636">
        <v>25.66</v>
      </c>
      <c r="AB135" s="636">
        <v>27.6</v>
      </c>
      <c r="AC135" s="1160">
        <f t="shared" si="33"/>
        <v>53.260000000000005</v>
      </c>
      <c r="AD135" s="1160">
        <f t="shared" si="34"/>
        <v>82.393219999999999</v>
      </c>
      <c r="AE135" s="1160">
        <f t="shared" si="35"/>
        <v>82.393219999999999</v>
      </c>
      <c r="AF135" s="542"/>
      <c r="AG135" s="1160">
        <f t="shared" si="31"/>
        <v>0</v>
      </c>
      <c r="AH135" s="896"/>
      <c r="AI135" s="351"/>
      <c r="AJ135" s="897"/>
      <c r="AK135" s="388"/>
      <c r="AL135" s="388"/>
      <c r="AM135" s="388"/>
      <c r="AN135" s="388"/>
      <c r="AO135" s="370"/>
      <c r="AP135" s="370"/>
      <c r="AQ135" s="927"/>
      <c r="AR135" s="551">
        <v>0</v>
      </c>
      <c r="AS135" s="386">
        <v>22.1</v>
      </c>
      <c r="AT135" s="386">
        <v>0</v>
      </c>
      <c r="AU135" s="386">
        <v>0</v>
      </c>
      <c r="AV135" s="636">
        <v>376.3</v>
      </c>
      <c r="AW135" s="636">
        <v>407.3</v>
      </c>
      <c r="AX135" s="386">
        <v>0</v>
      </c>
      <c r="AY135" s="551">
        <v>0</v>
      </c>
      <c r="AZ135" s="551">
        <v>0</v>
      </c>
      <c r="BA135" s="551">
        <v>0</v>
      </c>
      <c r="BB135" s="975">
        <v>0</v>
      </c>
      <c r="BC135" s="386">
        <v>1.72</v>
      </c>
      <c r="BD135" s="386">
        <v>1.78</v>
      </c>
      <c r="BE135" s="551">
        <v>0</v>
      </c>
      <c r="BF135" s="386">
        <v>0.99</v>
      </c>
      <c r="BG135" s="386">
        <v>0</v>
      </c>
      <c r="BH135" s="551">
        <v>0</v>
      </c>
      <c r="BI135" s="386">
        <v>1.01</v>
      </c>
      <c r="BJ135" s="386">
        <v>22.1</v>
      </c>
      <c r="BK135" s="386">
        <v>2.95</v>
      </c>
      <c r="BL135" s="386">
        <v>3.53</v>
      </c>
      <c r="BM135" s="386">
        <v>0</v>
      </c>
      <c r="BN135" s="386">
        <v>15.7</v>
      </c>
      <c r="BO135" s="386">
        <v>1133.2</v>
      </c>
      <c r="BP135" s="386">
        <v>2</v>
      </c>
      <c r="BQ135" s="1131">
        <v>17.13</v>
      </c>
      <c r="BR135" s="1131">
        <v>8.35</v>
      </c>
      <c r="BS135" s="615">
        <v>18.09</v>
      </c>
      <c r="BT135" s="615">
        <v>4.66</v>
      </c>
      <c r="BU135" s="614">
        <v>24.4</v>
      </c>
      <c r="BV135" s="614">
        <v>26.3</v>
      </c>
      <c r="BW135" s="615">
        <v>838.3</v>
      </c>
      <c r="BX135" s="791"/>
      <c r="BY135" s="615">
        <v>0</v>
      </c>
      <c r="BZ135" s="615">
        <v>1.23</v>
      </c>
      <c r="CA135" s="615">
        <v>1.2</v>
      </c>
      <c r="CB135" s="615">
        <v>8.4</v>
      </c>
      <c r="CC135" s="615">
        <v>8.5</v>
      </c>
      <c r="CD135" s="499">
        <f>-5.9+21.01</f>
        <v>15.110000000000001</v>
      </c>
      <c r="CE135" s="499">
        <v>33.6</v>
      </c>
      <c r="CF135" s="499">
        <v>20.5</v>
      </c>
      <c r="CG135" s="499">
        <v>8.1999999999999993</v>
      </c>
      <c r="CH135" s="499">
        <v>13.9</v>
      </c>
      <c r="CI135" s="499">
        <v>17.96</v>
      </c>
      <c r="CJ135" s="615">
        <v>12.47</v>
      </c>
      <c r="CK135" s="499">
        <v>325.39999999999998</v>
      </c>
      <c r="CL135" s="499">
        <v>2</v>
      </c>
      <c r="CM135" s="615">
        <v>0</v>
      </c>
      <c r="CN135" s="615">
        <v>806.1</v>
      </c>
      <c r="CO135" s="499">
        <v>483.9</v>
      </c>
      <c r="CP135" s="499">
        <v>468.5</v>
      </c>
      <c r="CQ135" s="499">
        <v>12.6</v>
      </c>
      <c r="CR135" s="615">
        <v>0.72</v>
      </c>
      <c r="CS135" s="386">
        <v>3493.1</v>
      </c>
      <c r="CT135" s="386">
        <v>16.052</v>
      </c>
      <c r="CU135" s="386">
        <v>49</v>
      </c>
      <c r="CV135" s="499">
        <v>0</v>
      </c>
      <c r="CW135" s="499">
        <v>0</v>
      </c>
      <c r="CX135" s="499">
        <v>0</v>
      </c>
      <c r="CY135" s="499">
        <v>0</v>
      </c>
      <c r="CZ135" s="643">
        <v>3240</v>
      </c>
      <c r="DA135" s="643">
        <v>4110</v>
      </c>
      <c r="DB135" s="782">
        <v>2960</v>
      </c>
      <c r="DC135" s="609">
        <v>1160.0899999999999</v>
      </c>
      <c r="DD135" s="1153">
        <f t="shared" si="36"/>
        <v>0.58999999999991815</v>
      </c>
      <c r="DE135" s="1154">
        <f t="shared" si="37"/>
        <v>15.432236352000002</v>
      </c>
      <c r="DF135" s="1154">
        <f t="shared" si="38"/>
        <v>2850</v>
      </c>
      <c r="DG135" s="1154">
        <f t="shared" si="39"/>
        <v>3860</v>
      </c>
      <c r="DH135" s="1155" t="str">
        <f t="shared" si="40"/>
        <v>Palm</v>
      </c>
      <c r="DI135" s="1146">
        <f t="shared" si="41"/>
        <v>1150</v>
      </c>
      <c r="DJ135" s="1146">
        <f t="shared" si="42"/>
        <v>5.0300640000000003</v>
      </c>
      <c r="DK135" s="1154">
        <f t="shared" si="43"/>
        <v>15.432236352000002</v>
      </c>
      <c r="DL135" s="615"/>
      <c r="DM135" s="643"/>
      <c r="DN135" s="615"/>
      <c r="DO135" s="499"/>
      <c r="DP135" s="499"/>
      <c r="DQ135" s="499"/>
      <c r="DR135" s="499"/>
      <c r="DS135" s="499"/>
      <c r="DT135" s="499"/>
      <c r="DU135" s="499"/>
      <c r="DV135" s="499"/>
      <c r="DW135" s="499"/>
      <c r="DX135" s="499"/>
      <c r="DY135" s="499"/>
      <c r="DZ135" s="499"/>
      <c r="EA135" s="499"/>
      <c r="EB135" s="499"/>
      <c r="EC135" s="499"/>
      <c r="ED135" s="499"/>
      <c r="EE135" s="499"/>
      <c r="EF135" s="499"/>
      <c r="EG135" s="1146">
        <f t="shared" si="48"/>
        <v>12</v>
      </c>
      <c r="EH135" s="630">
        <v>0</v>
      </c>
      <c r="EI135" s="642">
        <v>1</v>
      </c>
      <c r="EJ135" s="642">
        <v>4.5</v>
      </c>
      <c r="EK135" s="642">
        <v>6.5</v>
      </c>
      <c r="EL135" s="499"/>
      <c r="EM135" s="499"/>
      <c r="EN135" s="499"/>
      <c r="EO135" s="499"/>
      <c r="EP135" s="499"/>
      <c r="EQ135" s="499"/>
      <c r="ER135" s="499"/>
      <c r="ES135" s="388"/>
      <c r="ET135" s="388"/>
      <c r="EV135" s="1167">
        <f t="shared" si="32"/>
        <v>18.564</v>
      </c>
    </row>
    <row r="136" spans="1:152" s="350" customFormat="1" ht="15" x14ac:dyDescent="0.25">
      <c r="A136" s="632" t="s">
        <v>3</v>
      </c>
      <c r="B136" s="662">
        <v>42862</v>
      </c>
      <c r="C136" s="1132" t="s">
        <v>904</v>
      </c>
      <c r="D136" s="386">
        <v>0</v>
      </c>
      <c r="E136" s="636">
        <v>0</v>
      </c>
      <c r="F136" s="636">
        <v>44.6</v>
      </c>
      <c r="G136" s="636">
        <v>3</v>
      </c>
      <c r="H136" s="386">
        <v>10.53</v>
      </c>
      <c r="I136" s="386">
        <v>11.8</v>
      </c>
      <c r="J136" s="636">
        <v>0</v>
      </c>
      <c r="K136" s="386">
        <v>7.03</v>
      </c>
      <c r="L136" s="741">
        <v>10.93999999999869</v>
      </c>
      <c r="M136" s="386">
        <v>21.5</v>
      </c>
      <c r="N136" s="386">
        <v>1.25</v>
      </c>
      <c r="O136" s="386">
        <v>1.3032416232471349</v>
      </c>
      <c r="P136" s="386">
        <v>1.28</v>
      </c>
      <c r="Q136" s="386">
        <v>0.5920054797202009</v>
      </c>
      <c r="R136" s="732">
        <v>743.3873546511627</v>
      </c>
      <c r="S136" s="386">
        <v>8.2799999999999994</v>
      </c>
      <c r="T136" s="386">
        <v>8.2799999999999994</v>
      </c>
      <c r="U136" s="386">
        <v>0.67</v>
      </c>
      <c r="V136" s="739">
        <v>0.73</v>
      </c>
      <c r="W136" s="739">
        <v>46.400000000000006</v>
      </c>
      <c r="X136" s="613">
        <v>46.58</v>
      </c>
      <c r="Y136" s="367">
        <v>25.66</v>
      </c>
      <c r="Z136" s="636">
        <v>27.6</v>
      </c>
      <c r="AA136" s="636">
        <v>25.6</v>
      </c>
      <c r="AB136" s="636">
        <v>30.31</v>
      </c>
      <c r="AC136" s="1160">
        <f t="shared" si="33"/>
        <v>55.91</v>
      </c>
      <c r="AD136" s="1160">
        <f t="shared" si="34"/>
        <v>86.492769999999993</v>
      </c>
      <c r="AE136" s="1160">
        <f t="shared" si="35"/>
        <v>69.568590000002018</v>
      </c>
      <c r="AF136" s="542"/>
      <c r="AG136" s="1160">
        <f t="shared" ref="AG136:AG199" si="49">BB136</f>
        <v>0</v>
      </c>
      <c r="AH136" s="896"/>
      <c r="AI136" s="351"/>
      <c r="AJ136" s="897"/>
      <c r="AK136" s="388"/>
      <c r="AL136" s="388"/>
      <c r="AM136" s="388"/>
      <c r="AN136" s="388"/>
      <c r="AO136" s="370"/>
      <c r="AP136" s="370"/>
      <c r="AQ136" s="927"/>
      <c r="AR136" s="551">
        <v>0</v>
      </c>
      <c r="AS136" s="386">
        <v>12</v>
      </c>
      <c r="AT136" s="386">
        <v>0</v>
      </c>
      <c r="AU136" s="386">
        <v>0</v>
      </c>
      <c r="AV136" s="636">
        <v>481.9</v>
      </c>
      <c r="AW136" s="636">
        <v>646.6</v>
      </c>
      <c r="AX136" s="386">
        <v>0</v>
      </c>
      <c r="AY136" s="551">
        <v>0</v>
      </c>
      <c r="AZ136" s="551">
        <v>0</v>
      </c>
      <c r="BA136" s="551">
        <v>0</v>
      </c>
      <c r="BB136" s="975">
        <v>0</v>
      </c>
      <c r="BC136" s="386">
        <v>1.29</v>
      </c>
      <c r="BD136" s="386">
        <v>2.2000000000000002</v>
      </c>
      <c r="BE136" s="551">
        <v>0</v>
      </c>
      <c r="BF136" s="386">
        <v>1</v>
      </c>
      <c r="BG136" s="386">
        <v>0</v>
      </c>
      <c r="BH136" s="551">
        <v>0</v>
      </c>
      <c r="BI136" s="386">
        <v>1</v>
      </c>
      <c r="BJ136" s="386">
        <v>24.8</v>
      </c>
      <c r="BK136" s="386">
        <v>2.95</v>
      </c>
      <c r="BL136" s="386">
        <v>3.53</v>
      </c>
      <c r="BM136" s="386">
        <v>0</v>
      </c>
      <c r="BN136" s="386">
        <v>18.399999999999999</v>
      </c>
      <c r="BO136" s="386">
        <v>1285.5999999999999</v>
      </c>
      <c r="BP136" s="386">
        <v>2</v>
      </c>
      <c r="BQ136" s="1131">
        <v>14.34</v>
      </c>
      <c r="BR136" s="1131">
        <v>13.2</v>
      </c>
      <c r="BS136" s="615">
        <v>16.16</v>
      </c>
      <c r="BT136" s="615">
        <v>6.05</v>
      </c>
      <c r="BU136" s="614">
        <v>24.1</v>
      </c>
      <c r="BV136" s="614">
        <v>24.8</v>
      </c>
      <c r="BW136" s="615">
        <v>910.5</v>
      </c>
      <c r="BX136" s="791"/>
      <c r="BY136" s="615">
        <v>0</v>
      </c>
      <c r="BZ136" s="615">
        <v>1.22</v>
      </c>
      <c r="CA136" s="615">
        <v>1.2</v>
      </c>
      <c r="CB136" s="615">
        <v>8.4</v>
      </c>
      <c r="CC136" s="615">
        <v>8.5</v>
      </c>
      <c r="CD136" s="499">
        <f>-5.9+20.86</f>
        <v>14.959999999999999</v>
      </c>
      <c r="CE136" s="499">
        <v>33.6</v>
      </c>
      <c r="CF136" s="499">
        <v>19.100000000000001</v>
      </c>
      <c r="CG136" s="499">
        <v>8.3000000000000007</v>
      </c>
      <c r="CH136" s="499">
        <v>14</v>
      </c>
      <c r="CI136" s="499">
        <v>18.2</v>
      </c>
      <c r="CJ136" s="499">
        <v>12.28</v>
      </c>
      <c r="CK136" s="499">
        <v>321.5</v>
      </c>
      <c r="CL136" s="499">
        <v>2.2000000000000002</v>
      </c>
      <c r="CM136" s="499">
        <v>0</v>
      </c>
      <c r="CN136" s="615">
        <v>1093.7</v>
      </c>
      <c r="CO136" s="499">
        <v>516.5</v>
      </c>
      <c r="CP136" s="499">
        <v>473</v>
      </c>
      <c r="CQ136" s="499">
        <v>12.7</v>
      </c>
      <c r="CR136" s="615">
        <v>0.72</v>
      </c>
      <c r="CS136" s="386">
        <v>3483.5</v>
      </c>
      <c r="CT136" s="386">
        <v>16.457000000000001</v>
      </c>
      <c r="CU136" s="386">
        <v>49</v>
      </c>
      <c r="CV136" s="499">
        <v>0</v>
      </c>
      <c r="CW136" s="499">
        <v>0</v>
      </c>
      <c r="CX136" s="499">
        <v>0</v>
      </c>
      <c r="CY136" s="499">
        <v>0</v>
      </c>
      <c r="CZ136" s="643">
        <v>3200</v>
      </c>
      <c r="DA136" s="643">
        <v>3980</v>
      </c>
      <c r="DB136" s="782">
        <v>2920</v>
      </c>
      <c r="DC136" s="609">
        <v>1158.6400000000001</v>
      </c>
      <c r="DD136" s="1153">
        <f t="shared" si="36"/>
        <v>-1.4499999999998181</v>
      </c>
      <c r="DE136" s="1154">
        <f t="shared" si="37"/>
        <v>15.389824319999999</v>
      </c>
      <c r="DF136" s="1154">
        <f t="shared" si="38"/>
        <v>2810</v>
      </c>
      <c r="DG136" s="1154">
        <f t="shared" si="39"/>
        <v>3730</v>
      </c>
      <c r="DH136" s="1155" t="str">
        <f t="shared" si="40"/>
        <v>Palm</v>
      </c>
      <c r="DI136" s="1146">
        <f t="shared" si="41"/>
        <v>1060</v>
      </c>
      <c r="DJ136" s="1146">
        <f t="shared" si="42"/>
        <v>5.0162399999999998</v>
      </c>
      <c r="DK136" s="1154">
        <f t="shared" si="43"/>
        <v>15.389824319999999</v>
      </c>
      <c r="DL136" s="615"/>
      <c r="DM136" s="643"/>
      <c r="DN136" s="615"/>
      <c r="DO136" s="499"/>
      <c r="DP136" s="499"/>
      <c r="DQ136" s="499"/>
      <c r="DR136" s="499"/>
      <c r="DS136" s="499"/>
      <c r="DT136" s="499"/>
      <c r="DU136" s="499"/>
      <c r="DV136" s="499"/>
      <c r="DW136" s="499"/>
      <c r="DX136" s="499"/>
      <c r="DY136" s="499"/>
      <c r="DZ136" s="499"/>
      <c r="EA136" s="499"/>
      <c r="EB136" s="499"/>
      <c r="EC136" s="499"/>
      <c r="ED136" s="499"/>
      <c r="EE136" s="499"/>
      <c r="EF136" s="499"/>
      <c r="EG136" s="1146">
        <f t="shared" si="48"/>
        <v>12</v>
      </c>
      <c r="EH136" s="630">
        <v>0</v>
      </c>
      <c r="EI136" s="642">
        <v>1</v>
      </c>
      <c r="EJ136" s="642">
        <v>4.5</v>
      </c>
      <c r="EK136" s="642">
        <v>6.5</v>
      </c>
      <c r="EL136" s="499"/>
      <c r="EM136" s="499"/>
      <c r="EN136" s="499"/>
      <c r="EO136" s="499"/>
      <c r="EP136" s="499"/>
      <c r="EQ136" s="499"/>
      <c r="ER136" s="499"/>
      <c r="ES136" s="388"/>
      <c r="ET136" s="388"/>
      <c r="EV136" s="1167">
        <f t="shared" ref="EV136:EV199" si="50">(EH136+EK136+EJ136+EI136)*MGDtoCFS</f>
        <v>18.564</v>
      </c>
    </row>
    <row r="137" spans="1:152" s="350" customFormat="1" ht="15" x14ac:dyDescent="0.25">
      <c r="A137" s="632" t="s">
        <v>4</v>
      </c>
      <c r="B137" s="662">
        <v>42863</v>
      </c>
      <c r="C137" s="1132" t="s">
        <v>904</v>
      </c>
      <c r="D137" s="386">
        <v>0</v>
      </c>
      <c r="E137" s="636">
        <v>0</v>
      </c>
      <c r="F137" s="636">
        <v>47</v>
      </c>
      <c r="G137" s="636">
        <v>2.15</v>
      </c>
      <c r="H137" s="386">
        <v>9.2799999999999994</v>
      </c>
      <c r="I137" s="386">
        <v>12.9</v>
      </c>
      <c r="J137" s="636">
        <v>0</v>
      </c>
      <c r="K137" s="386">
        <v>5.76</v>
      </c>
      <c r="L137" s="741">
        <v>22.459999999999127</v>
      </c>
      <c r="M137" s="386">
        <v>21.5</v>
      </c>
      <c r="N137" s="386">
        <v>1.28</v>
      </c>
      <c r="O137" s="386">
        <v>1.3037815249843507</v>
      </c>
      <c r="P137" s="386">
        <v>1.31</v>
      </c>
      <c r="Q137" s="386">
        <v>0.58530188825860596</v>
      </c>
      <c r="R137" s="732">
        <v>809.72550872093018</v>
      </c>
      <c r="S137" s="386">
        <v>8.3000000000000007</v>
      </c>
      <c r="T137" s="386">
        <v>8.36</v>
      </c>
      <c r="U137" s="386">
        <v>0.69</v>
      </c>
      <c r="V137" s="739">
        <v>0.73</v>
      </c>
      <c r="W137" s="739">
        <v>46.400000000000006</v>
      </c>
      <c r="X137" s="613">
        <v>46.58</v>
      </c>
      <c r="Y137" s="367">
        <v>25.6</v>
      </c>
      <c r="Z137" s="636">
        <v>30.31</v>
      </c>
      <c r="AA137" s="636">
        <v>25.6</v>
      </c>
      <c r="AB137" s="636">
        <v>34.89</v>
      </c>
      <c r="AC137" s="1160">
        <f t="shared" si="33"/>
        <v>60.49</v>
      </c>
      <c r="AD137" s="1160">
        <f t="shared" si="34"/>
        <v>93.578029999999998</v>
      </c>
      <c r="AE137" s="1160">
        <f t="shared" si="35"/>
        <v>58.832410000001353</v>
      </c>
      <c r="AF137" s="542"/>
      <c r="AG137" s="1160">
        <f t="shared" si="49"/>
        <v>0</v>
      </c>
      <c r="AH137" s="896"/>
      <c r="AI137" s="351"/>
      <c r="AJ137" s="897"/>
      <c r="AK137" s="388"/>
      <c r="AL137" s="388"/>
      <c r="AM137" s="388"/>
      <c r="AN137" s="388"/>
      <c r="AO137" s="370"/>
      <c r="AP137" s="370"/>
      <c r="AQ137" s="927"/>
      <c r="AR137" s="551">
        <v>0</v>
      </c>
      <c r="AS137" s="386">
        <v>22.6</v>
      </c>
      <c r="AT137" s="386">
        <v>0</v>
      </c>
      <c r="AU137" s="386">
        <v>0</v>
      </c>
      <c r="AV137" s="636">
        <v>450.7</v>
      </c>
      <c r="AW137" s="636">
        <v>441.8</v>
      </c>
      <c r="AX137" s="386">
        <v>0</v>
      </c>
      <c r="AY137" s="551">
        <v>0</v>
      </c>
      <c r="AZ137" s="551">
        <v>0</v>
      </c>
      <c r="BA137" s="551">
        <v>0</v>
      </c>
      <c r="BB137" s="975">
        <v>0</v>
      </c>
      <c r="BC137" s="386">
        <v>1.64</v>
      </c>
      <c r="BD137" s="386">
        <v>1.86</v>
      </c>
      <c r="BE137" s="551">
        <v>0</v>
      </c>
      <c r="BF137" s="386">
        <v>0.99</v>
      </c>
      <c r="BG137" s="386">
        <v>0</v>
      </c>
      <c r="BH137" s="551">
        <v>0</v>
      </c>
      <c r="BI137" s="386">
        <v>1.02</v>
      </c>
      <c r="BJ137" s="386">
        <v>29.4</v>
      </c>
      <c r="BK137" s="386">
        <v>3.41</v>
      </c>
      <c r="BL137" s="386">
        <v>3.04</v>
      </c>
      <c r="BM137" s="386">
        <v>0</v>
      </c>
      <c r="BN137" s="386">
        <v>23</v>
      </c>
      <c r="BO137" s="386">
        <v>1103.7</v>
      </c>
      <c r="BP137" s="386">
        <v>2</v>
      </c>
      <c r="BQ137" s="1131">
        <v>17.66</v>
      </c>
      <c r="BR137" s="1131">
        <v>15.04</v>
      </c>
      <c r="BS137" s="615">
        <v>20.57</v>
      </c>
      <c r="BT137" s="615">
        <v>2.37</v>
      </c>
      <c r="BU137" s="614">
        <v>24.8</v>
      </c>
      <c r="BV137" s="614">
        <v>20.2</v>
      </c>
      <c r="BW137" s="615">
        <v>869.3</v>
      </c>
      <c r="BX137" s="791"/>
      <c r="BY137" s="615">
        <v>0</v>
      </c>
      <c r="BZ137" s="615">
        <v>1.26</v>
      </c>
      <c r="CA137" s="615">
        <v>1.2</v>
      </c>
      <c r="CB137" s="615">
        <v>8.5</v>
      </c>
      <c r="CC137" s="615">
        <v>8.5</v>
      </c>
      <c r="CD137" s="499">
        <v>15.3</v>
      </c>
      <c r="CE137" s="499">
        <v>33.5</v>
      </c>
      <c r="CF137" s="499">
        <v>17.8</v>
      </c>
      <c r="CG137" s="615">
        <v>8.1</v>
      </c>
      <c r="CH137" s="499">
        <v>13.8</v>
      </c>
      <c r="CI137" s="499">
        <v>17.8</v>
      </c>
      <c r="CJ137" s="499">
        <v>12.76</v>
      </c>
      <c r="CK137" s="499">
        <v>358.2</v>
      </c>
      <c r="CL137" s="499">
        <v>2.5</v>
      </c>
      <c r="CM137" s="499">
        <v>1.7</v>
      </c>
      <c r="CN137" s="615">
        <v>1056.5</v>
      </c>
      <c r="CO137" s="499">
        <v>484.8</v>
      </c>
      <c r="CP137" s="499">
        <v>540.29999999999995</v>
      </c>
      <c r="CQ137" s="499">
        <v>13.1</v>
      </c>
      <c r="CR137" s="615">
        <v>0.77</v>
      </c>
      <c r="CS137" s="386">
        <v>3479.4</v>
      </c>
      <c r="CT137" s="386">
        <v>16.425999999999998</v>
      </c>
      <c r="CU137" s="386">
        <v>49</v>
      </c>
      <c r="CV137" s="499">
        <v>0</v>
      </c>
      <c r="CW137" s="499">
        <v>0</v>
      </c>
      <c r="CX137" s="499">
        <v>0</v>
      </c>
      <c r="CY137" s="499">
        <v>0</v>
      </c>
      <c r="CZ137" s="643">
        <v>3210</v>
      </c>
      <c r="DA137" s="643">
        <v>2730</v>
      </c>
      <c r="DB137" s="643">
        <v>1900</v>
      </c>
      <c r="DC137" s="609">
        <v>1157.27</v>
      </c>
      <c r="DD137" s="1153">
        <f t="shared" si="36"/>
        <v>-1.3700000000001182</v>
      </c>
      <c r="DE137" s="1154">
        <f t="shared" si="37"/>
        <v>15.371710847999999</v>
      </c>
      <c r="DF137" s="1154">
        <f t="shared" si="38"/>
        <v>1790</v>
      </c>
      <c r="DG137" s="1154">
        <f t="shared" si="39"/>
        <v>2480</v>
      </c>
      <c r="DH137" s="1155" t="str">
        <f t="shared" si="40"/>
        <v>Palm</v>
      </c>
      <c r="DI137" s="1146">
        <f t="shared" si="41"/>
        <v>830</v>
      </c>
      <c r="DJ137" s="1146">
        <f t="shared" si="42"/>
        <v>5.0103359999999997</v>
      </c>
      <c r="DK137" s="1154">
        <f t="shared" si="43"/>
        <v>15.371710847999999</v>
      </c>
      <c r="DL137" s="615"/>
      <c r="DM137" s="643"/>
      <c r="DN137" s="615"/>
      <c r="DO137" s="499"/>
      <c r="DP137" s="499"/>
      <c r="DQ137" s="499"/>
      <c r="DR137" s="499"/>
      <c r="DS137" s="499"/>
      <c r="DT137" s="499"/>
      <c r="DU137" s="499"/>
      <c r="DV137" s="499"/>
      <c r="DW137" s="499"/>
      <c r="DX137" s="499"/>
      <c r="DY137" s="499"/>
      <c r="DZ137" s="499"/>
      <c r="EA137" s="499"/>
      <c r="EB137" s="499"/>
      <c r="EC137" s="499"/>
      <c r="ED137" s="499"/>
      <c r="EE137" s="499"/>
      <c r="EF137" s="499"/>
      <c r="EG137" s="1146">
        <f t="shared" si="48"/>
        <v>12</v>
      </c>
      <c r="EH137" s="630">
        <v>0</v>
      </c>
      <c r="EI137" s="642">
        <v>1</v>
      </c>
      <c r="EJ137" s="642">
        <v>4.5</v>
      </c>
      <c r="EK137" s="642">
        <v>6.5</v>
      </c>
      <c r="EL137" s="499"/>
      <c r="EM137" s="499"/>
      <c r="EN137" s="499"/>
      <c r="EO137" s="499"/>
      <c r="EP137" s="499"/>
      <c r="EQ137" s="499"/>
      <c r="ER137" s="499"/>
      <c r="ES137" s="388"/>
      <c r="ET137" s="388"/>
      <c r="EV137" s="1167">
        <f t="shared" si="50"/>
        <v>18.564</v>
      </c>
    </row>
    <row r="138" spans="1:152" s="350" customFormat="1" ht="15" x14ac:dyDescent="0.25">
      <c r="A138" s="632" t="s">
        <v>5</v>
      </c>
      <c r="B138" s="662">
        <v>42864</v>
      </c>
      <c r="C138" s="1132" t="s">
        <v>904</v>
      </c>
      <c r="D138" s="386">
        <v>0</v>
      </c>
      <c r="E138" s="636">
        <v>0</v>
      </c>
      <c r="F138" s="636">
        <v>50</v>
      </c>
      <c r="G138" s="636">
        <v>2</v>
      </c>
      <c r="H138" s="1139" t="s">
        <v>905</v>
      </c>
      <c r="I138" s="1139" t="s">
        <v>905</v>
      </c>
      <c r="J138" s="636">
        <v>0</v>
      </c>
      <c r="K138" s="386">
        <v>5.5</v>
      </c>
      <c r="L138" s="610">
        <v>41.930000000000291</v>
      </c>
      <c r="M138" s="386">
        <v>16.3</v>
      </c>
      <c r="N138" s="386">
        <v>1.3</v>
      </c>
      <c r="O138" s="386">
        <v>0.64818797487348456</v>
      </c>
      <c r="P138" s="386">
        <v>1.31</v>
      </c>
      <c r="Q138" s="386">
        <v>0.59940554821643866</v>
      </c>
      <c r="R138" s="732">
        <v>671.38212209302333</v>
      </c>
      <c r="S138" s="386">
        <v>8.1999999999999993</v>
      </c>
      <c r="T138" s="386">
        <v>8.34</v>
      </c>
      <c r="U138" s="386">
        <v>0.7</v>
      </c>
      <c r="V138" s="739">
        <v>0.76</v>
      </c>
      <c r="W138" s="739">
        <v>46.400000000000006</v>
      </c>
      <c r="X138" s="613">
        <v>46.039999999999992</v>
      </c>
      <c r="Y138" s="367">
        <v>25.6</v>
      </c>
      <c r="Z138" s="636">
        <v>34.89</v>
      </c>
      <c r="AA138" s="636">
        <v>25.66</v>
      </c>
      <c r="AB138" s="636">
        <v>25.98</v>
      </c>
      <c r="AC138" s="1160">
        <f t="shared" si="33"/>
        <v>51.64</v>
      </c>
      <c r="AD138" s="1160">
        <f t="shared" si="34"/>
        <v>79.887079999999997</v>
      </c>
      <c r="AE138" s="1160">
        <f t="shared" si="35"/>
        <v>15.02136999999955</v>
      </c>
      <c r="AF138" s="542"/>
      <c r="AG138" s="1160">
        <f t="shared" si="49"/>
        <v>0</v>
      </c>
      <c r="AH138" s="896"/>
      <c r="AI138" s="351"/>
      <c r="AJ138" s="897"/>
      <c r="AK138" s="388"/>
      <c r="AL138" s="388"/>
      <c r="AM138" s="388"/>
      <c r="AN138" s="388"/>
      <c r="AO138" s="370"/>
      <c r="AP138" s="370"/>
      <c r="AQ138" s="927"/>
      <c r="AR138" s="551">
        <v>0</v>
      </c>
      <c r="AS138" s="386">
        <v>11</v>
      </c>
      <c r="AT138" s="386">
        <v>0</v>
      </c>
      <c r="AU138" s="386">
        <v>0</v>
      </c>
      <c r="AV138" s="636">
        <v>374.1</v>
      </c>
      <c r="AW138" s="636">
        <v>524.70000000000005</v>
      </c>
      <c r="AX138" s="386">
        <v>0</v>
      </c>
      <c r="AY138" s="551">
        <v>0</v>
      </c>
      <c r="AZ138" s="551">
        <v>0</v>
      </c>
      <c r="BA138" s="551">
        <v>0</v>
      </c>
      <c r="BB138" s="975">
        <v>0</v>
      </c>
      <c r="BC138" s="386">
        <v>1.1499999999999999</v>
      </c>
      <c r="BD138" s="386">
        <v>1.61</v>
      </c>
      <c r="BE138" s="551">
        <v>0</v>
      </c>
      <c r="BF138" s="386">
        <v>1</v>
      </c>
      <c r="BG138" s="386">
        <v>0</v>
      </c>
      <c r="BH138" s="551">
        <v>0</v>
      </c>
      <c r="BI138" s="386">
        <v>1.01</v>
      </c>
      <c r="BJ138" s="386">
        <v>21.1</v>
      </c>
      <c r="BK138" s="386">
        <v>3.78</v>
      </c>
      <c r="BL138" s="386">
        <v>2.65</v>
      </c>
      <c r="BM138" s="386">
        <v>0</v>
      </c>
      <c r="BN138" s="386">
        <v>14.8</v>
      </c>
      <c r="BO138" s="386">
        <v>1137.3</v>
      </c>
      <c r="BP138" s="386">
        <v>2</v>
      </c>
      <c r="BQ138" s="1131">
        <v>17.149999999999999</v>
      </c>
      <c r="BR138" s="1131">
        <v>17.88</v>
      </c>
      <c r="BS138" s="615">
        <v>18.690000000000001</v>
      </c>
      <c r="BT138" s="615">
        <v>4.08</v>
      </c>
      <c r="BU138" s="614">
        <v>24.5</v>
      </c>
      <c r="BV138" s="614">
        <v>24.7</v>
      </c>
      <c r="BW138" s="615">
        <v>832.7</v>
      </c>
      <c r="BX138" s="791"/>
      <c r="BY138" s="615">
        <v>0</v>
      </c>
      <c r="BZ138" s="615">
        <v>1.29</v>
      </c>
      <c r="CA138" s="615">
        <v>1.3</v>
      </c>
      <c r="CB138" s="615">
        <v>8.6</v>
      </c>
      <c r="CC138" s="615">
        <v>8.5</v>
      </c>
      <c r="CD138" s="499">
        <v>15.3</v>
      </c>
      <c r="CE138" s="499">
        <v>33.5</v>
      </c>
      <c r="CF138" s="499">
        <v>16.5</v>
      </c>
      <c r="CG138" s="615">
        <v>8.1999999999999993</v>
      </c>
      <c r="CH138" s="499">
        <v>13.8</v>
      </c>
      <c r="CI138" s="499">
        <v>18.25</v>
      </c>
      <c r="CJ138" s="499">
        <v>12.24</v>
      </c>
      <c r="CK138" s="499">
        <v>148.69999999999999</v>
      </c>
      <c r="CL138" s="499">
        <v>2.2000000000000002</v>
      </c>
      <c r="CM138" s="499">
        <v>3.7</v>
      </c>
      <c r="CN138" s="615">
        <v>1070.3</v>
      </c>
      <c r="CO138" s="499">
        <v>498.9</v>
      </c>
      <c r="CP138" s="499">
        <v>569</v>
      </c>
      <c r="CQ138" s="499">
        <v>12.8</v>
      </c>
      <c r="CR138" s="499">
        <v>0.76</v>
      </c>
      <c r="CS138" s="386">
        <v>5929.2</v>
      </c>
      <c r="CT138" s="386">
        <v>16.16</v>
      </c>
      <c r="CU138" s="386">
        <v>50</v>
      </c>
      <c r="CV138" s="499">
        <v>0</v>
      </c>
      <c r="CW138" s="499">
        <v>0</v>
      </c>
      <c r="CX138" s="499">
        <v>0</v>
      </c>
      <c r="CY138" s="499">
        <v>0</v>
      </c>
      <c r="CZ138" s="643">
        <v>1640</v>
      </c>
      <c r="DA138" s="643">
        <v>2280</v>
      </c>
      <c r="DB138" s="643">
        <v>1600</v>
      </c>
      <c r="DC138" s="609">
        <v>1157</v>
      </c>
      <c r="DD138" s="1153">
        <f t="shared" si="36"/>
        <v>-0.26999999999998181</v>
      </c>
      <c r="DE138" s="1154">
        <f t="shared" si="37"/>
        <v>26.194731264000001</v>
      </c>
      <c r="DF138" s="1154">
        <f t="shared" si="38"/>
        <v>1490</v>
      </c>
      <c r="DG138" s="1154">
        <f t="shared" si="39"/>
        <v>2030</v>
      </c>
      <c r="DH138" s="1155" t="str">
        <f t="shared" si="40"/>
        <v>Palm</v>
      </c>
      <c r="DI138" s="1146">
        <f t="shared" si="41"/>
        <v>680</v>
      </c>
      <c r="DJ138" s="1146">
        <f t="shared" si="42"/>
        <v>8.5380479999999999</v>
      </c>
      <c r="DK138" s="1154">
        <f t="shared" si="43"/>
        <v>26.194731264000001</v>
      </c>
      <c r="DL138" s="615"/>
      <c r="DM138" s="643"/>
      <c r="DN138" s="615"/>
      <c r="DO138" s="499"/>
      <c r="DP138" s="499"/>
      <c r="DQ138" s="499"/>
      <c r="DR138" s="499"/>
      <c r="DS138" s="499"/>
      <c r="DT138" s="499"/>
      <c r="DU138" s="499"/>
      <c r="DV138" s="499"/>
      <c r="DW138" s="499"/>
      <c r="DX138" s="499"/>
      <c r="DY138" s="499"/>
      <c r="DZ138" s="499"/>
      <c r="EA138" s="499"/>
      <c r="EB138" s="499"/>
      <c r="EC138" s="499"/>
      <c r="ED138" s="499"/>
      <c r="EE138" s="499"/>
      <c r="EF138" s="499"/>
      <c r="EG138" s="1146">
        <f t="shared" si="48"/>
        <v>12</v>
      </c>
      <c r="EH138" s="630">
        <v>0</v>
      </c>
      <c r="EI138" s="642">
        <v>1</v>
      </c>
      <c r="EJ138" s="642">
        <v>4.5</v>
      </c>
      <c r="EK138" s="642">
        <v>6.5</v>
      </c>
      <c r="EL138" s="499"/>
      <c r="EM138" s="499"/>
      <c r="EN138" s="499"/>
      <c r="EO138" s="499"/>
      <c r="EP138" s="499"/>
      <c r="EQ138" s="499"/>
      <c r="ER138" s="499"/>
      <c r="ES138" s="388"/>
      <c r="ET138" s="388"/>
      <c r="EV138" s="1167">
        <f t="shared" si="50"/>
        <v>18.564</v>
      </c>
    </row>
    <row r="139" spans="1:152" s="350" customFormat="1" ht="15" x14ac:dyDescent="0.25">
      <c r="A139" s="632" t="s">
        <v>6</v>
      </c>
      <c r="B139" s="662">
        <v>42865</v>
      </c>
      <c r="C139" s="1132" t="s">
        <v>904</v>
      </c>
      <c r="D139" s="386">
        <v>0</v>
      </c>
      <c r="E139" s="636">
        <v>0</v>
      </c>
      <c r="F139" s="636">
        <v>52.8</v>
      </c>
      <c r="G139" s="636">
        <v>1.6</v>
      </c>
      <c r="H139" s="386">
        <v>12.63</v>
      </c>
      <c r="I139" s="386">
        <v>12.3</v>
      </c>
      <c r="J139" s="636">
        <v>0</v>
      </c>
      <c r="K139" s="386">
        <v>4.42</v>
      </c>
      <c r="L139" s="610">
        <v>41.290000000000873</v>
      </c>
      <c r="M139" s="386">
        <v>20</v>
      </c>
      <c r="N139" s="386">
        <v>1.3</v>
      </c>
      <c r="O139" s="609">
        <f>P139+59.56-59.5566860454086</f>
        <v>1.2933139545914045</v>
      </c>
      <c r="P139" s="386">
        <v>1.29</v>
      </c>
      <c r="Q139" s="386">
        <v>0.59771231220495435</v>
      </c>
      <c r="R139" s="732">
        <v>664.04825581395357</v>
      </c>
      <c r="S139" s="386">
        <v>8.0500000000000007</v>
      </c>
      <c r="T139" s="386">
        <v>8.16</v>
      </c>
      <c r="U139" s="386">
        <v>0.76</v>
      </c>
      <c r="V139" s="739">
        <v>0.76</v>
      </c>
      <c r="W139" s="739">
        <v>46.039999999999992</v>
      </c>
      <c r="X139" s="613">
        <v>46.039999999999992</v>
      </c>
      <c r="Y139" s="367">
        <v>25.66</v>
      </c>
      <c r="Z139" s="636">
        <v>28.04</v>
      </c>
      <c r="AA139" s="636">
        <v>25.68</v>
      </c>
      <c r="AB139" s="636">
        <v>24.12</v>
      </c>
      <c r="AC139" s="1160">
        <f t="shared" si="33"/>
        <v>49.8</v>
      </c>
      <c r="AD139" s="1160">
        <f t="shared" si="34"/>
        <v>77.040599999999998</v>
      </c>
      <c r="AE139" s="1160">
        <f t="shared" si="35"/>
        <v>13.164969999998647</v>
      </c>
      <c r="AF139" s="542"/>
      <c r="AG139" s="1160">
        <f t="shared" si="49"/>
        <v>0</v>
      </c>
      <c r="AH139" s="896"/>
      <c r="AI139" s="351"/>
      <c r="AJ139" s="897"/>
      <c r="AK139" s="388"/>
      <c r="AL139" s="388"/>
      <c r="AM139" s="388"/>
      <c r="AN139" s="388"/>
      <c r="AO139" s="370"/>
      <c r="AP139" s="370"/>
      <c r="AQ139" s="927"/>
      <c r="AR139" s="551">
        <v>0</v>
      </c>
      <c r="AS139" s="386">
        <v>22.6</v>
      </c>
      <c r="AT139" s="386">
        <v>0</v>
      </c>
      <c r="AU139" s="386">
        <v>0</v>
      </c>
      <c r="AV139" s="636">
        <v>542.6</v>
      </c>
      <c r="AW139" s="636">
        <v>615.20000000000005</v>
      </c>
      <c r="AX139" s="386">
        <v>0</v>
      </c>
      <c r="AY139" s="551">
        <v>0</v>
      </c>
      <c r="AZ139" s="551">
        <v>0</v>
      </c>
      <c r="BA139" s="551">
        <v>0</v>
      </c>
      <c r="BB139" s="975">
        <v>0</v>
      </c>
      <c r="BC139" s="386">
        <v>1.5</v>
      </c>
      <c r="BD139" s="386">
        <v>2</v>
      </c>
      <c r="BE139" s="551">
        <v>0</v>
      </c>
      <c r="BF139" s="386">
        <v>1</v>
      </c>
      <c r="BG139" s="386">
        <v>0</v>
      </c>
      <c r="BH139" s="551">
        <v>0</v>
      </c>
      <c r="BI139" s="386">
        <v>1.01</v>
      </c>
      <c r="BJ139" s="386">
        <v>18.63</v>
      </c>
      <c r="BK139" s="386">
        <v>4.17</v>
      </c>
      <c r="BL139" s="386">
        <v>2.39</v>
      </c>
      <c r="BM139" s="386">
        <v>0</v>
      </c>
      <c r="BN139" s="386">
        <v>12.28</v>
      </c>
      <c r="BO139" s="386">
        <v>1022.6</v>
      </c>
      <c r="BP139" s="386">
        <v>2</v>
      </c>
      <c r="BQ139" s="1131">
        <v>16.68</v>
      </c>
      <c r="BR139" s="1131">
        <v>17.420000000000002</v>
      </c>
      <c r="BS139" s="615">
        <v>11.43</v>
      </c>
      <c r="BT139" s="615">
        <v>11.56</v>
      </c>
      <c r="BU139" s="614">
        <v>24.5</v>
      </c>
      <c r="BV139" s="614">
        <v>29.7</v>
      </c>
      <c r="BW139" s="615">
        <v>817.7</v>
      </c>
      <c r="BX139" s="791"/>
      <c r="BY139" s="615">
        <v>0</v>
      </c>
      <c r="BZ139" s="615">
        <v>1.33</v>
      </c>
      <c r="CA139" s="615">
        <v>1.3</v>
      </c>
      <c r="CB139" s="615">
        <v>8.4</v>
      </c>
      <c r="CC139" s="615">
        <v>8.5</v>
      </c>
      <c r="CD139" s="499">
        <v>15.6</v>
      </c>
      <c r="CE139" s="499">
        <v>33.4</v>
      </c>
      <c r="CF139" s="499">
        <v>15.2</v>
      </c>
      <c r="CG139" s="499">
        <v>8</v>
      </c>
      <c r="CH139" s="499">
        <v>13.7</v>
      </c>
      <c r="CI139" s="499">
        <v>17.7</v>
      </c>
      <c r="CJ139" s="499">
        <v>12.86</v>
      </c>
      <c r="CK139" s="499">
        <v>118.5</v>
      </c>
      <c r="CL139" s="499">
        <v>3</v>
      </c>
      <c r="CM139" s="615">
        <v>4.8</v>
      </c>
      <c r="CN139" s="615">
        <v>1115.9000000000001</v>
      </c>
      <c r="CO139" s="499">
        <v>501.1</v>
      </c>
      <c r="CP139" s="615">
        <v>554.20000000000005</v>
      </c>
      <c r="CQ139" s="499">
        <v>12.8</v>
      </c>
      <c r="CR139" s="499">
        <v>0.76</v>
      </c>
      <c r="CS139" s="386">
        <v>5789.7</v>
      </c>
      <c r="CT139" s="386">
        <v>16.984999999999999</v>
      </c>
      <c r="CU139" s="386">
        <v>51</v>
      </c>
      <c r="CV139" s="499">
        <v>0</v>
      </c>
      <c r="CW139" s="499">
        <v>0</v>
      </c>
      <c r="CX139" s="499">
        <v>0</v>
      </c>
      <c r="CY139" s="499">
        <v>0</v>
      </c>
      <c r="CZ139" s="643">
        <v>1530</v>
      </c>
      <c r="DA139" s="643">
        <v>2070</v>
      </c>
      <c r="DB139" s="643">
        <v>1460</v>
      </c>
      <c r="DC139" s="609">
        <v>1157.28</v>
      </c>
      <c r="DD139" s="1153">
        <f t="shared" si="36"/>
        <v>0.27999999999997272</v>
      </c>
      <c r="DE139" s="1154">
        <f t="shared" si="37"/>
        <v>25.578431424000001</v>
      </c>
      <c r="DF139" s="1154">
        <f t="shared" si="38"/>
        <v>1350</v>
      </c>
      <c r="DG139" s="1154">
        <f t="shared" si="39"/>
        <v>1820</v>
      </c>
      <c r="DH139" s="1155" t="str">
        <f t="shared" si="40"/>
        <v>Palm</v>
      </c>
      <c r="DI139" s="1146">
        <f t="shared" si="41"/>
        <v>610</v>
      </c>
      <c r="DJ139" s="1146">
        <f t="shared" si="42"/>
        <v>8.3371680000000001</v>
      </c>
      <c r="DK139" s="1154">
        <f t="shared" si="43"/>
        <v>25.578431424000001</v>
      </c>
      <c r="DL139" s="615"/>
      <c r="DM139" s="615"/>
      <c r="DN139" s="615"/>
      <c r="DO139" s="499"/>
      <c r="DP139" s="499"/>
      <c r="DQ139" s="499"/>
      <c r="DR139" s="499"/>
      <c r="DS139" s="499"/>
      <c r="DT139" s="499"/>
      <c r="DU139" s="499"/>
      <c r="DV139" s="499"/>
      <c r="DW139" s="499"/>
      <c r="DX139" s="499"/>
      <c r="DY139" s="499"/>
      <c r="DZ139" s="499"/>
      <c r="EA139" s="499"/>
      <c r="EB139" s="499"/>
      <c r="EC139" s="499"/>
      <c r="ED139" s="499"/>
      <c r="EE139" s="499"/>
      <c r="EF139" s="499"/>
      <c r="EG139" s="1146">
        <f t="shared" si="48"/>
        <v>12</v>
      </c>
      <c r="EH139" s="630">
        <v>0</v>
      </c>
      <c r="EI139" s="642">
        <v>1</v>
      </c>
      <c r="EJ139" s="642">
        <v>4.5</v>
      </c>
      <c r="EK139" s="642">
        <v>6.5</v>
      </c>
      <c r="EL139" s="499"/>
      <c r="EM139" s="499"/>
      <c r="EN139" s="499"/>
      <c r="EO139" s="499"/>
      <c r="EP139" s="499"/>
      <c r="EQ139" s="499"/>
      <c r="ER139" s="499"/>
      <c r="ES139" s="388"/>
      <c r="ET139" s="388"/>
      <c r="EV139" s="1167">
        <f t="shared" si="50"/>
        <v>18.564</v>
      </c>
    </row>
    <row r="140" spans="1:152" s="350" customFormat="1" ht="15" x14ac:dyDescent="0.25">
      <c r="A140" s="632" t="s">
        <v>7</v>
      </c>
      <c r="B140" s="662">
        <v>42866</v>
      </c>
      <c r="C140" s="1132" t="s">
        <v>904</v>
      </c>
      <c r="D140" s="386">
        <v>0.64</v>
      </c>
      <c r="E140" s="636">
        <v>0</v>
      </c>
      <c r="F140" s="636">
        <v>42.2</v>
      </c>
      <c r="G140" s="636">
        <v>2</v>
      </c>
      <c r="H140" s="386">
        <v>7.9</v>
      </c>
      <c r="I140" s="386">
        <v>12.8</v>
      </c>
      <c r="J140" s="636">
        <v>0</v>
      </c>
      <c r="K140" s="386">
        <v>5.0999999999999996</v>
      </c>
      <c r="L140" s="610">
        <v>16.290000000000873</v>
      </c>
      <c r="M140" s="386">
        <v>20.8</v>
      </c>
      <c r="N140" s="386">
        <v>1.28</v>
      </c>
      <c r="O140" s="609">
        <v>1.3207124856307675</v>
      </c>
      <c r="P140" s="386">
        <v>1.3</v>
      </c>
      <c r="Q140" s="386">
        <v>0.59428242387284924</v>
      </c>
      <c r="R140" s="732">
        <v>714.71860465116288</v>
      </c>
      <c r="S140" s="386">
        <v>8.27</v>
      </c>
      <c r="T140" s="386">
        <v>8.3000000000000007</v>
      </c>
      <c r="U140" s="386">
        <v>0.73</v>
      </c>
      <c r="V140" s="739">
        <v>0.76</v>
      </c>
      <c r="W140" s="739">
        <v>46.22</v>
      </c>
      <c r="X140" s="613">
        <v>46.22</v>
      </c>
      <c r="Y140" s="367">
        <v>25.68</v>
      </c>
      <c r="Z140" s="636">
        <v>27.95</v>
      </c>
      <c r="AA140" s="636">
        <v>25.66</v>
      </c>
      <c r="AB140" s="636">
        <v>28.01</v>
      </c>
      <c r="AC140" s="1160">
        <f t="shared" ref="AC140:AC203" si="51">AA140+AB140</f>
        <v>53.67</v>
      </c>
      <c r="AD140" s="1160">
        <f t="shared" ref="AD140:AD203" si="52">AC140*1.547</f>
        <v>83.02749</v>
      </c>
      <c r="AE140" s="1160">
        <f t="shared" ref="AE140:AE203" si="53">AD140-(L140*1.547)</f>
        <v>57.826859999998646</v>
      </c>
      <c r="AF140" s="542"/>
      <c r="AG140" s="1160">
        <f t="shared" si="49"/>
        <v>0</v>
      </c>
      <c r="AH140" s="896"/>
      <c r="AI140" s="351"/>
      <c r="AJ140" s="897"/>
      <c r="AK140" s="388"/>
      <c r="AL140" s="388"/>
      <c r="AM140" s="388"/>
      <c r="AN140" s="388"/>
      <c r="AO140" s="370"/>
      <c r="AP140" s="370"/>
      <c r="AQ140" s="927"/>
      <c r="AR140" s="551">
        <v>0</v>
      </c>
      <c r="AS140" s="386">
        <v>11</v>
      </c>
      <c r="AT140" s="386">
        <v>0</v>
      </c>
      <c r="AU140" s="386">
        <v>0</v>
      </c>
      <c r="AV140" s="636">
        <v>271.5</v>
      </c>
      <c r="AW140" s="636">
        <v>402.8</v>
      </c>
      <c r="AX140" s="386">
        <v>0</v>
      </c>
      <c r="AY140" s="551">
        <v>0</v>
      </c>
      <c r="AZ140" s="551">
        <v>0</v>
      </c>
      <c r="BA140" s="551">
        <v>0</v>
      </c>
      <c r="BB140" s="975">
        <v>0</v>
      </c>
      <c r="BC140" s="386">
        <v>1.5</v>
      </c>
      <c r="BD140" s="386">
        <v>2</v>
      </c>
      <c r="BE140" s="551">
        <v>0</v>
      </c>
      <c r="BF140" s="386">
        <v>1</v>
      </c>
      <c r="BG140" s="386">
        <v>0</v>
      </c>
      <c r="BH140" s="551">
        <v>0</v>
      </c>
      <c r="BI140" s="386">
        <v>1.01</v>
      </c>
      <c r="BJ140" s="386">
        <v>22.5</v>
      </c>
      <c r="BK140" s="386">
        <v>3.33</v>
      </c>
      <c r="BL140" s="386">
        <v>2.84</v>
      </c>
      <c r="BM140" s="386">
        <v>0</v>
      </c>
      <c r="BN140" s="386">
        <v>16.399999999999999</v>
      </c>
      <c r="BO140" s="386">
        <v>1123.0999999999999</v>
      </c>
      <c r="BP140" s="386">
        <v>2</v>
      </c>
      <c r="BQ140" s="1131">
        <v>16.88</v>
      </c>
      <c r="BR140" s="1131">
        <v>17.59</v>
      </c>
      <c r="BS140" s="615">
        <v>11.64</v>
      </c>
      <c r="BT140" s="615">
        <v>11.74</v>
      </c>
      <c r="BU140" s="614">
        <v>24.8</v>
      </c>
      <c r="BV140" s="614">
        <v>28.1</v>
      </c>
      <c r="BW140" s="615">
        <v>764.8</v>
      </c>
      <c r="BX140" s="791"/>
      <c r="BY140" s="615">
        <v>0</v>
      </c>
      <c r="BZ140" s="615">
        <v>1.27</v>
      </c>
      <c r="CA140" s="615">
        <v>1.3</v>
      </c>
      <c r="CB140" s="615">
        <v>8.4</v>
      </c>
      <c r="CC140" s="615">
        <v>8.5</v>
      </c>
      <c r="CD140" s="499">
        <v>15.8</v>
      </c>
      <c r="CE140" s="499">
        <v>33.65</v>
      </c>
      <c r="CF140" s="499">
        <v>16</v>
      </c>
      <c r="CG140" s="499">
        <v>8.3000000000000007</v>
      </c>
      <c r="CH140" s="499">
        <v>13.9</v>
      </c>
      <c r="CI140" s="615">
        <v>18.2</v>
      </c>
      <c r="CJ140" s="615">
        <v>12.62</v>
      </c>
      <c r="CK140" s="499">
        <v>319.3</v>
      </c>
      <c r="CL140" s="499">
        <v>3.1</v>
      </c>
      <c r="CM140" s="499">
        <v>4.8</v>
      </c>
      <c r="CN140" s="615">
        <v>958</v>
      </c>
      <c r="CO140" s="499">
        <v>465.5</v>
      </c>
      <c r="CP140" s="499">
        <v>582.29999999999995</v>
      </c>
      <c r="CQ140" s="499">
        <v>12.5</v>
      </c>
      <c r="CR140" s="615">
        <v>0.57999999999999996</v>
      </c>
      <c r="CS140" s="386">
        <v>3468.2</v>
      </c>
      <c r="CT140" s="386">
        <v>17.032</v>
      </c>
      <c r="CU140" s="386">
        <v>50</v>
      </c>
      <c r="CV140" s="499">
        <v>0</v>
      </c>
      <c r="CW140" s="499">
        <v>0</v>
      </c>
      <c r="CX140" s="499">
        <v>0</v>
      </c>
      <c r="CY140" s="499">
        <v>0</v>
      </c>
      <c r="CZ140" s="643">
        <v>1910</v>
      </c>
      <c r="DA140" s="643">
        <v>2440</v>
      </c>
      <c r="DB140" s="643">
        <v>1800</v>
      </c>
      <c r="DC140" s="609">
        <v>1157.8599999999999</v>
      </c>
      <c r="DD140" s="1153">
        <f t="shared" si="36"/>
        <v>0.57999999999992724</v>
      </c>
      <c r="DE140" s="1154">
        <f t="shared" si="37"/>
        <v>15.322230144000002</v>
      </c>
      <c r="DF140" s="1154">
        <f t="shared" si="38"/>
        <v>1690</v>
      </c>
      <c r="DG140" s="1154">
        <f t="shared" si="39"/>
        <v>2190</v>
      </c>
      <c r="DH140" s="1155" t="str">
        <f t="shared" si="40"/>
        <v>Palm</v>
      </c>
      <c r="DI140" s="1146">
        <f t="shared" si="41"/>
        <v>640</v>
      </c>
      <c r="DJ140" s="1146">
        <f t="shared" si="42"/>
        <v>4.9942080000000004</v>
      </c>
      <c r="DK140" s="1154">
        <f t="shared" si="43"/>
        <v>15.322230144000002</v>
      </c>
      <c r="DL140" s="615"/>
      <c r="DM140" s="615"/>
      <c r="DN140" s="615"/>
      <c r="DO140" s="499"/>
      <c r="DP140" s="499"/>
      <c r="DQ140" s="499"/>
      <c r="DR140" s="499"/>
      <c r="DS140" s="499"/>
      <c r="DT140" s="499"/>
      <c r="DU140" s="499"/>
      <c r="DV140" s="499"/>
      <c r="DW140" s="499"/>
      <c r="DX140" s="499"/>
      <c r="DY140" s="499"/>
      <c r="DZ140" s="499"/>
      <c r="EA140" s="499"/>
      <c r="EB140" s="499"/>
      <c r="EC140" s="499"/>
      <c r="ED140" s="499"/>
      <c r="EE140" s="499"/>
      <c r="EF140" s="499"/>
      <c r="EG140" s="1146">
        <f t="shared" si="48"/>
        <v>12</v>
      </c>
      <c r="EH140" s="630">
        <v>0</v>
      </c>
      <c r="EI140" s="642">
        <v>1</v>
      </c>
      <c r="EJ140" s="642">
        <v>4.5</v>
      </c>
      <c r="EK140" s="642">
        <v>6.5</v>
      </c>
      <c r="EL140" s="499"/>
      <c r="EM140" s="499"/>
      <c r="EN140" s="499"/>
      <c r="EO140" s="499"/>
      <c r="EP140" s="499"/>
      <c r="EQ140" s="499"/>
      <c r="ER140" s="499"/>
      <c r="ES140" s="388"/>
      <c r="ET140" s="388"/>
      <c r="EV140" s="1167">
        <f t="shared" si="50"/>
        <v>18.564</v>
      </c>
    </row>
    <row r="141" spans="1:152" s="350" customFormat="1" ht="15" x14ac:dyDescent="0.25">
      <c r="A141" s="632" t="s">
        <v>8</v>
      </c>
      <c r="B141" s="662">
        <v>42867</v>
      </c>
      <c r="C141" s="1132" t="s">
        <v>904</v>
      </c>
      <c r="D141" s="386">
        <v>0.15</v>
      </c>
      <c r="E141" s="636">
        <v>0</v>
      </c>
      <c r="F141" s="636">
        <v>42</v>
      </c>
      <c r="G141" s="636">
        <v>1.7</v>
      </c>
      <c r="H141" s="386">
        <v>5.16</v>
      </c>
      <c r="I141" s="386">
        <v>12</v>
      </c>
      <c r="J141" s="636">
        <v>0</v>
      </c>
      <c r="K141" s="386">
        <v>5.58</v>
      </c>
      <c r="L141" s="610">
        <v>7.819999999999709</v>
      </c>
      <c r="M141" s="386">
        <v>21.8</v>
      </c>
      <c r="N141" s="386">
        <v>1.27</v>
      </c>
      <c r="O141" s="386">
        <v>1.3003875968992251</v>
      </c>
      <c r="P141" s="386">
        <v>1.27</v>
      </c>
      <c r="Q141" s="386">
        <v>0.54158743062304004</v>
      </c>
      <c r="R141" s="732">
        <v>692.71700581395362</v>
      </c>
      <c r="S141" s="386">
        <v>8.23</v>
      </c>
      <c r="T141" s="386">
        <v>8.2899999999999991</v>
      </c>
      <c r="U141" s="386">
        <v>0.68</v>
      </c>
      <c r="V141" s="739">
        <v>0.74</v>
      </c>
      <c r="W141" s="739">
        <v>46.22</v>
      </c>
      <c r="X141" s="613">
        <v>46.22</v>
      </c>
      <c r="Y141" s="367">
        <v>25.66</v>
      </c>
      <c r="Z141" s="636">
        <v>27.9</v>
      </c>
      <c r="AA141" s="636">
        <v>25.7</v>
      </c>
      <c r="AB141" s="636">
        <v>28.01</v>
      </c>
      <c r="AC141" s="1160">
        <f t="shared" si="51"/>
        <v>53.71</v>
      </c>
      <c r="AD141" s="1160">
        <f t="shared" si="52"/>
        <v>83.089370000000002</v>
      </c>
      <c r="AE141" s="1160">
        <f t="shared" si="53"/>
        <v>70.991830000000448</v>
      </c>
      <c r="AF141" s="542"/>
      <c r="AG141" s="1160">
        <f t="shared" si="49"/>
        <v>0</v>
      </c>
      <c r="AH141" s="896"/>
      <c r="AI141" s="351"/>
      <c r="AJ141" s="897"/>
      <c r="AK141" s="388"/>
      <c r="AL141" s="388"/>
      <c r="AM141" s="388"/>
      <c r="AN141" s="388"/>
      <c r="AO141" s="370"/>
      <c r="AP141" s="370"/>
      <c r="AQ141" s="927"/>
      <c r="AR141" s="551">
        <v>0</v>
      </c>
      <c r="AS141" s="386">
        <v>22.2</v>
      </c>
      <c r="AT141" s="386">
        <v>0</v>
      </c>
      <c r="AU141" s="386">
        <v>0</v>
      </c>
      <c r="AV141" s="636">
        <v>344.2</v>
      </c>
      <c r="AW141" s="636">
        <v>390</v>
      </c>
      <c r="AX141" s="386">
        <v>0</v>
      </c>
      <c r="AY141" s="551">
        <v>0</v>
      </c>
      <c r="AZ141" s="551">
        <v>0</v>
      </c>
      <c r="BA141" s="551">
        <v>0</v>
      </c>
      <c r="BB141" s="975">
        <v>0</v>
      </c>
      <c r="BC141" s="386">
        <v>1.5</v>
      </c>
      <c r="BD141" s="386">
        <v>1.99</v>
      </c>
      <c r="BE141" s="551">
        <v>0</v>
      </c>
      <c r="BF141" s="386">
        <v>1</v>
      </c>
      <c r="BG141" s="386">
        <v>0</v>
      </c>
      <c r="BH141" s="551">
        <v>0</v>
      </c>
      <c r="BI141" s="386">
        <v>1.01</v>
      </c>
      <c r="BJ141" s="386">
        <v>22.5</v>
      </c>
      <c r="BK141" s="386">
        <v>2.38</v>
      </c>
      <c r="BL141" s="386">
        <v>4.13</v>
      </c>
      <c r="BM141" s="386">
        <v>0</v>
      </c>
      <c r="BN141" s="386">
        <v>16.100000000000001</v>
      </c>
      <c r="BO141" s="386">
        <v>1048.3</v>
      </c>
      <c r="BP141" s="386">
        <v>2</v>
      </c>
      <c r="BQ141" s="1131">
        <v>17.32</v>
      </c>
      <c r="BR141" s="1131">
        <v>18.05</v>
      </c>
      <c r="BS141" s="615">
        <v>11.66</v>
      </c>
      <c r="BT141" s="615">
        <v>11.77</v>
      </c>
      <c r="BU141" s="614">
        <v>24.8</v>
      </c>
      <c r="BV141" s="614">
        <v>27.1</v>
      </c>
      <c r="BW141" s="615">
        <v>686.5</v>
      </c>
      <c r="BX141" s="791"/>
      <c r="BY141" s="615">
        <v>0</v>
      </c>
      <c r="BZ141" s="615">
        <v>1.27</v>
      </c>
      <c r="CA141" s="615">
        <v>1.3</v>
      </c>
      <c r="CB141" s="615">
        <v>8.5</v>
      </c>
      <c r="CC141" s="615">
        <v>8.5</v>
      </c>
      <c r="CD141" s="615">
        <v>16</v>
      </c>
      <c r="CE141" s="615">
        <v>33.700000000000003</v>
      </c>
      <c r="CF141" s="615">
        <v>17.100000000000001</v>
      </c>
      <c r="CG141" s="615">
        <v>8.1999999999999993</v>
      </c>
      <c r="CH141" s="615">
        <v>13.8</v>
      </c>
      <c r="CI141" s="615">
        <v>18.600000000000001</v>
      </c>
      <c r="CJ141" s="615">
        <v>12.97</v>
      </c>
      <c r="CK141" s="615">
        <v>321.10000000000002</v>
      </c>
      <c r="CL141" s="615">
        <v>2.6</v>
      </c>
      <c r="CM141" s="615">
        <v>4.0999999999999996</v>
      </c>
      <c r="CN141" s="615">
        <v>795.4</v>
      </c>
      <c r="CO141" s="615">
        <v>430.3</v>
      </c>
      <c r="CP141" s="615">
        <v>575</v>
      </c>
      <c r="CQ141" s="615">
        <v>12.3</v>
      </c>
      <c r="CR141" s="615">
        <v>0.47</v>
      </c>
      <c r="CS141" s="386">
        <v>3507</v>
      </c>
      <c r="CT141" s="386">
        <v>15.989000000000001</v>
      </c>
      <c r="CU141" s="386">
        <v>49</v>
      </c>
      <c r="CV141" s="499">
        <v>0</v>
      </c>
      <c r="CW141" s="499">
        <v>0</v>
      </c>
      <c r="CX141" s="499">
        <v>0</v>
      </c>
      <c r="CY141" s="499">
        <v>0</v>
      </c>
      <c r="CZ141" s="643">
        <v>1600</v>
      </c>
      <c r="DA141" s="643">
        <v>2160</v>
      </c>
      <c r="DB141" s="643">
        <v>1480</v>
      </c>
      <c r="DC141" s="609">
        <v>1158.26</v>
      </c>
      <c r="DD141" s="1153">
        <f t="shared" si="36"/>
        <v>0.40000000000009095</v>
      </c>
      <c r="DE141" s="1154">
        <f t="shared" si="37"/>
        <v>15.493645440000002</v>
      </c>
      <c r="DF141" s="1154">
        <f t="shared" si="38"/>
        <v>1370</v>
      </c>
      <c r="DG141" s="1154">
        <f t="shared" si="39"/>
        <v>1910</v>
      </c>
      <c r="DH141" s="1155" t="str">
        <f t="shared" si="40"/>
        <v>Palm</v>
      </c>
      <c r="DI141" s="1146">
        <f t="shared" si="41"/>
        <v>680</v>
      </c>
      <c r="DJ141" s="1146">
        <f t="shared" si="42"/>
        <v>5.0500800000000003</v>
      </c>
      <c r="DK141" s="1154">
        <f t="shared" si="43"/>
        <v>15.493645440000002</v>
      </c>
      <c r="DL141" s="615"/>
      <c r="DM141" s="615"/>
      <c r="DN141" s="615"/>
      <c r="DO141" s="499"/>
      <c r="DP141" s="499"/>
      <c r="DQ141" s="499"/>
      <c r="DR141" s="499"/>
      <c r="DS141" s="499"/>
      <c r="DT141" s="499"/>
      <c r="DU141" s="499"/>
      <c r="DV141" s="499"/>
      <c r="DW141" s="499"/>
      <c r="DX141" s="499"/>
      <c r="DY141" s="499"/>
      <c r="DZ141" s="499"/>
      <c r="EA141" s="499"/>
      <c r="EB141" s="499"/>
      <c r="EC141" s="499"/>
      <c r="ED141" s="499"/>
      <c r="EE141" s="499"/>
      <c r="EF141" s="499"/>
      <c r="EG141" s="1146">
        <f t="shared" si="48"/>
        <v>12</v>
      </c>
      <c r="EH141" s="630">
        <v>0</v>
      </c>
      <c r="EI141" s="642">
        <v>1</v>
      </c>
      <c r="EJ141" s="613">
        <v>4.5</v>
      </c>
      <c r="EK141" s="642">
        <v>6.5</v>
      </c>
      <c r="EL141" s="499"/>
      <c r="EM141" s="499"/>
      <c r="EN141" s="499"/>
      <c r="EO141" s="499"/>
      <c r="EP141" s="499"/>
      <c r="EQ141" s="499"/>
      <c r="ER141" s="499"/>
      <c r="ES141" s="388"/>
      <c r="ET141" s="388"/>
      <c r="EV141" s="1167">
        <f t="shared" si="50"/>
        <v>18.564</v>
      </c>
    </row>
    <row r="142" spans="1:152" s="350" customFormat="1" ht="15" x14ac:dyDescent="0.25">
      <c r="A142" s="632" t="s">
        <v>9</v>
      </c>
      <c r="B142" s="662">
        <v>42868</v>
      </c>
      <c r="C142" s="1132" t="s">
        <v>904</v>
      </c>
      <c r="D142" s="386">
        <v>0.45</v>
      </c>
      <c r="E142" s="636">
        <v>0</v>
      </c>
      <c r="F142" s="636">
        <v>43</v>
      </c>
      <c r="G142" s="636">
        <v>1.6</v>
      </c>
      <c r="H142" s="386">
        <v>4.71</v>
      </c>
      <c r="I142" s="386">
        <v>13.4</v>
      </c>
      <c r="J142" s="636">
        <v>0</v>
      </c>
      <c r="K142" s="386">
        <v>5.44</v>
      </c>
      <c r="L142" s="610">
        <v>0</v>
      </c>
      <c r="M142" s="386">
        <v>22.1</v>
      </c>
      <c r="N142" s="386">
        <v>1.24</v>
      </c>
      <c r="O142" s="386">
        <v>1.2675192324695741</v>
      </c>
      <c r="P142" s="386">
        <v>1.26</v>
      </c>
      <c r="Q142" s="386">
        <v>0.54305118043553469</v>
      </c>
      <c r="R142" s="732">
        <v>679.71606104651164</v>
      </c>
      <c r="S142" s="386">
        <v>8.19</v>
      </c>
      <c r="T142" s="386">
        <v>8.2200000000000006</v>
      </c>
      <c r="U142" s="386">
        <v>0.71</v>
      </c>
      <c r="V142" s="739">
        <v>0.7</v>
      </c>
      <c r="W142" s="739">
        <v>46.400000000000006</v>
      </c>
      <c r="X142" s="613">
        <v>46.400000000000006</v>
      </c>
      <c r="Y142" s="367">
        <v>25.7</v>
      </c>
      <c r="Z142" s="636">
        <v>27.9</v>
      </c>
      <c r="AA142" s="636">
        <v>25.7</v>
      </c>
      <c r="AB142" s="636">
        <v>28.01</v>
      </c>
      <c r="AC142" s="1160">
        <f t="shared" si="51"/>
        <v>53.71</v>
      </c>
      <c r="AD142" s="1160">
        <f t="shared" si="52"/>
        <v>83.089370000000002</v>
      </c>
      <c r="AE142" s="1160">
        <f t="shared" si="53"/>
        <v>83.089370000000002</v>
      </c>
      <c r="AF142" s="542"/>
      <c r="AG142" s="1160">
        <f t="shared" si="49"/>
        <v>0</v>
      </c>
      <c r="AH142" s="896"/>
      <c r="AI142" s="351"/>
      <c r="AJ142" s="897"/>
      <c r="AK142" s="388"/>
      <c r="AL142" s="388"/>
      <c r="AM142" s="388"/>
      <c r="AN142" s="388"/>
      <c r="AO142" s="370"/>
      <c r="AP142" s="370"/>
      <c r="AQ142" s="927"/>
      <c r="AR142" s="551">
        <v>0</v>
      </c>
      <c r="AS142" s="386">
        <v>11.3</v>
      </c>
      <c r="AT142" s="386">
        <v>0</v>
      </c>
      <c r="AU142" s="386">
        <v>0</v>
      </c>
      <c r="AV142" s="636">
        <v>554</v>
      </c>
      <c r="AW142" s="636">
        <v>589.1</v>
      </c>
      <c r="AX142" s="386">
        <v>0</v>
      </c>
      <c r="AY142" s="551">
        <v>0</v>
      </c>
      <c r="AZ142" s="551">
        <v>0</v>
      </c>
      <c r="BA142" s="551">
        <v>0</v>
      </c>
      <c r="BB142" s="975">
        <v>0</v>
      </c>
      <c r="BC142" s="386">
        <v>1.49</v>
      </c>
      <c r="BD142" s="386">
        <v>2</v>
      </c>
      <c r="BE142" s="551">
        <v>0</v>
      </c>
      <c r="BF142" s="386">
        <v>1</v>
      </c>
      <c r="BG142" s="386">
        <v>0</v>
      </c>
      <c r="BH142" s="551">
        <v>0</v>
      </c>
      <c r="BI142" s="386">
        <v>1.01</v>
      </c>
      <c r="BJ142" s="386">
        <v>22.5</v>
      </c>
      <c r="BK142" s="386">
        <v>2.74</v>
      </c>
      <c r="BL142" s="386">
        <v>3.74</v>
      </c>
      <c r="BM142" s="386">
        <v>0</v>
      </c>
      <c r="BN142" s="386">
        <v>16.100000000000001</v>
      </c>
      <c r="BO142" s="386">
        <v>1172.5</v>
      </c>
      <c r="BP142" s="386">
        <v>2</v>
      </c>
      <c r="BQ142" s="1131">
        <v>18.11</v>
      </c>
      <c r="BR142" s="1131">
        <v>18.829999999999998</v>
      </c>
      <c r="BS142" s="615">
        <v>11.47</v>
      </c>
      <c r="BT142" s="615">
        <v>11.6</v>
      </c>
      <c r="BU142" s="614">
        <v>24.4</v>
      </c>
      <c r="BV142" s="614">
        <v>25.8</v>
      </c>
      <c r="BW142" s="615">
        <v>658.3</v>
      </c>
      <c r="BX142" s="791"/>
      <c r="BY142" s="615">
        <v>0</v>
      </c>
      <c r="BZ142" s="615">
        <v>1.21</v>
      </c>
      <c r="CA142" s="615">
        <v>1.2</v>
      </c>
      <c r="CB142" s="615">
        <v>8.4</v>
      </c>
      <c r="CC142" s="615">
        <v>8.5</v>
      </c>
      <c r="CD142" s="615">
        <v>15.6</v>
      </c>
      <c r="CE142" s="615">
        <v>33.700000000000003</v>
      </c>
      <c r="CF142" s="615">
        <v>15.9</v>
      </c>
      <c r="CG142" s="615">
        <v>8.3000000000000007</v>
      </c>
      <c r="CH142" s="615">
        <v>14</v>
      </c>
      <c r="CI142" s="615">
        <v>18.399999999999999</v>
      </c>
      <c r="CJ142" s="615">
        <v>12.36</v>
      </c>
      <c r="CK142" s="615">
        <v>299.10000000000002</v>
      </c>
      <c r="CL142" s="615">
        <v>2.5</v>
      </c>
      <c r="CM142" s="615">
        <v>4.5</v>
      </c>
      <c r="CN142" s="615">
        <v>871.3</v>
      </c>
      <c r="CO142" s="615">
        <v>471.1</v>
      </c>
      <c r="CP142" s="615">
        <v>481.1</v>
      </c>
      <c r="CQ142" s="615">
        <v>12.2</v>
      </c>
      <c r="CR142" s="615">
        <v>46</v>
      </c>
      <c r="CS142" s="386">
        <v>3519.9</v>
      </c>
      <c r="CT142" s="386">
        <v>16.702999999999999</v>
      </c>
      <c r="CU142" s="386">
        <v>49</v>
      </c>
      <c r="CV142" s="499">
        <v>0</v>
      </c>
      <c r="CW142" s="499">
        <v>0</v>
      </c>
      <c r="CX142" s="499">
        <v>0</v>
      </c>
      <c r="CY142" s="499">
        <v>0</v>
      </c>
      <c r="CZ142" s="643">
        <v>1600</v>
      </c>
      <c r="DA142" s="643">
        <v>2110</v>
      </c>
      <c r="DB142" s="643">
        <v>1490</v>
      </c>
      <c r="DC142" s="609">
        <v>1158.57</v>
      </c>
      <c r="DD142" s="1153">
        <f t="shared" si="36"/>
        <v>0.30999999999994543</v>
      </c>
      <c r="DE142" s="1154">
        <f t="shared" si="37"/>
        <v>15.550636608</v>
      </c>
      <c r="DF142" s="1154">
        <f t="shared" si="38"/>
        <v>1380</v>
      </c>
      <c r="DG142" s="1154">
        <f t="shared" si="39"/>
        <v>1860</v>
      </c>
      <c r="DH142" s="1155" t="str">
        <f t="shared" si="40"/>
        <v>Palm</v>
      </c>
      <c r="DI142" s="1146">
        <f t="shared" si="41"/>
        <v>620</v>
      </c>
      <c r="DJ142" s="1146">
        <f t="shared" si="42"/>
        <v>5.0686559999999998</v>
      </c>
      <c r="DK142" s="1154">
        <f t="shared" si="43"/>
        <v>15.550636608</v>
      </c>
      <c r="DL142" s="615"/>
      <c r="DM142" s="615"/>
      <c r="DN142" s="615"/>
      <c r="DO142" s="499"/>
      <c r="DP142" s="499"/>
      <c r="DQ142" s="499"/>
      <c r="DR142" s="499"/>
      <c r="DS142" s="499"/>
      <c r="DT142" s="499"/>
      <c r="DU142" s="499"/>
      <c r="DV142" s="499"/>
      <c r="DW142" s="499"/>
      <c r="DX142" s="499"/>
      <c r="DY142" s="499"/>
      <c r="DZ142" s="499"/>
      <c r="EA142" s="499"/>
      <c r="EB142" s="499"/>
      <c r="EC142" s="499"/>
      <c r="ED142" s="499"/>
      <c r="EE142" s="499"/>
      <c r="EF142" s="499"/>
      <c r="EG142" s="1146">
        <f t="shared" si="48"/>
        <v>12</v>
      </c>
      <c r="EH142" s="630">
        <v>0</v>
      </c>
      <c r="EI142" s="642">
        <v>1</v>
      </c>
      <c r="EJ142" s="613">
        <v>4.5</v>
      </c>
      <c r="EK142" s="642">
        <v>6.5</v>
      </c>
      <c r="EL142" s="499"/>
      <c r="EM142" s="499"/>
      <c r="EN142" s="499"/>
      <c r="EO142" s="499"/>
      <c r="EP142" s="499"/>
      <c r="EQ142" s="499"/>
      <c r="ER142" s="499"/>
      <c r="ES142" s="388"/>
      <c r="ET142" s="388"/>
      <c r="EV142" s="1167">
        <f t="shared" si="50"/>
        <v>18.564</v>
      </c>
    </row>
    <row r="143" spans="1:152" s="350" customFormat="1" ht="15" x14ac:dyDescent="0.25">
      <c r="A143" s="632" t="s">
        <v>3</v>
      </c>
      <c r="B143" s="662">
        <v>42869</v>
      </c>
      <c r="C143" s="1132" t="s">
        <v>904</v>
      </c>
      <c r="D143" s="386">
        <v>0.3</v>
      </c>
      <c r="E143" s="636">
        <v>0</v>
      </c>
      <c r="F143" s="636">
        <v>42</v>
      </c>
      <c r="G143" s="636">
        <v>1.7</v>
      </c>
      <c r="H143" s="386">
        <v>4.53</v>
      </c>
      <c r="I143" s="386">
        <v>12.2</v>
      </c>
      <c r="J143" s="636">
        <v>0</v>
      </c>
      <c r="K143" s="386">
        <v>5.0999999999999996</v>
      </c>
      <c r="L143" s="610">
        <v>0</v>
      </c>
      <c r="M143" s="386">
        <v>22</v>
      </c>
      <c r="N143" s="386">
        <v>1.26</v>
      </c>
      <c r="O143" s="386">
        <v>1.2857569192676979</v>
      </c>
      <c r="P143" s="386">
        <v>1.27</v>
      </c>
      <c r="Q143" s="386">
        <v>0.54305118043553469</v>
      </c>
      <c r="R143" s="732">
        <v>687.71664244186059</v>
      </c>
      <c r="S143" s="386">
        <v>8.31</v>
      </c>
      <c r="T143" s="386">
        <v>8.35</v>
      </c>
      <c r="U143" s="386">
        <v>0.73</v>
      </c>
      <c r="V143" s="739">
        <v>0.71</v>
      </c>
      <c r="W143" s="739">
        <v>46.58</v>
      </c>
      <c r="X143" s="613">
        <v>46.58</v>
      </c>
      <c r="Y143" s="367">
        <v>25.7</v>
      </c>
      <c r="Z143" s="636">
        <v>27.9</v>
      </c>
      <c r="AA143" s="636">
        <v>25.3</v>
      </c>
      <c r="AB143" s="636">
        <v>28.01</v>
      </c>
      <c r="AC143" s="1160">
        <f t="shared" si="51"/>
        <v>53.31</v>
      </c>
      <c r="AD143" s="1160">
        <f t="shared" si="52"/>
        <v>82.470569999999995</v>
      </c>
      <c r="AE143" s="1160">
        <f t="shared" si="53"/>
        <v>82.470569999999995</v>
      </c>
      <c r="AF143" s="542"/>
      <c r="AG143" s="1160">
        <f t="shared" si="49"/>
        <v>0</v>
      </c>
      <c r="AH143" s="896"/>
      <c r="AI143" s="351"/>
      <c r="AJ143" s="897"/>
      <c r="AK143" s="388"/>
      <c r="AL143" s="388"/>
      <c r="AM143" s="388"/>
      <c r="AN143" s="388"/>
      <c r="AO143" s="370"/>
      <c r="AP143" s="370"/>
      <c r="AQ143" s="927"/>
      <c r="AR143" s="551">
        <v>0</v>
      </c>
      <c r="AS143" s="386">
        <v>22.1</v>
      </c>
      <c r="AT143" s="386">
        <v>0</v>
      </c>
      <c r="AU143" s="386">
        <v>0</v>
      </c>
      <c r="AV143" s="636">
        <v>215.9</v>
      </c>
      <c r="AW143" s="636">
        <v>379.2</v>
      </c>
      <c r="AX143" s="386">
        <v>0</v>
      </c>
      <c r="AY143" s="551">
        <v>0</v>
      </c>
      <c r="AZ143" s="551">
        <v>0</v>
      </c>
      <c r="BA143" s="551">
        <v>0</v>
      </c>
      <c r="BB143" s="975">
        <v>0</v>
      </c>
      <c r="BC143" s="386">
        <v>1.5</v>
      </c>
      <c r="BD143" s="386">
        <v>2</v>
      </c>
      <c r="BE143" s="551">
        <v>0</v>
      </c>
      <c r="BF143" s="386">
        <v>0.99</v>
      </c>
      <c r="BG143" s="386">
        <v>0</v>
      </c>
      <c r="BH143" s="551">
        <v>0</v>
      </c>
      <c r="BI143" s="386">
        <v>1.01</v>
      </c>
      <c r="BJ143" s="386">
        <v>22.5</v>
      </c>
      <c r="BK143" s="386">
        <v>2.95</v>
      </c>
      <c r="BL143" s="386">
        <v>3.53</v>
      </c>
      <c r="BM143" s="386">
        <v>0</v>
      </c>
      <c r="BN143" s="386">
        <v>16.100000000000001</v>
      </c>
      <c r="BO143" s="386">
        <v>1147.9000000000001</v>
      </c>
      <c r="BP143" s="386">
        <v>2</v>
      </c>
      <c r="BQ143" s="1131">
        <v>18.72</v>
      </c>
      <c r="BR143" s="1131">
        <v>19.45</v>
      </c>
      <c r="BS143" s="615">
        <v>11.69</v>
      </c>
      <c r="BT143" s="615">
        <v>11.8</v>
      </c>
      <c r="BU143" s="614">
        <v>24.7</v>
      </c>
      <c r="BV143" s="614">
        <v>26.9</v>
      </c>
      <c r="BW143" s="615">
        <v>757.6</v>
      </c>
      <c r="BX143" s="791"/>
      <c r="BY143" s="615">
        <v>0</v>
      </c>
      <c r="BZ143" s="615">
        <v>1.19</v>
      </c>
      <c r="CA143" s="615">
        <v>1.2</v>
      </c>
      <c r="CB143" s="615">
        <v>8.5</v>
      </c>
      <c r="CC143" s="615">
        <v>8.5</v>
      </c>
      <c r="CD143" s="615">
        <v>15.5</v>
      </c>
      <c r="CE143" s="615">
        <v>33.6</v>
      </c>
      <c r="CF143" s="615">
        <v>14.7</v>
      </c>
      <c r="CG143" s="615">
        <v>8.1999999999999993</v>
      </c>
      <c r="CH143" s="615">
        <v>14</v>
      </c>
      <c r="CI143" s="615">
        <v>18</v>
      </c>
      <c r="CJ143" s="615">
        <v>12.18</v>
      </c>
      <c r="CK143" s="615">
        <v>301.39999999999998</v>
      </c>
      <c r="CL143" s="615">
        <v>2.9</v>
      </c>
      <c r="CM143" s="615">
        <v>4.2</v>
      </c>
      <c r="CN143" s="615">
        <v>1011.7</v>
      </c>
      <c r="CO143" s="615">
        <v>488.5</v>
      </c>
      <c r="CP143" s="615">
        <v>483.3</v>
      </c>
      <c r="CQ143" s="615">
        <v>12</v>
      </c>
      <c r="CR143" s="615">
        <v>59</v>
      </c>
      <c r="CS143" s="386">
        <v>3529.5</v>
      </c>
      <c r="CT143" s="386">
        <v>17.056999999999999</v>
      </c>
      <c r="CU143" s="386">
        <v>49</v>
      </c>
      <c r="CV143" s="499">
        <v>0</v>
      </c>
      <c r="CW143" s="499">
        <v>0</v>
      </c>
      <c r="CX143" s="499">
        <v>0</v>
      </c>
      <c r="CY143" s="499">
        <v>0</v>
      </c>
      <c r="CZ143" s="643">
        <v>1600</v>
      </c>
      <c r="DA143" s="643">
        <v>2110</v>
      </c>
      <c r="DB143" s="643">
        <v>1480</v>
      </c>
      <c r="DC143" s="609">
        <v>1158.44</v>
      </c>
      <c r="DD143" s="1153">
        <f t="shared" ref="DD143:DD206" si="54">DC143-DC142</f>
        <v>-0.12999999999988177</v>
      </c>
      <c r="DE143" s="1154">
        <f t="shared" ref="DE143:DE206" si="55">(CS143*1440/1000000)*3.068</f>
        <v>15.593048640000001</v>
      </c>
      <c r="DF143" s="1154">
        <f t="shared" ref="DF143:DF206" si="56">DB143-110</f>
        <v>1370</v>
      </c>
      <c r="DG143" s="1154">
        <f t="shared" ref="DG143:DG206" si="57">DA143-250</f>
        <v>1860</v>
      </c>
      <c r="DH143" s="1155" t="str">
        <f t="shared" ref="DH143:DH206" si="58">IF(DG143&lt;DF143,"Aub","Palm")</f>
        <v>Palm</v>
      </c>
      <c r="DI143" s="1146">
        <f t="shared" ref="DI143:DI206" si="59">DA143-DB143</f>
        <v>630</v>
      </c>
      <c r="DJ143" s="1146">
        <f t="shared" ref="DJ143:DJ206" si="60">DK143/3.068</f>
        <v>5.0824800000000003</v>
      </c>
      <c r="DK143" s="1154">
        <f t="shared" ref="DK143:DK206" si="61">(CS143*1440/1000000)*3.068</f>
        <v>15.593048640000001</v>
      </c>
      <c r="DL143" s="615"/>
      <c r="DM143" s="615"/>
      <c r="DN143" s="615"/>
      <c r="DO143" s="499"/>
      <c r="DP143" s="499"/>
      <c r="DQ143" s="499"/>
      <c r="DR143" s="499"/>
      <c r="DS143" s="499"/>
      <c r="DT143" s="499"/>
      <c r="DU143" s="499"/>
      <c r="DV143" s="499"/>
      <c r="DW143" s="499"/>
      <c r="DX143" s="499"/>
      <c r="DY143" s="499"/>
      <c r="DZ143" s="499"/>
      <c r="EA143" s="499"/>
      <c r="EB143" s="499"/>
      <c r="EC143" s="499"/>
      <c r="ED143" s="499"/>
      <c r="EE143" s="499"/>
      <c r="EF143" s="499"/>
      <c r="EG143" s="1146">
        <f t="shared" si="48"/>
        <v>12</v>
      </c>
      <c r="EH143" s="630">
        <v>0</v>
      </c>
      <c r="EI143" s="642">
        <v>1</v>
      </c>
      <c r="EJ143" s="613">
        <v>4.5</v>
      </c>
      <c r="EK143" s="642">
        <v>6.5</v>
      </c>
      <c r="EL143" s="499"/>
      <c r="EM143" s="499"/>
      <c r="EN143" s="499"/>
      <c r="EO143" s="499"/>
      <c r="EP143" s="499"/>
      <c r="EQ143" s="499"/>
      <c r="ER143" s="499"/>
      <c r="ES143" s="388"/>
      <c r="ET143" s="388"/>
      <c r="EV143" s="1167">
        <f t="shared" si="50"/>
        <v>18.564</v>
      </c>
    </row>
    <row r="144" spans="1:152" s="350" customFormat="1" ht="15" x14ac:dyDescent="0.25">
      <c r="A144" s="632" t="s">
        <v>4</v>
      </c>
      <c r="B144" s="662">
        <v>42870</v>
      </c>
      <c r="C144" s="1132" t="s">
        <v>904</v>
      </c>
      <c r="D144" s="386">
        <v>0.74</v>
      </c>
      <c r="E144" s="636">
        <v>0</v>
      </c>
      <c r="F144" s="636">
        <v>43.7</v>
      </c>
      <c r="G144" s="636">
        <v>1.3</v>
      </c>
      <c r="H144" s="386">
        <v>4.45</v>
      </c>
      <c r="I144" s="386">
        <v>12.4</v>
      </c>
      <c r="J144" s="636">
        <v>0</v>
      </c>
      <c r="K144" s="386">
        <v>4.25</v>
      </c>
      <c r="L144" s="610">
        <v>0</v>
      </c>
      <c r="M144" s="386">
        <v>21.9</v>
      </c>
      <c r="N144" s="386">
        <v>1.23</v>
      </c>
      <c r="O144" s="386">
        <v>1.3227571598782781</v>
      </c>
      <c r="P144" s="386">
        <v>1.24</v>
      </c>
      <c r="Q144" s="386">
        <v>0.54981968778034807</v>
      </c>
      <c r="R144" s="732">
        <v>707.05138081395353</v>
      </c>
      <c r="S144" s="386">
        <v>8.2899999999999991</v>
      </c>
      <c r="T144" s="386">
        <v>8.3800000000000008</v>
      </c>
      <c r="U144" s="386">
        <v>0.75</v>
      </c>
      <c r="V144" s="739">
        <v>0.71</v>
      </c>
      <c r="W144" s="739">
        <v>46.94</v>
      </c>
      <c r="X144" s="613">
        <v>46.94</v>
      </c>
      <c r="Y144" s="367">
        <v>25.3</v>
      </c>
      <c r="Z144" s="636">
        <v>27.9</v>
      </c>
      <c r="AA144" s="636">
        <v>25.66</v>
      </c>
      <c r="AB144" s="636">
        <v>27.9</v>
      </c>
      <c r="AC144" s="1160">
        <f t="shared" si="51"/>
        <v>53.56</v>
      </c>
      <c r="AD144" s="1160">
        <f t="shared" si="52"/>
        <v>82.857320000000001</v>
      </c>
      <c r="AE144" s="1160">
        <f t="shared" si="53"/>
        <v>82.857320000000001</v>
      </c>
      <c r="AF144" s="542"/>
      <c r="AG144" s="1160">
        <f t="shared" si="49"/>
        <v>0</v>
      </c>
      <c r="AH144" s="896"/>
      <c r="AI144" s="351"/>
      <c r="AJ144" s="897"/>
      <c r="AK144" s="388"/>
      <c r="AL144" s="388"/>
      <c r="AM144" s="388"/>
      <c r="AN144" s="388"/>
      <c r="AO144" s="370"/>
      <c r="AP144" s="370"/>
      <c r="AQ144" s="927"/>
      <c r="AR144" s="551">
        <v>0</v>
      </c>
      <c r="AS144" s="386">
        <v>10.9</v>
      </c>
      <c r="AT144" s="386">
        <v>0</v>
      </c>
      <c r="AU144" s="386">
        <v>0</v>
      </c>
      <c r="AV144" s="636">
        <v>647.5</v>
      </c>
      <c r="AW144" s="636">
        <v>707.9</v>
      </c>
      <c r="AX144" s="386">
        <v>0</v>
      </c>
      <c r="AY144" s="551">
        <v>0</v>
      </c>
      <c r="AZ144" s="551">
        <v>0</v>
      </c>
      <c r="BA144" s="551">
        <v>0</v>
      </c>
      <c r="BB144" s="975">
        <v>0</v>
      </c>
      <c r="BC144" s="386">
        <v>1.35</v>
      </c>
      <c r="BD144" s="386">
        <v>1.82</v>
      </c>
      <c r="BE144" s="551">
        <v>0</v>
      </c>
      <c r="BF144" s="386">
        <v>0.9</v>
      </c>
      <c r="BG144" s="386">
        <v>0</v>
      </c>
      <c r="BH144" s="551">
        <v>0</v>
      </c>
      <c r="BI144" s="386">
        <v>1.01</v>
      </c>
      <c r="BJ144" s="386">
        <v>22.8</v>
      </c>
      <c r="BK144" s="386">
        <v>3.15</v>
      </c>
      <c r="BL144" s="386">
        <v>3.32</v>
      </c>
      <c r="BM144" s="386">
        <v>0</v>
      </c>
      <c r="BN144" s="386">
        <v>16.399999999999999</v>
      </c>
      <c r="BO144" s="386">
        <v>1009</v>
      </c>
      <c r="BP144" s="386">
        <v>41.8</v>
      </c>
      <c r="BQ144" s="1131">
        <v>17.86</v>
      </c>
      <c r="BR144" s="1131">
        <v>18.600000000000001</v>
      </c>
      <c r="BS144" s="499">
        <v>11.29</v>
      </c>
      <c r="BT144" s="499">
        <v>11.42</v>
      </c>
      <c r="BU144" s="614">
        <v>24</v>
      </c>
      <c r="BV144" s="614">
        <v>30.5</v>
      </c>
      <c r="BW144" s="615">
        <v>625.20000000000005</v>
      </c>
      <c r="BX144" s="791"/>
      <c r="BY144" s="615">
        <v>0</v>
      </c>
      <c r="BZ144" s="615">
        <v>1.21</v>
      </c>
      <c r="CA144" s="615">
        <v>1.2</v>
      </c>
      <c r="CB144" s="615">
        <v>8.6</v>
      </c>
      <c r="CC144" s="615">
        <v>8.5</v>
      </c>
      <c r="CD144" s="499">
        <v>16.399999999999999</v>
      </c>
      <c r="CE144" s="499">
        <v>33.72</v>
      </c>
      <c r="CF144" s="615">
        <v>18.3</v>
      </c>
      <c r="CG144" s="499">
        <v>8.09</v>
      </c>
      <c r="CH144" s="499">
        <v>13.6</v>
      </c>
      <c r="CI144" s="499">
        <v>18.100000000000001</v>
      </c>
      <c r="CJ144" s="499">
        <v>13.15</v>
      </c>
      <c r="CK144" s="615">
        <v>323.10000000000002</v>
      </c>
      <c r="CL144" s="615">
        <v>3.4</v>
      </c>
      <c r="CM144" s="499">
        <v>4.8</v>
      </c>
      <c r="CN144" s="615">
        <v>927</v>
      </c>
      <c r="CO144" s="615">
        <v>453.2</v>
      </c>
      <c r="CP144" s="499">
        <v>558.20000000000005</v>
      </c>
      <c r="CQ144" s="499">
        <v>11.9</v>
      </c>
      <c r="CR144" s="615">
        <v>0.72</v>
      </c>
      <c r="CS144" s="386">
        <v>3545.7</v>
      </c>
      <c r="CT144" s="386">
        <v>16.350999999999999</v>
      </c>
      <c r="CU144" s="386">
        <v>49</v>
      </c>
      <c r="CV144" s="499">
        <v>0</v>
      </c>
      <c r="CW144" s="499">
        <v>0</v>
      </c>
      <c r="CX144" s="499">
        <v>0</v>
      </c>
      <c r="CY144" s="499">
        <v>0</v>
      </c>
      <c r="CZ144" s="643">
        <v>1221</v>
      </c>
      <c r="DA144" s="643">
        <v>1848</v>
      </c>
      <c r="DB144" s="643">
        <v>1160</v>
      </c>
      <c r="DC144" s="609">
        <v>1158.43</v>
      </c>
      <c r="DD144" s="1153">
        <f t="shared" si="54"/>
        <v>-9.9999999999909051E-3</v>
      </c>
      <c r="DE144" s="1154">
        <f t="shared" si="55"/>
        <v>15.664618943999999</v>
      </c>
      <c r="DF144" s="1154">
        <f t="shared" si="56"/>
        <v>1050</v>
      </c>
      <c r="DG144" s="1154">
        <f t="shared" si="57"/>
        <v>1598</v>
      </c>
      <c r="DH144" s="1155" t="str">
        <f t="shared" si="58"/>
        <v>Palm</v>
      </c>
      <c r="DI144" s="1146">
        <f t="shared" si="59"/>
        <v>688</v>
      </c>
      <c r="DJ144" s="1146">
        <f t="shared" si="60"/>
        <v>5.1058079999999997</v>
      </c>
      <c r="DK144" s="1154">
        <f t="shared" si="61"/>
        <v>15.664618943999999</v>
      </c>
      <c r="DL144" s="615"/>
      <c r="DM144" s="643"/>
      <c r="DN144" s="615"/>
      <c r="DO144" s="499"/>
      <c r="DP144" s="499"/>
      <c r="DQ144" s="499"/>
      <c r="DR144" s="499"/>
      <c r="DS144" s="499"/>
      <c r="DT144" s="499"/>
      <c r="DU144" s="499"/>
      <c r="DV144" s="499"/>
      <c r="DW144" s="499"/>
      <c r="DX144" s="499"/>
      <c r="DY144" s="499"/>
      <c r="DZ144" s="499"/>
      <c r="EA144" s="499"/>
      <c r="EB144" s="499"/>
      <c r="EC144" s="499"/>
      <c r="ED144" s="499"/>
      <c r="EE144" s="499"/>
      <c r="EF144" s="499"/>
      <c r="EG144" s="1146">
        <f t="shared" si="48"/>
        <v>11.5</v>
      </c>
      <c r="EH144" s="630">
        <v>0</v>
      </c>
      <c r="EI144" s="642">
        <v>1</v>
      </c>
      <c r="EJ144" s="613">
        <v>4</v>
      </c>
      <c r="EK144" s="642">
        <v>6.5</v>
      </c>
      <c r="EL144" s="499"/>
      <c r="EM144" s="499"/>
      <c r="EN144" s="499"/>
      <c r="EO144" s="499"/>
      <c r="EP144" s="499"/>
      <c r="EQ144" s="499"/>
      <c r="ER144" s="499"/>
      <c r="ES144" s="388"/>
      <c r="ET144" s="388"/>
      <c r="EV144" s="1167">
        <f t="shared" si="50"/>
        <v>17.790499999999998</v>
      </c>
    </row>
    <row r="145" spans="1:152" s="350" customFormat="1" ht="15" x14ac:dyDescent="0.25">
      <c r="A145" s="632" t="s">
        <v>5</v>
      </c>
      <c r="B145" s="662">
        <v>42871</v>
      </c>
      <c r="C145" s="1132" t="s">
        <v>904</v>
      </c>
      <c r="D145" s="386">
        <v>1.43</v>
      </c>
      <c r="E145" s="636">
        <v>0</v>
      </c>
      <c r="F145" s="636">
        <v>41</v>
      </c>
      <c r="G145" s="636">
        <v>1.6</v>
      </c>
      <c r="H145" s="386">
        <v>4.63</v>
      </c>
      <c r="I145" s="386">
        <v>14.5</v>
      </c>
      <c r="J145" s="636">
        <v>0</v>
      </c>
      <c r="K145" s="386">
        <v>3.93</v>
      </c>
      <c r="L145" s="610">
        <v>0</v>
      </c>
      <c r="M145" s="386">
        <v>22.1</v>
      </c>
      <c r="N145" s="386">
        <v>1.19</v>
      </c>
      <c r="O145" s="609">
        <v>1.2834772084179322</v>
      </c>
      <c r="P145" s="386">
        <v>1.21</v>
      </c>
      <c r="Q145" s="386">
        <v>0.54305118043553469</v>
      </c>
      <c r="R145" s="732">
        <v>686.7165697674418</v>
      </c>
      <c r="S145" s="386">
        <v>8.23</v>
      </c>
      <c r="T145" s="386">
        <v>8.34</v>
      </c>
      <c r="U145" s="386">
        <v>0.73</v>
      </c>
      <c r="V145" s="739">
        <v>0.71</v>
      </c>
      <c r="W145" s="739">
        <v>46.58</v>
      </c>
      <c r="X145" s="613">
        <v>46.760000000000005</v>
      </c>
      <c r="Y145" s="367">
        <v>25.66</v>
      </c>
      <c r="Z145" s="636">
        <v>27.9</v>
      </c>
      <c r="AA145" s="636">
        <v>25.69</v>
      </c>
      <c r="AB145" s="636">
        <v>28</v>
      </c>
      <c r="AC145" s="1160">
        <f t="shared" si="51"/>
        <v>53.69</v>
      </c>
      <c r="AD145" s="1160">
        <f t="shared" si="52"/>
        <v>83.058429999999987</v>
      </c>
      <c r="AE145" s="1160">
        <f t="shared" si="53"/>
        <v>83.058429999999987</v>
      </c>
      <c r="AF145" s="542"/>
      <c r="AG145" s="1160">
        <f t="shared" si="49"/>
        <v>0</v>
      </c>
      <c r="AH145" s="896"/>
      <c r="AI145" s="351"/>
      <c r="AJ145" s="897"/>
      <c r="AK145" s="388"/>
      <c r="AL145" s="388"/>
      <c r="AM145" s="388"/>
      <c r="AN145" s="388"/>
      <c r="AO145" s="370"/>
      <c r="AP145" s="370"/>
      <c r="AQ145" s="927"/>
      <c r="AR145" s="551">
        <v>0</v>
      </c>
      <c r="AS145" s="386">
        <v>20.6</v>
      </c>
      <c r="AT145" s="386">
        <v>0</v>
      </c>
      <c r="AU145" s="386">
        <v>0</v>
      </c>
      <c r="AV145" s="636">
        <v>216.1</v>
      </c>
      <c r="AW145" s="636">
        <v>332.6</v>
      </c>
      <c r="AX145" s="386">
        <v>0</v>
      </c>
      <c r="AY145" s="551">
        <v>0</v>
      </c>
      <c r="AZ145" s="551">
        <v>0</v>
      </c>
      <c r="BA145" s="551">
        <v>0</v>
      </c>
      <c r="BB145" s="975">
        <v>0</v>
      </c>
      <c r="BC145" s="386">
        <v>1.27</v>
      </c>
      <c r="BD145" s="386">
        <v>1.72</v>
      </c>
      <c r="BE145" s="551">
        <v>0</v>
      </c>
      <c r="BF145" s="386">
        <v>0.99</v>
      </c>
      <c r="BG145" s="386">
        <v>0</v>
      </c>
      <c r="BH145" s="551">
        <v>0</v>
      </c>
      <c r="BI145" s="386">
        <v>1</v>
      </c>
      <c r="BJ145" s="386">
        <v>23.1</v>
      </c>
      <c r="BK145" s="386">
        <v>3.23</v>
      </c>
      <c r="BL145" s="386">
        <v>3.25</v>
      </c>
      <c r="BM145" s="386">
        <v>0</v>
      </c>
      <c r="BN145" s="386">
        <v>16.7</v>
      </c>
      <c r="BO145" s="386">
        <v>964</v>
      </c>
      <c r="BP145" s="386">
        <v>5.7</v>
      </c>
      <c r="BQ145" s="1131">
        <v>19.5</v>
      </c>
      <c r="BR145" s="1131">
        <v>20.22</v>
      </c>
      <c r="BS145" s="615">
        <v>11.76</v>
      </c>
      <c r="BT145" s="615">
        <v>11.87</v>
      </c>
      <c r="BU145" s="614">
        <v>24.8</v>
      </c>
      <c r="BV145" s="614">
        <v>23.9</v>
      </c>
      <c r="BW145" s="615">
        <v>555.9</v>
      </c>
      <c r="BX145" s="791"/>
      <c r="BY145" s="615">
        <v>0</v>
      </c>
      <c r="BZ145" s="615">
        <v>1.2</v>
      </c>
      <c r="CA145" s="615">
        <v>1.2</v>
      </c>
      <c r="CB145" s="615">
        <v>8.5</v>
      </c>
      <c r="CC145" s="615">
        <v>8.5</v>
      </c>
      <c r="CD145" s="615">
        <v>15.3</v>
      </c>
      <c r="CE145" s="615">
        <v>33.700000000000003</v>
      </c>
      <c r="CF145" s="615">
        <v>17.2</v>
      </c>
      <c r="CG145" s="615">
        <v>7.55</v>
      </c>
      <c r="CH145" s="499">
        <v>13</v>
      </c>
      <c r="CI145" s="499">
        <v>17.600000000000001</v>
      </c>
      <c r="CJ145" s="499">
        <v>12.6</v>
      </c>
      <c r="CK145" s="615">
        <v>302.10000000000002</v>
      </c>
      <c r="CL145" s="615">
        <v>2.1</v>
      </c>
      <c r="CM145" s="615">
        <v>4.5</v>
      </c>
      <c r="CN145" s="615">
        <v>765.3</v>
      </c>
      <c r="CO145" s="615">
        <v>448.6</v>
      </c>
      <c r="CP145" s="615">
        <v>590.29999999999995</v>
      </c>
      <c r="CQ145" s="615">
        <v>12.4</v>
      </c>
      <c r="CR145" s="615">
        <v>0.81</v>
      </c>
      <c r="CS145" s="386">
        <v>3551.2</v>
      </c>
      <c r="CT145" s="386">
        <v>16.471</v>
      </c>
      <c r="CU145" s="386">
        <v>49</v>
      </c>
      <c r="CV145" s="499">
        <v>0</v>
      </c>
      <c r="CW145" s="499">
        <v>0</v>
      </c>
      <c r="CX145" s="499">
        <v>0</v>
      </c>
      <c r="CY145" s="499">
        <v>0</v>
      </c>
      <c r="CZ145" s="643">
        <v>1457</v>
      </c>
      <c r="DA145" s="643">
        <v>2204</v>
      </c>
      <c r="DB145" s="643">
        <v>1450</v>
      </c>
      <c r="DC145" s="609">
        <v>1159.3499999999999</v>
      </c>
      <c r="DD145" s="1153">
        <f t="shared" si="54"/>
        <v>0.91999999999984539</v>
      </c>
      <c r="DE145" s="1154">
        <f t="shared" si="55"/>
        <v>15.688917504000001</v>
      </c>
      <c r="DF145" s="1154">
        <f t="shared" si="56"/>
        <v>1340</v>
      </c>
      <c r="DG145" s="1154">
        <f t="shared" si="57"/>
        <v>1954</v>
      </c>
      <c r="DH145" s="1155" t="str">
        <f t="shared" si="58"/>
        <v>Palm</v>
      </c>
      <c r="DI145" s="1146">
        <f t="shared" si="59"/>
        <v>754</v>
      </c>
      <c r="DJ145" s="1146">
        <f t="shared" si="60"/>
        <v>5.1137280000000001</v>
      </c>
      <c r="DK145" s="1154">
        <f t="shared" si="61"/>
        <v>15.688917504000001</v>
      </c>
      <c r="DL145" s="615"/>
      <c r="DM145" s="643"/>
      <c r="DN145" s="615"/>
      <c r="DO145" s="499"/>
      <c r="DP145" s="499"/>
      <c r="DQ145" s="499"/>
      <c r="DR145" s="499"/>
      <c r="DS145" s="499"/>
      <c r="DT145" s="499"/>
      <c r="DU145" s="499"/>
      <c r="DV145" s="499"/>
      <c r="DW145" s="499"/>
      <c r="DX145" s="499"/>
      <c r="DY145" s="499"/>
      <c r="DZ145" s="499"/>
      <c r="EA145" s="499"/>
      <c r="EB145" s="499"/>
      <c r="EC145" s="499"/>
      <c r="ED145" s="499"/>
      <c r="EE145" s="499"/>
      <c r="EF145" s="499"/>
      <c r="EG145" s="1146">
        <f t="shared" si="48"/>
        <v>11.5</v>
      </c>
      <c r="EH145" s="630">
        <v>0</v>
      </c>
      <c r="EI145" s="642">
        <v>1</v>
      </c>
      <c r="EJ145" s="613">
        <v>4</v>
      </c>
      <c r="EK145" s="642">
        <v>6.5</v>
      </c>
      <c r="EL145" s="499"/>
      <c r="EM145" s="499"/>
      <c r="EN145" s="499"/>
      <c r="EO145" s="499"/>
      <c r="EP145" s="499"/>
      <c r="EQ145" s="499"/>
      <c r="ER145" s="499"/>
      <c r="ES145" s="388"/>
      <c r="ET145" s="388"/>
      <c r="EV145" s="1167">
        <f t="shared" si="50"/>
        <v>17.790499999999998</v>
      </c>
    </row>
    <row r="146" spans="1:152" s="350" customFormat="1" ht="15" x14ac:dyDescent="0.25">
      <c r="A146" s="632" t="s">
        <v>6</v>
      </c>
      <c r="B146" s="662">
        <v>42872</v>
      </c>
      <c r="C146" s="1132" t="s">
        <v>904</v>
      </c>
      <c r="D146" s="386">
        <v>0.1</v>
      </c>
      <c r="E146" s="636">
        <v>0</v>
      </c>
      <c r="F146" s="636">
        <v>47</v>
      </c>
      <c r="G146" s="636">
        <v>1.65</v>
      </c>
      <c r="H146" s="386">
        <v>2.97</v>
      </c>
      <c r="I146" s="386">
        <v>14.4</v>
      </c>
      <c r="J146" s="636">
        <v>0</v>
      </c>
      <c r="K146" s="386">
        <v>3.37</v>
      </c>
      <c r="L146" s="610">
        <v>0</v>
      </c>
      <c r="M146" s="386">
        <v>21</v>
      </c>
      <c r="N146" s="386">
        <v>1.18</v>
      </c>
      <c r="O146" s="609">
        <v>1.146873889525126</v>
      </c>
      <c r="P146" s="386">
        <v>1.21</v>
      </c>
      <c r="Q146" s="386">
        <v>0.45529759411582499</v>
      </c>
      <c r="R146" s="732">
        <v>672.382194767442</v>
      </c>
      <c r="S146" s="386">
        <v>8.19</v>
      </c>
      <c r="T146" s="386">
        <v>8.31</v>
      </c>
      <c r="U146" s="386">
        <v>0.73</v>
      </c>
      <c r="V146" s="739">
        <v>0.7</v>
      </c>
      <c r="W146" s="739">
        <v>46.400000000000006</v>
      </c>
      <c r="X146" s="613">
        <v>46.400000000000006</v>
      </c>
      <c r="Y146" s="367">
        <v>25.69</v>
      </c>
      <c r="Z146" s="636">
        <v>28</v>
      </c>
      <c r="AA146" s="636">
        <v>25.55</v>
      </c>
      <c r="AB146" s="636">
        <v>29.55</v>
      </c>
      <c r="AC146" s="1160">
        <f t="shared" si="51"/>
        <v>55.1</v>
      </c>
      <c r="AD146" s="1160">
        <f t="shared" si="52"/>
        <v>85.239699999999999</v>
      </c>
      <c r="AE146" s="1160">
        <f t="shared" si="53"/>
        <v>85.239699999999999</v>
      </c>
      <c r="AF146" s="542"/>
      <c r="AG146" s="1160">
        <f t="shared" si="49"/>
        <v>0</v>
      </c>
      <c r="AH146" s="896"/>
      <c r="AI146" s="351"/>
      <c r="AJ146" s="897"/>
      <c r="AK146" s="388"/>
      <c r="AL146" s="388"/>
      <c r="AM146" s="388"/>
      <c r="AN146" s="388"/>
      <c r="AO146" s="370"/>
      <c r="AP146" s="370"/>
      <c r="AQ146" s="927"/>
      <c r="AR146" s="551">
        <v>0</v>
      </c>
      <c r="AS146" s="386">
        <v>12.5</v>
      </c>
      <c r="AT146" s="386">
        <v>0</v>
      </c>
      <c r="AU146" s="386">
        <v>0</v>
      </c>
      <c r="AV146" s="636">
        <v>574.70000000000005</v>
      </c>
      <c r="AW146" s="636">
        <v>644.9</v>
      </c>
      <c r="AX146" s="386">
        <v>0</v>
      </c>
      <c r="AY146" s="551">
        <v>0</v>
      </c>
      <c r="AZ146" s="551">
        <v>0</v>
      </c>
      <c r="BA146" s="551">
        <v>0</v>
      </c>
      <c r="BB146" s="975">
        <v>0</v>
      </c>
      <c r="BC146" s="386">
        <v>1.28</v>
      </c>
      <c r="BD146" s="386">
        <v>1.72</v>
      </c>
      <c r="BE146" s="551">
        <v>0</v>
      </c>
      <c r="BF146" s="386">
        <v>0.99</v>
      </c>
      <c r="BG146" s="386">
        <v>0</v>
      </c>
      <c r="BH146" s="551">
        <v>0</v>
      </c>
      <c r="BI146" s="386">
        <v>1.01</v>
      </c>
      <c r="BJ146" s="386">
        <v>24.6</v>
      </c>
      <c r="BK146" s="386">
        <v>3.04</v>
      </c>
      <c r="BL146" s="386">
        <v>3.45</v>
      </c>
      <c r="BM146" s="386">
        <v>0</v>
      </c>
      <c r="BN146" s="386">
        <v>18.2</v>
      </c>
      <c r="BO146" s="386">
        <v>1193.7</v>
      </c>
      <c r="BP146" s="386">
        <v>2</v>
      </c>
      <c r="BQ146" s="1131">
        <v>20.18</v>
      </c>
      <c r="BR146" s="1131">
        <v>20.92</v>
      </c>
      <c r="BS146" s="615">
        <v>11.41</v>
      </c>
      <c r="BT146" s="615">
        <v>11.53</v>
      </c>
      <c r="BU146" s="614">
        <v>24.1</v>
      </c>
      <c r="BV146" s="614">
        <v>25.9</v>
      </c>
      <c r="BW146" s="615">
        <v>743.8</v>
      </c>
      <c r="BX146" s="791"/>
      <c r="BY146" s="615">
        <v>0</v>
      </c>
      <c r="BZ146" s="615">
        <v>1.17</v>
      </c>
      <c r="CA146" s="615">
        <v>1.2</v>
      </c>
      <c r="CB146" s="615">
        <v>8.5</v>
      </c>
      <c r="CC146" s="615">
        <v>8.5</v>
      </c>
      <c r="CD146" s="615">
        <v>15.7</v>
      </c>
      <c r="CE146" s="615">
        <v>33.700000000000003</v>
      </c>
      <c r="CF146" s="615">
        <v>16.100000000000001</v>
      </c>
      <c r="CG146" s="615">
        <v>8.1999999999999993</v>
      </c>
      <c r="CH146" s="499">
        <v>14</v>
      </c>
      <c r="CI146" s="499">
        <v>18</v>
      </c>
      <c r="CJ146" s="499">
        <v>12.58</v>
      </c>
      <c r="CK146" s="615">
        <v>343.3</v>
      </c>
      <c r="CL146" s="615">
        <v>2.8</v>
      </c>
      <c r="CM146" s="615">
        <v>4.3</v>
      </c>
      <c r="CN146" s="615">
        <v>808.3</v>
      </c>
      <c r="CO146" s="615">
        <v>448</v>
      </c>
      <c r="CP146" s="615">
        <v>572.1</v>
      </c>
      <c r="CQ146" s="615">
        <v>12.7</v>
      </c>
      <c r="CR146" s="615">
        <v>8.3000000000000007</v>
      </c>
      <c r="CS146" s="386">
        <v>3542.2</v>
      </c>
      <c r="CT146" s="386">
        <v>16.693999999999999</v>
      </c>
      <c r="CU146" s="386">
        <v>49</v>
      </c>
      <c r="CV146" s="499">
        <v>0</v>
      </c>
      <c r="CW146" s="499">
        <v>0</v>
      </c>
      <c r="CX146" s="499">
        <v>0</v>
      </c>
      <c r="CY146" s="499">
        <v>0</v>
      </c>
      <c r="CZ146" s="643">
        <v>1457</v>
      </c>
      <c r="DA146" s="643">
        <v>2221</v>
      </c>
      <c r="DB146" s="643">
        <v>1420</v>
      </c>
      <c r="DC146" s="609">
        <v>1160.3499999999999</v>
      </c>
      <c r="DD146" s="1153">
        <f t="shared" si="54"/>
        <v>1</v>
      </c>
      <c r="DE146" s="1154">
        <f t="shared" si="55"/>
        <v>15.649156224000002</v>
      </c>
      <c r="DF146" s="1154">
        <f t="shared" si="56"/>
        <v>1310</v>
      </c>
      <c r="DG146" s="1154">
        <f t="shared" si="57"/>
        <v>1971</v>
      </c>
      <c r="DH146" s="1155" t="str">
        <f t="shared" si="58"/>
        <v>Palm</v>
      </c>
      <c r="DI146" s="1146">
        <f t="shared" si="59"/>
        <v>801</v>
      </c>
      <c r="DJ146" s="1146">
        <f t="shared" si="60"/>
        <v>5.1007680000000004</v>
      </c>
      <c r="DK146" s="1154">
        <f t="shared" si="61"/>
        <v>15.649156224000002</v>
      </c>
      <c r="DL146" s="615"/>
      <c r="DM146" s="643"/>
      <c r="DN146" s="615"/>
      <c r="DO146" s="499"/>
      <c r="DP146" s="499"/>
      <c r="DQ146" s="499"/>
      <c r="DR146" s="499"/>
      <c r="DS146" s="499"/>
      <c r="DT146" s="499"/>
      <c r="DU146" s="499"/>
      <c r="DV146" s="499"/>
      <c r="DW146" s="499"/>
      <c r="DX146" s="499"/>
      <c r="DY146" s="499"/>
      <c r="DZ146" s="499"/>
      <c r="EA146" s="499"/>
      <c r="EB146" s="499"/>
      <c r="EC146" s="499"/>
      <c r="ED146" s="499"/>
      <c r="EE146" s="499"/>
      <c r="EF146" s="499"/>
      <c r="EG146" s="1146">
        <f t="shared" si="48"/>
        <v>11.5</v>
      </c>
      <c r="EH146" s="630">
        <v>0</v>
      </c>
      <c r="EI146" s="642">
        <v>1</v>
      </c>
      <c r="EJ146" s="613">
        <v>4</v>
      </c>
      <c r="EK146" s="642">
        <v>6.5</v>
      </c>
      <c r="EL146" s="499"/>
      <c r="EM146" s="499"/>
      <c r="EN146" s="499"/>
      <c r="EO146" s="499"/>
      <c r="EP146" s="499"/>
      <c r="EQ146" s="499"/>
      <c r="ER146" s="499"/>
      <c r="ES146" s="388"/>
      <c r="ET146" s="388"/>
      <c r="EV146" s="1167">
        <f t="shared" si="50"/>
        <v>17.790499999999998</v>
      </c>
    </row>
    <row r="147" spans="1:152" s="350" customFormat="1" ht="15" x14ac:dyDescent="0.25">
      <c r="A147" s="632" t="s">
        <v>7</v>
      </c>
      <c r="B147" s="662">
        <v>42873</v>
      </c>
      <c r="C147" s="1132" t="s">
        <v>904</v>
      </c>
      <c r="D147" s="386">
        <v>0</v>
      </c>
      <c r="E147" s="636">
        <v>0</v>
      </c>
      <c r="F147" s="636">
        <v>51</v>
      </c>
      <c r="G147" s="636">
        <v>1.7</v>
      </c>
      <c r="H147" s="386">
        <v>3.19</v>
      </c>
      <c r="I147" s="386">
        <v>13.5</v>
      </c>
      <c r="J147" s="636">
        <v>0</v>
      </c>
      <c r="K147" s="386">
        <v>2.2799999999999998</v>
      </c>
      <c r="L147" s="610">
        <v>0</v>
      </c>
      <c r="M147" s="386">
        <v>22.2</v>
      </c>
      <c r="N147" s="386">
        <v>1.19</v>
      </c>
      <c r="O147" s="609">
        <v>1.456023035017044</v>
      </c>
      <c r="P147" s="386">
        <v>1.21</v>
      </c>
      <c r="Q147" s="386">
        <v>0.57268046007970308</v>
      </c>
      <c r="R147" s="732">
        <v>776.72311046511629</v>
      </c>
      <c r="S147" s="386">
        <v>8.1999999999999993</v>
      </c>
      <c r="T147" s="386">
        <v>8.27</v>
      </c>
      <c r="U147" s="386">
        <v>0.8</v>
      </c>
      <c r="V147" s="739">
        <v>0.71</v>
      </c>
      <c r="W147" s="739">
        <v>46.400000000000006</v>
      </c>
      <c r="X147" s="613">
        <v>46.400000000000006</v>
      </c>
      <c r="Y147" s="367">
        <v>25.55</v>
      </c>
      <c r="Z147" s="636">
        <v>29.35</v>
      </c>
      <c r="AA147" s="636">
        <v>25.6</v>
      </c>
      <c r="AB147" s="636">
        <v>31.93</v>
      </c>
      <c r="AC147" s="1160">
        <f t="shared" si="51"/>
        <v>57.53</v>
      </c>
      <c r="AD147" s="1160">
        <f t="shared" si="52"/>
        <v>88.998909999999995</v>
      </c>
      <c r="AE147" s="1160">
        <f t="shared" si="53"/>
        <v>88.998909999999995</v>
      </c>
      <c r="AF147" s="542"/>
      <c r="AG147" s="1160">
        <f t="shared" si="49"/>
        <v>0</v>
      </c>
      <c r="AH147" s="896"/>
      <c r="AI147" s="351"/>
      <c r="AJ147" s="897"/>
      <c r="AK147" s="388"/>
      <c r="AL147" s="388"/>
      <c r="AM147" s="388"/>
      <c r="AN147" s="388"/>
      <c r="AO147" s="370"/>
      <c r="AP147" s="370"/>
      <c r="AQ147" s="927"/>
      <c r="AR147" s="551">
        <v>0</v>
      </c>
      <c r="AS147" s="386">
        <v>10.7</v>
      </c>
      <c r="AT147" s="386">
        <v>0</v>
      </c>
      <c r="AU147" s="386">
        <v>0</v>
      </c>
      <c r="AV147" s="636">
        <v>243.8</v>
      </c>
      <c r="AW147" s="636">
        <v>376.1</v>
      </c>
      <c r="AX147" s="386">
        <v>0</v>
      </c>
      <c r="AY147" s="551">
        <v>0</v>
      </c>
      <c r="AZ147" s="551">
        <v>0</v>
      </c>
      <c r="BA147" s="551">
        <v>0</v>
      </c>
      <c r="BB147" s="975">
        <v>0</v>
      </c>
      <c r="BC147" s="386">
        <v>1.27</v>
      </c>
      <c r="BD147" s="386">
        <v>1.73</v>
      </c>
      <c r="BE147" s="551">
        <v>0</v>
      </c>
      <c r="BF147" s="386">
        <v>0.99</v>
      </c>
      <c r="BG147" s="386">
        <v>0</v>
      </c>
      <c r="BH147" s="551">
        <v>0</v>
      </c>
      <c r="BI147" s="386">
        <v>1.01</v>
      </c>
      <c r="BJ147" s="386">
        <v>27</v>
      </c>
      <c r="BK147" s="386">
        <v>2.8</v>
      </c>
      <c r="BL147" s="386">
        <v>3.68</v>
      </c>
      <c r="BM147" s="386">
        <v>0</v>
      </c>
      <c r="BN147" s="386">
        <v>20.6</v>
      </c>
      <c r="BO147" s="386">
        <v>686.6</v>
      </c>
      <c r="BP147" s="386">
        <v>2</v>
      </c>
      <c r="BQ147" s="1131">
        <v>21.34</v>
      </c>
      <c r="BR147" s="1131">
        <v>22.5</v>
      </c>
      <c r="BS147" s="615">
        <v>11.66</v>
      </c>
      <c r="BT147" s="615">
        <v>11.78</v>
      </c>
      <c r="BU147" s="614">
        <v>24.5</v>
      </c>
      <c r="BV147" s="614">
        <v>25</v>
      </c>
      <c r="BW147" s="615">
        <v>727</v>
      </c>
      <c r="BX147" s="791"/>
      <c r="BY147" s="615">
        <v>0</v>
      </c>
      <c r="BZ147" s="615">
        <v>1.17</v>
      </c>
      <c r="CA147" s="615">
        <v>1.2</v>
      </c>
      <c r="CB147" s="615">
        <v>8.4</v>
      </c>
      <c r="CC147" s="615">
        <v>8.5</v>
      </c>
      <c r="CD147" s="615">
        <v>16.3</v>
      </c>
      <c r="CE147" s="615">
        <v>33.5</v>
      </c>
      <c r="CF147" s="615">
        <v>18.5</v>
      </c>
      <c r="CG147" s="615">
        <v>6</v>
      </c>
      <c r="CH147" s="615">
        <v>11.4</v>
      </c>
      <c r="CI147" s="615">
        <v>15.5</v>
      </c>
      <c r="CJ147" s="615">
        <v>13.57</v>
      </c>
      <c r="CK147" s="615">
        <v>369.1</v>
      </c>
      <c r="CL147" s="615">
        <v>3</v>
      </c>
      <c r="CM147" s="615">
        <v>4.3</v>
      </c>
      <c r="CN147" s="615">
        <v>845.9</v>
      </c>
      <c r="CO147" s="615">
        <v>462.3</v>
      </c>
      <c r="CP147" s="615">
        <v>564.29999999999995</v>
      </c>
      <c r="CQ147" s="615">
        <v>12.9</v>
      </c>
      <c r="CR147" s="615">
        <v>0.84</v>
      </c>
      <c r="CS147" s="386">
        <v>3531.7</v>
      </c>
      <c r="CT147" s="386">
        <v>16.736999999999998</v>
      </c>
      <c r="CU147" s="386">
        <v>50</v>
      </c>
      <c r="CV147" s="499">
        <v>0</v>
      </c>
      <c r="CW147" s="499">
        <v>0</v>
      </c>
      <c r="CX147" s="499">
        <v>0</v>
      </c>
      <c r="CY147" s="499">
        <v>0</v>
      </c>
      <c r="CZ147" s="643">
        <v>1555</v>
      </c>
      <c r="DA147" s="643">
        <v>2178</v>
      </c>
      <c r="DB147" s="643">
        <v>1510</v>
      </c>
      <c r="DC147" s="609">
        <v>1161.07</v>
      </c>
      <c r="DD147" s="1153">
        <f t="shared" si="54"/>
        <v>0.72000000000002728</v>
      </c>
      <c r="DE147" s="1154">
        <f t="shared" si="55"/>
        <v>15.602768063999999</v>
      </c>
      <c r="DF147" s="1154">
        <f t="shared" si="56"/>
        <v>1400</v>
      </c>
      <c r="DG147" s="1154">
        <f t="shared" si="57"/>
        <v>1928</v>
      </c>
      <c r="DH147" s="1155" t="str">
        <f t="shared" si="58"/>
        <v>Palm</v>
      </c>
      <c r="DI147" s="1146">
        <f t="shared" si="59"/>
        <v>668</v>
      </c>
      <c r="DJ147" s="1146">
        <f t="shared" si="60"/>
        <v>5.0856479999999999</v>
      </c>
      <c r="DK147" s="1154">
        <f t="shared" si="61"/>
        <v>15.602768063999999</v>
      </c>
      <c r="DL147" s="615"/>
      <c r="DM147" s="643"/>
      <c r="DN147" s="615"/>
      <c r="DO147" s="499"/>
      <c r="DP147" s="499"/>
      <c r="DQ147" s="499"/>
      <c r="DR147" s="499"/>
      <c r="DS147" s="499"/>
      <c r="DT147" s="499"/>
      <c r="DU147" s="499"/>
      <c r="DV147" s="499"/>
      <c r="DW147" s="499"/>
      <c r="DX147" s="499"/>
      <c r="DY147" s="499"/>
      <c r="DZ147" s="499"/>
      <c r="EA147" s="499"/>
      <c r="EB147" s="499"/>
      <c r="EC147" s="499"/>
      <c r="ED147" s="499"/>
      <c r="EE147" s="499"/>
      <c r="EF147" s="499"/>
      <c r="EG147" s="1146">
        <f t="shared" si="48"/>
        <v>11.5</v>
      </c>
      <c r="EH147" s="630">
        <v>0</v>
      </c>
      <c r="EI147" s="642">
        <v>1</v>
      </c>
      <c r="EJ147" s="613">
        <v>4</v>
      </c>
      <c r="EK147" s="642">
        <v>6.5</v>
      </c>
      <c r="EL147" s="499"/>
      <c r="EM147" s="499"/>
      <c r="EN147" s="499"/>
      <c r="EO147" s="499"/>
      <c r="EP147" s="499"/>
      <c r="EQ147" s="499"/>
      <c r="ER147" s="499"/>
      <c r="ES147" s="388"/>
      <c r="ET147" s="388"/>
      <c r="EV147" s="1167">
        <f t="shared" si="50"/>
        <v>17.790499999999998</v>
      </c>
    </row>
    <row r="148" spans="1:152" s="350" customFormat="1" ht="15" x14ac:dyDescent="0.25">
      <c r="A148" s="632" t="s">
        <v>8</v>
      </c>
      <c r="B148" s="662">
        <v>42874</v>
      </c>
      <c r="C148" s="1132" t="s">
        <v>904</v>
      </c>
      <c r="D148" s="386">
        <v>0</v>
      </c>
      <c r="E148" s="636">
        <v>0</v>
      </c>
      <c r="F148" s="636">
        <v>54.8</v>
      </c>
      <c r="G148" s="636">
        <v>1.7</v>
      </c>
      <c r="H148" s="386">
        <v>11.08</v>
      </c>
      <c r="I148" s="386">
        <v>13</v>
      </c>
      <c r="J148" s="636">
        <v>0</v>
      </c>
      <c r="K148" s="386">
        <v>2.17</v>
      </c>
      <c r="L148" s="610">
        <v>0</v>
      </c>
      <c r="M148" s="386">
        <v>22.2</v>
      </c>
      <c r="N148" s="386">
        <v>1.19</v>
      </c>
      <c r="O148" s="386">
        <v>1.3043226895735205</v>
      </c>
      <c r="P148" s="386">
        <v>1.19</v>
      </c>
      <c r="Q148" s="386">
        <v>0.55248238661364379</v>
      </c>
      <c r="R148" s="732">
        <v>685.04978197674427</v>
      </c>
      <c r="S148" s="386">
        <v>8.19</v>
      </c>
      <c r="T148" s="386">
        <v>8.2899999999999991</v>
      </c>
      <c r="U148" s="386">
        <v>0.76</v>
      </c>
      <c r="V148" s="739">
        <v>0.74</v>
      </c>
      <c r="W148" s="739">
        <v>46.58</v>
      </c>
      <c r="X148" s="613">
        <v>46.760000000000005</v>
      </c>
      <c r="Y148" s="367">
        <v>25.6</v>
      </c>
      <c r="Z148" s="636">
        <v>31.93</v>
      </c>
      <c r="AA148" s="636">
        <v>25.67</v>
      </c>
      <c r="AB148" s="636">
        <v>27.01</v>
      </c>
      <c r="AC148" s="1160">
        <f t="shared" si="51"/>
        <v>52.680000000000007</v>
      </c>
      <c r="AD148" s="1160">
        <f t="shared" si="52"/>
        <v>81.495960000000011</v>
      </c>
      <c r="AE148" s="1160">
        <f t="shared" si="53"/>
        <v>81.495960000000011</v>
      </c>
      <c r="AF148" s="542"/>
      <c r="AG148" s="1160">
        <f t="shared" si="49"/>
        <v>0</v>
      </c>
      <c r="AH148" s="896"/>
      <c r="AI148" s="351"/>
      <c r="AJ148" s="897"/>
      <c r="AK148" s="388"/>
      <c r="AL148" s="388"/>
      <c r="AM148" s="388"/>
      <c r="AN148" s="388"/>
      <c r="AO148" s="370"/>
      <c r="AP148" s="370"/>
      <c r="AQ148" s="927"/>
      <c r="AR148" s="551">
        <v>0</v>
      </c>
      <c r="AS148" s="386">
        <v>21.6</v>
      </c>
      <c r="AT148" s="386">
        <v>0</v>
      </c>
      <c r="AU148" s="386">
        <v>0</v>
      </c>
      <c r="AV148" s="636">
        <v>533.20000000000005</v>
      </c>
      <c r="AW148" s="636">
        <v>587.20000000000005</v>
      </c>
      <c r="AX148" s="386">
        <v>0</v>
      </c>
      <c r="AY148" s="551">
        <v>0</v>
      </c>
      <c r="AZ148" s="551">
        <v>0</v>
      </c>
      <c r="BA148" s="551">
        <v>0</v>
      </c>
      <c r="BB148" s="975">
        <v>0</v>
      </c>
      <c r="BC148" s="386">
        <v>1.41</v>
      </c>
      <c r="BD148" s="386">
        <v>1.89</v>
      </c>
      <c r="BE148" s="551">
        <v>0</v>
      </c>
      <c r="BF148" s="386">
        <v>1</v>
      </c>
      <c r="BG148" s="386">
        <v>0</v>
      </c>
      <c r="BH148" s="551">
        <v>0</v>
      </c>
      <c r="BI148" s="386">
        <v>1.02</v>
      </c>
      <c r="BJ148" s="386">
        <v>21.7</v>
      </c>
      <c r="BK148" s="386">
        <v>2.92</v>
      </c>
      <c r="BL148" s="386">
        <v>3.92</v>
      </c>
      <c r="BM148" s="386">
        <v>0</v>
      </c>
      <c r="BN148" s="386">
        <v>15</v>
      </c>
      <c r="BO148" s="386">
        <v>1573.8</v>
      </c>
      <c r="BP148" s="386">
        <v>2</v>
      </c>
      <c r="BQ148" s="1131">
        <v>20.8</v>
      </c>
      <c r="BR148" s="1131">
        <v>21.52</v>
      </c>
      <c r="BS148" s="615">
        <v>11.46</v>
      </c>
      <c r="BT148" s="615">
        <v>11.59</v>
      </c>
      <c r="BU148" s="614">
        <v>24.1</v>
      </c>
      <c r="BV148" s="614">
        <v>29.9</v>
      </c>
      <c r="BW148" s="615">
        <v>671.6</v>
      </c>
      <c r="BX148" s="791"/>
      <c r="BY148" s="615">
        <v>0</v>
      </c>
      <c r="BZ148" s="615">
        <v>1.17</v>
      </c>
      <c r="CA148" s="615">
        <v>1.1000000000000001</v>
      </c>
      <c r="CB148" s="615">
        <v>8.4</v>
      </c>
      <c r="CC148" s="615">
        <v>8.5</v>
      </c>
      <c r="CD148" s="615">
        <v>16.100000000000001</v>
      </c>
      <c r="CE148" s="615">
        <v>33.4</v>
      </c>
      <c r="CF148" s="615">
        <v>17.399999999999999</v>
      </c>
      <c r="CG148" s="615">
        <v>8</v>
      </c>
      <c r="CH148" s="615">
        <v>13.6</v>
      </c>
      <c r="CI148" s="615">
        <v>18.100000000000001</v>
      </c>
      <c r="CJ148" s="615">
        <v>12.91</v>
      </c>
      <c r="CK148" s="615">
        <v>306.8</v>
      </c>
      <c r="CL148" s="615">
        <v>2.5</v>
      </c>
      <c r="CM148" s="615">
        <v>4.4000000000000004</v>
      </c>
      <c r="CN148" s="615">
        <v>760.9</v>
      </c>
      <c r="CO148" s="615">
        <v>467.1</v>
      </c>
      <c r="CP148" s="615">
        <v>562.4</v>
      </c>
      <c r="CQ148" s="615">
        <v>12.3</v>
      </c>
      <c r="CR148" s="615">
        <v>0.81</v>
      </c>
      <c r="CS148" s="386">
        <v>3531.1</v>
      </c>
      <c r="CT148" s="386">
        <v>15.92</v>
      </c>
      <c r="CU148" s="386">
        <v>50</v>
      </c>
      <c r="CV148" s="499">
        <v>0</v>
      </c>
      <c r="CW148" s="499">
        <v>0</v>
      </c>
      <c r="CX148" s="499">
        <v>0</v>
      </c>
      <c r="CY148" s="499">
        <v>0</v>
      </c>
      <c r="CZ148" s="643">
        <v>1600</v>
      </c>
      <c r="DA148" s="643">
        <v>2170</v>
      </c>
      <c r="DB148" s="643">
        <v>1520</v>
      </c>
      <c r="DC148" s="609">
        <v>1161.54</v>
      </c>
      <c r="DD148" s="1153">
        <f t="shared" si="54"/>
        <v>0.47000000000002728</v>
      </c>
      <c r="DE148" s="1154">
        <f t="shared" si="55"/>
        <v>15.600117312</v>
      </c>
      <c r="DF148" s="1154">
        <f t="shared" si="56"/>
        <v>1410</v>
      </c>
      <c r="DG148" s="1154">
        <f t="shared" si="57"/>
        <v>1920</v>
      </c>
      <c r="DH148" s="1155" t="str">
        <f t="shared" si="58"/>
        <v>Palm</v>
      </c>
      <c r="DI148" s="1146">
        <f t="shared" si="59"/>
        <v>650</v>
      </c>
      <c r="DJ148" s="1146">
        <f t="shared" si="60"/>
        <v>5.084784</v>
      </c>
      <c r="DK148" s="1154">
        <f t="shared" si="61"/>
        <v>15.600117312</v>
      </c>
      <c r="DL148" s="615"/>
      <c r="DM148" s="643"/>
      <c r="DN148" s="615"/>
      <c r="DO148" s="499"/>
      <c r="DP148" s="499"/>
      <c r="DQ148" s="499"/>
      <c r="DR148" s="499"/>
      <c r="DS148" s="499"/>
      <c r="DT148" s="499"/>
      <c r="DU148" s="499"/>
      <c r="DV148" s="499"/>
      <c r="DW148" s="499"/>
      <c r="DX148" s="499"/>
      <c r="DY148" s="499"/>
      <c r="DZ148" s="499"/>
      <c r="EA148" s="499"/>
      <c r="EB148" s="499"/>
      <c r="EC148" s="499"/>
      <c r="ED148" s="499"/>
      <c r="EE148" s="499"/>
      <c r="EF148" s="499"/>
      <c r="EG148" s="1146">
        <f t="shared" si="48"/>
        <v>12.5</v>
      </c>
      <c r="EH148" s="630">
        <v>0</v>
      </c>
      <c r="EI148" s="642">
        <v>1</v>
      </c>
      <c r="EJ148" s="613">
        <v>4.5</v>
      </c>
      <c r="EK148" s="613">
        <v>7</v>
      </c>
      <c r="EL148" s="499"/>
      <c r="EM148" s="499"/>
      <c r="EN148" s="499"/>
      <c r="EO148" s="499"/>
      <c r="EP148" s="499"/>
      <c r="EQ148" s="499"/>
      <c r="ER148" s="499"/>
      <c r="ES148" s="388"/>
      <c r="ET148" s="388"/>
      <c r="EV148" s="1167">
        <f t="shared" si="50"/>
        <v>19.337499999999999</v>
      </c>
    </row>
    <row r="149" spans="1:152" s="350" customFormat="1" ht="15" x14ac:dyDescent="0.25">
      <c r="A149" s="632" t="s">
        <v>9</v>
      </c>
      <c r="B149" s="662">
        <v>42875</v>
      </c>
      <c r="C149" s="1132" t="s">
        <v>904</v>
      </c>
      <c r="D149" s="386">
        <v>0</v>
      </c>
      <c r="E149" s="636">
        <v>0</v>
      </c>
      <c r="F149" s="636">
        <v>53.4</v>
      </c>
      <c r="G149" s="636">
        <v>1.7</v>
      </c>
      <c r="H149" s="386">
        <v>3.31</v>
      </c>
      <c r="I149" s="386">
        <v>13.3</v>
      </c>
      <c r="J149" s="636">
        <v>0</v>
      </c>
      <c r="K149" s="386">
        <v>2.14</v>
      </c>
      <c r="L149" s="610">
        <v>0</v>
      </c>
      <c r="M149" s="386">
        <v>22.3</v>
      </c>
      <c r="N149" s="386">
        <v>1.21</v>
      </c>
      <c r="O149" s="386">
        <v>1.3089716847148536</v>
      </c>
      <c r="P149" s="386">
        <v>1.2</v>
      </c>
      <c r="Q149" s="386">
        <v>0.5935290232341921</v>
      </c>
      <c r="R149" s="732">
        <v>706.71802325581393</v>
      </c>
      <c r="S149" s="386">
        <v>8.19</v>
      </c>
      <c r="T149" s="386">
        <v>8.2799999999999994</v>
      </c>
      <c r="U149" s="386">
        <v>0.69</v>
      </c>
      <c r="V149" s="739">
        <v>0.71</v>
      </c>
      <c r="W149" s="739">
        <v>46.94</v>
      </c>
      <c r="X149" s="613">
        <v>47.120000000000005</v>
      </c>
      <c r="Y149" s="367">
        <v>25.67</v>
      </c>
      <c r="Z149" s="636">
        <v>26.9</v>
      </c>
      <c r="AA149" s="636">
        <v>25.67</v>
      </c>
      <c r="AB149" s="636">
        <v>27.94</v>
      </c>
      <c r="AC149" s="1160">
        <f t="shared" si="51"/>
        <v>53.61</v>
      </c>
      <c r="AD149" s="1160">
        <f t="shared" si="52"/>
        <v>82.934669999999997</v>
      </c>
      <c r="AE149" s="1160">
        <f t="shared" si="53"/>
        <v>82.934669999999997</v>
      </c>
      <c r="AF149" s="542"/>
      <c r="AG149" s="1160">
        <f t="shared" si="49"/>
        <v>0</v>
      </c>
      <c r="AH149" s="896"/>
      <c r="AI149" s="351"/>
      <c r="AJ149" s="897"/>
      <c r="AK149" s="388"/>
      <c r="AL149" s="388"/>
      <c r="AM149" s="388"/>
      <c r="AN149" s="388"/>
      <c r="AO149" s="370"/>
      <c r="AP149" s="370"/>
      <c r="AQ149" s="927"/>
      <c r="AR149" s="551">
        <v>0</v>
      </c>
      <c r="AS149" s="386">
        <v>11.7</v>
      </c>
      <c r="AT149" s="386">
        <v>0</v>
      </c>
      <c r="AU149" s="386">
        <v>0</v>
      </c>
      <c r="AV149" s="636">
        <v>333.2</v>
      </c>
      <c r="AW149" s="636">
        <v>486.8</v>
      </c>
      <c r="AX149" s="386">
        <v>0</v>
      </c>
      <c r="AY149" s="551">
        <v>0</v>
      </c>
      <c r="AZ149" s="551">
        <v>0</v>
      </c>
      <c r="BA149" s="551">
        <v>0</v>
      </c>
      <c r="BB149" s="975">
        <v>0</v>
      </c>
      <c r="BC149" s="386">
        <v>1.5</v>
      </c>
      <c r="BD149" s="386">
        <v>2.2999999999999998</v>
      </c>
      <c r="BE149" s="551">
        <v>0</v>
      </c>
      <c r="BF149" s="386">
        <v>1</v>
      </c>
      <c r="BG149" s="386">
        <v>0</v>
      </c>
      <c r="BH149" s="551">
        <v>0</v>
      </c>
      <c r="BI149" s="386">
        <v>1.02</v>
      </c>
      <c r="BJ149" s="386">
        <v>22.2</v>
      </c>
      <c r="BK149" s="386">
        <v>3.36</v>
      </c>
      <c r="BL149" s="386">
        <v>3.61</v>
      </c>
      <c r="BM149" s="386">
        <v>0</v>
      </c>
      <c r="BN149" s="386">
        <v>15.3</v>
      </c>
      <c r="BO149" s="386">
        <v>1362.2</v>
      </c>
      <c r="BP149" s="386">
        <v>2</v>
      </c>
      <c r="BQ149" s="499">
        <v>20.16</v>
      </c>
      <c r="BR149" s="499">
        <v>20.88</v>
      </c>
      <c r="BS149" s="615">
        <v>11.51</v>
      </c>
      <c r="BT149" s="615">
        <v>11.63</v>
      </c>
      <c r="BU149" s="614">
        <v>24.1</v>
      </c>
      <c r="BV149" s="614">
        <v>30.4</v>
      </c>
      <c r="BW149" s="615">
        <v>618.9</v>
      </c>
      <c r="BX149" s="791"/>
      <c r="BY149" s="615">
        <v>0</v>
      </c>
      <c r="BZ149" s="615">
        <v>1.18</v>
      </c>
      <c r="CA149" s="615">
        <v>1.1000000000000001</v>
      </c>
      <c r="CB149" s="615">
        <v>8.4</v>
      </c>
      <c r="CC149" s="615">
        <v>8.4</v>
      </c>
      <c r="CD149" s="615">
        <v>16.100000000000001</v>
      </c>
      <c r="CE149" s="615">
        <v>33.299999999999997</v>
      </c>
      <c r="CF149" s="615">
        <v>16</v>
      </c>
      <c r="CG149" s="615">
        <v>8.1999999999999993</v>
      </c>
      <c r="CH149" s="615">
        <v>14</v>
      </c>
      <c r="CI149" s="615">
        <v>18</v>
      </c>
      <c r="CJ149" s="615">
        <v>12.63</v>
      </c>
      <c r="CK149" s="615">
        <v>291.2</v>
      </c>
      <c r="CL149" s="615">
        <v>2.7</v>
      </c>
      <c r="CM149" s="615">
        <v>4.5</v>
      </c>
      <c r="CN149" s="615">
        <v>961.5</v>
      </c>
      <c r="CO149" s="615">
        <v>533.1</v>
      </c>
      <c r="CP149" s="615">
        <v>484.3</v>
      </c>
      <c r="CQ149" s="615">
        <v>11.7</v>
      </c>
      <c r="CR149" s="615">
        <v>0.76</v>
      </c>
      <c r="CS149" s="386">
        <v>3518.3</v>
      </c>
      <c r="CT149" s="386">
        <v>15.877000000000001</v>
      </c>
      <c r="CU149" s="386">
        <v>50</v>
      </c>
      <c r="CV149" s="499">
        <v>0</v>
      </c>
      <c r="CW149" s="499">
        <v>0</v>
      </c>
      <c r="CX149" s="499">
        <v>0</v>
      </c>
      <c r="CY149" s="499">
        <v>0</v>
      </c>
      <c r="CZ149" s="643">
        <v>1600</v>
      </c>
      <c r="DA149" s="643">
        <v>2110</v>
      </c>
      <c r="DB149" s="643">
        <v>1510</v>
      </c>
      <c r="DC149" s="609">
        <v>1162.1500000000001</v>
      </c>
      <c r="DD149" s="1153">
        <f t="shared" si="54"/>
        <v>0.61000000000012733</v>
      </c>
      <c r="DE149" s="1154">
        <f t="shared" si="55"/>
        <v>15.543567936000001</v>
      </c>
      <c r="DF149" s="1154">
        <f t="shared" si="56"/>
        <v>1400</v>
      </c>
      <c r="DG149" s="1154">
        <f t="shared" si="57"/>
        <v>1860</v>
      </c>
      <c r="DH149" s="1155" t="str">
        <f t="shared" si="58"/>
        <v>Palm</v>
      </c>
      <c r="DI149" s="1146">
        <f t="shared" si="59"/>
        <v>600</v>
      </c>
      <c r="DJ149" s="1146">
        <f t="shared" si="60"/>
        <v>5.0663520000000002</v>
      </c>
      <c r="DK149" s="1154">
        <f t="shared" si="61"/>
        <v>15.543567936000001</v>
      </c>
      <c r="DL149" s="615"/>
      <c r="DM149" s="643"/>
      <c r="DN149" s="615"/>
      <c r="DO149" s="499"/>
      <c r="DP149" s="499"/>
      <c r="DQ149" s="499"/>
      <c r="DR149" s="499"/>
      <c r="DS149" s="499"/>
      <c r="DT149" s="499"/>
      <c r="DU149" s="499"/>
      <c r="DV149" s="499"/>
      <c r="DW149" s="499"/>
      <c r="DX149" s="499"/>
      <c r="DY149" s="499"/>
      <c r="DZ149" s="499"/>
      <c r="EA149" s="499"/>
      <c r="EB149" s="499"/>
      <c r="EC149" s="499"/>
      <c r="ED149" s="499"/>
      <c r="EE149" s="499"/>
      <c r="EF149" s="499"/>
      <c r="EG149" s="1146">
        <f t="shared" si="48"/>
        <v>13</v>
      </c>
      <c r="EH149" s="630">
        <v>0</v>
      </c>
      <c r="EI149" s="642">
        <v>1</v>
      </c>
      <c r="EJ149" s="613">
        <v>5</v>
      </c>
      <c r="EK149" s="613">
        <v>7</v>
      </c>
      <c r="EL149" s="499"/>
      <c r="EM149" s="499"/>
      <c r="EN149" s="499"/>
      <c r="EO149" s="499"/>
      <c r="EP149" s="499"/>
      <c r="EQ149" s="499"/>
      <c r="ER149" s="499"/>
      <c r="ES149" s="388"/>
      <c r="ET149" s="388"/>
      <c r="EV149" s="1167">
        <f t="shared" si="50"/>
        <v>20.111000000000001</v>
      </c>
    </row>
    <row r="150" spans="1:152" s="350" customFormat="1" ht="15" x14ac:dyDescent="0.25">
      <c r="A150" s="632" t="s">
        <v>3</v>
      </c>
      <c r="B150" s="662">
        <v>42876</v>
      </c>
      <c r="C150" s="1132" t="s">
        <v>904</v>
      </c>
      <c r="D150" s="386">
        <v>0</v>
      </c>
      <c r="E150" s="636">
        <v>0</v>
      </c>
      <c r="F150" s="636">
        <v>58.1</v>
      </c>
      <c r="G150" s="636">
        <v>1.7</v>
      </c>
      <c r="H150" s="386">
        <v>3.48</v>
      </c>
      <c r="I150" s="386">
        <v>12.6</v>
      </c>
      <c r="J150" s="636">
        <v>0</v>
      </c>
      <c r="K150" s="386">
        <v>2.15</v>
      </c>
      <c r="L150" s="610">
        <v>0</v>
      </c>
      <c r="M150" s="386">
        <v>22.3</v>
      </c>
      <c r="N150" s="386">
        <v>1.22</v>
      </c>
      <c r="O150" s="386">
        <v>1.3041240099431155</v>
      </c>
      <c r="P150" s="386">
        <v>1.24</v>
      </c>
      <c r="Q150" s="386">
        <v>0.59339144572629221</v>
      </c>
      <c r="R150" s="732">
        <v>748.38771802325584</v>
      </c>
      <c r="S150" s="386">
        <v>8.2100000000000009</v>
      </c>
      <c r="T150" s="386">
        <v>8.2799999999999994</v>
      </c>
      <c r="U150" s="386">
        <v>0.71</v>
      </c>
      <c r="V150" s="739">
        <v>0.75</v>
      </c>
      <c r="W150" s="739">
        <v>46.760000000000005</v>
      </c>
      <c r="X150" s="613">
        <v>46.94</v>
      </c>
      <c r="Y150" s="367">
        <v>25.67</v>
      </c>
      <c r="Z150" s="636">
        <v>27.9</v>
      </c>
      <c r="AA150" s="636">
        <v>25.63</v>
      </c>
      <c r="AB150" s="636">
        <v>30.63</v>
      </c>
      <c r="AC150" s="1160">
        <f t="shared" si="51"/>
        <v>56.26</v>
      </c>
      <c r="AD150" s="1160">
        <f t="shared" si="52"/>
        <v>87.034219999999991</v>
      </c>
      <c r="AE150" s="1160">
        <f t="shared" si="53"/>
        <v>87.034219999999991</v>
      </c>
      <c r="AF150" s="542"/>
      <c r="AG150" s="1160">
        <f t="shared" si="49"/>
        <v>0</v>
      </c>
      <c r="AH150" s="896"/>
      <c r="AI150" s="351"/>
      <c r="AJ150" s="897"/>
      <c r="AK150" s="388"/>
      <c r="AL150" s="388"/>
      <c r="AM150" s="388"/>
      <c r="AN150" s="388"/>
      <c r="AO150" s="370"/>
      <c r="AP150" s="370"/>
      <c r="AQ150" s="927"/>
      <c r="AR150" s="551">
        <v>0</v>
      </c>
      <c r="AS150" s="386">
        <v>22.7</v>
      </c>
      <c r="AT150" s="386">
        <v>0</v>
      </c>
      <c r="AU150" s="386">
        <v>0</v>
      </c>
      <c r="AV150" s="636">
        <v>758.4</v>
      </c>
      <c r="AW150" s="636">
        <v>870.4</v>
      </c>
      <c r="AX150" s="386">
        <v>0</v>
      </c>
      <c r="AY150" s="551">
        <v>0</v>
      </c>
      <c r="AZ150" s="551">
        <v>0</v>
      </c>
      <c r="BA150" s="551">
        <v>0</v>
      </c>
      <c r="BB150" s="975">
        <v>0</v>
      </c>
      <c r="BC150" s="386">
        <v>1.51</v>
      </c>
      <c r="BD150" s="386">
        <v>2.5</v>
      </c>
      <c r="BE150" s="551">
        <v>0</v>
      </c>
      <c r="BF150" s="386">
        <v>1</v>
      </c>
      <c r="BG150" s="386">
        <v>0</v>
      </c>
      <c r="BH150" s="551">
        <v>0</v>
      </c>
      <c r="BI150" s="386">
        <v>1.01</v>
      </c>
      <c r="BJ150" s="386">
        <v>24.6</v>
      </c>
      <c r="BK150" s="386">
        <v>4.2300000000000004</v>
      </c>
      <c r="BL150" s="386">
        <v>2.66</v>
      </c>
      <c r="BM150" s="386">
        <v>0</v>
      </c>
      <c r="BN150" s="386">
        <v>17.8</v>
      </c>
      <c r="BO150" s="386">
        <v>1381.6</v>
      </c>
      <c r="BP150" s="386">
        <v>1.9</v>
      </c>
      <c r="BQ150" s="1131">
        <v>19.100000000000001</v>
      </c>
      <c r="BR150" s="1131">
        <v>19.829999999999998</v>
      </c>
      <c r="BS150" s="615">
        <v>11.16</v>
      </c>
      <c r="BT150" s="615">
        <v>11.27</v>
      </c>
      <c r="BU150" s="614">
        <v>23.6</v>
      </c>
      <c r="BV150" s="614">
        <v>31</v>
      </c>
      <c r="BW150" s="615">
        <v>837.1</v>
      </c>
      <c r="BX150" s="791"/>
      <c r="BY150" s="615">
        <v>0</v>
      </c>
      <c r="BZ150" s="615">
        <v>1.18</v>
      </c>
      <c r="CA150" s="615">
        <v>1.1000000000000001</v>
      </c>
      <c r="CB150" s="615">
        <v>8.4</v>
      </c>
      <c r="CC150" s="615">
        <v>8.4</v>
      </c>
      <c r="CD150" s="615">
        <v>16.2</v>
      </c>
      <c r="CE150" s="615">
        <v>33.24</v>
      </c>
      <c r="CF150" s="615">
        <v>14.2</v>
      </c>
      <c r="CG150" s="615">
        <v>8</v>
      </c>
      <c r="CH150" s="615">
        <v>13.7</v>
      </c>
      <c r="CI150" s="615">
        <v>17.7</v>
      </c>
      <c r="CJ150" s="615">
        <v>12.74</v>
      </c>
      <c r="CK150" s="615">
        <v>287.39999999999998</v>
      </c>
      <c r="CL150" s="615">
        <v>2.9</v>
      </c>
      <c r="CM150" s="615">
        <v>4.5</v>
      </c>
      <c r="CN150" s="615">
        <v>1238.4000000000001</v>
      </c>
      <c r="CO150" s="615">
        <v>602.5</v>
      </c>
      <c r="CP150" s="615">
        <v>502.5</v>
      </c>
      <c r="CQ150" s="615">
        <v>11.4</v>
      </c>
      <c r="CR150" s="615">
        <v>0.73</v>
      </c>
      <c r="CS150" s="386">
        <v>3515.6</v>
      </c>
      <c r="CT150" s="386">
        <v>15.468999999999999</v>
      </c>
      <c r="CU150" s="386">
        <v>51</v>
      </c>
      <c r="CV150" s="499">
        <v>0</v>
      </c>
      <c r="CW150" s="499">
        <v>0</v>
      </c>
      <c r="CX150" s="499">
        <v>0</v>
      </c>
      <c r="CY150" s="499">
        <v>0</v>
      </c>
      <c r="CZ150" s="643">
        <v>1610</v>
      </c>
      <c r="DA150" s="643">
        <v>2090</v>
      </c>
      <c r="DB150" s="643">
        <v>1510</v>
      </c>
      <c r="DC150" s="609">
        <v>1162.9100000000001</v>
      </c>
      <c r="DD150" s="1153">
        <f t="shared" si="54"/>
        <v>0.75999999999999091</v>
      </c>
      <c r="DE150" s="1154">
        <f t="shared" si="55"/>
        <v>15.531639552000001</v>
      </c>
      <c r="DF150" s="1154">
        <f t="shared" si="56"/>
        <v>1400</v>
      </c>
      <c r="DG150" s="1154">
        <f t="shared" si="57"/>
        <v>1840</v>
      </c>
      <c r="DH150" s="1155" t="str">
        <f t="shared" si="58"/>
        <v>Palm</v>
      </c>
      <c r="DI150" s="1146">
        <f t="shared" si="59"/>
        <v>580</v>
      </c>
      <c r="DJ150" s="1146">
        <f t="shared" si="60"/>
        <v>5.0624640000000003</v>
      </c>
      <c r="DK150" s="1154">
        <f t="shared" si="61"/>
        <v>15.531639552000001</v>
      </c>
      <c r="DL150" s="615"/>
      <c r="DM150" s="643"/>
      <c r="DN150" s="615"/>
      <c r="DO150" s="499"/>
      <c r="DP150" s="499"/>
      <c r="DQ150" s="499"/>
      <c r="DR150" s="499"/>
      <c r="DS150" s="499"/>
      <c r="DT150" s="499"/>
      <c r="DU150" s="499"/>
      <c r="DV150" s="499"/>
      <c r="DW150" s="499"/>
      <c r="DX150" s="499"/>
      <c r="DY150" s="499"/>
      <c r="DZ150" s="499"/>
      <c r="EA150" s="499"/>
      <c r="EB150" s="499"/>
      <c r="EC150" s="499"/>
      <c r="ED150" s="499"/>
      <c r="EE150" s="499"/>
      <c r="EF150" s="499"/>
      <c r="EG150" s="1146">
        <f t="shared" si="48"/>
        <v>13</v>
      </c>
      <c r="EH150" s="630">
        <v>0</v>
      </c>
      <c r="EI150" s="642">
        <v>1</v>
      </c>
      <c r="EJ150" s="613">
        <v>5</v>
      </c>
      <c r="EK150" s="613">
        <v>7</v>
      </c>
      <c r="EL150" s="499"/>
      <c r="EM150" s="499"/>
      <c r="EN150" s="499"/>
      <c r="EO150" s="499"/>
      <c r="EP150" s="499"/>
      <c r="EQ150" s="499"/>
      <c r="ER150" s="499"/>
      <c r="ES150" s="388"/>
      <c r="ET150" s="388"/>
      <c r="EV150" s="1167">
        <f t="shared" si="50"/>
        <v>20.111000000000001</v>
      </c>
    </row>
    <row r="151" spans="1:152" s="350" customFormat="1" ht="15" x14ac:dyDescent="0.25">
      <c r="A151" s="632" t="s">
        <v>4</v>
      </c>
      <c r="B151" s="662">
        <v>42877</v>
      </c>
      <c r="C151" s="1132" t="s">
        <v>904</v>
      </c>
      <c r="D151" s="386">
        <v>0</v>
      </c>
      <c r="E151" s="636">
        <v>0</v>
      </c>
      <c r="F151" s="636">
        <v>60</v>
      </c>
      <c r="G151" s="636">
        <v>2</v>
      </c>
      <c r="H151" s="386">
        <v>2.2799999999999998</v>
      </c>
      <c r="I151" s="386">
        <v>14.9</v>
      </c>
      <c r="J151" s="636">
        <v>0</v>
      </c>
      <c r="K151" s="386">
        <v>2.31</v>
      </c>
      <c r="L151" s="610">
        <v>0</v>
      </c>
      <c r="M151" s="386">
        <v>22.2</v>
      </c>
      <c r="N151" s="386">
        <v>1.22</v>
      </c>
      <c r="O151" s="386">
        <v>1.2735238854128521</v>
      </c>
      <c r="P151" s="386">
        <v>1.24</v>
      </c>
      <c r="Q151" s="386">
        <v>0.58521843464933643</v>
      </c>
      <c r="R151" s="732">
        <v>792.72427325581407</v>
      </c>
      <c r="S151" s="386">
        <v>8.17</v>
      </c>
      <c r="T151" s="386">
        <v>8.26</v>
      </c>
      <c r="U151" s="386">
        <v>0.76</v>
      </c>
      <c r="V151" s="739">
        <v>0.77</v>
      </c>
      <c r="W151" s="739">
        <v>46.400000000000006</v>
      </c>
      <c r="X151" s="613">
        <v>46.760000000000005</v>
      </c>
      <c r="Y151" s="367">
        <v>25.63</v>
      </c>
      <c r="Z151" s="636">
        <v>30.5</v>
      </c>
      <c r="AA151" s="636">
        <v>25.6</v>
      </c>
      <c r="AB151" s="636">
        <v>34.520000000000003</v>
      </c>
      <c r="AC151" s="1160">
        <f t="shared" si="51"/>
        <v>60.120000000000005</v>
      </c>
      <c r="AD151" s="1160">
        <f t="shared" si="52"/>
        <v>93.00564</v>
      </c>
      <c r="AE151" s="1160">
        <f t="shared" si="53"/>
        <v>93.00564</v>
      </c>
      <c r="AF151" s="542"/>
      <c r="AG151" s="1160">
        <f t="shared" si="49"/>
        <v>0</v>
      </c>
      <c r="AH151" s="896"/>
      <c r="AI151" s="351"/>
      <c r="AJ151" s="897"/>
      <c r="AK151" s="388"/>
      <c r="AL151" s="388"/>
      <c r="AM151" s="388"/>
      <c r="AN151" s="388"/>
      <c r="AO151" s="370"/>
      <c r="AP151" s="370"/>
      <c r="AQ151" s="927"/>
      <c r="AR151" s="551">
        <v>0</v>
      </c>
      <c r="AS151" s="386">
        <v>23.4</v>
      </c>
      <c r="AT151" s="386">
        <v>0</v>
      </c>
      <c r="AU151" s="386">
        <v>0</v>
      </c>
      <c r="AV151" s="636">
        <v>500.7</v>
      </c>
      <c r="AW151" s="636">
        <v>747.5</v>
      </c>
      <c r="AX151" s="386">
        <v>0</v>
      </c>
      <c r="AY151" s="551">
        <v>0</v>
      </c>
      <c r="AZ151" s="551">
        <v>0</v>
      </c>
      <c r="BA151" s="551">
        <v>0</v>
      </c>
      <c r="BB151" s="975">
        <v>0</v>
      </c>
      <c r="BC151" s="386">
        <v>1.3</v>
      </c>
      <c r="BD151" s="386">
        <v>2.38</v>
      </c>
      <c r="BE151" s="551">
        <v>0</v>
      </c>
      <c r="BF151" s="386">
        <v>1</v>
      </c>
      <c r="BG151" s="386">
        <v>0</v>
      </c>
      <c r="BH151" s="551">
        <v>0</v>
      </c>
      <c r="BI151" s="386">
        <v>1</v>
      </c>
      <c r="BJ151" s="386">
        <v>29</v>
      </c>
      <c r="BK151" s="386">
        <v>4.0999999999999996</v>
      </c>
      <c r="BL151" s="386">
        <v>2.78</v>
      </c>
      <c r="BM151" s="386">
        <v>0</v>
      </c>
      <c r="BN151" s="386">
        <v>22.1</v>
      </c>
      <c r="BO151" s="386">
        <v>1083.9000000000001</v>
      </c>
      <c r="BP151" s="386">
        <v>1.9</v>
      </c>
      <c r="BQ151" s="1131">
        <v>18.899999999999999</v>
      </c>
      <c r="BR151" s="1131">
        <v>19.649999999999999</v>
      </c>
      <c r="BS151" s="615">
        <v>11.42</v>
      </c>
      <c r="BT151" s="615">
        <v>11.23</v>
      </c>
      <c r="BU151" s="614">
        <v>23.7</v>
      </c>
      <c r="BV151" s="614">
        <v>28.4</v>
      </c>
      <c r="BW151" s="615">
        <v>691.9</v>
      </c>
      <c r="BX151" s="791"/>
      <c r="BY151" s="615">
        <v>0</v>
      </c>
      <c r="BZ151" s="615">
        <v>1.18</v>
      </c>
      <c r="CA151" s="615">
        <v>1.1000000000000001</v>
      </c>
      <c r="CB151" s="615">
        <v>8.4</v>
      </c>
      <c r="CC151" s="615">
        <v>8.4</v>
      </c>
      <c r="CD151" s="615">
        <v>16.399999999999999</v>
      </c>
      <c r="CE151" s="615">
        <v>33.1</v>
      </c>
      <c r="CF151" s="615">
        <v>17.899999999999999</v>
      </c>
      <c r="CG151" s="615">
        <v>6.2</v>
      </c>
      <c r="CH151" s="615">
        <v>11.6</v>
      </c>
      <c r="CI151" s="615">
        <v>15.6</v>
      </c>
      <c r="CJ151" s="615">
        <v>12.92</v>
      </c>
      <c r="CK151" s="615">
        <v>287.60000000000002</v>
      </c>
      <c r="CL151" s="615">
        <v>3.1</v>
      </c>
      <c r="CM151" s="615">
        <v>4.9000000000000004</v>
      </c>
      <c r="CN151" s="615">
        <v>1487.5</v>
      </c>
      <c r="CO151" s="615">
        <v>607.29999999999995</v>
      </c>
      <c r="CP151" s="615">
        <v>530.4</v>
      </c>
      <c r="CQ151" s="615">
        <v>11.3</v>
      </c>
      <c r="CR151" s="615">
        <v>0.68</v>
      </c>
      <c r="CS151" s="386">
        <v>3511.1</v>
      </c>
      <c r="CT151" s="386">
        <v>15.397</v>
      </c>
      <c r="CU151" s="386">
        <v>51</v>
      </c>
      <c r="CV151" s="499">
        <v>0</v>
      </c>
      <c r="CW151" s="499">
        <v>0</v>
      </c>
      <c r="CX151" s="499">
        <v>0</v>
      </c>
      <c r="CY151" s="499">
        <v>0</v>
      </c>
      <c r="CZ151" s="643">
        <v>2000</v>
      </c>
      <c r="DA151" s="643">
        <v>2380</v>
      </c>
      <c r="DB151" s="643">
        <v>1840</v>
      </c>
      <c r="DC151" s="609">
        <v>1163.75</v>
      </c>
      <c r="DD151" s="1153">
        <f t="shared" si="54"/>
        <v>0.83999999999991815</v>
      </c>
      <c r="DE151" s="1154">
        <f t="shared" si="55"/>
        <v>15.511758911999999</v>
      </c>
      <c r="DF151" s="1154">
        <f t="shared" si="56"/>
        <v>1730</v>
      </c>
      <c r="DG151" s="1154">
        <f t="shared" si="57"/>
        <v>2130</v>
      </c>
      <c r="DH151" s="1155" t="str">
        <f t="shared" si="58"/>
        <v>Palm</v>
      </c>
      <c r="DI151" s="1146">
        <f t="shared" si="59"/>
        <v>540</v>
      </c>
      <c r="DJ151" s="1146">
        <f t="shared" si="60"/>
        <v>5.0559839999999996</v>
      </c>
      <c r="DK151" s="1154">
        <f t="shared" si="61"/>
        <v>15.511758911999999</v>
      </c>
      <c r="DL151" s="615"/>
      <c r="DM151" s="643"/>
      <c r="DN151" s="615"/>
      <c r="DO151" s="499"/>
      <c r="DP151" s="499"/>
      <c r="DQ151" s="499"/>
      <c r="DR151" s="499"/>
      <c r="DS151" s="499"/>
      <c r="DT151" s="499"/>
      <c r="DU151" s="499"/>
      <c r="DV151" s="499"/>
      <c r="DW151" s="499"/>
      <c r="DX151" s="499"/>
      <c r="DY151" s="499"/>
      <c r="DZ151" s="499"/>
      <c r="EA151" s="499"/>
      <c r="EB151" s="499"/>
      <c r="EC151" s="499"/>
      <c r="ED151" s="499"/>
      <c r="EE151" s="499"/>
      <c r="EF151" s="499"/>
      <c r="EG151" s="1146">
        <f t="shared" si="48"/>
        <v>12.5</v>
      </c>
      <c r="EH151" s="630">
        <v>0</v>
      </c>
      <c r="EI151" s="642">
        <v>1</v>
      </c>
      <c r="EJ151" s="613">
        <v>4.5</v>
      </c>
      <c r="EK151" s="613">
        <v>7</v>
      </c>
      <c r="EL151" s="499"/>
      <c r="EM151" s="499"/>
      <c r="EN151" s="499"/>
      <c r="EO151" s="499"/>
      <c r="EP151" s="499"/>
      <c r="EQ151" s="499"/>
      <c r="ER151" s="499"/>
      <c r="ES151" s="388"/>
      <c r="ET151" s="388"/>
      <c r="EV151" s="1167">
        <f t="shared" si="50"/>
        <v>19.337499999999999</v>
      </c>
    </row>
    <row r="152" spans="1:152" s="350" customFormat="1" ht="15" x14ac:dyDescent="0.25">
      <c r="A152" s="632" t="s">
        <v>5</v>
      </c>
      <c r="B152" s="662">
        <v>42878</v>
      </c>
      <c r="C152" s="1132" t="s">
        <v>904</v>
      </c>
      <c r="D152" s="386">
        <v>0</v>
      </c>
      <c r="E152" s="636">
        <v>0</v>
      </c>
      <c r="F152" s="636">
        <v>50</v>
      </c>
      <c r="G152" s="636">
        <v>2.2250000000000001</v>
      </c>
      <c r="H152" s="386">
        <v>2.21</v>
      </c>
      <c r="I152" s="386">
        <v>11.6</v>
      </c>
      <c r="J152" s="636">
        <v>0</v>
      </c>
      <c r="K152" s="386">
        <v>2.2999999999999998</v>
      </c>
      <c r="L152" s="610">
        <v>0</v>
      </c>
      <c r="M152" s="386">
        <v>22.3</v>
      </c>
      <c r="N152" s="386">
        <v>1.21</v>
      </c>
      <c r="O152" s="386">
        <v>1.2696257206979384</v>
      </c>
      <c r="P152" s="386">
        <v>1.21</v>
      </c>
      <c r="Q152" s="386">
        <v>0.59539806126566819</v>
      </c>
      <c r="R152" s="732">
        <v>809.72550872093018</v>
      </c>
      <c r="S152" s="386">
        <v>8.1199999999999992</v>
      </c>
      <c r="T152" s="386">
        <v>8.2200000000000006</v>
      </c>
      <c r="U152" s="386">
        <v>0.76</v>
      </c>
      <c r="V152" s="739">
        <v>0.75</v>
      </c>
      <c r="W152" s="739">
        <v>47.480000000000004</v>
      </c>
      <c r="X152" s="613">
        <v>47.480000000000004</v>
      </c>
      <c r="Y152" s="367">
        <v>25.6</v>
      </c>
      <c r="Z152" s="636">
        <v>34.520000000000003</v>
      </c>
      <c r="AA152" s="636">
        <v>25.7</v>
      </c>
      <c r="AB152" s="636">
        <v>35.700000000000003</v>
      </c>
      <c r="AC152" s="1160">
        <f t="shared" si="51"/>
        <v>61.400000000000006</v>
      </c>
      <c r="AD152" s="1160">
        <f t="shared" si="52"/>
        <v>94.985799999999998</v>
      </c>
      <c r="AE152" s="1160">
        <f t="shared" si="53"/>
        <v>94.985799999999998</v>
      </c>
      <c r="AF152" s="542"/>
      <c r="AG152" s="1160">
        <f t="shared" si="49"/>
        <v>0</v>
      </c>
      <c r="AH152" s="896"/>
      <c r="AI152" s="351"/>
      <c r="AJ152" s="897"/>
      <c r="AK152" s="388"/>
      <c r="AL152" s="388"/>
      <c r="AM152" s="388"/>
      <c r="AN152" s="388"/>
      <c r="AO152" s="370"/>
      <c r="AP152" s="370"/>
      <c r="AQ152" s="927"/>
      <c r="AR152" s="551">
        <v>0</v>
      </c>
      <c r="AS152" s="386">
        <v>18.600000000000001</v>
      </c>
      <c r="AT152" s="1171">
        <v>0.501</v>
      </c>
      <c r="AU152" s="386">
        <v>0</v>
      </c>
      <c r="AV152" s="636">
        <v>625.29999999999995</v>
      </c>
      <c r="AW152" s="636">
        <v>720.9</v>
      </c>
      <c r="AX152" s="386">
        <v>0</v>
      </c>
      <c r="AY152" s="551">
        <v>0</v>
      </c>
      <c r="AZ152" s="551">
        <v>0</v>
      </c>
      <c r="BA152" s="551">
        <v>0</v>
      </c>
      <c r="BB152" s="975">
        <v>0</v>
      </c>
      <c r="BC152" s="386">
        <v>1.34</v>
      </c>
      <c r="BD152" s="386">
        <v>2.16</v>
      </c>
      <c r="BE152" s="551">
        <v>0</v>
      </c>
      <c r="BF152" s="386">
        <v>1</v>
      </c>
      <c r="BG152" s="386">
        <v>0</v>
      </c>
      <c r="BH152" s="551">
        <v>0</v>
      </c>
      <c r="BI152" s="386">
        <v>1</v>
      </c>
      <c r="BJ152" s="386">
        <v>30.3</v>
      </c>
      <c r="BK152" s="386">
        <v>3.62</v>
      </c>
      <c r="BL152" s="386">
        <v>3.37</v>
      </c>
      <c r="BM152" s="386">
        <v>0</v>
      </c>
      <c r="BN152" s="386">
        <v>23.3</v>
      </c>
      <c r="BO152" s="386">
        <v>1699.1</v>
      </c>
      <c r="BP152" s="386">
        <v>1.9</v>
      </c>
      <c r="BQ152" s="499">
        <v>19.46</v>
      </c>
      <c r="BR152" s="499">
        <v>20.16</v>
      </c>
      <c r="BS152" s="615">
        <v>11.06</v>
      </c>
      <c r="BT152" s="615">
        <v>11.18</v>
      </c>
      <c r="BU152" s="614">
        <v>23.3</v>
      </c>
      <c r="BV152" s="614">
        <v>25.6</v>
      </c>
      <c r="BW152" s="615">
        <v>874.6</v>
      </c>
      <c r="BX152" s="791"/>
      <c r="BY152" s="615">
        <v>0</v>
      </c>
      <c r="BZ152" s="615">
        <v>1.1599999999999999</v>
      </c>
      <c r="CA152" s="615">
        <v>1.1000000000000001</v>
      </c>
      <c r="CB152" s="615">
        <v>8.4</v>
      </c>
      <c r="CC152" s="615">
        <v>8.4</v>
      </c>
      <c r="CD152" s="615">
        <v>15.9</v>
      </c>
      <c r="CE152" s="615">
        <v>33.1</v>
      </c>
      <c r="CF152" s="615">
        <v>16.600000000000001</v>
      </c>
      <c r="CG152" s="615">
        <v>7.7</v>
      </c>
      <c r="CH152" s="615">
        <v>13.2</v>
      </c>
      <c r="CI152" s="615">
        <v>17.600000000000001</v>
      </c>
      <c r="CJ152" s="615">
        <v>12.7</v>
      </c>
      <c r="CK152" s="615">
        <v>284.39999999999998</v>
      </c>
      <c r="CL152" s="615">
        <v>2.6</v>
      </c>
      <c r="CM152" s="615">
        <v>4.5</v>
      </c>
      <c r="CN152" s="615">
        <v>1455.7</v>
      </c>
      <c r="CO152" s="615">
        <v>634.70000000000005</v>
      </c>
      <c r="CP152" s="615">
        <v>622.6</v>
      </c>
      <c r="CQ152" s="615">
        <v>11.5</v>
      </c>
      <c r="CR152" s="615">
        <v>0.69</v>
      </c>
      <c r="CS152" s="386">
        <v>3502.9</v>
      </c>
      <c r="CT152" s="386">
        <v>14.94</v>
      </c>
      <c r="CU152" s="386">
        <v>51</v>
      </c>
      <c r="CV152" s="499">
        <v>0</v>
      </c>
      <c r="CW152" s="499">
        <v>0</v>
      </c>
      <c r="CX152" s="499">
        <v>0</v>
      </c>
      <c r="CY152" s="499">
        <v>0</v>
      </c>
      <c r="CZ152" s="643">
        <v>2300</v>
      </c>
      <c r="DA152" s="643">
        <v>2670</v>
      </c>
      <c r="DB152" s="643">
        <v>2090</v>
      </c>
      <c r="DC152" s="609">
        <v>1164.32</v>
      </c>
      <c r="DD152" s="1153">
        <f t="shared" si="54"/>
        <v>0.56999999999993634</v>
      </c>
      <c r="DE152" s="1154">
        <f t="shared" si="55"/>
        <v>15.475531968</v>
      </c>
      <c r="DF152" s="1154">
        <f t="shared" si="56"/>
        <v>1980</v>
      </c>
      <c r="DG152" s="1154">
        <f t="shared" si="57"/>
        <v>2420</v>
      </c>
      <c r="DH152" s="1155" t="str">
        <f t="shared" si="58"/>
        <v>Palm</v>
      </c>
      <c r="DI152" s="1146">
        <f t="shared" si="59"/>
        <v>580</v>
      </c>
      <c r="DJ152" s="1146">
        <f t="shared" si="60"/>
        <v>5.0441760000000002</v>
      </c>
      <c r="DK152" s="1154">
        <f t="shared" si="61"/>
        <v>15.475531968</v>
      </c>
      <c r="DL152" s="615"/>
      <c r="DM152" s="643"/>
      <c r="DN152" s="615"/>
      <c r="DO152" s="499"/>
      <c r="DP152" s="499"/>
      <c r="DQ152" s="499"/>
      <c r="DR152" s="499"/>
      <c r="DS152" s="499"/>
      <c r="DT152" s="499"/>
      <c r="DU152" s="499"/>
      <c r="DV152" s="499"/>
      <c r="DW152" s="499"/>
      <c r="DX152" s="499"/>
      <c r="DY152" s="499"/>
      <c r="DZ152" s="499"/>
      <c r="EA152" s="499"/>
      <c r="EB152" s="499"/>
      <c r="EC152" s="499"/>
      <c r="ED152" s="499"/>
      <c r="EE152" s="499"/>
      <c r="EF152" s="499"/>
      <c r="EG152" s="1146">
        <f t="shared" si="48"/>
        <v>12.5</v>
      </c>
      <c r="EH152" s="630">
        <v>0</v>
      </c>
      <c r="EI152" s="642">
        <v>1</v>
      </c>
      <c r="EJ152" s="613">
        <v>4.5</v>
      </c>
      <c r="EK152" s="613">
        <v>7</v>
      </c>
      <c r="EL152" s="499"/>
      <c r="EM152" s="499"/>
      <c r="EN152" s="499"/>
      <c r="EO152" s="499"/>
      <c r="EP152" s="499"/>
      <c r="EQ152" s="499"/>
      <c r="ER152" s="499"/>
      <c r="ES152" s="388"/>
      <c r="ET152" s="388"/>
      <c r="EV152" s="1167">
        <f t="shared" si="50"/>
        <v>19.337499999999999</v>
      </c>
    </row>
    <row r="153" spans="1:152" s="350" customFormat="1" ht="15" x14ac:dyDescent="0.25">
      <c r="A153" s="632" t="s">
        <v>6</v>
      </c>
      <c r="B153" s="662">
        <v>42879</v>
      </c>
      <c r="C153" s="1132" t="s">
        <v>904</v>
      </c>
      <c r="D153" s="386">
        <v>0</v>
      </c>
      <c r="E153" s="636">
        <v>0</v>
      </c>
      <c r="F153" s="636">
        <v>46.4</v>
      </c>
      <c r="G153" s="636">
        <v>2.2000000000000002</v>
      </c>
      <c r="H153" s="386">
        <v>3.94</v>
      </c>
      <c r="I153" s="386">
        <v>11</v>
      </c>
      <c r="J153" s="636">
        <v>0</v>
      </c>
      <c r="K153" s="386">
        <v>2.4</v>
      </c>
      <c r="L153" s="610">
        <v>0</v>
      </c>
      <c r="M153" s="386">
        <v>22.1</v>
      </c>
      <c r="N153" s="386">
        <v>1.2</v>
      </c>
      <c r="O153" s="386">
        <v>1.2773172477351427</v>
      </c>
      <c r="P153" s="386">
        <v>1.2</v>
      </c>
      <c r="Q153" s="386">
        <v>0.59999493420319472</v>
      </c>
      <c r="R153" s="732">
        <v>801.39156976744198</v>
      </c>
      <c r="S153" s="386">
        <v>8.1300000000000008</v>
      </c>
      <c r="T153" s="386">
        <v>8.19</v>
      </c>
      <c r="U153" s="386">
        <v>0.68</v>
      </c>
      <c r="V153" s="739">
        <v>0.71</v>
      </c>
      <c r="W153" s="739">
        <v>47.84</v>
      </c>
      <c r="X153" s="613">
        <v>47.660000000000011</v>
      </c>
      <c r="Y153" s="367">
        <v>25.7</v>
      </c>
      <c r="Z153" s="636">
        <v>35.700000000000003</v>
      </c>
      <c r="AA153" s="636">
        <v>25.67</v>
      </c>
      <c r="AB153" s="636">
        <v>34.78</v>
      </c>
      <c r="AC153" s="1160">
        <f t="shared" si="51"/>
        <v>60.45</v>
      </c>
      <c r="AD153" s="1160">
        <f t="shared" si="52"/>
        <v>93.516149999999996</v>
      </c>
      <c r="AE153" s="1160">
        <f t="shared" si="53"/>
        <v>93.516149999999996</v>
      </c>
      <c r="AF153" s="542"/>
      <c r="AG153" s="1160">
        <f t="shared" si="49"/>
        <v>0</v>
      </c>
      <c r="AH153" s="896"/>
      <c r="AI153" s="351"/>
      <c r="AJ153" s="897"/>
      <c r="AK153" s="388"/>
      <c r="AL153" s="388"/>
      <c r="AM153" s="388"/>
      <c r="AN153" s="388"/>
      <c r="AO153" s="370"/>
      <c r="AP153" s="370"/>
      <c r="AQ153" s="1172" t="s">
        <v>913</v>
      </c>
      <c r="AR153" s="551">
        <v>0</v>
      </c>
      <c r="AS153" s="386">
        <v>23.2</v>
      </c>
      <c r="AT153" s="1171">
        <v>0.91</v>
      </c>
      <c r="AU153" s="386">
        <v>0</v>
      </c>
      <c r="AV153" s="636">
        <v>641.1</v>
      </c>
      <c r="AW153" s="636">
        <v>764.4</v>
      </c>
      <c r="AX153" s="386">
        <v>0</v>
      </c>
      <c r="AY153" s="551">
        <v>0</v>
      </c>
      <c r="AZ153" s="551">
        <v>0</v>
      </c>
      <c r="BA153" s="551">
        <v>0</v>
      </c>
      <c r="BB153" s="975">
        <v>0</v>
      </c>
      <c r="BC153" s="386">
        <v>0.79</v>
      </c>
      <c r="BD153" s="386">
        <v>2.0499999999999998</v>
      </c>
      <c r="BE153" s="551">
        <v>0</v>
      </c>
      <c r="BF153" s="386">
        <v>1</v>
      </c>
      <c r="BG153" s="386">
        <v>0</v>
      </c>
      <c r="BH153" s="551">
        <v>0</v>
      </c>
      <c r="BI153" s="386">
        <v>1</v>
      </c>
      <c r="BJ153" s="386">
        <v>29.9</v>
      </c>
      <c r="BK153" s="386">
        <v>3.7</v>
      </c>
      <c r="BL153" s="386">
        <v>3.39</v>
      </c>
      <c r="BM153" s="386">
        <v>0</v>
      </c>
      <c r="BN153" s="386">
        <v>22.91</v>
      </c>
      <c r="BO153" s="386">
        <v>1520.1</v>
      </c>
      <c r="BP153" s="386">
        <v>1.9</v>
      </c>
      <c r="BQ153" s="1131">
        <v>18.899999999999999</v>
      </c>
      <c r="BR153" s="1131">
        <v>19.7</v>
      </c>
      <c r="BS153" s="615">
        <v>10.8</v>
      </c>
      <c r="BT153" s="615">
        <v>10.4</v>
      </c>
      <c r="BU153" s="614">
        <v>22.9</v>
      </c>
      <c r="BV153" s="614">
        <v>28.2</v>
      </c>
      <c r="BW153" s="615">
        <v>857.2</v>
      </c>
      <c r="BX153" s="791"/>
      <c r="BY153" s="615">
        <v>0</v>
      </c>
      <c r="BZ153" s="615">
        <v>1.1499999999999999</v>
      </c>
      <c r="CA153" s="615">
        <v>1.1000000000000001</v>
      </c>
      <c r="CB153" s="615">
        <v>8.4</v>
      </c>
      <c r="CC153" s="615">
        <v>8.4</v>
      </c>
      <c r="CD153" s="615">
        <v>16.100000000000001</v>
      </c>
      <c r="CE153" s="615">
        <v>33.299999999999997</v>
      </c>
      <c r="CF153" s="615">
        <v>18</v>
      </c>
      <c r="CG153" s="615">
        <v>7.8</v>
      </c>
      <c r="CH153" s="615">
        <v>13.2</v>
      </c>
      <c r="CI153" s="615">
        <v>17.8</v>
      </c>
      <c r="CJ153" s="615">
        <v>12.9</v>
      </c>
      <c r="CK153" s="615">
        <v>312.89999999999998</v>
      </c>
      <c r="CL153" s="499">
        <v>2.8</v>
      </c>
      <c r="CM153" s="499">
        <v>4.2</v>
      </c>
      <c r="CN153" s="615">
        <v>1539</v>
      </c>
      <c r="CO153" s="499">
        <v>644.6</v>
      </c>
      <c r="CP153" s="499">
        <v>599.79999999999995</v>
      </c>
      <c r="CQ153" s="499">
        <v>12</v>
      </c>
      <c r="CR153" s="499">
        <v>0.74</v>
      </c>
      <c r="CS153" s="386">
        <v>3488.9</v>
      </c>
      <c r="CT153" s="386">
        <v>15.194000000000001</v>
      </c>
      <c r="CU153" s="386">
        <v>51</v>
      </c>
      <c r="CV153" s="499">
        <v>0</v>
      </c>
      <c r="CW153" s="499">
        <v>0</v>
      </c>
      <c r="CX153" s="499">
        <v>0</v>
      </c>
      <c r="CY153" s="499">
        <v>0</v>
      </c>
      <c r="CZ153" s="643">
        <v>2300</v>
      </c>
      <c r="DA153" s="643">
        <v>2670</v>
      </c>
      <c r="DB153" s="643">
        <v>2090</v>
      </c>
      <c r="DC153" s="609">
        <v>1164.51</v>
      </c>
      <c r="DD153" s="1153">
        <f t="shared" si="54"/>
        <v>0.19000000000005457</v>
      </c>
      <c r="DE153" s="1154">
        <f t="shared" si="55"/>
        <v>15.413681087999999</v>
      </c>
      <c r="DF153" s="1154">
        <f t="shared" si="56"/>
        <v>1980</v>
      </c>
      <c r="DG153" s="1154">
        <f t="shared" si="57"/>
        <v>2420</v>
      </c>
      <c r="DH153" s="1155" t="str">
        <f t="shared" si="58"/>
        <v>Palm</v>
      </c>
      <c r="DI153" s="1146">
        <f t="shared" si="59"/>
        <v>580</v>
      </c>
      <c r="DJ153" s="1146">
        <f t="shared" si="60"/>
        <v>5.0240159999999996</v>
      </c>
      <c r="DK153" s="1154">
        <f t="shared" si="61"/>
        <v>15.413681087999999</v>
      </c>
      <c r="DL153" s="615"/>
      <c r="DM153" s="643"/>
      <c r="DN153" s="615"/>
      <c r="DO153" s="499"/>
      <c r="DP153" s="499"/>
      <c r="DQ153" s="499"/>
      <c r="DR153" s="499"/>
      <c r="DS153" s="499"/>
      <c r="DT153" s="499"/>
      <c r="DU153" s="499"/>
      <c r="DV153" s="499"/>
      <c r="DW153" s="499"/>
      <c r="DX153" s="499"/>
      <c r="DY153" s="499"/>
      <c r="DZ153" s="499"/>
      <c r="EA153" s="499"/>
      <c r="EB153" s="499"/>
      <c r="EC153" s="499"/>
      <c r="ED153" s="499"/>
      <c r="EE153" s="499"/>
      <c r="EF153" s="499"/>
      <c r="EG153" s="1146">
        <f t="shared" si="48"/>
        <v>11.5</v>
      </c>
      <c r="EH153" s="630">
        <v>0</v>
      </c>
      <c r="EI153" s="642">
        <v>1</v>
      </c>
      <c r="EJ153" s="613">
        <v>3.5</v>
      </c>
      <c r="EK153" s="613">
        <v>7</v>
      </c>
      <c r="EL153" s="499"/>
      <c r="EM153" s="499"/>
      <c r="EN153" s="499"/>
      <c r="EO153" s="499"/>
      <c r="EP153" s="499"/>
      <c r="EQ153" s="499"/>
      <c r="ER153" s="499"/>
      <c r="ES153" s="388"/>
      <c r="ET153" s="388"/>
      <c r="EV153" s="1167">
        <f t="shared" si="50"/>
        <v>17.790499999999998</v>
      </c>
    </row>
    <row r="154" spans="1:152" s="350" customFormat="1" ht="15" x14ac:dyDescent="0.25">
      <c r="A154" s="632" t="s">
        <v>7</v>
      </c>
      <c r="B154" s="662">
        <v>42880</v>
      </c>
      <c r="C154" s="1132" t="s">
        <v>904</v>
      </c>
      <c r="D154" s="386">
        <v>0</v>
      </c>
      <c r="E154" s="636">
        <v>0</v>
      </c>
      <c r="F154" s="636">
        <v>51.9</v>
      </c>
      <c r="G154" s="636">
        <v>1.7</v>
      </c>
      <c r="H154" s="386">
        <v>4.9400000000000004</v>
      </c>
      <c r="I154" s="386">
        <v>14.5</v>
      </c>
      <c r="J154" s="636">
        <v>0</v>
      </c>
      <c r="K154" s="386">
        <v>2.33</v>
      </c>
      <c r="L154" s="610">
        <v>0</v>
      </c>
      <c r="M154" s="386">
        <v>21.9</v>
      </c>
      <c r="N154" s="386">
        <v>1.2</v>
      </c>
      <c r="O154" s="386">
        <v>1.2761361211863735</v>
      </c>
      <c r="P154" s="386">
        <v>1.22</v>
      </c>
      <c r="Q154" s="386">
        <v>0.59145323580253628</v>
      </c>
      <c r="R154" s="732">
        <v>894.39832848837216</v>
      </c>
      <c r="S154" s="386">
        <v>8.1199999999999992</v>
      </c>
      <c r="T154" s="386">
        <v>8.19</v>
      </c>
      <c r="U154" s="386">
        <v>0.73</v>
      </c>
      <c r="V154" s="739">
        <v>0.7</v>
      </c>
      <c r="W154" s="739">
        <v>47.84</v>
      </c>
      <c r="X154" s="613">
        <v>47.84</v>
      </c>
      <c r="Y154" s="367">
        <v>25.67</v>
      </c>
      <c r="Z154" s="636">
        <v>34.700000000000003</v>
      </c>
      <c r="AA154" s="636">
        <v>25.63</v>
      </c>
      <c r="AB154" s="636">
        <v>41</v>
      </c>
      <c r="AC154" s="1160">
        <f t="shared" si="51"/>
        <v>66.63</v>
      </c>
      <c r="AD154" s="1160">
        <f t="shared" si="52"/>
        <v>103.07660999999999</v>
      </c>
      <c r="AE154" s="1160">
        <f t="shared" si="53"/>
        <v>103.07660999999999</v>
      </c>
      <c r="AF154" s="542"/>
      <c r="AG154" s="1160">
        <f t="shared" si="49"/>
        <v>0</v>
      </c>
      <c r="AH154" s="896"/>
      <c r="AI154" s="351"/>
      <c r="AJ154" s="897"/>
      <c r="AK154" s="388"/>
      <c r="AL154" s="388"/>
      <c r="AM154" s="388"/>
      <c r="AN154" s="388"/>
      <c r="AO154" s="370"/>
      <c r="AP154" s="370"/>
      <c r="AQ154" s="927"/>
      <c r="AR154" s="551">
        <v>0</v>
      </c>
      <c r="AS154" s="386">
        <v>24.1</v>
      </c>
      <c r="AT154" s="1171">
        <v>0.41</v>
      </c>
      <c r="AU154" s="386">
        <v>0</v>
      </c>
      <c r="AV154" s="636">
        <v>676</v>
      </c>
      <c r="AW154" s="636">
        <v>856.1</v>
      </c>
      <c r="AX154" s="386">
        <v>0</v>
      </c>
      <c r="AY154" s="551">
        <v>0</v>
      </c>
      <c r="AZ154" s="551">
        <v>0</v>
      </c>
      <c r="BA154" s="551">
        <v>0</v>
      </c>
      <c r="BB154" s="975">
        <v>0</v>
      </c>
      <c r="BC154" s="386">
        <v>0.49</v>
      </c>
      <c r="BD154" s="386">
        <v>2</v>
      </c>
      <c r="BE154" s="551">
        <v>0</v>
      </c>
      <c r="BF154" s="386">
        <v>1</v>
      </c>
      <c r="BG154" s="386">
        <v>0</v>
      </c>
      <c r="BH154" s="551">
        <v>0</v>
      </c>
      <c r="BI154" s="386">
        <v>1.01</v>
      </c>
      <c r="BJ154" s="386">
        <v>36.5</v>
      </c>
      <c r="BK154" s="386">
        <v>3.65</v>
      </c>
      <c r="BL154" s="386">
        <v>3.39</v>
      </c>
      <c r="BM154" s="386">
        <v>0</v>
      </c>
      <c r="BN154" s="386">
        <v>29.4</v>
      </c>
      <c r="BO154" s="386">
        <v>1609.4</v>
      </c>
      <c r="BP154" s="386">
        <v>2</v>
      </c>
      <c r="BQ154" s="1131">
        <v>20.3</v>
      </c>
      <c r="BR154" s="1131">
        <v>21</v>
      </c>
      <c r="BS154" s="499">
        <v>10.9</v>
      </c>
      <c r="BT154" s="499">
        <v>11</v>
      </c>
      <c r="BU154" s="614">
        <v>23</v>
      </c>
      <c r="BV154" s="614">
        <v>22.7</v>
      </c>
      <c r="BW154" s="499">
        <v>847.5</v>
      </c>
      <c r="BX154" s="793"/>
      <c r="BY154" s="615">
        <v>0</v>
      </c>
      <c r="BZ154" s="615">
        <v>1.1499999999999999</v>
      </c>
      <c r="CA154" s="615">
        <v>1.1000000000000001</v>
      </c>
      <c r="CB154" s="615">
        <v>8.4</v>
      </c>
      <c r="CC154" s="615">
        <v>8.4</v>
      </c>
      <c r="CD154" s="615">
        <v>15.4</v>
      </c>
      <c r="CE154" s="615">
        <v>33.200000000000003</v>
      </c>
      <c r="CF154" s="615">
        <v>19.100000000000001</v>
      </c>
      <c r="CG154" s="615">
        <v>8.1</v>
      </c>
      <c r="CH154" s="615">
        <v>13.6</v>
      </c>
      <c r="CI154" s="615">
        <v>18.2</v>
      </c>
      <c r="CJ154" s="615">
        <v>12.5</v>
      </c>
      <c r="CK154" s="615">
        <v>336.8</v>
      </c>
      <c r="CL154" s="615">
        <v>3</v>
      </c>
      <c r="CM154" s="615">
        <v>5</v>
      </c>
      <c r="CN154" s="615">
        <v>1550.9</v>
      </c>
      <c r="CO154" s="615">
        <v>717.7</v>
      </c>
      <c r="CP154" s="615">
        <v>536.9</v>
      </c>
      <c r="CQ154" s="615">
        <v>12.2</v>
      </c>
      <c r="CR154" s="615">
        <v>0.74</v>
      </c>
      <c r="CS154" s="386">
        <v>2945.7</v>
      </c>
      <c r="CT154" s="386">
        <v>16.184000000000001</v>
      </c>
      <c r="CU154" s="386">
        <v>51</v>
      </c>
      <c r="CV154" s="499">
        <v>0</v>
      </c>
      <c r="CW154" s="499">
        <v>0</v>
      </c>
      <c r="CX154" s="499">
        <v>0</v>
      </c>
      <c r="CY154" s="499">
        <v>0</v>
      </c>
      <c r="CZ154" s="643">
        <v>1690</v>
      </c>
      <c r="DA154" s="643">
        <v>2090</v>
      </c>
      <c r="DB154" s="643">
        <v>1550</v>
      </c>
      <c r="DC154" s="609">
        <v>1164.18</v>
      </c>
      <c r="DD154" s="1153">
        <f t="shared" si="54"/>
        <v>-0.32999999999992724</v>
      </c>
      <c r="DE154" s="1154">
        <f t="shared" si="55"/>
        <v>13.013866944</v>
      </c>
      <c r="DF154" s="1154">
        <f t="shared" si="56"/>
        <v>1440</v>
      </c>
      <c r="DG154" s="1154">
        <f t="shared" si="57"/>
        <v>1840</v>
      </c>
      <c r="DH154" s="1155" t="str">
        <f t="shared" si="58"/>
        <v>Palm</v>
      </c>
      <c r="DI154" s="1146">
        <f t="shared" si="59"/>
        <v>540</v>
      </c>
      <c r="DJ154" s="1146">
        <f t="shared" si="60"/>
        <v>4.2418079999999998</v>
      </c>
      <c r="DK154" s="1154">
        <f t="shared" si="61"/>
        <v>13.013866944</v>
      </c>
      <c r="DL154" s="615"/>
      <c r="DM154" s="643"/>
      <c r="DN154" s="615"/>
      <c r="DO154" s="499"/>
      <c r="DP154" s="499"/>
      <c r="DQ154" s="499"/>
      <c r="DR154" s="499"/>
      <c r="DS154" s="499"/>
      <c r="DT154" s="499"/>
      <c r="DU154" s="499"/>
      <c r="DV154" s="499"/>
      <c r="DW154" s="499"/>
      <c r="DX154" s="499"/>
      <c r="DY154" s="499"/>
      <c r="DZ154" s="499"/>
      <c r="EA154" s="499"/>
      <c r="EB154" s="499"/>
      <c r="EC154" s="499"/>
      <c r="ED154" s="499"/>
      <c r="EE154" s="499"/>
      <c r="EF154" s="499"/>
      <c r="EG154" s="1146">
        <f t="shared" si="48"/>
        <v>11.5</v>
      </c>
      <c r="EH154" s="630">
        <v>0</v>
      </c>
      <c r="EI154" s="642">
        <v>1</v>
      </c>
      <c r="EJ154" s="613">
        <v>3.5</v>
      </c>
      <c r="EK154" s="613">
        <v>7</v>
      </c>
      <c r="EL154" s="499"/>
      <c r="EM154" s="499"/>
      <c r="EN154" s="499"/>
      <c r="EO154" s="499"/>
      <c r="EP154" s="499"/>
      <c r="EQ154" s="499"/>
      <c r="ER154" s="499"/>
      <c r="ES154" s="388"/>
      <c r="ET154" s="388"/>
      <c r="EV154" s="1167">
        <f t="shared" si="50"/>
        <v>17.790499999999998</v>
      </c>
    </row>
    <row r="155" spans="1:152" s="350" customFormat="1" ht="15" x14ac:dyDescent="0.25">
      <c r="A155" s="632" t="s">
        <v>8</v>
      </c>
      <c r="B155" s="662">
        <v>42881</v>
      </c>
      <c r="C155" s="1132" t="s">
        <v>904</v>
      </c>
      <c r="D155" s="386">
        <v>0</v>
      </c>
      <c r="E155" s="636">
        <v>0</v>
      </c>
      <c r="F155" s="636">
        <v>59</v>
      </c>
      <c r="G155" s="636">
        <v>1.35</v>
      </c>
      <c r="H155" s="386">
        <v>2.73</v>
      </c>
      <c r="I155" s="386">
        <v>13.9</v>
      </c>
      <c r="J155" s="636">
        <v>0</v>
      </c>
      <c r="K155" s="386">
        <v>2.56</v>
      </c>
      <c r="L155" s="610">
        <v>0</v>
      </c>
      <c r="M155" s="386">
        <v>21.7</v>
      </c>
      <c r="N155" s="386">
        <v>1.19</v>
      </c>
      <c r="O155" s="386">
        <v>1.2598199636182617</v>
      </c>
      <c r="P155" s="386">
        <v>1.19</v>
      </c>
      <c r="Q155" s="386">
        <v>0.58311735397158104</v>
      </c>
      <c r="R155" s="732">
        <v>864.06279069767447</v>
      </c>
      <c r="S155" s="386">
        <v>8.2100000000000009</v>
      </c>
      <c r="T155" s="386">
        <v>8.2799999999999994</v>
      </c>
      <c r="U155" s="386">
        <v>0.76</v>
      </c>
      <c r="V155" s="739">
        <v>0.74</v>
      </c>
      <c r="W155" s="739">
        <v>48.92</v>
      </c>
      <c r="X155" s="613">
        <v>48.56</v>
      </c>
      <c r="Y155" s="367">
        <v>25.63</v>
      </c>
      <c r="Z155" s="636">
        <v>41</v>
      </c>
      <c r="AA155" s="636">
        <v>28.8</v>
      </c>
      <c r="AB155" s="636">
        <v>37.85</v>
      </c>
      <c r="AC155" s="1160">
        <f t="shared" si="51"/>
        <v>66.650000000000006</v>
      </c>
      <c r="AD155" s="1160">
        <f t="shared" si="52"/>
        <v>103.10755</v>
      </c>
      <c r="AE155" s="1160">
        <f t="shared" si="53"/>
        <v>103.10755</v>
      </c>
      <c r="AF155" s="542"/>
      <c r="AG155" s="1160">
        <f t="shared" si="49"/>
        <v>0</v>
      </c>
      <c r="AH155" s="896"/>
      <c r="AI155" s="351"/>
      <c r="AJ155" s="897"/>
      <c r="AK155" s="388"/>
      <c r="AL155" s="388"/>
      <c r="AM155" s="388"/>
      <c r="AN155" s="388"/>
      <c r="AO155" s="370"/>
      <c r="AP155" s="370"/>
      <c r="AQ155" s="927"/>
      <c r="AR155" s="551">
        <v>0</v>
      </c>
      <c r="AS155" s="386">
        <v>23.8</v>
      </c>
      <c r="AT155" s="386">
        <v>0</v>
      </c>
      <c r="AU155" s="386">
        <v>0</v>
      </c>
      <c r="AV155" s="636">
        <v>879.1</v>
      </c>
      <c r="AW155" s="636">
        <v>971</v>
      </c>
      <c r="AX155" s="386">
        <v>0</v>
      </c>
      <c r="AY155" s="551">
        <v>0</v>
      </c>
      <c r="AZ155" s="551">
        <v>0</v>
      </c>
      <c r="BA155" s="551">
        <v>0</v>
      </c>
      <c r="BB155" s="975">
        <v>0</v>
      </c>
      <c r="BC155" s="386">
        <v>0.72</v>
      </c>
      <c r="BD155" s="386">
        <v>2.1</v>
      </c>
      <c r="BE155" s="551">
        <v>0</v>
      </c>
      <c r="BF155" s="386">
        <v>1</v>
      </c>
      <c r="BG155" s="386">
        <v>0</v>
      </c>
      <c r="BH155" s="551">
        <v>0</v>
      </c>
      <c r="BI155" s="386">
        <v>1.02</v>
      </c>
      <c r="BJ155" s="386">
        <v>32.799999999999997</v>
      </c>
      <c r="BK155" s="386">
        <v>3.59</v>
      </c>
      <c r="BL155" s="386">
        <v>3.76</v>
      </c>
      <c r="BM155" s="386">
        <v>0</v>
      </c>
      <c r="BN155" s="386">
        <v>25.5</v>
      </c>
      <c r="BO155" s="386">
        <v>1642.2</v>
      </c>
      <c r="BP155" s="386">
        <v>2</v>
      </c>
      <c r="BQ155" s="1131">
        <v>19.899999999999999</v>
      </c>
      <c r="BR155" s="1131">
        <v>20.6</v>
      </c>
      <c r="BS155" s="615">
        <v>12.4</v>
      </c>
      <c r="BT155" s="615">
        <v>12.5</v>
      </c>
      <c r="BU155" s="614">
        <v>25.8</v>
      </c>
      <c r="BV155" s="614">
        <v>31.7</v>
      </c>
      <c r="BW155" s="615">
        <v>903.4</v>
      </c>
      <c r="BX155" s="791"/>
      <c r="BY155" s="615">
        <v>0</v>
      </c>
      <c r="BZ155" s="615">
        <v>1.05</v>
      </c>
      <c r="CA155" s="615">
        <v>1.1000000000000001</v>
      </c>
      <c r="CB155" s="615">
        <v>8.3000000000000007</v>
      </c>
      <c r="CC155" s="615">
        <v>8.4</v>
      </c>
      <c r="CD155" s="615">
        <v>16</v>
      </c>
      <c r="CE155" s="615">
        <v>33</v>
      </c>
      <c r="CF155" s="615">
        <v>21.1</v>
      </c>
      <c r="CG155" s="615">
        <v>7.82</v>
      </c>
      <c r="CH155" s="615">
        <v>13.4</v>
      </c>
      <c r="CI155" s="615">
        <v>17.899999999999999</v>
      </c>
      <c r="CJ155" s="615">
        <v>13.4</v>
      </c>
      <c r="CK155" s="615">
        <v>381.9</v>
      </c>
      <c r="CL155" s="615">
        <v>2.8</v>
      </c>
      <c r="CM155" s="615">
        <v>3.9</v>
      </c>
      <c r="CN155" s="615">
        <v>1745.9</v>
      </c>
      <c r="CO155" s="615">
        <v>784.4</v>
      </c>
      <c r="CP155" s="615">
        <v>559.5</v>
      </c>
      <c r="CQ155" s="615">
        <v>13.3</v>
      </c>
      <c r="CR155" s="615">
        <v>0.84</v>
      </c>
      <c r="CS155" s="386">
        <v>3534.6</v>
      </c>
      <c r="CT155" s="386">
        <v>16.131</v>
      </c>
      <c r="CU155" s="386">
        <v>51</v>
      </c>
      <c r="CV155" s="499">
        <v>0</v>
      </c>
      <c r="CW155" s="499">
        <v>0</v>
      </c>
      <c r="CX155" s="499">
        <v>0</v>
      </c>
      <c r="CY155" s="499">
        <v>0</v>
      </c>
      <c r="CZ155" s="643">
        <v>1290</v>
      </c>
      <c r="DA155" s="643">
        <v>1650</v>
      </c>
      <c r="DB155" s="643">
        <v>1170</v>
      </c>
      <c r="DC155" s="609">
        <v>1164.31</v>
      </c>
      <c r="DD155" s="1153">
        <f t="shared" si="54"/>
        <v>0.12999999999988177</v>
      </c>
      <c r="DE155" s="1154">
        <f t="shared" si="55"/>
        <v>15.615580032</v>
      </c>
      <c r="DF155" s="1154">
        <f t="shared" si="56"/>
        <v>1060</v>
      </c>
      <c r="DG155" s="1154">
        <f t="shared" si="57"/>
        <v>1400</v>
      </c>
      <c r="DH155" s="1155" t="str">
        <f t="shared" si="58"/>
        <v>Palm</v>
      </c>
      <c r="DI155" s="1146">
        <f t="shared" si="59"/>
        <v>480</v>
      </c>
      <c r="DJ155" s="1146">
        <f t="shared" si="60"/>
        <v>5.0898240000000001</v>
      </c>
      <c r="DK155" s="1154">
        <f t="shared" si="61"/>
        <v>15.615580032</v>
      </c>
      <c r="DL155" s="615"/>
      <c r="DM155" s="643"/>
      <c r="DN155" s="615"/>
      <c r="DO155" s="499"/>
      <c r="DP155" s="499"/>
      <c r="DQ155" s="499"/>
      <c r="DR155" s="499"/>
      <c r="DS155" s="499"/>
      <c r="DT155" s="499"/>
      <c r="DU155" s="499"/>
      <c r="DV155" s="499"/>
      <c r="DW155" s="499"/>
      <c r="DX155" s="499"/>
      <c r="DY155" s="499"/>
      <c r="DZ155" s="499"/>
      <c r="EA155" s="499"/>
      <c r="EB155" s="499"/>
      <c r="EC155" s="499"/>
      <c r="ED155" s="499"/>
      <c r="EE155" s="499"/>
      <c r="EF155" s="499"/>
      <c r="EG155" s="1146">
        <f>(SUM(EH155:EK155))</f>
        <v>13.5</v>
      </c>
      <c r="EH155" s="630">
        <v>0</v>
      </c>
      <c r="EI155" s="642">
        <v>1.5</v>
      </c>
      <c r="EJ155" s="613">
        <v>4.5</v>
      </c>
      <c r="EK155" s="613">
        <v>7.5</v>
      </c>
      <c r="EL155" s="499"/>
      <c r="EM155" s="499"/>
      <c r="EN155" s="499"/>
      <c r="EO155" s="499"/>
      <c r="EP155" s="499"/>
      <c r="EQ155" s="499"/>
      <c r="ER155" s="499"/>
      <c r="ES155" s="388"/>
      <c r="ET155" s="388"/>
      <c r="EV155" s="1167">
        <f t="shared" si="50"/>
        <v>20.884499999999999</v>
      </c>
    </row>
    <row r="156" spans="1:152" s="350" customFormat="1" ht="15" x14ac:dyDescent="0.25">
      <c r="A156" s="632" t="s">
        <v>9</v>
      </c>
      <c r="B156" s="662">
        <v>42882</v>
      </c>
      <c r="C156" s="1132" t="s">
        <v>904</v>
      </c>
      <c r="D156" s="386">
        <v>0</v>
      </c>
      <c r="E156" s="636">
        <v>0</v>
      </c>
      <c r="F156" s="636">
        <v>63</v>
      </c>
      <c r="G156" s="636">
        <v>1.4</v>
      </c>
      <c r="H156" s="386">
        <v>2.2400000000000002</v>
      </c>
      <c r="I156" s="386">
        <v>14.4</v>
      </c>
      <c r="J156" s="636">
        <v>0</v>
      </c>
      <c r="K156" s="386">
        <v>2.61</v>
      </c>
      <c r="L156" s="610">
        <v>0</v>
      </c>
      <c r="M156" s="386">
        <v>21.4</v>
      </c>
      <c r="N156" s="386">
        <v>1.17</v>
      </c>
      <c r="O156" s="386">
        <v>1.3496910522471908</v>
      </c>
      <c r="P156" s="386">
        <v>1.18</v>
      </c>
      <c r="Q156" s="386">
        <v>0.61485983491104579</v>
      </c>
      <c r="R156" s="732">
        <v>938.73488372093038</v>
      </c>
      <c r="S156" s="386">
        <v>8.14</v>
      </c>
      <c r="T156" s="386">
        <v>8.25</v>
      </c>
      <c r="U156" s="386">
        <v>0.81</v>
      </c>
      <c r="V156" s="739">
        <v>0.73</v>
      </c>
      <c r="W156" s="739">
        <v>48.38000000000001</v>
      </c>
      <c r="X156" s="613">
        <v>48.38000000000001</v>
      </c>
      <c r="Y156" s="367">
        <v>28.8</v>
      </c>
      <c r="Z156" s="636">
        <v>37.85</v>
      </c>
      <c r="AA156" s="636">
        <v>30.97</v>
      </c>
      <c r="AB156" s="636">
        <v>36.9</v>
      </c>
      <c r="AC156" s="1160">
        <f t="shared" si="51"/>
        <v>67.87</v>
      </c>
      <c r="AD156" s="1160">
        <f t="shared" si="52"/>
        <v>104.99489</v>
      </c>
      <c r="AE156" s="1160">
        <f t="shared" si="53"/>
        <v>104.99489</v>
      </c>
      <c r="AF156" s="542"/>
      <c r="AG156" s="1160">
        <f t="shared" si="49"/>
        <v>0</v>
      </c>
      <c r="AH156" s="896"/>
      <c r="AI156" s="351"/>
      <c r="AJ156" s="897"/>
      <c r="AK156" s="388"/>
      <c r="AL156" s="388"/>
      <c r="AM156" s="388"/>
      <c r="AN156" s="388"/>
      <c r="AO156" s="370"/>
      <c r="AP156" s="370"/>
      <c r="AQ156" s="927"/>
      <c r="AR156" s="551">
        <v>0</v>
      </c>
      <c r="AS156" s="386">
        <v>24.1</v>
      </c>
      <c r="AT156" s="386">
        <v>0</v>
      </c>
      <c r="AU156" s="386">
        <v>0</v>
      </c>
      <c r="AV156" s="636">
        <v>772</v>
      </c>
      <c r="AW156" s="636">
        <v>1144.2</v>
      </c>
      <c r="AX156" s="386">
        <v>0</v>
      </c>
      <c r="AY156" s="551">
        <v>0</v>
      </c>
      <c r="AZ156" s="551">
        <v>0</v>
      </c>
      <c r="BA156" s="551">
        <v>0</v>
      </c>
      <c r="BB156" s="975">
        <v>0</v>
      </c>
      <c r="BC156" s="386">
        <v>0.98</v>
      </c>
      <c r="BD156" s="386">
        <v>2.29</v>
      </c>
      <c r="BE156" s="551">
        <v>0</v>
      </c>
      <c r="BF156" s="386">
        <v>1.35</v>
      </c>
      <c r="BG156" s="386">
        <v>0</v>
      </c>
      <c r="BH156" s="551">
        <v>0</v>
      </c>
      <c r="BI156" s="386">
        <v>1.27</v>
      </c>
      <c r="BJ156" s="386">
        <v>31</v>
      </c>
      <c r="BK156" s="386">
        <v>3.81</v>
      </c>
      <c r="BL156" s="386">
        <v>3.71</v>
      </c>
      <c r="BM156" s="386">
        <v>0</v>
      </c>
      <c r="BN156" s="386">
        <v>23.5</v>
      </c>
      <c r="BO156" s="386">
        <v>1723.5</v>
      </c>
      <c r="BP156" s="386">
        <v>1.9</v>
      </c>
      <c r="BQ156" s="1131">
        <v>19.899999999999999</v>
      </c>
      <c r="BR156" s="1131">
        <v>20.6</v>
      </c>
      <c r="BS156" s="615">
        <v>13.5</v>
      </c>
      <c r="BT156" s="615">
        <v>13.6</v>
      </c>
      <c r="BU156" s="614">
        <v>27.9</v>
      </c>
      <c r="BV156" s="614">
        <v>33</v>
      </c>
      <c r="BW156" s="615">
        <v>1011.7</v>
      </c>
      <c r="BX156" s="791"/>
      <c r="BY156" s="615">
        <v>0</v>
      </c>
      <c r="BZ156" s="615">
        <v>1.1599999999999999</v>
      </c>
      <c r="CA156" s="615">
        <v>1.1000000000000001</v>
      </c>
      <c r="CB156" s="615">
        <v>8.4</v>
      </c>
      <c r="CC156" s="615">
        <v>8.4</v>
      </c>
      <c r="CD156" s="615">
        <v>16.5</v>
      </c>
      <c r="CE156" s="615">
        <v>32.9</v>
      </c>
      <c r="CF156" s="615">
        <v>18.5</v>
      </c>
      <c r="CG156" s="615">
        <v>6.9</v>
      </c>
      <c r="CH156" s="615">
        <v>12.3</v>
      </c>
      <c r="CI156" s="615">
        <v>16.8</v>
      </c>
      <c r="CJ156" s="615">
        <v>13.6</v>
      </c>
      <c r="CK156" s="615">
        <v>358.8</v>
      </c>
      <c r="CL156" s="615">
        <v>2.8</v>
      </c>
      <c r="CM156" s="615">
        <v>3.8</v>
      </c>
      <c r="CN156" s="615">
        <v>2041.4</v>
      </c>
      <c r="CO156" s="615">
        <v>833</v>
      </c>
      <c r="CP156" s="615">
        <v>547.1</v>
      </c>
      <c r="CQ156" s="615">
        <v>13.1</v>
      </c>
      <c r="CR156" s="615">
        <v>0.81</v>
      </c>
      <c r="CS156" s="386">
        <v>3521.3</v>
      </c>
      <c r="CT156" s="386">
        <v>16.100999999999999</v>
      </c>
      <c r="CU156" s="386">
        <v>52</v>
      </c>
      <c r="CV156" s="499">
        <v>0</v>
      </c>
      <c r="CW156" s="499">
        <v>0</v>
      </c>
      <c r="CX156" s="499">
        <v>0</v>
      </c>
      <c r="CY156" s="499">
        <v>0</v>
      </c>
      <c r="CZ156" s="643">
        <v>1290</v>
      </c>
      <c r="DA156" s="643">
        <v>1600</v>
      </c>
      <c r="DB156" s="643">
        <v>1170</v>
      </c>
      <c r="DC156" s="609">
        <v>1164.71</v>
      </c>
      <c r="DD156" s="1153">
        <f t="shared" si="54"/>
        <v>0.40000000000009095</v>
      </c>
      <c r="DE156" s="1154">
        <f t="shared" si="55"/>
        <v>15.556821696</v>
      </c>
      <c r="DF156" s="1154">
        <f t="shared" si="56"/>
        <v>1060</v>
      </c>
      <c r="DG156" s="1154">
        <f t="shared" si="57"/>
        <v>1350</v>
      </c>
      <c r="DH156" s="1155" t="str">
        <f t="shared" si="58"/>
        <v>Palm</v>
      </c>
      <c r="DI156" s="1146">
        <f t="shared" si="59"/>
        <v>430</v>
      </c>
      <c r="DJ156" s="1146">
        <f t="shared" si="60"/>
        <v>5.0706720000000001</v>
      </c>
      <c r="DK156" s="1154">
        <f t="shared" si="61"/>
        <v>15.556821696</v>
      </c>
      <c r="DL156" s="615"/>
      <c r="DM156" s="643"/>
      <c r="DN156" s="615"/>
      <c r="DO156" s="499"/>
      <c r="DP156" s="499"/>
      <c r="DQ156" s="499"/>
      <c r="DR156" s="499"/>
      <c r="DS156" s="499"/>
      <c r="DT156" s="499"/>
      <c r="DU156" s="499"/>
      <c r="DV156" s="499"/>
      <c r="DW156" s="499"/>
      <c r="DX156" s="499"/>
      <c r="DY156" s="499"/>
      <c r="DZ156" s="499"/>
      <c r="EA156" s="499"/>
      <c r="EB156" s="499"/>
      <c r="EC156" s="499"/>
      <c r="ED156" s="499"/>
      <c r="EE156" s="499"/>
      <c r="EF156" s="499"/>
      <c r="EG156" s="1146">
        <f t="shared" ref="EG156:EG182" si="62">(SUM(EH156:EK156))</f>
        <v>14</v>
      </c>
      <c r="EH156" s="630">
        <v>0</v>
      </c>
      <c r="EI156" s="642">
        <v>1.5</v>
      </c>
      <c r="EJ156" s="613">
        <v>5</v>
      </c>
      <c r="EK156" s="613">
        <v>7.5</v>
      </c>
      <c r="EL156" s="499"/>
      <c r="EM156" s="499"/>
      <c r="EN156" s="499"/>
      <c r="EO156" s="499"/>
      <c r="EP156" s="499"/>
      <c r="EQ156" s="499"/>
      <c r="ER156" s="499"/>
      <c r="ES156" s="388"/>
      <c r="ET156" s="388"/>
      <c r="EV156" s="1167">
        <f t="shared" si="50"/>
        <v>21.657999999999998</v>
      </c>
    </row>
    <row r="157" spans="1:152" s="350" customFormat="1" ht="15" x14ac:dyDescent="0.25">
      <c r="A157" s="632" t="s">
        <v>3</v>
      </c>
      <c r="B157" s="662">
        <v>42883</v>
      </c>
      <c r="C157" s="1132" t="s">
        <v>904</v>
      </c>
      <c r="D157" s="386">
        <v>0</v>
      </c>
      <c r="E157" s="636">
        <v>0</v>
      </c>
      <c r="F157" s="636">
        <v>59</v>
      </c>
      <c r="G157" s="636">
        <v>1.4</v>
      </c>
      <c r="H157" s="386">
        <v>2.5099999999999998</v>
      </c>
      <c r="I157" s="386">
        <v>12.6</v>
      </c>
      <c r="J157" s="636">
        <v>0</v>
      </c>
      <c r="K157" s="386">
        <v>2.58</v>
      </c>
      <c r="L157" s="610">
        <v>0</v>
      </c>
      <c r="M157" s="386">
        <v>21.5</v>
      </c>
      <c r="N157" s="386">
        <v>1.17</v>
      </c>
      <c r="O157" s="386">
        <v>1.2701605841970871</v>
      </c>
      <c r="P157" s="386">
        <v>1.17</v>
      </c>
      <c r="Q157" s="386">
        <v>0.57547385037684295</v>
      </c>
      <c r="R157" s="732">
        <v>875.73030523255818</v>
      </c>
      <c r="S157" s="386">
        <v>8.1199999999999992</v>
      </c>
      <c r="T157" s="386">
        <v>8.23</v>
      </c>
      <c r="U157" s="386">
        <v>0.83</v>
      </c>
      <c r="V157" s="739">
        <v>0.77</v>
      </c>
      <c r="W157" s="739">
        <v>48.38000000000001</v>
      </c>
      <c r="X157" s="613">
        <v>48.56</v>
      </c>
      <c r="Y157" s="367">
        <v>30.97</v>
      </c>
      <c r="Z157" s="636">
        <v>36.9</v>
      </c>
      <c r="AA157" s="636">
        <v>30.92</v>
      </c>
      <c r="AB157" s="636">
        <v>37.01</v>
      </c>
      <c r="AC157" s="1160">
        <f t="shared" si="51"/>
        <v>67.930000000000007</v>
      </c>
      <c r="AD157" s="1160">
        <f t="shared" si="52"/>
        <v>105.08771</v>
      </c>
      <c r="AE157" s="1160">
        <f t="shared" si="53"/>
        <v>105.08771</v>
      </c>
      <c r="AF157" s="542"/>
      <c r="AG157" s="1160">
        <f t="shared" si="49"/>
        <v>0</v>
      </c>
      <c r="AH157" s="896"/>
      <c r="AI157" s="351"/>
      <c r="AJ157" s="897"/>
      <c r="AK157" s="388"/>
      <c r="AL157" s="388"/>
      <c r="AM157" s="388"/>
      <c r="AN157" s="388"/>
      <c r="AO157" s="370"/>
      <c r="AP157" s="370"/>
      <c r="AQ157" s="927"/>
      <c r="AR157" s="551">
        <v>0</v>
      </c>
      <c r="AS157" s="386">
        <v>17.5</v>
      </c>
      <c r="AT157" s="386">
        <v>0</v>
      </c>
      <c r="AU157" s="386">
        <v>0</v>
      </c>
      <c r="AV157" s="636">
        <v>1155</v>
      </c>
      <c r="AW157" s="636">
        <v>1216.4000000000001</v>
      </c>
      <c r="AX157" s="386">
        <v>0</v>
      </c>
      <c r="AY157" s="551">
        <v>0</v>
      </c>
      <c r="AZ157" s="551">
        <v>0</v>
      </c>
      <c r="BA157" s="551">
        <v>0</v>
      </c>
      <c r="BB157" s="975">
        <v>0</v>
      </c>
      <c r="BC157" s="386">
        <v>1.0900000000000001</v>
      </c>
      <c r="BD157" s="386">
        <v>2.41</v>
      </c>
      <c r="BE157" s="551">
        <v>0</v>
      </c>
      <c r="BF157" s="386">
        <v>1.5</v>
      </c>
      <c r="BG157" s="386">
        <v>0</v>
      </c>
      <c r="BH157" s="551">
        <v>0</v>
      </c>
      <c r="BI157" s="386">
        <v>1.51</v>
      </c>
      <c r="BJ157" s="386">
        <v>30.6</v>
      </c>
      <c r="BK157" s="386">
        <v>4.32</v>
      </c>
      <c r="BL157" s="386">
        <v>3.18</v>
      </c>
      <c r="BM157" s="386">
        <v>0</v>
      </c>
      <c r="BN157" s="386">
        <v>23.1</v>
      </c>
      <c r="BO157" s="386">
        <v>1962.7</v>
      </c>
      <c r="BP157" s="386">
        <v>1.9</v>
      </c>
      <c r="BQ157" s="1131">
        <v>19.899999999999999</v>
      </c>
      <c r="BR157" s="1131">
        <v>20.6</v>
      </c>
      <c r="BS157" s="615">
        <v>13.4</v>
      </c>
      <c r="BT157" s="615">
        <v>13.6</v>
      </c>
      <c r="BU157" s="614">
        <v>27.7</v>
      </c>
      <c r="BV157" s="614">
        <v>33</v>
      </c>
      <c r="BW157" s="615">
        <v>1003.4</v>
      </c>
      <c r="BX157" s="791"/>
      <c r="BY157" s="615">
        <v>0</v>
      </c>
      <c r="BZ157" s="615">
        <v>1.1200000000000001</v>
      </c>
      <c r="CA157" s="615">
        <v>1.1000000000000001</v>
      </c>
      <c r="CB157" s="615">
        <v>8.3000000000000007</v>
      </c>
      <c r="CC157" s="615">
        <v>8.4</v>
      </c>
      <c r="CD157" s="615">
        <v>15.5</v>
      </c>
      <c r="CE157" s="615">
        <v>32.9</v>
      </c>
      <c r="CF157" s="615">
        <v>20</v>
      </c>
      <c r="CG157" s="615">
        <v>6.9</v>
      </c>
      <c r="CH157" s="615">
        <v>12.3</v>
      </c>
      <c r="CI157" s="615">
        <v>16.7</v>
      </c>
      <c r="CJ157" s="615">
        <v>12.9</v>
      </c>
      <c r="CK157" s="615">
        <v>314.60000000000002</v>
      </c>
      <c r="CL157" s="615">
        <v>1.9</v>
      </c>
      <c r="CM157" s="615">
        <v>3.6</v>
      </c>
      <c r="CN157" s="615">
        <v>2042.4</v>
      </c>
      <c r="CO157" s="615">
        <v>889.3</v>
      </c>
      <c r="CP157" s="615">
        <v>542.79999999999995</v>
      </c>
      <c r="CQ157" s="615">
        <v>12.7</v>
      </c>
      <c r="CR157" s="615">
        <v>0.75</v>
      </c>
      <c r="CS157" s="386">
        <v>3508.7</v>
      </c>
      <c r="CT157" s="386">
        <v>15.763999999999999</v>
      </c>
      <c r="CU157" s="386">
        <v>52</v>
      </c>
      <c r="CV157" s="499">
        <v>0</v>
      </c>
      <c r="CW157" s="499">
        <v>0</v>
      </c>
      <c r="CX157" s="499">
        <v>0</v>
      </c>
      <c r="CY157" s="499">
        <v>0</v>
      </c>
      <c r="CZ157" s="643">
        <v>1300</v>
      </c>
      <c r="DA157" s="643">
        <v>1580</v>
      </c>
      <c r="DB157" s="643">
        <v>1170</v>
      </c>
      <c r="DC157" s="609">
        <v>1165.25</v>
      </c>
      <c r="DD157" s="1153">
        <f t="shared" si="54"/>
        <v>0.53999999999996362</v>
      </c>
      <c r="DE157" s="1154">
        <f t="shared" si="55"/>
        <v>15.501155903999999</v>
      </c>
      <c r="DF157" s="1154">
        <f t="shared" si="56"/>
        <v>1060</v>
      </c>
      <c r="DG157" s="1154">
        <f t="shared" si="57"/>
        <v>1330</v>
      </c>
      <c r="DH157" s="1155" t="str">
        <f t="shared" si="58"/>
        <v>Palm</v>
      </c>
      <c r="DI157" s="1146">
        <f t="shared" si="59"/>
        <v>410</v>
      </c>
      <c r="DJ157" s="1146">
        <f t="shared" si="60"/>
        <v>5.0525279999999997</v>
      </c>
      <c r="DK157" s="1154">
        <f t="shared" si="61"/>
        <v>15.501155903999999</v>
      </c>
      <c r="DL157" s="615"/>
      <c r="DM157" s="643"/>
      <c r="DN157" s="615"/>
      <c r="DO157" s="499"/>
      <c r="DP157" s="499"/>
      <c r="DQ157" s="499"/>
      <c r="DR157" s="499"/>
      <c r="DS157" s="499"/>
      <c r="DT157" s="499"/>
      <c r="DU157" s="499"/>
      <c r="DV157" s="499"/>
      <c r="DW157" s="499"/>
      <c r="DX157" s="499"/>
      <c r="DY157" s="499"/>
      <c r="DZ157" s="499"/>
      <c r="EA157" s="499"/>
      <c r="EB157" s="499"/>
      <c r="EC157" s="499"/>
      <c r="ED157" s="499"/>
      <c r="EE157" s="499"/>
      <c r="EF157" s="499"/>
      <c r="EG157" s="1146">
        <f t="shared" si="62"/>
        <v>14</v>
      </c>
      <c r="EH157" s="630">
        <v>0</v>
      </c>
      <c r="EI157" s="642">
        <v>1.5</v>
      </c>
      <c r="EJ157" s="613">
        <v>5</v>
      </c>
      <c r="EK157" s="613">
        <v>7.5</v>
      </c>
      <c r="EL157" s="499"/>
      <c r="EM157" s="499"/>
      <c r="EN157" s="499"/>
      <c r="EO157" s="499"/>
      <c r="EP157" s="499"/>
      <c r="EQ157" s="499"/>
      <c r="ER157" s="499"/>
      <c r="ES157" s="388"/>
      <c r="ET157" s="388"/>
      <c r="EV157" s="1167">
        <f t="shared" si="50"/>
        <v>21.657999999999998</v>
      </c>
    </row>
    <row r="158" spans="1:152" s="350" customFormat="1" ht="15" x14ac:dyDescent="0.25">
      <c r="A158" s="632" t="s">
        <v>4</v>
      </c>
      <c r="B158" s="662">
        <v>42884</v>
      </c>
      <c r="C158" s="1132" t="s">
        <v>904</v>
      </c>
      <c r="D158" s="386">
        <v>0</v>
      </c>
      <c r="E158" s="636">
        <v>0</v>
      </c>
      <c r="F158" s="636">
        <v>56</v>
      </c>
      <c r="G158" s="636">
        <v>1.35</v>
      </c>
      <c r="H158" s="386">
        <v>2.4700000000000002</v>
      </c>
      <c r="I158" s="386">
        <v>13.7</v>
      </c>
      <c r="J158" s="636">
        <v>0</v>
      </c>
      <c r="K158" s="386">
        <v>1.98</v>
      </c>
      <c r="L158" s="610">
        <v>0</v>
      </c>
      <c r="M158" s="386">
        <v>21.4</v>
      </c>
      <c r="N158" s="386">
        <v>1.19</v>
      </c>
      <c r="O158" s="386">
        <v>1.3056372719679201</v>
      </c>
      <c r="P158" s="386">
        <v>1.18</v>
      </c>
      <c r="Q158" s="386">
        <v>0.59663820958236302</v>
      </c>
      <c r="R158" s="732">
        <v>907.06591569767454</v>
      </c>
      <c r="S158" s="386">
        <v>8.11</v>
      </c>
      <c r="T158" s="386">
        <v>8.1999999999999993</v>
      </c>
      <c r="U158" s="386">
        <v>0.8</v>
      </c>
      <c r="V158" s="739">
        <v>0.74</v>
      </c>
      <c r="W158" s="739">
        <v>48.92</v>
      </c>
      <c r="X158" s="613">
        <v>48.92</v>
      </c>
      <c r="Y158" s="367">
        <v>30.92</v>
      </c>
      <c r="Z158" s="636">
        <v>36.799999999999997</v>
      </c>
      <c r="AA158" s="636">
        <v>31.02</v>
      </c>
      <c r="AB158" s="636">
        <v>36.93</v>
      </c>
      <c r="AC158" s="1160">
        <f t="shared" si="51"/>
        <v>67.95</v>
      </c>
      <c r="AD158" s="1160">
        <f t="shared" si="52"/>
        <v>105.11865</v>
      </c>
      <c r="AE158" s="1160">
        <f t="shared" si="53"/>
        <v>105.11865</v>
      </c>
      <c r="AF158" s="542"/>
      <c r="AG158" s="1160">
        <f t="shared" si="49"/>
        <v>0</v>
      </c>
      <c r="AH158" s="896"/>
      <c r="AI158" s="351"/>
      <c r="AJ158" s="897"/>
      <c r="AK158" s="388"/>
      <c r="AL158" s="388"/>
      <c r="AM158" s="388"/>
      <c r="AN158" s="388"/>
      <c r="AO158" s="370"/>
      <c r="AP158" s="370"/>
      <c r="AQ158" s="927"/>
      <c r="AR158" s="551">
        <v>0</v>
      </c>
      <c r="AS158" s="386">
        <v>24.3</v>
      </c>
      <c r="AT158" s="386">
        <v>0</v>
      </c>
      <c r="AU158" s="386">
        <v>0</v>
      </c>
      <c r="AV158" s="636">
        <v>654.70000000000005</v>
      </c>
      <c r="AW158" s="636">
        <v>1082</v>
      </c>
      <c r="AX158" s="386">
        <v>0</v>
      </c>
      <c r="AY158" s="551">
        <v>0</v>
      </c>
      <c r="AZ158" s="551">
        <v>0</v>
      </c>
      <c r="BA158" s="551">
        <v>0</v>
      </c>
      <c r="BB158" s="975">
        <v>0</v>
      </c>
      <c r="BC158" s="386">
        <v>1.1000000000000001</v>
      </c>
      <c r="BD158" s="386">
        <v>2.4</v>
      </c>
      <c r="BE158" s="551">
        <v>0</v>
      </c>
      <c r="BF158" s="386">
        <v>1.5</v>
      </c>
      <c r="BG158" s="386">
        <v>0</v>
      </c>
      <c r="BH158" s="551">
        <v>0</v>
      </c>
      <c r="BI158" s="386">
        <v>1.51</v>
      </c>
      <c r="BJ158" s="386">
        <v>30.5</v>
      </c>
      <c r="BK158" s="386">
        <v>4.41</v>
      </c>
      <c r="BL158" s="386">
        <v>3.03</v>
      </c>
      <c r="BM158" s="386">
        <v>0</v>
      </c>
      <c r="BN158" s="386">
        <v>23.1</v>
      </c>
      <c r="BO158" s="386">
        <v>2087.5</v>
      </c>
      <c r="BP158" s="386">
        <v>2</v>
      </c>
      <c r="BQ158" s="1131">
        <v>19.600000000000001</v>
      </c>
      <c r="BR158" s="1131">
        <v>20.3</v>
      </c>
      <c r="BS158" s="615">
        <v>13.7</v>
      </c>
      <c r="BT158" s="615">
        <v>13.8</v>
      </c>
      <c r="BU158" s="614">
        <v>28.2</v>
      </c>
      <c r="BV158" s="614">
        <v>34.5</v>
      </c>
      <c r="BW158" s="615">
        <v>1049.5999999999999</v>
      </c>
      <c r="BX158" s="791"/>
      <c r="BY158" s="615">
        <v>0</v>
      </c>
      <c r="BZ158" s="615">
        <v>1.1299999999999999</v>
      </c>
      <c r="CA158" s="615">
        <v>1.1000000000000001</v>
      </c>
      <c r="CB158" s="615">
        <v>8.3000000000000007</v>
      </c>
      <c r="CC158" s="615">
        <v>8.4</v>
      </c>
      <c r="CD158" s="615">
        <v>15.1</v>
      </c>
      <c r="CE158" s="615">
        <v>32.9</v>
      </c>
      <c r="CF158" s="615">
        <v>20.3</v>
      </c>
      <c r="CG158" s="615">
        <v>7.5</v>
      </c>
      <c r="CH158" s="615">
        <v>13.1</v>
      </c>
      <c r="CI158" s="615">
        <v>17</v>
      </c>
      <c r="CJ158" s="615">
        <v>12.5</v>
      </c>
      <c r="CK158" s="615">
        <v>338.5</v>
      </c>
      <c r="CL158" s="615">
        <v>2</v>
      </c>
      <c r="CM158" s="615">
        <v>3.2</v>
      </c>
      <c r="CN158" s="615">
        <v>2060.4</v>
      </c>
      <c r="CO158" s="615">
        <v>931.7</v>
      </c>
      <c r="CP158" s="615">
        <v>570.29999999999995</v>
      </c>
      <c r="CQ158" s="615">
        <v>13.1</v>
      </c>
      <c r="CR158" s="615">
        <v>0.78</v>
      </c>
      <c r="CS158" s="386">
        <v>3495.5</v>
      </c>
      <c r="CT158" s="386">
        <v>15.824</v>
      </c>
      <c r="CU158" s="386">
        <v>52</v>
      </c>
      <c r="CV158" s="499">
        <v>0</v>
      </c>
      <c r="CW158" s="499">
        <v>0</v>
      </c>
      <c r="CX158" s="499">
        <v>0</v>
      </c>
      <c r="CY158" s="499">
        <v>0</v>
      </c>
      <c r="CZ158" s="643">
        <v>1305</v>
      </c>
      <c r="DA158" s="643">
        <v>1568</v>
      </c>
      <c r="DB158" s="643">
        <v>1170</v>
      </c>
      <c r="DC158" s="609">
        <v>1165.93</v>
      </c>
      <c r="DD158" s="1153">
        <f t="shared" si="54"/>
        <v>0.68000000000006366</v>
      </c>
      <c r="DE158" s="1154">
        <f t="shared" si="55"/>
        <v>15.442839360000001</v>
      </c>
      <c r="DF158" s="1154">
        <f t="shared" si="56"/>
        <v>1060</v>
      </c>
      <c r="DG158" s="1154">
        <f t="shared" si="57"/>
        <v>1318</v>
      </c>
      <c r="DH158" s="1155" t="str">
        <f t="shared" si="58"/>
        <v>Palm</v>
      </c>
      <c r="DI158" s="1146">
        <f t="shared" si="59"/>
        <v>398</v>
      </c>
      <c r="DJ158" s="1146">
        <f t="shared" si="60"/>
        <v>5.0335200000000002</v>
      </c>
      <c r="DK158" s="1154">
        <f t="shared" si="61"/>
        <v>15.442839360000001</v>
      </c>
      <c r="DL158" s="615"/>
      <c r="DM158" s="643"/>
      <c r="DN158" s="615"/>
      <c r="DO158" s="499"/>
      <c r="DP158" s="499"/>
      <c r="DQ158" s="499"/>
      <c r="DR158" s="499"/>
      <c r="DS158" s="499"/>
      <c r="DT158" s="499"/>
      <c r="DU158" s="499"/>
      <c r="DV158" s="499"/>
      <c r="DW158" s="499"/>
      <c r="DX158" s="499"/>
      <c r="DY158" s="499"/>
      <c r="DZ158" s="499"/>
      <c r="EA158" s="499"/>
      <c r="EB158" s="499"/>
      <c r="EC158" s="499"/>
      <c r="ED158" s="499"/>
      <c r="EE158" s="499"/>
      <c r="EF158" s="499"/>
      <c r="EG158" s="1146">
        <f t="shared" si="62"/>
        <v>14</v>
      </c>
      <c r="EH158" s="630">
        <v>0</v>
      </c>
      <c r="EI158" s="642">
        <v>1.5</v>
      </c>
      <c r="EJ158" s="613">
        <v>5</v>
      </c>
      <c r="EK158" s="613">
        <v>7.5</v>
      </c>
      <c r="EL158" s="499"/>
      <c r="EM158" s="499"/>
      <c r="EN158" s="499"/>
      <c r="EO158" s="499"/>
      <c r="EP158" s="499"/>
      <c r="EQ158" s="499"/>
      <c r="ER158" s="499"/>
      <c r="ES158" s="388"/>
      <c r="ET158" s="388"/>
      <c r="EV158" s="1167">
        <f t="shared" si="50"/>
        <v>21.657999999999998</v>
      </c>
    </row>
    <row r="159" spans="1:152" s="350" customFormat="1" ht="15" x14ac:dyDescent="0.25">
      <c r="A159" s="632" t="s">
        <v>5</v>
      </c>
      <c r="B159" s="662">
        <v>42885</v>
      </c>
      <c r="C159" s="1132" t="s">
        <v>904</v>
      </c>
      <c r="D159" s="386">
        <v>0.09</v>
      </c>
      <c r="E159" s="636">
        <v>0</v>
      </c>
      <c r="F159" s="636">
        <v>51</v>
      </c>
      <c r="G159" s="636">
        <v>1.5</v>
      </c>
      <c r="H159" s="386">
        <v>2.25</v>
      </c>
      <c r="I159" s="386">
        <v>13.3</v>
      </c>
      <c r="J159" s="636">
        <v>0</v>
      </c>
      <c r="K159" s="386">
        <v>1.94</v>
      </c>
      <c r="L159" s="610">
        <v>0</v>
      </c>
      <c r="M159" s="386">
        <v>21.3</v>
      </c>
      <c r="N159" s="386">
        <v>1.2</v>
      </c>
      <c r="O159" s="386">
        <v>1.3051857433300624</v>
      </c>
      <c r="P159" s="386">
        <v>1.21</v>
      </c>
      <c r="Q159" s="386">
        <v>0.59478585227653191</v>
      </c>
      <c r="R159" s="732">
        <v>881.39738372093018</v>
      </c>
      <c r="S159" s="386">
        <v>7.99</v>
      </c>
      <c r="T159" s="386">
        <v>8.0500000000000007</v>
      </c>
      <c r="U159" s="386">
        <v>0.77</v>
      </c>
      <c r="V159" s="739">
        <v>0.73</v>
      </c>
      <c r="W159" s="739">
        <v>48.92</v>
      </c>
      <c r="X159" s="613">
        <v>48.92</v>
      </c>
      <c r="Y159" s="367">
        <v>31.02</v>
      </c>
      <c r="Z159" s="636">
        <v>36.93</v>
      </c>
      <c r="AA159" s="636">
        <v>30.97</v>
      </c>
      <c r="AB159" s="636">
        <v>35.49</v>
      </c>
      <c r="AC159" s="1160">
        <f t="shared" si="51"/>
        <v>66.460000000000008</v>
      </c>
      <c r="AD159" s="1160">
        <f t="shared" si="52"/>
        <v>102.81362000000001</v>
      </c>
      <c r="AE159" s="1160">
        <f t="shared" si="53"/>
        <v>102.81362000000001</v>
      </c>
      <c r="AF159" s="542"/>
      <c r="AG159" s="1160">
        <f t="shared" si="49"/>
        <v>0</v>
      </c>
      <c r="AH159" s="896"/>
      <c r="AI159" s="351"/>
      <c r="AJ159" s="897"/>
      <c r="AK159" s="388"/>
      <c r="AL159" s="388"/>
      <c r="AM159" s="388"/>
      <c r="AN159" s="388"/>
      <c r="AO159" s="370"/>
      <c r="AP159" s="370"/>
      <c r="AQ159" s="927"/>
      <c r="AR159" s="551">
        <v>0</v>
      </c>
      <c r="AS159" s="386">
        <v>17.899999999999999</v>
      </c>
      <c r="AT159" s="386">
        <v>0</v>
      </c>
      <c r="AU159" s="386">
        <v>0</v>
      </c>
      <c r="AV159" s="636">
        <v>693.5</v>
      </c>
      <c r="AW159" s="636">
        <v>920.7</v>
      </c>
      <c r="AX159" s="386">
        <v>0</v>
      </c>
      <c r="AY159" s="551">
        <v>0</v>
      </c>
      <c r="AZ159" s="551">
        <v>0</v>
      </c>
      <c r="BA159" s="551">
        <v>0</v>
      </c>
      <c r="BB159" s="975">
        <v>0</v>
      </c>
      <c r="BC159" s="386">
        <v>0.92</v>
      </c>
      <c r="BD159" s="386">
        <v>2.25</v>
      </c>
      <c r="BE159" s="551">
        <v>0</v>
      </c>
      <c r="BF159" s="386">
        <v>1.5</v>
      </c>
      <c r="BG159" s="386">
        <v>0</v>
      </c>
      <c r="BH159" s="551">
        <v>0</v>
      </c>
      <c r="BI159" s="386">
        <v>1.51</v>
      </c>
      <c r="BJ159" s="386">
        <v>29.4</v>
      </c>
      <c r="BK159" s="386">
        <v>3.37</v>
      </c>
      <c r="BL159" s="386">
        <v>4.17</v>
      </c>
      <c r="BM159" s="386">
        <v>0</v>
      </c>
      <c r="BN159" s="386">
        <v>21.9</v>
      </c>
      <c r="BO159" s="386">
        <v>1770.2</v>
      </c>
      <c r="BP159" s="386">
        <v>12.2</v>
      </c>
      <c r="BQ159" s="1131">
        <v>21</v>
      </c>
      <c r="BR159" s="1131">
        <v>21.7</v>
      </c>
      <c r="BS159" s="615">
        <v>13.9</v>
      </c>
      <c r="BT159" s="615">
        <v>14</v>
      </c>
      <c r="BU159" s="614">
        <v>28.5</v>
      </c>
      <c r="BV159" s="614">
        <v>29.5</v>
      </c>
      <c r="BW159" s="615">
        <v>818.7</v>
      </c>
      <c r="BX159" s="791"/>
      <c r="BY159" s="615">
        <v>0</v>
      </c>
      <c r="BZ159" s="615">
        <v>1.1499999999999999</v>
      </c>
      <c r="CA159" s="615">
        <v>1.1000000000000001</v>
      </c>
      <c r="CB159" s="615">
        <v>8.1999999999999993</v>
      </c>
      <c r="CC159" s="615">
        <v>8.3000000000000007</v>
      </c>
      <c r="CD159" s="615">
        <v>14.7</v>
      </c>
      <c r="CE159" s="615">
        <v>33.1</v>
      </c>
      <c r="CF159" s="615">
        <v>19</v>
      </c>
      <c r="CG159" s="615">
        <v>8.5</v>
      </c>
      <c r="CH159" s="615">
        <v>14.1</v>
      </c>
      <c r="CI159" s="615">
        <v>18.5</v>
      </c>
      <c r="CJ159" s="615">
        <v>12.2</v>
      </c>
      <c r="CK159" s="615">
        <v>354.4</v>
      </c>
      <c r="CL159" s="615">
        <v>2.2000000000000002</v>
      </c>
      <c r="CM159" s="615">
        <v>3.5</v>
      </c>
      <c r="CN159" s="615">
        <v>1540.3</v>
      </c>
      <c r="CO159" s="615">
        <v>736.9</v>
      </c>
      <c r="CP159" s="615">
        <v>563.9</v>
      </c>
      <c r="CQ159" s="615">
        <v>13.3</v>
      </c>
      <c r="CR159" s="615">
        <v>0.72</v>
      </c>
      <c r="CS159" s="614">
        <v>3485.8</v>
      </c>
      <c r="CT159" s="386">
        <v>15.863</v>
      </c>
      <c r="CU159" s="386">
        <v>52</v>
      </c>
      <c r="CV159" s="734">
        <v>0</v>
      </c>
      <c r="CW159" s="734">
        <v>0</v>
      </c>
      <c r="CX159" s="734">
        <v>0</v>
      </c>
      <c r="CY159" s="734">
        <v>0</v>
      </c>
      <c r="CZ159" s="643">
        <v>1489</v>
      </c>
      <c r="DA159" s="643">
        <v>1737</v>
      </c>
      <c r="DB159" s="643">
        <v>1360</v>
      </c>
      <c r="DC159" s="609">
        <v>1166.4000000000001</v>
      </c>
      <c r="DD159" s="1153">
        <f t="shared" si="54"/>
        <v>0.47000000000002728</v>
      </c>
      <c r="DE159" s="1154">
        <f t="shared" si="55"/>
        <v>15.399985536000001</v>
      </c>
      <c r="DF159" s="1154">
        <f t="shared" si="56"/>
        <v>1250</v>
      </c>
      <c r="DG159" s="1154">
        <f t="shared" si="57"/>
        <v>1487</v>
      </c>
      <c r="DH159" s="1155" t="str">
        <f t="shared" si="58"/>
        <v>Palm</v>
      </c>
      <c r="DI159" s="1146">
        <f t="shared" si="59"/>
        <v>377</v>
      </c>
      <c r="DJ159" s="1146">
        <f t="shared" si="60"/>
        <v>5.019552</v>
      </c>
      <c r="DK159" s="1154">
        <f t="shared" si="61"/>
        <v>15.399985536000001</v>
      </c>
      <c r="DL159" s="615"/>
      <c r="DM159" s="643"/>
      <c r="DN159" s="615"/>
      <c r="DO159" s="499"/>
      <c r="DP159" s="499"/>
      <c r="DQ159" s="499"/>
      <c r="DR159" s="499"/>
      <c r="DS159" s="499"/>
      <c r="DT159" s="499"/>
      <c r="DU159" s="499"/>
      <c r="DV159" s="499"/>
      <c r="DW159" s="499"/>
      <c r="DX159" s="499"/>
      <c r="DY159" s="499"/>
      <c r="DZ159" s="499"/>
      <c r="EA159" s="499"/>
      <c r="EB159" s="499"/>
      <c r="EC159" s="499"/>
      <c r="ED159" s="499"/>
      <c r="EE159" s="499"/>
      <c r="EF159" s="499"/>
      <c r="EG159" s="1146">
        <f t="shared" si="62"/>
        <v>13.5</v>
      </c>
      <c r="EH159" s="630">
        <v>0</v>
      </c>
      <c r="EI159" s="642">
        <v>1.5</v>
      </c>
      <c r="EJ159" s="613">
        <v>4.5</v>
      </c>
      <c r="EK159" s="613">
        <v>7.5</v>
      </c>
      <c r="EL159" s="499"/>
      <c r="EM159" s="499"/>
      <c r="EN159" s="499"/>
      <c r="EO159" s="499"/>
      <c r="EP159" s="499"/>
      <c r="EQ159" s="499"/>
      <c r="ER159" s="499"/>
      <c r="ES159" s="388"/>
      <c r="ET159" s="388"/>
      <c r="EV159" s="1167">
        <f t="shared" si="50"/>
        <v>20.884499999999999</v>
      </c>
    </row>
    <row r="160" spans="1:152" s="350" customFormat="1" ht="15" x14ac:dyDescent="0.25">
      <c r="A160" s="632" t="s">
        <v>6</v>
      </c>
      <c r="B160" s="662">
        <v>42886</v>
      </c>
      <c r="C160" s="1132" t="s">
        <v>904</v>
      </c>
      <c r="D160" s="386">
        <v>0.03</v>
      </c>
      <c r="E160" s="636">
        <v>0</v>
      </c>
      <c r="F160" s="636">
        <v>55</v>
      </c>
      <c r="G160" s="636">
        <v>1.45</v>
      </c>
      <c r="H160" s="386">
        <v>2.2400000000000002</v>
      </c>
      <c r="I160" s="386">
        <v>12.5</v>
      </c>
      <c r="J160" s="386">
        <v>0</v>
      </c>
      <c r="K160" s="386">
        <v>1.95</v>
      </c>
      <c r="L160" s="610">
        <v>0</v>
      </c>
      <c r="M160" s="386">
        <v>21.1</v>
      </c>
      <c r="N160" s="386">
        <v>1.2</v>
      </c>
      <c r="O160" s="386">
        <v>1.3145144838841902</v>
      </c>
      <c r="P160" s="386">
        <v>1.2</v>
      </c>
      <c r="Q160" s="386">
        <v>0.58575449018277814</v>
      </c>
      <c r="R160" s="732">
        <v>844.72805232558142</v>
      </c>
      <c r="S160" s="386">
        <v>8.08</v>
      </c>
      <c r="T160" s="386">
        <v>8.15</v>
      </c>
      <c r="U160" s="386">
        <v>0.78</v>
      </c>
      <c r="V160" s="739">
        <v>0.64</v>
      </c>
      <c r="W160" s="739">
        <v>48.92</v>
      </c>
      <c r="X160" s="613">
        <v>48.92</v>
      </c>
      <c r="Y160" s="367">
        <v>30.97</v>
      </c>
      <c r="Z160" s="636">
        <v>35.49</v>
      </c>
      <c r="AA160" s="636">
        <v>30.97</v>
      </c>
      <c r="AB160" s="636">
        <v>33</v>
      </c>
      <c r="AC160" s="1160">
        <f t="shared" si="51"/>
        <v>63.97</v>
      </c>
      <c r="AD160" s="1160">
        <f t="shared" si="52"/>
        <v>98.961589999999987</v>
      </c>
      <c r="AE160" s="1160">
        <f t="shared" si="53"/>
        <v>98.961589999999987</v>
      </c>
      <c r="AF160" s="542"/>
      <c r="AG160" s="1160">
        <f t="shared" si="49"/>
        <v>0</v>
      </c>
      <c r="AH160" s="896"/>
      <c r="AI160" s="351"/>
      <c r="AJ160" s="897"/>
      <c r="AK160" s="388"/>
      <c r="AL160" s="388"/>
      <c r="AM160" s="388"/>
      <c r="AN160" s="388"/>
      <c r="AO160" s="370"/>
      <c r="AP160" s="370"/>
      <c r="AQ160" s="927"/>
      <c r="AR160" s="551">
        <v>0</v>
      </c>
      <c r="AS160" s="386">
        <v>17.7</v>
      </c>
      <c r="AT160" s="386">
        <v>0</v>
      </c>
      <c r="AU160" s="386">
        <v>0</v>
      </c>
      <c r="AV160" s="636">
        <v>851.6</v>
      </c>
      <c r="AW160" s="636">
        <v>1447.6</v>
      </c>
      <c r="AX160" s="386">
        <v>0</v>
      </c>
      <c r="AY160" s="551">
        <v>0</v>
      </c>
      <c r="AZ160" s="551">
        <v>0</v>
      </c>
      <c r="BA160" s="551">
        <v>0</v>
      </c>
      <c r="BB160" s="975">
        <v>0</v>
      </c>
      <c r="BC160" s="386">
        <v>0.84</v>
      </c>
      <c r="BD160" s="386">
        <v>2.16</v>
      </c>
      <c r="BE160" s="551">
        <v>0</v>
      </c>
      <c r="BF160" s="386">
        <v>1.5</v>
      </c>
      <c r="BG160" s="386">
        <v>0</v>
      </c>
      <c r="BH160" s="551">
        <v>0</v>
      </c>
      <c r="BI160" s="386">
        <v>1.51</v>
      </c>
      <c r="BJ160" s="386">
        <v>27.1</v>
      </c>
      <c r="BK160" s="386">
        <v>3.3</v>
      </c>
      <c r="BL160" s="386">
        <v>4.5</v>
      </c>
      <c r="BM160" s="386">
        <v>0</v>
      </c>
      <c r="BN160" s="386">
        <v>19.3</v>
      </c>
      <c r="BO160" s="386">
        <v>1362.3</v>
      </c>
      <c r="BP160" s="386">
        <v>2</v>
      </c>
      <c r="BQ160" s="1131">
        <v>19.5</v>
      </c>
      <c r="BR160" s="1131">
        <v>20.2</v>
      </c>
      <c r="BS160" s="615">
        <v>13.5</v>
      </c>
      <c r="BT160" s="615">
        <v>13.6</v>
      </c>
      <c r="BU160" s="614">
        <v>27.9</v>
      </c>
      <c r="BV160" s="614">
        <v>37.700000000000003</v>
      </c>
      <c r="BW160" s="615">
        <v>804.4</v>
      </c>
      <c r="BX160" s="791"/>
      <c r="BY160" s="615">
        <v>0</v>
      </c>
      <c r="BZ160" s="615">
        <v>1.19</v>
      </c>
      <c r="CA160" s="615">
        <v>1.1000000000000001</v>
      </c>
      <c r="CB160" s="615">
        <v>8.1999999999999993</v>
      </c>
      <c r="CC160" s="615">
        <v>8.3000000000000007</v>
      </c>
      <c r="CD160" s="615">
        <v>14.7</v>
      </c>
      <c r="CE160" s="615">
        <v>33</v>
      </c>
      <c r="CF160" s="615">
        <v>20.7</v>
      </c>
      <c r="CG160" s="615">
        <v>7.4</v>
      </c>
      <c r="CH160" s="615">
        <v>12.8</v>
      </c>
      <c r="CI160" s="615">
        <v>17.100000000000001</v>
      </c>
      <c r="CJ160" s="615">
        <v>12.3</v>
      </c>
      <c r="CK160" s="615">
        <v>385.5</v>
      </c>
      <c r="CL160" s="615">
        <v>2.7</v>
      </c>
      <c r="CM160" s="615">
        <v>4.3</v>
      </c>
      <c r="CN160" s="615">
        <v>1787.8</v>
      </c>
      <c r="CO160" s="615">
        <v>826.6</v>
      </c>
      <c r="CP160" s="615">
        <v>651.79999999999995</v>
      </c>
      <c r="CQ160" s="615">
        <v>13.9</v>
      </c>
      <c r="CR160" s="615">
        <v>0.86</v>
      </c>
      <c r="CS160" s="614">
        <v>3466.8</v>
      </c>
      <c r="CT160" s="386">
        <v>16.411999999999999</v>
      </c>
      <c r="CU160" s="386">
        <v>52</v>
      </c>
      <c r="CV160" s="499">
        <v>0</v>
      </c>
      <c r="CW160" s="499">
        <v>0</v>
      </c>
      <c r="CX160" s="499">
        <v>0</v>
      </c>
      <c r="CY160" s="499">
        <v>0</v>
      </c>
      <c r="CZ160" s="643">
        <v>1367</v>
      </c>
      <c r="DA160" s="643">
        <v>1659</v>
      </c>
      <c r="DB160" s="643">
        <v>1240</v>
      </c>
      <c r="DC160" s="609">
        <v>1166.44</v>
      </c>
      <c r="DD160" s="1153">
        <f t="shared" si="54"/>
        <v>3.999999999996362E-2</v>
      </c>
      <c r="DE160" s="1154">
        <f t="shared" si="55"/>
        <v>15.316045056</v>
      </c>
      <c r="DF160" s="1154">
        <f t="shared" si="56"/>
        <v>1130</v>
      </c>
      <c r="DG160" s="1154">
        <f t="shared" si="57"/>
        <v>1409</v>
      </c>
      <c r="DH160" s="1155" t="str">
        <f t="shared" si="58"/>
        <v>Palm</v>
      </c>
      <c r="DI160" s="1146">
        <f t="shared" si="59"/>
        <v>419</v>
      </c>
      <c r="DJ160" s="1146">
        <f t="shared" si="60"/>
        <v>4.9921920000000002</v>
      </c>
      <c r="DK160" s="1154">
        <f t="shared" si="61"/>
        <v>15.316045056</v>
      </c>
      <c r="DL160" s="615"/>
      <c r="DM160" s="643"/>
      <c r="DN160" s="615"/>
      <c r="DO160" s="499"/>
      <c r="DP160" s="499"/>
      <c r="DQ160" s="499"/>
      <c r="DR160" s="499"/>
      <c r="DS160" s="499"/>
      <c r="DT160" s="499"/>
      <c r="DU160" s="499"/>
      <c r="DV160" s="499"/>
      <c r="DW160" s="499"/>
      <c r="DX160" s="499"/>
      <c r="DY160" s="499"/>
      <c r="DZ160" s="499"/>
      <c r="EA160" s="499"/>
      <c r="EB160" s="499"/>
      <c r="EC160" s="499"/>
      <c r="ED160" s="499"/>
      <c r="EE160" s="499"/>
      <c r="EF160" s="499"/>
      <c r="EG160" s="1146">
        <f t="shared" si="62"/>
        <v>13.5</v>
      </c>
      <c r="EH160" s="630">
        <v>0</v>
      </c>
      <c r="EI160" s="642">
        <v>1.5</v>
      </c>
      <c r="EJ160" s="613">
        <v>4.5</v>
      </c>
      <c r="EK160" s="613">
        <v>7.5</v>
      </c>
      <c r="EL160" s="499"/>
      <c r="EM160" s="499"/>
      <c r="EN160" s="499"/>
      <c r="EO160" s="499"/>
      <c r="EP160" s="499"/>
      <c r="EQ160" s="499"/>
      <c r="ER160" s="499"/>
      <c r="ES160" s="388"/>
      <c r="ET160" s="388"/>
      <c r="EV160" s="1167">
        <f t="shared" si="50"/>
        <v>20.884499999999999</v>
      </c>
    </row>
    <row r="161" spans="1:153" s="350" customFormat="1" ht="15" x14ac:dyDescent="0.25">
      <c r="A161" s="632" t="s">
        <v>7</v>
      </c>
      <c r="B161" s="662">
        <v>42887</v>
      </c>
      <c r="C161" s="1132" t="s">
        <v>904</v>
      </c>
      <c r="D161" s="386">
        <v>0.75</v>
      </c>
      <c r="E161" s="636">
        <v>0</v>
      </c>
      <c r="F161" s="636">
        <v>52</v>
      </c>
      <c r="G161" s="636">
        <v>1.4</v>
      </c>
      <c r="H161" s="386">
        <v>2.0699999999999998</v>
      </c>
      <c r="I161" s="386">
        <v>13.8</v>
      </c>
      <c r="J161" s="386">
        <v>0</v>
      </c>
      <c r="K161" s="386">
        <v>1.93</v>
      </c>
      <c r="L161" s="610">
        <v>0</v>
      </c>
      <c r="M161" s="386">
        <v>20.6</v>
      </c>
      <c r="N161" s="386">
        <v>1.22</v>
      </c>
      <c r="O161" s="386">
        <v>1.3219743439298428</v>
      </c>
      <c r="P161" s="386">
        <v>1.2</v>
      </c>
      <c r="Q161" s="386">
        <v>0.60055383470743096</v>
      </c>
      <c r="R161" s="732">
        <v>895.39840116279083</v>
      </c>
      <c r="S161" s="386">
        <v>8.0399999999999991</v>
      </c>
      <c r="T161" s="386">
        <v>8.1300000000000008</v>
      </c>
      <c r="U161" s="386">
        <v>0.78</v>
      </c>
      <c r="V161" s="739">
        <v>0.66</v>
      </c>
      <c r="W161" s="739">
        <v>49.819999999999993</v>
      </c>
      <c r="X161" s="613">
        <v>50</v>
      </c>
      <c r="Y161" s="367">
        <v>30.97</v>
      </c>
      <c r="Z161" s="636">
        <v>32.81</v>
      </c>
      <c r="AA161" s="636">
        <v>30.95</v>
      </c>
      <c r="AB161" s="636">
        <v>35.799999999999997</v>
      </c>
      <c r="AC161" s="1160">
        <f t="shared" si="51"/>
        <v>66.75</v>
      </c>
      <c r="AD161" s="1160">
        <f t="shared" si="52"/>
        <v>103.26224999999999</v>
      </c>
      <c r="AE161" s="1160">
        <f t="shared" si="53"/>
        <v>103.26224999999999</v>
      </c>
      <c r="AF161" s="542"/>
      <c r="AG161" s="1160">
        <f t="shared" si="49"/>
        <v>0</v>
      </c>
      <c r="AH161" s="896"/>
      <c r="AI161" s="351"/>
      <c r="AJ161" s="897"/>
      <c r="AK161" s="388"/>
      <c r="AL161" s="388"/>
      <c r="AM161" s="388"/>
      <c r="AN161" s="388"/>
      <c r="AO161" s="370"/>
      <c r="AP161" s="370"/>
      <c r="AQ161" s="927"/>
      <c r="AR161" s="551">
        <v>0</v>
      </c>
      <c r="AS161" s="386">
        <v>15.3</v>
      </c>
      <c r="AT161" s="386">
        <v>0</v>
      </c>
      <c r="AU161" s="386">
        <v>0</v>
      </c>
      <c r="AV161" s="636">
        <v>523.6</v>
      </c>
      <c r="AW161" s="636">
        <v>912.9</v>
      </c>
      <c r="AX161" s="386">
        <v>0</v>
      </c>
      <c r="AY161" s="551">
        <v>0</v>
      </c>
      <c r="AZ161" s="551">
        <v>0</v>
      </c>
      <c r="BA161" s="551">
        <v>0</v>
      </c>
      <c r="BB161" s="975">
        <v>0</v>
      </c>
      <c r="BC161" s="386">
        <v>0.83</v>
      </c>
      <c r="BD161" s="386">
        <v>2.16</v>
      </c>
      <c r="BE161" s="551">
        <v>0</v>
      </c>
      <c r="BF161" s="386">
        <v>1.5</v>
      </c>
      <c r="BG161" s="386">
        <v>0</v>
      </c>
      <c r="BH161" s="551">
        <v>0</v>
      </c>
      <c r="BI161" s="386">
        <v>1.51</v>
      </c>
      <c r="BJ161" s="386">
        <v>29.9</v>
      </c>
      <c r="BK161" s="386">
        <v>3.97</v>
      </c>
      <c r="BL161" s="386">
        <v>3.54</v>
      </c>
      <c r="BM161" s="386">
        <v>0</v>
      </c>
      <c r="BN161" s="386">
        <v>22.4</v>
      </c>
      <c r="BO161" s="386">
        <v>1381.5</v>
      </c>
      <c r="BP161" s="386">
        <v>2</v>
      </c>
      <c r="BQ161" s="1131">
        <v>21</v>
      </c>
      <c r="BR161" s="1131">
        <v>21.7</v>
      </c>
      <c r="BS161" s="615">
        <v>14.1</v>
      </c>
      <c r="BT161" s="615">
        <v>14.2</v>
      </c>
      <c r="BU161" s="614">
        <v>28.9</v>
      </c>
      <c r="BV161" s="614">
        <v>29.6</v>
      </c>
      <c r="BW161" s="615">
        <v>726.4</v>
      </c>
      <c r="BX161" s="791"/>
      <c r="BY161" s="615">
        <v>0</v>
      </c>
      <c r="BZ161" s="615">
        <v>1.19</v>
      </c>
      <c r="CA161" s="615">
        <v>1.1000000000000001</v>
      </c>
      <c r="CB161" s="615">
        <v>8.1999999999999993</v>
      </c>
      <c r="CC161" s="615">
        <v>8.3000000000000007</v>
      </c>
      <c r="CD161" s="615">
        <v>16</v>
      </c>
      <c r="CE161" s="615">
        <v>33.1</v>
      </c>
      <c r="CF161" s="615">
        <v>18.5</v>
      </c>
      <c r="CG161" s="615">
        <v>7.3</v>
      </c>
      <c r="CH161" s="615">
        <v>12.7</v>
      </c>
      <c r="CI161" s="615">
        <v>17.3</v>
      </c>
      <c r="CJ161" s="615">
        <v>13.6</v>
      </c>
      <c r="CK161" s="615">
        <v>413.8</v>
      </c>
      <c r="CL161" s="615">
        <v>2.9</v>
      </c>
      <c r="CM161" s="615">
        <v>3.5</v>
      </c>
      <c r="CN161" s="615">
        <v>1138.5999999999999</v>
      </c>
      <c r="CO161" s="615">
        <v>741.3</v>
      </c>
      <c r="CP161" s="615">
        <v>538.79999999999995</v>
      </c>
      <c r="CQ161" s="615">
        <v>13.9</v>
      </c>
      <c r="CR161" s="615">
        <v>0.9</v>
      </c>
      <c r="CS161" s="614">
        <v>3440.1</v>
      </c>
      <c r="CT161" s="386">
        <v>17.363</v>
      </c>
      <c r="CU161" s="386">
        <v>52</v>
      </c>
      <c r="CV161" s="499">
        <v>0</v>
      </c>
      <c r="CW161" s="499">
        <v>0</v>
      </c>
      <c r="CX161" s="499">
        <v>0</v>
      </c>
      <c r="CY161" s="499">
        <v>0</v>
      </c>
      <c r="CZ161" s="643">
        <v>1257</v>
      </c>
      <c r="DA161" s="643">
        <v>1606</v>
      </c>
      <c r="DB161" s="643">
        <v>1130</v>
      </c>
      <c r="DC161" s="609">
        <v>1166.52</v>
      </c>
      <c r="DD161" s="1153">
        <f t="shared" si="54"/>
        <v>7.999999999992724E-2</v>
      </c>
      <c r="DE161" s="1154">
        <f t="shared" si="55"/>
        <v>15.198086592000001</v>
      </c>
      <c r="DF161" s="1154">
        <f t="shared" si="56"/>
        <v>1020</v>
      </c>
      <c r="DG161" s="1154">
        <f t="shared" si="57"/>
        <v>1356</v>
      </c>
      <c r="DH161" s="1155" t="str">
        <f t="shared" si="58"/>
        <v>Palm</v>
      </c>
      <c r="DI161" s="1146">
        <f t="shared" si="59"/>
        <v>476</v>
      </c>
      <c r="DJ161" s="1146">
        <f t="shared" si="60"/>
        <v>4.9537440000000004</v>
      </c>
      <c r="DK161" s="1154">
        <f t="shared" si="61"/>
        <v>15.198086592000001</v>
      </c>
      <c r="DL161" s="615"/>
      <c r="DM161" s="615"/>
      <c r="DN161" s="615"/>
      <c r="DO161" s="499"/>
      <c r="DP161" s="499"/>
      <c r="DQ161" s="499"/>
      <c r="DR161" s="499"/>
      <c r="DS161" s="499"/>
      <c r="DT161" s="499"/>
      <c r="DU161" s="499"/>
      <c r="DV161" s="499"/>
      <c r="DW161" s="499"/>
      <c r="DX161" s="499"/>
      <c r="DY161" s="499"/>
      <c r="DZ161" s="499"/>
      <c r="EA161" s="499"/>
      <c r="EB161" s="499"/>
      <c r="EC161" s="499"/>
      <c r="ED161" s="499"/>
      <c r="EE161" s="499"/>
      <c r="EF161" s="499"/>
      <c r="EG161" s="1146">
        <f t="shared" si="62"/>
        <v>13.5</v>
      </c>
      <c r="EH161" s="630">
        <v>0</v>
      </c>
      <c r="EI161" s="642">
        <v>1.5</v>
      </c>
      <c r="EJ161" s="613">
        <v>4.5</v>
      </c>
      <c r="EK161" s="613">
        <v>7.5</v>
      </c>
      <c r="EL161" s="499"/>
      <c r="EM161" s="499"/>
      <c r="EN161" s="499"/>
      <c r="EO161" s="499"/>
      <c r="EP161" s="499"/>
      <c r="EQ161" s="499"/>
      <c r="ER161" s="499"/>
      <c r="ES161" s="388"/>
      <c r="ET161" s="388"/>
      <c r="EV161" s="1167">
        <f t="shared" si="50"/>
        <v>20.884499999999999</v>
      </c>
    </row>
    <row r="162" spans="1:153" s="350" customFormat="1" ht="15" x14ac:dyDescent="0.25">
      <c r="A162" s="632" t="s">
        <v>8</v>
      </c>
      <c r="B162" s="662">
        <v>42888</v>
      </c>
      <c r="C162" s="1132" t="s">
        <v>904</v>
      </c>
      <c r="D162" s="386">
        <v>0</v>
      </c>
      <c r="E162" s="636">
        <v>0</v>
      </c>
      <c r="F162" s="636">
        <v>53</v>
      </c>
      <c r="G162" s="636">
        <v>1.1000000000000001</v>
      </c>
      <c r="H162" s="386">
        <v>2.2400000000000002</v>
      </c>
      <c r="I162" s="386">
        <v>13.7</v>
      </c>
      <c r="J162" s="386">
        <v>0</v>
      </c>
      <c r="K162" s="386">
        <v>1.89</v>
      </c>
      <c r="L162" s="610">
        <v>0</v>
      </c>
      <c r="M162" s="386">
        <v>20.8</v>
      </c>
      <c r="N162" s="386">
        <v>1.18</v>
      </c>
      <c r="O162" s="386">
        <v>1.2905068772723602</v>
      </c>
      <c r="P162" s="386">
        <v>1.19</v>
      </c>
      <c r="Q162" s="386">
        <v>0.58973771679384168</v>
      </c>
      <c r="R162" s="732">
        <v>912.73299418604654</v>
      </c>
      <c r="S162" s="386">
        <v>8.15</v>
      </c>
      <c r="T162" s="386">
        <v>8.1999999999999993</v>
      </c>
      <c r="U162" s="386">
        <v>0.78</v>
      </c>
      <c r="V162" s="739">
        <v>0.69</v>
      </c>
      <c r="W162" s="739">
        <v>49.460000000000008</v>
      </c>
      <c r="X162" s="613">
        <v>49.64</v>
      </c>
      <c r="Y162" s="367">
        <v>30.95</v>
      </c>
      <c r="Z162" s="636">
        <v>35.630000000000003</v>
      </c>
      <c r="AA162" s="636">
        <v>30.99</v>
      </c>
      <c r="AB162" s="636">
        <v>37.97</v>
      </c>
      <c r="AC162" s="1160">
        <f t="shared" si="51"/>
        <v>68.959999999999994</v>
      </c>
      <c r="AD162" s="1160">
        <f t="shared" si="52"/>
        <v>106.68111999999998</v>
      </c>
      <c r="AE162" s="1160">
        <f t="shared" si="53"/>
        <v>106.68111999999998</v>
      </c>
      <c r="AF162" s="542"/>
      <c r="AG162" s="1160">
        <f t="shared" si="49"/>
        <v>0</v>
      </c>
      <c r="AH162" s="896"/>
      <c r="AI162" s="351"/>
      <c r="AJ162" s="897"/>
      <c r="AK162" s="388"/>
      <c r="AL162" s="388"/>
      <c r="AM162" s="388"/>
      <c r="AN162" s="388"/>
      <c r="AO162" s="370"/>
      <c r="AP162" s="370"/>
      <c r="AQ162" s="927"/>
      <c r="AR162" s="551">
        <v>0</v>
      </c>
      <c r="AS162" s="386">
        <v>15.9</v>
      </c>
      <c r="AT162" s="386">
        <v>0</v>
      </c>
      <c r="AU162" s="386">
        <v>0</v>
      </c>
      <c r="AV162" s="636">
        <v>582.6</v>
      </c>
      <c r="AW162" s="636">
        <v>770.5</v>
      </c>
      <c r="AX162" s="386">
        <v>0</v>
      </c>
      <c r="AY162" s="551">
        <v>0</v>
      </c>
      <c r="AZ162" s="551">
        <v>0</v>
      </c>
      <c r="BA162" s="551">
        <v>0</v>
      </c>
      <c r="BB162" s="975">
        <v>0</v>
      </c>
      <c r="BC162" s="386">
        <v>0.83</v>
      </c>
      <c r="BD162" s="386">
        <v>2.16</v>
      </c>
      <c r="BE162" s="551">
        <v>0</v>
      </c>
      <c r="BF162" s="386">
        <v>1.5</v>
      </c>
      <c r="BG162" s="386">
        <v>0</v>
      </c>
      <c r="BH162" s="551">
        <v>0</v>
      </c>
      <c r="BI162" s="386">
        <v>1.51</v>
      </c>
      <c r="BJ162" s="386">
        <v>32</v>
      </c>
      <c r="BK162" s="386">
        <v>3.9</v>
      </c>
      <c r="BL162" s="386">
        <v>3.99</v>
      </c>
      <c r="BM162" s="386">
        <v>0</v>
      </c>
      <c r="BN162" s="386">
        <v>24.1</v>
      </c>
      <c r="BO162" s="386">
        <v>1849.6</v>
      </c>
      <c r="BP162" s="386">
        <v>2</v>
      </c>
      <c r="BQ162" s="1131">
        <v>22.51</v>
      </c>
      <c r="BR162" s="1131">
        <v>23.2</v>
      </c>
      <c r="BS162" s="615">
        <v>14.04</v>
      </c>
      <c r="BT162" s="615">
        <v>14.16</v>
      </c>
      <c r="BU162" s="614">
        <v>28.7</v>
      </c>
      <c r="BV162" s="614">
        <v>29.5</v>
      </c>
      <c r="BW162" s="615">
        <v>788.6</v>
      </c>
      <c r="BX162" s="791"/>
      <c r="BY162" s="615">
        <v>0</v>
      </c>
      <c r="BZ162" s="615">
        <v>1.18</v>
      </c>
      <c r="CA162" s="615">
        <v>1.1000000000000001</v>
      </c>
      <c r="CB162" s="615">
        <v>8.3000000000000007</v>
      </c>
      <c r="CC162" s="615">
        <v>8.3000000000000007</v>
      </c>
      <c r="CD162" s="615">
        <v>15.8</v>
      </c>
      <c r="CE162" s="615">
        <v>33</v>
      </c>
      <c r="CF162" s="615">
        <v>19.3</v>
      </c>
      <c r="CG162" s="615">
        <v>8</v>
      </c>
      <c r="CH162" s="615">
        <v>13.6</v>
      </c>
      <c r="CI162" s="615">
        <v>17.850000000000001</v>
      </c>
      <c r="CJ162" s="615">
        <v>12.84</v>
      </c>
      <c r="CK162" s="615">
        <v>344.7</v>
      </c>
      <c r="CL162" s="615">
        <v>2.4</v>
      </c>
      <c r="CM162" s="615">
        <v>3.8</v>
      </c>
      <c r="CN162" s="615">
        <v>1955.5</v>
      </c>
      <c r="CO162" s="615">
        <v>801.2</v>
      </c>
      <c r="CP162" s="615">
        <v>574.6</v>
      </c>
      <c r="CQ162" s="615">
        <v>13.4</v>
      </c>
      <c r="CR162" s="615">
        <v>0.75</v>
      </c>
      <c r="CS162" s="614">
        <v>3426.2</v>
      </c>
      <c r="CT162" s="386">
        <v>16.077999999999999</v>
      </c>
      <c r="CU162" s="386">
        <v>52</v>
      </c>
      <c r="CV162" s="499">
        <v>0</v>
      </c>
      <c r="CW162" s="499">
        <v>0</v>
      </c>
      <c r="CX162" s="499">
        <v>0</v>
      </c>
      <c r="CY162" s="499">
        <v>0</v>
      </c>
      <c r="CZ162" s="643">
        <v>1030</v>
      </c>
      <c r="DA162" s="643">
        <v>1350</v>
      </c>
      <c r="DB162" s="643">
        <v>915</v>
      </c>
      <c r="DC162" s="739">
        <v>1166.71</v>
      </c>
      <c r="DD162" s="1153">
        <f t="shared" si="54"/>
        <v>0.19000000000005457</v>
      </c>
      <c r="DE162" s="1154">
        <f t="shared" si="55"/>
        <v>15.136677504000001</v>
      </c>
      <c r="DF162" s="1154">
        <f t="shared" si="56"/>
        <v>805</v>
      </c>
      <c r="DG162" s="1154">
        <f t="shared" si="57"/>
        <v>1100</v>
      </c>
      <c r="DH162" s="1155" t="str">
        <f t="shared" si="58"/>
        <v>Palm</v>
      </c>
      <c r="DI162" s="1146">
        <f t="shared" si="59"/>
        <v>435</v>
      </c>
      <c r="DJ162" s="1146">
        <f t="shared" si="60"/>
        <v>4.9337280000000003</v>
      </c>
      <c r="DK162" s="1154">
        <f t="shared" si="61"/>
        <v>15.136677504000001</v>
      </c>
      <c r="DL162" s="615"/>
      <c r="DM162" s="615"/>
      <c r="DN162" s="615"/>
      <c r="DO162" s="499"/>
      <c r="DP162" s="499"/>
      <c r="DQ162" s="499"/>
      <c r="DR162" s="499"/>
      <c r="DS162" s="499"/>
      <c r="DT162" s="499"/>
      <c r="DU162" s="499"/>
      <c r="DV162" s="499"/>
      <c r="DW162" s="499"/>
      <c r="DX162" s="499"/>
      <c r="DY162" s="499"/>
      <c r="DZ162" s="499"/>
      <c r="EA162" s="499"/>
      <c r="EB162" s="499"/>
      <c r="EC162" s="499"/>
      <c r="ED162" s="499"/>
      <c r="EE162" s="499"/>
      <c r="EF162" s="499"/>
      <c r="EG162" s="1146">
        <f t="shared" si="62"/>
        <v>14</v>
      </c>
      <c r="EH162" s="630">
        <v>0</v>
      </c>
      <c r="EI162" s="642">
        <v>1.5</v>
      </c>
      <c r="EJ162" s="613">
        <v>4.5</v>
      </c>
      <c r="EK162" s="613">
        <v>8</v>
      </c>
      <c r="EL162" s="499"/>
      <c r="EM162" s="499"/>
      <c r="EN162" s="499"/>
      <c r="EO162" s="499"/>
      <c r="EP162" s="499"/>
      <c r="EQ162" s="499"/>
      <c r="ER162" s="499"/>
      <c r="ES162" s="388"/>
      <c r="ET162" s="388"/>
      <c r="EV162" s="1167">
        <f t="shared" si="50"/>
        <v>21.657999999999998</v>
      </c>
    </row>
    <row r="163" spans="1:153" s="350" customFormat="1" ht="15" x14ac:dyDescent="0.25">
      <c r="A163" s="632" t="s">
        <v>9</v>
      </c>
      <c r="B163" s="662">
        <v>42889</v>
      </c>
      <c r="C163" s="1132" t="s">
        <v>904</v>
      </c>
      <c r="D163" s="386">
        <v>0</v>
      </c>
      <c r="E163" s="636">
        <v>0</v>
      </c>
      <c r="F163" s="636">
        <v>53</v>
      </c>
      <c r="G163" s="636">
        <v>1.1000000000000001</v>
      </c>
      <c r="H163" s="386">
        <v>2.0299999999999998</v>
      </c>
      <c r="I163" s="386">
        <v>13.1</v>
      </c>
      <c r="J163" s="386">
        <v>0</v>
      </c>
      <c r="K163" s="386">
        <v>1.65</v>
      </c>
      <c r="L163" s="610">
        <v>0</v>
      </c>
      <c r="M163" s="386">
        <v>20.6</v>
      </c>
      <c r="N163" s="386">
        <v>1.19</v>
      </c>
      <c r="O163" s="386">
        <v>1.3162401866392606</v>
      </c>
      <c r="P163" s="386">
        <v>1.19</v>
      </c>
      <c r="Q163" s="386">
        <v>0.59444152711345499</v>
      </c>
      <c r="R163" s="732">
        <v>849.06170058139526</v>
      </c>
      <c r="S163" s="386">
        <v>8.0299999999999994</v>
      </c>
      <c r="T163" s="386">
        <v>8.1</v>
      </c>
      <c r="U163" s="386">
        <v>0.68</v>
      </c>
      <c r="V163" s="739">
        <v>0.83</v>
      </c>
      <c r="W163" s="739">
        <v>49.64</v>
      </c>
      <c r="X163" s="613">
        <v>49.819999999999993</v>
      </c>
      <c r="Y163" s="367">
        <v>30.99</v>
      </c>
      <c r="Z163" s="636">
        <v>37.97</v>
      </c>
      <c r="AA163" s="636">
        <v>31</v>
      </c>
      <c r="AB163" s="636">
        <v>33</v>
      </c>
      <c r="AC163" s="1160">
        <f t="shared" si="51"/>
        <v>64</v>
      </c>
      <c r="AD163" s="1160">
        <f t="shared" si="52"/>
        <v>99.007999999999996</v>
      </c>
      <c r="AE163" s="1160">
        <f t="shared" si="53"/>
        <v>99.007999999999996</v>
      </c>
      <c r="AF163" s="542"/>
      <c r="AG163" s="1160">
        <f t="shared" si="49"/>
        <v>0</v>
      </c>
      <c r="AH163" s="896"/>
      <c r="AI163" s="351"/>
      <c r="AJ163" s="897"/>
      <c r="AK163" s="388"/>
      <c r="AL163" s="388"/>
      <c r="AM163" s="388"/>
      <c r="AN163" s="388"/>
      <c r="AO163" s="370"/>
      <c r="AP163" s="370"/>
      <c r="AQ163" s="927"/>
      <c r="AR163" s="551">
        <v>0</v>
      </c>
      <c r="AS163" s="386">
        <v>17.5</v>
      </c>
      <c r="AT163" s="386">
        <v>0</v>
      </c>
      <c r="AU163" s="386">
        <v>0</v>
      </c>
      <c r="AV163" s="636">
        <v>553.29999999999995</v>
      </c>
      <c r="AW163" s="636">
        <v>789.7</v>
      </c>
      <c r="AX163" s="386">
        <v>0</v>
      </c>
      <c r="AY163" s="551">
        <v>0</v>
      </c>
      <c r="AZ163" s="551">
        <v>0</v>
      </c>
      <c r="BA163" s="551">
        <v>0</v>
      </c>
      <c r="BB163" s="975">
        <v>0</v>
      </c>
      <c r="BC163" s="386">
        <v>1.1299999999999999</v>
      </c>
      <c r="BD163" s="386">
        <v>2.16</v>
      </c>
      <c r="BE163" s="551">
        <v>0</v>
      </c>
      <c r="BF163" s="386">
        <v>1.5</v>
      </c>
      <c r="BG163" s="386">
        <v>0</v>
      </c>
      <c r="BH163" s="551">
        <v>0</v>
      </c>
      <c r="BI163" s="386">
        <v>1.55</v>
      </c>
      <c r="BJ163" s="386">
        <v>26.8</v>
      </c>
      <c r="BK163" s="386">
        <v>3.9</v>
      </c>
      <c r="BL163" s="386">
        <v>4.24</v>
      </c>
      <c r="BM163" s="386">
        <v>0</v>
      </c>
      <c r="BN163" s="386">
        <v>18.8</v>
      </c>
      <c r="BO163" s="386">
        <v>1611.9</v>
      </c>
      <c r="BP163" s="386">
        <v>2</v>
      </c>
      <c r="BQ163" s="1131">
        <v>21.96</v>
      </c>
      <c r="BR163" s="1131">
        <v>22.65</v>
      </c>
      <c r="BS163" s="615">
        <v>14</v>
      </c>
      <c r="BT163" s="615">
        <v>14.08</v>
      </c>
      <c r="BU163" s="614">
        <v>28.6</v>
      </c>
      <c r="BV163" s="614">
        <v>35.700000000000003</v>
      </c>
      <c r="BW163" s="615">
        <v>772.2</v>
      </c>
      <c r="BX163" s="791"/>
      <c r="BY163" s="615">
        <v>0</v>
      </c>
      <c r="BZ163" s="615">
        <v>1.1599999999999999</v>
      </c>
      <c r="CA163" s="615">
        <v>1.1000000000000001</v>
      </c>
      <c r="CB163" s="615">
        <v>8.1999999999999993</v>
      </c>
      <c r="CC163" s="615">
        <v>8.3000000000000007</v>
      </c>
      <c r="CD163" s="615">
        <v>15.82</v>
      </c>
      <c r="CE163" s="615">
        <v>33</v>
      </c>
      <c r="CF163" s="615">
        <v>20.5</v>
      </c>
      <c r="CG163" s="615">
        <v>7</v>
      </c>
      <c r="CH163" s="615">
        <v>12.41</v>
      </c>
      <c r="CI163" s="615">
        <v>16.75</v>
      </c>
      <c r="CJ163" s="615">
        <v>12.95</v>
      </c>
      <c r="CK163" s="615">
        <v>330.1</v>
      </c>
      <c r="CL163" s="615">
        <v>2.4</v>
      </c>
      <c r="CM163" s="615">
        <v>3.9</v>
      </c>
      <c r="CN163" s="615">
        <v>2033.8</v>
      </c>
      <c r="CO163" s="615">
        <v>824.3</v>
      </c>
      <c r="CP163" s="615">
        <v>559.6</v>
      </c>
      <c r="CQ163" s="615">
        <v>12.5</v>
      </c>
      <c r="CR163" s="615">
        <v>0.75</v>
      </c>
      <c r="CS163" s="614">
        <v>3415.7</v>
      </c>
      <c r="CT163" s="386">
        <v>15.657</v>
      </c>
      <c r="CU163" s="386">
        <v>52</v>
      </c>
      <c r="CV163" s="499">
        <v>0</v>
      </c>
      <c r="CW163" s="499">
        <v>0</v>
      </c>
      <c r="CX163" s="499">
        <v>0</v>
      </c>
      <c r="CY163" s="499">
        <v>0</v>
      </c>
      <c r="CZ163" s="643">
        <v>1030</v>
      </c>
      <c r="DA163" s="643">
        <v>1280</v>
      </c>
      <c r="DB163" s="643">
        <v>915</v>
      </c>
      <c r="DC163" s="609">
        <v>1166.9000000000001</v>
      </c>
      <c r="DD163" s="1153">
        <f t="shared" si="54"/>
        <v>0.19000000000005457</v>
      </c>
      <c r="DE163" s="1154">
        <f t="shared" si="55"/>
        <v>15.090289344</v>
      </c>
      <c r="DF163" s="1154">
        <f t="shared" si="56"/>
        <v>805</v>
      </c>
      <c r="DG163" s="1154">
        <f t="shared" si="57"/>
        <v>1030</v>
      </c>
      <c r="DH163" s="1155" t="str">
        <f t="shared" si="58"/>
        <v>Palm</v>
      </c>
      <c r="DI163" s="1146">
        <f t="shared" si="59"/>
        <v>365</v>
      </c>
      <c r="DJ163" s="1146">
        <f t="shared" si="60"/>
        <v>4.9186079999999999</v>
      </c>
      <c r="DK163" s="1154">
        <f t="shared" si="61"/>
        <v>15.090289344</v>
      </c>
      <c r="DL163" s="615"/>
      <c r="DM163" s="615"/>
      <c r="DN163" s="615"/>
      <c r="DO163" s="499"/>
      <c r="DP163" s="499"/>
      <c r="DQ163" s="499"/>
      <c r="DR163" s="499"/>
      <c r="DS163" s="499"/>
      <c r="DT163" s="499"/>
      <c r="DU163" s="499"/>
      <c r="DV163" s="499"/>
      <c r="DW163" s="499"/>
      <c r="DX163" s="499"/>
      <c r="DY163" s="499"/>
      <c r="DZ163" s="499"/>
      <c r="EA163" s="499"/>
      <c r="EB163" s="499"/>
      <c r="EC163" s="499"/>
      <c r="ED163" s="499"/>
      <c r="EE163" s="499"/>
      <c r="EF163" s="499"/>
      <c r="EG163" s="1146">
        <f t="shared" si="62"/>
        <v>14.5</v>
      </c>
      <c r="EH163" s="630">
        <v>0</v>
      </c>
      <c r="EI163" s="642">
        <v>1.5</v>
      </c>
      <c r="EJ163" s="613">
        <v>5</v>
      </c>
      <c r="EK163" s="613">
        <v>8</v>
      </c>
      <c r="EL163" s="499"/>
      <c r="EM163" s="499"/>
      <c r="EN163" s="499"/>
      <c r="EO163" s="499"/>
      <c r="EP163" s="499"/>
      <c r="EQ163" s="499"/>
      <c r="ER163" s="499"/>
      <c r="ES163" s="388"/>
      <c r="ET163" s="388"/>
      <c r="EV163" s="1167">
        <f t="shared" si="50"/>
        <v>22.4315</v>
      </c>
    </row>
    <row r="164" spans="1:153" s="350" customFormat="1" ht="15" x14ac:dyDescent="0.25">
      <c r="A164" s="632" t="s">
        <v>3</v>
      </c>
      <c r="B164" s="662">
        <v>42890</v>
      </c>
      <c r="C164" s="1132" t="s">
        <v>904</v>
      </c>
      <c r="D164" s="386">
        <v>0</v>
      </c>
      <c r="E164" s="636">
        <v>0</v>
      </c>
      <c r="F164" s="636">
        <v>50</v>
      </c>
      <c r="G164" s="636">
        <v>1.1000000000000001</v>
      </c>
      <c r="H164" s="386">
        <v>1.95</v>
      </c>
      <c r="I164" s="386">
        <v>14.9</v>
      </c>
      <c r="J164" s="386">
        <v>0</v>
      </c>
      <c r="K164" s="386">
        <v>1.62</v>
      </c>
      <c r="L164" s="610">
        <v>0</v>
      </c>
      <c r="M164" s="386">
        <v>20.5</v>
      </c>
      <c r="N164" s="386">
        <v>1.18</v>
      </c>
      <c r="O164" s="386">
        <v>1.3203667474924998</v>
      </c>
      <c r="P164" s="386">
        <v>1.18</v>
      </c>
      <c r="Q164" s="386">
        <v>0.59390641474682004</v>
      </c>
      <c r="R164" s="732">
        <v>859.06242732558155</v>
      </c>
      <c r="S164" s="386">
        <v>8.15</v>
      </c>
      <c r="T164" s="386">
        <v>8.1999999999999993</v>
      </c>
      <c r="U164" s="386">
        <v>0.68</v>
      </c>
      <c r="V164" s="739">
        <v>0.8</v>
      </c>
      <c r="W164" s="739">
        <v>50.360000000000014</v>
      </c>
      <c r="X164" s="613">
        <v>50.360000000000014</v>
      </c>
      <c r="Y164" s="367">
        <v>31</v>
      </c>
      <c r="Z164" s="636">
        <v>32.9</v>
      </c>
      <c r="AA164" s="636">
        <v>30.94</v>
      </c>
      <c r="AB164" s="636">
        <v>33.5</v>
      </c>
      <c r="AC164" s="1160">
        <f t="shared" si="51"/>
        <v>64.44</v>
      </c>
      <c r="AD164" s="1160">
        <f t="shared" si="52"/>
        <v>99.688679999999991</v>
      </c>
      <c r="AE164" s="1160">
        <f t="shared" si="53"/>
        <v>99.688679999999991</v>
      </c>
      <c r="AF164" s="542"/>
      <c r="AG164" s="1160">
        <f t="shared" si="49"/>
        <v>0</v>
      </c>
      <c r="AH164" s="896"/>
      <c r="AI164" s="351"/>
      <c r="AJ164" s="897"/>
      <c r="AK164" s="388"/>
      <c r="AL164" s="388"/>
      <c r="AM164" s="388"/>
      <c r="AN164" s="388"/>
      <c r="AO164" s="370"/>
      <c r="AP164" s="370"/>
      <c r="AQ164" s="927"/>
      <c r="AR164" s="551">
        <v>0</v>
      </c>
      <c r="AS164" s="386">
        <v>23.1</v>
      </c>
      <c r="AT164" s="386">
        <v>0</v>
      </c>
      <c r="AU164" s="386">
        <v>0</v>
      </c>
      <c r="AV164" s="636">
        <v>784.4</v>
      </c>
      <c r="AW164" s="636">
        <v>932.5</v>
      </c>
      <c r="AX164" s="386">
        <v>0</v>
      </c>
      <c r="AY164" s="551">
        <v>0</v>
      </c>
      <c r="AZ164" s="551">
        <v>0</v>
      </c>
      <c r="BA164" s="551">
        <v>0</v>
      </c>
      <c r="BB164" s="975">
        <v>0</v>
      </c>
      <c r="BC164" s="386">
        <v>1.42</v>
      </c>
      <c r="BD164" s="386">
        <v>2.08</v>
      </c>
      <c r="BE164" s="551">
        <v>0</v>
      </c>
      <c r="BF164" s="386">
        <v>1.5</v>
      </c>
      <c r="BG164" s="386">
        <v>0</v>
      </c>
      <c r="BH164" s="551">
        <v>0</v>
      </c>
      <c r="BI164" s="386">
        <v>1.51</v>
      </c>
      <c r="BJ164" s="386">
        <v>27.1</v>
      </c>
      <c r="BK164" s="386">
        <v>4.1100000000000003</v>
      </c>
      <c r="BL164" s="386">
        <v>3.88</v>
      </c>
      <c r="BM164" s="386">
        <v>0</v>
      </c>
      <c r="BN164" s="386">
        <v>19.100000000000001</v>
      </c>
      <c r="BO164" s="386">
        <v>2342.4</v>
      </c>
      <c r="BP164" s="386">
        <v>2</v>
      </c>
      <c r="BQ164" s="1131">
        <v>20.64</v>
      </c>
      <c r="BR164" s="1131">
        <v>21.35</v>
      </c>
      <c r="BS164" s="615">
        <v>13.86</v>
      </c>
      <c r="BT164" s="615">
        <v>13.98</v>
      </c>
      <c r="BU164" s="614">
        <v>28.4</v>
      </c>
      <c r="BV164" s="614">
        <v>37.6</v>
      </c>
      <c r="BW164" s="615">
        <v>889.4</v>
      </c>
      <c r="BX164" s="791"/>
      <c r="BY164" s="615">
        <v>0</v>
      </c>
      <c r="BZ164" s="615">
        <v>1.1599999999999999</v>
      </c>
      <c r="CA164" s="615">
        <v>1.1000000000000001</v>
      </c>
      <c r="CB164" s="615">
        <v>8.3000000000000007</v>
      </c>
      <c r="CC164" s="615">
        <v>8.3000000000000007</v>
      </c>
      <c r="CD164" s="615">
        <v>15.7</v>
      </c>
      <c r="CE164" s="615">
        <v>33</v>
      </c>
      <c r="CF164" s="615">
        <v>18.5</v>
      </c>
      <c r="CG164" s="615">
        <v>8.4</v>
      </c>
      <c r="CH164" s="615">
        <v>14.1</v>
      </c>
      <c r="CI164" s="615">
        <v>18.2</v>
      </c>
      <c r="CJ164" s="615">
        <v>12.7</v>
      </c>
      <c r="CK164" s="615">
        <v>319.3</v>
      </c>
      <c r="CL164" s="615">
        <v>2.2999999999999998</v>
      </c>
      <c r="CM164" s="615">
        <v>3.8</v>
      </c>
      <c r="CN164" s="615">
        <v>2333.1</v>
      </c>
      <c r="CO164" s="615">
        <v>880.5</v>
      </c>
      <c r="CP164" s="615">
        <v>569.29999999999995</v>
      </c>
      <c r="CQ164" s="615">
        <v>12.5</v>
      </c>
      <c r="CR164" s="615">
        <v>0.74</v>
      </c>
      <c r="CS164" s="614">
        <v>3401.7</v>
      </c>
      <c r="CT164" s="386">
        <v>15.768000000000001</v>
      </c>
      <c r="CU164" s="386">
        <v>53</v>
      </c>
      <c r="CV164" s="499">
        <v>0</v>
      </c>
      <c r="CW164" s="499">
        <v>0</v>
      </c>
      <c r="CX164" s="499">
        <v>0</v>
      </c>
      <c r="CY164" s="499">
        <v>0</v>
      </c>
      <c r="CZ164" s="643">
        <v>1030</v>
      </c>
      <c r="DA164" s="643">
        <v>1260</v>
      </c>
      <c r="DB164" s="643">
        <v>910</v>
      </c>
      <c r="DC164" s="609">
        <v>1166.9100000000001</v>
      </c>
      <c r="DD164" s="1153">
        <f t="shared" si="54"/>
        <v>9.9999999999909051E-3</v>
      </c>
      <c r="DE164" s="1154">
        <f t="shared" si="55"/>
        <v>15.028438464000001</v>
      </c>
      <c r="DF164" s="1154">
        <f t="shared" si="56"/>
        <v>800</v>
      </c>
      <c r="DG164" s="1154">
        <f t="shared" si="57"/>
        <v>1010</v>
      </c>
      <c r="DH164" s="1155" t="str">
        <f t="shared" si="58"/>
        <v>Palm</v>
      </c>
      <c r="DI164" s="1146">
        <f t="shared" si="59"/>
        <v>350</v>
      </c>
      <c r="DJ164" s="1146">
        <f t="shared" si="60"/>
        <v>4.8984480000000001</v>
      </c>
      <c r="DK164" s="1154">
        <f t="shared" si="61"/>
        <v>15.028438464000001</v>
      </c>
      <c r="DL164" s="615"/>
      <c r="DM164" s="615"/>
      <c r="DN164" s="615"/>
      <c r="DO164" s="499"/>
      <c r="DP164" s="499"/>
      <c r="DQ164" s="499"/>
      <c r="DR164" s="499"/>
      <c r="DS164" s="499"/>
      <c r="DT164" s="499"/>
      <c r="DU164" s="499"/>
      <c r="DV164" s="499"/>
      <c r="DW164" s="499"/>
      <c r="DX164" s="499"/>
      <c r="DY164" s="499"/>
      <c r="DZ164" s="499"/>
      <c r="EA164" s="499"/>
      <c r="EB164" s="499"/>
      <c r="EC164" s="499"/>
      <c r="ED164" s="499"/>
      <c r="EE164" s="499"/>
      <c r="EF164" s="499"/>
      <c r="EG164" s="1146">
        <f t="shared" si="62"/>
        <v>14.5</v>
      </c>
      <c r="EH164" s="630">
        <v>0</v>
      </c>
      <c r="EI164" s="642">
        <v>1.5</v>
      </c>
      <c r="EJ164" s="613">
        <v>5</v>
      </c>
      <c r="EK164" s="613">
        <v>8</v>
      </c>
      <c r="EL164" s="499"/>
      <c r="EM164" s="499"/>
      <c r="EN164" s="499"/>
      <c r="EO164" s="499"/>
      <c r="EP164" s="499"/>
      <c r="EQ164" s="499"/>
      <c r="ER164" s="499"/>
      <c r="ES164" s="388"/>
      <c r="ET164" s="388"/>
      <c r="EV164" s="1167">
        <f t="shared" si="50"/>
        <v>22.4315</v>
      </c>
    </row>
    <row r="165" spans="1:153" s="350" customFormat="1" ht="15" x14ac:dyDescent="0.25">
      <c r="A165" s="632" t="s">
        <v>4</v>
      </c>
      <c r="B165" s="662">
        <v>42891</v>
      </c>
      <c r="C165" s="1132" t="s">
        <v>904</v>
      </c>
      <c r="D165" s="386">
        <v>0</v>
      </c>
      <c r="E165" s="636">
        <v>0</v>
      </c>
      <c r="F165" s="636">
        <v>55.4</v>
      </c>
      <c r="G165" s="636">
        <v>0.92</v>
      </c>
      <c r="H165" s="386">
        <v>1.7889999999999999</v>
      </c>
      <c r="I165" s="386">
        <v>13.7</v>
      </c>
      <c r="J165" s="386">
        <v>0</v>
      </c>
      <c r="K165" s="386">
        <v>1.61</v>
      </c>
      <c r="L165" s="610">
        <v>0</v>
      </c>
      <c r="M165" s="386">
        <v>20.3</v>
      </c>
      <c r="N165" s="386">
        <v>1.1599999999999999</v>
      </c>
      <c r="O165" s="386">
        <v>1.2836934975750798</v>
      </c>
      <c r="P165" s="386">
        <v>1.17</v>
      </c>
      <c r="Q165" s="386">
        <v>0.58578269484789081</v>
      </c>
      <c r="R165" s="732">
        <v>875.39694767441858</v>
      </c>
      <c r="S165" s="386">
        <v>8.14</v>
      </c>
      <c r="T165" s="386">
        <v>8.2100000000000009</v>
      </c>
      <c r="U165" s="386">
        <v>0.67</v>
      </c>
      <c r="V165" s="739">
        <v>0.79</v>
      </c>
      <c r="W165" s="739">
        <v>50.360000000000014</v>
      </c>
      <c r="X165" s="613">
        <v>50.360000000000014</v>
      </c>
      <c r="Y165" s="367">
        <v>30.94</v>
      </c>
      <c r="Z165" s="636">
        <v>33.4</v>
      </c>
      <c r="AA165" s="636">
        <v>30.6</v>
      </c>
      <c r="AB165" s="636">
        <v>36</v>
      </c>
      <c r="AC165" s="1160">
        <f t="shared" si="51"/>
        <v>66.599999999999994</v>
      </c>
      <c r="AD165" s="1160">
        <f t="shared" si="52"/>
        <v>103.03019999999999</v>
      </c>
      <c r="AE165" s="1160">
        <f t="shared" si="53"/>
        <v>103.03019999999999</v>
      </c>
      <c r="AF165" s="542"/>
      <c r="AG165" s="1160">
        <f t="shared" si="49"/>
        <v>0</v>
      </c>
      <c r="AH165" s="896"/>
      <c r="AI165" s="351"/>
      <c r="AJ165" s="897"/>
      <c r="AK165" s="388"/>
      <c r="AL165" s="388"/>
      <c r="AM165" s="388"/>
      <c r="AN165" s="388"/>
      <c r="AO165" s="370"/>
      <c r="AP165" s="370"/>
      <c r="AQ165" s="927"/>
      <c r="AR165" s="551">
        <v>0</v>
      </c>
      <c r="AS165" s="386">
        <v>11.5</v>
      </c>
      <c r="AT165" s="386">
        <v>0</v>
      </c>
      <c r="AU165" s="386">
        <v>0</v>
      </c>
      <c r="AV165" s="636">
        <v>670.4</v>
      </c>
      <c r="AW165" s="636">
        <v>1430.4</v>
      </c>
      <c r="AX165" s="386">
        <v>0</v>
      </c>
      <c r="AY165" s="551">
        <v>0</v>
      </c>
      <c r="AZ165" s="551">
        <v>0</v>
      </c>
      <c r="BA165" s="551">
        <v>0</v>
      </c>
      <c r="BB165" s="975">
        <v>0</v>
      </c>
      <c r="BC165" s="386">
        <v>1.34</v>
      </c>
      <c r="BD165" s="386">
        <v>1.92</v>
      </c>
      <c r="BE165" s="551">
        <v>0</v>
      </c>
      <c r="BF165" s="386">
        <v>1.42</v>
      </c>
      <c r="BG165" s="386">
        <v>0</v>
      </c>
      <c r="BH165" s="551">
        <v>0</v>
      </c>
      <c r="BI165" s="386">
        <v>1.51</v>
      </c>
      <c r="BJ165" s="386">
        <v>29.9</v>
      </c>
      <c r="BK165" s="386">
        <v>4.5999999999999996</v>
      </c>
      <c r="BL165" s="386">
        <v>3.34</v>
      </c>
      <c r="BM165" s="386">
        <v>0</v>
      </c>
      <c r="BN165" s="386">
        <v>22</v>
      </c>
      <c r="BO165" s="386">
        <v>1905.7</v>
      </c>
      <c r="BP165" s="386">
        <v>2</v>
      </c>
      <c r="BQ165" s="1131">
        <v>18.89</v>
      </c>
      <c r="BR165" s="1131">
        <v>19.559999999999999</v>
      </c>
      <c r="BS165" s="615">
        <v>13.56</v>
      </c>
      <c r="BT165" s="615">
        <v>13.7</v>
      </c>
      <c r="BU165" s="614">
        <v>27.9</v>
      </c>
      <c r="BV165" s="614">
        <v>38.700000000000003</v>
      </c>
      <c r="BW165" s="615">
        <v>1052.3</v>
      </c>
      <c r="BX165" s="791"/>
      <c r="BY165" s="615">
        <v>0</v>
      </c>
      <c r="BZ165" s="615">
        <v>1.1499999999999999</v>
      </c>
      <c r="CA165" s="615">
        <v>1.1000000000000001</v>
      </c>
      <c r="CB165" s="615">
        <v>8.3000000000000007</v>
      </c>
      <c r="CC165" s="615">
        <v>8.3000000000000007</v>
      </c>
      <c r="CD165" s="615">
        <v>15.7</v>
      </c>
      <c r="CE165" s="615">
        <v>33</v>
      </c>
      <c r="CF165" s="615">
        <v>19.13</v>
      </c>
      <c r="CG165" s="615">
        <v>7.52</v>
      </c>
      <c r="CH165" s="615">
        <v>13.1</v>
      </c>
      <c r="CI165" s="615">
        <v>17.3</v>
      </c>
      <c r="CJ165" s="615">
        <v>12.98</v>
      </c>
      <c r="CK165" s="615">
        <v>358.6</v>
      </c>
      <c r="CL165" s="615">
        <v>2.8</v>
      </c>
      <c r="CM165" s="615">
        <v>4.4000000000000004</v>
      </c>
      <c r="CN165" s="615">
        <v>2289.9</v>
      </c>
      <c r="CO165" s="615">
        <v>912.1</v>
      </c>
      <c r="CP165" s="615">
        <v>586.9</v>
      </c>
      <c r="CQ165" s="615">
        <v>12.9</v>
      </c>
      <c r="CR165" s="615">
        <v>0.81</v>
      </c>
      <c r="CS165" s="614">
        <v>3387.6</v>
      </c>
      <c r="CT165" s="386">
        <v>16.082000000000001</v>
      </c>
      <c r="CU165" s="386">
        <v>53</v>
      </c>
      <c r="CV165" s="499">
        <v>0</v>
      </c>
      <c r="CW165" s="499">
        <v>0</v>
      </c>
      <c r="CX165" s="499">
        <v>0</v>
      </c>
      <c r="CY165" s="499">
        <v>0</v>
      </c>
      <c r="CZ165" s="643">
        <v>881</v>
      </c>
      <c r="DA165" s="643">
        <v>1160</v>
      </c>
      <c r="DB165" s="643">
        <v>774</v>
      </c>
      <c r="DC165" s="609">
        <v>1166.8499999999999</v>
      </c>
      <c r="DD165" s="1153">
        <f t="shared" si="54"/>
        <v>-6.0000000000172804E-2</v>
      </c>
      <c r="DE165" s="1154">
        <f t="shared" si="55"/>
        <v>14.966145791999999</v>
      </c>
      <c r="DF165" s="1154">
        <f t="shared" si="56"/>
        <v>664</v>
      </c>
      <c r="DG165" s="1154">
        <f t="shared" si="57"/>
        <v>910</v>
      </c>
      <c r="DH165" s="1155" t="str">
        <f t="shared" si="58"/>
        <v>Palm</v>
      </c>
      <c r="DI165" s="1146">
        <f t="shared" si="59"/>
        <v>386</v>
      </c>
      <c r="DJ165" s="1146">
        <f t="shared" si="60"/>
        <v>4.8781439999999998</v>
      </c>
      <c r="DK165" s="1154">
        <f t="shared" si="61"/>
        <v>14.966145791999999</v>
      </c>
      <c r="DL165" s="615"/>
      <c r="DM165" s="615"/>
      <c r="DN165" s="615"/>
      <c r="DO165" s="499"/>
      <c r="DP165" s="499"/>
      <c r="DQ165" s="499"/>
      <c r="DR165" s="499"/>
      <c r="DS165" s="499"/>
      <c r="DT165" s="499"/>
      <c r="DU165" s="499"/>
      <c r="DV165" s="499"/>
      <c r="DW165" s="499"/>
      <c r="DX165" s="499"/>
      <c r="DY165" s="499"/>
      <c r="DZ165" s="499"/>
      <c r="EA165" s="499"/>
      <c r="EB165" s="499"/>
      <c r="EC165" s="499"/>
      <c r="ED165" s="499"/>
      <c r="EE165" s="499"/>
      <c r="EF165" s="499"/>
      <c r="EG165" s="1146">
        <f t="shared" si="62"/>
        <v>14</v>
      </c>
      <c r="EH165" s="630">
        <v>0</v>
      </c>
      <c r="EI165" s="642">
        <v>1.5</v>
      </c>
      <c r="EJ165" s="613">
        <v>4.5</v>
      </c>
      <c r="EK165" s="613">
        <v>8</v>
      </c>
      <c r="EL165" s="499"/>
      <c r="EM165" s="499"/>
      <c r="EN165" s="499"/>
      <c r="EO165" s="499"/>
      <c r="EP165" s="499"/>
      <c r="EQ165" s="499"/>
      <c r="ER165" s="499"/>
      <c r="ES165" s="388"/>
      <c r="ET165" s="388"/>
      <c r="EV165" s="1167">
        <f t="shared" si="50"/>
        <v>21.657999999999998</v>
      </c>
    </row>
    <row r="166" spans="1:153" s="350" customFormat="1" ht="15" x14ac:dyDescent="0.25">
      <c r="A166" s="632" t="s">
        <v>5</v>
      </c>
      <c r="B166" s="662">
        <v>42892</v>
      </c>
      <c r="C166" s="1132" t="s">
        <v>904</v>
      </c>
      <c r="D166" s="386">
        <v>0</v>
      </c>
      <c r="E166" s="636">
        <v>0</v>
      </c>
      <c r="F166" s="636">
        <v>56.8</v>
      </c>
      <c r="G166" s="636">
        <v>0.9</v>
      </c>
      <c r="H166" s="386">
        <v>1.6</v>
      </c>
      <c r="I166" s="386">
        <v>13.8</v>
      </c>
      <c r="J166" s="386">
        <v>0</v>
      </c>
      <c r="K166" s="386">
        <v>1.95</v>
      </c>
      <c r="L166" s="610">
        <v>0</v>
      </c>
      <c r="M166" s="386">
        <v>20.100000000000001</v>
      </c>
      <c r="N166" s="386">
        <v>1.1399999999999999</v>
      </c>
      <c r="O166" s="386">
        <v>1.2942428684368159</v>
      </c>
      <c r="P166" s="386">
        <v>1.1499999999999999</v>
      </c>
      <c r="Q166" s="386">
        <v>0.59443535295784322</v>
      </c>
      <c r="R166" s="732">
        <v>961.40319767441861</v>
      </c>
      <c r="S166" s="386">
        <v>8.18</v>
      </c>
      <c r="T166" s="386">
        <v>8.26</v>
      </c>
      <c r="U166" s="386">
        <v>0.73</v>
      </c>
      <c r="V166" s="739">
        <v>0.88</v>
      </c>
      <c r="W166" s="739">
        <v>50.900000000000006</v>
      </c>
      <c r="X166" s="613">
        <v>50.900000000000006</v>
      </c>
      <c r="Y166" s="367">
        <v>30.6</v>
      </c>
      <c r="Z166" s="636">
        <v>35.1</v>
      </c>
      <c r="AA166" s="636">
        <v>30.9</v>
      </c>
      <c r="AB166" s="636">
        <v>41.4</v>
      </c>
      <c r="AC166" s="1160">
        <f t="shared" si="51"/>
        <v>72.3</v>
      </c>
      <c r="AD166" s="1160">
        <f t="shared" si="52"/>
        <v>111.84809999999999</v>
      </c>
      <c r="AE166" s="1160">
        <f t="shared" si="53"/>
        <v>111.84809999999999</v>
      </c>
      <c r="AF166" s="542"/>
      <c r="AG166" s="1160">
        <f t="shared" si="49"/>
        <v>0</v>
      </c>
      <c r="AH166" s="896"/>
      <c r="AI166" s="351"/>
      <c r="AJ166" s="897"/>
      <c r="AK166" s="388"/>
      <c r="AL166" s="388"/>
      <c r="AM166" s="388"/>
      <c r="AN166" s="388"/>
      <c r="AO166" s="370"/>
      <c r="AP166" s="370"/>
      <c r="AQ166" s="927"/>
      <c r="AR166" s="551">
        <v>0</v>
      </c>
      <c r="AS166" s="386">
        <v>23.7</v>
      </c>
      <c r="AT166" s="386">
        <v>0</v>
      </c>
      <c r="AU166" s="386">
        <v>0</v>
      </c>
      <c r="AV166" s="636">
        <v>930.5</v>
      </c>
      <c r="AW166" s="636">
        <v>1014.1</v>
      </c>
      <c r="AX166" s="386">
        <v>0</v>
      </c>
      <c r="AY166" s="551">
        <v>0</v>
      </c>
      <c r="AZ166" s="551">
        <v>0</v>
      </c>
      <c r="BA166" s="551">
        <v>0</v>
      </c>
      <c r="BB166" s="975">
        <v>0</v>
      </c>
      <c r="BC166" s="386">
        <v>1.84</v>
      </c>
      <c r="BD166" s="386">
        <v>2.38</v>
      </c>
      <c r="BE166" s="551">
        <v>0</v>
      </c>
      <c r="BF166" s="386">
        <v>0.28000000000000003</v>
      </c>
      <c r="BG166" s="386">
        <v>0</v>
      </c>
      <c r="BH166" s="551">
        <v>0</v>
      </c>
      <c r="BI166" s="386">
        <v>1.51</v>
      </c>
      <c r="BJ166" s="386">
        <v>35.299999999999997</v>
      </c>
      <c r="BK166" s="386">
        <v>4.53</v>
      </c>
      <c r="BL166" s="386">
        <v>3.48</v>
      </c>
      <c r="BM166" s="386">
        <v>0</v>
      </c>
      <c r="BN166" s="386">
        <v>27.2</v>
      </c>
      <c r="BO166" s="386">
        <v>2301</v>
      </c>
      <c r="BP166" s="386">
        <v>2</v>
      </c>
      <c r="BQ166" s="1131">
        <v>18.84</v>
      </c>
      <c r="BR166" s="1131">
        <v>19.55</v>
      </c>
      <c r="BS166" s="615">
        <v>13.7</v>
      </c>
      <c r="BT166" s="615">
        <v>13.78</v>
      </c>
      <c r="BU166" s="614">
        <v>28</v>
      </c>
      <c r="BV166" s="614">
        <v>33.299999999999997</v>
      </c>
      <c r="BW166" s="615">
        <v>1010.2</v>
      </c>
      <c r="BX166" s="791"/>
      <c r="BY166" s="615">
        <v>0</v>
      </c>
      <c r="BZ166" s="615">
        <v>1.1599999999999999</v>
      </c>
      <c r="CA166" s="615">
        <v>1.1000000000000001</v>
      </c>
      <c r="CB166" s="615">
        <v>8.4</v>
      </c>
      <c r="CC166" s="615">
        <v>8.4</v>
      </c>
      <c r="CD166" s="615">
        <v>15.4</v>
      </c>
      <c r="CE166" s="615">
        <v>32.799999999999997</v>
      </c>
      <c r="CF166" s="615">
        <v>19.25</v>
      </c>
      <c r="CG166" s="615">
        <v>8.64</v>
      </c>
      <c r="CH166" s="615">
        <v>14.3</v>
      </c>
      <c r="CI166" s="615">
        <v>18.8</v>
      </c>
      <c r="CJ166" s="615">
        <v>12.85</v>
      </c>
      <c r="CK166" s="615">
        <v>341.6</v>
      </c>
      <c r="CL166" s="615">
        <v>2.6</v>
      </c>
      <c r="CM166" s="615">
        <v>4.3</v>
      </c>
      <c r="CN166" s="615">
        <v>2399</v>
      </c>
      <c r="CO166" s="615">
        <v>965.8</v>
      </c>
      <c r="CP166" s="615">
        <v>619.4</v>
      </c>
      <c r="CQ166" s="615">
        <v>12.7</v>
      </c>
      <c r="CR166" s="615">
        <v>0.86</v>
      </c>
      <c r="CS166" s="614">
        <v>3376.5</v>
      </c>
      <c r="CT166" s="386">
        <v>15.647</v>
      </c>
      <c r="CU166" s="386">
        <v>53</v>
      </c>
      <c r="CV166" s="499">
        <v>0</v>
      </c>
      <c r="CW166" s="499">
        <v>0</v>
      </c>
      <c r="CX166" s="499">
        <v>0</v>
      </c>
      <c r="CY166" s="499">
        <v>0</v>
      </c>
      <c r="CZ166" s="643">
        <v>809</v>
      </c>
      <c r="DA166" s="643">
        <v>1080</v>
      </c>
      <c r="DB166" s="643">
        <v>717</v>
      </c>
      <c r="DC166" s="609">
        <v>1166.8699999999999</v>
      </c>
      <c r="DD166" s="1153">
        <f t="shared" si="54"/>
        <v>1.999999999998181E-2</v>
      </c>
      <c r="DE166" s="1154">
        <f t="shared" si="55"/>
        <v>14.91710688</v>
      </c>
      <c r="DF166" s="1154">
        <f t="shared" si="56"/>
        <v>607</v>
      </c>
      <c r="DG166" s="1154">
        <f t="shared" si="57"/>
        <v>830</v>
      </c>
      <c r="DH166" s="1155" t="str">
        <f t="shared" si="58"/>
        <v>Palm</v>
      </c>
      <c r="DI166" s="1146">
        <f t="shared" si="59"/>
        <v>363</v>
      </c>
      <c r="DJ166" s="1146">
        <f t="shared" si="60"/>
        <v>4.8621600000000003</v>
      </c>
      <c r="DK166" s="1154">
        <f t="shared" si="61"/>
        <v>14.91710688</v>
      </c>
      <c r="DL166" s="615"/>
      <c r="DM166" s="615"/>
      <c r="DN166" s="615"/>
      <c r="DO166" s="499"/>
      <c r="DP166" s="499"/>
      <c r="DQ166" s="499"/>
      <c r="DR166" s="499"/>
      <c r="DS166" s="499"/>
      <c r="DT166" s="499"/>
      <c r="DU166" s="499"/>
      <c r="DV166" s="499"/>
      <c r="DW166" s="499"/>
      <c r="DX166" s="499"/>
      <c r="DY166" s="499"/>
      <c r="DZ166" s="499"/>
      <c r="EA166" s="499"/>
      <c r="EB166" s="499"/>
      <c r="EC166" s="499"/>
      <c r="ED166" s="499"/>
      <c r="EE166" s="499"/>
      <c r="EF166" s="499"/>
      <c r="EG166" s="1146">
        <f t="shared" si="62"/>
        <v>14</v>
      </c>
      <c r="EH166" s="630">
        <v>0</v>
      </c>
      <c r="EI166" s="642">
        <v>1.5</v>
      </c>
      <c r="EJ166" s="613">
        <v>4.5</v>
      </c>
      <c r="EK166" s="613">
        <v>8</v>
      </c>
      <c r="EL166" s="499"/>
      <c r="EM166" s="499"/>
      <c r="EN166" s="499"/>
      <c r="EO166" s="499"/>
      <c r="EP166" s="499"/>
      <c r="EQ166" s="499"/>
      <c r="ER166" s="499"/>
      <c r="ES166" s="388"/>
      <c r="ET166" s="388"/>
      <c r="EV166" s="1167">
        <f t="shared" si="50"/>
        <v>21.657999999999998</v>
      </c>
    </row>
    <row r="167" spans="1:153" s="350" customFormat="1" ht="15" x14ac:dyDescent="0.25">
      <c r="A167" s="632" t="s">
        <v>6</v>
      </c>
      <c r="B167" s="662">
        <v>42893</v>
      </c>
      <c r="C167" s="1132" t="s">
        <v>904</v>
      </c>
      <c r="D167" s="386">
        <v>0.01</v>
      </c>
      <c r="E167" s="636">
        <v>0</v>
      </c>
      <c r="F167" s="636">
        <v>59</v>
      </c>
      <c r="G167" s="636">
        <v>0.95</v>
      </c>
      <c r="H167" s="386">
        <v>2.25</v>
      </c>
      <c r="I167" s="386">
        <v>14.5</v>
      </c>
      <c r="J167" s="386">
        <v>0</v>
      </c>
      <c r="K167" s="386">
        <v>1.94</v>
      </c>
      <c r="L167" s="610">
        <v>0</v>
      </c>
      <c r="M167" s="386">
        <v>20.100000000000001</v>
      </c>
      <c r="N167" s="386">
        <v>1.1399999999999999</v>
      </c>
      <c r="O167" s="386">
        <v>1.304700844172854</v>
      </c>
      <c r="P167" s="386">
        <v>1.1599999999999999</v>
      </c>
      <c r="Q167" s="386">
        <v>0.60139362632022597</v>
      </c>
      <c r="R167" s="732">
        <v>972.07063953488364</v>
      </c>
      <c r="S167" s="386">
        <v>8.19</v>
      </c>
      <c r="T167" s="386">
        <v>8.2899999999999991</v>
      </c>
      <c r="U167" s="386">
        <v>0.75</v>
      </c>
      <c r="V167" s="739">
        <v>0.96</v>
      </c>
      <c r="W167" s="739">
        <v>50.360000000000014</v>
      </c>
      <c r="X167" s="613">
        <v>50.360000000000014</v>
      </c>
      <c r="Y167" s="367">
        <v>30.9</v>
      </c>
      <c r="Z167" s="636">
        <v>41.19</v>
      </c>
      <c r="AA167" s="636">
        <v>31</v>
      </c>
      <c r="AB167" s="636">
        <v>41.23</v>
      </c>
      <c r="AC167" s="1160">
        <f t="shared" si="51"/>
        <v>72.22999999999999</v>
      </c>
      <c r="AD167" s="1160">
        <f t="shared" si="52"/>
        <v>111.73980999999998</v>
      </c>
      <c r="AE167" s="1160">
        <f t="shared" si="53"/>
        <v>111.73980999999998</v>
      </c>
      <c r="AF167" s="542"/>
      <c r="AG167" s="1160">
        <f t="shared" si="49"/>
        <v>0</v>
      </c>
      <c r="AH167" s="896"/>
      <c r="AI167" s="351"/>
      <c r="AJ167" s="897"/>
      <c r="AK167" s="388"/>
      <c r="AL167" s="388"/>
      <c r="AM167" s="388"/>
      <c r="AN167" s="388"/>
      <c r="AO167" s="370"/>
      <c r="AP167" s="370"/>
      <c r="AQ167" s="927"/>
      <c r="AR167" s="551">
        <v>0</v>
      </c>
      <c r="AS167" s="386">
        <v>23.2</v>
      </c>
      <c r="AT167" s="386">
        <v>0</v>
      </c>
      <c r="AU167" s="386">
        <v>0</v>
      </c>
      <c r="AV167" s="636">
        <v>828</v>
      </c>
      <c r="AW167" s="636">
        <v>886.6</v>
      </c>
      <c r="AX167" s="386">
        <v>0</v>
      </c>
      <c r="AY167" s="551">
        <v>0</v>
      </c>
      <c r="AZ167" s="551">
        <v>0</v>
      </c>
      <c r="BA167" s="551">
        <v>0</v>
      </c>
      <c r="BB167" s="975">
        <v>0</v>
      </c>
      <c r="BC167" s="386">
        <v>1</v>
      </c>
      <c r="BD167" s="386">
        <v>1.57</v>
      </c>
      <c r="BE167" s="551">
        <v>0</v>
      </c>
      <c r="BF167" s="386">
        <v>0.28000000000000003</v>
      </c>
      <c r="BG167" s="386">
        <v>0</v>
      </c>
      <c r="BH167" s="551">
        <v>0</v>
      </c>
      <c r="BI167" s="386">
        <v>1.51</v>
      </c>
      <c r="BJ167" s="386">
        <v>36.799999999999997</v>
      </c>
      <c r="BK167" s="386">
        <v>3.74</v>
      </c>
      <c r="BL167" s="386">
        <v>2.42</v>
      </c>
      <c r="BM167" s="386">
        <v>0</v>
      </c>
      <c r="BN167" s="386">
        <v>30.6</v>
      </c>
      <c r="BO167" s="386">
        <v>1548.9</v>
      </c>
      <c r="BP167" s="386">
        <v>2</v>
      </c>
      <c r="BQ167" s="615">
        <v>20.94</v>
      </c>
      <c r="BR167" s="615">
        <v>21.6</v>
      </c>
      <c r="BS167" s="615">
        <v>13.87</v>
      </c>
      <c r="BT167" s="615">
        <v>14.01</v>
      </c>
      <c r="BU167" s="614">
        <v>28.4</v>
      </c>
      <c r="BV167" s="614">
        <v>27</v>
      </c>
      <c r="BW167" s="615">
        <v>1031.0999999999999</v>
      </c>
      <c r="BX167" s="791"/>
      <c r="BY167" s="615">
        <v>0</v>
      </c>
      <c r="BZ167" s="615">
        <v>1.1299999999999999</v>
      </c>
      <c r="CA167" s="615">
        <v>1.1000000000000001</v>
      </c>
      <c r="CB167" s="615">
        <v>8.3000000000000007</v>
      </c>
      <c r="CC167" s="615">
        <v>8.4</v>
      </c>
      <c r="CD167" s="615">
        <v>15</v>
      </c>
      <c r="CE167" s="615">
        <v>32.9</v>
      </c>
      <c r="CF167" s="615">
        <v>19.3</v>
      </c>
      <c r="CG167" s="615">
        <v>6.2</v>
      </c>
      <c r="CH167" s="615">
        <v>11.5</v>
      </c>
      <c r="CI167" s="615">
        <v>15.7</v>
      </c>
      <c r="CJ167" s="615">
        <v>12.78</v>
      </c>
      <c r="CK167" s="615">
        <v>373.2</v>
      </c>
      <c r="CL167" s="615">
        <v>2.1</v>
      </c>
      <c r="CM167" s="615">
        <v>3.5</v>
      </c>
      <c r="CN167" s="615">
        <v>2373.4</v>
      </c>
      <c r="CO167" s="615">
        <v>967</v>
      </c>
      <c r="CP167" s="615">
        <v>663.1</v>
      </c>
      <c r="CQ167" s="615">
        <v>13.3</v>
      </c>
      <c r="CR167" s="615">
        <v>0.83</v>
      </c>
      <c r="CS167" s="614">
        <v>3365.1</v>
      </c>
      <c r="CT167" s="386">
        <v>15.474</v>
      </c>
      <c r="CU167" s="386">
        <v>53</v>
      </c>
      <c r="CV167" s="499">
        <v>0</v>
      </c>
      <c r="CW167" s="499">
        <v>0</v>
      </c>
      <c r="CX167" s="499">
        <v>0</v>
      </c>
      <c r="CY167" s="499">
        <v>0</v>
      </c>
      <c r="CZ167" s="643">
        <v>931</v>
      </c>
      <c r="DA167" s="643">
        <v>1020</v>
      </c>
      <c r="DB167" s="643">
        <v>852</v>
      </c>
      <c r="DC167" s="609">
        <v>1166.8599999999999</v>
      </c>
      <c r="DD167" s="1153">
        <f t="shared" si="54"/>
        <v>-9.9999999999909051E-3</v>
      </c>
      <c r="DE167" s="1154">
        <f t="shared" si="55"/>
        <v>14.866742592</v>
      </c>
      <c r="DF167" s="1154">
        <f t="shared" si="56"/>
        <v>742</v>
      </c>
      <c r="DG167" s="1154">
        <f t="shared" si="57"/>
        <v>770</v>
      </c>
      <c r="DH167" s="1155" t="str">
        <f t="shared" si="58"/>
        <v>Palm</v>
      </c>
      <c r="DI167" s="1146">
        <f t="shared" si="59"/>
        <v>168</v>
      </c>
      <c r="DJ167" s="1146">
        <f t="shared" si="60"/>
        <v>4.8457439999999998</v>
      </c>
      <c r="DK167" s="1154">
        <f t="shared" si="61"/>
        <v>14.866742592</v>
      </c>
      <c r="DL167" s="615"/>
      <c r="DM167" s="615"/>
      <c r="DN167" s="615"/>
      <c r="DO167" s="499"/>
      <c r="DP167" s="499"/>
      <c r="DQ167" s="499"/>
      <c r="DR167" s="499"/>
      <c r="DS167" s="499"/>
      <c r="DT167" s="499"/>
      <c r="DU167" s="499"/>
      <c r="DV167" s="499"/>
      <c r="DW167" s="499"/>
      <c r="DX167" s="499"/>
      <c r="DY167" s="499"/>
      <c r="DZ167" s="499"/>
      <c r="EA167" s="499"/>
      <c r="EB167" s="499"/>
      <c r="EC167" s="499"/>
      <c r="ED167" s="499"/>
      <c r="EE167" s="499"/>
      <c r="EF167" s="499"/>
      <c r="EG167" s="1146">
        <f t="shared" si="62"/>
        <v>14</v>
      </c>
      <c r="EH167" s="630">
        <v>0</v>
      </c>
      <c r="EI167" s="642">
        <v>1.5</v>
      </c>
      <c r="EJ167" s="613">
        <v>4.5</v>
      </c>
      <c r="EK167" s="613">
        <v>8</v>
      </c>
      <c r="EL167" s="499"/>
      <c r="EM167" s="615"/>
      <c r="EN167" s="499"/>
      <c r="EO167" s="499"/>
      <c r="EP167" s="499"/>
      <c r="EQ167" s="499"/>
      <c r="ER167" s="499"/>
      <c r="ES167" s="388"/>
      <c r="ET167" s="388"/>
      <c r="EV167" s="1167">
        <f t="shared" si="50"/>
        <v>21.657999999999998</v>
      </c>
      <c r="EW167" s="1016"/>
    </row>
    <row r="168" spans="1:153" s="350" customFormat="1" ht="15" x14ac:dyDescent="0.25">
      <c r="A168" s="632" t="s">
        <v>7</v>
      </c>
      <c r="B168" s="662">
        <v>42894</v>
      </c>
      <c r="C168" s="1132" t="s">
        <v>904</v>
      </c>
      <c r="D168" s="386">
        <v>0.91</v>
      </c>
      <c r="E168" s="636">
        <v>0</v>
      </c>
      <c r="F168" s="636">
        <v>48</v>
      </c>
      <c r="G168" s="636">
        <v>1.1000000000000001</v>
      </c>
      <c r="H168" s="386">
        <v>2.2000000000000002</v>
      </c>
      <c r="I168" s="386">
        <v>16</v>
      </c>
      <c r="J168" s="386">
        <v>0</v>
      </c>
      <c r="K168" s="386">
        <v>1.85</v>
      </c>
      <c r="L168" s="610">
        <v>0</v>
      </c>
      <c r="M168" s="386">
        <v>20.100000000000001</v>
      </c>
      <c r="N168" s="386">
        <v>1.1399999999999999</v>
      </c>
      <c r="O168" s="386">
        <v>1.3068121482425978</v>
      </c>
      <c r="P168" s="386">
        <v>1.1599999999999999</v>
      </c>
      <c r="Q168" s="386">
        <v>0.59086700764366007</v>
      </c>
      <c r="R168" s="732">
        <v>889.06460755813953</v>
      </c>
      <c r="S168" s="386">
        <v>8.0399999999999991</v>
      </c>
      <c r="T168" s="386">
        <v>8.11</v>
      </c>
      <c r="U168" s="386">
        <v>0.72</v>
      </c>
      <c r="V168" s="739">
        <v>0.98</v>
      </c>
      <c r="W168" s="739">
        <v>51.260000000000005</v>
      </c>
      <c r="X168" s="613">
        <v>51.260000000000005</v>
      </c>
      <c r="Y168" s="367">
        <v>31</v>
      </c>
      <c r="Z168" s="636">
        <v>41.23</v>
      </c>
      <c r="AA168" s="636">
        <v>31</v>
      </c>
      <c r="AB168" s="636">
        <v>35.880000000000003</v>
      </c>
      <c r="AC168" s="1160">
        <f t="shared" si="51"/>
        <v>66.88</v>
      </c>
      <c r="AD168" s="1160">
        <f t="shared" si="52"/>
        <v>103.46335999999999</v>
      </c>
      <c r="AE168" s="1160">
        <f t="shared" si="53"/>
        <v>103.46335999999999</v>
      </c>
      <c r="AF168" s="542"/>
      <c r="AG168" s="1160">
        <f t="shared" si="49"/>
        <v>0</v>
      </c>
      <c r="AH168" s="896"/>
      <c r="AI168" s="351"/>
      <c r="AJ168" s="897"/>
      <c r="AK168" s="388"/>
      <c r="AL168" s="388"/>
      <c r="AM168" s="388"/>
      <c r="AN168" s="388"/>
      <c r="AO168" s="370"/>
      <c r="AP168" s="370"/>
      <c r="AQ168" s="927"/>
      <c r="AR168" s="551">
        <v>0</v>
      </c>
      <c r="AS168" s="386">
        <v>11.4</v>
      </c>
      <c r="AT168" s="386">
        <v>0</v>
      </c>
      <c r="AU168" s="386">
        <v>0</v>
      </c>
      <c r="AV168" s="636">
        <v>479.3</v>
      </c>
      <c r="AW168" s="636">
        <v>641.6</v>
      </c>
      <c r="AX168" s="386">
        <v>0</v>
      </c>
      <c r="AY168" s="551">
        <v>0</v>
      </c>
      <c r="AZ168" s="551">
        <v>0</v>
      </c>
      <c r="BA168" s="551">
        <v>0</v>
      </c>
      <c r="BB168" s="975">
        <v>0</v>
      </c>
      <c r="BC168" s="386">
        <v>1.34</v>
      </c>
      <c r="BD168" s="386">
        <v>1.92</v>
      </c>
      <c r="BE168" s="551">
        <v>0</v>
      </c>
      <c r="BF168" s="386">
        <v>0.96</v>
      </c>
      <c r="BG168" s="386">
        <v>0</v>
      </c>
      <c r="BH168" s="551">
        <v>0</v>
      </c>
      <c r="BI168" s="386">
        <v>1.35</v>
      </c>
      <c r="BJ168" s="386">
        <v>29.6</v>
      </c>
      <c r="BK168" s="386">
        <v>3.82</v>
      </c>
      <c r="BL168" s="386">
        <v>4.17</v>
      </c>
      <c r="BM168" s="386">
        <v>0</v>
      </c>
      <c r="BN168" s="386">
        <v>22.15</v>
      </c>
      <c r="BO168" s="386">
        <v>1891.2</v>
      </c>
      <c r="BP168" s="386">
        <v>1.9</v>
      </c>
      <c r="BQ168" s="615">
        <v>21.49</v>
      </c>
      <c r="BR168" s="615">
        <v>22.2</v>
      </c>
      <c r="BS168" s="615">
        <v>14.23</v>
      </c>
      <c r="BT168" s="615">
        <v>14.3</v>
      </c>
      <c r="BU168" s="614">
        <v>29</v>
      </c>
      <c r="BV168" s="614">
        <v>32.700000000000003</v>
      </c>
      <c r="BW168" s="615">
        <v>668.8</v>
      </c>
      <c r="BX168" s="791"/>
      <c r="BY168" s="615">
        <v>0</v>
      </c>
      <c r="BZ168" s="615">
        <v>1.1200000000000001</v>
      </c>
      <c r="CA168" s="615">
        <v>1.1000000000000001</v>
      </c>
      <c r="CB168" s="615">
        <v>8.3000000000000007</v>
      </c>
      <c r="CC168" s="615">
        <v>8.4</v>
      </c>
      <c r="CD168" s="615">
        <v>16.2</v>
      </c>
      <c r="CE168" s="615">
        <v>33.1</v>
      </c>
      <c r="CF168" s="615">
        <v>19.100000000000001</v>
      </c>
      <c r="CG168" s="615">
        <v>8.7799999999999994</v>
      </c>
      <c r="CH168" s="615">
        <v>14.6</v>
      </c>
      <c r="CI168" s="615">
        <v>18.61</v>
      </c>
      <c r="CJ168" s="615">
        <v>13.73</v>
      </c>
      <c r="CK168" s="615">
        <v>402.5</v>
      </c>
      <c r="CL168" s="615">
        <v>2.7</v>
      </c>
      <c r="CM168" s="615">
        <v>3.3</v>
      </c>
      <c r="CN168" s="615">
        <v>1676.1</v>
      </c>
      <c r="CO168" s="615">
        <v>747.2</v>
      </c>
      <c r="CP168" s="615">
        <v>616.1</v>
      </c>
      <c r="CQ168" s="615">
        <v>13.4</v>
      </c>
      <c r="CR168" s="615">
        <v>0.86</v>
      </c>
      <c r="CS168" s="614">
        <v>3347.6</v>
      </c>
      <c r="CT168" s="386">
        <v>15.965999999999999</v>
      </c>
      <c r="CU168" s="386">
        <v>53</v>
      </c>
      <c r="CV168" s="499">
        <v>0</v>
      </c>
      <c r="CW168" s="499">
        <v>0</v>
      </c>
      <c r="CX168" s="499">
        <v>0</v>
      </c>
      <c r="CY168" s="499">
        <v>0</v>
      </c>
      <c r="CZ168" s="643">
        <v>1040</v>
      </c>
      <c r="DA168" s="643">
        <v>1230</v>
      </c>
      <c r="DB168" s="643">
        <v>970</v>
      </c>
      <c r="DC168" s="609">
        <v>1166.9100000000001</v>
      </c>
      <c r="DD168" s="1153">
        <f t="shared" si="54"/>
        <v>5.0000000000181899E-2</v>
      </c>
      <c r="DE168" s="1154">
        <f t="shared" si="55"/>
        <v>14.789428991999999</v>
      </c>
      <c r="DF168" s="1154">
        <f t="shared" si="56"/>
        <v>860</v>
      </c>
      <c r="DG168" s="1154">
        <f t="shared" si="57"/>
        <v>980</v>
      </c>
      <c r="DH168" s="1155" t="str">
        <f t="shared" si="58"/>
        <v>Palm</v>
      </c>
      <c r="DI168" s="1146">
        <f t="shared" si="59"/>
        <v>260</v>
      </c>
      <c r="DJ168" s="1146">
        <f t="shared" si="60"/>
        <v>4.8205439999999999</v>
      </c>
      <c r="DK168" s="1154">
        <f t="shared" si="61"/>
        <v>14.789428991999999</v>
      </c>
      <c r="DL168" s="615"/>
      <c r="DM168" s="615"/>
      <c r="DN168" s="615"/>
      <c r="DO168" s="499"/>
      <c r="DP168" s="499"/>
      <c r="DQ168" s="499"/>
      <c r="DR168" s="499"/>
      <c r="DS168" s="499"/>
      <c r="DT168" s="499"/>
      <c r="DU168" s="499"/>
      <c r="DV168" s="499"/>
      <c r="DW168" s="499"/>
      <c r="DX168" s="499"/>
      <c r="DY168" s="499"/>
      <c r="DZ168" s="499"/>
      <c r="EA168" s="499"/>
      <c r="EB168" s="499"/>
      <c r="EC168" s="499"/>
      <c r="ED168" s="499"/>
      <c r="EE168" s="499"/>
      <c r="EF168" s="499"/>
      <c r="EG168" s="1146">
        <f t="shared" si="62"/>
        <v>14</v>
      </c>
      <c r="EH168" s="630">
        <v>0</v>
      </c>
      <c r="EI168" s="642">
        <v>1.5</v>
      </c>
      <c r="EJ168" s="613">
        <v>4.5</v>
      </c>
      <c r="EK168" s="613">
        <v>8</v>
      </c>
      <c r="EL168" s="499"/>
      <c r="EM168" s="615"/>
      <c r="EN168" s="499"/>
      <c r="EO168" s="499"/>
      <c r="EP168" s="499"/>
      <c r="EQ168" s="499"/>
      <c r="ER168" s="499"/>
      <c r="ES168" s="388"/>
      <c r="ET168" s="388"/>
      <c r="EV168" s="1167">
        <f t="shared" si="50"/>
        <v>21.657999999999998</v>
      </c>
      <c r="EW168" s="1016"/>
    </row>
    <row r="169" spans="1:153" s="350" customFormat="1" ht="15" x14ac:dyDescent="0.25">
      <c r="A169" s="632" t="s">
        <v>8</v>
      </c>
      <c r="B169" s="662">
        <v>42895</v>
      </c>
      <c r="C169" s="1132" t="s">
        <v>904</v>
      </c>
      <c r="D169" s="386">
        <v>0.15</v>
      </c>
      <c r="E169" s="636">
        <v>0</v>
      </c>
      <c r="F169" s="636">
        <v>47.1</v>
      </c>
      <c r="G169" s="636">
        <v>1</v>
      </c>
      <c r="H169" s="386">
        <v>1.43</v>
      </c>
      <c r="I169" s="386">
        <v>14.5</v>
      </c>
      <c r="J169" s="386">
        <v>0</v>
      </c>
      <c r="K169" s="386">
        <v>1.88</v>
      </c>
      <c r="L169" s="610">
        <v>0</v>
      </c>
      <c r="M169" s="386">
        <v>19.899999999999999</v>
      </c>
      <c r="N169" s="386">
        <v>1.1599999999999999</v>
      </c>
      <c r="O169" s="386">
        <v>1.2990552325580207</v>
      </c>
      <c r="P169" s="386">
        <v>1.1599999999999999</v>
      </c>
      <c r="Q169" s="386">
        <v>0.60182738881549969</v>
      </c>
      <c r="R169" s="732">
        <v>854.72877906976748</v>
      </c>
      <c r="S169" s="386">
        <v>8.1300000000000008</v>
      </c>
      <c r="T169" s="386">
        <v>8.23</v>
      </c>
      <c r="U169" s="386">
        <v>0.7</v>
      </c>
      <c r="V169" s="739">
        <v>0.94</v>
      </c>
      <c r="W169" s="739">
        <v>50.900000000000006</v>
      </c>
      <c r="X169" s="613">
        <v>51.08</v>
      </c>
      <c r="Y169" s="367">
        <v>31</v>
      </c>
      <c r="Z169" s="636">
        <v>35.880000000000003</v>
      </c>
      <c r="AA169" s="636">
        <v>31</v>
      </c>
      <c r="AB169" s="636">
        <v>33.1</v>
      </c>
      <c r="AC169" s="1160">
        <f t="shared" si="51"/>
        <v>64.099999999999994</v>
      </c>
      <c r="AD169" s="1160">
        <f t="shared" si="52"/>
        <v>99.162699999999987</v>
      </c>
      <c r="AE169" s="1160">
        <f t="shared" si="53"/>
        <v>99.162699999999987</v>
      </c>
      <c r="AF169" s="542"/>
      <c r="AG169" s="1160">
        <f t="shared" si="49"/>
        <v>0</v>
      </c>
      <c r="AH169" s="896"/>
      <c r="AI169" s="351"/>
      <c r="AJ169" s="897"/>
      <c r="AK169" s="388"/>
      <c r="AL169" s="388"/>
      <c r="AM169" s="388"/>
      <c r="AN169" s="388"/>
      <c r="AO169" s="370"/>
      <c r="AP169" s="370"/>
      <c r="AQ169" s="927"/>
      <c r="AR169" s="551">
        <v>0</v>
      </c>
      <c r="AS169" s="386">
        <v>22.8</v>
      </c>
      <c r="AT169" s="386">
        <v>0</v>
      </c>
      <c r="AU169" s="386">
        <v>0</v>
      </c>
      <c r="AV169" s="636">
        <v>572.70000000000005</v>
      </c>
      <c r="AW169" s="636">
        <v>613.29999999999995</v>
      </c>
      <c r="AX169" s="386">
        <v>0</v>
      </c>
      <c r="AY169" s="551">
        <v>0</v>
      </c>
      <c r="AZ169" s="551">
        <v>0</v>
      </c>
      <c r="BA169" s="551">
        <v>0</v>
      </c>
      <c r="BB169" s="975">
        <v>0</v>
      </c>
      <c r="BC169" s="386">
        <v>0.64</v>
      </c>
      <c r="BD169" s="386">
        <v>1.65</v>
      </c>
      <c r="BE169" s="551">
        <v>0</v>
      </c>
      <c r="BF169" s="386">
        <v>0.499</v>
      </c>
      <c r="BG169" s="386">
        <v>0</v>
      </c>
      <c r="BH169" s="551">
        <v>0</v>
      </c>
      <c r="BI169" s="386">
        <v>1.52</v>
      </c>
      <c r="BJ169" s="386">
        <v>28.1</v>
      </c>
      <c r="BK169" s="386">
        <v>3.69</v>
      </c>
      <c r="BL169" s="386">
        <v>4.43</v>
      </c>
      <c r="BM169" s="386">
        <v>0</v>
      </c>
      <c r="BN169" s="386">
        <v>20.100000000000001</v>
      </c>
      <c r="BO169" s="386">
        <v>1361.7</v>
      </c>
      <c r="BP169" s="386">
        <v>2</v>
      </c>
      <c r="BQ169" s="499">
        <v>22.43</v>
      </c>
      <c r="BR169" s="499">
        <v>23.12</v>
      </c>
      <c r="BS169" s="615">
        <v>14.2</v>
      </c>
      <c r="BT169" s="615">
        <v>14.34</v>
      </c>
      <c r="BU169" s="614">
        <v>29</v>
      </c>
      <c r="BV169" s="614">
        <v>31.5</v>
      </c>
      <c r="BW169" s="615">
        <v>721.2</v>
      </c>
      <c r="BX169" s="791"/>
      <c r="BY169" s="615">
        <v>0</v>
      </c>
      <c r="BZ169" s="615">
        <v>1.1100000000000001</v>
      </c>
      <c r="CA169" s="615">
        <v>1.1000000000000001</v>
      </c>
      <c r="CB169" s="615">
        <v>8.3000000000000007</v>
      </c>
      <c r="CC169" s="615">
        <v>8.3000000000000007</v>
      </c>
      <c r="CD169" s="615">
        <v>16.5</v>
      </c>
      <c r="CE169" s="615">
        <v>33.200000000000003</v>
      </c>
      <c r="CF169" s="615">
        <v>20.8</v>
      </c>
      <c r="CG169" s="615">
        <v>7.6</v>
      </c>
      <c r="CH169" s="615">
        <v>13.1</v>
      </c>
      <c r="CI169" s="615">
        <v>17.5</v>
      </c>
      <c r="CJ169" s="615">
        <v>13.6</v>
      </c>
      <c r="CK169" s="615">
        <v>352.5</v>
      </c>
      <c r="CL169" s="615">
        <v>2.5</v>
      </c>
      <c r="CM169" s="615">
        <v>3.5</v>
      </c>
      <c r="CN169" s="615">
        <v>1483.1</v>
      </c>
      <c r="CO169" s="615">
        <v>691.2</v>
      </c>
      <c r="CP169" s="615">
        <v>609.9</v>
      </c>
      <c r="CQ169" s="615">
        <v>12.8</v>
      </c>
      <c r="CR169" s="615">
        <v>0.82</v>
      </c>
      <c r="CS169" s="614">
        <v>3339</v>
      </c>
      <c r="CT169" s="386">
        <v>15.500999999999999</v>
      </c>
      <c r="CU169" s="386">
        <v>53</v>
      </c>
      <c r="CV169" s="499">
        <v>0</v>
      </c>
      <c r="CW169" s="499">
        <v>0</v>
      </c>
      <c r="CX169" s="499">
        <v>0</v>
      </c>
      <c r="CY169" s="499">
        <v>0</v>
      </c>
      <c r="CZ169" s="643">
        <v>941</v>
      </c>
      <c r="DA169" s="643">
        <v>1230</v>
      </c>
      <c r="DB169" s="643">
        <v>866</v>
      </c>
      <c r="DC169" s="609">
        <v>1166.8900000000001</v>
      </c>
      <c r="DD169" s="1153">
        <f t="shared" si="54"/>
        <v>-1.999999999998181E-2</v>
      </c>
      <c r="DE169" s="1154">
        <f t="shared" si="55"/>
        <v>14.75143488</v>
      </c>
      <c r="DF169" s="1154">
        <f t="shared" si="56"/>
        <v>756</v>
      </c>
      <c r="DG169" s="1154">
        <f t="shared" si="57"/>
        <v>980</v>
      </c>
      <c r="DH169" s="1155" t="str">
        <f t="shared" si="58"/>
        <v>Palm</v>
      </c>
      <c r="DI169" s="1146">
        <f t="shared" si="59"/>
        <v>364</v>
      </c>
      <c r="DJ169" s="1146">
        <f t="shared" si="60"/>
        <v>4.80816</v>
      </c>
      <c r="DK169" s="1154">
        <f t="shared" si="61"/>
        <v>14.75143488</v>
      </c>
      <c r="DL169" s="615"/>
      <c r="DM169" s="615"/>
      <c r="DN169" s="615"/>
      <c r="DO169" s="499"/>
      <c r="DP169" s="499"/>
      <c r="DQ169" s="499"/>
      <c r="DR169" s="499"/>
      <c r="DS169" s="499"/>
      <c r="DT169" s="499"/>
      <c r="DU169" s="499"/>
      <c r="DV169" s="499"/>
      <c r="DW169" s="499"/>
      <c r="DX169" s="499"/>
      <c r="DY169" s="499"/>
      <c r="DZ169" s="499"/>
      <c r="EA169" s="499"/>
      <c r="EB169" s="499"/>
      <c r="EC169" s="499"/>
      <c r="ED169" s="499"/>
      <c r="EE169" s="499"/>
      <c r="EF169" s="499"/>
      <c r="EG169" s="1146">
        <f t="shared" si="62"/>
        <v>14</v>
      </c>
      <c r="EH169" s="630">
        <v>0</v>
      </c>
      <c r="EI169" s="642">
        <v>1.5</v>
      </c>
      <c r="EJ169" s="613">
        <v>4.5</v>
      </c>
      <c r="EK169" s="613">
        <v>8</v>
      </c>
      <c r="EL169" s="499"/>
      <c r="EM169" s="615"/>
      <c r="EN169" s="499"/>
      <c r="EO169" s="499"/>
      <c r="EP169" s="499"/>
      <c r="EQ169" s="499"/>
      <c r="ER169" s="499"/>
      <c r="ES169" s="388"/>
      <c r="ET169" s="388"/>
      <c r="EV169" s="1167">
        <f t="shared" si="50"/>
        <v>21.657999999999998</v>
      </c>
      <c r="EW169" s="1016"/>
    </row>
    <row r="170" spans="1:153" s="350" customFormat="1" ht="15" x14ac:dyDescent="0.25">
      <c r="A170" s="632" t="s">
        <v>9</v>
      </c>
      <c r="B170" s="662">
        <v>42896</v>
      </c>
      <c r="C170" s="1132" t="s">
        <v>904</v>
      </c>
      <c r="D170" s="386">
        <v>0.06</v>
      </c>
      <c r="E170" s="636">
        <v>0</v>
      </c>
      <c r="F170" s="636">
        <v>46.7</v>
      </c>
      <c r="G170" s="636">
        <v>1</v>
      </c>
      <c r="H170" s="386">
        <v>1.3</v>
      </c>
      <c r="I170" s="386">
        <v>15.5</v>
      </c>
      <c r="J170" s="386">
        <v>0</v>
      </c>
      <c r="K170" s="386">
        <v>1.85</v>
      </c>
      <c r="L170" s="610">
        <v>0</v>
      </c>
      <c r="M170" s="386">
        <v>19.8</v>
      </c>
      <c r="N170" s="386">
        <v>1.18</v>
      </c>
      <c r="O170" s="386">
        <v>1.372599105840685</v>
      </c>
      <c r="P170" s="386">
        <v>1.17</v>
      </c>
      <c r="Q170" s="386">
        <v>0.64602597974460596</v>
      </c>
      <c r="R170" s="732">
        <v>855.39549418604656</v>
      </c>
      <c r="S170" s="386">
        <v>8.25</v>
      </c>
      <c r="T170" s="386">
        <v>8.33</v>
      </c>
      <c r="U170" s="386">
        <v>0.71</v>
      </c>
      <c r="V170" s="739">
        <v>0.87</v>
      </c>
      <c r="W170" s="739">
        <v>51.260000000000005</v>
      </c>
      <c r="X170" s="613">
        <v>51.08</v>
      </c>
      <c r="Y170" s="367">
        <v>31</v>
      </c>
      <c r="Z170" s="636">
        <v>33.700000000000003</v>
      </c>
      <c r="AA170" s="636">
        <v>31</v>
      </c>
      <c r="AB170" s="636">
        <v>29.4</v>
      </c>
      <c r="AC170" s="1160">
        <f t="shared" si="51"/>
        <v>60.4</v>
      </c>
      <c r="AD170" s="1160">
        <f t="shared" si="52"/>
        <v>93.438800000000001</v>
      </c>
      <c r="AE170" s="1160">
        <f t="shared" si="53"/>
        <v>93.438800000000001</v>
      </c>
      <c r="AF170" s="542"/>
      <c r="AG170" s="1160">
        <f t="shared" si="49"/>
        <v>0</v>
      </c>
      <c r="AH170" s="896"/>
      <c r="AI170" s="351"/>
      <c r="AJ170" s="897"/>
      <c r="AK170" s="388"/>
      <c r="AL170" s="388"/>
      <c r="AM170" s="388"/>
      <c r="AN170" s="388"/>
      <c r="AO170" s="370"/>
      <c r="AP170" s="370"/>
      <c r="AQ170" s="927"/>
      <c r="AR170" s="551">
        <v>0</v>
      </c>
      <c r="AS170" s="386">
        <v>12.2</v>
      </c>
      <c r="AT170" s="386">
        <v>0</v>
      </c>
      <c r="AU170" s="386">
        <v>0</v>
      </c>
      <c r="AV170" s="636">
        <v>713.6</v>
      </c>
      <c r="AW170" s="636">
        <v>853</v>
      </c>
      <c r="AX170" s="386">
        <v>0</v>
      </c>
      <c r="AY170" s="551">
        <v>0</v>
      </c>
      <c r="AZ170" s="551">
        <v>0</v>
      </c>
      <c r="BA170" s="551">
        <v>0</v>
      </c>
      <c r="BB170" s="975">
        <v>0</v>
      </c>
      <c r="BC170" s="386">
        <v>1.01</v>
      </c>
      <c r="BD170" s="386">
        <v>2</v>
      </c>
      <c r="BE170" s="551">
        <v>0</v>
      </c>
      <c r="BF170" s="386">
        <v>0.5</v>
      </c>
      <c r="BG170" s="386">
        <v>0</v>
      </c>
      <c r="BH170" s="551">
        <v>0</v>
      </c>
      <c r="BI170" s="386">
        <v>1.51</v>
      </c>
      <c r="BJ170" s="386">
        <v>24.4</v>
      </c>
      <c r="BK170" s="386">
        <v>3.19</v>
      </c>
      <c r="BL170" s="386">
        <v>4.8600000000000003</v>
      </c>
      <c r="BM170" s="386">
        <v>0</v>
      </c>
      <c r="BN170" s="386">
        <v>16.399999999999999</v>
      </c>
      <c r="BO170" s="386">
        <v>1466.2</v>
      </c>
      <c r="BP170" s="386">
        <v>2</v>
      </c>
      <c r="BQ170" s="499">
        <v>22.85</v>
      </c>
      <c r="BR170" s="499">
        <v>23.54</v>
      </c>
      <c r="BS170" s="615">
        <v>14.01</v>
      </c>
      <c r="BT170" s="615">
        <v>14.12</v>
      </c>
      <c r="BU170" s="614">
        <v>28.6</v>
      </c>
      <c r="BV170" s="614">
        <v>32.6</v>
      </c>
      <c r="BW170" s="615">
        <v>764.3</v>
      </c>
      <c r="BX170" s="791"/>
      <c r="BY170" s="615">
        <v>0</v>
      </c>
      <c r="BZ170" s="615">
        <v>1.1100000000000001</v>
      </c>
      <c r="CA170" s="615">
        <v>1.1000000000000001</v>
      </c>
      <c r="CB170" s="615">
        <v>8.1999999999999993</v>
      </c>
      <c r="CC170" s="615">
        <v>8.3000000000000007</v>
      </c>
      <c r="CD170" s="615">
        <v>14.9</v>
      </c>
      <c r="CE170" s="615">
        <v>33.1</v>
      </c>
      <c r="CF170" s="615">
        <v>18.600000000000001</v>
      </c>
      <c r="CG170" s="615">
        <v>6.7</v>
      </c>
      <c r="CH170" s="615">
        <v>12.2</v>
      </c>
      <c r="CI170" s="615">
        <v>16.2</v>
      </c>
      <c r="CJ170" s="615">
        <v>12.88</v>
      </c>
      <c r="CK170" s="615">
        <v>312.7</v>
      </c>
      <c r="CL170" s="615">
        <v>1.7</v>
      </c>
      <c r="CM170" s="615">
        <v>4</v>
      </c>
      <c r="CN170" s="615">
        <v>15.933999999999999</v>
      </c>
      <c r="CO170" s="615">
        <v>721.3</v>
      </c>
      <c r="CP170" s="615">
        <v>543.20000000000005</v>
      </c>
      <c r="CQ170" s="615">
        <v>12.5</v>
      </c>
      <c r="CR170" s="615">
        <v>0.77</v>
      </c>
      <c r="CS170" s="614">
        <v>3330.6</v>
      </c>
      <c r="CT170" s="386">
        <v>15.907</v>
      </c>
      <c r="CU170" s="386">
        <v>53</v>
      </c>
      <c r="CV170" s="499">
        <v>0</v>
      </c>
      <c r="CW170" s="499">
        <v>0</v>
      </c>
      <c r="CX170" s="499">
        <v>0</v>
      </c>
      <c r="CY170" s="499">
        <v>0</v>
      </c>
      <c r="CZ170" s="643">
        <v>941</v>
      </c>
      <c r="DA170" s="643">
        <v>1200</v>
      </c>
      <c r="DB170" s="643">
        <v>885</v>
      </c>
      <c r="DC170" s="609">
        <v>1166.75</v>
      </c>
      <c r="DD170" s="1153">
        <f t="shared" si="54"/>
        <v>-0.14000000000010004</v>
      </c>
      <c r="DE170" s="1154">
        <f t="shared" si="55"/>
        <v>14.714324352000002</v>
      </c>
      <c r="DF170" s="1154">
        <f t="shared" si="56"/>
        <v>775</v>
      </c>
      <c r="DG170" s="1154">
        <f t="shared" si="57"/>
        <v>950</v>
      </c>
      <c r="DH170" s="1155" t="str">
        <f t="shared" si="58"/>
        <v>Palm</v>
      </c>
      <c r="DI170" s="1146">
        <f t="shared" si="59"/>
        <v>315</v>
      </c>
      <c r="DJ170" s="1146">
        <f t="shared" si="60"/>
        <v>4.7960640000000003</v>
      </c>
      <c r="DK170" s="1154">
        <f t="shared" si="61"/>
        <v>14.714324352000002</v>
      </c>
      <c r="DL170" s="615"/>
      <c r="DM170" s="615"/>
      <c r="DN170" s="615"/>
      <c r="DO170" s="499"/>
      <c r="DP170" s="499"/>
      <c r="DQ170" s="499"/>
      <c r="DR170" s="499"/>
      <c r="DS170" s="499"/>
      <c r="DT170" s="499"/>
      <c r="DU170" s="499"/>
      <c r="DV170" s="499"/>
      <c r="DW170" s="499"/>
      <c r="DX170" s="499"/>
      <c r="DY170" s="499"/>
      <c r="DZ170" s="499"/>
      <c r="EA170" s="499"/>
      <c r="EB170" s="499"/>
      <c r="EC170" s="499"/>
      <c r="ED170" s="499"/>
      <c r="EE170" s="499"/>
      <c r="EF170" s="499"/>
      <c r="EG170" s="1146">
        <f t="shared" si="62"/>
        <v>14.5</v>
      </c>
      <c r="EH170" s="630">
        <v>0</v>
      </c>
      <c r="EI170" s="642">
        <v>1.5</v>
      </c>
      <c r="EJ170" s="613">
        <v>5</v>
      </c>
      <c r="EK170" s="613">
        <v>8</v>
      </c>
      <c r="EL170" s="499"/>
      <c r="EM170" s="615"/>
      <c r="EN170" s="499"/>
      <c r="EO170" s="499"/>
      <c r="EP170" s="499"/>
      <c r="EQ170" s="499"/>
      <c r="ER170" s="499"/>
      <c r="ES170" s="388"/>
      <c r="ET170" s="388"/>
      <c r="EV170" s="1167">
        <f t="shared" si="50"/>
        <v>22.4315</v>
      </c>
      <c r="EW170" s="1016"/>
    </row>
    <row r="171" spans="1:153" s="350" customFormat="1" ht="15" x14ac:dyDescent="0.25">
      <c r="A171" s="632" t="s">
        <v>3</v>
      </c>
      <c r="B171" s="662">
        <v>42897</v>
      </c>
      <c r="C171" s="1132" t="s">
        <v>904</v>
      </c>
      <c r="D171" s="386">
        <v>0</v>
      </c>
      <c r="E171" s="636">
        <v>0</v>
      </c>
      <c r="F171" s="636">
        <v>52</v>
      </c>
      <c r="G171" s="636">
        <v>0.75</v>
      </c>
      <c r="H171" s="386">
        <v>1.22</v>
      </c>
      <c r="I171" s="386">
        <v>16.3</v>
      </c>
      <c r="J171" s="386">
        <v>0</v>
      </c>
      <c r="K171" s="386">
        <v>1.81</v>
      </c>
      <c r="L171" s="610">
        <v>0</v>
      </c>
      <c r="M171" s="386">
        <v>19.600000000000001</v>
      </c>
      <c r="N171" s="386">
        <v>1.17</v>
      </c>
      <c r="O171" s="386">
        <v>1.3715777397529312</v>
      </c>
      <c r="P171" s="386">
        <v>1.1599999999999999</v>
      </c>
      <c r="Q171" s="386">
        <v>0.64645786087554602</v>
      </c>
      <c r="R171" s="732">
        <v>842.06119186046521</v>
      </c>
      <c r="S171" s="386">
        <v>8.24</v>
      </c>
      <c r="T171" s="386">
        <v>8.34</v>
      </c>
      <c r="U171" s="386">
        <v>0.71</v>
      </c>
      <c r="V171" s="739">
        <v>0.8</v>
      </c>
      <c r="W171" s="739">
        <v>51.44</v>
      </c>
      <c r="X171" s="613">
        <v>51.44</v>
      </c>
      <c r="Y171" s="367">
        <v>31</v>
      </c>
      <c r="Z171" s="636">
        <v>30.65</v>
      </c>
      <c r="AA171" s="636">
        <v>31</v>
      </c>
      <c r="AB171" s="636">
        <v>29.4</v>
      </c>
      <c r="AC171" s="1160">
        <f t="shared" si="51"/>
        <v>60.4</v>
      </c>
      <c r="AD171" s="1160">
        <f t="shared" si="52"/>
        <v>93.438800000000001</v>
      </c>
      <c r="AE171" s="1160">
        <f t="shared" si="53"/>
        <v>93.438800000000001</v>
      </c>
      <c r="AF171" s="542"/>
      <c r="AG171" s="1160">
        <f t="shared" si="49"/>
        <v>0</v>
      </c>
      <c r="AH171" s="896"/>
      <c r="AI171" s="351"/>
      <c r="AJ171" s="897"/>
      <c r="AK171" s="388"/>
      <c r="AL171" s="388"/>
      <c r="AM171" s="388"/>
      <c r="AN171" s="388"/>
      <c r="AO171" s="370"/>
      <c r="AP171" s="370"/>
      <c r="AQ171" s="927"/>
      <c r="AR171" s="551">
        <v>0</v>
      </c>
      <c r="AS171" s="386">
        <v>22.6</v>
      </c>
      <c r="AT171" s="386">
        <v>0</v>
      </c>
      <c r="AU171" s="386">
        <v>0</v>
      </c>
      <c r="AV171" s="636">
        <v>686.4</v>
      </c>
      <c r="AW171" s="636">
        <v>819</v>
      </c>
      <c r="AX171" s="386">
        <v>0</v>
      </c>
      <c r="AY171" s="551">
        <v>0</v>
      </c>
      <c r="AZ171" s="551">
        <v>0</v>
      </c>
      <c r="BA171" s="551">
        <v>0</v>
      </c>
      <c r="BB171" s="975">
        <v>0</v>
      </c>
      <c r="BC171" s="386">
        <v>1</v>
      </c>
      <c r="BD171" s="386">
        <v>2</v>
      </c>
      <c r="BE171" s="551">
        <v>0</v>
      </c>
      <c r="BF171" s="386">
        <v>0.502</v>
      </c>
      <c r="BG171" s="386">
        <v>0</v>
      </c>
      <c r="BH171" s="551">
        <v>0</v>
      </c>
      <c r="BI171" s="386">
        <v>1.51</v>
      </c>
      <c r="BJ171" s="386">
        <v>23.7</v>
      </c>
      <c r="BK171" s="386">
        <v>3.71</v>
      </c>
      <c r="BL171" s="386">
        <v>4.5199999999999996</v>
      </c>
      <c r="BM171" s="386">
        <v>0</v>
      </c>
      <c r="BN171" s="386">
        <v>15.6</v>
      </c>
      <c r="BO171" s="386">
        <v>1879.2</v>
      </c>
      <c r="BP171" s="386">
        <v>2</v>
      </c>
      <c r="BQ171" s="499">
        <v>20.29</v>
      </c>
      <c r="BR171" s="499">
        <v>20.99</v>
      </c>
      <c r="BS171" s="615">
        <v>14.04</v>
      </c>
      <c r="BT171" s="615">
        <v>14.16</v>
      </c>
      <c r="BU171" s="614">
        <v>28.7</v>
      </c>
      <c r="BV171" s="614">
        <v>42</v>
      </c>
      <c r="BW171" s="615">
        <v>796.9</v>
      </c>
      <c r="BX171" s="791"/>
      <c r="BY171" s="615">
        <v>0</v>
      </c>
      <c r="BZ171" s="615">
        <v>1.1100000000000001</v>
      </c>
      <c r="CA171" s="615">
        <v>1.1000000000000001</v>
      </c>
      <c r="CB171" s="615">
        <v>8.1999999999999993</v>
      </c>
      <c r="CC171" s="615">
        <v>8.4</v>
      </c>
      <c r="CD171" s="615">
        <v>15</v>
      </c>
      <c r="CE171" s="615">
        <v>32.700000000000003</v>
      </c>
      <c r="CF171" s="615">
        <v>20.399999999999999</v>
      </c>
      <c r="CG171" s="615">
        <v>6.7</v>
      </c>
      <c r="CH171" s="615">
        <v>12.2</v>
      </c>
      <c r="CI171" s="615">
        <v>16.2</v>
      </c>
      <c r="CJ171" s="615">
        <v>12.32</v>
      </c>
      <c r="CK171" s="615">
        <v>340.2</v>
      </c>
      <c r="CL171" s="615">
        <v>2</v>
      </c>
      <c r="CM171" s="615">
        <v>3.3</v>
      </c>
      <c r="CN171" s="615">
        <v>2208.6</v>
      </c>
      <c r="CO171" s="615">
        <v>855.3</v>
      </c>
      <c r="CP171" s="615">
        <v>600.1</v>
      </c>
      <c r="CQ171" s="615">
        <v>12.7</v>
      </c>
      <c r="CR171" s="615">
        <v>0.77</v>
      </c>
      <c r="CS171" s="614">
        <v>3324.5</v>
      </c>
      <c r="CT171" s="386">
        <v>15.473000000000001</v>
      </c>
      <c r="CU171" s="386">
        <v>53</v>
      </c>
      <c r="CV171" s="499">
        <v>0</v>
      </c>
      <c r="CW171" s="499">
        <v>0</v>
      </c>
      <c r="CX171" s="499">
        <v>0</v>
      </c>
      <c r="CY171" s="499">
        <v>0</v>
      </c>
      <c r="CZ171" s="643">
        <v>709</v>
      </c>
      <c r="DA171" s="643">
        <v>977</v>
      </c>
      <c r="DB171" s="643">
        <v>656</v>
      </c>
      <c r="DC171" s="609">
        <v>1166.6300000000001</v>
      </c>
      <c r="DD171" s="1153">
        <f t="shared" si="54"/>
        <v>-0.11999999999989086</v>
      </c>
      <c r="DE171" s="1154">
        <f t="shared" si="55"/>
        <v>14.687375040000001</v>
      </c>
      <c r="DF171" s="1154">
        <f t="shared" si="56"/>
        <v>546</v>
      </c>
      <c r="DG171" s="1154">
        <f t="shared" si="57"/>
        <v>727</v>
      </c>
      <c r="DH171" s="1155" t="str">
        <f t="shared" si="58"/>
        <v>Palm</v>
      </c>
      <c r="DI171" s="1146">
        <f t="shared" si="59"/>
        <v>321</v>
      </c>
      <c r="DJ171" s="1146">
        <f t="shared" si="60"/>
        <v>4.78728</v>
      </c>
      <c r="DK171" s="1154">
        <f t="shared" si="61"/>
        <v>14.687375040000001</v>
      </c>
      <c r="DL171" s="615"/>
      <c r="DM171" s="615"/>
      <c r="DN171" s="615"/>
      <c r="DO171" s="499"/>
      <c r="DP171" s="499"/>
      <c r="DQ171" s="499"/>
      <c r="DR171" s="499"/>
      <c r="DS171" s="499"/>
      <c r="DT171" s="499"/>
      <c r="DU171" s="499"/>
      <c r="DV171" s="499"/>
      <c r="DW171" s="499"/>
      <c r="DX171" s="499"/>
      <c r="DY171" s="499"/>
      <c r="DZ171" s="499"/>
      <c r="EA171" s="499"/>
      <c r="EB171" s="499"/>
      <c r="EC171" s="499"/>
      <c r="ED171" s="499"/>
      <c r="EE171" s="499"/>
      <c r="EF171" s="499"/>
      <c r="EG171" s="1146">
        <f t="shared" si="62"/>
        <v>14.5</v>
      </c>
      <c r="EH171" s="630">
        <v>0</v>
      </c>
      <c r="EI171" s="642">
        <v>1.5</v>
      </c>
      <c r="EJ171" s="613">
        <v>5</v>
      </c>
      <c r="EK171" s="613">
        <v>8</v>
      </c>
      <c r="EL171" s="499"/>
      <c r="EM171" s="615"/>
      <c r="EN171" s="499"/>
      <c r="EO171" s="499"/>
      <c r="EP171" s="499"/>
      <c r="EQ171" s="499"/>
      <c r="ER171" s="499"/>
      <c r="ES171" s="388"/>
      <c r="ET171" s="388"/>
      <c r="EV171" s="1167">
        <f t="shared" si="50"/>
        <v>22.4315</v>
      </c>
      <c r="EW171" s="1016"/>
    </row>
    <row r="172" spans="1:153" s="350" customFormat="1" ht="15" x14ac:dyDescent="0.25">
      <c r="A172" s="632" t="s">
        <v>4</v>
      </c>
      <c r="B172" s="662">
        <v>42898</v>
      </c>
      <c r="C172" s="1132" t="s">
        <v>904</v>
      </c>
      <c r="D172" s="386">
        <v>0</v>
      </c>
      <c r="E172" s="636">
        <v>0</v>
      </c>
      <c r="F172" s="636">
        <v>51</v>
      </c>
      <c r="G172" s="636">
        <v>0.6</v>
      </c>
      <c r="H172" s="386">
        <v>2.2799999999999998</v>
      </c>
      <c r="I172" s="386">
        <v>14.7</v>
      </c>
      <c r="J172" s="386">
        <v>0</v>
      </c>
      <c r="K172" s="386">
        <v>2.2599999999999998</v>
      </c>
      <c r="L172" s="610">
        <v>0</v>
      </c>
      <c r="M172" s="386">
        <v>19.5</v>
      </c>
      <c r="N172" s="386">
        <v>1.1599999999999999</v>
      </c>
      <c r="O172" s="386">
        <v>1.3367225422010316</v>
      </c>
      <c r="P172" s="386">
        <v>1.1499999999999999</v>
      </c>
      <c r="Q172" s="386">
        <v>0.64697741712261547</v>
      </c>
      <c r="R172" s="732">
        <v>897.06518895348836</v>
      </c>
      <c r="S172" s="386">
        <v>8.15</v>
      </c>
      <c r="T172" s="386">
        <v>8.27</v>
      </c>
      <c r="U172" s="386">
        <v>0.72</v>
      </c>
      <c r="V172" s="739">
        <v>0.74</v>
      </c>
      <c r="W172" s="739">
        <v>51.260000000000005</v>
      </c>
      <c r="X172" s="613">
        <v>51.620000000000005</v>
      </c>
      <c r="Y172" s="367">
        <v>31</v>
      </c>
      <c r="Z172" s="636">
        <v>29.85</v>
      </c>
      <c r="AA172" s="636">
        <v>30.97</v>
      </c>
      <c r="AB172" s="636">
        <v>33.799999999999997</v>
      </c>
      <c r="AC172" s="1160">
        <f t="shared" si="51"/>
        <v>64.77</v>
      </c>
      <c r="AD172" s="1160">
        <f t="shared" si="52"/>
        <v>100.19918999999999</v>
      </c>
      <c r="AE172" s="1160">
        <f t="shared" si="53"/>
        <v>100.19918999999999</v>
      </c>
      <c r="AF172" s="542"/>
      <c r="AG172" s="1160">
        <f t="shared" si="49"/>
        <v>0</v>
      </c>
      <c r="AH172" s="896"/>
      <c r="AI172" s="351"/>
      <c r="AJ172" s="897"/>
      <c r="AK172" s="388"/>
      <c r="AL172" s="388"/>
      <c r="AM172" s="388"/>
      <c r="AN172" s="388"/>
      <c r="AO172" s="370"/>
      <c r="AP172" s="370"/>
      <c r="AQ172" s="927"/>
      <c r="AR172" s="551">
        <v>0</v>
      </c>
      <c r="AS172" s="386">
        <v>22.9</v>
      </c>
      <c r="AT172" s="386">
        <v>0</v>
      </c>
      <c r="AU172" s="386">
        <v>0</v>
      </c>
      <c r="AV172" s="636">
        <v>650.79999999999995</v>
      </c>
      <c r="AW172" s="636">
        <v>814</v>
      </c>
      <c r="AX172" s="386">
        <v>0</v>
      </c>
      <c r="AY172" s="551">
        <v>0</v>
      </c>
      <c r="AZ172" s="551">
        <v>0</v>
      </c>
      <c r="BA172" s="551">
        <v>0</v>
      </c>
      <c r="BB172" s="975">
        <v>0</v>
      </c>
      <c r="BC172" s="386">
        <v>0.99</v>
      </c>
      <c r="BD172" s="386">
        <v>2</v>
      </c>
      <c r="BE172" s="551">
        <v>0</v>
      </c>
      <c r="BF172" s="386">
        <v>0.5</v>
      </c>
      <c r="BG172" s="386">
        <v>0</v>
      </c>
      <c r="BH172" s="551">
        <v>0</v>
      </c>
      <c r="BI172" s="386">
        <v>1.87</v>
      </c>
      <c r="BJ172" s="386">
        <v>27.8</v>
      </c>
      <c r="BK172" s="386">
        <v>4.25</v>
      </c>
      <c r="BL172" s="386">
        <v>4.03</v>
      </c>
      <c r="BM172" s="386">
        <v>0</v>
      </c>
      <c r="BN172" s="386">
        <v>19.7</v>
      </c>
      <c r="BO172" s="386">
        <v>2024.7</v>
      </c>
      <c r="BP172" s="386">
        <v>19.8</v>
      </c>
      <c r="BQ172" s="615">
        <v>19.399999999999999</v>
      </c>
      <c r="BR172" s="615">
        <v>20.29</v>
      </c>
      <c r="BS172" s="615">
        <v>14</v>
      </c>
      <c r="BT172" s="615">
        <v>14.12</v>
      </c>
      <c r="BU172" s="614">
        <v>28.6</v>
      </c>
      <c r="BV172" s="614">
        <v>36.9</v>
      </c>
      <c r="BW172" s="615">
        <v>829.7</v>
      </c>
      <c r="BX172" s="791"/>
      <c r="BY172" s="615">
        <v>0</v>
      </c>
      <c r="BZ172" s="615">
        <v>1.1399999999999999</v>
      </c>
      <c r="CA172" s="615">
        <v>1.1000000000000001</v>
      </c>
      <c r="CB172" s="615">
        <v>8.3000000000000007</v>
      </c>
      <c r="CC172" s="615">
        <v>8.4</v>
      </c>
      <c r="CD172" s="615">
        <v>15.5</v>
      </c>
      <c r="CE172" s="615">
        <v>32.799999999999997</v>
      </c>
      <c r="CF172" s="615">
        <v>18.7</v>
      </c>
      <c r="CG172" s="615">
        <v>7.7</v>
      </c>
      <c r="CH172" s="615">
        <v>13.2</v>
      </c>
      <c r="CI172" s="615">
        <v>17.57</v>
      </c>
      <c r="CJ172" s="615">
        <v>12.81</v>
      </c>
      <c r="CK172" s="615">
        <v>360.7</v>
      </c>
      <c r="CL172" s="615">
        <v>2.7</v>
      </c>
      <c r="CM172" s="615">
        <v>3.9</v>
      </c>
      <c r="CN172" s="615">
        <v>1916.3</v>
      </c>
      <c r="CO172" s="615">
        <v>828.6</v>
      </c>
      <c r="CP172" s="615">
        <v>623</v>
      </c>
      <c r="CQ172" s="615">
        <v>12.8</v>
      </c>
      <c r="CR172" s="615">
        <v>0.82</v>
      </c>
      <c r="CS172" s="614">
        <v>3337.3</v>
      </c>
      <c r="CT172" s="386">
        <v>15.448</v>
      </c>
      <c r="CU172" s="386">
        <v>53</v>
      </c>
      <c r="CV172" s="499">
        <v>0</v>
      </c>
      <c r="CW172" s="499">
        <v>0</v>
      </c>
      <c r="CX172" s="499">
        <v>0</v>
      </c>
      <c r="CY172" s="499">
        <v>0</v>
      </c>
      <c r="CZ172" s="643">
        <v>608</v>
      </c>
      <c r="DA172" s="643">
        <v>876</v>
      </c>
      <c r="DB172" s="643">
        <v>543</v>
      </c>
      <c r="DC172" s="609">
        <v>1166.71</v>
      </c>
      <c r="DD172" s="1153">
        <f t="shared" si="54"/>
        <v>7.999999999992724E-2</v>
      </c>
      <c r="DE172" s="1154">
        <f t="shared" si="55"/>
        <v>14.743924415999999</v>
      </c>
      <c r="DF172" s="1154">
        <f t="shared" si="56"/>
        <v>433</v>
      </c>
      <c r="DG172" s="1154">
        <f t="shared" si="57"/>
        <v>626</v>
      </c>
      <c r="DH172" s="1155" t="str">
        <f t="shared" si="58"/>
        <v>Palm</v>
      </c>
      <c r="DI172" s="1146">
        <f t="shared" si="59"/>
        <v>333</v>
      </c>
      <c r="DJ172" s="1146">
        <f t="shared" si="60"/>
        <v>4.8057119999999998</v>
      </c>
      <c r="DK172" s="1154">
        <f t="shared" si="61"/>
        <v>14.743924415999999</v>
      </c>
      <c r="DL172" s="615"/>
      <c r="DM172" s="615"/>
      <c r="DN172" s="615"/>
      <c r="DO172" s="499"/>
      <c r="DP172" s="499"/>
      <c r="DQ172" s="499"/>
      <c r="DR172" s="499"/>
      <c r="DS172" s="499"/>
      <c r="DT172" s="499"/>
      <c r="DU172" s="499"/>
      <c r="DV172" s="499"/>
      <c r="DW172" s="499"/>
      <c r="DX172" s="499"/>
      <c r="DY172" s="499"/>
      <c r="DZ172" s="499"/>
      <c r="EA172" s="499"/>
      <c r="EB172" s="499"/>
      <c r="EC172" s="499"/>
      <c r="ED172" s="499"/>
      <c r="EE172" s="499"/>
      <c r="EF172" s="499"/>
      <c r="EG172" s="1146">
        <f t="shared" si="62"/>
        <v>14.5</v>
      </c>
      <c r="EH172" s="630">
        <v>0</v>
      </c>
      <c r="EI172" s="642">
        <v>2</v>
      </c>
      <c r="EJ172" s="613">
        <v>4.5</v>
      </c>
      <c r="EK172" s="613">
        <v>8</v>
      </c>
      <c r="EL172" s="499"/>
      <c r="EM172" s="615"/>
      <c r="EN172" s="499"/>
      <c r="EO172" s="499"/>
      <c r="EP172" s="499"/>
      <c r="EQ172" s="499"/>
      <c r="ER172" s="499"/>
      <c r="ES172" s="388"/>
      <c r="ET172" s="388"/>
      <c r="EV172" s="1167">
        <f t="shared" si="50"/>
        <v>22.4315</v>
      </c>
      <c r="EW172" s="1016"/>
    </row>
    <row r="173" spans="1:153" s="350" customFormat="1" ht="15" x14ac:dyDescent="0.25">
      <c r="A173" s="632" t="s">
        <v>5</v>
      </c>
      <c r="B173" s="662">
        <v>42899</v>
      </c>
      <c r="C173" s="1132" t="s">
        <v>904</v>
      </c>
      <c r="D173" s="386">
        <v>0</v>
      </c>
      <c r="E173" s="636">
        <v>0</v>
      </c>
      <c r="F173" s="636">
        <v>52</v>
      </c>
      <c r="G173" s="636">
        <v>0.6</v>
      </c>
      <c r="H173" s="386">
        <v>3.43</v>
      </c>
      <c r="I173" s="386">
        <v>14.7</v>
      </c>
      <c r="J173" s="386">
        <v>0</v>
      </c>
      <c r="K173" s="386">
        <v>1.87</v>
      </c>
      <c r="L173" s="610">
        <v>0</v>
      </c>
      <c r="M173" s="386">
        <v>19.399999999999999</v>
      </c>
      <c r="N173" s="386">
        <v>1.1499999999999999</v>
      </c>
      <c r="O173" s="386">
        <v>1.3237748858126763</v>
      </c>
      <c r="P173" s="386">
        <v>1.1599999999999999</v>
      </c>
      <c r="Q173" s="386">
        <v>0.63980869227915926</v>
      </c>
      <c r="R173" s="732">
        <v>929.0675145348838</v>
      </c>
      <c r="S173" s="386">
        <v>8.26</v>
      </c>
      <c r="T173" s="386">
        <v>8.34</v>
      </c>
      <c r="U173" s="386">
        <v>0.73</v>
      </c>
      <c r="V173" s="739">
        <v>0.69</v>
      </c>
      <c r="W173" s="739">
        <v>51.260000000000005</v>
      </c>
      <c r="X173" s="613">
        <v>51.260000000000005</v>
      </c>
      <c r="Y173" s="367">
        <v>30.97</v>
      </c>
      <c r="Z173" s="636">
        <v>34.4</v>
      </c>
      <c r="AA173" s="636">
        <v>30.93</v>
      </c>
      <c r="AB173" s="636">
        <v>36.119999999999997</v>
      </c>
      <c r="AC173" s="1160">
        <f t="shared" si="51"/>
        <v>67.05</v>
      </c>
      <c r="AD173" s="1160">
        <f t="shared" si="52"/>
        <v>103.72635</v>
      </c>
      <c r="AE173" s="1160">
        <f t="shared" si="53"/>
        <v>103.72635</v>
      </c>
      <c r="AF173" s="542"/>
      <c r="AG173" s="1160">
        <f t="shared" si="49"/>
        <v>0</v>
      </c>
      <c r="AH173" s="656"/>
      <c r="AI173" s="351"/>
      <c r="AJ173" s="897"/>
      <c r="AK173" s="388"/>
      <c r="AL173" s="388"/>
      <c r="AM173" s="388"/>
      <c r="AN173" s="388"/>
      <c r="AO173" s="370"/>
      <c r="AP173" s="370"/>
      <c r="AQ173" s="927"/>
      <c r="AR173" s="551">
        <v>0</v>
      </c>
      <c r="AS173" s="386">
        <v>24</v>
      </c>
      <c r="AT173" s="386">
        <v>0</v>
      </c>
      <c r="AU173" s="386">
        <v>0</v>
      </c>
      <c r="AV173" s="636">
        <v>748.8</v>
      </c>
      <c r="AW173" s="636">
        <v>862.1</v>
      </c>
      <c r="AX173" s="386">
        <v>0</v>
      </c>
      <c r="AY173" s="551">
        <v>0</v>
      </c>
      <c r="AZ173" s="551">
        <v>0</v>
      </c>
      <c r="BA173" s="551">
        <v>0</v>
      </c>
      <c r="BB173" s="975">
        <v>0</v>
      </c>
      <c r="BC173" s="386">
        <v>1</v>
      </c>
      <c r="BD173" s="386">
        <v>2</v>
      </c>
      <c r="BE173" s="551">
        <v>0</v>
      </c>
      <c r="BF173" s="386">
        <v>0.5</v>
      </c>
      <c r="BG173" s="386">
        <v>0</v>
      </c>
      <c r="BH173" s="551">
        <v>0</v>
      </c>
      <c r="BI173" s="386">
        <v>2.02</v>
      </c>
      <c r="BJ173" s="386">
        <v>30.2</v>
      </c>
      <c r="BK173" s="386">
        <v>3.95</v>
      </c>
      <c r="BL173" s="386">
        <v>4.25</v>
      </c>
      <c r="BM173" s="386">
        <v>0</v>
      </c>
      <c r="BN173" s="386">
        <v>22.2</v>
      </c>
      <c r="BO173" s="386">
        <v>1789.5</v>
      </c>
      <c r="BP173" s="386">
        <v>2</v>
      </c>
      <c r="BQ173" s="615">
        <v>19.149999999999999</v>
      </c>
      <c r="BR173" s="615">
        <v>19.850000000000001</v>
      </c>
      <c r="BS173" s="615">
        <v>13.96</v>
      </c>
      <c r="BT173" s="615">
        <v>14.07</v>
      </c>
      <c r="BU173" s="614">
        <v>28.5</v>
      </c>
      <c r="BV173" s="614">
        <v>34.700000000000003</v>
      </c>
      <c r="BW173" s="615">
        <v>727.5</v>
      </c>
      <c r="BX173" s="791"/>
      <c r="BY173" s="615">
        <v>0</v>
      </c>
      <c r="BZ173" s="615">
        <v>1.1599999999999999</v>
      </c>
      <c r="CA173" s="615">
        <v>1.1000000000000001</v>
      </c>
      <c r="CB173" s="615">
        <v>8.4</v>
      </c>
      <c r="CC173" s="615">
        <v>8.4</v>
      </c>
      <c r="CD173" s="615">
        <v>16</v>
      </c>
      <c r="CE173" s="615">
        <v>32.799999999999997</v>
      </c>
      <c r="CF173" s="615">
        <v>19.5</v>
      </c>
      <c r="CG173" s="615">
        <v>7.9</v>
      </c>
      <c r="CH173" s="615">
        <v>13.4</v>
      </c>
      <c r="CI173" s="615">
        <v>17.809999999999999</v>
      </c>
      <c r="CJ173" s="615">
        <v>13.34</v>
      </c>
      <c r="CK173" s="615">
        <v>363</v>
      </c>
      <c r="CL173" s="615">
        <v>2.7</v>
      </c>
      <c r="CM173" s="615">
        <v>3.8</v>
      </c>
      <c r="CN173" s="615">
        <v>1972.6</v>
      </c>
      <c r="CO173" s="615">
        <v>544.6</v>
      </c>
      <c r="CP173" s="615">
        <v>639</v>
      </c>
      <c r="CQ173" s="615">
        <v>12.9</v>
      </c>
      <c r="CR173" s="615">
        <v>0.82</v>
      </c>
      <c r="CS173" s="614">
        <v>3334.3</v>
      </c>
      <c r="CT173" s="386">
        <v>15.51</v>
      </c>
      <c r="CU173" s="386">
        <v>53</v>
      </c>
      <c r="CV173" s="499">
        <v>0</v>
      </c>
      <c r="CW173" s="499">
        <v>0</v>
      </c>
      <c r="CX173" s="499">
        <v>0</v>
      </c>
      <c r="CY173" s="499">
        <v>0</v>
      </c>
      <c r="CZ173" s="643">
        <v>608</v>
      </c>
      <c r="DA173" s="643">
        <v>804</v>
      </c>
      <c r="DB173" s="643">
        <v>539</v>
      </c>
      <c r="DC173" s="609">
        <v>1166.81</v>
      </c>
      <c r="DD173" s="1153">
        <f t="shared" si="54"/>
        <v>9.9999999999909051E-2</v>
      </c>
      <c r="DE173" s="1154">
        <f t="shared" si="55"/>
        <v>14.730670655999999</v>
      </c>
      <c r="DF173" s="1154">
        <f t="shared" si="56"/>
        <v>429</v>
      </c>
      <c r="DG173" s="1154">
        <f t="shared" si="57"/>
        <v>554</v>
      </c>
      <c r="DH173" s="1155" t="str">
        <f t="shared" si="58"/>
        <v>Palm</v>
      </c>
      <c r="DI173" s="1146">
        <f t="shared" si="59"/>
        <v>265</v>
      </c>
      <c r="DJ173" s="1146">
        <f t="shared" si="60"/>
        <v>4.8013919999999999</v>
      </c>
      <c r="DK173" s="1154">
        <f t="shared" si="61"/>
        <v>14.730670655999999</v>
      </c>
      <c r="DL173" s="615"/>
      <c r="DM173" s="615"/>
      <c r="DN173" s="615"/>
      <c r="DO173" s="499"/>
      <c r="DP173" s="499"/>
      <c r="DQ173" s="499"/>
      <c r="DR173" s="499"/>
      <c r="DS173" s="499"/>
      <c r="DT173" s="499"/>
      <c r="DU173" s="499"/>
      <c r="DV173" s="499"/>
      <c r="DW173" s="499"/>
      <c r="DX173" s="499"/>
      <c r="DY173" s="499"/>
      <c r="DZ173" s="499"/>
      <c r="EA173" s="499"/>
      <c r="EB173" s="499"/>
      <c r="EC173" s="499"/>
      <c r="ED173" s="499"/>
      <c r="EE173" s="499"/>
      <c r="EF173" s="499"/>
      <c r="EG173" s="1146">
        <f t="shared" si="62"/>
        <v>14.5</v>
      </c>
      <c r="EH173" s="630">
        <v>0</v>
      </c>
      <c r="EI173" s="642">
        <v>2</v>
      </c>
      <c r="EJ173" s="613">
        <v>4.5</v>
      </c>
      <c r="EK173" s="613">
        <v>8</v>
      </c>
      <c r="EL173" s="499"/>
      <c r="EM173" s="615"/>
      <c r="EN173" s="499"/>
      <c r="EO173" s="499"/>
      <c r="EP173" s="499"/>
      <c r="EQ173" s="499"/>
      <c r="ER173" s="499"/>
      <c r="ES173" s="388"/>
      <c r="ET173" s="388"/>
      <c r="EV173" s="1167">
        <f t="shared" si="50"/>
        <v>22.4315</v>
      </c>
      <c r="EW173" s="1016"/>
    </row>
    <row r="174" spans="1:153" s="350" customFormat="1" ht="15" x14ac:dyDescent="0.25">
      <c r="A174" s="632" t="s">
        <v>6</v>
      </c>
      <c r="B174" s="662">
        <v>42900</v>
      </c>
      <c r="C174" s="1132" t="s">
        <v>904</v>
      </c>
      <c r="D174" s="386">
        <v>0</v>
      </c>
      <c r="E174" s="636">
        <v>0</v>
      </c>
      <c r="F174" s="636">
        <v>48</v>
      </c>
      <c r="G174" s="636">
        <v>0.6</v>
      </c>
      <c r="H174" s="386">
        <v>1.78</v>
      </c>
      <c r="I174" s="386">
        <v>15</v>
      </c>
      <c r="J174" s="386">
        <v>0</v>
      </c>
      <c r="K174" s="386">
        <v>1.76</v>
      </c>
      <c r="L174" s="610">
        <v>0</v>
      </c>
      <c r="M174" s="386">
        <v>19.3</v>
      </c>
      <c r="N174" s="386">
        <v>1.1399999999999999</v>
      </c>
      <c r="O174" s="386">
        <v>1.3142680492887271</v>
      </c>
      <c r="P174" s="386">
        <v>1.1599999999999999</v>
      </c>
      <c r="Q174" s="386">
        <v>0.64066897363755837</v>
      </c>
      <c r="R174" s="732">
        <v>931.06765988372103</v>
      </c>
      <c r="S174" s="386">
        <v>8.15</v>
      </c>
      <c r="T174" s="386">
        <v>8.2799999999999994</v>
      </c>
      <c r="U174" s="386">
        <v>0.73</v>
      </c>
      <c r="V174" s="739">
        <v>0.66</v>
      </c>
      <c r="W174" s="739">
        <v>50.900000000000006</v>
      </c>
      <c r="X174" s="613">
        <v>50.900000000000006</v>
      </c>
      <c r="Y174" s="367">
        <v>30.93</v>
      </c>
      <c r="Z174" s="636">
        <v>37</v>
      </c>
      <c r="AA174" s="636">
        <v>31.04</v>
      </c>
      <c r="AB174" s="636">
        <v>38</v>
      </c>
      <c r="AC174" s="1160">
        <f t="shared" si="51"/>
        <v>69.039999999999992</v>
      </c>
      <c r="AD174" s="1160">
        <f t="shared" si="52"/>
        <v>106.80487999999998</v>
      </c>
      <c r="AE174" s="1160">
        <f t="shared" si="53"/>
        <v>106.80487999999998</v>
      </c>
      <c r="AF174" s="542"/>
      <c r="AG174" s="1160">
        <f t="shared" si="49"/>
        <v>0</v>
      </c>
      <c r="AH174" s="656"/>
      <c r="AI174" s="351"/>
      <c r="AJ174" s="897"/>
      <c r="AK174" s="388"/>
      <c r="AL174" s="388"/>
      <c r="AM174" s="388"/>
      <c r="AN174" s="388"/>
      <c r="AO174" s="370"/>
      <c r="AP174" s="370"/>
      <c r="AQ174" s="927"/>
      <c r="AR174" s="551">
        <v>0</v>
      </c>
      <c r="AS174" s="386">
        <v>11.1</v>
      </c>
      <c r="AT174" s="386">
        <v>0</v>
      </c>
      <c r="AU174" s="386">
        <v>0</v>
      </c>
      <c r="AV174" s="636">
        <v>774.5</v>
      </c>
      <c r="AW174" s="636">
        <v>1076.8</v>
      </c>
      <c r="AX174" s="386">
        <v>0</v>
      </c>
      <c r="AY174" s="551">
        <v>0</v>
      </c>
      <c r="AZ174" s="551">
        <v>0</v>
      </c>
      <c r="BA174" s="551">
        <v>0</v>
      </c>
      <c r="BB174" s="975">
        <v>0</v>
      </c>
      <c r="BC174" s="386">
        <v>1.1399999999999999</v>
      </c>
      <c r="BD174" s="386">
        <v>2</v>
      </c>
      <c r="BE174" s="551">
        <v>0</v>
      </c>
      <c r="BF174" s="386">
        <v>0.35</v>
      </c>
      <c r="BG174" s="386">
        <v>0</v>
      </c>
      <c r="BH174" s="551">
        <v>0</v>
      </c>
      <c r="BI174" s="386">
        <v>2.02</v>
      </c>
      <c r="BJ174" s="386">
        <v>32.4</v>
      </c>
      <c r="BK174" s="386">
        <v>3.49</v>
      </c>
      <c r="BL174" s="386">
        <v>4.53</v>
      </c>
      <c r="BM174" s="386">
        <v>0</v>
      </c>
      <c r="BN174" s="386">
        <v>24.4</v>
      </c>
      <c r="BO174" s="386">
        <v>1919</v>
      </c>
      <c r="BP174" s="386">
        <v>2</v>
      </c>
      <c r="BQ174" s="615">
        <v>19.649999999999999</v>
      </c>
      <c r="BR174" s="615">
        <v>20.37</v>
      </c>
      <c r="BS174" s="615">
        <v>13.75</v>
      </c>
      <c r="BT174" s="615">
        <v>13.85</v>
      </c>
      <c r="BU174" s="614">
        <v>28.1</v>
      </c>
      <c r="BV174" s="614">
        <v>31.7</v>
      </c>
      <c r="BW174" s="615">
        <v>827.8</v>
      </c>
      <c r="BX174" s="791"/>
      <c r="BY174" s="615">
        <v>0</v>
      </c>
      <c r="BZ174" s="615">
        <v>1.1599999999999999</v>
      </c>
      <c r="CA174" s="615">
        <v>1.1000000000000001</v>
      </c>
      <c r="CB174" s="615">
        <v>8.5</v>
      </c>
      <c r="CC174" s="615">
        <v>8.4</v>
      </c>
      <c r="CD174" s="615">
        <v>15.5</v>
      </c>
      <c r="CE174" s="615">
        <v>32.799999999999997</v>
      </c>
      <c r="CF174" s="615">
        <v>21</v>
      </c>
      <c r="CG174" s="615">
        <v>8.1</v>
      </c>
      <c r="CH174" s="615">
        <v>13.7</v>
      </c>
      <c r="CI174" s="615">
        <v>16.100000000000001</v>
      </c>
      <c r="CJ174" s="615">
        <v>12.98</v>
      </c>
      <c r="CK174" s="615">
        <v>357.5</v>
      </c>
      <c r="CL174" s="615">
        <v>2.2000000000000002</v>
      </c>
      <c r="CM174" s="615">
        <v>3.6</v>
      </c>
      <c r="CN174" s="615">
        <v>1936</v>
      </c>
      <c r="CO174" s="643">
        <v>875.3</v>
      </c>
      <c r="CP174" s="615">
        <v>610.70000000000005</v>
      </c>
      <c r="CQ174" s="615">
        <v>13.1</v>
      </c>
      <c r="CR174" s="615">
        <v>0.84</v>
      </c>
      <c r="CS174" s="614">
        <v>3296.3</v>
      </c>
      <c r="CT174" s="386">
        <v>15.513999999999999</v>
      </c>
      <c r="CU174" s="386">
        <v>53</v>
      </c>
      <c r="CV174" s="499">
        <v>0</v>
      </c>
      <c r="CW174" s="499">
        <v>0</v>
      </c>
      <c r="CX174" s="499">
        <v>0</v>
      </c>
      <c r="CY174" s="499">
        <v>0</v>
      </c>
      <c r="CZ174" s="643">
        <v>608</v>
      </c>
      <c r="DA174" s="643">
        <v>798</v>
      </c>
      <c r="DB174" s="643">
        <v>539</v>
      </c>
      <c r="DC174" s="609">
        <v>1166.8499999999999</v>
      </c>
      <c r="DD174" s="1153">
        <f t="shared" si="54"/>
        <v>3.999999999996362E-2</v>
      </c>
      <c r="DE174" s="1154">
        <f t="shared" si="55"/>
        <v>14.562789696000001</v>
      </c>
      <c r="DF174" s="1154">
        <f t="shared" si="56"/>
        <v>429</v>
      </c>
      <c r="DG174" s="1154">
        <f t="shared" si="57"/>
        <v>548</v>
      </c>
      <c r="DH174" s="1155" t="str">
        <f t="shared" si="58"/>
        <v>Palm</v>
      </c>
      <c r="DI174" s="1146">
        <f t="shared" si="59"/>
        <v>259</v>
      </c>
      <c r="DJ174" s="1146">
        <f t="shared" si="60"/>
        <v>4.7466720000000002</v>
      </c>
      <c r="DK174" s="1154">
        <f t="shared" si="61"/>
        <v>14.562789696000001</v>
      </c>
      <c r="DL174" s="615"/>
      <c r="DM174" s="615"/>
      <c r="DN174" s="615"/>
      <c r="DO174" s="499"/>
      <c r="DP174" s="499"/>
      <c r="DQ174" s="499"/>
      <c r="DR174" s="499"/>
      <c r="DS174" s="499"/>
      <c r="DT174" s="499"/>
      <c r="DU174" s="499"/>
      <c r="DV174" s="499"/>
      <c r="DW174" s="499"/>
      <c r="DX174" s="499"/>
      <c r="DY174" s="499"/>
      <c r="DZ174" s="499"/>
      <c r="EA174" s="499"/>
      <c r="EB174" s="499"/>
      <c r="EC174" s="499"/>
      <c r="ED174" s="499"/>
      <c r="EE174" s="499"/>
      <c r="EF174" s="499"/>
      <c r="EG174" s="1146">
        <f t="shared" si="62"/>
        <v>14.5</v>
      </c>
      <c r="EH174" s="630">
        <v>0</v>
      </c>
      <c r="EI174" s="642">
        <v>2</v>
      </c>
      <c r="EJ174" s="613">
        <v>4.5</v>
      </c>
      <c r="EK174" s="613">
        <v>8</v>
      </c>
      <c r="EL174" s="499"/>
      <c r="EM174" s="615"/>
      <c r="EN174" s="499"/>
      <c r="EO174" s="499"/>
      <c r="EP174" s="499"/>
      <c r="EQ174" s="499"/>
      <c r="ER174" s="499"/>
      <c r="ES174" s="388"/>
      <c r="ET174" s="388"/>
      <c r="EV174" s="1167">
        <f t="shared" si="50"/>
        <v>22.4315</v>
      </c>
      <c r="EW174" s="1016"/>
    </row>
    <row r="175" spans="1:153" s="350" customFormat="1" ht="15" x14ac:dyDescent="0.25">
      <c r="A175" s="632" t="s">
        <v>7</v>
      </c>
      <c r="B175" s="662">
        <v>42901</v>
      </c>
      <c r="C175" s="1132" t="s">
        <v>904</v>
      </c>
      <c r="D175" s="386">
        <v>1.3</v>
      </c>
      <c r="E175" s="636">
        <v>0</v>
      </c>
      <c r="F175" s="636">
        <v>56.4</v>
      </c>
      <c r="G175" s="636">
        <v>0.8</v>
      </c>
      <c r="H175" s="386">
        <v>1.71</v>
      </c>
      <c r="I175" s="386">
        <v>17</v>
      </c>
      <c r="J175" s="386">
        <v>0</v>
      </c>
      <c r="K175" s="386">
        <v>2.14</v>
      </c>
      <c r="L175" s="610">
        <v>0</v>
      </c>
      <c r="M175" s="609">
        <v>19.399999999999999</v>
      </c>
      <c r="N175" s="386">
        <v>1.1499999999999999</v>
      </c>
      <c r="O175" s="386">
        <v>1.3536517599441531</v>
      </c>
      <c r="P175" s="386">
        <v>1.1599999999999999</v>
      </c>
      <c r="Q175" s="386">
        <v>0.64336195508586513</v>
      </c>
      <c r="R175" s="732">
        <v>1006.0731104651163</v>
      </c>
      <c r="S175" s="386">
        <v>8.0399999999999991</v>
      </c>
      <c r="T175" s="386">
        <v>8.1300000000000008</v>
      </c>
      <c r="U175" s="386">
        <v>0.74</v>
      </c>
      <c r="V175" s="739">
        <v>0.7</v>
      </c>
      <c r="W175" s="739">
        <v>51.44</v>
      </c>
      <c r="X175" s="613">
        <v>51.44</v>
      </c>
      <c r="Y175" s="367">
        <v>31.04</v>
      </c>
      <c r="Z175" s="636">
        <v>37.9</v>
      </c>
      <c r="AA175" s="636">
        <v>30.16</v>
      </c>
      <c r="AB175" s="636">
        <v>40.75</v>
      </c>
      <c r="AC175" s="1160">
        <f t="shared" si="51"/>
        <v>70.91</v>
      </c>
      <c r="AD175" s="1160">
        <f t="shared" si="52"/>
        <v>109.69776999999999</v>
      </c>
      <c r="AE175" s="1160">
        <f t="shared" si="53"/>
        <v>109.69776999999999</v>
      </c>
      <c r="AF175" s="542"/>
      <c r="AG175" s="1160">
        <f t="shared" si="49"/>
        <v>0</v>
      </c>
      <c r="AH175" s="656"/>
      <c r="AI175" s="351"/>
      <c r="AJ175" s="897"/>
      <c r="AK175" s="388"/>
      <c r="AL175" s="388"/>
      <c r="AM175" s="388"/>
      <c r="AN175" s="388"/>
      <c r="AO175" s="370"/>
      <c r="AP175" s="370"/>
      <c r="AQ175" s="927"/>
      <c r="AR175" s="551">
        <v>0</v>
      </c>
      <c r="AS175" s="386">
        <v>22.3</v>
      </c>
      <c r="AT175" s="386">
        <v>0</v>
      </c>
      <c r="AU175" s="386">
        <v>0</v>
      </c>
      <c r="AV175" s="636">
        <v>578.4</v>
      </c>
      <c r="AW175" s="636">
        <v>629.5</v>
      </c>
      <c r="AX175" s="386">
        <v>0</v>
      </c>
      <c r="AY175" s="551">
        <v>0</v>
      </c>
      <c r="AZ175" s="551">
        <v>0</v>
      </c>
      <c r="BA175" s="551">
        <v>0</v>
      </c>
      <c r="BB175" s="975">
        <v>0</v>
      </c>
      <c r="BC175" s="386">
        <v>1.49</v>
      </c>
      <c r="BD175" s="386">
        <v>2</v>
      </c>
      <c r="BE175" s="551">
        <v>0</v>
      </c>
      <c r="BF175" s="386">
        <v>0</v>
      </c>
      <c r="BG175" s="386">
        <v>0</v>
      </c>
      <c r="BH175" s="551">
        <v>0</v>
      </c>
      <c r="BI175" s="386">
        <v>2.02</v>
      </c>
      <c r="BJ175" s="386">
        <v>35.299999999999997</v>
      </c>
      <c r="BK175" s="386">
        <v>3.82</v>
      </c>
      <c r="BL175" s="386">
        <v>4.2</v>
      </c>
      <c r="BM175" s="386">
        <v>0</v>
      </c>
      <c r="BN175" s="386">
        <v>27.3</v>
      </c>
      <c r="BO175" s="386">
        <v>1406.4</v>
      </c>
      <c r="BP175" s="386">
        <v>2</v>
      </c>
      <c r="BQ175" s="615">
        <v>22.95</v>
      </c>
      <c r="BR175" s="615">
        <v>23.65</v>
      </c>
      <c r="BS175" s="615">
        <v>14.17</v>
      </c>
      <c r="BT175" s="615">
        <v>14.27</v>
      </c>
      <c r="BU175" s="614">
        <v>28.9</v>
      </c>
      <c r="BV175" s="614">
        <v>24.2</v>
      </c>
      <c r="BW175" s="615">
        <v>734.1</v>
      </c>
      <c r="BX175" s="791"/>
      <c r="BY175" s="615">
        <v>0</v>
      </c>
      <c r="BZ175" s="615">
        <v>1.1599999999999999</v>
      </c>
      <c r="CA175" s="615">
        <v>1.1000000000000001</v>
      </c>
      <c r="CB175" s="615">
        <v>8.4</v>
      </c>
      <c r="CC175" s="615">
        <v>8.4</v>
      </c>
      <c r="CD175" s="615">
        <v>15.9</v>
      </c>
      <c r="CE175" s="615">
        <v>32.9</v>
      </c>
      <c r="CF175" s="615">
        <v>20.5</v>
      </c>
      <c r="CG175" s="615">
        <v>7.85</v>
      </c>
      <c r="CH175" s="615">
        <v>13.36</v>
      </c>
      <c r="CI175" s="615">
        <v>17.899999999999999</v>
      </c>
      <c r="CJ175" s="615">
        <v>13.1</v>
      </c>
      <c r="CK175" s="615">
        <v>420.2</v>
      </c>
      <c r="CL175" s="615">
        <v>2.2000000000000002</v>
      </c>
      <c r="CM175" s="615">
        <v>2.8</v>
      </c>
      <c r="CN175" s="615">
        <v>1136.2</v>
      </c>
      <c r="CO175" s="615">
        <v>767</v>
      </c>
      <c r="CP175" s="615">
        <v>620.4</v>
      </c>
      <c r="CQ175" s="615">
        <v>12.4</v>
      </c>
      <c r="CR175" s="615">
        <v>0.78</v>
      </c>
      <c r="CS175" s="614">
        <v>1575.2</v>
      </c>
      <c r="CT175" s="386">
        <v>14.23</v>
      </c>
      <c r="CU175" s="386">
        <v>53</v>
      </c>
      <c r="CV175" s="1014">
        <v>0</v>
      </c>
      <c r="CW175" s="499">
        <v>0</v>
      </c>
      <c r="CX175" s="499">
        <v>0</v>
      </c>
      <c r="CY175" s="499">
        <v>0</v>
      </c>
      <c r="CZ175" s="643">
        <v>730</v>
      </c>
      <c r="DA175" s="643">
        <v>909</v>
      </c>
      <c r="DB175" s="643">
        <v>705</v>
      </c>
      <c r="DC175" s="609">
        <v>1167.07</v>
      </c>
      <c r="DD175" s="1153">
        <f t="shared" si="54"/>
        <v>0.22000000000002728</v>
      </c>
      <c r="DE175" s="1154">
        <f t="shared" si="55"/>
        <v>6.9591075840000007</v>
      </c>
      <c r="DF175" s="1154">
        <f t="shared" si="56"/>
        <v>595</v>
      </c>
      <c r="DG175" s="1154">
        <f t="shared" si="57"/>
        <v>659</v>
      </c>
      <c r="DH175" s="1155" t="str">
        <f t="shared" si="58"/>
        <v>Palm</v>
      </c>
      <c r="DI175" s="1146">
        <f t="shared" si="59"/>
        <v>204</v>
      </c>
      <c r="DJ175" s="1146">
        <f t="shared" si="60"/>
        <v>2.2682880000000001</v>
      </c>
      <c r="DK175" s="1154">
        <f t="shared" si="61"/>
        <v>6.9591075840000007</v>
      </c>
      <c r="DL175" s="615"/>
      <c r="DM175" s="615"/>
      <c r="DN175" s="615"/>
      <c r="DO175" s="499"/>
      <c r="DP175" s="499"/>
      <c r="DQ175" s="499"/>
      <c r="DR175" s="499"/>
      <c r="DS175" s="499"/>
      <c r="DT175" s="499"/>
      <c r="DU175" s="499"/>
      <c r="DV175" s="499"/>
      <c r="DW175" s="499"/>
      <c r="DX175" s="499"/>
      <c r="DY175" s="499"/>
      <c r="DZ175" s="499"/>
      <c r="EA175" s="499"/>
      <c r="EB175" s="499"/>
      <c r="EC175" s="499"/>
      <c r="ED175" s="499"/>
      <c r="EE175" s="499"/>
      <c r="EF175" s="499"/>
      <c r="EG175" s="1146">
        <f t="shared" si="62"/>
        <v>14.5</v>
      </c>
      <c r="EH175" s="630">
        <v>0</v>
      </c>
      <c r="EI175" s="642">
        <v>2</v>
      </c>
      <c r="EJ175" s="613">
        <v>4.5</v>
      </c>
      <c r="EK175" s="613">
        <v>8</v>
      </c>
      <c r="EL175" s="499"/>
      <c r="EM175" s="615"/>
      <c r="EN175" s="499"/>
      <c r="EO175" s="499"/>
      <c r="EP175" s="499"/>
      <c r="EQ175" s="499"/>
      <c r="ER175" s="499"/>
      <c r="ES175" s="388"/>
      <c r="ET175" s="388"/>
      <c r="EV175" s="1167">
        <f t="shared" si="50"/>
        <v>22.4315</v>
      </c>
      <c r="EW175" s="1016"/>
    </row>
    <row r="176" spans="1:153" s="350" customFormat="1" ht="15" x14ac:dyDescent="0.25">
      <c r="A176" s="632" t="s">
        <v>8</v>
      </c>
      <c r="B176" s="662">
        <v>42902</v>
      </c>
      <c r="C176" s="1132" t="s">
        <v>904</v>
      </c>
      <c r="D176" s="386">
        <v>1.23</v>
      </c>
      <c r="E176" s="636">
        <v>0</v>
      </c>
      <c r="F176" s="636">
        <v>51</v>
      </c>
      <c r="G176" s="636">
        <v>1.4</v>
      </c>
      <c r="H176" s="386">
        <v>3.34</v>
      </c>
      <c r="I176" s="386">
        <v>13.8</v>
      </c>
      <c r="J176" s="386">
        <v>0</v>
      </c>
      <c r="K176" s="386">
        <v>2.64</v>
      </c>
      <c r="L176" s="610">
        <v>0</v>
      </c>
      <c r="M176" s="386">
        <v>20</v>
      </c>
      <c r="N176" s="386">
        <v>1.1399999999999999</v>
      </c>
      <c r="O176" s="386">
        <v>1.165190324703711</v>
      </c>
      <c r="P176" s="386">
        <v>1.1399999999999999</v>
      </c>
      <c r="Q176" s="386">
        <v>0.63988827587385622</v>
      </c>
      <c r="R176" s="732">
        <v>863.06271802325591</v>
      </c>
      <c r="S176" s="386">
        <v>7.92</v>
      </c>
      <c r="T176" s="386">
        <v>8.0399999999999991</v>
      </c>
      <c r="U176" s="386">
        <v>0.78</v>
      </c>
      <c r="V176" s="739">
        <v>0.64</v>
      </c>
      <c r="W176" s="739">
        <v>51.8</v>
      </c>
      <c r="X176" s="613">
        <v>51.8</v>
      </c>
      <c r="Y176" s="367">
        <v>30.16</v>
      </c>
      <c r="Z176" s="636">
        <v>40.700000000000003</v>
      </c>
      <c r="AA176" s="636">
        <v>18.100000000000001</v>
      </c>
      <c r="AB176" s="636">
        <v>47.18</v>
      </c>
      <c r="AC176" s="1160">
        <f t="shared" si="51"/>
        <v>65.28</v>
      </c>
      <c r="AD176" s="1160">
        <f t="shared" si="52"/>
        <v>100.98815999999999</v>
      </c>
      <c r="AE176" s="1160">
        <f t="shared" si="53"/>
        <v>100.98815999999999</v>
      </c>
      <c r="AF176" s="542"/>
      <c r="AG176" s="1160">
        <f t="shared" si="49"/>
        <v>0</v>
      </c>
      <c r="AH176" s="656"/>
      <c r="AI176" s="351"/>
      <c r="AJ176" s="897"/>
      <c r="AK176" s="388"/>
      <c r="AL176" s="388"/>
      <c r="AM176" s="388"/>
      <c r="AN176" s="388"/>
      <c r="AO176" s="370"/>
      <c r="AP176" s="370"/>
      <c r="AQ176" s="927"/>
      <c r="AR176" s="551">
        <v>0</v>
      </c>
      <c r="AS176" s="386">
        <v>22.4</v>
      </c>
      <c r="AT176" s="386">
        <v>0</v>
      </c>
      <c r="AU176" s="386">
        <v>0</v>
      </c>
      <c r="AV176" s="636">
        <v>180.9</v>
      </c>
      <c r="AW176" s="636">
        <v>1467.1</v>
      </c>
      <c r="AX176" s="386">
        <v>0</v>
      </c>
      <c r="AY176" s="551">
        <v>0</v>
      </c>
      <c r="AZ176" s="551">
        <v>0</v>
      </c>
      <c r="BA176" s="551">
        <v>0</v>
      </c>
      <c r="BB176" s="975">
        <v>0</v>
      </c>
      <c r="BC176" s="386">
        <v>1.65</v>
      </c>
      <c r="BD176" s="386">
        <v>2.08</v>
      </c>
      <c r="BE176" s="551">
        <v>0</v>
      </c>
      <c r="BF176" s="386">
        <v>0</v>
      </c>
      <c r="BG176" s="386">
        <v>0</v>
      </c>
      <c r="BH176" s="551">
        <v>0</v>
      </c>
      <c r="BI176" s="386">
        <v>2.0099999999999998</v>
      </c>
      <c r="BJ176" s="386">
        <v>41.4</v>
      </c>
      <c r="BK176" s="386">
        <v>3.73</v>
      </c>
      <c r="BL176" s="386">
        <v>4.78</v>
      </c>
      <c r="BM176" s="386">
        <v>0</v>
      </c>
      <c r="BN176" s="386">
        <v>33</v>
      </c>
      <c r="BO176" s="386">
        <v>1663.3</v>
      </c>
      <c r="BP176" s="386">
        <v>2</v>
      </c>
      <c r="BQ176" s="615">
        <v>22.34</v>
      </c>
      <c r="BR176" s="615">
        <v>23.05</v>
      </c>
      <c r="BS176" s="615">
        <v>7.96</v>
      </c>
      <c r="BT176" s="615">
        <v>8.16</v>
      </c>
      <c r="BU176" s="614">
        <v>17.5</v>
      </c>
      <c r="BV176" s="614">
        <v>22.3</v>
      </c>
      <c r="BW176" s="615">
        <v>680.1</v>
      </c>
      <c r="BX176" s="791"/>
      <c r="BY176" s="615">
        <v>0</v>
      </c>
      <c r="BZ176" s="615">
        <v>1.1299999999999999</v>
      </c>
      <c r="CA176" s="615">
        <v>1.1000000000000001</v>
      </c>
      <c r="CB176" s="615">
        <v>8.4</v>
      </c>
      <c r="CC176" s="615">
        <v>8.3000000000000007</v>
      </c>
      <c r="CD176" s="615">
        <v>15.5</v>
      </c>
      <c r="CE176" s="615">
        <v>32.9</v>
      </c>
      <c r="CF176" s="615">
        <v>20.3</v>
      </c>
      <c r="CG176" s="615">
        <v>8.5</v>
      </c>
      <c r="CH176" s="615">
        <v>14.1</v>
      </c>
      <c r="CI176" s="615">
        <v>18.72</v>
      </c>
      <c r="CJ176" s="615">
        <v>12.73</v>
      </c>
      <c r="CK176" s="615">
        <v>528.29999999999995</v>
      </c>
      <c r="CL176" s="615">
        <v>2.7</v>
      </c>
      <c r="CM176" s="615">
        <v>4.2</v>
      </c>
      <c r="CN176" s="615">
        <v>1465.7</v>
      </c>
      <c r="CO176" s="615">
        <v>678</v>
      </c>
      <c r="CP176" s="615">
        <v>598</v>
      </c>
      <c r="CQ176" s="615">
        <v>13.1</v>
      </c>
      <c r="CR176" s="615">
        <v>0.81</v>
      </c>
      <c r="CS176" s="614">
        <v>0</v>
      </c>
      <c r="CT176" s="386">
        <v>16.329000000000001</v>
      </c>
      <c r="CU176" s="386">
        <v>53</v>
      </c>
      <c r="CV176" s="499">
        <v>0</v>
      </c>
      <c r="CW176" s="499">
        <v>0</v>
      </c>
      <c r="CX176" s="499">
        <v>0</v>
      </c>
      <c r="CY176" s="499">
        <v>0</v>
      </c>
      <c r="CZ176" s="643">
        <v>1230</v>
      </c>
      <c r="DA176" s="643">
        <v>1620</v>
      </c>
      <c r="DB176" s="643">
        <v>1260</v>
      </c>
      <c r="DC176" s="609">
        <v>1167.57</v>
      </c>
      <c r="DD176" s="1153">
        <f t="shared" si="54"/>
        <v>0.5</v>
      </c>
      <c r="DE176" s="1154">
        <f t="shared" si="55"/>
        <v>0</v>
      </c>
      <c r="DF176" s="1154">
        <f t="shared" si="56"/>
        <v>1150</v>
      </c>
      <c r="DG176" s="1154">
        <f t="shared" si="57"/>
        <v>1370</v>
      </c>
      <c r="DH176" s="1155" t="str">
        <f t="shared" si="58"/>
        <v>Palm</v>
      </c>
      <c r="DI176" s="1146">
        <f t="shared" si="59"/>
        <v>360</v>
      </c>
      <c r="DJ176" s="1146">
        <f t="shared" si="60"/>
        <v>0</v>
      </c>
      <c r="DK176" s="1154">
        <f t="shared" si="61"/>
        <v>0</v>
      </c>
      <c r="DL176" s="615"/>
      <c r="DM176" s="615"/>
      <c r="DN176" s="615"/>
      <c r="DO176" s="499"/>
      <c r="DP176" s="499"/>
      <c r="DQ176" s="499"/>
      <c r="DR176" s="499"/>
      <c r="DS176" s="499"/>
      <c r="DT176" s="499"/>
      <c r="DU176" s="499"/>
      <c r="DV176" s="499"/>
      <c r="DW176" s="499"/>
      <c r="DX176" s="499"/>
      <c r="DY176" s="499"/>
      <c r="DZ176" s="499"/>
      <c r="EA176" s="499"/>
      <c r="EB176" s="499"/>
      <c r="EC176" s="499"/>
      <c r="ED176" s="499"/>
      <c r="EE176" s="499"/>
      <c r="EF176" s="499"/>
      <c r="EG176" s="1146">
        <f t="shared" si="62"/>
        <v>14.5</v>
      </c>
      <c r="EH176" s="630">
        <v>0</v>
      </c>
      <c r="EI176" s="642">
        <v>2</v>
      </c>
      <c r="EJ176" s="613">
        <v>4</v>
      </c>
      <c r="EK176" s="613">
        <v>8.5</v>
      </c>
      <c r="EL176" s="499"/>
      <c r="EM176" s="615"/>
      <c r="EN176" s="499"/>
      <c r="EO176" s="499"/>
      <c r="EP176" s="499"/>
      <c r="EQ176" s="499"/>
      <c r="ER176" s="499"/>
      <c r="ES176" s="388"/>
      <c r="ET176" s="388"/>
      <c r="EV176" s="1167">
        <f t="shared" si="50"/>
        <v>22.4315</v>
      </c>
      <c r="EW176" s="1016"/>
    </row>
    <row r="177" spans="1:153" s="350" customFormat="1" ht="15" x14ac:dyDescent="0.25">
      <c r="A177" s="632" t="s">
        <v>9</v>
      </c>
      <c r="B177" s="662">
        <v>42903</v>
      </c>
      <c r="C177" s="1132" t="s">
        <v>904</v>
      </c>
      <c r="D177" s="386">
        <v>0.15</v>
      </c>
      <c r="E177" s="636">
        <v>0</v>
      </c>
      <c r="F177" s="636">
        <v>52</v>
      </c>
      <c r="G177" s="636">
        <v>1.3</v>
      </c>
      <c r="H177" s="386">
        <v>2.2400000000000002</v>
      </c>
      <c r="I177" s="386">
        <v>13.8</v>
      </c>
      <c r="J177" s="386">
        <v>0</v>
      </c>
      <c r="K177" s="386">
        <v>1.88</v>
      </c>
      <c r="L177" s="610">
        <v>0</v>
      </c>
      <c r="M177" s="386">
        <v>19.7</v>
      </c>
      <c r="N177" s="386">
        <v>1.1399999999999999</v>
      </c>
      <c r="O177" s="386">
        <v>1.2269442880767201</v>
      </c>
      <c r="P177" s="386">
        <v>1.1399999999999999</v>
      </c>
      <c r="Q177" s="386">
        <v>0.64420416915971879</v>
      </c>
      <c r="R177" s="732">
        <v>916.06656976744182</v>
      </c>
      <c r="S177" s="386">
        <v>8.0399999999999991</v>
      </c>
      <c r="T177" s="386">
        <v>8.15</v>
      </c>
      <c r="U177" s="386">
        <v>0.76</v>
      </c>
      <c r="V177" s="739">
        <v>0.63</v>
      </c>
      <c r="W177" s="739">
        <v>51.620000000000005</v>
      </c>
      <c r="X177" s="613">
        <v>51.620000000000005</v>
      </c>
      <c r="Y177" s="367">
        <v>18.100000000000001</v>
      </c>
      <c r="Z177" s="636">
        <v>47.08</v>
      </c>
      <c r="AA177" s="636">
        <v>21.8</v>
      </c>
      <c r="AB177" s="636">
        <v>45.72</v>
      </c>
      <c r="AC177" s="1160">
        <f t="shared" si="51"/>
        <v>67.52</v>
      </c>
      <c r="AD177" s="1160">
        <f t="shared" si="52"/>
        <v>104.45343999999999</v>
      </c>
      <c r="AE177" s="1160">
        <f t="shared" si="53"/>
        <v>104.45343999999999</v>
      </c>
      <c r="AF177" s="542"/>
      <c r="AG177" s="1160">
        <f t="shared" si="49"/>
        <v>0</v>
      </c>
      <c r="AH177" s="656"/>
      <c r="AI177" s="351"/>
      <c r="AJ177" s="897"/>
      <c r="AK177" s="388"/>
      <c r="AL177" s="388"/>
      <c r="AM177" s="388"/>
      <c r="AN177" s="388"/>
      <c r="AO177" s="370"/>
      <c r="AP177" s="370"/>
      <c r="AQ177" s="927"/>
      <c r="AR177" s="551">
        <v>0</v>
      </c>
      <c r="AS177" s="386">
        <v>12</v>
      </c>
      <c r="AT177" s="386">
        <v>0</v>
      </c>
      <c r="AU177" s="386">
        <v>0</v>
      </c>
      <c r="AV177" s="636">
        <v>109.1</v>
      </c>
      <c r="AW177" s="636">
        <v>1061.4000000000001</v>
      </c>
      <c r="AX177" s="386">
        <v>0</v>
      </c>
      <c r="AY177" s="551">
        <v>0</v>
      </c>
      <c r="AZ177" s="551">
        <v>0</v>
      </c>
      <c r="BA177" s="551">
        <v>0</v>
      </c>
      <c r="BB177" s="975">
        <v>0</v>
      </c>
      <c r="BC177" s="386">
        <v>2.0499999999999998</v>
      </c>
      <c r="BD177" s="386">
        <v>2.2400000000000002</v>
      </c>
      <c r="BE177" s="551">
        <v>0</v>
      </c>
      <c r="BF177" s="386">
        <v>0.02</v>
      </c>
      <c r="BG177" s="386">
        <v>0</v>
      </c>
      <c r="BH177" s="551">
        <v>0</v>
      </c>
      <c r="BI177" s="386">
        <v>2.02</v>
      </c>
      <c r="BJ177" s="386">
        <v>39.6</v>
      </c>
      <c r="BK177" s="386">
        <v>3.2</v>
      </c>
      <c r="BL177" s="386">
        <v>5.33</v>
      </c>
      <c r="BM177" s="386">
        <v>0</v>
      </c>
      <c r="BN177" s="386">
        <v>31</v>
      </c>
      <c r="BO177" s="386">
        <v>1407.9</v>
      </c>
      <c r="BP177" s="386">
        <v>2</v>
      </c>
      <c r="BQ177" s="615">
        <v>21.83</v>
      </c>
      <c r="BR177" s="615">
        <v>22.51</v>
      </c>
      <c r="BS177" s="615">
        <v>8.76</v>
      </c>
      <c r="BT177" s="615">
        <v>8.83</v>
      </c>
      <c r="BU177" s="614">
        <v>18.8</v>
      </c>
      <c r="BV177" s="614">
        <v>23.9</v>
      </c>
      <c r="BW177" s="615">
        <v>665.8</v>
      </c>
      <c r="BX177" s="791"/>
      <c r="BY177" s="615">
        <v>0</v>
      </c>
      <c r="BZ177" s="615">
        <v>1.07</v>
      </c>
      <c r="CA177" s="615">
        <v>1</v>
      </c>
      <c r="CB177" s="615">
        <v>8.1999999999999993</v>
      </c>
      <c r="CC177" s="615">
        <v>8.3000000000000007</v>
      </c>
      <c r="CD177" s="615">
        <v>15.9</v>
      </c>
      <c r="CE177" s="615">
        <v>32.9</v>
      </c>
      <c r="CF177" s="615">
        <v>18.2</v>
      </c>
      <c r="CG177" s="615">
        <v>7.5</v>
      </c>
      <c r="CH177" s="615">
        <v>13.27</v>
      </c>
      <c r="CI177" s="615">
        <v>17.7</v>
      </c>
      <c r="CJ177" s="615">
        <v>12.91</v>
      </c>
      <c r="CK177" s="615">
        <v>523.79999999999995</v>
      </c>
      <c r="CL177" s="615">
        <v>2.9</v>
      </c>
      <c r="CM177" s="615">
        <v>3.9</v>
      </c>
      <c r="CN177" s="615">
        <v>1566.1</v>
      </c>
      <c r="CO177" s="615">
        <v>694.8</v>
      </c>
      <c r="CP177" s="615">
        <v>539.70000000000005</v>
      </c>
      <c r="CQ177" s="615">
        <v>12.8</v>
      </c>
      <c r="CR177" s="615">
        <v>0.76</v>
      </c>
      <c r="CS177" s="614">
        <v>0</v>
      </c>
      <c r="CT177" s="386">
        <v>15.955</v>
      </c>
      <c r="CU177" s="386">
        <v>53</v>
      </c>
      <c r="CV177" s="499">
        <v>0</v>
      </c>
      <c r="CW177" s="499">
        <v>0</v>
      </c>
      <c r="CX177" s="499">
        <v>0</v>
      </c>
      <c r="CY177" s="499">
        <v>0</v>
      </c>
      <c r="CZ177" s="643">
        <v>1230</v>
      </c>
      <c r="DA177" s="643">
        <v>1560</v>
      </c>
      <c r="DB177" s="643">
        <v>1210</v>
      </c>
      <c r="DC177" s="609">
        <v>1167.6099999999999</v>
      </c>
      <c r="DD177" s="1153">
        <f t="shared" si="54"/>
        <v>3.999999999996362E-2</v>
      </c>
      <c r="DE177" s="1154">
        <f t="shared" si="55"/>
        <v>0</v>
      </c>
      <c r="DF177" s="1154">
        <f t="shared" si="56"/>
        <v>1100</v>
      </c>
      <c r="DG177" s="1154">
        <f t="shared" si="57"/>
        <v>1310</v>
      </c>
      <c r="DH177" s="1155" t="str">
        <f t="shared" si="58"/>
        <v>Palm</v>
      </c>
      <c r="DI177" s="1146">
        <f t="shared" si="59"/>
        <v>350</v>
      </c>
      <c r="DJ177" s="1146">
        <f t="shared" si="60"/>
        <v>0</v>
      </c>
      <c r="DK177" s="1154">
        <f t="shared" si="61"/>
        <v>0</v>
      </c>
      <c r="DL177" s="615"/>
      <c r="DM177" s="615"/>
      <c r="DN177" s="615"/>
      <c r="DO177" s="499"/>
      <c r="DP177" s="499"/>
      <c r="DQ177" s="499"/>
      <c r="DR177" s="499"/>
      <c r="DS177" s="499"/>
      <c r="DT177" s="499"/>
      <c r="DU177" s="499"/>
      <c r="DV177" s="499"/>
      <c r="DW177" s="499"/>
      <c r="DX177" s="499"/>
      <c r="DY177" s="499"/>
      <c r="DZ177" s="499"/>
      <c r="EA177" s="499"/>
      <c r="EB177" s="499"/>
      <c r="EC177" s="499"/>
      <c r="ED177" s="499"/>
      <c r="EE177" s="499"/>
      <c r="EF177" s="499"/>
      <c r="EG177" s="1146">
        <f t="shared" si="62"/>
        <v>15</v>
      </c>
      <c r="EH177" s="630">
        <v>0</v>
      </c>
      <c r="EI177" s="642">
        <v>2</v>
      </c>
      <c r="EJ177" s="613">
        <v>4.5</v>
      </c>
      <c r="EK177" s="613">
        <v>8.5</v>
      </c>
      <c r="EL177" s="499"/>
      <c r="EM177" s="615"/>
      <c r="EN177" s="499"/>
      <c r="EO177" s="499"/>
      <c r="EP177" s="499"/>
      <c r="EQ177" s="499"/>
      <c r="ER177" s="499"/>
      <c r="ES177" s="388"/>
      <c r="ET177" s="388"/>
      <c r="EV177" s="1167">
        <f t="shared" si="50"/>
        <v>23.204999999999998</v>
      </c>
      <c r="EW177" s="1016"/>
    </row>
    <row r="178" spans="1:153" s="350" customFormat="1" ht="15" x14ac:dyDescent="0.25">
      <c r="A178" s="632" t="s">
        <v>3</v>
      </c>
      <c r="B178" s="662">
        <v>42904</v>
      </c>
      <c r="C178" s="1132" t="s">
        <v>904</v>
      </c>
      <c r="D178" s="386">
        <v>0.18</v>
      </c>
      <c r="E178" s="636">
        <v>0</v>
      </c>
      <c r="F178" s="636">
        <v>57</v>
      </c>
      <c r="G178" s="636">
        <v>1.3</v>
      </c>
      <c r="H178" s="386">
        <v>1.89</v>
      </c>
      <c r="I178" s="386">
        <v>16</v>
      </c>
      <c r="J178" s="386">
        <v>0</v>
      </c>
      <c r="K178" s="386">
        <v>1.7</v>
      </c>
      <c r="L178" s="636">
        <v>0</v>
      </c>
      <c r="M178" s="386">
        <v>19.5</v>
      </c>
      <c r="N178" s="386">
        <v>1.1399999999999999</v>
      </c>
      <c r="O178" s="386">
        <v>1.3557881657914477</v>
      </c>
      <c r="P178" s="386">
        <v>1.1399999999999999</v>
      </c>
      <c r="Q178" s="386">
        <v>0.64190308443941213</v>
      </c>
      <c r="R178" s="732">
        <v>869.72986918604659</v>
      </c>
      <c r="S178" s="386">
        <v>8.0500000000000007</v>
      </c>
      <c r="T178" s="386">
        <v>8.15</v>
      </c>
      <c r="U178" s="386">
        <v>0.81</v>
      </c>
      <c r="V178" s="739">
        <v>0.68</v>
      </c>
      <c r="W178" s="739">
        <v>51.980000000000004</v>
      </c>
      <c r="X178" s="613">
        <v>51.980000000000004</v>
      </c>
      <c r="Y178" s="367">
        <v>21.8</v>
      </c>
      <c r="Z178" s="636">
        <v>45.72</v>
      </c>
      <c r="AA178" s="636">
        <v>30.9</v>
      </c>
      <c r="AB178" s="636">
        <v>32.33</v>
      </c>
      <c r="AC178" s="1160">
        <f t="shared" si="51"/>
        <v>63.23</v>
      </c>
      <c r="AD178" s="1160">
        <f t="shared" si="52"/>
        <v>97.81680999999999</v>
      </c>
      <c r="AE178" s="1160">
        <f t="shared" si="53"/>
        <v>97.81680999999999</v>
      </c>
      <c r="AF178" s="542"/>
      <c r="AG178" s="1160">
        <f t="shared" si="49"/>
        <v>0</v>
      </c>
      <c r="AH178" s="656"/>
      <c r="AI178" s="351"/>
      <c r="AJ178" s="897"/>
      <c r="AK178" s="388"/>
      <c r="AL178" s="388"/>
      <c r="AM178" s="388"/>
      <c r="AN178" s="388"/>
      <c r="AO178" s="370"/>
      <c r="AP178" s="370"/>
      <c r="AQ178" s="927"/>
      <c r="AR178" s="551">
        <v>0</v>
      </c>
      <c r="AS178" s="386">
        <v>22.5</v>
      </c>
      <c r="AT178" s="386">
        <v>0</v>
      </c>
      <c r="AU178" s="386">
        <v>0</v>
      </c>
      <c r="AV178" s="636">
        <v>699.5</v>
      </c>
      <c r="AW178" s="636">
        <v>942.9</v>
      </c>
      <c r="AX178" s="386">
        <v>0</v>
      </c>
      <c r="AY178" s="551">
        <v>0</v>
      </c>
      <c r="AZ178" s="551">
        <v>0</v>
      </c>
      <c r="BA178" s="551">
        <v>0</v>
      </c>
      <c r="BB178" s="975">
        <v>0</v>
      </c>
      <c r="BC178" s="386">
        <v>2.19</v>
      </c>
      <c r="BD178" s="386">
        <v>2.2999999999999998</v>
      </c>
      <c r="BE178" s="551">
        <v>0</v>
      </c>
      <c r="BF178" s="386">
        <v>0</v>
      </c>
      <c r="BG178" s="386">
        <v>0</v>
      </c>
      <c r="BH178" s="551">
        <v>0</v>
      </c>
      <c r="BI178" s="386">
        <v>2.02</v>
      </c>
      <c r="BJ178" s="386">
        <v>25.9</v>
      </c>
      <c r="BK178" s="386">
        <v>3.47</v>
      </c>
      <c r="BL178" s="386">
        <v>5.18</v>
      </c>
      <c r="BM178" s="386">
        <v>0</v>
      </c>
      <c r="BN178" s="386">
        <v>17.5</v>
      </c>
      <c r="BO178" s="386">
        <v>1566.7</v>
      </c>
      <c r="BP178" s="386">
        <v>26.8</v>
      </c>
      <c r="BQ178" s="615">
        <v>18.63</v>
      </c>
      <c r="BR178" s="615">
        <v>19.329999999999998</v>
      </c>
      <c r="BS178" s="615">
        <v>13.92</v>
      </c>
      <c r="BT178" s="615">
        <v>14.03</v>
      </c>
      <c r="BU178" s="614">
        <v>28.4</v>
      </c>
      <c r="BV178" s="614">
        <v>43.8</v>
      </c>
      <c r="BW178" s="615">
        <v>771.5</v>
      </c>
      <c r="BX178" s="791"/>
      <c r="BY178" s="615">
        <v>0</v>
      </c>
      <c r="BZ178" s="615">
        <v>1.1399999999999999</v>
      </c>
      <c r="CA178" s="615">
        <v>1.1000000000000001</v>
      </c>
      <c r="CB178" s="615">
        <v>8.3000000000000007</v>
      </c>
      <c r="CC178" s="615">
        <v>8.3000000000000007</v>
      </c>
      <c r="CD178" s="615">
        <v>16</v>
      </c>
      <c r="CE178" s="615">
        <v>32.700000000000003</v>
      </c>
      <c r="CF178" s="615">
        <v>19.7</v>
      </c>
      <c r="CG178" s="615">
        <v>7.7</v>
      </c>
      <c r="CH178" s="615">
        <v>13.5</v>
      </c>
      <c r="CI178" s="615">
        <v>17.5</v>
      </c>
      <c r="CJ178" s="615">
        <v>13.1</v>
      </c>
      <c r="CK178" s="615">
        <v>506.2</v>
      </c>
      <c r="CL178" s="615">
        <v>3.1</v>
      </c>
      <c r="CM178" s="615">
        <v>5.0999999999999996</v>
      </c>
      <c r="CN178" s="615">
        <v>1858.7</v>
      </c>
      <c r="CO178" s="615">
        <v>713.5</v>
      </c>
      <c r="CP178" s="615">
        <v>554.70000000000005</v>
      </c>
      <c r="CQ178" s="615">
        <v>12.7</v>
      </c>
      <c r="CR178" s="615">
        <v>0.75</v>
      </c>
      <c r="CS178" s="614">
        <v>0</v>
      </c>
      <c r="CT178" s="386">
        <v>17.132999999999999</v>
      </c>
      <c r="CU178" s="386">
        <v>53</v>
      </c>
      <c r="CV178" s="499">
        <v>0</v>
      </c>
      <c r="CW178" s="499">
        <v>0</v>
      </c>
      <c r="CX178" s="499">
        <v>0</v>
      </c>
      <c r="CY178" s="499">
        <v>0</v>
      </c>
      <c r="CZ178" s="643">
        <v>1230</v>
      </c>
      <c r="DA178" s="643">
        <v>1560</v>
      </c>
      <c r="DB178" s="643">
        <v>1200</v>
      </c>
      <c r="DC178" s="609">
        <v>1167.4100000000001</v>
      </c>
      <c r="DD178" s="1153">
        <f t="shared" si="54"/>
        <v>-0.1999999999998181</v>
      </c>
      <c r="DE178" s="1154">
        <f t="shared" si="55"/>
        <v>0</v>
      </c>
      <c r="DF178" s="1154">
        <f t="shared" si="56"/>
        <v>1090</v>
      </c>
      <c r="DG178" s="1154">
        <f t="shared" si="57"/>
        <v>1310</v>
      </c>
      <c r="DH178" s="1155" t="str">
        <f t="shared" si="58"/>
        <v>Palm</v>
      </c>
      <c r="DI178" s="1146">
        <f t="shared" si="59"/>
        <v>360</v>
      </c>
      <c r="DJ178" s="1146">
        <f t="shared" si="60"/>
        <v>0</v>
      </c>
      <c r="DK178" s="1154">
        <f t="shared" si="61"/>
        <v>0</v>
      </c>
      <c r="DL178" s="615"/>
      <c r="DM178" s="615"/>
      <c r="DN178" s="615"/>
      <c r="DO178" s="499"/>
      <c r="DP178" s="499"/>
      <c r="DQ178" s="499"/>
      <c r="DR178" s="499"/>
      <c r="DS178" s="499"/>
      <c r="DT178" s="499"/>
      <c r="DU178" s="499"/>
      <c r="DV178" s="499"/>
      <c r="DW178" s="499"/>
      <c r="DX178" s="499"/>
      <c r="DY178" s="499"/>
      <c r="DZ178" s="499"/>
      <c r="EA178" s="499"/>
      <c r="EB178" s="499"/>
      <c r="EC178" s="499"/>
      <c r="ED178" s="499"/>
      <c r="EE178" s="499"/>
      <c r="EF178" s="499"/>
      <c r="EG178" s="1146">
        <f t="shared" si="62"/>
        <v>15</v>
      </c>
      <c r="EH178" s="630">
        <v>0</v>
      </c>
      <c r="EI178" s="642">
        <v>2</v>
      </c>
      <c r="EJ178" s="613">
        <v>4.5</v>
      </c>
      <c r="EK178" s="613">
        <v>8.5</v>
      </c>
      <c r="EL178" s="499"/>
      <c r="EM178" s="615"/>
      <c r="EN178" s="499"/>
      <c r="EO178" s="499"/>
      <c r="EP178" s="499"/>
      <c r="EQ178" s="499"/>
      <c r="ER178" s="499"/>
      <c r="ES178" s="388"/>
      <c r="ET178" s="388"/>
      <c r="EV178" s="1167">
        <f t="shared" si="50"/>
        <v>23.204999999999998</v>
      </c>
      <c r="EW178" s="1016"/>
    </row>
    <row r="179" spans="1:153" s="350" customFormat="1" ht="15" x14ac:dyDescent="0.25">
      <c r="A179" s="632" t="s">
        <v>4</v>
      </c>
      <c r="B179" s="662">
        <v>42905</v>
      </c>
      <c r="C179" s="1132" t="s">
        <v>904</v>
      </c>
      <c r="D179" s="386">
        <v>0.01</v>
      </c>
      <c r="E179" s="636">
        <v>0</v>
      </c>
      <c r="F179" s="636">
        <v>60</v>
      </c>
      <c r="G179" s="636">
        <v>1.1000000000000001</v>
      </c>
      <c r="H179" s="386">
        <v>0.91</v>
      </c>
      <c r="I179" s="386">
        <v>12.9</v>
      </c>
      <c r="J179" s="386">
        <v>0</v>
      </c>
      <c r="K179" s="386">
        <v>1.53</v>
      </c>
      <c r="L179" s="636">
        <v>0</v>
      </c>
      <c r="M179" s="386">
        <v>19.399999999999999</v>
      </c>
      <c r="N179" s="386">
        <v>1.1200000000000001</v>
      </c>
      <c r="O179" s="386">
        <v>1.3109783793605738</v>
      </c>
      <c r="P179" s="386">
        <v>1.1299999999999999</v>
      </c>
      <c r="Q179" s="386">
        <v>0.64331262129588851</v>
      </c>
      <c r="R179" s="732">
        <v>987.07172965116285</v>
      </c>
      <c r="S179" s="386">
        <v>8.07</v>
      </c>
      <c r="T179" s="386">
        <v>8.16</v>
      </c>
      <c r="U179" s="386">
        <v>0.83</v>
      </c>
      <c r="V179" s="739">
        <v>0.77</v>
      </c>
      <c r="W179" s="739">
        <v>52.160000000000011</v>
      </c>
      <c r="X179" s="613">
        <v>52.34</v>
      </c>
      <c r="Y179" s="367">
        <v>30.9</v>
      </c>
      <c r="Z179" s="636">
        <v>32.25</v>
      </c>
      <c r="AA179" s="636">
        <v>30.4</v>
      </c>
      <c r="AB179" s="636">
        <v>41.51</v>
      </c>
      <c r="AC179" s="1160">
        <f t="shared" si="51"/>
        <v>71.91</v>
      </c>
      <c r="AD179" s="1160">
        <f t="shared" si="52"/>
        <v>111.24476999999999</v>
      </c>
      <c r="AE179" s="1160">
        <f t="shared" si="53"/>
        <v>111.24476999999999</v>
      </c>
      <c r="AF179" s="542"/>
      <c r="AG179" s="1160">
        <f t="shared" si="49"/>
        <v>0</v>
      </c>
      <c r="AH179" s="656"/>
      <c r="AI179" s="351"/>
      <c r="AJ179" s="897"/>
      <c r="AK179" s="388"/>
      <c r="AL179" s="388"/>
      <c r="AM179" s="388"/>
      <c r="AN179" s="388"/>
      <c r="AO179" s="370"/>
      <c r="AP179" s="370"/>
      <c r="AQ179" s="927"/>
      <c r="AR179" s="551">
        <v>0</v>
      </c>
      <c r="AS179" s="386">
        <v>23.2</v>
      </c>
      <c r="AT179" s="386">
        <v>0</v>
      </c>
      <c r="AU179" s="386">
        <v>0</v>
      </c>
      <c r="AV179" s="636">
        <v>652</v>
      </c>
      <c r="AW179" s="636">
        <v>814.1</v>
      </c>
      <c r="AX179" s="386">
        <v>0</v>
      </c>
      <c r="AY179" s="551">
        <v>0</v>
      </c>
      <c r="AZ179" s="551">
        <v>0</v>
      </c>
      <c r="BA179" s="551">
        <v>0</v>
      </c>
      <c r="BB179" s="975">
        <v>0</v>
      </c>
      <c r="BC179" s="386">
        <v>2.48</v>
      </c>
      <c r="BD179" s="386">
        <v>2.0099999999999998</v>
      </c>
      <c r="BE179" s="551">
        <v>0</v>
      </c>
      <c r="BF179" s="386">
        <v>0</v>
      </c>
      <c r="BG179" s="386">
        <v>0</v>
      </c>
      <c r="BH179" s="551">
        <v>0</v>
      </c>
      <c r="BI179" s="386">
        <v>2.02</v>
      </c>
      <c r="BJ179" s="386">
        <v>35.200000000000003</v>
      </c>
      <c r="BK179" s="386">
        <v>3.91</v>
      </c>
      <c r="BL179" s="386">
        <v>4.63</v>
      </c>
      <c r="BM179" s="386">
        <v>0</v>
      </c>
      <c r="BN179" s="386">
        <v>26.6</v>
      </c>
      <c r="BO179" s="386">
        <v>1838.8</v>
      </c>
      <c r="BP179" s="386">
        <v>2</v>
      </c>
      <c r="BQ179" s="615">
        <v>18.04</v>
      </c>
      <c r="BR179" s="615">
        <v>18.75</v>
      </c>
      <c r="BS179" s="615">
        <v>13.83</v>
      </c>
      <c r="BT179" s="615">
        <v>13.93</v>
      </c>
      <c r="BU179" s="614">
        <v>28.3</v>
      </c>
      <c r="BV179" s="614">
        <v>35.4</v>
      </c>
      <c r="BW179" s="615">
        <v>790.9</v>
      </c>
      <c r="BX179" s="791"/>
      <c r="BY179" s="615">
        <v>0</v>
      </c>
      <c r="BZ179" s="615">
        <v>1.1299999999999999</v>
      </c>
      <c r="CA179" s="615">
        <v>1.1000000000000001</v>
      </c>
      <c r="CB179" s="615">
        <v>8.3000000000000007</v>
      </c>
      <c r="CC179" s="615">
        <v>8.3000000000000007</v>
      </c>
      <c r="CD179" s="615">
        <v>16.399999999999999</v>
      </c>
      <c r="CE179" s="615">
        <v>32.6</v>
      </c>
      <c r="CF179" s="615">
        <v>19.899999999999999</v>
      </c>
      <c r="CG179" s="615">
        <v>8.1999999999999993</v>
      </c>
      <c r="CH179" s="615">
        <v>13.77</v>
      </c>
      <c r="CI179" s="615">
        <v>18.3</v>
      </c>
      <c r="CJ179" s="615">
        <v>13.4</v>
      </c>
      <c r="CK179" s="615">
        <v>510</v>
      </c>
      <c r="CL179" s="615">
        <v>3.2</v>
      </c>
      <c r="CM179" s="615">
        <v>4.5999999999999996</v>
      </c>
      <c r="CN179" s="615">
        <v>1950.5</v>
      </c>
      <c r="CO179" s="615">
        <v>772.2</v>
      </c>
      <c r="CP179" s="615">
        <v>629.29999999999995</v>
      </c>
      <c r="CQ179" s="615">
        <v>12.6</v>
      </c>
      <c r="CR179" s="615">
        <v>0.77</v>
      </c>
      <c r="CS179" s="614">
        <v>0</v>
      </c>
      <c r="CT179" s="386">
        <v>15.805</v>
      </c>
      <c r="CU179" s="386">
        <v>53</v>
      </c>
      <c r="CV179" s="499">
        <v>0</v>
      </c>
      <c r="CW179" s="499">
        <v>0</v>
      </c>
      <c r="CX179" s="499">
        <v>0</v>
      </c>
      <c r="CY179" s="499">
        <v>0</v>
      </c>
      <c r="CZ179" s="643">
        <v>992</v>
      </c>
      <c r="DA179" s="643">
        <v>1298</v>
      </c>
      <c r="DB179" s="643">
        <v>935</v>
      </c>
      <c r="DC179" s="609">
        <v>1167.18</v>
      </c>
      <c r="DD179" s="1153">
        <f t="shared" si="54"/>
        <v>-0.23000000000001819</v>
      </c>
      <c r="DE179" s="1154">
        <f t="shared" si="55"/>
        <v>0</v>
      </c>
      <c r="DF179" s="1154">
        <f t="shared" si="56"/>
        <v>825</v>
      </c>
      <c r="DG179" s="1154">
        <f t="shared" si="57"/>
        <v>1048</v>
      </c>
      <c r="DH179" s="1155" t="str">
        <f t="shared" si="58"/>
        <v>Palm</v>
      </c>
      <c r="DI179" s="1146">
        <f t="shared" si="59"/>
        <v>363</v>
      </c>
      <c r="DJ179" s="1146">
        <f t="shared" si="60"/>
        <v>0</v>
      </c>
      <c r="DK179" s="1154">
        <f t="shared" si="61"/>
        <v>0</v>
      </c>
      <c r="DL179" s="615"/>
      <c r="DM179" s="615"/>
      <c r="DN179" s="615"/>
      <c r="DO179" s="499"/>
      <c r="DP179" s="499"/>
      <c r="DQ179" s="499"/>
      <c r="DR179" s="499"/>
      <c r="DS179" s="499"/>
      <c r="DT179" s="499"/>
      <c r="DU179" s="499"/>
      <c r="DV179" s="499"/>
      <c r="DW179" s="499"/>
      <c r="DX179" s="499"/>
      <c r="DY179" s="499"/>
      <c r="DZ179" s="499"/>
      <c r="EA179" s="499"/>
      <c r="EB179" s="499"/>
      <c r="EC179" s="499"/>
      <c r="ED179" s="499"/>
      <c r="EE179" s="499"/>
      <c r="EF179" s="499"/>
      <c r="EG179" s="1146">
        <f t="shared" si="62"/>
        <v>15</v>
      </c>
      <c r="EH179" s="630">
        <v>0</v>
      </c>
      <c r="EI179" s="642">
        <v>2</v>
      </c>
      <c r="EJ179" s="613">
        <v>4.5</v>
      </c>
      <c r="EK179" s="613">
        <v>8.5</v>
      </c>
      <c r="EL179" s="499"/>
      <c r="EM179" s="615"/>
      <c r="EN179" s="499"/>
      <c r="EO179" s="499"/>
      <c r="EP179" s="499"/>
      <c r="EQ179" s="499"/>
      <c r="ER179" s="499"/>
      <c r="ES179" s="388"/>
      <c r="ET179" s="388"/>
      <c r="EV179" s="1167">
        <f t="shared" si="50"/>
        <v>23.204999999999998</v>
      </c>
      <c r="EW179" s="1016"/>
    </row>
    <row r="180" spans="1:153" s="350" customFormat="1" ht="15" x14ac:dyDescent="0.25">
      <c r="A180" s="632" t="s">
        <v>5</v>
      </c>
      <c r="B180" s="662">
        <v>42906</v>
      </c>
      <c r="C180" s="1132" t="s">
        <v>904</v>
      </c>
      <c r="D180" s="386">
        <v>0.01</v>
      </c>
      <c r="E180" s="636">
        <v>0</v>
      </c>
      <c r="F180" s="636">
        <v>55</v>
      </c>
      <c r="G180" s="636">
        <v>0.95</v>
      </c>
      <c r="H180" s="386">
        <v>0.9</v>
      </c>
      <c r="I180" s="386">
        <v>15.7</v>
      </c>
      <c r="J180" s="386">
        <v>0</v>
      </c>
      <c r="K180" s="386">
        <v>1.57</v>
      </c>
      <c r="L180" s="636">
        <v>0</v>
      </c>
      <c r="M180" s="386">
        <v>19.399999999999999</v>
      </c>
      <c r="N180" s="386">
        <v>1.1299999999999999</v>
      </c>
      <c r="O180" s="386">
        <v>1.2381239364718741</v>
      </c>
      <c r="P180" s="386">
        <v>1.1200000000000001</v>
      </c>
      <c r="Q180" s="386">
        <v>0.65573913253176042</v>
      </c>
      <c r="R180" s="732">
        <v>1031.7416424418604</v>
      </c>
      <c r="S180" s="386">
        <v>8.14</v>
      </c>
      <c r="T180" s="386">
        <v>8.26</v>
      </c>
      <c r="U180" s="386">
        <v>0.85</v>
      </c>
      <c r="V180" s="739">
        <v>0.82</v>
      </c>
      <c r="W180" s="739">
        <v>52.34</v>
      </c>
      <c r="X180" s="613">
        <v>52.160000000000011</v>
      </c>
      <c r="Y180" s="367">
        <v>30.4</v>
      </c>
      <c r="Z180" s="636">
        <v>41.51</v>
      </c>
      <c r="AA180" s="636">
        <v>25</v>
      </c>
      <c r="AB180" s="636">
        <v>50.54</v>
      </c>
      <c r="AC180" s="1160">
        <f t="shared" si="51"/>
        <v>75.539999999999992</v>
      </c>
      <c r="AD180" s="1160">
        <f t="shared" si="52"/>
        <v>116.86037999999998</v>
      </c>
      <c r="AE180" s="1160">
        <f t="shared" si="53"/>
        <v>116.86037999999998</v>
      </c>
      <c r="AF180" s="542"/>
      <c r="AG180" s="1160">
        <f t="shared" si="49"/>
        <v>0</v>
      </c>
      <c r="AH180" s="656"/>
      <c r="AI180" s="351"/>
      <c r="AJ180" s="897"/>
      <c r="AK180" s="388"/>
      <c r="AL180" s="388"/>
      <c r="AM180" s="388"/>
      <c r="AN180" s="388"/>
      <c r="AO180" s="370"/>
      <c r="AP180" s="370"/>
      <c r="AQ180" s="927"/>
      <c r="AR180" s="551">
        <v>0</v>
      </c>
      <c r="AS180" s="386">
        <v>12.5</v>
      </c>
      <c r="AT180" s="1171">
        <v>0.5</v>
      </c>
      <c r="AU180" s="386">
        <v>0</v>
      </c>
      <c r="AV180" s="636">
        <v>412.3</v>
      </c>
      <c r="AW180" s="636">
        <v>1284.8</v>
      </c>
      <c r="AX180" s="386">
        <v>0</v>
      </c>
      <c r="AY180" s="551">
        <v>0</v>
      </c>
      <c r="AZ180" s="551">
        <v>0</v>
      </c>
      <c r="BA180" s="551">
        <v>0</v>
      </c>
      <c r="BB180" s="975">
        <v>0</v>
      </c>
      <c r="BC180" s="386">
        <v>2.39</v>
      </c>
      <c r="BD180" s="386">
        <v>1.87</v>
      </c>
      <c r="BE180" s="551">
        <v>0</v>
      </c>
      <c r="BF180" s="386">
        <v>0</v>
      </c>
      <c r="BG180" s="386">
        <v>0</v>
      </c>
      <c r="BH180" s="551">
        <v>0</v>
      </c>
      <c r="BI180" s="386">
        <v>2.0099999999999998</v>
      </c>
      <c r="BJ180" s="386">
        <v>44.4</v>
      </c>
      <c r="BK180" s="386">
        <v>4.28</v>
      </c>
      <c r="BL180" s="386">
        <v>4.25</v>
      </c>
      <c r="BM180" s="386">
        <v>0</v>
      </c>
      <c r="BN180" s="386">
        <v>35.799999999999997</v>
      </c>
      <c r="BO180" s="386">
        <v>1941.9</v>
      </c>
      <c r="BP180" s="386">
        <v>1.9</v>
      </c>
      <c r="BQ180" s="615">
        <v>19.559999999999999</v>
      </c>
      <c r="BR180" s="615">
        <v>20.29</v>
      </c>
      <c r="BS180" s="615">
        <v>11.2</v>
      </c>
      <c r="BT180" s="615">
        <v>11.3</v>
      </c>
      <c r="BU180" s="614">
        <v>23.4</v>
      </c>
      <c r="BV180" s="614">
        <v>22.9</v>
      </c>
      <c r="BW180" s="615">
        <v>799.4</v>
      </c>
      <c r="BX180" s="791"/>
      <c r="BY180" s="615">
        <v>0</v>
      </c>
      <c r="BZ180" s="615">
        <v>1.0900000000000001</v>
      </c>
      <c r="CA180" s="615">
        <v>1.1000000000000001</v>
      </c>
      <c r="CB180" s="615">
        <v>8.4</v>
      </c>
      <c r="CC180" s="615">
        <v>8.3000000000000007</v>
      </c>
      <c r="CD180" s="615">
        <v>15.2</v>
      </c>
      <c r="CE180" s="615">
        <v>32.5</v>
      </c>
      <c r="CF180" s="615">
        <v>18.45</v>
      </c>
      <c r="CG180" s="615">
        <v>8.9</v>
      </c>
      <c r="CH180" s="615">
        <v>14.7</v>
      </c>
      <c r="CI180" s="615">
        <v>18.7</v>
      </c>
      <c r="CJ180" s="615">
        <v>12.47</v>
      </c>
      <c r="CK180" s="615">
        <v>536.4</v>
      </c>
      <c r="CL180" s="615">
        <v>2.8</v>
      </c>
      <c r="CM180" s="615">
        <v>5.2</v>
      </c>
      <c r="CN180" s="615">
        <v>1732.3</v>
      </c>
      <c r="CO180" s="615">
        <v>560.79999999999995</v>
      </c>
      <c r="CP180" s="615">
        <v>381.3</v>
      </c>
      <c r="CQ180" s="615">
        <v>13.6</v>
      </c>
      <c r="CR180" s="615">
        <v>0.77</v>
      </c>
      <c r="CS180" s="614">
        <v>0</v>
      </c>
      <c r="CT180" s="386">
        <v>16.021999999999998</v>
      </c>
      <c r="CU180" s="386">
        <v>54</v>
      </c>
      <c r="CV180" s="499">
        <v>0</v>
      </c>
      <c r="CW180" s="499">
        <v>0</v>
      </c>
      <c r="CX180" s="499">
        <v>0</v>
      </c>
      <c r="CY180" s="499">
        <v>0</v>
      </c>
      <c r="CZ180" s="643">
        <v>896</v>
      </c>
      <c r="DA180" s="643">
        <v>1160</v>
      </c>
      <c r="DB180" s="643">
        <v>852</v>
      </c>
      <c r="DC180" s="609">
        <v>1167.0899999999999</v>
      </c>
      <c r="DD180" s="1153">
        <f t="shared" si="54"/>
        <v>-9.0000000000145519E-2</v>
      </c>
      <c r="DE180" s="1154">
        <f t="shared" si="55"/>
        <v>0</v>
      </c>
      <c r="DF180" s="1154">
        <f t="shared" si="56"/>
        <v>742</v>
      </c>
      <c r="DG180" s="1154">
        <f t="shared" si="57"/>
        <v>910</v>
      </c>
      <c r="DH180" s="1155" t="str">
        <f t="shared" si="58"/>
        <v>Palm</v>
      </c>
      <c r="DI180" s="1146">
        <f t="shared" si="59"/>
        <v>308</v>
      </c>
      <c r="DJ180" s="1146">
        <f t="shared" si="60"/>
        <v>0</v>
      </c>
      <c r="DK180" s="1154">
        <f t="shared" si="61"/>
        <v>0</v>
      </c>
      <c r="DL180" s="615"/>
      <c r="DM180" s="615"/>
      <c r="DN180" s="615"/>
      <c r="DO180" s="499"/>
      <c r="DP180" s="499"/>
      <c r="DQ180" s="499"/>
      <c r="DR180" s="499"/>
      <c r="DS180" s="499"/>
      <c r="DT180" s="499"/>
      <c r="DU180" s="499"/>
      <c r="DV180" s="499"/>
      <c r="DW180" s="499"/>
      <c r="DX180" s="499"/>
      <c r="DY180" s="499"/>
      <c r="DZ180" s="499"/>
      <c r="EA180" s="499"/>
      <c r="EB180" s="499"/>
      <c r="EC180" s="499"/>
      <c r="ED180" s="499"/>
      <c r="EE180" s="499"/>
      <c r="EF180" s="499"/>
      <c r="EG180" s="1146">
        <f t="shared" si="62"/>
        <v>14.5</v>
      </c>
      <c r="EH180" s="630">
        <v>0</v>
      </c>
      <c r="EI180" s="642">
        <v>2</v>
      </c>
      <c r="EJ180" s="613">
        <v>4</v>
      </c>
      <c r="EK180" s="613">
        <v>8.5</v>
      </c>
      <c r="EL180" s="499"/>
      <c r="EM180" s="615"/>
      <c r="EN180" s="499"/>
      <c r="EO180" s="499"/>
      <c r="EP180" s="499"/>
      <c r="EQ180" s="499"/>
      <c r="ER180" s="499"/>
      <c r="ES180" s="388"/>
      <c r="ET180" s="388"/>
      <c r="EV180" s="1167">
        <f t="shared" si="50"/>
        <v>22.4315</v>
      </c>
      <c r="EW180" s="1016"/>
    </row>
    <row r="181" spans="1:153" s="350" customFormat="1" ht="15" x14ac:dyDescent="0.25">
      <c r="A181" s="632" t="s">
        <v>6</v>
      </c>
      <c r="B181" s="662">
        <v>42907</v>
      </c>
      <c r="C181" s="1132" t="s">
        <v>904</v>
      </c>
      <c r="D181" s="386">
        <v>0</v>
      </c>
      <c r="E181" s="636">
        <v>0</v>
      </c>
      <c r="F181" s="636">
        <v>48</v>
      </c>
      <c r="G181" s="636">
        <v>0.8</v>
      </c>
      <c r="H181" s="386">
        <v>1.73</v>
      </c>
      <c r="I181" s="386">
        <v>15.9</v>
      </c>
      <c r="J181" s="386">
        <v>0</v>
      </c>
      <c r="K181" s="386">
        <v>1.51</v>
      </c>
      <c r="L181" s="636">
        <v>0</v>
      </c>
      <c r="M181" s="386">
        <v>19.3</v>
      </c>
      <c r="N181" s="386">
        <v>1.19</v>
      </c>
      <c r="O181" s="386">
        <v>1.2370407134303414</v>
      </c>
      <c r="P181" s="386">
        <v>1.17</v>
      </c>
      <c r="Q181" s="386">
        <v>0.69071079106158906</v>
      </c>
      <c r="R181" s="732">
        <v>1062.7438953488372</v>
      </c>
      <c r="S181" s="386">
        <v>8.1300000000000008</v>
      </c>
      <c r="T181" s="386">
        <v>8.2799999999999994</v>
      </c>
      <c r="U181" s="386">
        <v>0.84</v>
      </c>
      <c r="V181" s="739">
        <v>0.82</v>
      </c>
      <c r="W181" s="739">
        <v>51.980000000000004</v>
      </c>
      <c r="X181" s="613">
        <v>51.980000000000004</v>
      </c>
      <c r="Y181" s="367">
        <v>25</v>
      </c>
      <c r="Z181" s="636">
        <v>50.54</v>
      </c>
      <c r="AA181" s="636">
        <v>21.8</v>
      </c>
      <c r="AB181" s="636">
        <v>53.68</v>
      </c>
      <c r="AC181" s="1160">
        <f t="shared" si="51"/>
        <v>75.48</v>
      </c>
      <c r="AD181" s="1160">
        <f t="shared" si="52"/>
        <v>116.76756</v>
      </c>
      <c r="AE181" s="1160">
        <f t="shared" si="53"/>
        <v>116.76756</v>
      </c>
      <c r="AF181" s="542"/>
      <c r="AG181" s="1160">
        <f t="shared" si="49"/>
        <v>0</v>
      </c>
      <c r="AH181" s="656"/>
      <c r="AI181" s="351"/>
      <c r="AJ181" s="897"/>
      <c r="AK181" s="388"/>
      <c r="AL181" s="388"/>
      <c r="AM181" s="388"/>
      <c r="AN181" s="388"/>
      <c r="AO181" s="370"/>
      <c r="AP181" s="370"/>
      <c r="AQ181" s="1172" t="s">
        <v>913</v>
      </c>
      <c r="AR181" s="551">
        <v>0</v>
      </c>
      <c r="AS181" s="386">
        <v>23.8</v>
      </c>
      <c r="AT181" s="1171">
        <v>0.83799999999999997</v>
      </c>
      <c r="AU181" s="386">
        <v>0</v>
      </c>
      <c r="AV181" s="636">
        <v>0</v>
      </c>
      <c r="AW181" s="636">
        <v>2946.3</v>
      </c>
      <c r="AX181" s="386">
        <v>0</v>
      </c>
      <c r="AY181" s="551">
        <v>0</v>
      </c>
      <c r="AZ181" s="551">
        <v>0</v>
      </c>
      <c r="BA181" s="551">
        <v>0</v>
      </c>
      <c r="BB181" s="975">
        <v>0</v>
      </c>
      <c r="BC181" s="386">
        <v>2.27</v>
      </c>
      <c r="BD181" s="386">
        <v>1.73</v>
      </c>
      <c r="BE181" s="551">
        <v>0</v>
      </c>
      <c r="BF181" s="386">
        <v>0</v>
      </c>
      <c r="BG181" s="386">
        <v>0</v>
      </c>
      <c r="BH181" s="551">
        <v>0</v>
      </c>
      <c r="BI181" s="386">
        <v>1.56</v>
      </c>
      <c r="BJ181" s="386">
        <v>48.2</v>
      </c>
      <c r="BK181" s="386">
        <v>4.2</v>
      </c>
      <c r="BL181" s="386">
        <v>4.3099999999999996</v>
      </c>
      <c r="BM181" s="386">
        <v>0</v>
      </c>
      <c r="BN181" s="386">
        <v>39.700000000000003</v>
      </c>
      <c r="BO181" s="386">
        <v>2060</v>
      </c>
      <c r="BP181" s="386">
        <v>1.8</v>
      </c>
      <c r="BQ181" s="615">
        <v>17.64</v>
      </c>
      <c r="BR181" s="615">
        <v>18.37</v>
      </c>
      <c r="BS181" s="615">
        <v>8.16</v>
      </c>
      <c r="BT181" s="615">
        <v>8.1999999999999993</v>
      </c>
      <c r="BU181" s="614">
        <v>17.8</v>
      </c>
      <c r="BV181" s="614">
        <v>26.8</v>
      </c>
      <c r="BW181" s="615">
        <v>919.2</v>
      </c>
      <c r="BX181" s="791"/>
      <c r="BY181" s="615">
        <v>0</v>
      </c>
      <c r="BZ181" s="615">
        <v>1.1000000000000001</v>
      </c>
      <c r="CA181" s="615">
        <v>1.1000000000000001</v>
      </c>
      <c r="CB181" s="615">
        <v>8.4</v>
      </c>
      <c r="CC181" s="615">
        <v>8.3000000000000007</v>
      </c>
      <c r="CD181" s="499">
        <v>15.7</v>
      </c>
      <c r="CE181" s="615">
        <v>32.6</v>
      </c>
      <c r="CF181" s="615">
        <v>19.399999999999999</v>
      </c>
      <c r="CG181" s="615">
        <v>8.8000000000000007</v>
      </c>
      <c r="CH181" s="615">
        <v>14.6</v>
      </c>
      <c r="CI181" s="615">
        <v>18.5</v>
      </c>
      <c r="CJ181" s="615">
        <v>13.01</v>
      </c>
      <c r="CK181" s="615">
        <v>556.70000000000005</v>
      </c>
      <c r="CL181" s="615">
        <v>3.4</v>
      </c>
      <c r="CM181" s="615">
        <v>4.4000000000000004</v>
      </c>
      <c r="CN181" s="615">
        <v>2474.3000000000002</v>
      </c>
      <c r="CO181" s="615">
        <v>920</v>
      </c>
      <c r="CP181" s="615">
        <v>589.6</v>
      </c>
      <c r="CQ181" s="615">
        <v>13.5</v>
      </c>
      <c r="CR181" s="615">
        <v>0.85</v>
      </c>
      <c r="CS181" s="614">
        <v>0</v>
      </c>
      <c r="CT181" s="386">
        <v>16.367999999999999</v>
      </c>
      <c r="CU181" s="386">
        <v>54</v>
      </c>
      <c r="CV181" s="499">
        <v>0</v>
      </c>
      <c r="CW181" s="499">
        <v>0</v>
      </c>
      <c r="CX181" s="499">
        <v>0</v>
      </c>
      <c r="CY181" s="499">
        <v>0</v>
      </c>
      <c r="CZ181" s="643">
        <v>790</v>
      </c>
      <c r="DA181" s="643">
        <v>1010</v>
      </c>
      <c r="DB181" s="643">
        <v>717</v>
      </c>
      <c r="DC181" s="609">
        <v>1167.01</v>
      </c>
      <c r="DD181" s="1153">
        <f t="shared" si="54"/>
        <v>-7.999999999992724E-2</v>
      </c>
      <c r="DE181" s="1154">
        <f t="shared" si="55"/>
        <v>0</v>
      </c>
      <c r="DF181" s="1154">
        <f t="shared" si="56"/>
        <v>607</v>
      </c>
      <c r="DG181" s="1154">
        <f t="shared" si="57"/>
        <v>760</v>
      </c>
      <c r="DH181" s="1155" t="str">
        <f t="shared" si="58"/>
        <v>Palm</v>
      </c>
      <c r="DI181" s="1146">
        <f t="shared" si="59"/>
        <v>293</v>
      </c>
      <c r="DJ181" s="1146">
        <f t="shared" si="60"/>
        <v>0</v>
      </c>
      <c r="DK181" s="1154">
        <f t="shared" si="61"/>
        <v>0</v>
      </c>
      <c r="DL181" s="615"/>
      <c r="DM181" s="615"/>
      <c r="DN181" s="615"/>
      <c r="DO181" s="499"/>
      <c r="DP181" s="499"/>
      <c r="DQ181" s="499"/>
      <c r="DR181" s="499"/>
      <c r="DS181" s="499"/>
      <c r="DT181" s="499"/>
      <c r="DU181" s="499"/>
      <c r="DV181" s="499"/>
      <c r="DW181" s="499"/>
      <c r="DX181" s="499"/>
      <c r="DY181" s="499"/>
      <c r="DZ181" s="499"/>
      <c r="EA181" s="499"/>
      <c r="EB181" s="499"/>
      <c r="EC181" s="499"/>
      <c r="ED181" s="499"/>
      <c r="EE181" s="499"/>
      <c r="EF181" s="499"/>
      <c r="EG181" s="1146">
        <f t="shared" si="62"/>
        <v>14.5</v>
      </c>
      <c r="EH181" s="630">
        <v>0</v>
      </c>
      <c r="EI181" s="642">
        <v>2</v>
      </c>
      <c r="EJ181" s="613">
        <v>4</v>
      </c>
      <c r="EK181" s="613">
        <v>8.5</v>
      </c>
      <c r="EL181" s="499"/>
      <c r="EM181" s="615"/>
      <c r="EN181" s="499"/>
      <c r="EO181" s="499"/>
      <c r="EP181" s="499"/>
      <c r="EQ181" s="499"/>
      <c r="ER181" s="499"/>
      <c r="ES181" s="388"/>
      <c r="ET181" s="388"/>
      <c r="EV181" s="1167">
        <f t="shared" si="50"/>
        <v>22.4315</v>
      </c>
      <c r="EW181" s="1016"/>
    </row>
    <row r="182" spans="1:153" s="350" customFormat="1" ht="15" x14ac:dyDescent="0.25">
      <c r="A182" s="632" t="s">
        <v>7</v>
      </c>
      <c r="B182" s="662">
        <v>42908</v>
      </c>
      <c r="C182" s="1132" t="s">
        <v>904</v>
      </c>
      <c r="D182" s="386">
        <v>0</v>
      </c>
      <c r="E182" s="636">
        <v>0</v>
      </c>
      <c r="F182" s="636">
        <v>52</v>
      </c>
      <c r="G182" s="636">
        <v>0.8</v>
      </c>
      <c r="H182" s="386">
        <v>1.89</v>
      </c>
      <c r="I182" s="386">
        <v>15.6</v>
      </c>
      <c r="J182" s="386">
        <v>0</v>
      </c>
      <c r="K182" s="386">
        <v>1.38</v>
      </c>
      <c r="L182" s="610">
        <v>0</v>
      </c>
      <c r="M182" s="386">
        <v>19.3</v>
      </c>
      <c r="N182" s="386">
        <v>1.17</v>
      </c>
      <c r="O182" s="386">
        <v>1.261626210957469</v>
      </c>
      <c r="P182" s="386">
        <v>1.1299999999999999</v>
      </c>
      <c r="Q182" s="386">
        <v>0.64163720022240234</v>
      </c>
      <c r="R182" s="732">
        <v>1203.0874273255815</v>
      </c>
      <c r="S182" s="386">
        <v>8.01</v>
      </c>
      <c r="T182" s="386">
        <v>8.1199999999999992</v>
      </c>
      <c r="U182" s="386">
        <v>0.8</v>
      </c>
      <c r="V182" s="739">
        <v>0.79</v>
      </c>
      <c r="W182" s="739">
        <v>51.8</v>
      </c>
      <c r="X182" s="613">
        <v>51.8</v>
      </c>
      <c r="Y182" s="367">
        <v>21.8</v>
      </c>
      <c r="Z182" s="636">
        <v>53.68</v>
      </c>
      <c r="AA182" s="636">
        <v>29.8</v>
      </c>
      <c r="AB182" s="636">
        <v>57.62</v>
      </c>
      <c r="AC182" s="1160">
        <f t="shared" si="51"/>
        <v>87.42</v>
      </c>
      <c r="AD182" s="1160">
        <f t="shared" si="52"/>
        <v>135.23874000000001</v>
      </c>
      <c r="AE182" s="1160">
        <f t="shared" si="53"/>
        <v>135.23874000000001</v>
      </c>
      <c r="AF182" s="542"/>
      <c r="AG182" s="1160">
        <f t="shared" si="49"/>
        <v>0</v>
      </c>
      <c r="AH182" s="656"/>
      <c r="AI182" s="351"/>
      <c r="AJ182" s="897"/>
      <c r="AK182" s="388"/>
      <c r="AL182" s="388"/>
      <c r="AM182" s="388"/>
      <c r="AN182" s="388"/>
      <c r="AO182" s="370"/>
      <c r="AP182" s="370"/>
      <c r="AQ182" s="927"/>
      <c r="AR182" s="551">
        <v>0</v>
      </c>
      <c r="AS182" s="386">
        <v>24.8</v>
      </c>
      <c r="AT182" s="1171">
        <v>0.37</v>
      </c>
      <c r="AU182" s="386">
        <v>0</v>
      </c>
      <c r="AV182" s="636">
        <v>0</v>
      </c>
      <c r="AW182" s="636">
        <v>2742</v>
      </c>
      <c r="AX182" s="386">
        <v>0</v>
      </c>
      <c r="AY182" s="551">
        <v>0</v>
      </c>
      <c r="AZ182" s="551">
        <v>0</v>
      </c>
      <c r="BA182" s="551">
        <v>0</v>
      </c>
      <c r="BB182" s="975">
        <v>0</v>
      </c>
      <c r="BC182" s="386">
        <v>1.73</v>
      </c>
      <c r="BD182" s="386">
        <v>2.27</v>
      </c>
      <c r="BE182" s="551">
        <v>0</v>
      </c>
      <c r="BF182" s="386">
        <v>0</v>
      </c>
      <c r="BG182" s="386">
        <v>0</v>
      </c>
      <c r="BH182" s="551">
        <v>0</v>
      </c>
      <c r="BI182" s="386">
        <v>2.02</v>
      </c>
      <c r="BJ182" s="386">
        <v>51.7</v>
      </c>
      <c r="BK182" s="386">
        <v>4.1900000000000004</v>
      </c>
      <c r="BL182" s="386">
        <v>4.33</v>
      </c>
      <c r="BM182" s="386">
        <v>0</v>
      </c>
      <c r="BN182" s="386">
        <v>43.2</v>
      </c>
      <c r="BO182" s="386">
        <v>2033.5</v>
      </c>
      <c r="BP182" s="386">
        <v>1.9</v>
      </c>
      <c r="BQ182" s="615">
        <v>19.95</v>
      </c>
      <c r="BR182" s="615">
        <v>20.67</v>
      </c>
      <c r="BS182" s="615">
        <v>12.63</v>
      </c>
      <c r="BT182" s="615">
        <v>12.74</v>
      </c>
      <c r="BU182" s="614">
        <v>26.1</v>
      </c>
      <c r="BV182" s="614">
        <v>23.7</v>
      </c>
      <c r="BW182" s="615">
        <v>1021.3</v>
      </c>
      <c r="BX182" s="791"/>
      <c r="BY182" s="615">
        <v>0</v>
      </c>
      <c r="BZ182" s="615">
        <v>1.1599999999999999</v>
      </c>
      <c r="CA182" s="615">
        <v>1.1000000000000001</v>
      </c>
      <c r="CB182" s="615">
        <v>8.3000000000000007</v>
      </c>
      <c r="CC182" s="615">
        <v>8.3000000000000007</v>
      </c>
      <c r="CD182" s="499">
        <v>15.7</v>
      </c>
      <c r="CE182" s="615">
        <v>32.6</v>
      </c>
      <c r="CF182" s="615">
        <v>19.399999999999999</v>
      </c>
      <c r="CG182" s="615">
        <v>8.8000000000000007</v>
      </c>
      <c r="CH182" s="615">
        <v>14.6</v>
      </c>
      <c r="CI182" s="615">
        <v>18.600000000000001</v>
      </c>
      <c r="CJ182" s="615">
        <v>13</v>
      </c>
      <c r="CK182" s="615">
        <v>538.6</v>
      </c>
      <c r="CL182" s="615">
        <v>3.2</v>
      </c>
      <c r="CM182" s="615">
        <v>4.4000000000000004</v>
      </c>
      <c r="CN182" s="615">
        <v>2516.6999999999998</v>
      </c>
      <c r="CO182" s="615">
        <v>923.5</v>
      </c>
      <c r="CP182" s="615">
        <v>689.5</v>
      </c>
      <c r="CQ182" s="615">
        <v>13.2</v>
      </c>
      <c r="CR182" s="615">
        <v>0.83</v>
      </c>
      <c r="CS182" s="614">
        <v>0</v>
      </c>
      <c r="CT182" s="386">
        <v>15.893000000000001</v>
      </c>
      <c r="CU182" s="386">
        <v>54</v>
      </c>
      <c r="CV182" s="499">
        <v>0</v>
      </c>
      <c r="CW182" s="499">
        <v>0</v>
      </c>
      <c r="CX182" s="499">
        <v>0</v>
      </c>
      <c r="CY182" s="499">
        <v>0</v>
      </c>
      <c r="CZ182" s="643">
        <v>670</v>
      </c>
      <c r="DA182" s="643">
        <v>909</v>
      </c>
      <c r="DB182" s="643">
        <v>571</v>
      </c>
      <c r="DC182" s="609">
        <v>1167</v>
      </c>
      <c r="DD182" s="1153">
        <f t="shared" si="54"/>
        <v>-9.9999999999909051E-3</v>
      </c>
      <c r="DE182" s="1154">
        <f t="shared" si="55"/>
        <v>0</v>
      </c>
      <c r="DF182" s="1154">
        <f t="shared" si="56"/>
        <v>461</v>
      </c>
      <c r="DG182" s="1154">
        <f t="shared" si="57"/>
        <v>659</v>
      </c>
      <c r="DH182" s="1155" t="str">
        <f t="shared" si="58"/>
        <v>Palm</v>
      </c>
      <c r="DI182" s="1146">
        <f t="shared" si="59"/>
        <v>338</v>
      </c>
      <c r="DJ182" s="1146">
        <f t="shared" si="60"/>
        <v>0</v>
      </c>
      <c r="DK182" s="1154">
        <f t="shared" si="61"/>
        <v>0</v>
      </c>
      <c r="DL182" s="615"/>
      <c r="DM182" s="615"/>
      <c r="DN182" s="615"/>
      <c r="DO182" s="499"/>
      <c r="DP182" s="499"/>
      <c r="DQ182" s="499"/>
      <c r="DR182" s="499"/>
      <c r="DS182" s="499"/>
      <c r="DT182" s="499"/>
      <c r="DU182" s="499"/>
      <c r="DV182" s="499"/>
      <c r="DW182" s="499"/>
      <c r="DX182" s="499"/>
      <c r="DY182" s="499"/>
      <c r="DZ182" s="499"/>
      <c r="EA182" s="499"/>
      <c r="EB182" s="499"/>
      <c r="EC182" s="499"/>
      <c r="ED182" s="499"/>
      <c r="EE182" s="499"/>
      <c r="EF182" s="499"/>
      <c r="EG182" s="1146">
        <f t="shared" si="62"/>
        <v>14.5</v>
      </c>
      <c r="EH182" s="630">
        <v>0</v>
      </c>
      <c r="EI182" s="642">
        <v>2</v>
      </c>
      <c r="EJ182" s="613">
        <v>4</v>
      </c>
      <c r="EK182" s="613">
        <v>8.5</v>
      </c>
      <c r="EL182" s="499"/>
      <c r="EM182" s="615"/>
      <c r="EN182" s="499"/>
      <c r="EO182" s="499"/>
      <c r="EP182" s="499"/>
      <c r="EQ182" s="499"/>
      <c r="ER182" s="499"/>
      <c r="ES182" s="388"/>
      <c r="ET182" s="388"/>
      <c r="EV182" s="1167">
        <f t="shared" si="50"/>
        <v>22.4315</v>
      </c>
      <c r="EW182" s="1016"/>
    </row>
    <row r="183" spans="1:153" s="350" customFormat="1" ht="15" x14ac:dyDescent="0.25">
      <c r="A183" s="632" t="s">
        <v>8</v>
      </c>
      <c r="B183" s="662">
        <v>42909</v>
      </c>
      <c r="C183" s="1132" t="s">
        <v>904</v>
      </c>
      <c r="D183" s="386">
        <v>0</v>
      </c>
      <c r="E183" s="636">
        <v>0</v>
      </c>
      <c r="F183" s="636">
        <v>57</v>
      </c>
      <c r="G183" s="636">
        <v>0.85</v>
      </c>
      <c r="H183" s="386">
        <v>1.6</v>
      </c>
      <c r="I183" s="386">
        <v>16.100000000000001</v>
      </c>
      <c r="J183" s="386">
        <v>0</v>
      </c>
      <c r="K183" s="386">
        <v>1.38</v>
      </c>
      <c r="L183" s="610">
        <v>0</v>
      </c>
      <c r="M183" s="386">
        <v>19.100000000000001</v>
      </c>
      <c r="N183" s="386">
        <v>1.19</v>
      </c>
      <c r="O183" s="386">
        <v>1.2737105365728978</v>
      </c>
      <c r="P183" s="386">
        <v>1.1200000000000001</v>
      </c>
      <c r="Q183" s="386">
        <v>0.63907997627398461</v>
      </c>
      <c r="R183" s="732">
        <v>1248.7574127906978</v>
      </c>
      <c r="S183" s="386">
        <v>8.14</v>
      </c>
      <c r="T183" s="386">
        <v>8.18</v>
      </c>
      <c r="U183" s="386">
        <v>0.89</v>
      </c>
      <c r="V183" s="739">
        <v>0.92</v>
      </c>
      <c r="W183" s="739">
        <v>51.8</v>
      </c>
      <c r="X183" s="613">
        <v>51.8</v>
      </c>
      <c r="Y183" s="367">
        <v>29.8</v>
      </c>
      <c r="Z183" s="636">
        <v>57.62</v>
      </c>
      <c r="AA183" s="636">
        <v>34.08</v>
      </c>
      <c r="AB183" s="636">
        <v>57.26</v>
      </c>
      <c r="AC183" s="1160">
        <f t="shared" si="51"/>
        <v>91.34</v>
      </c>
      <c r="AD183" s="1160">
        <f t="shared" si="52"/>
        <v>141.30297999999999</v>
      </c>
      <c r="AE183" s="1160">
        <f t="shared" si="53"/>
        <v>141.30297999999999</v>
      </c>
      <c r="AF183" s="542"/>
      <c r="AG183" s="1160">
        <f t="shared" si="49"/>
        <v>0</v>
      </c>
      <c r="AH183" s="656"/>
      <c r="AI183" s="351"/>
      <c r="AJ183" s="897"/>
      <c r="AK183" s="388"/>
      <c r="AL183" s="388"/>
      <c r="AM183" s="388"/>
      <c r="AN183" s="388"/>
      <c r="AO183" s="370"/>
      <c r="AP183" s="370"/>
      <c r="AQ183" s="386"/>
      <c r="AR183" s="551">
        <v>0</v>
      </c>
      <c r="AS183" s="386">
        <v>24.2</v>
      </c>
      <c r="AT183" s="386">
        <v>0</v>
      </c>
      <c r="AU183" s="386">
        <v>0</v>
      </c>
      <c r="AV183" s="636">
        <v>424.4</v>
      </c>
      <c r="AW183" s="636">
        <v>2466.6</v>
      </c>
      <c r="AX183" s="386">
        <v>0</v>
      </c>
      <c r="AY183" s="551">
        <v>0</v>
      </c>
      <c r="AZ183" s="551">
        <v>0</v>
      </c>
      <c r="BA183" s="551">
        <v>0</v>
      </c>
      <c r="BB183" s="975">
        <v>0</v>
      </c>
      <c r="BC183" s="386">
        <v>2.2400000000000002</v>
      </c>
      <c r="BD183" s="386">
        <v>3.13</v>
      </c>
      <c r="BE183" s="551">
        <v>0</v>
      </c>
      <c r="BF183" s="386">
        <v>0</v>
      </c>
      <c r="BG183" s="386">
        <v>0</v>
      </c>
      <c r="BH183" s="551">
        <v>0</v>
      </c>
      <c r="BI183" s="386">
        <v>2.02</v>
      </c>
      <c r="BJ183" s="386">
        <v>49.6</v>
      </c>
      <c r="BK183" s="386">
        <v>4.83</v>
      </c>
      <c r="BL183" s="386">
        <v>4.3499999999999996</v>
      </c>
      <c r="BM183" s="386">
        <v>0</v>
      </c>
      <c r="BN183" s="386">
        <v>40.4</v>
      </c>
      <c r="BO183" s="386">
        <v>2509.3000000000002</v>
      </c>
      <c r="BP183" s="386">
        <v>1.9</v>
      </c>
      <c r="BQ183" s="615">
        <v>22.31</v>
      </c>
      <c r="BR183" s="615">
        <v>22.99</v>
      </c>
      <c r="BS183" s="615">
        <v>15</v>
      </c>
      <c r="BT183" s="615">
        <v>15.1</v>
      </c>
      <c r="BU183" s="614">
        <v>30.4</v>
      </c>
      <c r="BV183" s="614">
        <v>29</v>
      </c>
      <c r="BW183" s="615">
        <v>1149.5</v>
      </c>
      <c r="BX183" s="791"/>
      <c r="BY183" s="615">
        <v>0</v>
      </c>
      <c r="BZ183" s="615">
        <v>1.1599999999999999</v>
      </c>
      <c r="CA183" s="615">
        <v>1.1000000000000001</v>
      </c>
      <c r="CB183" s="615">
        <v>8.3000000000000007</v>
      </c>
      <c r="CC183" s="615">
        <v>8.1999999999999993</v>
      </c>
      <c r="CD183" s="499">
        <v>16</v>
      </c>
      <c r="CE183" s="615">
        <v>32.5</v>
      </c>
      <c r="CF183" s="615">
        <v>18.600000000000001</v>
      </c>
      <c r="CG183" s="615">
        <v>9</v>
      </c>
      <c r="CH183" s="615">
        <v>14.9</v>
      </c>
      <c r="CI183" s="615">
        <v>18.899999999999999</v>
      </c>
      <c r="CJ183" s="615">
        <v>13.24</v>
      </c>
      <c r="CK183" s="615">
        <v>533.9</v>
      </c>
      <c r="CL183" s="615">
        <v>3.1</v>
      </c>
      <c r="CM183" s="615">
        <v>4.4000000000000004</v>
      </c>
      <c r="CN183" s="615">
        <v>2816.1</v>
      </c>
      <c r="CO183" s="615">
        <v>1005.5</v>
      </c>
      <c r="CP183" s="615">
        <v>676.1</v>
      </c>
      <c r="CQ183" s="615">
        <v>13.1</v>
      </c>
      <c r="CR183" s="615">
        <v>0.83</v>
      </c>
      <c r="CS183" s="614">
        <v>0</v>
      </c>
      <c r="CT183" s="386">
        <v>15.589</v>
      </c>
      <c r="CU183" s="386">
        <v>55</v>
      </c>
      <c r="CV183" s="499">
        <v>0</v>
      </c>
      <c r="CW183" s="499">
        <v>0</v>
      </c>
      <c r="CX183" s="499">
        <v>0</v>
      </c>
      <c r="CY183" s="499">
        <v>0</v>
      </c>
      <c r="CZ183" s="643">
        <v>666</v>
      </c>
      <c r="DA183" s="643">
        <v>811</v>
      </c>
      <c r="DB183" s="644">
        <v>571</v>
      </c>
      <c r="DC183" s="609">
        <v>1167.01</v>
      </c>
      <c r="DD183" s="1153">
        <f t="shared" si="54"/>
        <v>9.9999999999909051E-3</v>
      </c>
      <c r="DE183" s="1154">
        <f t="shared" si="55"/>
        <v>0</v>
      </c>
      <c r="DF183" s="1154">
        <f t="shared" si="56"/>
        <v>461</v>
      </c>
      <c r="DG183" s="1154">
        <f t="shared" si="57"/>
        <v>561</v>
      </c>
      <c r="DH183" s="1155" t="str">
        <f t="shared" si="58"/>
        <v>Palm</v>
      </c>
      <c r="DI183" s="1146">
        <f t="shared" si="59"/>
        <v>240</v>
      </c>
      <c r="DJ183" s="1146">
        <f t="shared" si="60"/>
        <v>0</v>
      </c>
      <c r="DK183" s="1154">
        <f t="shared" si="61"/>
        <v>0</v>
      </c>
      <c r="DL183" s="615"/>
      <c r="DM183" s="615"/>
      <c r="DN183" s="615"/>
      <c r="DO183" s="499"/>
      <c r="DP183" s="499"/>
      <c r="DQ183" s="499"/>
      <c r="DR183" s="499"/>
      <c r="DS183" s="499"/>
      <c r="DT183" s="499"/>
      <c r="DU183" s="499"/>
      <c r="DV183" s="499"/>
      <c r="DW183" s="499"/>
      <c r="DX183" s="499"/>
      <c r="DY183" s="499"/>
      <c r="DZ183" s="499"/>
      <c r="EA183" s="499"/>
      <c r="EB183" s="499"/>
      <c r="EC183" s="499"/>
      <c r="ED183" s="499"/>
      <c r="EE183" s="499"/>
      <c r="EF183" s="499"/>
      <c r="EG183" s="1146">
        <f t="shared" ref="EG183:EG247" si="63">(SUM(EH183:EK183))</f>
        <v>18</v>
      </c>
      <c r="EH183" s="630">
        <v>0</v>
      </c>
      <c r="EI183" s="642">
        <v>2</v>
      </c>
      <c r="EJ183" s="613">
        <v>6.5</v>
      </c>
      <c r="EK183" s="613">
        <v>9.5</v>
      </c>
      <c r="EL183" s="499"/>
      <c r="EM183" s="615"/>
      <c r="EN183" s="499"/>
      <c r="EO183" s="499"/>
      <c r="EP183" s="499"/>
      <c r="EQ183" s="499"/>
      <c r="ER183" s="499"/>
      <c r="ES183" s="388"/>
      <c r="ET183" s="388"/>
      <c r="EV183" s="1167">
        <f t="shared" si="50"/>
        <v>27.846</v>
      </c>
      <c r="EW183" s="1016"/>
    </row>
    <row r="184" spans="1:153" s="350" customFormat="1" ht="15" x14ac:dyDescent="0.25">
      <c r="A184" s="632" t="s">
        <v>9</v>
      </c>
      <c r="B184" s="662">
        <v>42910</v>
      </c>
      <c r="C184" s="1132" t="s">
        <v>904</v>
      </c>
      <c r="D184" s="386">
        <v>0</v>
      </c>
      <c r="E184" s="636">
        <v>0</v>
      </c>
      <c r="F184" s="636">
        <v>69</v>
      </c>
      <c r="G184" s="636">
        <v>0.8</v>
      </c>
      <c r="H184" s="386">
        <v>1.51</v>
      </c>
      <c r="I184" s="386">
        <v>16.100000000000001</v>
      </c>
      <c r="J184" s="386">
        <v>0</v>
      </c>
      <c r="K184" s="386">
        <v>1.39</v>
      </c>
      <c r="L184" s="610">
        <v>0</v>
      </c>
      <c r="M184" s="386">
        <v>19.100000000000001</v>
      </c>
      <c r="N184" s="386">
        <v>1.1499999999999999</v>
      </c>
      <c r="O184" s="386">
        <v>1.3374159594399586</v>
      </c>
      <c r="P184" s="386">
        <v>1.1299999999999999</v>
      </c>
      <c r="Q184" s="386">
        <v>0.64627264869441181</v>
      </c>
      <c r="R184" s="732">
        <v>1203.4207848837209</v>
      </c>
      <c r="S184" s="386">
        <v>8.2200000000000006</v>
      </c>
      <c r="T184" s="386">
        <v>8.06</v>
      </c>
      <c r="U184" s="386">
        <v>0.81</v>
      </c>
      <c r="V184" s="739">
        <v>0.74</v>
      </c>
      <c r="W184" s="739">
        <v>51.980000000000004</v>
      </c>
      <c r="X184" s="613">
        <v>51.980000000000004</v>
      </c>
      <c r="Y184" s="367">
        <v>34.08</v>
      </c>
      <c r="Z184" s="636">
        <v>57.26</v>
      </c>
      <c r="AA184" s="636">
        <v>36.130000000000003</v>
      </c>
      <c r="AB184" s="636">
        <v>49.99</v>
      </c>
      <c r="AC184" s="1160">
        <f t="shared" si="51"/>
        <v>86.12</v>
      </c>
      <c r="AD184" s="1160">
        <f t="shared" si="52"/>
        <v>133.22764000000001</v>
      </c>
      <c r="AE184" s="1160">
        <f t="shared" si="53"/>
        <v>133.22764000000001</v>
      </c>
      <c r="AF184" s="542"/>
      <c r="AG184" s="1160">
        <f t="shared" si="49"/>
        <v>0</v>
      </c>
      <c r="AH184" s="656"/>
      <c r="AI184" s="351"/>
      <c r="AJ184" s="897"/>
      <c r="AK184" s="388"/>
      <c r="AL184" s="388"/>
      <c r="AM184" s="388"/>
      <c r="AN184" s="388"/>
      <c r="AO184" s="370"/>
      <c r="AP184" s="370"/>
      <c r="AQ184" s="386"/>
      <c r="AR184" s="551">
        <v>0</v>
      </c>
      <c r="AS184" s="386">
        <v>47.7</v>
      </c>
      <c r="AT184" s="386">
        <v>0</v>
      </c>
      <c r="AU184" s="386">
        <v>0</v>
      </c>
      <c r="AV184" s="636">
        <v>751.8</v>
      </c>
      <c r="AW184" s="636">
        <v>1502.2</v>
      </c>
      <c r="AX184" s="386">
        <v>0.9</v>
      </c>
      <c r="AY184" s="551">
        <v>0</v>
      </c>
      <c r="AZ184" s="551">
        <v>0</v>
      </c>
      <c r="BA184" s="551">
        <v>0</v>
      </c>
      <c r="BB184" s="975">
        <v>0</v>
      </c>
      <c r="BC184" s="386">
        <v>3.65</v>
      </c>
      <c r="BD184" s="386">
        <v>2.86</v>
      </c>
      <c r="BE184" s="551">
        <v>0</v>
      </c>
      <c r="BF184" s="386">
        <v>0.4</v>
      </c>
      <c r="BG184" s="386">
        <v>0</v>
      </c>
      <c r="BH184" s="551">
        <v>0</v>
      </c>
      <c r="BI184" s="386">
        <v>2.02</v>
      </c>
      <c r="BJ184" s="386">
        <v>41.5</v>
      </c>
      <c r="BK184" s="386">
        <v>5.17</v>
      </c>
      <c r="BL184" s="386">
        <v>4.33</v>
      </c>
      <c r="BM184" s="386">
        <v>0</v>
      </c>
      <c r="BN184" s="386">
        <v>32</v>
      </c>
      <c r="BO184" s="386">
        <v>2399.8000000000002</v>
      </c>
      <c r="BP184" s="386">
        <v>1.9</v>
      </c>
      <c r="BQ184" s="615">
        <v>21.2</v>
      </c>
      <c r="BR184" s="615">
        <v>21.9</v>
      </c>
      <c r="BS184" s="615">
        <v>16</v>
      </c>
      <c r="BT184" s="615">
        <v>16.100000000000001</v>
      </c>
      <c r="BU184" s="614">
        <v>32.4</v>
      </c>
      <c r="BV184" s="614">
        <v>42.1</v>
      </c>
      <c r="BW184" s="615">
        <v>1223.8</v>
      </c>
      <c r="BX184" s="791"/>
      <c r="BY184" s="615">
        <v>0</v>
      </c>
      <c r="BZ184" s="615">
        <v>1.1299999999999999</v>
      </c>
      <c r="CA184" s="615">
        <v>1.1000000000000001</v>
      </c>
      <c r="CB184" s="615">
        <v>8.1999999999999993</v>
      </c>
      <c r="CC184" s="615">
        <v>8.1999999999999993</v>
      </c>
      <c r="CD184" s="499">
        <v>16.399999999999999</v>
      </c>
      <c r="CE184" s="615">
        <v>32.299999999999997</v>
      </c>
      <c r="CF184" s="615">
        <v>21</v>
      </c>
      <c r="CG184" s="615">
        <v>7.9</v>
      </c>
      <c r="CH184" s="615">
        <v>13.5</v>
      </c>
      <c r="CI184" s="615">
        <v>17.8</v>
      </c>
      <c r="CJ184" s="615">
        <v>13.6</v>
      </c>
      <c r="CK184" s="615">
        <v>523</v>
      </c>
      <c r="CL184" s="615">
        <v>2.9</v>
      </c>
      <c r="CM184" s="615">
        <v>3.8</v>
      </c>
      <c r="CN184" s="615">
        <v>2996.9</v>
      </c>
      <c r="CO184" s="615">
        <v>1063.4000000000001</v>
      </c>
      <c r="CP184" s="615">
        <v>561.4</v>
      </c>
      <c r="CQ184" s="615">
        <v>12.8</v>
      </c>
      <c r="CR184" s="615">
        <v>0.79</v>
      </c>
      <c r="CS184" s="614">
        <v>0</v>
      </c>
      <c r="CT184" s="386">
        <v>15.42</v>
      </c>
      <c r="CU184" s="386">
        <v>55</v>
      </c>
      <c r="CV184" s="499">
        <v>0</v>
      </c>
      <c r="CW184" s="499">
        <v>0</v>
      </c>
      <c r="CX184" s="499">
        <v>0</v>
      </c>
      <c r="CY184" s="499">
        <v>0</v>
      </c>
      <c r="CZ184" s="643">
        <v>670</v>
      </c>
      <c r="DA184" s="643">
        <v>811</v>
      </c>
      <c r="DB184" s="643">
        <v>575</v>
      </c>
      <c r="DC184" s="609">
        <v>1166.94</v>
      </c>
      <c r="DD184" s="1153">
        <f t="shared" si="54"/>
        <v>-6.9999999999936335E-2</v>
      </c>
      <c r="DE184" s="1154">
        <f t="shared" si="55"/>
        <v>0</v>
      </c>
      <c r="DF184" s="1154">
        <f t="shared" si="56"/>
        <v>465</v>
      </c>
      <c r="DG184" s="1154">
        <f t="shared" si="57"/>
        <v>561</v>
      </c>
      <c r="DH184" s="1155" t="str">
        <f t="shared" si="58"/>
        <v>Palm</v>
      </c>
      <c r="DI184" s="1146">
        <f t="shared" si="59"/>
        <v>236</v>
      </c>
      <c r="DJ184" s="1146">
        <f t="shared" si="60"/>
        <v>0</v>
      </c>
      <c r="DK184" s="1154">
        <f t="shared" si="61"/>
        <v>0</v>
      </c>
      <c r="DL184" s="615"/>
      <c r="DM184" s="615"/>
      <c r="DN184" s="615"/>
      <c r="DO184" s="499"/>
      <c r="DP184" s="499"/>
      <c r="DQ184" s="499"/>
      <c r="DR184" s="499"/>
      <c r="DS184" s="499"/>
      <c r="DT184" s="499"/>
      <c r="DU184" s="499"/>
      <c r="DV184" s="499"/>
      <c r="DW184" s="499"/>
      <c r="DX184" s="499"/>
      <c r="DY184" s="499"/>
      <c r="DZ184" s="499"/>
      <c r="EA184" s="499"/>
      <c r="EB184" s="499"/>
      <c r="EC184" s="499"/>
      <c r="ED184" s="499"/>
      <c r="EE184" s="499"/>
      <c r="EF184" s="499"/>
      <c r="EG184" s="1146">
        <f t="shared" si="63"/>
        <v>18</v>
      </c>
      <c r="EH184" s="630">
        <v>0</v>
      </c>
      <c r="EI184" s="642">
        <v>2</v>
      </c>
      <c r="EJ184" s="613">
        <v>6.5</v>
      </c>
      <c r="EK184" s="613">
        <v>9.5</v>
      </c>
      <c r="EL184" s="499"/>
      <c r="EM184" s="615"/>
      <c r="EN184" s="499"/>
      <c r="EO184" s="499"/>
      <c r="EP184" s="499"/>
      <c r="EQ184" s="499"/>
      <c r="ER184" s="499"/>
      <c r="ES184" s="388"/>
      <c r="ET184" s="388"/>
      <c r="EV184" s="1167">
        <f t="shared" si="50"/>
        <v>27.846</v>
      </c>
      <c r="EW184" s="1016"/>
    </row>
    <row r="185" spans="1:153" s="350" customFormat="1" ht="15" x14ac:dyDescent="0.25">
      <c r="A185" s="632" t="s">
        <v>3</v>
      </c>
      <c r="B185" s="662">
        <v>42911</v>
      </c>
      <c r="C185" s="1132" t="s">
        <v>904</v>
      </c>
      <c r="D185" s="386">
        <v>0</v>
      </c>
      <c r="E185" s="636">
        <v>0</v>
      </c>
      <c r="F185" s="636">
        <v>64</v>
      </c>
      <c r="G185" s="636">
        <v>0.8</v>
      </c>
      <c r="H185" s="386">
        <v>1.64</v>
      </c>
      <c r="I185" s="386">
        <v>16</v>
      </c>
      <c r="J185" s="386">
        <v>0</v>
      </c>
      <c r="K185" s="386">
        <v>1.45</v>
      </c>
      <c r="L185" s="610">
        <v>0</v>
      </c>
      <c r="M185" s="386">
        <v>19.100000000000001</v>
      </c>
      <c r="N185" s="386">
        <v>1.1299999999999999</v>
      </c>
      <c r="O185" s="386">
        <v>1.3291703169800624</v>
      </c>
      <c r="P185" s="386">
        <v>1.1200000000000001</v>
      </c>
      <c r="Q185" s="386">
        <v>0.63920180980259278</v>
      </c>
      <c r="R185" s="732">
        <v>1230.7561046511628</v>
      </c>
      <c r="S185" s="386">
        <v>8.17</v>
      </c>
      <c r="T185" s="386">
        <v>7.99</v>
      </c>
      <c r="U185" s="386">
        <v>0.81</v>
      </c>
      <c r="V185" s="739">
        <v>0.73</v>
      </c>
      <c r="W185" s="739">
        <v>52.519999999999996</v>
      </c>
      <c r="X185" s="613">
        <v>52.519999999999996</v>
      </c>
      <c r="Y185" s="367">
        <v>36.130000000000003</v>
      </c>
      <c r="Z185" s="636">
        <v>49.84</v>
      </c>
      <c r="AA185" s="636">
        <v>39.39</v>
      </c>
      <c r="AB185" s="636">
        <v>49.9</v>
      </c>
      <c r="AC185" s="1160">
        <f t="shared" si="51"/>
        <v>89.289999999999992</v>
      </c>
      <c r="AD185" s="1160">
        <f t="shared" si="52"/>
        <v>138.13162999999997</v>
      </c>
      <c r="AE185" s="1160">
        <f t="shared" si="53"/>
        <v>138.13162999999997</v>
      </c>
      <c r="AF185" s="542"/>
      <c r="AG185" s="1160">
        <f t="shared" si="49"/>
        <v>0</v>
      </c>
      <c r="AH185" s="656"/>
      <c r="AI185" s="351"/>
      <c r="AJ185" s="897"/>
      <c r="AK185" s="388"/>
      <c r="AL185" s="388"/>
      <c r="AM185" s="388"/>
      <c r="AN185" s="388"/>
      <c r="AO185" s="370"/>
      <c r="AP185" s="370"/>
      <c r="AQ185" s="386"/>
      <c r="AR185" s="551">
        <v>0</v>
      </c>
      <c r="AS185" s="386">
        <v>31.1</v>
      </c>
      <c r="AT185" s="386">
        <v>0</v>
      </c>
      <c r="AU185" s="386">
        <v>0</v>
      </c>
      <c r="AV185" s="636">
        <v>918</v>
      </c>
      <c r="AW185" s="636">
        <v>2196.3000000000002</v>
      </c>
      <c r="AX185" s="386">
        <v>0</v>
      </c>
      <c r="AY185" s="551">
        <v>0</v>
      </c>
      <c r="AZ185" s="551">
        <v>0</v>
      </c>
      <c r="BA185" s="551">
        <v>0</v>
      </c>
      <c r="BB185" s="975">
        <v>0</v>
      </c>
      <c r="BC185" s="386">
        <v>3.42</v>
      </c>
      <c r="BD185" s="386">
        <v>3.08</v>
      </c>
      <c r="BE185" s="551">
        <v>0</v>
      </c>
      <c r="BF185" s="386">
        <v>0</v>
      </c>
      <c r="BG185" s="386">
        <v>0</v>
      </c>
      <c r="BH185" s="551">
        <v>0</v>
      </c>
      <c r="BI185" s="386">
        <v>2.02</v>
      </c>
      <c r="BJ185" s="386">
        <v>41.5</v>
      </c>
      <c r="BK185" s="386">
        <v>5.18</v>
      </c>
      <c r="BL185" s="386">
        <v>4.34</v>
      </c>
      <c r="BM185" s="386">
        <v>0</v>
      </c>
      <c r="BN185" s="386">
        <v>32</v>
      </c>
      <c r="BO185" s="386">
        <v>2766.4</v>
      </c>
      <c r="BP185" s="386">
        <v>1.8</v>
      </c>
      <c r="BQ185" s="615">
        <v>20.8</v>
      </c>
      <c r="BR185" s="615">
        <v>21.5</v>
      </c>
      <c r="BS185" s="615">
        <v>17.399999999999999</v>
      </c>
      <c r="BT185" s="615">
        <v>17.5</v>
      </c>
      <c r="BU185" s="614">
        <v>35.200000000000003</v>
      </c>
      <c r="BV185" s="614">
        <v>43.1</v>
      </c>
      <c r="BW185" s="615">
        <v>1212.4000000000001</v>
      </c>
      <c r="BX185" s="791"/>
      <c r="BY185" s="615">
        <v>0</v>
      </c>
      <c r="BZ185" s="615">
        <v>1.1000000000000001</v>
      </c>
      <c r="CA185" s="615">
        <v>1.1000000000000001</v>
      </c>
      <c r="CB185" s="615">
        <v>8.1999999999999993</v>
      </c>
      <c r="CC185" s="615">
        <v>8.1999999999999993</v>
      </c>
      <c r="CD185" s="499">
        <v>16.399999999999999</v>
      </c>
      <c r="CE185" s="615">
        <v>32.1</v>
      </c>
      <c r="CF185" s="615">
        <v>17.600000000000001</v>
      </c>
      <c r="CG185" s="615">
        <v>7.4</v>
      </c>
      <c r="CH185" s="615">
        <v>13</v>
      </c>
      <c r="CI185" s="615">
        <v>17.3</v>
      </c>
      <c r="CJ185" s="615">
        <v>13.6</v>
      </c>
      <c r="CK185" s="615">
        <v>521.1</v>
      </c>
      <c r="CL185" s="615">
        <v>2.9</v>
      </c>
      <c r="CM185" s="615">
        <v>4.3</v>
      </c>
      <c r="CN185" s="615">
        <v>3295.5</v>
      </c>
      <c r="CO185" s="615">
        <v>1137.3</v>
      </c>
      <c r="CP185" s="615">
        <v>585</v>
      </c>
      <c r="CQ185" s="615">
        <v>13</v>
      </c>
      <c r="CR185" s="615">
        <v>0.8</v>
      </c>
      <c r="CS185" s="614">
        <v>0</v>
      </c>
      <c r="CT185" s="386">
        <v>16.111999999999998</v>
      </c>
      <c r="CU185" s="386">
        <v>56</v>
      </c>
      <c r="CV185" s="499">
        <v>0</v>
      </c>
      <c r="CW185" s="499">
        <v>0</v>
      </c>
      <c r="CX185" s="499">
        <v>0</v>
      </c>
      <c r="CY185" s="499">
        <v>0</v>
      </c>
      <c r="CZ185" s="643">
        <v>670</v>
      </c>
      <c r="DA185" s="643">
        <v>792</v>
      </c>
      <c r="DB185" s="643">
        <v>571</v>
      </c>
      <c r="DC185" s="609">
        <v>1166.8</v>
      </c>
      <c r="DD185" s="1153">
        <f t="shared" si="54"/>
        <v>-0.14000000000010004</v>
      </c>
      <c r="DE185" s="1154">
        <f t="shared" si="55"/>
        <v>0</v>
      </c>
      <c r="DF185" s="1154">
        <f t="shared" si="56"/>
        <v>461</v>
      </c>
      <c r="DG185" s="1154">
        <f t="shared" si="57"/>
        <v>542</v>
      </c>
      <c r="DH185" s="1155" t="str">
        <f t="shared" si="58"/>
        <v>Palm</v>
      </c>
      <c r="DI185" s="1146">
        <f t="shared" si="59"/>
        <v>221</v>
      </c>
      <c r="DJ185" s="1146">
        <f t="shared" si="60"/>
        <v>0</v>
      </c>
      <c r="DK185" s="1154">
        <f t="shared" si="61"/>
        <v>0</v>
      </c>
      <c r="DL185" s="615"/>
      <c r="DM185" s="615"/>
      <c r="DN185" s="615"/>
      <c r="DO185" s="499"/>
      <c r="DP185" s="499"/>
      <c r="DQ185" s="499"/>
      <c r="DR185" s="499"/>
      <c r="DS185" s="499"/>
      <c r="DT185" s="499"/>
      <c r="DU185" s="499"/>
      <c r="DV185" s="499"/>
      <c r="DW185" s="499"/>
      <c r="DX185" s="499"/>
      <c r="DY185" s="499"/>
      <c r="DZ185" s="499"/>
      <c r="EA185" s="499"/>
      <c r="EB185" s="499"/>
      <c r="EC185" s="499"/>
      <c r="ED185" s="499"/>
      <c r="EE185" s="499"/>
      <c r="EF185" s="499"/>
      <c r="EG185" s="1146">
        <f t="shared" si="63"/>
        <v>18</v>
      </c>
      <c r="EH185" s="630">
        <v>0</v>
      </c>
      <c r="EI185" s="642">
        <v>2</v>
      </c>
      <c r="EJ185" s="613">
        <v>6.5</v>
      </c>
      <c r="EK185" s="613">
        <v>9.5</v>
      </c>
      <c r="EL185" s="499"/>
      <c r="EM185" s="615"/>
      <c r="EN185" s="499"/>
      <c r="EO185" s="499"/>
      <c r="EP185" s="499"/>
      <c r="EQ185" s="499"/>
      <c r="ER185" s="499"/>
      <c r="ES185" s="388"/>
      <c r="ET185" s="388"/>
      <c r="EV185" s="1167">
        <f t="shared" si="50"/>
        <v>27.846</v>
      </c>
      <c r="EW185" s="1016"/>
    </row>
    <row r="186" spans="1:153" s="350" customFormat="1" ht="15" x14ac:dyDescent="0.25">
      <c r="A186" s="632" t="s">
        <v>4</v>
      </c>
      <c r="B186" s="662">
        <v>42912</v>
      </c>
      <c r="C186" s="1132" t="s">
        <v>904</v>
      </c>
      <c r="D186" s="386">
        <v>0</v>
      </c>
      <c r="E186" s="636">
        <v>0</v>
      </c>
      <c r="F186" s="636">
        <v>54</v>
      </c>
      <c r="G186" s="636">
        <v>0.65</v>
      </c>
      <c r="H186" s="386">
        <v>2.4500000000000002</v>
      </c>
      <c r="I186" s="386">
        <v>15.5</v>
      </c>
      <c r="J186" s="386">
        <v>0</v>
      </c>
      <c r="K186" s="386">
        <v>1.47</v>
      </c>
      <c r="L186" s="610">
        <v>0</v>
      </c>
      <c r="M186" s="386">
        <v>19.100000000000001</v>
      </c>
      <c r="N186" s="386">
        <v>1.1599999999999999</v>
      </c>
      <c r="O186" s="386">
        <v>1.2990552325581397</v>
      </c>
      <c r="P186" s="386">
        <v>1.1399999999999999</v>
      </c>
      <c r="Q186" s="386">
        <v>0.62642636975529986</v>
      </c>
      <c r="R186" s="732">
        <v>1249.4241279069768</v>
      </c>
      <c r="S186" s="386">
        <v>8.2799999999999994</v>
      </c>
      <c r="T186" s="386">
        <v>8.06</v>
      </c>
      <c r="U186" s="386">
        <v>0.72</v>
      </c>
      <c r="V186" s="739">
        <v>0.73</v>
      </c>
      <c r="W186" s="739">
        <v>52.88000000000001</v>
      </c>
      <c r="X186" s="613">
        <v>52.88000000000001</v>
      </c>
      <c r="Y186" s="367">
        <v>39.39</v>
      </c>
      <c r="Z186" s="636">
        <v>49.9</v>
      </c>
      <c r="AA186" s="636">
        <v>37.200000000000003</v>
      </c>
      <c r="AB186" s="636">
        <v>52.01</v>
      </c>
      <c r="AC186" s="1160">
        <f t="shared" si="51"/>
        <v>89.210000000000008</v>
      </c>
      <c r="AD186" s="1160">
        <f t="shared" si="52"/>
        <v>138.00787</v>
      </c>
      <c r="AE186" s="1160">
        <f t="shared" si="53"/>
        <v>138.00787</v>
      </c>
      <c r="AF186" s="542"/>
      <c r="AG186" s="1160">
        <f t="shared" si="49"/>
        <v>0</v>
      </c>
      <c r="AH186" s="656"/>
      <c r="AI186" s="351"/>
      <c r="AJ186" s="897"/>
      <c r="AK186" s="388"/>
      <c r="AL186" s="388"/>
      <c r="AM186" s="388"/>
      <c r="AN186" s="388"/>
      <c r="AO186" s="370"/>
      <c r="AP186" s="370"/>
      <c r="AQ186" s="386"/>
      <c r="AR186" s="551">
        <v>0</v>
      </c>
      <c r="AS186" s="386">
        <v>24.2</v>
      </c>
      <c r="AT186" s="386">
        <v>0</v>
      </c>
      <c r="AU186" s="386">
        <v>0</v>
      </c>
      <c r="AV186" s="636">
        <v>822.9</v>
      </c>
      <c r="AW186" s="636">
        <v>1574.1</v>
      </c>
      <c r="AX186" s="386">
        <v>0.1</v>
      </c>
      <c r="AY186" s="551">
        <v>0</v>
      </c>
      <c r="AZ186" s="551">
        <v>0</v>
      </c>
      <c r="BA186" s="551">
        <v>0</v>
      </c>
      <c r="BB186" s="975">
        <v>0</v>
      </c>
      <c r="BC186" s="386">
        <v>2.4900000000000002</v>
      </c>
      <c r="BD186" s="386">
        <v>2.9</v>
      </c>
      <c r="BE186" s="551">
        <v>0</v>
      </c>
      <c r="BF186" s="386">
        <v>0.79500000000000004</v>
      </c>
      <c r="BG186" s="386">
        <v>0</v>
      </c>
      <c r="BH186" s="551">
        <v>0</v>
      </c>
      <c r="BI186" s="386">
        <v>2.02</v>
      </c>
      <c r="BJ186" s="386">
        <v>43.9</v>
      </c>
      <c r="BK186" s="386">
        <v>4.78</v>
      </c>
      <c r="BL186" s="386">
        <v>4.7300000000000004</v>
      </c>
      <c r="BM186" s="386">
        <v>0</v>
      </c>
      <c r="BN186" s="386">
        <v>34.299999999999997</v>
      </c>
      <c r="BO186" s="386">
        <v>2750.2</v>
      </c>
      <c r="BP186" s="386">
        <v>1.9</v>
      </c>
      <c r="BQ186" s="615">
        <v>21.5</v>
      </c>
      <c r="BR186" s="615">
        <v>22.2</v>
      </c>
      <c r="BS186" s="615">
        <v>16.899999999999999</v>
      </c>
      <c r="BT186" s="615">
        <v>17</v>
      </c>
      <c r="BU186" s="614">
        <v>34.299999999999997</v>
      </c>
      <c r="BV186" s="614">
        <v>38.4</v>
      </c>
      <c r="BW186" s="615">
        <v>1113.2</v>
      </c>
      <c r="BX186" s="791"/>
      <c r="BY186" s="615">
        <v>0</v>
      </c>
      <c r="BZ186" s="615">
        <v>1.1200000000000001</v>
      </c>
      <c r="CA186" s="615">
        <v>1.1000000000000001</v>
      </c>
      <c r="CB186" s="615">
        <v>8.1999999999999993</v>
      </c>
      <c r="CC186" s="615">
        <v>8.1</v>
      </c>
      <c r="CD186" s="615">
        <v>16.3</v>
      </c>
      <c r="CE186" s="615">
        <v>32.299999999999997</v>
      </c>
      <c r="CF186" s="615">
        <v>20.3</v>
      </c>
      <c r="CG186" s="615">
        <v>8.6300000000000008</v>
      </c>
      <c r="CH186" s="615">
        <v>14.3</v>
      </c>
      <c r="CI186" s="615">
        <v>18.8</v>
      </c>
      <c r="CJ186" s="615">
        <v>13.5</v>
      </c>
      <c r="CK186" s="615">
        <v>523.9</v>
      </c>
      <c r="CL186" s="615">
        <v>3</v>
      </c>
      <c r="CM186" s="615">
        <v>4.4000000000000004</v>
      </c>
      <c r="CN186" s="615">
        <v>3028.3</v>
      </c>
      <c r="CO186" s="615">
        <v>981.4</v>
      </c>
      <c r="CP186" s="615">
        <v>708.6</v>
      </c>
      <c r="CQ186" s="615">
        <v>13</v>
      </c>
      <c r="CR186" s="615">
        <v>0.84</v>
      </c>
      <c r="CS186" s="614">
        <v>0</v>
      </c>
      <c r="CT186" s="386">
        <v>15.766999999999999</v>
      </c>
      <c r="CU186" s="386">
        <v>55</v>
      </c>
      <c r="CV186" s="499">
        <v>0</v>
      </c>
      <c r="CW186" s="499">
        <v>0</v>
      </c>
      <c r="CX186" s="499">
        <v>0</v>
      </c>
      <c r="CY186" s="499">
        <v>0</v>
      </c>
      <c r="CZ186" s="643">
        <v>549</v>
      </c>
      <c r="DA186" s="643">
        <v>741</v>
      </c>
      <c r="DB186" s="643">
        <v>459</v>
      </c>
      <c r="DC186" s="609">
        <v>1166.67</v>
      </c>
      <c r="DD186" s="1153">
        <f t="shared" si="54"/>
        <v>-0.12999999999988177</v>
      </c>
      <c r="DE186" s="1154">
        <f t="shared" si="55"/>
        <v>0</v>
      </c>
      <c r="DF186" s="1154">
        <f t="shared" si="56"/>
        <v>349</v>
      </c>
      <c r="DG186" s="1154">
        <f t="shared" si="57"/>
        <v>491</v>
      </c>
      <c r="DH186" s="1155" t="str">
        <f t="shared" si="58"/>
        <v>Palm</v>
      </c>
      <c r="DI186" s="1146">
        <f t="shared" si="59"/>
        <v>282</v>
      </c>
      <c r="DJ186" s="1146">
        <f t="shared" si="60"/>
        <v>0</v>
      </c>
      <c r="DK186" s="1154">
        <f t="shared" si="61"/>
        <v>0</v>
      </c>
      <c r="DL186" s="615"/>
      <c r="DM186" s="615"/>
      <c r="DN186" s="615"/>
      <c r="DO186" s="499"/>
      <c r="DP186" s="499"/>
      <c r="DQ186" s="499"/>
      <c r="DR186" s="499"/>
      <c r="DS186" s="499"/>
      <c r="DT186" s="499"/>
      <c r="DU186" s="499"/>
      <c r="DV186" s="499"/>
      <c r="DW186" s="499"/>
      <c r="DX186" s="499"/>
      <c r="DY186" s="499"/>
      <c r="DZ186" s="499"/>
      <c r="EA186" s="499"/>
      <c r="EB186" s="499"/>
      <c r="EC186" s="499"/>
      <c r="ED186" s="499"/>
      <c r="EE186" s="499"/>
      <c r="EF186" s="499"/>
      <c r="EG186" s="1146">
        <f t="shared" si="63"/>
        <v>17.5</v>
      </c>
      <c r="EH186" s="630">
        <v>0</v>
      </c>
      <c r="EI186" s="642">
        <v>2</v>
      </c>
      <c r="EJ186" s="613">
        <v>6</v>
      </c>
      <c r="EK186" s="613">
        <v>9.5</v>
      </c>
      <c r="EL186" s="499"/>
      <c r="EM186" s="615"/>
      <c r="EN186" s="499"/>
      <c r="EO186" s="499"/>
      <c r="EP186" s="499"/>
      <c r="EQ186" s="499"/>
      <c r="ER186" s="499"/>
      <c r="ES186" s="388"/>
      <c r="ET186" s="388"/>
      <c r="EV186" s="1167">
        <f t="shared" si="50"/>
        <v>27.072499999999998</v>
      </c>
      <c r="EW186" s="1016"/>
    </row>
    <row r="187" spans="1:153" s="350" customFormat="1" ht="15" x14ac:dyDescent="0.25">
      <c r="A187" s="632" t="s">
        <v>5</v>
      </c>
      <c r="B187" s="662">
        <v>42913</v>
      </c>
      <c r="C187" s="1132" t="s">
        <v>904</v>
      </c>
      <c r="D187" s="386">
        <v>0</v>
      </c>
      <c r="E187" s="636">
        <v>0</v>
      </c>
      <c r="F187" s="636">
        <v>53</v>
      </c>
      <c r="G187" s="636">
        <v>0.6</v>
      </c>
      <c r="H187" s="386">
        <v>1.67</v>
      </c>
      <c r="I187" s="386">
        <v>14.8</v>
      </c>
      <c r="J187" s="386">
        <v>0</v>
      </c>
      <c r="K187" s="386">
        <v>1.55</v>
      </c>
      <c r="L187" s="610">
        <v>0</v>
      </c>
      <c r="M187" s="386">
        <v>19</v>
      </c>
      <c r="N187" s="386">
        <v>1.18</v>
      </c>
      <c r="O187" s="386">
        <v>1.3290458744822713</v>
      </c>
      <c r="P187" s="386">
        <v>1.1399999999999999</v>
      </c>
      <c r="Q187" s="386">
        <v>0.67195495761244572</v>
      </c>
      <c r="R187" s="732">
        <v>1178.7523255813953</v>
      </c>
      <c r="S187" s="386">
        <v>8.2100000000000009</v>
      </c>
      <c r="T187" s="386">
        <v>8.0500000000000007</v>
      </c>
      <c r="U187" s="386">
        <v>0.7</v>
      </c>
      <c r="V187" s="739">
        <v>0.69</v>
      </c>
      <c r="W187" s="739">
        <v>52.160000000000011</v>
      </c>
      <c r="X187" s="613">
        <v>52.160000000000011</v>
      </c>
      <c r="Y187" s="367">
        <v>37.200000000000003</v>
      </c>
      <c r="Z187" s="636">
        <v>51.84</v>
      </c>
      <c r="AA187" s="636">
        <v>30.2</v>
      </c>
      <c r="AB187" s="636">
        <v>55.26</v>
      </c>
      <c r="AC187" s="1160">
        <f t="shared" si="51"/>
        <v>85.46</v>
      </c>
      <c r="AD187" s="1160">
        <f t="shared" si="52"/>
        <v>132.20661999999999</v>
      </c>
      <c r="AE187" s="1160">
        <f t="shared" si="53"/>
        <v>132.20661999999999</v>
      </c>
      <c r="AF187" s="542"/>
      <c r="AG187" s="1160">
        <f t="shared" si="49"/>
        <v>0</v>
      </c>
      <c r="AH187" s="656"/>
      <c r="AI187" s="351"/>
      <c r="AJ187" s="897"/>
      <c r="AK187" s="388"/>
      <c r="AL187" s="388"/>
      <c r="AM187" s="388"/>
      <c r="AN187" s="388"/>
      <c r="AO187" s="370"/>
      <c r="AP187" s="370"/>
      <c r="AQ187" s="386"/>
      <c r="AR187" s="551">
        <v>0</v>
      </c>
      <c r="AS187" s="386">
        <v>21.3</v>
      </c>
      <c r="AT187" s="386">
        <v>0</v>
      </c>
      <c r="AU187" s="386">
        <v>0</v>
      </c>
      <c r="AV187" s="636">
        <v>809.4</v>
      </c>
      <c r="AW187" s="636">
        <v>1338.6</v>
      </c>
      <c r="AX187" s="386">
        <v>0</v>
      </c>
      <c r="AY187" s="551">
        <v>0</v>
      </c>
      <c r="AZ187" s="551">
        <v>0</v>
      </c>
      <c r="BA187" s="551">
        <v>0</v>
      </c>
      <c r="BB187" s="975">
        <v>0</v>
      </c>
      <c r="BC187" s="386">
        <v>1.2</v>
      </c>
      <c r="BD187" s="386">
        <v>2.19</v>
      </c>
      <c r="BE187" s="551">
        <v>0</v>
      </c>
      <c r="BF187" s="386">
        <v>1.99</v>
      </c>
      <c r="BG187" s="386">
        <v>0</v>
      </c>
      <c r="BH187" s="551">
        <v>0</v>
      </c>
      <c r="BI187" s="386">
        <v>2.02</v>
      </c>
      <c r="BJ187" s="386">
        <v>48.1</v>
      </c>
      <c r="BK187" s="386">
        <v>4.9000000000000004</v>
      </c>
      <c r="BL187" s="386">
        <v>4.5599999999999996</v>
      </c>
      <c r="BM187" s="386">
        <v>0</v>
      </c>
      <c r="BN187" s="386">
        <v>38.5</v>
      </c>
      <c r="BO187" s="386">
        <v>2349.1</v>
      </c>
      <c r="BP187" s="386">
        <v>15.5</v>
      </c>
      <c r="BQ187" s="615">
        <v>22.7</v>
      </c>
      <c r="BR187" s="615">
        <v>23.4</v>
      </c>
      <c r="BS187" s="615">
        <v>13.4</v>
      </c>
      <c r="BT187" s="615">
        <v>13.5</v>
      </c>
      <c r="BU187" s="614">
        <v>27.8</v>
      </c>
      <c r="BV187" s="614">
        <v>29</v>
      </c>
      <c r="BW187" s="615">
        <v>1128</v>
      </c>
      <c r="BX187" s="791"/>
      <c r="BY187" s="615">
        <v>0</v>
      </c>
      <c r="BZ187" s="615">
        <v>1.1499999999999999</v>
      </c>
      <c r="CA187" s="615">
        <v>1.1000000000000001</v>
      </c>
      <c r="CB187" s="615">
        <v>8.1999999999999993</v>
      </c>
      <c r="CC187" s="615">
        <v>8.1999999999999993</v>
      </c>
      <c r="CD187" s="615">
        <v>16.3</v>
      </c>
      <c r="CE187" s="615">
        <v>32.200000000000003</v>
      </c>
      <c r="CF187" s="615">
        <v>18.600000000000001</v>
      </c>
      <c r="CG187" s="615">
        <v>9.1</v>
      </c>
      <c r="CH187" s="615">
        <v>14.9</v>
      </c>
      <c r="CI187" s="615">
        <v>19.2</v>
      </c>
      <c r="CJ187" s="615">
        <v>13.6</v>
      </c>
      <c r="CK187" s="615">
        <v>534.70000000000005</v>
      </c>
      <c r="CL187" s="615">
        <v>2.9</v>
      </c>
      <c r="CM187" s="615">
        <v>4</v>
      </c>
      <c r="CN187" s="615">
        <v>2789.3</v>
      </c>
      <c r="CO187" s="615">
        <v>994.3</v>
      </c>
      <c r="CP187" s="615">
        <v>678.7</v>
      </c>
      <c r="CQ187" s="615">
        <v>13</v>
      </c>
      <c r="CR187" s="615">
        <v>0.83</v>
      </c>
      <c r="CS187" s="614">
        <v>0</v>
      </c>
      <c r="CT187" s="386">
        <v>15.407999999999999</v>
      </c>
      <c r="CU187" s="386">
        <v>55</v>
      </c>
      <c r="CV187" s="499">
        <v>0</v>
      </c>
      <c r="CW187" s="499">
        <v>0</v>
      </c>
      <c r="CX187" s="499">
        <v>0</v>
      </c>
      <c r="CY187" s="499">
        <v>0</v>
      </c>
      <c r="CZ187" s="643">
        <v>494</v>
      </c>
      <c r="DA187" s="643">
        <v>625</v>
      </c>
      <c r="DB187" s="643">
        <v>413</v>
      </c>
      <c r="DC187" s="609">
        <v>1166.6500000000001</v>
      </c>
      <c r="DD187" s="1153">
        <f t="shared" si="54"/>
        <v>-1.999999999998181E-2</v>
      </c>
      <c r="DE187" s="1154">
        <f t="shared" si="55"/>
        <v>0</v>
      </c>
      <c r="DF187" s="1154">
        <f t="shared" si="56"/>
        <v>303</v>
      </c>
      <c r="DG187" s="1154">
        <f t="shared" si="57"/>
        <v>375</v>
      </c>
      <c r="DH187" s="1155" t="str">
        <f t="shared" si="58"/>
        <v>Palm</v>
      </c>
      <c r="DI187" s="1146">
        <f t="shared" si="59"/>
        <v>212</v>
      </c>
      <c r="DJ187" s="1146">
        <f t="shared" si="60"/>
        <v>0</v>
      </c>
      <c r="DK187" s="1154">
        <f t="shared" si="61"/>
        <v>0</v>
      </c>
      <c r="DL187" s="615"/>
      <c r="DM187" s="615"/>
      <c r="DN187" s="615"/>
      <c r="DO187" s="499"/>
      <c r="DP187" s="499"/>
      <c r="DQ187" s="499"/>
      <c r="DR187" s="499"/>
      <c r="DS187" s="499"/>
      <c r="DT187" s="499"/>
      <c r="DU187" s="499"/>
      <c r="DV187" s="499"/>
      <c r="DW187" s="499"/>
      <c r="DX187" s="499"/>
      <c r="DY187" s="499"/>
      <c r="DZ187" s="499"/>
      <c r="EA187" s="499"/>
      <c r="EB187" s="499"/>
      <c r="EC187" s="499"/>
      <c r="ED187" s="499"/>
      <c r="EE187" s="499"/>
      <c r="EF187" s="499"/>
      <c r="EG187" s="1146">
        <f t="shared" si="63"/>
        <v>16.5</v>
      </c>
      <c r="EH187" s="630">
        <v>0</v>
      </c>
      <c r="EI187" s="642">
        <v>2</v>
      </c>
      <c r="EJ187" s="613">
        <v>5</v>
      </c>
      <c r="EK187" s="613">
        <v>9.5</v>
      </c>
      <c r="EL187" s="499"/>
      <c r="EM187" s="615"/>
      <c r="EN187" s="499"/>
      <c r="EO187" s="499"/>
      <c r="EP187" s="499"/>
      <c r="EQ187" s="499"/>
      <c r="ER187" s="499"/>
      <c r="ES187" s="388"/>
      <c r="ET187" s="388"/>
      <c r="EV187" s="1167">
        <f t="shared" si="50"/>
        <v>25.525499999999997</v>
      </c>
      <c r="EW187" s="1016"/>
    </row>
    <row r="188" spans="1:153" s="350" customFormat="1" ht="15" x14ac:dyDescent="0.25">
      <c r="A188" s="632" t="s">
        <v>6</v>
      </c>
      <c r="B188" s="662">
        <v>42914</v>
      </c>
      <c r="C188" s="1132" t="s">
        <v>904</v>
      </c>
      <c r="D188" s="386">
        <v>0</v>
      </c>
      <c r="E188" s="636">
        <v>0</v>
      </c>
      <c r="F188" s="636">
        <v>54</v>
      </c>
      <c r="G188" s="636">
        <v>0.6</v>
      </c>
      <c r="H188" s="386">
        <v>1.5</v>
      </c>
      <c r="I188" s="386">
        <v>15.5</v>
      </c>
      <c r="J188" s="386">
        <v>0</v>
      </c>
      <c r="K188" s="386">
        <v>1.58</v>
      </c>
      <c r="L188" s="610">
        <v>0</v>
      </c>
      <c r="M188" s="386">
        <v>18.8</v>
      </c>
      <c r="N188" s="386">
        <v>1.19</v>
      </c>
      <c r="O188" s="386">
        <v>1.2656608254175279</v>
      </c>
      <c r="P188" s="386">
        <v>1.1299999999999999</v>
      </c>
      <c r="Q188" s="386">
        <v>0.62877600641079712</v>
      </c>
      <c r="R188" s="732">
        <v>1077.7449854651163</v>
      </c>
      <c r="S188" s="386">
        <v>8.16</v>
      </c>
      <c r="T188" s="386">
        <v>8.0299999999999994</v>
      </c>
      <c r="U188" s="386">
        <v>0.7</v>
      </c>
      <c r="V188" s="739">
        <v>0.69</v>
      </c>
      <c r="W188" s="739">
        <v>52.7</v>
      </c>
      <c r="X188" s="613">
        <v>51.980000000000004</v>
      </c>
      <c r="Y188" s="367">
        <v>30.2</v>
      </c>
      <c r="Z188" s="636">
        <v>55.26</v>
      </c>
      <c r="AA188" s="636">
        <v>30.2</v>
      </c>
      <c r="AB188" s="636">
        <v>48.9</v>
      </c>
      <c r="AC188" s="1160">
        <f t="shared" si="51"/>
        <v>79.099999999999994</v>
      </c>
      <c r="AD188" s="1160">
        <f t="shared" si="52"/>
        <v>122.36769999999999</v>
      </c>
      <c r="AE188" s="1160">
        <f t="shared" si="53"/>
        <v>122.36769999999999</v>
      </c>
      <c r="AF188" s="542"/>
      <c r="AG188" s="1160">
        <f t="shared" si="49"/>
        <v>0</v>
      </c>
      <c r="AH188" s="656"/>
      <c r="AI188" s="351"/>
      <c r="AJ188" s="897"/>
      <c r="AK188" s="388"/>
      <c r="AL188" s="388"/>
      <c r="AM188" s="388"/>
      <c r="AN188" s="388"/>
      <c r="AO188" s="370"/>
      <c r="AP188" s="370"/>
      <c r="AQ188" s="386"/>
      <c r="AR188" s="551">
        <v>0</v>
      </c>
      <c r="AS188" s="386">
        <v>22.9</v>
      </c>
      <c r="AT188" s="386">
        <v>0</v>
      </c>
      <c r="AU188" s="386">
        <v>0</v>
      </c>
      <c r="AV188" s="636">
        <v>909.4</v>
      </c>
      <c r="AW188" s="636">
        <v>1255.9000000000001</v>
      </c>
      <c r="AX188" s="386">
        <v>0</v>
      </c>
      <c r="AY188" s="551">
        <v>0</v>
      </c>
      <c r="AZ188" s="551">
        <v>0</v>
      </c>
      <c r="BA188" s="551">
        <v>0</v>
      </c>
      <c r="BB188" s="975">
        <v>0</v>
      </c>
      <c r="BC188" s="386">
        <v>0.66</v>
      </c>
      <c r="BD188" s="386">
        <v>2.33</v>
      </c>
      <c r="BE188" s="551">
        <v>0</v>
      </c>
      <c r="BF188" s="386">
        <v>1.99</v>
      </c>
      <c r="BG188" s="386">
        <v>0</v>
      </c>
      <c r="BH188" s="551">
        <v>0</v>
      </c>
      <c r="BI188" s="386">
        <v>2.02</v>
      </c>
      <c r="BJ188" s="386">
        <v>42.1</v>
      </c>
      <c r="BK188" s="386">
        <v>5.16</v>
      </c>
      <c r="BL188" s="386">
        <v>4.33</v>
      </c>
      <c r="BM188" s="386">
        <v>0</v>
      </c>
      <c r="BN188" s="386">
        <v>32.6</v>
      </c>
      <c r="BO188" s="386">
        <v>2215.8000000000002</v>
      </c>
      <c r="BP188" s="386">
        <v>2</v>
      </c>
      <c r="BQ188" s="615">
        <v>21.3</v>
      </c>
      <c r="BR188" s="615">
        <v>22</v>
      </c>
      <c r="BS188" s="615">
        <v>13.1</v>
      </c>
      <c r="BT188" s="615">
        <v>13.2</v>
      </c>
      <c r="BU188" s="614">
        <v>27.3</v>
      </c>
      <c r="BV188" s="614">
        <v>36.5</v>
      </c>
      <c r="BW188" s="615">
        <v>1010.4</v>
      </c>
      <c r="BX188" s="791"/>
      <c r="BY188" s="615">
        <v>0</v>
      </c>
      <c r="BZ188" s="615">
        <v>1.1499999999999999</v>
      </c>
      <c r="CA188" s="615">
        <v>1.1000000000000001</v>
      </c>
      <c r="CB188" s="615">
        <v>8.1999999999999993</v>
      </c>
      <c r="CC188" s="615">
        <v>8.1999999999999993</v>
      </c>
      <c r="CD188" s="615">
        <v>16.8</v>
      </c>
      <c r="CE188" s="615">
        <v>32.299999999999997</v>
      </c>
      <c r="CF188" s="615">
        <v>20.3</v>
      </c>
      <c r="CG188" s="615">
        <v>8.5</v>
      </c>
      <c r="CH188" s="615">
        <v>14.2</v>
      </c>
      <c r="CI188" s="615">
        <v>18.600000000000001</v>
      </c>
      <c r="CJ188" s="615">
        <v>14.1</v>
      </c>
      <c r="CK188" s="615">
        <v>540.4</v>
      </c>
      <c r="CL188" s="615">
        <v>2.9</v>
      </c>
      <c r="CM188" s="615">
        <v>3.9</v>
      </c>
      <c r="CN188" s="615">
        <v>2634</v>
      </c>
      <c r="CO188" s="615">
        <v>475.7</v>
      </c>
      <c r="CP188" s="615">
        <v>664.2</v>
      </c>
      <c r="CQ188" s="615">
        <v>13.1</v>
      </c>
      <c r="CR188" s="615">
        <v>0.84</v>
      </c>
      <c r="CS188" s="614">
        <v>0</v>
      </c>
      <c r="CT188" s="386">
        <v>15.179</v>
      </c>
      <c r="CU188" s="386">
        <v>55</v>
      </c>
      <c r="CV188" s="499">
        <v>0</v>
      </c>
      <c r="CW188" s="499">
        <v>0</v>
      </c>
      <c r="CX188" s="499">
        <v>0</v>
      </c>
      <c r="CY188" s="499">
        <v>0</v>
      </c>
      <c r="CZ188" s="643">
        <v>494</v>
      </c>
      <c r="DA188" s="643">
        <v>613</v>
      </c>
      <c r="DB188" s="643">
        <v>395</v>
      </c>
      <c r="DC188" s="609">
        <v>1166.6400000000001</v>
      </c>
      <c r="DD188" s="1153">
        <f t="shared" si="54"/>
        <v>-9.9999999999909051E-3</v>
      </c>
      <c r="DE188" s="1154">
        <f t="shared" si="55"/>
        <v>0</v>
      </c>
      <c r="DF188" s="1154">
        <f t="shared" si="56"/>
        <v>285</v>
      </c>
      <c r="DG188" s="1154">
        <f t="shared" si="57"/>
        <v>363</v>
      </c>
      <c r="DH188" s="1155" t="str">
        <f t="shared" si="58"/>
        <v>Palm</v>
      </c>
      <c r="DI188" s="1146">
        <f t="shared" si="59"/>
        <v>218</v>
      </c>
      <c r="DJ188" s="1146">
        <f t="shared" si="60"/>
        <v>0</v>
      </c>
      <c r="DK188" s="1154">
        <f t="shared" si="61"/>
        <v>0</v>
      </c>
      <c r="DL188" s="615"/>
      <c r="DM188" s="615"/>
      <c r="DN188" s="615"/>
      <c r="DO188" s="499"/>
      <c r="DP188" s="499"/>
      <c r="DQ188" s="499"/>
      <c r="DR188" s="499"/>
      <c r="DS188" s="499"/>
      <c r="DT188" s="499"/>
      <c r="DU188" s="499"/>
      <c r="DV188" s="499"/>
      <c r="DW188" s="499"/>
      <c r="DX188" s="499"/>
      <c r="DY188" s="499"/>
      <c r="DZ188" s="499"/>
      <c r="EA188" s="499"/>
      <c r="EB188" s="499"/>
      <c r="EC188" s="499"/>
      <c r="ED188" s="499"/>
      <c r="EE188" s="499"/>
      <c r="EF188" s="499"/>
      <c r="EG188" s="1146">
        <f t="shared" si="63"/>
        <v>16.5</v>
      </c>
      <c r="EH188" s="630">
        <v>0</v>
      </c>
      <c r="EI188" s="642">
        <v>2</v>
      </c>
      <c r="EJ188" s="613">
        <v>5</v>
      </c>
      <c r="EK188" s="613">
        <v>9.5</v>
      </c>
      <c r="EL188" s="499"/>
      <c r="EM188" s="615"/>
      <c r="EN188" s="499"/>
      <c r="EO188" s="499"/>
      <c r="EP188" s="499"/>
      <c r="EQ188" s="499"/>
      <c r="ER188" s="499"/>
      <c r="ES188" s="388"/>
      <c r="ET188" s="388"/>
      <c r="EV188" s="1167">
        <f t="shared" si="50"/>
        <v>25.525499999999997</v>
      </c>
      <c r="EW188" s="1016"/>
    </row>
    <row r="189" spans="1:153" s="350" customFormat="1" ht="15" x14ac:dyDescent="0.25">
      <c r="A189" s="632" t="s">
        <v>7</v>
      </c>
      <c r="B189" s="662">
        <v>42915</v>
      </c>
      <c r="C189" s="1132" t="s">
        <v>904</v>
      </c>
      <c r="D189" s="386">
        <v>0</v>
      </c>
      <c r="E189" s="636">
        <v>0</v>
      </c>
      <c r="F189" s="636">
        <v>58</v>
      </c>
      <c r="G189" s="636">
        <v>0.6</v>
      </c>
      <c r="H189" s="386">
        <v>1.55</v>
      </c>
      <c r="I189" s="386">
        <v>14.2</v>
      </c>
      <c r="J189" s="386">
        <v>0</v>
      </c>
      <c r="K189" s="386">
        <v>1.27</v>
      </c>
      <c r="L189" s="610">
        <v>0</v>
      </c>
      <c r="M189" s="386">
        <v>18.8</v>
      </c>
      <c r="N189" s="386">
        <v>1.17</v>
      </c>
      <c r="O189" s="386">
        <v>1.3054444477488145</v>
      </c>
      <c r="P189" s="386">
        <v>1.1200000000000001</v>
      </c>
      <c r="Q189" s="386">
        <v>0.64513339416306914</v>
      </c>
      <c r="R189" s="732">
        <v>1112.414171511628</v>
      </c>
      <c r="S189" s="386">
        <v>8.23</v>
      </c>
      <c r="T189" s="386">
        <v>8.07</v>
      </c>
      <c r="U189" s="386">
        <v>0.76</v>
      </c>
      <c r="V189" s="739">
        <v>0.67</v>
      </c>
      <c r="W189" s="739">
        <v>52.7</v>
      </c>
      <c r="X189" s="613">
        <v>52.519999999999996</v>
      </c>
      <c r="Y189" s="367">
        <v>30.2</v>
      </c>
      <c r="Z189" s="636">
        <v>48.9</v>
      </c>
      <c r="AA189" s="636">
        <v>30.2</v>
      </c>
      <c r="AB189" s="636">
        <v>49.71</v>
      </c>
      <c r="AC189" s="1160">
        <f t="shared" si="51"/>
        <v>79.91</v>
      </c>
      <c r="AD189" s="1160">
        <f t="shared" si="52"/>
        <v>123.62076999999999</v>
      </c>
      <c r="AE189" s="1160">
        <f t="shared" si="53"/>
        <v>123.62076999999999</v>
      </c>
      <c r="AF189" s="542"/>
      <c r="AG189" s="1160">
        <f t="shared" si="49"/>
        <v>0</v>
      </c>
      <c r="AH189" s="656"/>
      <c r="AI189" s="351"/>
      <c r="AJ189" s="897"/>
      <c r="AK189" s="388"/>
      <c r="AL189" s="388"/>
      <c r="AM189" s="388"/>
      <c r="AN189" s="388"/>
      <c r="AO189" s="370"/>
      <c r="AP189" s="370"/>
      <c r="AQ189" s="386"/>
      <c r="AR189" s="551">
        <v>0</v>
      </c>
      <c r="AS189" s="386">
        <v>25</v>
      </c>
      <c r="AT189" s="386">
        <v>0</v>
      </c>
      <c r="AU189" s="386">
        <v>0</v>
      </c>
      <c r="AV189" s="636">
        <v>844.5</v>
      </c>
      <c r="AW189" s="636">
        <v>1329</v>
      </c>
      <c r="AX189" s="386">
        <v>0</v>
      </c>
      <c r="AY189" s="551">
        <v>0</v>
      </c>
      <c r="AZ189" s="551">
        <v>0</v>
      </c>
      <c r="BA189" s="551">
        <v>0</v>
      </c>
      <c r="BB189" s="975">
        <v>0</v>
      </c>
      <c r="BC189" s="386">
        <v>0.49</v>
      </c>
      <c r="BD189" s="386">
        <v>2.5</v>
      </c>
      <c r="BE189" s="551">
        <v>0</v>
      </c>
      <c r="BF189" s="386">
        <v>1.99</v>
      </c>
      <c r="BG189" s="386">
        <v>0</v>
      </c>
      <c r="BH189" s="551">
        <v>0</v>
      </c>
      <c r="BI189" s="386">
        <v>2.02</v>
      </c>
      <c r="BJ189" s="386">
        <v>42.9</v>
      </c>
      <c r="BK189" s="386">
        <v>4.4000000000000004</v>
      </c>
      <c r="BL189" s="386">
        <v>5.14</v>
      </c>
      <c r="BM189" s="386">
        <v>0</v>
      </c>
      <c r="BN189" s="386">
        <v>33.4</v>
      </c>
      <c r="BO189" s="386">
        <v>2324.6</v>
      </c>
      <c r="BP189" s="386">
        <v>1.9</v>
      </c>
      <c r="BQ189" s="615">
        <v>20.7</v>
      </c>
      <c r="BR189" s="615">
        <v>21.4</v>
      </c>
      <c r="BS189" s="615">
        <v>13.3</v>
      </c>
      <c r="BT189" s="615">
        <v>13.4</v>
      </c>
      <c r="BU189" s="614">
        <v>27.6</v>
      </c>
      <c r="BV189" s="614">
        <v>34.299999999999997</v>
      </c>
      <c r="BW189" s="615">
        <v>1035.0999999999999</v>
      </c>
      <c r="BX189" s="791"/>
      <c r="BY189" s="615">
        <v>0</v>
      </c>
      <c r="BZ189" s="615">
        <v>1.1399999999999999</v>
      </c>
      <c r="CA189" s="615">
        <v>1.1000000000000001</v>
      </c>
      <c r="CB189" s="615">
        <v>8.1999999999999993</v>
      </c>
      <c r="CC189" s="615">
        <v>8.1</v>
      </c>
      <c r="CD189" s="615">
        <v>15.8</v>
      </c>
      <c r="CE189" s="615">
        <v>32.299999999999997</v>
      </c>
      <c r="CF189" s="615">
        <v>18.100000000000001</v>
      </c>
      <c r="CG189" s="615">
        <v>8.3699999999999992</v>
      </c>
      <c r="CH189" s="615">
        <v>14</v>
      </c>
      <c r="CI189" s="615">
        <v>18.399999999999999</v>
      </c>
      <c r="CJ189" s="615">
        <v>12</v>
      </c>
      <c r="CK189" s="615">
        <v>219.8</v>
      </c>
      <c r="CL189" s="615">
        <v>3</v>
      </c>
      <c r="CM189" s="615">
        <v>5.0999999999999996</v>
      </c>
      <c r="CN189" s="615">
        <v>2759.8</v>
      </c>
      <c r="CO189" s="615">
        <v>1020.7</v>
      </c>
      <c r="CP189" s="615">
        <v>652.1</v>
      </c>
      <c r="CQ189" s="615">
        <v>12.2</v>
      </c>
      <c r="CR189" s="615">
        <v>0.77</v>
      </c>
      <c r="CS189" s="614">
        <v>0</v>
      </c>
      <c r="CT189" s="386">
        <v>15.276999999999999</v>
      </c>
      <c r="CU189" s="386">
        <v>55</v>
      </c>
      <c r="CV189" s="499">
        <v>0</v>
      </c>
      <c r="CW189" s="499">
        <v>0</v>
      </c>
      <c r="CX189" s="499">
        <v>0</v>
      </c>
      <c r="CY189" s="499">
        <v>0</v>
      </c>
      <c r="CZ189" s="643">
        <v>494</v>
      </c>
      <c r="DA189" s="643">
        <v>591</v>
      </c>
      <c r="DB189" s="643">
        <v>404</v>
      </c>
      <c r="DC189" s="609">
        <v>1166.5899999999999</v>
      </c>
      <c r="DD189" s="1153">
        <f t="shared" si="54"/>
        <v>-5.0000000000181899E-2</v>
      </c>
      <c r="DE189" s="1154">
        <f t="shared" si="55"/>
        <v>0</v>
      </c>
      <c r="DF189" s="1154">
        <f t="shared" si="56"/>
        <v>294</v>
      </c>
      <c r="DG189" s="1154">
        <f t="shared" si="57"/>
        <v>341</v>
      </c>
      <c r="DH189" s="1155" t="str">
        <f t="shared" si="58"/>
        <v>Palm</v>
      </c>
      <c r="DI189" s="1146">
        <f t="shared" si="59"/>
        <v>187</v>
      </c>
      <c r="DJ189" s="1146">
        <f t="shared" si="60"/>
        <v>0</v>
      </c>
      <c r="DK189" s="1154">
        <f t="shared" si="61"/>
        <v>0</v>
      </c>
      <c r="DL189" s="615"/>
      <c r="DM189" s="615"/>
      <c r="DN189" s="615"/>
      <c r="DO189" s="499"/>
      <c r="DP189" s="499"/>
      <c r="DQ189" s="499"/>
      <c r="DR189" s="499"/>
      <c r="DS189" s="499"/>
      <c r="DT189" s="499"/>
      <c r="DU189" s="499"/>
      <c r="DV189" s="499"/>
      <c r="DW189" s="499"/>
      <c r="DX189" s="499"/>
      <c r="DY189" s="499"/>
      <c r="DZ189" s="499"/>
      <c r="EA189" s="499"/>
      <c r="EB189" s="499"/>
      <c r="EC189" s="499"/>
      <c r="ED189" s="499"/>
      <c r="EE189" s="499"/>
      <c r="EF189" s="499"/>
      <c r="EG189" s="1146">
        <f t="shared" si="63"/>
        <v>16.5</v>
      </c>
      <c r="EH189" s="630">
        <v>0</v>
      </c>
      <c r="EI189" s="642">
        <v>2</v>
      </c>
      <c r="EJ189" s="613">
        <v>5</v>
      </c>
      <c r="EK189" s="613">
        <v>9.5</v>
      </c>
      <c r="EL189" s="499"/>
      <c r="EM189" s="615"/>
      <c r="EN189" s="499"/>
      <c r="EO189" s="499"/>
      <c r="EP189" s="499"/>
      <c r="EQ189" s="499"/>
      <c r="ER189" s="499"/>
      <c r="ES189" s="388"/>
      <c r="ET189" s="388"/>
      <c r="EV189" s="1167">
        <f t="shared" si="50"/>
        <v>25.525499999999997</v>
      </c>
      <c r="EW189" s="1016"/>
    </row>
    <row r="190" spans="1:153" s="350" customFormat="1" ht="15" x14ac:dyDescent="0.25">
      <c r="A190" s="632" t="s">
        <v>8</v>
      </c>
      <c r="B190" s="662">
        <v>42916</v>
      </c>
      <c r="C190" s="1132" t="s">
        <v>904</v>
      </c>
      <c r="D190" s="386">
        <v>0</v>
      </c>
      <c r="E190" s="636">
        <v>0</v>
      </c>
      <c r="F190" s="636">
        <v>61</v>
      </c>
      <c r="G190" s="636">
        <v>0.6</v>
      </c>
      <c r="H190" s="386">
        <v>1.54</v>
      </c>
      <c r="I190" s="386">
        <v>16.3</v>
      </c>
      <c r="J190" s="386">
        <v>0</v>
      </c>
      <c r="K190" s="386">
        <v>1.33</v>
      </c>
      <c r="L190" s="610">
        <v>0</v>
      </c>
      <c r="M190" s="386">
        <v>18.7</v>
      </c>
      <c r="N190" s="386">
        <v>1.1599999999999999</v>
      </c>
      <c r="O190" s="386">
        <v>1.2808097353843144</v>
      </c>
      <c r="P190" s="386">
        <v>1.1599999999999999</v>
      </c>
      <c r="Q190" s="386">
        <v>0.64586231093293955</v>
      </c>
      <c r="R190" s="732">
        <v>1168.4182412790699</v>
      </c>
      <c r="S190" s="386">
        <v>8.18</v>
      </c>
      <c r="T190" s="386">
        <v>8.02</v>
      </c>
      <c r="U190" s="386">
        <v>0.78</v>
      </c>
      <c r="V190" s="739">
        <v>0.65</v>
      </c>
      <c r="W190" s="739">
        <v>53.06</v>
      </c>
      <c r="X190" s="613">
        <v>53.06</v>
      </c>
      <c r="Y190" s="367">
        <v>30.2</v>
      </c>
      <c r="Z190" s="636">
        <v>49.71</v>
      </c>
      <c r="AA190" s="636">
        <v>30.2</v>
      </c>
      <c r="AB190" s="636">
        <v>54.18</v>
      </c>
      <c r="AC190" s="1160">
        <f t="shared" si="51"/>
        <v>84.38</v>
      </c>
      <c r="AD190" s="1160">
        <f t="shared" si="52"/>
        <v>130.53585999999999</v>
      </c>
      <c r="AE190" s="1160">
        <f t="shared" si="53"/>
        <v>130.53585999999999</v>
      </c>
      <c r="AF190" s="542"/>
      <c r="AG190" s="1160">
        <f t="shared" si="49"/>
        <v>0</v>
      </c>
      <c r="AH190" s="656"/>
      <c r="AI190" s="351"/>
      <c r="AJ190" s="897"/>
      <c r="AK190" s="388"/>
      <c r="AL190" s="388"/>
      <c r="AM190" s="388"/>
      <c r="AN190" s="388"/>
      <c r="AO190" s="370"/>
      <c r="AP190" s="370"/>
      <c r="AQ190" s="386"/>
      <c r="AR190" s="551">
        <v>0</v>
      </c>
      <c r="AS190" s="386">
        <v>27.8</v>
      </c>
      <c r="AT190" s="386">
        <v>0</v>
      </c>
      <c r="AU190" s="386">
        <v>0</v>
      </c>
      <c r="AV190" s="636">
        <v>1202.5999999999999</v>
      </c>
      <c r="AW190" s="636">
        <v>1313.7</v>
      </c>
      <c r="AX190" s="386">
        <v>0</v>
      </c>
      <c r="AY190" s="551">
        <v>0</v>
      </c>
      <c r="AZ190" s="551">
        <v>0</v>
      </c>
      <c r="BA190" s="551">
        <v>0</v>
      </c>
      <c r="BB190" s="975">
        <v>0</v>
      </c>
      <c r="BC190" s="386">
        <v>0.88</v>
      </c>
      <c r="BD190" s="386">
        <v>2.62</v>
      </c>
      <c r="BE190" s="551">
        <v>0</v>
      </c>
      <c r="BF190" s="386">
        <v>1.99</v>
      </c>
      <c r="BG190" s="386">
        <v>0</v>
      </c>
      <c r="BH190" s="551">
        <v>0</v>
      </c>
      <c r="BI190" s="386">
        <v>2.02</v>
      </c>
      <c r="BJ190" s="386">
        <v>46.8</v>
      </c>
      <c r="BK190" s="386">
        <v>4.7</v>
      </c>
      <c r="BL190" s="386">
        <v>5.18</v>
      </c>
      <c r="BM190" s="386">
        <v>0</v>
      </c>
      <c r="BN190" s="386">
        <v>36.9</v>
      </c>
      <c r="BO190" s="386">
        <v>2696.1</v>
      </c>
      <c r="BP190" s="386">
        <v>1.9</v>
      </c>
      <c r="BQ190" s="615">
        <v>18.329999999999998</v>
      </c>
      <c r="BR190" s="615">
        <v>19</v>
      </c>
      <c r="BS190" s="615">
        <v>12.93</v>
      </c>
      <c r="BT190" s="615">
        <v>13.03</v>
      </c>
      <c r="BU190" s="614">
        <v>26.9</v>
      </c>
      <c r="BV190" s="614">
        <v>39.299999999999997</v>
      </c>
      <c r="BW190" s="615">
        <v>1252.9000000000001</v>
      </c>
      <c r="BX190" s="791"/>
      <c r="BY190" s="615">
        <v>0</v>
      </c>
      <c r="BZ190" s="615">
        <v>1.1499999999999999</v>
      </c>
      <c r="CA190" s="615">
        <v>1.1000000000000001</v>
      </c>
      <c r="CB190" s="615">
        <v>8.1999999999999993</v>
      </c>
      <c r="CC190" s="615">
        <v>8.1</v>
      </c>
      <c r="CD190" s="615">
        <v>15.4</v>
      </c>
      <c r="CE190" s="615">
        <v>32.200000000000003</v>
      </c>
      <c r="CF190" s="615">
        <v>19.399999999999999</v>
      </c>
      <c r="CG190" s="615">
        <v>8.5</v>
      </c>
      <c r="CH190" s="615">
        <v>14.12</v>
      </c>
      <c r="CI190" s="615">
        <v>18.600000000000001</v>
      </c>
      <c r="CJ190" s="615">
        <v>12.73</v>
      </c>
      <c r="CK190" s="615">
        <v>270.60000000000002</v>
      </c>
      <c r="CL190" s="615">
        <v>3.2</v>
      </c>
      <c r="CM190" s="615">
        <v>5.0999999999999996</v>
      </c>
      <c r="CN190" s="615">
        <v>3177</v>
      </c>
      <c r="CO190" s="615">
        <v>1079.4000000000001</v>
      </c>
      <c r="CP190" s="615">
        <v>660.4</v>
      </c>
      <c r="CQ190" s="615">
        <v>13.2</v>
      </c>
      <c r="CR190" s="615">
        <v>0.84</v>
      </c>
      <c r="CS190" s="614">
        <v>0</v>
      </c>
      <c r="CT190" s="386">
        <v>16.318000000000001</v>
      </c>
      <c r="CU190" s="386">
        <v>55</v>
      </c>
      <c r="CV190" s="499">
        <v>0</v>
      </c>
      <c r="CW190" s="499">
        <v>0</v>
      </c>
      <c r="CX190" s="499">
        <v>0</v>
      </c>
      <c r="CY190" s="499">
        <v>0</v>
      </c>
      <c r="CZ190" s="643">
        <v>527</v>
      </c>
      <c r="DA190" s="643">
        <v>613</v>
      </c>
      <c r="DB190" s="643">
        <v>416</v>
      </c>
      <c r="DC190" s="609">
        <v>1166.48</v>
      </c>
      <c r="DD190" s="1153">
        <f t="shared" si="54"/>
        <v>-0.10999999999989996</v>
      </c>
      <c r="DE190" s="1154">
        <f t="shared" si="55"/>
        <v>0</v>
      </c>
      <c r="DF190" s="1154">
        <f t="shared" si="56"/>
        <v>306</v>
      </c>
      <c r="DG190" s="1154">
        <f t="shared" si="57"/>
        <v>363</v>
      </c>
      <c r="DH190" s="1155" t="str">
        <f t="shared" si="58"/>
        <v>Palm</v>
      </c>
      <c r="DI190" s="1146">
        <f t="shared" si="59"/>
        <v>197</v>
      </c>
      <c r="DJ190" s="1146">
        <f t="shared" si="60"/>
        <v>0</v>
      </c>
      <c r="DK190" s="1154">
        <f t="shared" si="61"/>
        <v>0</v>
      </c>
      <c r="DL190" s="615"/>
      <c r="DM190" s="615"/>
      <c r="DN190" s="615"/>
      <c r="DO190" s="499"/>
      <c r="DP190" s="499"/>
      <c r="DQ190" s="499"/>
      <c r="DR190" s="499"/>
      <c r="DS190" s="499"/>
      <c r="DT190" s="499"/>
      <c r="DU190" s="499"/>
      <c r="DV190" s="499"/>
      <c r="DW190" s="499"/>
      <c r="DX190" s="499"/>
      <c r="DY190" s="499"/>
      <c r="DZ190" s="499"/>
      <c r="EA190" s="499"/>
      <c r="EB190" s="499"/>
      <c r="EC190" s="499"/>
      <c r="ED190" s="499"/>
      <c r="EE190" s="499"/>
      <c r="EF190" s="499"/>
      <c r="EG190" s="1146">
        <f t="shared" si="63"/>
        <v>18</v>
      </c>
      <c r="EH190" s="630">
        <v>0</v>
      </c>
      <c r="EI190" s="615">
        <v>2</v>
      </c>
      <c r="EJ190" s="613">
        <v>6</v>
      </c>
      <c r="EK190" s="613">
        <v>10</v>
      </c>
      <c r="EL190" s="499"/>
      <c r="EM190" s="615"/>
      <c r="EN190" s="499"/>
      <c r="EO190" s="499"/>
      <c r="EP190" s="499"/>
      <c r="EQ190" s="499"/>
      <c r="ER190" s="499"/>
      <c r="ES190" s="388"/>
      <c r="ET190" s="388"/>
      <c r="EV190" s="1167">
        <f t="shared" si="50"/>
        <v>27.846</v>
      </c>
      <c r="EW190" s="1016"/>
    </row>
    <row r="191" spans="1:153" s="350" customFormat="1" ht="15" x14ac:dyDescent="0.25">
      <c r="A191" s="632" t="s">
        <v>9</v>
      </c>
      <c r="B191" s="662">
        <v>42917</v>
      </c>
      <c r="C191" s="1132" t="s">
        <v>904</v>
      </c>
      <c r="D191" s="386">
        <v>0</v>
      </c>
      <c r="E191" s="636">
        <v>0</v>
      </c>
      <c r="F191" s="636">
        <v>54</v>
      </c>
      <c r="G191" s="636">
        <v>0.6</v>
      </c>
      <c r="H191" s="386">
        <v>1.55</v>
      </c>
      <c r="I191" s="386">
        <v>17</v>
      </c>
      <c r="J191" s="386">
        <v>0</v>
      </c>
      <c r="K191" s="386">
        <v>1.31</v>
      </c>
      <c r="L191" s="610">
        <v>0</v>
      </c>
      <c r="M191" s="386">
        <v>18.7</v>
      </c>
      <c r="N191" s="386">
        <v>1.18</v>
      </c>
      <c r="O191" s="386">
        <v>1.2755700085733153</v>
      </c>
      <c r="P191" s="386">
        <v>1.21</v>
      </c>
      <c r="Q191" s="386">
        <v>0.64076803633903301</v>
      </c>
      <c r="R191" s="732">
        <v>1228.0892441860465</v>
      </c>
      <c r="S191" s="386">
        <v>8.2200000000000006</v>
      </c>
      <c r="T191" s="386">
        <v>8.08</v>
      </c>
      <c r="U191" s="386">
        <v>0.78</v>
      </c>
      <c r="V191" s="739">
        <v>0.69</v>
      </c>
      <c r="W191" s="739">
        <v>53.239999999999995</v>
      </c>
      <c r="X191" s="613">
        <v>53.239999999999995</v>
      </c>
      <c r="Y191" s="367">
        <v>30.2</v>
      </c>
      <c r="Z191" s="636">
        <v>54.18</v>
      </c>
      <c r="AA191" s="636">
        <v>30.2</v>
      </c>
      <c r="AB191" s="636">
        <v>58.31</v>
      </c>
      <c r="AC191" s="1160">
        <f t="shared" si="51"/>
        <v>88.51</v>
      </c>
      <c r="AD191" s="1160">
        <f t="shared" si="52"/>
        <v>136.92497</v>
      </c>
      <c r="AE191" s="1160">
        <f t="shared" si="53"/>
        <v>136.92497</v>
      </c>
      <c r="AF191" s="542"/>
      <c r="AG191" s="1160">
        <f t="shared" si="49"/>
        <v>0.38</v>
      </c>
      <c r="AH191" s="656"/>
      <c r="AI191" s="351"/>
      <c r="AJ191" s="897"/>
      <c r="AK191" s="388"/>
      <c r="AL191" s="388"/>
      <c r="AM191" s="388"/>
      <c r="AN191" s="388"/>
      <c r="AO191" s="370"/>
      <c r="AP191" s="370"/>
      <c r="AQ191" s="386"/>
      <c r="AR191" s="551">
        <v>0</v>
      </c>
      <c r="AS191" s="386">
        <v>21.2</v>
      </c>
      <c r="AT191" s="386">
        <v>0</v>
      </c>
      <c r="AU191" s="386">
        <v>0</v>
      </c>
      <c r="AV191" s="636">
        <v>843.1</v>
      </c>
      <c r="AW191" s="636">
        <v>986.9</v>
      </c>
      <c r="AX191" s="386">
        <v>0</v>
      </c>
      <c r="AY191" s="551">
        <v>0</v>
      </c>
      <c r="AZ191" s="551">
        <v>0</v>
      </c>
      <c r="BA191" s="551">
        <v>0</v>
      </c>
      <c r="BB191" s="976">
        <v>0.38</v>
      </c>
      <c r="BC191" s="386">
        <v>1.26</v>
      </c>
      <c r="BD191" s="386">
        <v>2.74</v>
      </c>
      <c r="BE191" s="551">
        <v>0</v>
      </c>
      <c r="BF191" s="386">
        <v>1.99</v>
      </c>
      <c r="BG191" s="386">
        <v>0</v>
      </c>
      <c r="BH191" s="551">
        <v>0</v>
      </c>
      <c r="BI191" s="386">
        <v>2.02</v>
      </c>
      <c r="BJ191" s="386">
        <v>50.5</v>
      </c>
      <c r="BK191" s="386">
        <v>5.03</v>
      </c>
      <c r="BL191" s="386">
        <v>4.9800000000000004</v>
      </c>
      <c r="BM191" s="386">
        <v>0</v>
      </c>
      <c r="BN191" s="386">
        <v>40.1</v>
      </c>
      <c r="BO191" s="386">
        <v>2420.1999999999998</v>
      </c>
      <c r="BP191" s="386">
        <v>1.9</v>
      </c>
      <c r="BQ191" s="615">
        <v>18.7</v>
      </c>
      <c r="BR191" s="615">
        <v>19.399999999999999</v>
      </c>
      <c r="BS191" s="615">
        <v>13.39</v>
      </c>
      <c r="BT191" s="615">
        <v>13.5</v>
      </c>
      <c r="BU191" s="614">
        <v>27.7</v>
      </c>
      <c r="BV191" s="614">
        <v>31.4</v>
      </c>
      <c r="BW191" s="615">
        <v>1108.8</v>
      </c>
      <c r="BX191" s="791"/>
      <c r="BY191" s="615">
        <v>0</v>
      </c>
      <c r="BZ191" s="615">
        <v>1.18</v>
      </c>
      <c r="CA191" s="615">
        <v>1.1000000000000001</v>
      </c>
      <c r="CB191" s="615">
        <v>8.1999999999999993</v>
      </c>
      <c r="CC191" s="615">
        <v>8.1</v>
      </c>
      <c r="CD191" s="615">
        <v>15.7</v>
      </c>
      <c r="CE191" s="615">
        <v>32.200000000000003</v>
      </c>
      <c r="CF191" s="615">
        <v>19.32</v>
      </c>
      <c r="CG191" s="615">
        <v>8.5500000000000007</v>
      </c>
      <c r="CH191" s="615">
        <v>14.3</v>
      </c>
      <c r="CI191" s="615">
        <v>18.2</v>
      </c>
      <c r="CJ191" s="615">
        <v>12.98</v>
      </c>
      <c r="CK191" s="615">
        <v>470.6</v>
      </c>
      <c r="CL191" s="615">
        <v>3.2</v>
      </c>
      <c r="CM191" s="615">
        <v>4.3</v>
      </c>
      <c r="CN191" s="615">
        <v>2786.7</v>
      </c>
      <c r="CO191" s="615">
        <v>1078.4000000000001</v>
      </c>
      <c r="CP191" s="615">
        <v>614.5</v>
      </c>
      <c r="CQ191" s="615">
        <v>13.7</v>
      </c>
      <c r="CR191" s="615">
        <v>0.85</v>
      </c>
      <c r="CS191" s="614">
        <v>0</v>
      </c>
      <c r="CT191" s="386">
        <v>16.731999999999999</v>
      </c>
      <c r="CU191" s="386">
        <v>56</v>
      </c>
      <c r="CV191" s="499">
        <v>0</v>
      </c>
      <c r="CW191" s="499">
        <v>0</v>
      </c>
      <c r="CX191" s="499">
        <v>0</v>
      </c>
      <c r="CY191" s="499">
        <v>0</v>
      </c>
      <c r="CZ191" s="643">
        <v>524</v>
      </c>
      <c r="DA191" s="643">
        <v>607</v>
      </c>
      <c r="DB191" s="643">
        <v>416</v>
      </c>
      <c r="DC191" s="609">
        <v>1166.3</v>
      </c>
      <c r="DD191" s="1153">
        <f t="shared" si="54"/>
        <v>-0.18000000000006366</v>
      </c>
      <c r="DE191" s="1154">
        <f t="shared" si="55"/>
        <v>0</v>
      </c>
      <c r="DF191" s="1154">
        <f t="shared" si="56"/>
        <v>306</v>
      </c>
      <c r="DG191" s="1154">
        <f t="shared" si="57"/>
        <v>357</v>
      </c>
      <c r="DH191" s="1155" t="str">
        <f t="shared" si="58"/>
        <v>Palm</v>
      </c>
      <c r="DI191" s="1146">
        <f t="shared" si="59"/>
        <v>191</v>
      </c>
      <c r="DJ191" s="1146">
        <f t="shared" si="60"/>
        <v>0</v>
      </c>
      <c r="DK191" s="1154">
        <f t="shared" si="61"/>
        <v>0</v>
      </c>
      <c r="DL191" s="615"/>
      <c r="DM191" s="615"/>
      <c r="DN191" s="615"/>
      <c r="DO191" s="499"/>
      <c r="DP191" s="499"/>
      <c r="DQ191" s="499"/>
      <c r="DR191" s="499"/>
      <c r="DS191" s="499"/>
      <c r="DT191" s="499"/>
      <c r="DU191" s="499"/>
      <c r="DV191" s="499"/>
      <c r="DW191" s="499"/>
      <c r="DX191" s="499"/>
      <c r="DY191" s="499"/>
      <c r="DZ191" s="499"/>
      <c r="EA191" s="499"/>
      <c r="EB191" s="499"/>
      <c r="EC191" s="499"/>
      <c r="ED191" s="499"/>
      <c r="EE191" s="499"/>
      <c r="EF191" s="499"/>
      <c r="EG191" s="1146">
        <f t="shared" si="63"/>
        <v>18</v>
      </c>
      <c r="EH191" s="630">
        <v>0</v>
      </c>
      <c r="EI191" s="615">
        <v>2</v>
      </c>
      <c r="EJ191" s="613">
        <v>6</v>
      </c>
      <c r="EK191" s="613">
        <v>10</v>
      </c>
      <c r="EL191" s="499"/>
      <c r="EM191" s="615"/>
      <c r="EN191" s="499"/>
      <c r="EO191" s="499"/>
      <c r="EP191" s="499"/>
      <c r="EQ191" s="499"/>
      <c r="ER191" s="499"/>
      <c r="ES191" s="388"/>
      <c r="ET191" s="388"/>
      <c r="EV191" s="1167">
        <f t="shared" si="50"/>
        <v>27.846</v>
      </c>
      <c r="EW191" s="1016"/>
    </row>
    <row r="192" spans="1:153" s="350" customFormat="1" ht="15" x14ac:dyDescent="0.25">
      <c r="A192" s="632" t="s">
        <v>3</v>
      </c>
      <c r="B192" s="662">
        <v>42918</v>
      </c>
      <c r="C192" s="1132" t="s">
        <v>904</v>
      </c>
      <c r="D192" s="386">
        <v>0</v>
      </c>
      <c r="E192" s="636">
        <v>0</v>
      </c>
      <c r="F192" s="636">
        <v>57</v>
      </c>
      <c r="G192" s="636">
        <v>0.6</v>
      </c>
      <c r="H192" s="386">
        <v>1.62</v>
      </c>
      <c r="I192" s="386">
        <v>17.100000000000001</v>
      </c>
      <c r="J192" s="386">
        <v>0</v>
      </c>
      <c r="K192" s="386">
        <v>1.31</v>
      </c>
      <c r="L192" s="610">
        <v>0</v>
      </c>
      <c r="M192" s="386">
        <v>18.600000000000001</v>
      </c>
      <c r="N192" s="386">
        <v>1.18</v>
      </c>
      <c r="O192" s="386">
        <v>1.2590162473934148</v>
      </c>
      <c r="P192" s="386">
        <v>1.2</v>
      </c>
      <c r="Q192" s="386">
        <v>0.64251348147886467</v>
      </c>
      <c r="R192" s="732">
        <v>1238.0899709302325</v>
      </c>
      <c r="S192" s="386">
        <v>8.14</v>
      </c>
      <c r="T192" s="386">
        <v>8.0399999999999991</v>
      </c>
      <c r="U192" s="386">
        <v>0.76</v>
      </c>
      <c r="V192" s="739">
        <v>0.64</v>
      </c>
      <c r="W192" s="739">
        <v>53.06</v>
      </c>
      <c r="X192" s="613">
        <v>53.239999999999995</v>
      </c>
      <c r="Y192" s="367">
        <v>30.2</v>
      </c>
      <c r="Z192" s="636">
        <v>58.31</v>
      </c>
      <c r="AA192" s="636">
        <v>30.2</v>
      </c>
      <c r="AB192" s="636">
        <v>59.89</v>
      </c>
      <c r="AC192" s="1160">
        <f t="shared" si="51"/>
        <v>90.09</v>
      </c>
      <c r="AD192" s="1160">
        <f t="shared" si="52"/>
        <v>139.36922999999999</v>
      </c>
      <c r="AE192" s="1160">
        <f t="shared" si="53"/>
        <v>139.36922999999999</v>
      </c>
      <c r="AF192" s="542"/>
      <c r="AG192" s="1160">
        <f t="shared" si="49"/>
        <v>0</v>
      </c>
      <c r="AH192" s="656"/>
      <c r="AI192" s="351"/>
      <c r="AJ192" s="897"/>
      <c r="AK192" s="388"/>
      <c r="AL192" s="388"/>
      <c r="AM192" s="388"/>
      <c r="AN192" s="388"/>
      <c r="AO192" s="370"/>
      <c r="AP192" s="370"/>
      <c r="AQ192" s="386"/>
      <c r="AR192" s="551">
        <v>0</v>
      </c>
      <c r="AS192" s="386">
        <v>28.2</v>
      </c>
      <c r="AT192" s="386">
        <v>0</v>
      </c>
      <c r="AU192" s="386">
        <v>0</v>
      </c>
      <c r="AV192" s="636">
        <v>1038.9000000000001</v>
      </c>
      <c r="AW192" s="386">
        <v>1347.7</v>
      </c>
      <c r="AX192" s="386">
        <v>0</v>
      </c>
      <c r="AY192" s="551">
        <v>0</v>
      </c>
      <c r="AZ192" s="551">
        <v>0</v>
      </c>
      <c r="BA192" s="551">
        <v>0</v>
      </c>
      <c r="BB192" s="976">
        <v>0</v>
      </c>
      <c r="BC192" s="386">
        <v>1.26</v>
      </c>
      <c r="BD192" s="386">
        <v>2.74</v>
      </c>
      <c r="BE192" s="551">
        <v>0</v>
      </c>
      <c r="BF192" s="386">
        <v>1.99</v>
      </c>
      <c r="BG192" s="386">
        <v>0</v>
      </c>
      <c r="BH192" s="551">
        <v>0</v>
      </c>
      <c r="BI192" s="386">
        <v>2.0099999999999998</v>
      </c>
      <c r="BJ192" s="386">
        <v>52.1</v>
      </c>
      <c r="BK192" s="386">
        <v>5.31</v>
      </c>
      <c r="BL192" s="386">
        <v>4.66</v>
      </c>
      <c r="BM192" s="386">
        <v>0</v>
      </c>
      <c r="BN192" s="386">
        <v>42</v>
      </c>
      <c r="BO192" s="386">
        <v>2483.6</v>
      </c>
      <c r="BP192" s="386">
        <v>1.8</v>
      </c>
      <c r="BQ192" s="615">
        <v>18.93</v>
      </c>
      <c r="BR192" s="615">
        <v>19.64</v>
      </c>
      <c r="BS192" s="615">
        <v>12.98</v>
      </c>
      <c r="BT192" s="615">
        <v>13.11</v>
      </c>
      <c r="BU192" s="614">
        <v>27</v>
      </c>
      <c r="BV192" s="614">
        <v>31</v>
      </c>
      <c r="BW192" s="615">
        <v>1361.1</v>
      </c>
      <c r="BX192" s="791"/>
      <c r="BY192" s="615">
        <v>0</v>
      </c>
      <c r="BZ192" s="615">
        <v>1.19</v>
      </c>
      <c r="CA192" s="615">
        <v>1.1000000000000001</v>
      </c>
      <c r="CB192" s="615">
        <v>8.1999999999999993</v>
      </c>
      <c r="CC192" s="615">
        <v>8.1</v>
      </c>
      <c r="CD192" s="615">
        <v>16.5</v>
      </c>
      <c r="CE192" s="615">
        <v>32.200000000000003</v>
      </c>
      <c r="CF192" s="615">
        <v>18.8</v>
      </c>
      <c r="CG192" s="615">
        <v>8</v>
      </c>
      <c r="CH192" s="615">
        <v>13.66</v>
      </c>
      <c r="CI192" s="615">
        <v>17.55</v>
      </c>
      <c r="CJ192" s="615">
        <v>14.01</v>
      </c>
      <c r="CK192" s="615">
        <v>0</v>
      </c>
      <c r="CL192" s="615">
        <v>3.4</v>
      </c>
      <c r="CM192" s="615">
        <v>4.2</v>
      </c>
      <c r="CN192" s="615">
        <v>2941</v>
      </c>
      <c r="CO192" s="615">
        <v>1115.8</v>
      </c>
      <c r="CP192" s="615">
        <v>613.70000000000005</v>
      </c>
      <c r="CQ192" s="615">
        <v>12.8</v>
      </c>
      <c r="CR192" s="615">
        <v>0.78</v>
      </c>
      <c r="CS192" s="614">
        <v>0</v>
      </c>
      <c r="CT192" s="386">
        <v>15.77</v>
      </c>
      <c r="CU192" s="386">
        <v>56</v>
      </c>
      <c r="CV192" s="499">
        <v>0</v>
      </c>
      <c r="CW192" s="499">
        <v>0</v>
      </c>
      <c r="CX192" s="499">
        <v>0</v>
      </c>
      <c r="CY192" s="499">
        <v>0</v>
      </c>
      <c r="CZ192" s="643">
        <v>527</v>
      </c>
      <c r="DA192" s="643">
        <v>602</v>
      </c>
      <c r="DB192" s="643">
        <v>413</v>
      </c>
      <c r="DC192" s="609">
        <v>1166.0899999999999</v>
      </c>
      <c r="DD192" s="1153">
        <f t="shared" si="54"/>
        <v>-0.21000000000003638</v>
      </c>
      <c r="DE192" s="1154">
        <f t="shared" si="55"/>
        <v>0</v>
      </c>
      <c r="DF192" s="1154">
        <f t="shared" si="56"/>
        <v>303</v>
      </c>
      <c r="DG192" s="1154">
        <f t="shared" si="57"/>
        <v>352</v>
      </c>
      <c r="DH192" s="1155" t="str">
        <f t="shared" si="58"/>
        <v>Palm</v>
      </c>
      <c r="DI192" s="1146">
        <f t="shared" si="59"/>
        <v>189</v>
      </c>
      <c r="DJ192" s="1146">
        <f t="shared" si="60"/>
        <v>0</v>
      </c>
      <c r="DK192" s="1154">
        <f t="shared" si="61"/>
        <v>0</v>
      </c>
      <c r="DL192" s="615"/>
      <c r="DM192" s="615"/>
      <c r="DN192" s="615"/>
      <c r="DO192" s="499"/>
      <c r="DP192" s="499"/>
      <c r="DQ192" s="499"/>
      <c r="DR192" s="499"/>
      <c r="DS192" s="499"/>
      <c r="DT192" s="499"/>
      <c r="DU192" s="499"/>
      <c r="DV192" s="499"/>
      <c r="DW192" s="499"/>
      <c r="DX192" s="499"/>
      <c r="DY192" s="499"/>
      <c r="DZ192" s="499"/>
      <c r="EA192" s="499"/>
      <c r="EB192" s="499"/>
      <c r="EC192" s="499"/>
      <c r="ED192" s="499"/>
      <c r="EE192" s="499"/>
      <c r="EF192" s="499"/>
      <c r="EG192" s="1146">
        <f t="shared" si="63"/>
        <v>18</v>
      </c>
      <c r="EH192" s="630">
        <v>0</v>
      </c>
      <c r="EI192" s="615">
        <v>2</v>
      </c>
      <c r="EJ192" s="613">
        <v>6</v>
      </c>
      <c r="EK192" s="613">
        <v>10</v>
      </c>
      <c r="EL192" s="499"/>
      <c r="EM192" s="615"/>
      <c r="EN192" s="499"/>
      <c r="EO192" s="499"/>
      <c r="EP192" s="499"/>
      <c r="EQ192" s="499"/>
      <c r="ER192" s="499"/>
      <c r="ES192" s="388"/>
      <c r="ET192" s="388"/>
      <c r="EV192" s="1167">
        <f t="shared" si="50"/>
        <v>27.846</v>
      </c>
      <c r="EW192" s="1016"/>
    </row>
    <row r="193" spans="1:153" s="350" customFormat="1" ht="15" x14ac:dyDescent="0.25">
      <c r="A193" s="632" t="s">
        <v>4</v>
      </c>
      <c r="B193" s="662">
        <v>42919</v>
      </c>
      <c r="C193" s="1132" t="s">
        <v>904</v>
      </c>
      <c r="D193" s="386">
        <v>0</v>
      </c>
      <c r="E193" s="636">
        <v>0</v>
      </c>
      <c r="F193" s="636">
        <v>52.8</v>
      </c>
      <c r="G193" s="636">
        <v>0.5</v>
      </c>
      <c r="H193" s="386">
        <v>1.75</v>
      </c>
      <c r="I193" s="386">
        <v>15.8</v>
      </c>
      <c r="J193" s="386">
        <v>0</v>
      </c>
      <c r="K193" s="386">
        <v>1.32</v>
      </c>
      <c r="L193" s="610">
        <v>0</v>
      </c>
      <c r="M193" s="386">
        <v>18.399999999999999</v>
      </c>
      <c r="N193" s="386">
        <v>1.18</v>
      </c>
      <c r="O193" s="386">
        <v>1.2621677740865886</v>
      </c>
      <c r="P193" s="386">
        <v>1.21</v>
      </c>
      <c r="Q193" s="386">
        <v>0.6392274072838019</v>
      </c>
      <c r="R193" s="732">
        <v>1228.7559593023254</v>
      </c>
      <c r="S193" s="386">
        <v>8.08</v>
      </c>
      <c r="T193" s="386">
        <v>7.96</v>
      </c>
      <c r="U193" s="386">
        <v>0.75</v>
      </c>
      <c r="V193" s="739">
        <v>0.65</v>
      </c>
      <c r="W193" s="739">
        <v>53.600000000000009</v>
      </c>
      <c r="X193" s="613">
        <v>53.600000000000009</v>
      </c>
      <c r="Y193" s="367">
        <v>30.2</v>
      </c>
      <c r="Z193" s="636">
        <v>59.89</v>
      </c>
      <c r="AA193" s="636">
        <v>30.2</v>
      </c>
      <c r="AB193" s="636">
        <v>59.04</v>
      </c>
      <c r="AC193" s="1160">
        <f t="shared" si="51"/>
        <v>89.24</v>
      </c>
      <c r="AD193" s="1160">
        <f t="shared" si="52"/>
        <v>138.05427999999998</v>
      </c>
      <c r="AE193" s="1160">
        <f t="shared" si="53"/>
        <v>138.05427999999998</v>
      </c>
      <c r="AF193" s="542"/>
      <c r="AG193" s="1160">
        <f t="shared" si="49"/>
        <v>0</v>
      </c>
      <c r="AH193" s="656"/>
      <c r="AI193" s="351"/>
      <c r="AJ193" s="901"/>
      <c r="AK193" s="388"/>
      <c r="AL193" s="388"/>
      <c r="AM193" s="388"/>
      <c r="AN193" s="388"/>
      <c r="AO193" s="370"/>
      <c r="AP193" s="370"/>
      <c r="AQ193" s="386"/>
      <c r="AR193" s="551">
        <v>0</v>
      </c>
      <c r="AS193" s="386">
        <v>15.9</v>
      </c>
      <c r="AT193" s="386">
        <v>0</v>
      </c>
      <c r="AU193" s="386">
        <v>0</v>
      </c>
      <c r="AV193" s="636">
        <v>837</v>
      </c>
      <c r="AW193" s="636">
        <v>1362.6</v>
      </c>
      <c r="AX193" s="386">
        <v>0</v>
      </c>
      <c r="AY193" s="551">
        <v>0</v>
      </c>
      <c r="AZ193" s="551">
        <v>0</v>
      </c>
      <c r="BA193" s="551">
        <v>0</v>
      </c>
      <c r="BB193" s="976">
        <v>0</v>
      </c>
      <c r="BC193" s="386">
        <v>1.26</v>
      </c>
      <c r="BD193" s="386">
        <v>2.74</v>
      </c>
      <c r="BE193" s="551">
        <v>0</v>
      </c>
      <c r="BF193" s="386">
        <v>1.99</v>
      </c>
      <c r="BG193" s="386">
        <v>0</v>
      </c>
      <c r="BH193" s="551">
        <v>0</v>
      </c>
      <c r="BI193" s="386">
        <v>2.0099999999999998</v>
      </c>
      <c r="BJ193" s="386">
        <v>51.3</v>
      </c>
      <c r="BK193" s="386">
        <v>4.66</v>
      </c>
      <c r="BL193" s="386">
        <v>5.36</v>
      </c>
      <c r="BM193" s="386">
        <v>0</v>
      </c>
      <c r="BN193" s="386">
        <v>41.2</v>
      </c>
      <c r="BO193" s="386">
        <v>2296.5</v>
      </c>
      <c r="BP193" s="386">
        <v>1.8</v>
      </c>
      <c r="BQ193" s="615">
        <v>21.3</v>
      </c>
      <c r="BR193" s="615">
        <v>22.01</v>
      </c>
      <c r="BS193" s="615">
        <v>13.3</v>
      </c>
      <c r="BT193" s="615">
        <v>13.39</v>
      </c>
      <c r="BU193" s="614">
        <v>27.5</v>
      </c>
      <c r="BV193" s="614">
        <v>24.9</v>
      </c>
      <c r="BW193" s="615">
        <v>1119.4000000000001</v>
      </c>
      <c r="BX193" s="791"/>
      <c r="BY193" s="615">
        <v>0</v>
      </c>
      <c r="BZ193" s="615">
        <v>1.1599999999999999</v>
      </c>
      <c r="CA193" s="615">
        <v>1.1000000000000001</v>
      </c>
      <c r="CB193" s="615">
        <v>8.1</v>
      </c>
      <c r="CC193" s="615">
        <v>8.1</v>
      </c>
      <c r="CD193" s="615">
        <v>15.9</v>
      </c>
      <c r="CE193" s="615">
        <v>32.299999999999997</v>
      </c>
      <c r="CF193" s="615">
        <v>18.899999999999999</v>
      </c>
      <c r="CG193" s="615">
        <v>8.1999999999999993</v>
      </c>
      <c r="CH193" s="615">
        <v>13.9</v>
      </c>
      <c r="CI193" s="615">
        <v>17.7</v>
      </c>
      <c r="CJ193" s="615">
        <v>13.18</v>
      </c>
      <c r="CK193" s="615">
        <v>201.6</v>
      </c>
      <c r="CL193" s="615">
        <v>2</v>
      </c>
      <c r="CM193" s="615">
        <v>3.5</v>
      </c>
      <c r="CN193" s="615">
        <v>2707.5</v>
      </c>
      <c r="CO193" s="615">
        <v>1022.5</v>
      </c>
      <c r="CP193" s="615">
        <v>629.1</v>
      </c>
      <c r="CQ193" s="615">
        <v>13</v>
      </c>
      <c r="CR193" s="615">
        <v>0.79</v>
      </c>
      <c r="CS193" s="614">
        <v>0</v>
      </c>
      <c r="CT193" s="386">
        <v>15.222</v>
      </c>
      <c r="CU193" s="386">
        <v>56</v>
      </c>
      <c r="CV193" s="499">
        <v>0</v>
      </c>
      <c r="CW193" s="499">
        <v>0</v>
      </c>
      <c r="CX193" s="499">
        <v>0</v>
      </c>
      <c r="CY193" s="499">
        <v>0</v>
      </c>
      <c r="CZ193" s="643">
        <v>439</v>
      </c>
      <c r="DA193" s="643">
        <v>575</v>
      </c>
      <c r="DB193" s="643">
        <v>327</v>
      </c>
      <c r="DC193" s="609">
        <v>1165.9100000000001</v>
      </c>
      <c r="DD193" s="1153">
        <f t="shared" si="54"/>
        <v>-0.17999999999983629</v>
      </c>
      <c r="DE193" s="1154">
        <f t="shared" si="55"/>
        <v>0</v>
      </c>
      <c r="DF193" s="1154">
        <f t="shared" si="56"/>
        <v>217</v>
      </c>
      <c r="DG193" s="1154">
        <f t="shared" si="57"/>
        <v>325</v>
      </c>
      <c r="DH193" s="1155" t="str">
        <f t="shared" si="58"/>
        <v>Palm</v>
      </c>
      <c r="DI193" s="1146">
        <f t="shared" si="59"/>
        <v>248</v>
      </c>
      <c r="DJ193" s="1146">
        <f t="shared" si="60"/>
        <v>0</v>
      </c>
      <c r="DK193" s="1154">
        <f t="shared" si="61"/>
        <v>0</v>
      </c>
      <c r="DL193" s="615"/>
      <c r="DM193" s="615"/>
      <c r="DN193" s="615"/>
      <c r="DO193" s="499"/>
      <c r="DP193" s="499"/>
      <c r="DQ193" s="499"/>
      <c r="DR193" s="499"/>
      <c r="DS193" s="499"/>
      <c r="DT193" s="499"/>
      <c r="DU193" s="499"/>
      <c r="DV193" s="499"/>
      <c r="DW193" s="499"/>
      <c r="DX193" s="499"/>
      <c r="DY193" s="499"/>
      <c r="DZ193" s="499"/>
      <c r="EA193" s="499"/>
      <c r="EB193" s="499"/>
      <c r="EC193" s="499"/>
      <c r="ED193" s="499"/>
      <c r="EE193" s="499"/>
      <c r="EF193" s="499"/>
      <c r="EG193" s="1146">
        <f t="shared" si="63"/>
        <v>18</v>
      </c>
      <c r="EH193" s="630">
        <v>0</v>
      </c>
      <c r="EI193" s="615">
        <v>2</v>
      </c>
      <c r="EJ193" s="613">
        <v>6</v>
      </c>
      <c r="EK193" s="613">
        <v>10</v>
      </c>
      <c r="EL193" s="499"/>
      <c r="EM193" s="615"/>
      <c r="EN193" s="499"/>
      <c r="EO193" s="499"/>
      <c r="EP193" s="499"/>
      <c r="EQ193" s="499"/>
      <c r="ER193" s="499"/>
      <c r="ES193" s="388"/>
      <c r="ET193" s="388"/>
      <c r="EV193" s="1167">
        <f t="shared" si="50"/>
        <v>27.846</v>
      </c>
      <c r="EW193" s="1016"/>
    </row>
    <row r="194" spans="1:153" s="350" customFormat="1" ht="15" x14ac:dyDescent="0.25">
      <c r="A194" s="632" t="s">
        <v>5</v>
      </c>
      <c r="B194" s="662">
        <v>42920</v>
      </c>
      <c r="C194" s="1132" t="s">
        <v>904</v>
      </c>
      <c r="D194" s="386">
        <v>0</v>
      </c>
      <c r="E194" s="636">
        <v>0</v>
      </c>
      <c r="F194" s="636">
        <v>55</v>
      </c>
      <c r="G194" s="636">
        <v>0.5</v>
      </c>
      <c r="H194" s="386">
        <v>1.74</v>
      </c>
      <c r="I194" s="386">
        <v>16.2</v>
      </c>
      <c r="J194" s="386">
        <v>0</v>
      </c>
      <c r="K194" s="386">
        <v>1.1499999999999999</v>
      </c>
      <c r="L194" s="610">
        <v>0</v>
      </c>
      <c r="M194" s="386">
        <v>18.5</v>
      </c>
      <c r="N194" s="386">
        <v>1.19</v>
      </c>
      <c r="O194" s="386">
        <v>1.2796314198573935</v>
      </c>
      <c r="P194" s="386">
        <v>1.19</v>
      </c>
      <c r="Q194" s="386">
        <v>0.64296595142037682</v>
      </c>
      <c r="R194" s="732">
        <v>1209.0878633720931</v>
      </c>
      <c r="S194" s="386">
        <v>8.2100000000000009</v>
      </c>
      <c r="T194" s="386">
        <v>8.09</v>
      </c>
      <c r="U194" s="386">
        <v>0.76</v>
      </c>
      <c r="V194" s="739">
        <v>0.69</v>
      </c>
      <c r="W194" s="739">
        <v>53.06</v>
      </c>
      <c r="X194" s="613">
        <v>53.06</v>
      </c>
      <c r="Y194" s="367">
        <v>30.2</v>
      </c>
      <c r="Z194" s="636">
        <v>59.04</v>
      </c>
      <c r="AA194" s="636">
        <v>30.3</v>
      </c>
      <c r="AB194" s="636">
        <v>56.87</v>
      </c>
      <c r="AC194" s="1160">
        <f t="shared" si="51"/>
        <v>87.17</v>
      </c>
      <c r="AD194" s="1160">
        <f t="shared" si="52"/>
        <v>134.85199</v>
      </c>
      <c r="AE194" s="1160">
        <f t="shared" si="53"/>
        <v>134.85199</v>
      </c>
      <c r="AF194" s="542"/>
      <c r="AG194" s="1160">
        <f t="shared" si="49"/>
        <v>0</v>
      </c>
      <c r="AH194" s="656"/>
      <c r="AI194" s="351"/>
      <c r="AJ194" s="901"/>
      <c r="AK194" s="388"/>
      <c r="AL194" s="388"/>
      <c r="AM194" s="388"/>
      <c r="AN194" s="388"/>
      <c r="AO194" s="370"/>
      <c r="AP194" s="370"/>
      <c r="AQ194" s="386"/>
      <c r="AR194" s="551">
        <v>0</v>
      </c>
      <c r="AS194" s="386">
        <v>33.700000000000003</v>
      </c>
      <c r="AT194" s="386">
        <v>0</v>
      </c>
      <c r="AU194" s="386">
        <v>0</v>
      </c>
      <c r="AV194" s="636">
        <v>908.6</v>
      </c>
      <c r="AW194" s="636">
        <v>1337.4</v>
      </c>
      <c r="AX194" s="386">
        <v>0</v>
      </c>
      <c r="AY194" s="551">
        <v>0</v>
      </c>
      <c r="AZ194" s="551">
        <v>0</v>
      </c>
      <c r="BA194" s="551">
        <v>0</v>
      </c>
      <c r="BB194" s="976">
        <v>0</v>
      </c>
      <c r="BC194" s="386">
        <v>1.26</v>
      </c>
      <c r="BD194" s="386">
        <v>2.74</v>
      </c>
      <c r="BE194" s="551">
        <v>0</v>
      </c>
      <c r="BF194" s="386">
        <v>1.99</v>
      </c>
      <c r="BG194" s="386">
        <v>0</v>
      </c>
      <c r="BH194" s="551">
        <v>0</v>
      </c>
      <c r="BI194" s="386">
        <v>2.02</v>
      </c>
      <c r="BJ194" s="386">
        <v>49.1</v>
      </c>
      <c r="BK194" s="386">
        <v>4.8499999999999996</v>
      </c>
      <c r="BL194" s="386">
        <v>5.16</v>
      </c>
      <c r="BM194" s="386">
        <v>0</v>
      </c>
      <c r="BN194" s="386">
        <v>39</v>
      </c>
      <c r="BO194" s="386">
        <v>2285.6999999999998</v>
      </c>
      <c r="BP194" s="386">
        <v>1.8</v>
      </c>
      <c r="BQ194" s="615">
        <v>21.05</v>
      </c>
      <c r="BR194" s="615">
        <v>21.76</v>
      </c>
      <c r="BS194" s="615">
        <v>13.03</v>
      </c>
      <c r="BT194" s="615">
        <v>13.16</v>
      </c>
      <c r="BU194" s="614">
        <v>27.1</v>
      </c>
      <c r="BV194" s="614">
        <v>32.6</v>
      </c>
      <c r="BW194" s="615">
        <v>1222.5</v>
      </c>
      <c r="BX194" s="791"/>
      <c r="BY194" s="615">
        <v>0</v>
      </c>
      <c r="BZ194" s="615">
        <v>1.18</v>
      </c>
      <c r="CA194" s="615">
        <v>1.1000000000000001</v>
      </c>
      <c r="CB194" s="615">
        <v>8.1</v>
      </c>
      <c r="CC194" s="615">
        <v>8.1</v>
      </c>
      <c r="CD194" s="615">
        <v>16.7</v>
      </c>
      <c r="CE194" s="615">
        <v>32.299999999999997</v>
      </c>
      <c r="CF194" s="615">
        <v>18.399999999999999</v>
      </c>
      <c r="CG194" s="615">
        <v>6.8</v>
      </c>
      <c r="CH194" s="615">
        <v>12.3</v>
      </c>
      <c r="CI194" s="615">
        <v>16.2</v>
      </c>
      <c r="CJ194" s="615">
        <v>14.19</v>
      </c>
      <c r="CK194" s="615">
        <v>0</v>
      </c>
      <c r="CL194" s="615">
        <v>2.5</v>
      </c>
      <c r="CM194" s="615">
        <v>3</v>
      </c>
      <c r="CN194" s="615">
        <v>2872.6</v>
      </c>
      <c r="CO194" s="615">
        <v>1023.6</v>
      </c>
      <c r="CP194" s="615">
        <v>611.79999999999995</v>
      </c>
      <c r="CQ194" s="615">
        <v>12.9</v>
      </c>
      <c r="CR194" s="615">
        <v>0.76</v>
      </c>
      <c r="CS194" s="614">
        <v>0</v>
      </c>
      <c r="CT194" s="386">
        <v>15.013</v>
      </c>
      <c r="CU194" s="386">
        <v>56</v>
      </c>
      <c r="CV194" s="499">
        <v>0</v>
      </c>
      <c r="CW194" s="499">
        <v>0</v>
      </c>
      <c r="CX194" s="499">
        <v>0</v>
      </c>
      <c r="CY194" s="499">
        <v>0</v>
      </c>
      <c r="CZ194" s="643">
        <v>439</v>
      </c>
      <c r="DA194" s="643">
        <v>517</v>
      </c>
      <c r="DB194" s="643">
        <v>325</v>
      </c>
      <c r="DC194" s="609">
        <v>1165.8</v>
      </c>
      <c r="DD194" s="1153">
        <f t="shared" si="54"/>
        <v>-0.11000000000012733</v>
      </c>
      <c r="DE194" s="1154">
        <f t="shared" si="55"/>
        <v>0</v>
      </c>
      <c r="DF194" s="1154">
        <f t="shared" si="56"/>
        <v>215</v>
      </c>
      <c r="DG194" s="1154">
        <f t="shared" si="57"/>
        <v>267</v>
      </c>
      <c r="DH194" s="1155" t="str">
        <f t="shared" si="58"/>
        <v>Palm</v>
      </c>
      <c r="DI194" s="1146">
        <f t="shared" si="59"/>
        <v>192</v>
      </c>
      <c r="DJ194" s="1146">
        <f t="shared" si="60"/>
        <v>0</v>
      </c>
      <c r="DK194" s="1154">
        <f t="shared" si="61"/>
        <v>0</v>
      </c>
      <c r="DL194" s="615"/>
      <c r="DM194" s="615"/>
      <c r="DN194" s="615"/>
      <c r="DO194" s="499"/>
      <c r="DP194" s="499"/>
      <c r="DQ194" s="499"/>
      <c r="DR194" s="499"/>
      <c r="DS194" s="499"/>
      <c r="DT194" s="499"/>
      <c r="DU194" s="499"/>
      <c r="DV194" s="499"/>
      <c r="DW194" s="499"/>
      <c r="DX194" s="499"/>
      <c r="DY194" s="499"/>
      <c r="DZ194" s="499"/>
      <c r="EA194" s="499"/>
      <c r="EB194" s="499"/>
      <c r="EC194" s="499"/>
      <c r="ED194" s="499"/>
      <c r="EE194" s="499"/>
      <c r="EF194" s="499"/>
      <c r="EG194" s="1146">
        <f t="shared" si="63"/>
        <v>18</v>
      </c>
      <c r="EH194" s="630">
        <v>0</v>
      </c>
      <c r="EI194" s="615">
        <v>2</v>
      </c>
      <c r="EJ194" s="613">
        <v>6</v>
      </c>
      <c r="EK194" s="613">
        <v>10</v>
      </c>
      <c r="EL194" s="499"/>
      <c r="EM194" s="615"/>
      <c r="EN194" s="499"/>
      <c r="EO194" s="499"/>
      <c r="EP194" s="499"/>
      <c r="EQ194" s="499"/>
      <c r="ER194" s="499"/>
      <c r="ES194" s="388"/>
      <c r="ET194" s="388"/>
      <c r="EV194" s="1167">
        <f t="shared" si="50"/>
        <v>27.846</v>
      </c>
      <c r="EW194" s="1016"/>
    </row>
    <row r="195" spans="1:153" s="350" customFormat="1" ht="15" x14ac:dyDescent="0.25">
      <c r="A195" s="632" t="s">
        <v>6</v>
      </c>
      <c r="B195" s="662">
        <v>42921</v>
      </c>
      <c r="C195" s="1132" t="s">
        <v>904</v>
      </c>
      <c r="D195" s="386">
        <v>0</v>
      </c>
      <c r="E195" s="636">
        <v>0</v>
      </c>
      <c r="F195" s="636">
        <v>60</v>
      </c>
      <c r="G195" s="636">
        <v>0.5</v>
      </c>
      <c r="H195" s="386">
        <v>1.81</v>
      </c>
      <c r="I195" s="386">
        <v>15.8</v>
      </c>
      <c r="J195" s="386">
        <v>0</v>
      </c>
      <c r="K195" s="386">
        <v>1.1599999999999999</v>
      </c>
      <c r="L195" s="610">
        <v>0</v>
      </c>
      <c r="M195" s="386">
        <v>18.399999999999999</v>
      </c>
      <c r="N195" s="386">
        <v>1.2</v>
      </c>
      <c r="O195" s="386">
        <v>1.2397450185293759</v>
      </c>
      <c r="P195" s="386">
        <v>1.21</v>
      </c>
      <c r="Q195" s="386">
        <v>0.63519614037102967</v>
      </c>
      <c r="R195" s="732">
        <v>1200.0872093023256</v>
      </c>
      <c r="S195" s="386">
        <v>8.17</v>
      </c>
      <c r="T195" s="386">
        <v>8.0500000000000007</v>
      </c>
      <c r="U195" s="386">
        <v>0.74</v>
      </c>
      <c r="V195" s="739">
        <v>0.74</v>
      </c>
      <c r="W195" s="739">
        <v>53.239999999999995</v>
      </c>
      <c r="X195" s="613">
        <v>53.06</v>
      </c>
      <c r="Y195" s="367">
        <v>30.3</v>
      </c>
      <c r="Z195" s="636">
        <v>56.87</v>
      </c>
      <c r="AA195" s="636">
        <v>29.5</v>
      </c>
      <c r="AB195" s="636">
        <v>59</v>
      </c>
      <c r="AC195" s="1160">
        <f t="shared" si="51"/>
        <v>88.5</v>
      </c>
      <c r="AD195" s="1160">
        <f t="shared" si="52"/>
        <v>136.90949999999998</v>
      </c>
      <c r="AE195" s="1160">
        <f t="shared" si="53"/>
        <v>136.90949999999998</v>
      </c>
      <c r="AF195" s="542"/>
      <c r="AG195" s="1160">
        <f t="shared" si="49"/>
        <v>0</v>
      </c>
      <c r="AH195" s="656"/>
      <c r="AI195" s="351"/>
      <c r="AJ195" s="901"/>
      <c r="AK195" s="388"/>
      <c r="AL195" s="388"/>
      <c r="AM195" s="388"/>
      <c r="AN195" s="388"/>
      <c r="AO195" s="370"/>
      <c r="AP195" s="370"/>
      <c r="AQ195" s="386"/>
      <c r="AR195" s="551">
        <v>0</v>
      </c>
      <c r="AS195" s="386">
        <v>28.4</v>
      </c>
      <c r="AT195" s="386">
        <v>0</v>
      </c>
      <c r="AU195" s="386">
        <v>0</v>
      </c>
      <c r="AV195" s="636">
        <v>1101.2</v>
      </c>
      <c r="AW195" s="636">
        <v>1444.9</v>
      </c>
      <c r="AX195" s="386">
        <v>0</v>
      </c>
      <c r="AY195" s="551">
        <v>0</v>
      </c>
      <c r="AZ195" s="551">
        <v>0</v>
      </c>
      <c r="BA195" s="551">
        <v>0</v>
      </c>
      <c r="BB195" s="976">
        <v>0</v>
      </c>
      <c r="BC195" s="386">
        <v>1.27</v>
      </c>
      <c r="BD195" s="386">
        <v>2.74</v>
      </c>
      <c r="BE195" s="551">
        <v>0</v>
      </c>
      <c r="BF195" s="386">
        <v>1.99</v>
      </c>
      <c r="BG195" s="386">
        <v>0</v>
      </c>
      <c r="BH195" s="551">
        <v>0</v>
      </c>
      <c r="BI195" s="386">
        <v>2.02</v>
      </c>
      <c r="BJ195" s="386">
        <v>51.2</v>
      </c>
      <c r="BK195" s="386">
        <v>5.12</v>
      </c>
      <c r="BL195" s="386">
        <v>4.87</v>
      </c>
      <c r="BM195" s="386">
        <v>0</v>
      </c>
      <c r="BN195" s="386">
        <v>41.2</v>
      </c>
      <c r="BO195" s="386">
        <v>3123.3</v>
      </c>
      <c r="BP195" s="386">
        <v>1.9</v>
      </c>
      <c r="BQ195" s="615">
        <v>20.61</v>
      </c>
      <c r="BR195" s="615">
        <v>21.19</v>
      </c>
      <c r="BS195" s="615">
        <v>12.73</v>
      </c>
      <c r="BT195" s="615">
        <v>12.83</v>
      </c>
      <c r="BU195" s="614">
        <v>26.5</v>
      </c>
      <c r="BV195" s="614">
        <v>32.700000000000003</v>
      </c>
      <c r="BW195" s="615">
        <v>1227.5</v>
      </c>
      <c r="BX195" s="791"/>
      <c r="BY195" s="615">
        <v>0</v>
      </c>
      <c r="BZ195" s="615">
        <v>1.1599999999999999</v>
      </c>
      <c r="CA195" s="615">
        <v>1.1000000000000001</v>
      </c>
      <c r="CB195" s="615">
        <v>8.1999999999999993</v>
      </c>
      <c r="CC195" s="615">
        <v>8.1</v>
      </c>
      <c r="CD195" s="615">
        <v>15.3</v>
      </c>
      <c r="CE195" s="615">
        <v>32.200000000000003</v>
      </c>
      <c r="CF195" s="615">
        <v>19.2</v>
      </c>
      <c r="CG195" s="615">
        <v>8.9</v>
      </c>
      <c r="CH195" s="615">
        <v>14.6</v>
      </c>
      <c r="CI195" s="615">
        <v>19.100000000000001</v>
      </c>
      <c r="CJ195" s="615">
        <v>12.47</v>
      </c>
      <c r="CK195" s="615">
        <v>0</v>
      </c>
      <c r="CL195" s="615">
        <v>2.2000000000000002</v>
      </c>
      <c r="CM195" s="615">
        <v>4.4000000000000004</v>
      </c>
      <c r="CN195" s="615">
        <v>3131.7</v>
      </c>
      <c r="CO195" s="615">
        <v>1142.5999999999999</v>
      </c>
      <c r="CP195" s="615">
        <v>640.6</v>
      </c>
      <c r="CQ195" s="615">
        <v>12.9</v>
      </c>
      <c r="CR195" s="615">
        <v>0.8</v>
      </c>
      <c r="CS195" s="614">
        <v>0</v>
      </c>
      <c r="CT195" s="386">
        <v>15.42</v>
      </c>
      <c r="CU195" s="386">
        <v>56</v>
      </c>
      <c r="CV195" s="499">
        <v>0</v>
      </c>
      <c r="CW195" s="499">
        <v>0</v>
      </c>
      <c r="CX195" s="499">
        <v>0</v>
      </c>
      <c r="CY195" s="499">
        <v>0</v>
      </c>
      <c r="CZ195" s="643">
        <v>443</v>
      </c>
      <c r="DA195" s="643">
        <v>496</v>
      </c>
      <c r="DB195" s="643">
        <v>332</v>
      </c>
      <c r="DC195" s="609">
        <v>1165.6500000000001</v>
      </c>
      <c r="DD195" s="1153">
        <f t="shared" si="54"/>
        <v>-0.14999999999986358</v>
      </c>
      <c r="DE195" s="1154">
        <f t="shared" si="55"/>
        <v>0</v>
      </c>
      <c r="DF195" s="1154">
        <f t="shared" si="56"/>
        <v>222</v>
      </c>
      <c r="DG195" s="1154">
        <f t="shared" si="57"/>
        <v>246</v>
      </c>
      <c r="DH195" s="1155" t="str">
        <f t="shared" si="58"/>
        <v>Palm</v>
      </c>
      <c r="DI195" s="1146">
        <f t="shared" si="59"/>
        <v>164</v>
      </c>
      <c r="DJ195" s="1146">
        <f t="shared" si="60"/>
        <v>0</v>
      </c>
      <c r="DK195" s="1154">
        <f t="shared" si="61"/>
        <v>0</v>
      </c>
      <c r="DL195" s="615"/>
      <c r="DM195" s="615"/>
      <c r="DN195" s="615"/>
      <c r="DO195" s="499"/>
      <c r="DP195" s="499"/>
      <c r="DQ195" s="499"/>
      <c r="DR195" s="499"/>
      <c r="DS195" s="499"/>
      <c r="DT195" s="499"/>
      <c r="DU195" s="499"/>
      <c r="DV195" s="499"/>
      <c r="DW195" s="499"/>
      <c r="DX195" s="499"/>
      <c r="DY195" s="499"/>
      <c r="DZ195" s="499"/>
      <c r="EA195" s="499"/>
      <c r="EB195" s="499"/>
      <c r="EC195" s="499"/>
      <c r="ED195" s="499"/>
      <c r="EE195" s="499"/>
      <c r="EF195" s="499"/>
      <c r="EG195" s="1146">
        <f t="shared" si="63"/>
        <v>21.5</v>
      </c>
      <c r="EH195" s="630">
        <v>3.5</v>
      </c>
      <c r="EI195" s="615">
        <v>2</v>
      </c>
      <c r="EJ195" s="613">
        <v>6</v>
      </c>
      <c r="EK195" s="613">
        <v>10</v>
      </c>
      <c r="EL195" s="499"/>
      <c r="EM195" s="615"/>
      <c r="EN195" s="499"/>
      <c r="EO195" s="499"/>
      <c r="EP195" s="499"/>
      <c r="EQ195" s="499"/>
      <c r="ER195" s="499"/>
      <c r="ES195" s="388"/>
      <c r="ET195" s="388"/>
      <c r="EV195" s="1167">
        <f t="shared" si="50"/>
        <v>33.2605</v>
      </c>
      <c r="EW195" s="1016"/>
    </row>
    <row r="196" spans="1:153" s="350" customFormat="1" ht="15" x14ac:dyDescent="0.25">
      <c r="A196" s="632" t="s">
        <v>7</v>
      </c>
      <c r="B196" s="662">
        <v>42922</v>
      </c>
      <c r="C196" s="1132" t="s">
        <v>904</v>
      </c>
      <c r="D196" s="386">
        <v>0</v>
      </c>
      <c r="E196" s="636">
        <v>0</v>
      </c>
      <c r="F196" s="636">
        <v>61</v>
      </c>
      <c r="G196" s="636">
        <v>0.5</v>
      </c>
      <c r="H196" s="386">
        <v>1.92</v>
      </c>
      <c r="I196" s="386">
        <v>16.600000000000001</v>
      </c>
      <c r="J196" s="386">
        <v>0</v>
      </c>
      <c r="K196" s="386">
        <v>1.2</v>
      </c>
      <c r="L196" s="636">
        <v>0</v>
      </c>
      <c r="M196" s="386">
        <v>18.3</v>
      </c>
      <c r="N196" s="386">
        <v>1.26</v>
      </c>
      <c r="O196" s="386">
        <v>1.2706974780012155</v>
      </c>
      <c r="P196" s="386">
        <v>1.24</v>
      </c>
      <c r="Q196" s="386">
        <v>0.65106163611173762</v>
      </c>
      <c r="R196" s="732">
        <v>1275.0926598837211</v>
      </c>
      <c r="S196" s="386">
        <v>8.15</v>
      </c>
      <c r="T196" s="386">
        <v>8.0500000000000007</v>
      </c>
      <c r="U196" s="386">
        <v>0.75</v>
      </c>
      <c r="V196" s="739">
        <v>0.98</v>
      </c>
      <c r="W196" s="739">
        <v>53.239999999999995</v>
      </c>
      <c r="X196" s="613">
        <v>53.239999999999995</v>
      </c>
      <c r="Y196" s="367">
        <v>29.5</v>
      </c>
      <c r="Z196" s="636">
        <v>59</v>
      </c>
      <c r="AA196" s="636">
        <v>27.7</v>
      </c>
      <c r="AB196" s="636">
        <v>63.2</v>
      </c>
      <c r="AC196" s="1160">
        <f t="shared" si="51"/>
        <v>90.9</v>
      </c>
      <c r="AD196" s="1160">
        <f t="shared" si="52"/>
        <v>140.6223</v>
      </c>
      <c r="AE196" s="1160">
        <f t="shared" si="53"/>
        <v>140.6223</v>
      </c>
      <c r="AF196" s="542"/>
      <c r="AG196" s="1160">
        <f t="shared" si="49"/>
        <v>0</v>
      </c>
      <c r="AH196" s="656"/>
      <c r="AI196" s="351"/>
      <c r="AJ196" s="901"/>
      <c r="AK196" s="388"/>
      <c r="AL196" s="388"/>
      <c r="AM196" s="388"/>
      <c r="AN196" s="388"/>
      <c r="AO196" s="370"/>
      <c r="AP196" s="370"/>
      <c r="AQ196" s="386"/>
      <c r="AR196" s="551">
        <v>0</v>
      </c>
      <c r="AS196" s="386">
        <v>27</v>
      </c>
      <c r="AT196" s="386">
        <v>0</v>
      </c>
      <c r="AU196" s="386">
        <v>0</v>
      </c>
      <c r="AV196" s="636">
        <v>838.5</v>
      </c>
      <c r="AW196" s="636">
        <v>1865</v>
      </c>
      <c r="AX196" s="386">
        <v>0</v>
      </c>
      <c r="AY196" s="551">
        <v>0</v>
      </c>
      <c r="AZ196" s="551">
        <v>0</v>
      </c>
      <c r="BA196" s="551">
        <v>0</v>
      </c>
      <c r="BB196" s="976">
        <v>0</v>
      </c>
      <c r="BC196" s="386">
        <v>1.26</v>
      </c>
      <c r="BD196" s="386">
        <v>2.74</v>
      </c>
      <c r="BE196" s="551">
        <v>0</v>
      </c>
      <c r="BF196" s="386">
        <v>1.99</v>
      </c>
      <c r="BG196" s="386">
        <v>0</v>
      </c>
      <c r="BH196" s="551">
        <v>0</v>
      </c>
      <c r="BI196" s="386">
        <v>2.2599999999999998</v>
      </c>
      <c r="BJ196" s="386">
        <v>55.1</v>
      </c>
      <c r="BK196" s="386">
        <v>5.05</v>
      </c>
      <c r="BL196" s="386">
        <v>4.96</v>
      </c>
      <c r="BM196" s="386">
        <v>0</v>
      </c>
      <c r="BN196" s="386">
        <v>45.1</v>
      </c>
      <c r="BO196" s="386">
        <v>2593.1</v>
      </c>
      <c r="BP196" s="386">
        <v>1.9</v>
      </c>
      <c r="BQ196" s="615">
        <v>19.97</v>
      </c>
      <c r="BR196" s="615">
        <v>20.68</v>
      </c>
      <c r="BS196" s="615">
        <v>11.81</v>
      </c>
      <c r="BT196" s="615">
        <v>11.88</v>
      </c>
      <c r="BU196" s="614">
        <v>24.7</v>
      </c>
      <c r="BV196" s="614">
        <v>30.6</v>
      </c>
      <c r="BW196" s="615">
        <v>1262.0999999999999</v>
      </c>
      <c r="BX196" s="791"/>
      <c r="BY196" s="615">
        <v>0</v>
      </c>
      <c r="BZ196" s="615">
        <v>1.19</v>
      </c>
      <c r="CA196" s="615">
        <v>1.1000000000000001</v>
      </c>
      <c r="CB196" s="615">
        <v>8.1999999999999993</v>
      </c>
      <c r="CC196" s="615">
        <v>8.1</v>
      </c>
      <c r="CD196" s="615">
        <v>15.1</v>
      </c>
      <c r="CE196" s="615">
        <v>32.200000000000003</v>
      </c>
      <c r="CF196" s="615">
        <v>19.3</v>
      </c>
      <c r="CG196" s="615">
        <v>9</v>
      </c>
      <c r="CH196" s="615">
        <v>14.8</v>
      </c>
      <c r="CI196" s="615">
        <v>18.899999999999999</v>
      </c>
      <c r="CJ196" s="615">
        <v>12.78</v>
      </c>
      <c r="CK196" s="615">
        <v>0</v>
      </c>
      <c r="CL196" s="615">
        <v>2.6</v>
      </c>
      <c r="CM196" s="615">
        <v>3.8</v>
      </c>
      <c r="CN196" s="615">
        <v>3101.3</v>
      </c>
      <c r="CO196" s="615">
        <v>1162.2</v>
      </c>
      <c r="CP196" s="615">
        <v>637.1</v>
      </c>
      <c r="CQ196" s="615">
        <v>13.8</v>
      </c>
      <c r="CR196" s="615">
        <v>0.9</v>
      </c>
      <c r="CS196" s="614">
        <v>0</v>
      </c>
      <c r="CT196" s="386">
        <v>15.817</v>
      </c>
      <c r="CU196" s="386">
        <v>56</v>
      </c>
      <c r="CV196" s="499">
        <v>0</v>
      </c>
      <c r="CW196" s="499">
        <v>0</v>
      </c>
      <c r="CX196" s="499">
        <v>0</v>
      </c>
      <c r="CY196" s="499">
        <v>0</v>
      </c>
      <c r="CZ196" s="643">
        <v>443</v>
      </c>
      <c r="DA196" s="643">
        <v>496</v>
      </c>
      <c r="DB196" s="643">
        <v>327</v>
      </c>
      <c r="DC196" s="609">
        <v>1165.49</v>
      </c>
      <c r="DD196" s="1153">
        <f t="shared" si="54"/>
        <v>-0.16000000000008185</v>
      </c>
      <c r="DE196" s="1154">
        <f t="shared" si="55"/>
        <v>0</v>
      </c>
      <c r="DF196" s="1154">
        <f t="shared" si="56"/>
        <v>217</v>
      </c>
      <c r="DG196" s="1154">
        <f t="shared" si="57"/>
        <v>246</v>
      </c>
      <c r="DH196" s="1155" t="str">
        <f t="shared" si="58"/>
        <v>Palm</v>
      </c>
      <c r="DI196" s="1146">
        <f t="shared" si="59"/>
        <v>169</v>
      </c>
      <c r="DJ196" s="1146">
        <f t="shared" si="60"/>
        <v>0</v>
      </c>
      <c r="DK196" s="1154">
        <f t="shared" si="61"/>
        <v>0</v>
      </c>
      <c r="DL196" s="615"/>
      <c r="DM196" s="615"/>
      <c r="DN196" s="615"/>
      <c r="DO196" s="499"/>
      <c r="DP196" s="499"/>
      <c r="DQ196" s="499"/>
      <c r="DR196" s="499"/>
      <c r="DS196" s="499"/>
      <c r="DT196" s="499"/>
      <c r="DU196" s="499"/>
      <c r="DV196" s="499"/>
      <c r="DW196" s="499"/>
      <c r="DX196" s="499"/>
      <c r="DY196" s="499"/>
      <c r="DZ196" s="499"/>
      <c r="EA196" s="499"/>
      <c r="EB196" s="499"/>
      <c r="EC196" s="499"/>
      <c r="ED196" s="499"/>
      <c r="EE196" s="499"/>
      <c r="EF196" s="499"/>
      <c r="EG196" s="1146">
        <f t="shared" si="63"/>
        <v>21.5</v>
      </c>
      <c r="EH196" s="630">
        <v>3.5</v>
      </c>
      <c r="EI196" s="615">
        <v>2</v>
      </c>
      <c r="EJ196" s="613">
        <v>6</v>
      </c>
      <c r="EK196" s="613">
        <v>10</v>
      </c>
      <c r="EL196" s="499"/>
      <c r="EM196" s="615"/>
      <c r="EN196" s="499"/>
      <c r="EO196" s="499"/>
      <c r="EP196" s="499"/>
      <c r="EQ196" s="499"/>
      <c r="ER196" s="499"/>
      <c r="ES196" s="388"/>
      <c r="ET196" s="388"/>
      <c r="EV196" s="1167">
        <f t="shared" si="50"/>
        <v>33.2605</v>
      </c>
      <c r="EW196" s="1016"/>
    </row>
    <row r="197" spans="1:153" s="350" customFormat="1" ht="15" x14ac:dyDescent="0.25">
      <c r="A197" s="632" t="s">
        <v>8</v>
      </c>
      <c r="B197" s="662">
        <v>42923</v>
      </c>
      <c r="C197" s="1132" t="s">
        <v>904</v>
      </c>
      <c r="D197" s="386">
        <v>0</v>
      </c>
      <c r="E197" s="636">
        <v>0</v>
      </c>
      <c r="F197" s="636">
        <v>56</v>
      </c>
      <c r="G197" s="636">
        <v>0.5</v>
      </c>
      <c r="H197" s="386">
        <v>1.86</v>
      </c>
      <c r="I197" s="386">
        <v>16.399999999999999</v>
      </c>
      <c r="J197" s="386">
        <v>0</v>
      </c>
      <c r="K197" s="386">
        <v>1.22</v>
      </c>
      <c r="L197" s="636">
        <v>0</v>
      </c>
      <c r="M197" s="386">
        <v>18.2</v>
      </c>
      <c r="N197" s="386">
        <v>1.23</v>
      </c>
      <c r="O197" s="386">
        <v>1.2237320432969245</v>
      </c>
      <c r="P197" s="386">
        <v>1.25</v>
      </c>
      <c r="Q197" s="386">
        <v>0.63677189099562026</v>
      </c>
      <c r="R197" s="732">
        <v>1288.7603197674421</v>
      </c>
      <c r="S197" s="386">
        <v>8.19</v>
      </c>
      <c r="T197" s="386">
        <v>8.06</v>
      </c>
      <c r="U197" s="386">
        <v>0.75</v>
      </c>
      <c r="V197" s="739">
        <v>1.03</v>
      </c>
      <c r="W197" s="739">
        <v>53.78</v>
      </c>
      <c r="X197" s="613">
        <v>53.600000000000009</v>
      </c>
      <c r="Y197" s="367">
        <v>27.7</v>
      </c>
      <c r="Z197" s="636">
        <v>63.2</v>
      </c>
      <c r="AA197" s="636">
        <v>28.6</v>
      </c>
      <c r="AB197" s="636">
        <v>66.19</v>
      </c>
      <c r="AC197" s="1160">
        <f t="shared" si="51"/>
        <v>94.789999999999992</v>
      </c>
      <c r="AD197" s="1160">
        <f t="shared" si="52"/>
        <v>146.64012999999997</v>
      </c>
      <c r="AE197" s="1160">
        <f t="shared" si="53"/>
        <v>146.64012999999997</v>
      </c>
      <c r="AF197" s="542"/>
      <c r="AG197" s="1160">
        <f t="shared" si="49"/>
        <v>0</v>
      </c>
      <c r="AH197" s="656"/>
      <c r="AI197" s="351"/>
      <c r="AJ197" s="901"/>
      <c r="AK197" s="388"/>
      <c r="AL197" s="388"/>
      <c r="AM197" s="388"/>
      <c r="AN197" s="388"/>
      <c r="AO197" s="370"/>
      <c r="AP197" s="370"/>
      <c r="AQ197" s="386"/>
      <c r="AR197" s="551">
        <v>0</v>
      </c>
      <c r="AS197" s="386">
        <v>19.100000000000001</v>
      </c>
      <c r="AT197" s="386">
        <v>0</v>
      </c>
      <c r="AU197" s="386">
        <v>0</v>
      </c>
      <c r="AV197" s="636">
        <v>839.7</v>
      </c>
      <c r="AW197" s="636">
        <v>1945.7</v>
      </c>
      <c r="AX197" s="386">
        <v>0</v>
      </c>
      <c r="AY197" s="551">
        <v>0</v>
      </c>
      <c r="AZ197" s="551">
        <v>0</v>
      </c>
      <c r="BA197" s="551">
        <v>0</v>
      </c>
      <c r="BB197" s="976">
        <v>0</v>
      </c>
      <c r="BC197" s="386">
        <v>1.44</v>
      </c>
      <c r="BD197" s="386">
        <v>2.86</v>
      </c>
      <c r="BE197" s="551">
        <v>0</v>
      </c>
      <c r="BF197" s="386">
        <v>1.99</v>
      </c>
      <c r="BG197" s="386">
        <v>0</v>
      </c>
      <c r="BH197" s="551">
        <v>0</v>
      </c>
      <c r="BI197" s="386">
        <v>2.52</v>
      </c>
      <c r="BJ197" s="386">
        <v>57.5</v>
      </c>
      <c r="BK197" s="386">
        <v>5.54</v>
      </c>
      <c r="BL197" s="386">
        <v>4.78</v>
      </c>
      <c r="BM197" s="386">
        <v>0</v>
      </c>
      <c r="BN197" s="386">
        <v>47</v>
      </c>
      <c r="BO197" s="386">
        <v>2534</v>
      </c>
      <c r="BP197" s="386">
        <v>2</v>
      </c>
      <c r="BQ197" s="615">
        <v>20.37</v>
      </c>
      <c r="BR197" s="615">
        <v>21.08</v>
      </c>
      <c r="BS197" s="615">
        <v>12.08</v>
      </c>
      <c r="BT197" s="615">
        <v>12.2</v>
      </c>
      <c r="BU197" s="614">
        <v>25.2</v>
      </c>
      <c r="BV197" s="614">
        <v>28.4</v>
      </c>
      <c r="BW197" s="615">
        <v>1194.5</v>
      </c>
      <c r="BX197" s="791"/>
      <c r="BY197" s="615">
        <v>0</v>
      </c>
      <c r="BZ197" s="615">
        <v>1.18</v>
      </c>
      <c r="CA197" s="615">
        <v>1.1000000000000001</v>
      </c>
      <c r="CB197" s="615">
        <v>8.1</v>
      </c>
      <c r="CC197" s="615">
        <v>8.1</v>
      </c>
      <c r="CD197" s="615">
        <v>15.7</v>
      </c>
      <c r="CE197" s="615">
        <v>32.200000000000003</v>
      </c>
      <c r="CF197" s="615">
        <v>17.7</v>
      </c>
      <c r="CG197" s="615">
        <v>8.6999999999999993</v>
      </c>
      <c r="CH197" s="615">
        <v>14.5</v>
      </c>
      <c r="CI197" s="615">
        <v>18.399999999999999</v>
      </c>
      <c r="CJ197" s="615">
        <v>13.36</v>
      </c>
      <c r="CK197" s="615">
        <v>0</v>
      </c>
      <c r="CL197" s="615">
        <v>3</v>
      </c>
      <c r="CM197" s="615">
        <v>3.7</v>
      </c>
      <c r="CN197" s="615">
        <v>3172.9</v>
      </c>
      <c r="CO197" s="615">
        <v>1084.9000000000001</v>
      </c>
      <c r="CP197" s="615">
        <v>647.70000000000005</v>
      </c>
      <c r="CQ197" s="615">
        <v>14.2</v>
      </c>
      <c r="CR197" s="615">
        <v>0.94</v>
      </c>
      <c r="CS197" s="614">
        <v>0</v>
      </c>
      <c r="CT197" s="386">
        <v>16.085999999999999</v>
      </c>
      <c r="CU197" s="386">
        <v>57</v>
      </c>
      <c r="CV197" s="499">
        <v>0</v>
      </c>
      <c r="CW197" s="499">
        <v>0</v>
      </c>
      <c r="CX197" s="499">
        <v>0</v>
      </c>
      <c r="CY197" s="499">
        <v>0</v>
      </c>
      <c r="CZ197" s="643">
        <v>403</v>
      </c>
      <c r="DA197" s="643">
        <v>465</v>
      </c>
      <c r="DB197" s="643">
        <v>260</v>
      </c>
      <c r="DC197" s="609">
        <v>1165.33</v>
      </c>
      <c r="DD197" s="1153">
        <f t="shared" si="54"/>
        <v>-0.16000000000008185</v>
      </c>
      <c r="DE197" s="1154">
        <f t="shared" si="55"/>
        <v>0</v>
      </c>
      <c r="DF197" s="1154">
        <f t="shared" si="56"/>
        <v>150</v>
      </c>
      <c r="DG197" s="1154">
        <f t="shared" si="57"/>
        <v>215</v>
      </c>
      <c r="DH197" s="1155" t="str">
        <f t="shared" si="58"/>
        <v>Palm</v>
      </c>
      <c r="DI197" s="1146">
        <f t="shared" si="59"/>
        <v>205</v>
      </c>
      <c r="DJ197" s="1146">
        <f t="shared" si="60"/>
        <v>0</v>
      </c>
      <c r="DK197" s="1154">
        <f t="shared" si="61"/>
        <v>0</v>
      </c>
      <c r="DL197" s="615"/>
      <c r="DM197" s="615"/>
      <c r="DN197" s="615"/>
      <c r="DO197" s="499"/>
      <c r="DP197" s="499"/>
      <c r="DQ197" s="499"/>
      <c r="DR197" s="499"/>
      <c r="DS197" s="499"/>
      <c r="DT197" s="499"/>
      <c r="DU197" s="499"/>
      <c r="DV197" s="499"/>
      <c r="DW197" s="499"/>
      <c r="DX197" s="499"/>
      <c r="DY197" s="499"/>
      <c r="DZ197" s="499"/>
      <c r="EA197" s="499"/>
      <c r="EB197" s="499"/>
      <c r="EC197" s="499"/>
      <c r="ED197" s="499"/>
      <c r="EE197" s="499"/>
      <c r="EF197" s="499"/>
      <c r="EG197" s="1146">
        <f t="shared" si="63"/>
        <v>21.5</v>
      </c>
      <c r="EH197" s="642">
        <v>2</v>
      </c>
      <c r="EI197" s="615">
        <v>2.5</v>
      </c>
      <c r="EJ197" s="613">
        <v>6.5</v>
      </c>
      <c r="EK197" s="613">
        <v>10.5</v>
      </c>
      <c r="EL197" s="499"/>
      <c r="EM197" s="615"/>
      <c r="EN197" s="499"/>
      <c r="EO197" s="499"/>
      <c r="EP197" s="499"/>
      <c r="EQ197" s="499"/>
      <c r="ER197" s="499"/>
      <c r="ES197" s="388"/>
      <c r="ET197" s="388"/>
      <c r="EV197" s="1167">
        <f t="shared" si="50"/>
        <v>33.2605</v>
      </c>
      <c r="EW197" s="1016"/>
    </row>
    <row r="198" spans="1:153" s="350" customFormat="1" ht="15" x14ac:dyDescent="0.25">
      <c r="A198" s="632" t="s">
        <v>9</v>
      </c>
      <c r="B198" s="662">
        <v>42924</v>
      </c>
      <c r="C198" s="1132" t="s">
        <v>904</v>
      </c>
      <c r="D198" s="386">
        <v>0</v>
      </c>
      <c r="E198" s="636">
        <v>0</v>
      </c>
      <c r="F198" s="636">
        <v>59</v>
      </c>
      <c r="G198" s="636">
        <v>0.5</v>
      </c>
      <c r="H198" s="386">
        <v>1.44</v>
      </c>
      <c r="I198" s="386">
        <v>15.2</v>
      </c>
      <c r="J198" s="386">
        <v>0</v>
      </c>
      <c r="K198" s="386">
        <v>1.27</v>
      </c>
      <c r="L198" s="610">
        <v>0</v>
      </c>
      <c r="M198" s="386">
        <v>18</v>
      </c>
      <c r="N198" s="386">
        <v>1.26</v>
      </c>
      <c r="O198" s="386">
        <v>1.2435880129590806</v>
      </c>
      <c r="P198" s="386">
        <v>1.23</v>
      </c>
      <c r="Q198" s="386">
        <v>0.6388648476291422</v>
      </c>
      <c r="R198" s="732">
        <v>1300.4278343023259</v>
      </c>
      <c r="S198" s="386">
        <v>8.17</v>
      </c>
      <c r="T198" s="386">
        <v>8.11</v>
      </c>
      <c r="U198" s="386">
        <v>0.73</v>
      </c>
      <c r="V198" s="739">
        <v>0.69</v>
      </c>
      <c r="W198" s="739">
        <v>53.600000000000009</v>
      </c>
      <c r="X198" s="613">
        <v>53.600000000000009</v>
      </c>
      <c r="Y198" s="367">
        <v>28.6</v>
      </c>
      <c r="Z198" s="636">
        <v>66.19</v>
      </c>
      <c r="AA198" s="636">
        <v>29.2</v>
      </c>
      <c r="AB198" s="636">
        <v>65.489999999999995</v>
      </c>
      <c r="AC198" s="1160">
        <f t="shared" si="51"/>
        <v>94.69</v>
      </c>
      <c r="AD198" s="1160">
        <f t="shared" si="52"/>
        <v>146.48542999999998</v>
      </c>
      <c r="AE198" s="1160">
        <f t="shared" si="53"/>
        <v>146.48542999999998</v>
      </c>
      <c r="AF198" s="542"/>
      <c r="AG198" s="1160">
        <f t="shared" si="49"/>
        <v>0</v>
      </c>
      <c r="AH198" s="656"/>
      <c r="AI198" s="351"/>
      <c r="AJ198" s="901"/>
      <c r="AK198" s="388"/>
      <c r="AL198" s="388"/>
      <c r="AM198" s="388"/>
      <c r="AN198" s="388"/>
      <c r="AO198" s="370"/>
      <c r="AP198" s="370"/>
      <c r="AQ198" s="386"/>
      <c r="AR198" s="551">
        <v>0</v>
      </c>
      <c r="AS198" s="386">
        <v>23.8</v>
      </c>
      <c r="AT198" s="386">
        <v>0</v>
      </c>
      <c r="AU198" s="386">
        <v>0</v>
      </c>
      <c r="AV198" s="636">
        <v>749.1</v>
      </c>
      <c r="AW198" s="636">
        <v>2101</v>
      </c>
      <c r="AX198" s="386">
        <v>0</v>
      </c>
      <c r="AY198" s="551">
        <v>0</v>
      </c>
      <c r="AZ198" s="551">
        <v>0</v>
      </c>
      <c r="BA198" s="551">
        <v>0</v>
      </c>
      <c r="BB198" s="976">
        <v>0</v>
      </c>
      <c r="BC198" s="386">
        <v>2.16</v>
      </c>
      <c r="BD198" s="386">
        <v>2.64</v>
      </c>
      <c r="BE198" s="551">
        <v>0</v>
      </c>
      <c r="BF198" s="386">
        <v>1.99</v>
      </c>
      <c r="BG198" s="386">
        <v>0</v>
      </c>
      <c r="BH198" s="551">
        <v>0</v>
      </c>
      <c r="BI198" s="386">
        <v>2.52</v>
      </c>
      <c r="BJ198" s="386">
        <v>56.4</v>
      </c>
      <c r="BK198" s="386">
        <v>5.65</v>
      </c>
      <c r="BL198" s="386">
        <v>4.83</v>
      </c>
      <c r="BM198" s="386">
        <v>0</v>
      </c>
      <c r="BN198" s="386">
        <v>45.8</v>
      </c>
      <c r="BO198" s="386">
        <v>2647.6</v>
      </c>
      <c r="BP198" s="386">
        <v>0</v>
      </c>
      <c r="BQ198" s="615">
        <v>20.02</v>
      </c>
      <c r="BR198" s="615">
        <v>20.73</v>
      </c>
      <c r="BS198" s="615">
        <v>12.61</v>
      </c>
      <c r="BT198" s="615">
        <v>12.71</v>
      </c>
      <c r="BU198" s="614">
        <v>26.2</v>
      </c>
      <c r="BV198" s="614">
        <v>31.9</v>
      </c>
      <c r="BW198" s="615">
        <v>1410.2</v>
      </c>
      <c r="BX198" s="791"/>
      <c r="BY198" s="615">
        <v>0</v>
      </c>
      <c r="BZ198" s="615">
        <v>1.18</v>
      </c>
      <c r="CA198" s="615">
        <v>1.1000000000000001</v>
      </c>
      <c r="CB198" s="615">
        <v>8.1999999999999993</v>
      </c>
      <c r="CC198" s="615">
        <v>8.1</v>
      </c>
      <c r="CD198" s="615">
        <v>16.399999999999999</v>
      </c>
      <c r="CE198" s="615">
        <v>32.200000000000003</v>
      </c>
      <c r="CF198" s="615">
        <v>19.899999999999999</v>
      </c>
      <c r="CG198" s="615">
        <v>8.3000000000000007</v>
      </c>
      <c r="CH198" s="615">
        <v>14</v>
      </c>
      <c r="CI198" s="615">
        <v>17.8</v>
      </c>
      <c r="CJ198" s="615">
        <v>13.64</v>
      </c>
      <c r="CK198" s="615">
        <v>0</v>
      </c>
      <c r="CL198" s="615">
        <v>3.4</v>
      </c>
      <c r="CM198" s="615">
        <v>4.3</v>
      </c>
      <c r="CN198" s="615">
        <v>3459.7</v>
      </c>
      <c r="CO198" s="615">
        <v>1191.0999999999999</v>
      </c>
      <c r="CP198" s="615">
        <v>625.4</v>
      </c>
      <c r="CQ198" s="615">
        <v>13.2</v>
      </c>
      <c r="CR198" s="615">
        <v>0.84</v>
      </c>
      <c r="CS198" s="614">
        <v>0</v>
      </c>
      <c r="CT198" s="386">
        <v>15.927</v>
      </c>
      <c r="CU198" s="386">
        <v>57</v>
      </c>
      <c r="CV198" s="499">
        <v>0</v>
      </c>
      <c r="CW198" s="499">
        <v>0</v>
      </c>
      <c r="CX198" s="499">
        <v>0</v>
      </c>
      <c r="CY198" s="499">
        <v>0</v>
      </c>
      <c r="CZ198" s="643">
        <v>403</v>
      </c>
      <c r="DA198" s="643">
        <v>435</v>
      </c>
      <c r="DB198" s="643">
        <v>272</v>
      </c>
      <c r="DC198" s="609">
        <v>1165.2</v>
      </c>
      <c r="DD198" s="1153">
        <f t="shared" si="54"/>
        <v>-0.12999999999988177</v>
      </c>
      <c r="DE198" s="1154">
        <f t="shared" si="55"/>
        <v>0</v>
      </c>
      <c r="DF198" s="1154">
        <f t="shared" si="56"/>
        <v>162</v>
      </c>
      <c r="DG198" s="1154">
        <f t="shared" si="57"/>
        <v>185</v>
      </c>
      <c r="DH198" s="1155" t="str">
        <f t="shared" si="58"/>
        <v>Palm</v>
      </c>
      <c r="DI198" s="1146">
        <f t="shared" si="59"/>
        <v>163</v>
      </c>
      <c r="DJ198" s="1146">
        <f t="shared" si="60"/>
        <v>0</v>
      </c>
      <c r="DK198" s="1154">
        <f t="shared" si="61"/>
        <v>0</v>
      </c>
      <c r="DL198" s="615"/>
      <c r="DM198" s="615"/>
      <c r="DN198" s="615"/>
      <c r="DO198" s="499"/>
      <c r="DP198" s="499"/>
      <c r="DQ198" s="499"/>
      <c r="DR198" s="499"/>
      <c r="DS198" s="499"/>
      <c r="DT198" s="499"/>
      <c r="DU198" s="499"/>
      <c r="DV198" s="499"/>
      <c r="DW198" s="499"/>
      <c r="DX198" s="499"/>
      <c r="DY198" s="499"/>
      <c r="DZ198" s="499"/>
      <c r="EA198" s="499"/>
      <c r="EB198" s="499"/>
      <c r="EC198" s="499"/>
      <c r="ED198" s="499"/>
      <c r="EE198" s="499"/>
      <c r="EF198" s="499"/>
      <c r="EG198" s="1146">
        <f t="shared" si="63"/>
        <v>21.5</v>
      </c>
      <c r="EH198" s="642">
        <v>1.5</v>
      </c>
      <c r="EI198" s="615">
        <v>2.5</v>
      </c>
      <c r="EJ198" s="613">
        <v>7</v>
      </c>
      <c r="EK198" s="613">
        <v>10.5</v>
      </c>
      <c r="EL198" s="499"/>
      <c r="EM198" s="615"/>
      <c r="EN198" s="499"/>
      <c r="EO198" s="499"/>
      <c r="EP198" s="499"/>
      <c r="EQ198" s="499"/>
      <c r="ER198" s="499"/>
      <c r="ES198" s="388"/>
      <c r="ET198" s="388"/>
      <c r="EV198" s="1167">
        <f t="shared" si="50"/>
        <v>33.2605</v>
      </c>
      <c r="EW198" s="1016"/>
    </row>
    <row r="199" spans="1:153" s="350" customFormat="1" ht="15" x14ac:dyDescent="0.25">
      <c r="A199" s="632" t="s">
        <v>3</v>
      </c>
      <c r="B199" s="662">
        <v>42925</v>
      </c>
      <c r="C199" s="1132" t="s">
        <v>904</v>
      </c>
      <c r="D199" s="386">
        <v>0</v>
      </c>
      <c r="E199" s="636">
        <v>0</v>
      </c>
      <c r="F199" s="636">
        <v>59</v>
      </c>
      <c r="G199" s="636">
        <v>0.5</v>
      </c>
      <c r="H199" s="386">
        <v>1.46</v>
      </c>
      <c r="I199" s="386">
        <v>15.9</v>
      </c>
      <c r="J199" s="386">
        <v>0</v>
      </c>
      <c r="K199" s="386">
        <v>1.23</v>
      </c>
      <c r="L199" s="610">
        <v>0</v>
      </c>
      <c r="M199" s="386">
        <v>18.100000000000001</v>
      </c>
      <c r="N199" s="386">
        <v>1.22</v>
      </c>
      <c r="O199" s="386">
        <v>1.2429199035792748</v>
      </c>
      <c r="P199" s="386">
        <v>1.21</v>
      </c>
      <c r="Q199" s="386">
        <v>0.64135461457688892</v>
      </c>
      <c r="R199" s="732">
        <v>1309.0951308139536</v>
      </c>
      <c r="S199" s="386">
        <v>8.14</v>
      </c>
      <c r="T199" s="386">
        <v>8.0399999999999991</v>
      </c>
      <c r="U199" s="386">
        <v>0.71</v>
      </c>
      <c r="V199" s="739">
        <v>0.6</v>
      </c>
      <c r="W199" s="739">
        <v>53.78</v>
      </c>
      <c r="X199" s="613">
        <v>53.600000000000009</v>
      </c>
      <c r="Y199" s="367">
        <v>29.2</v>
      </c>
      <c r="Z199" s="636">
        <v>65.489999999999995</v>
      </c>
      <c r="AA199" s="636">
        <v>29.3</v>
      </c>
      <c r="AB199" s="636">
        <v>65.819999999999993</v>
      </c>
      <c r="AC199" s="1160">
        <f t="shared" si="51"/>
        <v>95.11999999999999</v>
      </c>
      <c r="AD199" s="1160">
        <f t="shared" si="52"/>
        <v>147.15063999999998</v>
      </c>
      <c r="AE199" s="1160">
        <f t="shared" si="53"/>
        <v>147.15063999999998</v>
      </c>
      <c r="AF199" s="723"/>
      <c r="AG199" s="1160">
        <f t="shared" si="49"/>
        <v>0</v>
      </c>
      <c r="AH199" s="656"/>
      <c r="AI199" s="656"/>
      <c r="AJ199" s="388"/>
      <c r="AK199" s="388"/>
      <c r="AL199" s="388"/>
      <c r="AM199" s="388"/>
      <c r="AN199" s="388"/>
      <c r="AO199" s="370"/>
      <c r="AP199" s="370"/>
      <c r="AQ199" s="386"/>
      <c r="AR199" s="551">
        <v>0</v>
      </c>
      <c r="AS199" s="386">
        <v>30.6</v>
      </c>
      <c r="AT199" s="386">
        <v>0</v>
      </c>
      <c r="AU199" s="386">
        <v>0</v>
      </c>
      <c r="AV199" s="636">
        <v>1110.0999999999999</v>
      </c>
      <c r="AW199" s="636">
        <v>2019.8</v>
      </c>
      <c r="AX199" s="386">
        <v>0</v>
      </c>
      <c r="AY199" s="551">
        <v>0</v>
      </c>
      <c r="AZ199" s="551">
        <v>0</v>
      </c>
      <c r="BA199" s="551">
        <v>0</v>
      </c>
      <c r="BB199" s="976">
        <v>0</v>
      </c>
      <c r="BC199" s="386">
        <v>2.02</v>
      </c>
      <c r="BD199" s="386">
        <v>2.96</v>
      </c>
      <c r="BE199" s="551">
        <v>0</v>
      </c>
      <c r="BF199" s="386">
        <v>2</v>
      </c>
      <c r="BG199" s="386">
        <v>0</v>
      </c>
      <c r="BH199" s="551">
        <v>0</v>
      </c>
      <c r="BI199" s="386">
        <v>2.52</v>
      </c>
      <c r="BJ199" s="386">
        <v>56.5</v>
      </c>
      <c r="BK199" s="386">
        <v>5.66</v>
      </c>
      <c r="BL199" s="386">
        <v>4.79</v>
      </c>
      <c r="BM199" s="386">
        <v>0</v>
      </c>
      <c r="BN199" s="386">
        <v>45.9</v>
      </c>
      <c r="BO199" s="386">
        <v>2758.3</v>
      </c>
      <c r="BP199" s="386">
        <v>0</v>
      </c>
      <c r="BQ199" s="615">
        <v>19.91</v>
      </c>
      <c r="BR199" s="615">
        <v>20.63</v>
      </c>
      <c r="BS199" s="615">
        <v>12.25</v>
      </c>
      <c r="BT199" s="615">
        <v>12.35</v>
      </c>
      <c r="BU199" s="614">
        <v>25.5</v>
      </c>
      <c r="BV199" s="614">
        <v>30.3</v>
      </c>
      <c r="BW199" s="615">
        <v>1303.7</v>
      </c>
      <c r="BX199" s="791">
        <v>0</v>
      </c>
      <c r="BY199" s="615">
        <v>0</v>
      </c>
      <c r="BZ199" s="615">
        <v>1.17</v>
      </c>
      <c r="CA199" s="615">
        <v>1.1000000000000001</v>
      </c>
      <c r="CB199" s="615">
        <v>8.1</v>
      </c>
      <c r="CC199" s="615">
        <v>8.1</v>
      </c>
      <c r="CD199" s="615">
        <v>16.2</v>
      </c>
      <c r="CE199" s="615">
        <v>32.200000000000003</v>
      </c>
      <c r="CF199" s="615">
        <v>20.5</v>
      </c>
      <c r="CG199" s="615">
        <v>8.0299999999999994</v>
      </c>
      <c r="CH199" s="615">
        <v>13.7</v>
      </c>
      <c r="CI199" s="615">
        <v>17.5</v>
      </c>
      <c r="CJ199" s="615">
        <v>13.79</v>
      </c>
      <c r="CK199" s="615">
        <v>0</v>
      </c>
      <c r="CL199" s="615">
        <v>2.6</v>
      </c>
      <c r="CM199" s="615">
        <v>3.9</v>
      </c>
      <c r="CN199" s="615">
        <v>3535.9</v>
      </c>
      <c r="CO199" s="615">
        <v>1176</v>
      </c>
      <c r="CP199" s="615">
        <v>663.3</v>
      </c>
      <c r="CQ199" s="615">
        <v>13.3</v>
      </c>
      <c r="CR199" s="615">
        <v>0.84</v>
      </c>
      <c r="CS199" s="614">
        <v>0</v>
      </c>
      <c r="CT199" s="386">
        <v>15.971</v>
      </c>
      <c r="CU199" s="386">
        <v>57</v>
      </c>
      <c r="CV199" s="499">
        <v>0</v>
      </c>
      <c r="CW199" s="499">
        <v>0</v>
      </c>
      <c r="CX199" s="499">
        <v>0</v>
      </c>
      <c r="CY199" s="499">
        <v>0</v>
      </c>
      <c r="CZ199" s="643">
        <v>403</v>
      </c>
      <c r="DA199" s="643">
        <v>430</v>
      </c>
      <c r="DB199" s="643">
        <v>269</v>
      </c>
      <c r="DC199" s="609">
        <v>1165.05</v>
      </c>
      <c r="DD199" s="1153">
        <f t="shared" si="54"/>
        <v>-0.15000000000009095</v>
      </c>
      <c r="DE199" s="1154">
        <f t="shared" si="55"/>
        <v>0</v>
      </c>
      <c r="DF199" s="1154">
        <f t="shared" si="56"/>
        <v>159</v>
      </c>
      <c r="DG199" s="1154">
        <f t="shared" si="57"/>
        <v>180</v>
      </c>
      <c r="DH199" s="1155" t="str">
        <f t="shared" si="58"/>
        <v>Palm</v>
      </c>
      <c r="DI199" s="1146">
        <f t="shared" si="59"/>
        <v>161</v>
      </c>
      <c r="DJ199" s="1146">
        <f t="shared" si="60"/>
        <v>0</v>
      </c>
      <c r="DK199" s="1154">
        <f t="shared" si="61"/>
        <v>0</v>
      </c>
      <c r="DL199" s="615"/>
      <c r="DM199" s="615"/>
      <c r="DN199" s="615"/>
      <c r="DO199" s="499"/>
      <c r="DP199" s="499"/>
      <c r="DQ199" s="499"/>
      <c r="DR199" s="499"/>
      <c r="DS199" s="499"/>
      <c r="DT199" s="499"/>
      <c r="DU199" s="499"/>
      <c r="DV199" s="499"/>
      <c r="DW199" s="499"/>
      <c r="DX199" s="499"/>
      <c r="DY199" s="499"/>
      <c r="DZ199" s="499"/>
      <c r="EA199" s="499"/>
      <c r="EB199" s="499"/>
      <c r="EC199" s="499"/>
      <c r="ED199" s="499"/>
      <c r="EE199" s="499"/>
      <c r="EF199" s="499"/>
      <c r="EG199" s="1146">
        <f t="shared" si="63"/>
        <v>21.5</v>
      </c>
      <c r="EH199" s="642">
        <v>1.5</v>
      </c>
      <c r="EI199" s="615">
        <v>2.5</v>
      </c>
      <c r="EJ199" s="613">
        <v>7</v>
      </c>
      <c r="EK199" s="613">
        <v>10.5</v>
      </c>
      <c r="EL199" s="499"/>
      <c r="EM199" s="615"/>
      <c r="EN199" s="499"/>
      <c r="EO199" s="499"/>
      <c r="EP199" s="499"/>
      <c r="EQ199" s="499"/>
      <c r="ER199" s="499"/>
      <c r="ES199" s="388"/>
      <c r="ET199" s="388"/>
      <c r="EV199" s="1167">
        <f t="shared" si="50"/>
        <v>33.2605</v>
      </c>
    </row>
    <row r="200" spans="1:153" s="350" customFormat="1" ht="15" x14ac:dyDescent="0.25">
      <c r="A200" s="632" t="s">
        <v>4</v>
      </c>
      <c r="B200" s="662">
        <v>42926</v>
      </c>
      <c r="C200" s="1132" t="s">
        <v>904</v>
      </c>
      <c r="D200" s="386">
        <v>0</v>
      </c>
      <c r="E200" s="636">
        <v>0</v>
      </c>
      <c r="F200" s="636">
        <v>53</v>
      </c>
      <c r="G200" s="636">
        <v>0.5</v>
      </c>
      <c r="H200" s="386">
        <v>1.68</v>
      </c>
      <c r="I200" s="386">
        <v>16.8</v>
      </c>
      <c r="J200" s="386">
        <v>0</v>
      </c>
      <c r="K200" s="386">
        <v>1.1000000000000001</v>
      </c>
      <c r="L200" s="610">
        <v>0</v>
      </c>
      <c r="M200" s="386">
        <v>18</v>
      </c>
      <c r="N200" s="386">
        <v>1.2</v>
      </c>
      <c r="O200" s="386">
        <v>1.2553705692806578</v>
      </c>
      <c r="P200" s="386">
        <v>1.17</v>
      </c>
      <c r="Q200" s="386">
        <v>0.6516901443229467</v>
      </c>
      <c r="R200" s="732">
        <v>1323.7628633720931</v>
      </c>
      <c r="S200" s="386">
        <v>8.1199999999999992</v>
      </c>
      <c r="T200" s="386">
        <v>8.07</v>
      </c>
      <c r="U200" s="386">
        <v>0.7</v>
      </c>
      <c r="V200" s="739">
        <v>0.61</v>
      </c>
      <c r="W200" s="739">
        <v>53.78</v>
      </c>
      <c r="X200" s="613">
        <v>53.78</v>
      </c>
      <c r="Y200" s="367">
        <v>29.3</v>
      </c>
      <c r="Z200" s="636">
        <v>65.819999999999993</v>
      </c>
      <c r="AA200" s="636">
        <v>29.2</v>
      </c>
      <c r="AB200" s="636">
        <v>65.88</v>
      </c>
      <c r="AC200" s="1160">
        <f t="shared" si="51"/>
        <v>95.08</v>
      </c>
      <c r="AD200" s="1160">
        <f t="shared" si="52"/>
        <v>147.08875999999998</v>
      </c>
      <c r="AE200" s="1160">
        <f t="shared" si="53"/>
        <v>147.08875999999998</v>
      </c>
      <c r="AF200" s="723"/>
      <c r="AG200" s="1160">
        <f t="shared" ref="AG200:AG263" si="64">BB200</f>
        <v>0</v>
      </c>
      <c r="AH200" s="656"/>
      <c r="AI200" s="656"/>
      <c r="AJ200" s="388"/>
      <c r="AK200" s="388"/>
      <c r="AL200" s="388"/>
      <c r="AM200" s="388"/>
      <c r="AN200" s="388"/>
      <c r="AO200" s="370"/>
      <c r="AP200" s="370"/>
      <c r="AQ200" s="386"/>
      <c r="AR200" s="551">
        <v>0</v>
      </c>
      <c r="AS200" s="386">
        <v>24.8</v>
      </c>
      <c r="AT200" s="386">
        <v>0</v>
      </c>
      <c r="AU200" s="386">
        <v>0</v>
      </c>
      <c r="AV200" s="636">
        <v>881</v>
      </c>
      <c r="AW200" s="636">
        <v>2013.5</v>
      </c>
      <c r="AX200" s="386">
        <v>0</v>
      </c>
      <c r="AY200" s="551">
        <v>0</v>
      </c>
      <c r="AZ200" s="551">
        <v>0</v>
      </c>
      <c r="BA200" s="551">
        <v>0</v>
      </c>
      <c r="BB200" s="976">
        <v>0</v>
      </c>
      <c r="BC200" s="386">
        <v>1.67</v>
      </c>
      <c r="BD200" s="386">
        <v>2.75</v>
      </c>
      <c r="BE200" s="551">
        <v>0</v>
      </c>
      <c r="BF200" s="386">
        <v>2.0099999999999998</v>
      </c>
      <c r="BG200" s="386">
        <v>0</v>
      </c>
      <c r="BH200" s="551">
        <v>0</v>
      </c>
      <c r="BI200" s="386">
        <v>2.52</v>
      </c>
      <c r="BJ200" s="386">
        <v>57.2</v>
      </c>
      <c r="BK200" s="386">
        <v>5.66</v>
      </c>
      <c r="BL200" s="386">
        <v>5.2</v>
      </c>
      <c r="BM200" s="386">
        <v>0</v>
      </c>
      <c r="BN200" s="386">
        <v>46.2</v>
      </c>
      <c r="BO200" s="386">
        <v>2702.6</v>
      </c>
      <c r="BP200" s="386">
        <v>0</v>
      </c>
      <c r="BQ200" s="615">
        <v>21.08</v>
      </c>
      <c r="BR200" s="615">
        <v>21.78</v>
      </c>
      <c r="BS200" s="615">
        <v>12.53</v>
      </c>
      <c r="BT200" s="615">
        <v>12.63</v>
      </c>
      <c r="BU200" s="614">
        <v>26</v>
      </c>
      <c r="BV200" s="614">
        <v>27</v>
      </c>
      <c r="BW200" s="615">
        <v>1308.0999999999999</v>
      </c>
      <c r="BX200" s="791"/>
      <c r="BY200" s="615">
        <v>0</v>
      </c>
      <c r="BZ200" s="615">
        <v>1.1200000000000001</v>
      </c>
      <c r="CA200" s="615">
        <v>1.1000000000000001</v>
      </c>
      <c r="CB200" s="615">
        <v>8.1</v>
      </c>
      <c r="CC200" s="615">
        <v>8.1</v>
      </c>
      <c r="CD200" s="615">
        <v>15.6</v>
      </c>
      <c r="CE200" s="615">
        <v>32.299999999999997</v>
      </c>
      <c r="CF200" s="615">
        <v>18.899999999999999</v>
      </c>
      <c r="CG200" s="615">
        <v>8.1</v>
      </c>
      <c r="CH200" s="615">
        <v>13.8</v>
      </c>
      <c r="CI200" s="615">
        <v>17.7</v>
      </c>
      <c r="CJ200" s="615">
        <v>13</v>
      </c>
      <c r="CK200" s="615">
        <v>0</v>
      </c>
      <c r="CL200" s="615">
        <v>2.5</v>
      </c>
      <c r="CM200" s="615">
        <v>4.3</v>
      </c>
      <c r="CN200" s="615">
        <v>3265.5</v>
      </c>
      <c r="CO200" s="615">
        <v>1110.7</v>
      </c>
      <c r="CP200" s="615">
        <v>670.5</v>
      </c>
      <c r="CQ200" s="615">
        <v>13.8</v>
      </c>
      <c r="CR200" s="615">
        <v>0.94</v>
      </c>
      <c r="CS200" s="614">
        <v>0</v>
      </c>
      <c r="CT200" s="386">
        <v>16.073</v>
      </c>
      <c r="CU200" s="386">
        <v>57</v>
      </c>
      <c r="CV200" s="499">
        <v>0</v>
      </c>
      <c r="CW200" s="499">
        <v>0</v>
      </c>
      <c r="CX200" s="499">
        <v>0</v>
      </c>
      <c r="CY200" s="499">
        <v>0</v>
      </c>
      <c r="CZ200" s="643">
        <v>393</v>
      </c>
      <c r="DA200" s="643">
        <v>410</v>
      </c>
      <c r="DB200" s="643">
        <v>269</v>
      </c>
      <c r="DC200" s="609">
        <v>1164.8800000000001</v>
      </c>
      <c r="DD200" s="1153">
        <f t="shared" si="54"/>
        <v>-0.16999999999984539</v>
      </c>
      <c r="DE200" s="1154">
        <f t="shared" si="55"/>
        <v>0</v>
      </c>
      <c r="DF200" s="1154">
        <f t="shared" si="56"/>
        <v>159</v>
      </c>
      <c r="DG200" s="1154">
        <f t="shared" si="57"/>
        <v>160</v>
      </c>
      <c r="DH200" s="1155" t="str">
        <f t="shared" si="58"/>
        <v>Palm</v>
      </c>
      <c r="DI200" s="1146">
        <f t="shared" si="59"/>
        <v>141</v>
      </c>
      <c r="DJ200" s="1146">
        <f t="shared" si="60"/>
        <v>0</v>
      </c>
      <c r="DK200" s="1154">
        <f t="shared" si="61"/>
        <v>0</v>
      </c>
      <c r="DL200" s="615"/>
      <c r="DM200" s="615"/>
      <c r="DN200" s="615"/>
      <c r="DO200" s="499"/>
      <c r="DP200" s="499"/>
      <c r="DQ200" s="499"/>
      <c r="DR200" s="499"/>
      <c r="DS200" s="499"/>
      <c r="DT200" s="499"/>
      <c r="DU200" s="499"/>
      <c r="DV200" s="499"/>
      <c r="DW200" s="499"/>
      <c r="DX200" s="499"/>
      <c r="DY200" s="499"/>
      <c r="DZ200" s="499"/>
      <c r="EA200" s="499"/>
      <c r="EB200" s="499"/>
      <c r="EC200" s="499"/>
      <c r="ED200" s="499"/>
      <c r="EE200" s="499"/>
      <c r="EF200" s="499"/>
      <c r="EG200" s="1146">
        <f t="shared" si="63"/>
        <v>21.5</v>
      </c>
      <c r="EH200" s="642">
        <v>2</v>
      </c>
      <c r="EI200" s="615">
        <v>2.5</v>
      </c>
      <c r="EJ200" s="613">
        <v>6.5</v>
      </c>
      <c r="EK200" s="613">
        <v>10.5</v>
      </c>
      <c r="EL200" s="499"/>
      <c r="EM200" s="499"/>
      <c r="EN200" s="499"/>
      <c r="EO200" s="499"/>
      <c r="EP200" s="499"/>
      <c r="EQ200" s="499"/>
      <c r="ER200" s="499"/>
      <c r="ES200" s="388"/>
      <c r="ET200" s="388"/>
      <c r="EV200" s="1167">
        <f t="shared" ref="EV200:EV263" si="65">(EH200+EK200+EJ200+EI200)*MGDtoCFS</f>
        <v>33.2605</v>
      </c>
    </row>
    <row r="201" spans="1:153" s="350" customFormat="1" ht="15" x14ac:dyDescent="0.25">
      <c r="A201" s="632" t="s">
        <v>5</v>
      </c>
      <c r="B201" s="662">
        <v>42927</v>
      </c>
      <c r="C201" s="1132" t="s">
        <v>904</v>
      </c>
      <c r="D201" s="386">
        <v>0</v>
      </c>
      <c r="E201" s="636">
        <v>0</v>
      </c>
      <c r="F201" s="636">
        <v>54</v>
      </c>
      <c r="G201" s="636">
        <v>0.5</v>
      </c>
      <c r="H201" s="386">
        <v>1.7</v>
      </c>
      <c r="I201" s="386">
        <v>16.8</v>
      </c>
      <c r="J201" s="386">
        <v>0</v>
      </c>
      <c r="K201" s="386">
        <v>1.1499999999999999</v>
      </c>
      <c r="L201" s="636">
        <v>0</v>
      </c>
      <c r="M201" s="386">
        <v>18</v>
      </c>
      <c r="N201" s="386">
        <v>1.1599999999999999</v>
      </c>
      <c r="O201" s="386">
        <v>1.2554803659927383</v>
      </c>
      <c r="P201" s="386">
        <v>1.18</v>
      </c>
      <c r="Q201" s="386">
        <v>0.64292359808693145</v>
      </c>
      <c r="R201" s="732">
        <v>1295.4274709302326</v>
      </c>
      <c r="S201" s="386">
        <v>8.17</v>
      </c>
      <c r="T201" s="386">
        <v>8.0299999999999994</v>
      </c>
      <c r="U201" s="386">
        <v>0.71</v>
      </c>
      <c r="V201" s="739">
        <v>0.56000000000000005</v>
      </c>
      <c r="W201" s="739">
        <v>53.78</v>
      </c>
      <c r="X201" s="613">
        <v>53.600000000000009</v>
      </c>
      <c r="Y201" s="367">
        <v>29.2</v>
      </c>
      <c r="Z201" s="636">
        <v>65.88</v>
      </c>
      <c r="AA201" s="636">
        <v>29.3</v>
      </c>
      <c r="AB201" s="636">
        <v>64.42</v>
      </c>
      <c r="AC201" s="1160">
        <f t="shared" si="51"/>
        <v>93.72</v>
      </c>
      <c r="AD201" s="1160">
        <f t="shared" si="52"/>
        <v>144.98483999999999</v>
      </c>
      <c r="AE201" s="1160">
        <f t="shared" si="53"/>
        <v>144.98483999999999</v>
      </c>
      <c r="AF201" s="723"/>
      <c r="AG201" s="1160">
        <f t="shared" si="64"/>
        <v>0</v>
      </c>
      <c r="AH201" s="656"/>
      <c r="AI201" s="656"/>
      <c r="AJ201" s="388"/>
      <c r="AK201" s="388"/>
      <c r="AL201" s="388"/>
      <c r="AM201" s="388"/>
      <c r="AN201" s="388"/>
      <c r="AO201" s="370"/>
      <c r="AP201" s="370"/>
      <c r="AQ201" s="386"/>
      <c r="AR201" s="551">
        <v>0</v>
      </c>
      <c r="AS201" s="386">
        <v>24.6</v>
      </c>
      <c r="AT201" s="386">
        <v>0</v>
      </c>
      <c r="AU201" s="386">
        <v>0</v>
      </c>
      <c r="AV201" s="636">
        <v>889.1</v>
      </c>
      <c r="AW201" s="636">
        <v>1939.6</v>
      </c>
      <c r="AX201" s="386">
        <v>0</v>
      </c>
      <c r="AY201" s="551">
        <v>0</v>
      </c>
      <c r="AZ201" s="551">
        <v>0</v>
      </c>
      <c r="BA201" s="551">
        <v>0</v>
      </c>
      <c r="BB201" s="976">
        <v>0</v>
      </c>
      <c r="BC201" s="386">
        <v>1.5</v>
      </c>
      <c r="BD201" s="386">
        <v>3</v>
      </c>
      <c r="BE201" s="551">
        <v>0</v>
      </c>
      <c r="BF201" s="386">
        <v>1.95</v>
      </c>
      <c r="BG201" s="386">
        <v>0</v>
      </c>
      <c r="BH201" s="551">
        <v>0</v>
      </c>
      <c r="BI201" s="386">
        <v>2.52</v>
      </c>
      <c r="BJ201" s="386">
        <v>55.5</v>
      </c>
      <c r="BK201" s="386">
        <v>4.46</v>
      </c>
      <c r="BL201" s="386">
        <v>7.13</v>
      </c>
      <c r="BM201" s="386">
        <v>0</v>
      </c>
      <c r="BN201" s="386">
        <v>43.9</v>
      </c>
      <c r="BO201" s="386">
        <v>2714</v>
      </c>
      <c r="BP201" s="386">
        <v>0</v>
      </c>
      <c r="BQ201" s="615">
        <v>21.01</v>
      </c>
      <c r="BR201" s="615">
        <v>21.72</v>
      </c>
      <c r="BS201" s="615">
        <v>12.56</v>
      </c>
      <c r="BT201" s="615">
        <v>12.65</v>
      </c>
      <c r="BU201" s="614">
        <v>26.1</v>
      </c>
      <c r="BV201" s="614">
        <v>30.9</v>
      </c>
      <c r="BW201" s="615">
        <v>1262.8</v>
      </c>
      <c r="BX201" s="791"/>
      <c r="BY201" s="615">
        <v>0</v>
      </c>
      <c r="BZ201" s="615">
        <v>1.1100000000000001</v>
      </c>
      <c r="CA201" s="615">
        <v>1.1000000000000001</v>
      </c>
      <c r="CB201" s="615">
        <v>8.1</v>
      </c>
      <c r="CC201" s="615">
        <v>8</v>
      </c>
      <c r="CD201" s="615">
        <v>16.399999999999999</v>
      </c>
      <c r="CE201" s="615">
        <v>32.200000000000003</v>
      </c>
      <c r="CF201" s="615">
        <v>19.899999999999999</v>
      </c>
      <c r="CG201" s="615">
        <v>8.3000000000000007</v>
      </c>
      <c r="CH201" s="615">
        <v>14</v>
      </c>
      <c r="CI201" s="615">
        <v>17.8</v>
      </c>
      <c r="CJ201" s="615">
        <v>13.64</v>
      </c>
      <c r="CK201" s="615">
        <v>0</v>
      </c>
      <c r="CL201" s="615">
        <v>2.9</v>
      </c>
      <c r="CM201" s="615">
        <v>4.3</v>
      </c>
      <c r="CN201" s="615">
        <v>3351.5</v>
      </c>
      <c r="CO201" s="615">
        <v>1135.5999999999999</v>
      </c>
      <c r="CP201" s="615">
        <v>640.70000000000005</v>
      </c>
      <c r="CQ201" s="615">
        <v>13.4</v>
      </c>
      <c r="CR201" s="615">
        <v>0.93</v>
      </c>
      <c r="CS201" s="614">
        <v>0</v>
      </c>
      <c r="CT201" s="386">
        <v>15.785</v>
      </c>
      <c r="CU201" s="386">
        <v>57</v>
      </c>
      <c r="CV201" s="499">
        <v>0</v>
      </c>
      <c r="CW201" s="499">
        <v>0</v>
      </c>
      <c r="CX201" s="499">
        <v>0</v>
      </c>
      <c r="CY201" s="499">
        <v>0</v>
      </c>
      <c r="CZ201" s="643">
        <v>378</v>
      </c>
      <c r="DA201" s="643">
        <v>401</v>
      </c>
      <c r="DB201" s="643">
        <v>247</v>
      </c>
      <c r="DC201" s="609">
        <v>1164.72</v>
      </c>
      <c r="DD201" s="1153">
        <f t="shared" si="54"/>
        <v>-0.16000000000008185</v>
      </c>
      <c r="DE201" s="1154">
        <f t="shared" si="55"/>
        <v>0</v>
      </c>
      <c r="DF201" s="1154">
        <f t="shared" si="56"/>
        <v>137</v>
      </c>
      <c r="DG201" s="1154">
        <f t="shared" si="57"/>
        <v>151</v>
      </c>
      <c r="DH201" s="1155" t="str">
        <f t="shared" si="58"/>
        <v>Palm</v>
      </c>
      <c r="DI201" s="1146">
        <f t="shared" si="59"/>
        <v>154</v>
      </c>
      <c r="DJ201" s="1146">
        <f t="shared" si="60"/>
        <v>0</v>
      </c>
      <c r="DK201" s="1154">
        <f t="shared" si="61"/>
        <v>0</v>
      </c>
      <c r="DL201" s="615"/>
      <c r="DM201" s="615"/>
      <c r="DN201" s="615"/>
      <c r="DO201" s="499"/>
      <c r="DP201" s="499"/>
      <c r="DQ201" s="499"/>
      <c r="DR201" s="499"/>
      <c r="DS201" s="499"/>
      <c r="DT201" s="499"/>
      <c r="DU201" s="499"/>
      <c r="DV201" s="499"/>
      <c r="DW201" s="499"/>
      <c r="DX201" s="499"/>
      <c r="DY201" s="499"/>
      <c r="DZ201" s="499"/>
      <c r="EA201" s="499"/>
      <c r="EB201" s="499"/>
      <c r="EC201" s="499"/>
      <c r="ED201" s="499"/>
      <c r="EE201" s="499"/>
      <c r="EF201" s="499"/>
      <c r="EG201" s="1146">
        <f t="shared" si="63"/>
        <v>21.5</v>
      </c>
      <c r="EH201" s="642">
        <v>2</v>
      </c>
      <c r="EI201" s="615">
        <v>2.5</v>
      </c>
      <c r="EJ201" s="613">
        <v>6.5</v>
      </c>
      <c r="EK201" s="613">
        <v>10.5</v>
      </c>
      <c r="EL201" s="499"/>
      <c r="EM201" s="499"/>
      <c r="EN201" s="499"/>
      <c r="EO201" s="499"/>
      <c r="EP201" s="499"/>
      <c r="EQ201" s="499"/>
      <c r="ER201" s="499"/>
      <c r="ES201" s="388"/>
      <c r="ET201" s="388"/>
      <c r="EV201" s="1167">
        <f t="shared" si="65"/>
        <v>33.2605</v>
      </c>
    </row>
    <row r="202" spans="1:153" s="350" customFormat="1" ht="15" x14ac:dyDescent="0.25">
      <c r="A202" s="632" t="s">
        <v>6</v>
      </c>
      <c r="B202" s="662">
        <v>42928</v>
      </c>
      <c r="C202" s="1132" t="s">
        <v>904</v>
      </c>
      <c r="D202" s="386">
        <v>0</v>
      </c>
      <c r="E202" s="636">
        <v>0</v>
      </c>
      <c r="F202" s="636">
        <v>57</v>
      </c>
      <c r="G202" s="636">
        <v>0.4</v>
      </c>
      <c r="H202" s="386">
        <v>1.75</v>
      </c>
      <c r="I202" s="386">
        <v>16.5</v>
      </c>
      <c r="J202" s="386">
        <v>0</v>
      </c>
      <c r="K202" s="386">
        <v>1.17</v>
      </c>
      <c r="L202" s="636">
        <v>0</v>
      </c>
      <c r="M202" s="386">
        <v>17.899999999999999</v>
      </c>
      <c r="N202" s="386">
        <v>1.18</v>
      </c>
      <c r="O202" s="386">
        <v>1.2266052381788097</v>
      </c>
      <c r="P202" s="386">
        <v>1.1599999999999999</v>
      </c>
      <c r="Q202" s="386">
        <v>0.63327553512998591</v>
      </c>
      <c r="R202" s="732">
        <v>1292.0938953488373</v>
      </c>
      <c r="S202" s="386">
        <v>8.15</v>
      </c>
      <c r="T202" s="386">
        <v>8.0299999999999994</v>
      </c>
      <c r="U202" s="386">
        <v>0.72</v>
      </c>
      <c r="V202" s="739">
        <v>0.56000000000000005</v>
      </c>
      <c r="W202" s="739">
        <v>53.960000000000008</v>
      </c>
      <c r="X202" s="613">
        <v>53.600000000000009</v>
      </c>
      <c r="Y202" s="367">
        <v>29.3</v>
      </c>
      <c r="Z202" s="636">
        <v>64.42</v>
      </c>
      <c r="AA202" s="636">
        <v>29.28</v>
      </c>
      <c r="AB202" s="636">
        <v>65.86</v>
      </c>
      <c r="AC202" s="1160">
        <f t="shared" si="51"/>
        <v>95.14</v>
      </c>
      <c r="AD202" s="1160">
        <f t="shared" si="52"/>
        <v>147.18158</v>
      </c>
      <c r="AE202" s="1160">
        <f t="shared" si="53"/>
        <v>147.18158</v>
      </c>
      <c r="AF202" s="723"/>
      <c r="AG202" s="1160">
        <f t="shared" si="64"/>
        <v>0</v>
      </c>
      <c r="AH202" s="656"/>
      <c r="AI202" s="656"/>
      <c r="AJ202" s="388"/>
      <c r="AK202" s="388"/>
      <c r="AL202" s="388"/>
      <c r="AM202" s="388"/>
      <c r="AN202" s="388"/>
      <c r="AO202" s="370"/>
      <c r="AP202" s="370"/>
      <c r="AQ202" s="386"/>
      <c r="AR202" s="551">
        <v>0</v>
      </c>
      <c r="AS202" s="386">
        <v>27.7</v>
      </c>
      <c r="AT202" s="386">
        <v>0</v>
      </c>
      <c r="AU202" s="386">
        <v>0</v>
      </c>
      <c r="AV202" s="636">
        <v>740.4</v>
      </c>
      <c r="AW202" s="636">
        <v>2103.4</v>
      </c>
      <c r="AX202" s="386">
        <v>0</v>
      </c>
      <c r="AY202" s="551">
        <v>0</v>
      </c>
      <c r="AZ202" s="551">
        <v>0</v>
      </c>
      <c r="BA202" s="551">
        <v>0</v>
      </c>
      <c r="BB202" s="976">
        <v>0</v>
      </c>
      <c r="BC202" s="386">
        <v>1.51</v>
      </c>
      <c r="BD202" s="386">
        <v>3</v>
      </c>
      <c r="BE202" s="551">
        <v>0</v>
      </c>
      <c r="BF202" s="386">
        <v>2.0099999999999998</v>
      </c>
      <c r="BG202" s="386">
        <v>0</v>
      </c>
      <c r="BH202" s="551">
        <v>0</v>
      </c>
      <c r="BI202" s="386">
        <v>2.52</v>
      </c>
      <c r="BJ202" s="386">
        <v>57</v>
      </c>
      <c r="BK202" s="386">
        <v>5.22</v>
      </c>
      <c r="BL202" s="386">
        <v>5.16</v>
      </c>
      <c r="BM202" s="386">
        <v>0</v>
      </c>
      <c r="BN202" s="386">
        <v>46.5</v>
      </c>
      <c r="BO202" s="386">
        <v>2775</v>
      </c>
      <c r="BP202" s="386">
        <v>0</v>
      </c>
      <c r="BQ202" s="615">
        <v>21.18</v>
      </c>
      <c r="BR202" s="615">
        <v>21.89</v>
      </c>
      <c r="BS202" s="615">
        <v>12.48</v>
      </c>
      <c r="BT202" s="615">
        <v>12.57</v>
      </c>
      <c r="BU202" s="614">
        <v>25.9</v>
      </c>
      <c r="BV202" s="614">
        <v>30</v>
      </c>
      <c r="BW202" s="615">
        <v>1291.9000000000001</v>
      </c>
      <c r="BX202" s="791"/>
      <c r="BY202" s="615">
        <v>0</v>
      </c>
      <c r="BZ202" s="615">
        <v>1.08</v>
      </c>
      <c r="CA202" s="615">
        <v>1.1000000000000001</v>
      </c>
      <c r="CB202" s="615">
        <v>8.1</v>
      </c>
      <c r="CC202" s="615">
        <v>8.1</v>
      </c>
      <c r="CD202" s="615">
        <v>14.9</v>
      </c>
      <c r="CE202" s="615">
        <v>32.4</v>
      </c>
      <c r="CF202" s="615">
        <v>18.100000000000001</v>
      </c>
      <c r="CG202" s="615">
        <v>8.9</v>
      </c>
      <c r="CH202" s="615">
        <v>14.8</v>
      </c>
      <c r="CI202" s="615">
        <v>18.8</v>
      </c>
      <c r="CJ202" s="615">
        <v>8.9</v>
      </c>
      <c r="CK202" s="615">
        <v>311.39999999999998</v>
      </c>
      <c r="CL202" s="615">
        <v>2.9</v>
      </c>
      <c r="CM202" s="615">
        <v>4.7</v>
      </c>
      <c r="CN202" s="615">
        <v>3339.7</v>
      </c>
      <c r="CO202" s="615">
        <v>1173.3</v>
      </c>
      <c r="CP202" s="615">
        <v>661.4</v>
      </c>
      <c r="CQ202" s="615">
        <v>14</v>
      </c>
      <c r="CR202" s="615">
        <v>0.98</v>
      </c>
      <c r="CS202" s="614">
        <v>0</v>
      </c>
      <c r="CT202" s="386">
        <v>16.788</v>
      </c>
      <c r="CU202" s="386">
        <v>57</v>
      </c>
      <c r="CV202" s="499">
        <v>0</v>
      </c>
      <c r="CW202" s="499">
        <v>0</v>
      </c>
      <c r="CX202" s="499">
        <v>0</v>
      </c>
      <c r="CY202" s="499">
        <v>0</v>
      </c>
      <c r="CZ202" s="643">
        <v>359</v>
      </c>
      <c r="DA202" s="643">
        <v>368</v>
      </c>
      <c r="DB202" s="643">
        <v>235</v>
      </c>
      <c r="DC202" s="609">
        <v>1164.5899999999999</v>
      </c>
      <c r="DD202" s="1153">
        <f t="shared" si="54"/>
        <v>-0.13000000000010914</v>
      </c>
      <c r="DE202" s="1154">
        <f t="shared" si="55"/>
        <v>0</v>
      </c>
      <c r="DF202" s="1154">
        <f t="shared" si="56"/>
        <v>125</v>
      </c>
      <c r="DG202" s="1154">
        <f t="shared" si="57"/>
        <v>118</v>
      </c>
      <c r="DH202" s="1155" t="str">
        <f t="shared" si="58"/>
        <v>Aub</v>
      </c>
      <c r="DI202" s="1146">
        <f t="shared" si="59"/>
        <v>133</v>
      </c>
      <c r="DJ202" s="1146">
        <f t="shared" si="60"/>
        <v>0</v>
      </c>
      <c r="DK202" s="1154">
        <f t="shared" si="61"/>
        <v>0</v>
      </c>
      <c r="DL202" s="615"/>
      <c r="DM202" s="615"/>
      <c r="DN202" s="615"/>
      <c r="DO202" s="499"/>
      <c r="DP202" s="499"/>
      <c r="DQ202" s="499"/>
      <c r="DR202" s="499"/>
      <c r="DS202" s="499"/>
      <c r="DT202" s="499"/>
      <c r="DU202" s="499"/>
      <c r="DV202" s="499"/>
      <c r="DW202" s="499"/>
      <c r="DX202" s="499"/>
      <c r="DY202" s="499"/>
      <c r="DZ202" s="499"/>
      <c r="EA202" s="499"/>
      <c r="EB202" s="499"/>
      <c r="EC202" s="499"/>
      <c r="ED202" s="499"/>
      <c r="EE202" s="499"/>
      <c r="EF202" s="499"/>
      <c r="EG202" s="1146">
        <f t="shared" si="63"/>
        <v>21.5</v>
      </c>
      <c r="EH202" s="642">
        <v>2</v>
      </c>
      <c r="EI202" s="615">
        <v>2.5</v>
      </c>
      <c r="EJ202" s="613">
        <v>6.5</v>
      </c>
      <c r="EK202" s="613">
        <v>10.5</v>
      </c>
      <c r="EL202" s="499"/>
      <c r="EM202" s="499"/>
      <c r="EN202" s="499"/>
      <c r="EO202" s="499"/>
      <c r="EP202" s="499"/>
      <c r="EQ202" s="499"/>
      <c r="ER202" s="499"/>
      <c r="ES202" s="388"/>
      <c r="ET202" s="388"/>
      <c r="EV202" s="1167">
        <f t="shared" si="65"/>
        <v>33.2605</v>
      </c>
    </row>
    <row r="203" spans="1:153" s="350" customFormat="1" ht="15" x14ac:dyDescent="0.25">
      <c r="A203" s="632" t="s">
        <v>7</v>
      </c>
      <c r="B203" s="662">
        <v>42929</v>
      </c>
      <c r="C203" s="1132" t="s">
        <v>904</v>
      </c>
      <c r="D203" s="386">
        <v>0</v>
      </c>
      <c r="E203" s="636">
        <v>0</v>
      </c>
      <c r="F203" s="636">
        <v>53.4</v>
      </c>
      <c r="G203" s="636">
        <v>0.4</v>
      </c>
      <c r="H203" s="386">
        <v>1.71</v>
      </c>
      <c r="I203" s="386">
        <v>16</v>
      </c>
      <c r="J203" s="386">
        <v>0</v>
      </c>
      <c r="K203" s="386">
        <v>1.21</v>
      </c>
      <c r="L203" s="636">
        <v>0</v>
      </c>
      <c r="M203" s="386">
        <v>17.8</v>
      </c>
      <c r="N203" s="386">
        <v>1.18</v>
      </c>
      <c r="O203" s="386">
        <v>1.2639572352808144</v>
      </c>
      <c r="P203" s="386">
        <v>1.1599999999999999</v>
      </c>
      <c r="Q203" s="386">
        <v>0.64380595919565542</v>
      </c>
      <c r="R203" s="732">
        <v>1319.7625726744188</v>
      </c>
      <c r="S203" s="386">
        <v>8.3000000000000007</v>
      </c>
      <c r="T203" s="386">
        <v>8.2200000000000006</v>
      </c>
      <c r="U203" s="386">
        <v>0.75</v>
      </c>
      <c r="V203" s="739">
        <v>0.61</v>
      </c>
      <c r="W203" s="739">
        <v>54.5</v>
      </c>
      <c r="X203" s="613">
        <v>53.960000000000008</v>
      </c>
      <c r="Y203" s="367">
        <v>29.28</v>
      </c>
      <c r="Z203" s="636">
        <v>65.86</v>
      </c>
      <c r="AA203" s="636">
        <v>30.52</v>
      </c>
      <c r="AB203" s="636">
        <v>64.510000000000005</v>
      </c>
      <c r="AC203" s="1160">
        <f t="shared" si="51"/>
        <v>95.03</v>
      </c>
      <c r="AD203" s="1160">
        <f t="shared" si="52"/>
        <v>147.01140999999998</v>
      </c>
      <c r="AE203" s="1160">
        <f t="shared" si="53"/>
        <v>147.01140999999998</v>
      </c>
      <c r="AF203" s="723"/>
      <c r="AG203" s="1160">
        <f t="shared" si="64"/>
        <v>0</v>
      </c>
      <c r="AH203" s="656"/>
      <c r="AI203" s="656"/>
      <c r="AJ203" s="388"/>
      <c r="AK203" s="388"/>
      <c r="AL203" s="388"/>
      <c r="AM203" s="388"/>
      <c r="AN203" s="388"/>
      <c r="AO203" s="370"/>
      <c r="AP203" s="370"/>
      <c r="AQ203" s="386"/>
      <c r="AR203" s="551">
        <v>0</v>
      </c>
      <c r="AS203" s="386">
        <v>26.7</v>
      </c>
      <c r="AT203" s="386">
        <v>0</v>
      </c>
      <c r="AU203" s="386">
        <v>0</v>
      </c>
      <c r="AV203" s="636">
        <v>905.6</v>
      </c>
      <c r="AW203" s="636">
        <v>1984.9</v>
      </c>
      <c r="AX203" s="386">
        <v>0</v>
      </c>
      <c r="AY203" s="551">
        <v>0</v>
      </c>
      <c r="AZ203" s="551">
        <v>0</v>
      </c>
      <c r="BA203" s="551">
        <v>0</v>
      </c>
      <c r="BB203" s="976">
        <v>0</v>
      </c>
      <c r="BC203" s="386">
        <v>1.5</v>
      </c>
      <c r="BD203" s="386">
        <v>3</v>
      </c>
      <c r="BE203" s="551">
        <v>0</v>
      </c>
      <c r="BF203" s="386">
        <v>2.0099999999999998</v>
      </c>
      <c r="BG203" s="386">
        <v>0</v>
      </c>
      <c r="BH203" s="551">
        <v>0</v>
      </c>
      <c r="BI203" s="386">
        <v>2.52</v>
      </c>
      <c r="BJ203" s="386">
        <v>55.7</v>
      </c>
      <c r="BK203" s="386">
        <v>5.18</v>
      </c>
      <c r="BL203" s="386">
        <v>5.21</v>
      </c>
      <c r="BM203" s="386">
        <v>0</v>
      </c>
      <c r="BN203" s="386">
        <v>45.2</v>
      </c>
      <c r="BO203" s="386">
        <v>2465.4</v>
      </c>
      <c r="BP203" s="386">
        <v>1.8</v>
      </c>
      <c r="BQ203" s="615">
        <v>21.09</v>
      </c>
      <c r="BR203" s="615">
        <v>21.78</v>
      </c>
      <c r="BS203" s="615">
        <v>13.07</v>
      </c>
      <c r="BT203" s="615">
        <v>13.17</v>
      </c>
      <c r="BU203" s="614">
        <v>27</v>
      </c>
      <c r="BV203" s="614">
        <v>32.200000000000003</v>
      </c>
      <c r="BW203" s="615">
        <v>1281.9000000000001</v>
      </c>
      <c r="BX203" s="791"/>
      <c r="BY203" s="615">
        <v>0</v>
      </c>
      <c r="BZ203" s="615">
        <v>1.1200000000000001</v>
      </c>
      <c r="CA203" s="615">
        <v>1</v>
      </c>
      <c r="CB203" s="615">
        <v>8.1</v>
      </c>
      <c r="CC203" s="615">
        <v>8.1</v>
      </c>
      <c r="CD203" s="615">
        <v>15</v>
      </c>
      <c r="CE203" s="615">
        <v>32.299999999999997</v>
      </c>
      <c r="CF203" s="615">
        <v>19.100000000000001</v>
      </c>
      <c r="CG203" s="615">
        <v>8.4</v>
      </c>
      <c r="CH203" s="615">
        <v>14</v>
      </c>
      <c r="CI203" s="615">
        <v>18.5</v>
      </c>
      <c r="CJ203" s="615">
        <v>13.08</v>
      </c>
      <c r="CK203" s="615">
        <v>588.1</v>
      </c>
      <c r="CL203" s="615">
        <v>3.7</v>
      </c>
      <c r="CM203" s="615">
        <v>4.7</v>
      </c>
      <c r="CN203" s="615">
        <v>3212.5</v>
      </c>
      <c r="CO203" s="615">
        <v>1122.8</v>
      </c>
      <c r="CP203" s="615">
        <v>658</v>
      </c>
      <c r="CQ203" s="615">
        <v>14.1</v>
      </c>
      <c r="CR203" s="615">
        <v>1</v>
      </c>
      <c r="CS203" s="614">
        <v>0</v>
      </c>
      <c r="CT203" s="386">
        <v>16.96</v>
      </c>
      <c r="CU203" s="386">
        <v>57</v>
      </c>
      <c r="CV203" s="499">
        <v>0</v>
      </c>
      <c r="CW203" s="499">
        <v>0</v>
      </c>
      <c r="CX203" s="499">
        <v>0</v>
      </c>
      <c r="CY203" s="499">
        <v>0</v>
      </c>
      <c r="CZ203" s="643">
        <v>359</v>
      </c>
      <c r="DA203" s="643">
        <v>363</v>
      </c>
      <c r="DB203" s="643">
        <v>215</v>
      </c>
      <c r="DC203" s="609">
        <v>1164.45</v>
      </c>
      <c r="DD203" s="1153">
        <f t="shared" si="54"/>
        <v>-0.13999999999987267</v>
      </c>
      <c r="DE203" s="1154">
        <f t="shared" si="55"/>
        <v>0</v>
      </c>
      <c r="DF203" s="1154">
        <f t="shared" si="56"/>
        <v>105</v>
      </c>
      <c r="DG203" s="1154">
        <f t="shared" si="57"/>
        <v>113</v>
      </c>
      <c r="DH203" s="1155" t="str">
        <f t="shared" si="58"/>
        <v>Palm</v>
      </c>
      <c r="DI203" s="1146">
        <f t="shared" si="59"/>
        <v>148</v>
      </c>
      <c r="DJ203" s="1146">
        <f t="shared" si="60"/>
        <v>0</v>
      </c>
      <c r="DK203" s="1154">
        <f t="shared" si="61"/>
        <v>0</v>
      </c>
      <c r="DL203" s="615"/>
      <c r="DM203" s="615"/>
      <c r="DN203" s="615"/>
      <c r="DO203" s="499"/>
      <c r="DP203" s="499"/>
      <c r="DQ203" s="499"/>
      <c r="DR203" s="499"/>
      <c r="DS203" s="499"/>
      <c r="DT203" s="499"/>
      <c r="DU203" s="499"/>
      <c r="DV203" s="499"/>
      <c r="DW203" s="499"/>
      <c r="DX203" s="499"/>
      <c r="DY203" s="499"/>
      <c r="DZ203" s="499"/>
      <c r="EA203" s="499"/>
      <c r="EB203" s="499"/>
      <c r="EC203" s="499"/>
      <c r="ED203" s="499"/>
      <c r="EE203" s="499"/>
      <c r="EF203" s="499"/>
      <c r="EG203" s="1146">
        <f t="shared" si="63"/>
        <v>21.5</v>
      </c>
      <c r="EH203" s="642">
        <v>2</v>
      </c>
      <c r="EI203" s="615">
        <v>2.5</v>
      </c>
      <c r="EJ203" s="613">
        <v>6.5</v>
      </c>
      <c r="EK203" s="613">
        <v>10.5</v>
      </c>
      <c r="EL203" s="499"/>
      <c r="EM203" s="499"/>
      <c r="EN203" s="499"/>
      <c r="EO203" s="499"/>
      <c r="EP203" s="499"/>
      <c r="EQ203" s="499"/>
      <c r="ER203" s="499"/>
      <c r="ES203" s="388"/>
      <c r="ET203" s="388"/>
      <c r="EV203" s="1167">
        <f t="shared" si="65"/>
        <v>33.2605</v>
      </c>
    </row>
    <row r="204" spans="1:153" s="350" customFormat="1" ht="15" x14ac:dyDescent="0.25">
      <c r="A204" s="632" t="s">
        <v>8</v>
      </c>
      <c r="B204" s="662">
        <v>42930</v>
      </c>
      <c r="C204" s="1132" t="s">
        <v>904</v>
      </c>
      <c r="D204" s="386">
        <v>0</v>
      </c>
      <c r="E204" s="636">
        <v>0</v>
      </c>
      <c r="F204" s="636">
        <v>57</v>
      </c>
      <c r="G204" s="636">
        <v>0.4</v>
      </c>
      <c r="H204" s="386">
        <v>1.69</v>
      </c>
      <c r="I204" s="386">
        <v>14.8</v>
      </c>
      <c r="J204" s="386">
        <v>0</v>
      </c>
      <c r="K204" s="386">
        <v>1.25</v>
      </c>
      <c r="L204" s="636">
        <v>0</v>
      </c>
      <c r="M204" s="386">
        <v>17.8</v>
      </c>
      <c r="N204" s="386">
        <v>1.21</v>
      </c>
      <c r="O204" s="386">
        <v>1.2679407730518457</v>
      </c>
      <c r="P204" s="386">
        <v>1.18</v>
      </c>
      <c r="Q204" s="386">
        <v>0.64740988865817617</v>
      </c>
      <c r="R204" s="732">
        <v>1327.7631540697676</v>
      </c>
      <c r="S204" s="386">
        <v>8.14</v>
      </c>
      <c r="T204" s="386">
        <v>8.14</v>
      </c>
      <c r="U204" s="386">
        <v>0.83</v>
      </c>
      <c r="V204" s="739">
        <v>0.59</v>
      </c>
      <c r="W204" s="739">
        <v>53.600000000000009</v>
      </c>
      <c r="X204" s="613">
        <v>53.600000000000009</v>
      </c>
      <c r="Y204" s="367">
        <v>30.52</v>
      </c>
      <c r="Z204" s="636">
        <v>64.510000000000005</v>
      </c>
      <c r="AA204" s="636">
        <v>32.9</v>
      </c>
      <c r="AB204" s="636">
        <v>63.19</v>
      </c>
      <c r="AC204" s="1160">
        <f t="shared" ref="AC204:AC267" si="66">AA204+AB204</f>
        <v>96.09</v>
      </c>
      <c r="AD204" s="1160">
        <f t="shared" ref="AD204:AD267" si="67">AC204*1.547</f>
        <v>148.65123</v>
      </c>
      <c r="AE204" s="1160">
        <f t="shared" ref="AE204:AE267" si="68">AD204-(L204*1.547)</f>
        <v>148.65123</v>
      </c>
      <c r="AF204" s="723"/>
      <c r="AG204" s="1160">
        <f t="shared" si="64"/>
        <v>0</v>
      </c>
      <c r="AH204" s="656"/>
      <c r="AI204" s="656"/>
      <c r="AJ204" s="388"/>
      <c r="AK204" s="388"/>
      <c r="AL204" s="388"/>
      <c r="AM204" s="388"/>
      <c r="AN204" s="388"/>
      <c r="AO204" s="370"/>
      <c r="AP204" s="370"/>
      <c r="AQ204" s="386"/>
      <c r="AR204" s="551">
        <v>0</v>
      </c>
      <c r="AS204" s="386">
        <v>25.7</v>
      </c>
      <c r="AT204" s="386">
        <v>0</v>
      </c>
      <c r="AU204" s="386">
        <v>0</v>
      </c>
      <c r="AV204" s="636">
        <v>811.7</v>
      </c>
      <c r="AW204" s="636">
        <v>1931.8</v>
      </c>
      <c r="AX204" s="386">
        <v>0.2</v>
      </c>
      <c r="AY204" s="551">
        <v>0</v>
      </c>
      <c r="AZ204" s="551">
        <v>0</v>
      </c>
      <c r="BA204" s="551">
        <v>0</v>
      </c>
      <c r="BB204" s="976">
        <v>0</v>
      </c>
      <c r="BC204" s="386">
        <v>1.73</v>
      </c>
      <c r="BD204" s="386">
        <v>3.07</v>
      </c>
      <c r="BE204" s="551">
        <v>0</v>
      </c>
      <c r="BF204" s="386">
        <v>2.0099999999999998</v>
      </c>
      <c r="BG204" s="386">
        <v>0</v>
      </c>
      <c r="BH204" s="551">
        <v>0</v>
      </c>
      <c r="BI204" s="386">
        <v>2.52</v>
      </c>
      <c r="BJ204" s="386">
        <v>54.2</v>
      </c>
      <c r="BK204" s="386">
        <v>5.31</v>
      </c>
      <c r="BL204" s="386">
        <v>5.53</v>
      </c>
      <c r="BM204" s="386">
        <v>0</v>
      </c>
      <c r="BN204" s="386">
        <v>43.3</v>
      </c>
      <c r="BO204" s="386">
        <v>2546.6</v>
      </c>
      <c r="BP204" s="386">
        <v>1.7</v>
      </c>
      <c r="BQ204" s="615">
        <v>20.79</v>
      </c>
      <c r="BR204" s="615">
        <v>21.49</v>
      </c>
      <c r="BS204" s="615">
        <v>14.37</v>
      </c>
      <c r="BT204" s="615">
        <v>14.47</v>
      </c>
      <c r="BU204" s="614">
        <v>29.5</v>
      </c>
      <c r="BV204" s="614">
        <v>35.700000000000003</v>
      </c>
      <c r="BW204" s="615">
        <v>1387</v>
      </c>
      <c r="BX204" s="791"/>
      <c r="BY204" s="615">
        <v>0</v>
      </c>
      <c r="BZ204" s="615">
        <v>1.1200000000000001</v>
      </c>
      <c r="CA204" s="615">
        <v>1</v>
      </c>
      <c r="CB204" s="615">
        <v>8.1999999999999993</v>
      </c>
      <c r="CC204" s="615">
        <v>8.1999999999999993</v>
      </c>
      <c r="CD204" s="615">
        <v>15.6</v>
      </c>
      <c r="CE204" s="615">
        <v>32.4</v>
      </c>
      <c r="CF204" s="615">
        <v>18.399999999999999</v>
      </c>
      <c r="CG204" s="615">
        <v>7</v>
      </c>
      <c r="CH204" s="615">
        <v>12.5</v>
      </c>
      <c r="CI204" s="615">
        <v>17</v>
      </c>
      <c r="CJ204" s="615">
        <v>12.67</v>
      </c>
      <c r="CK204" s="615">
        <v>378.7</v>
      </c>
      <c r="CL204" s="615">
        <v>3.9</v>
      </c>
      <c r="CM204" s="615">
        <v>5.9</v>
      </c>
      <c r="CN204" s="615">
        <v>3549.5</v>
      </c>
      <c r="CO204" s="615">
        <v>1153.3</v>
      </c>
      <c r="CP204" s="615">
        <v>663.7</v>
      </c>
      <c r="CQ204" s="615">
        <v>14</v>
      </c>
      <c r="CR204" s="615">
        <v>1</v>
      </c>
      <c r="CS204" s="614">
        <v>0</v>
      </c>
      <c r="CT204" s="386">
        <v>17.603000000000002</v>
      </c>
      <c r="CU204" s="386">
        <v>57</v>
      </c>
      <c r="CV204" s="499">
        <v>0</v>
      </c>
      <c r="CW204" s="499">
        <v>0</v>
      </c>
      <c r="CX204" s="499">
        <v>0</v>
      </c>
      <c r="CY204" s="499">
        <v>0</v>
      </c>
      <c r="CZ204" s="643">
        <v>342</v>
      </c>
      <c r="DA204" s="643">
        <v>363</v>
      </c>
      <c r="DB204" s="643">
        <v>213</v>
      </c>
      <c r="DC204" s="609">
        <v>1164.33</v>
      </c>
      <c r="DD204" s="1153">
        <f t="shared" si="54"/>
        <v>-0.12000000000011823</v>
      </c>
      <c r="DE204" s="1154">
        <f t="shared" si="55"/>
        <v>0</v>
      </c>
      <c r="DF204" s="1154">
        <f t="shared" si="56"/>
        <v>103</v>
      </c>
      <c r="DG204" s="1154">
        <f t="shared" si="57"/>
        <v>113</v>
      </c>
      <c r="DH204" s="1155" t="str">
        <f t="shared" si="58"/>
        <v>Palm</v>
      </c>
      <c r="DI204" s="1146">
        <f t="shared" si="59"/>
        <v>150</v>
      </c>
      <c r="DJ204" s="1146">
        <f t="shared" si="60"/>
        <v>0</v>
      </c>
      <c r="DK204" s="1154">
        <f t="shared" si="61"/>
        <v>0</v>
      </c>
      <c r="DL204" s="615"/>
      <c r="DM204" s="615"/>
      <c r="DN204" s="615"/>
      <c r="DO204" s="499"/>
      <c r="DP204" s="499"/>
      <c r="DQ204" s="499"/>
      <c r="DR204" s="499"/>
      <c r="DS204" s="499"/>
      <c r="DT204" s="499"/>
      <c r="DU204" s="499"/>
      <c r="DV204" s="499"/>
      <c r="DW204" s="499"/>
      <c r="DX204" s="499"/>
      <c r="DY204" s="499"/>
      <c r="DZ204" s="499"/>
      <c r="EA204" s="499"/>
      <c r="EB204" s="499"/>
      <c r="EC204" s="499"/>
      <c r="ED204" s="499"/>
      <c r="EE204" s="499"/>
      <c r="EF204" s="499"/>
      <c r="EG204" s="1146">
        <f t="shared" si="63"/>
        <v>25.5</v>
      </c>
      <c r="EH204" s="642">
        <v>5</v>
      </c>
      <c r="EI204" s="615">
        <v>2.5</v>
      </c>
      <c r="EJ204" s="613">
        <v>7</v>
      </c>
      <c r="EK204" s="613">
        <v>11</v>
      </c>
      <c r="EL204" s="499"/>
      <c r="EM204" s="499"/>
      <c r="EN204" s="499"/>
      <c r="EO204" s="499"/>
      <c r="EP204" s="499"/>
      <c r="EQ204" s="499"/>
      <c r="ER204" s="499"/>
      <c r="ES204" s="388"/>
      <c r="ET204" s="388"/>
      <c r="EV204" s="1167">
        <f t="shared" si="65"/>
        <v>39.448499999999996</v>
      </c>
    </row>
    <row r="205" spans="1:153" s="350" customFormat="1" ht="15" x14ac:dyDescent="0.25">
      <c r="A205" s="632" t="s">
        <v>9</v>
      </c>
      <c r="B205" s="662">
        <v>42931</v>
      </c>
      <c r="C205" s="1132" t="s">
        <v>904</v>
      </c>
      <c r="D205" s="386">
        <v>0</v>
      </c>
      <c r="E205" s="636">
        <v>0</v>
      </c>
      <c r="F205" s="636">
        <v>59</v>
      </c>
      <c r="G205" s="636">
        <v>0.4</v>
      </c>
      <c r="H205" s="386">
        <v>1.77</v>
      </c>
      <c r="I205" s="386">
        <v>14.3</v>
      </c>
      <c r="J205" s="386">
        <v>0</v>
      </c>
      <c r="K205" s="386">
        <v>1.36</v>
      </c>
      <c r="L205" s="636">
        <v>0</v>
      </c>
      <c r="M205" s="386">
        <v>17.100000000000001</v>
      </c>
      <c r="N205" s="386">
        <v>1.22</v>
      </c>
      <c r="O205" s="386">
        <v>1.2776496925956016</v>
      </c>
      <c r="P205" s="386">
        <v>1.22</v>
      </c>
      <c r="Q205" s="386">
        <v>0.64226525092830378</v>
      </c>
      <c r="R205" s="732">
        <v>1359.4321220930233</v>
      </c>
      <c r="S205" s="386">
        <v>8.1300000000000008</v>
      </c>
      <c r="T205" s="386">
        <v>8.07</v>
      </c>
      <c r="U205" s="386">
        <v>0.77</v>
      </c>
      <c r="V205" s="739">
        <v>0.67</v>
      </c>
      <c r="W205" s="739">
        <v>53.960000000000008</v>
      </c>
      <c r="X205" s="613">
        <v>53.960000000000008</v>
      </c>
      <c r="Y205" s="367">
        <v>32.9</v>
      </c>
      <c r="Z205" s="636">
        <v>63.19</v>
      </c>
      <c r="AA205" s="636">
        <v>32.9</v>
      </c>
      <c r="AB205" s="636">
        <v>64.84</v>
      </c>
      <c r="AC205" s="1160">
        <f t="shared" si="66"/>
        <v>97.740000000000009</v>
      </c>
      <c r="AD205" s="1160">
        <f t="shared" si="67"/>
        <v>151.20377999999999</v>
      </c>
      <c r="AE205" s="1160">
        <f t="shared" si="68"/>
        <v>151.20377999999999</v>
      </c>
      <c r="AF205" s="723"/>
      <c r="AG205" s="1160">
        <f t="shared" si="64"/>
        <v>0</v>
      </c>
      <c r="AH205" s="656"/>
      <c r="AI205" s="656"/>
      <c r="AJ205" s="388"/>
      <c r="AK205" s="388"/>
      <c r="AL205" s="388"/>
      <c r="AM205" s="388"/>
      <c r="AN205" s="388"/>
      <c r="AO205" s="370"/>
      <c r="AP205" s="370"/>
      <c r="AQ205" s="386"/>
      <c r="AR205" s="551">
        <v>0</v>
      </c>
      <c r="AS205" s="386">
        <v>25.1</v>
      </c>
      <c r="AT205" s="386">
        <v>0</v>
      </c>
      <c r="AU205" s="386">
        <v>0</v>
      </c>
      <c r="AV205" s="636">
        <v>965.7</v>
      </c>
      <c r="AW205" s="636">
        <v>1911.8</v>
      </c>
      <c r="AX205" s="386">
        <v>0</v>
      </c>
      <c r="AY205" s="551">
        <v>0</v>
      </c>
      <c r="AZ205" s="551">
        <v>0</v>
      </c>
      <c r="BA205" s="551">
        <v>0</v>
      </c>
      <c r="BB205" s="976">
        <v>0</v>
      </c>
      <c r="BC205" s="386">
        <v>1.83</v>
      </c>
      <c r="BD205" s="386">
        <v>3.17</v>
      </c>
      <c r="BE205" s="551">
        <v>0</v>
      </c>
      <c r="BF205" s="386">
        <v>2.0099999999999998</v>
      </c>
      <c r="BG205" s="386">
        <v>0</v>
      </c>
      <c r="BH205" s="551">
        <v>0</v>
      </c>
      <c r="BI205" s="386">
        <v>2.52</v>
      </c>
      <c r="BJ205" s="386">
        <v>55.5</v>
      </c>
      <c r="BK205" s="386">
        <v>5.49</v>
      </c>
      <c r="BL205" s="386">
        <v>5.47</v>
      </c>
      <c r="BM205" s="386">
        <v>0</v>
      </c>
      <c r="BN205" s="386">
        <v>44.5</v>
      </c>
      <c r="BO205" s="386">
        <v>2511.9</v>
      </c>
      <c r="BP205" s="386">
        <v>1.6</v>
      </c>
      <c r="BQ205" s="615">
        <v>21.67</v>
      </c>
      <c r="BR205" s="615">
        <v>22.37</v>
      </c>
      <c r="BS205" s="615">
        <v>14.37</v>
      </c>
      <c r="BT205" s="615">
        <v>14.49</v>
      </c>
      <c r="BU205" s="614">
        <v>29.5</v>
      </c>
      <c r="BV205" s="614">
        <v>32</v>
      </c>
      <c r="BW205" s="615">
        <v>1332.8</v>
      </c>
      <c r="BX205" s="791"/>
      <c r="BY205" s="615">
        <v>0</v>
      </c>
      <c r="BZ205" s="615">
        <v>1.1299999999999999</v>
      </c>
      <c r="CA205" s="615">
        <v>1.1000000000000001</v>
      </c>
      <c r="CB205" s="615">
        <v>8.1</v>
      </c>
      <c r="CC205" s="615">
        <v>8.1</v>
      </c>
      <c r="CD205" s="615">
        <v>15.4</v>
      </c>
      <c r="CE205" s="615">
        <v>32.5</v>
      </c>
      <c r="CF205" s="615">
        <v>19.600000000000001</v>
      </c>
      <c r="CG205" s="615">
        <v>5.9</v>
      </c>
      <c r="CH205" s="615">
        <v>11.3</v>
      </c>
      <c r="CI205" s="615">
        <v>15.4</v>
      </c>
      <c r="CJ205" s="615">
        <v>12.62</v>
      </c>
      <c r="CK205" s="615">
        <v>0</v>
      </c>
      <c r="CL205" s="615">
        <v>3.5</v>
      </c>
      <c r="CM205" s="615">
        <v>5.2</v>
      </c>
      <c r="CN205" s="615">
        <v>3508.1</v>
      </c>
      <c r="CO205" s="615">
        <v>1154.4000000000001</v>
      </c>
      <c r="CP205" s="615">
        <v>617.70000000000005</v>
      </c>
      <c r="CQ205" s="615">
        <v>13.3</v>
      </c>
      <c r="CR205" s="615">
        <v>0.95</v>
      </c>
      <c r="CS205" s="614">
        <v>0</v>
      </c>
      <c r="CT205" s="386">
        <v>16.725999999999999</v>
      </c>
      <c r="CU205" s="386">
        <v>57</v>
      </c>
      <c r="CV205" s="499">
        <v>0</v>
      </c>
      <c r="CW205" s="499">
        <v>0</v>
      </c>
      <c r="CX205" s="499">
        <v>0</v>
      </c>
      <c r="CY205" s="499">
        <v>0</v>
      </c>
      <c r="CZ205" s="643">
        <v>342</v>
      </c>
      <c r="DA205" s="643">
        <v>336</v>
      </c>
      <c r="DB205" s="643">
        <v>196</v>
      </c>
      <c r="DC205" s="609">
        <v>1164.19</v>
      </c>
      <c r="DD205" s="1153">
        <f t="shared" si="54"/>
        <v>-0.13999999999987267</v>
      </c>
      <c r="DE205" s="1154">
        <f t="shared" si="55"/>
        <v>0</v>
      </c>
      <c r="DF205" s="1154">
        <f t="shared" si="56"/>
        <v>86</v>
      </c>
      <c r="DG205" s="1154">
        <f t="shared" si="57"/>
        <v>86</v>
      </c>
      <c r="DH205" s="1155" t="str">
        <f t="shared" si="58"/>
        <v>Palm</v>
      </c>
      <c r="DI205" s="1146">
        <f t="shared" si="59"/>
        <v>140</v>
      </c>
      <c r="DJ205" s="1146">
        <f t="shared" si="60"/>
        <v>0</v>
      </c>
      <c r="DK205" s="1154">
        <f t="shared" si="61"/>
        <v>0</v>
      </c>
      <c r="DL205" s="615"/>
      <c r="DM205" s="615"/>
      <c r="DN205" s="615"/>
      <c r="DO205" s="499"/>
      <c r="DP205" s="499"/>
      <c r="DQ205" s="499"/>
      <c r="DR205" s="499"/>
      <c r="DS205" s="499"/>
      <c r="DT205" s="499"/>
      <c r="DU205" s="499"/>
      <c r="DV205" s="499"/>
      <c r="DW205" s="499"/>
      <c r="DX205" s="499"/>
      <c r="DY205" s="499"/>
      <c r="DZ205" s="499"/>
      <c r="EA205" s="499"/>
      <c r="EB205" s="499"/>
      <c r="EC205" s="499"/>
      <c r="ED205" s="499"/>
      <c r="EE205" s="499"/>
      <c r="EF205" s="499"/>
      <c r="EG205" s="1146">
        <f t="shared" si="63"/>
        <v>25.5</v>
      </c>
      <c r="EH205" s="642">
        <v>5</v>
      </c>
      <c r="EI205" s="615">
        <v>2.5</v>
      </c>
      <c r="EJ205" s="613">
        <v>7</v>
      </c>
      <c r="EK205" s="613">
        <v>11</v>
      </c>
      <c r="EL205" s="499"/>
      <c r="EM205" s="499"/>
      <c r="EN205" s="499"/>
      <c r="EO205" s="499"/>
      <c r="EP205" s="499"/>
      <c r="EQ205" s="499"/>
      <c r="ER205" s="499"/>
      <c r="ES205" s="388"/>
      <c r="ET205" s="388"/>
      <c r="EV205" s="1167">
        <f t="shared" si="65"/>
        <v>39.448499999999996</v>
      </c>
    </row>
    <row r="206" spans="1:153" s="350" customFormat="1" ht="15" x14ac:dyDescent="0.25">
      <c r="A206" s="632" t="s">
        <v>3</v>
      </c>
      <c r="B206" s="662">
        <v>42932</v>
      </c>
      <c r="C206" s="1132" t="s">
        <v>904</v>
      </c>
      <c r="D206" s="386">
        <v>0</v>
      </c>
      <c r="E206" s="636">
        <v>0</v>
      </c>
      <c r="F206" s="636">
        <v>50</v>
      </c>
      <c r="G206" s="636">
        <v>0.4</v>
      </c>
      <c r="H206" s="386">
        <v>1.8</v>
      </c>
      <c r="I206" s="386">
        <v>15.5</v>
      </c>
      <c r="J206" s="386">
        <v>0</v>
      </c>
      <c r="K206" s="386">
        <v>1.28</v>
      </c>
      <c r="L206" s="636">
        <v>0</v>
      </c>
      <c r="M206" s="386">
        <v>17.7</v>
      </c>
      <c r="N206" s="386">
        <v>1.23</v>
      </c>
      <c r="O206" s="386">
        <v>1.2565861191860468</v>
      </c>
      <c r="P206" s="386">
        <v>1.19</v>
      </c>
      <c r="Q206" s="386">
        <v>0.64188310675168236</v>
      </c>
      <c r="R206" s="732">
        <v>1346.0978197674419</v>
      </c>
      <c r="S206" s="386">
        <v>8.1199999999999992</v>
      </c>
      <c r="T206" s="386">
        <v>8.1199999999999992</v>
      </c>
      <c r="U206" s="386">
        <v>0.8</v>
      </c>
      <c r="V206" s="739">
        <v>0.66</v>
      </c>
      <c r="W206" s="739">
        <v>54.5</v>
      </c>
      <c r="X206" s="613">
        <v>54.319999999999993</v>
      </c>
      <c r="Y206" s="367">
        <v>32.9</v>
      </c>
      <c r="Z206" s="636">
        <v>64.84</v>
      </c>
      <c r="AA206" s="636">
        <v>32.86</v>
      </c>
      <c r="AB206" s="636">
        <v>65.069999999999993</v>
      </c>
      <c r="AC206" s="1160">
        <f t="shared" si="66"/>
        <v>97.929999999999993</v>
      </c>
      <c r="AD206" s="1160">
        <f t="shared" si="67"/>
        <v>151.49770999999998</v>
      </c>
      <c r="AE206" s="1160">
        <f t="shared" si="68"/>
        <v>151.49770999999998</v>
      </c>
      <c r="AF206" s="723"/>
      <c r="AG206" s="1160">
        <f t="shared" si="64"/>
        <v>0</v>
      </c>
      <c r="AH206" s="656"/>
      <c r="AI206" s="656"/>
      <c r="AJ206" s="388"/>
      <c r="AK206" s="388"/>
      <c r="AL206" s="388"/>
      <c r="AM206" s="388"/>
      <c r="AN206" s="388"/>
      <c r="AO206" s="370"/>
      <c r="AP206" s="370"/>
      <c r="AQ206" s="386"/>
      <c r="AR206" s="551">
        <v>0</v>
      </c>
      <c r="AS206" s="386">
        <v>24.5</v>
      </c>
      <c r="AT206" s="386">
        <v>0</v>
      </c>
      <c r="AU206" s="386">
        <v>0</v>
      </c>
      <c r="AV206" s="636">
        <v>1171.4000000000001</v>
      </c>
      <c r="AW206" s="636">
        <v>1952.5</v>
      </c>
      <c r="AX206" s="386">
        <v>0</v>
      </c>
      <c r="AY206" s="551">
        <v>0</v>
      </c>
      <c r="AZ206" s="551">
        <v>0</v>
      </c>
      <c r="BA206" s="551">
        <v>0</v>
      </c>
      <c r="BB206" s="832">
        <v>0</v>
      </c>
      <c r="BC206" s="386">
        <v>1.83</v>
      </c>
      <c r="BD206" s="386">
        <v>3.17</v>
      </c>
      <c r="BE206" s="551">
        <v>0</v>
      </c>
      <c r="BF206" s="386">
        <v>2.0099999999999998</v>
      </c>
      <c r="BG206" s="386">
        <v>0</v>
      </c>
      <c r="BH206" s="551">
        <v>0</v>
      </c>
      <c r="BI206" s="386">
        <v>2.52</v>
      </c>
      <c r="BJ206" s="386">
        <v>55.7</v>
      </c>
      <c r="BK206" s="386">
        <v>5.49</v>
      </c>
      <c r="BL206" s="386">
        <v>5.47</v>
      </c>
      <c r="BM206" s="386">
        <v>0</v>
      </c>
      <c r="BN206" s="386">
        <v>44.7</v>
      </c>
      <c r="BO206" s="386">
        <v>2990.7</v>
      </c>
      <c r="BP206" s="386">
        <v>1.6</v>
      </c>
      <c r="BQ206" s="615">
        <v>22.13</v>
      </c>
      <c r="BR206" s="615">
        <v>22.84</v>
      </c>
      <c r="BS206" s="615">
        <v>14.14</v>
      </c>
      <c r="BT206" s="615">
        <v>14.24</v>
      </c>
      <c r="BU206" s="614">
        <v>29</v>
      </c>
      <c r="BV206" s="614">
        <v>32.700000000000003</v>
      </c>
      <c r="BW206" s="615">
        <v>1361.4</v>
      </c>
      <c r="BX206" s="791"/>
      <c r="BY206" s="615">
        <v>0</v>
      </c>
      <c r="BZ206" s="615">
        <v>1.1599999999999999</v>
      </c>
      <c r="CA206" s="615">
        <v>1.1000000000000001</v>
      </c>
      <c r="CB206" s="615">
        <v>8.1</v>
      </c>
      <c r="CC206" s="615">
        <v>8</v>
      </c>
      <c r="CD206" s="615">
        <v>16</v>
      </c>
      <c r="CE206" s="615">
        <v>32.6</v>
      </c>
      <c r="CF206" s="615">
        <v>19.399999999999999</v>
      </c>
      <c r="CG206" s="615">
        <v>6.97</v>
      </c>
      <c r="CH206" s="615">
        <v>12.37</v>
      </c>
      <c r="CI206" s="615">
        <v>16.8</v>
      </c>
      <c r="CJ206" s="615">
        <v>13.19</v>
      </c>
      <c r="CK206" s="615">
        <v>0</v>
      </c>
      <c r="CL206" s="615">
        <v>3.8</v>
      </c>
      <c r="CM206" s="615">
        <v>4.9000000000000004</v>
      </c>
      <c r="CN206" s="615">
        <v>3644.5</v>
      </c>
      <c r="CO206" s="615">
        <v>1145</v>
      </c>
      <c r="CP206" s="615">
        <v>653.70000000000005</v>
      </c>
      <c r="CQ206" s="615">
        <v>13</v>
      </c>
      <c r="CR206" s="615">
        <v>0.91</v>
      </c>
      <c r="CS206" s="614">
        <v>0</v>
      </c>
      <c r="CT206" s="386">
        <v>16.423999999999999</v>
      </c>
      <c r="CU206" s="386">
        <v>57</v>
      </c>
      <c r="CV206" s="499">
        <v>0</v>
      </c>
      <c r="CW206" s="499">
        <v>0</v>
      </c>
      <c r="CX206" s="499">
        <v>0</v>
      </c>
      <c r="CY206" s="499">
        <v>0</v>
      </c>
      <c r="CZ206" s="643">
        <v>342</v>
      </c>
      <c r="DA206" s="643">
        <v>336</v>
      </c>
      <c r="DB206" s="643">
        <v>196</v>
      </c>
      <c r="DC206" s="609">
        <v>1164.05</v>
      </c>
      <c r="DD206" s="1153">
        <f t="shared" si="54"/>
        <v>-0.14000000000010004</v>
      </c>
      <c r="DE206" s="1154">
        <f t="shared" si="55"/>
        <v>0</v>
      </c>
      <c r="DF206" s="1154">
        <f t="shared" si="56"/>
        <v>86</v>
      </c>
      <c r="DG206" s="1154">
        <f t="shared" si="57"/>
        <v>86</v>
      </c>
      <c r="DH206" s="1155" t="str">
        <f t="shared" si="58"/>
        <v>Palm</v>
      </c>
      <c r="DI206" s="1146">
        <f t="shared" si="59"/>
        <v>140</v>
      </c>
      <c r="DJ206" s="1146">
        <f t="shared" si="60"/>
        <v>0</v>
      </c>
      <c r="DK206" s="1154">
        <f t="shared" si="61"/>
        <v>0</v>
      </c>
      <c r="DL206" s="615"/>
      <c r="DM206" s="615"/>
      <c r="DN206" s="615"/>
      <c r="DO206" s="499"/>
      <c r="DP206" s="499"/>
      <c r="DQ206" s="499"/>
      <c r="DR206" s="499"/>
      <c r="DS206" s="499"/>
      <c r="DT206" s="499"/>
      <c r="DU206" s="499"/>
      <c r="DV206" s="499"/>
      <c r="DW206" s="499"/>
      <c r="DX206" s="499"/>
      <c r="DY206" s="499"/>
      <c r="DZ206" s="499"/>
      <c r="EA206" s="499"/>
      <c r="EB206" s="499"/>
      <c r="EC206" s="499"/>
      <c r="ED206" s="499"/>
      <c r="EE206" s="499"/>
      <c r="EF206" s="499"/>
      <c r="EG206" s="1146">
        <f t="shared" si="63"/>
        <v>25.5</v>
      </c>
      <c r="EH206" s="642">
        <v>5</v>
      </c>
      <c r="EI206" s="615">
        <v>2.5</v>
      </c>
      <c r="EJ206" s="613">
        <v>7</v>
      </c>
      <c r="EK206" s="613">
        <v>11</v>
      </c>
      <c r="EL206" s="615"/>
      <c r="EM206" s="499"/>
      <c r="EN206" s="499"/>
      <c r="EO206" s="499"/>
      <c r="EP206" s="499"/>
      <c r="EQ206" s="499"/>
      <c r="ER206" s="499"/>
      <c r="ES206" s="388"/>
      <c r="ET206" s="388"/>
      <c r="EV206" s="1167">
        <f t="shared" si="65"/>
        <v>39.448499999999996</v>
      </c>
    </row>
    <row r="207" spans="1:153" s="350" customFormat="1" ht="15" x14ac:dyDescent="0.25">
      <c r="A207" s="632" t="s">
        <v>4</v>
      </c>
      <c r="B207" s="662">
        <v>42933</v>
      </c>
      <c r="C207" s="1132" t="s">
        <v>904</v>
      </c>
      <c r="D207" s="386">
        <v>0</v>
      </c>
      <c r="E207" s="636">
        <v>0</v>
      </c>
      <c r="F207" s="636">
        <v>56</v>
      </c>
      <c r="G207" s="636">
        <v>0.4</v>
      </c>
      <c r="H207" s="386">
        <v>1.53</v>
      </c>
      <c r="I207" s="386">
        <v>16.2</v>
      </c>
      <c r="J207" s="386">
        <v>0</v>
      </c>
      <c r="K207" s="386">
        <v>1.31</v>
      </c>
      <c r="L207" s="610">
        <v>0</v>
      </c>
      <c r="M207" s="386">
        <v>17.600000000000001</v>
      </c>
      <c r="N207" s="386">
        <v>1.22</v>
      </c>
      <c r="O207" s="386">
        <v>1.2872928432266739</v>
      </c>
      <c r="P207" s="386">
        <v>1.2</v>
      </c>
      <c r="Q207" s="386">
        <v>0.63650674342129654</v>
      </c>
      <c r="R207" s="732">
        <v>1324.0962209302327</v>
      </c>
      <c r="S207" s="386">
        <v>7.87</v>
      </c>
      <c r="T207" s="386">
        <v>8.0299999999999994</v>
      </c>
      <c r="U207" s="386">
        <v>0.8</v>
      </c>
      <c r="V207" s="739">
        <v>0.62</v>
      </c>
      <c r="W207" s="739">
        <v>53.960000000000008</v>
      </c>
      <c r="X207" s="613">
        <v>53.78</v>
      </c>
      <c r="Y207" s="367">
        <v>32.86</v>
      </c>
      <c r="Z207" s="636">
        <v>65.069999999999993</v>
      </c>
      <c r="AA207" s="636">
        <v>36.119999999999997</v>
      </c>
      <c r="AB207" s="636">
        <v>60.17</v>
      </c>
      <c r="AC207" s="1160">
        <f t="shared" si="66"/>
        <v>96.289999999999992</v>
      </c>
      <c r="AD207" s="1160">
        <f t="shared" si="67"/>
        <v>148.96062999999998</v>
      </c>
      <c r="AE207" s="1160">
        <f t="shared" si="68"/>
        <v>148.96062999999998</v>
      </c>
      <c r="AF207" s="723"/>
      <c r="AG207" s="1160">
        <f t="shared" si="64"/>
        <v>0</v>
      </c>
      <c r="AH207" s="656"/>
      <c r="AI207" s="656"/>
      <c r="AJ207" s="388"/>
      <c r="AK207" s="388"/>
      <c r="AL207" s="388"/>
      <c r="AM207" s="388"/>
      <c r="AN207" s="388"/>
      <c r="AO207" s="370"/>
      <c r="AP207" s="370"/>
      <c r="AQ207" s="386"/>
      <c r="AR207" s="551">
        <v>0</v>
      </c>
      <c r="AS207" s="386">
        <v>27.3</v>
      </c>
      <c r="AT207" s="386">
        <v>0</v>
      </c>
      <c r="AU207" s="386">
        <v>0</v>
      </c>
      <c r="AV207" s="636">
        <v>830.7</v>
      </c>
      <c r="AW207" s="636">
        <v>1888.1</v>
      </c>
      <c r="AX207" s="386">
        <v>0</v>
      </c>
      <c r="AY207" s="551">
        <v>0</v>
      </c>
      <c r="AZ207" s="551">
        <v>0</v>
      </c>
      <c r="BA207" s="551">
        <v>0</v>
      </c>
      <c r="BB207" s="832">
        <v>0</v>
      </c>
      <c r="BC207" s="386">
        <v>1.83</v>
      </c>
      <c r="BD207" s="386">
        <v>3.17</v>
      </c>
      <c r="BE207" s="551">
        <v>0</v>
      </c>
      <c r="BF207" s="386">
        <v>2.0099999999999998</v>
      </c>
      <c r="BG207" s="386">
        <v>0</v>
      </c>
      <c r="BH207" s="551">
        <v>0</v>
      </c>
      <c r="BI207" s="386">
        <v>2.52</v>
      </c>
      <c r="BJ207" s="386">
        <v>50.9</v>
      </c>
      <c r="BK207" s="386">
        <v>5.5</v>
      </c>
      <c r="BL207" s="386">
        <v>5.42</v>
      </c>
      <c r="BM207" s="386">
        <v>0</v>
      </c>
      <c r="BN207" s="386">
        <v>39.9</v>
      </c>
      <c r="BO207" s="386">
        <v>3203.8</v>
      </c>
      <c r="BP207" s="386">
        <v>1.3</v>
      </c>
      <c r="BQ207" s="615">
        <v>21.82</v>
      </c>
      <c r="BR207" s="615">
        <v>22.5</v>
      </c>
      <c r="BS207" s="615">
        <v>15.99</v>
      </c>
      <c r="BT207" s="615">
        <v>16.11</v>
      </c>
      <c r="BU207" s="614">
        <v>32.6</v>
      </c>
      <c r="BV207" s="614">
        <v>39.5</v>
      </c>
      <c r="BW207" s="615">
        <v>1369.7</v>
      </c>
      <c r="BX207" s="791"/>
      <c r="BY207" s="615">
        <v>0</v>
      </c>
      <c r="BZ207" s="615">
        <v>1.1399999999999999</v>
      </c>
      <c r="CA207" s="615">
        <v>1.1000000000000001</v>
      </c>
      <c r="CB207" s="615">
        <v>8.1</v>
      </c>
      <c r="CC207" s="615">
        <v>8</v>
      </c>
      <c r="CD207" s="615">
        <v>15.9</v>
      </c>
      <c r="CE207" s="615">
        <v>32.5</v>
      </c>
      <c r="CF207" s="615">
        <v>18.8</v>
      </c>
      <c r="CG207" s="615">
        <v>8.6</v>
      </c>
      <c r="CH207" s="615">
        <v>14.3</v>
      </c>
      <c r="CI207" s="615">
        <v>18.7</v>
      </c>
      <c r="CJ207" s="615">
        <v>13.07</v>
      </c>
      <c r="CK207" s="615">
        <v>0</v>
      </c>
      <c r="CL207" s="615">
        <v>3.4</v>
      </c>
      <c r="CM207" s="615">
        <v>5.0999999999999996</v>
      </c>
      <c r="CN207" s="615">
        <v>3492.8</v>
      </c>
      <c r="CO207" s="615">
        <v>1186.4000000000001</v>
      </c>
      <c r="CP207" s="615">
        <v>691.1</v>
      </c>
      <c r="CQ207" s="615">
        <v>13.3</v>
      </c>
      <c r="CR207" s="615">
        <v>0.97</v>
      </c>
      <c r="CS207" s="614">
        <v>0</v>
      </c>
      <c r="CT207" s="386">
        <v>16.259</v>
      </c>
      <c r="CU207" s="386">
        <v>57</v>
      </c>
      <c r="CV207" s="499">
        <v>0</v>
      </c>
      <c r="CW207" s="499">
        <v>0</v>
      </c>
      <c r="CX207" s="499">
        <v>0</v>
      </c>
      <c r="CY207" s="499">
        <v>0</v>
      </c>
      <c r="CZ207" s="643">
        <v>325</v>
      </c>
      <c r="DA207" s="643">
        <v>340</v>
      </c>
      <c r="DB207" s="643">
        <v>192</v>
      </c>
      <c r="DC207" s="609">
        <v>1163.9000000000001</v>
      </c>
      <c r="DD207" s="1153">
        <f t="shared" ref="DD207:DD270" si="69">DC207-DC206</f>
        <v>-0.14999999999986358</v>
      </c>
      <c r="DE207" s="1154">
        <f t="shared" ref="DE207:DE270" si="70">(CS207*1440/1000000)*3.068</f>
        <v>0</v>
      </c>
      <c r="DF207" s="1154">
        <f t="shared" ref="DF207:DF270" si="71">DB207-110</f>
        <v>82</v>
      </c>
      <c r="DG207" s="1154">
        <f t="shared" ref="DG207:DG270" si="72">DA207-250</f>
        <v>90</v>
      </c>
      <c r="DH207" s="1155" t="str">
        <f t="shared" ref="DH207:DH270" si="73">IF(DG207&lt;DF207,"Aub","Palm")</f>
        <v>Palm</v>
      </c>
      <c r="DI207" s="1146">
        <f t="shared" ref="DI207:DI270" si="74">DA207-DB207</f>
        <v>148</v>
      </c>
      <c r="DJ207" s="1146">
        <f t="shared" ref="DJ207:DJ270" si="75">DK207/3.068</f>
        <v>0</v>
      </c>
      <c r="DK207" s="1154">
        <f t="shared" ref="DK207:DK270" si="76">(CS207*1440/1000000)*3.068</f>
        <v>0</v>
      </c>
      <c r="DL207" s="615"/>
      <c r="DM207" s="615"/>
      <c r="DN207" s="615"/>
      <c r="DO207" s="499"/>
      <c r="DP207" s="499"/>
      <c r="DQ207" s="499"/>
      <c r="DR207" s="499"/>
      <c r="DS207" s="499"/>
      <c r="DT207" s="499"/>
      <c r="DU207" s="499"/>
      <c r="DV207" s="499"/>
      <c r="DW207" s="499"/>
      <c r="DX207" s="499"/>
      <c r="DY207" s="499"/>
      <c r="DZ207" s="499"/>
      <c r="EA207" s="499"/>
      <c r="EB207" s="499"/>
      <c r="EC207" s="499"/>
      <c r="ED207" s="499"/>
      <c r="EE207" s="499"/>
      <c r="EF207" s="499"/>
      <c r="EG207" s="1146">
        <f t="shared" si="63"/>
        <v>25.5</v>
      </c>
      <c r="EH207" s="642">
        <v>5</v>
      </c>
      <c r="EI207" s="615">
        <v>2.5</v>
      </c>
      <c r="EJ207" s="613">
        <v>7</v>
      </c>
      <c r="EK207" s="613">
        <v>11</v>
      </c>
      <c r="EL207" s="615"/>
      <c r="EM207" s="499"/>
      <c r="EN207" s="499"/>
      <c r="EO207" s="499"/>
      <c r="EP207" s="499"/>
      <c r="EQ207" s="499"/>
      <c r="ER207" s="499"/>
      <c r="ES207" s="388"/>
      <c r="ET207" s="388"/>
      <c r="EV207" s="1167">
        <f t="shared" si="65"/>
        <v>39.448499999999996</v>
      </c>
    </row>
    <row r="208" spans="1:153" s="350" customFormat="1" ht="15" x14ac:dyDescent="0.25">
      <c r="A208" s="632" t="s">
        <v>5</v>
      </c>
      <c r="B208" s="662">
        <v>42934</v>
      </c>
      <c r="C208" s="1132" t="s">
        <v>904</v>
      </c>
      <c r="D208" s="386">
        <v>0</v>
      </c>
      <c r="E208" s="636">
        <v>0</v>
      </c>
      <c r="F208" s="636">
        <v>56</v>
      </c>
      <c r="G208" s="636">
        <v>0.4</v>
      </c>
      <c r="H208" s="386">
        <v>1.65</v>
      </c>
      <c r="I208" s="386">
        <v>16.7</v>
      </c>
      <c r="J208" s="386">
        <v>0</v>
      </c>
      <c r="K208" s="386">
        <v>1.26</v>
      </c>
      <c r="L208" s="610">
        <v>0</v>
      </c>
      <c r="M208" s="386">
        <v>17.5</v>
      </c>
      <c r="N208" s="386">
        <v>1.19</v>
      </c>
      <c r="O208" s="386">
        <v>1.3178700009729665</v>
      </c>
      <c r="P208" s="386">
        <v>1.19</v>
      </c>
      <c r="Q208" s="386">
        <v>0.64364738629930185</v>
      </c>
      <c r="R208" s="732">
        <v>1351.4315406976746</v>
      </c>
      <c r="S208" s="386">
        <v>8.08</v>
      </c>
      <c r="T208" s="386">
        <v>8.02</v>
      </c>
      <c r="U208" s="386">
        <v>0.8</v>
      </c>
      <c r="V208" s="739">
        <v>0.75</v>
      </c>
      <c r="W208" s="739">
        <v>54.5</v>
      </c>
      <c r="X208" s="613">
        <v>54.319999999999993</v>
      </c>
      <c r="Y208" s="367">
        <v>36.119999999999997</v>
      </c>
      <c r="Z208" s="636">
        <v>60.17</v>
      </c>
      <c r="AA208" s="636">
        <v>40.130000000000003</v>
      </c>
      <c r="AB208" s="636">
        <v>57.41</v>
      </c>
      <c r="AC208" s="1160">
        <f t="shared" si="66"/>
        <v>97.539999999999992</v>
      </c>
      <c r="AD208" s="1160">
        <f t="shared" si="67"/>
        <v>150.89437999999998</v>
      </c>
      <c r="AE208" s="1160">
        <f t="shared" si="68"/>
        <v>150.89437999999998</v>
      </c>
      <c r="AF208" s="723"/>
      <c r="AG208" s="1160">
        <f t="shared" si="64"/>
        <v>0</v>
      </c>
      <c r="AH208" s="656"/>
      <c r="AI208" s="656"/>
      <c r="AJ208" s="388"/>
      <c r="AK208" s="388"/>
      <c r="AL208" s="388"/>
      <c r="AM208" s="388"/>
      <c r="AN208" s="388"/>
      <c r="AO208" s="370"/>
      <c r="AP208" s="370"/>
      <c r="AQ208" s="386"/>
      <c r="AR208" s="551">
        <v>0</v>
      </c>
      <c r="AS208" s="386">
        <v>26.4</v>
      </c>
      <c r="AT208" s="1171">
        <v>0.63</v>
      </c>
      <c r="AU208" s="386">
        <v>0</v>
      </c>
      <c r="AV208" s="636">
        <v>387.6</v>
      </c>
      <c r="AW208" s="636">
        <v>3029.9</v>
      </c>
      <c r="AX208" s="386">
        <v>0</v>
      </c>
      <c r="AY208" s="551">
        <v>0</v>
      </c>
      <c r="AZ208" s="551">
        <v>0</v>
      </c>
      <c r="BA208" s="551">
        <v>0</v>
      </c>
      <c r="BB208" s="832">
        <v>0</v>
      </c>
      <c r="BC208" s="386">
        <v>1.83</v>
      </c>
      <c r="BD208" s="386">
        <v>3.17</v>
      </c>
      <c r="BE208" s="551">
        <v>0</v>
      </c>
      <c r="BF208" s="386">
        <v>2.0099999999999998</v>
      </c>
      <c r="BG208" s="386">
        <v>0</v>
      </c>
      <c r="BH208" s="551">
        <v>0</v>
      </c>
      <c r="BI208" s="386">
        <v>2.52</v>
      </c>
      <c r="BJ208" s="386">
        <v>48.1</v>
      </c>
      <c r="BK208" s="386">
        <v>5.51</v>
      </c>
      <c r="BL208" s="386">
        <v>5.48</v>
      </c>
      <c r="BM208" s="386">
        <v>0</v>
      </c>
      <c r="BN208" s="386">
        <v>37.1</v>
      </c>
      <c r="BO208" s="386">
        <v>2723.3</v>
      </c>
      <c r="BP208" s="386">
        <v>1.7</v>
      </c>
      <c r="BQ208" s="615">
        <v>22.03</v>
      </c>
      <c r="BR208" s="615">
        <v>22.69</v>
      </c>
      <c r="BS208" s="615">
        <v>17.72</v>
      </c>
      <c r="BT208" s="615">
        <v>17.8</v>
      </c>
      <c r="BU208" s="614">
        <v>35.799999999999997</v>
      </c>
      <c r="BV208" s="614">
        <v>41.6</v>
      </c>
      <c r="BW208" s="615">
        <v>1415.3</v>
      </c>
      <c r="BX208" s="791"/>
      <c r="BY208" s="615">
        <v>0</v>
      </c>
      <c r="BZ208" s="615">
        <v>1.1200000000000001</v>
      </c>
      <c r="CA208" s="615">
        <v>1.1000000000000001</v>
      </c>
      <c r="CB208" s="615">
        <v>8.1</v>
      </c>
      <c r="CC208" s="615">
        <v>8</v>
      </c>
      <c r="CD208" s="615">
        <v>15.6</v>
      </c>
      <c r="CE208" s="615">
        <v>32.5</v>
      </c>
      <c r="CF208" s="615">
        <v>18.399999999999999</v>
      </c>
      <c r="CG208" s="615">
        <v>7.97</v>
      </c>
      <c r="CH208" s="615">
        <v>13.52</v>
      </c>
      <c r="CI208" s="615">
        <v>18</v>
      </c>
      <c r="CJ208" s="615">
        <v>12.81</v>
      </c>
      <c r="CK208" s="615">
        <v>246.5</v>
      </c>
      <c r="CL208" s="615">
        <v>3.4</v>
      </c>
      <c r="CM208" s="615">
        <v>5.0999999999999996</v>
      </c>
      <c r="CN208" s="615">
        <v>3416.2</v>
      </c>
      <c r="CO208" s="615">
        <v>1146.5</v>
      </c>
      <c r="CP208" s="615">
        <v>635.20000000000005</v>
      </c>
      <c r="CQ208" s="615">
        <v>13.5</v>
      </c>
      <c r="CR208" s="615">
        <v>0.96</v>
      </c>
      <c r="CS208" s="614">
        <v>0</v>
      </c>
      <c r="CT208" s="386">
        <v>16.344000000000001</v>
      </c>
      <c r="CU208" s="386">
        <v>58</v>
      </c>
      <c r="CV208" s="499">
        <v>0</v>
      </c>
      <c r="CW208" s="499">
        <v>0</v>
      </c>
      <c r="CX208" s="499">
        <v>0</v>
      </c>
      <c r="CY208" s="499">
        <v>0</v>
      </c>
      <c r="CZ208" s="984">
        <v>325</v>
      </c>
      <c r="DA208" s="1002">
        <v>313</v>
      </c>
      <c r="DB208" s="1002">
        <v>185</v>
      </c>
      <c r="DC208" s="1089">
        <v>1163.76</v>
      </c>
      <c r="DD208" s="1153">
        <f t="shared" si="69"/>
        <v>-0.14000000000010004</v>
      </c>
      <c r="DE208" s="1154">
        <f t="shared" si="70"/>
        <v>0</v>
      </c>
      <c r="DF208" s="1154">
        <f t="shared" si="71"/>
        <v>75</v>
      </c>
      <c r="DG208" s="1154">
        <f t="shared" si="72"/>
        <v>63</v>
      </c>
      <c r="DH208" s="1155" t="str">
        <f t="shared" si="73"/>
        <v>Aub</v>
      </c>
      <c r="DI208" s="1146">
        <f t="shared" si="74"/>
        <v>128</v>
      </c>
      <c r="DJ208" s="1146">
        <f t="shared" si="75"/>
        <v>0</v>
      </c>
      <c r="DK208" s="1154">
        <f t="shared" si="76"/>
        <v>0</v>
      </c>
      <c r="DL208" s="615"/>
      <c r="DM208" s="615"/>
      <c r="DN208" s="615"/>
      <c r="DO208" s="499"/>
      <c r="DP208" s="499"/>
      <c r="DQ208" s="499"/>
      <c r="DR208" s="499"/>
      <c r="DS208" s="499"/>
      <c r="DT208" s="499"/>
      <c r="DU208" s="499"/>
      <c r="DV208" s="499"/>
      <c r="DW208" s="499"/>
      <c r="DX208" s="499"/>
      <c r="DY208" s="499"/>
      <c r="DZ208" s="499"/>
      <c r="EA208" s="499"/>
      <c r="EB208" s="499"/>
      <c r="EC208" s="499"/>
      <c r="ED208" s="499"/>
      <c r="EE208" s="499"/>
      <c r="EF208" s="499"/>
      <c r="EG208" s="1146">
        <f t="shared" si="63"/>
        <v>25.5</v>
      </c>
      <c r="EH208" s="642">
        <v>5</v>
      </c>
      <c r="EI208" s="615">
        <v>2.5</v>
      </c>
      <c r="EJ208" s="613">
        <v>7</v>
      </c>
      <c r="EK208" s="613">
        <v>11</v>
      </c>
      <c r="EL208" s="615"/>
      <c r="EM208" s="499"/>
      <c r="EN208" s="499"/>
      <c r="EO208" s="499"/>
      <c r="EP208" s="499"/>
      <c r="EQ208" s="499"/>
      <c r="ER208" s="499"/>
      <c r="ES208" s="388"/>
      <c r="ET208" s="388"/>
      <c r="EV208" s="1167">
        <f t="shared" si="65"/>
        <v>39.448499999999996</v>
      </c>
    </row>
    <row r="209" spans="1:152" s="350" customFormat="1" ht="15" x14ac:dyDescent="0.25">
      <c r="A209" s="632" t="s">
        <v>6</v>
      </c>
      <c r="B209" s="662">
        <v>42935</v>
      </c>
      <c r="C209" s="1132" t="s">
        <v>904</v>
      </c>
      <c r="D209" s="386">
        <v>0</v>
      </c>
      <c r="E209" s="636">
        <v>0</v>
      </c>
      <c r="F209" s="636">
        <v>63</v>
      </c>
      <c r="G209" s="636">
        <v>0.4</v>
      </c>
      <c r="H209" s="386">
        <v>1.75</v>
      </c>
      <c r="I209" s="386">
        <v>16.5</v>
      </c>
      <c r="J209" s="386">
        <v>0</v>
      </c>
      <c r="K209" s="386">
        <v>1.04</v>
      </c>
      <c r="L209" s="636">
        <v>0</v>
      </c>
      <c r="M209" s="386">
        <v>17.5</v>
      </c>
      <c r="N209" s="386">
        <v>1.2</v>
      </c>
      <c r="O209" s="386">
        <v>1.3529909020145361</v>
      </c>
      <c r="P209" s="386">
        <v>1.18</v>
      </c>
      <c r="Q209" s="386">
        <v>0.64726682773232869</v>
      </c>
      <c r="R209" s="732">
        <v>1362.7656976744186</v>
      </c>
      <c r="S209" s="386">
        <v>8.09</v>
      </c>
      <c r="T209" s="386">
        <v>7.99</v>
      </c>
      <c r="U209" s="386">
        <v>0.8</v>
      </c>
      <c r="V209" s="739">
        <v>0.74</v>
      </c>
      <c r="W209" s="739">
        <v>54.680000000000007</v>
      </c>
      <c r="X209" s="613">
        <v>54.5</v>
      </c>
      <c r="Y209" s="367">
        <v>40.130000000000003</v>
      </c>
      <c r="Z209" s="636">
        <v>57.41</v>
      </c>
      <c r="AA209" s="636">
        <v>43.59</v>
      </c>
      <c r="AB209" s="636">
        <v>53.97</v>
      </c>
      <c r="AC209" s="1160">
        <f t="shared" si="66"/>
        <v>97.56</v>
      </c>
      <c r="AD209" s="1160">
        <f t="shared" si="67"/>
        <v>150.92532</v>
      </c>
      <c r="AE209" s="1160">
        <f t="shared" si="68"/>
        <v>150.92532</v>
      </c>
      <c r="AF209" s="723"/>
      <c r="AG209" s="1160">
        <f t="shared" si="64"/>
        <v>0</v>
      </c>
      <c r="AH209" s="656"/>
      <c r="AI209" s="656"/>
      <c r="AJ209" s="388"/>
      <c r="AK209" s="388"/>
      <c r="AL209" s="388"/>
      <c r="AM209" s="388"/>
      <c r="AN209" s="388"/>
      <c r="AO209" s="370"/>
      <c r="AP209" s="370"/>
      <c r="AQ209" s="386"/>
      <c r="AR209" s="551">
        <v>0</v>
      </c>
      <c r="AS209" s="386">
        <v>27.5</v>
      </c>
      <c r="AT209" s="1171">
        <v>1.01</v>
      </c>
      <c r="AU209" s="386">
        <v>0</v>
      </c>
      <c r="AV209" s="636">
        <v>1126.4000000000001</v>
      </c>
      <c r="AW209" s="636">
        <v>2618.6</v>
      </c>
      <c r="AX209" s="386">
        <v>0</v>
      </c>
      <c r="AY209" s="551">
        <v>0</v>
      </c>
      <c r="AZ209" s="551">
        <v>0</v>
      </c>
      <c r="BA209" s="551">
        <v>0</v>
      </c>
      <c r="BB209" s="832">
        <v>0</v>
      </c>
      <c r="BC209" s="386">
        <v>1.83</v>
      </c>
      <c r="BD209" s="386">
        <v>3.17</v>
      </c>
      <c r="BE209" s="551">
        <v>0</v>
      </c>
      <c r="BF209" s="386">
        <v>2.0099999999999998</v>
      </c>
      <c r="BG209" s="386">
        <v>0</v>
      </c>
      <c r="BH209" s="551">
        <v>0</v>
      </c>
      <c r="BI209" s="386">
        <v>2.52</v>
      </c>
      <c r="BJ209" s="386">
        <v>44.6</v>
      </c>
      <c r="BK209" s="386">
        <v>5.52</v>
      </c>
      <c r="BL209" s="386">
        <v>5.47</v>
      </c>
      <c r="BM209" s="386">
        <v>0</v>
      </c>
      <c r="BN209" s="386">
        <v>33.6</v>
      </c>
      <c r="BO209" s="386">
        <v>2857.5</v>
      </c>
      <c r="BP209" s="386">
        <v>1.7</v>
      </c>
      <c r="BQ209" s="615">
        <v>21.51</v>
      </c>
      <c r="BR209" s="615">
        <v>22.14</v>
      </c>
      <c r="BS209" s="615">
        <v>18.89</v>
      </c>
      <c r="BT209" s="615">
        <v>18.97</v>
      </c>
      <c r="BU209" s="614">
        <v>38.1</v>
      </c>
      <c r="BV209" s="614">
        <v>46.6</v>
      </c>
      <c r="BW209" s="615">
        <v>1362.6</v>
      </c>
      <c r="BX209" s="791"/>
      <c r="BY209" s="615">
        <v>0</v>
      </c>
      <c r="BZ209" s="615">
        <v>1.1200000000000001</v>
      </c>
      <c r="CA209" s="615">
        <v>1.1000000000000001</v>
      </c>
      <c r="CB209" s="615">
        <v>8</v>
      </c>
      <c r="CC209" s="615">
        <v>8</v>
      </c>
      <c r="CD209" s="615">
        <v>15.1</v>
      </c>
      <c r="CE209" s="615">
        <v>32.5</v>
      </c>
      <c r="CF209" s="615">
        <v>19.559999999999999</v>
      </c>
      <c r="CG209" s="615">
        <v>7.8</v>
      </c>
      <c r="CH209" s="615">
        <v>13.3</v>
      </c>
      <c r="CI209" s="615">
        <v>17.7</v>
      </c>
      <c r="CJ209" s="615">
        <v>12.38</v>
      </c>
      <c r="CK209" s="615">
        <v>525.20000000000005</v>
      </c>
      <c r="CL209" s="615">
        <v>3.4</v>
      </c>
      <c r="CM209" s="615">
        <v>5.4</v>
      </c>
      <c r="CN209" s="615">
        <v>3514.4</v>
      </c>
      <c r="CO209" s="615">
        <v>1178.9000000000001</v>
      </c>
      <c r="CP209" s="615">
        <v>672.4</v>
      </c>
      <c r="CQ209" s="615">
        <v>13.3</v>
      </c>
      <c r="CR209" s="615">
        <v>0.98</v>
      </c>
      <c r="CS209" s="614">
        <v>0</v>
      </c>
      <c r="CT209" s="386">
        <v>16.207999999999998</v>
      </c>
      <c r="CU209" s="386">
        <v>58</v>
      </c>
      <c r="CV209" s="499">
        <v>0</v>
      </c>
      <c r="CW209" s="499">
        <v>0</v>
      </c>
      <c r="CX209" s="499">
        <v>0</v>
      </c>
      <c r="CY209" s="499">
        <v>0</v>
      </c>
      <c r="CZ209" s="984">
        <v>314</v>
      </c>
      <c r="DA209" s="1002">
        <v>295</v>
      </c>
      <c r="DB209" s="1002">
        <v>168</v>
      </c>
      <c r="DC209" s="1089">
        <v>1163.6199999999999</v>
      </c>
      <c r="DD209" s="1153">
        <f t="shared" si="69"/>
        <v>-0.14000000000010004</v>
      </c>
      <c r="DE209" s="1154">
        <f t="shared" si="70"/>
        <v>0</v>
      </c>
      <c r="DF209" s="1154">
        <f t="shared" si="71"/>
        <v>58</v>
      </c>
      <c r="DG209" s="1154">
        <f t="shared" si="72"/>
        <v>45</v>
      </c>
      <c r="DH209" s="1155" t="str">
        <f t="shared" si="73"/>
        <v>Aub</v>
      </c>
      <c r="DI209" s="1146">
        <f t="shared" si="74"/>
        <v>127</v>
      </c>
      <c r="DJ209" s="1146">
        <f t="shared" si="75"/>
        <v>0</v>
      </c>
      <c r="DK209" s="1154">
        <f t="shared" si="76"/>
        <v>0</v>
      </c>
      <c r="DL209" s="615"/>
      <c r="DM209" s="615"/>
      <c r="DN209" s="615"/>
      <c r="DO209" s="499"/>
      <c r="DP209" s="499"/>
      <c r="DQ209" s="499"/>
      <c r="DR209" s="499"/>
      <c r="DS209" s="499"/>
      <c r="DT209" s="499"/>
      <c r="DU209" s="499"/>
      <c r="DV209" s="499"/>
      <c r="DW209" s="499"/>
      <c r="DX209" s="499"/>
      <c r="DY209" s="499"/>
      <c r="DZ209" s="499"/>
      <c r="EA209" s="499"/>
      <c r="EB209" s="499"/>
      <c r="EC209" s="499"/>
      <c r="ED209" s="499"/>
      <c r="EE209" s="499"/>
      <c r="EF209" s="499"/>
      <c r="EG209" s="1146">
        <f t="shared" si="63"/>
        <v>25.5</v>
      </c>
      <c r="EH209" s="642">
        <v>5</v>
      </c>
      <c r="EI209" s="615">
        <v>2.5</v>
      </c>
      <c r="EJ209" s="613">
        <v>7</v>
      </c>
      <c r="EK209" s="613">
        <v>11</v>
      </c>
      <c r="EL209" s="615"/>
      <c r="EM209" s="499"/>
      <c r="EN209" s="499"/>
      <c r="EO209" s="499"/>
      <c r="EP209" s="499"/>
      <c r="EQ209" s="499"/>
      <c r="ER209" s="499"/>
      <c r="ES209" s="388"/>
      <c r="ET209" s="388"/>
      <c r="EV209" s="1167">
        <f t="shared" si="65"/>
        <v>39.448499999999996</v>
      </c>
    </row>
    <row r="210" spans="1:152" s="350" customFormat="1" ht="15" x14ac:dyDescent="0.25">
      <c r="A210" s="632" t="s">
        <v>7</v>
      </c>
      <c r="B210" s="662">
        <v>42936</v>
      </c>
      <c r="C210" s="1132" t="s">
        <v>904</v>
      </c>
      <c r="D210" s="386">
        <v>0.21</v>
      </c>
      <c r="E210" s="636">
        <v>0</v>
      </c>
      <c r="F210" s="636">
        <v>56</v>
      </c>
      <c r="G210" s="636">
        <v>0.4</v>
      </c>
      <c r="H210" s="386">
        <v>1.83</v>
      </c>
      <c r="I210" s="386">
        <v>17.75</v>
      </c>
      <c r="J210" s="386">
        <v>0</v>
      </c>
      <c r="K210" s="386">
        <v>1.0900000000000001</v>
      </c>
      <c r="L210" s="636">
        <v>0</v>
      </c>
      <c r="M210" s="386">
        <v>17.5</v>
      </c>
      <c r="N210" s="386">
        <v>1.19</v>
      </c>
      <c r="O210" s="386">
        <v>1.3220473605678904</v>
      </c>
      <c r="P210" s="386">
        <v>1.1599999999999999</v>
      </c>
      <c r="Q210" s="386">
        <v>0.64300557228033195</v>
      </c>
      <c r="R210" s="732">
        <v>1279.426308139535</v>
      </c>
      <c r="S210" s="386">
        <v>8.0399999999999991</v>
      </c>
      <c r="T210" s="386">
        <v>7.9</v>
      </c>
      <c r="U210" s="386">
        <v>0.85</v>
      </c>
      <c r="V210" s="739">
        <v>0.7</v>
      </c>
      <c r="W210" s="739">
        <v>54.680000000000007</v>
      </c>
      <c r="X210" s="613">
        <v>54.680000000000007</v>
      </c>
      <c r="Y210" s="367">
        <v>43.59</v>
      </c>
      <c r="Z210" s="636">
        <v>53.97</v>
      </c>
      <c r="AA210" s="636">
        <v>38.200000000000003</v>
      </c>
      <c r="AB210" s="636">
        <v>54.18</v>
      </c>
      <c r="AC210" s="1160">
        <f t="shared" si="66"/>
        <v>92.38</v>
      </c>
      <c r="AD210" s="1160">
        <f t="shared" si="67"/>
        <v>142.91185999999999</v>
      </c>
      <c r="AE210" s="1160">
        <f t="shared" si="68"/>
        <v>142.91185999999999</v>
      </c>
      <c r="AF210" s="723"/>
      <c r="AG210" s="1160">
        <f t="shared" si="64"/>
        <v>0</v>
      </c>
      <c r="AH210" s="656"/>
      <c r="AI210" s="656"/>
      <c r="AJ210" s="388"/>
      <c r="AK210" s="388"/>
      <c r="AL210" s="388"/>
      <c r="AM210" s="388"/>
      <c r="AN210" s="388"/>
      <c r="AO210" s="370"/>
      <c r="AP210" s="370"/>
      <c r="AQ210" s="386"/>
      <c r="AR210" s="551">
        <v>0</v>
      </c>
      <c r="AS210" s="386">
        <v>13.6</v>
      </c>
      <c r="AT210" s="1171">
        <v>0.54</v>
      </c>
      <c r="AU210" s="386">
        <v>0</v>
      </c>
      <c r="AV210" s="636">
        <v>678.1</v>
      </c>
      <c r="AW210" s="636">
        <v>1525.8</v>
      </c>
      <c r="AX210" s="386">
        <v>0</v>
      </c>
      <c r="AY210" s="551">
        <v>0</v>
      </c>
      <c r="AZ210" s="551">
        <v>0</v>
      </c>
      <c r="BA210" s="551">
        <v>0</v>
      </c>
      <c r="BB210" s="832">
        <v>0</v>
      </c>
      <c r="BC210" s="386">
        <v>1.83</v>
      </c>
      <c r="BD210" s="386">
        <v>3.17</v>
      </c>
      <c r="BE210" s="551">
        <v>0</v>
      </c>
      <c r="BF210" s="386">
        <v>2.0099999999999998</v>
      </c>
      <c r="BG210" s="386">
        <v>0</v>
      </c>
      <c r="BH210" s="551">
        <v>0</v>
      </c>
      <c r="BI210" s="386">
        <v>2.8</v>
      </c>
      <c r="BJ210" s="386">
        <v>44.6</v>
      </c>
      <c r="BK210" s="386">
        <v>5.52</v>
      </c>
      <c r="BL210" s="386">
        <v>5.5</v>
      </c>
      <c r="BM210" s="386">
        <v>0</v>
      </c>
      <c r="BN210" s="386">
        <v>33.6</v>
      </c>
      <c r="BO210" s="386">
        <v>2623.6</v>
      </c>
      <c r="BP210" s="386">
        <v>2.2999999999999998</v>
      </c>
      <c r="BQ210" s="615">
        <v>21.27</v>
      </c>
      <c r="BR210" s="615">
        <v>22.25</v>
      </c>
      <c r="BS210" s="615">
        <v>17.510000000000002</v>
      </c>
      <c r="BT210" s="615">
        <v>17.62</v>
      </c>
      <c r="BU210" s="614">
        <v>35.5</v>
      </c>
      <c r="BV210" s="614">
        <v>41.6</v>
      </c>
      <c r="BW210" s="615">
        <v>1206.9000000000001</v>
      </c>
      <c r="BX210" s="791"/>
      <c r="BY210" s="615">
        <v>0</v>
      </c>
      <c r="BZ210" s="615">
        <v>1.1100000000000001</v>
      </c>
      <c r="CA210" s="615">
        <v>1.1000000000000001</v>
      </c>
      <c r="CB210" s="615">
        <v>8</v>
      </c>
      <c r="CC210" s="615">
        <v>8</v>
      </c>
      <c r="CD210" s="615">
        <v>17.3</v>
      </c>
      <c r="CE210" s="615">
        <v>32.4</v>
      </c>
      <c r="CF210" s="615">
        <v>19.899999999999999</v>
      </c>
      <c r="CG210" s="615">
        <v>8.27</v>
      </c>
      <c r="CH210" s="615">
        <v>13.9</v>
      </c>
      <c r="CI210" s="615">
        <v>18.3</v>
      </c>
      <c r="CJ210" s="615">
        <v>14.06</v>
      </c>
      <c r="CK210" s="615">
        <v>488.1</v>
      </c>
      <c r="CL210" s="615">
        <v>4.5</v>
      </c>
      <c r="CM210" s="615">
        <v>5.3</v>
      </c>
      <c r="CN210" s="615">
        <v>3000.2</v>
      </c>
      <c r="CO210" s="615">
        <v>1061.8</v>
      </c>
      <c r="CP210" s="615">
        <v>636.1</v>
      </c>
      <c r="CQ210" s="615">
        <v>13.9</v>
      </c>
      <c r="CR210" s="615">
        <v>0.99</v>
      </c>
      <c r="CS210" s="614">
        <v>2569.8000000000002</v>
      </c>
      <c r="CT210" s="386">
        <v>17.018000000000001</v>
      </c>
      <c r="CU210" s="386">
        <v>58</v>
      </c>
      <c r="CV210" s="499">
        <v>0</v>
      </c>
      <c r="CW210" s="499">
        <v>0</v>
      </c>
      <c r="CX210" s="499">
        <v>0</v>
      </c>
      <c r="CY210" s="499">
        <v>0</v>
      </c>
      <c r="CZ210" s="984">
        <v>313</v>
      </c>
      <c r="DA210" s="1002">
        <v>304</v>
      </c>
      <c r="DB210" s="1002">
        <v>198</v>
      </c>
      <c r="DC210" s="1089">
        <v>1163.5</v>
      </c>
      <c r="DD210" s="1153">
        <f t="shared" si="69"/>
        <v>-0.11999999999989086</v>
      </c>
      <c r="DE210" s="1154">
        <f t="shared" si="70"/>
        <v>11.353170816</v>
      </c>
      <c r="DF210" s="1154">
        <f t="shared" si="71"/>
        <v>88</v>
      </c>
      <c r="DG210" s="1154">
        <f t="shared" si="72"/>
        <v>54</v>
      </c>
      <c r="DH210" s="1155" t="str">
        <f t="shared" si="73"/>
        <v>Aub</v>
      </c>
      <c r="DI210" s="1146">
        <f t="shared" si="74"/>
        <v>106</v>
      </c>
      <c r="DJ210" s="1146">
        <f t="shared" si="75"/>
        <v>3.7005120000000002</v>
      </c>
      <c r="DK210" s="1154">
        <f t="shared" si="76"/>
        <v>11.353170816</v>
      </c>
      <c r="DL210" s="615"/>
      <c r="DM210" s="615"/>
      <c r="DN210" s="615"/>
      <c r="DO210" s="499"/>
      <c r="DP210" s="499"/>
      <c r="DQ210" s="499"/>
      <c r="DR210" s="499"/>
      <c r="DS210" s="499"/>
      <c r="DT210" s="499"/>
      <c r="DU210" s="499"/>
      <c r="DV210" s="499"/>
      <c r="DW210" s="499"/>
      <c r="DX210" s="499"/>
      <c r="DY210" s="499"/>
      <c r="DZ210" s="499"/>
      <c r="EA210" s="499"/>
      <c r="EB210" s="499"/>
      <c r="EC210" s="499"/>
      <c r="ED210" s="499"/>
      <c r="EE210" s="499"/>
      <c r="EF210" s="499"/>
      <c r="EG210" s="1146">
        <f t="shared" si="63"/>
        <v>26</v>
      </c>
      <c r="EH210" s="642">
        <v>5</v>
      </c>
      <c r="EI210" s="615">
        <v>3</v>
      </c>
      <c r="EJ210" s="613">
        <v>7</v>
      </c>
      <c r="EK210" s="613">
        <v>11</v>
      </c>
      <c r="EL210" s="615"/>
      <c r="EM210" s="499"/>
      <c r="EN210" s="499"/>
      <c r="EO210" s="499"/>
      <c r="EP210" s="499"/>
      <c r="EQ210" s="499"/>
      <c r="ER210" s="499"/>
      <c r="ES210" s="388"/>
      <c r="ET210" s="388"/>
      <c r="EV210" s="1167">
        <f t="shared" si="65"/>
        <v>40.222000000000001</v>
      </c>
    </row>
    <row r="211" spans="1:152" s="350" customFormat="1" ht="15" x14ac:dyDescent="0.25">
      <c r="A211" s="632" t="s">
        <v>8</v>
      </c>
      <c r="B211" s="662">
        <v>42937</v>
      </c>
      <c r="C211" s="1132" t="s">
        <v>904</v>
      </c>
      <c r="D211" s="386">
        <v>0</v>
      </c>
      <c r="E211" s="636">
        <v>0</v>
      </c>
      <c r="F211" s="636">
        <v>58</v>
      </c>
      <c r="G211" s="636">
        <v>0.4</v>
      </c>
      <c r="H211" s="386">
        <v>1.71</v>
      </c>
      <c r="I211" s="386">
        <v>17.8</v>
      </c>
      <c r="J211" s="386">
        <v>0</v>
      </c>
      <c r="K211" s="386">
        <v>1.1000000000000001</v>
      </c>
      <c r="L211" s="636">
        <v>0</v>
      </c>
      <c r="M211" s="386">
        <v>17.399999999999999</v>
      </c>
      <c r="N211" s="386">
        <v>1.1399999999999999</v>
      </c>
      <c r="O211" s="386">
        <v>1.2749348436244861</v>
      </c>
      <c r="P211" s="386">
        <v>1.1599999999999999</v>
      </c>
      <c r="Q211" s="386">
        <v>0.63326396217536196</v>
      </c>
      <c r="R211" s="732">
        <v>1208.7545058139535</v>
      </c>
      <c r="S211" s="386">
        <v>8.07</v>
      </c>
      <c r="T211" s="386">
        <v>7.96</v>
      </c>
      <c r="U211" s="386">
        <v>0.9</v>
      </c>
      <c r="V211" s="739">
        <v>0.9</v>
      </c>
      <c r="W211" s="739">
        <v>55.400000000000006</v>
      </c>
      <c r="X211" s="613">
        <v>55.22</v>
      </c>
      <c r="Y211" s="367">
        <v>38.200000000000003</v>
      </c>
      <c r="Z211" s="636">
        <v>54.18</v>
      </c>
      <c r="AA211" s="636">
        <v>33.72</v>
      </c>
      <c r="AB211" s="636">
        <v>54.91</v>
      </c>
      <c r="AC211" s="1160">
        <f t="shared" si="66"/>
        <v>88.63</v>
      </c>
      <c r="AD211" s="1160">
        <f t="shared" si="67"/>
        <v>137.11060999999998</v>
      </c>
      <c r="AE211" s="1160">
        <f t="shared" si="68"/>
        <v>137.11060999999998</v>
      </c>
      <c r="AF211" s="723"/>
      <c r="AG211" s="1160">
        <f t="shared" si="64"/>
        <v>0</v>
      </c>
      <c r="AH211" s="656"/>
      <c r="AI211" s="656"/>
      <c r="AJ211" s="388"/>
      <c r="AK211" s="388"/>
      <c r="AL211" s="388"/>
      <c r="AM211" s="388"/>
      <c r="AN211" s="388"/>
      <c r="AO211" s="370"/>
      <c r="AP211" s="370"/>
      <c r="AQ211" s="386"/>
      <c r="AR211" s="551">
        <v>0</v>
      </c>
      <c r="AS211" s="386">
        <v>32.1</v>
      </c>
      <c r="AT211" s="386">
        <v>0</v>
      </c>
      <c r="AU211" s="386">
        <v>0</v>
      </c>
      <c r="AV211" s="636">
        <v>879.9</v>
      </c>
      <c r="AW211" s="636">
        <v>1947.6</v>
      </c>
      <c r="AX211" s="386">
        <v>0.1</v>
      </c>
      <c r="AY211" s="551">
        <v>0</v>
      </c>
      <c r="AZ211" s="551">
        <v>0</v>
      </c>
      <c r="BA211" s="551">
        <v>0</v>
      </c>
      <c r="BB211" s="832">
        <v>0</v>
      </c>
      <c r="BC211" s="386">
        <v>1.83</v>
      </c>
      <c r="BD211" s="386">
        <v>3.17</v>
      </c>
      <c r="BE211" s="551">
        <v>0</v>
      </c>
      <c r="BF211" s="386">
        <v>1.89</v>
      </c>
      <c r="BG211" s="386">
        <v>0</v>
      </c>
      <c r="BH211" s="551">
        <v>0</v>
      </c>
      <c r="BI211" s="386">
        <v>2.88</v>
      </c>
      <c r="BJ211" s="386">
        <v>45.3</v>
      </c>
      <c r="BK211" s="386">
        <v>5.53</v>
      </c>
      <c r="BL211" s="386">
        <v>5.8</v>
      </c>
      <c r="BM211" s="386">
        <v>0</v>
      </c>
      <c r="BN211" s="386">
        <v>33.9</v>
      </c>
      <c r="BO211" s="386">
        <v>2858.9</v>
      </c>
      <c r="BP211" s="386">
        <v>1.7</v>
      </c>
      <c r="BQ211" s="615">
        <v>21.3</v>
      </c>
      <c r="BR211" s="615">
        <v>22</v>
      </c>
      <c r="BS211" s="615">
        <v>14.7</v>
      </c>
      <c r="BT211" s="615">
        <v>14.8</v>
      </c>
      <c r="BU211" s="614">
        <v>30.1</v>
      </c>
      <c r="BV211" s="614">
        <v>36.299999999999997</v>
      </c>
      <c r="BW211" s="615">
        <v>1366</v>
      </c>
      <c r="BX211" s="791"/>
      <c r="BY211" s="615">
        <v>0</v>
      </c>
      <c r="BZ211" s="615">
        <v>1.1000000000000001</v>
      </c>
      <c r="CA211" s="615">
        <v>1.1000000000000001</v>
      </c>
      <c r="CB211" s="615">
        <v>8</v>
      </c>
      <c r="CC211" s="615">
        <v>8</v>
      </c>
      <c r="CD211" s="615">
        <v>15.2</v>
      </c>
      <c r="CE211" s="615">
        <v>32.5</v>
      </c>
      <c r="CF211" s="615">
        <v>17.600000000000001</v>
      </c>
      <c r="CG211" s="615">
        <v>8.3000000000000007</v>
      </c>
      <c r="CH211" s="615">
        <v>13.9</v>
      </c>
      <c r="CI211" s="615">
        <v>18.3</v>
      </c>
      <c r="CJ211" s="615">
        <v>12.8</v>
      </c>
      <c r="CK211" s="615">
        <v>360.3</v>
      </c>
      <c r="CL211" s="615">
        <v>2.6</v>
      </c>
      <c r="CM211" s="615">
        <v>5.7</v>
      </c>
      <c r="CN211" s="615">
        <v>3419.1</v>
      </c>
      <c r="CO211" s="615">
        <v>1171.5</v>
      </c>
      <c r="CP211" s="615">
        <v>651.70000000000005</v>
      </c>
      <c r="CQ211" s="615">
        <v>13.9</v>
      </c>
      <c r="CR211" s="615">
        <v>0.93</v>
      </c>
      <c r="CS211" s="614">
        <v>3453.8</v>
      </c>
      <c r="CT211" s="386">
        <v>17.114999999999998</v>
      </c>
      <c r="CU211" s="386">
        <v>57</v>
      </c>
      <c r="CV211" s="499">
        <v>0</v>
      </c>
      <c r="CW211" s="499">
        <v>0</v>
      </c>
      <c r="CX211" s="499">
        <v>0</v>
      </c>
      <c r="CY211" s="499">
        <v>0</v>
      </c>
      <c r="CZ211" s="643">
        <v>303</v>
      </c>
      <c r="DA211" s="643">
        <v>300</v>
      </c>
      <c r="DB211" s="643">
        <v>189</v>
      </c>
      <c r="DC211" s="609">
        <v>1163.3699999999999</v>
      </c>
      <c r="DD211" s="1153">
        <f t="shared" si="69"/>
        <v>-0.13000000000010914</v>
      </c>
      <c r="DE211" s="1154">
        <f t="shared" si="70"/>
        <v>15.258612096</v>
      </c>
      <c r="DF211" s="1154">
        <f t="shared" si="71"/>
        <v>79</v>
      </c>
      <c r="DG211" s="1154">
        <f t="shared" si="72"/>
        <v>50</v>
      </c>
      <c r="DH211" s="1155" t="str">
        <f t="shared" si="73"/>
        <v>Aub</v>
      </c>
      <c r="DI211" s="1146">
        <f t="shared" si="74"/>
        <v>111</v>
      </c>
      <c r="DJ211" s="1146">
        <f t="shared" si="75"/>
        <v>4.9734720000000001</v>
      </c>
      <c r="DK211" s="1154">
        <f t="shared" si="76"/>
        <v>15.258612096</v>
      </c>
      <c r="DL211" s="615"/>
      <c r="DM211" s="615"/>
      <c r="DN211" s="615"/>
      <c r="DO211" s="499"/>
      <c r="DP211" s="499"/>
      <c r="DQ211" s="499"/>
      <c r="DR211" s="499"/>
      <c r="DS211" s="499"/>
      <c r="DT211" s="499"/>
      <c r="DU211" s="499"/>
      <c r="DV211" s="499"/>
      <c r="DW211" s="499"/>
      <c r="DX211" s="499"/>
      <c r="DY211" s="499"/>
      <c r="DZ211" s="499"/>
      <c r="EA211" s="499"/>
      <c r="EB211" s="499"/>
      <c r="EC211" s="499"/>
      <c r="ED211" s="499"/>
      <c r="EE211" s="499"/>
      <c r="EF211" s="499"/>
      <c r="EG211" s="1146">
        <f t="shared" si="63"/>
        <v>22.5</v>
      </c>
      <c r="EH211" s="642">
        <v>1</v>
      </c>
      <c r="EI211" s="615">
        <v>3</v>
      </c>
      <c r="EJ211" s="613">
        <v>7</v>
      </c>
      <c r="EK211" s="613">
        <v>11.5</v>
      </c>
      <c r="EL211" s="615"/>
      <c r="EM211" s="499"/>
      <c r="EN211" s="499"/>
      <c r="EO211" s="499"/>
      <c r="EP211" s="499"/>
      <c r="EQ211" s="499"/>
      <c r="ER211" s="499"/>
      <c r="ES211" s="388"/>
      <c r="ET211" s="388"/>
      <c r="EV211" s="1167">
        <f t="shared" si="65"/>
        <v>34.807499999999997</v>
      </c>
    </row>
    <row r="212" spans="1:152" s="350" customFormat="1" ht="15" x14ac:dyDescent="0.25">
      <c r="A212" s="632" t="s">
        <v>9</v>
      </c>
      <c r="B212" s="662">
        <v>42938</v>
      </c>
      <c r="C212" s="1132" t="s">
        <v>904</v>
      </c>
      <c r="D212" s="386">
        <v>0</v>
      </c>
      <c r="E212" s="636">
        <v>0</v>
      </c>
      <c r="F212" s="636">
        <v>64</v>
      </c>
      <c r="G212" s="636">
        <v>0.4</v>
      </c>
      <c r="H212" s="386">
        <v>1.82</v>
      </c>
      <c r="I212" s="386">
        <v>0</v>
      </c>
      <c r="J212" s="386">
        <v>0</v>
      </c>
      <c r="K212" s="386">
        <v>1.1000000000000001</v>
      </c>
      <c r="L212" s="636">
        <v>0</v>
      </c>
      <c r="M212" s="386">
        <v>17.3</v>
      </c>
      <c r="N212" s="386">
        <v>1.1399999999999999</v>
      </c>
      <c r="O212" s="386">
        <v>1.3080984294434199</v>
      </c>
      <c r="P212" s="386">
        <v>1.1399999999999999</v>
      </c>
      <c r="Q212" s="386">
        <v>0.64085976370078634</v>
      </c>
      <c r="R212" s="732">
        <v>1250.4242005813953</v>
      </c>
      <c r="S212" s="386">
        <v>8.07</v>
      </c>
      <c r="T212" s="386">
        <v>7.92</v>
      </c>
      <c r="U212" s="386">
        <v>0.94</v>
      </c>
      <c r="V212" s="739">
        <v>0.7</v>
      </c>
      <c r="W212" s="739">
        <v>55.400000000000006</v>
      </c>
      <c r="X212" s="613">
        <v>55.400000000000006</v>
      </c>
      <c r="Y212" s="367">
        <v>33.72</v>
      </c>
      <c r="Z212" s="636">
        <v>54.91</v>
      </c>
      <c r="AA212" s="636">
        <v>35.380000000000003</v>
      </c>
      <c r="AB212" s="636">
        <v>54.82</v>
      </c>
      <c r="AC212" s="1160">
        <f t="shared" si="66"/>
        <v>90.2</v>
      </c>
      <c r="AD212" s="1160">
        <f t="shared" si="67"/>
        <v>139.5394</v>
      </c>
      <c r="AE212" s="1160">
        <f t="shared" si="68"/>
        <v>139.5394</v>
      </c>
      <c r="AF212" s="723"/>
      <c r="AG212" s="1160">
        <f t="shared" si="64"/>
        <v>0</v>
      </c>
      <c r="AH212" s="656"/>
      <c r="AI212" s="656"/>
      <c r="AJ212" s="388"/>
      <c r="AK212" s="388"/>
      <c r="AL212" s="388"/>
      <c r="AM212" s="388"/>
      <c r="AN212" s="388"/>
      <c r="AO212" s="370"/>
      <c r="AP212" s="370"/>
      <c r="AQ212" s="386"/>
      <c r="AR212" s="551">
        <v>0</v>
      </c>
      <c r="AS212" s="386">
        <v>1.8</v>
      </c>
      <c r="AT212" s="386">
        <v>0</v>
      </c>
      <c r="AU212" s="386">
        <v>0</v>
      </c>
      <c r="AV212" s="636">
        <v>567.5</v>
      </c>
      <c r="AW212" s="636">
        <v>2913.7</v>
      </c>
      <c r="AX212" s="386">
        <v>0.2</v>
      </c>
      <c r="AY212" s="551">
        <v>0</v>
      </c>
      <c r="AZ212" s="551">
        <v>0</v>
      </c>
      <c r="BA212" s="551">
        <v>0</v>
      </c>
      <c r="BB212" s="832">
        <v>0</v>
      </c>
      <c r="BC212" s="386">
        <v>1.83</v>
      </c>
      <c r="BD212" s="386">
        <v>3.17</v>
      </c>
      <c r="BE212" s="551">
        <v>0</v>
      </c>
      <c r="BF212" s="386">
        <v>2.0099999999999998</v>
      </c>
      <c r="BG212" s="386">
        <v>0</v>
      </c>
      <c r="BH212" s="551">
        <v>0</v>
      </c>
      <c r="BI212" s="386">
        <v>2.88</v>
      </c>
      <c r="BJ212" s="386">
        <v>45.1</v>
      </c>
      <c r="BK212" s="386">
        <v>5.52</v>
      </c>
      <c r="BL212" s="386">
        <v>5.97</v>
      </c>
      <c r="BM212" s="386">
        <v>0</v>
      </c>
      <c r="BN212" s="386">
        <v>33.700000000000003</v>
      </c>
      <c r="BO212" s="386">
        <v>2824.6</v>
      </c>
      <c r="BP212" s="386">
        <v>1.6</v>
      </c>
      <c r="BQ212" s="615">
        <v>19</v>
      </c>
      <c r="BR212" s="615">
        <v>19.7</v>
      </c>
      <c r="BS212" s="615">
        <v>15.5</v>
      </c>
      <c r="BT212" s="615">
        <v>15.6</v>
      </c>
      <c r="BU212" s="614">
        <v>31.5</v>
      </c>
      <c r="BV212" s="614">
        <v>44.7</v>
      </c>
      <c r="BW212" s="615">
        <v>1472.8</v>
      </c>
      <c r="BX212" s="791"/>
      <c r="BY212" s="615">
        <v>0</v>
      </c>
      <c r="BZ212" s="615">
        <v>1.1100000000000001</v>
      </c>
      <c r="CA212" s="615">
        <v>1.1000000000000001</v>
      </c>
      <c r="CB212" s="615">
        <v>8.1</v>
      </c>
      <c r="CC212" s="615">
        <v>8.1</v>
      </c>
      <c r="CD212" s="615">
        <v>15.7</v>
      </c>
      <c r="CE212" s="615">
        <v>32.200000000000003</v>
      </c>
      <c r="CF212" s="615">
        <v>19.3</v>
      </c>
      <c r="CG212" s="615">
        <v>7.6</v>
      </c>
      <c r="CH212" s="615">
        <v>13.1</v>
      </c>
      <c r="CI212" s="615">
        <v>17.399999999999999</v>
      </c>
      <c r="CJ212" s="615">
        <v>13.7</v>
      </c>
      <c r="CK212" s="615">
        <v>429.9</v>
      </c>
      <c r="CL212" s="615">
        <v>3.4</v>
      </c>
      <c r="CM212" s="615">
        <v>4.8</v>
      </c>
      <c r="CN212" s="615">
        <v>3608.9</v>
      </c>
      <c r="CO212" s="615">
        <v>1246.5999999999999</v>
      </c>
      <c r="CP212" s="615">
        <v>613.20000000000005</v>
      </c>
      <c r="CQ212" s="615">
        <v>14.5</v>
      </c>
      <c r="CR212" s="615">
        <v>0.97</v>
      </c>
      <c r="CS212" s="614">
        <v>3436.6</v>
      </c>
      <c r="CT212" s="386">
        <v>17.53</v>
      </c>
      <c r="CU212" s="386">
        <v>58</v>
      </c>
      <c r="CV212" s="499">
        <v>0</v>
      </c>
      <c r="CW212" s="499">
        <v>0</v>
      </c>
      <c r="CX212" s="499">
        <v>0</v>
      </c>
      <c r="CY212" s="499">
        <v>0</v>
      </c>
      <c r="CZ212" s="643">
        <v>303</v>
      </c>
      <c r="DA212" s="643">
        <v>282</v>
      </c>
      <c r="DB212" s="643">
        <v>178</v>
      </c>
      <c r="DC212" s="609">
        <v>1163.25</v>
      </c>
      <c r="DD212" s="1153">
        <f t="shared" si="69"/>
        <v>-0.11999999999989086</v>
      </c>
      <c r="DE212" s="1154">
        <f t="shared" si="70"/>
        <v>15.182623872000001</v>
      </c>
      <c r="DF212" s="1154">
        <f t="shared" si="71"/>
        <v>68</v>
      </c>
      <c r="DG212" s="1154">
        <f t="shared" si="72"/>
        <v>32</v>
      </c>
      <c r="DH212" s="1155" t="str">
        <f t="shared" si="73"/>
        <v>Aub</v>
      </c>
      <c r="DI212" s="1146">
        <f t="shared" si="74"/>
        <v>104</v>
      </c>
      <c r="DJ212" s="1146">
        <f t="shared" si="75"/>
        <v>4.9487040000000002</v>
      </c>
      <c r="DK212" s="1154">
        <f t="shared" si="76"/>
        <v>15.182623872000001</v>
      </c>
      <c r="DL212" s="615"/>
      <c r="DM212" s="615"/>
      <c r="DN212" s="615"/>
      <c r="DO212" s="499"/>
      <c r="DP212" s="499"/>
      <c r="DQ212" s="499"/>
      <c r="DR212" s="499"/>
      <c r="DS212" s="499"/>
      <c r="DT212" s="499"/>
      <c r="DU212" s="499"/>
      <c r="DV212" s="499"/>
      <c r="DW212" s="499"/>
      <c r="DX212" s="499"/>
      <c r="DY212" s="499"/>
      <c r="DZ212" s="499"/>
      <c r="EA212" s="499"/>
      <c r="EB212" s="499"/>
      <c r="EC212" s="499"/>
      <c r="ED212" s="499"/>
      <c r="EE212" s="499"/>
      <c r="EF212" s="499"/>
      <c r="EG212" s="1146">
        <f t="shared" si="63"/>
        <v>22.5</v>
      </c>
      <c r="EH212" s="642">
        <v>1</v>
      </c>
      <c r="EI212" s="615">
        <v>3</v>
      </c>
      <c r="EJ212" s="613">
        <v>7</v>
      </c>
      <c r="EK212" s="613">
        <v>11.5</v>
      </c>
      <c r="EL212" s="615"/>
      <c r="EM212" s="499"/>
      <c r="EN212" s="499"/>
      <c r="EO212" s="499"/>
      <c r="EP212" s="499"/>
      <c r="EQ212" s="499"/>
      <c r="ER212" s="499"/>
      <c r="ES212" s="388"/>
      <c r="ET212" s="388"/>
      <c r="EV212" s="1167">
        <f t="shared" si="65"/>
        <v>34.807499999999997</v>
      </c>
    </row>
    <row r="213" spans="1:152" s="350" customFormat="1" ht="15" x14ac:dyDescent="0.25">
      <c r="A213" s="632" t="s">
        <v>3</v>
      </c>
      <c r="B213" s="662">
        <v>42939</v>
      </c>
      <c r="C213" s="1132" t="s">
        <v>904</v>
      </c>
      <c r="D213" s="386">
        <v>0</v>
      </c>
      <c r="E213" s="636">
        <v>0</v>
      </c>
      <c r="F213" s="636">
        <v>57</v>
      </c>
      <c r="G213" s="636">
        <v>0.4</v>
      </c>
      <c r="H213" s="386">
        <v>1.82</v>
      </c>
      <c r="I213" s="386">
        <v>18.2</v>
      </c>
      <c r="J213" s="386">
        <v>0</v>
      </c>
      <c r="K213" s="386">
        <v>1.19</v>
      </c>
      <c r="L213" s="610">
        <v>0</v>
      </c>
      <c r="M213" s="386">
        <v>17.3</v>
      </c>
      <c r="N213" s="386">
        <v>1.17</v>
      </c>
      <c r="O213" s="386">
        <v>1.3115884903429247</v>
      </c>
      <c r="P213" s="386">
        <v>1.17</v>
      </c>
      <c r="Q213" s="386">
        <v>0.64832899171594705</v>
      </c>
      <c r="R213" s="732">
        <v>1257.4247093023257</v>
      </c>
      <c r="S213" s="386">
        <v>8.0500000000000007</v>
      </c>
      <c r="T213" s="386">
        <v>7.95</v>
      </c>
      <c r="U213" s="386">
        <v>0.87</v>
      </c>
      <c r="V213" s="739">
        <v>0.85</v>
      </c>
      <c r="W213" s="739">
        <v>55.94</v>
      </c>
      <c r="X213" s="613">
        <v>55.94</v>
      </c>
      <c r="Y213" s="367">
        <v>35.380000000000003</v>
      </c>
      <c r="Z213" s="636">
        <v>54.82</v>
      </c>
      <c r="AA213" s="636">
        <v>35.4</v>
      </c>
      <c r="AB213" s="636">
        <v>54.84</v>
      </c>
      <c r="AC213" s="1160">
        <f t="shared" si="66"/>
        <v>90.240000000000009</v>
      </c>
      <c r="AD213" s="1160">
        <f t="shared" si="67"/>
        <v>139.60128</v>
      </c>
      <c r="AE213" s="1160">
        <f t="shared" si="68"/>
        <v>139.60128</v>
      </c>
      <c r="AF213" s="723"/>
      <c r="AG213" s="1160">
        <f t="shared" si="64"/>
        <v>0</v>
      </c>
      <c r="AH213" s="656"/>
      <c r="AI213" s="656"/>
      <c r="AJ213" s="388"/>
      <c r="AK213" s="388"/>
      <c r="AL213" s="388"/>
      <c r="AM213" s="388"/>
      <c r="AN213" s="388"/>
      <c r="AO213" s="370"/>
      <c r="AP213" s="370"/>
      <c r="AQ213" s="386"/>
      <c r="AR213" s="551">
        <v>0</v>
      </c>
      <c r="AS213" s="386">
        <v>17.600000000000001</v>
      </c>
      <c r="AT213" s="386">
        <v>0</v>
      </c>
      <c r="AU213" s="386">
        <v>0</v>
      </c>
      <c r="AV213" s="636">
        <v>772.5</v>
      </c>
      <c r="AW213" s="636">
        <v>2784.9</v>
      </c>
      <c r="AX213" s="386">
        <v>0.2</v>
      </c>
      <c r="AY213" s="551">
        <v>0</v>
      </c>
      <c r="AZ213" s="551">
        <v>0</v>
      </c>
      <c r="BA213" s="551">
        <v>0</v>
      </c>
      <c r="BB213" s="832">
        <v>0</v>
      </c>
      <c r="BC213" s="386">
        <v>1.83</v>
      </c>
      <c r="BD213" s="386">
        <v>3.17</v>
      </c>
      <c r="BE213" s="551">
        <v>0</v>
      </c>
      <c r="BF213" s="386">
        <v>2.0099999999999998</v>
      </c>
      <c r="BG213" s="386">
        <v>0</v>
      </c>
      <c r="BH213" s="551">
        <v>0</v>
      </c>
      <c r="BI213" s="386">
        <v>2.88</v>
      </c>
      <c r="BJ213" s="386">
        <v>45.2</v>
      </c>
      <c r="BK213" s="386">
        <v>5.53</v>
      </c>
      <c r="BL213" s="386">
        <v>5.98</v>
      </c>
      <c r="BM213" s="386">
        <v>0</v>
      </c>
      <c r="BN213" s="386">
        <v>33.700000000000003</v>
      </c>
      <c r="BO213" s="386">
        <v>3036.5</v>
      </c>
      <c r="BP213" s="386">
        <v>1.5</v>
      </c>
      <c r="BQ213" s="615">
        <v>19</v>
      </c>
      <c r="BR213" s="615">
        <v>19.7</v>
      </c>
      <c r="BS213" s="615">
        <v>15.4</v>
      </c>
      <c r="BT213" s="615">
        <v>15.5</v>
      </c>
      <c r="BU213" s="614">
        <v>31.3</v>
      </c>
      <c r="BV213" s="614">
        <v>37.299999999999997</v>
      </c>
      <c r="BW213" s="615">
        <v>1380.9</v>
      </c>
      <c r="BX213" s="791"/>
      <c r="BY213" s="615">
        <v>0</v>
      </c>
      <c r="BZ213" s="615">
        <v>1.1299999999999999</v>
      </c>
      <c r="CA213" s="615">
        <v>1.1000000000000001</v>
      </c>
      <c r="CB213" s="615">
        <v>8</v>
      </c>
      <c r="CC213" s="615">
        <v>8.1</v>
      </c>
      <c r="CD213" s="615">
        <v>15.3</v>
      </c>
      <c r="CE213" s="615">
        <v>32.200000000000003</v>
      </c>
      <c r="CF213" s="615">
        <v>20.399999999999999</v>
      </c>
      <c r="CG213" s="615">
        <v>8.1</v>
      </c>
      <c r="CH213" s="615">
        <v>13.7</v>
      </c>
      <c r="CI213" s="615">
        <v>18</v>
      </c>
      <c r="CJ213" s="615">
        <v>13.9</v>
      </c>
      <c r="CK213" s="615">
        <v>305.10000000000002</v>
      </c>
      <c r="CL213" s="615">
        <v>1.9</v>
      </c>
      <c r="CM213" s="615">
        <v>3.1</v>
      </c>
      <c r="CN213" s="615">
        <v>3637.6</v>
      </c>
      <c r="CO213" s="615">
        <v>1168.3</v>
      </c>
      <c r="CP213" s="615">
        <v>615.29999999999995</v>
      </c>
      <c r="CQ213" s="615">
        <v>15.1</v>
      </c>
      <c r="CR213" s="615">
        <v>1.07</v>
      </c>
      <c r="CS213" s="614">
        <v>6229.5</v>
      </c>
      <c r="CT213" s="386">
        <v>16.666</v>
      </c>
      <c r="CU213" s="386">
        <v>58</v>
      </c>
      <c r="CV213" s="499">
        <v>0</v>
      </c>
      <c r="CW213" s="499">
        <v>0</v>
      </c>
      <c r="CX213" s="499">
        <v>0</v>
      </c>
      <c r="CY213" s="499">
        <v>0</v>
      </c>
      <c r="CZ213" s="643">
        <v>303</v>
      </c>
      <c r="DA213" s="643">
        <v>278</v>
      </c>
      <c r="DB213" s="643">
        <v>180</v>
      </c>
      <c r="DC213" s="609">
        <v>1163.1199999999999</v>
      </c>
      <c r="DD213" s="1153">
        <f t="shared" si="69"/>
        <v>-0.13000000000010914</v>
      </c>
      <c r="DE213" s="1154">
        <f t="shared" si="70"/>
        <v>27.52143264</v>
      </c>
      <c r="DF213" s="1154">
        <f t="shared" si="71"/>
        <v>70</v>
      </c>
      <c r="DG213" s="1154">
        <f t="shared" si="72"/>
        <v>28</v>
      </c>
      <c r="DH213" s="1155" t="str">
        <f t="shared" si="73"/>
        <v>Aub</v>
      </c>
      <c r="DI213" s="1146">
        <f t="shared" si="74"/>
        <v>98</v>
      </c>
      <c r="DJ213" s="1146">
        <f t="shared" si="75"/>
        <v>8.9704800000000002</v>
      </c>
      <c r="DK213" s="1154">
        <f t="shared" si="76"/>
        <v>27.52143264</v>
      </c>
      <c r="DL213" s="615"/>
      <c r="DM213" s="615"/>
      <c r="DN213" s="615"/>
      <c r="DO213" s="499"/>
      <c r="DP213" s="499"/>
      <c r="DQ213" s="499"/>
      <c r="DR213" s="499"/>
      <c r="DS213" s="499"/>
      <c r="DT213" s="499"/>
      <c r="DU213" s="499"/>
      <c r="DV213" s="499"/>
      <c r="DW213" s="499"/>
      <c r="DX213" s="499"/>
      <c r="DY213" s="499"/>
      <c r="DZ213" s="499"/>
      <c r="EA213" s="499"/>
      <c r="EB213" s="499"/>
      <c r="EC213" s="499"/>
      <c r="ED213" s="499"/>
      <c r="EE213" s="499"/>
      <c r="EF213" s="499"/>
      <c r="EG213" s="1146">
        <f t="shared" si="63"/>
        <v>22.5</v>
      </c>
      <c r="EH213" s="642">
        <v>1</v>
      </c>
      <c r="EI213" s="615">
        <v>3</v>
      </c>
      <c r="EJ213" s="613">
        <v>7</v>
      </c>
      <c r="EK213" s="613">
        <v>11.5</v>
      </c>
      <c r="EL213" s="615"/>
      <c r="EM213" s="499"/>
      <c r="EN213" s="499"/>
      <c r="EO213" s="499"/>
      <c r="EP213" s="499"/>
      <c r="EQ213" s="499"/>
      <c r="ER213" s="499"/>
      <c r="ES213" s="388"/>
      <c r="ET213" s="388"/>
      <c r="EV213" s="1167">
        <f t="shared" si="65"/>
        <v>34.807499999999997</v>
      </c>
    </row>
    <row r="214" spans="1:152" s="350" customFormat="1" ht="15" x14ac:dyDescent="0.25">
      <c r="A214" s="632" t="s">
        <v>4</v>
      </c>
      <c r="B214" s="662">
        <v>42940</v>
      </c>
      <c r="C214" s="1132" t="s">
        <v>904</v>
      </c>
      <c r="D214" s="386">
        <v>0</v>
      </c>
      <c r="E214" s="636">
        <v>0</v>
      </c>
      <c r="F214" s="636">
        <v>57</v>
      </c>
      <c r="G214" s="636">
        <v>0.4</v>
      </c>
      <c r="H214" s="386">
        <v>1.9</v>
      </c>
      <c r="I214" s="386">
        <v>16.7</v>
      </c>
      <c r="J214" s="386">
        <v>0</v>
      </c>
      <c r="K214" s="386">
        <v>1.19</v>
      </c>
      <c r="L214" s="610">
        <v>0</v>
      </c>
      <c r="M214" s="386">
        <v>17.2</v>
      </c>
      <c r="N214" s="386">
        <v>1.19</v>
      </c>
      <c r="O214" s="386">
        <v>1.2919578013162114</v>
      </c>
      <c r="P214" s="386">
        <v>1.23</v>
      </c>
      <c r="Q214" s="386">
        <v>0.64092742455860519</v>
      </c>
      <c r="R214" s="732">
        <v>1256.7579941860465</v>
      </c>
      <c r="S214" s="386">
        <v>8.14</v>
      </c>
      <c r="T214" s="386">
        <v>7.98</v>
      </c>
      <c r="U214" s="386">
        <v>0.94</v>
      </c>
      <c r="V214" s="739">
        <v>0.86</v>
      </c>
      <c r="W214" s="739">
        <v>55.58</v>
      </c>
      <c r="X214" s="613">
        <v>55.58</v>
      </c>
      <c r="Y214" s="367">
        <v>35.4</v>
      </c>
      <c r="Z214" s="636">
        <v>54.84</v>
      </c>
      <c r="AA214" s="636">
        <v>32.9</v>
      </c>
      <c r="AB214" s="636">
        <v>57.69</v>
      </c>
      <c r="AC214" s="1160">
        <f t="shared" si="66"/>
        <v>90.59</v>
      </c>
      <c r="AD214" s="1160">
        <f t="shared" si="67"/>
        <v>140.14273</v>
      </c>
      <c r="AE214" s="1160">
        <f t="shared" si="68"/>
        <v>140.14273</v>
      </c>
      <c r="AF214" s="723"/>
      <c r="AG214" s="1160">
        <f t="shared" si="64"/>
        <v>0</v>
      </c>
      <c r="AH214" s="656"/>
      <c r="AI214" s="656"/>
      <c r="AJ214" s="388"/>
      <c r="AK214" s="388"/>
      <c r="AL214" s="388"/>
      <c r="AM214" s="388"/>
      <c r="AN214" s="388"/>
      <c r="AO214" s="370"/>
      <c r="AP214" s="370"/>
      <c r="AQ214" s="386"/>
      <c r="AR214" s="551">
        <v>0</v>
      </c>
      <c r="AS214" s="386">
        <v>26.3</v>
      </c>
      <c r="AT214" s="386">
        <v>0</v>
      </c>
      <c r="AU214" s="386">
        <v>0</v>
      </c>
      <c r="AV214" s="636">
        <v>866.6</v>
      </c>
      <c r="AW214" s="636">
        <v>2166.3000000000002</v>
      </c>
      <c r="AX214" s="386">
        <v>0.1</v>
      </c>
      <c r="AY214" s="551">
        <v>0</v>
      </c>
      <c r="AZ214" s="551">
        <v>0</v>
      </c>
      <c r="BA214" s="551">
        <v>0</v>
      </c>
      <c r="BB214" s="832">
        <v>0</v>
      </c>
      <c r="BC214" s="386">
        <v>1.84</v>
      </c>
      <c r="BD214" s="386">
        <v>3.17</v>
      </c>
      <c r="BE214" s="551">
        <v>0</v>
      </c>
      <c r="BF214" s="386">
        <v>2.0099999999999998</v>
      </c>
      <c r="BG214" s="386">
        <v>0</v>
      </c>
      <c r="BH214" s="551">
        <v>0</v>
      </c>
      <c r="BI214" s="386">
        <v>2.88</v>
      </c>
      <c r="BJ214" s="386">
        <v>48</v>
      </c>
      <c r="BK214" s="386">
        <v>5.52</v>
      </c>
      <c r="BL214" s="386">
        <v>5.97</v>
      </c>
      <c r="BM214" s="386">
        <v>0</v>
      </c>
      <c r="BN214" s="386">
        <v>36.5</v>
      </c>
      <c r="BO214" s="386">
        <v>3011.1</v>
      </c>
      <c r="BP214" s="386">
        <v>1.6</v>
      </c>
      <c r="BQ214" s="615">
        <v>18.8</v>
      </c>
      <c r="BR214" s="615">
        <v>19.5</v>
      </c>
      <c r="BS214" s="615">
        <v>14.6</v>
      </c>
      <c r="BT214" s="615">
        <v>14.7</v>
      </c>
      <c r="BU214" s="614">
        <v>29.8</v>
      </c>
      <c r="BV214" s="614">
        <v>36</v>
      </c>
      <c r="BW214" s="615">
        <v>1497.6</v>
      </c>
      <c r="BX214" s="791"/>
      <c r="BY214" s="615">
        <v>0</v>
      </c>
      <c r="BZ214" s="615">
        <v>1.1399999999999999</v>
      </c>
      <c r="CA214" s="615">
        <v>1.1000000000000001</v>
      </c>
      <c r="CB214" s="615">
        <v>8</v>
      </c>
      <c r="CC214" s="615">
        <v>8</v>
      </c>
      <c r="CD214" s="615">
        <v>14.9</v>
      </c>
      <c r="CE214" s="615">
        <v>32.200000000000003</v>
      </c>
      <c r="CF214" s="615">
        <v>20.399999999999999</v>
      </c>
      <c r="CG214" s="615">
        <v>8</v>
      </c>
      <c r="CH214" s="615">
        <v>13.5</v>
      </c>
      <c r="CI214" s="615">
        <v>17.899999999999999</v>
      </c>
      <c r="CJ214" s="615">
        <v>12.5</v>
      </c>
      <c r="CK214" s="615">
        <v>308.5</v>
      </c>
      <c r="CL214" s="615">
        <v>2.4</v>
      </c>
      <c r="CM214" s="615">
        <v>3.8</v>
      </c>
      <c r="CN214" s="615">
        <v>3502.5</v>
      </c>
      <c r="CO214" s="615">
        <v>1182.9000000000001</v>
      </c>
      <c r="CP214" s="615">
        <v>665.9</v>
      </c>
      <c r="CQ214" s="615">
        <v>15.1</v>
      </c>
      <c r="CR214" s="615">
        <v>1.0900000000000001</v>
      </c>
      <c r="CS214" s="614">
        <v>5157.5</v>
      </c>
      <c r="CT214" s="386">
        <v>16.245000000000001</v>
      </c>
      <c r="CU214" s="386">
        <v>58</v>
      </c>
      <c r="CV214" s="499">
        <v>0</v>
      </c>
      <c r="CW214" s="499">
        <v>0</v>
      </c>
      <c r="CX214" s="499">
        <v>0</v>
      </c>
      <c r="CY214" s="499">
        <v>0</v>
      </c>
      <c r="CZ214" s="643">
        <v>300</v>
      </c>
      <c r="DA214" s="643">
        <v>340</v>
      </c>
      <c r="DB214" s="643">
        <v>176</v>
      </c>
      <c r="DC214" s="609">
        <v>1162.97</v>
      </c>
      <c r="DD214" s="1153">
        <f t="shared" si="69"/>
        <v>-0.14999999999986358</v>
      </c>
      <c r="DE214" s="1154">
        <f t="shared" si="70"/>
        <v>22.785422400000002</v>
      </c>
      <c r="DF214" s="1154">
        <f t="shared" si="71"/>
        <v>66</v>
      </c>
      <c r="DG214" s="1154">
        <f t="shared" si="72"/>
        <v>90</v>
      </c>
      <c r="DH214" s="1155" t="str">
        <f t="shared" si="73"/>
        <v>Palm</v>
      </c>
      <c r="DI214" s="1146">
        <f t="shared" si="74"/>
        <v>164</v>
      </c>
      <c r="DJ214" s="1146">
        <f t="shared" si="75"/>
        <v>7.4268000000000001</v>
      </c>
      <c r="DK214" s="1154">
        <f t="shared" si="76"/>
        <v>22.785422400000002</v>
      </c>
      <c r="DL214" s="615"/>
      <c r="DM214" s="615"/>
      <c r="DN214" s="615"/>
      <c r="DO214" s="499"/>
      <c r="DP214" s="499"/>
      <c r="DQ214" s="499"/>
      <c r="DR214" s="499"/>
      <c r="DS214" s="499"/>
      <c r="DT214" s="499"/>
      <c r="DU214" s="499"/>
      <c r="DV214" s="499"/>
      <c r="DW214" s="499"/>
      <c r="DX214" s="499"/>
      <c r="DY214" s="499"/>
      <c r="DZ214" s="499"/>
      <c r="EA214" s="499"/>
      <c r="EB214" s="499"/>
      <c r="EC214" s="499"/>
      <c r="ED214" s="499"/>
      <c r="EE214" s="499"/>
      <c r="EF214" s="499"/>
      <c r="EG214" s="1146">
        <f t="shared" si="63"/>
        <v>22.5</v>
      </c>
      <c r="EH214" s="642">
        <v>1</v>
      </c>
      <c r="EI214" s="615">
        <v>3</v>
      </c>
      <c r="EJ214" s="613">
        <v>7</v>
      </c>
      <c r="EK214" s="613">
        <v>11.5</v>
      </c>
      <c r="EL214" s="615"/>
      <c r="EM214" s="499"/>
      <c r="EN214" s="499"/>
      <c r="EO214" s="499"/>
      <c r="EP214" s="499"/>
      <c r="EQ214" s="499"/>
      <c r="ER214" s="499"/>
      <c r="ES214" s="388"/>
      <c r="ET214" s="388"/>
      <c r="EV214" s="1167">
        <f t="shared" si="65"/>
        <v>34.807499999999997</v>
      </c>
    </row>
    <row r="215" spans="1:152" s="350" customFormat="1" ht="15" x14ac:dyDescent="0.25">
      <c r="A215" s="632" t="s">
        <v>5</v>
      </c>
      <c r="B215" s="662">
        <v>42941</v>
      </c>
      <c r="C215" s="1132" t="s">
        <v>904</v>
      </c>
      <c r="D215" s="386">
        <v>0</v>
      </c>
      <c r="E215" s="636">
        <v>0</v>
      </c>
      <c r="F215" s="636">
        <v>61</v>
      </c>
      <c r="G215" s="636">
        <v>0.4</v>
      </c>
      <c r="H215" s="386">
        <v>1.89</v>
      </c>
      <c r="I215" s="386">
        <v>17.100000000000001</v>
      </c>
      <c r="J215" s="386">
        <v>0</v>
      </c>
      <c r="K215" s="386">
        <v>1.23</v>
      </c>
      <c r="L215" s="610">
        <v>0</v>
      </c>
      <c r="M215" s="386">
        <v>17.2</v>
      </c>
      <c r="N215" s="386">
        <v>1.2</v>
      </c>
      <c r="O215" s="386">
        <v>1.2537354488399772</v>
      </c>
      <c r="P215" s="386">
        <v>1.19</v>
      </c>
      <c r="Q215" s="386">
        <v>0.63840796402532562</v>
      </c>
      <c r="R215" s="732">
        <v>1244.7571220930233</v>
      </c>
      <c r="S215" s="386">
        <v>8.09</v>
      </c>
      <c r="T215" s="386">
        <v>8.0299999999999994</v>
      </c>
      <c r="U215" s="386">
        <v>0.89</v>
      </c>
      <c r="V215" s="636">
        <v>0.87</v>
      </c>
      <c r="W215" s="636">
        <v>55.94</v>
      </c>
      <c r="X215" s="613">
        <v>55.760000000000005</v>
      </c>
      <c r="Y215" s="367">
        <v>32.9</v>
      </c>
      <c r="Z215" s="636">
        <v>57.69</v>
      </c>
      <c r="AA215" s="636">
        <v>31.3</v>
      </c>
      <c r="AB215" s="636">
        <v>59.84</v>
      </c>
      <c r="AC215" s="1160">
        <f t="shared" si="66"/>
        <v>91.14</v>
      </c>
      <c r="AD215" s="1160">
        <f t="shared" si="67"/>
        <v>140.99358000000001</v>
      </c>
      <c r="AE215" s="1160">
        <f t="shared" si="68"/>
        <v>140.99358000000001</v>
      </c>
      <c r="AF215" s="723"/>
      <c r="AG215" s="1160">
        <f t="shared" si="64"/>
        <v>0</v>
      </c>
      <c r="AH215" s="656"/>
      <c r="AI215" s="656"/>
      <c r="AJ215" s="388"/>
      <c r="AK215" s="388"/>
      <c r="AL215" s="388"/>
      <c r="AM215" s="388"/>
      <c r="AN215" s="388"/>
      <c r="AO215" s="370"/>
      <c r="AP215" s="370"/>
      <c r="AQ215" s="386"/>
      <c r="AR215" s="551">
        <v>0</v>
      </c>
      <c r="AS215" s="386">
        <v>24.7</v>
      </c>
      <c r="AT215" s="386">
        <v>0</v>
      </c>
      <c r="AU215" s="386">
        <v>0</v>
      </c>
      <c r="AV215" s="636">
        <v>819.2</v>
      </c>
      <c r="AW215" s="636">
        <v>2342.1</v>
      </c>
      <c r="AX215" s="386">
        <v>0</v>
      </c>
      <c r="AY215" s="551">
        <v>0</v>
      </c>
      <c r="AZ215" s="551">
        <v>0</v>
      </c>
      <c r="BA215" s="551">
        <v>0</v>
      </c>
      <c r="BB215" s="832">
        <v>0</v>
      </c>
      <c r="BC215" s="386">
        <v>1.83</v>
      </c>
      <c r="BD215" s="386">
        <v>3.17</v>
      </c>
      <c r="BE215" s="551">
        <v>0</v>
      </c>
      <c r="BF215" s="386">
        <v>2.0099999999999998</v>
      </c>
      <c r="BG215" s="386">
        <v>0</v>
      </c>
      <c r="BH215" s="551">
        <v>0</v>
      </c>
      <c r="BI215" s="386">
        <v>2.93</v>
      </c>
      <c r="BJ215" s="386">
        <v>50.1</v>
      </c>
      <c r="BK215" s="386">
        <v>6.04</v>
      </c>
      <c r="BL215" s="386">
        <v>5.44</v>
      </c>
      <c r="BM215" s="386">
        <v>0</v>
      </c>
      <c r="BN215" s="386">
        <v>38.6</v>
      </c>
      <c r="BO215" s="386">
        <v>2938.7</v>
      </c>
      <c r="BP215" s="386">
        <v>22.9</v>
      </c>
      <c r="BQ215" s="615">
        <v>17.600000000000001</v>
      </c>
      <c r="BR215" s="615">
        <v>18.3</v>
      </c>
      <c r="BS215" s="615">
        <v>13.7</v>
      </c>
      <c r="BT215" s="615">
        <v>13.1</v>
      </c>
      <c r="BU215" s="614">
        <v>22.6</v>
      </c>
      <c r="BV215" s="614">
        <v>36.299999999999997</v>
      </c>
      <c r="BW215" s="615">
        <v>1442.1</v>
      </c>
      <c r="BX215" s="791"/>
      <c r="BY215" s="615">
        <v>0</v>
      </c>
      <c r="BZ215" s="615">
        <v>1.1100000000000001</v>
      </c>
      <c r="CA215" s="615">
        <v>1.1000000000000001</v>
      </c>
      <c r="CB215" s="615">
        <v>8</v>
      </c>
      <c r="CC215" s="615">
        <v>8.1</v>
      </c>
      <c r="CD215" s="615">
        <v>15.6</v>
      </c>
      <c r="CE215" s="615">
        <v>32.200000000000003</v>
      </c>
      <c r="CF215" s="615">
        <v>19.399999999999999</v>
      </c>
      <c r="CG215" s="615">
        <v>8</v>
      </c>
      <c r="CH215" s="615">
        <v>13.6</v>
      </c>
      <c r="CI215" s="615">
        <v>18</v>
      </c>
      <c r="CJ215" s="615">
        <v>14</v>
      </c>
      <c r="CK215" s="615">
        <v>379.3</v>
      </c>
      <c r="CL215" s="615">
        <v>3.1</v>
      </c>
      <c r="CM215" s="615">
        <v>4</v>
      </c>
      <c r="CN215" s="615">
        <v>3460.8</v>
      </c>
      <c r="CO215" s="615">
        <v>1173.9000000000001</v>
      </c>
      <c r="CP215" s="615">
        <v>648.6</v>
      </c>
      <c r="CQ215" s="615">
        <v>14.6</v>
      </c>
      <c r="CR215" s="615">
        <v>1.1100000000000001</v>
      </c>
      <c r="CS215" s="614">
        <v>4836.6000000000004</v>
      </c>
      <c r="CT215" s="386">
        <v>15.94</v>
      </c>
      <c r="CU215" s="386">
        <v>58</v>
      </c>
      <c r="CV215" s="499">
        <v>0</v>
      </c>
      <c r="CW215" s="499">
        <v>0</v>
      </c>
      <c r="CX215" s="499">
        <v>0</v>
      </c>
      <c r="CY215" s="499">
        <v>0</v>
      </c>
      <c r="CZ215" s="643">
        <v>297</v>
      </c>
      <c r="DA215" s="643">
        <v>335</v>
      </c>
      <c r="DB215" s="643">
        <v>171</v>
      </c>
      <c r="DC215" s="609">
        <v>1162.82</v>
      </c>
      <c r="DD215" s="1153">
        <f t="shared" si="69"/>
        <v>-0.15000000000009095</v>
      </c>
      <c r="DE215" s="1154">
        <f t="shared" si="70"/>
        <v>21.367711872000005</v>
      </c>
      <c r="DF215" s="1154">
        <f t="shared" si="71"/>
        <v>61</v>
      </c>
      <c r="DG215" s="1154">
        <f t="shared" si="72"/>
        <v>85</v>
      </c>
      <c r="DH215" s="1155" t="str">
        <f t="shared" si="73"/>
        <v>Palm</v>
      </c>
      <c r="DI215" s="1146">
        <f t="shared" si="74"/>
        <v>164</v>
      </c>
      <c r="DJ215" s="1146">
        <f t="shared" si="75"/>
        <v>6.9647040000000011</v>
      </c>
      <c r="DK215" s="1154">
        <f t="shared" si="76"/>
        <v>21.367711872000005</v>
      </c>
      <c r="DL215" s="615"/>
      <c r="DM215" s="615"/>
      <c r="DN215" s="615"/>
      <c r="DO215" s="499"/>
      <c r="DP215" s="499"/>
      <c r="DQ215" s="499"/>
      <c r="DR215" s="499"/>
      <c r="DS215" s="499"/>
      <c r="DT215" s="499"/>
      <c r="DU215" s="499"/>
      <c r="DV215" s="499"/>
      <c r="DW215" s="499"/>
      <c r="DX215" s="499"/>
      <c r="DY215" s="499"/>
      <c r="DZ215" s="499"/>
      <c r="EA215" s="499"/>
      <c r="EB215" s="499"/>
      <c r="EC215" s="499"/>
      <c r="ED215" s="499"/>
      <c r="EE215" s="499"/>
      <c r="EF215" s="499"/>
      <c r="EG215" s="1146">
        <f t="shared" si="63"/>
        <v>22.5</v>
      </c>
      <c r="EH215" s="642">
        <v>1</v>
      </c>
      <c r="EI215" s="615">
        <v>3</v>
      </c>
      <c r="EJ215" s="613">
        <v>7</v>
      </c>
      <c r="EK215" s="613">
        <v>11.5</v>
      </c>
      <c r="EL215" s="615"/>
      <c r="EM215" s="499"/>
      <c r="EN215" s="499"/>
      <c r="EO215" s="499"/>
      <c r="EP215" s="499"/>
      <c r="EQ215" s="499"/>
      <c r="ER215" s="499"/>
      <c r="ES215" s="388"/>
      <c r="ET215" s="388"/>
      <c r="EV215" s="1167">
        <f t="shared" si="65"/>
        <v>34.807499999999997</v>
      </c>
    </row>
    <row r="216" spans="1:152" s="350" customFormat="1" ht="15" x14ac:dyDescent="0.25">
      <c r="A216" s="632" t="s">
        <v>6</v>
      </c>
      <c r="B216" s="662">
        <v>42942</v>
      </c>
      <c r="C216" s="1132" t="s">
        <v>904</v>
      </c>
      <c r="D216" s="386">
        <v>0</v>
      </c>
      <c r="E216" s="636">
        <v>0</v>
      </c>
      <c r="F216" s="636">
        <v>60</v>
      </c>
      <c r="G216" s="636">
        <v>0.4</v>
      </c>
      <c r="H216" s="386">
        <v>1.86</v>
      </c>
      <c r="I216" s="386">
        <v>16.7</v>
      </c>
      <c r="J216" s="386">
        <v>0</v>
      </c>
      <c r="K216" s="386">
        <v>1.23</v>
      </c>
      <c r="L216" s="610">
        <v>0</v>
      </c>
      <c r="M216" s="386">
        <v>17</v>
      </c>
      <c r="N216" s="386">
        <v>1.18</v>
      </c>
      <c r="O216" s="386">
        <v>1.2745447564722603</v>
      </c>
      <c r="P216" s="386">
        <v>1.2</v>
      </c>
      <c r="Q216" s="386">
        <v>0.64251348147886467</v>
      </c>
      <c r="R216" s="732">
        <v>1270.7590116279071</v>
      </c>
      <c r="S216" s="386">
        <v>8.0399999999999991</v>
      </c>
      <c r="T216" s="386">
        <v>7.97</v>
      </c>
      <c r="U216" s="386">
        <v>0.78</v>
      </c>
      <c r="V216" s="636">
        <v>0.8</v>
      </c>
      <c r="W216" s="636">
        <v>56.3</v>
      </c>
      <c r="X216" s="613">
        <v>56.3</v>
      </c>
      <c r="Y216" s="367">
        <v>31.3</v>
      </c>
      <c r="Z216" s="636">
        <v>59.84</v>
      </c>
      <c r="AA216" s="636">
        <v>32.200000000000003</v>
      </c>
      <c r="AB216" s="636">
        <v>59.84</v>
      </c>
      <c r="AC216" s="1160">
        <f t="shared" si="66"/>
        <v>92.04</v>
      </c>
      <c r="AD216" s="1160">
        <f t="shared" si="67"/>
        <v>142.38588000000001</v>
      </c>
      <c r="AE216" s="1160">
        <f t="shared" si="68"/>
        <v>142.38588000000001</v>
      </c>
      <c r="AF216" s="723"/>
      <c r="AG216" s="1160">
        <f t="shared" si="64"/>
        <v>0</v>
      </c>
      <c r="AH216" s="656"/>
      <c r="AI216" s="656"/>
      <c r="AJ216" s="388"/>
      <c r="AK216" s="388"/>
      <c r="AL216" s="388"/>
      <c r="AM216" s="388"/>
      <c r="AN216" s="388"/>
      <c r="AO216" s="370"/>
      <c r="AP216" s="370"/>
      <c r="AQ216" s="386"/>
      <c r="AR216" s="790">
        <v>0</v>
      </c>
      <c r="AS216" s="636">
        <v>26.9</v>
      </c>
      <c r="AT216" s="636">
        <v>0</v>
      </c>
      <c r="AU216" s="636">
        <v>0</v>
      </c>
      <c r="AV216" s="636">
        <v>989.5</v>
      </c>
      <c r="AW216" s="636">
        <v>2487.1</v>
      </c>
      <c r="AX216" s="636">
        <v>0.4</v>
      </c>
      <c r="AY216" s="790">
        <v>0</v>
      </c>
      <c r="AZ216" s="790">
        <v>0</v>
      </c>
      <c r="BA216" s="790">
        <v>0</v>
      </c>
      <c r="BB216" s="989">
        <v>0</v>
      </c>
      <c r="BC216" s="636">
        <v>1.83</v>
      </c>
      <c r="BD216" s="636">
        <v>3.17</v>
      </c>
      <c r="BE216" s="790">
        <v>0</v>
      </c>
      <c r="BF216" s="636">
        <v>1.99</v>
      </c>
      <c r="BG216" s="636">
        <v>0</v>
      </c>
      <c r="BH216" s="790">
        <v>0</v>
      </c>
      <c r="BI216" s="636">
        <v>3.02</v>
      </c>
      <c r="BJ216" s="636">
        <v>50</v>
      </c>
      <c r="BK216" s="636">
        <v>6.09</v>
      </c>
      <c r="BL216" s="636">
        <v>5.39</v>
      </c>
      <c r="BM216" s="636">
        <v>0</v>
      </c>
      <c r="BN216" s="636">
        <v>38.5</v>
      </c>
      <c r="BO216" s="636">
        <v>3015.8</v>
      </c>
      <c r="BP216" s="636">
        <v>1.6</v>
      </c>
      <c r="BQ216" s="642">
        <v>18.8</v>
      </c>
      <c r="BR216" s="642">
        <v>19.5</v>
      </c>
      <c r="BS216" s="642">
        <v>13.8</v>
      </c>
      <c r="BT216" s="642">
        <v>13.9</v>
      </c>
      <c r="BU216" s="654">
        <v>28.4</v>
      </c>
      <c r="BV216" s="654">
        <v>30</v>
      </c>
      <c r="BW216" s="642">
        <v>1493.1</v>
      </c>
      <c r="BX216" s="792"/>
      <c r="BY216" s="642">
        <v>0</v>
      </c>
      <c r="BZ216" s="642">
        <v>1.1000000000000001</v>
      </c>
      <c r="CA216" s="642">
        <v>1.1000000000000001</v>
      </c>
      <c r="CB216" s="642">
        <v>8</v>
      </c>
      <c r="CC216" s="642">
        <v>8.1</v>
      </c>
      <c r="CD216" s="642">
        <v>14.4</v>
      </c>
      <c r="CE216" s="642">
        <v>32.299999999999997</v>
      </c>
      <c r="CF216" s="642">
        <v>19.3</v>
      </c>
      <c r="CG216" s="642">
        <v>8.1</v>
      </c>
      <c r="CH216" s="642">
        <v>13.7</v>
      </c>
      <c r="CI216" s="642">
        <v>18.100000000000001</v>
      </c>
      <c r="CJ216" s="642">
        <v>12.5</v>
      </c>
      <c r="CK216" s="642">
        <v>261.3</v>
      </c>
      <c r="CL216" s="642">
        <v>1</v>
      </c>
      <c r="CM216" s="642">
        <v>2.7</v>
      </c>
      <c r="CN216" s="642">
        <v>3637.1</v>
      </c>
      <c r="CO216" s="642">
        <v>1192.7</v>
      </c>
      <c r="CP216" s="642">
        <v>681.7</v>
      </c>
      <c r="CQ216" s="642">
        <v>15.1</v>
      </c>
      <c r="CR216" s="642">
        <v>1.21</v>
      </c>
      <c r="CS216" s="654">
        <v>6146.8</v>
      </c>
      <c r="CT216" s="636">
        <v>15.324999999999999</v>
      </c>
      <c r="CU216" s="636">
        <v>58</v>
      </c>
      <c r="CV216" s="630">
        <v>0</v>
      </c>
      <c r="CW216" s="630">
        <v>0</v>
      </c>
      <c r="CX216" s="630">
        <v>0</v>
      </c>
      <c r="CY216" s="630">
        <v>0</v>
      </c>
      <c r="CZ216" s="643">
        <v>276</v>
      </c>
      <c r="DA216" s="643">
        <v>331</v>
      </c>
      <c r="DB216" s="643">
        <v>150</v>
      </c>
      <c r="DC216" s="609">
        <v>1162.68</v>
      </c>
      <c r="DD216" s="1153">
        <f t="shared" si="69"/>
        <v>-0.13999999999987267</v>
      </c>
      <c r="DE216" s="1154">
        <f t="shared" si="70"/>
        <v>27.156070656000001</v>
      </c>
      <c r="DF216" s="1154">
        <f t="shared" si="71"/>
        <v>40</v>
      </c>
      <c r="DG216" s="1154">
        <f t="shared" si="72"/>
        <v>81</v>
      </c>
      <c r="DH216" s="1155" t="str">
        <f t="shared" si="73"/>
        <v>Palm</v>
      </c>
      <c r="DI216" s="1146">
        <f t="shared" si="74"/>
        <v>181</v>
      </c>
      <c r="DJ216" s="1146">
        <f t="shared" si="75"/>
        <v>8.8513920000000006</v>
      </c>
      <c r="DK216" s="1154">
        <f t="shared" si="76"/>
        <v>27.156070656000001</v>
      </c>
      <c r="DL216" s="615"/>
      <c r="DM216" s="615"/>
      <c r="DN216" s="615"/>
      <c r="DO216" s="499"/>
      <c r="DP216" s="499"/>
      <c r="DQ216" s="499"/>
      <c r="DR216" s="499"/>
      <c r="DS216" s="499"/>
      <c r="DT216" s="499"/>
      <c r="DU216" s="499"/>
      <c r="DV216" s="499"/>
      <c r="DW216" s="499"/>
      <c r="DX216" s="499"/>
      <c r="DY216" s="499"/>
      <c r="DZ216" s="499"/>
      <c r="EA216" s="499"/>
      <c r="EB216" s="499"/>
      <c r="EC216" s="499"/>
      <c r="ED216" s="499"/>
      <c r="EE216" s="499"/>
      <c r="EF216" s="499"/>
      <c r="EG216" s="1146">
        <f t="shared" si="63"/>
        <v>22.5</v>
      </c>
      <c r="EH216" s="642">
        <v>1</v>
      </c>
      <c r="EI216" s="615">
        <v>3</v>
      </c>
      <c r="EJ216" s="613">
        <v>7</v>
      </c>
      <c r="EK216" s="613">
        <v>11.5</v>
      </c>
      <c r="EL216" s="615"/>
      <c r="EM216" s="499"/>
      <c r="EN216" s="499"/>
      <c r="EO216" s="499"/>
      <c r="EP216" s="499"/>
      <c r="EQ216" s="499"/>
      <c r="ER216" s="499"/>
      <c r="ES216" s="388"/>
      <c r="ET216" s="388"/>
      <c r="EV216" s="1167">
        <f t="shared" si="65"/>
        <v>34.807499999999997</v>
      </c>
    </row>
    <row r="217" spans="1:152" s="350" customFormat="1" ht="15" x14ac:dyDescent="0.25">
      <c r="A217" s="632" t="s">
        <v>7</v>
      </c>
      <c r="B217" s="662">
        <v>42943</v>
      </c>
      <c r="C217" s="1132" t="s">
        <v>904</v>
      </c>
      <c r="D217" s="386">
        <v>0</v>
      </c>
      <c r="E217" s="636">
        <v>0</v>
      </c>
      <c r="F217" s="636">
        <v>54</v>
      </c>
      <c r="G217" s="636">
        <v>0.4</v>
      </c>
      <c r="H217" s="386">
        <v>1.78</v>
      </c>
      <c r="I217" s="386">
        <v>17.5</v>
      </c>
      <c r="J217" s="386">
        <v>0</v>
      </c>
      <c r="K217" s="386">
        <v>1.22</v>
      </c>
      <c r="L217" s="636">
        <v>0</v>
      </c>
      <c r="M217" s="386">
        <v>17.100000000000001</v>
      </c>
      <c r="N217" s="386">
        <v>1.1299999999999999</v>
      </c>
      <c r="O217" s="386">
        <v>1.2766045999380808</v>
      </c>
      <c r="P217" s="386">
        <v>1.17</v>
      </c>
      <c r="Q217" s="386">
        <v>0.65414578093023268</v>
      </c>
      <c r="R217" s="732">
        <v>1285.4267441860466</v>
      </c>
      <c r="S217" s="386">
        <v>8.0500000000000007</v>
      </c>
      <c r="T217" s="386">
        <v>7.97</v>
      </c>
      <c r="U217" s="386">
        <v>0.83</v>
      </c>
      <c r="V217" s="636">
        <v>0.83</v>
      </c>
      <c r="W217" s="636">
        <v>56.3</v>
      </c>
      <c r="X217" s="613">
        <v>56.3</v>
      </c>
      <c r="Y217" s="367">
        <v>32.200000000000003</v>
      </c>
      <c r="Z217" s="636">
        <v>59.84</v>
      </c>
      <c r="AA217" s="636">
        <v>32.909999999999997</v>
      </c>
      <c r="AB217" s="636">
        <v>59.86</v>
      </c>
      <c r="AC217" s="1160">
        <f t="shared" si="66"/>
        <v>92.77</v>
      </c>
      <c r="AD217" s="1160">
        <f t="shared" si="67"/>
        <v>143.51518999999999</v>
      </c>
      <c r="AE217" s="1160">
        <f t="shared" si="68"/>
        <v>143.51518999999999</v>
      </c>
      <c r="AF217" s="723"/>
      <c r="AG217" s="1160">
        <f t="shared" si="64"/>
        <v>0</v>
      </c>
      <c r="AH217" s="656"/>
      <c r="AI217" s="656"/>
      <c r="AJ217" s="388"/>
      <c r="AK217" s="388"/>
      <c r="AL217" s="388"/>
      <c r="AM217" s="388"/>
      <c r="AN217" s="388"/>
      <c r="AO217" s="370"/>
      <c r="AP217" s="370"/>
      <c r="AQ217" s="386"/>
      <c r="AR217" s="551">
        <v>0</v>
      </c>
      <c r="AS217" s="386">
        <v>24.1</v>
      </c>
      <c r="AT217" s="386">
        <v>0</v>
      </c>
      <c r="AU217" s="636">
        <v>0</v>
      </c>
      <c r="AV217" s="386">
        <v>795.2</v>
      </c>
      <c r="AW217" s="636">
        <v>2301.1</v>
      </c>
      <c r="AX217" s="386">
        <v>0</v>
      </c>
      <c r="AY217" s="551">
        <v>0</v>
      </c>
      <c r="AZ217" s="551">
        <v>0</v>
      </c>
      <c r="BA217" s="551">
        <v>0</v>
      </c>
      <c r="BB217" s="832">
        <v>0</v>
      </c>
      <c r="BC217" s="386">
        <v>1.89</v>
      </c>
      <c r="BD217" s="386">
        <v>3.11</v>
      </c>
      <c r="BE217" s="551">
        <v>0</v>
      </c>
      <c r="BF217" s="386">
        <v>1.99</v>
      </c>
      <c r="BG217" s="386">
        <v>0</v>
      </c>
      <c r="BH217" s="551">
        <v>0</v>
      </c>
      <c r="BI217" s="386">
        <v>3.02</v>
      </c>
      <c r="BJ217" s="386">
        <v>50</v>
      </c>
      <c r="BK217" s="386">
        <v>5.78</v>
      </c>
      <c r="BL217" s="386">
        <v>5.71</v>
      </c>
      <c r="BM217" s="386">
        <v>0</v>
      </c>
      <c r="BN217" s="386">
        <v>38.5</v>
      </c>
      <c r="BO217" s="386">
        <v>2840.8</v>
      </c>
      <c r="BP217" s="386">
        <v>1.7</v>
      </c>
      <c r="BQ217" s="615">
        <v>20</v>
      </c>
      <c r="BR217" s="615">
        <v>20.7</v>
      </c>
      <c r="BS217" s="615">
        <v>14.3</v>
      </c>
      <c r="BT217" s="615">
        <v>14.4</v>
      </c>
      <c r="BU217" s="614">
        <v>29.3</v>
      </c>
      <c r="BV217" s="614">
        <v>30.8</v>
      </c>
      <c r="BW217" s="615">
        <v>1391.7</v>
      </c>
      <c r="BX217" s="791"/>
      <c r="BY217" s="615">
        <v>0</v>
      </c>
      <c r="BZ217" s="615">
        <v>1</v>
      </c>
      <c r="CA217" s="615">
        <v>1.1000000000000001</v>
      </c>
      <c r="CB217" s="615">
        <v>8</v>
      </c>
      <c r="CC217" s="615">
        <v>8</v>
      </c>
      <c r="CD217" s="615">
        <v>14.7</v>
      </c>
      <c r="CE217" s="615">
        <v>32.4</v>
      </c>
      <c r="CF217" s="615">
        <v>18.600000000000001</v>
      </c>
      <c r="CG217" s="615">
        <v>8.9</v>
      </c>
      <c r="CH217" s="615">
        <v>14.6</v>
      </c>
      <c r="CI217" s="615">
        <v>19.100000000000001</v>
      </c>
      <c r="CJ217" s="615">
        <v>12.9</v>
      </c>
      <c r="CK217" s="615">
        <v>376.2</v>
      </c>
      <c r="CL217" s="615">
        <v>2.2000000000000002</v>
      </c>
      <c r="CM217" s="615">
        <v>2.7</v>
      </c>
      <c r="CN217" s="615">
        <v>3348.5</v>
      </c>
      <c r="CO217" s="615">
        <v>1067.9000000000001</v>
      </c>
      <c r="CP217" s="615">
        <v>634.6</v>
      </c>
      <c r="CQ217" s="615">
        <v>14.7</v>
      </c>
      <c r="CR217" s="615">
        <v>1.17</v>
      </c>
      <c r="CS217" s="614">
        <v>4356.3999999999996</v>
      </c>
      <c r="CT217" s="386">
        <v>14.817</v>
      </c>
      <c r="CU217" s="386">
        <v>58</v>
      </c>
      <c r="CV217" s="499">
        <v>0</v>
      </c>
      <c r="CW217" s="499">
        <v>0</v>
      </c>
      <c r="CX217" s="499">
        <v>0</v>
      </c>
      <c r="CY217" s="499">
        <v>0</v>
      </c>
      <c r="CZ217" s="643">
        <v>276</v>
      </c>
      <c r="DA217" s="643">
        <v>299</v>
      </c>
      <c r="DB217" s="643">
        <v>147</v>
      </c>
      <c r="DC217" s="609">
        <v>1162.55</v>
      </c>
      <c r="DD217" s="1153">
        <f t="shared" si="69"/>
        <v>-0.13000000000010914</v>
      </c>
      <c r="DE217" s="1154">
        <f t="shared" si="70"/>
        <v>19.246226687999997</v>
      </c>
      <c r="DF217" s="1154">
        <f t="shared" si="71"/>
        <v>37</v>
      </c>
      <c r="DG217" s="1154">
        <f t="shared" si="72"/>
        <v>49</v>
      </c>
      <c r="DH217" s="1155" t="str">
        <f t="shared" si="73"/>
        <v>Palm</v>
      </c>
      <c r="DI217" s="1146">
        <f t="shared" si="74"/>
        <v>152</v>
      </c>
      <c r="DJ217" s="1146">
        <f t="shared" si="75"/>
        <v>6.2732159999999988</v>
      </c>
      <c r="DK217" s="1154">
        <f t="shared" si="76"/>
        <v>19.246226687999997</v>
      </c>
      <c r="DL217" s="615"/>
      <c r="DM217" s="615"/>
      <c r="DN217" s="615"/>
      <c r="DO217" s="499"/>
      <c r="DP217" s="499"/>
      <c r="DQ217" s="499"/>
      <c r="DR217" s="499"/>
      <c r="DS217" s="499"/>
      <c r="DT217" s="499"/>
      <c r="DU217" s="499"/>
      <c r="DV217" s="499"/>
      <c r="DW217" s="499"/>
      <c r="DX217" s="499"/>
      <c r="DY217" s="499"/>
      <c r="DZ217" s="499"/>
      <c r="EA217" s="499"/>
      <c r="EB217" s="499"/>
      <c r="EC217" s="499"/>
      <c r="ED217" s="499"/>
      <c r="EE217" s="499"/>
      <c r="EF217" s="499"/>
      <c r="EG217" s="1146">
        <f t="shared" si="63"/>
        <v>22.5</v>
      </c>
      <c r="EH217" s="642">
        <v>1</v>
      </c>
      <c r="EI217" s="615">
        <v>3</v>
      </c>
      <c r="EJ217" s="613">
        <v>7</v>
      </c>
      <c r="EK217" s="613">
        <v>11.5</v>
      </c>
      <c r="EL217" s="615"/>
      <c r="EM217" s="499"/>
      <c r="EN217" s="499"/>
      <c r="EO217" s="499"/>
      <c r="EP217" s="499"/>
      <c r="EQ217" s="499"/>
      <c r="ER217" s="499"/>
      <c r="ES217" s="388"/>
      <c r="ET217" s="388"/>
      <c r="EV217" s="1167">
        <f t="shared" si="65"/>
        <v>34.807499999999997</v>
      </c>
    </row>
    <row r="218" spans="1:152" s="350" customFormat="1" ht="15" x14ac:dyDescent="0.25">
      <c r="A218" s="632" t="s">
        <v>8</v>
      </c>
      <c r="B218" s="662">
        <v>42944</v>
      </c>
      <c r="C218" s="1132" t="s">
        <v>904</v>
      </c>
      <c r="D218" s="386">
        <v>0</v>
      </c>
      <c r="E218" s="636">
        <v>0</v>
      </c>
      <c r="F218" s="636">
        <v>57</v>
      </c>
      <c r="G218" s="636">
        <v>0.4</v>
      </c>
      <c r="H218" s="386">
        <v>1.81</v>
      </c>
      <c r="I218" s="386">
        <v>18.8</v>
      </c>
      <c r="J218" s="386">
        <v>0</v>
      </c>
      <c r="K218" s="386">
        <v>1.31</v>
      </c>
      <c r="L218" s="636">
        <v>0</v>
      </c>
      <c r="M218" s="386">
        <v>17.100000000000001</v>
      </c>
      <c r="N218" s="386">
        <v>1.1299999999999999</v>
      </c>
      <c r="O218" s="386">
        <v>1.3076075712339821</v>
      </c>
      <c r="P218" s="386">
        <v>1.1599999999999999</v>
      </c>
      <c r="Q218" s="386">
        <v>0.70231234145029875</v>
      </c>
      <c r="R218" s="732">
        <v>1299.4277616279071</v>
      </c>
      <c r="S218" s="386">
        <v>8.17</v>
      </c>
      <c r="T218" s="386">
        <v>8</v>
      </c>
      <c r="U218" s="386">
        <v>0.86</v>
      </c>
      <c r="V218" s="636">
        <v>0.84</v>
      </c>
      <c r="W218" s="636">
        <v>55.58</v>
      </c>
      <c r="X218" s="613">
        <v>55.58</v>
      </c>
      <c r="Y218" s="367">
        <v>32.909999999999997</v>
      </c>
      <c r="Z218" s="636">
        <v>59.86</v>
      </c>
      <c r="AA218" s="636">
        <v>32.53</v>
      </c>
      <c r="AB218" s="636">
        <v>57.67</v>
      </c>
      <c r="AC218" s="1160">
        <f t="shared" si="66"/>
        <v>90.2</v>
      </c>
      <c r="AD218" s="1160">
        <f t="shared" si="67"/>
        <v>139.5394</v>
      </c>
      <c r="AE218" s="1160">
        <f t="shared" si="68"/>
        <v>139.5394</v>
      </c>
      <c r="AF218" s="723"/>
      <c r="AG218" s="1160">
        <f t="shared" si="64"/>
        <v>0</v>
      </c>
      <c r="AH218" s="656"/>
      <c r="AI218" s="656"/>
      <c r="AJ218" s="388"/>
      <c r="AK218" s="388"/>
      <c r="AL218" s="388"/>
      <c r="AM218" s="388"/>
      <c r="AN218" s="388"/>
      <c r="AO218" s="370"/>
      <c r="AP218" s="370"/>
      <c r="AQ218" s="386"/>
      <c r="AR218" s="551">
        <v>0</v>
      </c>
      <c r="AS218" s="386">
        <v>24</v>
      </c>
      <c r="AT218" s="386">
        <v>0</v>
      </c>
      <c r="AU218" s="386">
        <v>0</v>
      </c>
      <c r="AV218" s="636">
        <v>871.8</v>
      </c>
      <c r="AW218" s="636">
        <v>2542.3000000000002</v>
      </c>
      <c r="AX218" s="386">
        <v>0.3</v>
      </c>
      <c r="AY218" s="551">
        <v>0</v>
      </c>
      <c r="AZ218" s="551">
        <v>0</v>
      </c>
      <c r="BA218" s="551">
        <v>0</v>
      </c>
      <c r="BB218" s="832">
        <v>0</v>
      </c>
      <c r="BC218" s="386">
        <v>2</v>
      </c>
      <c r="BD218" s="386">
        <v>3</v>
      </c>
      <c r="BE218" s="551">
        <v>0</v>
      </c>
      <c r="BF218" s="386">
        <v>1.99</v>
      </c>
      <c r="BG218" s="386">
        <v>0</v>
      </c>
      <c r="BH218" s="551">
        <v>0</v>
      </c>
      <c r="BI218" s="386">
        <v>3.02</v>
      </c>
      <c r="BJ218" s="386">
        <v>47.6</v>
      </c>
      <c r="BK218" s="386">
        <v>5.52</v>
      </c>
      <c r="BL218" s="386">
        <v>5.97</v>
      </c>
      <c r="BM218" s="386">
        <v>0</v>
      </c>
      <c r="BN218" s="386">
        <v>36.1</v>
      </c>
      <c r="BO218" s="386">
        <v>2725.2</v>
      </c>
      <c r="BP218" s="386">
        <v>1.6</v>
      </c>
      <c r="BQ218" s="615">
        <v>20.2</v>
      </c>
      <c r="BR218" s="615">
        <v>20.9</v>
      </c>
      <c r="BS218" s="615">
        <v>14</v>
      </c>
      <c r="BT218" s="615">
        <v>14.1</v>
      </c>
      <c r="BU218" s="614">
        <v>28.7</v>
      </c>
      <c r="BV218" s="614">
        <v>33.299999999999997</v>
      </c>
      <c r="BW218" s="615">
        <v>1407.2</v>
      </c>
      <c r="BX218" s="791"/>
      <c r="BY218" s="615">
        <v>0</v>
      </c>
      <c r="BZ218" s="615">
        <v>1.02</v>
      </c>
      <c r="CA218" s="615">
        <v>1</v>
      </c>
      <c r="CB218" s="615">
        <v>8</v>
      </c>
      <c r="CC218" s="615">
        <v>8</v>
      </c>
      <c r="CD218" s="615">
        <v>15.7</v>
      </c>
      <c r="CE218" s="615">
        <v>32.4</v>
      </c>
      <c r="CF218" s="615">
        <v>20.100000000000001</v>
      </c>
      <c r="CG218" s="615">
        <v>7.8</v>
      </c>
      <c r="CH218" s="615">
        <v>13.4</v>
      </c>
      <c r="CI218" s="615">
        <v>17.600000000000001</v>
      </c>
      <c r="CJ218" s="615">
        <v>11.7</v>
      </c>
      <c r="CK218" s="615">
        <v>202.8</v>
      </c>
      <c r="CL218" s="615">
        <v>3.3</v>
      </c>
      <c r="CM218" s="615">
        <v>4.0999999999999996</v>
      </c>
      <c r="CN218" s="615">
        <v>3445.7</v>
      </c>
      <c r="CO218" s="615">
        <v>1134.3</v>
      </c>
      <c r="CP218" s="615">
        <v>650.1</v>
      </c>
      <c r="CQ218" s="615">
        <v>14.4</v>
      </c>
      <c r="CR218" s="615">
        <v>1.24</v>
      </c>
      <c r="CS218" s="614">
        <v>6778.2</v>
      </c>
      <c r="CT218" s="386">
        <v>16.079000000000001</v>
      </c>
      <c r="CU218" s="386">
        <v>58</v>
      </c>
      <c r="CV218" s="499">
        <v>0</v>
      </c>
      <c r="CW218" s="499">
        <v>0</v>
      </c>
      <c r="CX218" s="499">
        <v>0</v>
      </c>
      <c r="CY218" s="499">
        <v>0</v>
      </c>
      <c r="CZ218" s="643">
        <v>271</v>
      </c>
      <c r="DA218" s="643">
        <v>304</v>
      </c>
      <c r="DB218" s="643">
        <v>153</v>
      </c>
      <c r="DC218" s="609">
        <v>1162.42</v>
      </c>
      <c r="DD218" s="1153">
        <f t="shared" si="69"/>
        <v>-0.12999999999988177</v>
      </c>
      <c r="DE218" s="1154">
        <f t="shared" si="70"/>
        <v>29.945545343999999</v>
      </c>
      <c r="DF218" s="1154">
        <f t="shared" si="71"/>
        <v>43</v>
      </c>
      <c r="DG218" s="1154">
        <f t="shared" si="72"/>
        <v>54</v>
      </c>
      <c r="DH218" s="1155" t="str">
        <f t="shared" si="73"/>
        <v>Palm</v>
      </c>
      <c r="DI218" s="1146">
        <f t="shared" si="74"/>
        <v>151</v>
      </c>
      <c r="DJ218" s="1146">
        <f t="shared" si="75"/>
        <v>9.7606079999999995</v>
      </c>
      <c r="DK218" s="1154">
        <f t="shared" si="76"/>
        <v>29.945545343999999</v>
      </c>
      <c r="DL218" s="615"/>
      <c r="DM218" s="615"/>
      <c r="DN218" s="615"/>
      <c r="DO218" s="499"/>
      <c r="DP218" s="499"/>
      <c r="DQ218" s="499"/>
      <c r="DR218" s="499"/>
      <c r="DS218" s="499"/>
      <c r="DT218" s="499"/>
      <c r="DU218" s="499"/>
      <c r="DV218" s="499"/>
      <c r="DW218" s="499"/>
      <c r="DX218" s="499"/>
      <c r="DY218" s="499"/>
      <c r="DZ218" s="499"/>
      <c r="EA218" s="499"/>
      <c r="EB218" s="499"/>
      <c r="EC218" s="499"/>
      <c r="ED218" s="499"/>
      <c r="EE218" s="499"/>
      <c r="EF218" s="499"/>
      <c r="EG218" s="1146">
        <f t="shared" si="63"/>
        <v>22.5</v>
      </c>
      <c r="EH218" s="642">
        <v>1</v>
      </c>
      <c r="EI218" s="615">
        <v>3</v>
      </c>
      <c r="EJ218" s="613">
        <v>7</v>
      </c>
      <c r="EK218" s="613">
        <v>11.5</v>
      </c>
      <c r="EL218" s="615"/>
      <c r="EM218" s="499"/>
      <c r="EN218" s="499"/>
      <c r="EO218" s="499"/>
      <c r="EP218" s="499"/>
      <c r="EQ218" s="499"/>
      <c r="ER218" s="499"/>
      <c r="ES218" s="388"/>
      <c r="ET218" s="388"/>
      <c r="EV218" s="1167">
        <f t="shared" si="65"/>
        <v>34.807499999999997</v>
      </c>
    </row>
    <row r="219" spans="1:152" s="350" customFormat="1" ht="15" x14ac:dyDescent="0.25">
      <c r="A219" s="632" t="s">
        <v>9</v>
      </c>
      <c r="B219" s="662">
        <v>42945</v>
      </c>
      <c r="C219" s="1132" t="s">
        <v>904</v>
      </c>
      <c r="D219" s="386">
        <v>0</v>
      </c>
      <c r="E219" s="636">
        <v>0</v>
      </c>
      <c r="F219" s="636">
        <v>58</v>
      </c>
      <c r="G219" s="636">
        <v>0.3</v>
      </c>
      <c r="H219" s="386">
        <v>1.82</v>
      </c>
      <c r="I219" s="386">
        <v>17.7</v>
      </c>
      <c r="J219" s="386">
        <v>0</v>
      </c>
      <c r="K219" s="386">
        <v>1.29</v>
      </c>
      <c r="L219" s="636">
        <v>0</v>
      </c>
      <c r="M219" s="386">
        <v>17</v>
      </c>
      <c r="N219" s="386">
        <v>1.2</v>
      </c>
      <c r="O219" s="386">
        <v>1.3474385361854275</v>
      </c>
      <c r="P219" s="386">
        <v>1.18</v>
      </c>
      <c r="Q219" s="386">
        <v>0.72605160236757194</v>
      </c>
      <c r="R219" s="732">
        <v>1231.4228197674418</v>
      </c>
      <c r="S219" s="386">
        <v>7.98</v>
      </c>
      <c r="T219" s="386">
        <v>8.2100000000000009</v>
      </c>
      <c r="U219" s="386">
        <v>0.86</v>
      </c>
      <c r="V219" s="636">
        <v>0.83</v>
      </c>
      <c r="W219" s="636">
        <v>55.760000000000005</v>
      </c>
      <c r="X219" s="613">
        <v>55.760000000000005</v>
      </c>
      <c r="Y219" s="367">
        <v>32.53</v>
      </c>
      <c r="Z219" s="636">
        <v>57.5</v>
      </c>
      <c r="AA219" s="636">
        <v>31.77</v>
      </c>
      <c r="AB219" s="636">
        <v>52.18</v>
      </c>
      <c r="AC219" s="1160">
        <f t="shared" si="66"/>
        <v>83.95</v>
      </c>
      <c r="AD219" s="1160">
        <f t="shared" si="67"/>
        <v>129.87065000000001</v>
      </c>
      <c r="AE219" s="1160">
        <f t="shared" si="68"/>
        <v>129.87065000000001</v>
      </c>
      <c r="AF219" s="723"/>
      <c r="AG219" s="1160">
        <f t="shared" si="64"/>
        <v>0</v>
      </c>
      <c r="AH219" s="656"/>
      <c r="AI219" s="656"/>
      <c r="AJ219" s="388"/>
      <c r="AK219" s="388"/>
      <c r="AL219" s="388"/>
      <c r="AM219" s="388"/>
      <c r="AN219" s="388"/>
      <c r="AO219" s="370"/>
      <c r="AP219" s="370"/>
      <c r="AQ219" s="386"/>
      <c r="AR219" s="551">
        <v>0</v>
      </c>
      <c r="AS219" s="386">
        <v>26.5</v>
      </c>
      <c r="AT219" s="386">
        <v>0</v>
      </c>
      <c r="AU219" s="386">
        <v>0</v>
      </c>
      <c r="AV219" s="636">
        <v>889</v>
      </c>
      <c r="AW219" s="636">
        <v>2311.1999999999998</v>
      </c>
      <c r="AX219" s="386">
        <v>0</v>
      </c>
      <c r="AY219" s="551">
        <v>0</v>
      </c>
      <c r="AZ219" s="551">
        <v>0</v>
      </c>
      <c r="BA219" s="551">
        <v>0</v>
      </c>
      <c r="BB219" s="832">
        <v>0</v>
      </c>
      <c r="BC219" s="386">
        <v>2</v>
      </c>
      <c r="BD219" s="386">
        <v>3</v>
      </c>
      <c r="BE219" s="551">
        <v>0</v>
      </c>
      <c r="BF219" s="386">
        <v>1.99</v>
      </c>
      <c r="BG219" s="386">
        <v>0</v>
      </c>
      <c r="BH219" s="551">
        <v>0</v>
      </c>
      <c r="BI219" s="386">
        <v>3.02</v>
      </c>
      <c r="BJ219" s="386">
        <v>42.2</v>
      </c>
      <c r="BK219" s="386">
        <v>5.55</v>
      </c>
      <c r="BL219" s="386">
        <v>5.95</v>
      </c>
      <c r="BM219" s="386">
        <v>0</v>
      </c>
      <c r="BN219" s="386">
        <v>30.8</v>
      </c>
      <c r="BO219" s="386">
        <v>2960.6</v>
      </c>
      <c r="BP219" s="386">
        <v>1.6</v>
      </c>
      <c r="BQ219" s="615">
        <v>18.2</v>
      </c>
      <c r="BR219" s="615">
        <v>18.899999999999999</v>
      </c>
      <c r="BS219" s="615">
        <v>13.7</v>
      </c>
      <c r="BT219" s="615">
        <v>13.8</v>
      </c>
      <c r="BU219" s="614">
        <v>28.1</v>
      </c>
      <c r="BV219" s="614">
        <v>39.700000000000003</v>
      </c>
      <c r="BW219" s="615">
        <v>1450.5</v>
      </c>
      <c r="BX219" s="791"/>
      <c r="BY219" s="615">
        <v>0</v>
      </c>
      <c r="BZ219" s="615">
        <v>1.01</v>
      </c>
      <c r="CA219" s="615">
        <v>1</v>
      </c>
      <c r="CB219" s="615">
        <v>8.1</v>
      </c>
      <c r="CC219" s="615">
        <v>8.1</v>
      </c>
      <c r="CD219" s="615">
        <v>18.5</v>
      </c>
      <c r="CE219" s="615">
        <v>32.5</v>
      </c>
      <c r="CF219" s="615">
        <v>20.5</v>
      </c>
      <c r="CG219" s="615">
        <v>7.6</v>
      </c>
      <c r="CH219" s="615">
        <v>13.1</v>
      </c>
      <c r="CI219" s="615">
        <v>17.399999999999999</v>
      </c>
      <c r="CJ219" s="615">
        <v>14.4</v>
      </c>
      <c r="CK219" s="615">
        <v>0</v>
      </c>
      <c r="CL219" s="615">
        <v>7.2</v>
      </c>
      <c r="CM219" s="615">
        <v>9.1999999999999993</v>
      </c>
      <c r="CN219" s="615">
        <v>3466.1</v>
      </c>
      <c r="CO219" s="615">
        <v>1172.2</v>
      </c>
      <c r="CP219" s="615">
        <v>605.6</v>
      </c>
      <c r="CQ219" s="615">
        <v>10.3</v>
      </c>
      <c r="CR219" s="615">
        <v>0.84</v>
      </c>
      <c r="CS219" s="614">
        <v>9824</v>
      </c>
      <c r="CT219" s="386">
        <v>17.23</v>
      </c>
      <c r="CU219" s="386">
        <v>58</v>
      </c>
      <c r="CV219" s="499">
        <v>0</v>
      </c>
      <c r="CW219" s="499">
        <v>0</v>
      </c>
      <c r="CX219" s="499">
        <v>0</v>
      </c>
      <c r="CY219" s="499">
        <v>0</v>
      </c>
      <c r="CZ219" s="643">
        <v>271</v>
      </c>
      <c r="DA219" s="643">
        <v>309</v>
      </c>
      <c r="DB219" s="643">
        <v>153</v>
      </c>
      <c r="DC219" s="609">
        <v>1162.29</v>
      </c>
      <c r="DD219" s="1153">
        <f t="shared" si="69"/>
        <v>-0.13000000000010914</v>
      </c>
      <c r="DE219" s="1154">
        <f t="shared" si="70"/>
        <v>43.401646079999999</v>
      </c>
      <c r="DF219" s="1154">
        <f t="shared" si="71"/>
        <v>43</v>
      </c>
      <c r="DG219" s="1154">
        <f t="shared" si="72"/>
        <v>59</v>
      </c>
      <c r="DH219" s="1155" t="str">
        <f t="shared" si="73"/>
        <v>Palm</v>
      </c>
      <c r="DI219" s="1146">
        <f t="shared" si="74"/>
        <v>156</v>
      </c>
      <c r="DJ219" s="1146">
        <f t="shared" si="75"/>
        <v>14.146559999999999</v>
      </c>
      <c r="DK219" s="1154">
        <f t="shared" si="76"/>
        <v>43.401646079999999</v>
      </c>
      <c r="DL219" s="615"/>
      <c r="DM219" s="615"/>
      <c r="DN219" s="615"/>
      <c r="DO219" s="499"/>
      <c r="DP219" s="499"/>
      <c r="DQ219" s="499"/>
      <c r="DR219" s="499"/>
      <c r="DS219" s="499"/>
      <c r="DT219" s="499"/>
      <c r="DU219" s="499"/>
      <c r="DV219" s="499"/>
      <c r="DW219" s="499"/>
      <c r="DX219" s="499"/>
      <c r="DY219" s="499"/>
      <c r="DZ219" s="499"/>
      <c r="EA219" s="499"/>
      <c r="EB219" s="499"/>
      <c r="EC219" s="499"/>
      <c r="ED219" s="499"/>
      <c r="EE219" s="499"/>
      <c r="EF219" s="499"/>
      <c r="EG219" s="1146">
        <f t="shared" si="63"/>
        <v>22.5</v>
      </c>
      <c r="EH219" s="642">
        <v>1</v>
      </c>
      <c r="EI219" s="615">
        <v>3</v>
      </c>
      <c r="EJ219" s="613">
        <v>7</v>
      </c>
      <c r="EK219" s="613">
        <v>11.5</v>
      </c>
      <c r="EL219" s="615"/>
      <c r="EM219" s="499"/>
      <c r="EN219" s="499"/>
      <c r="EO219" s="499"/>
      <c r="EP219" s="499"/>
      <c r="EQ219" s="499"/>
      <c r="ER219" s="499"/>
      <c r="ES219" s="388"/>
      <c r="ET219" s="388"/>
      <c r="EV219" s="1167">
        <f t="shared" si="65"/>
        <v>34.807499999999997</v>
      </c>
    </row>
    <row r="220" spans="1:152" s="350" customFormat="1" ht="15" x14ac:dyDescent="0.25">
      <c r="A220" s="632" t="s">
        <v>3</v>
      </c>
      <c r="B220" s="662">
        <v>42946</v>
      </c>
      <c r="C220" s="1132" t="s">
        <v>904</v>
      </c>
      <c r="D220" s="386">
        <v>0</v>
      </c>
      <c r="E220" s="636">
        <v>0</v>
      </c>
      <c r="F220" s="636">
        <v>53</v>
      </c>
      <c r="G220" s="636">
        <v>0.3</v>
      </c>
      <c r="H220" s="386">
        <v>1.86</v>
      </c>
      <c r="I220" s="386">
        <v>18.100000000000001</v>
      </c>
      <c r="J220" s="386">
        <v>0</v>
      </c>
      <c r="K220" s="386">
        <v>1.33</v>
      </c>
      <c r="L220" s="636">
        <v>0</v>
      </c>
      <c r="M220" s="386">
        <v>17</v>
      </c>
      <c r="N220" s="386">
        <v>1.22</v>
      </c>
      <c r="O220" s="386">
        <v>1.387985771113976</v>
      </c>
      <c r="P220" s="386">
        <v>1.21</v>
      </c>
      <c r="Q220" s="386">
        <v>0.70464469027002696</v>
      </c>
      <c r="R220" s="732">
        <v>1275.7593750000001</v>
      </c>
      <c r="S220" s="386">
        <v>8.2200000000000006</v>
      </c>
      <c r="T220" s="386">
        <v>8.16</v>
      </c>
      <c r="U220" s="386">
        <v>0.87</v>
      </c>
      <c r="V220" s="636">
        <v>0.85</v>
      </c>
      <c r="W220" s="636">
        <v>55.94</v>
      </c>
      <c r="X220" s="613">
        <v>56.120000000000005</v>
      </c>
      <c r="Y220" s="367">
        <v>31.77</v>
      </c>
      <c r="Z220" s="636">
        <v>52</v>
      </c>
      <c r="AA220" s="636">
        <v>31.7</v>
      </c>
      <c r="AB220" s="636">
        <v>53.89</v>
      </c>
      <c r="AC220" s="1160">
        <f t="shared" si="66"/>
        <v>85.59</v>
      </c>
      <c r="AD220" s="1160">
        <f t="shared" si="67"/>
        <v>132.40772999999999</v>
      </c>
      <c r="AE220" s="1160">
        <f t="shared" si="68"/>
        <v>132.40772999999999</v>
      </c>
      <c r="AF220" s="723"/>
      <c r="AG220" s="1160">
        <f t="shared" si="64"/>
        <v>0</v>
      </c>
      <c r="AH220" s="656"/>
      <c r="AI220" s="656"/>
      <c r="AJ220" s="388"/>
      <c r="AK220" s="388"/>
      <c r="AL220" s="388"/>
      <c r="AM220" s="388"/>
      <c r="AN220" s="388"/>
      <c r="AO220" s="370"/>
      <c r="AP220" s="370"/>
      <c r="AQ220" s="386"/>
      <c r="AR220" s="551">
        <v>0</v>
      </c>
      <c r="AS220" s="386">
        <v>29.7</v>
      </c>
      <c r="AT220" s="386">
        <v>0</v>
      </c>
      <c r="AU220" s="386">
        <v>0</v>
      </c>
      <c r="AV220" s="636">
        <v>1026.5</v>
      </c>
      <c r="AW220" s="636">
        <v>2603.6</v>
      </c>
      <c r="AX220" s="386">
        <v>0.1</v>
      </c>
      <c r="AY220" s="551">
        <v>0</v>
      </c>
      <c r="AZ220" s="551">
        <v>0</v>
      </c>
      <c r="BA220" s="551">
        <v>0</v>
      </c>
      <c r="BB220" s="832">
        <v>0</v>
      </c>
      <c r="BC220" s="386">
        <v>2</v>
      </c>
      <c r="BD220" s="386">
        <v>3</v>
      </c>
      <c r="BE220" s="551">
        <v>0</v>
      </c>
      <c r="BF220" s="386">
        <v>1.99</v>
      </c>
      <c r="BG220" s="386">
        <v>0</v>
      </c>
      <c r="BH220" s="551">
        <v>0</v>
      </c>
      <c r="BI220" s="386">
        <v>3.02</v>
      </c>
      <c r="BJ220" s="386">
        <v>43.9</v>
      </c>
      <c r="BK220" s="386">
        <v>5.95</v>
      </c>
      <c r="BL220" s="386">
        <v>5.54</v>
      </c>
      <c r="BM220" s="386">
        <v>0</v>
      </c>
      <c r="BN220" s="386">
        <v>32.700000000000003</v>
      </c>
      <c r="BO220" s="386">
        <v>3094.1</v>
      </c>
      <c r="BP220" s="386">
        <v>1.8</v>
      </c>
      <c r="BQ220" s="615">
        <v>19</v>
      </c>
      <c r="BR220" s="615">
        <v>19.7</v>
      </c>
      <c r="BS220" s="615">
        <v>13.5</v>
      </c>
      <c r="BT220" s="615">
        <v>13.6</v>
      </c>
      <c r="BU220" s="614">
        <v>22.7</v>
      </c>
      <c r="BV220" s="614">
        <v>30.1</v>
      </c>
      <c r="BW220" s="615">
        <v>1479.2</v>
      </c>
      <c r="BX220" s="791"/>
      <c r="BY220" s="615">
        <v>0</v>
      </c>
      <c r="BZ220" s="615">
        <v>1.05</v>
      </c>
      <c r="CA220" s="615">
        <v>1</v>
      </c>
      <c r="CB220" s="615">
        <v>8.1</v>
      </c>
      <c r="CC220" s="615">
        <v>8.1</v>
      </c>
      <c r="CD220" s="615">
        <v>16.7</v>
      </c>
      <c r="CE220" s="615">
        <v>32.5</v>
      </c>
      <c r="CF220" s="615">
        <v>20.7</v>
      </c>
      <c r="CG220" s="615">
        <v>7.8</v>
      </c>
      <c r="CH220" s="615">
        <v>13.4</v>
      </c>
      <c r="CI220" s="615">
        <v>17.7</v>
      </c>
      <c r="CJ220" s="615">
        <v>13.4</v>
      </c>
      <c r="CK220" s="615">
        <v>0</v>
      </c>
      <c r="CL220" s="615">
        <v>3.1</v>
      </c>
      <c r="CM220" s="615">
        <v>6.1</v>
      </c>
      <c r="CN220" s="615">
        <v>3597.6</v>
      </c>
      <c r="CO220" s="615">
        <v>1201.9000000000001</v>
      </c>
      <c r="CP220" s="615">
        <v>665.3</v>
      </c>
      <c r="CQ220" s="615">
        <v>12.3</v>
      </c>
      <c r="CR220" s="615">
        <v>0.96</v>
      </c>
      <c r="CS220" s="614">
        <v>9636.1</v>
      </c>
      <c r="CT220" s="386">
        <v>16.155000000000001</v>
      </c>
      <c r="CU220" s="386">
        <v>57</v>
      </c>
      <c r="CV220" s="734">
        <v>0</v>
      </c>
      <c r="CW220" s="734">
        <v>0</v>
      </c>
      <c r="CX220" s="734">
        <v>0</v>
      </c>
      <c r="CY220" s="734">
        <v>0</v>
      </c>
      <c r="CZ220" s="643">
        <v>271</v>
      </c>
      <c r="DA220" s="643">
        <v>304</v>
      </c>
      <c r="DB220" s="643">
        <v>152</v>
      </c>
      <c r="DC220" s="609">
        <v>1162.1600000000001</v>
      </c>
      <c r="DD220" s="1153">
        <f t="shared" si="69"/>
        <v>-0.12999999999988177</v>
      </c>
      <c r="DE220" s="1154">
        <f t="shared" si="70"/>
        <v>42.571518912000002</v>
      </c>
      <c r="DF220" s="1154">
        <f t="shared" si="71"/>
        <v>42</v>
      </c>
      <c r="DG220" s="1154">
        <f t="shared" si="72"/>
        <v>54</v>
      </c>
      <c r="DH220" s="1155" t="str">
        <f t="shared" si="73"/>
        <v>Palm</v>
      </c>
      <c r="DI220" s="1146">
        <f t="shared" si="74"/>
        <v>152</v>
      </c>
      <c r="DJ220" s="1146">
        <f t="shared" si="75"/>
        <v>13.875984000000001</v>
      </c>
      <c r="DK220" s="1154">
        <f t="shared" si="76"/>
        <v>42.571518912000002</v>
      </c>
      <c r="DL220" s="615"/>
      <c r="DM220" s="615"/>
      <c r="DN220" s="615"/>
      <c r="DO220" s="499"/>
      <c r="DP220" s="499"/>
      <c r="DQ220" s="499"/>
      <c r="DR220" s="499"/>
      <c r="DS220" s="499"/>
      <c r="DT220" s="499"/>
      <c r="DU220" s="499"/>
      <c r="DV220" s="499"/>
      <c r="DW220" s="499"/>
      <c r="DX220" s="499"/>
      <c r="DY220" s="499"/>
      <c r="DZ220" s="499"/>
      <c r="EA220" s="499"/>
      <c r="EB220" s="499"/>
      <c r="EC220" s="499"/>
      <c r="ED220" s="499"/>
      <c r="EE220" s="499"/>
      <c r="EF220" s="499"/>
      <c r="EG220" s="1146">
        <f t="shared" si="63"/>
        <v>22.5</v>
      </c>
      <c r="EH220" s="642">
        <v>1</v>
      </c>
      <c r="EI220" s="615">
        <v>3</v>
      </c>
      <c r="EJ220" s="613">
        <v>7</v>
      </c>
      <c r="EK220" s="613">
        <v>11.5</v>
      </c>
      <c r="EL220" s="615"/>
      <c r="EM220" s="499"/>
      <c r="EN220" s="499"/>
      <c r="EO220" s="499"/>
      <c r="EP220" s="499"/>
      <c r="EQ220" s="499"/>
      <c r="ER220" s="499"/>
      <c r="ES220" s="388"/>
      <c r="ET220" s="388"/>
      <c r="EV220" s="1167">
        <f t="shared" si="65"/>
        <v>34.807499999999997</v>
      </c>
    </row>
    <row r="221" spans="1:152" s="350" customFormat="1" ht="15" x14ac:dyDescent="0.25">
      <c r="A221" s="632" t="s">
        <v>4</v>
      </c>
      <c r="B221" s="662">
        <v>42947</v>
      </c>
      <c r="C221" s="1132" t="s">
        <v>904</v>
      </c>
      <c r="D221" s="386">
        <v>0</v>
      </c>
      <c r="E221" s="636">
        <v>0</v>
      </c>
      <c r="F221" s="636">
        <v>62.2</v>
      </c>
      <c r="G221" s="636">
        <v>0.4</v>
      </c>
      <c r="H221" s="386">
        <v>1.79</v>
      </c>
      <c r="I221" s="386">
        <v>17.899999999999999</v>
      </c>
      <c r="J221" s="386">
        <v>0</v>
      </c>
      <c r="K221" s="386">
        <v>1.37</v>
      </c>
      <c r="L221" s="610">
        <v>0</v>
      </c>
      <c r="M221" s="386">
        <v>16.899999999999999</v>
      </c>
      <c r="N221" s="386">
        <v>1.2070000000000001</v>
      </c>
      <c r="O221" s="386">
        <v>1.4065027445573379</v>
      </c>
      <c r="P221" s="386">
        <v>1.202</v>
      </c>
      <c r="Q221" s="386">
        <v>0.68800043134830713</v>
      </c>
      <c r="R221" s="732">
        <v>1338.0972383720932</v>
      </c>
      <c r="S221" s="386">
        <v>8.1300000000000008</v>
      </c>
      <c r="T221" s="386">
        <v>8.0299999999999994</v>
      </c>
      <c r="U221" s="386">
        <v>0.90500000000000003</v>
      </c>
      <c r="V221" s="636">
        <v>0.874</v>
      </c>
      <c r="W221" s="636">
        <v>56.480000000000004</v>
      </c>
      <c r="X221" s="613">
        <v>56.3</v>
      </c>
      <c r="Y221" s="367">
        <v>31.7</v>
      </c>
      <c r="Z221" s="636">
        <v>53.76</v>
      </c>
      <c r="AA221" s="636">
        <v>34.33</v>
      </c>
      <c r="AB221" s="636">
        <v>55.55</v>
      </c>
      <c r="AC221" s="1160">
        <f t="shared" si="66"/>
        <v>89.88</v>
      </c>
      <c r="AD221" s="1160">
        <f t="shared" si="67"/>
        <v>139.04435999999998</v>
      </c>
      <c r="AE221" s="1160">
        <f t="shared" si="68"/>
        <v>139.04435999999998</v>
      </c>
      <c r="AF221" s="723"/>
      <c r="AG221" s="1160">
        <f t="shared" si="64"/>
        <v>0.41</v>
      </c>
      <c r="AH221" s="656"/>
      <c r="AI221" s="656"/>
      <c r="AJ221" s="388"/>
      <c r="AK221" s="388"/>
      <c r="AL221" s="388"/>
      <c r="AM221" s="388"/>
      <c r="AN221" s="388"/>
      <c r="AO221" s="370"/>
      <c r="AP221" s="370"/>
      <c r="AQ221" s="386"/>
      <c r="AR221" s="551">
        <v>0</v>
      </c>
      <c r="AS221" s="386">
        <v>28.1</v>
      </c>
      <c r="AT221" s="386">
        <v>0</v>
      </c>
      <c r="AU221" s="386">
        <v>0</v>
      </c>
      <c r="AV221" s="636">
        <v>960.2</v>
      </c>
      <c r="AW221" s="636">
        <v>2538.8000000000002</v>
      </c>
      <c r="AX221" s="386">
        <v>2.7</v>
      </c>
      <c r="AY221" s="551">
        <v>0</v>
      </c>
      <c r="AZ221" s="551">
        <v>0</v>
      </c>
      <c r="BA221" s="551">
        <v>0</v>
      </c>
      <c r="BB221" s="832">
        <v>0.41</v>
      </c>
      <c r="BC221" s="386">
        <v>2.2799999999999998</v>
      </c>
      <c r="BD221" s="386">
        <v>2.72</v>
      </c>
      <c r="BE221" s="551">
        <v>0</v>
      </c>
      <c r="BF221" s="386">
        <v>1.99</v>
      </c>
      <c r="BG221" s="386">
        <v>0</v>
      </c>
      <c r="BH221" s="551">
        <v>0</v>
      </c>
      <c r="BI221" s="386">
        <v>3.02</v>
      </c>
      <c r="BJ221" s="386">
        <v>45.6</v>
      </c>
      <c r="BK221" s="636">
        <v>6.15</v>
      </c>
      <c r="BL221" s="386">
        <v>5.35</v>
      </c>
      <c r="BM221" s="386">
        <v>0</v>
      </c>
      <c r="BN221" s="386">
        <v>34.1</v>
      </c>
      <c r="BO221" s="386">
        <v>3034.7</v>
      </c>
      <c r="BP221" s="386">
        <v>1.6</v>
      </c>
      <c r="BQ221" s="615">
        <v>19.09</v>
      </c>
      <c r="BR221" s="615">
        <v>19.760000000000002</v>
      </c>
      <c r="BS221" s="615">
        <v>14.74</v>
      </c>
      <c r="BT221" s="615">
        <v>14.84</v>
      </c>
      <c r="BU221" s="614">
        <v>29.4</v>
      </c>
      <c r="BV221" s="614">
        <v>35.5</v>
      </c>
      <c r="BW221" s="615">
        <v>1741</v>
      </c>
      <c r="BX221" s="791"/>
      <c r="BY221" s="615">
        <v>0</v>
      </c>
      <c r="BZ221" s="615">
        <v>1.06</v>
      </c>
      <c r="CA221" s="615">
        <v>1</v>
      </c>
      <c r="CB221" s="615">
        <v>8.1</v>
      </c>
      <c r="CC221" s="615">
        <v>8.1</v>
      </c>
      <c r="CD221" s="615">
        <v>16.3</v>
      </c>
      <c r="CE221" s="615">
        <v>32.5</v>
      </c>
      <c r="CF221" s="615">
        <v>20.149999999999999</v>
      </c>
      <c r="CG221" s="615">
        <v>7.15</v>
      </c>
      <c r="CH221" s="615">
        <v>12.6</v>
      </c>
      <c r="CI221" s="615">
        <v>16.899999999999999</v>
      </c>
      <c r="CJ221" s="615">
        <v>12.06</v>
      </c>
      <c r="CK221" s="615">
        <v>0</v>
      </c>
      <c r="CL221" s="615">
        <v>4.2</v>
      </c>
      <c r="CM221" s="615">
        <v>7.2</v>
      </c>
      <c r="CN221" s="615">
        <v>3598</v>
      </c>
      <c r="CO221" s="615">
        <v>1237.5999999999999</v>
      </c>
      <c r="CP221" s="615">
        <v>663.8</v>
      </c>
      <c r="CQ221" s="615">
        <v>12.5</v>
      </c>
      <c r="CR221" s="615">
        <v>0.95</v>
      </c>
      <c r="CS221" s="614">
        <v>9552.1</v>
      </c>
      <c r="CT221" s="386">
        <v>16.542000000000002</v>
      </c>
      <c r="CU221" s="386">
        <v>58</v>
      </c>
      <c r="CV221" s="734">
        <v>0</v>
      </c>
      <c r="CW221" s="734">
        <v>0</v>
      </c>
      <c r="CX221" s="734">
        <v>0</v>
      </c>
      <c r="CY221" s="734">
        <v>0</v>
      </c>
      <c r="CZ221" s="643">
        <v>268</v>
      </c>
      <c r="DA221" s="643">
        <v>282</v>
      </c>
      <c r="DB221" s="643">
        <v>141</v>
      </c>
      <c r="DC221" s="609">
        <v>1162.02</v>
      </c>
      <c r="DD221" s="1153">
        <f t="shared" si="69"/>
        <v>-0.14000000000010004</v>
      </c>
      <c r="DE221" s="1154">
        <f t="shared" si="70"/>
        <v>42.200413632</v>
      </c>
      <c r="DF221" s="1154">
        <f t="shared" si="71"/>
        <v>31</v>
      </c>
      <c r="DG221" s="1154">
        <f t="shared" si="72"/>
        <v>32</v>
      </c>
      <c r="DH221" s="1155" t="str">
        <f t="shared" si="73"/>
        <v>Palm</v>
      </c>
      <c r="DI221" s="1146">
        <f t="shared" si="74"/>
        <v>141</v>
      </c>
      <c r="DJ221" s="1146">
        <f t="shared" si="75"/>
        <v>13.755024000000001</v>
      </c>
      <c r="DK221" s="1154">
        <f t="shared" si="76"/>
        <v>42.200413632</v>
      </c>
      <c r="DL221" s="615"/>
      <c r="DM221" s="615"/>
      <c r="DN221" s="615"/>
      <c r="DO221" s="499"/>
      <c r="DP221" s="499"/>
      <c r="DQ221" s="499"/>
      <c r="DR221" s="499"/>
      <c r="DS221" s="499"/>
      <c r="DT221" s="499"/>
      <c r="DU221" s="499"/>
      <c r="DV221" s="499"/>
      <c r="DW221" s="499"/>
      <c r="DX221" s="499"/>
      <c r="DY221" s="499"/>
      <c r="DZ221" s="499"/>
      <c r="EA221" s="499"/>
      <c r="EB221" s="499"/>
      <c r="EC221" s="499"/>
      <c r="ED221" s="499"/>
      <c r="EE221" s="499"/>
      <c r="EF221" s="499"/>
      <c r="EG221" s="1146">
        <f t="shared" si="63"/>
        <v>22.5</v>
      </c>
      <c r="EH221" s="642">
        <v>1</v>
      </c>
      <c r="EI221" s="615">
        <v>3</v>
      </c>
      <c r="EJ221" s="613">
        <v>7</v>
      </c>
      <c r="EK221" s="613">
        <v>11.5</v>
      </c>
      <c r="EL221" s="615"/>
      <c r="EM221" s="499"/>
      <c r="EN221" s="499"/>
      <c r="EO221" s="499"/>
      <c r="EP221" s="499"/>
      <c r="EQ221" s="499"/>
      <c r="ER221" s="499"/>
      <c r="ES221" s="388"/>
      <c r="ET221" s="388"/>
      <c r="EV221" s="1167">
        <f t="shared" si="65"/>
        <v>34.807499999999997</v>
      </c>
    </row>
    <row r="222" spans="1:152" s="350" customFormat="1" ht="15" x14ac:dyDescent="0.25">
      <c r="A222" s="632" t="s">
        <v>5</v>
      </c>
      <c r="B222" s="662">
        <v>42948</v>
      </c>
      <c r="C222" s="1132" t="s">
        <v>904</v>
      </c>
      <c r="D222" s="386">
        <v>0</v>
      </c>
      <c r="E222" s="636">
        <v>0</v>
      </c>
      <c r="F222" s="636">
        <v>62</v>
      </c>
      <c r="G222" s="636">
        <v>0.4</v>
      </c>
      <c r="H222" s="386">
        <v>2.0499999999999998</v>
      </c>
      <c r="I222" s="386">
        <v>17.5</v>
      </c>
      <c r="J222" s="386">
        <v>0</v>
      </c>
      <c r="K222" s="386">
        <v>1.5</v>
      </c>
      <c r="L222" s="610">
        <v>0</v>
      </c>
      <c r="M222" s="386">
        <v>16.899999999999999</v>
      </c>
      <c r="N222" s="386">
        <v>1.21</v>
      </c>
      <c r="O222" s="386">
        <v>1.3989825581392876</v>
      </c>
      <c r="P222" s="386">
        <v>1.21</v>
      </c>
      <c r="Q222" s="386">
        <v>0.68789910089432671</v>
      </c>
      <c r="R222" s="732">
        <v>1484.4412063953487</v>
      </c>
      <c r="S222" s="386">
        <v>8.0299999999999994</v>
      </c>
      <c r="T222" s="386">
        <v>7.93</v>
      </c>
      <c r="U222" s="386">
        <v>0.90600000000000003</v>
      </c>
      <c r="V222" s="636">
        <v>0.88200000000000001</v>
      </c>
      <c r="W222" s="636">
        <v>56.120000000000005</v>
      </c>
      <c r="X222" s="613">
        <v>56.120000000000005</v>
      </c>
      <c r="Y222" s="367">
        <v>34.33</v>
      </c>
      <c r="Z222" s="636">
        <v>55.41</v>
      </c>
      <c r="AA222" s="636">
        <v>41.06</v>
      </c>
      <c r="AB222" s="636">
        <v>58.63</v>
      </c>
      <c r="AC222" s="1160">
        <f t="shared" si="66"/>
        <v>99.69</v>
      </c>
      <c r="AD222" s="1160">
        <f t="shared" si="67"/>
        <v>154.22042999999999</v>
      </c>
      <c r="AE222" s="1160">
        <f t="shared" si="68"/>
        <v>154.22042999999999</v>
      </c>
      <c r="AF222" s="723"/>
      <c r="AG222" s="1160">
        <f t="shared" si="64"/>
        <v>0.72</v>
      </c>
      <c r="AH222" s="656"/>
      <c r="AI222" s="656"/>
      <c r="AJ222" s="388"/>
      <c r="AK222" s="388"/>
      <c r="AL222" s="388"/>
      <c r="AM222" s="388"/>
      <c r="AN222" s="388"/>
      <c r="AO222" s="370"/>
      <c r="AP222" s="370"/>
      <c r="AQ222" s="386"/>
      <c r="AR222" s="551">
        <v>0</v>
      </c>
      <c r="AS222" s="386">
        <v>31.1</v>
      </c>
      <c r="AT222" s="386">
        <v>0</v>
      </c>
      <c r="AU222" s="386">
        <v>0</v>
      </c>
      <c r="AV222" s="636">
        <v>1011.3</v>
      </c>
      <c r="AW222" s="636">
        <v>3039.7</v>
      </c>
      <c r="AX222" s="386">
        <v>0.9</v>
      </c>
      <c r="AY222" s="551">
        <v>0</v>
      </c>
      <c r="AZ222" s="551">
        <v>0</v>
      </c>
      <c r="BA222" s="551">
        <v>0</v>
      </c>
      <c r="BB222" s="832">
        <v>0.72</v>
      </c>
      <c r="BC222" s="386">
        <v>1.89</v>
      </c>
      <c r="BD222" s="386">
        <v>3.1</v>
      </c>
      <c r="BE222" s="551">
        <v>0</v>
      </c>
      <c r="BF222" s="386">
        <v>1.99</v>
      </c>
      <c r="BG222" s="386">
        <v>0</v>
      </c>
      <c r="BH222" s="551">
        <v>0</v>
      </c>
      <c r="BI222" s="386">
        <v>3.02</v>
      </c>
      <c r="BJ222" s="386">
        <v>48.8</v>
      </c>
      <c r="BK222" s="386">
        <v>6.21</v>
      </c>
      <c r="BL222" s="386">
        <v>5.27</v>
      </c>
      <c r="BM222" s="386">
        <v>0</v>
      </c>
      <c r="BN222" s="386">
        <v>36.799999999999997</v>
      </c>
      <c r="BO222" s="386">
        <v>3214</v>
      </c>
      <c r="BP222" s="386">
        <v>1.4</v>
      </c>
      <c r="BQ222" s="615">
        <v>19.22</v>
      </c>
      <c r="BR222" s="615">
        <v>19.87</v>
      </c>
      <c r="BS222" s="615">
        <v>17.88</v>
      </c>
      <c r="BT222" s="615">
        <v>17.96</v>
      </c>
      <c r="BU222" s="614">
        <v>35.9</v>
      </c>
      <c r="BV222" s="614">
        <v>42.4</v>
      </c>
      <c r="BW222" s="615">
        <v>1739.2</v>
      </c>
      <c r="BX222" s="791">
        <v>0</v>
      </c>
      <c r="BY222" s="615">
        <v>0</v>
      </c>
      <c r="BZ222" s="615">
        <v>1.0900000000000001</v>
      </c>
      <c r="CA222" s="615">
        <v>1</v>
      </c>
      <c r="CB222" s="615">
        <v>8</v>
      </c>
      <c r="CC222" s="615">
        <v>8.1</v>
      </c>
      <c r="CD222" s="615">
        <v>17.899999999999999</v>
      </c>
      <c r="CE222" s="615">
        <v>32.5</v>
      </c>
      <c r="CF222" s="615">
        <v>18.62</v>
      </c>
      <c r="CG222" s="615">
        <v>7.6</v>
      </c>
      <c r="CH222" s="615">
        <v>13.1</v>
      </c>
      <c r="CI222" s="615">
        <v>17.5</v>
      </c>
      <c r="CJ222" s="615">
        <v>12.49</v>
      </c>
      <c r="CK222" s="615">
        <v>138.4</v>
      </c>
      <c r="CL222" s="615">
        <v>6.4</v>
      </c>
      <c r="CM222" s="615">
        <v>9.1999999999999993</v>
      </c>
      <c r="CN222" s="615">
        <v>3703.5</v>
      </c>
      <c r="CO222" s="615">
        <v>1243.7</v>
      </c>
      <c r="CP222" s="615">
        <v>643.1</v>
      </c>
      <c r="CQ222" s="615">
        <v>10.9</v>
      </c>
      <c r="CR222" s="615">
        <v>0.75</v>
      </c>
      <c r="CS222" s="614">
        <v>5977.9</v>
      </c>
      <c r="CT222" s="386">
        <v>16.669</v>
      </c>
      <c r="CU222" s="386">
        <v>59</v>
      </c>
      <c r="CV222" s="734">
        <v>0</v>
      </c>
      <c r="CW222" s="734">
        <v>0</v>
      </c>
      <c r="CX222" s="734">
        <v>0</v>
      </c>
      <c r="CY222" s="734">
        <v>0</v>
      </c>
      <c r="CZ222" s="643">
        <v>342</v>
      </c>
      <c r="DA222" s="643">
        <v>274</v>
      </c>
      <c r="DB222" s="643">
        <v>189</v>
      </c>
      <c r="DC222" s="739">
        <v>1161.81</v>
      </c>
      <c r="DD222" s="1153">
        <f t="shared" si="69"/>
        <v>-0.21000000000003638</v>
      </c>
      <c r="DE222" s="1154">
        <f t="shared" si="70"/>
        <v>26.409883968000003</v>
      </c>
      <c r="DF222" s="1154">
        <f t="shared" si="71"/>
        <v>79</v>
      </c>
      <c r="DG222" s="1154">
        <f t="shared" si="72"/>
        <v>24</v>
      </c>
      <c r="DH222" s="1155" t="str">
        <f t="shared" si="73"/>
        <v>Aub</v>
      </c>
      <c r="DI222" s="1146">
        <f t="shared" si="74"/>
        <v>85</v>
      </c>
      <c r="DJ222" s="1146">
        <f t="shared" si="75"/>
        <v>8.6081760000000003</v>
      </c>
      <c r="DK222" s="1154">
        <f t="shared" si="76"/>
        <v>26.409883968000003</v>
      </c>
      <c r="DL222" s="615"/>
      <c r="DM222" s="615"/>
      <c r="DN222" s="615"/>
      <c r="DO222" s="499"/>
      <c r="DP222" s="499"/>
      <c r="DQ222" s="499"/>
      <c r="DR222" s="499"/>
      <c r="DS222" s="499"/>
      <c r="DT222" s="499"/>
      <c r="DU222" s="499"/>
      <c r="DV222" s="499"/>
      <c r="DW222" s="499"/>
      <c r="DX222" s="499"/>
      <c r="DY222" s="499"/>
      <c r="DZ222" s="499"/>
      <c r="EA222" s="499"/>
      <c r="EB222" s="499"/>
      <c r="EC222" s="499"/>
      <c r="ED222" s="499"/>
      <c r="EE222" s="499"/>
      <c r="EF222" s="499"/>
      <c r="EG222" s="1146">
        <f t="shared" si="63"/>
        <v>36</v>
      </c>
      <c r="EH222" s="630">
        <v>14.5</v>
      </c>
      <c r="EI222" s="615">
        <v>3</v>
      </c>
      <c r="EJ222" s="613">
        <v>7</v>
      </c>
      <c r="EK222" s="613">
        <v>11.5</v>
      </c>
      <c r="EL222" s="615"/>
      <c r="EM222" s="499"/>
      <c r="EN222" s="499"/>
      <c r="EO222" s="499"/>
      <c r="EP222" s="499"/>
      <c r="EQ222" s="499"/>
      <c r="ER222" s="499"/>
      <c r="ES222" s="388"/>
      <c r="ET222" s="388"/>
      <c r="EV222" s="1167">
        <f t="shared" si="65"/>
        <v>55.692</v>
      </c>
    </row>
    <row r="223" spans="1:152" s="350" customFormat="1" ht="15" x14ac:dyDescent="0.25">
      <c r="A223" s="632" t="s">
        <v>6</v>
      </c>
      <c r="B223" s="662">
        <v>42949</v>
      </c>
      <c r="C223" s="1132" t="s">
        <v>904</v>
      </c>
      <c r="D223" s="386">
        <v>0</v>
      </c>
      <c r="E223" s="636">
        <v>0</v>
      </c>
      <c r="F223" s="636">
        <v>66</v>
      </c>
      <c r="G223" s="636">
        <v>0.4</v>
      </c>
      <c r="H223" s="386">
        <v>2.17</v>
      </c>
      <c r="I223" s="386">
        <v>16.3</v>
      </c>
      <c r="J223" s="386">
        <v>0</v>
      </c>
      <c r="K223" s="386">
        <v>1.52</v>
      </c>
      <c r="L223" s="610">
        <v>0</v>
      </c>
      <c r="M223" s="386">
        <v>16.8</v>
      </c>
      <c r="N223" s="386">
        <v>1.21</v>
      </c>
      <c r="O223" s="386">
        <v>1.457177782233199</v>
      </c>
      <c r="P223" s="386">
        <v>1.21</v>
      </c>
      <c r="Q223" s="386">
        <v>0.70081251701062042</v>
      </c>
      <c r="R223" s="732">
        <v>1617.7842296511631</v>
      </c>
      <c r="S223" s="386">
        <v>8.1</v>
      </c>
      <c r="T223" s="386">
        <v>8.1</v>
      </c>
      <c r="U223" s="386">
        <v>0.90600000000000003</v>
      </c>
      <c r="V223" s="636">
        <v>0.88200000000000001</v>
      </c>
      <c r="W223" s="636">
        <v>57.019999999999996</v>
      </c>
      <c r="X223" s="613">
        <v>57.019999999999996</v>
      </c>
      <c r="Y223" s="367">
        <v>41.06</v>
      </c>
      <c r="Z223" s="636">
        <v>58.63</v>
      </c>
      <c r="AA223" s="636">
        <v>45.81</v>
      </c>
      <c r="AB223" s="636">
        <v>61.77</v>
      </c>
      <c r="AC223" s="1160">
        <f t="shared" si="66"/>
        <v>107.58000000000001</v>
      </c>
      <c r="AD223" s="1160">
        <f t="shared" si="67"/>
        <v>166.42626000000001</v>
      </c>
      <c r="AE223" s="1160">
        <f t="shared" si="68"/>
        <v>166.42626000000001</v>
      </c>
      <c r="AF223" s="723"/>
      <c r="AG223" s="1160">
        <f t="shared" si="64"/>
        <v>0.73</v>
      </c>
      <c r="AH223" s="656"/>
      <c r="AI223" s="656"/>
      <c r="AJ223" s="388"/>
      <c r="AK223" s="388"/>
      <c r="AL223" s="388"/>
      <c r="AM223" s="388"/>
      <c r="AN223" s="388"/>
      <c r="AO223" s="370"/>
      <c r="AP223" s="370"/>
      <c r="AQ223" s="386"/>
      <c r="AR223" s="551">
        <v>0</v>
      </c>
      <c r="AS223" s="386">
        <v>33.4</v>
      </c>
      <c r="AT223" s="386">
        <v>0</v>
      </c>
      <c r="AU223" s="386">
        <v>0</v>
      </c>
      <c r="AV223" s="636">
        <v>1013.6</v>
      </c>
      <c r="AW223" s="636">
        <v>2641.5</v>
      </c>
      <c r="AX223" s="386">
        <v>0.4</v>
      </c>
      <c r="AY223" s="551">
        <v>0</v>
      </c>
      <c r="AZ223" s="551">
        <v>0</v>
      </c>
      <c r="BA223" s="551">
        <v>0</v>
      </c>
      <c r="BB223" s="832">
        <v>0.73</v>
      </c>
      <c r="BC223" s="386">
        <v>1.49</v>
      </c>
      <c r="BD223" s="386">
        <v>3.29</v>
      </c>
      <c r="BE223" s="551">
        <v>0</v>
      </c>
      <c r="BF223" s="386">
        <v>1.99</v>
      </c>
      <c r="BG223" s="386">
        <v>0</v>
      </c>
      <c r="BH223" s="551">
        <v>0</v>
      </c>
      <c r="BI223" s="386">
        <v>3.02</v>
      </c>
      <c r="BJ223" s="386">
        <v>51.9</v>
      </c>
      <c r="BK223" s="386">
        <v>6.41</v>
      </c>
      <c r="BL223" s="386">
        <v>5.0599999999999996</v>
      </c>
      <c r="BM223" s="386">
        <v>0</v>
      </c>
      <c r="BN223" s="386">
        <v>39.799999999999997</v>
      </c>
      <c r="BO223" s="386">
        <v>3326.4</v>
      </c>
      <c r="BP223" s="386">
        <v>1.4</v>
      </c>
      <c r="BQ223" s="615">
        <v>19.7</v>
      </c>
      <c r="BR223" s="615">
        <v>20.34</v>
      </c>
      <c r="BS223" s="615">
        <v>20.76</v>
      </c>
      <c r="BT223" s="615">
        <v>20.81</v>
      </c>
      <c r="BU223" s="614">
        <v>41.7</v>
      </c>
      <c r="BV223" s="614">
        <v>47.6</v>
      </c>
      <c r="BW223" s="615">
        <v>1767.8</v>
      </c>
      <c r="BX223" s="791"/>
      <c r="BY223" s="615">
        <v>0</v>
      </c>
      <c r="BZ223" s="615">
        <v>1.1200000000000001</v>
      </c>
      <c r="CA223" s="615">
        <v>1.1000000000000001</v>
      </c>
      <c r="CB223" s="615">
        <v>8</v>
      </c>
      <c r="CC223" s="615">
        <v>8</v>
      </c>
      <c r="CD223" s="615">
        <v>16</v>
      </c>
      <c r="CE223" s="615">
        <v>32.700000000000003</v>
      </c>
      <c r="CF223" s="615">
        <v>19.7</v>
      </c>
      <c r="CG223" s="615">
        <v>7.7</v>
      </c>
      <c r="CH223" s="615">
        <v>13.5</v>
      </c>
      <c r="CI223" s="615">
        <v>17.5</v>
      </c>
      <c r="CJ223" s="615">
        <v>13.01</v>
      </c>
      <c r="CK223" s="615">
        <v>283.60000000000002</v>
      </c>
      <c r="CL223" s="615">
        <v>6.3</v>
      </c>
      <c r="CM223" s="615">
        <v>9.9</v>
      </c>
      <c r="CN223" s="615">
        <v>3890.3</v>
      </c>
      <c r="CO223" s="615">
        <v>1278.9000000000001</v>
      </c>
      <c r="CP223" s="615">
        <v>678.9</v>
      </c>
      <c r="CQ223" s="615">
        <v>10.4</v>
      </c>
      <c r="CR223" s="615">
        <v>0.82</v>
      </c>
      <c r="CS223" s="614">
        <v>3292.8</v>
      </c>
      <c r="CT223" s="386">
        <v>16.523</v>
      </c>
      <c r="CU223" s="386">
        <v>59</v>
      </c>
      <c r="CV223" s="734">
        <v>0</v>
      </c>
      <c r="CW223" s="734">
        <v>0</v>
      </c>
      <c r="CX223" s="734">
        <v>0</v>
      </c>
      <c r="CY223" s="734">
        <v>0</v>
      </c>
      <c r="CZ223" s="643">
        <v>342</v>
      </c>
      <c r="DA223" s="643">
        <v>313</v>
      </c>
      <c r="DB223" s="643">
        <v>181</v>
      </c>
      <c r="DC223" s="609">
        <v>1161.53</v>
      </c>
      <c r="DD223" s="1153">
        <f t="shared" si="69"/>
        <v>-0.27999999999997272</v>
      </c>
      <c r="DE223" s="1154">
        <f t="shared" si="70"/>
        <v>14.547326976000001</v>
      </c>
      <c r="DF223" s="1154">
        <f t="shared" si="71"/>
        <v>71</v>
      </c>
      <c r="DG223" s="1154">
        <f t="shared" si="72"/>
        <v>63</v>
      </c>
      <c r="DH223" s="1155" t="str">
        <f t="shared" si="73"/>
        <v>Aub</v>
      </c>
      <c r="DI223" s="1146">
        <f t="shared" si="74"/>
        <v>132</v>
      </c>
      <c r="DJ223" s="1146">
        <f t="shared" si="75"/>
        <v>4.7416320000000001</v>
      </c>
      <c r="DK223" s="1154">
        <f t="shared" si="76"/>
        <v>14.547326976000001</v>
      </c>
      <c r="DL223" s="615"/>
      <c r="DM223" s="615"/>
      <c r="DN223" s="615"/>
      <c r="DO223" s="499"/>
      <c r="DP223" s="499"/>
      <c r="DQ223" s="499"/>
      <c r="DR223" s="499"/>
      <c r="DS223" s="499"/>
      <c r="DT223" s="499"/>
      <c r="DU223" s="499"/>
      <c r="DV223" s="499"/>
      <c r="DW223" s="499"/>
      <c r="DX223" s="499"/>
      <c r="DY223" s="499"/>
      <c r="DZ223" s="499"/>
      <c r="EA223" s="499"/>
      <c r="EB223" s="499"/>
      <c r="EC223" s="499"/>
      <c r="ED223" s="499"/>
      <c r="EE223" s="499"/>
      <c r="EF223" s="499"/>
      <c r="EG223" s="1146">
        <f t="shared" si="63"/>
        <v>41</v>
      </c>
      <c r="EH223" s="630">
        <v>19.5</v>
      </c>
      <c r="EI223" s="615">
        <v>3</v>
      </c>
      <c r="EJ223" s="613">
        <v>7</v>
      </c>
      <c r="EK223" s="613">
        <v>11.5</v>
      </c>
      <c r="EL223" s="615"/>
      <c r="EM223" s="499"/>
      <c r="EN223" s="499"/>
      <c r="EO223" s="499"/>
      <c r="EP223" s="499"/>
      <c r="EQ223" s="499"/>
      <c r="ER223" s="499"/>
      <c r="ES223" s="388"/>
      <c r="ET223" s="388"/>
      <c r="EV223" s="1167">
        <f t="shared" si="65"/>
        <v>63.427</v>
      </c>
    </row>
    <row r="224" spans="1:152" s="350" customFormat="1" ht="15" x14ac:dyDescent="0.25">
      <c r="A224" s="632" t="s">
        <v>7</v>
      </c>
      <c r="B224" s="662">
        <v>42950</v>
      </c>
      <c r="C224" s="1132" t="s">
        <v>904</v>
      </c>
      <c r="D224" s="386">
        <v>0</v>
      </c>
      <c r="E224" s="636">
        <v>0</v>
      </c>
      <c r="F224" s="636">
        <v>70</v>
      </c>
      <c r="G224" s="636">
        <v>0.4</v>
      </c>
      <c r="H224" s="386">
        <v>1.99</v>
      </c>
      <c r="I224" s="386">
        <v>15.2</v>
      </c>
      <c r="J224" s="386">
        <v>0</v>
      </c>
      <c r="K224" s="386">
        <v>1.36</v>
      </c>
      <c r="L224" s="636">
        <v>0</v>
      </c>
      <c r="M224" s="386">
        <v>16.5</v>
      </c>
      <c r="N224" s="386">
        <v>1.2</v>
      </c>
      <c r="O224" s="386">
        <v>1.465204238187481</v>
      </c>
      <c r="P224" s="386">
        <v>1.2</v>
      </c>
      <c r="Q224" s="386">
        <v>0.68960181166257795</v>
      </c>
      <c r="R224" s="732">
        <v>1533.778125</v>
      </c>
      <c r="S224" s="386">
        <v>8.26</v>
      </c>
      <c r="T224" s="386">
        <v>8.25</v>
      </c>
      <c r="U224" s="386">
        <v>0.91</v>
      </c>
      <c r="V224" s="636">
        <v>0.91</v>
      </c>
      <c r="W224" s="636">
        <v>57.38000000000001</v>
      </c>
      <c r="X224" s="613">
        <v>57.56</v>
      </c>
      <c r="Y224" s="367">
        <v>45.81</v>
      </c>
      <c r="Z224" s="636">
        <v>61.77</v>
      </c>
      <c r="AA224" s="636">
        <v>49.01</v>
      </c>
      <c r="AB224" s="636">
        <v>54.18</v>
      </c>
      <c r="AC224" s="1160">
        <f t="shared" si="66"/>
        <v>103.19</v>
      </c>
      <c r="AD224" s="1160">
        <f t="shared" si="67"/>
        <v>159.63493</v>
      </c>
      <c r="AE224" s="1160">
        <f t="shared" si="68"/>
        <v>159.63493</v>
      </c>
      <c r="AF224" s="723"/>
      <c r="AG224" s="1160">
        <f t="shared" si="64"/>
        <v>0.72</v>
      </c>
      <c r="AH224" s="656"/>
      <c r="AI224" s="656"/>
      <c r="AJ224" s="388"/>
      <c r="AK224" s="388"/>
      <c r="AL224" s="388"/>
      <c r="AM224" s="388"/>
      <c r="AN224" s="388"/>
      <c r="AO224" s="370"/>
      <c r="AP224" s="370"/>
      <c r="AQ224" s="386"/>
      <c r="AR224" s="551">
        <v>0</v>
      </c>
      <c r="AS224" s="386">
        <v>30.7</v>
      </c>
      <c r="AT224" s="1171">
        <v>0.438</v>
      </c>
      <c r="AU224" s="386">
        <v>0</v>
      </c>
      <c r="AV224" s="636">
        <v>1112</v>
      </c>
      <c r="AW224" s="636">
        <v>3012.8</v>
      </c>
      <c r="AX224" s="386">
        <v>0.5</v>
      </c>
      <c r="AY224" s="551">
        <v>0</v>
      </c>
      <c r="AZ224" s="551">
        <v>0</v>
      </c>
      <c r="BA224" s="551">
        <v>0</v>
      </c>
      <c r="BB224" s="832">
        <v>0.72</v>
      </c>
      <c r="BC224" s="386">
        <v>1.19</v>
      </c>
      <c r="BD224" s="386">
        <v>3.31</v>
      </c>
      <c r="BE224" s="551">
        <v>0</v>
      </c>
      <c r="BF224" s="386">
        <v>2.4900000000000002</v>
      </c>
      <c r="BG224" s="386">
        <v>0</v>
      </c>
      <c r="BH224" s="551">
        <v>0</v>
      </c>
      <c r="BI224" s="386">
        <v>3.02</v>
      </c>
      <c r="BJ224" s="386">
        <v>44.2</v>
      </c>
      <c r="BK224" s="386">
        <v>6.14</v>
      </c>
      <c r="BL224" s="386">
        <v>5.27</v>
      </c>
      <c r="BM224" s="386">
        <v>0</v>
      </c>
      <c r="BN224" s="386">
        <v>31.7</v>
      </c>
      <c r="BO224" s="386">
        <v>3094.8</v>
      </c>
      <c r="BP224" s="386">
        <v>1.5</v>
      </c>
      <c r="BQ224" s="615">
        <v>22.6</v>
      </c>
      <c r="BR224" s="615">
        <v>23.2</v>
      </c>
      <c r="BS224" s="615">
        <v>21.85</v>
      </c>
      <c r="BT224" s="615">
        <v>21.9</v>
      </c>
      <c r="BU224" s="614">
        <v>43.9</v>
      </c>
      <c r="BV224" s="614">
        <v>42.7</v>
      </c>
      <c r="BW224" s="615">
        <v>1762.4</v>
      </c>
      <c r="BX224" s="791"/>
      <c r="BY224" s="615">
        <v>0</v>
      </c>
      <c r="BZ224" s="615">
        <v>1.1299999999999999</v>
      </c>
      <c r="CA224" s="615">
        <v>1.1000000000000001</v>
      </c>
      <c r="CB224" s="615">
        <v>8.1</v>
      </c>
      <c r="CC224" s="615">
        <v>8.1</v>
      </c>
      <c r="CD224" s="615">
        <v>16.600000000000001</v>
      </c>
      <c r="CE224" s="615">
        <v>32.1</v>
      </c>
      <c r="CF224" s="615">
        <v>18.899999999999999</v>
      </c>
      <c r="CG224" s="615">
        <v>7.2</v>
      </c>
      <c r="CH224" s="615">
        <v>12.67</v>
      </c>
      <c r="CI224" s="615">
        <v>17</v>
      </c>
      <c r="CJ224" s="615">
        <v>13.21</v>
      </c>
      <c r="CK224" s="615">
        <v>116</v>
      </c>
      <c r="CL224" s="615">
        <v>4</v>
      </c>
      <c r="CM224" s="615">
        <v>7.9</v>
      </c>
      <c r="CN224" s="615">
        <v>3705.9</v>
      </c>
      <c r="CO224" s="615">
        <v>1240.8</v>
      </c>
      <c r="CP224" s="615">
        <v>670.7</v>
      </c>
      <c r="CQ224" s="615">
        <v>12.6</v>
      </c>
      <c r="CR224" s="615">
        <v>0.96</v>
      </c>
      <c r="CS224" s="614">
        <v>7676.7</v>
      </c>
      <c r="CT224" s="386">
        <v>17.164000000000001</v>
      </c>
      <c r="CU224" s="386">
        <v>59</v>
      </c>
      <c r="CV224" s="734">
        <v>0</v>
      </c>
      <c r="CW224" s="734">
        <v>0</v>
      </c>
      <c r="CX224" s="734">
        <v>0</v>
      </c>
      <c r="CY224" s="734">
        <v>0</v>
      </c>
      <c r="CZ224" s="643">
        <v>339</v>
      </c>
      <c r="DA224" s="643">
        <v>313</v>
      </c>
      <c r="DB224" s="643">
        <v>213</v>
      </c>
      <c r="DC224" s="609">
        <v>1161.25</v>
      </c>
      <c r="DD224" s="1153">
        <f t="shared" si="69"/>
        <v>-0.27999999999997272</v>
      </c>
      <c r="DE224" s="1154">
        <f t="shared" si="70"/>
        <v>33.915046464</v>
      </c>
      <c r="DF224" s="1154">
        <f t="shared" si="71"/>
        <v>103</v>
      </c>
      <c r="DG224" s="1154">
        <f t="shared" si="72"/>
        <v>63</v>
      </c>
      <c r="DH224" s="1155" t="str">
        <f t="shared" si="73"/>
        <v>Aub</v>
      </c>
      <c r="DI224" s="1146">
        <f t="shared" si="74"/>
        <v>100</v>
      </c>
      <c r="DJ224" s="1146">
        <f t="shared" si="75"/>
        <v>11.054447999999999</v>
      </c>
      <c r="DK224" s="1154">
        <f t="shared" si="76"/>
        <v>33.915046464</v>
      </c>
      <c r="DL224" s="615"/>
      <c r="DM224" s="615"/>
      <c r="DN224" s="615"/>
      <c r="DO224" s="499"/>
      <c r="DP224" s="499"/>
      <c r="DQ224" s="499"/>
      <c r="DR224" s="499"/>
      <c r="DS224" s="499"/>
      <c r="DT224" s="499"/>
      <c r="DU224" s="499"/>
      <c r="DV224" s="499"/>
      <c r="DW224" s="499"/>
      <c r="DX224" s="499"/>
      <c r="DY224" s="499"/>
      <c r="DZ224" s="499"/>
      <c r="EA224" s="499"/>
      <c r="EB224" s="499"/>
      <c r="EC224" s="499"/>
      <c r="ED224" s="499"/>
      <c r="EE224" s="499"/>
      <c r="EF224" s="499"/>
      <c r="EG224" s="1146">
        <f t="shared" si="63"/>
        <v>41</v>
      </c>
      <c r="EH224" s="630">
        <v>19.5</v>
      </c>
      <c r="EI224" s="615">
        <v>3</v>
      </c>
      <c r="EJ224" s="613">
        <v>7</v>
      </c>
      <c r="EK224" s="613">
        <v>11.5</v>
      </c>
      <c r="EL224" s="615"/>
      <c r="EM224" s="499"/>
      <c r="EN224" s="499"/>
      <c r="EO224" s="499"/>
      <c r="EP224" s="499"/>
      <c r="EQ224" s="499"/>
      <c r="ER224" s="499"/>
      <c r="ES224" s="388"/>
      <c r="ET224" s="388"/>
      <c r="EV224" s="1167">
        <f t="shared" si="65"/>
        <v>63.427</v>
      </c>
    </row>
    <row r="225" spans="1:152" s="350" customFormat="1" ht="15" x14ac:dyDescent="0.25">
      <c r="A225" s="632" t="s">
        <v>8</v>
      </c>
      <c r="B225" s="662">
        <v>42951</v>
      </c>
      <c r="C225" s="1132" t="s">
        <v>904</v>
      </c>
      <c r="D225" s="386">
        <v>0</v>
      </c>
      <c r="E225" s="636">
        <v>0</v>
      </c>
      <c r="F225" s="636">
        <v>64</v>
      </c>
      <c r="G225" s="636">
        <v>0.4</v>
      </c>
      <c r="H225" s="386">
        <v>1.9</v>
      </c>
      <c r="I225" s="386">
        <v>18</v>
      </c>
      <c r="J225" s="386">
        <v>0</v>
      </c>
      <c r="K225" s="386">
        <v>1.35</v>
      </c>
      <c r="L225" s="636">
        <v>0</v>
      </c>
      <c r="M225" s="386">
        <v>16.8</v>
      </c>
      <c r="N225" s="386">
        <v>1.2050000000000001</v>
      </c>
      <c r="O225" s="386">
        <v>1.5178211021117374</v>
      </c>
      <c r="P225" s="386">
        <v>1.181</v>
      </c>
      <c r="Q225" s="386">
        <v>0.69142624730642444</v>
      </c>
      <c r="R225" s="732">
        <v>1357.0986191860468</v>
      </c>
      <c r="S225" s="386">
        <v>8.06</v>
      </c>
      <c r="T225" s="386">
        <v>7.97</v>
      </c>
      <c r="U225" s="386">
        <v>0.95899999999999996</v>
      </c>
      <c r="V225" s="636">
        <v>0.91500000000000004</v>
      </c>
      <c r="W225" s="636">
        <v>58.100000000000009</v>
      </c>
      <c r="X225" s="613">
        <v>58.100000000000009</v>
      </c>
      <c r="Y225" s="367">
        <v>49.01</v>
      </c>
      <c r="Z225" s="636">
        <v>54.03</v>
      </c>
      <c r="AA225" s="636">
        <v>50.39</v>
      </c>
      <c r="AB225" s="636">
        <v>39.9</v>
      </c>
      <c r="AC225" s="1160">
        <f t="shared" si="66"/>
        <v>90.289999999999992</v>
      </c>
      <c r="AD225" s="1160">
        <f t="shared" si="67"/>
        <v>139.67862999999997</v>
      </c>
      <c r="AE225" s="1160">
        <f t="shared" si="68"/>
        <v>139.67862999999997</v>
      </c>
      <c r="AF225" s="723"/>
      <c r="AG225" s="1160">
        <f t="shared" si="64"/>
        <v>0.72</v>
      </c>
      <c r="AH225" s="656"/>
      <c r="AI225" s="656"/>
      <c r="AJ225" s="388"/>
      <c r="AK225" s="388"/>
      <c r="AL225" s="388"/>
      <c r="AM225" s="388"/>
      <c r="AN225" s="388"/>
      <c r="AO225" s="370"/>
      <c r="AP225" s="370"/>
      <c r="AQ225" s="386"/>
      <c r="AR225" s="551">
        <v>0</v>
      </c>
      <c r="AS225" s="386">
        <v>31.3</v>
      </c>
      <c r="AT225" s="1171">
        <v>0.60899999999999999</v>
      </c>
      <c r="AU225" s="386">
        <v>0</v>
      </c>
      <c r="AV225" s="636">
        <v>724.7</v>
      </c>
      <c r="AW225" s="636">
        <v>2593.1999999999998</v>
      </c>
      <c r="AX225" s="386">
        <v>1.1000000000000001</v>
      </c>
      <c r="AY225" s="551">
        <v>0</v>
      </c>
      <c r="AZ225" s="551">
        <v>0</v>
      </c>
      <c r="BA225" s="551">
        <v>0</v>
      </c>
      <c r="BB225" s="832">
        <v>0.72</v>
      </c>
      <c r="BC225" s="386">
        <v>1.19</v>
      </c>
      <c r="BD225" s="386">
        <v>3.31</v>
      </c>
      <c r="BE225" s="551">
        <v>0</v>
      </c>
      <c r="BF225" s="386">
        <v>2.4900000000000002</v>
      </c>
      <c r="BG225" s="386">
        <v>0</v>
      </c>
      <c r="BH225" s="551">
        <v>0</v>
      </c>
      <c r="BI225" s="386">
        <v>3.02</v>
      </c>
      <c r="BJ225" s="386">
        <v>30.1</v>
      </c>
      <c r="BK225" s="386">
        <v>6.47</v>
      </c>
      <c r="BL225" s="386">
        <v>5.34</v>
      </c>
      <c r="BM225" s="386">
        <v>0</v>
      </c>
      <c r="BN225" s="386">
        <v>17.600000000000001</v>
      </c>
      <c r="BO225" s="386">
        <v>3377.2</v>
      </c>
      <c r="BP225" s="386">
        <v>1.5</v>
      </c>
      <c r="BQ225" s="615">
        <v>20.99</v>
      </c>
      <c r="BR225" s="615">
        <v>21.6</v>
      </c>
      <c r="BS225" s="615">
        <v>22.74</v>
      </c>
      <c r="BT225" s="615">
        <v>22.81</v>
      </c>
      <c r="BU225" s="614">
        <v>45.7</v>
      </c>
      <c r="BV225" s="614">
        <v>58.7</v>
      </c>
      <c r="BW225" s="615">
        <v>1743.2</v>
      </c>
      <c r="BX225" s="791"/>
      <c r="BY225" s="615">
        <v>0</v>
      </c>
      <c r="BZ225" s="615">
        <v>1.1399999999999999</v>
      </c>
      <c r="CA225" s="615">
        <v>1.1000000000000001</v>
      </c>
      <c r="CB225" s="615">
        <v>8.1</v>
      </c>
      <c r="CC225" s="615">
        <v>8.1</v>
      </c>
      <c r="CD225" s="615">
        <v>16.8</v>
      </c>
      <c r="CE225" s="615">
        <v>32.299999999999997</v>
      </c>
      <c r="CF225" s="615">
        <v>18.2</v>
      </c>
      <c r="CG225" s="615">
        <v>8.8000000000000007</v>
      </c>
      <c r="CH225" s="615">
        <v>14.5</v>
      </c>
      <c r="CI225" s="615">
        <v>18.8</v>
      </c>
      <c r="CJ225" s="615">
        <v>14.28</v>
      </c>
      <c r="CK225" s="615">
        <v>0</v>
      </c>
      <c r="CL225" s="615">
        <v>4.3</v>
      </c>
      <c r="CM225" s="615">
        <v>7.1</v>
      </c>
      <c r="CN225" s="615">
        <v>3611.3</v>
      </c>
      <c r="CO225" s="615">
        <v>1289</v>
      </c>
      <c r="CP225" s="615">
        <v>662.4</v>
      </c>
      <c r="CQ225" s="615">
        <v>12.9</v>
      </c>
      <c r="CR225" s="615">
        <v>1.02</v>
      </c>
      <c r="CS225" s="614">
        <v>9836.5</v>
      </c>
      <c r="CT225" s="386">
        <v>16.591999999999999</v>
      </c>
      <c r="CU225" s="386">
        <v>58</v>
      </c>
      <c r="CV225" s="734">
        <v>0</v>
      </c>
      <c r="CW225" s="734">
        <v>0</v>
      </c>
      <c r="CX225" s="734">
        <v>0</v>
      </c>
      <c r="CY225" s="734">
        <v>0</v>
      </c>
      <c r="CZ225" s="643">
        <v>319</v>
      </c>
      <c r="DA225" s="643">
        <v>336</v>
      </c>
      <c r="DB225" s="643">
        <v>196</v>
      </c>
      <c r="DC225" s="609">
        <v>1160.97</v>
      </c>
      <c r="DD225" s="1153">
        <f t="shared" si="69"/>
        <v>-0.27999999999997272</v>
      </c>
      <c r="DE225" s="1154">
        <f t="shared" si="70"/>
        <v>43.456870080000002</v>
      </c>
      <c r="DF225" s="1154">
        <f t="shared" si="71"/>
        <v>86</v>
      </c>
      <c r="DG225" s="1154">
        <f t="shared" si="72"/>
        <v>86</v>
      </c>
      <c r="DH225" s="1155" t="str">
        <f t="shared" si="73"/>
        <v>Palm</v>
      </c>
      <c r="DI225" s="1146">
        <f t="shared" si="74"/>
        <v>140</v>
      </c>
      <c r="DJ225" s="1146">
        <f t="shared" si="75"/>
        <v>14.16456</v>
      </c>
      <c r="DK225" s="1154">
        <f t="shared" si="76"/>
        <v>43.456870080000002</v>
      </c>
      <c r="DL225" s="615"/>
      <c r="DM225" s="615"/>
      <c r="DN225" s="615"/>
      <c r="DO225" s="499"/>
      <c r="DP225" s="499"/>
      <c r="DQ225" s="499"/>
      <c r="DR225" s="499"/>
      <c r="DS225" s="499"/>
      <c r="DT225" s="499"/>
      <c r="DU225" s="499"/>
      <c r="DV225" s="499"/>
      <c r="DW225" s="499"/>
      <c r="DX225" s="499"/>
      <c r="DY225" s="499"/>
      <c r="DZ225" s="499"/>
      <c r="EA225" s="499"/>
      <c r="EB225" s="499"/>
      <c r="EC225" s="499"/>
      <c r="ED225" s="499"/>
      <c r="EE225" s="499"/>
      <c r="EF225" s="499"/>
      <c r="EG225" s="1146">
        <f t="shared" si="63"/>
        <v>41</v>
      </c>
      <c r="EH225" s="642">
        <v>19</v>
      </c>
      <c r="EI225" s="615">
        <v>3</v>
      </c>
      <c r="EJ225" s="613">
        <v>7</v>
      </c>
      <c r="EK225" s="613">
        <v>12</v>
      </c>
      <c r="EL225" s="615"/>
      <c r="EM225" s="499"/>
      <c r="EN225" s="499"/>
      <c r="EO225" s="499"/>
      <c r="EP225" s="499"/>
      <c r="EQ225" s="499"/>
      <c r="ER225" s="499"/>
      <c r="ES225" s="388"/>
      <c r="ET225" s="388"/>
      <c r="EV225" s="1167">
        <f t="shared" si="65"/>
        <v>63.427</v>
      </c>
    </row>
    <row r="226" spans="1:152" s="350" customFormat="1" ht="15" x14ac:dyDescent="0.25">
      <c r="A226" s="632" t="s">
        <v>9</v>
      </c>
      <c r="B226" s="662">
        <v>42952</v>
      </c>
      <c r="C226" s="1132" t="s">
        <v>904</v>
      </c>
      <c r="D226" s="386">
        <v>0</v>
      </c>
      <c r="E226" s="636">
        <v>0</v>
      </c>
      <c r="F226" s="636">
        <v>62</v>
      </c>
      <c r="G226" s="636">
        <v>0.4</v>
      </c>
      <c r="H226" s="386">
        <v>1.82</v>
      </c>
      <c r="I226" s="386">
        <v>19.100000000000001</v>
      </c>
      <c r="J226" s="386">
        <v>0</v>
      </c>
      <c r="K226" s="386">
        <v>1.26</v>
      </c>
      <c r="L226" s="636">
        <v>0</v>
      </c>
      <c r="M226" s="386">
        <v>16.7</v>
      </c>
      <c r="N226" s="386">
        <v>1.2150000000000001</v>
      </c>
      <c r="O226" s="386">
        <v>1.5040653000790403</v>
      </c>
      <c r="P226" s="386">
        <v>1.2070000000000001</v>
      </c>
      <c r="Q226" s="386">
        <v>0.68614879015368757</v>
      </c>
      <c r="R226" s="732">
        <v>1377.4334302325585</v>
      </c>
      <c r="S226" s="386">
        <v>8.15</v>
      </c>
      <c r="T226" s="386">
        <v>7.96</v>
      </c>
      <c r="U226" s="386">
        <v>0.876</v>
      </c>
      <c r="V226" s="636">
        <v>0.89700000000000002</v>
      </c>
      <c r="W226" s="636">
        <v>57.92</v>
      </c>
      <c r="X226" s="613">
        <v>58.100000000000009</v>
      </c>
      <c r="Y226" s="367">
        <v>50.39</v>
      </c>
      <c r="Z226" s="636">
        <v>39.9</v>
      </c>
      <c r="AA226" s="636">
        <v>50.33</v>
      </c>
      <c r="AB226" s="636">
        <v>41.6</v>
      </c>
      <c r="AC226" s="1160">
        <f t="shared" si="66"/>
        <v>91.93</v>
      </c>
      <c r="AD226" s="1160">
        <f t="shared" si="67"/>
        <v>142.21571</v>
      </c>
      <c r="AE226" s="1160">
        <f t="shared" si="68"/>
        <v>142.21571</v>
      </c>
      <c r="AF226" s="723"/>
      <c r="AG226" s="1160">
        <f t="shared" si="64"/>
        <v>0.72</v>
      </c>
      <c r="AH226" s="656"/>
      <c r="AI226" s="656"/>
      <c r="AJ226" s="388"/>
      <c r="AK226" s="388"/>
      <c r="AL226" s="388"/>
      <c r="AM226" s="388"/>
      <c r="AN226" s="388"/>
      <c r="AO226" s="370"/>
      <c r="AP226" s="370"/>
      <c r="AQ226" s="386"/>
      <c r="AR226" s="551">
        <v>0</v>
      </c>
      <c r="AS226" s="386">
        <v>28.8</v>
      </c>
      <c r="AT226" s="386">
        <v>0</v>
      </c>
      <c r="AU226" s="386">
        <v>0</v>
      </c>
      <c r="AV226" s="636">
        <v>909.7</v>
      </c>
      <c r="AW226" s="636">
        <v>2779.3</v>
      </c>
      <c r="AX226" s="386">
        <v>0.9</v>
      </c>
      <c r="AY226" s="551">
        <v>0</v>
      </c>
      <c r="AZ226" s="551">
        <v>0</v>
      </c>
      <c r="BA226" s="551">
        <v>0</v>
      </c>
      <c r="BB226" s="832">
        <v>0.72</v>
      </c>
      <c r="BC226" s="386">
        <v>1.19</v>
      </c>
      <c r="BD226" s="386">
        <v>3.31</v>
      </c>
      <c r="BE226" s="551">
        <v>0</v>
      </c>
      <c r="BF226" s="386">
        <v>2.4900000000000002</v>
      </c>
      <c r="BG226" s="386">
        <v>0</v>
      </c>
      <c r="BH226" s="551">
        <v>0</v>
      </c>
      <c r="BI226" s="386">
        <v>3.02</v>
      </c>
      <c r="BJ226" s="386">
        <v>31.8</v>
      </c>
      <c r="BK226" s="386">
        <v>6.17</v>
      </c>
      <c r="BL226" s="386">
        <v>5.78</v>
      </c>
      <c r="BM226" s="386">
        <v>0</v>
      </c>
      <c r="BN226" s="386">
        <v>19.2</v>
      </c>
      <c r="BO226" s="386">
        <v>2672.7</v>
      </c>
      <c r="BP226" s="386">
        <v>1.6</v>
      </c>
      <c r="BQ226" s="615">
        <v>22.07</v>
      </c>
      <c r="BR226" s="615">
        <v>22.72</v>
      </c>
      <c r="BS226" s="615">
        <v>22.83</v>
      </c>
      <c r="BT226" s="615">
        <v>22.9</v>
      </c>
      <c r="BU226" s="614">
        <v>45.8</v>
      </c>
      <c r="BV226" s="614">
        <v>50.5</v>
      </c>
      <c r="BW226" s="615">
        <v>1715.7</v>
      </c>
      <c r="BX226" s="791"/>
      <c r="BY226" s="615">
        <v>0</v>
      </c>
      <c r="BZ226" s="615">
        <v>1.1499999999999999</v>
      </c>
      <c r="CA226" s="615">
        <v>1.1000000000000001</v>
      </c>
      <c r="CB226" s="615">
        <v>8.1</v>
      </c>
      <c r="CC226" s="615">
        <v>8.1</v>
      </c>
      <c r="CD226" s="615">
        <v>17.600000000000001</v>
      </c>
      <c r="CE226" s="615">
        <v>32.4</v>
      </c>
      <c r="CF226" s="615">
        <v>19.2</v>
      </c>
      <c r="CG226" s="615">
        <v>7.11</v>
      </c>
      <c r="CH226" s="615">
        <v>12.6</v>
      </c>
      <c r="CI226" s="615">
        <v>16.8</v>
      </c>
      <c r="CJ226" s="615">
        <v>13.87</v>
      </c>
      <c r="CK226" s="615">
        <v>0</v>
      </c>
      <c r="CL226" s="615">
        <v>3.9</v>
      </c>
      <c r="CM226" s="615">
        <v>5.7</v>
      </c>
      <c r="CN226" s="615">
        <v>3231.8</v>
      </c>
      <c r="CO226" s="615">
        <v>1221.9000000000001</v>
      </c>
      <c r="CP226" s="615">
        <v>627.1</v>
      </c>
      <c r="CQ226" s="615">
        <v>12.7</v>
      </c>
      <c r="CR226" s="615">
        <v>0.86</v>
      </c>
      <c r="CS226" s="614">
        <v>9714.6</v>
      </c>
      <c r="CT226" s="386">
        <v>16.003</v>
      </c>
      <c r="CU226" s="386">
        <v>58</v>
      </c>
      <c r="CV226" s="734">
        <v>0</v>
      </c>
      <c r="CW226" s="734">
        <v>0</v>
      </c>
      <c r="CX226" s="734">
        <v>0</v>
      </c>
      <c r="CY226" s="734">
        <v>0</v>
      </c>
      <c r="CZ226" s="643">
        <v>316</v>
      </c>
      <c r="DA226" s="643">
        <v>313</v>
      </c>
      <c r="DB226" s="643">
        <v>187</v>
      </c>
      <c r="DC226" s="609">
        <v>1160.7</v>
      </c>
      <c r="DD226" s="1153">
        <f t="shared" si="69"/>
        <v>-0.26999999999998181</v>
      </c>
      <c r="DE226" s="1154">
        <f t="shared" si="70"/>
        <v>42.918325632000005</v>
      </c>
      <c r="DF226" s="1154">
        <f t="shared" si="71"/>
        <v>77</v>
      </c>
      <c r="DG226" s="1154">
        <f t="shared" si="72"/>
        <v>63</v>
      </c>
      <c r="DH226" s="1155" t="str">
        <f t="shared" si="73"/>
        <v>Aub</v>
      </c>
      <c r="DI226" s="1146">
        <f t="shared" si="74"/>
        <v>126</v>
      </c>
      <c r="DJ226" s="1146">
        <f t="shared" si="75"/>
        <v>13.989024000000002</v>
      </c>
      <c r="DK226" s="1154">
        <f t="shared" si="76"/>
        <v>42.918325632000005</v>
      </c>
      <c r="DL226" s="615"/>
      <c r="DM226" s="615"/>
      <c r="DN226" s="615"/>
      <c r="DO226" s="499"/>
      <c r="DP226" s="499"/>
      <c r="DQ226" s="499"/>
      <c r="DR226" s="499"/>
      <c r="DS226" s="499"/>
      <c r="DT226" s="499"/>
      <c r="DU226" s="499"/>
      <c r="DV226" s="499"/>
      <c r="DW226" s="499"/>
      <c r="DX226" s="499"/>
      <c r="DY226" s="499"/>
      <c r="DZ226" s="499"/>
      <c r="EA226" s="499"/>
      <c r="EB226" s="499"/>
      <c r="EC226" s="499"/>
      <c r="ED226" s="499"/>
      <c r="EE226" s="499"/>
      <c r="EF226" s="499"/>
      <c r="EG226" s="1146">
        <f t="shared" si="63"/>
        <v>32</v>
      </c>
      <c r="EH226" s="642">
        <v>10</v>
      </c>
      <c r="EI226" s="615">
        <v>3</v>
      </c>
      <c r="EJ226" s="613">
        <v>7</v>
      </c>
      <c r="EK226" s="613">
        <v>12</v>
      </c>
      <c r="EL226" s="615"/>
      <c r="EM226" s="499"/>
      <c r="EN226" s="499"/>
      <c r="EO226" s="499"/>
      <c r="EP226" s="499"/>
      <c r="EQ226" s="499"/>
      <c r="ER226" s="499"/>
      <c r="ES226" s="388"/>
      <c r="ET226" s="388"/>
      <c r="EV226" s="1167">
        <f t="shared" si="65"/>
        <v>49.503999999999998</v>
      </c>
    </row>
    <row r="227" spans="1:152" s="350" customFormat="1" ht="15" x14ac:dyDescent="0.25">
      <c r="A227" s="632" t="s">
        <v>3</v>
      </c>
      <c r="B227" s="662">
        <v>42953</v>
      </c>
      <c r="C227" s="1132" t="s">
        <v>904</v>
      </c>
      <c r="D227" s="386">
        <v>0</v>
      </c>
      <c r="E227" s="636">
        <v>0</v>
      </c>
      <c r="F227" s="636">
        <v>64</v>
      </c>
      <c r="G227" s="636">
        <v>0.4</v>
      </c>
      <c r="H227" s="386">
        <v>1.9</v>
      </c>
      <c r="I227" s="386">
        <v>18.600000000000001</v>
      </c>
      <c r="J227" s="386">
        <v>0</v>
      </c>
      <c r="K227" s="386">
        <v>1.31</v>
      </c>
      <c r="L227" s="636">
        <v>0</v>
      </c>
      <c r="M227" s="386">
        <v>16.7</v>
      </c>
      <c r="N227" s="386">
        <v>1.1479999999999999</v>
      </c>
      <c r="O227" s="386">
        <v>1.5062915053463071</v>
      </c>
      <c r="P227" s="386">
        <v>1.1399999999999999</v>
      </c>
      <c r="Q227" s="386">
        <v>0.69674491074764733</v>
      </c>
      <c r="R227" s="732">
        <v>1388.7675872093023</v>
      </c>
      <c r="S227" s="386">
        <v>8.2100000000000009</v>
      </c>
      <c r="T227" s="386">
        <v>8.08</v>
      </c>
      <c r="U227" s="386">
        <v>0.83</v>
      </c>
      <c r="V227" s="636">
        <v>0.8</v>
      </c>
      <c r="W227" s="636">
        <v>57.739999999999995</v>
      </c>
      <c r="X227" s="613">
        <v>57.92</v>
      </c>
      <c r="Y227" s="367">
        <v>50.33</v>
      </c>
      <c r="Z227" s="636">
        <v>41.6</v>
      </c>
      <c r="AA227" s="636">
        <v>48.66</v>
      </c>
      <c r="AB227" s="636">
        <v>44.15</v>
      </c>
      <c r="AC227" s="1160">
        <f t="shared" si="66"/>
        <v>92.81</v>
      </c>
      <c r="AD227" s="1160">
        <f t="shared" si="67"/>
        <v>143.57706999999999</v>
      </c>
      <c r="AE227" s="1160">
        <f t="shared" si="68"/>
        <v>143.57706999999999</v>
      </c>
      <c r="AF227" s="723"/>
      <c r="AG227" s="1160">
        <f t="shared" si="64"/>
        <v>0.72</v>
      </c>
      <c r="AH227" s="656"/>
      <c r="AI227" s="656"/>
      <c r="AJ227" s="388"/>
      <c r="AK227" s="388"/>
      <c r="AL227" s="388"/>
      <c r="AM227" s="388"/>
      <c r="AN227" s="388"/>
      <c r="AO227" s="370"/>
      <c r="AP227" s="370"/>
      <c r="AQ227" s="386"/>
      <c r="AR227" s="551">
        <v>0</v>
      </c>
      <c r="AS227" s="386">
        <v>29.6</v>
      </c>
      <c r="AT227" s="386">
        <v>0</v>
      </c>
      <c r="AU227" s="386">
        <v>0</v>
      </c>
      <c r="AV227" s="636">
        <v>985</v>
      </c>
      <c r="AW227" s="636">
        <v>2727.5</v>
      </c>
      <c r="AX227" s="386">
        <v>0</v>
      </c>
      <c r="AY227" s="551">
        <v>0</v>
      </c>
      <c r="AZ227" s="551">
        <v>0</v>
      </c>
      <c r="BA227" s="551">
        <v>0</v>
      </c>
      <c r="BB227" s="832">
        <v>0.72</v>
      </c>
      <c r="BC227" s="386">
        <v>1.18</v>
      </c>
      <c r="BD227" s="386">
        <v>3.31</v>
      </c>
      <c r="BE227" s="551">
        <v>0</v>
      </c>
      <c r="BF227" s="386">
        <v>2.4900000000000002</v>
      </c>
      <c r="BG227" s="386">
        <v>0</v>
      </c>
      <c r="BH227" s="551">
        <v>0</v>
      </c>
      <c r="BI227" s="386">
        <v>3.02</v>
      </c>
      <c r="BJ227" s="386">
        <v>34.299999999999997</v>
      </c>
      <c r="BK227" s="386">
        <v>5.73</v>
      </c>
      <c r="BL227" s="386">
        <v>5.9</v>
      </c>
      <c r="BM227" s="386">
        <v>0</v>
      </c>
      <c r="BN227" s="386">
        <v>22</v>
      </c>
      <c r="BO227" s="386">
        <v>3092.5</v>
      </c>
      <c r="BP227" s="386">
        <v>1.7</v>
      </c>
      <c r="BQ227" s="615">
        <v>23.3</v>
      </c>
      <c r="BR227" s="615">
        <v>23.96</v>
      </c>
      <c r="BS227" s="615">
        <v>22.19</v>
      </c>
      <c r="BT227" s="615">
        <v>22.26</v>
      </c>
      <c r="BU227" s="614">
        <v>44.6</v>
      </c>
      <c r="BV227" s="614">
        <v>48.7</v>
      </c>
      <c r="BW227" s="615">
        <v>1645.9</v>
      </c>
      <c r="BX227" s="791"/>
      <c r="BY227" s="615">
        <v>0</v>
      </c>
      <c r="BZ227" s="615">
        <v>1.0900000000000001</v>
      </c>
      <c r="CA227" s="615">
        <v>1.1000000000000001</v>
      </c>
      <c r="CB227" s="615">
        <v>8.1999999999999993</v>
      </c>
      <c r="CC227" s="615">
        <v>8.1</v>
      </c>
      <c r="CD227" s="615">
        <v>17.2</v>
      </c>
      <c r="CE227" s="615">
        <v>32.5</v>
      </c>
      <c r="CF227" s="615">
        <v>20.399999999999999</v>
      </c>
      <c r="CG227" s="615">
        <v>7.2</v>
      </c>
      <c r="CH227" s="615">
        <v>12.7</v>
      </c>
      <c r="CI227" s="615">
        <v>16.899999999999999</v>
      </c>
      <c r="CJ227" s="615">
        <v>13.76</v>
      </c>
      <c r="CK227" s="615">
        <v>0</v>
      </c>
      <c r="CL227" s="615">
        <v>3.6</v>
      </c>
      <c r="CM227" s="615">
        <v>6.3</v>
      </c>
      <c r="CN227" s="615">
        <v>3253.2</v>
      </c>
      <c r="CO227" s="615">
        <v>1179.5</v>
      </c>
      <c r="CP227" s="615">
        <v>606</v>
      </c>
      <c r="CQ227" s="615">
        <v>12.7</v>
      </c>
      <c r="CR227" s="615">
        <v>0.87</v>
      </c>
      <c r="CS227" s="614">
        <v>9695.2999999999993</v>
      </c>
      <c r="CT227" s="386">
        <v>16.806999999999999</v>
      </c>
      <c r="CU227" s="386">
        <v>58</v>
      </c>
      <c r="CV227" s="734">
        <v>0</v>
      </c>
      <c r="CW227" s="734">
        <v>0</v>
      </c>
      <c r="CX227" s="734">
        <v>0</v>
      </c>
      <c r="CY227" s="734">
        <v>0</v>
      </c>
      <c r="CZ227" s="643">
        <v>316</v>
      </c>
      <c r="DA227" s="643">
        <v>304</v>
      </c>
      <c r="DB227" s="643">
        <v>196</v>
      </c>
      <c r="DC227" s="609">
        <v>1160.43</v>
      </c>
      <c r="DD227" s="1153">
        <f t="shared" si="69"/>
        <v>-0.26999999999998181</v>
      </c>
      <c r="DE227" s="1154">
        <f t="shared" si="70"/>
        <v>42.833059775999999</v>
      </c>
      <c r="DF227" s="1154">
        <f t="shared" si="71"/>
        <v>86</v>
      </c>
      <c r="DG227" s="1154">
        <f t="shared" si="72"/>
        <v>54</v>
      </c>
      <c r="DH227" s="1155" t="str">
        <f t="shared" si="73"/>
        <v>Aub</v>
      </c>
      <c r="DI227" s="1146">
        <f t="shared" si="74"/>
        <v>108</v>
      </c>
      <c r="DJ227" s="1146">
        <f t="shared" si="75"/>
        <v>13.961231999999999</v>
      </c>
      <c r="DK227" s="1154">
        <f t="shared" si="76"/>
        <v>42.833059775999999</v>
      </c>
      <c r="DL227" s="615"/>
      <c r="DM227" s="615"/>
      <c r="DN227" s="615"/>
      <c r="DO227" s="499"/>
      <c r="DP227" s="499"/>
      <c r="DQ227" s="499"/>
      <c r="DR227" s="499"/>
      <c r="DS227" s="499"/>
      <c r="DT227" s="499"/>
      <c r="DU227" s="499"/>
      <c r="DV227" s="499"/>
      <c r="DW227" s="499"/>
      <c r="DX227" s="499"/>
      <c r="DY227" s="499"/>
      <c r="DZ227" s="499"/>
      <c r="EA227" s="499"/>
      <c r="EB227" s="499"/>
      <c r="EC227" s="499"/>
      <c r="ED227" s="499"/>
      <c r="EE227" s="499"/>
      <c r="EF227" s="499"/>
      <c r="EG227" s="1146">
        <f t="shared" si="63"/>
        <v>32</v>
      </c>
      <c r="EH227" s="642">
        <v>10</v>
      </c>
      <c r="EI227" s="615">
        <v>3</v>
      </c>
      <c r="EJ227" s="613">
        <v>7</v>
      </c>
      <c r="EK227" s="613">
        <v>12</v>
      </c>
      <c r="EL227" s="615"/>
      <c r="EM227" s="499"/>
      <c r="EN227" s="499"/>
      <c r="EO227" s="499"/>
      <c r="EP227" s="499"/>
      <c r="EQ227" s="499"/>
      <c r="ER227" s="499"/>
      <c r="ES227" s="388"/>
      <c r="ET227" s="388"/>
      <c r="EV227" s="1167">
        <f t="shared" si="65"/>
        <v>49.503999999999998</v>
      </c>
    </row>
    <row r="228" spans="1:152" s="350" customFormat="1" ht="15" x14ac:dyDescent="0.25">
      <c r="A228" s="632" t="s">
        <v>4</v>
      </c>
      <c r="B228" s="662">
        <v>42954</v>
      </c>
      <c r="C228" s="1132" t="s">
        <v>904</v>
      </c>
      <c r="D228" s="386">
        <v>0</v>
      </c>
      <c r="E228" s="636">
        <v>0</v>
      </c>
      <c r="F228" s="636">
        <v>66</v>
      </c>
      <c r="G228" s="636">
        <v>0.4</v>
      </c>
      <c r="H228" s="386">
        <v>1.78</v>
      </c>
      <c r="I228" s="386">
        <v>17.3</v>
      </c>
      <c r="J228" s="386">
        <v>0</v>
      </c>
      <c r="K228" s="386">
        <v>1.28</v>
      </c>
      <c r="L228" s="610">
        <v>0</v>
      </c>
      <c r="M228" s="386">
        <v>16.7</v>
      </c>
      <c r="N228" s="386">
        <v>1.179</v>
      </c>
      <c r="O228" s="386">
        <v>1.4881484794275495</v>
      </c>
      <c r="P228" s="386">
        <v>1.173</v>
      </c>
      <c r="Q228" s="386">
        <v>0.69295982593830141</v>
      </c>
      <c r="R228" s="732">
        <v>1294.4273982558138</v>
      </c>
      <c r="S228" s="386">
        <v>8.23</v>
      </c>
      <c r="T228" s="386">
        <v>8.24</v>
      </c>
      <c r="U228" s="386">
        <v>0.86299999999999999</v>
      </c>
      <c r="V228" s="739">
        <v>0.78900000000000003</v>
      </c>
      <c r="W228" s="636">
        <v>58.460000000000008</v>
      </c>
      <c r="X228" s="613">
        <v>58.64</v>
      </c>
      <c r="Y228" s="367">
        <v>48.66</v>
      </c>
      <c r="Z228" s="636">
        <v>44.15</v>
      </c>
      <c r="AA228" s="636">
        <v>42.88</v>
      </c>
      <c r="AB228" s="636">
        <v>43.85</v>
      </c>
      <c r="AC228" s="1160">
        <f t="shared" si="66"/>
        <v>86.73</v>
      </c>
      <c r="AD228" s="1160">
        <f t="shared" si="67"/>
        <v>134.17131000000001</v>
      </c>
      <c r="AE228" s="1160">
        <f t="shared" si="68"/>
        <v>134.17131000000001</v>
      </c>
      <c r="AF228" s="723"/>
      <c r="AG228" s="1160">
        <f t="shared" si="64"/>
        <v>0.72</v>
      </c>
      <c r="AH228" s="656"/>
      <c r="AI228" s="656"/>
      <c r="AJ228" s="388"/>
      <c r="AK228" s="388"/>
      <c r="AL228" s="388"/>
      <c r="AM228" s="388"/>
      <c r="AN228" s="388"/>
      <c r="AO228" s="370"/>
      <c r="AP228" s="370"/>
      <c r="AQ228" s="386"/>
      <c r="AR228" s="551">
        <v>0</v>
      </c>
      <c r="AS228" s="386">
        <v>26.9</v>
      </c>
      <c r="AT228" s="386">
        <v>0</v>
      </c>
      <c r="AU228" s="386">
        <v>0</v>
      </c>
      <c r="AV228" s="636">
        <v>924.5</v>
      </c>
      <c r="AW228" s="636">
        <v>2824.9</v>
      </c>
      <c r="AX228" s="386">
        <v>1.5</v>
      </c>
      <c r="AY228" s="551">
        <v>0</v>
      </c>
      <c r="AZ228" s="551">
        <v>0</v>
      </c>
      <c r="BA228" s="551">
        <v>0</v>
      </c>
      <c r="BB228" s="832">
        <v>0.72</v>
      </c>
      <c r="BC228" s="386">
        <v>1.19</v>
      </c>
      <c r="BD228" s="386">
        <v>3.31</v>
      </c>
      <c r="BE228" s="551">
        <v>0</v>
      </c>
      <c r="BF228" s="386">
        <v>2.4900000000000002</v>
      </c>
      <c r="BG228" s="386">
        <v>2.68</v>
      </c>
      <c r="BH228" s="551">
        <v>0</v>
      </c>
      <c r="BI228" s="386">
        <v>2.72</v>
      </c>
      <c r="BJ228" s="386">
        <v>31.6</v>
      </c>
      <c r="BK228" s="386">
        <v>6.36</v>
      </c>
      <c r="BL228" s="386">
        <v>5.21</v>
      </c>
      <c r="BM228" s="386">
        <v>0</v>
      </c>
      <c r="BN228" s="386">
        <v>19.2</v>
      </c>
      <c r="BO228" s="386">
        <v>3056.5</v>
      </c>
      <c r="BP228" s="386">
        <v>20.6</v>
      </c>
      <c r="BQ228" s="615">
        <v>21.83</v>
      </c>
      <c r="BR228" s="615">
        <v>22.44</v>
      </c>
      <c r="BS228" s="615">
        <v>19.16</v>
      </c>
      <c r="BT228" s="615">
        <v>19.25</v>
      </c>
      <c r="BU228" s="614">
        <v>38.6</v>
      </c>
      <c r="BV228" s="614">
        <v>50.2</v>
      </c>
      <c r="BW228" s="615">
        <v>1958.9</v>
      </c>
      <c r="BX228" s="791"/>
      <c r="BY228" s="615">
        <v>0</v>
      </c>
      <c r="BZ228" s="615">
        <v>1.1399999999999999</v>
      </c>
      <c r="CA228" s="615">
        <v>1.1000000000000001</v>
      </c>
      <c r="CB228" s="615">
        <v>8.1999999999999993</v>
      </c>
      <c r="CC228" s="615">
        <v>8.1</v>
      </c>
      <c r="CD228" s="615">
        <v>16.100000000000001</v>
      </c>
      <c r="CE228" s="615">
        <v>32.200000000000003</v>
      </c>
      <c r="CF228" s="615">
        <v>20.399999999999999</v>
      </c>
      <c r="CG228" s="615">
        <v>7.4</v>
      </c>
      <c r="CH228" s="615">
        <v>12.8</v>
      </c>
      <c r="CI228" s="615">
        <v>17.2</v>
      </c>
      <c r="CJ228" s="615">
        <v>12.75</v>
      </c>
      <c r="CK228" s="615">
        <v>0</v>
      </c>
      <c r="CL228" s="615">
        <v>3.6</v>
      </c>
      <c r="CM228" s="615">
        <v>7</v>
      </c>
      <c r="CN228" s="615">
        <v>3162.4</v>
      </c>
      <c r="CO228" s="615">
        <v>1165.9000000000001</v>
      </c>
      <c r="CP228" s="615">
        <v>633.29999999999995</v>
      </c>
      <c r="CQ228" s="615">
        <v>12.7</v>
      </c>
      <c r="CR228" s="615">
        <v>0.96</v>
      </c>
      <c r="CS228" s="614">
        <v>9685.1</v>
      </c>
      <c r="CT228" s="386">
        <v>16.759</v>
      </c>
      <c r="CU228" s="386">
        <v>58</v>
      </c>
      <c r="CV228" s="734">
        <v>0</v>
      </c>
      <c r="CW228" s="734">
        <v>0</v>
      </c>
      <c r="CX228" s="734">
        <v>0</v>
      </c>
      <c r="CY228" s="734">
        <v>0</v>
      </c>
      <c r="CZ228" s="643">
        <v>308</v>
      </c>
      <c r="DA228" s="643">
        <v>322</v>
      </c>
      <c r="DB228" s="643">
        <v>152</v>
      </c>
      <c r="DC228" s="609">
        <v>1160.1600000000001</v>
      </c>
      <c r="DD228" s="1153">
        <f t="shared" si="69"/>
        <v>-0.26999999999998181</v>
      </c>
      <c r="DE228" s="1154">
        <f t="shared" si="70"/>
        <v>42.787996991999997</v>
      </c>
      <c r="DF228" s="1154">
        <f t="shared" si="71"/>
        <v>42</v>
      </c>
      <c r="DG228" s="1154">
        <f t="shared" si="72"/>
        <v>72</v>
      </c>
      <c r="DH228" s="1155" t="str">
        <f t="shared" si="73"/>
        <v>Palm</v>
      </c>
      <c r="DI228" s="1146">
        <f t="shared" si="74"/>
        <v>170</v>
      </c>
      <c r="DJ228" s="1146">
        <f t="shared" si="75"/>
        <v>13.946543999999999</v>
      </c>
      <c r="DK228" s="1154">
        <f t="shared" si="76"/>
        <v>42.787996991999997</v>
      </c>
      <c r="DL228" s="615"/>
      <c r="DM228" s="615"/>
      <c r="DN228" s="615"/>
      <c r="DO228" s="499"/>
      <c r="DP228" s="499"/>
      <c r="DQ228" s="499"/>
      <c r="DR228" s="499"/>
      <c r="DS228" s="499"/>
      <c r="DT228" s="499"/>
      <c r="DU228" s="499"/>
      <c r="DV228" s="499"/>
      <c r="DW228" s="499"/>
      <c r="DX228" s="499"/>
      <c r="DY228" s="499"/>
      <c r="DZ228" s="499"/>
      <c r="EA228" s="499"/>
      <c r="EB228" s="499"/>
      <c r="EC228" s="499"/>
      <c r="ED228" s="499"/>
      <c r="EE228" s="499"/>
      <c r="EF228" s="499"/>
      <c r="EG228" s="1146">
        <f t="shared" si="63"/>
        <v>26</v>
      </c>
      <c r="EH228" s="630">
        <v>0</v>
      </c>
      <c r="EI228" s="615">
        <v>7</v>
      </c>
      <c r="EJ228" s="613">
        <v>7</v>
      </c>
      <c r="EK228" s="613">
        <v>12</v>
      </c>
      <c r="EL228" s="499"/>
      <c r="EM228" s="499"/>
      <c r="EN228" s="499"/>
      <c r="EO228" s="499"/>
      <c r="EP228" s="499"/>
      <c r="EQ228" s="499"/>
      <c r="ER228" s="499"/>
      <c r="ES228" s="388"/>
      <c r="ET228" s="388"/>
      <c r="EV228" s="1167">
        <f t="shared" si="65"/>
        <v>40.222000000000001</v>
      </c>
    </row>
    <row r="229" spans="1:152" s="350" customFormat="1" ht="15" x14ac:dyDescent="0.25">
      <c r="A229" s="632" t="s">
        <v>5</v>
      </c>
      <c r="B229" s="662">
        <v>42955</v>
      </c>
      <c r="C229" s="1132" t="s">
        <v>904</v>
      </c>
      <c r="D229" s="386">
        <v>0</v>
      </c>
      <c r="E229" s="636">
        <v>0</v>
      </c>
      <c r="F229" s="636">
        <v>66</v>
      </c>
      <c r="G229" s="636">
        <v>0.4</v>
      </c>
      <c r="H229" s="386">
        <v>1.79</v>
      </c>
      <c r="I229" s="386">
        <v>16.100000000000001</v>
      </c>
      <c r="J229" s="386">
        <v>0</v>
      </c>
      <c r="K229" s="386">
        <v>1.24</v>
      </c>
      <c r="L229" s="610">
        <v>0</v>
      </c>
      <c r="M229" s="386">
        <v>16.600000000000001</v>
      </c>
      <c r="N229" s="386">
        <v>1.1910000000000001</v>
      </c>
      <c r="O229" s="386">
        <v>1.482177866414278</v>
      </c>
      <c r="P229" s="386">
        <v>1.143</v>
      </c>
      <c r="Q229" s="386">
        <v>0.69208752498061754</v>
      </c>
      <c r="R229" s="732">
        <v>1310.7619186046513</v>
      </c>
      <c r="S229" s="386">
        <v>8.08</v>
      </c>
      <c r="T229" s="386">
        <v>8.0500000000000007</v>
      </c>
      <c r="U229" s="386">
        <v>0.85699999999999998</v>
      </c>
      <c r="V229" s="739">
        <v>0.82499999999999996</v>
      </c>
      <c r="W229" s="636">
        <v>58.819999999999993</v>
      </c>
      <c r="X229" s="613">
        <v>58.819999999999993</v>
      </c>
      <c r="Y229" s="367">
        <v>42.88</v>
      </c>
      <c r="Z229" s="636">
        <v>43.85</v>
      </c>
      <c r="AA229" s="636">
        <v>43.53</v>
      </c>
      <c r="AB229" s="636">
        <v>43.87</v>
      </c>
      <c r="AC229" s="1160">
        <f t="shared" si="66"/>
        <v>87.4</v>
      </c>
      <c r="AD229" s="1160">
        <f t="shared" si="67"/>
        <v>135.20779999999999</v>
      </c>
      <c r="AE229" s="1160">
        <f t="shared" si="68"/>
        <v>135.20779999999999</v>
      </c>
      <c r="AF229" s="723"/>
      <c r="AG229" s="1160">
        <f t="shared" si="64"/>
        <v>0.72</v>
      </c>
      <c r="AH229" s="656"/>
      <c r="AI229" s="656"/>
      <c r="AJ229" s="388"/>
      <c r="AK229" s="388"/>
      <c r="AL229" s="388"/>
      <c r="AM229" s="388"/>
      <c r="AN229" s="388"/>
      <c r="AO229" s="370"/>
      <c r="AP229" s="370"/>
      <c r="AQ229" s="386"/>
      <c r="AR229" s="551">
        <v>0</v>
      </c>
      <c r="AS229" s="386">
        <v>11.6</v>
      </c>
      <c r="AT229" s="386">
        <v>0</v>
      </c>
      <c r="AU229" s="386">
        <v>0</v>
      </c>
      <c r="AV229" s="636">
        <v>88.3</v>
      </c>
      <c r="AW229" s="636">
        <v>2724.9</v>
      </c>
      <c r="AX229" s="386">
        <v>0.2</v>
      </c>
      <c r="AY229" s="551">
        <v>0</v>
      </c>
      <c r="AZ229" s="551">
        <v>0</v>
      </c>
      <c r="BA229" s="551">
        <v>0</v>
      </c>
      <c r="BB229" s="832">
        <v>0.72</v>
      </c>
      <c r="BC229" s="386">
        <v>1.19</v>
      </c>
      <c r="BD229" s="386">
        <v>3.31</v>
      </c>
      <c r="BE229" s="551">
        <v>0</v>
      </c>
      <c r="BF229" s="386">
        <v>2.4900000000000002</v>
      </c>
      <c r="BG229" s="386">
        <v>4.13</v>
      </c>
      <c r="BH229" s="551">
        <v>0</v>
      </c>
      <c r="BI229" s="386">
        <v>2.52</v>
      </c>
      <c r="BJ229" s="386">
        <v>30.3</v>
      </c>
      <c r="BK229" s="386">
        <v>5.89</v>
      </c>
      <c r="BL229" s="386">
        <v>6.11</v>
      </c>
      <c r="BM229" s="386">
        <v>0</v>
      </c>
      <c r="BN229" s="386">
        <v>17.600000000000001</v>
      </c>
      <c r="BO229" s="386">
        <v>3132.7</v>
      </c>
      <c r="BP229" s="386">
        <v>1.5</v>
      </c>
      <c r="BQ229" s="615">
        <v>19.190000000000001</v>
      </c>
      <c r="BR229" s="615">
        <v>19.829999999999998</v>
      </c>
      <c r="BS229" s="615">
        <v>19.5</v>
      </c>
      <c r="BT229" s="615">
        <v>19.57</v>
      </c>
      <c r="BU229" s="614">
        <v>39.299999999999997</v>
      </c>
      <c r="BV229" s="614">
        <v>54.5</v>
      </c>
      <c r="BW229" s="615">
        <v>1488.3</v>
      </c>
      <c r="BX229" s="791"/>
      <c r="BY229" s="615">
        <v>0</v>
      </c>
      <c r="BZ229" s="615">
        <v>1.1499999999999999</v>
      </c>
      <c r="CA229" s="615">
        <v>1.1000000000000001</v>
      </c>
      <c r="CB229" s="615">
        <v>8.1999999999999993</v>
      </c>
      <c r="CC229" s="615">
        <v>8.1</v>
      </c>
      <c r="CD229" s="615">
        <v>17.5</v>
      </c>
      <c r="CE229" s="615">
        <v>32.200000000000003</v>
      </c>
      <c r="CF229" s="615">
        <v>17.899999999999999</v>
      </c>
      <c r="CG229" s="615">
        <v>9.1</v>
      </c>
      <c r="CH229" s="615">
        <v>14.9</v>
      </c>
      <c r="CI229" s="615">
        <v>18.899999999999999</v>
      </c>
      <c r="CJ229" s="615">
        <v>13.79</v>
      </c>
      <c r="CK229" s="615">
        <v>0</v>
      </c>
      <c r="CL229" s="615">
        <v>5</v>
      </c>
      <c r="CM229" s="615">
        <v>6.9</v>
      </c>
      <c r="CN229" s="615">
        <v>3058.6</v>
      </c>
      <c r="CO229" s="615">
        <v>1120.5999999999999</v>
      </c>
      <c r="CP229" s="615">
        <v>634.4</v>
      </c>
      <c r="CQ229" s="615">
        <v>13.4</v>
      </c>
      <c r="CR229" s="615">
        <v>0.94</v>
      </c>
      <c r="CS229" s="614">
        <v>9664.2000000000007</v>
      </c>
      <c r="CT229" s="386">
        <v>17.190999999999999</v>
      </c>
      <c r="CU229" s="386">
        <v>58</v>
      </c>
      <c r="CV229" s="499">
        <v>0</v>
      </c>
      <c r="CW229" s="499">
        <v>0</v>
      </c>
      <c r="CX229" s="499">
        <v>0</v>
      </c>
      <c r="CY229" s="499">
        <v>0</v>
      </c>
      <c r="CZ229" s="643">
        <v>276</v>
      </c>
      <c r="DA229" s="643">
        <v>309</v>
      </c>
      <c r="DB229" s="643">
        <v>153</v>
      </c>
      <c r="DC229" s="609">
        <v>1159.8900000000001</v>
      </c>
      <c r="DD229" s="1153">
        <f t="shared" si="69"/>
        <v>-0.26999999999998181</v>
      </c>
      <c r="DE229" s="1154">
        <f t="shared" si="70"/>
        <v>42.695662464000009</v>
      </c>
      <c r="DF229" s="1154">
        <f t="shared" si="71"/>
        <v>43</v>
      </c>
      <c r="DG229" s="1154">
        <f t="shared" si="72"/>
        <v>59</v>
      </c>
      <c r="DH229" s="1155" t="str">
        <f t="shared" si="73"/>
        <v>Palm</v>
      </c>
      <c r="DI229" s="1146">
        <f t="shared" si="74"/>
        <v>156</v>
      </c>
      <c r="DJ229" s="1146">
        <f t="shared" si="75"/>
        <v>13.916448000000003</v>
      </c>
      <c r="DK229" s="1154">
        <f t="shared" si="76"/>
        <v>42.695662464000009</v>
      </c>
      <c r="DL229" s="615"/>
      <c r="DM229" s="615"/>
      <c r="DN229" s="615"/>
      <c r="DO229" s="499"/>
      <c r="DP229" s="499"/>
      <c r="DQ229" s="499"/>
      <c r="DR229" s="499"/>
      <c r="DS229" s="499"/>
      <c r="DT229" s="499"/>
      <c r="DU229" s="499"/>
      <c r="DV229" s="499"/>
      <c r="DW229" s="499"/>
      <c r="DX229" s="499"/>
      <c r="DY229" s="499"/>
      <c r="DZ229" s="499"/>
      <c r="EA229" s="499"/>
      <c r="EB229" s="499"/>
      <c r="EC229" s="499"/>
      <c r="ED229" s="499"/>
      <c r="EE229" s="499"/>
      <c r="EF229" s="499"/>
      <c r="EG229" s="1146">
        <f t="shared" si="63"/>
        <v>26</v>
      </c>
      <c r="EH229" s="630">
        <v>0</v>
      </c>
      <c r="EI229" s="615">
        <v>7</v>
      </c>
      <c r="EJ229" s="613">
        <v>7</v>
      </c>
      <c r="EK229" s="613">
        <v>12</v>
      </c>
      <c r="EL229" s="499"/>
      <c r="EM229" s="499"/>
      <c r="EN229" s="499"/>
      <c r="EO229" s="499"/>
      <c r="EP229" s="499"/>
      <c r="EQ229" s="499"/>
      <c r="ER229" s="499"/>
      <c r="ES229" s="388"/>
      <c r="ET229" s="388"/>
      <c r="EV229" s="1167">
        <f t="shared" si="65"/>
        <v>40.222000000000001</v>
      </c>
    </row>
    <row r="230" spans="1:152" s="350" customFormat="1" ht="15" x14ac:dyDescent="0.25">
      <c r="A230" s="632" t="s">
        <v>6</v>
      </c>
      <c r="B230" s="662">
        <v>42956</v>
      </c>
      <c r="C230" s="1132" t="s">
        <v>904</v>
      </c>
      <c r="D230" s="386">
        <v>0</v>
      </c>
      <c r="E230" s="636">
        <v>0</v>
      </c>
      <c r="F230" s="636">
        <v>68</v>
      </c>
      <c r="G230" s="636">
        <v>0.4</v>
      </c>
      <c r="H230" s="386">
        <v>1.82</v>
      </c>
      <c r="I230" s="386">
        <v>19</v>
      </c>
      <c r="J230" s="386">
        <v>0</v>
      </c>
      <c r="K230" s="386">
        <v>1.32</v>
      </c>
      <c r="L230" s="636">
        <v>0</v>
      </c>
      <c r="M230" s="386">
        <v>16.5</v>
      </c>
      <c r="N230" s="386">
        <v>1.206</v>
      </c>
      <c r="O230" s="386">
        <v>1.4728318518716452</v>
      </c>
      <c r="P230" s="386">
        <v>1.204</v>
      </c>
      <c r="Q230" s="386">
        <v>0.69133315968013576</v>
      </c>
      <c r="R230" s="732">
        <v>1309.4284883720929</v>
      </c>
      <c r="S230" s="386">
        <v>7.96</v>
      </c>
      <c r="T230" s="386">
        <v>8.08</v>
      </c>
      <c r="U230" s="386">
        <v>0.87</v>
      </c>
      <c r="V230" s="636">
        <v>0.84499999999999997</v>
      </c>
      <c r="W230" s="636">
        <v>59</v>
      </c>
      <c r="X230" s="613">
        <v>59</v>
      </c>
      <c r="Y230" s="367">
        <v>43.53</v>
      </c>
      <c r="Z230" s="636">
        <v>43.87</v>
      </c>
      <c r="AA230" s="636">
        <v>44.8</v>
      </c>
      <c r="AB230" s="636">
        <v>43.83</v>
      </c>
      <c r="AC230" s="1160">
        <f t="shared" si="66"/>
        <v>88.63</v>
      </c>
      <c r="AD230" s="1160">
        <f t="shared" si="67"/>
        <v>137.11060999999998</v>
      </c>
      <c r="AE230" s="1160">
        <f t="shared" si="68"/>
        <v>137.11060999999998</v>
      </c>
      <c r="AF230" s="723"/>
      <c r="AG230" s="1160">
        <f t="shared" si="64"/>
        <v>0.73</v>
      </c>
      <c r="AH230" s="656"/>
      <c r="AI230" s="656"/>
      <c r="AJ230" s="388"/>
      <c r="AK230" s="388"/>
      <c r="AL230" s="388"/>
      <c r="AM230" s="388"/>
      <c r="AN230" s="388"/>
      <c r="AO230" s="370"/>
      <c r="AP230" s="370"/>
      <c r="AQ230" s="386"/>
      <c r="AR230" s="551">
        <v>0</v>
      </c>
      <c r="AS230" s="386">
        <v>0</v>
      </c>
      <c r="AT230" s="386">
        <v>0</v>
      </c>
      <c r="AU230" s="386">
        <v>0</v>
      </c>
      <c r="AV230" s="636">
        <v>670.1</v>
      </c>
      <c r="AW230" s="636">
        <v>2954.1</v>
      </c>
      <c r="AX230" s="386">
        <v>0</v>
      </c>
      <c r="AY230" s="551">
        <v>0</v>
      </c>
      <c r="AZ230" s="551">
        <v>0</v>
      </c>
      <c r="BA230" s="551">
        <v>0</v>
      </c>
      <c r="BB230" s="832">
        <v>0.73</v>
      </c>
      <c r="BC230" s="386">
        <v>1.19</v>
      </c>
      <c r="BD230" s="386">
        <v>3.31</v>
      </c>
      <c r="BE230" s="551">
        <v>0</v>
      </c>
      <c r="BF230" s="386">
        <v>2.4900000000000002</v>
      </c>
      <c r="BG230" s="386">
        <v>4.5199999999999996</v>
      </c>
      <c r="BH230" s="551">
        <v>0</v>
      </c>
      <c r="BI230" s="386">
        <v>2.52</v>
      </c>
      <c r="BJ230" s="386">
        <v>30</v>
      </c>
      <c r="BK230" s="386">
        <v>5.82</v>
      </c>
      <c r="BL230" s="386">
        <v>6.15</v>
      </c>
      <c r="BM230" s="386">
        <v>0</v>
      </c>
      <c r="BN230" s="386">
        <v>17.399999999999999</v>
      </c>
      <c r="BO230" s="386">
        <v>2535.9</v>
      </c>
      <c r="BP230" s="386">
        <v>1.5</v>
      </c>
      <c r="BQ230" s="615">
        <v>17.559999999999999</v>
      </c>
      <c r="BR230" s="615">
        <v>18.18</v>
      </c>
      <c r="BS230" s="615">
        <v>20.12</v>
      </c>
      <c r="BT230" s="615">
        <v>20.21</v>
      </c>
      <c r="BU230" s="614">
        <v>40.5</v>
      </c>
      <c r="BV230" s="614">
        <v>53</v>
      </c>
      <c r="BW230" s="615">
        <v>1732.8</v>
      </c>
      <c r="BX230" s="791"/>
      <c r="BY230" s="615">
        <v>0</v>
      </c>
      <c r="BZ230" s="615">
        <v>1.1399999999999999</v>
      </c>
      <c r="CA230" s="615">
        <v>1.1000000000000001</v>
      </c>
      <c r="CB230" s="615">
        <v>8.1999999999999993</v>
      </c>
      <c r="CC230" s="615">
        <v>8.1</v>
      </c>
      <c r="CD230" s="615">
        <v>16.8</v>
      </c>
      <c r="CE230" s="615">
        <v>32.1</v>
      </c>
      <c r="CF230" s="615">
        <v>20.399999999999999</v>
      </c>
      <c r="CG230" s="615">
        <v>6.8</v>
      </c>
      <c r="CH230" s="615">
        <v>12.2</v>
      </c>
      <c r="CI230" s="615">
        <v>16.399999999999999</v>
      </c>
      <c r="CJ230" s="615">
        <v>12.67</v>
      </c>
      <c r="CK230" s="615">
        <v>0</v>
      </c>
      <c r="CL230" s="615">
        <v>4.2</v>
      </c>
      <c r="CM230" s="615">
        <v>7.7</v>
      </c>
      <c r="CN230" s="615">
        <v>3283.6</v>
      </c>
      <c r="CO230" s="615">
        <v>1152.5</v>
      </c>
      <c r="CP230" s="615">
        <v>670</v>
      </c>
      <c r="CQ230" s="615">
        <v>12.3</v>
      </c>
      <c r="CR230" s="615">
        <v>0.94</v>
      </c>
      <c r="CS230" s="614">
        <v>9660.4</v>
      </c>
      <c r="CT230" s="386">
        <v>16.515000000000001</v>
      </c>
      <c r="CU230" s="386">
        <v>58</v>
      </c>
      <c r="CV230" s="499">
        <v>0</v>
      </c>
      <c r="CW230" s="499">
        <v>0</v>
      </c>
      <c r="CX230" s="499">
        <v>0</v>
      </c>
      <c r="CY230" s="499">
        <v>0</v>
      </c>
      <c r="CZ230" s="643">
        <v>270</v>
      </c>
      <c r="DA230" s="643">
        <v>309</v>
      </c>
      <c r="DB230" s="643">
        <v>147</v>
      </c>
      <c r="DC230" s="609">
        <v>1159.6300000000001</v>
      </c>
      <c r="DD230" s="1153">
        <f t="shared" si="69"/>
        <v>-0.25999999999999091</v>
      </c>
      <c r="DE230" s="1154">
        <f t="shared" si="70"/>
        <v>42.678874368000002</v>
      </c>
      <c r="DF230" s="1154">
        <f t="shared" si="71"/>
        <v>37</v>
      </c>
      <c r="DG230" s="1154">
        <f t="shared" si="72"/>
        <v>59</v>
      </c>
      <c r="DH230" s="1155" t="str">
        <f t="shared" si="73"/>
        <v>Palm</v>
      </c>
      <c r="DI230" s="1146">
        <f t="shared" si="74"/>
        <v>162</v>
      </c>
      <c r="DJ230" s="1146">
        <f t="shared" si="75"/>
        <v>13.910976</v>
      </c>
      <c r="DK230" s="1154">
        <f t="shared" si="76"/>
        <v>42.678874368000002</v>
      </c>
      <c r="DL230" s="615"/>
      <c r="DM230" s="615"/>
      <c r="DN230" s="615"/>
      <c r="DO230" s="499"/>
      <c r="DP230" s="499"/>
      <c r="DQ230" s="499"/>
      <c r="DR230" s="499"/>
      <c r="DS230" s="499"/>
      <c r="DT230" s="499"/>
      <c r="DU230" s="499"/>
      <c r="DV230" s="499"/>
      <c r="DW230" s="499"/>
      <c r="DX230" s="499"/>
      <c r="DY230" s="499"/>
      <c r="DZ230" s="499"/>
      <c r="EA230" s="499"/>
      <c r="EB230" s="499"/>
      <c r="EC230" s="499"/>
      <c r="ED230" s="499"/>
      <c r="EE230" s="499"/>
      <c r="EF230" s="499"/>
      <c r="EG230" s="1146">
        <f t="shared" si="63"/>
        <v>26</v>
      </c>
      <c r="EH230" s="630">
        <v>0</v>
      </c>
      <c r="EI230" s="615">
        <v>7</v>
      </c>
      <c r="EJ230" s="613">
        <v>7</v>
      </c>
      <c r="EK230" s="613">
        <v>12</v>
      </c>
      <c r="EL230" s="499"/>
      <c r="EM230" s="499"/>
      <c r="EN230" s="499"/>
      <c r="EO230" s="499"/>
      <c r="EP230" s="499"/>
      <c r="EQ230" s="499"/>
      <c r="ER230" s="499"/>
      <c r="ES230" s="388"/>
      <c r="ET230" s="388"/>
      <c r="EV230" s="1167">
        <f t="shared" si="65"/>
        <v>40.222000000000001</v>
      </c>
    </row>
    <row r="231" spans="1:152" s="350" customFormat="1" ht="15" x14ac:dyDescent="0.25">
      <c r="A231" s="632" t="s">
        <v>7</v>
      </c>
      <c r="B231" s="662">
        <v>42957</v>
      </c>
      <c r="C231" s="1132" t="s">
        <v>904</v>
      </c>
      <c r="D231" s="386">
        <v>0</v>
      </c>
      <c r="E231" s="636">
        <v>0</v>
      </c>
      <c r="F231" s="636">
        <v>66</v>
      </c>
      <c r="G231" s="636">
        <v>0.4</v>
      </c>
      <c r="H231" s="386">
        <v>1.84</v>
      </c>
      <c r="I231" s="386">
        <v>18</v>
      </c>
      <c r="J231" s="386">
        <v>0</v>
      </c>
      <c r="K231" s="386">
        <v>1.28</v>
      </c>
      <c r="L231" s="636">
        <v>0</v>
      </c>
      <c r="M231" s="386">
        <v>16.5</v>
      </c>
      <c r="N231" s="386">
        <v>1.238</v>
      </c>
      <c r="O231" s="386">
        <v>1.4846984947526611</v>
      </c>
      <c r="P231" s="386">
        <v>1.244</v>
      </c>
      <c r="Q231" s="386">
        <v>0.68949477495771827</v>
      </c>
      <c r="R231" s="732">
        <v>1363.4324127906978</v>
      </c>
      <c r="S231" s="386">
        <v>8.1199999999999992</v>
      </c>
      <c r="T231" s="386">
        <v>7.98</v>
      </c>
      <c r="U231" s="386">
        <v>0.89700000000000002</v>
      </c>
      <c r="V231" s="636">
        <v>0.87</v>
      </c>
      <c r="W231" s="636">
        <v>59</v>
      </c>
      <c r="X231" s="613">
        <v>59.180000000000007</v>
      </c>
      <c r="Y231" s="367">
        <v>44.8</v>
      </c>
      <c r="Z231" s="636">
        <v>43.83</v>
      </c>
      <c r="AA231" s="636">
        <v>44.7</v>
      </c>
      <c r="AB231" s="636">
        <v>45.63</v>
      </c>
      <c r="AC231" s="1160">
        <f t="shared" si="66"/>
        <v>90.330000000000013</v>
      </c>
      <c r="AD231" s="1160">
        <f t="shared" si="67"/>
        <v>139.74051</v>
      </c>
      <c r="AE231" s="1160">
        <f t="shared" si="68"/>
        <v>139.74051</v>
      </c>
      <c r="AF231" s="723"/>
      <c r="AG231" s="1160">
        <f t="shared" si="64"/>
        <v>0.72</v>
      </c>
      <c r="AH231" s="656"/>
      <c r="AI231" s="656"/>
      <c r="AJ231" s="388"/>
      <c r="AK231" s="388"/>
      <c r="AL231" s="388"/>
      <c r="AM231" s="388"/>
      <c r="AN231" s="388"/>
      <c r="AO231" s="370"/>
      <c r="AP231" s="370"/>
      <c r="AQ231" s="386"/>
      <c r="AR231" s="551">
        <v>0</v>
      </c>
      <c r="AS231" s="386">
        <v>15.2</v>
      </c>
      <c r="AT231" s="386">
        <v>0</v>
      </c>
      <c r="AU231" s="386">
        <v>0</v>
      </c>
      <c r="AV231" s="636">
        <v>511.6</v>
      </c>
      <c r="AW231" s="636">
        <v>3171.9</v>
      </c>
      <c r="AX231" s="386">
        <v>0.9</v>
      </c>
      <c r="AY231" s="551">
        <v>0</v>
      </c>
      <c r="AZ231" s="551">
        <v>0</v>
      </c>
      <c r="BA231" s="551">
        <v>0</v>
      </c>
      <c r="BB231" s="832">
        <v>0.72</v>
      </c>
      <c r="BC231" s="386">
        <v>1.19</v>
      </c>
      <c r="BD231" s="386">
        <v>3.31</v>
      </c>
      <c r="BE231" s="551">
        <v>0</v>
      </c>
      <c r="BF231" s="386">
        <v>2.4900000000000002</v>
      </c>
      <c r="BG231" s="386">
        <v>4.2</v>
      </c>
      <c r="BH231" s="551">
        <v>0</v>
      </c>
      <c r="BI231" s="386">
        <v>2.52</v>
      </c>
      <c r="BJ231" s="386">
        <v>31.8</v>
      </c>
      <c r="BK231" s="386">
        <v>5.88</v>
      </c>
      <c r="BL231" s="386">
        <v>6.29</v>
      </c>
      <c r="BM231" s="386">
        <v>0</v>
      </c>
      <c r="BN231" s="386">
        <v>19.2</v>
      </c>
      <c r="BO231" s="386">
        <v>3003.2</v>
      </c>
      <c r="BP231" s="386">
        <v>1.4</v>
      </c>
      <c r="BQ231" s="615">
        <v>16.18</v>
      </c>
      <c r="BR231" s="615">
        <v>16.829999999999998</v>
      </c>
      <c r="BS231" s="615">
        <v>19.989999999999998</v>
      </c>
      <c r="BT231" s="615">
        <v>20.09</v>
      </c>
      <c r="BU231" s="614">
        <v>40.200000000000003</v>
      </c>
      <c r="BV231" s="614">
        <v>51.7</v>
      </c>
      <c r="BW231" s="615">
        <v>1629.5</v>
      </c>
      <c r="BX231" s="791"/>
      <c r="BY231" s="615">
        <v>0</v>
      </c>
      <c r="BZ231" s="615">
        <v>1.19</v>
      </c>
      <c r="CA231" s="615">
        <v>1.1000000000000001</v>
      </c>
      <c r="CB231" s="615">
        <v>8.1</v>
      </c>
      <c r="CC231" s="615">
        <v>8.1</v>
      </c>
      <c r="CD231" s="615">
        <v>17.7</v>
      </c>
      <c r="CE231" s="615">
        <v>32.14</v>
      </c>
      <c r="CF231" s="615">
        <v>20.6</v>
      </c>
      <c r="CG231" s="615">
        <v>8.1</v>
      </c>
      <c r="CH231" s="615">
        <v>13.7</v>
      </c>
      <c r="CI231" s="615">
        <v>18.100000000000001</v>
      </c>
      <c r="CJ231" s="615">
        <v>13.71</v>
      </c>
      <c r="CK231" s="615">
        <v>0</v>
      </c>
      <c r="CL231" s="615">
        <v>5.2</v>
      </c>
      <c r="CM231" s="615">
        <v>7.7</v>
      </c>
      <c r="CN231" s="615">
        <v>3069</v>
      </c>
      <c r="CO231" s="615">
        <v>1114.2</v>
      </c>
      <c r="CP231" s="615">
        <v>644.6</v>
      </c>
      <c r="CQ231" s="615">
        <v>11.9</v>
      </c>
      <c r="CR231" s="615">
        <v>0.85</v>
      </c>
      <c r="CS231" s="614">
        <v>9657.2000000000007</v>
      </c>
      <c r="CT231" s="386">
        <v>16.422000000000001</v>
      </c>
      <c r="CU231" s="386">
        <v>58</v>
      </c>
      <c r="CV231" s="499">
        <v>0</v>
      </c>
      <c r="CW231" s="499">
        <v>0</v>
      </c>
      <c r="CX231" s="499">
        <v>0</v>
      </c>
      <c r="CY231" s="499">
        <v>0</v>
      </c>
      <c r="CZ231" s="643">
        <v>278</v>
      </c>
      <c r="DA231" s="643">
        <v>299</v>
      </c>
      <c r="DB231" s="643">
        <v>135</v>
      </c>
      <c r="DC231" s="609">
        <v>1159.3599999999999</v>
      </c>
      <c r="DD231" s="1153">
        <f t="shared" si="69"/>
        <v>-0.27000000000020918</v>
      </c>
      <c r="DE231" s="1154">
        <f t="shared" si="70"/>
        <v>42.664737024000004</v>
      </c>
      <c r="DF231" s="1154">
        <f t="shared" si="71"/>
        <v>25</v>
      </c>
      <c r="DG231" s="1154">
        <f t="shared" si="72"/>
        <v>49</v>
      </c>
      <c r="DH231" s="1155" t="str">
        <f t="shared" si="73"/>
        <v>Palm</v>
      </c>
      <c r="DI231" s="1146">
        <f t="shared" si="74"/>
        <v>164</v>
      </c>
      <c r="DJ231" s="1146">
        <f t="shared" si="75"/>
        <v>13.906368000000001</v>
      </c>
      <c r="DK231" s="1154">
        <f t="shared" si="76"/>
        <v>42.664737024000004</v>
      </c>
      <c r="DL231" s="615"/>
      <c r="DM231" s="615"/>
      <c r="DN231" s="615"/>
      <c r="DO231" s="499"/>
      <c r="DP231" s="499"/>
      <c r="DQ231" s="499"/>
      <c r="DR231" s="499"/>
      <c r="DS231" s="499"/>
      <c r="DT231" s="499"/>
      <c r="DU231" s="499"/>
      <c r="DV231" s="499"/>
      <c r="DW231" s="499"/>
      <c r="DX231" s="499"/>
      <c r="DY231" s="499"/>
      <c r="DZ231" s="499"/>
      <c r="EA231" s="499"/>
      <c r="EB231" s="499"/>
      <c r="EC231" s="499"/>
      <c r="ED231" s="499"/>
      <c r="EE231" s="499"/>
      <c r="EF231" s="499"/>
      <c r="EG231" s="1146">
        <f t="shared" si="63"/>
        <v>26</v>
      </c>
      <c r="EH231" s="630">
        <v>0</v>
      </c>
      <c r="EI231" s="615">
        <v>7</v>
      </c>
      <c r="EJ231" s="613">
        <v>7</v>
      </c>
      <c r="EK231" s="613">
        <v>12</v>
      </c>
      <c r="EL231" s="499"/>
      <c r="EM231" s="499"/>
      <c r="EN231" s="499"/>
      <c r="EO231" s="499"/>
      <c r="EP231" s="499"/>
      <c r="EQ231" s="499"/>
      <c r="ER231" s="499"/>
      <c r="ES231" s="388"/>
      <c r="ET231" s="388"/>
      <c r="EV231" s="1167">
        <f t="shared" si="65"/>
        <v>40.222000000000001</v>
      </c>
    </row>
    <row r="232" spans="1:152" s="350" customFormat="1" ht="15" x14ac:dyDescent="0.25">
      <c r="A232" s="632" t="s">
        <v>8</v>
      </c>
      <c r="B232" s="662">
        <v>42958</v>
      </c>
      <c r="C232" s="1132" t="s">
        <v>904</v>
      </c>
      <c r="D232" s="386">
        <v>0</v>
      </c>
      <c r="E232" s="636">
        <v>0</v>
      </c>
      <c r="F232" s="636">
        <v>62</v>
      </c>
      <c r="G232" s="636">
        <v>0.4</v>
      </c>
      <c r="H232" s="386">
        <v>1.72</v>
      </c>
      <c r="I232" s="386">
        <v>19</v>
      </c>
      <c r="J232" s="386">
        <v>0</v>
      </c>
      <c r="K232" s="386">
        <v>1.31</v>
      </c>
      <c r="L232" s="636">
        <v>0</v>
      </c>
      <c r="M232" s="386">
        <v>16.5</v>
      </c>
      <c r="N232" s="386">
        <v>1.21</v>
      </c>
      <c r="O232" s="386">
        <v>1.4817249296398702</v>
      </c>
      <c r="P232" s="386">
        <v>1.23</v>
      </c>
      <c r="Q232" s="386">
        <v>0.69640478630962632</v>
      </c>
      <c r="R232" s="732">
        <v>1444.104941860465</v>
      </c>
      <c r="S232" s="386">
        <v>8.2100000000000009</v>
      </c>
      <c r="T232" s="386">
        <v>8.09</v>
      </c>
      <c r="U232" s="386">
        <v>0.87</v>
      </c>
      <c r="V232" s="636">
        <v>0.89</v>
      </c>
      <c r="W232" s="636">
        <v>59</v>
      </c>
      <c r="X232" s="613">
        <v>59.180000000000007</v>
      </c>
      <c r="Y232" s="367">
        <v>44.7</v>
      </c>
      <c r="Z232" s="636">
        <v>45.5</v>
      </c>
      <c r="AA232" s="636">
        <v>47</v>
      </c>
      <c r="AB232" s="636">
        <v>49.65</v>
      </c>
      <c r="AC232" s="1160">
        <f t="shared" si="66"/>
        <v>96.65</v>
      </c>
      <c r="AD232" s="1160">
        <f t="shared" si="67"/>
        <v>149.51755</v>
      </c>
      <c r="AE232" s="1160">
        <f t="shared" si="68"/>
        <v>149.51755</v>
      </c>
      <c r="AF232" s="723"/>
      <c r="AG232" s="1160">
        <f t="shared" si="64"/>
        <v>0.31</v>
      </c>
      <c r="AH232" s="656"/>
      <c r="AI232" s="656"/>
      <c r="AJ232" s="388"/>
      <c r="AK232" s="388"/>
      <c r="AL232" s="388"/>
      <c r="AM232" s="388"/>
      <c r="AN232" s="388"/>
      <c r="AO232" s="370"/>
      <c r="AP232" s="370"/>
      <c r="AQ232" s="386"/>
      <c r="AR232" s="551">
        <v>0</v>
      </c>
      <c r="AS232" s="386">
        <v>27.2</v>
      </c>
      <c r="AT232" s="386">
        <v>0</v>
      </c>
      <c r="AU232" s="386">
        <v>21</v>
      </c>
      <c r="AV232" s="636">
        <v>1122.3</v>
      </c>
      <c r="AW232" s="636">
        <v>2096.6999999999998</v>
      </c>
      <c r="AX232" s="386">
        <v>3</v>
      </c>
      <c r="AY232" s="551">
        <v>0</v>
      </c>
      <c r="AZ232" s="551">
        <v>0</v>
      </c>
      <c r="BA232" s="551">
        <v>0</v>
      </c>
      <c r="BB232" s="832">
        <v>0.31</v>
      </c>
      <c r="BC232" s="386">
        <v>1.21</v>
      </c>
      <c r="BD232" s="386">
        <v>3.29</v>
      </c>
      <c r="BE232" s="551">
        <v>0</v>
      </c>
      <c r="BF232" s="386">
        <v>2.4900000000000002</v>
      </c>
      <c r="BG232" s="386">
        <v>4.16</v>
      </c>
      <c r="BH232" s="551">
        <v>0</v>
      </c>
      <c r="BI232" s="386">
        <v>2.73</v>
      </c>
      <c r="BJ232" s="386">
        <v>35.799999999999997</v>
      </c>
      <c r="BK232" s="386">
        <v>5.77</v>
      </c>
      <c r="BL232" s="386">
        <v>6.1</v>
      </c>
      <c r="BM232" s="386">
        <v>0</v>
      </c>
      <c r="BN232" s="386">
        <v>23.6</v>
      </c>
      <c r="BO232" s="386">
        <v>2599</v>
      </c>
      <c r="BP232" s="386">
        <v>1.7</v>
      </c>
      <c r="BQ232" s="615">
        <v>19.690000000000001</v>
      </c>
      <c r="BR232" s="615">
        <v>20.329999999999998</v>
      </c>
      <c r="BS232" s="615">
        <v>21.42</v>
      </c>
      <c r="BT232" s="615">
        <v>21.52</v>
      </c>
      <c r="BU232" s="614">
        <v>43.2</v>
      </c>
      <c r="BV232" s="614">
        <v>40.1</v>
      </c>
      <c r="BW232" s="615">
        <v>1573.1</v>
      </c>
      <c r="BX232" s="791"/>
      <c r="BY232" s="615">
        <v>0</v>
      </c>
      <c r="BZ232" s="615">
        <v>1.17</v>
      </c>
      <c r="CA232" s="615">
        <v>1.1000000000000001</v>
      </c>
      <c r="CB232" s="615">
        <v>8.1999999999999993</v>
      </c>
      <c r="CC232" s="615">
        <v>8.1</v>
      </c>
      <c r="CD232" s="615">
        <v>16.8</v>
      </c>
      <c r="CE232" s="615">
        <v>32.299999999999997</v>
      </c>
      <c r="CF232" s="615">
        <v>19.5</v>
      </c>
      <c r="CG232" s="615">
        <v>8</v>
      </c>
      <c r="CH232" s="615">
        <v>13.54</v>
      </c>
      <c r="CI232" s="615">
        <v>17.8</v>
      </c>
      <c r="CJ232" s="615">
        <v>13.57</v>
      </c>
      <c r="CK232" s="615">
        <v>0</v>
      </c>
      <c r="CL232" s="615">
        <v>3.8</v>
      </c>
      <c r="CM232" s="615">
        <v>6.9</v>
      </c>
      <c r="CN232" s="615">
        <v>2873.2</v>
      </c>
      <c r="CO232" s="615">
        <v>1084.5999999999999</v>
      </c>
      <c r="CP232" s="615">
        <v>652.4</v>
      </c>
      <c r="CQ232" s="615">
        <v>12.6</v>
      </c>
      <c r="CR232" s="615">
        <v>0.79</v>
      </c>
      <c r="CS232" s="614">
        <v>9628.9</v>
      </c>
      <c r="CT232" s="386">
        <v>16.29</v>
      </c>
      <c r="CU232" s="636">
        <v>58</v>
      </c>
      <c r="CV232" s="499">
        <v>0</v>
      </c>
      <c r="CW232" s="499">
        <v>0</v>
      </c>
      <c r="CX232" s="499">
        <v>0</v>
      </c>
      <c r="CY232" s="499">
        <v>0</v>
      </c>
      <c r="CZ232" s="643">
        <v>279</v>
      </c>
      <c r="DA232" s="643">
        <v>295</v>
      </c>
      <c r="DB232" s="643">
        <v>146</v>
      </c>
      <c r="DC232" s="609">
        <v>1159.08</v>
      </c>
      <c r="DD232" s="1153">
        <f t="shared" si="69"/>
        <v>-0.27999999999997272</v>
      </c>
      <c r="DE232" s="1154">
        <f t="shared" si="70"/>
        <v>42.539709887999997</v>
      </c>
      <c r="DF232" s="1154">
        <f t="shared" si="71"/>
        <v>36</v>
      </c>
      <c r="DG232" s="1154">
        <f t="shared" si="72"/>
        <v>45</v>
      </c>
      <c r="DH232" s="1155" t="str">
        <f t="shared" si="73"/>
        <v>Palm</v>
      </c>
      <c r="DI232" s="1146">
        <f t="shared" si="74"/>
        <v>149</v>
      </c>
      <c r="DJ232" s="1146">
        <f t="shared" si="75"/>
        <v>13.865615999999999</v>
      </c>
      <c r="DK232" s="1154">
        <f t="shared" si="76"/>
        <v>42.539709887999997</v>
      </c>
      <c r="DL232" s="615"/>
      <c r="DM232" s="615"/>
      <c r="DN232" s="615"/>
      <c r="DO232" s="499"/>
      <c r="DP232" s="499"/>
      <c r="DQ232" s="499"/>
      <c r="DR232" s="499"/>
      <c r="DS232" s="499"/>
      <c r="DT232" s="499"/>
      <c r="DU232" s="499"/>
      <c r="DV232" s="499"/>
      <c r="DW232" s="499"/>
      <c r="DX232" s="499"/>
      <c r="DY232" s="499"/>
      <c r="DZ232" s="499"/>
      <c r="EA232" s="499"/>
      <c r="EB232" s="499"/>
      <c r="EC232" s="499"/>
      <c r="ED232" s="499"/>
      <c r="EE232" s="499"/>
      <c r="EF232" s="499"/>
      <c r="EG232" s="1146">
        <f t="shared" si="63"/>
        <v>29</v>
      </c>
      <c r="EH232" s="642">
        <v>3</v>
      </c>
      <c r="EI232" s="615">
        <v>7</v>
      </c>
      <c r="EJ232" s="613">
        <v>7</v>
      </c>
      <c r="EK232" s="613">
        <v>12</v>
      </c>
      <c r="EL232" s="499"/>
      <c r="EM232" s="499"/>
      <c r="EN232" s="499"/>
      <c r="EO232" s="499"/>
      <c r="EP232" s="499"/>
      <c r="EQ232" s="499"/>
      <c r="ER232" s="499"/>
      <c r="ES232" s="388"/>
      <c r="ET232" s="388"/>
      <c r="EV232" s="1167">
        <f t="shared" si="65"/>
        <v>44.863</v>
      </c>
    </row>
    <row r="233" spans="1:152" s="350" customFormat="1" ht="15" x14ac:dyDescent="0.25">
      <c r="A233" s="632" t="s">
        <v>9</v>
      </c>
      <c r="B233" s="662">
        <v>42959</v>
      </c>
      <c r="C233" s="1132" t="s">
        <v>904</v>
      </c>
      <c r="D233" s="386">
        <v>0</v>
      </c>
      <c r="E233" s="636">
        <v>0</v>
      </c>
      <c r="F233" s="636">
        <v>62</v>
      </c>
      <c r="G233" s="636">
        <v>0.4</v>
      </c>
      <c r="H233" s="386">
        <v>1.59</v>
      </c>
      <c r="I233" s="386">
        <v>18.399999999999999</v>
      </c>
      <c r="J233" s="386">
        <v>0</v>
      </c>
      <c r="K233" s="386">
        <v>1.41</v>
      </c>
      <c r="L233" s="636">
        <v>0</v>
      </c>
      <c r="M233" s="386">
        <v>16.399999999999999</v>
      </c>
      <c r="N233" s="386">
        <v>1.21</v>
      </c>
      <c r="O233" s="386">
        <v>1.4872591641462238</v>
      </c>
      <c r="P233" s="386">
        <v>1.21</v>
      </c>
      <c r="Q233" s="386">
        <v>0.69282520487364452</v>
      </c>
      <c r="R233" s="732">
        <v>1364.7658430232559</v>
      </c>
      <c r="S233" s="386">
        <v>8.15</v>
      </c>
      <c r="T233" s="386">
        <v>8.06</v>
      </c>
      <c r="U233" s="386">
        <v>0.87</v>
      </c>
      <c r="V233" s="636">
        <v>0.89</v>
      </c>
      <c r="W233" s="636">
        <v>59</v>
      </c>
      <c r="X233" s="613">
        <v>59.180000000000007</v>
      </c>
      <c r="Y233" s="367">
        <v>47</v>
      </c>
      <c r="Z233" s="636">
        <v>49.65</v>
      </c>
      <c r="AA233" s="636">
        <v>45</v>
      </c>
      <c r="AB233" s="636">
        <v>45.95</v>
      </c>
      <c r="AC233" s="1160">
        <f t="shared" si="66"/>
        <v>90.95</v>
      </c>
      <c r="AD233" s="1160">
        <f t="shared" si="67"/>
        <v>140.69964999999999</v>
      </c>
      <c r="AE233" s="1160">
        <f t="shared" si="68"/>
        <v>140.69964999999999</v>
      </c>
      <c r="AF233" s="723"/>
      <c r="AG233" s="1160">
        <f t="shared" si="64"/>
        <v>0</v>
      </c>
      <c r="AH233" s="656"/>
      <c r="AI233" s="656"/>
      <c r="AJ233" s="388"/>
      <c r="AK233" s="388"/>
      <c r="AL233" s="388"/>
      <c r="AM233" s="388"/>
      <c r="AN233" s="388"/>
      <c r="AO233" s="370"/>
      <c r="AP233" s="370"/>
      <c r="AQ233" s="386"/>
      <c r="AR233" s="551">
        <v>0</v>
      </c>
      <c r="AS233" s="386">
        <v>41</v>
      </c>
      <c r="AT233" s="386">
        <v>0</v>
      </c>
      <c r="AU233" s="386">
        <v>42.3</v>
      </c>
      <c r="AV233" s="636">
        <v>8961</v>
      </c>
      <c r="AW233" s="636">
        <v>1673.6</v>
      </c>
      <c r="AX233" s="386">
        <v>0</v>
      </c>
      <c r="AY233" s="551">
        <v>0</v>
      </c>
      <c r="AZ233" s="551">
        <v>0</v>
      </c>
      <c r="BA233" s="551">
        <v>0</v>
      </c>
      <c r="BB233" s="832">
        <v>0</v>
      </c>
      <c r="BC233" s="386">
        <v>2.2200000000000002</v>
      </c>
      <c r="BD233" s="386">
        <v>2.17</v>
      </c>
      <c r="BE233" s="551">
        <v>0</v>
      </c>
      <c r="BF233" s="386">
        <v>2.4900000000000002</v>
      </c>
      <c r="BG233" s="386">
        <v>3.68</v>
      </c>
      <c r="BH233" s="551">
        <v>0</v>
      </c>
      <c r="BI233" s="386">
        <v>2.95</v>
      </c>
      <c r="BJ233" s="386">
        <v>32.5</v>
      </c>
      <c r="BK233" s="386">
        <v>5.46</v>
      </c>
      <c r="BL233" s="386">
        <v>6.53</v>
      </c>
      <c r="BM233" s="386">
        <v>0</v>
      </c>
      <c r="BN233" s="386">
        <v>20.6</v>
      </c>
      <c r="BO233" s="386">
        <v>2743.7</v>
      </c>
      <c r="BP233" s="386">
        <v>1.6</v>
      </c>
      <c r="BQ233" s="615">
        <v>22.46</v>
      </c>
      <c r="BR233" s="615">
        <v>23.11</v>
      </c>
      <c r="BS233" s="615">
        <v>20.69</v>
      </c>
      <c r="BT233" s="615">
        <v>20.76</v>
      </c>
      <c r="BU233" s="614">
        <v>41.7</v>
      </c>
      <c r="BV233" s="614">
        <v>40.5</v>
      </c>
      <c r="BW233" s="615">
        <v>1483.3</v>
      </c>
      <c r="BX233" s="791"/>
      <c r="BY233" s="615">
        <v>0</v>
      </c>
      <c r="BZ233" s="615">
        <v>1.1599999999999999</v>
      </c>
      <c r="CA233" s="615">
        <v>1.1000000000000001</v>
      </c>
      <c r="CB233" s="615">
        <v>8.1999999999999993</v>
      </c>
      <c r="CC233" s="615">
        <v>8.1999999999999993</v>
      </c>
      <c r="CD233" s="615">
        <v>16.7</v>
      </c>
      <c r="CE233" s="615">
        <v>32.299999999999997</v>
      </c>
      <c r="CF233" s="615">
        <v>19.8</v>
      </c>
      <c r="CG233" s="615">
        <v>8.3000000000000007</v>
      </c>
      <c r="CH233" s="615">
        <v>14</v>
      </c>
      <c r="CI233" s="615">
        <v>18.2</v>
      </c>
      <c r="CJ233" s="615">
        <v>13.1</v>
      </c>
      <c r="CK233" s="615">
        <v>0</v>
      </c>
      <c r="CL233" s="615">
        <v>3.5</v>
      </c>
      <c r="CM233" s="615">
        <v>5.9</v>
      </c>
      <c r="CN233" s="615">
        <v>2647.6</v>
      </c>
      <c r="CO233" s="615">
        <v>1056.5</v>
      </c>
      <c r="CP233" s="615">
        <v>596.5</v>
      </c>
      <c r="CQ233" s="615">
        <v>12.8</v>
      </c>
      <c r="CR233" s="615">
        <v>0.75</v>
      </c>
      <c r="CS233" s="614">
        <v>9620.4</v>
      </c>
      <c r="CT233" s="386">
        <v>16.573</v>
      </c>
      <c r="CU233" s="386">
        <v>58</v>
      </c>
      <c r="CV233" s="499">
        <v>0</v>
      </c>
      <c r="CW233" s="499">
        <v>0</v>
      </c>
      <c r="CX233" s="499">
        <v>0</v>
      </c>
      <c r="CY233" s="499">
        <v>0</v>
      </c>
      <c r="CZ233" s="643">
        <v>279</v>
      </c>
      <c r="DA233" s="643">
        <v>304</v>
      </c>
      <c r="DB233" s="643">
        <v>146</v>
      </c>
      <c r="DC233" s="609">
        <v>1158.78</v>
      </c>
      <c r="DD233" s="1153">
        <f t="shared" si="69"/>
        <v>-0.29999999999995453</v>
      </c>
      <c r="DE233" s="1154">
        <f t="shared" si="70"/>
        <v>42.502157568000001</v>
      </c>
      <c r="DF233" s="1154">
        <f t="shared" si="71"/>
        <v>36</v>
      </c>
      <c r="DG233" s="1154">
        <f t="shared" si="72"/>
        <v>54</v>
      </c>
      <c r="DH233" s="1155" t="str">
        <f t="shared" si="73"/>
        <v>Palm</v>
      </c>
      <c r="DI233" s="1146">
        <f t="shared" si="74"/>
        <v>158</v>
      </c>
      <c r="DJ233" s="1146">
        <f t="shared" si="75"/>
        <v>13.853376000000001</v>
      </c>
      <c r="DK233" s="1154">
        <f t="shared" si="76"/>
        <v>42.502157568000001</v>
      </c>
      <c r="DL233" s="615"/>
      <c r="DM233" s="615"/>
      <c r="DN233" s="615"/>
      <c r="DO233" s="499"/>
      <c r="DP233" s="499"/>
      <c r="DQ233" s="499"/>
      <c r="DR233" s="499"/>
      <c r="DS233" s="499"/>
      <c r="DT233" s="499"/>
      <c r="DU233" s="499"/>
      <c r="DV233" s="499"/>
      <c r="DW233" s="499"/>
      <c r="DX233" s="499"/>
      <c r="DY233" s="499"/>
      <c r="DZ233" s="499"/>
      <c r="EA233" s="499"/>
      <c r="EB233" s="499"/>
      <c r="EC233" s="499"/>
      <c r="ED233" s="499"/>
      <c r="EE233" s="499"/>
      <c r="EF233" s="499"/>
      <c r="EG233" s="1146">
        <f t="shared" si="63"/>
        <v>29</v>
      </c>
      <c r="EH233" s="642">
        <v>3</v>
      </c>
      <c r="EI233" s="615">
        <v>7</v>
      </c>
      <c r="EJ233" s="613">
        <v>7</v>
      </c>
      <c r="EK233" s="613">
        <v>12</v>
      </c>
      <c r="EL233" s="499"/>
      <c r="EM233" s="499"/>
      <c r="EN233" s="499"/>
      <c r="EO233" s="499"/>
      <c r="EP233" s="499"/>
      <c r="EQ233" s="499"/>
      <c r="ER233" s="499"/>
      <c r="ES233" s="388"/>
      <c r="ET233" s="388"/>
      <c r="EV233" s="1167">
        <f t="shared" si="65"/>
        <v>44.863</v>
      </c>
    </row>
    <row r="234" spans="1:152" s="350" customFormat="1" ht="15" x14ac:dyDescent="0.25">
      <c r="A234" s="632" t="s">
        <v>3</v>
      </c>
      <c r="B234" s="662">
        <v>42960</v>
      </c>
      <c r="C234" s="1132" t="s">
        <v>904</v>
      </c>
      <c r="D234" s="386">
        <v>0</v>
      </c>
      <c r="E234" s="636">
        <v>0</v>
      </c>
      <c r="F234" s="636">
        <v>60</v>
      </c>
      <c r="G234" s="636">
        <v>0.4</v>
      </c>
      <c r="H234" s="386">
        <v>1.6</v>
      </c>
      <c r="I234" s="386">
        <v>18.2</v>
      </c>
      <c r="J234" s="386">
        <v>0</v>
      </c>
      <c r="K234" s="386">
        <v>1.37</v>
      </c>
      <c r="L234" s="636">
        <v>0</v>
      </c>
      <c r="M234" s="386">
        <v>16.5</v>
      </c>
      <c r="N234" s="386">
        <v>1.19</v>
      </c>
      <c r="O234" s="386">
        <v>1.5255655925677163</v>
      </c>
      <c r="P234" s="386">
        <v>1.18</v>
      </c>
      <c r="Q234" s="386">
        <v>0.69648441289968099</v>
      </c>
      <c r="R234" s="732">
        <v>1212.0880813953488</v>
      </c>
      <c r="S234" s="386">
        <v>8.14</v>
      </c>
      <c r="T234" s="386">
        <v>8.02</v>
      </c>
      <c r="U234" s="386">
        <v>0.93</v>
      </c>
      <c r="V234" s="636">
        <v>0.92</v>
      </c>
      <c r="W234" s="636">
        <v>59.360000000000014</v>
      </c>
      <c r="X234" s="613">
        <v>59.360000000000014</v>
      </c>
      <c r="Y234" s="367">
        <v>45</v>
      </c>
      <c r="Z234" s="636">
        <v>45.95</v>
      </c>
      <c r="AA234" s="636">
        <v>44.36</v>
      </c>
      <c r="AB234" s="636">
        <v>36.42</v>
      </c>
      <c r="AC234" s="1160">
        <f t="shared" si="66"/>
        <v>80.78</v>
      </c>
      <c r="AD234" s="1160">
        <f t="shared" si="67"/>
        <v>124.96665999999999</v>
      </c>
      <c r="AE234" s="1160">
        <f t="shared" si="68"/>
        <v>124.96665999999999</v>
      </c>
      <c r="AF234" s="723"/>
      <c r="AG234" s="1160">
        <f t="shared" si="64"/>
        <v>0</v>
      </c>
      <c r="AH234" s="656"/>
      <c r="AI234" s="656"/>
      <c r="AJ234" s="388"/>
      <c r="AK234" s="388"/>
      <c r="AL234" s="388"/>
      <c r="AM234" s="388"/>
      <c r="AN234" s="388"/>
      <c r="AO234" s="370"/>
      <c r="AP234" s="370"/>
      <c r="AQ234" s="386"/>
      <c r="AR234" s="551">
        <v>0</v>
      </c>
      <c r="AS234" s="386">
        <v>28.8</v>
      </c>
      <c r="AT234" s="386">
        <v>0</v>
      </c>
      <c r="AU234" s="386">
        <v>41.7</v>
      </c>
      <c r="AV234" s="636">
        <v>997.6</v>
      </c>
      <c r="AW234" s="636">
        <v>1227.7</v>
      </c>
      <c r="AX234" s="386">
        <v>0</v>
      </c>
      <c r="AY234" s="551">
        <v>0</v>
      </c>
      <c r="AZ234" s="551">
        <v>0</v>
      </c>
      <c r="BA234" s="551">
        <v>0</v>
      </c>
      <c r="BB234" s="832">
        <v>0</v>
      </c>
      <c r="BC234" s="386">
        <v>2.02</v>
      </c>
      <c r="BD234" s="386">
        <v>1.48</v>
      </c>
      <c r="BE234" s="551">
        <v>0</v>
      </c>
      <c r="BF234" s="386">
        <v>2.4900000000000002</v>
      </c>
      <c r="BG234" s="386">
        <v>3.4</v>
      </c>
      <c r="BH234" s="551">
        <v>0</v>
      </c>
      <c r="BI234" s="386">
        <v>2.95</v>
      </c>
      <c r="BJ234" s="386">
        <v>24.1</v>
      </c>
      <c r="BK234" s="386">
        <v>4.68</v>
      </c>
      <c r="BL234" s="386">
        <v>7.35</v>
      </c>
      <c r="BM234" s="386">
        <v>0</v>
      </c>
      <c r="BN234" s="386">
        <v>12.2</v>
      </c>
      <c r="BO234" s="386">
        <v>2035.9</v>
      </c>
      <c r="BP234" s="386">
        <v>1.4</v>
      </c>
      <c r="BQ234" s="615">
        <v>23.49</v>
      </c>
      <c r="BR234" s="615">
        <v>24.13</v>
      </c>
      <c r="BS234" s="615">
        <v>20.61</v>
      </c>
      <c r="BT234" s="615">
        <v>20.67</v>
      </c>
      <c r="BU234" s="614">
        <v>41.5</v>
      </c>
      <c r="BV234" s="614">
        <v>45.9</v>
      </c>
      <c r="BW234" s="615">
        <v>1272.9000000000001</v>
      </c>
      <c r="BX234" s="791">
        <v>0</v>
      </c>
      <c r="BY234" s="615">
        <v>0</v>
      </c>
      <c r="BZ234" s="615">
        <v>1.1399999999999999</v>
      </c>
      <c r="CA234" s="615">
        <v>1.1000000000000001</v>
      </c>
      <c r="CB234" s="615">
        <v>8.1999999999999993</v>
      </c>
      <c r="CC234" s="615">
        <v>8.1</v>
      </c>
      <c r="CD234" s="615">
        <v>17.100000000000001</v>
      </c>
      <c r="CE234" s="615">
        <v>32.5</v>
      </c>
      <c r="CF234" s="615">
        <v>18.579999999999998</v>
      </c>
      <c r="CG234" s="615">
        <v>7.07</v>
      </c>
      <c r="CH234" s="615">
        <v>12.5</v>
      </c>
      <c r="CI234" s="615">
        <v>16.7</v>
      </c>
      <c r="CJ234" s="615">
        <v>13.93</v>
      </c>
      <c r="CK234" s="615">
        <v>0</v>
      </c>
      <c r="CL234" s="615">
        <v>4</v>
      </c>
      <c r="CM234" s="615">
        <v>6.3</v>
      </c>
      <c r="CN234" s="615">
        <v>2383.1</v>
      </c>
      <c r="CO234" s="615">
        <v>969.7</v>
      </c>
      <c r="CP234" s="615">
        <v>629.4</v>
      </c>
      <c r="CQ234" s="615">
        <v>12.3</v>
      </c>
      <c r="CR234" s="615">
        <v>0.76</v>
      </c>
      <c r="CS234" s="614">
        <v>9611</v>
      </c>
      <c r="CT234" s="386">
        <v>16.748999999999999</v>
      </c>
      <c r="CU234" s="386">
        <v>58</v>
      </c>
      <c r="CV234" s="499">
        <v>0</v>
      </c>
      <c r="CW234" s="499">
        <v>0</v>
      </c>
      <c r="CX234" s="499">
        <v>0</v>
      </c>
      <c r="CY234" s="499">
        <v>0</v>
      </c>
      <c r="CZ234" s="643">
        <v>279</v>
      </c>
      <c r="DA234" s="643">
        <v>327</v>
      </c>
      <c r="DB234" s="643">
        <v>166</v>
      </c>
      <c r="DC234" s="609">
        <v>1158.52</v>
      </c>
      <c r="DD234" s="1153">
        <f t="shared" si="69"/>
        <v>-0.25999999999999091</v>
      </c>
      <c r="DE234" s="1154">
        <f t="shared" si="70"/>
        <v>42.46062912</v>
      </c>
      <c r="DF234" s="1154">
        <f t="shared" si="71"/>
        <v>56</v>
      </c>
      <c r="DG234" s="1154">
        <f t="shared" si="72"/>
        <v>77</v>
      </c>
      <c r="DH234" s="1155" t="str">
        <f t="shared" si="73"/>
        <v>Palm</v>
      </c>
      <c r="DI234" s="1146">
        <f t="shared" si="74"/>
        <v>161</v>
      </c>
      <c r="DJ234" s="1146">
        <f t="shared" si="75"/>
        <v>13.839840000000001</v>
      </c>
      <c r="DK234" s="1154">
        <f t="shared" si="76"/>
        <v>42.46062912</v>
      </c>
      <c r="DL234" s="615"/>
      <c r="DM234" s="615"/>
      <c r="DN234" s="615"/>
      <c r="DO234" s="499"/>
      <c r="DP234" s="499"/>
      <c r="DQ234" s="499"/>
      <c r="DR234" s="499"/>
      <c r="DS234" s="499"/>
      <c r="DT234" s="499"/>
      <c r="DU234" s="499"/>
      <c r="DV234" s="499"/>
      <c r="DW234" s="499"/>
      <c r="DX234" s="499"/>
      <c r="DY234" s="499"/>
      <c r="DZ234" s="499"/>
      <c r="EA234" s="499"/>
      <c r="EB234" s="499"/>
      <c r="EC234" s="499"/>
      <c r="ED234" s="499"/>
      <c r="EE234" s="499"/>
      <c r="EF234" s="499"/>
      <c r="EG234" s="1146">
        <f t="shared" si="63"/>
        <v>29</v>
      </c>
      <c r="EH234" s="642">
        <v>3</v>
      </c>
      <c r="EI234" s="615">
        <v>7</v>
      </c>
      <c r="EJ234" s="613">
        <v>7</v>
      </c>
      <c r="EK234" s="613">
        <v>12</v>
      </c>
      <c r="EL234" s="499"/>
      <c r="EM234" s="499"/>
      <c r="EN234" s="499"/>
      <c r="EO234" s="499"/>
      <c r="EP234" s="499"/>
      <c r="EQ234" s="499"/>
      <c r="ER234" s="499"/>
      <c r="ES234" s="388"/>
      <c r="ET234" s="388"/>
      <c r="EV234" s="1167">
        <f t="shared" si="65"/>
        <v>44.863</v>
      </c>
    </row>
    <row r="235" spans="1:152" s="350" customFormat="1" ht="15" x14ac:dyDescent="0.25">
      <c r="A235" s="632" t="s">
        <v>4</v>
      </c>
      <c r="B235" s="662">
        <v>42961</v>
      </c>
      <c r="C235" s="1132" t="s">
        <v>904</v>
      </c>
      <c r="D235" s="386">
        <v>0</v>
      </c>
      <c r="E235" s="636">
        <v>0</v>
      </c>
      <c r="F235" s="636">
        <v>61.2</v>
      </c>
      <c r="G235" s="636">
        <v>0.4</v>
      </c>
      <c r="H235" s="386">
        <v>1.64</v>
      </c>
      <c r="I235" s="386">
        <v>17.899999999999999</v>
      </c>
      <c r="J235" s="386">
        <v>0</v>
      </c>
      <c r="K235" s="386">
        <v>1.25</v>
      </c>
      <c r="L235" s="610">
        <v>0</v>
      </c>
      <c r="M235" s="386">
        <v>16.5</v>
      </c>
      <c r="N235" s="386">
        <v>1.173</v>
      </c>
      <c r="O235" s="386">
        <v>1.5245456897602527</v>
      </c>
      <c r="P235" s="386">
        <v>1.145</v>
      </c>
      <c r="Q235" s="386">
        <v>0.68624951315595573</v>
      </c>
      <c r="R235" s="732">
        <v>1159.750944767442</v>
      </c>
      <c r="S235" s="386">
        <v>8.11</v>
      </c>
      <c r="T235" s="386">
        <v>8.0399999999999991</v>
      </c>
      <c r="U235" s="386">
        <v>0.92200000000000004</v>
      </c>
      <c r="V235" s="636">
        <v>0.92800000000000005</v>
      </c>
      <c r="W235" s="636">
        <v>59.360000000000014</v>
      </c>
      <c r="X235" s="613">
        <v>59.180000000000007</v>
      </c>
      <c r="Y235" s="367">
        <v>44.36</v>
      </c>
      <c r="Z235" s="636">
        <v>36.299999999999997</v>
      </c>
      <c r="AA235" s="636">
        <v>43.71</v>
      </c>
      <c r="AB235" s="636">
        <v>33.479999999999997</v>
      </c>
      <c r="AC235" s="1160">
        <f t="shared" si="66"/>
        <v>77.19</v>
      </c>
      <c r="AD235" s="1160">
        <f t="shared" si="67"/>
        <v>119.41292999999999</v>
      </c>
      <c r="AE235" s="1160">
        <f t="shared" si="68"/>
        <v>119.41292999999999</v>
      </c>
      <c r="AF235" s="723"/>
      <c r="AG235" s="1160">
        <f t="shared" si="64"/>
        <v>0</v>
      </c>
      <c r="AH235" s="656"/>
      <c r="AI235" s="656"/>
      <c r="AJ235" s="388"/>
      <c r="AK235" s="388"/>
      <c r="AL235" s="388"/>
      <c r="AM235" s="388"/>
      <c r="AN235" s="388"/>
      <c r="AO235" s="370"/>
      <c r="AP235" s="370"/>
      <c r="AQ235" s="386"/>
      <c r="AR235" s="551">
        <v>0</v>
      </c>
      <c r="AS235" s="386">
        <v>25.3</v>
      </c>
      <c r="AT235" s="386">
        <v>0</v>
      </c>
      <c r="AU235" s="386">
        <v>40.6</v>
      </c>
      <c r="AV235" s="636">
        <v>1060.8</v>
      </c>
      <c r="AW235" s="636">
        <v>1225</v>
      </c>
      <c r="AX235" s="386">
        <v>1.3</v>
      </c>
      <c r="AY235" s="551">
        <v>0</v>
      </c>
      <c r="AZ235" s="551">
        <v>0</v>
      </c>
      <c r="BA235" s="551">
        <v>0</v>
      </c>
      <c r="BB235" s="832">
        <v>0</v>
      </c>
      <c r="BC235" s="386">
        <v>2.38</v>
      </c>
      <c r="BD235" s="386">
        <v>1.1200000000000001</v>
      </c>
      <c r="BE235" s="551">
        <v>0</v>
      </c>
      <c r="BF235" s="386">
        <v>2.4900000000000002</v>
      </c>
      <c r="BG235" s="386">
        <v>3.81</v>
      </c>
      <c r="BH235" s="551">
        <v>0</v>
      </c>
      <c r="BI235" s="386">
        <v>2.95</v>
      </c>
      <c r="BJ235" s="386">
        <v>20.7</v>
      </c>
      <c r="BK235" s="386">
        <v>5.29</v>
      </c>
      <c r="BL235" s="386">
        <v>6.72</v>
      </c>
      <c r="BM235" s="386">
        <v>0</v>
      </c>
      <c r="BN235" s="386">
        <v>8.9</v>
      </c>
      <c r="BO235" s="386">
        <v>2554.5</v>
      </c>
      <c r="BP235" s="386">
        <v>1.7</v>
      </c>
      <c r="BQ235" s="615">
        <v>21.5</v>
      </c>
      <c r="BR235" s="615">
        <v>22.1</v>
      </c>
      <c r="BS235" s="615">
        <v>19.690000000000001</v>
      </c>
      <c r="BT235" s="615">
        <v>19.78</v>
      </c>
      <c r="BU235" s="614">
        <v>38.6</v>
      </c>
      <c r="BV235" s="614">
        <v>53</v>
      </c>
      <c r="BW235" s="615">
        <v>1287.3</v>
      </c>
      <c r="BX235" s="791"/>
      <c r="BY235" s="615">
        <v>0</v>
      </c>
      <c r="BZ235" s="615">
        <v>1.1000000000000001</v>
      </c>
      <c r="CA235" s="615">
        <v>1.1000000000000001</v>
      </c>
      <c r="CB235" s="615">
        <v>8.1999999999999993</v>
      </c>
      <c r="CC235" s="615">
        <v>8.1</v>
      </c>
      <c r="CD235" s="615">
        <v>16.899999999999999</v>
      </c>
      <c r="CE235" s="615">
        <v>32.6</v>
      </c>
      <c r="CF235" s="615">
        <v>19.5</v>
      </c>
      <c r="CG235" s="615">
        <v>7.3</v>
      </c>
      <c r="CH235" s="615">
        <v>12.8</v>
      </c>
      <c r="CI235" s="615">
        <v>17</v>
      </c>
      <c r="CJ235" s="615">
        <v>13.2</v>
      </c>
      <c r="CK235" s="615">
        <v>0</v>
      </c>
      <c r="CL235" s="615">
        <v>3.4</v>
      </c>
      <c r="CM235" s="615">
        <v>5.9</v>
      </c>
      <c r="CN235" s="615">
        <v>2813.8</v>
      </c>
      <c r="CO235" s="615">
        <v>1059.5</v>
      </c>
      <c r="CP235" s="615">
        <v>649.1</v>
      </c>
      <c r="CQ235" s="615">
        <v>12.7</v>
      </c>
      <c r="CR235" s="615">
        <v>0.97</v>
      </c>
      <c r="CS235" s="614">
        <v>9585.2999999999993</v>
      </c>
      <c r="CT235" s="386">
        <v>15.648</v>
      </c>
      <c r="CU235" s="386">
        <v>58</v>
      </c>
      <c r="CV235" s="499">
        <v>0</v>
      </c>
      <c r="CW235" s="499">
        <v>0</v>
      </c>
      <c r="CX235" s="499">
        <v>0</v>
      </c>
      <c r="CY235" s="499">
        <v>0</v>
      </c>
      <c r="CZ235" s="643">
        <v>276</v>
      </c>
      <c r="DA235" s="643">
        <v>331</v>
      </c>
      <c r="DB235" s="643">
        <v>168</v>
      </c>
      <c r="DC235" s="609">
        <v>1158.23</v>
      </c>
      <c r="DD235" s="1153">
        <f t="shared" si="69"/>
        <v>-0.28999999999996362</v>
      </c>
      <c r="DE235" s="1154">
        <f t="shared" si="70"/>
        <v>42.347088575999997</v>
      </c>
      <c r="DF235" s="1154">
        <f t="shared" si="71"/>
        <v>58</v>
      </c>
      <c r="DG235" s="1154">
        <f t="shared" si="72"/>
        <v>81</v>
      </c>
      <c r="DH235" s="1155" t="str">
        <f t="shared" si="73"/>
        <v>Palm</v>
      </c>
      <c r="DI235" s="1146">
        <f t="shared" si="74"/>
        <v>163</v>
      </c>
      <c r="DJ235" s="1146">
        <f t="shared" si="75"/>
        <v>13.802831999999999</v>
      </c>
      <c r="DK235" s="1154">
        <f t="shared" si="76"/>
        <v>42.347088575999997</v>
      </c>
      <c r="DL235" s="615"/>
      <c r="DM235" s="615"/>
      <c r="DN235" s="615"/>
      <c r="DO235" s="499"/>
      <c r="DP235" s="499"/>
      <c r="DQ235" s="499"/>
      <c r="DR235" s="499"/>
      <c r="DS235" s="499"/>
      <c r="DT235" s="499"/>
      <c r="DU235" s="499"/>
      <c r="DV235" s="499"/>
      <c r="DW235" s="499"/>
      <c r="DX235" s="499"/>
      <c r="DY235" s="499"/>
      <c r="DZ235" s="499"/>
      <c r="EA235" s="499"/>
      <c r="EB235" s="499"/>
      <c r="EC235" s="499"/>
      <c r="ED235" s="499"/>
      <c r="EE235" s="499"/>
      <c r="EF235" s="499"/>
      <c r="EG235" s="1146">
        <f t="shared" si="63"/>
        <v>29</v>
      </c>
      <c r="EH235" s="642">
        <v>3</v>
      </c>
      <c r="EI235" s="615">
        <v>7</v>
      </c>
      <c r="EJ235" s="613">
        <v>7</v>
      </c>
      <c r="EK235" s="613">
        <v>12</v>
      </c>
      <c r="EL235" s="499"/>
      <c r="EM235" s="499"/>
      <c r="EN235" s="499"/>
      <c r="EO235" s="499"/>
      <c r="EP235" s="499"/>
      <c r="EQ235" s="499"/>
      <c r="ER235" s="499"/>
      <c r="ES235" s="388"/>
      <c r="ET235" s="388"/>
      <c r="EV235" s="1167">
        <f t="shared" si="65"/>
        <v>44.863</v>
      </c>
    </row>
    <row r="236" spans="1:152" s="350" customFormat="1" ht="15" x14ac:dyDescent="0.25">
      <c r="A236" s="632" t="s">
        <v>5</v>
      </c>
      <c r="B236" s="662">
        <v>42962</v>
      </c>
      <c r="C236" s="1132" t="s">
        <v>904</v>
      </c>
      <c r="D236" s="386">
        <v>0</v>
      </c>
      <c r="E236" s="636">
        <v>0</v>
      </c>
      <c r="F236" s="636">
        <v>57</v>
      </c>
      <c r="G236" s="636">
        <v>0.4</v>
      </c>
      <c r="H236" s="386">
        <v>1.84</v>
      </c>
      <c r="I236" s="386">
        <v>17.7</v>
      </c>
      <c r="J236" s="386">
        <v>0</v>
      </c>
      <c r="K236" s="386">
        <v>1.18</v>
      </c>
      <c r="L236" s="610">
        <v>0</v>
      </c>
      <c r="M236" s="386">
        <v>16.399999999999999</v>
      </c>
      <c r="N236" s="386">
        <v>1.175</v>
      </c>
      <c r="O236" s="386">
        <v>1.5636752008185513</v>
      </c>
      <c r="P236" s="386">
        <v>1.1679999999999999</v>
      </c>
      <c r="Q236" s="386">
        <v>0.68813544300083418</v>
      </c>
      <c r="R236" s="732">
        <v>1187.7529796511628</v>
      </c>
      <c r="S236" s="386">
        <v>8.08</v>
      </c>
      <c r="T236" s="386">
        <v>7.94</v>
      </c>
      <c r="U236" s="386">
        <v>0.94799999999999995</v>
      </c>
      <c r="V236" s="636">
        <v>0.94</v>
      </c>
      <c r="W236" s="636">
        <v>59</v>
      </c>
      <c r="X236" s="613">
        <v>59.360000000000014</v>
      </c>
      <c r="Y236" s="367">
        <v>43.71</v>
      </c>
      <c r="Z236" s="636">
        <v>33.4</v>
      </c>
      <c r="AA236" s="636">
        <v>47.73</v>
      </c>
      <c r="AB236" s="636">
        <v>32.369999999999997</v>
      </c>
      <c r="AC236" s="1160">
        <f t="shared" si="66"/>
        <v>80.099999999999994</v>
      </c>
      <c r="AD236" s="1160">
        <f t="shared" si="67"/>
        <v>123.91469999999998</v>
      </c>
      <c r="AE236" s="1160">
        <f t="shared" si="68"/>
        <v>123.91469999999998</v>
      </c>
      <c r="AF236" s="723"/>
      <c r="AG236" s="1160">
        <f t="shared" si="64"/>
        <v>0</v>
      </c>
      <c r="AH236" s="656"/>
      <c r="AI236" s="656"/>
      <c r="AJ236" s="388"/>
      <c r="AK236" s="388"/>
      <c r="AL236" s="388"/>
      <c r="AM236" s="388"/>
      <c r="AN236" s="388"/>
      <c r="AO236" s="370"/>
      <c r="AP236" s="370"/>
      <c r="AQ236" s="386"/>
      <c r="AR236" s="551">
        <v>0</v>
      </c>
      <c r="AS236" s="386">
        <v>31.9</v>
      </c>
      <c r="AT236" s="386">
        <v>0</v>
      </c>
      <c r="AU236" s="386">
        <v>45.2</v>
      </c>
      <c r="AV236" s="636">
        <v>1095.5</v>
      </c>
      <c r="AW236" s="636">
        <v>1405.9</v>
      </c>
      <c r="AX236" s="386">
        <v>0</v>
      </c>
      <c r="AY236" s="551">
        <v>0</v>
      </c>
      <c r="AZ236" s="551">
        <v>0</v>
      </c>
      <c r="BA236" s="551">
        <v>0</v>
      </c>
      <c r="BB236" s="832">
        <v>0</v>
      </c>
      <c r="BC236" s="386">
        <v>1.95</v>
      </c>
      <c r="BD236" s="386">
        <v>1.54</v>
      </c>
      <c r="BE236" s="551">
        <v>0</v>
      </c>
      <c r="BF236" s="386">
        <v>2.4900000000000002</v>
      </c>
      <c r="BG236" s="386">
        <v>3.95</v>
      </c>
      <c r="BH236" s="551">
        <v>0</v>
      </c>
      <c r="BI236" s="386">
        <v>1.97</v>
      </c>
      <c r="BJ236" s="386">
        <v>20.5</v>
      </c>
      <c r="BK236" s="386">
        <v>5.21</v>
      </c>
      <c r="BL236" s="386">
        <v>6.8</v>
      </c>
      <c r="BM236" s="386">
        <v>0</v>
      </c>
      <c r="BN236" s="386">
        <v>8.6300000000000008</v>
      </c>
      <c r="BO236" s="386">
        <v>2437.9</v>
      </c>
      <c r="BP236" s="386">
        <v>1.7</v>
      </c>
      <c r="BQ236" s="615">
        <v>20.59</v>
      </c>
      <c r="BR236" s="615">
        <v>21.23</v>
      </c>
      <c r="BS236" s="615">
        <v>21.97</v>
      </c>
      <c r="BT236" s="615">
        <v>22.03</v>
      </c>
      <c r="BU236" s="614">
        <v>44.1</v>
      </c>
      <c r="BV236" s="614">
        <v>55</v>
      </c>
      <c r="BW236" s="615">
        <v>1351.4</v>
      </c>
      <c r="BX236" s="791"/>
      <c r="BY236" s="615">
        <v>0</v>
      </c>
      <c r="BZ236" s="615">
        <v>1.1200000000000001</v>
      </c>
      <c r="CA236" s="615">
        <v>1.1000000000000001</v>
      </c>
      <c r="CB236" s="615">
        <v>8.1</v>
      </c>
      <c r="CC236" s="615">
        <v>8.1</v>
      </c>
      <c r="CD236" s="615">
        <v>17</v>
      </c>
      <c r="CE236" s="615">
        <v>32.700000000000003</v>
      </c>
      <c r="CF236" s="615">
        <v>19.5</v>
      </c>
      <c r="CG236" s="615">
        <v>7.2</v>
      </c>
      <c r="CH236" s="615">
        <v>12.7</v>
      </c>
      <c r="CI236" s="615">
        <v>16.8</v>
      </c>
      <c r="CJ236" s="615">
        <v>13.88</v>
      </c>
      <c r="CK236" s="615">
        <v>0</v>
      </c>
      <c r="CL236" s="615">
        <v>3.6</v>
      </c>
      <c r="CM236" s="615">
        <v>6</v>
      </c>
      <c r="CN236" s="615">
        <v>2888.2</v>
      </c>
      <c r="CO236" s="615">
        <v>1050.7</v>
      </c>
      <c r="CP236" s="615">
        <v>628.70000000000005</v>
      </c>
      <c r="CQ236" s="615">
        <v>12.8</v>
      </c>
      <c r="CR236" s="615">
        <v>0.98</v>
      </c>
      <c r="CS236" s="614">
        <v>9556.2999999999993</v>
      </c>
      <c r="CT236" s="386">
        <v>16.195</v>
      </c>
      <c r="CU236" s="386">
        <v>58</v>
      </c>
      <c r="CV236" s="499">
        <v>0</v>
      </c>
      <c r="CW236" s="499">
        <v>0</v>
      </c>
      <c r="CX236" s="499">
        <v>0</v>
      </c>
      <c r="CY236" s="499">
        <v>0</v>
      </c>
      <c r="CZ236" s="643">
        <v>300</v>
      </c>
      <c r="DA236" s="643">
        <v>322</v>
      </c>
      <c r="DB236" s="643">
        <v>183</v>
      </c>
      <c r="DC236" s="609">
        <v>1157.9100000000001</v>
      </c>
      <c r="DD236" s="1153">
        <f t="shared" si="69"/>
        <v>-0.31999999999993634</v>
      </c>
      <c r="DE236" s="1154">
        <f t="shared" si="70"/>
        <v>42.218968896</v>
      </c>
      <c r="DF236" s="1154">
        <f t="shared" si="71"/>
        <v>73</v>
      </c>
      <c r="DG236" s="1154">
        <f t="shared" si="72"/>
        <v>72</v>
      </c>
      <c r="DH236" s="1155" t="str">
        <f t="shared" si="73"/>
        <v>Aub</v>
      </c>
      <c r="DI236" s="1146">
        <f t="shared" si="74"/>
        <v>139</v>
      </c>
      <c r="DJ236" s="1146">
        <f t="shared" si="75"/>
        <v>13.761072</v>
      </c>
      <c r="DK236" s="1154">
        <f t="shared" si="76"/>
        <v>42.218968896</v>
      </c>
      <c r="DL236" s="615"/>
      <c r="DM236" s="615"/>
      <c r="DN236" s="615"/>
      <c r="DO236" s="499"/>
      <c r="DP236" s="499"/>
      <c r="DQ236" s="499"/>
      <c r="DR236" s="499"/>
      <c r="DS236" s="499"/>
      <c r="DT236" s="499"/>
      <c r="DU236" s="499"/>
      <c r="DV236" s="499"/>
      <c r="DW236" s="499"/>
      <c r="DX236" s="499"/>
      <c r="DY236" s="499"/>
      <c r="DZ236" s="499"/>
      <c r="EA236" s="499"/>
      <c r="EB236" s="499"/>
      <c r="EC236" s="499"/>
      <c r="ED236" s="499"/>
      <c r="EE236" s="499"/>
      <c r="EF236" s="499"/>
      <c r="EG236" s="1146">
        <f t="shared" si="63"/>
        <v>29</v>
      </c>
      <c r="EH236" s="642">
        <v>3</v>
      </c>
      <c r="EI236" s="615">
        <v>7</v>
      </c>
      <c r="EJ236" s="613">
        <v>7</v>
      </c>
      <c r="EK236" s="613">
        <v>12</v>
      </c>
      <c r="EL236" s="499"/>
      <c r="EM236" s="499"/>
      <c r="EN236" s="499"/>
      <c r="EO236" s="499"/>
      <c r="EP236" s="499"/>
      <c r="EQ236" s="499"/>
      <c r="ER236" s="499"/>
      <c r="ES236" s="388"/>
      <c r="ET236" s="388"/>
      <c r="EV236" s="1167">
        <f t="shared" si="65"/>
        <v>44.863</v>
      </c>
    </row>
    <row r="237" spans="1:152" s="350" customFormat="1" ht="15" x14ac:dyDescent="0.25">
      <c r="A237" s="632" t="s">
        <v>6</v>
      </c>
      <c r="B237" s="662">
        <v>42963</v>
      </c>
      <c r="C237" s="1132" t="s">
        <v>904</v>
      </c>
      <c r="D237" s="386">
        <v>0</v>
      </c>
      <c r="E237" s="636">
        <v>0</v>
      </c>
      <c r="F237" s="636">
        <v>66</v>
      </c>
      <c r="G237" s="636">
        <v>0.4</v>
      </c>
      <c r="H237" s="386">
        <v>1.67</v>
      </c>
      <c r="I237" s="386">
        <v>19.600000000000001</v>
      </c>
      <c r="J237" s="386">
        <v>0</v>
      </c>
      <c r="K237" s="386">
        <v>1.18</v>
      </c>
      <c r="L237" s="610">
        <v>0</v>
      </c>
      <c r="M237" s="386">
        <v>16.399999999999999</v>
      </c>
      <c r="N237" s="386">
        <v>1.1599999999999999</v>
      </c>
      <c r="O237" s="386">
        <v>1.512761196177703</v>
      </c>
      <c r="P237" s="386">
        <v>1.1499999999999999</v>
      </c>
      <c r="Q237" s="386">
        <v>0.68572477620744066</v>
      </c>
      <c r="R237" s="732">
        <v>1208.7545058139535</v>
      </c>
      <c r="S237" s="386">
        <v>8.1300000000000008</v>
      </c>
      <c r="T237" s="386">
        <v>8</v>
      </c>
      <c r="U237" s="386">
        <v>0.94</v>
      </c>
      <c r="V237" s="636">
        <v>0.94</v>
      </c>
      <c r="W237" s="636">
        <v>59.360000000000014</v>
      </c>
      <c r="X237" s="613">
        <v>59.539999999999992</v>
      </c>
      <c r="Y237" s="367">
        <v>47.73</v>
      </c>
      <c r="Z237" s="636">
        <v>32.200000000000003</v>
      </c>
      <c r="AA237" s="636">
        <v>47.71</v>
      </c>
      <c r="AB237" s="636">
        <v>34.07</v>
      </c>
      <c r="AC237" s="1160">
        <f t="shared" si="66"/>
        <v>81.78</v>
      </c>
      <c r="AD237" s="1160">
        <f t="shared" si="67"/>
        <v>126.51366</v>
      </c>
      <c r="AE237" s="1160">
        <f t="shared" si="68"/>
        <v>126.51366</v>
      </c>
      <c r="AF237" s="723"/>
      <c r="AG237" s="1160">
        <f t="shared" si="64"/>
        <v>0</v>
      </c>
      <c r="AH237" s="656"/>
      <c r="AI237" s="656"/>
      <c r="AJ237" s="388"/>
      <c r="AK237" s="388"/>
      <c r="AL237" s="388"/>
      <c r="AM237" s="388"/>
      <c r="AN237" s="388"/>
      <c r="AO237" s="370"/>
      <c r="AP237" s="370"/>
      <c r="AQ237" s="386"/>
      <c r="AR237" s="551">
        <v>0</v>
      </c>
      <c r="AS237" s="386">
        <v>27.2</v>
      </c>
      <c r="AT237" s="386">
        <v>0</v>
      </c>
      <c r="AU237" s="386">
        <v>45.4</v>
      </c>
      <c r="AV237" s="636">
        <v>887.4</v>
      </c>
      <c r="AW237" s="636">
        <v>1636.8</v>
      </c>
      <c r="AX237" s="386">
        <v>0.3</v>
      </c>
      <c r="AY237" s="551">
        <v>0</v>
      </c>
      <c r="AZ237" s="551">
        <v>0</v>
      </c>
      <c r="BA237" s="551">
        <v>0</v>
      </c>
      <c r="BB237" s="832">
        <v>0</v>
      </c>
      <c r="BC237" s="386">
        <v>1</v>
      </c>
      <c r="BD237" s="386">
        <v>2.78</v>
      </c>
      <c r="BE237" s="551">
        <v>0</v>
      </c>
      <c r="BF237" s="386">
        <v>2.4900000000000002</v>
      </c>
      <c r="BG237" s="386">
        <v>3.95</v>
      </c>
      <c r="BH237" s="551">
        <v>0</v>
      </c>
      <c r="BI237" s="386">
        <v>2.95</v>
      </c>
      <c r="BJ237" s="386">
        <v>20.9</v>
      </c>
      <c r="BK237" s="386">
        <v>5.45</v>
      </c>
      <c r="BL237" s="386">
        <v>6.54</v>
      </c>
      <c r="BM237" s="386">
        <v>0</v>
      </c>
      <c r="BN237" s="386">
        <v>9.1</v>
      </c>
      <c r="BO237" s="386">
        <v>2595.6999999999998</v>
      </c>
      <c r="BP237" s="386">
        <v>1.7</v>
      </c>
      <c r="BQ237" s="615">
        <v>19.05</v>
      </c>
      <c r="BR237" s="615">
        <v>19.68</v>
      </c>
      <c r="BS237" s="615">
        <v>22.15</v>
      </c>
      <c r="BT237" s="615">
        <v>22.22</v>
      </c>
      <c r="BU237" s="614">
        <v>44.8</v>
      </c>
      <c r="BV237" s="614">
        <v>57.3</v>
      </c>
      <c r="BW237" s="615">
        <v>1402.5</v>
      </c>
      <c r="BX237" s="791"/>
      <c r="BY237" s="615">
        <v>0</v>
      </c>
      <c r="BZ237" s="615">
        <v>1.1000000000000001</v>
      </c>
      <c r="CA237" s="615">
        <v>1.1000000000000001</v>
      </c>
      <c r="CB237" s="615">
        <v>8.1</v>
      </c>
      <c r="CC237" s="615">
        <v>8.1</v>
      </c>
      <c r="CD237" s="615">
        <v>17.899999999999999</v>
      </c>
      <c r="CE237" s="615">
        <v>32.6</v>
      </c>
      <c r="CF237" s="615">
        <v>19.899999999999999</v>
      </c>
      <c r="CG237" s="615">
        <v>7.1</v>
      </c>
      <c r="CH237" s="615">
        <v>12.6</v>
      </c>
      <c r="CI237" s="615">
        <v>16.8</v>
      </c>
      <c r="CJ237" s="615">
        <v>13.36</v>
      </c>
      <c r="CK237" s="615">
        <v>0</v>
      </c>
      <c r="CL237" s="615">
        <v>4.8</v>
      </c>
      <c r="CM237" s="615">
        <v>7.4</v>
      </c>
      <c r="CN237" s="615">
        <v>3066.3</v>
      </c>
      <c r="CO237" s="615">
        <v>1071.4000000000001</v>
      </c>
      <c r="CP237" s="615">
        <v>599</v>
      </c>
      <c r="CQ237" s="615">
        <v>11.6</v>
      </c>
      <c r="CR237" s="615">
        <v>0.81</v>
      </c>
      <c r="CS237" s="614">
        <v>9533</v>
      </c>
      <c r="CT237" s="386">
        <v>15.988</v>
      </c>
      <c r="CU237" s="386">
        <v>58</v>
      </c>
      <c r="CV237" s="499">
        <v>0</v>
      </c>
      <c r="CW237" s="499">
        <v>0</v>
      </c>
      <c r="CX237" s="499">
        <v>0</v>
      </c>
      <c r="CY237" s="499">
        <v>0</v>
      </c>
      <c r="CZ237" s="643">
        <v>300</v>
      </c>
      <c r="DA237" s="643">
        <v>340</v>
      </c>
      <c r="DB237" s="643">
        <v>178</v>
      </c>
      <c r="DC237" s="609">
        <v>1157.56</v>
      </c>
      <c r="DD237" s="1153">
        <f t="shared" si="69"/>
        <v>-0.35000000000013642</v>
      </c>
      <c r="DE237" s="1154">
        <f t="shared" si="70"/>
        <v>42.116031360000001</v>
      </c>
      <c r="DF237" s="1154">
        <f t="shared" si="71"/>
        <v>68</v>
      </c>
      <c r="DG237" s="1154">
        <f t="shared" si="72"/>
        <v>90</v>
      </c>
      <c r="DH237" s="1155" t="str">
        <f t="shared" si="73"/>
        <v>Palm</v>
      </c>
      <c r="DI237" s="1146">
        <f t="shared" si="74"/>
        <v>162</v>
      </c>
      <c r="DJ237" s="1146">
        <f t="shared" si="75"/>
        <v>13.72752</v>
      </c>
      <c r="DK237" s="1154">
        <f t="shared" si="76"/>
        <v>42.116031360000001</v>
      </c>
      <c r="DL237" s="615"/>
      <c r="DM237" s="615"/>
      <c r="DN237" s="615"/>
      <c r="DO237" s="499"/>
      <c r="DP237" s="499"/>
      <c r="DQ237" s="499"/>
      <c r="DR237" s="499"/>
      <c r="DS237" s="499"/>
      <c r="DT237" s="499"/>
      <c r="DU237" s="499"/>
      <c r="DV237" s="499"/>
      <c r="DW237" s="499"/>
      <c r="DX237" s="499"/>
      <c r="DY237" s="499"/>
      <c r="DZ237" s="499"/>
      <c r="EA237" s="499"/>
      <c r="EB237" s="499"/>
      <c r="EC237" s="499"/>
      <c r="ED237" s="499"/>
      <c r="EE237" s="499"/>
      <c r="EF237" s="499"/>
      <c r="EG237" s="1146">
        <f t="shared" si="63"/>
        <v>29</v>
      </c>
      <c r="EH237" s="642">
        <v>3</v>
      </c>
      <c r="EI237" s="615">
        <v>7</v>
      </c>
      <c r="EJ237" s="613">
        <v>7</v>
      </c>
      <c r="EK237" s="613">
        <v>12</v>
      </c>
      <c r="EL237" s="499"/>
      <c r="EM237" s="499"/>
      <c r="EN237" s="499"/>
      <c r="EO237" s="499"/>
      <c r="EP237" s="499"/>
      <c r="EQ237" s="499"/>
      <c r="ER237" s="499"/>
      <c r="ES237" s="388"/>
      <c r="ET237" s="388"/>
      <c r="EV237" s="1167">
        <f t="shared" si="65"/>
        <v>44.863</v>
      </c>
    </row>
    <row r="238" spans="1:152" s="350" customFormat="1" ht="15" x14ac:dyDescent="0.25">
      <c r="A238" s="632" t="s">
        <v>7</v>
      </c>
      <c r="B238" s="662">
        <v>42964</v>
      </c>
      <c r="C238" s="1132" t="s">
        <v>904</v>
      </c>
      <c r="D238" s="386">
        <v>0</v>
      </c>
      <c r="E238" s="636">
        <v>0</v>
      </c>
      <c r="F238" s="636">
        <v>57</v>
      </c>
      <c r="G238" s="636">
        <v>0.4</v>
      </c>
      <c r="H238" s="386">
        <v>1.7</v>
      </c>
      <c r="I238" s="386">
        <v>18.100000000000001</v>
      </c>
      <c r="J238" s="386">
        <v>0</v>
      </c>
      <c r="K238" s="386">
        <v>1.18</v>
      </c>
      <c r="L238" s="636">
        <v>0</v>
      </c>
      <c r="M238" s="386">
        <v>16.100000000000001</v>
      </c>
      <c r="N238" s="386">
        <v>1.1399999999999999</v>
      </c>
      <c r="O238" s="386">
        <v>1.5261627906974053</v>
      </c>
      <c r="P238" s="386">
        <v>1.1399999999999999</v>
      </c>
      <c r="Q238" s="386">
        <v>0.68920413221902554</v>
      </c>
      <c r="R238" s="732">
        <v>1254.7578488372094</v>
      </c>
      <c r="S238" s="386">
        <v>8.23</v>
      </c>
      <c r="T238" s="386">
        <v>8.07</v>
      </c>
      <c r="U238" s="386">
        <v>0.81</v>
      </c>
      <c r="V238" s="636">
        <v>0.63</v>
      </c>
      <c r="W238" s="636">
        <v>59.360000000000014</v>
      </c>
      <c r="X238" s="613">
        <v>59.539999999999992</v>
      </c>
      <c r="Y238" s="367">
        <v>47.71</v>
      </c>
      <c r="Z238" s="636">
        <v>34</v>
      </c>
      <c r="AA238" s="636">
        <v>47.72</v>
      </c>
      <c r="AB238" s="636">
        <v>36.590000000000003</v>
      </c>
      <c r="AC238" s="1160">
        <f t="shared" si="66"/>
        <v>84.31</v>
      </c>
      <c r="AD238" s="1160">
        <f t="shared" si="67"/>
        <v>130.42757</v>
      </c>
      <c r="AE238" s="1160">
        <f t="shared" si="68"/>
        <v>130.42757</v>
      </c>
      <c r="AF238" s="723"/>
      <c r="AG238" s="1160">
        <f t="shared" si="64"/>
        <v>0</v>
      </c>
      <c r="AH238" s="656"/>
      <c r="AI238" s="656"/>
      <c r="AJ238" s="388"/>
      <c r="AK238" s="388"/>
      <c r="AL238" s="388"/>
      <c r="AM238" s="388"/>
      <c r="AN238" s="388"/>
      <c r="AO238" s="370"/>
      <c r="AP238" s="370"/>
      <c r="AQ238" s="386"/>
      <c r="AR238" s="551">
        <v>0</v>
      </c>
      <c r="AS238" s="386">
        <v>33.700000000000003</v>
      </c>
      <c r="AT238" s="386">
        <v>0</v>
      </c>
      <c r="AU238" s="386">
        <v>45.5</v>
      </c>
      <c r="AV238" s="636">
        <v>983.5</v>
      </c>
      <c r="AW238" s="636">
        <v>1256.5999999999999</v>
      </c>
      <c r="AX238" s="386">
        <v>0</v>
      </c>
      <c r="AY238" s="551">
        <v>0</v>
      </c>
      <c r="AZ238" s="551">
        <v>0</v>
      </c>
      <c r="BA238" s="551">
        <v>0</v>
      </c>
      <c r="BB238" s="832">
        <v>0</v>
      </c>
      <c r="BC238" s="386">
        <v>1.29</v>
      </c>
      <c r="BD238" s="386">
        <v>2.7</v>
      </c>
      <c r="BE238" s="551">
        <v>0</v>
      </c>
      <c r="BF238" s="386">
        <v>2.44</v>
      </c>
      <c r="BG238" s="386">
        <v>3.96</v>
      </c>
      <c r="BH238" s="551">
        <v>0</v>
      </c>
      <c r="BI238" s="386">
        <v>2.95</v>
      </c>
      <c r="BJ238" s="386">
        <v>33.200000000000003</v>
      </c>
      <c r="BK238" s="386">
        <v>5.18</v>
      </c>
      <c r="BL238" s="386">
        <v>6.78</v>
      </c>
      <c r="BM238" s="386">
        <v>0</v>
      </c>
      <c r="BN238" s="386">
        <v>11.4</v>
      </c>
      <c r="BO238" s="386">
        <v>2470.1999999999998</v>
      </c>
      <c r="BP238" s="386">
        <v>1.3</v>
      </c>
      <c r="BQ238" s="615">
        <v>19.82</v>
      </c>
      <c r="BR238" s="615">
        <v>20.46</v>
      </c>
      <c r="BS238" s="615">
        <v>22.22</v>
      </c>
      <c r="BT238" s="615">
        <v>22.29</v>
      </c>
      <c r="BU238" s="614">
        <v>44.6</v>
      </c>
      <c r="BV238" s="614">
        <v>50.2</v>
      </c>
      <c r="BW238" s="615">
        <v>1248.2</v>
      </c>
      <c r="BX238" s="791"/>
      <c r="BY238" s="615">
        <v>0</v>
      </c>
      <c r="BZ238" s="615">
        <v>1.07</v>
      </c>
      <c r="CA238" s="615">
        <v>1.1000000000000001</v>
      </c>
      <c r="CB238" s="615">
        <v>8.1</v>
      </c>
      <c r="CC238" s="615">
        <v>8.1</v>
      </c>
      <c r="CD238" s="615">
        <v>16.8</v>
      </c>
      <c r="CE238" s="615">
        <v>32.6</v>
      </c>
      <c r="CF238" s="615">
        <v>20.7</v>
      </c>
      <c r="CG238" s="615">
        <v>7.4</v>
      </c>
      <c r="CH238" s="615">
        <v>13</v>
      </c>
      <c r="CI238" s="615">
        <v>17.22</v>
      </c>
      <c r="CJ238" s="615">
        <v>12.85</v>
      </c>
      <c r="CK238" s="615">
        <v>0</v>
      </c>
      <c r="CL238" s="615">
        <v>3.8</v>
      </c>
      <c r="CM238" s="615">
        <v>7.4</v>
      </c>
      <c r="CN238" s="615">
        <v>2917.9</v>
      </c>
      <c r="CO238" s="615">
        <v>1049.2</v>
      </c>
      <c r="CP238" s="615">
        <v>638.9</v>
      </c>
      <c r="CQ238" s="615">
        <v>11.9</v>
      </c>
      <c r="CR238" s="615">
        <v>1.01</v>
      </c>
      <c r="CS238" s="614">
        <v>9501.2000000000007</v>
      </c>
      <c r="CT238" s="386">
        <v>16.184999999999999</v>
      </c>
      <c r="CU238" s="386">
        <v>58</v>
      </c>
      <c r="CV238" s="499">
        <v>0</v>
      </c>
      <c r="CW238" s="499">
        <v>0</v>
      </c>
      <c r="CX238" s="499">
        <v>0</v>
      </c>
      <c r="CY238" s="499">
        <v>0</v>
      </c>
      <c r="CZ238" s="643">
        <v>311</v>
      </c>
      <c r="DA238" s="643">
        <v>345</v>
      </c>
      <c r="DB238" s="643">
        <v>169</v>
      </c>
      <c r="DC238" s="609">
        <v>1157.22</v>
      </c>
      <c r="DD238" s="1153">
        <f t="shared" si="69"/>
        <v>-0.33999999999991815</v>
      </c>
      <c r="DE238" s="1154">
        <f t="shared" si="70"/>
        <v>41.975541504000006</v>
      </c>
      <c r="DF238" s="1154">
        <f t="shared" si="71"/>
        <v>59</v>
      </c>
      <c r="DG238" s="1154">
        <f t="shared" si="72"/>
        <v>95</v>
      </c>
      <c r="DH238" s="1155" t="str">
        <f t="shared" si="73"/>
        <v>Palm</v>
      </c>
      <c r="DI238" s="1146">
        <f t="shared" si="74"/>
        <v>176</v>
      </c>
      <c r="DJ238" s="1146">
        <f t="shared" si="75"/>
        <v>13.681728000000001</v>
      </c>
      <c r="DK238" s="1154">
        <f t="shared" si="76"/>
        <v>41.975541504000006</v>
      </c>
      <c r="DL238" s="615"/>
      <c r="DM238" s="615"/>
      <c r="DN238" s="615"/>
      <c r="DO238" s="499"/>
      <c r="DP238" s="499"/>
      <c r="DQ238" s="499"/>
      <c r="DR238" s="499"/>
      <c r="DS238" s="499"/>
      <c r="DT238" s="499"/>
      <c r="DU238" s="499"/>
      <c r="DV238" s="499"/>
      <c r="DW238" s="499"/>
      <c r="DX238" s="499"/>
      <c r="DY238" s="499"/>
      <c r="DZ238" s="499"/>
      <c r="EA238" s="499"/>
      <c r="EB238" s="499"/>
      <c r="EC238" s="499"/>
      <c r="ED238" s="499"/>
      <c r="EE238" s="499"/>
      <c r="EF238" s="499"/>
      <c r="EG238" s="1146">
        <f t="shared" si="63"/>
        <v>29</v>
      </c>
      <c r="EH238" s="642">
        <v>3</v>
      </c>
      <c r="EI238" s="615">
        <v>7</v>
      </c>
      <c r="EJ238" s="613">
        <v>7</v>
      </c>
      <c r="EK238" s="613">
        <v>12</v>
      </c>
      <c r="EL238" s="499"/>
      <c r="EM238" s="499"/>
      <c r="EN238" s="499"/>
      <c r="EO238" s="499"/>
      <c r="EP238" s="499"/>
      <c r="EQ238" s="499"/>
      <c r="ER238" s="499"/>
      <c r="ES238" s="388"/>
      <c r="ET238" s="388"/>
      <c r="EV238" s="1167">
        <f t="shared" si="65"/>
        <v>44.863</v>
      </c>
    </row>
    <row r="239" spans="1:152" s="350" customFormat="1" ht="15" x14ac:dyDescent="0.25">
      <c r="A239" s="632" t="s">
        <v>8</v>
      </c>
      <c r="B239" s="662">
        <v>42965</v>
      </c>
      <c r="C239" s="1132" t="s">
        <v>904</v>
      </c>
      <c r="D239" s="386">
        <v>0</v>
      </c>
      <c r="E239" s="636">
        <v>0</v>
      </c>
      <c r="F239" s="636">
        <v>65</v>
      </c>
      <c r="G239" s="636">
        <v>0.4</v>
      </c>
      <c r="H239" s="386">
        <v>1.84</v>
      </c>
      <c r="I239" s="386">
        <v>19</v>
      </c>
      <c r="J239" s="386">
        <v>0</v>
      </c>
      <c r="K239" s="386">
        <v>1.2</v>
      </c>
      <c r="L239" s="636">
        <v>0</v>
      </c>
      <c r="M239" s="386">
        <v>16.3</v>
      </c>
      <c r="N239" s="386">
        <v>1.1659999999999999</v>
      </c>
      <c r="O239" s="386">
        <v>1.5433996720336025</v>
      </c>
      <c r="P239" s="386">
        <v>1.115</v>
      </c>
      <c r="Q239" s="386">
        <v>0.70217569007819758</v>
      </c>
      <c r="R239" s="732">
        <v>1328.7632267441859</v>
      </c>
      <c r="S239" s="386">
        <v>8.14</v>
      </c>
      <c r="T239" s="386">
        <v>8.1</v>
      </c>
      <c r="U239" s="386">
        <v>0.92700000000000005</v>
      </c>
      <c r="V239" s="636">
        <v>0.95899999999999996</v>
      </c>
      <c r="W239" s="636">
        <v>60.08</v>
      </c>
      <c r="X239" s="613">
        <v>60.08</v>
      </c>
      <c r="Y239" s="367">
        <v>47.72</v>
      </c>
      <c r="Z239" s="636">
        <v>36.4</v>
      </c>
      <c r="AA239" s="636">
        <v>47.71</v>
      </c>
      <c r="AB239" s="636">
        <v>39.11</v>
      </c>
      <c r="AC239" s="1160">
        <f t="shared" si="66"/>
        <v>86.82</v>
      </c>
      <c r="AD239" s="1160">
        <f t="shared" si="67"/>
        <v>134.31053999999997</v>
      </c>
      <c r="AE239" s="1160">
        <f t="shared" si="68"/>
        <v>134.31053999999997</v>
      </c>
      <c r="AF239" s="723"/>
      <c r="AG239" s="1160">
        <f t="shared" si="64"/>
        <v>0</v>
      </c>
      <c r="AH239" s="656"/>
      <c r="AI239" s="656"/>
      <c r="AJ239" s="388"/>
      <c r="AK239" s="388"/>
      <c r="AL239" s="388"/>
      <c r="AM239" s="388"/>
      <c r="AN239" s="388"/>
      <c r="AO239" s="370"/>
      <c r="AP239" s="370"/>
      <c r="AQ239" s="386"/>
      <c r="AR239" s="551">
        <v>0</v>
      </c>
      <c r="AS239" s="386">
        <v>25.6</v>
      </c>
      <c r="AT239" s="386">
        <v>0</v>
      </c>
      <c r="AU239" s="386">
        <v>45.5</v>
      </c>
      <c r="AV239" s="636">
        <v>839.5</v>
      </c>
      <c r="AW239" s="636">
        <v>1197.8</v>
      </c>
      <c r="AX239" s="386">
        <v>0.3</v>
      </c>
      <c r="AY239" s="551">
        <v>0</v>
      </c>
      <c r="AZ239" s="551">
        <v>0</v>
      </c>
      <c r="BA239" s="551">
        <v>0</v>
      </c>
      <c r="BB239" s="832">
        <v>0</v>
      </c>
      <c r="BC239" s="386">
        <v>1.5</v>
      </c>
      <c r="BD239" s="386">
        <v>2.5</v>
      </c>
      <c r="BE239" s="551">
        <v>0</v>
      </c>
      <c r="BF239" s="386">
        <v>2.4900000000000002</v>
      </c>
      <c r="BG239" s="386">
        <v>3.95</v>
      </c>
      <c r="BH239" s="551">
        <v>0</v>
      </c>
      <c r="BI239" s="386">
        <v>2.95</v>
      </c>
      <c r="BJ239" s="386">
        <v>25.7</v>
      </c>
      <c r="BK239" s="386">
        <v>4.29</v>
      </c>
      <c r="BL239" s="386">
        <v>7.61</v>
      </c>
      <c r="BM239" s="386">
        <v>0</v>
      </c>
      <c r="BN239" s="386">
        <v>14</v>
      </c>
      <c r="BO239" s="386">
        <v>2528.1</v>
      </c>
      <c r="BP239" s="386">
        <v>1.7</v>
      </c>
      <c r="BQ239" s="615">
        <v>21.7</v>
      </c>
      <c r="BR239" s="615">
        <v>22.4</v>
      </c>
      <c r="BS239" s="615">
        <v>22.3</v>
      </c>
      <c r="BT239" s="615">
        <v>22.4</v>
      </c>
      <c r="BU239" s="614">
        <v>44.9</v>
      </c>
      <c r="BV239" s="614">
        <v>46.8</v>
      </c>
      <c r="BW239" s="615">
        <v>1226.9000000000001</v>
      </c>
      <c r="BX239" s="791"/>
      <c r="BY239" s="615">
        <v>0</v>
      </c>
      <c r="BZ239" s="615">
        <v>1.04</v>
      </c>
      <c r="CA239" s="615">
        <v>1</v>
      </c>
      <c r="CB239" s="615">
        <v>8.1</v>
      </c>
      <c r="CC239" s="615">
        <v>8.1</v>
      </c>
      <c r="CD239" s="615">
        <v>16.8</v>
      </c>
      <c r="CE239" s="615">
        <v>32.700000000000003</v>
      </c>
      <c r="CF239" s="615">
        <v>18.100000000000001</v>
      </c>
      <c r="CG239" s="615">
        <v>7.9</v>
      </c>
      <c r="CH239" s="615">
        <v>13.5</v>
      </c>
      <c r="CI239" s="615">
        <v>17.7</v>
      </c>
      <c r="CJ239" s="615">
        <v>12.8</v>
      </c>
      <c r="CK239" s="615">
        <v>0</v>
      </c>
      <c r="CL239" s="615">
        <v>4.2</v>
      </c>
      <c r="CM239" s="615">
        <v>7.1</v>
      </c>
      <c r="CN239" s="615">
        <v>2790.4</v>
      </c>
      <c r="CO239" s="615">
        <v>1026.9000000000001</v>
      </c>
      <c r="CP239" s="615">
        <v>434.4</v>
      </c>
      <c r="CQ239" s="615">
        <v>11.7</v>
      </c>
      <c r="CR239" s="615">
        <v>0.91</v>
      </c>
      <c r="CS239" s="614">
        <v>9483.7999999999993</v>
      </c>
      <c r="CT239" s="386">
        <v>15.746</v>
      </c>
      <c r="CU239" s="386">
        <v>58</v>
      </c>
      <c r="CV239" s="499">
        <v>0</v>
      </c>
      <c r="CW239" s="499">
        <v>0</v>
      </c>
      <c r="CX239" s="499">
        <v>0</v>
      </c>
      <c r="CY239" s="499">
        <v>0</v>
      </c>
      <c r="CZ239" s="643">
        <v>316</v>
      </c>
      <c r="DA239" s="643">
        <v>340</v>
      </c>
      <c r="DB239" s="643">
        <v>192</v>
      </c>
      <c r="DC239" s="609">
        <v>1156.8499999999999</v>
      </c>
      <c r="DD239" s="1153">
        <f t="shared" si="69"/>
        <v>-0.37000000000011823</v>
      </c>
      <c r="DE239" s="1154">
        <f t="shared" si="70"/>
        <v>41.898669695999999</v>
      </c>
      <c r="DF239" s="1154">
        <f t="shared" si="71"/>
        <v>82</v>
      </c>
      <c r="DG239" s="1154">
        <f t="shared" si="72"/>
        <v>90</v>
      </c>
      <c r="DH239" s="1155" t="str">
        <f t="shared" si="73"/>
        <v>Palm</v>
      </c>
      <c r="DI239" s="1146">
        <f t="shared" si="74"/>
        <v>148</v>
      </c>
      <c r="DJ239" s="1146">
        <f t="shared" si="75"/>
        <v>13.656671999999999</v>
      </c>
      <c r="DK239" s="1154">
        <f t="shared" si="76"/>
        <v>41.898669695999999</v>
      </c>
      <c r="DL239" s="615"/>
      <c r="DM239" s="615"/>
      <c r="DN239" s="615"/>
      <c r="DO239" s="499"/>
      <c r="DP239" s="499"/>
      <c r="DQ239" s="499"/>
      <c r="DR239" s="499"/>
      <c r="DS239" s="499"/>
      <c r="DT239" s="499"/>
      <c r="DU239" s="499"/>
      <c r="DV239" s="499"/>
      <c r="DW239" s="499"/>
      <c r="DX239" s="499"/>
      <c r="DY239" s="499"/>
      <c r="DZ239" s="499"/>
      <c r="EA239" s="499"/>
      <c r="EB239" s="499"/>
      <c r="EC239" s="499"/>
      <c r="ED239" s="499"/>
      <c r="EE239" s="499"/>
      <c r="EF239" s="499"/>
      <c r="EG239" s="1146">
        <f t="shared" si="63"/>
        <v>25.5</v>
      </c>
      <c r="EH239" s="630">
        <v>0</v>
      </c>
      <c r="EI239" s="615">
        <v>7</v>
      </c>
      <c r="EJ239" s="613">
        <v>6.5</v>
      </c>
      <c r="EK239" s="613">
        <v>12</v>
      </c>
      <c r="EL239" s="499"/>
      <c r="EM239" s="499"/>
      <c r="EN239" s="499"/>
      <c r="EO239" s="499"/>
      <c r="EP239" s="499"/>
      <c r="EQ239" s="499"/>
      <c r="ER239" s="499"/>
      <c r="ES239" s="388"/>
      <c r="ET239" s="388"/>
      <c r="EV239" s="1167">
        <f t="shared" si="65"/>
        <v>39.448499999999996</v>
      </c>
    </row>
    <row r="240" spans="1:152" s="350" customFormat="1" ht="15" x14ac:dyDescent="0.25">
      <c r="A240" s="632" t="s">
        <v>9</v>
      </c>
      <c r="B240" s="662">
        <v>42966</v>
      </c>
      <c r="C240" s="1132" t="s">
        <v>904</v>
      </c>
      <c r="D240" s="386">
        <v>0</v>
      </c>
      <c r="E240" s="636">
        <v>0</v>
      </c>
      <c r="F240" s="636">
        <v>56</v>
      </c>
      <c r="G240" s="636">
        <v>0.4</v>
      </c>
      <c r="H240" s="386">
        <v>1.84</v>
      </c>
      <c r="I240" s="386">
        <v>18.5</v>
      </c>
      <c r="J240" s="386">
        <v>0</v>
      </c>
      <c r="K240" s="386">
        <v>1.3</v>
      </c>
      <c r="L240" s="636">
        <v>0</v>
      </c>
      <c r="M240" s="386">
        <v>16.3</v>
      </c>
      <c r="N240" s="386">
        <v>1.159</v>
      </c>
      <c r="O240" s="386">
        <v>1.5958836922895525</v>
      </c>
      <c r="P240" s="386">
        <v>1.1539999999999999</v>
      </c>
      <c r="Q240" s="386">
        <v>0.69233664096294256</v>
      </c>
      <c r="R240" s="732">
        <v>1279.426308139535</v>
      </c>
      <c r="S240" s="386">
        <v>8.1199999999999992</v>
      </c>
      <c r="T240" s="386">
        <v>8.02</v>
      </c>
      <c r="U240" s="386">
        <v>0.93700000000000006</v>
      </c>
      <c r="V240" s="636">
        <v>0.94699999999999995</v>
      </c>
      <c r="W240" s="636">
        <v>60.8</v>
      </c>
      <c r="X240" s="613">
        <v>60.8</v>
      </c>
      <c r="Y240" s="367">
        <v>47.71</v>
      </c>
      <c r="Z240" s="636">
        <v>39.020000000000003</v>
      </c>
      <c r="AA240" s="636">
        <v>47.56</v>
      </c>
      <c r="AB240" s="636">
        <v>35.299999999999997</v>
      </c>
      <c r="AC240" s="1160">
        <f t="shared" si="66"/>
        <v>82.86</v>
      </c>
      <c r="AD240" s="1160">
        <f t="shared" si="67"/>
        <v>128.18441999999999</v>
      </c>
      <c r="AE240" s="1160">
        <f t="shared" si="68"/>
        <v>128.18441999999999</v>
      </c>
      <c r="AF240" s="723"/>
      <c r="AG240" s="1160">
        <f t="shared" si="64"/>
        <v>0</v>
      </c>
      <c r="AH240" s="656"/>
      <c r="AI240" s="656"/>
      <c r="AJ240" s="388"/>
      <c r="AK240" s="388"/>
      <c r="AL240" s="388"/>
      <c r="AM240" s="388"/>
      <c r="AN240" s="388"/>
      <c r="AO240" s="370"/>
      <c r="AP240" s="370"/>
      <c r="AQ240" s="386"/>
      <c r="AR240" s="551">
        <v>0</v>
      </c>
      <c r="AS240" s="386">
        <v>27</v>
      </c>
      <c r="AT240" s="386">
        <v>0</v>
      </c>
      <c r="AU240" s="386">
        <v>45.5</v>
      </c>
      <c r="AV240" s="636">
        <v>577.20000000000005</v>
      </c>
      <c r="AW240" s="636">
        <v>1683.7</v>
      </c>
      <c r="AX240" s="386">
        <v>0</v>
      </c>
      <c r="AY240" s="551">
        <v>0</v>
      </c>
      <c r="AZ240" s="551">
        <v>0</v>
      </c>
      <c r="BA240" s="551">
        <v>0</v>
      </c>
      <c r="BB240" s="832">
        <v>0</v>
      </c>
      <c r="BC240" s="386">
        <v>1.5</v>
      </c>
      <c r="BD240" s="386">
        <v>2.5</v>
      </c>
      <c r="BE240" s="551">
        <v>0</v>
      </c>
      <c r="BF240" s="386">
        <v>2.4900000000000002</v>
      </c>
      <c r="BG240" s="386">
        <v>3.61</v>
      </c>
      <c r="BH240" s="551">
        <v>0</v>
      </c>
      <c r="BI240" s="386">
        <v>2.95</v>
      </c>
      <c r="BJ240" s="386">
        <v>22.2</v>
      </c>
      <c r="BK240" s="386">
        <v>5.34</v>
      </c>
      <c r="BL240" s="386">
        <v>6.52</v>
      </c>
      <c r="BM240" s="386">
        <v>0</v>
      </c>
      <c r="BN240" s="386">
        <v>10.6</v>
      </c>
      <c r="BO240" s="386">
        <v>2413.8000000000002</v>
      </c>
      <c r="BP240" s="386">
        <v>1.7</v>
      </c>
      <c r="BQ240" s="615">
        <v>22</v>
      </c>
      <c r="BR240" s="615">
        <v>22.6</v>
      </c>
      <c r="BS240" s="615">
        <v>22.1</v>
      </c>
      <c r="BT240" s="615">
        <v>22.2</v>
      </c>
      <c r="BU240" s="614">
        <v>44.6</v>
      </c>
      <c r="BV240" s="614">
        <v>51.8</v>
      </c>
      <c r="BW240" s="615">
        <v>1329.9</v>
      </c>
      <c r="BX240" s="791"/>
      <c r="BY240" s="615">
        <v>0</v>
      </c>
      <c r="BZ240" s="615">
        <v>1.03</v>
      </c>
      <c r="CA240" s="615">
        <v>1</v>
      </c>
      <c r="CB240" s="615">
        <v>8.1</v>
      </c>
      <c r="CC240" s="615">
        <v>8.1</v>
      </c>
      <c r="CD240" s="615">
        <v>17.2</v>
      </c>
      <c r="CE240" s="615">
        <v>32.700000000000003</v>
      </c>
      <c r="CF240" s="615">
        <v>19</v>
      </c>
      <c r="CG240" s="615">
        <v>7.8</v>
      </c>
      <c r="CH240" s="615">
        <v>13.3</v>
      </c>
      <c r="CI240" s="615">
        <v>17.5</v>
      </c>
      <c r="CJ240" s="615">
        <v>13.3</v>
      </c>
      <c r="CK240" s="615">
        <v>0</v>
      </c>
      <c r="CL240" s="615">
        <v>4.0999999999999996</v>
      </c>
      <c r="CM240" s="615">
        <v>6.6</v>
      </c>
      <c r="CN240" s="615">
        <v>2888.7</v>
      </c>
      <c r="CO240" s="615">
        <v>1054.9000000000001</v>
      </c>
      <c r="CP240" s="615">
        <v>5.0999999999999996</v>
      </c>
      <c r="CQ240" s="615">
        <v>11.5</v>
      </c>
      <c r="CR240" s="615">
        <v>0.72</v>
      </c>
      <c r="CS240" s="614">
        <v>9489.1</v>
      </c>
      <c r="CT240" s="386">
        <v>15.596</v>
      </c>
      <c r="CU240" s="386">
        <v>58</v>
      </c>
      <c r="CV240" s="499">
        <v>0</v>
      </c>
      <c r="CW240" s="499">
        <v>0</v>
      </c>
      <c r="CX240" s="499">
        <v>0</v>
      </c>
      <c r="CY240" s="499">
        <v>0</v>
      </c>
      <c r="CZ240" s="643">
        <v>316</v>
      </c>
      <c r="DA240" s="643">
        <v>349</v>
      </c>
      <c r="DB240" s="643">
        <v>190</v>
      </c>
      <c r="DC240" s="609">
        <v>1156.46</v>
      </c>
      <c r="DD240" s="1153">
        <f t="shared" si="69"/>
        <v>-0.38999999999987267</v>
      </c>
      <c r="DE240" s="1154">
        <f t="shared" si="70"/>
        <v>41.922084671999997</v>
      </c>
      <c r="DF240" s="1154">
        <f t="shared" si="71"/>
        <v>80</v>
      </c>
      <c r="DG240" s="1154">
        <f t="shared" si="72"/>
        <v>99</v>
      </c>
      <c r="DH240" s="1155" t="str">
        <f t="shared" si="73"/>
        <v>Palm</v>
      </c>
      <c r="DI240" s="1146">
        <f t="shared" si="74"/>
        <v>159</v>
      </c>
      <c r="DJ240" s="1146">
        <f t="shared" si="75"/>
        <v>13.664304</v>
      </c>
      <c r="DK240" s="1154">
        <f t="shared" si="76"/>
        <v>41.922084671999997</v>
      </c>
      <c r="DL240" s="615"/>
      <c r="DM240" s="615"/>
      <c r="DN240" s="615"/>
      <c r="DO240" s="499"/>
      <c r="DP240" s="499"/>
      <c r="DQ240" s="499"/>
      <c r="DR240" s="499"/>
      <c r="DS240" s="499"/>
      <c r="DT240" s="499"/>
      <c r="DU240" s="499"/>
      <c r="DV240" s="499"/>
      <c r="DW240" s="499"/>
      <c r="DX240" s="499"/>
      <c r="DY240" s="499"/>
      <c r="DZ240" s="499"/>
      <c r="EA240" s="499"/>
      <c r="EB240" s="499"/>
      <c r="EC240" s="499"/>
      <c r="ED240" s="499"/>
      <c r="EE240" s="499"/>
      <c r="EF240" s="499"/>
      <c r="EG240" s="1146">
        <f t="shared" si="63"/>
        <v>25.5</v>
      </c>
      <c r="EH240" s="630">
        <v>0</v>
      </c>
      <c r="EI240" s="615">
        <v>7</v>
      </c>
      <c r="EJ240" s="613">
        <v>6.5</v>
      </c>
      <c r="EK240" s="613">
        <v>12</v>
      </c>
      <c r="EL240" s="499"/>
      <c r="EM240" s="499"/>
      <c r="EN240" s="499"/>
      <c r="EO240" s="499"/>
      <c r="EP240" s="499"/>
      <c r="EQ240" s="499"/>
      <c r="ER240" s="499"/>
      <c r="ES240" s="388"/>
      <c r="ET240" s="388"/>
      <c r="EV240" s="1167">
        <f t="shared" si="65"/>
        <v>39.448499999999996</v>
      </c>
    </row>
    <row r="241" spans="1:154" s="350" customFormat="1" ht="15" x14ac:dyDescent="0.25">
      <c r="A241" s="632" t="s">
        <v>3</v>
      </c>
      <c r="B241" s="662">
        <v>42967</v>
      </c>
      <c r="C241" s="1132" t="s">
        <v>904</v>
      </c>
      <c r="D241" s="386">
        <v>0</v>
      </c>
      <c r="E241" s="636">
        <v>0</v>
      </c>
      <c r="F241" s="636">
        <v>59</v>
      </c>
      <c r="G241" s="636">
        <v>0.4</v>
      </c>
      <c r="H241" s="386">
        <v>1.79</v>
      </c>
      <c r="I241" s="386">
        <v>18.3</v>
      </c>
      <c r="J241" s="386">
        <v>0</v>
      </c>
      <c r="K241" s="386">
        <v>1.28</v>
      </c>
      <c r="L241" s="610">
        <v>0</v>
      </c>
      <c r="M241" s="386">
        <v>16.2</v>
      </c>
      <c r="N241" s="386">
        <v>1.159</v>
      </c>
      <c r="O241" s="386">
        <v>1.6440779387945192</v>
      </c>
      <c r="P241" s="386">
        <v>1.1839999999999999</v>
      </c>
      <c r="Q241" s="386">
        <v>0.69033333597018809</v>
      </c>
      <c r="R241" s="732">
        <v>1294.7607558139537</v>
      </c>
      <c r="S241" s="386">
        <v>8.1199999999999992</v>
      </c>
      <c r="T241" s="386">
        <v>7.95</v>
      </c>
      <c r="U241" s="386">
        <v>0.96199999999999997</v>
      </c>
      <c r="V241" s="636">
        <v>0.96699999999999997</v>
      </c>
      <c r="W241" s="636">
        <v>59.539999999999992</v>
      </c>
      <c r="X241" s="613">
        <v>59.72</v>
      </c>
      <c r="Y241" s="367">
        <v>47.56</v>
      </c>
      <c r="Z241" s="636">
        <v>35.18</v>
      </c>
      <c r="AA241" s="636">
        <v>47.3</v>
      </c>
      <c r="AB241" s="636">
        <v>34.01</v>
      </c>
      <c r="AC241" s="1160">
        <f t="shared" si="66"/>
        <v>81.31</v>
      </c>
      <c r="AD241" s="1160">
        <f t="shared" si="67"/>
        <v>125.78657</v>
      </c>
      <c r="AE241" s="1160">
        <f t="shared" si="68"/>
        <v>125.78657</v>
      </c>
      <c r="AF241" s="723"/>
      <c r="AG241" s="1160">
        <f t="shared" si="64"/>
        <v>0</v>
      </c>
      <c r="AH241" s="656"/>
      <c r="AI241" s="656"/>
      <c r="AJ241" s="388"/>
      <c r="AK241" s="388"/>
      <c r="AL241" s="388"/>
      <c r="AM241" s="388"/>
      <c r="AN241" s="388"/>
      <c r="AO241" s="370"/>
      <c r="AP241" s="370"/>
      <c r="AQ241" s="386"/>
      <c r="AR241" s="551">
        <v>0</v>
      </c>
      <c r="AS241" s="386">
        <v>26.5</v>
      </c>
      <c r="AT241" s="386">
        <v>0</v>
      </c>
      <c r="AU241" s="386">
        <v>45.1</v>
      </c>
      <c r="AV241" s="636">
        <v>746.2</v>
      </c>
      <c r="AW241" s="636">
        <v>1303.0999999999999</v>
      </c>
      <c r="AX241" s="386">
        <v>0.1</v>
      </c>
      <c r="AY241" s="551">
        <v>0</v>
      </c>
      <c r="AZ241" s="551">
        <v>0</v>
      </c>
      <c r="BA241" s="551">
        <v>0</v>
      </c>
      <c r="BB241" s="832">
        <v>0</v>
      </c>
      <c r="BC241" s="386">
        <v>1.5</v>
      </c>
      <c r="BD241" s="386">
        <v>2.5</v>
      </c>
      <c r="BE241" s="551">
        <v>0</v>
      </c>
      <c r="BF241" s="386">
        <v>2.4900000000000002</v>
      </c>
      <c r="BG241" s="386">
        <v>3.45</v>
      </c>
      <c r="BH241" s="551">
        <v>0</v>
      </c>
      <c r="BI241" s="386">
        <v>2.95</v>
      </c>
      <c r="BJ241" s="386">
        <v>21.1</v>
      </c>
      <c r="BK241" s="386">
        <v>5.65</v>
      </c>
      <c r="BL241" s="386">
        <v>6.19</v>
      </c>
      <c r="BM241" s="386">
        <v>0</v>
      </c>
      <c r="BN241" s="386">
        <v>9.5</v>
      </c>
      <c r="BO241" s="386">
        <v>2469.4</v>
      </c>
      <c r="BP241" s="386">
        <v>1.8</v>
      </c>
      <c r="BQ241" s="615">
        <v>21.7</v>
      </c>
      <c r="BR241" s="615">
        <v>22.3</v>
      </c>
      <c r="BS241" s="615">
        <v>22.2</v>
      </c>
      <c r="BT241" s="615">
        <v>22.2</v>
      </c>
      <c r="BU241" s="614">
        <v>44.6</v>
      </c>
      <c r="BV241" s="614">
        <v>53.5</v>
      </c>
      <c r="BW241" s="615">
        <v>1349</v>
      </c>
      <c r="BX241" s="791"/>
      <c r="BY241" s="615">
        <v>0</v>
      </c>
      <c r="BZ241" s="615">
        <v>1.08</v>
      </c>
      <c r="CA241" s="615">
        <v>1</v>
      </c>
      <c r="CB241" s="615">
        <v>8</v>
      </c>
      <c r="CC241" s="615">
        <v>8</v>
      </c>
      <c r="CD241" s="615">
        <v>17</v>
      </c>
      <c r="CE241" s="615">
        <v>32.799999999999997</v>
      </c>
      <c r="CF241" s="615">
        <v>19.399999999999999</v>
      </c>
      <c r="CG241" s="615">
        <v>7.7</v>
      </c>
      <c r="CH241" s="615">
        <v>13.3</v>
      </c>
      <c r="CI241" s="615">
        <v>17.5</v>
      </c>
      <c r="CJ241" s="615">
        <v>13.2</v>
      </c>
      <c r="CK241" s="615">
        <v>0</v>
      </c>
      <c r="CL241" s="615">
        <v>3.8</v>
      </c>
      <c r="CM241" s="615">
        <v>6.5</v>
      </c>
      <c r="CN241" s="615">
        <v>2987.5</v>
      </c>
      <c r="CO241" s="615">
        <v>1028.5999999999999</v>
      </c>
      <c r="CP241" s="615">
        <v>0.2</v>
      </c>
      <c r="CQ241" s="615">
        <v>11.8</v>
      </c>
      <c r="CR241" s="615">
        <v>0.72</v>
      </c>
      <c r="CS241" s="614">
        <v>9485.1</v>
      </c>
      <c r="CT241" s="386">
        <v>16.375</v>
      </c>
      <c r="CU241" s="386">
        <v>58</v>
      </c>
      <c r="CV241" s="499">
        <v>0</v>
      </c>
      <c r="CW241" s="499">
        <v>0</v>
      </c>
      <c r="CX241" s="499">
        <v>0</v>
      </c>
      <c r="CY241" s="499">
        <v>0</v>
      </c>
      <c r="CZ241" s="643">
        <v>316</v>
      </c>
      <c r="DA241" s="643">
        <v>349</v>
      </c>
      <c r="DB241" s="643">
        <v>194</v>
      </c>
      <c r="DC241" s="609">
        <v>1156.06</v>
      </c>
      <c r="DD241" s="1153">
        <f t="shared" si="69"/>
        <v>-0.40000000000009095</v>
      </c>
      <c r="DE241" s="1154">
        <f t="shared" si="70"/>
        <v>41.904412991999997</v>
      </c>
      <c r="DF241" s="1154">
        <f t="shared" si="71"/>
        <v>84</v>
      </c>
      <c r="DG241" s="1154">
        <f t="shared" si="72"/>
        <v>99</v>
      </c>
      <c r="DH241" s="1155" t="str">
        <f t="shared" si="73"/>
        <v>Palm</v>
      </c>
      <c r="DI241" s="1146">
        <f t="shared" si="74"/>
        <v>155</v>
      </c>
      <c r="DJ241" s="1146">
        <f t="shared" si="75"/>
        <v>13.658543999999999</v>
      </c>
      <c r="DK241" s="1154">
        <f t="shared" si="76"/>
        <v>41.904412991999997</v>
      </c>
      <c r="DL241" s="615"/>
      <c r="DM241" s="615"/>
      <c r="DN241" s="615"/>
      <c r="DO241" s="499"/>
      <c r="DP241" s="499"/>
      <c r="DQ241" s="499"/>
      <c r="DR241" s="499"/>
      <c r="DS241" s="499"/>
      <c r="DT241" s="499"/>
      <c r="DU241" s="499"/>
      <c r="DV241" s="499"/>
      <c r="DW241" s="499"/>
      <c r="DX241" s="499"/>
      <c r="DY241" s="499"/>
      <c r="DZ241" s="499"/>
      <c r="EA241" s="499"/>
      <c r="EB241" s="499"/>
      <c r="EC241" s="499"/>
      <c r="ED241" s="499"/>
      <c r="EE241" s="499"/>
      <c r="EF241" s="615"/>
      <c r="EG241" s="1146">
        <f t="shared" si="63"/>
        <v>25.5</v>
      </c>
      <c r="EH241" s="630">
        <v>0</v>
      </c>
      <c r="EI241" s="615">
        <v>7</v>
      </c>
      <c r="EJ241" s="613">
        <v>6.5</v>
      </c>
      <c r="EK241" s="613">
        <v>12</v>
      </c>
      <c r="EL241" s="499"/>
      <c r="EM241" s="499"/>
      <c r="EN241" s="499"/>
      <c r="EO241" s="499"/>
      <c r="EP241" s="499"/>
      <c r="EQ241" s="499"/>
      <c r="ER241" s="499"/>
      <c r="ES241" s="388"/>
      <c r="ET241" s="388"/>
      <c r="EV241" s="1167">
        <f t="shared" si="65"/>
        <v>39.448499999999996</v>
      </c>
    </row>
    <row r="242" spans="1:154" s="350" customFormat="1" ht="15" x14ac:dyDescent="0.25">
      <c r="A242" s="632" t="s">
        <v>4</v>
      </c>
      <c r="B242" s="662">
        <v>42968</v>
      </c>
      <c r="C242" s="1132" t="s">
        <v>904</v>
      </c>
      <c r="D242" s="386">
        <v>0</v>
      </c>
      <c r="E242" s="636">
        <v>0</v>
      </c>
      <c r="F242" s="636">
        <v>60.8</v>
      </c>
      <c r="G242" s="636">
        <v>0.4</v>
      </c>
      <c r="H242" s="386">
        <v>2.11</v>
      </c>
      <c r="I242" s="386">
        <v>16.899999999999999</v>
      </c>
      <c r="J242" s="386">
        <v>0</v>
      </c>
      <c r="K242" s="386">
        <v>1.34</v>
      </c>
      <c r="L242" s="610">
        <v>0</v>
      </c>
      <c r="M242" s="386">
        <v>16.2</v>
      </c>
      <c r="N242" s="386">
        <v>1.1499999999999999</v>
      </c>
      <c r="O242" s="386">
        <v>1.6737207138327881</v>
      </c>
      <c r="P242" s="386">
        <v>1.19</v>
      </c>
      <c r="Q242" s="386">
        <v>0.69867816521714143</v>
      </c>
      <c r="R242" s="732">
        <v>1310.4285610465117</v>
      </c>
      <c r="S242" s="386">
        <v>8.14</v>
      </c>
      <c r="T242" s="386">
        <v>8</v>
      </c>
      <c r="U242" s="386">
        <v>0.83</v>
      </c>
      <c r="V242" s="636">
        <v>0.85</v>
      </c>
      <c r="W242" s="636">
        <v>60.620000000000005</v>
      </c>
      <c r="X242" s="613">
        <v>60.620000000000005</v>
      </c>
      <c r="Y242" s="367">
        <v>47.3</v>
      </c>
      <c r="Z242" s="636">
        <v>33.93</v>
      </c>
      <c r="AA242" s="636">
        <v>49.97</v>
      </c>
      <c r="AB242" s="636">
        <v>32.950000000000003</v>
      </c>
      <c r="AC242" s="1160">
        <f t="shared" si="66"/>
        <v>82.92</v>
      </c>
      <c r="AD242" s="1160">
        <f t="shared" si="67"/>
        <v>128.27724000000001</v>
      </c>
      <c r="AE242" s="1160">
        <f t="shared" si="68"/>
        <v>128.27724000000001</v>
      </c>
      <c r="AF242" s="723"/>
      <c r="AG242" s="1160">
        <f t="shared" si="64"/>
        <v>0</v>
      </c>
      <c r="AH242" s="656"/>
      <c r="AI242" s="656"/>
      <c r="AJ242" s="388"/>
      <c r="AK242" s="388"/>
      <c r="AL242" s="388"/>
      <c r="AM242" s="388"/>
      <c r="AN242" s="388"/>
      <c r="AO242" s="370"/>
      <c r="AP242" s="370"/>
      <c r="AQ242" s="386"/>
      <c r="AR242" s="551">
        <v>0</v>
      </c>
      <c r="AS242" s="386">
        <v>33.200000000000003</v>
      </c>
      <c r="AT242" s="386">
        <v>0</v>
      </c>
      <c r="AU242" s="386">
        <v>47.5</v>
      </c>
      <c r="AV242" s="636">
        <v>780.4</v>
      </c>
      <c r="AW242" s="636">
        <v>1884</v>
      </c>
      <c r="AX242" s="386">
        <v>1.1000000000000001</v>
      </c>
      <c r="AY242" s="551">
        <v>0</v>
      </c>
      <c r="AZ242" s="551">
        <v>0</v>
      </c>
      <c r="BA242" s="551">
        <v>0</v>
      </c>
      <c r="BB242" s="832">
        <v>0</v>
      </c>
      <c r="BC242" s="386">
        <v>1.5</v>
      </c>
      <c r="BD242" s="386">
        <v>2.5</v>
      </c>
      <c r="BE242" s="551">
        <v>0</v>
      </c>
      <c r="BF242" s="386">
        <v>2.4900000000000002</v>
      </c>
      <c r="BG242" s="386">
        <v>3.84</v>
      </c>
      <c r="BH242" s="551">
        <v>0</v>
      </c>
      <c r="BI242" s="386">
        <v>2.95</v>
      </c>
      <c r="BJ242" s="386">
        <v>19.600000000000001</v>
      </c>
      <c r="BK242" s="386">
        <v>5.26</v>
      </c>
      <c r="BL242" s="386">
        <v>6.6</v>
      </c>
      <c r="BM242" s="386">
        <v>0</v>
      </c>
      <c r="BN242" s="386">
        <v>8</v>
      </c>
      <c r="BO242" s="386">
        <v>2635.2</v>
      </c>
      <c r="BP242" s="386">
        <v>1.6</v>
      </c>
      <c r="BQ242" s="615">
        <v>20.100000000000001</v>
      </c>
      <c r="BR242" s="615">
        <v>20.7</v>
      </c>
      <c r="BS242" s="615">
        <v>22.9</v>
      </c>
      <c r="BT242" s="615">
        <v>23</v>
      </c>
      <c r="BU242" s="614">
        <v>46.1</v>
      </c>
      <c r="BV242" s="614">
        <v>59.4</v>
      </c>
      <c r="BW242" s="615">
        <v>1304.7</v>
      </c>
      <c r="BX242" s="791"/>
      <c r="BY242" s="615">
        <v>0</v>
      </c>
      <c r="BZ242" s="615">
        <v>1.08</v>
      </c>
      <c r="CA242" s="615">
        <v>1</v>
      </c>
      <c r="CB242" s="615">
        <v>8.1</v>
      </c>
      <c r="CC242" s="615">
        <v>8.1</v>
      </c>
      <c r="CD242" s="615">
        <v>17.600000000000001</v>
      </c>
      <c r="CE242" s="615">
        <v>32.6</v>
      </c>
      <c r="CF242" s="615">
        <v>20.2</v>
      </c>
      <c r="CG242" s="615">
        <v>8.1999999999999993</v>
      </c>
      <c r="CH242" s="615">
        <v>13.8</v>
      </c>
      <c r="CI242" s="615">
        <v>18.2</v>
      </c>
      <c r="CJ242" s="615">
        <v>11.9</v>
      </c>
      <c r="CK242" s="615">
        <v>0</v>
      </c>
      <c r="CL242" s="615">
        <v>5.6</v>
      </c>
      <c r="CM242" s="615">
        <v>9.1</v>
      </c>
      <c r="CN242" s="615">
        <v>2910.9</v>
      </c>
      <c r="CO242" s="615">
        <v>1059.0999999999999</v>
      </c>
      <c r="CP242" s="615">
        <v>0</v>
      </c>
      <c r="CQ242" s="615">
        <v>12.5</v>
      </c>
      <c r="CR242" s="615">
        <v>0.8</v>
      </c>
      <c r="CS242" s="614">
        <v>9466.5</v>
      </c>
      <c r="CT242" s="386">
        <v>18.766999999999999</v>
      </c>
      <c r="CU242" s="386">
        <v>59</v>
      </c>
      <c r="CV242" s="499">
        <v>0</v>
      </c>
      <c r="CW242" s="499">
        <v>0</v>
      </c>
      <c r="CX242" s="499">
        <v>0</v>
      </c>
      <c r="CY242" s="499">
        <v>0</v>
      </c>
      <c r="CZ242" s="643">
        <v>314</v>
      </c>
      <c r="DA242" s="643">
        <v>349</v>
      </c>
      <c r="DB242" s="643">
        <v>187</v>
      </c>
      <c r="DC242" s="609">
        <v>1155.67</v>
      </c>
      <c r="DD242" s="1153">
        <f t="shared" si="69"/>
        <v>-0.38999999999987267</v>
      </c>
      <c r="DE242" s="1154">
        <f t="shared" si="70"/>
        <v>41.822239680000003</v>
      </c>
      <c r="DF242" s="1154">
        <f t="shared" si="71"/>
        <v>77</v>
      </c>
      <c r="DG242" s="1154">
        <f t="shared" si="72"/>
        <v>99</v>
      </c>
      <c r="DH242" s="1155" t="str">
        <f t="shared" si="73"/>
        <v>Palm</v>
      </c>
      <c r="DI242" s="1146">
        <f t="shared" si="74"/>
        <v>162</v>
      </c>
      <c r="DJ242" s="1146">
        <f t="shared" si="75"/>
        <v>13.63176</v>
      </c>
      <c r="DK242" s="1154">
        <f t="shared" si="76"/>
        <v>41.822239680000003</v>
      </c>
      <c r="DL242" s="615"/>
      <c r="DM242" s="615"/>
      <c r="DN242" s="615"/>
      <c r="DO242" s="499"/>
      <c r="DP242" s="499"/>
      <c r="DQ242" s="499"/>
      <c r="DR242" s="499"/>
      <c r="DS242" s="499"/>
      <c r="DT242" s="499"/>
      <c r="DU242" s="499"/>
      <c r="DV242" s="499"/>
      <c r="DW242" s="499"/>
      <c r="DX242" s="499"/>
      <c r="DY242" s="499"/>
      <c r="DZ242" s="499"/>
      <c r="EA242" s="499"/>
      <c r="EB242" s="499"/>
      <c r="EC242" s="499"/>
      <c r="ED242" s="499"/>
      <c r="EE242" s="499"/>
      <c r="EF242" s="615"/>
      <c r="EG242" s="1146">
        <f t="shared" si="63"/>
        <v>25.5</v>
      </c>
      <c r="EH242" s="630">
        <v>0</v>
      </c>
      <c r="EI242" s="615">
        <v>7</v>
      </c>
      <c r="EJ242" s="613">
        <v>6.5</v>
      </c>
      <c r="EK242" s="613">
        <v>12</v>
      </c>
      <c r="EL242" s="499"/>
      <c r="EM242" s="499"/>
      <c r="EN242" s="499"/>
      <c r="EO242" s="499"/>
      <c r="EP242" s="499"/>
      <c r="EQ242" s="499"/>
      <c r="ER242" s="499"/>
      <c r="ES242" s="388"/>
      <c r="ET242" s="388"/>
      <c r="EV242" s="1167">
        <f t="shared" si="65"/>
        <v>39.448499999999996</v>
      </c>
    </row>
    <row r="243" spans="1:154" s="350" customFormat="1" ht="15" x14ac:dyDescent="0.25">
      <c r="A243" s="632" t="s">
        <v>5</v>
      </c>
      <c r="B243" s="662">
        <v>42969</v>
      </c>
      <c r="C243" s="1132" t="s">
        <v>904</v>
      </c>
      <c r="D243" s="386">
        <v>0</v>
      </c>
      <c r="E243" s="636">
        <v>0</v>
      </c>
      <c r="F243" s="636">
        <v>61.3</v>
      </c>
      <c r="G243" s="636">
        <v>0.4</v>
      </c>
      <c r="H243" s="386">
        <v>1.81</v>
      </c>
      <c r="I243" s="386">
        <v>17.7</v>
      </c>
      <c r="J243" s="386">
        <v>0</v>
      </c>
      <c r="K243" s="386">
        <v>1.08</v>
      </c>
      <c r="L243" s="610">
        <v>0</v>
      </c>
      <c r="M243" s="386">
        <v>16.2</v>
      </c>
      <c r="N243" s="386">
        <v>1.1399999999999999</v>
      </c>
      <c r="O243" s="386">
        <v>1.6650053032683303</v>
      </c>
      <c r="P243" s="386">
        <v>1.17</v>
      </c>
      <c r="Q243" s="386">
        <v>0.6926464112725671</v>
      </c>
      <c r="R243" s="732">
        <v>1432.4374273255814</v>
      </c>
      <c r="S243" s="386">
        <v>8.26</v>
      </c>
      <c r="T243" s="386">
        <v>8.11</v>
      </c>
      <c r="U243" s="386">
        <v>0.67</v>
      </c>
      <c r="V243" s="636">
        <v>0.69</v>
      </c>
      <c r="W243" s="636">
        <v>60.8</v>
      </c>
      <c r="X243" s="613">
        <v>61.160000000000011</v>
      </c>
      <c r="Y243" s="367">
        <v>49.97</v>
      </c>
      <c r="Z243" s="636">
        <v>32.82</v>
      </c>
      <c r="AA243" s="636">
        <v>55.03</v>
      </c>
      <c r="AB243" s="636">
        <v>35.369999999999997</v>
      </c>
      <c r="AC243" s="1160">
        <f t="shared" si="66"/>
        <v>90.4</v>
      </c>
      <c r="AD243" s="1160">
        <f t="shared" si="67"/>
        <v>139.84880000000001</v>
      </c>
      <c r="AE243" s="1160">
        <f t="shared" si="68"/>
        <v>139.84880000000001</v>
      </c>
      <c r="AF243" s="723"/>
      <c r="AG243" s="1160">
        <f t="shared" si="64"/>
        <v>0</v>
      </c>
      <c r="AH243" s="656"/>
      <c r="AI243" s="656"/>
      <c r="AJ243" s="388"/>
      <c r="AK243" s="388"/>
      <c r="AL243" s="388"/>
      <c r="AM243" s="388"/>
      <c r="AN243" s="388"/>
      <c r="AO243" s="370"/>
      <c r="AP243" s="370"/>
      <c r="AQ243" s="386"/>
      <c r="AR243" s="551">
        <v>0</v>
      </c>
      <c r="AS243" s="386">
        <v>30.1</v>
      </c>
      <c r="AT243" s="386">
        <v>0</v>
      </c>
      <c r="AU243" s="386">
        <v>52.8</v>
      </c>
      <c r="AV243" s="636">
        <v>677.1</v>
      </c>
      <c r="AW243" s="636">
        <v>1953.8</v>
      </c>
      <c r="AX243" s="386">
        <v>0.1</v>
      </c>
      <c r="AY243" s="551">
        <v>0</v>
      </c>
      <c r="AZ243" s="551">
        <v>0</v>
      </c>
      <c r="BA243" s="551">
        <v>0</v>
      </c>
      <c r="BB243" s="832">
        <v>0</v>
      </c>
      <c r="BC243" s="386">
        <v>1.5</v>
      </c>
      <c r="BD243" s="386">
        <v>2.5</v>
      </c>
      <c r="BE243" s="551">
        <v>0</v>
      </c>
      <c r="BF243" s="386">
        <v>2.4900000000000002</v>
      </c>
      <c r="BG243" s="386">
        <v>4.0599999999999996</v>
      </c>
      <c r="BH243" s="551">
        <v>0</v>
      </c>
      <c r="BI243" s="386">
        <v>2.95</v>
      </c>
      <c r="BJ243" s="386">
        <v>22</v>
      </c>
      <c r="BK243" s="386">
        <v>5.22</v>
      </c>
      <c r="BL243" s="386">
        <v>6.65</v>
      </c>
      <c r="BM243" s="386">
        <v>0</v>
      </c>
      <c r="BN243" s="386">
        <v>10.3</v>
      </c>
      <c r="BO243" s="386">
        <v>2447.3000000000002</v>
      </c>
      <c r="BP243" s="386">
        <v>21.3</v>
      </c>
      <c r="BQ243" s="615">
        <v>20.7</v>
      </c>
      <c r="BR243" s="615">
        <v>21.4</v>
      </c>
      <c r="BS243" s="615">
        <v>25.5</v>
      </c>
      <c r="BT243" s="615">
        <v>25.5</v>
      </c>
      <c r="BU243" s="614">
        <v>51.1</v>
      </c>
      <c r="BV243" s="614">
        <v>58.7</v>
      </c>
      <c r="BW243" s="615">
        <v>1256.7</v>
      </c>
      <c r="BX243" s="791"/>
      <c r="BY243" s="615">
        <v>0</v>
      </c>
      <c r="BZ243" s="615">
        <v>1.06</v>
      </c>
      <c r="CA243" s="615">
        <v>1</v>
      </c>
      <c r="CB243" s="615">
        <v>8.1999999999999993</v>
      </c>
      <c r="CC243" s="615">
        <v>8.1</v>
      </c>
      <c r="CD243" s="615">
        <v>15.9</v>
      </c>
      <c r="CE243" s="615">
        <v>32.700000000000003</v>
      </c>
      <c r="CF243" s="615">
        <v>21.1</v>
      </c>
      <c r="CG243" s="615">
        <v>7.8</v>
      </c>
      <c r="CH243" s="615">
        <v>13.4</v>
      </c>
      <c r="CI243" s="615">
        <v>17.8</v>
      </c>
      <c r="CJ243" s="615">
        <v>12.7</v>
      </c>
      <c r="CK243" s="615">
        <v>144.9</v>
      </c>
      <c r="CL243" s="615">
        <v>3.5</v>
      </c>
      <c r="CM243" s="615">
        <v>7.8</v>
      </c>
      <c r="CN243" s="615">
        <v>2999.8</v>
      </c>
      <c r="CO243" s="615">
        <v>1032.5999999999999</v>
      </c>
      <c r="CP243" s="615">
        <v>0</v>
      </c>
      <c r="CQ243" s="615">
        <v>10.3</v>
      </c>
      <c r="CR243" s="615">
        <v>0.67</v>
      </c>
      <c r="CS243" s="614">
        <v>5175.3</v>
      </c>
      <c r="CT243" s="386">
        <v>15.099</v>
      </c>
      <c r="CU243" s="386">
        <v>59</v>
      </c>
      <c r="CV243" s="499">
        <v>0</v>
      </c>
      <c r="CW243" s="499">
        <v>0</v>
      </c>
      <c r="CX243" s="499">
        <v>0</v>
      </c>
      <c r="CY243" s="499">
        <v>0</v>
      </c>
      <c r="CZ243" s="643">
        <v>313</v>
      </c>
      <c r="DA243" s="643">
        <v>335</v>
      </c>
      <c r="DB243" s="643">
        <v>175</v>
      </c>
      <c r="DC243" s="609">
        <v>1155.27</v>
      </c>
      <c r="DD243" s="1153">
        <f t="shared" si="69"/>
        <v>-0.40000000000009095</v>
      </c>
      <c r="DE243" s="1154">
        <f t="shared" si="70"/>
        <v>22.864061375999999</v>
      </c>
      <c r="DF243" s="1154">
        <f t="shared" si="71"/>
        <v>65</v>
      </c>
      <c r="DG243" s="1154">
        <f t="shared" si="72"/>
        <v>85</v>
      </c>
      <c r="DH243" s="1155" t="str">
        <f t="shared" si="73"/>
        <v>Palm</v>
      </c>
      <c r="DI243" s="1146">
        <f t="shared" si="74"/>
        <v>160</v>
      </c>
      <c r="DJ243" s="1146">
        <f t="shared" si="75"/>
        <v>7.4524319999999991</v>
      </c>
      <c r="DK243" s="1154">
        <f t="shared" si="76"/>
        <v>22.864061375999999</v>
      </c>
      <c r="DL243" s="615"/>
      <c r="DM243" s="615"/>
      <c r="DN243" s="615"/>
      <c r="DO243" s="499"/>
      <c r="DP243" s="499"/>
      <c r="DQ243" s="499"/>
      <c r="DR243" s="499"/>
      <c r="DS243" s="499"/>
      <c r="DT243" s="499"/>
      <c r="DU243" s="499"/>
      <c r="DV243" s="499"/>
      <c r="DW243" s="499"/>
      <c r="DX243" s="499"/>
      <c r="DY243" s="499"/>
      <c r="DZ243" s="499"/>
      <c r="EA243" s="499">
        <v>-500</v>
      </c>
      <c r="EB243" s="499"/>
      <c r="EC243" s="499"/>
      <c r="ED243" s="499">
        <v>500</v>
      </c>
      <c r="EE243" s="499"/>
      <c r="EF243" s="615"/>
      <c r="EG243" s="1146">
        <f t="shared" si="63"/>
        <v>25.5</v>
      </c>
      <c r="EH243" s="630">
        <v>0</v>
      </c>
      <c r="EI243" s="615">
        <v>7</v>
      </c>
      <c r="EJ243" s="613">
        <v>6.5</v>
      </c>
      <c r="EK243" s="613">
        <v>12</v>
      </c>
      <c r="EL243" s="499"/>
      <c r="EM243" s="499"/>
      <c r="EN243" s="499"/>
      <c r="EO243" s="499"/>
      <c r="EP243" s="499"/>
      <c r="EQ243" s="499"/>
      <c r="ER243" s="499"/>
      <c r="ES243" s="388"/>
      <c r="ET243" s="388"/>
      <c r="EV243" s="1167">
        <f t="shared" si="65"/>
        <v>39.448499999999996</v>
      </c>
    </row>
    <row r="244" spans="1:154" s="350" customFormat="1" ht="15" x14ac:dyDescent="0.25">
      <c r="A244" s="632" t="s">
        <v>6</v>
      </c>
      <c r="B244" s="662">
        <v>42970</v>
      </c>
      <c r="C244" s="1132" t="s">
        <v>904</v>
      </c>
      <c r="D244" s="386">
        <v>0</v>
      </c>
      <c r="E244" s="636">
        <v>0</v>
      </c>
      <c r="F244" s="636">
        <v>63</v>
      </c>
      <c r="G244" s="636">
        <v>0.4</v>
      </c>
      <c r="H244" s="386">
        <v>1.79</v>
      </c>
      <c r="I244" s="386">
        <v>18.2</v>
      </c>
      <c r="J244" s="386">
        <v>0</v>
      </c>
      <c r="K244" s="386">
        <v>1.08</v>
      </c>
      <c r="L244" s="610">
        <v>0</v>
      </c>
      <c r="M244" s="386">
        <v>16.100000000000001</v>
      </c>
      <c r="N244" s="386">
        <v>1.133</v>
      </c>
      <c r="O244" s="386">
        <v>1.6682948913455222</v>
      </c>
      <c r="P244" s="386">
        <v>1.1830000000000001</v>
      </c>
      <c r="Q244" s="386">
        <v>0.68741350569277893</v>
      </c>
      <c r="R244" s="732">
        <v>1465.7731831395349</v>
      </c>
      <c r="S244" s="386">
        <v>8.1300000000000008</v>
      </c>
      <c r="T244" s="386">
        <v>8.0299999999999994</v>
      </c>
      <c r="U244" s="386">
        <v>0.66800000000000004</v>
      </c>
      <c r="V244" s="636">
        <v>0.66100000000000003</v>
      </c>
      <c r="W244" s="636">
        <v>61.160000000000011</v>
      </c>
      <c r="X244" s="613">
        <v>61.160000000000011</v>
      </c>
      <c r="Y244" s="367">
        <v>55.03</v>
      </c>
      <c r="Z244" s="636">
        <v>32.82</v>
      </c>
      <c r="AA244" s="636">
        <v>58.55</v>
      </c>
      <c r="AB244" s="636">
        <v>34.32</v>
      </c>
      <c r="AC244" s="1160">
        <f t="shared" si="66"/>
        <v>92.87</v>
      </c>
      <c r="AD244" s="1160">
        <f t="shared" si="67"/>
        <v>143.66989000000001</v>
      </c>
      <c r="AE244" s="1160">
        <f t="shared" si="68"/>
        <v>143.66989000000001</v>
      </c>
      <c r="AF244" s="723"/>
      <c r="AG244" s="1160">
        <f t="shared" si="64"/>
        <v>0</v>
      </c>
      <c r="AH244" s="656"/>
      <c r="AI244" s="656"/>
      <c r="AJ244" s="388"/>
      <c r="AK244" s="388"/>
      <c r="AL244" s="388"/>
      <c r="AM244" s="388"/>
      <c r="AN244" s="388"/>
      <c r="AO244" s="370"/>
      <c r="AP244" s="370"/>
      <c r="AQ244" s="386"/>
      <c r="AR244" s="551">
        <v>0</v>
      </c>
      <c r="AS244" s="386">
        <v>27.2</v>
      </c>
      <c r="AT244" s="386">
        <v>0</v>
      </c>
      <c r="AU244" s="386">
        <v>56.2</v>
      </c>
      <c r="AV244" s="636">
        <v>574.9</v>
      </c>
      <c r="AW244" s="636">
        <v>2057</v>
      </c>
      <c r="AX244" s="386">
        <v>0</v>
      </c>
      <c r="AY244" s="551">
        <v>0</v>
      </c>
      <c r="AZ244" s="551">
        <v>0</v>
      </c>
      <c r="BA244" s="551">
        <v>0</v>
      </c>
      <c r="BB244" s="832">
        <v>0</v>
      </c>
      <c r="BC244" s="386">
        <v>1.5</v>
      </c>
      <c r="BD244" s="386">
        <v>2.5</v>
      </c>
      <c r="BE244" s="551">
        <v>0</v>
      </c>
      <c r="BF244" s="386">
        <v>2.4900000000000002</v>
      </c>
      <c r="BG244" s="386">
        <v>3.98</v>
      </c>
      <c r="BH244" s="551">
        <v>0</v>
      </c>
      <c r="BI244" s="386">
        <v>2.95</v>
      </c>
      <c r="BJ244" s="386">
        <v>20.9</v>
      </c>
      <c r="BK244" s="386">
        <v>5.81</v>
      </c>
      <c r="BL244" s="386">
        <v>6.12</v>
      </c>
      <c r="BM244" s="386">
        <v>0</v>
      </c>
      <c r="BN244" s="386">
        <v>9.1</v>
      </c>
      <c r="BO244" s="386">
        <v>2474.6</v>
      </c>
      <c r="BP244" s="386">
        <v>1.7</v>
      </c>
      <c r="BQ244" s="615">
        <v>20.399999999999999</v>
      </c>
      <c r="BR244" s="615">
        <v>21</v>
      </c>
      <c r="BS244" s="615">
        <v>27.2</v>
      </c>
      <c r="BT244" s="615">
        <v>27.2</v>
      </c>
      <c r="BU244" s="614">
        <v>54.4</v>
      </c>
      <c r="BV244" s="614">
        <v>65.7</v>
      </c>
      <c r="BW244" s="615">
        <v>1434</v>
      </c>
      <c r="BX244" s="791"/>
      <c r="BY244" s="615">
        <v>0</v>
      </c>
      <c r="BZ244" s="615">
        <v>1.07</v>
      </c>
      <c r="CA244" s="615">
        <v>1</v>
      </c>
      <c r="CB244" s="615">
        <v>8.1999999999999993</v>
      </c>
      <c r="CC244" s="615">
        <v>8.1</v>
      </c>
      <c r="CD244" s="615">
        <v>15.5</v>
      </c>
      <c r="CE244" s="615">
        <v>32.5</v>
      </c>
      <c r="CF244" s="615">
        <v>19.899999999999999</v>
      </c>
      <c r="CG244" s="615">
        <v>7.5</v>
      </c>
      <c r="CH244" s="615">
        <v>13</v>
      </c>
      <c r="CI244" s="615">
        <v>17.3</v>
      </c>
      <c r="CJ244" s="615">
        <v>13.4</v>
      </c>
      <c r="CK244" s="615">
        <v>398.5</v>
      </c>
      <c r="CL244" s="615">
        <v>3</v>
      </c>
      <c r="CM244" s="615">
        <v>5.5</v>
      </c>
      <c r="CN244" s="615">
        <v>3042.1</v>
      </c>
      <c r="CO244" s="615">
        <v>1027.0999999999999</v>
      </c>
      <c r="CP244" s="615">
        <v>35.5</v>
      </c>
      <c r="CQ244" s="615">
        <v>14.3</v>
      </c>
      <c r="CR244" s="615">
        <v>1.05</v>
      </c>
      <c r="CS244" s="614">
        <v>2899.3</v>
      </c>
      <c r="CT244" s="386">
        <v>17.138999999999999</v>
      </c>
      <c r="CU244" s="386">
        <v>60</v>
      </c>
      <c r="CV244" s="499">
        <v>0</v>
      </c>
      <c r="CW244" s="499">
        <v>0</v>
      </c>
      <c r="CX244" s="499">
        <v>0</v>
      </c>
      <c r="CY244" s="499">
        <v>0</v>
      </c>
      <c r="CZ244" s="643">
        <v>319</v>
      </c>
      <c r="DA244" s="643">
        <v>331</v>
      </c>
      <c r="DB244" s="643">
        <v>178</v>
      </c>
      <c r="DC244" s="609">
        <v>1154.8499999999999</v>
      </c>
      <c r="DD244" s="1153">
        <f t="shared" si="69"/>
        <v>-0.42000000000007276</v>
      </c>
      <c r="DE244" s="1154">
        <f t="shared" si="70"/>
        <v>12.808875456000001</v>
      </c>
      <c r="DF244" s="1154">
        <f t="shared" si="71"/>
        <v>68</v>
      </c>
      <c r="DG244" s="1154">
        <f t="shared" si="72"/>
        <v>81</v>
      </c>
      <c r="DH244" s="1155" t="str">
        <f t="shared" si="73"/>
        <v>Palm</v>
      </c>
      <c r="DI244" s="1146">
        <f t="shared" si="74"/>
        <v>153</v>
      </c>
      <c r="DJ244" s="1146">
        <f t="shared" si="75"/>
        <v>4.1749920000000005</v>
      </c>
      <c r="DK244" s="1154">
        <f t="shared" si="76"/>
        <v>12.808875456000001</v>
      </c>
      <c r="DL244" s="615"/>
      <c r="DM244" s="615"/>
      <c r="DN244" s="615"/>
      <c r="DO244" s="499"/>
      <c r="DP244" s="499"/>
      <c r="DQ244" s="499"/>
      <c r="DR244" s="499"/>
      <c r="DS244" s="499"/>
      <c r="DT244" s="499"/>
      <c r="DU244" s="499"/>
      <c r="DV244" s="499"/>
      <c r="DW244" s="499"/>
      <c r="DX244" s="499"/>
      <c r="DY244" s="499"/>
      <c r="DZ244" s="499"/>
      <c r="EA244" s="499"/>
      <c r="EB244" s="499"/>
      <c r="EC244" s="499"/>
      <c r="ED244" s="499"/>
      <c r="EE244" s="499"/>
      <c r="EF244" s="615"/>
      <c r="EG244" s="1146">
        <f t="shared" si="63"/>
        <v>25.5</v>
      </c>
      <c r="EH244" s="630">
        <v>0</v>
      </c>
      <c r="EI244" s="615">
        <v>7</v>
      </c>
      <c r="EJ244" s="613">
        <v>6.5</v>
      </c>
      <c r="EK244" s="613">
        <v>12</v>
      </c>
      <c r="EL244" s="499"/>
      <c r="EM244" s="499"/>
      <c r="EN244" s="499"/>
      <c r="EO244" s="499"/>
      <c r="EP244" s="499"/>
      <c r="EQ244" s="499"/>
      <c r="ER244" s="499"/>
      <c r="ES244" s="388"/>
      <c r="ET244" s="388"/>
      <c r="EV244" s="1167">
        <f t="shared" si="65"/>
        <v>39.448499999999996</v>
      </c>
    </row>
    <row r="245" spans="1:154" s="350" customFormat="1" ht="16.2" x14ac:dyDescent="0.35">
      <c r="A245" s="632" t="s">
        <v>7</v>
      </c>
      <c r="B245" s="662">
        <v>42971</v>
      </c>
      <c r="C245" s="1132" t="s">
        <v>904</v>
      </c>
      <c r="D245" s="386">
        <v>0.3</v>
      </c>
      <c r="E245" s="636">
        <v>0</v>
      </c>
      <c r="F245" s="636">
        <v>52</v>
      </c>
      <c r="G245" s="636">
        <v>0.4</v>
      </c>
      <c r="H245" s="386">
        <v>1.77</v>
      </c>
      <c r="I245" s="386">
        <v>18.5</v>
      </c>
      <c r="J245" s="386">
        <v>0</v>
      </c>
      <c r="K245" s="386">
        <v>1.1399999999999999</v>
      </c>
      <c r="L245" s="636">
        <v>0</v>
      </c>
      <c r="M245" s="386">
        <v>16.100000000000001</v>
      </c>
      <c r="N245" s="386">
        <v>1.2</v>
      </c>
      <c r="O245" s="386">
        <v>1.7251070324772924</v>
      </c>
      <c r="P245" s="386">
        <v>1.2210000000000001</v>
      </c>
      <c r="Q245" s="386">
        <v>0.69264641127256721</v>
      </c>
      <c r="R245" s="732">
        <v>1485.4412790697677</v>
      </c>
      <c r="S245" s="386">
        <v>8.07</v>
      </c>
      <c r="T245" s="386">
        <v>7.91</v>
      </c>
      <c r="U245" s="386">
        <v>0.69399999999999995</v>
      </c>
      <c r="V245" s="636">
        <v>7.91</v>
      </c>
      <c r="W245" s="636">
        <v>61.7</v>
      </c>
      <c r="X245" s="613">
        <v>61.7</v>
      </c>
      <c r="Y245" s="367">
        <v>58.55</v>
      </c>
      <c r="Z245" s="636">
        <v>34.200000000000003</v>
      </c>
      <c r="AA245" s="636">
        <v>63.85</v>
      </c>
      <c r="AB245" s="636">
        <v>29</v>
      </c>
      <c r="AC245" s="1160">
        <f t="shared" si="66"/>
        <v>92.85</v>
      </c>
      <c r="AD245" s="1160">
        <f t="shared" si="67"/>
        <v>143.63894999999999</v>
      </c>
      <c r="AE245" s="1160">
        <f t="shared" si="68"/>
        <v>143.63894999999999</v>
      </c>
      <c r="AF245" s="723"/>
      <c r="AG245" s="1160">
        <f t="shared" si="64"/>
        <v>0</v>
      </c>
      <c r="AH245" s="656"/>
      <c r="AI245" s="656"/>
      <c r="AJ245" s="388"/>
      <c r="AK245" s="388"/>
      <c r="AL245" s="388"/>
      <c r="AM245" s="388"/>
      <c r="AN245" s="388"/>
      <c r="AO245" s="370"/>
      <c r="AP245" s="370"/>
      <c r="AQ245" s="386"/>
      <c r="AR245" s="551">
        <v>0</v>
      </c>
      <c r="AS245" s="386">
        <v>25.3</v>
      </c>
      <c r="AT245" s="386">
        <v>0</v>
      </c>
      <c r="AU245" s="386">
        <v>61.5</v>
      </c>
      <c r="AV245" s="636">
        <v>803.4</v>
      </c>
      <c r="AW245" s="636">
        <v>1733.7</v>
      </c>
      <c r="AX245" s="386">
        <v>0.3</v>
      </c>
      <c r="AY245" s="551">
        <v>0</v>
      </c>
      <c r="AZ245" s="551">
        <v>0</v>
      </c>
      <c r="BA245" s="551">
        <v>0</v>
      </c>
      <c r="BB245" s="832">
        <v>0</v>
      </c>
      <c r="BC245" s="386">
        <v>1.5</v>
      </c>
      <c r="BD245" s="386">
        <v>2.5</v>
      </c>
      <c r="BE245" s="551">
        <v>0</v>
      </c>
      <c r="BF245" s="386">
        <v>2.4900000000000002</v>
      </c>
      <c r="BG245" s="386">
        <v>3.98</v>
      </c>
      <c r="BH245" s="551">
        <v>0</v>
      </c>
      <c r="BI245" s="386">
        <v>2.95</v>
      </c>
      <c r="BJ245" s="386">
        <v>15.6</v>
      </c>
      <c r="BK245" s="386">
        <v>4.54</v>
      </c>
      <c r="BL245" s="386">
        <v>7</v>
      </c>
      <c r="BM245" s="386">
        <v>0</v>
      </c>
      <c r="BN245" s="386">
        <v>4.3</v>
      </c>
      <c r="BO245" s="386">
        <v>2401.4</v>
      </c>
      <c r="BP245" s="386">
        <v>1.7</v>
      </c>
      <c r="BQ245" s="615">
        <v>20.6</v>
      </c>
      <c r="BR245" s="615">
        <v>21.2</v>
      </c>
      <c r="BS245" s="615">
        <v>29.8</v>
      </c>
      <c r="BT245" s="615">
        <v>29.8</v>
      </c>
      <c r="BU245" s="614">
        <v>59.3</v>
      </c>
      <c r="BV245" s="614">
        <v>70</v>
      </c>
      <c r="BW245" s="615">
        <v>1293.0999999999999</v>
      </c>
      <c r="BX245" s="791"/>
      <c r="BY245" s="615">
        <v>0</v>
      </c>
      <c r="BZ245" s="615">
        <v>1.1000000000000001</v>
      </c>
      <c r="CA245" s="615">
        <v>1</v>
      </c>
      <c r="CB245" s="615">
        <v>8</v>
      </c>
      <c r="CC245" s="615">
        <v>8</v>
      </c>
      <c r="CD245" s="615">
        <v>16.100000000000001</v>
      </c>
      <c r="CE245" s="615">
        <v>31.1</v>
      </c>
      <c r="CF245" s="615">
        <v>20</v>
      </c>
      <c r="CG245" s="615">
        <v>8.1</v>
      </c>
      <c r="CH245" s="615">
        <v>13.7</v>
      </c>
      <c r="CI245" s="615">
        <v>18.100000000000001</v>
      </c>
      <c r="CJ245" s="615">
        <v>13.9</v>
      </c>
      <c r="CK245" s="615">
        <v>405.4</v>
      </c>
      <c r="CL245" s="615">
        <v>2.6</v>
      </c>
      <c r="CM245" s="615">
        <v>3.9</v>
      </c>
      <c r="CN245" s="615">
        <v>3088.8</v>
      </c>
      <c r="CO245" s="615">
        <v>946.9</v>
      </c>
      <c r="CP245" s="615">
        <v>0</v>
      </c>
      <c r="CQ245" s="615">
        <v>14.8</v>
      </c>
      <c r="CR245" s="615">
        <v>1.1599999999999999</v>
      </c>
      <c r="CS245" s="614">
        <v>2941.1</v>
      </c>
      <c r="CT245" s="386">
        <v>16.251000000000001</v>
      </c>
      <c r="CU245" s="386">
        <v>60</v>
      </c>
      <c r="CV245" s="499">
        <v>0</v>
      </c>
      <c r="CW245" s="499">
        <v>0</v>
      </c>
      <c r="CX245" s="499">
        <v>0</v>
      </c>
      <c r="CY245" s="499">
        <v>0</v>
      </c>
      <c r="CZ245" s="643">
        <v>324</v>
      </c>
      <c r="DA245" s="643">
        <v>340</v>
      </c>
      <c r="DB245" s="643">
        <v>180</v>
      </c>
      <c r="DC245" s="966">
        <v>1154.42</v>
      </c>
      <c r="DD245" s="1153">
        <f t="shared" si="69"/>
        <v>-0.42999999999983629</v>
      </c>
      <c r="DE245" s="1154">
        <f t="shared" si="70"/>
        <v>12.993544512000001</v>
      </c>
      <c r="DF245" s="1154">
        <f t="shared" si="71"/>
        <v>70</v>
      </c>
      <c r="DG245" s="1154">
        <f t="shared" si="72"/>
        <v>90</v>
      </c>
      <c r="DH245" s="1155" t="str">
        <f t="shared" si="73"/>
        <v>Palm</v>
      </c>
      <c r="DI245" s="1146">
        <f t="shared" si="74"/>
        <v>160</v>
      </c>
      <c r="DJ245" s="1146">
        <f t="shared" si="75"/>
        <v>4.2351840000000003</v>
      </c>
      <c r="DK245" s="1154">
        <f t="shared" si="76"/>
        <v>12.993544512000001</v>
      </c>
      <c r="DL245" s="615"/>
      <c r="DM245" s="615"/>
      <c r="DN245" s="615"/>
      <c r="DO245" s="499"/>
      <c r="DP245" s="499"/>
      <c r="DQ245" s="499"/>
      <c r="DR245" s="499"/>
      <c r="DS245" s="499"/>
      <c r="DT245" s="499"/>
      <c r="DU245" s="499"/>
      <c r="DV245" s="499"/>
      <c r="DW245" s="499"/>
      <c r="DX245" s="499"/>
      <c r="DY245" s="499"/>
      <c r="DZ245" s="499"/>
      <c r="EA245" s="499"/>
      <c r="EB245" s="499"/>
      <c r="EC245" s="499"/>
      <c r="ED245" s="499"/>
      <c r="EE245" s="499"/>
      <c r="EF245" s="615"/>
      <c r="EG245" s="1146">
        <f t="shared" si="63"/>
        <v>25.5</v>
      </c>
      <c r="EH245" s="630">
        <v>0</v>
      </c>
      <c r="EI245" s="615">
        <v>7</v>
      </c>
      <c r="EJ245" s="613">
        <v>6.5</v>
      </c>
      <c r="EK245" s="613">
        <v>12</v>
      </c>
      <c r="EL245" s="499"/>
      <c r="EM245" s="499"/>
      <c r="EN245" s="499"/>
      <c r="EO245" s="499"/>
      <c r="EP245" s="499"/>
      <c r="EQ245" s="499"/>
      <c r="ER245" s="499"/>
      <c r="ES245" s="388"/>
      <c r="ET245" s="388"/>
      <c r="EV245" s="1167">
        <f t="shared" si="65"/>
        <v>39.448499999999996</v>
      </c>
    </row>
    <row r="246" spans="1:154" s="350" customFormat="1" ht="16.2" x14ac:dyDescent="0.35">
      <c r="A246" s="632" t="s">
        <v>8</v>
      </c>
      <c r="B246" s="662">
        <v>42972</v>
      </c>
      <c r="C246" s="1132" t="s">
        <v>904</v>
      </c>
      <c r="D246" s="386">
        <v>0</v>
      </c>
      <c r="E246" s="636">
        <v>0</v>
      </c>
      <c r="F246" s="636">
        <v>55.7</v>
      </c>
      <c r="G246" s="636">
        <v>0.4</v>
      </c>
      <c r="H246" s="386">
        <v>1.93</v>
      </c>
      <c r="I246" s="386">
        <v>16.899999999999999</v>
      </c>
      <c r="J246" s="386">
        <v>0</v>
      </c>
      <c r="K246" s="386">
        <v>1.1499999999999999</v>
      </c>
      <c r="L246" s="636">
        <v>0</v>
      </c>
      <c r="M246" s="386">
        <v>15.7</v>
      </c>
      <c r="N246" s="386">
        <v>1.21</v>
      </c>
      <c r="O246" s="386">
        <v>1.7284253292235419</v>
      </c>
      <c r="P246" s="386">
        <v>1.25</v>
      </c>
      <c r="Q246" s="386">
        <v>0.69678190081472369</v>
      </c>
      <c r="R246" s="732">
        <v>1477.1073401162791</v>
      </c>
      <c r="S246" s="386">
        <v>8.16</v>
      </c>
      <c r="T246" s="386">
        <v>7.98</v>
      </c>
      <c r="U246" s="386">
        <v>0.69</v>
      </c>
      <c r="V246" s="636">
        <v>0.67</v>
      </c>
      <c r="W246" s="636">
        <v>60.620000000000005</v>
      </c>
      <c r="X246" s="613">
        <v>60.8</v>
      </c>
      <c r="Y246" s="367">
        <v>63.85</v>
      </c>
      <c r="Z246" s="636">
        <v>28.91</v>
      </c>
      <c r="AA246" s="636">
        <v>65.099999999999994</v>
      </c>
      <c r="AB246" s="636">
        <v>28.59</v>
      </c>
      <c r="AC246" s="1160">
        <f t="shared" si="66"/>
        <v>93.69</v>
      </c>
      <c r="AD246" s="1160">
        <f t="shared" si="67"/>
        <v>144.93842999999998</v>
      </c>
      <c r="AE246" s="1160">
        <f t="shared" si="68"/>
        <v>144.93842999999998</v>
      </c>
      <c r="AF246" s="723"/>
      <c r="AG246" s="1160">
        <f t="shared" si="64"/>
        <v>0</v>
      </c>
      <c r="AH246" s="656"/>
      <c r="AI246" s="656"/>
      <c r="AJ246" s="388"/>
      <c r="AK246" s="388"/>
      <c r="AL246" s="388"/>
      <c r="AM246" s="388"/>
      <c r="AN246" s="388"/>
      <c r="AO246" s="370"/>
      <c r="AP246" s="370"/>
      <c r="AQ246" s="386"/>
      <c r="AR246" s="551">
        <v>0</v>
      </c>
      <c r="AS246" s="386">
        <v>25.5</v>
      </c>
      <c r="AT246" s="386">
        <v>0</v>
      </c>
      <c r="AU246" s="386">
        <v>62.7</v>
      </c>
      <c r="AV246" s="636">
        <v>726.1</v>
      </c>
      <c r="AW246" s="636">
        <v>1783.7</v>
      </c>
      <c r="AX246" s="386">
        <v>3.2</v>
      </c>
      <c r="AY246" s="551">
        <v>0</v>
      </c>
      <c r="AZ246" s="551">
        <v>0</v>
      </c>
      <c r="BA246" s="551">
        <v>0</v>
      </c>
      <c r="BB246" s="832">
        <v>0</v>
      </c>
      <c r="BC246" s="386">
        <v>1.5</v>
      </c>
      <c r="BD246" s="386">
        <v>2.4900000000000002</v>
      </c>
      <c r="BE246" s="551">
        <v>0</v>
      </c>
      <c r="BF246" s="386">
        <v>2.4900000000000002</v>
      </c>
      <c r="BG246" s="386">
        <v>3.85</v>
      </c>
      <c r="BH246" s="551">
        <v>0</v>
      </c>
      <c r="BI246" s="386">
        <v>2.4700000000000002</v>
      </c>
      <c r="BJ246" s="386">
        <v>15.8</v>
      </c>
      <c r="BK246" s="386">
        <v>5.0199999999999996</v>
      </c>
      <c r="BL246" s="386">
        <v>6.87</v>
      </c>
      <c r="BM246" s="386">
        <v>0</v>
      </c>
      <c r="BN246" s="386">
        <v>4.0999999999999996</v>
      </c>
      <c r="BO246" s="386">
        <v>2309.1</v>
      </c>
      <c r="BP246" s="386">
        <v>1.7</v>
      </c>
      <c r="BQ246" s="615">
        <v>21.98</v>
      </c>
      <c r="BR246" s="615">
        <v>22.53</v>
      </c>
      <c r="BS246" s="615">
        <v>30.84</v>
      </c>
      <c r="BT246" s="615">
        <v>30.89</v>
      </c>
      <c r="BU246" s="614">
        <v>60.6</v>
      </c>
      <c r="BV246" s="614">
        <v>68.099999999999994</v>
      </c>
      <c r="BW246" s="615">
        <v>1432.4</v>
      </c>
      <c r="BX246" s="791"/>
      <c r="BY246" s="615">
        <v>0</v>
      </c>
      <c r="BZ246" s="615">
        <v>1.1399999999999999</v>
      </c>
      <c r="CA246" s="615">
        <v>1.1000000000000001</v>
      </c>
      <c r="CB246" s="615">
        <v>8.1</v>
      </c>
      <c r="CC246" s="615">
        <v>8</v>
      </c>
      <c r="CD246" s="615">
        <v>15</v>
      </c>
      <c r="CE246" s="615">
        <v>32.200000000000003</v>
      </c>
      <c r="CF246" s="615">
        <v>19.600000000000001</v>
      </c>
      <c r="CG246" s="615">
        <v>7.4</v>
      </c>
      <c r="CH246" s="615">
        <v>13</v>
      </c>
      <c r="CI246" s="615">
        <v>17.2</v>
      </c>
      <c r="CJ246" s="615">
        <v>12.63</v>
      </c>
      <c r="CK246" s="615">
        <v>353.9</v>
      </c>
      <c r="CL246" s="615">
        <v>2.1</v>
      </c>
      <c r="CM246" s="615">
        <v>4.5999999999999996</v>
      </c>
      <c r="CN246" s="615">
        <v>3060.6</v>
      </c>
      <c r="CO246" s="615">
        <v>1005.2</v>
      </c>
      <c r="CP246" s="615">
        <v>0</v>
      </c>
      <c r="CQ246" s="615">
        <v>14.5</v>
      </c>
      <c r="CR246" s="615">
        <v>1.08</v>
      </c>
      <c r="CS246" s="614">
        <v>2954.5</v>
      </c>
      <c r="CT246" s="386">
        <v>16.335000000000001</v>
      </c>
      <c r="CU246" s="386">
        <v>60</v>
      </c>
      <c r="CV246" s="499">
        <v>0</v>
      </c>
      <c r="CW246" s="499">
        <v>0</v>
      </c>
      <c r="CX246" s="499">
        <v>0</v>
      </c>
      <c r="CY246" s="499">
        <v>0</v>
      </c>
      <c r="CZ246" s="643">
        <v>325</v>
      </c>
      <c r="DA246" s="643">
        <v>340</v>
      </c>
      <c r="DB246" s="643">
        <v>183</v>
      </c>
      <c r="DC246" s="966">
        <v>1153.97</v>
      </c>
      <c r="DD246" s="1153">
        <f t="shared" si="69"/>
        <v>-0.45000000000004547</v>
      </c>
      <c r="DE246" s="1154">
        <f t="shared" si="70"/>
        <v>13.05274464</v>
      </c>
      <c r="DF246" s="1154">
        <f t="shared" si="71"/>
        <v>73</v>
      </c>
      <c r="DG246" s="1154">
        <f t="shared" si="72"/>
        <v>90</v>
      </c>
      <c r="DH246" s="1155" t="str">
        <f t="shared" si="73"/>
        <v>Palm</v>
      </c>
      <c r="DI246" s="1146">
        <f t="shared" si="74"/>
        <v>157</v>
      </c>
      <c r="DJ246" s="1146">
        <f t="shared" si="75"/>
        <v>4.25448</v>
      </c>
      <c r="DK246" s="1154">
        <f t="shared" si="76"/>
        <v>13.05274464</v>
      </c>
      <c r="DL246" s="615"/>
      <c r="DM246" s="615"/>
      <c r="DN246" s="615"/>
      <c r="DO246" s="499"/>
      <c r="DP246" s="499"/>
      <c r="DQ246" s="499"/>
      <c r="DR246" s="499"/>
      <c r="DS246" s="499"/>
      <c r="DT246" s="499"/>
      <c r="DU246" s="499"/>
      <c r="DV246" s="499"/>
      <c r="DW246" s="499"/>
      <c r="DX246" s="499"/>
      <c r="DY246" s="499"/>
      <c r="DZ246" s="499"/>
      <c r="EA246" s="499"/>
      <c r="EB246" s="499"/>
      <c r="EC246" s="499"/>
      <c r="ED246" s="499"/>
      <c r="EE246" s="499"/>
      <c r="EF246" s="615"/>
      <c r="EG246" s="1147">
        <f t="shared" si="63"/>
        <v>33</v>
      </c>
      <c r="EH246" s="611">
        <v>8.5</v>
      </c>
      <c r="EI246" s="615">
        <v>6</v>
      </c>
      <c r="EJ246" s="613">
        <v>6.5</v>
      </c>
      <c r="EK246" s="613">
        <v>12</v>
      </c>
      <c r="EL246" s="499"/>
      <c r="EM246" s="499"/>
      <c r="EN246" s="499"/>
      <c r="EO246" s="499"/>
      <c r="EP246" s="499"/>
      <c r="EQ246" s="499"/>
      <c r="ER246" s="499"/>
      <c r="ES246" s="388"/>
      <c r="ET246" s="388"/>
      <c r="EU246" s="370"/>
      <c r="EV246" s="1167">
        <f t="shared" si="65"/>
        <v>51.050999999999995</v>
      </c>
      <c r="EW246" s="370"/>
      <c r="EX246" s="370"/>
    </row>
    <row r="247" spans="1:154" s="350" customFormat="1" ht="16.2" x14ac:dyDescent="0.35">
      <c r="A247" s="632" t="s">
        <v>9</v>
      </c>
      <c r="B247" s="662">
        <v>42973</v>
      </c>
      <c r="C247" s="1132" t="s">
        <v>904</v>
      </c>
      <c r="D247" s="386">
        <v>0</v>
      </c>
      <c r="E247" s="636">
        <v>0</v>
      </c>
      <c r="F247" s="636">
        <v>59.9</v>
      </c>
      <c r="G247" s="636">
        <v>0.4</v>
      </c>
      <c r="H247" s="386">
        <v>1.94</v>
      </c>
      <c r="I247" s="386">
        <v>17.399999999999999</v>
      </c>
      <c r="J247" s="386">
        <v>0</v>
      </c>
      <c r="K247" s="386">
        <v>1.1100000000000001</v>
      </c>
      <c r="L247" s="636">
        <v>0</v>
      </c>
      <c r="M247" s="386">
        <v>16</v>
      </c>
      <c r="N247" s="386">
        <v>1.21</v>
      </c>
      <c r="O247" s="386">
        <v>1.7276084223761359</v>
      </c>
      <c r="P247" s="386">
        <v>1.22</v>
      </c>
      <c r="Q247" s="386">
        <v>0.69189333009723608</v>
      </c>
      <c r="R247" s="732">
        <v>1496.1087209302327</v>
      </c>
      <c r="S247" s="386">
        <v>8.27</v>
      </c>
      <c r="T247" s="386">
        <v>8.19</v>
      </c>
      <c r="U247" s="386">
        <v>0.7</v>
      </c>
      <c r="V247" s="636">
        <v>0.68</v>
      </c>
      <c r="W247" s="636">
        <v>60.8</v>
      </c>
      <c r="X247" s="613">
        <v>61.34</v>
      </c>
      <c r="Y247" s="367">
        <v>65.099999999999994</v>
      </c>
      <c r="Z247" s="636">
        <v>28.49</v>
      </c>
      <c r="AA247" s="636">
        <v>65.180000000000007</v>
      </c>
      <c r="AB247" s="636">
        <v>29</v>
      </c>
      <c r="AC247" s="1160">
        <f t="shared" si="66"/>
        <v>94.18</v>
      </c>
      <c r="AD247" s="1160">
        <f t="shared" si="67"/>
        <v>145.69646</v>
      </c>
      <c r="AE247" s="1160">
        <f t="shared" si="68"/>
        <v>145.69646</v>
      </c>
      <c r="AF247" s="723"/>
      <c r="AG247" s="1160">
        <f t="shared" si="64"/>
        <v>0</v>
      </c>
      <c r="AH247" s="656"/>
      <c r="AI247" s="656"/>
      <c r="AJ247" s="388"/>
      <c r="AK247" s="388"/>
      <c r="AL247" s="388"/>
      <c r="AM247" s="388"/>
      <c r="AN247" s="388"/>
      <c r="AO247" s="370"/>
      <c r="AP247" s="370"/>
      <c r="AQ247" s="386"/>
      <c r="AR247" s="551">
        <v>0</v>
      </c>
      <c r="AS247" s="386">
        <v>26.4</v>
      </c>
      <c r="AT247" s="386">
        <v>0</v>
      </c>
      <c r="AU247" s="386">
        <v>63</v>
      </c>
      <c r="AV247" s="636">
        <v>685.2</v>
      </c>
      <c r="AW247" s="636">
        <v>1513</v>
      </c>
      <c r="AX247" s="386">
        <v>1.9</v>
      </c>
      <c r="AY247" s="551">
        <v>0</v>
      </c>
      <c r="AZ247" s="551">
        <v>0</v>
      </c>
      <c r="BA247" s="551">
        <v>0</v>
      </c>
      <c r="BB247" s="832">
        <v>0</v>
      </c>
      <c r="BC247" s="386">
        <v>1.5</v>
      </c>
      <c r="BD247" s="386">
        <v>2.5</v>
      </c>
      <c r="BE247" s="551">
        <v>0</v>
      </c>
      <c r="BF247" s="386">
        <v>2.4900000000000002</v>
      </c>
      <c r="BG247" s="386">
        <v>3.65</v>
      </c>
      <c r="BH247" s="551">
        <v>0</v>
      </c>
      <c r="BI247" s="386">
        <v>2.4500000000000002</v>
      </c>
      <c r="BJ247" s="386">
        <v>16.399999999999999</v>
      </c>
      <c r="BK247" s="386">
        <v>5.38</v>
      </c>
      <c r="BL247" s="386">
        <v>6.62</v>
      </c>
      <c r="BM247" s="386">
        <v>0</v>
      </c>
      <c r="BN247" s="386">
        <v>4.66</v>
      </c>
      <c r="BO247" s="386">
        <v>2440.1999999999998</v>
      </c>
      <c r="BP247" s="386">
        <v>1.7</v>
      </c>
      <c r="BQ247" s="615">
        <v>22.43</v>
      </c>
      <c r="BR247" s="615">
        <v>23</v>
      </c>
      <c r="BS247" s="615">
        <v>31.04</v>
      </c>
      <c r="BT247" s="615">
        <v>31.1</v>
      </c>
      <c r="BU247" s="614">
        <v>60.9</v>
      </c>
      <c r="BV247" s="614">
        <v>71.099999999999994</v>
      </c>
      <c r="BW247" s="615">
        <v>1347</v>
      </c>
      <c r="BX247" s="791"/>
      <c r="BY247" s="615">
        <v>0</v>
      </c>
      <c r="BZ247" s="615">
        <v>1.1100000000000001</v>
      </c>
      <c r="CA247" s="615">
        <v>1.1000000000000001</v>
      </c>
      <c r="CB247" s="615">
        <v>8.1999999999999993</v>
      </c>
      <c r="CC247" s="615">
        <v>8.1</v>
      </c>
      <c r="CD247" s="615">
        <v>16</v>
      </c>
      <c r="CE247" s="615">
        <v>33.200000000000003</v>
      </c>
      <c r="CF247" s="615">
        <v>20.2</v>
      </c>
      <c r="CG247" s="615">
        <v>7.5</v>
      </c>
      <c r="CH247" s="615">
        <v>13</v>
      </c>
      <c r="CI247" s="615">
        <v>17.2</v>
      </c>
      <c r="CJ247" s="615">
        <v>13.25</v>
      </c>
      <c r="CK247" s="615">
        <v>383.6</v>
      </c>
      <c r="CL247" s="615">
        <v>3.1</v>
      </c>
      <c r="CM247" s="615">
        <v>4.2</v>
      </c>
      <c r="CN247" s="615">
        <v>3221.7</v>
      </c>
      <c r="CO247" s="615">
        <v>1019.3</v>
      </c>
      <c r="CP247" s="615">
        <v>0</v>
      </c>
      <c r="CQ247" s="615">
        <v>14.4</v>
      </c>
      <c r="CR247" s="615">
        <v>1.02</v>
      </c>
      <c r="CS247" s="614">
        <v>2960.7</v>
      </c>
      <c r="CT247" s="386">
        <v>16.399999999999999</v>
      </c>
      <c r="CU247" s="386">
        <v>61</v>
      </c>
      <c r="CV247" s="499">
        <v>0</v>
      </c>
      <c r="CW247" s="499">
        <v>0</v>
      </c>
      <c r="CX247" s="499">
        <v>0</v>
      </c>
      <c r="CY247" s="499">
        <v>0</v>
      </c>
      <c r="CZ247" s="643">
        <v>325</v>
      </c>
      <c r="DA247" s="643">
        <v>336</v>
      </c>
      <c r="DB247" s="643">
        <v>181</v>
      </c>
      <c r="DC247" s="966">
        <v>1153.52</v>
      </c>
      <c r="DD247" s="1153">
        <f t="shared" si="69"/>
        <v>-0.45000000000004547</v>
      </c>
      <c r="DE247" s="1154">
        <f t="shared" si="70"/>
        <v>13.080135744</v>
      </c>
      <c r="DF247" s="1154">
        <f t="shared" si="71"/>
        <v>71</v>
      </c>
      <c r="DG247" s="1154">
        <f t="shared" si="72"/>
        <v>86</v>
      </c>
      <c r="DH247" s="1155" t="str">
        <f t="shared" si="73"/>
        <v>Palm</v>
      </c>
      <c r="DI247" s="1146">
        <f t="shared" si="74"/>
        <v>155</v>
      </c>
      <c r="DJ247" s="1146">
        <f t="shared" si="75"/>
        <v>4.2634080000000001</v>
      </c>
      <c r="DK247" s="1154">
        <f t="shared" si="76"/>
        <v>13.080135744</v>
      </c>
      <c r="DL247" s="615"/>
      <c r="DM247" s="615"/>
      <c r="DN247" s="615"/>
      <c r="DO247" s="499"/>
      <c r="DP247" s="499"/>
      <c r="DQ247" s="499"/>
      <c r="DR247" s="499"/>
      <c r="DS247" s="499"/>
      <c r="DT247" s="499"/>
      <c r="DU247" s="499"/>
      <c r="DV247" s="499"/>
      <c r="DW247" s="499"/>
      <c r="DX247" s="499"/>
      <c r="DY247" s="499"/>
      <c r="DZ247" s="499"/>
      <c r="EA247" s="499"/>
      <c r="EB247" s="499"/>
      <c r="EC247" s="499"/>
      <c r="ED247" s="499"/>
      <c r="EE247" s="499"/>
      <c r="EF247" s="615"/>
      <c r="EG247" s="1147">
        <f t="shared" si="63"/>
        <v>33</v>
      </c>
      <c r="EH247" s="611">
        <v>8.5</v>
      </c>
      <c r="EI247" s="615">
        <v>6</v>
      </c>
      <c r="EJ247" s="613">
        <v>6.5</v>
      </c>
      <c r="EK247" s="613">
        <v>12</v>
      </c>
      <c r="EL247" s="499"/>
      <c r="EM247" s="499"/>
      <c r="EN247" s="499"/>
      <c r="EO247" s="499"/>
      <c r="EP247" s="499"/>
      <c r="EQ247" s="499"/>
      <c r="ER247" s="499"/>
      <c r="ES247" s="388"/>
      <c r="ET247" s="388"/>
      <c r="EU247" s="370"/>
      <c r="EV247" s="1167">
        <f t="shared" si="65"/>
        <v>51.050999999999995</v>
      </c>
      <c r="EW247" s="370"/>
      <c r="EX247" s="370"/>
    </row>
    <row r="248" spans="1:154" s="350" customFormat="1" ht="15" x14ac:dyDescent="0.25">
      <c r="A248" s="632" t="s">
        <v>3</v>
      </c>
      <c r="B248" s="662">
        <v>42974</v>
      </c>
      <c r="C248" s="1132" t="s">
        <v>904</v>
      </c>
      <c r="D248" s="386">
        <v>0</v>
      </c>
      <c r="E248" s="636">
        <v>0</v>
      </c>
      <c r="F248" s="636">
        <v>62.9</v>
      </c>
      <c r="G248" s="636">
        <v>0.4</v>
      </c>
      <c r="H248" s="386">
        <v>1.96</v>
      </c>
      <c r="I248" s="386">
        <v>17.2</v>
      </c>
      <c r="J248" s="386">
        <v>0</v>
      </c>
      <c r="K248" s="386">
        <v>1.0900000000000001</v>
      </c>
      <c r="L248" s="636">
        <v>0</v>
      </c>
      <c r="M248" s="386">
        <v>16</v>
      </c>
      <c r="N248" s="386">
        <v>1.22</v>
      </c>
      <c r="O248" s="386">
        <v>1.7335124817923178</v>
      </c>
      <c r="P248" s="386">
        <v>1.21</v>
      </c>
      <c r="Q248" s="386">
        <v>0.6933053573015161</v>
      </c>
      <c r="R248" s="732">
        <v>1502.4425145348839</v>
      </c>
      <c r="S248" s="386">
        <v>8.27</v>
      </c>
      <c r="T248" s="386">
        <v>8.2100000000000009</v>
      </c>
      <c r="U248" s="386">
        <v>0.7</v>
      </c>
      <c r="V248" s="636">
        <v>0.69</v>
      </c>
      <c r="W248" s="636">
        <v>61.7</v>
      </c>
      <c r="X248" s="613">
        <v>61.88000000000001</v>
      </c>
      <c r="Y248" s="367">
        <v>65.180000000000007</v>
      </c>
      <c r="Z248" s="636">
        <v>28.91</v>
      </c>
      <c r="AA248" s="636">
        <v>65.319999999999993</v>
      </c>
      <c r="AB248" s="636">
        <v>29</v>
      </c>
      <c r="AC248" s="1160">
        <f t="shared" si="66"/>
        <v>94.32</v>
      </c>
      <c r="AD248" s="1160">
        <f t="shared" si="67"/>
        <v>145.91304</v>
      </c>
      <c r="AE248" s="1160">
        <f t="shared" si="68"/>
        <v>145.91304</v>
      </c>
      <c r="AF248" s="723"/>
      <c r="AG248" s="1160">
        <f t="shared" si="64"/>
        <v>0</v>
      </c>
      <c r="AH248" s="656"/>
      <c r="AI248" s="656"/>
      <c r="AJ248" s="388"/>
      <c r="AK248" s="388"/>
      <c r="AL248" s="388"/>
      <c r="AM248" s="388"/>
      <c r="AN248" s="388"/>
      <c r="AO248" s="370"/>
      <c r="AP248" s="370"/>
      <c r="AQ248" s="386"/>
      <c r="AR248" s="551">
        <v>0</v>
      </c>
      <c r="AS248" s="386">
        <v>39.700000000000003</v>
      </c>
      <c r="AT248" s="386">
        <v>0</v>
      </c>
      <c r="AU248" s="386">
        <v>63.1</v>
      </c>
      <c r="AV248" s="636">
        <v>850.5</v>
      </c>
      <c r="AW248" s="636">
        <v>1531.1</v>
      </c>
      <c r="AX248" s="386">
        <v>0.4</v>
      </c>
      <c r="AY248" s="551">
        <v>0</v>
      </c>
      <c r="AZ248" s="551">
        <v>0</v>
      </c>
      <c r="BA248" s="551">
        <v>0</v>
      </c>
      <c r="BB248" s="832">
        <v>0</v>
      </c>
      <c r="BC248" s="386">
        <v>1.5</v>
      </c>
      <c r="BD248" s="386">
        <v>2.5</v>
      </c>
      <c r="BE248" s="551">
        <v>0</v>
      </c>
      <c r="BF248" s="386">
        <v>2.4900000000000002</v>
      </c>
      <c r="BG248" s="386">
        <v>3.47</v>
      </c>
      <c r="BH248" s="551">
        <v>0</v>
      </c>
      <c r="BI248" s="386">
        <v>2.4500000000000002</v>
      </c>
      <c r="BJ248" s="386">
        <v>16.600000000000001</v>
      </c>
      <c r="BK248" s="386">
        <v>5.1100000000000003</v>
      </c>
      <c r="BL248" s="386">
        <v>6.92</v>
      </c>
      <c r="BM248" s="386">
        <v>0</v>
      </c>
      <c r="BN248" s="386">
        <v>4.8600000000000003</v>
      </c>
      <c r="BO248" s="386">
        <v>2547.9</v>
      </c>
      <c r="BP248" s="386">
        <v>1.6</v>
      </c>
      <c r="BQ248" s="615">
        <v>22.71</v>
      </c>
      <c r="BR248" s="615">
        <v>23.27</v>
      </c>
      <c r="BS248" s="615">
        <v>30.94</v>
      </c>
      <c r="BT248" s="615">
        <v>30.98</v>
      </c>
      <c r="BU248" s="614">
        <v>60.7</v>
      </c>
      <c r="BV248" s="614">
        <v>71.5</v>
      </c>
      <c r="BW248" s="615">
        <v>1339.4</v>
      </c>
      <c r="BX248" s="791"/>
      <c r="BY248" s="615">
        <v>0</v>
      </c>
      <c r="BZ248" s="615">
        <v>1.1299999999999999</v>
      </c>
      <c r="CA248" s="615">
        <v>1.1000000000000001</v>
      </c>
      <c r="CB248" s="615">
        <v>8.1999999999999993</v>
      </c>
      <c r="CC248" s="615">
        <v>8.1</v>
      </c>
      <c r="CD248" s="615">
        <v>16.21</v>
      </c>
      <c r="CE248" s="615">
        <v>33.1</v>
      </c>
      <c r="CF248" s="615">
        <v>18.87</v>
      </c>
      <c r="CG248" s="615">
        <v>7.3</v>
      </c>
      <c r="CH248" s="615">
        <v>12.8</v>
      </c>
      <c r="CI248" s="615">
        <v>16.899999999999999</v>
      </c>
      <c r="CJ248" s="615">
        <v>13.31</v>
      </c>
      <c r="CK248" s="615">
        <v>343.2</v>
      </c>
      <c r="CL248" s="615">
        <v>3.1</v>
      </c>
      <c r="CM248" s="615">
        <v>5</v>
      </c>
      <c r="CN248" s="615">
        <v>3299.4</v>
      </c>
      <c r="CO248" s="615">
        <v>1077.0999999999999</v>
      </c>
      <c r="CP248" s="615">
        <v>0</v>
      </c>
      <c r="CQ248" s="615">
        <v>13.5</v>
      </c>
      <c r="CR248" s="615">
        <v>0.96</v>
      </c>
      <c r="CS248" s="386">
        <v>2965.1</v>
      </c>
      <c r="CT248" s="386">
        <v>16.548999999999999</v>
      </c>
      <c r="CU248" s="386">
        <v>61</v>
      </c>
      <c r="CV248" s="499">
        <v>0</v>
      </c>
      <c r="CW248" s="499">
        <v>0</v>
      </c>
      <c r="CX248" s="499">
        <v>0</v>
      </c>
      <c r="CY248" s="499">
        <v>0</v>
      </c>
      <c r="CZ248" s="643">
        <v>325</v>
      </c>
      <c r="DA248" s="643">
        <v>331</v>
      </c>
      <c r="DB248" s="643">
        <v>176</v>
      </c>
      <c r="DC248" s="1111">
        <v>1153.08</v>
      </c>
      <c r="DD248" s="1153">
        <f t="shared" si="69"/>
        <v>-0.44000000000005457</v>
      </c>
      <c r="DE248" s="1154">
        <f t="shared" si="70"/>
        <v>13.099574592000002</v>
      </c>
      <c r="DF248" s="1154">
        <f t="shared" si="71"/>
        <v>66</v>
      </c>
      <c r="DG248" s="1154">
        <f t="shared" si="72"/>
        <v>81</v>
      </c>
      <c r="DH248" s="1155" t="str">
        <f t="shared" si="73"/>
        <v>Palm</v>
      </c>
      <c r="DI248" s="1146">
        <f t="shared" si="74"/>
        <v>155</v>
      </c>
      <c r="DJ248" s="1146">
        <f t="shared" si="75"/>
        <v>4.2697440000000002</v>
      </c>
      <c r="DK248" s="1154">
        <f t="shared" si="76"/>
        <v>13.099574592000002</v>
      </c>
      <c r="DL248" s="615"/>
      <c r="DM248" s="615"/>
      <c r="DN248" s="615"/>
      <c r="DO248" s="499"/>
      <c r="DP248" s="499"/>
      <c r="DQ248" s="499"/>
      <c r="DR248" s="499"/>
      <c r="DS248" s="499"/>
      <c r="DT248" s="499"/>
      <c r="DU248" s="499"/>
      <c r="DV248" s="499"/>
      <c r="DW248" s="499"/>
      <c r="DX248" s="499"/>
      <c r="DY248" s="499"/>
      <c r="DZ248" s="499"/>
      <c r="EA248" s="499"/>
      <c r="EB248" s="499"/>
      <c r="EC248" s="499"/>
      <c r="ED248" s="499"/>
      <c r="EE248" s="499"/>
      <c r="EF248" s="615"/>
      <c r="EG248" s="1147">
        <f t="shared" ref="EG248:EG294" si="77">(SUM(EH248:EK248))</f>
        <v>33</v>
      </c>
      <c r="EH248" s="611">
        <v>8.5</v>
      </c>
      <c r="EI248" s="615">
        <v>6</v>
      </c>
      <c r="EJ248" s="613">
        <v>6.5</v>
      </c>
      <c r="EK248" s="613">
        <v>12</v>
      </c>
      <c r="EL248" s="499"/>
      <c r="EM248" s="499"/>
      <c r="EN248" s="499"/>
      <c r="EO248" s="499"/>
      <c r="EP248" s="499"/>
      <c r="EQ248" s="499"/>
      <c r="ER248" s="499"/>
      <c r="ES248" s="388"/>
      <c r="ET248" s="388"/>
      <c r="EU248" s="370"/>
      <c r="EV248" s="1167">
        <f t="shared" si="65"/>
        <v>51.050999999999995</v>
      </c>
      <c r="EW248" s="370"/>
      <c r="EX248" s="370"/>
    </row>
    <row r="249" spans="1:154" s="350" customFormat="1" ht="15" x14ac:dyDescent="0.25">
      <c r="A249" s="632" t="s">
        <v>4</v>
      </c>
      <c r="B249" s="662">
        <v>42975</v>
      </c>
      <c r="C249" s="1132" t="s">
        <v>904</v>
      </c>
      <c r="D249" s="386">
        <v>0</v>
      </c>
      <c r="E249" s="636">
        <v>0</v>
      </c>
      <c r="F249" s="636">
        <v>70</v>
      </c>
      <c r="G249" s="636">
        <v>0.4</v>
      </c>
      <c r="H249" s="386">
        <v>1.69</v>
      </c>
      <c r="I249" s="386">
        <v>18.8</v>
      </c>
      <c r="J249" s="386">
        <v>0</v>
      </c>
      <c r="K249" s="386">
        <v>1.1399999999999999</v>
      </c>
      <c r="L249" s="636">
        <v>0</v>
      </c>
      <c r="M249" s="386">
        <v>15.9</v>
      </c>
      <c r="N249" s="386">
        <v>1.23</v>
      </c>
      <c r="O249" s="386">
        <v>1.6964959145189036</v>
      </c>
      <c r="P249" s="386">
        <v>1.18</v>
      </c>
      <c r="Q249" s="386">
        <v>0.68342116687085275</v>
      </c>
      <c r="R249" s="732">
        <v>1470.106831395349</v>
      </c>
      <c r="S249" s="386">
        <v>8.1</v>
      </c>
      <c r="T249" s="386">
        <v>8.1300000000000008</v>
      </c>
      <c r="U249" s="386">
        <v>0.66</v>
      </c>
      <c r="V249" s="636">
        <v>0.69</v>
      </c>
      <c r="W249" s="636">
        <v>62.06</v>
      </c>
      <c r="X249" s="613">
        <v>62.42</v>
      </c>
      <c r="Y249" s="367">
        <v>65.319999999999993</v>
      </c>
      <c r="Z249" s="636">
        <v>28.89</v>
      </c>
      <c r="AA249" s="636">
        <v>65.34</v>
      </c>
      <c r="AB249" s="636">
        <v>29.01</v>
      </c>
      <c r="AC249" s="1160">
        <f t="shared" si="66"/>
        <v>94.350000000000009</v>
      </c>
      <c r="AD249" s="1160">
        <f t="shared" si="67"/>
        <v>145.95945</v>
      </c>
      <c r="AE249" s="1160">
        <f t="shared" si="68"/>
        <v>145.95945</v>
      </c>
      <c r="AF249" s="723"/>
      <c r="AG249" s="1160">
        <f t="shared" si="64"/>
        <v>0</v>
      </c>
      <c r="AH249" s="656"/>
      <c r="AI249" s="656"/>
      <c r="AJ249" s="388"/>
      <c r="AK249" s="388"/>
      <c r="AL249" s="388"/>
      <c r="AM249" s="388"/>
      <c r="AN249" s="388"/>
      <c r="AO249" s="370"/>
      <c r="AP249" s="370"/>
      <c r="AQ249" s="386"/>
      <c r="AR249" s="551">
        <v>0</v>
      </c>
      <c r="AS249" s="386">
        <v>28.1</v>
      </c>
      <c r="AT249" s="386">
        <v>0</v>
      </c>
      <c r="AU249" s="386">
        <v>63.3</v>
      </c>
      <c r="AV249" s="636">
        <v>1042.7</v>
      </c>
      <c r="AW249" s="636">
        <v>1502.4</v>
      </c>
      <c r="AX249" s="386">
        <v>0.8</v>
      </c>
      <c r="AY249" s="551">
        <v>0</v>
      </c>
      <c r="AZ249" s="551">
        <v>0</v>
      </c>
      <c r="BA249" s="551">
        <v>0</v>
      </c>
      <c r="BB249" s="832">
        <v>0</v>
      </c>
      <c r="BC249" s="386">
        <v>1.5</v>
      </c>
      <c r="BD249" s="386">
        <v>2.5</v>
      </c>
      <c r="BE249" s="551">
        <v>0</v>
      </c>
      <c r="BF249" s="386">
        <v>2.4900000000000002</v>
      </c>
      <c r="BG249" s="386">
        <v>3.78</v>
      </c>
      <c r="BH249" s="551">
        <v>0</v>
      </c>
      <c r="BI249" s="386">
        <v>2.8</v>
      </c>
      <c r="BJ249" s="386">
        <v>16</v>
      </c>
      <c r="BK249" s="386">
        <v>5.83</v>
      </c>
      <c r="BL249" s="386">
        <v>6.12</v>
      </c>
      <c r="BM249" s="386">
        <v>0</v>
      </c>
      <c r="BN249" s="386">
        <v>4.2</v>
      </c>
      <c r="BO249" s="386">
        <v>2590.1</v>
      </c>
      <c r="BP249" s="386">
        <v>1.6</v>
      </c>
      <c r="BQ249" s="615">
        <v>22.32</v>
      </c>
      <c r="BR249" s="615">
        <v>22.86</v>
      </c>
      <c r="BS249" s="615">
        <v>30.98</v>
      </c>
      <c r="BT249" s="615">
        <v>30.94</v>
      </c>
      <c r="BU249" s="614">
        <v>60.6</v>
      </c>
      <c r="BV249" s="614">
        <v>73.400000000000006</v>
      </c>
      <c r="BW249" s="615">
        <v>1391.5</v>
      </c>
      <c r="BX249" s="791"/>
      <c r="BY249" s="615">
        <v>0</v>
      </c>
      <c r="BZ249" s="615">
        <v>1</v>
      </c>
      <c r="CA249" s="615">
        <v>1.1299999999999999</v>
      </c>
      <c r="CB249" s="615">
        <v>8.1</v>
      </c>
      <c r="CC249" s="615">
        <v>8.1</v>
      </c>
      <c r="CD249" s="615">
        <v>15.1</v>
      </c>
      <c r="CE249" s="615">
        <v>32.909999999999997</v>
      </c>
      <c r="CF249" s="615">
        <v>19.899999999999999</v>
      </c>
      <c r="CG249" s="615">
        <v>7</v>
      </c>
      <c r="CH249" s="615">
        <v>12.5</v>
      </c>
      <c r="CI249" s="615">
        <v>16.600000000000001</v>
      </c>
      <c r="CJ249" s="615">
        <v>12.56</v>
      </c>
      <c r="CK249" s="615">
        <v>357.4</v>
      </c>
      <c r="CL249" s="615">
        <v>2.1</v>
      </c>
      <c r="CM249" s="615">
        <v>4.8</v>
      </c>
      <c r="CN249" s="615">
        <v>3322.1</v>
      </c>
      <c r="CO249" s="615">
        <v>1095.5</v>
      </c>
      <c r="CP249" s="615">
        <v>0</v>
      </c>
      <c r="CQ249" s="615">
        <v>14.4</v>
      </c>
      <c r="CR249" s="615">
        <v>1.06</v>
      </c>
      <c r="CS249" s="386">
        <v>2966.2</v>
      </c>
      <c r="CT249" s="386">
        <v>16.422999999999998</v>
      </c>
      <c r="CU249" s="386">
        <v>61</v>
      </c>
      <c r="CV249" s="499">
        <v>0</v>
      </c>
      <c r="CW249" s="499">
        <v>0</v>
      </c>
      <c r="CX249" s="499">
        <v>0</v>
      </c>
      <c r="CY249" s="499">
        <v>0</v>
      </c>
      <c r="CZ249" s="643">
        <v>322</v>
      </c>
      <c r="DA249" s="643">
        <v>327</v>
      </c>
      <c r="DB249" s="643">
        <v>183</v>
      </c>
      <c r="DC249" s="1111">
        <v>1152.6300000000001</v>
      </c>
      <c r="DD249" s="1153">
        <f t="shared" si="69"/>
        <v>-0.4499999999998181</v>
      </c>
      <c r="DE249" s="1154">
        <f t="shared" si="70"/>
        <v>13.104434304</v>
      </c>
      <c r="DF249" s="1154">
        <f t="shared" si="71"/>
        <v>73</v>
      </c>
      <c r="DG249" s="1154">
        <f t="shared" si="72"/>
        <v>77</v>
      </c>
      <c r="DH249" s="1155" t="str">
        <f t="shared" si="73"/>
        <v>Palm</v>
      </c>
      <c r="DI249" s="1146">
        <f t="shared" si="74"/>
        <v>144</v>
      </c>
      <c r="DJ249" s="1146">
        <f t="shared" si="75"/>
        <v>4.2713279999999996</v>
      </c>
      <c r="DK249" s="1154">
        <f t="shared" si="76"/>
        <v>13.104434304</v>
      </c>
      <c r="DL249" s="615"/>
      <c r="DM249" s="615"/>
      <c r="DN249" s="615"/>
      <c r="DO249" s="499"/>
      <c r="DP249" s="499"/>
      <c r="DQ249" s="499"/>
      <c r="DR249" s="499"/>
      <c r="DS249" s="499"/>
      <c r="DT249" s="499"/>
      <c r="DU249" s="499"/>
      <c r="DV249" s="499"/>
      <c r="DW249" s="499"/>
      <c r="DX249" s="499"/>
      <c r="DY249" s="499"/>
      <c r="DZ249" s="499"/>
      <c r="EA249" s="499"/>
      <c r="EB249" s="499"/>
      <c r="EC249" s="499"/>
      <c r="ED249" s="499"/>
      <c r="EE249" s="499"/>
      <c r="EF249" s="615"/>
      <c r="EG249" s="1147">
        <f t="shared" si="77"/>
        <v>33</v>
      </c>
      <c r="EH249" s="611">
        <v>7.5</v>
      </c>
      <c r="EI249" s="615">
        <v>7</v>
      </c>
      <c r="EJ249" s="613">
        <v>6.5</v>
      </c>
      <c r="EK249" s="613">
        <v>12</v>
      </c>
      <c r="EL249" s="499"/>
      <c r="EM249" s="499"/>
      <c r="EN249" s="499"/>
      <c r="EO249" s="499"/>
      <c r="EP249" s="499"/>
      <c r="EQ249" s="499"/>
      <c r="ER249" s="499"/>
      <c r="ES249" s="388"/>
      <c r="ET249" s="388"/>
      <c r="EU249" s="370"/>
      <c r="EV249" s="1167">
        <f t="shared" si="65"/>
        <v>51.050999999999995</v>
      </c>
      <c r="EW249" s="370"/>
      <c r="EX249" s="370"/>
    </row>
    <row r="250" spans="1:154" s="350" customFormat="1" ht="16.2" x14ac:dyDescent="0.35">
      <c r="A250" s="632" t="s">
        <v>5</v>
      </c>
      <c r="B250" s="662">
        <v>42976</v>
      </c>
      <c r="C250" s="1132" t="s">
        <v>904</v>
      </c>
      <c r="D250" s="386">
        <v>0</v>
      </c>
      <c r="E250" s="636">
        <v>0</v>
      </c>
      <c r="F250" s="636">
        <v>60</v>
      </c>
      <c r="G250" s="636">
        <v>0.4</v>
      </c>
      <c r="H250" s="386">
        <v>1.52</v>
      </c>
      <c r="I250" s="386">
        <v>18</v>
      </c>
      <c r="J250" s="386">
        <v>0</v>
      </c>
      <c r="K250" s="386">
        <v>1.08</v>
      </c>
      <c r="L250" s="636">
        <v>0</v>
      </c>
      <c r="M250" s="386">
        <v>15.9</v>
      </c>
      <c r="N250" s="386">
        <v>1.28</v>
      </c>
      <c r="O250" s="386">
        <v>1.7547459205964535</v>
      </c>
      <c r="P250" s="386">
        <v>1.28</v>
      </c>
      <c r="Q250" s="386">
        <v>0.69854387044123722</v>
      </c>
      <c r="R250" s="732">
        <v>1477.1073401162791</v>
      </c>
      <c r="S250" s="386">
        <v>8.1300000000000008</v>
      </c>
      <c r="T250" s="386">
        <v>8.07</v>
      </c>
      <c r="U250" s="386">
        <v>0.8</v>
      </c>
      <c r="V250" s="636">
        <v>0.81</v>
      </c>
      <c r="W250" s="636">
        <v>62.06</v>
      </c>
      <c r="X250" s="613">
        <v>62.42</v>
      </c>
      <c r="Y250" s="367">
        <v>65.34</v>
      </c>
      <c r="Z250" s="636">
        <v>28.9</v>
      </c>
      <c r="AA250" s="636">
        <v>65.3</v>
      </c>
      <c r="AB250" s="636">
        <v>26.82</v>
      </c>
      <c r="AC250" s="1160">
        <f t="shared" si="66"/>
        <v>92.12</v>
      </c>
      <c r="AD250" s="1160">
        <f t="shared" si="67"/>
        <v>142.50963999999999</v>
      </c>
      <c r="AE250" s="1160">
        <f t="shared" si="68"/>
        <v>142.50963999999999</v>
      </c>
      <c r="AF250" s="723"/>
      <c r="AG250" s="1160">
        <f t="shared" si="64"/>
        <v>0</v>
      </c>
      <c r="AH250" s="656"/>
      <c r="AI250" s="656"/>
      <c r="AJ250" s="388"/>
      <c r="AK250" s="388"/>
      <c r="AL250" s="388"/>
      <c r="AM250" s="388"/>
      <c r="AN250" s="388"/>
      <c r="AO250" s="370"/>
      <c r="AP250" s="370"/>
      <c r="AQ250" s="386"/>
      <c r="AR250" s="551">
        <v>0</v>
      </c>
      <c r="AS250" s="386">
        <v>27</v>
      </c>
      <c r="AT250" s="386">
        <v>0</v>
      </c>
      <c r="AU250" s="386">
        <v>63.1</v>
      </c>
      <c r="AV250" s="636">
        <v>1197.7</v>
      </c>
      <c r="AW250" s="636">
        <v>1472.3</v>
      </c>
      <c r="AX250" s="386">
        <v>0</v>
      </c>
      <c r="AY250" s="551">
        <v>0</v>
      </c>
      <c r="AZ250" s="551">
        <v>0</v>
      </c>
      <c r="BA250" s="551">
        <v>0</v>
      </c>
      <c r="BB250" s="832">
        <v>0</v>
      </c>
      <c r="BC250" s="386">
        <v>1.5</v>
      </c>
      <c r="BD250" s="386">
        <v>2.5</v>
      </c>
      <c r="BE250" s="551">
        <v>0</v>
      </c>
      <c r="BF250" s="386">
        <v>2.4900000000000002</v>
      </c>
      <c r="BG250" s="386">
        <v>3.97</v>
      </c>
      <c r="BH250" s="551">
        <v>0</v>
      </c>
      <c r="BI250" s="386">
        <v>2.95</v>
      </c>
      <c r="BJ250" s="386">
        <v>13.4</v>
      </c>
      <c r="BK250" s="386">
        <v>5.62</v>
      </c>
      <c r="BL250" s="386">
        <v>6.16</v>
      </c>
      <c r="BM250" s="386">
        <v>0</v>
      </c>
      <c r="BN250" s="386">
        <v>1.65</v>
      </c>
      <c r="BO250" s="386">
        <v>2491.9</v>
      </c>
      <c r="BP250" s="386">
        <v>1.6</v>
      </c>
      <c r="BQ250" s="615">
        <v>21.63</v>
      </c>
      <c r="BR250" s="615">
        <v>22.18</v>
      </c>
      <c r="BS250" s="615">
        <v>30.9</v>
      </c>
      <c r="BT250" s="615">
        <v>30.95</v>
      </c>
      <c r="BU250" s="614">
        <v>60.6</v>
      </c>
      <c r="BV250" s="614">
        <v>74.5</v>
      </c>
      <c r="BW250" s="615">
        <v>1330.1</v>
      </c>
      <c r="BX250" s="791"/>
      <c r="BY250" s="615">
        <v>0</v>
      </c>
      <c r="BZ250" s="615">
        <v>1.2</v>
      </c>
      <c r="CA250" s="615">
        <v>1.1000000000000001</v>
      </c>
      <c r="CB250" s="615">
        <v>8.1</v>
      </c>
      <c r="CC250" s="615">
        <v>8</v>
      </c>
      <c r="CD250" s="615">
        <v>15.58</v>
      </c>
      <c r="CE250" s="615">
        <v>32.5</v>
      </c>
      <c r="CF250" s="615">
        <v>20.149999999999999</v>
      </c>
      <c r="CG250" s="615">
        <v>6.9</v>
      </c>
      <c r="CH250" s="615">
        <v>12.4</v>
      </c>
      <c r="CI250" s="615">
        <v>16.5</v>
      </c>
      <c r="CJ250" s="615">
        <v>12.91</v>
      </c>
      <c r="CK250" s="615">
        <v>344.7</v>
      </c>
      <c r="CL250" s="615">
        <v>3.4</v>
      </c>
      <c r="CM250" s="615">
        <v>5.3</v>
      </c>
      <c r="CN250" s="615">
        <v>3236.7</v>
      </c>
      <c r="CO250" s="615">
        <v>1045.2</v>
      </c>
      <c r="CP250" s="615">
        <v>0</v>
      </c>
      <c r="CQ250" s="615">
        <v>13.5</v>
      </c>
      <c r="CR250" s="615">
        <v>0.98</v>
      </c>
      <c r="CS250" s="386">
        <v>2965.2</v>
      </c>
      <c r="CT250" s="386">
        <v>16.035</v>
      </c>
      <c r="CU250" s="386">
        <v>61</v>
      </c>
      <c r="CV250" s="499">
        <v>0</v>
      </c>
      <c r="CW250" s="499">
        <v>0</v>
      </c>
      <c r="CX250" s="499">
        <v>0</v>
      </c>
      <c r="CY250" s="499">
        <v>0</v>
      </c>
      <c r="CZ250" s="643">
        <v>322</v>
      </c>
      <c r="DA250" s="643">
        <v>327</v>
      </c>
      <c r="DB250" s="643">
        <v>185</v>
      </c>
      <c r="DC250" s="966">
        <v>1152.1600000000001</v>
      </c>
      <c r="DD250" s="1153">
        <f t="shared" si="69"/>
        <v>-0.47000000000002728</v>
      </c>
      <c r="DE250" s="1154">
        <f t="shared" si="70"/>
        <v>13.100016384</v>
      </c>
      <c r="DF250" s="1154">
        <f t="shared" si="71"/>
        <v>75</v>
      </c>
      <c r="DG250" s="1154">
        <f t="shared" si="72"/>
        <v>77</v>
      </c>
      <c r="DH250" s="1155" t="str">
        <f t="shared" si="73"/>
        <v>Palm</v>
      </c>
      <c r="DI250" s="1146">
        <f t="shared" si="74"/>
        <v>142</v>
      </c>
      <c r="DJ250" s="1146">
        <f t="shared" si="75"/>
        <v>4.2698879999999999</v>
      </c>
      <c r="DK250" s="1154">
        <f t="shared" si="76"/>
        <v>13.100016384</v>
      </c>
      <c r="DL250" s="615"/>
      <c r="DM250" s="615"/>
      <c r="DN250" s="615"/>
      <c r="DO250" s="499"/>
      <c r="DP250" s="499"/>
      <c r="DQ250" s="499"/>
      <c r="DR250" s="499"/>
      <c r="DS250" s="499"/>
      <c r="DT250" s="499"/>
      <c r="DU250" s="499"/>
      <c r="DV250" s="499"/>
      <c r="DW250" s="499"/>
      <c r="DX250" s="499"/>
      <c r="DY250" s="499"/>
      <c r="DZ250" s="499"/>
      <c r="EA250" s="499"/>
      <c r="EB250" s="499"/>
      <c r="EC250" s="499"/>
      <c r="ED250" s="499"/>
      <c r="EE250" s="499"/>
      <c r="EF250" s="615"/>
      <c r="EG250" s="1147">
        <f t="shared" si="77"/>
        <v>33</v>
      </c>
      <c r="EH250" s="611">
        <v>7.5</v>
      </c>
      <c r="EI250" s="615">
        <v>7</v>
      </c>
      <c r="EJ250" s="613">
        <v>6.5</v>
      </c>
      <c r="EK250" s="613">
        <v>12</v>
      </c>
      <c r="EL250" s="499"/>
      <c r="EM250" s="499"/>
      <c r="EN250" s="499"/>
      <c r="EO250" s="499"/>
      <c r="EP250" s="499"/>
      <c r="EQ250" s="499"/>
      <c r="ER250" s="499"/>
      <c r="ES250" s="388"/>
      <c r="ET250" s="388"/>
      <c r="EU250" s="370"/>
      <c r="EV250" s="1167">
        <f t="shared" si="65"/>
        <v>51.050999999999995</v>
      </c>
      <c r="EW250" s="370"/>
      <c r="EX250" s="370"/>
    </row>
    <row r="251" spans="1:154" s="350" customFormat="1" ht="16.2" x14ac:dyDescent="0.35">
      <c r="A251" s="632" t="s">
        <v>6</v>
      </c>
      <c r="B251" s="662">
        <v>42977</v>
      </c>
      <c r="C251" s="1132" t="s">
        <v>904</v>
      </c>
      <c r="D251" s="386">
        <v>0</v>
      </c>
      <c r="E251" s="636">
        <v>0</v>
      </c>
      <c r="F251" s="636">
        <v>59.7</v>
      </c>
      <c r="G251" s="636">
        <v>0.4</v>
      </c>
      <c r="H251" s="386">
        <v>1.53</v>
      </c>
      <c r="I251" s="386">
        <v>17.100000000000001</v>
      </c>
      <c r="J251" s="386">
        <v>0</v>
      </c>
      <c r="K251" s="386">
        <v>1.1299999999999999</v>
      </c>
      <c r="L251" s="636">
        <v>0</v>
      </c>
      <c r="M251" s="386">
        <v>15.9</v>
      </c>
      <c r="N251" s="386">
        <v>1.24</v>
      </c>
      <c r="O251" s="386">
        <v>1.7398845730311321</v>
      </c>
      <c r="P251" s="386">
        <v>1.22</v>
      </c>
      <c r="Q251" s="386">
        <v>0.6958350122148359</v>
      </c>
      <c r="R251" s="732">
        <v>1437.4377906976745</v>
      </c>
      <c r="S251" s="386">
        <v>8.19</v>
      </c>
      <c r="T251" s="386">
        <v>8.08</v>
      </c>
      <c r="U251" s="386">
        <v>0.67</v>
      </c>
      <c r="V251" s="636">
        <v>0.74</v>
      </c>
      <c r="W251" s="636">
        <v>62.600000000000009</v>
      </c>
      <c r="X251" s="613">
        <v>62.78</v>
      </c>
      <c r="Y251" s="367">
        <v>65.3</v>
      </c>
      <c r="Z251" s="636">
        <v>26.7</v>
      </c>
      <c r="AA251" s="636">
        <v>63.68</v>
      </c>
      <c r="AB251" s="636">
        <v>26.5</v>
      </c>
      <c r="AC251" s="1160">
        <f t="shared" si="66"/>
        <v>90.18</v>
      </c>
      <c r="AD251" s="1160">
        <f t="shared" si="67"/>
        <v>139.50846000000001</v>
      </c>
      <c r="AE251" s="1160">
        <f t="shared" si="68"/>
        <v>139.50846000000001</v>
      </c>
      <c r="AF251" s="723"/>
      <c r="AG251" s="1160">
        <f t="shared" si="64"/>
        <v>0</v>
      </c>
      <c r="AH251" s="656"/>
      <c r="AI251" s="656"/>
      <c r="AJ251" s="388"/>
      <c r="AK251" s="388"/>
      <c r="AL251" s="388"/>
      <c r="AM251" s="388"/>
      <c r="AN251" s="388"/>
      <c r="AO251" s="370"/>
      <c r="AP251" s="370"/>
      <c r="AQ251" s="386"/>
      <c r="AR251" s="551">
        <v>0</v>
      </c>
      <c r="AS251" s="386">
        <v>28.1</v>
      </c>
      <c r="AT251" s="386">
        <v>0</v>
      </c>
      <c r="AU251" s="386">
        <v>61.8</v>
      </c>
      <c r="AV251" s="636">
        <v>1125.5</v>
      </c>
      <c r="AW251" s="636">
        <v>1282.5</v>
      </c>
      <c r="AX251" s="386">
        <v>0</v>
      </c>
      <c r="AY251" s="551">
        <v>0</v>
      </c>
      <c r="AZ251" s="551">
        <v>0</v>
      </c>
      <c r="BA251" s="551">
        <v>0</v>
      </c>
      <c r="BB251" s="832">
        <v>0</v>
      </c>
      <c r="BC251" s="386">
        <v>1.5</v>
      </c>
      <c r="BD251" s="386">
        <v>2.5</v>
      </c>
      <c r="BE251" s="551">
        <v>0</v>
      </c>
      <c r="BF251" s="386">
        <v>2.4900000000000002</v>
      </c>
      <c r="BG251" s="386">
        <v>3.98</v>
      </c>
      <c r="BH251" s="551">
        <v>0</v>
      </c>
      <c r="BI251" s="386">
        <v>2.95</v>
      </c>
      <c r="BJ251" s="386">
        <v>13.1</v>
      </c>
      <c r="BK251" s="386">
        <v>5.51</v>
      </c>
      <c r="BL251" s="386">
        <v>6.31</v>
      </c>
      <c r="BM251" s="386">
        <v>0</v>
      </c>
      <c r="BN251" s="386">
        <v>1.5</v>
      </c>
      <c r="BO251" s="386">
        <v>2485.9</v>
      </c>
      <c r="BP251" s="386">
        <v>1.6</v>
      </c>
      <c r="BQ251" s="499">
        <v>20.43</v>
      </c>
      <c r="BR251" s="499">
        <v>20.97</v>
      </c>
      <c r="BS251" s="499">
        <v>30.36</v>
      </c>
      <c r="BT251" s="615">
        <v>30.41</v>
      </c>
      <c r="BU251" s="614">
        <v>59.6</v>
      </c>
      <c r="BV251" s="614">
        <v>74.5</v>
      </c>
      <c r="BW251" s="615">
        <v>1309.2</v>
      </c>
      <c r="BX251" s="791"/>
      <c r="BY251" s="615">
        <v>0</v>
      </c>
      <c r="BZ251" s="615">
        <v>1.1599999999999999</v>
      </c>
      <c r="CA251" s="615">
        <v>1.1000000000000001</v>
      </c>
      <c r="CB251" s="615">
        <v>8.1</v>
      </c>
      <c r="CC251" s="615">
        <v>8</v>
      </c>
      <c r="CD251" s="615">
        <v>16.100000000000001</v>
      </c>
      <c r="CE251" s="615">
        <v>33.200000000000003</v>
      </c>
      <c r="CF251" s="615">
        <v>19.5</v>
      </c>
      <c r="CG251" s="615">
        <v>7.1</v>
      </c>
      <c r="CH251" s="615">
        <v>12.6</v>
      </c>
      <c r="CI251" s="615">
        <v>16.8</v>
      </c>
      <c r="CJ251" s="615">
        <v>13.64</v>
      </c>
      <c r="CK251" s="615">
        <v>387.2</v>
      </c>
      <c r="CL251" s="615">
        <v>3</v>
      </c>
      <c r="CM251" s="615">
        <v>4.5999999999999996</v>
      </c>
      <c r="CN251" s="615">
        <v>3262.2</v>
      </c>
      <c r="CO251" s="615">
        <v>995.2</v>
      </c>
      <c r="CP251" s="615">
        <v>4.5999999999999996</v>
      </c>
      <c r="CQ251" s="615">
        <v>14.5</v>
      </c>
      <c r="CR251" s="615">
        <v>1.07</v>
      </c>
      <c r="CS251" s="386">
        <v>2965.1</v>
      </c>
      <c r="CT251" s="386">
        <v>16.315000000000001</v>
      </c>
      <c r="CU251" s="386">
        <v>61</v>
      </c>
      <c r="CV251" s="499">
        <v>0</v>
      </c>
      <c r="CW251" s="499">
        <v>0</v>
      </c>
      <c r="CX251" s="499">
        <v>0</v>
      </c>
      <c r="CY251" s="499">
        <v>0</v>
      </c>
      <c r="CZ251" s="643">
        <v>322</v>
      </c>
      <c r="DA251" s="643">
        <v>331</v>
      </c>
      <c r="DB251" s="643">
        <v>190</v>
      </c>
      <c r="DC251" s="966">
        <v>1151.69</v>
      </c>
      <c r="DD251" s="1153">
        <f t="shared" si="69"/>
        <v>-0.47000000000002728</v>
      </c>
      <c r="DE251" s="1154">
        <f t="shared" si="70"/>
        <v>13.099574592000002</v>
      </c>
      <c r="DF251" s="1154">
        <f t="shared" si="71"/>
        <v>80</v>
      </c>
      <c r="DG251" s="1154">
        <f t="shared" si="72"/>
        <v>81</v>
      </c>
      <c r="DH251" s="1155" t="str">
        <f t="shared" si="73"/>
        <v>Palm</v>
      </c>
      <c r="DI251" s="1146">
        <f t="shared" si="74"/>
        <v>141</v>
      </c>
      <c r="DJ251" s="1146">
        <f t="shared" si="75"/>
        <v>4.2697440000000002</v>
      </c>
      <c r="DK251" s="1154">
        <f t="shared" si="76"/>
        <v>13.099574592000002</v>
      </c>
      <c r="DL251" s="615"/>
      <c r="DM251" s="615"/>
      <c r="DN251" s="615"/>
      <c r="DO251" s="499"/>
      <c r="DP251" s="499"/>
      <c r="DQ251" s="499"/>
      <c r="DR251" s="499"/>
      <c r="DS251" s="499"/>
      <c r="DT251" s="499"/>
      <c r="DU251" s="499"/>
      <c r="DV251" s="499"/>
      <c r="DW251" s="499"/>
      <c r="DX251" s="499"/>
      <c r="DY251" s="499"/>
      <c r="DZ251" s="499"/>
      <c r="EA251" s="499">
        <v>-500</v>
      </c>
      <c r="EB251" s="499"/>
      <c r="EC251" s="499"/>
      <c r="ED251" s="499">
        <v>500</v>
      </c>
      <c r="EE251" s="499"/>
      <c r="EF251" s="615"/>
      <c r="EG251" s="1147">
        <f t="shared" si="77"/>
        <v>33</v>
      </c>
      <c r="EH251" s="611">
        <v>7.5</v>
      </c>
      <c r="EI251" s="615">
        <v>7</v>
      </c>
      <c r="EJ251" s="613">
        <v>6.5</v>
      </c>
      <c r="EK251" s="613">
        <v>12</v>
      </c>
      <c r="EL251" s="499"/>
      <c r="EM251" s="499"/>
      <c r="EN251" s="499"/>
      <c r="EO251" s="499"/>
      <c r="EP251" s="499"/>
      <c r="EQ251" s="499"/>
      <c r="ER251" s="499"/>
      <c r="ES251" s="388"/>
      <c r="ET251" s="388"/>
      <c r="EU251" s="370"/>
      <c r="EV251" s="1167">
        <f t="shared" si="65"/>
        <v>51.050999999999995</v>
      </c>
      <c r="EW251" s="370"/>
      <c r="EX251" s="370"/>
    </row>
    <row r="252" spans="1:154" s="350" customFormat="1" ht="16.2" x14ac:dyDescent="0.35">
      <c r="A252" s="632" t="s">
        <v>7</v>
      </c>
      <c r="B252" s="662">
        <v>42978</v>
      </c>
      <c r="C252" s="1132" t="s">
        <v>904</v>
      </c>
      <c r="D252" s="386">
        <v>0.06</v>
      </c>
      <c r="E252" s="636">
        <v>0</v>
      </c>
      <c r="F252" s="636">
        <v>58.4</v>
      </c>
      <c r="G252" s="636">
        <v>0.4</v>
      </c>
      <c r="H252" s="386">
        <v>1.65</v>
      </c>
      <c r="I252" s="386">
        <v>15.2</v>
      </c>
      <c r="J252" s="386">
        <v>0</v>
      </c>
      <c r="K252" s="386">
        <v>1.1599999999999999</v>
      </c>
      <c r="L252" s="636">
        <v>0</v>
      </c>
      <c r="M252" s="386">
        <v>15.9</v>
      </c>
      <c r="N252" s="386">
        <v>1.21</v>
      </c>
      <c r="O252" s="386">
        <v>1.6512067371548289</v>
      </c>
      <c r="P252" s="386">
        <v>1.22</v>
      </c>
      <c r="Q252" s="386">
        <v>0.69381741112267392</v>
      </c>
      <c r="R252" s="732">
        <v>1440.4380087209302</v>
      </c>
      <c r="S252" s="386">
        <v>8.25</v>
      </c>
      <c r="T252" s="386">
        <v>8.16</v>
      </c>
      <c r="U252" s="386">
        <v>0.69</v>
      </c>
      <c r="V252" s="636">
        <v>0.73</v>
      </c>
      <c r="W252" s="636">
        <v>62.78</v>
      </c>
      <c r="X252" s="613">
        <v>62.78</v>
      </c>
      <c r="Y252" s="367">
        <v>63.68</v>
      </c>
      <c r="Z252" s="636">
        <v>26.5</v>
      </c>
      <c r="AA252" s="636">
        <v>53.69</v>
      </c>
      <c r="AB252" s="636">
        <v>37.67</v>
      </c>
      <c r="AC252" s="1160">
        <f t="shared" si="66"/>
        <v>91.36</v>
      </c>
      <c r="AD252" s="1160">
        <f t="shared" si="67"/>
        <v>141.33392000000001</v>
      </c>
      <c r="AE252" s="1160">
        <f t="shared" si="68"/>
        <v>141.33392000000001</v>
      </c>
      <c r="AF252" s="723"/>
      <c r="AG252" s="1160">
        <f t="shared" si="64"/>
        <v>0</v>
      </c>
      <c r="AH252" s="656"/>
      <c r="AI252" s="656"/>
      <c r="AJ252" s="388"/>
      <c r="AK252" s="388"/>
      <c r="AL252" s="388"/>
      <c r="AM252" s="388"/>
      <c r="AN252" s="388"/>
      <c r="AO252" s="370"/>
      <c r="AP252" s="370"/>
      <c r="AQ252" s="386"/>
      <c r="AR252" s="551">
        <v>0</v>
      </c>
      <c r="AS252" s="386">
        <v>26.3</v>
      </c>
      <c r="AT252" s="386">
        <v>0</v>
      </c>
      <c r="AU252" s="386">
        <v>52.4</v>
      </c>
      <c r="AV252" s="636">
        <v>912.5</v>
      </c>
      <c r="AW252" s="636">
        <v>1271.0999999999999</v>
      </c>
      <c r="AX252" s="386">
        <v>0</v>
      </c>
      <c r="AY252" s="551">
        <v>0</v>
      </c>
      <c r="AZ252" s="551">
        <v>0</v>
      </c>
      <c r="BA252" s="551">
        <v>0</v>
      </c>
      <c r="BB252" s="832">
        <v>0</v>
      </c>
      <c r="BC252" s="386">
        <v>1.5</v>
      </c>
      <c r="BD252" s="386">
        <v>2.5</v>
      </c>
      <c r="BE252" s="551">
        <v>0</v>
      </c>
      <c r="BF252" s="386">
        <v>2.4900000000000002</v>
      </c>
      <c r="BG252" s="386">
        <v>3.87</v>
      </c>
      <c r="BH252" s="551">
        <v>0</v>
      </c>
      <c r="BI252" s="386">
        <v>2.78</v>
      </c>
      <c r="BJ252" s="386">
        <v>24.3</v>
      </c>
      <c r="BK252" s="386">
        <v>5.65</v>
      </c>
      <c r="BL252" s="386">
        <v>6.33</v>
      </c>
      <c r="BM252" s="386">
        <v>0</v>
      </c>
      <c r="BN252" s="386">
        <v>12.5</v>
      </c>
      <c r="BO252" s="386">
        <v>2402.3000000000002</v>
      </c>
      <c r="BP252" s="386">
        <v>1.8</v>
      </c>
      <c r="BQ252" s="615">
        <v>20.92</v>
      </c>
      <c r="BR252" s="615">
        <v>21.56</v>
      </c>
      <c r="BS252" s="615">
        <v>25.59</v>
      </c>
      <c r="BT252" s="615">
        <v>25.61</v>
      </c>
      <c r="BU252" s="614">
        <v>51</v>
      </c>
      <c r="BV252" s="614">
        <v>58.9</v>
      </c>
      <c r="BW252" s="615">
        <v>1252.8</v>
      </c>
      <c r="BX252" s="791"/>
      <c r="BY252" s="615">
        <v>0</v>
      </c>
      <c r="BZ252" s="615">
        <v>1.1200000000000001</v>
      </c>
      <c r="CA252" s="615">
        <v>1</v>
      </c>
      <c r="CB252" s="615">
        <v>8.1</v>
      </c>
      <c r="CC252" s="615">
        <v>8</v>
      </c>
      <c r="CD252" s="615">
        <v>15.5</v>
      </c>
      <c r="CE252" s="615">
        <v>32.65</v>
      </c>
      <c r="CF252" s="615">
        <v>19.7</v>
      </c>
      <c r="CG252" s="615">
        <v>7.47</v>
      </c>
      <c r="CH252" s="615">
        <v>13</v>
      </c>
      <c r="CI252" s="615">
        <v>17.2</v>
      </c>
      <c r="CJ252" s="615">
        <v>12.68</v>
      </c>
      <c r="CK252" s="615">
        <v>358.4</v>
      </c>
      <c r="CL252" s="615">
        <v>2.8</v>
      </c>
      <c r="CM252" s="615">
        <v>5.2</v>
      </c>
      <c r="CN252" s="615">
        <v>2895.3</v>
      </c>
      <c r="CO252" s="615">
        <v>966.4</v>
      </c>
      <c r="CP252" s="615">
        <v>0</v>
      </c>
      <c r="CQ252" s="615">
        <v>14.1</v>
      </c>
      <c r="CR252" s="615">
        <v>1.05</v>
      </c>
      <c r="CS252" s="386">
        <v>2966</v>
      </c>
      <c r="CT252" s="386">
        <v>16.911000000000001</v>
      </c>
      <c r="CU252" s="386">
        <v>61</v>
      </c>
      <c r="CV252" s="499">
        <v>0</v>
      </c>
      <c r="CW252" s="499">
        <v>0</v>
      </c>
      <c r="CX252" s="499">
        <v>0</v>
      </c>
      <c r="CY252" s="499">
        <v>0</v>
      </c>
      <c r="CZ252" s="643">
        <v>331</v>
      </c>
      <c r="DA252" s="643">
        <v>340</v>
      </c>
      <c r="DB252" s="643">
        <v>189</v>
      </c>
      <c r="DC252" s="966">
        <v>1151.22</v>
      </c>
      <c r="DD252" s="1153">
        <f t="shared" si="69"/>
        <v>-0.47000000000002728</v>
      </c>
      <c r="DE252" s="1154">
        <f t="shared" si="70"/>
        <v>13.103550720000001</v>
      </c>
      <c r="DF252" s="1154">
        <f t="shared" si="71"/>
        <v>79</v>
      </c>
      <c r="DG252" s="1154">
        <f t="shared" si="72"/>
        <v>90</v>
      </c>
      <c r="DH252" s="1155" t="str">
        <f t="shared" si="73"/>
        <v>Palm</v>
      </c>
      <c r="DI252" s="1146">
        <f t="shared" si="74"/>
        <v>151</v>
      </c>
      <c r="DJ252" s="1146">
        <f t="shared" si="75"/>
        <v>4.2710400000000002</v>
      </c>
      <c r="DK252" s="1154">
        <f t="shared" si="76"/>
        <v>13.103550720000001</v>
      </c>
      <c r="DL252" s="615"/>
      <c r="DM252" s="615"/>
      <c r="DN252" s="615"/>
      <c r="DO252" s="499"/>
      <c r="DP252" s="499"/>
      <c r="DQ252" s="499"/>
      <c r="DR252" s="499"/>
      <c r="DS252" s="499"/>
      <c r="DT252" s="499"/>
      <c r="DU252" s="499"/>
      <c r="DV252" s="499"/>
      <c r="DW252" s="499"/>
      <c r="DX252" s="499"/>
      <c r="DY252" s="499"/>
      <c r="DZ252" s="499"/>
      <c r="EA252" s="499"/>
      <c r="EB252" s="499"/>
      <c r="EC252" s="499"/>
      <c r="ED252" s="499"/>
      <c r="EE252" s="499"/>
      <c r="EF252" s="615"/>
      <c r="EG252" s="1147">
        <f t="shared" si="77"/>
        <v>33</v>
      </c>
      <c r="EH252" s="611">
        <v>7.5</v>
      </c>
      <c r="EI252" s="615">
        <v>7</v>
      </c>
      <c r="EJ252" s="613">
        <v>6.5</v>
      </c>
      <c r="EK252" s="613">
        <v>12</v>
      </c>
      <c r="EL252" s="499"/>
      <c r="EM252" s="499"/>
      <c r="EN252" s="499"/>
      <c r="EO252" s="499"/>
      <c r="EP252" s="499"/>
      <c r="EQ252" s="499"/>
      <c r="ER252" s="499"/>
      <c r="ES252" s="388"/>
      <c r="ET252" s="388"/>
      <c r="EU252" s="370"/>
      <c r="EV252" s="1167">
        <f t="shared" si="65"/>
        <v>51.050999999999995</v>
      </c>
      <c r="EW252" s="370"/>
      <c r="EX252" s="370"/>
    </row>
    <row r="253" spans="1:154" s="350" customFormat="1" ht="16.2" x14ac:dyDescent="0.35">
      <c r="A253" s="632" t="s">
        <v>8</v>
      </c>
      <c r="B253" s="662">
        <v>42979</v>
      </c>
      <c r="C253" s="1132" t="s">
        <v>904</v>
      </c>
      <c r="D253" s="386">
        <v>0</v>
      </c>
      <c r="E253" s="636">
        <v>0</v>
      </c>
      <c r="F253" s="636">
        <v>60</v>
      </c>
      <c r="G253" s="636">
        <v>0.4</v>
      </c>
      <c r="H253" s="386">
        <v>1.3</v>
      </c>
      <c r="I253" s="386">
        <v>18.3</v>
      </c>
      <c r="J253" s="386">
        <v>0</v>
      </c>
      <c r="K253" s="386">
        <v>1.1399999999999999</v>
      </c>
      <c r="L253" s="636">
        <v>0</v>
      </c>
      <c r="M253" s="386">
        <v>15.9</v>
      </c>
      <c r="N253" s="386">
        <v>1.17</v>
      </c>
      <c r="O253" s="386">
        <v>1.6018457739432355</v>
      </c>
      <c r="P253" s="386">
        <v>1.24</v>
      </c>
      <c r="Q253" s="386">
        <v>0.69492485341482257</v>
      </c>
      <c r="R253" s="732">
        <v>1506.7761627906978</v>
      </c>
      <c r="S253" s="386">
        <v>8.14</v>
      </c>
      <c r="T253" s="386">
        <v>8.0399999999999991</v>
      </c>
      <c r="U253" s="386">
        <v>0.68</v>
      </c>
      <c r="V253" s="636">
        <v>0.73</v>
      </c>
      <c r="W253" s="636">
        <v>62.42</v>
      </c>
      <c r="X253" s="613">
        <v>62.600000000000009</v>
      </c>
      <c r="Y253" s="367">
        <v>53.69</v>
      </c>
      <c r="Z253" s="636">
        <v>37.299999999999997</v>
      </c>
      <c r="AA253" s="636">
        <v>48</v>
      </c>
      <c r="AB253" s="636">
        <v>46.8</v>
      </c>
      <c r="AC253" s="1160">
        <f t="shared" si="66"/>
        <v>94.8</v>
      </c>
      <c r="AD253" s="1160">
        <f t="shared" si="67"/>
        <v>146.65559999999999</v>
      </c>
      <c r="AE253" s="1160">
        <f t="shared" si="68"/>
        <v>146.65559999999999</v>
      </c>
      <c r="AF253" s="723"/>
      <c r="AG253" s="1160">
        <f t="shared" si="64"/>
        <v>0</v>
      </c>
      <c r="AH253" s="656"/>
      <c r="AI253" s="656"/>
      <c r="AJ253" s="388"/>
      <c r="AK253" s="388"/>
      <c r="AL253" s="388"/>
      <c r="AM253" s="388"/>
      <c r="AN253" s="388"/>
      <c r="AO253" s="370"/>
      <c r="AP253" s="370"/>
      <c r="AQ253" s="386"/>
      <c r="AR253" s="551">
        <v>0</v>
      </c>
      <c r="AS253" s="386">
        <v>30.1</v>
      </c>
      <c r="AT253" s="386">
        <v>0</v>
      </c>
      <c r="AU253" s="386">
        <v>46.1</v>
      </c>
      <c r="AV253" s="636">
        <v>1068.9000000000001</v>
      </c>
      <c r="AW253" s="636">
        <v>1614.2</v>
      </c>
      <c r="AX253" s="386">
        <v>1</v>
      </c>
      <c r="AY253" s="551">
        <v>0</v>
      </c>
      <c r="AZ253" s="551">
        <v>0</v>
      </c>
      <c r="BA253" s="551">
        <v>0</v>
      </c>
      <c r="BB253" s="832">
        <v>0</v>
      </c>
      <c r="BC253" s="386">
        <v>1.5</v>
      </c>
      <c r="BD253" s="386">
        <v>2.5</v>
      </c>
      <c r="BE253" s="551">
        <v>0</v>
      </c>
      <c r="BF253" s="386">
        <v>2.4900000000000002</v>
      </c>
      <c r="BG253" s="386">
        <v>3.66</v>
      </c>
      <c r="BH253" s="551">
        <v>0</v>
      </c>
      <c r="BI253" s="386">
        <v>2.4500000000000002</v>
      </c>
      <c r="BJ253" s="386">
        <v>34.299999999999997</v>
      </c>
      <c r="BK253" s="386">
        <v>4.99</v>
      </c>
      <c r="BL253" s="386">
        <v>6.82</v>
      </c>
      <c r="BM253" s="386">
        <v>0</v>
      </c>
      <c r="BN253" s="386">
        <v>22.6</v>
      </c>
      <c r="BO253" s="386">
        <v>2752.2</v>
      </c>
      <c r="BP253" s="386">
        <v>1.8</v>
      </c>
      <c r="BQ253" s="615">
        <v>20.8</v>
      </c>
      <c r="BR253" s="615">
        <v>21.45</v>
      </c>
      <c r="BS253" s="615">
        <v>22.24</v>
      </c>
      <c r="BT253" s="615">
        <v>22.31</v>
      </c>
      <c r="BU253" s="614">
        <v>44.6</v>
      </c>
      <c r="BV253" s="614">
        <v>52.9</v>
      </c>
      <c r="BW253" s="615">
        <v>1311.4</v>
      </c>
      <c r="BX253" s="791"/>
      <c r="BY253" s="615">
        <v>0</v>
      </c>
      <c r="BZ253" s="615">
        <v>1.0900000000000001</v>
      </c>
      <c r="CA253" s="615">
        <v>1</v>
      </c>
      <c r="CB253" s="615">
        <v>8.1999999999999993</v>
      </c>
      <c r="CC253" s="615">
        <v>8.1</v>
      </c>
      <c r="CD253" s="615">
        <v>16.8</v>
      </c>
      <c r="CE253" s="615">
        <v>33.5</v>
      </c>
      <c r="CF253" s="615">
        <v>17.8</v>
      </c>
      <c r="CG253" s="615">
        <v>8</v>
      </c>
      <c r="CH253" s="615">
        <v>13.6</v>
      </c>
      <c r="CI253" s="615">
        <v>17.920000000000002</v>
      </c>
      <c r="CJ253" s="615">
        <v>14.16</v>
      </c>
      <c r="CK253" s="615">
        <v>407.9</v>
      </c>
      <c r="CL253" s="615">
        <v>4</v>
      </c>
      <c r="CM253" s="615">
        <v>5.4</v>
      </c>
      <c r="CN253" s="615">
        <v>3017.1</v>
      </c>
      <c r="CO253" s="615">
        <v>1037</v>
      </c>
      <c r="CP253" s="615">
        <v>0</v>
      </c>
      <c r="CQ253" s="615">
        <v>13.9</v>
      </c>
      <c r="CR253" s="615">
        <v>1.03</v>
      </c>
      <c r="CS253" s="386">
        <v>2932.1</v>
      </c>
      <c r="CT253" s="386">
        <v>16.614000000000001</v>
      </c>
      <c r="CU253" s="386">
        <v>62</v>
      </c>
      <c r="CV253" s="499">
        <v>0</v>
      </c>
      <c r="CW253" s="499">
        <v>0</v>
      </c>
      <c r="CX253" s="499">
        <v>0</v>
      </c>
      <c r="CY253" s="499">
        <v>0</v>
      </c>
      <c r="CZ253" s="643">
        <v>331</v>
      </c>
      <c r="DA253" s="643">
        <v>336</v>
      </c>
      <c r="DB253" s="643">
        <v>181</v>
      </c>
      <c r="DC253" s="966">
        <v>1150.73</v>
      </c>
      <c r="DD253" s="1153">
        <f t="shared" si="69"/>
        <v>-0.49000000000000909</v>
      </c>
      <c r="DE253" s="1154">
        <f t="shared" si="70"/>
        <v>12.953783231999999</v>
      </c>
      <c r="DF253" s="1154">
        <f t="shared" si="71"/>
        <v>71</v>
      </c>
      <c r="DG253" s="1154">
        <f t="shared" si="72"/>
        <v>86</v>
      </c>
      <c r="DH253" s="1155" t="str">
        <f t="shared" si="73"/>
        <v>Palm</v>
      </c>
      <c r="DI253" s="1146">
        <f t="shared" si="74"/>
        <v>155</v>
      </c>
      <c r="DJ253" s="1146">
        <f t="shared" si="75"/>
        <v>4.2222239999999998</v>
      </c>
      <c r="DK253" s="1154">
        <f t="shared" si="76"/>
        <v>12.953783231999999</v>
      </c>
      <c r="DL253" s="615"/>
      <c r="DM253" s="615"/>
      <c r="DN253" s="615"/>
      <c r="DO253" s="499"/>
      <c r="DP253" s="499"/>
      <c r="DQ253" s="499"/>
      <c r="DR253" s="499"/>
      <c r="DS253" s="499"/>
      <c r="DT253" s="499"/>
      <c r="DU253" s="499"/>
      <c r="DV253" s="499"/>
      <c r="DW253" s="499"/>
      <c r="DX253" s="499"/>
      <c r="DY253" s="499"/>
      <c r="DZ253" s="499"/>
      <c r="EA253" s="535"/>
      <c r="EB253" s="499"/>
      <c r="EC253" s="499"/>
      <c r="ED253" s="535"/>
      <c r="EE253" s="499"/>
      <c r="EF253" s="615"/>
      <c r="EG253" s="1147">
        <f t="shared" si="77"/>
        <v>44</v>
      </c>
      <c r="EH253" s="611">
        <v>19.5</v>
      </c>
      <c r="EI253" s="615">
        <v>6</v>
      </c>
      <c r="EJ253" s="613">
        <v>6.5</v>
      </c>
      <c r="EK253" s="613">
        <v>12</v>
      </c>
      <c r="EL253" s="499"/>
      <c r="EM253" s="499"/>
      <c r="EN253" s="499"/>
      <c r="EO253" s="499"/>
      <c r="EP253" s="499"/>
      <c r="EQ253" s="499"/>
      <c r="ER253" s="499"/>
      <c r="ES253" s="388"/>
      <c r="ET253" s="388"/>
      <c r="EU253" s="370"/>
      <c r="EV253" s="1167">
        <f t="shared" si="65"/>
        <v>68.067999999999998</v>
      </c>
      <c r="EW253" s="370"/>
      <c r="EX253" s="370"/>
    </row>
    <row r="254" spans="1:154" s="350" customFormat="1" ht="16.2" x14ac:dyDescent="0.35">
      <c r="A254" s="632" t="s">
        <v>9</v>
      </c>
      <c r="B254" s="662">
        <v>42980</v>
      </c>
      <c r="C254" s="1132" t="s">
        <v>904</v>
      </c>
      <c r="D254" s="386">
        <v>0</v>
      </c>
      <c r="E254" s="636">
        <v>0</v>
      </c>
      <c r="F254" s="636">
        <v>67</v>
      </c>
      <c r="G254" s="636">
        <v>0.4</v>
      </c>
      <c r="H254" s="386">
        <v>1.48</v>
      </c>
      <c r="I254" s="386">
        <v>18.8</v>
      </c>
      <c r="J254" s="386">
        <v>0</v>
      </c>
      <c r="K254" s="386">
        <v>1.21</v>
      </c>
      <c r="L254" s="636">
        <v>0</v>
      </c>
      <c r="M254" s="386">
        <v>18.8</v>
      </c>
      <c r="N254" s="386">
        <v>1.1599999999999999</v>
      </c>
      <c r="O254" s="386">
        <v>1.5658494105039471</v>
      </c>
      <c r="P254" s="386">
        <v>1.17</v>
      </c>
      <c r="Q254" s="386">
        <v>0.68229277831955648</v>
      </c>
      <c r="R254" s="732">
        <v>1479.1074854651163</v>
      </c>
      <c r="S254" s="386">
        <v>8.1</v>
      </c>
      <c r="T254" s="386">
        <v>8.06</v>
      </c>
      <c r="U254" s="386">
        <v>0.69</v>
      </c>
      <c r="V254" s="636">
        <v>0.74</v>
      </c>
      <c r="W254" s="636">
        <v>62.42</v>
      </c>
      <c r="X254" s="613">
        <v>62.600000000000009</v>
      </c>
      <c r="Y254" s="367">
        <v>48</v>
      </c>
      <c r="Z254" s="636">
        <v>46.8</v>
      </c>
      <c r="AA254" s="636">
        <v>48.05</v>
      </c>
      <c r="AB254" s="636">
        <v>46.85</v>
      </c>
      <c r="AC254" s="1160">
        <f t="shared" si="66"/>
        <v>94.9</v>
      </c>
      <c r="AD254" s="1160">
        <f t="shared" si="67"/>
        <v>146.81030000000001</v>
      </c>
      <c r="AE254" s="1160">
        <f t="shared" si="68"/>
        <v>146.81030000000001</v>
      </c>
      <c r="AF254" s="723"/>
      <c r="AG254" s="1160">
        <f t="shared" si="64"/>
        <v>0</v>
      </c>
      <c r="AH254" s="656"/>
      <c r="AI254" s="656"/>
      <c r="AJ254" s="388"/>
      <c r="AK254" s="388"/>
      <c r="AL254" s="388"/>
      <c r="AM254" s="388"/>
      <c r="AN254" s="388"/>
      <c r="AO254" s="370"/>
      <c r="AP254" s="370"/>
      <c r="AQ254" s="386"/>
      <c r="AR254" s="551">
        <v>0</v>
      </c>
      <c r="AS254" s="386">
        <v>28.8</v>
      </c>
      <c r="AT254" s="386">
        <v>0</v>
      </c>
      <c r="AU254" s="386">
        <v>46.1</v>
      </c>
      <c r="AV254" s="636">
        <v>930.9</v>
      </c>
      <c r="AW254" s="636">
        <v>1552.2</v>
      </c>
      <c r="AX254" s="386">
        <v>0.1</v>
      </c>
      <c r="AY254" s="551">
        <v>0</v>
      </c>
      <c r="AZ254" s="551">
        <v>0</v>
      </c>
      <c r="BA254" s="551">
        <v>0</v>
      </c>
      <c r="BB254" s="832">
        <v>0</v>
      </c>
      <c r="BC254" s="386">
        <v>1.81</v>
      </c>
      <c r="BD254" s="386">
        <v>2.5</v>
      </c>
      <c r="BE254" s="551">
        <v>0</v>
      </c>
      <c r="BF254" s="386">
        <v>2.4900000000000002</v>
      </c>
      <c r="BG254" s="386">
        <v>3.76</v>
      </c>
      <c r="BH254" s="551">
        <v>0</v>
      </c>
      <c r="BI254" s="386">
        <v>2.36</v>
      </c>
      <c r="BJ254" s="386">
        <v>34</v>
      </c>
      <c r="BK254" s="386">
        <v>5.1100000000000003</v>
      </c>
      <c r="BL254" s="386">
        <v>6.62</v>
      </c>
      <c r="BM254" s="386">
        <v>0</v>
      </c>
      <c r="BN254" s="386">
        <v>22.3</v>
      </c>
      <c r="BO254" s="386">
        <v>2595.4</v>
      </c>
      <c r="BP254" s="386">
        <v>1.8</v>
      </c>
      <c r="BQ254" s="615">
        <v>21.59</v>
      </c>
      <c r="BR254" s="615">
        <v>22.26</v>
      </c>
      <c r="BS254" s="615">
        <v>22.6</v>
      </c>
      <c r="BT254" s="615">
        <v>22.67</v>
      </c>
      <c r="BU254" s="614">
        <v>45.1</v>
      </c>
      <c r="BV254" s="614">
        <v>50.7</v>
      </c>
      <c r="BW254" s="615">
        <v>1375.3</v>
      </c>
      <c r="BX254" s="791"/>
      <c r="BY254" s="615">
        <v>0</v>
      </c>
      <c r="BZ254" s="615">
        <v>1.06</v>
      </c>
      <c r="CA254" s="615">
        <v>1</v>
      </c>
      <c r="CB254" s="615">
        <v>8.1</v>
      </c>
      <c r="CC254" s="615">
        <v>8.1</v>
      </c>
      <c r="CD254" s="615">
        <v>16.3</v>
      </c>
      <c r="CE254" s="615">
        <v>33.5</v>
      </c>
      <c r="CF254" s="615">
        <v>20.399999999999999</v>
      </c>
      <c r="CG254" s="615">
        <v>8</v>
      </c>
      <c r="CH254" s="615">
        <v>13.6</v>
      </c>
      <c r="CI254" s="615">
        <v>17.8</v>
      </c>
      <c r="CJ254" s="615">
        <v>13.67</v>
      </c>
      <c r="CK254" s="615">
        <v>346.7</v>
      </c>
      <c r="CL254" s="615">
        <v>2.9</v>
      </c>
      <c r="CM254" s="615">
        <v>5</v>
      </c>
      <c r="CN254" s="615">
        <v>3139.2</v>
      </c>
      <c r="CO254" s="615">
        <v>1074.2</v>
      </c>
      <c r="CP254" s="615">
        <v>0</v>
      </c>
      <c r="CQ254" s="615">
        <v>13.3</v>
      </c>
      <c r="CR254" s="615">
        <v>0.98</v>
      </c>
      <c r="CS254" s="386">
        <v>2954.6</v>
      </c>
      <c r="CT254" s="386">
        <v>16.509</v>
      </c>
      <c r="CU254" s="386">
        <v>62</v>
      </c>
      <c r="CV254" s="499">
        <v>0</v>
      </c>
      <c r="CW254" s="499">
        <v>0</v>
      </c>
      <c r="CX254" s="499">
        <v>0</v>
      </c>
      <c r="CY254" s="499">
        <v>0</v>
      </c>
      <c r="CZ254" s="643">
        <v>331</v>
      </c>
      <c r="DA254" s="643">
        <v>336</v>
      </c>
      <c r="DB254" s="643">
        <v>181</v>
      </c>
      <c r="DC254" s="966">
        <v>1150.24</v>
      </c>
      <c r="DD254" s="1153">
        <f t="shared" si="69"/>
        <v>-0.49000000000000909</v>
      </c>
      <c r="DE254" s="1154">
        <f t="shared" si="70"/>
        <v>13.053186431999999</v>
      </c>
      <c r="DF254" s="1154">
        <f t="shared" si="71"/>
        <v>71</v>
      </c>
      <c r="DG254" s="1154">
        <f t="shared" si="72"/>
        <v>86</v>
      </c>
      <c r="DH254" s="1155" t="str">
        <f t="shared" si="73"/>
        <v>Palm</v>
      </c>
      <c r="DI254" s="1146">
        <f t="shared" si="74"/>
        <v>155</v>
      </c>
      <c r="DJ254" s="1146">
        <f t="shared" si="75"/>
        <v>4.2546239999999997</v>
      </c>
      <c r="DK254" s="1154">
        <f t="shared" si="76"/>
        <v>13.053186431999999</v>
      </c>
      <c r="DL254" s="615"/>
      <c r="DM254" s="615"/>
      <c r="DN254" s="615"/>
      <c r="DO254" s="499"/>
      <c r="DP254" s="499"/>
      <c r="DQ254" s="499"/>
      <c r="DR254" s="499"/>
      <c r="DS254" s="499"/>
      <c r="DT254" s="499"/>
      <c r="DU254" s="499"/>
      <c r="DV254" s="499"/>
      <c r="DW254" s="499"/>
      <c r="DX254" s="499"/>
      <c r="DY254" s="630"/>
      <c r="DZ254" s="499"/>
      <c r="EA254" s="535"/>
      <c r="EB254" s="499"/>
      <c r="EC254" s="499"/>
      <c r="ED254" s="535"/>
      <c r="EE254" s="499"/>
      <c r="EF254" s="615"/>
      <c r="EG254" s="1147">
        <f t="shared" si="77"/>
        <v>44</v>
      </c>
      <c r="EH254" s="611">
        <v>19</v>
      </c>
      <c r="EI254" s="615">
        <v>6</v>
      </c>
      <c r="EJ254" s="613">
        <v>7</v>
      </c>
      <c r="EK254" s="613">
        <v>12</v>
      </c>
      <c r="EL254" s="499"/>
      <c r="EM254" s="499"/>
      <c r="EN254" s="499"/>
      <c r="EO254" s="499"/>
      <c r="EP254" s="499"/>
      <c r="EQ254" s="499"/>
      <c r="ER254" s="499"/>
      <c r="ES254" s="388"/>
      <c r="ET254" s="388"/>
      <c r="EU254" s="370"/>
      <c r="EV254" s="1167">
        <f t="shared" si="65"/>
        <v>68.067999999999998</v>
      </c>
      <c r="EW254" s="370"/>
      <c r="EX254" s="370"/>
    </row>
    <row r="255" spans="1:154" s="350" customFormat="1" ht="15" x14ac:dyDescent="0.25">
      <c r="A255" s="632" t="s">
        <v>3</v>
      </c>
      <c r="B255" s="662">
        <v>42981</v>
      </c>
      <c r="C255" s="1132" t="s">
        <v>904</v>
      </c>
      <c r="D255" s="386">
        <v>0</v>
      </c>
      <c r="E255" s="636">
        <v>0</v>
      </c>
      <c r="F255" s="636">
        <v>65</v>
      </c>
      <c r="G255" s="636">
        <v>0.4</v>
      </c>
      <c r="H255" s="386">
        <v>1.57</v>
      </c>
      <c r="I255" s="386">
        <v>19.3</v>
      </c>
      <c r="J255" s="386">
        <v>0</v>
      </c>
      <c r="K255" s="386">
        <v>1.19</v>
      </c>
      <c r="L255" s="636">
        <v>0</v>
      </c>
      <c r="M255" s="386">
        <v>15.8</v>
      </c>
      <c r="N255" s="386">
        <v>1.1200000000000001</v>
      </c>
      <c r="O255" s="386">
        <v>1.5716137649277186</v>
      </c>
      <c r="P255" s="386">
        <v>1.18</v>
      </c>
      <c r="Q255" s="386">
        <v>0.68516120924451329</v>
      </c>
      <c r="R255" s="732">
        <v>1470.7735465116277</v>
      </c>
      <c r="S255" s="386">
        <v>8.11</v>
      </c>
      <c r="T255" s="386">
        <v>8.01</v>
      </c>
      <c r="U255" s="386">
        <v>0.7</v>
      </c>
      <c r="V255" s="636">
        <v>0.76</v>
      </c>
      <c r="W255" s="636">
        <v>62.960000000000008</v>
      </c>
      <c r="X255" s="613">
        <v>63.319999999999993</v>
      </c>
      <c r="Y255" s="367">
        <v>48.05</v>
      </c>
      <c r="Z255" s="636">
        <v>46.85</v>
      </c>
      <c r="AA255" s="636">
        <v>48</v>
      </c>
      <c r="AB255" s="636">
        <v>46.38</v>
      </c>
      <c r="AC255" s="1160">
        <f t="shared" si="66"/>
        <v>94.38</v>
      </c>
      <c r="AD255" s="1160">
        <f t="shared" si="67"/>
        <v>146.00585999999998</v>
      </c>
      <c r="AE255" s="1160">
        <f t="shared" si="68"/>
        <v>146.00585999999998</v>
      </c>
      <c r="AF255" s="723"/>
      <c r="AG255" s="1160">
        <f t="shared" si="64"/>
        <v>0</v>
      </c>
      <c r="AH255" s="656"/>
      <c r="AI255" s="656"/>
      <c r="AJ255" s="388"/>
      <c r="AK255" s="388"/>
      <c r="AL255" s="388"/>
      <c r="AM255" s="388"/>
      <c r="AN255" s="388"/>
      <c r="AO255" s="370"/>
      <c r="AP255" s="370"/>
      <c r="AQ255" s="386"/>
      <c r="AR255" s="551">
        <v>0</v>
      </c>
      <c r="AS255" s="386">
        <v>24.5</v>
      </c>
      <c r="AT255" s="386">
        <v>0</v>
      </c>
      <c r="AU255" s="386">
        <v>46.1</v>
      </c>
      <c r="AV255" s="636">
        <v>643.70000000000005</v>
      </c>
      <c r="AW255" s="636">
        <v>1858</v>
      </c>
      <c r="AX255" s="386">
        <v>0</v>
      </c>
      <c r="AY255" s="551">
        <v>0</v>
      </c>
      <c r="AZ255" s="551">
        <v>0</v>
      </c>
      <c r="BA255" s="551">
        <v>0</v>
      </c>
      <c r="BB255" s="832">
        <v>0</v>
      </c>
      <c r="BC255" s="386">
        <v>2</v>
      </c>
      <c r="BD255" s="386">
        <v>2.5</v>
      </c>
      <c r="BE255" s="551">
        <v>0</v>
      </c>
      <c r="BF255" s="386">
        <v>2.4900000000000002</v>
      </c>
      <c r="BG255" s="386">
        <v>3.42</v>
      </c>
      <c r="BH255" s="551">
        <v>0</v>
      </c>
      <c r="BI255" s="386">
        <v>2.27</v>
      </c>
      <c r="BJ255" s="386">
        <v>33.700000000000003</v>
      </c>
      <c r="BK255" s="386">
        <v>5.09</v>
      </c>
      <c r="BL255" s="386">
        <v>5.95</v>
      </c>
      <c r="BM255" s="386">
        <v>0</v>
      </c>
      <c r="BN255" s="386">
        <v>22.6</v>
      </c>
      <c r="BO255" s="386">
        <v>2545.6</v>
      </c>
      <c r="BP255" s="386">
        <v>1.7</v>
      </c>
      <c r="BQ255" s="615">
        <v>22.39</v>
      </c>
      <c r="BR255" s="615">
        <v>23.04</v>
      </c>
      <c r="BS255" s="615">
        <v>22.59</v>
      </c>
      <c r="BT255" s="615">
        <v>22.67</v>
      </c>
      <c r="BU255" s="614">
        <v>45.1</v>
      </c>
      <c r="BV255" s="614">
        <v>50.7</v>
      </c>
      <c r="BW255" s="615">
        <v>1324.8</v>
      </c>
      <c r="BX255" s="791"/>
      <c r="BY255" s="615">
        <v>0</v>
      </c>
      <c r="BZ255" s="615">
        <v>1.04</v>
      </c>
      <c r="CA255" s="615">
        <v>1</v>
      </c>
      <c r="CB255" s="615">
        <v>8</v>
      </c>
      <c r="CC255" s="615">
        <v>8.1</v>
      </c>
      <c r="CD255" s="615">
        <v>15.3</v>
      </c>
      <c r="CE255" s="615">
        <v>33.4</v>
      </c>
      <c r="CF255" s="615">
        <v>20.8</v>
      </c>
      <c r="CG255" s="615">
        <v>7.2</v>
      </c>
      <c r="CH255" s="615">
        <v>12.7</v>
      </c>
      <c r="CI255" s="615">
        <v>16.8</v>
      </c>
      <c r="CJ255" s="615">
        <v>12.76</v>
      </c>
      <c r="CK255" s="615">
        <v>394.5</v>
      </c>
      <c r="CL255" s="615">
        <v>3</v>
      </c>
      <c r="CM255" s="615">
        <v>5.5</v>
      </c>
      <c r="CN255" s="615">
        <v>3097.5</v>
      </c>
      <c r="CO255" s="615">
        <v>1043.5</v>
      </c>
      <c r="CP255" s="615">
        <v>0</v>
      </c>
      <c r="CQ255" s="615">
        <v>14.9</v>
      </c>
      <c r="CR255" s="615">
        <v>1.08</v>
      </c>
      <c r="CS255" s="386">
        <v>2959.8</v>
      </c>
      <c r="CT255" s="386">
        <v>18.794</v>
      </c>
      <c r="CU255" s="386">
        <v>62</v>
      </c>
      <c r="CV255" s="499">
        <v>0</v>
      </c>
      <c r="CW255" s="499">
        <v>0</v>
      </c>
      <c r="CX255" s="499">
        <v>0</v>
      </c>
      <c r="CY255" s="499">
        <v>0</v>
      </c>
      <c r="CZ255" s="643">
        <v>331</v>
      </c>
      <c r="DA255" s="643">
        <v>336</v>
      </c>
      <c r="DB255" s="643">
        <v>183</v>
      </c>
      <c r="DC255" s="609">
        <v>1149.74</v>
      </c>
      <c r="DD255" s="1153">
        <f t="shared" si="69"/>
        <v>-0.5</v>
      </c>
      <c r="DE255" s="1154">
        <f t="shared" si="70"/>
        <v>13.076159616</v>
      </c>
      <c r="DF255" s="1154">
        <f t="shared" si="71"/>
        <v>73</v>
      </c>
      <c r="DG255" s="1154">
        <f t="shared" si="72"/>
        <v>86</v>
      </c>
      <c r="DH255" s="1155" t="str">
        <f t="shared" si="73"/>
        <v>Palm</v>
      </c>
      <c r="DI255" s="1146">
        <f t="shared" si="74"/>
        <v>153</v>
      </c>
      <c r="DJ255" s="1146">
        <f t="shared" si="75"/>
        <v>4.2621120000000001</v>
      </c>
      <c r="DK255" s="1154">
        <f t="shared" si="76"/>
        <v>13.076159616</v>
      </c>
      <c r="DL255" s="615"/>
      <c r="DM255" s="615"/>
      <c r="DN255" s="615"/>
      <c r="DO255" s="499"/>
      <c r="DP255" s="499"/>
      <c r="DQ255" s="499"/>
      <c r="DR255" s="499"/>
      <c r="DS255" s="499"/>
      <c r="DT255" s="499"/>
      <c r="DU255" s="499"/>
      <c r="DV255" s="499"/>
      <c r="DW255" s="499"/>
      <c r="DX255" s="499"/>
      <c r="DY255" s="630"/>
      <c r="DZ255" s="499"/>
      <c r="EA255" s="499"/>
      <c r="EB255" s="499"/>
      <c r="EC255" s="499"/>
      <c r="ED255" s="499"/>
      <c r="EE255" s="499"/>
      <c r="EF255" s="615"/>
      <c r="EG255" s="1147">
        <f t="shared" si="77"/>
        <v>44</v>
      </c>
      <c r="EH255" s="611">
        <v>19</v>
      </c>
      <c r="EI255" s="615">
        <v>6</v>
      </c>
      <c r="EJ255" s="613">
        <v>7</v>
      </c>
      <c r="EK255" s="613">
        <v>12</v>
      </c>
      <c r="EL255" s="499"/>
      <c r="EM255" s="499"/>
      <c r="EN255" s="499"/>
      <c r="EO255" s="499"/>
      <c r="EP255" s="499"/>
      <c r="EQ255" s="499"/>
      <c r="ER255" s="499"/>
      <c r="ES255" s="388"/>
      <c r="ET255" s="388"/>
      <c r="EU255" s="370"/>
      <c r="EV255" s="1167">
        <f t="shared" si="65"/>
        <v>68.067999999999998</v>
      </c>
      <c r="EW255" s="370"/>
      <c r="EX255" s="370"/>
    </row>
    <row r="256" spans="1:154" s="350" customFormat="1" ht="15" x14ac:dyDescent="0.25">
      <c r="A256" s="632" t="s">
        <v>4</v>
      </c>
      <c r="B256" s="662">
        <v>42982</v>
      </c>
      <c r="C256" s="1132" t="s">
        <v>904</v>
      </c>
      <c r="D256" s="386">
        <v>0</v>
      </c>
      <c r="E256" s="636">
        <v>0</v>
      </c>
      <c r="F256" s="636">
        <v>84.7</v>
      </c>
      <c r="G256" s="636">
        <v>0.4</v>
      </c>
      <c r="H256" s="386">
        <v>1.68</v>
      </c>
      <c r="I256" s="386">
        <v>19.7</v>
      </c>
      <c r="J256" s="386">
        <v>0</v>
      </c>
      <c r="K256" s="386">
        <v>1.21</v>
      </c>
      <c r="L256" s="636">
        <v>0</v>
      </c>
      <c r="M256" s="386">
        <v>15.7</v>
      </c>
      <c r="N256" s="386">
        <v>1.1499999999999999</v>
      </c>
      <c r="O256" s="386">
        <v>1.6429581268267885</v>
      </c>
      <c r="P256" s="386">
        <v>1.17</v>
      </c>
      <c r="Q256" s="386">
        <v>0.70454046214084198</v>
      </c>
      <c r="R256" s="732">
        <v>1511.7765261627906</v>
      </c>
      <c r="S256" s="386">
        <v>8.16</v>
      </c>
      <c r="T256" s="386">
        <v>8.07</v>
      </c>
      <c r="U256" s="386">
        <v>0.73</v>
      </c>
      <c r="V256" s="636">
        <v>0.77</v>
      </c>
      <c r="W256" s="636">
        <v>62.960000000000008</v>
      </c>
      <c r="X256" s="613">
        <v>63.14</v>
      </c>
      <c r="Y256" s="367">
        <v>48</v>
      </c>
      <c r="Z256" s="636">
        <v>46.88</v>
      </c>
      <c r="AA256" s="636">
        <v>48.04</v>
      </c>
      <c r="AB256" s="636">
        <v>44.93</v>
      </c>
      <c r="AC256" s="1160">
        <f t="shared" si="66"/>
        <v>92.97</v>
      </c>
      <c r="AD256" s="1160">
        <f t="shared" si="67"/>
        <v>143.82459</v>
      </c>
      <c r="AE256" s="1160">
        <f t="shared" si="68"/>
        <v>143.82459</v>
      </c>
      <c r="AF256" s="723"/>
      <c r="AG256" s="1160">
        <f t="shared" si="64"/>
        <v>0</v>
      </c>
      <c r="AH256" s="656"/>
      <c r="AI256" s="656"/>
      <c r="AJ256" s="388"/>
      <c r="AK256" s="388"/>
      <c r="AL256" s="388"/>
      <c r="AM256" s="388"/>
      <c r="AN256" s="388"/>
      <c r="AO256" s="370"/>
      <c r="AP256" s="370"/>
      <c r="AQ256" s="386"/>
      <c r="AR256" s="551">
        <v>0</v>
      </c>
      <c r="AS256" s="386">
        <v>39.200000000000003</v>
      </c>
      <c r="AT256" s="386">
        <v>0</v>
      </c>
      <c r="AU256" s="386">
        <v>46.1</v>
      </c>
      <c r="AV256" s="636">
        <v>1055.3</v>
      </c>
      <c r="AW256" s="636">
        <v>1825.9</v>
      </c>
      <c r="AX256" s="386">
        <v>1.3</v>
      </c>
      <c r="AY256" s="551">
        <v>0</v>
      </c>
      <c r="AZ256" s="551">
        <v>0</v>
      </c>
      <c r="BA256" s="551">
        <v>0</v>
      </c>
      <c r="BB256" s="832">
        <v>0</v>
      </c>
      <c r="BC256" s="386">
        <v>2</v>
      </c>
      <c r="BD256" s="386">
        <v>2.5</v>
      </c>
      <c r="BE256" s="551">
        <v>0</v>
      </c>
      <c r="BF256" s="386">
        <v>2.4900000000000002</v>
      </c>
      <c r="BG256" s="386">
        <v>3.47</v>
      </c>
      <c r="BH256" s="551">
        <v>0</v>
      </c>
      <c r="BI256" s="386">
        <v>2.4500000000000002</v>
      </c>
      <c r="BJ256" s="386">
        <v>32.1</v>
      </c>
      <c r="BK256" s="386">
        <v>6.2</v>
      </c>
      <c r="BL256" s="386">
        <v>5.69</v>
      </c>
      <c r="BM256" s="386">
        <v>0</v>
      </c>
      <c r="BN256" s="386">
        <v>20.3</v>
      </c>
      <c r="BO256" s="386">
        <v>2867.6</v>
      </c>
      <c r="BP256" s="386">
        <v>19</v>
      </c>
      <c r="BQ256" s="615">
        <v>20.23</v>
      </c>
      <c r="BR256" s="615">
        <v>20.89</v>
      </c>
      <c r="BS256" s="615">
        <v>22.13</v>
      </c>
      <c r="BT256" s="615">
        <v>22.19</v>
      </c>
      <c r="BU256" s="614">
        <v>44.4</v>
      </c>
      <c r="BV256" s="614">
        <v>59</v>
      </c>
      <c r="BW256" s="615">
        <v>1365.1</v>
      </c>
      <c r="BX256" s="791"/>
      <c r="BY256" s="615">
        <v>0</v>
      </c>
      <c r="BZ256" s="615">
        <v>1.03</v>
      </c>
      <c r="CA256" s="615">
        <v>1</v>
      </c>
      <c r="CB256" s="615">
        <v>8.1</v>
      </c>
      <c r="CC256" s="615">
        <v>8.1</v>
      </c>
      <c r="CD256" s="615">
        <v>15.9</v>
      </c>
      <c r="CE256" s="615">
        <v>33.299999999999997</v>
      </c>
      <c r="CF256" s="615">
        <v>18.100000000000001</v>
      </c>
      <c r="CG256" s="615">
        <v>7.4</v>
      </c>
      <c r="CH256" s="615">
        <v>12.9</v>
      </c>
      <c r="CI256" s="615">
        <v>17.100000000000001</v>
      </c>
      <c r="CJ256" s="615">
        <v>13.32</v>
      </c>
      <c r="CK256" s="615">
        <v>400.5</v>
      </c>
      <c r="CL256" s="615">
        <v>4</v>
      </c>
      <c r="CM256" s="615">
        <v>5.8</v>
      </c>
      <c r="CN256" s="615">
        <v>3428.8</v>
      </c>
      <c r="CO256" s="615">
        <v>1145</v>
      </c>
      <c r="CP256" s="615">
        <v>0</v>
      </c>
      <c r="CQ256" s="615">
        <v>14.4</v>
      </c>
      <c r="CR256" s="615">
        <v>1.06</v>
      </c>
      <c r="CS256" s="386">
        <v>2962.1</v>
      </c>
      <c r="CT256" s="386">
        <v>18.166</v>
      </c>
      <c r="CU256" s="386">
        <v>62</v>
      </c>
      <c r="CV256" s="499">
        <v>0</v>
      </c>
      <c r="CW256" s="499">
        <v>0</v>
      </c>
      <c r="CX256" s="499">
        <v>0</v>
      </c>
      <c r="CY256" s="499">
        <v>0</v>
      </c>
      <c r="CZ256" s="643">
        <v>328</v>
      </c>
      <c r="DA256" s="643">
        <v>331</v>
      </c>
      <c r="DB256" s="643">
        <v>185</v>
      </c>
      <c r="DC256" s="609">
        <v>1149.23</v>
      </c>
      <c r="DD256" s="1153">
        <f t="shared" si="69"/>
        <v>-0.50999999999999091</v>
      </c>
      <c r="DE256" s="1154">
        <f t="shared" si="70"/>
        <v>13.086320832000002</v>
      </c>
      <c r="DF256" s="1154">
        <f t="shared" si="71"/>
        <v>75</v>
      </c>
      <c r="DG256" s="1154">
        <f t="shared" si="72"/>
        <v>81</v>
      </c>
      <c r="DH256" s="1155" t="str">
        <f t="shared" si="73"/>
        <v>Palm</v>
      </c>
      <c r="DI256" s="1146">
        <f t="shared" si="74"/>
        <v>146</v>
      </c>
      <c r="DJ256" s="1146">
        <f t="shared" si="75"/>
        <v>4.2654240000000003</v>
      </c>
      <c r="DK256" s="1154">
        <f t="shared" si="76"/>
        <v>13.086320832000002</v>
      </c>
      <c r="DL256" s="615"/>
      <c r="DM256" s="615"/>
      <c r="DN256" s="615"/>
      <c r="DO256" s="499"/>
      <c r="DP256" s="499"/>
      <c r="DQ256" s="499"/>
      <c r="DR256" s="499"/>
      <c r="DS256" s="499"/>
      <c r="DT256" s="499"/>
      <c r="DU256" s="499"/>
      <c r="DV256" s="499"/>
      <c r="DW256" s="499"/>
      <c r="DX256" s="499"/>
      <c r="DY256" s="630"/>
      <c r="DZ256" s="499"/>
      <c r="EA256" s="499"/>
      <c r="EB256" s="499"/>
      <c r="EC256" s="499"/>
      <c r="ED256" s="499"/>
      <c r="EE256" s="499"/>
      <c r="EF256" s="615"/>
      <c r="EG256" s="1147">
        <f t="shared" si="77"/>
        <v>44</v>
      </c>
      <c r="EH256" s="611">
        <v>19</v>
      </c>
      <c r="EI256" s="615">
        <v>6</v>
      </c>
      <c r="EJ256" s="613">
        <v>7</v>
      </c>
      <c r="EK256" s="613">
        <v>12</v>
      </c>
      <c r="EL256" s="499"/>
      <c r="EM256" s="499"/>
      <c r="EN256" s="499"/>
      <c r="EO256" s="499"/>
      <c r="EP256" s="499"/>
      <c r="EQ256" s="499"/>
      <c r="ER256" s="499"/>
      <c r="ES256" s="388"/>
      <c r="ET256" s="388"/>
      <c r="EU256" s="370"/>
      <c r="EV256" s="1167">
        <f t="shared" si="65"/>
        <v>68.067999999999998</v>
      </c>
      <c r="EW256" s="370"/>
      <c r="EX256" s="370"/>
    </row>
    <row r="257" spans="1:154" s="350" customFormat="1" ht="15" x14ac:dyDescent="0.25">
      <c r="A257" s="632" t="s">
        <v>5</v>
      </c>
      <c r="B257" s="662">
        <v>42983</v>
      </c>
      <c r="C257" s="1132" t="s">
        <v>904</v>
      </c>
      <c r="D257" s="386">
        <v>0</v>
      </c>
      <c r="E257" s="636">
        <v>0</v>
      </c>
      <c r="F257" s="636">
        <v>65.599999999999994</v>
      </c>
      <c r="G257" s="636">
        <v>0.4</v>
      </c>
      <c r="H257" s="386">
        <v>1.74</v>
      </c>
      <c r="I257" s="386">
        <v>20.399999999999999</v>
      </c>
      <c r="J257" s="386">
        <v>0</v>
      </c>
      <c r="K257" s="386">
        <v>1.1599999999999999</v>
      </c>
      <c r="L257" s="636">
        <v>0</v>
      </c>
      <c r="M257" s="386">
        <v>15.5</v>
      </c>
      <c r="N257" s="386">
        <v>1.17</v>
      </c>
      <c r="O257" s="386">
        <v>1.580589610718147</v>
      </c>
      <c r="P257" s="386">
        <v>1.1299999999999999</v>
      </c>
      <c r="Q257" s="386">
        <v>0.69195445681601297</v>
      </c>
      <c r="R257" s="732">
        <v>1479.4408430232559</v>
      </c>
      <c r="S257" s="386">
        <v>8.16</v>
      </c>
      <c r="T257" s="386">
        <v>8.1999999999999993</v>
      </c>
      <c r="U257" s="386">
        <v>0.752</v>
      </c>
      <c r="V257" s="636">
        <v>0.75</v>
      </c>
      <c r="W257" s="636">
        <v>63.860000000000014</v>
      </c>
      <c r="X257" s="369">
        <v>63.860000000000014</v>
      </c>
      <c r="Y257" s="367">
        <v>48.04</v>
      </c>
      <c r="Z257" s="636">
        <v>44.93</v>
      </c>
      <c r="AA257" s="636">
        <v>46.5</v>
      </c>
      <c r="AB257" s="636">
        <v>47.4</v>
      </c>
      <c r="AC257" s="1160">
        <f t="shared" si="66"/>
        <v>93.9</v>
      </c>
      <c r="AD257" s="1160">
        <f t="shared" si="67"/>
        <v>145.26330000000002</v>
      </c>
      <c r="AE257" s="1160">
        <f t="shared" si="68"/>
        <v>145.26330000000002</v>
      </c>
      <c r="AF257" s="723"/>
      <c r="AG257" s="1160">
        <f t="shared" si="64"/>
        <v>0</v>
      </c>
      <c r="AH257" s="656"/>
      <c r="AI257" s="656"/>
      <c r="AJ257" s="388"/>
      <c r="AK257" s="388"/>
      <c r="AL257" s="388"/>
      <c r="AM257" s="388"/>
      <c r="AN257" s="388"/>
      <c r="AO257" s="370"/>
      <c r="AP257" s="370"/>
      <c r="AQ257" s="386"/>
      <c r="AR257" s="551">
        <v>0</v>
      </c>
      <c r="AS257" s="386">
        <v>27.7</v>
      </c>
      <c r="AT257" s="386">
        <v>0</v>
      </c>
      <c r="AU257" s="386">
        <v>44.6</v>
      </c>
      <c r="AV257" s="636">
        <v>854.1</v>
      </c>
      <c r="AW257" s="636">
        <v>1892.3</v>
      </c>
      <c r="AX257" s="386">
        <v>0</v>
      </c>
      <c r="AY257" s="551">
        <v>0</v>
      </c>
      <c r="AZ257" s="551">
        <v>0</v>
      </c>
      <c r="BA257" s="551">
        <v>0</v>
      </c>
      <c r="BB257" s="832">
        <v>0</v>
      </c>
      <c r="BC257" s="386">
        <v>1.7</v>
      </c>
      <c r="BD257" s="386">
        <v>2.5</v>
      </c>
      <c r="BE257" s="551">
        <v>0</v>
      </c>
      <c r="BF257" s="386">
        <v>2.4900000000000002</v>
      </c>
      <c r="BG257" s="386">
        <v>3.69</v>
      </c>
      <c r="BH257" s="551">
        <v>0</v>
      </c>
      <c r="BI257" s="386">
        <v>2.31</v>
      </c>
      <c r="BJ257" s="386">
        <v>34.799999999999997</v>
      </c>
      <c r="BK257" s="386">
        <v>5.96</v>
      </c>
      <c r="BL257" s="386">
        <v>3.82</v>
      </c>
      <c r="BM257" s="386">
        <v>0</v>
      </c>
      <c r="BN257" s="386">
        <v>25</v>
      </c>
      <c r="BO257" s="386">
        <v>2621.8</v>
      </c>
      <c r="BP257" s="386">
        <v>1.8</v>
      </c>
      <c r="BQ257" s="615">
        <v>20.76</v>
      </c>
      <c r="BR257" s="615">
        <v>21.45</v>
      </c>
      <c r="BS257" s="615">
        <v>21.62</v>
      </c>
      <c r="BT257" s="615">
        <v>21.7</v>
      </c>
      <c r="BU257" s="614">
        <v>43.4</v>
      </c>
      <c r="BV257" s="614">
        <v>49.5</v>
      </c>
      <c r="BW257" s="615">
        <v>1308.5999999999999</v>
      </c>
      <c r="BX257" s="791"/>
      <c r="BY257" s="615">
        <v>0</v>
      </c>
      <c r="BZ257" s="615">
        <v>1.05</v>
      </c>
      <c r="CA257" s="615">
        <v>1</v>
      </c>
      <c r="CB257" s="615">
        <v>8.1</v>
      </c>
      <c r="CC257" s="615">
        <v>8.1</v>
      </c>
      <c r="CD257" s="615">
        <v>16</v>
      </c>
      <c r="CE257" s="615">
        <v>33.4</v>
      </c>
      <c r="CF257" s="615">
        <v>19.829999999999998</v>
      </c>
      <c r="CG257" s="615">
        <v>7.7</v>
      </c>
      <c r="CH257" s="615">
        <v>13.3</v>
      </c>
      <c r="CI257" s="615">
        <v>17.600000000000001</v>
      </c>
      <c r="CJ257" s="615">
        <v>12.92</v>
      </c>
      <c r="CK257" s="615">
        <v>295.3</v>
      </c>
      <c r="CL257" s="615">
        <v>4</v>
      </c>
      <c r="CM257" s="615">
        <v>6.5</v>
      </c>
      <c r="CN257" s="615">
        <v>2934</v>
      </c>
      <c r="CO257" s="615">
        <v>1014.7</v>
      </c>
      <c r="CP257" s="615">
        <v>0</v>
      </c>
      <c r="CQ257" s="615">
        <v>13.7</v>
      </c>
      <c r="CR257" s="615">
        <v>1.01</v>
      </c>
      <c r="CS257" s="386">
        <v>2962.2</v>
      </c>
      <c r="CT257" s="386">
        <v>17.587</v>
      </c>
      <c r="CU257" s="386">
        <v>62</v>
      </c>
      <c r="CV257" s="499">
        <v>0</v>
      </c>
      <c r="CW257" s="499">
        <v>0</v>
      </c>
      <c r="CX257" s="499">
        <v>0</v>
      </c>
      <c r="CY257" s="499">
        <v>0</v>
      </c>
      <c r="CZ257" s="643">
        <v>333</v>
      </c>
      <c r="DA257" s="643">
        <v>335</v>
      </c>
      <c r="DB257" s="643">
        <v>192</v>
      </c>
      <c r="DC257" s="609">
        <v>1148.71</v>
      </c>
      <c r="DD257" s="1153">
        <f t="shared" si="69"/>
        <v>-0.51999999999998181</v>
      </c>
      <c r="DE257" s="1154">
        <f t="shared" si="70"/>
        <v>13.086762624</v>
      </c>
      <c r="DF257" s="1154">
        <f t="shared" si="71"/>
        <v>82</v>
      </c>
      <c r="DG257" s="1154">
        <f t="shared" si="72"/>
        <v>85</v>
      </c>
      <c r="DH257" s="1155" t="str">
        <f t="shared" si="73"/>
        <v>Palm</v>
      </c>
      <c r="DI257" s="1146">
        <f t="shared" si="74"/>
        <v>143</v>
      </c>
      <c r="DJ257" s="1146">
        <f t="shared" si="75"/>
        <v>4.265568</v>
      </c>
      <c r="DK257" s="1154">
        <f t="shared" si="76"/>
        <v>13.086762624</v>
      </c>
      <c r="DL257" s="615"/>
      <c r="DM257" s="615"/>
      <c r="DN257" s="615"/>
      <c r="DO257" s="499"/>
      <c r="DP257" s="499"/>
      <c r="DQ257" s="499"/>
      <c r="DR257" s="499"/>
      <c r="DS257" s="499"/>
      <c r="DT257" s="499"/>
      <c r="DU257" s="499"/>
      <c r="DV257" s="499"/>
      <c r="DW257" s="499"/>
      <c r="DX257" s="499"/>
      <c r="DY257" s="630"/>
      <c r="DZ257" s="499"/>
      <c r="EA257" s="499"/>
      <c r="EB257" s="499"/>
      <c r="EC257" s="499"/>
      <c r="ED257" s="499"/>
      <c r="EE257" s="499"/>
      <c r="EF257" s="615"/>
      <c r="EG257" s="1147">
        <f t="shared" si="77"/>
        <v>44</v>
      </c>
      <c r="EH257" s="611">
        <v>22.5</v>
      </c>
      <c r="EI257" s="615">
        <v>6</v>
      </c>
      <c r="EJ257" s="613">
        <v>6.5</v>
      </c>
      <c r="EK257" s="615">
        <v>9</v>
      </c>
      <c r="EL257" s="499"/>
      <c r="EM257" s="499"/>
      <c r="EN257" s="499"/>
      <c r="EO257" s="499"/>
      <c r="EP257" s="499"/>
      <c r="EQ257" s="499"/>
      <c r="ER257" s="499"/>
      <c r="ES257" s="388"/>
      <c r="ET257" s="388"/>
      <c r="EU257" s="370"/>
      <c r="EV257" s="1167">
        <f t="shared" si="65"/>
        <v>68.067999999999998</v>
      </c>
      <c r="EW257" s="370"/>
      <c r="EX257" s="370"/>
    </row>
    <row r="258" spans="1:154" s="350" customFormat="1" ht="15" x14ac:dyDescent="0.25">
      <c r="A258" s="632" t="s">
        <v>6</v>
      </c>
      <c r="B258" s="662">
        <v>42984</v>
      </c>
      <c r="C258" s="1132" t="s">
        <v>904</v>
      </c>
      <c r="D258" s="386">
        <v>0</v>
      </c>
      <c r="E258" s="636">
        <v>0</v>
      </c>
      <c r="F258" s="636">
        <v>65</v>
      </c>
      <c r="G258" s="636">
        <v>0.5</v>
      </c>
      <c r="H258" s="386">
        <v>1.51</v>
      </c>
      <c r="I258" s="386">
        <v>0</v>
      </c>
      <c r="J258" s="386">
        <v>0</v>
      </c>
      <c r="K258" s="386">
        <v>1.23</v>
      </c>
      <c r="L258" s="636">
        <v>0</v>
      </c>
      <c r="M258" s="386">
        <v>15.6</v>
      </c>
      <c r="N258" s="386">
        <v>1.1499999999999999</v>
      </c>
      <c r="O258" s="386">
        <v>1.5229926961018585</v>
      </c>
      <c r="P258" s="386">
        <v>1.0900000000000001</v>
      </c>
      <c r="Q258" s="386">
        <v>0.67765796239711107</v>
      </c>
      <c r="R258" s="732">
        <v>1449.1053052325581</v>
      </c>
      <c r="S258" s="386">
        <v>8.26</v>
      </c>
      <c r="T258" s="386">
        <v>8.24</v>
      </c>
      <c r="U258" s="386">
        <v>0.64</v>
      </c>
      <c r="V258" s="636">
        <v>0.67</v>
      </c>
      <c r="W258" s="636">
        <v>63.5</v>
      </c>
      <c r="X258" s="613">
        <v>63.5</v>
      </c>
      <c r="Y258" s="367">
        <v>46.5</v>
      </c>
      <c r="Z258" s="636">
        <v>47.4</v>
      </c>
      <c r="AA258" s="636">
        <v>41.96</v>
      </c>
      <c r="AB258" s="636">
        <v>51.6</v>
      </c>
      <c r="AC258" s="1160">
        <f t="shared" si="66"/>
        <v>93.56</v>
      </c>
      <c r="AD258" s="1160">
        <f t="shared" si="67"/>
        <v>144.73732000000001</v>
      </c>
      <c r="AE258" s="1160">
        <f t="shared" si="68"/>
        <v>144.73732000000001</v>
      </c>
      <c r="AF258" s="723"/>
      <c r="AG258" s="1160">
        <f t="shared" si="64"/>
        <v>0</v>
      </c>
      <c r="AH258" s="656"/>
      <c r="AI258" s="656"/>
      <c r="AJ258" s="388"/>
      <c r="AK258" s="388"/>
      <c r="AL258" s="388"/>
      <c r="AM258" s="388"/>
      <c r="AN258" s="388"/>
      <c r="AO258" s="370"/>
      <c r="AP258" s="370"/>
      <c r="AQ258" s="386"/>
      <c r="AR258" s="551">
        <v>0</v>
      </c>
      <c r="AS258" s="386">
        <v>26.1</v>
      </c>
      <c r="AT258" s="386">
        <v>0</v>
      </c>
      <c r="AU258" s="386">
        <v>40.6</v>
      </c>
      <c r="AV258" s="636">
        <v>836.9</v>
      </c>
      <c r="AW258" s="636">
        <v>1916.9</v>
      </c>
      <c r="AX258" s="386">
        <v>0</v>
      </c>
      <c r="AY258" s="551">
        <v>0</v>
      </c>
      <c r="AZ258" s="551">
        <v>0</v>
      </c>
      <c r="BA258" s="551">
        <v>0</v>
      </c>
      <c r="BB258" s="832">
        <v>0</v>
      </c>
      <c r="BC258" s="386">
        <v>1.5</v>
      </c>
      <c r="BD258" s="386">
        <v>2.5</v>
      </c>
      <c r="BE258" s="551">
        <v>0</v>
      </c>
      <c r="BF258" s="386">
        <v>2.4900000000000002</v>
      </c>
      <c r="BG258" s="386">
        <v>4.0599999999999996</v>
      </c>
      <c r="BH258" s="551">
        <v>0</v>
      </c>
      <c r="BI258" s="386">
        <v>1.38</v>
      </c>
      <c r="BJ258" s="386">
        <v>39.9</v>
      </c>
      <c r="BK258" s="386">
        <v>4.91</v>
      </c>
      <c r="BL258" s="386">
        <v>4.18</v>
      </c>
      <c r="BM258" s="386">
        <v>0</v>
      </c>
      <c r="BN258" s="386">
        <v>30.8</v>
      </c>
      <c r="BO258" s="386">
        <v>2668.7</v>
      </c>
      <c r="BP258" s="386">
        <v>1.7</v>
      </c>
      <c r="BQ258" s="615">
        <v>22</v>
      </c>
      <c r="BR258" s="615">
        <v>22.71</v>
      </c>
      <c r="BS258" s="615">
        <v>19.670000000000002</v>
      </c>
      <c r="BT258" s="615">
        <v>19.760000000000002</v>
      </c>
      <c r="BU258" s="614">
        <v>39.5</v>
      </c>
      <c r="BV258" s="614">
        <v>42.8</v>
      </c>
      <c r="BW258" s="615">
        <v>1285.0999999999999</v>
      </c>
      <c r="BX258" s="791"/>
      <c r="BY258" s="615">
        <v>0</v>
      </c>
      <c r="BZ258" s="615">
        <v>1.04</v>
      </c>
      <c r="CA258" s="615">
        <v>1</v>
      </c>
      <c r="CB258" s="615">
        <v>8.1</v>
      </c>
      <c r="CC258" s="615">
        <v>8.1</v>
      </c>
      <c r="CD258" s="615">
        <v>16.3</v>
      </c>
      <c r="CE258" s="615">
        <v>33.5</v>
      </c>
      <c r="CF258" s="615">
        <v>21.4</v>
      </c>
      <c r="CG258" s="615">
        <v>8.4</v>
      </c>
      <c r="CH258" s="615">
        <v>14.5</v>
      </c>
      <c r="CI258" s="615">
        <v>18.399999999999999</v>
      </c>
      <c r="CJ258" s="615">
        <v>13.25</v>
      </c>
      <c r="CK258" s="615">
        <v>372.6</v>
      </c>
      <c r="CL258" s="615">
        <v>4.2</v>
      </c>
      <c r="CM258" s="615">
        <v>6.5</v>
      </c>
      <c r="CN258" s="615">
        <v>2791.3</v>
      </c>
      <c r="CO258" s="615">
        <v>986.9</v>
      </c>
      <c r="CP258" s="615">
        <v>0</v>
      </c>
      <c r="CQ258" s="615">
        <v>13.6</v>
      </c>
      <c r="CR258" s="615">
        <v>1.01</v>
      </c>
      <c r="CS258" s="386">
        <v>2961.4</v>
      </c>
      <c r="CT258" s="386">
        <v>17.402999999999999</v>
      </c>
      <c r="CU258" s="386">
        <v>62</v>
      </c>
      <c r="CV258" s="499">
        <v>0</v>
      </c>
      <c r="CW258" s="499">
        <v>0</v>
      </c>
      <c r="CX258" s="499">
        <v>0</v>
      </c>
      <c r="CY258" s="499">
        <v>0</v>
      </c>
      <c r="CZ258" s="643">
        <v>333</v>
      </c>
      <c r="DA258" s="643">
        <v>335</v>
      </c>
      <c r="DB258" s="643">
        <v>205</v>
      </c>
      <c r="DC258" s="609">
        <v>1148.18</v>
      </c>
      <c r="DD258" s="1153">
        <f t="shared" si="69"/>
        <v>-0.52999999999997272</v>
      </c>
      <c r="DE258" s="1154">
        <f t="shared" si="70"/>
        <v>13.083228287999999</v>
      </c>
      <c r="DF258" s="1154">
        <f t="shared" si="71"/>
        <v>95</v>
      </c>
      <c r="DG258" s="1154">
        <f t="shared" si="72"/>
        <v>85</v>
      </c>
      <c r="DH258" s="1155" t="str">
        <f t="shared" si="73"/>
        <v>Aub</v>
      </c>
      <c r="DI258" s="1146">
        <f t="shared" si="74"/>
        <v>130</v>
      </c>
      <c r="DJ258" s="1146">
        <f t="shared" si="75"/>
        <v>4.2644159999999998</v>
      </c>
      <c r="DK258" s="1154">
        <f t="shared" si="76"/>
        <v>13.083228287999999</v>
      </c>
      <c r="DL258" s="615"/>
      <c r="DM258" s="615"/>
      <c r="DN258" s="615"/>
      <c r="DO258" s="499"/>
      <c r="DP258" s="499"/>
      <c r="DQ258" s="499"/>
      <c r="DR258" s="499"/>
      <c r="DS258" s="499"/>
      <c r="DT258" s="499"/>
      <c r="DU258" s="499"/>
      <c r="DV258" s="499"/>
      <c r="DW258" s="499"/>
      <c r="DX258" s="499"/>
      <c r="DY258" s="630"/>
      <c r="DZ258" s="499"/>
      <c r="EA258" s="499"/>
      <c r="EB258" s="499"/>
      <c r="EC258" s="499"/>
      <c r="ED258" s="499"/>
      <c r="EE258" s="499"/>
      <c r="EF258" s="615"/>
      <c r="EG258" s="1147">
        <f t="shared" si="77"/>
        <v>44</v>
      </c>
      <c r="EH258" s="611">
        <v>22.5</v>
      </c>
      <c r="EI258" s="615">
        <v>6</v>
      </c>
      <c r="EJ258" s="613">
        <v>6.5</v>
      </c>
      <c r="EK258" s="615">
        <v>9</v>
      </c>
      <c r="EL258" s="499"/>
      <c r="EM258" s="499"/>
      <c r="EN258" s="499"/>
      <c r="EO258" s="499"/>
      <c r="EP258" s="499"/>
      <c r="EQ258" s="499"/>
      <c r="ER258" s="499"/>
      <c r="ES258" s="388"/>
      <c r="ET258" s="388"/>
      <c r="EU258" s="370"/>
      <c r="EV258" s="1167">
        <f t="shared" si="65"/>
        <v>68.067999999999998</v>
      </c>
      <c r="EW258" s="370"/>
      <c r="EX258" s="370"/>
    </row>
    <row r="259" spans="1:154" s="350" customFormat="1" ht="15" x14ac:dyDescent="0.25">
      <c r="A259" s="632" t="s">
        <v>7</v>
      </c>
      <c r="B259" s="662">
        <v>42985</v>
      </c>
      <c r="C259" s="1132" t="s">
        <v>904</v>
      </c>
      <c r="D259" s="386">
        <v>0</v>
      </c>
      <c r="E259" s="636">
        <v>0</v>
      </c>
      <c r="F259" s="636">
        <v>65</v>
      </c>
      <c r="G259" s="636">
        <v>0.5</v>
      </c>
      <c r="H259" s="386">
        <v>1.46</v>
      </c>
      <c r="I259" s="386">
        <v>19.399999999999999</v>
      </c>
      <c r="J259" s="386">
        <v>0</v>
      </c>
      <c r="K259" s="386">
        <v>1.1399999999999999</v>
      </c>
      <c r="L259" s="636">
        <v>0</v>
      </c>
      <c r="M259" s="386">
        <v>15.6</v>
      </c>
      <c r="N259" s="386">
        <v>1.1599999999999999</v>
      </c>
      <c r="O259" s="386">
        <v>1.5264677792648005</v>
      </c>
      <c r="P259" s="386">
        <v>1.1000000000000001</v>
      </c>
      <c r="Q259" s="386">
        <v>0.71794470514000763</v>
      </c>
      <c r="R259" s="732">
        <v>1382.7671511627905</v>
      </c>
      <c r="S259" s="386">
        <v>8.18</v>
      </c>
      <c r="T259" s="386">
        <v>8.18</v>
      </c>
      <c r="U259" s="386">
        <v>0.81</v>
      </c>
      <c r="V259" s="636">
        <v>0.68</v>
      </c>
      <c r="W259" s="636">
        <v>63.860000000000014</v>
      </c>
      <c r="X259" s="613">
        <v>63.860000000000014</v>
      </c>
      <c r="Y259" s="367">
        <v>41.96</v>
      </c>
      <c r="Z259" s="636">
        <v>51.6</v>
      </c>
      <c r="AA259" s="636">
        <v>30.3</v>
      </c>
      <c r="AB259" s="636">
        <v>54.84</v>
      </c>
      <c r="AC259" s="1160">
        <f t="shared" si="66"/>
        <v>85.14</v>
      </c>
      <c r="AD259" s="1160">
        <f t="shared" si="67"/>
        <v>131.71158</v>
      </c>
      <c r="AE259" s="1160">
        <f t="shared" si="68"/>
        <v>131.71158</v>
      </c>
      <c r="AF259" s="723"/>
      <c r="AG259" s="1160">
        <f t="shared" si="64"/>
        <v>0</v>
      </c>
      <c r="AH259" s="656"/>
      <c r="AI259" s="656"/>
      <c r="AJ259" s="388"/>
      <c r="AK259" s="388"/>
      <c r="AL259" s="388"/>
      <c r="AM259" s="388"/>
      <c r="AN259" s="388"/>
      <c r="AO259" s="370"/>
      <c r="AP259" s="370"/>
      <c r="AQ259" s="386"/>
      <c r="AR259" s="551">
        <v>0</v>
      </c>
      <c r="AS259" s="386">
        <v>27.5</v>
      </c>
      <c r="AT259" s="386">
        <v>0</v>
      </c>
      <c r="AU259" s="386">
        <v>29</v>
      </c>
      <c r="AV259" s="636">
        <v>241.1</v>
      </c>
      <c r="AW259" s="636">
        <v>2138.8000000000002</v>
      </c>
      <c r="AX259" s="386">
        <v>0.1</v>
      </c>
      <c r="AY259" s="551">
        <v>0</v>
      </c>
      <c r="AZ259" s="551">
        <v>0</v>
      </c>
      <c r="BA259" s="551">
        <v>0</v>
      </c>
      <c r="BB259" s="832">
        <v>0</v>
      </c>
      <c r="BC259" s="386">
        <v>1.5</v>
      </c>
      <c r="BD259" s="386">
        <v>2.5</v>
      </c>
      <c r="BE259" s="551">
        <v>0</v>
      </c>
      <c r="BF259" s="386">
        <v>2.4900000000000002</v>
      </c>
      <c r="BG259" s="386">
        <v>4.09</v>
      </c>
      <c r="BH259" s="551">
        <v>0</v>
      </c>
      <c r="BI259" s="386">
        <v>1.96</v>
      </c>
      <c r="BJ259" s="386">
        <v>42.5</v>
      </c>
      <c r="BK259" s="386">
        <v>4.79</v>
      </c>
      <c r="BL259" s="386">
        <v>4.21</v>
      </c>
      <c r="BM259" s="386">
        <v>0</v>
      </c>
      <c r="BN259" s="386">
        <v>33.4</v>
      </c>
      <c r="BO259" s="386">
        <v>2435.9</v>
      </c>
      <c r="BP259" s="386">
        <v>1.8</v>
      </c>
      <c r="BQ259" s="615">
        <v>21.74</v>
      </c>
      <c r="BR259" s="615">
        <v>22.44</v>
      </c>
      <c r="BS259" s="615">
        <v>13.87</v>
      </c>
      <c r="BT259" s="615">
        <v>13.97</v>
      </c>
      <c r="BU259" s="614">
        <v>28.2</v>
      </c>
      <c r="BV259" s="614">
        <v>34.299999999999997</v>
      </c>
      <c r="BW259" s="615">
        <v>1195.3</v>
      </c>
      <c r="BX259" s="791"/>
      <c r="BY259" s="615">
        <v>0</v>
      </c>
      <c r="BZ259" s="615">
        <v>1.02</v>
      </c>
      <c r="CA259" s="615">
        <v>1</v>
      </c>
      <c r="CB259" s="615">
        <v>8.1</v>
      </c>
      <c r="CC259" s="615">
        <v>8.1</v>
      </c>
      <c r="CD259" s="615">
        <v>16.600000000000001</v>
      </c>
      <c r="CE259" s="615">
        <v>33.49</v>
      </c>
      <c r="CF259" s="615">
        <v>20.07</v>
      </c>
      <c r="CG259" s="615">
        <v>8.9</v>
      </c>
      <c r="CH259" s="615">
        <v>14.59</v>
      </c>
      <c r="CI259" s="615">
        <v>19</v>
      </c>
      <c r="CJ259" s="615">
        <v>13.34</v>
      </c>
      <c r="CK259" s="615">
        <v>361</v>
      </c>
      <c r="CL259" s="615">
        <v>4.2</v>
      </c>
      <c r="CM259" s="615">
        <v>6.4</v>
      </c>
      <c r="CN259" s="615">
        <v>2488.9</v>
      </c>
      <c r="CO259" s="615">
        <v>898.6</v>
      </c>
      <c r="CP259" s="615">
        <v>0</v>
      </c>
      <c r="CQ259" s="615">
        <v>13.2</v>
      </c>
      <c r="CR259" s="615">
        <v>0.98</v>
      </c>
      <c r="CS259" s="386">
        <v>2961.7</v>
      </c>
      <c r="CT259" s="386">
        <v>17.175000000000001</v>
      </c>
      <c r="CU259" s="386">
        <v>62</v>
      </c>
      <c r="CV259" s="499">
        <v>0</v>
      </c>
      <c r="CW259" s="499">
        <v>0</v>
      </c>
      <c r="CX259" s="499">
        <v>0</v>
      </c>
      <c r="CY259" s="499">
        <v>0</v>
      </c>
      <c r="CZ259" s="643">
        <v>333</v>
      </c>
      <c r="DA259" s="643">
        <v>349</v>
      </c>
      <c r="DB259" s="643">
        <v>207</v>
      </c>
      <c r="DC259" s="609">
        <v>1147.6500000000001</v>
      </c>
      <c r="DD259" s="1153">
        <f t="shared" si="69"/>
        <v>-0.52999999999997272</v>
      </c>
      <c r="DE259" s="1154">
        <f t="shared" si="70"/>
        <v>13.084553664</v>
      </c>
      <c r="DF259" s="1154">
        <f t="shared" si="71"/>
        <v>97</v>
      </c>
      <c r="DG259" s="1154">
        <f t="shared" si="72"/>
        <v>99</v>
      </c>
      <c r="DH259" s="1155" t="str">
        <f t="shared" si="73"/>
        <v>Palm</v>
      </c>
      <c r="DI259" s="1146">
        <f t="shared" si="74"/>
        <v>142</v>
      </c>
      <c r="DJ259" s="1146">
        <f t="shared" si="75"/>
        <v>4.2648479999999998</v>
      </c>
      <c r="DK259" s="1154">
        <f t="shared" si="76"/>
        <v>13.084553664</v>
      </c>
      <c r="DL259" s="615"/>
      <c r="DM259" s="615"/>
      <c r="DN259" s="615"/>
      <c r="DO259" s="499"/>
      <c r="DP259" s="499"/>
      <c r="DQ259" s="499"/>
      <c r="DR259" s="499"/>
      <c r="DS259" s="499"/>
      <c r="DT259" s="499"/>
      <c r="DU259" s="499"/>
      <c r="DV259" s="499"/>
      <c r="DW259" s="499"/>
      <c r="DX259" s="499"/>
      <c r="DY259" s="630"/>
      <c r="DZ259" s="499"/>
      <c r="EA259" s="499"/>
      <c r="EB259" s="499"/>
      <c r="EC259" s="499"/>
      <c r="ED259" s="499"/>
      <c r="EE259" s="499"/>
      <c r="EF259" s="615"/>
      <c r="EG259" s="1147">
        <f t="shared" si="77"/>
        <v>44</v>
      </c>
      <c r="EH259" s="611">
        <v>22.5</v>
      </c>
      <c r="EI259" s="615">
        <v>6</v>
      </c>
      <c r="EJ259" s="613">
        <v>6.5</v>
      </c>
      <c r="EK259" s="615">
        <v>9</v>
      </c>
      <c r="EL259" s="499"/>
      <c r="EM259" s="499"/>
      <c r="EN259" s="499"/>
      <c r="EO259" s="499"/>
      <c r="EP259" s="499"/>
      <c r="EQ259" s="499"/>
      <c r="ER259" s="499"/>
      <c r="ES259" s="388"/>
      <c r="ET259" s="388"/>
      <c r="EU259" s="370"/>
      <c r="EV259" s="1167">
        <f t="shared" si="65"/>
        <v>68.067999999999998</v>
      </c>
      <c r="EW259" s="370"/>
      <c r="EX259" s="370"/>
    </row>
    <row r="260" spans="1:154" s="350" customFormat="1" ht="15" x14ac:dyDescent="0.25">
      <c r="A260" s="632" t="s">
        <v>8</v>
      </c>
      <c r="B260" s="662">
        <v>42986</v>
      </c>
      <c r="C260" s="1132" t="s">
        <v>904</v>
      </c>
      <c r="D260" s="386">
        <v>0</v>
      </c>
      <c r="E260" s="636">
        <v>0</v>
      </c>
      <c r="F260" s="636">
        <v>63.1</v>
      </c>
      <c r="G260" s="636">
        <v>0.4</v>
      </c>
      <c r="H260" s="386">
        <v>1.49</v>
      </c>
      <c r="I260" s="386">
        <v>20.100000000000001</v>
      </c>
      <c r="J260" s="386">
        <v>0</v>
      </c>
      <c r="K260" s="386">
        <v>1.1599999999999999</v>
      </c>
      <c r="L260" s="636">
        <v>0</v>
      </c>
      <c r="M260" s="386">
        <v>15.6</v>
      </c>
      <c r="N260" s="386">
        <v>1.2</v>
      </c>
      <c r="O260" s="386">
        <v>1.6058233893681164</v>
      </c>
      <c r="P260" s="386">
        <v>1.1499999999999999</v>
      </c>
      <c r="Q260" s="386">
        <v>0.70413439864870142</v>
      </c>
      <c r="R260" s="732">
        <v>1388.7675872093023</v>
      </c>
      <c r="S260" s="386">
        <v>8.18</v>
      </c>
      <c r="T260" s="386">
        <v>8.2100000000000009</v>
      </c>
      <c r="U260" s="386">
        <v>0.63</v>
      </c>
      <c r="V260" s="636">
        <v>0.68</v>
      </c>
      <c r="W260" s="636">
        <v>64.039999999999992</v>
      </c>
      <c r="X260" s="613">
        <v>64.039999999999992</v>
      </c>
      <c r="Y260" s="367">
        <v>30.3</v>
      </c>
      <c r="Z260" s="636">
        <v>54.84</v>
      </c>
      <c r="AA260" s="636">
        <v>26.79</v>
      </c>
      <c r="AB260" s="636">
        <v>55.07</v>
      </c>
      <c r="AC260" s="1160">
        <f t="shared" si="66"/>
        <v>81.86</v>
      </c>
      <c r="AD260" s="1160">
        <f t="shared" si="67"/>
        <v>126.63741999999999</v>
      </c>
      <c r="AE260" s="1160">
        <f t="shared" si="68"/>
        <v>126.63741999999999</v>
      </c>
      <c r="AF260" s="723"/>
      <c r="AG260" s="1160">
        <f t="shared" si="64"/>
        <v>0</v>
      </c>
      <c r="AH260" s="656"/>
      <c r="AI260" s="656"/>
      <c r="AJ260" s="388"/>
      <c r="AK260" s="388"/>
      <c r="AL260" s="388"/>
      <c r="AM260" s="388"/>
      <c r="AN260" s="388"/>
      <c r="AO260" s="370"/>
      <c r="AP260" s="370"/>
      <c r="AQ260" s="386"/>
      <c r="AR260" s="551">
        <v>0</v>
      </c>
      <c r="AS260" s="386">
        <v>25.9</v>
      </c>
      <c r="AT260" s="386">
        <v>0</v>
      </c>
      <c r="AU260" s="386">
        <v>25.2</v>
      </c>
      <c r="AV260" s="636">
        <v>979.5</v>
      </c>
      <c r="AW260" s="636">
        <v>1182.3</v>
      </c>
      <c r="AX260" s="386">
        <v>0.3</v>
      </c>
      <c r="AY260" s="551">
        <v>0</v>
      </c>
      <c r="AZ260" s="551">
        <v>0</v>
      </c>
      <c r="BA260" s="551">
        <v>0</v>
      </c>
      <c r="BB260" s="832">
        <v>0</v>
      </c>
      <c r="BC260" s="386">
        <v>0.85</v>
      </c>
      <c r="BD260" s="386">
        <v>2.5</v>
      </c>
      <c r="BE260" s="551">
        <v>0</v>
      </c>
      <c r="BF260" s="386">
        <v>2.14</v>
      </c>
      <c r="BG260" s="386">
        <v>3.92</v>
      </c>
      <c r="BH260" s="551">
        <v>0</v>
      </c>
      <c r="BI260" s="386">
        <v>2.11</v>
      </c>
      <c r="BJ260" s="386">
        <v>43.7</v>
      </c>
      <c r="BK260" s="386">
        <v>4.7699999999999996</v>
      </c>
      <c r="BL260" s="386">
        <v>3.59</v>
      </c>
      <c r="BM260" s="386">
        <v>0</v>
      </c>
      <c r="BN260" s="386">
        <v>35.299999999999997</v>
      </c>
      <c r="BO260" s="386">
        <v>2305.6999999999998</v>
      </c>
      <c r="BP260" s="386">
        <v>1.8</v>
      </c>
      <c r="BQ260" s="615">
        <v>21.66</v>
      </c>
      <c r="BR260" s="615">
        <v>22.39</v>
      </c>
      <c r="BS260" s="615">
        <v>11.81</v>
      </c>
      <c r="BT260" s="615">
        <v>11.89</v>
      </c>
      <c r="BU260" s="614">
        <v>24.3</v>
      </c>
      <c r="BV260" s="614">
        <v>29</v>
      </c>
      <c r="BW260" s="615">
        <v>1180.8</v>
      </c>
      <c r="BX260" s="791"/>
      <c r="BY260" s="615">
        <v>0</v>
      </c>
      <c r="BZ260" s="615">
        <v>1.03</v>
      </c>
      <c r="CA260" s="615">
        <v>1</v>
      </c>
      <c r="CB260" s="615">
        <v>8.1</v>
      </c>
      <c r="CC260" s="615">
        <v>8.1</v>
      </c>
      <c r="CD260" s="615">
        <v>16.5</v>
      </c>
      <c r="CE260" s="615">
        <v>33.299999999999997</v>
      </c>
      <c r="CF260" s="615">
        <v>19.899999999999999</v>
      </c>
      <c r="CG260" s="615">
        <v>9.1</v>
      </c>
      <c r="CH260" s="615">
        <v>14.8</v>
      </c>
      <c r="CI260" s="615">
        <v>19.100000000000001</v>
      </c>
      <c r="CJ260" s="615">
        <v>13.23</v>
      </c>
      <c r="CK260" s="615">
        <v>352.7</v>
      </c>
      <c r="CL260" s="615">
        <v>4.4000000000000004</v>
      </c>
      <c r="CM260" s="615">
        <v>6.8</v>
      </c>
      <c r="CN260" s="615">
        <v>2269.3000000000002</v>
      </c>
      <c r="CO260" s="615">
        <v>893.8</v>
      </c>
      <c r="CP260" s="615">
        <v>0</v>
      </c>
      <c r="CQ260" s="615">
        <v>13</v>
      </c>
      <c r="CR260" s="615">
        <v>0.97</v>
      </c>
      <c r="CS260" s="386">
        <v>2961.8</v>
      </c>
      <c r="CT260" s="386">
        <v>17.312000000000001</v>
      </c>
      <c r="CU260" s="386">
        <v>62</v>
      </c>
      <c r="CV260" s="499">
        <v>0</v>
      </c>
      <c r="CW260" s="499">
        <v>0</v>
      </c>
      <c r="CX260" s="499">
        <v>0</v>
      </c>
      <c r="CY260" s="499">
        <v>0</v>
      </c>
      <c r="CZ260" s="643">
        <v>314</v>
      </c>
      <c r="DA260" s="643">
        <v>359</v>
      </c>
      <c r="DB260" s="643">
        <v>187</v>
      </c>
      <c r="DC260" s="609">
        <v>1147.1400000000001</v>
      </c>
      <c r="DD260" s="1153">
        <f t="shared" si="69"/>
        <v>-0.50999999999999091</v>
      </c>
      <c r="DE260" s="1154">
        <f t="shared" si="70"/>
        <v>13.084995456000001</v>
      </c>
      <c r="DF260" s="1154">
        <f t="shared" si="71"/>
        <v>77</v>
      </c>
      <c r="DG260" s="1154">
        <f t="shared" si="72"/>
        <v>109</v>
      </c>
      <c r="DH260" s="1155" t="str">
        <f t="shared" si="73"/>
        <v>Palm</v>
      </c>
      <c r="DI260" s="1146">
        <f t="shared" si="74"/>
        <v>172</v>
      </c>
      <c r="DJ260" s="1146">
        <f t="shared" si="75"/>
        <v>4.2649920000000003</v>
      </c>
      <c r="DK260" s="1154">
        <f t="shared" si="76"/>
        <v>13.084995456000001</v>
      </c>
      <c r="DL260" s="615"/>
      <c r="DM260" s="615"/>
      <c r="DN260" s="615"/>
      <c r="DO260" s="499"/>
      <c r="DP260" s="499"/>
      <c r="DQ260" s="499"/>
      <c r="DR260" s="499"/>
      <c r="DS260" s="499"/>
      <c r="DT260" s="499"/>
      <c r="DU260" s="499"/>
      <c r="DV260" s="499"/>
      <c r="DW260" s="499"/>
      <c r="DX260" s="499"/>
      <c r="DY260" s="630"/>
      <c r="DZ260" s="499"/>
      <c r="EA260" s="499"/>
      <c r="EB260" s="499"/>
      <c r="EC260" s="499"/>
      <c r="ED260" s="499"/>
      <c r="EE260" s="499"/>
      <c r="EF260" s="615"/>
      <c r="EG260" s="1147">
        <f t="shared" si="77"/>
        <v>35</v>
      </c>
      <c r="EH260" s="611">
        <v>16</v>
      </c>
      <c r="EI260" s="615">
        <v>6</v>
      </c>
      <c r="EJ260" s="613">
        <v>5</v>
      </c>
      <c r="EK260" s="615">
        <v>8</v>
      </c>
      <c r="EL260" s="499"/>
      <c r="EM260" s="499"/>
      <c r="EN260" s="499"/>
      <c r="EO260" s="499"/>
      <c r="EP260" s="499"/>
      <c r="EQ260" s="499"/>
      <c r="ER260" s="499"/>
      <c r="ES260" s="388"/>
      <c r="ET260" s="388"/>
      <c r="EU260" s="370"/>
      <c r="EV260" s="1167">
        <f t="shared" si="65"/>
        <v>54.144999999999996</v>
      </c>
      <c r="EW260" s="370"/>
      <c r="EX260" s="370"/>
    </row>
    <row r="261" spans="1:154" s="350" customFormat="1" ht="15" x14ac:dyDescent="0.25">
      <c r="A261" s="632" t="s">
        <v>9</v>
      </c>
      <c r="B261" s="662">
        <v>42987</v>
      </c>
      <c r="C261" s="1132" t="s">
        <v>904</v>
      </c>
      <c r="D261" s="386">
        <v>0.32</v>
      </c>
      <c r="E261" s="636">
        <v>0</v>
      </c>
      <c r="F261" s="636">
        <v>56.8</v>
      </c>
      <c r="G261" s="636">
        <v>0.4</v>
      </c>
      <c r="H261" s="386">
        <v>1.49</v>
      </c>
      <c r="I261" s="386">
        <v>19.600000000000001</v>
      </c>
      <c r="J261" s="386">
        <v>0</v>
      </c>
      <c r="K261" s="386">
        <v>1.19</v>
      </c>
      <c r="L261" s="636">
        <v>0</v>
      </c>
      <c r="M261" s="386">
        <v>15.6</v>
      </c>
      <c r="N261" s="386">
        <v>1.19</v>
      </c>
      <c r="O261" s="386">
        <v>1.6252810817206915</v>
      </c>
      <c r="P261" s="386">
        <v>1.19</v>
      </c>
      <c r="Q261" s="386">
        <v>0.69185118003107693</v>
      </c>
      <c r="R261" s="732">
        <v>1374.7665697674418</v>
      </c>
      <c r="S261" s="386">
        <v>8.35</v>
      </c>
      <c r="T261" s="386">
        <v>8.27</v>
      </c>
      <c r="U261" s="386">
        <v>0.64</v>
      </c>
      <c r="V261" s="636">
        <v>0.69</v>
      </c>
      <c r="W261" s="636">
        <v>63.860000000000014</v>
      </c>
      <c r="X261" s="613">
        <v>63.860000000000014</v>
      </c>
      <c r="Y261" s="367">
        <v>26.79</v>
      </c>
      <c r="Z261" s="636">
        <v>55.07</v>
      </c>
      <c r="AA261" s="636">
        <v>25.41</v>
      </c>
      <c r="AB261" s="636">
        <v>54.89</v>
      </c>
      <c r="AC261" s="1160">
        <f t="shared" si="66"/>
        <v>80.3</v>
      </c>
      <c r="AD261" s="1160">
        <f t="shared" si="67"/>
        <v>124.22409999999999</v>
      </c>
      <c r="AE261" s="1160">
        <f t="shared" si="68"/>
        <v>124.22409999999999</v>
      </c>
      <c r="AF261" s="723"/>
      <c r="AG261" s="1160">
        <f t="shared" si="64"/>
        <v>0</v>
      </c>
      <c r="AH261" s="656"/>
      <c r="AI261" s="656"/>
      <c r="AJ261" s="388"/>
      <c r="AK261" s="388"/>
      <c r="AL261" s="388"/>
      <c r="AM261" s="388"/>
      <c r="AN261" s="388"/>
      <c r="AO261" s="370"/>
      <c r="AP261" s="370"/>
      <c r="AQ261" s="386"/>
      <c r="AR261" s="551">
        <v>0</v>
      </c>
      <c r="AS261" s="386">
        <v>23</v>
      </c>
      <c r="AT261" s="386">
        <v>0</v>
      </c>
      <c r="AU261" s="386">
        <v>23.7</v>
      </c>
      <c r="AV261" s="636">
        <v>606.5</v>
      </c>
      <c r="AW261" s="636">
        <v>1123.0999999999999</v>
      </c>
      <c r="AX261" s="386">
        <v>0</v>
      </c>
      <c r="AY261" s="551">
        <v>0</v>
      </c>
      <c r="AZ261" s="551">
        <v>0</v>
      </c>
      <c r="BA261" s="551">
        <v>0</v>
      </c>
      <c r="BB261" s="832">
        <v>0</v>
      </c>
      <c r="BC261" s="386">
        <v>0.49</v>
      </c>
      <c r="BD261" s="386">
        <v>2.5</v>
      </c>
      <c r="BE261" s="551">
        <v>0</v>
      </c>
      <c r="BF261" s="386">
        <v>1.99</v>
      </c>
      <c r="BG261" s="386">
        <v>3.38</v>
      </c>
      <c r="BH261" s="551">
        <v>0</v>
      </c>
      <c r="BI261" s="386">
        <v>2.38</v>
      </c>
      <c r="BJ261" s="386">
        <v>44.2</v>
      </c>
      <c r="BK261" s="386">
        <v>4.43</v>
      </c>
      <c r="BL261" s="386">
        <v>3.53</v>
      </c>
      <c r="BM261" s="386">
        <v>0</v>
      </c>
      <c r="BN261" s="386">
        <v>36.200000000000003</v>
      </c>
      <c r="BO261" s="386">
        <v>2008.8</v>
      </c>
      <c r="BP261" s="386">
        <v>1.9</v>
      </c>
      <c r="BQ261" s="615">
        <v>23.07</v>
      </c>
      <c r="BR261" s="615">
        <v>23.76</v>
      </c>
      <c r="BS261" s="615">
        <v>11.24</v>
      </c>
      <c r="BT261" s="615">
        <v>11.32</v>
      </c>
      <c r="BU261" s="614">
        <v>23.3</v>
      </c>
      <c r="BV261" s="614">
        <v>23.2</v>
      </c>
      <c r="BW261" s="615">
        <v>1061.0999999999999</v>
      </c>
      <c r="BX261" s="791"/>
      <c r="BY261" s="615">
        <v>0</v>
      </c>
      <c r="BZ261" s="615">
        <v>1.03</v>
      </c>
      <c r="CA261" s="615">
        <v>1</v>
      </c>
      <c r="CB261" s="615">
        <v>8.1999999999999993</v>
      </c>
      <c r="CC261" s="615">
        <v>8.1</v>
      </c>
      <c r="CD261" s="615">
        <v>15.9</v>
      </c>
      <c r="CE261" s="615">
        <v>33.5</v>
      </c>
      <c r="CF261" s="615">
        <v>18.5</v>
      </c>
      <c r="CG261" s="615">
        <v>8.4</v>
      </c>
      <c r="CH261" s="615">
        <v>14.1</v>
      </c>
      <c r="CI261" s="615">
        <v>18</v>
      </c>
      <c r="CJ261" s="615">
        <v>13.45</v>
      </c>
      <c r="CK261" s="615">
        <v>376.1</v>
      </c>
      <c r="CL261" s="615">
        <v>3.3</v>
      </c>
      <c r="CM261" s="615">
        <v>5.3</v>
      </c>
      <c r="CN261" s="615">
        <v>2100.9</v>
      </c>
      <c r="CO261" s="615">
        <v>862.2</v>
      </c>
      <c r="CP261" s="615">
        <v>0</v>
      </c>
      <c r="CQ261" s="615">
        <v>13.4</v>
      </c>
      <c r="CR261" s="615">
        <v>0.93</v>
      </c>
      <c r="CS261" s="386">
        <v>2966.1</v>
      </c>
      <c r="CT261" s="386">
        <v>17.152000000000001</v>
      </c>
      <c r="CU261" s="386">
        <v>62</v>
      </c>
      <c r="CV261" s="499">
        <v>0</v>
      </c>
      <c r="CW261" s="499">
        <v>0</v>
      </c>
      <c r="CX261" s="499">
        <v>0</v>
      </c>
      <c r="CY261" s="499">
        <v>0</v>
      </c>
      <c r="CZ261" s="643">
        <v>314</v>
      </c>
      <c r="DA261" s="643">
        <v>340</v>
      </c>
      <c r="DB261" s="643">
        <v>196</v>
      </c>
      <c r="DC261" s="609">
        <v>1146.6500000000001</v>
      </c>
      <c r="DD261" s="1153">
        <f t="shared" si="69"/>
        <v>-0.49000000000000909</v>
      </c>
      <c r="DE261" s="1154">
        <f t="shared" si="70"/>
        <v>13.103992512</v>
      </c>
      <c r="DF261" s="1154">
        <f t="shared" si="71"/>
        <v>86</v>
      </c>
      <c r="DG261" s="1154">
        <f t="shared" si="72"/>
        <v>90</v>
      </c>
      <c r="DH261" s="1155" t="str">
        <f t="shared" si="73"/>
        <v>Palm</v>
      </c>
      <c r="DI261" s="1146">
        <f t="shared" si="74"/>
        <v>144</v>
      </c>
      <c r="DJ261" s="1146">
        <f t="shared" si="75"/>
        <v>4.2711839999999999</v>
      </c>
      <c r="DK261" s="1154">
        <f t="shared" si="76"/>
        <v>13.103992512</v>
      </c>
      <c r="DL261" s="615"/>
      <c r="DM261" s="615"/>
      <c r="DN261" s="615"/>
      <c r="DO261" s="499"/>
      <c r="DP261" s="499"/>
      <c r="DQ261" s="499"/>
      <c r="DR261" s="499"/>
      <c r="DS261" s="499"/>
      <c r="DT261" s="499"/>
      <c r="DU261" s="499"/>
      <c r="DV261" s="499"/>
      <c r="DW261" s="499"/>
      <c r="DX261" s="499"/>
      <c r="DY261" s="630"/>
      <c r="DZ261" s="499"/>
      <c r="EA261" s="499"/>
      <c r="EB261" s="499"/>
      <c r="EC261" s="499"/>
      <c r="ED261" s="499"/>
      <c r="EE261" s="499"/>
      <c r="EF261" s="615"/>
      <c r="EG261" s="1147">
        <f t="shared" si="77"/>
        <v>35</v>
      </c>
      <c r="EH261" s="611">
        <v>16</v>
      </c>
      <c r="EI261" s="615">
        <v>6</v>
      </c>
      <c r="EJ261" s="613">
        <v>5</v>
      </c>
      <c r="EK261" s="615">
        <v>8</v>
      </c>
      <c r="EL261" s="499"/>
      <c r="EM261" s="499"/>
      <c r="EN261" s="499"/>
      <c r="EO261" s="499"/>
      <c r="EP261" s="499"/>
      <c r="EQ261" s="499"/>
      <c r="ER261" s="499"/>
      <c r="ES261" s="388"/>
      <c r="ET261" s="388"/>
      <c r="EU261" s="370"/>
      <c r="EV261" s="1167">
        <f t="shared" si="65"/>
        <v>54.144999999999996</v>
      </c>
      <c r="EW261" s="370"/>
      <c r="EX261" s="370"/>
    </row>
    <row r="262" spans="1:154" s="350" customFormat="1" ht="15" x14ac:dyDescent="0.25">
      <c r="A262" s="632" t="s">
        <v>3</v>
      </c>
      <c r="B262" s="662">
        <v>42988</v>
      </c>
      <c r="C262" s="1132" t="s">
        <v>904</v>
      </c>
      <c r="D262" s="386">
        <v>0.02</v>
      </c>
      <c r="E262" s="636">
        <v>0</v>
      </c>
      <c r="F262" s="636">
        <v>54.1</v>
      </c>
      <c r="G262" s="636">
        <v>0.4</v>
      </c>
      <c r="H262" s="386">
        <v>1.5</v>
      </c>
      <c r="I262" s="386">
        <v>20.399999999999999</v>
      </c>
      <c r="J262" s="386">
        <v>0</v>
      </c>
      <c r="K262" s="386">
        <v>1.18</v>
      </c>
      <c r="L262" s="636">
        <v>0</v>
      </c>
      <c r="M262" s="386">
        <v>15.7</v>
      </c>
      <c r="N262" s="386">
        <v>1.24</v>
      </c>
      <c r="O262" s="386">
        <v>1.5892482235145624</v>
      </c>
      <c r="P262" s="386">
        <v>1.28</v>
      </c>
      <c r="Q262" s="386">
        <v>0.69102739076187847</v>
      </c>
      <c r="R262" s="732">
        <v>1362.7656976744186</v>
      </c>
      <c r="S262" s="386">
        <v>8.2899999999999991</v>
      </c>
      <c r="T262" s="386">
        <v>8.2100000000000009</v>
      </c>
      <c r="U262" s="386">
        <v>0.64</v>
      </c>
      <c r="V262" s="636">
        <v>0.69</v>
      </c>
      <c r="W262" s="636">
        <v>63.5</v>
      </c>
      <c r="X262" s="613">
        <v>63.5</v>
      </c>
      <c r="Y262" s="367">
        <v>25.41</v>
      </c>
      <c r="Z262" s="636">
        <v>54.89</v>
      </c>
      <c r="AA262" s="636">
        <v>25.38</v>
      </c>
      <c r="AB262" s="636">
        <v>55.51</v>
      </c>
      <c r="AC262" s="1160">
        <f t="shared" si="66"/>
        <v>80.89</v>
      </c>
      <c r="AD262" s="1160">
        <f t="shared" si="67"/>
        <v>125.13682999999999</v>
      </c>
      <c r="AE262" s="1160">
        <f t="shared" si="68"/>
        <v>125.13682999999999</v>
      </c>
      <c r="AF262" s="723"/>
      <c r="AG262" s="1160">
        <f t="shared" si="64"/>
        <v>0</v>
      </c>
      <c r="AH262" s="656"/>
      <c r="AI262" s="656"/>
      <c r="AJ262" s="388"/>
      <c r="AK262" s="388"/>
      <c r="AL262" s="388"/>
      <c r="AM262" s="388"/>
      <c r="AN262" s="388"/>
      <c r="AO262" s="370"/>
      <c r="AP262" s="370"/>
      <c r="AQ262" s="386"/>
      <c r="AR262" s="551">
        <v>0</v>
      </c>
      <c r="AS262" s="386">
        <v>14.3</v>
      </c>
      <c r="AT262" s="386">
        <v>0</v>
      </c>
      <c r="AU262" s="386">
        <v>23.7</v>
      </c>
      <c r="AV262" s="636">
        <v>615.4</v>
      </c>
      <c r="AW262" s="636">
        <v>1147.0999999999999</v>
      </c>
      <c r="AX262" s="386">
        <v>0</v>
      </c>
      <c r="AY262" s="551">
        <v>0</v>
      </c>
      <c r="AZ262" s="551">
        <v>0</v>
      </c>
      <c r="BA262" s="551">
        <v>0</v>
      </c>
      <c r="BB262" s="832">
        <v>0</v>
      </c>
      <c r="BC262" s="386">
        <v>0.5</v>
      </c>
      <c r="BD262" s="386">
        <v>2.5</v>
      </c>
      <c r="BE262" s="551">
        <v>0</v>
      </c>
      <c r="BF262" s="386">
        <v>1.99</v>
      </c>
      <c r="BG262" s="386">
        <v>3.44</v>
      </c>
      <c r="BH262" s="551">
        <v>0</v>
      </c>
      <c r="BI262" s="386">
        <v>2.38</v>
      </c>
      <c r="BJ262" s="386">
        <v>44.9</v>
      </c>
      <c r="BK262" s="386">
        <v>4.2699999999999996</v>
      </c>
      <c r="BL262" s="386">
        <v>3.75</v>
      </c>
      <c r="BM262" s="386">
        <v>0</v>
      </c>
      <c r="BN262" s="386">
        <v>36.799999999999997</v>
      </c>
      <c r="BO262" s="386">
        <v>2385.4</v>
      </c>
      <c r="BP262" s="386">
        <v>2</v>
      </c>
      <c r="BQ262" s="615">
        <v>22.84</v>
      </c>
      <c r="BR262" s="615">
        <v>23.57</v>
      </c>
      <c r="BS262" s="615">
        <v>11.24</v>
      </c>
      <c r="BT262" s="615">
        <v>11.36</v>
      </c>
      <c r="BU262" s="614">
        <v>23.3</v>
      </c>
      <c r="BV262" s="614">
        <v>28.1</v>
      </c>
      <c r="BW262" s="615">
        <v>1124</v>
      </c>
      <c r="BX262" s="791"/>
      <c r="BY262" s="615">
        <v>0</v>
      </c>
      <c r="BZ262" s="615">
        <v>1.05</v>
      </c>
      <c r="CA262" s="615">
        <v>1</v>
      </c>
      <c r="CB262" s="615">
        <v>8.3000000000000007</v>
      </c>
      <c r="CC262" s="615">
        <v>8.1999999999999993</v>
      </c>
      <c r="CD262" s="615">
        <v>16.2</v>
      </c>
      <c r="CE262" s="615">
        <v>33.5</v>
      </c>
      <c r="CF262" s="615">
        <v>19</v>
      </c>
      <c r="CG262" s="615">
        <v>8.9</v>
      </c>
      <c r="CH262" s="615">
        <v>14.7</v>
      </c>
      <c r="CI262" s="615">
        <v>18.7</v>
      </c>
      <c r="CJ262" s="615">
        <v>13.2</v>
      </c>
      <c r="CK262" s="615">
        <v>379.9</v>
      </c>
      <c r="CL262" s="615">
        <v>4</v>
      </c>
      <c r="CM262" s="615">
        <v>5.5</v>
      </c>
      <c r="CN262" s="615">
        <v>2473</v>
      </c>
      <c r="CO262" s="615">
        <v>931</v>
      </c>
      <c r="CP262" s="615">
        <v>0</v>
      </c>
      <c r="CQ262" s="615">
        <v>13.8</v>
      </c>
      <c r="CR262" s="615">
        <v>0.87</v>
      </c>
      <c r="CS262" s="386">
        <v>2966.1</v>
      </c>
      <c r="CT262" s="386">
        <v>17.96</v>
      </c>
      <c r="CU262" s="386">
        <v>62</v>
      </c>
      <c r="CV262" s="499">
        <v>0</v>
      </c>
      <c r="CW262" s="499">
        <v>0</v>
      </c>
      <c r="CX262" s="499">
        <v>0</v>
      </c>
      <c r="CY262" s="499">
        <v>0</v>
      </c>
      <c r="CZ262" s="643">
        <v>311</v>
      </c>
      <c r="DA262" s="1016">
        <v>336</v>
      </c>
      <c r="DB262" s="643">
        <v>190</v>
      </c>
      <c r="DC262" s="609">
        <v>1146.1600000000001</v>
      </c>
      <c r="DD262" s="1153">
        <f t="shared" si="69"/>
        <v>-0.49000000000000909</v>
      </c>
      <c r="DE262" s="1154">
        <f t="shared" si="70"/>
        <v>13.103992512</v>
      </c>
      <c r="DF262" s="1154">
        <f t="shared" si="71"/>
        <v>80</v>
      </c>
      <c r="DG262" s="1154">
        <f t="shared" si="72"/>
        <v>86</v>
      </c>
      <c r="DH262" s="1155" t="str">
        <f t="shared" si="73"/>
        <v>Palm</v>
      </c>
      <c r="DI262" s="1146">
        <f t="shared" si="74"/>
        <v>146</v>
      </c>
      <c r="DJ262" s="1146">
        <f t="shared" si="75"/>
        <v>4.2711839999999999</v>
      </c>
      <c r="DK262" s="1154">
        <f t="shared" si="76"/>
        <v>13.103992512</v>
      </c>
      <c r="DL262" s="615"/>
      <c r="DM262" s="615"/>
      <c r="DN262" s="615"/>
      <c r="DO262" s="499"/>
      <c r="DP262" s="499"/>
      <c r="DQ262" s="499"/>
      <c r="DR262" s="499"/>
      <c r="DS262" s="499"/>
      <c r="DT262" s="499"/>
      <c r="DU262" s="499"/>
      <c r="DV262" s="499"/>
      <c r="DW262" s="499"/>
      <c r="DX262" s="499"/>
      <c r="DY262" s="630"/>
      <c r="DZ262" s="499"/>
      <c r="EA262" s="499"/>
      <c r="EB262" s="499"/>
      <c r="EC262" s="499"/>
      <c r="ED262" s="499"/>
      <c r="EE262" s="499"/>
      <c r="EF262" s="499"/>
      <c r="EG262" s="1147">
        <f t="shared" si="77"/>
        <v>35</v>
      </c>
      <c r="EH262" s="611">
        <v>16</v>
      </c>
      <c r="EI262" s="615">
        <v>6</v>
      </c>
      <c r="EJ262" s="613">
        <v>5</v>
      </c>
      <c r="EK262" s="615">
        <v>8</v>
      </c>
      <c r="EL262" s="499"/>
      <c r="EM262" s="499"/>
      <c r="EN262" s="499"/>
      <c r="EO262" s="499"/>
      <c r="EP262" s="499"/>
      <c r="EQ262" s="499"/>
      <c r="ER262" s="499"/>
      <c r="ES262" s="388"/>
      <c r="ET262" s="388"/>
      <c r="EU262" s="370"/>
      <c r="EV262" s="1167">
        <f t="shared" si="65"/>
        <v>54.144999999999996</v>
      </c>
      <c r="EW262" s="370"/>
      <c r="EX262" s="370"/>
    </row>
    <row r="263" spans="1:154" s="350" customFormat="1" ht="15" x14ac:dyDescent="0.25">
      <c r="A263" s="632" t="s">
        <v>4</v>
      </c>
      <c r="B263" s="662">
        <v>42989</v>
      </c>
      <c r="C263" s="1132" t="s">
        <v>904</v>
      </c>
      <c r="D263" s="386">
        <v>0</v>
      </c>
      <c r="E263" s="636">
        <v>0</v>
      </c>
      <c r="F263" s="636">
        <v>54</v>
      </c>
      <c r="G263" s="636">
        <v>0.5</v>
      </c>
      <c r="H263" s="386">
        <v>1.5</v>
      </c>
      <c r="I263" s="386">
        <v>20.8</v>
      </c>
      <c r="J263" s="386">
        <v>0</v>
      </c>
      <c r="K263" s="386">
        <v>1.1299999999999999</v>
      </c>
      <c r="L263" s="636">
        <v>0</v>
      </c>
      <c r="M263" s="386">
        <v>15.6</v>
      </c>
      <c r="N263" s="386">
        <v>1.27</v>
      </c>
      <c r="O263" s="386">
        <v>1.543826711886078</v>
      </c>
      <c r="P263" s="386">
        <v>1.25</v>
      </c>
      <c r="Q263" s="386">
        <v>0.67527016020882913</v>
      </c>
      <c r="R263" s="732">
        <v>1319.429215116279</v>
      </c>
      <c r="S263" s="386">
        <v>8.14</v>
      </c>
      <c r="T263" s="386">
        <v>8.1199999999999992</v>
      </c>
      <c r="U263" s="386">
        <v>0.63</v>
      </c>
      <c r="V263" s="636">
        <v>0.67</v>
      </c>
      <c r="W263" s="636">
        <v>62.600000000000009</v>
      </c>
      <c r="X263" s="613">
        <v>62.78</v>
      </c>
      <c r="Y263" s="367">
        <v>25.38</v>
      </c>
      <c r="Z263" s="636">
        <v>55.51</v>
      </c>
      <c r="AA263" s="636">
        <v>26.42</v>
      </c>
      <c r="AB263" s="636">
        <v>54.6</v>
      </c>
      <c r="AC263" s="1160">
        <f t="shared" si="66"/>
        <v>81.02000000000001</v>
      </c>
      <c r="AD263" s="1160">
        <f t="shared" si="67"/>
        <v>125.33794</v>
      </c>
      <c r="AE263" s="1160">
        <f t="shared" si="68"/>
        <v>125.33794</v>
      </c>
      <c r="AF263" s="723"/>
      <c r="AG263" s="1160">
        <f t="shared" si="64"/>
        <v>0</v>
      </c>
      <c r="AH263" s="656"/>
      <c r="AI263" s="656"/>
      <c r="AJ263" s="388"/>
      <c r="AK263" s="388"/>
      <c r="AL263" s="388"/>
      <c r="AM263" s="388"/>
      <c r="AN263" s="388"/>
      <c r="AO263" s="370"/>
      <c r="AP263" s="370"/>
      <c r="AQ263" s="386"/>
      <c r="AR263" s="551">
        <v>0</v>
      </c>
      <c r="AS263" s="386">
        <v>23.2</v>
      </c>
      <c r="AT263" s="386">
        <v>0</v>
      </c>
      <c r="AU263" s="386">
        <v>24.6</v>
      </c>
      <c r="AV263" s="636">
        <v>774.2</v>
      </c>
      <c r="AW263" s="636">
        <v>1188.3</v>
      </c>
      <c r="AX263" s="386">
        <v>0</v>
      </c>
      <c r="AY263" s="551">
        <v>0</v>
      </c>
      <c r="AZ263" s="551">
        <v>0</v>
      </c>
      <c r="BA263" s="551">
        <v>0</v>
      </c>
      <c r="BB263" s="832">
        <v>0</v>
      </c>
      <c r="BC263" s="386">
        <v>0.5</v>
      </c>
      <c r="BD263" s="386">
        <v>2.5</v>
      </c>
      <c r="BE263" s="551">
        <v>0</v>
      </c>
      <c r="BF263" s="386">
        <v>1.99</v>
      </c>
      <c r="BG263" s="386">
        <v>3.84</v>
      </c>
      <c r="BH263" s="551">
        <v>0</v>
      </c>
      <c r="BI263" s="386">
        <v>2.0699999999999998</v>
      </c>
      <c r="BJ263" s="386">
        <v>44</v>
      </c>
      <c r="BK263" s="386">
        <v>4.38</v>
      </c>
      <c r="BL263" s="386">
        <v>3.61</v>
      </c>
      <c r="BM263" s="386">
        <v>0</v>
      </c>
      <c r="BN263" s="386">
        <v>35.9</v>
      </c>
      <c r="BO263" s="386">
        <v>2502.9</v>
      </c>
      <c r="BP263" s="386">
        <v>2.1</v>
      </c>
      <c r="BQ263" s="615">
        <v>21.85</v>
      </c>
      <c r="BR263" s="615">
        <v>22.59</v>
      </c>
      <c r="BS263" s="615">
        <v>11.52</v>
      </c>
      <c r="BT263" s="615">
        <v>11.67</v>
      </c>
      <c r="BU263" s="614">
        <v>23.9</v>
      </c>
      <c r="BV263" s="614">
        <v>31.4</v>
      </c>
      <c r="BW263" s="615">
        <v>1045.2</v>
      </c>
      <c r="BX263" s="791"/>
      <c r="BY263" s="615">
        <v>0</v>
      </c>
      <c r="BZ263" s="615">
        <v>1.07</v>
      </c>
      <c r="CA263" s="615">
        <v>1</v>
      </c>
      <c r="CB263" s="615">
        <v>8.1999999999999993</v>
      </c>
      <c r="CC263" s="615">
        <v>8.1999999999999993</v>
      </c>
      <c r="CD263" s="615">
        <v>16.399999999999999</v>
      </c>
      <c r="CE263" s="615">
        <v>33.6</v>
      </c>
      <c r="CF263" s="615">
        <v>19.399999999999999</v>
      </c>
      <c r="CG263" s="615">
        <v>9</v>
      </c>
      <c r="CH263" s="615">
        <v>14.7</v>
      </c>
      <c r="CI263" s="615">
        <v>19.100000000000001</v>
      </c>
      <c r="CJ263" s="615">
        <v>13.65</v>
      </c>
      <c r="CK263" s="615">
        <v>396.4</v>
      </c>
      <c r="CL263" s="615">
        <v>4.0999999999999996</v>
      </c>
      <c r="CM263" s="615">
        <v>6.2</v>
      </c>
      <c r="CN263" s="615">
        <v>2503.5</v>
      </c>
      <c r="CO263" s="615">
        <v>965.7</v>
      </c>
      <c r="CP263" s="615">
        <v>0</v>
      </c>
      <c r="CQ263" s="615">
        <v>13.8</v>
      </c>
      <c r="CR263" s="615">
        <v>0.91</v>
      </c>
      <c r="CS263" s="386">
        <v>2968</v>
      </c>
      <c r="CT263" s="386">
        <v>17.648</v>
      </c>
      <c r="CU263" s="386">
        <v>62</v>
      </c>
      <c r="CV263" s="499">
        <v>0</v>
      </c>
      <c r="CW263" s="499">
        <v>0</v>
      </c>
      <c r="CX263" s="499">
        <v>0</v>
      </c>
      <c r="CY263" s="499">
        <v>0</v>
      </c>
      <c r="CZ263" s="643">
        <v>325</v>
      </c>
      <c r="DA263" s="643">
        <v>331</v>
      </c>
      <c r="DB263" s="643">
        <v>194</v>
      </c>
      <c r="DC263" s="609">
        <v>1145.6600000000001</v>
      </c>
      <c r="DD263" s="1153">
        <f t="shared" si="69"/>
        <v>-0.5</v>
      </c>
      <c r="DE263" s="1154">
        <f t="shared" si="70"/>
        <v>13.112386560000001</v>
      </c>
      <c r="DF263" s="1154">
        <f t="shared" si="71"/>
        <v>84</v>
      </c>
      <c r="DG263" s="1154">
        <f t="shared" si="72"/>
        <v>81</v>
      </c>
      <c r="DH263" s="1155" t="str">
        <f t="shared" si="73"/>
        <v>Aub</v>
      </c>
      <c r="DI263" s="1146">
        <f t="shared" si="74"/>
        <v>137</v>
      </c>
      <c r="DJ263" s="1146">
        <f t="shared" si="75"/>
        <v>4.2739200000000004</v>
      </c>
      <c r="DK263" s="1154">
        <f t="shared" si="76"/>
        <v>13.112386560000001</v>
      </c>
      <c r="DL263" s="615"/>
      <c r="DM263" s="615"/>
      <c r="DN263" s="615"/>
      <c r="DO263" s="499"/>
      <c r="DP263" s="499"/>
      <c r="DQ263" s="499"/>
      <c r="DR263" s="499"/>
      <c r="DS263" s="499"/>
      <c r="DT263" s="499"/>
      <c r="DU263" s="499"/>
      <c r="DV263" s="499"/>
      <c r="DW263" s="499"/>
      <c r="DX263" s="499"/>
      <c r="DY263" s="630"/>
      <c r="DZ263" s="499"/>
      <c r="EA263" s="499"/>
      <c r="EB263" s="499"/>
      <c r="EC263" s="499"/>
      <c r="ED263" s="499"/>
      <c r="EE263" s="499"/>
      <c r="EF263" s="499"/>
      <c r="EG263" s="1147">
        <f t="shared" si="77"/>
        <v>35</v>
      </c>
      <c r="EH263" s="611">
        <v>16</v>
      </c>
      <c r="EI263" s="615">
        <v>6</v>
      </c>
      <c r="EJ263" s="613">
        <v>5</v>
      </c>
      <c r="EK263" s="615">
        <v>8</v>
      </c>
      <c r="EL263" s="499"/>
      <c r="EM263" s="499"/>
      <c r="EN263" s="499"/>
      <c r="EO263" s="499"/>
      <c r="EP263" s="499"/>
      <c r="EQ263" s="499"/>
      <c r="ER263" s="499"/>
      <c r="ES263" s="388"/>
      <c r="ET263" s="388"/>
      <c r="EU263" s="370"/>
      <c r="EV263" s="1167">
        <f t="shared" si="65"/>
        <v>54.144999999999996</v>
      </c>
      <c r="EW263" s="370"/>
      <c r="EX263" s="370"/>
    </row>
    <row r="264" spans="1:154" s="350" customFormat="1" ht="15" x14ac:dyDescent="0.25">
      <c r="A264" s="632" t="s">
        <v>5</v>
      </c>
      <c r="B264" s="662">
        <v>42990</v>
      </c>
      <c r="C264" s="1132" t="s">
        <v>904</v>
      </c>
      <c r="D264" s="386">
        <v>0</v>
      </c>
      <c r="E264" s="636">
        <v>0</v>
      </c>
      <c r="F264" s="636">
        <v>62</v>
      </c>
      <c r="G264" s="636">
        <v>0.5</v>
      </c>
      <c r="H264" s="386">
        <v>1.51</v>
      </c>
      <c r="I264" s="386">
        <v>19.600000000000001</v>
      </c>
      <c r="J264" s="386">
        <v>0</v>
      </c>
      <c r="K264" s="386">
        <v>1.18</v>
      </c>
      <c r="L264" s="636">
        <v>0</v>
      </c>
      <c r="M264" s="386">
        <v>15.5</v>
      </c>
      <c r="N264" s="386">
        <v>1.28</v>
      </c>
      <c r="O264" s="386">
        <v>1.5952864921496286</v>
      </c>
      <c r="P264" s="386">
        <v>1.2</v>
      </c>
      <c r="Q264" s="386">
        <v>0.70049106886443036</v>
      </c>
      <c r="R264" s="732">
        <v>1344.0976744186046</v>
      </c>
      <c r="S264" s="386">
        <v>8.1999999999999993</v>
      </c>
      <c r="T264" s="386">
        <v>8.2200000000000006</v>
      </c>
      <c r="U264" s="386">
        <v>0.7</v>
      </c>
      <c r="V264" s="636">
        <v>0.75</v>
      </c>
      <c r="W264" s="636">
        <v>63.5</v>
      </c>
      <c r="X264" s="613">
        <v>63.5</v>
      </c>
      <c r="Y264" s="367">
        <v>26.42</v>
      </c>
      <c r="Z264" s="636">
        <v>54.6</v>
      </c>
      <c r="AA264" s="636">
        <v>28.4</v>
      </c>
      <c r="AB264" s="636">
        <v>51.8</v>
      </c>
      <c r="AC264" s="1160">
        <f t="shared" si="66"/>
        <v>80.199999999999989</v>
      </c>
      <c r="AD264" s="1160">
        <f t="shared" si="67"/>
        <v>124.06939999999997</v>
      </c>
      <c r="AE264" s="1160">
        <f t="shared" si="68"/>
        <v>124.06939999999997</v>
      </c>
      <c r="AF264" s="723"/>
      <c r="AG264" s="1160">
        <f t="shared" ref="AG264:AG327" si="78">BB264</f>
        <v>0</v>
      </c>
      <c r="AH264" s="656"/>
      <c r="AI264" s="656"/>
      <c r="AJ264" s="388"/>
      <c r="AK264" s="388"/>
      <c r="AL264" s="388"/>
      <c r="AM264" s="388"/>
      <c r="AN264" s="388"/>
      <c r="AO264" s="370"/>
      <c r="AP264" s="370"/>
      <c r="AQ264" s="386"/>
      <c r="AR264" s="551">
        <v>0</v>
      </c>
      <c r="AS264" s="386">
        <v>23.9</v>
      </c>
      <c r="AT264" s="386">
        <v>0</v>
      </c>
      <c r="AU264" s="386">
        <v>26.7</v>
      </c>
      <c r="AV264" s="636">
        <v>609</v>
      </c>
      <c r="AW264" s="636">
        <v>1401.7</v>
      </c>
      <c r="AX264" s="386">
        <v>0</v>
      </c>
      <c r="AY264" s="551">
        <v>0</v>
      </c>
      <c r="AZ264" s="551">
        <v>0</v>
      </c>
      <c r="BA264" s="551">
        <v>0</v>
      </c>
      <c r="BB264" s="832">
        <v>0</v>
      </c>
      <c r="BC264" s="386">
        <v>0.5</v>
      </c>
      <c r="BD264" s="386">
        <v>2.5</v>
      </c>
      <c r="BE264" s="551">
        <v>0</v>
      </c>
      <c r="BF264" s="386">
        <v>1.99</v>
      </c>
      <c r="BG264" s="386">
        <v>3.82</v>
      </c>
      <c r="BH264" s="551">
        <v>0</v>
      </c>
      <c r="BI264" s="386">
        <v>1.94</v>
      </c>
      <c r="BJ264" s="386">
        <v>41.2</v>
      </c>
      <c r="BK264" s="386">
        <v>4.5999999999999996</v>
      </c>
      <c r="BL264" s="386">
        <v>3.41</v>
      </c>
      <c r="BM264" s="386">
        <v>0</v>
      </c>
      <c r="BN264" s="386">
        <v>33.200000000000003</v>
      </c>
      <c r="BO264" s="386">
        <v>2224.3000000000002</v>
      </c>
      <c r="BP264" s="386">
        <v>2</v>
      </c>
      <c r="BQ264" s="615">
        <v>21.81</v>
      </c>
      <c r="BR264" s="615">
        <v>22.56</v>
      </c>
      <c r="BS264" s="615">
        <v>12.72</v>
      </c>
      <c r="BT264" s="615">
        <v>12.82</v>
      </c>
      <c r="BU264" s="614">
        <v>26.1</v>
      </c>
      <c r="BV264" s="614">
        <v>31.1</v>
      </c>
      <c r="BW264" s="615">
        <v>1036.2</v>
      </c>
      <c r="BX264" s="791"/>
      <c r="BY264" s="615">
        <v>0</v>
      </c>
      <c r="BZ264" s="615">
        <v>1.0900000000000001</v>
      </c>
      <c r="CA264" s="615">
        <v>1</v>
      </c>
      <c r="CB264" s="615">
        <v>8.1</v>
      </c>
      <c r="CC264" s="615">
        <v>8.1999999999999993</v>
      </c>
      <c r="CD264" s="615">
        <v>16.3</v>
      </c>
      <c r="CE264" s="615">
        <v>33.6</v>
      </c>
      <c r="CF264" s="615">
        <v>18.600000000000001</v>
      </c>
      <c r="CG264" s="615">
        <v>9</v>
      </c>
      <c r="CH264" s="615">
        <v>14.7</v>
      </c>
      <c r="CI264" s="615">
        <v>19.100000000000001</v>
      </c>
      <c r="CJ264" s="615">
        <v>13.62</v>
      </c>
      <c r="CK264" s="615">
        <v>393.3</v>
      </c>
      <c r="CL264" s="615">
        <v>4</v>
      </c>
      <c r="CM264" s="615">
        <v>6.2</v>
      </c>
      <c r="CN264" s="615">
        <v>2337.5</v>
      </c>
      <c r="CO264" s="615">
        <v>883.5</v>
      </c>
      <c r="CP264" s="615">
        <v>0</v>
      </c>
      <c r="CQ264" s="615">
        <v>14</v>
      </c>
      <c r="CR264" s="615">
        <v>0.99</v>
      </c>
      <c r="CS264" s="386">
        <v>2966.8</v>
      </c>
      <c r="CT264" s="386">
        <v>17.78</v>
      </c>
      <c r="CU264" s="386">
        <v>62</v>
      </c>
      <c r="CV264" s="499">
        <v>0</v>
      </c>
      <c r="CW264" s="499">
        <v>0</v>
      </c>
      <c r="CX264" s="499">
        <v>0</v>
      </c>
      <c r="CY264" s="499">
        <v>0</v>
      </c>
      <c r="CZ264" s="643">
        <v>322</v>
      </c>
      <c r="DA264" s="643">
        <v>345</v>
      </c>
      <c r="DB264" s="643">
        <v>192</v>
      </c>
      <c r="DC264" s="609">
        <v>1145.1199999999999</v>
      </c>
      <c r="DD264" s="1153">
        <f t="shared" si="69"/>
        <v>-0.54000000000019099</v>
      </c>
      <c r="DE264" s="1154">
        <f t="shared" si="70"/>
        <v>13.107085056000001</v>
      </c>
      <c r="DF264" s="1154">
        <f t="shared" si="71"/>
        <v>82</v>
      </c>
      <c r="DG264" s="1154">
        <f t="shared" si="72"/>
        <v>95</v>
      </c>
      <c r="DH264" s="1155" t="str">
        <f t="shared" si="73"/>
        <v>Palm</v>
      </c>
      <c r="DI264" s="1146">
        <f t="shared" si="74"/>
        <v>153</v>
      </c>
      <c r="DJ264" s="1146">
        <f t="shared" si="75"/>
        <v>4.2721920000000004</v>
      </c>
      <c r="DK264" s="1154">
        <f t="shared" si="76"/>
        <v>13.107085056000001</v>
      </c>
      <c r="DL264" s="615"/>
      <c r="DM264" s="615"/>
      <c r="DN264" s="615"/>
      <c r="DO264" s="499"/>
      <c r="DP264" s="499"/>
      <c r="DQ264" s="499"/>
      <c r="DR264" s="499"/>
      <c r="DS264" s="499"/>
      <c r="DT264" s="499"/>
      <c r="DU264" s="499"/>
      <c r="DV264" s="499"/>
      <c r="DW264" s="499"/>
      <c r="DX264" s="499"/>
      <c r="DY264" s="630"/>
      <c r="DZ264" s="499"/>
      <c r="EA264" s="499"/>
      <c r="EB264" s="499"/>
      <c r="EC264" s="499"/>
      <c r="ED264" s="499"/>
      <c r="EE264" s="499"/>
      <c r="EF264" s="499"/>
      <c r="EG264" s="1147">
        <f t="shared" si="77"/>
        <v>35</v>
      </c>
      <c r="EH264" s="611">
        <v>16</v>
      </c>
      <c r="EI264" s="615">
        <v>6</v>
      </c>
      <c r="EJ264" s="613">
        <v>5</v>
      </c>
      <c r="EK264" s="615">
        <v>8</v>
      </c>
      <c r="EL264" s="499"/>
      <c r="EM264" s="499"/>
      <c r="EN264" s="499"/>
      <c r="EO264" s="499"/>
      <c r="EP264" s="499"/>
      <c r="EQ264" s="499"/>
      <c r="ER264" s="499"/>
      <c r="ES264" s="388"/>
      <c r="ET264" s="388"/>
      <c r="EU264" s="370"/>
      <c r="EV264" s="1167">
        <f t="shared" ref="EV264:EV327" si="79">(EH264+EK264+EJ264+EI264)*MGDtoCFS</f>
        <v>54.144999999999996</v>
      </c>
      <c r="EW264" s="370"/>
      <c r="EX264" s="370"/>
    </row>
    <row r="265" spans="1:154" s="350" customFormat="1" ht="16.2" x14ac:dyDescent="0.35">
      <c r="A265" s="632" t="s">
        <v>6</v>
      </c>
      <c r="B265" s="662">
        <v>42991</v>
      </c>
      <c r="C265" s="1132" t="s">
        <v>904</v>
      </c>
      <c r="D265" s="386">
        <v>0</v>
      </c>
      <c r="E265" s="636">
        <v>0</v>
      </c>
      <c r="F265" s="636">
        <v>52.5</v>
      </c>
      <c r="G265" s="636">
        <v>0.4</v>
      </c>
      <c r="H265" s="386">
        <v>1.64</v>
      </c>
      <c r="I265" s="386">
        <v>19.100000000000001</v>
      </c>
      <c r="J265" s="386">
        <v>0</v>
      </c>
      <c r="K265" s="386">
        <v>1.22</v>
      </c>
      <c r="L265" s="636">
        <v>0</v>
      </c>
      <c r="M265" s="386">
        <v>15.5</v>
      </c>
      <c r="N265" s="386">
        <v>1.28</v>
      </c>
      <c r="O265" s="386">
        <v>1.6176052856807963</v>
      </c>
      <c r="P265" s="386">
        <v>1.24</v>
      </c>
      <c r="Q265" s="386">
        <v>0.69989760265162893</v>
      </c>
      <c r="R265" s="732">
        <v>1359.0987645348837</v>
      </c>
      <c r="S265" s="386">
        <v>8.27</v>
      </c>
      <c r="T265" s="386">
        <v>8.23</v>
      </c>
      <c r="U265" s="386">
        <v>0.74</v>
      </c>
      <c r="V265" s="636">
        <v>0.78</v>
      </c>
      <c r="W265" s="636">
        <v>63.5</v>
      </c>
      <c r="X265" s="613">
        <v>63.680000000000007</v>
      </c>
      <c r="Y265" s="367">
        <v>28.4</v>
      </c>
      <c r="Z265" s="636">
        <v>51.8</v>
      </c>
      <c r="AA265" s="636">
        <v>28.5</v>
      </c>
      <c r="AB265" s="636">
        <v>51.88</v>
      </c>
      <c r="AC265" s="1160">
        <f t="shared" si="66"/>
        <v>80.38</v>
      </c>
      <c r="AD265" s="1160">
        <f t="shared" si="67"/>
        <v>124.34785999999998</v>
      </c>
      <c r="AE265" s="1160">
        <f t="shared" si="68"/>
        <v>124.34785999999998</v>
      </c>
      <c r="AF265" s="723"/>
      <c r="AG265" s="1160">
        <f t="shared" si="78"/>
        <v>0</v>
      </c>
      <c r="AH265" s="656"/>
      <c r="AI265" s="656"/>
      <c r="AJ265" s="388"/>
      <c r="AK265" s="388"/>
      <c r="AL265" s="388"/>
      <c r="AM265" s="388"/>
      <c r="AN265" s="388"/>
      <c r="AO265" s="370"/>
      <c r="AP265" s="370"/>
      <c r="AQ265" s="386"/>
      <c r="AR265" s="551">
        <v>0</v>
      </c>
      <c r="AS265" s="386">
        <v>24.1</v>
      </c>
      <c r="AT265" s="386">
        <v>0</v>
      </c>
      <c r="AU265" s="386">
        <v>25.3</v>
      </c>
      <c r="AV265" s="636">
        <v>947.9</v>
      </c>
      <c r="AW265" s="636">
        <v>1149.8</v>
      </c>
      <c r="AX265" s="386">
        <v>0</v>
      </c>
      <c r="AY265" s="551">
        <v>0</v>
      </c>
      <c r="AZ265" s="551">
        <v>0</v>
      </c>
      <c r="BA265" s="551">
        <v>0</v>
      </c>
      <c r="BB265" s="832">
        <v>0</v>
      </c>
      <c r="BC265" s="386">
        <v>0.5</v>
      </c>
      <c r="BD265" s="386">
        <v>2.5</v>
      </c>
      <c r="BE265" s="551">
        <v>0</v>
      </c>
      <c r="BF265" s="386">
        <v>1.99</v>
      </c>
      <c r="BG265" s="386">
        <v>3.75</v>
      </c>
      <c r="BH265" s="551">
        <v>0</v>
      </c>
      <c r="BI265" s="386">
        <v>1.94</v>
      </c>
      <c r="BJ265" s="386">
        <v>41.3</v>
      </c>
      <c r="BK265" s="386">
        <v>4.68</v>
      </c>
      <c r="BL265" s="386">
        <v>3.29</v>
      </c>
      <c r="BM265" s="386">
        <v>0</v>
      </c>
      <c r="BN265" s="386">
        <v>33.200000000000003</v>
      </c>
      <c r="BO265" s="386">
        <v>2227.3000000000002</v>
      </c>
      <c r="BP265" s="386">
        <v>2</v>
      </c>
      <c r="BQ265" s="615">
        <v>21.86</v>
      </c>
      <c r="BR265" s="615">
        <v>22.61</v>
      </c>
      <c r="BS265" s="615">
        <v>12.74</v>
      </c>
      <c r="BT265" s="615">
        <v>12.85</v>
      </c>
      <c r="BU265" s="614">
        <v>26.1</v>
      </c>
      <c r="BV265" s="614">
        <v>30.8</v>
      </c>
      <c r="BW265" s="615">
        <v>1022</v>
      </c>
      <c r="BX265" s="791"/>
      <c r="BY265" s="615">
        <v>0</v>
      </c>
      <c r="BZ265" s="615">
        <v>1.0900000000000001</v>
      </c>
      <c r="CA265" s="615">
        <v>1</v>
      </c>
      <c r="CB265" s="615">
        <v>8.1</v>
      </c>
      <c r="CC265" s="615">
        <v>8.1</v>
      </c>
      <c r="CD265" s="615">
        <v>16.100000000000001</v>
      </c>
      <c r="CE265" s="615">
        <v>33.700000000000003</v>
      </c>
      <c r="CF265" s="615">
        <v>19.7</v>
      </c>
      <c r="CG265" s="615">
        <v>9.1</v>
      </c>
      <c r="CH265" s="615">
        <v>14.85</v>
      </c>
      <c r="CI265" s="615">
        <v>19.100000000000001</v>
      </c>
      <c r="CJ265" s="615">
        <v>13.51</v>
      </c>
      <c r="CK265" s="615">
        <v>362.4</v>
      </c>
      <c r="CL265" s="615">
        <v>3.9</v>
      </c>
      <c r="CM265" s="615">
        <v>6.2</v>
      </c>
      <c r="CN265" s="615">
        <v>2385.3000000000002</v>
      </c>
      <c r="CO265" s="615">
        <v>893.3</v>
      </c>
      <c r="CP265" s="615">
        <v>0</v>
      </c>
      <c r="CQ265" s="615">
        <v>13.2</v>
      </c>
      <c r="CR265" s="615">
        <v>0.9</v>
      </c>
      <c r="CS265" s="386">
        <v>2962.3</v>
      </c>
      <c r="CT265" s="386">
        <v>16.887</v>
      </c>
      <c r="CU265" s="386">
        <v>62</v>
      </c>
      <c r="CV265" s="499">
        <v>0</v>
      </c>
      <c r="CW265" s="499">
        <v>0</v>
      </c>
      <c r="CX265" s="499">
        <v>0</v>
      </c>
      <c r="CY265" s="499">
        <v>0</v>
      </c>
      <c r="CZ265" s="643">
        <v>322</v>
      </c>
      <c r="DA265" s="643">
        <v>340</v>
      </c>
      <c r="DB265" s="643">
        <v>196</v>
      </c>
      <c r="DC265" s="966">
        <v>1144.58</v>
      </c>
      <c r="DD265" s="1153">
        <f t="shared" si="69"/>
        <v>-0.53999999999996362</v>
      </c>
      <c r="DE265" s="1154">
        <f t="shared" si="70"/>
        <v>13.087204415999999</v>
      </c>
      <c r="DF265" s="1154">
        <f t="shared" si="71"/>
        <v>86</v>
      </c>
      <c r="DG265" s="1154">
        <f t="shared" si="72"/>
        <v>90</v>
      </c>
      <c r="DH265" s="1155" t="str">
        <f t="shared" si="73"/>
        <v>Palm</v>
      </c>
      <c r="DI265" s="1146">
        <f t="shared" si="74"/>
        <v>144</v>
      </c>
      <c r="DJ265" s="1146">
        <f t="shared" si="75"/>
        <v>4.2657119999999997</v>
      </c>
      <c r="DK265" s="1154">
        <f t="shared" si="76"/>
        <v>13.087204415999999</v>
      </c>
      <c r="DL265" s="615"/>
      <c r="DM265" s="615"/>
      <c r="DN265" s="615"/>
      <c r="DO265" s="499"/>
      <c r="DP265" s="499"/>
      <c r="DQ265" s="499"/>
      <c r="DR265" s="499"/>
      <c r="DS265" s="499"/>
      <c r="DT265" s="499"/>
      <c r="DU265" s="499"/>
      <c r="DV265" s="499"/>
      <c r="DW265" s="499"/>
      <c r="DX265" s="499"/>
      <c r="DY265" s="630"/>
      <c r="DZ265" s="499"/>
      <c r="EA265" s="499"/>
      <c r="EB265" s="499"/>
      <c r="EC265" s="499"/>
      <c r="ED265" s="499"/>
      <c r="EE265" s="499"/>
      <c r="EF265" s="499"/>
      <c r="EG265" s="1147">
        <f t="shared" si="77"/>
        <v>35</v>
      </c>
      <c r="EH265" s="611">
        <v>16</v>
      </c>
      <c r="EI265" s="615">
        <v>6</v>
      </c>
      <c r="EJ265" s="613">
        <v>5</v>
      </c>
      <c r="EK265" s="615">
        <v>8</v>
      </c>
      <c r="EL265" s="499"/>
      <c r="EM265" s="499"/>
      <c r="EN265" s="499"/>
      <c r="EO265" s="499"/>
      <c r="EP265" s="499"/>
      <c r="EQ265" s="499"/>
      <c r="ER265" s="499"/>
      <c r="ES265" s="388"/>
      <c r="ET265" s="388"/>
      <c r="EU265" s="370"/>
      <c r="EV265" s="1167">
        <f t="shared" si="79"/>
        <v>54.144999999999996</v>
      </c>
      <c r="EW265" s="370"/>
      <c r="EX265" s="370"/>
    </row>
    <row r="266" spans="1:154" s="350" customFormat="1" ht="16.2" x14ac:dyDescent="0.35">
      <c r="A266" s="632" t="s">
        <v>7</v>
      </c>
      <c r="B266" s="662">
        <v>42992</v>
      </c>
      <c r="C266" s="1132" t="s">
        <v>904</v>
      </c>
      <c r="D266" s="386">
        <v>0</v>
      </c>
      <c r="E266" s="636">
        <v>0</v>
      </c>
      <c r="F266" s="636">
        <v>51.9</v>
      </c>
      <c r="G266" s="636">
        <v>0.4</v>
      </c>
      <c r="H266" s="386">
        <v>1.54</v>
      </c>
      <c r="I266" s="386">
        <v>19.600000000000001</v>
      </c>
      <c r="J266" s="386">
        <v>0</v>
      </c>
      <c r="K266" s="386">
        <v>1.0900000000000001</v>
      </c>
      <c r="L266" s="636">
        <v>0</v>
      </c>
      <c r="M266" s="386">
        <v>15.5</v>
      </c>
      <c r="N266" s="386">
        <v>1.29</v>
      </c>
      <c r="O266" s="386">
        <v>1.5815948472409214</v>
      </c>
      <c r="P266" s="386">
        <v>1.23</v>
      </c>
      <c r="Q266" s="386">
        <v>0.69165360705166845</v>
      </c>
      <c r="R266" s="732">
        <v>1287.7602470930233</v>
      </c>
      <c r="S266" s="386">
        <v>8.1199999999999992</v>
      </c>
      <c r="T266" s="386">
        <v>8.24</v>
      </c>
      <c r="U266" s="386">
        <v>0.75</v>
      </c>
      <c r="V266" s="636">
        <v>0.77</v>
      </c>
      <c r="W266" s="636">
        <v>63.14</v>
      </c>
      <c r="X266" s="613">
        <v>63.14</v>
      </c>
      <c r="Y266" s="367">
        <v>28.5</v>
      </c>
      <c r="Z266" s="636">
        <v>51.88</v>
      </c>
      <c r="AA266" s="636">
        <v>28.5</v>
      </c>
      <c r="AB266" s="636">
        <v>49.5</v>
      </c>
      <c r="AC266" s="1160">
        <f t="shared" si="66"/>
        <v>78</v>
      </c>
      <c r="AD266" s="1160">
        <f t="shared" si="67"/>
        <v>120.666</v>
      </c>
      <c r="AE266" s="1160">
        <f t="shared" si="68"/>
        <v>120.666</v>
      </c>
      <c r="AF266" s="723"/>
      <c r="AG266" s="1160">
        <f t="shared" si="78"/>
        <v>0</v>
      </c>
      <c r="AH266" s="656"/>
      <c r="AI266" s="656"/>
      <c r="AJ266" s="388"/>
      <c r="AK266" s="388"/>
      <c r="AL266" s="388"/>
      <c r="AM266" s="388"/>
      <c r="AN266" s="388"/>
      <c r="AO266" s="370"/>
      <c r="AP266" s="370"/>
      <c r="AQ266" s="386"/>
      <c r="AR266" s="551">
        <v>0</v>
      </c>
      <c r="AS266" s="386">
        <v>25.6</v>
      </c>
      <c r="AT266" s="386">
        <v>0</v>
      </c>
      <c r="AU266" s="386">
        <v>26.8</v>
      </c>
      <c r="AV266" s="636">
        <v>725.7</v>
      </c>
      <c r="AW266" s="636">
        <v>1130.7</v>
      </c>
      <c r="AX266" s="386">
        <v>0</v>
      </c>
      <c r="AY266" s="551">
        <v>0</v>
      </c>
      <c r="AZ266" s="551">
        <v>0</v>
      </c>
      <c r="BA266" s="551">
        <v>0</v>
      </c>
      <c r="BB266" s="832">
        <v>0</v>
      </c>
      <c r="BC266" s="386">
        <v>0.5</v>
      </c>
      <c r="BD266" s="386">
        <v>2.5</v>
      </c>
      <c r="BE266" s="551">
        <v>0</v>
      </c>
      <c r="BF266" s="386">
        <v>1.99</v>
      </c>
      <c r="BG266" s="386">
        <v>3.73</v>
      </c>
      <c r="BH266" s="551">
        <v>0</v>
      </c>
      <c r="BI266" s="386">
        <v>2.1</v>
      </c>
      <c r="BJ266" s="386">
        <v>38.799999999999997</v>
      </c>
      <c r="BK266" s="386">
        <v>4.68</v>
      </c>
      <c r="BL266" s="386">
        <v>3.32</v>
      </c>
      <c r="BM266" s="386">
        <v>0</v>
      </c>
      <c r="BN266" s="386">
        <v>30.7</v>
      </c>
      <c r="BO266" s="386">
        <v>2074.1999999999998</v>
      </c>
      <c r="BP266" s="386">
        <v>2.1</v>
      </c>
      <c r="BQ266" s="615">
        <v>22.38</v>
      </c>
      <c r="BR266" s="615">
        <v>23.11</v>
      </c>
      <c r="BS266" s="615">
        <v>12.77</v>
      </c>
      <c r="BT266" s="615">
        <v>12.86</v>
      </c>
      <c r="BU266" s="614">
        <v>26.2</v>
      </c>
      <c r="BV266" s="614">
        <v>29.5</v>
      </c>
      <c r="BW266" s="615">
        <v>1056.7</v>
      </c>
      <c r="BX266" s="791"/>
      <c r="BY266" s="615">
        <v>0</v>
      </c>
      <c r="BZ266" s="615">
        <v>1.1299999999999999</v>
      </c>
      <c r="CA266" s="615">
        <v>1</v>
      </c>
      <c r="CB266" s="615">
        <v>8.1999999999999993</v>
      </c>
      <c r="CC266" s="615">
        <v>8.1</v>
      </c>
      <c r="CD266" s="615">
        <v>15.7</v>
      </c>
      <c r="CE266" s="615">
        <v>33.700000000000003</v>
      </c>
      <c r="CF266" s="615">
        <v>18.7</v>
      </c>
      <c r="CG266" s="615">
        <v>8.8000000000000007</v>
      </c>
      <c r="CH266" s="615">
        <v>14.5</v>
      </c>
      <c r="CI266" s="615">
        <v>18.899999999999999</v>
      </c>
      <c r="CJ266" s="615">
        <v>12.9</v>
      </c>
      <c r="CK266" s="615">
        <v>361.4</v>
      </c>
      <c r="CL266" s="615">
        <v>3.2</v>
      </c>
      <c r="CM266" s="615">
        <v>5.2</v>
      </c>
      <c r="CN266" s="615">
        <v>1853.8</v>
      </c>
      <c r="CO266" s="615">
        <v>827.9</v>
      </c>
      <c r="CP266" s="615">
        <v>0</v>
      </c>
      <c r="CQ266" s="615">
        <v>13.5</v>
      </c>
      <c r="CR266" s="615">
        <v>0.93</v>
      </c>
      <c r="CS266" s="386">
        <v>2960.7</v>
      </c>
      <c r="CT266" s="386">
        <v>16.5</v>
      </c>
      <c r="CU266" s="386">
        <v>62</v>
      </c>
      <c r="CV266" s="499">
        <v>0</v>
      </c>
      <c r="CW266" s="499">
        <v>0</v>
      </c>
      <c r="CX266" s="499">
        <v>0</v>
      </c>
      <c r="CY266" s="499">
        <v>0</v>
      </c>
      <c r="CZ266" s="643">
        <v>319</v>
      </c>
      <c r="DA266" s="643">
        <v>340</v>
      </c>
      <c r="DB266" s="643">
        <v>196</v>
      </c>
      <c r="DC266" s="966">
        <v>1144.04</v>
      </c>
      <c r="DD266" s="1153">
        <f t="shared" si="69"/>
        <v>-0.53999999999996362</v>
      </c>
      <c r="DE266" s="1154">
        <f t="shared" si="70"/>
        <v>13.080135744</v>
      </c>
      <c r="DF266" s="1154">
        <f t="shared" si="71"/>
        <v>86</v>
      </c>
      <c r="DG266" s="1154">
        <f t="shared" si="72"/>
        <v>90</v>
      </c>
      <c r="DH266" s="1155" t="str">
        <f t="shared" si="73"/>
        <v>Palm</v>
      </c>
      <c r="DI266" s="1146">
        <f t="shared" si="74"/>
        <v>144</v>
      </c>
      <c r="DJ266" s="1146">
        <f t="shared" si="75"/>
        <v>4.2634080000000001</v>
      </c>
      <c r="DK266" s="1154">
        <f t="shared" si="76"/>
        <v>13.080135744</v>
      </c>
      <c r="DL266" s="615"/>
      <c r="DM266" s="615"/>
      <c r="DN266" s="615"/>
      <c r="DO266" s="499"/>
      <c r="DP266" s="499"/>
      <c r="DQ266" s="499"/>
      <c r="DR266" s="499"/>
      <c r="DS266" s="499"/>
      <c r="DT266" s="499"/>
      <c r="DU266" s="499"/>
      <c r="DV266" s="499"/>
      <c r="DW266" s="499"/>
      <c r="DX266" s="499"/>
      <c r="DY266" s="630"/>
      <c r="DZ266" s="499"/>
      <c r="EA266" s="499"/>
      <c r="EB266" s="499"/>
      <c r="EC266" s="499"/>
      <c r="ED266" s="499"/>
      <c r="EE266" s="499"/>
      <c r="EF266" s="499"/>
      <c r="EG266" s="1147">
        <f t="shared" si="77"/>
        <v>35</v>
      </c>
      <c r="EH266" s="611">
        <v>16</v>
      </c>
      <c r="EI266" s="615">
        <v>6</v>
      </c>
      <c r="EJ266" s="613">
        <v>5</v>
      </c>
      <c r="EK266" s="615">
        <v>8</v>
      </c>
      <c r="EL266" s="499"/>
      <c r="EM266" s="499"/>
      <c r="EN266" s="499"/>
      <c r="EO266" s="499"/>
      <c r="EP266" s="499"/>
      <c r="EQ266" s="499"/>
      <c r="ER266" s="499"/>
      <c r="ES266" s="388"/>
      <c r="ET266" s="388"/>
      <c r="EU266" s="370"/>
      <c r="EV266" s="1167">
        <f t="shared" si="79"/>
        <v>54.144999999999996</v>
      </c>
      <c r="EW266" s="370"/>
      <c r="EX266" s="370"/>
    </row>
    <row r="267" spans="1:154" s="350" customFormat="1" ht="16.2" x14ac:dyDescent="0.35">
      <c r="A267" s="632" t="s">
        <v>8</v>
      </c>
      <c r="B267" s="662">
        <v>42993</v>
      </c>
      <c r="C267" s="1132" t="s">
        <v>904</v>
      </c>
      <c r="D267" s="386">
        <v>0</v>
      </c>
      <c r="E267" s="636">
        <v>0</v>
      </c>
      <c r="F267" s="636">
        <v>54</v>
      </c>
      <c r="G267" s="636">
        <v>0.4</v>
      </c>
      <c r="H267" s="386">
        <v>1.64</v>
      </c>
      <c r="I267" s="386">
        <v>19.8</v>
      </c>
      <c r="J267" s="386">
        <v>0</v>
      </c>
      <c r="K267" s="386">
        <v>1.1399999999999999</v>
      </c>
      <c r="L267" s="636">
        <v>0</v>
      </c>
      <c r="M267" s="386">
        <v>15.4</v>
      </c>
      <c r="N267" s="386">
        <v>1.25</v>
      </c>
      <c r="O267" s="386">
        <v>1.588390886408366</v>
      </c>
      <c r="P267" s="386">
        <v>1.24</v>
      </c>
      <c r="Q267" s="386">
        <v>0.67941568477975822</v>
      </c>
      <c r="R267" s="732">
        <v>1216.4217296511629</v>
      </c>
      <c r="S267" s="386">
        <v>8.2200000000000006</v>
      </c>
      <c r="T267" s="386">
        <v>8.1999999999999993</v>
      </c>
      <c r="U267" s="386">
        <v>0.82</v>
      </c>
      <c r="V267" s="636">
        <v>0.78</v>
      </c>
      <c r="W267" s="636">
        <v>62.239999999999995</v>
      </c>
      <c r="X267" s="613">
        <v>62.42</v>
      </c>
      <c r="Y267" s="367">
        <v>28.5</v>
      </c>
      <c r="Z267" s="636">
        <v>49.5</v>
      </c>
      <c r="AA267" s="636">
        <v>28.4</v>
      </c>
      <c r="AB267" s="636">
        <v>45.8</v>
      </c>
      <c r="AC267" s="1160">
        <f t="shared" si="66"/>
        <v>74.199999999999989</v>
      </c>
      <c r="AD267" s="1160">
        <f t="shared" si="67"/>
        <v>114.78739999999998</v>
      </c>
      <c r="AE267" s="1160">
        <f t="shared" si="68"/>
        <v>114.78739999999998</v>
      </c>
      <c r="AF267" s="723"/>
      <c r="AG267" s="1160">
        <f t="shared" si="78"/>
        <v>0</v>
      </c>
      <c r="AH267" s="656"/>
      <c r="AI267" s="656"/>
      <c r="AJ267" s="388"/>
      <c r="AK267" s="388"/>
      <c r="AL267" s="388"/>
      <c r="AM267" s="388"/>
      <c r="AN267" s="388"/>
      <c r="AO267" s="370"/>
      <c r="AP267" s="370"/>
      <c r="AQ267" s="386"/>
      <c r="AR267" s="551">
        <v>0</v>
      </c>
      <c r="AS267" s="386">
        <v>25.1</v>
      </c>
      <c r="AT267" s="386">
        <v>0</v>
      </c>
      <c r="AU267" s="386">
        <v>26.8</v>
      </c>
      <c r="AV267" s="636">
        <v>724.1</v>
      </c>
      <c r="AW267" s="636">
        <v>1159.3</v>
      </c>
      <c r="AX267" s="386">
        <v>0.2</v>
      </c>
      <c r="AY267" s="551">
        <v>0</v>
      </c>
      <c r="AZ267" s="551">
        <v>0</v>
      </c>
      <c r="BA267" s="551">
        <v>0</v>
      </c>
      <c r="BB267" s="832">
        <v>0</v>
      </c>
      <c r="BC267" s="386">
        <v>0.56999999999999995</v>
      </c>
      <c r="BD267" s="386">
        <v>2.4300000000000002</v>
      </c>
      <c r="BE267" s="551">
        <v>0</v>
      </c>
      <c r="BF267" s="386">
        <v>1.99</v>
      </c>
      <c r="BG267" s="386">
        <v>3.62</v>
      </c>
      <c r="BH267" s="551">
        <v>0</v>
      </c>
      <c r="BI267" s="386">
        <v>2.38</v>
      </c>
      <c r="BJ267" s="386">
        <v>65</v>
      </c>
      <c r="BK267" s="386">
        <v>4.68</v>
      </c>
      <c r="BL267" s="386">
        <v>3.31</v>
      </c>
      <c r="BM267" s="386">
        <v>0</v>
      </c>
      <c r="BN267" s="386">
        <v>27</v>
      </c>
      <c r="BO267" s="386">
        <v>2105.1999999999998</v>
      </c>
      <c r="BP267" s="386">
        <v>2.2000000000000002</v>
      </c>
      <c r="BQ267" s="615">
        <v>20.5</v>
      </c>
      <c r="BR267" s="615">
        <v>21.2</v>
      </c>
      <c r="BS267" s="615">
        <v>12.7</v>
      </c>
      <c r="BT267" s="615">
        <v>12.8</v>
      </c>
      <c r="BU267" s="614">
        <v>26</v>
      </c>
      <c r="BV267" s="614">
        <v>36.6</v>
      </c>
      <c r="BW267" s="615">
        <v>1038.4000000000001</v>
      </c>
      <c r="BX267" s="791"/>
      <c r="BY267" s="615">
        <v>0</v>
      </c>
      <c r="BZ267" s="615">
        <v>1.1100000000000001</v>
      </c>
      <c r="CA267" s="615">
        <v>1</v>
      </c>
      <c r="CB267" s="615">
        <v>8.1</v>
      </c>
      <c r="CC267" s="615">
        <v>8.1</v>
      </c>
      <c r="CD267" s="615">
        <v>16.2</v>
      </c>
      <c r="CE267" s="615">
        <v>33.799999999999997</v>
      </c>
      <c r="CF267" s="615">
        <v>18.3</v>
      </c>
      <c r="CG267" s="615">
        <v>8.4</v>
      </c>
      <c r="CH267" s="615">
        <v>14</v>
      </c>
      <c r="CI267" s="615">
        <v>18.3</v>
      </c>
      <c r="CJ267" s="615">
        <v>13.7</v>
      </c>
      <c r="CK267" s="615">
        <v>404.9</v>
      </c>
      <c r="CL267" s="615">
        <v>3.7</v>
      </c>
      <c r="CM267" s="615">
        <v>5.3</v>
      </c>
      <c r="CN267" s="615">
        <v>1724.9</v>
      </c>
      <c r="CO267" s="615">
        <v>832.7</v>
      </c>
      <c r="CP267" s="615">
        <v>0</v>
      </c>
      <c r="CQ267" s="615">
        <v>13.9</v>
      </c>
      <c r="CR267" s="615">
        <v>0.98</v>
      </c>
      <c r="CS267" s="386">
        <v>2962.7</v>
      </c>
      <c r="CT267" s="386">
        <v>16.675999999999998</v>
      </c>
      <c r="CU267" s="386">
        <v>62</v>
      </c>
      <c r="CV267" s="499">
        <v>0</v>
      </c>
      <c r="CW267" s="499">
        <v>0</v>
      </c>
      <c r="CX267" s="499">
        <v>0</v>
      </c>
      <c r="CY267" s="499">
        <v>0</v>
      </c>
      <c r="CZ267" s="643">
        <v>319</v>
      </c>
      <c r="DA267" s="643">
        <v>340</v>
      </c>
      <c r="DB267" s="643">
        <v>196</v>
      </c>
      <c r="DC267" s="966">
        <v>1143.48</v>
      </c>
      <c r="DD267" s="1153">
        <f t="shared" si="69"/>
        <v>-0.55999999999994543</v>
      </c>
      <c r="DE267" s="1154">
        <f t="shared" si="70"/>
        <v>13.088971584000001</v>
      </c>
      <c r="DF267" s="1154">
        <f t="shared" si="71"/>
        <v>86</v>
      </c>
      <c r="DG267" s="1154">
        <f t="shared" si="72"/>
        <v>90</v>
      </c>
      <c r="DH267" s="1155" t="str">
        <f t="shared" si="73"/>
        <v>Palm</v>
      </c>
      <c r="DI267" s="1146">
        <f t="shared" si="74"/>
        <v>144</v>
      </c>
      <c r="DJ267" s="1146">
        <f t="shared" si="75"/>
        <v>4.2662880000000003</v>
      </c>
      <c r="DK267" s="1154">
        <f t="shared" si="76"/>
        <v>13.088971584000001</v>
      </c>
      <c r="DL267" s="615"/>
      <c r="DM267" s="615"/>
      <c r="DN267" s="615"/>
      <c r="DO267" s="499"/>
      <c r="DP267" s="499"/>
      <c r="DQ267" s="499"/>
      <c r="DR267" s="499"/>
      <c r="DS267" s="499"/>
      <c r="DT267" s="499"/>
      <c r="DU267" s="499"/>
      <c r="DV267" s="499"/>
      <c r="DW267" s="499"/>
      <c r="DX267" s="499"/>
      <c r="DY267" s="630"/>
      <c r="DZ267" s="499"/>
      <c r="EA267" s="499"/>
      <c r="EB267" s="499"/>
      <c r="EC267" s="499"/>
      <c r="ED267" s="499"/>
      <c r="EE267" s="499"/>
      <c r="EF267" s="499"/>
      <c r="EG267" s="1147">
        <f t="shared" si="77"/>
        <v>35</v>
      </c>
      <c r="EH267" s="615">
        <v>16</v>
      </c>
      <c r="EI267" s="615">
        <v>6</v>
      </c>
      <c r="EJ267" s="613">
        <v>5</v>
      </c>
      <c r="EK267" s="615">
        <v>8</v>
      </c>
      <c r="EL267" s="499"/>
      <c r="EM267" s="499"/>
      <c r="EN267" s="499"/>
      <c r="EO267" s="499"/>
      <c r="EP267" s="499"/>
      <c r="EQ267" s="499"/>
      <c r="ER267" s="499"/>
      <c r="ES267" s="388"/>
      <c r="ET267" s="388"/>
      <c r="EU267" s="370"/>
      <c r="EV267" s="1167">
        <f t="shared" si="79"/>
        <v>54.144999999999996</v>
      </c>
      <c r="EW267" s="370"/>
      <c r="EX267" s="370"/>
    </row>
    <row r="268" spans="1:154" s="350" customFormat="1" ht="16.2" x14ac:dyDescent="0.35">
      <c r="A268" s="632" t="s">
        <v>9</v>
      </c>
      <c r="B268" s="662">
        <v>42994</v>
      </c>
      <c r="C268" s="1132" t="s">
        <v>904</v>
      </c>
      <c r="D268" s="386">
        <v>0</v>
      </c>
      <c r="E268" s="636">
        <v>0</v>
      </c>
      <c r="F268" s="636">
        <v>58</v>
      </c>
      <c r="G268" s="636">
        <v>0.4</v>
      </c>
      <c r="H268" s="386">
        <v>1.61</v>
      </c>
      <c r="I268" s="386">
        <v>19.899999999999999</v>
      </c>
      <c r="J268" s="386">
        <v>0</v>
      </c>
      <c r="K268" s="386">
        <v>1.1299999999999999</v>
      </c>
      <c r="L268" s="636">
        <v>0</v>
      </c>
      <c r="M268" s="386">
        <v>15.2</v>
      </c>
      <c r="N268" s="386">
        <v>1.3</v>
      </c>
      <c r="O268" s="386">
        <v>1.6240589211083594</v>
      </c>
      <c r="P268" s="386">
        <v>1.17</v>
      </c>
      <c r="Q268" s="386">
        <v>0.65381587327772206</v>
      </c>
      <c r="R268" s="732">
        <v>1231.7561773255816</v>
      </c>
      <c r="S268" s="386">
        <v>8.19</v>
      </c>
      <c r="T268" s="386">
        <v>8.15</v>
      </c>
      <c r="U268" s="386">
        <v>0.79</v>
      </c>
      <c r="V268" s="636">
        <v>0.76</v>
      </c>
      <c r="W268" s="636">
        <v>62.42</v>
      </c>
      <c r="X268" s="613">
        <v>62.42</v>
      </c>
      <c r="Y268" s="367">
        <v>28.4</v>
      </c>
      <c r="Z268" s="636">
        <v>45.8</v>
      </c>
      <c r="AA268" s="636">
        <v>28.5</v>
      </c>
      <c r="AB268" s="636">
        <v>45.87</v>
      </c>
      <c r="AC268" s="1160">
        <f t="shared" ref="AC268:AC331" si="80">AA268+AB268</f>
        <v>74.37</v>
      </c>
      <c r="AD268" s="1160">
        <f t="shared" ref="AD268:AD331" si="81">AC268*1.547</f>
        <v>115.05039000000001</v>
      </c>
      <c r="AE268" s="1160">
        <f t="shared" ref="AE268:AE331" si="82">AD268-(L268*1.547)</f>
        <v>115.05039000000001</v>
      </c>
      <c r="AF268" s="723"/>
      <c r="AG268" s="1160">
        <f t="shared" si="78"/>
        <v>0</v>
      </c>
      <c r="AH268" s="656"/>
      <c r="AI268" s="656"/>
      <c r="AJ268" s="388"/>
      <c r="AK268" s="388"/>
      <c r="AL268" s="388"/>
      <c r="AM268" s="388"/>
      <c r="AN268" s="388"/>
      <c r="AO268" s="370"/>
      <c r="AP268" s="370"/>
      <c r="AQ268" s="386"/>
      <c r="AR268" s="551">
        <v>0</v>
      </c>
      <c r="AS268" s="386">
        <v>25</v>
      </c>
      <c r="AT268" s="386">
        <v>0</v>
      </c>
      <c r="AU268" s="386">
        <v>26.8</v>
      </c>
      <c r="AV268" s="636">
        <v>665.2</v>
      </c>
      <c r="AW268" s="636">
        <v>995.9</v>
      </c>
      <c r="AX268" s="386">
        <v>0</v>
      </c>
      <c r="AY268" s="551">
        <v>0</v>
      </c>
      <c r="AZ268" s="551">
        <v>0</v>
      </c>
      <c r="BA268" s="551">
        <v>0</v>
      </c>
      <c r="BB268" s="832">
        <v>0</v>
      </c>
      <c r="BC268" s="386">
        <v>0.72</v>
      </c>
      <c r="BD268" s="386">
        <v>2.2799999999999998</v>
      </c>
      <c r="BE268" s="551">
        <v>0</v>
      </c>
      <c r="BF268" s="386">
        <v>1.99</v>
      </c>
      <c r="BG268" s="386">
        <v>3.09</v>
      </c>
      <c r="BH268" s="551">
        <v>0</v>
      </c>
      <c r="BI268" s="386">
        <v>2.38</v>
      </c>
      <c r="BJ268" s="386">
        <v>35.299999999999997</v>
      </c>
      <c r="BK268" s="386">
        <v>4.3099999999999996</v>
      </c>
      <c r="BL268" s="386">
        <v>3.7</v>
      </c>
      <c r="BM268" s="386">
        <v>0</v>
      </c>
      <c r="BN268" s="386">
        <v>27.5</v>
      </c>
      <c r="BO268" s="386">
        <v>2065.8000000000002</v>
      </c>
      <c r="BP268" s="386">
        <v>2.2999999999999998</v>
      </c>
      <c r="BQ268" s="615">
        <v>20.6</v>
      </c>
      <c r="BR268" s="615">
        <v>21.3</v>
      </c>
      <c r="BS268" s="615">
        <v>12.9</v>
      </c>
      <c r="BT268" s="615">
        <v>13</v>
      </c>
      <c r="BU268" s="614">
        <v>26.5</v>
      </c>
      <c r="BV268" s="614">
        <v>31.5</v>
      </c>
      <c r="BW268" s="615">
        <v>1047.3</v>
      </c>
      <c r="BX268" s="791"/>
      <c r="BY268" s="615">
        <v>0</v>
      </c>
      <c r="BZ268" s="615">
        <v>1.1000000000000001</v>
      </c>
      <c r="CA268" s="615">
        <v>1</v>
      </c>
      <c r="CB268" s="615">
        <v>8.1</v>
      </c>
      <c r="CC268" s="615">
        <v>8.1</v>
      </c>
      <c r="CD268" s="615">
        <v>15.4</v>
      </c>
      <c r="CE268" s="615">
        <v>33.9</v>
      </c>
      <c r="CF268" s="615">
        <v>21.1</v>
      </c>
      <c r="CG268" s="615">
        <v>8.4</v>
      </c>
      <c r="CH268" s="615">
        <v>14</v>
      </c>
      <c r="CI268" s="615">
        <v>18.399999999999999</v>
      </c>
      <c r="CJ268" s="615">
        <v>12.9</v>
      </c>
      <c r="CK268" s="615">
        <v>370.1</v>
      </c>
      <c r="CL268" s="615">
        <v>2.5</v>
      </c>
      <c r="CM268" s="615">
        <v>4.3</v>
      </c>
      <c r="CN268" s="615">
        <v>1330.3</v>
      </c>
      <c r="CO268" s="615">
        <v>812</v>
      </c>
      <c r="CP268" s="615">
        <v>0</v>
      </c>
      <c r="CQ268" s="615">
        <v>13.9</v>
      </c>
      <c r="CR268" s="615">
        <v>0.93</v>
      </c>
      <c r="CS268" s="386">
        <v>2962.7</v>
      </c>
      <c r="CT268" s="386">
        <v>16.928000000000001</v>
      </c>
      <c r="CU268" s="386">
        <v>61</v>
      </c>
      <c r="CV268" s="499">
        <v>0</v>
      </c>
      <c r="CW268" s="499">
        <v>0</v>
      </c>
      <c r="CX268" s="499">
        <v>0</v>
      </c>
      <c r="CY268" s="499">
        <v>0</v>
      </c>
      <c r="CZ268" s="643">
        <v>319</v>
      </c>
      <c r="DA268" s="643">
        <v>345</v>
      </c>
      <c r="DB268" s="643">
        <v>203</v>
      </c>
      <c r="DC268" s="966">
        <v>1142.93</v>
      </c>
      <c r="DD268" s="1153">
        <f t="shared" si="69"/>
        <v>-0.54999999999995453</v>
      </c>
      <c r="DE268" s="1154">
        <f t="shared" si="70"/>
        <v>13.088971584000001</v>
      </c>
      <c r="DF268" s="1154">
        <f t="shared" si="71"/>
        <v>93</v>
      </c>
      <c r="DG268" s="1154">
        <f t="shared" si="72"/>
        <v>95</v>
      </c>
      <c r="DH268" s="1155" t="str">
        <f t="shared" si="73"/>
        <v>Palm</v>
      </c>
      <c r="DI268" s="1146">
        <f t="shared" si="74"/>
        <v>142</v>
      </c>
      <c r="DJ268" s="1146">
        <f t="shared" si="75"/>
        <v>4.2662880000000003</v>
      </c>
      <c r="DK268" s="1154">
        <f t="shared" si="76"/>
        <v>13.088971584000001</v>
      </c>
      <c r="DL268" s="615"/>
      <c r="DM268" s="615"/>
      <c r="DN268" s="615"/>
      <c r="DO268" s="499"/>
      <c r="DP268" s="499"/>
      <c r="DQ268" s="499"/>
      <c r="DR268" s="499"/>
      <c r="DS268" s="499"/>
      <c r="DT268" s="499"/>
      <c r="DU268" s="499"/>
      <c r="DV268" s="499"/>
      <c r="DW268" s="499"/>
      <c r="DX268" s="499"/>
      <c r="DY268" s="630"/>
      <c r="DZ268" s="499"/>
      <c r="EA268" s="499"/>
      <c r="EB268" s="499"/>
      <c r="EC268" s="499"/>
      <c r="ED268" s="499"/>
      <c r="EE268" s="499"/>
      <c r="EF268" s="499"/>
      <c r="EG268" s="1147">
        <f t="shared" si="77"/>
        <v>35</v>
      </c>
      <c r="EH268" s="615">
        <v>16</v>
      </c>
      <c r="EI268" s="615">
        <v>6</v>
      </c>
      <c r="EJ268" s="613">
        <v>5</v>
      </c>
      <c r="EK268" s="615">
        <v>8</v>
      </c>
      <c r="EL268" s="499"/>
      <c r="EM268" s="499"/>
      <c r="EN268" s="499"/>
      <c r="EO268" s="499"/>
      <c r="EP268" s="499"/>
      <c r="EQ268" s="499"/>
      <c r="ER268" s="499"/>
      <c r="ES268" s="388"/>
      <c r="ET268" s="388"/>
      <c r="EU268" s="370"/>
      <c r="EV268" s="1167">
        <f t="shared" si="79"/>
        <v>54.144999999999996</v>
      </c>
      <c r="EW268" s="370"/>
      <c r="EX268" s="370"/>
    </row>
    <row r="269" spans="1:154" s="350" customFormat="1" ht="15" x14ac:dyDescent="0.25">
      <c r="A269" s="632" t="s">
        <v>3</v>
      </c>
      <c r="B269" s="662">
        <v>42995</v>
      </c>
      <c r="C269" s="1132" t="s">
        <v>904</v>
      </c>
      <c r="D269" s="386">
        <v>0.2</v>
      </c>
      <c r="E269" s="636">
        <v>0</v>
      </c>
      <c r="F269" s="636">
        <v>49</v>
      </c>
      <c r="G269" s="636">
        <v>0.4</v>
      </c>
      <c r="H269" s="386">
        <v>1.68</v>
      </c>
      <c r="I269" s="386">
        <v>20</v>
      </c>
      <c r="J269" s="386">
        <v>0</v>
      </c>
      <c r="K269" s="386">
        <v>1.1000000000000001</v>
      </c>
      <c r="L269" s="636">
        <v>0</v>
      </c>
      <c r="M269" s="386">
        <v>15.4</v>
      </c>
      <c r="N269" s="386">
        <v>1.1399999999999999</v>
      </c>
      <c r="O269" s="386">
        <v>1.5966073108242347</v>
      </c>
      <c r="P269" s="386">
        <v>1.19</v>
      </c>
      <c r="Q269" s="386">
        <v>0.73046822924911448</v>
      </c>
      <c r="R269" s="732">
        <v>1220.4220203488373</v>
      </c>
      <c r="S269" s="386">
        <v>8.24</v>
      </c>
      <c r="T269" s="386">
        <v>8.24</v>
      </c>
      <c r="U269" s="386">
        <v>0.82</v>
      </c>
      <c r="V269" s="636">
        <v>0.73</v>
      </c>
      <c r="W269" s="636">
        <v>62.42</v>
      </c>
      <c r="X269" s="613">
        <v>62.42</v>
      </c>
      <c r="Y269" s="367">
        <v>28.5</v>
      </c>
      <c r="Z269" s="636">
        <v>45.87</v>
      </c>
      <c r="AA269" s="636">
        <v>28.5</v>
      </c>
      <c r="AB269" s="636">
        <v>44.6</v>
      </c>
      <c r="AC269" s="1160">
        <f t="shared" si="80"/>
        <v>73.099999999999994</v>
      </c>
      <c r="AD269" s="1160">
        <f t="shared" si="81"/>
        <v>113.08569999999999</v>
      </c>
      <c r="AE269" s="1160">
        <f t="shared" si="82"/>
        <v>113.08569999999999</v>
      </c>
      <c r="AF269" s="723"/>
      <c r="AG269" s="1160">
        <f t="shared" si="78"/>
        <v>0</v>
      </c>
      <c r="AH269" s="656"/>
      <c r="AI269" s="656"/>
      <c r="AJ269" s="388"/>
      <c r="AK269" s="388"/>
      <c r="AL269" s="388"/>
      <c r="AM269" s="388"/>
      <c r="AN269" s="388"/>
      <c r="AO269" s="370"/>
      <c r="AP269" s="370"/>
      <c r="AQ269" s="386"/>
      <c r="AR269" s="551">
        <v>0</v>
      </c>
      <c r="AS269" s="386">
        <v>19.100000000000001</v>
      </c>
      <c r="AT269" s="386">
        <v>0</v>
      </c>
      <c r="AU269" s="386">
        <v>26.8</v>
      </c>
      <c r="AV269" s="636">
        <v>712.5</v>
      </c>
      <c r="AW269" s="636">
        <v>1034.3</v>
      </c>
      <c r="AX269" s="386">
        <v>0</v>
      </c>
      <c r="AY269" s="551">
        <v>0</v>
      </c>
      <c r="AZ269" s="551">
        <v>0</v>
      </c>
      <c r="BA269" s="551">
        <v>0</v>
      </c>
      <c r="BB269" s="832">
        <v>0</v>
      </c>
      <c r="BC269" s="386">
        <v>0.72</v>
      </c>
      <c r="BD269" s="386">
        <v>2.2799999999999998</v>
      </c>
      <c r="BE269" s="551">
        <v>0</v>
      </c>
      <c r="BF269" s="386">
        <v>1.99</v>
      </c>
      <c r="BG269" s="386">
        <v>3.14</v>
      </c>
      <c r="BH269" s="551">
        <v>0</v>
      </c>
      <c r="BI269" s="386">
        <v>2.37</v>
      </c>
      <c r="BJ269" s="386">
        <v>34.299999999999997</v>
      </c>
      <c r="BK269" s="386">
        <v>3.85</v>
      </c>
      <c r="BL269" s="386">
        <v>4.17</v>
      </c>
      <c r="BM269" s="386">
        <v>0</v>
      </c>
      <c r="BN269" s="386">
        <v>26.3</v>
      </c>
      <c r="BO269" s="386">
        <v>1811</v>
      </c>
      <c r="BP269" s="386">
        <v>2.4</v>
      </c>
      <c r="BQ269" s="615">
        <v>20.7</v>
      </c>
      <c r="BR269" s="615">
        <v>21.4</v>
      </c>
      <c r="BS269" s="615">
        <v>12.8</v>
      </c>
      <c r="BT269" s="615">
        <v>13</v>
      </c>
      <c r="BU269" s="614">
        <v>26.4</v>
      </c>
      <c r="BV269" s="614">
        <v>31.4</v>
      </c>
      <c r="BW269" s="615">
        <v>948.9</v>
      </c>
      <c r="BX269" s="791"/>
      <c r="BY269" s="615">
        <v>0</v>
      </c>
      <c r="BZ269" s="615">
        <v>1.0900000000000001</v>
      </c>
      <c r="CA269" s="615">
        <v>1.1000000000000001</v>
      </c>
      <c r="CB269" s="615">
        <v>8.1</v>
      </c>
      <c r="CC269" s="615">
        <v>8.1</v>
      </c>
      <c r="CD269" s="615">
        <v>15.3</v>
      </c>
      <c r="CE269" s="615">
        <v>33.9</v>
      </c>
      <c r="CF269" s="615">
        <v>18.8</v>
      </c>
      <c r="CG269" s="615">
        <v>7.9</v>
      </c>
      <c r="CH269" s="615">
        <v>13.4</v>
      </c>
      <c r="CI269" s="615">
        <v>17.7</v>
      </c>
      <c r="CJ269" s="615">
        <v>12.7</v>
      </c>
      <c r="CK269" s="615">
        <v>386.5</v>
      </c>
      <c r="CL269" s="615">
        <v>3.7</v>
      </c>
      <c r="CM269" s="615">
        <v>5.9</v>
      </c>
      <c r="CN269" s="615">
        <v>976</v>
      </c>
      <c r="CO269" s="615">
        <v>736.1</v>
      </c>
      <c r="CP269" s="615">
        <v>0</v>
      </c>
      <c r="CQ269" s="615">
        <v>14.1</v>
      </c>
      <c r="CR269" s="615">
        <v>0.98</v>
      </c>
      <c r="CS269" s="386">
        <v>2963.6</v>
      </c>
      <c r="CT269" s="386">
        <v>18.690000000000001</v>
      </c>
      <c r="CU269" s="386">
        <v>61</v>
      </c>
      <c r="CV269" s="499">
        <v>0</v>
      </c>
      <c r="CW269" s="499">
        <v>0</v>
      </c>
      <c r="CX269" s="499">
        <v>0</v>
      </c>
      <c r="CY269" s="499">
        <v>0</v>
      </c>
      <c r="CZ269" s="643">
        <v>319</v>
      </c>
      <c r="DA269" s="643">
        <v>359</v>
      </c>
      <c r="DB269" s="643">
        <v>215</v>
      </c>
      <c r="DC269" s="609">
        <v>1142.4000000000001</v>
      </c>
      <c r="DD269" s="1153">
        <f t="shared" si="69"/>
        <v>-0.52999999999997272</v>
      </c>
      <c r="DE269" s="1154">
        <f t="shared" si="70"/>
        <v>13.092947712000001</v>
      </c>
      <c r="DF269" s="1154">
        <f t="shared" si="71"/>
        <v>105</v>
      </c>
      <c r="DG269" s="1154">
        <f t="shared" si="72"/>
        <v>109</v>
      </c>
      <c r="DH269" s="1155" t="str">
        <f t="shared" si="73"/>
        <v>Palm</v>
      </c>
      <c r="DI269" s="1146">
        <f t="shared" si="74"/>
        <v>144</v>
      </c>
      <c r="DJ269" s="1146">
        <f t="shared" si="75"/>
        <v>4.2675840000000003</v>
      </c>
      <c r="DK269" s="1154">
        <f t="shared" si="76"/>
        <v>13.092947712000001</v>
      </c>
      <c r="DL269" s="615"/>
      <c r="DM269" s="615"/>
      <c r="DN269" s="615"/>
      <c r="DO269" s="499"/>
      <c r="DP269" s="499"/>
      <c r="DQ269" s="499"/>
      <c r="DR269" s="499"/>
      <c r="DS269" s="499"/>
      <c r="DT269" s="499"/>
      <c r="DU269" s="499"/>
      <c r="DV269" s="499"/>
      <c r="DW269" s="499"/>
      <c r="DX269" s="499"/>
      <c r="DY269" s="630"/>
      <c r="DZ269" s="499"/>
      <c r="EA269" s="499"/>
      <c r="EB269" s="499"/>
      <c r="EC269" s="499"/>
      <c r="ED269" s="499"/>
      <c r="EE269" s="499"/>
      <c r="EF269" s="499"/>
      <c r="EG269" s="1147">
        <f t="shared" si="77"/>
        <v>35</v>
      </c>
      <c r="EH269" s="615">
        <v>16</v>
      </c>
      <c r="EI269" s="615">
        <v>6</v>
      </c>
      <c r="EJ269" s="613">
        <v>5</v>
      </c>
      <c r="EK269" s="615">
        <v>8</v>
      </c>
      <c r="EL269" s="499"/>
      <c r="EM269" s="499"/>
      <c r="EN269" s="499"/>
      <c r="EO269" s="499"/>
      <c r="EP269" s="499"/>
      <c r="EQ269" s="499"/>
      <c r="ER269" s="499"/>
      <c r="ES269" s="388"/>
      <c r="ET269" s="388"/>
      <c r="EU269" s="370"/>
      <c r="EV269" s="1167">
        <f t="shared" si="79"/>
        <v>54.144999999999996</v>
      </c>
      <c r="EW269" s="370"/>
      <c r="EX269" s="370"/>
    </row>
    <row r="270" spans="1:154" s="350" customFormat="1" ht="15" x14ac:dyDescent="0.25">
      <c r="A270" s="632" t="s">
        <v>4</v>
      </c>
      <c r="B270" s="662">
        <v>42996</v>
      </c>
      <c r="C270" s="1132" t="s">
        <v>904</v>
      </c>
      <c r="D270" s="386">
        <v>0.55000000000000004</v>
      </c>
      <c r="E270" s="636">
        <v>0</v>
      </c>
      <c r="F270" s="636">
        <v>47</v>
      </c>
      <c r="G270" s="636">
        <v>0.4</v>
      </c>
      <c r="H270" s="386">
        <v>1.88</v>
      </c>
      <c r="I270" s="386">
        <v>20.2</v>
      </c>
      <c r="J270" s="386">
        <v>0</v>
      </c>
      <c r="K270" s="386">
        <v>1.19</v>
      </c>
      <c r="L270" s="636">
        <v>0</v>
      </c>
      <c r="M270" s="386">
        <v>15.6</v>
      </c>
      <c r="N270" s="386">
        <v>1.22</v>
      </c>
      <c r="O270" s="386">
        <v>1.6396121524991949</v>
      </c>
      <c r="P270" s="386">
        <v>1.19</v>
      </c>
      <c r="Q270" s="386">
        <v>0.70195444923684169</v>
      </c>
      <c r="R270" s="732">
        <v>1194.7534883720932</v>
      </c>
      <c r="S270" s="386">
        <v>8.2200000000000006</v>
      </c>
      <c r="T270" s="386">
        <v>8.2100000000000009</v>
      </c>
      <c r="U270" s="386">
        <v>0.76</v>
      </c>
      <c r="V270" s="636">
        <v>0.71</v>
      </c>
      <c r="W270" s="636">
        <v>62.600000000000009</v>
      </c>
      <c r="X270" s="613">
        <v>62.600000000000009</v>
      </c>
      <c r="Y270" s="367">
        <v>28.5</v>
      </c>
      <c r="Z270" s="636">
        <v>44.6</v>
      </c>
      <c r="AA270" s="636">
        <v>28.5</v>
      </c>
      <c r="AB270" s="636">
        <v>42.42</v>
      </c>
      <c r="AC270" s="1160">
        <f t="shared" si="80"/>
        <v>70.92</v>
      </c>
      <c r="AD270" s="1160">
        <f t="shared" si="81"/>
        <v>109.71324</v>
      </c>
      <c r="AE270" s="1160">
        <f t="shared" si="82"/>
        <v>109.71324</v>
      </c>
      <c r="AF270" s="723"/>
      <c r="AG270" s="1160">
        <f t="shared" si="78"/>
        <v>0</v>
      </c>
      <c r="AH270" s="656"/>
      <c r="AI270" s="656"/>
      <c r="AJ270" s="388"/>
      <c r="AK270" s="388"/>
      <c r="AL270" s="388"/>
      <c r="AM270" s="388"/>
      <c r="AN270" s="388"/>
      <c r="AO270" s="370"/>
      <c r="AP270" s="370"/>
      <c r="AQ270" s="386"/>
      <c r="AR270" s="551">
        <v>0</v>
      </c>
      <c r="AS270" s="386">
        <v>17.600000000000001</v>
      </c>
      <c r="AT270" s="386">
        <v>0</v>
      </c>
      <c r="AU270" s="386">
        <v>26.8</v>
      </c>
      <c r="AV270" s="636">
        <v>651.1</v>
      </c>
      <c r="AW270" s="636">
        <v>912.9</v>
      </c>
      <c r="AX270" s="386">
        <v>0</v>
      </c>
      <c r="AY270" s="551">
        <v>0</v>
      </c>
      <c r="AZ270" s="551">
        <v>0</v>
      </c>
      <c r="BA270" s="551">
        <v>0</v>
      </c>
      <c r="BB270" s="832">
        <v>0</v>
      </c>
      <c r="BC270" s="386">
        <v>0.67</v>
      </c>
      <c r="BD270" s="386">
        <v>2.0299999999999998</v>
      </c>
      <c r="BE270" s="551">
        <v>0</v>
      </c>
      <c r="BF270" s="386">
        <v>1.99</v>
      </c>
      <c r="BG270" s="386">
        <v>3.31</v>
      </c>
      <c r="BH270" s="551">
        <v>0</v>
      </c>
      <c r="BI270" s="386">
        <v>1.71</v>
      </c>
      <c r="BJ270" s="386">
        <v>32.799999999999997</v>
      </c>
      <c r="BK270" s="386">
        <v>4.09</v>
      </c>
      <c r="BL270" s="386">
        <v>3.3</v>
      </c>
      <c r="BM270" s="386">
        <v>0</v>
      </c>
      <c r="BN270" s="386">
        <v>25.4</v>
      </c>
      <c r="BO270" s="386">
        <v>1676.9</v>
      </c>
      <c r="BP270" s="386">
        <v>2.5</v>
      </c>
      <c r="BQ270" s="615">
        <v>20.2</v>
      </c>
      <c r="BR270" s="615">
        <v>20.9</v>
      </c>
      <c r="BS270" s="615">
        <v>13</v>
      </c>
      <c r="BT270" s="615">
        <v>13</v>
      </c>
      <c r="BU270" s="614">
        <v>26.6</v>
      </c>
      <c r="BV270" s="614">
        <v>32.9</v>
      </c>
      <c r="BW270" s="615">
        <v>849.5</v>
      </c>
      <c r="BX270" s="791"/>
      <c r="BY270" s="615">
        <v>0</v>
      </c>
      <c r="BZ270" s="615">
        <v>1.07</v>
      </c>
      <c r="CA270" s="615">
        <v>1</v>
      </c>
      <c r="CB270" s="615">
        <v>8.1</v>
      </c>
      <c r="CC270" s="615">
        <v>8.1</v>
      </c>
      <c r="CD270" s="615">
        <v>15.7</v>
      </c>
      <c r="CE270" s="615">
        <v>34</v>
      </c>
      <c r="CF270" s="615">
        <v>21.3</v>
      </c>
      <c r="CG270" s="615">
        <v>7.9</v>
      </c>
      <c r="CH270" s="615">
        <v>13.4</v>
      </c>
      <c r="CI270" s="615">
        <v>17.8</v>
      </c>
      <c r="CJ270" s="615">
        <v>12.5</v>
      </c>
      <c r="CK270" s="615">
        <v>436</v>
      </c>
      <c r="CL270" s="615">
        <v>3.7</v>
      </c>
      <c r="CM270" s="615">
        <v>5.6</v>
      </c>
      <c r="CN270" s="615">
        <v>696.2</v>
      </c>
      <c r="CO270" s="615">
        <v>621</v>
      </c>
      <c r="CP270" s="615">
        <v>0</v>
      </c>
      <c r="CQ270" s="615">
        <v>13.9</v>
      </c>
      <c r="CR270" s="615">
        <v>0.98</v>
      </c>
      <c r="CS270" s="386">
        <v>1784</v>
      </c>
      <c r="CT270" s="386">
        <v>17.835000000000001</v>
      </c>
      <c r="CU270" s="386">
        <v>61</v>
      </c>
      <c r="CV270" s="499">
        <v>0</v>
      </c>
      <c r="CW270" s="499">
        <v>0</v>
      </c>
      <c r="CX270" s="499">
        <v>0</v>
      </c>
      <c r="CY270" s="499">
        <v>0</v>
      </c>
      <c r="CZ270" s="643">
        <v>319</v>
      </c>
      <c r="DA270" s="643">
        <v>381</v>
      </c>
      <c r="DB270" s="643">
        <v>201</v>
      </c>
      <c r="DC270" s="609">
        <v>1141.95</v>
      </c>
      <c r="DD270" s="1153">
        <f t="shared" si="69"/>
        <v>-0.45000000000004547</v>
      </c>
      <c r="DE270" s="1154">
        <f t="shared" si="70"/>
        <v>7.8815692800000008</v>
      </c>
      <c r="DF270" s="1154">
        <f t="shared" si="71"/>
        <v>91</v>
      </c>
      <c r="DG270" s="1154">
        <f t="shared" si="72"/>
        <v>131</v>
      </c>
      <c r="DH270" s="1155" t="str">
        <f t="shared" si="73"/>
        <v>Palm</v>
      </c>
      <c r="DI270" s="1146">
        <f t="shared" si="74"/>
        <v>180</v>
      </c>
      <c r="DJ270" s="1146">
        <f t="shared" si="75"/>
        <v>2.5689600000000001</v>
      </c>
      <c r="DK270" s="1154">
        <f t="shared" si="76"/>
        <v>7.8815692800000008</v>
      </c>
      <c r="DL270" s="615"/>
      <c r="DM270" s="615"/>
      <c r="DN270" s="615"/>
      <c r="DO270" s="499"/>
      <c r="DP270" s="499"/>
      <c r="DQ270" s="499"/>
      <c r="DR270" s="499"/>
      <c r="DS270" s="499"/>
      <c r="DT270" s="499"/>
      <c r="DU270" s="499"/>
      <c r="DV270" s="499"/>
      <c r="DW270" s="499"/>
      <c r="DX270" s="499"/>
      <c r="DY270" s="630"/>
      <c r="DZ270" s="499"/>
      <c r="EA270" s="499"/>
      <c r="EB270" s="499"/>
      <c r="EC270" s="499"/>
      <c r="ED270" s="499"/>
      <c r="EE270" s="499"/>
      <c r="EF270" s="499"/>
      <c r="EG270" s="1147">
        <f t="shared" si="77"/>
        <v>31</v>
      </c>
      <c r="EH270" s="499">
        <v>14.5</v>
      </c>
      <c r="EI270" s="615">
        <v>5</v>
      </c>
      <c r="EJ270" s="615">
        <v>4.5</v>
      </c>
      <c r="EK270" s="615">
        <v>7</v>
      </c>
      <c r="EL270" s="499"/>
      <c r="EM270" s="499"/>
      <c r="EN270" s="499"/>
      <c r="EO270" s="499"/>
      <c r="EP270" s="499"/>
      <c r="EQ270" s="499"/>
      <c r="ER270" s="499"/>
      <c r="ES270" s="388"/>
      <c r="ET270" s="388"/>
      <c r="EU270" s="370"/>
      <c r="EV270" s="1167">
        <f t="shared" si="79"/>
        <v>47.957000000000001</v>
      </c>
      <c r="EW270" s="370"/>
      <c r="EX270" s="370"/>
    </row>
    <row r="271" spans="1:154" s="350" customFormat="1" ht="15" x14ac:dyDescent="0.25">
      <c r="A271" s="632" t="s">
        <v>5</v>
      </c>
      <c r="B271" s="662">
        <v>42997</v>
      </c>
      <c r="C271" s="1132" t="s">
        <v>904</v>
      </c>
      <c r="D271" s="386">
        <v>0.55000000000000004</v>
      </c>
      <c r="E271" s="636">
        <v>0</v>
      </c>
      <c r="F271" s="636">
        <v>47</v>
      </c>
      <c r="G271" s="636">
        <v>0.5</v>
      </c>
      <c r="H271" s="386">
        <v>1.51</v>
      </c>
      <c r="I271" s="386">
        <v>21.5</v>
      </c>
      <c r="J271" s="386">
        <v>0</v>
      </c>
      <c r="K271" s="386">
        <v>1.19</v>
      </c>
      <c r="L271" s="636">
        <v>0</v>
      </c>
      <c r="M271" s="386">
        <v>16</v>
      </c>
      <c r="N271" s="386">
        <v>1.21</v>
      </c>
      <c r="O271" s="386">
        <v>1.6134333355105803</v>
      </c>
      <c r="P271" s="386">
        <v>1.2</v>
      </c>
      <c r="Q271" s="386">
        <v>0.68609451768021212</v>
      </c>
      <c r="R271" s="732">
        <v>1204.7542151162791</v>
      </c>
      <c r="S271" s="386">
        <v>8.3000000000000007</v>
      </c>
      <c r="T271" s="386">
        <v>8.35</v>
      </c>
      <c r="U271" s="386">
        <v>0.76</v>
      </c>
      <c r="V271" s="636">
        <v>0.7</v>
      </c>
      <c r="W271" s="636">
        <v>62.06</v>
      </c>
      <c r="X271" s="613">
        <v>62.239999999999995</v>
      </c>
      <c r="Y271" s="367">
        <v>28.5</v>
      </c>
      <c r="Z271" s="636">
        <v>42.42</v>
      </c>
      <c r="AA271" s="636">
        <v>28.4</v>
      </c>
      <c r="AB271" s="636">
        <v>44.18</v>
      </c>
      <c r="AC271" s="1160">
        <f t="shared" si="80"/>
        <v>72.58</v>
      </c>
      <c r="AD271" s="1160">
        <f t="shared" si="81"/>
        <v>112.28125999999999</v>
      </c>
      <c r="AE271" s="1160">
        <f t="shared" si="82"/>
        <v>112.28125999999999</v>
      </c>
      <c r="AF271" s="723"/>
      <c r="AG271" s="1160">
        <f t="shared" si="78"/>
        <v>0</v>
      </c>
      <c r="AH271" s="656"/>
      <c r="AI271" s="656"/>
      <c r="AJ271" s="388"/>
      <c r="AK271" s="388"/>
      <c r="AL271" s="388"/>
      <c r="AM271" s="388"/>
      <c r="AN271" s="388"/>
      <c r="AO271" s="370"/>
      <c r="AP271" s="370"/>
      <c r="AQ271" s="386"/>
      <c r="AR271" s="551">
        <v>0</v>
      </c>
      <c r="AS271" s="386">
        <v>24.1</v>
      </c>
      <c r="AT271" s="386">
        <v>0</v>
      </c>
      <c r="AU271" s="386">
        <v>26.7</v>
      </c>
      <c r="AV271" s="636">
        <v>575</v>
      </c>
      <c r="AW271" s="636">
        <v>744.1</v>
      </c>
      <c r="AX271" s="386">
        <v>0</v>
      </c>
      <c r="AY271" s="551">
        <v>0</v>
      </c>
      <c r="AZ271" s="551">
        <v>0</v>
      </c>
      <c r="BA271" s="551">
        <v>0</v>
      </c>
      <c r="BB271" s="832">
        <v>0</v>
      </c>
      <c r="BC271" s="386">
        <v>0.51</v>
      </c>
      <c r="BD271" s="386">
        <v>2</v>
      </c>
      <c r="BE271" s="551">
        <v>0</v>
      </c>
      <c r="BF271" s="386">
        <v>1.99</v>
      </c>
      <c r="BG271" s="386">
        <v>3.16</v>
      </c>
      <c r="BH271" s="551">
        <v>0</v>
      </c>
      <c r="BI271" s="386">
        <v>1.54</v>
      </c>
      <c r="BJ271" s="386">
        <v>35</v>
      </c>
      <c r="BK271" s="386">
        <v>4.12</v>
      </c>
      <c r="BL271" s="386">
        <v>2.9</v>
      </c>
      <c r="BM271" s="386">
        <v>0</v>
      </c>
      <c r="BN271" s="386">
        <v>28</v>
      </c>
      <c r="BO271" s="386">
        <v>1385.1</v>
      </c>
      <c r="BP271" s="386">
        <v>21.3</v>
      </c>
      <c r="BQ271" s="615">
        <v>21.5</v>
      </c>
      <c r="BR271" s="615">
        <v>22.9</v>
      </c>
      <c r="BS271" s="615">
        <v>13.1</v>
      </c>
      <c r="BT271" s="615">
        <v>13.2</v>
      </c>
      <c r="BU271" s="614">
        <v>27.1</v>
      </c>
      <c r="BV271" s="614">
        <v>27.7</v>
      </c>
      <c r="BW271" s="615">
        <v>639.5</v>
      </c>
      <c r="BX271" s="791"/>
      <c r="BY271" s="615">
        <v>0</v>
      </c>
      <c r="BZ271" s="615">
        <v>1.1000000000000001</v>
      </c>
      <c r="CA271" s="615">
        <v>1.1000000000000001</v>
      </c>
      <c r="CB271" s="615">
        <v>8.1999999999999993</v>
      </c>
      <c r="CC271" s="615">
        <v>8.1999999999999993</v>
      </c>
      <c r="CD271" s="615">
        <v>15.6</v>
      </c>
      <c r="CE271" s="615">
        <v>34.1</v>
      </c>
      <c r="CF271" s="615">
        <v>19.7</v>
      </c>
      <c r="CG271" s="615">
        <v>7.8</v>
      </c>
      <c r="CH271" s="615">
        <v>13.3</v>
      </c>
      <c r="CI271" s="615">
        <v>17.7</v>
      </c>
      <c r="CJ271" s="615">
        <v>12.6</v>
      </c>
      <c r="CK271" s="615">
        <v>532.9</v>
      </c>
      <c r="CL271" s="615">
        <v>3.8</v>
      </c>
      <c r="CM271" s="615">
        <v>6.1</v>
      </c>
      <c r="CN271" s="615">
        <v>412.2</v>
      </c>
      <c r="CO271" s="615">
        <v>568.1</v>
      </c>
      <c r="CP271" s="615">
        <v>0</v>
      </c>
      <c r="CQ271" s="615">
        <v>13.2</v>
      </c>
      <c r="CR271" s="615">
        <v>0.85</v>
      </c>
      <c r="CS271" s="386">
        <v>0</v>
      </c>
      <c r="CT271" s="386">
        <v>17.268999999999998</v>
      </c>
      <c r="CU271" s="386">
        <v>61</v>
      </c>
      <c r="CV271" s="499">
        <v>0</v>
      </c>
      <c r="CW271" s="499">
        <v>0</v>
      </c>
      <c r="CX271" s="499">
        <v>0</v>
      </c>
      <c r="CY271" s="499">
        <v>0</v>
      </c>
      <c r="CZ271" s="643">
        <v>319</v>
      </c>
      <c r="DA271" s="643">
        <v>381</v>
      </c>
      <c r="DB271" s="643">
        <v>213</v>
      </c>
      <c r="DC271" s="609">
        <v>1141.53</v>
      </c>
      <c r="DD271" s="1153">
        <f t="shared" ref="DD271:DD334" si="83">DC271-DC270</f>
        <v>-0.42000000000007276</v>
      </c>
      <c r="DE271" s="1154">
        <f t="shared" ref="DE271:DE334" si="84">(CS271*1440/1000000)*3.068</f>
        <v>0</v>
      </c>
      <c r="DF271" s="1154">
        <f t="shared" ref="DF271:DF334" si="85">DB271-110</f>
        <v>103</v>
      </c>
      <c r="DG271" s="1154">
        <f t="shared" ref="DG271:DG334" si="86">DA271-250</f>
        <v>131</v>
      </c>
      <c r="DH271" s="1155" t="str">
        <f t="shared" ref="DH271:DH334" si="87">IF(DG271&lt;DF271,"Aub","Palm")</f>
        <v>Palm</v>
      </c>
      <c r="DI271" s="1146">
        <f t="shared" ref="DI271:DI334" si="88">DA271-DB271</f>
        <v>168</v>
      </c>
      <c r="DJ271" s="1146">
        <f t="shared" ref="DJ271:DJ334" si="89">DK271/3.068</f>
        <v>0</v>
      </c>
      <c r="DK271" s="1154">
        <f t="shared" ref="DK271:DK334" si="90">(CS271*1440/1000000)*3.068</f>
        <v>0</v>
      </c>
      <c r="DL271" s="615"/>
      <c r="DM271" s="615"/>
      <c r="DN271" s="615"/>
      <c r="DO271" s="499"/>
      <c r="DP271" s="499"/>
      <c r="DQ271" s="499"/>
      <c r="DR271" s="499"/>
      <c r="DS271" s="499"/>
      <c r="DT271" s="499"/>
      <c r="DU271" s="499"/>
      <c r="DV271" s="499"/>
      <c r="DW271" s="499"/>
      <c r="DX271" s="499"/>
      <c r="DY271" s="630"/>
      <c r="DZ271" s="499"/>
      <c r="EA271" s="499"/>
      <c r="EB271" s="499">
        <v>-307</v>
      </c>
      <c r="EC271" s="499"/>
      <c r="ED271" s="499">
        <v>307</v>
      </c>
      <c r="EE271" s="499"/>
      <c r="EF271" s="499"/>
      <c r="EG271" s="1147">
        <f t="shared" si="77"/>
        <v>31</v>
      </c>
      <c r="EH271" s="499">
        <v>14.5</v>
      </c>
      <c r="EI271" s="615">
        <v>5</v>
      </c>
      <c r="EJ271" s="615">
        <v>4.5</v>
      </c>
      <c r="EK271" s="615">
        <v>7</v>
      </c>
      <c r="EL271" s="499"/>
      <c r="EM271" s="499"/>
      <c r="EN271" s="499"/>
      <c r="EO271" s="499"/>
      <c r="EP271" s="499"/>
      <c r="EQ271" s="499"/>
      <c r="ER271" s="499"/>
      <c r="ES271" s="388"/>
      <c r="ET271" s="388"/>
      <c r="EU271" s="370"/>
      <c r="EV271" s="1167">
        <f t="shared" si="79"/>
        <v>47.957000000000001</v>
      </c>
      <c r="EW271" s="370"/>
      <c r="EX271" s="370"/>
    </row>
    <row r="272" spans="1:154" s="350" customFormat="1" ht="15" x14ac:dyDescent="0.25">
      <c r="A272" s="632" t="s">
        <v>6</v>
      </c>
      <c r="B272" s="662">
        <v>42998</v>
      </c>
      <c r="C272" s="1132" t="s">
        <v>904</v>
      </c>
      <c r="D272" s="386">
        <v>0.2</v>
      </c>
      <c r="E272" s="636">
        <v>0</v>
      </c>
      <c r="F272" s="636">
        <v>47</v>
      </c>
      <c r="G272" s="636">
        <v>0.55000000000000004</v>
      </c>
      <c r="H272" s="386">
        <v>1.96</v>
      </c>
      <c r="I272" s="386">
        <v>19.899999999999999</v>
      </c>
      <c r="J272" s="386">
        <v>0</v>
      </c>
      <c r="K272" s="386">
        <v>1.17</v>
      </c>
      <c r="L272" s="636">
        <v>0</v>
      </c>
      <c r="M272" s="386">
        <v>16</v>
      </c>
      <c r="N272" s="386">
        <v>1.24</v>
      </c>
      <c r="O272" s="386">
        <v>1.6303471397046343</v>
      </c>
      <c r="P272" s="386">
        <v>1.19</v>
      </c>
      <c r="Q272" s="386">
        <v>0.69487736788323562</v>
      </c>
      <c r="R272" s="732">
        <v>1166.7514534883721</v>
      </c>
      <c r="S272" s="386">
        <v>8.16</v>
      </c>
      <c r="T272" s="386">
        <v>8.1199999999999992</v>
      </c>
      <c r="U272" s="386">
        <v>0.75</v>
      </c>
      <c r="V272" s="636">
        <v>0.71</v>
      </c>
      <c r="W272" s="636">
        <v>61.7</v>
      </c>
      <c r="X272" s="369">
        <v>61.7</v>
      </c>
      <c r="Y272" s="367">
        <v>28.4</v>
      </c>
      <c r="Z272" s="636">
        <v>40.799999999999997</v>
      </c>
      <c r="AA272" s="636">
        <v>28.36</v>
      </c>
      <c r="AB272" s="636">
        <v>41.4</v>
      </c>
      <c r="AC272" s="1160">
        <f t="shared" si="80"/>
        <v>69.759999999999991</v>
      </c>
      <c r="AD272" s="1160">
        <f t="shared" si="81"/>
        <v>107.91871999999998</v>
      </c>
      <c r="AE272" s="1160">
        <f t="shared" si="82"/>
        <v>107.91871999999998</v>
      </c>
      <c r="AF272" s="723"/>
      <c r="AG272" s="1160">
        <f t="shared" si="78"/>
        <v>0</v>
      </c>
      <c r="AH272" s="656"/>
      <c r="AI272" s="656"/>
      <c r="AJ272" s="388"/>
      <c r="AK272" s="388"/>
      <c r="AL272" s="388"/>
      <c r="AM272" s="388"/>
      <c r="AN272" s="388"/>
      <c r="AO272" s="370"/>
      <c r="AP272" s="370"/>
      <c r="AQ272" s="386"/>
      <c r="AR272" s="551">
        <v>0</v>
      </c>
      <c r="AS272" s="386">
        <v>24.9</v>
      </c>
      <c r="AT272" s="386">
        <v>0</v>
      </c>
      <c r="AU272" s="386">
        <v>26.8</v>
      </c>
      <c r="AV272" s="636">
        <v>535.5</v>
      </c>
      <c r="AW272" s="636">
        <v>732.6</v>
      </c>
      <c r="AX272" s="386">
        <v>0</v>
      </c>
      <c r="AY272" s="551">
        <v>0</v>
      </c>
      <c r="AZ272" s="551">
        <v>0</v>
      </c>
      <c r="BA272" s="551">
        <v>0</v>
      </c>
      <c r="BB272" s="832">
        <v>0</v>
      </c>
      <c r="BC272" s="386">
        <v>0.49</v>
      </c>
      <c r="BD272" s="386">
        <v>2</v>
      </c>
      <c r="BE272" s="551">
        <v>0</v>
      </c>
      <c r="BF272" s="386">
        <v>1.99</v>
      </c>
      <c r="BG272" s="386">
        <v>3.07</v>
      </c>
      <c r="BH272" s="551">
        <v>0</v>
      </c>
      <c r="BI272" s="386">
        <v>1.05</v>
      </c>
      <c r="BJ272" s="386">
        <v>32.9</v>
      </c>
      <c r="BK272" s="386">
        <v>3.5</v>
      </c>
      <c r="BL272" s="386">
        <v>3.53</v>
      </c>
      <c r="BM272" s="386">
        <v>0</v>
      </c>
      <c r="BN272" s="386">
        <v>25.9</v>
      </c>
      <c r="BO272" s="386">
        <v>1341.1</v>
      </c>
      <c r="BP272" s="386">
        <v>2.2000000000000002</v>
      </c>
      <c r="BQ272" s="615">
        <v>22</v>
      </c>
      <c r="BR272" s="615">
        <v>22.8</v>
      </c>
      <c r="BS272" s="615">
        <v>13.15</v>
      </c>
      <c r="BT272" s="615">
        <v>13.27</v>
      </c>
      <c r="BU272" s="614">
        <v>27</v>
      </c>
      <c r="BV272" s="614">
        <v>30.3</v>
      </c>
      <c r="BW272" s="615">
        <v>765.1</v>
      </c>
      <c r="BX272" s="791"/>
      <c r="BY272" s="615">
        <v>0</v>
      </c>
      <c r="BZ272" s="615">
        <v>1.07</v>
      </c>
      <c r="CA272" s="615">
        <v>0.9</v>
      </c>
      <c r="CB272" s="615">
        <v>8.1999999999999993</v>
      </c>
      <c r="CC272" s="615">
        <v>8.1999999999999993</v>
      </c>
      <c r="CD272" s="615">
        <v>16.399999999999999</v>
      </c>
      <c r="CE272" s="643">
        <v>34.1</v>
      </c>
      <c r="CF272" s="615">
        <v>18.100000000000001</v>
      </c>
      <c r="CG272" s="615">
        <v>7.3</v>
      </c>
      <c r="CH272" s="615">
        <v>12.8</v>
      </c>
      <c r="CI272" s="615">
        <v>17.3</v>
      </c>
      <c r="CJ272" s="615">
        <v>13.4</v>
      </c>
      <c r="CK272" s="615">
        <v>537.9</v>
      </c>
      <c r="CL272" s="615">
        <v>3.7</v>
      </c>
      <c r="CM272" s="615">
        <v>5.2</v>
      </c>
      <c r="CN272" s="615">
        <v>460.5</v>
      </c>
      <c r="CO272" s="615">
        <v>581.79999999999995</v>
      </c>
      <c r="CP272" s="615">
        <v>0</v>
      </c>
      <c r="CQ272" s="615">
        <v>12.9</v>
      </c>
      <c r="CR272" s="615">
        <v>0.75</v>
      </c>
      <c r="CS272" s="386">
        <v>0</v>
      </c>
      <c r="CT272" s="386">
        <v>16.253</v>
      </c>
      <c r="CU272" s="386">
        <v>61</v>
      </c>
      <c r="CV272" s="499">
        <v>0</v>
      </c>
      <c r="CW272" s="499">
        <v>0</v>
      </c>
      <c r="CX272" s="499">
        <v>0</v>
      </c>
      <c r="CY272" s="499">
        <v>0</v>
      </c>
      <c r="CZ272" s="643">
        <v>316</v>
      </c>
      <c r="DA272" s="643">
        <v>434</v>
      </c>
      <c r="DB272" s="643">
        <v>192</v>
      </c>
      <c r="DC272" s="609">
        <v>1141.0899999999999</v>
      </c>
      <c r="DD272" s="1153">
        <f t="shared" si="83"/>
        <v>-0.44000000000005457</v>
      </c>
      <c r="DE272" s="1154">
        <f t="shared" si="84"/>
        <v>0</v>
      </c>
      <c r="DF272" s="1154">
        <f t="shared" si="85"/>
        <v>82</v>
      </c>
      <c r="DG272" s="1154">
        <f t="shared" si="86"/>
        <v>184</v>
      </c>
      <c r="DH272" s="1155" t="str">
        <f t="shared" si="87"/>
        <v>Palm</v>
      </c>
      <c r="DI272" s="1146">
        <f t="shared" si="88"/>
        <v>242</v>
      </c>
      <c r="DJ272" s="1146">
        <f t="shared" si="89"/>
        <v>0</v>
      </c>
      <c r="DK272" s="1154">
        <f t="shared" si="90"/>
        <v>0</v>
      </c>
      <c r="DL272" s="615"/>
      <c r="DM272" s="615"/>
      <c r="DN272" s="615"/>
      <c r="DO272" s="499"/>
      <c r="DP272" s="499"/>
      <c r="DQ272" s="499"/>
      <c r="DR272" s="499"/>
      <c r="DS272" s="499"/>
      <c r="DT272" s="499"/>
      <c r="DU272" s="499"/>
      <c r="DV272" s="499"/>
      <c r="DW272" s="499"/>
      <c r="DX272" s="499"/>
      <c r="DY272" s="630"/>
      <c r="DZ272" s="499"/>
      <c r="EA272" s="499"/>
      <c r="EB272" s="499"/>
      <c r="EC272" s="499"/>
      <c r="ED272" s="499"/>
      <c r="EE272" s="499"/>
      <c r="EF272" s="499"/>
      <c r="EG272" s="1147">
        <f t="shared" si="77"/>
        <v>31</v>
      </c>
      <c r="EH272" s="499">
        <v>15.5</v>
      </c>
      <c r="EI272" s="615">
        <v>4</v>
      </c>
      <c r="EJ272" s="615">
        <v>4.5</v>
      </c>
      <c r="EK272" s="615">
        <v>7</v>
      </c>
      <c r="EL272" s="499"/>
      <c r="EM272" s="499"/>
      <c r="EN272" s="499"/>
      <c r="EO272" s="499"/>
      <c r="EP272" s="499"/>
      <c r="EQ272" s="499"/>
      <c r="ER272" s="499"/>
      <c r="ES272" s="388"/>
      <c r="ET272" s="388"/>
      <c r="EU272" s="370"/>
      <c r="EV272" s="1167">
        <f t="shared" si="79"/>
        <v>47.957000000000001</v>
      </c>
      <c r="EW272" s="370"/>
      <c r="EX272" s="370"/>
    </row>
    <row r="273" spans="1:154" s="350" customFormat="1" ht="15" x14ac:dyDescent="0.25">
      <c r="A273" s="632" t="s">
        <v>7</v>
      </c>
      <c r="B273" s="662">
        <v>42999</v>
      </c>
      <c r="C273" s="1132" t="s">
        <v>904</v>
      </c>
      <c r="D273" s="386">
        <v>0</v>
      </c>
      <c r="E273" s="636">
        <v>0</v>
      </c>
      <c r="F273" s="636">
        <v>49</v>
      </c>
      <c r="G273" s="636">
        <v>0.55000000000000004</v>
      </c>
      <c r="H273" s="386">
        <v>1.56</v>
      </c>
      <c r="I273" s="386">
        <v>19.600000000000001</v>
      </c>
      <c r="J273" s="386">
        <v>0</v>
      </c>
      <c r="K273" s="386">
        <v>0.94</v>
      </c>
      <c r="L273" s="610">
        <v>0</v>
      </c>
      <c r="M273" s="386">
        <v>15.9</v>
      </c>
      <c r="N273" s="386">
        <v>1.25</v>
      </c>
      <c r="O273" s="386">
        <v>1.6699364723469314</v>
      </c>
      <c r="P273" s="386">
        <v>1.2</v>
      </c>
      <c r="Q273" s="386">
        <v>0.69724666003915836</v>
      </c>
      <c r="R273" s="732">
        <v>1157.4174418604653</v>
      </c>
      <c r="S273" s="386">
        <v>8.2100000000000009</v>
      </c>
      <c r="T273" s="386">
        <v>8.26</v>
      </c>
      <c r="U273" s="386">
        <v>0.74</v>
      </c>
      <c r="V273" s="636">
        <v>0.72</v>
      </c>
      <c r="W273" s="636">
        <v>61.519999999999996</v>
      </c>
      <c r="X273" s="369">
        <v>61.519999999999996</v>
      </c>
      <c r="Y273" s="367">
        <v>28.36</v>
      </c>
      <c r="Z273" s="636">
        <v>41.4</v>
      </c>
      <c r="AA273" s="636">
        <v>28.4</v>
      </c>
      <c r="AB273" s="636">
        <v>39.520000000000003</v>
      </c>
      <c r="AC273" s="1160">
        <f t="shared" si="80"/>
        <v>67.92</v>
      </c>
      <c r="AD273" s="1160">
        <f t="shared" si="81"/>
        <v>105.07223999999999</v>
      </c>
      <c r="AE273" s="1160">
        <f t="shared" si="82"/>
        <v>105.07223999999999</v>
      </c>
      <c r="AF273" s="723"/>
      <c r="AG273" s="1160">
        <f t="shared" si="78"/>
        <v>0</v>
      </c>
      <c r="AH273" s="656"/>
      <c r="AI273" s="656"/>
      <c r="AJ273" s="388"/>
      <c r="AK273" s="388"/>
      <c r="AL273" s="388"/>
      <c r="AM273" s="388"/>
      <c r="AN273" s="388"/>
      <c r="AO273" s="370"/>
      <c r="AP273" s="370"/>
      <c r="AQ273" s="386"/>
      <c r="AR273" s="551">
        <v>0</v>
      </c>
      <c r="AS273" s="386">
        <v>24.4</v>
      </c>
      <c r="AT273" s="386">
        <v>0</v>
      </c>
      <c r="AU273" s="386">
        <v>26.7</v>
      </c>
      <c r="AV273" s="636">
        <v>447.9</v>
      </c>
      <c r="AW273" s="636">
        <v>436.8</v>
      </c>
      <c r="AX273" s="386">
        <v>0</v>
      </c>
      <c r="AY273" s="551">
        <v>0</v>
      </c>
      <c r="AZ273" s="551">
        <v>0</v>
      </c>
      <c r="BA273" s="551">
        <v>0</v>
      </c>
      <c r="BB273" s="832">
        <v>0</v>
      </c>
      <c r="BC273" s="386">
        <v>1.36</v>
      </c>
      <c r="BD273" s="386">
        <v>1.99</v>
      </c>
      <c r="BE273" s="551">
        <v>0</v>
      </c>
      <c r="BF273" s="386">
        <v>1.06</v>
      </c>
      <c r="BG273" s="386">
        <v>3.02</v>
      </c>
      <c r="BH273" s="551">
        <v>0</v>
      </c>
      <c r="BI273" s="386">
        <v>1.9</v>
      </c>
      <c r="BJ273" s="386">
        <v>30.2</v>
      </c>
      <c r="BK273" s="386">
        <v>3.4</v>
      </c>
      <c r="BL273" s="386">
        <v>3.72</v>
      </c>
      <c r="BM273" s="386">
        <v>0</v>
      </c>
      <c r="BN273" s="386">
        <v>23.1</v>
      </c>
      <c r="BO273" s="386">
        <v>1140</v>
      </c>
      <c r="BP273" s="386">
        <v>2.1</v>
      </c>
      <c r="BQ273" s="615">
        <v>22.3</v>
      </c>
      <c r="BR273" s="615">
        <v>23.1</v>
      </c>
      <c r="BS273" s="615">
        <v>13.3</v>
      </c>
      <c r="BT273" s="615">
        <v>13.4</v>
      </c>
      <c r="BU273" s="614">
        <v>27.3</v>
      </c>
      <c r="BV273" s="614">
        <v>31.6</v>
      </c>
      <c r="BW273" s="615">
        <v>613.20000000000005</v>
      </c>
      <c r="BX273" s="791"/>
      <c r="BY273" s="615">
        <v>0</v>
      </c>
      <c r="BZ273" s="615">
        <v>1.1299999999999999</v>
      </c>
      <c r="CA273" s="615">
        <v>0.6</v>
      </c>
      <c r="CB273" s="615">
        <v>8.1</v>
      </c>
      <c r="CC273" s="615">
        <v>8.1999999999999993</v>
      </c>
      <c r="CD273" s="615">
        <v>15.7</v>
      </c>
      <c r="CE273" s="643">
        <v>34.200000000000003</v>
      </c>
      <c r="CF273" s="615">
        <v>22</v>
      </c>
      <c r="CG273" s="615">
        <v>6.4</v>
      </c>
      <c r="CH273" s="615">
        <v>11.8</v>
      </c>
      <c r="CI273" s="615">
        <v>16.100000000000001</v>
      </c>
      <c r="CJ273" s="615">
        <v>13.6</v>
      </c>
      <c r="CK273" s="615">
        <v>535</v>
      </c>
      <c r="CL273" s="615">
        <v>2.4</v>
      </c>
      <c r="CM273" s="615">
        <v>4.0999999999999996</v>
      </c>
      <c r="CN273" s="615">
        <v>337.3</v>
      </c>
      <c r="CO273" s="615">
        <v>553.79999999999995</v>
      </c>
      <c r="CP273" s="615">
        <v>0</v>
      </c>
      <c r="CQ273" s="615">
        <v>13.4</v>
      </c>
      <c r="CR273" s="615">
        <v>0.68</v>
      </c>
      <c r="CS273" s="386">
        <v>0</v>
      </c>
      <c r="CT273" s="386">
        <v>15.851000000000001</v>
      </c>
      <c r="CU273" s="386">
        <v>61</v>
      </c>
      <c r="CV273" s="499">
        <v>0</v>
      </c>
      <c r="CW273" s="499">
        <v>0</v>
      </c>
      <c r="CX273" s="499">
        <v>0</v>
      </c>
      <c r="CY273" s="499">
        <v>0</v>
      </c>
      <c r="CZ273" s="643">
        <v>378</v>
      </c>
      <c r="DA273" s="643">
        <v>400</v>
      </c>
      <c r="DB273" s="643">
        <v>269</v>
      </c>
      <c r="DC273" s="739">
        <v>1140.54</v>
      </c>
      <c r="DD273" s="1153">
        <f t="shared" si="83"/>
        <v>-0.54999999999995453</v>
      </c>
      <c r="DE273" s="1154">
        <f t="shared" si="84"/>
        <v>0</v>
      </c>
      <c r="DF273" s="1154">
        <f t="shared" si="85"/>
        <v>159</v>
      </c>
      <c r="DG273" s="1154">
        <f t="shared" si="86"/>
        <v>150</v>
      </c>
      <c r="DH273" s="1155" t="str">
        <f t="shared" si="87"/>
        <v>Aub</v>
      </c>
      <c r="DI273" s="1146">
        <f t="shared" si="88"/>
        <v>131</v>
      </c>
      <c r="DJ273" s="1146">
        <f t="shared" si="89"/>
        <v>0</v>
      </c>
      <c r="DK273" s="1154">
        <f t="shared" si="90"/>
        <v>0</v>
      </c>
      <c r="DL273" s="615"/>
      <c r="DM273" s="615"/>
      <c r="DN273" s="615"/>
      <c r="DO273" s="499"/>
      <c r="DP273" s="499"/>
      <c r="DQ273" s="499"/>
      <c r="DR273" s="499"/>
      <c r="DS273" s="499"/>
      <c r="DT273" s="499"/>
      <c r="DU273" s="499"/>
      <c r="DV273" s="499"/>
      <c r="DW273" s="499"/>
      <c r="DX273" s="499"/>
      <c r="DY273" s="630"/>
      <c r="DZ273" s="499"/>
      <c r="EA273" s="499"/>
      <c r="EB273" s="499"/>
      <c r="EC273" s="499"/>
      <c r="ED273" s="499"/>
      <c r="EE273" s="499"/>
      <c r="EF273" s="499"/>
      <c r="EG273" s="1147">
        <f t="shared" si="77"/>
        <v>31</v>
      </c>
      <c r="EH273" s="499">
        <v>14.5</v>
      </c>
      <c r="EI273" s="615">
        <v>5</v>
      </c>
      <c r="EJ273" s="615">
        <v>4.5</v>
      </c>
      <c r="EK273" s="615">
        <v>7</v>
      </c>
      <c r="EL273" s="499"/>
      <c r="EM273" s="499"/>
      <c r="EN273" s="499"/>
      <c r="EO273" s="499"/>
      <c r="EP273" s="499"/>
      <c r="EQ273" s="499"/>
      <c r="ER273" s="499"/>
      <c r="ES273" s="388"/>
      <c r="ET273" s="388"/>
      <c r="EU273" s="370"/>
      <c r="EV273" s="1167">
        <f t="shared" si="79"/>
        <v>47.957000000000001</v>
      </c>
      <c r="EW273" s="370"/>
      <c r="EX273" s="370"/>
    </row>
    <row r="274" spans="1:154" s="350" customFormat="1" ht="15" x14ac:dyDescent="0.25">
      <c r="A274" s="632" t="s">
        <v>8</v>
      </c>
      <c r="B274" s="662">
        <v>43000</v>
      </c>
      <c r="C274" s="1132" t="s">
        <v>904</v>
      </c>
      <c r="D274" s="386">
        <v>0</v>
      </c>
      <c r="E274" s="636">
        <v>0</v>
      </c>
      <c r="F274" s="636">
        <v>51</v>
      </c>
      <c r="G274" s="636">
        <v>0.6</v>
      </c>
      <c r="H274" s="386">
        <v>1.7</v>
      </c>
      <c r="I274" s="386">
        <v>18.2</v>
      </c>
      <c r="J274" s="386">
        <v>0</v>
      </c>
      <c r="K274" s="386">
        <v>0.98</v>
      </c>
      <c r="L274" s="636">
        <v>0</v>
      </c>
      <c r="M274" s="386">
        <v>15.7</v>
      </c>
      <c r="N274" s="386">
        <v>1.23</v>
      </c>
      <c r="O274" s="386">
        <v>1.6351744186047981</v>
      </c>
      <c r="P274" s="386">
        <v>1.22</v>
      </c>
      <c r="Q274" s="386">
        <v>0.6868863579563711</v>
      </c>
      <c r="R274" s="732">
        <v>1097.0797238372093</v>
      </c>
      <c r="S274" s="386">
        <v>8.23</v>
      </c>
      <c r="T274" s="386">
        <v>8.17</v>
      </c>
      <c r="U274" s="386">
        <v>0.76</v>
      </c>
      <c r="V274" s="636">
        <v>0.73</v>
      </c>
      <c r="W274" s="636">
        <v>61.34</v>
      </c>
      <c r="X274" s="369">
        <v>61.34</v>
      </c>
      <c r="Y274" s="367">
        <v>28.4</v>
      </c>
      <c r="Z274" s="636">
        <v>39.520000000000003</v>
      </c>
      <c r="AA274" s="636">
        <v>28.4</v>
      </c>
      <c r="AB274" s="636">
        <v>37.92</v>
      </c>
      <c r="AC274" s="1160">
        <f t="shared" si="80"/>
        <v>66.319999999999993</v>
      </c>
      <c r="AD274" s="1160">
        <f t="shared" si="81"/>
        <v>102.59703999999998</v>
      </c>
      <c r="AE274" s="1160">
        <f t="shared" si="82"/>
        <v>102.59703999999998</v>
      </c>
      <c r="AF274" s="723"/>
      <c r="AG274" s="1160">
        <f t="shared" si="78"/>
        <v>0</v>
      </c>
      <c r="AH274" s="656"/>
      <c r="AI274" s="656"/>
      <c r="AJ274" s="388"/>
      <c r="AK274" s="388"/>
      <c r="AL274" s="388"/>
      <c r="AM274" s="388"/>
      <c r="AN274" s="388"/>
      <c r="AO274" s="370"/>
      <c r="AP274" s="370"/>
      <c r="AQ274" s="386"/>
      <c r="AR274" s="551">
        <v>0</v>
      </c>
      <c r="AS274" s="386">
        <v>15</v>
      </c>
      <c r="AT274" s="386">
        <v>0</v>
      </c>
      <c r="AU274" s="386">
        <v>26.7</v>
      </c>
      <c r="AV274" s="636">
        <v>570.1</v>
      </c>
      <c r="AW274" s="636">
        <v>662.5</v>
      </c>
      <c r="AX274" s="386">
        <v>0</v>
      </c>
      <c r="AY274" s="551">
        <v>0</v>
      </c>
      <c r="AZ274" s="551">
        <v>0</v>
      </c>
      <c r="BA274" s="551">
        <v>0</v>
      </c>
      <c r="BB274" s="832">
        <v>0</v>
      </c>
      <c r="BC274" s="386">
        <v>1.02</v>
      </c>
      <c r="BD274" s="386">
        <v>2.16</v>
      </c>
      <c r="BE274" s="551">
        <v>0</v>
      </c>
      <c r="BF274" s="386">
        <v>0.99</v>
      </c>
      <c r="BG274" s="386">
        <v>2.8</v>
      </c>
      <c r="BH274" s="551">
        <v>0</v>
      </c>
      <c r="BI274" s="386">
        <v>2.09</v>
      </c>
      <c r="BJ274" s="386">
        <v>29</v>
      </c>
      <c r="BK274" s="386">
        <v>3.67</v>
      </c>
      <c r="BL274" s="386">
        <v>3.36</v>
      </c>
      <c r="BM274" s="386">
        <v>0</v>
      </c>
      <c r="BN274" s="386">
        <v>21.9</v>
      </c>
      <c r="BO274" s="386">
        <v>1473.2</v>
      </c>
      <c r="BP274" s="386">
        <v>2</v>
      </c>
      <c r="BQ274" s="615">
        <v>21.72</v>
      </c>
      <c r="BR274" s="615">
        <v>22.47</v>
      </c>
      <c r="BS274" s="615">
        <v>13.06</v>
      </c>
      <c r="BT274" s="615">
        <v>13.19</v>
      </c>
      <c r="BU274" s="614">
        <v>26.9</v>
      </c>
      <c r="BV274" s="614">
        <v>33.9</v>
      </c>
      <c r="BW274" s="615">
        <v>572</v>
      </c>
      <c r="BX274" s="791"/>
      <c r="BY274" s="615">
        <v>0</v>
      </c>
      <c r="BZ274" s="615">
        <v>1.1599999999999999</v>
      </c>
      <c r="CA274" s="615">
        <v>0.6</v>
      </c>
      <c r="CB274" s="615">
        <v>8.1</v>
      </c>
      <c r="CC274" s="615">
        <v>8.1</v>
      </c>
      <c r="CD274" s="615">
        <v>16.100000000000001</v>
      </c>
      <c r="CE274" s="643">
        <v>34.200000000000003</v>
      </c>
      <c r="CF274" s="615">
        <v>20.399999999999999</v>
      </c>
      <c r="CG274" s="615">
        <v>6.8</v>
      </c>
      <c r="CH274" s="615">
        <v>12.3</v>
      </c>
      <c r="CI274" s="615">
        <v>16.5</v>
      </c>
      <c r="CJ274" s="615">
        <v>13.28</v>
      </c>
      <c r="CK274" s="615">
        <v>536.29999999999995</v>
      </c>
      <c r="CL274" s="615">
        <v>3.6</v>
      </c>
      <c r="CM274" s="615">
        <v>5.5</v>
      </c>
      <c r="CN274" s="615">
        <v>326.60000000000002</v>
      </c>
      <c r="CO274" s="615">
        <v>574.4</v>
      </c>
      <c r="CP274" s="615">
        <v>0</v>
      </c>
      <c r="CQ274" s="615">
        <v>13.3</v>
      </c>
      <c r="CR274" s="615">
        <v>0.84</v>
      </c>
      <c r="CS274" s="386">
        <v>0</v>
      </c>
      <c r="CT274" s="386">
        <v>17.120999999999999</v>
      </c>
      <c r="CU274" s="386">
        <v>61</v>
      </c>
      <c r="CV274" s="499">
        <v>0</v>
      </c>
      <c r="CW274" s="499">
        <v>0</v>
      </c>
      <c r="CX274" s="499">
        <v>0</v>
      </c>
      <c r="CY274" s="499">
        <v>0</v>
      </c>
      <c r="CZ274" s="643">
        <v>436</v>
      </c>
      <c r="DA274" s="643">
        <v>469</v>
      </c>
      <c r="DB274" s="643">
        <v>359</v>
      </c>
      <c r="DC274" s="609">
        <v>1139.81</v>
      </c>
      <c r="DD274" s="1153">
        <f t="shared" si="83"/>
        <v>-0.73000000000001819</v>
      </c>
      <c r="DE274" s="1154">
        <f t="shared" si="84"/>
        <v>0</v>
      </c>
      <c r="DF274" s="1154">
        <f t="shared" si="85"/>
        <v>249</v>
      </c>
      <c r="DG274" s="1154">
        <f t="shared" si="86"/>
        <v>219</v>
      </c>
      <c r="DH274" s="1155" t="str">
        <f t="shared" si="87"/>
        <v>Aub</v>
      </c>
      <c r="DI274" s="1146">
        <f t="shared" si="88"/>
        <v>110</v>
      </c>
      <c r="DJ274" s="1146">
        <f t="shared" si="89"/>
        <v>0</v>
      </c>
      <c r="DK274" s="1154">
        <f t="shared" si="90"/>
        <v>0</v>
      </c>
      <c r="DL274" s="615"/>
      <c r="DM274" s="615"/>
      <c r="DN274" s="615"/>
      <c r="DO274" s="499"/>
      <c r="DP274" s="499"/>
      <c r="DQ274" s="499"/>
      <c r="DR274" s="499"/>
      <c r="DS274" s="499"/>
      <c r="DT274" s="499"/>
      <c r="DU274" s="499"/>
      <c r="DV274" s="499"/>
      <c r="DW274" s="499"/>
      <c r="DX274" s="499"/>
      <c r="DY274" s="630"/>
      <c r="DZ274" s="499"/>
      <c r="EA274" s="499"/>
      <c r="EB274" s="499"/>
      <c r="EC274" s="499"/>
      <c r="ED274" s="499"/>
      <c r="EE274" s="499"/>
      <c r="EF274" s="499"/>
      <c r="EG274" s="1147">
        <f t="shared" si="77"/>
        <v>16.5</v>
      </c>
      <c r="EH274" s="499">
        <v>0.5</v>
      </c>
      <c r="EI274" s="615">
        <v>5</v>
      </c>
      <c r="EJ274" s="615">
        <v>4</v>
      </c>
      <c r="EK274" s="615">
        <v>7</v>
      </c>
      <c r="EL274" s="499"/>
      <c r="EM274" s="499"/>
      <c r="EN274" s="499"/>
      <c r="EO274" s="499"/>
      <c r="EP274" s="499"/>
      <c r="EQ274" s="499"/>
      <c r="ER274" s="499"/>
      <c r="ES274" s="388"/>
      <c r="ET274" s="388"/>
      <c r="EU274" s="370"/>
      <c r="EV274" s="1167">
        <f t="shared" si="79"/>
        <v>25.525499999999997</v>
      </c>
      <c r="EW274" s="370"/>
      <c r="EX274" s="370"/>
    </row>
    <row r="275" spans="1:154" s="350" customFormat="1" ht="15" x14ac:dyDescent="0.25">
      <c r="A275" s="632" t="s">
        <v>9</v>
      </c>
      <c r="B275" s="662">
        <v>43001</v>
      </c>
      <c r="C275" s="1132" t="s">
        <v>904</v>
      </c>
      <c r="D275" s="386">
        <v>0</v>
      </c>
      <c r="E275" s="636">
        <v>0</v>
      </c>
      <c r="F275" s="636">
        <v>51</v>
      </c>
      <c r="G275" s="636">
        <v>0.6</v>
      </c>
      <c r="H275" s="386">
        <v>1.81</v>
      </c>
      <c r="I275" s="386">
        <v>18.2</v>
      </c>
      <c r="J275" s="386">
        <v>0</v>
      </c>
      <c r="K275" s="386">
        <v>1.0900000000000001</v>
      </c>
      <c r="L275" s="636">
        <v>0</v>
      </c>
      <c r="M275" s="386">
        <v>15.6</v>
      </c>
      <c r="N275" s="386">
        <v>1.26</v>
      </c>
      <c r="O275" s="386">
        <v>1.6442726753115384</v>
      </c>
      <c r="P275" s="386">
        <v>1.24</v>
      </c>
      <c r="Q275" s="386">
        <v>0.69257460467788334</v>
      </c>
      <c r="R275" s="732">
        <v>1107.0804505813953</v>
      </c>
      <c r="S275" s="386">
        <v>8.23</v>
      </c>
      <c r="T275" s="386">
        <v>8.2799999999999994</v>
      </c>
      <c r="U275" s="386">
        <v>0.76</v>
      </c>
      <c r="V275" s="636">
        <v>0.74</v>
      </c>
      <c r="W275" s="636">
        <v>61.34</v>
      </c>
      <c r="X275" s="369">
        <v>61.519999999999996</v>
      </c>
      <c r="Y275" s="367">
        <v>28.4</v>
      </c>
      <c r="Z275" s="636">
        <v>37.92</v>
      </c>
      <c r="AA275" s="636">
        <v>28.4</v>
      </c>
      <c r="AB275" s="636">
        <v>37.9</v>
      </c>
      <c r="AC275" s="1160">
        <f t="shared" si="80"/>
        <v>66.3</v>
      </c>
      <c r="AD275" s="1160">
        <f t="shared" si="81"/>
        <v>102.56609999999999</v>
      </c>
      <c r="AE275" s="1160">
        <f t="shared" si="82"/>
        <v>102.56609999999999</v>
      </c>
      <c r="AF275" s="723"/>
      <c r="AG275" s="1160">
        <f t="shared" si="78"/>
        <v>0</v>
      </c>
      <c r="AH275" s="656"/>
      <c r="AI275" s="656"/>
      <c r="AJ275" s="388"/>
      <c r="AK275" s="388"/>
      <c r="AL275" s="388"/>
      <c r="AM275" s="388"/>
      <c r="AN275" s="388"/>
      <c r="AO275" s="370"/>
      <c r="AP275" s="370"/>
      <c r="AQ275" s="386"/>
      <c r="AR275" s="551">
        <v>0</v>
      </c>
      <c r="AS275" s="386">
        <v>21.1</v>
      </c>
      <c r="AT275" s="386">
        <v>0</v>
      </c>
      <c r="AU275" s="386">
        <v>26.7</v>
      </c>
      <c r="AV275" s="636">
        <v>712.4</v>
      </c>
      <c r="AW275" s="636">
        <v>736.7</v>
      </c>
      <c r="AX275" s="386">
        <v>0</v>
      </c>
      <c r="AY275" s="551">
        <v>0</v>
      </c>
      <c r="AZ275" s="551">
        <v>0</v>
      </c>
      <c r="BA275" s="551">
        <v>0</v>
      </c>
      <c r="BB275" s="832">
        <v>0</v>
      </c>
      <c r="BC275" s="386">
        <v>1</v>
      </c>
      <c r="BD275" s="386">
        <v>2</v>
      </c>
      <c r="BE275" s="551">
        <v>0</v>
      </c>
      <c r="BF275" s="386">
        <v>0.99</v>
      </c>
      <c r="BG275" s="386">
        <v>2.34</v>
      </c>
      <c r="BH275" s="551">
        <v>0</v>
      </c>
      <c r="BI275" s="386">
        <v>2.09</v>
      </c>
      <c r="BJ275" s="386">
        <v>29.6</v>
      </c>
      <c r="BK275" s="386">
        <v>3.57</v>
      </c>
      <c r="BL275" s="386">
        <v>3.45</v>
      </c>
      <c r="BM275" s="386">
        <v>0</v>
      </c>
      <c r="BN275" s="386">
        <v>22.6</v>
      </c>
      <c r="BO275" s="386">
        <v>1657.7</v>
      </c>
      <c r="BP275" s="386">
        <v>2</v>
      </c>
      <c r="BQ275" s="615">
        <v>21.89</v>
      </c>
      <c r="BR275" s="615">
        <v>22.58</v>
      </c>
      <c r="BS275" s="615">
        <v>12.96</v>
      </c>
      <c r="BT275" s="615">
        <v>13.06</v>
      </c>
      <c r="BU275" s="614">
        <v>26.7</v>
      </c>
      <c r="BV275" s="614">
        <v>30.9</v>
      </c>
      <c r="BW275" s="615">
        <v>767.8</v>
      </c>
      <c r="BX275" s="791"/>
      <c r="BY275" s="615">
        <v>0</v>
      </c>
      <c r="BZ275" s="615">
        <v>1.08</v>
      </c>
      <c r="CA275" s="615">
        <v>0.9</v>
      </c>
      <c r="CB275" s="615">
        <v>8.1999999999999993</v>
      </c>
      <c r="CC275" s="615">
        <v>8.1</v>
      </c>
      <c r="CD275" s="615">
        <v>15.8</v>
      </c>
      <c r="CE275" s="615">
        <v>34.200000000000003</v>
      </c>
      <c r="CF275" s="615">
        <v>18.7</v>
      </c>
      <c r="CG275" s="615">
        <v>7.6</v>
      </c>
      <c r="CH275" s="615">
        <v>13.3</v>
      </c>
      <c r="CI275" s="615">
        <v>17.5</v>
      </c>
      <c r="CJ275" s="615">
        <v>12.44</v>
      </c>
      <c r="CK275" s="615">
        <v>466.9</v>
      </c>
      <c r="CL275" s="615">
        <v>3.1</v>
      </c>
      <c r="CM275" s="615">
        <v>5.2</v>
      </c>
      <c r="CN275" s="615">
        <v>329.4</v>
      </c>
      <c r="CO275" s="615">
        <v>603.20000000000005</v>
      </c>
      <c r="CP275" s="615">
        <v>0</v>
      </c>
      <c r="CQ275" s="615">
        <v>12.1</v>
      </c>
      <c r="CR275" s="615">
        <v>0.65</v>
      </c>
      <c r="CS275" s="386">
        <v>0</v>
      </c>
      <c r="CT275" s="386">
        <v>16.007999999999999</v>
      </c>
      <c r="CU275" s="386">
        <v>61</v>
      </c>
      <c r="CV275" s="499">
        <v>0</v>
      </c>
      <c r="CW275" s="499">
        <v>0</v>
      </c>
      <c r="CX275" s="499">
        <v>0</v>
      </c>
      <c r="CY275" s="499">
        <v>0</v>
      </c>
      <c r="CZ275" s="643">
        <v>436</v>
      </c>
      <c r="DA275" s="643">
        <v>489</v>
      </c>
      <c r="DB275" s="643">
        <v>325</v>
      </c>
      <c r="DC275" s="609">
        <v>1138.96</v>
      </c>
      <c r="DD275" s="1153">
        <f t="shared" si="83"/>
        <v>-0.84999999999990905</v>
      </c>
      <c r="DE275" s="1154">
        <f t="shared" si="84"/>
        <v>0</v>
      </c>
      <c r="DF275" s="1154">
        <f t="shared" si="85"/>
        <v>215</v>
      </c>
      <c r="DG275" s="1154">
        <f t="shared" si="86"/>
        <v>239</v>
      </c>
      <c r="DH275" s="1155" t="str">
        <f t="shared" si="87"/>
        <v>Palm</v>
      </c>
      <c r="DI275" s="1146">
        <f t="shared" si="88"/>
        <v>164</v>
      </c>
      <c r="DJ275" s="1146">
        <f t="shared" si="89"/>
        <v>0</v>
      </c>
      <c r="DK275" s="1154">
        <f t="shared" si="90"/>
        <v>0</v>
      </c>
      <c r="DL275" s="615"/>
      <c r="DM275" s="615"/>
      <c r="DN275" s="615"/>
      <c r="DO275" s="499"/>
      <c r="DP275" s="499"/>
      <c r="DQ275" s="499"/>
      <c r="DR275" s="499"/>
      <c r="DS275" s="499"/>
      <c r="DT275" s="499"/>
      <c r="DU275" s="499"/>
      <c r="DV275" s="499"/>
      <c r="DW275" s="499"/>
      <c r="DX275" s="499"/>
      <c r="DY275" s="630"/>
      <c r="DZ275" s="499"/>
      <c r="EA275" s="499"/>
      <c r="EB275" s="499"/>
      <c r="EC275" s="499"/>
      <c r="ED275" s="499"/>
      <c r="EE275" s="499"/>
      <c r="EF275" s="499"/>
      <c r="EG275" s="1147">
        <f t="shared" si="77"/>
        <v>16.5</v>
      </c>
      <c r="EH275" s="499">
        <v>0.5</v>
      </c>
      <c r="EI275" s="615">
        <v>5</v>
      </c>
      <c r="EJ275" s="615">
        <v>4</v>
      </c>
      <c r="EK275" s="615">
        <v>7</v>
      </c>
      <c r="EL275" s="499"/>
      <c r="EM275" s="499"/>
      <c r="EN275" s="499"/>
      <c r="EO275" s="499"/>
      <c r="EP275" s="499"/>
      <c r="EQ275" s="499"/>
      <c r="ER275" s="499"/>
      <c r="ES275" s="388"/>
      <c r="ET275" s="388"/>
      <c r="EU275" s="370"/>
      <c r="EV275" s="1167">
        <f t="shared" si="79"/>
        <v>25.525499999999997</v>
      </c>
      <c r="EW275" s="370"/>
      <c r="EX275" s="370"/>
    </row>
    <row r="276" spans="1:154" s="350" customFormat="1" ht="15" x14ac:dyDescent="0.25">
      <c r="A276" s="632" t="s">
        <v>3</v>
      </c>
      <c r="B276" s="662">
        <v>43002</v>
      </c>
      <c r="C276" s="1132" t="s">
        <v>904</v>
      </c>
      <c r="D276" s="386">
        <v>0</v>
      </c>
      <c r="E276" s="636">
        <v>0</v>
      </c>
      <c r="F276" s="636">
        <v>54</v>
      </c>
      <c r="G276" s="636">
        <v>0.6</v>
      </c>
      <c r="H276" s="386">
        <v>1.72</v>
      </c>
      <c r="I276" s="386">
        <v>16.8</v>
      </c>
      <c r="J276" s="386">
        <v>0</v>
      </c>
      <c r="K276" s="386">
        <v>0.98</v>
      </c>
      <c r="L276" s="610">
        <v>0</v>
      </c>
      <c r="M276" s="386">
        <v>15.2</v>
      </c>
      <c r="N276" s="386">
        <v>1.32</v>
      </c>
      <c r="O276" s="386">
        <v>1.6406529516994635</v>
      </c>
      <c r="P276" s="386">
        <v>1.28</v>
      </c>
      <c r="Q276" s="386">
        <v>0.69552643793066515</v>
      </c>
      <c r="R276" s="732">
        <v>1104.0802325581396</v>
      </c>
      <c r="S276" s="386">
        <v>8.27</v>
      </c>
      <c r="T276" s="386">
        <v>8.35</v>
      </c>
      <c r="U276" s="386">
        <v>0.76</v>
      </c>
      <c r="V276" s="636">
        <v>0.74</v>
      </c>
      <c r="W276" s="636">
        <v>60.8</v>
      </c>
      <c r="X276" s="369">
        <v>60.980000000000004</v>
      </c>
      <c r="Y276" s="367">
        <v>28.4</v>
      </c>
      <c r="Z276" s="636">
        <v>37.9</v>
      </c>
      <c r="AA276" s="636">
        <v>28.4</v>
      </c>
      <c r="AB276" s="636">
        <v>37.9</v>
      </c>
      <c r="AC276" s="1160">
        <f t="shared" si="80"/>
        <v>66.3</v>
      </c>
      <c r="AD276" s="1160">
        <f t="shared" si="81"/>
        <v>102.56609999999999</v>
      </c>
      <c r="AE276" s="1160">
        <f t="shared" si="82"/>
        <v>102.56609999999999</v>
      </c>
      <c r="AF276" s="723"/>
      <c r="AG276" s="1160">
        <f t="shared" si="78"/>
        <v>0</v>
      </c>
      <c r="AH276" s="656"/>
      <c r="AI276" s="656"/>
      <c r="AJ276" s="388"/>
      <c r="AK276" s="388"/>
      <c r="AL276" s="388"/>
      <c r="AM276" s="388"/>
      <c r="AN276" s="388"/>
      <c r="AO276" s="370"/>
      <c r="AP276" s="370"/>
      <c r="AQ276" s="386"/>
      <c r="AR276" s="551">
        <v>0</v>
      </c>
      <c r="AS276" s="386">
        <v>24</v>
      </c>
      <c r="AT276" s="386">
        <v>0</v>
      </c>
      <c r="AU276" s="386">
        <v>26.7</v>
      </c>
      <c r="AV276" s="636">
        <v>658.6</v>
      </c>
      <c r="AW276" s="636">
        <v>579.79999999999995</v>
      </c>
      <c r="AX276" s="386">
        <v>0</v>
      </c>
      <c r="AY276" s="551">
        <v>0</v>
      </c>
      <c r="AZ276" s="551">
        <v>0</v>
      </c>
      <c r="BA276" s="551">
        <v>0</v>
      </c>
      <c r="BB276" s="832">
        <v>0</v>
      </c>
      <c r="BC276" s="386">
        <v>1.01</v>
      </c>
      <c r="BD276" s="386">
        <v>2</v>
      </c>
      <c r="BE276" s="551">
        <v>0</v>
      </c>
      <c r="BF276" s="386">
        <v>0.99</v>
      </c>
      <c r="BG276" s="386">
        <v>2.2799999999999998</v>
      </c>
      <c r="BH276" s="551">
        <v>0</v>
      </c>
      <c r="BI276" s="386">
        <v>2.09</v>
      </c>
      <c r="BJ276" s="386">
        <v>29.6</v>
      </c>
      <c r="BK276" s="386">
        <v>3.33</v>
      </c>
      <c r="BL276" s="386">
        <v>3.46</v>
      </c>
      <c r="BM276" s="386">
        <v>0</v>
      </c>
      <c r="BN276" s="386">
        <v>22.8</v>
      </c>
      <c r="BO276" s="386">
        <v>1830.6</v>
      </c>
      <c r="BP276" s="386">
        <v>2</v>
      </c>
      <c r="BQ276" s="615">
        <v>20.73</v>
      </c>
      <c r="BR276" s="615">
        <v>21.46</v>
      </c>
      <c r="BS276" s="615">
        <v>13.13</v>
      </c>
      <c r="BT276" s="615">
        <v>13.26</v>
      </c>
      <c r="BU276" s="614">
        <v>27</v>
      </c>
      <c r="BV276" s="614">
        <v>35.799999999999997</v>
      </c>
      <c r="BW276" s="615">
        <v>766.2</v>
      </c>
      <c r="BX276" s="791"/>
      <c r="BY276" s="615">
        <v>0</v>
      </c>
      <c r="BZ276" s="615">
        <v>1.2</v>
      </c>
      <c r="CA276" s="615">
        <v>0.9</v>
      </c>
      <c r="CB276" s="615">
        <v>8.1</v>
      </c>
      <c r="CC276" s="615">
        <v>8.1</v>
      </c>
      <c r="CD276" s="615">
        <v>16.2</v>
      </c>
      <c r="CE276" s="615">
        <v>34.1</v>
      </c>
      <c r="CF276" s="615">
        <v>20.6</v>
      </c>
      <c r="CG276" s="615">
        <v>8.6999999999999993</v>
      </c>
      <c r="CH276" s="615">
        <v>14.4</v>
      </c>
      <c r="CI276" s="615">
        <v>19.02</v>
      </c>
      <c r="CJ276" s="615">
        <v>12.86</v>
      </c>
      <c r="CK276" s="615">
        <v>479</v>
      </c>
      <c r="CL276" s="615">
        <v>3.6</v>
      </c>
      <c r="CM276" s="615">
        <v>5.7</v>
      </c>
      <c r="CN276" s="615">
        <v>660</v>
      </c>
      <c r="CO276" s="615">
        <v>640.1</v>
      </c>
      <c r="CP276" s="615">
        <v>0</v>
      </c>
      <c r="CQ276" s="615">
        <v>11.8</v>
      </c>
      <c r="CR276" s="615">
        <v>0.56999999999999995</v>
      </c>
      <c r="CS276" s="386">
        <v>0</v>
      </c>
      <c r="CT276" s="386">
        <v>16.391999999999999</v>
      </c>
      <c r="CU276" s="386">
        <v>61</v>
      </c>
      <c r="CV276" s="499">
        <v>0</v>
      </c>
      <c r="CW276" s="499">
        <v>0</v>
      </c>
      <c r="CX276" s="499">
        <v>0</v>
      </c>
      <c r="CY276" s="499">
        <v>0</v>
      </c>
      <c r="CZ276" s="643">
        <v>436</v>
      </c>
      <c r="DA276" s="643">
        <v>494</v>
      </c>
      <c r="DB276" s="643">
        <v>322</v>
      </c>
      <c r="DC276" s="609">
        <v>1138.08</v>
      </c>
      <c r="DD276" s="1153">
        <f t="shared" si="83"/>
        <v>-0.88000000000010914</v>
      </c>
      <c r="DE276" s="1154">
        <f t="shared" si="84"/>
        <v>0</v>
      </c>
      <c r="DF276" s="1154">
        <f t="shared" si="85"/>
        <v>212</v>
      </c>
      <c r="DG276" s="1154">
        <f t="shared" si="86"/>
        <v>244</v>
      </c>
      <c r="DH276" s="1155" t="str">
        <f t="shared" si="87"/>
        <v>Palm</v>
      </c>
      <c r="DI276" s="1146">
        <f t="shared" si="88"/>
        <v>172</v>
      </c>
      <c r="DJ276" s="1146">
        <f t="shared" si="89"/>
        <v>0</v>
      </c>
      <c r="DK276" s="1154">
        <f t="shared" si="90"/>
        <v>0</v>
      </c>
      <c r="DL276" s="615"/>
      <c r="DM276" s="615"/>
      <c r="DN276" s="615"/>
      <c r="DO276" s="499"/>
      <c r="DP276" s="499"/>
      <c r="DQ276" s="499"/>
      <c r="DR276" s="499"/>
      <c r="DS276" s="499"/>
      <c r="DT276" s="499"/>
      <c r="DU276" s="499"/>
      <c r="DV276" s="499"/>
      <c r="DW276" s="499"/>
      <c r="DX276" s="499"/>
      <c r="DY276" s="630"/>
      <c r="DZ276" s="499"/>
      <c r="EA276" s="499"/>
      <c r="EB276" s="499"/>
      <c r="EC276" s="499"/>
      <c r="ED276" s="499"/>
      <c r="EE276" s="499"/>
      <c r="EF276" s="499"/>
      <c r="EG276" s="1147">
        <f t="shared" si="77"/>
        <v>16.5</v>
      </c>
      <c r="EH276" s="499">
        <v>0.5</v>
      </c>
      <c r="EI276" s="615">
        <v>5</v>
      </c>
      <c r="EJ276" s="615">
        <v>4</v>
      </c>
      <c r="EK276" s="615">
        <v>7</v>
      </c>
      <c r="EL276" s="499"/>
      <c r="EM276" s="499"/>
      <c r="EN276" s="499"/>
      <c r="EO276" s="499"/>
      <c r="EP276" s="499"/>
      <c r="EQ276" s="499"/>
      <c r="ER276" s="499"/>
      <c r="ES276" s="388"/>
      <c r="ET276" s="388"/>
      <c r="EU276" s="370"/>
      <c r="EV276" s="1167">
        <f t="shared" si="79"/>
        <v>25.525499999999997</v>
      </c>
      <c r="EW276" s="370"/>
      <c r="EX276" s="370"/>
    </row>
    <row r="277" spans="1:154" s="350" customFormat="1" ht="15" x14ac:dyDescent="0.25">
      <c r="A277" s="632" t="s">
        <v>4</v>
      </c>
      <c r="B277" s="662">
        <v>43003</v>
      </c>
      <c r="C277" s="1132" t="s">
        <v>904</v>
      </c>
      <c r="D277" s="386">
        <v>0.02</v>
      </c>
      <c r="E277" s="636">
        <v>0</v>
      </c>
      <c r="F277" s="636">
        <v>52.7</v>
      </c>
      <c r="G277" s="636">
        <v>0.6</v>
      </c>
      <c r="H277" s="386">
        <v>1.7</v>
      </c>
      <c r="I277" s="386">
        <v>18.5</v>
      </c>
      <c r="J277" s="386">
        <v>0</v>
      </c>
      <c r="K277" s="386">
        <v>1.01</v>
      </c>
      <c r="L277" s="610">
        <v>0</v>
      </c>
      <c r="M277" s="386">
        <v>15.4</v>
      </c>
      <c r="N277" s="386">
        <v>0.86</v>
      </c>
      <c r="O277" s="386">
        <v>1.6704088294453801</v>
      </c>
      <c r="P277" s="386">
        <v>0.82</v>
      </c>
      <c r="Q277" s="386">
        <v>0.688031565406927</v>
      </c>
      <c r="R277" s="732">
        <v>1136.7492732558139</v>
      </c>
      <c r="S277" s="386">
        <v>8</v>
      </c>
      <c r="T277" s="386">
        <v>8.07</v>
      </c>
      <c r="U277" s="386">
        <v>0.8</v>
      </c>
      <c r="V277" s="636">
        <v>0.78</v>
      </c>
      <c r="W277" s="636">
        <v>61.34</v>
      </c>
      <c r="X277" s="369">
        <v>61.34</v>
      </c>
      <c r="Y277" s="367">
        <v>28.4</v>
      </c>
      <c r="Z277" s="636">
        <v>37.9</v>
      </c>
      <c r="AA277" s="636">
        <v>28.4</v>
      </c>
      <c r="AB277" s="636">
        <v>38.869999999999997</v>
      </c>
      <c r="AC277" s="1160">
        <f t="shared" si="80"/>
        <v>67.27</v>
      </c>
      <c r="AD277" s="1160">
        <f t="shared" si="81"/>
        <v>104.06668999999999</v>
      </c>
      <c r="AE277" s="1160">
        <f t="shared" si="82"/>
        <v>104.06668999999999</v>
      </c>
      <c r="AF277" s="723"/>
      <c r="AG277" s="1160">
        <f t="shared" si="78"/>
        <v>0</v>
      </c>
      <c r="AH277" s="656"/>
      <c r="AI277" s="656"/>
      <c r="AJ277" s="388"/>
      <c r="AK277" s="388"/>
      <c r="AL277" s="388"/>
      <c r="AM277" s="388"/>
      <c r="AN277" s="388"/>
      <c r="AO277" s="370"/>
      <c r="AP277" s="370"/>
      <c r="AQ277" s="386"/>
      <c r="AR277" s="551">
        <v>0</v>
      </c>
      <c r="AS277" s="386">
        <v>24</v>
      </c>
      <c r="AT277" s="386">
        <v>0</v>
      </c>
      <c r="AU277" s="386">
        <v>26.3</v>
      </c>
      <c r="AV277" s="636">
        <v>583.29999999999995</v>
      </c>
      <c r="AW277" s="636">
        <v>579.1</v>
      </c>
      <c r="AX277" s="386">
        <v>0</v>
      </c>
      <c r="AY277" s="551">
        <v>0</v>
      </c>
      <c r="AZ277" s="551">
        <v>0</v>
      </c>
      <c r="BA277" s="551">
        <v>0</v>
      </c>
      <c r="BB277" s="832">
        <v>0</v>
      </c>
      <c r="BC277" s="386">
        <v>0.99</v>
      </c>
      <c r="BD277" s="386">
        <v>2</v>
      </c>
      <c r="BE277" s="551">
        <v>0</v>
      </c>
      <c r="BF277" s="386">
        <v>0.99</v>
      </c>
      <c r="BG277" s="386">
        <v>2.75</v>
      </c>
      <c r="BH277" s="551">
        <v>0</v>
      </c>
      <c r="BI277" s="386">
        <v>2.1800000000000002</v>
      </c>
      <c r="BJ277" s="386">
        <v>30</v>
      </c>
      <c r="BK277" s="386">
        <v>3.57</v>
      </c>
      <c r="BL277" s="386">
        <v>3.46</v>
      </c>
      <c r="BM277" s="386">
        <v>0</v>
      </c>
      <c r="BN277" s="386">
        <v>23</v>
      </c>
      <c r="BO277" s="386">
        <v>1200.2</v>
      </c>
      <c r="BP277" s="386">
        <v>2</v>
      </c>
      <c r="BQ277" s="615">
        <v>20.440000000000001</v>
      </c>
      <c r="BR277" s="615">
        <v>21.17</v>
      </c>
      <c r="BS277" s="615">
        <v>13.08</v>
      </c>
      <c r="BT277" s="615">
        <v>13.17</v>
      </c>
      <c r="BU277" s="614">
        <v>26.9</v>
      </c>
      <c r="BV277" s="614">
        <v>32.9</v>
      </c>
      <c r="BW277" s="615">
        <v>617.29999999999995</v>
      </c>
      <c r="BX277" s="791"/>
      <c r="BY277" s="615">
        <v>0</v>
      </c>
      <c r="BZ277" s="615">
        <v>1.1200000000000001</v>
      </c>
      <c r="CA277" s="615">
        <v>1</v>
      </c>
      <c r="CB277" s="615">
        <v>8.1999999999999993</v>
      </c>
      <c r="CC277" s="615">
        <v>8.1</v>
      </c>
      <c r="CD277" s="615">
        <v>16.5</v>
      </c>
      <c r="CE277" s="615">
        <v>34</v>
      </c>
      <c r="CF277" s="615">
        <v>18.899999999999999</v>
      </c>
      <c r="CG277" s="615">
        <v>7.4</v>
      </c>
      <c r="CH277" s="615">
        <v>12.85</v>
      </c>
      <c r="CI277" s="615">
        <v>17.600000000000001</v>
      </c>
      <c r="CJ277" s="615">
        <v>13.37</v>
      </c>
      <c r="CK277" s="615">
        <v>503.4</v>
      </c>
      <c r="CL277" s="615">
        <v>3.5</v>
      </c>
      <c r="CM277" s="615">
        <v>5.5</v>
      </c>
      <c r="CN277" s="615">
        <v>495</v>
      </c>
      <c r="CO277" s="615">
        <v>607.79999999999995</v>
      </c>
      <c r="CP277" s="615">
        <v>0</v>
      </c>
      <c r="CQ277" s="615">
        <v>12.3</v>
      </c>
      <c r="CR277" s="615">
        <v>0.79</v>
      </c>
      <c r="CS277" s="386">
        <v>0</v>
      </c>
      <c r="CT277" s="386">
        <v>15.994999999999999</v>
      </c>
      <c r="CU277" s="386">
        <v>61</v>
      </c>
      <c r="CV277" s="499">
        <v>0</v>
      </c>
      <c r="CW277" s="499">
        <v>0</v>
      </c>
      <c r="CX277" s="499">
        <v>0</v>
      </c>
      <c r="CY277" s="499">
        <v>0</v>
      </c>
      <c r="CZ277" s="643">
        <v>433</v>
      </c>
      <c r="DA277" s="643">
        <v>494</v>
      </c>
      <c r="DB277" s="643">
        <v>307</v>
      </c>
      <c r="DC277" s="609">
        <v>1137.19</v>
      </c>
      <c r="DD277" s="1153">
        <f t="shared" si="83"/>
        <v>-0.88999999999987267</v>
      </c>
      <c r="DE277" s="1154">
        <f t="shared" si="84"/>
        <v>0</v>
      </c>
      <c r="DF277" s="1154">
        <f t="shared" si="85"/>
        <v>197</v>
      </c>
      <c r="DG277" s="1154">
        <f t="shared" si="86"/>
        <v>244</v>
      </c>
      <c r="DH277" s="1155" t="str">
        <f t="shared" si="87"/>
        <v>Palm</v>
      </c>
      <c r="DI277" s="1146">
        <f t="shared" si="88"/>
        <v>187</v>
      </c>
      <c r="DJ277" s="1146">
        <f t="shared" si="89"/>
        <v>0</v>
      </c>
      <c r="DK277" s="1154">
        <f t="shared" si="90"/>
        <v>0</v>
      </c>
      <c r="DL277" s="615"/>
      <c r="DM277" s="615"/>
      <c r="DN277" s="615"/>
      <c r="DO277" s="499"/>
      <c r="DP277" s="499"/>
      <c r="DQ277" s="499"/>
      <c r="DR277" s="499"/>
      <c r="DS277" s="499"/>
      <c r="DT277" s="499"/>
      <c r="DU277" s="499"/>
      <c r="DV277" s="499"/>
      <c r="DW277" s="499"/>
      <c r="DX277" s="499"/>
      <c r="DY277" s="630"/>
      <c r="DZ277" s="499"/>
      <c r="EA277" s="370"/>
      <c r="EB277" s="499"/>
      <c r="EC277" s="499"/>
      <c r="ED277" s="499"/>
      <c r="EE277" s="499"/>
      <c r="EF277" s="499"/>
      <c r="EG277" s="1147">
        <f t="shared" si="77"/>
        <v>16.5</v>
      </c>
      <c r="EH277" s="499">
        <v>0.5</v>
      </c>
      <c r="EI277" s="615">
        <v>5</v>
      </c>
      <c r="EJ277" s="615">
        <v>4</v>
      </c>
      <c r="EK277" s="615">
        <v>7</v>
      </c>
      <c r="EL277" s="499"/>
      <c r="EM277" s="499"/>
      <c r="EN277" s="499"/>
      <c r="EO277" s="499"/>
      <c r="EP277" s="499"/>
      <c r="EQ277" s="499"/>
      <c r="ER277" s="499"/>
      <c r="ES277" s="388"/>
      <c r="ET277" s="388"/>
      <c r="EU277" s="370"/>
      <c r="EV277" s="1167">
        <f t="shared" si="79"/>
        <v>25.525499999999997</v>
      </c>
      <c r="EW277" s="370"/>
      <c r="EX277" s="370"/>
    </row>
    <row r="278" spans="1:154" s="350" customFormat="1" ht="15" x14ac:dyDescent="0.25">
      <c r="A278" s="632" t="s">
        <v>5</v>
      </c>
      <c r="B278" s="662">
        <v>43004</v>
      </c>
      <c r="C278" s="1132" t="s">
        <v>904</v>
      </c>
      <c r="D278" s="386">
        <v>0</v>
      </c>
      <c r="E278" s="636">
        <v>0</v>
      </c>
      <c r="F278" s="636">
        <v>55</v>
      </c>
      <c r="G278" s="636">
        <v>0.6</v>
      </c>
      <c r="H278" s="386">
        <v>1.66</v>
      </c>
      <c r="I278" s="386">
        <v>19.600000000000001</v>
      </c>
      <c r="J278" s="386">
        <v>0</v>
      </c>
      <c r="K278" s="386">
        <v>1.02</v>
      </c>
      <c r="L278" s="610">
        <v>0</v>
      </c>
      <c r="M278" s="386">
        <v>15.4</v>
      </c>
      <c r="N278" s="386">
        <v>1.29</v>
      </c>
      <c r="O278" s="386">
        <v>1.6394556803779103</v>
      </c>
      <c r="P278" s="386">
        <v>1.36</v>
      </c>
      <c r="Q278" s="386">
        <v>0.6856043510772929</v>
      </c>
      <c r="R278" s="732">
        <v>1157.7507994186046</v>
      </c>
      <c r="S278" s="386">
        <v>8.2200000000000006</v>
      </c>
      <c r="T278" s="386">
        <v>8.2100000000000009</v>
      </c>
      <c r="U278" s="386">
        <v>0.81</v>
      </c>
      <c r="V278" s="636">
        <v>0.79</v>
      </c>
      <c r="W278" s="636">
        <v>61.160000000000011</v>
      </c>
      <c r="X278" s="369">
        <v>61.160000000000011</v>
      </c>
      <c r="Y278" s="367">
        <v>28.4</v>
      </c>
      <c r="Z278" s="636">
        <v>38.869999999999997</v>
      </c>
      <c r="AA278" s="636">
        <v>28.4</v>
      </c>
      <c r="AB278" s="636">
        <v>40.86</v>
      </c>
      <c r="AC278" s="1160">
        <f t="shared" si="80"/>
        <v>69.259999999999991</v>
      </c>
      <c r="AD278" s="1160">
        <f t="shared" si="81"/>
        <v>107.14521999999998</v>
      </c>
      <c r="AE278" s="1160">
        <f t="shared" si="82"/>
        <v>107.14521999999998</v>
      </c>
      <c r="AF278" s="723"/>
      <c r="AG278" s="1160">
        <f t="shared" si="78"/>
        <v>0</v>
      </c>
      <c r="AH278" s="656"/>
      <c r="AI278" s="656"/>
      <c r="AJ278" s="388"/>
      <c r="AK278" s="388"/>
      <c r="AL278" s="388"/>
      <c r="AM278" s="388"/>
      <c r="AN278" s="388"/>
      <c r="AO278" s="370"/>
      <c r="AP278" s="370"/>
      <c r="AQ278" s="386"/>
      <c r="AR278" s="551">
        <v>0</v>
      </c>
      <c r="AS278" s="386">
        <v>25.3</v>
      </c>
      <c r="AT278" s="1171">
        <v>0.63</v>
      </c>
      <c r="AU278" s="386">
        <v>26.7</v>
      </c>
      <c r="AV278" s="636">
        <v>820.8</v>
      </c>
      <c r="AW278" s="636">
        <v>795.1</v>
      </c>
      <c r="AX278" s="386">
        <v>0</v>
      </c>
      <c r="AY278" s="551">
        <v>0</v>
      </c>
      <c r="AZ278" s="551">
        <v>0</v>
      </c>
      <c r="BA278" s="551">
        <v>0</v>
      </c>
      <c r="BB278" s="832">
        <v>0</v>
      </c>
      <c r="BC278" s="386">
        <v>0.99</v>
      </c>
      <c r="BD278" s="386">
        <v>2</v>
      </c>
      <c r="BE278" s="551">
        <v>0</v>
      </c>
      <c r="BF278" s="386">
        <v>0.99</v>
      </c>
      <c r="BG278" s="386">
        <v>2.7</v>
      </c>
      <c r="BH278" s="551">
        <v>0</v>
      </c>
      <c r="BI278" s="386">
        <v>2.23</v>
      </c>
      <c r="BJ278" s="386">
        <v>32</v>
      </c>
      <c r="BK278" s="386">
        <v>3.57</v>
      </c>
      <c r="BL278" s="386">
        <v>3.45</v>
      </c>
      <c r="BM278" s="386">
        <v>0</v>
      </c>
      <c r="BN278" s="386">
        <v>25</v>
      </c>
      <c r="BO278" s="386">
        <v>1399.9</v>
      </c>
      <c r="BP278" s="386">
        <v>2</v>
      </c>
      <c r="BQ278" s="615">
        <v>20.56</v>
      </c>
      <c r="BR278" s="615">
        <v>21.31</v>
      </c>
      <c r="BS278" s="615">
        <v>12.55</v>
      </c>
      <c r="BT278" s="615">
        <v>12.67</v>
      </c>
      <c r="BU278" s="614">
        <v>25.9</v>
      </c>
      <c r="BV278" s="614">
        <v>30.2</v>
      </c>
      <c r="BW278" s="615">
        <v>625.1</v>
      </c>
      <c r="BX278" s="791"/>
      <c r="BY278" s="615">
        <v>0</v>
      </c>
      <c r="BZ278" s="615">
        <v>1.32</v>
      </c>
      <c r="CA278" s="615">
        <v>1</v>
      </c>
      <c r="CB278" s="615">
        <v>8.1</v>
      </c>
      <c r="CC278" s="615">
        <v>8.1</v>
      </c>
      <c r="CD278" s="615">
        <v>15.7</v>
      </c>
      <c r="CE278" s="615">
        <v>34</v>
      </c>
      <c r="CF278" s="615">
        <v>19.899999999999999</v>
      </c>
      <c r="CG278" s="615">
        <v>7.12</v>
      </c>
      <c r="CH278" s="615">
        <v>12.6</v>
      </c>
      <c r="CI278" s="615">
        <v>17.2</v>
      </c>
      <c r="CJ278" s="615">
        <v>12.64</v>
      </c>
      <c r="CK278" s="615">
        <v>478.6</v>
      </c>
      <c r="CL278" s="615">
        <v>3.1</v>
      </c>
      <c r="CM278" s="615">
        <v>5.4</v>
      </c>
      <c r="CN278" s="615">
        <v>510</v>
      </c>
      <c r="CO278" s="615">
        <v>575.79999999999995</v>
      </c>
      <c r="CP278" s="615">
        <v>0</v>
      </c>
      <c r="CQ278" s="615">
        <v>12.3</v>
      </c>
      <c r="CR278" s="615">
        <v>0.85</v>
      </c>
      <c r="CS278" s="386">
        <v>0</v>
      </c>
      <c r="CT278" s="386">
        <v>15.803000000000001</v>
      </c>
      <c r="CU278" s="386">
        <v>61</v>
      </c>
      <c r="CV278" s="499">
        <v>0</v>
      </c>
      <c r="CW278" s="499">
        <v>0</v>
      </c>
      <c r="CX278" s="499">
        <v>0</v>
      </c>
      <c r="CY278" s="499">
        <v>0</v>
      </c>
      <c r="CZ278" s="643">
        <v>446</v>
      </c>
      <c r="DA278" s="643">
        <v>494</v>
      </c>
      <c r="DB278" s="643">
        <v>335</v>
      </c>
      <c r="DC278" s="609">
        <v>1136.29</v>
      </c>
      <c r="DD278" s="1153">
        <f t="shared" si="83"/>
        <v>-0.90000000000009095</v>
      </c>
      <c r="DE278" s="1154">
        <f t="shared" si="84"/>
        <v>0</v>
      </c>
      <c r="DF278" s="1154">
        <f t="shared" si="85"/>
        <v>225</v>
      </c>
      <c r="DG278" s="1154">
        <f t="shared" si="86"/>
        <v>244</v>
      </c>
      <c r="DH278" s="1155" t="str">
        <f t="shared" si="87"/>
        <v>Palm</v>
      </c>
      <c r="DI278" s="1146">
        <f t="shared" si="88"/>
        <v>159</v>
      </c>
      <c r="DJ278" s="1146">
        <f t="shared" si="89"/>
        <v>0</v>
      </c>
      <c r="DK278" s="1154">
        <f t="shared" si="90"/>
        <v>0</v>
      </c>
      <c r="DL278" s="615"/>
      <c r="DM278" s="615"/>
      <c r="DN278" s="615"/>
      <c r="DO278" s="499"/>
      <c r="DP278" s="499"/>
      <c r="DQ278" s="499"/>
      <c r="DR278" s="499"/>
      <c r="DS278" s="499"/>
      <c r="DT278" s="499"/>
      <c r="DU278" s="499"/>
      <c r="DV278" s="499"/>
      <c r="DW278" s="499"/>
      <c r="DX278" s="499"/>
      <c r="DY278" s="630"/>
      <c r="DZ278" s="499"/>
      <c r="EA278" s="499">
        <v>-500</v>
      </c>
      <c r="EB278" s="499"/>
      <c r="EC278" s="499"/>
      <c r="ED278" s="499"/>
      <c r="EE278" s="499"/>
      <c r="EF278" s="499"/>
      <c r="EG278" s="1147">
        <f t="shared" si="77"/>
        <v>16.5</v>
      </c>
      <c r="EH278" s="499">
        <v>0.5</v>
      </c>
      <c r="EI278" s="615">
        <v>5</v>
      </c>
      <c r="EJ278" s="615">
        <v>4</v>
      </c>
      <c r="EK278" s="615">
        <v>7</v>
      </c>
      <c r="EL278" s="499"/>
      <c r="EM278" s="499"/>
      <c r="EN278" s="499"/>
      <c r="EO278" s="499"/>
      <c r="EP278" s="499"/>
      <c r="EQ278" s="499"/>
      <c r="ER278" s="499"/>
      <c r="ES278" s="388"/>
      <c r="ET278" s="388"/>
      <c r="EU278" s="370"/>
      <c r="EV278" s="1167">
        <f t="shared" si="79"/>
        <v>25.525499999999997</v>
      </c>
      <c r="EW278" s="370"/>
      <c r="EX278" s="370"/>
    </row>
    <row r="279" spans="1:154" s="350" customFormat="1" ht="16.2" x14ac:dyDescent="0.35">
      <c r="A279" s="632" t="s">
        <v>6</v>
      </c>
      <c r="B279" s="662">
        <v>43005</v>
      </c>
      <c r="C279" s="1132" t="s">
        <v>904</v>
      </c>
      <c r="D279" s="386">
        <v>0</v>
      </c>
      <c r="E279" s="636">
        <v>0</v>
      </c>
      <c r="F279" s="636">
        <v>69</v>
      </c>
      <c r="G279" s="636">
        <v>0.6</v>
      </c>
      <c r="H279" s="386">
        <v>1.71</v>
      </c>
      <c r="I279" s="386">
        <v>19.5</v>
      </c>
      <c r="J279" s="386">
        <v>0</v>
      </c>
      <c r="K279" s="386">
        <v>0.98</v>
      </c>
      <c r="L279" s="610">
        <v>0</v>
      </c>
      <c r="M279" s="386">
        <v>15.2</v>
      </c>
      <c r="N279" s="386">
        <v>1.3</v>
      </c>
      <c r="O279" s="386">
        <v>1.6349099556552684</v>
      </c>
      <c r="P279" s="386">
        <v>1.33</v>
      </c>
      <c r="Q279" s="386">
        <v>0.69759667714220897</v>
      </c>
      <c r="R279" s="732">
        <v>1174.7520348837209</v>
      </c>
      <c r="S279" s="386">
        <v>8.2799999999999994</v>
      </c>
      <c r="T279" s="386">
        <v>8.25</v>
      </c>
      <c r="U279" s="386">
        <v>0.8</v>
      </c>
      <c r="V279" s="636">
        <v>0.79</v>
      </c>
      <c r="W279" s="636">
        <v>61.160000000000011</v>
      </c>
      <c r="X279" s="369">
        <v>61.160000000000011</v>
      </c>
      <c r="Y279" s="367">
        <v>28.4</v>
      </c>
      <c r="Z279" s="636">
        <v>40.86</v>
      </c>
      <c r="AA279" s="636">
        <v>28.3</v>
      </c>
      <c r="AB279" s="636">
        <v>41.88</v>
      </c>
      <c r="AC279" s="1160">
        <f t="shared" si="80"/>
        <v>70.180000000000007</v>
      </c>
      <c r="AD279" s="1160">
        <f t="shared" si="81"/>
        <v>108.56846</v>
      </c>
      <c r="AE279" s="1160">
        <f t="shared" si="82"/>
        <v>108.56846</v>
      </c>
      <c r="AF279" s="723"/>
      <c r="AG279" s="1160">
        <f t="shared" si="78"/>
        <v>0</v>
      </c>
      <c r="AH279" s="656"/>
      <c r="AI279" s="656"/>
      <c r="AJ279" s="388"/>
      <c r="AK279" s="388"/>
      <c r="AL279" s="388"/>
      <c r="AM279" s="388"/>
      <c r="AN279" s="388"/>
      <c r="AO279" s="370"/>
      <c r="AP279" s="370"/>
      <c r="AQ279" s="386"/>
      <c r="AR279" s="551">
        <v>0</v>
      </c>
      <c r="AS279" s="386">
        <v>25</v>
      </c>
      <c r="AT279" s="1171">
        <v>1</v>
      </c>
      <c r="AU279" s="386">
        <v>26.4</v>
      </c>
      <c r="AV279" s="636">
        <v>586.70000000000005</v>
      </c>
      <c r="AW279" s="636">
        <v>555.4</v>
      </c>
      <c r="AX279" s="386">
        <v>0</v>
      </c>
      <c r="AY279" s="551">
        <v>0</v>
      </c>
      <c r="AZ279" s="551">
        <v>0</v>
      </c>
      <c r="BA279" s="551">
        <v>0</v>
      </c>
      <c r="BB279" s="832">
        <v>0</v>
      </c>
      <c r="BC279" s="386">
        <v>0.99</v>
      </c>
      <c r="BD279" s="386">
        <v>2</v>
      </c>
      <c r="BE279" s="551">
        <v>0</v>
      </c>
      <c r="BF279" s="386">
        <v>0.99</v>
      </c>
      <c r="BG279" s="386">
        <v>2.7</v>
      </c>
      <c r="BH279" s="551">
        <v>0</v>
      </c>
      <c r="BI279" s="386">
        <v>2.23</v>
      </c>
      <c r="BJ279" s="386">
        <v>33.1</v>
      </c>
      <c r="BK279" s="386">
        <v>3.5</v>
      </c>
      <c r="BL279" s="386">
        <v>3.52</v>
      </c>
      <c r="BM279" s="386">
        <v>0</v>
      </c>
      <c r="BN279" s="386">
        <v>26.1</v>
      </c>
      <c r="BO279" s="386">
        <v>1639.2</v>
      </c>
      <c r="BP279" s="386">
        <v>1.9</v>
      </c>
      <c r="BQ279" s="615">
        <v>20.02</v>
      </c>
      <c r="BR279" s="615">
        <v>20.79</v>
      </c>
      <c r="BS279" s="615">
        <v>12.58</v>
      </c>
      <c r="BT279" s="615">
        <v>12.72</v>
      </c>
      <c r="BU279" s="614">
        <v>26</v>
      </c>
      <c r="BV279" s="614">
        <v>32.299999999999997</v>
      </c>
      <c r="BW279" s="615">
        <v>774.9</v>
      </c>
      <c r="BX279" s="791"/>
      <c r="BY279" s="615">
        <v>0</v>
      </c>
      <c r="BZ279" s="615">
        <v>1.32</v>
      </c>
      <c r="CA279" s="615">
        <v>1</v>
      </c>
      <c r="CB279" s="615">
        <v>8.1</v>
      </c>
      <c r="CC279" s="615">
        <v>8.1</v>
      </c>
      <c r="CD279" s="615">
        <v>15.6</v>
      </c>
      <c r="CE279" s="615">
        <v>34</v>
      </c>
      <c r="CF279" s="615">
        <v>19.600000000000001</v>
      </c>
      <c r="CG279" s="615">
        <v>7.72</v>
      </c>
      <c r="CH279" s="615">
        <v>13.25</v>
      </c>
      <c r="CI279" s="615">
        <v>17.8</v>
      </c>
      <c r="CJ279" s="615">
        <v>12.66</v>
      </c>
      <c r="CK279" s="615">
        <v>570.5</v>
      </c>
      <c r="CL279" s="615">
        <v>3.3</v>
      </c>
      <c r="CM279" s="615">
        <v>5.0999999999999996</v>
      </c>
      <c r="CN279" s="615">
        <v>719.3</v>
      </c>
      <c r="CO279" s="615">
        <v>631.70000000000005</v>
      </c>
      <c r="CP279" s="615">
        <v>0</v>
      </c>
      <c r="CQ279" s="615">
        <v>12.8</v>
      </c>
      <c r="CR279" s="615">
        <v>0.83</v>
      </c>
      <c r="CS279" s="386">
        <v>0</v>
      </c>
      <c r="CT279" s="386">
        <v>15.983000000000001</v>
      </c>
      <c r="CU279" s="386">
        <v>61</v>
      </c>
      <c r="CV279" s="499">
        <v>0</v>
      </c>
      <c r="CW279" s="499">
        <v>0</v>
      </c>
      <c r="CX279" s="499">
        <v>0</v>
      </c>
      <c r="CY279" s="499">
        <v>0</v>
      </c>
      <c r="CZ279" s="643">
        <v>463</v>
      </c>
      <c r="DA279" s="643">
        <v>504</v>
      </c>
      <c r="DB279" s="643">
        <v>340</v>
      </c>
      <c r="DC279" s="966">
        <v>1135.29</v>
      </c>
      <c r="DD279" s="1153">
        <f t="shared" si="83"/>
        <v>-1</v>
      </c>
      <c r="DE279" s="1154">
        <f t="shared" si="84"/>
        <v>0</v>
      </c>
      <c r="DF279" s="1154">
        <f t="shared" si="85"/>
        <v>230</v>
      </c>
      <c r="DG279" s="1154">
        <f t="shared" si="86"/>
        <v>254</v>
      </c>
      <c r="DH279" s="1155" t="str">
        <f t="shared" si="87"/>
        <v>Palm</v>
      </c>
      <c r="DI279" s="1146">
        <f t="shared" si="88"/>
        <v>164</v>
      </c>
      <c r="DJ279" s="1146">
        <f t="shared" si="89"/>
        <v>0</v>
      </c>
      <c r="DK279" s="1154">
        <f t="shared" si="90"/>
        <v>0</v>
      </c>
      <c r="DL279" s="615"/>
      <c r="DM279" s="615"/>
      <c r="DN279" s="615"/>
      <c r="DO279" s="499"/>
      <c r="DP279" s="499"/>
      <c r="DQ279" s="499"/>
      <c r="DR279" s="499"/>
      <c r="DS279" s="499"/>
      <c r="DT279" s="499"/>
      <c r="DU279" s="499"/>
      <c r="DV279" s="499"/>
      <c r="DW279" s="499"/>
      <c r="DX279" s="499"/>
      <c r="DY279" s="630"/>
      <c r="DZ279" s="499"/>
      <c r="EA279" s="499"/>
      <c r="EB279" s="499"/>
      <c r="EC279" s="499"/>
      <c r="ED279" s="499"/>
      <c r="EE279" s="499"/>
      <c r="EF279" s="499"/>
      <c r="EG279" s="1147">
        <f t="shared" si="77"/>
        <v>16.5</v>
      </c>
      <c r="EH279" s="499">
        <v>0.5</v>
      </c>
      <c r="EI279" s="615">
        <v>5</v>
      </c>
      <c r="EJ279" s="615">
        <v>4</v>
      </c>
      <c r="EK279" s="615">
        <v>7</v>
      </c>
      <c r="EL279" s="499"/>
      <c r="EM279" s="499"/>
      <c r="EN279" s="499"/>
      <c r="EO279" s="499"/>
      <c r="EP279" s="499"/>
      <c r="EQ279" s="499"/>
      <c r="ER279" s="499"/>
      <c r="ES279" s="388"/>
      <c r="ET279" s="388"/>
      <c r="EU279" s="370"/>
      <c r="EV279" s="1167">
        <f t="shared" si="79"/>
        <v>25.525499999999997</v>
      </c>
      <c r="EW279" s="370"/>
      <c r="EX279" s="370"/>
    </row>
    <row r="280" spans="1:154" s="350" customFormat="1" ht="16.2" x14ac:dyDescent="0.35">
      <c r="A280" s="632" t="s">
        <v>7</v>
      </c>
      <c r="B280" s="662">
        <v>43006</v>
      </c>
      <c r="C280" s="1132" t="s">
        <v>904</v>
      </c>
      <c r="D280" s="386">
        <v>0</v>
      </c>
      <c r="E280" s="636">
        <v>0</v>
      </c>
      <c r="F280" s="636">
        <v>57</v>
      </c>
      <c r="G280" s="636">
        <v>0.6</v>
      </c>
      <c r="H280" s="386">
        <v>1.74</v>
      </c>
      <c r="I280" s="386">
        <v>18.5</v>
      </c>
      <c r="J280" s="386">
        <v>0</v>
      </c>
      <c r="K280" s="386">
        <v>1.46</v>
      </c>
      <c r="L280" s="610">
        <v>0</v>
      </c>
      <c r="M280" s="386">
        <v>15.3</v>
      </c>
      <c r="N280" s="386">
        <v>1.24</v>
      </c>
      <c r="O280" s="386">
        <v>1.6229229922258863</v>
      </c>
      <c r="P280" s="386">
        <v>1.31</v>
      </c>
      <c r="Q280" s="386">
        <v>0.68762354855093222</v>
      </c>
      <c r="R280" s="732">
        <v>1183.7526889534886</v>
      </c>
      <c r="S280" s="386">
        <v>8.3699999999999992</v>
      </c>
      <c r="T280" s="386">
        <v>8.34</v>
      </c>
      <c r="U280" s="386">
        <v>0.86</v>
      </c>
      <c r="V280" s="387">
        <v>0.82</v>
      </c>
      <c r="W280" s="783">
        <v>61.519999999999996</v>
      </c>
      <c r="X280" s="369">
        <v>61.519999999999996</v>
      </c>
      <c r="Y280" s="367">
        <v>28.3</v>
      </c>
      <c r="Z280" s="636">
        <v>41.88</v>
      </c>
      <c r="AA280" s="636">
        <v>28.4</v>
      </c>
      <c r="AB280" s="636">
        <v>42.89</v>
      </c>
      <c r="AC280" s="1160">
        <f t="shared" si="80"/>
        <v>71.289999999999992</v>
      </c>
      <c r="AD280" s="1160">
        <f t="shared" si="81"/>
        <v>110.28562999999998</v>
      </c>
      <c r="AE280" s="1160">
        <f t="shared" si="82"/>
        <v>110.28562999999998</v>
      </c>
      <c r="AF280" s="723"/>
      <c r="AG280" s="1160">
        <f t="shared" si="78"/>
        <v>0</v>
      </c>
      <c r="AH280" s="656"/>
      <c r="AI280" s="656"/>
      <c r="AJ280" s="388"/>
      <c r="AK280" s="388"/>
      <c r="AL280" s="388"/>
      <c r="AM280" s="388"/>
      <c r="AN280" s="388"/>
      <c r="AO280" s="370"/>
      <c r="AP280" s="370"/>
      <c r="AQ280" s="386"/>
      <c r="AR280" s="551">
        <v>0</v>
      </c>
      <c r="AS280" s="386">
        <v>24.3</v>
      </c>
      <c r="AT280" s="1171">
        <v>0.38</v>
      </c>
      <c r="AU280" s="386">
        <v>26.9</v>
      </c>
      <c r="AV280" s="636">
        <v>570.9</v>
      </c>
      <c r="AW280" s="636">
        <v>618.5</v>
      </c>
      <c r="AX280" s="386">
        <v>0</v>
      </c>
      <c r="AY280" s="551">
        <v>0</v>
      </c>
      <c r="AZ280" s="551">
        <v>0</v>
      </c>
      <c r="BA280" s="551">
        <v>0</v>
      </c>
      <c r="BB280" s="832">
        <v>0</v>
      </c>
      <c r="BC280" s="386">
        <v>1</v>
      </c>
      <c r="BD280" s="386">
        <v>2</v>
      </c>
      <c r="BE280" s="551">
        <v>0</v>
      </c>
      <c r="BF280" s="386">
        <v>0.99</v>
      </c>
      <c r="BG280" s="386">
        <v>2.64</v>
      </c>
      <c r="BH280" s="551">
        <v>0</v>
      </c>
      <c r="BI280" s="386">
        <v>1.95</v>
      </c>
      <c r="BJ280" s="386">
        <v>34.4</v>
      </c>
      <c r="BK280" s="386">
        <v>3.57</v>
      </c>
      <c r="BL280" s="386">
        <v>3.48</v>
      </c>
      <c r="BM280" s="386">
        <v>0</v>
      </c>
      <c r="BN280" s="386">
        <v>27.3</v>
      </c>
      <c r="BO280" s="386">
        <v>1537.9</v>
      </c>
      <c r="BP280" s="386">
        <v>1.9</v>
      </c>
      <c r="BQ280" s="615">
        <v>20.16</v>
      </c>
      <c r="BR280" s="615">
        <v>20.95</v>
      </c>
      <c r="BS280" s="615">
        <v>12.89</v>
      </c>
      <c r="BT280" s="615">
        <v>12.98</v>
      </c>
      <c r="BU280" s="614">
        <v>26.6</v>
      </c>
      <c r="BV280" s="614">
        <v>31</v>
      </c>
      <c r="BW280" s="615">
        <v>633.79999999999995</v>
      </c>
      <c r="BX280" s="791"/>
      <c r="BY280" s="615">
        <v>0</v>
      </c>
      <c r="BZ280" s="615">
        <v>1.28</v>
      </c>
      <c r="CA280" s="615">
        <v>1</v>
      </c>
      <c r="CB280" s="615">
        <v>8.1999999999999993</v>
      </c>
      <c r="CC280" s="615">
        <v>8.1</v>
      </c>
      <c r="CD280" s="615">
        <v>16</v>
      </c>
      <c r="CE280" s="615">
        <v>33.799999999999997</v>
      </c>
      <c r="CF280" s="615">
        <v>19.8</v>
      </c>
      <c r="CG280" s="615">
        <v>7.9</v>
      </c>
      <c r="CH280" s="615">
        <v>13.4</v>
      </c>
      <c r="CI280" s="615">
        <v>18</v>
      </c>
      <c r="CJ280" s="615">
        <v>12.95</v>
      </c>
      <c r="CK280" s="615">
        <v>520.1</v>
      </c>
      <c r="CL280" s="615">
        <v>3.5</v>
      </c>
      <c r="CM280" s="615">
        <v>5.2</v>
      </c>
      <c r="CN280" s="615">
        <v>563</v>
      </c>
      <c r="CO280" s="615">
        <v>625.4</v>
      </c>
      <c r="CP280" s="615">
        <v>0</v>
      </c>
      <c r="CQ280" s="615">
        <v>12.8</v>
      </c>
      <c r="CR280" s="615">
        <v>0.9</v>
      </c>
      <c r="CS280" s="386">
        <v>0</v>
      </c>
      <c r="CT280" s="386">
        <v>16.146999999999998</v>
      </c>
      <c r="CU280" s="386">
        <v>62</v>
      </c>
      <c r="CV280" s="499">
        <v>0</v>
      </c>
      <c r="CW280" s="499">
        <v>0</v>
      </c>
      <c r="CX280" s="499">
        <v>0</v>
      </c>
      <c r="CY280" s="499">
        <v>0</v>
      </c>
      <c r="CZ280" s="643">
        <v>460</v>
      </c>
      <c r="DA280" s="643">
        <v>514</v>
      </c>
      <c r="DB280" s="643">
        <v>337</v>
      </c>
      <c r="DC280" s="966">
        <v>1134.24</v>
      </c>
      <c r="DD280" s="1153">
        <f t="shared" si="83"/>
        <v>-1.0499999999999545</v>
      </c>
      <c r="DE280" s="1154">
        <f t="shared" si="84"/>
        <v>0</v>
      </c>
      <c r="DF280" s="1154">
        <f t="shared" si="85"/>
        <v>227</v>
      </c>
      <c r="DG280" s="1154">
        <f t="shared" si="86"/>
        <v>264</v>
      </c>
      <c r="DH280" s="1155" t="str">
        <f t="shared" si="87"/>
        <v>Palm</v>
      </c>
      <c r="DI280" s="1146">
        <f t="shared" si="88"/>
        <v>177</v>
      </c>
      <c r="DJ280" s="1146">
        <f t="shared" si="89"/>
        <v>0</v>
      </c>
      <c r="DK280" s="1154">
        <f t="shared" si="90"/>
        <v>0</v>
      </c>
      <c r="DL280" s="615"/>
      <c r="DM280" s="615"/>
      <c r="DN280" s="615"/>
      <c r="DO280" s="499"/>
      <c r="DP280" s="499"/>
      <c r="DQ280" s="499"/>
      <c r="DR280" s="499"/>
      <c r="DS280" s="499"/>
      <c r="DT280" s="499"/>
      <c r="DU280" s="499"/>
      <c r="DV280" s="499"/>
      <c r="DW280" s="499"/>
      <c r="DX280" s="499"/>
      <c r="DY280" s="630"/>
      <c r="DZ280" s="499"/>
      <c r="EA280" s="499"/>
      <c r="EB280" s="499"/>
      <c r="EC280" s="499"/>
      <c r="ED280" s="499"/>
      <c r="EE280" s="499"/>
      <c r="EF280" s="499"/>
      <c r="EG280" s="1147">
        <f t="shared" si="77"/>
        <v>16.5</v>
      </c>
      <c r="EH280" s="499">
        <v>0.5</v>
      </c>
      <c r="EI280" s="615">
        <v>5</v>
      </c>
      <c r="EJ280" s="615">
        <v>4</v>
      </c>
      <c r="EK280" s="615">
        <v>7</v>
      </c>
      <c r="EL280" s="499"/>
      <c r="EM280" s="499"/>
      <c r="EN280" s="499"/>
      <c r="EO280" s="499"/>
      <c r="EP280" s="499"/>
      <c r="EQ280" s="499"/>
      <c r="ER280" s="499"/>
      <c r="ES280" s="388"/>
      <c r="ET280" s="388"/>
      <c r="EU280" s="370"/>
      <c r="EV280" s="1167">
        <f t="shared" si="79"/>
        <v>25.525499999999997</v>
      </c>
      <c r="EW280" s="370"/>
      <c r="EX280" s="370"/>
    </row>
    <row r="281" spans="1:154" s="350" customFormat="1" ht="16.2" x14ac:dyDescent="0.35">
      <c r="A281" s="632" t="s">
        <v>8</v>
      </c>
      <c r="B281" s="662">
        <v>43007</v>
      </c>
      <c r="C281" s="1132" t="s">
        <v>904</v>
      </c>
      <c r="D281" s="386">
        <v>0.2</v>
      </c>
      <c r="E281" s="636">
        <v>0</v>
      </c>
      <c r="F281" s="636">
        <v>51</v>
      </c>
      <c r="G281" s="636">
        <v>0.6</v>
      </c>
      <c r="H281" s="386">
        <v>1.97</v>
      </c>
      <c r="I281" s="386">
        <v>19.5</v>
      </c>
      <c r="J281" s="386">
        <v>0</v>
      </c>
      <c r="K281" s="386">
        <v>1.24</v>
      </c>
      <c r="L281" s="610">
        <v>0</v>
      </c>
      <c r="M281" s="386">
        <v>15.2</v>
      </c>
      <c r="N281" s="386">
        <v>1.28</v>
      </c>
      <c r="O281" s="386">
        <v>1.6185902852892773</v>
      </c>
      <c r="P281" s="386">
        <v>1.32</v>
      </c>
      <c r="Q281" s="386">
        <v>0.69271154634989662</v>
      </c>
      <c r="R281" s="732">
        <v>1165.0846656976746</v>
      </c>
      <c r="S281" s="386">
        <v>8.2200000000000006</v>
      </c>
      <c r="T281" s="386">
        <v>8.25</v>
      </c>
      <c r="U281" s="386">
        <v>0.81</v>
      </c>
      <c r="V281" s="387">
        <v>0.81</v>
      </c>
      <c r="W281" s="783">
        <v>61.7</v>
      </c>
      <c r="X281" s="369">
        <v>61.519999999999996</v>
      </c>
      <c r="Y281" s="367">
        <v>28.4</v>
      </c>
      <c r="Z281" s="636">
        <v>42.89</v>
      </c>
      <c r="AA281" s="636">
        <v>28.3</v>
      </c>
      <c r="AB281" s="636">
        <v>41.8</v>
      </c>
      <c r="AC281" s="1160">
        <f t="shared" si="80"/>
        <v>70.099999999999994</v>
      </c>
      <c r="AD281" s="1160">
        <f t="shared" si="81"/>
        <v>108.44469999999998</v>
      </c>
      <c r="AE281" s="1160">
        <f t="shared" si="82"/>
        <v>108.44469999999998</v>
      </c>
      <c r="AF281" s="723"/>
      <c r="AG281" s="1160">
        <f t="shared" si="78"/>
        <v>0</v>
      </c>
      <c r="AH281" s="656"/>
      <c r="AI281" s="656"/>
      <c r="AJ281" s="388"/>
      <c r="AK281" s="388"/>
      <c r="AL281" s="388"/>
      <c r="AM281" s="388"/>
      <c r="AN281" s="388"/>
      <c r="AO281" s="370"/>
      <c r="AP281" s="370"/>
      <c r="AQ281" s="386"/>
      <c r="AR281" s="551">
        <v>0</v>
      </c>
      <c r="AS281" s="386">
        <v>22.2</v>
      </c>
      <c r="AT281" s="386">
        <v>0</v>
      </c>
      <c r="AU281" s="386">
        <v>27.2</v>
      </c>
      <c r="AV281" s="636">
        <v>731.1</v>
      </c>
      <c r="AW281" s="636">
        <v>679.6</v>
      </c>
      <c r="AX281" s="386">
        <v>0</v>
      </c>
      <c r="AY281" s="551">
        <v>0</v>
      </c>
      <c r="AZ281" s="551">
        <v>0</v>
      </c>
      <c r="BA281" s="551">
        <v>0</v>
      </c>
      <c r="BB281" s="832">
        <v>0</v>
      </c>
      <c r="BC281" s="386">
        <v>0.86</v>
      </c>
      <c r="BD281" s="386">
        <v>1.85</v>
      </c>
      <c r="BE281" s="551">
        <v>0</v>
      </c>
      <c r="BF281" s="386">
        <v>0.95</v>
      </c>
      <c r="BG281" s="386">
        <v>2.5299999999999998</v>
      </c>
      <c r="BH281" s="551">
        <v>0</v>
      </c>
      <c r="BI281" s="386">
        <v>1.47</v>
      </c>
      <c r="BJ281" s="386">
        <v>34.200000000000003</v>
      </c>
      <c r="BK281" s="386">
        <v>3.23</v>
      </c>
      <c r="BL281" s="386">
        <v>3.81</v>
      </c>
      <c r="BM281" s="386">
        <v>0</v>
      </c>
      <c r="BN281" s="386">
        <v>27.1</v>
      </c>
      <c r="BO281" s="386">
        <v>1279.3</v>
      </c>
      <c r="BP281" s="386">
        <v>2</v>
      </c>
      <c r="BQ281" s="615">
        <v>21.99</v>
      </c>
      <c r="BR281" s="615">
        <v>22.72</v>
      </c>
      <c r="BS281" s="615">
        <v>12.93</v>
      </c>
      <c r="BT281" s="615">
        <v>13.04</v>
      </c>
      <c r="BU281" s="614">
        <v>26.6</v>
      </c>
      <c r="BV281" s="614">
        <v>26</v>
      </c>
      <c r="BW281" s="615">
        <v>588</v>
      </c>
      <c r="BX281" s="791"/>
      <c r="BY281" s="615">
        <v>0</v>
      </c>
      <c r="BZ281" s="615">
        <v>1.23</v>
      </c>
      <c r="CA281" s="615">
        <v>1</v>
      </c>
      <c r="CB281" s="615">
        <v>8.1999999999999993</v>
      </c>
      <c r="CC281" s="615">
        <v>8.1</v>
      </c>
      <c r="CD281" s="615">
        <v>16.3</v>
      </c>
      <c r="CE281" s="615">
        <v>34.1</v>
      </c>
      <c r="CF281" s="615">
        <v>19.899999999999999</v>
      </c>
      <c r="CG281" s="615">
        <v>7.2</v>
      </c>
      <c r="CH281" s="615">
        <v>12.6</v>
      </c>
      <c r="CI281" s="615">
        <v>17.2</v>
      </c>
      <c r="CJ281" s="615">
        <v>13.4</v>
      </c>
      <c r="CK281" s="615">
        <v>512.20000000000005</v>
      </c>
      <c r="CL281" s="615">
        <v>3.3</v>
      </c>
      <c r="CM281" s="615">
        <v>4.5999999999999996</v>
      </c>
      <c r="CN281" s="615">
        <v>328.8</v>
      </c>
      <c r="CO281" s="615">
        <v>593.79999999999995</v>
      </c>
      <c r="CP281" s="615">
        <v>0</v>
      </c>
      <c r="CQ281" s="615">
        <v>12.4</v>
      </c>
      <c r="CR281" s="615">
        <v>0.78</v>
      </c>
      <c r="CS281" s="386">
        <v>0</v>
      </c>
      <c r="CT281" s="386">
        <v>15.391</v>
      </c>
      <c r="CU281" s="386">
        <v>61</v>
      </c>
      <c r="CV281" s="499">
        <v>0</v>
      </c>
      <c r="CW281" s="499">
        <v>0</v>
      </c>
      <c r="CX281" s="499">
        <v>0</v>
      </c>
      <c r="CY281" s="499">
        <v>0</v>
      </c>
      <c r="CZ281" s="608">
        <v>466</v>
      </c>
      <c r="DA281" s="608">
        <v>519</v>
      </c>
      <c r="DB281" s="608">
        <v>340</v>
      </c>
      <c r="DC281" s="966">
        <v>1133.17</v>
      </c>
      <c r="DD281" s="1153">
        <f t="shared" si="83"/>
        <v>-1.0699999999999363</v>
      </c>
      <c r="DE281" s="1154">
        <f t="shared" si="84"/>
        <v>0</v>
      </c>
      <c r="DF281" s="1154">
        <f t="shared" si="85"/>
        <v>230</v>
      </c>
      <c r="DG281" s="1154">
        <f t="shared" si="86"/>
        <v>269</v>
      </c>
      <c r="DH281" s="1155" t="str">
        <f t="shared" si="87"/>
        <v>Palm</v>
      </c>
      <c r="DI281" s="1146">
        <f t="shared" si="88"/>
        <v>179</v>
      </c>
      <c r="DJ281" s="1146">
        <f t="shared" si="89"/>
        <v>0</v>
      </c>
      <c r="DK281" s="1154">
        <f t="shared" si="90"/>
        <v>0</v>
      </c>
      <c r="DL281" s="615"/>
      <c r="DM281" s="615"/>
      <c r="DN281" s="615"/>
      <c r="DO281" s="499"/>
      <c r="DP281" s="499"/>
      <c r="DQ281" s="499"/>
      <c r="DR281" s="499"/>
      <c r="DS281" s="499"/>
      <c r="DT281" s="499"/>
      <c r="DU281" s="499"/>
      <c r="DV281" s="499"/>
      <c r="DW281" s="499"/>
      <c r="DX281" s="499"/>
      <c r="DY281" s="630"/>
      <c r="DZ281" s="499"/>
      <c r="EA281" s="499"/>
      <c r="EB281" s="499"/>
      <c r="EC281" s="499"/>
      <c r="ED281" s="499"/>
      <c r="EE281" s="499"/>
      <c r="EF281" s="499"/>
      <c r="EG281" s="1147">
        <f t="shared" si="77"/>
        <v>14.5</v>
      </c>
      <c r="EH281" s="499">
        <v>0</v>
      </c>
      <c r="EI281" s="615">
        <v>4</v>
      </c>
      <c r="EJ281" s="615">
        <v>3.5</v>
      </c>
      <c r="EK281" s="615">
        <v>7</v>
      </c>
      <c r="EL281" s="499"/>
      <c r="EM281" s="499"/>
      <c r="EN281" s="499"/>
      <c r="EO281" s="499"/>
      <c r="EP281" s="499"/>
      <c r="EQ281" s="499"/>
      <c r="ER281" s="499"/>
      <c r="ES281" s="388"/>
      <c r="ET281" s="388"/>
      <c r="EU281" s="370"/>
      <c r="EV281" s="1167">
        <f t="shared" si="79"/>
        <v>22.4315</v>
      </c>
      <c r="EW281" s="370"/>
      <c r="EX281" s="370"/>
    </row>
    <row r="282" spans="1:154" s="350" customFormat="1" ht="16.2" x14ac:dyDescent="0.35">
      <c r="A282" s="632" t="s">
        <v>9</v>
      </c>
      <c r="B282" s="662">
        <v>43008</v>
      </c>
      <c r="C282" s="1132" t="s">
        <v>904</v>
      </c>
      <c r="D282" s="386">
        <v>0.35</v>
      </c>
      <c r="E282" s="636">
        <v>0</v>
      </c>
      <c r="F282" s="636">
        <v>50</v>
      </c>
      <c r="G282" s="636">
        <v>0.7</v>
      </c>
      <c r="H282" s="386">
        <v>1.61</v>
      </c>
      <c r="I282" s="386">
        <v>19.2</v>
      </c>
      <c r="J282" s="386">
        <v>0</v>
      </c>
      <c r="K282" s="386">
        <v>0.93</v>
      </c>
      <c r="L282" s="610">
        <v>0</v>
      </c>
      <c r="M282" s="386">
        <v>15.2</v>
      </c>
      <c r="N282" s="386">
        <v>1.27</v>
      </c>
      <c r="O282" s="386">
        <v>1.6273878737542997</v>
      </c>
      <c r="P282" s="386">
        <v>1.25</v>
      </c>
      <c r="Q282" s="386">
        <v>0.68972693219449532</v>
      </c>
      <c r="R282" s="732">
        <v>1084.0787790697675</v>
      </c>
      <c r="S282" s="386">
        <v>8.1199999999999992</v>
      </c>
      <c r="T282" s="386">
        <v>8.2100000000000009</v>
      </c>
      <c r="U282" s="386">
        <v>0.77</v>
      </c>
      <c r="V282" s="387">
        <v>0.82</v>
      </c>
      <c r="W282" s="783">
        <v>61.34</v>
      </c>
      <c r="X282" s="369">
        <v>61.34</v>
      </c>
      <c r="Y282" s="367">
        <v>28.3</v>
      </c>
      <c r="Z282" s="636">
        <v>41.8</v>
      </c>
      <c r="AA282" s="636">
        <v>28.3</v>
      </c>
      <c r="AB282" s="636">
        <v>37.299999999999997</v>
      </c>
      <c r="AC282" s="1160">
        <f t="shared" si="80"/>
        <v>65.599999999999994</v>
      </c>
      <c r="AD282" s="1160">
        <f t="shared" si="81"/>
        <v>101.48319999999998</v>
      </c>
      <c r="AE282" s="1160">
        <f t="shared" si="82"/>
        <v>101.48319999999998</v>
      </c>
      <c r="AF282" s="723"/>
      <c r="AG282" s="1160">
        <f t="shared" si="78"/>
        <v>0</v>
      </c>
      <c r="AH282" s="656"/>
      <c r="AI282" s="656"/>
      <c r="AJ282" s="388"/>
      <c r="AK282" s="388"/>
      <c r="AL282" s="388"/>
      <c r="AM282" s="388"/>
      <c r="AN282" s="388"/>
      <c r="AO282" s="370"/>
      <c r="AP282" s="370"/>
      <c r="AQ282" s="386"/>
      <c r="AR282" s="551">
        <v>0</v>
      </c>
      <c r="AS282" s="386">
        <v>26.7</v>
      </c>
      <c r="AT282" s="386">
        <v>0</v>
      </c>
      <c r="AU282" s="386">
        <v>27.2</v>
      </c>
      <c r="AV282" s="636">
        <v>457.6</v>
      </c>
      <c r="AW282" s="636">
        <v>397.4</v>
      </c>
      <c r="AX282" s="386">
        <v>0</v>
      </c>
      <c r="AY282" s="551">
        <v>0</v>
      </c>
      <c r="AZ282" s="551">
        <v>0</v>
      </c>
      <c r="BA282" s="551">
        <v>0</v>
      </c>
      <c r="BB282" s="832">
        <v>0</v>
      </c>
      <c r="BC282" s="386">
        <v>0.73</v>
      </c>
      <c r="BD282" s="386">
        <v>1.78</v>
      </c>
      <c r="BE282" s="551">
        <v>0</v>
      </c>
      <c r="BF282" s="386">
        <v>0.95</v>
      </c>
      <c r="BG282" s="386">
        <v>2.5299999999999998</v>
      </c>
      <c r="BH282" s="551">
        <v>0</v>
      </c>
      <c r="BI282" s="386">
        <v>1.47</v>
      </c>
      <c r="BJ282" s="386">
        <v>29.8</v>
      </c>
      <c r="BK282" s="386">
        <v>2.61</v>
      </c>
      <c r="BL282" s="386">
        <v>4.46</v>
      </c>
      <c r="BM282" s="386">
        <v>0</v>
      </c>
      <c r="BN282" s="386">
        <v>22.8</v>
      </c>
      <c r="BO282" s="386">
        <v>1360.7</v>
      </c>
      <c r="BP282" s="386">
        <v>2</v>
      </c>
      <c r="BQ282" s="615">
        <v>22.89</v>
      </c>
      <c r="BR282" s="615">
        <v>23.6</v>
      </c>
      <c r="BS282" s="615">
        <v>13.35</v>
      </c>
      <c r="BT282" s="615">
        <v>13.47</v>
      </c>
      <c r="BU282" s="614">
        <v>27.4</v>
      </c>
      <c r="BV282" s="614">
        <v>29.8</v>
      </c>
      <c r="BW282" s="615">
        <v>616</v>
      </c>
      <c r="BX282" s="791"/>
      <c r="BY282" s="615">
        <v>0</v>
      </c>
      <c r="BZ282" s="615">
        <v>1.26</v>
      </c>
      <c r="CA282" s="615">
        <v>1</v>
      </c>
      <c r="CB282" s="615">
        <v>8.1</v>
      </c>
      <c r="CC282" s="615">
        <v>8.1</v>
      </c>
      <c r="CD282" s="615">
        <v>15.7</v>
      </c>
      <c r="CE282" s="615">
        <v>34.200000000000003</v>
      </c>
      <c r="CF282" s="615">
        <v>20</v>
      </c>
      <c r="CG282" s="615">
        <v>6.9</v>
      </c>
      <c r="CH282" s="615">
        <v>12.4</v>
      </c>
      <c r="CI282" s="615">
        <v>16.5</v>
      </c>
      <c r="CJ282" s="615">
        <v>12.7</v>
      </c>
      <c r="CK282" s="615">
        <v>504.9</v>
      </c>
      <c r="CL282" s="615">
        <v>2.9</v>
      </c>
      <c r="CM282" s="615">
        <v>5.0999999999999996</v>
      </c>
      <c r="CN282" s="615">
        <v>238.2</v>
      </c>
      <c r="CO282" s="615">
        <v>552.9</v>
      </c>
      <c r="CP282" s="615">
        <v>0</v>
      </c>
      <c r="CQ282" s="615">
        <v>12.9</v>
      </c>
      <c r="CR282" s="615">
        <v>0.75</v>
      </c>
      <c r="CS282" s="386">
        <v>0</v>
      </c>
      <c r="CT282" s="386">
        <v>16.881</v>
      </c>
      <c r="CU282" s="386">
        <v>61</v>
      </c>
      <c r="CV282" s="499">
        <v>0</v>
      </c>
      <c r="CW282" s="499">
        <v>0</v>
      </c>
      <c r="CX282" s="499">
        <v>0</v>
      </c>
      <c r="CY282" s="499">
        <v>0</v>
      </c>
      <c r="CZ282" s="608">
        <v>466</v>
      </c>
      <c r="DA282" s="608">
        <v>540</v>
      </c>
      <c r="DB282" s="608">
        <v>375</v>
      </c>
      <c r="DC282" s="966">
        <v>1132.0999999999999</v>
      </c>
      <c r="DD282" s="1153">
        <f t="shared" si="83"/>
        <v>-1.0700000000001637</v>
      </c>
      <c r="DE282" s="1154">
        <f t="shared" si="84"/>
        <v>0</v>
      </c>
      <c r="DF282" s="1154">
        <f t="shared" si="85"/>
        <v>265</v>
      </c>
      <c r="DG282" s="1154">
        <f t="shared" si="86"/>
        <v>290</v>
      </c>
      <c r="DH282" s="1155" t="str">
        <f t="shared" si="87"/>
        <v>Palm</v>
      </c>
      <c r="DI282" s="1146">
        <f t="shared" si="88"/>
        <v>165</v>
      </c>
      <c r="DJ282" s="1146">
        <f t="shared" si="89"/>
        <v>0</v>
      </c>
      <c r="DK282" s="1154">
        <f t="shared" si="90"/>
        <v>0</v>
      </c>
      <c r="DL282" s="615"/>
      <c r="DM282" s="615"/>
      <c r="DN282" s="615"/>
      <c r="DO282" s="499"/>
      <c r="DP282" s="499"/>
      <c r="DQ282" s="499"/>
      <c r="DR282" s="499"/>
      <c r="DS282" s="499"/>
      <c r="DT282" s="499"/>
      <c r="DU282" s="499"/>
      <c r="DV282" s="499"/>
      <c r="DW282" s="499"/>
      <c r="DX282" s="499"/>
      <c r="DY282" s="630"/>
      <c r="DZ282" s="499"/>
      <c r="EA282" s="499"/>
      <c r="EB282" s="499"/>
      <c r="EC282" s="499"/>
      <c r="ED282" s="499"/>
      <c r="EE282" s="499"/>
      <c r="EF282" s="499"/>
      <c r="EG282" s="1147">
        <f t="shared" si="77"/>
        <v>14.5</v>
      </c>
      <c r="EH282" s="499">
        <v>0</v>
      </c>
      <c r="EI282" s="615">
        <v>4</v>
      </c>
      <c r="EJ282" s="615">
        <v>3.5</v>
      </c>
      <c r="EK282" s="615">
        <v>7</v>
      </c>
      <c r="EL282" s="499"/>
      <c r="EM282" s="499"/>
      <c r="EN282" s="499"/>
      <c r="EO282" s="499"/>
      <c r="EP282" s="499"/>
      <c r="EQ282" s="499"/>
      <c r="ER282" s="499"/>
      <c r="ES282" s="388"/>
      <c r="ET282" s="388"/>
      <c r="EU282" s="370"/>
      <c r="EV282" s="1167">
        <f t="shared" si="79"/>
        <v>22.4315</v>
      </c>
      <c r="EW282" s="370"/>
      <c r="EX282" s="370"/>
    </row>
    <row r="283" spans="1:154" s="350" customFormat="1" ht="16.2" x14ac:dyDescent="0.35">
      <c r="A283" s="632" t="s">
        <v>3</v>
      </c>
      <c r="B283" s="662">
        <v>43009</v>
      </c>
      <c r="C283" s="1132" t="s">
        <v>904</v>
      </c>
      <c r="D283" s="386">
        <v>1</v>
      </c>
      <c r="E283" s="636">
        <v>0</v>
      </c>
      <c r="F283" s="636">
        <v>45</v>
      </c>
      <c r="G283" s="636">
        <v>0.7</v>
      </c>
      <c r="H283" s="386">
        <v>3.15</v>
      </c>
      <c r="I283" s="386">
        <v>0</v>
      </c>
      <c r="J283" s="386">
        <v>0</v>
      </c>
      <c r="K283" s="386">
        <v>1.98</v>
      </c>
      <c r="L283" s="610">
        <v>0</v>
      </c>
      <c r="M283" s="386">
        <v>16.100000000000001</v>
      </c>
      <c r="N283" s="386">
        <v>1.23</v>
      </c>
      <c r="O283" s="386">
        <v>1.66608988556663</v>
      </c>
      <c r="P283" s="386">
        <v>1.23</v>
      </c>
      <c r="Q283" s="386">
        <v>0.69902185490020663</v>
      </c>
      <c r="R283" s="732">
        <v>1080.078488372093</v>
      </c>
      <c r="S283" s="386">
        <v>8.0500000000000007</v>
      </c>
      <c r="T283" s="386">
        <v>8.08</v>
      </c>
      <c r="U283" s="386">
        <v>0.82</v>
      </c>
      <c r="V283" s="387">
        <v>0.82</v>
      </c>
      <c r="W283" s="783">
        <v>60.8</v>
      </c>
      <c r="X283" s="369">
        <v>60.8</v>
      </c>
      <c r="Y283" s="367">
        <v>28.3</v>
      </c>
      <c r="Z283" s="636">
        <v>37.299999999999997</v>
      </c>
      <c r="AA283" s="636">
        <v>28.3</v>
      </c>
      <c r="AB283" s="636">
        <v>35.9</v>
      </c>
      <c r="AC283" s="1160">
        <f t="shared" si="80"/>
        <v>64.2</v>
      </c>
      <c r="AD283" s="1160">
        <f t="shared" si="81"/>
        <v>99.317400000000006</v>
      </c>
      <c r="AE283" s="1160">
        <f t="shared" si="82"/>
        <v>99.317400000000006</v>
      </c>
      <c r="AF283" s="723"/>
      <c r="AG283" s="1160">
        <f t="shared" si="78"/>
        <v>0</v>
      </c>
      <c r="AH283" s="656"/>
      <c r="AI283" s="656"/>
      <c r="AJ283" s="388"/>
      <c r="AK283" s="388"/>
      <c r="AL283" s="388"/>
      <c r="AM283" s="388"/>
      <c r="AN283" s="388"/>
      <c r="AO283" s="370"/>
      <c r="AP283" s="370"/>
      <c r="AQ283" s="386"/>
      <c r="AR283" s="551">
        <v>0</v>
      </c>
      <c r="AS283" s="386">
        <v>17.899999999999999</v>
      </c>
      <c r="AT283" s="386">
        <v>0</v>
      </c>
      <c r="AU283" s="386">
        <v>27.1</v>
      </c>
      <c r="AV283" s="636">
        <v>661</v>
      </c>
      <c r="AW283" s="636">
        <v>607.9</v>
      </c>
      <c r="AX283" s="386">
        <v>0</v>
      </c>
      <c r="AY283" s="551">
        <v>0</v>
      </c>
      <c r="AZ283" s="551">
        <v>0</v>
      </c>
      <c r="BA283" s="551">
        <v>0</v>
      </c>
      <c r="BB283" s="832">
        <v>0</v>
      </c>
      <c r="BC283" s="386">
        <v>0.72</v>
      </c>
      <c r="BD283" s="386">
        <v>1.78</v>
      </c>
      <c r="BE283" s="551">
        <v>0</v>
      </c>
      <c r="BF283" s="386">
        <v>0.99</v>
      </c>
      <c r="BG283" s="386">
        <v>2.04</v>
      </c>
      <c r="BH283" s="551">
        <v>0</v>
      </c>
      <c r="BI283" s="386">
        <v>1.47</v>
      </c>
      <c r="BJ283" s="386">
        <v>29</v>
      </c>
      <c r="BK283" s="386">
        <v>2.65</v>
      </c>
      <c r="BL283" s="386">
        <v>4.42</v>
      </c>
      <c r="BM283" s="386">
        <v>0</v>
      </c>
      <c r="BN283" s="386">
        <v>22</v>
      </c>
      <c r="BO283" s="386">
        <v>1641</v>
      </c>
      <c r="BP283" s="386">
        <v>2</v>
      </c>
      <c r="BQ283" s="615">
        <v>22.37</v>
      </c>
      <c r="BR283" s="615">
        <v>23.1</v>
      </c>
      <c r="BS283" s="615">
        <v>13.02</v>
      </c>
      <c r="BT283" s="615">
        <v>13.14</v>
      </c>
      <c r="BU283" s="614">
        <v>26.8</v>
      </c>
      <c r="BV283" s="614">
        <v>33.4</v>
      </c>
      <c r="BW283" s="615">
        <v>673.2</v>
      </c>
      <c r="BX283" s="791"/>
      <c r="BY283" s="615">
        <v>0</v>
      </c>
      <c r="BZ283" s="615">
        <v>1.23</v>
      </c>
      <c r="CA283" s="615">
        <v>1</v>
      </c>
      <c r="CB283" s="615">
        <v>8</v>
      </c>
      <c r="CC283" s="615">
        <v>8.1</v>
      </c>
      <c r="CD283" s="615">
        <v>15.7</v>
      </c>
      <c r="CE283" s="615">
        <v>34.1</v>
      </c>
      <c r="CF283" s="615">
        <v>20</v>
      </c>
      <c r="CG283" s="615">
        <v>7.7</v>
      </c>
      <c r="CH283" s="615">
        <v>13.4</v>
      </c>
      <c r="CI283" s="615">
        <v>17.5</v>
      </c>
      <c r="CJ283" s="615">
        <v>12.91</v>
      </c>
      <c r="CK283" s="615">
        <v>525.1</v>
      </c>
      <c r="CL283" s="615">
        <v>3.3</v>
      </c>
      <c r="CM283" s="615">
        <v>5.3</v>
      </c>
      <c r="CN283" s="615">
        <v>293.39999999999998</v>
      </c>
      <c r="CO283" s="615">
        <v>548.5</v>
      </c>
      <c r="CP283" s="615">
        <v>0</v>
      </c>
      <c r="CQ283" s="615">
        <v>12.9</v>
      </c>
      <c r="CR283" s="615">
        <v>0.74</v>
      </c>
      <c r="CS283" s="386">
        <v>0</v>
      </c>
      <c r="CT283" s="386">
        <v>17.36</v>
      </c>
      <c r="CU283" s="386">
        <v>61</v>
      </c>
      <c r="CV283" s="499">
        <v>0</v>
      </c>
      <c r="CW283" s="499">
        <v>0</v>
      </c>
      <c r="CX283" s="499">
        <v>0</v>
      </c>
      <c r="CY283" s="499">
        <v>0</v>
      </c>
      <c r="CZ283" s="608">
        <v>460</v>
      </c>
      <c r="DA283" s="608">
        <v>561</v>
      </c>
      <c r="DB283" s="608">
        <v>359</v>
      </c>
      <c r="DC283" s="966">
        <v>1131.46</v>
      </c>
      <c r="DD283" s="1153">
        <f t="shared" si="83"/>
        <v>-0.63999999999987267</v>
      </c>
      <c r="DE283" s="1154">
        <f t="shared" si="84"/>
        <v>0</v>
      </c>
      <c r="DF283" s="1154">
        <f t="shared" si="85"/>
        <v>249</v>
      </c>
      <c r="DG283" s="1154">
        <f t="shared" si="86"/>
        <v>311</v>
      </c>
      <c r="DH283" s="1155" t="str">
        <f t="shared" si="87"/>
        <v>Palm</v>
      </c>
      <c r="DI283" s="1146">
        <f t="shared" si="88"/>
        <v>202</v>
      </c>
      <c r="DJ283" s="1146">
        <f t="shared" si="89"/>
        <v>0</v>
      </c>
      <c r="DK283" s="1154">
        <f t="shared" si="90"/>
        <v>0</v>
      </c>
      <c r="DL283" s="615"/>
      <c r="DM283" s="615"/>
      <c r="DN283" s="615"/>
      <c r="DO283" s="499"/>
      <c r="DP283" s="499"/>
      <c r="DQ283" s="499"/>
      <c r="DR283" s="499"/>
      <c r="DS283" s="499"/>
      <c r="DT283" s="499"/>
      <c r="DU283" s="499"/>
      <c r="DV283" s="499"/>
      <c r="DW283" s="499"/>
      <c r="DX283" s="499"/>
      <c r="DY283" s="630"/>
      <c r="DZ283" s="499"/>
      <c r="EA283" s="499"/>
      <c r="EB283" s="499"/>
      <c r="EC283" s="499"/>
      <c r="ED283" s="499"/>
      <c r="EE283" s="499"/>
      <c r="EF283" s="499"/>
      <c r="EG283" s="1147">
        <f t="shared" si="77"/>
        <v>14.5</v>
      </c>
      <c r="EH283" s="499">
        <v>0</v>
      </c>
      <c r="EI283" s="615">
        <v>4</v>
      </c>
      <c r="EJ283" s="615">
        <v>3.5</v>
      </c>
      <c r="EK283" s="615">
        <v>7</v>
      </c>
      <c r="EL283" s="499"/>
      <c r="EM283" s="499"/>
      <c r="EN283" s="499"/>
      <c r="EO283" s="499"/>
      <c r="EP283" s="499"/>
      <c r="EQ283" s="499"/>
      <c r="ER283" s="499"/>
      <c r="ES283" s="388"/>
      <c r="ET283" s="388"/>
      <c r="EU283" s="370"/>
      <c r="EV283" s="1167">
        <f t="shared" si="79"/>
        <v>22.4315</v>
      </c>
      <c r="EW283" s="370"/>
      <c r="EX283" s="370"/>
    </row>
    <row r="284" spans="1:154" s="350" customFormat="1" ht="16.2" x14ac:dyDescent="0.35">
      <c r="A284" s="632" t="s">
        <v>4</v>
      </c>
      <c r="B284" s="662">
        <v>43010</v>
      </c>
      <c r="C284" s="1132" t="s">
        <v>904</v>
      </c>
      <c r="D284" s="386">
        <v>0</v>
      </c>
      <c r="E284" s="636">
        <v>0</v>
      </c>
      <c r="F284" s="636">
        <v>46</v>
      </c>
      <c r="G284" s="636">
        <v>0.7</v>
      </c>
      <c r="H284" s="386">
        <v>1.63</v>
      </c>
      <c r="I284" s="386">
        <v>20.5</v>
      </c>
      <c r="J284" s="386">
        <v>0</v>
      </c>
      <c r="K284" s="386">
        <v>1.1200000000000001</v>
      </c>
      <c r="L284" s="610">
        <v>0</v>
      </c>
      <c r="M284" s="386">
        <v>15.8</v>
      </c>
      <c r="N284" s="386">
        <v>1.28</v>
      </c>
      <c r="O284" s="386">
        <v>1.6882959579176611</v>
      </c>
      <c r="P284" s="386">
        <v>1.24</v>
      </c>
      <c r="Q284" s="386">
        <v>0.68908933289277086</v>
      </c>
      <c r="R284" s="732">
        <v>1089.4124999999999</v>
      </c>
      <c r="S284" s="386">
        <v>8.15</v>
      </c>
      <c r="T284" s="386">
        <v>8.19</v>
      </c>
      <c r="U284" s="386">
        <v>0.83</v>
      </c>
      <c r="V284" s="387">
        <v>0.85</v>
      </c>
      <c r="W284" s="783">
        <v>60.44</v>
      </c>
      <c r="X284" s="369">
        <v>60.620000000000005</v>
      </c>
      <c r="Y284" s="367">
        <v>28.3</v>
      </c>
      <c r="Z284" s="636">
        <v>35.9</v>
      </c>
      <c r="AA284" s="636">
        <v>28.3</v>
      </c>
      <c r="AB284" s="636">
        <v>35.909999999999997</v>
      </c>
      <c r="AC284" s="1160">
        <f t="shared" si="80"/>
        <v>64.209999999999994</v>
      </c>
      <c r="AD284" s="1160">
        <f t="shared" si="81"/>
        <v>99.332869999999986</v>
      </c>
      <c r="AE284" s="1160">
        <f t="shared" si="82"/>
        <v>99.332869999999986</v>
      </c>
      <c r="AF284" s="723"/>
      <c r="AG284" s="1160">
        <f t="shared" si="78"/>
        <v>0</v>
      </c>
      <c r="AH284" s="656"/>
      <c r="AI284" s="656"/>
      <c r="AJ284" s="388"/>
      <c r="AK284" s="388"/>
      <c r="AL284" s="388"/>
      <c r="AM284" s="388"/>
      <c r="AN284" s="388"/>
      <c r="AO284" s="370"/>
      <c r="AP284" s="370"/>
      <c r="AQ284" s="386"/>
      <c r="AR284" s="551">
        <v>0</v>
      </c>
      <c r="AS284" s="386">
        <v>19.2</v>
      </c>
      <c r="AT284" s="386">
        <v>0</v>
      </c>
      <c r="AU284" s="386">
        <v>27.2</v>
      </c>
      <c r="AV284" s="636">
        <v>463.2</v>
      </c>
      <c r="AW284" s="636">
        <v>506.2</v>
      </c>
      <c r="AX284" s="386">
        <v>0.5</v>
      </c>
      <c r="AY284" s="551">
        <v>0</v>
      </c>
      <c r="AZ284" s="551">
        <v>0</v>
      </c>
      <c r="BA284" s="551">
        <v>0</v>
      </c>
      <c r="BB284" s="832">
        <v>0</v>
      </c>
      <c r="BC284" s="386">
        <v>0.71</v>
      </c>
      <c r="BD284" s="386">
        <v>1.78</v>
      </c>
      <c r="BE284" s="551">
        <v>0</v>
      </c>
      <c r="BF284" s="386">
        <v>0.99</v>
      </c>
      <c r="BG284" s="386">
        <v>2.4900000000000002</v>
      </c>
      <c r="BH284" s="551">
        <v>0</v>
      </c>
      <c r="BI284" s="386">
        <v>1.47</v>
      </c>
      <c r="BJ284" s="386">
        <v>28.5</v>
      </c>
      <c r="BK284" s="386">
        <v>3.56</v>
      </c>
      <c r="BL284" s="386">
        <v>3.47</v>
      </c>
      <c r="BM284" s="386">
        <v>0</v>
      </c>
      <c r="BN284" s="386">
        <v>21.6</v>
      </c>
      <c r="BO284" s="386">
        <v>1521.4</v>
      </c>
      <c r="BP284" s="386">
        <v>22.3</v>
      </c>
      <c r="BQ284" s="615">
        <v>22.01</v>
      </c>
      <c r="BR284" s="615">
        <v>22.72</v>
      </c>
      <c r="BS284" s="615">
        <v>13.09</v>
      </c>
      <c r="BT284" s="615">
        <v>13.21</v>
      </c>
      <c r="BU284" s="614">
        <v>26.9</v>
      </c>
      <c r="BV284" s="614">
        <v>33.1</v>
      </c>
      <c r="BW284" s="615">
        <v>631.9</v>
      </c>
      <c r="BX284" s="791"/>
      <c r="BY284" s="615">
        <v>0</v>
      </c>
      <c r="BZ284" s="615">
        <v>1.1499999999999999</v>
      </c>
      <c r="CA284" s="615">
        <v>1</v>
      </c>
      <c r="CB284" s="615">
        <v>8</v>
      </c>
      <c r="CC284" s="615">
        <v>8</v>
      </c>
      <c r="CD284" s="615">
        <v>16.100000000000001</v>
      </c>
      <c r="CE284" s="615">
        <v>34.1</v>
      </c>
      <c r="CF284" s="615">
        <v>19.2</v>
      </c>
      <c r="CG284" s="615">
        <v>8.4</v>
      </c>
      <c r="CH284" s="615">
        <v>14</v>
      </c>
      <c r="CI284" s="615">
        <v>18.399999999999999</v>
      </c>
      <c r="CJ284" s="615">
        <v>13.25</v>
      </c>
      <c r="CK284" s="615">
        <v>531.5</v>
      </c>
      <c r="CL284" s="615">
        <v>3</v>
      </c>
      <c r="CM284" s="615">
        <v>4.5</v>
      </c>
      <c r="CN284" s="615">
        <v>305.2</v>
      </c>
      <c r="CO284" s="615">
        <v>531.6</v>
      </c>
      <c r="CP284" s="615">
        <v>0</v>
      </c>
      <c r="CQ284" s="615">
        <v>13</v>
      </c>
      <c r="CR284" s="615">
        <v>0.84</v>
      </c>
      <c r="CS284" s="386">
        <v>0</v>
      </c>
      <c r="CT284" s="386">
        <v>16.036999999999999</v>
      </c>
      <c r="CU284" s="386">
        <v>60</v>
      </c>
      <c r="CV284" s="499">
        <v>0</v>
      </c>
      <c r="CW284" s="499">
        <v>0</v>
      </c>
      <c r="CX284" s="499">
        <v>0</v>
      </c>
      <c r="CY284" s="499">
        <v>0</v>
      </c>
      <c r="CZ284" s="608">
        <v>459</v>
      </c>
      <c r="DA284" s="608">
        <v>524</v>
      </c>
      <c r="DB284" s="608">
        <v>348</v>
      </c>
      <c r="DC284" s="966">
        <v>1130.51</v>
      </c>
      <c r="DD284" s="1153">
        <f t="shared" si="83"/>
        <v>-0.95000000000004547</v>
      </c>
      <c r="DE284" s="1154">
        <f t="shared" si="84"/>
        <v>0</v>
      </c>
      <c r="DF284" s="1154">
        <f t="shared" si="85"/>
        <v>238</v>
      </c>
      <c r="DG284" s="1154">
        <f t="shared" si="86"/>
        <v>274</v>
      </c>
      <c r="DH284" s="1155" t="str">
        <f t="shared" si="87"/>
        <v>Palm</v>
      </c>
      <c r="DI284" s="1146">
        <f t="shared" si="88"/>
        <v>176</v>
      </c>
      <c r="DJ284" s="1146">
        <f t="shared" si="89"/>
        <v>0</v>
      </c>
      <c r="DK284" s="1154">
        <f t="shared" si="90"/>
        <v>0</v>
      </c>
      <c r="DL284" s="615"/>
      <c r="DM284" s="615"/>
      <c r="DN284" s="615"/>
      <c r="DO284" s="499"/>
      <c r="DP284" s="499"/>
      <c r="DQ284" s="499"/>
      <c r="DR284" s="499"/>
      <c r="DS284" s="499"/>
      <c r="DT284" s="499"/>
      <c r="DU284" s="499"/>
      <c r="DV284" s="499"/>
      <c r="DW284" s="499"/>
      <c r="DX284" s="499"/>
      <c r="DY284" s="630"/>
      <c r="DZ284" s="499"/>
      <c r="EA284" s="499"/>
      <c r="EB284" s="499"/>
      <c r="EC284" s="499"/>
      <c r="ED284" s="499"/>
      <c r="EE284" s="499"/>
      <c r="EF284" s="499"/>
      <c r="EG284" s="1147">
        <f t="shared" si="77"/>
        <v>14.5</v>
      </c>
      <c r="EH284" s="499">
        <v>0</v>
      </c>
      <c r="EI284" s="615">
        <v>4</v>
      </c>
      <c r="EJ284" s="615">
        <v>3.5</v>
      </c>
      <c r="EK284" s="615">
        <v>7</v>
      </c>
      <c r="EL284" s="499"/>
      <c r="EM284" s="499"/>
      <c r="EN284" s="499"/>
      <c r="EO284" s="499"/>
      <c r="EP284" s="499"/>
      <c r="EQ284" s="499"/>
      <c r="ER284" s="499"/>
      <c r="ES284" s="388"/>
      <c r="ET284" s="388"/>
      <c r="EU284" s="370"/>
      <c r="EV284" s="1167">
        <f t="shared" si="79"/>
        <v>22.4315</v>
      </c>
      <c r="EW284" s="370"/>
      <c r="EX284" s="370"/>
    </row>
    <row r="285" spans="1:154" s="350" customFormat="1" ht="16.2" x14ac:dyDescent="0.35">
      <c r="A285" s="632" t="s">
        <v>5</v>
      </c>
      <c r="B285" s="662">
        <v>43011</v>
      </c>
      <c r="C285" s="1132" t="s">
        <v>904</v>
      </c>
      <c r="D285" s="386">
        <v>0</v>
      </c>
      <c r="E285" s="636">
        <v>0</v>
      </c>
      <c r="F285" s="636">
        <v>47</v>
      </c>
      <c r="G285" s="636">
        <v>0.7</v>
      </c>
      <c r="H285" s="386">
        <v>1.63</v>
      </c>
      <c r="I285" s="386">
        <v>19.7</v>
      </c>
      <c r="J285" s="386">
        <v>0</v>
      </c>
      <c r="K285" s="386">
        <v>1.1399999999999999</v>
      </c>
      <c r="L285" s="610">
        <v>0</v>
      </c>
      <c r="M285" s="386">
        <v>15.6</v>
      </c>
      <c r="N285" s="386">
        <v>1.39</v>
      </c>
      <c r="O285" s="386">
        <v>1.6318290882240603</v>
      </c>
      <c r="P285" s="386">
        <v>1.26</v>
      </c>
      <c r="Q285" s="386">
        <v>0.69219102244189845</v>
      </c>
      <c r="R285" s="732">
        <v>1060.0770348837209</v>
      </c>
      <c r="S285" s="386">
        <v>8.16</v>
      </c>
      <c r="T285" s="386">
        <v>8.2200000000000006</v>
      </c>
      <c r="U285" s="386">
        <v>0.82</v>
      </c>
      <c r="V285" s="387">
        <v>0.84</v>
      </c>
      <c r="W285" s="783">
        <v>59.360000000000014</v>
      </c>
      <c r="X285" s="369">
        <v>59.539999999999992</v>
      </c>
      <c r="Y285" s="367">
        <v>28.3</v>
      </c>
      <c r="Z285" s="636">
        <v>35.909999999999997</v>
      </c>
      <c r="AA285" s="636">
        <v>28.27</v>
      </c>
      <c r="AB285" s="636">
        <v>35.99</v>
      </c>
      <c r="AC285" s="1160">
        <f t="shared" si="80"/>
        <v>64.260000000000005</v>
      </c>
      <c r="AD285" s="1160">
        <f t="shared" si="81"/>
        <v>99.41022000000001</v>
      </c>
      <c r="AE285" s="1160">
        <f t="shared" si="82"/>
        <v>99.41022000000001</v>
      </c>
      <c r="AF285" s="723"/>
      <c r="AG285" s="1160">
        <f t="shared" si="78"/>
        <v>0</v>
      </c>
      <c r="AH285" s="656"/>
      <c r="AI285" s="656"/>
      <c r="AJ285" s="388"/>
      <c r="AK285" s="388"/>
      <c r="AL285" s="388"/>
      <c r="AM285" s="388"/>
      <c r="AN285" s="388"/>
      <c r="AO285" s="370"/>
      <c r="AP285" s="370"/>
      <c r="AQ285" s="386"/>
      <c r="AR285" s="551">
        <v>0</v>
      </c>
      <c r="AS285" s="386">
        <v>23.5</v>
      </c>
      <c r="AT285" s="386">
        <v>0</v>
      </c>
      <c r="AU285" s="386">
        <v>27.1</v>
      </c>
      <c r="AV285" s="636">
        <v>560.5</v>
      </c>
      <c r="AW285" s="636">
        <v>369.1</v>
      </c>
      <c r="AX285" s="386">
        <v>0</v>
      </c>
      <c r="AY285" s="551">
        <v>0</v>
      </c>
      <c r="AZ285" s="551">
        <v>0</v>
      </c>
      <c r="BA285" s="551">
        <v>0</v>
      </c>
      <c r="BB285" s="832">
        <v>0</v>
      </c>
      <c r="BC285" s="386">
        <v>0.72</v>
      </c>
      <c r="BD285" s="386">
        <v>1.78</v>
      </c>
      <c r="BE285" s="551">
        <v>0</v>
      </c>
      <c r="BF285" s="386">
        <v>0.99</v>
      </c>
      <c r="BG285" s="386">
        <v>2.4900000000000002</v>
      </c>
      <c r="BH285" s="551">
        <v>0</v>
      </c>
      <c r="BI285" s="386">
        <v>1.47</v>
      </c>
      <c r="BJ285" s="386">
        <v>28.5</v>
      </c>
      <c r="BK285" s="386">
        <v>3.17</v>
      </c>
      <c r="BL285" s="386">
        <v>3.89</v>
      </c>
      <c r="BM285" s="386">
        <v>0</v>
      </c>
      <c r="BN285" s="386">
        <v>21.6</v>
      </c>
      <c r="BO285" s="386">
        <v>1468</v>
      </c>
      <c r="BP285" s="386">
        <v>2.2999999999999998</v>
      </c>
      <c r="BQ285" s="615">
        <v>21.44</v>
      </c>
      <c r="BR285" s="615">
        <v>22.18</v>
      </c>
      <c r="BS285" s="615">
        <v>12.98</v>
      </c>
      <c r="BT285" s="615">
        <v>13.11</v>
      </c>
      <c r="BU285" s="614">
        <v>26.6</v>
      </c>
      <c r="BV285" s="614">
        <v>33.4</v>
      </c>
      <c r="BW285" s="615">
        <v>851.9</v>
      </c>
      <c r="BX285" s="791"/>
      <c r="BY285" s="615">
        <v>0</v>
      </c>
      <c r="BZ285" s="615">
        <v>1.31</v>
      </c>
      <c r="CA285" s="615">
        <v>1</v>
      </c>
      <c r="CB285" s="615">
        <v>8.1</v>
      </c>
      <c r="CC285" s="615">
        <v>8</v>
      </c>
      <c r="CD285" s="615">
        <v>15</v>
      </c>
      <c r="CE285" s="615">
        <v>34.200000000000003</v>
      </c>
      <c r="CF285" s="615">
        <v>19.7</v>
      </c>
      <c r="CG285" s="615">
        <v>9.01</v>
      </c>
      <c r="CH285" s="615">
        <v>14.77</v>
      </c>
      <c r="CI285" s="615">
        <v>19.2</v>
      </c>
      <c r="CJ285" s="615">
        <v>12.52</v>
      </c>
      <c r="CK285" s="615">
        <v>500.7</v>
      </c>
      <c r="CL285" s="615">
        <v>3</v>
      </c>
      <c r="CM285" s="615">
        <v>5.4</v>
      </c>
      <c r="CN285" s="615">
        <v>311.2</v>
      </c>
      <c r="CO285" s="615">
        <v>534.9</v>
      </c>
      <c r="CP285" s="615">
        <v>0</v>
      </c>
      <c r="CQ285" s="615">
        <v>12.9</v>
      </c>
      <c r="CR285" s="615">
        <v>0.85</v>
      </c>
      <c r="CS285" s="386">
        <v>0</v>
      </c>
      <c r="CT285" s="386">
        <v>16.908999999999999</v>
      </c>
      <c r="CU285" s="386">
        <v>60</v>
      </c>
      <c r="CV285" s="499">
        <v>0</v>
      </c>
      <c r="CW285" s="499">
        <v>0</v>
      </c>
      <c r="CX285" s="499">
        <v>0</v>
      </c>
      <c r="CY285" s="499">
        <v>0</v>
      </c>
      <c r="CZ285" s="608">
        <v>469</v>
      </c>
      <c r="DA285" s="608">
        <v>519</v>
      </c>
      <c r="DB285" s="608">
        <v>361</v>
      </c>
      <c r="DC285" s="966">
        <v>1129.4100000000001</v>
      </c>
      <c r="DD285" s="1153">
        <f t="shared" si="83"/>
        <v>-1.0999999999999091</v>
      </c>
      <c r="DE285" s="1154">
        <f t="shared" si="84"/>
        <v>0</v>
      </c>
      <c r="DF285" s="1154">
        <f t="shared" si="85"/>
        <v>251</v>
      </c>
      <c r="DG285" s="1154">
        <f t="shared" si="86"/>
        <v>269</v>
      </c>
      <c r="DH285" s="1155" t="str">
        <f t="shared" si="87"/>
        <v>Palm</v>
      </c>
      <c r="DI285" s="1146">
        <f t="shared" si="88"/>
        <v>158</v>
      </c>
      <c r="DJ285" s="1146">
        <f t="shared" si="89"/>
        <v>0</v>
      </c>
      <c r="DK285" s="1154">
        <f t="shared" si="90"/>
        <v>0</v>
      </c>
      <c r="DL285" s="615"/>
      <c r="DM285" s="615"/>
      <c r="DN285" s="615"/>
      <c r="DO285" s="499"/>
      <c r="DP285" s="499"/>
      <c r="DQ285" s="499"/>
      <c r="DR285" s="499"/>
      <c r="DS285" s="499"/>
      <c r="DT285" s="499"/>
      <c r="DU285" s="499"/>
      <c r="DV285" s="499"/>
      <c r="DW285" s="499"/>
      <c r="DX285" s="499"/>
      <c r="DY285" s="630"/>
      <c r="DZ285" s="499"/>
      <c r="EA285" s="499"/>
      <c r="EB285" s="499"/>
      <c r="EC285" s="499"/>
      <c r="ED285" s="499"/>
      <c r="EE285" s="499"/>
      <c r="EF285" s="499"/>
      <c r="EG285" s="1147">
        <f t="shared" si="77"/>
        <v>14.5</v>
      </c>
      <c r="EH285" s="499">
        <v>0</v>
      </c>
      <c r="EI285" s="615">
        <v>4</v>
      </c>
      <c r="EJ285" s="615">
        <v>3.5</v>
      </c>
      <c r="EK285" s="615">
        <v>7</v>
      </c>
      <c r="EL285" s="499"/>
      <c r="EM285" s="499"/>
      <c r="EN285" s="499"/>
      <c r="EO285" s="499"/>
      <c r="EP285" s="499"/>
      <c r="EQ285" s="499"/>
      <c r="ER285" s="499"/>
      <c r="ES285" s="388"/>
      <c r="ET285" s="388"/>
      <c r="EU285" s="370"/>
      <c r="EV285" s="1167">
        <f t="shared" si="79"/>
        <v>22.4315</v>
      </c>
      <c r="EW285" s="370"/>
      <c r="EX285" s="370"/>
    </row>
    <row r="286" spans="1:154" s="350" customFormat="1" ht="16.2" x14ac:dyDescent="0.35">
      <c r="A286" s="632" t="s">
        <v>6</v>
      </c>
      <c r="B286" s="662">
        <v>43012</v>
      </c>
      <c r="C286" s="1132" t="s">
        <v>904</v>
      </c>
      <c r="D286" s="386">
        <v>0</v>
      </c>
      <c r="E286" s="636">
        <v>0</v>
      </c>
      <c r="F286" s="636">
        <v>49</v>
      </c>
      <c r="G286" s="636">
        <v>0.7</v>
      </c>
      <c r="H286" s="386">
        <v>1.55</v>
      </c>
      <c r="I286" s="386">
        <v>19.100000000000001</v>
      </c>
      <c r="J286" s="386">
        <v>0</v>
      </c>
      <c r="K286" s="386">
        <v>0.93</v>
      </c>
      <c r="L286" s="610">
        <v>0</v>
      </c>
      <c r="M286" s="386">
        <v>15.5</v>
      </c>
      <c r="N286" s="386">
        <v>1.34</v>
      </c>
      <c r="O286" s="386">
        <v>1.6216777408645369</v>
      </c>
      <c r="P286" s="386">
        <v>1.28</v>
      </c>
      <c r="Q286" s="386">
        <v>0.69135980845476841</v>
      </c>
      <c r="R286" s="732">
        <v>1055.0766715116279</v>
      </c>
      <c r="S286" s="386">
        <v>8.18</v>
      </c>
      <c r="T286" s="386">
        <v>8.25</v>
      </c>
      <c r="U286" s="386">
        <v>0.82</v>
      </c>
      <c r="V286" s="784">
        <v>0.87</v>
      </c>
      <c r="W286" s="783">
        <v>58.819999999999993</v>
      </c>
      <c r="X286" s="369">
        <v>58.819999999999993</v>
      </c>
      <c r="Y286" s="367">
        <v>28.27</v>
      </c>
      <c r="Z286" s="636">
        <v>35.99</v>
      </c>
      <c r="AA286" s="636">
        <v>28.23</v>
      </c>
      <c r="AB286" s="636">
        <v>35.869999999999997</v>
      </c>
      <c r="AC286" s="1160">
        <f t="shared" si="80"/>
        <v>64.099999999999994</v>
      </c>
      <c r="AD286" s="1160">
        <f t="shared" si="81"/>
        <v>99.162699999999987</v>
      </c>
      <c r="AE286" s="1160">
        <f t="shared" si="82"/>
        <v>99.162699999999987</v>
      </c>
      <c r="AF286" s="723"/>
      <c r="AG286" s="1160">
        <f t="shared" si="78"/>
        <v>0</v>
      </c>
      <c r="AH286" s="656"/>
      <c r="AI286" s="656"/>
      <c r="AJ286" s="632"/>
      <c r="AK286" s="388"/>
      <c r="AL286" s="388"/>
      <c r="AM286" s="388"/>
      <c r="AN286" s="388"/>
      <c r="AO286" s="370"/>
      <c r="AP286" s="370"/>
      <c r="AQ286" s="386"/>
      <c r="AR286" s="551">
        <v>0</v>
      </c>
      <c r="AS286" s="386">
        <v>23.4</v>
      </c>
      <c r="AT286" s="386">
        <v>0</v>
      </c>
      <c r="AU286" s="386">
        <v>27.1</v>
      </c>
      <c r="AV286" s="636">
        <v>904.2</v>
      </c>
      <c r="AW286" s="636">
        <v>475.5</v>
      </c>
      <c r="AX286" s="386">
        <v>0</v>
      </c>
      <c r="AY286" s="551">
        <v>0</v>
      </c>
      <c r="AZ286" s="551">
        <v>0</v>
      </c>
      <c r="BA286" s="551">
        <v>0</v>
      </c>
      <c r="BB286" s="832">
        <v>0</v>
      </c>
      <c r="BC286" s="386">
        <v>0.72</v>
      </c>
      <c r="BD286" s="386">
        <v>1.78</v>
      </c>
      <c r="BE286" s="551">
        <v>0</v>
      </c>
      <c r="BF286" s="386">
        <v>0.99</v>
      </c>
      <c r="BG286" s="386">
        <v>2.56</v>
      </c>
      <c r="BH286" s="551">
        <v>0</v>
      </c>
      <c r="BI286" s="386">
        <v>1.37</v>
      </c>
      <c r="BJ286" s="386">
        <v>28.6</v>
      </c>
      <c r="BK286" s="386">
        <v>3.49</v>
      </c>
      <c r="BL286" s="386">
        <v>3.54</v>
      </c>
      <c r="BM286" s="386">
        <v>0</v>
      </c>
      <c r="BN286" s="386">
        <v>21.6</v>
      </c>
      <c r="BO286" s="386">
        <v>1080.7</v>
      </c>
      <c r="BP286" s="386">
        <v>2.2000000000000002</v>
      </c>
      <c r="BQ286" s="615">
        <v>20.23</v>
      </c>
      <c r="BR286" s="615">
        <v>20.96</v>
      </c>
      <c r="BS286" s="615">
        <v>12.82</v>
      </c>
      <c r="BT286" s="615">
        <v>12.94</v>
      </c>
      <c r="BU286" s="614">
        <v>26.3</v>
      </c>
      <c r="BV286" s="614">
        <v>35</v>
      </c>
      <c r="BW286" s="615">
        <v>883.3</v>
      </c>
      <c r="BX286" s="791"/>
      <c r="BY286" s="615">
        <v>0</v>
      </c>
      <c r="BZ286" s="615">
        <v>1.31</v>
      </c>
      <c r="CA286" s="615">
        <v>1.1000000000000001</v>
      </c>
      <c r="CB286" s="615">
        <v>8</v>
      </c>
      <c r="CC286" s="615">
        <v>8</v>
      </c>
      <c r="CD286" s="615">
        <v>15.7</v>
      </c>
      <c r="CE286" s="615">
        <v>34.4</v>
      </c>
      <c r="CF286" s="615">
        <v>19.5</v>
      </c>
      <c r="CG286" s="615">
        <v>7.5</v>
      </c>
      <c r="CH286" s="615">
        <v>13</v>
      </c>
      <c r="CI286" s="615">
        <v>17.399999999999999</v>
      </c>
      <c r="CJ286" s="615">
        <v>12.64</v>
      </c>
      <c r="CK286" s="615">
        <v>524.6</v>
      </c>
      <c r="CL286" s="615">
        <v>3.5</v>
      </c>
      <c r="CM286" s="615">
        <v>5.7</v>
      </c>
      <c r="CN286" s="615">
        <v>348</v>
      </c>
      <c r="CO286" s="615">
        <v>543.70000000000005</v>
      </c>
      <c r="CP286" s="615">
        <v>0</v>
      </c>
      <c r="CQ286" s="615">
        <v>13</v>
      </c>
      <c r="CR286" s="615">
        <v>0.9</v>
      </c>
      <c r="CS286" s="386">
        <v>0</v>
      </c>
      <c r="CT286" s="386">
        <v>17.148</v>
      </c>
      <c r="CU286" s="609">
        <v>60</v>
      </c>
      <c r="CV286" s="499">
        <v>0</v>
      </c>
      <c r="CW286" s="499">
        <v>0</v>
      </c>
      <c r="CX286" s="499">
        <v>0</v>
      </c>
      <c r="CY286" s="499">
        <v>0</v>
      </c>
      <c r="CZ286" s="608">
        <v>473</v>
      </c>
      <c r="DA286" s="608">
        <v>529</v>
      </c>
      <c r="DB286" s="608">
        <v>356</v>
      </c>
      <c r="DC286" s="966">
        <v>1128.21</v>
      </c>
      <c r="DD286" s="1153">
        <f t="shared" si="83"/>
        <v>-1.2000000000000455</v>
      </c>
      <c r="DE286" s="1154">
        <f t="shared" si="84"/>
        <v>0</v>
      </c>
      <c r="DF286" s="1154">
        <f t="shared" si="85"/>
        <v>246</v>
      </c>
      <c r="DG286" s="1154">
        <f t="shared" si="86"/>
        <v>279</v>
      </c>
      <c r="DH286" s="1155" t="str">
        <f t="shared" si="87"/>
        <v>Palm</v>
      </c>
      <c r="DI286" s="1146">
        <f t="shared" si="88"/>
        <v>173</v>
      </c>
      <c r="DJ286" s="1146">
        <f t="shared" si="89"/>
        <v>0</v>
      </c>
      <c r="DK286" s="1154">
        <f t="shared" si="90"/>
        <v>0</v>
      </c>
      <c r="DL286" s="615"/>
      <c r="DM286" s="615"/>
      <c r="DN286" s="615"/>
      <c r="DO286" s="499"/>
      <c r="DP286" s="499"/>
      <c r="DQ286" s="499"/>
      <c r="DR286" s="499"/>
      <c r="DS286" s="499"/>
      <c r="DT286" s="499"/>
      <c r="DU286" s="499"/>
      <c r="DV286" s="499"/>
      <c r="DW286" s="499"/>
      <c r="DX286" s="499"/>
      <c r="DY286" s="630"/>
      <c r="DZ286" s="499"/>
      <c r="EA286" s="499"/>
      <c r="EB286" s="499"/>
      <c r="EC286" s="499"/>
      <c r="ED286" s="499"/>
      <c r="EE286" s="499"/>
      <c r="EF286" s="499"/>
      <c r="EG286" s="1147">
        <f t="shared" si="77"/>
        <v>14.5</v>
      </c>
      <c r="EH286" s="499">
        <v>2</v>
      </c>
      <c r="EI286" s="615">
        <v>2</v>
      </c>
      <c r="EJ286" s="615">
        <v>3.5</v>
      </c>
      <c r="EK286" s="615">
        <v>7</v>
      </c>
      <c r="EL286" s="499"/>
      <c r="EM286" s="499"/>
      <c r="EN286" s="499"/>
      <c r="EO286" s="499"/>
      <c r="EP286" s="499"/>
      <c r="EQ286" s="499"/>
      <c r="ER286" s="499"/>
      <c r="ES286" s="388"/>
      <c r="ET286" s="388"/>
      <c r="EU286" s="370"/>
      <c r="EV286" s="1167">
        <f t="shared" si="79"/>
        <v>22.4315</v>
      </c>
      <c r="EW286" s="370"/>
      <c r="EX286" s="370"/>
    </row>
    <row r="287" spans="1:154" s="350" customFormat="1" ht="15" x14ac:dyDescent="0.25">
      <c r="A287" s="632" t="s">
        <v>7</v>
      </c>
      <c r="B287" s="662">
        <v>43013</v>
      </c>
      <c r="C287" s="1132" t="s">
        <v>904</v>
      </c>
      <c r="D287" s="386">
        <v>0</v>
      </c>
      <c r="E287" s="636">
        <v>0</v>
      </c>
      <c r="F287" s="636">
        <v>48</v>
      </c>
      <c r="G287" s="636">
        <v>0.7</v>
      </c>
      <c r="H287" s="386">
        <v>1.55</v>
      </c>
      <c r="I287" s="386">
        <v>18.2</v>
      </c>
      <c r="J287" s="386">
        <v>0</v>
      </c>
      <c r="K287" s="386">
        <v>0.93</v>
      </c>
      <c r="L287" s="610">
        <v>0</v>
      </c>
      <c r="M287" s="386">
        <v>15.2</v>
      </c>
      <c r="N287" s="386">
        <v>1.31</v>
      </c>
      <c r="O287" s="386">
        <v>1.7508661040056268</v>
      </c>
      <c r="P287" s="386">
        <v>1.3</v>
      </c>
      <c r="Q287" s="386">
        <v>0.68826926027486246</v>
      </c>
      <c r="R287" s="732">
        <v>1124.0816860465118</v>
      </c>
      <c r="S287" s="386">
        <v>8.24</v>
      </c>
      <c r="T287" s="386">
        <v>8.25</v>
      </c>
      <c r="U287" s="386">
        <v>0.82</v>
      </c>
      <c r="V287" s="387">
        <v>0.88</v>
      </c>
      <c r="W287" s="783">
        <v>58.819999999999993</v>
      </c>
      <c r="X287" s="369">
        <v>59</v>
      </c>
      <c r="Y287" s="367">
        <v>28.23</v>
      </c>
      <c r="Z287" s="636">
        <v>35.869999999999997</v>
      </c>
      <c r="AA287" s="636">
        <v>28.3</v>
      </c>
      <c r="AB287" s="636">
        <v>35.93</v>
      </c>
      <c r="AC287" s="1160">
        <f t="shared" si="80"/>
        <v>64.23</v>
      </c>
      <c r="AD287" s="1160">
        <f t="shared" si="81"/>
        <v>99.363810000000001</v>
      </c>
      <c r="AE287" s="1160">
        <f t="shared" si="82"/>
        <v>99.363810000000001</v>
      </c>
      <c r="AF287" s="723"/>
      <c r="AG287" s="1160">
        <f t="shared" si="78"/>
        <v>0</v>
      </c>
      <c r="AH287" s="656"/>
      <c r="AI287" s="656"/>
      <c r="AJ287" s="388"/>
      <c r="AK287" s="388"/>
      <c r="AL287" s="388"/>
      <c r="AM287" s="388"/>
      <c r="AN287" s="388"/>
      <c r="AO287" s="949"/>
      <c r="AP287" s="370"/>
      <c r="AQ287" s="386"/>
      <c r="AR287" s="551">
        <v>0</v>
      </c>
      <c r="AS287" s="386">
        <v>24.5</v>
      </c>
      <c r="AT287" s="386">
        <v>0</v>
      </c>
      <c r="AU287" s="386">
        <v>27.1</v>
      </c>
      <c r="AV287" s="636">
        <v>318.8</v>
      </c>
      <c r="AW287" s="636">
        <v>243.4</v>
      </c>
      <c r="AX287" s="386">
        <v>0</v>
      </c>
      <c r="AY287" s="551">
        <v>0</v>
      </c>
      <c r="AZ287" s="551">
        <v>0</v>
      </c>
      <c r="BA287" s="551">
        <v>0</v>
      </c>
      <c r="BB287" s="832">
        <v>0</v>
      </c>
      <c r="BC287" s="386">
        <v>0.72</v>
      </c>
      <c r="BD287" s="386">
        <v>1.78</v>
      </c>
      <c r="BE287" s="551">
        <v>0</v>
      </c>
      <c r="BF287" s="386">
        <v>0.99</v>
      </c>
      <c r="BG287" s="386">
        <v>2.59</v>
      </c>
      <c r="BH287" s="551">
        <v>0</v>
      </c>
      <c r="BI287" s="386">
        <v>1.33</v>
      </c>
      <c r="BJ287" s="386">
        <v>28.6</v>
      </c>
      <c r="BK287" s="386">
        <v>3.3</v>
      </c>
      <c r="BL287" s="386">
        <v>3.64</v>
      </c>
      <c r="BM287" s="386">
        <v>0</v>
      </c>
      <c r="BN287" s="386">
        <v>21.7</v>
      </c>
      <c r="BO287" s="386">
        <v>1162</v>
      </c>
      <c r="BP287" s="386">
        <v>2.1</v>
      </c>
      <c r="BQ287" s="615">
        <v>19.38</v>
      </c>
      <c r="BR287" s="615">
        <v>20.14</v>
      </c>
      <c r="BS287" s="615">
        <v>13.27</v>
      </c>
      <c r="BT287" s="615">
        <v>13.39</v>
      </c>
      <c r="BU287" s="614">
        <v>27.2</v>
      </c>
      <c r="BV287" s="614">
        <v>34.799999999999997</v>
      </c>
      <c r="BW287" s="615">
        <v>882.1</v>
      </c>
      <c r="BX287" s="791"/>
      <c r="BY287" s="615">
        <v>0</v>
      </c>
      <c r="BZ287" s="615">
        <v>1.28</v>
      </c>
      <c r="CA287" s="615">
        <v>1.1000000000000001</v>
      </c>
      <c r="CB287" s="615">
        <v>8.1</v>
      </c>
      <c r="CC287" s="615">
        <v>8</v>
      </c>
      <c r="CD287" s="615">
        <v>16.5</v>
      </c>
      <c r="CE287" s="615">
        <v>34.5</v>
      </c>
      <c r="CF287" s="615">
        <v>18.5</v>
      </c>
      <c r="CG287" s="615">
        <v>6.7</v>
      </c>
      <c r="CH287" s="615">
        <v>12.1</v>
      </c>
      <c r="CI287" s="615">
        <v>16.100000000000001</v>
      </c>
      <c r="CJ287" s="615">
        <v>13.45</v>
      </c>
      <c r="CK287" s="615">
        <v>529.79999999999995</v>
      </c>
      <c r="CL287" s="615">
        <v>3.6</v>
      </c>
      <c r="CM287" s="615">
        <v>5.2</v>
      </c>
      <c r="CN287" s="615">
        <v>303.60000000000002</v>
      </c>
      <c r="CO287" s="615">
        <v>536.5</v>
      </c>
      <c r="CP287" s="615">
        <v>0</v>
      </c>
      <c r="CQ287" s="615">
        <v>12.8</v>
      </c>
      <c r="CR287" s="615">
        <v>0.86</v>
      </c>
      <c r="CS287" s="386">
        <v>0</v>
      </c>
      <c r="CT287" s="386">
        <v>16.492999999999999</v>
      </c>
      <c r="CU287" s="609">
        <v>60</v>
      </c>
      <c r="CV287" s="499">
        <v>0</v>
      </c>
      <c r="CW287" s="499">
        <v>0</v>
      </c>
      <c r="CX287" s="499">
        <v>0</v>
      </c>
      <c r="CY287" s="499">
        <v>0</v>
      </c>
      <c r="CZ287" s="608">
        <v>469</v>
      </c>
      <c r="DA287" s="608">
        <v>529</v>
      </c>
      <c r="DB287" s="608">
        <v>359</v>
      </c>
      <c r="DC287" s="609">
        <v>1126.95</v>
      </c>
      <c r="DD287" s="1153">
        <f t="shared" si="83"/>
        <v>-1.2599999999999909</v>
      </c>
      <c r="DE287" s="1154">
        <f t="shared" si="84"/>
        <v>0</v>
      </c>
      <c r="DF287" s="1154">
        <f t="shared" si="85"/>
        <v>249</v>
      </c>
      <c r="DG287" s="1154">
        <f t="shared" si="86"/>
        <v>279</v>
      </c>
      <c r="DH287" s="1155" t="str">
        <f t="shared" si="87"/>
        <v>Palm</v>
      </c>
      <c r="DI287" s="1146">
        <f t="shared" si="88"/>
        <v>170</v>
      </c>
      <c r="DJ287" s="1146">
        <f t="shared" si="89"/>
        <v>0</v>
      </c>
      <c r="DK287" s="1154">
        <f t="shared" si="90"/>
        <v>0</v>
      </c>
      <c r="DL287" s="615"/>
      <c r="DM287" s="615"/>
      <c r="DN287" s="615"/>
      <c r="DO287" s="499"/>
      <c r="DP287" s="499"/>
      <c r="DQ287" s="499"/>
      <c r="DR287" s="499"/>
      <c r="DS287" s="499"/>
      <c r="DT287" s="499"/>
      <c r="DU287" s="499"/>
      <c r="DV287" s="499"/>
      <c r="DW287" s="499"/>
      <c r="DX287" s="499"/>
      <c r="DY287" s="630"/>
      <c r="DZ287" s="499"/>
      <c r="EA287" s="499"/>
      <c r="EB287" s="499"/>
      <c r="EC287" s="499"/>
      <c r="ED287" s="499"/>
      <c r="EE287" s="499"/>
      <c r="EF287" s="499"/>
      <c r="EG287" s="1147">
        <f t="shared" si="77"/>
        <v>14.5</v>
      </c>
      <c r="EH287" s="499">
        <v>0</v>
      </c>
      <c r="EI287" s="615">
        <v>4</v>
      </c>
      <c r="EJ287" s="615">
        <v>3.5</v>
      </c>
      <c r="EK287" s="615">
        <v>7</v>
      </c>
      <c r="EL287" s="499"/>
      <c r="EM287" s="499"/>
      <c r="EN287" s="499"/>
      <c r="EO287" s="499"/>
      <c r="EP287" s="499"/>
      <c r="EQ287" s="499"/>
      <c r="ER287" s="499"/>
      <c r="ES287" s="388"/>
      <c r="ET287" s="388"/>
      <c r="EU287" s="370"/>
      <c r="EV287" s="1167">
        <f t="shared" si="79"/>
        <v>22.4315</v>
      </c>
      <c r="EW287" s="370"/>
      <c r="EX287" s="370"/>
    </row>
    <row r="288" spans="1:154" s="350" customFormat="1" ht="15" x14ac:dyDescent="0.25">
      <c r="A288" s="632" t="s">
        <v>8</v>
      </c>
      <c r="B288" s="662">
        <v>43014</v>
      </c>
      <c r="C288" s="1132" t="s">
        <v>904</v>
      </c>
      <c r="D288" s="386">
        <v>0.02</v>
      </c>
      <c r="E288" s="636">
        <v>0</v>
      </c>
      <c r="F288" s="636">
        <v>52</v>
      </c>
      <c r="G288" s="636">
        <v>0.7</v>
      </c>
      <c r="H288" s="386">
        <v>1.55</v>
      </c>
      <c r="I288" s="386">
        <v>19.7</v>
      </c>
      <c r="J288" s="386">
        <v>0</v>
      </c>
      <c r="K288" s="386">
        <v>0.95</v>
      </c>
      <c r="L288" s="610">
        <v>0</v>
      </c>
      <c r="M288" s="386">
        <v>15.2</v>
      </c>
      <c r="N288" s="386">
        <v>1.33</v>
      </c>
      <c r="O288" s="386">
        <v>1.575996677741228</v>
      </c>
      <c r="P288" s="386">
        <v>1.25</v>
      </c>
      <c r="Q288" s="386">
        <v>0.69788338282440054</v>
      </c>
      <c r="R288" s="732">
        <v>1032.4083575581396</v>
      </c>
      <c r="S288" s="386">
        <v>8.1999999999999993</v>
      </c>
      <c r="T288" s="386">
        <v>8.1999999999999993</v>
      </c>
      <c r="U288" s="386">
        <v>0.81</v>
      </c>
      <c r="V288" s="387">
        <v>0.9</v>
      </c>
      <c r="W288" s="783">
        <v>58.64</v>
      </c>
      <c r="X288" s="369">
        <v>58.819999999999993</v>
      </c>
      <c r="Y288" s="367">
        <v>28.3</v>
      </c>
      <c r="Z288" s="636">
        <v>35.93</v>
      </c>
      <c r="AA288" s="636">
        <v>28.3</v>
      </c>
      <c r="AB288" s="636">
        <v>35.9</v>
      </c>
      <c r="AC288" s="1160">
        <f t="shared" si="80"/>
        <v>64.2</v>
      </c>
      <c r="AD288" s="1160">
        <f t="shared" si="81"/>
        <v>99.317400000000006</v>
      </c>
      <c r="AE288" s="1160">
        <f t="shared" si="82"/>
        <v>99.317400000000006</v>
      </c>
      <c r="AF288" s="723"/>
      <c r="AG288" s="1160">
        <f t="shared" si="78"/>
        <v>0</v>
      </c>
      <c r="AH288" s="656"/>
      <c r="AI288" s="656"/>
      <c r="AJ288" s="388"/>
      <c r="AK288" s="388"/>
      <c r="AL288" s="388"/>
      <c r="AM288" s="388"/>
      <c r="AN288" s="388"/>
      <c r="AO288" s="370"/>
      <c r="AP288" s="370"/>
      <c r="AQ288" s="386"/>
      <c r="AR288" s="551">
        <v>0</v>
      </c>
      <c r="AS288" s="386">
        <v>24.3</v>
      </c>
      <c r="AT288" s="386">
        <v>0</v>
      </c>
      <c r="AU288" s="386">
        <v>27.1</v>
      </c>
      <c r="AV288" s="636">
        <v>494.6</v>
      </c>
      <c r="AW288" s="636">
        <v>313.7</v>
      </c>
      <c r="AX288" s="386">
        <v>0</v>
      </c>
      <c r="AY288" s="551">
        <v>0</v>
      </c>
      <c r="AZ288" s="551">
        <v>0</v>
      </c>
      <c r="BA288" s="551">
        <v>0</v>
      </c>
      <c r="BB288" s="832">
        <v>0</v>
      </c>
      <c r="BC288" s="386">
        <v>0.57999999999999996</v>
      </c>
      <c r="BD288" s="386">
        <v>1.6</v>
      </c>
      <c r="BE288" s="551">
        <v>0</v>
      </c>
      <c r="BF288" s="386">
        <v>0.99</v>
      </c>
      <c r="BG288" s="386">
        <v>2.59</v>
      </c>
      <c r="BH288" s="551">
        <v>0</v>
      </c>
      <c r="BI288" s="386">
        <v>1.33</v>
      </c>
      <c r="BJ288" s="386">
        <v>28.6</v>
      </c>
      <c r="BK288" s="386">
        <v>3.01</v>
      </c>
      <c r="BL288" s="386">
        <v>3.55</v>
      </c>
      <c r="BM288" s="386">
        <v>0</v>
      </c>
      <c r="BN288" s="386">
        <v>22.38</v>
      </c>
      <c r="BO288" s="386">
        <v>1162</v>
      </c>
      <c r="BP288" s="386">
        <v>2.1</v>
      </c>
      <c r="BQ288" s="615">
        <v>18.88</v>
      </c>
      <c r="BR288" s="615">
        <v>19.670000000000002</v>
      </c>
      <c r="BS288" s="615">
        <v>13.11</v>
      </c>
      <c r="BT288" s="615">
        <v>13.23</v>
      </c>
      <c r="BU288" s="614">
        <v>26.9</v>
      </c>
      <c r="BV288" s="614">
        <v>33.4</v>
      </c>
      <c r="BW288" s="615">
        <v>884.8</v>
      </c>
      <c r="BX288" s="791"/>
      <c r="BY288" s="615">
        <v>0</v>
      </c>
      <c r="BZ288" s="615">
        <v>1.29</v>
      </c>
      <c r="CA288" s="615">
        <v>1.1000000000000001</v>
      </c>
      <c r="CB288" s="615">
        <v>8.1</v>
      </c>
      <c r="CC288" s="615">
        <v>8</v>
      </c>
      <c r="CD288" s="615">
        <v>16.100000000000001</v>
      </c>
      <c r="CE288" s="615">
        <v>34.5</v>
      </c>
      <c r="CF288" s="615">
        <v>19</v>
      </c>
      <c r="CG288" s="615">
        <v>7.8</v>
      </c>
      <c r="CH288" s="615">
        <v>13.5</v>
      </c>
      <c r="CI288" s="615">
        <v>17.399999999999999</v>
      </c>
      <c r="CJ288" s="615">
        <v>12.83</v>
      </c>
      <c r="CK288" s="615">
        <v>498.9</v>
      </c>
      <c r="CL288" s="615">
        <v>3.3</v>
      </c>
      <c r="CM288" s="615">
        <v>5.7</v>
      </c>
      <c r="CN288" s="615">
        <v>244.5</v>
      </c>
      <c r="CO288" s="615">
        <v>475.1</v>
      </c>
      <c r="CP288" s="615">
        <v>0</v>
      </c>
      <c r="CQ288" s="615">
        <v>12.9</v>
      </c>
      <c r="CR288" s="615">
        <v>0.84</v>
      </c>
      <c r="CS288" s="386">
        <v>0</v>
      </c>
      <c r="CT288" s="386">
        <v>16.986000000000001</v>
      </c>
      <c r="CU288" s="609">
        <v>60</v>
      </c>
      <c r="CV288" s="499">
        <v>0</v>
      </c>
      <c r="CW288" s="499">
        <v>0</v>
      </c>
      <c r="CX288" s="499">
        <v>0</v>
      </c>
      <c r="CY288" s="499">
        <v>0</v>
      </c>
      <c r="CZ288" s="608">
        <v>466</v>
      </c>
      <c r="DA288" s="608">
        <v>530</v>
      </c>
      <c r="DB288" s="608">
        <v>353</v>
      </c>
      <c r="DC288" s="609">
        <v>1125.6400000000001</v>
      </c>
      <c r="DD288" s="1153">
        <f t="shared" si="83"/>
        <v>-1.3099999999999454</v>
      </c>
      <c r="DE288" s="1154">
        <f t="shared" si="84"/>
        <v>0</v>
      </c>
      <c r="DF288" s="1154">
        <f t="shared" si="85"/>
        <v>243</v>
      </c>
      <c r="DG288" s="1154">
        <f t="shared" si="86"/>
        <v>280</v>
      </c>
      <c r="DH288" s="1155" t="str">
        <f t="shared" si="87"/>
        <v>Palm</v>
      </c>
      <c r="DI288" s="1146">
        <f t="shared" si="88"/>
        <v>177</v>
      </c>
      <c r="DJ288" s="1146">
        <f t="shared" si="89"/>
        <v>0</v>
      </c>
      <c r="DK288" s="1154">
        <f t="shared" si="90"/>
        <v>0</v>
      </c>
      <c r="DL288" s="615"/>
      <c r="DM288" s="615"/>
      <c r="DN288" s="615"/>
      <c r="DO288" s="499"/>
      <c r="DP288" s="499"/>
      <c r="DQ288" s="499"/>
      <c r="DR288" s="499"/>
      <c r="DS288" s="499"/>
      <c r="DT288" s="499"/>
      <c r="DU288" s="499"/>
      <c r="DV288" s="499"/>
      <c r="DW288" s="499"/>
      <c r="DX288" s="499"/>
      <c r="DY288" s="630"/>
      <c r="DZ288" s="499"/>
      <c r="EA288" s="499">
        <v>-306</v>
      </c>
      <c r="EB288" s="499"/>
      <c r="EC288" s="499">
        <v>153</v>
      </c>
      <c r="ED288" s="499">
        <v>153</v>
      </c>
      <c r="EE288" s="499"/>
      <c r="EF288" s="499"/>
      <c r="EG288" s="1147">
        <f t="shared" si="77"/>
        <v>13.5</v>
      </c>
      <c r="EH288" s="499">
        <v>0</v>
      </c>
      <c r="EI288" s="615">
        <v>4</v>
      </c>
      <c r="EJ288" s="615">
        <v>3</v>
      </c>
      <c r="EK288" s="615">
        <v>6.5</v>
      </c>
      <c r="EL288" s="499"/>
      <c r="EM288" s="499"/>
      <c r="EN288" s="499"/>
      <c r="EO288" s="499"/>
      <c r="EP288" s="499"/>
      <c r="EQ288" s="499"/>
      <c r="ER288" s="499"/>
      <c r="ES288" s="388"/>
      <c r="ET288" s="388"/>
      <c r="EU288" s="370"/>
      <c r="EV288" s="1167">
        <f t="shared" si="79"/>
        <v>20.884499999999999</v>
      </c>
      <c r="EW288" s="370"/>
      <c r="EX288" s="370"/>
    </row>
    <row r="289" spans="1:154" s="350" customFormat="1" ht="15" x14ac:dyDescent="0.25">
      <c r="A289" s="632" t="s">
        <v>9</v>
      </c>
      <c r="B289" s="662">
        <v>43015</v>
      </c>
      <c r="C289" s="1132" t="s">
        <v>904</v>
      </c>
      <c r="D289" s="386">
        <v>0.84</v>
      </c>
      <c r="E289" s="636">
        <v>0</v>
      </c>
      <c r="F289" s="636">
        <v>41</v>
      </c>
      <c r="G289" s="636">
        <v>0.7</v>
      </c>
      <c r="H289" s="386">
        <v>3.15</v>
      </c>
      <c r="I289" s="386">
        <v>19.2</v>
      </c>
      <c r="J289" s="386">
        <v>0</v>
      </c>
      <c r="K289" s="386">
        <v>1.7</v>
      </c>
      <c r="L289" s="610">
        <v>0</v>
      </c>
      <c r="M289" s="386">
        <v>15.6</v>
      </c>
      <c r="N289" s="386">
        <v>1.3</v>
      </c>
      <c r="O289" s="386">
        <v>1.6412786090736702</v>
      </c>
      <c r="P289" s="386">
        <v>1.21</v>
      </c>
      <c r="Q289" s="386">
        <v>0.68908933289277086</v>
      </c>
      <c r="R289" s="732">
        <v>1066.0774709302325</v>
      </c>
      <c r="S289" s="386">
        <v>8.3000000000000007</v>
      </c>
      <c r="T289" s="386">
        <v>8.3000000000000007</v>
      </c>
      <c r="U289" s="386">
        <v>0.84</v>
      </c>
      <c r="V289" s="387">
        <v>0.9</v>
      </c>
      <c r="W289" s="783">
        <v>58.819999999999993</v>
      </c>
      <c r="X289" s="369">
        <v>59</v>
      </c>
      <c r="Y289" s="367">
        <v>28.3</v>
      </c>
      <c r="Z289" s="636">
        <v>35.9</v>
      </c>
      <c r="AA289" s="636">
        <v>28.3</v>
      </c>
      <c r="AB289" s="636">
        <v>35.9</v>
      </c>
      <c r="AC289" s="1160">
        <f t="shared" si="80"/>
        <v>64.2</v>
      </c>
      <c r="AD289" s="1160">
        <f t="shared" si="81"/>
        <v>99.317400000000006</v>
      </c>
      <c r="AE289" s="1160">
        <f t="shared" si="82"/>
        <v>99.317400000000006</v>
      </c>
      <c r="AF289" s="723"/>
      <c r="AG289" s="1160">
        <f t="shared" si="78"/>
        <v>0</v>
      </c>
      <c r="AH289" s="656"/>
      <c r="AI289" s="656"/>
      <c r="AJ289" s="388"/>
      <c r="AK289" s="388"/>
      <c r="AL289" s="388"/>
      <c r="AM289" s="388"/>
      <c r="AN289" s="388"/>
      <c r="AO289" s="987"/>
      <c r="AP289" s="370"/>
      <c r="AQ289" s="386"/>
      <c r="AR289" s="551">
        <v>0</v>
      </c>
      <c r="AS289" s="386">
        <v>24.1</v>
      </c>
      <c r="AT289" s="386">
        <v>0</v>
      </c>
      <c r="AU289" s="386">
        <v>27</v>
      </c>
      <c r="AV289" s="636">
        <v>640</v>
      </c>
      <c r="AW289" s="636">
        <v>377.8</v>
      </c>
      <c r="AX289" s="386">
        <v>0</v>
      </c>
      <c r="AY289" s="551">
        <v>0</v>
      </c>
      <c r="AZ289" s="551">
        <v>0</v>
      </c>
      <c r="BA289" s="551">
        <v>0</v>
      </c>
      <c r="BB289" s="832">
        <v>0</v>
      </c>
      <c r="BC289" s="386">
        <v>0.51</v>
      </c>
      <c r="BD289" s="386">
        <v>1.5</v>
      </c>
      <c r="BE289" s="551">
        <v>0</v>
      </c>
      <c r="BF289" s="386">
        <v>0.99</v>
      </c>
      <c r="BG289" s="386">
        <v>2.3199999999999998</v>
      </c>
      <c r="BH289" s="551">
        <v>0</v>
      </c>
      <c r="BI289" s="386">
        <v>1.3</v>
      </c>
      <c r="BJ289" s="386">
        <v>29.3</v>
      </c>
      <c r="BK289" s="386">
        <v>3.43</v>
      </c>
      <c r="BL289" s="386">
        <v>2.82</v>
      </c>
      <c r="BM289" s="386">
        <v>0</v>
      </c>
      <c r="BN289" s="386">
        <v>23.1</v>
      </c>
      <c r="BO289" s="386">
        <v>1377.9</v>
      </c>
      <c r="BP289" s="386">
        <v>2</v>
      </c>
      <c r="BQ289" s="615">
        <v>19.27</v>
      </c>
      <c r="BR289" s="615">
        <v>20</v>
      </c>
      <c r="BS289" s="615">
        <v>13.03</v>
      </c>
      <c r="BT289" s="615">
        <v>13.14</v>
      </c>
      <c r="BU289" s="614">
        <v>26.8</v>
      </c>
      <c r="BV289" s="614">
        <v>30.7</v>
      </c>
      <c r="BW289" s="615">
        <v>882</v>
      </c>
      <c r="BX289" s="791"/>
      <c r="BY289" s="615">
        <v>0</v>
      </c>
      <c r="BZ289" s="615">
        <v>1.27</v>
      </c>
      <c r="CA289" s="615">
        <v>1.1000000000000001</v>
      </c>
      <c r="CB289" s="615">
        <v>8.1</v>
      </c>
      <c r="CC289" s="615">
        <v>8</v>
      </c>
      <c r="CD289" s="615">
        <v>16.399999999999999</v>
      </c>
      <c r="CE289" s="615">
        <v>34.5</v>
      </c>
      <c r="CF289" s="615">
        <v>18</v>
      </c>
      <c r="CG289" s="615">
        <v>7.9</v>
      </c>
      <c r="CH289" s="615">
        <v>13.4</v>
      </c>
      <c r="CI289" s="615">
        <v>17.899999999999999</v>
      </c>
      <c r="CJ289" s="615">
        <v>13.17</v>
      </c>
      <c r="CK289" s="615">
        <v>495.2</v>
      </c>
      <c r="CL289" s="615">
        <v>3.3</v>
      </c>
      <c r="CM289" s="615">
        <v>5.0999999999999996</v>
      </c>
      <c r="CN289" s="615">
        <v>251.7</v>
      </c>
      <c r="CO289" s="615">
        <v>445.4</v>
      </c>
      <c r="CP289" s="615">
        <v>0</v>
      </c>
      <c r="CQ289" s="615">
        <v>12.2</v>
      </c>
      <c r="CR289" s="615">
        <v>0.67</v>
      </c>
      <c r="CS289" s="386">
        <v>0</v>
      </c>
      <c r="CT289" s="386">
        <v>16.373000000000001</v>
      </c>
      <c r="CU289" s="609">
        <v>59</v>
      </c>
      <c r="CV289" s="499">
        <v>0</v>
      </c>
      <c r="CW289" s="499">
        <v>0</v>
      </c>
      <c r="CX289" s="499">
        <v>0</v>
      </c>
      <c r="CY289" s="499">
        <v>0</v>
      </c>
      <c r="CZ289" s="608">
        <v>466</v>
      </c>
      <c r="DA289" s="608">
        <v>540</v>
      </c>
      <c r="DB289" s="608">
        <v>361</v>
      </c>
      <c r="DC289" s="609">
        <v>1124.49</v>
      </c>
      <c r="DD289" s="1153">
        <f t="shared" si="83"/>
        <v>-1.1500000000000909</v>
      </c>
      <c r="DE289" s="1154">
        <f t="shared" si="84"/>
        <v>0</v>
      </c>
      <c r="DF289" s="1154">
        <f t="shared" si="85"/>
        <v>251</v>
      </c>
      <c r="DG289" s="1154">
        <f t="shared" si="86"/>
        <v>290</v>
      </c>
      <c r="DH289" s="1155" t="str">
        <f t="shared" si="87"/>
        <v>Palm</v>
      </c>
      <c r="DI289" s="1146">
        <f t="shared" si="88"/>
        <v>179</v>
      </c>
      <c r="DJ289" s="1146">
        <f t="shared" si="89"/>
        <v>0</v>
      </c>
      <c r="DK289" s="1154">
        <f t="shared" si="90"/>
        <v>0</v>
      </c>
      <c r="DL289" s="615"/>
      <c r="DM289" s="615"/>
      <c r="DN289" s="615"/>
      <c r="DO289" s="499"/>
      <c r="DP289" s="499"/>
      <c r="DQ289" s="499"/>
      <c r="DR289" s="499"/>
      <c r="DS289" s="499"/>
      <c r="DT289" s="499"/>
      <c r="DU289" s="499"/>
      <c r="DV289" s="499"/>
      <c r="DW289" s="499"/>
      <c r="DX289" s="499"/>
      <c r="DY289" s="499"/>
      <c r="DZ289" s="499"/>
      <c r="EA289" s="499"/>
      <c r="EB289" s="499"/>
      <c r="EC289" s="499"/>
      <c r="ED289" s="499"/>
      <c r="EE289" s="499"/>
      <c r="EF289" s="499"/>
      <c r="EG289" s="1147">
        <f t="shared" si="77"/>
        <v>13.5</v>
      </c>
      <c r="EH289" s="499">
        <v>0</v>
      </c>
      <c r="EI289" s="615">
        <v>4</v>
      </c>
      <c r="EJ289" s="615">
        <v>3</v>
      </c>
      <c r="EK289" s="615">
        <v>6.5</v>
      </c>
      <c r="EL289" s="499"/>
      <c r="EM289" s="499"/>
      <c r="EN289" s="499"/>
      <c r="EO289" s="499"/>
      <c r="EP289" s="499"/>
      <c r="EQ289" s="499"/>
      <c r="ER289" s="499"/>
      <c r="ES289" s="388"/>
      <c r="ET289" s="388"/>
      <c r="EU289" s="370"/>
      <c r="EV289" s="1167">
        <f t="shared" si="79"/>
        <v>20.884499999999999</v>
      </c>
      <c r="EW289" s="370"/>
      <c r="EX289" s="370"/>
    </row>
    <row r="290" spans="1:154" s="350" customFormat="1" ht="15" x14ac:dyDescent="0.25">
      <c r="A290" s="632" t="s">
        <v>3</v>
      </c>
      <c r="B290" s="662">
        <v>43016</v>
      </c>
      <c r="C290" s="1132" t="s">
        <v>904</v>
      </c>
      <c r="D290" s="386">
        <v>0</v>
      </c>
      <c r="E290" s="636">
        <v>0</v>
      </c>
      <c r="F290" s="636">
        <v>42</v>
      </c>
      <c r="G290" s="636">
        <v>0.7</v>
      </c>
      <c r="H290" s="386">
        <v>3.27</v>
      </c>
      <c r="I290" s="386">
        <v>18</v>
      </c>
      <c r="J290" s="386">
        <v>0</v>
      </c>
      <c r="K290" s="386">
        <v>2.21</v>
      </c>
      <c r="L290" s="610">
        <v>0</v>
      </c>
      <c r="M290" s="386">
        <v>15.9</v>
      </c>
      <c r="N290" s="386">
        <v>1.23</v>
      </c>
      <c r="O290" s="386">
        <v>1.6660898855662452</v>
      </c>
      <c r="P290" s="386">
        <v>1.19</v>
      </c>
      <c r="Q290" s="386">
        <v>0.69363028401562266</v>
      </c>
      <c r="R290" s="732">
        <v>1079.0784156976745</v>
      </c>
      <c r="S290" s="386">
        <v>8.2200000000000006</v>
      </c>
      <c r="T290" s="386">
        <v>8.25</v>
      </c>
      <c r="U290" s="386">
        <v>0.84</v>
      </c>
      <c r="V290" s="387">
        <v>0.96</v>
      </c>
      <c r="W290" s="783">
        <v>58.100000000000009</v>
      </c>
      <c r="X290" s="369">
        <v>58.100000000000009</v>
      </c>
      <c r="Y290" s="367">
        <v>28.3</v>
      </c>
      <c r="Z290" s="636">
        <v>35.9</v>
      </c>
      <c r="AA290" s="636">
        <v>28.2</v>
      </c>
      <c r="AB290" s="636">
        <v>36</v>
      </c>
      <c r="AC290" s="1160">
        <f t="shared" si="80"/>
        <v>64.2</v>
      </c>
      <c r="AD290" s="1160">
        <f t="shared" si="81"/>
        <v>99.317400000000006</v>
      </c>
      <c r="AE290" s="1160">
        <f t="shared" si="82"/>
        <v>99.317400000000006</v>
      </c>
      <c r="AF290" s="723"/>
      <c r="AG290" s="1160">
        <f t="shared" si="78"/>
        <v>0</v>
      </c>
      <c r="AH290" s="656"/>
      <c r="AI290" s="656"/>
      <c r="AJ290" s="632"/>
      <c r="AK290" s="388"/>
      <c r="AL290" s="388"/>
      <c r="AM290" s="388"/>
      <c r="AN290" s="388"/>
      <c r="AO290" s="987"/>
      <c r="AP290" s="370"/>
      <c r="AQ290" s="386"/>
      <c r="AR290" s="551">
        <v>0</v>
      </c>
      <c r="AS290" s="386">
        <v>16.5</v>
      </c>
      <c r="AT290" s="386">
        <v>0</v>
      </c>
      <c r="AU290" s="386">
        <v>27</v>
      </c>
      <c r="AV290" s="636">
        <v>467.9</v>
      </c>
      <c r="AW290" s="636">
        <v>232.9</v>
      </c>
      <c r="AX290" s="386">
        <v>0</v>
      </c>
      <c r="AY290" s="551">
        <v>0</v>
      </c>
      <c r="AZ290" s="551">
        <v>0</v>
      </c>
      <c r="BA290" s="551">
        <v>0</v>
      </c>
      <c r="BB290" s="832">
        <v>0</v>
      </c>
      <c r="BC290" s="386">
        <v>0.51</v>
      </c>
      <c r="BD290" s="386">
        <v>1.5</v>
      </c>
      <c r="BE290" s="551">
        <v>0</v>
      </c>
      <c r="BF290" s="386">
        <v>0.99</v>
      </c>
      <c r="BG290" s="386">
        <v>1.92</v>
      </c>
      <c r="BH290" s="551">
        <v>0</v>
      </c>
      <c r="BI290" s="386">
        <v>1.32</v>
      </c>
      <c r="BJ290" s="386">
        <v>29.7</v>
      </c>
      <c r="BK290" s="386">
        <v>3.16</v>
      </c>
      <c r="BL290" s="386">
        <v>3.24</v>
      </c>
      <c r="BM290" s="386">
        <v>0</v>
      </c>
      <c r="BN290" s="386">
        <v>23.4</v>
      </c>
      <c r="BO290" s="386">
        <v>233.7</v>
      </c>
      <c r="BP290" s="386">
        <v>2</v>
      </c>
      <c r="BQ290" s="615">
        <v>19.93</v>
      </c>
      <c r="BR290" s="615">
        <v>20.67</v>
      </c>
      <c r="BS290" s="615">
        <v>13.2</v>
      </c>
      <c r="BT290" s="615">
        <v>12.31</v>
      </c>
      <c r="BU290" s="614">
        <v>27</v>
      </c>
      <c r="BV290" s="614">
        <v>30.1</v>
      </c>
      <c r="BW290" s="615">
        <v>903.7</v>
      </c>
      <c r="BX290" s="791"/>
      <c r="BY290" s="615">
        <v>0</v>
      </c>
      <c r="BZ290" s="615">
        <v>1.21</v>
      </c>
      <c r="CA290" s="615">
        <v>1.1000000000000001</v>
      </c>
      <c r="CB290" s="615">
        <v>8.1999999999999993</v>
      </c>
      <c r="CC290" s="615">
        <v>8.1</v>
      </c>
      <c r="CD290" s="615">
        <v>16.2</v>
      </c>
      <c r="CE290" s="615">
        <v>34.5</v>
      </c>
      <c r="CF290" s="615">
        <v>16.8</v>
      </c>
      <c r="CG290" s="615">
        <v>6.97</v>
      </c>
      <c r="CH290" s="615">
        <v>12.5</v>
      </c>
      <c r="CI290" s="615">
        <v>16.5</v>
      </c>
      <c r="CJ290" s="615">
        <v>13.04</v>
      </c>
      <c r="CK290" s="615">
        <v>482.4</v>
      </c>
      <c r="CL290" s="615">
        <v>3.3</v>
      </c>
      <c r="CM290" s="615">
        <v>5.4</v>
      </c>
      <c r="CN290" s="615">
        <v>305.39999999999998</v>
      </c>
      <c r="CO290" s="615">
        <v>464.4</v>
      </c>
      <c r="CP290" s="615">
        <v>0</v>
      </c>
      <c r="CQ290" s="615">
        <v>12.1</v>
      </c>
      <c r="CR290" s="615">
        <v>0.72</v>
      </c>
      <c r="CS290" s="386">
        <v>0</v>
      </c>
      <c r="CT290" s="386">
        <v>16.692</v>
      </c>
      <c r="CU290" s="609">
        <v>59</v>
      </c>
      <c r="CV290" s="499">
        <v>0</v>
      </c>
      <c r="CW290" s="499">
        <v>0</v>
      </c>
      <c r="CX290" s="499">
        <v>0</v>
      </c>
      <c r="CY290" s="499">
        <v>0</v>
      </c>
      <c r="CZ290" s="608">
        <v>463</v>
      </c>
      <c r="DA290" s="608">
        <v>550</v>
      </c>
      <c r="DB290" s="608">
        <v>353</v>
      </c>
      <c r="DC290" s="609">
        <v>1123.81</v>
      </c>
      <c r="DD290" s="1153">
        <f t="shared" si="83"/>
        <v>-0.68000000000006366</v>
      </c>
      <c r="DE290" s="1154">
        <f t="shared" si="84"/>
        <v>0</v>
      </c>
      <c r="DF290" s="1154">
        <f t="shared" si="85"/>
        <v>243</v>
      </c>
      <c r="DG290" s="1154">
        <f t="shared" si="86"/>
        <v>300</v>
      </c>
      <c r="DH290" s="1155" t="str">
        <f t="shared" si="87"/>
        <v>Palm</v>
      </c>
      <c r="DI290" s="1146">
        <f t="shared" si="88"/>
        <v>197</v>
      </c>
      <c r="DJ290" s="1146">
        <f t="shared" si="89"/>
        <v>0</v>
      </c>
      <c r="DK290" s="1154">
        <f t="shared" si="90"/>
        <v>0</v>
      </c>
      <c r="DL290" s="615"/>
      <c r="DM290" s="615"/>
      <c r="DN290" s="615"/>
      <c r="DO290" s="499"/>
      <c r="DP290" s="499"/>
      <c r="DQ290" s="499"/>
      <c r="DR290" s="499"/>
      <c r="DS290" s="499"/>
      <c r="DT290" s="499"/>
      <c r="DU290" s="499"/>
      <c r="DV290" s="499"/>
      <c r="DW290" s="499"/>
      <c r="DX290" s="499"/>
      <c r="DY290" s="499"/>
      <c r="DZ290" s="499"/>
      <c r="EA290" s="499"/>
      <c r="EB290" s="499"/>
      <c r="EC290" s="499"/>
      <c r="ED290" s="499"/>
      <c r="EE290" s="499"/>
      <c r="EF290" s="499"/>
      <c r="EG290" s="1147">
        <f t="shared" si="77"/>
        <v>13.5</v>
      </c>
      <c r="EH290" s="499">
        <v>0</v>
      </c>
      <c r="EI290" s="615">
        <v>4</v>
      </c>
      <c r="EJ290" s="615">
        <v>3</v>
      </c>
      <c r="EK290" s="615">
        <v>6.5</v>
      </c>
      <c r="EL290" s="499"/>
      <c r="EM290" s="499"/>
      <c r="EN290" s="499"/>
      <c r="EO290" s="499"/>
      <c r="EP290" s="499"/>
      <c r="EQ290" s="499"/>
      <c r="ER290" s="499"/>
      <c r="ES290" s="388"/>
      <c r="ET290" s="388"/>
      <c r="EU290" s="370"/>
      <c r="EV290" s="1167">
        <f t="shared" si="79"/>
        <v>20.884499999999999</v>
      </c>
      <c r="EW290" s="370"/>
      <c r="EX290" s="370"/>
    </row>
    <row r="291" spans="1:154" s="350" customFormat="1" ht="15" x14ac:dyDescent="0.25">
      <c r="A291" s="632" t="s">
        <v>4</v>
      </c>
      <c r="B291" s="662">
        <v>43017</v>
      </c>
      <c r="C291" s="1132" t="s">
        <v>904</v>
      </c>
      <c r="D291" s="386">
        <v>0</v>
      </c>
      <c r="E291" s="636">
        <v>0</v>
      </c>
      <c r="F291" s="636">
        <v>50.3</v>
      </c>
      <c r="G291" s="636">
        <v>0.7</v>
      </c>
      <c r="H291" s="386">
        <v>2.3199999999999998</v>
      </c>
      <c r="I291" s="386">
        <v>19.3</v>
      </c>
      <c r="J291" s="386">
        <v>0</v>
      </c>
      <c r="K291" s="386">
        <v>1.43</v>
      </c>
      <c r="L291" s="610">
        <v>0</v>
      </c>
      <c r="M291" s="386">
        <v>15.7</v>
      </c>
      <c r="N291" s="386">
        <v>1.32</v>
      </c>
      <c r="O291" s="386">
        <v>1.6140400987729357</v>
      </c>
      <c r="P291" s="386">
        <v>1.2</v>
      </c>
      <c r="Q291" s="386">
        <v>0.68487319484643927</v>
      </c>
      <c r="R291" s="732">
        <v>1051.0763808139536</v>
      </c>
      <c r="S291" s="386">
        <v>8.23</v>
      </c>
      <c r="T291" s="386">
        <v>8.2899999999999991</v>
      </c>
      <c r="U291" s="386">
        <v>0.82</v>
      </c>
      <c r="V291" s="387">
        <v>0.97</v>
      </c>
      <c r="W291" s="783">
        <v>57.2</v>
      </c>
      <c r="X291" s="369">
        <v>57.56</v>
      </c>
      <c r="Y291" s="367">
        <v>28.2</v>
      </c>
      <c r="Z291" s="636">
        <v>36</v>
      </c>
      <c r="AA291" s="636">
        <v>28.3</v>
      </c>
      <c r="AB291" s="636">
        <v>35.9</v>
      </c>
      <c r="AC291" s="1160">
        <f t="shared" si="80"/>
        <v>64.2</v>
      </c>
      <c r="AD291" s="1160">
        <f t="shared" si="81"/>
        <v>99.317400000000006</v>
      </c>
      <c r="AE291" s="1160">
        <f t="shared" si="82"/>
        <v>99.317400000000006</v>
      </c>
      <c r="AF291" s="723"/>
      <c r="AG291" s="1160">
        <f t="shared" si="78"/>
        <v>0</v>
      </c>
      <c r="AH291" s="656"/>
      <c r="AI291" s="656"/>
      <c r="AJ291" s="632"/>
      <c r="AK291" s="388"/>
      <c r="AL291" s="388"/>
      <c r="AM291" s="388"/>
      <c r="AN291" s="388"/>
      <c r="AO291" s="987"/>
      <c r="AP291" s="370"/>
      <c r="AQ291" s="386"/>
      <c r="AR291" s="551">
        <v>0</v>
      </c>
      <c r="AS291" s="386">
        <v>20.6</v>
      </c>
      <c r="AT291" s="386">
        <v>0</v>
      </c>
      <c r="AU291" s="386">
        <v>27</v>
      </c>
      <c r="AV291" s="636">
        <v>655.29999999999995</v>
      </c>
      <c r="AW291" s="636">
        <v>385</v>
      </c>
      <c r="AX291" s="386">
        <v>0</v>
      </c>
      <c r="AY291" s="551">
        <v>0</v>
      </c>
      <c r="AZ291" s="551">
        <v>0</v>
      </c>
      <c r="BA291" s="551">
        <v>0</v>
      </c>
      <c r="BB291" s="832">
        <v>0</v>
      </c>
      <c r="BC291" s="386">
        <v>0.51</v>
      </c>
      <c r="BD291" s="386">
        <v>1.5</v>
      </c>
      <c r="BE291" s="551">
        <v>0</v>
      </c>
      <c r="BF291" s="386">
        <v>0.99</v>
      </c>
      <c r="BG291" s="386">
        <v>2.4500000000000002</v>
      </c>
      <c r="BH291" s="551">
        <v>0</v>
      </c>
      <c r="BI291" s="386">
        <v>1.33</v>
      </c>
      <c r="BJ291" s="386">
        <v>29.2</v>
      </c>
      <c r="BK291" s="386">
        <v>3.32</v>
      </c>
      <c r="BL291" s="386">
        <v>3.07</v>
      </c>
      <c r="BM291" s="386">
        <v>0</v>
      </c>
      <c r="BN291" s="386">
        <v>22.8</v>
      </c>
      <c r="BO291" s="386">
        <v>1782.3</v>
      </c>
      <c r="BP291" s="386">
        <v>2.1</v>
      </c>
      <c r="BQ291" s="615">
        <v>19.61</v>
      </c>
      <c r="BR291" s="615">
        <v>20.420000000000002</v>
      </c>
      <c r="BS291" s="615">
        <v>12.94</v>
      </c>
      <c r="BT291" s="615">
        <v>13.05</v>
      </c>
      <c r="BU291" s="614">
        <v>26.5</v>
      </c>
      <c r="BV291" s="614">
        <v>32.200000000000003</v>
      </c>
      <c r="BW291" s="615">
        <v>861.8</v>
      </c>
      <c r="BX291" s="791"/>
      <c r="BY291" s="615">
        <v>0</v>
      </c>
      <c r="BZ291" s="615">
        <v>1.26</v>
      </c>
      <c r="CA291" s="615">
        <v>1.1000000000000001</v>
      </c>
      <c r="CB291" s="615">
        <v>8.1</v>
      </c>
      <c r="CC291" s="615">
        <v>8.1</v>
      </c>
      <c r="CD291" s="615">
        <v>16.100000000000001</v>
      </c>
      <c r="CE291" s="615">
        <v>34.5</v>
      </c>
      <c r="CF291" s="615">
        <v>15.4</v>
      </c>
      <c r="CG291" s="615">
        <v>9.1999999999999993</v>
      </c>
      <c r="CH291" s="615">
        <v>15</v>
      </c>
      <c r="CI291" s="615">
        <v>19.100000000000001</v>
      </c>
      <c r="CJ291" s="615">
        <v>12.99</v>
      </c>
      <c r="CK291" s="615">
        <v>507.4</v>
      </c>
      <c r="CL291" s="615">
        <v>3.4</v>
      </c>
      <c r="CM291" s="615">
        <v>5.6</v>
      </c>
      <c r="CN291" s="615">
        <v>297.3</v>
      </c>
      <c r="CO291" s="615">
        <v>498</v>
      </c>
      <c r="CP291" s="615">
        <v>0</v>
      </c>
      <c r="CQ291" s="615">
        <v>12.6</v>
      </c>
      <c r="CR291" s="615">
        <v>0.69</v>
      </c>
      <c r="CS291" s="386">
        <v>556.20000000000005</v>
      </c>
      <c r="CT291" s="386">
        <v>17.065999999999999</v>
      </c>
      <c r="CU291" s="386">
        <v>59</v>
      </c>
      <c r="CV291" s="499">
        <v>0</v>
      </c>
      <c r="CW291" s="499">
        <v>0</v>
      </c>
      <c r="CX291" s="499">
        <v>0</v>
      </c>
      <c r="CY291" s="499">
        <v>0</v>
      </c>
      <c r="CZ291" s="608">
        <v>459</v>
      </c>
      <c r="DA291" s="608">
        <v>519</v>
      </c>
      <c r="DB291" s="608">
        <v>348</v>
      </c>
      <c r="DC291" s="609">
        <v>1122.78</v>
      </c>
      <c r="DD291" s="1153">
        <f t="shared" si="83"/>
        <v>-1.0299999999999727</v>
      </c>
      <c r="DE291" s="1154">
        <f t="shared" si="84"/>
        <v>2.4572471040000003</v>
      </c>
      <c r="DF291" s="1154">
        <f t="shared" si="85"/>
        <v>238</v>
      </c>
      <c r="DG291" s="1154">
        <f t="shared" si="86"/>
        <v>269</v>
      </c>
      <c r="DH291" s="1155" t="str">
        <f t="shared" si="87"/>
        <v>Palm</v>
      </c>
      <c r="DI291" s="1146">
        <f t="shared" si="88"/>
        <v>171</v>
      </c>
      <c r="DJ291" s="1146">
        <f t="shared" si="89"/>
        <v>0.80092800000000008</v>
      </c>
      <c r="DK291" s="1154">
        <f t="shared" si="90"/>
        <v>2.4572471040000003</v>
      </c>
      <c r="DL291" s="615"/>
      <c r="DM291" s="615"/>
      <c r="DN291" s="615"/>
      <c r="DO291" s="499"/>
      <c r="DP291" s="499"/>
      <c r="DQ291" s="499"/>
      <c r="DR291" s="499"/>
      <c r="DS291" s="499"/>
      <c r="DT291" s="499"/>
      <c r="DU291" s="499"/>
      <c r="DV291" s="499"/>
      <c r="DW291" s="499"/>
      <c r="DX291" s="499"/>
      <c r="DY291" s="499"/>
      <c r="DZ291" s="499"/>
      <c r="EA291" s="499"/>
      <c r="EB291" s="499"/>
      <c r="EC291" s="499"/>
      <c r="ED291" s="499"/>
      <c r="EE291" s="499"/>
      <c r="EF291" s="499"/>
      <c r="EG291" s="1147">
        <f t="shared" si="77"/>
        <v>13.5</v>
      </c>
      <c r="EH291" s="499">
        <v>0</v>
      </c>
      <c r="EI291" s="615">
        <v>4</v>
      </c>
      <c r="EJ291" s="615">
        <v>3</v>
      </c>
      <c r="EK291" s="615">
        <v>6.5</v>
      </c>
      <c r="EL291" s="499"/>
      <c r="EM291" s="499"/>
      <c r="EN291" s="499"/>
      <c r="EO291" s="499"/>
      <c r="EP291" s="499"/>
      <c r="EQ291" s="499"/>
      <c r="ER291" s="499"/>
      <c r="ES291" s="388"/>
      <c r="ET291" s="388"/>
      <c r="EU291" s="370"/>
      <c r="EV291" s="1167">
        <f t="shared" si="79"/>
        <v>20.884499999999999</v>
      </c>
      <c r="EW291" s="370"/>
      <c r="EX291" s="370"/>
    </row>
    <row r="292" spans="1:154" s="350" customFormat="1" ht="15" x14ac:dyDescent="0.25">
      <c r="A292" s="632" t="s">
        <v>5</v>
      </c>
      <c r="B292" s="662">
        <v>43018</v>
      </c>
      <c r="C292" s="1132" t="s">
        <v>904</v>
      </c>
      <c r="D292" s="386">
        <v>0.02</v>
      </c>
      <c r="E292" s="636">
        <v>0</v>
      </c>
      <c r="F292" s="636">
        <v>45.5</v>
      </c>
      <c r="G292" s="636">
        <v>0.7</v>
      </c>
      <c r="H292" s="386">
        <v>2.08</v>
      </c>
      <c r="I292" s="386">
        <v>17.600000000000001</v>
      </c>
      <c r="J292" s="386">
        <v>0</v>
      </c>
      <c r="K292" s="386">
        <v>1.32</v>
      </c>
      <c r="L292" s="610">
        <v>0</v>
      </c>
      <c r="M292" s="386">
        <v>15.6</v>
      </c>
      <c r="N292" s="386">
        <v>1.33</v>
      </c>
      <c r="O292" s="386">
        <v>1.656572997416021</v>
      </c>
      <c r="P292" s="386">
        <v>1.29</v>
      </c>
      <c r="Q292" s="386">
        <v>0.69476552179633566</v>
      </c>
      <c r="R292" s="732">
        <v>1074.4114098837208</v>
      </c>
      <c r="S292" s="386">
        <v>8.2100000000000009</v>
      </c>
      <c r="T292" s="386">
        <v>8.2899999999999991</v>
      </c>
      <c r="U292" s="386">
        <v>0.79</v>
      </c>
      <c r="V292" s="387">
        <v>0.82</v>
      </c>
      <c r="W292" s="783">
        <v>56.3</v>
      </c>
      <c r="X292" s="369">
        <v>56.480000000000004</v>
      </c>
      <c r="Y292" s="367">
        <v>28.3</v>
      </c>
      <c r="Z292" s="636">
        <v>35.9</v>
      </c>
      <c r="AA292" s="636">
        <v>28.3</v>
      </c>
      <c r="AB292" s="636">
        <v>35.9</v>
      </c>
      <c r="AC292" s="1160">
        <f t="shared" si="80"/>
        <v>64.2</v>
      </c>
      <c r="AD292" s="1160">
        <f t="shared" si="81"/>
        <v>99.317400000000006</v>
      </c>
      <c r="AE292" s="1160">
        <f t="shared" si="82"/>
        <v>99.317400000000006</v>
      </c>
      <c r="AF292" s="723"/>
      <c r="AG292" s="1160">
        <f t="shared" si="78"/>
        <v>0</v>
      </c>
      <c r="AH292" s="656"/>
      <c r="AI292" s="656"/>
      <c r="AJ292" s="632"/>
      <c r="AK292" s="388"/>
      <c r="AL292" s="388"/>
      <c r="AM292" s="388"/>
      <c r="AN292" s="388"/>
      <c r="AO292" s="987"/>
      <c r="AP292" s="370"/>
      <c r="AQ292" s="386"/>
      <c r="AR292" s="551">
        <v>0</v>
      </c>
      <c r="AS292" s="386">
        <v>23.4</v>
      </c>
      <c r="AT292" s="386">
        <v>0</v>
      </c>
      <c r="AU292" s="386">
        <v>26.9</v>
      </c>
      <c r="AV292" s="636">
        <v>329.9</v>
      </c>
      <c r="AW292" s="636">
        <v>175.7</v>
      </c>
      <c r="AX292" s="386">
        <v>0</v>
      </c>
      <c r="AY292" s="551">
        <v>0</v>
      </c>
      <c r="AZ292" s="551">
        <v>0</v>
      </c>
      <c r="BA292" s="551">
        <v>0</v>
      </c>
      <c r="BB292" s="832">
        <v>0</v>
      </c>
      <c r="BC292" s="386">
        <v>0.5</v>
      </c>
      <c r="BD292" s="386">
        <v>1.5</v>
      </c>
      <c r="BE292" s="551">
        <v>0</v>
      </c>
      <c r="BF292" s="386">
        <v>0.99</v>
      </c>
      <c r="BG292" s="386">
        <v>2.38</v>
      </c>
      <c r="BH292" s="551">
        <v>0</v>
      </c>
      <c r="BI292" s="386">
        <v>1.37</v>
      </c>
      <c r="BJ292" s="386">
        <v>29.2</v>
      </c>
      <c r="BK292" s="386">
        <v>4.5599999999999996</v>
      </c>
      <c r="BL292" s="386">
        <v>1.88</v>
      </c>
      <c r="BM292" s="386">
        <v>0</v>
      </c>
      <c r="BN292" s="386">
        <v>22.8</v>
      </c>
      <c r="BO292" s="386">
        <v>740.8</v>
      </c>
      <c r="BP292" s="386">
        <v>2</v>
      </c>
      <c r="BQ292" s="615">
        <v>20.47</v>
      </c>
      <c r="BR292" s="615">
        <v>21.24</v>
      </c>
      <c r="BS292" s="615">
        <v>13.32</v>
      </c>
      <c r="BT292" s="615">
        <v>13.43</v>
      </c>
      <c r="BU292" s="614">
        <v>27.3</v>
      </c>
      <c r="BV292" s="614">
        <v>29.9</v>
      </c>
      <c r="BW292" s="615">
        <v>859.8</v>
      </c>
      <c r="BX292" s="791"/>
      <c r="BY292" s="615">
        <v>0</v>
      </c>
      <c r="BZ292" s="615">
        <v>1.3</v>
      </c>
      <c r="CA292" s="615">
        <v>1.1000000000000001</v>
      </c>
      <c r="CB292" s="615">
        <v>8.1</v>
      </c>
      <c r="CC292" s="615">
        <v>8.1</v>
      </c>
      <c r="CD292" s="615">
        <v>16.399999999999999</v>
      </c>
      <c r="CE292" s="615">
        <v>34.6</v>
      </c>
      <c r="CF292" s="615">
        <v>14.2</v>
      </c>
      <c r="CG292" s="615">
        <v>6.6</v>
      </c>
      <c r="CH292" s="615">
        <v>12.1</v>
      </c>
      <c r="CI292" s="615">
        <v>16.100000000000001</v>
      </c>
      <c r="CJ292" s="615">
        <v>13.19</v>
      </c>
      <c r="CK292" s="615">
        <v>529.79999999999995</v>
      </c>
      <c r="CL292" s="615">
        <v>3.8</v>
      </c>
      <c r="CM292" s="615">
        <v>6.2</v>
      </c>
      <c r="CN292" s="615">
        <v>254.3</v>
      </c>
      <c r="CO292" s="615">
        <v>491.5</v>
      </c>
      <c r="CP292" s="615">
        <v>0</v>
      </c>
      <c r="CQ292" s="615">
        <v>13</v>
      </c>
      <c r="CR292" s="615">
        <v>0.76</v>
      </c>
      <c r="CS292" s="386">
        <v>887.8</v>
      </c>
      <c r="CT292" s="386">
        <v>17.959</v>
      </c>
      <c r="CU292" s="386">
        <v>58</v>
      </c>
      <c r="CV292" s="499">
        <v>0</v>
      </c>
      <c r="CW292" s="499">
        <v>0</v>
      </c>
      <c r="CX292" s="499">
        <v>0</v>
      </c>
      <c r="CY292" s="499">
        <v>0</v>
      </c>
      <c r="CZ292" s="608">
        <v>469</v>
      </c>
      <c r="DA292" s="608">
        <v>524</v>
      </c>
      <c r="DB292" s="608">
        <v>361</v>
      </c>
      <c r="DC292" s="609">
        <v>1121.52</v>
      </c>
      <c r="DD292" s="1153">
        <f t="shared" si="83"/>
        <v>-1.2599999999999909</v>
      </c>
      <c r="DE292" s="1154">
        <f t="shared" si="84"/>
        <v>3.9222293760000002</v>
      </c>
      <c r="DF292" s="1154">
        <f t="shared" si="85"/>
        <v>251</v>
      </c>
      <c r="DG292" s="1154">
        <f t="shared" si="86"/>
        <v>274</v>
      </c>
      <c r="DH292" s="1155" t="str">
        <f t="shared" si="87"/>
        <v>Palm</v>
      </c>
      <c r="DI292" s="1146">
        <f t="shared" si="88"/>
        <v>163</v>
      </c>
      <c r="DJ292" s="1146">
        <f t="shared" si="89"/>
        <v>1.278432</v>
      </c>
      <c r="DK292" s="1154">
        <f t="shared" si="90"/>
        <v>3.9222293760000002</v>
      </c>
      <c r="DL292" s="615"/>
      <c r="DM292" s="615"/>
      <c r="DN292" s="615"/>
      <c r="DO292" s="499"/>
      <c r="DP292" s="499"/>
      <c r="DQ292" s="499"/>
      <c r="DR292" s="499"/>
      <c r="DS292" s="499"/>
      <c r="DT292" s="499"/>
      <c r="DU292" s="499"/>
      <c r="DV292" s="499"/>
      <c r="DW292" s="499"/>
      <c r="DX292" s="499"/>
      <c r="DY292" s="499"/>
      <c r="DZ292" s="499"/>
      <c r="EA292" s="499">
        <v>-300</v>
      </c>
      <c r="EB292" s="499"/>
      <c r="EC292" s="499"/>
      <c r="ED292" s="499"/>
      <c r="EE292" s="499"/>
      <c r="EF292" s="499"/>
      <c r="EG292" s="1147">
        <f t="shared" si="77"/>
        <v>13.5</v>
      </c>
      <c r="EH292" s="499">
        <v>0</v>
      </c>
      <c r="EI292" s="615">
        <v>4</v>
      </c>
      <c r="EJ292" s="615">
        <v>3</v>
      </c>
      <c r="EK292" s="615">
        <v>6.5</v>
      </c>
      <c r="EL292" s="499"/>
      <c r="EM292" s="499"/>
      <c r="EN292" s="499"/>
      <c r="EO292" s="499"/>
      <c r="EP292" s="499"/>
      <c r="EQ292" s="499"/>
      <c r="ER292" s="499"/>
      <c r="ES292" s="388"/>
      <c r="ET292" s="388"/>
      <c r="EU292" s="370"/>
      <c r="EV292" s="1167">
        <f t="shared" si="79"/>
        <v>20.884499999999999</v>
      </c>
      <c r="EW292" s="370"/>
      <c r="EX292" s="370"/>
    </row>
    <row r="293" spans="1:154" s="350" customFormat="1" ht="15" x14ac:dyDescent="0.25">
      <c r="A293" s="632" t="s">
        <v>6</v>
      </c>
      <c r="B293" s="662">
        <v>43019</v>
      </c>
      <c r="C293" s="1132" t="s">
        <v>904</v>
      </c>
      <c r="D293" s="386">
        <v>0.42</v>
      </c>
      <c r="E293" s="636">
        <v>0</v>
      </c>
      <c r="F293" s="636">
        <v>40</v>
      </c>
      <c r="G293" s="636">
        <v>0.8</v>
      </c>
      <c r="H293" s="386">
        <v>1.98</v>
      </c>
      <c r="I293" s="386">
        <v>18.8</v>
      </c>
      <c r="J293" s="386">
        <v>0</v>
      </c>
      <c r="K293" s="386">
        <v>1.22</v>
      </c>
      <c r="L293" s="610">
        <v>0</v>
      </c>
      <c r="M293" s="386">
        <v>15.6</v>
      </c>
      <c r="N293" s="386">
        <v>1.21</v>
      </c>
      <c r="O293" s="386">
        <v>1.6159676079737952</v>
      </c>
      <c r="P293" s="386">
        <v>1.2</v>
      </c>
      <c r="Q293" s="386">
        <v>0.59827031043622814</v>
      </c>
      <c r="R293" s="732">
        <v>1024.7411337209303</v>
      </c>
      <c r="S293" s="386">
        <v>8.2200000000000006</v>
      </c>
      <c r="T293" s="386">
        <v>8.26</v>
      </c>
      <c r="U293" s="386">
        <v>0.67</v>
      </c>
      <c r="V293" s="387">
        <v>0.65</v>
      </c>
      <c r="W293" s="783">
        <v>56.120000000000005</v>
      </c>
      <c r="X293" s="369">
        <v>56.3</v>
      </c>
      <c r="Y293" s="367">
        <v>28.3</v>
      </c>
      <c r="Z293" s="636">
        <v>35.9</v>
      </c>
      <c r="AA293" s="636">
        <v>28.27</v>
      </c>
      <c r="AB293" s="636">
        <v>36</v>
      </c>
      <c r="AC293" s="1160">
        <f t="shared" si="80"/>
        <v>64.27</v>
      </c>
      <c r="AD293" s="1160">
        <f t="shared" si="81"/>
        <v>99.425689999999989</v>
      </c>
      <c r="AE293" s="1160">
        <f t="shared" si="82"/>
        <v>99.425689999999989</v>
      </c>
      <c r="AF293" s="723"/>
      <c r="AG293" s="1160">
        <f t="shared" si="78"/>
        <v>0</v>
      </c>
      <c r="AH293" s="656"/>
      <c r="AI293" s="656"/>
      <c r="AJ293" s="388"/>
      <c r="AK293" s="388"/>
      <c r="AL293" s="388"/>
      <c r="AM293" s="388"/>
      <c r="AN293" s="388"/>
      <c r="AO293" s="987"/>
      <c r="AP293" s="370"/>
      <c r="AQ293" s="386"/>
      <c r="AR293" s="551">
        <v>0</v>
      </c>
      <c r="AS293" s="386">
        <v>23.9</v>
      </c>
      <c r="AT293" s="386">
        <v>0</v>
      </c>
      <c r="AU293" s="386">
        <v>29.9</v>
      </c>
      <c r="AV293" s="636">
        <v>553</v>
      </c>
      <c r="AW293" s="636">
        <v>361.9</v>
      </c>
      <c r="AX293" s="386">
        <v>0</v>
      </c>
      <c r="AY293" s="551">
        <v>0</v>
      </c>
      <c r="AZ293" s="551">
        <v>0</v>
      </c>
      <c r="BA293" s="551">
        <v>0</v>
      </c>
      <c r="BB293" s="832">
        <v>0</v>
      </c>
      <c r="BC293" s="386">
        <v>0.49</v>
      </c>
      <c r="BD293" s="386">
        <v>1.5</v>
      </c>
      <c r="BE293" s="551">
        <v>0</v>
      </c>
      <c r="BF293" s="386">
        <v>0.99</v>
      </c>
      <c r="BG293" s="386">
        <v>2.46</v>
      </c>
      <c r="BH293" s="551">
        <v>0</v>
      </c>
      <c r="BI293" s="386">
        <v>0.93</v>
      </c>
      <c r="BJ293" s="386">
        <v>29.6</v>
      </c>
      <c r="BK293" s="386">
        <v>4.01</v>
      </c>
      <c r="BL293" s="386">
        <v>2.4900000000000002</v>
      </c>
      <c r="BM293" s="386">
        <v>0</v>
      </c>
      <c r="BN293" s="386">
        <v>23.1</v>
      </c>
      <c r="BO293" s="386">
        <v>1388</v>
      </c>
      <c r="BP293" s="386">
        <v>2.2000000000000002</v>
      </c>
      <c r="BQ293" s="615">
        <v>21</v>
      </c>
      <c r="BR293" s="615">
        <v>21.84</v>
      </c>
      <c r="BS293" s="615">
        <v>12.91</v>
      </c>
      <c r="BT293" s="615">
        <v>13.03</v>
      </c>
      <c r="BU293" s="614">
        <v>26.6</v>
      </c>
      <c r="BV293" s="614">
        <v>29.6</v>
      </c>
      <c r="BW293" s="615">
        <v>809.2</v>
      </c>
      <c r="BX293" s="791"/>
      <c r="BY293" s="615">
        <v>0</v>
      </c>
      <c r="BZ293" s="615">
        <v>1.28</v>
      </c>
      <c r="CA293" s="615">
        <v>1.1000000000000001</v>
      </c>
      <c r="CB293" s="615">
        <v>8.1</v>
      </c>
      <c r="CC293" s="615">
        <v>8.1</v>
      </c>
      <c r="CD293" s="615">
        <v>16.399999999999999</v>
      </c>
      <c r="CE293" s="615">
        <v>34.700000000000003</v>
      </c>
      <c r="CF293" s="615">
        <v>13</v>
      </c>
      <c r="CG293" s="615">
        <v>7.2</v>
      </c>
      <c r="CH293" s="615">
        <v>12.8</v>
      </c>
      <c r="CI293" s="615">
        <v>16.8</v>
      </c>
      <c r="CJ293" s="615">
        <v>13.23</v>
      </c>
      <c r="CK293" s="615">
        <v>509.5</v>
      </c>
      <c r="CL293" s="615">
        <v>3.7</v>
      </c>
      <c r="CM293" s="615">
        <v>6.1</v>
      </c>
      <c r="CN293" s="615">
        <v>256.5</v>
      </c>
      <c r="CO293" s="615">
        <v>493</v>
      </c>
      <c r="CP293" s="615">
        <v>0</v>
      </c>
      <c r="CQ293" s="615">
        <v>12.6</v>
      </c>
      <c r="CR293" s="615">
        <v>0.8</v>
      </c>
      <c r="CS293" s="386">
        <v>883.2</v>
      </c>
      <c r="CT293" s="386">
        <v>17.495000000000001</v>
      </c>
      <c r="CU293" s="386">
        <v>58</v>
      </c>
      <c r="CV293" s="499">
        <v>0</v>
      </c>
      <c r="CW293" s="499">
        <v>0</v>
      </c>
      <c r="CX293" s="499">
        <v>0</v>
      </c>
      <c r="CY293" s="499">
        <v>0</v>
      </c>
      <c r="CZ293" s="608">
        <v>542</v>
      </c>
      <c r="DA293" s="608">
        <v>561</v>
      </c>
      <c r="DB293" s="608">
        <v>425</v>
      </c>
      <c r="DC293" s="609">
        <v>1120.02</v>
      </c>
      <c r="DD293" s="1153">
        <f t="shared" si="83"/>
        <v>-1.5</v>
      </c>
      <c r="DE293" s="1154">
        <f t="shared" si="84"/>
        <v>3.9019069440000003</v>
      </c>
      <c r="DF293" s="1154">
        <f t="shared" si="85"/>
        <v>315</v>
      </c>
      <c r="DG293" s="1154">
        <f t="shared" si="86"/>
        <v>311</v>
      </c>
      <c r="DH293" s="1155" t="str">
        <f t="shared" si="87"/>
        <v>Aub</v>
      </c>
      <c r="DI293" s="1146">
        <f t="shared" si="88"/>
        <v>136</v>
      </c>
      <c r="DJ293" s="1146">
        <f t="shared" si="89"/>
        <v>1.271808</v>
      </c>
      <c r="DK293" s="1154">
        <f t="shared" si="90"/>
        <v>3.9019069440000003</v>
      </c>
      <c r="DL293" s="615"/>
      <c r="DM293" s="615"/>
      <c r="DN293" s="615"/>
      <c r="DO293" s="499"/>
      <c r="DP293" s="499"/>
      <c r="DQ293" s="499"/>
      <c r="DR293" s="499"/>
      <c r="DS293" s="499"/>
      <c r="DT293" s="499"/>
      <c r="DU293" s="499"/>
      <c r="DV293" s="499"/>
      <c r="DW293" s="499"/>
      <c r="DX293" s="499"/>
      <c r="DY293" s="499"/>
      <c r="DZ293" s="499"/>
      <c r="EA293" s="499"/>
      <c r="EB293" s="499"/>
      <c r="EC293" s="499"/>
      <c r="ED293" s="499"/>
      <c r="EE293" s="499"/>
      <c r="EF293" s="499"/>
      <c r="EG293" s="1147">
        <f t="shared" si="77"/>
        <v>13.5</v>
      </c>
      <c r="EH293" s="499">
        <v>0.5</v>
      </c>
      <c r="EI293" s="615">
        <v>3.5</v>
      </c>
      <c r="EJ293" s="615">
        <v>3</v>
      </c>
      <c r="EK293" s="615">
        <v>6.5</v>
      </c>
      <c r="EL293" s="499"/>
      <c r="EM293" s="499"/>
      <c r="EN293" s="499"/>
      <c r="EO293" s="499"/>
      <c r="EP293" s="499"/>
      <c r="EQ293" s="499"/>
      <c r="ER293" s="499"/>
      <c r="ES293" s="388"/>
      <c r="ET293" s="388"/>
      <c r="EU293" s="370"/>
      <c r="EV293" s="1167">
        <f t="shared" si="79"/>
        <v>20.884499999999999</v>
      </c>
      <c r="EW293" s="370"/>
      <c r="EX293" s="370"/>
    </row>
    <row r="294" spans="1:154" s="350" customFormat="1" ht="15" x14ac:dyDescent="0.25">
      <c r="A294" s="632" t="s">
        <v>7</v>
      </c>
      <c r="B294" s="662">
        <v>43020</v>
      </c>
      <c r="C294" s="1132" t="s">
        <v>904</v>
      </c>
      <c r="D294" s="386">
        <v>1.22</v>
      </c>
      <c r="E294" s="636">
        <v>0</v>
      </c>
      <c r="F294" s="636">
        <v>37</v>
      </c>
      <c r="G294" s="636">
        <v>0.8</v>
      </c>
      <c r="H294" s="386">
        <v>2.2200000000000002</v>
      </c>
      <c r="I294" s="386">
        <v>17.7</v>
      </c>
      <c r="J294" s="386">
        <v>0</v>
      </c>
      <c r="K294" s="386">
        <v>1.19</v>
      </c>
      <c r="L294" s="610">
        <v>0</v>
      </c>
      <c r="M294" s="386">
        <v>16</v>
      </c>
      <c r="N294" s="386">
        <v>1.19</v>
      </c>
      <c r="O294" s="386">
        <v>1.6059864813760616</v>
      </c>
      <c r="P294" s="386">
        <v>1.1299999999999999</v>
      </c>
      <c r="Q294" s="386">
        <v>0.59112973196877217</v>
      </c>
      <c r="R294" s="732">
        <v>990.40530523255813</v>
      </c>
      <c r="S294" s="386">
        <v>8.2200000000000006</v>
      </c>
      <c r="T294" s="386">
        <v>8.25</v>
      </c>
      <c r="U294" s="386">
        <v>0.66</v>
      </c>
      <c r="V294" s="387">
        <v>0.65</v>
      </c>
      <c r="W294" s="783">
        <v>55.400000000000006</v>
      </c>
      <c r="X294" s="369">
        <v>55.400000000000006</v>
      </c>
      <c r="Y294" s="367">
        <v>28.27</v>
      </c>
      <c r="Z294" s="636">
        <v>36</v>
      </c>
      <c r="AA294" s="636">
        <v>28.13</v>
      </c>
      <c r="AB294" s="636">
        <v>34.4</v>
      </c>
      <c r="AC294" s="1160">
        <f t="shared" si="80"/>
        <v>62.53</v>
      </c>
      <c r="AD294" s="1160">
        <f t="shared" si="81"/>
        <v>96.733909999999995</v>
      </c>
      <c r="AE294" s="1160">
        <f t="shared" si="82"/>
        <v>96.733909999999995</v>
      </c>
      <c r="AF294" s="723"/>
      <c r="AG294" s="1160">
        <f t="shared" si="78"/>
        <v>0</v>
      </c>
      <c r="AH294" s="656"/>
      <c r="AI294" s="656"/>
      <c r="AJ294" s="388"/>
      <c r="AK294" s="388"/>
      <c r="AL294" s="388"/>
      <c r="AM294" s="388"/>
      <c r="AN294" s="388"/>
      <c r="AO294" s="987"/>
      <c r="AP294" s="370"/>
      <c r="AQ294" s="386"/>
      <c r="AR294" s="551">
        <v>0</v>
      </c>
      <c r="AS294" s="386">
        <v>24.4</v>
      </c>
      <c r="AT294" s="386">
        <v>0</v>
      </c>
      <c r="AU294" s="386">
        <v>26.8</v>
      </c>
      <c r="AV294" s="636">
        <v>375.1</v>
      </c>
      <c r="AW294" s="636">
        <v>205.6</v>
      </c>
      <c r="AX294" s="386">
        <v>0</v>
      </c>
      <c r="AY294" s="551">
        <v>0</v>
      </c>
      <c r="AZ294" s="551">
        <v>0</v>
      </c>
      <c r="BA294" s="551">
        <v>0</v>
      </c>
      <c r="BB294" s="832">
        <v>0</v>
      </c>
      <c r="BC294" s="386">
        <v>0.49</v>
      </c>
      <c r="BD294" s="386">
        <v>1.5</v>
      </c>
      <c r="BE294" s="551">
        <v>0</v>
      </c>
      <c r="BF294" s="386">
        <v>0.99</v>
      </c>
      <c r="BG294" s="386">
        <v>2.46</v>
      </c>
      <c r="BH294" s="551">
        <v>0</v>
      </c>
      <c r="BI294" s="386">
        <v>1.46</v>
      </c>
      <c r="BJ294" s="386">
        <v>27.5</v>
      </c>
      <c r="BK294" s="386">
        <v>3.55</v>
      </c>
      <c r="BL294" s="386">
        <v>2.91</v>
      </c>
      <c r="BM294" s="386">
        <v>0</v>
      </c>
      <c r="BN294" s="386">
        <v>21.1</v>
      </c>
      <c r="BO294" s="386">
        <v>1382</v>
      </c>
      <c r="BP294" s="386">
        <v>2.2000000000000002</v>
      </c>
      <c r="BQ294" s="615">
        <v>21.55</v>
      </c>
      <c r="BR294" s="615">
        <v>22.29</v>
      </c>
      <c r="BS294" s="615">
        <v>13.22</v>
      </c>
      <c r="BT294" s="615">
        <v>13.35</v>
      </c>
      <c r="BU294" s="614">
        <v>27.2</v>
      </c>
      <c r="BV294" s="614">
        <v>30.9</v>
      </c>
      <c r="BW294" s="615">
        <v>777.5</v>
      </c>
      <c r="BX294" s="791"/>
      <c r="BY294" s="615">
        <v>0</v>
      </c>
      <c r="BZ294" s="615">
        <v>1.1499999999999999</v>
      </c>
      <c r="CA294" s="615">
        <v>1.1000000000000001</v>
      </c>
      <c r="CB294" s="615">
        <v>8.1999999999999993</v>
      </c>
      <c r="CC294" s="615">
        <v>8.1</v>
      </c>
      <c r="CD294" s="615">
        <v>16.600000000000001</v>
      </c>
      <c r="CE294" s="615">
        <v>34.700000000000003</v>
      </c>
      <c r="CF294" s="615">
        <v>15.4</v>
      </c>
      <c r="CG294" s="615">
        <v>8.1999999999999993</v>
      </c>
      <c r="CH294" s="615">
        <v>13.7</v>
      </c>
      <c r="CI294" s="615">
        <v>18.149999999999999</v>
      </c>
      <c r="CJ294" s="615">
        <v>13.46</v>
      </c>
      <c r="CK294" s="615">
        <v>504</v>
      </c>
      <c r="CL294" s="615">
        <v>3</v>
      </c>
      <c r="CM294" s="615">
        <v>4.8</v>
      </c>
      <c r="CN294" s="615">
        <v>229.3</v>
      </c>
      <c r="CO294" s="615">
        <v>457.9</v>
      </c>
      <c r="CP294" s="615">
        <v>0</v>
      </c>
      <c r="CQ294" s="615">
        <v>12.3</v>
      </c>
      <c r="CR294" s="615">
        <v>0.79</v>
      </c>
      <c r="CS294" s="386">
        <v>880.9</v>
      </c>
      <c r="CT294" s="386">
        <v>16.027999999999999</v>
      </c>
      <c r="CU294" s="386">
        <v>57</v>
      </c>
      <c r="CV294" s="499">
        <v>0</v>
      </c>
      <c r="CW294" s="499">
        <v>0</v>
      </c>
      <c r="CX294" s="499">
        <v>0</v>
      </c>
      <c r="CY294" s="499">
        <v>0</v>
      </c>
      <c r="CZ294" s="608">
        <v>539</v>
      </c>
      <c r="DA294" s="608">
        <v>743</v>
      </c>
      <c r="DB294" s="608">
        <v>478</v>
      </c>
      <c r="DC294" s="609">
        <v>1118.68</v>
      </c>
      <c r="DD294" s="1153">
        <f t="shared" si="83"/>
        <v>-1.3399999999999181</v>
      </c>
      <c r="DE294" s="1154">
        <f t="shared" si="84"/>
        <v>3.8917457280000001</v>
      </c>
      <c r="DF294" s="1154">
        <f t="shared" si="85"/>
        <v>368</v>
      </c>
      <c r="DG294" s="1154">
        <f t="shared" si="86"/>
        <v>493</v>
      </c>
      <c r="DH294" s="1155" t="str">
        <f t="shared" si="87"/>
        <v>Palm</v>
      </c>
      <c r="DI294" s="1146">
        <f t="shared" si="88"/>
        <v>265</v>
      </c>
      <c r="DJ294" s="1146">
        <f t="shared" si="89"/>
        <v>1.2684960000000001</v>
      </c>
      <c r="DK294" s="1154">
        <f t="shared" si="90"/>
        <v>3.8917457280000001</v>
      </c>
      <c r="DL294" s="615"/>
      <c r="DM294" s="615"/>
      <c r="DN294" s="615"/>
      <c r="DO294" s="499"/>
      <c r="DP294" s="499"/>
      <c r="DQ294" s="499"/>
      <c r="DR294" s="499"/>
      <c r="DS294" s="499"/>
      <c r="DT294" s="499"/>
      <c r="DU294" s="499"/>
      <c r="DV294" s="499"/>
      <c r="DW294" s="499"/>
      <c r="DX294" s="499"/>
      <c r="DY294" s="499"/>
      <c r="DZ294" s="499"/>
      <c r="EA294" s="499"/>
      <c r="EB294" s="499"/>
      <c r="EC294" s="499"/>
      <c r="ED294" s="499"/>
      <c r="EE294" s="499"/>
      <c r="EF294" s="499"/>
      <c r="EG294" s="1147">
        <f t="shared" si="77"/>
        <v>13.5</v>
      </c>
      <c r="EH294" s="499">
        <v>0</v>
      </c>
      <c r="EI294" s="615">
        <v>4</v>
      </c>
      <c r="EJ294" s="615">
        <v>3</v>
      </c>
      <c r="EK294" s="615">
        <v>6.5</v>
      </c>
      <c r="EL294" s="499"/>
      <c r="EM294" s="499"/>
      <c r="EN294" s="499"/>
      <c r="EO294" s="499"/>
      <c r="EP294" s="499"/>
      <c r="EQ294" s="499"/>
      <c r="ER294" s="499"/>
      <c r="ES294" s="388"/>
      <c r="ET294" s="388"/>
      <c r="EU294" s="370"/>
      <c r="EV294" s="1167">
        <f t="shared" si="79"/>
        <v>20.884499999999999</v>
      </c>
      <c r="EW294" s="370"/>
      <c r="EX294" s="370"/>
    </row>
    <row r="295" spans="1:154" s="350" customFormat="1" ht="15" x14ac:dyDescent="0.25">
      <c r="A295" s="632" t="s">
        <v>8</v>
      </c>
      <c r="B295" s="662">
        <v>43021</v>
      </c>
      <c r="C295" s="1132" t="s">
        <v>904</v>
      </c>
      <c r="D295" s="386">
        <v>0.25</v>
      </c>
      <c r="E295" s="636">
        <v>0</v>
      </c>
      <c r="F295" s="636">
        <v>35.700000000000003</v>
      </c>
      <c r="G295" s="636">
        <v>0.8</v>
      </c>
      <c r="H295" s="386">
        <v>2.25</v>
      </c>
      <c r="I295" s="386">
        <v>14.8</v>
      </c>
      <c r="J295" s="386">
        <v>0</v>
      </c>
      <c r="K295" s="386">
        <v>1.92</v>
      </c>
      <c r="L295" s="610">
        <v>0</v>
      </c>
      <c r="M295" s="386">
        <v>16</v>
      </c>
      <c r="N295" s="386">
        <v>1.25</v>
      </c>
      <c r="O295" s="386">
        <v>1.6074903665553144</v>
      </c>
      <c r="P295" s="386">
        <v>1.1000000000000001</v>
      </c>
      <c r="Q295" s="386">
        <v>0.59012682456025289</v>
      </c>
      <c r="R295" s="732">
        <v>964.07005813953492</v>
      </c>
      <c r="S295" s="386">
        <v>8.2200000000000006</v>
      </c>
      <c r="T295" s="386">
        <v>8.2100000000000009</v>
      </c>
      <c r="U295" s="386">
        <v>0.65</v>
      </c>
      <c r="V295" s="387">
        <v>0.65</v>
      </c>
      <c r="W295" s="783">
        <v>54.14</v>
      </c>
      <c r="X295" s="369">
        <v>54.319999999999993</v>
      </c>
      <c r="Y295" s="367">
        <v>28.13</v>
      </c>
      <c r="Z295" s="636">
        <v>34.4</v>
      </c>
      <c r="AA295" s="636">
        <v>28.1</v>
      </c>
      <c r="AB295" s="636">
        <v>32.9</v>
      </c>
      <c r="AC295" s="1160">
        <f t="shared" si="80"/>
        <v>61</v>
      </c>
      <c r="AD295" s="1160">
        <f t="shared" si="81"/>
        <v>94.36699999999999</v>
      </c>
      <c r="AE295" s="1160">
        <f t="shared" si="82"/>
        <v>94.36699999999999</v>
      </c>
      <c r="AF295" s="723"/>
      <c r="AG295" s="1160">
        <f t="shared" si="78"/>
        <v>0</v>
      </c>
      <c r="AH295" s="656"/>
      <c r="AI295" s="656"/>
      <c r="AJ295" s="388"/>
      <c r="AK295" s="388"/>
      <c r="AL295" s="388"/>
      <c r="AM295" s="388"/>
      <c r="AN295" s="388"/>
      <c r="AO295" s="987"/>
      <c r="AP295" s="370"/>
      <c r="AQ295" s="386"/>
      <c r="AR295" s="551">
        <v>0</v>
      </c>
      <c r="AS295" s="386">
        <v>24.5</v>
      </c>
      <c r="AT295" s="386">
        <v>0</v>
      </c>
      <c r="AU295" s="386">
        <v>26.7</v>
      </c>
      <c r="AV295" s="636">
        <v>549.9</v>
      </c>
      <c r="AW295" s="636">
        <v>414</v>
      </c>
      <c r="AX295" s="386">
        <v>0</v>
      </c>
      <c r="AY295" s="551">
        <v>0</v>
      </c>
      <c r="AZ295" s="551">
        <v>0</v>
      </c>
      <c r="BA295" s="551">
        <v>0</v>
      </c>
      <c r="BB295" s="832">
        <v>0</v>
      </c>
      <c r="BC295" s="386">
        <v>0.49</v>
      </c>
      <c r="BD295" s="386">
        <v>1.5</v>
      </c>
      <c r="BE295" s="551">
        <v>0</v>
      </c>
      <c r="BF295" s="386">
        <v>0.99</v>
      </c>
      <c r="BG295" s="386">
        <v>2.46</v>
      </c>
      <c r="BH295" s="551">
        <v>0</v>
      </c>
      <c r="BI295" s="386">
        <v>1.47</v>
      </c>
      <c r="BJ295" s="386">
        <v>26</v>
      </c>
      <c r="BK295" s="386">
        <v>3.11</v>
      </c>
      <c r="BL295" s="386">
        <v>3.46</v>
      </c>
      <c r="BM295" s="386">
        <v>0</v>
      </c>
      <c r="BN295" s="386">
        <v>19.5</v>
      </c>
      <c r="BO295" s="386">
        <v>1004.8</v>
      </c>
      <c r="BP295" s="386">
        <v>3.3</v>
      </c>
      <c r="BQ295" s="615">
        <v>21.8</v>
      </c>
      <c r="BR295" s="615">
        <v>22.5</v>
      </c>
      <c r="BS295" s="615">
        <v>12.89</v>
      </c>
      <c r="BT295" s="615">
        <v>13.01</v>
      </c>
      <c r="BU295" s="614">
        <v>26.6</v>
      </c>
      <c r="BV295" s="614">
        <v>30.8</v>
      </c>
      <c r="BW295" s="615">
        <v>800.4</v>
      </c>
      <c r="BX295" s="791"/>
      <c r="BY295" s="615">
        <v>0</v>
      </c>
      <c r="BZ295" s="615">
        <v>1.21</v>
      </c>
      <c r="CA295" s="615">
        <v>1</v>
      </c>
      <c r="CB295" s="615">
        <v>8.1</v>
      </c>
      <c r="CC295" s="615">
        <v>8.1</v>
      </c>
      <c r="CD295" s="615">
        <v>16.100000000000001</v>
      </c>
      <c r="CE295" s="615">
        <v>34.700000000000003</v>
      </c>
      <c r="CF295" s="615">
        <v>14.3</v>
      </c>
      <c r="CG295" s="615">
        <v>7.3</v>
      </c>
      <c r="CH295" s="615">
        <v>12.9</v>
      </c>
      <c r="CI295" s="615">
        <v>16.899999999999999</v>
      </c>
      <c r="CJ295" s="615">
        <v>12.9</v>
      </c>
      <c r="CK295" s="615">
        <v>489.2</v>
      </c>
      <c r="CL295" s="615">
        <v>2.9</v>
      </c>
      <c r="CM295" s="615">
        <v>5.4</v>
      </c>
      <c r="CN295" s="615">
        <v>161.5</v>
      </c>
      <c r="CO295" s="615">
        <v>442.3</v>
      </c>
      <c r="CP295" s="615">
        <v>0</v>
      </c>
      <c r="CQ295" s="615">
        <v>12.4</v>
      </c>
      <c r="CR295" s="615">
        <v>0.75</v>
      </c>
      <c r="CS295" s="386">
        <v>476.9</v>
      </c>
      <c r="CT295" s="386">
        <v>16.797000000000001</v>
      </c>
      <c r="CU295" s="386">
        <v>57</v>
      </c>
      <c r="CV295" s="499">
        <v>0</v>
      </c>
      <c r="CW295" s="499">
        <v>0</v>
      </c>
      <c r="CX295" s="499">
        <v>0</v>
      </c>
      <c r="CY295" s="499">
        <v>0</v>
      </c>
      <c r="CZ295" s="608">
        <v>531</v>
      </c>
      <c r="DA295" s="608">
        <v>692</v>
      </c>
      <c r="DB295" s="608">
        <v>431</v>
      </c>
      <c r="DC295" s="609">
        <v>1118.22</v>
      </c>
      <c r="DD295" s="1153">
        <f t="shared" si="83"/>
        <v>-0.46000000000003638</v>
      </c>
      <c r="DE295" s="1154">
        <f t="shared" si="84"/>
        <v>2.1069060479999999</v>
      </c>
      <c r="DF295" s="1154">
        <f t="shared" si="85"/>
        <v>321</v>
      </c>
      <c r="DG295" s="1154">
        <f t="shared" si="86"/>
        <v>442</v>
      </c>
      <c r="DH295" s="1155" t="str">
        <f t="shared" si="87"/>
        <v>Palm</v>
      </c>
      <c r="DI295" s="1146">
        <f t="shared" si="88"/>
        <v>261</v>
      </c>
      <c r="DJ295" s="1146">
        <f t="shared" si="89"/>
        <v>0.68673600000000001</v>
      </c>
      <c r="DK295" s="1154">
        <f t="shared" si="90"/>
        <v>2.1069060479999999</v>
      </c>
      <c r="DL295" s="615"/>
      <c r="DM295" s="615"/>
      <c r="DN295" s="615"/>
      <c r="DO295" s="499"/>
      <c r="DP295" s="499"/>
      <c r="DQ295" s="499"/>
      <c r="DR295" s="499"/>
      <c r="DS295" s="499"/>
      <c r="DT295" s="499"/>
      <c r="DU295" s="499"/>
      <c r="DV295" s="499"/>
      <c r="DW295" s="499"/>
      <c r="DX295" s="499"/>
      <c r="DY295" s="499"/>
      <c r="DZ295" s="499"/>
      <c r="EA295" s="499"/>
      <c r="EB295" s="499"/>
      <c r="EC295" s="499"/>
      <c r="ED295" s="499"/>
      <c r="EE295" s="499"/>
      <c r="EF295" s="499"/>
      <c r="EG295" s="1147">
        <f t="shared" ref="EG295:EG322" si="91">(SUM(EH295:EK295))</f>
        <v>13.5</v>
      </c>
      <c r="EH295" s="499">
        <v>0</v>
      </c>
      <c r="EI295" s="615">
        <v>4</v>
      </c>
      <c r="EJ295" s="615">
        <v>3</v>
      </c>
      <c r="EK295" s="615">
        <v>6.5</v>
      </c>
      <c r="EL295" s="499"/>
      <c r="EM295" s="499"/>
      <c r="EN295" s="499"/>
      <c r="EO295" s="499"/>
      <c r="EP295" s="499"/>
      <c r="EQ295" s="499"/>
      <c r="ER295" s="499"/>
      <c r="ES295" s="388"/>
      <c r="ET295" s="388"/>
      <c r="EU295" s="370"/>
      <c r="EV295" s="1167">
        <f t="shared" si="79"/>
        <v>20.884499999999999</v>
      </c>
      <c r="EW295" s="370"/>
      <c r="EX295" s="370"/>
    </row>
    <row r="296" spans="1:154" s="350" customFormat="1" ht="15" x14ac:dyDescent="0.25">
      <c r="A296" s="632" t="s">
        <v>9</v>
      </c>
      <c r="B296" s="662">
        <v>43022</v>
      </c>
      <c r="C296" s="1132" t="s">
        <v>904</v>
      </c>
      <c r="D296" s="386">
        <v>0</v>
      </c>
      <c r="E296" s="636">
        <v>0</v>
      </c>
      <c r="F296" s="636">
        <v>44</v>
      </c>
      <c r="G296" s="636">
        <v>0.7</v>
      </c>
      <c r="H296" s="386">
        <v>2.4700000000000002</v>
      </c>
      <c r="I296" s="386">
        <v>16.5</v>
      </c>
      <c r="J296" s="609">
        <v>0</v>
      </c>
      <c r="K296" s="386">
        <v>1.71</v>
      </c>
      <c r="L296" s="610">
        <v>0</v>
      </c>
      <c r="M296" s="386">
        <v>16</v>
      </c>
      <c r="N296" s="609">
        <v>1.3</v>
      </c>
      <c r="O296" s="386">
        <v>1.6629509821066715</v>
      </c>
      <c r="P296" s="386">
        <v>1.1399999999999999</v>
      </c>
      <c r="Q296" s="386">
        <v>0.5913639877144673</v>
      </c>
      <c r="R296" s="732">
        <v>989.40523255813957</v>
      </c>
      <c r="S296" s="609">
        <v>8.0399999999999991</v>
      </c>
      <c r="T296" s="386">
        <v>8.23</v>
      </c>
      <c r="U296" s="609">
        <v>0.65</v>
      </c>
      <c r="V296" s="387">
        <v>0.64</v>
      </c>
      <c r="W296" s="971">
        <v>53.239999999999995</v>
      </c>
      <c r="X296" s="970">
        <v>53.600000000000009</v>
      </c>
      <c r="Y296" s="367">
        <v>28.1</v>
      </c>
      <c r="Z296" s="636">
        <v>32.9</v>
      </c>
      <c r="AA296" s="636">
        <v>28.1</v>
      </c>
      <c r="AB296" s="636">
        <v>33</v>
      </c>
      <c r="AC296" s="1160">
        <f t="shared" si="80"/>
        <v>61.1</v>
      </c>
      <c r="AD296" s="1160">
        <f t="shared" si="81"/>
        <v>94.521699999999996</v>
      </c>
      <c r="AE296" s="1160">
        <f t="shared" si="82"/>
        <v>94.521699999999996</v>
      </c>
      <c r="AF296" s="723"/>
      <c r="AG296" s="1160">
        <f t="shared" si="78"/>
        <v>0</v>
      </c>
      <c r="AH296" s="656"/>
      <c r="AI296" s="656"/>
      <c r="AJ296" s="388"/>
      <c r="AK296" s="388"/>
      <c r="AL296" s="388"/>
      <c r="AM296" s="388"/>
      <c r="AN296" s="388"/>
      <c r="AO296" s="987"/>
      <c r="AP296" s="370"/>
      <c r="AQ296" s="386"/>
      <c r="AR296" s="551">
        <v>0</v>
      </c>
      <c r="AS296" s="386">
        <v>24.8</v>
      </c>
      <c r="AT296" s="386">
        <v>0</v>
      </c>
      <c r="AU296" s="386">
        <v>26.6</v>
      </c>
      <c r="AV296" s="636">
        <v>294.7</v>
      </c>
      <c r="AW296" s="636">
        <v>302.8</v>
      </c>
      <c r="AX296" s="386">
        <v>0</v>
      </c>
      <c r="AY296" s="551">
        <v>0</v>
      </c>
      <c r="AZ296" s="551">
        <v>0</v>
      </c>
      <c r="BA296" s="551">
        <v>0</v>
      </c>
      <c r="BB296" s="832">
        <v>0</v>
      </c>
      <c r="BC296" s="386">
        <v>0.5</v>
      </c>
      <c r="BD296" s="386">
        <v>1.5</v>
      </c>
      <c r="BE296" s="551">
        <v>0</v>
      </c>
      <c r="BF296" s="386">
        <v>0.99</v>
      </c>
      <c r="BG296" s="386">
        <v>2.0299999999999998</v>
      </c>
      <c r="BH296" s="551">
        <v>0</v>
      </c>
      <c r="BI296" s="386">
        <v>1.47</v>
      </c>
      <c r="BJ296" s="386">
        <v>26.5</v>
      </c>
      <c r="BK296" s="386">
        <v>2.78</v>
      </c>
      <c r="BL296" s="386">
        <v>3.92</v>
      </c>
      <c r="BM296" s="386">
        <v>0</v>
      </c>
      <c r="BN296" s="386">
        <v>19.899999999999999</v>
      </c>
      <c r="BO296" s="386">
        <v>1551.6</v>
      </c>
      <c r="BP296" s="386">
        <v>2.2000000000000002</v>
      </c>
      <c r="BQ296" s="615">
        <v>21.3</v>
      </c>
      <c r="BR296" s="615">
        <v>22</v>
      </c>
      <c r="BS296" s="615">
        <v>13.05</v>
      </c>
      <c r="BT296" s="615">
        <v>13.18</v>
      </c>
      <c r="BU296" s="614">
        <v>26.9</v>
      </c>
      <c r="BV296" s="614">
        <v>33.5</v>
      </c>
      <c r="BW296" s="615">
        <v>823.7</v>
      </c>
      <c r="BX296" s="791"/>
      <c r="BY296" s="615">
        <v>0</v>
      </c>
      <c r="BZ296" s="615">
        <v>1.24</v>
      </c>
      <c r="CA296" s="615">
        <v>1</v>
      </c>
      <c r="CB296" s="615">
        <v>8.1</v>
      </c>
      <c r="CC296" s="615">
        <v>8.1</v>
      </c>
      <c r="CD296" s="615">
        <v>16.600000000000001</v>
      </c>
      <c r="CE296" s="615">
        <v>34.700000000000003</v>
      </c>
      <c r="CF296" s="615">
        <v>13.1</v>
      </c>
      <c r="CG296" s="615">
        <v>8.9</v>
      </c>
      <c r="CH296" s="615">
        <v>14.6</v>
      </c>
      <c r="CI296" s="615">
        <v>19</v>
      </c>
      <c r="CJ296" s="615">
        <v>13.4</v>
      </c>
      <c r="CK296" s="615">
        <v>506.8</v>
      </c>
      <c r="CL296" s="615">
        <v>3.1</v>
      </c>
      <c r="CM296" s="615">
        <v>4.8</v>
      </c>
      <c r="CN296" s="615">
        <v>264.3</v>
      </c>
      <c r="CO296" s="615">
        <v>465.5</v>
      </c>
      <c r="CP296" s="615">
        <v>0</v>
      </c>
      <c r="CQ296" s="615">
        <v>12.2</v>
      </c>
      <c r="CR296" s="615">
        <v>0.57999999999999996</v>
      </c>
      <c r="CS296" s="386">
        <v>0</v>
      </c>
      <c r="CT296" s="386">
        <v>16.507999999999999</v>
      </c>
      <c r="CU296" s="386">
        <v>56</v>
      </c>
      <c r="CV296" s="499">
        <v>0</v>
      </c>
      <c r="CW296" s="499">
        <v>0</v>
      </c>
      <c r="CX296" s="499">
        <v>0</v>
      </c>
      <c r="CY296" s="499">
        <v>0</v>
      </c>
      <c r="CZ296" s="608">
        <v>527</v>
      </c>
      <c r="DA296" s="608">
        <v>642</v>
      </c>
      <c r="DB296" s="608">
        <v>422</v>
      </c>
      <c r="DC296" s="609">
        <v>1117.1400000000001</v>
      </c>
      <c r="DD296" s="1153">
        <f t="shared" si="83"/>
        <v>-1.0799999999999272</v>
      </c>
      <c r="DE296" s="1154">
        <f t="shared" si="84"/>
        <v>0</v>
      </c>
      <c r="DF296" s="1154">
        <f t="shared" si="85"/>
        <v>312</v>
      </c>
      <c r="DG296" s="1154">
        <f t="shared" si="86"/>
        <v>392</v>
      </c>
      <c r="DH296" s="1155" t="str">
        <f t="shared" si="87"/>
        <v>Palm</v>
      </c>
      <c r="DI296" s="1146">
        <f t="shared" si="88"/>
        <v>220</v>
      </c>
      <c r="DJ296" s="1146">
        <f t="shared" si="89"/>
        <v>0</v>
      </c>
      <c r="DK296" s="1154">
        <f t="shared" si="90"/>
        <v>0</v>
      </c>
      <c r="DL296" s="615"/>
      <c r="DM296" s="615"/>
      <c r="DN296" s="615"/>
      <c r="DO296" s="499"/>
      <c r="DP296" s="499"/>
      <c r="DQ296" s="499"/>
      <c r="DR296" s="499"/>
      <c r="DS296" s="499"/>
      <c r="DT296" s="499"/>
      <c r="DU296" s="499"/>
      <c r="DV296" s="499"/>
      <c r="DW296" s="499"/>
      <c r="DX296" s="499"/>
      <c r="DY296" s="499"/>
      <c r="DZ296" s="499"/>
      <c r="EA296" s="499"/>
      <c r="EB296" s="499"/>
      <c r="EC296" s="499"/>
      <c r="ED296" s="499"/>
      <c r="EE296" s="499"/>
      <c r="EF296" s="499"/>
      <c r="EG296" s="1147">
        <f t="shared" si="91"/>
        <v>13.5</v>
      </c>
      <c r="EH296" s="499">
        <v>0</v>
      </c>
      <c r="EI296" s="615">
        <v>4</v>
      </c>
      <c r="EJ296" s="615">
        <v>3</v>
      </c>
      <c r="EK296" s="615">
        <v>6.5</v>
      </c>
      <c r="EL296" s="499"/>
      <c r="EM296" s="499"/>
      <c r="EN296" s="499"/>
      <c r="EO296" s="499"/>
      <c r="EP296" s="499"/>
      <c r="EQ296" s="499"/>
      <c r="ER296" s="499"/>
      <c r="ES296" s="388"/>
      <c r="ET296" s="388"/>
      <c r="EV296" s="1167">
        <f t="shared" si="79"/>
        <v>20.884499999999999</v>
      </c>
    </row>
    <row r="297" spans="1:154" s="350" customFormat="1" ht="15" x14ac:dyDescent="0.25">
      <c r="A297" s="632" t="s">
        <v>3</v>
      </c>
      <c r="B297" s="662">
        <v>43023</v>
      </c>
      <c r="C297" s="1132" t="s">
        <v>904</v>
      </c>
      <c r="D297" s="386">
        <v>0</v>
      </c>
      <c r="E297" s="636">
        <v>0</v>
      </c>
      <c r="F297" s="636">
        <v>45.6</v>
      </c>
      <c r="G297" s="636">
        <v>0.7</v>
      </c>
      <c r="H297" s="386">
        <v>2.16</v>
      </c>
      <c r="I297" s="386">
        <v>17</v>
      </c>
      <c r="J297" s="609">
        <v>0</v>
      </c>
      <c r="K297" s="386">
        <v>1.51</v>
      </c>
      <c r="L297" s="610">
        <v>0</v>
      </c>
      <c r="M297" s="386">
        <v>15.9</v>
      </c>
      <c r="N297" s="609">
        <v>1.26</v>
      </c>
      <c r="O297" s="386">
        <v>1.670784883720525</v>
      </c>
      <c r="P297" s="386">
        <v>1.19</v>
      </c>
      <c r="Q297" s="386">
        <v>0.65817079804145007</v>
      </c>
      <c r="R297" s="732">
        <v>1013.406976744186</v>
      </c>
      <c r="S297" s="609">
        <v>7.94</v>
      </c>
      <c r="T297" s="386">
        <v>8.06</v>
      </c>
      <c r="U297" s="609">
        <v>0.68</v>
      </c>
      <c r="V297" s="387">
        <v>0.67</v>
      </c>
      <c r="W297" s="971">
        <v>51.8</v>
      </c>
      <c r="X297" s="970">
        <v>52.160000000000011</v>
      </c>
      <c r="Y297" s="367">
        <v>28.1</v>
      </c>
      <c r="Z297" s="636">
        <v>32.9</v>
      </c>
      <c r="AA297" s="636">
        <v>28.1</v>
      </c>
      <c r="AB297" s="636">
        <v>32.96</v>
      </c>
      <c r="AC297" s="1160">
        <f t="shared" si="80"/>
        <v>61.06</v>
      </c>
      <c r="AD297" s="1160">
        <f t="shared" si="81"/>
        <v>94.459819999999993</v>
      </c>
      <c r="AE297" s="1160">
        <f t="shared" si="82"/>
        <v>94.459819999999993</v>
      </c>
      <c r="AF297" s="723"/>
      <c r="AG297" s="1160">
        <f t="shared" si="78"/>
        <v>0</v>
      </c>
      <c r="AH297" s="656"/>
      <c r="AI297" s="656"/>
      <c r="AJ297" s="388"/>
      <c r="AK297" s="388"/>
      <c r="AL297" s="388"/>
      <c r="AM297" s="388"/>
      <c r="AN297" s="388"/>
      <c r="AO297" s="987"/>
      <c r="AP297" s="370"/>
      <c r="AQ297" s="386"/>
      <c r="AR297" s="551">
        <v>0</v>
      </c>
      <c r="AS297" s="386">
        <v>24.6</v>
      </c>
      <c r="AT297" s="386">
        <v>0</v>
      </c>
      <c r="AU297" s="386">
        <v>26.6</v>
      </c>
      <c r="AV297" s="636">
        <v>491</v>
      </c>
      <c r="AW297" s="636">
        <v>404.5</v>
      </c>
      <c r="AX297" s="386">
        <v>0</v>
      </c>
      <c r="AY297" s="551">
        <v>0</v>
      </c>
      <c r="AZ297" s="551">
        <v>0</v>
      </c>
      <c r="BA297" s="551">
        <v>0</v>
      </c>
      <c r="BB297" s="832">
        <v>0</v>
      </c>
      <c r="BC297" s="386">
        <v>0.5</v>
      </c>
      <c r="BD297" s="386">
        <v>1.5</v>
      </c>
      <c r="BE297" s="551">
        <v>0</v>
      </c>
      <c r="BF297" s="386">
        <v>0.99</v>
      </c>
      <c r="BG297" s="386">
        <v>1.82</v>
      </c>
      <c r="BH297" s="551">
        <v>0</v>
      </c>
      <c r="BI297" s="386">
        <v>1.47</v>
      </c>
      <c r="BJ297" s="386">
        <v>26.7</v>
      </c>
      <c r="BK297" s="386">
        <v>3.1</v>
      </c>
      <c r="BL297" s="386">
        <v>3.66</v>
      </c>
      <c r="BM297" s="386">
        <v>0</v>
      </c>
      <c r="BN297" s="386">
        <v>20</v>
      </c>
      <c r="BO297" s="386">
        <v>949</v>
      </c>
      <c r="BP297" s="386">
        <v>2</v>
      </c>
      <c r="BQ297" s="615">
        <v>20.8</v>
      </c>
      <c r="BR297" s="615">
        <v>21.6</v>
      </c>
      <c r="BS297" s="615">
        <v>12.82</v>
      </c>
      <c r="BT297" s="615">
        <v>12.92</v>
      </c>
      <c r="BU297" s="614">
        <v>26.5</v>
      </c>
      <c r="BV297" s="614">
        <v>32.799999999999997</v>
      </c>
      <c r="BW297" s="615">
        <v>840.1</v>
      </c>
      <c r="BX297" s="791"/>
      <c r="BY297" s="615">
        <v>0</v>
      </c>
      <c r="BZ297" s="615">
        <v>1.25</v>
      </c>
      <c r="CA297" s="615">
        <v>1.1000000000000001</v>
      </c>
      <c r="CB297" s="615">
        <v>8.1</v>
      </c>
      <c r="CC297" s="615">
        <v>8.1</v>
      </c>
      <c r="CD297" s="615">
        <v>16.3</v>
      </c>
      <c r="CE297" s="615">
        <v>34.799999999999997</v>
      </c>
      <c r="CF297" s="615">
        <v>12</v>
      </c>
      <c r="CG297" s="615">
        <v>7.2</v>
      </c>
      <c r="CH297" s="615">
        <v>12.8</v>
      </c>
      <c r="CI297" s="615">
        <v>16.8</v>
      </c>
      <c r="CJ297" s="615">
        <v>13.3</v>
      </c>
      <c r="CK297" s="615">
        <v>498.2</v>
      </c>
      <c r="CL297" s="615">
        <v>2.7</v>
      </c>
      <c r="CM297" s="615">
        <v>4.5999999999999996</v>
      </c>
      <c r="CN297" s="615">
        <v>283.8</v>
      </c>
      <c r="CO297" s="615">
        <v>472.7</v>
      </c>
      <c r="CP297" s="615">
        <v>0</v>
      </c>
      <c r="CQ297" s="615">
        <v>12.4</v>
      </c>
      <c r="CR297" s="615">
        <v>0.74</v>
      </c>
      <c r="CS297" s="386">
        <v>0</v>
      </c>
      <c r="CT297" s="386">
        <v>16.802</v>
      </c>
      <c r="CU297" s="386">
        <v>56</v>
      </c>
      <c r="CV297" s="499">
        <v>0</v>
      </c>
      <c r="CW297" s="499">
        <v>0</v>
      </c>
      <c r="CX297" s="499">
        <v>0</v>
      </c>
      <c r="CY297" s="499">
        <v>0</v>
      </c>
      <c r="CZ297" s="608">
        <v>524</v>
      </c>
      <c r="DA297" s="608">
        <v>620</v>
      </c>
      <c r="DB297" s="608">
        <v>416</v>
      </c>
      <c r="DC297" s="609">
        <v>1115.69</v>
      </c>
      <c r="DD297" s="1153">
        <f t="shared" si="83"/>
        <v>-1.4500000000000455</v>
      </c>
      <c r="DE297" s="1154">
        <f t="shared" si="84"/>
        <v>0</v>
      </c>
      <c r="DF297" s="1154">
        <f t="shared" si="85"/>
        <v>306</v>
      </c>
      <c r="DG297" s="1154">
        <f t="shared" si="86"/>
        <v>370</v>
      </c>
      <c r="DH297" s="1155" t="str">
        <f t="shared" si="87"/>
        <v>Palm</v>
      </c>
      <c r="DI297" s="1146">
        <f t="shared" si="88"/>
        <v>204</v>
      </c>
      <c r="DJ297" s="1146">
        <f t="shared" si="89"/>
        <v>0</v>
      </c>
      <c r="DK297" s="1154">
        <f t="shared" si="90"/>
        <v>0</v>
      </c>
      <c r="DL297" s="615"/>
      <c r="DM297" s="615"/>
      <c r="DN297" s="615"/>
      <c r="DO297" s="499"/>
      <c r="DP297" s="499"/>
      <c r="DQ297" s="499"/>
      <c r="DR297" s="499"/>
      <c r="DS297" s="499"/>
      <c r="DT297" s="499"/>
      <c r="DU297" s="499"/>
      <c r="DV297" s="499"/>
      <c r="DW297" s="499"/>
      <c r="DX297" s="499"/>
      <c r="DY297" s="499"/>
      <c r="DZ297" s="499"/>
      <c r="EA297" s="499"/>
      <c r="EB297" s="499"/>
      <c r="EC297" s="499"/>
      <c r="ED297" s="499"/>
      <c r="EE297" s="499"/>
      <c r="EF297" s="499"/>
      <c r="EG297" s="1147">
        <f t="shared" si="91"/>
        <v>13.5</v>
      </c>
      <c r="EH297" s="499">
        <v>0</v>
      </c>
      <c r="EI297" s="615">
        <v>4</v>
      </c>
      <c r="EJ297" s="615">
        <v>3</v>
      </c>
      <c r="EK297" s="615">
        <v>6.5</v>
      </c>
      <c r="EL297" s="499"/>
      <c r="EM297" s="499"/>
      <c r="EN297" s="499"/>
      <c r="EO297" s="499"/>
      <c r="EP297" s="499"/>
      <c r="EQ297" s="499"/>
      <c r="ER297" s="499"/>
      <c r="ES297" s="388"/>
      <c r="ET297" s="388"/>
      <c r="EV297" s="1167">
        <f t="shared" si="79"/>
        <v>20.884499999999999</v>
      </c>
    </row>
    <row r="298" spans="1:154" s="350" customFormat="1" ht="15" x14ac:dyDescent="0.25">
      <c r="A298" s="632" t="s">
        <v>4</v>
      </c>
      <c r="B298" s="662">
        <v>43024</v>
      </c>
      <c r="C298" s="1132" t="s">
        <v>904</v>
      </c>
      <c r="D298" s="386">
        <v>0.01</v>
      </c>
      <c r="E298" s="636">
        <v>0</v>
      </c>
      <c r="F298" s="636">
        <v>46</v>
      </c>
      <c r="G298" s="636">
        <v>0.8</v>
      </c>
      <c r="H298" s="386">
        <v>1.52</v>
      </c>
      <c r="I298" s="386">
        <v>18</v>
      </c>
      <c r="J298" s="609">
        <v>0</v>
      </c>
      <c r="K298" s="386">
        <v>1.35</v>
      </c>
      <c r="L298" s="610">
        <v>0</v>
      </c>
      <c r="M298" s="386">
        <v>15.8</v>
      </c>
      <c r="N298" s="609">
        <v>1.28</v>
      </c>
      <c r="O298" s="386">
        <v>1.6501332364341088</v>
      </c>
      <c r="P298" s="386">
        <v>1.26</v>
      </c>
      <c r="Q298" s="386">
        <v>0.69899718213111717</v>
      </c>
      <c r="R298" s="732">
        <v>1014.0736918604651</v>
      </c>
      <c r="S298" s="609">
        <v>8.19</v>
      </c>
      <c r="T298" s="386">
        <v>8.15</v>
      </c>
      <c r="U298" s="609">
        <v>0.69</v>
      </c>
      <c r="V298" s="387">
        <v>0.68</v>
      </c>
      <c r="W298" s="971">
        <v>51.8</v>
      </c>
      <c r="X298" s="369">
        <v>51.980000000000004</v>
      </c>
      <c r="Y298" s="367">
        <v>28.1</v>
      </c>
      <c r="Z298" s="636">
        <v>32.96</v>
      </c>
      <c r="AA298" s="636">
        <v>28.17</v>
      </c>
      <c r="AB298" s="636">
        <v>32.950000000000003</v>
      </c>
      <c r="AC298" s="1160">
        <f t="shared" si="80"/>
        <v>61.120000000000005</v>
      </c>
      <c r="AD298" s="1160">
        <f t="shared" si="81"/>
        <v>94.552639999999997</v>
      </c>
      <c r="AE298" s="1160">
        <f t="shared" si="82"/>
        <v>94.552639999999997</v>
      </c>
      <c r="AF298" s="723"/>
      <c r="AG298" s="1160">
        <f t="shared" si="78"/>
        <v>0</v>
      </c>
      <c r="AH298" s="656"/>
      <c r="AI298" s="656"/>
      <c r="AJ298" s="388"/>
      <c r="AK298" s="388"/>
      <c r="AL298" s="388"/>
      <c r="AM298" s="388"/>
      <c r="AN298" s="388"/>
      <c r="AO298" s="987"/>
      <c r="AP298" s="370"/>
      <c r="AQ298" s="386"/>
      <c r="AR298" s="551">
        <v>0</v>
      </c>
      <c r="AS298" s="386">
        <v>21.6</v>
      </c>
      <c r="AT298" s="386">
        <v>0</v>
      </c>
      <c r="AU298" s="386">
        <v>26.6</v>
      </c>
      <c r="AV298" s="636">
        <v>562.6</v>
      </c>
      <c r="AW298" s="636">
        <v>411.3</v>
      </c>
      <c r="AX298" s="386">
        <v>0</v>
      </c>
      <c r="AY298" s="551">
        <v>0</v>
      </c>
      <c r="AZ298" s="551">
        <v>0</v>
      </c>
      <c r="BA298" s="551">
        <v>0</v>
      </c>
      <c r="BB298" s="832">
        <v>0</v>
      </c>
      <c r="BC298" s="386">
        <v>0.5</v>
      </c>
      <c r="BD298" s="386">
        <v>1.5</v>
      </c>
      <c r="BE298" s="551">
        <v>0</v>
      </c>
      <c r="BF298" s="386">
        <v>0.99</v>
      </c>
      <c r="BG298" s="386">
        <v>2.2599999999999998</v>
      </c>
      <c r="BH298" s="551">
        <v>0</v>
      </c>
      <c r="BI298" s="386">
        <v>1.47</v>
      </c>
      <c r="BJ298" s="386">
        <v>26.3</v>
      </c>
      <c r="BK298" s="386">
        <v>3.06</v>
      </c>
      <c r="BL298" s="386">
        <v>3.56</v>
      </c>
      <c r="BM298" s="386">
        <v>0</v>
      </c>
      <c r="BN298" s="386">
        <v>19.7</v>
      </c>
      <c r="BO298" s="386">
        <v>1427.7</v>
      </c>
      <c r="BP298" s="386">
        <v>2</v>
      </c>
      <c r="BQ298" s="615">
        <v>19.7</v>
      </c>
      <c r="BR298" s="615">
        <v>20.399999999999999</v>
      </c>
      <c r="BS298" s="615">
        <v>12.84</v>
      </c>
      <c r="BT298" s="615">
        <v>12.99</v>
      </c>
      <c r="BU298" s="614">
        <v>26.5</v>
      </c>
      <c r="BV298" s="614">
        <v>35</v>
      </c>
      <c r="BW298" s="615">
        <v>655.29999999999995</v>
      </c>
      <c r="BX298" s="791"/>
      <c r="BY298" s="615">
        <v>0</v>
      </c>
      <c r="BZ298" s="615">
        <v>1.25</v>
      </c>
      <c r="CA298" s="615">
        <v>1.1000000000000001</v>
      </c>
      <c r="CB298" s="615">
        <v>8.1999999999999993</v>
      </c>
      <c r="CC298" s="615">
        <v>8.1</v>
      </c>
      <c r="CD298" s="615">
        <v>16.5</v>
      </c>
      <c r="CE298" s="615">
        <v>34.700000000000003</v>
      </c>
      <c r="CF298" s="615">
        <v>14</v>
      </c>
      <c r="CG298" s="615">
        <v>8.3000000000000007</v>
      </c>
      <c r="CH298" s="615">
        <v>13.9</v>
      </c>
      <c r="CI298" s="615">
        <v>18.399999999999999</v>
      </c>
      <c r="CJ298" s="615">
        <v>13.4</v>
      </c>
      <c r="CK298" s="615">
        <v>507.2</v>
      </c>
      <c r="CL298" s="615">
        <v>2.8</v>
      </c>
      <c r="CM298" s="615">
        <v>4.3</v>
      </c>
      <c r="CN298" s="615">
        <v>190.3</v>
      </c>
      <c r="CO298" s="615">
        <v>450.8</v>
      </c>
      <c r="CP298" s="615">
        <v>0</v>
      </c>
      <c r="CQ298" s="615">
        <v>12.5</v>
      </c>
      <c r="CR298" s="615">
        <v>0.77</v>
      </c>
      <c r="CS298" s="386">
        <v>0</v>
      </c>
      <c r="CT298" s="386">
        <v>16.056000000000001</v>
      </c>
      <c r="CU298" s="609">
        <v>56</v>
      </c>
      <c r="CV298" s="499">
        <v>0</v>
      </c>
      <c r="CW298" s="499">
        <v>0</v>
      </c>
      <c r="CX298" s="499">
        <v>0</v>
      </c>
      <c r="CY298" s="499">
        <v>0</v>
      </c>
      <c r="CZ298" s="608">
        <v>608</v>
      </c>
      <c r="DA298" s="608">
        <v>680</v>
      </c>
      <c r="DB298" s="608">
        <v>485</v>
      </c>
      <c r="DC298" s="609">
        <v>1113.8800000000001</v>
      </c>
      <c r="DD298" s="1153">
        <f t="shared" si="83"/>
        <v>-1.8099999999999454</v>
      </c>
      <c r="DE298" s="1154">
        <f t="shared" si="84"/>
        <v>0</v>
      </c>
      <c r="DF298" s="1154">
        <f t="shared" si="85"/>
        <v>375</v>
      </c>
      <c r="DG298" s="1154">
        <f t="shared" si="86"/>
        <v>430</v>
      </c>
      <c r="DH298" s="1155" t="str">
        <f t="shared" si="87"/>
        <v>Palm</v>
      </c>
      <c r="DI298" s="1146">
        <f t="shared" si="88"/>
        <v>195</v>
      </c>
      <c r="DJ298" s="1146">
        <f t="shared" si="89"/>
        <v>0</v>
      </c>
      <c r="DK298" s="1154">
        <f t="shared" si="90"/>
        <v>0</v>
      </c>
      <c r="DL298" s="615"/>
      <c r="DM298" s="615"/>
      <c r="DN298" s="615"/>
      <c r="DO298" s="499"/>
      <c r="DP298" s="499"/>
      <c r="DQ298" s="499"/>
      <c r="DR298" s="499"/>
      <c r="DS298" s="499"/>
      <c r="DT298" s="499"/>
      <c r="DU298" s="499"/>
      <c r="DV298" s="499"/>
      <c r="DW298" s="499"/>
      <c r="DX298" s="499"/>
      <c r="DY298" s="499"/>
      <c r="DZ298" s="499"/>
      <c r="EA298" s="499"/>
      <c r="EB298" s="499"/>
      <c r="EC298" s="499"/>
      <c r="ED298" s="499"/>
      <c r="EE298" s="499"/>
      <c r="EF298" s="499"/>
      <c r="EG298" s="1147">
        <f t="shared" si="91"/>
        <v>13.5</v>
      </c>
      <c r="EH298" s="499">
        <v>0</v>
      </c>
      <c r="EI298" s="615">
        <v>4</v>
      </c>
      <c r="EJ298" s="615">
        <v>3</v>
      </c>
      <c r="EK298" s="615">
        <v>6.5</v>
      </c>
      <c r="EL298" s="499"/>
      <c r="EM298" s="499"/>
      <c r="EN298" s="499"/>
      <c r="EO298" s="499"/>
      <c r="EP298" s="499"/>
      <c r="EQ298" s="499"/>
      <c r="ER298" s="499"/>
      <c r="ES298" s="388"/>
      <c r="ET298" s="388"/>
      <c r="EV298" s="1167">
        <f t="shared" si="79"/>
        <v>20.884499999999999</v>
      </c>
    </row>
    <row r="299" spans="1:154" s="350" customFormat="1" ht="16.2" x14ac:dyDescent="0.35">
      <c r="A299" s="632" t="s">
        <v>5</v>
      </c>
      <c r="B299" s="662">
        <v>43025</v>
      </c>
      <c r="C299" s="1132" t="s">
        <v>904</v>
      </c>
      <c r="D299" s="386">
        <v>0.04</v>
      </c>
      <c r="E299" s="636">
        <v>0</v>
      </c>
      <c r="F299" s="636">
        <v>45</v>
      </c>
      <c r="G299" s="636">
        <v>0.9</v>
      </c>
      <c r="H299" s="386">
        <v>1.9</v>
      </c>
      <c r="I299" s="386">
        <v>16</v>
      </c>
      <c r="J299" s="609">
        <v>0</v>
      </c>
      <c r="K299" s="386">
        <v>1.25</v>
      </c>
      <c r="L299" s="610">
        <v>0</v>
      </c>
      <c r="M299" s="386">
        <v>16.100000000000001</v>
      </c>
      <c r="N299" s="609">
        <v>1.31</v>
      </c>
      <c r="O299" s="386">
        <v>1.6035004844957355</v>
      </c>
      <c r="P299" s="386">
        <v>1.27</v>
      </c>
      <c r="Q299" s="386">
        <v>0.69281136635942109</v>
      </c>
      <c r="R299" s="732">
        <v>989.07187499999998</v>
      </c>
      <c r="S299" s="609">
        <v>8.2200000000000006</v>
      </c>
      <c r="T299" s="386">
        <v>8.11</v>
      </c>
      <c r="U299" s="609">
        <v>0.68</v>
      </c>
      <c r="V299" s="387">
        <v>0.68</v>
      </c>
      <c r="W299" s="971">
        <v>52.519999999999996</v>
      </c>
      <c r="X299" s="369">
        <v>52.34</v>
      </c>
      <c r="Y299" s="367">
        <v>28.17</v>
      </c>
      <c r="Z299" s="636">
        <v>32.950000000000003</v>
      </c>
      <c r="AA299" s="636">
        <v>28.13</v>
      </c>
      <c r="AB299" s="636">
        <v>32.89</v>
      </c>
      <c r="AC299" s="1160">
        <f t="shared" si="80"/>
        <v>61.019999999999996</v>
      </c>
      <c r="AD299" s="1160">
        <f t="shared" si="81"/>
        <v>94.397939999999991</v>
      </c>
      <c r="AE299" s="1160">
        <f t="shared" si="82"/>
        <v>94.397939999999991</v>
      </c>
      <c r="AF299" s="723"/>
      <c r="AG299" s="1160">
        <f t="shared" si="78"/>
        <v>0</v>
      </c>
      <c r="AH299" s="656"/>
      <c r="AI299" s="656"/>
      <c r="AJ299" s="388"/>
      <c r="AK299" s="388"/>
      <c r="AL299" s="388"/>
      <c r="AM299" s="388"/>
      <c r="AN299" s="388"/>
      <c r="AO299" s="987"/>
      <c r="AP299" s="370"/>
      <c r="AQ299" s="386"/>
      <c r="AR299" s="551">
        <v>0</v>
      </c>
      <c r="AS299" s="386">
        <v>13.2</v>
      </c>
      <c r="AT299" s="1173">
        <v>0</v>
      </c>
      <c r="AU299" s="386">
        <v>26.1</v>
      </c>
      <c r="AV299" s="636">
        <v>382.8</v>
      </c>
      <c r="AW299" s="636">
        <v>239.6</v>
      </c>
      <c r="AX299" s="386">
        <v>0</v>
      </c>
      <c r="AY299" s="551">
        <v>0</v>
      </c>
      <c r="AZ299" s="551">
        <v>0</v>
      </c>
      <c r="BA299" s="551">
        <v>0</v>
      </c>
      <c r="BB299" s="832">
        <v>0</v>
      </c>
      <c r="BC299" s="386">
        <v>0.5</v>
      </c>
      <c r="BD299" s="386">
        <v>1.5</v>
      </c>
      <c r="BE299" s="551">
        <v>0</v>
      </c>
      <c r="BF299" s="386">
        <v>0.99</v>
      </c>
      <c r="BG299" s="386">
        <v>2.4900000000000002</v>
      </c>
      <c r="BH299" s="551">
        <v>0</v>
      </c>
      <c r="BI299" s="386">
        <v>1.47</v>
      </c>
      <c r="BJ299" s="386">
        <v>26</v>
      </c>
      <c r="BK299" s="386">
        <v>3.25</v>
      </c>
      <c r="BL299" s="386">
        <v>3.28</v>
      </c>
      <c r="BM299" s="386">
        <v>0</v>
      </c>
      <c r="BN299" s="386">
        <v>19.600000000000001</v>
      </c>
      <c r="BO299" s="386">
        <v>901</v>
      </c>
      <c r="BP299" s="386">
        <v>22.6</v>
      </c>
      <c r="BQ299" s="615">
        <v>20.399999999999999</v>
      </c>
      <c r="BR299" s="615">
        <v>21.2</v>
      </c>
      <c r="BS299" s="615">
        <v>12.83</v>
      </c>
      <c r="BT299" s="615">
        <v>12.94</v>
      </c>
      <c r="BU299" s="614">
        <v>26.5</v>
      </c>
      <c r="BV299" s="614">
        <v>29</v>
      </c>
      <c r="BW299" s="615">
        <v>787.3</v>
      </c>
      <c r="BX299" s="791"/>
      <c r="BY299" s="615">
        <v>0</v>
      </c>
      <c r="BZ299" s="615">
        <v>1.33</v>
      </c>
      <c r="CA299" s="615">
        <v>1.1000000000000001</v>
      </c>
      <c r="CB299" s="615">
        <v>8.4</v>
      </c>
      <c r="CC299" s="615">
        <v>8.1</v>
      </c>
      <c r="CD299" s="615">
        <v>15.8</v>
      </c>
      <c r="CE299" s="615">
        <v>34.799999999999997</v>
      </c>
      <c r="CF299" s="615">
        <v>13.1</v>
      </c>
      <c r="CG299" s="615">
        <v>7.3</v>
      </c>
      <c r="CH299" s="615">
        <v>12.9</v>
      </c>
      <c r="CI299" s="615">
        <v>16.899999999999999</v>
      </c>
      <c r="CJ299" s="615">
        <v>12.8</v>
      </c>
      <c r="CK299" s="615">
        <v>488.3</v>
      </c>
      <c r="CL299" s="615">
        <v>2.2999999999999998</v>
      </c>
      <c r="CM299" s="615">
        <v>4.2</v>
      </c>
      <c r="CN299" s="615">
        <v>190.5</v>
      </c>
      <c r="CO299" s="615">
        <v>418.4</v>
      </c>
      <c r="CP299" s="615">
        <v>0</v>
      </c>
      <c r="CQ299" s="615">
        <v>12.4</v>
      </c>
      <c r="CR299" s="615">
        <v>0.77</v>
      </c>
      <c r="CS299" s="386">
        <v>0</v>
      </c>
      <c r="CT299" s="386">
        <v>15.766</v>
      </c>
      <c r="CU299" s="609">
        <v>55</v>
      </c>
      <c r="CV299" s="499">
        <v>0</v>
      </c>
      <c r="CW299" s="499">
        <v>0</v>
      </c>
      <c r="CX299" s="499">
        <v>0</v>
      </c>
      <c r="CY299" s="499">
        <v>0</v>
      </c>
      <c r="CZ299" s="608">
        <v>649</v>
      </c>
      <c r="DA299" s="608">
        <v>742</v>
      </c>
      <c r="DB299" s="608">
        <v>536</v>
      </c>
      <c r="DC299" s="986">
        <v>1111.67</v>
      </c>
      <c r="DD299" s="1153">
        <f t="shared" si="83"/>
        <v>-2.2100000000000364</v>
      </c>
      <c r="DE299" s="1154">
        <f t="shared" si="84"/>
        <v>0</v>
      </c>
      <c r="DF299" s="1154">
        <f t="shared" si="85"/>
        <v>426</v>
      </c>
      <c r="DG299" s="1154">
        <f t="shared" si="86"/>
        <v>492</v>
      </c>
      <c r="DH299" s="1155" t="str">
        <f t="shared" si="87"/>
        <v>Palm</v>
      </c>
      <c r="DI299" s="1146">
        <f t="shared" si="88"/>
        <v>206</v>
      </c>
      <c r="DJ299" s="1146">
        <f t="shared" si="89"/>
        <v>0</v>
      </c>
      <c r="DK299" s="1154">
        <f t="shared" si="90"/>
        <v>0</v>
      </c>
      <c r="DL299" s="615"/>
      <c r="DM299" s="615"/>
      <c r="DN299" s="615"/>
      <c r="DO299" s="499"/>
      <c r="DP299" s="499"/>
      <c r="DQ299" s="499"/>
      <c r="DR299" s="499"/>
      <c r="DS299" s="499"/>
      <c r="DT299" s="499"/>
      <c r="DU299" s="499"/>
      <c r="DV299" s="499"/>
      <c r="DW299" s="499"/>
      <c r="DX299" s="499"/>
      <c r="DY299" s="499"/>
      <c r="DZ299" s="499"/>
      <c r="EA299" s="499"/>
      <c r="EB299" s="499"/>
      <c r="EC299" s="499"/>
      <c r="ED299" s="499"/>
      <c r="EE299" s="499"/>
      <c r="EF299" s="499"/>
      <c r="EG299" s="1147">
        <f t="shared" si="91"/>
        <v>13.5</v>
      </c>
      <c r="EH299" s="499">
        <v>0</v>
      </c>
      <c r="EI299" s="615">
        <v>4</v>
      </c>
      <c r="EJ299" s="615">
        <v>3</v>
      </c>
      <c r="EK299" s="615">
        <v>6.5</v>
      </c>
      <c r="EL299" s="499"/>
      <c r="EM299" s="499"/>
      <c r="EN299" s="499"/>
      <c r="EO299" s="499"/>
      <c r="EP299" s="499"/>
      <c r="EQ299" s="499"/>
      <c r="ER299" s="499"/>
      <c r="ES299" s="388"/>
      <c r="ET299" s="388"/>
      <c r="EV299" s="1167">
        <f t="shared" si="79"/>
        <v>20.884499999999999</v>
      </c>
    </row>
    <row r="300" spans="1:154" s="350" customFormat="1" ht="15" x14ac:dyDescent="0.25">
      <c r="A300" s="632" t="s">
        <v>6</v>
      </c>
      <c r="B300" s="662">
        <v>43026</v>
      </c>
      <c r="C300" s="1132" t="s">
        <v>904</v>
      </c>
      <c r="D300" s="609">
        <v>1.58</v>
      </c>
      <c r="E300" s="739">
        <v>0</v>
      </c>
      <c r="F300" s="739">
        <v>52.3</v>
      </c>
      <c r="G300" s="739">
        <v>0.9</v>
      </c>
      <c r="H300" s="609">
        <v>2.25</v>
      </c>
      <c r="I300" s="609">
        <v>16.3</v>
      </c>
      <c r="J300" s="609">
        <v>0</v>
      </c>
      <c r="K300" s="609">
        <v>1.74</v>
      </c>
      <c r="L300" s="741">
        <v>0</v>
      </c>
      <c r="M300" s="609">
        <v>16.2</v>
      </c>
      <c r="N300" s="609">
        <v>1.31</v>
      </c>
      <c r="O300" s="609">
        <v>1.5935342666515477</v>
      </c>
      <c r="P300" s="609">
        <v>1.32</v>
      </c>
      <c r="Q300" s="609">
        <v>0.68573968067595537</v>
      </c>
      <c r="R300" s="609">
        <v>986.73837209302337</v>
      </c>
      <c r="S300" s="609">
        <v>8.19</v>
      </c>
      <c r="T300" s="609">
        <v>8.27</v>
      </c>
      <c r="U300" s="609">
        <v>0.7</v>
      </c>
      <c r="V300" s="784">
        <v>0.71</v>
      </c>
      <c r="W300" s="971">
        <v>52.88000000000001</v>
      </c>
      <c r="X300" s="786">
        <v>52.88000000000001</v>
      </c>
      <c r="Y300" s="738">
        <v>28.13</v>
      </c>
      <c r="Z300" s="739">
        <v>32.89</v>
      </c>
      <c r="AA300" s="739">
        <v>28.28</v>
      </c>
      <c r="AB300" s="739">
        <v>32.9</v>
      </c>
      <c r="AC300" s="1160">
        <f t="shared" si="80"/>
        <v>61.18</v>
      </c>
      <c r="AD300" s="1160">
        <f t="shared" si="81"/>
        <v>94.64546</v>
      </c>
      <c r="AE300" s="1160">
        <f t="shared" si="82"/>
        <v>94.64546</v>
      </c>
      <c r="AF300" s="723"/>
      <c r="AG300" s="1160">
        <f t="shared" si="78"/>
        <v>0</v>
      </c>
      <c r="AH300" s="656"/>
      <c r="AI300" s="656"/>
      <c r="AJ300" s="388"/>
      <c r="AK300" s="388"/>
      <c r="AL300" s="388"/>
      <c r="AM300" s="388"/>
      <c r="AN300" s="388"/>
      <c r="AO300" s="987"/>
      <c r="AP300" s="370"/>
      <c r="AQ300" s="386"/>
      <c r="AR300" s="551">
        <v>0</v>
      </c>
      <c r="AS300" s="386">
        <v>23.3</v>
      </c>
      <c r="AT300" s="1173">
        <v>0</v>
      </c>
      <c r="AU300" s="386">
        <v>26</v>
      </c>
      <c r="AV300" s="636">
        <v>487.5</v>
      </c>
      <c r="AW300" s="636">
        <v>405.3</v>
      </c>
      <c r="AX300" s="386">
        <v>0</v>
      </c>
      <c r="AY300" s="551">
        <v>0</v>
      </c>
      <c r="AZ300" s="551">
        <v>0</v>
      </c>
      <c r="BA300" s="551">
        <v>0</v>
      </c>
      <c r="BB300" s="832">
        <v>0</v>
      </c>
      <c r="BC300" s="386">
        <v>0.5</v>
      </c>
      <c r="BD300" s="386">
        <v>1.49</v>
      </c>
      <c r="BE300" s="551">
        <v>0</v>
      </c>
      <c r="BF300" s="386">
        <v>0.99</v>
      </c>
      <c r="BG300" s="386">
        <v>2.4900000000000002</v>
      </c>
      <c r="BH300" s="551">
        <v>0</v>
      </c>
      <c r="BI300" s="386">
        <v>1.47</v>
      </c>
      <c r="BJ300" s="386">
        <v>25.9</v>
      </c>
      <c r="BK300" s="386">
        <v>3.38</v>
      </c>
      <c r="BL300" s="386">
        <v>3.23</v>
      </c>
      <c r="BM300" s="386">
        <v>0</v>
      </c>
      <c r="BN300" s="386">
        <v>19.399999999999999</v>
      </c>
      <c r="BO300" s="386">
        <v>1301</v>
      </c>
      <c r="BP300" s="386">
        <v>2</v>
      </c>
      <c r="BQ300" s="615">
        <v>20.5</v>
      </c>
      <c r="BR300" s="615">
        <v>21.3</v>
      </c>
      <c r="BS300" s="615">
        <v>12.54</v>
      </c>
      <c r="BT300" s="615">
        <v>12.69</v>
      </c>
      <c r="BU300" s="614">
        <v>26</v>
      </c>
      <c r="BV300" s="614">
        <v>30.4</v>
      </c>
      <c r="BW300" s="615">
        <v>770.4</v>
      </c>
      <c r="BX300" s="791"/>
      <c r="BY300" s="615">
        <v>0</v>
      </c>
      <c r="BZ300" s="615">
        <v>1.35</v>
      </c>
      <c r="CA300" s="615">
        <v>1.1000000000000001</v>
      </c>
      <c r="CB300" s="615">
        <v>8.4</v>
      </c>
      <c r="CC300" s="615">
        <v>8.1999999999999993</v>
      </c>
      <c r="CD300" s="615">
        <v>15</v>
      </c>
      <c r="CE300" s="615">
        <v>34.700000000000003</v>
      </c>
      <c r="CF300" s="615">
        <v>12.5</v>
      </c>
      <c r="CG300" s="615">
        <v>8</v>
      </c>
      <c r="CH300" s="615">
        <v>13.6</v>
      </c>
      <c r="CI300" s="615">
        <v>18</v>
      </c>
      <c r="CJ300" s="615">
        <v>12.5</v>
      </c>
      <c r="CK300" s="615">
        <v>510.5</v>
      </c>
      <c r="CL300" s="615">
        <v>2.1</v>
      </c>
      <c r="CM300" s="615">
        <v>3.9</v>
      </c>
      <c r="CN300" s="615">
        <v>205.2</v>
      </c>
      <c r="CO300" s="615">
        <v>437.8</v>
      </c>
      <c r="CP300" s="615">
        <v>0</v>
      </c>
      <c r="CQ300" s="615">
        <v>12.7</v>
      </c>
      <c r="CR300" s="615">
        <v>0.79</v>
      </c>
      <c r="CS300" s="386">
        <v>0</v>
      </c>
      <c r="CT300" s="386">
        <v>16.097000000000001</v>
      </c>
      <c r="CU300" s="609">
        <v>55</v>
      </c>
      <c r="CV300" s="499">
        <v>0</v>
      </c>
      <c r="CW300" s="499">
        <v>0</v>
      </c>
      <c r="CX300" s="499">
        <v>0</v>
      </c>
      <c r="CY300" s="499">
        <v>0</v>
      </c>
      <c r="CZ300" s="608">
        <v>726</v>
      </c>
      <c r="DA300" s="608">
        <v>800</v>
      </c>
      <c r="DB300" s="608">
        <v>672</v>
      </c>
      <c r="DC300" s="609">
        <v>1109.69</v>
      </c>
      <c r="DD300" s="1153">
        <f t="shared" si="83"/>
        <v>-1.9800000000000182</v>
      </c>
      <c r="DE300" s="1154">
        <f t="shared" si="84"/>
        <v>0</v>
      </c>
      <c r="DF300" s="1154">
        <f t="shared" si="85"/>
        <v>562</v>
      </c>
      <c r="DG300" s="1154">
        <f t="shared" si="86"/>
        <v>550</v>
      </c>
      <c r="DH300" s="1155" t="str">
        <f t="shared" si="87"/>
        <v>Aub</v>
      </c>
      <c r="DI300" s="1146">
        <f t="shared" si="88"/>
        <v>128</v>
      </c>
      <c r="DJ300" s="1146">
        <f t="shared" si="89"/>
        <v>0</v>
      </c>
      <c r="DK300" s="1154">
        <f t="shared" si="90"/>
        <v>0</v>
      </c>
      <c r="DL300" s="615"/>
      <c r="DM300" s="615"/>
      <c r="DN300" s="615"/>
      <c r="DO300" s="499"/>
      <c r="DP300" s="499"/>
      <c r="DQ300" s="499"/>
      <c r="DR300" s="499"/>
      <c r="DS300" s="499"/>
      <c r="DT300" s="499"/>
      <c r="DU300" s="499"/>
      <c r="DV300" s="499"/>
      <c r="DW300" s="499"/>
      <c r="DX300" s="499"/>
      <c r="DY300" s="499"/>
      <c r="DZ300" s="499"/>
      <c r="EA300" s="499"/>
      <c r="EB300" s="499"/>
      <c r="EC300" s="499"/>
      <c r="ED300" s="499"/>
      <c r="EE300" s="499"/>
      <c r="EF300" s="499"/>
      <c r="EG300" s="1147">
        <f t="shared" si="91"/>
        <v>13.5</v>
      </c>
      <c r="EH300" s="499">
        <v>0</v>
      </c>
      <c r="EI300" s="615">
        <v>4</v>
      </c>
      <c r="EJ300" s="615">
        <v>3</v>
      </c>
      <c r="EK300" s="615">
        <v>6.5</v>
      </c>
      <c r="EL300" s="499"/>
      <c r="EM300" s="499"/>
      <c r="EN300" s="499"/>
      <c r="EO300" s="499"/>
      <c r="EP300" s="499"/>
      <c r="EQ300" s="499"/>
      <c r="ER300" s="499"/>
      <c r="ES300" s="388"/>
      <c r="ET300" s="388"/>
      <c r="EV300" s="1167">
        <f t="shared" si="79"/>
        <v>20.884499999999999</v>
      </c>
    </row>
    <row r="301" spans="1:154" s="350" customFormat="1" ht="15" x14ac:dyDescent="0.25">
      <c r="A301" s="632" t="s">
        <v>7</v>
      </c>
      <c r="B301" s="662">
        <v>43027</v>
      </c>
      <c r="C301" s="1132" t="s">
        <v>904</v>
      </c>
      <c r="D301" s="609">
        <v>2.13</v>
      </c>
      <c r="E301" s="739">
        <v>0</v>
      </c>
      <c r="F301" s="739">
        <v>46</v>
      </c>
      <c r="G301" s="739">
        <v>2.15</v>
      </c>
      <c r="H301" s="609">
        <v>5.34</v>
      </c>
      <c r="I301" s="609">
        <v>17</v>
      </c>
      <c r="J301" s="609">
        <v>0</v>
      </c>
      <c r="K301" s="609">
        <v>3.65</v>
      </c>
      <c r="L301" s="741">
        <v>0</v>
      </c>
      <c r="M301" s="609">
        <v>17.7</v>
      </c>
      <c r="N301" s="609">
        <v>1.32</v>
      </c>
      <c r="O301" s="609">
        <v>1.6242367970754443</v>
      </c>
      <c r="P301" s="609">
        <v>1.32</v>
      </c>
      <c r="Q301" s="609">
        <v>0.69339333407395742</v>
      </c>
      <c r="R301" s="609">
        <v>995.73902616279065</v>
      </c>
      <c r="S301" s="609">
        <v>8.0399999999999991</v>
      </c>
      <c r="T301" s="609">
        <v>8.1300000000000008</v>
      </c>
      <c r="U301" s="609">
        <v>0.68</v>
      </c>
      <c r="V301" s="784">
        <v>0.69</v>
      </c>
      <c r="W301" s="971">
        <v>52.88000000000001</v>
      </c>
      <c r="X301" s="786">
        <v>53.239999999999995</v>
      </c>
      <c r="Y301" s="738">
        <v>28.28</v>
      </c>
      <c r="Z301" s="739">
        <v>32.9</v>
      </c>
      <c r="AA301" s="739">
        <v>28.21</v>
      </c>
      <c r="AB301" s="739">
        <v>32.9</v>
      </c>
      <c r="AC301" s="1160">
        <f t="shared" si="80"/>
        <v>61.11</v>
      </c>
      <c r="AD301" s="1160">
        <f t="shared" si="81"/>
        <v>94.537169999999989</v>
      </c>
      <c r="AE301" s="1160">
        <f t="shared" si="82"/>
        <v>94.537169999999989</v>
      </c>
      <c r="AF301" s="723"/>
      <c r="AG301" s="1160">
        <f t="shared" si="78"/>
        <v>0</v>
      </c>
      <c r="AH301" s="656"/>
      <c r="AI301" s="656"/>
      <c r="AJ301" s="388"/>
      <c r="AK301" s="388"/>
      <c r="AL301" s="388"/>
      <c r="AM301" s="388"/>
      <c r="AN301" s="388"/>
      <c r="AO301" s="987"/>
      <c r="AP301" s="370"/>
      <c r="AQ301" s="386"/>
      <c r="AR301" s="551">
        <v>0</v>
      </c>
      <c r="AS301" s="386">
        <v>26.3</v>
      </c>
      <c r="AT301" s="1173">
        <v>1.1200000000000001</v>
      </c>
      <c r="AU301" s="386">
        <v>26.7</v>
      </c>
      <c r="AV301" s="636">
        <v>263.5</v>
      </c>
      <c r="AW301" s="636">
        <v>249.4</v>
      </c>
      <c r="AX301" s="386">
        <v>0</v>
      </c>
      <c r="AY301" s="551">
        <v>0</v>
      </c>
      <c r="AZ301" s="551">
        <v>0</v>
      </c>
      <c r="BA301" s="551">
        <v>0</v>
      </c>
      <c r="BB301" s="832">
        <v>0</v>
      </c>
      <c r="BC301" s="386">
        <v>0.51</v>
      </c>
      <c r="BD301" s="386">
        <v>1.5</v>
      </c>
      <c r="BE301" s="551">
        <v>0</v>
      </c>
      <c r="BF301" s="386">
        <v>0.99</v>
      </c>
      <c r="BG301" s="386">
        <v>2.2599999999999998</v>
      </c>
      <c r="BH301" s="551">
        <v>0</v>
      </c>
      <c r="BI301" s="386">
        <v>1.47</v>
      </c>
      <c r="BJ301" s="386">
        <v>26.2</v>
      </c>
      <c r="BK301" s="386">
        <v>3.32</v>
      </c>
      <c r="BL301" s="386">
        <v>3.23</v>
      </c>
      <c r="BM301" s="386">
        <v>0</v>
      </c>
      <c r="BN301" s="386">
        <v>19.7</v>
      </c>
      <c r="BO301" s="386">
        <v>1022.3</v>
      </c>
      <c r="BP301" s="386">
        <v>2</v>
      </c>
      <c r="BQ301" s="615">
        <v>20.3</v>
      </c>
      <c r="BR301" s="615">
        <v>21.1</v>
      </c>
      <c r="BS301" s="615">
        <v>13.3</v>
      </c>
      <c r="BT301" s="615">
        <v>13.2</v>
      </c>
      <c r="BU301" s="614">
        <v>27</v>
      </c>
      <c r="BV301" s="614">
        <v>32.799999999999997</v>
      </c>
      <c r="BW301" s="615">
        <v>727.2</v>
      </c>
      <c r="BX301" s="791"/>
      <c r="BY301" s="615">
        <v>0</v>
      </c>
      <c r="BZ301" s="615">
        <v>1.34</v>
      </c>
      <c r="CA301" s="615">
        <v>1.1000000000000001</v>
      </c>
      <c r="CB301" s="615">
        <v>8.4</v>
      </c>
      <c r="CC301" s="615">
        <v>8.1999999999999993</v>
      </c>
      <c r="CD301" s="615">
        <v>16.899999999999999</v>
      </c>
      <c r="CE301" s="615">
        <v>34.700000000000003</v>
      </c>
      <c r="CF301" s="615">
        <v>14.1</v>
      </c>
      <c r="CG301" s="615">
        <v>7.6</v>
      </c>
      <c r="CH301" s="615">
        <v>13.3</v>
      </c>
      <c r="CI301" s="615">
        <v>17.3</v>
      </c>
      <c r="CJ301" s="615">
        <v>13.8</v>
      </c>
      <c r="CK301" s="615">
        <v>529.5</v>
      </c>
      <c r="CL301" s="615">
        <v>2.8</v>
      </c>
      <c r="CM301" s="615">
        <v>3</v>
      </c>
      <c r="CN301" s="615">
        <v>179</v>
      </c>
      <c r="CO301" s="615">
        <v>413.1</v>
      </c>
      <c r="CP301" s="615">
        <v>0</v>
      </c>
      <c r="CQ301" s="615">
        <v>12.3</v>
      </c>
      <c r="CR301" s="615">
        <v>0.77</v>
      </c>
      <c r="CS301" s="386">
        <v>0</v>
      </c>
      <c r="CT301" s="386">
        <v>14.611000000000001</v>
      </c>
      <c r="CU301" s="609">
        <v>55</v>
      </c>
      <c r="CV301" s="499">
        <v>0</v>
      </c>
      <c r="CW301" s="499">
        <v>0</v>
      </c>
      <c r="CX301" s="499">
        <v>0</v>
      </c>
      <c r="CY301" s="499">
        <v>0</v>
      </c>
      <c r="CZ301" s="608">
        <v>1679</v>
      </c>
      <c r="DA301" s="608">
        <v>2096</v>
      </c>
      <c r="DB301" s="608">
        <v>1650</v>
      </c>
      <c r="DC301" s="609">
        <v>1111.77</v>
      </c>
      <c r="DD301" s="1153">
        <f t="shared" si="83"/>
        <v>2.0799999999999272</v>
      </c>
      <c r="DE301" s="1154">
        <f t="shared" si="84"/>
        <v>0</v>
      </c>
      <c r="DF301" s="1154">
        <f t="shared" si="85"/>
        <v>1540</v>
      </c>
      <c r="DG301" s="1154">
        <f t="shared" si="86"/>
        <v>1846</v>
      </c>
      <c r="DH301" s="1155" t="str">
        <f t="shared" si="87"/>
        <v>Palm</v>
      </c>
      <c r="DI301" s="1146">
        <f t="shared" si="88"/>
        <v>446</v>
      </c>
      <c r="DJ301" s="1146">
        <f t="shared" si="89"/>
        <v>0</v>
      </c>
      <c r="DK301" s="1154">
        <f t="shared" si="90"/>
        <v>0</v>
      </c>
      <c r="DL301" s="615"/>
      <c r="DM301" s="615"/>
      <c r="DN301" s="615"/>
      <c r="DO301" s="499"/>
      <c r="DP301" s="499"/>
      <c r="DQ301" s="499"/>
      <c r="DR301" s="499"/>
      <c r="DS301" s="499"/>
      <c r="DT301" s="499"/>
      <c r="DU301" s="499"/>
      <c r="DV301" s="499"/>
      <c r="DW301" s="499"/>
      <c r="DX301" s="499"/>
      <c r="DY301" s="499"/>
      <c r="DZ301" s="499"/>
      <c r="EA301" s="499"/>
      <c r="EB301" s="499"/>
      <c r="EC301" s="499"/>
      <c r="ED301" s="499"/>
      <c r="EE301" s="499"/>
      <c r="EF301" s="499"/>
      <c r="EG301" s="1147">
        <f t="shared" si="91"/>
        <v>13.5</v>
      </c>
      <c r="EH301" s="499">
        <v>0</v>
      </c>
      <c r="EI301" s="615">
        <v>4</v>
      </c>
      <c r="EJ301" s="615">
        <v>3</v>
      </c>
      <c r="EK301" s="615">
        <v>6.5</v>
      </c>
      <c r="EL301" s="499"/>
      <c r="EM301" s="499"/>
      <c r="EN301" s="499"/>
      <c r="EO301" s="499"/>
      <c r="EP301" s="499"/>
      <c r="EQ301" s="499"/>
      <c r="ER301" s="499"/>
      <c r="ES301" s="388"/>
      <c r="ET301" s="388"/>
      <c r="EV301" s="1167">
        <f t="shared" si="79"/>
        <v>20.884499999999999</v>
      </c>
    </row>
    <row r="302" spans="1:154" s="350" customFormat="1" ht="15" x14ac:dyDescent="0.25">
      <c r="A302" s="632" t="s">
        <v>8</v>
      </c>
      <c r="B302" s="662">
        <v>43028</v>
      </c>
      <c r="C302" s="1132" t="s">
        <v>904</v>
      </c>
      <c r="D302" s="609">
        <v>0.52</v>
      </c>
      <c r="E302" s="739">
        <v>0</v>
      </c>
      <c r="F302" s="739">
        <v>42</v>
      </c>
      <c r="G302" s="739">
        <v>2.8</v>
      </c>
      <c r="H302" s="609">
        <v>5.79</v>
      </c>
      <c r="I302" s="609">
        <v>13</v>
      </c>
      <c r="J302" s="609">
        <v>0</v>
      </c>
      <c r="K302" s="609">
        <v>4.6399999999999997</v>
      </c>
      <c r="L302" s="741">
        <v>0</v>
      </c>
      <c r="M302" s="609">
        <v>17.7</v>
      </c>
      <c r="N302" s="609">
        <v>1.25</v>
      </c>
      <c r="O302" s="609">
        <v>-7.985037885268277E-4</v>
      </c>
      <c r="P302" s="609">
        <v>1.28</v>
      </c>
      <c r="Q302" s="609">
        <v>-1.8352659952899022E-4</v>
      </c>
      <c r="R302" s="609">
        <v>1002.072819767442</v>
      </c>
      <c r="S302" s="609">
        <v>8.0399999999999991</v>
      </c>
      <c r="T302" s="609">
        <v>8.18</v>
      </c>
      <c r="U302" s="609">
        <v>0.66</v>
      </c>
      <c r="V302" s="784">
        <v>0.66</v>
      </c>
      <c r="W302" s="971">
        <v>51.620000000000005</v>
      </c>
      <c r="X302" s="786">
        <v>51.980000000000004</v>
      </c>
      <c r="Y302" s="738">
        <v>28.21</v>
      </c>
      <c r="Z302" s="739">
        <v>32.9</v>
      </c>
      <c r="AA302" s="739">
        <v>28.21</v>
      </c>
      <c r="AB302" s="739">
        <v>32.9</v>
      </c>
      <c r="AC302" s="1160">
        <f t="shared" si="80"/>
        <v>61.11</v>
      </c>
      <c r="AD302" s="1160">
        <f t="shared" si="81"/>
        <v>94.537169999999989</v>
      </c>
      <c r="AE302" s="1160">
        <f t="shared" si="82"/>
        <v>94.537169999999989</v>
      </c>
      <c r="AF302" s="723"/>
      <c r="AG302" s="1160">
        <f t="shared" si="78"/>
        <v>0</v>
      </c>
      <c r="AH302" s="656"/>
      <c r="AI302" s="656"/>
      <c r="AJ302" s="388"/>
      <c r="AK302" s="388"/>
      <c r="AL302" s="388"/>
      <c r="AM302" s="388"/>
      <c r="AN302" s="388"/>
      <c r="AO302" s="987"/>
      <c r="AP302" s="370"/>
      <c r="AQ302" s="386"/>
      <c r="AR302" s="551">
        <v>0</v>
      </c>
      <c r="AS302" s="386">
        <v>25.7</v>
      </c>
      <c r="AT302" s="386">
        <v>0</v>
      </c>
      <c r="AU302" s="386">
        <v>26.6</v>
      </c>
      <c r="AV302" s="636">
        <v>588.1</v>
      </c>
      <c r="AW302" s="636">
        <v>371.8</v>
      </c>
      <c r="AX302" s="386">
        <v>0</v>
      </c>
      <c r="AY302" s="551">
        <v>0</v>
      </c>
      <c r="AZ302" s="551">
        <v>0</v>
      </c>
      <c r="BA302" s="551">
        <v>0</v>
      </c>
      <c r="BB302" s="832">
        <v>0</v>
      </c>
      <c r="BC302" s="386">
        <v>0.51</v>
      </c>
      <c r="BD302" s="386">
        <v>1.5</v>
      </c>
      <c r="BE302" s="551">
        <v>0</v>
      </c>
      <c r="BF302" s="386">
        <v>0.99</v>
      </c>
      <c r="BG302" s="386">
        <v>2.36</v>
      </c>
      <c r="BH302" s="551">
        <v>0</v>
      </c>
      <c r="BI302" s="386">
        <v>1.27</v>
      </c>
      <c r="BJ302" s="386">
        <v>26.3</v>
      </c>
      <c r="BK302" s="386">
        <v>3.22</v>
      </c>
      <c r="BL302" s="386">
        <v>3.34</v>
      </c>
      <c r="BM302" s="386">
        <v>0</v>
      </c>
      <c r="BN302" s="386">
        <v>19.8</v>
      </c>
      <c r="BO302" s="386">
        <v>1197.5999999999999</v>
      </c>
      <c r="BP302" s="386">
        <v>2</v>
      </c>
      <c r="BQ302" s="615">
        <v>21.32</v>
      </c>
      <c r="BR302" s="615">
        <v>22.11</v>
      </c>
      <c r="BS302" s="615">
        <v>12.92</v>
      </c>
      <c r="BT302" s="615">
        <v>13.03</v>
      </c>
      <c r="BU302" s="614">
        <v>26.7</v>
      </c>
      <c r="BV302" s="614">
        <v>28.6</v>
      </c>
      <c r="BW302" s="615">
        <v>671.1</v>
      </c>
      <c r="BX302" s="791">
        <v>0</v>
      </c>
      <c r="BY302" s="615">
        <v>0</v>
      </c>
      <c r="BZ302" s="615">
        <v>1.27</v>
      </c>
      <c r="CA302" s="615">
        <v>1.1000000000000001</v>
      </c>
      <c r="CB302" s="615">
        <v>8.1999999999999993</v>
      </c>
      <c r="CC302" s="615">
        <v>8.1999999999999993</v>
      </c>
      <c r="CD302" s="615">
        <v>15.8</v>
      </c>
      <c r="CE302" s="615">
        <v>34.700000000000003</v>
      </c>
      <c r="CF302" s="615">
        <v>12.6</v>
      </c>
      <c r="CG302" s="615">
        <v>7.8</v>
      </c>
      <c r="CH302" s="615">
        <v>13.3</v>
      </c>
      <c r="CI302" s="615">
        <v>17.8</v>
      </c>
      <c r="CJ302" s="615">
        <v>12.92</v>
      </c>
      <c r="CK302" s="615">
        <v>498.8</v>
      </c>
      <c r="CL302" s="615">
        <v>2.2999999999999998</v>
      </c>
      <c r="CM302" s="615">
        <v>4.5999999999999996</v>
      </c>
      <c r="CN302" s="615">
        <v>190.9</v>
      </c>
      <c r="CO302" s="615">
        <v>549.9</v>
      </c>
      <c r="CP302" s="615">
        <v>0</v>
      </c>
      <c r="CQ302" s="615">
        <v>12.8</v>
      </c>
      <c r="CR302" s="615">
        <v>0.69</v>
      </c>
      <c r="CS302" s="386">
        <v>0</v>
      </c>
      <c r="CT302" s="386">
        <v>16.824000000000002</v>
      </c>
      <c r="CU302" s="609">
        <v>54</v>
      </c>
      <c r="CV302" s="499">
        <v>0</v>
      </c>
      <c r="CW302" s="499">
        <v>0</v>
      </c>
      <c r="CX302" s="499">
        <v>0</v>
      </c>
      <c r="CY302" s="499">
        <v>0</v>
      </c>
      <c r="CZ302" s="608">
        <v>2680</v>
      </c>
      <c r="DA302" s="608">
        <v>2970</v>
      </c>
      <c r="DB302" s="608">
        <v>2360</v>
      </c>
      <c r="DC302" s="609">
        <v>1108.43</v>
      </c>
      <c r="DD302" s="1153">
        <f t="shared" si="83"/>
        <v>-3.3399999999999181</v>
      </c>
      <c r="DE302" s="1154">
        <f t="shared" si="84"/>
        <v>0</v>
      </c>
      <c r="DF302" s="1154">
        <f t="shared" si="85"/>
        <v>2250</v>
      </c>
      <c r="DG302" s="1154">
        <f t="shared" si="86"/>
        <v>2720</v>
      </c>
      <c r="DH302" s="1155" t="str">
        <f t="shared" si="87"/>
        <v>Palm</v>
      </c>
      <c r="DI302" s="1146">
        <f t="shared" si="88"/>
        <v>610</v>
      </c>
      <c r="DJ302" s="1146">
        <f t="shared" si="89"/>
        <v>0</v>
      </c>
      <c r="DK302" s="1154">
        <f t="shared" si="90"/>
        <v>0</v>
      </c>
      <c r="DL302" s="615"/>
      <c r="DM302" s="615"/>
      <c r="DN302" s="615"/>
      <c r="DO302" s="499"/>
      <c r="DP302" s="499"/>
      <c r="DQ302" s="499"/>
      <c r="DR302" s="499"/>
      <c r="DS302" s="499"/>
      <c r="DT302" s="499"/>
      <c r="DU302" s="499"/>
      <c r="DV302" s="499"/>
      <c r="DW302" s="499"/>
      <c r="DX302" s="499"/>
      <c r="DY302" s="499"/>
      <c r="DZ302" s="499"/>
      <c r="EA302" s="499"/>
      <c r="EB302" s="499"/>
      <c r="EC302" s="499"/>
      <c r="ED302" s="499"/>
      <c r="EE302" s="499"/>
      <c r="EF302" s="499"/>
      <c r="EG302" s="1147">
        <f t="shared" si="91"/>
        <v>13</v>
      </c>
      <c r="EH302" s="499">
        <v>0</v>
      </c>
      <c r="EI302" s="615">
        <v>3</v>
      </c>
      <c r="EJ302" s="615">
        <v>3.5</v>
      </c>
      <c r="EK302" s="615">
        <v>6.5</v>
      </c>
      <c r="EL302" s="499"/>
      <c r="EM302" s="499"/>
      <c r="EN302" s="499"/>
      <c r="EO302" s="499"/>
      <c r="EP302" s="499"/>
      <c r="EQ302" s="499"/>
      <c r="ER302" s="499"/>
      <c r="ES302" s="388"/>
      <c r="ET302" s="388"/>
      <c r="EV302" s="1167">
        <f t="shared" si="79"/>
        <v>20.111000000000001</v>
      </c>
    </row>
    <row r="303" spans="1:154" s="350" customFormat="1" ht="15" x14ac:dyDescent="0.25">
      <c r="A303" s="632" t="s">
        <v>9</v>
      </c>
      <c r="B303" s="662">
        <v>43029</v>
      </c>
      <c r="C303" s="1132" t="s">
        <v>904</v>
      </c>
      <c r="D303" s="609">
        <v>2.81</v>
      </c>
      <c r="E303" s="739">
        <v>0</v>
      </c>
      <c r="F303" s="739">
        <v>54</v>
      </c>
      <c r="G303" s="739">
        <v>3</v>
      </c>
      <c r="H303" s="609">
        <v>10.54</v>
      </c>
      <c r="I303" s="609">
        <v>14.2</v>
      </c>
      <c r="J303" s="609">
        <v>0</v>
      </c>
      <c r="K303" s="609">
        <v>7.93</v>
      </c>
      <c r="L303" s="741">
        <v>0</v>
      </c>
      <c r="M303" s="609">
        <v>18.600000000000001</v>
      </c>
      <c r="N303" s="609">
        <v>1.27</v>
      </c>
      <c r="O303" s="609">
        <v>7.8466468898089894E-4</v>
      </c>
      <c r="P303" s="609">
        <v>1.22</v>
      </c>
      <c r="Q303" s="609">
        <v>1.8342961400073527E-4</v>
      </c>
      <c r="R303" s="609">
        <v>988.73851744186061</v>
      </c>
      <c r="S303" s="609">
        <v>8.06</v>
      </c>
      <c r="T303" s="609">
        <v>8.1</v>
      </c>
      <c r="U303" s="609">
        <v>0.65</v>
      </c>
      <c r="V303" s="784">
        <v>0.65</v>
      </c>
      <c r="W303" s="971">
        <v>50.180000000000007</v>
      </c>
      <c r="X303" s="786">
        <v>50.360000000000014</v>
      </c>
      <c r="Y303" s="738">
        <v>28.21</v>
      </c>
      <c r="Z303" s="739">
        <v>32.9</v>
      </c>
      <c r="AA303" s="739">
        <v>28.11</v>
      </c>
      <c r="AB303" s="739">
        <v>33.1</v>
      </c>
      <c r="AC303" s="1160">
        <f t="shared" si="80"/>
        <v>61.21</v>
      </c>
      <c r="AD303" s="1160">
        <f t="shared" si="81"/>
        <v>94.691869999999994</v>
      </c>
      <c r="AE303" s="1160">
        <f t="shared" si="82"/>
        <v>94.691869999999994</v>
      </c>
      <c r="AF303" s="723"/>
      <c r="AG303" s="1160">
        <f t="shared" si="78"/>
        <v>0</v>
      </c>
      <c r="AH303" s="656"/>
      <c r="AI303" s="656"/>
      <c r="AJ303" s="388"/>
      <c r="AK303" s="388"/>
      <c r="AL303" s="388"/>
      <c r="AM303" s="388"/>
      <c r="AN303" s="388"/>
      <c r="AO303" s="987"/>
      <c r="AP303" s="370"/>
      <c r="AQ303" s="386"/>
      <c r="AR303" s="551">
        <v>0</v>
      </c>
      <c r="AS303" s="386">
        <v>28.8</v>
      </c>
      <c r="AT303" s="386">
        <v>0</v>
      </c>
      <c r="AU303" s="386">
        <v>26.5</v>
      </c>
      <c r="AV303" s="636">
        <v>331.4</v>
      </c>
      <c r="AW303" s="636">
        <v>288</v>
      </c>
      <c r="AX303" s="386">
        <v>0</v>
      </c>
      <c r="AY303" s="551">
        <v>0</v>
      </c>
      <c r="AZ303" s="551">
        <v>0</v>
      </c>
      <c r="BA303" s="551">
        <v>0</v>
      </c>
      <c r="BB303" s="832">
        <v>0</v>
      </c>
      <c r="BC303" s="386">
        <v>0.5</v>
      </c>
      <c r="BD303" s="386">
        <v>1.5</v>
      </c>
      <c r="BE303" s="551">
        <v>0</v>
      </c>
      <c r="BF303" s="386">
        <v>0.99</v>
      </c>
      <c r="BG303" s="386">
        <v>1.85</v>
      </c>
      <c r="BH303" s="551">
        <v>0</v>
      </c>
      <c r="BI303" s="386">
        <v>1.18</v>
      </c>
      <c r="BJ303" s="386">
        <v>26.7</v>
      </c>
      <c r="BK303" s="386">
        <v>3.01</v>
      </c>
      <c r="BL303" s="386">
        <v>3.7</v>
      </c>
      <c r="BM303" s="386">
        <v>0</v>
      </c>
      <c r="BN303" s="386">
        <v>20.5</v>
      </c>
      <c r="BO303" s="386">
        <v>1147.8</v>
      </c>
      <c r="BP303" s="386">
        <v>2.1</v>
      </c>
      <c r="BQ303" s="615">
        <v>21.31</v>
      </c>
      <c r="BR303" s="615">
        <v>22.13</v>
      </c>
      <c r="BS303" s="615">
        <v>12.97</v>
      </c>
      <c r="BT303" s="615">
        <v>13.05</v>
      </c>
      <c r="BU303" s="614">
        <v>26.8</v>
      </c>
      <c r="BV303" s="614">
        <v>31.8</v>
      </c>
      <c r="BW303" s="615">
        <v>796</v>
      </c>
      <c r="BX303" s="791"/>
      <c r="BY303" s="615">
        <v>0</v>
      </c>
      <c r="BZ303" s="615">
        <v>1.18</v>
      </c>
      <c r="CA303" s="615">
        <v>1.1000000000000001</v>
      </c>
      <c r="CB303" s="615">
        <v>8.1999999999999993</v>
      </c>
      <c r="CC303" s="615">
        <v>8.1999999999999993</v>
      </c>
      <c r="CD303" s="615">
        <v>16.5</v>
      </c>
      <c r="CE303" s="615">
        <v>34.700000000000003</v>
      </c>
      <c r="CF303" s="615">
        <v>14.9</v>
      </c>
      <c r="CG303" s="615">
        <v>7.9</v>
      </c>
      <c r="CH303" s="615">
        <v>13.5</v>
      </c>
      <c r="CI303" s="615">
        <v>17.600000000000001</v>
      </c>
      <c r="CJ303" s="615">
        <v>13.48</v>
      </c>
      <c r="CK303" s="615">
        <v>513.9</v>
      </c>
      <c r="CL303" s="615">
        <v>2.8</v>
      </c>
      <c r="CM303" s="615">
        <v>4</v>
      </c>
      <c r="CN303" s="615">
        <v>233</v>
      </c>
      <c r="CO303" s="615">
        <v>438.9</v>
      </c>
      <c r="CP303" s="615">
        <v>0</v>
      </c>
      <c r="CQ303" s="615">
        <v>12.3</v>
      </c>
      <c r="CR303" s="615">
        <v>0.81</v>
      </c>
      <c r="CS303" s="386">
        <v>0</v>
      </c>
      <c r="CT303" s="386">
        <v>15.991</v>
      </c>
      <c r="CU303" s="609">
        <v>54</v>
      </c>
      <c r="CV303" s="499">
        <v>0</v>
      </c>
      <c r="CW303" s="499">
        <v>0</v>
      </c>
      <c r="CX303" s="499">
        <v>0</v>
      </c>
      <c r="CY303" s="499">
        <v>0</v>
      </c>
      <c r="CZ303" s="608">
        <v>2580</v>
      </c>
      <c r="DA303" s="608">
        <v>3360</v>
      </c>
      <c r="DB303" s="608">
        <v>2600</v>
      </c>
      <c r="DC303" s="609">
        <v>1103.5</v>
      </c>
      <c r="DD303" s="1153">
        <f t="shared" si="83"/>
        <v>-4.9300000000000637</v>
      </c>
      <c r="DE303" s="1154">
        <f t="shared" si="84"/>
        <v>0</v>
      </c>
      <c r="DF303" s="1154">
        <f t="shared" si="85"/>
        <v>2490</v>
      </c>
      <c r="DG303" s="1154">
        <f t="shared" si="86"/>
        <v>3110</v>
      </c>
      <c r="DH303" s="1155" t="str">
        <f t="shared" si="87"/>
        <v>Palm</v>
      </c>
      <c r="DI303" s="1146">
        <f t="shared" si="88"/>
        <v>760</v>
      </c>
      <c r="DJ303" s="1146">
        <f t="shared" si="89"/>
        <v>0</v>
      </c>
      <c r="DK303" s="1154">
        <f t="shared" si="90"/>
        <v>0</v>
      </c>
      <c r="DL303" s="615"/>
      <c r="DM303" s="615"/>
      <c r="DN303" s="615"/>
      <c r="DO303" s="499"/>
      <c r="DP303" s="499"/>
      <c r="DQ303" s="499"/>
      <c r="DR303" s="499"/>
      <c r="DS303" s="499"/>
      <c r="DT303" s="499"/>
      <c r="DU303" s="499"/>
      <c r="DV303" s="499"/>
      <c r="DW303" s="499"/>
      <c r="DX303" s="499"/>
      <c r="DY303" s="499"/>
      <c r="DZ303" s="499"/>
      <c r="EA303" s="499"/>
      <c r="EB303" s="499"/>
      <c r="EC303" s="499"/>
      <c r="ED303" s="499"/>
      <c r="EE303" s="499"/>
      <c r="EF303" s="499"/>
      <c r="EG303" s="1147">
        <f t="shared" si="91"/>
        <v>13</v>
      </c>
      <c r="EH303" s="499">
        <v>0</v>
      </c>
      <c r="EI303" s="615">
        <v>3</v>
      </c>
      <c r="EJ303" s="615">
        <v>3.5</v>
      </c>
      <c r="EK303" s="615">
        <v>6.5</v>
      </c>
      <c r="EL303" s="499"/>
      <c r="EM303" s="499"/>
      <c r="EN303" s="499"/>
      <c r="EO303" s="499"/>
      <c r="EP303" s="499"/>
      <c r="EQ303" s="499"/>
      <c r="ER303" s="499"/>
      <c r="ES303" s="388"/>
      <c r="ET303" s="388"/>
      <c r="EV303" s="1167">
        <f t="shared" si="79"/>
        <v>20.111000000000001</v>
      </c>
    </row>
    <row r="304" spans="1:154" s="350" customFormat="1" ht="15" x14ac:dyDescent="0.25">
      <c r="A304" s="632" t="s">
        <v>3</v>
      </c>
      <c r="B304" s="662">
        <v>43030</v>
      </c>
      <c r="C304" s="1132" t="s">
        <v>904</v>
      </c>
      <c r="D304" s="609">
        <v>0.47</v>
      </c>
      <c r="E304" s="739">
        <v>0</v>
      </c>
      <c r="F304" s="739">
        <v>47</v>
      </c>
      <c r="G304" s="739">
        <v>4.0999999999999996</v>
      </c>
      <c r="H304" s="609">
        <v>113.4</v>
      </c>
      <c r="I304" s="609">
        <v>13.1</v>
      </c>
      <c r="J304" s="609">
        <v>0</v>
      </c>
      <c r="K304" s="609">
        <v>12.28</v>
      </c>
      <c r="L304" s="741">
        <v>29.459999999999127</v>
      </c>
      <c r="M304" s="609">
        <v>15</v>
      </c>
      <c r="N304" s="609">
        <v>1.34</v>
      </c>
      <c r="O304" s="609">
        <v>1.6225961538462363</v>
      </c>
      <c r="P304" s="609">
        <v>1.25</v>
      </c>
      <c r="Q304" s="609">
        <v>0.69084029285986159</v>
      </c>
      <c r="R304" s="609">
        <v>944.06860465116279</v>
      </c>
      <c r="S304" s="609">
        <v>8.2100000000000009</v>
      </c>
      <c r="T304" s="609">
        <v>8.1199999999999992</v>
      </c>
      <c r="U304" s="609">
        <v>0.68</v>
      </c>
      <c r="V304" s="784">
        <v>0.65</v>
      </c>
      <c r="W304" s="971">
        <v>48.38000000000001</v>
      </c>
      <c r="X304" s="786">
        <v>48.92</v>
      </c>
      <c r="Y304" s="738">
        <v>28.11</v>
      </c>
      <c r="Z304" s="739">
        <v>33.1</v>
      </c>
      <c r="AA304" s="739">
        <v>28</v>
      </c>
      <c r="AB304" s="739">
        <v>30.07</v>
      </c>
      <c r="AC304" s="1160">
        <f t="shared" si="80"/>
        <v>58.07</v>
      </c>
      <c r="AD304" s="1160">
        <f t="shared" si="81"/>
        <v>89.834289999999996</v>
      </c>
      <c r="AE304" s="1160">
        <f t="shared" si="82"/>
        <v>44.25967000000135</v>
      </c>
      <c r="AF304" s="723"/>
      <c r="AG304" s="1160">
        <f t="shared" si="78"/>
        <v>0</v>
      </c>
      <c r="AH304" s="988"/>
      <c r="AI304" s="656"/>
      <c r="AJ304" s="388"/>
      <c r="AK304" s="388"/>
      <c r="AL304" s="388"/>
      <c r="AM304" s="388"/>
      <c r="AN304" s="388"/>
      <c r="AO304" s="987"/>
      <c r="AP304" s="370"/>
      <c r="AQ304" s="386"/>
      <c r="AR304" s="551">
        <v>0</v>
      </c>
      <c r="AS304" s="386">
        <v>28.2</v>
      </c>
      <c r="AT304" s="386">
        <v>0</v>
      </c>
      <c r="AU304" s="386">
        <v>26.3</v>
      </c>
      <c r="AV304" s="636">
        <v>506.8</v>
      </c>
      <c r="AW304" s="636">
        <v>382.2</v>
      </c>
      <c r="AX304" s="386">
        <v>0</v>
      </c>
      <c r="AY304" s="551">
        <v>0</v>
      </c>
      <c r="AZ304" s="551">
        <v>0</v>
      </c>
      <c r="BA304" s="551">
        <v>0</v>
      </c>
      <c r="BB304" s="832">
        <v>0</v>
      </c>
      <c r="BC304" s="386">
        <v>0.49</v>
      </c>
      <c r="BD304" s="386">
        <v>1.5</v>
      </c>
      <c r="BE304" s="551">
        <v>0</v>
      </c>
      <c r="BF304" s="386">
        <v>0.99</v>
      </c>
      <c r="BG304" s="386">
        <v>1.95</v>
      </c>
      <c r="BH304" s="551">
        <v>0</v>
      </c>
      <c r="BI304" s="386">
        <v>1.18</v>
      </c>
      <c r="BJ304" s="386">
        <v>23.9</v>
      </c>
      <c r="BK304" s="386">
        <v>3</v>
      </c>
      <c r="BL304" s="386">
        <v>3.81</v>
      </c>
      <c r="BM304" s="386">
        <v>0</v>
      </c>
      <c r="BN304" s="386">
        <v>17.2</v>
      </c>
      <c r="BO304" s="386">
        <v>1215.4000000000001</v>
      </c>
      <c r="BP304" s="386">
        <v>2</v>
      </c>
      <c r="BQ304" s="615">
        <v>21.35</v>
      </c>
      <c r="BR304" s="615">
        <v>22.12</v>
      </c>
      <c r="BS304" s="615">
        <v>12.75</v>
      </c>
      <c r="BT304" s="615">
        <v>12.91</v>
      </c>
      <c r="BU304" s="614">
        <v>26.5</v>
      </c>
      <c r="BV304" s="614">
        <v>31.7</v>
      </c>
      <c r="BW304" s="615">
        <v>623.9</v>
      </c>
      <c r="BX304" s="791"/>
      <c r="BY304" s="615">
        <v>0</v>
      </c>
      <c r="BZ304" s="615">
        <v>1.21</v>
      </c>
      <c r="CA304" s="615">
        <v>1</v>
      </c>
      <c r="CB304" s="615">
        <v>8.3000000000000007</v>
      </c>
      <c r="CC304" s="615">
        <v>8.1</v>
      </c>
      <c r="CD304" s="615">
        <v>15.4</v>
      </c>
      <c r="CE304" s="615">
        <v>34.700000000000003</v>
      </c>
      <c r="CF304" s="615">
        <v>13.8</v>
      </c>
      <c r="CG304" s="615">
        <v>7.7</v>
      </c>
      <c r="CH304" s="615">
        <v>13.2</v>
      </c>
      <c r="CI304" s="615">
        <v>17.600000000000001</v>
      </c>
      <c r="CJ304" s="615">
        <v>12.95</v>
      </c>
      <c r="CK304" s="615">
        <v>178.2</v>
      </c>
      <c r="CL304" s="615">
        <v>1.9</v>
      </c>
      <c r="CM304" s="615">
        <v>3.9</v>
      </c>
      <c r="CN304" s="615">
        <v>272.2</v>
      </c>
      <c r="CO304" s="615">
        <v>455.9</v>
      </c>
      <c r="CP304" s="615">
        <v>0</v>
      </c>
      <c r="CQ304" s="615">
        <v>12.1</v>
      </c>
      <c r="CR304" s="615">
        <v>0.71</v>
      </c>
      <c r="CS304" s="386">
        <v>0</v>
      </c>
      <c r="CT304" s="386">
        <v>15.92</v>
      </c>
      <c r="CU304" s="609">
        <v>54</v>
      </c>
      <c r="CV304" s="499">
        <v>0</v>
      </c>
      <c r="CW304" s="499">
        <v>0</v>
      </c>
      <c r="CX304" s="499">
        <v>0</v>
      </c>
      <c r="CY304" s="499">
        <v>0</v>
      </c>
      <c r="CZ304" s="608">
        <v>4730</v>
      </c>
      <c r="DA304" s="608">
        <v>5430</v>
      </c>
      <c r="DB304" s="608">
        <v>3970</v>
      </c>
      <c r="DC304" s="609">
        <v>1128.48</v>
      </c>
      <c r="DD304" s="1153">
        <f t="shared" si="83"/>
        <v>24.980000000000018</v>
      </c>
      <c r="DE304" s="1154">
        <f t="shared" si="84"/>
        <v>0</v>
      </c>
      <c r="DF304" s="1154">
        <f t="shared" si="85"/>
        <v>3860</v>
      </c>
      <c r="DG304" s="1154">
        <f t="shared" si="86"/>
        <v>5180</v>
      </c>
      <c r="DH304" s="1155" t="str">
        <f t="shared" si="87"/>
        <v>Palm</v>
      </c>
      <c r="DI304" s="1146">
        <f t="shared" si="88"/>
        <v>1460</v>
      </c>
      <c r="DJ304" s="1146">
        <f t="shared" si="89"/>
        <v>0</v>
      </c>
      <c r="DK304" s="1154">
        <f t="shared" si="90"/>
        <v>0</v>
      </c>
      <c r="DL304" s="615"/>
      <c r="DM304" s="615"/>
      <c r="DN304" s="615"/>
      <c r="DO304" s="499"/>
      <c r="DP304" s="499"/>
      <c r="DQ304" s="499"/>
      <c r="DR304" s="499"/>
      <c r="DS304" s="499"/>
      <c r="DT304" s="499"/>
      <c r="DU304" s="499"/>
      <c r="DV304" s="499"/>
      <c r="DW304" s="499"/>
      <c r="DX304" s="499"/>
      <c r="DY304" s="499"/>
      <c r="DZ304" s="499"/>
      <c r="EA304" s="499"/>
      <c r="EB304" s="499"/>
      <c r="EC304" s="499"/>
      <c r="ED304" s="499"/>
      <c r="EE304" s="499"/>
      <c r="EF304" s="499"/>
      <c r="EG304" s="1147">
        <f t="shared" si="91"/>
        <v>13</v>
      </c>
      <c r="EH304" s="499">
        <v>0</v>
      </c>
      <c r="EI304" s="615">
        <v>3</v>
      </c>
      <c r="EJ304" s="615">
        <v>3.5</v>
      </c>
      <c r="EK304" s="615">
        <v>6.5</v>
      </c>
      <c r="EL304" s="499"/>
      <c r="EM304" s="499"/>
      <c r="EN304" s="499"/>
      <c r="EO304" s="499"/>
      <c r="EP304" s="499"/>
      <c r="EQ304" s="499"/>
      <c r="ER304" s="499"/>
      <c r="ES304" s="388"/>
      <c r="ET304" s="388"/>
      <c r="EV304" s="1167">
        <f t="shared" si="79"/>
        <v>20.111000000000001</v>
      </c>
    </row>
    <row r="305" spans="1:152" s="350" customFormat="1" ht="15" x14ac:dyDescent="0.25">
      <c r="A305" s="632" t="s">
        <v>4</v>
      </c>
      <c r="B305" s="662">
        <v>43031</v>
      </c>
      <c r="C305" s="1132" t="s">
        <v>904</v>
      </c>
      <c r="D305" s="609">
        <v>0.01</v>
      </c>
      <c r="E305" s="739">
        <v>0</v>
      </c>
      <c r="F305" s="739">
        <v>50</v>
      </c>
      <c r="G305" s="739">
        <v>3.7</v>
      </c>
      <c r="H305" s="609">
        <v>74.7</v>
      </c>
      <c r="I305" s="609">
        <v>9.3000000000000007</v>
      </c>
      <c r="J305" s="609">
        <v>0</v>
      </c>
      <c r="K305" s="609">
        <v>11.7</v>
      </c>
      <c r="L305" s="741">
        <v>45.409999999999854</v>
      </c>
      <c r="M305" s="609">
        <v>9.1999999999999993</v>
      </c>
      <c r="N305" s="609">
        <v>1.42</v>
      </c>
      <c r="O305" s="609">
        <v>1.6225676317040196</v>
      </c>
      <c r="P305" s="609">
        <v>1.41</v>
      </c>
      <c r="Q305" s="609">
        <v>0.68871092029957948</v>
      </c>
      <c r="R305" s="609">
        <v>881.06402616279081</v>
      </c>
      <c r="S305" s="609">
        <v>8.18</v>
      </c>
      <c r="T305" s="609">
        <v>8.26</v>
      </c>
      <c r="U305" s="609">
        <v>0.68</v>
      </c>
      <c r="V305" s="784">
        <v>0.68</v>
      </c>
      <c r="W305" s="971">
        <v>47.660000000000011</v>
      </c>
      <c r="X305" s="786">
        <v>47.84</v>
      </c>
      <c r="Y305" s="738">
        <v>28</v>
      </c>
      <c r="Z305" s="739">
        <v>30.07</v>
      </c>
      <c r="AA305" s="739">
        <v>28</v>
      </c>
      <c r="AB305" s="739">
        <v>27.01</v>
      </c>
      <c r="AC305" s="1160">
        <f t="shared" si="80"/>
        <v>55.010000000000005</v>
      </c>
      <c r="AD305" s="1160">
        <f t="shared" si="81"/>
        <v>85.100470000000001</v>
      </c>
      <c r="AE305" s="1160">
        <f t="shared" si="82"/>
        <v>14.851200000000233</v>
      </c>
      <c r="AF305" s="723"/>
      <c r="AG305" s="1160">
        <f t="shared" si="78"/>
        <v>0</v>
      </c>
      <c r="AH305" s="988"/>
      <c r="AI305" s="656"/>
      <c r="AJ305" s="388"/>
      <c r="AK305" s="388"/>
      <c r="AL305" s="388"/>
      <c r="AM305" s="388"/>
      <c r="AN305" s="388"/>
      <c r="AO305" s="987"/>
      <c r="AP305" s="370"/>
      <c r="AQ305" s="386"/>
      <c r="AR305" s="551">
        <v>0</v>
      </c>
      <c r="AS305" s="386">
        <v>11.5</v>
      </c>
      <c r="AT305" s="386">
        <v>0</v>
      </c>
      <c r="AU305" s="386">
        <v>26.2</v>
      </c>
      <c r="AV305" s="636">
        <v>424.5</v>
      </c>
      <c r="AW305" s="636">
        <v>322.10000000000002</v>
      </c>
      <c r="AX305" s="386">
        <v>0</v>
      </c>
      <c r="AY305" s="551">
        <v>0</v>
      </c>
      <c r="AZ305" s="551">
        <v>0</v>
      </c>
      <c r="BA305" s="551">
        <v>0</v>
      </c>
      <c r="BB305" s="832">
        <v>0</v>
      </c>
      <c r="BC305" s="386">
        <v>0.5</v>
      </c>
      <c r="BD305" s="386">
        <v>1.5</v>
      </c>
      <c r="BE305" s="551">
        <v>0</v>
      </c>
      <c r="BF305" s="386">
        <v>0.99</v>
      </c>
      <c r="BG305" s="386">
        <v>2.0699999999999998</v>
      </c>
      <c r="BH305" s="551">
        <v>0</v>
      </c>
      <c r="BI305" s="386">
        <v>1.18</v>
      </c>
      <c r="BJ305" s="386">
        <v>20.7</v>
      </c>
      <c r="BK305" s="386">
        <v>2.94</v>
      </c>
      <c r="BL305" s="386">
        <v>3.62</v>
      </c>
      <c r="BM305" s="386">
        <v>0</v>
      </c>
      <c r="BN305" s="386">
        <v>14.3</v>
      </c>
      <c r="BO305" s="386">
        <v>1297.3</v>
      </c>
      <c r="BP305" s="386">
        <v>2</v>
      </c>
      <c r="BQ305" s="615">
        <v>19.55</v>
      </c>
      <c r="BR305" s="615">
        <v>20.350000000000001</v>
      </c>
      <c r="BS305" s="615">
        <v>12.78</v>
      </c>
      <c r="BT305" s="615">
        <v>12.84</v>
      </c>
      <c r="BU305" s="614">
        <v>26.4</v>
      </c>
      <c r="BV305" s="614">
        <v>37.1</v>
      </c>
      <c r="BW305" s="615">
        <v>777.9</v>
      </c>
      <c r="BX305" s="791"/>
      <c r="BY305" s="615">
        <v>0</v>
      </c>
      <c r="BZ305" s="615">
        <v>1.36</v>
      </c>
      <c r="CA305" s="615">
        <v>1.1000000000000001</v>
      </c>
      <c r="CB305" s="615">
        <v>8.3000000000000007</v>
      </c>
      <c r="CC305" s="615">
        <v>8.1999999999999993</v>
      </c>
      <c r="CD305" s="615">
        <v>15.8</v>
      </c>
      <c r="CE305" s="615">
        <v>34.6</v>
      </c>
      <c r="CF305" s="615">
        <v>12.9</v>
      </c>
      <c r="CG305" s="615">
        <v>8.6999999999999993</v>
      </c>
      <c r="CH305" s="615">
        <v>14.5</v>
      </c>
      <c r="CI305" s="615">
        <v>18.5</v>
      </c>
      <c r="CJ305" s="615">
        <v>13.05</v>
      </c>
      <c r="CK305" s="615">
        <v>285.2</v>
      </c>
      <c r="CL305" s="615">
        <v>1.8</v>
      </c>
      <c r="CM305" s="615">
        <v>2.7</v>
      </c>
      <c r="CN305" s="615">
        <v>210.4</v>
      </c>
      <c r="CO305" s="615">
        <v>428.4</v>
      </c>
      <c r="CP305" s="615">
        <v>0</v>
      </c>
      <c r="CQ305" s="615">
        <v>12.6</v>
      </c>
      <c r="CR305" s="615">
        <v>0.55000000000000004</v>
      </c>
      <c r="CS305" s="386">
        <v>0</v>
      </c>
      <c r="CT305" s="386">
        <v>14.885</v>
      </c>
      <c r="CU305" s="386">
        <v>54</v>
      </c>
      <c r="CV305" s="499">
        <v>0</v>
      </c>
      <c r="CW305" s="499">
        <v>0</v>
      </c>
      <c r="CX305" s="499">
        <v>0</v>
      </c>
      <c r="CY305" s="499">
        <v>0</v>
      </c>
      <c r="CZ305" s="608">
        <v>4330</v>
      </c>
      <c r="DA305" s="608">
        <v>5058</v>
      </c>
      <c r="DB305" s="608">
        <v>4340</v>
      </c>
      <c r="DC305" s="609">
        <v>1124.5999999999999</v>
      </c>
      <c r="DD305" s="1153">
        <f t="shared" si="83"/>
        <v>-3.8800000000001091</v>
      </c>
      <c r="DE305" s="1154">
        <f t="shared" si="84"/>
        <v>0</v>
      </c>
      <c r="DF305" s="1154">
        <f t="shared" si="85"/>
        <v>4230</v>
      </c>
      <c r="DG305" s="1154">
        <f t="shared" si="86"/>
        <v>4808</v>
      </c>
      <c r="DH305" s="1155" t="str">
        <f t="shared" si="87"/>
        <v>Palm</v>
      </c>
      <c r="DI305" s="1146">
        <f t="shared" si="88"/>
        <v>718</v>
      </c>
      <c r="DJ305" s="1146">
        <f t="shared" si="89"/>
        <v>0</v>
      </c>
      <c r="DK305" s="1154">
        <f t="shared" si="90"/>
        <v>0</v>
      </c>
      <c r="DL305" s="615"/>
      <c r="DM305" s="615"/>
      <c r="DN305" s="615"/>
      <c r="DO305" s="499"/>
      <c r="DP305" s="499"/>
      <c r="DQ305" s="499"/>
      <c r="DR305" s="499"/>
      <c r="DS305" s="499"/>
      <c r="DT305" s="499"/>
      <c r="DU305" s="499"/>
      <c r="DV305" s="499"/>
      <c r="DW305" s="499"/>
      <c r="DX305" s="499"/>
      <c r="DY305" s="499"/>
      <c r="DZ305" s="499"/>
      <c r="EA305" s="499"/>
      <c r="EB305" s="499"/>
      <c r="EC305" s="499"/>
      <c r="ED305" s="499"/>
      <c r="EE305" s="499"/>
      <c r="EF305" s="499"/>
      <c r="EG305" s="1147">
        <f t="shared" si="91"/>
        <v>13</v>
      </c>
      <c r="EH305" s="499">
        <v>0</v>
      </c>
      <c r="EI305" s="615">
        <v>3</v>
      </c>
      <c r="EJ305" s="615">
        <v>3.5</v>
      </c>
      <c r="EK305" s="615">
        <v>6.5</v>
      </c>
      <c r="EL305" s="499"/>
      <c r="EM305" s="499"/>
      <c r="EN305" s="499"/>
      <c r="EO305" s="499"/>
      <c r="EP305" s="499"/>
      <c r="EQ305" s="499"/>
      <c r="ER305" s="499"/>
      <c r="ES305" s="388"/>
      <c r="ET305" s="388"/>
      <c r="EV305" s="1167">
        <f t="shared" si="79"/>
        <v>20.111000000000001</v>
      </c>
    </row>
    <row r="306" spans="1:152" s="350" customFormat="1" ht="15" x14ac:dyDescent="0.25">
      <c r="A306" s="632" t="s">
        <v>5</v>
      </c>
      <c r="B306" s="662">
        <v>43032</v>
      </c>
      <c r="C306" s="1132" t="s">
        <v>904</v>
      </c>
      <c r="D306" s="609">
        <v>0</v>
      </c>
      <c r="E306" s="739">
        <v>0</v>
      </c>
      <c r="F306" s="739">
        <v>48</v>
      </c>
      <c r="G306" s="739">
        <v>3.2</v>
      </c>
      <c r="H306" s="609">
        <v>60.7</v>
      </c>
      <c r="I306" s="609">
        <v>13.4</v>
      </c>
      <c r="J306" s="609">
        <v>0</v>
      </c>
      <c r="K306" s="609">
        <v>16.82</v>
      </c>
      <c r="L306" s="741">
        <v>35.119999999998981</v>
      </c>
      <c r="M306" s="609">
        <v>8.6</v>
      </c>
      <c r="N306" s="609">
        <v>1.33</v>
      </c>
      <c r="O306" s="609">
        <v>1.5347953873826752</v>
      </c>
      <c r="P306" s="609">
        <v>1.38</v>
      </c>
      <c r="Q306" s="609">
        <v>0.68761994965230178</v>
      </c>
      <c r="R306" s="609">
        <v>847.06155523255813</v>
      </c>
      <c r="S306" s="609">
        <v>8.32</v>
      </c>
      <c r="T306" s="609">
        <v>8.3800000000000008</v>
      </c>
      <c r="U306" s="609">
        <v>0.71</v>
      </c>
      <c r="V306" s="784">
        <v>0.63</v>
      </c>
      <c r="W306" s="971">
        <v>47.660000000000011</v>
      </c>
      <c r="X306" s="786">
        <v>47.84</v>
      </c>
      <c r="Y306" s="738">
        <v>28</v>
      </c>
      <c r="Z306" s="739">
        <v>26.93</v>
      </c>
      <c r="AA306" s="739">
        <v>28.1</v>
      </c>
      <c r="AB306" s="739">
        <v>26.9</v>
      </c>
      <c r="AC306" s="1160">
        <f t="shared" si="80"/>
        <v>55</v>
      </c>
      <c r="AD306" s="1160">
        <f t="shared" si="81"/>
        <v>85.084999999999994</v>
      </c>
      <c r="AE306" s="1160">
        <f t="shared" si="82"/>
        <v>30.754360000001569</v>
      </c>
      <c r="AF306" s="723"/>
      <c r="AG306" s="1160">
        <f t="shared" si="78"/>
        <v>0</v>
      </c>
      <c r="AH306" s="988"/>
      <c r="AI306" s="656"/>
      <c r="AJ306" s="388"/>
      <c r="AK306" s="388"/>
      <c r="AL306" s="388"/>
      <c r="AM306" s="388"/>
      <c r="AN306" s="388"/>
      <c r="AO306" s="987"/>
      <c r="AP306" s="370"/>
      <c r="AQ306" s="386"/>
      <c r="AR306" s="551">
        <v>0</v>
      </c>
      <c r="AS306" s="386">
        <v>22</v>
      </c>
      <c r="AT306" s="386">
        <v>0</v>
      </c>
      <c r="AU306" s="386">
        <v>26.3</v>
      </c>
      <c r="AV306" s="636">
        <v>448.1</v>
      </c>
      <c r="AW306" s="636">
        <v>406.1</v>
      </c>
      <c r="AX306" s="386">
        <v>0</v>
      </c>
      <c r="AY306" s="551">
        <v>0</v>
      </c>
      <c r="AZ306" s="551">
        <v>0</v>
      </c>
      <c r="BA306" s="551">
        <v>0</v>
      </c>
      <c r="BB306" s="832">
        <v>0</v>
      </c>
      <c r="BC306" s="386">
        <v>0.5</v>
      </c>
      <c r="BD306" s="386">
        <v>1.5</v>
      </c>
      <c r="BE306" s="551">
        <v>0</v>
      </c>
      <c r="BF306" s="386">
        <v>0.99</v>
      </c>
      <c r="BG306" s="386">
        <v>2.2200000000000002</v>
      </c>
      <c r="BH306" s="551">
        <v>0</v>
      </c>
      <c r="BI306" s="386">
        <v>1.18</v>
      </c>
      <c r="BJ306" s="386">
        <v>20.5</v>
      </c>
      <c r="BK306" s="386">
        <v>3.11</v>
      </c>
      <c r="BL306" s="386">
        <v>3.46</v>
      </c>
      <c r="BM306" s="386">
        <v>0</v>
      </c>
      <c r="BN306" s="386">
        <v>14.1</v>
      </c>
      <c r="BO306" s="386">
        <v>746.6</v>
      </c>
      <c r="BP306" s="386">
        <v>2</v>
      </c>
      <c r="BQ306" s="615">
        <v>18.53</v>
      </c>
      <c r="BR306" s="615">
        <v>19.41</v>
      </c>
      <c r="BS306" s="615">
        <v>12.69</v>
      </c>
      <c r="BT306" s="615">
        <v>12.82</v>
      </c>
      <c r="BU306" s="614">
        <v>26.3</v>
      </c>
      <c r="BV306" s="614">
        <v>34.4</v>
      </c>
      <c r="BW306" s="615">
        <v>773</v>
      </c>
      <c r="BX306" s="791"/>
      <c r="BY306" s="615">
        <v>0</v>
      </c>
      <c r="BZ306" s="615">
        <v>1.43</v>
      </c>
      <c r="CA306" s="615">
        <v>1.1000000000000001</v>
      </c>
      <c r="CB306" s="615">
        <v>8.4</v>
      </c>
      <c r="CC306" s="615">
        <v>8.1999999999999993</v>
      </c>
      <c r="CD306" s="615">
        <v>16</v>
      </c>
      <c r="CE306" s="615">
        <v>34.799999999999997</v>
      </c>
      <c r="CF306" s="615">
        <v>15</v>
      </c>
      <c r="CG306" s="615">
        <v>6.9</v>
      </c>
      <c r="CH306" s="615">
        <v>12.4</v>
      </c>
      <c r="CI306" s="615">
        <v>16.399999999999999</v>
      </c>
      <c r="CJ306" s="615">
        <v>12.84</v>
      </c>
      <c r="CK306" s="615">
        <v>413.3</v>
      </c>
      <c r="CL306" s="615">
        <v>1.7</v>
      </c>
      <c r="CM306" s="615">
        <v>2.9</v>
      </c>
      <c r="CN306" s="615">
        <v>259.60000000000002</v>
      </c>
      <c r="CO306" s="615">
        <v>446.9</v>
      </c>
      <c r="CP306" s="615">
        <v>0</v>
      </c>
      <c r="CQ306" s="615">
        <v>12.1</v>
      </c>
      <c r="CR306" s="615">
        <v>0.72</v>
      </c>
      <c r="CS306" s="386">
        <v>1662.3</v>
      </c>
      <c r="CT306" s="386">
        <v>14.449</v>
      </c>
      <c r="CU306" s="386">
        <v>53</v>
      </c>
      <c r="CV306" s="499">
        <v>0</v>
      </c>
      <c r="CW306" s="499">
        <v>0</v>
      </c>
      <c r="CX306" s="499">
        <v>0</v>
      </c>
      <c r="CY306" s="499">
        <v>0</v>
      </c>
      <c r="CZ306" s="608">
        <v>3420</v>
      </c>
      <c r="DA306" s="608">
        <v>2810</v>
      </c>
      <c r="DB306" s="608">
        <v>2430</v>
      </c>
      <c r="DC306" s="609">
        <v>1115.82</v>
      </c>
      <c r="DD306" s="1153">
        <f t="shared" si="83"/>
        <v>-8.7799999999999727</v>
      </c>
      <c r="DE306" s="1154">
        <f t="shared" si="84"/>
        <v>7.3439084159999997</v>
      </c>
      <c r="DF306" s="1154">
        <f t="shared" si="85"/>
        <v>2320</v>
      </c>
      <c r="DG306" s="1154">
        <f t="shared" si="86"/>
        <v>2560</v>
      </c>
      <c r="DH306" s="1155" t="str">
        <f t="shared" si="87"/>
        <v>Palm</v>
      </c>
      <c r="DI306" s="1146">
        <f t="shared" si="88"/>
        <v>380</v>
      </c>
      <c r="DJ306" s="1146">
        <f t="shared" si="89"/>
        <v>2.3937119999999998</v>
      </c>
      <c r="DK306" s="1154">
        <f t="shared" si="90"/>
        <v>7.3439084159999997</v>
      </c>
      <c r="DL306" s="615"/>
      <c r="DM306" s="615"/>
      <c r="DN306" s="615"/>
      <c r="DO306" s="499"/>
      <c r="DP306" s="499"/>
      <c r="DQ306" s="499"/>
      <c r="DR306" s="499"/>
      <c r="DS306" s="499"/>
      <c r="DT306" s="499"/>
      <c r="DU306" s="499"/>
      <c r="DV306" s="499"/>
      <c r="DW306" s="499"/>
      <c r="DX306" s="499"/>
      <c r="DY306" s="499"/>
      <c r="DZ306" s="499"/>
      <c r="EA306" s="499"/>
      <c r="EB306" s="499"/>
      <c r="EC306" s="499"/>
      <c r="ED306" s="499"/>
      <c r="EE306" s="499"/>
      <c r="EF306" s="499"/>
      <c r="EG306" s="1147">
        <f t="shared" si="91"/>
        <v>13</v>
      </c>
      <c r="EH306" s="499">
        <v>0</v>
      </c>
      <c r="EI306" s="615">
        <v>3</v>
      </c>
      <c r="EJ306" s="615">
        <v>3.5</v>
      </c>
      <c r="EK306" s="615">
        <v>6.5</v>
      </c>
      <c r="EL306" s="499"/>
      <c r="EM306" s="499"/>
      <c r="EN306" s="499"/>
      <c r="EO306" s="499"/>
      <c r="EP306" s="499"/>
      <c r="EQ306" s="499"/>
      <c r="ER306" s="499"/>
      <c r="ES306" s="388"/>
      <c r="ET306" s="388"/>
      <c r="EV306" s="1167">
        <f t="shared" si="79"/>
        <v>20.111000000000001</v>
      </c>
    </row>
    <row r="307" spans="1:152" s="350" customFormat="1" ht="16.2" x14ac:dyDescent="0.35">
      <c r="A307" s="632" t="s">
        <v>6</v>
      </c>
      <c r="B307" s="662">
        <v>43033</v>
      </c>
      <c r="C307" s="1132" t="s">
        <v>904</v>
      </c>
      <c r="D307" s="609">
        <v>0.48</v>
      </c>
      <c r="E307" s="739">
        <v>0</v>
      </c>
      <c r="F307" s="739">
        <v>50</v>
      </c>
      <c r="G307" s="739">
        <v>2.5</v>
      </c>
      <c r="H307" s="609">
        <v>42</v>
      </c>
      <c r="I307" s="609">
        <v>11</v>
      </c>
      <c r="J307" s="609">
        <v>0</v>
      </c>
      <c r="K307" s="609">
        <v>16.22</v>
      </c>
      <c r="L307" s="741">
        <v>23.040000000000873</v>
      </c>
      <c r="M307" s="609">
        <v>10.4</v>
      </c>
      <c r="N307" s="609">
        <v>1.32</v>
      </c>
      <c r="O307" s="609">
        <v>1.5462828380702123</v>
      </c>
      <c r="P307" s="609">
        <v>1.35</v>
      </c>
      <c r="Q307" s="609">
        <v>0.6993064729188021</v>
      </c>
      <c r="R307" s="609">
        <v>850.39513081395353</v>
      </c>
      <c r="S307" s="609">
        <v>8.1199999999999992</v>
      </c>
      <c r="T307" s="609">
        <v>8.2799999999999994</v>
      </c>
      <c r="U307" s="609">
        <v>0.71</v>
      </c>
      <c r="V307" s="784">
        <v>0.62</v>
      </c>
      <c r="W307" s="971">
        <v>47.480000000000004</v>
      </c>
      <c r="X307" s="786">
        <v>47.660000000000011</v>
      </c>
      <c r="Y307" s="738">
        <v>28.1</v>
      </c>
      <c r="Z307" s="739">
        <v>26.9</v>
      </c>
      <c r="AA307" s="739">
        <v>28.1</v>
      </c>
      <c r="AB307" s="739">
        <v>27</v>
      </c>
      <c r="AC307" s="1160">
        <f t="shared" si="80"/>
        <v>55.1</v>
      </c>
      <c r="AD307" s="1160">
        <f t="shared" si="81"/>
        <v>85.239699999999999</v>
      </c>
      <c r="AE307" s="1160">
        <f t="shared" si="82"/>
        <v>49.596819999998651</v>
      </c>
      <c r="AF307" s="723"/>
      <c r="AG307" s="1160">
        <f t="shared" si="78"/>
        <v>0</v>
      </c>
      <c r="AH307" s="988"/>
      <c r="AI307" s="656"/>
      <c r="AJ307" s="388"/>
      <c r="AK307" s="388"/>
      <c r="AL307" s="388"/>
      <c r="AM307" s="388"/>
      <c r="AN307" s="388"/>
      <c r="AO307" s="987"/>
      <c r="AP307" s="370"/>
      <c r="AQ307" s="386"/>
      <c r="AR307" s="551">
        <v>0</v>
      </c>
      <c r="AS307" s="386">
        <v>17.7</v>
      </c>
      <c r="AT307" s="386">
        <v>0</v>
      </c>
      <c r="AU307" s="386">
        <v>26.3</v>
      </c>
      <c r="AV307" s="636">
        <v>263.2</v>
      </c>
      <c r="AW307" s="636">
        <v>286.7</v>
      </c>
      <c r="AX307" s="386">
        <v>0</v>
      </c>
      <c r="AY307" s="551">
        <v>0</v>
      </c>
      <c r="AZ307" s="551">
        <v>0</v>
      </c>
      <c r="BA307" s="551">
        <v>0</v>
      </c>
      <c r="BB307" s="832">
        <v>0</v>
      </c>
      <c r="BC307" s="386">
        <v>0.5</v>
      </c>
      <c r="BD307" s="386">
        <v>1.5</v>
      </c>
      <c r="BE307" s="551">
        <v>0</v>
      </c>
      <c r="BF307" s="386">
        <v>0.99</v>
      </c>
      <c r="BG307" s="386">
        <v>2.2200000000000002</v>
      </c>
      <c r="BH307" s="551">
        <v>0</v>
      </c>
      <c r="BI307" s="386">
        <v>1.18</v>
      </c>
      <c r="BJ307" s="386">
        <v>20.6</v>
      </c>
      <c r="BK307" s="386">
        <v>3.18</v>
      </c>
      <c r="BL307" s="386">
        <v>3.37</v>
      </c>
      <c r="BM307" s="386">
        <v>0</v>
      </c>
      <c r="BN307" s="386">
        <v>14.1</v>
      </c>
      <c r="BO307" s="609">
        <v>1323.1</v>
      </c>
      <c r="BP307" s="386">
        <v>2</v>
      </c>
      <c r="BQ307" s="615">
        <v>18.73</v>
      </c>
      <c r="BR307" s="615">
        <v>19.55</v>
      </c>
      <c r="BS307" s="615">
        <v>13.21</v>
      </c>
      <c r="BT307" s="615">
        <v>12.63</v>
      </c>
      <c r="BU307" s="614">
        <v>26.7</v>
      </c>
      <c r="BV307" s="614">
        <v>31.4</v>
      </c>
      <c r="BW307" s="615">
        <v>633.29999999999995</v>
      </c>
      <c r="BX307" s="791"/>
      <c r="BY307" s="615">
        <v>0</v>
      </c>
      <c r="BZ307" s="615">
        <v>1.32</v>
      </c>
      <c r="CA307" s="615">
        <v>1.2</v>
      </c>
      <c r="CB307" s="615">
        <v>8.4</v>
      </c>
      <c r="CC307" s="615">
        <v>8.3000000000000007</v>
      </c>
      <c r="CD307" s="615">
        <v>15.1</v>
      </c>
      <c r="CE307" s="615">
        <v>34.799999999999997</v>
      </c>
      <c r="CF307" s="615">
        <v>14</v>
      </c>
      <c r="CG307" s="643">
        <v>8.1</v>
      </c>
      <c r="CH307" s="615">
        <v>13.8</v>
      </c>
      <c r="CI307" s="615">
        <v>17.8</v>
      </c>
      <c r="CJ307" s="615">
        <v>12.53</v>
      </c>
      <c r="CK307" s="615">
        <v>333.2</v>
      </c>
      <c r="CL307" s="615">
        <v>1.9</v>
      </c>
      <c r="CM307" s="615">
        <v>3.9</v>
      </c>
      <c r="CN307" s="615">
        <v>230</v>
      </c>
      <c r="CO307" s="615">
        <v>431.9</v>
      </c>
      <c r="CP307" s="615">
        <v>0</v>
      </c>
      <c r="CQ307" s="615">
        <v>12.4</v>
      </c>
      <c r="CR307" s="615">
        <v>0.77</v>
      </c>
      <c r="CS307" s="386">
        <v>3055</v>
      </c>
      <c r="CT307" s="386">
        <v>15.833</v>
      </c>
      <c r="CU307" s="609">
        <v>53</v>
      </c>
      <c r="CV307" s="499">
        <v>0</v>
      </c>
      <c r="CW307" s="499">
        <v>0</v>
      </c>
      <c r="CX307" s="499">
        <v>0</v>
      </c>
      <c r="CY307" s="499">
        <v>0</v>
      </c>
      <c r="CZ307" s="608">
        <v>2340</v>
      </c>
      <c r="DA307" s="608">
        <v>3530</v>
      </c>
      <c r="DB307" s="608">
        <v>2910</v>
      </c>
      <c r="DC307" s="986">
        <v>1107.22</v>
      </c>
      <c r="DD307" s="1153">
        <f t="shared" si="83"/>
        <v>-8.5999999999999091</v>
      </c>
      <c r="DE307" s="1154">
        <f t="shared" si="84"/>
        <v>13.496745600000002</v>
      </c>
      <c r="DF307" s="1154">
        <f t="shared" si="85"/>
        <v>2800</v>
      </c>
      <c r="DG307" s="1154">
        <f t="shared" si="86"/>
        <v>3280</v>
      </c>
      <c r="DH307" s="1155" t="str">
        <f t="shared" si="87"/>
        <v>Palm</v>
      </c>
      <c r="DI307" s="1146">
        <f t="shared" si="88"/>
        <v>620</v>
      </c>
      <c r="DJ307" s="1146">
        <f t="shared" si="89"/>
        <v>4.3992000000000004</v>
      </c>
      <c r="DK307" s="1154">
        <f t="shared" si="90"/>
        <v>13.496745600000002</v>
      </c>
      <c r="DL307" s="615"/>
      <c r="DM307" s="615"/>
      <c r="DN307" s="615"/>
      <c r="DO307" s="499"/>
      <c r="DP307" s="499"/>
      <c r="DQ307" s="499"/>
      <c r="DR307" s="499"/>
      <c r="DS307" s="499"/>
      <c r="DT307" s="499"/>
      <c r="DU307" s="499"/>
      <c r="DV307" s="499"/>
      <c r="DW307" s="499"/>
      <c r="DX307" s="499"/>
      <c r="DY307" s="499"/>
      <c r="DZ307" s="499"/>
      <c r="EA307" s="499"/>
      <c r="EB307" s="499"/>
      <c r="EC307" s="499"/>
      <c r="ED307" s="499"/>
      <c r="EE307" s="499"/>
      <c r="EF307" s="499"/>
      <c r="EG307" s="1147">
        <f t="shared" si="91"/>
        <v>13</v>
      </c>
      <c r="EH307" s="499">
        <v>0</v>
      </c>
      <c r="EI307" s="615">
        <v>3</v>
      </c>
      <c r="EJ307" s="615">
        <v>3.5</v>
      </c>
      <c r="EK307" s="615">
        <v>6.5</v>
      </c>
      <c r="EL307" s="499"/>
      <c r="EM307" s="499"/>
      <c r="EN307" s="499"/>
      <c r="EO307" s="499"/>
      <c r="EP307" s="499"/>
      <c r="EQ307" s="499"/>
      <c r="ER307" s="499"/>
      <c r="ES307" s="388"/>
      <c r="ET307" s="388"/>
      <c r="EV307" s="1167">
        <f t="shared" si="79"/>
        <v>20.111000000000001</v>
      </c>
    </row>
    <row r="308" spans="1:152" s="350" customFormat="1" ht="15" x14ac:dyDescent="0.25">
      <c r="A308" s="632" t="s">
        <v>7</v>
      </c>
      <c r="B308" s="662">
        <v>43034</v>
      </c>
      <c r="C308" s="1132" t="s">
        <v>904</v>
      </c>
      <c r="D308" s="609">
        <v>0.01</v>
      </c>
      <c r="E308" s="739">
        <v>0</v>
      </c>
      <c r="F308" s="739">
        <v>56</v>
      </c>
      <c r="G308" s="739">
        <v>1.8</v>
      </c>
      <c r="H308" s="609">
        <v>11.6</v>
      </c>
      <c r="I308" s="609">
        <v>11.6</v>
      </c>
      <c r="J308" s="609">
        <v>0</v>
      </c>
      <c r="K308" s="609">
        <v>6.7</v>
      </c>
      <c r="L308" s="741">
        <v>22.830000000001746</v>
      </c>
      <c r="M308" s="609">
        <v>11.3</v>
      </c>
      <c r="N308" s="609">
        <v>1.36</v>
      </c>
      <c r="O308" s="609">
        <v>1.5227372866782527</v>
      </c>
      <c r="P308" s="609">
        <v>1.36</v>
      </c>
      <c r="Q308" s="609">
        <v>0.68912788813838133</v>
      </c>
      <c r="R308" s="609">
        <v>839.3943313953489</v>
      </c>
      <c r="S308" s="609">
        <v>8.17</v>
      </c>
      <c r="T308" s="609">
        <v>8.24</v>
      </c>
      <c r="U308" s="609">
        <v>0.74</v>
      </c>
      <c r="V308" s="784">
        <v>0.65</v>
      </c>
      <c r="W308" s="971">
        <v>47.480000000000004</v>
      </c>
      <c r="X308" s="786">
        <v>47.84</v>
      </c>
      <c r="Y308" s="738">
        <v>28.1</v>
      </c>
      <c r="Z308" s="739">
        <v>27</v>
      </c>
      <c r="AA308" s="739">
        <v>28</v>
      </c>
      <c r="AB308" s="739">
        <v>27.01</v>
      </c>
      <c r="AC308" s="1160">
        <f t="shared" si="80"/>
        <v>55.010000000000005</v>
      </c>
      <c r="AD308" s="1160">
        <f t="shared" si="81"/>
        <v>85.100470000000001</v>
      </c>
      <c r="AE308" s="1160">
        <f t="shared" si="82"/>
        <v>49.7824599999973</v>
      </c>
      <c r="AF308" s="723"/>
      <c r="AG308" s="1160">
        <f t="shared" si="78"/>
        <v>0</v>
      </c>
      <c r="AH308" s="988"/>
      <c r="AI308" s="656"/>
      <c r="AJ308" s="388"/>
      <c r="AK308" s="388"/>
      <c r="AL308" s="388"/>
      <c r="AM308" s="388"/>
      <c r="AN308" s="388"/>
      <c r="AO308" s="987"/>
      <c r="AP308" s="370"/>
      <c r="AQ308" s="386"/>
      <c r="AR308" s="551">
        <v>0</v>
      </c>
      <c r="AS308" s="386">
        <v>16</v>
      </c>
      <c r="AT308" s="386">
        <v>0</v>
      </c>
      <c r="AU308" s="386">
        <v>26.3</v>
      </c>
      <c r="AV308" s="636">
        <v>599.1</v>
      </c>
      <c r="AW308" s="636">
        <v>440</v>
      </c>
      <c r="AX308" s="386">
        <v>0</v>
      </c>
      <c r="AY308" s="551">
        <v>0</v>
      </c>
      <c r="AZ308" s="551">
        <v>0</v>
      </c>
      <c r="BA308" s="551">
        <v>0</v>
      </c>
      <c r="BB308" s="832">
        <v>0</v>
      </c>
      <c r="BC308" s="386">
        <v>0.5</v>
      </c>
      <c r="BD308" s="386">
        <v>1.5</v>
      </c>
      <c r="BE308" s="551">
        <v>0</v>
      </c>
      <c r="BF308" s="386">
        <v>0.99</v>
      </c>
      <c r="BG308" s="386">
        <v>2.15</v>
      </c>
      <c r="BH308" s="551">
        <v>0</v>
      </c>
      <c r="BI308" s="386">
        <v>1.0900000000000001</v>
      </c>
      <c r="BJ308" s="386">
        <v>20.7</v>
      </c>
      <c r="BK308" s="386">
        <v>3.18</v>
      </c>
      <c r="BL308" s="386">
        <v>3.36</v>
      </c>
      <c r="BM308" s="386">
        <v>0</v>
      </c>
      <c r="BN308" s="386">
        <v>14.3</v>
      </c>
      <c r="BO308" s="386">
        <v>823</v>
      </c>
      <c r="BP308" s="386">
        <v>2</v>
      </c>
      <c r="BQ308" s="615">
        <v>18.05</v>
      </c>
      <c r="BR308" s="615">
        <v>18.87</v>
      </c>
      <c r="BS308" s="615">
        <v>12.68</v>
      </c>
      <c r="BT308" s="615">
        <v>12.79</v>
      </c>
      <c r="BU308" s="614">
        <v>26.3</v>
      </c>
      <c r="BV308" s="614">
        <v>33.4</v>
      </c>
      <c r="BW308" s="615">
        <v>778.7</v>
      </c>
      <c r="BX308" s="791"/>
      <c r="BY308" s="615">
        <v>0</v>
      </c>
      <c r="BZ308" s="615">
        <v>1.34</v>
      </c>
      <c r="CA308" s="615">
        <v>1.2</v>
      </c>
      <c r="CB308" s="615">
        <v>8.3000000000000007</v>
      </c>
      <c r="CC308" s="615">
        <v>8.3000000000000007</v>
      </c>
      <c r="CD308" s="615">
        <v>16.100000000000001</v>
      </c>
      <c r="CE308" s="615">
        <v>34.200000000000003</v>
      </c>
      <c r="CF308" s="615">
        <v>20.399999999999999</v>
      </c>
      <c r="CG308" s="615">
        <v>6.8</v>
      </c>
      <c r="CH308" s="615">
        <v>12.3</v>
      </c>
      <c r="CI308" s="615">
        <v>16.5</v>
      </c>
      <c r="CJ308" s="615">
        <v>13.28</v>
      </c>
      <c r="CK308" s="615">
        <v>384.9</v>
      </c>
      <c r="CL308" s="615">
        <v>2.5</v>
      </c>
      <c r="CM308" s="615">
        <v>3.8</v>
      </c>
      <c r="CN308" s="615">
        <v>198.7</v>
      </c>
      <c r="CO308" s="615">
        <v>436.2</v>
      </c>
      <c r="CP308" s="615">
        <v>0</v>
      </c>
      <c r="CQ308" s="615">
        <v>13.2</v>
      </c>
      <c r="CR308" s="615">
        <v>0.9</v>
      </c>
      <c r="CS308" s="386">
        <v>3073.3</v>
      </c>
      <c r="CT308" s="386">
        <v>16.579999999999998</v>
      </c>
      <c r="CU308" s="386">
        <v>53</v>
      </c>
      <c r="CV308" s="499">
        <v>0</v>
      </c>
      <c r="CW308" s="499">
        <v>0</v>
      </c>
      <c r="CX308" s="499">
        <v>0</v>
      </c>
      <c r="CY308" s="499">
        <v>0</v>
      </c>
      <c r="CZ308" s="608">
        <v>1480</v>
      </c>
      <c r="DA308" s="608">
        <v>2520</v>
      </c>
      <c r="DB308" s="608">
        <v>1990</v>
      </c>
      <c r="DC308" s="609">
        <v>1101.9000000000001</v>
      </c>
      <c r="DD308" s="1153">
        <f t="shared" si="83"/>
        <v>-5.3199999999999363</v>
      </c>
      <c r="DE308" s="1154">
        <f t="shared" si="84"/>
        <v>13.577593536</v>
      </c>
      <c r="DF308" s="1154">
        <f t="shared" si="85"/>
        <v>1880</v>
      </c>
      <c r="DG308" s="1154">
        <f t="shared" si="86"/>
        <v>2270</v>
      </c>
      <c r="DH308" s="1155" t="str">
        <f t="shared" si="87"/>
        <v>Palm</v>
      </c>
      <c r="DI308" s="1146">
        <f t="shared" si="88"/>
        <v>530</v>
      </c>
      <c r="DJ308" s="1146">
        <f t="shared" si="89"/>
        <v>4.4255519999999997</v>
      </c>
      <c r="DK308" s="1154">
        <f t="shared" si="90"/>
        <v>13.577593536</v>
      </c>
      <c r="DL308" s="615"/>
      <c r="DM308" s="615"/>
      <c r="DN308" s="615"/>
      <c r="DO308" s="499"/>
      <c r="DP308" s="499"/>
      <c r="DQ308" s="499"/>
      <c r="DR308" s="499"/>
      <c r="DS308" s="499"/>
      <c r="DT308" s="499"/>
      <c r="DU308" s="499"/>
      <c r="DV308" s="499"/>
      <c r="DW308" s="499"/>
      <c r="DX308" s="499"/>
      <c r="DY308" s="499"/>
      <c r="DZ308" s="499"/>
      <c r="EA308" s="499"/>
      <c r="EB308" s="499"/>
      <c r="EC308" s="499"/>
      <c r="ED308" s="499"/>
      <c r="EE308" s="499"/>
      <c r="EF308" s="499"/>
      <c r="EG308" s="1147">
        <f t="shared" si="91"/>
        <v>13</v>
      </c>
      <c r="EH308" s="499">
        <v>0</v>
      </c>
      <c r="EI308" s="615">
        <v>3</v>
      </c>
      <c r="EJ308" s="615">
        <v>3.5</v>
      </c>
      <c r="EK308" s="615">
        <v>6.5</v>
      </c>
      <c r="EL308" s="499"/>
      <c r="EM308" s="499"/>
      <c r="EN308" s="499"/>
      <c r="EO308" s="499"/>
      <c r="EP308" s="499"/>
      <c r="EQ308" s="499"/>
      <c r="ER308" s="499"/>
      <c r="ES308" s="388"/>
      <c r="ET308" s="388"/>
      <c r="EV308" s="1167">
        <f t="shared" si="79"/>
        <v>20.111000000000001</v>
      </c>
    </row>
    <row r="309" spans="1:152" s="350" customFormat="1" ht="16.2" x14ac:dyDescent="0.35">
      <c r="A309" s="632" t="s">
        <v>8</v>
      </c>
      <c r="B309" s="662">
        <v>43035</v>
      </c>
      <c r="C309" s="1132" t="s">
        <v>904</v>
      </c>
      <c r="D309" s="609">
        <v>0</v>
      </c>
      <c r="E309" s="739">
        <v>0</v>
      </c>
      <c r="F309" s="739">
        <v>66</v>
      </c>
      <c r="G309" s="739">
        <v>1.5</v>
      </c>
      <c r="H309" s="609">
        <v>10.5</v>
      </c>
      <c r="I309" s="609">
        <v>14.3</v>
      </c>
      <c r="J309" s="609">
        <v>0</v>
      </c>
      <c r="K309" s="609">
        <v>6.68</v>
      </c>
      <c r="L309" s="741">
        <v>6.3599999999969441</v>
      </c>
      <c r="M309" s="609">
        <v>16.3</v>
      </c>
      <c r="N309" s="609">
        <v>1.31</v>
      </c>
      <c r="O309" s="609">
        <v>1.5363604444627239</v>
      </c>
      <c r="P309" s="609">
        <v>1.32</v>
      </c>
      <c r="Q309" s="609">
        <v>0.69264641127256721</v>
      </c>
      <c r="R309" s="609">
        <v>886.06438953488384</v>
      </c>
      <c r="S309" s="609">
        <v>8.41</v>
      </c>
      <c r="T309" s="609">
        <v>8.48</v>
      </c>
      <c r="U309" s="609">
        <v>0.78</v>
      </c>
      <c r="V309" s="784">
        <v>0.68</v>
      </c>
      <c r="W309" s="971">
        <v>47.84</v>
      </c>
      <c r="X309" s="786">
        <v>47.84</v>
      </c>
      <c r="Y309" s="738">
        <v>28</v>
      </c>
      <c r="Z309" s="739">
        <v>26.9</v>
      </c>
      <c r="AA309" s="739">
        <v>28.1</v>
      </c>
      <c r="AB309" s="739">
        <v>29.1</v>
      </c>
      <c r="AC309" s="1160">
        <f t="shared" si="80"/>
        <v>57.2</v>
      </c>
      <c r="AD309" s="1160">
        <f t="shared" si="81"/>
        <v>88.488399999999999</v>
      </c>
      <c r="AE309" s="1160">
        <f t="shared" si="82"/>
        <v>78.649480000004729</v>
      </c>
      <c r="AF309" s="723"/>
      <c r="AG309" s="1160">
        <f t="shared" si="78"/>
        <v>0</v>
      </c>
      <c r="AH309" s="988"/>
      <c r="AI309" s="656"/>
      <c r="AJ309" s="388"/>
      <c r="AK309" s="388"/>
      <c r="AL309" s="388"/>
      <c r="AM309" s="388"/>
      <c r="AN309" s="388"/>
      <c r="AO309" s="370"/>
      <c r="AP309" s="370"/>
      <c r="AQ309" s="386"/>
      <c r="AR309" s="551">
        <v>0</v>
      </c>
      <c r="AS309" s="386">
        <v>22.4</v>
      </c>
      <c r="AT309" s="386">
        <v>0</v>
      </c>
      <c r="AU309" s="386">
        <v>26.4</v>
      </c>
      <c r="AV309" s="636">
        <v>308.3</v>
      </c>
      <c r="AW309" s="636">
        <v>274.60000000000002</v>
      </c>
      <c r="AX309" s="386">
        <v>0</v>
      </c>
      <c r="AY309" s="551">
        <v>0</v>
      </c>
      <c r="AZ309" s="551">
        <v>0</v>
      </c>
      <c r="BA309" s="551">
        <v>0</v>
      </c>
      <c r="BB309" s="832">
        <v>0</v>
      </c>
      <c r="BC309" s="386">
        <v>0.67</v>
      </c>
      <c r="BD309" s="386">
        <v>1.64</v>
      </c>
      <c r="BE309" s="551">
        <v>0</v>
      </c>
      <c r="BF309" s="386">
        <v>0.99</v>
      </c>
      <c r="BG309" s="386">
        <v>2.0299999999999998</v>
      </c>
      <c r="BH309" s="551">
        <v>0</v>
      </c>
      <c r="BI309" s="386">
        <v>0.91</v>
      </c>
      <c r="BJ309" s="386">
        <v>22.9</v>
      </c>
      <c r="BK309" s="636">
        <v>2.89</v>
      </c>
      <c r="BL309" s="386">
        <v>3.67</v>
      </c>
      <c r="BM309" s="636">
        <v>0</v>
      </c>
      <c r="BN309" s="386">
        <v>16.399999999999999</v>
      </c>
      <c r="BO309" s="636">
        <v>1136.4000000000001</v>
      </c>
      <c r="BP309" s="386">
        <v>2</v>
      </c>
      <c r="BQ309" s="642">
        <v>17.72</v>
      </c>
      <c r="BR309" s="642">
        <v>18.57</v>
      </c>
      <c r="BS309" s="615">
        <v>12.87</v>
      </c>
      <c r="BT309" s="642">
        <v>12.97</v>
      </c>
      <c r="BU309" s="614">
        <v>26.6</v>
      </c>
      <c r="BV309" s="614">
        <v>32.700000000000003</v>
      </c>
      <c r="BW309" s="615">
        <v>611.4</v>
      </c>
      <c r="BX309" s="791"/>
      <c r="BY309" s="615">
        <v>0</v>
      </c>
      <c r="BZ309" s="615">
        <v>1.38</v>
      </c>
      <c r="CA309" s="615">
        <v>1.2</v>
      </c>
      <c r="CB309" s="615">
        <v>8.5</v>
      </c>
      <c r="CC309" s="615">
        <v>8.3000000000000007</v>
      </c>
      <c r="CD309" s="615">
        <v>15.8</v>
      </c>
      <c r="CE309" s="615">
        <v>34.79</v>
      </c>
      <c r="CF309" s="615">
        <v>13.8</v>
      </c>
      <c r="CG309" s="615">
        <v>7</v>
      </c>
      <c r="CH309" s="615">
        <v>12.5</v>
      </c>
      <c r="CI309" s="615">
        <v>16.5</v>
      </c>
      <c r="CJ309" s="615">
        <v>12.54</v>
      </c>
      <c r="CK309" s="615">
        <v>408.2</v>
      </c>
      <c r="CL309" s="615">
        <v>2.6</v>
      </c>
      <c r="CM309" s="615">
        <v>4</v>
      </c>
      <c r="CN309" s="615">
        <v>203.6</v>
      </c>
      <c r="CO309" s="615">
        <v>429</v>
      </c>
      <c r="CP309" s="615">
        <v>0</v>
      </c>
      <c r="CQ309" s="615">
        <v>12.4</v>
      </c>
      <c r="CR309" s="615">
        <v>0.84</v>
      </c>
      <c r="CS309" s="386">
        <v>1351</v>
      </c>
      <c r="CT309" s="386">
        <v>15.99</v>
      </c>
      <c r="CU309" s="386">
        <v>52</v>
      </c>
      <c r="CV309" s="499">
        <v>0</v>
      </c>
      <c r="CW309" s="499">
        <v>0</v>
      </c>
      <c r="CX309" s="499">
        <v>0</v>
      </c>
      <c r="CY309" s="499">
        <v>0</v>
      </c>
      <c r="CZ309" s="608">
        <v>1170</v>
      </c>
      <c r="DA309" s="608">
        <v>1750</v>
      </c>
      <c r="DB309" s="608">
        <v>1330</v>
      </c>
      <c r="DC309" s="986">
        <v>1098.8699999999999</v>
      </c>
      <c r="DD309" s="1153">
        <f t="shared" si="83"/>
        <v>-3.0300000000002001</v>
      </c>
      <c r="DE309" s="1154">
        <f t="shared" si="84"/>
        <v>5.9686099200000005</v>
      </c>
      <c r="DF309" s="1154">
        <f t="shared" si="85"/>
        <v>1220</v>
      </c>
      <c r="DG309" s="1154">
        <f t="shared" si="86"/>
        <v>1500</v>
      </c>
      <c r="DH309" s="1155" t="str">
        <f t="shared" si="87"/>
        <v>Palm</v>
      </c>
      <c r="DI309" s="1146">
        <f t="shared" si="88"/>
        <v>420</v>
      </c>
      <c r="DJ309" s="1146">
        <f t="shared" si="89"/>
        <v>1.9454400000000001</v>
      </c>
      <c r="DK309" s="1154">
        <f t="shared" si="90"/>
        <v>5.9686099200000005</v>
      </c>
      <c r="DL309" s="615"/>
      <c r="DM309" s="615"/>
      <c r="DN309" s="615"/>
      <c r="DO309" s="499"/>
      <c r="DP309" s="499"/>
      <c r="DQ309" s="499"/>
      <c r="DR309" s="499"/>
      <c r="DS309" s="499"/>
      <c r="DT309" s="499"/>
      <c r="DU309" s="499"/>
      <c r="DV309" s="499"/>
      <c r="DW309" s="499"/>
      <c r="DX309" s="499"/>
      <c r="DY309" s="499"/>
      <c r="DZ309" s="499"/>
      <c r="EA309" s="499"/>
      <c r="EB309" s="499"/>
      <c r="EC309" s="499"/>
      <c r="ED309" s="499"/>
      <c r="EE309" s="499"/>
      <c r="EF309" s="499"/>
      <c r="EG309" s="1147">
        <f t="shared" si="91"/>
        <v>13</v>
      </c>
      <c r="EH309" s="499">
        <v>0</v>
      </c>
      <c r="EI309" s="615">
        <v>3</v>
      </c>
      <c r="EJ309" s="615">
        <v>3.5</v>
      </c>
      <c r="EK309" s="615">
        <v>6.5</v>
      </c>
      <c r="EL309" s="499"/>
      <c r="EM309" s="499"/>
      <c r="EN309" s="499"/>
      <c r="EO309" s="499"/>
      <c r="EP309" s="499"/>
      <c r="EQ309" s="499"/>
      <c r="ER309" s="499"/>
      <c r="ES309" s="388"/>
      <c r="ET309" s="388"/>
      <c r="EV309" s="1167">
        <f t="shared" si="79"/>
        <v>20.111000000000001</v>
      </c>
    </row>
    <row r="310" spans="1:152" s="350" customFormat="1" ht="15" x14ac:dyDescent="0.25">
      <c r="A310" s="632" t="s">
        <v>9</v>
      </c>
      <c r="B310" s="662">
        <v>43036</v>
      </c>
      <c r="C310" s="1132" t="s">
        <v>904</v>
      </c>
      <c r="D310" s="609">
        <v>0</v>
      </c>
      <c r="E310" s="739">
        <v>0</v>
      </c>
      <c r="F310" s="739">
        <v>51</v>
      </c>
      <c r="G310" s="739">
        <v>1.5</v>
      </c>
      <c r="H310" s="609">
        <v>6.42</v>
      </c>
      <c r="I310" s="609">
        <v>15</v>
      </c>
      <c r="J310" s="609">
        <v>0</v>
      </c>
      <c r="K310" s="609">
        <v>4.97</v>
      </c>
      <c r="L310" s="741">
        <v>0</v>
      </c>
      <c r="M310" s="609">
        <v>18</v>
      </c>
      <c r="N310" s="609">
        <v>1.31</v>
      </c>
      <c r="O310" s="609">
        <v>1.5080851807280822</v>
      </c>
      <c r="P310" s="609">
        <v>1.3</v>
      </c>
      <c r="Q310" s="609">
        <v>0.68875792807539993</v>
      </c>
      <c r="R310" s="609">
        <v>938.40152616279067</v>
      </c>
      <c r="S310" s="609">
        <v>8.16</v>
      </c>
      <c r="T310" s="609">
        <v>8.2200000000000006</v>
      </c>
      <c r="U310" s="609">
        <v>0.78</v>
      </c>
      <c r="V310" s="784">
        <v>0.7</v>
      </c>
      <c r="W310" s="971">
        <v>48.56</v>
      </c>
      <c r="X310" s="786">
        <v>48.739999999999995</v>
      </c>
      <c r="Y310" s="738">
        <v>28.1</v>
      </c>
      <c r="Z310" s="739">
        <v>29.1</v>
      </c>
      <c r="AA310" s="739">
        <v>28.1</v>
      </c>
      <c r="AB310" s="739">
        <v>32.9</v>
      </c>
      <c r="AC310" s="1160">
        <f t="shared" si="80"/>
        <v>61</v>
      </c>
      <c r="AD310" s="1160">
        <f t="shared" si="81"/>
        <v>94.36699999999999</v>
      </c>
      <c r="AE310" s="1160">
        <f t="shared" si="82"/>
        <v>94.36699999999999</v>
      </c>
      <c r="AF310" s="723"/>
      <c r="AG310" s="1160">
        <f t="shared" si="78"/>
        <v>0</v>
      </c>
      <c r="AH310" s="988"/>
      <c r="AI310" s="656"/>
      <c r="AJ310" s="388"/>
      <c r="AK310" s="388"/>
      <c r="AL310" s="388"/>
      <c r="AM310" s="388"/>
      <c r="AN310" s="388"/>
      <c r="AO310" s="370"/>
      <c r="AP310" s="370"/>
      <c r="AQ310" s="386"/>
      <c r="AR310" s="551">
        <v>0</v>
      </c>
      <c r="AS310" s="386">
        <v>11.8</v>
      </c>
      <c r="AT310" s="386">
        <v>0</v>
      </c>
      <c r="AU310" s="386">
        <v>26.4</v>
      </c>
      <c r="AV310" s="636">
        <v>548.29999999999995</v>
      </c>
      <c r="AW310" s="636">
        <v>434.6</v>
      </c>
      <c r="AX310" s="386">
        <v>0</v>
      </c>
      <c r="AY310" s="551">
        <v>0</v>
      </c>
      <c r="AZ310" s="551">
        <v>0</v>
      </c>
      <c r="BA310" s="551">
        <v>0</v>
      </c>
      <c r="BB310" s="832">
        <v>0</v>
      </c>
      <c r="BC310" s="386">
        <v>0.77</v>
      </c>
      <c r="BD310" s="386">
        <v>1.73</v>
      </c>
      <c r="BE310" s="551">
        <v>0</v>
      </c>
      <c r="BF310" s="386">
        <v>0.99</v>
      </c>
      <c r="BG310" s="386">
        <v>2.0299999999999998</v>
      </c>
      <c r="BH310" s="551">
        <v>0</v>
      </c>
      <c r="BI310" s="386">
        <v>0.9</v>
      </c>
      <c r="BJ310" s="386">
        <v>26.5</v>
      </c>
      <c r="BK310" s="386">
        <v>2.99</v>
      </c>
      <c r="BL310" s="386">
        <v>3.62</v>
      </c>
      <c r="BM310" s="386">
        <v>0</v>
      </c>
      <c r="BN310" s="386">
        <v>20</v>
      </c>
      <c r="BO310" s="386">
        <v>1508.4</v>
      </c>
      <c r="BP310" s="386">
        <v>0</v>
      </c>
      <c r="BQ310" s="615">
        <v>17.61</v>
      </c>
      <c r="BR310" s="615">
        <v>18.45</v>
      </c>
      <c r="BS310" s="615">
        <v>12.63</v>
      </c>
      <c r="BT310" s="615">
        <v>12.78</v>
      </c>
      <c r="BU310" s="614">
        <v>26.2</v>
      </c>
      <c r="BV310" s="614">
        <v>31.5</v>
      </c>
      <c r="BW310" s="615">
        <v>804</v>
      </c>
      <c r="BX310" s="791"/>
      <c r="BY310" s="615">
        <v>0</v>
      </c>
      <c r="BZ310" s="615">
        <v>1.33</v>
      </c>
      <c r="CA310" s="615">
        <v>1.2</v>
      </c>
      <c r="CB310" s="615">
        <v>8.5</v>
      </c>
      <c r="CC310" s="615">
        <v>8.4</v>
      </c>
      <c r="CD310" s="615">
        <v>16.100000000000001</v>
      </c>
      <c r="CE310" s="615">
        <v>34.799999999999997</v>
      </c>
      <c r="CF310" s="615">
        <v>14</v>
      </c>
      <c r="CG310" s="615">
        <v>8.6999999999999993</v>
      </c>
      <c r="CH310" s="615">
        <v>14.5</v>
      </c>
      <c r="CI310" s="615">
        <v>18.5</v>
      </c>
      <c r="CJ310" s="615">
        <v>12.89</v>
      </c>
      <c r="CK310" s="615">
        <v>473.3</v>
      </c>
      <c r="CL310" s="615">
        <v>2.6</v>
      </c>
      <c r="CM310" s="615">
        <v>3.9</v>
      </c>
      <c r="CN310" s="615">
        <v>299.2</v>
      </c>
      <c r="CO310" s="615">
        <v>442.3</v>
      </c>
      <c r="CP310" s="615">
        <v>0</v>
      </c>
      <c r="CQ310" s="615">
        <v>11.4</v>
      </c>
      <c r="CR310" s="615">
        <v>0.7</v>
      </c>
      <c r="CS310" s="386">
        <v>0</v>
      </c>
      <c r="CT310" s="386">
        <v>15.379</v>
      </c>
      <c r="CU310" s="386">
        <v>52</v>
      </c>
      <c r="CV310" s="499">
        <v>0</v>
      </c>
      <c r="CW310" s="499">
        <v>0</v>
      </c>
      <c r="CX310" s="499">
        <v>0</v>
      </c>
      <c r="CY310" s="499">
        <v>0</v>
      </c>
      <c r="CZ310" s="608">
        <v>1150</v>
      </c>
      <c r="DA310" s="608">
        <v>1450</v>
      </c>
      <c r="DB310" s="608">
        <v>1150</v>
      </c>
      <c r="DC310" s="609">
        <v>1095.8</v>
      </c>
      <c r="DD310" s="1153">
        <f t="shared" si="83"/>
        <v>-3.0699999999999363</v>
      </c>
      <c r="DE310" s="1154">
        <f t="shared" si="84"/>
        <v>0</v>
      </c>
      <c r="DF310" s="1154">
        <f t="shared" si="85"/>
        <v>1040</v>
      </c>
      <c r="DG310" s="1154">
        <f t="shared" si="86"/>
        <v>1200</v>
      </c>
      <c r="DH310" s="1155" t="str">
        <f t="shared" si="87"/>
        <v>Palm</v>
      </c>
      <c r="DI310" s="1146">
        <f t="shared" si="88"/>
        <v>300</v>
      </c>
      <c r="DJ310" s="1146">
        <f t="shared" si="89"/>
        <v>0</v>
      </c>
      <c r="DK310" s="1154">
        <f t="shared" si="90"/>
        <v>0</v>
      </c>
      <c r="DL310" s="615"/>
      <c r="DM310" s="615"/>
      <c r="DN310" s="615"/>
      <c r="DO310" s="499"/>
      <c r="DP310" s="499"/>
      <c r="DQ310" s="499"/>
      <c r="DR310" s="499"/>
      <c r="DS310" s="499"/>
      <c r="DT310" s="499"/>
      <c r="DU310" s="499"/>
      <c r="DV310" s="499"/>
      <c r="DW310" s="499"/>
      <c r="DX310" s="499"/>
      <c r="DY310" s="499"/>
      <c r="DZ310" s="499"/>
      <c r="EA310" s="499"/>
      <c r="EB310" s="499"/>
      <c r="EC310" s="499"/>
      <c r="ED310" s="499"/>
      <c r="EE310" s="499"/>
      <c r="EF310" s="499"/>
      <c r="EG310" s="1147">
        <f t="shared" si="91"/>
        <v>13</v>
      </c>
      <c r="EH310" s="499">
        <v>0</v>
      </c>
      <c r="EI310" s="615">
        <v>3</v>
      </c>
      <c r="EJ310" s="615">
        <v>3.5</v>
      </c>
      <c r="EK310" s="615">
        <v>6.5</v>
      </c>
      <c r="EL310" s="499"/>
      <c r="EM310" s="499"/>
      <c r="EN310" s="499"/>
      <c r="EO310" s="499"/>
      <c r="EP310" s="499"/>
      <c r="EQ310" s="499"/>
      <c r="ER310" s="499"/>
      <c r="ES310" s="388"/>
      <c r="ET310" s="388"/>
      <c r="EV310" s="1167">
        <f t="shared" si="79"/>
        <v>20.111000000000001</v>
      </c>
    </row>
    <row r="311" spans="1:152" s="350" customFormat="1" ht="15" x14ac:dyDescent="0.25">
      <c r="A311" s="632" t="s">
        <v>3</v>
      </c>
      <c r="B311" s="662">
        <v>43037</v>
      </c>
      <c r="C311" s="1132" t="s">
        <v>904</v>
      </c>
      <c r="D311" s="609">
        <v>0</v>
      </c>
      <c r="E311" s="739">
        <v>0</v>
      </c>
      <c r="F311" s="739">
        <v>58</v>
      </c>
      <c r="G311" s="739">
        <v>1.5</v>
      </c>
      <c r="H311" s="609">
        <v>5.34</v>
      </c>
      <c r="I311" s="609">
        <v>12.3</v>
      </c>
      <c r="J311" s="609">
        <v>0</v>
      </c>
      <c r="K311" s="609">
        <v>3.78</v>
      </c>
      <c r="L311" s="741">
        <v>0</v>
      </c>
      <c r="M311" s="609">
        <v>18.3</v>
      </c>
      <c r="N311" s="609">
        <v>1.29</v>
      </c>
      <c r="O311" s="609">
        <v>1.4980757658106538</v>
      </c>
      <c r="P311" s="609">
        <v>1.31</v>
      </c>
      <c r="Q311" s="609">
        <v>0.69157420320520779</v>
      </c>
      <c r="R311" s="609">
        <v>934.73459302325591</v>
      </c>
      <c r="S311" s="609">
        <v>8.1</v>
      </c>
      <c r="T311" s="609">
        <v>8.23</v>
      </c>
      <c r="U311" s="609">
        <v>0.77</v>
      </c>
      <c r="V311" s="784">
        <v>0.71</v>
      </c>
      <c r="W311" s="971">
        <v>48.56</v>
      </c>
      <c r="X311" s="786">
        <v>48.739999999999995</v>
      </c>
      <c r="Y311" s="738">
        <v>28.1</v>
      </c>
      <c r="Z311" s="739">
        <v>32.9</v>
      </c>
      <c r="AA311" s="739">
        <v>28.05</v>
      </c>
      <c r="AB311" s="739">
        <v>33</v>
      </c>
      <c r="AC311" s="1160">
        <f t="shared" si="80"/>
        <v>61.05</v>
      </c>
      <c r="AD311" s="1160">
        <f t="shared" si="81"/>
        <v>94.444349999999986</v>
      </c>
      <c r="AE311" s="1160">
        <f t="shared" si="82"/>
        <v>94.444349999999986</v>
      </c>
      <c r="AF311" s="723"/>
      <c r="AG311" s="1160">
        <f t="shared" si="78"/>
        <v>0</v>
      </c>
      <c r="AH311" s="988"/>
      <c r="AI311" s="656"/>
      <c r="AJ311" s="388"/>
      <c r="AK311" s="388"/>
      <c r="AL311" s="388"/>
      <c r="AM311" s="388"/>
      <c r="AN311" s="388"/>
      <c r="AO311" s="370"/>
      <c r="AP311" s="370"/>
      <c r="AQ311" s="386"/>
      <c r="AR311" s="551">
        <v>0</v>
      </c>
      <c r="AS311" s="386">
        <v>22.5</v>
      </c>
      <c r="AT311" s="386">
        <v>0</v>
      </c>
      <c r="AU311" s="386">
        <v>26.4</v>
      </c>
      <c r="AV311" s="636">
        <v>250.5</v>
      </c>
      <c r="AW311" s="636">
        <v>246.9</v>
      </c>
      <c r="AX311" s="386">
        <v>0</v>
      </c>
      <c r="AY311" s="551">
        <v>0</v>
      </c>
      <c r="AZ311" s="551">
        <v>0</v>
      </c>
      <c r="BA311" s="551">
        <v>0</v>
      </c>
      <c r="BB311" s="832">
        <v>0</v>
      </c>
      <c r="BC311" s="386">
        <v>0.76</v>
      </c>
      <c r="BD311" s="386">
        <v>1.73</v>
      </c>
      <c r="BE311" s="551">
        <v>0</v>
      </c>
      <c r="BF311" s="386">
        <v>0.99</v>
      </c>
      <c r="BG311" s="386">
        <v>2</v>
      </c>
      <c r="BH311" s="551">
        <v>0</v>
      </c>
      <c r="BI311" s="386">
        <v>0.9</v>
      </c>
      <c r="BJ311" s="386">
        <v>26.8</v>
      </c>
      <c r="BK311" s="386">
        <v>3.24</v>
      </c>
      <c r="BL311" s="386">
        <v>3.62</v>
      </c>
      <c r="BM311" s="386">
        <v>0</v>
      </c>
      <c r="BN311" s="386">
        <v>20</v>
      </c>
      <c r="BO311" s="386">
        <v>916.9</v>
      </c>
      <c r="BP311" s="386">
        <v>3.3</v>
      </c>
      <c r="BQ311" s="615">
        <v>18.61</v>
      </c>
      <c r="BR311" s="615">
        <v>19.45</v>
      </c>
      <c r="BS311" s="615">
        <v>12.93</v>
      </c>
      <c r="BT311" s="615">
        <v>13.02</v>
      </c>
      <c r="BU311" s="614">
        <v>26.7</v>
      </c>
      <c r="BV311" s="614">
        <v>28.7</v>
      </c>
      <c r="BW311" s="615">
        <v>719.6</v>
      </c>
      <c r="BX311" s="791"/>
      <c r="BY311" s="615">
        <v>0</v>
      </c>
      <c r="BZ311" s="615">
        <v>1.27</v>
      </c>
      <c r="CA311" s="615">
        <v>1.1000000000000001</v>
      </c>
      <c r="CB311" s="615">
        <v>8.4</v>
      </c>
      <c r="CC311" s="615">
        <v>8.4</v>
      </c>
      <c r="CD311" s="615">
        <v>15.4</v>
      </c>
      <c r="CE311" s="615">
        <v>34.799999999999997</v>
      </c>
      <c r="CF311" s="615">
        <v>13</v>
      </c>
      <c r="CG311" s="615">
        <v>7.1</v>
      </c>
      <c r="CH311" s="615">
        <v>12.7</v>
      </c>
      <c r="CI311" s="615">
        <v>15.7</v>
      </c>
      <c r="CJ311" s="615">
        <v>12.55</v>
      </c>
      <c r="CK311" s="615">
        <v>476.2</v>
      </c>
      <c r="CL311" s="615">
        <v>2</v>
      </c>
      <c r="CM311" s="615">
        <v>3.4</v>
      </c>
      <c r="CN311" s="615">
        <v>329.1</v>
      </c>
      <c r="CO311" s="615">
        <v>451.3</v>
      </c>
      <c r="CP311" s="615">
        <v>0</v>
      </c>
      <c r="CQ311" s="615">
        <v>12</v>
      </c>
      <c r="CR311" s="615">
        <v>0.67</v>
      </c>
      <c r="CS311" s="386">
        <v>0</v>
      </c>
      <c r="CT311" s="386">
        <v>15.617000000000001</v>
      </c>
      <c r="CU311" s="609">
        <v>52</v>
      </c>
      <c r="CV311" s="499">
        <v>0</v>
      </c>
      <c r="CW311" s="499">
        <v>0</v>
      </c>
      <c r="CX311" s="499">
        <v>0</v>
      </c>
      <c r="CY311" s="499">
        <v>0</v>
      </c>
      <c r="CZ311" s="608">
        <v>1100</v>
      </c>
      <c r="DA311" s="608">
        <v>1390</v>
      </c>
      <c r="DB311" s="608">
        <v>1100</v>
      </c>
      <c r="DC311" s="739">
        <v>1091.8900000000001</v>
      </c>
      <c r="DD311" s="1153">
        <f t="shared" si="83"/>
        <v>-3.9099999999998545</v>
      </c>
      <c r="DE311" s="1154">
        <f t="shared" si="84"/>
        <v>0</v>
      </c>
      <c r="DF311" s="1154">
        <f t="shared" si="85"/>
        <v>990</v>
      </c>
      <c r="DG311" s="1154">
        <f t="shared" si="86"/>
        <v>1140</v>
      </c>
      <c r="DH311" s="1155" t="str">
        <f t="shared" si="87"/>
        <v>Palm</v>
      </c>
      <c r="DI311" s="1146">
        <f t="shared" si="88"/>
        <v>290</v>
      </c>
      <c r="DJ311" s="1146">
        <f t="shared" si="89"/>
        <v>0</v>
      </c>
      <c r="DK311" s="1154">
        <f t="shared" si="90"/>
        <v>0</v>
      </c>
      <c r="DL311" s="615"/>
      <c r="DM311" s="615"/>
      <c r="DN311" s="615"/>
      <c r="DO311" s="499"/>
      <c r="DP311" s="499"/>
      <c r="DQ311" s="499"/>
      <c r="DR311" s="499"/>
      <c r="DS311" s="499"/>
      <c r="DT311" s="499"/>
      <c r="DU311" s="499"/>
      <c r="DV311" s="499"/>
      <c r="DW311" s="499"/>
      <c r="DX311" s="499"/>
      <c r="DY311" s="499"/>
      <c r="DZ311" s="499"/>
      <c r="EA311" s="499"/>
      <c r="EB311" s="499"/>
      <c r="EC311" s="499"/>
      <c r="ED311" s="499"/>
      <c r="EE311" s="499"/>
      <c r="EF311" s="499"/>
      <c r="EG311" s="1147">
        <f t="shared" si="91"/>
        <v>13</v>
      </c>
      <c r="EH311" s="499">
        <v>0</v>
      </c>
      <c r="EI311" s="615">
        <v>3</v>
      </c>
      <c r="EJ311" s="615">
        <v>3.5</v>
      </c>
      <c r="EK311" s="615">
        <v>6.5</v>
      </c>
      <c r="EL311" s="499"/>
      <c r="EM311" s="499"/>
      <c r="EN311" s="499"/>
      <c r="EO311" s="499"/>
      <c r="EP311" s="499"/>
      <c r="EQ311" s="499"/>
      <c r="ER311" s="499"/>
      <c r="ES311" s="388"/>
      <c r="ET311" s="388"/>
      <c r="EV311" s="1167">
        <f t="shared" si="79"/>
        <v>20.111000000000001</v>
      </c>
    </row>
    <row r="312" spans="1:152" s="350" customFormat="1" ht="15" x14ac:dyDescent="0.25">
      <c r="A312" s="632" t="s">
        <v>4</v>
      </c>
      <c r="B312" s="662">
        <v>43038</v>
      </c>
      <c r="C312" s="1132" t="s">
        <v>904</v>
      </c>
      <c r="D312" s="609">
        <v>0</v>
      </c>
      <c r="E312" s="739">
        <v>0</v>
      </c>
      <c r="F312" s="739">
        <v>42</v>
      </c>
      <c r="G312" s="739">
        <v>1.25</v>
      </c>
      <c r="H312" s="609">
        <v>10.3</v>
      </c>
      <c r="I312" s="609">
        <v>14.6</v>
      </c>
      <c r="J312" s="609">
        <v>0</v>
      </c>
      <c r="K312" s="609">
        <v>5.93</v>
      </c>
      <c r="L312" s="741">
        <v>4.8400000000001455</v>
      </c>
      <c r="M312" s="609">
        <v>17</v>
      </c>
      <c r="N312" s="609">
        <v>1.3</v>
      </c>
      <c r="O312" s="609">
        <v>1.5142320736437782</v>
      </c>
      <c r="P312" s="609">
        <v>1.27</v>
      </c>
      <c r="Q312" s="609">
        <v>0.69528569266847406</v>
      </c>
      <c r="R312" s="609">
        <v>945.06867732558135</v>
      </c>
      <c r="S312" s="609">
        <v>8.1300000000000008</v>
      </c>
      <c r="T312" s="609">
        <v>8.15</v>
      </c>
      <c r="U312" s="609">
        <v>0.72</v>
      </c>
      <c r="V312" s="784">
        <v>0.7</v>
      </c>
      <c r="W312" s="971">
        <v>48.56</v>
      </c>
      <c r="X312" s="786">
        <v>48.739999999999995</v>
      </c>
      <c r="Y312" s="738">
        <v>28.05</v>
      </c>
      <c r="Z312" s="739">
        <v>33</v>
      </c>
      <c r="AA312" s="739">
        <v>28.05</v>
      </c>
      <c r="AB312" s="739">
        <v>33.01</v>
      </c>
      <c r="AC312" s="1160">
        <f t="shared" si="80"/>
        <v>61.06</v>
      </c>
      <c r="AD312" s="1160">
        <f t="shared" si="81"/>
        <v>94.459819999999993</v>
      </c>
      <c r="AE312" s="1160">
        <f t="shared" si="82"/>
        <v>86.972339999999775</v>
      </c>
      <c r="AF312" s="723"/>
      <c r="AG312" s="1160">
        <f t="shared" si="78"/>
        <v>0</v>
      </c>
      <c r="AH312" s="988"/>
      <c r="AI312" s="656"/>
      <c r="AJ312" s="388"/>
      <c r="AK312" s="388"/>
      <c r="AL312" s="388"/>
      <c r="AM312" s="388"/>
      <c r="AN312" s="388"/>
      <c r="AO312" s="370"/>
      <c r="AP312" s="370"/>
      <c r="AQ312" s="386"/>
      <c r="AR312" s="551">
        <v>0</v>
      </c>
      <c r="AS312" s="386">
        <v>22.8</v>
      </c>
      <c r="AT312" s="386">
        <v>0</v>
      </c>
      <c r="AU312" s="386">
        <v>26.3</v>
      </c>
      <c r="AV312" s="636">
        <v>616.4</v>
      </c>
      <c r="AW312" s="636">
        <v>419.3</v>
      </c>
      <c r="AX312" s="386">
        <v>0</v>
      </c>
      <c r="AY312" s="551">
        <v>0</v>
      </c>
      <c r="AZ312" s="551">
        <v>0</v>
      </c>
      <c r="BA312" s="551">
        <v>0</v>
      </c>
      <c r="BB312" s="832">
        <v>0</v>
      </c>
      <c r="BC312" s="386">
        <v>0.77</v>
      </c>
      <c r="BD312" s="386">
        <v>1.72</v>
      </c>
      <c r="BE312" s="551">
        <v>0</v>
      </c>
      <c r="BF312" s="386">
        <v>0.99</v>
      </c>
      <c r="BG312" s="386">
        <v>2.2000000000000002</v>
      </c>
      <c r="BH312" s="551">
        <v>0</v>
      </c>
      <c r="BI312" s="386">
        <v>0.76</v>
      </c>
      <c r="BJ312" s="386">
        <v>26.5</v>
      </c>
      <c r="BK312" s="386">
        <v>3.12</v>
      </c>
      <c r="BL312" s="386">
        <v>3.62</v>
      </c>
      <c r="BM312" s="386">
        <v>0</v>
      </c>
      <c r="BN312" s="386">
        <v>19.899999999999999</v>
      </c>
      <c r="BO312" s="386">
        <v>1191.5</v>
      </c>
      <c r="BP312" s="386">
        <v>20.399999999999999</v>
      </c>
      <c r="BQ312" s="615">
        <v>18.03</v>
      </c>
      <c r="BR312" s="615">
        <v>18.899999999999999</v>
      </c>
      <c r="BS312" s="615">
        <v>12.66</v>
      </c>
      <c r="BT312" s="615">
        <v>12.78</v>
      </c>
      <c r="BU312" s="614">
        <v>26.3</v>
      </c>
      <c r="BV312" s="614">
        <v>33.1</v>
      </c>
      <c r="BW312" s="615">
        <v>719.8</v>
      </c>
      <c r="BX312" s="791"/>
      <c r="BY312" s="615">
        <v>0</v>
      </c>
      <c r="BZ312" s="615">
        <v>1.24</v>
      </c>
      <c r="CA312" s="615">
        <v>1.1000000000000001</v>
      </c>
      <c r="CB312" s="615">
        <v>8.1999999999999993</v>
      </c>
      <c r="CC312" s="615">
        <v>8.1999999999999993</v>
      </c>
      <c r="CD312" s="615">
        <v>15.1</v>
      </c>
      <c r="CE312" s="615">
        <v>34.6</v>
      </c>
      <c r="CF312" s="615">
        <v>15.1</v>
      </c>
      <c r="CG312" s="615">
        <v>7.4</v>
      </c>
      <c r="CH312" s="615">
        <v>13</v>
      </c>
      <c r="CI312" s="615">
        <v>17</v>
      </c>
      <c r="CJ312" s="615">
        <v>12.13</v>
      </c>
      <c r="CK312" s="615">
        <v>504.6</v>
      </c>
      <c r="CL312" s="615">
        <v>2.7</v>
      </c>
      <c r="CM312" s="615">
        <v>4.7</v>
      </c>
      <c r="CN312" s="615">
        <v>233.6</v>
      </c>
      <c r="CO312" s="615">
        <v>441.2</v>
      </c>
      <c r="CP312" s="615">
        <v>0</v>
      </c>
      <c r="CQ312" s="615">
        <v>12.7</v>
      </c>
      <c r="CR312" s="615">
        <v>0.73</v>
      </c>
      <c r="CS312" s="386">
        <v>0</v>
      </c>
      <c r="CT312" s="386">
        <v>17.347000000000001</v>
      </c>
      <c r="CU312" s="609">
        <v>52</v>
      </c>
      <c r="CV312" s="499">
        <v>0</v>
      </c>
      <c r="CW312" s="499">
        <v>0</v>
      </c>
      <c r="CX312" s="499">
        <v>0</v>
      </c>
      <c r="CY312" s="499">
        <v>0</v>
      </c>
      <c r="CZ312" s="608">
        <v>931</v>
      </c>
      <c r="DA312" s="608">
        <v>1320</v>
      </c>
      <c r="DB312" s="608">
        <v>1010</v>
      </c>
      <c r="DC312" s="609">
        <v>1087.3499999999999</v>
      </c>
      <c r="DD312" s="1153">
        <f t="shared" si="83"/>
        <v>-4.540000000000191</v>
      </c>
      <c r="DE312" s="1154">
        <f t="shared" si="84"/>
        <v>0</v>
      </c>
      <c r="DF312" s="1154">
        <f t="shared" si="85"/>
        <v>900</v>
      </c>
      <c r="DG312" s="1154">
        <f t="shared" si="86"/>
        <v>1070</v>
      </c>
      <c r="DH312" s="1155" t="str">
        <f t="shared" si="87"/>
        <v>Palm</v>
      </c>
      <c r="DI312" s="1146">
        <f t="shared" si="88"/>
        <v>310</v>
      </c>
      <c r="DJ312" s="1146">
        <f t="shared" si="89"/>
        <v>0</v>
      </c>
      <c r="DK312" s="1154">
        <f t="shared" si="90"/>
        <v>0</v>
      </c>
      <c r="DL312" s="615"/>
      <c r="DM312" s="615"/>
      <c r="DN312" s="615"/>
      <c r="DO312" s="499"/>
      <c r="DP312" s="499"/>
      <c r="DQ312" s="499"/>
      <c r="DR312" s="499"/>
      <c r="DS312" s="499"/>
      <c r="DT312" s="499"/>
      <c r="DU312" s="499"/>
      <c r="DV312" s="499"/>
      <c r="DW312" s="499"/>
      <c r="DX312" s="499"/>
      <c r="DY312" s="499"/>
      <c r="DZ312" s="499"/>
      <c r="EA312" s="499"/>
      <c r="EB312" s="499"/>
      <c r="EC312" s="499"/>
      <c r="ED312" s="499"/>
      <c r="EE312" s="499"/>
      <c r="EF312" s="499"/>
      <c r="EG312" s="1147">
        <f t="shared" si="91"/>
        <v>13</v>
      </c>
      <c r="EH312" s="499">
        <v>0</v>
      </c>
      <c r="EI312" s="615">
        <v>3</v>
      </c>
      <c r="EJ312" s="615">
        <v>3.5</v>
      </c>
      <c r="EK312" s="615">
        <v>6.5</v>
      </c>
      <c r="EL312" s="499"/>
      <c r="EM312" s="499"/>
      <c r="EN312" s="499"/>
      <c r="EO312" s="499"/>
      <c r="EP312" s="499"/>
      <c r="EQ312" s="499"/>
      <c r="ER312" s="499"/>
      <c r="ES312" s="388"/>
      <c r="ET312" s="388"/>
      <c r="EV312" s="1167">
        <f t="shared" si="79"/>
        <v>20.111000000000001</v>
      </c>
    </row>
    <row r="313" spans="1:152" s="350" customFormat="1" ht="15" x14ac:dyDescent="0.25">
      <c r="A313" s="632" t="s">
        <v>5</v>
      </c>
      <c r="B313" s="662">
        <v>43039</v>
      </c>
      <c r="C313" s="1132" t="s">
        <v>904</v>
      </c>
      <c r="D313" s="609">
        <v>0</v>
      </c>
      <c r="E313" s="739">
        <v>0</v>
      </c>
      <c r="F313" s="739">
        <v>43</v>
      </c>
      <c r="G313" s="739">
        <v>1.2</v>
      </c>
      <c r="H313" s="609">
        <v>9.6999999999999993</v>
      </c>
      <c r="I313" s="609">
        <v>14.3</v>
      </c>
      <c r="J313" s="609">
        <v>0</v>
      </c>
      <c r="K313" s="609">
        <v>5.51</v>
      </c>
      <c r="L313" s="741">
        <v>10.400000000001455</v>
      </c>
      <c r="M313" s="609">
        <v>16.5</v>
      </c>
      <c r="N313" s="609">
        <v>1.34</v>
      </c>
      <c r="O313" s="609">
        <v>1.5117718167167733</v>
      </c>
      <c r="P313" s="609">
        <v>1.32</v>
      </c>
      <c r="Q313" s="609">
        <v>0.69022457067371201</v>
      </c>
      <c r="R313" s="609">
        <v>954.06933139534885</v>
      </c>
      <c r="S313" s="609">
        <v>8.1300000000000008</v>
      </c>
      <c r="T313" s="609">
        <v>8.1999999999999993</v>
      </c>
      <c r="U313" s="609">
        <v>0.63</v>
      </c>
      <c r="V313" s="784">
        <v>0.69</v>
      </c>
      <c r="W313" s="971">
        <v>47.120000000000005</v>
      </c>
      <c r="X313" s="786">
        <v>46.400000000000006</v>
      </c>
      <c r="Y313" s="738">
        <v>28.05</v>
      </c>
      <c r="Z313" s="739">
        <v>32.9</v>
      </c>
      <c r="AA313" s="739">
        <v>28.1</v>
      </c>
      <c r="AB313" s="739">
        <v>33.6</v>
      </c>
      <c r="AC313" s="1160">
        <f t="shared" si="80"/>
        <v>61.7</v>
      </c>
      <c r="AD313" s="1160">
        <f t="shared" si="81"/>
        <v>95.4499</v>
      </c>
      <c r="AE313" s="1160">
        <f t="shared" si="82"/>
        <v>79.361099999997748</v>
      </c>
      <c r="AF313" s="723"/>
      <c r="AG313" s="1160">
        <f t="shared" si="78"/>
        <v>0</v>
      </c>
      <c r="AH313" s="988"/>
      <c r="AI313" s="656"/>
      <c r="AJ313" s="388"/>
      <c r="AK313" s="388"/>
      <c r="AL313" s="388"/>
      <c r="AM313" s="388"/>
      <c r="AN313" s="388"/>
      <c r="AO313" s="370"/>
      <c r="AP313" s="370"/>
      <c r="AQ313" s="386"/>
      <c r="AR313" s="551">
        <v>0</v>
      </c>
      <c r="AS313" s="386">
        <v>11.5</v>
      </c>
      <c r="AT313" s="386">
        <v>0</v>
      </c>
      <c r="AU313" s="386">
        <v>26.3</v>
      </c>
      <c r="AV313" s="636">
        <v>244.2</v>
      </c>
      <c r="AW313" s="636">
        <v>248</v>
      </c>
      <c r="AX313" s="386">
        <v>0</v>
      </c>
      <c r="AY313" s="551">
        <v>0</v>
      </c>
      <c r="AZ313" s="551">
        <v>0</v>
      </c>
      <c r="BA313" s="551">
        <v>0</v>
      </c>
      <c r="BB313" s="832">
        <v>0</v>
      </c>
      <c r="BC313" s="386">
        <v>0.77</v>
      </c>
      <c r="BD313" s="386">
        <v>1.73</v>
      </c>
      <c r="BE313" s="551">
        <v>0</v>
      </c>
      <c r="BF313" s="386">
        <v>0.99</v>
      </c>
      <c r="BG313" s="386">
        <v>2.25</v>
      </c>
      <c r="BH313" s="551">
        <v>0</v>
      </c>
      <c r="BI313" s="386">
        <v>0.69</v>
      </c>
      <c r="BJ313" s="386">
        <v>27.2</v>
      </c>
      <c r="BK313" s="386">
        <v>2.17</v>
      </c>
      <c r="BL313" s="386">
        <v>4.46</v>
      </c>
      <c r="BM313" s="386">
        <v>0</v>
      </c>
      <c r="BN313" s="386">
        <v>20.7</v>
      </c>
      <c r="BO313" s="386">
        <v>1281.2</v>
      </c>
      <c r="BP313" s="386">
        <v>2</v>
      </c>
      <c r="BQ313" s="615">
        <v>18.170000000000002</v>
      </c>
      <c r="BR313" s="615">
        <v>19.03</v>
      </c>
      <c r="BS313" s="615">
        <v>12.89</v>
      </c>
      <c r="BT313" s="615">
        <v>13.03</v>
      </c>
      <c r="BU313" s="614">
        <v>26.7</v>
      </c>
      <c r="BV313" s="614">
        <v>31.4</v>
      </c>
      <c r="BW313" s="615">
        <v>658.7</v>
      </c>
      <c r="BX313" s="791"/>
      <c r="BY313" s="615">
        <v>0</v>
      </c>
      <c r="BZ313" s="615">
        <v>1.3</v>
      </c>
      <c r="CA313" s="615">
        <v>1.2</v>
      </c>
      <c r="CB313" s="615">
        <v>8.3000000000000007</v>
      </c>
      <c r="CC313" s="615">
        <v>8.1</v>
      </c>
      <c r="CD313" s="615">
        <v>15.5</v>
      </c>
      <c r="CE313" s="615">
        <v>34.9</v>
      </c>
      <c r="CF313" s="615">
        <v>14.1</v>
      </c>
      <c r="CG313" s="615">
        <v>7.9</v>
      </c>
      <c r="CH313" s="615">
        <v>13.42</v>
      </c>
      <c r="CI313" s="615">
        <v>17.899999999999999</v>
      </c>
      <c r="CJ313" s="615">
        <v>12.59</v>
      </c>
      <c r="CK313" s="615">
        <v>525.79999999999995</v>
      </c>
      <c r="CL313" s="615">
        <v>3</v>
      </c>
      <c r="CM313" s="615">
        <v>4.7</v>
      </c>
      <c r="CN313" s="615">
        <v>214.1</v>
      </c>
      <c r="CO313" s="615">
        <v>419.8</v>
      </c>
      <c r="CP313" s="615">
        <v>0</v>
      </c>
      <c r="CQ313" s="615">
        <v>12.7</v>
      </c>
      <c r="CR313" s="615">
        <v>0.73</v>
      </c>
      <c r="CS313" s="386">
        <v>0</v>
      </c>
      <c r="CT313" s="386">
        <v>17.23</v>
      </c>
      <c r="CU313" s="609">
        <v>52</v>
      </c>
      <c r="CV313" s="499">
        <v>0</v>
      </c>
      <c r="CW313" s="499">
        <v>0</v>
      </c>
      <c r="CX313" s="499">
        <v>0</v>
      </c>
      <c r="CY313" s="499">
        <v>0</v>
      </c>
      <c r="CZ313" s="608">
        <v>762</v>
      </c>
      <c r="DA313" s="608">
        <v>1140</v>
      </c>
      <c r="DB313" s="608">
        <v>806</v>
      </c>
      <c r="DC313" s="609">
        <v>1083.46</v>
      </c>
      <c r="DD313" s="1153">
        <f t="shared" si="83"/>
        <v>-3.8899999999998727</v>
      </c>
      <c r="DE313" s="1154">
        <f t="shared" si="84"/>
        <v>0</v>
      </c>
      <c r="DF313" s="1154">
        <f t="shared" si="85"/>
        <v>696</v>
      </c>
      <c r="DG313" s="1154">
        <f t="shared" si="86"/>
        <v>890</v>
      </c>
      <c r="DH313" s="1155" t="str">
        <f t="shared" si="87"/>
        <v>Palm</v>
      </c>
      <c r="DI313" s="1146">
        <f t="shared" si="88"/>
        <v>334</v>
      </c>
      <c r="DJ313" s="1146">
        <f t="shared" si="89"/>
        <v>0</v>
      </c>
      <c r="DK313" s="1154">
        <f t="shared" si="90"/>
        <v>0</v>
      </c>
      <c r="DL313" s="615"/>
      <c r="DM313" s="615"/>
      <c r="DN313" s="615"/>
      <c r="DO313" s="499"/>
      <c r="DP313" s="499"/>
      <c r="DQ313" s="499"/>
      <c r="DR313" s="499"/>
      <c r="DS313" s="499"/>
      <c r="DT313" s="499"/>
      <c r="DU313" s="499"/>
      <c r="DV313" s="499"/>
      <c r="DW313" s="499"/>
      <c r="DX313" s="499"/>
      <c r="DY313" s="499"/>
      <c r="DZ313" s="499"/>
      <c r="EA313" s="499"/>
      <c r="EB313" s="499"/>
      <c r="EC313" s="499"/>
      <c r="ED313" s="499"/>
      <c r="EE313" s="499"/>
      <c r="EF313" s="499"/>
      <c r="EG313" s="1147">
        <f t="shared" si="91"/>
        <v>13</v>
      </c>
      <c r="EH313" s="499">
        <v>0</v>
      </c>
      <c r="EI313" s="615">
        <v>3</v>
      </c>
      <c r="EJ313" s="615">
        <v>3.5</v>
      </c>
      <c r="EK313" s="615">
        <v>6.5</v>
      </c>
      <c r="EL313" s="499"/>
      <c r="EM313" s="499"/>
      <c r="EN313" s="499"/>
      <c r="EO313" s="499"/>
      <c r="EP313" s="499"/>
      <c r="EQ313" s="499"/>
      <c r="ER313" s="499"/>
      <c r="ES313" s="388"/>
      <c r="ET313" s="388"/>
      <c r="EV313" s="1167">
        <f t="shared" si="79"/>
        <v>20.111000000000001</v>
      </c>
    </row>
    <row r="314" spans="1:152" s="350" customFormat="1" ht="15" x14ac:dyDescent="0.25">
      <c r="A314" s="632" t="s">
        <v>6</v>
      </c>
      <c r="B314" s="662">
        <v>43040</v>
      </c>
      <c r="C314" s="1132" t="s">
        <v>904</v>
      </c>
      <c r="D314" s="609">
        <v>0.39</v>
      </c>
      <c r="E314" s="739">
        <v>0</v>
      </c>
      <c r="F314" s="739">
        <v>44</v>
      </c>
      <c r="G314" s="739">
        <v>1.1000000000000001</v>
      </c>
      <c r="H314" s="609">
        <v>11.69</v>
      </c>
      <c r="I314" s="609">
        <v>15.2</v>
      </c>
      <c r="J314" s="609">
        <v>0</v>
      </c>
      <c r="K314" s="609">
        <v>7.13</v>
      </c>
      <c r="L314" s="741">
        <v>4.0900000000001455</v>
      </c>
      <c r="M314" s="609">
        <v>17.899999999999999</v>
      </c>
      <c r="N314" s="609">
        <v>1.35</v>
      </c>
      <c r="O314" s="609">
        <v>1.5006856520263356</v>
      </c>
      <c r="P314" s="609">
        <v>1.32</v>
      </c>
      <c r="Q314" s="609">
        <v>0.69054323391016836</v>
      </c>
      <c r="R314" s="609">
        <v>971.73728197674427</v>
      </c>
      <c r="S314" s="609">
        <v>8.24</v>
      </c>
      <c r="T314" s="609">
        <v>8.3000000000000007</v>
      </c>
      <c r="U314" s="609">
        <v>0.67</v>
      </c>
      <c r="V314" s="784">
        <v>0.72</v>
      </c>
      <c r="W314" s="971">
        <v>46.400000000000006</v>
      </c>
      <c r="X314" s="786">
        <v>46.400000000000006</v>
      </c>
      <c r="Y314" s="738">
        <v>28.1</v>
      </c>
      <c r="Z314" s="739">
        <v>33.6</v>
      </c>
      <c r="AA314" s="739">
        <v>28.1</v>
      </c>
      <c r="AB314" s="739">
        <v>34.9</v>
      </c>
      <c r="AC314" s="1160">
        <f t="shared" si="80"/>
        <v>63</v>
      </c>
      <c r="AD314" s="1160">
        <f t="shared" si="81"/>
        <v>97.460999999999999</v>
      </c>
      <c r="AE314" s="1160">
        <f t="shared" si="82"/>
        <v>91.133769999999771</v>
      </c>
      <c r="AF314" s="723"/>
      <c r="AG314" s="1160">
        <f t="shared" si="78"/>
        <v>0</v>
      </c>
      <c r="AH314" s="988"/>
      <c r="AI314" s="656"/>
      <c r="AJ314" s="632"/>
      <c r="AK314" s="388"/>
      <c r="AL314" s="388"/>
      <c r="AM314" s="388"/>
      <c r="AN314" s="388"/>
      <c r="AO314" s="370"/>
      <c r="AP314" s="370"/>
      <c r="AQ314" s="386"/>
      <c r="AR314" s="551">
        <v>0</v>
      </c>
      <c r="AS314" s="386">
        <v>22.8</v>
      </c>
      <c r="AT314" s="386">
        <v>0</v>
      </c>
      <c r="AU314" s="386">
        <v>26.3</v>
      </c>
      <c r="AV314" s="636">
        <v>527.1</v>
      </c>
      <c r="AW314" s="636">
        <v>371.9</v>
      </c>
      <c r="AX314" s="386">
        <v>0</v>
      </c>
      <c r="AY314" s="551">
        <v>0</v>
      </c>
      <c r="AZ314" s="551">
        <v>0</v>
      </c>
      <c r="BA314" s="551">
        <v>0</v>
      </c>
      <c r="BB314" s="832">
        <v>0</v>
      </c>
      <c r="BC314" s="386">
        <v>0.76</v>
      </c>
      <c r="BD314" s="386">
        <v>1.73</v>
      </c>
      <c r="BE314" s="551">
        <v>0</v>
      </c>
      <c r="BF314" s="386">
        <v>1</v>
      </c>
      <c r="BG314" s="386">
        <v>2.25</v>
      </c>
      <c r="BH314" s="551">
        <v>0</v>
      </c>
      <c r="BI314" s="386">
        <v>0.69</v>
      </c>
      <c r="BJ314" s="386">
        <v>28.5</v>
      </c>
      <c r="BK314" s="386">
        <v>2.94</v>
      </c>
      <c r="BL314" s="386">
        <v>3.58</v>
      </c>
      <c r="BM314" s="386">
        <v>0</v>
      </c>
      <c r="BN314" s="386">
        <v>22.1</v>
      </c>
      <c r="BO314" s="386">
        <v>1025.9000000000001</v>
      </c>
      <c r="BP314" s="386">
        <v>2</v>
      </c>
      <c r="BQ314" s="615">
        <v>19.55</v>
      </c>
      <c r="BR314" s="615">
        <v>20.420000000000002</v>
      </c>
      <c r="BS314" s="615">
        <v>12.69</v>
      </c>
      <c r="BT314" s="615">
        <v>12.09</v>
      </c>
      <c r="BU314" s="614">
        <v>26.4</v>
      </c>
      <c r="BV314" s="614">
        <v>27.1</v>
      </c>
      <c r="BW314" s="615">
        <v>706.4</v>
      </c>
      <c r="BX314" s="791"/>
      <c r="BY314" s="615">
        <v>0</v>
      </c>
      <c r="BZ314" s="615">
        <v>1.31</v>
      </c>
      <c r="CA314" s="615">
        <v>1.2</v>
      </c>
      <c r="CB314" s="615">
        <v>8.3000000000000007</v>
      </c>
      <c r="CC314" s="615">
        <v>8.1</v>
      </c>
      <c r="CD314" s="615">
        <v>15.1</v>
      </c>
      <c r="CE314" s="615">
        <v>34.799999999999997</v>
      </c>
      <c r="CF314" s="615">
        <v>13.1</v>
      </c>
      <c r="CG314" s="615">
        <v>7.6</v>
      </c>
      <c r="CH314" s="615">
        <v>13.3</v>
      </c>
      <c r="CI314" s="615">
        <v>17.3</v>
      </c>
      <c r="CJ314" s="615">
        <v>12.56</v>
      </c>
      <c r="CK314" s="615">
        <v>521</v>
      </c>
      <c r="CL314" s="615">
        <v>2.2000000000000002</v>
      </c>
      <c r="CM314" s="615">
        <v>3.6</v>
      </c>
      <c r="CN314" s="615">
        <v>220.8</v>
      </c>
      <c r="CO314" s="615">
        <v>419.5</v>
      </c>
      <c r="CP314" s="615">
        <v>0</v>
      </c>
      <c r="CQ314" s="615">
        <v>12.8</v>
      </c>
      <c r="CR314" s="615">
        <v>0.66</v>
      </c>
      <c r="CS314" s="386">
        <v>0</v>
      </c>
      <c r="CT314" s="386">
        <v>16.324000000000002</v>
      </c>
      <c r="CU314" s="609">
        <v>51</v>
      </c>
      <c r="CV314" s="499">
        <v>0</v>
      </c>
      <c r="CW314" s="499">
        <v>0</v>
      </c>
      <c r="CX314" s="499">
        <v>0</v>
      </c>
      <c r="CY314" s="499">
        <v>0</v>
      </c>
      <c r="CZ314" s="608">
        <v>735</v>
      </c>
      <c r="DA314" s="608">
        <v>951</v>
      </c>
      <c r="DB314" s="608">
        <v>660</v>
      </c>
      <c r="DC314" s="609">
        <v>1080.1300000000001</v>
      </c>
      <c r="DD314" s="1153">
        <f t="shared" si="83"/>
        <v>-3.3299999999999272</v>
      </c>
      <c r="DE314" s="1154">
        <f t="shared" si="84"/>
        <v>0</v>
      </c>
      <c r="DF314" s="1154">
        <f t="shared" si="85"/>
        <v>550</v>
      </c>
      <c r="DG314" s="1154">
        <f t="shared" si="86"/>
        <v>701</v>
      </c>
      <c r="DH314" s="1155" t="str">
        <f t="shared" si="87"/>
        <v>Palm</v>
      </c>
      <c r="DI314" s="1146">
        <f t="shared" si="88"/>
        <v>291</v>
      </c>
      <c r="DJ314" s="1146">
        <f t="shared" si="89"/>
        <v>0</v>
      </c>
      <c r="DK314" s="1154">
        <f t="shared" si="90"/>
        <v>0</v>
      </c>
      <c r="DL314" s="615"/>
      <c r="DM314" s="615"/>
      <c r="DN314" s="615"/>
      <c r="DO314" s="499"/>
      <c r="DP314" s="499"/>
      <c r="DQ314" s="499"/>
      <c r="DR314" s="499"/>
      <c r="DS314" s="499"/>
      <c r="DT314" s="499"/>
      <c r="DU314" s="499"/>
      <c r="DV314" s="499"/>
      <c r="DW314" s="499"/>
      <c r="DX314" s="499"/>
      <c r="DY314" s="499"/>
      <c r="DZ314" s="499"/>
      <c r="EA314" s="499"/>
      <c r="EB314" s="499"/>
      <c r="EC314" s="499"/>
      <c r="ED314" s="499"/>
      <c r="EE314" s="499"/>
      <c r="EF314" s="499"/>
      <c r="EG314" s="1147">
        <f t="shared" si="91"/>
        <v>13</v>
      </c>
      <c r="EH314" s="499">
        <v>0</v>
      </c>
      <c r="EI314" s="615">
        <v>3</v>
      </c>
      <c r="EJ314" s="615">
        <v>3.5</v>
      </c>
      <c r="EK314" s="615">
        <v>6.5</v>
      </c>
      <c r="EL314" s="499"/>
      <c r="EM314" s="499"/>
      <c r="EN314" s="499"/>
      <c r="EO314" s="499"/>
      <c r="EP314" s="499"/>
      <c r="EQ314" s="499"/>
      <c r="ER314" s="499"/>
      <c r="ES314" s="388"/>
      <c r="ET314" s="388"/>
      <c r="EV314" s="1167">
        <f t="shared" si="79"/>
        <v>20.111000000000001</v>
      </c>
    </row>
    <row r="315" spans="1:152" s="350" customFormat="1" ht="15" x14ac:dyDescent="0.25">
      <c r="A315" s="632" t="s">
        <v>7</v>
      </c>
      <c r="B315" s="662">
        <v>43041</v>
      </c>
      <c r="C315" s="1132" t="s">
        <v>904</v>
      </c>
      <c r="D315" s="609">
        <v>0.57999999999999996</v>
      </c>
      <c r="E315" s="739">
        <v>0</v>
      </c>
      <c r="F315" s="739">
        <v>38</v>
      </c>
      <c r="G315" s="739">
        <v>1.1000000000000001</v>
      </c>
      <c r="H315" s="609">
        <v>24.61</v>
      </c>
      <c r="I315" s="609">
        <v>13.9</v>
      </c>
      <c r="J315" s="609">
        <v>0</v>
      </c>
      <c r="K315" s="609">
        <v>9.82</v>
      </c>
      <c r="L315" s="741">
        <v>3.0900000000001455</v>
      </c>
      <c r="M315" s="609">
        <v>17.100000000000001</v>
      </c>
      <c r="N315" s="609">
        <v>1.32</v>
      </c>
      <c r="O315" s="609">
        <v>1.4850083736157109</v>
      </c>
      <c r="P315" s="609">
        <v>1.3</v>
      </c>
      <c r="Q315" s="609">
        <v>0.68794049945036073</v>
      </c>
      <c r="R315" s="609">
        <v>948.40225290697674</v>
      </c>
      <c r="S315" s="609">
        <v>8.11</v>
      </c>
      <c r="T315" s="609">
        <v>8.1999999999999993</v>
      </c>
      <c r="U315" s="609">
        <v>0.65</v>
      </c>
      <c r="V315" s="784">
        <v>0.71</v>
      </c>
      <c r="W315" s="785">
        <v>46.94</v>
      </c>
      <c r="X315" s="786">
        <v>46.760000000000005</v>
      </c>
      <c r="Y315" s="738">
        <v>28.1</v>
      </c>
      <c r="Z315" s="739">
        <v>34.9</v>
      </c>
      <c r="AA315" s="739">
        <v>28.1</v>
      </c>
      <c r="AB315" s="739">
        <v>34.200000000000003</v>
      </c>
      <c r="AC315" s="1160">
        <f t="shared" si="80"/>
        <v>62.300000000000004</v>
      </c>
      <c r="AD315" s="1160">
        <f t="shared" si="81"/>
        <v>96.378100000000003</v>
      </c>
      <c r="AE315" s="1160">
        <f t="shared" si="82"/>
        <v>91.597869999999773</v>
      </c>
      <c r="AF315" s="723"/>
      <c r="AG315" s="1160">
        <f t="shared" si="78"/>
        <v>0</v>
      </c>
      <c r="AH315" s="988"/>
      <c r="AI315" s="656"/>
      <c r="AJ315" s="632"/>
      <c r="AK315" s="388"/>
      <c r="AL315" s="388"/>
      <c r="AM315" s="388"/>
      <c r="AN315" s="388"/>
      <c r="AO315" s="370"/>
      <c r="AP315" s="370"/>
      <c r="AQ315" s="386"/>
      <c r="AR315" s="551">
        <v>0</v>
      </c>
      <c r="AS315" s="386">
        <v>23</v>
      </c>
      <c r="AT315" s="386">
        <v>0</v>
      </c>
      <c r="AU315" s="386">
        <v>26.2</v>
      </c>
      <c r="AV315" s="636">
        <v>433</v>
      </c>
      <c r="AW315" s="636">
        <v>274.60000000000002</v>
      </c>
      <c r="AX315" s="386">
        <v>0</v>
      </c>
      <c r="AY315" s="551">
        <v>0</v>
      </c>
      <c r="AZ315" s="551">
        <v>0</v>
      </c>
      <c r="BA315" s="551">
        <v>0</v>
      </c>
      <c r="BB315" s="832">
        <v>0</v>
      </c>
      <c r="BC315" s="386">
        <v>0.76</v>
      </c>
      <c r="BD315" s="386">
        <v>1.72</v>
      </c>
      <c r="BE315" s="551">
        <v>0</v>
      </c>
      <c r="BF315" s="386">
        <v>0.99</v>
      </c>
      <c r="BG315" s="386">
        <v>2.25</v>
      </c>
      <c r="BH315" s="551">
        <v>0</v>
      </c>
      <c r="BI315" s="386">
        <v>0.69</v>
      </c>
      <c r="BJ315" s="386">
        <v>27.8</v>
      </c>
      <c r="BK315" s="386">
        <v>2.84</v>
      </c>
      <c r="BL315" s="386">
        <v>3.69</v>
      </c>
      <c r="BM315" s="386">
        <v>0</v>
      </c>
      <c r="BN315" s="386">
        <v>21.3</v>
      </c>
      <c r="BO315" s="386">
        <v>1180.8</v>
      </c>
      <c r="BP315" s="386">
        <v>2</v>
      </c>
      <c r="BQ315" s="615">
        <v>20.260000000000002</v>
      </c>
      <c r="BR315" s="615">
        <v>21.07</v>
      </c>
      <c r="BS315" s="615">
        <v>12.77</v>
      </c>
      <c r="BT315" s="615">
        <v>12.91</v>
      </c>
      <c r="BU315" s="614">
        <v>26.5</v>
      </c>
      <c r="BV315" s="614">
        <v>29.5</v>
      </c>
      <c r="BW315" s="615">
        <v>745.1</v>
      </c>
      <c r="BX315" s="791"/>
      <c r="BY315" s="615">
        <v>0</v>
      </c>
      <c r="BZ315" s="615">
        <v>0.03</v>
      </c>
      <c r="CA315" s="615">
        <v>0</v>
      </c>
      <c r="CB315" s="615">
        <v>8.4</v>
      </c>
      <c r="CC315" s="615">
        <v>8.1</v>
      </c>
      <c r="CD315" s="615">
        <v>16</v>
      </c>
      <c r="CE315" s="615">
        <v>34.9</v>
      </c>
      <c r="CF315" s="615">
        <v>12.3</v>
      </c>
      <c r="CG315" s="615">
        <v>7.9</v>
      </c>
      <c r="CH315" s="615">
        <v>13.3</v>
      </c>
      <c r="CI315" s="615">
        <v>17.899999999999999</v>
      </c>
      <c r="CJ315" s="615">
        <v>12.65</v>
      </c>
      <c r="CK315" s="615">
        <v>515.20000000000005</v>
      </c>
      <c r="CL315" s="615">
        <v>2.9</v>
      </c>
      <c r="CM315" s="615">
        <v>3.7</v>
      </c>
      <c r="CN315" s="615">
        <v>202</v>
      </c>
      <c r="CO315" s="615">
        <v>410.8</v>
      </c>
      <c r="CP315" s="615">
        <v>0</v>
      </c>
      <c r="CQ315" s="615">
        <v>12.4</v>
      </c>
      <c r="CR315" s="615">
        <v>0.77</v>
      </c>
      <c r="CS315" s="386">
        <v>0</v>
      </c>
      <c r="CT315" s="386">
        <v>16.02</v>
      </c>
      <c r="CU315" s="609">
        <v>50</v>
      </c>
      <c r="CV315" s="499">
        <v>0</v>
      </c>
      <c r="CW315" s="499">
        <v>0</v>
      </c>
      <c r="CX315" s="499">
        <v>0</v>
      </c>
      <c r="CY315" s="499">
        <v>0</v>
      </c>
      <c r="CZ315" s="608">
        <v>628</v>
      </c>
      <c r="DA315" s="608">
        <v>958</v>
      </c>
      <c r="DB315" s="608">
        <v>607</v>
      </c>
      <c r="DC315" s="609">
        <v>1077.6199999999999</v>
      </c>
      <c r="DD315" s="1153">
        <f t="shared" si="83"/>
        <v>-2.5100000000002183</v>
      </c>
      <c r="DE315" s="1154">
        <f t="shared" si="84"/>
        <v>0</v>
      </c>
      <c r="DF315" s="1154">
        <f t="shared" si="85"/>
        <v>497</v>
      </c>
      <c r="DG315" s="1154">
        <f t="shared" si="86"/>
        <v>708</v>
      </c>
      <c r="DH315" s="1155" t="str">
        <f t="shared" si="87"/>
        <v>Palm</v>
      </c>
      <c r="DI315" s="1146">
        <f t="shared" si="88"/>
        <v>351</v>
      </c>
      <c r="DJ315" s="1146">
        <f t="shared" si="89"/>
        <v>0</v>
      </c>
      <c r="DK315" s="1154">
        <f t="shared" si="90"/>
        <v>0</v>
      </c>
      <c r="DL315" s="615"/>
      <c r="DM315" s="615"/>
      <c r="DN315" s="615"/>
      <c r="DO315" s="499"/>
      <c r="DP315" s="499"/>
      <c r="DQ315" s="499"/>
      <c r="DR315" s="499"/>
      <c r="DS315" s="499"/>
      <c r="DT315" s="499"/>
      <c r="DU315" s="499"/>
      <c r="DV315" s="499"/>
      <c r="DW315" s="499"/>
      <c r="DX315" s="499"/>
      <c r="DY315" s="499"/>
      <c r="DZ315" s="499"/>
      <c r="EA315" s="499"/>
      <c r="EB315" s="499"/>
      <c r="EC315" s="499"/>
      <c r="ED315" s="499"/>
      <c r="EE315" s="499"/>
      <c r="EF315" s="499"/>
      <c r="EG315" s="1147">
        <f t="shared" si="91"/>
        <v>13</v>
      </c>
      <c r="EH315" s="499">
        <v>0</v>
      </c>
      <c r="EI315" s="615">
        <v>3</v>
      </c>
      <c r="EJ315" s="615">
        <v>3.5</v>
      </c>
      <c r="EK315" s="615">
        <v>6.5</v>
      </c>
      <c r="EL315" s="499"/>
      <c r="EM315" s="499"/>
      <c r="EN315" s="499"/>
      <c r="EO315" s="499"/>
      <c r="EP315" s="499"/>
      <c r="EQ315" s="499"/>
      <c r="ER315" s="499"/>
      <c r="ES315" s="388"/>
      <c r="ET315" s="388"/>
      <c r="EV315" s="1167">
        <f t="shared" si="79"/>
        <v>20.111000000000001</v>
      </c>
    </row>
    <row r="316" spans="1:152" s="350" customFormat="1" ht="15" x14ac:dyDescent="0.25">
      <c r="A316" s="632" t="s">
        <v>8</v>
      </c>
      <c r="B316" s="662">
        <v>43042</v>
      </c>
      <c r="C316" s="1132" t="s">
        <v>904</v>
      </c>
      <c r="D316" s="609">
        <v>0.11</v>
      </c>
      <c r="E316" s="739">
        <v>0</v>
      </c>
      <c r="F316" s="739">
        <v>34</v>
      </c>
      <c r="G316" s="739">
        <v>0.7</v>
      </c>
      <c r="H316" s="609">
        <v>13.6</v>
      </c>
      <c r="I316" s="609">
        <v>13.8</v>
      </c>
      <c r="J316" s="609">
        <v>0</v>
      </c>
      <c r="K316" s="609">
        <v>9.0399999999999991</v>
      </c>
      <c r="L316" s="741">
        <v>23.220000000001164</v>
      </c>
      <c r="M316" s="609">
        <v>15.7</v>
      </c>
      <c r="N316" s="609">
        <v>1.33</v>
      </c>
      <c r="O316" s="609">
        <v>1.5184969674728386</v>
      </c>
      <c r="P316" s="609">
        <v>1.3</v>
      </c>
      <c r="Q316" s="609">
        <v>0.69869358381068791</v>
      </c>
      <c r="R316" s="609">
        <v>952.4025436046511</v>
      </c>
      <c r="S316" s="609">
        <v>8.26</v>
      </c>
      <c r="T316" s="609">
        <v>8.3000000000000007</v>
      </c>
      <c r="U316" s="609">
        <v>0.64</v>
      </c>
      <c r="V316" s="784">
        <v>0.71</v>
      </c>
      <c r="W316" s="785">
        <v>45.860000000000014</v>
      </c>
      <c r="X316" s="786">
        <v>46.039999999999992</v>
      </c>
      <c r="Y316" s="738">
        <v>28.1</v>
      </c>
      <c r="Z316" s="739">
        <v>34.200000000000003</v>
      </c>
      <c r="AA316" s="739">
        <v>28</v>
      </c>
      <c r="AB316" s="739">
        <v>33.299999999999997</v>
      </c>
      <c r="AC316" s="1160">
        <f t="shared" si="80"/>
        <v>61.3</v>
      </c>
      <c r="AD316" s="1160">
        <f t="shared" si="81"/>
        <v>94.831099999999992</v>
      </c>
      <c r="AE316" s="1160">
        <f t="shared" si="82"/>
        <v>58.909759999998194</v>
      </c>
      <c r="AF316" s="723"/>
      <c r="AG316" s="1160">
        <f t="shared" si="78"/>
        <v>0</v>
      </c>
      <c r="AH316" s="988"/>
      <c r="AI316" s="656"/>
      <c r="AJ316" s="632"/>
      <c r="AK316" s="388"/>
      <c r="AL316" s="388"/>
      <c r="AM316" s="388"/>
      <c r="AN316" s="388"/>
      <c r="AO316" s="370"/>
      <c r="AP316" s="370"/>
      <c r="AQ316" s="386"/>
      <c r="AR316" s="551">
        <v>0</v>
      </c>
      <c r="AS316" s="386">
        <v>16.5</v>
      </c>
      <c r="AT316" s="386">
        <v>0</v>
      </c>
      <c r="AU316" s="386">
        <v>26.2</v>
      </c>
      <c r="AV316" s="636">
        <v>382</v>
      </c>
      <c r="AW316" s="636">
        <v>327.2</v>
      </c>
      <c r="AX316" s="386">
        <v>0</v>
      </c>
      <c r="AY316" s="551">
        <v>0</v>
      </c>
      <c r="AZ316" s="551">
        <v>0</v>
      </c>
      <c r="BA316" s="551">
        <v>0</v>
      </c>
      <c r="BB316" s="832">
        <v>0</v>
      </c>
      <c r="BC316" s="386">
        <v>0.6</v>
      </c>
      <c r="BD316" s="386">
        <v>1.58</v>
      </c>
      <c r="BE316" s="551">
        <v>0</v>
      </c>
      <c r="BF316" s="386">
        <v>0.99</v>
      </c>
      <c r="BG316" s="386">
        <v>2.13</v>
      </c>
      <c r="BH316" s="551">
        <v>0</v>
      </c>
      <c r="BI316" s="386">
        <v>0.81</v>
      </c>
      <c r="BJ316" s="386">
        <v>27.2</v>
      </c>
      <c r="BK316" s="386">
        <v>2.88</v>
      </c>
      <c r="BL316" s="386">
        <v>3.66</v>
      </c>
      <c r="BM316" s="386">
        <v>0</v>
      </c>
      <c r="BN316" s="386">
        <v>20.8</v>
      </c>
      <c r="BO316" s="386">
        <v>1015.7</v>
      </c>
      <c r="BP316" s="386">
        <v>2.7</v>
      </c>
      <c r="BQ316" s="615">
        <v>20.71</v>
      </c>
      <c r="BR316" s="615">
        <v>21.54</v>
      </c>
      <c r="BS316" s="615">
        <v>12.74</v>
      </c>
      <c r="BT316" s="615">
        <v>12.84</v>
      </c>
      <c r="BU316" s="614">
        <v>26.5</v>
      </c>
      <c r="BV316" s="614">
        <v>30.1</v>
      </c>
      <c r="BW316" s="615">
        <v>599.29999999999995</v>
      </c>
      <c r="BX316" s="791"/>
      <c r="BY316" s="615">
        <v>0</v>
      </c>
      <c r="BZ316" s="615">
        <v>1.27</v>
      </c>
      <c r="CA316" s="615">
        <v>1.2</v>
      </c>
      <c r="CB316" s="615">
        <v>8.3000000000000007</v>
      </c>
      <c r="CC316" s="615">
        <v>8.1</v>
      </c>
      <c r="CD316" s="615">
        <v>16</v>
      </c>
      <c r="CE316" s="615">
        <v>35.1</v>
      </c>
      <c r="CF316" s="615">
        <v>14.1</v>
      </c>
      <c r="CG316" s="615">
        <v>7.9</v>
      </c>
      <c r="CH316" s="615">
        <v>13.6</v>
      </c>
      <c r="CI316" s="615">
        <v>17.600000000000001</v>
      </c>
      <c r="CJ316" s="615">
        <v>12.93</v>
      </c>
      <c r="CK316" s="615">
        <v>498.6</v>
      </c>
      <c r="CL316" s="615">
        <v>2.9</v>
      </c>
      <c r="CM316" s="615">
        <v>4.5999999999999996</v>
      </c>
      <c r="CN316" s="615">
        <v>212.2</v>
      </c>
      <c r="CO316" s="615">
        <v>429.2</v>
      </c>
      <c r="CP316" s="615">
        <v>0</v>
      </c>
      <c r="CQ316" s="615">
        <v>11.9</v>
      </c>
      <c r="CR316" s="615">
        <v>0.68</v>
      </c>
      <c r="CS316" s="386">
        <v>0</v>
      </c>
      <c r="CT316" s="386">
        <v>16.396999999999998</v>
      </c>
      <c r="CU316" s="609">
        <v>50</v>
      </c>
      <c r="CV316" s="499">
        <v>0</v>
      </c>
      <c r="CW316" s="499">
        <v>0</v>
      </c>
      <c r="CX316" s="499">
        <v>0</v>
      </c>
      <c r="CY316" s="499">
        <v>0</v>
      </c>
      <c r="CZ316" s="608">
        <v>403</v>
      </c>
      <c r="DA316" s="608">
        <v>743</v>
      </c>
      <c r="DB316" s="608">
        <v>361</v>
      </c>
      <c r="DC316" s="609">
        <v>1077.76</v>
      </c>
      <c r="DD316" s="1153">
        <f t="shared" si="83"/>
        <v>0.14000000000010004</v>
      </c>
      <c r="DE316" s="1154">
        <f t="shared" si="84"/>
        <v>0</v>
      </c>
      <c r="DF316" s="1154">
        <f t="shared" si="85"/>
        <v>251</v>
      </c>
      <c r="DG316" s="1154">
        <f t="shared" si="86"/>
        <v>493</v>
      </c>
      <c r="DH316" s="1155" t="str">
        <f t="shared" si="87"/>
        <v>Palm</v>
      </c>
      <c r="DI316" s="1146">
        <f t="shared" si="88"/>
        <v>382</v>
      </c>
      <c r="DJ316" s="1146">
        <f t="shared" si="89"/>
        <v>0</v>
      </c>
      <c r="DK316" s="1154">
        <f t="shared" si="90"/>
        <v>0</v>
      </c>
      <c r="DL316" s="615"/>
      <c r="DM316" s="615"/>
      <c r="DN316" s="615"/>
      <c r="DO316" s="499"/>
      <c r="DP316" s="499"/>
      <c r="DQ316" s="499"/>
      <c r="DR316" s="499"/>
      <c r="DS316" s="499"/>
      <c r="DT316" s="499"/>
      <c r="DU316" s="499"/>
      <c r="DV316" s="499"/>
      <c r="DW316" s="499"/>
      <c r="DX316" s="499"/>
      <c r="DY316" s="499"/>
      <c r="DZ316" s="499"/>
      <c r="EA316" s="499"/>
      <c r="EB316" s="499"/>
      <c r="EC316" s="499"/>
      <c r="ED316" s="499"/>
      <c r="EE316" s="499"/>
      <c r="EF316" s="499"/>
      <c r="EG316" s="1147">
        <f t="shared" si="91"/>
        <v>12.5</v>
      </c>
      <c r="EH316" s="499">
        <v>0</v>
      </c>
      <c r="EI316" s="615">
        <v>3</v>
      </c>
      <c r="EJ316" s="615">
        <v>3</v>
      </c>
      <c r="EK316" s="615">
        <v>6.5</v>
      </c>
      <c r="EL316" s="499"/>
      <c r="EM316" s="499"/>
      <c r="EN316" s="499"/>
      <c r="EO316" s="499"/>
      <c r="EP316" s="499"/>
      <c r="EQ316" s="499"/>
      <c r="ER316" s="499"/>
      <c r="ES316" s="388"/>
      <c r="ET316" s="388"/>
      <c r="EV316" s="1167">
        <f t="shared" si="79"/>
        <v>19.337499999999999</v>
      </c>
    </row>
    <row r="317" spans="1:152" s="350" customFormat="1" ht="15" x14ac:dyDescent="0.25">
      <c r="A317" s="632" t="s">
        <v>9</v>
      </c>
      <c r="B317" s="662">
        <v>43043</v>
      </c>
      <c r="C317" s="1132" t="s">
        <v>904</v>
      </c>
      <c r="D317" s="609">
        <v>0.44</v>
      </c>
      <c r="E317" s="739">
        <v>0</v>
      </c>
      <c r="F317" s="739">
        <v>34</v>
      </c>
      <c r="G317" s="739">
        <v>0.7</v>
      </c>
      <c r="H317" s="609">
        <v>8.4</v>
      </c>
      <c r="I317" s="609">
        <v>17</v>
      </c>
      <c r="J317" s="609">
        <v>0</v>
      </c>
      <c r="K317" s="609">
        <v>5.48</v>
      </c>
      <c r="L317" s="741">
        <v>14</v>
      </c>
      <c r="M317" s="609">
        <v>16</v>
      </c>
      <c r="N317" s="609">
        <v>1.33</v>
      </c>
      <c r="O317" s="609">
        <v>1.515425418333028</v>
      </c>
      <c r="P317" s="609">
        <v>1.31</v>
      </c>
      <c r="Q317" s="609">
        <v>0.69033704005161656</v>
      </c>
      <c r="R317" s="609">
        <v>943.06853197674411</v>
      </c>
      <c r="S317" s="609">
        <v>8.25</v>
      </c>
      <c r="T317" s="609">
        <v>8.33</v>
      </c>
      <c r="U317" s="609">
        <v>0.65</v>
      </c>
      <c r="V317" s="784">
        <v>0.71</v>
      </c>
      <c r="W317" s="785">
        <v>45.14</v>
      </c>
      <c r="X317" s="786">
        <v>45.319999999999993</v>
      </c>
      <c r="Y317" s="738">
        <v>28</v>
      </c>
      <c r="Z317" s="739">
        <v>33.299999999999997</v>
      </c>
      <c r="AA317" s="739">
        <v>28.1</v>
      </c>
      <c r="AB317" s="739">
        <v>32.979999999999997</v>
      </c>
      <c r="AC317" s="1160">
        <f t="shared" si="80"/>
        <v>61.08</v>
      </c>
      <c r="AD317" s="1160">
        <f t="shared" si="81"/>
        <v>94.490759999999995</v>
      </c>
      <c r="AE317" s="1160">
        <f t="shared" si="82"/>
        <v>72.832759999999993</v>
      </c>
      <c r="AF317" s="723"/>
      <c r="AG317" s="1160">
        <f t="shared" si="78"/>
        <v>0</v>
      </c>
      <c r="AH317" s="988"/>
      <c r="AI317" s="656"/>
      <c r="AJ317" s="632"/>
      <c r="AK317" s="388"/>
      <c r="AL317" s="388"/>
      <c r="AM317" s="388"/>
      <c r="AN317" s="388"/>
      <c r="AO317" s="370"/>
      <c r="AP317" s="370"/>
      <c r="AQ317" s="386"/>
      <c r="AR317" s="551">
        <v>0</v>
      </c>
      <c r="AS317" s="386">
        <v>17.399999999999999</v>
      </c>
      <c r="AT317" s="386">
        <v>0</v>
      </c>
      <c r="AU317" s="386">
        <v>26.1</v>
      </c>
      <c r="AV317" s="636">
        <v>327.39999999999998</v>
      </c>
      <c r="AW317" s="636">
        <v>295.39999999999998</v>
      </c>
      <c r="AX317" s="386">
        <v>0</v>
      </c>
      <c r="AY317" s="551">
        <v>0</v>
      </c>
      <c r="AZ317" s="551">
        <v>0</v>
      </c>
      <c r="BA317" s="551">
        <v>0</v>
      </c>
      <c r="BB317" s="832">
        <v>0</v>
      </c>
      <c r="BC317" s="386">
        <v>0.5</v>
      </c>
      <c r="BD317" s="386">
        <v>1.5</v>
      </c>
      <c r="BE317" s="551">
        <v>0</v>
      </c>
      <c r="BF317" s="386">
        <v>0.99</v>
      </c>
      <c r="BG317" s="386">
        <v>1.9</v>
      </c>
      <c r="BH317" s="551">
        <v>0</v>
      </c>
      <c r="BI317" s="386">
        <v>0.98</v>
      </c>
      <c r="BJ317" s="386">
        <v>27.1</v>
      </c>
      <c r="BK317" s="386">
        <v>3.86</v>
      </c>
      <c r="BL317" s="386">
        <v>2.58</v>
      </c>
      <c r="BM317" s="386">
        <v>0</v>
      </c>
      <c r="BN317" s="386">
        <v>20.7</v>
      </c>
      <c r="BO317" s="386">
        <v>962.2</v>
      </c>
      <c r="BP317" s="386">
        <v>2.7</v>
      </c>
      <c r="BQ317" s="615">
        <v>21.53</v>
      </c>
      <c r="BR317" s="615">
        <v>22.42</v>
      </c>
      <c r="BS317" s="615">
        <v>12.7</v>
      </c>
      <c r="BT317" s="615">
        <v>12.79</v>
      </c>
      <c r="BU317" s="614">
        <v>26.4</v>
      </c>
      <c r="BV317" s="614">
        <v>28.8</v>
      </c>
      <c r="BW317" s="615">
        <v>776.1</v>
      </c>
      <c r="BX317" s="791"/>
      <c r="BY317" s="615">
        <v>0</v>
      </c>
      <c r="BZ317" s="615">
        <v>1.31</v>
      </c>
      <c r="CA317" s="615">
        <v>1.2</v>
      </c>
      <c r="CB317" s="615">
        <v>8.4</v>
      </c>
      <c r="CC317" s="615">
        <v>8.1999999999999993</v>
      </c>
      <c r="CD317" s="615">
        <v>15.8</v>
      </c>
      <c r="CE317" s="615">
        <v>35.200000000000003</v>
      </c>
      <c r="CF317" s="615">
        <v>13.1</v>
      </c>
      <c r="CG317" s="615">
        <v>6.8</v>
      </c>
      <c r="CH317" s="615">
        <v>12.35</v>
      </c>
      <c r="CI317" s="615">
        <v>16.3</v>
      </c>
      <c r="CJ317" s="615">
        <v>12.59</v>
      </c>
      <c r="CK317" s="615">
        <v>475.9</v>
      </c>
      <c r="CL317" s="615">
        <v>2.7</v>
      </c>
      <c r="CM317" s="615">
        <v>4.2</v>
      </c>
      <c r="CN317" s="615">
        <v>285.3</v>
      </c>
      <c r="CO317" s="615">
        <v>428.9</v>
      </c>
      <c r="CP317" s="615">
        <v>0</v>
      </c>
      <c r="CQ317" s="615">
        <v>11.6</v>
      </c>
      <c r="CR317" s="615">
        <v>0.56999999999999995</v>
      </c>
      <c r="CS317" s="386">
        <v>0</v>
      </c>
      <c r="CT317" s="386">
        <v>15.965999999999999</v>
      </c>
      <c r="CU317" s="609">
        <v>49</v>
      </c>
      <c r="CV317" s="499">
        <v>0</v>
      </c>
      <c r="CW317" s="499">
        <v>0</v>
      </c>
      <c r="CX317" s="499">
        <v>0</v>
      </c>
      <c r="CY317" s="499">
        <v>0</v>
      </c>
      <c r="CZ317" s="608">
        <v>413</v>
      </c>
      <c r="DA317" s="608">
        <v>680</v>
      </c>
      <c r="DB317" s="608">
        <v>353</v>
      </c>
      <c r="DC317" s="608">
        <v>1079.08</v>
      </c>
      <c r="DD317" s="1153">
        <f t="shared" si="83"/>
        <v>1.3199999999999363</v>
      </c>
      <c r="DE317" s="1154">
        <f t="shared" si="84"/>
        <v>0</v>
      </c>
      <c r="DF317" s="1154">
        <f t="shared" si="85"/>
        <v>243</v>
      </c>
      <c r="DG317" s="1154">
        <f t="shared" si="86"/>
        <v>430</v>
      </c>
      <c r="DH317" s="1155" t="str">
        <f t="shared" si="87"/>
        <v>Palm</v>
      </c>
      <c r="DI317" s="1146">
        <f t="shared" si="88"/>
        <v>327</v>
      </c>
      <c r="DJ317" s="1146">
        <f t="shared" si="89"/>
        <v>0</v>
      </c>
      <c r="DK317" s="1154">
        <f t="shared" si="90"/>
        <v>0</v>
      </c>
      <c r="DL317" s="615"/>
      <c r="DM317" s="615"/>
      <c r="DN317" s="615"/>
      <c r="DO317" s="499"/>
      <c r="DP317" s="499"/>
      <c r="DQ317" s="499"/>
      <c r="DR317" s="499"/>
      <c r="DS317" s="499"/>
      <c r="DT317" s="499"/>
      <c r="DU317" s="499"/>
      <c r="DV317" s="499"/>
      <c r="DW317" s="499"/>
      <c r="DX317" s="499"/>
      <c r="DY317" s="499"/>
      <c r="DZ317" s="499"/>
      <c r="EA317" s="499"/>
      <c r="EB317" s="499"/>
      <c r="EC317" s="499"/>
      <c r="ED317" s="499"/>
      <c r="EE317" s="499"/>
      <c r="EF317" s="499"/>
      <c r="EG317" s="1147">
        <f t="shared" si="91"/>
        <v>12.5</v>
      </c>
      <c r="EH317" s="499">
        <v>0</v>
      </c>
      <c r="EI317" s="615">
        <v>3</v>
      </c>
      <c r="EJ317" s="615">
        <v>3</v>
      </c>
      <c r="EK317" s="615">
        <v>6.5</v>
      </c>
      <c r="EL317" s="499"/>
      <c r="EM317" s="499"/>
      <c r="EN317" s="499"/>
      <c r="EO317" s="499"/>
      <c r="EP317" s="499"/>
      <c r="EQ317" s="499"/>
      <c r="ER317" s="499"/>
      <c r="ES317" s="388"/>
      <c r="ET317" s="388"/>
      <c r="EV317" s="1167">
        <f t="shared" si="79"/>
        <v>19.337499999999999</v>
      </c>
    </row>
    <row r="318" spans="1:152" s="350" customFormat="1" ht="15" x14ac:dyDescent="0.25">
      <c r="A318" s="632" t="s">
        <v>3</v>
      </c>
      <c r="B318" s="662">
        <v>43044</v>
      </c>
      <c r="C318" s="1132" t="s">
        <v>904</v>
      </c>
      <c r="D318" s="609">
        <v>0.94</v>
      </c>
      <c r="E318" s="739">
        <v>0</v>
      </c>
      <c r="F318" s="739">
        <v>32</v>
      </c>
      <c r="G318" s="739">
        <v>0.7</v>
      </c>
      <c r="H318" s="609">
        <v>4.7</v>
      </c>
      <c r="I318" s="609">
        <v>17.100000000000001</v>
      </c>
      <c r="J318" s="609">
        <v>0</v>
      </c>
      <c r="K318" s="609">
        <v>4.08</v>
      </c>
      <c r="L318" s="741">
        <v>5.5</v>
      </c>
      <c r="M318" s="609">
        <v>17.600000000000001</v>
      </c>
      <c r="N318" s="609">
        <v>1.29</v>
      </c>
      <c r="O318" s="609">
        <v>38.345491209616007</v>
      </c>
      <c r="P318" s="609">
        <v>1.3</v>
      </c>
      <c r="Q318" s="609">
        <v>0.69092768568628282</v>
      </c>
      <c r="R318" s="609">
        <v>919.04149709299998</v>
      </c>
      <c r="S318" s="609">
        <v>8.2100000000000009</v>
      </c>
      <c r="T318" s="609">
        <v>8.32</v>
      </c>
      <c r="U318" s="609">
        <v>0.67</v>
      </c>
      <c r="V318" s="784">
        <v>0.75</v>
      </c>
      <c r="W318" s="785">
        <v>43.160000000000011</v>
      </c>
      <c r="X318" s="786">
        <v>43.519999999999996</v>
      </c>
      <c r="Y318" s="738">
        <v>28.1</v>
      </c>
      <c r="Z318" s="739">
        <v>32.979999999999997</v>
      </c>
      <c r="AA318" s="739">
        <v>27.6</v>
      </c>
      <c r="AB318" s="739">
        <v>31.58</v>
      </c>
      <c r="AC318" s="1160">
        <f t="shared" si="80"/>
        <v>59.18</v>
      </c>
      <c r="AD318" s="1160">
        <f t="shared" si="81"/>
        <v>91.551459999999992</v>
      </c>
      <c r="AE318" s="1160">
        <f t="shared" si="82"/>
        <v>83.042959999999994</v>
      </c>
      <c r="AF318" s="723"/>
      <c r="AG318" s="1160">
        <f t="shared" si="78"/>
        <v>0</v>
      </c>
      <c r="AH318" s="988"/>
      <c r="AI318" s="656"/>
      <c r="AJ318" s="632"/>
      <c r="AK318" s="388"/>
      <c r="AL318" s="388"/>
      <c r="AM318" s="388"/>
      <c r="AN318" s="388"/>
      <c r="AO318" s="370"/>
      <c r="AP318" s="370"/>
      <c r="AQ318" s="386"/>
      <c r="AR318" s="551">
        <v>0</v>
      </c>
      <c r="AS318" s="386">
        <v>17.399999999999999</v>
      </c>
      <c r="AT318" s="386">
        <v>0</v>
      </c>
      <c r="AU318" s="386">
        <v>26</v>
      </c>
      <c r="AV318" s="636">
        <v>475.5</v>
      </c>
      <c r="AW318" s="636">
        <v>284.5</v>
      </c>
      <c r="AX318" s="386">
        <v>0</v>
      </c>
      <c r="AY318" s="551">
        <v>0</v>
      </c>
      <c r="AZ318" s="551">
        <v>0</v>
      </c>
      <c r="BA318" s="551">
        <v>0</v>
      </c>
      <c r="BB318" s="832">
        <v>0</v>
      </c>
      <c r="BC318" s="386">
        <v>0.53</v>
      </c>
      <c r="BD318" s="386">
        <v>1.56</v>
      </c>
      <c r="BE318" s="551">
        <v>0</v>
      </c>
      <c r="BF318" s="386">
        <v>1</v>
      </c>
      <c r="BG318" s="386">
        <v>1.92</v>
      </c>
      <c r="BH318" s="551">
        <v>0</v>
      </c>
      <c r="BI318" s="386">
        <v>1.02</v>
      </c>
      <c r="BJ318" s="386">
        <v>25.7</v>
      </c>
      <c r="BK318" s="386">
        <v>3.12</v>
      </c>
      <c r="BL318" s="386">
        <v>3.2</v>
      </c>
      <c r="BM318" s="386">
        <v>0</v>
      </c>
      <c r="BN318" s="386">
        <v>19.399999999999999</v>
      </c>
      <c r="BO318" s="386">
        <v>1390.6</v>
      </c>
      <c r="BP318" s="386">
        <v>2.9</v>
      </c>
      <c r="BQ318" s="615">
        <v>21.73</v>
      </c>
      <c r="BR318" s="615">
        <v>22.54</v>
      </c>
      <c r="BS318" s="615">
        <v>12.69</v>
      </c>
      <c r="BT318" s="615">
        <v>12.82</v>
      </c>
      <c r="BU318" s="614">
        <v>26.5</v>
      </c>
      <c r="BV318" s="614">
        <v>31.2</v>
      </c>
      <c r="BW318" s="615">
        <v>740.6</v>
      </c>
      <c r="BX318" s="791"/>
      <c r="BY318" s="615">
        <v>0</v>
      </c>
      <c r="BZ318" s="615">
        <v>1.29</v>
      </c>
      <c r="CA318" s="615">
        <v>1.2</v>
      </c>
      <c r="CB318" s="615">
        <v>8.4</v>
      </c>
      <c r="CC318" s="615">
        <v>8.1999999999999993</v>
      </c>
      <c r="CD318" s="615">
        <v>15.9</v>
      </c>
      <c r="CE318" s="615">
        <v>35.299999999999997</v>
      </c>
      <c r="CF318" s="615">
        <v>12.1</v>
      </c>
      <c r="CG318" s="615">
        <v>8.1</v>
      </c>
      <c r="CH318" s="615">
        <v>13.8</v>
      </c>
      <c r="CI318" s="615">
        <v>17.899999999999999</v>
      </c>
      <c r="CJ318" s="615">
        <v>12.7</v>
      </c>
      <c r="CK318" s="615">
        <v>480.4</v>
      </c>
      <c r="CL318" s="615">
        <v>2.5</v>
      </c>
      <c r="CM318" s="615">
        <v>4</v>
      </c>
      <c r="CN318" s="615">
        <v>283.8</v>
      </c>
      <c r="CO318" s="615">
        <v>428.6</v>
      </c>
      <c r="CP318" s="615">
        <v>0</v>
      </c>
      <c r="CQ318" s="615">
        <v>11.5</v>
      </c>
      <c r="CR318" s="615">
        <v>0.61</v>
      </c>
      <c r="CS318" s="386">
        <v>0</v>
      </c>
      <c r="CT318" s="386">
        <v>15.909000000000001</v>
      </c>
      <c r="CU318" s="609">
        <v>48</v>
      </c>
      <c r="CV318" s="499">
        <v>0</v>
      </c>
      <c r="CW318" s="499">
        <v>0</v>
      </c>
      <c r="CX318" s="499">
        <v>0</v>
      </c>
      <c r="CY318" s="499">
        <v>0</v>
      </c>
      <c r="CZ318" s="608">
        <v>416</v>
      </c>
      <c r="DA318" s="608">
        <v>772</v>
      </c>
      <c r="DB318" s="608">
        <v>345</v>
      </c>
      <c r="DC318" s="608">
        <v>1080.4100000000001</v>
      </c>
      <c r="DD318" s="1153">
        <f t="shared" si="83"/>
        <v>1.3300000000001546</v>
      </c>
      <c r="DE318" s="1154">
        <f t="shared" si="84"/>
        <v>0</v>
      </c>
      <c r="DF318" s="1154">
        <f t="shared" si="85"/>
        <v>235</v>
      </c>
      <c r="DG318" s="1154">
        <f t="shared" si="86"/>
        <v>522</v>
      </c>
      <c r="DH318" s="1155" t="str">
        <f t="shared" si="87"/>
        <v>Palm</v>
      </c>
      <c r="DI318" s="1146">
        <f t="shared" si="88"/>
        <v>427</v>
      </c>
      <c r="DJ318" s="1146">
        <f t="shared" si="89"/>
        <v>0</v>
      </c>
      <c r="DK318" s="1154">
        <f t="shared" si="90"/>
        <v>0</v>
      </c>
      <c r="DL318" s="615"/>
      <c r="DM318" s="615"/>
      <c r="DN318" s="615"/>
      <c r="DO318" s="499"/>
      <c r="DP318" s="499"/>
      <c r="DQ318" s="499"/>
      <c r="DR318" s="499"/>
      <c r="DS318" s="499"/>
      <c r="DT318" s="499"/>
      <c r="DU318" s="499"/>
      <c r="DV318" s="499"/>
      <c r="DW318" s="499"/>
      <c r="DX318" s="499"/>
      <c r="DY318" s="499"/>
      <c r="DZ318" s="499"/>
      <c r="EA318" s="499"/>
      <c r="EB318" s="499"/>
      <c r="EC318" s="499"/>
      <c r="ED318" s="499"/>
      <c r="EE318" s="499"/>
      <c r="EF318" s="499"/>
      <c r="EG318" s="1147">
        <f t="shared" si="91"/>
        <v>12.5</v>
      </c>
      <c r="EH318" s="499">
        <v>0</v>
      </c>
      <c r="EI318" s="615">
        <v>3</v>
      </c>
      <c r="EJ318" s="615">
        <v>3</v>
      </c>
      <c r="EK318" s="615">
        <v>6.5</v>
      </c>
      <c r="EL318" s="499"/>
      <c r="EM318" s="499"/>
      <c r="EN318" s="499"/>
      <c r="EO318" s="499"/>
      <c r="EP318" s="499"/>
      <c r="EQ318" s="499"/>
      <c r="ER318" s="499"/>
      <c r="ES318" s="388"/>
      <c r="ET318" s="388"/>
      <c r="EV318" s="1167">
        <f t="shared" si="79"/>
        <v>19.337499999999999</v>
      </c>
    </row>
    <row r="319" spans="1:152" s="350" customFormat="1" ht="15" x14ac:dyDescent="0.25">
      <c r="A319" s="632" t="s">
        <v>4</v>
      </c>
      <c r="B319" s="662">
        <v>43045</v>
      </c>
      <c r="C319" s="1132" t="s">
        <v>904</v>
      </c>
      <c r="D319" s="609">
        <v>0</v>
      </c>
      <c r="E319" s="739">
        <v>0</v>
      </c>
      <c r="F319" s="739">
        <v>35</v>
      </c>
      <c r="G319" s="739">
        <v>0.9</v>
      </c>
      <c r="H319" s="609">
        <v>5.73</v>
      </c>
      <c r="I319" s="609">
        <v>18.3</v>
      </c>
      <c r="J319" s="609">
        <v>0</v>
      </c>
      <c r="K319" s="609">
        <v>4.22</v>
      </c>
      <c r="L319" s="741">
        <v>0</v>
      </c>
      <c r="M319" s="609">
        <v>17.899999999999999</v>
      </c>
      <c r="N319" s="609">
        <v>1.31</v>
      </c>
      <c r="O319" s="609">
        <v>0.82162467700246322</v>
      </c>
      <c r="P319" s="609">
        <v>1.33</v>
      </c>
      <c r="Q319" s="609">
        <v>0.68466301490083714</v>
      </c>
      <c r="R319" s="609">
        <v>582.37565406976751</v>
      </c>
      <c r="S319" s="609">
        <v>8.2100000000000009</v>
      </c>
      <c r="T319" s="609">
        <v>8.2100000000000009</v>
      </c>
      <c r="U319" s="609">
        <v>0.73</v>
      </c>
      <c r="V319" s="784">
        <v>0.76</v>
      </c>
      <c r="W319" s="785">
        <v>41.900000000000006</v>
      </c>
      <c r="X319" s="786">
        <v>41.900000000000006</v>
      </c>
      <c r="Y319" s="738">
        <v>27.6</v>
      </c>
      <c r="Z319" s="739">
        <v>31.58</v>
      </c>
      <c r="AA319" s="739">
        <v>28.06</v>
      </c>
      <c r="AB319" s="739">
        <v>30</v>
      </c>
      <c r="AC319" s="1160">
        <f t="shared" si="80"/>
        <v>58.06</v>
      </c>
      <c r="AD319" s="1160">
        <f t="shared" si="81"/>
        <v>89.818820000000002</v>
      </c>
      <c r="AE319" s="1160">
        <f t="shared" si="82"/>
        <v>89.818820000000002</v>
      </c>
      <c r="AF319" s="723"/>
      <c r="AG319" s="1160">
        <f t="shared" si="78"/>
        <v>0</v>
      </c>
      <c r="AH319" s="988"/>
      <c r="AI319" s="656"/>
      <c r="AJ319" s="632"/>
      <c r="AK319" s="388"/>
      <c r="AL319" s="388"/>
      <c r="AM319" s="388"/>
      <c r="AN319" s="388"/>
      <c r="AO319" s="370"/>
      <c r="AP319" s="370"/>
      <c r="AQ319" s="386"/>
      <c r="AR319" s="551">
        <v>0</v>
      </c>
      <c r="AS319" s="386">
        <v>21</v>
      </c>
      <c r="AT319" s="386">
        <v>0</v>
      </c>
      <c r="AU319" s="386">
        <v>25.9</v>
      </c>
      <c r="AV319" s="636">
        <v>402.5</v>
      </c>
      <c r="AW319" s="636">
        <v>361.4</v>
      </c>
      <c r="AX319" s="386">
        <v>0</v>
      </c>
      <c r="AY319" s="551">
        <v>0</v>
      </c>
      <c r="AZ319" s="551">
        <v>0</v>
      </c>
      <c r="BA319" s="551">
        <v>0</v>
      </c>
      <c r="BB319" s="832">
        <v>0</v>
      </c>
      <c r="BC319" s="386">
        <v>0.51</v>
      </c>
      <c r="BD319" s="386">
        <v>1.5</v>
      </c>
      <c r="BE319" s="551">
        <v>0</v>
      </c>
      <c r="BF319" s="386">
        <v>0.99</v>
      </c>
      <c r="BG319" s="386">
        <v>2.2400000000000002</v>
      </c>
      <c r="BH319" s="551">
        <v>0</v>
      </c>
      <c r="BI319" s="386">
        <v>0.79</v>
      </c>
      <c r="BJ319" s="386">
        <v>23.9</v>
      </c>
      <c r="BK319" s="386">
        <v>3.17</v>
      </c>
      <c r="BL319" s="386">
        <v>3.32</v>
      </c>
      <c r="BM319" s="386">
        <v>0</v>
      </c>
      <c r="BN319" s="386">
        <v>17.5</v>
      </c>
      <c r="BO319" s="386">
        <v>796.5</v>
      </c>
      <c r="BP319" s="386">
        <v>2.6</v>
      </c>
      <c r="BQ319" s="615">
        <v>20.53</v>
      </c>
      <c r="BR319" s="615">
        <v>21.35</v>
      </c>
      <c r="BS319" s="615">
        <v>12.41</v>
      </c>
      <c r="BT319" s="615">
        <v>12.53</v>
      </c>
      <c r="BU319" s="614">
        <v>26</v>
      </c>
      <c r="BV319" s="614">
        <v>34.700000000000003</v>
      </c>
      <c r="BW319" s="615">
        <v>595.4</v>
      </c>
      <c r="BX319" s="791"/>
      <c r="BY319" s="615">
        <v>0</v>
      </c>
      <c r="BZ319" s="615">
        <v>1.27</v>
      </c>
      <c r="CA319" s="615">
        <v>1.2</v>
      </c>
      <c r="CB319" s="615">
        <v>8.3000000000000007</v>
      </c>
      <c r="CC319" s="615">
        <v>8.1999999999999993</v>
      </c>
      <c r="CD319" s="615">
        <v>16.399999999999999</v>
      </c>
      <c r="CE319" s="615">
        <v>35.299999999999997</v>
      </c>
      <c r="CF319" s="615">
        <v>14.2</v>
      </c>
      <c r="CG319" s="615">
        <v>6.6</v>
      </c>
      <c r="CH319" s="615">
        <v>12.1</v>
      </c>
      <c r="CI319" s="615">
        <v>16.100000000000001</v>
      </c>
      <c r="CJ319" s="615">
        <v>13.27</v>
      </c>
      <c r="CK319" s="615">
        <v>505.2</v>
      </c>
      <c r="CL319" s="615">
        <v>2.8</v>
      </c>
      <c r="CM319" s="615">
        <v>4.2</v>
      </c>
      <c r="CN319" s="615">
        <v>239.9</v>
      </c>
      <c r="CO319" s="615">
        <v>447.8</v>
      </c>
      <c r="CP319" s="615">
        <v>0</v>
      </c>
      <c r="CQ319" s="615">
        <v>11.9</v>
      </c>
      <c r="CR319" s="615">
        <v>0.68</v>
      </c>
      <c r="CS319" s="386">
        <v>0</v>
      </c>
      <c r="CT319" s="386">
        <v>16.181999999999999</v>
      </c>
      <c r="CU319" s="609">
        <v>48</v>
      </c>
      <c r="CV319" s="499">
        <v>0</v>
      </c>
      <c r="CW319" s="499">
        <v>0</v>
      </c>
      <c r="CX319" s="499">
        <v>0</v>
      </c>
      <c r="CY319" s="499">
        <v>0</v>
      </c>
      <c r="CZ319" s="608">
        <v>585</v>
      </c>
      <c r="DA319" s="608">
        <v>872</v>
      </c>
      <c r="DB319" s="608">
        <v>521</v>
      </c>
      <c r="DC319" s="608">
        <v>1079.25</v>
      </c>
      <c r="DD319" s="1153">
        <f t="shared" si="83"/>
        <v>-1.1600000000000819</v>
      </c>
      <c r="DE319" s="1154">
        <f t="shared" si="84"/>
        <v>0</v>
      </c>
      <c r="DF319" s="1154">
        <f t="shared" si="85"/>
        <v>411</v>
      </c>
      <c r="DG319" s="1154">
        <f t="shared" si="86"/>
        <v>622</v>
      </c>
      <c r="DH319" s="1155" t="str">
        <f t="shared" si="87"/>
        <v>Palm</v>
      </c>
      <c r="DI319" s="1146">
        <f t="shared" si="88"/>
        <v>351</v>
      </c>
      <c r="DJ319" s="1146">
        <f t="shared" si="89"/>
        <v>0</v>
      </c>
      <c r="DK319" s="1154">
        <f t="shared" si="90"/>
        <v>0</v>
      </c>
      <c r="DL319" s="615"/>
      <c r="DM319" s="615"/>
      <c r="DN319" s="615"/>
      <c r="DO319" s="499"/>
      <c r="DP319" s="499"/>
      <c r="DQ319" s="499"/>
      <c r="DR319" s="499"/>
      <c r="DS319" s="499"/>
      <c r="DT319" s="499"/>
      <c r="DU319" s="499"/>
      <c r="DV319" s="499"/>
      <c r="DW319" s="499"/>
      <c r="DX319" s="499"/>
      <c r="DY319" s="499"/>
      <c r="DZ319" s="499"/>
      <c r="EA319" s="499"/>
      <c r="EB319" s="499"/>
      <c r="EC319" s="499"/>
      <c r="ED319" s="499"/>
      <c r="EE319" s="499"/>
      <c r="EF319" s="499"/>
      <c r="EG319" s="1147">
        <f t="shared" si="91"/>
        <v>12.5</v>
      </c>
      <c r="EH319" s="499">
        <v>0</v>
      </c>
      <c r="EI319" s="615">
        <v>3</v>
      </c>
      <c r="EJ319" s="615">
        <v>3</v>
      </c>
      <c r="EK319" s="615">
        <v>6.5</v>
      </c>
      <c r="EL319" s="499"/>
      <c r="EM319" s="499"/>
      <c r="EN319" s="499"/>
      <c r="EO319" s="499"/>
      <c r="EP319" s="499"/>
      <c r="EQ319" s="499"/>
      <c r="ER319" s="499"/>
      <c r="ES319" s="388"/>
      <c r="ET319" s="388"/>
      <c r="EV319" s="1167">
        <f t="shared" si="79"/>
        <v>19.337499999999999</v>
      </c>
    </row>
    <row r="320" spans="1:152" s="350" customFormat="1" ht="15" x14ac:dyDescent="0.25">
      <c r="A320" s="632" t="s">
        <v>5</v>
      </c>
      <c r="B320" s="662">
        <v>43046</v>
      </c>
      <c r="C320" s="1132" t="s">
        <v>904</v>
      </c>
      <c r="D320" s="609">
        <v>0</v>
      </c>
      <c r="E320" s="739">
        <v>0</v>
      </c>
      <c r="F320" s="739">
        <v>41</v>
      </c>
      <c r="G320" s="739">
        <v>0.9</v>
      </c>
      <c r="H320" s="609">
        <v>8.9</v>
      </c>
      <c r="I320" s="609">
        <v>17</v>
      </c>
      <c r="J320" s="609">
        <v>0</v>
      </c>
      <c r="K320" s="609">
        <v>4.83</v>
      </c>
      <c r="L320" s="741">
        <v>0</v>
      </c>
      <c r="M320" s="609">
        <v>17.899999999999999</v>
      </c>
      <c r="N320" s="609">
        <v>1.29</v>
      </c>
      <c r="O320" s="609">
        <v>1.5087332479309987</v>
      </c>
      <c r="P320" s="609">
        <v>1.29</v>
      </c>
      <c r="Q320" s="609">
        <v>0.6884891753402651</v>
      </c>
      <c r="R320" s="609">
        <v>922.73372093023249</v>
      </c>
      <c r="S320" s="609">
        <v>8.31</v>
      </c>
      <c r="T320" s="609">
        <v>8.35</v>
      </c>
      <c r="U320" s="609">
        <v>0.72</v>
      </c>
      <c r="V320" s="784">
        <v>0.74</v>
      </c>
      <c r="W320" s="785">
        <v>42.44</v>
      </c>
      <c r="X320" s="786">
        <v>42.8</v>
      </c>
      <c r="Y320" s="738">
        <v>29.2</v>
      </c>
      <c r="Z320" s="739">
        <v>31.24</v>
      </c>
      <c r="AA320" s="739">
        <v>28.02</v>
      </c>
      <c r="AB320" s="739">
        <v>31.86</v>
      </c>
      <c r="AC320" s="1160">
        <f t="shared" si="80"/>
        <v>59.879999999999995</v>
      </c>
      <c r="AD320" s="1160">
        <f t="shared" si="81"/>
        <v>92.634359999999987</v>
      </c>
      <c r="AE320" s="1160">
        <f t="shared" si="82"/>
        <v>92.634359999999987</v>
      </c>
      <c r="AF320" s="723"/>
      <c r="AG320" s="1160">
        <f t="shared" si="78"/>
        <v>0</v>
      </c>
      <c r="AH320" s="988"/>
      <c r="AI320" s="656"/>
      <c r="AJ320" s="632"/>
      <c r="AK320" s="388"/>
      <c r="AL320" s="388"/>
      <c r="AM320" s="388"/>
      <c r="AN320" s="388"/>
      <c r="AO320" s="370"/>
      <c r="AP320" s="370"/>
      <c r="AQ320" s="386"/>
      <c r="AR320" s="551">
        <v>0</v>
      </c>
      <c r="AS320" s="386">
        <v>22.6</v>
      </c>
      <c r="AT320" s="386">
        <v>0</v>
      </c>
      <c r="AU320" s="386">
        <v>26</v>
      </c>
      <c r="AV320" s="636">
        <v>447.3</v>
      </c>
      <c r="AW320" s="636">
        <v>286.2</v>
      </c>
      <c r="AX320" s="386">
        <v>0</v>
      </c>
      <c r="AY320" s="551">
        <v>0</v>
      </c>
      <c r="AZ320" s="551">
        <v>0</v>
      </c>
      <c r="BA320" s="551">
        <v>0</v>
      </c>
      <c r="BB320" s="832">
        <v>0</v>
      </c>
      <c r="BC320" s="386">
        <v>0.56999999999999995</v>
      </c>
      <c r="BD320" s="386">
        <v>1.43</v>
      </c>
      <c r="BE320" s="551">
        <v>0</v>
      </c>
      <c r="BF320" s="386">
        <v>0.99</v>
      </c>
      <c r="BG320" s="386">
        <v>2.23</v>
      </c>
      <c r="BH320" s="551">
        <v>0</v>
      </c>
      <c r="BI320" s="386">
        <v>0.69</v>
      </c>
      <c r="BJ320" s="386">
        <v>26</v>
      </c>
      <c r="BK320" s="386">
        <v>2.98</v>
      </c>
      <c r="BL320" s="386">
        <v>3.83</v>
      </c>
      <c r="BM320" s="386">
        <v>0</v>
      </c>
      <c r="BN320" s="386">
        <v>19.2</v>
      </c>
      <c r="BO320" s="386">
        <v>1381.7</v>
      </c>
      <c r="BP320" s="386">
        <v>2.6</v>
      </c>
      <c r="BQ320" s="615">
        <v>20.87</v>
      </c>
      <c r="BR320" s="615">
        <v>21.77</v>
      </c>
      <c r="BS320" s="615">
        <v>12.64</v>
      </c>
      <c r="BT320" s="615">
        <v>12.76</v>
      </c>
      <c r="BU320" s="614">
        <v>26.4</v>
      </c>
      <c r="BV320" s="614">
        <v>30</v>
      </c>
      <c r="BW320" s="615">
        <v>742.3</v>
      </c>
      <c r="BX320" s="791"/>
      <c r="BY320" s="615">
        <v>0</v>
      </c>
      <c r="BZ320" s="615">
        <v>1.28</v>
      </c>
      <c r="CA320" s="615">
        <v>1.2</v>
      </c>
      <c r="CB320" s="615">
        <v>8.3000000000000007</v>
      </c>
      <c r="CC320" s="615">
        <v>8.1</v>
      </c>
      <c r="CD320" s="615">
        <v>16.2</v>
      </c>
      <c r="CE320" s="615">
        <v>35.299999999999997</v>
      </c>
      <c r="CF320" s="615">
        <v>13.3</v>
      </c>
      <c r="CG320" s="615">
        <v>8.1999999999999993</v>
      </c>
      <c r="CH320" s="615">
        <v>14</v>
      </c>
      <c r="CI320" s="615">
        <v>17.899999999999999</v>
      </c>
      <c r="CJ320" s="615">
        <v>13.08</v>
      </c>
      <c r="CK320" s="615">
        <v>468.1</v>
      </c>
      <c r="CL320" s="615">
        <v>2.2999999999999998</v>
      </c>
      <c r="CM320" s="615">
        <v>3.7</v>
      </c>
      <c r="CN320" s="615">
        <v>209.8</v>
      </c>
      <c r="CO320" s="615">
        <v>384.9</v>
      </c>
      <c r="CP320" s="615">
        <v>0</v>
      </c>
      <c r="CQ320" s="615">
        <v>11.2</v>
      </c>
      <c r="CR320" s="615">
        <v>0.82</v>
      </c>
      <c r="CS320" s="386">
        <v>0</v>
      </c>
      <c r="CT320" s="386">
        <v>14.750999999999999</v>
      </c>
      <c r="CU320" s="609">
        <v>48</v>
      </c>
      <c r="CV320" s="499">
        <v>0</v>
      </c>
      <c r="CW320" s="499">
        <v>0</v>
      </c>
      <c r="CX320" s="499">
        <v>0</v>
      </c>
      <c r="CY320" s="499">
        <v>0</v>
      </c>
      <c r="CZ320" s="608">
        <v>527</v>
      </c>
      <c r="DA320" s="608">
        <v>824</v>
      </c>
      <c r="DB320" s="608">
        <v>443</v>
      </c>
      <c r="DC320" s="608">
        <v>1076.25</v>
      </c>
      <c r="DD320" s="1153">
        <f t="shared" si="83"/>
        <v>-3</v>
      </c>
      <c r="DE320" s="1154">
        <f t="shared" si="84"/>
        <v>0</v>
      </c>
      <c r="DF320" s="1154">
        <f t="shared" si="85"/>
        <v>333</v>
      </c>
      <c r="DG320" s="1154">
        <f t="shared" si="86"/>
        <v>574</v>
      </c>
      <c r="DH320" s="1155" t="str">
        <f t="shared" si="87"/>
        <v>Palm</v>
      </c>
      <c r="DI320" s="1146">
        <f t="shared" si="88"/>
        <v>381</v>
      </c>
      <c r="DJ320" s="1146">
        <f t="shared" si="89"/>
        <v>0</v>
      </c>
      <c r="DK320" s="1154">
        <f t="shared" si="90"/>
        <v>0</v>
      </c>
      <c r="DL320" s="615"/>
      <c r="DM320" s="615"/>
      <c r="DN320" s="615"/>
      <c r="DO320" s="499"/>
      <c r="DP320" s="499"/>
      <c r="DQ320" s="499"/>
      <c r="DR320" s="499"/>
      <c r="DS320" s="499"/>
      <c r="DT320" s="499"/>
      <c r="DU320" s="499"/>
      <c r="DV320" s="499"/>
      <c r="DW320" s="499"/>
      <c r="DX320" s="499"/>
      <c r="DY320" s="499"/>
      <c r="DZ320" s="499"/>
      <c r="EA320" s="499"/>
      <c r="EB320" s="499"/>
      <c r="EC320" s="499"/>
      <c r="ED320" s="499"/>
      <c r="EE320" s="499"/>
      <c r="EF320" s="499"/>
      <c r="EG320" s="1147">
        <f t="shared" si="91"/>
        <v>12.5</v>
      </c>
      <c r="EH320" s="499">
        <v>0</v>
      </c>
      <c r="EI320" s="615">
        <v>3</v>
      </c>
      <c r="EJ320" s="615">
        <v>3</v>
      </c>
      <c r="EK320" s="615">
        <v>6.5</v>
      </c>
      <c r="EL320" s="499"/>
      <c r="EM320" s="499"/>
      <c r="EN320" s="499"/>
      <c r="EO320" s="499"/>
      <c r="EP320" s="499"/>
      <c r="EQ320" s="499"/>
      <c r="ER320" s="499"/>
      <c r="ES320" s="388"/>
      <c r="ET320" s="388"/>
      <c r="EV320" s="1167">
        <f t="shared" si="79"/>
        <v>19.337499999999999</v>
      </c>
    </row>
    <row r="321" spans="1:152" s="350" customFormat="1" ht="15" x14ac:dyDescent="0.25">
      <c r="A321" s="632" t="s">
        <v>6</v>
      </c>
      <c r="B321" s="662">
        <v>43047</v>
      </c>
      <c r="C321" s="1132" t="s">
        <v>904</v>
      </c>
      <c r="D321" s="609">
        <v>0.21</v>
      </c>
      <c r="E321" s="739">
        <v>0</v>
      </c>
      <c r="F321" s="739">
        <v>43</v>
      </c>
      <c r="G321" s="739">
        <v>0.6</v>
      </c>
      <c r="H321" s="609">
        <v>20.100000000000001</v>
      </c>
      <c r="I321" s="609">
        <v>18.3</v>
      </c>
      <c r="J321" s="609">
        <v>0</v>
      </c>
      <c r="K321" s="609">
        <v>10.25</v>
      </c>
      <c r="L321" s="741">
        <v>25.599999999998545</v>
      </c>
      <c r="M321" s="609">
        <v>11</v>
      </c>
      <c r="N321" s="609">
        <v>1.28</v>
      </c>
      <c r="O321" s="609">
        <v>1.534776953837941</v>
      </c>
      <c r="P321" s="609">
        <v>1.27</v>
      </c>
      <c r="Q321" s="609">
        <v>0.69992697555770367</v>
      </c>
      <c r="R321" s="609">
        <v>954.73604651162793</v>
      </c>
      <c r="S321" s="609">
        <v>8.1199999999999992</v>
      </c>
      <c r="T321" s="609">
        <v>8.2200000000000006</v>
      </c>
      <c r="U321" s="609">
        <v>0.75</v>
      </c>
      <c r="V321" s="784">
        <v>0.75</v>
      </c>
      <c r="W321" s="785">
        <v>41.900000000000006</v>
      </c>
      <c r="X321" s="786">
        <v>41.539999999999992</v>
      </c>
      <c r="Y321" s="738">
        <v>28.02</v>
      </c>
      <c r="Z321" s="739">
        <v>31.86</v>
      </c>
      <c r="AA321" s="739">
        <v>28.18</v>
      </c>
      <c r="AB321" s="739">
        <v>32.94</v>
      </c>
      <c r="AC321" s="1160">
        <f t="shared" si="80"/>
        <v>61.12</v>
      </c>
      <c r="AD321" s="1160">
        <f t="shared" si="81"/>
        <v>94.552639999999997</v>
      </c>
      <c r="AE321" s="1160">
        <f t="shared" si="82"/>
        <v>54.949440000002248</v>
      </c>
      <c r="AF321" s="723"/>
      <c r="AG321" s="1160">
        <f t="shared" si="78"/>
        <v>0</v>
      </c>
      <c r="AH321" s="988"/>
      <c r="AI321" s="656"/>
      <c r="AJ321" s="632"/>
      <c r="AK321" s="388"/>
      <c r="AL321" s="388"/>
      <c r="AM321" s="388"/>
      <c r="AN321" s="388"/>
      <c r="AO321" s="370"/>
      <c r="AP321" s="370"/>
      <c r="AQ321" s="386"/>
      <c r="AR321" s="551">
        <v>0</v>
      </c>
      <c r="AS321" s="386">
        <v>21.8</v>
      </c>
      <c r="AT321" s="386">
        <v>0</v>
      </c>
      <c r="AU321" s="386">
        <v>26</v>
      </c>
      <c r="AV321" s="636">
        <v>502.8</v>
      </c>
      <c r="AW321" s="636">
        <v>354.2</v>
      </c>
      <c r="AX321" s="386">
        <v>0</v>
      </c>
      <c r="AY321" s="551">
        <v>0</v>
      </c>
      <c r="AZ321" s="551">
        <v>0</v>
      </c>
      <c r="BA321" s="551">
        <v>0</v>
      </c>
      <c r="BB321" s="832">
        <v>0</v>
      </c>
      <c r="BC321" s="386">
        <v>0.56999999999999995</v>
      </c>
      <c r="BD321" s="386">
        <v>1.43</v>
      </c>
      <c r="BE321" s="551">
        <v>0</v>
      </c>
      <c r="BF321" s="386">
        <v>0.99</v>
      </c>
      <c r="BG321" s="386">
        <v>2.15</v>
      </c>
      <c r="BH321" s="551">
        <v>0</v>
      </c>
      <c r="BI321" s="386">
        <v>0.69</v>
      </c>
      <c r="BJ321" s="386">
        <v>27.1</v>
      </c>
      <c r="BK321" s="386">
        <v>2.92</v>
      </c>
      <c r="BL321" s="386">
        <v>3.83</v>
      </c>
      <c r="BM321" s="386">
        <v>0</v>
      </c>
      <c r="BN321" s="386">
        <v>20.5</v>
      </c>
      <c r="BO321" s="386">
        <v>797.7</v>
      </c>
      <c r="BP321" s="386">
        <v>2.2999999999999998</v>
      </c>
      <c r="BQ321" s="615">
        <v>21.67</v>
      </c>
      <c r="BR321" s="615">
        <v>22.57</v>
      </c>
      <c r="BS321" s="615">
        <v>12.48</v>
      </c>
      <c r="BT321" s="615">
        <v>12.62</v>
      </c>
      <c r="BU321" s="614">
        <v>26.1</v>
      </c>
      <c r="BV321" s="614">
        <v>28.4</v>
      </c>
      <c r="BW321" s="615">
        <v>590.29999999999995</v>
      </c>
      <c r="BX321" s="791"/>
      <c r="BY321" s="615">
        <v>0</v>
      </c>
      <c r="BZ321" s="615">
        <v>1.3</v>
      </c>
      <c r="CA321" s="615">
        <v>1.2</v>
      </c>
      <c r="CB321" s="615">
        <v>8.4</v>
      </c>
      <c r="CC321" s="615">
        <v>8.1999999999999993</v>
      </c>
      <c r="CD321" s="615">
        <v>16.3</v>
      </c>
      <c r="CE321" s="615">
        <v>35.4</v>
      </c>
      <c r="CF321" s="615">
        <v>12.2</v>
      </c>
      <c r="CG321" s="615">
        <v>6.7</v>
      </c>
      <c r="CH321" s="615">
        <v>12.2</v>
      </c>
      <c r="CI321" s="615">
        <v>16.399999999999999</v>
      </c>
      <c r="CJ321" s="615">
        <v>13.43</v>
      </c>
      <c r="CK321" s="615">
        <v>498.7</v>
      </c>
      <c r="CL321" s="615">
        <v>2.5</v>
      </c>
      <c r="CM321" s="615">
        <v>3.7</v>
      </c>
      <c r="CN321" s="615">
        <v>219.9</v>
      </c>
      <c r="CO321" s="615">
        <v>460.6</v>
      </c>
      <c r="CP321" s="615">
        <v>0</v>
      </c>
      <c r="CQ321" s="615">
        <v>11.7</v>
      </c>
      <c r="CR321" s="615">
        <v>0.82</v>
      </c>
      <c r="CS321" s="386">
        <v>0</v>
      </c>
      <c r="CT321" s="386">
        <v>15.502000000000001</v>
      </c>
      <c r="CU321" s="609">
        <v>47</v>
      </c>
      <c r="CV321" s="499">
        <v>0</v>
      </c>
      <c r="CW321" s="499">
        <v>0</v>
      </c>
      <c r="CX321" s="499">
        <v>0</v>
      </c>
      <c r="CY321" s="499">
        <v>0</v>
      </c>
      <c r="CZ321" s="608">
        <v>357</v>
      </c>
      <c r="DA321" s="608">
        <v>675</v>
      </c>
      <c r="DB321" s="608">
        <v>330</v>
      </c>
      <c r="DC321" s="609">
        <v>1075.2</v>
      </c>
      <c r="DD321" s="1153">
        <f t="shared" si="83"/>
        <v>-1.0499999999999545</v>
      </c>
      <c r="DE321" s="1154">
        <f t="shared" si="84"/>
        <v>0</v>
      </c>
      <c r="DF321" s="1154">
        <f t="shared" si="85"/>
        <v>220</v>
      </c>
      <c r="DG321" s="1154">
        <f t="shared" si="86"/>
        <v>425</v>
      </c>
      <c r="DH321" s="1155" t="str">
        <f t="shared" si="87"/>
        <v>Palm</v>
      </c>
      <c r="DI321" s="1146">
        <f t="shared" si="88"/>
        <v>345</v>
      </c>
      <c r="DJ321" s="1146">
        <f t="shared" si="89"/>
        <v>0</v>
      </c>
      <c r="DK321" s="1154">
        <f t="shared" si="90"/>
        <v>0</v>
      </c>
      <c r="DL321" s="615"/>
      <c r="DM321" s="615"/>
      <c r="DN321" s="615"/>
      <c r="DO321" s="499"/>
      <c r="DP321" s="499"/>
      <c r="DQ321" s="499"/>
      <c r="DR321" s="499"/>
      <c r="DS321" s="499"/>
      <c r="DT321" s="499"/>
      <c r="DU321" s="499"/>
      <c r="DV321" s="499"/>
      <c r="DW321" s="499"/>
      <c r="DX321" s="499"/>
      <c r="DY321" s="499"/>
      <c r="DZ321" s="499"/>
      <c r="EA321" s="499"/>
      <c r="EB321" s="499"/>
      <c r="EC321" s="499"/>
      <c r="ED321" s="499"/>
      <c r="EE321" s="499"/>
      <c r="EF321" s="499"/>
      <c r="EG321" s="1147">
        <f t="shared" si="91"/>
        <v>12.5</v>
      </c>
      <c r="EH321" s="499">
        <v>0</v>
      </c>
      <c r="EI321" s="615">
        <v>3</v>
      </c>
      <c r="EJ321" s="615">
        <v>3</v>
      </c>
      <c r="EK321" s="615">
        <v>6.5</v>
      </c>
      <c r="EL321" s="499"/>
      <c r="EM321" s="499"/>
      <c r="EN321" s="499"/>
      <c r="EO321" s="499"/>
      <c r="EP321" s="499"/>
      <c r="EQ321" s="499"/>
      <c r="ER321" s="499"/>
      <c r="ES321" s="388"/>
      <c r="ET321" s="388"/>
      <c r="EV321" s="1167">
        <f t="shared" si="79"/>
        <v>19.337499999999999</v>
      </c>
    </row>
    <row r="322" spans="1:152" s="350" customFormat="1" ht="15" x14ac:dyDescent="0.25">
      <c r="A322" s="632" t="s">
        <v>7</v>
      </c>
      <c r="B322" s="662">
        <v>43048</v>
      </c>
      <c r="C322" s="1132" t="s">
        <v>904</v>
      </c>
      <c r="D322" s="609">
        <v>0.53</v>
      </c>
      <c r="E322" s="739">
        <v>0</v>
      </c>
      <c r="F322" s="739">
        <v>40</v>
      </c>
      <c r="G322" s="739">
        <v>0.6</v>
      </c>
      <c r="H322" s="609">
        <v>16.600000000000001</v>
      </c>
      <c r="I322" s="609">
        <v>0</v>
      </c>
      <c r="J322" s="609">
        <v>0</v>
      </c>
      <c r="K322" s="609">
        <v>8.52</v>
      </c>
      <c r="L322" s="741">
        <v>26.5</v>
      </c>
      <c r="M322" s="609">
        <v>13.8</v>
      </c>
      <c r="N322" s="609">
        <v>1.22</v>
      </c>
      <c r="O322" s="609">
        <v>1.4954065884999956</v>
      </c>
      <c r="P322" s="609">
        <v>1.18</v>
      </c>
      <c r="Q322" s="609">
        <v>0.69157420320520779</v>
      </c>
      <c r="R322" s="609">
        <v>933.40116279069775</v>
      </c>
      <c r="S322" s="609">
        <v>8.1999999999999993</v>
      </c>
      <c r="T322" s="609">
        <v>8.24</v>
      </c>
      <c r="U322" s="609">
        <v>0.76</v>
      </c>
      <c r="V322" s="784">
        <v>0.73</v>
      </c>
      <c r="W322" s="785">
        <v>44.78</v>
      </c>
      <c r="X322" s="786">
        <v>44.78</v>
      </c>
      <c r="Y322" s="738">
        <v>28.18</v>
      </c>
      <c r="Z322" s="739">
        <v>32.94</v>
      </c>
      <c r="AA322" s="739">
        <v>28.1</v>
      </c>
      <c r="AB322" s="739">
        <v>33</v>
      </c>
      <c r="AC322" s="1160">
        <f t="shared" si="80"/>
        <v>61.1</v>
      </c>
      <c r="AD322" s="1160">
        <f t="shared" si="81"/>
        <v>94.521699999999996</v>
      </c>
      <c r="AE322" s="1160">
        <f t="shared" si="82"/>
        <v>53.526199999999996</v>
      </c>
      <c r="AF322" s="723"/>
      <c r="AG322" s="1160">
        <f t="shared" si="78"/>
        <v>0</v>
      </c>
      <c r="AH322" s="988"/>
      <c r="AI322" s="656"/>
      <c r="AJ322" s="632"/>
      <c r="AK322" s="388"/>
      <c r="AL322" s="388"/>
      <c r="AM322" s="388"/>
      <c r="AN322" s="388"/>
      <c r="AO322" s="370"/>
      <c r="AP322" s="370"/>
      <c r="AQ322" s="386"/>
      <c r="AR322" s="551">
        <v>0</v>
      </c>
      <c r="AS322" s="386">
        <v>11.2</v>
      </c>
      <c r="AT322" s="386">
        <v>0</v>
      </c>
      <c r="AU322" s="386">
        <v>26</v>
      </c>
      <c r="AV322" s="636">
        <v>410.7</v>
      </c>
      <c r="AW322" s="636">
        <v>359.1</v>
      </c>
      <c r="AX322" s="386">
        <v>0</v>
      </c>
      <c r="AY322" s="551">
        <v>0</v>
      </c>
      <c r="AZ322" s="551">
        <v>0</v>
      </c>
      <c r="BA322" s="551">
        <v>0</v>
      </c>
      <c r="BB322" s="832">
        <v>0</v>
      </c>
      <c r="BC322" s="386">
        <v>0.37</v>
      </c>
      <c r="BD322" s="386">
        <v>1.49</v>
      </c>
      <c r="BE322" s="551">
        <v>0</v>
      </c>
      <c r="BF322" s="386">
        <v>1.19</v>
      </c>
      <c r="BG322" s="386">
        <v>2.2200000000000002</v>
      </c>
      <c r="BH322" s="551">
        <v>0</v>
      </c>
      <c r="BI322" s="386">
        <v>0.69</v>
      </c>
      <c r="BJ322" s="386">
        <v>27</v>
      </c>
      <c r="BK322" s="386">
        <v>2.95</v>
      </c>
      <c r="BL322" s="386">
        <v>3.84</v>
      </c>
      <c r="BM322" s="386">
        <v>0</v>
      </c>
      <c r="BN322" s="386">
        <v>20.399999999999999</v>
      </c>
      <c r="BO322" s="386">
        <v>1292.9000000000001</v>
      </c>
      <c r="BP322" s="386">
        <v>2.1</v>
      </c>
      <c r="BQ322" s="615">
        <v>21.43</v>
      </c>
      <c r="BR322" s="615">
        <v>22.33</v>
      </c>
      <c r="BS322" s="615">
        <v>12.62</v>
      </c>
      <c r="BT322" s="615">
        <v>12.7</v>
      </c>
      <c r="BU322" s="614">
        <v>26.3</v>
      </c>
      <c r="BV322" s="614">
        <v>32</v>
      </c>
      <c r="BW322" s="615">
        <v>732.4</v>
      </c>
      <c r="BX322" s="791"/>
      <c r="BY322" s="615">
        <v>0</v>
      </c>
      <c r="BZ322" s="615">
        <v>1.21</v>
      </c>
      <c r="CA322" s="615">
        <v>1.2</v>
      </c>
      <c r="CB322" s="615">
        <v>8.3000000000000007</v>
      </c>
      <c r="CC322" s="615">
        <v>8.1</v>
      </c>
      <c r="CD322" s="615">
        <v>16.399999999999999</v>
      </c>
      <c r="CE322" s="615">
        <v>35.4</v>
      </c>
      <c r="CF322" s="615">
        <v>14.6</v>
      </c>
      <c r="CG322" s="615">
        <v>8</v>
      </c>
      <c r="CH322" s="615">
        <v>13.7</v>
      </c>
      <c r="CI322" s="615">
        <v>17.7</v>
      </c>
      <c r="CJ322" s="615">
        <v>13.23</v>
      </c>
      <c r="CK322" s="615">
        <v>492.3</v>
      </c>
      <c r="CL322" s="615">
        <v>2.8</v>
      </c>
      <c r="CM322" s="615">
        <v>4.4000000000000004</v>
      </c>
      <c r="CN322" s="615">
        <v>238.9</v>
      </c>
      <c r="CO322" s="615">
        <v>414.9</v>
      </c>
      <c r="CP322" s="615">
        <v>0</v>
      </c>
      <c r="CQ322" s="615">
        <v>11.9</v>
      </c>
      <c r="CR322" s="615">
        <v>0.83</v>
      </c>
      <c r="CS322" s="386">
        <v>0</v>
      </c>
      <c r="CT322" s="386">
        <v>16.631</v>
      </c>
      <c r="CU322" s="386">
        <v>47</v>
      </c>
      <c r="CV322" s="499">
        <v>0</v>
      </c>
      <c r="CW322" s="499">
        <v>0</v>
      </c>
      <c r="CX322" s="499">
        <v>0</v>
      </c>
      <c r="CY322" s="499">
        <v>0</v>
      </c>
      <c r="CZ322" s="608">
        <v>366</v>
      </c>
      <c r="DA322" s="608">
        <v>669</v>
      </c>
      <c r="DB322" s="608">
        <v>327</v>
      </c>
      <c r="DC322" s="608">
        <v>1076.8399999999999</v>
      </c>
      <c r="DD322" s="1153">
        <f t="shared" si="83"/>
        <v>1.6399999999998727</v>
      </c>
      <c r="DE322" s="1154">
        <f t="shared" si="84"/>
        <v>0</v>
      </c>
      <c r="DF322" s="1154">
        <f t="shared" si="85"/>
        <v>217</v>
      </c>
      <c r="DG322" s="1154">
        <f t="shared" si="86"/>
        <v>419</v>
      </c>
      <c r="DH322" s="1155" t="str">
        <f t="shared" si="87"/>
        <v>Palm</v>
      </c>
      <c r="DI322" s="1146">
        <f t="shared" si="88"/>
        <v>342</v>
      </c>
      <c r="DJ322" s="1146">
        <f t="shared" si="89"/>
        <v>0</v>
      </c>
      <c r="DK322" s="1154">
        <f t="shared" si="90"/>
        <v>0</v>
      </c>
      <c r="DL322" s="615"/>
      <c r="DM322" s="615"/>
      <c r="DN322" s="615"/>
      <c r="DO322" s="499"/>
      <c r="DP322" s="499"/>
      <c r="DQ322" s="499"/>
      <c r="DR322" s="499"/>
      <c r="DS322" s="499"/>
      <c r="DT322" s="499"/>
      <c r="DU322" s="499"/>
      <c r="DV322" s="499"/>
      <c r="DW322" s="499"/>
      <c r="DX322" s="499"/>
      <c r="DY322" s="499"/>
      <c r="DZ322" s="499"/>
      <c r="EA322" s="499"/>
      <c r="EB322" s="499"/>
      <c r="EC322" s="499"/>
      <c r="ED322" s="499"/>
      <c r="EE322" s="499"/>
      <c r="EF322" s="499"/>
      <c r="EG322" s="1147">
        <f t="shared" si="91"/>
        <v>12.5</v>
      </c>
      <c r="EH322" s="499">
        <v>0</v>
      </c>
      <c r="EI322" s="615">
        <v>3</v>
      </c>
      <c r="EJ322" s="615">
        <v>3</v>
      </c>
      <c r="EK322" s="615">
        <v>6.5</v>
      </c>
      <c r="EL322" s="499"/>
      <c r="EM322" s="499"/>
      <c r="EN322" s="499"/>
      <c r="EO322" s="499"/>
      <c r="EP322" s="499"/>
      <c r="EQ322" s="499"/>
      <c r="ER322" s="499"/>
      <c r="ES322" s="388"/>
      <c r="ET322" s="388"/>
      <c r="EV322" s="1167">
        <f t="shared" si="79"/>
        <v>19.337499999999999</v>
      </c>
    </row>
    <row r="323" spans="1:152" s="350" customFormat="1" ht="16.2" x14ac:dyDescent="0.35">
      <c r="A323" s="632" t="s">
        <v>8</v>
      </c>
      <c r="B323" s="662">
        <v>43049</v>
      </c>
      <c r="C323" s="1132" t="s">
        <v>904</v>
      </c>
      <c r="D323" s="609">
        <v>0.01</v>
      </c>
      <c r="E323" s="739">
        <v>0</v>
      </c>
      <c r="F323" s="739">
        <v>41</v>
      </c>
      <c r="G323" s="739">
        <v>0.6</v>
      </c>
      <c r="H323" s="609">
        <v>9.7799999999999994</v>
      </c>
      <c r="I323" s="609">
        <v>17.3</v>
      </c>
      <c r="J323" s="609">
        <v>0</v>
      </c>
      <c r="K323" s="609">
        <v>8.3800000000000008</v>
      </c>
      <c r="L323" s="741">
        <v>8.0900000000001455</v>
      </c>
      <c r="M323" s="609">
        <v>17.100000000000001</v>
      </c>
      <c r="N323" s="609">
        <v>1.24</v>
      </c>
      <c r="O323" s="609">
        <v>1.4960159066595029</v>
      </c>
      <c r="P323" s="609">
        <v>1.25</v>
      </c>
      <c r="Q323" s="609">
        <v>0.68742115390320435</v>
      </c>
      <c r="R323" s="609">
        <v>910.73284883720942</v>
      </c>
      <c r="S323" s="609">
        <v>8.27</v>
      </c>
      <c r="T323" s="609">
        <v>8.2899999999999991</v>
      </c>
      <c r="U323" s="609">
        <v>0.75</v>
      </c>
      <c r="V323" s="784">
        <v>0.73</v>
      </c>
      <c r="W323" s="785">
        <v>43.88000000000001</v>
      </c>
      <c r="X323" s="786">
        <v>44.239999999999995</v>
      </c>
      <c r="Y323" s="738">
        <v>28.1</v>
      </c>
      <c r="Z323" s="739">
        <v>33</v>
      </c>
      <c r="AA323" s="739">
        <v>28</v>
      </c>
      <c r="AB323" s="739">
        <v>31.6</v>
      </c>
      <c r="AC323" s="1160">
        <f t="shared" si="80"/>
        <v>59.6</v>
      </c>
      <c r="AD323" s="1160">
        <f t="shared" si="81"/>
        <v>92.2012</v>
      </c>
      <c r="AE323" s="1160">
        <f t="shared" si="82"/>
        <v>79.68596999999977</v>
      </c>
      <c r="AF323" s="723"/>
      <c r="AG323" s="1160">
        <f t="shared" si="78"/>
        <v>0</v>
      </c>
      <c r="AH323" s="656"/>
      <c r="AI323" s="656"/>
      <c r="AJ323" s="632"/>
      <c r="AK323" s="388"/>
      <c r="AL323" s="388"/>
      <c r="AM323" s="388"/>
      <c r="AN323" s="388"/>
      <c r="AO323" s="370"/>
      <c r="AP323" s="370"/>
      <c r="AQ323" s="386"/>
      <c r="AR323" s="551">
        <v>0</v>
      </c>
      <c r="AS323" s="386">
        <v>22</v>
      </c>
      <c r="AT323" s="386">
        <v>0</v>
      </c>
      <c r="AU323" s="386">
        <v>25.9</v>
      </c>
      <c r="AV323" s="636">
        <v>454.7</v>
      </c>
      <c r="AW323" s="636">
        <v>287.3</v>
      </c>
      <c r="AX323" s="386">
        <v>0</v>
      </c>
      <c r="AY323" s="551">
        <v>0</v>
      </c>
      <c r="AZ323" s="551">
        <v>0</v>
      </c>
      <c r="BA323" s="551">
        <v>0</v>
      </c>
      <c r="BB323" s="832">
        <v>0</v>
      </c>
      <c r="BC323" s="386">
        <v>0.45</v>
      </c>
      <c r="BD323" s="386">
        <v>1.23</v>
      </c>
      <c r="BE323" s="551">
        <v>0</v>
      </c>
      <c r="BF323" s="386">
        <v>1</v>
      </c>
      <c r="BG323" s="386">
        <v>2.2200000000000002</v>
      </c>
      <c r="BH323" s="551">
        <v>0</v>
      </c>
      <c r="BI323" s="386">
        <v>0.69</v>
      </c>
      <c r="BJ323" s="386">
        <v>25.8</v>
      </c>
      <c r="BK323" s="386">
        <v>2.67</v>
      </c>
      <c r="BL323" s="386">
        <v>3.83</v>
      </c>
      <c r="BM323" s="386">
        <v>0</v>
      </c>
      <c r="BN323" s="386">
        <v>19.399999999999999</v>
      </c>
      <c r="BO323" s="386">
        <v>847.1</v>
      </c>
      <c r="BP323" s="386">
        <v>2.1</v>
      </c>
      <c r="BQ323" s="615">
        <v>22.4</v>
      </c>
      <c r="BR323" s="615">
        <v>23.2</v>
      </c>
      <c r="BS323" s="615">
        <v>12.6</v>
      </c>
      <c r="BT323" s="615">
        <v>12.7</v>
      </c>
      <c r="BU323" s="614">
        <v>26.3</v>
      </c>
      <c r="BV323" s="614">
        <v>28.1</v>
      </c>
      <c r="BW323" s="615">
        <v>688.5</v>
      </c>
      <c r="BX323" s="791"/>
      <c r="BY323" s="615">
        <v>0</v>
      </c>
      <c r="BZ323" s="615">
        <v>1.22</v>
      </c>
      <c r="CA323" s="615">
        <v>1.2</v>
      </c>
      <c r="CB323" s="615">
        <v>8.4</v>
      </c>
      <c r="CC323" s="615">
        <v>8.1</v>
      </c>
      <c r="CD323" s="615">
        <v>16.8</v>
      </c>
      <c r="CE323" s="615">
        <v>35.299999999999997</v>
      </c>
      <c r="CF323" s="615">
        <v>13.6</v>
      </c>
      <c r="CG323" s="615">
        <v>6.7</v>
      </c>
      <c r="CH323" s="615">
        <v>12.2</v>
      </c>
      <c r="CI323" s="615">
        <v>16.2</v>
      </c>
      <c r="CJ323" s="615">
        <v>13.4</v>
      </c>
      <c r="CK323" s="615">
        <v>453.6</v>
      </c>
      <c r="CL323" s="615">
        <v>2.8</v>
      </c>
      <c r="CM323" s="615">
        <v>4.2</v>
      </c>
      <c r="CN323" s="615">
        <v>215.5</v>
      </c>
      <c r="CO323" s="615">
        <v>439.6</v>
      </c>
      <c r="CP323" s="615">
        <v>0</v>
      </c>
      <c r="CQ323" s="615">
        <v>10.7</v>
      </c>
      <c r="CR323" s="615">
        <v>0.67</v>
      </c>
      <c r="CS323" s="386">
        <v>0</v>
      </c>
      <c r="CT323" s="386">
        <v>14.965999999999999</v>
      </c>
      <c r="CU323" s="386">
        <v>47</v>
      </c>
      <c r="CV323" s="499">
        <v>0</v>
      </c>
      <c r="CW323" s="499">
        <v>0</v>
      </c>
      <c r="CX323" s="499">
        <v>0</v>
      </c>
      <c r="CY323" s="499">
        <v>0</v>
      </c>
      <c r="CZ323" s="608">
        <v>372</v>
      </c>
      <c r="DA323" s="608">
        <v>614</v>
      </c>
      <c r="DB323" s="608">
        <v>300</v>
      </c>
      <c r="DC323" s="966">
        <v>1078.79</v>
      </c>
      <c r="DD323" s="1153">
        <f t="shared" si="83"/>
        <v>1.9500000000000455</v>
      </c>
      <c r="DE323" s="1154">
        <f t="shared" si="84"/>
        <v>0</v>
      </c>
      <c r="DF323" s="1154">
        <f t="shared" si="85"/>
        <v>190</v>
      </c>
      <c r="DG323" s="1154">
        <f t="shared" si="86"/>
        <v>364</v>
      </c>
      <c r="DH323" s="1155" t="str">
        <f t="shared" si="87"/>
        <v>Palm</v>
      </c>
      <c r="DI323" s="1146">
        <f t="shared" si="88"/>
        <v>314</v>
      </c>
      <c r="DJ323" s="1146">
        <f t="shared" si="89"/>
        <v>0</v>
      </c>
      <c r="DK323" s="1154">
        <f t="shared" si="90"/>
        <v>0</v>
      </c>
      <c r="DL323" s="615"/>
      <c r="DM323" s="615"/>
      <c r="DN323" s="615"/>
      <c r="DO323" s="499"/>
      <c r="DP323" s="499"/>
      <c r="DQ323" s="499"/>
      <c r="DR323" s="499"/>
      <c r="DS323" s="499"/>
      <c r="DT323" s="499"/>
      <c r="DU323" s="499"/>
      <c r="DV323" s="499"/>
      <c r="DW323" s="499"/>
      <c r="DX323" s="499"/>
      <c r="DY323" s="499"/>
      <c r="DZ323" s="499"/>
      <c r="EA323" s="499"/>
      <c r="EB323" s="499"/>
      <c r="EC323" s="499"/>
      <c r="ED323" s="499"/>
      <c r="EE323" s="499"/>
      <c r="EF323" s="499"/>
      <c r="EG323" s="1147">
        <f t="shared" ref="EG323:EG336" si="92">(SUM(EH323:EK323))</f>
        <v>12.5</v>
      </c>
      <c r="EH323" s="499">
        <v>0</v>
      </c>
      <c r="EI323" s="615">
        <v>3</v>
      </c>
      <c r="EJ323" s="615">
        <v>3</v>
      </c>
      <c r="EK323" s="615">
        <v>6.5</v>
      </c>
      <c r="EL323" s="499"/>
      <c r="EM323" s="499"/>
      <c r="EN323" s="499"/>
      <c r="EO323" s="499"/>
      <c r="EP323" s="499"/>
      <c r="EQ323" s="499"/>
      <c r="ER323" s="499"/>
      <c r="ES323" s="388"/>
      <c r="ET323" s="388"/>
      <c r="EV323" s="1167">
        <f t="shared" si="79"/>
        <v>19.337499999999999</v>
      </c>
    </row>
    <row r="324" spans="1:152" s="350" customFormat="1" ht="15" x14ac:dyDescent="0.25">
      <c r="A324" s="632" t="s">
        <v>9</v>
      </c>
      <c r="B324" s="662">
        <v>43050</v>
      </c>
      <c r="C324" s="1132" t="s">
        <v>904</v>
      </c>
      <c r="D324" s="609">
        <v>0.03</v>
      </c>
      <c r="E324" s="739">
        <v>0</v>
      </c>
      <c r="F324" s="739">
        <v>44</v>
      </c>
      <c r="G324" s="739">
        <v>0.6</v>
      </c>
      <c r="H324" s="609">
        <v>4.75</v>
      </c>
      <c r="I324" s="609">
        <v>17</v>
      </c>
      <c r="J324" s="609">
        <v>0</v>
      </c>
      <c r="K324" s="609">
        <v>2.0699999999999998</v>
      </c>
      <c r="L324" s="741">
        <v>0</v>
      </c>
      <c r="M324" s="609">
        <v>17.8</v>
      </c>
      <c r="N324" s="609">
        <v>1.3</v>
      </c>
      <c r="O324" s="609">
        <v>1.5567625459002905</v>
      </c>
      <c r="P324" s="609">
        <v>1.26</v>
      </c>
      <c r="Q324" s="609">
        <v>0.69785863343156151</v>
      </c>
      <c r="R324" s="609">
        <v>876.06366279069766</v>
      </c>
      <c r="S324" s="609">
        <v>8.25</v>
      </c>
      <c r="T324" s="609">
        <v>8.2799999999999994</v>
      </c>
      <c r="U324" s="609">
        <v>0.73</v>
      </c>
      <c r="V324" s="784">
        <v>0.75</v>
      </c>
      <c r="W324" s="785">
        <v>43.519999999999996</v>
      </c>
      <c r="X324" s="786">
        <v>43.519999999999996</v>
      </c>
      <c r="Y324" s="738">
        <v>28</v>
      </c>
      <c r="Z324" s="739">
        <v>31.6</v>
      </c>
      <c r="AA324" s="739">
        <v>28</v>
      </c>
      <c r="AB324" s="739">
        <v>28.1</v>
      </c>
      <c r="AC324" s="1160">
        <f t="shared" si="80"/>
        <v>56.1</v>
      </c>
      <c r="AD324" s="1160">
        <f t="shared" si="81"/>
        <v>86.786699999999996</v>
      </c>
      <c r="AE324" s="1160">
        <f t="shared" si="82"/>
        <v>86.786699999999996</v>
      </c>
      <c r="AF324" s="723"/>
      <c r="AG324" s="1160">
        <f t="shared" si="78"/>
        <v>0</v>
      </c>
      <c r="AH324" s="656"/>
      <c r="AI324" s="656"/>
      <c r="AJ324" s="632"/>
      <c r="AK324" s="388"/>
      <c r="AL324" s="388"/>
      <c r="AM324" s="388"/>
      <c r="AN324" s="388"/>
      <c r="AO324" s="370"/>
      <c r="AP324" s="370"/>
      <c r="AQ324" s="386"/>
      <c r="AR324" s="551">
        <v>0</v>
      </c>
      <c r="AS324" s="386">
        <v>13.3</v>
      </c>
      <c r="AT324" s="386">
        <v>0</v>
      </c>
      <c r="AU324" s="386">
        <v>26</v>
      </c>
      <c r="AV324" s="636">
        <v>241</v>
      </c>
      <c r="AW324" s="636">
        <v>242.4</v>
      </c>
      <c r="AX324" s="386">
        <v>0</v>
      </c>
      <c r="AY324" s="551">
        <v>0</v>
      </c>
      <c r="AZ324" s="551">
        <v>0</v>
      </c>
      <c r="BA324" s="551">
        <v>0</v>
      </c>
      <c r="BB324" s="832">
        <v>0</v>
      </c>
      <c r="BC324" s="386">
        <v>0.51</v>
      </c>
      <c r="BD324" s="386">
        <v>1.5</v>
      </c>
      <c r="BE324" s="551">
        <v>0</v>
      </c>
      <c r="BF324" s="386">
        <v>0.99</v>
      </c>
      <c r="BG324" s="386">
        <v>2.0499999999999998</v>
      </c>
      <c r="BH324" s="551">
        <v>0</v>
      </c>
      <c r="BI324" s="386">
        <v>0.7</v>
      </c>
      <c r="BJ324" s="386">
        <v>22.3</v>
      </c>
      <c r="BK324" s="386">
        <v>2.95</v>
      </c>
      <c r="BL324" s="386">
        <v>3.66</v>
      </c>
      <c r="BM324" s="386">
        <v>0</v>
      </c>
      <c r="BN324" s="386">
        <v>15.8</v>
      </c>
      <c r="BO324" s="386">
        <v>1433.9</v>
      </c>
      <c r="BP324" s="386">
        <v>2</v>
      </c>
      <c r="BQ324" s="615">
        <v>21.9</v>
      </c>
      <c r="BR324" s="615">
        <v>22.8</v>
      </c>
      <c r="BS324" s="615">
        <v>12.6</v>
      </c>
      <c r="BT324" s="615">
        <v>12.8</v>
      </c>
      <c r="BU324" s="614">
        <v>26.4</v>
      </c>
      <c r="BV324" s="614">
        <v>32.9</v>
      </c>
      <c r="BW324" s="615">
        <v>664.9</v>
      </c>
      <c r="BX324" s="791"/>
      <c r="BY324" s="615">
        <v>0</v>
      </c>
      <c r="BZ324" s="615">
        <v>1.22</v>
      </c>
      <c r="CA324" s="615">
        <v>1.2</v>
      </c>
      <c r="CB324" s="615">
        <v>8.4</v>
      </c>
      <c r="CC324" s="615">
        <v>8.1999999999999993</v>
      </c>
      <c r="CD324" s="615">
        <v>15.7</v>
      </c>
      <c r="CE324" s="615">
        <v>35.200000000000003</v>
      </c>
      <c r="CF324" s="615">
        <v>12.6</v>
      </c>
      <c r="CG324" s="615">
        <v>8.3000000000000007</v>
      </c>
      <c r="CH324" s="615">
        <v>14.1</v>
      </c>
      <c r="CI324" s="615">
        <v>18.100000000000001</v>
      </c>
      <c r="CJ324" s="615">
        <v>12.3</v>
      </c>
      <c r="CK324" s="615">
        <v>462.4</v>
      </c>
      <c r="CL324" s="615">
        <v>2.5</v>
      </c>
      <c r="CM324" s="615">
        <v>5</v>
      </c>
      <c r="CN324" s="615">
        <v>260.2</v>
      </c>
      <c r="CO324" s="615">
        <v>431.7</v>
      </c>
      <c r="CP324" s="615">
        <v>0</v>
      </c>
      <c r="CQ324" s="615">
        <v>11.8</v>
      </c>
      <c r="CR324" s="615">
        <v>0.79</v>
      </c>
      <c r="CS324" s="386">
        <v>0</v>
      </c>
      <c r="CT324" s="386">
        <v>17.309000000000001</v>
      </c>
      <c r="CU324" s="386">
        <v>47</v>
      </c>
      <c r="CV324" s="499">
        <v>0</v>
      </c>
      <c r="CW324" s="499">
        <v>0</v>
      </c>
      <c r="CX324" s="499">
        <v>0</v>
      </c>
      <c r="CY324" s="499">
        <v>0</v>
      </c>
      <c r="CZ324" s="608">
        <v>378</v>
      </c>
      <c r="DA324" s="608">
        <v>609</v>
      </c>
      <c r="DB324" s="608">
        <v>317</v>
      </c>
      <c r="DC324" s="609">
        <v>1080.21</v>
      </c>
      <c r="DD324" s="1153">
        <f t="shared" si="83"/>
        <v>1.4200000000000728</v>
      </c>
      <c r="DE324" s="1154">
        <f t="shared" si="84"/>
        <v>0</v>
      </c>
      <c r="DF324" s="1154">
        <f t="shared" si="85"/>
        <v>207</v>
      </c>
      <c r="DG324" s="1154">
        <f t="shared" si="86"/>
        <v>359</v>
      </c>
      <c r="DH324" s="1155" t="str">
        <f t="shared" si="87"/>
        <v>Palm</v>
      </c>
      <c r="DI324" s="1146">
        <f t="shared" si="88"/>
        <v>292</v>
      </c>
      <c r="DJ324" s="1146">
        <f t="shared" si="89"/>
        <v>0</v>
      </c>
      <c r="DK324" s="1154">
        <f t="shared" si="90"/>
        <v>0</v>
      </c>
      <c r="DL324" s="615"/>
      <c r="DM324" s="615"/>
      <c r="DN324" s="615"/>
      <c r="DO324" s="499"/>
      <c r="DP324" s="499"/>
      <c r="DQ324" s="499"/>
      <c r="DR324" s="499"/>
      <c r="DS324" s="499"/>
      <c r="DT324" s="499"/>
      <c r="DU324" s="499"/>
      <c r="DV324" s="499"/>
      <c r="DW324" s="499"/>
      <c r="DX324" s="499"/>
      <c r="DY324" s="499"/>
      <c r="DZ324" s="499"/>
      <c r="EA324" s="499"/>
      <c r="EB324" s="499"/>
      <c r="EC324" s="499"/>
      <c r="ED324" s="499"/>
      <c r="EE324" s="499"/>
      <c r="EF324" s="499"/>
      <c r="EG324" s="1147">
        <f t="shared" si="92"/>
        <v>12.5</v>
      </c>
      <c r="EH324" s="499">
        <v>0</v>
      </c>
      <c r="EI324" s="615">
        <v>3</v>
      </c>
      <c r="EJ324" s="615">
        <v>3</v>
      </c>
      <c r="EK324" s="615">
        <v>6.5</v>
      </c>
      <c r="EL324" s="499"/>
      <c r="EM324" s="499"/>
      <c r="EN324" s="499"/>
      <c r="EO324" s="499"/>
      <c r="EP324" s="499"/>
      <c r="EQ324" s="499"/>
      <c r="ER324" s="499"/>
      <c r="ES324" s="388"/>
      <c r="ET324" s="388"/>
      <c r="EV324" s="1167">
        <f t="shared" si="79"/>
        <v>19.337499999999999</v>
      </c>
    </row>
    <row r="325" spans="1:152" s="350" customFormat="1" ht="15" x14ac:dyDescent="0.25">
      <c r="A325" s="632" t="s">
        <v>3</v>
      </c>
      <c r="B325" s="662">
        <v>43051</v>
      </c>
      <c r="C325" s="1132" t="s">
        <v>904</v>
      </c>
      <c r="D325" s="609">
        <v>0.13</v>
      </c>
      <c r="E325" s="739">
        <v>0</v>
      </c>
      <c r="F325" s="739">
        <v>49</v>
      </c>
      <c r="G325" s="739">
        <v>0.6</v>
      </c>
      <c r="H325" s="609">
        <v>2.73</v>
      </c>
      <c r="I325" s="609">
        <v>17.399999999999999</v>
      </c>
      <c r="J325" s="609">
        <v>0</v>
      </c>
      <c r="K325" s="609">
        <v>1.98</v>
      </c>
      <c r="L325" s="741">
        <v>0</v>
      </c>
      <c r="M325" s="609">
        <v>18</v>
      </c>
      <c r="N325" s="609">
        <v>1.33</v>
      </c>
      <c r="O325" s="609">
        <v>1.5149566075368401</v>
      </c>
      <c r="P325" s="609">
        <v>1.31</v>
      </c>
      <c r="Q325" s="609">
        <v>0.68020776672595029</v>
      </c>
      <c r="R325" s="609">
        <v>846.72819767441865</v>
      </c>
      <c r="S325" s="609">
        <v>8.3699999999999992</v>
      </c>
      <c r="T325" s="609">
        <v>8.4</v>
      </c>
      <c r="U325" s="609">
        <v>0.72</v>
      </c>
      <c r="V325" s="784">
        <v>0.73</v>
      </c>
      <c r="W325" s="785">
        <v>44.06</v>
      </c>
      <c r="X325" s="786">
        <v>44.06</v>
      </c>
      <c r="Y325" s="738">
        <v>28</v>
      </c>
      <c r="Z325" s="739">
        <v>28.1</v>
      </c>
      <c r="AA325" s="739">
        <v>28.1</v>
      </c>
      <c r="AB325" s="739">
        <v>27.6</v>
      </c>
      <c r="AC325" s="1160">
        <f t="shared" si="80"/>
        <v>55.7</v>
      </c>
      <c r="AD325" s="1160">
        <f t="shared" si="81"/>
        <v>86.167900000000003</v>
      </c>
      <c r="AE325" s="1160">
        <f t="shared" si="82"/>
        <v>86.167900000000003</v>
      </c>
      <c r="AF325" s="723"/>
      <c r="AG325" s="1160">
        <f t="shared" si="78"/>
        <v>0</v>
      </c>
      <c r="AH325" s="656"/>
      <c r="AI325" s="656"/>
      <c r="AJ325" s="632"/>
      <c r="AK325" s="388"/>
      <c r="AL325" s="388"/>
      <c r="AM325" s="388"/>
      <c r="AN325" s="388"/>
      <c r="AO325" s="370"/>
      <c r="AP325" s="370"/>
      <c r="AQ325" s="386"/>
      <c r="AR325" s="551">
        <v>0</v>
      </c>
      <c r="AS325" s="386">
        <v>20.9</v>
      </c>
      <c r="AT325" s="386">
        <v>0</v>
      </c>
      <c r="AU325" s="386">
        <v>26</v>
      </c>
      <c r="AV325" s="636">
        <v>621.79999999999995</v>
      </c>
      <c r="AW325" s="636">
        <v>419.8</v>
      </c>
      <c r="AX325" s="386">
        <v>0</v>
      </c>
      <c r="AY325" s="551">
        <v>0</v>
      </c>
      <c r="AZ325" s="551">
        <v>0</v>
      </c>
      <c r="BA325" s="551">
        <v>0</v>
      </c>
      <c r="BB325" s="832">
        <v>0</v>
      </c>
      <c r="BC325" s="386">
        <v>0.5</v>
      </c>
      <c r="BD325" s="386">
        <v>1.5</v>
      </c>
      <c r="BE325" s="551">
        <v>0</v>
      </c>
      <c r="BF325" s="386">
        <v>0.99</v>
      </c>
      <c r="BG325" s="386">
        <v>1.89</v>
      </c>
      <c r="BH325" s="551">
        <v>0</v>
      </c>
      <c r="BI325" s="386">
        <v>0.7</v>
      </c>
      <c r="BJ325" s="386">
        <v>22.1</v>
      </c>
      <c r="BK325" s="386">
        <v>3.18</v>
      </c>
      <c r="BL325" s="386">
        <v>3.35</v>
      </c>
      <c r="BM325" s="386">
        <v>0</v>
      </c>
      <c r="BN325" s="386">
        <v>15.6</v>
      </c>
      <c r="BO325" s="386">
        <v>1301.9000000000001</v>
      </c>
      <c r="BP325" s="386">
        <v>2</v>
      </c>
      <c r="BQ325" s="615">
        <v>19.600000000000001</v>
      </c>
      <c r="BR325" s="615">
        <v>20.6</v>
      </c>
      <c r="BS325" s="615">
        <v>12.4</v>
      </c>
      <c r="BT325" s="615">
        <v>12.5</v>
      </c>
      <c r="BU325" s="614">
        <v>25.9</v>
      </c>
      <c r="BV325" s="614">
        <v>37.700000000000003</v>
      </c>
      <c r="BW325" s="615">
        <v>787.6</v>
      </c>
      <c r="BX325" s="791"/>
      <c r="BY325" s="615">
        <v>0</v>
      </c>
      <c r="BZ325" s="615">
        <v>1.28</v>
      </c>
      <c r="CA325" s="615">
        <v>1.2</v>
      </c>
      <c r="CB325" s="615">
        <v>8.4</v>
      </c>
      <c r="CC325" s="615">
        <v>8.1999999999999993</v>
      </c>
      <c r="CD325" s="615">
        <v>15.4</v>
      </c>
      <c r="CE325" s="615">
        <v>35</v>
      </c>
      <c r="CF325" s="615">
        <v>14.9</v>
      </c>
      <c r="CG325" s="615">
        <v>8.9</v>
      </c>
      <c r="CH325" s="615">
        <v>14.8</v>
      </c>
      <c r="CI325" s="615">
        <v>18.8</v>
      </c>
      <c r="CJ325" s="615">
        <v>12.3</v>
      </c>
      <c r="CK325" s="615">
        <v>491.5</v>
      </c>
      <c r="CL325" s="615">
        <v>3.1</v>
      </c>
      <c r="CM325" s="615">
        <v>5.3</v>
      </c>
      <c r="CN325" s="615">
        <v>302.5</v>
      </c>
      <c r="CO325" s="615">
        <v>451.3</v>
      </c>
      <c r="CP325" s="615">
        <v>0</v>
      </c>
      <c r="CQ325" s="615">
        <v>11.9</v>
      </c>
      <c r="CR325" s="615">
        <v>0.62</v>
      </c>
      <c r="CS325" s="386">
        <v>0</v>
      </c>
      <c r="CT325" s="386">
        <v>18.047999999999998</v>
      </c>
      <c r="CU325" s="386">
        <v>47</v>
      </c>
      <c r="CV325" s="499">
        <v>0</v>
      </c>
      <c r="CW325" s="499">
        <v>0</v>
      </c>
      <c r="CX325" s="499">
        <v>0</v>
      </c>
      <c r="CY325" s="499">
        <v>0</v>
      </c>
      <c r="CZ325" s="608">
        <v>384</v>
      </c>
      <c r="DA325" s="608">
        <v>620</v>
      </c>
      <c r="DB325" s="608">
        <v>325</v>
      </c>
      <c r="DC325" s="609">
        <v>1081.5999999999999</v>
      </c>
      <c r="DD325" s="1153">
        <f t="shared" si="83"/>
        <v>1.3899999999998727</v>
      </c>
      <c r="DE325" s="1154">
        <f t="shared" si="84"/>
        <v>0</v>
      </c>
      <c r="DF325" s="1154">
        <f t="shared" si="85"/>
        <v>215</v>
      </c>
      <c r="DG325" s="1154">
        <f t="shared" si="86"/>
        <v>370</v>
      </c>
      <c r="DH325" s="1155" t="str">
        <f t="shared" si="87"/>
        <v>Palm</v>
      </c>
      <c r="DI325" s="1146">
        <f t="shared" si="88"/>
        <v>295</v>
      </c>
      <c r="DJ325" s="1146">
        <f t="shared" si="89"/>
        <v>0</v>
      </c>
      <c r="DK325" s="1154">
        <f t="shared" si="90"/>
        <v>0</v>
      </c>
      <c r="DL325" s="615"/>
      <c r="DM325" s="615"/>
      <c r="DN325" s="615"/>
      <c r="DO325" s="499"/>
      <c r="DP325" s="499"/>
      <c r="DQ325" s="499"/>
      <c r="DR325" s="499"/>
      <c r="DS325" s="499"/>
      <c r="DT325" s="499"/>
      <c r="DU325" s="499"/>
      <c r="DV325" s="499"/>
      <c r="DW325" s="499"/>
      <c r="DX325" s="499"/>
      <c r="DY325" s="499"/>
      <c r="DZ325" s="499"/>
      <c r="EA325" s="499"/>
      <c r="EB325" s="499"/>
      <c r="EC325" s="499"/>
      <c r="ED325" s="499"/>
      <c r="EE325" s="499"/>
      <c r="EF325" s="499"/>
      <c r="EG325" s="1147">
        <f t="shared" si="92"/>
        <v>12.5</v>
      </c>
      <c r="EH325" s="499">
        <v>0</v>
      </c>
      <c r="EI325" s="615">
        <v>3</v>
      </c>
      <c r="EJ325" s="615">
        <v>3</v>
      </c>
      <c r="EK325" s="615">
        <v>6.5</v>
      </c>
      <c r="EL325" s="499"/>
      <c r="EM325" s="499"/>
      <c r="EN325" s="499"/>
      <c r="EO325" s="499"/>
      <c r="EP325" s="499"/>
      <c r="EQ325" s="499"/>
      <c r="ER325" s="499"/>
      <c r="ES325" s="388"/>
      <c r="ET325" s="388"/>
      <c r="EV325" s="1167">
        <f t="shared" si="79"/>
        <v>19.337499999999999</v>
      </c>
    </row>
    <row r="326" spans="1:152" s="350" customFormat="1" ht="15" x14ac:dyDescent="0.25">
      <c r="A326" s="632" t="s">
        <v>4</v>
      </c>
      <c r="B326" s="662">
        <v>43052</v>
      </c>
      <c r="C326" s="1132" t="s">
        <v>904</v>
      </c>
      <c r="D326" s="609">
        <v>1.1499999999999999</v>
      </c>
      <c r="E326" s="739">
        <v>0</v>
      </c>
      <c r="F326" s="739">
        <v>41</v>
      </c>
      <c r="G326" s="739">
        <v>1.1000000000000001</v>
      </c>
      <c r="H326" s="609">
        <v>5.99</v>
      </c>
      <c r="I326" s="609">
        <v>15.5</v>
      </c>
      <c r="J326" s="609">
        <v>0</v>
      </c>
      <c r="K326" s="609">
        <v>4.28</v>
      </c>
      <c r="L326" s="741">
        <v>0</v>
      </c>
      <c r="M326" s="609">
        <v>18.3</v>
      </c>
      <c r="N326" s="609">
        <v>1.29</v>
      </c>
      <c r="O326" s="609">
        <v>1.5120351891824306</v>
      </c>
      <c r="P326" s="609">
        <v>1.3</v>
      </c>
      <c r="Q326" s="609">
        <v>0.6921948816693908</v>
      </c>
      <c r="R326" s="609">
        <v>890.39803779069769</v>
      </c>
      <c r="S326" s="609">
        <v>8.26</v>
      </c>
      <c r="T326" s="609">
        <v>8.33</v>
      </c>
      <c r="U326" s="609">
        <v>0.72</v>
      </c>
      <c r="V326" s="784">
        <v>0.71</v>
      </c>
      <c r="W326" s="785">
        <v>44.600000000000009</v>
      </c>
      <c r="X326" s="786">
        <v>44.600000000000009</v>
      </c>
      <c r="Y326" s="738">
        <v>28.1</v>
      </c>
      <c r="Z326" s="739">
        <v>27.6</v>
      </c>
      <c r="AA326" s="739">
        <v>28</v>
      </c>
      <c r="AB326" s="739">
        <v>30.1</v>
      </c>
      <c r="AC326" s="1160">
        <f t="shared" si="80"/>
        <v>58.1</v>
      </c>
      <c r="AD326" s="1160">
        <f t="shared" si="81"/>
        <v>89.880700000000004</v>
      </c>
      <c r="AE326" s="1160">
        <f t="shared" si="82"/>
        <v>89.880700000000004</v>
      </c>
      <c r="AF326" s="723"/>
      <c r="AG326" s="1160">
        <f t="shared" si="78"/>
        <v>0</v>
      </c>
      <c r="AH326" s="656"/>
      <c r="AI326" s="656"/>
      <c r="AJ326" s="632"/>
      <c r="AK326" s="388"/>
      <c r="AL326" s="388"/>
      <c r="AM326" s="388"/>
      <c r="AN326" s="388"/>
      <c r="AO326" s="370"/>
      <c r="AP326" s="370"/>
      <c r="AQ326" s="386"/>
      <c r="AR326" s="551">
        <v>0</v>
      </c>
      <c r="AS326" s="386">
        <v>23.2</v>
      </c>
      <c r="AT326" s="386">
        <v>0</v>
      </c>
      <c r="AU326" s="386">
        <v>26.1</v>
      </c>
      <c r="AV326" s="636">
        <v>238.8</v>
      </c>
      <c r="AW326" s="636">
        <v>292.89999999999998</v>
      </c>
      <c r="AX326" s="386">
        <v>0</v>
      </c>
      <c r="AY326" s="551">
        <v>0</v>
      </c>
      <c r="AZ326" s="551">
        <v>0</v>
      </c>
      <c r="BA326" s="551">
        <v>0</v>
      </c>
      <c r="BB326" s="832">
        <v>0</v>
      </c>
      <c r="BC326" s="386">
        <v>0.5</v>
      </c>
      <c r="BD326" s="386">
        <v>1.5</v>
      </c>
      <c r="BE326" s="551">
        <v>0</v>
      </c>
      <c r="BF326" s="386">
        <v>0.99</v>
      </c>
      <c r="BG326" s="386">
        <v>2</v>
      </c>
      <c r="BH326" s="551">
        <v>0</v>
      </c>
      <c r="BI326" s="386">
        <v>0.69</v>
      </c>
      <c r="BJ326" s="386">
        <v>24.5</v>
      </c>
      <c r="BK326" s="386">
        <v>3.49</v>
      </c>
      <c r="BL326" s="386">
        <v>2.97</v>
      </c>
      <c r="BM326" s="386">
        <v>0</v>
      </c>
      <c r="BN326" s="386">
        <v>18</v>
      </c>
      <c r="BO326" s="386">
        <v>782.7</v>
      </c>
      <c r="BP326" s="386">
        <v>28.1</v>
      </c>
      <c r="BQ326" s="615">
        <v>19.100000000000001</v>
      </c>
      <c r="BR326" s="615">
        <v>20</v>
      </c>
      <c r="BS326" s="615">
        <v>12.6</v>
      </c>
      <c r="BT326" s="615">
        <v>12.8</v>
      </c>
      <c r="BU326" s="614">
        <v>26.4</v>
      </c>
      <c r="BV326" s="614">
        <v>33.4</v>
      </c>
      <c r="BW326" s="615">
        <v>685.7</v>
      </c>
      <c r="BX326" s="791"/>
      <c r="BY326" s="615">
        <v>0</v>
      </c>
      <c r="BZ326" s="615">
        <v>1.35</v>
      </c>
      <c r="CA326" s="615">
        <v>1.2</v>
      </c>
      <c r="CB326" s="615">
        <v>8.5</v>
      </c>
      <c r="CC326" s="615">
        <v>8.1999999999999993</v>
      </c>
      <c r="CD326" s="615">
        <v>15.6</v>
      </c>
      <c r="CE326" s="615">
        <v>35.1</v>
      </c>
      <c r="CF326" s="615">
        <v>14</v>
      </c>
      <c r="CG326" s="615">
        <v>7.6</v>
      </c>
      <c r="CH326" s="615">
        <v>13.2</v>
      </c>
      <c r="CI326" s="615">
        <v>17.3</v>
      </c>
      <c r="CJ326" s="615">
        <v>12.3</v>
      </c>
      <c r="CK326" s="615">
        <v>529.1</v>
      </c>
      <c r="CL326" s="615">
        <v>3.4</v>
      </c>
      <c r="CM326" s="615">
        <v>5.5</v>
      </c>
      <c r="CN326" s="615">
        <v>230.8</v>
      </c>
      <c r="CO326" s="615">
        <v>428.9</v>
      </c>
      <c r="CP326" s="615">
        <v>0</v>
      </c>
      <c r="CQ326" s="615">
        <v>12.7</v>
      </c>
      <c r="CR326" s="615">
        <v>0.79</v>
      </c>
      <c r="CS326" s="386">
        <v>0</v>
      </c>
      <c r="CT326" s="386">
        <v>18.504999999999999</v>
      </c>
      <c r="CU326" s="386">
        <v>47</v>
      </c>
      <c r="CV326" s="499">
        <v>0</v>
      </c>
      <c r="CW326" s="499">
        <v>0</v>
      </c>
      <c r="CX326" s="499">
        <v>0</v>
      </c>
      <c r="CY326" s="499">
        <v>0</v>
      </c>
      <c r="CZ326" s="608">
        <v>691</v>
      </c>
      <c r="DA326" s="608">
        <v>914</v>
      </c>
      <c r="DB326" s="608">
        <v>697</v>
      </c>
      <c r="DC326" s="609">
        <v>1082.02</v>
      </c>
      <c r="DD326" s="1153">
        <f t="shared" si="83"/>
        <v>0.42000000000007276</v>
      </c>
      <c r="DE326" s="1154">
        <f t="shared" si="84"/>
        <v>0</v>
      </c>
      <c r="DF326" s="1154">
        <f t="shared" si="85"/>
        <v>587</v>
      </c>
      <c r="DG326" s="1154">
        <f t="shared" si="86"/>
        <v>664</v>
      </c>
      <c r="DH326" s="1155" t="str">
        <f t="shared" si="87"/>
        <v>Palm</v>
      </c>
      <c r="DI326" s="1146">
        <f t="shared" si="88"/>
        <v>217</v>
      </c>
      <c r="DJ326" s="1146">
        <f t="shared" si="89"/>
        <v>0</v>
      </c>
      <c r="DK326" s="1154">
        <f t="shared" si="90"/>
        <v>0</v>
      </c>
      <c r="DL326" s="615"/>
      <c r="DM326" s="615"/>
      <c r="DN326" s="615"/>
      <c r="DO326" s="499"/>
      <c r="DP326" s="499"/>
      <c r="DQ326" s="499"/>
      <c r="DR326" s="499"/>
      <c r="DS326" s="499"/>
      <c r="DT326" s="499"/>
      <c r="DU326" s="499"/>
      <c r="DV326" s="499"/>
      <c r="DW326" s="499"/>
      <c r="DX326" s="499"/>
      <c r="DY326" s="499"/>
      <c r="DZ326" s="499"/>
      <c r="EA326" s="499"/>
      <c r="EB326" s="499"/>
      <c r="EC326" s="499"/>
      <c r="ED326" s="499"/>
      <c r="EE326" s="499"/>
      <c r="EF326" s="499"/>
      <c r="EG326" s="1147">
        <f t="shared" si="92"/>
        <v>12.5</v>
      </c>
      <c r="EH326" s="499">
        <v>0</v>
      </c>
      <c r="EI326" s="615">
        <v>3</v>
      </c>
      <c r="EJ326" s="615">
        <v>3</v>
      </c>
      <c r="EK326" s="615">
        <v>6.5</v>
      </c>
      <c r="EL326" s="499"/>
      <c r="EM326" s="499"/>
      <c r="EN326" s="499"/>
      <c r="EO326" s="499"/>
      <c r="EP326" s="499"/>
      <c r="EQ326" s="499"/>
      <c r="ER326" s="499"/>
      <c r="ES326" s="388"/>
      <c r="ET326" s="388"/>
      <c r="EV326" s="1167">
        <f t="shared" si="79"/>
        <v>19.337499999999999</v>
      </c>
    </row>
    <row r="327" spans="1:152" s="350" customFormat="1" ht="15" x14ac:dyDescent="0.25">
      <c r="A327" s="632" t="s">
        <v>5</v>
      </c>
      <c r="B327" s="662">
        <v>43053</v>
      </c>
      <c r="C327" s="1132" t="s">
        <v>904</v>
      </c>
      <c r="D327" s="609">
        <v>0.11</v>
      </c>
      <c r="E327" s="739">
        <v>0</v>
      </c>
      <c r="F327" s="739">
        <v>46</v>
      </c>
      <c r="G327" s="739">
        <v>1.4</v>
      </c>
      <c r="H327" s="609">
        <v>8.02</v>
      </c>
      <c r="I327" s="609">
        <v>12.5</v>
      </c>
      <c r="J327" s="609">
        <v>0</v>
      </c>
      <c r="K327" s="609">
        <v>8.2799999999999994</v>
      </c>
      <c r="L327" s="741">
        <v>12.709999999999127</v>
      </c>
      <c r="M327" s="609">
        <v>16.5</v>
      </c>
      <c r="N327" s="609">
        <v>1.3</v>
      </c>
      <c r="O327" s="609">
        <v>1.4997524412717651</v>
      </c>
      <c r="P327" s="609">
        <v>1.31</v>
      </c>
      <c r="Q327" s="609">
        <v>0.68953698185990375</v>
      </c>
      <c r="R327" s="609">
        <v>924.06715116279065</v>
      </c>
      <c r="S327" s="609">
        <v>8.24</v>
      </c>
      <c r="T327" s="609">
        <v>8.31</v>
      </c>
      <c r="U327" s="609">
        <v>0.69</v>
      </c>
      <c r="V327" s="784">
        <v>0.7</v>
      </c>
      <c r="W327" s="785">
        <v>44.78</v>
      </c>
      <c r="X327" s="786">
        <v>44.78</v>
      </c>
      <c r="Y327" s="738">
        <v>28</v>
      </c>
      <c r="Z327" s="739">
        <v>30.1</v>
      </c>
      <c r="AA327" s="739">
        <v>28.1</v>
      </c>
      <c r="AB327" s="739">
        <v>32.32</v>
      </c>
      <c r="AC327" s="1160">
        <f t="shared" si="80"/>
        <v>60.42</v>
      </c>
      <c r="AD327" s="1160">
        <f t="shared" si="81"/>
        <v>93.469740000000002</v>
      </c>
      <c r="AE327" s="1160">
        <f t="shared" si="82"/>
        <v>73.807370000001356</v>
      </c>
      <c r="AF327" s="723"/>
      <c r="AG327" s="1160">
        <f t="shared" si="78"/>
        <v>0</v>
      </c>
      <c r="AH327" s="656"/>
      <c r="AI327" s="656"/>
      <c r="AJ327" s="632"/>
      <c r="AK327" s="388"/>
      <c r="AL327" s="388"/>
      <c r="AM327" s="388"/>
      <c r="AN327" s="388"/>
      <c r="AO327" s="370"/>
      <c r="AP327" s="370"/>
      <c r="AQ327" s="386"/>
      <c r="AR327" s="551">
        <v>0</v>
      </c>
      <c r="AS327" s="386">
        <v>24.5</v>
      </c>
      <c r="AT327" s="386">
        <v>0</v>
      </c>
      <c r="AU327" s="386">
        <v>26.1</v>
      </c>
      <c r="AV327" s="636">
        <v>551.1</v>
      </c>
      <c r="AW327" s="636">
        <v>435.6</v>
      </c>
      <c r="AX327" s="386">
        <v>0</v>
      </c>
      <c r="AY327" s="551">
        <v>0</v>
      </c>
      <c r="AZ327" s="551">
        <v>0</v>
      </c>
      <c r="BA327" s="551">
        <v>0</v>
      </c>
      <c r="BB327" s="832">
        <v>0</v>
      </c>
      <c r="BC327" s="386">
        <v>0.48</v>
      </c>
      <c r="BD327" s="386">
        <v>1.5</v>
      </c>
      <c r="BE327" s="551">
        <v>0</v>
      </c>
      <c r="BF327" s="386">
        <v>0.99</v>
      </c>
      <c r="BG327" s="386">
        <v>2.15</v>
      </c>
      <c r="BH327" s="551">
        <v>0</v>
      </c>
      <c r="BI327" s="386">
        <v>0.69</v>
      </c>
      <c r="BJ327" s="386">
        <v>26.6</v>
      </c>
      <c r="BK327" s="386">
        <v>2.85</v>
      </c>
      <c r="BL327" s="386">
        <v>3.6</v>
      </c>
      <c r="BM327" s="386">
        <v>0</v>
      </c>
      <c r="BN327" s="386">
        <v>20.2</v>
      </c>
      <c r="BO327" s="386">
        <v>952.8</v>
      </c>
      <c r="BP327" s="386">
        <v>2</v>
      </c>
      <c r="BQ327" s="615">
        <v>18.3</v>
      </c>
      <c r="BR327" s="615">
        <v>19.3</v>
      </c>
      <c r="BS327" s="615">
        <v>12.4</v>
      </c>
      <c r="BT327" s="615">
        <v>12.5</v>
      </c>
      <c r="BU327" s="614">
        <v>25.9</v>
      </c>
      <c r="BV327" s="614">
        <v>33.1</v>
      </c>
      <c r="BW327" s="615">
        <v>752.1</v>
      </c>
      <c r="BX327" s="791"/>
      <c r="BY327" s="615">
        <v>0</v>
      </c>
      <c r="BZ327" s="615">
        <v>1.31</v>
      </c>
      <c r="CA327" s="615">
        <v>1.2</v>
      </c>
      <c r="CB327" s="615">
        <v>8.4</v>
      </c>
      <c r="CC327" s="615">
        <v>8.1999999999999993</v>
      </c>
      <c r="CD327" s="615">
        <v>16.399999999999999</v>
      </c>
      <c r="CE327" s="615">
        <v>35.1</v>
      </c>
      <c r="CF327" s="615">
        <v>13</v>
      </c>
      <c r="CG327" s="615">
        <v>6.9</v>
      </c>
      <c r="CH327" s="615">
        <v>12.3</v>
      </c>
      <c r="CI327" s="615">
        <v>16.5</v>
      </c>
      <c r="CJ327" s="615">
        <v>13.4</v>
      </c>
      <c r="CK327" s="615">
        <v>545.9</v>
      </c>
      <c r="CL327" s="615">
        <v>3.8</v>
      </c>
      <c r="CM327" s="615">
        <v>5.5</v>
      </c>
      <c r="CN327" s="615">
        <v>233.8</v>
      </c>
      <c r="CO327" s="615">
        <v>416.7</v>
      </c>
      <c r="CP327" s="615">
        <v>0</v>
      </c>
      <c r="CQ327" s="615">
        <v>12.6</v>
      </c>
      <c r="CR327" s="615">
        <v>0.76</v>
      </c>
      <c r="CS327" s="386">
        <v>0</v>
      </c>
      <c r="CT327" s="386">
        <v>18.544</v>
      </c>
      <c r="CU327" s="386">
        <v>47</v>
      </c>
      <c r="CV327" s="499">
        <v>0</v>
      </c>
      <c r="CW327" s="499">
        <v>0</v>
      </c>
      <c r="CX327" s="499">
        <v>0</v>
      </c>
      <c r="CY327" s="499">
        <v>0</v>
      </c>
      <c r="CZ327" s="608">
        <v>992</v>
      </c>
      <c r="DA327" s="608">
        <v>1352</v>
      </c>
      <c r="DB327" s="608">
        <v>1020</v>
      </c>
      <c r="DC327" s="609">
        <v>1081.05</v>
      </c>
      <c r="DD327" s="1153">
        <f t="shared" si="83"/>
        <v>-0.97000000000002728</v>
      </c>
      <c r="DE327" s="1154">
        <f t="shared" si="84"/>
        <v>0</v>
      </c>
      <c r="DF327" s="1154">
        <f t="shared" si="85"/>
        <v>910</v>
      </c>
      <c r="DG327" s="1154">
        <f t="shared" si="86"/>
        <v>1102</v>
      </c>
      <c r="DH327" s="1155" t="str">
        <f t="shared" si="87"/>
        <v>Palm</v>
      </c>
      <c r="DI327" s="1146">
        <f t="shared" si="88"/>
        <v>332</v>
      </c>
      <c r="DJ327" s="1146">
        <f t="shared" si="89"/>
        <v>0</v>
      </c>
      <c r="DK327" s="1154">
        <f t="shared" si="90"/>
        <v>0</v>
      </c>
      <c r="DL327" s="615"/>
      <c r="DM327" s="615"/>
      <c r="DN327" s="615"/>
      <c r="DO327" s="499"/>
      <c r="DP327" s="499"/>
      <c r="DQ327" s="499"/>
      <c r="DR327" s="499"/>
      <c r="DS327" s="499"/>
      <c r="DT327" s="499"/>
      <c r="DU327" s="499"/>
      <c r="DV327" s="499"/>
      <c r="DW327" s="499"/>
      <c r="DX327" s="499"/>
      <c r="DY327" s="499"/>
      <c r="DZ327" s="499"/>
      <c r="EA327" s="499"/>
      <c r="EB327" s="499"/>
      <c r="EC327" s="499"/>
      <c r="ED327" s="499"/>
      <c r="EE327" s="499"/>
      <c r="EF327" s="499"/>
      <c r="EG327" s="1147">
        <f t="shared" si="92"/>
        <v>12.5</v>
      </c>
      <c r="EH327" s="499">
        <v>0</v>
      </c>
      <c r="EI327" s="615">
        <v>3</v>
      </c>
      <c r="EJ327" s="615">
        <v>3</v>
      </c>
      <c r="EK327" s="615">
        <v>6.5</v>
      </c>
      <c r="EL327" s="499"/>
      <c r="EM327" s="499"/>
      <c r="EN327" s="499"/>
      <c r="EO327" s="499"/>
      <c r="EP327" s="499"/>
      <c r="EQ327" s="499"/>
      <c r="ER327" s="499"/>
      <c r="ES327" s="388"/>
      <c r="ET327" s="388"/>
      <c r="EV327" s="1167">
        <f t="shared" si="79"/>
        <v>19.337499999999999</v>
      </c>
    </row>
    <row r="328" spans="1:152" s="350" customFormat="1" ht="15" x14ac:dyDescent="0.25">
      <c r="A328" s="632" t="s">
        <v>6</v>
      </c>
      <c r="B328" s="662">
        <v>43054</v>
      </c>
      <c r="C328" s="1132" t="s">
        <v>904</v>
      </c>
      <c r="D328" s="609">
        <v>0.63</v>
      </c>
      <c r="E328" s="739">
        <v>0</v>
      </c>
      <c r="F328" s="739">
        <v>39</v>
      </c>
      <c r="G328" s="739">
        <v>1.45</v>
      </c>
      <c r="H328" s="609">
        <v>15.05</v>
      </c>
      <c r="I328" s="609">
        <v>0</v>
      </c>
      <c r="J328" s="609">
        <v>0</v>
      </c>
      <c r="K328" s="609">
        <v>10.34</v>
      </c>
      <c r="L328" s="741">
        <v>8.3800000000010186</v>
      </c>
      <c r="M328" s="609">
        <v>16.7</v>
      </c>
      <c r="N328" s="609">
        <v>1.33</v>
      </c>
      <c r="O328" s="609">
        <v>1.5195615310081207</v>
      </c>
      <c r="P328" s="609">
        <v>1.32</v>
      </c>
      <c r="Q328" s="609">
        <v>0.68909987689740226</v>
      </c>
      <c r="R328" s="609">
        <v>946.06875000000002</v>
      </c>
      <c r="S328" s="609">
        <v>8.15</v>
      </c>
      <c r="T328" s="609">
        <v>8.25</v>
      </c>
      <c r="U328" s="609">
        <v>0.68</v>
      </c>
      <c r="V328" s="784">
        <v>0.73</v>
      </c>
      <c r="W328" s="785">
        <v>44.42</v>
      </c>
      <c r="X328" s="786">
        <v>44.78</v>
      </c>
      <c r="Y328" s="738">
        <v>28.1</v>
      </c>
      <c r="Z328" s="739">
        <v>32.32</v>
      </c>
      <c r="AA328" s="739">
        <v>28.1</v>
      </c>
      <c r="AB328" s="739">
        <v>32.979999999999997</v>
      </c>
      <c r="AC328" s="1160">
        <f t="shared" si="80"/>
        <v>61.08</v>
      </c>
      <c r="AD328" s="1160">
        <f t="shared" si="81"/>
        <v>94.490759999999995</v>
      </c>
      <c r="AE328" s="1160">
        <f t="shared" si="82"/>
        <v>81.52689999999842</v>
      </c>
      <c r="AF328" s="723"/>
      <c r="AG328" s="1160">
        <f t="shared" ref="AG328:AG381" si="93">BB328</f>
        <v>0</v>
      </c>
      <c r="AH328" s="656"/>
      <c r="AI328" s="656"/>
      <c r="AJ328" s="632"/>
      <c r="AK328" s="388"/>
      <c r="AL328" s="388"/>
      <c r="AM328" s="388"/>
      <c r="AN328" s="388"/>
      <c r="AO328" s="370"/>
      <c r="AP328" s="370"/>
      <c r="AQ328" s="386"/>
      <c r="AR328" s="551">
        <v>0</v>
      </c>
      <c r="AS328" s="386">
        <v>24.1</v>
      </c>
      <c r="AT328" s="386">
        <v>0</v>
      </c>
      <c r="AU328" s="386">
        <v>26.2</v>
      </c>
      <c r="AV328" s="636">
        <v>412.6</v>
      </c>
      <c r="AW328" s="636">
        <v>242.6</v>
      </c>
      <c r="AX328" s="386">
        <v>0</v>
      </c>
      <c r="AY328" s="551">
        <v>0</v>
      </c>
      <c r="AZ328" s="551">
        <v>0</v>
      </c>
      <c r="BA328" s="551">
        <v>0</v>
      </c>
      <c r="BB328" s="832">
        <v>0</v>
      </c>
      <c r="BC328" s="386">
        <v>0.54</v>
      </c>
      <c r="BD328" s="386">
        <v>1.46</v>
      </c>
      <c r="BE328" s="551">
        <v>0</v>
      </c>
      <c r="BF328" s="386">
        <v>1</v>
      </c>
      <c r="BG328" s="386">
        <v>2.17</v>
      </c>
      <c r="BH328" s="551">
        <v>0</v>
      </c>
      <c r="BI328" s="386">
        <v>0.74</v>
      </c>
      <c r="BJ328" s="386">
        <v>27.1</v>
      </c>
      <c r="BK328" s="386">
        <v>1.95</v>
      </c>
      <c r="BL328" s="386">
        <v>4.46</v>
      </c>
      <c r="BM328" s="386">
        <v>0</v>
      </c>
      <c r="BN328" s="386">
        <v>20.8</v>
      </c>
      <c r="BO328" s="386">
        <v>1068.3</v>
      </c>
      <c r="BP328" s="386">
        <v>2</v>
      </c>
      <c r="BQ328" s="615">
        <v>19.16</v>
      </c>
      <c r="BR328" s="615">
        <v>20.3</v>
      </c>
      <c r="BS328" s="615">
        <v>12.7</v>
      </c>
      <c r="BT328" s="615">
        <v>12.9</v>
      </c>
      <c r="BU328" s="614">
        <v>26.5</v>
      </c>
      <c r="BV328" s="614">
        <v>29.3</v>
      </c>
      <c r="BW328" s="615">
        <v>700.8</v>
      </c>
      <c r="BX328" s="791"/>
      <c r="BY328" s="615">
        <v>0</v>
      </c>
      <c r="BZ328" s="615">
        <v>1.33</v>
      </c>
      <c r="CA328" s="615">
        <v>1.2</v>
      </c>
      <c r="CB328" s="615">
        <v>8.4</v>
      </c>
      <c r="CC328" s="615">
        <v>8.1999999999999993</v>
      </c>
      <c r="CD328" s="615">
        <v>16.3</v>
      </c>
      <c r="CE328" s="615">
        <v>35.1</v>
      </c>
      <c r="CF328" s="615">
        <v>12.3</v>
      </c>
      <c r="CG328" s="615">
        <v>7</v>
      </c>
      <c r="CH328" s="615">
        <v>12.3</v>
      </c>
      <c r="CI328" s="615">
        <v>16.899999999999999</v>
      </c>
      <c r="CJ328" s="615">
        <v>13.5</v>
      </c>
      <c r="CK328" s="615">
        <v>502.1</v>
      </c>
      <c r="CL328" s="615">
        <v>3</v>
      </c>
      <c r="CM328" s="615">
        <v>5.2</v>
      </c>
      <c r="CN328" s="615">
        <v>210.8</v>
      </c>
      <c r="CO328" s="615">
        <v>407.2</v>
      </c>
      <c r="CP328" s="615">
        <v>0</v>
      </c>
      <c r="CQ328" s="615">
        <v>12.3</v>
      </c>
      <c r="CR328" s="615">
        <v>0.56000000000000005</v>
      </c>
      <c r="CS328" s="386">
        <v>0</v>
      </c>
      <c r="CT328" s="386">
        <v>17.707999999999998</v>
      </c>
      <c r="CU328" s="386">
        <v>47</v>
      </c>
      <c r="CV328" s="499">
        <v>0</v>
      </c>
      <c r="CW328" s="499">
        <v>0</v>
      </c>
      <c r="CX328" s="499">
        <v>0</v>
      </c>
      <c r="CY328" s="499">
        <v>0</v>
      </c>
      <c r="CZ328" s="608">
        <v>1003</v>
      </c>
      <c r="DA328" s="608">
        <v>1436</v>
      </c>
      <c r="DB328" s="608">
        <v>1070</v>
      </c>
      <c r="DC328" s="609">
        <v>1079</v>
      </c>
      <c r="DD328" s="1153">
        <f t="shared" si="83"/>
        <v>-2.0499999999999545</v>
      </c>
      <c r="DE328" s="1154">
        <f t="shared" si="84"/>
        <v>0</v>
      </c>
      <c r="DF328" s="1154">
        <f t="shared" si="85"/>
        <v>960</v>
      </c>
      <c r="DG328" s="1154">
        <f t="shared" si="86"/>
        <v>1186</v>
      </c>
      <c r="DH328" s="1155" t="str">
        <f t="shared" si="87"/>
        <v>Palm</v>
      </c>
      <c r="DI328" s="1146">
        <f t="shared" si="88"/>
        <v>366</v>
      </c>
      <c r="DJ328" s="1146">
        <f t="shared" si="89"/>
        <v>0</v>
      </c>
      <c r="DK328" s="1154">
        <f t="shared" si="90"/>
        <v>0</v>
      </c>
      <c r="DL328" s="615"/>
      <c r="DM328" s="615"/>
      <c r="DN328" s="615"/>
      <c r="DO328" s="499"/>
      <c r="DP328" s="499"/>
      <c r="DQ328" s="499"/>
      <c r="DR328" s="499"/>
      <c r="DS328" s="499"/>
      <c r="DT328" s="499"/>
      <c r="DU328" s="499"/>
      <c r="DV328" s="499"/>
      <c r="DW328" s="499"/>
      <c r="DX328" s="499"/>
      <c r="DY328" s="499"/>
      <c r="DZ328" s="499"/>
      <c r="EA328" s="499"/>
      <c r="EB328" s="499"/>
      <c r="EC328" s="499"/>
      <c r="ED328" s="499"/>
      <c r="EE328" s="499"/>
      <c r="EF328" s="499"/>
      <c r="EG328" s="1147">
        <f t="shared" si="92"/>
        <v>12.5</v>
      </c>
      <c r="EH328" s="499">
        <v>0</v>
      </c>
      <c r="EI328" s="615">
        <v>3</v>
      </c>
      <c r="EJ328" s="615">
        <v>3</v>
      </c>
      <c r="EK328" s="615">
        <v>6.5</v>
      </c>
      <c r="EL328" s="499"/>
      <c r="EM328" s="499"/>
      <c r="EN328" s="499"/>
      <c r="EO328" s="499"/>
      <c r="EP328" s="499"/>
      <c r="EQ328" s="499"/>
      <c r="ER328" s="499"/>
      <c r="ES328" s="388"/>
      <c r="ET328" s="388"/>
      <c r="EV328" s="1167">
        <f t="shared" ref="EV328:EV381" si="94">(EH328+EK328+EJ328+EI328)*MGDtoCFS</f>
        <v>19.337499999999999</v>
      </c>
    </row>
    <row r="329" spans="1:152" s="350" customFormat="1" ht="15" x14ac:dyDescent="0.25">
      <c r="A329" s="632" t="s">
        <v>7</v>
      </c>
      <c r="B329" s="662">
        <v>43055</v>
      </c>
      <c r="C329" s="1132" t="s">
        <v>904</v>
      </c>
      <c r="D329" s="609">
        <v>0.77</v>
      </c>
      <c r="E329" s="739">
        <v>0</v>
      </c>
      <c r="F329" s="739">
        <v>39</v>
      </c>
      <c r="G329" s="739">
        <v>1.35</v>
      </c>
      <c r="H329" s="609">
        <v>13.6</v>
      </c>
      <c r="I329" s="609">
        <v>14.6</v>
      </c>
      <c r="J329" s="609">
        <v>0</v>
      </c>
      <c r="K329" s="609">
        <v>8.01</v>
      </c>
      <c r="L329" s="741">
        <v>8.2900000000008731</v>
      </c>
      <c r="M329" s="609">
        <v>17.2</v>
      </c>
      <c r="N329" s="609">
        <v>1.3</v>
      </c>
      <c r="O329" s="609">
        <v>1.5183449745829445</v>
      </c>
      <c r="P329" s="609">
        <v>1.31</v>
      </c>
      <c r="Q329" s="609">
        <v>0.69701366481148619</v>
      </c>
      <c r="R329" s="609">
        <v>913.06635174418614</v>
      </c>
      <c r="S329" s="609">
        <v>8.26</v>
      </c>
      <c r="T329" s="609">
        <v>8.3000000000000007</v>
      </c>
      <c r="U329" s="609">
        <v>0.68</v>
      </c>
      <c r="V329" s="784">
        <v>0.73</v>
      </c>
      <c r="W329" s="785">
        <v>43.88000000000001</v>
      </c>
      <c r="X329" s="786">
        <v>44.42</v>
      </c>
      <c r="Y329" s="738">
        <v>28.1</v>
      </c>
      <c r="Z329" s="739">
        <v>32.979999999999997</v>
      </c>
      <c r="AA329" s="739">
        <v>28.09</v>
      </c>
      <c r="AB329" s="739">
        <v>31.1</v>
      </c>
      <c r="AC329" s="1160">
        <f t="shared" si="80"/>
        <v>59.19</v>
      </c>
      <c r="AD329" s="1160">
        <f t="shared" si="81"/>
        <v>91.566929999999999</v>
      </c>
      <c r="AE329" s="1160">
        <f t="shared" si="82"/>
        <v>78.74229999999865</v>
      </c>
      <c r="AF329" s="723"/>
      <c r="AG329" s="1160">
        <f t="shared" si="93"/>
        <v>0</v>
      </c>
      <c r="AH329" s="656"/>
      <c r="AI329" s="656"/>
      <c r="AJ329" s="632"/>
      <c r="AK329" s="388"/>
      <c r="AL329" s="388"/>
      <c r="AM329" s="388"/>
      <c r="AN329" s="388"/>
      <c r="AO329" s="370"/>
      <c r="AP329" s="370"/>
      <c r="AQ329" s="386"/>
      <c r="AR329" s="551">
        <v>0</v>
      </c>
      <c r="AS329" s="386">
        <v>24.2</v>
      </c>
      <c r="AT329" s="386">
        <v>0</v>
      </c>
      <c r="AU329" s="386">
        <v>26</v>
      </c>
      <c r="AV329" s="636">
        <v>543.4</v>
      </c>
      <c r="AW329" s="636">
        <v>428.4</v>
      </c>
      <c r="AX329" s="386">
        <v>0</v>
      </c>
      <c r="AY329" s="551">
        <v>0</v>
      </c>
      <c r="AZ329" s="551">
        <v>0</v>
      </c>
      <c r="BA329" s="551">
        <v>0</v>
      </c>
      <c r="BB329" s="832">
        <v>0</v>
      </c>
      <c r="BC329" s="386">
        <v>0.51</v>
      </c>
      <c r="BD329" s="386">
        <v>1.5</v>
      </c>
      <c r="BE329" s="551">
        <v>0</v>
      </c>
      <c r="BF329" s="386">
        <v>0.99</v>
      </c>
      <c r="BG329" s="386">
        <v>2.19</v>
      </c>
      <c r="BH329" s="551">
        <v>0</v>
      </c>
      <c r="BI329" s="386">
        <v>0.74</v>
      </c>
      <c r="BJ329" s="386">
        <v>25.2</v>
      </c>
      <c r="BK329" s="386">
        <v>2.27</v>
      </c>
      <c r="BL329" s="386">
        <v>4.28</v>
      </c>
      <c r="BM329" s="386">
        <v>0</v>
      </c>
      <c r="BN329" s="386">
        <v>18.7</v>
      </c>
      <c r="BO329" s="386">
        <v>602</v>
      </c>
      <c r="BP329" s="386">
        <v>2.2000000000000002</v>
      </c>
      <c r="BQ329" s="615">
        <v>19.73</v>
      </c>
      <c r="BR329" s="615">
        <v>20.57</v>
      </c>
      <c r="BS329" s="615">
        <v>12.48</v>
      </c>
      <c r="BT329" s="615">
        <v>12.58</v>
      </c>
      <c r="BU329" s="614">
        <v>26</v>
      </c>
      <c r="BV329" s="614">
        <v>29.2</v>
      </c>
      <c r="BW329" s="615">
        <v>649.5</v>
      </c>
      <c r="BX329" s="791"/>
      <c r="BY329" s="615">
        <v>0</v>
      </c>
      <c r="BZ329" s="615">
        <v>1.33</v>
      </c>
      <c r="CA329" s="615">
        <v>1.2</v>
      </c>
      <c r="CB329" s="615">
        <v>8.3000000000000007</v>
      </c>
      <c r="CC329" s="615">
        <v>8.1999999999999993</v>
      </c>
      <c r="CD329" s="615">
        <v>16.3</v>
      </c>
      <c r="CE329" s="615">
        <v>35</v>
      </c>
      <c r="CF329" s="615">
        <v>14.2</v>
      </c>
      <c r="CG329" s="615">
        <v>5</v>
      </c>
      <c r="CH329" s="615">
        <v>10.199999999999999</v>
      </c>
      <c r="CI329" s="615">
        <v>14.2</v>
      </c>
      <c r="CJ329" s="615">
        <v>13.34</v>
      </c>
      <c r="CK329" s="615">
        <v>483.4</v>
      </c>
      <c r="CL329" s="615">
        <v>2.4</v>
      </c>
      <c r="CM329" s="615">
        <v>3.6</v>
      </c>
      <c r="CN329" s="615">
        <v>226.6</v>
      </c>
      <c r="CO329" s="615">
        <v>405</v>
      </c>
      <c r="CP329" s="615">
        <v>0</v>
      </c>
      <c r="CQ329" s="615">
        <v>11.5</v>
      </c>
      <c r="CR329" s="615">
        <v>0.45</v>
      </c>
      <c r="CS329" s="386">
        <v>0</v>
      </c>
      <c r="CT329" s="386">
        <v>15.167999999999999</v>
      </c>
      <c r="CU329" s="386">
        <v>47</v>
      </c>
      <c r="CV329" s="499">
        <v>0</v>
      </c>
      <c r="CW329" s="499">
        <v>0</v>
      </c>
      <c r="CX329" s="499">
        <v>0</v>
      </c>
      <c r="CY329" s="499">
        <v>0</v>
      </c>
      <c r="CZ329" s="608">
        <v>866</v>
      </c>
      <c r="DA329" s="608">
        <v>1366</v>
      </c>
      <c r="DB329" s="608">
        <v>919</v>
      </c>
      <c r="DC329" s="609">
        <v>1078.4000000000001</v>
      </c>
      <c r="DD329" s="1153">
        <f t="shared" si="83"/>
        <v>-0.59999999999990905</v>
      </c>
      <c r="DE329" s="1154">
        <f t="shared" si="84"/>
        <v>0</v>
      </c>
      <c r="DF329" s="1154">
        <f t="shared" si="85"/>
        <v>809</v>
      </c>
      <c r="DG329" s="1154">
        <f t="shared" si="86"/>
        <v>1116</v>
      </c>
      <c r="DH329" s="1155" t="str">
        <f t="shared" si="87"/>
        <v>Palm</v>
      </c>
      <c r="DI329" s="1146">
        <f t="shared" si="88"/>
        <v>447</v>
      </c>
      <c r="DJ329" s="1146">
        <f t="shared" si="89"/>
        <v>0</v>
      </c>
      <c r="DK329" s="1154">
        <f t="shared" si="90"/>
        <v>0</v>
      </c>
      <c r="DL329" s="615"/>
      <c r="DM329" s="615"/>
      <c r="DN329" s="615"/>
      <c r="DO329" s="499"/>
      <c r="DP329" s="499"/>
      <c r="DQ329" s="499"/>
      <c r="DR329" s="499"/>
      <c r="DS329" s="499"/>
      <c r="DT329" s="499"/>
      <c r="DU329" s="499"/>
      <c r="DV329" s="499"/>
      <c r="DW329" s="499"/>
      <c r="DX329" s="499"/>
      <c r="DY329" s="499"/>
      <c r="DZ329" s="499"/>
      <c r="EA329" s="499"/>
      <c r="EB329" s="499"/>
      <c r="EC329" s="499"/>
      <c r="ED329" s="499"/>
      <c r="EE329" s="499"/>
      <c r="EF329" s="499"/>
      <c r="EG329" s="1147">
        <f t="shared" si="92"/>
        <v>12.5</v>
      </c>
      <c r="EH329" s="499">
        <v>0</v>
      </c>
      <c r="EI329" s="615">
        <v>3</v>
      </c>
      <c r="EJ329" s="615">
        <v>3</v>
      </c>
      <c r="EK329" s="615">
        <v>6.5</v>
      </c>
      <c r="EL329" s="499"/>
      <c r="EM329" s="499"/>
      <c r="EN329" s="499"/>
      <c r="EO329" s="499"/>
      <c r="EP329" s="499"/>
      <c r="EQ329" s="499"/>
      <c r="ER329" s="499"/>
      <c r="ES329" s="388"/>
      <c r="ET329" s="388"/>
      <c r="EV329" s="1167">
        <f t="shared" si="94"/>
        <v>19.337499999999999</v>
      </c>
    </row>
    <row r="330" spans="1:152" s="350" customFormat="1" ht="15" x14ac:dyDescent="0.25">
      <c r="A330" s="632" t="s">
        <v>8</v>
      </c>
      <c r="B330" s="662">
        <v>43056</v>
      </c>
      <c r="C330" s="1132" t="s">
        <v>904</v>
      </c>
      <c r="D330" s="609">
        <v>0.02</v>
      </c>
      <c r="E330" s="739">
        <v>0</v>
      </c>
      <c r="F330" s="739">
        <v>40</v>
      </c>
      <c r="G330" s="739">
        <v>1.35</v>
      </c>
      <c r="H330" s="609">
        <v>5.1100000000000003</v>
      </c>
      <c r="I330" s="609">
        <v>13.2</v>
      </c>
      <c r="J330" s="609">
        <v>0</v>
      </c>
      <c r="K330" s="609">
        <v>5.85</v>
      </c>
      <c r="L330" s="741">
        <v>7.430000000000291</v>
      </c>
      <c r="M330" s="609">
        <v>18.399999999999999</v>
      </c>
      <c r="N330" s="609">
        <v>1.34</v>
      </c>
      <c r="O330" s="609">
        <v>1.5066507328859953</v>
      </c>
      <c r="P330" s="609">
        <v>1.32</v>
      </c>
      <c r="Q330" s="609">
        <v>0.69146442080991932</v>
      </c>
      <c r="R330" s="609">
        <v>882.73081395348845</v>
      </c>
      <c r="S330" s="609">
        <v>8.2100000000000009</v>
      </c>
      <c r="T330" s="609">
        <v>8.2200000000000006</v>
      </c>
      <c r="U330" s="609">
        <v>0.69</v>
      </c>
      <c r="V330" s="784">
        <v>0.73</v>
      </c>
      <c r="W330" s="785">
        <v>44.06</v>
      </c>
      <c r="X330" s="786">
        <v>44.239999999999995</v>
      </c>
      <c r="Y330" s="738">
        <v>28.09</v>
      </c>
      <c r="Z330" s="739">
        <v>31.1</v>
      </c>
      <c r="AA330" s="739">
        <v>28.09</v>
      </c>
      <c r="AB330" s="739">
        <v>30.01</v>
      </c>
      <c r="AC330" s="1160">
        <f t="shared" si="80"/>
        <v>58.1</v>
      </c>
      <c r="AD330" s="1160">
        <f t="shared" si="81"/>
        <v>89.880700000000004</v>
      </c>
      <c r="AE330" s="1160">
        <f t="shared" si="82"/>
        <v>78.386489999999554</v>
      </c>
      <c r="AF330" s="723"/>
      <c r="AG330" s="1160">
        <f t="shared" si="93"/>
        <v>0</v>
      </c>
      <c r="AH330" s="656"/>
      <c r="AI330" s="656"/>
      <c r="AJ330" s="632"/>
      <c r="AK330" s="388"/>
      <c r="AL330" s="388"/>
      <c r="AM330" s="388"/>
      <c r="AN330" s="388"/>
      <c r="AO330" s="370"/>
      <c r="AP330" s="370"/>
      <c r="AQ330" s="386"/>
      <c r="AR330" s="551">
        <v>0</v>
      </c>
      <c r="AS330" s="386">
        <v>23.4</v>
      </c>
      <c r="AT330" s="386">
        <v>0</v>
      </c>
      <c r="AU330" s="386">
        <v>25.9</v>
      </c>
      <c r="AV330" s="636">
        <v>293.5</v>
      </c>
      <c r="AW330" s="636">
        <v>225.6</v>
      </c>
      <c r="AX330" s="386">
        <v>0</v>
      </c>
      <c r="AY330" s="551">
        <v>0</v>
      </c>
      <c r="AZ330" s="551">
        <v>0</v>
      </c>
      <c r="BA330" s="551">
        <v>0</v>
      </c>
      <c r="BB330" s="832">
        <v>0</v>
      </c>
      <c r="BC330" s="386">
        <v>0.83</v>
      </c>
      <c r="BD330" s="386">
        <v>1.1599999999999999</v>
      </c>
      <c r="BE330" s="551">
        <v>0</v>
      </c>
      <c r="BF330" s="386">
        <v>0.99</v>
      </c>
      <c r="BG330" s="386">
        <v>2.14</v>
      </c>
      <c r="BH330" s="551">
        <v>0</v>
      </c>
      <c r="BI330" s="386">
        <v>0.8</v>
      </c>
      <c r="BJ330" s="386">
        <v>24.1</v>
      </c>
      <c r="BK330" s="386">
        <v>2.25</v>
      </c>
      <c r="BL330" s="386">
        <v>4.12</v>
      </c>
      <c r="BM330" s="386">
        <v>0</v>
      </c>
      <c r="BN330" s="386">
        <v>17.8</v>
      </c>
      <c r="BO330" s="386">
        <v>1539.7</v>
      </c>
      <c r="BP330" s="386">
        <v>2.1</v>
      </c>
      <c r="BQ330" s="615">
        <v>20.239999999999998</v>
      </c>
      <c r="BR330" s="615">
        <v>21.06</v>
      </c>
      <c r="BS330" s="615">
        <v>12.71</v>
      </c>
      <c r="BT330" s="615">
        <v>12.83</v>
      </c>
      <c r="BU330" s="614">
        <v>26.5</v>
      </c>
      <c r="BV330" s="614">
        <v>29.8</v>
      </c>
      <c r="BW330" s="615">
        <v>738.9</v>
      </c>
      <c r="BX330" s="791"/>
      <c r="BY330" s="615">
        <v>0</v>
      </c>
      <c r="BZ330" s="615">
        <v>1.31</v>
      </c>
      <c r="CA330" s="615">
        <v>1.2</v>
      </c>
      <c r="CB330" s="615">
        <v>8.3000000000000007</v>
      </c>
      <c r="CC330" s="615">
        <v>8.1999999999999993</v>
      </c>
      <c r="CD330" s="615">
        <v>15.8</v>
      </c>
      <c r="CE330" s="615">
        <v>35</v>
      </c>
      <c r="CF330" s="615">
        <v>12.87</v>
      </c>
      <c r="CG330" s="615">
        <v>7.45</v>
      </c>
      <c r="CH330" s="615">
        <v>12.9</v>
      </c>
      <c r="CI330" s="615">
        <v>17.41</v>
      </c>
      <c r="CJ330" s="615">
        <v>13.3</v>
      </c>
      <c r="CK330" s="615">
        <v>476.3</v>
      </c>
      <c r="CL330" s="615">
        <v>1.9</v>
      </c>
      <c r="CM330" s="615">
        <v>3.3</v>
      </c>
      <c r="CN330" s="615">
        <v>189.7</v>
      </c>
      <c r="CO330" s="615">
        <v>406.2</v>
      </c>
      <c r="CP330" s="615">
        <v>0</v>
      </c>
      <c r="CQ330" s="615">
        <v>11.7</v>
      </c>
      <c r="CR330" s="615">
        <v>0.62</v>
      </c>
      <c r="CS330" s="386">
        <v>0</v>
      </c>
      <c r="CT330" s="386">
        <v>15.132999999999999</v>
      </c>
      <c r="CU330" s="386">
        <v>47</v>
      </c>
      <c r="CV330" s="499">
        <v>0</v>
      </c>
      <c r="CW330" s="499">
        <v>0</v>
      </c>
      <c r="CX330" s="499">
        <v>0</v>
      </c>
      <c r="CY330" s="499">
        <v>0</v>
      </c>
      <c r="CZ330" s="608">
        <v>866</v>
      </c>
      <c r="DA330" s="608">
        <v>1280</v>
      </c>
      <c r="DB330" s="608">
        <v>853</v>
      </c>
      <c r="DC330" s="609">
        <v>1077.97</v>
      </c>
      <c r="DD330" s="1153">
        <f t="shared" si="83"/>
        <v>-0.43000000000006366</v>
      </c>
      <c r="DE330" s="1154">
        <f t="shared" si="84"/>
        <v>0</v>
      </c>
      <c r="DF330" s="1154">
        <f t="shared" si="85"/>
        <v>743</v>
      </c>
      <c r="DG330" s="1154">
        <f t="shared" si="86"/>
        <v>1030</v>
      </c>
      <c r="DH330" s="1155" t="str">
        <f t="shared" si="87"/>
        <v>Palm</v>
      </c>
      <c r="DI330" s="1146">
        <f t="shared" si="88"/>
        <v>427</v>
      </c>
      <c r="DJ330" s="1146">
        <f t="shared" si="89"/>
        <v>0</v>
      </c>
      <c r="DK330" s="1154">
        <f t="shared" si="90"/>
        <v>0</v>
      </c>
      <c r="DL330" s="615"/>
      <c r="DM330" s="615"/>
      <c r="DN330" s="615"/>
      <c r="DO330" s="499"/>
      <c r="DP330" s="499"/>
      <c r="DQ330" s="499"/>
      <c r="DR330" s="499"/>
      <c r="DS330" s="499"/>
      <c r="DT330" s="499"/>
      <c r="DU330" s="499"/>
      <c r="DV330" s="499"/>
      <c r="DW330" s="499"/>
      <c r="DX330" s="499"/>
      <c r="DY330" s="499"/>
      <c r="DZ330" s="499"/>
      <c r="EA330" s="499"/>
      <c r="EB330" s="499"/>
      <c r="EC330" s="499"/>
      <c r="ED330" s="499"/>
      <c r="EE330" s="499"/>
      <c r="EF330" s="499"/>
      <c r="EG330" s="1147">
        <f t="shared" si="92"/>
        <v>11.5</v>
      </c>
      <c r="EH330" s="499">
        <v>0</v>
      </c>
      <c r="EI330" s="615">
        <v>3</v>
      </c>
      <c r="EJ330" s="615">
        <v>3</v>
      </c>
      <c r="EK330" s="615">
        <v>5.5</v>
      </c>
      <c r="EL330" s="499"/>
      <c r="EM330" s="499"/>
      <c r="EN330" s="499"/>
      <c r="EO330" s="499"/>
      <c r="EP330" s="499"/>
      <c r="EQ330" s="499"/>
      <c r="ER330" s="499"/>
      <c r="ES330" s="388"/>
      <c r="ET330" s="388"/>
      <c r="EV330" s="1167">
        <f t="shared" si="94"/>
        <v>17.790499999999998</v>
      </c>
    </row>
    <row r="331" spans="1:152" s="350" customFormat="1" ht="15" x14ac:dyDescent="0.25">
      <c r="A331" s="632" t="s">
        <v>9</v>
      </c>
      <c r="B331" s="662">
        <v>43057</v>
      </c>
      <c r="C331" s="1132" t="s">
        <v>904</v>
      </c>
      <c r="D331" s="609">
        <v>0</v>
      </c>
      <c r="E331" s="739">
        <v>0</v>
      </c>
      <c r="F331" s="739">
        <v>36.799999999999997</v>
      </c>
      <c r="G331" s="739">
        <v>1.3</v>
      </c>
      <c r="H331" s="609">
        <v>8.84</v>
      </c>
      <c r="I331" s="609">
        <v>15</v>
      </c>
      <c r="J331" s="609">
        <v>0</v>
      </c>
      <c r="K331" s="609">
        <v>5.96</v>
      </c>
      <c r="L331" s="741">
        <v>2.6399999999994179</v>
      </c>
      <c r="M331" s="609">
        <v>17.399999999999999</v>
      </c>
      <c r="N331" s="609">
        <v>1.33</v>
      </c>
      <c r="O331" s="609">
        <v>1.5420327677232932</v>
      </c>
      <c r="P331" s="609">
        <v>1.33</v>
      </c>
      <c r="Q331" s="609">
        <v>0.69729504490486038</v>
      </c>
      <c r="R331" s="609">
        <v>915.39985465116274</v>
      </c>
      <c r="S331" s="609">
        <v>8.2100000000000009</v>
      </c>
      <c r="T331" s="609">
        <v>8.1999999999999993</v>
      </c>
      <c r="U331" s="609">
        <v>0.68</v>
      </c>
      <c r="V331" s="784">
        <v>0.74</v>
      </c>
      <c r="W331" s="785">
        <v>43.7</v>
      </c>
      <c r="X331" s="786">
        <v>43.7</v>
      </c>
      <c r="Y331" s="738">
        <v>28.09</v>
      </c>
      <c r="Z331" s="739">
        <v>29.9</v>
      </c>
      <c r="AA331" s="739">
        <v>28.07</v>
      </c>
      <c r="AB331" s="739">
        <v>29.96</v>
      </c>
      <c r="AC331" s="1160">
        <f t="shared" si="80"/>
        <v>58.03</v>
      </c>
      <c r="AD331" s="1160">
        <f t="shared" si="81"/>
        <v>89.772409999999994</v>
      </c>
      <c r="AE331" s="1160">
        <f t="shared" si="82"/>
        <v>85.688330000000889</v>
      </c>
      <c r="AF331" s="723"/>
      <c r="AG331" s="1160">
        <f t="shared" si="93"/>
        <v>0</v>
      </c>
      <c r="AH331" s="656"/>
      <c r="AI331" s="656"/>
      <c r="AJ331" s="632"/>
      <c r="AK331" s="388"/>
      <c r="AL331" s="388"/>
      <c r="AM331" s="388"/>
      <c r="AN331" s="388"/>
      <c r="AO331" s="370"/>
      <c r="AP331" s="370"/>
      <c r="AQ331" s="386"/>
      <c r="AR331" s="551">
        <v>0</v>
      </c>
      <c r="AS331" s="386">
        <v>14.9</v>
      </c>
      <c r="AT331" s="386">
        <v>0</v>
      </c>
      <c r="AU331" s="386">
        <v>26</v>
      </c>
      <c r="AV331" s="636">
        <v>249.8</v>
      </c>
      <c r="AW331" s="636">
        <v>252.8</v>
      </c>
      <c r="AX331" s="386">
        <v>0</v>
      </c>
      <c r="AY331" s="551">
        <v>0</v>
      </c>
      <c r="AZ331" s="551">
        <v>0</v>
      </c>
      <c r="BA331" s="551">
        <v>0</v>
      </c>
      <c r="BB331" s="832">
        <v>0</v>
      </c>
      <c r="BC331" s="386">
        <v>1</v>
      </c>
      <c r="BD331" s="386">
        <v>1</v>
      </c>
      <c r="BE331" s="551">
        <v>0</v>
      </c>
      <c r="BF331" s="386">
        <v>0.99</v>
      </c>
      <c r="BG331" s="386">
        <v>1.74</v>
      </c>
      <c r="BH331" s="551">
        <v>0</v>
      </c>
      <c r="BI331" s="386">
        <v>0.99</v>
      </c>
      <c r="BJ331" s="386">
        <v>24.3</v>
      </c>
      <c r="BK331" s="386">
        <v>2.5299999999999998</v>
      </c>
      <c r="BL331" s="386">
        <v>4.07</v>
      </c>
      <c r="BM331" s="386">
        <v>0</v>
      </c>
      <c r="BN331" s="386">
        <v>17.8</v>
      </c>
      <c r="BO331" s="386">
        <v>1157.5</v>
      </c>
      <c r="BP331" s="386">
        <v>2</v>
      </c>
      <c r="BQ331" s="615">
        <v>20.51</v>
      </c>
      <c r="BR331" s="615">
        <v>21.4</v>
      </c>
      <c r="BS331" s="615">
        <v>12.69</v>
      </c>
      <c r="BT331" s="615">
        <v>12.8</v>
      </c>
      <c r="BU331" s="614">
        <v>26.5</v>
      </c>
      <c r="BV331" s="614">
        <v>30.6</v>
      </c>
      <c r="BW331" s="615">
        <v>602.20000000000005</v>
      </c>
      <c r="BX331" s="791"/>
      <c r="BY331" s="615">
        <v>0</v>
      </c>
      <c r="BZ331" s="615">
        <v>1.32</v>
      </c>
      <c r="CA331" s="615">
        <v>1.2</v>
      </c>
      <c r="CB331" s="615">
        <v>8.3000000000000007</v>
      </c>
      <c r="CC331" s="615">
        <v>8.1999999999999993</v>
      </c>
      <c r="CD331" s="615">
        <v>15.1</v>
      </c>
      <c r="CE331" s="615">
        <v>35</v>
      </c>
      <c r="CF331" s="615">
        <v>12.3</v>
      </c>
      <c r="CG331" s="615">
        <v>7.8</v>
      </c>
      <c r="CH331" s="615">
        <v>13.5</v>
      </c>
      <c r="CI331" s="615">
        <v>17.489999999999998</v>
      </c>
      <c r="CJ331" s="615">
        <v>12.32</v>
      </c>
      <c r="CK331" s="615">
        <v>493.1</v>
      </c>
      <c r="CL331" s="615">
        <v>2</v>
      </c>
      <c r="CM331" s="615">
        <v>3.7</v>
      </c>
      <c r="CN331" s="615">
        <v>263</v>
      </c>
      <c r="CO331" s="615">
        <v>431.4</v>
      </c>
      <c r="CP331" s="615">
        <v>0</v>
      </c>
      <c r="CQ331" s="615">
        <v>12.2</v>
      </c>
      <c r="CR331" s="615">
        <v>0.71</v>
      </c>
      <c r="CS331" s="386">
        <v>0</v>
      </c>
      <c r="CT331" s="386">
        <v>16.388000000000002</v>
      </c>
      <c r="CU331" s="386">
        <v>47</v>
      </c>
      <c r="CV331" s="499">
        <v>0</v>
      </c>
      <c r="CW331" s="499">
        <v>0</v>
      </c>
      <c r="CX331" s="499">
        <v>0</v>
      </c>
      <c r="CY331" s="499">
        <v>0</v>
      </c>
      <c r="CZ331" s="608">
        <v>842</v>
      </c>
      <c r="DA331" s="608">
        <v>1200</v>
      </c>
      <c r="DB331" s="608">
        <v>842</v>
      </c>
      <c r="DC331" s="609">
        <v>1075.98</v>
      </c>
      <c r="DD331" s="1153">
        <f t="shared" si="83"/>
        <v>-1.9900000000000091</v>
      </c>
      <c r="DE331" s="1154">
        <f t="shared" si="84"/>
        <v>0</v>
      </c>
      <c r="DF331" s="1154">
        <f t="shared" si="85"/>
        <v>732</v>
      </c>
      <c r="DG331" s="1154">
        <f t="shared" si="86"/>
        <v>950</v>
      </c>
      <c r="DH331" s="1155" t="str">
        <f t="shared" si="87"/>
        <v>Palm</v>
      </c>
      <c r="DI331" s="1146">
        <f t="shared" si="88"/>
        <v>358</v>
      </c>
      <c r="DJ331" s="1146">
        <f t="shared" si="89"/>
        <v>0</v>
      </c>
      <c r="DK331" s="1154">
        <f t="shared" si="90"/>
        <v>0</v>
      </c>
      <c r="DL331" s="615"/>
      <c r="DM331" s="615"/>
      <c r="DN331" s="615"/>
      <c r="DO331" s="499"/>
      <c r="DP331" s="499"/>
      <c r="DQ331" s="499"/>
      <c r="DR331" s="499"/>
      <c r="DS331" s="499"/>
      <c r="DT331" s="499"/>
      <c r="DU331" s="499"/>
      <c r="DV331" s="499"/>
      <c r="DW331" s="499"/>
      <c r="DX331" s="499"/>
      <c r="DY331" s="499"/>
      <c r="DZ331" s="499"/>
      <c r="EA331" s="499"/>
      <c r="EB331" s="499"/>
      <c r="EC331" s="499"/>
      <c r="ED331" s="499"/>
      <c r="EE331" s="499"/>
      <c r="EF331" s="499"/>
      <c r="EG331" s="1147">
        <f t="shared" si="92"/>
        <v>11.5</v>
      </c>
      <c r="EH331" s="499">
        <v>0</v>
      </c>
      <c r="EI331" s="615">
        <v>3</v>
      </c>
      <c r="EJ331" s="615">
        <v>3</v>
      </c>
      <c r="EK331" s="615">
        <v>5.5</v>
      </c>
      <c r="EL331" s="499"/>
      <c r="EM331" s="499"/>
      <c r="EN331" s="499"/>
      <c r="EO331" s="499"/>
      <c r="EP331" s="499"/>
      <c r="EQ331" s="499"/>
      <c r="ER331" s="499"/>
      <c r="ES331" s="388"/>
      <c r="ET331" s="388"/>
      <c r="EV331" s="1167">
        <f t="shared" si="94"/>
        <v>17.790499999999998</v>
      </c>
    </row>
    <row r="332" spans="1:152" s="350" customFormat="1" ht="15" x14ac:dyDescent="0.25">
      <c r="A332" s="632" t="s">
        <v>3</v>
      </c>
      <c r="B332" s="662">
        <v>43058</v>
      </c>
      <c r="C332" s="1132" t="s">
        <v>904</v>
      </c>
      <c r="D332" s="609">
        <v>0.73</v>
      </c>
      <c r="E332" s="739">
        <v>0</v>
      </c>
      <c r="F332" s="739">
        <v>41</v>
      </c>
      <c r="G332" s="739">
        <v>1.1499999999999999</v>
      </c>
      <c r="H332" s="609">
        <v>7.53</v>
      </c>
      <c r="I332" s="609">
        <v>14.6</v>
      </c>
      <c r="J332" s="609">
        <v>0</v>
      </c>
      <c r="K332" s="609">
        <v>8.19</v>
      </c>
      <c r="L332" s="741">
        <v>27.290000000000873</v>
      </c>
      <c r="M332" s="609">
        <v>15.5</v>
      </c>
      <c r="N332" s="609">
        <v>1.31</v>
      </c>
      <c r="O332" s="609">
        <v>1.5365816011528963</v>
      </c>
      <c r="P332" s="609">
        <v>1.32</v>
      </c>
      <c r="Q332" s="609">
        <v>0.70346901144898522</v>
      </c>
      <c r="R332" s="609">
        <v>893.06489825581389</v>
      </c>
      <c r="S332" s="609">
        <v>8.27</v>
      </c>
      <c r="T332" s="609">
        <v>8.2799999999999994</v>
      </c>
      <c r="U332" s="609">
        <v>0.66</v>
      </c>
      <c r="V332" s="784">
        <v>0.77</v>
      </c>
      <c r="W332" s="785">
        <v>43.7</v>
      </c>
      <c r="X332" s="786">
        <v>43.88000000000001</v>
      </c>
      <c r="Y332" s="738">
        <v>28.07</v>
      </c>
      <c r="Z332" s="739">
        <v>29.96</v>
      </c>
      <c r="AA332" s="739">
        <v>28.1</v>
      </c>
      <c r="AB332" s="739">
        <v>30</v>
      </c>
      <c r="AC332" s="1160">
        <f t="shared" ref="AC332:AC381" si="95">AA332+AB332</f>
        <v>58.1</v>
      </c>
      <c r="AD332" s="1160">
        <f t="shared" ref="AD332:AD381" si="96">AC332*1.547</f>
        <v>89.880700000000004</v>
      </c>
      <c r="AE332" s="1160">
        <f t="shared" ref="AE332:AE381" si="97">AD332-(L332*1.547)</f>
        <v>47.663069999998655</v>
      </c>
      <c r="AF332" s="723"/>
      <c r="AG332" s="1160">
        <f t="shared" si="93"/>
        <v>0</v>
      </c>
      <c r="AH332" s="656"/>
      <c r="AI332" s="656"/>
      <c r="AJ332" s="632"/>
      <c r="AK332" s="388"/>
      <c r="AL332" s="388"/>
      <c r="AM332" s="388"/>
      <c r="AN332" s="388"/>
      <c r="AO332" s="370"/>
      <c r="AP332" s="370"/>
      <c r="AQ332" s="386"/>
      <c r="AR332" s="551">
        <v>0</v>
      </c>
      <c r="AS332" s="386">
        <v>19.899999999999999</v>
      </c>
      <c r="AT332" s="386">
        <v>0</v>
      </c>
      <c r="AU332" s="386">
        <v>26.1</v>
      </c>
      <c r="AV332" s="636">
        <v>608.70000000000005</v>
      </c>
      <c r="AW332" s="636">
        <v>412.9</v>
      </c>
      <c r="AX332" s="386">
        <v>0</v>
      </c>
      <c r="AY332" s="551">
        <v>0</v>
      </c>
      <c r="AZ332" s="551">
        <v>0</v>
      </c>
      <c r="BA332" s="551">
        <v>0</v>
      </c>
      <c r="BB332" s="832">
        <v>0</v>
      </c>
      <c r="BC332" s="386">
        <v>1</v>
      </c>
      <c r="BD332" s="386">
        <v>1</v>
      </c>
      <c r="BE332" s="551">
        <v>0</v>
      </c>
      <c r="BF332" s="386">
        <v>0.99</v>
      </c>
      <c r="BG332" s="386">
        <v>1.79</v>
      </c>
      <c r="BH332" s="551">
        <v>0</v>
      </c>
      <c r="BI332" s="386">
        <v>1</v>
      </c>
      <c r="BJ332" s="386">
        <v>24.3</v>
      </c>
      <c r="BK332" s="386">
        <v>1.8</v>
      </c>
      <c r="BL332" s="386">
        <v>4.0599999999999996</v>
      </c>
      <c r="BM332" s="386">
        <v>0</v>
      </c>
      <c r="BN332" s="386">
        <v>18.600000000000001</v>
      </c>
      <c r="BO332" s="386">
        <v>1164</v>
      </c>
      <c r="BP332" s="386">
        <v>2</v>
      </c>
      <c r="BQ332" s="615">
        <v>19.37</v>
      </c>
      <c r="BR332" s="615">
        <v>20.25</v>
      </c>
      <c r="BS332" s="615">
        <v>12.47</v>
      </c>
      <c r="BT332" s="615">
        <v>12.56</v>
      </c>
      <c r="BU332" s="614">
        <v>26</v>
      </c>
      <c r="BV332" s="614">
        <v>34.700000000000003</v>
      </c>
      <c r="BW332" s="615">
        <v>803.6</v>
      </c>
      <c r="BX332" s="791"/>
      <c r="BY332" s="615">
        <v>0</v>
      </c>
      <c r="BZ332" s="615">
        <v>1.31</v>
      </c>
      <c r="CA332" s="615">
        <v>1.2</v>
      </c>
      <c r="CB332" s="615">
        <v>8.3000000000000007</v>
      </c>
      <c r="CC332" s="615">
        <v>8.1</v>
      </c>
      <c r="CD332" s="615">
        <v>15.8</v>
      </c>
      <c r="CE332" s="615">
        <v>35.1</v>
      </c>
      <c r="CF332" s="615">
        <v>14.6</v>
      </c>
      <c r="CG332" s="615">
        <v>7.7</v>
      </c>
      <c r="CH332" s="615">
        <v>13.4</v>
      </c>
      <c r="CI332" s="615">
        <v>17.399999999999999</v>
      </c>
      <c r="CJ332" s="615">
        <v>12.93</v>
      </c>
      <c r="CK332" s="615">
        <v>510.4</v>
      </c>
      <c r="CL332" s="615">
        <v>2.2999999999999998</v>
      </c>
      <c r="CM332" s="615">
        <v>3</v>
      </c>
      <c r="CN332" s="615">
        <v>352.7</v>
      </c>
      <c r="CO332" s="615">
        <v>445.2</v>
      </c>
      <c r="CP332" s="615">
        <v>0</v>
      </c>
      <c r="CQ332" s="615">
        <v>12</v>
      </c>
      <c r="CR332" s="615">
        <v>0.74</v>
      </c>
      <c r="CS332" s="386">
        <v>0</v>
      </c>
      <c r="CT332" s="386">
        <v>15.504</v>
      </c>
      <c r="CU332" s="386">
        <v>47</v>
      </c>
      <c r="CV332" s="499">
        <v>0</v>
      </c>
      <c r="CW332" s="499">
        <v>0</v>
      </c>
      <c r="CX332" s="499">
        <v>0</v>
      </c>
      <c r="CY332" s="499">
        <v>0</v>
      </c>
      <c r="CZ332" s="608">
        <v>600</v>
      </c>
      <c r="DA332" s="608">
        <v>1030</v>
      </c>
      <c r="DB332" s="608">
        <v>616</v>
      </c>
      <c r="DC332" s="609">
        <v>1077.74</v>
      </c>
      <c r="DD332" s="1153">
        <f t="shared" si="83"/>
        <v>1.7599999999999909</v>
      </c>
      <c r="DE332" s="1154">
        <f t="shared" si="84"/>
        <v>0</v>
      </c>
      <c r="DF332" s="1154">
        <f t="shared" si="85"/>
        <v>506</v>
      </c>
      <c r="DG332" s="1154">
        <f t="shared" si="86"/>
        <v>780</v>
      </c>
      <c r="DH332" s="1155" t="str">
        <f t="shared" si="87"/>
        <v>Palm</v>
      </c>
      <c r="DI332" s="1146">
        <f t="shared" si="88"/>
        <v>414</v>
      </c>
      <c r="DJ332" s="1146">
        <f t="shared" si="89"/>
        <v>0</v>
      </c>
      <c r="DK332" s="1154">
        <f t="shared" si="90"/>
        <v>0</v>
      </c>
      <c r="DL332" s="615"/>
      <c r="DM332" s="615"/>
      <c r="DN332" s="615"/>
      <c r="DO332" s="499"/>
      <c r="DP332" s="499"/>
      <c r="DQ332" s="499"/>
      <c r="DR332" s="499"/>
      <c r="DS332" s="499"/>
      <c r="DT332" s="499"/>
      <c r="DU332" s="499"/>
      <c r="DV332" s="499"/>
      <c r="DW332" s="499"/>
      <c r="DX332" s="499"/>
      <c r="DY332" s="499"/>
      <c r="DZ332" s="499"/>
      <c r="EA332" s="499"/>
      <c r="EB332" s="499"/>
      <c r="EC332" s="499"/>
      <c r="ED332" s="499"/>
      <c r="EE332" s="499"/>
      <c r="EF332" s="499"/>
      <c r="EG332" s="1147">
        <f t="shared" si="92"/>
        <v>11.5</v>
      </c>
      <c r="EH332" s="499">
        <v>0</v>
      </c>
      <c r="EI332" s="615">
        <v>3</v>
      </c>
      <c r="EJ332" s="615">
        <v>3</v>
      </c>
      <c r="EK332" s="615">
        <v>5.5</v>
      </c>
      <c r="EL332" s="499"/>
      <c r="EM332" s="499"/>
      <c r="EN332" s="499"/>
      <c r="EO332" s="499"/>
      <c r="EP332" s="499"/>
      <c r="EQ332" s="499"/>
      <c r="ER332" s="499"/>
      <c r="ES332" s="388"/>
      <c r="ET332" s="388"/>
      <c r="EV332" s="1167">
        <f t="shared" si="94"/>
        <v>17.790499999999998</v>
      </c>
    </row>
    <row r="333" spans="1:152" s="350" customFormat="1" ht="15" x14ac:dyDescent="0.25">
      <c r="A333" s="632" t="s">
        <v>4</v>
      </c>
      <c r="B333" s="662">
        <v>43059</v>
      </c>
      <c r="C333" s="1132" t="s">
        <v>904</v>
      </c>
      <c r="D333" s="609">
        <v>0.85</v>
      </c>
      <c r="E333" s="739">
        <v>40.200000000000003</v>
      </c>
      <c r="F333" s="739">
        <v>41</v>
      </c>
      <c r="G333" s="739">
        <v>3.9</v>
      </c>
      <c r="H333" s="609">
        <v>9.6</v>
      </c>
      <c r="I333" s="609">
        <v>14.6</v>
      </c>
      <c r="J333" s="609">
        <v>0</v>
      </c>
      <c r="K333" s="609">
        <v>19.47</v>
      </c>
      <c r="L333" s="741">
        <v>0</v>
      </c>
      <c r="M333" s="609">
        <v>13.7</v>
      </c>
      <c r="N333" s="609">
        <v>1.19</v>
      </c>
      <c r="O333" s="609">
        <v>1.5025721417260731</v>
      </c>
      <c r="P333" s="609">
        <v>1.2210000000000001</v>
      </c>
      <c r="Q333" s="609">
        <v>0.67718076476337397</v>
      </c>
      <c r="R333" s="609">
        <v>886.39774709302321</v>
      </c>
      <c r="S333" s="609">
        <v>8.07</v>
      </c>
      <c r="T333" s="609">
        <v>7.91</v>
      </c>
      <c r="U333" s="609">
        <v>0.69399999999999995</v>
      </c>
      <c r="V333" s="784">
        <v>0.67200000000000004</v>
      </c>
      <c r="W333" s="785">
        <v>44.78</v>
      </c>
      <c r="X333" s="786">
        <v>44.78</v>
      </c>
      <c r="Y333" s="738">
        <v>28.1</v>
      </c>
      <c r="Z333" s="739">
        <v>29.9</v>
      </c>
      <c r="AA333" s="739">
        <v>28.02</v>
      </c>
      <c r="AB333" s="739">
        <v>29.99</v>
      </c>
      <c r="AC333" s="1160">
        <f t="shared" si="95"/>
        <v>58.01</v>
      </c>
      <c r="AD333" s="1160">
        <f t="shared" si="96"/>
        <v>89.741469999999993</v>
      </c>
      <c r="AE333" s="1160">
        <f t="shared" si="97"/>
        <v>89.741469999999993</v>
      </c>
      <c r="AF333" s="723"/>
      <c r="AG333" s="1160">
        <f t="shared" si="93"/>
        <v>0</v>
      </c>
      <c r="AH333" s="656"/>
      <c r="AI333" s="656"/>
      <c r="AJ333" s="632"/>
      <c r="AK333" s="388"/>
      <c r="AL333" s="388"/>
      <c r="AM333" s="388"/>
      <c r="AN333" s="388"/>
      <c r="AO333" s="370"/>
      <c r="AP333" s="370"/>
      <c r="AQ333" s="386"/>
      <c r="AR333" s="551">
        <v>0</v>
      </c>
      <c r="AS333" s="386">
        <v>22.4</v>
      </c>
      <c r="AT333" s="386">
        <v>0</v>
      </c>
      <c r="AU333" s="386">
        <v>26.1</v>
      </c>
      <c r="AV333" s="636">
        <v>238.5</v>
      </c>
      <c r="AW333" s="636">
        <v>275</v>
      </c>
      <c r="AX333" s="386">
        <v>0</v>
      </c>
      <c r="AY333" s="551">
        <v>0</v>
      </c>
      <c r="AZ333" s="551">
        <v>0</v>
      </c>
      <c r="BA333" s="551">
        <v>0</v>
      </c>
      <c r="BB333" s="832">
        <v>0</v>
      </c>
      <c r="BC333" s="386">
        <v>1</v>
      </c>
      <c r="BD333" s="386">
        <v>1</v>
      </c>
      <c r="BE333" s="551">
        <v>0</v>
      </c>
      <c r="BF333" s="386">
        <v>0.99</v>
      </c>
      <c r="BG333" s="386">
        <v>2.0499999999999998</v>
      </c>
      <c r="BH333" s="551">
        <v>0</v>
      </c>
      <c r="BI333" s="386">
        <v>0.79</v>
      </c>
      <c r="BJ333" s="386">
        <v>24.1</v>
      </c>
      <c r="BK333" s="386">
        <v>1.77</v>
      </c>
      <c r="BL333" s="386">
        <v>4.0599999999999996</v>
      </c>
      <c r="BM333" s="386">
        <v>0</v>
      </c>
      <c r="BN333" s="386">
        <v>18.399999999999999</v>
      </c>
      <c r="BO333" s="386">
        <v>1022.1</v>
      </c>
      <c r="BP333" s="386">
        <v>2</v>
      </c>
      <c r="BQ333" s="615">
        <v>19.62</v>
      </c>
      <c r="BR333" s="615">
        <v>20.43</v>
      </c>
      <c r="BS333" s="615">
        <v>12.78</v>
      </c>
      <c r="BT333" s="615">
        <v>12.62</v>
      </c>
      <c r="BU333" s="614">
        <v>26.4</v>
      </c>
      <c r="BV333" s="614">
        <v>32.5</v>
      </c>
      <c r="BW333" s="615">
        <v>627.29999999999995</v>
      </c>
      <c r="BX333" s="791"/>
      <c r="BY333" s="615">
        <v>0</v>
      </c>
      <c r="BZ333" s="615">
        <v>1.32</v>
      </c>
      <c r="CA333" s="615">
        <v>1.2</v>
      </c>
      <c r="CB333" s="615">
        <v>8.4</v>
      </c>
      <c r="CC333" s="615">
        <v>8.1999999999999993</v>
      </c>
      <c r="CD333" s="615">
        <v>16.2</v>
      </c>
      <c r="CE333" s="615">
        <v>35</v>
      </c>
      <c r="CF333" s="615">
        <v>13.6</v>
      </c>
      <c r="CG333" s="615">
        <v>7.5</v>
      </c>
      <c r="CH333" s="615">
        <v>13.2</v>
      </c>
      <c r="CI333" s="615">
        <v>17.2</v>
      </c>
      <c r="CJ333" s="615">
        <v>13.27</v>
      </c>
      <c r="CK333" s="615">
        <v>497.2</v>
      </c>
      <c r="CL333" s="615">
        <v>2.2999999999999998</v>
      </c>
      <c r="CM333" s="615">
        <v>3.2</v>
      </c>
      <c r="CN333" s="615">
        <v>205.7</v>
      </c>
      <c r="CO333" s="615">
        <v>425.3</v>
      </c>
      <c r="CP333" s="615">
        <v>0</v>
      </c>
      <c r="CQ333" s="615">
        <v>11.8</v>
      </c>
      <c r="CR333" s="615">
        <v>0.77</v>
      </c>
      <c r="CS333" s="386">
        <v>0</v>
      </c>
      <c r="CT333" s="386">
        <v>15.292999999999999</v>
      </c>
      <c r="CU333" s="386">
        <v>47</v>
      </c>
      <c r="CV333" s="499">
        <v>0</v>
      </c>
      <c r="CW333" s="499">
        <v>0</v>
      </c>
      <c r="CX333" s="499">
        <v>0</v>
      </c>
      <c r="CY333" s="499">
        <v>0</v>
      </c>
      <c r="CZ333" s="608">
        <v>4350</v>
      </c>
      <c r="DA333" s="608">
        <v>3330</v>
      </c>
      <c r="DB333" s="608">
        <v>4450</v>
      </c>
      <c r="DC333" s="609">
        <v>1094.05</v>
      </c>
      <c r="DD333" s="1153">
        <f t="shared" si="83"/>
        <v>16.309999999999945</v>
      </c>
      <c r="DE333" s="1154">
        <f t="shared" si="84"/>
        <v>0</v>
      </c>
      <c r="DF333" s="1154">
        <f t="shared" si="85"/>
        <v>4340</v>
      </c>
      <c r="DG333" s="1154">
        <f t="shared" si="86"/>
        <v>3080</v>
      </c>
      <c r="DH333" s="1155" t="str">
        <f t="shared" si="87"/>
        <v>Aub</v>
      </c>
      <c r="DI333" s="1146">
        <f t="shared" si="88"/>
        <v>-1120</v>
      </c>
      <c r="DJ333" s="1146">
        <f t="shared" si="89"/>
        <v>0</v>
      </c>
      <c r="DK333" s="1154">
        <f t="shared" si="90"/>
        <v>0</v>
      </c>
      <c r="DL333" s="615"/>
      <c r="DM333" s="615"/>
      <c r="DN333" s="615"/>
      <c r="DO333" s="499"/>
      <c r="DP333" s="499"/>
      <c r="DQ333" s="499"/>
      <c r="DR333" s="499"/>
      <c r="DS333" s="499"/>
      <c r="DT333" s="499"/>
      <c r="DU333" s="499"/>
      <c r="DV333" s="499"/>
      <c r="DW333" s="499"/>
      <c r="DX333" s="499"/>
      <c r="DY333" s="499"/>
      <c r="DZ333" s="499"/>
      <c r="EA333" s="499"/>
      <c r="EB333" s="499"/>
      <c r="EC333" s="499"/>
      <c r="ED333" s="499"/>
      <c r="EE333" s="499"/>
      <c r="EF333" s="499"/>
      <c r="EG333" s="1147">
        <f t="shared" si="92"/>
        <v>11.5</v>
      </c>
      <c r="EH333" s="499">
        <v>0</v>
      </c>
      <c r="EI333" s="615">
        <v>3</v>
      </c>
      <c r="EJ333" s="615">
        <v>3</v>
      </c>
      <c r="EK333" s="615">
        <v>5.5</v>
      </c>
      <c r="EL333" s="499"/>
      <c r="EM333" s="499"/>
      <c r="EN333" s="499"/>
      <c r="EO333" s="499"/>
      <c r="EP333" s="499"/>
      <c r="EQ333" s="499"/>
      <c r="ER333" s="499"/>
      <c r="ES333" s="388"/>
      <c r="ET333" s="388"/>
      <c r="EV333" s="1167">
        <f t="shared" si="94"/>
        <v>17.790499999999998</v>
      </c>
    </row>
    <row r="334" spans="1:152" s="350" customFormat="1" ht="15" x14ac:dyDescent="0.25">
      <c r="A334" s="632" t="s">
        <v>5</v>
      </c>
      <c r="B334" s="662">
        <v>43060</v>
      </c>
      <c r="C334" s="1132" t="s">
        <v>904</v>
      </c>
      <c r="D334" s="609">
        <v>1.39</v>
      </c>
      <c r="E334" s="739" t="s">
        <v>10</v>
      </c>
      <c r="F334" s="739">
        <v>47</v>
      </c>
      <c r="G334" s="739">
        <v>3.9</v>
      </c>
      <c r="H334" s="609">
        <v>42.45</v>
      </c>
      <c r="I334" s="609">
        <v>13.6</v>
      </c>
      <c r="J334" s="609">
        <v>0</v>
      </c>
      <c r="K334" s="609">
        <v>20.28</v>
      </c>
      <c r="L334" s="741">
        <v>28.4</v>
      </c>
      <c r="M334" s="609">
        <v>15.8</v>
      </c>
      <c r="N334" s="609">
        <v>1.3360000000000001</v>
      </c>
      <c r="O334" s="609">
        <v>1.5087618735672927</v>
      </c>
      <c r="P334" s="609">
        <v>1.3260000000000001</v>
      </c>
      <c r="Q334" s="609">
        <v>0.6901005856603929</v>
      </c>
      <c r="R334" s="609">
        <v>883.39752906976753</v>
      </c>
      <c r="S334" s="609">
        <v>8.34</v>
      </c>
      <c r="T334" s="609">
        <v>8.35</v>
      </c>
      <c r="U334" s="609">
        <v>0.627</v>
      </c>
      <c r="V334" s="784">
        <v>0.71399999999999997</v>
      </c>
      <c r="W334" s="785">
        <v>44.960000000000008</v>
      </c>
      <c r="X334" s="786">
        <v>44.960000000000008</v>
      </c>
      <c r="Y334" s="738">
        <v>28.02</v>
      </c>
      <c r="Z334" s="739">
        <v>29.99</v>
      </c>
      <c r="AA334" s="739">
        <v>28.08</v>
      </c>
      <c r="AB334" s="739">
        <v>29.91</v>
      </c>
      <c r="AC334" s="1160">
        <f t="shared" si="95"/>
        <v>57.989999999999995</v>
      </c>
      <c r="AD334" s="1160">
        <f t="shared" si="96"/>
        <v>89.710529999999991</v>
      </c>
      <c r="AE334" s="1160">
        <f t="shared" si="97"/>
        <v>45.775729999999996</v>
      </c>
      <c r="AF334" s="723"/>
      <c r="AG334" s="1160">
        <f t="shared" si="93"/>
        <v>0</v>
      </c>
      <c r="AH334" s="656"/>
      <c r="AI334" s="656"/>
      <c r="AJ334" s="632"/>
      <c r="AK334" s="388"/>
      <c r="AL334" s="388"/>
      <c r="AM334" s="388"/>
      <c r="AN334" s="388"/>
      <c r="AO334" s="370"/>
      <c r="AP334" s="370"/>
      <c r="AQ334" s="386"/>
      <c r="AR334" s="551">
        <v>0</v>
      </c>
      <c r="AS334" s="386">
        <v>15.4</v>
      </c>
      <c r="AT334" s="386">
        <v>0</v>
      </c>
      <c r="AU334" s="386">
        <v>26.1</v>
      </c>
      <c r="AV334" s="636">
        <v>577.5</v>
      </c>
      <c r="AW334" s="636">
        <v>391.6</v>
      </c>
      <c r="AX334" s="386">
        <v>0</v>
      </c>
      <c r="AY334" s="551">
        <v>0</v>
      </c>
      <c r="AZ334" s="551">
        <v>0</v>
      </c>
      <c r="BA334" s="551">
        <v>0</v>
      </c>
      <c r="BB334" s="832">
        <v>0</v>
      </c>
      <c r="BC334" s="386">
        <v>1.1399999999999999</v>
      </c>
      <c r="BD334" s="386">
        <v>0.85</v>
      </c>
      <c r="BE334" s="551">
        <v>0</v>
      </c>
      <c r="BF334" s="386">
        <v>0.99</v>
      </c>
      <c r="BG334" s="386">
        <v>2.06</v>
      </c>
      <c r="BH334" s="551">
        <v>0</v>
      </c>
      <c r="BI334" s="386">
        <v>0.7</v>
      </c>
      <c r="BJ334" s="386">
        <v>24.2</v>
      </c>
      <c r="BK334" s="386">
        <v>1.85</v>
      </c>
      <c r="BL334" s="386">
        <v>4.0599999999999996</v>
      </c>
      <c r="BM334" s="386">
        <v>0</v>
      </c>
      <c r="BN334" s="386">
        <v>18.399999999999999</v>
      </c>
      <c r="BO334" s="386">
        <v>1184.5999999999999</v>
      </c>
      <c r="BP334" s="386">
        <v>2</v>
      </c>
      <c r="BQ334" s="615">
        <v>19.62</v>
      </c>
      <c r="BR334" s="615">
        <v>20.43</v>
      </c>
      <c r="BS334" s="615">
        <v>13.34</v>
      </c>
      <c r="BT334" s="615">
        <v>12</v>
      </c>
      <c r="BU334" s="614">
        <v>26.2</v>
      </c>
      <c r="BV334" s="614">
        <v>30.4</v>
      </c>
      <c r="BW334" s="615">
        <v>731.4</v>
      </c>
      <c r="BX334" s="791"/>
      <c r="BY334" s="615">
        <v>0</v>
      </c>
      <c r="BZ334" s="615">
        <v>1.32</v>
      </c>
      <c r="CA334" s="615">
        <v>1.3</v>
      </c>
      <c r="CB334" s="615">
        <v>8.3000000000000007</v>
      </c>
      <c r="CC334" s="615">
        <v>8.1999999999999993</v>
      </c>
      <c r="CD334" s="615">
        <v>16.79</v>
      </c>
      <c r="CE334" s="615">
        <v>35</v>
      </c>
      <c r="CF334" s="615">
        <v>12.7</v>
      </c>
      <c r="CG334" s="615">
        <v>7.9</v>
      </c>
      <c r="CH334" s="615">
        <v>13.6</v>
      </c>
      <c r="CI334" s="615">
        <v>17.600000000000001</v>
      </c>
      <c r="CJ334" s="615">
        <v>13.25</v>
      </c>
      <c r="CK334" s="615">
        <v>455.4</v>
      </c>
      <c r="CL334" s="615">
        <v>2.2999999999999998</v>
      </c>
      <c r="CM334" s="615">
        <v>3.1</v>
      </c>
      <c r="CN334" s="615">
        <v>226.3</v>
      </c>
      <c r="CO334" s="615">
        <v>430.5</v>
      </c>
      <c r="CP334" s="615">
        <v>0</v>
      </c>
      <c r="CQ334" s="615">
        <v>11</v>
      </c>
      <c r="CR334" s="615">
        <v>0.75</v>
      </c>
      <c r="CS334" s="386">
        <v>0</v>
      </c>
      <c r="CT334" s="386">
        <v>14.117000000000001</v>
      </c>
      <c r="CU334" s="386">
        <v>47</v>
      </c>
      <c r="CV334" s="499">
        <v>0</v>
      </c>
      <c r="CW334" s="499">
        <v>0</v>
      </c>
      <c r="CX334" s="499">
        <v>0</v>
      </c>
      <c r="CY334" s="499">
        <v>0</v>
      </c>
      <c r="CZ334" s="608">
        <v>4400</v>
      </c>
      <c r="DA334" s="608">
        <v>5330</v>
      </c>
      <c r="DB334" s="608">
        <v>4510</v>
      </c>
      <c r="DC334" s="609">
        <v>1087.8900000000001</v>
      </c>
      <c r="DD334" s="1153">
        <f t="shared" si="83"/>
        <v>-6.1599999999998545</v>
      </c>
      <c r="DE334" s="1154">
        <f t="shared" si="84"/>
        <v>0</v>
      </c>
      <c r="DF334" s="1154">
        <f t="shared" si="85"/>
        <v>4400</v>
      </c>
      <c r="DG334" s="1154">
        <f t="shared" si="86"/>
        <v>5080</v>
      </c>
      <c r="DH334" s="1155" t="str">
        <f t="shared" si="87"/>
        <v>Palm</v>
      </c>
      <c r="DI334" s="1146">
        <f t="shared" si="88"/>
        <v>820</v>
      </c>
      <c r="DJ334" s="1146">
        <f t="shared" si="89"/>
        <v>0</v>
      </c>
      <c r="DK334" s="1154">
        <f t="shared" si="90"/>
        <v>0</v>
      </c>
      <c r="DL334" s="615"/>
      <c r="DM334" s="615"/>
      <c r="DN334" s="615"/>
      <c r="DO334" s="499"/>
      <c r="DP334" s="499"/>
      <c r="DQ334" s="499"/>
      <c r="DR334" s="499"/>
      <c r="DS334" s="499"/>
      <c r="DT334" s="499"/>
      <c r="DU334" s="499"/>
      <c r="DV334" s="499"/>
      <c r="DW334" s="499"/>
      <c r="DX334" s="499"/>
      <c r="DY334" s="499"/>
      <c r="DZ334" s="499"/>
      <c r="EA334" s="499"/>
      <c r="EB334" s="499"/>
      <c r="EC334" s="499"/>
      <c r="ED334" s="499"/>
      <c r="EE334" s="499"/>
      <c r="EF334" s="499"/>
      <c r="EG334" s="1147">
        <f t="shared" si="92"/>
        <v>11.5</v>
      </c>
      <c r="EH334" s="499">
        <v>0</v>
      </c>
      <c r="EI334" s="615">
        <v>3</v>
      </c>
      <c r="EJ334" s="615">
        <v>3</v>
      </c>
      <c r="EK334" s="615">
        <v>5.5</v>
      </c>
      <c r="EL334" s="499"/>
      <c r="EM334" s="499"/>
      <c r="EN334" s="499"/>
      <c r="EO334" s="499"/>
      <c r="EP334" s="499"/>
      <c r="EQ334" s="499"/>
      <c r="ER334" s="499"/>
      <c r="ES334" s="388"/>
      <c r="ET334" s="388"/>
      <c r="EV334" s="1167">
        <f t="shared" si="94"/>
        <v>17.790499999999998</v>
      </c>
    </row>
    <row r="335" spans="1:152" s="350" customFormat="1" ht="15" x14ac:dyDescent="0.25">
      <c r="A335" s="632" t="s">
        <v>6</v>
      </c>
      <c r="B335" s="662">
        <v>43061</v>
      </c>
      <c r="C335" s="1132" t="s">
        <v>904</v>
      </c>
      <c r="D335" s="609">
        <v>0.2</v>
      </c>
      <c r="E335" s="739" t="s">
        <v>10</v>
      </c>
      <c r="F335" s="739">
        <v>55</v>
      </c>
      <c r="G335" s="739">
        <v>4.0999999999999996</v>
      </c>
      <c r="H335" s="609">
        <v>42.45</v>
      </c>
      <c r="I335" s="609">
        <v>10</v>
      </c>
      <c r="J335" s="609">
        <v>0</v>
      </c>
      <c r="K335" s="609">
        <v>23.35</v>
      </c>
      <c r="L335" s="741">
        <v>32.25</v>
      </c>
      <c r="M335" s="609">
        <v>15.5</v>
      </c>
      <c r="N335" s="609">
        <v>1.33</v>
      </c>
      <c r="O335" s="609">
        <v>1.5287127702978376</v>
      </c>
      <c r="P335" s="609">
        <v>1.35</v>
      </c>
      <c r="Q335" s="609">
        <v>0.69454928602894794</v>
      </c>
      <c r="R335" s="609">
        <v>897.06518895348836</v>
      </c>
      <c r="S335" s="609">
        <v>8.2899999999999991</v>
      </c>
      <c r="T335" s="609">
        <v>8.32</v>
      </c>
      <c r="U335" s="609">
        <v>0.71</v>
      </c>
      <c r="V335" s="784">
        <v>0.73</v>
      </c>
      <c r="W335" s="785">
        <v>44.960000000000008</v>
      </c>
      <c r="X335" s="786">
        <v>44.960000000000008</v>
      </c>
      <c r="Y335" s="738">
        <v>28.08</v>
      </c>
      <c r="Z335" s="739">
        <v>29.91</v>
      </c>
      <c r="AA335" s="739">
        <v>28.1</v>
      </c>
      <c r="AB335" s="739">
        <v>30</v>
      </c>
      <c r="AC335" s="1160">
        <f t="shared" si="95"/>
        <v>58.1</v>
      </c>
      <c r="AD335" s="1160">
        <f t="shared" si="96"/>
        <v>89.880700000000004</v>
      </c>
      <c r="AE335" s="1160">
        <f t="shared" si="97"/>
        <v>39.989950000000007</v>
      </c>
      <c r="AF335" s="723"/>
      <c r="AG335" s="1160">
        <f t="shared" si="93"/>
        <v>0</v>
      </c>
      <c r="AH335" s="656"/>
      <c r="AI335" s="656"/>
      <c r="AJ335" s="632"/>
      <c r="AK335" s="388"/>
      <c r="AL335" s="388"/>
      <c r="AM335" s="388"/>
      <c r="AN335" s="388"/>
      <c r="AO335" s="370"/>
      <c r="AP335" s="370"/>
      <c r="AQ335" s="386"/>
      <c r="AR335" s="551">
        <v>0</v>
      </c>
      <c r="AS335" s="386">
        <v>18.3</v>
      </c>
      <c r="AT335" s="386">
        <v>0</v>
      </c>
      <c r="AU335" s="386">
        <v>26.1</v>
      </c>
      <c r="AV335" s="636">
        <v>368.5</v>
      </c>
      <c r="AW335" s="636">
        <v>325.5</v>
      </c>
      <c r="AX335" s="386">
        <v>0</v>
      </c>
      <c r="AY335" s="551">
        <v>0</v>
      </c>
      <c r="AZ335" s="551">
        <v>0</v>
      </c>
      <c r="BA335" s="551">
        <v>0</v>
      </c>
      <c r="BB335" s="832">
        <v>0</v>
      </c>
      <c r="BC335" s="386">
        <v>0.99</v>
      </c>
      <c r="BD335" s="386">
        <v>1</v>
      </c>
      <c r="BE335" s="551">
        <v>0</v>
      </c>
      <c r="BF335" s="386">
        <v>0.99</v>
      </c>
      <c r="BG335" s="386">
        <v>2.15</v>
      </c>
      <c r="BH335" s="551">
        <v>0</v>
      </c>
      <c r="BI335" s="386">
        <v>0.8</v>
      </c>
      <c r="BJ335" s="386">
        <v>24.1</v>
      </c>
      <c r="BK335" s="386">
        <v>1.82</v>
      </c>
      <c r="BL335" s="386">
        <v>4.07</v>
      </c>
      <c r="BM335" s="386">
        <v>0</v>
      </c>
      <c r="BN335" s="386">
        <v>18.3</v>
      </c>
      <c r="BO335" s="386">
        <v>1113.2</v>
      </c>
      <c r="BP335" s="386">
        <v>0</v>
      </c>
      <c r="BQ335" s="615">
        <v>19.45</v>
      </c>
      <c r="BR335" s="615">
        <v>20.37</v>
      </c>
      <c r="BS335" s="615">
        <v>12.89</v>
      </c>
      <c r="BT335" s="615">
        <v>12.63</v>
      </c>
      <c r="BU335" s="614">
        <v>26.4</v>
      </c>
      <c r="BV335" s="614">
        <v>31</v>
      </c>
      <c r="BW335" s="615">
        <v>750.2</v>
      </c>
      <c r="BX335" s="791"/>
      <c r="BY335" s="615">
        <v>0</v>
      </c>
      <c r="BZ335" s="615">
        <v>1.32</v>
      </c>
      <c r="CA335" s="615">
        <v>1.3</v>
      </c>
      <c r="CB335" s="615">
        <v>8.4</v>
      </c>
      <c r="CC335" s="615">
        <v>8.1999999999999993</v>
      </c>
      <c r="CD335" s="615">
        <v>15.3</v>
      </c>
      <c r="CE335" s="615">
        <v>34.700000000000003</v>
      </c>
      <c r="CF335" s="615">
        <v>15.2</v>
      </c>
      <c r="CG335" s="615">
        <v>7.4</v>
      </c>
      <c r="CH335" s="615">
        <v>13</v>
      </c>
      <c r="CI335" s="615">
        <v>17</v>
      </c>
      <c r="CJ335" s="615">
        <v>12.5</v>
      </c>
      <c r="CK335" s="615">
        <v>450.5</v>
      </c>
      <c r="CL335" s="615">
        <v>1.6</v>
      </c>
      <c r="CM335" s="615">
        <v>3.5</v>
      </c>
      <c r="CN335" s="615">
        <v>259.7</v>
      </c>
      <c r="CO335" s="615">
        <v>480.6</v>
      </c>
      <c r="CP335" s="615">
        <v>0</v>
      </c>
      <c r="CQ335" s="615">
        <v>11.4</v>
      </c>
      <c r="CR335" s="615">
        <v>0.77</v>
      </c>
      <c r="CS335" s="386">
        <v>0</v>
      </c>
      <c r="CT335" s="386">
        <v>14.988</v>
      </c>
      <c r="CU335" s="386">
        <v>47</v>
      </c>
      <c r="CV335" s="499">
        <v>0</v>
      </c>
      <c r="CW335" s="499">
        <v>0</v>
      </c>
      <c r="CX335" s="499">
        <v>0</v>
      </c>
      <c r="CY335" s="499">
        <v>0</v>
      </c>
      <c r="CZ335" s="608">
        <v>4700</v>
      </c>
      <c r="DA335" s="608">
        <v>5670</v>
      </c>
      <c r="DB335" s="608">
        <v>4770</v>
      </c>
      <c r="DC335" s="608">
        <v>1086.8</v>
      </c>
      <c r="DD335" s="1153">
        <f t="shared" ref="DD335:DD381" si="98">DC335-DC334</f>
        <v>-1.0900000000001455</v>
      </c>
      <c r="DE335" s="1154">
        <f t="shared" ref="DE335:DE381" si="99">(CS335*1440/1000000)*3.068</f>
        <v>0</v>
      </c>
      <c r="DF335" s="1154">
        <f t="shared" ref="DF335:DF381" si="100">DB335-110</f>
        <v>4660</v>
      </c>
      <c r="DG335" s="1154">
        <f t="shared" ref="DG335:DG381" si="101">DA335-250</f>
        <v>5420</v>
      </c>
      <c r="DH335" s="1155" t="str">
        <f t="shared" ref="DH335:DH381" si="102">IF(DG335&lt;DF335,"Aub","Palm")</f>
        <v>Palm</v>
      </c>
      <c r="DI335" s="1146">
        <f t="shared" ref="DI335:DI381" si="103">DA335-DB335</f>
        <v>900</v>
      </c>
      <c r="DJ335" s="1146">
        <f t="shared" ref="DJ335:DJ381" si="104">DK335/3.068</f>
        <v>0</v>
      </c>
      <c r="DK335" s="1154">
        <f t="shared" ref="DK335:DK381" si="105">(CS335*1440/1000000)*3.068</f>
        <v>0</v>
      </c>
      <c r="DL335" s="615"/>
      <c r="DM335" s="615"/>
      <c r="DN335" s="615"/>
      <c r="DO335" s="499"/>
      <c r="DP335" s="499"/>
      <c r="DQ335" s="499"/>
      <c r="DR335" s="499"/>
      <c r="DS335" s="499"/>
      <c r="DT335" s="499"/>
      <c r="DU335" s="499"/>
      <c r="DV335" s="499"/>
      <c r="DW335" s="499"/>
      <c r="DX335" s="499"/>
      <c r="DY335" s="499"/>
      <c r="DZ335" s="499"/>
      <c r="EA335" s="499"/>
      <c r="EB335" s="499"/>
      <c r="EC335" s="499"/>
      <c r="ED335" s="499"/>
      <c r="EE335" s="499"/>
      <c r="EF335" s="499"/>
      <c r="EG335" s="1147">
        <f t="shared" si="92"/>
        <v>11.5</v>
      </c>
      <c r="EH335" s="499">
        <v>0</v>
      </c>
      <c r="EI335" s="615">
        <v>3</v>
      </c>
      <c r="EJ335" s="615">
        <v>3</v>
      </c>
      <c r="EK335" s="615">
        <v>5.5</v>
      </c>
      <c r="EL335" s="499"/>
      <c r="EM335" s="499"/>
      <c r="EN335" s="499"/>
      <c r="EO335" s="499"/>
      <c r="EP335" s="499"/>
      <c r="EQ335" s="499"/>
      <c r="ER335" s="499"/>
      <c r="ES335" s="388"/>
      <c r="ET335" s="388"/>
      <c r="EV335" s="1167">
        <f t="shared" si="94"/>
        <v>17.790499999999998</v>
      </c>
    </row>
    <row r="336" spans="1:152" s="350" customFormat="1" ht="15" x14ac:dyDescent="0.25">
      <c r="A336" s="632" t="s">
        <v>7</v>
      </c>
      <c r="B336" s="662">
        <v>43062</v>
      </c>
      <c r="C336" s="1132" t="s">
        <v>904</v>
      </c>
      <c r="D336" s="609">
        <v>2.12</v>
      </c>
      <c r="E336" s="739" t="s">
        <v>10</v>
      </c>
      <c r="F336" s="739">
        <v>45</v>
      </c>
      <c r="G336" s="739">
        <v>4.7</v>
      </c>
      <c r="H336" s="609">
        <v>68.53</v>
      </c>
      <c r="I336" s="609">
        <v>10</v>
      </c>
      <c r="J336" s="609">
        <v>0</v>
      </c>
      <c r="K336" s="609">
        <v>13.06</v>
      </c>
      <c r="L336" s="741">
        <v>40.119999999998981</v>
      </c>
      <c r="M336" s="609">
        <v>14.3</v>
      </c>
      <c r="N336" s="609">
        <v>1.32</v>
      </c>
      <c r="O336" s="609">
        <v>1.5290799139578575</v>
      </c>
      <c r="P336" s="609">
        <v>1.31</v>
      </c>
      <c r="Q336" s="609">
        <v>0.6935494704789199</v>
      </c>
      <c r="R336" s="609">
        <v>901.39883720930243</v>
      </c>
      <c r="S336" s="609">
        <v>8.26</v>
      </c>
      <c r="T336" s="609">
        <v>8.2899999999999991</v>
      </c>
      <c r="U336" s="609">
        <v>0.73</v>
      </c>
      <c r="V336" s="784">
        <v>0.75</v>
      </c>
      <c r="W336" s="785">
        <v>45.860000000000014</v>
      </c>
      <c r="X336" s="786">
        <v>45.860000000000014</v>
      </c>
      <c r="Y336" s="738">
        <v>28.1</v>
      </c>
      <c r="Z336" s="739">
        <v>30</v>
      </c>
      <c r="AA336" s="739">
        <v>28.07</v>
      </c>
      <c r="AB336" s="739">
        <v>29.9</v>
      </c>
      <c r="AC336" s="1160">
        <f t="shared" si="95"/>
        <v>57.97</v>
      </c>
      <c r="AD336" s="1160">
        <f t="shared" si="96"/>
        <v>89.67958999999999</v>
      </c>
      <c r="AE336" s="1160">
        <f t="shared" si="97"/>
        <v>27.613950000001566</v>
      </c>
      <c r="AF336" s="723"/>
      <c r="AG336" s="1160">
        <f t="shared" si="93"/>
        <v>0</v>
      </c>
      <c r="AH336" s="656"/>
      <c r="AI336" s="656"/>
      <c r="AJ336" s="632"/>
      <c r="AK336" s="388"/>
      <c r="AL336" s="388"/>
      <c r="AM336" s="388"/>
      <c r="AN336" s="388"/>
      <c r="AO336" s="370"/>
      <c r="AP336" s="370"/>
      <c r="AQ336" s="386"/>
      <c r="AR336" s="551">
        <v>0</v>
      </c>
      <c r="AS336" s="386">
        <v>22.3</v>
      </c>
      <c r="AT336" s="386">
        <v>0</v>
      </c>
      <c r="AU336" s="386">
        <v>26.2</v>
      </c>
      <c r="AV336" s="636">
        <v>486.7</v>
      </c>
      <c r="AW336" s="636">
        <v>328.6</v>
      </c>
      <c r="AX336" s="386">
        <v>0</v>
      </c>
      <c r="AY336" s="551">
        <v>0</v>
      </c>
      <c r="AZ336" s="551">
        <v>0</v>
      </c>
      <c r="BA336" s="551">
        <v>0</v>
      </c>
      <c r="BB336" s="832">
        <v>0</v>
      </c>
      <c r="BC336" s="386">
        <v>0.99</v>
      </c>
      <c r="BD336" s="386">
        <v>1</v>
      </c>
      <c r="BE336" s="551">
        <v>0</v>
      </c>
      <c r="BF336" s="386">
        <v>1</v>
      </c>
      <c r="BG336" s="386">
        <v>1.77</v>
      </c>
      <c r="BH336" s="551">
        <v>0</v>
      </c>
      <c r="BI336" s="386">
        <v>0.98</v>
      </c>
      <c r="BJ336" s="386">
        <v>24.3</v>
      </c>
      <c r="BK336" s="386">
        <v>1.46</v>
      </c>
      <c r="BL336" s="386">
        <v>4.07</v>
      </c>
      <c r="BM336" s="386">
        <v>0</v>
      </c>
      <c r="BN336" s="386">
        <v>18.899999999999999</v>
      </c>
      <c r="BO336" s="386">
        <v>1249</v>
      </c>
      <c r="BP336" s="386">
        <v>2</v>
      </c>
      <c r="BQ336" s="615">
        <v>19.97</v>
      </c>
      <c r="BR336" s="615">
        <v>20.82</v>
      </c>
      <c r="BS336" s="615">
        <v>12.63</v>
      </c>
      <c r="BT336" s="615">
        <v>12.77</v>
      </c>
      <c r="BU336" s="614">
        <v>26.3</v>
      </c>
      <c r="BV336" s="614">
        <v>30</v>
      </c>
      <c r="BW336" s="615">
        <v>737.3</v>
      </c>
      <c r="BX336" s="791"/>
      <c r="BY336" s="615">
        <v>0</v>
      </c>
      <c r="BZ336" s="615">
        <v>1.34</v>
      </c>
      <c r="CA336" s="615">
        <v>1.3</v>
      </c>
      <c r="CB336" s="615">
        <v>8.4</v>
      </c>
      <c r="CC336" s="615">
        <v>8.1999999999999993</v>
      </c>
      <c r="CD336" s="615">
        <v>15.8</v>
      </c>
      <c r="CE336" s="615">
        <v>35.1</v>
      </c>
      <c r="CF336" s="615">
        <v>13.9</v>
      </c>
      <c r="CG336" s="615">
        <v>7.5</v>
      </c>
      <c r="CH336" s="615">
        <v>13.1</v>
      </c>
      <c r="CI336" s="615">
        <v>17.100000000000001</v>
      </c>
      <c r="CJ336" s="615">
        <v>13.02</v>
      </c>
      <c r="CK336" s="615">
        <v>500.5</v>
      </c>
      <c r="CL336" s="615">
        <v>1.9</v>
      </c>
      <c r="CM336" s="615">
        <v>2.2999999999999998</v>
      </c>
      <c r="CN336" s="615">
        <v>427</v>
      </c>
      <c r="CO336" s="615">
        <v>511.5</v>
      </c>
      <c r="CP336" s="615">
        <v>0</v>
      </c>
      <c r="CQ336" s="615">
        <v>11.9</v>
      </c>
      <c r="CR336" s="615">
        <v>0.76</v>
      </c>
      <c r="CS336" s="386">
        <v>0</v>
      </c>
      <c r="CT336" s="386">
        <v>14.92</v>
      </c>
      <c r="CU336" s="386">
        <v>47</v>
      </c>
      <c r="CV336" s="499">
        <v>0</v>
      </c>
      <c r="CW336" s="499">
        <v>0</v>
      </c>
      <c r="CX336" s="499">
        <v>0</v>
      </c>
      <c r="CY336" s="499">
        <v>0</v>
      </c>
      <c r="CZ336" s="608">
        <v>5670</v>
      </c>
      <c r="DA336" s="608">
        <v>6850</v>
      </c>
      <c r="DB336" s="608">
        <v>5810</v>
      </c>
      <c r="DC336" s="608">
        <v>1106.1300000000001</v>
      </c>
      <c r="DD336" s="1153">
        <f t="shared" si="98"/>
        <v>19.330000000000155</v>
      </c>
      <c r="DE336" s="1154">
        <f t="shared" si="99"/>
        <v>0</v>
      </c>
      <c r="DF336" s="1154">
        <f t="shared" si="100"/>
        <v>5700</v>
      </c>
      <c r="DG336" s="1154">
        <f t="shared" si="101"/>
        <v>6600</v>
      </c>
      <c r="DH336" s="1155" t="str">
        <f t="shared" si="102"/>
        <v>Palm</v>
      </c>
      <c r="DI336" s="1146">
        <f t="shared" si="103"/>
        <v>1040</v>
      </c>
      <c r="DJ336" s="1146">
        <f t="shared" si="104"/>
        <v>0</v>
      </c>
      <c r="DK336" s="1154">
        <f t="shared" si="105"/>
        <v>0</v>
      </c>
      <c r="DL336" s="615"/>
      <c r="DM336" s="615"/>
      <c r="DN336" s="615"/>
      <c r="DO336" s="499"/>
      <c r="DP336" s="499"/>
      <c r="DQ336" s="499"/>
      <c r="DR336" s="499"/>
      <c r="DS336" s="499"/>
      <c r="DT336" s="499"/>
      <c r="DU336" s="499"/>
      <c r="DV336" s="499"/>
      <c r="DW336" s="499"/>
      <c r="DX336" s="499"/>
      <c r="DY336" s="499"/>
      <c r="DZ336" s="499"/>
      <c r="EA336" s="499"/>
      <c r="EB336" s="499"/>
      <c r="EC336" s="499"/>
      <c r="ED336" s="499"/>
      <c r="EE336" s="499"/>
      <c r="EF336" s="499"/>
      <c r="EG336" s="1147">
        <f t="shared" si="92"/>
        <v>11.5</v>
      </c>
      <c r="EH336" s="499">
        <v>0</v>
      </c>
      <c r="EI336" s="615">
        <v>3</v>
      </c>
      <c r="EJ336" s="615">
        <v>3</v>
      </c>
      <c r="EK336" s="615">
        <v>5.5</v>
      </c>
      <c r="EL336" s="499"/>
      <c r="EM336" s="499"/>
      <c r="EN336" s="499"/>
      <c r="EO336" s="499"/>
      <c r="EP336" s="499"/>
      <c r="EQ336" s="499"/>
      <c r="ER336" s="499"/>
      <c r="ES336" s="388"/>
      <c r="ET336" s="388"/>
      <c r="EV336" s="1167">
        <f t="shared" si="94"/>
        <v>17.790499999999998</v>
      </c>
    </row>
    <row r="337" spans="1:152" s="350" customFormat="1" ht="15" x14ac:dyDescent="0.25">
      <c r="A337" s="632" t="s">
        <v>8</v>
      </c>
      <c r="B337" s="662">
        <v>43063</v>
      </c>
      <c r="C337" s="1132" t="s">
        <v>904</v>
      </c>
      <c r="D337" s="609">
        <v>0.02</v>
      </c>
      <c r="E337" s="739" t="s">
        <v>10</v>
      </c>
      <c r="F337" s="739">
        <v>44</v>
      </c>
      <c r="G337" s="739">
        <v>3.9</v>
      </c>
      <c r="H337" s="609">
        <v>67.400000000000006</v>
      </c>
      <c r="I337" s="609">
        <v>11.5</v>
      </c>
      <c r="J337" s="609">
        <v>0</v>
      </c>
      <c r="K337" s="609">
        <v>23.07</v>
      </c>
      <c r="L337" s="741">
        <v>41.830000000001746</v>
      </c>
      <c r="M337" s="609">
        <v>18.7</v>
      </c>
      <c r="N337" s="609">
        <v>1.327</v>
      </c>
      <c r="O337" s="609">
        <v>1.5247378020970297</v>
      </c>
      <c r="P337" s="609">
        <v>1.369</v>
      </c>
      <c r="Q337" s="609">
        <v>0.69060430177778198</v>
      </c>
      <c r="R337" s="609">
        <v>878.73052325581386</v>
      </c>
      <c r="S337" s="609">
        <v>8.3000000000000007</v>
      </c>
      <c r="T337" s="609">
        <v>8.3000000000000007</v>
      </c>
      <c r="U337" s="609">
        <v>0.73099999999999998</v>
      </c>
      <c r="V337" s="784">
        <v>0.75700000000000001</v>
      </c>
      <c r="W337" s="785">
        <v>46.039999999999992</v>
      </c>
      <c r="X337" s="786">
        <v>46.039999999999992</v>
      </c>
      <c r="Y337" s="738">
        <v>28.07</v>
      </c>
      <c r="Z337" s="739">
        <v>29.9</v>
      </c>
      <c r="AA337" s="739">
        <v>28.03</v>
      </c>
      <c r="AB337" s="739">
        <v>29.41</v>
      </c>
      <c r="AC337" s="1160">
        <f t="shared" si="95"/>
        <v>57.44</v>
      </c>
      <c r="AD337" s="1160">
        <f t="shared" si="96"/>
        <v>88.859679999999997</v>
      </c>
      <c r="AE337" s="1160">
        <f t="shared" si="97"/>
        <v>24.148669999997296</v>
      </c>
      <c r="AF337" s="723"/>
      <c r="AG337" s="1160">
        <f t="shared" si="93"/>
        <v>0</v>
      </c>
      <c r="AH337" s="656"/>
      <c r="AI337" s="656"/>
      <c r="AJ337" s="632"/>
      <c r="AK337" s="388"/>
      <c r="AL337" s="388"/>
      <c r="AM337" s="388"/>
      <c r="AN337" s="388"/>
      <c r="AO337" s="370"/>
      <c r="AP337" s="370"/>
      <c r="AQ337" s="386"/>
      <c r="AR337" s="551">
        <v>0</v>
      </c>
      <c r="AS337" s="386">
        <v>16</v>
      </c>
      <c r="AT337" s="386">
        <v>0</v>
      </c>
      <c r="AU337" s="386">
        <v>26.2</v>
      </c>
      <c r="AV337" s="636">
        <v>217.8</v>
      </c>
      <c r="AW337" s="636">
        <v>249.5</v>
      </c>
      <c r="AX337" s="386">
        <v>0</v>
      </c>
      <c r="AY337" s="551">
        <v>0</v>
      </c>
      <c r="AZ337" s="551">
        <v>0</v>
      </c>
      <c r="BA337" s="551">
        <v>0</v>
      </c>
      <c r="BB337" s="832">
        <v>0</v>
      </c>
      <c r="BC337" s="386">
        <v>1</v>
      </c>
      <c r="BD337" s="386">
        <v>1</v>
      </c>
      <c r="BE337" s="551">
        <v>0</v>
      </c>
      <c r="BF337" s="386">
        <v>0.99</v>
      </c>
      <c r="BG337" s="386">
        <v>1.51</v>
      </c>
      <c r="BH337" s="551">
        <v>0</v>
      </c>
      <c r="BI337" s="386">
        <v>0.98</v>
      </c>
      <c r="BJ337" s="386">
        <v>23.9</v>
      </c>
      <c r="BK337" s="386">
        <v>1.04</v>
      </c>
      <c r="BL337" s="386">
        <v>4.07</v>
      </c>
      <c r="BM337" s="386">
        <v>0</v>
      </c>
      <c r="BN337" s="386">
        <v>18.899999999999999</v>
      </c>
      <c r="BO337" s="386">
        <v>1075.0999999999999</v>
      </c>
      <c r="BP337" s="386">
        <v>2</v>
      </c>
      <c r="BQ337" s="615">
        <v>20.99</v>
      </c>
      <c r="BR337" s="615">
        <v>21.88</v>
      </c>
      <c r="BS337" s="615">
        <v>12.82</v>
      </c>
      <c r="BT337" s="615">
        <v>12.97</v>
      </c>
      <c r="BU337" s="614">
        <v>26.7</v>
      </c>
      <c r="BV337" s="614">
        <v>28.5</v>
      </c>
      <c r="BW337" s="615">
        <v>659</v>
      </c>
      <c r="BX337" s="791"/>
      <c r="BY337" s="615">
        <v>0</v>
      </c>
      <c r="BZ337" s="615">
        <v>1.34</v>
      </c>
      <c r="CA337" s="615">
        <v>1.3</v>
      </c>
      <c r="CB337" s="615">
        <v>8.4</v>
      </c>
      <c r="CC337" s="615">
        <v>8.1999999999999993</v>
      </c>
      <c r="CD337" s="615">
        <v>15.8</v>
      </c>
      <c r="CE337" s="615">
        <v>34.9</v>
      </c>
      <c r="CF337" s="615">
        <v>12.9</v>
      </c>
      <c r="CG337" s="615">
        <v>7.4</v>
      </c>
      <c r="CH337" s="615">
        <v>13</v>
      </c>
      <c r="CI337" s="615">
        <v>17</v>
      </c>
      <c r="CJ337" s="615">
        <v>13.38</v>
      </c>
      <c r="CK337" s="615">
        <v>264.5</v>
      </c>
      <c r="CL337" s="615">
        <v>1.9</v>
      </c>
      <c r="CM337" s="615">
        <v>2.9</v>
      </c>
      <c r="CN337" s="615">
        <v>252.8</v>
      </c>
      <c r="CO337" s="615">
        <v>412.2</v>
      </c>
      <c r="CP337" s="615">
        <v>0</v>
      </c>
      <c r="CQ337" s="615">
        <v>12.1</v>
      </c>
      <c r="CR337" s="615">
        <v>0.79</v>
      </c>
      <c r="CS337" s="386">
        <v>0</v>
      </c>
      <c r="CT337" s="386">
        <v>15.433</v>
      </c>
      <c r="CU337" s="386">
        <v>48</v>
      </c>
      <c r="CV337" s="499">
        <v>0</v>
      </c>
      <c r="CW337" s="499">
        <v>0</v>
      </c>
      <c r="CX337" s="499">
        <v>0</v>
      </c>
      <c r="CY337" s="499">
        <v>0</v>
      </c>
      <c r="CZ337" s="990">
        <v>4280</v>
      </c>
      <c r="DA337" s="608">
        <v>5530</v>
      </c>
      <c r="DB337" s="608">
        <v>4440</v>
      </c>
      <c r="DC337" s="608">
        <v>1114.55</v>
      </c>
      <c r="DD337" s="1153">
        <f t="shared" si="98"/>
        <v>8.4199999999998454</v>
      </c>
      <c r="DE337" s="1154">
        <f t="shared" si="99"/>
        <v>0</v>
      </c>
      <c r="DF337" s="1154">
        <f t="shared" si="100"/>
        <v>4330</v>
      </c>
      <c r="DG337" s="1154">
        <f t="shared" si="101"/>
        <v>5280</v>
      </c>
      <c r="DH337" s="1155" t="str">
        <f t="shared" si="102"/>
        <v>Palm</v>
      </c>
      <c r="DI337" s="1146">
        <f t="shared" si="103"/>
        <v>1090</v>
      </c>
      <c r="DJ337" s="1146">
        <f t="shared" si="104"/>
        <v>0</v>
      </c>
      <c r="DK337" s="1154">
        <f t="shared" si="105"/>
        <v>0</v>
      </c>
      <c r="DL337" s="615"/>
      <c r="DM337" s="615"/>
      <c r="DN337" s="615"/>
      <c r="DO337" s="499"/>
      <c r="DP337" s="499"/>
      <c r="DQ337" s="499"/>
      <c r="DR337" s="499"/>
      <c r="DS337" s="499"/>
      <c r="DT337" s="499"/>
      <c r="DU337" s="499"/>
      <c r="DV337" s="499"/>
      <c r="DW337" s="499"/>
      <c r="DX337" s="499"/>
      <c r="DY337" s="499"/>
      <c r="DZ337" s="499"/>
      <c r="EA337" s="499"/>
      <c r="EB337" s="499"/>
      <c r="EC337" s="499"/>
      <c r="ED337" s="499"/>
      <c r="EE337" s="499"/>
      <c r="EF337" s="499"/>
      <c r="EG337" s="1147">
        <f t="shared" ref="EG337:EG350" si="106">(SUM(EH337:EK337))</f>
        <v>11.5</v>
      </c>
      <c r="EH337" s="499">
        <v>0</v>
      </c>
      <c r="EI337" s="615">
        <v>3</v>
      </c>
      <c r="EJ337" s="615">
        <v>3</v>
      </c>
      <c r="EK337" s="615">
        <v>5.5</v>
      </c>
      <c r="EL337" s="499"/>
      <c r="EM337" s="499"/>
      <c r="EN337" s="499"/>
      <c r="EO337" s="499"/>
      <c r="EP337" s="499"/>
      <c r="EQ337" s="499"/>
      <c r="ER337" s="499"/>
      <c r="ES337" s="388"/>
      <c r="ET337" s="388"/>
      <c r="EV337" s="1167">
        <f t="shared" si="94"/>
        <v>17.790499999999998</v>
      </c>
    </row>
    <row r="338" spans="1:152" s="350" customFormat="1" ht="15" x14ac:dyDescent="0.25">
      <c r="A338" s="632" t="s">
        <v>9</v>
      </c>
      <c r="B338" s="662">
        <v>43064</v>
      </c>
      <c r="C338" s="1132" t="s">
        <v>904</v>
      </c>
      <c r="D338" s="609">
        <v>0.3</v>
      </c>
      <c r="E338" s="739" t="s">
        <v>10</v>
      </c>
      <c r="F338" s="739">
        <v>48</v>
      </c>
      <c r="G338" s="739">
        <v>3.8</v>
      </c>
      <c r="H338" s="609">
        <v>39.51</v>
      </c>
      <c r="I338" s="609">
        <v>11.5</v>
      </c>
      <c r="J338" s="609">
        <v>0</v>
      </c>
      <c r="K338" s="609">
        <v>13.53</v>
      </c>
      <c r="L338" s="741">
        <v>34.68999999999869</v>
      </c>
      <c r="M338" s="609">
        <v>19.8</v>
      </c>
      <c r="N338" s="609">
        <v>1.3580000000000001</v>
      </c>
      <c r="O338" s="609">
        <v>1.5121010134992268</v>
      </c>
      <c r="P338" s="609">
        <v>1.3660000000000001</v>
      </c>
      <c r="Q338" s="609">
        <v>0.68586525759577277</v>
      </c>
      <c r="R338" s="609">
        <v>854.72877906976748</v>
      </c>
      <c r="S338" s="609">
        <v>8.36</v>
      </c>
      <c r="T338" s="609">
        <v>8.3000000000000007</v>
      </c>
      <c r="U338" s="609">
        <v>0.63200000000000001</v>
      </c>
      <c r="V338" s="784">
        <v>0.72299999999999998</v>
      </c>
      <c r="W338" s="785">
        <v>45.5</v>
      </c>
      <c r="X338" s="786">
        <v>45.680000000000007</v>
      </c>
      <c r="Y338" s="738">
        <v>28.03</v>
      </c>
      <c r="Z338" s="739">
        <v>29.9</v>
      </c>
      <c r="AA338" s="739">
        <v>28.1</v>
      </c>
      <c r="AB338" s="739">
        <v>27.98</v>
      </c>
      <c r="AC338" s="1160">
        <f t="shared" si="95"/>
        <v>56.08</v>
      </c>
      <c r="AD338" s="1160">
        <f t="shared" si="96"/>
        <v>86.755759999999995</v>
      </c>
      <c r="AE338" s="1160">
        <f t="shared" si="97"/>
        <v>33.090330000002027</v>
      </c>
      <c r="AF338" s="723"/>
      <c r="AG338" s="1160">
        <f t="shared" si="93"/>
        <v>0</v>
      </c>
      <c r="AH338" s="656"/>
      <c r="AI338" s="656"/>
      <c r="AJ338" s="632"/>
      <c r="AK338" s="388"/>
      <c r="AL338" s="388"/>
      <c r="AM338" s="388"/>
      <c r="AN338" s="388"/>
      <c r="AO338" s="370"/>
      <c r="AP338" s="370"/>
      <c r="AQ338" s="386"/>
      <c r="AR338" s="551">
        <v>0</v>
      </c>
      <c r="AS338" s="386">
        <v>18.5</v>
      </c>
      <c r="AT338" s="386">
        <v>0</v>
      </c>
      <c r="AU338" s="386">
        <v>26.1</v>
      </c>
      <c r="AV338" s="636">
        <v>478.6</v>
      </c>
      <c r="AW338" s="636">
        <v>385.9</v>
      </c>
      <c r="AX338" s="386">
        <v>0</v>
      </c>
      <c r="AY338" s="551">
        <v>0</v>
      </c>
      <c r="AZ338" s="551">
        <v>0</v>
      </c>
      <c r="BA338" s="551">
        <v>0</v>
      </c>
      <c r="BB338" s="832">
        <v>0</v>
      </c>
      <c r="BC338" s="386">
        <v>0.99</v>
      </c>
      <c r="BD338" s="386">
        <v>0.99</v>
      </c>
      <c r="BE338" s="551">
        <v>0</v>
      </c>
      <c r="BF338" s="386">
        <v>0.99</v>
      </c>
      <c r="BG338" s="386">
        <v>1.64</v>
      </c>
      <c r="BH338" s="551">
        <v>0</v>
      </c>
      <c r="BI338" s="386">
        <v>0.99</v>
      </c>
      <c r="BJ338" s="386">
        <v>22.4</v>
      </c>
      <c r="BK338" s="386">
        <v>1.82</v>
      </c>
      <c r="BL338" s="386">
        <v>4.07</v>
      </c>
      <c r="BM338" s="386">
        <v>0</v>
      </c>
      <c r="BN338" s="386">
        <v>16.600000000000001</v>
      </c>
      <c r="BO338" s="386">
        <v>1068.4000000000001</v>
      </c>
      <c r="BP338" s="386">
        <v>2</v>
      </c>
      <c r="BQ338" s="615">
        <v>20.27</v>
      </c>
      <c r="BR338" s="615">
        <v>21.22</v>
      </c>
      <c r="BS338" s="615">
        <v>12.59</v>
      </c>
      <c r="BT338" s="615">
        <v>12.69</v>
      </c>
      <c r="BU338" s="614">
        <v>26.3</v>
      </c>
      <c r="BV338" s="614">
        <v>33.4</v>
      </c>
      <c r="BW338" s="615">
        <v>780.2</v>
      </c>
      <c r="BX338" s="791"/>
      <c r="BY338" s="615">
        <v>0</v>
      </c>
      <c r="BZ338" s="615">
        <v>1.36</v>
      </c>
      <c r="CA338" s="615">
        <v>1.3</v>
      </c>
      <c r="CB338" s="615">
        <v>8.5</v>
      </c>
      <c r="CC338" s="615">
        <v>8.1999999999999993</v>
      </c>
      <c r="CD338" s="615">
        <v>15.8</v>
      </c>
      <c r="CE338" s="615">
        <v>34.9</v>
      </c>
      <c r="CF338" s="615">
        <v>12</v>
      </c>
      <c r="CG338" s="615">
        <v>7.2</v>
      </c>
      <c r="CH338" s="615">
        <v>12.8</v>
      </c>
      <c r="CI338" s="615">
        <v>16.7</v>
      </c>
      <c r="CJ338" s="615">
        <v>13.52</v>
      </c>
      <c r="CK338" s="615">
        <v>0</v>
      </c>
      <c r="CL338" s="615">
        <v>1.9</v>
      </c>
      <c r="CM338" s="615">
        <v>2.8</v>
      </c>
      <c r="CN338" s="615">
        <v>262.5</v>
      </c>
      <c r="CO338" s="615">
        <v>409.3</v>
      </c>
      <c r="CP338" s="615">
        <v>0</v>
      </c>
      <c r="CQ338" s="615">
        <v>13.1</v>
      </c>
      <c r="CR338" s="615">
        <v>0.86</v>
      </c>
      <c r="CS338" s="386">
        <v>0</v>
      </c>
      <c r="CT338" s="386">
        <v>16.390999999999998</v>
      </c>
      <c r="CU338" s="386">
        <v>48</v>
      </c>
      <c r="CV338" s="499">
        <v>0</v>
      </c>
      <c r="CW338" s="499">
        <v>0</v>
      </c>
      <c r="CX338" s="499">
        <v>0</v>
      </c>
      <c r="CY338" s="499">
        <v>0</v>
      </c>
      <c r="CZ338" s="608">
        <v>4150</v>
      </c>
      <c r="DA338" s="608">
        <v>5090</v>
      </c>
      <c r="DB338" s="608">
        <v>4270</v>
      </c>
      <c r="DC338" s="608">
        <v>1110.3599999999999</v>
      </c>
      <c r="DD338" s="1153">
        <f t="shared" si="98"/>
        <v>-4.1900000000000546</v>
      </c>
      <c r="DE338" s="1154">
        <f t="shared" si="99"/>
        <v>0</v>
      </c>
      <c r="DF338" s="1154">
        <f t="shared" si="100"/>
        <v>4160</v>
      </c>
      <c r="DG338" s="1154">
        <f t="shared" si="101"/>
        <v>4840</v>
      </c>
      <c r="DH338" s="1155" t="str">
        <f t="shared" si="102"/>
        <v>Palm</v>
      </c>
      <c r="DI338" s="1146">
        <f t="shared" si="103"/>
        <v>820</v>
      </c>
      <c r="DJ338" s="1146">
        <f t="shared" si="104"/>
        <v>0</v>
      </c>
      <c r="DK338" s="1154">
        <f t="shared" si="105"/>
        <v>0</v>
      </c>
      <c r="DL338" s="615"/>
      <c r="DM338" s="615"/>
      <c r="DN338" s="615"/>
      <c r="DO338" s="499"/>
      <c r="DP338" s="499"/>
      <c r="DQ338" s="499"/>
      <c r="DR338" s="499"/>
      <c r="DS338" s="499"/>
      <c r="DT338" s="499"/>
      <c r="DU338" s="499"/>
      <c r="DV338" s="499"/>
      <c r="DW338" s="499"/>
      <c r="DX338" s="499"/>
      <c r="DY338" s="499"/>
      <c r="DZ338" s="499"/>
      <c r="EA338" s="499"/>
      <c r="EB338" s="499"/>
      <c r="EC338" s="499"/>
      <c r="ED338" s="499"/>
      <c r="EE338" s="499"/>
      <c r="EF338" s="499"/>
      <c r="EG338" s="1147">
        <f t="shared" si="106"/>
        <v>11.5</v>
      </c>
      <c r="EH338" s="499">
        <v>0</v>
      </c>
      <c r="EI338" s="615">
        <v>3</v>
      </c>
      <c r="EJ338" s="615">
        <v>3</v>
      </c>
      <c r="EK338" s="615">
        <v>5.5</v>
      </c>
      <c r="EL338" s="499"/>
      <c r="EM338" s="499"/>
      <c r="EN338" s="499"/>
      <c r="EO338" s="499"/>
      <c r="EP338" s="499"/>
      <c r="EQ338" s="499"/>
      <c r="ER338" s="499"/>
      <c r="ES338" s="388"/>
      <c r="ET338" s="388"/>
      <c r="EV338" s="1167">
        <f t="shared" si="94"/>
        <v>17.790499999999998</v>
      </c>
    </row>
    <row r="339" spans="1:152" s="350" customFormat="1" ht="15" x14ac:dyDescent="0.25">
      <c r="A339" s="632" t="s">
        <v>3</v>
      </c>
      <c r="B339" s="662">
        <v>43065</v>
      </c>
      <c r="C339" s="1132" t="s">
        <v>904</v>
      </c>
      <c r="D339" s="609">
        <v>1</v>
      </c>
      <c r="E339" s="739" t="s">
        <v>10</v>
      </c>
      <c r="F339" s="739">
        <v>39</v>
      </c>
      <c r="G339" s="739">
        <v>3.6</v>
      </c>
      <c r="H339" s="609">
        <v>17.940000000000001</v>
      </c>
      <c r="I339" s="609">
        <v>10.5</v>
      </c>
      <c r="J339" s="609">
        <v>0</v>
      </c>
      <c r="K339" s="609">
        <v>9.02</v>
      </c>
      <c r="L339" s="741">
        <v>26.680000000000291</v>
      </c>
      <c r="M339" s="609">
        <v>21.2</v>
      </c>
      <c r="N339" s="609">
        <v>1.38</v>
      </c>
      <c r="O339" s="609">
        <v>1.5273563486677832</v>
      </c>
      <c r="P339" s="609">
        <v>1.3839999999999999</v>
      </c>
      <c r="Q339" s="609">
        <v>0.69235366131036347</v>
      </c>
      <c r="R339" s="609">
        <v>855.72885174418593</v>
      </c>
      <c r="S339" s="609">
        <v>8.2899999999999991</v>
      </c>
      <c r="T339" s="609">
        <v>8.27</v>
      </c>
      <c r="U339" s="609">
        <v>0.67500000000000004</v>
      </c>
      <c r="V339" s="784">
        <v>0.74399999999999999</v>
      </c>
      <c r="W339" s="785">
        <v>45.5</v>
      </c>
      <c r="X339" s="786">
        <v>45.5</v>
      </c>
      <c r="Y339" s="738">
        <v>28.1</v>
      </c>
      <c r="Z339" s="739">
        <v>27.98</v>
      </c>
      <c r="AA339" s="739">
        <v>28.07</v>
      </c>
      <c r="AB339" s="739">
        <v>27.99</v>
      </c>
      <c r="AC339" s="1160">
        <f t="shared" si="95"/>
        <v>56.06</v>
      </c>
      <c r="AD339" s="1160">
        <f t="shared" si="96"/>
        <v>86.724819999999994</v>
      </c>
      <c r="AE339" s="1160">
        <f t="shared" si="97"/>
        <v>45.450859999999544</v>
      </c>
      <c r="AF339" s="723"/>
      <c r="AG339" s="1160">
        <f t="shared" si="93"/>
        <v>0</v>
      </c>
      <c r="AH339" s="656"/>
      <c r="AI339" s="656"/>
      <c r="AJ339" s="632"/>
      <c r="AK339" s="388"/>
      <c r="AL339" s="388"/>
      <c r="AM339" s="388"/>
      <c r="AN339" s="388"/>
      <c r="AO339" s="370"/>
      <c r="AP339" s="370"/>
      <c r="AQ339" s="386"/>
      <c r="AR339" s="551">
        <v>0</v>
      </c>
      <c r="AS339" s="386">
        <v>23.4</v>
      </c>
      <c r="AT339" s="386">
        <v>0</v>
      </c>
      <c r="AU339" s="386">
        <v>26.2</v>
      </c>
      <c r="AV339" s="636">
        <v>452.3</v>
      </c>
      <c r="AW339" s="636">
        <v>269.3</v>
      </c>
      <c r="AX339" s="386">
        <v>0</v>
      </c>
      <c r="AY339" s="551">
        <v>0</v>
      </c>
      <c r="AZ339" s="551">
        <v>0</v>
      </c>
      <c r="BA339" s="551">
        <v>0</v>
      </c>
      <c r="BB339" s="832">
        <v>0</v>
      </c>
      <c r="BC339" s="386">
        <v>1</v>
      </c>
      <c r="BD339" s="386">
        <v>1</v>
      </c>
      <c r="BE339" s="551">
        <v>0</v>
      </c>
      <c r="BF339" s="386">
        <v>0.99</v>
      </c>
      <c r="BG339" s="386">
        <v>1.73</v>
      </c>
      <c r="BH339" s="551">
        <v>0</v>
      </c>
      <c r="BI339" s="386">
        <v>0.98</v>
      </c>
      <c r="BJ339" s="386">
        <v>22.3</v>
      </c>
      <c r="BK339" s="386">
        <v>1.63</v>
      </c>
      <c r="BL339" s="386">
        <v>4.07</v>
      </c>
      <c r="BM339" s="386">
        <v>0</v>
      </c>
      <c r="BN339" s="386">
        <v>16.7</v>
      </c>
      <c r="BO339" s="386">
        <v>1332.2</v>
      </c>
      <c r="BP339" s="386">
        <v>2</v>
      </c>
      <c r="BQ339" s="615">
        <v>19.18</v>
      </c>
      <c r="BR339" s="615">
        <v>20.04</v>
      </c>
      <c r="BS339" s="615">
        <v>12.75</v>
      </c>
      <c r="BT339" s="615">
        <v>12.86</v>
      </c>
      <c r="BU339" s="614">
        <v>26.6</v>
      </c>
      <c r="BV339" s="614">
        <v>35.4</v>
      </c>
      <c r="BW339" s="615">
        <v>629.4</v>
      </c>
      <c r="BX339" s="791"/>
      <c r="BY339" s="615">
        <v>0</v>
      </c>
      <c r="BZ339" s="615">
        <v>1.41</v>
      </c>
      <c r="CA339" s="615">
        <v>1.3</v>
      </c>
      <c r="CB339" s="615">
        <v>8.5</v>
      </c>
      <c r="CC339" s="615">
        <v>8.1999999999999993</v>
      </c>
      <c r="CD339" s="615">
        <v>16.3</v>
      </c>
      <c r="CE339" s="615">
        <v>34.9</v>
      </c>
      <c r="CF339" s="615">
        <v>13.9</v>
      </c>
      <c r="CG339" s="615">
        <v>8</v>
      </c>
      <c r="CH339" s="615">
        <v>13.7</v>
      </c>
      <c r="CI339" s="615">
        <v>17.7</v>
      </c>
      <c r="CJ339" s="615">
        <v>13.87</v>
      </c>
      <c r="CK339" s="615">
        <v>0</v>
      </c>
      <c r="CL339" s="615">
        <v>1.8</v>
      </c>
      <c r="CM339" s="615">
        <v>2.6</v>
      </c>
      <c r="CN339" s="615">
        <v>313.3</v>
      </c>
      <c r="CO339" s="615">
        <v>440.9</v>
      </c>
      <c r="CP339" s="615">
        <v>0</v>
      </c>
      <c r="CQ339" s="615">
        <v>12.9</v>
      </c>
      <c r="CR339" s="615">
        <v>0.84</v>
      </c>
      <c r="CS339" s="386">
        <v>0</v>
      </c>
      <c r="CT339" s="386">
        <v>16.029</v>
      </c>
      <c r="CU339" s="386">
        <v>48</v>
      </c>
      <c r="CV339" s="499">
        <v>0</v>
      </c>
      <c r="CW339" s="499">
        <v>0</v>
      </c>
      <c r="CX339" s="499">
        <v>0</v>
      </c>
      <c r="CY339" s="499">
        <v>0</v>
      </c>
      <c r="CZ339" s="608">
        <v>3840</v>
      </c>
      <c r="DA339" s="608">
        <v>4920</v>
      </c>
      <c r="DB339" s="608">
        <v>4000</v>
      </c>
      <c r="DC339" s="608">
        <v>1100.49</v>
      </c>
      <c r="DD339" s="1153">
        <f t="shared" si="98"/>
        <v>-9.8699999999998909</v>
      </c>
      <c r="DE339" s="1154">
        <f t="shared" si="99"/>
        <v>0</v>
      </c>
      <c r="DF339" s="1154">
        <f t="shared" si="100"/>
        <v>3890</v>
      </c>
      <c r="DG339" s="1154">
        <f t="shared" si="101"/>
        <v>4670</v>
      </c>
      <c r="DH339" s="1155" t="str">
        <f t="shared" si="102"/>
        <v>Palm</v>
      </c>
      <c r="DI339" s="1146">
        <f t="shared" si="103"/>
        <v>920</v>
      </c>
      <c r="DJ339" s="1146">
        <f t="shared" si="104"/>
        <v>0</v>
      </c>
      <c r="DK339" s="1154">
        <f t="shared" si="105"/>
        <v>0</v>
      </c>
      <c r="DL339" s="615"/>
      <c r="DM339" s="615"/>
      <c r="DN339" s="615"/>
      <c r="DO339" s="499"/>
      <c r="DP339" s="499"/>
      <c r="DQ339" s="499"/>
      <c r="DR339" s="499"/>
      <c r="DS339" s="499"/>
      <c r="DT339" s="499"/>
      <c r="DU339" s="499"/>
      <c r="DV339" s="499"/>
      <c r="DW339" s="499"/>
      <c r="DX339" s="499"/>
      <c r="DY339" s="499"/>
      <c r="DZ339" s="499"/>
      <c r="EA339" s="499"/>
      <c r="EB339" s="499"/>
      <c r="EC339" s="499"/>
      <c r="ED339" s="499"/>
      <c r="EE339" s="499"/>
      <c r="EF339" s="499"/>
      <c r="EG339" s="1147">
        <f t="shared" si="106"/>
        <v>11.5</v>
      </c>
      <c r="EH339" s="499">
        <v>0</v>
      </c>
      <c r="EI339" s="615">
        <v>3</v>
      </c>
      <c r="EJ339" s="615">
        <v>3</v>
      </c>
      <c r="EK339" s="615">
        <v>5.5</v>
      </c>
      <c r="EL339" s="499"/>
      <c r="EM339" s="499"/>
      <c r="EN339" s="499"/>
      <c r="EO339" s="499"/>
      <c r="EP339" s="499"/>
      <c r="EQ339" s="499"/>
      <c r="ER339" s="499"/>
      <c r="ES339" s="388"/>
      <c r="ET339" s="388"/>
      <c r="EV339" s="1167">
        <f t="shared" si="94"/>
        <v>17.790499999999998</v>
      </c>
    </row>
    <row r="340" spans="1:152" s="350" customFormat="1" ht="15" x14ac:dyDescent="0.25">
      <c r="A340" s="632" t="s">
        <v>4</v>
      </c>
      <c r="B340" s="662">
        <v>43066</v>
      </c>
      <c r="C340" s="1132" t="s">
        <v>904</v>
      </c>
      <c r="D340" s="609">
        <v>0.05</v>
      </c>
      <c r="E340" s="739" t="s">
        <v>10</v>
      </c>
      <c r="F340" s="739">
        <v>39.9</v>
      </c>
      <c r="G340" s="739">
        <v>2.95</v>
      </c>
      <c r="H340" s="609">
        <v>13.95</v>
      </c>
      <c r="I340" s="609">
        <v>11.1</v>
      </c>
      <c r="J340" s="609">
        <v>0</v>
      </c>
      <c r="K340" s="609">
        <v>7.18</v>
      </c>
      <c r="L340" s="741">
        <v>22.869999999998981</v>
      </c>
      <c r="M340" s="609">
        <v>21.2</v>
      </c>
      <c r="N340" s="609">
        <v>1.38</v>
      </c>
      <c r="O340" s="609">
        <v>1.502453405904435</v>
      </c>
      <c r="P340" s="609">
        <v>1.44</v>
      </c>
      <c r="Q340" s="609">
        <v>0.69791896007590148</v>
      </c>
      <c r="R340" s="609">
        <v>874.39687500000002</v>
      </c>
      <c r="S340" s="609">
        <v>8.1199999999999992</v>
      </c>
      <c r="T340" s="609">
        <v>8.19</v>
      </c>
      <c r="U340" s="609">
        <v>0.72</v>
      </c>
      <c r="V340" s="784">
        <v>0.77</v>
      </c>
      <c r="W340" s="785">
        <v>44.960000000000008</v>
      </c>
      <c r="X340" s="786">
        <v>45.14</v>
      </c>
      <c r="Y340" s="738">
        <v>28.07</v>
      </c>
      <c r="Z340" s="739">
        <v>27.9</v>
      </c>
      <c r="AA340" s="739">
        <v>27.93</v>
      </c>
      <c r="AB340" s="739">
        <v>29.47</v>
      </c>
      <c r="AC340" s="1160">
        <f t="shared" si="95"/>
        <v>57.4</v>
      </c>
      <c r="AD340" s="1160">
        <f t="shared" si="96"/>
        <v>88.797799999999995</v>
      </c>
      <c r="AE340" s="1160">
        <f t="shared" si="97"/>
        <v>53.417910000001569</v>
      </c>
      <c r="AF340" s="723"/>
      <c r="AG340" s="1160">
        <f t="shared" si="93"/>
        <v>0</v>
      </c>
      <c r="AH340" s="656"/>
      <c r="AI340" s="656"/>
      <c r="AJ340" s="632"/>
      <c r="AK340" s="388"/>
      <c r="AL340" s="388"/>
      <c r="AM340" s="388"/>
      <c r="AN340" s="388"/>
      <c r="AO340" s="370"/>
      <c r="AP340" s="370"/>
      <c r="AQ340" s="386"/>
      <c r="AR340" s="551">
        <v>0</v>
      </c>
      <c r="AS340" s="386">
        <v>23.6</v>
      </c>
      <c r="AT340" s="386">
        <v>0</v>
      </c>
      <c r="AU340" s="386">
        <v>26</v>
      </c>
      <c r="AV340" s="636">
        <v>482.6</v>
      </c>
      <c r="AW340" s="636">
        <v>425.5</v>
      </c>
      <c r="AX340" s="386">
        <v>0</v>
      </c>
      <c r="AY340" s="551">
        <v>0</v>
      </c>
      <c r="AZ340" s="551">
        <v>0</v>
      </c>
      <c r="BA340" s="551">
        <v>0</v>
      </c>
      <c r="BB340" s="832">
        <v>0</v>
      </c>
      <c r="BC340" s="386">
        <v>1</v>
      </c>
      <c r="BD340" s="386">
        <v>1</v>
      </c>
      <c r="BE340" s="551">
        <v>0</v>
      </c>
      <c r="BF340" s="386">
        <v>0.99</v>
      </c>
      <c r="BG340" s="386">
        <v>1.83</v>
      </c>
      <c r="BH340" s="551">
        <v>0</v>
      </c>
      <c r="BI340" s="386">
        <v>0.98</v>
      </c>
      <c r="BJ340" s="386">
        <v>23.8</v>
      </c>
      <c r="BK340" s="386">
        <v>0.57999999999999996</v>
      </c>
      <c r="BL340" s="386">
        <v>4.07</v>
      </c>
      <c r="BM340" s="386">
        <v>0</v>
      </c>
      <c r="BN340" s="386">
        <v>19.3</v>
      </c>
      <c r="BO340" s="386">
        <v>863</v>
      </c>
      <c r="BP340" s="386">
        <v>192</v>
      </c>
      <c r="BQ340" s="615">
        <v>19.32</v>
      </c>
      <c r="BR340" s="615">
        <v>20.2</v>
      </c>
      <c r="BS340" s="615">
        <v>12.42</v>
      </c>
      <c r="BT340" s="615">
        <v>12.55</v>
      </c>
      <c r="BU340" s="614">
        <v>25.9</v>
      </c>
      <c r="BV340" s="614">
        <v>30.1</v>
      </c>
      <c r="BW340" s="615">
        <v>753.5</v>
      </c>
      <c r="BX340" s="791"/>
      <c r="BY340" s="615">
        <v>0</v>
      </c>
      <c r="BZ340" s="615">
        <v>1.45</v>
      </c>
      <c r="CA340" s="615">
        <v>1.3</v>
      </c>
      <c r="CB340" s="615">
        <v>8.6</v>
      </c>
      <c r="CC340" s="615">
        <v>8.3000000000000007</v>
      </c>
      <c r="CD340" s="615">
        <v>16.2</v>
      </c>
      <c r="CE340" s="615">
        <v>34.9</v>
      </c>
      <c r="CF340" s="615">
        <v>12.81</v>
      </c>
      <c r="CG340" s="615">
        <v>7.82</v>
      </c>
      <c r="CH340" s="615">
        <v>13.35</v>
      </c>
      <c r="CI340" s="615">
        <v>17.899999999999999</v>
      </c>
      <c r="CJ340" s="615">
        <v>13.48</v>
      </c>
      <c r="CK340" s="615">
        <v>287.5</v>
      </c>
      <c r="CL340" s="615">
        <v>2.1</v>
      </c>
      <c r="CM340" s="615">
        <v>3.3</v>
      </c>
      <c r="CN340" s="615">
        <v>216.8</v>
      </c>
      <c r="CO340" s="615">
        <v>448.6</v>
      </c>
      <c r="CP340" s="615">
        <v>0</v>
      </c>
      <c r="CQ340" s="615">
        <v>12.5</v>
      </c>
      <c r="CR340" s="615">
        <v>0.85</v>
      </c>
      <c r="CS340" s="386">
        <v>0</v>
      </c>
      <c r="CT340" s="386">
        <v>15.670999999999999</v>
      </c>
      <c r="CU340" s="386">
        <v>47</v>
      </c>
      <c r="CV340" s="499">
        <v>0</v>
      </c>
      <c r="CW340" s="499">
        <v>0</v>
      </c>
      <c r="CX340" s="499">
        <v>0</v>
      </c>
      <c r="CY340" s="499">
        <v>0</v>
      </c>
      <c r="CZ340" s="608">
        <v>2806</v>
      </c>
      <c r="DA340" s="608">
        <v>3862</v>
      </c>
      <c r="DB340" s="608">
        <v>2960</v>
      </c>
      <c r="DC340" s="608">
        <v>1089.6099999999999</v>
      </c>
      <c r="DD340" s="1153">
        <f t="shared" si="98"/>
        <v>-10.880000000000109</v>
      </c>
      <c r="DE340" s="1154">
        <f t="shared" si="99"/>
        <v>0</v>
      </c>
      <c r="DF340" s="1154">
        <f t="shared" si="100"/>
        <v>2850</v>
      </c>
      <c r="DG340" s="1154">
        <f t="shared" si="101"/>
        <v>3612</v>
      </c>
      <c r="DH340" s="1155" t="str">
        <f t="shared" si="102"/>
        <v>Palm</v>
      </c>
      <c r="DI340" s="1146">
        <f t="shared" si="103"/>
        <v>902</v>
      </c>
      <c r="DJ340" s="1146">
        <f t="shared" si="104"/>
        <v>0</v>
      </c>
      <c r="DK340" s="1154">
        <f t="shared" si="105"/>
        <v>0</v>
      </c>
      <c r="DL340" s="615"/>
      <c r="DM340" s="615"/>
      <c r="DN340" s="615"/>
      <c r="DO340" s="499"/>
      <c r="DP340" s="499"/>
      <c r="DQ340" s="499"/>
      <c r="DR340" s="499"/>
      <c r="DS340" s="499"/>
      <c r="DT340" s="499"/>
      <c r="DU340" s="499"/>
      <c r="DV340" s="499"/>
      <c r="DW340" s="499"/>
      <c r="DX340" s="499"/>
      <c r="DY340" s="499"/>
      <c r="DZ340" s="499"/>
      <c r="EA340" s="499"/>
      <c r="EB340" s="499"/>
      <c r="EC340" s="499"/>
      <c r="ED340" s="499"/>
      <c r="EE340" s="499"/>
      <c r="EF340" s="499"/>
      <c r="EG340" s="1147">
        <f t="shared" si="106"/>
        <v>11.5</v>
      </c>
      <c r="EH340" s="499">
        <v>0</v>
      </c>
      <c r="EI340" s="615">
        <v>3</v>
      </c>
      <c r="EJ340" s="615">
        <v>3</v>
      </c>
      <c r="EK340" s="615">
        <v>5.5</v>
      </c>
      <c r="EL340" s="499"/>
      <c r="EM340" s="499"/>
      <c r="EN340" s="499"/>
      <c r="EO340" s="499"/>
      <c r="EP340" s="499"/>
      <c r="EQ340" s="499"/>
      <c r="ER340" s="499"/>
      <c r="ES340" s="388"/>
      <c r="ET340" s="388"/>
      <c r="EV340" s="1167">
        <f t="shared" si="94"/>
        <v>17.790499999999998</v>
      </c>
    </row>
    <row r="341" spans="1:152" s="350" customFormat="1" ht="15" x14ac:dyDescent="0.25">
      <c r="A341" s="632" t="s">
        <v>5</v>
      </c>
      <c r="B341" s="662">
        <v>43067</v>
      </c>
      <c r="C341" s="1132" t="s">
        <v>904</v>
      </c>
      <c r="D341" s="609">
        <v>0.87</v>
      </c>
      <c r="E341" s="739" t="s">
        <v>10</v>
      </c>
      <c r="F341" s="739">
        <v>42</v>
      </c>
      <c r="G341" s="739">
        <v>2.5</v>
      </c>
      <c r="H341" s="609">
        <v>15.05</v>
      </c>
      <c r="I341" s="609">
        <v>9.1999999999999993</v>
      </c>
      <c r="J341" s="609">
        <v>0</v>
      </c>
      <c r="K341" s="609">
        <v>8.17</v>
      </c>
      <c r="L341" s="741">
        <v>23.020000000000437</v>
      </c>
      <c r="M341" s="609">
        <v>21.2</v>
      </c>
      <c r="N341" s="609">
        <v>1.34</v>
      </c>
      <c r="O341" s="609">
        <v>1.4192475402505194</v>
      </c>
      <c r="P341" s="609">
        <v>1.38</v>
      </c>
      <c r="Q341" s="609">
        <v>0.68813111524080328</v>
      </c>
      <c r="R341" s="609">
        <v>846.39484011627906</v>
      </c>
      <c r="S341" s="609">
        <v>8.07</v>
      </c>
      <c r="T341" s="609">
        <v>8.1199999999999992</v>
      </c>
      <c r="U341" s="609">
        <v>0.67</v>
      </c>
      <c r="V341" s="784">
        <v>0.78</v>
      </c>
      <c r="W341" s="785">
        <v>44.78</v>
      </c>
      <c r="X341" s="786">
        <v>44.78</v>
      </c>
      <c r="Y341" s="738">
        <v>27.93</v>
      </c>
      <c r="Z341" s="739">
        <v>29.4</v>
      </c>
      <c r="AA341" s="739">
        <v>28</v>
      </c>
      <c r="AB341" s="739">
        <v>29.91</v>
      </c>
      <c r="AC341" s="1160">
        <f t="shared" si="95"/>
        <v>57.91</v>
      </c>
      <c r="AD341" s="1160">
        <f t="shared" si="96"/>
        <v>89.586769999999987</v>
      </c>
      <c r="AE341" s="1160">
        <f t="shared" si="97"/>
        <v>53.974829999999315</v>
      </c>
      <c r="AF341" s="723"/>
      <c r="AG341" s="1160">
        <f t="shared" si="93"/>
        <v>0</v>
      </c>
      <c r="AH341" s="656"/>
      <c r="AI341" s="656"/>
      <c r="AJ341" s="632"/>
      <c r="AK341" s="388"/>
      <c r="AL341" s="388"/>
      <c r="AM341" s="388"/>
      <c r="AN341" s="388"/>
      <c r="AO341" s="370"/>
      <c r="AP341" s="370"/>
      <c r="AQ341" s="386"/>
      <c r="AR341" s="551">
        <v>0</v>
      </c>
      <c r="AS341" s="386">
        <v>19.600000000000001</v>
      </c>
      <c r="AT341" s="386">
        <v>0.57999999999999996</v>
      </c>
      <c r="AU341" s="386">
        <v>25.5</v>
      </c>
      <c r="AV341" s="636">
        <v>342.8</v>
      </c>
      <c r="AW341" s="636">
        <v>232.6</v>
      </c>
      <c r="AX341" s="386">
        <v>0</v>
      </c>
      <c r="AY341" s="551">
        <v>0</v>
      </c>
      <c r="AZ341" s="551">
        <v>0</v>
      </c>
      <c r="BA341" s="551">
        <v>0</v>
      </c>
      <c r="BB341" s="832">
        <v>0</v>
      </c>
      <c r="BC341" s="386">
        <v>0.5</v>
      </c>
      <c r="BD341" s="386">
        <v>0.8</v>
      </c>
      <c r="BE341" s="551">
        <v>0</v>
      </c>
      <c r="BF341" s="386">
        <v>1.66</v>
      </c>
      <c r="BG341" s="386">
        <v>0.65</v>
      </c>
      <c r="BH341" s="551">
        <v>0</v>
      </c>
      <c r="BI341" s="386">
        <v>1</v>
      </c>
      <c r="BJ341" s="386">
        <v>25.3</v>
      </c>
      <c r="BK341" s="386">
        <v>1.08</v>
      </c>
      <c r="BL341" s="386">
        <v>4.07</v>
      </c>
      <c r="BM341" s="386">
        <v>0</v>
      </c>
      <c r="BN341" s="386">
        <v>20.2</v>
      </c>
      <c r="BO341" s="386">
        <v>1088.0999999999999</v>
      </c>
      <c r="BP341" s="386">
        <v>2.1</v>
      </c>
      <c r="BQ341" s="615">
        <v>20.53</v>
      </c>
      <c r="BR341" s="615">
        <v>21.32</v>
      </c>
      <c r="BS341" s="615">
        <v>12.58</v>
      </c>
      <c r="BT341" s="615">
        <v>12.69</v>
      </c>
      <c r="BU341" s="614">
        <v>26.2</v>
      </c>
      <c r="BV341" s="614">
        <v>27.4</v>
      </c>
      <c r="BW341" s="615">
        <v>665.7</v>
      </c>
      <c r="BX341" s="791"/>
      <c r="BY341" s="615">
        <v>0</v>
      </c>
      <c r="BZ341" s="615">
        <v>1.39</v>
      </c>
      <c r="CA341" s="615">
        <v>1.3</v>
      </c>
      <c r="CB341" s="615">
        <v>8.5</v>
      </c>
      <c r="CC341" s="615">
        <v>8.3000000000000007</v>
      </c>
      <c r="CD341" s="615">
        <v>16.100000000000001</v>
      </c>
      <c r="CE341" s="615">
        <v>34.6</v>
      </c>
      <c r="CF341" s="615">
        <v>13.6</v>
      </c>
      <c r="CG341" s="615">
        <v>7.8</v>
      </c>
      <c r="CH341" s="615">
        <v>13.4</v>
      </c>
      <c r="CI341" s="615">
        <v>17.399999999999999</v>
      </c>
      <c r="CJ341" s="615">
        <v>12.81</v>
      </c>
      <c r="CK341" s="615">
        <v>460.7</v>
      </c>
      <c r="CL341" s="615">
        <v>2.2000000000000002</v>
      </c>
      <c r="CM341" s="615">
        <v>3.3</v>
      </c>
      <c r="CN341" s="615">
        <v>207.4</v>
      </c>
      <c r="CO341" s="615">
        <v>392.7</v>
      </c>
      <c r="CP341" s="615">
        <v>0</v>
      </c>
      <c r="CQ341" s="615">
        <v>11.5</v>
      </c>
      <c r="CR341" s="615">
        <v>0.76</v>
      </c>
      <c r="CS341" s="386">
        <v>0</v>
      </c>
      <c r="CT341" s="386">
        <v>14.96</v>
      </c>
      <c r="CU341" s="386">
        <v>47</v>
      </c>
      <c r="CV341" s="499">
        <v>0</v>
      </c>
      <c r="CW341" s="499">
        <v>0</v>
      </c>
      <c r="CX341" s="499">
        <v>0</v>
      </c>
      <c r="CY341" s="499">
        <v>0</v>
      </c>
      <c r="CZ341" s="608">
        <v>2157</v>
      </c>
      <c r="DA341" s="608">
        <v>3229</v>
      </c>
      <c r="DB341" s="608">
        <v>2360</v>
      </c>
      <c r="DC341" s="608">
        <v>1083.9100000000001</v>
      </c>
      <c r="DD341" s="1153">
        <f t="shared" si="98"/>
        <v>-5.6999999999998181</v>
      </c>
      <c r="DE341" s="1154">
        <f t="shared" si="99"/>
        <v>0</v>
      </c>
      <c r="DF341" s="1154">
        <f t="shared" si="100"/>
        <v>2250</v>
      </c>
      <c r="DG341" s="1154">
        <f t="shared" si="101"/>
        <v>2979</v>
      </c>
      <c r="DH341" s="1155" t="str">
        <f t="shared" si="102"/>
        <v>Palm</v>
      </c>
      <c r="DI341" s="1146">
        <f t="shared" si="103"/>
        <v>869</v>
      </c>
      <c r="DJ341" s="1146">
        <f t="shared" si="104"/>
        <v>0</v>
      </c>
      <c r="DK341" s="1154">
        <f t="shared" si="105"/>
        <v>0</v>
      </c>
      <c r="DL341" s="615"/>
      <c r="DM341" s="615"/>
      <c r="DN341" s="615"/>
      <c r="DO341" s="499"/>
      <c r="DP341" s="499"/>
      <c r="DQ341" s="499"/>
      <c r="DR341" s="499"/>
      <c r="DS341" s="499"/>
      <c r="DT341" s="499"/>
      <c r="DU341" s="499"/>
      <c r="DV341" s="499"/>
      <c r="DW341" s="499"/>
      <c r="DX341" s="499"/>
      <c r="DY341" s="499"/>
      <c r="DZ341" s="499"/>
      <c r="EA341" s="499"/>
      <c r="EB341" s="499"/>
      <c r="EC341" s="499"/>
      <c r="ED341" s="499"/>
      <c r="EE341" s="499"/>
      <c r="EF341" s="499"/>
      <c r="EG341" s="1147">
        <f t="shared" si="106"/>
        <v>9.5</v>
      </c>
      <c r="EH341" s="499">
        <v>0</v>
      </c>
      <c r="EI341" s="615">
        <v>1</v>
      </c>
      <c r="EJ341" s="615">
        <v>3</v>
      </c>
      <c r="EK341" s="615">
        <v>5.5</v>
      </c>
      <c r="EL341" s="499"/>
      <c r="EM341" s="499"/>
      <c r="EN341" s="499"/>
      <c r="EO341" s="499"/>
      <c r="EP341" s="499"/>
      <c r="EQ341" s="499"/>
      <c r="ER341" s="499"/>
      <c r="ES341" s="388"/>
      <c r="ET341" s="388"/>
      <c r="EV341" s="1167">
        <f t="shared" si="94"/>
        <v>14.696499999999999</v>
      </c>
    </row>
    <row r="342" spans="1:152" s="350" customFormat="1" ht="15" x14ac:dyDescent="0.25">
      <c r="A342" s="632" t="s">
        <v>6</v>
      </c>
      <c r="B342" s="662">
        <v>43068</v>
      </c>
      <c r="C342" s="1132" t="s">
        <v>904</v>
      </c>
      <c r="D342" s="609">
        <v>0</v>
      </c>
      <c r="E342" s="739" t="s">
        <v>10</v>
      </c>
      <c r="F342" s="739">
        <v>40</v>
      </c>
      <c r="G342" s="739">
        <v>2.25</v>
      </c>
      <c r="H342" s="609">
        <v>13.26</v>
      </c>
      <c r="I342" s="609">
        <v>13.9</v>
      </c>
      <c r="J342" s="609">
        <v>0</v>
      </c>
      <c r="K342" s="609">
        <v>9.77</v>
      </c>
      <c r="L342" s="741">
        <v>13.830000000001746</v>
      </c>
      <c r="M342" s="609">
        <v>21.6</v>
      </c>
      <c r="N342" s="609">
        <v>1.2050000000000001</v>
      </c>
      <c r="O342" s="609">
        <v>1.405338359766837</v>
      </c>
      <c r="P342" s="609">
        <v>1.268</v>
      </c>
      <c r="Q342" s="609">
        <v>0.69109543801275475</v>
      </c>
      <c r="R342" s="609">
        <v>831.72710755813955</v>
      </c>
      <c r="S342" s="609">
        <v>8.25</v>
      </c>
      <c r="T342" s="609">
        <v>8.27</v>
      </c>
      <c r="U342" s="609">
        <v>0.68300000000000005</v>
      </c>
      <c r="V342" s="784">
        <v>0.78400000000000003</v>
      </c>
      <c r="W342" s="785">
        <v>44.239999999999995</v>
      </c>
      <c r="X342" s="786">
        <v>44.42</v>
      </c>
      <c r="Y342" s="738">
        <v>28</v>
      </c>
      <c r="Z342" s="739">
        <v>29.91</v>
      </c>
      <c r="AA342" s="739">
        <v>28</v>
      </c>
      <c r="AB342" s="739">
        <v>29.99</v>
      </c>
      <c r="AC342" s="1160">
        <f t="shared" si="95"/>
        <v>57.989999999999995</v>
      </c>
      <c r="AD342" s="1160">
        <f t="shared" si="96"/>
        <v>89.710529999999991</v>
      </c>
      <c r="AE342" s="1160">
        <f t="shared" si="97"/>
        <v>68.315519999997292</v>
      </c>
      <c r="AF342" s="723"/>
      <c r="AG342" s="1160">
        <f t="shared" si="93"/>
        <v>0</v>
      </c>
      <c r="AH342" s="656"/>
      <c r="AI342" s="656"/>
      <c r="AJ342" s="632"/>
      <c r="AK342" s="388"/>
      <c r="AL342" s="388"/>
      <c r="AM342" s="388"/>
      <c r="AN342" s="388"/>
      <c r="AO342" s="370"/>
      <c r="AP342" s="370"/>
      <c r="AQ342" s="386"/>
      <c r="AR342" s="551">
        <v>0</v>
      </c>
      <c r="AS342" s="386">
        <v>18.7</v>
      </c>
      <c r="AT342" s="386">
        <v>0.98</v>
      </c>
      <c r="AU342" s="386">
        <v>25.1</v>
      </c>
      <c r="AV342" s="636">
        <v>534.70000000000005</v>
      </c>
      <c r="AW342" s="636">
        <v>448.9</v>
      </c>
      <c r="AX342" s="386">
        <v>0</v>
      </c>
      <c r="AY342" s="551">
        <v>0</v>
      </c>
      <c r="AZ342" s="551">
        <v>0</v>
      </c>
      <c r="BA342" s="551">
        <v>0</v>
      </c>
      <c r="BB342" s="832">
        <v>0</v>
      </c>
      <c r="BC342" s="386">
        <v>1</v>
      </c>
      <c r="BD342" s="386">
        <v>1</v>
      </c>
      <c r="BE342" s="551">
        <v>0</v>
      </c>
      <c r="BF342" s="386">
        <v>1</v>
      </c>
      <c r="BG342" s="386">
        <v>0</v>
      </c>
      <c r="BH342" s="551">
        <v>0</v>
      </c>
      <c r="BI342" s="386">
        <v>1</v>
      </c>
      <c r="BJ342" s="386">
        <v>26</v>
      </c>
      <c r="BK342" s="386">
        <v>1.61</v>
      </c>
      <c r="BL342" s="386">
        <v>4.07</v>
      </c>
      <c r="BM342" s="386">
        <v>0</v>
      </c>
      <c r="BN342" s="386">
        <v>20.399999999999999</v>
      </c>
      <c r="BO342" s="386">
        <v>993.1</v>
      </c>
      <c r="BP342" s="386">
        <v>2.1</v>
      </c>
      <c r="BQ342" s="615">
        <v>20.71</v>
      </c>
      <c r="BR342" s="615">
        <v>21.61</v>
      </c>
      <c r="BS342" s="615">
        <v>11.94</v>
      </c>
      <c r="BT342" s="615">
        <v>12.05</v>
      </c>
      <c r="BU342" s="614">
        <v>25.1</v>
      </c>
      <c r="BV342" s="614">
        <v>28.7</v>
      </c>
      <c r="BW342" s="615">
        <v>661.3</v>
      </c>
      <c r="BX342" s="791"/>
      <c r="BY342" s="615">
        <v>0</v>
      </c>
      <c r="BZ342" s="615">
        <v>1.3</v>
      </c>
      <c r="CA342" s="615">
        <v>1.34</v>
      </c>
      <c r="CB342" s="615">
        <v>8.5</v>
      </c>
      <c r="CC342" s="615">
        <v>8.3000000000000007</v>
      </c>
      <c r="CD342" s="615">
        <v>15.7</v>
      </c>
      <c r="CE342" s="615">
        <v>34.9</v>
      </c>
      <c r="CF342" s="615">
        <v>14</v>
      </c>
      <c r="CG342" s="615">
        <v>7.2</v>
      </c>
      <c r="CH342" s="615">
        <v>12.8</v>
      </c>
      <c r="CI342" s="615">
        <v>16.7</v>
      </c>
      <c r="CJ342" s="615">
        <v>12.92</v>
      </c>
      <c r="CK342" s="615">
        <v>488.9</v>
      </c>
      <c r="CL342" s="615">
        <v>2.2000000000000002</v>
      </c>
      <c r="CM342" s="615">
        <v>3.6</v>
      </c>
      <c r="CN342" s="615">
        <v>202.5</v>
      </c>
      <c r="CO342" s="615">
        <v>402.6</v>
      </c>
      <c r="CP342" s="615">
        <v>0</v>
      </c>
      <c r="CQ342" s="615">
        <v>11.8</v>
      </c>
      <c r="CR342" s="615">
        <v>0.78</v>
      </c>
      <c r="CS342" s="386">
        <v>0</v>
      </c>
      <c r="CT342" s="386">
        <v>15.362</v>
      </c>
      <c r="CU342" s="386">
        <v>47</v>
      </c>
      <c r="CV342" s="499">
        <v>0</v>
      </c>
      <c r="CW342" s="499">
        <v>0</v>
      </c>
      <c r="CX342" s="499">
        <v>0</v>
      </c>
      <c r="CY342" s="499">
        <v>0</v>
      </c>
      <c r="CZ342" s="608">
        <v>1849</v>
      </c>
      <c r="DA342" s="608">
        <v>2735</v>
      </c>
      <c r="DB342" s="608">
        <v>1970</v>
      </c>
      <c r="DC342" s="608">
        <v>1081.6300000000001</v>
      </c>
      <c r="DD342" s="1153">
        <f t="shared" si="98"/>
        <v>-2.2799999999999727</v>
      </c>
      <c r="DE342" s="1154">
        <f t="shared" si="99"/>
        <v>0</v>
      </c>
      <c r="DF342" s="1154">
        <f t="shared" si="100"/>
        <v>1860</v>
      </c>
      <c r="DG342" s="1154">
        <f t="shared" si="101"/>
        <v>2485</v>
      </c>
      <c r="DH342" s="1155" t="str">
        <f t="shared" si="102"/>
        <v>Palm</v>
      </c>
      <c r="DI342" s="1146">
        <f t="shared" si="103"/>
        <v>765</v>
      </c>
      <c r="DJ342" s="1146">
        <f t="shared" si="104"/>
        <v>0</v>
      </c>
      <c r="DK342" s="1154">
        <f t="shared" si="105"/>
        <v>0</v>
      </c>
      <c r="DL342" s="615"/>
      <c r="DM342" s="615"/>
      <c r="DN342" s="615"/>
      <c r="DO342" s="499"/>
      <c r="DP342" s="499"/>
      <c r="DQ342" s="499"/>
      <c r="DR342" s="499"/>
      <c r="DS342" s="499"/>
      <c r="DT342" s="499"/>
      <c r="DU342" s="499"/>
      <c r="DV342" s="499"/>
      <c r="DW342" s="499"/>
      <c r="DX342" s="499"/>
      <c r="DY342" s="499"/>
      <c r="DZ342" s="499"/>
      <c r="EA342" s="499"/>
      <c r="EB342" s="499"/>
      <c r="EC342" s="499"/>
      <c r="ED342" s="499"/>
      <c r="EE342" s="499"/>
      <c r="EF342" s="499"/>
      <c r="EG342" s="1147">
        <f t="shared" si="106"/>
        <v>9.5</v>
      </c>
      <c r="EH342" s="499">
        <v>0</v>
      </c>
      <c r="EI342" s="615">
        <v>1</v>
      </c>
      <c r="EJ342" s="615">
        <v>3</v>
      </c>
      <c r="EK342" s="615">
        <v>5.5</v>
      </c>
      <c r="EL342" s="499"/>
      <c r="EM342" s="499"/>
      <c r="EN342" s="499"/>
      <c r="EO342" s="499"/>
      <c r="EP342" s="499"/>
      <c r="EQ342" s="499"/>
      <c r="ER342" s="499"/>
      <c r="ES342" s="388"/>
      <c r="ET342" s="388"/>
      <c r="EV342" s="1167">
        <f t="shared" si="94"/>
        <v>14.696499999999999</v>
      </c>
    </row>
    <row r="343" spans="1:152" s="350" customFormat="1" ht="15" x14ac:dyDescent="0.25">
      <c r="A343" s="632" t="s">
        <v>7</v>
      </c>
      <c r="B343" s="662">
        <v>43069</v>
      </c>
      <c r="C343" s="1132" t="s">
        <v>904</v>
      </c>
      <c r="D343" s="609">
        <v>0.34</v>
      </c>
      <c r="E343" s="739" t="s">
        <v>10</v>
      </c>
      <c r="F343" s="739">
        <v>40</v>
      </c>
      <c r="G343" s="739">
        <v>2</v>
      </c>
      <c r="H343" s="609">
        <v>11.56</v>
      </c>
      <c r="I343" s="609">
        <v>17</v>
      </c>
      <c r="J343" s="609">
        <v>0</v>
      </c>
      <c r="K343" s="609">
        <v>7.92</v>
      </c>
      <c r="L343" s="741">
        <v>10.469999999997526</v>
      </c>
      <c r="M343" s="609">
        <v>21.6</v>
      </c>
      <c r="N343" s="609">
        <v>1.171</v>
      </c>
      <c r="O343" s="609">
        <v>1.4185487477639362</v>
      </c>
      <c r="P343" s="609">
        <v>1.2569999999999999</v>
      </c>
      <c r="Q343" s="609">
        <v>0.68715636045543271</v>
      </c>
      <c r="R343" s="609">
        <v>846.39484011627906</v>
      </c>
      <c r="S343" s="609">
        <v>8.2799999999999994</v>
      </c>
      <c r="T343" s="609">
        <v>8.31</v>
      </c>
      <c r="U343" s="609">
        <v>0.67</v>
      </c>
      <c r="V343" s="784">
        <v>0.78100000000000003</v>
      </c>
      <c r="W343" s="785">
        <v>43.88000000000001</v>
      </c>
      <c r="X343" s="786">
        <v>44.239999999999995</v>
      </c>
      <c r="Y343" s="738">
        <v>28</v>
      </c>
      <c r="Z343" s="739">
        <v>29.99</v>
      </c>
      <c r="AA343" s="739">
        <v>28</v>
      </c>
      <c r="AB343" s="739">
        <v>29.99</v>
      </c>
      <c r="AC343" s="1160">
        <f t="shared" si="95"/>
        <v>57.989999999999995</v>
      </c>
      <c r="AD343" s="1160">
        <f t="shared" si="96"/>
        <v>89.710529999999991</v>
      </c>
      <c r="AE343" s="1160">
        <f t="shared" si="97"/>
        <v>73.513440000003811</v>
      </c>
      <c r="AF343" s="723"/>
      <c r="AG343" s="1160">
        <f t="shared" si="93"/>
        <v>0</v>
      </c>
      <c r="AH343" s="656"/>
      <c r="AI343" s="656"/>
      <c r="AJ343" s="632"/>
      <c r="AK343" s="388"/>
      <c r="AL343" s="388"/>
      <c r="AM343" s="388"/>
      <c r="AN343" s="388"/>
      <c r="AO343" s="370"/>
      <c r="AP343" s="370"/>
      <c r="AQ343" s="386"/>
      <c r="AR343" s="551">
        <v>0</v>
      </c>
      <c r="AS343" s="386">
        <v>21</v>
      </c>
      <c r="AT343" s="386">
        <v>0.4</v>
      </c>
      <c r="AU343" s="386">
        <v>25.7</v>
      </c>
      <c r="AV343" s="636">
        <v>359.9</v>
      </c>
      <c r="AW343" s="636">
        <v>214.3</v>
      </c>
      <c r="AX343" s="386">
        <v>0</v>
      </c>
      <c r="AY343" s="551">
        <v>0</v>
      </c>
      <c r="AZ343" s="551">
        <v>0</v>
      </c>
      <c r="BA343" s="551">
        <v>0</v>
      </c>
      <c r="BB343" s="832">
        <v>0</v>
      </c>
      <c r="BC343" s="386">
        <v>0.8</v>
      </c>
      <c r="BD343" s="386">
        <v>0.4</v>
      </c>
      <c r="BE343" s="551">
        <v>0</v>
      </c>
      <c r="BF343" s="386">
        <v>1.66</v>
      </c>
      <c r="BG343" s="386">
        <v>0</v>
      </c>
      <c r="BH343" s="551">
        <v>0</v>
      </c>
      <c r="BI343" s="386">
        <v>1</v>
      </c>
      <c r="BJ343" s="386">
        <v>26</v>
      </c>
      <c r="BK343" s="386">
        <v>1.75</v>
      </c>
      <c r="BL343" s="386">
        <v>3.75</v>
      </c>
      <c r="BM343" s="386">
        <v>0</v>
      </c>
      <c r="BN343" s="386">
        <v>20.5</v>
      </c>
      <c r="BO343" s="386">
        <v>1738.3</v>
      </c>
      <c r="BP343" s="386">
        <v>2.1</v>
      </c>
      <c r="BQ343" s="615">
        <v>21.67</v>
      </c>
      <c r="BR343" s="615">
        <v>22.55</v>
      </c>
      <c r="BS343" s="615">
        <v>12.56</v>
      </c>
      <c r="BT343" s="615">
        <v>12.7</v>
      </c>
      <c r="BU343" s="614">
        <v>26.3</v>
      </c>
      <c r="BV343" s="614">
        <v>28</v>
      </c>
      <c r="BW343" s="615">
        <v>734</v>
      </c>
      <c r="BX343" s="791"/>
      <c r="BY343" s="615">
        <v>0</v>
      </c>
      <c r="BZ343" s="615">
        <v>1.25</v>
      </c>
      <c r="CA343" s="615">
        <v>1.3</v>
      </c>
      <c r="CB343" s="615">
        <v>8.6</v>
      </c>
      <c r="CC343" s="615">
        <v>8.4</v>
      </c>
      <c r="CD343" s="615">
        <v>16.2</v>
      </c>
      <c r="CE343" s="615">
        <v>35</v>
      </c>
      <c r="CF343" s="615">
        <v>13.1</v>
      </c>
      <c r="CG343" s="615">
        <v>6.5</v>
      </c>
      <c r="CH343" s="615">
        <v>12</v>
      </c>
      <c r="CI343" s="615">
        <v>16</v>
      </c>
      <c r="CJ343" s="615">
        <v>13.51</v>
      </c>
      <c r="CK343" s="615">
        <v>507.4</v>
      </c>
      <c r="CL343" s="615">
        <v>2.2000000000000002</v>
      </c>
      <c r="CM343" s="615">
        <v>2.8</v>
      </c>
      <c r="CN343" s="615">
        <v>208.3</v>
      </c>
      <c r="CO343" s="615">
        <v>400</v>
      </c>
      <c r="CP343" s="615">
        <v>0</v>
      </c>
      <c r="CQ343" s="615">
        <v>11.9</v>
      </c>
      <c r="CR343" s="615">
        <v>0.79</v>
      </c>
      <c r="CS343" s="386">
        <v>0</v>
      </c>
      <c r="CT343" s="386">
        <v>14.590999999999999</v>
      </c>
      <c r="CU343" s="386">
        <v>47</v>
      </c>
      <c r="CV343" s="499">
        <v>0</v>
      </c>
      <c r="CW343" s="499">
        <v>0</v>
      </c>
      <c r="CX343" s="499">
        <v>0</v>
      </c>
      <c r="CY343" s="499">
        <v>0</v>
      </c>
      <c r="CZ343" s="608">
        <v>1594</v>
      </c>
      <c r="DA343" s="608">
        <v>2460</v>
      </c>
      <c r="DB343" s="608">
        <v>1770</v>
      </c>
      <c r="DC343" s="608">
        <v>1081.0899999999999</v>
      </c>
      <c r="DD343" s="1153">
        <f t="shared" si="98"/>
        <v>-0.54000000000019099</v>
      </c>
      <c r="DE343" s="1154">
        <f t="shared" si="99"/>
        <v>0</v>
      </c>
      <c r="DF343" s="1154">
        <f t="shared" si="100"/>
        <v>1660</v>
      </c>
      <c r="DG343" s="1154">
        <f t="shared" si="101"/>
        <v>2210</v>
      </c>
      <c r="DH343" s="1155" t="str">
        <f t="shared" si="102"/>
        <v>Palm</v>
      </c>
      <c r="DI343" s="1146">
        <f t="shared" si="103"/>
        <v>690</v>
      </c>
      <c r="DJ343" s="1146">
        <f t="shared" si="104"/>
        <v>0</v>
      </c>
      <c r="DK343" s="1154">
        <f t="shared" si="105"/>
        <v>0</v>
      </c>
      <c r="DL343" s="615"/>
      <c r="DM343" s="615"/>
      <c r="DN343" s="615"/>
      <c r="DO343" s="499"/>
      <c r="DP343" s="499"/>
      <c r="DQ343" s="499"/>
      <c r="DR343" s="499"/>
      <c r="DS343" s="499"/>
      <c r="DT343" s="499"/>
      <c r="DU343" s="499"/>
      <c r="DV343" s="499"/>
      <c r="DW343" s="499"/>
      <c r="DX343" s="499"/>
      <c r="DY343" s="499"/>
      <c r="DZ343" s="499"/>
      <c r="EA343" s="499"/>
      <c r="EB343" s="499"/>
      <c r="EC343" s="499"/>
      <c r="ED343" s="499"/>
      <c r="EE343" s="499"/>
      <c r="EF343" s="499"/>
      <c r="EG343" s="1147">
        <f t="shared" si="106"/>
        <v>9.5</v>
      </c>
      <c r="EH343" s="499">
        <v>0</v>
      </c>
      <c r="EI343" s="615">
        <v>1</v>
      </c>
      <c r="EJ343" s="615">
        <v>3</v>
      </c>
      <c r="EK343" s="615">
        <v>5.5</v>
      </c>
      <c r="EL343" s="499"/>
      <c r="EM343" s="499"/>
      <c r="EN343" s="499"/>
      <c r="EO343" s="499"/>
      <c r="EP343" s="499"/>
      <c r="EQ343" s="499"/>
      <c r="ER343" s="499"/>
      <c r="ES343" s="388"/>
      <c r="ET343" s="388"/>
      <c r="EV343" s="1167">
        <f t="shared" si="94"/>
        <v>14.696499999999999</v>
      </c>
    </row>
    <row r="344" spans="1:152" s="350" customFormat="1" ht="15" x14ac:dyDescent="0.25">
      <c r="A344" s="632" t="s">
        <v>8</v>
      </c>
      <c r="B344" s="662">
        <v>43070</v>
      </c>
      <c r="C344" s="1132" t="s">
        <v>904</v>
      </c>
      <c r="D344" s="609">
        <v>0.37</v>
      </c>
      <c r="E344" s="739" t="s">
        <v>10</v>
      </c>
      <c r="F344" s="739">
        <v>40</v>
      </c>
      <c r="G344" s="739">
        <v>1.95</v>
      </c>
      <c r="H344" s="609">
        <v>8.36</v>
      </c>
      <c r="I344" s="609">
        <v>10.9</v>
      </c>
      <c r="J344" s="609">
        <v>0</v>
      </c>
      <c r="K344" s="609">
        <v>5.39</v>
      </c>
      <c r="L344" s="741">
        <v>2.0900000000001455</v>
      </c>
      <c r="M344" s="609">
        <v>22.9</v>
      </c>
      <c r="N344" s="609">
        <v>1.2</v>
      </c>
      <c r="O344" s="609">
        <v>1.4428355571355358</v>
      </c>
      <c r="P344" s="609">
        <v>1.28</v>
      </c>
      <c r="Q344" s="609">
        <v>0.69608386244528098</v>
      </c>
      <c r="R344" s="609">
        <v>831.06039244186059</v>
      </c>
      <c r="S344" s="609">
        <v>8.25</v>
      </c>
      <c r="T344" s="609">
        <v>8.3000000000000007</v>
      </c>
      <c r="U344" s="609">
        <v>0.79</v>
      </c>
      <c r="V344" s="784">
        <v>0.68</v>
      </c>
      <c r="W344" s="785">
        <v>43.34</v>
      </c>
      <c r="X344" s="786">
        <v>43.7</v>
      </c>
      <c r="Y344" s="738">
        <v>28</v>
      </c>
      <c r="Z344" s="739">
        <v>29.99</v>
      </c>
      <c r="AA344" s="739">
        <v>28</v>
      </c>
      <c r="AB344" s="739">
        <v>28.4</v>
      </c>
      <c r="AC344" s="1160">
        <f t="shared" si="95"/>
        <v>56.4</v>
      </c>
      <c r="AD344" s="1160">
        <f t="shared" si="96"/>
        <v>87.250799999999998</v>
      </c>
      <c r="AE344" s="1160">
        <f t="shared" si="97"/>
        <v>84.017569999999779</v>
      </c>
      <c r="AF344" s="723"/>
      <c r="AG344" s="1160">
        <f t="shared" si="93"/>
        <v>0</v>
      </c>
      <c r="AH344" s="656"/>
      <c r="AI344" s="656"/>
      <c r="AJ344" s="632"/>
      <c r="AK344" s="388"/>
      <c r="AL344" s="388"/>
      <c r="AM344" s="388"/>
      <c r="AN344" s="388"/>
      <c r="AO344" s="370"/>
      <c r="AP344" s="370"/>
      <c r="AQ344" s="386"/>
      <c r="AR344" s="551">
        <v>0</v>
      </c>
      <c r="AS344" s="386">
        <v>20.100000000000001</v>
      </c>
      <c r="AT344" s="386">
        <v>0</v>
      </c>
      <c r="AU344" s="386">
        <v>26</v>
      </c>
      <c r="AV344" s="636">
        <v>484.9</v>
      </c>
      <c r="AW344" s="636">
        <v>316.3</v>
      </c>
      <c r="AX344" s="386">
        <v>0</v>
      </c>
      <c r="AY344" s="551">
        <v>0</v>
      </c>
      <c r="AZ344" s="551">
        <v>0</v>
      </c>
      <c r="BA344" s="551">
        <v>0</v>
      </c>
      <c r="BB344" s="832">
        <v>0</v>
      </c>
      <c r="BC344" s="386">
        <v>0.5</v>
      </c>
      <c r="BD344" s="386">
        <v>1</v>
      </c>
      <c r="BE344" s="551">
        <v>0</v>
      </c>
      <c r="BF344" s="386">
        <v>1.49</v>
      </c>
      <c r="BG344" s="386">
        <v>0</v>
      </c>
      <c r="BH344" s="551">
        <v>0</v>
      </c>
      <c r="BI344" s="386">
        <v>1</v>
      </c>
      <c r="BJ344" s="386">
        <v>24.4</v>
      </c>
      <c r="BK344" s="386">
        <v>3.16</v>
      </c>
      <c r="BL344" s="386">
        <v>3.39</v>
      </c>
      <c r="BM344" s="386">
        <v>0</v>
      </c>
      <c r="BN344" s="386">
        <v>17.899999999999999</v>
      </c>
      <c r="BO344" s="386">
        <v>1050.3</v>
      </c>
      <c r="BP344" s="386">
        <v>2.1</v>
      </c>
      <c r="BQ344" s="615">
        <v>22.79</v>
      </c>
      <c r="BR344" s="615">
        <v>23.69</v>
      </c>
      <c r="BS344" s="615">
        <v>12.6</v>
      </c>
      <c r="BT344" s="615">
        <v>12.66</v>
      </c>
      <c r="BU344" s="614">
        <v>26.3</v>
      </c>
      <c r="BV344" s="614">
        <v>27.6</v>
      </c>
      <c r="BW344" s="615">
        <v>572.9</v>
      </c>
      <c r="BX344" s="791"/>
      <c r="BY344" s="615">
        <v>0</v>
      </c>
      <c r="BZ344" s="615">
        <v>1.28</v>
      </c>
      <c r="CA344" s="615">
        <v>1.2</v>
      </c>
      <c r="CB344" s="615">
        <v>8.6</v>
      </c>
      <c r="CC344" s="615">
        <v>8.4</v>
      </c>
      <c r="CD344" s="615">
        <v>15.7</v>
      </c>
      <c r="CE344" s="615">
        <v>35</v>
      </c>
      <c r="CF344" s="615">
        <v>12.1</v>
      </c>
      <c r="CG344" s="615">
        <v>6.2</v>
      </c>
      <c r="CH344" s="615">
        <v>11.6</v>
      </c>
      <c r="CI344" s="615">
        <v>15.6</v>
      </c>
      <c r="CJ344" s="615">
        <v>13.01</v>
      </c>
      <c r="CK344" s="615">
        <v>498.2</v>
      </c>
      <c r="CL344" s="615">
        <v>1.5</v>
      </c>
      <c r="CM344" s="615">
        <v>2.6</v>
      </c>
      <c r="CN344" s="615">
        <v>199.4</v>
      </c>
      <c r="CO344" s="615">
        <v>431.5</v>
      </c>
      <c r="CP344" s="615">
        <v>0</v>
      </c>
      <c r="CQ344" s="615">
        <v>12.2</v>
      </c>
      <c r="CR344" s="615">
        <v>0.81</v>
      </c>
      <c r="CS344" s="386">
        <v>0</v>
      </c>
      <c r="CT344" s="386">
        <v>14.786</v>
      </c>
      <c r="CU344" s="386">
        <v>47</v>
      </c>
      <c r="CV344" s="499">
        <v>0</v>
      </c>
      <c r="CW344" s="499">
        <v>0</v>
      </c>
      <c r="CX344" s="499">
        <v>0</v>
      </c>
      <c r="CY344" s="499">
        <v>0</v>
      </c>
      <c r="CZ344" s="608">
        <v>1520</v>
      </c>
      <c r="DA344" s="608">
        <v>2270</v>
      </c>
      <c r="DB344" s="608">
        <v>1680</v>
      </c>
      <c r="DC344" s="608">
        <v>1081.3699999999999</v>
      </c>
      <c r="DD344" s="1153">
        <f t="shared" si="98"/>
        <v>0.27999999999997272</v>
      </c>
      <c r="DE344" s="1154">
        <f t="shared" si="99"/>
        <v>0</v>
      </c>
      <c r="DF344" s="1154">
        <f t="shared" si="100"/>
        <v>1570</v>
      </c>
      <c r="DG344" s="1154">
        <f t="shared" si="101"/>
        <v>2020</v>
      </c>
      <c r="DH344" s="1155" t="str">
        <f t="shared" si="102"/>
        <v>Palm</v>
      </c>
      <c r="DI344" s="1146">
        <f t="shared" si="103"/>
        <v>590</v>
      </c>
      <c r="DJ344" s="1146">
        <f t="shared" si="104"/>
        <v>0</v>
      </c>
      <c r="DK344" s="1154">
        <f t="shared" si="105"/>
        <v>0</v>
      </c>
      <c r="DL344" s="615"/>
      <c r="DM344" s="615"/>
      <c r="DN344" s="615"/>
      <c r="DO344" s="499"/>
      <c r="DP344" s="499"/>
      <c r="DQ344" s="499"/>
      <c r="DR344" s="499"/>
      <c r="DS344" s="499"/>
      <c r="DT344" s="499"/>
      <c r="DU344" s="499"/>
      <c r="DV344" s="499"/>
      <c r="DW344" s="499"/>
      <c r="DX344" s="499"/>
      <c r="DY344" s="499"/>
      <c r="DZ344" s="499"/>
      <c r="EA344" s="499"/>
      <c r="EB344" s="499"/>
      <c r="EC344" s="499"/>
      <c r="ED344" s="499"/>
      <c r="EE344" s="499"/>
      <c r="EF344" s="499"/>
      <c r="EG344" s="1147">
        <f t="shared" si="106"/>
        <v>10.5</v>
      </c>
      <c r="EH344" s="499">
        <v>0</v>
      </c>
      <c r="EI344" s="615">
        <v>1</v>
      </c>
      <c r="EJ344" s="615">
        <v>3</v>
      </c>
      <c r="EK344" s="615">
        <v>6.5</v>
      </c>
      <c r="EL344" s="499"/>
      <c r="EM344" s="499"/>
      <c r="EN344" s="499"/>
      <c r="EO344" s="499"/>
      <c r="EP344" s="499"/>
      <c r="EQ344" s="499"/>
      <c r="ER344" s="499"/>
      <c r="ES344" s="388"/>
      <c r="ET344" s="388"/>
      <c r="EV344" s="1167">
        <f t="shared" si="94"/>
        <v>16.243500000000001</v>
      </c>
    </row>
    <row r="345" spans="1:152" s="350" customFormat="1" ht="15" x14ac:dyDescent="0.25">
      <c r="A345" s="632" t="s">
        <v>9</v>
      </c>
      <c r="B345" s="662">
        <v>43071</v>
      </c>
      <c r="C345" s="1132" t="s">
        <v>904</v>
      </c>
      <c r="D345" s="609">
        <v>0.91</v>
      </c>
      <c r="E345" s="739" t="s">
        <v>10</v>
      </c>
      <c r="F345" s="739">
        <v>35.6</v>
      </c>
      <c r="G345" s="739">
        <v>1.95</v>
      </c>
      <c r="H345" s="609">
        <v>6.2</v>
      </c>
      <c r="I345" s="609">
        <v>12.7</v>
      </c>
      <c r="J345" s="609">
        <v>0</v>
      </c>
      <c r="K345" s="609">
        <v>4.68</v>
      </c>
      <c r="L345" s="741">
        <v>0</v>
      </c>
      <c r="M345" s="609">
        <v>23.1</v>
      </c>
      <c r="N345" s="609">
        <v>1.22</v>
      </c>
      <c r="O345" s="609">
        <v>1.4520988038595839</v>
      </c>
      <c r="P345" s="609">
        <v>1.29</v>
      </c>
      <c r="Q345" s="609">
        <v>0.69081287203343233</v>
      </c>
      <c r="R345" s="609">
        <v>775.72303779069773</v>
      </c>
      <c r="S345" s="609">
        <v>8.1999999999999993</v>
      </c>
      <c r="T345" s="609">
        <v>8.26</v>
      </c>
      <c r="U345" s="609">
        <v>0.69</v>
      </c>
      <c r="V345" s="784">
        <v>0.79</v>
      </c>
      <c r="W345" s="785">
        <v>43.160000000000011</v>
      </c>
      <c r="X345" s="786">
        <v>43.160000000000011</v>
      </c>
      <c r="Y345" s="738">
        <v>28</v>
      </c>
      <c r="Z345" s="739">
        <v>28.4</v>
      </c>
      <c r="AA345" s="739">
        <v>28.1</v>
      </c>
      <c r="AB345" s="739">
        <v>25.16</v>
      </c>
      <c r="AC345" s="1160">
        <f t="shared" si="95"/>
        <v>53.260000000000005</v>
      </c>
      <c r="AD345" s="1160">
        <f t="shared" si="96"/>
        <v>82.393219999999999</v>
      </c>
      <c r="AE345" s="1160">
        <f t="shared" si="97"/>
        <v>82.393219999999999</v>
      </c>
      <c r="AF345" s="723"/>
      <c r="AG345" s="1160">
        <f t="shared" si="93"/>
        <v>0</v>
      </c>
      <c r="AH345" s="656"/>
      <c r="AI345" s="656"/>
      <c r="AJ345" s="632"/>
      <c r="AK345" s="388"/>
      <c r="AL345" s="388"/>
      <c r="AM345" s="388"/>
      <c r="AN345" s="388"/>
      <c r="AO345" s="370"/>
      <c r="AP345" s="370"/>
      <c r="AQ345" s="386"/>
      <c r="AR345" s="551">
        <v>0</v>
      </c>
      <c r="AS345" s="386">
        <v>21.7</v>
      </c>
      <c r="AT345" s="386">
        <v>0</v>
      </c>
      <c r="AU345" s="386">
        <v>26</v>
      </c>
      <c r="AV345" s="636">
        <v>349.9</v>
      </c>
      <c r="AW345" s="636">
        <v>276.8</v>
      </c>
      <c r="AX345" s="386">
        <v>0</v>
      </c>
      <c r="AY345" s="551">
        <v>0</v>
      </c>
      <c r="AZ345" s="551">
        <v>0</v>
      </c>
      <c r="BA345" s="551">
        <v>0</v>
      </c>
      <c r="BB345" s="832">
        <v>0</v>
      </c>
      <c r="BC345" s="386">
        <v>0.5</v>
      </c>
      <c r="BD345" s="386">
        <v>1</v>
      </c>
      <c r="BE345" s="551">
        <v>0</v>
      </c>
      <c r="BF345" s="386">
        <v>1.49</v>
      </c>
      <c r="BG345" s="386">
        <v>0</v>
      </c>
      <c r="BH345" s="551">
        <v>0</v>
      </c>
      <c r="BI345" s="386">
        <v>1.01</v>
      </c>
      <c r="BJ345" s="386">
        <v>21.1</v>
      </c>
      <c r="BK345" s="386">
        <v>2.89</v>
      </c>
      <c r="BL345" s="386">
        <v>3.64</v>
      </c>
      <c r="BM345" s="386">
        <v>0</v>
      </c>
      <c r="BN345" s="386">
        <v>14.7</v>
      </c>
      <c r="BO345" s="386">
        <v>1292.4000000000001</v>
      </c>
      <c r="BP345" s="386">
        <v>2.1</v>
      </c>
      <c r="BQ345" s="615">
        <v>22.08</v>
      </c>
      <c r="BR345" s="615">
        <v>22.93</v>
      </c>
      <c r="BS345" s="615">
        <v>12.98</v>
      </c>
      <c r="BT345" s="615">
        <v>12.8</v>
      </c>
      <c r="BU345" s="614">
        <v>26.5</v>
      </c>
      <c r="BV345" s="614">
        <v>33.799999999999997</v>
      </c>
      <c r="BW345" s="615">
        <v>763.5</v>
      </c>
      <c r="BX345" s="791"/>
      <c r="BY345" s="615">
        <v>0</v>
      </c>
      <c r="BZ345" s="615">
        <v>1.29</v>
      </c>
      <c r="CA345" s="615">
        <v>1.2</v>
      </c>
      <c r="CB345" s="615">
        <v>8.5</v>
      </c>
      <c r="CC345" s="615">
        <v>8.4</v>
      </c>
      <c r="CD345" s="615">
        <v>14.7</v>
      </c>
      <c r="CE345" s="615">
        <v>34.9</v>
      </c>
      <c r="CF345" s="615">
        <v>14.3</v>
      </c>
      <c r="CG345" s="615">
        <v>7.1</v>
      </c>
      <c r="CH345" s="615">
        <v>12.6</v>
      </c>
      <c r="CI345" s="615">
        <v>16.7</v>
      </c>
      <c r="CJ345" s="615">
        <v>12.49</v>
      </c>
      <c r="CK345" s="615">
        <v>508</v>
      </c>
      <c r="CL345" s="615">
        <v>1.4</v>
      </c>
      <c r="CM345" s="615">
        <v>3</v>
      </c>
      <c r="CN345" s="615">
        <v>262.89999999999998</v>
      </c>
      <c r="CO345" s="615">
        <v>500.7</v>
      </c>
      <c r="CP345" s="615">
        <v>0</v>
      </c>
      <c r="CQ345" s="615">
        <v>12.5</v>
      </c>
      <c r="CR345" s="615">
        <v>0.82</v>
      </c>
      <c r="CS345" s="386">
        <v>0</v>
      </c>
      <c r="CT345" s="386">
        <v>16.013000000000002</v>
      </c>
      <c r="CU345" s="386">
        <v>46</v>
      </c>
      <c r="CV345" s="499">
        <v>0</v>
      </c>
      <c r="CW345" s="499">
        <v>0</v>
      </c>
      <c r="CX345" s="499">
        <v>0</v>
      </c>
      <c r="CY345" s="499">
        <v>0</v>
      </c>
      <c r="CZ345" s="608">
        <v>1510</v>
      </c>
      <c r="DA345" s="608">
        <v>2520</v>
      </c>
      <c r="DB345" s="608">
        <v>1690</v>
      </c>
      <c r="DC345" s="608">
        <v>1080.76</v>
      </c>
      <c r="DD345" s="1153">
        <f t="shared" si="98"/>
        <v>-0.60999999999989996</v>
      </c>
      <c r="DE345" s="1154">
        <f t="shared" si="99"/>
        <v>0</v>
      </c>
      <c r="DF345" s="1154">
        <f t="shared" si="100"/>
        <v>1580</v>
      </c>
      <c r="DG345" s="1154">
        <f t="shared" si="101"/>
        <v>2270</v>
      </c>
      <c r="DH345" s="1155" t="str">
        <f t="shared" si="102"/>
        <v>Palm</v>
      </c>
      <c r="DI345" s="1146">
        <f t="shared" si="103"/>
        <v>830</v>
      </c>
      <c r="DJ345" s="1146">
        <f t="shared" si="104"/>
        <v>0</v>
      </c>
      <c r="DK345" s="1154">
        <f t="shared" si="105"/>
        <v>0</v>
      </c>
      <c r="DL345" s="615"/>
      <c r="DM345" s="615"/>
      <c r="DN345" s="615"/>
      <c r="DO345" s="499"/>
      <c r="DP345" s="499"/>
      <c r="DQ345" s="499"/>
      <c r="DR345" s="499"/>
      <c r="DS345" s="499"/>
      <c r="DT345" s="499"/>
      <c r="DU345" s="499"/>
      <c r="DV345" s="499"/>
      <c r="DW345" s="499"/>
      <c r="DX345" s="499"/>
      <c r="DY345" s="499"/>
      <c r="DZ345" s="499"/>
      <c r="EA345" s="499"/>
      <c r="EB345" s="499"/>
      <c r="EC345" s="499"/>
      <c r="ED345" s="499"/>
      <c r="EE345" s="499"/>
      <c r="EF345" s="499"/>
      <c r="EG345" s="1147">
        <f t="shared" si="106"/>
        <v>10.5</v>
      </c>
      <c r="EH345" s="499">
        <v>0</v>
      </c>
      <c r="EI345" s="615">
        <v>1</v>
      </c>
      <c r="EJ345" s="615">
        <v>3</v>
      </c>
      <c r="EK345" s="615">
        <v>6.5</v>
      </c>
      <c r="EL345" s="499"/>
      <c r="EM345" s="499"/>
      <c r="EN345" s="499"/>
      <c r="EO345" s="499"/>
      <c r="EP345" s="499"/>
      <c r="EQ345" s="499"/>
      <c r="ER345" s="499"/>
      <c r="ES345" s="388"/>
      <c r="ET345" s="388"/>
      <c r="EV345" s="1167">
        <f t="shared" si="94"/>
        <v>16.243500000000001</v>
      </c>
    </row>
    <row r="346" spans="1:152" s="350" customFormat="1" ht="15" x14ac:dyDescent="0.25">
      <c r="A346" s="632" t="s">
        <v>3</v>
      </c>
      <c r="B346" s="662">
        <v>43072</v>
      </c>
      <c r="C346" s="1132" t="s">
        <v>904</v>
      </c>
      <c r="D346" s="609">
        <v>0.33</v>
      </c>
      <c r="E346" s="739" t="s">
        <v>10</v>
      </c>
      <c r="F346" s="739">
        <v>34</v>
      </c>
      <c r="G346" s="739">
        <v>1.95</v>
      </c>
      <c r="H346" s="609">
        <v>6.78</v>
      </c>
      <c r="I346" s="609">
        <v>12.1</v>
      </c>
      <c r="J346" s="609">
        <v>0</v>
      </c>
      <c r="K346" s="609">
        <v>5.14</v>
      </c>
      <c r="L346" s="741">
        <v>0</v>
      </c>
      <c r="M346" s="609">
        <v>23.1</v>
      </c>
      <c r="N346" s="609">
        <v>1.32</v>
      </c>
      <c r="O346" s="609">
        <v>1.5014225630876652</v>
      </c>
      <c r="P346" s="609">
        <v>1.31</v>
      </c>
      <c r="Q346" s="609">
        <v>0.69766875284249052</v>
      </c>
      <c r="R346" s="609">
        <v>789.39069767441867</v>
      </c>
      <c r="S346" s="609">
        <v>8.1</v>
      </c>
      <c r="T346" s="609">
        <v>8.18</v>
      </c>
      <c r="U346" s="609">
        <v>0.72</v>
      </c>
      <c r="V346" s="784">
        <v>0.8</v>
      </c>
      <c r="W346" s="785">
        <v>42.620000000000005</v>
      </c>
      <c r="X346" s="786">
        <v>42.980000000000004</v>
      </c>
      <c r="Y346" s="738">
        <v>28.1</v>
      </c>
      <c r="Z346" s="739">
        <v>25.16</v>
      </c>
      <c r="AA346" s="739">
        <v>27.9</v>
      </c>
      <c r="AB346" s="739">
        <v>25.1</v>
      </c>
      <c r="AC346" s="1160">
        <f t="shared" si="95"/>
        <v>53</v>
      </c>
      <c r="AD346" s="1160">
        <f t="shared" si="96"/>
        <v>81.991</v>
      </c>
      <c r="AE346" s="1160">
        <f t="shared" si="97"/>
        <v>81.991</v>
      </c>
      <c r="AF346" s="723"/>
      <c r="AG346" s="1160">
        <f t="shared" si="93"/>
        <v>0</v>
      </c>
      <c r="AH346" s="656"/>
      <c r="AI346" s="656"/>
      <c r="AJ346" s="632"/>
      <c r="AK346" s="388"/>
      <c r="AL346" s="388"/>
      <c r="AM346" s="388"/>
      <c r="AN346" s="388"/>
      <c r="AO346" s="370"/>
      <c r="AP346" s="370"/>
      <c r="AQ346" s="386"/>
      <c r="AR346" s="551">
        <v>0</v>
      </c>
      <c r="AS346" s="386">
        <v>20.2</v>
      </c>
      <c r="AT346" s="386">
        <v>0</v>
      </c>
      <c r="AU346" s="386">
        <v>25.9</v>
      </c>
      <c r="AV346" s="636">
        <v>537.5</v>
      </c>
      <c r="AW346" s="636">
        <v>415.9</v>
      </c>
      <c r="AX346" s="386">
        <v>0</v>
      </c>
      <c r="AY346" s="551">
        <v>0</v>
      </c>
      <c r="AZ346" s="551">
        <v>0</v>
      </c>
      <c r="BA346" s="551">
        <v>0</v>
      </c>
      <c r="BB346" s="832">
        <v>0</v>
      </c>
      <c r="BC346" s="386">
        <v>0.5</v>
      </c>
      <c r="BD346" s="386">
        <v>1</v>
      </c>
      <c r="BE346" s="551">
        <v>0</v>
      </c>
      <c r="BF346" s="386">
        <v>1.49</v>
      </c>
      <c r="BG346" s="386">
        <v>0</v>
      </c>
      <c r="BH346" s="551">
        <v>0</v>
      </c>
      <c r="BI346" s="386">
        <v>1.01</v>
      </c>
      <c r="BJ346" s="386">
        <v>21</v>
      </c>
      <c r="BK346" s="386">
        <v>3.08</v>
      </c>
      <c r="BL346" s="386">
        <v>3.4</v>
      </c>
      <c r="BM346" s="386">
        <v>0</v>
      </c>
      <c r="BN346" s="386">
        <v>14.7</v>
      </c>
      <c r="BO346" s="386">
        <v>1333.6</v>
      </c>
      <c r="BP346" s="386">
        <v>2.1</v>
      </c>
      <c r="BQ346" s="615">
        <v>20.260000000000002</v>
      </c>
      <c r="BR346" s="615">
        <v>21.11</v>
      </c>
      <c r="BS346" s="615">
        <v>12.34</v>
      </c>
      <c r="BT346" s="615">
        <v>12.47</v>
      </c>
      <c r="BU346" s="614">
        <v>25.9</v>
      </c>
      <c r="BV346" s="614">
        <v>36.5</v>
      </c>
      <c r="BW346" s="615">
        <v>758.8</v>
      </c>
      <c r="BX346" s="791"/>
      <c r="BY346" s="615">
        <v>0</v>
      </c>
      <c r="BZ346" s="615">
        <v>1.32</v>
      </c>
      <c r="CA346" s="615">
        <v>1.2</v>
      </c>
      <c r="CB346" s="615">
        <v>8.4</v>
      </c>
      <c r="CC346" s="615">
        <v>8.3000000000000007</v>
      </c>
      <c r="CD346" s="615">
        <v>15.3</v>
      </c>
      <c r="CE346" s="615">
        <v>34.799999999999997</v>
      </c>
      <c r="CF346" s="615">
        <v>13.25</v>
      </c>
      <c r="CG346" s="615">
        <v>7.8</v>
      </c>
      <c r="CH346" s="615">
        <v>13.5</v>
      </c>
      <c r="CI346" s="615">
        <v>17.5</v>
      </c>
      <c r="CJ346" s="615">
        <v>12.66</v>
      </c>
      <c r="CK346" s="615">
        <v>546.29999999999995</v>
      </c>
      <c r="CL346" s="615">
        <v>2</v>
      </c>
      <c r="CM346" s="615">
        <v>2.8</v>
      </c>
      <c r="CN346" s="615">
        <v>301.8</v>
      </c>
      <c r="CO346" s="615">
        <v>443.7</v>
      </c>
      <c r="CP346" s="615">
        <v>0</v>
      </c>
      <c r="CQ346" s="615">
        <v>13.2</v>
      </c>
      <c r="CR346" s="615">
        <v>0.86</v>
      </c>
      <c r="CS346" s="386">
        <v>0</v>
      </c>
      <c r="CT346" s="386">
        <v>16.704000000000001</v>
      </c>
      <c r="CU346" s="386">
        <v>46</v>
      </c>
      <c r="CV346" s="499">
        <v>0</v>
      </c>
      <c r="CW346" s="499">
        <v>0</v>
      </c>
      <c r="CX346" s="499">
        <v>0</v>
      </c>
      <c r="CY346" s="499">
        <v>0</v>
      </c>
      <c r="CZ346" s="608">
        <v>1480</v>
      </c>
      <c r="DA346" s="608">
        <v>2440</v>
      </c>
      <c r="DB346" s="608">
        <v>1640</v>
      </c>
      <c r="DC346" s="608">
        <v>1079.18</v>
      </c>
      <c r="DD346" s="1153">
        <f t="shared" si="98"/>
        <v>-1.5799999999999272</v>
      </c>
      <c r="DE346" s="1154">
        <f t="shared" si="99"/>
        <v>0</v>
      </c>
      <c r="DF346" s="1154">
        <f t="shared" si="100"/>
        <v>1530</v>
      </c>
      <c r="DG346" s="1154">
        <f t="shared" si="101"/>
        <v>2190</v>
      </c>
      <c r="DH346" s="1155" t="str">
        <f t="shared" si="102"/>
        <v>Palm</v>
      </c>
      <c r="DI346" s="1146">
        <f t="shared" si="103"/>
        <v>800</v>
      </c>
      <c r="DJ346" s="1146">
        <f t="shared" si="104"/>
        <v>0</v>
      </c>
      <c r="DK346" s="1154">
        <f t="shared" si="105"/>
        <v>0</v>
      </c>
      <c r="DL346" s="615"/>
      <c r="DM346" s="615"/>
      <c r="DN346" s="615"/>
      <c r="DO346" s="499"/>
      <c r="DP346" s="499"/>
      <c r="DQ346" s="499"/>
      <c r="DR346" s="499"/>
      <c r="DS346" s="499"/>
      <c r="DT346" s="499"/>
      <c r="DU346" s="499"/>
      <c r="DV346" s="499"/>
      <c r="DW346" s="499"/>
      <c r="DX346" s="499"/>
      <c r="DY346" s="499"/>
      <c r="DZ346" s="499"/>
      <c r="EA346" s="499"/>
      <c r="EB346" s="499"/>
      <c r="EC346" s="499"/>
      <c r="ED346" s="499"/>
      <c r="EE346" s="499"/>
      <c r="EF346" s="499"/>
      <c r="EG346" s="1147">
        <f t="shared" si="106"/>
        <v>10.5</v>
      </c>
      <c r="EH346" s="499">
        <v>0</v>
      </c>
      <c r="EI346" s="615">
        <v>1</v>
      </c>
      <c r="EJ346" s="615">
        <v>3</v>
      </c>
      <c r="EK346" s="615">
        <v>6.5</v>
      </c>
      <c r="EL346" s="499"/>
      <c r="EM346" s="499"/>
      <c r="EN346" s="499"/>
      <c r="EO346" s="499"/>
      <c r="EP346" s="499"/>
      <c r="EQ346" s="499"/>
      <c r="ER346" s="499"/>
      <c r="ES346" s="388"/>
      <c r="ET346" s="388"/>
      <c r="EV346" s="1167">
        <f t="shared" si="94"/>
        <v>16.243500000000001</v>
      </c>
    </row>
    <row r="347" spans="1:152" s="350" customFormat="1" ht="15" x14ac:dyDescent="0.25">
      <c r="A347" s="632" t="s">
        <v>4</v>
      </c>
      <c r="B347" s="662">
        <v>43073</v>
      </c>
      <c r="C347" s="1132" t="s">
        <v>904</v>
      </c>
      <c r="D347" s="609">
        <v>0</v>
      </c>
      <c r="E347" s="739" t="s">
        <v>10</v>
      </c>
      <c r="F347" s="739">
        <v>32</v>
      </c>
      <c r="G347" s="739">
        <v>1.75</v>
      </c>
      <c r="H347" s="609">
        <v>21.29</v>
      </c>
      <c r="I347" s="609">
        <v>11.9</v>
      </c>
      <c r="J347" s="609">
        <v>0</v>
      </c>
      <c r="K347" s="609">
        <v>14.32</v>
      </c>
      <c r="L347" s="741">
        <v>11.490000000001601</v>
      </c>
      <c r="M347" s="609">
        <v>21.2</v>
      </c>
      <c r="N347" s="609">
        <v>1.3360000000000001</v>
      </c>
      <c r="O347" s="609">
        <v>1.4480311355309814</v>
      </c>
      <c r="P347" s="609">
        <v>1.3480000000000001</v>
      </c>
      <c r="Q347" s="609">
        <v>0.68228631537746465</v>
      </c>
      <c r="R347" s="609">
        <v>813.05908430232569</v>
      </c>
      <c r="S347" s="609">
        <v>8.26</v>
      </c>
      <c r="T347" s="609">
        <v>8.25</v>
      </c>
      <c r="U347" s="609">
        <v>0.72599999999999998</v>
      </c>
      <c r="V347" s="784">
        <v>0.81499999999999995</v>
      </c>
      <c r="W347" s="785">
        <v>42.8</v>
      </c>
      <c r="X347" s="786">
        <v>42.980000000000004</v>
      </c>
      <c r="Y347" s="738">
        <v>27.9</v>
      </c>
      <c r="Z347" s="739">
        <v>25.04</v>
      </c>
      <c r="AA347" s="739">
        <v>27.5</v>
      </c>
      <c r="AB347" s="739">
        <v>27.2</v>
      </c>
      <c r="AC347" s="1160">
        <f t="shared" si="95"/>
        <v>54.7</v>
      </c>
      <c r="AD347" s="1160">
        <f t="shared" si="96"/>
        <v>84.620900000000006</v>
      </c>
      <c r="AE347" s="1160">
        <f t="shared" si="97"/>
        <v>66.845869999997532</v>
      </c>
      <c r="AF347" s="723"/>
      <c r="AG347" s="1160">
        <f t="shared" si="93"/>
        <v>0</v>
      </c>
      <c r="AH347" s="656"/>
      <c r="AI347" s="656"/>
      <c r="AJ347" s="632"/>
      <c r="AK347" s="388"/>
      <c r="AL347" s="388"/>
      <c r="AM347" s="388"/>
      <c r="AN347" s="388"/>
      <c r="AO347" s="370"/>
      <c r="AP347" s="370"/>
      <c r="AQ347" s="386"/>
      <c r="AR347" s="551">
        <v>0</v>
      </c>
      <c r="AS347" s="386">
        <v>13.7</v>
      </c>
      <c r="AT347" s="386">
        <v>0</v>
      </c>
      <c r="AU347" s="386">
        <v>25.8</v>
      </c>
      <c r="AV347" s="636">
        <v>199.6</v>
      </c>
      <c r="AW347" s="636">
        <v>202.9</v>
      </c>
      <c r="AX347" s="386">
        <v>0</v>
      </c>
      <c r="AY347" s="551">
        <v>0</v>
      </c>
      <c r="AZ347" s="551">
        <v>0</v>
      </c>
      <c r="BA347" s="551">
        <v>0</v>
      </c>
      <c r="BB347" s="832">
        <v>0</v>
      </c>
      <c r="BC347" s="386">
        <v>0.3</v>
      </c>
      <c r="BD347" s="386">
        <v>1</v>
      </c>
      <c r="BE347" s="551">
        <v>0</v>
      </c>
      <c r="BF347" s="386">
        <v>1.49</v>
      </c>
      <c r="BG347" s="386">
        <v>0</v>
      </c>
      <c r="BH347" s="551">
        <v>0</v>
      </c>
      <c r="BI347" s="386">
        <v>1</v>
      </c>
      <c r="BJ347" s="386">
        <v>23.3</v>
      </c>
      <c r="BK347" s="386">
        <v>3.5</v>
      </c>
      <c r="BL347" s="386">
        <v>2.92</v>
      </c>
      <c r="BM347" s="386">
        <v>0</v>
      </c>
      <c r="BN347" s="386">
        <v>16.899999999999999</v>
      </c>
      <c r="BO347" s="386">
        <v>1088.2</v>
      </c>
      <c r="BP347" s="386">
        <v>2.2000000000000002</v>
      </c>
      <c r="BQ347" s="615">
        <v>20.34</v>
      </c>
      <c r="BR347" s="615">
        <v>21.19</v>
      </c>
      <c r="BS347" s="615">
        <v>12.66</v>
      </c>
      <c r="BT347" s="615">
        <v>12.78</v>
      </c>
      <c r="BU347" s="614">
        <v>26.5</v>
      </c>
      <c r="BV347" s="614">
        <v>31.4</v>
      </c>
      <c r="BW347" s="615">
        <v>596.70000000000005</v>
      </c>
      <c r="BX347" s="791"/>
      <c r="BY347" s="615">
        <v>0</v>
      </c>
      <c r="BZ347" s="615">
        <v>1.35</v>
      </c>
      <c r="CA347" s="615">
        <v>1.2</v>
      </c>
      <c r="CB347" s="615">
        <v>8.3000000000000007</v>
      </c>
      <c r="CC347" s="615">
        <v>8.3000000000000007</v>
      </c>
      <c r="CD347" s="615">
        <v>16</v>
      </c>
      <c r="CE347" s="615">
        <v>35</v>
      </c>
      <c r="CF347" s="615">
        <v>12.3</v>
      </c>
      <c r="CG347" s="615">
        <v>7.5</v>
      </c>
      <c r="CH347" s="615">
        <v>13.2</v>
      </c>
      <c r="CI347" s="615">
        <v>17.2</v>
      </c>
      <c r="CJ347" s="615">
        <v>13.22</v>
      </c>
      <c r="CK347" s="615">
        <v>507.9</v>
      </c>
      <c r="CL347" s="615">
        <v>2</v>
      </c>
      <c r="CM347" s="615">
        <v>2.8</v>
      </c>
      <c r="CN347" s="615">
        <v>216.7</v>
      </c>
      <c r="CO347" s="615">
        <v>411.9</v>
      </c>
      <c r="CP347" s="615">
        <v>0</v>
      </c>
      <c r="CQ347" s="615">
        <v>11.9</v>
      </c>
      <c r="CR347" s="615">
        <v>0.79</v>
      </c>
      <c r="CS347" s="386">
        <v>0</v>
      </c>
      <c r="CT347" s="386">
        <v>14.89</v>
      </c>
      <c r="CU347" s="386">
        <v>46</v>
      </c>
      <c r="CV347" s="499">
        <v>0</v>
      </c>
      <c r="CW347" s="499">
        <v>0</v>
      </c>
      <c r="CX347" s="499">
        <v>0</v>
      </c>
      <c r="CY347" s="499">
        <v>0</v>
      </c>
      <c r="CZ347" s="608">
        <v>1270</v>
      </c>
      <c r="DA347" s="608">
        <v>2150</v>
      </c>
      <c r="DB347" s="608">
        <v>1410</v>
      </c>
      <c r="DC347" s="608">
        <v>1076.46</v>
      </c>
      <c r="DD347" s="1153">
        <f t="shared" si="98"/>
        <v>-2.7200000000000273</v>
      </c>
      <c r="DE347" s="1154">
        <f t="shared" si="99"/>
        <v>0</v>
      </c>
      <c r="DF347" s="1154">
        <f t="shared" si="100"/>
        <v>1300</v>
      </c>
      <c r="DG347" s="1154">
        <f t="shared" si="101"/>
        <v>1900</v>
      </c>
      <c r="DH347" s="1155" t="str">
        <f t="shared" si="102"/>
        <v>Palm</v>
      </c>
      <c r="DI347" s="1146">
        <f t="shared" si="103"/>
        <v>740</v>
      </c>
      <c r="DJ347" s="1146">
        <f t="shared" si="104"/>
        <v>0</v>
      </c>
      <c r="DK347" s="1154">
        <f t="shared" si="105"/>
        <v>0</v>
      </c>
      <c r="DL347" s="499"/>
      <c r="DM347" s="499"/>
      <c r="DN347" s="499"/>
      <c r="DO347" s="499"/>
      <c r="DP347" s="499"/>
      <c r="DQ347" s="499"/>
      <c r="DR347" s="499"/>
      <c r="DS347" s="499"/>
      <c r="DT347" s="499"/>
      <c r="DU347" s="499"/>
      <c r="DV347" s="499"/>
      <c r="DW347" s="499"/>
      <c r="DX347" s="499"/>
      <c r="DY347" s="499"/>
      <c r="DZ347" s="499"/>
      <c r="EA347" s="499"/>
      <c r="EB347" s="499"/>
      <c r="EC347" s="499"/>
      <c r="ED347" s="499"/>
      <c r="EE347" s="499"/>
      <c r="EF347" s="499"/>
      <c r="EG347" s="1147">
        <f t="shared" si="106"/>
        <v>10.5</v>
      </c>
      <c r="EH347" s="499">
        <v>0</v>
      </c>
      <c r="EI347" s="615">
        <v>1</v>
      </c>
      <c r="EJ347" s="615">
        <v>3</v>
      </c>
      <c r="EK347" s="615">
        <v>6.5</v>
      </c>
      <c r="EL347" s="499"/>
      <c r="EM347" s="499"/>
      <c r="EN347" s="499"/>
      <c r="EO347" s="499"/>
      <c r="EP347" s="499"/>
      <c r="EQ347" s="499"/>
      <c r="ER347" s="499"/>
      <c r="ES347" s="388"/>
      <c r="ET347" s="388"/>
      <c r="EV347" s="1167">
        <f t="shared" si="94"/>
        <v>16.243500000000001</v>
      </c>
    </row>
    <row r="348" spans="1:152" s="350" customFormat="1" ht="15" x14ac:dyDescent="0.25">
      <c r="A348" s="632" t="s">
        <v>5</v>
      </c>
      <c r="B348" s="662">
        <v>43074</v>
      </c>
      <c r="C348" s="1132" t="s">
        <v>904</v>
      </c>
      <c r="D348" s="609">
        <v>0</v>
      </c>
      <c r="E348" s="739" t="s">
        <v>10</v>
      </c>
      <c r="F348" s="739">
        <v>42</v>
      </c>
      <c r="G348" s="739">
        <v>1.45</v>
      </c>
      <c r="H348" s="609">
        <v>62.2</v>
      </c>
      <c r="I348" s="609">
        <v>15.5</v>
      </c>
      <c r="J348" s="609">
        <v>0</v>
      </c>
      <c r="K348" s="609">
        <v>13.13</v>
      </c>
      <c r="L348" s="741">
        <v>43.5</v>
      </c>
      <c r="M348" s="609">
        <v>15.8</v>
      </c>
      <c r="N348" s="609">
        <v>1.377</v>
      </c>
      <c r="O348" s="609">
        <v>1.4535554149143022</v>
      </c>
      <c r="P348" s="609">
        <v>1.347</v>
      </c>
      <c r="Q348" s="609">
        <v>0.69109543801206597</v>
      </c>
      <c r="R348" s="609">
        <v>825.39331395348836</v>
      </c>
      <c r="S348" s="609">
        <v>8.31</v>
      </c>
      <c r="T348" s="609">
        <v>8.3000000000000007</v>
      </c>
      <c r="U348" s="609">
        <v>0.77300000000000002</v>
      </c>
      <c r="V348" s="784">
        <v>0.73099999999999998</v>
      </c>
      <c r="W348" s="785">
        <v>44.239999999999995</v>
      </c>
      <c r="X348" s="786">
        <v>44.239999999999995</v>
      </c>
      <c r="Y348" s="738">
        <v>27.5</v>
      </c>
      <c r="Z348" s="739">
        <v>27.2</v>
      </c>
      <c r="AA348" s="739">
        <v>25.69</v>
      </c>
      <c r="AB348" s="739">
        <v>30</v>
      </c>
      <c r="AC348" s="1160">
        <f t="shared" si="95"/>
        <v>55.69</v>
      </c>
      <c r="AD348" s="1160">
        <f t="shared" si="96"/>
        <v>86.152429999999995</v>
      </c>
      <c r="AE348" s="1160">
        <f t="shared" si="97"/>
        <v>18.857929999999996</v>
      </c>
      <c r="AF348" s="723"/>
      <c r="AG348" s="1160">
        <f t="shared" si="93"/>
        <v>0</v>
      </c>
      <c r="AH348" s="656"/>
      <c r="AI348" s="656"/>
      <c r="AJ348" s="632"/>
      <c r="AK348" s="388"/>
      <c r="AL348" s="388"/>
      <c r="AM348" s="388"/>
      <c r="AN348" s="388"/>
      <c r="AO348" s="370"/>
      <c r="AP348" s="370"/>
      <c r="AQ348" s="386"/>
      <c r="AR348" s="551">
        <v>0</v>
      </c>
      <c r="AS348" s="386">
        <v>22.6</v>
      </c>
      <c r="AT348" s="386">
        <v>0</v>
      </c>
      <c r="AU348" s="386">
        <v>24</v>
      </c>
      <c r="AV348" s="636">
        <v>303.8</v>
      </c>
      <c r="AW348" s="636">
        <v>802.5</v>
      </c>
      <c r="AX348" s="386">
        <v>28.2</v>
      </c>
      <c r="AY348" s="551">
        <v>0</v>
      </c>
      <c r="AZ348" s="551">
        <v>0</v>
      </c>
      <c r="BA348" s="551">
        <v>0</v>
      </c>
      <c r="BB348" s="832">
        <v>0</v>
      </c>
      <c r="BC348" s="386">
        <v>0.5</v>
      </c>
      <c r="BD348" s="386">
        <v>1</v>
      </c>
      <c r="BE348" s="551">
        <v>0</v>
      </c>
      <c r="BF348" s="386">
        <v>1.49</v>
      </c>
      <c r="BG348" s="386">
        <v>0</v>
      </c>
      <c r="BH348" s="551">
        <v>0</v>
      </c>
      <c r="BI348" s="386">
        <v>1.01</v>
      </c>
      <c r="BJ348" s="386">
        <v>25.9</v>
      </c>
      <c r="BK348" s="386">
        <v>2.88</v>
      </c>
      <c r="BL348" s="386">
        <v>3.8</v>
      </c>
      <c r="BM348" s="386">
        <v>0</v>
      </c>
      <c r="BN348" s="386">
        <v>19.399999999999999</v>
      </c>
      <c r="BO348" s="386">
        <v>1067.7</v>
      </c>
      <c r="BP348" s="386">
        <v>2.6</v>
      </c>
      <c r="BQ348" s="615">
        <v>19.690000000000001</v>
      </c>
      <c r="BR348" s="615">
        <v>20.53</v>
      </c>
      <c r="BS348" s="615">
        <v>11.29</v>
      </c>
      <c r="BT348" s="615">
        <v>11.38</v>
      </c>
      <c r="BU348" s="614">
        <v>24</v>
      </c>
      <c r="BV348" s="614">
        <v>30.4</v>
      </c>
      <c r="BW348" s="615">
        <v>746.6</v>
      </c>
      <c r="BX348" s="791"/>
      <c r="BY348" s="615">
        <v>0</v>
      </c>
      <c r="BZ348" s="615">
        <v>1.4</v>
      </c>
      <c r="CA348" s="615">
        <v>1.3</v>
      </c>
      <c r="CB348" s="615">
        <v>8.5</v>
      </c>
      <c r="CC348" s="615">
        <v>8.3000000000000007</v>
      </c>
      <c r="CD348" s="615">
        <v>15.9</v>
      </c>
      <c r="CE348" s="615">
        <v>35</v>
      </c>
      <c r="CF348" s="615">
        <v>14.6</v>
      </c>
      <c r="CG348" s="615">
        <v>7.4</v>
      </c>
      <c r="CH348" s="615">
        <v>13</v>
      </c>
      <c r="CI348" s="615">
        <v>17</v>
      </c>
      <c r="CJ348" s="615">
        <v>13.13</v>
      </c>
      <c r="CK348" s="615">
        <v>487.9</v>
      </c>
      <c r="CL348" s="615">
        <v>2</v>
      </c>
      <c r="CM348" s="615">
        <v>3.1</v>
      </c>
      <c r="CN348" s="615">
        <v>232.5</v>
      </c>
      <c r="CO348" s="615">
        <v>415</v>
      </c>
      <c r="CP348" s="615">
        <v>0</v>
      </c>
      <c r="CQ348" s="615">
        <v>11.8</v>
      </c>
      <c r="CR348" s="615">
        <v>0.78</v>
      </c>
      <c r="CS348" s="386">
        <v>0</v>
      </c>
      <c r="CT348" s="386">
        <v>14.968</v>
      </c>
      <c r="CU348" s="386">
        <v>46</v>
      </c>
      <c r="CV348" s="499">
        <v>0</v>
      </c>
      <c r="CW348" s="499">
        <v>0</v>
      </c>
      <c r="CX348" s="499">
        <v>0</v>
      </c>
      <c r="CY348" s="499">
        <v>0</v>
      </c>
      <c r="CZ348" s="608">
        <v>998</v>
      </c>
      <c r="DA348" s="608">
        <v>1810</v>
      </c>
      <c r="DB348" s="608">
        <v>1120</v>
      </c>
      <c r="DC348" s="608">
        <v>1075.5999999999999</v>
      </c>
      <c r="DD348" s="1153">
        <f t="shared" si="98"/>
        <v>-0.86000000000012733</v>
      </c>
      <c r="DE348" s="1154">
        <f t="shared" si="99"/>
        <v>0</v>
      </c>
      <c r="DF348" s="1154">
        <f t="shared" si="100"/>
        <v>1010</v>
      </c>
      <c r="DG348" s="1154">
        <f t="shared" si="101"/>
        <v>1560</v>
      </c>
      <c r="DH348" s="1155" t="str">
        <f t="shared" si="102"/>
        <v>Palm</v>
      </c>
      <c r="DI348" s="1146">
        <f t="shared" si="103"/>
        <v>690</v>
      </c>
      <c r="DJ348" s="1146">
        <f t="shared" si="104"/>
        <v>0</v>
      </c>
      <c r="DK348" s="1154">
        <f t="shared" si="105"/>
        <v>0</v>
      </c>
      <c r="DL348" s="499"/>
      <c r="DM348" s="499"/>
      <c r="DN348" s="499"/>
      <c r="DO348" s="499"/>
      <c r="DP348" s="499"/>
      <c r="DQ348" s="499"/>
      <c r="DR348" s="499"/>
      <c r="DS348" s="499"/>
      <c r="DT348" s="499"/>
      <c r="DU348" s="499"/>
      <c r="DV348" s="499"/>
      <c r="DW348" s="499"/>
      <c r="DX348" s="499"/>
      <c r="DY348" s="499"/>
      <c r="DZ348" s="499"/>
      <c r="EA348" s="499"/>
      <c r="EB348" s="499"/>
      <c r="EC348" s="499"/>
      <c r="ED348" s="499"/>
      <c r="EE348" s="499"/>
      <c r="EF348" s="499"/>
      <c r="EG348" s="1147">
        <f t="shared" si="106"/>
        <v>10.5</v>
      </c>
      <c r="EH348" s="499">
        <v>0</v>
      </c>
      <c r="EI348" s="615">
        <v>1</v>
      </c>
      <c r="EJ348" s="615">
        <v>3</v>
      </c>
      <c r="EK348" s="615">
        <v>6.5</v>
      </c>
      <c r="EL348" s="499"/>
      <c r="EM348" s="499"/>
      <c r="EN348" s="499"/>
      <c r="EO348" s="499"/>
      <c r="EP348" s="499"/>
      <c r="EQ348" s="499"/>
      <c r="ER348" s="499"/>
      <c r="ES348" s="388"/>
      <c r="ET348" s="388"/>
      <c r="EV348" s="1167">
        <f t="shared" si="94"/>
        <v>16.243500000000001</v>
      </c>
    </row>
    <row r="349" spans="1:152" s="350" customFormat="1" ht="15" x14ac:dyDescent="0.25">
      <c r="A349" s="632" t="s">
        <v>6</v>
      </c>
      <c r="B349" s="662">
        <v>43075</v>
      </c>
      <c r="C349" s="1132" t="s">
        <v>904</v>
      </c>
      <c r="D349" s="609">
        <v>0</v>
      </c>
      <c r="E349" s="739" t="s">
        <v>10</v>
      </c>
      <c r="F349" s="739">
        <v>45</v>
      </c>
      <c r="G349" s="739">
        <v>1.3</v>
      </c>
      <c r="H349" s="609">
        <v>31.46</v>
      </c>
      <c r="I349" s="609">
        <v>10.5</v>
      </c>
      <c r="J349" s="609">
        <v>0</v>
      </c>
      <c r="K349" s="609">
        <v>7.04</v>
      </c>
      <c r="L349" s="741">
        <v>45.470000000001164</v>
      </c>
      <c r="M349" s="609">
        <v>18.399999999999999</v>
      </c>
      <c r="N349" s="609">
        <v>1.3</v>
      </c>
      <c r="O349" s="609">
        <v>1.4051937630211024</v>
      </c>
      <c r="P349" s="609">
        <v>1.3</v>
      </c>
      <c r="Q349" s="609">
        <v>0.62849062756095331</v>
      </c>
      <c r="R349" s="609">
        <v>806.72529069767438</v>
      </c>
      <c r="S349" s="609">
        <v>8.2200000000000006</v>
      </c>
      <c r="T349" s="609">
        <v>8.2200000000000006</v>
      </c>
      <c r="U349" s="609">
        <v>0.76</v>
      </c>
      <c r="V349" s="784">
        <v>0.72</v>
      </c>
      <c r="W349" s="785">
        <v>44.78</v>
      </c>
      <c r="X349" s="786">
        <v>44.78</v>
      </c>
      <c r="Y349" s="738">
        <v>28</v>
      </c>
      <c r="Z349" s="739">
        <v>27.2</v>
      </c>
      <c r="AA349" s="739">
        <v>23.3</v>
      </c>
      <c r="AB349" s="739">
        <v>32.07</v>
      </c>
      <c r="AC349" s="1160">
        <f t="shared" si="95"/>
        <v>55.370000000000005</v>
      </c>
      <c r="AD349" s="1160">
        <f t="shared" si="96"/>
        <v>85.657390000000007</v>
      </c>
      <c r="AE349" s="1160">
        <f t="shared" si="97"/>
        <v>15.315299999998203</v>
      </c>
      <c r="AF349" s="723"/>
      <c r="AG349" s="1160">
        <f t="shared" si="93"/>
        <v>0</v>
      </c>
      <c r="AH349" s="656"/>
      <c r="AI349" s="656"/>
      <c r="AJ349" s="632"/>
      <c r="AK349" s="388"/>
      <c r="AL349" s="388"/>
      <c r="AM349" s="388"/>
      <c r="AN349" s="388"/>
      <c r="AO349" s="370"/>
      <c r="AP349" s="370"/>
      <c r="AQ349" s="386"/>
      <c r="AR349" s="551">
        <v>0</v>
      </c>
      <c r="AS349" s="386">
        <v>13.9</v>
      </c>
      <c r="AT349" s="386">
        <v>0</v>
      </c>
      <c r="AU349" s="386">
        <v>21.3</v>
      </c>
      <c r="AV349" s="636">
        <v>7.7</v>
      </c>
      <c r="AW349" s="636">
        <v>806.5</v>
      </c>
      <c r="AX349" s="386">
        <v>56.3</v>
      </c>
      <c r="AY349" s="551">
        <v>0</v>
      </c>
      <c r="AZ349" s="551">
        <v>0</v>
      </c>
      <c r="BA349" s="551">
        <v>0</v>
      </c>
      <c r="BB349" s="832">
        <v>0</v>
      </c>
      <c r="BC349" s="386">
        <v>1.26</v>
      </c>
      <c r="BD349" s="386">
        <v>1</v>
      </c>
      <c r="BE349" s="551">
        <v>0</v>
      </c>
      <c r="BF349" s="386">
        <v>0.5</v>
      </c>
      <c r="BG349" s="386">
        <v>0</v>
      </c>
      <c r="BH349" s="551">
        <v>0</v>
      </c>
      <c r="BI349" s="386">
        <v>1.01</v>
      </c>
      <c r="BJ349" s="386">
        <v>28</v>
      </c>
      <c r="BK349" s="386">
        <v>2.71</v>
      </c>
      <c r="BL349" s="386">
        <v>4.18</v>
      </c>
      <c r="BM349" s="386">
        <v>0</v>
      </c>
      <c r="BN349" s="386">
        <v>21.51</v>
      </c>
      <c r="BO349" s="386">
        <v>1038</v>
      </c>
      <c r="BP349" s="386">
        <v>2.5</v>
      </c>
      <c r="BQ349" s="615">
        <v>19.25</v>
      </c>
      <c r="BR349" s="615">
        <v>20.149999999999999</v>
      </c>
      <c r="BS349" s="615">
        <v>10.130000000000001</v>
      </c>
      <c r="BT349" s="615">
        <v>10.19</v>
      </c>
      <c r="BU349" s="614">
        <v>21.7</v>
      </c>
      <c r="BV349" s="614">
        <v>26.7</v>
      </c>
      <c r="BW349" s="615">
        <v>594.79999999999995</v>
      </c>
      <c r="BX349" s="791"/>
      <c r="BY349" s="615">
        <v>0</v>
      </c>
      <c r="BZ349" s="615">
        <v>1.39</v>
      </c>
      <c r="CA349" s="615">
        <v>1.3</v>
      </c>
      <c r="CB349" s="615">
        <v>8.5</v>
      </c>
      <c r="CC349" s="615">
        <v>8.3000000000000007</v>
      </c>
      <c r="CD349" s="615">
        <v>16.100000000000001</v>
      </c>
      <c r="CE349" s="615">
        <v>35.1</v>
      </c>
      <c r="CF349" s="615">
        <v>13.8</v>
      </c>
      <c r="CG349" s="615">
        <v>6.9</v>
      </c>
      <c r="CH349" s="615">
        <v>12.5</v>
      </c>
      <c r="CI349" s="615">
        <v>16.399999999999999</v>
      </c>
      <c r="CJ349" s="615">
        <v>13.19</v>
      </c>
      <c r="CK349" s="615">
        <v>488.1</v>
      </c>
      <c r="CL349" s="615">
        <v>2.1</v>
      </c>
      <c r="CM349" s="615">
        <v>2.9</v>
      </c>
      <c r="CN349" s="615">
        <v>221.3</v>
      </c>
      <c r="CO349" s="615">
        <v>396.4</v>
      </c>
      <c r="CP349" s="615">
        <v>0</v>
      </c>
      <c r="CQ349" s="615">
        <v>11.7</v>
      </c>
      <c r="CR349" s="615">
        <v>0.62</v>
      </c>
      <c r="CS349" s="386">
        <v>0</v>
      </c>
      <c r="CT349" s="386">
        <v>14.551</v>
      </c>
      <c r="CU349" s="386">
        <v>46</v>
      </c>
      <c r="CV349" s="499">
        <v>0</v>
      </c>
      <c r="CW349" s="499">
        <v>0</v>
      </c>
      <c r="CX349" s="499">
        <v>0</v>
      </c>
      <c r="CY349" s="499">
        <v>0</v>
      </c>
      <c r="CZ349" s="608">
        <v>856</v>
      </c>
      <c r="DA349" s="608">
        <v>1590</v>
      </c>
      <c r="DB349" s="608">
        <v>932</v>
      </c>
      <c r="DC349" s="608">
        <v>1076.54</v>
      </c>
      <c r="DD349" s="1153">
        <f t="shared" si="98"/>
        <v>0.94000000000005457</v>
      </c>
      <c r="DE349" s="1154">
        <f t="shared" si="99"/>
        <v>0</v>
      </c>
      <c r="DF349" s="1154">
        <f t="shared" si="100"/>
        <v>822</v>
      </c>
      <c r="DG349" s="1154">
        <f t="shared" si="101"/>
        <v>1340</v>
      </c>
      <c r="DH349" s="1155" t="str">
        <f t="shared" si="102"/>
        <v>Palm</v>
      </c>
      <c r="DI349" s="1146">
        <f t="shared" si="103"/>
        <v>658</v>
      </c>
      <c r="DJ349" s="1146">
        <f t="shared" si="104"/>
        <v>0</v>
      </c>
      <c r="DK349" s="1154">
        <f t="shared" si="105"/>
        <v>0</v>
      </c>
      <c r="DL349" s="499"/>
      <c r="DM349" s="499"/>
      <c r="DN349" s="499"/>
      <c r="DO349" s="499"/>
      <c r="DP349" s="499"/>
      <c r="DQ349" s="499"/>
      <c r="DR349" s="499"/>
      <c r="DS349" s="499"/>
      <c r="DT349" s="499"/>
      <c r="DU349" s="499"/>
      <c r="DV349" s="499"/>
      <c r="DW349" s="499"/>
      <c r="DX349" s="499"/>
      <c r="DY349" s="499"/>
      <c r="DZ349" s="499"/>
      <c r="EA349" s="499"/>
      <c r="EB349" s="499"/>
      <c r="EC349" s="499"/>
      <c r="ED349" s="499"/>
      <c r="EE349" s="499"/>
      <c r="EF349" s="499"/>
      <c r="EG349" s="1147">
        <f t="shared" si="106"/>
        <v>10.5</v>
      </c>
      <c r="EH349" s="499">
        <v>0</v>
      </c>
      <c r="EI349" s="615">
        <v>1</v>
      </c>
      <c r="EJ349" s="615">
        <v>3</v>
      </c>
      <c r="EK349" s="615">
        <v>6.5</v>
      </c>
      <c r="EL349" s="499"/>
      <c r="EM349" s="499"/>
      <c r="EN349" s="499"/>
      <c r="EO349" s="499"/>
      <c r="EP349" s="499"/>
      <c r="EQ349" s="499"/>
      <c r="ER349" s="499"/>
      <c r="ES349" s="388"/>
      <c r="ET349" s="388"/>
      <c r="EV349" s="1167">
        <f t="shared" si="94"/>
        <v>16.243500000000001</v>
      </c>
    </row>
    <row r="350" spans="1:152" s="350" customFormat="1" ht="15" x14ac:dyDescent="0.25">
      <c r="A350" s="632" t="s">
        <v>7</v>
      </c>
      <c r="B350" s="662">
        <v>43076</v>
      </c>
      <c r="C350" s="1132" t="s">
        <v>904</v>
      </c>
      <c r="D350" s="609">
        <v>0</v>
      </c>
      <c r="E350" s="739" t="s">
        <v>10</v>
      </c>
      <c r="F350" s="739">
        <v>40</v>
      </c>
      <c r="G350" s="739">
        <v>1.25</v>
      </c>
      <c r="H350" s="609">
        <v>15.03</v>
      </c>
      <c r="I350" s="609">
        <v>11.5</v>
      </c>
      <c r="J350" s="609">
        <v>0</v>
      </c>
      <c r="K350" s="609">
        <v>8.85</v>
      </c>
      <c r="L350" s="741">
        <v>18.529999999998836</v>
      </c>
      <c r="M350" s="609">
        <v>21.1</v>
      </c>
      <c r="N350" s="609">
        <v>1.21</v>
      </c>
      <c r="O350" s="609">
        <v>1.38883232191536</v>
      </c>
      <c r="P350" s="609">
        <v>1.2</v>
      </c>
      <c r="Q350" s="609">
        <v>0.5913639877139345</v>
      </c>
      <c r="R350" s="609">
        <v>820.72630813953492</v>
      </c>
      <c r="S350" s="609">
        <v>8.15</v>
      </c>
      <c r="T350" s="609">
        <v>8.1300000000000008</v>
      </c>
      <c r="U350" s="609">
        <v>0.73</v>
      </c>
      <c r="V350" s="784">
        <v>0.7</v>
      </c>
      <c r="W350" s="785">
        <v>43.519999999999996</v>
      </c>
      <c r="X350" s="786">
        <v>43.88000000000001</v>
      </c>
      <c r="Y350" s="738">
        <v>23.3</v>
      </c>
      <c r="Z350" s="739">
        <v>32</v>
      </c>
      <c r="AA350" s="739">
        <v>25.2</v>
      </c>
      <c r="AB350" s="739">
        <v>33</v>
      </c>
      <c r="AC350" s="1160">
        <f t="shared" si="95"/>
        <v>58.2</v>
      </c>
      <c r="AD350" s="1160">
        <f t="shared" si="96"/>
        <v>90.035399999999996</v>
      </c>
      <c r="AE350" s="1160">
        <f t="shared" si="97"/>
        <v>61.369490000001797</v>
      </c>
      <c r="AF350" s="723"/>
      <c r="AG350" s="1160">
        <f t="shared" si="93"/>
        <v>0</v>
      </c>
      <c r="AH350" s="656"/>
      <c r="AI350" s="656"/>
      <c r="AJ350" s="632"/>
      <c r="AK350" s="388"/>
      <c r="AL350" s="388"/>
      <c r="AM350" s="388"/>
      <c r="AN350" s="388"/>
      <c r="AO350" s="370"/>
      <c r="AP350" s="370"/>
      <c r="AQ350" s="386"/>
      <c r="AR350" s="551">
        <v>0</v>
      </c>
      <c r="AS350" s="386">
        <v>0</v>
      </c>
      <c r="AT350" s="386">
        <v>0</v>
      </c>
      <c r="AU350" s="386">
        <v>22.9</v>
      </c>
      <c r="AV350" s="636">
        <v>271</v>
      </c>
      <c r="AW350" s="636">
        <v>274.5</v>
      </c>
      <c r="AX350" s="386">
        <v>42.5</v>
      </c>
      <c r="AY350" s="551">
        <v>0</v>
      </c>
      <c r="AZ350" s="551">
        <v>0</v>
      </c>
      <c r="BA350" s="551">
        <v>0</v>
      </c>
      <c r="BB350" s="832">
        <v>0</v>
      </c>
      <c r="BC350" s="386">
        <v>1.5</v>
      </c>
      <c r="BD350" s="386">
        <v>1</v>
      </c>
      <c r="BE350" s="551">
        <v>0</v>
      </c>
      <c r="BF350" s="386">
        <v>0.5</v>
      </c>
      <c r="BG350" s="386">
        <v>0</v>
      </c>
      <c r="BH350" s="551">
        <v>0</v>
      </c>
      <c r="BI350" s="386">
        <v>1.01</v>
      </c>
      <c r="BJ350" s="386">
        <v>29</v>
      </c>
      <c r="BK350" s="386">
        <v>2.8</v>
      </c>
      <c r="BL350" s="386">
        <v>3.65</v>
      </c>
      <c r="BM350" s="386">
        <v>0</v>
      </c>
      <c r="BN350" s="386">
        <v>22.6</v>
      </c>
      <c r="BO350" s="386">
        <v>1053.7</v>
      </c>
      <c r="BP350" s="386">
        <v>2.7</v>
      </c>
      <c r="BQ350" s="615">
        <v>19.53</v>
      </c>
      <c r="BR350" s="615">
        <v>20.399999999999999</v>
      </c>
      <c r="BS350" s="615">
        <v>10.98</v>
      </c>
      <c r="BT350" s="615">
        <v>11.02</v>
      </c>
      <c r="BU350" s="614">
        <v>23.4</v>
      </c>
      <c r="BV350" s="614">
        <v>26.8</v>
      </c>
      <c r="BW350" s="499">
        <v>750.9</v>
      </c>
      <c r="BX350" s="793"/>
      <c r="BY350" s="499">
        <v>0</v>
      </c>
      <c r="BZ350" s="499">
        <v>1.26</v>
      </c>
      <c r="CA350" s="499">
        <v>1.3</v>
      </c>
      <c r="CB350" s="499">
        <v>8.3000000000000007</v>
      </c>
      <c r="CC350" s="499">
        <v>8.3000000000000007</v>
      </c>
      <c r="CD350" s="499">
        <v>15.9</v>
      </c>
      <c r="CE350" s="499">
        <v>35.1</v>
      </c>
      <c r="CF350" s="499">
        <v>12.8</v>
      </c>
      <c r="CG350" s="499">
        <v>6.5</v>
      </c>
      <c r="CH350" s="499">
        <v>12</v>
      </c>
      <c r="CI350" s="499">
        <v>15.98</v>
      </c>
      <c r="CJ350" s="499">
        <v>13.17</v>
      </c>
      <c r="CK350" s="499">
        <v>515.1</v>
      </c>
      <c r="CL350" s="499">
        <v>2.4</v>
      </c>
      <c r="CM350" s="499">
        <v>3.7</v>
      </c>
      <c r="CN350" s="499">
        <v>115.1</v>
      </c>
      <c r="CO350" s="499">
        <v>404.9</v>
      </c>
      <c r="CP350" s="499">
        <v>0</v>
      </c>
      <c r="CQ350" s="499">
        <v>12.6</v>
      </c>
      <c r="CR350" s="499">
        <v>0.82</v>
      </c>
      <c r="CS350" s="386">
        <v>0</v>
      </c>
      <c r="CT350" s="386">
        <v>16.311</v>
      </c>
      <c r="CU350" s="386">
        <v>46</v>
      </c>
      <c r="CV350" s="499">
        <v>0</v>
      </c>
      <c r="CW350" s="499">
        <v>0</v>
      </c>
      <c r="CX350" s="499">
        <v>0</v>
      </c>
      <c r="CY350" s="499">
        <v>0</v>
      </c>
      <c r="CZ350" s="608">
        <v>832</v>
      </c>
      <c r="DA350" s="608">
        <v>1460</v>
      </c>
      <c r="DB350" s="608">
        <v>823</v>
      </c>
      <c r="DC350" s="608">
        <v>1077.28</v>
      </c>
      <c r="DD350" s="1153">
        <f t="shared" si="98"/>
        <v>0.74000000000000909</v>
      </c>
      <c r="DE350" s="1154">
        <f t="shared" si="99"/>
        <v>0</v>
      </c>
      <c r="DF350" s="1154">
        <f t="shared" si="100"/>
        <v>713</v>
      </c>
      <c r="DG350" s="1154">
        <f t="shared" si="101"/>
        <v>1210</v>
      </c>
      <c r="DH350" s="1155" t="str">
        <f t="shared" si="102"/>
        <v>Palm</v>
      </c>
      <c r="DI350" s="1146">
        <f t="shared" si="103"/>
        <v>637</v>
      </c>
      <c r="DJ350" s="1146">
        <f t="shared" si="104"/>
        <v>0</v>
      </c>
      <c r="DK350" s="1154">
        <f t="shared" si="105"/>
        <v>0</v>
      </c>
      <c r="DL350" s="499"/>
      <c r="DM350" s="499"/>
      <c r="DN350" s="499"/>
      <c r="DO350" s="499"/>
      <c r="DP350" s="499"/>
      <c r="DQ350" s="499"/>
      <c r="DR350" s="499"/>
      <c r="DS350" s="499"/>
      <c r="DT350" s="499"/>
      <c r="DU350" s="499"/>
      <c r="DV350" s="499"/>
      <c r="DW350" s="499"/>
      <c r="DX350" s="499"/>
      <c r="DY350" s="499"/>
      <c r="DZ350" s="499"/>
      <c r="EA350" s="499"/>
      <c r="EB350" s="499"/>
      <c r="EC350" s="499"/>
      <c r="ED350" s="499"/>
      <c r="EE350" s="499"/>
      <c r="EF350" s="499"/>
      <c r="EG350" s="1147">
        <f t="shared" si="106"/>
        <v>10.5</v>
      </c>
      <c r="EH350" s="499">
        <v>0</v>
      </c>
      <c r="EI350" s="615">
        <v>1</v>
      </c>
      <c r="EJ350" s="615">
        <v>3</v>
      </c>
      <c r="EK350" s="615">
        <v>6.5</v>
      </c>
      <c r="EL350" s="499"/>
      <c r="EM350" s="499"/>
      <c r="EN350" s="499"/>
      <c r="EO350" s="499"/>
      <c r="EP350" s="499"/>
      <c r="EQ350" s="499"/>
      <c r="ER350" s="499"/>
      <c r="ES350" s="388"/>
      <c r="ET350" s="388"/>
      <c r="EV350" s="1167">
        <f t="shared" si="94"/>
        <v>16.243500000000001</v>
      </c>
    </row>
    <row r="351" spans="1:152" s="350" customFormat="1" ht="15" x14ac:dyDescent="0.25">
      <c r="A351" s="632" t="s">
        <v>8</v>
      </c>
      <c r="B351" s="662">
        <v>43077</v>
      </c>
      <c r="C351" s="1132" t="s">
        <v>904</v>
      </c>
      <c r="D351" s="609">
        <v>0</v>
      </c>
      <c r="E351" s="739">
        <v>0</v>
      </c>
      <c r="F351" s="739">
        <v>38</v>
      </c>
      <c r="G351" s="739">
        <v>1.25</v>
      </c>
      <c r="H351" s="609">
        <v>7.38</v>
      </c>
      <c r="I351" s="609">
        <v>15.3</v>
      </c>
      <c r="J351" s="609">
        <v>0</v>
      </c>
      <c r="K351" s="609">
        <v>4.2300000000000004</v>
      </c>
      <c r="L351" s="741">
        <v>0</v>
      </c>
      <c r="M351" s="609">
        <v>22</v>
      </c>
      <c r="N351" s="609">
        <v>1.1859999999999999</v>
      </c>
      <c r="O351" s="609">
        <v>1.3816186957728194</v>
      </c>
      <c r="P351" s="609">
        <v>1.181</v>
      </c>
      <c r="Q351" s="609">
        <v>0.58953879022141487</v>
      </c>
      <c r="R351" s="609">
        <v>835.72739825581402</v>
      </c>
      <c r="S351" s="609">
        <v>8.31</v>
      </c>
      <c r="T351" s="609">
        <v>8.1300000000000008</v>
      </c>
      <c r="U351" s="609">
        <v>0.65</v>
      </c>
      <c r="V351" s="784">
        <v>0.66400000000000003</v>
      </c>
      <c r="W351" s="785">
        <v>40.460000000000008</v>
      </c>
      <c r="X351" s="786">
        <v>40.64</v>
      </c>
      <c r="Y351" s="738">
        <v>25.2</v>
      </c>
      <c r="Z351" s="739">
        <v>32.9</v>
      </c>
      <c r="AA351" s="739">
        <v>26.6</v>
      </c>
      <c r="AB351" s="739">
        <v>33</v>
      </c>
      <c r="AC351" s="1160">
        <f t="shared" si="95"/>
        <v>59.6</v>
      </c>
      <c r="AD351" s="1160">
        <f t="shared" si="96"/>
        <v>92.2012</v>
      </c>
      <c r="AE351" s="1160">
        <f t="shared" si="97"/>
        <v>92.2012</v>
      </c>
      <c r="AF351" s="723"/>
      <c r="AG351" s="1160">
        <f t="shared" si="93"/>
        <v>0</v>
      </c>
      <c r="AH351" s="656"/>
      <c r="AI351" s="656"/>
      <c r="AJ351" s="632"/>
      <c r="AK351" s="388"/>
      <c r="AL351" s="388"/>
      <c r="AM351" s="388"/>
      <c r="AN351" s="388"/>
      <c r="AO351" s="370"/>
      <c r="AP351" s="370"/>
      <c r="AQ351" s="386"/>
      <c r="AR351" s="551">
        <v>0</v>
      </c>
      <c r="AS351" s="386">
        <v>22.7</v>
      </c>
      <c r="AT351" s="386">
        <v>0</v>
      </c>
      <c r="AU351" s="386">
        <v>24.4</v>
      </c>
      <c r="AV351" s="636">
        <v>192.6</v>
      </c>
      <c r="AW351" s="636">
        <v>479.9</v>
      </c>
      <c r="AX351" s="386">
        <v>20.9</v>
      </c>
      <c r="AY351" s="551">
        <v>0</v>
      </c>
      <c r="AZ351" s="551">
        <v>0</v>
      </c>
      <c r="BA351" s="551">
        <v>0</v>
      </c>
      <c r="BB351" s="832">
        <v>0</v>
      </c>
      <c r="BC351" s="386">
        <v>1.08</v>
      </c>
      <c r="BD351" s="386">
        <v>1</v>
      </c>
      <c r="BE351" s="551">
        <v>0</v>
      </c>
      <c r="BF351" s="386">
        <v>1</v>
      </c>
      <c r="BG351" s="386">
        <v>0</v>
      </c>
      <c r="BH351" s="551">
        <v>0</v>
      </c>
      <c r="BI351" s="386">
        <v>1.01</v>
      </c>
      <c r="BJ351" s="386">
        <v>28.9</v>
      </c>
      <c r="BK351" s="386">
        <v>3.08</v>
      </c>
      <c r="BL351" s="386">
        <v>3.35</v>
      </c>
      <c r="BM351" s="386">
        <v>0</v>
      </c>
      <c r="BN351" s="386">
        <v>22.5</v>
      </c>
      <c r="BO351" s="386">
        <v>1068.7</v>
      </c>
      <c r="BP351" s="386">
        <v>2.8</v>
      </c>
      <c r="BQ351" s="615">
        <v>20.2</v>
      </c>
      <c r="BR351" s="615">
        <v>21.06</v>
      </c>
      <c r="BS351" s="615">
        <v>11.7</v>
      </c>
      <c r="BT351" s="615">
        <v>11.83</v>
      </c>
      <c r="BU351" s="614">
        <v>24.8</v>
      </c>
      <c r="BV351" s="614">
        <v>27.1</v>
      </c>
      <c r="BW351" s="499">
        <v>731</v>
      </c>
      <c r="BX351" s="793"/>
      <c r="BY351" s="499">
        <v>0</v>
      </c>
      <c r="BZ351" s="499">
        <v>1.21</v>
      </c>
      <c r="CA351" s="499">
        <v>1.2</v>
      </c>
      <c r="CB351" s="499">
        <v>8.4</v>
      </c>
      <c r="CC351" s="499">
        <v>8.1999999999999993</v>
      </c>
      <c r="CD351" s="499">
        <v>15.8</v>
      </c>
      <c r="CE351" s="499">
        <v>35.200000000000003</v>
      </c>
      <c r="CF351" s="499">
        <v>13.5</v>
      </c>
      <c r="CG351" s="499">
        <v>6.3</v>
      </c>
      <c r="CH351" s="499">
        <v>11.7</v>
      </c>
      <c r="CI351" s="499">
        <v>15.7</v>
      </c>
      <c r="CJ351" s="499">
        <v>12.96</v>
      </c>
      <c r="CK351" s="499">
        <v>514.79999999999995</v>
      </c>
      <c r="CL351" s="499">
        <v>2.4</v>
      </c>
      <c r="CM351" s="499">
        <v>3.6</v>
      </c>
      <c r="CN351" s="499">
        <v>117.1</v>
      </c>
      <c r="CO351" s="499">
        <v>414.3</v>
      </c>
      <c r="CP351" s="499">
        <v>0</v>
      </c>
      <c r="CQ351" s="499">
        <v>12.6</v>
      </c>
      <c r="CR351" s="499">
        <v>0.8</v>
      </c>
      <c r="CS351" s="386">
        <v>0</v>
      </c>
      <c r="CT351" s="386">
        <v>16.356999999999999</v>
      </c>
      <c r="CU351" s="386">
        <v>45</v>
      </c>
      <c r="CV351" s="499">
        <v>0</v>
      </c>
      <c r="CW351" s="499">
        <v>0</v>
      </c>
      <c r="CX351" s="499">
        <v>0</v>
      </c>
      <c r="CY351" s="499">
        <v>0</v>
      </c>
      <c r="CZ351" s="608">
        <v>753</v>
      </c>
      <c r="DA351" s="608">
        <v>1350</v>
      </c>
      <c r="DB351" s="608">
        <v>737</v>
      </c>
      <c r="DC351" s="608">
        <v>1077.9100000000001</v>
      </c>
      <c r="DD351" s="1153">
        <f t="shared" si="98"/>
        <v>0.63000000000010914</v>
      </c>
      <c r="DE351" s="1154">
        <f t="shared" si="99"/>
        <v>0</v>
      </c>
      <c r="DF351" s="1154">
        <f t="shared" si="100"/>
        <v>627</v>
      </c>
      <c r="DG351" s="1154">
        <f t="shared" si="101"/>
        <v>1100</v>
      </c>
      <c r="DH351" s="1155" t="str">
        <f t="shared" si="102"/>
        <v>Palm</v>
      </c>
      <c r="DI351" s="1146">
        <f t="shared" si="103"/>
        <v>613</v>
      </c>
      <c r="DJ351" s="1146">
        <f t="shared" si="104"/>
        <v>0</v>
      </c>
      <c r="DK351" s="1154">
        <f t="shared" si="105"/>
        <v>0</v>
      </c>
      <c r="DL351" s="499"/>
      <c r="DM351" s="499"/>
      <c r="DN351" s="499"/>
      <c r="DO351" s="499"/>
      <c r="DP351" s="499"/>
      <c r="DQ351" s="499"/>
      <c r="DR351" s="499"/>
      <c r="DS351" s="499"/>
      <c r="DT351" s="499"/>
      <c r="DU351" s="499"/>
      <c r="DV351" s="499"/>
      <c r="DW351" s="499"/>
      <c r="DX351" s="499"/>
      <c r="DY351" s="499"/>
      <c r="DZ351" s="499"/>
      <c r="EA351" s="499"/>
      <c r="EB351" s="499"/>
      <c r="EC351" s="499"/>
      <c r="ED351" s="499"/>
      <c r="EE351" s="499"/>
      <c r="EF351" s="499"/>
      <c r="EG351" s="1147">
        <f t="shared" ref="EG351:EG364" si="107">(SUM(EH351:EK351))</f>
        <v>10.5</v>
      </c>
      <c r="EH351" s="499">
        <v>0</v>
      </c>
      <c r="EI351" s="615">
        <v>1</v>
      </c>
      <c r="EJ351" s="615">
        <v>3</v>
      </c>
      <c r="EK351" s="615">
        <v>6.5</v>
      </c>
      <c r="EL351" s="499"/>
      <c r="EM351" s="499"/>
      <c r="EN351" s="499"/>
      <c r="EO351" s="499"/>
      <c r="EP351" s="499"/>
      <c r="EQ351" s="499"/>
      <c r="ER351" s="499"/>
      <c r="ES351" s="388"/>
      <c r="ET351" s="388"/>
      <c r="EV351" s="1167">
        <f t="shared" si="94"/>
        <v>16.243500000000001</v>
      </c>
    </row>
    <row r="352" spans="1:152" s="350" customFormat="1" ht="15" x14ac:dyDescent="0.25">
      <c r="A352" s="632" t="s">
        <v>9</v>
      </c>
      <c r="B352" s="662">
        <v>43078</v>
      </c>
      <c r="C352" s="1132" t="s">
        <v>904</v>
      </c>
      <c r="D352" s="609">
        <v>0</v>
      </c>
      <c r="E352" s="739">
        <v>0</v>
      </c>
      <c r="F352" s="739">
        <v>38</v>
      </c>
      <c r="G352" s="739">
        <v>1.25</v>
      </c>
      <c r="H352" s="609">
        <v>7.08</v>
      </c>
      <c r="I352" s="609">
        <v>12.8</v>
      </c>
      <c r="J352" s="609">
        <v>0</v>
      </c>
      <c r="K352" s="609">
        <v>3.87</v>
      </c>
      <c r="L352" s="741">
        <v>0</v>
      </c>
      <c r="M352" s="609">
        <v>22.1</v>
      </c>
      <c r="N352" s="609">
        <v>1.214</v>
      </c>
      <c r="O352" s="609">
        <v>1.3836091234347754</v>
      </c>
      <c r="P352" s="609">
        <v>1.2030000000000001</v>
      </c>
      <c r="Q352" s="609">
        <v>0.59323882446966636</v>
      </c>
      <c r="R352" s="609">
        <v>820.39295058139544</v>
      </c>
      <c r="S352" s="609">
        <v>8.3699999999999992</v>
      </c>
      <c r="T352" s="609">
        <v>8.3699999999999992</v>
      </c>
      <c r="U352" s="609">
        <v>0.69899999999999995</v>
      </c>
      <c r="V352" s="784">
        <v>0.67600000000000005</v>
      </c>
      <c r="W352" s="785">
        <v>39.56</v>
      </c>
      <c r="X352" s="786">
        <v>39.92</v>
      </c>
      <c r="Y352" s="738">
        <v>26.6</v>
      </c>
      <c r="Z352" s="739">
        <v>33</v>
      </c>
      <c r="AA352" s="739">
        <v>25.1</v>
      </c>
      <c r="AB352" s="739">
        <v>32.9</v>
      </c>
      <c r="AC352" s="1160">
        <f t="shared" si="95"/>
        <v>58</v>
      </c>
      <c r="AD352" s="1160">
        <f t="shared" si="96"/>
        <v>89.725999999999999</v>
      </c>
      <c r="AE352" s="1160">
        <f t="shared" si="97"/>
        <v>89.725999999999999</v>
      </c>
      <c r="AF352" s="723"/>
      <c r="AG352" s="1160">
        <f t="shared" si="93"/>
        <v>0</v>
      </c>
      <c r="AH352" s="656"/>
      <c r="AI352" s="656"/>
      <c r="AJ352" s="632"/>
      <c r="AK352" s="388"/>
      <c r="AL352" s="388"/>
      <c r="AM352" s="388"/>
      <c r="AN352" s="388"/>
      <c r="AO352" s="370"/>
      <c r="AP352" s="370"/>
      <c r="AQ352" s="386"/>
      <c r="AR352" s="551">
        <v>0</v>
      </c>
      <c r="AS352" s="386">
        <v>17.7</v>
      </c>
      <c r="AT352" s="386">
        <v>0</v>
      </c>
      <c r="AU352" s="386">
        <v>23</v>
      </c>
      <c r="AV352" s="636">
        <v>183.6</v>
      </c>
      <c r="AW352" s="636">
        <v>492.1</v>
      </c>
      <c r="AX352" s="386">
        <v>0</v>
      </c>
      <c r="AY352" s="551">
        <v>0</v>
      </c>
      <c r="AZ352" s="551">
        <v>0</v>
      </c>
      <c r="BA352" s="551">
        <v>0</v>
      </c>
      <c r="BB352" s="832">
        <v>0</v>
      </c>
      <c r="BC352" s="1171">
        <v>0.5</v>
      </c>
      <c r="BD352" s="1171">
        <v>1</v>
      </c>
      <c r="BE352" s="1171">
        <v>0</v>
      </c>
      <c r="BF352" s="1171">
        <v>1.5</v>
      </c>
      <c r="BG352" s="386">
        <v>0</v>
      </c>
      <c r="BH352" s="551">
        <v>0</v>
      </c>
      <c r="BI352" s="386">
        <v>1.01</v>
      </c>
      <c r="BJ352" s="386">
        <v>28.9</v>
      </c>
      <c r="BK352" s="386">
        <v>3.26</v>
      </c>
      <c r="BL352" s="386">
        <v>3.13</v>
      </c>
      <c r="BM352" s="386">
        <v>0</v>
      </c>
      <c r="BN352" s="386">
        <v>22.5</v>
      </c>
      <c r="BO352" s="386">
        <v>1197.0999999999999</v>
      </c>
      <c r="BP352" s="386">
        <v>2.8</v>
      </c>
      <c r="BQ352" s="615">
        <v>19.8</v>
      </c>
      <c r="BR352" s="615">
        <v>20.7</v>
      </c>
      <c r="BS352" s="615">
        <v>10.9</v>
      </c>
      <c r="BT352" s="615">
        <v>11.1</v>
      </c>
      <c r="BU352" s="614">
        <v>23.5</v>
      </c>
      <c r="BV352" s="614">
        <v>28.8</v>
      </c>
      <c r="BW352" s="499">
        <v>622.4</v>
      </c>
      <c r="BX352" s="793"/>
      <c r="BY352" s="499">
        <v>0</v>
      </c>
      <c r="BZ352" s="499">
        <v>1.22</v>
      </c>
      <c r="CA352" s="499">
        <v>1.2</v>
      </c>
      <c r="CB352" s="499">
        <v>8.5</v>
      </c>
      <c r="CC352" s="499">
        <v>8.3000000000000007</v>
      </c>
      <c r="CD352" s="499">
        <v>16.100000000000001</v>
      </c>
      <c r="CE352" s="499">
        <v>35.299999999999997</v>
      </c>
      <c r="CF352" s="499">
        <v>14.2</v>
      </c>
      <c r="CG352" s="499">
        <v>6.5</v>
      </c>
      <c r="CH352" s="499">
        <v>12</v>
      </c>
      <c r="CI352" s="499">
        <v>16</v>
      </c>
      <c r="CJ352" s="499">
        <v>13.3</v>
      </c>
      <c r="CK352" s="499">
        <v>526.6</v>
      </c>
      <c r="CL352" s="499">
        <v>2.8</v>
      </c>
      <c r="CM352" s="499">
        <v>3.8</v>
      </c>
      <c r="CN352" s="499">
        <v>184.6</v>
      </c>
      <c r="CO352" s="499">
        <v>426.5</v>
      </c>
      <c r="CP352" s="499">
        <v>0</v>
      </c>
      <c r="CQ352" s="499">
        <v>12.5</v>
      </c>
      <c r="CR352" s="499">
        <v>0.77</v>
      </c>
      <c r="CS352" s="386">
        <v>0</v>
      </c>
      <c r="CT352" s="386">
        <v>17.018000000000001</v>
      </c>
      <c r="CU352" s="386">
        <v>45</v>
      </c>
      <c r="CV352" s="499">
        <v>0</v>
      </c>
      <c r="CW352" s="499">
        <v>0</v>
      </c>
      <c r="CX352" s="499">
        <v>0</v>
      </c>
      <c r="CY352" s="499">
        <v>0</v>
      </c>
      <c r="CZ352" s="608">
        <v>758</v>
      </c>
      <c r="DA352" s="608">
        <v>1260</v>
      </c>
      <c r="DB352" s="608">
        <v>747</v>
      </c>
      <c r="DC352" s="608">
        <v>1078.23</v>
      </c>
      <c r="DD352" s="1153">
        <f t="shared" si="98"/>
        <v>0.31999999999993634</v>
      </c>
      <c r="DE352" s="1154">
        <f t="shared" si="99"/>
        <v>0</v>
      </c>
      <c r="DF352" s="1154">
        <f t="shared" si="100"/>
        <v>637</v>
      </c>
      <c r="DG352" s="1154">
        <f t="shared" si="101"/>
        <v>1010</v>
      </c>
      <c r="DH352" s="1155" t="str">
        <f t="shared" si="102"/>
        <v>Palm</v>
      </c>
      <c r="DI352" s="1146">
        <f t="shared" si="103"/>
        <v>513</v>
      </c>
      <c r="DJ352" s="1146">
        <f t="shared" si="104"/>
        <v>0</v>
      </c>
      <c r="DK352" s="1154">
        <f t="shared" si="105"/>
        <v>0</v>
      </c>
      <c r="DL352" s="499"/>
      <c r="DM352" s="499"/>
      <c r="DN352" s="499"/>
      <c r="DO352" s="499"/>
      <c r="DP352" s="499"/>
      <c r="DQ352" s="499"/>
      <c r="DR352" s="499"/>
      <c r="DS352" s="499"/>
      <c r="DT352" s="499"/>
      <c r="DU352" s="499"/>
      <c r="DV352" s="499"/>
      <c r="DW352" s="499"/>
      <c r="DX352" s="499"/>
      <c r="DY352" s="499"/>
      <c r="DZ352" s="499"/>
      <c r="EA352" s="499"/>
      <c r="EB352" s="499"/>
      <c r="EC352" s="499"/>
      <c r="ED352" s="499"/>
      <c r="EE352" s="499"/>
      <c r="EF352" s="499"/>
      <c r="EG352" s="1147">
        <f t="shared" si="107"/>
        <v>10.5</v>
      </c>
      <c r="EH352" s="499">
        <v>0</v>
      </c>
      <c r="EI352" s="615">
        <v>1</v>
      </c>
      <c r="EJ352" s="615">
        <v>3</v>
      </c>
      <c r="EK352" s="615">
        <v>6.5</v>
      </c>
      <c r="EL352" s="499"/>
      <c r="EM352" s="499"/>
      <c r="EN352" s="499"/>
      <c r="EO352" s="499"/>
      <c r="EP352" s="499"/>
      <c r="EQ352" s="499"/>
      <c r="ER352" s="499"/>
      <c r="ES352" s="388"/>
      <c r="ET352" s="388"/>
      <c r="EV352" s="1167">
        <f t="shared" si="94"/>
        <v>16.243500000000001</v>
      </c>
    </row>
    <row r="353" spans="1:152" s="350" customFormat="1" ht="15" x14ac:dyDescent="0.25">
      <c r="A353" s="632" t="s">
        <v>3</v>
      </c>
      <c r="B353" s="662">
        <v>43079</v>
      </c>
      <c r="C353" s="1132" t="s">
        <v>904</v>
      </c>
      <c r="D353" s="609">
        <v>0</v>
      </c>
      <c r="E353" s="739">
        <v>0</v>
      </c>
      <c r="F353" s="739">
        <v>39</v>
      </c>
      <c r="G353" s="739">
        <v>1.25</v>
      </c>
      <c r="H353" s="609">
        <v>7.81</v>
      </c>
      <c r="I353" s="609">
        <v>13.2</v>
      </c>
      <c r="J353" s="609">
        <v>0</v>
      </c>
      <c r="K353" s="609">
        <v>4.46</v>
      </c>
      <c r="L353" s="741">
        <v>0</v>
      </c>
      <c r="M353" s="609">
        <v>21.9</v>
      </c>
      <c r="N353" s="609">
        <v>1.2270000000000001</v>
      </c>
      <c r="O353" s="609">
        <v>1.3806834787695867</v>
      </c>
      <c r="P353" s="609">
        <v>1.2390000000000001</v>
      </c>
      <c r="Q353" s="609">
        <v>0.59001047692809017</v>
      </c>
      <c r="R353" s="609">
        <v>798.39135174418607</v>
      </c>
      <c r="S353" s="609">
        <v>8.32</v>
      </c>
      <c r="T353" s="609">
        <v>8.33</v>
      </c>
      <c r="U353" s="609">
        <v>0.70599999999999996</v>
      </c>
      <c r="V353" s="784">
        <v>0.69899999999999995</v>
      </c>
      <c r="W353" s="785">
        <v>38.480000000000004</v>
      </c>
      <c r="X353" s="786">
        <v>39.019999999999996</v>
      </c>
      <c r="Y353" s="738">
        <v>25.1</v>
      </c>
      <c r="Z353" s="739">
        <v>32.9</v>
      </c>
      <c r="AA353" s="739">
        <v>24.5</v>
      </c>
      <c r="AB353" s="739">
        <v>33</v>
      </c>
      <c r="AC353" s="1160">
        <f t="shared" si="95"/>
        <v>57.5</v>
      </c>
      <c r="AD353" s="1160">
        <f t="shared" si="96"/>
        <v>88.952500000000001</v>
      </c>
      <c r="AE353" s="1160">
        <f t="shared" si="97"/>
        <v>88.952500000000001</v>
      </c>
      <c r="AF353" s="723"/>
      <c r="AG353" s="1160">
        <f t="shared" si="93"/>
        <v>0</v>
      </c>
      <c r="AH353" s="656"/>
      <c r="AI353" s="656"/>
      <c r="AJ353" s="632"/>
      <c r="AK353" s="388"/>
      <c r="AL353" s="388"/>
      <c r="AM353" s="388"/>
      <c r="AN353" s="388"/>
      <c r="AO353" s="370"/>
      <c r="AP353" s="370"/>
      <c r="AQ353" s="386"/>
      <c r="AR353" s="551">
        <v>0</v>
      </c>
      <c r="AS353" s="386">
        <v>16.5</v>
      </c>
      <c r="AT353" s="386">
        <v>0</v>
      </c>
      <c r="AU353" s="386">
        <v>22.1</v>
      </c>
      <c r="AV353" s="636">
        <v>241.4</v>
      </c>
      <c r="AW353" s="636">
        <v>331</v>
      </c>
      <c r="AX353" s="386">
        <v>0</v>
      </c>
      <c r="AY353" s="551">
        <v>0</v>
      </c>
      <c r="AZ353" s="551">
        <v>0</v>
      </c>
      <c r="BA353" s="551">
        <v>0</v>
      </c>
      <c r="BB353" s="832">
        <v>0</v>
      </c>
      <c r="BC353" s="1171">
        <v>0.5</v>
      </c>
      <c r="BD353" s="1171">
        <v>1</v>
      </c>
      <c r="BE353" s="1171">
        <v>0</v>
      </c>
      <c r="BF353" s="1171">
        <v>1.5</v>
      </c>
      <c r="BG353" s="386">
        <v>0</v>
      </c>
      <c r="BH353" s="551">
        <v>0</v>
      </c>
      <c r="BI353" s="386">
        <v>1.01</v>
      </c>
      <c r="BJ353" s="386">
        <v>28.9</v>
      </c>
      <c r="BK353" s="386">
        <v>3.45</v>
      </c>
      <c r="BL353" s="386">
        <v>3.04</v>
      </c>
      <c r="BM353" s="386">
        <v>0</v>
      </c>
      <c r="BN353" s="386">
        <v>22.4</v>
      </c>
      <c r="BO353" s="386">
        <v>1202.9000000000001</v>
      </c>
      <c r="BP353" s="386">
        <v>2.7</v>
      </c>
      <c r="BQ353" s="615">
        <v>19.100000000000001</v>
      </c>
      <c r="BR353" s="615">
        <v>20</v>
      </c>
      <c r="BS353" s="615">
        <v>10.5</v>
      </c>
      <c r="BT353" s="615">
        <v>10.6</v>
      </c>
      <c r="BU353" s="614">
        <v>22.7</v>
      </c>
      <c r="BV353" s="614">
        <v>29.3</v>
      </c>
      <c r="BW353" s="499">
        <v>769.2</v>
      </c>
      <c r="BX353" s="793"/>
      <c r="BY353" s="499">
        <v>0</v>
      </c>
      <c r="BZ353" s="499">
        <v>1.25</v>
      </c>
      <c r="CA353" s="499">
        <v>1.2</v>
      </c>
      <c r="CB353" s="499">
        <v>8.5</v>
      </c>
      <c r="CC353" s="499">
        <v>8.3000000000000007</v>
      </c>
      <c r="CD353" s="499">
        <v>16.7</v>
      </c>
      <c r="CE353" s="499">
        <v>35.299999999999997</v>
      </c>
      <c r="CF353" s="499">
        <v>13.1</v>
      </c>
      <c r="CG353" s="499">
        <v>6.6</v>
      </c>
      <c r="CH353" s="499">
        <v>12.1</v>
      </c>
      <c r="CI353" s="499">
        <v>16</v>
      </c>
      <c r="CJ353" s="499">
        <v>13.9</v>
      </c>
      <c r="CK353" s="499">
        <v>527.5</v>
      </c>
      <c r="CL353" s="499">
        <v>2.7</v>
      </c>
      <c r="CM353" s="499">
        <v>3.6</v>
      </c>
      <c r="CN353" s="499">
        <v>200.6</v>
      </c>
      <c r="CO353" s="499">
        <v>441.2</v>
      </c>
      <c r="CP353" s="499">
        <v>0</v>
      </c>
      <c r="CQ353" s="499">
        <v>12.4</v>
      </c>
      <c r="CR353" s="499">
        <v>0.75</v>
      </c>
      <c r="CS353" s="386">
        <v>0</v>
      </c>
      <c r="CT353" s="386">
        <v>16.952999999999999</v>
      </c>
      <c r="CU353" s="386">
        <v>44</v>
      </c>
      <c r="CV353" s="499">
        <v>0</v>
      </c>
      <c r="CW353" s="499">
        <v>0</v>
      </c>
      <c r="CX353" s="499">
        <v>0</v>
      </c>
      <c r="CY353" s="499">
        <v>0</v>
      </c>
      <c r="CZ353" s="608">
        <v>749</v>
      </c>
      <c r="DA353" s="608">
        <v>1220</v>
      </c>
      <c r="DB353" s="608">
        <v>723</v>
      </c>
      <c r="DC353" s="608">
        <v>1077.49</v>
      </c>
      <c r="DD353" s="1153">
        <f t="shared" si="98"/>
        <v>-0.74000000000000909</v>
      </c>
      <c r="DE353" s="1154">
        <f t="shared" si="99"/>
        <v>0</v>
      </c>
      <c r="DF353" s="1154">
        <f t="shared" si="100"/>
        <v>613</v>
      </c>
      <c r="DG353" s="1154">
        <f t="shared" si="101"/>
        <v>970</v>
      </c>
      <c r="DH353" s="1155" t="str">
        <f t="shared" si="102"/>
        <v>Palm</v>
      </c>
      <c r="DI353" s="1146">
        <f t="shared" si="103"/>
        <v>497</v>
      </c>
      <c r="DJ353" s="1146">
        <f t="shared" si="104"/>
        <v>0</v>
      </c>
      <c r="DK353" s="1154">
        <f t="shared" si="105"/>
        <v>0</v>
      </c>
      <c r="DL353" s="499"/>
      <c r="DM353" s="499"/>
      <c r="DN353" s="499"/>
      <c r="DO353" s="499"/>
      <c r="DP353" s="499"/>
      <c r="DQ353" s="499"/>
      <c r="DR353" s="499"/>
      <c r="DS353" s="499"/>
      <c r="DT353" s="499"/>
      <c r="DU353" s="499"/>
      <c r="DV353" s="499"/>
      <c r="DW353" s="499"/>
      <c r="DX353" s="499"/>
      <c r="DY353" s="499"/>
      <c r="DZ353" s="499"/>
      <c r="EA353" s="499"/>
      <c r="EB353" s="499"/>
      <c r="EC353" s="499"/>
      <c r="ED353" s="499"/>
      <c r="EE353" s="499"/>
      <c r="EF353" s="499"/>
      <c r="EG353" s="1147">
        <f t="shared" si="107"/>
        <v>10.5</v>
      </c>
      <c r="EH353" s="499">
        <v>0</v>
      </c>
      <c r="EI353" s="615">
        <v>1</v>
      </c>
      <c r="EJ353" s="615">
        <v>3</v>
      </c>
      <c r="EK353" s="615">
        <v>6.5</v>
      </c>
      <c r="EL353" s="499"/>
      <c r="EM353" s="499"/>
      <c r="EN353" s="499"/>
      <c r="EO353" s="499"/>
      <c r="EP353" s="499"/>
      <c r="EQ353" s="499"/>
      <c r="ER353" s="499"/>
      <c r="ES353" s="388"/>
      <c r="ET353" s="388"/>
      <c r="EV353" s="1167">
        <f t="shared" si="94"/>
        <v>16.243500000000001</v>
      </c>
    </row>
    <row r="354" spans="1:152" s="350" customFormat="1" ht="16.2" x14ac:dyDescent="0.35">
      <c r="A354" s="632" t="s">
        <v>4</v>
      </c>
      <c r="B354" s="662">
        <v>43080</v>
      </c>
      <c r="C354" s="1132" t="s">
        <v>904</v>
      </c>
      <c r="D354" s="386">
        <v>0</v>
      </c>
      <c r="E354" s="636">
        <v>0</v>
      </c>
      <c r="F354" s="636">
        <v>36.299999999999997</v>
      </c>
      <c r="G354" s="636">
        <v>1.2</v>
      </c>
      <c r="H354" s="386">
        <v>10.24</v>
      </c>
      <c r="I354" s="386">
        <v>12.6</v>
      </c>
      <c r="J354" s="609">
        <v>0</v>
      </c>
      <c r="K354" s="386">
        <v>7.16</v>
      </c>
      <c r="L354" s="610">
        <v>0</v>
      </c>
      <c r="M354" s="386">
        <v>21.9</v>
      </c>
      <c r="N354" s="386">
        <v>1.24</v>
      </c>
      <c r="O354" s="386">
        <v>1.3818129145682267</v>
      </c>
      <c r="P354" s="386">
        <v>1.25</v>
      </c>
      <c r="Q354" s="386">
        <v>0.59649298481392765</v>
      </c>
      <c r="R354" s="386">
        <v>841.39447674418591</v>
      </c>
      <c r="S354" s="386">
        <v>8.31</v>
      </c>
      <c r="T354" s="386">
        <v>8.3000000000000007</v>
      </c>
      <c r="U354" s="386">
        <v>0.75</v>
      </c>
      <c r="V354" s="387">
        <v>0.71</v>
      </c>
      <c r="W354" s="783">
        <v>38.660000000000011</v>
      </c>
      <c r="X354" s="369">
        <v>38.660000000000011</v>
      </c>
      <c r="Y354" s="367">
        <v>24.5</v>
      </c>
      <c r="Z354" s="636">
        <v>33</v>
      </c>
      <c r="AA354" s="636">
        <v>24.3</v>
      </c>
      <c r="AB354" s="636">
        <v>35</v>
      </c>
      <c r="AC354" s="1160">
        <f t="shared" si="95"/>
        <v>59.3</v>
      </c>
      <c r="AD354" s="1160">
        <f t="shared" si="96"/>
        <v>91.737099999999998</v>
      </c>
      <c r="AE354" s="1160">
        <f t="shared" si="97"/>
        <v>91.737099999999998</v>
      </c>
      <c r="AF354" s="723"/>
      <c r="AG354" s="1160">
        <f t="shared" si="93"/>
        <v>0</v>
      </c>
      <c r="AH354" s="656"/>
      <c r="AI354" s="656"/>
      <c r="AJ354" s="632"/>
      <c r="AK354" s="388"/>
      <c r="AL354" s="388"/>
      <c r="AM354" s="388"/>
      <c r="AN354" s="388"/>
      <c r="AO354" s="370"/>
      <c r="AP354" s="370"/>
      <c r="AQ354" s="386"/>
      <c r="AR354" s="551">
        <v>0</v>
      </c>
      <c r="AS354" s="386">
        <v>22.2</v>
      </c>
      <c r="AT354" s="386">
        <v>0</v>
      </c>
      <c r="AU354" s="386">
        <v>22.1</v>
      </c>
      <c r="AV354" s="636">
        <v>186.3</v>
      </c>
      <c r="AW354" s="636">
        <v>260.2</v>
      </c>
      <c r="AX354" s="386">
        <v>0</v>
      </c>
      <c r="AY354" s="551">
        <v>0</v>
      </c>
      <c r="AZ354" s="551">
        <v>0</v>
      </c>
      <c r="BA354" s="551">
        <v>0</v>
      </c>
      <c r="BB354" s="832">
        <v>0</v>
      </c>
      <c r="BC354" s="1171">
        <v>0.5</v>
      </c>
      <c r="BD354" s="1171">
        <v>1</v>
      </c>
      <c r="BE354" s="1171">
        <v>0</v>
      </c>
      <c r="BF354" s="1171">
        <v>1.5</v>
      </c>
      <c r="BG354" s="386">
        <v>0</v>
      </c>
      <c r="BH354" s="551">
        <v>0</v>
      </c>
      <c r="BI354" s="386">
        <v>1.01</v>
      </c>
      <c r="BJ354" s="386">
        <v>30.9</v>
      </c>
      <c r="BK354" s="386">
        <v>2.92</v>
      </c>
      <c r="BL354" s="386">
        <v>3.57</v>
      </c>
      <c r="BM354" s="386">
        <v>0</v>
      </c>
      <c r="BN354" s="386">
        <v>24.5</v>
      </c>
      <c r="BO354" s="386">
        <v>1063.3</v>
      </c>
      <c r="BP354" s="386">
        <v>48.5</v>
      </c>
      <c r="BQ354" s="615">
        <v>20.100000000000001</v>
      </c>
      <c r="BR354" s="615">
        <v>21</v>
      </c>
      <c r="BS354" s="615">
        <v>10.6</v>
      </c>
      <c r="BT354" s="615">
        <v>10.7</v>
      </c>
      <c r="BU354" s="614">
        <v>22.9</v>
      </c>
      <c r="BV354" s="614">
        <v>23.6</v>
      </c>
      <c r="BW354" s="499">
        <v>731.9</v>
      </c>
      <c r="BX354" s="793"/>
      <c r="BY354" s="499">
        <v>0</v>
      </c>
      <c r="BZ354" s="499">
        <v>1.29</v>
      </c>
      <c r="CA354" s="499">
        <v>1.2</v>
      </c>
      <c r="CB354" s="499">
        <v>8.5</v>
      </c>
      <c r="CC354" s="499">
        <v>8.3000000000000007</v>
      </c>
      <c r="CD354" s="499">
        <v>15.9</v>
      </c>
      <c r="CE354" s="499">
        <v>35.5</v>
      </c>
      <c r="CF354" s="499">
        <v>12.2</v>
      </c>
      <c r="CG354" s="499">
        <v>6.3</v>
      </c>
      <c r="CH354" s="499">
        <v>11.7</v>
      </c>
      <c r="CI354" s="499">
        <v>15.8</v>
      </c>
      <c r="CJ354" s="499">
        <v>13</v>
      </c>
      <c r="CK354" s="499">
        <v>494</v>
      </c>
      <c r="CL354" s="499">
        <v>2.1</v>
      </c>
      <c r="CM354" s="499">
        <v>3.5</v>
      </c>
      <c r="CN354" s="499">
        <v>125.7</v>
      </c>
      <c r="CO354" s="499">
        <v>407.7</v>
      </c>
      <c r="CP354" s="499">
        <v>0</v>
      </c>
      <c r="CQ354" s="499">
        <v>12.2</v>
      </c>
      <c r="CR354" s="499">
        <v>0.76</v>
      </c>
      <c r="CS354" s="386">
        <v>0</v>
      </c>
      <c r="CT354" s="386">
        <v>16.062999999999999</v>
      </c>
      <c r="CU354" s="386">
        <v>44</v>
      </c>
      <c r="CV354" s="499">
        <v>0</v>
      </c>
      <c r="CW354" s="499">
        <v>0</v>
      </c>
      <c r="CX354" s="499">
        <v>0</v>
      </c>
      <c r="CY354" s="499">
        <v>0</v>
      </c>
      <c r="CZ354" s="608">
        <v>600</v>
      </c>
      <c r="DA354" s="608">
        <v>1097</v>
      </c>
      <c r="DB354" s="608">
        <v>542</v>
      </c>
      <c r="DC354" s="966">
        <v>1077.5</v>
      </c>
      <c r="DD354" s="1153">
        <f t="shared" si="98"/>
        <v>9.9999999999909051E-3</v>
      </c>
      <c r="DE354" s="1154">
        <f t="shared" si="99"/>
        <v>0</v>
      </c>
      <c r="DF354" s="1154">
        <f t="shared" si="100"/>
        <v>432</v>
      </c>
      <c r="DG354" s="1154">
        <f t="shared" si="101"/>
        <v>847</v>
      </c>
      <c r="DH354" s="1155" t="str">
        <f t="shared" si="102"/>
        <v>Palm</v>
      </c>
      <c r="DI354" s="1146">
        <f t="shared" si="103"/>
        <v>555</v>
      </c>
      <c r="DJ354" s="1146">
        <f t="shared" si="104"/>
        <v>0</v>
      </c>
      <c r="DK354" s="1154">
        <f t="shared" si="105"/>
        <v>0</v>
      </c>
      <c r="DL354" s="499"/>
      <c r="DM354" s="499"/>
      <c r="DN354" s="499"/>
      <c r="DO354" s="499"/>
      <c r="DP354" s="499"/>
      <c r="DQ354" s="499"/>
      <c r="DR354" s="499"/>
      <c r="DS354" s="499"/>
      <c r="DT354" s="499"/>
      <c r="DU354" s="499"/>
      <c r="DV354" s="499"/>
      <c r="DW354" s="499"/>
      <c r="DX354" s="499"/>
      <c r="DY354" s="499"/>
      <c r="DZ354" s="499"/>
      <c r="EA354" s="499"/>
      <c r="EB354" s="499"/>
      <c r="EC354" s="499"/>
      <c r="ED354" s="499"/>
      <c r="EE354" s="499"/>
      <c r="EF354" s="499"/>
      <c r="EG354" s="1147">
        <f t="shared" si="107"/>
        <v>10.5</v>
      </c>
      <c r="EH354" s="499">
        <v>0</v>
      </c>
      <c r="EI354" s="615">
        <v>1</v>
      </c>
      <c r="EJ354" s="615">
        <v>3</v>
      </c>
      <c r="EK354" s="615">
        <v>6.5</v>
      </c>
      <c r="EL354" s="499"/>
      <c r="EM354" s="499"/>
      <c r="EN354" s="499"/>
      <c r="EO354" s="499"/>
      <c r="EP354" s="499"/>
      <c r="EQ354" s="499"/>
      <c r="ER354" s="499"/>
      <c r="ES354" s="388"/>
      <c r="ET354" s="388"/>
      <c r="EV354" s="1167">
        <f t="shared" si="94"/>
        <v>16.243500000000001</v>
      </c>
    </row>
    <row r="355" spans="1:152" s="350" customFormat="1" ht="15" x14ac:dyDescent="0.25">
      <c r="A355" s="632" t="s">
        <v>5</v>
      </c>
      <c r="B355" s="662">
        <v>43081</v>
      </c>
      <c r="C355" s="1132" t="s">
        <v>904</v>
      </c>
      <c r="D355" s="386">
        <v>0</v>
      </c>
      <c r="E355" s="636">
        <v>0</v>
      </c>
      <c r="F355" s="636">
        <v>40.1</v>
      </c>
      <c r="G355" s="636">
        <v>1.2</v>
      </c>
      <c r="H355" s="386">
        <v>5.26</v>
      </c>
      <c r="I355" s="386">
        <v>12.6</v>
      </c>
      <c r="J355" s="609">
        <v>0</v>
      </c>
      <c r="K355" s="386">
        <v>4.6500000000000004</v>
      </c>
      <c r="L355" s="610">
        <v>0</v>
      </c>
      <c r="M355" s="386">
        <v>21.7</v>
      </c>
      <c r="N355" s="386">
        <v>1.22</v>
      </c>
      <c r="O355" s="386">
        <v>1.3704318936880431</v>
      </c>
      <c r="P355" s="386">
        <v>1.24</v>
      </c>
      <c r="Q355" s="386">
        <v>0.59263260416909624</v>
      </c>
      <c r="R355" s="386">
        <v>855.06213662790697</v>
      </c>
      <c r="S355" s="386">
        <v>8.24</v>
      </c>
      <c r="T355" s="386">
        <v>8.18</v>
      </c>
      <c r="U355" s="386">
        <v>0.74</v>
      </c>
      <c r="V355" s="387">
        <v>0.72</v>
      </c>
      <c r="W355" s="783">
        <v>38.120000000000005</v>
      </c>
      <c r="X355" s="369">
        <v>38.480000000000004</v>
      </c>
      <c r="Y355" s="367">
        <v>24.3</v>
      </c>
      <c r="Z355" s="636">
        <v>35</v>
      </c>
      <c r="AA355" s="636">
        <v>24.5</v>
      </c>
      <c r="AB355" s="636">
        <v>36.1</v>
      </c>
      <c r="AC355" s="1160">
        <f t="shared" si="95"/>
        <v>60.6</v>
      </c>
      <c r="AD355" s="1160">
        <f t="shared" si="96"/>
        <v>93.748199999999997</v>
      </c>
      <c r="AE355" s="1160">
        <f t="shared" si="97"/>
        <v>93.748199999999997</v>
      </c>
      <c r="AF355" s="723"/>
      <c r="AG355" s="1160">
        <f t="shared" si="93"/>
        <v>0</v>
      </c>
      <c r="AH355" s="656"/>
      <c r="AI355" s="656"/>
      <c r="AJ355" s="632"/>
      <c r="AK355" s="388"/>
      <c r="AL355" s="388"/>
      <c r="AM355" s="388"/>
      <c r="AN355" s="388"/>
      <c r="AO355" s="370"/>
      <c r="AP355" s="370"/>
      <c r="AQ355" s="386"/>
      <c r="AR355" s="551">
        <v>0</v>
      </c>
      <c r="AS355" s="386">
        <v>22.3</v>
      </c>
      <c r="AT355" s="386">
        <v>0</v>
      </c>
      <c r="AU355" s="386">
        <v>22</v>
      </c>
      <c r="AV355" s="636">
        <v>350</v>
      </c>
      <c r="AW355" s="636">
        <v>405.1</v>
      </c>
      <c r="AX355" s="386">
        <v>0</v>
      </c>
      <c r="AY355" s="551">
        <v>0</v>
      </c>
      <c r="AZ355" s="551">
        <v>0</v>
      </c>
      <c r="BA355" s="551">
        <v>0</v>
      </c>
      <c r="BB355" s="832">
        <v>0</v>
      </c>
      <c r="BC355" s="386">
        <v>0.5</v>
      </c>
      <c r="BD355" s="386">
        <v>1.05</v>
      </c>
      <c r="BE355" s="551">
        <v>0</v>
      </c>
      <c r="BF355" s="386">
        <v>1.44</v>
      </c>
      <c r="BG355" s="386">
        <v>0</v>
      </c>
      <c r="BH355" s="551">
        <v>0</v>
      </c>
      <c r="BI355" s="386">
        <v>1.01</v>
      </c>
      <c r="BJ355" s="386">
        <v>32.1</v>
      </c>
      <c r="BK355" s="386">
        <v>2.72</v>
      </c>
      <c r="BL355" s="386">
        <v>3.74</v>
      </c>
      <c r="BM355" s="386">
        <v>0</v>
      </c>
      <c r="BN355" s="386">
        <v>25.7</v>
      </c>
      <c r="BO355" s="386">
        <v>991.3</v>
      </c>
      <c r="BP355" s="386">
        <v>2.9</v>
      </c>
      <c r="BQ355" s="615">
        <v>20.6</v>
      </c>
      <c r="BR355" s="615">
        <v>21.5</v>
      </c>
      <c r="BS355" s="615">
        <v>10.3</v>
      </c>
      <c r="BT355" s="615">
        <v>10.4</v>
      </c>
      <c r="BU355" s="614">
        <v>22.4</v>
      </c>
      <c r="BV355" s="614">
        <v>24.3</v>
      </c>
      <c r="BW355" s="499">
        <v>563.70000000000005</v>
      </c>
      <c r="BX355" s="793"/>
      <c r="BY355" s="499">
        <v>0</v>
      </c>
      <c r="BZ355" s="499">
        <v>1.27</v>
      </c>
      <c r="CA355" s="499">
        <v>1.2</v>
      </c>
      <c r="CB355" s="499">
        <v>8.5</v>
      </c>
      <c r="CC355" s="499">
        <v>8.3000000000000007</v>
      </c>
      <c r="CD355" s="499">
        <v>15.5</v>
      </c>
      <c r="CE355" s="499">
        <v>35.299999999999997</v>
      </c>
      <c r="CF355" s="499">
        <v>13.5</v>
      </c>
      <c r="CG355" s="499">
        <v>5.7</v>
      </c>
      <c r="CH355" s="499">
        <v>11</v>
      </c>
      <c r="CI355" s="499">
        <v>15</v>
      </c>
      <c r="CJ355" s="499">
        <v>12.5</v>
      </c>
      <c r="CK355" s="499">
        <v>506.8</v>
      </c>
      <c r="CL355" s="499">
        <v>2.5</v>
      </c>
      <c r="CM355" s="499">
        <v>4.2</v>
      </c>
      <c r="CN355" s="499">
        <v>167</v>
      </c>
      <c r="CO355" s="499">
        <v>422.9</v>
      </c>
      <c r="CP355" s="499">
        <v>0</v>
      </c>
      <c r="CQ355" s="499">
        <v>12.2</v>
      </c>
      <c r="CR355" s="499">
        <v>0.77</v>
      </c>
      <c r="CS355" s="386">
        <v>0</v>
      </c>
      <c r="CT355" s="386">
        <v>16.956</v>
      </c>
      <c r="CU355" s="386">
        <v>43</v>
      </c>
      <c r="CV355" s="499">
        <v>0</v>
      </c>
      <c r="CW355" s="499">
        <v>0</v>
      </c>
      <c r="CX355" s="499">
        <v>0</v>
      </c>
      <c r="CY355" s="499">
        <v>0</v>
      </c>
      <c r="CZ355" s="608">
        <v>661</v>
      </c>
      <c r="DA355" s="608">
        <v>1084</v>
      </c>
      <c r="DB355" s="608">
        <v>609</v>
      </c>
      <c r="DC355" s="608">
        <v>1077.42</v>
      </c>
      <c r="DD355" s="1153">
        <f t="shared" si="98"/>
        <v>-7.999999999992724E-2</v>
      </c>
      <c r="DE355" s="1154">
        <f t="shared" si="99"/>
        <v>0</v>
      </c>
      <c r="DF355" s="1154">
        <f t="shared" si="100"/>
        <v>499</v>
      </c>
      <c r="DG355" s="1154">
        <f t="shared" si="101"/>
        <v>834</v>
      </c>
      <c r="DH355" s="1155" t="str">
        <f t="shared" si="102"/>
        <v>Palm</v>
      </c>
      <c r="DI355" s="1146">
        <f t="shared" si="103"/>
        <v>475</v>
      </c>
      <c r="DJ355" s="1146">
        <f t="shared" si="104"/>
        <v>0</v>
      </c>
      <c r="DK355" s="1154">
        <f t="shared" si="105"/>
        <v>0</v>
      </c>
      <c r="DL355" s="499"/>
      <c r="DM355" s="499"/>
      <c r="DN355" s="499"/>
      <c r="DO355" s="499"/>
      <c r="DP355" s="499"/>
      <c r="DQ355" s="499"/>
      <c r="DR355" s="499"/>
      <c r="DS355" s="499"/>
      <c r="DT355" s="499"/>
      <c r="DU355" s="499"/>
      <c r="DV355" s="499"/>
      <c r="DW355" s="499"/>
      <c r="DX355" s="499"/>
      <c r="DY355" s="499"/>
      <c r="DZ355" s="499"/>
      <c r="EA355" s="499"/>
      <c r="EB355" s="499"/>
      <c r="EC355" s="499"/>
      <c r="ED355" s="499"/>
      <c r="EE355" s="499"/>
      <c r="EF355" s="499"/>
      <c r="EG355" s="1147">
        <f t="shared" si="107"/>
        <v>10.5</v>
      </c>
      <c r="EH355" s="499">
        <v>0</v>
      </c>
      <c r="EI355" s="615">
        <v>1</v>
      </c>
      <c r="EJ355" s="615">
        <v>3</v>
      </c>
      <c r="EK355" s="615">
        <v>6.5</v>
      </c>
      <c r="EL355" s="499"/>
      <c r="EM355" s="499"/>
      <c r="EN355" s="499"/>
      <c r="EO355" s="499"/>
      <c r="EP355" s="499"/>
      <c r="EQ355" s="499"/>
      <c r="ER355" s="499"/>
      <c r="ES355" s="388"/>
      <c r="ET355" s="388"/>
      <c r="EV355" s="1167">
        <f t="shared" si="94"/>
        <v>16.243500000000001</v>
      </c>
    </row>
    <row r="356" spans="1:152" s="350" customFormat="1" ht="15" x14ac:dyDescent="0.25">
      <c r="A356" s="632" t="s">
        <v>6</v>
      </c>
      <c r="B356" s="662">
        <v>43082</v>
      </c>
      <c r="C356" s="1132" t="s">
        <v>904</v>
      </c>
      <c r="D356" s="386">
        <v>0</v>
      </c>
      <c r="E356" s="636">
        <v>0</v>
      </c>
      <c r="F356" s="636">
        <v>46</v>
      </c>
      <c r="G356" s="636">
        <v>1</v>
      </c>
      <c r="H356" s="386">
        <v>5.71</v>
      </c>
      <c r="I356" s="386">
        <v>17</v>
      </c>
      <c r="J356" s="609">
        <v>0</v>
      </c>
      <c r="K356" s="386">
        <v>4.33</v>
      </c>
      <c r="L356" s="610">
        <v>0</v>
      </c>
      <c r="M356" s="386">
        <v>21.5</v>
      </c>
      <c r="N356" s="386">
        <v>1.2270000000000001</v>
      </c>
      <c r="O356" s="386">
        <v>1.3870952926424132</v>
      </c>
      <c r="P356" s="386">
        <v>1.244</v>
      </c>
      <c r="Q356" s="386">
        <v>0.58931454572118391</v>
      </c>
      <c r="R356" s="386">
        <v>768.38917151162798</v>
      </c>
      <c r="S356" s="386">
        <v>8.3800000000000008</v>
      </c>
      <c r="T356" s="386">
        <v>8.31</v>
      </c>
      <c r="U356" s="386">
        <v>0.82499999999999996</v>
      </c>
      <c r="V356" s="387">
        <v>0.75900000000000001</v>
      </c>
      <c r="W356" s="783">
        <v>40.100000000000009</v>
      </c>
      <c r="X356" s="369">
        <v>40.100000000000009</v>
      </c>
      <c r="Y356" s="367">
        <v>24.5</v>
      </c>
      <c r="Z356" s="636">
        <v>36.1</v>
      </c>
      <c r="AA356" s="636">
        <v>24.4</v>
      </c>
      <c r="AB356" s="636">
        <v>30.12</v>
      </c>
      <c r="AC356" s="1160">
        <f t="shared" si="95"/>
        <v>54.519999999999996</v>
      </c>
      <c r="AD356" s="1160">
        <f t="shared" si="96"/>
        <v>84.342439999999996</v>
      </c>
      <c r="AE356" s="1160">
        <f t="shared" si="97"/>
        <v>84.342439999999996</v>
      </c>
      <c r="AF356" s="723"/>
      <c r="AG356" s="1160">
        <f t="shared" si="93"/>
        <v>0</v>
      </c>
      <c r="AH356" s="656"/>
      <c r="AI356" s="656"/>
      <c r="AJ356" s="632"/>
      <c r="AK356" s="388"/>
      <c r="AL356" s="388"/>
      <c r="AM356" s="388"/>
      <c r="AN356" s="388"/>
      <c r="AO356" s="370"/>
      <c r="AP356" s="370"/>
      <c r="AQ356" s="386"/>
      <c r="AR356" s="551">
        <v>0</v>
      </c>
      <c r="AS356" s="386">
        <v>12.8</v>
      </c>
      <c r="AT356" s="386">
        <v>0</v>
      </c>
      <c r="AU356" s="386">
        <v>22.1</v>
      </c>
      <c r="AV356" s="636">
        <v>201.2</v>
      </c>
      <c r="AW356" s="636">
        <v>210.2</v>
      </c>
      <c r="AX356" s="386">
        <v>0</v>
      </c>
      <c r="AY356" s="551">
        <v>0</v>
      </c>
      <c r="AZ356" s="551">
        <v>0</v>
      </c>
      <c r="BA356" s="551">
        <v>0</v>
      </c>
      <c r="BB356" s="832">
        <v>0</v>
      </c>
      <c r="BC356" s="386">
        <v>0.82</v>
      </c>
      <c r="BD356" s="386">
        <v>1.17</v>
      </c>
      <c r="BE356" s="551">
        <v>0</v>
      </c>
      <c r="BF356" s="386">
        <v>0.99</v>
      </c>
      <c r="BG356" s="386">
        <v>0</v>
      </c>
      <c r="BH356" s="551">
        <v>0</v>
      </c>
      <c r="BI356" s="386">
        <v>1</v>
      </c>
      <c r="BJ356" s="386">
        <v>26.1</v>
      </c>
      <c r="BK356" s="386">
        <v>2.9</v>
      </c>
      <c r="BL356" s="386">
        <v>3.53</v>
      </c>
      <c r="BM356" s="386">
        <v>0</v>
      </c>
      <c r="BN356" s="386">
        <v>19.8</v>
      </c>
      <c r="BO356" s="386">
        <v>1014</v>
      </c>
      <c r="BP356" s="386">
        <v>2.7</v>
      </c>
      <c r="BQ356" s="499">
        <v>18.5</v>
      </c>
      <c r="BR356" s="499">
        <v>19.5</v>
      </c>
      <c r="BS356" s="615">
        <v>10.6</v>
      </c>
      <c r="BT356" s="615">
        <v>10.7</v>
      </c>
      <c r="BU356" s="614">
        <v>22.9</v>
      </c>
      <c r="BV356" s="614">
        <v>33.200000000000003</v>
      </c>
      <c r="BW356" s="499">
        <v>742.8</v>
      </c>
      <c r="BX356" s="793"/>
      <c r="BY356" s="499">
        <v>0</v>
      </c>
      <c r="BZ356" s="499">
        <v>1.29</v>
      </c>
      <c r="CA356" s="499">
        <v>1.2</v>
      </c>
      <c r="CB356" s="499">
        <v>8.5</v>
      </c>
      <c r="CC356" s="499">
        <v>8.3000000000000007</v>
      </c>
      <c r="CD356" s="499">
        <v>16.899999999999999</v>
      </c>
      <c r="CE356" s="499">
        <v>35.299999999999997</v>
      </c>
      <c r="CF356" s="499">
        <v>12.6</v>
      </c>
      <c r="CG356" s="499">
        <v>5.4</v>
      </c>
      <c r="CH356" s="499">
        <v>10.7</v>
      </c>
      <c r="CI356" s="499">
        <v>14.7</v>
      </c>
      <c r="CJ356" s="499">
        <v>13.8</v>
      </c>
      <c r="CK356" s="499">
        <v>526</v>
      </c>
      <c r="CL356" s="499">
        <v>3.2</v>
      </c>
      <c r="CM356" s="499">
        <v>3.9</v>
      </c>
      <c r="CN356" s="499">
        <v>125.3</v>
      </c>
      <c r="CO356" s="499">
        <v>429</v>
      </c>
      <c r="CP356" s="499">
        <v>0</v>
      </c>
      <c r="CQ356" s="499">
        <v>11.6</v>
      </c>
      <c r="CR356" s="499">
        <v>0.74</v>
      </c>
      <c r="CS356" s="386">
        <v>0</v>
      </c>
      <c r="CT356" s="386">
        <v>16.03</v>
      </c>
      <c r="CU356" s="386">
        <v>43</v>
      </c>
      <c r="CV356" s="499">
        <v>0</v>
      </c>
      <c r="CW356" s="499">
        <v>0</v>
      </c>
      <c r="CX356" s="499">
        <v>0</v>
      </c>
      <c r="CY356" s="499">
        <v>0</v>
      </c>
      <c r="CZ356" s="608">
        <v>616</v>
      </c>
      <c r="DA356" s="608">
        <v>1064</v>
      </c>
      <c r="DB356" s="608">
        <v>612</v>
      </c>
      <c r="DC356" s="608">
        <v>1077.01</v>
      </c>
      <c r="DD356" s="1153">
        <f t="shared" si="98"/>
        <v>-0.41000000000008185</v>
      </c>
      <c r="DE356" s="1154">
        <f t="shared" si="99"/>
        <v>0</v>
      </c>
      <c r="DF356" s="1154">
        <f t="shared" si="100"/>
        <v>502</v>
      </c>
      <c r="DG356" s="1154">
        <f t="shared" si="101"/>
        <v>814</v>
      </c>
      <c r="DH356" s="1155" t="str">
        <f t="shared" si="102"/>
        <v>Palm</v>
      </c>
      <c r="DI356" s="1146">
        <f t="shared" si="103"/>
        <v>452</v>
      </c>
      <c r="DJ356" s="1146">
        <f t="shared" si="104"/>
        <v>0</v>
      </c>
      <c r="DK356" s="1154">
        <f t="shared" si="105"/>
        <v>0</v>
      </c>
      <c r="DL356" s="499"/>
      <c r="DM356" s="499"/>
      <c r="DN356" s="499"/>
      <c r="DO356" s="499"/>
      <c r="DP356" s="499"/>
      <c r="DQ356" s="499"/>
      <c r="DR356" s="499"/>
      <c r="DS356" s="499"/>
      <c r="DT356" s="499"/>
      <c r="DU356" s="499"/>
      <c r="DV356" s="499"/>
      <c r="DW356" s="499"/>
      <c r="DX356" s="499"/>
      <c r="DY356" s="499"/>
      <c r="DZ356" s="499"/>
      <c r="EA356" s="499"/>
      <c r="EB356" s="499"/>
      <c r="EC356" s="499"/>
      <c r="ED356" s="499"/>
      <c r="EE356" s="499"/>
      <c r="EF356" s="499"/>
      <c r="EG356" s="1147">
        <f t="shared" si="107"/>
        <v>10.5</v>
      </c>
      <c r="EH356" s="499">
        <v>0</v>
      </c>
      <c r="EI356" s="615">
        <v>1</v>
      </c>
      <c r="EJ356" s="615">
        <v>3</v>
      </c>
      <c r="EK356" s="615">
        <v>6.5</v>
      </c>
      <c r="EL356" s="499"/>
      <c r="EM356" s="499"/>
      <c r="EN356" s="499"/>
      <c r="EO356" s="499"/>
      <c r="EP356" s="499"/>
      <c r="EQ356" s="499"/>
      <c r="ER356" s="499"/>
      <c r="ES356" s="388"/>
      <c r="ET356" s="388"/>
      <c r="EV356" s="1167">
        <f t="shared" si="94"/>
        <v>16.243500000000001</v>
      </c>
    </row>
    <row r="357" spans="1:152" s="350" customFormat="1" ht="15" x14ac:dyDescent="0.25">
      <c r="A357" s="632" t="s">
        <v>7</v>
      </c>
      <c r="B357" s="662">
        <v>43083</v>
      </c>
      <c r="C357" s="1132" t="s">
        <v>904</v>
      </c>
      <c r="D357" s="386">
        <v>0</v>
      </c>
      <c r="E357" s="636">
        <v>0</v>
      </c>
      <c r="F357" s="636">
        <v>38</v>
      </c>
      <c r="G357" s="636">
        <v>1</v>
      </c>
      <c r="H357" s="386">
        <v>6.91</v>
      </c>
      <c r="I357" s="386" t="s">
        <v>10</v>
      </c>
      <c r="J357" s="609">
        <v>0</v>
      </c>
      <c r="K357" s="386">
        <v>5.43</v>
      </c>
      <c r="L357" s="610">
        <v>0</v>
      </c>
      <c r="M357" s="386">
        <v>21.4</v>
      </c>
      <c r="N357" s="386">
        <v>1.2270000000000001</v>
      </c>
      <c r="O357" s="386">
        <v>1.4268311570723953</v>
      </c>
      <c r="P357" s="386">
        <v>1.2490000000000001</v>
      </c>
      <c r="Q357" s="386">
        <v>0.59036102005453628</v>
      </c>
      <c r="R357" s="386">
        <v>700.38422965116285</v>
      </c>
      <c r="S357" s="386">
        <v>8.24</v>
      </c>
      <c r="T357" s="386">
        <v>8.31</v>
      </c>
      <c r="U357" s="386">
        <v>0.84599999999999997</v>
      </c>
      <c r="V357" s="387">
        <v>0.77700000000000002</v>
      </c>
      <c r="W357" s="783">
        <v>40.819999999999993</v>
      </c>
      <c r="X357" s="369">
        <v>40.819999999999993</v>
      </c>
      <c r="Y357" s="367">
        <v>24.4</v>
      </c>
      <c r="Z357" s="636">
        <v>30.12</v>
      </c>
      <c r="AA357" s="636">
        <v>24.9</v>
      </c>
      <c r="AB357" s="636">
        <v>24.68</v>
      </c>
      <c r="AC357" s="1160">
        <f t="shared" si="95"/>
        <v>49.58</v>
      </c>
      <c r="AD357" s="1160">
        <f t="shared" si="96"/>
        <v>76.70026</v>
      </c>
      <c r="AE357" s="1160">
        <f t="shared" si="97"/>
        <v>76.70026</v>
      </c>
      <c r="AF357" s="656"/>
      <c r="AG357" s="1160">
        <f t="shared" si="93"/>
        <v>0</v>
      </c>
      <c r="AH357" s="656"/>
      <c r="AI357" s="656"/>
      <c r="AJ357" s="388"/>
      <c r="AK357" s="388"/>
      <c r="AL357" s="388"/>
      <c r="AM357" s="388"/>
      <c r="AN357" s="388"/>
      <c r="AO357" s="370"/>
      <c r="AP357" s="370"/>
      <c r="AQ357" s="386"/>
      <c r="AR357" s="551">
        <v>0</v>
      </c>
      <c r="AS357" s="386">
        <v>20.7</v>
      </c>
      <c r="AT357" s="386">
        <v>0</v>
      </c>
      <c r="AU357" s="386">
        <v>22.6</v>
      </c>
      <c r="AV357" s="636">
        <v>0</v>
      </c>
      <c r="AW357" s="636">
        <v>888.3</v>
      </c>
      <c r="AX357" s="386">
        <v>0</v>
      </c>
      <c r="AY357" s="551">
        <v>0</v>
      </c>
      <c r="AZ357" s="551">
        <v>0</v>
      </c>
      <c r="BA357" s="551">
        <v>0</v>
      </c>
      <c r="BB357" s="832">
        <v>0</v>
      </c>
      <c r="BC357" s="386">
        <v>1</v>
      </c>
      <c r="BD357" s="386">
        <v>1</v>
      </c>
      <c r="BE357" s="551">
        <v>0</v>
      </c>
      <c r="BF357" s="386">
        <v>0.99</v>
      </c>
      <c r="BG357" s="386">
        <v>0</v>
      </c>
      <c r="BH357" s="551">
        <v>0</v>
      </c>
      <c r="BI357" s="386">
        <v>1.01</v>
      </c>
      <c r="BJ357" s="386">
        <v>20.7</v>
      </c>
      <c r="BK357" s="386">
        <v>2.99</v>
      </c>
      <c r="BL357" s="386">
        <v>3.49</v>
      </c>
      <c r="BM357" s="386">
        <v>0</v>
      </c>
      <c r="BN357" s="386">
        <v>14.3</v>
      </c>
      <c r="BO357" s="386">
        <v>1182.5999999999999</v>
      </c>
      <c r="BP357" s="386">
        <v>2.8</v>
      </c>
      <c r="BQ357" s="499">
        <v>15.8</v>
      </c>
      <c r="BR357" s="499">
        <v>16.8</v>
      </c>
      <c r="BS357" s="615">
        <v>10.6</v>
      </c>
      <c r="BT357" s="615">
        <v>10.7</v>
      </c>
      <c r="BU357" s="614">
        <v>22.9</v>
      </c>
      <c r="BV357" s="614">
        <v>34.9</v>
      </c>
      <c r="BW357" s="499">
        <v>750.1</v>
      </c>
      <c r="BX357" s="793"/>
      <c r="BY357" s="499">
        <v>0</v>
      </c>
      <c r="BZ357" s="499">
        <v>1.3</v>
      </c>
      <c r="CA357" s="499">
        <v>1.2</v>
      </c>
      <c r="CB357" s="499">
        <v>8.5</v>
      </c>
      <c r="CC357" s="499">
        <v>8.3000000000000007</v>
      </c>
      <c r="CD357" s="499">
        <v>15.8</v>
      </c>
      <c r="CE357" s="499">
        <v>35.299999999999997</v>
      </c>
      <c r="CF357" s="499">
        <v>12.3</v>
      </c>
      <c r="CG357" s="499">
        <v>6.5</v>
      </c>
      <c r="CH357" s="499">
        <v>12</v>
      </c>
      <c r="CI357" s="499">
        <v>15.9</v>
      </c>
      <c r="CJ357" s="499">
        <v>12.19</v>
      </c>
      <c r="CK357" s="499">
        <v>428.6</v>
      </c>
      <c r="CL357" s="499">
        <v>2.2999999999999998</v>
      </c>
      <c r="CM357" s="499">
        <v>4.5999999999999996</v>
      </c>
      <c r="CN357" s="499">
        <v>157.80000000000001</v>
      </c>
      <c r="CO357" s="499">
        <v>435.3</v>
      </c>
      <c r="CP357" s="499">
        <v>0</v>
      </c>
      <c r="CQ357" s="499">
        <v>11.1</v>
      </c>
      <c r="CR357" s="499">
        <v>0.7</v>
      </c>
      <c r="CS357" s="386">
        <v>0</v>
      </c>
      <c r="CT357" s="386">
        <v>16.221</v>
      </c>
      <c r="CU357" s="386">
        <v>43</v>
      </c>
      <c r="CV357" s="499">
        <v>0</v>
      </c>
      <c r="CW357" s="499">
        <v>0</v>
      </c>
      <c r="CX357" s="499">
        <v>0</v>
      </c>
      <c r="CY357" s="499">
        <v>0</v>
      </c>
      <c r="CZ357" s="608">
        <v>553</v>
      </c>
      <c r="DA357" s="608">
        <v>993</v>
      </c>
      <c r="DB357" s="608">
        <v>478</v>
      </c>
      <c r="DC357" s="608">
        <v>1077.06</v>
      </c>
      <c r="DD357" s="1153">
        <f t="shared" si="98"/>
        <v>4.9999999999954525E-2</v>
      </c>
      <c r="DE357" s="1154">
        <f t="shared" si="99"/>
        <v>0</v>
      </c>
      <c r="DF357" s="1154">
        <f t="shared" si="100"/>
        <v>368</v>
      </c>
      <c r="DG357" s="1154">
        <f t="shared" si="101"/>
        <v>743</v>
      </c>
      <c r="DH357" s="1155" t="str">
        <f t="shared" si="102"/>
        <v>Palm</v>
      </c>
      <c r="DI357" s="1146">
        <f t="shared" si="103"/>
        <v>515</v>
      </c>
      <c r="DJ357" s="1146">
        <f t="shared" si="104"/>
        <v>0</v>
      </c>
      <c r="DK357" s="1154">
        <f t="shared" si="105"/>
        <v>0</v>
      </c>
      <c r="DL357" s="499"/>
      <c r="DM357" s="499"/>
      <c r="DN357" s="499"/>
      <c r="DO357" s="499"/>
      <c r="DP357" s="499"/>
      <c r="DQ357" s="499"/>
      <c r="DR357" s="499"/>
      <c r="DS357" s="499"/>
      <c r="DT357" s="499"/>
      <c r="DU357" s="499"/>
      <c r="DV357" s="499"/>
      <c r="DW357" s="499"/>
      <c r="DX357" s="499"/>
      <c r="DY357" s="499"/>
      <c r="DZ357" s="499"/>
      <c r="EA357" s="499"/>
      <c r="EB357" s="499"/>
      <c r="EC357" s="499"/>
      <c r="ED357" s="499"/>
      <c r="EE357" s="499"/>
      <c r="EF357" s="499"/>
      <c r="EG357" s="1147">
        <f t="shared" si="107"/>
        <v>10.5</v>
      </c>
      <c r="EH357" s="499">
        <v>0</v>
      </c>
      <c r="EI357" s="615">
        <v>1</v>
      </c>
      <c r="EJ357" s="615">
        <v>3</v>
      </c>
      <c r="EK357" s="615">
        <v>6.5</v>
      </c>
      <c r="EL357" s="499"/>
      <c r="EM357" s="499"/>
      <c r="EN357" s="499"/>
      <c r="EO357" s="499"/>
      <c r="EP357" s="499"/>
      <c r="EQ357" s="499"/>
      <c r="ER357" s="499"/>
      <c r="ES357" s="388"/>
      <c r="ET357" s="388"/>
      <c r="EV357" s="1167">
        <f t="shared" si="94"/>
        <v>16.243500000000001</v>
      </c>
    </row>
    <row r="358" spans="1:152" s="350" customFormat="1" ht="15" x14ac:dyDescent="0.25">
      <c r="A358" s="632" t="s">
        <v>8</v>
      </c>
      <c r="B358" s="662">
        <v>43084</v>
      </c>
      <c r="C358" s="1132" t="s">
        <v>904</v>
      </c>
      <c r="D358" s="386">
        <v>0.78</v>
      </c>
      <c r="E358" s="636">
        <v>0</v>
      </c>
      <c r="F358" s="636">
        <v>34.1</v>
      </c>
      <c r="G358" s="636">
        <v>1</v>
      </c>
      <c r="H358" s="386">
        <v>5.27</v>
      </c>
      <c r="I358" s="386">
        <v>12.4</v>
      </c>
      <c r="J358" s="609">
        <v>0</v>
      </c>
      <c r="K358" s="386">
        <v>4.5199999999999996</v>
      </c>
      <c r="L358" s="610">
        <v>0</v>
      </c>
      <c r="M358" s="386">
        <v>21.3</v>
      </c>
      <c r="N358" s="386">
        <v>1.2270000000000001</v>
      </c>
      <c r="O358" s="386">
        <v>1.377005414369125</v>
      </c>
      <c r="P358" s="386">
        <v>1.27</v>
      </c>
      <c r="Q358" s="386">
        <v>0.59650986923975269</v>
      </c>
      <c r="R358" s="386">
        <v>840.06104651162798</v>
      </c>
      <c r="S358" s="386">
        <v>8.2200000000000006</v>
      </c>
      <c r="T358" s="386">
        <v>8.16</v>
      </c>
      <c r="U358" s="386">
        <v>0.81</v>
      </c>
      <c r="V358" s="387">
        <v>0.85</v>
      </c>
      <c r="W358" s="783">
        <v>39.200000000000003</v>
      </c>
      <c r="X358" s="369">
        <v>39.56</v>
      </c>
      <c r="Y358" s="367">
        <v>24.9</v>
      </c>
      <c r="Z358" s="636">
        <v>24.68</v>
      </c>
      <c r="AA358" s="636">
        <v>24.22</v>
      </c>
      <c r="AB358" s="636">
        <v>35.4</v>
      </c>
      <c r="AC358" s="1160">
        <f t="shared" si="95"/>
        <v>59.62</v>
      </c>
      <c r="AD358" s="1160">
        <f t="shared" si="96"/>
        <v>92.232139999999987</v>
      </c>
      <c r="AE358" s="1160">
        <f t="shared" si="97"/>
        <v>92.232139999999987</v>
      </c>
      <c r="AF358" s="656"/>
      <c r="AG358" s="1160">
        <f t="shared" si="93"/>
        <v>0</v>
      </c>
      <c r="AH358" s="656"/>
      <c r="AI358" s="656"/>
      <c r="AJ358" s="388"/>
      <c r="AK358" s="388"/>
      <c r="AL358" s="388"/>
      <c r="AM358" s="388"/>
      <c r="AN358" s="388"/>
      <c r="AO358" s="370"/>
      <c r="AP358" s="370"/>
      <c r="AQ358" s="386"/>
      <c r="AR358" s="551">
        <v>0</v>
      </c>
      <c r="AS358" s="386">
        <v>22.3</v>
      </c>
      <c r="AT358" s="386">
        <v>0</v>
      </c>
      <c r="AU358" s="386">
        <v>21.9</v>
      </c>
      <c r="AV358" s="636">
        <v>23.4</v>
      </c>
      <c r="AW358" s="636">
        <v>731.2</v>
      </c>
      <c r="AX358" s="386">
        <v>0</v>
      </c>
      <c r="AY358" s="551">
        <v>0</v>
      </c>
      <c r="AZ358" s="551">
        <v>0</v>
      </c>
      <c r="BA358" s="551">
        <v>0</v>
      </c>
      <c r="BB358" s="832">
        <v>0</v>
      </c>
      <c r="BC358" s="386">
        <v>1</v>
      </c>
      <c r="BD358" s="386">
        <v>1</v>
      </c>
      <c r="BE358" s="551">
        <v>0</v>
      </c>
      <c r="BF358" s="386">
        <v>0.99</v>
      </c>
      <c r="BG358" s="386">
        <v>0</v>
      </c>
      <c r="BH358" s="551">
        <v>0</v>
      </c>
      <c r="BI358" s="386">
        <v>1.01</v>
      </c>
      <c r="BJ358" s="386">
        <v>31.3</v>
      </c>
      <c r="BK358" s="386">
        <v>2.98</v>
      </c>
      <c r="BL358" s="386">
        <v>3.49</v>
      </c>
      <c r="BM358" s="386">
        <v>0</v>
      </c>
      <c r="BN358" s="386">
        <v>24.9</v>
      </c>
      <c r="BO358" s="386">
        <v>902.8</v>
      </c>
      <c r="BP358" s="386">
        <v>2.9</v>
      </c>
      <c r="BQ358" s="499">
        <v>16.3</v>
      </c>
      <c r="BR358" s="499">
        <v>17.22</v>
      </c>
      <c r="BS358" s="615">
        <v>10.49</v>
      </c>
      <c r="BT358" s="615">
        <v>10.62</v>
      </c>
      <c r="BU358" s="386">
        <v>22.6</v>
      </c>
      <c r="BV358" s="386">
        <v>25.2</v>
      </c>
      <c r="BW358" s="499">
        <v>594.29999999999995</v>
      </c>
      <c r="BX358" s="793"/>
      <c r="BY358" s="499">
        <v>0</v>
      </c>
      <c r="BZ358" s="499">
        <v>1.29</v>
      </c>
      <c r="CA358" s="499">
        <v>1.2</v>
      </c>
      <c r="CB358" s="499">
        <v>8.4</v>
      </c>
      <c r="CC358" s="499">
        <v>8.3000000000000007</v>
      </c>
      <c r="CD358" s="499">
        <v>16.100000000000001</v>
      </c>
      <c r="CE358" s="499">
        <v>35.4</v>
      </c>
      <c r="CF358" s="499">
        <v>14.5</v>
      </c>
      <c r="CG358" s="499">
        <v>6.09</v>
      </c>
      <c r="CH358" s="499">
        <v>11.5</v>
      </c>
      <c r="CI358" s="499">
        <v>15.4</v>
      </c>
      <c r="CJ358" s="499">
        <v>12.79</v>
      </c>
      <c r="CK358" s="499">
        <v>461.9</v>
      </c>
      <c r="CL358" s="499">
        <v>3.1</v>
      </c>
      <c r="CM358" s="499">
        <v>4.5999999999999996</v>
      </c>
      <c r="CN358" s="499">
        <v>112.1</v>
      </c>
      <c r="CO358" s="499">
        <v>440.3</v>
      </c>
      <c r="CP358" s="499">
        <v>0</v>
      </c>
      <c r="CQ358" s="499">
        <v>10.5</v>
      </c>
      <c r="CR358" s="499">
        <v>0.66</v>
      </c>
      <c r="CS358" s="386">
        <v>0</v>
      </c>
      <c r="CT358" s="386">
        <v>15.840999999999999</v>
      </c>
      <c r="CU358" s="386">
        <v>43</v>
      </c>
      <c r="CV358" s="499">
        <v>0</v>
      </c>
      <c r="CW358" s="499">
        <v>0</v>
      </c>
      <c r="CX358" s="499">
        <v>0</v>
      </c>
      <c r="CY358" s="499">
        <v>0</v>
      </c>
      <c r="CZ358" s="608">
        <v>557</v>
      </c>
      <c r="DA358" s="608">
        <v>956</v>
      </c>
      <c r="DB358" s="608">
        <v>496</v>
      </c>
      <c r="DC358" s="608">
        <v>1077.93</v>
      </c>
      <c r="DD358" s="1153">
        <f t="shared" si="98"/>
        <v>0.87000000000011823</v>
      </c>
      <c r="DE358" s="1154">
        <f t="shared" si="99"/>
        <v>0</v>
      </c>
      <c r="DF358" s="1154">
        <f t="shared" si="100"/>
        <v>386</v>
      </c>
      <c r="DG358" s="1154">
        <f t="shared" si="101"/>
        <v>706</v>
      </c>
      <c r="DH358" s="1155" t="str">
        <f t="shared" si="102"/>
        <v>Palm</v>
      </c>
      <c r="DI358" s="1146">
        <f t="shared" si="103"/>
        <v>460</v>
      </c>
      <c r="DJ358" s="1146">
        <f t="shared" si="104"/>
        <v>0</v>
      </c>
      <c r="DK358" s="1154">
        <f t="shared" si="105"/>
        <v>0</v>
      </c>
      <c r="DL358" s="499"/>
      <c r="DM358" s="499"/>
      <c r="DN358" s="499"/>
      <c r="DO358" s="499"/>
      <c r="DP358" s="499"/>
      <c r="DQ358" s="499"/>
      <c r="DR358" s="499"/>
      <c r="DS358" s="499"/>
      <c r="DT358" s="499"/>
      <c r="DU358" s="499"/>
      <c r="DV358" s="499"/>
      <c r="DW358" s="499"/>
      <c r="DX358" s="499"/>
      <c r="DY358" s="499"/>
      <c r="DZ358" s="499"/>
      <c r="EA358" s="499"/>
      <c r="EB358" s="499"/>
      <c r="EC358" s="499"/>
      <c r="ED358" s="499"/>
      <c r="EE358" s="499"/>
      <c r="EF358" s="499"/>
      <c r="EG358" s="1147">
        <f t="shared" si="107"/>
        <v>10.5</v>
      </c>
      <c r="EH358" s="499">
        <v>0</v>
      </c>
      <c r="EI358" s="615">
        <v>1</v>
      </c>
      <c r="EJ358" s="615">
        <v>3</v>
      </c>
      <c r="EK358" s="615">
        <v>6.5</v>
      </c>
      <c r="EL358" s="499"/>
      <c r="EM358" s="499"/>
      <c r="EN358" s="499"/>
      <c r="EO358" s="499"/>
      <c r="EP358" s="499"/>
      <c r="EQ358" s="499"/>
      <c r="ER358" s="499"/>
      <c r="ES358" s="388"/>
      <c r="ET358" s="388"/>
      <c r="EV358" s="1167">
        <f t="shared" si="94"/>
        <v>16.243500000000001</v>
      </c>
    </row>
    <row r="359" spans="1:152" s="350" customFormat="1" ht="15" x14ac:dyDescent="0.25">
      <c r="A359" s="632" t="s">
        <v>9</v>
      </c>
      <c r="B359" s="662">
        <v>43085</v>
      </c>
      <c r="C359" s="1132" t="s">
        <v>904</v>
      </c>
      <c r="D359" s="386">
        <v>0.05</v>
      </c>
      <c r="E359" s="636">
        <v>0</v>
      </c>
      <c r="F359" s="636">
        <v>37.9</v>
      </c>
      <c r="G359" s="636">
        <v>1</v>
      </c>
      <c r="H359" s="386">
        <v>7.67</v>
      </c>
      <c r="I359" s="386">
        <v>16.399999999999999</v>
      </c>
      <c r="J359" s="609">
        <v>0</v>
      </c>
      <c r="K359" s="386">
        <v>6.02</v>
      </c>
      <c r="L359" s="610">
        <v>0</v>
      </c>
      <c r="M359" s="386">
        <v>21.1</v>
      </c>
      <c r="N359" s="386">
        <v>1.22</v>
      </c>
      <c r="O359" s="386">
        <v>1.3607700783065797</v>
      </c>
      <c r="P359" s="386">
        <v>1.26</v>
      </c>
      <c r="Q359" s="386">
        <v>0.59091538464436577</v>
      </c>
      <c r="R359" s="386">
        <v>844.72805232558142</v>
      </c>
      <c r="S359" s="386">
        <v>8.18</v>
      </c>
      <c r="T359" s="386">
        <v>8.18</v>
      </c>
      <c r="U359" s="386">
        <v>0.81</v>
      </c>
      <c r="V359" s="387">
        <v>0.78</v>
      </c>
      <c r="W359" s="783">
        <v>40.819999999999993</v>
      </c>
      <c r="X359" s="369">
        <v>41</v>
      </c>
      <c r="Y359" s="367">
        <v>24.22</v>
      </c>
      <c r="Z359" s="636">
        <v>35.4</v>
      </c>
      <c r="AA359" s="636">
        <v>24.18</v>
      </c>
      <c r="AB359" s="636">
        <v>35.9</v>
      </c>
      <c r="AC359" s="1160">
        <f t="shared" si="95"/>
        <v>60.08</v>
      </c>
      <c r="AD359" s="1160">
        <f t="shared" si="96"/>
        <v>92.943759999999997</v>
      </c>
      <c r="AE359" s="1160">
        <f t="shared" si="97"/>
        <v>92.943759999999997</v>
      </c>
      <c r="AF359" s="656"/>
      <c r="AG359" s="1160">
        <f t="shared" si="93"/>
        <v>0</v>
      </c>
      <c r="AH359" s="656"/>
      <c r="AI359" s="656"/>
      <c r="AJ359" s="388"/>
      <c r="AK359" s="388"/>
      <c r="AL359" s="388"/>
      <c r="AM359" s="388"/>
      <c r="AN359" s="388"/>
      <c r="AO359" s="370"/>
      <c r="AP359" s="370"/>
      <c r="AQ359" s="386"/>
      <c r="AR359" s="551">
        <v>0</v>
      </c>
      <c r="AS359" s="386">
        <v>23.1</v>
      </c>
      <c r="AT359" s="386">
        <v>0</v>
      </c>
      <c r="AU359" s="386">
        <v>21.9</v>
      </c>
      <c r="AV359" s="636">
        <v>0</v>
      </c>
      <c r="AW359" s="636">
        <v>830.3</v>
      </c>
      <c r="AX359" s="386">
        <v>0</v>
      </c>
      <c r="AY359" s="551">
        <v>0</v>
      </c>
      <c r="AZ359" s="551">
        <v>0</v>
      </c>
      <c r="BA359" s="551">
        <v>0</v>
      </c>
      <c r="BB359" s="832">
        <v>0</v>
      </c>
      <c r="BC359" s="386">
        <v>1</v>
      </c>
      <c r="BD359" s="386">
        <v>1</v>
      </c>
      <c r="BE359" s="551">
        <v>0</v>
      </c>
      <c r="BF359" s="386">
        <v>0.99</v>
      </c>
      <c r="BG359" s="386">
        <v>0</v>
      </c>
      <c r="BH359" s="551">
        <v>0</v>
      </c>
      <c r="BI359" s="386">
        <v>1.01</v>
      </c>
      <c r="BJ359" s="386">
        <v>31.9</v>
      </c>
      <c r="BK359" s="386">
        <v>2.98</v>
      </c>
      <c r="BL359" s="386">
        <v>3.49</v>
      </c>
      <c r="BM359" s="386">
        <v>0</v>
      </c>
      <c r="BN359" s="386">
        <v>25.5</v>
      </c>
      <c r="BO359" s="386">
        <v>1081.9000000000001</v>
      </c>
      <c r="BP359" s="386">
        <v>2.8</v>
      </c>
      <c r="BQ359" s="499">
        <v>17.45</v>
      </c>
      <c r="BR359" s="499">
        <v>18.399999999999999</v>
      </c>
      <c r="BS359" s="615">
        <v>10.45</v>
      </c>
      <c r="BT359" s="615">
        <v>10.59</v>
      </c>
      <c r="BU359" s="386">
        <v>22.5</v>
      </c>
      <c r="BV359" s="386">
        <v>22.5</v>
      </c>
      <c r="BW359" s="499">
        <v>787.7</v>
      </c>
      <c r="BX359" s="793"/>
      <c r="BY359" s="499">
        <v>0</v>
      </c>
      <c r="BZ359" s="499">
        <v>1.3</v>
      </c>
      <c r="CA359" s="499">
        <v>1.2</v>
      </c>
      <c r="CB359" s="499">
        <v>8.4</v>
      </c>
      <c r="CC359" s="499">
        <v>8.1999999999999993</v>
      </c>
      <c r="CD359" s="499">
        <v>15.5</v>
      </c>
      <c r="CE359" s="499">
        <v>35.299999999999997</v>
      </c>
      <c r="CF359" s="499">
        <v>13.3</v>
      </c>
      <c r="CG359" s="499">
        <v>6.1</v>
      </c>
      <c r="CH359" s="499">
        <v>11.6</v>
      </c>
      <c r="CI359" s="499">
        <v>15.5</v>
      </c>
      <c r="CJ359" s="499">
        <v>12.64</v>
      </c>
      <c r="CK359" s="499">
        <v>492.1</v>
      </c>
      <c r="CL359" s="499">
        <v>2.2000000000000002</v>
      </c>
      <c r="CM359" s="499">
        <v>3.5</v>
      </c>
      <c r="CN359" s="499">
        <v>174.1</v>
      </c>
      <c r="CO359" s="499">
        <v>465.1</v>
      </c>
      <c r="CP359" s="499">
        <v>0</v>
      </c>
      <c r="CQ359" s="499">
        <v>11.8</v>
      </c>
      <c r="CR359" s="499">
        <v>0.71</v>
      </c>
      <c r="CS359" s="386">
        <v>0</v>
      </c>
      <c r="CT359" s="386">
        <v>16.288</v>
      </c>
      <c r="CU359" s="386">
        <v>43</v>
      </c>
      <c r="CV359" s="499">
        <v>0</v>
      </c>
      <c r="CW359" s="499">
        <v>0</v>
      </c>
      <c r="CX359" s="499">
        <v>0</v>
      </c>
      <c r="CY359" s="499">
        <v>0</v>
      </c>
      <c r="CZ359" s="608">
        <v>561</v>
      </c>
      <c r="DA359" s="608">
        <v>943</v>
      </c>
      <c r="DB359" s="608">
        <v>485</v>
      </c>
      <c r="DC359" s="608">
        <v>1078.53</v>
      </c>
      <c r="DD359" s="1153">
        <f t="shared" si="98"/>
        <v>0.59999999999990905</v>
      </c>
      <c r="DE359" s="1154">
        <f t="shared" si="99"/>
        <v>0</v>
      </c>
      <c r="DF359" s="1154">
        <f t="shared" si="100"/>
        <v>375</v>
      </c>
      <c r="DG359" s="1154">
        <f t="shared" si="101"/>
        <v>693</v>
      </c>
      <c r="DH359" s="1155" t="str">
        <f t="shared" si="102"/>
        <v>Palm</v>
      </c>
      <c r="DI359" s="1146">
        <f t="shared" si="103"/>
        <v>458</v>
      </c>
      <c r="DJ359" s="1146">
        <f t="shared" si="104"/>
        <v>0</v>
      </c>
      <c r="DK359" s="1154">
        <f t="shared" si="105"/>
        <v>0</v>
      </c>
      <c r="DL359" s="499"/>
      <c r="DM359" s="499"/>
      <c r="DN359" s="499"/>
      <c r="DO359" s="499"/>
      <c r="DP359" s="499"/>
      <c r="DQ359" s="499"/>
      <c r="DR359" s="499"/>
      <c r="DS359" s="499"/>
      <c r="DT359" s="499"/>
      <c r="DU359" s="499"/>
      <c r="DV359" s="499"/>
      <c r="DW359" s="499"/>
      <c r="DX359" s="499"/>
      <c r="DY359" s="499"/>
      <c r="DZ359" s="499"/>
      <c r="EA359" s="499"/>
      <c r="EB359" s="499"/>
      <c r="EC359" s="499"/>
      <c r="ED359" s="499"/>
      <c r="EE359" s="499"/>
      <c r="EF359" s="499"/>
      <c r="EG359" s="1147">
        <f t="shared" si="107"/>
        <v>10.5</v>
      </c>
      <c r="EH359" s="499">
        <v>0</v>
      </c>
      <c r="EI359" s="615">
        <v>1</v>
      </c>
      <c r="EJ359" s="615">
        <v>3</v>
      </c>
      <c r="EK359" s="615">
        <v>6.5</v>
      </c>
      <c r="EL359" s="499"/>
      <c r="EM359" s="499"/>
      <c r="EN359" s="499"/>
      <c r="EO359" s="499"/>
      <c r="EP359" s="499"/>
      <c r="EQ359" s="499"/>
      <c r="ER359" s="499"/>
      <c r="ES359" s="388"/>
      <c r="ET359" s="388"/>
      <c r="EV359" s="1167">
        <f t="shared" si="94"/>
        <v>16.243500000000001</v>
      </c>
    </row>
    <row r="360" spans="1:152" s="350" customFormat="1" ht="15" x14ac:dyDescent="0.25">
      <c r="A360" s="632" t="s">
        <v>3</v>
      </c>
      <c r="B360" s="662">
        <v>43086</v>
      </c>
      <c r="C360" s="1132" t="s">
        <v>904</v>
      </c>
      <c r="D360" s="386">
        <v>0.78</v>
      </c>
      <c r="E360" s="636">
        <v>0</v>
      </c>
      <c r="F360" s="636">
        <v>46</v>
      </c>
      <c r="G360" s="636">
        <v>1</v>
      </c>
      <c r="H360" s="386">
        <v>4.0599999999999996</v>
      </c>
      <c r="I360" s="386">
        <v>16</v>
      </c>
      <c r="J360" s="609">
        <v>0</v>
      </c>
      <c r="K360" s="386">
        <v>2.84</v>
      </c>
      <c r="L360" s="610">
        <v>0</v>
      </c>
      <c r="M360" s="386">
        <v>21.2</v>
      </c>
      <c r="N360" s="386">
        <v>1.22</v>
      </c>
      <c r="O360" s="386">
        <v>1.3701410550003892</v>
      </c>
      <c r="P360" s="386">
        <v>1.26</v>
      </c>
      <c r="Q360" s="386">
        <v>0.59314395179642943</v>
      </c>
      <c r="R360" s="386">
        <v>846.72819767441865</v>
      </c>
      <c r="S360" s="386">
        <v>8.18</v>
      </c>
      <c r="T360" s="386">
        <v>8.16</v>
      </c>
      <c r="U360" s="386">
        <v>0.86</v>
      </c>
      <c r="V360" s="387">
        <v>0.77</v>
      </c>
      <c r="W360" s="783">
        <v>41.900000000000006</v>
      </c>
      <c r="X360" s="369">
        <v>42.08</v>
      </c>
      <c r="Y360" s="367">
        <v>24.18</v>
      </c>
      <c r="Z360" s="636">
        <v>35.9</v>
      </c>
      <c r="AA360" s="636">
        <v>24.3</v>
      </c>
      <c r="AB360" s="636">
        <v>35.9</v>
      </c>
      <c r="AC360" s="1160">
        <f t="shared" si="95"/>
        <v>60.2</v>
      </c>
      <c r="AD360" s="1160">
        <f t="shared" si="96"/>
        <v>93.129400000000004</v>
      </c>
      <c r="AE360" s="1160">
        <f t="shared" si="97"/>
        <v>93.129400000000004</v>
      </c>
      <c r="AF360" s="656"/>
      <c r="AG360" s="1160">
        <f t="shared" si="93"/>
        <v>0</v>
      </c>
      <c r="AH360" s="656"/>
      <c r="AI360" s="656"/>
      <c r="AJ360" s="388"/>
      <c r="AK360" s="388"/>
      <c r="AL360" s="388"/>
      <c r="AM360" s="388"/>
      <c r="AN360" s="388"/>
      <c r="AO360" s="370"/>
      <c r="AP360" s="370"/>
      <c r="AQ360" s="386"/>
      <c r="AR360" s="551">
        <v>0</v>
      </c>
      <c r="AS360" s="386">
        <v>19</v>
      </c>
      <c r="AT360" s="386">
        <v>0</v>
      </c>
      <c r="AU360" s="386">
        <v>22.1</v>
      </c>
      <c r="AV360" s="636">
        <v>253.1</v>
      </c>
      <c r="AW360" s="636">
        <v>256.2</v>
      </c>
      <c r="AX360" s="386">
        <v>0</v>
      </c>
      <c r="AY360" s="551">
        <v>0</v>
      </c>
      <c r="AZ360" s="551">
        <v>0</v>
      </c>
      <c r="BA360" s="551">
        <v>0</v>
      </c>
      <c r="BB360" s="832">
        <v>0</v>
      </c>
      <c r="BC360" s="386">
        <v>1</v>
      </c>
      <c r="BD360" s="386">
        <v>1</v>
      </c>
      <c r="BE360" s="551">
        <v>0</v>
      </c>
      <c r="BF360" s="386">
        <v>0.99</v>
      </c>
      <c r="BG360" s="386">
        <v>0</v>
      </c>
      <c r="BH360" s="551">
        <v>0</v>
      </c>
      <c r="BI360" s="386">
        <v>1.01</v>
      </c>
      <c r="BJ360" s="386">
        <v>31.9</v>
      </c>
      <c r="BK360" s="386">
        <v>2.97</v>
      </c>
      <c r="BL360" s="386">
        <v>3.48</v>
      </c>
      <c r="BM360" s="386">
        <v>0</v>
      </c>
      <c r="BN360" s="386">
        <v>25.5</v>
      </c>
      <c r="BO360" s="386">
        <v>1058.3</v>
      </c>
      <c r="BP360" s="386">
        <v>2.4</v>
      </c>
      <c r="BQ360" s="499">
        <v>18.329999999999998</v>
      </c>
      <c r="BR360" s="499">
        <v>19.350000000000001</v>
      </c>
      <c r="BS360" s="615">
        <v>10.65</v>
      </c>
      <c r="BT360" s="615">
        <v>10.75</v>
      </c>
      <c r="BU360" s="386">
        <v>22.8</v>
      </c>
      <c r="BV360" s="386">
        <v>23.6</v>
      </c>
      <c r="BW360" s="499">
        <v>716.2</v>
      </c>
      <c r="BX360" s="793"/>
      <c r="BY360" s="499">
        <v>0</v>
      </c>
      <c r="BZ360" s="499">
        <v>1.3</v>
      </c>
      <c r="CA360" s="499">
        <v>1.2</v>
      </c>
      <c r="CB360" s="499">
        <v>8.4</v>
      </c>
      <c r="CC360" s="499">
        <v>8.1999999999999993</v>
      </c>
      <c r="CD360" s="499">
        <v>16.100000000000001</v>
      </c>
      <c r="CE360" s="499">
        <v>35.200000000000003</v>
      </c>
      <c r="CF360" s="499">
        <v>12.2</v>
      </c>
      <c r="CG360" s="499">
        <v>6</v>
      </c>
      <c r="CH360" s="499">
        <v>11.4</v>
      </c>
      <c r="CI360" s="499">
        <v>15.4</v>
      </c>
      <c r="CJ360" s="499">
        <v>13.18</v>
      </c>
      <c r="CK360" s="499">
        <v>504.7</v>
      </c>
      <c r="CL360" s="499">
        <v>2.5</v>
      </c>
      <c r="CM360" s="499">
        <v>3.1</v>
      </c>
      <c r="CN360" s="499">
        <v>221.6</v>
      </c>
      <c r="CO360" s="499">
        <v>467.7</v>
      </c>
      <c r="CP360" s="499">
        <v>0</v>
      </c>
      <c r="CQ360" s="499">
        <v>11.7</v>
      </c>
      <c r="CR360" s="499">
        <v>0.7</v>
      </c>
      <c r="CS360" s="386">
        <v>0</v>
      </c>
      <c r="CT360" s="386">
        <v>15.692</v>
      </c>
      <c r="CU360" s="386">
        <v>43</v>
      </c>
      <c r="CV360" s="499">
        <v>0</v>
      </c>
      <c r="CW360" s="499">
        <v>0</v>
      </c>
      <c r="CX360" s="499">
        <v>0</v>
      </c>
      <c r="CY360" s="499">
        <v>0</v>
      </c>
      <c r="CZ360" s="608">
        <v>577</v>
      </c>
      <c r="DA360" s="608">
        <v>987</v>
      </c>
      <c r="DB360" s="608">
        <v>545</v>
      </c>
      <c r="DC360" s="608">
        <v>1080.76</v>
      </c>
      <c r="DD360" s="1153">
        <f t="shared" si="98"/>
        <v>2.2300000000000182</v>
      </c>
      <c r="DE360" s="1154">
        <f t="shared" si="99"/>
        <v>0</v>
      </c>
      <c r="DF360" s="1154">
        <f t="shared" si="100"/>
        <v>435</v>
      </c>
      <c r="DG360" s="1154">
        <f t="shared" si="101"/>
        <v>737</v>
      </c>
      <c r="DH360" s="1155" t="str">
        <f t="shared" si="102"/>
        <v>Palm</v>
      </c>
      <c r="DI360" s="1146">
        <f t="shared" si="103"/>
        <v>442</v>
      </c>
      <c r="DJ360" s="1146">
        <f t="shared" si="104"/>
        <v>0</v>
      </c>
      <c r="DK360" s="1154">
        <f t="shared" si="105"/>
        <v>0</v>
      </c>
      <c r="DL360" s="499"/>
      <c r="DM360" s="499"/>
      <c r="DN360" s="499"/>
      <c r="DO360" s="499"/>
      <c r="DP360" s="499"/>
      <c r="DQ360" s="499"/>
      <c r="DR360" s="499"/>
      <c r="DS360" s="499"/>
      <c r="DT360" s="499"/>
      <c r="DU360" s="499"/>
      <c r="DV360" s="499"/>
      <c r="DW360" s="499"/>
      <c r="DX360" s="499"/>
      <c r="DY360" s="499"/>
      <c r="DZ360" s="499"/>
      <c r="EA360" s="499"/>
      <c r="EB360" s="499"/>
      <c r="EC360" s="499"/>
      <c r="ED360" s="499"/>
      <c r="EE360" s="499"/>
      <c r="EF360" s="499"/>
      <c r="EG360" s="1147">
        <f t="shared" si="107"/>
        <v>10.5</v>
      </c>
      <c r="EH360" s="499">
        <v>0</v>
      </c>
      <c r="EI360" s="615">
        <v>1</v>
      </c>
      <c r="EJ360" s="615">
        <v>3</v>
      </c>
      <c r="EK360" s="615">
        <v>6.5</v>
      </c>
      <c r="EL360" s="499"/>
      <c r="EM360" s="499"/>
      <c r="EN360" s="499"/>
      <c r="EO360" s="499"/>
      <c r="EP360" s="499"/>
      <c r="EQ360" s="499"/>
      <c r="ER360" s="499"/>
      <c r="ES360" s="388"/>
      <c r="ET360" s="388"/>
      <c r="EV360" s="1167">
        <f t="shared" si="94"/>
        <v>16.243500000000001</v>
      </c>
    </row>
    <row r="361" spans="1:152" s="350" customFormat="1" ht="15" x14ac:dyDescent="0.25">
      <c r="A361" s="632" t="s">
        <v>4</v>
      </c>
      <c r="B361" s="662">
        <v>43087</v>
      </c>
      <c r="C361" s="1132" t="s">
        <v>904</v>
      </c>
      <c r="D361" s="386">
        <v>1.5</v>
      </c>
      <c r="E361" s="636">
        <v>0</v>
      </c>
      <c r="F361" s="636">
        <v>38</v>
      </c>
      <c r="G361" s="636">
        <v>1.1000000000000001</v>
      </c>
      <c r="H361" s="386">
        <v>21.3</v>
      </c>
      <c r="I361" s="386">
        <v>14.5</v>
      </c>
      <c r="J361" s="609">
        <v>0</v>
      </c>
      <c r="K361" s="386">
        <v>11.63</v>
      </c>
      <c r="L361" s="610">
        <v>9.0999999999985448</v>
      </c>
      <c r="M361" s="386">
        <v>21.1</v>
      </c>
      <c r="N361" s="386">
        <v>1.23</v>
      </c>
      <c r="O361" s="386">
        <v>1.3763186286259534</v>
      </c>
      <c r="P361" s="386">
        <v>1.23</v>
      </c>
      <c r="Q361" s="386">
        <v>0.58994747250483459</v>
      </c>
      <c r="R361" s="386">
        <v>834.39396802325587</v>
      </c>
      <c r="S361" s="386">
        <v>8.07</v>
      </c>
      <c r="T361" s="386">
        <v>7.98</v>
      </c>
      <c r="U361" s="386">
        <v>0.73</v>
      </c>
      <c r="V361" s="387">
        <v>0.71</v>
      </c>
      <c r="W361" s="783">
        <v>42.8</v>
      </c>
      <c r="X361" s="369">
        <v>42.8</v>
      </c>
      <c r="Y361" s="367">
        <v>24.3</v>
      </c>
      <c r="Z361" s="636">
        <v>35.9</v>
      </c>
      <c r="AA361" s="636">
        <v>24.8</v>
      </c>
      <c r="AB361" s="636">
        <v>34.5</v>
      </c>
      <c r="AC361" s="1160">
        <f t="shared" si="95"/>
        <v>59.3</v>
      </c>
      <c r="AD361" s="1160">
        <f t="shared" si="96"/>
        <v>91.737099999999998</v>
      </c>
      <c r="AE361" s="1160">
        <f t="shared" si="97"/>
        <v>77.65940000000225</v>
      </c>
      <c r="AF361" s="656"/>
      <c r="AG361" s="1160">
        <f t="shared" si="93"/>
        <v>0</v>
      </c>
      <c r="AH361" s="656"/>
      <c r="AI361" s="656"/>
      <c r="AJ361" s="388"/>
      <c r="AK361" s="388"/>
      <c r="AL361" s="388"/>
      <c r="AM361" s="388"/>
      <c r="AN361" s="388"/>
      <c r="AO361" s="370"/>
      <c r="AP361" s="370"/>
      <c r="AQ361" s="386"/>
      <c r="AR361" s="551">
        <v>0</v>
      </c>
      <c r="AS361" s="386">
        <v>14.9</v>
      </c>
      <c r="AT361" s="386">
        <v>0</v>
      </c>
      <c r="AU361" s="386">
        <v>22.6</v>
      </c>
      <c r="AV361" s="636">
        <v>0</v>
      </c>
      <c r="AW361" s="636">
        <v>836.4</v>
      </c>
      <c r="AX361" s="386">
        <v>0</v>
      </c>
      <c r="AY361" s="551">
        <v>0</v>
      </c>
      <c r="AZ361" s="551">
        <v>0</v>
      </c>
      <c r="BA361" s="551">
        <v>0</v>
      </c>
      <c r="BB361" s="832">
        <v>0</v>
      </c>
      <c r="BC361" s="386">
        <v>1</v>
      </c>
      <c r="BD361" s="386">
        <v>1</v>
      </c>
      <c r="BE361" s="551">
        <v>0</v>
      </c>
      <c r="BF361" s="386">
        <v>1</v>
      </c>
      <c r="BG361" s="386">
        <v>0</v>
      </c>
      <c r="BH361" s="551">
        <v>0</v>
      </c>
      <c r="BI361" s="386">
        <v>1.01</v>
      </c>
      <c r="BJ361" s="386">
        <v>30.4</v>
      </c>
      <c r="BK361" s="386">
        <v>2.99</v>
      </c>
      <c r="BL361" s="386">
        <v>3.49</v>
      </c>
      <c r="BM361" s="386">
        <v>0</v>
      </c>
      <c r="BN361" s="386">
        <v>24</v>
      </c>
      <c r="BO361" s="386">
        <v>1073.5</v>
      </c>
      <c r="BP361" s="386">
        <v>2.1</v>
      </c>
      <c r="BQ361" s="499">
        <v>19.079999999999998</v>
      </c>
      <c r="BR361" s="499">
        <v>20.14</v>
      </c>
      <c r="BS361" s="615">
        <v>10.7</v>
      </c>
      <c r="BT361" s="615">
        <v>10.8</v>
      </c>
      <c r="BU361" s="386">
        <v>22.9</v>
      </c>
      <c r="BV361" s="386">
        <v>24.4</v>
      </c>
      <c r="BW361" s="499">
        <v>660.9</v>
      </c>
      <c r="BX361" s="793"/>
      <c r="BY361" s="499">
        <v>0</v>
      </c>
      <c r="BZ361" s="499">
        <v>1.26</v>
      </c>
      <c r="CA361" s="499">
        <v>1.2</v>
      </c>
      <c r="CB361" s="499">
        <v>8.3000000000000007</v>
      </c>
      <c r="CC361" s="499">
        <v>8.3000000000000007</v>
      </c>
      <c r="CD361" s="499">
        <v>15.5</v>
      </c>
      <c r="CE361" s="499">
        <v>35.200000000000003</v>
      </c>
      <c r="CF361" s="499">
        <v>14.4</v>
      </c>
      <c r="CG361" s="499">
        <v>5.7</v>
      </c>
      <c r="CH361" s="499">
        <v>11.1</v>
      </c>
      <c r="CI361" s="499">
        <v>15</v>
      </c>
      <c r="CJ361" s="499">
        <v>12.5</v>
      </c>
      <c r="CK361" s="499">
        <v>469.5</v>
      </c>
      <c r="CL361" s="499">
        <v>2</v>
      </c>
      <c r="CM361" s="499">
        <v>3.3</v>
      </c>
      <c r="CN361" s="499">
        <v>137.9</v>
      </c>
      <c r="CO361" s="499">
        <v>443.5</v>
      </c>
      <c r="CP361" s="499">
        <v>0</v>
      </c>
      <c r="CQ361" s="499">
        <v>11.6</v>
      </c>
      <c r="CR361" s="499">
        <v>0.7</v>
      </c>
      <c r="CS361" s="386">
        <v>0</v>
      </c>
      <c r="CT361" s="386">
        <v>15.353999999999999</v>
      </c>
      <c r="CU361" s="386">
        <v>43</v>
      </c>
      <c r="CV361" s="499">
        <v>0</v>
      </c>
      <c r="CW361" s="499">
        <v>0</v>
      </c>
      <c r="CX361" s="499">
        <v>0</v>
      </c>
      <c r="CY361" s="499">
        <v>0</v>
      </c>
      <c r="CZ361" s="608">
        <v>2160</v>
      </c>
      <c r="DA361" s="608">
        <v>2580</v>
      </c>
      <c r="DB361" s="608">
        <v>2420</v>
      </c>
      <c r="DC361" s="608">
        <v>1094.8699999999999</v>
      </c>
      <c r="DD361" s="1153">
        <f t="shared" si="98"/>
        <v>14.1099999999999</v>
      </c>
      <c r="DE361" s="1154">
        <f t="shared" si="99"/>
        <v>0</v>
      </c>
      <c r="DF361" s="1154">
        <f t="shared" si="100"/>
        <v>2310</v>
      </c>
      <c r="DG361" s="1154">
        <f t="shared" si="101"/>
        <v>2330</v>
      </c>
      <c r="DH361" s="1155" t="str">
        <f t="shared" si="102"/>
        <v>Palm</v>
      </c>
      <c r="DI361" s="1146">
        <f t="shared" si="103"/>
        <v>160</v>
      </c>
      <c r="DJ361" s="1146">
        <f t="shared" si="104"/>
        <v>0</v>
      </c>
      <c r="DK361" s="1154">
        <f t="shared" si="105"/>
        <v>0</v>
      </c>
      <c r="DL361" s="499"/>
      <c r="DM361" s="499"/>
      <c r="DN361" s="499"/>
      <c r="DO361" s="499"/>
      <c r="DP361" s="499"/>
      <c r="DQ361" s="499"/>
      <c r="DR361" s="499"/>
      <c r="DS361" s="499"/>
      <c r="DT361" s="499"/>
      <c r="DU361" s="499"/>
      <c r="DV361" s="499"/>
      <c r="DW361" s="499"/>
      <c r="DX361" s="499"/>
      <c r="DY361" s="499"/>
      <c r="DZ361" s="499"/>
      <c r="EA361" s="499"/>
      <c r="EB361" s="499"/>
      <c r="EC361" s="499"/>
      <c r="ED361" s="499"/>
      <c r="EE361" s="499"/>
      <c r="EF361" s="499"/>
      <c r="EG361" s="1147">
        <f t="shared" si="107"/>
        <v>10.5</v>
      </c>
      <c r="EH361" s="499">
        <v>0</v>
      </c>
      <c r="EI361" s="615">
        <v>1</v>
      </c>
      <c r="EJ361" s="615">
        <v>3</v>
      </c>
      <c r="EK361" s="615">
        <v>6.5</v>
      </c>
      <c r="EL361" s="499"/>
      <c r="EM361" s="499"/>
      <c r="EN361" s="499"/>
      <c r="EO361" s="499"/>
      <c r="EP361" s="499"/>
      <c r="EQ361" s="499"/>
      <c r="ER361" s="499"/>
      <c r="ES361" s="388"/>
      <c r="ET361" s="388"/>
      <c r="EV361" s="1167">
        <f t="shared" si="94"/>
        <v>16.243500000000001</v>
      </c>
    </row>
    <row r="362" spans="1:152" s="350" customFormat="1" ht="15" x14ac:dyDescent="0.25">
      <c r="A362" s="632" t="s">
        <v>5</v>
      </c>
      <c r="B362" s="662">
        <v>43088</v>
      </c>
      <c r="C362" s="1132" t="s">
        <v>904</v>
      </c>
      <c r="D362" s="386">
        <v>1</v>
      </c>
      <c r="E362" s="636">
        <v>0</v>
      </c>
      <c r="F362" s="636">
        <v>36</v>
      </c>
      <c r="G362" s="636">
        <v>1.3</v>
      </c>
      <c r="H362" s="386">
        <v>16.100000000000001</v>
      </c>
      <c r="I362" s="386">
        <v>11.2</v>
      </c>
      <c r="J362" s="609">
        <v>0</v>
      </c>
      <c r="K362" s="386">
        <v>10.66</v>
      </c>
      <c r="L362" s="610">
        <v>20.229999999999563</v>
      </c>
      <c r="M362" s="386">
        <v>21.6</v>
      </c>
      <c r="N362" s="386">
        <v>1.23</v>
      </c>
      <c r="O362" s="386">
        <v>1.3896949925951736</v>
      </c>
      <c r="P362" s="386">
        <v>1.23</v>
      </c>
      <c r="Q362" s="386">
        <v>0.590405464910295</v>
      </c>
      <c r="R362" s="386">
        <v>837.39418604651155</v>
      </c>
      <c r="S362" s="386">
        <v>8.23</v>
      </c>
      <c r="T362" s="386">
        <v>8.15</v>
      </c>
      <c r="U362" s="386">
        <v>0.67</v>
      </c>
      <c r="V362" s="387">
        <v>0.65</v>
      </c>
      <c r="W362" s="783">
        <v>42.8</v>
      </c>
      <c r="X362" s="369">
        <v>42.8</v>
      </c>
      <c r="Y362" s="367">
        <v>24.8</v>
      </c>
      <c r="Z362" s="636">
        <v>34.5</v>
      </c>
      <c r="AA362" s="636">
        <v>25.3</v>
      </c>
      <c r="AB362" s="636">
        <v>34</v>
      </c>
      <c r="AC362" s="1160">
        <f t="shared" si="95"/>
        <v>59.3</v>
      </c>
      <c r="AD362" s="1160">
        <f t="shared" si="96"/>
        <v>91.737099999999998</v>
      </c>
      <c r="AE362" s="1160">
        <f t="shared" si="97"/>
        <v>60.441290000000677</v>
      </c>
      <c r="AF362" s="656"/>
      <c r="AG362" s="1160">
        <f t="shared" si="93"/>
        <v>0</v>
      </c>
      <c r="AH362" s="656"/>
      <c r="AI362" s="656"/>
      <c r="AJ362" s="388"/>
      <c r="AK362" s="388"/>
      <c r="AL362" s="388"/>
      <c r="AM362" s="388"/>
      <c r="AN362" s="388"/>
      <c r="AO362" s="370"/>
      <c r="AP362" s="370"/>
      <c r="AQ362" s="386"/>
      <c r="AR362" s="551">
        <v>0</v>
      </c>
      <c r="AS362" s="386">
        <v>22.6</v>
      </c>
      <c r="AT362" s="386">
        <v>0.67</v>
      </c>
      <c r="AU362" s="386">
        <v>22.7</v>
      </c>
      <c r="AV362" s="636">
        <v>0</v>
      </c>
      <c r="AW362" s="636">
        <v>733.9</v>
      </c>
      <c r="AX362" s="386">
        <v>0</v>
      </c>
      <c r="AY362" s="551">
        <v>0</v>
      </c>
      <c r="AZ362" s="551">
        <v>0</v>
      </c>
      <c r="BA362" s="551">
        <v>0</v>
      </c>
      <c r="BB362" s="832">
        <v>0</v>
      </c>
      <c r="BC362" s="386">
        <v>1</v>
      </c>
      <c r="BD362" s="386">
        <v>1</v>
      </c>
      <c r="BE362" s="551">
        <v>0</v>
      </c>
      <c r="BF362" s="386">
        <v>0.99</v>
      </c>
      <c r="BG362" s="386">
        <v>0</v>
      </c>
      <c r="BH362" s="551">
        <v>0</v>
      </c>
      <c r="BI362" s="386">
        <v>1</v>
      </c>
      <c r="BJ362" s="386">
        <v>29.9</v>
      </c>
      <c r="BK362" s="386">
        <v>3.08</v>
      </c>
      <c r="BL362" s="386">
        <v>3.39</v>
      </c>
      <c r="BM362" s="386">
        <v>0</v>
      </c>
      <c r="BN362" s="386">
        <v>23.6</v>
      </c>
      <c r="BO362" s="386">
        <v>982.9</v>
      </c>
      <c r="BP362" s="386">
        <v>2.5</v>
      </c>
      <c r="BQ362" s="499">
        <v>20.059999999999999</v>
      </c>
      <c r="BR362" s="499">
        <v>20.97</v>
      </c>
      <c r="BS362" s="615">
        <v>10.86</v>
      </c>
      <c r="BT362" s="615">
        <v>10.98</v>
      </c>
      <c r="BU362" s="386">
        <v>23.1</v>
      </c>
      <c r="BV362" s="386">
        <v>24.3</v>
      </c>
      <c r="BW362" s="499">
        <v>754.3</v>
      </c>
      <c r="BX362" s="793"/>
      <c r="BY362" s="499">
        <v>0</v>
      </c>
      <c r="BZ362" s="499">
        <v>1.2</v>
      </c>
      <c r="CA362" s="499">
        <v>1.2</v>
      </c>
      <c r="CB362" s="499">
        <v>8.3000000000000007</v>
      </c>
      <c r="CC362" s="499">
        <v>8.3000000000000007</v>
      </c>
      <c r="CD362" s="499">
        <v>15.3</v>
      </c>
      <c r="CE362" s="499">
        <v>35.200000000000003</v>
      </c>
      <c r="CF362" s="499">
        <v>13.4</v>
      </c>
      <c r="CG362" s="499">
        <v>5.2</v>
      </c>
      <c r="CH362" s="499">
        <v>10.5</v>
      </c>
      <c r="CI362" s="499">
        <v>14.5</v>
      </c>
      <c r="CJ362" s="499">
        <v>12.52</v>
      </c>
      <c r="CK362" s="499">
        <v>503.8</v>
      </c>
      <c r="CL362" s="499">
        <v>2.4</v>
      </c>
      <c r="CM362" s="499">
        <v>3.6</v>
      </c>
      <c r="CN362" s="499">
        <v>95.1</v>
      </c>
      <c r="CO362" s="499">
        <v>447.8</v>
      </c>
      <c r="CP362" s="499">
        <v>0</v>
      </c>
      <c r="CQ362" s="499">
        <v>12</v>
      </c>
      <c r="CR362" s="499">
        <v>0.72</v>
      </c>
      <c r="CS362" s="386">
        <v>0</v>
      </c>
      <c r="CT362" s="386">
        <v>16.186</v>
      </c>
      <c r="CU362" s="386">
        <v>44</v>
      </c>
      <c r="CV362" s="499">
        <v>0</v>
      </c>
      <c r="CW362" s="499">
        <v>0</v>
      </c>
      <c r="CX362" s="499">
        <v>0</v>
      </c>
      <c r="CY362" s="499">
        <v>0</v>
      </c>
      <c r="CZ362" s="608">
        <v>2990</v>
      </c>
      <c r="DA362" s="608">
        <v>4040</v>
      </c>
      <c r="DB362" s="608">
        <v>3230</v>
      </c>
      <c r="DC362" s="608">
        <v>1102.57</v>
      </c>
      <c r="DD362" s="1153">
        <f t="shared" si="98"/>
        <v>7.7000000000000455</v>
      </c>
      <c r="DE362" s="1154">
        <f t="shared" si="99"/>
        <v>0</v>
      </c>
      <c r="DF362" s="1154">
        <f t="shared" si="100"/>
        <v>3120</v>
      </c>
      <c r="DG362" s="1154">
        <f t="shared" si="101"/>
        <v>3790</v>
      </c>
      <c r="DH362" s="1155" t="str">
        <f t="shared" si="102"/>
        <v>Palm</v>
      </c>
      <c r="DI362" s="1146">
        <f t="shared" si="103"/>
        <v>810</v>
      </c>
      <c r="DJ362" s="1146">
        <f t="shared" si="104"/>
        <v>0</v>
      </c>
      <c r="DK362" s="1154">
        <f t="shared" si="105"/>
        <v>0</v>
      </c>
      <c r="DL362" s="499"/>
      <c r="DM362" s="499"/>
      <c r="DN362" s="499"/>
      <c r="DO362" s="499"/>
      <c r="DP362" s="499"/>
      <c r="DQ362" s="499"/>
      <c r="DR362" s="499"/>
      <c r="DS362" s="499"/>
      <c r="DT362" s="499"/>
      <c r="DU362" s="499"/>
      <c r="DV362" s="499"/>
      <c r="DW362" s="499"/>
      <c r="DX362" s="499"/>
      <c r="DY362" s="499"/>
      <c r="DZ362" s="499"/>
      <c r="EA362" s="499"/>
      <c r="EB362" s="499"/>
      <c r="EC362" s="499"/>
      <c r="ED362" s="499"/>
      <c r="EE362" s="499"/>
      <c r="EF362" s="499"/>
      <c r="EG362" s="1147">
        <f t="shared" si="107"/>
        <v>10.5</v>
      </c>
      <c r="EH362" s="499">
        <v>0</v>
      </c>
      <c r="EI362" s="615">
        <v>1</v>
      </c>
      <c r="EJ362" s="615">
        <v>3</v>
      </c>
      <c r="EK362" s="615">
        <v>6.5</v>
      </c>
      <c r="EL362" s="499"/>
      <c r="EM362" s="499"/>
      <c r="EN362" s="499"/>
      <c r="EO362" s="499"/>
      <c r="EP362" s="499"/>
      <c r="EQ362" s="499"/>
      <c r="ER362" s="499"/>
      <c r="ES362" s="388"/>
      <c r="ET362" s="388"/>
      <c r="EV362" s="1167">
        <f t="shared" si="94"/>
        <v>16.243500000000001</v>
      </c>
    </row>
    <row r="363" spans="1:152" s="350" customFormat="1" ht="15" x14ac:dyDescent="0.25">
      <c r="A363" s="632" t="s">
        <v>6</v>
      </c>
      <c r="B363" s="662">
        <v>43089</v>
      </c>
      <c r="C363" s="1132" t="s">
        <v>904</v>
      </c>
      <c r="D363" s="386">
        <v>0.31</v>
      </c>
      <c r="E363" s="636">
        <v>0</v>
      </c>
      <c r="F363" s="636">
        <v>29.8</v>
      </c>
      <c r="G363" s="636">
        <v>1.2</v>
      </c>
      <c r="H363" s="386">
        <v>12.9</v>
      </c>
      <c r="I363" s="386">
        <v>10.199999999999999</v>
      </c>
      <c r="J363" s="609">
        <v>0</v>
      </c>
      <c r="K363" s="386">
        <v>8.52</v>
      </c>
      <c r="L363" s="610">
        <v>10.330000000001746</v>
      </c>
      <c r="M363" s="386">
        <v>21.5</v>
      </c>
      <c r="N363" s="386">
        <v>1.2</v>
      </c>
      <c r="O363" s="386">
        <v>1.3914018644743904</v>
      </c>
      <c r="P363" s="386">
        <v>1.22</v>
      </c>
      <c r="Q363" s="386">
        <v>0.59820192261760619</v>
      </c>
      <c r="R363" s="386">
        <v>838.72761627906993</v>
      </c>
      <c r="S363" s="386">
        <v>8.27</v>
      </c>
      <c r="T363" s="386">
        <v>8.27</v>
      </c>
      <c r="U363" s="386">
        <v>0.76</v>
      </c>
      <c r="V363" s="387">
        <v>0.72</v>
      </c>
      <c r="W363" s="783">
        <v>42.44</v>
      </c>
      <c r="X363" s="369">
        <v>42.44</v>
      </c>
      <c r="Y363" s="367">
        <v>25.3</v>
      </c>
      <c r="Z363" s="636">
        <v>34</v>
      </c>
      <c r="AA363" s="636">
        <v>25.2</v>
      </c>
      <c r="AB363" s="636">
        <v>33.96</v>
      </c>
      <c r="AC363" s="1160">
        <f t="shared" si="95"/>
        <v>59.16</v>
      </c>
      <c r="AD363" s="1160">
        <f t="shared" si="96"/>
        <v>91.520519999999991</v>
      </c>
      <c r="AE363" s="1160">
        <f t="shared" si="97"/>
        <v>75.540009999997295</v>
      </c>
      <c r="AF363" s="656"/>
      <c r="AG363" s="1160">
        <f t="shared" si="93"/>
        <v>0</v>
      </c>
      <c r="AH363" s="656"/>
      <c r="AI363" s="656"/>
      <c r="AJ363" s="388"/>
      <c r="AK363" s="388"/>
      <c r="AL363" s="388"/>
      <c r="AM363" s="388"/>
      <c r="AN363" s="388"/>
      <c r="AO363" s="370"/>
      <c r="AP363" s="370"/>
      <c r="AQ363" s="386"/>
      <c r="AR363" s="551">
        <v>0</v>
      </c>
      <c r="AS363" s="386">
        <v>22.2</v>
      </c>
      <c r="AT363" s="386">
        <v>1</v>
      </c>
      <c r="AU363" s="386">
        <v>22.1</v>
      </c>
      <c r="AV363" s="636">
        <v>228.2</v>
      </c>
      <c r="AW363" s="636">
        <v>352.3</v>
      </c>
      <c r="AX363" s="386">
        <v>0</v>
      </c>
      <c r="AY363" s="551">
        <v>0</v>
      </c>
      <c r="AZ363" s="551">
        <v>0</v>
      </c>
      <c r="BA363" s="551">
        <v>0</v>
      </c>
      <c r="BB363" s="832">
        <v>0</v>
      </c>
      <c r="BC363" s="386">
        <v>1</v>
      </c>
      <c r="BD363" s="386">
        <v>1</v>
      </c>
      <c r="BE363" s="551">
        <v>0</v>
      </c>
      <c r="BF363" s="386">
        <v>0.99</v>
      </c>
      <c r="BG363" s="386">
        <v>0</v>
      </c>
      <c r="BH363" s="551">
        <v>0</v>
      </c>
      <c r="BI363" s="386">
        <v>1.01</v>
      </c>
      <c r="BJ363" s="386">
        <v>29.9</v>
      </c>
      <c r="BK363" s="386">
        <v>3.23</v>
      </c>
      <c r="BL363" s="386">
        <v>3.19</v>
      </c>
      <c r="BM363" s="386">
        <v>0</v>
      </c>
      <c r="BN363" s="386">
        <v>23.5</v>
      </c>
      <c r="BO363" s="386">
        <v>1484</v>
      </c>
      <c r="BP363" s="386">
        <v>2.7</v>
      </c>
      <c r="BQ363" s="499">
        <v>19.579999999999998</v>
      </c>
      <c r="BR363" s="499">
        <v>20.38</v>
      </c>
      <c r="BS363" s="615">
        <v>10.56</v>
      </c>
      <c r="BT363" s="615">
        <v>10.66</v>
      </c>
      <c r="BU363" s="386">
        <v>22.6</v>
      </c>
      <c r="BV363" s="386">
        <v>27.9</v>
      </c>
      <c r="BW363" s="499">
        <v>688.1</v>
      </c>
      <c r="BX363" s="793"/>
      <c r="BY363" s="499">
        <v>0</v>
      </c>
      <c r="BZ363" s="499">
        <v>1.21</v>
      </c>
      <c r="CA363" s="499">
        <v>1.2</v>
      </c>
      <c r="CB363" s="499">
        <v>8.4</v>
      </c>
      <c r="CC363" s="499">
        <v>8.3000000000000007</v>
      </c>
      <c r="CD363" s="499">
        <v>16.440000000000001</v>
      </c>
      <c r="CE363" s="499">
        <v>35.299999999999997</v>
      </c>
      <c r="CF363" s="499">
        <v>12.4</v>
      </c>
      <c r="CG363" s="499">
        <v>7</v>
      </c>
      <c r="CH363" s="499">
        <v>12.3</v>
      </c>
      <c r="CI363" s="499">
        <v>17</v>
      </c>
      <c r="CJ363" s="499">
        <v>13.45</v>
      </c>
      <c r="CK363" s="499">
        <v>525</v>
      </c>
      <c r="CL363" s="499">
        <v>2.8</v>
      </c>
      <c r="CM363" s="499">
        <v>3.2</v>
      </c>
      <c r="CN363" s="499">
        <v>123</v>
      </c>
      <c r="CO363" s="499">
        <v>443</v>
      </c>
      <c r="CP363" s="499">
        <v>0</v>
      </c>
      <c r="CQ363" s="499">
        <v>12.1</v>
      </c>
      <c r="CR363" s="499">
        <v>0.65</v>
      </c>
      <c r="CS363" s="386">
        <v>0</v>
      </c>
      <c r="CT363" s="386">
        <v>15.59</v>
      </c>
      <c r="CU363" s="386">
        <v>44</v>
      </c>
      <c r="CV363" s="499">
        <v>0</v>
      </c>
      <c r="CW363" s="499">
        <v>0</v>
      </c>
      <c r="CX363" s="499">
        <v>0</v>
      </c>
      <c r="CY363" s="499">
        <v>0</v>
      </c>
      <c r="CZ363" s="608">
        <v>2780</v>
      </c>
      <c r="DA363" s="608">
        <v>3630</v>
      </c>
      <c r="DB363" s="608">
        <v>2890</v>
      </c>
      <c r="DC363" s="609">
        <v>1101.3</v>
      </c>
      <c r="DD363" s="1153">
        <f t="shared" si="98"/>
        <v>-1.2699999999999818</v>
      </c>
      <c r="DE363" s="1154">
        <f t="shared" si="99"/>
        <v>0</v>
      </c>
      <c r="DF363" s="1154">
        <f t="shared" si="100"/>
        <v>2780</v>
      </c>
      <c r="DG363" s="1154">
        <f t="shared" si="101"/>
        <v>3380</v>
      </c>
      <c r="DH363" s="1155" t="str">
        <f t="shared" si="102"/>
        <v>Palm</v>
      </c>
      <c r="DI363" s="1146">
        <f t="shared" si="103"/>
        <v>740</v>
      </c>
      <c r="DJ363" s="1146">
        <f t="shared" si="104"/>
        <v>0</v>
      </c>
      <c r="DK363" s="1154">
        <f t="shared" si="105"/>
        <v>0</v>
      </c>
      <c r="DL363" s="499"/>
      <c r="DM363" s="499"/>
      <c r="DN363" s="499"/>
      <c r="DO363" s="499"/>
      <c r="DP363" s="499"/>
      <c r="DQ363" s="499"/>
      <c r="DR363" s="499"/>
      <c r="DS363" s="499"/>
      <c r="DT363" s="499"/>
      <c r="DU363" s="499"/>
      <c r="DV363" s="499"/>
      <c r="DW363" s="499"/>
      <c r="DX363" s="499"/>
      <c r="DY363" s="499"/>
      <c r="DZ363" s="499"/>
      <c r="EA363" s="499"/>
      <c r="EB363" s="499"/>
      <c r="EC363" s="499"/>
      <c r="ED363" s="499"/>
      <c r="EE363" s="499"/>
      <c r="EF363" s="499"/>
      <c r="EG363" s="1147">
        <f t="shared" si="107"/>
        <v>10.5</v>
      </c>
      <c r="EH363" s="499">
        <v>0</v>
      </c>
      <c r="EI363" s="615">
        <v>1</v>
      </c>
      <c r="EJ363" s="615">
        <v>3</v>
      </c>
      <c r="EK363" s="615">
        <v>6.5</v>
      </c>
      <c r="EL363" s="499"/>
      <c r="EM363" s="499"/>
      <c r="EN363" s="499"/>
      <c r="EO363" s="499"/>
      <c r="EP363" s="499"/>
      <c r="EQ363" s="499"/>
      <c r="ER363" s="499"/>
      <c r="ES363" s="388"/>
      <c r="ET363" s="388"/>
      <c r="EV363" s="1167">
        <f t="shared" si="94"/>
        <v>16.243500000000001</v>
      </c>
    </row>
    <row r="364" spans="1:152" s="350" customFormat="1" ht="15" x14ac:dyDescent="0.25">
      <c r="A364" s="632" t="s">
        <v>7</v>
      </c>
      <c r="B364" s="662">
        <v>43090</v>
      </c>
      <c r="C364" s="1132" t="s">
        <v>904</v>
      </c>
      <c r="D364" s="386">
        <v>0.03</v>
      </c>
      <c r="E364" s="636">
        <v>0</v>
      </c>
      <c r="F364" s="636">
        <v>32.700000000000003</v>
      </c>
      <c r="G364" s="636">
        <v>1</v>
      </c>
      <c r="H364" s="386">
        <v>6.46</v>
      </c>
      <c r="I364" s="386">
        <v>8.8000000000000007</v>
      </c>
      <c r="J364" s="609">
        <v>0</v>
      </c>
      <c r="K364" s="386">
        <v>4.84</v>
      </c>
      <c r="L364" s="610">
        <v>1.569999999999709</v>
      </c>
      <c r="M364" s="386">
        <v>22.6</v>
      </c>
      <c r="N364" s="386">
        <v>1.22</v>
      </c>
      <c r="O364" s="386">
        <v>1.3752476684147286</v>
      </c>
      <c r="P364" s="386">
        <v>1.22</v>
      </c>
      <c r="Q364" s="386">
        <v>0.590405464910295</v>
      </c>
      <c r="R364" s="386">
        <v>830.39367732558139</v>
      </c>
      <c r="S364" s="386">
        <v>8.18</v>
      </c>
      <c r="T364" s="386">
        <v>8.16</v>
      </c>
      <c r="U364" s="386">
        <v>0.76</v>
      </c>
      <c r="V364" s="387">
        <v>0.7</v>
      </c>
      <c r="W364" s="783">
        <v>41.180000000000007</v>
      </c>
      <c r="X364" s="369">
        <v>41.72</v>
      </c>
      <c r="Y364" s="367">
        <v>25.2</v>
      </c>
      <c r="Z364" s="636">
        <v>33.96</v>
      </c>
      <c r="AA364" s="636">
        <v>25.2</v>
      </c>
      <c r="AB364" s="636">
        <v>33.94</v>
      </c>
      <c r="AC364" s="1160">
        <f t="shared" si="95"/>
        <v>59.14</v>
      </c>
      <c r="AD364" s="1160">
        <f t="shared" si="96"/>
        <v>91.489580000000004</v>
      </c>
      <c r="AE364" s="1160">
        <f t="shared" si="97"/>
        <v>89.060790000000452</v>
      </c>
      <c r="AF364" s="656"/>
      <c r="AG364" s="1160">
        <f t="shared" si="93"/>
        <v>0</v>
      </c>
      <c r="AH364" s="656"/>
      <c r="AI364" s="656"/>
      <c r="AJ364" s="388"/>
      <c r="AK364" s="388"/>
      <c r="AL364" s="388"/>
      <c r="AM364" s="388"/>
      <c r="AN364" s="388"/>
      <c r="AO364" s="370"/>
      <c r="AP364" s="370"/>
      <c r="AQ364" s="386"/>
      <c r="AR364" s="551">
        <v>0</v>
      </c>
      <c r="AS364" s="386">
        <v>11.4</v>
      </c>
      <c r="AT364" s="386">
        <v>0.35</v>
      </c>
      <c r="AU364" s="386">
        <v>22.7</v>
      </c>
      <c r="AV364" s="636">
        <v>0</v>
      </c>
      <c r="AW364" s="636">
        <v>1050.8</v>
      </c>
      <c r="AX364" s="386">
        <v>0</v>
      </c>
      <c r="AY364" s="551">
        <v>0</v>
      </c>
      <c r="AZ364" s="551">
        <v>0</v>
      </c>
      <c r="BA364" s="551">
        <v>0</v>
      </c>
      <c r="BB364" s="832">
        <v>0</v>
      </c>
      <c r="BC364" s="386">
        <v>1</v>
      </c>
      <c r="BD364" s="386">
        <v>1</v>
      </c>
      <c r="BE364" s="551">
        <v>0</v>
      </c>
      <c r="BF364" s="386">
        <v>0.99</v>
      </c>
      <c r="BG364" s="386">
        <v>0</v>
      </c>
      <c r="BH364" s="551">
        <v>0</v>
      </c>
      <c r="BI364" s="386">
        <v>1.01</v>
      </c>
      <c r="BJ364" s="386">
        <v>29.9</v>
      </c>
      <c r="BK364" s="386">
        <v>3.31</v>
      </c>
      <c r="BL364" s="386">
        <v>3.13</v>
      </c>
      <c r="BM364" s="386">
        <v>0</v>
      </c>
      <c r="BN364" s="386">
        <v>23.5</v>
      </c>
      <c r="BO364" s="386">
        <v>1237.5</v>
      </c>
      <c r="BP364" s="386">
        <v>2.8</v>
      </c>
      <c r="BQ364" s="499">
        <v>19.670000000000002</v>
      </c>
      <c r="BR364" s="499">
        <v>20.63</v>
      </c>
      <c r="BS364" s="615">
        <v>10.68</v>
      </c>
      <c r="BT364" s="615">
        <v>10.75</v>
      </c>
      <c r="BU364" s="386">
        <v>22.8</v>
      </c>
      <c r="BV364" s="386">
        <v>25.8</v>
      </c>
      <c r="BW364" s="499">
        <v>670.1</v>
      </c>
      <c r="BX364" s="793"/>
      <c r="BY364" s="499">
        <v>0</v>
      </c>
      <c r="BZ364" s="499">
        <v>1.23</v>
      </c>
      <c r="CA364" s="499">
        <v>1.2</v>
      </c>
      <c r="CB364" s="499">
        <v>8.3000000000000007</v>
      </c>
      <c r="CC364" s="499">
        <v>8.3000000000000007</v>
      </c>
      <c r="CD364" s="499">
        <v>16</v>
      </c>
      <c r="CE364" s="499">
        <v>35.200000000000003</v>
      </c>
      <c r="CF364" s="499">
        <v>14.7</v>
      </c>
      <c r="CG364" s="499">
        <v>8.3000000000000007</v>
      </c>
      <c r="CH364" s="499">
        <v>14.1</v>
      </c>
      <c r="CI364" s="499">
        <v>18.100000000000001</v>
      </c>
      <c r="CJ364" s="499">
        <v>12.84</v>
      </c>
      <c r="CK364" s="499">
        <v>460.8</v>
      </c>
      <c r="CL364" s="499">
        <v>2.2999999999999998</v>
      </c>
      <c r="CM364" s="499">
        <v>3.7</v>
      </c>
      <c r="CN364" s="499">
        <v>85.9</v>
      </c>
      <c r="CO364" s="499">
        <v>444.2</v>
      </c>
      <c r="CP364" s="499">
        <v>0</v>
      </c>
      <c r="CQ364" s="499">
        <v>11.3</v>
      </c>
      <c r="CR364" s="499">
        <v>0.72</v>
      </c>
      <c r="CS364" s="386">
        <v>0</v>
      </c>
      <c r="CT364" s="386">
        <v>15.474</v>
      </c>
      <c r="CU364" s="386">
        <v>44</v>
      </c>
      <c r="CV364" s="499">
        <v>0</v>
      </c>
      <c r="CW364" s="499">
        <v>0</v>
      </c>
      <c r="CX364" s="499">
        <v>0</v>
      </c>
      <c r="CY364" s="499">
        <v>0</v>
      </c>
      <c r="CZ364" s="608">
        <v>1960</v>
      </c>
      <c r="DA364" s="608">
        <v>2650</v>
      </c>
      <c r="DB364" s="608">
        <v>2030</v>
      </c>
      <c r="DC364" s="608">
        <v>1098.19</v>
      </c>
      <c r="DD364" s="1153">
        <f t="shared" si="98"/>
        <v>-3.1099999999999</v>
      </c>
      <c r="DE364" s="1154">
        <f t="shared" si="99"/>
        <v>0</v>
      </c>
      <c r="DF364" s="1154">
        <f t="shared" si="100"/>
        <v>1920</v>
      </c>
      <c r="DG364" s="1154">
        <f t="shared" si="101"/>
        <v>2400</v>
      </c>
      <c r="DH364" s="1155" t="str">
        <f t="shared" si="102"/>
        <v>Palm</v>
      </c>
      <c r="DI364" s="1146">
        <f t="shared" si="103"/>
        <v>620</v>
      </c>
      <c r="DJ364" s="1146">
        <f t="shared" si="104"/>
        <v>0</v>
      </c>
      <c r="DK364" s="1154">
        <f t="shared" si="105"/>
        <v>0</v>
      </c>
      <c r="DL364" s="499"/>
      <c r="DM364" s="499"/>
      <c r="DN364" s="499"/>
      <c r="DO364" s="499"/>
      <c r="DP364" s="499"/>
      <c r="DQ364" s="499"/>
      <c r="DR364" s="499"/>
      <c r="DS364" s="499"/>
      <c r="DT364" s="499"/>
      <c r="DU364" s="499"/>
      <c r="DV364" s="499"/>
      <c r="DW364" s="499"/>
      <c r="DX364" s="499"/>
      <c r="DY364" s="499"/>
      <c r="DZ364" s="499"/>
      <c r="EA364" s="499"/>
      <c r="EB364" s="499"/>
      <c r="EC364" s="499"/>
      <c r="ED364" s="499"/>
      <c r="EE364" s="499"/>
      <c r="EF364" s="499"/>
      <c r="EG364" s="1147">
        <f t="shared" si="107"/>
        <v>10.5</v>
      </c>
      <c r="EH364" s="499">
        <v>0</v>
      </c>
      <c r="EI364" s="615">
        <v>1</v>
      </c>
      <c r="EJ364" s="615">
        <v>3</v>
      </c>
      <c r="EK364" s="615">
        <v>6.5</v>
      </c>
      <c r="EL364" s="499"/>
      <c r="EM364" s="499"/>
      <c r="EN364" s="499"/>
      <c r="EO364" s="499"/>
      <c r="EP364" s="499"/>
      <c r="EQ364" s="499"/>
      <c r="ER364" s="499"/>
      <c r="ES364" s="388"/>
      <c r="ET364" s="388"/>
      <c r="EV364" s="1167">
        <f t="shared" si="94"/>
        <v>16.243500000000001</v>
      </c>
    </row>
    <row r="365" spans="1:152" s="350" customFormat="1" ht="15" x14ac:dyDescent="0.25">
      <c r="A365" s="632" t="s">
        <v>8</v>
      </c>
      <c r="B365" s="662">
        <v>43091</v>
      </c>
      <c r="C365" s="1132" t="s">
        <v>904</v>
      </c>
      <c r="D365" s="386">
        <v>0.6</v>
      </c>
      <c r="E365" s="636" t="s">
        <v>920</v>
      </c>
      <c r="F365" s="636">
        <v>32</v>
      </c>
      <c r="G365" s="636">
        <v>1.9</v>
      </c>
      <c r="H365" s="386">
        <v>4.5999999999999996</v>
      </c>
      <c r="I365" s="386">
        <v>12.7</v>
      </c>
      <c r="J365" s="609">
        <v>0</v>
      </c>
      <c r="K365" s="386">
        <v>3.53</v>
      </c>
      <c r="L365" s="610">
        <v>0</v>
      </c>
      <c r="M365" s="386">
        <v>22.7</v>
      </c>
      <c r="N365" s="386">
        <v>1.21</v>
      </c>
      <c r="O365" s="386">
        <v>1.360668454030401</v>
      </c>
      <c r="P365" s="386">
        <v>1.24</v>
      </c>
      <c r="Q365" s="386">
        <v>0.58135116423401179</v>
      </c>
      <c r="R365" s="386">
        <v>818.05944767441861</v>
      </c>
      <c r="S365" s="386">
        <v>8.14</v>
      </c>
      <c r="T365" s="386">
        <v>8.1199999999999992</v>
      </c>
      <c r="U365" s="386">
        <v>0.8</v>
      </c>
      <c r="V365" s="387">
        <v>0.68</v>
      </c>
      <c r="W365" s="783">
        <v>40.460000000000008</v>
      </c>
      <c r="X365" s="369">
        <v>40.64</v>
      </c>
      <c r="Y365" s="367">
        <v>25.2</v>
      </c>
      <c r="Z365" s="636">
        <v>33.94</v>
      </c>
      <c r="AA365" s="636">
        <v>25.2</v>
      </c>
      <c r="AB365" s="636">
        <v>33.9</v>
      </c>
      <c r="AC365" s="1160">
        <f t="shared" si="95"/>
        <v>59.099999999999994</v>
      </c>
      <c r="AD365" s="1160">
        <f t="shared" si="96"/>
        <v>91.427699999999987</v>
      </c>
      <c r="AE365" s="1160">
        <f t="shared" si="97"/>
        <v>91.427699999999987</v>
      </c>
      <c r="AF365" s="656"/>
      <c r="AG365" s="1160">
        <f t="shared" si="93"/>
        <v>0</v>
      </c>
      <c r="AH365" s="656"/>
      <c r="AI365" s="656"/>
      <c r="AJ365" s="388"/>
      <c r="AK365" s="388"/>
      <c r="AL365" s="388"/>
      <c r="AM365" s="388"/>
      <c r="AN365" s="388"/>
      <c r="AO365" s="370"/>
      <c r="AP365" s="370"/>
      <c r="AQ365" s="386"/>
      <c r="AR365" s="551">
        <v>0</v>
      </c>
      <c r="AS365" s="386">
        <v>22</v>
      </c>
      <c r="AT365" s="386">
        <v>0</v>
      </c>
      <c r="AU365" s="386">
        <v>23</v>
      </c>
      <c r="AV365" s="636">
        <v>209.5</v>
      </c>
      <c r="AW365" s="636">
        <v>217.1</v>
      </c>
      <c r="AX365" s="386">
        <v>0</v>
      </c>
      <c r="AY365" s="551">
        <v>0</v>
      </c>
      <c r="AZ365" s="551">
        <v>0</v>
      </c>
      <c r="BA365" s="551">
        <v>0</v>
      </c>
      <c r="BB365" s="832">
        <v>0</v>
      </c>
      <c r="BC365" s="386">
        <v>1</v>
      </c>
      <c r="BD365" s="386">
        <v>1</v>
      </c>
      <c r="BE365" s="551">
        <v>0</v>
      </c>
      <c r="BF365" s="386">
        <v>0.99</v>
      </c>
      <c r="BG365" s="386">
        <v>0</v>
      </c>
      <c r="BH365" s="551">
        <v>0</v>
      </c>
      <c r="BI365" s="386">
        <v>1.01</v>
      </c>
      <c r="BJ365" s="386">
        <v>29.9</v>
      </c>
      <c r="BK365" s="386">
        <v>3.04</v>
      </c>
      <c r="BL365" s="386">
        <v>3.47</v>
      </c>
      <c r="BM365" s="386">
        <v>0</v>
      </c>
      <c r="BN365" s="386">
        <v>23.5</v>
      </c>
      <c r="BO365" s="386">
        <v>992.1</v>
      </c>
      <c r="BP365" s="386">
        <v>3</v>
      </c>
      <c r="BQ365" s="499">
        <v>20.8</v>
      </c>
      <c r="BR365" s="499">
        <v>21.62</v>
      </c>
      <c r="BS365" s="615">
        <v>11.13</v>
      </c>
      <c r="BT365" s="615">
        <v>11.24</v>
      </c>
      <c r="BU365" s="386">
        <v>23.7</v>
      </c>
      <c r="BV365" s="386">
        <v>24.6</v>
      </c>
      <c r="BW365" s="499">
        <v>761.3</v>
      </c>
      <c r="BX365" s="793"/>
      <c r="BY365" s="499">
        <v>0</v>
      </c>
      <c r="BZ365" s="499">
        <v>1.24</v>
      </c>
      <c r="CA365" s="499">
        <v>1.2</v>
      </c>
      <c r="CB365" s="499">
        <v>8.3000000000000007</v>
      </c>
      <c r="CC365" s="499">
        <v>8.3000000000000007</v>
      </c>
      <c r="CD365" s="499">
        <v>16.2</v>
      </c>
      <c r="CE365" s="499">
        <v>35.299999999999997</v>
      </c>
      <c r="CF365" s="499">
        <v>13.6</v>
      </c>
      <c r="CG365" s="499">
        <v>7.8</v>
      </c>
      <c r="CH365" s="499">
        <v>13.5</v>
      </c>
      <c r="CI365" s="499">
        <v>17.5</v>
      </c>
      <c r="CJ365" s="499">
        <v>13.28</v>
      </c>
      <c r="CK365" s="499">
        <v>486.7</v>
      </c>
      <c r="CL365" s="499">
        <v>2.2999999999999998</v>
      </c>
      <c r="CM365" s="499">
        <v>3.3</v>
      </c>
      <c r="CN365" s="499">
        <v>128.80000000000001</v>
      </c>
      <c r="CO365" s="499">
        <v>446.2</v>
      </c>
      <c r="CP365" s="499">
        <v>0</v>
      </c>
      <c r="CQ365" s="499">
        <v>11.3</v>
      </c>
      <c r="CR365" s="499">
        <v>0.64</v>
      </c>
      <c r="CS365" s="386">
        <v>0</v>
      </c>
      <c r="CT365" s="386">
        <v>15.109</v>
      </c>
      <c r="CU365" s="386">
        <v>44</v>
      </c>
      <c r="CV365" s="499">
        <v>0</v>
      </c>
      <c r="CW365" s="499">
        <v>0</v>
      </c>
      <c r="CX365" s="499">
        <v>0</v>
      </c>
      <c r="CY365" s="499">
        <v>0</v>
      </c>
      <c r="CZ365" s="608">
        <v>1450</v>
      </c>
      <c r="DA365" s="608">
        <v>2110</v>
      </c>
      <c r="DB365" s="608">
        <v>1500</v>
      </c>
      <c r="DC365" s="608">
        <v>1097.33</v>
      </c>
      <c r="DD365" s="1153">
        <f t="shared" si="98"/>
        <v>-0.86000000000012733</v>
      </c>
      <c r="DE365" s="1154">
        <f t="shared" si="99"/>
        <v>0</v>
      </c>
      <c r="DF365" s="1154">
        <f t="shared" si="100"/>
        <v>1390</v>
      </c>
      <c r="DG365" s="1154">
        <f t="shared" si="101"/>
        <v>1860</v>
      </c>
      <c r="DH365" s="1155" t="str">
        <f t="shared" si="102"/>
        <v>Palm</v>
      </c>
      <c r="DI365" s="1146">
        <f t="shared" si="103"/>
        <v>610</v>
      </c>
      <c r="DJ365" s="1146">
        <f t="shared" si="104"/>
        <v>0</v>
      </c>
      <c r="DK365" s="1154">
        <f t="shared" si="105"/>
        <v>0</v>
      </c>
      <c r="DL365" s="499"/>
      <c r="DM365" s="499"/>
      <c r="DN365" s="499"/>
      <c r="DO365" s="499"/>
      <c r="DP365" s="499"/>
      <c r="DQ365" s="499"/>
      <c r="DR365" s="499"/>
      <c r="DS365" s="499"/>
      <c r="DT365" s="499"/>
      <c r="DU365" s="499"/>
      <c r="DV365" s="499"/>
      <c r="DW365" s="499"/>
      <c r="DX365" s="499"/>
      <c r="DY365" s="499"/>
      <c r="DZ365" s="499"/>
      <c r="EA365" s="499"/>
      <c r="EB365" s="499"/>
      <c r="EC365" s="499"/>
      <c r="ED365" s="499"/>
      <c r="EE365" s="499"/>
      <c r="EF365" s="499"/>
      <c r="EG365" s="1147">
        <f t="shared" ref="EG365:EG375" si="108">(SUM(EH365:EK365))</f>
        <v>10.5</v>
      </c>
      <c r="EH365" s="499">
        <v>0</v>
      </c>
      <c r="EI365" s="615">
        <v>1</v>
      </c>
      <c r="EJ365" s="615">
        <v>3</v>
      </c>
      <c r="EK365" s="615">
        <v>6.5</v>
      </c>
      <c r="EL365" s="499"/>
      <c r="EM365" s="499"/>
      <c r="EN365" s="499"/>
      <c r="EO365" s="499"/>
      <c r="EP365" s="499"/>
      <c r="EQ365" s="499"/>
      <c r="ER365" s="499"/>
      <c r="ES365" s="388"/>
      <c r="ET365" s="388"/>
      <c r="EV365" s="1167">
        <f t="shared" si="94"/>
        <v>16.243500000000001</v>
      </c>
    </row>
    <row r="366" spans="1:152" s="350" customFormat="1" ht="15" x14ac:dyDescent="0.25">
      <c r="A366" s="632" t="s">
        <v>9</v>
      </c>
      <c r="B366" s="662">
        <v>43092</v>
      </c>
      <c r="C366" s="1132" t="s">
        <v>904</v>
      </c>
      <c r="D366" s="386">
        <v>0</v>
      </c>
      <c r="E366" s="636">
        <v>0</v>
      </c>
      <c r="F366" s="636">
        <v>28</v>
      </c>
      <c r="G366" s="636">
        <v>1.85</v>
      </c>
      <c r="H366" s="386">
        <v>2</v>
      </c>
      <c r="I366" s="386">
        <v>11.65</v>
      </c>
      <c r="J366" s="609">
        <v>0</v>
      </c>
      <c r="K366" s="386">
        <v>2.06</v>
      </c>
      <c r="L366" s="610">
        <v>0</v>
      </c>
      <c r="M366" s="386">
        <v>22.6</v>
      </c>
      <c r="N366" s="386">
        <v>1.21</v>
      </c>
      <c r="O366" s="386">
        <v>1.4087757987593506</v>
      </c>
      <c r="P366" s="386">
        <v>1.24</v>
      </c>
      <c r="Q366" s="386">
        <v>0.59546209066270184</v>
      </c>
      <c r="R366" s="386">
        <v>798.39135174418607</v>
      </c>
      <c r="S366" s="386">
        <v>8.34</v>
      </c>
      <c r="T366" s="386">
        <v>8.32</v>
      </c>
      <c r="U366" s="386">
        <v>0.75</v>
      </c>
      <c r="V366" s="387">
        <v>0.74</v>
      </c>
      <c r="W366" s="783">
        <v>39.92</v>
      </c>
      <c r="X366" s="369">
        <v>39.92</v>
      </c>
      <c r="Y366" s="367">
        <v>25.2</v>
      </c>
      <c r="Z366" s="636">
        <v>33.9</v>
      </c>
      <c r="AA366" s="636">
        <v>25.2</v>
      </c>
      <c r="AB366" s="636">
        <v>30.98</v>
      </c>
      <c r="AC366" s="1160">
        <f t="shared" si="95"/>
        <v>56.18</v>
      </c>
      <c r="AD366" s="1160">
        <f t="shared" si="96"/>
        <v>86.91046</v>
      </c>
      <c r="AE366" s="1160">
        <f t="shared" si="97"/>
        <v>86.91046</v>
      </c>
      <c r="AF366" s="656"/>
      <c r="AG366" s="1160">
        <f t="shared" si="93"/>
        <v>0</v>
      </c>
      <c r="AH366" s="656"/>
      <c r="AI366" s="656"/>
      <c r="AJ366" s="388"/>
      <c r="AK366" s="388"/>
      <c r="AL366" s="388"/>
      <c r="AM366" s="388"/>
      <c r="AN366" s="388"/>
      <c r="AO366" s="370"/>
      <c r="AP366" s="370"/>
      <c r="AQ366" s="386"/>
      <c r="AR366" s="551">
        <v>0</v>
      </c>
      <c r="AS366" s="386">
        <v>22.1</v>
      </c>
      <c r="AT366" s="386">
        <v>0</v>
      </c>
      <c r="AU366" s="386">
        <v>22.9</v>
      </c>
      <c r="AV366" s="636">
        <v>216.2</v>
      </c>
      <c r="AW366" s="636">
        <v>274.60000000000002</v>
      </c>
      <c r="AX366" s="386">
        <v>0</v>
      </c>
      <c r="AY366" s="551">
        <v>0</v>
      </c>
      <c r="AZ366" s="551">
        <v>0</v>
      </c>
      <c r="BA366" s="551">
        <v>0</v>
      </c>
      <c r="BB366" s="832">
        <v>0</v>
      </c>
      <c r="BC366" s="386">
        <v>1</v>
      </c>
      <c r="BD366" s="386">
        <v>1</v>
      </c>
      <c r="BE366" s="551">
        <v>0</v>
      </c>
      <c r="BF366" s="386">
        <v>0.99</v>
      </c>
      <c r="BG366" s="386">
        <v>0</v>
      </c>
      <c r="BH366" s="551">
        <v>0</v>
      </c>
      <c r="BI366" s="386">
        <v>1.01</v>
      </c>
      <c r="BJ366" s="386">
        <v>27</v>
      </c>
      <c r="BK366" s="386">
        <v>3.02</v>
      </c>
      <c r="BL366" s="386">
        <v>3.59</v>
      </c>
      <c r="BM366" s="386">
        <v>0</v>
      </c>
      <c r="BN366" s="386">
        <v>20.5</v>
      </c>
      <c r="BO366" s="386">
        <v>1123.7</v>
      </c>
      <c r="BP366" s="386">
        <v>2.8</v>
      </c>
      <c r="BQ366" s="499">
        <v>20.32</v>
      </c>
      <c r="BR366" s="499">
        <v>21.17</v>
      </c>
      <c r="BS366" s="499">
        <v>11.07</v>
      </c>
      <c r="BT366" s="499">
        <v>11.14</v>
      </c>
      <c r="BU366" s="386">
        <v>23.6</v>
      </c>
      <c r="BV366" s="386">
        <v>29.1</v>
      </c>
      <c r="BW366" s="499">
        <v>778.9</v>
      </c>
      <c r="BX366" s="793"/>
      <c r="BY366" s="499">
        <v>0</v>
      </c>
      <c r="BZ366" s="499">
        <v>1.25</v>
      </c>
      <c r="CA366" s="499">
        <v>1.2</v>
      </c>
      <c r="CB366" s="499">
        <v>8.3000000000000007</v>
      </c>
      <c r="CC366" s="499">
        <v>8.3000000000000007</v>
      </c>
      <c r="CD366" s="499">
        <v>16.600000000000001</v>
      </c>
      <c r="CE366" s="499">
        <v>35.36</v>
      </c>
      <c r="CF366" s="499">
        <v>12.5</v>
      </c>
      <c r="CG366" s="499">
        <v>7.5</v>
      </c>
      <c r="CH366" s="499">
        <v>13.1</v>
      </c>
      <c r="CI366" s="499">
        <v>17</v>
      </c>
      <c r="CJ366" s="499">
        <v>13.55</v>
      </c>
      <c r="CK366" s="499">
        <v>491.1</v>
      </c>
      <c r="CL366" s="499">
        <v>2.2999999999999998</v>
      </c>
      <c r="CM366" s="499">
        <v>3</v>
      </c>
      <c r="CN366" s="499">
        <v>194.1</v>
      </c>
      <c r="CO366" s="499">
        <v>471</v>
      </c>
      <c r="CP366" s="499">
        <v>0</v>
      </c>
      <c r="CQ366" s="499">
        <v>11.5</v>
      </c>
      <c r="CR366" s="499">
        <v>0.59</v>
      </c>
      <c r="CS366" s="386">
        <v>0</v>
      </c>
      <c r="CT366" s="386">
        <v>15.262</v>
      </c>
      <c r="CU366" s="386">
        <v>43</v>
      </c>
      <c r="CV366" s="499">
        <v>0</v>
      </c>
      <c r="CW366" s="499">
        <v>0</v>
      </c>
      <c r="CX366" s="499">
        <v>0</v>
      </c>
      <c r="CY366" s="499">
        <v>0</v>
      </c>
      <c r="CZ366" s="608">
        <v>1440</v>
      </c>
      <c r="DA366" s="608">
        <v>2020</v>
      </c>
      <c r="DB366" s="608">
        <v>1470</v>
      </c>
      <c r="DC366" s="608">
        <v>1096.01</v>
      </c>
      <c r="DD366" s="1153">
        <f t="shared" si="98"/>
        <v>-1.3199999999999363</v>
      </c>
      <c r="DE366" s="1154">
        <f t="shared" si="99"/>
        <v>0</v>
      </c>
      <c r="DF366" s="1154">
        <f t="shared" si="100"/>
        <v>1360</v>
      </c>
      <c r="DG366" s="1154">
        <f t="shared" si="101"/>
        <v>1770</v>
      </c>
      <c r="DH366" s="1155" t="str">
        <f t="shared" si="102"/>
        <v>Palm</v>
      </c>
      <c r="DI366" s="1146">
        <f t="shared" si="103"/>
        <v>550</v>
      </c>
      <c r="DJ366" s="1146">
        <f t="shared" si="104"/>
        <v>0</v>
      </c>
      <c r="DK366" s="1154">
        <f t="shared" si="105"/>
        <v>0</v>
      </c>
      <c r="DL366" s="499"/>
      <c r="DM366" s="499"/>
      <c r="DN366" s="499"/>
      <c r="DO366" s="499"/>
      <c r="DP366" s="499"/>
      <c r="DQ366" s="499"/>
      <c r="DR366" s="499"/>
      <c r="DS366" s="499"/>
      <c r="DT366" s="499"/>
      <c r="DU366" s="499"/>
      <c r="DV366" s="499"/>
      <c r="DW366" s="499"/>
      <c r="DX366" s="499"/>
      <c r="DY366" s="499"/>
      <c r="DZ366" s="499"/>
      <c r="EA366" s="499"/>
      <c r="EB366" s="499"/>
      <c r="EC366" s="499"/>
      <c r="ED366" s="499"/>
      <c r="EE366" s="499"/>
      <c r="EF366" s="499"/>
      <c r="EG366" s="1147">
        <f t="shared" si="108"/>
        <v>10.5</v>
      </c>
      <c r="EH366" s="499">
        <v>0</v>
      </c>
      <c r="EI366" s="615">
        <v>1</v>
      </c>
      <c r="EJ366" s="615">
        <v>3</v>
      </c>
      <c r="EK366" s="615">
        <v>6.5</v>
      </c>
      <c r="EL366" s="499"/>
      <c r="EM366" s="499"/>
      <c r="EN366" s="499"/>
      <c r="EO366" s="499"/>
      <c r="EP366" s="499"/>
      <c r="EQ366" s="499"/>
      <c r="ER366" s="499"/>
      <c r="ES366" s="388"/>
      <c r="ET366" s="388"/>
      <c r="EV366" s="1167">
        <f t="shared" si="94"/>
        <v>16.243500000000001</v>
      </c>
    </row>
    <row r="367" spans="1:152" s="350" customFormat="1" ht="15" x14ac:dyDescent="0.25">
      <c r="A367" s="632" t="s">
        <v>3</v>
      </c>
      <c r="B367" s="662">
        <v>43093</v>
      </c>
      <c r="C367" s="1132" t="s">
        <v>904</v>
      </c>
      <c r="D367" s="386">
        <v>0</v>
      </c>
      <c r="E367" s="636">
        <v>2.5</v>
      </c>
      <c r="F367" s="636">
        <v>27</v>
      </c>
      <c r="G367" s="636">
        <v>1.85</v>
      </c>
      <c r="H367" s="386">
        <v>3</v>
      </c>
      <c r="I367" s="386">
        <v>12.6</v>
      </c>
      <c r="J367" s="609">
        <v>0</v>
      </c>
      <c r="K367" s="386">
        <v>3.03</v>
      </c>
      <c r="L367" s="610">
        <v>0</v>
      </c>
      <c r="M367" s="386">
        <v>22.4</v>
      </c>
      <c r="N367" s="386">
        <v>1.27</v>
      </c>
      <c r="O367" s="386">
        <v>1.3942153829745565</v>
      </c>
      <c r="P367" s="386">
        <v>1.29</v>
      </c>
      <c r="Q367" s="386">
        <v>0.59469641371922055</v>
      </c>
      <c r="R367" s="386">
        <v>781.05675872093036</v>
      </c>
      <c r="S367" s="386">
        <v>8.25</v>
      </c>
      <c r="T367" s="386">
        <v>8.2200000000000006</v>
      </c>
      <c r="U367" s="386">
        <v>0.74</v>
      </c>
      <c r="V367" s="387">
        <v>0.72</v>
      </c>
      <c r="W367" s="783">
        <v>39.200000000000003</v>
      </c>
      <c r="X367" s="369">
        <v>39.38000000000001</v>
      </c>
      <c r="Y367" s="367">
        <v>25.2</v>
      </c>
      <c r="Z367" s="636">
        <v>30.98</v>
      </c>
      <c r="AA367" s="636">
        <v>25.2</v>
      </c>
      <c r="AB367" s="636">
        <v>30.1</v>
      </c>
      <c r="AC367" s="1160">
        <f t="shared" si="95"/>
        <v>55.3</v>
      </c>
      <c r="AD367" s="1160">
        <f t="shared" si="96"/>
        <v>85.549099999999996</v>
      </c>
      <c r="AE367" s="1160">
        <f t="shared" si="97"/>
        <v>85.549099999999996</v>
      </c>
      <c r="AF367" s="656"/>
      <c r="AG367" s="1160">
        <f t="shared" si="93"/>
        <v>0</v>
      </c>
      <c r="AH367" s="656"/>
      <c r="AI367" s="656"/>
      <c r="AJ367" s="388"/>
      <c r="AK367" s="388"/>
      <c r="AL367" s="388"/>
      <c r="AM367" s="388"/>
      <c r="AN367" s="388"/>
      <c r="AO367" s="370"/>
      <c r="AP367" s="370"/>
      <c r="AQ367" s="386"/>
      <c r="AR367" s="551">
        <v>0</v>
      </c>
      <c r="AS367" s="386">
        <v>11.7</v>
      </c>
      <c r="AT367" s="386">
        <v>0</v>
      </c>
      <c r="AU367" s="386">
        <v>22.9</v>
      </c>
      <c r="AV367" s="636">
        <v>335.7</v>
      </c>
      <c r="AW367" s="636">
        <v>526.1</v>
      </c>
      <c r="AX367" s="386">
        <v>0</v>
      </c>
      <c r="AY367" s="551">
        <v>0</v>
      </c>
      <c r="AZ367" s="551">
        <v>0</v>
      </c>
      <c r="BA367" s="551">
        <v>0</v>
      </c>
      <c r="BB367" s="832">
        <v>0</v>
      </c>
      <c r="BC367" s="386">
        <v>0.71</v>
      </c>
      <c r="BD367" s="386">
        <v>1.28</v>
      </c>
      <c r="BE367" s="551">
        <v>0</v>
      </c>
      <c r="BF367" s="386">
        <v>0.99</v>
      </c>
      <c r="BG367" s="386">
        <v>0</v>
      </c>
      <c r="BH367" s="551">
        <v>0</v>
      </c>
      <c r="BI367" s="386">
        <v>1.02</v>
      </c>
      <c r="BJ367" s="386">
        <v>26.1</v>
      </c>
      <c r="BK367" s="386">
        <v>3.24</v>
      </c>
      <c r="BL367" s="386">
        <v>3.5</v>
      </c>
      <c r="BM367" s="386">
        <v>0</v>
      </c>
      <c r="BN367" s="386">
        <v>19.5</v>
      </c>
      <c r="BO367" s="386">
        <v>1160.7</v>
      </c>
      <c r="BP367" s="386">
        <v>3</v>
      </c>
      <c r="BQ367" s="499">
        <v>19.71</v>
      </c>
      <c r="BR367" s="499">
        <v>20.65</v>
      </c>
      <c r="BS367" s="499">
        <v>10.76</v>
      </c>
      <c r="BT367" s="499">
        <v>10.87</v>
      </c>
      <c r="BU367" s="386">
        <v>23.1</v>
      </c>
      <c r="BV367" s="386">
        <v>28.7</v>
      </c>
      <c r="BW367" s="499">
        <v>753.2</v>
      </c>
      <c r="BX367" s="793"/>
      <c r="BY367" s="499">
        <v>0</v>
      </c>
      <c r="BZ367" s="499">
        <v>1.3</v>
      </c>
      <c r="CA367" s="499">
        <v>1.2</v>
      </c>
      <c r="CB367" s="499">
        <v>8.4</v>
      </c>
      <c r="CC367" s="499">
        <v>8.4</v>
      </c>
      <c r="CD367" s="499">
        <v>16.2</v>
      </c>
      <c r="CE367" s="499">
        <v>35.5</v>
      </c>
      <c r="CF367" s="499">
        <v>15</v>
      </c>
      <c r="CG367" s="499">
        <v>7.3</v>
      </c>
      <c r="CH367" s="499">
        <v>12.9</v>
      </c>
      <c r="CI367" s="499">
        <v>16.8</v>
      </c>
      <c r="CJ367" s="499">
        <v>12.51</v>
      </c>
      <c r="CK367" s="499">
        <v>419.3</v>
      </c>
      <c r="CL367" s="499">
        <v>2.2000000000000002</v>
      </c>
      <c r="CM367" s="499">
        <v>3.7</v>
      </c>
      <c r="CN367" s="499">
        <v>231.7</v>
      </c>
      <c r="CO367" s="499">
        <v>464.4</v>
      </c>
      <c r="CP367" s="499">
        <v>0</v>
      </c>
      <c r="CQ367" s="499">
        <v>10.4</v>
      </c>
      <c r="CR367" s="499">
        <v>0.61</v>
      </c>
      <c r="CS367" s="386">
        <v>0</v>
      </c>
      <c r="CT367" s="386">
        <v>15.291</v>
      </c>
      <c r="CU367" s="386">
        <v>43</v>
      </c>
      <c r="CV367" s="499">
        <v>0</v>
      </c>
      <c r="CW367" s="499">
        <v>0</v>
      </c>
      <c r="CX367" s="499">
        <v>0</v>
      </c>
      <c r="CY367" s="499">
        <v>0</v>
      </c>
      <c r="CZ367" s="608">
        <v>1410</v>
      </c>
      <c r="DA367" s="608">
        <v>1940</v>
      </c>
      <c r="DB367" s="608">
        <v>1420</v>
      </c>
      <c r="DC367" s="608">
        <v>1093.33</v>
      </c>
      <c r="DD367" s="1153">
        <f t="shared" si="98"/>
        <v>-2.6800000000000637</v>
      </c>
      <c r="DE367" s="1154">
        <f t="shared" si="99"/>
        <v>0</v>
      </c>
      <c r="DF367" s="1154">
        <f t="shared" si="100"/>
        <v>1310</v>
      </c>
      <c r="DG367" s="1154">
        <f t="shared" si="101"/>
        <v>1690</v>
      </c>
      <c r="DH367" s="1155" t="str">
        <f t="shared" si="102"/>
        <v>Palm</v>
      </c>
      <c r="DI367" s="1146">
        <f t="shared" si="103"/>
        <v>520</v>
      </c>
      <c r="DJ367" s="1146">
        <f t="shared" si="104"/>
        <v>0</v>
      </c>
      <c r="DK367" s="1154">
        <f t="shared" si="105"/>
        <v>0</v>
      </c>
      <c r="DL367" s="499"/>
      <c r="DM367" s="499"/>
      <c r="DN367" s="499"/>
      <c r="DO367" s="499"/>
      <c r="DP367" s="499"/>
      <c r="DQ367" s="499"/>
      <c r="DR367" s="499"/>
      <c r="DS367" s="499"/>
      <c r="DT367" s="499"/>
      <c r="DU367" s="499"/>
      <c r="DV367" s="499"/>
      <c r="DW367" s="499"/>
      <c r="DX367" s="499"/>
      <c r="DY367" s="499"/>
      <c r="DZ367" s="499"/>
      <c r="EA367" s="499"/>
      <c r="EB367" s="499"/>
      <c r="EC367" s="499"/>
      <c r="ED367" s="499"/>
      <c r="EE367" s="499"/>
      <c r="EF367" s="499"/>
      <c r="EG367" s="1147">
        <f t="shared" si="108"/>
        <v>10.5</v>
      </c>
      <c r="EH367" s="499">
        <v>0</v>
      </c>
      <c r="EI367" s="615">
        <v>1</v>
      </c>
      <c r="EJ367" s="615">
        <v>3</v>
      </c>
      <c r="EK367" s="615">
        <v>6.5</v>
      </c>
      <c r="EL367" s="499"/>
      <c r="EM367" s="499"/>
      <c r="EN367" s="499"/>
      <c r="EO367" s="499"/>
      <c r="EP367" s="499"/>
      <c r="EQ367" s="499"/>
      <c r="ER367" s="499"/>
      <c r="ES367" s="388"/>
      <c r="ET367" s="388"/>
      <c r="EV367" s="1167">
        <f t="shared" si="94"/>
        <v>16.243500000000001</v>
      </c>
    </row>
    <row r="368" spans="1:152" s="350" customFormat="1" ht="15" x14ac:dyDescent="0.25">
      <c r="A368" s="632" t="s">
        <v>4</v>
      </c>
      <c r="B368" s="662">
        <v>43094</v>
      </c>
      <c r="C368" s="1132" t="s">
        <v>904</v>
      </c>
      <c r="D368" s="386">
        <v>0.09</v>
      </c>
      <c r="E368" s="636">
        <v>2</v>
      </c>
      <c r="F368" s="636">
        <v>30</v>
      </c>
      <c r="G368" s="636">
        <v>1.8</v>
      </c>
      <c r="H368" s="386">
        <v>3.9</v>
      </c>
      <c r="I368" s="386">
        <v>14</v>
      </c>
      <c r="J368" s="609">
        <v>0</v>
      </c>
      <c r="K368" s="386">
        <v>2.9</v>
      </c>
      <c r="L368" s="610">
        <v>0</v>
      </c>
      <c r="M368" s="386">
        <v>21.9</v>
      </c>
      <c r="N368" s="386">
        <v>1.29</v>
      </c>
      <c r="O368" s="386">
        <v>1.3940039725227305</v>
      </c>
      <c r="P368" s="386">
        <v>1.28</v>
      </c>
      <c r="Q368" s="386">
        <v>0.59813292497157988</v>
      </c>
      <c r="R368" s="386">
        <v>810.05886627906978</v>
      </c>
      <c r="S368" s="386">
        <v>8.2899999999999991</v>
      </c>
      <c r="T368" s="386">
        <v>8.27</v>
      </c>
      <c r="U368" s="386">
        <v>0.747</v>
      </c>
      <c r="V368" s="387">
        <v>0.73</v>
      </c>
      <c r="W368" s="783">
        <v>37.22</v>
      </c>
      <c r="X368" s="369">
        <v>37.400000000000006</v>
      </c>
      <c r="Y368" s="367">
        <v>25.2</v>
      </c>
      <c r="Z368" s="636">
        <v>30.1</v>
      </c>
      <c r="AA368" s="636">
        <v>25.2</v>
      </c>
      <c r="AB368" s="636">
        <v>31.97</v>
      </c>
      <c r="AC368" s="1160">
        <f t="shared" si="95"/>
        <v>57.17</v>
      </c>
      <c r="AD368" s="1160">
        <f t="shared" si="96"/>
        <v>88.441990000000004</v>
      </c>
      <c r="AE368" s="1160">
        <f t="shared" si="97"/>
        <v>88.441990000000004</v>
      </c>
      <c r="AF368" s="656"/>
      <c r="AG368" s="1160">
        <f t="shared" si="93"/>
        <v>0</v>
      </c>
      <c r="AH368" s="656"/>
      <c r="AI368" s="656"/>
      <c r="AJ368" s="388"/>
      <c r="AK368" s="388"/>
      <c r="AL368" s="388"/>
      <c r="AM368" s="388"/>
      <c r="AN368" s="388"/>
      <c r="AO368" s="370"/>
      <c r="AP368" s="370"/>
      <c r="AQ368" s="386"/>
      <c r="AR368" s="551">
        <v>0</v>
      </c>
      <c r="AS368" s="386">
        <v>21.2</v>
      </c>
      <c r="AT368" s="386">
        <v>0</v>
      </c>
      <c r="AU368" s="386">
        <v>22.7</v>
      </c>
      <c r="AV368" s="636">
        <v>207.3</v>
      </c>
      <c r="AW368" s="636">
        <v>247.3</v>
      </c>
      <c r="AX368" s="386">
        <v>0</v>
      </c>
      <c r="AY368" s="551">
        <v>0</v>
      </c>
      <c r="AZ368" s="551">
        <v>0</v>
      </c>
      <c r="BA368" s="551">
        <v>0</v>
      </c>
      <c r="BB368" s="832">
        <v>0</v>
      </c>
      <c r="BC368" s="386">
        <v>0.5</v>
      </c>
      <c r="BD368" s="386">
        <v>1.5</v>
      </c>
      <c r="BE368" s="551">
        <v>0</v>
      </c>
      <c r="BF368" s="386">
        <v>0.99</v>
      </c>
      <c r="BG368" s="386">
        <v>0</v>
      </c>
      <c r="BH368" s="551">
        <v>0</v>
      </c>
      <c r="BI368" s="386">
        <v>1.01</v>
      </c>
      <c r="BJ368" s="386">
        <v>27.9</v>
      </c>
      <c r="BK368" s="386">
        <v>3.01</v>
      </c>
      <c r="BL368" s="386">
        <v>3.45</v>
      </c>
      <c r="BM368" s="386">
        <v>0</v>
      </c>
      <c r="BN368" s="386">
        <v>21.5</v>
      </c>
      <c r="BO368" s="386">
        <v>1117</v>
      </c>
      <c r="BP368" s="386">
        <v>22.1</v>
      </c>
      <c r="BQ368" s="499">
        <v>20.79</v>
      </c>
      <c r="BR368" s="499">
        <v>21.56</v>
      </c>
      <c r="BS368" s="499">
        <v>10.89</v>
      </c>
      <c r="BT368" s="499">
        <v>11.03</v>
      </c>
      <c r="BU368" s="386">
        <v>23.4</v>
      </c>
      <c r="BV368" s="386">
        <v>24.6</v>
      </c>
      <c r="BW368" s="499">
        <v>645</v>
      </c>
      <c r="BX368" s="793"/>
      <c r="BY368" s="499">
        <v>0</v>
      </c>
      <c r="BZ368" s="499">
        <v>1.27</v>
      </c>
      <c r="CA368" s="499">
        <v>1.2</v>
      </c>
      <c r="CB368" s="499">
        <v>8.4</v>
      </c>
      <c r="CC368" s="499">
        <v>8.4</v>
      </c>
      <c r="CD368" s="499">
        <v>15.7</v>
      </c>
      <c r="CE368" s="499">
        <v>35.5</v>
      </c>
      <c r="CF368" s="499">
        <v>13.9</v>
      </c>
      <c r="CG368" s="499">
        <v>7.2</v>
      </c>
      <c r="CH368" s="499">
        <v>12.7</v>
      </c>
      <c r="CI368" s="499">
        <v>16.8</v>
      </c>
      <c r="CJ368" s="499">
        <v>12.81</v>
      </c>
      <c r="CK368" s="499">
        <v>473.7</v>
      </c>
      <c r="CL368" s="499">
        <v>2.2000000000000002</v>
      </c>
      <c r="CM368" s="499">
        <v>3.7</v>
      </c>
      <c r="CN368" s="499">
        <v>140.1</v>
      </c>
      <c r="CO368" s="499">
        <v>449</v>
      </c>
      <c r="CP368" s="499">
        <v>0</v>
      </c>
      <c r="CQ368" s="499">
        <v>10.9</v>
      </c>
      <c r="CR368" s="499">
        <v>0.62</v>
      </c>
      <c r="CS368" s="386">
        <v>0</v>
      </c>
      <c r="CT368" s="386">
        <v>16.067</v>
      </c>
      <c r="CU368" s="386">
        <v>42</v>
      </c>
      <c r="CV368" s="499">
        <v>0</v>
      </c>
      <c r="CW368" s="499">
        <v>0</v>
      </c>
      <c r="CX368" s="499">
        <v>0</v>
      </c>
      <c r="CY368" s="499">
        <v>0</v>
      </c>
      <c r="CZ368" s="608">
        <v>1360</v>
      </c>
      <c r="DA368" s="608">
        <v>1860</v>
      </c>
      <c r="DB368" s="608">
        <v>1360</v>
      </c>
      <c r="DC368" s="608">
        <v>1089.78</v>
      </c>
      <c r="DD368" s="1153">
        <f t="shared" si="98"/>
        <v>-3.5499999999999545</v>
      </c>
      <c r="DE368" s="1154">
        <f t="shared" si="99"/>
        <v>0</v>
      </c>
      <c r="DF368" s="1154">
        <f t="shared" si="100"/>
        <v>1250</v>
      </c>
      <c r="DG368" s="1154">
        <f t="shared" si="101"/>
        <v>1610</v>
      </c>
      <c r="DH368" s="1155" t="str">
        <f t="shared" si="102"/>
        <v>Palm</v>
      </c>
      <c r="DI368" s="1146">
        <f t="shared" si="103"/>
        <v>500</v>
      </c>
      <c r="DJ368" s="1146">
        <f t="shared" si="104"/>
        <v>0</v>
      </c>
      <c r="DK368" s="1154">
        <f t="shared" si="105"/>
        <v>0</v>
      </c>
      <c r="DL368" s="499"/>
      <c r="DM368" s="499"/>
      <c r="DN368" s="499"/>
      <c r="DO368" s="499"/>
      <c r="DP368" s="499"/>
      <c r="DQ368" s="499"/>
      <c r="DR368" s="499"/>
      <c r="DS368" s="499"/>
      <c r="DT368" s="499"/>
      <c r="DU368" s="499"/>
      <c r="DV368" s="499"/>
      <c r="DW368" s="499"/>
      <c r="DX368" s="499"/>
      <c r="DY368" s="499"/>
      <c r="DZ368" s="499"/>
      <c r="EA368" s="499"/>
      <c r="EB368" s="499"/>
      <c r="EC368" s="499"/>
      <c r="ED368" s="499"/>
      <c r="EE368" s="499"/>
      <c r="EF368" s="499"/>
      <c r="EG368" s="1147">
        <f t="shared" si="108"/>
        <v>10.5</v>
      </c>
      <c r="EH368" s="499">
        <v>0</v>
      </c>
      <c r="EI368" s="615">
        <v>1</v>
      </c>
      <c r="EJ368" s="615">
        <v>3</v>
      </c>
      <c r="EK368" s="615">
        <v>6.5</v>
      </c>
      <c r="EL368" s="499"/>
      <c r="EM368" s="499"/>
      <c r="EN368" s="499"/>
      <c r="EO368" s="499"/>
      <c r="EP368" s="499"/>
      <c r="EQ368" s="499"/>
      <c r="ER368" s="499"/>
      <c r="ES368" s="388"/>
      <c r="ET368" s="388"/>
      <c r="EV368" s="1167">
        <f t="shared" si="94"/>
        <v>16.243500000000001</v>
      </c>
    </row>
    <row r="369" spans="1:152" s="350" customFormat="1" ht="15" x14ac:dyDescent="0.25">
      <c r="A369" s="632" t="s">
        <v>5</v>
      </c>
      <c r="B369" s="662">
        <v>43095</v>
      </c>
      <c r="C369" s="1132" t="s">
        <v>904</v>
      </c>
      <c r="D369" s="386">
        <v>0</v>
      </c>
      <c r="E369" s="636">
        <v>2</v>
      </c>
      <c r="F369" s="636">
        <v>29.8</v>
      </c>
      <c r="G369" s="636">
        <v>1.7</v>
      </c>
      <c r="H369" s="386">
        <v>2.6</v>
      </c>
      <c r="I369" s="386">
        <v>13.8</v>
      </c>
      <c r="J369" s="609">
        <v>0</v>
      </c>
      <c r="K369" s="386">
        <v>2.37</v>
      </c>
      <c r="L369" s="610">
        <v>0</v>
      </c>
      <c r="M369" s="386">
        <v>22.1</v>
      </c>
      <c r="N369" s="386">
        <v>1.29</v>
      </c>
      <c r="O369" s="386">
        <v>1.3848585545240037</v>
      </c>
      <c r="P369" s="386">
        <v>1.27</v>
      </c>
      <c r="Q369" s="386">
        <v>0.59251582927173385</v>
      </c>
      <c r="R369" s="386">
        <v>811.39229651162793</v>
      </c>
      <c r="S369" s="386">
        <v>8.36</v>
      </c>
      <c r="T369" s="386">
        <v>8.33</v>
      </c>
      <c r="U369" s="386">
        <v>0.8</v>
      </c>
      <c r="V369" s="387">
        <v>0.77</v>
      </c>
      <c r="W369" s="783">
        <v>37.039999999999992</v>
      </c>
      <c r="X369" s="369">
        <v>37.039999999999992</v>
      </c>
      <c r="Y369" s="367">
        <v>25.2</v>
      </c>
      <c r="Z369" s="636">
        <v>31.97</v>
      </c>
      <c r="AA369" s="636">
        <v>25.2</v>
      </c>
      <c r="AB369" s="636">
        <v>32.6</v>
      </c>
      <c r="AC369" s="1160">
        <f t="shared" si="95"/>
        <v>57.8</v>
      </c>
      <c r="AD369" s="1160">
        <f t="shared" si="96"/>
        <v>89.416599999999988</v>
      </c>
      <c r="AE369" s="1160">
        <f t="shared" si="97"/>
        <v>89.416599999999988</v>
      </c>
      <c r="AF369" s="656"/>
      <c r="AG369" s="1160">
        <f t="shared" si="93"/>
        <v>0</v>
      </c>
      <c r="AH369" s="656"/>
      <c r="AI369" s="656"/>
      <c r="AJ369" s="388"/>
      <c r="AK369" s="388"/>
      <c r="AL369" s="388"/>
      <c r="AM369" s="388"/>
      <c r="AN369" s="388"/>
      <c r="AO369" s="370"/>
      <c r="AP369" s="370"/>
      <c r="AQ369" s="386"/>
      <c r="AR369" s="551">
        <v>0</v>
      </c>
      <c r="AS369" s="386">
        <v>18.3</v>
      </c>
      <c r="AT369" s="386">
        <v>0</v>
      </c>
      <c r="AU369" s="386">
        <v>22.7</v>
      </c>
      <c r="AV369" s="636">
        <v>207.4</v>
      </c>
      <c r="AW369" s="636">
        <v>244.8</v>
      </c>
      <c r="AX369" s="386">
        <v>0</v>
      </c>
      <c r="AY369" s="551">
        <v>0</v>
      </c>
      <c r="AZ369" s="551">
        <v>0</v>
      </c>
      <c r="BA369" s="551">
        <v>0</v>
      </c>
      <c r="BB369" s="832">
        <v>0</v>
      </c>
      <c r="BC369" s="386">
        <v>0.9</v>
      </c>
      <c r="BD369" s="386">
        <v>1.0900000000000001</v>
      </c>
      <c r="BE369" s="551">
        <v>0</v>
      </c>
      <c r="BF369" s="386">
        <v>0.99</v>
      </c>
      <c r="BG369" s="386">
        <v>0</v>
      </c>
      <c r="BH369" s="551">
        <v>0</v>
      </c>
      <c r="BI369" s="386">
        <v>1.01</v>
      </c>
      <c r="BJ369" s="386">
        <v>28.5</v>
      </c>
      <c r="BK369" s="386">
        <v>2.66</v>
      </c>
      <c r="BL369" s="386">
        <v>3.81</v>
      </c>
      <c r="BM369" s="386">
        <v>0</v>
      </c>
      <c r="BN369" s="386">
        <v>22.2</v>
      </c>
      <c r="BO369" s="386">
        <v>1073.0999999999999</v>
      </c>
      <c r="BP369" s="386">
        <v>7.1</v>
      </c>
      <c r="BQ369" s="499">
        <v>20.83</v>
      </c>
      <c r="BR369" s="499">
        <v>21.69</v>
      </c>
      <c r="BS369" s="499">
        <v>10.82</v>
      </c>
      <c r="BT369" s="499">
        <v>10.91</v>
      </c>
      <c r="BU369" s="386">
        <v>23.3</v>
      </c>
      <c r="BV369" s="386">
        <v>26.8</v>
      </c>
      <c r="BW369" s="499">
        <v>772.1</v>
      </c>
      <c r="BX369" s="793"/>
      <c r="BY369" s="499">
        <v>0</v>
      </c>
      <c r="BZ369" s="499">
        <v>1.3</v>
      </c>
      <c r="CA369" s="499">
        <v>1.2</v>
      </c>
      <c r="CB369" s="499">
        <v>8.4</v>
      </c>
      <c r="CC369" s="499">
        <v>8.4</v>
      </c>
      <c r="CD369" s="499">
        <v>16</v>
      </c>
      <c r="CE369" s="499">
        <v>35.5</v>
      </c>
      <c r="CF369" s="499">
        <v>12.8</v>
      </c>
      <c r="CG369" s="499">
        <v>6.9</v>
      </c>
      <c r="CH369" s="499">
        <v>12.4</v>
      </c>
      <c r="CI369" s="499">
        <v>16.399999999999999</v>
      </c>
      <c r="CJ369" s="499">
        <v>13.08</v>
      </c>
      <c r="CK369" s="499">
        <v>493.9</v>
      </c>
      <c r="CL369" s="499">
        <v>2.2000000000000002</v>
      </c>
      <c r="CM369" s="499">
        <v>3.1</v>
      </c>
      <c r="CN369" s="499">
        <v>146</v>
      </c>
      <c r="CO369" s="499">
        <v>464.5</v>
      </c>
      <c r="CP369" s="499">
        <v>0</v>
      </c>
      <c r="CQ369" s="499">
        <v>11.4</v>
      </c>
      <c r="CR369" s="499">
        <v>0.69</v>
      </c>
      <c r="CS369" s="386">
        <v>0</v>
      </c>
      <c r="CT369" s="386">
        <v>15.37</v>
      </c>
      <c r="CU369" s="386">
        <v>42</v>
      </c>
      <c r="CV369" s="499">
        <v>0</v>
      </c>
      <c r="CW369" s="499">
        <v>0</v>
      </c>
      <c r="CX369" s="499">
        <v>0</v>
      </c>
      <c r="CY369" s="499">
        <v>0</v>
      </c>
      <c r="CZ369" s="608">
        <v>1233</v>
      </c>
      <c r="DA369" s="608">
        <v>1736</v>
      </c>
      <c r="DB369" s="608">
        <v>1240</v>
      </c>
      <c r="DC369" s="608">
        <v>1085.3900000000001</v>
      </c>
      <c r="DD369" s="1153">
        <f t="shared" si="98"/>
        <v>-4.3899999999998727</v>
      </c>
      <c r="DE369" s="1154">
        <f t="shared" si="99"/>
        <v>0</v>
      </c>
      <c r="DF369" s="1154">
        <f t="shared" si="100"/>
        <v>1130</v>
      </c>
      <c r="DG369" s="1154">
        <f t="shared" si="101"/>
        <v>1486</v>
      </c>
      <c r="DH369" s="1155" t="str">
        <f t="shared" si="102"/>
        <v>Palm</v>
      </c>
      <c r="DI369" s="1146">
        <f t="shared" si="103"/>
        <v>496</v>
      </c>
      <c r="DJ369" s="1146">
        <f t="shared" si="104"/>
        <v>0</v>
      </c>
      <c r="DK369" s="1154">
        <f t="shared" si="105"/>
        <v>0</v>
      </c>
      <c r="DL369" s="499"/>
      <c r="DM369" s="499"/>
      <c r="DN369" s="499"/>
      <c r="DO369" s="499"/>
      <c r="DP369" s="499"/>
      <c r="DQ369" s="499"/>
      <c r="DR369" s="499"/>
      <c r="DS369" s="499"/>
      <c r="DT369" s="499"/>
      <c r="DU369" s="499"/>
      <c r="DV369" s="499"/>
      <c r="DW369" s="499"/>
      <c r="DX369" s="499"/>
      <c r="DY369" s="499"/>
      <c r="DZ369" s="499"/>
      <c r="EA369" s="499"/>
      <c r="EB369" s="499"/>
      <c r="EC369" s="499"/>
      <c r="ED369" s="499"/>
      <c r="EE369" s="499"/>
      <c r="EF369" s="499"/>
      <c r="EG369" s="1147">
        <f t="shared" si="108"/>
        <v>10.5</v>
      </c>
      <c r="EH369" s="499">
        <v>0</v>
      </c>
      <c r="EI369" s="615">
        <v>1</v>
      </c>
      <c r="EJ369" s="615">
        <v>3</v>
      </c>
      <c r="EK369" s="615">
        <v>6.5</v>
      </c>
      <c r="EL369" s="499"/>
      <c r="EM369" s="499"/>
      <c r="EN369" s="499"/>
      <c r="EO369" s="499"/>
      <c r="EP369" s="499"/>
      <c r="EQ369" s="499"/>
      <c r="ER369" s="499"/>
      <c r="ES369" s="388"/>
      <c r="ET369" s="388"/>
      <c r="EV369" s="1167">
        <f t="shared" si="94"/>
        <v>16.243500000000001</v>
      </c>
    </row>
    <row r="370" spans="1:152" s="350" customFormat="1" ht="15" x14ac:dyDescent="0.25">
      <c r="A370" s="632" t="s">
        <v>6</v>
      </c>
      <c r="B370" s="662">
        <v>43096</v>
      </c>
      <c r="C370" s="1132" t="s">
        <v>904</v>
      </c>
      <c r="D370" s="386">
        <v>0</v>
      </c>
      <c r="E370" s="636">
        <v>0</v>
      </c>
      <c r="F370" s="636">
        <v>35</v>
      </c>
      <c r="G370" s="636">
        <v>1.65</v>
      </c>
      <c r="H370" s="386">
        <v>2.8</v>
      </c>
      <c r="I370" s="386">
        <v>13.9</v>
      </c>
      <c r="J370" s="609">
        <v>0</v>
      </c>
      <c r="K370" s="386">
        <v>2.71</v>
      </c>
      <c r="L370" s="610">
        <v>0</v>
      </c>
      <c r="M370" s="386">
        <v>22</v>
      </c>
      <c r="N370" s="386">
        <v>1.26</v>
      </c>
      <c r="O370" s="386">
        <v>1.3591489850556102</v>
      </c>
      <c r="P370" s="386">
        <v>1.25</v>
      </c>
      <c r="Q370" s="386">
        <v>0.57787001953830308</v>
      </c>
      <c r="R370" s="386">
        <v>820.72630813953492</v>
      </c>
      <c r="S370" s="386">
        <v>8.1999999999999993</v>
      </c>
      <c r="T370" s="386">
        <v>8.2100000000000009</v>
      </c>
      <c r="U370" s="386">
        <v>0.82</v>
      </c>
      <c r="V370" s="387">
        <v>0.77</v>
      </c>
      <c r="W370" s="783">
        <v>37.94</v>
      </c>
      <c r="X370" s="369">
        <v>38.120000000000005</v>
      </c>
      <c r="Y370" s="367">
        <v>25.2</v>
      </c>
      <c r="Z370" s="636">
        <v>32.6</v>
      </c>
      <c r="AA370" s="636">
        <v>25.2</v>
      </c>
      <c r="AB370" s="636">
        <v>33.9</v>
      </c>
      <c r="AC370" s="1160">
        <f t="shared" si="95"/>
        <v>59.099999999999994</v>
      </c>
      <c r="AD370" s="1160">
        <f t="shared" si="96"/>
        <v>91.427699999999987</v>
      </c>
      <c r="AE370" s="1160">
        <f t="shared" si="97"/>
        <v>91.427699999999987</v>
      </c>
      <c r="AF370" s="656"/>
      <c r="AG370" s="1160">
        <f t="shared" si="93"/>
        <v>0</v>
      </c>
      <c r="AH370" s="656"/>
      <c r="AI370" s="656"/>
      <c r="AJ370" s="388"/>
      <c r="AK370" s="388"/>
      <c r="AL370" s="388"/>
      <c r="AM370" s="388"/>
      <c r="AN370" s="388"/>
      <c r="AO370" s="370"/>
      <c r="AP370" s="370"/>
      <c r="AQ370" s="386"/>
      <c r="AR370" s="551">
        <v>0</v>
      </c>
      <c r="AS370" s="386">
        <v>15.3</v>
      </c>
      <c r="AT370" s="386">
        <v>0</v>
      </c>
      <c r="AU370" s="386">
        <v>22.7</v>
      </c>
      <c r="AV370" s="636">
        <v>347.1</v>
      </c>
      <c r="AW370" s="636">
        <v>403.1</v>
      </c>
      <c r="AX370" s="386">
        <v>0</v>
      </c>
      <c r="AY370" s="551">
        <v>0</v>
      </c>
      <c r="AZ370" s="551">
        <v>0</v>
      </c>
      <c r="BA370" s="551">
        <v>0</v>
      </c>
      <c r="BB370" s="832">
        <v>0</v>
      </c>
      <c r="BC370" s="386">
        <v>0.65</v>
      </c>
      <c r="BD370" s="386">
        <v>1.35</v>
      </c>
      <c r="BE370" s="551">
        <v>0</v>
      </c>
      <c r="BF370" s="386">
        <v>0.99</v>
      </c>
      <c r="BG370" s="386">
        <v>0</v>
      </c>
      <c r="BH370" s="551">
        <v>0</v>
      </c>
      <c r="BI370" s="386">
        <v>1.01</v>
      </c>
      <c r="BJ370" s="386">
        <v>29.9</v>
      </c>
      <c r="BK370" s="386">
        <v>2.86</v>
      </c>
      <c r="BL370" s="386">
        <v>3.63</v>
      </c>
      <c r="BM370" s="386">
        <v>0</v>
      </c>
      <c r="BN370" s="386">
        <v>23.5</v>
      </c>
      <c r="BO370" s="386">
        <v>1035.2</v>
      </c>
      <c r="BP370" s="386">
        <v>3</v>
      </c>
      <c r="BQ370" s="499">
        <v>21.16</v>
      </c>
      <c r="BR370" s="499">
        <v>22.4</v>
      </c>
      <c r="BS370" s="499">
        <v>10.59</v>
      </c>
      <c r="BT370" s="499">
        <v>10.69</v>
      </c>
      <c r="BU370" s="386">
        <v>22.8</v>
      </c>
      <c r="BV370" s="386">
        <v>25.4</v>
      </c>
      <c r="BW370" s="499">
        <v>750.9</v>
      </c>
      <c r="BX370" s="793"/>
      <c r="BY370" s="499">
        <v>0</v>
      </c>
      <c r="BZ370" s="499">
        <v>1.32</v>
      </c>
      <c r="CA370" s="499">
        <v>1.3</v>
      </c>
      <c r="CB370" s="499">
        <v>8.4</v>
      </c>
      <c r="CC370" s="499">
        <v>8.4</v>
      </c>
      <c r="CD370" s="499">
        <v>15.9</v>
      </c>
      <c r="CE370" s="499">
        <v>35.5</v>
      </c>
      <c r="CF370" s="499">
        <v>11.8</v>
      </c>
      <c r="CG370" s="499">
        <v>6.5</v>
      </c>
      <c r="CH370" s="499">
        <v>11.9</v>
      </c>
      <c r="CI370" s="499">
        <v>15.9</v>
      </c>
      <c r="CJ370" s="499">
        <v>12.93</v>
      </c>
      <c r="CK370" s="499">
        <v>495.3</v>
      </c>
      <c r="CL370" s="499">
        <v>2.2999999999999998</v>
      </c>
      <c r="CM370" s="499">
        <v>3.5</v>
      </c>
      <c r="CN370" s="499">
        <v>95.3</v>
      </c>
      <c r="CO370" s="499">
        <v>446.7</v>
      </c>
      <c r="CP370" s="499">
        <v>0</v>
      </c>
      <c r="CQ370" s="499">
        <v>11.6</v>
      </c>
      <c r="CR370" s="499">
        <v>0.71</v>
      </c>
      <c r="CS370" s="386">
        <v>0</v>
      </c>
      <c r="CT370" s="386">
        <v>15.73</v>
      </c>
      <c r="CU370" s="386">
        <v>41</v>
      </c>
      <c r="CV370" s="499">
        <v>0</v>
      </c>
      <c r="CW370" s="499">
        <v>0</v>
      </c>
      <c r="CX370" s="499">
        <v>0</v>
      </c>
      <c r="CY370" s="499">
        <v>0</v>
      </c>
      <c r="CZ370" s="608">
        <v>1056</v>
      </c>
      <c r="DA370" s="608">
        <v>1542</v>
      </c>
      <c r="DB370" s="608">
        <v>1050</v>
      </c>
      <c r="DC370" s="608">
        <v>1081.3599999999999</v>
      </c>
      <c r="DD370" s="1153">
        <f t="shared" si="98"/>
        <v>-4.0300000000002001</v>
      </c>
      <c r="DE370" s="1154">
        <f t="shared" si="99"/>
        <v>0</v>
      </c>
      <c r="DF370" s="1154">
        <f t="shared" si="100"/>
        <v>940</v>
      </c>
      <c r="DG370" s="1154">
        <f t="shared" si="101"/>
        <v>1292</v>
      </c>
      <c r="DH370" s="1155" t="str">
        <f t="shared" si="102"/>
        <v>Palm</v>
      </c>
      <c r="DI370" s="1146">
        <f t="shared" si="103"/>
        <v>492</v>
      </c>
      <c r="DJ370" s="1146">
        <f t="shared" si="104"/>
        <v>0</v>
      </c>
      <c r="DK370" s="1154">
        <f t="shared" si="105"/>
        <v>0</v>
      </c>
      <c r="DL370" s="499"/>
      <c r="DM370" s="499"/>
      <c r="DN370" s="499"/>
      <c r="DO370" s="499"/>
      <c r="DP370" s="499"/>
      <c r="DQ370" s="499"/>
      <c r="DR370" s="499"/>
      <c r="DS370" s="499"/>
      <c r="DT370" s="499"/>
      <c r="DU370" s="499"/>
      <c r="DV370" s="499"/>
      <c r="DW370" s="499"/>
      <c r="DX370" s="499"/>
      <c r="DY370" s="499"/>
      <c r="DZ370" s="499"/>
      <c r="EA370" s="499"/>
      <c r="EB370" s="499"/>
      <c r="EC370" s="499"/>
      <c r="ED370" s="499"/>
      <c r="EE370" s="499"/>
      <c r="EF370" s="499"/>
      <c r="EG370" s="1147">
        <f t="shared" si="108"/>
        <v>10.5</v>
      </c>
      <c r="EH370" s="499">
        <v>0</v>
      </c>
      <c r="EI370" s="615">
        <v>1</v>
      </c>
      <c r="EJ370" s="615">
        <v>3</v>
      </c>
      <c r="EK370" s="615">
        <v>6.5</v>
      </c>
      <c r="EL370" s="499"/>
      <c r="EM370" s="499"/>
      <c r="EN370" s="499"/>
      <c r="EO370" s="499"/>
      <c r="EP370" s="499"/>
      <c r="EQ370" s="499"/>
      <c r="ER370" s="499"/>
      <c r="ES370" s="388"/>
      <c r="ET370" s="388"/>
      <c r="EV370" s="1167">
        <f t="shared" si="94"/>
        <v>16.243500000000001</v>
      </c>
    </row>
    <row r="371" spans="1:152" s="350" customFormat="1" ht="15" x14ac:dyDescent="0.25">
      <c r="A371" s="632" t="s">
        <v>7</v>
      </c>
      <c r="B371" s="662">
        <v>43097</v>
      </c>
      <c r="C371" s="1132" t="s">
        <v>904</v>
      </c>
      <c r="D371" s="386">
        <v>0.7</v>
      </c>
      <c r="E371" s="636">
        <v>0</v>
      </c>
      <c r="F371" s="636">
        <v>38</v>
      </c>
      <c r="G371" s="636">
        <v>1.7</v>
      </c>
      <c r="H371" s="386">
        <v>4.4000000000000004</v>
      </c>
      <c r="I371" s="386">
        <v>15.9</v>
      </c>
      <c r="J371" s="386">
        <v>0</v>
      </c>
      <c r="K371" s="386">
        <v>5.01</v>
      </c>
      <c r="L371" s="610">
        <v>0</v>
      </c>
      <c r="M371" s="386">
        <v>22</v>
      </c>
      <c r="N371" s="386">
        <v>1.25</v>
      </c>
      <c r="O371" s="386">
        <v>1.3922138622896796</v>
      </c>
      <c r="P371" s="386">
        <v>1.25</v>
      </c>
      <c r="Q371" s="386">
        <v>0.60387396018440553</v>
      </c>
      <c r="R371" s="386">
        <v>809.05879360465133</v>
      </c>
      <c r="S371" s="386">
        <v>8.33</v>
      </c>
      <c r="T371" s="386">
        <v>8.34</v>
      </c>
      <c r="U371" s="386">
        <v>0.76</v>
      </c>
      <c r="V371" s="387">
        <v>0.76</v>
      </c>
      <c r="W371" s="783">
        <v>39.200000000000003</v>
      </c>
      <c r="X371" s="369">
        <v>39.200000000000003</v>
      </c>
      <c r="Y371" s="367">
        <v>25.2</v>
      </c>
      <c r="Z371" s="636">
        <v>33.9</v>
      </c>
      <c r="AA371" s="636">
        <v>25.3</v>
      </c>
      <c r="AB371" s="636">
        <v>32.049999999999997</v>
      </c>
      <c r="AC371" s="1160">
        <f t="shared" si="95"/>
        <v>57.349999999999994</v>
      </c>
      <c r="AD371" s="1160">
        <f t="shared" si="96"/>
        <v>88.720449999999985</v>
      </c>
      <c r="AE371" s="1160">
        <f t="shared" si="97"/>
        <v>88.720449999999985</v>
      </c>
      <c r="AF371" s="656"/>
      <c r="AG371" s="1160">
        <f t="shared" si="93"/>
        <v>0</v>
      </c>
      <c r="AH371" s="656"/>
      <c r="AI371" s="656"/>
      <c r="AJ371" s="388"/>
      <c r="AK371" s="388"/>
      <c r="AL371" s="388"/>
      <c r="AM371" s="388"/>
      <c r="AN371" s="388"/>
      <c r="AO371" s="370"/>
      <c r="AP371" s="370"/>
      <c r="AQ371" s="386"/>
      <c r="AR371" s="551">
        <v>0</v>
      </c>
      <c r="AS371" s="386">
        <v>22.2</v>
      </c>
      <c r="AT371" s="386">
        <v>0</v>
      </c>
      <c r="AU371" s="386">
        <v>22.9</v>
      </c>
      <c r="AV371" s="636">
        <v>201.9</v>
      </c>
      <c r="AW371" s="636">
        <v>234.9</v>
      </c>
      <c r="AX371" s="386">
        <v>0</v>
      </c>
      <c r="AY371" s="551">
        <v>0</v>
      </c>
      <c r="AZ371" s="551">
        <v>0</v>
      </c>
      <c r="BA371" s="551">
        <v>0</v>
      </c>
      <c r="BB371" s="832">
        <v>0</v>
      </c>
      <c r="BC371" s="386">
        <v>0.5</v>
      </c>
      <c r="BD371" s="386">
        <v>1.5</v>
      </c>
      <c r="BE371" s="551">
        <v>0</v>
      </c>
      <c r="BF371" s="386">
        <v>0.99</v>
      </c>
      <c r="BG371" s="386">
        <v>0</v>
      </c>
      <c r="BH371" s="551">
        <v>0</v>
      </c>
      <c r="BI371" s="386">
        <v>1.02</v>
      </c>
      <c r="BJ371" s="386">
        <v>28</v>
      </c>
      <c r="BK371" s="386">
        <v>2.89</v>
      </c>
      <c r="BL371" s="386">
        <v>3.58</v>
      </c>
      <c r="BM371" s="386">
        <v>0</v>
      </c>
      <c r="BN371" s="386">
        <v>21.6</v>
      </c>
      <c r="BO371" s="386">
        <v>1055.3</v>
      </c>
      <c r="BP371" s="386">
        <v>3</v>
      </c>
      <c r="BQ371" s="499">
        <v>21</v>
      </c>
      <c r="BR371" s="499">
        <v>22.4</v>
      </c>
      <c r="BS371" s="499">
        <v>11.4</v>
      </c>
      <c r="BT371" s="499">
        <v>11.16</v>
      </c>
      <c r="BU371" s="386">
        <v>23.6</v>
      </c>
      <c r="BV371" s="386">
        <v>27.3</v>
      </c>
      <c r="BW371" s="499">
        <v>615.5</v>
      </c>
      <c r="BX371" s="793"/>
      <c r="BY371" s="499">
        <v>0</v>
      </c>
      <c r="BZ371" s="499">
        <v>1.29</v>
      </c>
      <c r="CA371" s="499">
        <v>1.3</v>
      </c>
      <c r="CB371" s="499">
        <v>8.3000000000000007</v>
      </c>
      <c r="CC371" s="499">
        <v>8.4</v>
      </c>
      <c r="CD371" s="499">
        <v>15.5</v>
      </c>
      <c r="CE371" s="499">
        <v>35.5</v>
      </c>
      <c r="CF371" s="499">
        <v>13.9</v>
      </c>
      <c r="CG371" s="499">
        <v>6.3</v>
      </c>
      <c r="CH371" s="499">
        <v>11.8</v>
      </c>
      <c r="CI371" s="499">
        <v>15.7</v>
      </c>
      <c r="CJ371" s="499">
        <v>12.56</v>
      </c>
      <c r="CK371" s="499">
        <v>493.1</v>
      </c>
      <c r="CL371" s="499">
        <v>2.2000000000000002</v>
      </c>
      <c r="CM371" s="499">
        <v>3.6</v>
      </c>
      <c r="CN371" s="499">
        <v>94.2</v>
      </c>
      <c r="CO371" s="499">
        <v>440.6</v>
      </c>
      <c r="CP371" s="499">
        <v>0</v>
      </c>
      <c r="CQ371" s="499">
        <v>11.6</v>
      </c>
      <c r="CR371" s="499">
        <v>0.72</v>
      </c>
      <c r="CS371" s="386">
        <v>0</v>
      </c>
      <c r="CT371" s="386">
        <v>15.914999999999999</v>
      </c>
      <c r="CU371" s="386">
        <v>41</v>
      </c>
      <c r="CV371" s="499">
        <v>0</v>
      </c>
      <c r="CW371" s="499">
        <v>0</v>
      </c>
      <c r="CX371" s="499">
        <v>0</v>
      </c>
      <c r="CY371" s="499">
        <v>0</v>
      </c>
      <c r="CZ371" s="608">
        <v>1174</v>
      </c>
      <c r="DA371" s="608">
        <v>1744</v>
      </c>
      <c r="DB371" s="608">
        <v>1280</v>
      </c>
      <c r="DC371" s="608">
        <v>1079.46</v>
      </c>
      <c r="DD371" s="1153">
        <f t="shared" si="98"/>
        <v>-1.8999999999998636</v>
      </c>
      <c r="DE371" s="1154">
        <f t="shared" si="99"/>
        <v>0</v>
      </c>
      <c r="DF371" s="1154">
        <f t="shared" si="100"/>
        <v>1170</v>
      </c>
      <c r="DG371" s="1154">
        <f t="shared" si="101"/>
        <v>1494</v>
      </c>
      <c r="DH371" s="1155" t="str">
        <f t="shared" si="102"/>
        <v>Palm</v>
      </c>
      <c r="DI371" s="1146">
        <f t="shared" si="103"/>
        <v>464</v>
      </c>
      <c r="DJ371" s="1146">
        <f t="shared" si="104"/>
        <v>0</v>
      </c>
      <c r="DK371" s="1154">
        <f t="shared" si="105"/>
        <v>0</v>
      </c>
      <c r="DL371" s="499"/>
      <c r="DM371" s="499"/>
      <c r="DN371" s="499"/>
      <c r="DO371" s="499"/>
      <c r="DP371" s="499"/>
      <c r="DQ371" s="499"/>
      <c r="DR371" s="499"/>
      <c r="DS371" s="499"/>
      <c r="DT371" s="499"/>
      <c r="DU371" s="499"/>
      <c r="DV371" s="499"/>
      <c r="DW371" s="499"/>
      <c r="DX371" s="499"/>
      <c r="DY371" s="499"/>
      <c r="DZ371" s="499"/>
      <c r="EA371" s="499"/>
      <c r="EB371" s="499"/>
      <c r="EC371" s="499"/>
      <c r="ED371" s="499"/>
      <c r="EE371" s="499"/>
      <c r="EF371" s="499"/>
      <c r="EG371" s="1147">
        <f t="shared" si="108"/>
        <v>10.5</v>
      </c>
      <c r="EH371" s="499">
        <v>0</v>
      </c>
      <c r="EI371" s="615">
        <v>1</v>
      </c>
      <c r="EJ371" s="615">
        <v>3</v>
      </c>
      <c r="EK371" s="615">
        <v>6.5</v>
      </c>
      <c r="EL371" s="499"/>
      <c r="EM371" s="499"/>
      <c r="EN371" s="499"/>
      <c r="EO371" s="499"/>
      <c r="EP371" s="499"/>
      <c r="EQ371" s="499"/>
      <c r="ER371" s="499"/>
      <c r="ES371" s="388"/>
      <c r="ET371" s="388"/>
      <c r="EV371" s="1167">
        <f t="shared" si="94"/>
        <v>16.243500000000001</v>
      </c>
    </row>
    <row r="372" spans="1:152" s="350" customFormat="1" ht="15" x14ac:dyDescent="0.25">
      <c r="A372" s="632" t="s">
        <v>8</v>
      </c>
      <c r="B372" s="662">
        <v>43098</v>
      </c>
      <c r="C372" s="1132" t="s">
        <v>904</v>
      </c>
      <c r="D372" s="386">
        <v>2</v>
      </c>
      <c r="E372" s="636">
        <v>0</v>
      </c>
      <c r="F372" s="636">
        <v>43.1</v>
      </c>
      <c r="G372" s="636">
        <v>3.7</v>
      </c>
      <c r="H372" s="386">
        <v>44.5</v>
      </c>
      <c r="I372" s="386">
        <v>9.6999999999999993</v>
      </c>
      <c r="J372" s="386">
        <v>0</v>
      </c>
      <c r="K372" s="386">
        <v>14.42</v>
      </c>
      <c r="L372" s="610">
        <v>13.740000000001601</v>
      </c>
      <c r="M372" s="386">
        <v>23.1</v>
      </c>
      <c r="N372" s="386">
        <v>1.25</v>
      </c>
      <c r="O372" s="386">
        <v>1.40359731917802</v>
      </c>
      <c r="P372" s="386">
        <v>1.24</v>
      </c>
      <c r="Q372" s="386">
        <v>0.59686030172695947</v>
      </c>
      <c r="R372" s="386">
        <v>815.39258720930229</v>
      </c>
      <c r="S372" s="386">
        <v>8.1999999999999993</v>
      </c>
      <c r="T372" s="386">
        <v>8.19</v>
      </c>
      <c r="U372" s="386">
        <v>0.69</v>
      </c>
      <c r="V372" s="387">
        <v>0.64</v>
      </c>
      <c r="W372" s="783">
        <v>39.92</v>
      </c>
      <c r="X372" s="369">
        <v>40.100000000000009</v>
      </c>
      <c r="Y372" s="367">
        <v>25.3</v>
      </c>
      <c r="Z372" s="636">
        <v>32.049999999999997</v>
      </c>
      <c r="AA372" s="636">
        <v>25.3</v>
      </c>
      <c r="AB372" s="636">
        <v>31.9</v>
      </c>
      <c r="AC372" s="1160">
        <f t="shared" si="95"/>
        <v>57.2</v>
      </c>
      <c r="AD372" s="1160">
        <f t="shared" si="96"/>
        <v>88.488399999999999</v>
      </c>
      <c r="AE372" s="1160">
        <f t="shared" si="97"/>
        <v>67.232619999997524</v>
      </c>
      <c r="AF372" s="656"/>
      <c r="AG372" s="1160">
        <f t="shared" si="93"/>
        <v>0</v>
      </c>
      <c r="AH372" s="656"/>
      <c r="AI372" s="656"/>
      <c r="AJ372" s="388"/>
      <c r="AK372" s="388"/>
      <c r="AL372" s="388"/>
      <c r="AM372" s="388"/>
      <c r="AN372" s="388"/>
      <c r="AO372" s="370"/>
      <c r="AP372" s="370"/>
      <c r="AQ372" s="386"/>
      <c r="AR372" s="551">
        <v>0</v>
      </c>
      <c r="AS372" s="386">
        <v>22.7</v>
      </c>
      <c r="AT372" s="386">
        <v>0</v>
      </c>
      <c r="AU372" s="386">
        <v>23</v>
      </c>
      <c r="AV372" s="636">
        <v>176.5</v>
      </c>
      <c r="AW372" s="636">
        <v>318.10000000000002</v>
      </c>
      <c r="AX372" s="386">
        <v>0</v>
      </c>
      <c r="AY372" s="551">
        <v>0</v>
      </c>
      <c r="AZ372" s="551">
        <v>0</v>
      </c>
      <c r="BA372" s="551">
        <v>0</v>
      </c>
      <c r="BB372" s="832">
        <v>0</v>
      </c>
      <c r="BC372" s="386">
        <v>0.5</v>
      </c>
      <c r="BD372" s="386">
        <v>1.5</v>
      </c>
      <c r="BE372" s="551">
        <v>0</v>
      </c>
      <c r="BF372" s="386">
        <v>0.99</v>
      </c>
      <c r="BG372" s="386">
        <v>0</v>
      </c>
      <c r="BH372" s="551">
        <v>0</v>
      </c>
      <c r="BI372" s="386">
        <v>1.01</v>
      </c>
      <c r="BJ372" s="386">
        <v>27.9</v>
      </c>
      <c r="BK372" s="386">
        <v>3.07</v>
      </c>
      <c r="BL372" s="386">
        <v>3.41</v>
      </c>
      <c r="BM372" s="386">
        <v>0</v>
      </c>
      <c r="BN372" s="386">
        <v>21.5</v>
      </c>
      <c r="BO372" s="386">
        <v>1089.0999999999999</v>
      </c>
      <c r="BP372" s="386">
        <v>2.4</v>
      </c>
      <c r="BQ372" s="499">
        <v>20.99</v>
      </c>
      <c r="BR372" s="499">
        <v>21.89</v>
      </c>
      <c r="BS372" s="499">
        <v>11.09</v>
      </c>
      <c r="BT372" s="499">
        <v>11.2</v>
      </c>
      <c r="BU372" s="386">
        <v>23.7</v>
      </c>
      <c r="BV372" s="386">
        <v>28</v>
      </c>
      <c r="BW372" s="499">
        <v>696.8</v>
      </c>
      <c r="BX372" s="793"/>
      <c r="BY372" s="499">
        <v>0</v>
      </c>
      <c r="BZ372" s="499">
        <v>1.27</v>
      </c>
      <c r="CA372" s="499">
        <v>1.3</v>
      </c>
      <c r="CB372" s="499">
        <v>8.4</v>
      </c>
      <c r="CC372" s="499">
        <v>8.4</v>
      </c>
      <c r="CD372" s="499">
        <v>15.4</v>
      </c>
      <c r="CE372" s="499">
        <v>35.4</v>
      </c>
      <c r="CF372" s="499">
        <v>12.9</v>
      </c>
      <c r="CG372" s="499">
        <v>6.3</v>
      </c>
      <c r="CH372" s="499">
        <v>11.8</v>
      </c>
      <c r="CI372" s="499">
        <v>15.7</v>
      </c>
      <c r="CJ372" s="499">
        <v>12.88</v>
      </c>
      <c r="CK372" s="499">
        <v>536.79999999999995</v>
      </c>
      <c r="CL372" s="499">
        <v>2.4</v>
      </c>
      <c r="CM372" s="499">
        <v>3.7</v>
      </c>
      <c r="CN372" s="499">
        <v>101.6</v>
      </c>
      <c r="CO372" s="499">
        <v>432.7</v>
      </c>
      <c r="CP372" s="499">
        <v>0</v>
      </c>
      <c r="CQ372" s="499">
        <v>12.4</v>
      </c>
      <c r="CR372" s="499">
        <v>0.77</v>
      </c>
      <c r="CS372" s="386">
        <v>0</v>
      </c>
      <c r="CT372" s="386">
        <v>16.495999999999999</v>
      </c>
      <c r="CU372" s="386">
        <v>42</v>
      </c>
      <c r="CV372" s="499">
        <v>0</v>
      </c>
      <c r="CW372" s="499">
        <v>0</v>
      </c>
      <c r="CX372" s="499">
        <v>0</v>
      </c>
      <c r="CY372" s="499">
        <v>0</v>
      </c>
      <c r="CZ372" s="608">
        <v>3750</v>
      </c>
      <c r="DA372" s="608">
        <v>5270</v>
      </c>
      <c r="DB372" s="608">
        <v>4100</v>
      </c>
      <c r="DC372" s="608">
        <v>1099.46</v>
      </c>
      <c r="DD372" s="1153">
        <f t="shared" si="98"/>
        <v>20</v>
      </c>
      <c r="DE372" s="1154">
        <f t="shared" si="99"/>
        <v>0</v>
      </c>
      <c r="DF372" s="1154">
        <f t="shared" si="100"/>
        <v>3990</v>
      </c>
      <c r="DG372" s="1154">
        <f t="shared" si="101"/>
        <v>5020</v>
      </c>
      <c r="DH372" s="1155" t="str">
        <f t="shared" si="102"/>
        <v>Palm</v>
      </c>
      <c r="DI372" s="1146">
        <f t="shared" si="103"/>
        <v>1170</v>
      </c>
      <c r="DJ372" s="1146">
        <f t="shared" si="104"/>
        <v>0</v>
      </c>
      <c r="DK372" s="1154">
        <f t="shared" si="105"/>
        <v>0</v>
      </c>
      <c r="DL372" s="499"/>
      <c r="DM372" s="499"/>
      <c r="DN372" s="499"/>
      <c r="DO372" s="499"/>
      <c r="DP372" s="499"/>
      <c r="DQ372" s="499"/>
      <c r="DR372" s="499"/>
      <c r="DS372" s="499"/>
      <c r="DT372" s="499"/>
      <c r="DU372" s="499"/>
      <c r="DV372" s="499"/>
      <c r="DW372" s="499"/>
      <c r="DX372" s="499"/>
      <c r="DY372" s="499"/>
      <c r="DZ372" s="499"/>
      <c r="EA372" s="499"/>
      <c r="EB372" s="499"/>
      <c r="EC372" s="499"/>
      <c r="ED372" s="499"/>
      <c r="EE372" s="499"/>
      <c r="EF372" s="499"/>
      <c r="EG372" s="1147">
        <f t="shared" si="108"/>
        <v>10.5</v>
      </c>
      <c r="EH372" s="499">
        <v>0</v>
      </c>
      <c r="EI372" s="615">
        <v>1</v>
      </c>
      <c r="EJ372" s="615">
        <v>3</v>
      </c>
      <c r="EK372" s="615">
        <v>6.5</v>
      </c>
      <c r="EL372" s="499"/>
      <c r="EM372" s="499"/>
      <c r="EN372" s="499"/>
      <c r="EO372" s="499"/>
      <c r="EP372" s="499"/>
      <c r="EQ372" s="499"/>
      <c r="ER372" s="499"/>
      <c r="ES372" s="388"/>
      <c r="ET372" s="388"/>
      <c r="EV372" s="1167">
        <f t="shared" si="94"/>
        <v>16.243500000000001</v>
      </c>
    </row>
    <row r="373" spans="1:152" s="350" customFormat="1" ht="15" x14ac:dyDescent="0.25">
      <c r="A373" s="632" t="s">
        <v>9</v>
      </c>
      <c r="B373" s="662">
        <v>43099</v>
      </c>
      <c r="C373" s="1132" t="s">
        <v>904</v>
      </c>
      <c r="D373" s="386">
        <v>0.03</v>
      </c>
      <c r="E373" s="636">
        <v>0</v>
      </c>
      <c r="F373" s="636">
        <v>33.799999999999997</v>
      </c>
      <c r="G373" s="636">
        <v>3.7</v>
      </c>
      <c r="H373" s="386">
        <v>43.6</v>
      </c>
      <c r="I373" s="386">
        <v>8.4</v>
      </c>
      <c r="J373" s="386">
        <v>0</v>
      </c>
      <c r="K373" s="386">
        <v>15.35</v>
      </c>
      <c r="L373" s="610">
        <v>34.229999999999563</v>
      </c>
      <c r="M373" s="386">
        <v>22</v>
      </c>
      <c r="N373" s="386">
        <v>1.17</v>
      </c>
      <c r="O373" s="386">
        <v>1.3986263109897299</v>
      </c>
      <c r="P373" s="386">
        <v>1.28</v>
      </c>
      <c r="Q373" s="386">
        <v>0.59049718550440489</v>
      </c>
      <c r="R373" s="386">
        <v>809.05879360465133</v>
      </c>
      <c r="S373" s="386">
        <v>8.2200000000000006</v>
      </c>
      <c r="T373" s="386">
        <v>8.14</v>
      </c>
      <c r="U373" s="386">
        <v>0.68</v>
      </c>
      <c r="V373" s="387">
        <v>0.7</v>
      </c>
      <c r="W373" s="783">
        <v>43.519999999999996</v>
      </c>
      <c r="X373" s="369">
        <v>43.34</v>
      </c>
      <c r="Y373" s="367">
        <v>25.3</v>
      </c>
      <c r="Z373" s="636">
        <v>31.9</v>
      </c>
      <c r="AA373" s="636">
        <v>25.2</v>
      </c>
      <c r="AB373" s="636">
        <v>32</v>
      </c>
      <c r="AC373" s="1160">
        <f t="shared" si="95"/>
        <v>57.2</v>
      </c>
      <c r="AD373" s="1160">
        <f t="shared" si="96"/>
        <v>88.488399999999999</v>
      </c>
      <c r="AE373" s="1160">
        <f t="shared" si="97"/>
        <v>35.534590000000676</v>
      </c>
      <c r="AF373" s="656"/>
      <c r="AG373" s="1160">
        <f t="shared" si="93"/>
        <v>0</v>
      </c>
      <c r="AH373" s="656"/>
      <c r="AI373" s="656"/>
      <c r="AJ373" s="388"/>
      <c r="AK373" s="388"/>
      <c r="AL373" s="388"/>
      <c r="AM373" s="388"/>
      <c r="AN373" s="388"/>
      <c r="AO373" s="370"/>
      <c r="AP373" s="370"/>
      <c r="AQ373" s="386"/>
      <c r="AR373" s="551">
        <v>0</v>
      </c>
      <c r="AS373" s="386">
        <v>12</v>
      </c>
      <c r="AT373" s="386">
        <v>0</v>
      </c>
      <c r="AU373" s="386">
        <v>23.1</v>
      </c>
      <c r="AV373" s="636">
        <v>153.5</v>
      </c>
      <c r="AW373" s="636">
        <v>617.6</v>
      </c>
      <c r="AX373" s="386">
        <v>0</v>
      </c>
      <c r="AY373" s="551">
        <v>0</v>
      </c>
      <c r="AZ373" s="551">
        <v>0</v>
      </c>
      <c r="BA373" s="551">
        <v>0</v>
      </c>
      <c r="BB373" s="832">
        <v>0</v>
      </c>
      <c r="BC373" s="386">
        <v>0.5</v>
      </c>
      <c r="BD373" s="386">
        <v>1.5</v>
      </c>
      <c r="BE373" s="551">
        <v>0</v>
      </c>
      <c r="BF373" s="386">
        <v>0.99</v>
      </c>
      <c r="BG373" s="386">
        <v>0</v>
      </c>
      <c r="BH373" s="551">
        <v>0</v>
      </c>
      <c r="BI373" s="386">
        <v>1</v>
      </c>
      <c r="BJ373" s="386">
        <v>27.9</v>
      </c>
      <c r="BK373" s="386">
        <v>3.16</v>
      </c>
      <c r="BL373" s="386">
        <v>3.31</v>
      </c>
      <c r="BM373" s="386">
        <v>0</v>
      </c>
      <c r="BN373" s="386">
        <v>21.5</v>
      </c>
      <c r="BO373" s="386">
        <v>1188.5</v>
      </c>
      <c r="BP373" s="386">
        <v>2.7</v>
      </c>
      <c r="BQ373" s="499">
        <v>20.82</v>
      </c>
      <c r="BR373" s="499">
        <v>21.71</v>
      </c>
      <c r="BS373" s="499">
        <v>11.02</v>
      </c>
      <c r="BT373" s="499">
        <v>11.14</v>
      </c>
      <c r="BU373" s="386">
        <v>23.4</v>
      </c>
      <c r="BV373" s="386">
        <v>27.8</v>
      </c>
      <c r="BW373" s="499">
        <v>788.5</v>
      </c>
      <c r="BX373" s="793"/>
      <c r="BY373" s="499">
        <v>0</v>
      </c>
      <c r="BZ373" s="499">
        <v>1.24</v>
      </c>
      <c r="CA373" s="499">
        <v>1.2</v>
      </c>
      <c r="CB373" s="499">
        <v>8.3000000000000007</v>
      </c>
      <c r="CC373" s="499">
        <v>8.4</v>
      </c>
      <c r="CD373" s="499">
        <v>15.7</v>
      </c>
      <c r="CE373" s="499">
        <v>35.4</v>
      </c>
      <c r="CF373" s="499">
        <v>12.1</v>
      </c>
      <c r="CG373" s="499">
        <v>6.5</v>
      </c>
      <c r="CH373" s="499">
        <v>12</v>
      </c>
      <c r="CI373" s="499">
        <v>16</v>
      </c>
      <c r="CJ373" s="499">
        <v>13.04</v>
      </c>
      <c r="CK373" s="499">
        <v>533</v>
      </c>
      <c r="CL373" s="499">
        <v>2</v>
      </c>
      <c r="CM373" s="499">
        <v>2.7</v>
      </c>
      <c r="CN373" s="499">
        <v>230.3</v>
      </c>
      <c r="CO373" s="499">
        <v>457.1</v>
      </c>
      <c r="CP373" s="499">
        <v>0</v>
      </c>
      <c r="CQ373" s="499">
        <v>12.6</v>
      </c>
      <c r="CR373" s="499">
        <v>0.75</v>
      </c>
      <c r="CS373" s="386">
        <v>0</v>
      </c>
      <c r="CT373" s="386">
        <v>16.007000000000001</v>
      </c>
      <c r="CU373" s="386">
        <v>42</v>
      </c>
      <c r="CV373" s="499">
        <v>0</v>
      </c>
      <c r="CW373" s="499">
        <v>0</v>
      </c>
      <c r="CX373" s="499">
        <v>0</v>
      </c>
      <c r="CY373" s="499">
        <v>0</v>
      </c>
      <c r="CZ373" s="608">
        <v>3970</v>
      </c>
      <c r="DA373" s="608">
        <v>5270</v>
      </c>
      <c r="DB373" s="608">
        <v>4140</v>
      </c>
      <c r="DC373" s="608">
        <v>1107.33</v>
      </c>
      <c r="DD373" s="1153">
        <f t="shared" si="98"/>
        <v>7.8699999999998909</v>
      </c>
      <c r="DE373" s="1154">
        <f t="shared" si="99"/>
        <v>0</v>
      </c>
      <c r="DF373" s="1154">
        <f t="shared" si="100"/>
        <v>4030</v>
      </c>
      <c r="DG373" s="1154">
        <f t="shared" si="101"/>
        <v>5020</v>
      </c>
      <c r="DH373" s="1155" t="str">
        <f t="shared" si="102"/>
        <v>Palm</v>
      </c>
      <c r="DI373" s="1146">
        <f t="shared" si="103"/>
        <v>1130</v>
      </c>
      <c r="DJ373" s="1146">
        <f t="shared" si="104"/>
        <v>0</v>
      </c>
      <c r="DK373" s="1154">
        <f t="shared" si="105"/>
        <v>0</v>
      </c>
      <c r="DL373" s="499"/>
      <c r="DM373" s="499"/>
      <c r="DN373" s="499"/>
      <c r="DO373" s="499"/>
      <c r="DP373" s="499"/>
      <c r="DQ373" s="499"/>
      <c r="DR373" s="499"/>
      <c r="DS373" s="499"/>
      <c r="DT373" s="499"/>
      <c r="DU373" s="499"/>
      <c r="DV373" s="499"/>
      <c r="DW373" s="499"/>
      <c r="DX373" s="499"/>
      <c r="DY373" s="499"/>
      <c r="DZ373" s="499"/>
      <c r="EA373" s="499"/>
      <c r="EB373" s="499"/>
      <c r="EC373" s="499"/>
      <c r="ED373" s="499"/>
      <c r="EE373" s="499"/>
      <c r="EF373" s="499"/>
      <c r="EG373" s="1147">
        <f t="shared" si="108"/>
        <v>10.5</v>
      </c>
      <c r="EH373" s="499">
        <v>0</v>
      </c>
      <c r="EI373" s="615">
        <v>1</v>
      </c>
      <c r="EJ373" s="615">
        <v>3</v>
      </c>
      <c r="EK373" s="615">
        <v>6.5</v>
      </c>
      <c r="EL373" s="499"/>
      <c r="EM373" s="499"/>
      <c r="EN373" s="499"/>
      <c r="EO373" s="499"/>
      <c r="EP373" s="499"/>
      <c r="EQ373" s="499"/>
      <c r="ER373" s="499"/>
      <c r="ES373" s="388"/>
      <c r="ET373" s="388"/>
      <c r="EV373" s="1167">
        <f t="shared" si="94"/>
        <v>16.243500000000001</v>
      </c>
    </row>
    <row r="374" spans="1:152" s="350" customFormat="1" ht="15" x14ac:dyDescent="0.25">
      <c r="A374" s="632" t="s">
        <v>3</v>
      </c>
      <c r="B374" s="662">
        <v>43100</v>
      </c>
      <c r="C374" s="1132" t="s">
        <v>904</v>
      </c>
      <c r="D374" s="386">
        <v>0</v>
      </c>
      <c r="E374" s="636">
        <v>0</v>
      </c>
      <c r="F374" s="636">
        <v>36.799999999999997</v>
      </c>
      <c r="G374" s="636">
        <v>2.9</v>
      </c>
      <c r="H374" s="386">
        <v>26.4</v>
      </c>
      <c r="I374" s="386">
        <v>11.3</v>
      </c>
      <c r="J374" s="386">
        <v>0</v>
      </c>
      <c r="K374" s="386">
        <v>8.35</v>
      </c>
      <c r="L374" s="610">
        <v>27.919999999998254</v>
      </c>
      <c r="M374" s="386">
        <v>22.6</v>
      </c>
      <c r="N374" s="386">
        <v>1.1499999999999999</v>
      </c>
      <c r="O374" s="386">
        <v>1.4039789244189695</v>
      </c>
      <c r="P374" s="386">
        <v>1.27</v>
      </c>
      <c r="Q374" s="386">
        <v>0.59428242387324537</v>
      </c>
      <c r="R374" s="386">
        <v>810.39222383720926</v>
      </c>
      <c r="S374" s="386">
        <v>8.36</v>
      </c>
      <c r="T374" s="386">
        <v>8.31</v>
      </c>
      <c r="U374" s="386">
        <v>0.64</v>
      </c>
      <c r="V374" s="387">
        <v>0.71</v>
      </c>
      <c r="W374" s="783">
        <v>43.7</v>
      </c>
      <c r="X374" s="369">
        <v>44.06</v>
      </c>
      <c r="Y374" s="367">
        <v>25.2</v>
      </c>
      <c r="Z374" s="636">
        <v>32</v>
      </c>
      <c r="AA374" s="636">
        <v>25.2</v>
      </c>
      <c r="AB374" s="636">
        <v>31.9</v>
      </c>
      <c r="AC374" s="1160">
        <f t="shared" si="95"/>
        <v>57.099999999999994</v>
      </c>
      <c r="AD374" s="1160">
        <f t="shared" si="96"/>
        <v>88.333699999999993</v>
      </c>
      <c r="AE374" s="1160">
        <f t="shared" si="97"/>
        <v>45.141460000002695</v>
      </c>
      <c r="AF374" s="656"/>
      <c r="AG374" s="1160">
        <f t="shared" si="93"/>
        <v>0</v>
      </c>
      <c r="AH374" s="656"/>
      <c r="AI374" s="656"/>
      <c r="AJ374" s="388"/>
      <c r="AK374" s="388"/>
      <c r="AL374" s="388"/>
      <c r="AM374" s="388"/>
      <c r="AN374" s="388"/>
      <c r="AO374" s="370"/>
      <c r="AP374" s="370"/>
      <c r="AQ374" s="386"/>
      <c r="AR374" s="551">
        <v>0</v>
      </c>
      <c r="AS374" s="386">
        <v>21.7</v>
      </c>
      <c r="AT374" s="386">
        <v>0</v>
      </c>
      <c r="AU374" s="386">
        <v>23.2</v>
      </c>
      <c r="AV374" s="636">
        <v>236.2</v>
      </c>
      <c r="AW374" s="636">
        <v>560.70000000000005</v>
      </c>
      <c r="AX374" s="386">
        <v>0</v>
      </c>
      <c r="AY374" s="551">
        <v>0</v>
      </c>
      <c r="AZ374" s="551">
        <v>0</v>
      </c>
      <c r="BA374" s="551">
        <v>0</v>
      </c>
      <c r="BB374" s="832">
        <v>0</v>
      </c>
      <c r="BC374" s="386">
        <v>0.5</v>
      </c>
      <c r="BD374" s="386">
        <v>1.5</v>
      </c>
      <c r="BE374" s="551">
        <v>0</v>
      </c>
      <c r="BF374" s="386">
        <v>1</v>
      </c>
      <c r="BG374" s="386">
        <v>0</v>
      </c>
      <c r="BH374" s="551">
        <v>0</v>
      </c>
      <c r="BI374" s="386">
        <v>1.01</v>
      </c>
      <c r="BJ374" s="386">
        <v>27.9</v>
      </c>
      <c r="BK374" s="386">
        <v>3.24</v>
      </c>
      <c r="BL374" s="386">
        <v>3.3</v>
      </c>
      <c r="BM374" s="386">
        <v>0</v>
      </c>
      <c r="BN374" s="386">
        <v>21.4</v>
      </c>
      <c r="BO374" s="386">
        <v>1073.0999999999999</v>
      </c>
      <c r="BP374" s="386">
        <v>2.8</v>
      </c>
      <c r="BQ374" s="499">
        <v>20.53</v>
      </c>
      <c r="BR374" s="499">
        <v>21.39</v>
      </c>
      <c r="BS374" s="499">
        <v>10.98</v>
      </c>
      <c r="BT374" s="499">
        <v>11.09</v>
      </c>
      <c r="BU374" s="386">
        <v>23.3</v>
      </c>
      <c r="BV374" s="386">
        <v>28.2</v>
      </c>
      <c r="BW374" s="499">
        <v>730.6</v>
      </c>
      <c r="BX374" s="793"/>
      <c r="BY374" s="499">
        <v>0</v>
      </c>
      <c r="BZ374" s="499">
        <v>1.29</v>
      </c>
      <c r="CA374" s="499">
        <v>1.2</v>
      </c>
      <c r="CB374" s="499">
        <v>8.4</v>
      </c>
      <c r="CC374" s="499">
        <v>8.4</v>
      </c>
      <c r="CD374" s="499">
        <v>15.9</v>
      </c>
      <c r="CE374" s="499">
        <v>35.299999999999997</v>
      </c>
      <c r="CF374" s="499">
        <v>13.9</v>
      </c>
      <c r="CG374" s="499">
        <v>6.5</v>
      </c>
      <c r="CH374" s="499">
        <v>12</v>
      </c>
      <c r="CI374" s="499">
        <v>16</v>
      </c>
      <c r="CJ374" s="499">
        <v>13.28</v>
      </c>
      <c r="CK374" s="499">
        <v>518.79999999999995</v>
      </c>
      <c r="CL374" s="499">
        <v>2</v>
      </c>
      <c r="CM374" s="499">
        <v>2.8</v>
      </c>
      <c r="CN374" s="499">
        <v>235.6</v>
      </c>
      <c r="CO374" s="499">
        <v>460.5</v>
      </c>
      <c r="CP374" s="499">
        <v>0</v>
      </c>
      <c r="CQ374" s="499">
        <v>12.3</v>
      </c>
      <c r="CR374" s="499">
        <v>0.73</v>
      </c>
      <c r="CS374" s="386">
        <v>0</v>
      </c>
      <c r="CT374" s="386">
        <v>16.091999999999999</v>
      </c>
      <c r="CU374" s="386">
        <v>43</v>
      </c>
      <c r="CV374" s="499">
        <v>0</v>
      </c>
      <c r="CW374" s="499">
        <v>0</v>
      </c>
      <c r="CX374" s="499">
        <v>0</v>
      </c>
      <c r="CY374" s="499">
        <v>0</v>
      </c>
      <c r="CZ374" s="608">
        <v>3230</v>
      </c>
      <c r="DA374" s="608">
        <v>4320</v>
      </c>
      <c r="DB374" s="608">
        <v>3400</v>
      </c>
      <c r="DC374" s="608">
        <v>1104.1199999999999</v>
      </c>
      <c r="DD374" s="1153">
        <f t="shared" si="98"/>
        <v>-3.2100000000000364</v>
      </c>
      <c r="DE374" s="1154">
        <f t="shared" si="99"/>
        <v>0</v>
      </c>
      <c r="DF374" s="1154">
        <f t="shared" si="100"/>
        <v>3290</v>
      </c>
      <c r="DG374" s="1154">
        <f t="shared" si="101"/>
        <v>4070</v>
      </c>
      <c r="DH374" s="1155" t="str">
        <f t="shared" si="102"/>
        <v>Palm</v>
      </c>
      <c r="DI374" s="1146">
        <f t="shared" si="103"/>
        <v>920</v>
      </c>
      <c r="DJ374" s="1146">
        <f t="shared" si="104"/>
        <v>0</v>
      </c>
      <c r="DK374" s="1154">
        <f t="shared" si="105"/>
        <v>0</v>
      </c>
      <c r="DL374" s="499"/>
      <c r="DM374" s="499"/>
      <c r="DN374" s="499"/>
      <c r="DO374" s="499"/>
      <c r="DP374" s="499"/>
      <c r="DQ374" s="499"/>
      <c r="DR374" s="499"/>
      <c r="DS374" s="499"/>
      <c r="DT374" s="499"/>
      <c r="DU374" s="499"/>
      <c r="DV374" s="499"/>
      <c r="DW374" s="499"/>
      <c r="DX374" s="499"/>
      <c r="DY374" s="499"/>
      <c r="DZ374" s="499"/>
      <c r="EA374" s="499"/>
      <c r="EB374" s="499"/>
      <c r="EC374" s="499"/>
      <c r="ED374" s="499"/>
      <c r="EE374" s="499"/>
      <c r="EF374" s="499"/>
      <c r="EG374" s="1147">
        <f t="shared" si="108"/>
        <v>10.5</v>
      </c>
      <c r="EH374" s="499">
        <v>0</v>
      </c>
      <c r="EI374" s="615">
        <v>1</v>
      </c>
      <c r="EJ374" s="615">
        <v>3</v>
      </c>
      <c r="EK374" s="615">
        <v>6.5</v>
      </c>
      <c r="EL374" s="499"/>
      <c r="EM374" s="499"/>
      <c r="EN374" s="499"/>
      <c r="EO374" s="499"/>
      <c r="EP374" s="499"/>
      <c r="EQ374" s="499"/>
      <c r="ER374" s="499"/>
      <c r="ES374" s="388"/>
      <c r="ET374" s="388"/>
      <c r="EV374" s="1167">
        <f t="shared" si="94"/>
        <v>16.243500000000001</v>
      </c>
    </row>
    <row r="375" spans="1:152" s="350" customFormat="1" ht="15" x14ac:dyDescent="0.25">
      <c r="A375" s="632" t="s">
        <v>4</v>
      </c>
      <c r="B375" s="662">
        <v>43101</v>
      </c>
      <c r="C375" s="1132" t="s">
        <v>904</v>
      </c>
      <c r="D375" s="386">
        <v>0</v>
      </c>
      <c r="E375" s="636">
        <v>0</v>
      </c>
      <c r="F375" s="636">
        <v>37</v>
      </c>
      <c r="G375" s="636">
        <v>2.75</v>
      </c>
      <c r="H375" s="386">
        <v>8.4</v>
      </c>
      <c r="I375" s="386">
        <v>12</v>
      </c>
      <c r="J375" s="386">
        <v>0</v>
      </c>
      <c r="K375" s="386">
        <v>5.98</v>
      </c>
      <c r="L375" s="610">
        <v>6.319999999999709</v>
      </c>
      <c r="M375" s="386">
        <v>23.9</v>
      </c>
      <c r="N375" s="386">
        <v>1.1200000000000001</v>
      </c>
      <c r="O375" s="386">
        <v>1.3710458864715465</v>
      </c>
      <c r="P375" s="386">
        <v>1.22</v>
      </c>
      <c r="Q375" s="386">
        <v>0.59044008061489339</v>
      </c>
      <c r="R375" s="386">
        <v>791.72420058139539</v>
      </c>
      <c r="S375" s="386">
        <v>8.42</v>
      </c>
      <c r="T375" s="386">
        <v>8.33</v>
      </c>
      <c r="U375" s="386">
        <v>0.57999999999999996</v>
      </c>
      <c r="V375" s="387">
        <v>0.68</v>
      </c>
      <c r="W375" s="783">
        <v>41.539999999999992</v>
      </c>
      <c r="X375" s="369">
        <v>42.260000000000005</v>
      </c>
      <c r="Y375" s="367">
        <v>25.2</v>
      </c>
      <c r="Z375" s="636">
        <v>31.9</v>
      </c>
      <c r="AA375" s="636">
        <v>25.1</v>
      </c>
      <c r="AB375" s="636">
        <v>31.9</v>
      </c>
      <c r="AC375" s="1160">
        <f t="shared" si="95"/>
        <v>57</v>
      </c>
      <c r="AD375" s="1160">
        <f t="shared" si="96"/>
        <v>88.179000000000002</v>
      </c>
      <c r="AE375" s="1160">
        <f t="shared" si="97"/>
        <v>78.401960000000457</v>
      </c>
      <c r="AF375" s="656"/>
      <c r="AG375" s="1160">
        <f t="shared" si="93"/>
        <v>0</v>
      </c>
      <c r="AH375" s="656"/>
      <c r="AI375" s="656"/>
      <c r="AJ375" s="388"/>
      <c r="AK375" s="388"/>
      <c r="AL375" s="388"/>
      <c r="AM375" s="388"/>
      <c r="AN375" s="388"/>
      <c r="AO375" s="370"/>
      <c r="AP375" s="370"/>
      <c r="AQ375" s="386"/>
      <c r="AR375" s="551">
        <v>0</v>
      </c>
      <c r="AS375" s="386">
        <v>18.899999999999999</v>
      </c>
      <c r="AT375" s="386">
        <v>0</v>
      </c>
      <c r="AU375" s="386">
        <v>23</v>
      </c>
      <c r="AV375" s="636">
        <v>221.6</v>
      </c>
      <c r="AW375" s="636">
        <v>277.5</v>
      </c>
      <c r="AX375" s="386">
        <v>0</v>
      </c>
      <c r="AY375" s="551">
        <v>0</v>
      </c>
      <c r="AZ375" s="551">
        <v>0</v>
      </c>
      <c r="BA375" s="551">
        <v>0</v>
      </c>
      <c r="BB375" s="832">
        <v>0</v>
      </c>
      <c r="BC375" s="386">
        <v>0.5</v>
      </c>
      <c r="BD375" s="386">
        <v>1.5</v>
      </c>
      <c r="BE375" s="551">
        <v>0</v>
      </c>
      <c r="BF375" s="386">
        <v>1</v>
      </c>
      <c r="BG375" s="386">
        <v>0</v>
      </c>
      <c r="BH375" s="551">
        <v>0</v>
      </c>
      <c r="BI375" s="386">
        <v>1.01</v>
      </c>
      <c r="BJ375" s="386">
        <v>27.9</v>
      </c>
      <c r="BK375" s="386">
        <v>3.32</v>
      </c>
      <c r="BL375" s="386">
        <v>3.3</v>
      </c>
      <c r="BM375" s="386">
        <v>0</v>
      </c>
      <c r="BN375" s="386">
        <v>21.3</v>
      </c>
      <c r="BO375" s="386">
        <v>1100.9000000000001</v>
      </c>
      <c r="BP375" s="386">
        <v>22.7</v>
      </c>
      <c r="BQ375" s="499">
        <v>20.36</v>
      </c>
      <c r="BR375" s="499">
        <v>21.22</v>
      </c>
      <c r="BS375" s="499">
        <v>11.12</v>
      </c>
      <c r="BT375" s="499">
        <v>11.23</v>
      </c>
      <c r="BU375" s="386">
        <v>23.6</v>
      </c>
      <c r="BV375" s="386">
        <v>28.1</v>
      </c>
      <c r="BW375" s="499">
        <v>687.7</v>
      </c>
      <c r="BX375" s="793"/>
      <c r="BY375" s="499">
        <v>0</v>
      </c>
      <c r="BZ375" s="499">
        <v>1.22</v>
      </c>
      <c r="CA375" s="499">
        <v>1.2</v>
      </c>
      <c r="CB375" s="499">
        <v>8.4</v>
      </c>
      <c r="CC375" s="499">
        <v>8.4</v>
      </c>
      <c r="CD375" s="499">
        <v>15.6</v>
      </c>
      <c r="CE375" s="499">
        <v>35.200000000000003</v>
      </c>
      <c r="CF375" s="499">
        <v>12.8</v>
      </c>
      <c r="CG375" s="499">
        <v>6.5</v>
      </c>
      <c r="CH375" s="499">
        <v>12</v>
      </c>
      <c r="CI375" s="499">
        <v>16</v>
      </c>
      <c r="CJ375" s="499">
        <v>12.85</v>
      </c>
      <c r="CK375" s="499">
        <v>509</v>
      </c>
      <c r="CL375" s="499">
        <v>2.1</v>
      </c>
      <c r="CM375" s="499">
        <v>3.3</v>
      </c>
      <c r="CN375" s="499">
        <v>231.8</v>
      </c>
      <c r="CO375" s="499">
        <v>475.5</v>
      </c>
      <c r="CP375" s="499">
        <v>0</v>
      </c>
      <c r="CQ375" s="499">
        <v>12.5</v>
      </c>
      <c r="CR375" s="499">
        <v>0.73</v>
      </c>
      <c r="CS375" s="386">
        <v>0</v>
      </c>
      <c r="CT375" s="386">
        <v>16.863</v>
      </c>
      <c r="CU375" s="386">
        <v>43</v>
      </c>
      <c r="CV375" s="499">
        <v>0</v>
      </c>
      <c r="CW375" s="499">
        <v>0</v>
      </c>
      <c r="CX375" s="499">
        <v>0</v>
      </c>
      <c r="CY375" s="499">
        <v>0</v>
      </c>
      <c r="CZ375" s="608">
        <v>3040</v>
      </c>
      <c r="DA375" s="608">
        <v>3970</v>
      </c>
      <c r="DB375" s="608">
        <v>3150</v>
      </c>
      <c r="DC375" s="608">
        <v>1096.57</v>
      </c>
      <c r="DD375" s="1153">
        <f t="shared" si="98"/>
        <v>-7.5499999999999545</v>
      </c>
      <c r="DE375" s="1154">
        <f t="shared" si="99"/>
        <v>0</v>
      </c>
      <c r="DF375" s="1154">
        <f t="shared" si="100"/>
        <v>3040</v>
      </c>
      <c r="DG375" s="1154">
        <f t="shared" si="101"/>
        <v>3720</v>
      </c>
      <c r="DH375" s="1155" t="str">
        <f t="shared" si="102"/>
        <v>Palm</v>
      </c>
      <c r="DI375" s="1146">
        <f t="shared" si="103"/>
        <v>820</v>
      </c>
      <c r="DJ375" s="1146">
        <f t="shared" si="104"/>
        <v>0</v>
      </c>
      <c r="DK375" s="1154">
        <f t="shared" si="105"/>
        <v>0</v>
      </c>
      <c r="DL375" s="499"/>
      <c r="DM375" s="499"/>
      <c r="DN375" s="499"/>
      <c r="DO375" s="499"/>
      <c r="DP375" s="499"/>
      <c r="DQ375" s="499"/>
      <c r="DR375" s="499"/>
      <c r="DS375" s="499"/>
      <c r="DT375" s="499"/>
      <c r="DU375" s="499"/>
      <c r="DV375" s="499"/>
      <c r="DW375" s="499"/>
      <c r="DX375" s="499"/>
      <c r="DY375" s="499"/>
      <c r="DZ375" s="499"/>
      <c r="EA375" s="499"/>
      <c r="EB375" s="499"/>
      <c r="EC375" s="499"/>
      <c r="ED375" s="499"/>
      <c r="EE375" s="499"/>
      <c r="EF375" s="499"/>
      <c r="EG375" s="1147">
        <f t="shared" si="108"/>
        <v>10.5</v>
      </c>
      <c r="EH375" s="499">
        <v>0</v>
      </c>
      <c r="EI375" s="615">
        <v>1</v>
      </c>
      <c r="EJ375" s="615">
        <v>3</v>
      </c>
      <c r="EK375" s="615">
        <v>6.5</v>
      </c>
      <c r="EL375" s="499"/>
      <c r="EM375" s="499"/>
      <c r="EN375" s="499"/>
      <c r="EO375" s="499"/>
      <c r="EP375" s="499"/>
      <c r="EQ375" s="499"/>
      <c r="ER375" s="499"/>
      <c r="ES375" s="388"/>
      <c r="ET375" s="388"/>
      <c r="EV375" s="1167">
        <f t="shared" si="94"/>
        <v>16.243500000000001</v>
      </c>
    </row>
    <row r="376" spans="1:152" s="350" customFormat="1" ht="15" x14ac:dyDescent="0.25">
      <c r="A376" s="632" t="s">
        <v>5</v>
      </c>
      <c r="B376" s="662">
        <v>43102</v>
      </c>
      <c r="C376" s="1132" t="s">
        <v>904</v>
      </c>
      <c r="D376" s="636">
        <v>0</v>
      </c>
      <c r="E376" s="636">
        <v>0</v>
      </c>
      <c r="F376" s="636">
        <v>42</v>
      </c>
      <c r="G376" s="636">
        <v>2.5</v>
      </c>
      <c r="H376" s="636">
        <v>5.9</v>
      </c>
      <c r="I376" s="636">
        <v>11.8</v>
      </c>
      <c r="J376" s="636">
        <v>0</v>
      </c>
      <c r="K376" s="636">
        <v>5.71</v>
      </c>
      <c r="L376" s="610">
        <v>0</v>
      </c>
      <c r="M376" s="636">
        <v>23.9</v>
      </c>
      <c r="N376" s="636">
        <v>1.19</v>
      </c>
      <c r="O376" s="636">
        <v>1.4018274642059818</v>
      </c>
      <c r="P376" s="636">
        <v>1.1399999999999999</v>
      </c>
      <c r="Q376" s="636">
        <v>0.58795193901516174</v>
      </c>
      <c r="R376" s="636">
        <v>811.05893895348845</v>
      </c>
      <c r="S376" s="636">
        <v>8.31</v>
      </c>
      <c r="T376" s="636">
        <v>8.32</v>
      </c>
      <c r="U376" s="636">
        <v>0.6</v>
      </c>
      <c r="V376" s="1116">
        <v>0.66</v>
      </c>
      <c r="W376" s="783">
        <v>39.92</v>
      </c>
      <c r="X376" s="630">
        <v>40.460000000000008</v>
      </c>
      <c r="Y376" s="636">
        <v>25.1</v>
      </c>
      <c r="Z376" s="636">
        <v>31.9</v>
      </c>
      <c r="AA376" s="636">
        <v>25.2</v>
      </c>
      <c r="AB376" s="636">
        <v>31.93</v>
      </c>
      <c r="AC376" s="1160">
        <f t="shared" si="95"/>
        <v>57.129999999999995</v>
      </c>
      <c r="AD376" s="1160">
        <f t="shared" si="96"/>
        <v>88.380109999999988</v>
      </c>
      <c r="AE376" s="1160">
        <f t="shared" si="97"/>
        <v>88.380109999999988</v>
      </c>
      <c r="AF376" s="988"/>
      <c r="AG376" s="1160">
        <f t="shared" si="93"/>
        <v>0</v>
      </c>
      <c r="AH376" s="988"/>
      <c r="AI376" s="988"/>
      <c r="AJ376" s="632"/>
      <c r="AK376" s="632"/>
      <c r="AL376" s="632"/>
      <c r="AM376" s="632"/>
      <c r="AN376" s="632"/>
      <c r="AO376" s="949"/>
      <c r="AP376" s="949"/>
      <c r="AQ376" s="636"/>
      <c r="AR376" s="790">
        <v>0</v>
      </c>
      <c r="AS376" s="636">
        <v>15</v>
      </c>
      <c r="AT376" s="636">
        <v>0</v>
      </c>
      <c r="AU376" s="636">
        <v>22.9</v>
      </c>
      <c r="AV376" s="636">
        <v>340.5</v>
      </c>
      <c r="AW376" s="636">
        <v>378.9</v>
      </c>
      <c r="AX376" s="636">
        <v>0</v>
      </c>
      <c r="AY376" s="790">
        <v>0</v>
      </c>
      <c r="AZ376" s="790">
        <v>0</v>
      </c>
      <c r="BA376" s="790">
        <v>0</v>
      </c>
      <c r="BB376" s="989">
        <v>0</v>
      </c>
      <c r="BC376" s="636">
        <v>0.5</v>
      </c>
      <c r="BD376" s="636">
        <v>1.5</v>
      </c>
      <c r="BE376" s="790">
        <v>0</v>
      </c>
      <c r="BF376" s="636">
        <v>0.99</v>
      </c>
      <c r="BG376" s="636">
        <v>0</v>
      </c>
      <c r="BH376" s="790">
        <v>0</v>
      </c>
      <c r="BI376" s="636">
        <v>1.01</v>
      </c>
      <c r="BJ376" s="636">
        <v>27.9</v>
      </c>
      <c r="BK376" s="636">
        <v>3.07</v>
      </c>
      <c r="BL376" s="636">
        <v>3.63</v>
      </c>
      <c r="BM376" s="636">
        <v>0</v>
      </c>
      <c r="BN376" s="636">
        <v>21.2</v>
      </c>
      <c r="BO376" s="636">
        <v>908.3</v>
      </c>
      <c r="BP376" s="636">
        <v>2.9</v>
      </c>
      <c r="BQ376" s="630">
        <v>19.3</v>
      </c>
      <c r="BR376" s="630">
        <v>20.23</v>
      </c>
      <c r="BS376" s="630">
        <v>10.86</v>
      </c>
      <c r="BT376" s="630">
        <v>10.98</v>
      </c>
      <c r="BU376" s="636">
        <v>23.2</v>
      </c>
      <c r="BV376" s="636">
        <v>30.1</v>
      </c>
      <c r="BW376" s="630">
        <v>742.9</v>
      </c>
      <c r="BX376" s="1117"/>
      <c r="BY376" s="630">
        <v>0</v>
      </c>
      <c r="BZ376" s="630">
        <v>1.1599999999999999</v>
      </c>
      <c r="CA376" s="630">
        <v>1.2</v>
      </c>
      <c r="CB376" s="630">
        <v>8.4</v>
      </c>
      <c r="CC376" s="630">
        <v>8.4</v>
      </c>
      <c r="CD376" s="630">
        <v>15.9</v>
      </c>
      <c r="CE376" s="630">
        <v>35.1</v>
      </c>
      <c r="CF376" s="630">
        <v>14.5</v>
      </c>
      <c r="CG376" s="630">
        <v>5.8</v>
      </c>
      <c r="CH376" s="630">
        <v>11.12</v>
      </c>
      <c r="CI376" s="630">
        <v>15.1</v>
      </c>
      <c r="CJ376" s="630">
        <v>13.36</v>
      </c>
      <c r="CK376" s="630">
        <v>526.20000000000005</v>
      </c>
      <c r="CL376" s="630">
        <v>2.2000000000000002</v>
      </c>
      <c r="CM376" s="630">
        <v>2.9</v>
      </c>
      <c r="CN376" s="630">
        <v>124.7</v>
      </c>
      <c r="CO376" s="630">
        <v>447.5</v>
      </c>
      <c r="CP376" s="630">
        <v>0</v>
      </c>
      <c r="CQ376" s="630">
        <v>12.3</v>
      </c>
      <c r="CR376" s="630">
        <v>0.74</v>
      </c>
      <c r="CS376" s="636">
        <v>0</v>
      </c>
      <c r="CT376" s="636">
        <v>15.712</v>
      </c>
      <c r="CU376" s="636">
        <v>43</v>
      </c>
      <c r="CV376" s="630">
        <v>0</v>
      </c>
      <c r="CW376" s="630">
        <v>0</v>
      </c>
      <c r="CX376" s="630">
        <v>0</v>
      </c>
      <c r="CY376" s="630">
        <v>0</v>
      </c>
      <c r="CZ376" s="990">
        <v>2200</v>
      </c>
      <c r="DA376" s="990">
        <v>3010</v>
      </c>
      <c r="DB376" s="990">
        <v>2290</v>
      </c>
      <c r="DC376" s="990">
        <v>1087.93</v>
      </c>
      <c r="DD376" s="1153">
        <f t="shared" si="98"/>
        <v>-8.6399999999998727</v>
      </c>
      <c r="DE376" s="1154">
        <f t="shared" si="99"/>
        <v>0</v>
      </c>
      <c r="DF376" s="1154">
        <f t="shared" si="100"/>
        <v>2180</v>
      </c>
      <c r="DG376" s="1154">
        <f t="shared" si="101"/>
        <v>2760</v>
      </c>
      <c r="DH376" s="1155" t="str">
        <f t="shared" si="102"/>
        <v>Palm</v>
      </c>
      <c r="DI376" s="1146">
        <f t="shared" si="103"/>
        <v>720</v>
      </c>
      <c r="DJ376" s="1146">
        <f t="shared" si="104"/>
        <v>0</v>
      </c>
      <c r="DK376" s="1154">
        <f t="shared" si="105"/>
        <v>0</v>
      </c>
      <c r="DL376" s="630"/>
      <c r="DM376" s="630"/>
      <c r="DN376" s="630"/>
      <c r="DO376" s="630"/>
      <c r="DP376" s="630"/>
      <c r="DQ376" s="630"/>
      <c r="DR376" s="630"/>
      <c r="DS376" s="630"/>
      <c r="DT376" s="630"/>
      <c r="DU376" s="630"/>
      <c r="DV376" s="630"/>
      <c r="DW376" s="630"/>
      <c r="DX376" s="630"/>
      <c r="DY376" s="630"/>
      <c r="DZ376" s="630"/>
      <c r="EA376" s="630"/>
      <c r="EB376" s="630"/>
      <c r="EC376" s="630"/>
      <c r="ED376" s="630"/>
      <c r="EE376" s="630"/>
      <c r="EF376" s="630"/>
      <c r="EG376" s="1146">
        <f t="shared" ref="EG376:EG378" si="109">(SUM(EH376:EK376))</f>
        <v>10.5</v>
      </c>
      <c r="EH376" s="630">
        <v>0</v>
      </c>
      <c r="EI376" s="642">
        <v>1</v>
      </c>
      <c r="EJ376" s="642">
        <v>3</v>
      </c>
      <c r="EK376" s="642">
        <v>6.5</v>
      </c>
      <c r="EL376" s="499"/>
      <c r="EM376" s="499"/>
      <c r="EN376" s="499"/>
      <c r="EO376" s="499"/>
      <c r="EP376" s="499"/>
      <c r="EQ376" s="499"/>
      <c r="ER376" s="499"/>
      <c r="ES376" s="388"/>
      <c r="ET376" s="388"/>
      <c r="EV376" s="1167">
        <f t="shared" si="94"/>
        <v>16.243500000000001</v>
      </c>
    </row>
    <row r="377" spans="1:152" s="350" customFormat="1" ht="16.2" x14ac:dyDescent="0.35">
      <c r="A377" s="632" t="s">
        <v>6</v>
      </c>
      <c r="B377" s="662">
        <v>43103</v>
      </c>
      <c r="C377" s="1132" t="s">
        <v>904</v>
      </c>
      <c r="D377" s="636">
        <v>0</v>
      </c>
      <c r="E377" s="636">
        <v>0</v>
      </c>
      <c r="F377" s="636">
        <v>44.4</v>
      </c>
      <c r="G377" s="636">
        <v>1.9</v>
      </c>
      <c r="H377" s="636">
        <v>6.68</v>
      </c>
      <c r="I377" s="636">
        <v>11.8</v>
      </c>
      <c r="J377" s="636">
        <v>0</v>
      </c>
      <c r="K377" s="636">
        <v>5.66</v>
      </c>
      <c r="L377" s="610">
        <v>0</v>
      </c>
      <c r="M377" s="636">
        <v>23.8</v>
      </c>
      <c r="N377" s="636">
        <v>1.25</v>
      </c>
      <c r="O377" s="636">
        <v>1.4341257383616925</v>
      </c>
      <c r="P377" s="636">
        <v>1.22</v>
      </c>
      <c r="Q377" s="636">
        <v>0.59750267346040142</v>
      </c>
      <c r="R377" s="636">
        <v>830.39367732558139</v>
      </c>
      <c r="S377" s="636">
        <v>8.3800000000000008</v>
      </c>
      <c r="T377" s="636">
        <v>8.3800000000000008</v>
      </c>
      <c r="U377" s="636">
        <v>0.63</v>
      </c>
      <c r="V377" s="1116">
        <v>0.71</v>
      </c>
      <c r="W377" s="783">
        <v>39.200000000000003</v>
      </c>
      <c r="X377" s="630">
        <v>39.56</v>
      </c>
      <c r="Y377" s="636">
        <v>25.2</v>
      </c>
      <c r="Z377" s="636">
        <v>31.93</v>
      </c>
      <c r="AA377" s="636">
        <v>25.2</v>
      </c>
      <c r="AB377" s="636">
        <v>32.200000000000003</v>
      </c>
      <c r="AC377" s="1160">
        <f t="shared" si="95"/>
        <v>57.400000000000006</v>
      </c>
      <c r="AD377" s="1160">
        <f t="shared" si="96"/>
        <v>88.797800000000009</v>
      </c>
      <c r="AE377" s="1160">
        <f t="shared" si="97"/>
        <v>88.797800000000009</v>
      </c>
      <c r="AF377" s="988"/>
      <c r="AG377" s="1160">
        <f t="shared" si="93"/>
        <v>0</v>
      </c>
      <c r="AH377" s="988"/>
      <c r="AI377" s="988"/>
      <c r="AJ377" s="632"/>
      <c r="AK377" s="632"/>
      <c r="AL377" s="632"/>
      <c r="AM377" s="632"/>
      <c r="AN377" s="632"/>
      <c r="AO377" s="949"/>
      <c r="AP377" s="949"/>
      <c r="AQ377" s="636"/>
      <c r="AR377" s="790">
        <v>0</v>
      </c>
      <c r="AS377" s="636">
        <v>22</v>
      </c>
      <c r="AT377" s="636">
        <v>0</v>
      </c>
      <c r="AU377" s="636">
        <v>22.9</v>
      </c>
      <c r="AV377" s="636">
        <v>237.1</v>
      </c>
      <c r="AW377" s="636">
        <v>241.7</v>
      </c>
      <c r="AX377" s="636">
        <v>0</v>
      </c>
      <c r="AY377" s="790">
        <v>0</v>
      </c>
      <c r="AZ377" s="790">
        <v>0</v>
      </c>
      <c r="BA377" s="790">
        <v>0</v>
      </c>
      <c r="BB377" s="989">
        <v>0</v>
      </c>
      <c r="BC377" s="636">
        <v>0.16</v>
      </c>
      <c r="BD377" s="636">
        <v>1.5</v>
      </c>
      <c r="BE377" s="790">
        <v>0</v>
      </c>
      <c r="BF377" s="636">
        <v>1.33</v>
      </c>
      <c r="BG377" s="636">
        <v>0</v>
      </c>
      <c r="BH377" s="790">
        <v>0</v>
      </c>
      <c r="BI377" s="636">
        <v>1.01</v>
      </c>
      <c r="BJ377" s="636">
        <v>28.1</v>
      </c>
      <c r="BK377" s="636">
        <v>3.07</v>
      </c>
      <c r="BL377" s="636">
        <v>3.88</v>
      </c>
      <c r="BM377" s="636">
        <v>0</v>
      </c>
      <c r="BN377" s="636">
        <v>21.4</v>
      </c>
      <c r="BO377" s="636">
        <v>909.1</v>
      </c>
      <c r="BP377" s="636">
        <v>2.7</v>
      </c>
      <c r="BQ377" s="630">
        <v>18.760000000000002</v>
      </c>
      <c r="BR377" s="630">
        <v>19.77</v>
      </c>
      <c r="BS377" s="630">
        <v>11.02</v>
      </c>
      <c r="BT377" s="630">
        <v>11.1</v>
      </c>
      <c r="BU377" s="636">
        <v>23.5</v>
      </c>
      <c r="BV377" s="636">
        <v>28.8</v>
      </c>
      <c r="BW377" s="630">
        <v>737.5</v>
      </c>
      <c r="BX377" s="1117"/>
      <c r="BY377" s="630">
        <v>0</v>
      </c>
      <c r="BZ377" s="630">
        <v>1.19</v>
      </c>
      <c r="CA377" s="630">
        <v>1.1000000000000001</v>
      </c>
      <c r="CB377" s="630">
        <v>8.5</v>
      </c>
      <c r="CC377" s="630">
        <v>8.4</v>
      </c>
      <c r="CD377" s="630">
        <v>16.100000000000001</v>
      </c>
      <c r="CE377" s="630">
        <v>35.200000000000003</v>
      </c>
      <c r="CF377" s="630">
        <v>14.01</v>
      </c>
      <c r="CG377" s="630">
        <v>5.2</v>
      </c>
      <c r="CH377" s="630">
        <v>10.5</v>
      </c>
      <c r="CI377" s="630">
        <v>14.5</v>
      </c>
      <c r="CJ377" s="630">
        <v>13.46</v>
      </c>
      <c r="CK377" s="630">
        <v>527.70000000000005</v>
      </c>
      <c r="CL377" s="630">
        <v>2.1</v>
      </c>
      <c r="CM377" s="630">
        <v>2.8</v>
      </c>
      <c r="CN377" s="630">
        <v>144.4</v>
      </c>
      <c r="CO377" s="630">
        <v>447</v>
      </c>
      <c r="CP377" s="630">
        <v>0</v>
      </c>
      <c r="CQ377" s="630">
        <v>12.5</v>
      </c>
      <c r="CR377" s="630">
        <v>0.77</v>
      </c>
      <c r="CS377" s="636">
        <v>0</v>
      </c>
      <c r="CT377" s="636">
        <v>15.771000000000001</v>
      </c>
      <c r="CU377" s="636">
        <v>43</v>
      </c>
      <c r="CV377" s="630">
        <v>0</v>
      </c>
      <c r="CW377" s="630">
        <v>0</v>
      </c>
      <c r="CX377" s="630">
        <v>0</v>
      </c>
      <c r="CY377" s="630">
        <v>0</v>
      </c>
      <c r="CZ377" s="990">
        <v>1680</v>
      </c>
      <c r="DA377" s="990">
        <v>2410</v>
      </c>
      <c r="DB377" s="990">
        <v>1760</v>
      </c>
      <c r="DC377" s="966">
        <v>1081.8800000000001</v>
      </c>
      <c r="DD377" s="1153">
        <f t="shared" si="98"/>
        <v>-6.0499999999999545</v>
      </c>
      <c r="DE377" s="1154">
        <f t="shared" si="99"/>
        <v>0</v>
      </c>
      <c r="DF377" s="1154">
        <f t="shared" si="100"/>
        <v>1650</v>
      </c>
      <c r="DG377" s="1154">
        <f t="shared" si="101"/>
        <v>2160</v>
      </c>
      <c r="DH377" s="1155" t="str">
        <f t="shared" si="102"/>
        <v>Palm</v>
      </c>
      <c r="DI377" s="1146">
        <f t="shared" si="103"/>
        <v>650</v>
      </c>
      <c r="DJ377" s="1146">
        <f t="shared" si="104"/>
        <v>0</v>
      </c>
      <c r="DK377" s="1154">
        <f t="shared" si="105"/>
        <v>0</v>
      </c>
      <c r="DL377" s="630"/>
      <c r="DM377" s="630"/>
      <c r="DN377" s="630"/>
      <c r="DO377" s="630"/>
      <c r="DP377" s="630"/>
      <c r="DQ377" s="630"/>
      <c r="DR377" s="630"/>
      <c r="DS377" s="630"/>
      <c r="DT377" s="630"/>
      <c r="DU377" s="630"/>
      <c r="DV377" s="630"/>
      <c r="DW377" s="630"/>
      <c r="DX377" s="630"/>
      <c r="DY377" s="630"/>
      <c r="DZ377" s="630"/>
      <c r="EA377" s="630"/>
      <c r="EB377" s="630"/>
      <c r="EC377" s="630"/>
      <c r="ED377" s="630"/>
      <c r="EE377" s="630"/>
      <c r="EF377" s="630"/>
      <c r="EG377" s="1146">
        <f t="shared" si="109"/>
        <v>10.5</v>
      </c>
      <c r="EH377" s="630">
        <v>0</v>
      </c>
      <c r="EI377" s="642">
        <v>1</v>
      </c>
      <c r="EJ377" s="642">
        <v>3</v>
      </c>
      <c r="EK377" s="642">
        <v>6.5</v>
      </c>
      <c r="EL377" s="499"/>
      <c r="EM377" s="499"/>
      <c r="EN377" s="499"/>
      <c r="EO377" s="499"/>
      <c r="EP377" s="499"/>
      <c r="EQ377" s="499"/>
      <c r="ER377" s="499"/>
      <c r="ES377" s="388"/>
      <c r="ET377" s="388"/>
      <c r="EV377" s="1167">
        <f t="shared" si="94"/>
        <v>16.243500000000001</v>
      </c>
    </row>
    <row r="378" spans="1:152" s="350" customFormat="1" ht="16.2" x14ac:dyDescent="0.35">
      <c r="A378" s="632" t="s">
        <v>7</v>
      </c>
      <c r="B378" s="662">
        <v>43104</v>
      </c>
      <c r="C378" s="1132" t="s">
        <v>904</v>
      </c>
      <c r="D378" s="636">
        <v>0.13</v>
      </c>
      <c r="E378" s="636">
        <v>0</v>
      </c>
      <c r="F378" s="636">
        <v>40.4</v>
      </c>
      <c r="G378" s="636">
        <v>1.6</v>
      </c>
      <c r="H378" s="636">
        <v>11</v>
      </c>
      <c r="I378" s="636">
        <v>13.4</v>
      </c>
      <c r="J378" s="636">
        <v>0</v>
      </c>
      <c r="K378" s="636">
        <v>9.91</v>
      </c>
      <c r="L378" s="610">
        <v>0</v>
      </c>
      <c r="M378" s="636">
        <v>23.4</v>
      </c>
      <c r="N378" s="636">
        <v>1.23</v>
      </c>
      <c r="O378" s="636">
        <v>1.3907411292256748</v>
      </c>
      <c r="P378" s="636">
        <v>1.22</v>
      </c>
      <c r="Q378" s="636">
        <v>0.59222703865726711</v>
      </c>
      <c r="R378" s="636">
        <v>840.06104651162798</v>
      </c>
      <c r="S378" s="636">
        <v>8.2799999999999994</v>
      </c>
      <c r="T378" s="636">
        <v>8.31</v>
      </c>
      <c r="U378" s="636">
        <v>0.69</v>
      </c>
      <c r="V378" s="1116">
        <v>0.74</v>
      </c>
      <c r="W378" s="783">
        <v>39.56</v>
      </c>
      <c r="X378" s="630">
        <v>39.739999999999995</v>
      </c>
      <c r="Y378" s="636">
        <v>25.2</v>
      </c>
      <c r="Z378" s="636">
        <v>32.200000000000003</v>
      </c>
      <c r="AA378" s="636">
        <v>25.2</v>
      </c>
      <c r="AB378" s="636">
        <v>33.94</v>
      </c>
      <c r="AC378" s="1160">
        <f t="shared" si="95"/>
        <v>59.14</v>
      </c>
      <c r="AD378" s="1160">
        <f t="shared" si="96"/>
        <v>91.489580000000004</v>
      </c>
      <c r="AE378" s="1160">
        <f t="shared" si="97"/>
        <v>91.489580000000004</v>
      </c>
      <c r="AF378" s="988"/>
      <c r="AG378" s="1160">
        <f t="shared" si="93"/>
        <v>0</v>
      </c>
      <c r="AH378" s="988"/>
      <c r="AI378" s="988"/>
      <c r="AJ378" s="632"/>
      <c r="AK378" s="632"/>
      <c r="AL378" s="632"/>
      <c r="AM378" s="632"/>
      <c r="AN378" s="632"/>
      <c r="AO378" s="949"/>
      <c r="AP378" s="949"/>
      <c r="AQ378" s="636"/>
      <c r="AR378" s="790">
        <v>0</v>
      </c>
      <c r="AS378" s="636">
        <v>10.8</v>
      </c>
      <c r="AT378" s="636">
        <v>0</v>
      </c>
      <c r="AU378" s="636">
        <v>22.9</v>
      </c>
      <c r="AV378" s="636">
        <v>168.2</v>
      </c>
      <c r="AW378" s="636">
        <v>238.6</v>
      </c>
      <c r="AX378" s="636">
        <v>0</v>
      </c>
      <c r="AY378" s="790">
        <v>0</v>
      </c>
      <c r="AZ378" s="790">
        <v>0</v>
      </c>
      <c r="BA378" s="790">
        <v>0</v>
      </c>
      <c r="BB378" s="989">
        <v>0</v>
      </c>
      <c r="BC378" s="636">
        <v>0</v>
      </c>
      <c r="BD378" s="636">
        <v>1.5</v>
      </c>
      <c r="BE378" s="790">
        <v>0</v>
      </c>
      <c r="BF378" s="636">
        <v>1.49</v>
      </c>
      <c r="BG378" s="636">
        <v>0</v>
      </c>
      <c r="BH378" s="790">
        <v>0</v>
      </c>
      <c r="BI378" s="636">
        <v>1.01</v>
      </c>
      <c r="BJ378" s="636">
        <v>29.9</v>
      </c>
      <c r="BK378" s="636">
        <v>2.62</v>
      </c>
      <c r="BL378" s="636">
        <v>3.88</v>
      </c>
      <c r="BM378" s="636">
        <v>0</v>
      </c>
      <c r="BN378" s="636">
        <v>23.5</v>
      </c>
      <c r="BO378" s="636">
        <v>1123.3</v>
      </c>
      <c r="BP378" s="636">
        <v>2.5</v>
      </c>
      <c r="BQ378" s="630">
        <v>19.2</v>
      </c>
      <c r="BR378" s="630">
        <v>20.100000000000001</v>
      </c>
      <c r="BS378" s="630">
        <v>11.1</v>
      </c>
      <c r="BT378" s="630">
        <v>11.2</v>
      </c>
      <c r="BU378" s="636">
        <v>23.7</v>
      </c>
      <c r="BV378" s="636">
        <v>26.1</v>
      </c>
      <c r="BW378" s="630">
        <v>738.5</v>
      </c>
      <c r="BX378" s="1117"/>
      <c r="BY378" s="630">
        <v>0</v>
      </c>
      <c r="BZ378" s="630">
        <v>1.2</v>
      </c>
      <c r="CA378" s="630">
        <v>1.1000000000000001</v>
      </c>
      <c r="CB378" s="630">
        <v>8.5</v>
      </c>
      <c r="CC378" s="630">
        <v>8.5</v>
      </c>
      <c r="CD378" s="630">
        <v>15.7</v>
      </c>
      <c r="CE378" s="630">
        <v>35.200000000000003</v>
      </c>
      <c r="CF378" s="630">
        <v>13</v>
      </c>
      <c r="CG378" s="630">
        <v>5.8</v>
      </c>
      <c r="CH378" s="630">
        <v>11</v>
      </c>
      <c r="CI378" s="630">
        <v>15.5</v>
      </c>
      <c r="CJ378" s="630">
        <v>12.9</v>
      </c>
      <c r="CK378" s="630">
        <v>512.9</v>
      </c>
      <c r="CL378" s="630">
        <v>2.2999999999999998</v>
      </c>
      <c r="CM378" s="630">
        <v>3.6</v>
      </c>
      <c r="CN378" s="630">
        <v>130.6</v>
      </c>
      <c r="CO378" s="630">
        <v>448.2</v>
      </c>
      <c r="CP378" s="630">
        <v>0</v>
      </c>
      <c r="CQ378" s="630">
        <v>12.5</v>
      </c>
      <c r="CR378" s="630">
        <v>0.62</v>
      </c>
      <c r="CS378" s="636">
        <v>0</v>
      </c>
      <c r="CT378" s="636">
        <v>16.765999999999998</v>
      </c>
      <c r="CU378" s="636">
        <v>42</v>
      </c>
      <c r="CV378" s="630">
        <v>0</v>
      </c>
      <c r="CW378" s="630">
        <v>0</v>
      </c>
      <c r="CX378" s="630">
        <v>0</v>
      </c>
      <c r="CY378" s="630">
        <v>0</v>
      </c>
      <c r="CZ378" s="990">
        <v>1280</v>
      </c>
      <c r="DA378" s="990">
        <v>1970</v>
      </c>
      <c r="DB378" s="990">
        <v>1300</v>
      </c>
      <c r="DC378" s="966">
        <v>1078.52</v>
      </c>
      <c r="DD378" s="1153">
        <f t="shared" si="98"/>
        <v>-3.3600000000001273</v>
      </c>
      <c r="DE378" s="1154">
        <f t="shared" si="99"/>
        <v>0</v>
      </c>
      <c r="DF378" s="1154">
        <f t="shared" si="100"/>
        <v>1190</v>
      </c>
      <c r="DG378" s="1154">
        <f t="shared" si="101"/>
        <v>1720</v>
      </c>
      <c r="DH378" s="1155" t="str">
        <f t="shared" si="102"/>
        <v>Palm</v>
      </c>
      <c r="DI378" s="1146">
        <f t="shared" si="103"/>
        <v>670</v>
      </c>
      <c r="DJ378" s="1146">
        <f t="shared" si="104"/>
        <v>0</v>
      </c>
      <c r="DK378" s="1154">
        <f t="shared" si="105"/>
        <v>0</v>
      </c>
      <c r="DL378" s="630"/>
      <c r="DM378" s="630"/>
      <c r="DN378" s="630"/>
      <c r="DO378" s="630"/>
      <c r="DP378" s="630"/>
      <c r="DQ378" s="630"/>
      <c r="DR378" s="630"/>
      <c r="DS378" s="630"/>
      <c r="DT378" s="630"/>
      <c r="DU378" s="630"/>
      <c r="DV378" s="630"/>
      <c r="DW378" s="630"/>
      <c r="DX378" s="630"/>
      <c r="DY378" s="630"/>
      <c r="DZ378" s="630"/>
      <c r="EA378" s="630"/>
      <c r="EB378" s="630"/>
      <c r="EC378" s="630"/>
      <c r="ED378" s="630"/>
      <c r="EE378" s="630"/>
      <c r="EF378" s="630"/>
      <c r="EG378" s="1146">
        <f t="shared" si="109"/>
        <v>10.5</v>
      </c>
      <c r="EH378" s="630">
        <v>0</v>
      </c>
      <c r="EI378" s="642">
        <v>1</v>
      </c>
      <c r="EJ378" s="642">
        <v>3</v>
      </c>
      <c r="EK378" s="642">
        <v>6.5</v>
      </c>
      <c r="EL378" s="499"/>
      <c r="EM378" s="499"/>
      <c r="EN378" s="499"/>
      <c r="EO378" s="499"/>
      <c r="EP378" s="499"/>
      <c r="EQ378" s="499"/>
      <c r="ER378" s="499"/>
      <c r="ES378" s="388"/>
      <c r="ET378" s="388"/>
      <c r="EV378" s="1167">
        <f t="shared" si="94"/>
        <v>16.243500000000001</v>
      </c>
    </row>
    <row r="379" spans="1:152" s="350" customFormat="1" ht="15" x14ac:dyDescent="0.25">
      <c r="A379" s="632" t="s">
        <v>8</v>
      </c>
      <c r="B379" s="662">
        <v>43105</v>
      </c>
      <c r="C379" s="1132" t="s">
        <v>904</v>
      </c>
      <c r="D379" s="386"/>
      <c r="E379" s="636"/>
      <c r="F379" s="636"/>
      <c r="G379" s="636"/>
      <c r="H379" s="386"/>
      <c r="I379" s="386"/>
      <c r="J379" s="386"/>
      <c r="K379" s="386"/>
      <c r="L379" s="610"/>
      <c r="M379" s="386"/>
      <c r="N379" s="386"/>
      <c r="O379" s="386"/>
      <c r="P379" s="386"/>
      <c r="Q379" s="386"/>
      <c r="R379" s="386"/>
      <c r="S379" s="386"/>
      <c r="T379" s="386"/>
      <c r="U379" s="386"/>
      <c r="V379" s="387"/>
      <c r="W379" s="783"/>
      <c r="X379" s="369"/>
      <c r="Y379" s="367"/>
      <c r="Z379" s="636"/>
      <c r="AA379" s="636"/>
      <c r="AB379" s="636"/>
      <c r="AC379" s="1160">
        <f t="shared" si="95"/>
        <v>0</v>
      </c>
      <c r="AD379" s="1160">
        <f t="shared" si="96"/>
        <v>0</v>
      </c>
      <c r="AE379" s="1160">
        <f t="shared" si="97"/>
        <v>0</v>
      </c>
      <c r="AF379" s="656"/>
      <c r="AG379" s="1160">
        <f t="shared" si="93"/>
        <v>0</v>
      </c>
      <c r="AH379" s="656"/>
      <c r="AI379" s="656"/>
      <c r="AJ379" s="388"/>
      <c r="AK379" s="388"/>
      <c r="AL379" s="388"/>
      <c r="AM379" s="388"/>
      <c r="AN379" s="388"/>
      <c r="AO379" s="370"/>
      <c r="AP379" s="370"/>
      <c r="AQ379" s="386"/>
      <c r="AR379" s="551"/>
      <c r="AS379" s="386"/>
      <c r="AT379" s="386"/>
      <c r="AU379" s="386"/>
      <c r="AV379" s="636"/>
      <c r="AW379" s="636"/>
      <c r="AX379" s="386"/>
      <c r="AY379" s="551"/>
      <c r="AZ379" s="551"/>
      <c r="BA379" s="551"/>
      <c r="BB379" s="832"/>
      <c r="BC379" s="386"/>
      <c r="BD379" s="386"/>
      <c r="BE379" s="551"/>
      <c r="BF379" s="386"/>
      <c r="BG379" s="386"/>
      <c r="BH379" s="551"/>
      <c r="BI379" s="386"/>
      <c r="BJ379" s="386"/>
      <c r="BK379" s="386"/>
      <c r="BL379" s="386"/>
      <c r="BM379" s="386"/>
      <c r="BN379" s="386"/>
      <c r="BO379" s="386"/>
      <c r="BP379" s="386"/>
      <c r="BQ379" s="499"/>
      <c r="BR379" s="499"/>
      <c r="BS379" s="499"/>
      <c r="BT379" s="499"/>
      <c r="BU379" s="386"/>
      <c r="BV379" s="386"/>
      <c r="BW379" s="499"/>
      <c r="BX379" s="793"/>
      <c r="BY379" s="499"/>
      <c r="BZ379" s="499"/>
      <c r="CA379" s="499"/>
      <c r="CB379" s="499"/>
      <c r="CC379" s="499"/>
      <c r="CD379" s="499"/>
      <c r="CE379" s="499"/>
      <c r="CF379" s="499"/>
      <c r="CG379" s="499"/>
      <c r="CH379" s="499"/>
      <c r="CI379" s="499"/>
      <c r="CJ379" s="499"/>
      <c r="CK379" s="499"/>
      <c r="CL379" s="499"/>
      <c r="CM379" s="499"/>
      <c r="CN379" s="499"/>
      <c r="CO379" s="499"/>
      <c r="CP379" s="499"/>
      <c r="CQ379" s="499"/>
      <c r="CR379" s="499"/>
      <c r="CS379" s="386"/>
      <c r="CT379" s="386"/>
      <c r="CU379" s="386"/>
      <c r="CV379" s="499"/>
      <c r="CW379" s="499"/>
      <c r="CX379" s="499"/>
      <c r="CY379" s="499"/>
      <c r="CZ379" s="608"/>
      <c r="DA379" s="608"/>
      <c r="DB379" s="608"/>
      <c r="DC379" s="608"/>
      <c r="DD379" s="1153">
        <f t="shared" si="98"/>
        <v>-1078.52</v>
      </c>
      <c r="DE379" s="1154">
        <f t="shared" si="99"/>
        <v>0</v>
      </c>
      <c r="DF379" s="1154">
        <f t="shared" si="100"/>
        <v>-110</v>
      </c>
      <c r="DG379" s="1154">
        <f t="shared" si="101"/>
        <v>-250</v>
      </c>
      <c r="DH379" s="1155" t="str">
        <f t="shared" si="102"/>
        <v>Aub</v>
      </c>
      <c r="DI379" s="1146">
        <f t="shared" si="103"/>
        <v>0</v>
      </c>
      <c r="DJ379" s="1146">
        <f t="shared" si="104"/>
        <v>0</v>
      </c>
      <c r="DK379" s="1154">
        <f t="shared" si="105"/>
        <v>0</v>
      </c>
      <c r="DL379" s="499"/>
      <c r="DM379" s="499"/>
      <c r="DN379" s="499"/>
      <c r="DO379" s="499"/>
      <c r="DP379" s="499"/>
      <c r="DQ379" s="499"/>
      <c r="DR379" s="499"/>
      <c r="DS379" s="499"/>
      <c r="DT379" s="499"/>
      <c r="DU379" s="499"/>
      <c r="DV379" s="499"/>
      <c r="DW379" s="499"/>
      <c r="DX379" s="499"/>
      <c r="DY379" s="499"/>
      <c r="DZ379" s="499"/>
      <c r="EA379" s="499"/>
      <c r="EB379" s="499"/>
      <c r="EC379" s="499"/>
      <c r="ED379" s="499"/>
      <c r="EE379" s="499"/>
      <c r="EF379" s="499"/>
      <c r="EG379" s="1147"/>
      <c r="EH379" s="630">
        <v>0</v>
      </c>
      <c r="EI379" s="642">
        <v>1</v>
      </c>
      <c r="EJ379" s="615">
        <v>3.5</v>
      </c>
      <c r="EK379" s="642">
        <v>6.5</v>
      </c>
      <c r="EL379" s="499"/>
      <c r="EM379" s="499"/>
      <c r="EN379" s="499"/>
      <c r="EO379" s="499"/>
      <c r="EP379" s="499"/>
      <c r="EQ379" s="499"/>
      <c r="ER379" s="499"/>
      <c r="ES379" s="388"/>
      <c r="ET379" s="388"/>
      <c r="EV379" s="1167">
        <f t="shared" si="94"/>
        <v>17.016999999999999</v>
      </c>
    </row>
    <row r="380" spans="1:152" s="350" customFormat="1" ht="15" x14ac:dyDescent="0.25">
      <c r="A380" s="632" t="s">
        <v>9</v>
      </c>
      <c r="B380" s="662">
        <v>43106</v>
      </c>
      <c r="C380" s="1132" t="s">
        <v>904</v>
      </c>
      <c r="D380" s="386"/>
      <c r="E380" s="636"/>
      <c r="F380" s="636"/>
      <c r="G380" s="636"/>
      <c r="H380" s="386"/>
      <c r="I380" s="386"/>
      <c r="J380" s="386"/>
      <c r="K380" s="386"/>
      <c r="L380" s="610"/>
      <c r="M380" s="386"/>
      <c r="N380" s="386"/>
      <c r="O380" s="386"/>
      <c r="P380" s="386"/>
      <c r="Q380" s="386"/>
      <c r="R380" s="386"/>
      <c r="S380" s="386"/>
      <c r="T380" s="386"/>
      <c r="U380" s="386"/>
      <c r="V380" s="387"/>
      <c r="W380" s="783"/>
      <c r="X380" s="369"/>
      <c r="Y380" s="367"/>
      <c r="Z380" s="636"/>
      <c r="AA380" s="636"/>
      <c r="AB380" s="636"/>
      <c r="AC380" s="1160">
        <f t="shared" si="95"/>
        <v>0</v>
      </c>
      <c r="AD380" s="1160">
        <f t="shared" si="96"/>
        <v>0</v>
      </c>
      <c r="AE380" s="1160">
        <f t="shared" si="97"/>
        <v>0</v>
      </c>
      <c r="AF380" s="656"/>
      <c r="AG380" s="1160">
        <f t="shared" si="93"/>
        <v>0</v>
      </c>
      <c r="AH380" s="656"/>
      <c r="AI380" s="656"/>
      <c r="AJ380" s="388"/>
      <c r="AK380" s="388"/>
      <c r="AL380" s="388"/>
      <c r="AM380" s="388"/>
      <c r="AN380" s="388"/>
      <c r="AO380" s="370"/>
      <c r="AP380" s="370"/>
      <c r="AQ380" s="386"/>
      <c r="AR380" s="551"/>
      <c r="AS380" s="386"/>
      <c r="AT380" s="386"/>
      <c r="AU380" s="386"/>
      <c r="AV380" s="636"/>
      <c r="AW380" s="636"/>
      <c r="AX380" s="386"/>
      <c r="AY380" s="551"/>
      <c r="AZ380" s="551"/>
      <c r="BA380" s="551"/>
      <c r="BB380" s="832"/>
      <c r="BC380" s="386"/>
      <c r="BD380" s="386"/>
      <c r="BE380" s="551"/>
      <c r="BF380" s="386"/>
      <c r="BG380" s="386"/>
      <c r="BH380" s="551"/>
      <c r="BI380" s="386"/>
      <c r="BJ380" s="386"/>
      <c r="BK380" s="386"/>
      <c r="BL380" s="386"/>
      <c r="BM380" s="386"/>
      <c r="BN380" s="386"/>
      <c r="BO380" s="386"/>
      <c r="BP380" s="386"/>
      <c r="BQ380" s="499"/>
      <c r="BR380" s="499"/>
      <c r="BS380" s="499"/>
      <c r="BT380" s="499"/>
      <c r="BU380" s="386"/>
      <c r="BV380" s="386"/>
      <c r="BW380" s="499"/>
      <c r="BX380" s="793"/>
      <c r="BY380" s="499"/>
      <c r="BZ380" s="499"/>
      <c r="CA380" s="499"/>
      <c r="CB380" s="499"/>
      <c r="CC380" s="499"/>
      <c r="CD380" s="499"/>
      <c r="CE380" s="499"/>
      <c r="CF380" s="499"/>
      <c r="CG380" s="499"/>
      <c r="CH380" s="499"/>
      <c r="CI380" s="499"/>
      <c r="CJ380" s="499"/>
      <c r="CK380" s="499"/>
      <c r="CL380" s="499"/>
      <c r="CM380" s="499"/>
      <c r="CN380" s="499"/>
      <c r="CO380" s="499"/>
      <c r="CP380" s="499"/>
      <c r="CQ380" s="499"/>
      <c r="CR380" s="499"/>
      <c r="CS380" s="386"/>
      <c r="CT380" s="386"/>
      <c r="CU380" s="386"/>
      <c r="CV380" s="499"/>
      <c r="CW380" s="499"/>
      <c r="CX380" s="499"/>
      <c r="CY380" s="499"/>
      <c r="CZ380" s="608"/>
      <c r="DA380" s="608"/>
      <c r="DB380" s="608"/>
      <c r="DC380" s="608"/>
      <c r="DD380" s="1153">
        <f t="shared" si="98"/>
        <v>0</v>
      </c>
      <c r="DE380" s="1154">
        <f t="shared" si="99"/>
        <v>0</v>
      </c>
      <c r="DF380" s="1154">
        <f t="shared" si="100"/>
        <v>-110</v>
      </c>
      <c r="DG380" s="1154">
        <f t="shared" si="101"/>
        <v>-250</v>
      </c>
      <c r="DH380" s="1155" t="str">
        <f t="shared" si="102"/>
        <v>Aub</v>
      </c>
      <c r="DI380" s="1146">
        <f t="shared" si="103"/>
        <v>0</v>
      </c>
      <c r="DJ380" s="1146">
        <f t="shared" si="104"/>
        <v>0</v>
      </c>
      <c r="DK380" s="1154">
        <f t="shared" si="105"/>
        <v>0</v>
      </c>
      <c r="DL380" s="499"/>
      <c r="DM380" s="499"/>
      <c r="DN380" s="499"/>
      <c r="DO380" s="499"/>
      <c r="DP380" s="499"/>
      <c r="DQ380" s="499"/>
      <c r="DR380" s="499"/>
      <c r="DS380" s="499"/>
      <c r="DT380" s="499"/>
      <c r="DU380" s="499"/>
      <c r="DV380" s="499"/>
      <c r="DW380" s="499"/>
      <c r="DX380" s="499"/>
      <c r="DY380" s="499"/>
      <c r="DZ380" s="499"/>
      <c r="EA380" s="499"/>
      <c r="EB380" s="499"/>
      <c r="EC380" s="499"/>
      <c r="ED380" s="499"/>
      <c r="EE380" s="499"/>
      <c r="EF380" s="499"/>
      <c r="EG380" s="1147"/>
      <c r="EH380" s="630">
        <v>0</v>
      </c>
      <c r="EI380" s="642">
        <v>1</v>
      </c>
      <c r="EJ380" s="615">
        <v>3.5</v>
      </c>
      <c r="EK380" s="642">
        <v>6.5</v>
      </c>
      <c r="EL380" s="499"/>
      <c r="EM380" s="499"/>
      <c r="EN380" s="499"/>
      <c r="EO380" s="499"/>
      <c r="EP380" s="499"/>
      <c r="EQ380" s="499"/>
      <c r="ER380" s="499"/>
      <c r="ES380" s="388"/>
      <c r="ET380" s="388"/>
      <c r="EV380" s="1167">
        <f t="shared" si="94"/>
        <v>17.016999999999999</v>
      </c>
    </row>
    <row r="381" spans="1:152" s="350" customFormat="1" ht="15" x14ac:dyDescent="0.25">
      <c r="A381" s="632" t="s">
        <v>3</v>
      </c>
      <c r="B381" s="662">
        <v>43107</v>
      </c>
      <c r="C381" s="1132" t="s">
        <v>904</v>
      </c>
      <c r="D381" s="386"/>
      <c r="E381" s="636"/>
      <c r="F381" s="636"/>
      <c r="G381" s="636"/>
      <c r="H381" s="386"/>
      <c r="I381" s="386"/>
      <c r="J381" s="386"/>
      <c r="K381" s="386"/>
      <c r="L381" s="610"/>
      <c r="M381" s="386"/>
      <c r="N381" s="386"/>
      <c r="O381" s="386"/>
      <c r="P381" s="386"/>
      <c r="Q381" s="386"/>
      <c r="R381" s="386"/>
      <c r="S381" s="386"/>
      <c r="T381" s="386"/>
      <c r="U381" s="386"/>
      <c r="V381" s="387"/>
      <c r="W381" s="783"/>
      <c r="X381" s="369"/>
      <c r="Y381" s="367"/>
      <c r="Z381" s="636"/>
      <c r="AA381" s="636"/>
      <c r="AB381" s="636"/>
      <c r="AC381" s="1160">
        <f t="shared" si="95"/>
        <v>0</v>
      </c>
      <c r="AD381" s="1160">
        <f t="shared" si="96"/>
        <v>0</v>
      </c>
      <c r="AE381" s="1160">
        <f t="shared" si="97"/>
        <v>0</v>
      </c>
      <c r="AF381" s="656"/>
      <c r="AG381" s="1160">
        <f t="shared" si="93"/>
        <v>0</v>
      </c>
      <c r="AH381" s="656"/>
      <c r="AI381" s="656"/>
      <c r="AJ381" s="388"/>
      <c r="AK381" s="388"/>
      <c r="AL381" s="388"/>
      <c r="AM381" s="388"/>
      <c r="AN381" s="388"/>
      <c r="AO381" s="370"/>
      <c r="AP381" s="370"/>
      <c r="AQ381" s="386"/>
      <c r="AR381" s="551"/>
      <c r="AS381" s="386"/>
      <c r="AT381" s="386"/>
      <c r="AU381" s="386"/>
      <c r="AV381" s="636"/>
      <c r="AW381" s="636"/>
      <c r="AX381" s="386"/>
      <c r="AY381" s="551"/>
      <c r="AZ381" s="551"/>
      <c r="BA381" s="551"/>
      <c r="BB381" s="832"/>
      <c r="BC381" s="386"/>
      <c r="BD381" s="386"/>
      <c r="BE381" s="551"/>
      <c r="BF381" s="386"/>
      <c r="BG381" s="386"/>
      <c r="BH381" s="551"/>
      <c r="BI381" s="386"/>
      <c r="BJ381" s="386"/>
      <c r="BK381" s="386"/>
      <c r="BL381" s="386"/>
      <c r="BM381" s="386"/>
      <c r="BN381" s="386"/>
      <c r="BO381" s="386"/>
      <c r="BP381" s="386"/>
      <c r="BQ381" s="499"/>
      <c r="BR381" s="499"/>
      <c r="BS381" s="499"/>
      <c r="BT381" s="499"/>
      <c r="BU381" s="386"/>
      <c r="BV381" s="386"/>
      <c r="BW381" s="499"/>
      <c r="BX381" s="793"/>
      <c r="BY381" s="499"/>
      <c r="BZ381" s="499"/>
      <c r="CA381" s="499"/>
      <c r="CB381" s="499"/>
      <c r="CC381" s="499"/>
      <c r="CD381" s="499"/>
      <c r="CE381" s="499"/>
      <c r="CF381" s="499"/>
      <c r="CG381" s="499"/>
      <c r="CH381" s="499"/>
      <c r="CI381" s="499"/>
      <c r="CJ381" s="499"/>
      <c r="CK381" s="499"/>
      <c r="CL381" s="499"/>
      <c r="CM381" s="499"/>
      <c r="CN381" s="499"/>
      <c r="CO381" s="499"/>
      <c r="CP381" s="499"/>
      <c r="CQ381" s="499"/>
      <c r="CR381" s="499"/>
      <c r="CS381" s="386"/>
      <c r="CT381" s="386"/>
      <c r="CU381" s="386"/>
      <c r="CV381" s="499"/>
      <c r="CW381" s="499"/>
      <c r="CX381" s="499"/>
      <c r="CY381" s="499"/>
      <c r="CZ381" s="608"/>
      <c r="DA381" s="608"/>
      <c r="DB381" s="608"/>
      <c r="DC381" s="608"/>
      <c r="DD381" s="1153">
        <f t="shared" si="98"/>
        <v>0</v>
      </c>
      <c r="DE381" s="1154">
        <f t="shared" si="99"/>
        <v>0</v>
      </c>
      <c r="DF381" s="1154">
        <f t="shared" si="100"/>
        <v>-110</v>
      </c>
      <c r="DG381" s="1154">
        <f t="shared" si="101"/>
        <v>-250</v>
      </c>
      <c r="DH381" s="1155" t="str">
        <f t="shared" si="102"/>
        <v>Aub</v>
      </c>
      <c r="DI381" s="1146">
        <f t="shared" si="103"/>
        <v>0</v>
      </c>
      <c r="DJ381" s="1146">
        <f t="shared" si="104"/>
        <v>0</v>
      </c>
      <c r="DK381" s="1154">
        <f t="shared" si="105"/>
        <v>0</v>
      </c>
      <c r="DL381" s="499"/>
      <c r="DM381" s="499"/>
      <c r="DN381" s="499"/>
      <c r="DO381" s="499"/>
      <c r="DP381" s="499"/>
      <c r="DQ381" s="499"/>
      <c r="DR381" s="499"/>
      <c r="DS381" s="499"/>
      <c r="DT381" s="499"/>
      <c r="DU381" s="499"/>
      <c r="DV381" s="499"/>
      <c r="DW381" s="499"/>
      <c r="DX381" s="499"/>
      <c r="DY381" s="499"/>
      <c r="DZ381" s="499"/>
      <c r="EA381" s="499"/>
      <c r="EB381" s="499"/>
      <c r="EC381" s="499"/>
      <c r="ED381" s="499"/>
      <c r="EE381" s="499"/>
      <c r="EF381" s="499"/>
      <c r="EG381" s="1147"/>
      <c r="EH381" s="630">
        <v>0</v>
      </c>
      <c r="EI381" s="642">
        <v>1</v>
      </c>
      <c r="EJ381" s="615">
        <v>3.5</v>
      </c>
      <c r="EK381" s="642">
        <v>6.5</v>
      </c>
      <c r="EL381" s="499"/>
      <c r="EM381" s="499"/>
      <c r="EN381" s="499"/>
      <c r="EO381" s="499"/>
      <c r="EP381" s="499"/>
      <c r="EQ381" s="499"/>
      <c r="ER381" s="499"/>
      <c r="ES381" s="388"/>
      <c r="ET381" s="388"/>
      <c r="EV381" s="1167">
        <f t="shared" si="94"/>
        <v>17.016999999999999</v>
      </c>
    </row>
  </sheetData>
  <mergeCells count="2">
    <mergeCell ref="B5:C5"/>
    <mergeCell ref="B6:C6"/>
  </mergeCells>
  <phoneticPr fontId="5" type="noConversion"/>
  <pageMargins left="0.75" right="0.75" top="1" bottom="1" header="0.5" footer="0.5"/>
  <pageSetup paperSize="3" fitToWidth="13" orientation="landscape" r:id="rId1"/>
  <headerFooter alignWithMargins="0"/>
  <colBreaks count="3" manualBreakCount="3">
    <brk id="49" max="38" man="1"/>
    <brk id="56" max="38" man="1"/>
    <brk id="65" max="38"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C75"/>
  <sheetViews>
    <sheetView zoomScale="80" zoomScaleNormal="80" workbookViewId="0">
      <selection activeCell="L9" sqref="L9"/>
    </sheetView>
  </sheetViews>
  <sheetFormatPr defaultColWidth="1.44140625" defaultRowHeight="13.2" x14ac:dyDescent="0.25"/>
  <cols>
    <col min="1" max="1" width="8.6640625" style="52" customWidth="1"/>
    <col min="2" max="2" width="6.33203125" style="52" customWidth="1"/>
    <col min="3" max="3" width="7" style="52" bestFit="1" customWidth="1"/>
    <col min="4" max="4" width="6.33203125" style="52" customWidth="1"/>
    <col min="5" max="5" width="7.33203125" style="244" bestFit="1" customWidth="1"/>
    <col min="6" max="6" width="8.44140625" style="244" customWidth="1"/>
    <col min="7" max="7" width="8.88671875" style="244" bestFit="1" customWidth="1"/>
    <col min="8" max="8" width="8.33203125" style="52" bestFit="1" customWidth="1"/>
    <col min="9" max="9" width="10.44140625" style="52" bestFit="1" customWidth="1"/>
    <col min="10" max="10" width="9.33203125" style="52" bestFit="1" customWidth="1"/>
    <col min="11" max="12" width="10.6640625" style="52" customWidth="1"/>
    <col min="13" max="13" width="10" style="52" bestFit="1" customWidth="1"/>
    <col min="14" max="14" width="11.6640625" style="52" bestFit="1" customWidth="1"/>
    <col min="15" max="15" width="8.88671875" style="52" bestFit="1" customWidth="1"/>
    <col min="16" max="16" width="10.33203125" style="52" bestFit="1" customWidth="1"/>
    <col min="17" max="17" width="9.6640625" style="52" bestFit="1" customWidth="1"/>
    <col min="18" max="18" width="12.109375" style="52" bestFit="1" customWidth="1"/>
    <col min="19" max="19" width="12.88671875" style="52" bestFit="1" customWidth="1"/>
    <col min="20" max="20" width="19" style="52" bestFit="1" customWidth="1"/>
    <col min="21" max="21" width="10.5546875" style="52" customWidth="1"/>
    <col min="22" max="22" width="17.44140625" style="52" customWidth="1"/>
    <col min="23" max="26" width="9.109375" customWidth="1"/>
    <col min="27" max="29" width="9.44140625" style="52" customWidth="1"/>
    <col min="30" max="32" width="1.44140625" style="52"/>
    <col min="33" max="33" width="5.44140625" style="52" customWidth="1"/>
    <col min="34" max="34" width="4" style="52" customWidth="1"/>
    <col min="35" max="47" width="7.44140625" style="52" customWidth="1"/>
    <col min="48" max="16384" width="1.44140625" style="52"/>
  </cols>
  <sheetData>
    <row r="1" spans="1:29" x14ac:dyDescent="0.25">
      <c r="A1" s="244"/>
      <c r="B1" s="244"/>
      <c r="C1" s="244"/>
      <c r="D1" s="1246">
        <v>43070</v>
      </c>
      <c r="E1" s="1246"/>
      <c r="F1" s="244" t="s">
        <v>906</v>
      </c>
      <c r="K1" s="244"/>
      <c r="L1" s="244"/>
      <c r="M1" s="244"/>
      <c r="N1" s="244"/>
      <c r="O1" s="244"/>
      <c r="P1" s="244"/>
      <c r="Q1" s="244"/>
      <c r="R1" s="244"/>
      <c r="S1" s="244"/>
      <c r="T1" s="244"/>
      <c r="U1" s="244"/>
      <c r="V1" s="244"/>
      <c r="AA1" s="244"/>
    </row>
    <row r="2" spans="1:29" ht="17.399999999999999" x14ac:dyDescent="0.3">
      <c r="A2" s="1234" t="s">
        <v>420</v>
      </c>
      <c r="B2" s="1234"/>
      <c r="C2" s="1234"/>
      <c r="D2" s="1234"/>
      <c r="E2" s="1234"/>
      <c r="F2" s="1234"/>
      <c r="G2" s="1234"/>
      <c r="H2" s="1234"/>
      <c r="I2" s="1234"/>
      <c r="J2" s="1234"/>
      <c r="K2" s="1234"/>
      <c r="L2" s="1234"/>
      <c r="M2" s="1234"/>
      <c r="N2" s="1234"/>
      <c r="O2" s="1234"/>
      <c r="P2" s="1234"/>
      <c r="Q2" s="1234"/>
      <c r="R2" s="1234"/>
      <c r="S2" s="241"/>
      <c r="T2" s="241"/>
      <c r="U2" s="241"/>
      <c r="V2" s="241"/>
      <c r="AA2" s="241"/>
      <c r="AB2" s="241"/>
      <c r="AC2" s="241"/>
    </row>
    <row r="3" spans="1:29" ht="20.25" customHeight="1" x14ac:dyDescent="0.35">
      <c r="A3" s="1235" t="str">
        <f>"Monthly Production Report for: "&amp;CHOOSE(MONTH(D1),"January","February","March","April","May","June","July","August","September","October","November","December")&amp;" "&amp;YEAR(D1)</f>
        <v>Monthly Production Report for: December 2017</v>
      </c>
      <c r="B3" s="1235"/>
      <c r="C3" s="1235"/>
      <c r="D3" s="1235"/>
      <c r="E3" s="1235"/>
      <c r="F3" s="1235"/>
      <c r="G3" s="1235"/>
      <c r="H3" s="1235"/>
      <c r="I3" s="1235"/>
      <c r="J3" s="1235"/>
      <c r="K3" s="1235"/>
      <c r="L3" s="1235"/>
      <c r="M3" s="1235"/>
      <c r="N3" s="1235"/>
      <c r="O3" s="1235"/>
      <c r="P3" s="1235"/>
      <c r="Q3" s="1235"/>
      <c r="R3" s="1235"/>
      <c r="S3" s="315"/>
      <c r="T3" s="315"/>
      <c r="U3" s="173"/>
      <c r="V3" s="173"/>
      <c r="AA3" s="173"/>
      <c r="AB3" s="173"/>
      <c r="AC3" s="173"/>
    </row>
    <row r="4" spans="1:29" ht="9" customHeight="1" x14ac:dyDescent="0.3">
      <c r="A4" s="409"/>
      <c r="B4" s="173"/>
      <c r="C4" s="173"/>
      <c r="D4" s="173"/>
      <c r="E4" s="173"/>
      <c r="F4" s="173"/>
      <c r="G4" s="173"/>
      <c r="H4" s="173"/>
      <c r="I4" s="173"/>
      <c r="J4" s="173"/>
      <c r="K4" s="173"/>
      <c r="L4" s="173"/>
      <c r="M4" s="173"/>
      <c r="N4" s="173"/>
      <c r="O4" s="173"/>
      <c r="P4" s="173"/>
      <c r="Q4" s="173"/>
      <c r="R4" s="173"/>
      <c r="S4" s="173"/>
      <c r="T4" s="173"/>
      <c r="U4" s="173"/>
      <c r="V4" s="173"/>
      <c r="AA4" s="173"/>
      <c r="AB4" s="173"/>
      <c r="AC4" s="173"/>
    </row>
    <row r="5" spans="1:29" ht="8.25" customHeight="1" thickBot="1" x14ac:dyDescent="0.35">
      <c r="A5" s="53"/>
      <c r="B5" s="53"/>
      <c r="C5" s="54"/>
      <c r="D5" s="54"/>
      <c r="E5" s="301"/>
      <c r="F5" s="301"/>
      <c r="G5" s="301"/>
      <c r="H5" s="54"/>
      <c r="I5" s="54"/>
      <c r="J5" s="54"/>
      <c r="K5" s="54"/>
      <c r="L5" s="54"/>
      <c r="M5" s="54"/>
      <c r="N5" s="54"/>
      <c r="O5" s="54"/>
      <c r="P5" s="54"/>
      <c r="Q5" s="54"/>
      <c r="R5" s="54"/>
      <c r="U5"/>
      <c r="V5"/>
      <c r="Y5" s="299"/>
      <c r="Z5" s="300"/>
      <c r="AA5" s="300"/>
    </row>
    <row r="6" spans="1:29" ht="18" customHeight="1" thickBot="1" x14ac:dyDescent="0.35">
      <c r="A6" s="313"/>
      <c r="B6" s="314"/>
      <c r="C6" s="1249" t="s">
        <v>398</v>
      </c>
      <c r="D6" s="1250"/>
      <c r="E6" s="1250"/>
      <c r="F6" s="1250"/>
      <c r="G6" s="1251"/>
      <c r="H6" s="1247" t="s">
        <v>625</v>
      </c>
      <c r="I6" s="1252"/>
      <c r="J6" s="1248"/>
      <c r="K6" s="96" t="s">
        <v>624</v>
      </c>
      <c r="L6" s="1253" t="s">
        <v>399</v>
      </c>
      <c r="M6" s="1254"/>
      <c r="N6" s="1254"/>
      <c r="O6" s="1254"/>
      <c r="P6" s="1254"/>
      <c r="Q6" s="1254"/>
      <c r="R6" s="1255"/>
      <c r="S6" s="1247" t="s">
        <v>215</v>
      </c>
      <c r="T6" s="1248"/>
      <c r="U6"/>
      <c r="V6"/>
      <c r="Y6" s="242"/>
      <c r="Z6" s="242"/>
      <c r="AA6" s="242"/>
    </row>
    <row r="7" spans="1:29" ht="15.6" x14ac:dyDescent="0.3">
      <c r="A7" s="245"/>
      <c r="B7" s="303" t="s">
        <v>149</v>
      </c>
      <c r="C7" s="247" t="s">
        <v>422</v>
      </c>
      <c r="D7" s="248" t="s">
        <v>400</v>
      </c>
      <c r="E7" s="248" t="s">
        <v>193</v>
      </c>
      <c r="F7" s="928" t="s">
        <v>151</v>
      </c>
      <c r="G7" s="929" t="s">
        <v>401</v>
      </c>
      <c r="H7" s="308"/>
      <c r="I7" s="303" t="s">
        <v>150</v>
      </c>
      <c r="J7" s="303" t="s">
        <v>402</v>
      </c>
      <c r="K7" s="463" t="s">
        <v>621</v>
      </c>
      <c r="L7" s="308" t="s">
        <v>415</v>
      </c>
      <c r="M7" s="249"/>
      <c r="N7" s="248" t="s">
        <v>514</v>
      </c>
      <c r="O7" s="248" t="s">
        <v>245</v>
      </c>
      <c r="P7" s="248" t="s">
        <v>154</v>
      </c>
      <c r="Q7" s="248" t="s">
        <v>418</v>
      </c>
      <c r="R7" s="246" t="s">
        <v>153</v>
      </c>
      <c r="S7" s="308" t="s">
        <v>209</v>
      </c>
      <c r="T7" s="246" t="s">
        <v>213</v>
      </c>
      <c r="U7"/>
      <c r="V7"/>
      <c r="Y7" s="243"/>
      <c r="Z7" s="243"/>
      <c r="AA7" s="243"/>
    </row>
    <row r="8" spans="1:29" s="549" customFormat="1" x14ac:dyDescent="0.25">
      <c r="A8" s="326" t="s">
        <v>1</v>
      </c>
      <c r="B8" s="304" t="s">
        <v>18</v>
      </c>
      <c r="C8" s="250" t="s">
        <v>18</v>
      </c>
      <c r="D8" s="251" t="s">
        <v>152</v>
      </c>
      <c r="E8" s="251" t="s">
        <v>152</v>
      </c>
      <c r="F8" s="930" t="s">
        <v>67</v>
      </c>
      <c r="G8" s="931" t="s">
        <v>158</v>
      </c>
      <c r="H8" s="309" t="s">
        <v>20</v>
      </c>
      <c r="I8" s="304" t="s">
        <v>155</v>
      </c>
      <c r="J8" s="304" t="s">
        <v>414</v>
      </c>
      <c r="K8" s="464" t="s">
        <v>622</v>
      </c>
      <c r="L8" s="472" t="s">
        <v>404</v>
      </c>
      <c r="M8" s="251" t="s">
        <v>853</v>
      </c>
      <c r="N8" s="251" t="s">
        <v>854</v>
      </c>
      <c r="O8" s="251" t="s">
        <v>417</v>
      </c>
      <c r="P8" s="251" t="s">
        <v>157</v>
      </c>
      <c r="Q8" s="251" t="s">
        <v>404</v>
      </c>
      <c r="R8" s="252" t="s">
        <v>423</v>
      </c>
      <c r="S8" s="309" t="s">
        <v>210</v>
      </c>
      <c r="T8" s="252" t="s">
        <v>214</v>
      </c>
      <c r="U8" s="548"/>
      <c r="V8" s="548"/>
      <c r="W8" s="548"/>
      <c r="X8" s="548"/>
    </row>
    <row r="9" spans="1:29" x14ac:dyDescent="0.25">
      <c r="A9" s="389">
        <f>D1</f>
        <v>43070</v>
      </c>
      <c r="B9" s="253">
        <f>IF(MONTH(A9)=MONTH($D$1),VLOOKUP((A9),Sheet1!$B$8:$HT$524,11,FALSE),0)</f>
        <v>2.0900000000001455</v>
      </c>
      <c r="C9" s="306">
        <f>IF(MONTH(A9)=MONTH($D$1),VLOOKUP(A9,'Calculations II'!$B$8:$IV$434,54,FALSE),0)</f>
        <v>0</v>
      </c>
      <c r="D9" s="255">
        <f>IF(MONTH(A9)=MONTH($D$1),VLOOKUP(A9,Sheet1!$B$8:$HT$524,26,FALSE),0)</f>
        <v>28</v>
      </c>
      <c r="E9" s="56">
        <f>IF(MONTH(A9)=MONTH($D$1),VLOOKUP(A9,Sheet1!$B$8:$HT$524,27,FALSE),0)</f>
        <v>28.4</v>
      </c>
      <c r="F9" s="681">
        <f>C9+D9+E9-P9-Q9</f>
        <v>45.874824191279885</v>
      </c>
      <c r="G9" s="681">
        <f>C9+D9+E9</f>
        <v>56.4</v>
      </c>
      <c r="H9" s="254">
        <f>IF(MONTH(A9)=MONTH($D$1),VLOOKUP(A9,Calculation!$B$8:$JO$503,148,FALSE),0)</f>
        <v>-3.0501201256728061</v>
      </c>
      <c r="I9" s="461">
        <f ca="1">IF(MONTH(A9)=MONTH($D$1),VLOOKUP(A9,'Calculations II'!$B$8:$IV$434,14,FALSE),0)</f>
        <v>1.3376782094476587</v>
      </c>
      <c r="J9" s="461">
        <f ca="1">H9+I9</f>
        <v>-1.7124419162251474</v>
      </c>
      <c r="K9" s="465">
        <f>IF(MONTH(A9)=MONTH($D$1),VLOOKUP(A9,'Calculations II'!$B$8:$IV$434,67,FALSE),0)</f>
        <v>0</v>
      </c>
      <c r="L9" s="473">
        <f>IF(MONTH(A9)=MONTH($D$1),VLOOKUP(A9,Calculation!$B$10:$IC$524,42,FALSE),0)</f>
        <v>17.874824191279888</v>
      </c>
      <c r="M9" s="56">
        <f>IF(MONTH(A9)=MONTH($D$1),VLOOKUP(A9,Sheet1!$B$8:$HT$524,97,FALSE),0)</f>
        <v>14.786</v>
      </c>
      <c r="N9" s="256">
        <f ca="1">IF(AND(D9=0,E9=0),0,C9+D9+J9-K9+L9-M9)</f>
        <v>29.376382275054738</v>
      </c>
      <c r="O9" s="256">
        <f ca="1">M9+N9</f>
        <v>44.162382275054739</v>
      </c>
      <c r="P9" s="56">
        <f>IF(MONTH(A9)=MONTH($D$1),VLOOKUP(A9,Calculation!$B$8:$JO$503,44,FALSE),0)</f>
        <v>0</v>
      </c>
      <c r="Q9" s="255">
        <f>IF(MONTH(A9)=MONTH($D$1),VLOOKUP(A9,Calculation!$B$8:$JO$503,113,FALSE),0)</f>
        <v>10.525175808720114</v>
      </c>
      <c r="R9" s="257">
        <f ca="1">IF(AND(D9=0,E9=0),0,C9+D9+J9-K9+L9+P9+Q9)</f>
        <v>54.687558083774853</v>
      </c>
      <c r="S9" s="332">
        <f>IF(MONTH(A9)=MONTH($D$1),VLOOKUP(A9,Sheet1!$B$8:$HT$524,127,FALSE),0)</f>
        <v>0</v>
      </c>
      <c r="T9" s="310">
        <f>IF(MONTH(A9)=MONTH($D$1),VLOOKUP(A9,Sheet1!$B$8:$HT$524,128,FALSE),0)</f>
        <v>0</v>
      </c>
      <c r="U9"/>
      <c r="V9"/>
      <c r="Y9" s="53"/>
      <c r="Z9" s="53"/>
      <c r="AA9" s="53"/>
    </row>
    <row r="10" spans="1:29" x14ac:dyDescent="0.25">
      <c r="A10" s="389">
        <f>A9+1</f>
        <v>43071</v>
      </c>
      <c r="B10" s="253">
        <f>IF(MONTH(A10)=MONTH($D$1),VLOOKUP((A10),Sheet1!$B$8:$HT$524,11,FALSE),0)</f>
        <v>0</v>
      </c>
      <c r="C10" s="306">
        <f>IF(MONTH(A10)=MONTH($D$1),VLOOKUP(A10,'Calculations II'!$B$8:$IV$434,54,FALSE),0)</f>
        <v>0</v>
      </c>
      <c r="D10" s="255">
        <f>IF(MONTH(A10)=MONTH($D$1),VLOOKUP(A10,Sheet1!$B$8:$HT$524,26,FALSE),0)</f>
        <v>28.1</v>
      </c>
      <c r="E10" s="56">
        <f>IF(MONTH(A10)=MONTH($D$1),VLOOKUP(A10,Sheet1!$B$8:$HT$524,27,FALSE),0)</f>
        <v>25.16</v>
      </c>
      <c r="F10" s="681">
        <f t="shared" ref="F10:F39" si="0">C10+D10+E10-P10-Q10</f>
        <v>42.75921521997622</v>
      </c>
      <c r="G10" s="681">
        <f>C10+D10+E10</f>
        <v>53.260000000000005</v>
      </c>
      <c r="H10" s="254">
        <f>IF(MONTH(A10)=MONTH($D$1),VLOOKUP(A10,Calculation!$B$8:$JO$503,148,FALSE),0)</f>
        <v>1.941165065222636</v>
      </c>
      <c r="I10" s="461">
        <f ca="1">IF(MONTH(A10)=MONTH($D$1),VLOOKUP(A10,'Calculations II'!$B$8:$IV$434,14,FALSE),0)</f>
        <v>0.19541180227212165</v>
      </c>
      <c r="J10" s="461">
        <f t="shared" ref="J10:J39" ca="1" si="1">H10+I10</f>
        <v>2.1365768674947576</v>
      </c>
      <c r="K10" s="465">
        <f>IF(MONTH(A10)=MONTH($D$1),VLOOKUP(A10,'Calculations II'!$B$8:$IV$434,67,FALSE),0)</f>
        <v>0</v>
      </c>
      <c r="L10" s="473">
        <f>IF(MONTH(A10)=MONTH($D$1),VLOOKUP(A10,Calculation!$B$10:$IC$524,42,FALSE),0)</f>
        <v>14.65921521997622</v>
      </c>
      <c r="M10" s="56">
        <f>IF(MONTH(A10)=MONTH($D$1),VLOOKUP(A10,Sheet1!$B$8:$HT$524,97,FALSE),0)</f>
        <v>16.013000000000002</v>
      </c>
      <c r="N10" s="256">
        <f t="shared" ref="N10:N38" ca="1" si="2">IF(AND(D10=0,E10=0),0,C10+D10+J10-K10+L10-M10)</f>
        <v>28.882792087470978</v>
      </c>
      <c r="O10" s="256">
        <f t="shared" ref="O10:O39" ca="1" si="3">M10+N10</f>
        <v>44.89579208747098</v>
      </c>
      <c r="P10" s="56">
        <f>IF(MONTH(A10)=MONTH($D$1),VLOOKUP(A10,Calculation!$B$8:$JO$503,44,FALSE),0)</f>
        <v>0</v>
      </c>
      <c r="Q10" s="255">
        <f>IF(MONTH(A10)=MONTH($D$1),VLOOKUP(A10,Calculation!$B$8:$JO$503,113,FALSE),0)</f>
        <v>10.500784780023784</v>
      </c>
      <c r="R10" s="257">
        <f t="shared" ref="R10:R39" ca="1" si="4">IF(AND(D10=0,E10=0),0,C10+D10+J10-K10+L10+P10+Q10)</f>
        <v>55.396576867494765</v>
      </c>
      <c r="S10" s="332">
        <f>IF(MONTH(A10)=MONTH($D$1),VLOOKUP(A10,Sheet1!$B$8:$HT$524,127,FALSE),0)</f>
        <v>0</v>
      </c>
      <c r="T10" s="310">
        <f>IF(MONTH(A10)=MONTH($D$1),VLOOKUP(A10,Sheet1!$B$8:$HT$524,128,FALSE),0)</f>
        <v>0</v>
      </c>
      <c r="U10"/>
      <c r="V10"/>
      <c r="Y10" s="53"/>
      <c r="Z10" s="53"/>
      <c r="AA10" s="53"/>
    </row>
    <row r="11" spans="1:29" x14ac:dyDescent="0.25">
      <c r="A11" s="389">
        <f t="shared" ref="A11:A39" si="5">A10+1</f>
        <v>43072</v>
      </c>
      <c r="B11" s="253">
        <f>IF(MONTH(A11)=MONTH($D$1),VLOOKUP((A11),Sheet1!$B$8:$HT$524,11,FALSE),0)</f>
        <v>0</v>
      </c>
      <c r="C11" s="306">
        <f>IF(MONTH(A11)=MONTH($D$1),VLOOKUP(A11,'Calculations II'!$B$8:$IV$434,54,FALSE),0)</f>
        <v>0</v>
      </c>
      <c r="D11" s="255">
        <f>IF(MONTH(A11)=MONTH($D$1),VLOOKUP(A11,Sheet1!$B$8:$HT$524,26,FALSE),0)</f>
        <v>27.9</v>
      </c>
      <c r="E11" s="56">
        <f>IF(MONTH(A11)=MONTH($D$1),VLOOKUP(A11,Sheet1!$B$8:$HT$524,27,FALSE),0)</f>
        <v>25.1</v>
      </c>
      <c r="F11" s="681">
        <f t="shared" si="0"/>
        <v>42.553296266878476</v>
      </c>
      <c r="G11" s="681">
        <f t="shared" ref="G11:G38" si="6">C11+D11+E11</f>
        <v>53</v>
      </c>
      <c r="H11" s="254">
        <f>IF(MONTH(A11)=MONTH($D$1),VLOOKUP(A11,Calculation!$B$8:$JO$503,148,FALSE),0)</f>
        <v>4.988682306073688</v>
      </c>
      <c r="I11" s="461">
        <f ca="1">IF(MONTH(A11)=MONTH($D$1),VLOOKUP(A11,'Calculations II'!$B$8:$IV$434,14,FALSE),0)</f>
        <v>-0.5306287918488668</v>
      </c>
      <c r="J11" s="461">
        <f t="shared" ca="1" si="1"/>
        <v>4.4580535142248214</v>
      </c>
      <c r="K11" s="465">
        <f>IF(MONTH(A11)=MONTH($D$1),VLOOKUP(A11,'Calculations II'!$B$8:$IV$434,67,FALSE),0)</f>
        <v>0</v>
      </c>
      <c r="L11" s="473">
        <f>IF(MONTH(A11)=MONTH($D$1),VLOOKUP(A11,Calculation!$B$10:$IC$524,42,FALSE),0)</f>
        <v>14.653296266878476</v>
      </c>
      <c r="M11" s="56">
        <f>IF(MONTH(A11)=MONTH($D$1),VLOOKUP(A11,Sheet1!$B$8:$HT$524,97,FALSE),0)</f>
        <v>16.704000000000001</v>
      </c>
      <c r="N11" s="256">
        <f t="shared" ca="1" si="2"/>
        <v>30.307349781103298</v>
      </c>
      <c r="O11" s="256">
        <f t="shared" ca="1" si="3"/>
        <v>47.011349781103299</v>
      </c>
      <c r="P11" s="56">
        <f>IF(MONTH(A11)=MONTH($D$1),VLOOKUP(A11,Calculation!$B$8:$JO$503,44,FALSE),0)</f>
        <v>0</v>
      </c>
      <c r="Q11" s="255">
        <f>IF(MONTH(A11)=MONTH($D$1),VLOOKUP(A11,Calculation!$B$8:$JO$503,113,FALSE),0)</f>
        <v>10.446703733121527</v>
      </c>
      <c r="R11" s="257">
        <f t="shared" ca="1" si="4"/>
        <v>57.458053514224829</v>
      </c>
      <c r="S11" s="332">
        <f>IF(MONTH(A11)=MONTH($D$1),VLOOKUP(A11,Sheet1!$B$8:$HT$524,127,FALSE),0)</f>
        <v>0</v>
      </c>
      <c r="T11" s="310">
        <f>IF(MONTH(A11)=MONTH($D$1),VLOOKUP(A11,Sheet1!$B$8:$HT$524,128,FALSE),0)</f>
        <v>0</v>
      </c>
      <c r="U11"/>
      <c r="V11"/>
      <c r="Y11" s="55"/>
      <c r="Z11" s="55"/>
      <c r="AA11" s="55"/>
    </row>
    <row r="12" spans="1:29" x14ac:dyDescent="0.25">
      <c r="A12" s="389">
        <f>A11+1</f>
        <v>43073</v>
      </c>
      <c r="B12" s="253">
        <f>IF(MONTH(A12)=MONTH($D$1),VLOOKUP((A12),Sheet1!$B$8:$HT$524,11,FALSE),0)</f>
        <v>11.490000000001601</v>
      </c>
      <c r="C12" s="306">
        <f>IF(MONTH(A12)=MONTH($D$1),VLOOKUP(A12,'Calculations II'!$B$8:$IV$434,54,FALSE),0)</f>
        <v>0</v>
      </c>
      <c r="D12" s="255">
        <f>IF(MONTH(A12)=MONTH($D$1),VLOOKUP(A12,Sheet1!$B$8:$HT$524,26,FALSE),0)</f>
        <v>27.5</v>
      </c>
      <c r="E12" s="56">
        <f>IF(MONTH(A12)=MONTH($D$1),VLOOKUP(A12,Sheet1!$B$8:$HT$524,27,FALSE),0)</f>
        <v>27.2</v>
      </c>
      <c r="F12" s="681">
        <f>C12+D12+E12-P12-Q12</f>
        <v>44.456104758391739</v>
      </c>
      <c r="G12" s="681">
        <f t="shared" si="6"/>
        <v>54.7</v>
      </c>
      <c r="H12" s="254">
        <f>IF(MONTH(A12)=MONTH($D$1),VLOOKUP(A12,Calculation!$B$8:$JO$503,148,FALSE),0)</f>
        <v>-0.13849118317858874</v>
      </c>
      <c r="I12" s="461">
        <f ca="1">IF(MONTH(A12)=MONTH($D$1),VLOOKUP(A12,'Calculations II'!$B$8:$IV$434,14,FALSE),0)</f>
        <v>-0.63831035834025807</v>
      </c>
      <c r="J12" s="461">
        <f t="shared" ca="1" si="1"/>
        <v>-0.77680154151884684</v>
      </c>
      <c r="K12" s="465">
        <f>IF(MONTH(A12)=MONTH($D$1),VLOOKUP(A12,'Calculations II'!$B$8:$IV$434,67,FALSE),0)</f>
        <v>0</v>
      </c>
      <c r="L12" s="473">
        <f>IF(MONTH(A12)=MONTH($D$1),VLOOKUP(A12,Calculation!$B$10:$IC$524,42,FALSE),0)</f>
        <v>16.956104758391735</v>
      </c>
      <c r="M12" s="56">
        <f>IF(MONTH(A12)=MONTH($D$1),VLOOKUP(A12,Sheet1!$B$8:$HT$524,97,FALSE),0)</f>
        <v>14.89</v>
      </c>
      <c r="N12" s="256">
        <f ca="1">IF(AND(D12=0,E12=0),0,C12+D12+J12-K12+L12-M12)</f>
        <v>28.789303216872888</v>
      </c>
      <c r="O12" s="256">
        <f t="shared" ca="1" si="3"/>
        <v>43.679303216872889</v>
      </c>
      <c r="P12" s="56">
        <f>IF(MONTH(A12)=MONTH($D$1),VLOOKUP(A12,Calculation!$B$8:$JO$503,44,FALSE),0)</f>
        <v>0</v>
      </c>
      <c r="Q12" s="255">
        <f>IF(MONTH(A12)=MONTH($D$1),VLOOKUP(A12,Calculation!$B$8:$JO$503,113,FALSE),0)</f>
        <v>10.243895241608262</v>
      </c>
      <c r="R12" s="257">
        <f t="shared" ca="1" si="4"/>
        <v>53.923198458481153</v>
      </c>
      <c r="S12" s="332">
        <f>IF(MONTH(A12)=MONTH($D$1),VLOOKUP(A12,Sheet1!$B$8:$HT$524,127,FALSE),0)</f>
        <v>0</v>
      </c>
      <c r="T12" s="310">
        <f>IF(MONTH(A12)=MONTH($D$1),VLOOKUP(A12,Sheet1!$B$8:$HT$524,128,FALSE),0)</f>
        <v>0</v>
      </c>
      <c r="U12"/>
      <c r="V12"/>
      <c r="Y12" s="56"/>
      <c r="Z12" s="56"/>
      <c r="AA12" s="56"/>
    </row>
    <row r="13" spans="1:29" x14ac:dyDescent="0.25">
      <c r="A13" s="389">
        <f t="shared" si="5"/>
        <v>43074</v>
      </c>
      <c r="B13" s="253">
        <f>IF(MONTH(A13)=MONTH($D$1),VLOOKUP((A13),Sheet1!$B$8:$HT$524,11,FALSE),0)</f>
        <v>43.5</v>
      </c>
      <c r="C13" s="306">
        <f>IF(MONTH(A13)=MONTH($D$1),VLOOKUP(A13,'Calculations II'!$B$8:$IV$434,54,FALSE),0)</f>
        <v>0</v>
      </c>
      <c r="D13" s="255">
        <f>IF(MONTH(A13)=MONTH($D$1),VLOOKUP(A13,Sheet1!$B$8:$HT$524,26,FALSE),0)</f>
        <v>25.69</v>
      </c>
      <c r="E13" s="56">
        <f>IF(MONTH(A13)=MONTH($D$1),VLOOKUP(A13,Sheet1!$B$8:$HT$524,27,FALSE),0)</f>
        <v>30</v>
      </c>
      <c r="F13" s="681">
        <f t="shared" si="0"/>
        <v>45.038404255319151</v>
      </c>
      <c r="G13" s="681">
        <f t="shared" si="6"/>
        <v>55.69</v>
      </c>
      <c r="H13" s="254">
        <f>IF(MONTH(A13)=MONTH($D$1),VLOOKUP(A13,Calculation!$B$8:$JO$503,148,FALSE),0)</f>
        <v>1.8004623036899641</v>
      </c>
      <c r="I13" s="461">
        <f ca="1">IF(MONTH(A13)=MONTH($D$1),VLOOKUP(A13,'Calculations II'!$B$8:$IV$434,14,FALSE),0)</f>
        <v>-0.70012432920092427</v>
      </c>
      <c r="J13" s="461">
        <f t="shared" ca="1" si="1"/>
        <v>1.1003379744890398</v>
      </c>
      <c r="K13" s="465">
        <f>IF(MONTH(A13)=MONTH($D$1),VLOOKUP(A13,'Calculations II'!$B$8:$IV$434,67,FALSE),0)</f>
        <v>0</v>
      </c>
      <c r="L13" s="473">
        <f>IF(MONTH(A13)=MONTH($D$1),VLOOKUP(A13,Calculation!$B$10:$IC$524,42,FALSE),0)</f>
        <v>19.348404255319149</v>
      </c>
      <c r="M13" s="56">
        <f>IF(MONTH(A13)=MONTH($D$1),VLOOKUP(A13,Sheet1!$B$8:$HT$524,97,FALSE),0)</f>
        <v>14.968</v>
      </c>
      <c r="N13" s="256">
        <f t="shared" ca="1" si="2"/>
        <v>31.170742229808187</v>
      </c>
      <c r="O13" s="256">
        <f t="shared" ca="1" si="3"/>
        <v>46.138742229808187</v>
      </c>
      <c r="P13" s="56">
        <f>IF(MONTH(A13)=MONTH($D$1),VLOOKUP(A13,Calculation!$B$8:$JO$503,44,FALSE),0)</f>
        <v>0</v>
      </c>
      <c r="Q13" s="255">
        <f>IF(MONTH(A13)=MONTH($D$1),VLOOKUP(A13,Calculation!$B$8:$JO$503,113,FALSE),0)</f>
        <v>10.651595744680851</v>
      </c>
      <c r="R13" s="257">
        <f t="shared" ca="1" si="4"/>
        <v>56.790337974489034</v>
      </c>
      <c r="S13" s="332">
        <f>IF(MONTH(A13)=MONTH($D$1),VLOOKUP(A13,Sheet1!$B$8:$HT$524,127,FALSE),0)</f>
        <v>0</v>
      </c>
      <c r="T13" s="310">
        <f>IF(MONTH(A13)=MONTH($D$1),VLOOKUP(A13,Sheet1!$B$8:$HT$524,128,FALSE),0)</f>
        <v>0</v>
      </c>
      <c r="U13"/>
      <c r="V13"/>
      <c r="Y13" s="56"/>
      <c r="Z13" s="56"/>
      <c r="AA13" s="56"/>
    </row>
    <row r="14" spans="1:29" x14ac:dyDescent="0.25">
      <c r="A14" s="389">
        <f t="shared" si="5"/>
        <v>43075</v>
      </c>
      <c r="B14" s="253">
        <f>IF(MONTH(A14)=MONTH($D$1),VLOOKUP((A14),Sheet1!$B$8:$HT$524,11,FALSE),0)</f>
        <v>45.470000000001164</v>
      </c>
      <c r="C14" s="306">
        <f>IF(MONTH(A14)=MONTH($D$1),VLOOKUP(A14,'Calculations II'!$B$8:$IV$434,54,FALSE),0)</f>
        <v>0</v>
      </c>
      <c r="D14" s="255">
        <f>IF(MONTH(A14)=MONTH($D$1),VLOOKUP(A14,Sheet1!$B$8:$HT$524,26,FALSE),0)</f>
        <v>23.3</v>
      </c>
      <c r="E14" s="56">
        <f>IF(MONTH(A14)=MONTH($D$1),VLOOKUP(A14,Sheet1!$B$8:$HT$524,27,FALSE),0)</f>
        <v>32.07</v>
      </c>
      <c r="F14" s="681">
        <f t="shared" si="0"/>
        <v>44.743136462542751</v>
      </c>
      <c r="G14" s="681">
        <f t="shared" si="6"/>
        <v>55.370000000000005</v>
      </c>
      <c r="H14" s="254">
        <f>IF(MONTH(A14)=MONTH($D$1),VLOOKUP(A14,Calculation!$B$8:$JO$503,148,FALSE),0)</f>
        <v>1.1077244184325747</v>
      </c>
      <c r="I14" s="461">
        <f ca="1">IF(MONTH(A14)=MONTH($D$1),VLOOKUP(A14,'Calculations II'!$B$8:$IV$434,14,FALSE),0)</f>
        <v>0.22189138417728377</v>
      </c>
      <c r="J14" s="461">
        <f t="shared" ca="1" si="1"/>
        <v>1.3296158026098586</v>
      </c>
      <c r="K14" s="465">
        <f>IF(MONTH(A14)=MONTH($D$1),VLOOKUP(A14,'Calculations II'!$B$8:$IV$434,67,FALSE),0)</f>
        <v>0</v>
      </c>
      <c r="L14" s="473">
        <f>IF(MONTH(A14)=MONTH($D$1),VLOOKUP(A14,Calculation!$B$10:$IC$524,42,FALSE),0)</f>
        <v>21.443136462542743</v>
      </c>
      <c r="M14" s="56">
        <f>IF(MONTH(A14)=MONTH($D$1),VLOOKUP(A14,Sheet1!$B$8:$HT$524,97,FALSE),0)</f>
        <v>14.551</v>
      </c>
      <c r="N14" s="256">
        <f ca="1">IF(AND(D14=0,E14=0),0,C14+D14+J14-K14+L14-M14)</f>
        <v>31.5217522651526</v>
      </c>
      <c r="O14" s="256">
        <f ca="1">M14+N14</f>
        <v>46.072752265152602</v>
      </c>
      <c r="P14" s="56">
        <f>IF(MONTH(A14)=MONTH($D$1),VLOOKUP(A14,Calculation!$B$8:$JO$503,44,FALSE),0)</f>
        <v>0</v>
      </c>
      <c r="Q14" s="255">
        <f>IF(MONTH(A14)=MONTH($D$1),VLOOKUP(A14,Calculation!$B$8:$JO$503,113,FALSE),0)</f>
        <v>10.626863537457258</v>
      </c>
      <c r="R14" s="257">
        <f t="shared" ca="1" si="4"/>
        <v>56.699615802609856</v>
      </c>
      <c r="S14" s="332">
        <f>IF(MONTH(A14)=MONTH($D$1),VLOOKUP(A14,Sheet1!$B$8:$HT$524,127,FALSE),0)</f>
        <v>0</v>
      </c>
      <c r="T14" s="310">
        <f>IF(MONTH(A14)=MONTH($D$1),VLOOKUP(A14,Sheet1!$B$8:$HT$524,128,FALSE),0)</f>
        <v>0</v>
      </c>
      <c r="U14"/>
      <c r="V14"/>
      <c r="Y14" s="56"/>
      <c r="Z14" s="56"/>
      <c r="AA14" s="56"/>
    </row>
    <row r="15" spans="1:29" ht="12.75" customHeight="1" x14ac:dyDescent="0.25">
      <c r="A15" s="389">
        <f t="shared" si="5"/>
        <v>43076</v>
      </c>
      <c r="B15" s="253">
        <f>IF(MONTH(A15)=MONTH($D$1),VLOOKUP((A15),Sheet1!$B$8:$HT$524,11,FALSE),0)</f>
        <v>18.529999999998836</v>
      </c>
      <c r="C15" s="306">
        <f>IF(MONTH(A15)=MONTH($D$1),VLOOKUP(A15,'Calculations II'!$B$8:$IV$434,54,FALSE),0)</f>
        <v>0</v>
      </c>
      <c r="D15" s="255">
        <f>IF(MONTH(A15)=MONTH($D$1),VLOOKUP(A15,Sheet1!$B$8:$HT$524,26,FALSE),0)</f>
        <v>25.2</v>
      </c>
      <c r="E15" s="56">
        <f>IF(MONTH(A15)=MONTH($D$1),VLOOKUP(A15,Sheet1!$B$8:$HT$524,27,FALSE),0)</f>
        <v>33</v>
      </c>
      <c r="F15" s="681">
        <f t="shared" si="0"/>
        <v>47.75898366606171</v>
      </c>
      <c r="G15" s="681">
        <f t="shared" si="6"/>
        <v>58.2</v>
      </c>
      <c r="H15" s="254">
        <f>IF(MONTH(A15)=MONTH($D$1),VLOOKUP(A15,Calculation!$B$8:$JO$503,148,FALSE),0)</f>
        <v>-0.6922764985519797</v>
      </c>
      <c r="I15" s="461">
        <f ca="1">IF(MONTH(A15)=MONTH($D$1),VLOOKUP(A15,'Calculations II'!$B$8:$IV$434,14,FALSE),0)</f>
        <v>0.74367024597012921</v>
      </c>
      <c r="J15" s="461">
        <f t="shared" ca="1" si="1"/>
        <v>5.1393747418149505E-2</v>
      </c>
      <c r="K15" s="465">
        <f>IF(MONTH(A15)=MONTH($D$1),VLOOKUP(A15,'Calculations II'!$B$8:$IV$434,67,FALSE),0)</f>
        <v>0</v>
      </c>
      <c r="L15" s="473">
        <f>IF(MONTH(A15)=MONTH($D$1),VLOOKUP(A15,Calculation!$B$10:$IC$524,42,FALSE),0)</f>
        <v>22.558983666061707</v>
      </c>
      <c r="M15" s="56">
        <f>IF(MONTH(A15)=MONTH($D$1),VLOOKUP(A15,Sheet1!$B$8:$HT$524,97,FALSE),0)</f>
        <v>16.311</v>
      </c>
      <c r="N15" s="256">
        <f t="shared" ca="1" si="2"/>
        <v>31.499377413479856</v>
      </c>
      <c r="O15" s="256">
        <f t="shared" ca="1" si="3"/>
        <v>47.810377413479856</v>
      </c>
      <c r="P15" s="56">
        <f>IF(MONTH(A15)=MONTH($D$1),VLOOKUP(A15,Calculation!$B$8:$JO$503,44,FALSE),0)</f>
        <v>0</v>
      </c>
      <c r="Q15" s="255">
        <f>IF(MONTH(A15)=MONTH($D$1),VLOOKUP(A15,Calculation!$B$8:$JO$503,113,FALSE),0)</f>
        <v>10.441016333938293</v>
      </c>
      <c r="R15" s="257">
        <f t="shared" ca="1" si="4"/>
        <v>58.251393747418149</v>
      </c>
      <c r="S15" s="332">
        <f>IF(MONTH(A15)=MONTH($D$1),VLOOKUP(A15,Sheet1!$B$8:$HT$524,127,FALSE),0)</f>
        <v>0</v>
      </c>
      <c r="T15" s="310">
        <f>IF(MONTH(A15)=MONTH($D$1),VLOOKUP(A15,Sheet1!$B$8:$HT$524,128,FALSE),0)</f>
        <v>0</v>
      </c>
      <c r="U15"/>
      <c r="V15"/>
      <c r="Y15" s="56"/>
      <c r="Z15" s="56"/>
      <c r="AA15" s="56"/>
    </row>
    <row r="16" spans="1:29" x14ac:dyDescent="0.25">
      <c r="A16" s="389">
        <f t="shared" si="5"/>
        <v>43077</v>
      </c>
      <c r="B16" s="253">
        <f>IF(MONTH(A16)=MONTH($D$1),VLOOKUP((A16),Sheet1!$B$8:$HT$524,11,FALSE),0)</f>
        <v>0</v>
      </c>
      <c r="C16" s="306">
        <f>IF(MONTH(A16)=MONTH($D$1),VLOOKUP(A16,'Calculations II'!$B$8:$IV$434,54,FALSE),0)</f>
        <v>0</v>
      </c>
      <c r="D16" s="255">
        <f>IF(MONTH(A16)=MONTH($D$1),VLOOKUP(A16,Sheet1!$B$8:$HT$524,26,FALSE),0)</f>
        <v>26.6</v>
      </c>
      <c r="E16" s="56">
        <f>IF(MONTH(A16)=MONTH($D$1),VLOOKUP(A16,Sheet1!$B$8:$HT$524,27,FALSE),0)</f>
        <v>33</v>
      </c>
      <c r="F16" s="681">
        <f t="shared" si="0"/>
        <v>49.086371895820719</v>
      </c>
      <c r="G16" s="681">
        <f t="shared" si="6"/>
        <v>59.6</v>
      </c>
      <c r="H16" s="254">
        <f>IF(MONTH(A16)=MONTH($D$1),VLOOKUP(A16,Calculation!$B$8:$JO$503,148,FALSE),0)</f>
        <v>-1.8003918103512004</v>
      </c>
      <c r="I16" s="461">
        <f ca="1">IF(MONTH(A16)=MONTH($D$1),VLOOKUP(A16,'Calculations II'!$B$8:$IV$434,14,FALSE),0)</f>
        <v>2.0264084879180244E-2</v>
      </c>
      <c r="J16" s="461">
        <f t="shared" ca="1" si="1"/>
        <v>-1.7801277254720203</v>
      </c>
      <c r="K16" s="465">
        <f>IF(MONTH(A16)=MONTH($D$1),VLOOKUP(A16,'Calculations II'!$B$8:$IV$434,67,FALSE),0)</f>
        <v>0</v>
      </c>
      <c r="L16" s="473">
        <f>IF(MONTH(A16)=MONTH($D$1),VLOOKUP(A16,Calculation!$B$10:$IC$524,42,FALSE),0)</f>
        <v>22.486371895820717</v>
      </c>
      <c r="M16" s="56">
        <f>IF(MONTH(A16)=MONTH($D$1),VLOOKUP(A16,Sheet1!$B$8:$HT$524,97,FALSE),0)</f>
        <v>16.356999999999999</v>
      </c>
      <c r="N16" s="256">
        <f t="shared" ca="1" si="2"/>
        <v>30.949244170348699</v>
      </c>
      <c r="O16" s="256">
        <f t="shared" ca="1" si="3"/>
        <v>47.306244170348698</v>
      </c>
      <c r="P16" s="56">
        <f>IF(MONTH(A16)=MONTH($D$1),VLOOKUP(A16,Calculation!$B$8:$JO$503,44,FALSE),0)</f>
        <v>0</v>
      </c>
      <c r="Q16" s="255">
        <f>IF(MONTH(A16)=MONTH($D$1),VLOOKUP(A16,Calculation!$B$8:$JO$503,113,FALSE),0)</f>
        <v>10.513628104179286</v>
      </c>
      <c r="R16" s="257">
        <f t="shared" ca="1" si="4"/>
        <v>57.819872274527981</v>
      </c>
      <c r="S16" s="332">
        <f>IF(MONTH(A16)=MONTH($D$1),VLOOKUP(A16,Sheet1!$B$8:$HT$524,127,FALSE),0)</f>
        <v>0</v>
      </c>
      <c r="T16" s="310">
        <f>IF(MONTH(A16)=MONTH($D$1),VLOOKUP(A16,Sheet1!$B$8:$HT$524,128,FALSE),0)</f>
        <v>0</v>
      </c>
      <c r="U16"/>
      <c r="V16"/>
      <c r="Y16" s="56"/>
      <c r="Z16" s="56"/>
      <c r="AA16" s="56"/>
    </row>
    <row r="17" spans="1:27" x14ac:dyDescent="0.25">
      <c r="A17" s="389">
        <f t="shared" si="5"/>
        <v>43078</v>
      </c>
      <c r="B17" s="253">
        <f>IF(MONTH(A17)=MONTH($D$1),VLOOKUP((A17),Sheet1!$B$8:$HT$524,11,FALSE),0)</f>
        <v>0</v>
      </c>
      <c r="C17" s="306">
        <f>IF(MONTH(A17)=MONTH($D$1),VLOOKUP(A17,'Calculations II'!$B$8:$IV$434,54,FALSE),0)</f>
        <v>0</v>
      </c>
      <c r="D17" s="255">
        <f>IF(MONTH(A17)=MONTH($D$1),VLOOKUP(A17,Sheet1!$B$8:$HT$524,26,FALSE),0)</f>
        <v>25.1</v>
      </c>
      <c r="E17" s="56">
        <f>IF(MONTH(A17)=MONTH($D$1),VLOOKUP(A17,Sheet1!$B$8:$HT$524,27,FALSE),0)</f>
        <v>32.9</v>
      </c>
      <c r="F17" s="681">
        <f t="shared" si="0"/>
        <v>47.6</v>
      </c>
      <c r="G17" s="681">
        <f t="shared" si="6"/>
        <v>58</v>
      </c>
      <c r="H17" s="254">
        <f>IF(MONTH(A17)=MONTH($D$1),VLOOKUP(A17,Calculation!$B$8:$JO$503,148,FALSE),0)</f>
        <v>1.1079807460222542</v>
      </c>
      <c r="I17" s="461">
        <f ca="1">IF(MONTH(A17)=MONTH($D$1),VLOOKUP(A17,'Calculations II'!$B$8:$IV$434,14,FALSE),0)</f>
        <v>-0.89787219211176239</v>
      </c>
      <c r="J17" s="461">
        <f t="shared" ca="1" si="1"/>
        <v>0.21010855391049177</v>
      </c>
      <c r="K17" s="465">
        <f>IF(MONTH(A17)=MONTH($D$1),VLOOKUP(A17,'Calculations II'!$B$8:$IV$434,67,FALSE),0)</f>
        <v>0</v>
      </c>
      <c r="L17" s="473">
        <f>IF(MONTH(A17)=MONTH($D$1),VLOOKUP(A17,Calculation!$B$10:$IC$524,42,FALSE),0)</f>
        <v>22.5</v>
      </c>
      <c r="M17" s="56">
        <f>IF(MONTH(A17)=MONTH($D$1),VLOOKUP(A17,Sheet1!$B$8:$HT$524,97,FALSE),0)</f>
        <v>17.018000000000001</v>
      </c>
      <c r="N17" s="256">
        <f t="shared" ca="1" si="2"/>
        <v>30.792108553910495</v>
      </c>
      <c r="O17" s="256">
        <f t="shared" ca="1" si="3"/>
        <v>47.810108553910496</v>
      </c>
      <c r="P17" s="56">
        <f>IF(MONTH(A17)=MONTH($D$1),VLOOKUP(A17,Calculation!$B$8:$JO$503,44,FALSE),0)</f>
        <v>0</v>
      </c>
      <c r="Q17" s="255">
        <f>IF(MONTH(A17)=MONTH($D$1),VLOOKUP(A17,Calculation!$B$8:$JO$503,113,FALSE),0)</f>
        <v>10.399999999999999</v>
      </c>
      <c r="R17" s="257">
        <f ca="1">IF(AND(D17=0,E17=0),0,C17+D17+J17-K17+L17+P17+Q17)</f>
        <v>58.210108553910494</v>
      </c>
      <c r="S17" s="332">
        <f>IF(MONTH(A17)=MONTH($D$1),VLOOKUP(A17,Sheet1!$B$8:$HT$524,127,FALSE),0)</f>
        <v>0</v>
      </c>
      <c r="T17" s="310">
        <f>IF(MONTH(A17)=MONTH($D$1),VLOOKUP(A17,Sheet1!$B$8:$HT$524,128,FALSE),0)</f>
        <v>0</v>
      </c>
      <c r="U17"/>
      <c r="V17"/>
      <c r="Y17" s="56"/>
      <c r="Z17" s="56"/>
      <c r="AA17" s="56"/>
    </row>
    <row r="18" spans="1:27" x14ac:dyDescent="0.25">
      <c r="A18" s="389">
        <f t="shared" si="5"/>
        <v>43079</v>
      </c>
      <c r="B18" s="253">
        <f>IF(MONTH(A18)=MONTH($D$1),VLOOKUP((A18),Sheet1!$B$8:$HT$524,11,FALSE),0)</f>
        <v>0</v>
      </c>
      <c r="C18" s="306">
        <f>IF(MONTH(A18)=MONTH($D$1),VLOOKUP(A18,'Calculations II'!$B$8:$IV$434,54,FALSE),0)</f>
        <v>0</v>
      </c>
      <c r="D18" s="255">
        <f>IF(MONTH(A18)=MONTH($D$1),VLOOKUP(A18,Sheet1!$B$8:$HT$524,26,FALSE),0)</f>
        <v>24.5</v>
      </c>
      <c r="E18" s="56">
        <f>IF(MONTH(A18)=MONTH($D$1),VLOOKUP(A18,Sheet1!$B$8:$HT$524,27,FALSE),0)</f>
        <v>33</v>
      </c>
      <c r="F18" s="681">
        <f t="shared" si="0"/>
        <v>46.968085106382979</v>
      </c>
      <c r="G18" s="681">
        <f t="shared" si="6"/>
        <v>57.5</v>
      </c>
      <c r="H18" s="254">
        <f>IF(MONTH(A18)=MONTH($D$1),VLOOKUP(A18,Calculation!$B$8:$JO$503,148,FALSE),0)</f>
        <v>1.9384728806191309</v>
      </c>
      <c r="I18" s="461">
        <f ca="1">IF(MONTH(A18)=MONTH($D$1),VLOOKUP(A18,'Calculations II'!$B$8:$IV$434,14,FALSE),0)</f>
        <v>-0.56844300045084561</v>
      </c>
      <c r="J18" s="461">
        <f t="shared" ca="1" si="1"/>
        <v>1.3700298801682853</v>
      </c>
      <c r="K18" s="465">
        <f>IF(MONTH(A18)=MONTH($D$1),VLOOKUP(A18,'Calculations II'!$B$8:$IV$434,67,FALSE),0)</f>
        <v>0</v>
      </c>
      <c r="L18" s="473">
        <f>IF(MONTH(A18)=MONTH($D$1),VLOOKUP(A18,Calculation!$B$10:$IC$524,42,FALSE),0)</f>
        <v>22.468085106382979</v>
      </c>
      <c r="M18" s="56">
        <f>IF(MONTH(A18)=MONTH($D$1),VLOOKUP(A18,Sheet1!$B$8:$HT$524,97,FALSE),0)</f>
        <v>16.952999999999999</v>
      </c>
      <c r="N18" s="256">
        <f t="shared" ca="1" si="2"/>
        <v>31.385114986551262</v>
      </c>
      <c r="O18" s="256">
        <f t="shared" ca="1" si="3"/>
        <v>48.338114986551261</v>
      </c>
      <c r="P18" s="56">
        <f>IF(MONTH(A18)=MONTH($D$1),VLOOKUP(A18,Calculation!$B$8:$JO$503,44,FALSE),0)</f>
        <v>0</v>
      </c>
      <c r="Q18" s="255">
        <f>IF(MONTH(A18)=MONTH($D$1),VLOOKUP(A18,Calculation!$B$8:$JO$503,113,FALSE),0)</f>
        <v>10.531914893617021</v>
      </c>
      <c r="R18" s="257">
        <f t="shared" ca="1" si="4"/>
        <v>58.870029880168282</v>
      </c>
      <c r="S18" s="332">
        <f>IF(MONTH(A18)=MONTH($D$1),VLOOKUP(A18,Sheet1!$B$8:$HT$524,127,FALSE),0)</f>
        <v>0</v>
      </c>
      <c r="T18" s="310">
        <f>IF(MONTH(A18)=MONTH($D$1),VLOOKUP(A18,Sheet1!$B$8:$HT$524,128,FALSE),0)</f>
        <v>0</v>
      </c>
      <c r="U18"/>
      <c r="V18"/>
      <c r="Y18" s="56"/>
      <c r="Z18" s="56"/>
      <c r="AA18" s="56"/>
    </row>
    <row r="19" spans="1:27" x14ac:dyDescent="0.25">
      <c r="A19" s="389">
        <f t="shared" si="5"/>
        <v>43080</v>
      </c>
      <c r="B19" s="253">
        <f>IF(MONTH(A19)=MONTH($D$1),VLOOKUP((A19),Sheet1!$B$8:$HT$524,11,FALSE),0)</f>
        <v>0</v>
      </c>
      <c r="C19" s="306">
        <f>IF(MONTH(A19)=MONTH($D$1),VLOOKUP(A19,'Calculations II'!$B$8:$IV$434,54,FALSE),0)</f>
        <v>0</v>
      </c>
      <c r="D19" s="255">
        <f>IF(MONTH(A19)=MONTH($D$1),VLOOKUP(A19,Sheet1!$B$8:$HT$524,26,FALSE),0)</f>
        <v>24.3</v>
      </c>
      <c r="E19" s="56">
        <f>IF(MONTH(A19)=MONTH($D$1),VLOOKUP(A19,Sheet1!$B$8:$HT$524,27,FALSE),0)</f>
        <v>35</v>
      </c>
      <c r="F19" s="681">
        <f t="shared" si="0"/>
        <v>48.8</v>
      </c>
      <c r="G19" s="681">
        <f t="shared" si="6"/>
        <v>59.3</v>
      </c>
      <c r="H19" s="254">
        <f>IF(MONTH(A19)=MONTH($D$1),VLOOKUP(A19,Calculation!$B$8:$JO$503,148,FALSE),0)</f>
        <v>-2.769439214310303</v>
      </c>
      <c r="I19" s="461">
        <f ca="1">IF(MONTH(A19)=MONTH($D$1),VLOOKUP(A19,'Calculations II'!$B$8:$IV$434,14,FALSE),0)</f>
        <v>1.7910230240584086</v>
      </c>
      <c r="J19" s="461">
        <f t="shared" ca="1" si="1"/>
        <v>-0.97841619025189441</v>
      </c>
      <c r="K19" s="465">
        <f>IF(MONTH(A19)=MONTH($D$1),VLOOKUP(A19,'Calculations II'!$B$8:$IV$434,67,FALSE),0)</f>
        <v>0</v>
      </c>
      <c r="L19" s="473">
        <f>IF(MONTH(A19)=MONTH($D$1),VLOOKUP(A19,Calculation!$B$10:$IC$524,42,FALSE),0)</f>
        <v>24.5</v>
      </c>
      <c r="M19" s="56">
        <f>IF(MONTH(A19)=MONTH($D$1),VLOOKUP(A19,Sheet1!$B$8:$HT$524,97,FALSE),0)</f>
        <v>16.062999999999999</v>
      </c>
      <c r="N19" s="256">
        <f t="shared" ca="1" si="2"/>
        <v>31.758583809748107</v>
      </c>
      <c r="O19" s="256">
        <f t="shared" ca="1" si="3"/>
        <v>47.821583809748105</v>
      </c>
      <c r="P19" s="56">
        <f>IF(MONTH(A19)=MONTH($D$1),VLOOKUP(A19,Calculation!$B$8:$JO$503,44,FALSE),0)</f>
        <v>0</v>
      </c>
      <c r="Q19" s="255">
        <f>IF(MONTH(A19)=MONTH($D$1),VLOOKUP(A19,Calculation!$B$8:$JO$503,113,FALSE),0)</f>
        <v>10.5</v>
      </c>
      <c r="R19" s="257">
        <f t="shared" ca="1" si="4"/>
        <v>58.321583809748105</v>
      </c>
      <c r="S19" s="332">
        <f>IF(MONTH(A19)=MONTH($D$1),VLOOKUP(A19,Sheet1!$B$8:$HT$524,127,FALSE),0)</f>
        <v>0</v>
      </c>
      <c r="T19" s="310">
        <f>IF(MONTH(A19)=MONTH($D$1),VLOOKUP(A19,Sheet1!$B$8:$HT$524,128,FALSE),0)</f>
        <v>0</v>
      </c>
      <c r="U19"/>
      <c r="V19"/>
      <c r="Y19" s="56"/>
      <c r="Z19" s="56"/>
      <c r="AA19" s="56"/>
    </row>
    <row r="20" spans="1:27" x14ac:dyDescent="0.25">
      <c r="A20" s="389">
        <f t="shared" si="5"/>
        <v>43081</v>
      </c>
      <c r="B20" s="253">
        <f>IF(MONTH(A20)=MONTH($D$1),VLOOKUP((A20),Sheet1!$B$8:$HT$524,11,FALSE),0)</f>
        <v>0</v>
      </c>
      <c r="C20" s="306">
        <f>IF(MONTH(A20)=MONTH($D$1),VLOOKUP(A20,'Calculations II'!$B$8:$IV$434,54,FALSE),0)</f>
        <v>0</v>
      </c>
      <c r="D20" s="255">
        <f>IF(MONTH(A20)=MONTH($D$1),VLOOKUP(A20,Sheet1!$B$8:$HT$524,26,FALSE),0)</f>
        <v>24.5</v>
      </c>
      <c r="E20" s="56">
        <f>IF(MONTH(A20)=MONTH($D$1),VLOOKUP(A20,Sheet1!$B$8:$HT$524,27,FALSE),0)</f>
        <v>36.1</v>
      </c>
      <c r="F20" s="681">
        <f t="shared" si="0"/>
        <v>50.157356194690266</v>
      </c>
      <c r="G20" s="681">
        <f t="shared" si="6"/>
        <v>60.6</v>
      </c>
      <c r="H20" s="254">
        <f>IF(MONTH(A20)=MONTH($D$1),VLOOKUP(A20,Calculation!$B$8:$JO$503,148,FALSE),0)</f>
        <v>-1.3852002417082598</v>
      </c>
      <c r="I20" s="461">
        <f ca="1">IF(MONTH(A20)=MONTH($D$1),VLOOKUP(A20,'Calculations II'!$B$8:$IV$434,14,FALSE),0)</f>
        <v>0.4561430702290018</v>
      </c>
      <c r="J20" s="461">
        <f t="shared" ca="1" si="1"/>
        <v>-0.92905717147925804</v>
      </c>
      <c r="K20" s="465">
        <f>IF(MONTH(A20)=MONTH($D$1),VLOOKUP(A20,'Calculations II'!$B$8:$IV$434,67,FALSE),0)</f>
        <v>0</v>
      </c>
      <c r="L20" s="473">
        <f>IF(MONTH(A20)=MONTH($D$1),VLOOKUP(A20,Calculation!$B$10:$IC$524,42,FALSE),0)</f>
        <v>25.657356194690269</v>
      </c>
      <c r="M20" s="56">
        <f>IF(MONTH(A20)=MONTH($D$1),VLOOKUP(A20,Sheet1!$B$8:$HT$524,97,FALSE),0)</f>
        <v>16.956</v>
      </c>
      <c r="N20" s="256">
        <f t="shared" ca="1" si="2"/>
        <v>32.272299023211005</v>
      </c>
      <c r="O20" s="256">
        <f t="shared" ca="1" si="3"/>
        <v>49.228299023211008</v>
      </c>
      <c r="P20" s="56">
        <f>IF(MONTH(A20)=MONTH($D$1),VLOOKUP(A20,Calculation!$B$8:$JO$503,44,FALSE),0)</f>
        <v>0</v>
      </c>
      <c r="Q20" s="255">
        <f>IF(MONTH(A20)=MONTH($D$1),VLOOKUP(A20,Calculation!$B$8:$JO$503,113,FALSE),0)</f>
        <v>10.442643805309737</v>
      </c>
      <c r="R20" s="257">
        <f t="shared" ca="1" si="4"/>
        <v>59.670942828520744</v>
      </c>
      <c r="S20" s="332">
        <f>IF(MONTH(A20)=MONTH($D$1),VLOOKUP(A20,Sheet1!$B$8:$HT$524,127,FALSE),0)</f>
        <v>0</v>
      </c>
      <c r="T20" s="310">
        <f>IF(MONTH(A20)=MONTH($D$1),VLOOKUP(A20,Sheet1!$B$8:$HT$524,128,FALSE),0)</f>
        <v>0</v>
      </c>
      <c r="U20"/>
      <c r="V20"/>
      <c r="Y20" s="56"/>
      <c r="Z20" s="56"/>
      <c r="AA20" s="56"/>
    </row>
    <row r="21" spans="1:27" x14ac:dyDescent="0.25">
      <c r="A21" s="389">
        <f t="shared" si="5"/>
        <v>43082</v>
      </c>
      <c r="B21" s="253">
        <f>IF(MONTH(A21)=MONTH($D$1),VLOOKUP((A21),Sheet1!$B$8:$HT$524,11,FALSE),0)</f>
        <v>0</v>
      </c>
      <c r="C21" s="306">
        <f>IF(MONTH(A21)=MONTH($D$1),VLOOKUP(A21,'Calculations II'!$B$8:$IV$434,54,FALSE),0)</f>
        <v>0</v>
      </c>
      <c r="D21" s="255">
        <f>IF(MONTH(A21)=MONTH($D$1),VLOOKUP(A21,Sheet1!$B$8:$HT$524,26,FALSE),0)</f>
        <v>24.4</v>
      </c>
      <c r="E21" s="56">
        <f>IF(MONTH(A21)=MONTH($D$1),VLOOKUP(A21,Sheet1!$B$8:$HT$524,27,FALSE),0)</f>
        <v>30.12</v>
      </c>
      <c r="F21" s="681">
        <f t="shared" si="0"/>
        <v>44.141012909632565</v>
      </c>
      <c r="G21" s="681">
        <f t="shared" si="6"/>
        <v>54.519999999999996</v>
      </c>
      <c r="H21" s="254">
        <f>IF(MONTH(A21)=MONTH($D$1),VLOOKUP(A21,Calculation!$B$8:$JO$503,148,FALSE),0)</f>
        <v>5.677254358236846</v>
      </c>
      <c r="I21" s="461">
        <f ca="1">IF(MONTH(A21)=MONTH($D$1),VLOOKUP(A21,'Calculations II'!$B$8:$IV$434,14,FALSE),0)</f>
        <v>-1.8127341699188193</v>
      </c>
      <c r="J21" s="461">
        <f t="shared" ca="1" si="1"/>
        <v>3.8645201883180267</v>
      </c>
      <c r="K21" s="465">
        <f>IF(MONTH(A21)=MONTH($D$1),VLOOKUP(A21,'Calculations II'!$B$8:$IV$434,67,FALSE),0)</f>
        <v>0</v>
      </c>
      <c r="L21" s="473">
        <f>IF(MONTH(A21)=MONTH($D$1),VLOOKUP(A21,Calculation!$B$10:$IC$524,42,FALSE),0)</f>
        <v>19.741012909632573</v>
      </c>
      <c r="M21" s="56">
        <f>IF(MONTH(A21)=MONTH($D$1),VLOOKUP(A21,Sheet1!$B$8:$HT$524,97,FALSE),0)</f>
        <v>16.03</v>
      </c>
      <c r="N21" s="256">
        <f t="shared" ca="1" si="2"/>
        <v>31.975533097950596</v>
      </c>
      <c r="O21" s="256">
        <f t="shared" ca="1" si="3"/>
        <v>48.005533097950597</v>
      </c>
      <c r="P21" s="56">
        <f>IF(MONTH(A21)=MONTH($D$1),VLOOKUP(A21,Calculation!$B$8:$JO$503,44,FALSE),0)</f>
        <v>0</v>
      </c>
      <c r="Q21" s="255">
        <f>IF(MONTH(A21)=MONTH($D$1),VLOOKUP(A21,Calculation!$B$8:$JO$503,113,FALSE),0)</f>
        <v>10.378987090367428</v>
      </c>
      <c r="R21" s="257">
        <f t="shared" ca="1" si="4"/>
        <v>58.384520188318021</v>
      </c>
      <c r="S21" s="332">
        <f>IF(MONTH(A21)=MONTH($D$1),VLOOKUP(A21,Sheet1!$B$8:$HT$524,127,FALSE),0)</f>
        <v>0</v>
      </c>
      <c r="T21" s="310">
        <f>IF(MONTH(A21)=MONTH($D$1),VLOOKUP(A21,Sheet1!$B$8:$HT$524,128,FALSE),0)</f>
        <v>0</v>
      </c>
      <c r="U21"/>
      <c r="V21"/>
      <c r="Y21" s="56"/>
      <c r="Z21" s="56"/>
      <c r="AA21" s="56"/>
    </row>
    <row r="22" spans="1:27" x14ac:dyDescent="0.25">
      <c r="A22" s="389">
        <f t="shared" si="5"/>
        <v>43083</v>
      </c>
      <c r="B22" s="253">
        <f>IF(MONTH(A22)=MONTH($D$1),VLOOKUP((A22),Sheet1!$B$8:$HT$524,11,FALSE),0)</f>
        <v>0</v>
      </c>
      <c r="C22" s="306">
        <f>IF(MONTH(A22)=MONTH($D$1),VLOOKUP(A22,'Calculations II'!$B$8:$IV$434,54,FALSE),0)</f>
        <v>0</v>
      </c>
      <c r="D22" s="255">
        <f>IF(MONTH(A22)=MONTH($D$1),VLOOKUP(A22,Sheet1!$B$8:$HT$524,26,FALSE),0)</f>
        <v>24.9</v>
      </c>
      <c r="E22" s="56">
        <f>IF(MONTH(A22)=MONTH($D$1),VLOOKUP(A22,Sheet1!$B$8:$HT$524,27,FALSE),0)</f>
        <v>24.68</v>
      </c>
      <c r="F22" s="681">
        <f t="shared" si="0"/>
        <v>39.14229217110573</v>
      </c>
      <c r="G22" s="681">
        <f t="shared" si="6"/>
        <v>49.58</v>
      </c>
      <c r="H22" s="254">
        <f>IF(MONTH(A22)=MONTH($D$1),VLOOKUP(A22,Calculation!$B$8:$JO$503,148,FALSE),0)</f>
        <v>7.469183678771131</v>
      </c>
      <c r="I22" s="461">
        <f ca="1">IF(MONTH(A22)=MONTH($D$1),VLOOKUP(A22,'Calculations II'!$B$8:$IV$434,14,FALSE),0)</f>
        <v>1.9062509540326391</v>
      </c>
      <c r="J22" s="461">
        <f t="shared" ca="1" si="1"/>
        <v>9.3754346328037705</v>
      </c>
      <c r="K22" s="465">
        <f>IF(MONTH(A22)=MONTH($D$1),VLOOKUP(A22,'Calculations II'!$B$8:$IV$434,67,FALSE),0)</f>
        <v>0</v>
      </c>
      <c r="L22" s="473">
        <f>IF(MONTH(A22)=MONTH($D$1),VLOOKUP(A22,Calculation!$B$10:$IC$524,42,FALSE),0)</f>
        <v>14.24229217110573</v>
      </c>
      <c r="M22" s="56">
        <f>IF(MONTH(A22)=MONTH($D$1),VLOOKUP(A22,Sheet1!$B$8:$HT$524,97,FALSE),0)</f>
        <v>16.221</v>
      </c>
      <c r="N22" s="256">
        <f t="shared" ca="1" si="2"/>
        <v>32.296726803909493</v>
      </c>
      <c r="O22" s="256">
        <f t="shared" ca="1" si="3"/>
        <v>48.517726803909497</v>
      </c>
      <c r="P22" s="56">
        <f>IF(MONTH(A22)=MONTH($D$1),VLOOKUP(A22,Calculation!$B$8:$JO$503,44,FALSE),0)</f>
        <v>0</v>
      </c>
      <c r="Q22" s="255">
        <f>IF(MONTH(A22)=MONTH($D$1),VLOOKUP(A22,Calculation!$B$8:$JO$503,113,FALSE),0)</f>
        <v>10.437707828894268</v>
      </c>
      <c r="R22" s="257">
        <f t="shared" ca="1" si="4"/>
        <v>58.955434632803765</v>
      </c>
      <c r="S22" s="332">
        <f>IF(MONTH(A22)=MONTH($D$1),VLOOKUP(A22,Sheet1!$B$8:$HT$524,127,FALSE),0)</f>
        <v>0</v>
      </c>
      <c r="T22" s="310">
        <f>IF(MONTH(A22)=MONTH($D$1),VLOOKUP(A22,Sheet1!$B$8:$HT$524,128,FALSE),0)</f>
        <v>0</v>
      </c>
      <c r="U22"/>
      <c r="V22"/>
      <c r="Y22" s="56"/>
      <c r="Z22" s="56"/>
      <c r="AA22" s="56"/>
    </row>
    <row r="23" spans="1:27" x14ac:dyDescent="0.25">
      <c r="A23" s="389">
        <f t="shared" si="5"/>
        <v>43084</v>
      </c>
      <c r="B23" s="253">
        <f>IF(MONTH(A23)=MONTH($D$1),VLOOKUP((A23),Sheet1!$B$8:$HT$524,11,FALSE),0)</f>
        <v>0</v>
      </c>
      <c r="C23" s="306">
        <f>IF(MONTH(A23)=MONTH($D$1),VLOOKUP(A23,'Calculations II'!$B$8:$IV$434,54,FALSE),0)</f>
        <v>0</v>
      </c>
      <c r="D23" s="255">
        <f>IF(MONTH(A23)=MONTH($D$1),VLOOKUP(A23,Sheet1!$B$8:$HT$524,26,FALSE),0)</f>
        <v>24.22</v>
      </c>
      <c r="E23" s="56">
        <f>IF(MONTH(A23)=MONTH($D$1),VLOOKUP(A23,Sheet1!$B$8:$HT$524,27,FALSE),0)</f>
        <v>35.4</v>
      </c>
      <c r="F23" s="681">
        <f t="shared" si="0"/>
        <v>49.141119592875313</v>
      </c>
      <c r="G23" s="681">
        <f t="shared" si="6"/>
        <v>59.62</v>
      </c>
      <c r="H23" s="254">
        <f>IF(MONTH(A23)=MONTH($D$1),VLOOKUP(A23,Calculation!$B$8:$JO$503,148,FALSE),0)</f>
        <v>-1.3824777225071863</v>
      </c>
      <c r="I23" s="461">
        <f ca="1">IF(MONTH(A23)=MONTH($D$1),VLOOKUP(A23,'Calculations II'!$B$8:$IV$434,14,FALSE),0)</f>
        <v>-1.430267998706291</v>
      </c>
      <c r="J23" s="461">
        <f t="shared" ca="1" si="1"/>
        <v>-2.812745721213477</v>
      </c>
      <c r="K23" s="465">
        <f>IF(MONTH(A23)=MONTH($D$1),VLOOKUP(A23,'Calculations II'!$B$8:$IV$434,67,FALSE),0)</f>
        <v>0</v>
      </c>
      <c r="L23" s="473">
        <f>IF(MONTH(A23)=MONTH($D$1),VLOOKUP(A23,Calculation!$B$10:$IC$524,42,FALSE),0)</f>
        <v>24.921119592875318</v>
      </c>
      <c r="M23" s="56">
        <f>IF(MONTH(A23)=MONTH($D$1),VLOOKUP(A23,Sheet1!$B$8:$HT$524,97,FALSE),0)</f>
        <v>15.840999999999999</v>
      </c>
      <c r="N23" s="256">
        <f t="shared" ca="1" si="2"/>
        <v>30.487373871661838</v>
      </c>
      <c r="O23" s="256">
        <f t="shared" ca="1" si="3"/>
        <v>46.328373871661839</v>
      </c>
      <c r="P23" s="56">
        <f>IF(MONTH(A23)=MONTH($D$1),VLOOKUP(A23,Calculation!$B$8:$JO$503,44,FALSE),0)</f>
        <v>0</v>
      </c>
      <c r="Q23" s="255">
        <f>IF(MONTH(A23)=MONTH($D$1),VLOOKUP(A23,Calculation!$B$8:$JO$503,113,FALSE),0)</f>
        <v>10.478880407124683</v>
      </c>
      <c r="R23" s="257">
        <f t="shared" ca="1" si="4"/>
        <v>56.807254278786523</v>
      </c>
      <c r="S23" s="332">
        <f>IF(MONTH(A23)=MONTH($D$1),VLOOKUP(A23,Sheet1!$B$8:$HT$524,127,FALSE),0)</f>
        <v>0</v>
      </c>
      <c r="T23" s="310">
        <f>IF(MONTH(A23)=MONTH($D$1),VLOOKUP(A23,Sheet1!$B$8:$HT$524,128,FALSE),0)</f>
        <v>0</v>
      </c>
      <c r="U23"/>
      <c r="V23"/>
      <c r="Y23" s="56"/>
      <c r="Z23" s="56"/>
      <c r="AA23" s="56"/>
    </row>
    <row r="24" spans="1:27" ht="12" customHeight="1" x14ac:dyDescent="0.25">
      <c r="A24" s="389">
        <f t="shared" si="5"/>
        <v>43085</v>
      </c>
      <c r="B24" s="253">
        <f>IF(MONTH(A24)=MONTH($D$1),VLOOKUP((A24),Sheet1!$B$8:$HT$524,11,FALSE),0)</f>
        <v>0</v>
      </c>
      <c r="C24" s="306">
        <f>IF(MONTH(A24)=MONTH($D$1),VLOOKUP(A24,'Calculations II'!$B$8:$IV$434,54,FALSE),0)</f>
        <v>0</v>
      </c>
      <c r="D24" s="255">
        <f>IF(MONTH(A24)=MONTH($D$1),VLOOKUP(A24,Sheet1!$B$8:$HT$524,26,FALSE),0)</f>
        <v>24.18</v>
      </c>
      <c r="E24" s="56">
        <f>IF(MONTH(A24)=MONTH($D$1),VLOOKUP(A24,Sheet1!$B$8:$HT$524,27,FALSE),0)</f>
        <v>35.9</v>
      </c>
      <c r="F24" s="681">
        <f t="shared" si="0"/>
        <v>49.630375312760634</v>
      </c>
      <c r="G24" s="681">
        <f t="shared" si="6"/>
        <v>60.08</v>
      </c>
      <c r="H24" s="254">
        <f>IF(MONTH(A24)=MONTH($D$1),VLOOKUP(A24,Calculation!$B$8:$JO$503,148,FALSE),0)</f>
        <v>-3.180883399897378</v>
      </c>
      <c r="I24" s="461">
        <f ca="1">IF(MONTH(A24)=MONTH($D$1),VLOOKUP(A24,'Calculations II'!$B$8:$IV$434,14,FALSE),0)</f>
        <v>1.1813975167582298</v>
      </c>
      <c r="J24" s="461">
        <f t="shared" ca="1" si="1"/>
        <v>-1.9994858831391482</v>
      </c>
      <c r="K24" s="465">
        <f>IF(MONTH(A24)=MONTH($D$1),VLOOKUP(A24,'Calculations II'!$B$8:$IV$434,67,FALSE),0)</f>
        <v>0</v>
      </c>
      <c r="L24" s="473">
        <f>IF(MONTH(A24)=MONTH($D$1),VLOOKUP(A24,Calculation!$B$10:$IC$524,42,FALSE),0)</f>
        <v>25.450375312760634</v>
      </c>
      <c r="M24" s="56">
        <f>IF(MONTH(A24)=MONTH($D$1),VLOOKUP(A24,Sheet1!$B$8:$HT$524,97,FALSE),0)</f>
        <v>16.288</v>
      </c>
      <c r="N24" s="256">
        <f t="shared" ca="1" si="2"/>
        <v>31.34288942962149</v>
      </c>
      <c r="O24" s="256">
        <f t="shared" ca="1" si="3"/>
        <v>47.63088942962149</v>
      </c>
      <c r="P24" s="56">
        <f>IF(MONTH(A24)=MONTH($D$1),VLOOKUP(A24,Calculation!$B$8:$JO$503,44,FALSE),0)</f>
        <v>0</v>
      </c>
      <c r="Q24" s="255">
        <f>IF(MONTH(A24)=MONTH($D$1),VLOOKUP(A24,Calculation!$B$8:$JO$503,113,FALSE),0)</f>
        <v>10.449624687239368</v>
      </c>
      <c r="R24" s="257">
        <f t="shared" ca="1" si="4"/>
        <v>58.080514116860854</v>
      </c>
      <c r="S24" s="332">
        <f>IF(MONTH(A24)=MONTH($D$1),VLOOKUP(A24,Sheet1!$B$8:$HT$524,127,FALSE),0)</f>
        <v>0</v>
      </c>
      <c r="T24" s="310">
        <f>IF(MONTH(A24)=MONTH($D$1),VLOOKUP(A24,Sheet1!$B$8:$HT$524,128,FALSE),0)</f>
        <v>0</v>
      </c>
      <c r="U24"/>
      <c r="V24"/>
      <c r="Y24" s="56"/>
      <c r="Z24" s="56"/>
      <c r="AA24" s="56"/>
    </row>
    <row r="25" spans="1:27" x14ac:dyDescent="0.25">
      <c r="A25" s="389">
        <f t="shared" si="5"/>
        <v>43086</v>
      </c>
      <c r="B25" s="253">
        <f>IF(MONTH(A25)=MONTH($D$1),VLOOKUP((A25),Sheet1!$B$8:$HT$524,11,FALSE),0)</f>
        <v>0</v>
      </c>
      <c r="C25" s="306">
        <f>IF(MONTH(A25)=MONTH($D$1),VLOOKUP(A25,'Calculations II'!$B$8:$IV$434,54,FALSE),0)</f>
        <v>0</v>
      </c>
      <c r="D25" s="255">
        <f>IF(MONTH(A25)=MONTH($D$1),VLOOKUP(A25,Sheet1!$B$8:$HT$524,26,FALSE),0)</f>
        <v>24.3</v>
      </c>
      <c r="E25" s="56">
        <f>IF(MONTH(A25)=MONTH($D$1),VLOOKUP(A25,Sheet1!$B$8:$HT$524,27,FALSE),0)</f>
        <v>35.9</v>
      </c>
      <c r="F25" s="681">
        <f t="shared" si="0"/>
        <v>49.764534075104315</v>
      </c>
      <c r="G25" s="681">
        <f t="shared" si="6"/>
        <v>60.2</v>
      </c>
      <c r="H25" s="254">
        <f>IF(MONTH(A25)=MONTH($D$1),VLOOKUP(A25,Calculation!$B$8:$JO$503,148,FALSE),0)</f>
        <v>-2.6290195928659514</v>
      </c>
      <c r="I25" s="461">
        <f ca="1">IF(MONTH(A25)=MONTH($D$1),VLOOKUP(A25,'Calculations II'!$B$8:$IV$434,14,FALSE),0)</f>
        <v>-0.46920571531141136</v>
      </c>
      <c r="J25" s="461">
        <f t="shared" ca="1" si="1"/>
        <v>-3.098225308177363</v>
      </c>
      <c r="K25" s="465">
        <f>IF(MONTH(A25)=MONTH($D$1),VLOOKUP(A25,'Calculations II'!$B$8:$IV$434,67,FALSE),0)</f>
        <v>0</v>
      </c>
      <c r="L25" s="473">
        <f>IF(MONTH(A25)=MONTH($D$1),VLOOKUP(A25,Calculation!$B$10:$IC$524,42,FALSE),0)</f>
        <v>25.464534075104307</v>
      </c>
      <c r="M25" s="56">
        <f>IF(MONTH(A25)=MONTH($D$1),VLOOKUP(A25,Sheet1!$B$8:$HT$524,97,FALSE),0)</f>
        <v>15.692</v>
      </c>
      <c r="N25" s="256">
        <f t="shared" ca="1" si="2"/>
        <v>30.974308766926946</v>
      </c>
      <c r="O25" s="256">
        <f t="shared" ca="1" si="3"/>
        <v>46.666308766926946</v>
      </c>
      <c r="P25" s="56">
        <f>IF(MONTH(A25)=MONTH($D$1),VLOOKUP(A25,Calculation!$B$8:$JO$503,44,FALSE),0)</f>
        <v>0</v>
      </c>
      <c r="Q25" s="255">
        <f>IF(MONTH(A25)=MONTH($D$1),VLOOKUP(A25,Calculation!$B$8:$JO$503,113,FALSE),0)</f>
        <v>10.435465924895688</v>
      </c>
      <c r="R25" s="257">
        <f t="shared" ca="1" si="4"/>
        <v>57.101774691822634</v>
      </c>
      <c r="S25" s="332">
        <f>IF(MONTH(A25)=MONTH($D$1),VLOOKUP(A25,Sheet1!$B$8:$HT$524,127,FALSE),0)</f>
        <v>0</v>
      </c>
      <c r="T25" s="310">
        <f>IF(MONTH(A25)=MONTH($D$1),VLOOKUP(A25,Sheet1!$B$8:$HT$524,128,FALSE),0)</f>
        <v>0</v>
      </c>
      <c r="U25"/>
      <c r="V25"/>
      <c r="Y25" s="56"/>
      <c r="Z25" s="56"/>
      <c r="AA25" s="56"/>
    </row>
    <row r="26" spans="1:27" x14ac:dyDescent="0.25">
      <c r="A26" s="389">
        <f t="shared" si="5"/>
        <v>43087</v>
      </c>
      <c r="B26" s="253">
        <f>IF(MONTH(A26)=MONTH($D$1),VLOOKUP((A26),Sheet1!$B$8:$HT$524,11,FALSE),0)</f>
        <v>9.0999999999985448</v>
      </c>
      <c r="C26" s="306">
        <f>IF(MONTH(A26)=MONTH($D$1),VLOOKUP(A26,'Calculations II'!$B$8:$IV$434,54,FALSE),0)</f>
        <v>0</v>
      </c>
      <c r="D26" s="255">
        <f>IF(MONTH(A26)=MONTH($D$1),VLOOKUP(A26,Sheet1!$B$8:$HT$524,26,FALSE),0)</f>
        <v>24.8</v>
      </c>
      <c r="E26" s="56">
        <f>IF(MONTH(A26)=MONTH($D$1),VLOOKUP(A26,Sheet1!$B$8:$HT$524,27,FALSE),0)</f>
        <v>34.5</v>
      </c>
      <c r="F26" s="681">
        <f t="shared" si="0"/>
        <v>48.806958538706866</v>
      </c>
      <c r="G26" s="681">
        <f t="shared" si="6"/>
        <v>59.3</v>
      </c>
      <c r="H26" s="254">
        <f>IF(MONTH(A26)=MONTH($D$1),VLOOKUP(A26,Calculation!$B$8:$JO$503,148,FALSE),0)</f>
        <v>-2.0763681909795739</v>
      </c>
      <c r="I26" s="461">
        <f ca="1">IF(MONTH(A26)=MONTH($D$1),VLOOKUP(A26,'Calculations II'!$B$8:$IV$434,14,FALSE),0)</f>
        <v>0.27551401564942474</v>
      </c>
      <c r="J26" s="461">
        <f t="shared" ca="1" si="1"/>
        <v>-1.8008541753301492</v>
      </c>
      <c r="K26" s="465">
        <f>IF(MONTH(A26)=MONTH($D$1),VLOOKUP(A26,'Calculations II'!$B$8:$IV$434,67,FALSE),0)</f>
        <v>0</v>
      </c>
      <c r="L26" s="473">
        <f>IF(MONTH(A26)=MONTH($D$1),VLOOKUP(A26,Calculation!$B$10:$IC$524,42,FALSE),0)</f>
        <v>24.006958538706868</v>
      </c>
      <c r="M26" s="56">
        <f>IF(MONTH(A26)=MONTH($D$1),VLOOKUP(A26,Sheet1!$B$8:$HT$524,97,FALSE),0)</f>
        <v>15.353999999999999</v>
      </c>
      <c r="N26" s="256">
        <f t="shared" ca="1" si="2"/>
        <v>31.652104363376722</v>
      </c>
      <c r="O26" s="256">
        <f t="shared" ca="1" si="3"/>
        <v>47.006104363376721</v>
      </c>
      <c r="P26" s="56">
        <f>IF(MONTH(A26)=MONTH($D$1),VLOOKUP(A26,Calculation!$B$8:$JO$503,44,FALSE),0)</f>
        <v>0</v>
      </c>
      <c r="Q26" s="255">
        <f>IF(MONTH(A26)=MONTH($D$1),VLOOKUP(A26,Calculation!$B$8:$JO$503,113,FALSE),0)</f>
        <v>10.493041461293128</v>
      </c>
      <c r="R26" s="257">
        <f t="shared" ca="1" si="4"/>
        <v>57.499145824669853</v>
      </c>
      <c r="S26" s="332">
        <f>IF(MONTH(A26)=MONTH($D$1),VLOOKUP(A26,Sheet1!$B$8:$HT$524,127,FALSE),0)</f>
        <v>0</v>
      </c>
      <c r="T26" s="310">
        <f>IF(MONTH(A26)=MONTH($D$1),VLOOKUP(A26,Sheet1!$B$8:$HT$524,128,FALSE),0)</f>
        <v>0</v>
      </c>
      <c r="U26"/>
      <c r="V26"/>
      <c r="Y26" s="56"/>
      <c r="Z26" s="56"/>
      <c r="AA26" s="56"/>
    </row>
    <row r="27" spans="1:27" x14ac:dyDescent="0.25">
      <c r="A27" s="389">
        <f t="shared" si="5"/>
        <v>43088</v>
      </c>
      <c r="B27" s="253">
        <f>IF(MONTH(A27)=MONTH($D$1),VLOOKUP((A27),Sheet1!$B$8:$HT$524,11,FALSE),0)</f>
        <v>20.229999999999563</v>
      </c>
      <c r="C27" s="306">
        <f>IF(MONTH(A27)=MONTH($D$1),VLOOKUP(A27,'Calculations II'!$B$8:$IV$434,54,FALSE),0)</f>
        <v>0</v>
      </c>
      <c r="D27" s="255">
        <f>IF(MONTH(A27)=MONTH($D$1),VLOOKUP(A27,Sheet1!$B$8:$HT$524,26,FALSE),0)</f>
        <v>25.3</v>
      </c>
      <c r="E27" s="56">
        <f>IF(MONTH(A27)=MONTH($D$1),VLOOKUP(A27,Sheet1!$B$8:$HT$524,27,FALSE),0)</f>
        <v>34</v>
      </c>
      <c r="F27" s="681">
        <f t="shared" si="0"/>
        <v>48.858426306517906</v>
      </c>
      <c r="G27" s="681">
        <f t="shared" si="6"/>
        <v>59.3</v>
      </c>
      <c r="H27" s="254">
        <f>IF(MONTH(A27)=MONTH($D$1),VLOOKUP(A27,Calculation!$B$8:$JO$503,148,FALSE),0)</f>
        <v>-2.4924888890496266</v>
      </c>
      <c r="I27" s="461">
        <f ca="1">IF(MONTH(A27)=MONTH($D$1),VLOOKUP(A27,'Calculations II'!$B$8:$IV$434,14,FALSE),0)</f>
        <v>0.74439832292915309</v>
      </c>
      <c r="J27" s="461">
        <f t="shared" ca="1" si="1"/>
        <v>-1.7480905661204735</v>
      </c>
      <c r="K27" s="465">
        <f>IF(MONTH(A27)=MONTH($D$1),VLOOKUP(A27,'Calculations II'!$B$8:$IV$434,67,FALSE),0)</f>
        <v>0</v>
      </c>
      <c r="L27" s="473">
        <f>IF(MONTH(A27)=MONTH($D$1),VLOOKUP(A27,Calculation!$B$10:$IC$524,42,FALSE),0)</f>
        <v>23.558426306517909</v>
      </c>
      <c r="M27" s="56">
        <f>IF(MONTH(A27)=MONTH($D$1),VLOOKUP(A27,Sheet1!$B$8:$HT$524,97,FALSE),0)</f>
        <v>16.186</v>
      </c>
      <c r="N27" s="256">
        <f t="shared" ca="1" si="2"/>
        <v>30.924335740397431</v>
      </c>
      <c r="O27" s="256">
        <f t="shared" ca="1" si="3"/>
        <v>47.110335740397431</v>
      </c>
      <c r="P27" s="56">
        <f>IF(MONTH(A27)=MONTH($D$1),VLOOKUP(A27,Calculation!$B$8:$JO$503,44,FALSE),0)</f>
        <v>0</v>
      </c>
      <c r="Q27" s="255">
        <f>IF(MONTH(A27)=MONTH($D$1),VLOOKUP(A27,Calculation!$B$8:$JO$503,113,FALSE),0)</f>
        <v>10.441573693482091</v>
      </c>
      <c r="R27" s="257">
        <f t="shared" ca="1" si="4"/>
        <v>57.551909433879523</v>
      </c>
      <c r="S27" s="332">
        <f>IF(MONTH(A27)=MONTH($D$1),VLOOKUP(A27,Sheet1!$B$8:$HT$524,127,FALSE),0)</f>
        <v>0</v>
      </c>
      <c r="T27" s="310">
        <f>IF(MONTH(A27)=MONTH($D$1),VLOOKUP(A27,Sheet1!$B$8:$HT$524,128,FALSE),0)</f>
        <v>0</v>
      </c>
      <c r="U27"/>
      <c r="V27"/>
      <c r="Y27" s="56"/>
      <c r="Z27" s="56"/>
      <c r="AA27" s="56"/>
    </row>
    <row r="28" spans="1:27" x14ac:dyDescent="0.25">
      <c r="A28" s="389">
        <f t="shared" si="5"/>
        <v>43089</v>
      </c>
      <c r="B28" s="253">
        <f>IF(MONTH(A28)=MONTH($D$1),VLOOKUP((A28),Sheet1!$B$8:$HT$524,11,FALSE),0)</f>
        <v>10.330000000001746</v>
      </c>
      <c r="C28" s="306">
        <f>IF(MONTH(A28)=MONTH($D$1),VLOOKUP(A28,'Calculations II'!$B$8:$IV$434,54,FALSE),0)</f>
        <v>0</v>
      </c>
      <c r="D28" s="255">
        <f>IF(MONTH(A28)=MONTH($D$1),VLOOKUP(A28,Sheet1!$B$8:$HT$524,26,FALSE),0)</f>
        <v>25.2</v>
      </c>
      <c r="E28" s="56">
        <f>IF(MONTH(A28)=MONTH($D$1),VLOOKUP(A28,Sheet1!$B$8:$HT$524,27,FALSE),0)</f>
        <v>33.96</v>
      </c>
      <c r="F28" s="681">
        <f t="shared" si="0"/>
        <v>48.727712264150938</v>
      </c>
      <c r="G28" s="681">
        <f t="shared" si="6"/>
        <v>59.16</v>
      </c>
      <c r="H28" s="254">
        <f>IF(MONTH(A28)=MONTH($D$1),VLOOKUP(A28,Calculation!$B$8:$JO$503,148,FALSE),0)</f>
        <v>1.5233773980201184</v>
      </c>
      <c r="I28" s="461">
        <f ca="1">IF(MONTH(A28)=MONTH($D$1),VLOOKUP(A28,'Calculations II'!$B$8:$IV$434,14,FALSE),0)</f>
        <v>-1.985589819462402</v>
      </c>
      <c r="J28" s="461">
        <f t="shared" ca="1" si="1"/>
        <v>-0.46221242144228358</v>
      </c>
      <c r="K28" s="465">
        <f>IF(MONTH(A28)=MONTH($D$1),VLOOKUP(A28,'Calculations II'!$B$8:$IV$434,67,FALSE),0)</f>
        <v>0</v>
      </c>
      <c r="L28" s="473">
        <f>IF(MONTH(A28)=MONTH($D$1),VLOOKUP(A28,Calculation!$B$10:$IC$524,42,FALSE),0)</f>
        <v>23.527712264150942</v>
      </c>
      <c r="M28" s="56">
        <f>IF(MONTH(A28)=MONTH($D$1),VLOOKUP(A28,Sheet1!$B$8:$HT$524,97,FALSE),0)</f>
        <v>15.59</v>
      </c>
      <c r="N28" s="256">
        <f t="shared" ca="1" si="2"/>
        <v>32.67549984270866</v>
      </c>
      <c r="O28" s="256">
        <f t="shared" ca="1" si="3"/>
        <v>48.265499842708664</v>
      </c>
      <c r="P28" s="56">
        <f>IF(MONTH(A28)=MONTH($D$1),VLOOKUP(A28,Calculation!$B$8:$JO$503,44,FALSE),0)</f>
        <v>0</v>
      </c>
      <c r="Q28" s="255">
        <f>IF(MONTH(A28)=MONTH($D$1),VLOOKUP(A28,Calculation!$B$8:$JO$503,113,FALSE),0)</f>
        <v>10.432287735849055</v>
      </c>
      <c r="R28" s="257">
        <f t="shared" ca="1" si="4"/>
        <v>58.697787578557708</v>
      </c>
      <c r="S28" s="332">
        <f>IF(MONTH(A28)=MONTH($D$1),VLOOKUP(A28,Sheet1!$B$8:$HT$524,127,FALSE),0)</f>
        <v>0</v>
      </c>
      <c r="T28" s="310">
        <f>IF(MONTH(A28)=MONTH($D$1),VLOOKUP(A28,Sheet1!$B$8:$HT$524,128,FALSE),0)</f>
        <v>0</v>
      </c>
      <c r="U28"/>
      <c r="V28"/>
      <c r="Y28" s="56"/>
      <c r="Z28" s="56"/>
      <c r="AA28" s="56"/>
    </row>
    <row r="29" spans="1:27" x14ac:dyDescent="0.25">
      <c r="A29" s="389">
        <f t="shared" si="5"/>
        <v>43090</v>
      </c>
      <c r="B29" s="253">
        <f>IF(MONTH(A29)=MONTH($D$1),VLOOKUP((A29),Sheet1!$B$8:$HT$524,11,FALSE),0)</f>
        <v>1.569999999999709</v>
      </c>
      <c r="C29" s="306">
        <f>IF(MONTH(A29)=MONTH($D$1),VLOOKUP(A29,'Calculations II'!$B$8:$IV$434,54,FALSE),0)</f>
        <v>0</v>
      </c>
      <c r="D29" s="255">
        <f>IF(MONTH(A29)=MONTH($D$1),VLOOKUP(A29,Sheet1!$B$8:$HT$524,26,FALSE),0)</f>
        <v>25.2</v>
      </c>
      <c r="E29" s="56">
        <f>IF(MONTH(A29)=MONTH($D$1),VLOOKUP(A29,Sheet1!$B$8:$HT$524,27,FALSE),0)</f>
        <v>33.94</v>
      </c>
      <c r="F29" s="681">
        <f t="shared" si="0"/>
        <v>48.7</v>
      </c>
      <c r="G29" s="681">
        <f t="shared" si="6"/>
        <v>59.14</v>
      </c>
      <c r="H29" s="254">
        <f>IF(MONTH(A29)=MONTH($D$1),VLOOKUP(A29,Calculation!$B$8:$JO$503,148,FALSE),0)</f>
        <v>-0.55395832895860819</v>
      </c>
      <c r="I29" s="461">
        <f ca="1">IF(MONTH(A29)=MONTH($D$1),VLOOKUP(A29,'Calculations II'!$B$8:$IV$434,14,FALSE),0)</f>
        <v>-0.48155273420774591</v>
      </c>
      <c r="J29" s="461">
        <f t="shared" ca="1" si="1"/>
        <v>-1.035511063166354</v>
      </c>
      <c r="K29" s="465">
        <f>IF(MONTH(A29)=MONTH($D$1),VLOOKUP(A29,'Calculations II'!$B$8:$IV$434,67,FALSE),0)</f>
        <v>0</v>
      </c>
      <c r="L29" s="473">
        <f>IF(MONTH(A29)=MONTH($D$1),VLOOKUP(A29,Calculation!$B$10:$IC$524,42,FALSE),0)</f>
        <v>23.5</v>
      </c>
      <c r="M29" s="56">
        <f>IF(MONTH(A29)=MONTH($D$1),VLOOKUP(A29,Sheet1!$B$8:$HT$524,97,FALSE),0)</f>
        <v>15.474</v>
      </c>
      <c r="N29" s="256">
        <f t="shared" ca="1" si="2"/>
        <v>32.190488936833646</v>
      </c>
      <c r="O29" s="256">
        <f t="shared" ca="1" si="3"/>
        <v>47.664488936833649</v>
      </c>
      <c r="P29" s="56">
        <f>IF(MONTH(A29)=MONTH($D$1),VLOOKUP(A29,Calculation!$B$8:$JO$503,44,FALSE),0)</f>
        <v>0</v>
      </c>
      <c r="Q29" s="255">
        <f>IF(MONTH(A29)=MONTH($D$1),VLOOKUP(A29,Calculation!$B$8:$JO$503,113,FALSE),0)</f>
        <v>10.44</v>
      </c>
      <c r="R29" s="257">
        <f ca="1">IF(AND(D29=0,E29=0),0,C29+D29+J29-K29+L29+P29+Q29)</f>
        <v>58.104488936833647</v>
      </c>
      <c r="S29" s="332">
        <f>IF(MONTH(A29)=MONTH($D$1),VLOOKUP(A29,Sheet1!$B$8:$HT$524,127,FALSE),0)</f>
        <v>0</v>
      </c>
      <c r="T29" s="310">
        <f>IF(MONTH(A29)=MONTH($D$1),VLOOKUP(A29,Sheet1!$B$8:$HT$524,128,FALSE),0)</f>
        <v>0</v>
      </c>
      <c r="U29"/>
      <c r="V29"/>
      <c r="Y29" s="56"/>
      <c r="Z29" s="56"/>
      <c r="AA29" s="56"/>
    </row>
    <row r="30" spans="1:27" x14ac:dyDescent="0.25">
      <c r="A30" s="389">
        <f t="shared" si="5"/>
        <v>43091</v>
      </c>
      <c r="B30" s="253">
        <f>IF(MONTH(A30)=MONTH($D$1),VLOOKUP((A30),Sheet1!$B$8:$HT$524,11,FALSE),0)</f>
        <v>0</v>
      </c>
      <c r="C30" s="306">
        <f>IF(MONTH(A30)=MONTH($D$1),VLOOKUP(A30,'Calculations II'!$B$8:$IV$434,54,FALSE),0)</f>
        <v>0</v>
      </c>
      <c r="D30" s="255">
        <f>IF(MONTH(A30)=MONTH($D$1),VLOOKUP(A30,Sheet1!$B$8:$HT$524,26,FALSE),0)</f>
        <v>25.2</v>
      </c>
      <c r="E30" s="56">
        <f>IF(MONTH(A30)=MONTH($D$1),VLOOKUP(A30,Sheet1!$B$8:$HT$524,27,FALSE),0)</f>
        <v>33.9</v>
      </c>
      <c r="F30" s="681">
        <f t="shared" si="0"/>
        <v>48.623992943251977</v>
      </c>
      <c r="G30" s="681">
        <f>C30+D30+E30</f>
        <v>59.099999999999994</v>
      </c>
      <c r="H30" s="254">
        <f>IF(MONTH(A30)=MONTH($D$1),VLOOKUP(A30,Calculation!$B$8:$JO$503,148,FALSE),0)</f>
        <v>-2.9087891376284585</v>
      </c>
      <c r="I30" s="461">
        <f ca="1">IF(MONTH(A30)=MONTH($D$1),VLOOKUP(A30,'Calculations II'!$B$8:$IV$434,14,FALSE),0)</f>
        <v>0.11189629520985761</v>
      </c>
      <c r="J30" s="461">
        <f t="shared" ca="1" si="1"/>
        <v>-2.7968928424186008</v>
      </c>
      <c r="K30" s="465">
        <f>IF(MONTH(A30)=MONTH($D$1),VLOOKUP(A30,'Calculations II'!$B$8:$IV$434,67,FALSE),0)</f>
        <v>0</v>
      </c>
      <c r="L30" s="473">
        <f>IF(MONTH(A30)=MONTH($D$1),VLOOKUP(A30,Calculation!$B$10:$IC$524,42,FALSE),0)</f>
        <v>23.423992943251985</v>
      </c>
      <c r="M30" s="56">
        <f>IF(MONTH(A30)=MONTH($D$1),VLOOKUP(A30,Sheet1!$B$8:$HT$524,97,FALSE),0)</f>
        <v>15.109</v>
      </c>
      <c r="N30" s="256">
        <f t="shared" ca="1" si="2"/>
        <v>30.718100100833382</v>
      </c>
      <c r="O30" s="256">
        <f t="shared" ca="1" si="3"/>
        <v>45.827100100833384</v>
      </c>
      <c r="P30" s="56">
        <f>IF(MONTH(A30)=MONTH($D$1),VLOOKUP(A30,Calculation!$B$8:$JO$503,44,FALSE),0)</f>
        <v>0</v>
      </c>
      <c r="Q30" s="255">
        <f>IF(MONTH(A30)=MONTH($D$1),VLOOKUP(A30,Calculation!$B$8:$JO$503,113,FALSE),0)</f>
        <v>10.476007056748015</v>
      </c>
      <c r="R30" s="257">
        <f t="shared" ca="1" si="4"/>
        <v>56.303107157581401</v>
      </c>
      <c r="S30" s="332">
        <f>IF(MONTH(A30)=MONTH($D$1),VLOOKUP(A30,Sheet1!$B$8:$HT$524,127,FALSE),0)</f>
        <v>0</v>
      </c>
      <c r="T30" s="310">
        <f>IF(MONTH(A30)=MONTH($D$1),VLOOKUP(A30,Sheet1!$B$8:$HT$524,128,FALSE),0)</f>
        <v>0</v>
      </c>
      <c r="U30"/>
      <c r="V30"/>
      <c r="Y30" s="56"/>
      <c r="Z30" s="56"/>
      <c r="AA30" s="56"/>
    </row>
    <row r="31" spans="1:27" x14ac:dyDescent="0.25">
      <c r="A31" s="389">
        <f t="shared" si="5"/>
        <v>43092</v>
      </c>
      <c r="B31" s="253">
        <f>IF(MONTH(A31)=MONTH($D$1),VLOOKUP((A31),Sheet1!$B$8:$HT$524,11,FALSE),0)</f>
        <v>0</v>
      </c>
      <c r="C31" s="306">
        <f>IF(MONTH(A31)=MONTH($D$1),VLOOKUP(A31,'Calculations II'!$B$8:$IV$434,54,FALSE),0)</f>
        <v>0</v>
      </c>
      <c r="D31" s="255">
        <f>IF(MONTH(A31)=MONTH($D$1),VLOOKUP(A31,Sheet1!$B$8:$HT$524,26,FALSE),0)</f>
        <v>25.2</v>
      </c>
      <c r="E31" s="56">
        <f>IF(MONTH(A31)=MONTH($D$1),VLOOKUP(A31,Sheet1!$B$8:$HT$524,27,FALSE),0)</f>
        <v>30.98</v>
      </c>
      <c r="F31" s="681">
        <f t="shared" si="0"/>
        <v>45.614336226293794</v>
      </c>
      <c r="G31" s="681">
        <f t="shared" si="6"/>
        <v>56.18</v>
      </c>
      <c r="H31" s="254">
        <f>IF(MONTH(A31)=MONTH($D$1),VLOOKUP(A31,Calculation!$B$8:$JO$503,148,FALSE),0)</f>
        <v>1.2468372430165076</v>
      </c>
      <c r="I31" s="461">
        <f ca="1">IF(MONTH(A31)=MONTH($D$1),VLOOKUP(A31,'Calculations II'!$B$8:$IV$434,14,FALSE),0)</f>
        <v>-2.4175946951321053E-2</v>
      </c>
      <c r="J31" s="461">
        <f t="shared" ca="1" si="1"/>
        <v>1.2226612960651866</v>
      </c>
      <c r="K31" s="465">
        <f>IF(MONTH(A31)=MONTH($D$1),VLOOKUP(A31,'Calculations II'!$B$8:$IV$434,67,FALSE),0)</f>
        <v>0</v>
      </c>
      <c r="L31" s="473">
        <f>IF(MONTH(A31)=MONTH($D$1),VLOOKUP(A31,Calculation!$B$10:$IC$524,42,FALSE),0)</f>
        <v>20.414336226293798</v>
      </c>
      <c r="M31" s="56">
        <f>IF(MONTH(A31)=MONTH($D$1),VLOOKUP(A31,Sheet1!$B$8:$HT$524,97,FALSE),0)</f>
        <v>15.262</v>
      </c>
      <c r="N31" s="256">
        <f t="shared" ca="1" si="2"/>
        <v>31.574997522358984</v>
      </c>
      <c r="O31" s="256">
        <f t="shared" ca="1" si="3"/>
        <v>46.836997522358985</v>
      </c>
      <c r="P31" s="56">
        <f>IF(MONTH(A31)=MONTH($D$1),VLOOKUP(A31,Calculation!$B$8:$JO$503,44,FALSE),0)</f>
        <v>0</v>
      </c>
      <c r="Q31" s="255">
        <f>IF(MONTH(A31)=MONTH($D$1),VLOOKUP(A31,Calculation!$B$8:$JO$503,113,FALSE),0)</f>
        <v>10.565663773706204</v>
      </c>
      <c r="R31" s="257">
        <f t="shared" ca="1" si="4"/>
        <v>57.40266129606519</v>
      </c>
      <c r="S31" s="332">
        <f>IF(MONTH(A31)=MONTH($D$1),VLOOKUP(A31,Sheet1!$B$8:$HT$524,127,FALSE),0)</f>
        <v>0</v>
      </c>
      <c r="T31" s="310">
        <f>IF(MONTH(A31)=MONTH($D$1),VLOOKUP(A31,Sheet1!$B$8:$HT$524,128,FALSE),0)</f>
        <v>0</v>
      </c>
      <c r="U31"/>
      <c r="V31"/>
      <c r="Y31" s="56"/>
      <c r="Z31" s="56"/>
      <c r="AA31" s="56"/>
    </row>
    <row r="32" spans="1:27" x14ac:dyDescent="0.25">
      <c r="A32" s="389">
        <f t="shared" si="5"/>
        <v>43093</v>
      </c>
      <c r="B32" s="253">
        <f>IF(MONTH(A32)=MONTH($D$1),VLOOKUP((A32),Sheet1!$B$8:$HT$524,11,FALSE),0)</f>
        <v>0</v>
      </c>
      <c r="C32" s="306">
        <f>IF(MONTH(A32)=MONTH($D$1),VLOOKUP(A32,'Calculations II'!$B$8:$IV$434,54,FALSE),0)</f>
        <v>0</v>
      </c>
      <c r="D32" s="255">
        <f>IF(MONTH(A32)=MONTH($D$1),VLOOKUP(A32,Sheet1!$B$8:$HT$524,26,FALSE),0)</f>
        <v>25.2</v>
      </c>
      <c r="E32" s="56">
        <f>IF(MONTH(A32)=MONTH($D$1),VLOOKUP(A32,Sheet1!$B$8:$HT$524,27,FALSE),0)</f>
        <v>30.1</v>
      </c>
      <c r="F32" s="681">
        <f>C32+D32+E32-P32-Q32</f>
        <v>44.609722222222217</v>
      </c>
      <c r="G32" s="681">
        <f t="shared" si="6"/>
        <v>55.3</v>
      </c>
      <c r="H32" s="254">
        <f>IF(MONTH(A32)=MONTH($D$1),VLOOKUP(A32,Calculation!$B$8:$JO$503,148,FALSE),0)</f>
        <v>1.5234991592416129</v>
      </c>
      <c r="I32" s="461">
        <f ca="1">IF(MONTH(A32)=MONTH($D$1),VLOOKUP(A32,'Calculations II'!$B$8:$IV$434,14,FALSE),0)</f>
        <v>0.10429404829450395</v>
      </c>
      <c r="J32" s="461">
        <f t="shared" ca="1" si="1"/>
        <v>1.6277932075361168</v>
      </c>
      <c r="K32" s="465">
        <f>IF(MONTH(A32)=MONTH($D$1),VLOOKUP(A32,'Calculations II'!$B$8:$IV$434,67,FALSE),0)</f>
        <v>0</v>
      </c>
      <c r="L32" s="473">
        <f>IF(MONTH(A32)=MONTH($D$1),VLOOKUP(A32,Calculation!$B$10:$IC$524,42,FALSE),0)</f>
        <v>19.409722222222221</v>
      </c>
      <c r="M32" s="56">
        <f>IF(MONTH(A32)=MONTH($D$1),VLOOKUP(A32,Sheet1!$B$8:$HT$524,97,FALSE),0)</f>
        <v>15.291</v>
      </c>
      <c r="N32" s="256">
        <f t="shared" ca="1" si="2"/>
        <v>30.946515429758339</v>
      </c>
      <c r="O32" s="256">
        <f t="shared" ca="1" si="3"/>
        <v>46.237515429758339</v>
      </c>
      <c r="P32" s="56">
        <f>IF(MONTH(A32)=MONTH($D$1),VLOOKUP(A32,Calculation!$B$8:$JO$503,44,FALSE),0)</f>
        <v>0</v>
      </c>
      <c r="Q32" s="255">
        <f>IF(MONTH(A32)=MONTH($D$1),VLOOKUP(A32,Calculation!$B$8:$JO$503,113,FALSE),0)</f>
        <v>10.690277777777776</v>
      </c>
      <c r="R32" s="257">
        <f t="shared" ca="1" si="4"/>
        <v>56.927793207536112</v>
      </c>
      <c r="S32" s="332">
        <f>IF(MONTH(A32)=MONTH($D$1),VLOOKUP(A32,Sheet1!$B$8:$HT$524,127,FALSE),0)</f>
        <v>0</v>
      </c>
      <c r="T32" s="310">
        <f>IF(MONTH(A32)=MONTH($D$1),VLOOKUP(A32,Sheet1!$B$8:$HT$524,128,FALSE),0)</f>
        <v>0</v>
      </c>
      <c r="U32"/>
      <c r="V32"/>
      <c r="Y32" s="56"/>
      <c r="Z32" s="56"/>
      <c r="AA32" s="56"/>
    </row>
    <row r="33" spans="1:28" x14ac:dyDescent="0.25">
      <c r="A33" s="389">
        <f t="shared" si="5"/>
        <v>43094</v>
      </c>
      <c r="B33" s="253">
        <f>IF(MONTH(A33)=MONTH($D$1),VLOOKUP((A33),Sheet1!$B$8:$HT$524,11,FALSE),0)</f>
        <v>0</v>
      </c>
      <c r="C33" s="306">
        <f>IF(MONTH(A33)=MONTH($D$1),VLOOKUP(A33,'Calculations II'!$B$8:$IV$434,54,FALSE),0)</f>
        <v>0</v>
      </c>
      <c r="D33" s="255">
        <f>IF(MONTH(A33)=MONTH($D$1),VLOOKUP(A33,Sheet1!$B$8:$HT$524,26,FALSE),0)</f>
        <v>25.2</v>
      </c>
      <c r="E33" s="56">
        <f>IF(MONTH(A33)=MONTH($D$1),VLOOKUP(A33,Sheet1!$B$8:$HT$524,27,FALSE),0)</f>
        <v>31.97</v>
      </c>
      <c r="F33" s="681">
        <f t="shared" si="0"/>
        <v>46.706727158948688</v>
      </c>
      <c r="G33" s="681">
        <f t="shared" si="6"/>
        <v>57.17</v>
      </c>
      <c r="H33" s="254">
        <f>IF(MONTH(A33)=MONTH($D$1),VLOOKUP(A33,Calculation!$B$8:$JO$503,148,FALSE),0)</f>
        <v>-2.631761897241693</v>
      </c>
      <c r="I33" s="461">
        <f ca="1">IF(MONTH(A33)=MONTH($D$1),VLOOKUP(A33,'Calculations II'!$B$8:$IV$434,14,FALSE),0)</f>
        <v>0.78669529688220119</v>
      </c>
      <c r="J33" s="461">
        <f t="shared" ca="1" si="1"/>
        <v>-1.8450666003594918</v>
      </c>
      <c r="K33" s="465">
        <f>IF(MONTH(A33)=MONTH($D$1),VLOOKUP(A33,'Calculations II'!$B$8:$IV$434,67,FALSE),0)</f>
        <v>0</v>
      </c>
      <c r="L33" s="473">
        <f>IF(MONTH(A33)=MONTH($D$1),VLOOKUP(A33,Calculation!$B$10:$IC$524,42,FALSE),0)</f>
        <v>21.506727158948685</v>
      </c>
      <c r="M33" s="56">
        <f>IF(MONTH(A33)=MONTH($D$1),VLOOKUP(A33,Sheet1!$B$8:$HT$524,97,FALSE),0)</f>
        <v>16.067</v>
      </c>
      <c r="N33" s="256">
        <f t="shared" ca="1" si="2"/>
        <v>28.794660558589193</v>
      </c>
      <c r="O33" s="256">
        <f t="shared" ca="1" si="3"/>
        <v>44.861660558589193</v>
      </c>
      <c r="P33" s="56">
        <f>IF(MONTH(A33)=MONTH($D$1),VLOOKUP(A33,Calculation!$B$8:$JO$503,44,FALSE),0)</f>
        <v>0</v>
      </c>
      <c r="Q33" s="255">
        <f>IF(MONTH(A33)=MONTH($D$1),VLOOKUP(A33,Calculation!$B$8:$JO$503,113,FALSE),0)</f>
        <v>10.463272841051314</v>
      </c>
      <c r="R33" s="257">
        <f t="shared" ca="1" si="4"/>
        <v>55.324933399640507</v>
      </c>
      <c r="S33" s="332">
        <f>IF(MONTH(A33)=MONTH($D$1),VLOOKUP(A33,Sheet1!$B$8:$HT$524,127,FALSE),0)</f>
        <v>0</v>
      </c>
      <c r="T33" s="310">
        <f>IF(MONTH(A33)=MONTH($D$1),VLOOKUP(A33,Sheet1!$B$8:$HT$524,128,FALSE),0)</f>
        <v>0</v>
      </c>
      <c r="U33"/>
      <c r="V33"/>
      <c r="Y33" s="56"/>
      <c r="Z33" s="56"/>
      <c r="AA33" s="56"/>
    </row>
    <row r="34" spans="1:28" x14ac:dyDescent="0.25">
      <c r="A34" s="389">
        <f t="shared" si="5"/>
        <v>43095</v>
      </c>
      <c r="B34" s="253">
        <f>IF(MONTH(A34)=MONTH($D$1),VLOOKUP((A34),Sheet1!$B$8:$HT$524,11,FALSE),0)</f>
        <v>0</v>
      </c>
      <c r="C34" s="306">
        <f>IF(MONTH(A34)=MONTH($D$1),VLOOKUP(A34,'Calculations II'!$B$8:$IV$434,54,FALSE),0)</f>
        <v>0</v>
      </c>
      <c r="D34" s="255">
        <f>IF(MONTH(A34)=MONTH($D$1),VLOOKUP(A34,Sheet1!$B$8:$HT$524,26,FALSE),0)</f>
        <v>25.2</v>
      </c>
      <c r="E34" s="56">
        <f>IF(MONTH(A34)=MONTH($D$1),VLOOKUP(A34,Sheet1!$B$8:$HT$524,27,FALSE),0)</f>
        <v>32.6</v>
      </c>
      <c r="F34" s="681">
        <f t="shared" si="0"/>
        <v>47.3592161665646</v>
      </c>
      <c r="G34" s="681">
        <f t="shared" si="6"/>
        <v>57.8</v>
      </c>
      <c r="H34" s="254">
        <f>IF(MONTH(A34)=MONTH($D$1),VLOOKUP(A34,Calculation!$B$8:$JO$503,148,FALSE),0)</f>
        <v>-0.27709773209972677</v>
      </c>
      <c r="I34" s="461">
        <f ca="1">IF(MONTH(A34)=MONTH($D$1),VLOOKUP(A34,'Calculations II'!$B$8:$IV$434,14,FALSE),0)</f>
        <v>6.3829822204746103E-2</v>
      </c>
      <c r="J34" s="461">
        <f t="shared" ca="1" si="1"/>
        <v>-0.21326790989498068</v>
      </c>
      <c r="K34" s="465">
        <f>IF(MONTH(A34)=MONTH($D$1),VLOOKUP(A34,'Calculations II'!$B$8:$IV$434,67,FALSE),0)</f>
        <v>0</v>
      </c>
      <c r="L34" s="473">
        <f>IF(MONTH(A34)=MONTH($D$1),VLOOKUP(A34,Calculation!$B$10:$IC$524,42,FALSE),0)</f>
        <v>22.159216166564608</v>
      </c>
      <c r="M34" s="56">
        <f>IF(MONTH(A34)=MONTH($D$1),VLOOKUP(A34,Sheet1!$B$8:$HT$524,97,FALSE),0)</f>
        <v>15.37</v>
      </c>
      <c r="N34" s="256">
        <f t="shared" ca="1" si="2"/>
        <v>31.775948256669629</v>
      </c>
      <c r="O34" s="256">
        <f t="shared" ca="1" si="3"/>
        <v>47.145948256669627</v>
      </c>
      <c r="P34" s="56">
        <f>IF(MONTH(A34)=MONTH($D$1),VLOOKUP(A34,Calculation!$B$8:$JO$503,44,FALSE),0)</f>
        <v>0</v>
      </c>
      <c r="Q34" s="255">
        <f>IF(MONTH(A34)=MONTH($D$1),VLOOKUP(A34,Calculation!$B$8:$JO$503,113,FALSE),0)</f>
        <v>10.440783833435397</v>
      </c>
      <c r="R34" s="257">
        <f t="shared" ca="1" si="4"/>
        <v>57.586732090105023</v>
      </c>
      <c r="S34" s="332">
        <f>IF(MONTH(A34)=MONTH($D$1),VLOOKUP(A34,Sheet1!$B$8:$HT$524,127,FALSE),0)</f>
        <v>0</v>
      </c>
      <c r="T34" s="310">
        <f>IF(MONTH(A34)=MONTH($D$1),VLOOKUP(A34,Sheet1!$B$8:$HT$524,128,FALSE),0)</f>
        <v>0</v>
      </c>
      <c r="U34"/>
      <c r="V34"/>
      <c r="Y34" s="56"/>
      <c r="Z34" s="56"/>
      <c r="AA34" s="56"/>
    </row>
    <row r="35" spans="1:28" x14ac:dyDescent="0.25">
      <c r="A35" s="389">
        <f t="shared" si="5"/>
        <v>43096</v>
      </c>
      <c r="B35" s="253">
        <f>IF(MONTH(A35)=MONTH($D$1),VLOOKUP((A35),Sheet1!$B$8:$HT$524,11,FALSE),0)</f>
        <v>0</v>
      </c>
      <c r="C35" s="306">
        <f>IF(MONTH(A35)=MONTH($D$1),VLOOKUP(A35,'Calculations II'!$B$8:$IV$434,54,FALSE),0)</f>
        <v>0</v>
      </c>
      <c r="D35" s="255">
        <f>IF(MONTH(A35)=MONTH($D$1),VLOOKUP(A35,Sheet1!$B$8:$HT$524,26,FALSE),0)</f>
        <v>25.2</v>
      </c>
      <c r="E35" s="56">
        <f>IF(MONTH(A35)=MONTH($D$1),VLOOKUP(A35,Sheet1!$B$8:$HT$524,27,FALSE),0)</f>
        <v>33.9</v>
      </c>
      <c r="F35" s="681">
        <f t="shared" si="0"/>
        <v>48.637775816416593</v>
      </c>
      <c r="G35" s="681">
        <f t="shared" si="6"/>
        <v>59.099999999999994</v>
      </c>
      <c r="H35" s="254">
        <f>IF(MONTH(A35)=MONTH($D$1),VLOOKUP(A35,Calculation!$B$8:$JO$503,148,FALSE),0)</f>
        <v>-1.3858091719677188</v>
      </c>
      <c r="I35" s="461">
        <f ca="1">IF(MONTH(A35)=MONTH($D$1),VLOOKUP(A35,'Calculations II'!$B$8:$IV$434,14,FALSE),0)</f>
        <v>0.73509456317776301</v>
      </c>
      <c r="J35" s="461">
        <f t="shared" ca="1" si="1"/>
        <v>-0.6507146087899558</v>
      </c>
      <c r="K35" s="476">
        <f>IF(MONTH(A35)=MONTH($D$1),VLOOKUP(A35,'Calculations II'!$B$8:$IV$434,67,FALSE),0)</f>
        <v>0</v>
      </c>
      <c r="L35" s="473">
        <f>IF(MONTH(A35)=MONTH($D$1),VLOOKUP(A35,Calculation!$B$10:$IC$524,42,FALSE),0)</f>
        <v>23.43777581641659</v>
      </c>
      <c r="M35" s="56">
        <f>IF(MONTH(A35)=MONTH($D$1),VLOOKUP(A35,Sheet1!$B$8:$HT$524,97,FALSE),0)</f>
        <v>15.73</v>
      </c>
      <c r="N35" s="256">
        <f t="shared" ca="1" si="2"/>
        <v>32.257061207626634</v>
      </c>
      <c r="O35" s="256">
        <f t="shared" ca="1" si="3"/>
        <v>47.987061207626638</v>
      </c>
      <c r="P35" s="56">
        <f>IF(MONTH(A35)=MONTH($D$1),VLOOKUP(A35,Calculation!$B$8:$JO$503,44,FALSE),0)</f>
        <v>0</v>
      </c>
      <c r="Q35" s="255">
        <f>IF(MONTH(A35)=MONTH($D$1),VLOOKUP(A35,Calculation!$B$8:$JO$503,113,FALSE),0)</f>
        <v>10.462224183583405</v>
      </c>
      <c r="R35" s="257">
        <f t="shared" ca="1" si="4"/>
        <v>58.44928539121004</v>
      </c>
      <c r="S35" s="332">
        <f>IF(MONTH(A35)=MONTH($D$1),VLOOKUP(A35,Sheet1!$B$8:$HT$524,127,FALSE),0)</f>
        <v>0</v>
      </c>
      <c r="T35" s="310">
        <f>IF(MONTH(A35)=MONTH($D$1),VLOOKUP(A35,Sheet1!$B$8:$HT$524,128,FALSE),0)</f>
        <v>0</v>
      </c>
      <c r="U35"/>
      <c r="V35"/>
      <c r="Y35" s="56"/>
      <c r="Z35" s="56"/>
      <c r="AA35" s="56"/>
    </row>
    <row r="36" spans="1:28" x14ac:dyDescent="0.25">
      <c r="A36" s="389">
        <f t="shared" si="5"/>
        <v>43097</v>
      </c>
      <c r="B36" s="253">
        <f>IF(MONTH(A36)=MONTH($D$1),VLOOKUP((A36),Sheet1!$B$8:$HT$524,11,FALSE),0)</f>
        <v>0</v>
      </c>
      <c r="C36" s="306">
        <f>IF(MONTH(A36)=MONTH($D$1),VLOOKUP(A36,'Calculations II'!$B$8:$IV$434,54,FALSE),0)</f>
        <v>0</v>
      </c>
      <c r="D36" s="255">
        <f>IF(MONTH(A36)=MONTH($D$1),VLOOKUP(A36,Sheet1!$B$8:$HT$524,26,FALSE),0)</f>
        <v>25.3</v>
      </c>
      <c r="E36" s="56">
        <f>IF(MONTH(A36)=MONTH($D$1),VLOOKUP(A36,Sheet1!$B$8:$HT$524,27,FALSE),0)</f>
        <v>32.049999999999997</v>
      </c>
      <c r="F36" s="681">
        <f t="shared" si="0"/>
        <v>46.879800498753113</v>
      </c>
      <c r="G36" s="681">
        <f t="shared" si="6"/>
        <v>57.349999999999994</v>
      </c>
      <c r="H36" s="254">
        <f>IF(MONTH(A36)=MONTH($D$1),VLOOKUP(A36,Calculation!$B$8:$JO$503,148,FALSE),0)</f>
        <v>0.27707850087950003</v>
      </c>
      <c r="I36" s="461">
        <f ca="1">IF(MONTH(A36)=MONTH($D$1),VLOOKUP(A36,'Calculations II'!$B$8:$IV$434,14,FALSE),0)</f>
        <v>-0.13821077672192705</v>
      </c>
      <c r="J36" s="461">
        <f t="shared" ca="1" si="1"/>
        <v>0.13886772415757298</v>
      </c>
      <c r="K36" s="476">
        <f>IF(MONTH(A36)=MONTH($D$1),VLOOKUP(A36,'Calculations II'!$B$8:$IV$434,67,FALSE),0)</f>
        <v>0</v>
      </c>
      <c r="L36" s="473">
        <f>IF(MONTH(A36)=MONTH($D$1),VLOOKUP(A36,Calculation!$B$10:$IC$524,42,FALSE),0)</f>
        <v>21.579800498753119</v>
      </c>
      <c r="M36" s="56">
        <f>IF(MONTH(A36)=MONTH($D$1),VLOOKUP(A36,Sheet1!$B$8:$HT$524,97,FALSE),0)</f>
        <v>15.914999999999999</v>
      </c>
      <c r="N36" s="256">
        <f t="shared" ca="1" si="2"/>
        <v>31.103668222910692</v>
      </c>
      <c r="O36" s="256">
        <f t="shared" ca="1" si="3"/>
        <v>47.018668222910691</v>
      </c>
      <c r="P36" s="56">
        <f>IF(MONTH(A36)=MONTH($D$1),VLOOKUP(A36,Calculation!$B$8:$JO$503,44,FALSE),0)</f>
        <v>0</v>
      </c>
      <c r="Q36" s="255">
        <f>IF(MONTH(A36)=MONTH($D$1),VLOOKUP(A36,Calculation!$B$8:$JO$503,113,FALSE),0)</f>
        <v>10.470199501246883</v>
      </c>
      <c r="R36" s="257">
        <f ca="1">IF(AND(D36=0,E36=0),0,C36+D36+J36-K36+L36+P36+Q36)</f>
        <v>57.488867724157572</v>
      </c>
      <c r="S36" s="332">
        <f>IF(MONTH(A36)=MONTH($D$1),VLOOKUP(A36,Sheet1!$B$8:$HT$524,127,FALSE),0)</f>
        <v>0</v>
      </c>
      <c r="T36" s="310">
        <f>IF(MONTH(A36)=MONTH($D$1),VLOOKUP(A36,Sheet1!$B$8:$HT$524,128,FALSE),0)</f>
        <v>0</v>
      </c>
      <c r="U36"/>
      <c r="V36"/>
      <c r="Y36" s="56"/>
      <c r="Z36" s="56"/>
      <c r="AA36" s="56"/>
    </row>
    <row r="37" spans="1:28" x14ac:dyDescent="0.25">
      <c r="A37" s="390">
        <f t="shared" si="5"/>
        <v>43098</v>
      </c>
      <c r="B37" s="253">
        <f>IF(MONTH(A37)=MONTH($D$1),VLOOKUP((A37),Sheet1!$B$8:$HT$524,11,FALSE),0)</f>
        <v>13.740000000001601</v>
      </c>
      <c r="C37" s="306">
        <f>IF(MONTH(A37)=MONTH($D$1),VLOOKUP(A37,'Calculations II'!$B$8:$IV$434,54,FALSE),0)</f>
        <v>0</v>
      </c>
      <c r="D37" s="255">
        <f>IF(MONTH(A37)=MONTH($D$1),VLOOKUP(A37,Sheet1!$B$8:$HT$524,26,FALSE),0)</f>
        <v>25.3</v>
      </c>
      <c r="E37" s="56">
        <f>IF(MONTH(A37)=MONTH($D$1),VLOOKUP(A37,Sheet1!$B$8:$HT$524,27,FALSE),0)</f>
        <v>31.9</v>
      </c>
      <c r="F37" s="681">
        <f>C37+D37+E37-P37-Q37</f>
        <v>46.746216385240778</v>
      </c>
      <c r="G37" s="681">
        <f t="shared" si="6"/>
        <v>57.2</v>
      </c>
      <c r="H37" s="254">
        <f>IF(MONTH(A37)=MONTH($D$1),VLOOKUP(A37,Calculation!$B$8:$JO$503,148,FALSE),0)</f>
        <v>0.69303279337969426</v>
      </c>
      <c r="I37" s="461">
        <f ca="1">IF(MONTH(A37)=MONTH($D$1),VLOOKUP(A37,'Calculations II'!$B$8:$IV$434,14,FALSE),0)</f>
        <v>0.31724387616186089</v>
      </c>
      <c r="J37" s="461">
        <f t="shared" ca="1" si="1"/>
        <v>1.0102766695415553</v>
      </c>
      <c r="K37" s="476">
        <f>IF(MONTH(A37)=MONTH($D$1),VLOOKUP(A37,'Calculations II'!$B$8:$IV$434,67,FALSE),0)</f>
        <v>0</v>
      </c>
      <c r="L37" s="473">
        <f>IF(MONTH(A37)=MONTH($D$1),VLOOKUP(A37,Calculation!$B$10:$IC$524,42,FALSE),0)</f>
        <v>21.446216385240774</v>
      </c>
      <c r="M37" s="56">
        <f>IF(MONTH(A37)=MONTH($D$1),VLOOKUP(A37,Sheet1!$B$8:$HT$524,97,FALSE),0)</f>
        <v>16.495999999999999</v>
      </c>
      <c r="N37" s="256">
        <f ca="1">IF(AND(D37=0,E37=0),0,C37+D37+J37-K37+L37-M37)</f>
        <v>31.260493054782327</v>
      </c>
      <c r="O37" s="256">
        <f t="shared" ca="1" si="3"/>
        <v>47.756493054782325</v>
      </c>
      <c r="P37" s="56">
        <f>IF(MONTH(A37)=MONTH($D$1),VLOOKUP(A37,Calculation!$B$8:$JO$503,44,FALSE),0)</f>
        <v>0</v>
      </c>
      <c r="Q37" s="255">
        <f>IF(MONTH(A37)=MONTH($D$1),VLOOKUP(A37,Calculation!$B$8:$JO$503,113,FALSE),0)</f>
        <v>10.453783614759224</v>
      </c>
      <c r="R37" s="257">
        <f ca="1">IF(AND(D37=0,E37=0),0,C37+D37+J37-K37+L37+P37+Q37)</f>
        <v>58.21027666954155</v>
      </c>
      <c r="S37" s="332">
        <f>IF(MONTH(A37)=MONTH($D$1),VLOOKUP(A37,Sheet1!$B$8:$HT$524,127,FALSE),0)</f>
        <v>0</v>
      </c>
      <c r="T37" s="310">
        <f>IF(MONTH(A37)=MONTH($D$1),VLOOKUP(A37,Sheet1!$B$8:$HT$524,128,FALSE),0)</f>
        <v>0</v>
      </c>
      <c r="U37"/>
      <c r="V37"/>
      <c r="Y37" s="56"/>
      <c r="Z37" s="56"/>
      <c r="AA37" s="56"/>
    </row>
    <row r="38" spans="1:28" x14ac:dyDescent="0.25">
      <c r="A38" s="390">
        <f t="shared" si="5"/>
        <v>43099</v>
      </c>
      <c r="B38" s="253">
        <f>IF(MONTH(A38)=MONTH($D$1),VLOOKUP((A38),Sheet1!$B$8:$HT$524,11,FALSE),0)</f>
        <v>34.229999999999563</v>
      </c>
      <c r="C38" s="306">
        <f>IF(MONTH(A38)=MONTH($D$1),VLOOKUP(A38,'Calculations II'!$B$8:$IV$434,54,FALSE),0)</f>
        <v>0</v>
      </c>
      <c r="D38" s="255">
        <f>IF(MONTH(A38)=MONTH($D$1),VLOOKUP(A38,Sheet1!$B$8:$HT$524,26,FALSE),0)</f>
        <v>25.2</v>
      </c>
      <c r="E38" s="56">
        <f>IF(MONTH(A38)=MONTH($D$1),VLOOKUP(A38,Sheet1!$B$8:$HT$524,27,FALSE),0)</f>
        <v>32</v>
      </c>
      <c r="F38" s="681">
        <f>C38+D38+E38-P38-Q38</f>
        <v>46.726908635794743</v>
      </c>
      <c r="G38" s="681">
        <f t="shared" si="6"/>
        <v>57.2</v>
      </c>
      <c r="H38" s="254">
        <f>IF(MONTH(A38)=MONTH($D$1),VLOOKUP(A38,Calculation!$B$8:$JO$503,148,FALSE),0)</f>
        <v>0.27711696228535099</v>
      </c>
      <c r="I38" s="461">
        <f ca="1">IF(MONTH(A38)=MONTH($D$1),VLOOKUP(A38,'Calculations II'!$B$8:$IV$434,14,FALSE),0)</f>
        <v>-0.16877270188731872</v>
      </c>
      <c r="J38" s="461">
        <f t="shared" ca="1" si="1"/>
        <v>0.10834426039803227</v>
      </c>
      <c r="K38" s="476">
        <f>IF(MONTH(A38)=MONTH($D$1),VLOOKUP(A38,'Calculations II'!$B$8:$IV$434,67,FALSE),0)</f>
        <v>0</v>
      </c>
      <c r="L38" s="473">
        <f>IF(MONTH(A38)=MONTH($D$1),VLOOKUP(A38,Calculation!$B$10:$IC$524,42,FALSE),0)</f>
        <v>21.526908635794744</v>
      </c>
      <c r="M38" s="56">
        <f>IF(MONTH(A38)=MONTH($D$1),VLOOKUP(A38,Sheet1!$B$8:$HT$524,97,FALSE),0)</f>
        <v>16.007000000000001</v>
      </c>
      <c r="N38" s="256">
        <f t="shared" ca="1" si="2"/>
        <v>30.828252896192769</v>
      </c>
      <c r="O38" s="256">
        <f t="shared" ca="1" si="3"/>
        <v>46.83525289619277</v>
      </c>
      <c r="P38" s="56">
        <f>IF(MONTH(A38)=MONTH($D$1),VLOOKUP(A38,Calculation!$B$8:$JO$503,44,FALSE),0)</f>
        <v>0</v>
      </c>
      <c r="Q38" s="255">
        <f>IF(MONTH(A38)=MONTH($D$1),VLOOKUP(A38,Calculation!$B$8:$JO$503,113,FALSE),0)</f>
        <v>10.473091364205256</v>
      </c>
      <c r="R38" s="257">
        <f t="shared" ca="1" si="4"/>
        <v>57.30834426039803</v>
      </c>
      <c r="S38" s="332">
        <f>IF(MONTH(A38)=MONTH($D$1),VLOOKUP(A38,Sheet1!$B$8:$HT$524,127,FALSE),0)</f>
        <v>0</v>
      </c>
      <c r="T38" s="310">
        <f>IF(MONTH(A38)=MONTH($D$1),VLOOKUP(A38,Sheet1!$B$8:$HT$524,128,FALSE),0)</f>
        <v>0</v>
      </c>
      <c r="U38"/>
      <c r="V38"/>
      <c r="Y38" s="56"/>
      <c r="Z38" s="56"/>
      <c r="AA38" s="56"/>
    </row>
    <row r="39" spans="1:28" ht="13.95" customHeight="1" thickBot="1" x14ac:dyDescent="0.3">
      <c r="A39" s="391">
        <f t="shared" si="5"/>
        <v>43100</v>
      </c>
      <c r="B39" s="311">
        <f>IF(MONTH(A39)=MONTH($D$1),VLOOKUP((A39),Sheet1!$B$8:$HT$524,11,FALSE),0)</f>
        <v>27.919999999998254</v>
      </c>
      <c r="C39" s="307">
        <f>IF(MONTH(A39)=MONTH($D$1),VLOOKUP(A39,'Calculations II'!$B$8:$IV$434,54,FALSE),0)</f>
        <v>0</v>
      </c>
      <c r="D39" s="302">
        <f>IF(MONTH(A39)=MONTH($D$1),VLOOKUP(A39,Sheet1!$B$8:$HT$524,26,FALSE),0)</f>
        <v>25.2</v>
      </c>
      <c r="E39" s="57">
        <f>IF(MONTH(A39)=MONTH($D$1),VLOOKUP(A39,Sheet1!$B$8:$HT$524,27,FALSE),0)</f>
        <v>31.9</v>
      </c>
      <c r="F39" s="932">
        <f t="shared" si="0"/>
        <v>46.566510172143964</v>
      </c>
      <c r="G39" s="933">
        <f>C39+D39+E39</f>
        <v>57.099999999999994</v>
      </c>
      <c r="H39" s="333">
        <f>IF(MONTH(A39)=MONTH($D$1),VLOOKUP(A39,Calculation!$B$8:$JO$503,148,FALSE),0)</f>
        <v>0.96983565401151028</v>
      </c>
      <c r="I39" s="462">
        <f ca="1">IF(MONTH(A39)=MONTH($D$1),VLOOKUP(A39,'Calculations II'!$B$8:$IV$434,14,FALSE),0)</f>
        <v>-1.0560030926374986</v>
      </c>
      <c r="J39" s="462">
        <f t="shared" ca="1" si="1"/>
        <v>-8.6167438625988302E-2</v>
      </c>
      <c r="K39" s="477">
        <f>IF(MONTH(A39)=MONTH($D$1),VLOOKUP(A39,'Calculations II'!$B$8:$IV$434,67,FALSE),0)</f>
        <v>0</v>
      </c>
      <c r="L39" s="333">
        <f>IF(MONTH(A39)=MONTH($D$1),VLOOKUP(A39,Calculation!$B$10:$IC$524,42,FALSE),0)</f>
        <v>21.366510172143975</v>
      </c>
      <c r="M39" s="57">
        <f>IF(MONTH(A39)=MONTH($D$1),VLOOKUP(A39,Sheet1!$B$8:$HT$524,97,FALSE),0)</f>
        <v>16.091999999999999</v>
      </c>
      <c r="N39" s="470">
        <f ca="1">IF(AND(D39=0,E39=0),0,C39+D39+J39-K39+L39-M39)</f>
        <v>30.388342733517987</v>
      </c>
      <c r="O39" s="470">
        <f t="shared" ca="1" si="3"/>
        <v>46.480342733517986</v>
      </c>
      <c r="P39" s="462">
        <f>IF(MONTH(A39)=MONTH($D$1),VLOOKUP(A39,Calculation!$B$8:$JO$503,44,FALSE),0)</f>
        <v>0</v>
      </c>
      <c r="Q39" s="302">
        <f>IF(MONTH(A39)=MONTH($D$1),VLOOKUP(A39,Calculation!$B$8:$JO$503,113,FALSE),0)</f>
        <v>10.533489827856027</v>
      </c>
      <c r="R39" s="471">
        <f t="shared" ca="1" si="4"/>
        <v>57.013832561374016</v>
      </c>
      <c r="S39" s="332">
        <f>IF(MONTH(A39)=MONTH($D$1),VLOOKUP(A39,Sheet1!$B$8:$HT$524,127,FALSE),0)</f>
        <v>0</v>
      </c>
      <c r="T39" s="310">
        <f>IF(MONTH(A39)=MONTH($D$1),VLOOKUP(A39,Sheet1!$B$8:$HT$524,128,FALSE),0)</f>
        <v>0</v>
      </c>
      <c r="U39"/>
      <c r="V39"/>
      <c r="Y39" s="56"/>
      <c r="Z39" s="56"/>
      <c r="AA39" s="56"/>
    </row>
    <row r="40" spans="1:28" ht="13.8" thickTop="1" x14ac:dyDescent="0.25">
      <c r="A40" s="1091" t="s">
        <v>421</v>
      </c>
      <c r="B40" s="1092"/>
      <c r="C40" s="1093"/>
      <c r="D40" s="1094"/>
      <c r="E40" s="1095"/>
      <c r="F40" s="1096"/>
      <c r="G40" s="1097"/>
      <c r="H40" s="1095"/>
      <c r="I40" s="1098"/>
      <c r="J40" s="1098"/>
      <c r="K40" s="1099"/>
      <c r="L40" s="1100"/>
      <c r="M40" s="1095"/>
      <c r="N40" s="1101"/>
      <c r="O40" s="1101"/>
      <c r="P40" s="1095"/>
      <c r="Q40" s="1094"/>
      <c r="R40" s="1102"/>
      <c r="S40" s="1103"/>
      <c r="T40" s="320"/>
      <c r="U40"/>
      <c r="V40"/>
      <c r="Y40" s="56"/>
      <c r="Z40" s="56"/>
      <c r="AA40" s="56"/>
    </row>
    <row r="41" spans="1:28" x14ac:dyDescent="0.25">
      <c r="A41" s="328" t="s">
        <v>159</v>
      </c>
      <c r="B41" s="392">
        <f>SUM(B9:B39)</f>
        <v>238.20000000000073</v>
      </c>
      <c r="C41" s="393">
        <f>SUM(C9:C39)</f>
        <v>0</v>
      </c>
      <c r="D41" s="394">
        <f t="shared" ref="D41:S41" si="7">SUM(D9:D39)</f>
        <v>785.39000000000021</v>
      </c>
      <c r="E41" s="395">
        <f t="shared" si="7"/>
        <v>990.62999999999988</v>
      </c>
      <c r="F41" s="934">
        <f t="shared" si="7"/>
        <v>1451.1794154138286</v>
      </c>
      <c r="G41" s="935">
        <f t="shared" si="7"/>
        <v>1776.02</v>
      </c>
      <c r="H41" s="393">
        <f t="shared" si="7"/>
        <v>3.1871303309334591</v>
      </c>
      <c r="I41" s="397">
        <f t="shared" ca="1" si="7"/>
        <v>9.0804904576771373E-2</v>
      </c>
      <c r="J41" s="397">
        <f t="shared" ca="1" si="7"/>
        <v>3.2779352355102311</v>
      </c>
      <c r="K41" s="467">
        <f t="shared" si="7"/>
        <v>0</v>
      </c>
      <c r="L41" s="474">
        <f t="shared" si="7"/>
        <v>665.78941541382846</v>
      </c>
      <c r="M41" s="395">
        <f t="shared" si="7"/>
        <v>491.58499999999992</v>
      </c>
      <c r="N41" s="259">
        <f t="shared" ca="1" si="7"/>
        <v>962.87235064933873</v>
      </c>
      <c r="O41" s="396">
        <f t="shared" ca="1" si="7"/>
        <v>1454.4573506493389</v>
      </c>
      <c r="P41" s="397">
        <f t="shared" si="7"/>
        <v>0</v>
      </c>
      <c r="Q41" s="394">
        <f t="shared" si="7"/>
        <v>324.84058458617136</v>
      </c>
      <c r="R41" s="260">
        <f t="shared" ca="1" si="7"/>
        <v>1779.2979352355103</v>
      </c>
      <c r="S41" s="398">
        <f t="shared" si="7"/>
        <v>0</v>
      </c>
      <c r="T41" s="321"/>
      <c r="U41"/>
      <c r="V41"/>
      <c r="Y41" s="56"/>
      <c r="Z41" s="56"/>
      <c r="AA41" s="56"/>
    </row>
    <row r="42" spans="1:28" x14ac:dyDescent="0.25">
      <c r="A42" s="258" t="s">
        <v>207</v>
      </c>
      <c r="B42" s="316"/>
      <c r="C42" s="317"/>
      <c r="D42" s="318"/>
      <c r="E42" s="319"/>
      <c r="F42" s="687"/>
      <c r="G42" s="688"/>
      <c r="H42" s="317"/>
      <c r="I42" s="334"/>
      <c r="J42" s="334"/>
      <c r="K42" s="468"/>
      <c r="L42" s="319"/>
      <c r="M42" s="319"/>
      <c r="N42" s="261"/>
      <c r="O42" s="261"/>
      <c r="P42" s="334"/>
      <c r="Q42" s="318"/>
      <c r="R42" s="262"/>
      <c r="S42" s="335"/>
      <c r="T42" s="336"/>
      <c r="U42"/>
      <c r="V42"/>
      <c r="Y42" s="56"/>
      <c r="Z42" s="56"/>
      <c r="AA42" s="56"/>
    </row>
    <row r="43" spans="1:28" ht="13.8" thickBot="1" x14ac:dyDescent="0.3">
      <c r="A43" s="458" t="s">
        <v>208</v>
      </c>
      <c r="B43" s="322">
        <f>IF(SUM(B9:B39)=0,0,SUM(B9:B39)/COUNTIF($G9:$G39,"&lt;&gt;0"))</f>
        <v>7.6838709677419592</v>
      </c>
      <c r="C43" s="323">
        <f t="shared" ref="C43:S43" si="8">IF(SUM(C9:C39)=0,0,SUM(C9:C39)/COUNTIF($G9:$G39,"&lt;&gt;0"))</f>
        <v>0</v>
      </c>
      <c r="D43" s="324">
        <f t="shared" si="8"/>
        <v>25.335161290322588</v>
      </c>
      <c r="E43" s="325">
        <f t="shared" si="8"/>
        <v>31.955806451612901</v>
      </c>
      <c r="F43" s="689">
        <f t="shared" si="8"/>
        <v>46.812239206897694</v>
      </c>
      <c r="G43" s="690">
        <f t="shared" si="8"/>
        <v>57.290967741935482</v>
      </c>
      <c r="H43" s="323">
        <f t="shared" si="8"/>
        <v>0.10281065583656319</v>
      </c>
      <c r="I43" s="331">
        <f t="shared" ca="1" si="8"/>
        <v>2.9291904702184314E-3</v>
      </c>
      <c r="J43" s="331">
        <f t="shared" ca="1" si="8"/>
        <v>0.10573984630678165</v>
      </c>
      <c r="K43" s="469">
        <f t="shared" si="8"/>
        <v>0</v>
      </c>
      <c r="L43" s="475">
        <f t="shared" si="8"/>
        <v>21.477077916575112</v>
      </c>
      <c r="M43" s="325">
        <f>IF(SUM(M9:M39)=0,0,SUM(M9:M39)/COUNTIF($G9:$G39,"&lt;&gt;0"))</f>
        <v>15.857580645161288</v>
      </c>
      <c r="N43" s="263">
        <f t="shared" ca="1" si="8"/>
        <v>31.060398408043184</v>
      </c>
      <c r="O43" s="330">
        <f t="shared" ca="1" si="8"/>
        <v>46.917979053204483</v>
      </c>
      <c r="P43" s="331">
        <f t="shared" si="8"/>
        <v>0</v>
      </c>
      <c r="Q43" s="324">
        <f t="shared" si="8"/>
        <v>10.478728535037785</v>
      </c>
      <c r="R43" s="264">
        <f t="shared" ca="1" si="8"/>
        <v>57.396707588242265</v>
      </c>
      <c r="S43" s="329">
        <f t="shared" si="8"/>
        <v>0</v>
      </c>
      <c r="T43" s="459"/>
      <c r="U43"/>
      <c r="V43"/>
      <c r="Y43" s="56"/>
      <c r="Z43" s="56"/>
      <c r="AA43" s="56"/>
    </row>
    <row r="44" spans="1:28" ht="8.25" customHeight="1" x14ac:dyDescent="0.25">
      <c r="A44" s="53"/>
      <c r="B44" s="53"/>
      <c r="C44" s="53"/>
      <c r="D44" s="53"/>
      <c r="E44" s="299"/>
      <c r="F44" s="299"/>
      <c r="G44" s="299"/>
      <c r="H44" s="53"/>
      <c r="I44" s="53"/>
      <c r="J44" s="53"/>
      <c r="K44" s="53"/>
      <c r="L44" s="53"/>
      <c r="M44" s="53"/>
      <c r="N44" s="53"/>
      <c r="O44" s="53"/>
      <c r="P44" s="53"/>
      <c r="Q44" s="53"/>
      <c r="R44" s="53"/>
      <c r="S44" s="53"/>
      <c r="T44" s="53"/>
      <c r="U44"/>
      <c r="V44"/>
      <c r="Y44" s="55"/>
      <c r="Z44" s="55"/>
      <c r="AA44" s="55"/>
    </row>
    <row r="45" spans="1:28" ht="6" customHeight="1" thickBot="1" x14ac:dyDescent="0.3"/>
    <row r="46" spans="1:28" ht="13.8" thickBot="1" x14ac:dyDescent="0.3">
      <c r="A46" s="266" t="s">
        <v>424</v>
      </c>
      <c r="B46" s="267"/>
      <c r="C46" s="267"/>
      <c r="D46" s="267"/>
      <c r="E46" s="267"/>
      <c r="F46" s="268" t="s">
        <v>160</v>
      </c>
      <c r="G46" s="269" t="s">
        <v>161</v>
      </c>
      <c r="H46" s="51"/>
      <c r="I46" s="51"/>
      <c r="J46" s="51"/>
      <c r="K46" s="270" t="s">
        <v>425</v>
      </c>
      <c r="L46" s="271"/>
      <c r="M46" s="271"/>
      <c r="N46" s="271"/>
      <c r="O46" s="271"/>
      <c r="P46" s="271"/>
      <c r="Q46" s="272" t="s">
        <v>160</v>
      </c>
      <c r="R46" s="273" t="s">
        <v>161</v>
      </c>
      <c r="T46" s="60"/>
      <c r="AA46" s="60"/>
      <c r="AB46" s="60"/>
    </row>
    <row r="47" spans="1:28" x14ac:dyDescent="0.25">
      <c r="A47" s="274" t="s">
        <v>162</v>
      </c>
      <c r="B47" s="275"/>
      <c r="C47" s="275"/>
      <c r="D47" s="275"/>
      <c r="E47" s="275"/>
      <c r="F47" s="277">
        <f>IF(MONTH($A$39)=MONTH($D$1),MATCH(MIN(G$9:G$39),G$9:G$39,0),IF(MONTH($A$38)=MONTH($D$1),MATCH(MIN(G$9:G$38),G$9:G$38,0),IF(MONTH($A$37)=MONTH($D$1),MATCH(MIN(G$9:G$37),G$9:G$37,0),MATCH(MIN(G$9:G$36),G$9:G$36,0))))</f>
        <v>14</v>
      </c>
      <c r="G47" s="278">
        <f>IF(MONTH($A$39)=MONTH($D$1),MIN(G$9:G$39),IF(MONTH($A$38)=MONTH($D$1),MIN(G$9:G$38),IF(MONTH($A$37)=MONTH($D$1),MIN(G$9:G$37),MIN(G$9:G$36))))</f>
        <v>49.58</v>
      </c>
      <c r="H47" s="51"/>
      <c r="I47" s="51"/>
      <c r="J47" s="51"/>
      <c r="K47" s="279" t="s">
        <v>426</v>
      </c>
      <c r="L47" s="280"/>
      <c r="M47" s="280"/>
      <c r="N47" s="280"/>
      <c r="O47" s="280"/>
      <c r="P47" s="280"/>
      <c r="Q47" s="282">
        <f ca="1">IF(MONTH($A$39)=MONTH($D$1),MATCH(MIN(R$9:R$39),R$9:R$39,0),IF(MONTH($A$38)=MONTH($D$1),MATCH(MIN(R$9:R$38),R$9:R$38,0),IF(MONTH($A$37)=MONTH($D$1),MATCH(MIN(R$9:R$37),R$9:R$37,0),MATCH(MIN(R$9:R$36),R$9:R$36,0))))</f>
        <v>4</v>
      </c>
      <c r="R47" s="283">
        <f ca="1">IF(MONTH($A$39)=MONTH($D$1),MIN(R$9:R$39),IF(MONTH($A$38)=MONTH($D$1),MIN(R$9:R$38),IF(MONTH($A$37)=MONTH($D$1),MIN(R$9:R$37),MIN(R$9:R$36))))</f>
        <v>53.923198458481153</v>
      </c>
      <c r="S47" s="284"/>
      <c r="T47" s="60"/>
      <c r="AA47" s="60"/>
      <c r="AB47" s="60"/>
    </row>
    <row r="48" spans="1:28" ht="13.8" thickBot="1" x14ac:dyDescent="0.3">
      <c r="A48" s="285" t="s">
        <v>163</v>
      </c>
      <c r="B48" s="286"/>
      <c r="C48" s="286"/>
      <c r="D48" s="286"/>
      <c r="E48" s="286"/>
      <c r="F48" s="287">
        <f>IF(MONTH($A$39)=MONTH($D$1),MATCH(MAX(G$9:G$39),G$9:G$39,0),IF(MONTH($A$38)=MONTH($D$1),MATCH(MAX(G$9:G$38),G$9:G$38,0),IF(MONTH($A$37)=MONTH($D$1),MATCH(MAX(G$9:G$37),G$9:G$37,0),MATCH(MAX(G$9:G$36),G$9:G$36,0))))</f>
        <v>12</v>
      </c>
      <c r="G48" s="288">
        <f>IF(MONTH($A$39)=MONTH($D$1),MAX(G$9:G$39),IF(MONTH($A$38)=MONTH($D$1),MAX(G$9:G$38),IF(MONTH($A$37)=MONTH($D$1),MAX(G$9:G$37),MAX(G$9:G$36))))</f>
        <v>60.6</v>
      </c>
      <c r="H48" s="51"/>
      <c r="I48" s="51"/>
      <c r="J48" s="51"/>
      <c r="K48" s="289" t="s">
        <v>427</v>
      </c>
      <c r="L48" s="290"/>
      <c r="M48" s="290"/>
      <c r="N48" s="290"/>
      <c r="O48" s="290"/>
      <c r="P48" s="290"/>
      <c r="Q48" s="292">
        <f ca="1">IF(MONTH($A$39)=MONTH($D$1),MATCH(MAX(R$9:R$39),R$9:R$39,0),IF(MONTH($A$38)=MONTH($D$1),MATCH(MAX(R$9:R$38),R$9:R$38,0),IF(MONTH($A$37)=MONTH($D$1),MATCH(MAX(R$9:R$37),R$9:R$37,0),MATCH(MAX(R$9:R$36),R$9:R$36,0))))</f>
        <v>12</v>
      </c>
      <c r="R48" s="293">
        <f ca="1">IF(MONTH($A$39)=MONTH($D$1),MAX(R$9:R$39),IF(MONTH($A$38)=MONTH($D$1),MAX(R$9:R$38),IF(MONTH($A$37)=MONTH($D$1),MAX(R$9:R$37),MAX(R$9:R$36))))</f>
        <v>59.670942828520744</v>
      </c>
    </row>
    <row r="49" spans="1:19" x14ac:dyDescent="0.25">
      <c r="A49" s="265"/>
      <c r="B49" s="59"/>
      <c r="C49" s="59"/>
      <c r="D49" s="59"/>
      <c r="E49" s="59"/>
      <c r="F49" s="59"/>
      <c r="G49" s="59"/>
      <c r="H49" s="51"/>
      <c r="I49" s="51"/>
      <c r="J49" s="51"/>
      <c r="K49" s="59"/>
      <c r="L49" s="59"/>
      <c r="M49" s="59"/>
      <c r="N49" s="59"/>
      <c r="O49" s="59"/>
      <c r="Q49" s="59"/>
      <c r="R49" s="59"/>
    </row>
    <row r="50" spans="1:19" ht="13.8" thickBot="1" x14ac:dyDescent="0.3">
      <c r="A50" s="265" t="s">
        <v>428</v>
      </c>
      <c r="B50" s="59"/>
      <c r="C50" s="59"/>
      <c r="D50" s="59"/>
      <c r="E50" s="59"/>
      <c r="F50" s="59"/>
      <c r="G50" s="59"/>
      <c r="H50" s="51"/>
      <c r="I50" s="51"/>
      <c r="J50" s="51"/>
      <c r="K50" s="265" t="s">
        <v>428</v>
      </c>
      <c r="L50" s="59"/>
      <c r="M50" s="59"/>
      <c r="N50" s="59"/>
      <c r="O50" s="59"/>
      <c r="Q50" s="59"/>
      <c r="R50" s="59"/>
    </row>
    <row r="51" spans="1:19" ht="13.8" thickBot="1" x14ac:dyDescent="0.3">
      <c r="A51" s="266" t="s">
        <v>424</v>
      </c>
      <c r="B51" s="267"/>
      <c r="C51" s="267"/>
      <c r="D51" s="267"/>
      <c r="E51" s="268" t="s">
        <v>160</v>
      </c>
      <c r="F51" s="269" t="s">
        <v>161</v>
      </c>
      <c r="G51" s="52"/>
      <c r="H51" s="51"/>
      <c r="I51" s="51"/>
      <c r="J51" s="51"/>
      <c r="K51" s="270" t="s">
        <v>425</v>
      </c>
      <c r="L51" s="271"/>
      <c r="M51" s="271"/>
      <c r="N51" s="272" t="s">
        <v>160</v>
      </c>
      <c r="O51" s="273" t="s">
        <v>161</v>
      </c>
      <c r="Q51" s="51"/>
    </row>
    <row r="52" spans="1:19" x14ac:dyDescent="0.25">
      <c r="A52" s="274" t="s">
        <v>162</v>
      </c>
      <c r="B52" s="275"/>
      <c r="C52" s="275"/>
      <c r="D52" s="275"/>
      <c r="E52" s="277">
        <f>IF(MONTH($A$39)=MONTH($D$1),MATCH(MIN(F$9:F$39),F$9:F$39,0),IF(MONTH($A$38)=MONTH($D$1),MATCH(MIN(F$9:F$38),F$9:F$38,0),IF(MONTH($A$37)=MONTH($D$1),MATCH(MIN(F$9:F$37),F$9:F$37,0),MATCH(MIN(F$9:F$36),F$9:F$36,0))))</f>
        <v>14</v>
      </c>
      <c r="F52" s="278">
        <f>IF(MONTH($A$39)=MONTH($D$1),MIN(F$9:F$39),IF(MONTH($A$38)=MONTH($D$1),MIN(F$9:F$38),IF(MONTH($A$37)=MONTH($D$1),MIN(F$9:F$37),MIN(F$9:F$36))))</f>
        <v>39.14229217110573</v>
      </c>
      <c r="G52" s="52"/>
      <c r="H52" s="51"/>
      <c r="I52" s="51"/>
      <c r="J52" s="51"/>
      <c r="K52" s="279" t="s">
        <v>426</v>
      </c>
      <c r="L52" s="280"/>
      <c r="M52" s="280"/>
      <c r="N52" s="282">
        <f ca="1">IF(MONTH($A$39)=MONTH($D$1),MATCH(MIN(O$9:O$39),O$9:O$39,0),IF(MONTH($A$38)=MONTH($D$1),MATCH(MIN(O$9:O$38),O$9:O$38,0),IF(MONTH($A$37)=MONTH($D$1),MATCH(MIN(O$9:O$37),O$9:O$37,0),MATCH(MIN(O$9:O$36),O$9:O$36,0))))</f>
        <v>4</v>
      </c>
      <c r="O52" s="283">
        <f ca="1">IF(MONTH($A$39)=MONTH($D$1),MIN(O$9:O$39),IF(MONTH($A$38)=MONTH($D$1),MIN(O$9:O$38),IF(MONTH($A$37)=MONTH($D$1),MIN(O$9:O$37),MIN(O$9:O$36))))</f>
        <v>43.679303216872889</v>
      </c>
      <c r="Q52" s="51"/>
    </row>
    <row r="53" spans="1:19" ht="13.8" thickBot="1" x14ac:dyDescent="0.3">
      <c r="A53" s="285" t="s">
        <v>163</v>
      </c>
      <c r="B53" s="286"/>
      <c r="C53" s="286"/>
      <c r="D53" s="286"/>
      <c r="E53" s="287">
        <f>IF(MONTH($A$39)=MONTH($D$1),MATCH(MAX(F$9:F$39),F$9:F$39,0),IF(MONTH($A$38)=MONTH($D$1),MATCH(MAX(F$9:F$38),F$9:F$38,0),IF(MONTH($A$37)=MONTH($D$1),MATCH(MAX(F$9:F$37),F$9:F$37,0),MATCH(MAX(F$9:F$36),F$9:F$36,0))))</f>
        <v>12</v>
      </c>
      <c r="F53" s="288">
        <f>IF(MONTH($A$39)=MONTH($D$1),MAX(F$9:F$39),IF(MONTH($A$38)=MONTH($D$1),MAX(F$9:F$38),IF(MONTH($A$37)=MONTH($D$1),MAX(F$9:F$37),MAX(F$9:F$36))))</f>
        <v>50.157356194690266</v>
      </c>
      <c r="G53" s="52"/>
      <c r="H53" s="51"/>
      <c r="I53" s="51"/>
      <c r="J53" s="51"/>
      <c r="K53" s="289" t="s">
        <v>427</v>
      </c>
      <c r="L53" s="290"/>
      <c r="M53" s="290"/>
      <c r="N53" s="292">
        <f ca="1">IF(MONTH($A$39)=MONTH($D$1),MATCH(MAX(O$9:O$39),O$9:O$39,0),IF(MONTH($A$38)=MONTH($D$1),MATCH(MAX(O$9:O$38),O$9:O$38,0),IF(MONTH($A$37)=MONTH($D$1),MATCH(MAX(O$9:O$37),O$9:O$37,0),MATCH(MAX(O$9:O$36),O$9:O$36,0))))</f>
        <v>12</v>
      </c>
      <c r="O53" s="293">
        <f ca="1">IF(MONTH($A$39)=MONTH($D$1),MAX(O$9:O$39),IF(MONTH($A$38)=MONTH($D$1),MAX(O$9:O$38),IF(MONTH($A$37)=MONTH($D$1),MAX(O$9:O$37),MAX(O$9:O$36))))</f>
        <v>49.228299023211008</v>
      </c>
      <c r="Q53" s="51"/>
    </row>
    <row r="54" spans="1:19" x14ac:dyDescent="0.25">
      <c r="E54" s="52"/>
      <c r="F54" s="52"/>
      <c r="G54" s="52"/>
      <c r="K54" s="52" t="s">
        <v>429</v>
      </c>
    </row>
    <row r="55" spans="1:19" x14ac:dyDescent="0.25">
      <c r="A55" s="294" t="s">
        <v>430</v>
      </c>
      <c r="B55" s="295">
        <v>1</v>
      </c>
      <c r="C55" s="295">
        <v>2</v>
      </c>
      <c r="D55" s="295">
        <v>3</v>
      </c>
      <c r="E55" s="295">
        <v>4</v>
      </c>
      <c r="F55" s="294" t="s">
        <v>431</v>
      </c>
      <c r="G55" s="296" t="s">
        <v>432</v>
      </c>
      <c r="H55" s="295">
        <v>5</v>
      </c>
      <c r="I55" s="295">
        <v>6</v>
      </c>
      <c r="J55" s="295"/>
      <c r="K55" s="295">
        <v>7</v>
      </c>
      <c r="L55" s="296">
        <v>8</v>
      </c>
      <c r="M55" s="296">
        <v>9</v>
      </c>
      <c r="N55" s="296" t="s">
        <v>434</v>
      </c>
      <c r="O55" s="296" t="s">
        <v>435</v>
      </c>
      <c r="P55" s="296">
        <v>10</v>
      </c>
      <c r="Q55" s="296">
        <v>11</v>
      </c>
      <c r="R55" s="296" t="s">
        <v>436</v>
      </c>
      <c r="S55" s="297"/>
    </row>
    <row r="58" spans="1:19" x14ac:dyDescent="0.25">
      <c r="N58" s="97"/>
      <c r="O58" s="97"/>
      <c r="S58" s="97"/>
    </row>
    <row r="59" spans="1:19" x14ac:dyDescent="0.25">
      <c r="N59" s="60"/>
      <c r="O59" s="60"/>
      <c r="S59" s="60"/>
    </row>
    <row r="60" spans="1:19" x14ac:dyDescent="0.25">
      <c r="N60" s="60"/>
      <c r="O60" s="60"/>
      <c r="S60" s="60"/>
    </row>
    <row r="61" spans="1:19" x14ac:dyDescent="0.25">
      <c r="N61" s="60"/>
      <c r="O61" s="60"/>
      <c r="S61" s="60"/>
    </row>
    <row r="62" spans="1:19" x14ac:dyDescent="0.25">
      <c r="N62" s="60"/>
      <c r="O62" s="60"/>
      <c r="S62" s="60"/>
    </row>
    <row r="63" spans="1:19" x14ac:dyDescent="0.25">
      <c r="N63" s="60"/>
      <c r="O63" s="60"/>
      <c r="S63" s="60"/>
    </row>
    <row r="64" spans="1:19" x14ac:dyDescent="0.25">
      <c r="N64" s="60"/>
      <c r="O64" s="60"/>
      <c r="S64" s="60"/>
    </row>
    <row r="65" spans="1:19" x14ac:dyDescent="0.25">
      <c r="N65" s="60"/>
      <c r="O65" s="60"/>
      <c r="S65" s="60"/>
    </row>
    <row r="66" spans="1:19" x14ac:dyDescent="0.25">
      <c r="N66" s="60"/>
      <c r="O66" s="60"/>
      <c r="S66" s="60"/>
    </row>
    <row r="67" spans="1:19" x14ac:dyDescent="0.25">
      <c r="N67" s="60"/>
      <c r="O67" s="60"/>
      <c r="S67" s="60"/>
    </row>
    <row r="68" spans="1:19" x14ac:dyDescent="0.25">
      <c r="N68" s="60"/>
      <c r="O68" s="60"/>
      <c r="S68" s="60"/>
    </row>
    <row r="69" spans="1:19" x14ac:dyDescent="0.25">
      <c r="N69" s="60"/>
      <c r="O69" s="60"/>
      <c r="S69" s="60"/>
    </row>
    <row r="70" spans="1:19" x14ac:dyDescent="0.25">
      <c r="N70" s="60"/>
      <c r="O70" s="60"/>
      <c r="S70" s="60"/>
    </row>
    <row r="71" spans="1:19" x14ac:dyDescent="0.25">
      <c r="A71" s="52" t="s">
        <v>921</v>
      </c>
    </row>
    <row r="72" spans="1:19" x14ac:dyDescent="0.25">
      <c r="A72" s="52" t="s">
        <v>898</v>
      </c>
    </row>
    <row r="75" spans="1:19" x14ac:dyDescent="0.25">
      <c r="A75" s="1162">
        <v>42736</v>
      </c>
    </row>
  </sheetData>
  <mergeCells count="7">
    <mergeCell ref="D1:E1"/>
    <mergeCell ref="S6:T6"/>
    <mergeCell ref="A2:R2"/>
    <mergeCell ref="A3:R3"/>
    <mergeCell ref="C6:G6"/>
    <mergeCell ref="H6:J6"/>
    <mergeCell ref="L6:R6"/>
  </mergeCells>
  <phoneticPr fontId="20" type="noConversion"/>
  <conditionalFormatting sqref="T9:T39">
    <cfRule type="cellIs" dxfId="68" priority="29" stopIfTrue="1" operator="equal">
      <formula>0</formula>
    </cfRule>
  </conditionalFormatting>
  <conditionalFormatting sqref="F9:G39">
    <cfRule type="cellIs" dxfId="67" priority="24" stopIfTrue="1" operator="equal">
      <formula>0</formula>
    </cfRule>
  </conditionalFormatting>
  <conditionalFormatting sqref="N9:O39 R9:R40">
    <cfRule type="cellIs" dxfId="66" priority="23" stopIfTrue="1" operator="equal">
      <formula>0</formula>
    </cfRule>
  </conditionalFormatting>
  <conditionalFormatting sqref="B39:R39">
    <cfRule type="expression" dxfId="65" priority="1">
      <formula>"month($A39)&lt;&gt;month($E$1)"</formula>
    </cfRule>
  </conditionalFormatting>
  <conditionalFormatting sqref="A37:E37 I37:K37 M37">
    <cfRule type="expression" dxfId="64" priority="29676" stopIfTrue="1">
      <formula>IF(MONTH($A$37)&gt;MONTH($D$1),TRUE,FALSE)</formula>
    </cfRule>
    <cfRule type="expression" dxfId="63" priority="29677" stopIfTrue="1">
      <formula>IF(MONTH($A$37)&lt;MONTH($D$1),TRUE,FALSE)</formula>
    </cfRule>
  </conditionalFormatting>
  <printOptions horizontalCentered="1"/>
  <pageMargins left="0" right="0" top="0.5" bottom="0" header="0" footer="0"/>
  <pageSetup scale="84" orientation="landscape" r:id="rId1"/>
  <headerFooter alignWithMargins="0"/>
  <colBreaks count="1" manualBreakCount="1">
    <brk id="1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Conversions!$K$51:$K$62</xm:f>
          </x14:formula1>
          <xm:sqref>D1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JU506"/>
  <sheetViews>
    <sheetView zoomScale="80" zoomScaleNormal="80" workbookViewId="0">
      <pane xSplit="2" ySplit="7" topLeftCell="CS338" activePane="bottomRight" state="frozen"/>
      <selection activeCell="FL381" sqref="FL381"/>
      <selection pane="topRight" activeCell="FL381" sqref="FL381"/>
      <selection pane="bottomLeft" activeCell="FL381" sqref="FL381"/>
      <selection pane="bottomRight" activeCell="A346" sqref="A346:XFD346"/>
    </sheetView>
  </sheetViews>
  <sheetFormatPr defaultColWidth="9.109375" defaultRowHeight="13.2" x14ac:dyDescent="0.25"/>
  <cols>
    <col min="1" max="1" width="10.44140625" style="533" customWidth="1"/>
    <col min="2" max="2" width="18" style="533" customWidth="1"/>
    <col min="3" max="3" width="11.5546875" style="533" customWidth="1"/>
    <col min="4" max="6" width="9.109375" style="533"/>
    <col min="7" max="7" width="10" style="533" customWidth="1"/>
    <col min="8" max="8" width="11.109375" style="1003" customWidth="1"/>
    <col min="9" max="10" width="10.5546875" style="533" customWidth="1"/>
    <col min="11" max="11" width="13.44140625" style="819" customWidth="1"/>
    <col min="12" max="12" width="11" style="533" customWidth="1"/>
    <col min="13" max="13" width="9.5546875" style="533" bestFit="1" customWidth="1"/>
    <col min="14" max="14" width="9.44140625" style="820" bestFit="1" customWidth="1"/>
    <col min="15" max="15" width="11.5546875" style="533" customWidth="1"/>
    <col min="16" max="16" width="10.44140625" style="533" customWidth="1"/>
    <col min="17" max="17" width="10.44140625" style="813" customWidth="1"/>
    <col min="18" max="18" width="9.44140625" style="533" bestFit="1" customWidth="1"/>
    <col min="19" max="22" width="9.44140625" style="813" customWidth="1"/>
    <col min="23" max="23" width="11.5546875" style="813" customWidth="1"/>
    <col min="24" max="27" width="9.44140625" style="813" customWidth="1"/>
    <col min="28" max="28" width="16.88671875" style="1060" customWidth="1"/>
    <col min="29" max="33" width="11.5546875" style="533" customWidth="1"/>
    <col min="34" max="34" width="9.44140625" style="533" bestFit="1" customWidth="1"/>
    <col min="35" max="35" width="9.44140625" style="1060" bestFit="1" customWidth="1"/>
    <col min="36" max="36" width="11.109375" style="533" customWidth="1"/>
    <col min="37" max="37" width="12.44140625" style="533" customWidth="1"/>
    <col min="38" max="38" width="11.5546875" style="533" customWidth="1"/>
    <col min="39" max="39" width="15" style="533" customWidth="1"/>
    <col min="40" max="40" width="9.44140625" style="1036" bestFit="1" customWidth="1"/>
    <col min="41" max="41" width="9.5546875" style="533" bestFit="1" customWidth="1"/>
    <col min="42" max="42" width="11" style="533" customWidth="1"/>
    <col min="43" max="43" width="10.5546875" style="533" customWidth="1"/>
    <col min="44" max="44" width="12" style="533" customWidth="1"/>
    <col min="45" max="45" width="9.88671875" style="533" customWidth="1"/>
    <col min="46" max="46" width="12.109375" style="648" customWidth="1"/>
    <col min="47" max="47" width="10.88671875" style="533" customWidth="1"/>
    <col min="48" max="48" width="12.5546875" style="533" customWidth="1"/>
    <col min="49" max="49" width="9.109375" style="648"/>
    <col min="50" max="51" width="9.6640625" style="648" bestFit="1" customWidth="1"/>
    <col min="52" max="52" width="9.109375" style="648"/>
    <col min="53" max="53" width="9.109375" style="1060"/>
    <col min="54" max="54" width="9.44140625" style="533" bestFit="1" customWidth="1"/>
    <col min="55" max="55" width="9.109375" style="1036"/>
    <col min="56" max="67" width="9.44140625" style="533" bestFit="1" customWidth="1"/>
    <col min="68" max="70" width="9.109375" style="533"/>
    <col min="71" max="72" width="9.109375" style="1036"/>
    <col min="73" max="73" width="9.44140625" style="533" bestFit="1" customWidth="1"/>
    <col min="74" max="74" width="9.109375" style="533"/>
    <col min="75" max="81" width="9.44140625" style="533" bestFit="1" customWidth="1"/>
    <col min="82" max="82" width="10" style="533" customWidth="1"/>
    <col min="83" max="85" width="9.44140625" style="533" bestFit="1" customWidth="1"/>
    <col min="86" max="86" width="10.44140625" style="533" customWidth="1"/>
    <col min="87" max="88" width="9.44140625" style="533" bestFit="1" customWidth="1"/>
    <col min="89" max="91" width="9.109375" style="533"/>
    <col min="92" max="93" width="9.109375" style="1036"/>
    <col min="94" max="94" width="9.44140625" style="533" bestFit="1" customWidth="1"/>
    <col min="95" max="95" width="9.109375" style="533"/>
    <col min="96" max="96" width="9.44140625" style="533" bestFit="1" customWidth="1"/>
    <col min="97" max="97" width="10.44140625" style="533" customWidth="1"/>
    <col min="98" max="98" width="9.88671875" style="533" customWidth="1"/>
    <col min="99" max="99" width="10" style="533" customWidth="1"/>
    <col min="100" max="101" width="10.44140625" style="533" customWidth="1"/>
    <col min="102" max="102" width="11.109375" style="533" customWidth="1"/>
    <col min="103" max="103" width="10.109375" style="533" customWidth="1"/>
    <col min="104" max="104" width="10.44140625" style="533" customWidth="1"/>
    <col min="105" max="105" width="9.88671875" style="533" customWidth="1"/>
    <col min="106" max="106" width="12.5546875" style="1013" customWidth="1"/>
    <col min="107" max="107" width="12" style="1013" customWidth="1"/>
    <col min="108" max="108" width="9.5546875" style="1013" customWidth="1"/>
    <col min="109" max="109" width="9.5546875" style="533" customWidth="1"/>
    <col min="110" max="110" width="9.44140625" style="533" customWidth="1"/>
    <col min="111" max="111" width="9.109375" style="1036"/>
    <col min="112" max="112" width="10.5546875" style="648" customWidth="1"/>
    <col min="113" max="113" width="10.109375" style="533" customWidth="1"/>
    <col min="114" max="114" width="9.88671875" style="648" customWidth="1"/>
    <col min="115" max="115" width="10.44140625" style="533" customWidth="1"/>
    <col min="116" max="116" width="9.88671875" style="648" customWidth="1"/>
    <col min="117" max="117" width="10.5546875" style="533" customWidth="1"/>
    <col min="118" max="119" width="9.44140625" style="533" bestFit="1" customWidth="1"/>
    <col min="120" max="120" width="9.5546875" style="541" bestFit="1" customWidth="1"/>
    <col min="121" max="121" width="10.109375" style="541" bestFit="1" customWidth="1"/>
    <col min="122" max="122" width="9.5546875" style="541" bestFit="1" customWidth="1"/>
    <col min="123" max="124" width="10.88671875" style="533" customWidth="1"/>
    <col min="125" max="125" width="10.44140625" style="533" customWidth="1"/>
    <col min="126" max="128" width="10.88671875" style="533" customWidth="1"/>
    <col min="129" max="129" width="9.44140625" style="533" bestFit="1" customWidth="1"/>
    <col min="130" max="130" width="9.5546875" style="533" bestFit="1" customWidth="1"/>
    <col min="131" max="131" width="9.109375" style="533"/>
    <col min="132" max="132" width="9.44140625" style="533" bestFit="1" customWidth="1"/>
    <col min="133" max="133" width="9.109375" style="533"/>
    <col min="134" max="134" width="11.5546875" style="533" bestFit="1" customWidth="1"/>
    <col min="135" max="135" width="9.109375" style="533"/>
    <col min="136" max="136" width="10.44140625" style="533" customWidth="1"/>
    <col min="137" max="138" width="9.109375" style="533"/>
    <col min="139" max="140" width="12.5546875" style="533" customWidth="1"/>
    <col min="141" max="142" width="9.109375" style="533"/>
    <col min="143" max="143" width="10.44140625" style="533" bestFit="1" customWidth="1"/>
    <col min="144" max="149" width="9.44140625" style="533" bestFit="1" customWidth="1"/>
    <col min="150" max="159" width="9.109375" style="533"/>
    <col min="160" max="162" width="9.44140625" style="563" bestFit="1" customWidth="1"/>
    <col min="163" max="164" width="9.109375" style="563"/>
    <col min="165" max="165" width="9.44140625" style="563" bestFit="1" customWidth="1"/>
    <col min="166" max="166" width="9.5546875" style="563" bestFit="1" customWidth="1"/>
    <col min="167" max="167" width="9.109375" style="533"/>
    <col min="168" max="168" width="9.109375" style="1024"/>
    <col min="169" max="170" width="9.109375" style="533"/>
    <col min="171" max="171" width="9" style="533" customWidth="1"/>
    <col min="172" max="173" width="9.44140625" style="533" bestFit="1" customWidth="1"/>
    <col min="174" max="177" width="9.109375" style="533"/>
    <col min="178" max="178" width="9.6640625" style="533" customWidth="1"/>
    <col min="179" max="179" width="11" style="533" bestFit="1" customWidth="1"/>
    <col min="180" max="184" width="9.109375" style="533"/>
    <col min="185" max="185" width="10.44140625" style="533" bestFit="1" customWidth="1"/>
    <col min="186" max="186" width="9.88671875" style="533" bestFit="1" customWidth="1"/>
    <col min="187" max="187" width="9.44140625" style="533" bestFit="1" customWidth="1"/>
    <col min="188" max="188" width="9.88671875" style="533" bestFit="1" customWidth="1"/>
    <col min="189" max="189" width="9.44140625" style="533" bestFit="1" customWidth="1"/>
    <col min="190" max="190" width="11" style="533" bestFit="1" customWidth="1"/>
    <col min="191" max="191" width="9.109375" style="540"/>
    <col min="192" max="192" width="9.44140625" style="533" bestFit="1" customWidth="1"/>
    <col min="193" max="193" width="11.44140625" style="533" customWidth="1"/>
    <col min="194" max="199" width="9.44140625" style="533" bestFit="1" customWidth="1"/>
    <col min="200" max="200" width="11.44140625" style="533" customWidth="1"/>
    <col min="201" max="206" width="9.44140625" style="533" bestFit="1" customWidth="1"/>
    <col min="207" max="207" width="9.109375" style="533"/>
    <col min="208" max="213" width="9.44140625" style="533" bestFit="1" customWidth="1"/>
    <col min="214" max="214" width="9.109375" style="533"/>
    <col min="215" max="220" width="9.44140625" style="533" bestFit="1" customWidth="1"/>
    <col min="221" max="223" width="9.44140625" style="533" customWidth="1"/>
    <col min="224" max="224" width="9.109375" style="533"/>
    <col min="225" max="225" width="12" style="533" customWidth="1"/>
    <col min="226" max="227" width="9.109375" style="533"/>
    <col min="228" max="228" width="11.6640625" style="533" customWidth="1"/>
    <col min="229" max="229" width="12.6640625" style="533" customWidth="1"/>
    <col min="230" max="230" width="12.33203125" style="533" customWidth="1"/>
    <col min="231" max="231" width="11.5546875" style="533" customWidth="1"/>
    <col min="232" max="232" width="9.109375" style="533"/>
    <col min="233" max="233" width="14.6640625" style="533" customWidth="1"/>
    <col min="234" max="235" width="10.88671875" style="533" customWidth="1"/>
    <col min="236" max="236" width="10.33203125" style="533" customWidth="1"/>
    <col min="237" max="237" width="9.109375" style="533"/>
    <col min="238" max="238" width="16.6640625" style="533" customWidth="1"/>
    <col min="239" max="16384" width="9.109375" style="533"/>
  </cols>
  <sheetData>
    <row r="1" spans="1:243" s="506" customFormat="1" x14ac:dyDescent="0.25">
      <c r="A1" s="506">
        <v>2017</v>
      </c>
      <c r="H1" s="1003"/>
      <c r="K1" s="814"/>
      <c r="N1" s="820"/>
      <c r="Q1" s="807"/>
      <c r="S1" s="807"/>
      <c r="T1" s="807"/>
      <c r="U1" s="807"/>
      <c r="V1" s="807"/>
      <c r="W1" s="807"/>
      <c r="X1" s="807"/>
      <c r="Y1" s="807"/>
      <c r="Z1" s="807"/>
      <c r="AA1" s="807"/>
      <c r="AB1" s="1054"/>
      <c r="AI1" s="1054"/>
      <c r="AN1" s="1031"/>
      <c r="AT1" s="645"/>
      <c r="AW1" s="645"/>
      <c r="AX1" s="645"/>
      <c r="AY1" s="645"/>
      <c r="AZ1" s="645"/>
      <c r="BA1" s="1054"/>
      <c r="BC1" s="1031"/>
      <c r="BE1" s="506" t="s">
        <v>246</v>
      </c>
      <c r="BF1" s="506" t="s">
        <v>246</v>
      </c>
      <c r="BG1" s="506" t="s">
        <v>246</v>
      </c>
      <c r="BH1" s="506" t="s">
        <v>246</v>
      </c>
      <c r="BI1" s="506" t="s">
        <v>246</v>
      </c>
      <c r="BJ1" s="506" t="s">
        <v>246</v>
      </c>
      <c r="BK1" s="506" t="s">
        <v>246</v>
      </c>
      <c r="BL1" s="506" t="s">
        <v>246</v>
      </c>
      <c r="BM1" s="506" t="s">
        <v>246</v>
      </c>
      <c r="BN1" s="506" t="s">
        <v>246</v>
      </c>
      <c r="BO1" s="506" t="s">
        <v>246</v>
      </c>
      <c r="BP1" s="506" t="s">
        <v>246</v>
      </c>
      <c r="BQ1" s="506" t="s">
        <v>246</v>
      </c>
      <c r="BR1" s="506" t="s">
        <v>246</v>
      </c>
      <c r="BS1" s="1031"/>
      <c r="BT1" s="1031"/>
      <c r="BU1" s="506" t="s">
        <v>246</v>
      </c>
      <c r="BW1" s="506" t="s">
        <v>246</v>
      </c>
      <c r="BX1" s="506" t="s">
        <v>247</v>
      </c>
      <c r="BY1" s="506" t="s">
        <v>247</v>
      </c>
      <c r="BZ1" s="506" t="s">
        <v>247</v>
      </c>
      <c r="CA1" s="506" t="s">
        <v>247</v>
      </c>
      <c r="CB1" s="506" t="s">
        <v>247</v>
      </c>
      <c r="CC1" s="506" t="s">
        <v>247</v>
      </c>
      <c r="CD1" s="506" t="s">
        <v>247</v>
      </c>
      <c r="CE1" s="506" t="s">
        <v>247</v>
      </c>
      <c r="CF1" s="506" t="s">
        <v>247</v>
      </c>
      <c r="CG1" s="506" t="s">
        <v>247</v>
      </c>
      <c r="CH1" s="506" t="s">
        <v>247</v>
      </c>
      <c r="CI1" s="506" t="s">
        <v>247</v>
      </c>
      <c r="CJ1" s="506" t="s">
        <v>247</v>
      </c>
      <c r="CK1" s="506" t="s">
        <v>247</v>
      </c>
      <c r="CL1" s="506" t="s">
        <v>247</v>
      </c>
      <c r="CM1" s="506" t="s">
        <v>247</v>
      </c>
      <c r="CN1" s="1031"/>
      <c r="CO1" s="1031"/>
      <c r="CP1" s="506" t="s">
        <v>247</v>
      </c>
      <c r="CR1" s="506" t="s">
        <v>247</v>
      </c>
      <c r="CS1" s="506" t="s">
        <v>248</v>
      </c>
      <c r="CT1" s="506" t="s">
        <v>248</v>
      </c>
      <c r="CU1" s="506" t="s">
        <v>248</v>
      </c>
      <c r="CV1" s="506" t="s">
        <v>248</v>
      </c>
      <c r="CW1" s="506" t="s">
        <v>248</v>
      </c>
      <c r="CX1" s="506" t="s">
        <v>248</v>
      </c>
      <c r="CY1" s="506" t="s">
        <v>248</v>
      </c>
      <c r="CZ1" s="506" t="s">
        <v>248</v>
      </c>
      <c r="DA1" s="506" t="s">
        <v>248</v>
      </c>
      <c r="DB1" s="1006" t="s">
        <v>248</v>
      </c>
      <c r="DC1" s="1006" t="s">
        <v>248</v>
      </c>
      <c r="DD1" s="1006" t="s">
        <v>248</v>
      </c>
      <c r="DE1" s="506" t="s">
        <v>248</v>
      </c>
      <c r="DF1" s="506" t="s">
        <v>248</v>
      </c>
      <c r="DG1" s="1031"/>
      <c r="DH1" s="645" t="s">
        <v>248</v>
      </c>
      <c r="DI1" s="506" t="s">
        <v>248</v>
      </c>
      <c r="DJ1" s="645" t="s">
        <v>248</v>
      </c>
      <c r="DK1" s="506" t="s">
        <v>248</v>
      </c>
      <c r="DL1" s="645"/>
      <c r="DP1" s="520"/>
      <c r="DQ1" s="520"/>
      <c r="DR1" s="520"/>
      <c r="EH1" s="506" t="s">
        <v>151</v>
      </c>
      <c r="EI1" s="506" t="s">
        <v>151</v>
      </c>
      <c r="EJ1" s="506" t="s">
        <v>151</v>
      </c>
      <c r="EN1" s="506" t="s">
        <v>635</v>
      </c>
      <c r="EO1" s="506" t="s">
        <v>635</v>
      </c>
      <c r="EP1" s="506" t="s">
        <v>151</v>
      </c>
      <c r="EQ1" s="506" t="s">
        <v>151</v>
      </c>
      <c r="ER1" s="506" t="s">
        <v>151</v>
      </c>
      <c r="ES1" s="506" t="s">
        <v>151</v>
      </c>
      <c r="FD1" s="563"/>
      <c r="FE1" s="563"/>
      <c r="FF1" s="563"/>
      <c r="FG1" s="563"/>
      <c r="FH1" s="563"/>
      <c r="FI1" s="563"/>
      <c r="FJ1" s="563"/>
      <c r="FL1" s="1020"/>
      <c r="FO1" s="506" t="s">
        <v>151</v>
      </c>
      <c r="FP1" s="506" t="s">
        <v>151</v>
      </c>
      <c r="FQ1" s="506" t="s">
        <v>151</v>
      </c>
      <c r="FV1" s="506" t="s">
        <v>636</v>
      </c>
      <c r="GC1" s="506" t="s">
        <v>636</v>
      </c>
      <c r="GD1" s="506" t="s">
        <v>636</v>
      </c>
      <c r="GE1" s="506" t="s">
        <v>636</v>
      </c>
      <c r="GF1" s="506" t="s">
        <v>636</v>
      </c>
      <c r="GG1" s="506" t="s">
        <v>636</v>
      </c>
      <c r="GH1" s="506" t="s">
        <v>636</v>
      </c>
      <c r="GJ1" s="506" t="s">
        <v>634</v>
      </c>
    </row>
    <row r="2" spans="1:243" s="506" customFormat="1" x14ac:dyDescent="0.25">
      <c r="B2" s="506">
        <v>1</v>
      </c>
      <c r="C2" s="506">
        <v>2</v>
      </c>
      <c r="D2" s="506">
        <v>3</v>
      </c>
      <c r="E2" s="506">
        <v>4</v>
      </c>
      <c r="F2" s="506">
        <v>5</v>
      </c>
      <c r="G2" s="506">
        <v>6</v>
      </c>
      <c r="H2" s="1003">
        <v>7</v>
      </c>
      <c r="I2" s="506">
        <v>8</v>
      </c>
      <c r="J2" s="506">
        <v>9</v>
      </c>
      <c r="K2" s="814">
        <v>10</v>
      </c>
      <c r="L2" s="506">
        <v>11</v>
      </c>
      <c r="M2" s="506">
        <v>12</v>
      </c>
      <c r="N2" s="820">
        <v>13</v>
      </c>
      <c r="O2" s="506">
        <v>14</v>
      </c>
      <c r="P2" s="506">
        <v>15</v>
      </c>
      <c r="Q2" s="807">
        <v>16</v>
      </c>
      <c r="R2" s="506">
        <v>17</v>
      </c>
      <c r="S2" s="807"/>
      <c r="T2" s="807"/>
      <c r="U2" s="807"/>
      <c r="V2" s="807"/>
      <c r="W2" s="807"/>
      <c r="X2" s="807"/>
      <c r="Y2" s="807"/>
      <c r="Z2" s="807"/>
      <c r="AA2" s="807"/>
      <c r="AB2" s="1054"/>
      <c r="AC2" s="506">
        <v>18</v>
      </c>
      <c r="AD2" s="506">
        <v>19</v>
      </c>
      <c r="AE2" s="506">
        <v>20</v>
      </c>
      <c r="AF2" s="506">
        <v>21</v>
      </c>
      <c r="AG2" s="506">
        <v>22</v>
      </c>
      <c r="AH2" s="506">
        <v>23</v>
      </c>
      <c r="AI2" s="1054">
        <v>24</v>
      </c>
      <c r="AJ2" s="506">
        <v>25</v>
      </c>
      <c r="AK2" s="506">
        <v>26</v>
      </c>
      <c r="AL2" s="506">
        <v>27</v>
      </c>
      <c r="AM2" s="506">
        <v>28</v>
      </c>
      <c r="AN2" s="1031">
        <v>29</v>
      </c>
      <c r="AO2" s="506">
        <v>30</v>
      </c>
      <c r="AP2" s="506">
        <v>31</v>
      </c>
      <c r="AQ2" s="506">
        <v>32</v>
      </c>
      <c r="AR2" s="506">
        <v>33</v>
      </c>
      <c r="AS2" s="506">
        <v>34</v>
      </c>
      <c r="AT2" s="645">
        <v>35</v>
      </c>
      <c r="AU2" s="506">
        <v>36</v>
      </c>
      <c r="AV2" s="506">
        <v>37</v>
      </c>
      <c r="AW2" s="645">
        <v>38</v>
      </c>
      <c r="AX2" s="645">
        <v>39</v>
      </c>
      <c r="AY2" s="645">
        <v>40</v>
      </c>
      <c r="AZ2" s="645">
        <v>41</v>
      </c>
      <c r="BA2" s="1054">
        <v>42</v>
      </c>
      <c r="BB2" s="506">
        <v>43</v>
      </c>
      <c r="BC2" s="1031">
        <v>44</v>
      </c>
      <c r="BD2" s="506">
        <v>45</v>
      </c>
      <c r="BE2" s="506">
        <v>46</v>
      </c>
      <c r="BF2" s="506">
        <v>47</v>
      </c>
      <c r="BG2" s="506">
        <v>48</v>
      </c>
      <c r="BH2" s="506">
        <v>49</v>
      </c>
      <c r="BI2" s="506">
        <v>50</v>
      </c>
      <c r="BJ2" s="506">
        <v>51</v>
      </c>
      <c r="BK2" s="506">
        <v>52</v>
      </c>
      <c r="BL2" s="506">
        <v>53</v>
      </c>
      <c r="BM2" s="506">
        <v>54</v>
      </c>
      <c r="BN2" s="506">
        <v>55</v>
      </c>
      <c r="BO2" s="506">
        <v>56</v>
      </c>
      <c r="BP2" s="506">
        <v>57</v>
      </c>
      <c r="BQ2" s="506">
        <v>58</v>
      </c>
      <c r="BR2" s="506">
        <v>59</v>
      </c>
      <c r="BS2" s="1031">
        <v>60</v>
      </c>
      <c r="BT2" s="1031">
        <v>61</v>
      </c>
      <c r="BU2" s="506">
        <v>62</v>
      </c>
      <c r="BV2" s="506">
        <v>63</v>
      </c>
      <c r="BW2" s="506">
        <v>64</v>
      </c>
      <c r="BX2" s="506">
        <v>65</v>
      </c>
      <c r="BY2" s="506">
        <v>66</v>
      </c>
      <c r="BZ2" s="506">
        <v>67</v>
      </c>
      <c r="CA2" s="506">
        <v>68</v>
      </c>
      <c r="CB2" s="506">
        <v>69</v>
      </c>
      <c r="CC2" s="506">
        <v>70</v>
      </c>
      <c r="CD2" s="506">
        <v>71</v>
      </c>
      <c r="CE2" s="506">
        <v>72</v>
      </c>
      <c r="CF2" s="506">
        <v>73</v>
      </c>
      <c r="CG2" s="506">
        <v>74</v>
      </c>
      <c r="CH2" s="506">
        <v>75</v>
      </c>
      <c r="CI2" s="506">
        <v>76</v>
      </c>
      <c r="CJ2" s="506">
        <v>77</v>
      </c>
      <c r="CK2" s="506">
        <v>78</v>
      </c>
      <c r="CL2" s="506">
        <v>79</v>
      </c>
      <c r="CM2" s="506">
        <v>80</v>
      </c>
      <c r="CN2" s="1031">
        <v>81</v>
      </c>
      <c r="CO2" s="1031">
        <v>82</v>
      </c>
      <c r="CP2" s="506">
        <v>83</v>
      </c>
      <c r="CQ2" s="506">
        <v>84</v>
      </c>
      <c r="CR2" s="506">
        <v>85</v>
      </c>
      <c r="CS2" s="506">
        <v>86</v>
      </c>
      <c r="CT2" s="506">
        <v>87</v>
      </c>
      <c r="CU2" s="506">
        <v>88</v>
      </c>
      <c r="CV2" s="506">
        <v>89</v>
      </c>
      <c r="CW2" s="506">
        <v>90</v>
      </c>
      <c r="CX2" s="506">
        <v>91</v>
      </c>
      <c r="CY2" s="506">
        <v>92</v>
      </c>
      <c r="CZ2" s="506">
        <v>93</v>
      </c>
      <c r="DA2" s="506">
        <v>94</v>
      </c>
      <c r="DB2" s="1006">
        <v>95</v>
      </c>
      <c r="DC2" s="1006">
        <v>96</v>
      </c>
      <c r="DD2" s="1006">
        <v>97</v>
      </c>
      <c r="DE2" s="506">
        <v>98</v>
      </c>
      <c r="DF2" s="506">
        <v>99</v>
      </c>
      <c r="DG2" s="1031">
        <v>100</v>
      </c>
      <c r="DH2" s="645">
        <v>101</v>
      </c>
      <c r="DI2" s="506">
        <v>102</v>
      </c>
      <c r="DJ2" s="645">
        <v>103</v>
      </c>
      <c r="DK2" s="506">
        <v>104</v>
      </c>
      <c r="DL2" s="645">
        <v>105</v>
      </c>
      <c r="DM2" s="506">
        <v>106</v>
      </c>
      <c r="DN2" s="506">
        <v>107</v>
      </c>
      <c r="DO2" s="506">
        <v>108</v>
      </c>
      <c r="DP2" s="506">
        <v>109</v>
      </c>
      <c r="DQ2" s="506">
        <v>110</v>
      </c>
      <c r="DR2" s="506">
        <v>111</v>
      </c>
      <c r="DS2" s="506">
        <v>112</v>
      </c>
      <c r="DT2" s="506">
        <v>113</v>
      </c>
      <c r="DU2" s="506">
        <v>114</v>
      </c>
      <c r="DV2" s="506">
        <v>115</v>
      </c>
      <c r="DW2" s="506">
        <v>116</v>
      </c>
      <c r="DX2" s="506">
        <v>117</v>
      </c>
      <c r="DY2" s="506">
        <v>118</v>
      </c>
      <c r="DZ2" s="506">
        <v>119</v>
      </c>
      <c r="EA2" s="506">
        <v>120</v>
      </c>
      <c r="EB2" s="506">
        <v>121</v>
      </c>
      <c r="EC2" s="506">
        <v>122</v>
      </c>
      <c r="ED2" s="506">
        <v>123</v>
      </c>
      <c r="EE2" s="506">
        <v>124</v>
      </c>
      <c r="EF2" s="506">
        <v>125</v>
      </c>
      <c r="EG2" s="506">
        <v>126</v>
      </c>
      <c r="EH2" s="506">
        <v>127</v>
      </c>
      <c r="EI2" s="506">
        <v>128</v>
      </c>
      <c r="EJ2" s="506">
        <v>129</v>
      </c>
      <c r="EK2" s="506">
        <v>130</v>
      </c>
      <c r="EL2" s="506">
        <v>131</v>
      </c>
      <c r="EM2" s="506">
        <v>132</v>
      </c>
      <c r="EN2" s="506">
        <v>133</v>
      </c>
      <c r="EO2" s="506">
        <v>134</v>
      </c>
      <c r="EP2" s="506">
        <v>135</v>
      </c>
      <c r="EQ2" s="506">
        <v>136</v>
      </c>
      <c r="ER2" s="506">
        <v>137</v>
      </c>
      <c r="ES2" s="506">
        <v>138</v>
      </c>
      <c r="ET2" s="506">
        <v>139</v>
      </c>
      <c r="EU2" s="506">
        <v>140</v>
      </c>
      <c r="EV2" s="506">
        <v>141</v>
      </c>
      <c r="EW2" s="506">
        <v>142</v>
      </c>
      <c r="EX2" s="506">
        <v>143</v>
      </c>
      <c r="EY2" s="506">
        <v>144</v>
      </c>
      <c r="EZ2" s="506">
        <v>145</v>
      </c>
      <c r="FA2" s="506">
        <v>146</v>
      </c>
      <c r="FB2" s="506">
        <v>147</v>
      </c>
      <c r="FC2" s="506">
        <v>148</v>
      </c>
      <c r="FD2" s="563">
        <v>149</v>
      </c>
      <c r="FE2" s="563">
        <v>150</v>
      </c>
      <c r="FF2" s="563">
        <v>151</v>
      </c>
      <c r="FG2" s="563">
        <v>152</v>
      </c>
      <c r="FH2" s="563">
        <v>153</v>
      </c>
      <c r="FI2" s="563">
        <v>154</v>
      </c>
      <c r="FJ2" s="563">
        <v>155</v>
      </c>
      <c r="FK2" s="506">
        <v>156</v>
      </c>
      <c r="FL2" s="1020">
        <v>157</v>
      </c>
      <c r="FM2" s="506">
        <v>158</v>
      </c>
      <c r="FN2" s="506">
        <v>159</v>
      </c>
      <c r="FO2" s="506">
        <v>160</v>
      </c>
      <c r="FP2" s="506">
        <v>161</v>
      </c>
      <c r="FQ2" s="506">
        <v>162</v>
      </c>
      <c r="FR2" s="506">
        <v>163</v>
      </c>
      <c r="FS2" s="506">
        <v>164</v>
      </c>
      <c r="FT2" s="506">
        <v>165</v>
      </c>
      <c r="FU2" s="506">
        <v>166</v>
      </c>
      <c r="FV2" s="506">
        <v>180</v>
      </c>
      <c r="FW2" s="506">
        <v>168</v>
      </c>
      <c r="FY2" s="506">
        <v>170</v>
      </c>
      <c r="FZ2" s="506">
        <v>171</v>
      </c>
      <c r="GA2" s="506">
        <v>172</v>
      </c>
      <c r="GB2" s="506">
        <v>173</v>
      </c>
      <c r="GC2" s="506">
        <v>174</v>
      </c>
      <c r="GD2" s="506">
        <v>175</v>
      </c>
      <c r="GE2" s="506">
        <v>176</v>
      </c>
      <c r="GF2" s="506">
        <v>177</v>
      </c>
      <c r="GG2" s="506">
        <v>178</v>
      </c>
      <c r="GH2" s="506">
        <v>179</v>
      </c>
      <c r="GJ2" s="506">
        <v>181</v>
      </c>
      <c r="GK2" s="506">
        <v>182</v>
      </c>
      <c r="GL2" s="506">
        <v>183</v>
      </c>
      <c r="GM2" s="506">
        <v>184</v>
      </c>
      <c r="GN2" s="506">
        <v>185</v>
      </c>
      <c r="GO2" s="506">
        <v>186</v>
      </c>
      <c r="GP2" s="506">
        <v>187</v>
      </c>
      <c r="GQ2" s="506">
        <v>188</v>
      </c>
      <c r="GR2" s="506">
        <v>189</v>
      </c>
      <c r="GS2" s="506">
        <v>190</v>
      </c>
      <c r="GT2" s="506">
        <v>191</v>
      </c>
      <c r="GU2" s="506">
        <v>192</v>
      </c>
      <c r="GV2" s="506">
        <v>193</v>
      </c>
      <c r="GW2" s="506">
        <v>194</v>
      </c>
      <c r="GX2" s="506">
        <v>195</v>
      </c>
      <c r="GY2" s="506">
        <v>196</v>
      </c>
      <c r="GZ2" s="506">
        <v>197</v>
      </c>
      <c r="HA2" s="506">
        <v>198</v>
      </c>
      <c r="HB2" s="506">
        <v>199</v>
      </c>
      <c r="HC2" s="506">
        <v>200</v>
      </c>
      <c r="HD2" s="506">
        <v>201</v>
      </c>
      <c r="HE2" s="506">
        <v>202</v>
      </c>
      <c r="HF2" s="506">
        <v>203</v>
      </c>
      <c r="HG2" s="506">
        <v>204</v>
      </c>
      <c r="HH2" s="506">
        <v>205</v>
      </c>
      <c r="HI2" s="506">
        <v>206</v>
      </c>
      <c r="HJ2" s="506">
        <v>207</v>
      </c>
      <c r="HK2" s="506">
        <v>208</v>
      </c>
      <c r="HL2" s="506">
        <v>209</v>
      </c>
    </row>
    <row r="3" spans="1:243" s="506" customFormat="1" x14ac:dyDescent="0.25">
      <c r="H3" s="1003"/>
      <c r="K3" s="814"/>
      <c r="N3" s="820"/>
      <c r="Q3" s="807"/>
      <c r="S3" s="808">
        <v>18</v>
      </c>
      <c r="T3" s="808">
        <v>19</v>
      </c>
      <c r="U3" s="808">
        <v>20</v>
      </c>
      <c r="V3" s="808">
        <v>21</v>
      </c>
      <c r="W3" s="808">
        <v>22</v>
      </c>
      <c r="X3" s="808">
        <v>23</v>
      </c>
      <c r="Y3" s="808">
        <v>24</v>
      </c>
      <c r="Z3" s="808">
        <v>25</v>
      </c>
      <c r="AA3" s="808">
        <v>26</v>
      </c>
      <c r="AB3" s="1055">
        <v>27</v>
      </c>
      <c r="AC3" s="744">
        <v>28</v>
      </c>
      <c r="AD3" s="744">
        <v>29</v>
      </c>
      <c r="AE3" s="744">
        <v>30</v>
      </c>
      <c r="AF3" s="744">
        <v>31</v>
      </c>
      <c r="AG3" s="744">
        <v>32</v>
      </c>
      <c r="AH3" s="744">
        <v>33</v>
      </c>
      <c r="AI3" s="1055">
        <v>34</v>
      </c>
      <c r="AJ3" s="744">
        <v>35</v>
      </c>
      <c r="AK3" s="744">
        <v>36</v>
      </c>
      <c r="AL3" s="744">
        <v>37</v>
      </c>
      <c r="AM3" s="744">
        <v>38</v>
      </c>
      <c r="AN3" s="1032">
        <v>39</v>
      </c>
      <c r="AO3" s="744">
        <v>40</v>
      </c>
      <c r="AP3" s="744">
        <v>41</v>
      </c>
      <c r="AQ3" s="744">
        <v>42</v>
      </c>
      <c r="AR3" s="744">
        <v>43</v>
      </c>
      <c r="AS3" s="744">
        <v>44</v>
      </c>
      <c r="AT3" s="767">
        <v>45</v>
      </c>
      <c r="AU3" s="744">
        <v>46</v>
      </c>
      <c r="AV3" s="744">
        <v>47</v>
      </c>
      <c r="AW3" s="767">
        <v>48</v>
      </c>
      <c r="AX3" s="767">
        <v>49</v>
      </c>
      <c r="AY3" s="767">
        <v>50</v>
      </c>
      <c r="AZ3" s="767">
        <v>51</v>
      </c>
      <c r="BA3" s="1055">
        <v>52</v>
      </c>
      <c r="BB3" s="744">
        <v>53</v>
      </c>
      <c r="BC3" s="1032">
        <v>54</v>
      </c>
      <c r="BD3" s="744">
        <v>55</v>
      </c>
      <c r="BE3" s="744">
        <v>56</v>
      </c>
      <c r="BF3" s="744">
        <v>57</v>
      </c>
      <c r="BG3" s="744">
        <v>58</v>
      </c>
      <c r="BH3" s="744">
        <v>59</v>
      </c>
      <c r="BI3" s="744">
        <v>60</v>
      </c>
      <c r="BJ3" s="744">
        <v>61</v>
      </c>
      <c r="BK3" s="744">
        <v>62</v>
      </c>
      <c r="BL3" s="744">
        <v>63</v>
      </c>
      <c r="BM3" s="744">
        <v>64</v>
      </c>
      <c r="BN3" s="744">
        <v>65</v>
      </c>
      <c r="BO3" s="768">
        <v>66</v>
      </c>
      <c r="BP3" s="744">
        <v>67</v>
      </c>
      <c r="BQ3" s="744">
        <v>68</v>
      </c>
      <c r="BR3" s="744">
        <v>69</v>
      </c>
      <c r="BS3" s="1032">
        <v>70</v>
      </c>
      <c r="BT3" s="1032">
        <v>71</v>
      </c>
      <c r="BU3" s="744">
        <v>72</v>
      </c>
      <c r="BV3" s="744">
        <v>73</v>
      </c>
      <c r="BW3" s="744">
        <v>74</v>
      </c>
      <c r="BX3" s="744">
        <v>75</v>
      </c>
      <c r="BY3" s="744">
        <v>76</v>
      </c>
      <c r="BZ3" s="744">
        <v>77</v>
      </c>
      <c r="CA3" s="744">
        <v>78</v>
      </c>
      <c r="CB3" s="744">
        <v>79</v>
      </c>
      <c r="CC3" s="744">
        <v>80</v>
      </c>
      <c r="CD3" s="744">
        <v>81</v>
      </c>
      <c r="CE3" s="744">
        <v>82</v>
      </c>
      <c r="CF3" s="744">
        <v>83</v>
      </c>
      <c r="CG3" s="744">
        <v>84</v>
      </c>
      <c r="CH3" s="744">
        <v>85</v>
      </c>
      <c r="CI3" s="744">
        <v>86</v>
      </c>
      <c r="CJ3" s="744">
        <v>87</v>
      </c>
      <c r="CK3" s="744">
        <v>88</v>
      </c>
      <c r="CL3" s="744">
        <v>89</v>
      </c>
      <c r="CM3" s="744">
        <v>90</v>
      </c>
      <c r="CN3" s="1032">
        <v>91</v>
      </c>
      <c r="CO3" s="1032">
        <v>92</v>
      </c>
      <c r="CP3" s="744">
        <v>93</v>
      </c>
      <c r="CQ3" s="744">
        <v>94</v>
      </c>
      <c r="CR3" s="744">
        <v>95</v>
      </c>
      <c r="CS3" s="744">
        <v>96</v>
      </c>
      <c r="CT3" s="744">
        <v>97</v>
      </c>
      <c r="CU3" s="744">
        <v>98</v>
      </c>
      <c r="CV3" s="744">
        <v>99</v>
      </c>
      <c r="CW3" s="744">
        <v>100</v>
      </c>
      <c r="CX3" s="744">
        <v>101</v>
      </c>
      <c r="CY3" s="744">
        <v>102</v>
      </c>
      <c r="CZ3" s="744">
        <v>103</v>
      </c>
      <c r="DA3" s="744">
        <v>104</v>
      </c>
      <c r="DB3" s="1007">
        <v>105</v>
      </c>
      <c r="DC3" s="1007">
        <v>106</v>
      </c>
      <c r="DD3" s="1007">
        <v>107</v>
      </c>
      <c r="DE3" s="744">
        <v>108</v>
      </c>
      <c r="DF3" s="744">
        <v>109</v>
      </c>
      <c r="DG3" s="1032">
        <v>110</v>
      </c>
      <c r="DH3" s="767">
        <v>111</v>
      </c>
      <c r="DI3" s="744">
        <v>112</v>
      </c>
      <c r="DJ3" s="767">
        <v>113</v>
      </c>
      <c r="DK3" s="744">
        <v>114</v>
      </c>
      <c r="DL3" s="767">
        <v>115</v>
      </c>
      <c r="DM3" s="744">
        <v>116</v>
      </c>
      <c r="DN3" s="744">
        <v>117</v>
      </c>
      <c r="DO3" s="744">
        <v>118</v>
      </c>
      <c r="DP3" s="768">
        <v>119</v>
      </c>
      <c r="DQ3" s="768">
        <v>120</v>
      </c>
      <c r="DR3" s="768">
        <v>121</v>
      </c>
      <c r="DS3" s="744">
        <v>122</v>
      </c>
      <c r="DT3" s="744">
        <v>123</v>
      </c>
      <c r="DU3" s="744">
        <v>124</v>
      </c>
      <c r="DV3" s="744">
        <v>125</v>
      </c>
      <c r="DW3" s="744">
        <v>126</v>
      </c>
      <c r="DX3" s="744">
        <v>127</v>
      </c>
      <c r="DY3" s="744">
        <v>128</v>
      </c>
      <c r="DZ3" s="744">
        <v>129</v>
      </c>
      <c r="EA3" s="744">
        <v>130</v>
      </c>
      <c r="EB3" s="744">
        <v>131</v>
      </c>
      <c r="EC3" s="744">
        <v>132</v>
      </c>
      <c r="ED3" s="744">
        <v>133</v>
      </c>
      <c r="EE3" s="744">
        <v>134</v>
      </c>
      <c r="EF3" s="744">
        <v>135</v>
      </c>
      <c r="EG3" s="744">
        <v>136</v>
      </c>
      <c r="EH3" s="744">
        <v>137</v>
      </c>
      <c r="EI3" s="744">
        <v>138</v>
      </c>
      <c r="EJ3" s="744">
        <v>139</v>
      </c>
      <c r="EK3" s="744">
        <v>140</v>
      </c>
      <c r="EL3" s="744">
        <v>141</v>
      </c>
      <c r="EM3" s="744">
        <v>142</v>
      </c>
      <c r="EN3" s="744">
        <v>143</v>
      </c>
      <c r="EO3" s="744">
        <v>144</v>
      </c>
      <c r="EP3" s="744">
        <v>145</v>
      </c>
      <c r="EQ3" s="744">
        <v>146</v>
      </c>
      <c r="ER3" s="744">
        <v>147</v>
      </c>
      <c r="ES3" s="744">
        <v>148</v>
      </c>
      <c r="ET3" s="744">
        <v>149</v>
      </c>
      <c r="EU3" s="744">
        <v>150</v>
      </c>
      <c r="EV3" s="744">
        <v>151</v>
      </c>
      <c r="EW3" s="744">
        <v>152</v>
      </c>
      <c r="EX3" s="744">
        <v>153</v>
      </c>
      <c r="EY3" s="744">
        <v>154</v>
      </c>
      <c r="EZ3" s="744">
        <v>155</v>
      </c>
      <c r="FA3" s="744">
        <v>156</v>
      </c>
      <c r="FB3" s="744">
        <v>157</v>
      </c>
      <c r="FC3" s="744">
        <v>158</v>
      </c>
      <c r="FD3" s="769">
        <v>159</v>
      </c>
      <c r="FE3" s="769">
        <v>160</v>
      </c>
      <c r="FF3" s="769">
        <v>161</v>
      </c>
      <c r="FG3" s="769">
        <v>162</v>
      </c>
      <c r="FH3" s="769">
        <v>163</v>
      </c>
      <c r="FI3" s="769">
        <v>164</v>
      </c>
      <c r="FJ3" s="769">
        <v>165</v>
      </c>
      <c r="FK3" s="744">
        <v>166</v>
      </c>
      <c r="FL3" s="1021">
        <v>167</v>
      </c>
      <c r="FM3" s="744">
        <v>168</v>
      </c>
      <c r="FN3" s="744">
        <v>169</v>
      </c>
      <c r="FO3" s="744">
        <v>170</v>
      </c>
      <c r="FP3" s="744">
        <v>171</v>
      </c>
      <c r="FQ3" s="744">
        <v>172</v>
      </c>
      <c r="FR3" s="744">
        <v>173</v>
      </c>
      <c r="FS3" s="744">
        <v>174</v>
      </c>
      <c r="FT3" s="744">
        <v>175</v>
      </c>
      <c r="FU3" s="744">
        <v>176</v>
      </c>
      <c r="FV3" s="744">
        <v>177</v>
      </c>
      <c r="FW3" s="744">
        <v>178</v>
      </c>
      <c r="FX3" s="744"/>
      <c r="FY3" s="744">
        <v>180</v>
      </c>
      <c r="FZ3" s="744">
        <v>181</v>
      </c>
      <c r="GA3" s="744">
        <v>182</v>
      </c>
      <c r="GB3" s="744">
        <v>183</v>
      </c>
      <c r="GC3" s="744">
        <v>184</v>
      </c>
      <c r="GD3" s="744">
        <v>185</v>
      </c>
      <c r="GE3" s="744">
        <v>186</v>
      </c>
      <c r="GF3" s="744">
        <v>187</v>
      </c>
      <c r="GG3" s="744">
        <v>188</v>
      </c>
      <c r="GH3" s="744">
        <v>189</v>
      </c>
      <c r="GI3" s="744">
        <v>190</v>
      </c>
      <c r="GJ3" s="744">
        <v>191</v>
      </c>
      <c r="GK3" s="744">
        <v>192</v>
      </c>
      <c r="GL3" s="744">
        <v>193</v>
      </c>
      <c r="GM3" s="744">
        <v>194</v>
      </c>
      <c r="GN3" s="744">
        <v>195</v>
      </c>
      <c r="GO3" s="744">
        <v>196</v>
      </c>
      <c r="GP3" s="744">
        <v>197</v>
      </c>
      <c r="GQ3" s="745">
        <v>198</v>
      </c>
      <c r="GR3" s="744">
        <v>199</v>
      </c>
      <c r="GS3" s="744">
        <v>200</v>
      </c>
      <c r="GT3" s="744">
        <v>201</v>
      </c>
      <c r="GU3" s="744">
        <v>202</v>
      </c>
      <c r="GV3" s="744">
        <v>203</v>
      </c>
      <c r="GW3" s="744">
        <v>204</v>
      </c>
      <c r="GX3" s="744">
        <v>205</v>
      </c>
      <c r="GY3" s="744">
        <v>206</v>
      </c>
      <c r="GZ3" s="744">
        <v>207</v>
      </c>
      <c r="HA3" s="744">
        <v>208</v>
      </c>
      <c r="HB3" s="744">
        <v>209</v>
      </c>
      <c r="HC3" s="744">
        <v>210</v>
      </c>
      <c r="HD3" s="744">
        <v>211</v>
      </c>
      <c r="HE3" s="744">
        <v>212</v>
      </c>
      <c r="HF3" s="744">
        <v>213</v>
      </c>
      <c r="HG3" s="744">
        <v>214</v>
      </c>
      <c r="HH3" s="744">
        <v>215</v>
      </c>
      <c r="HI3" s="744">
        <v>216</v>
      </c>
      <c r="HJ3" s="744">
        <v>217</v>
      </c>
      <c r="HK3" s="744">
        <v>218</v>
      </c>
      <c r="HL3" s="744">
        <v>219</v>
      </c>
      <c r="HM3" s="744"/>
      <c r="HN3" s="744"/>
      <c r="HO3" s="744"/>
      <c r="HP3" s="744"/>
      <c r="HQ3" s="744"/>
      <c r="HR3" s="745"/>
      <c r="HT3" s="1067"/>
      <c r="HU3" s="1068"/>
    </row>
    <row r="4" spans="1:243" s="506" customFormat="1" x14ac:dyDescent="0.25">
      <c r="A4" s="522" t="s">
        <v>502</v>
      </c>
      <c r="H4" s="1003"/>
      <c r="K4" s="814"/>
      <c r="N4" s="820"/>
      <c r="Q4" s="807"/>
      <c r="S4" s="807"/>
      <c r="T4" s="807"/>
      <c r="U4" s="807"/>
      <c r="V4" s="807"/>
      <c r="W4" s="807"/>
      <c r="X4" s="807"/>
      <c r="Y4" s="807"/>
      <c r="Z4" s="807"/>
      <c r="AA4" s="807"/>
      <c r="AB4" s="1054"/>
      <c r="AH4" s="506">
        <v>42</v>
      </c>
      <c r="AI4" s="1054">
        <v>43</v>
      </c>
      <c r="AJ4" s="506">
        <v>44</v>
      </c>
      <c r="AK4" s="506">
        <v>45</v>
      </c>
      <c r="AN4" s="1031">
        <v>50</v>
      </c>
      <c r="AO4" s="506">
        <v>48</v>
      </c>
      <c r="AT4" s="645"/>
      <c r="AU4" s="506">
        <v>68</v>
      </c>
      <c r="AV4" s="506">
        <v>70</v>
      </c>
      <c r="AW4" s="645">
        <v>14</v>
      </c>
      <c r="AX4" s="645">
        <v>15</v>
      </c>
      <c r="AY4" s="645">
        <v>16</v>
      </c>
      <c r="AZ4" s="645">
        <v>17</v>
      </c>
      <c r="BA4" s="1054">
        <v>18</v>
      </c>
      <c r="BB4" s="506">
        <v>75</v>
      </c>
      <c r="BC4" s="1031"/>
      <c r="BD4" s="506">
        <v>81</v>
      </c>
      <c r="BS4" s="1031"/>
      <c r="BT4" s="1031"/>
      <c r="CN4" s="1031"/>
      <c r="CO4" s="1031"/>
      <c r="DB4" s="1006"/>
      <c r="DC4" s="1006"/>
      <c r="DD4" s="1006"/>
      <c r="DG4" s="1031"/>
      <c r="DH4" s="645"/>
      <c r="DJ4" s="645"/>
      <c r="DL4" s="645"/>
      <c r="DP4" s="520"/>
      <c r="DQ4" s="520"/>
      <c r="DR4" s="520"/>
      <c r="DX4" s="506">
        <v>49</v>
      </c>
      <c r="FD4" s="563"/>
      <c r="FE4" s="563"/>
      <c r="FF4" s="563"/>
      <c r="FG4" s="563"/>
      <c r="FH4" s="563"/>
      <c r="FI4" s="563"/>
      <c r="FJ4" s="563"/>
      <c r="FL4" s="1020"/>
      <c r="FV4" s="1107">
        <v>42918</v>
      </c>
      <c r="FW4" s="1107">
        <v>43027</v>
      </c>
      <c r="GB4" s="1067" t="s">
        <v>710</v>
      </c>
      <c r="GC4" s="1107">
        <v>42782</v>
      </c>
      <c r="GD4" s="1107">
        <v>42904</v>
      </c>
      <c r="GE4" s="1110">
        <f>20000*AFtoMG</f>
        <v>6520</v>
      </c>
      <c r="GF4" s="1107">
        <v>42909</v>
      </c>
      <c r="GG4" s="1078">
        <f>GE4/2</f>
        <v>3260</v>
      </c>
      <c r="GH4" s="1108">
        <v>43040</v>
      </c>
      <c r="GJ4" s="506">
        <v>46</v>
      </c>
      <c r="GK4" s="506">
        <v>47</v>
      </c>
      <c r="GL4" s="506">
        <v>71</v>
      </c>
      <c r="GM4" s="506">
        <v>72</v>
      </c>
      <c r="GN4" s="506">
        <v>73</v>
      </c>
      <c r="GO4" s="506">
        <v>74</v>
      </c>
      <c r="GP4" s="506">
        <v>76</v>
      </c>
      <c r="GQ4" s="506">
        <v>80</v>
      </c>
      <c r="GR4" s="506">
        <v>78</v>
      </c>
      <c r="HQ4" s="1067"/>
      <c r="HR4" s="521"/>
      <c r="HT4" s="1067"/>
      <c r="HU4" s="1068"/>
    </row>
    <row r="5" spans="1:243" s="506" customFormat="1" x14ac:dyDescent="0.25">
      <c r="B5" s="1256"/>
      <c r="C5" s="1256"/>
      <c r="D5" s="523"/>
      <c r="E5" s="523"/>
      <c r="F5" s="523"/>
      <c r="G5" s="523"/>
      <c r="H5" s="1004"/>
      <c r="I5" s="523"/>
      <c r="J5" s="523"/>
      <c r="K5" s="815"/>
      <c r="L5" s="523"/>
      <c r="M5" s="523"/>
      <c r="N5" s="821"/>
      <c r="O5" s="523"/>
      <c r="P5" s="523"/>
      <c r="Q5" s="1259" t="s">
        <v>699</v>
      </c>
      <c r="R5" s="523"/>
      <c r="S5" s="809"/>
      <c r="T5" s="809"/>
      <c r="U5" s="809"/>
      <c r="V5" s="809"/>
      <c r="W5" s="809"/>
      <c r="X5" s="809"/>
      <c r="Y5" s="809"/>
      <c r="Z5" s="809"/>
      <c r="AA5" s="809"/>
      <c r="AB5" s="1056"/>
      <c r="AC5" s="523"/>
      <c r="AD5" s="523"/>
      <c r="AE5" s="523"/>
      <c r="AF5" s="523"/>
      <c r="AG5" s="523"/>
      <c r="AH5" s="523"/>
      <c r="AI5" s="1056"/>
      <c r="AJ5" s="523"/>
      <c r="AK5" s="523"/>
      <c r="AL5" s="523"/>
      <c r="AM5" s="523"/>
      <c r="AN5" s="1033"/>
      <c r="AO5" s="523"/>
      <c r="AP5" s="1262" t="s">
        <v>461</v>
      </c>
      <c r="AQ5" s="1262" t="s">
        <v>504</v>
      </c>
      <c r="AR5" s="1262" t="s">
        <v>462</v>
      </c>
      <c r="AS5" s="523"/>
      <c r="AT5" s="1267" t="s">
        <v>754</v>
      </c>
      <c r="AU5" s="523"/>
      <c r="AV5" s="523"/>
      <c r="AW5" s="646"/>
      <c r="AX5" s="646"/>
      <c r="AY5" s="646"/>
      <c r="AZ5" s="646"/>
      <c r="BA5" s="1056"/>
      <c r="BB5" s="523"/>
      <c r="BC5" s="1033"/>
      <c r="BD5" s="523"/>
      <c r="BE5" s="523"/>
      <c r="BF5" s="523"/>
      <c r="BG5" s="523"/>
      <c r="BH5" s="523"/>
      <c r="BI5" s="523"/>
      <c r="BJ5" s="523"/>
      <c r="BK5" s="523"/>
      <c r="BL5" s="523"/>
      <c r="BM5" s="523"/>
      <c r="BN5" s="523"/>
      <c r="BO5" s="523"/>
      <c r="BP5" s="523"/>
      <c r="BQ5" s="523"/>
      <c r="BR5" s="523"/>
      <c r="BS5" s="1033"/>
      <c r="BT5" s="1033"/>
      <c r="BU5" s="523"/>
      <c r="BV5" s="523"/>
      <c r="BW5" s="523"/>
      <c r="BX5" s="523"/>
      <c r="BY5" s="523"/>
      <c r="BZ5" s="523"/>
      <c r="CA5" s="523"/>
      <c r="CB5" s="523"/>
      <c r="CC5" s="523"/>
      <c r="CD5" s="523"/>
      <c r="CE5" s="523"/>
      <c r="CF5" s="523"/>
      <c r="CG5" s="523"/>
      <c r="CH5" s="523"/>
      <c r="CI5" s="523"/>
      <c r="CJ5" s="523"/>
      <c r="CK5" s="523"/>
      <c r="CL5" s="523"/>
      <c r="CM5" s="523"/>
      <c r="CN5" s="1033"/>
      <c r="CO5" s="1033"/>
      <c r="CP5" s="523"/>
      <c r="CQ5" s="523"/>
      <c r="CR5" s="523"/>
      <c r="CS5" s="523"/>
      <c r="CT5" s="523"/>
      <c r="CU5" s="523"/>
      <c r="CV5" s="523"/>
      <c r="CW5" s="523"/>
      <c r="CX5" s="523"/>
      <c r="CY5" s="523"/>
      <c r="CZ5" s="523"/>
      <c r="DA5" s="523"/>
      <c r="DB5" s="1008"/>
      <c r="DC5" s="1008"/>
      <c r="DD5" s="1008"/>
      <c r="DE5" s="523"/>
      <c r="DF5" s="523"/>
      <c r="DG5" s="1033"/>
      <c r="DH5" s="646"/>
      <c r="DI5" s="523"/>
      <c r="DJ5" s="646"/>
      <c r="DK5" s="523"/>
      <c r="DL5" s="646"/>
      <c r="DM5" s="523"/>
      <c r="DN5" s="523"/>
      <c r="DO5" s="523"/>
      <c r="DP5" s="524"/>
      <c r="DQ5" s="524"/>
      <c r="DR5" s="524"/>
      <c r="DS5" s="523"/>
      <c r="DT5" s="523"/>
      <c r="DU5" s="523"/>
      <c r="DV5" s="523"/>
      <c r="DW5" s="523"/>
      <c r="DX5" s="523"/>
      <c r="DY5" s="523"/>
      <c r="DZ5" s="523"/>
      <c r="EA5" s="523"/>
      <c r="EB5" s="523"/>
      <c r="EC5" s="523"/>
      <c r="ED5" s="523"/>
      <c r="EE5" s="523"/>
      <c r="EF5" s="523"/>
      <c r="EG5" s="523"/>
      <c r="EH5" s="523"/>
      <c r="EI5" s="523"/>
      <c r="EJ5" s="523"/>
      <c r="EK5" s="523"/>
      <c r="EL5" s="523"/>
      <c r="EM5" s="523"/>
      <c r="EN5" s="523"/>
      <c r="EO5" s="523"/>
      <c r="EP5" s="523"/>
      <c r="EQ5" s="523"/>
      <c r="ER5" s="523"/>
      <c r="ES5" s="523"/>
      <c r="ET5" s="523"/>
      <c r="EU5" s="523"/>
      <c r="EV5" s="523"/>
      <c r="EW5" s="523"/>
      <c r="EX5" s="523"/>
      <c r="EY5" s="523"/>
      <c r="EZ5" s="523"/>
      <c r="FA5" s="523"/>
      <c r="FB5" s="564"/>
      <c r="FC5" s="523"/>
      <c r="FD5" s="564"/>
      <c r="FE5" s="564"/>
      <c r="FF5" s="564"/>
      <c r="FG5" s="564"/>
      <c r="FH5" s="564"/>
      <c r="FI5" s="564"/>
      <c r="FJ5" s="564"/>
      <c r="FK5" s="523"/>
      <c r="FL5" s="1022"/>
      <c r="FM5" s="523"/>
      <c r="FN5" s="523"/>
      <c r="FO5" s="523"/>
      <c r="FP5" s="523"/>
      <c r="FQ5" s="523"/>
      <c r="FR5" s="1065"/>
      <c r="FS5" s="1065"/>
      <c r="FT5" s="1065"/>
      <c r="FU5" s="1065"/>
      <c r="FV5" s="1105"/>
      <c r="FW5" s="1105"/>
      <c r="FX5" s="1105"/>
      <c r="FY5" s="1105"/>
      <c r="FZ5" s="1105"/>
      <c r="GA5" s="1105"/>
      <c r="GB5" s="1105"/>
      <c r="GC5" s="1105"/>
      <c r="GD5" s="1105"/>
      <c r="GE5" s="1105"/>
      <c r="GF5" s="1105"/>
      <c r="GG5" s="1105"/>
      <c r="GH5" s="1105"/>
      <c r="GJ5" s="523"/>
      <c r="GK5" s="523"/>
      <c r="GL5" s="523"/>
      <c r="GM5" s="523"/>
      <c r="GN5" s="523"/>
      <c r="GO5" s="523"/>
      <c r="GP5" s="1262" t="s">
        <v>302</v>
      </c>
      <c r="GQ5" s="1270" t="s">
        <v>288</v>
      </c>
      <c r="GR5" s="1262" t="s">
        <v>506</v>
      </c>
      <c r="GS5" s="523"/>
      <c r="GT5" s="523"/>
      <c r="GU5" s="523"/>
      <c r="GV5" s="523"/>
      <c r="GW5" s="523"/>
      <c r="GX5" s="523"/>
      <c r="GY5" s="523"/>
      <c r="GZ5" s="523"/>
      <c r="HA5" s="523"/>
      <c r="HB5" s="523"/>
      <c r="HC5" s="523"/>
      <c r="HD5" s="523"/>
      <c r="HE5" s="523"/>
      <c r="HF5" s="523"/>
      <c r="HG5" s="523"/>
      <c r="HH5" s="523"/>
      <c r="HI5" s="523"/>
      <c r="HJ5" s="523"/>
      <c r="HK5" s="523"/>
      <c r="HL5" s="523"/>
      <c r="HM5" s="1065"/>
      <c r="HN5" s="1065"/>
      <c r="HO5" s="1065"/>
      <c r="HP5" s="1065"/>
      <c r="HQ5" s="553"/>
      <c r="HR5" s="1069"/>
      <c r="HT5" s="1067"/>
      <c r="HU5" s="1068"/>
    </row>
    <row r="6" spans="1:243" s="506" customFormat="1" x14ac:dyDescent="0.25">
      <c r="B6" s="1257" t="s">
        <v>0</v>
      </c>
      <c r="C6" s="1258"/>
      <c r="D6" s="525"/>
      <c r="E6" s="525"/>
      <c r="F6" s="525"/>
      <c r="G6" s="525"/>
      <c r="H6" s="1005"/>
      <c r="I6" s="525"/>
      <c r="J6" s="525"/>
      <c r="K6" s="816"/>
      <c r="L6" s="525"/>
      <c r="M6" s="525"/>
      <c r="N6" s="822"/>
      <c r="O6" s="525"/>
      <c r="P6" s="525"/>
      <c r="Q6" s="1260"/>
      <c r="R6" s="525"/>
      <c r="S6" s="810"/>
      <c r="T6" s="810"/>
      <c r="U6" s="810"/>
      <c r="V6" s="810"/>
      <c r="W6" s="810"/>
      <c r="X6" s="810"/>
      <c r="Y6" s="810"/>
      <c r="Z6" s="810"/>
      <c r="AA6" s="810"/>
      <c r="AB6" s="1057"/>
      <c r="AC6" s="525"/>
      <c r="AD6" s="525"/>
      <c r="AE6" s="525"/>
      <c r="AF6" s="525"/>
      <c r="AG6" s="525"/>
      <c r="AH6" s="525"/>
      <c r="AI6" s="1057"/>
      <c r="AJ6" s="525"/>
      <c r="AK6" s="525"/>
      <c r="AL6" s="525"/>
      <c r="AM6" s="525"/>
      <c r="AN6" s="1034"/>
      <c r="AO6" s="525"/>
      <c r="AP6" s="1263"/>
      <c r="AQ6" s="1263"/>
      <c r="AR6" s="1263"/>
      <c r="AS6" s="525"/>
      <c r="AT6" s="1268"/>
      <c r="AU6" s="525"/>
      <c r="AV6" s="525"/>
      <c r="AW6" s="647"/>
      <c r="AX6" s="647"/>
      <c r="AY6" s="647"/>
      <c r="AZ6" s="647"/>
      <c r="BA6" s="1057"/>
      <c r="BB6" s="525"/>
      <c r="BC6" s="1034"/>
      <c r="BD6" s="525"/>
      <c r="BE6" s="525"/>
      <c r="BF6" s="525"/>
      <c r="BG6" s="525"/>
      <c r="BH6" s="525"/>
      <c r="BI6" s="525"/>
      <c r="BJ6" s="525"/>
      <c r="BK6" s="525"/>
      <c r="BL6" s="525"/>
      <c r="BM6" s="525"/>
      <c r="BN6" s="525"/>
      <c r="BO6" s="525"/>
      <c r="BP6" s="525"/>
      <c r="BQ6" s="525"/>
      <c r="BR6" s="525"/>
      <c r="BS6" s="1034"/>
      <c r="BT6" s="1034"/>
      <c r="BU6" s="525"/>
      <c r="BV6" s="525"/>
      <c r="BW6" s="525"/>
      <c r="BX6" s="525"/>
      <c r="BY6" s="525"/>
      <c r="BZ6" s="525"/>
      <c r="CA6" s="525"/>
      <c r="CB6" s="525"/>
      <c r="CC6" s="525"/>
      <c r="CD6" s="525"/>
      <c r="CE6" s="525"/>
      <c r="CF6" s="525"/>
      <c r="CG6" s="525"/>
      <c r="CH6" s="525"/>
      <c r="CI6" s="525"/>
      <c r="CJ6" s="525"/>
      <c r="CK6" s="525"/>
      <c r="CL6" s="525"/>
      <c r="CM6" s="525"/>
      <c r="CN6" s="1034"/>
      <c r="CO6" s="1034"/>
      <c r="CP6" s="525"/>
      <c r="CQ6" s="525"/>
      <c r="CR6" s="525"/>
      <c r="CS6" s="525"/>
      <c r="CT6" s="525"/>
      <c r="CU6" s="525"/>
      <c r="CV6" s="525"/>
      <c r="CW6" s="525"/>
      <c r="CX6" s="525"/>
      <c r="CY6" s="525"/>
      <c r="CZ6" s="525"/>
      <c r="DA6" s="525"/>
      <c r="DB6" s="1009"/>
      <c r="DC6" s="1009"/>
      <c r="DD6" s="1009"/>
      <c r="DE6" s="525"/>
      <c r="DF6" s="525"/>
      <c r="DG6" s="1034"/>
      <c r="DH6" s="647"/>
      <c r="DI6" s="525"/>
      <c r="DJ6" s="647"/>
      <c r="DK6" s="525"/>
      <c r="DL6" s="647"/>
      <c r="DM6" s="525"/>
      <c r="DN6" s="525"/>
      <c r="DO6" s="525"/>
      <c r="DP6" s="526"/>
      <c r="DQ6" s="526"/>
      <c r="DR6" s="526"/>
      <c r="DS6" s="525"/>
      <c r="DT6" s="525"/>
      <c r="DU6" s="525"/>
      <c r="DV6" s="525"/>
      <c r="DW6" s="525"/>
      <c r="DX6" s="525"/>
      <c r="DY6" s="525"/>
      <c r="DZ6" s="525"/>
      <c r="EA6" s="525"/>
      <c r="EB6" s="525"/>
      <c r="EC6" s="525"/>
      <c r="ED6" s="525"/>
      <c r="EE6" s="525"/>
      <c r="EF6" s="525"/>
      <c r="EG6" s="525"/>
      <c r="EH6" s="525"/>
      <c r="EI6" s="525"/>
      <c r="EJ6" s="525"/>
      <c r="EK6" s="525"/>
      <c r="EL6" s="525"/>
      <c r="EM6" s="525"/>
      <c r="EN6" s="525"/>
      <c r="EO6" s="525"/>
      <c r="EP6" s="525"/>
      <c r="EQ6" s="525"/>
      <c r="ER6" s="525"/>
      <c r="ES6" s="525"/>
      <c r="ET6" s="525"/>
      <c r="EU6" s="525"/>
      <c r="EV6" s="525"/>
      <c r="EW6" s="525"/>
      <c r="EX6" s="525"/>
      <c r="EY6" s="525"/>
      <c r="EZ6" s="525"/>
      <c r="FA6" s="525"/>
      <c r="FB6" s="565"/>
      <c r="FC6" s="525"/>
      <c r="FD6" s="565"/>
      <c r="FE6" s="565"/>
      <c r="FF6" s="565"/>
      <c r="FG6" s="565"/>
      <c r="FH6" s="565"/>
      <c r="FI6" s="565"/>
      <c r="FJ6" s="565"/>
      <c r="FK6" s="525"/>
      <c r="FL6" s="1023"/>
      <c r="FM6" s="525"/>
      <c r="FN6" s="525"/>
      <c r="FO6" s="525"/>
      <c r="FP6" s="525"/>
      <c r="FQ6" s="525"/>
      <c r="FR6" s="525"/>
      <c r="FS6" s="525"/>
      <c r="FT6" s="525"/>
      <c r="FU6" s="525"/>
      <c r="FV6" s="525"/>
      <c r="FW6" s="525"/>
      <c r="FX6" s="525"/>
      <c r="FY6" s="525"/>
      <c r="FZ6" s="525"/>
      <c r="GA6" s="525"/>
      <c r="GB6" s="525"/>
      <c r="GC6" s="525"/>
      <c r="GD6" s="525"/>
      <c r="GE6" s="525"/>
      <c r="GF6" s="525"/>
      <c r="GG6" s="525"/>
      <c r="GH6" s="525"/>
      <c r="GJ6" s="525"/>
      <c r="GK6" s="525"/>
      <c r="GL6" s="525"/>
      <c r="GM6" s="525"/>
      <c r="GN6" s="525"/>
      <c r="GO6" s="525"/>
      <c r="GP6" s="1265"/>
      <c r="GQ6" s="1271"/>
      <c r="GR6" s="1265"/>
      <c r="GS6" s="525"/>
      <c r="GT6" s="525"/>
      <c r="GU6" s="525"/>
      <c r="GV6" s="525"/>
      <c r="GW6" s="525"/>
      <c r="GX6" s="525"/>
      <c r="GY6" s="525"/>
      <c r="GZ6" s="525"/>
      <c r="HA6" s="525"/>
      <c r="HB6" s="525"/>
      <c r="HC6" s="525"/>
      <c r="HD6" s="525"/>
      <c r="HE6" s="525"/>
      <c r="HF6" s="525"/>
      <c r="HG6" s="525"/>
      <c r="HH6" s="525"/>
      <c r="HI6" s="525"/>
      <c r="HJ6" s="525"/>
      <c r="HK6" s="525"/>
      <c r="HL6" s="525"/>
      <c r="HM6" s="525"/>
      <c r="HN6" s="525"/>
      <c r="HO6" s="525"/>
      <c r="HP6" s="525"/>
      <c r="HQ6" s="1072">
        <v>0</v>
      </c>
      <c r="HR6" s="349"/>
      <c r="HV6" s="506">
        <v>265</v>
      </c>
    </row>
    <row r="7" spans="1:243" s="527" customFormat="1" ht="142.5" customHeight="1" x14ac:dyDescent="0.25">
      <c r="B7" s="1017" t="s">
        <v>1</v>
      </c>
      <c r="C7" s="1017" t="s">
        <v>2</v>
      </c>
      <c r="D7" s="1017" t="s">
        <v>445</v>
      </c>
      <c r="E7" s="1017" t="s">
        <v>446</v>
      </c>
      <c r="F7" s="1017" t="s">
        <v>447</v>
      </c>
      <c r="G7" s="635" t="s">
        <v>665</v>
      </c>
      <c r="H7" s="1073" t="s">
        <v>907</v>
      </c>
      <c r="I7" s="1017" t="s">
        <v>466</v>
      </c>
      <c r="J7" s="1017" t="s">
        <v>467</v>
      </c>
      <c r="K7" s="817" t="s">
        <v>448</v>
      </c>
      <c r="L7" s="635" t="s">
        <v>808</v>
      </c>
      <c r="M7" s="1017" t="s">
        <v>470</v>
      </c>
      <c r="N7" s="823" t="s">
        <v>449</v>
      </c>
      <c r="O7" s="1017" t="s">
        <v>471</v>
      </c>
      <c r="P7" s="1017" t="s">
        <v>465</v>
      </c>
      <c r="Q7" s="1261"/>
      <c r="R7" s="1075" t="s">
        <v>633</v>
      </c>
      <c r="S7" s="811" t="s">
        <v>807</v>
      </c>
      <c r="T7" s="811" t="s">
        <v>694</v>
      </c>
      <c r="U7" s="811" t="s">
        <v>756</v>
      </c>
      <c r="V7" s="811" t="s">
        <v>692</v>
      </c>
      <c r="W7" s="811" t="s">
        <v>693</v>
      </c>
      <c r="X7" s="811" t="s">
        <v>695</v>
      </c>
      <c r="Y7" s="811" t="s">
        <v>696</v>
      </c>
      <c r="Z7" s="811" t="s">
        <v>697</v>
      </c>
      <c r="AA7" s="811" t="s">
        <v>698</v>
      </c>
      <c r="AB7" s="1061" t="s">
        <v>811</v>
      </c>
      <c r="AC7" s="1017" t="s">
        <v>450</v>
      </c>
      <c r="AD7" s="1017" t="s">
        <v>451</v>
      </c>
      <c r="AE7" s="1017" t="s">
        <v>452</v>
      </c>
      <c r="AF7" s="1017" t="s">
        <v>453</v>
      </c>
      <c r="AG7" s="1017" t="s">
        <v>454</v>
      </c>
      <c r="AH7" s="1017" t="s">
        <v>455</v>
      </c>
      <c r="AI7" s="1058" t="s">
        <v>457</v>
      </c>
      <c r="AJ7" s="1017" t="s">
        <v>105</v>
      </c>
      <c r="AK7" s="1017" t="s">
        <v>456</v>
      </c>
      <c r="AL7" s="1017" t="s">
        <v>503</v>
      </c>
      <c r="AM7" s="1017" t="s">
        <v>458</v>
      </c>
      <c r="AN7" s="1038" t="s">
        <v>459</v>
      </c>
      <c r="AO7" s="1017" t="s">
        <v>460</v>
      </c>
      <c r="AP7" s="1264"/>
      <c r="AQ7" s="1264"/>
      <c r="AR7" s="1264"/>
      <c r="AS7" s="635" t="s">
        <v>796</v>
      </c>
      <c r="AT7" s="1269"/>
      <c r="AU7" s="1017" t="s">
        <v>464</v>
      </c>
      <c r="AV7" s="1017" t="s">
        <v>463</v>
      </c>
      <c r="AW7" s="1018"/>
      <c r="AX7" s="736" t="s">
        <v>879</v>
      </c>
      <c r="AY7" s="736" t="s">
        <v>876</v>
      </c>
      <c r="AZ7" s="736" t="s">
        <v>851</v>
      </c>
      <c r="BA7" s="1058" t="s">
        <v>642</v>
      </c>
      <c r="BB7" s="1017" t="s">
        <v>281</v>
      </c>
      <c r="BC7" s="1037" t="s">
        <v>812</v>
      </c>
      <c r="BD7" s="1017" t="s">
        <v>303</v>
      </c>
      <c r="BE7" s="1017" t="s">
        <v>359</v>
      </c>
      <c r="BF7" s="1017" t="s">
        <v>360</v>
      </c>
      <c r="BG7" s="1017" t="s">
        <v>361</v>
      </c>
      <c r="BH7" s="1017" t="s">
        <v>362</v>
      </c>
      <c r="BI7" s="1017" t="s">
        <v>387</v>
      </c>
      <c r="BJ7" s="1017" t="s">
        <v>388</v>
      </c>
      <c r="BK7" s="1017" t="s">
        <v>363</v>
      </c>
      <c r="BL7" s="1017" t="s">
        <v>364</v>
      </c>
      <c r="BM7" s="635" t="s">
        <v>666</v>
      </c>
      <c r="BN7" s="1017" t="s">
        <v>229</v>
      </c>
      <c r="BO7" s="1017" t="s">
        <v>230</v>
      </c>
      <c r="BP7" s="1017" t="s">
        <v>517</v>
      </c>
      <c r="BQ7" s="1017" t="s">
        <v>529</v>
      </c>
      <c r="BR7" s="1017" t="s">
        <v>534</v>
      </c>
      <c r="BS7" s="1039" t="s">
        <v>817</v>
      </c>
      <c r="BT7" s="1039" t="s">
        <v>813</v>
      </c>
      <c r="BU7" s="1017" t="s">
        <v>292</v>
      </c>
      <c r="BV7" s="1017"/>
      <c r="BW7" s="1017" t="s">
        <v>309</v>
      </c>
      <c r="BX7" s="1017" t="s">
        <v>365</v>
      </c>
      <c r="BY7" s="1017" t="s">
        <v>366</v>
      </c>
      <c r="BZ7" s="1119" t="s">
        <v>367</v>
      </c>
      <c r="CA7" s="1017" t="s">
        <v>368</v>
      </c>
      <c r="CB7" s="1017" t="s">
        <v>389</v>
      </c>
      <c r="CC7" s="1017" t="s">
        <v>390</v>
      </c>
      <c r="CD7" s="1017" t="s">
        <v>369</v>
      </c>
      <c r="CE7" s="1017" t="s">
        <v>375</v>
      </c>
      <c r="CF7" s="1017" t="s">
        <v>378</v>
      </c>
      <c r="CG7" s="1017" t="s">
        <v>370</v>
      </c>
      <c r="CH7" s="1119" t="s">
        <v>474</v>
      </c>
      <c r="CI7" s="1017" t="s">
        <v>231</v>
      </c>
      <c r="CJ7" s="1017" t="s">
        <v>232</v>
      </c>
      <c r="CK7" s="1017" t="s">
        <v>518</v>
      </c>
      <c r="CL7" s="1017" t="s">
        <v>530</v>
      </c>
      <c r="CM7" s="1017" t="s">
        <v>532</v>
      </c>
      <c r="CN7" s="1039" t="s">
        <v>816</v>
      </c>
      <c r="CO7" s="1039" t="s">
        <v>814</v>
      </c>
      <c r="CP7" s="1017" t="s">
        <v>286</v>
      </c>
      <c r="CQ7" s="1017"/>
      <c r="CR7" s="1017" t="s">
        <v>305</v>
      </c>
      <c r="CS7" s="1017" t="s">
        <v>371</v>
      </c>
      <c r="CT7" s="1017" t="s">
        <v>372</v>
      </c>
      <c r="CU7" s="1017" t="s">
        <v>373</v>
      </c>
      <c r="CV7" s="1017" t="s">
        <v>374</v>
      </c>
      <c r="CW7" s="1017" t="s">
        <v>391</v>
      </c>
      <c r="CX7" s="1017" t="s">
        <v>392</v>
      </c>
      <c r="CY7" s="1017" t="s">
        <v>376</v>
      </c>
      <c r="CZ7" s="1017" t="s">
        <v>377</v>
      </c>
      <c r="DA7" s="635" t="s">
        <v>667</v>
      </c>
      <c r="DB7" s="1010" t="s">
        <v>472</v>
      </c>
      <c r="DC7" s="1010" t="s">
        <v>233</v>
      </c>
      <c r="DD7" s="1010" t="s">
        <v>519</v>
      </c>
      <c r="DE7" s="1017" t="s">
        <v>531</v>
      </c>
      <c r="DF7" s="1017" t="s">
        <v>533</v>
      </c>
      <c r="DG7" s="1039" t="s">
        <v>815</v>
      </c>
      <c r="DH7" s="1030" t="s">
        <v>888</v>
      </c>
      <c r="DI7" s="1017" t="s">
        <v>296</v>
      </c>
      <c r="DJ7" s="1018" t="s">
        <v>889</v>
      </c>
      <c r="DK7" s="1017" t="s">
        <v>308</v>
      </c>
      <c r="DL7" s="1018" t="s">
        <v>890</v>
      </c>
      <c r="DM7" s="1017" t="s">
        <v>270</v>
      </c>
      <c r="DN7" s="1017" t="s">
        <v>277</v>
      </c>
      <c r="DO7" s="635" t="s">
        <v>68</v>
      </c>
      <c r="DP7" s="528" t="s">
        <v>469</v>
      </c>
      <c r="DQ7" s="528" t="s">
        <v>468</v>
      </c>
      <c r="DR7" s="528" t="s">
        <v>146</v>
      </c>
      <c r="DS7" s="1017" t="s">
        <v>234</v>
      </c>
      <c r="DT7" s="1017" t="s">
        <v>235</v>
      </c>
      <c r="DU7" s="1017" t="s">
        <v>236</v>
      </c>
      <c r="DV7" s="1017" t="s">
        <v>237</v>
      </c>
      <c r="DW7" s="1017" t="s">
        <v>238</v>
      </c>
      <c r="DX7" s="1017" t="s">
        <v>223</v>
      </c>
      <c r="DY7" s="1017" t="s">
        <v>255</v>
      </c>
      <c r="DZ7" s="1017" t="s">
        <v>256</v>
      </c>
      <c r="EA7" s="1017"/>
      <c r="EB7" s="1017" t="s">
        <v>475</v>
      </c>
      <c r="EC7" s="1017"/>
      <c r="ED7" s="1017" t="s">
        <v>69</v>
      </c>
      <c r="EE7" s="1017"/>
      <c r="EF7" s="635" t="s">
        <v>819</v>
      </c>
      <c r="EG7" s="635" t="s">
        <v>820</v>
      </c>
      <c r="EH7" s="1017" t="s">
        <v>523</v>
      </c>
      <c r="EI7" s="1017" t="s">
        <v>84</v>
      </c>
      <c r="EJ7" s="1017" t="s">
        <v>397</v>
      </c>
      <c r="EK7" s="1017"/>
      <c r="EL7" s="1017"/>
      <c r="EM7" s="1017"/>
      <c r="EN7" s="1017" t="s">
        <v>147</v>
      </c>
      <c r="EO7" s="1017" t="s">
        <v>148</v>
      </c>
      <c r="EP7" s="1017" t="s">
        <v>182</v>
      </c>
      <c r="EQ7" s="1017" t="s">
        <v>183</v>
      </c>
      <c r="ER7" s="1017" t="s">
        <v>184</v>
      </c>
      <c r="ES7" s="1017" t="s">
        <v>185</v>
      </c>
      <c r="ET7" s="635" t="s">
        <v>671</v>
      </c>
      <c r="EU7" s="635" t="s">
        <v>672</v>
      </c>
      <c r="EV7" s="1017"/>
      <c r="EW7" s="1017"/>
      <c r="EX7" s="1017"/>
      <c r="EY7" s="1026" t="s">
        <v>805</v>
      </c>
      <c r="EZ7" s="1026" t="s">
        <v>806</v>
      </c>
      <c r="FA7" s="1017"/>
      <c r="FB7" s="566" t="s">
        <v>664</v>
      </c>
      <c r="FC7" s="602" t="s">
        <v>663</v>
      </c>
      <c r="FD7" s="566" t="s">
        <v>412</v>
      </c>
      <c r="FE7" s="566" t="s">
        <v>139</v>
      </c>
      <c r="FF7" s="566" t="s">
        <v>278</v>
      </c>
      <c r="FG7" s="566" t="s">
        <v>140</v>
      </c>
      <c r="FH7" s="566" t="s">
        <v>141</v>
      </c>
      <c r="FI7" s="566" t="s">
        <v>279</v>
      </c>
      <c r="FJ7" s="566" t="s">
        <v>413</v>
      </c>
      <c r="FK7" s="1026" t="s">
        <v>773</v>
      </c>
      <c r="FL7" s="1025" t="s">
        <v>809</v>
      </c>
      <c r="FM7" s="1017"/>
      <c r="FN7" s="1017"/>
      <c r="FO7" s="1017" t="s">
        <v>272</v>
      </c>
      <c r="FP7" s="1017" t="s">
        <v>315</v>
      </c>
      <c r="FQ7" s="1017" t="s">
        <v>316</v>
      </c>
      <c r="FR7" s="1026"/>
      <c r="FS7" s="1026"/>
      <c r="FT7" s="1026"/>
      <c r="FU7" s="1066"/>
      <c r="FV7" s="529" t="s">
        <v>637</v>
      </c>
      <c r="FW7" s="529" t="s">
        <v>638</v>
      </c>
      <c r="FX7" s="1106"/>
      <c r="FY7" s="1026" t="s">
        <v>810</v>
      </c>
      <c r="FZ7" s="1106"/>
      <c r="GA7" s="1106"/>
      <c r="GB7" s="635" t="s">
        <v>683</v>
      </c>
      <c r="GC7" s="529" t="s">
        <v>114</v>
      </c>
      <c r="GD7" s="529" t="s">
        <v>115</v>
      </c>
      <c r="GE7" s="529" t="s">
        <v>116</v>
      </c>
      <c r="GF7" s="529" t="s">
        <v>117</v>
      </c>
      <c r="GG7" s="529" t="s">
        <v>118</v>
      </c>
      <c r="GH7" s="529" t="s">
        <v>119</v>
      </c>
      <c r="GJ7" s="1017" t="s">
        <v>297</v>
      </c>
      <c r="GK7" s="1017" t="s">
        <v>298</v>
      </c>
      <c r="GL7" s="1017" t="s">
        <v>342</v>
      </c>
      <c r="GM7" s="1017" t="s">
        <v>280</v>
      </c>
      <c r="GN7" s="1017" t="s">
        <v>283</v>
      </c>
      <c r="GO7" s="1017" t="s">
        <v>282</v>
      </c>
      <c r="GP7" s="1266"/>
      <c r="GQ7" s="1272"/>
      <c r="GR7" s="1266"/>
      <c r="GS7" s="1017" t="s">
        <v>300</v>
      </c>
      <c r="GT7" s="1017" t="s">
        <v>289</v>
      </c>
      <c r="GU7" s="1017" t="s">
        <v>290</v>
      </c>
      <c r="GV7" s="1018" t="s">
        <v>282</v>
      </c>
      <c r="GW7" s="1017" t="s">
        <v>306</v>
      </c>
      <c r="GX7" s="1018" t="s">
        <v>291</v>
      </c>
      <c r="GY7" s="1017"/>
      <c r="GZ7" s="1017" t="s">
        <v>299</v>
      </c>
      <c r="HA7" s="1017" t="s">
        <v>284</v>
      </c>
      <c r="HB7" s="1017" t="s">
        <v>285</v>
      </c>
      <c r="HC7" s="1017" t="s">
        <v>282</v>
      </c>
      <c r="HD7" s="1017" t="s">
        <v>304</v>
      </c>
      <c r="HE7" s="1018" t="s">
        <v>287</v>
      </c>
      <c r="HF7" s="1017"/>
      <c r="HG7" s="1017" t="s">
        <v>301</v>
      </c>
      <c r="HH7" s="1017" t="s">
        <v>293</v>
      </c>
      <c r="HI7" s="1017" t="s">
        <v>294</v>
      </c>
      <c r="HJ7" s="1017" t="s">
        <v>282</v>
      </c>
      <c r="HK7" s="1017" t="s">
        <v>307</v>
      </c>
      <c r="HL7" s="1018" t="s">
        <v>295</v>
      </c>
      <c r="HM7" s="1066"/>
      <c r="HN7" s="635"/>
      <c r="HO7" s="635"/>
      <c r="HP7" s="635"/>
      <c r="HQ7" s="1070" t="str">
        <f>"What is Corps Minimum Release? (110 +"&amp;HQ6&amp;" + MIN 113/Inflow) (cfs)"</f>
        <v>What is Corps Minimum Release? (110 +0 + MIN 113/Inflow) (cfs)</v>
      </c>
      <c r="HR7" s="1070" t="s">
        <v>837</v>
      </c>
      <c r="HS7" s="1071" t="s">
        <v>838</v>
      </c>
      <c r="HT7" s="1071" t="s">
        <v>839</v>
      </c>
      <c r="HU7" s="1071" t="s">
        <v>840</v>
      </c>
      <c r="HV7" s="1071" t="str">
        <f>"Amount Augmented for Auburn "&amp;HV6&amp;"cfs w/Min Release &amp; FDWR Taken (cfs)"</f>
        <v>Amount Augmented for Auburn 265cfs w/Min Release &amp; FDWR Taken (cfs)</v>
      </c>
      <c r="HW7" s="1027" t="s">
        <v>849</v>
      </c>
      <c r="HX7" s="1027" t="s">
        <v>850</v>
      </c>
      <c r="HY7" s="1028" t="s">
        <v>844</v>
      </c>
      <c r="HZ7" s="1028" t="s">
        <v>841</v>
      </c>
      <c r="IA7" s="1028" t="s">
        <v>842</v>
      </c>
      <c r="IB7" s="1028" t="s">
        <v>845</v>
      </c>
      <c r="IC7" s="1028" t="s">
        <v>843</v>
      </c>
      <c r="ID7" s="1027" t="s">
        <v>846</v>
      </c>
      <c r="IE7" s="1027" t="s">
        <v>847</v>
      </c>
      <c r="IF7" s="1027" t="s">
        <v>848</v>
      </c>
      <c r="IH7" s="1027" t="s">
        <v>914</v>
      </c>
      <c r="II7" s="1027" t="s">
        <v>915</v>
      </c>
    </row>
    <row r="8" spans="1:243" ht="12.75" hidden="1" customHeight="1" x14ac:dyDescent="0.25">
      <c r="A8" s="553" t="s">
        <v>6</v>
      </c>
      <c r="B8" s="531">
        <v>42732</v>
      </c>
      <c r="C8" s="536">
        <v>0</v>
      </c>
      <c r="D8" s="506">
        <f t="shared" ref="D8:D71" si="0">IF(AND(B8&gt;=DATE($A$1,7,15),B8&lt;=DATE($A$1,9,15)),200,300)</f>
        <v>300</v>
      </c>
      <c r="E8" s="506">
        <f t="shared" ref="E8:E71" si="1">IF(AND(B8&gt;=DATE($A$1,7,15),B8&lt;=DATE($A$1,9,15)),400,250)</f>
        <v>250</v>
      </c>
      <c r="F8" s="506">
        <v>250</v>
      </c>
      <c r="G8" s="535">
        <v>4129.7</v>
      </c>
      <c r="H8" s="1074">
        <f>MAX((G8-113-D8)*CFStoMGD,0)</f>
        <v>2402.4748799999998</v>
      </c>
      <c r="I8" s="534" t="e">
        <f>MAX(Sheet1!#REF!-AT8+(Sheet1!#REF!-E8)*CFStoMGD,0)</f>
        <v>#REF!</v>
      </c>
      <c r="J8" s="537">
        <v>1549.74</v>
      </c>
      <c r="K8" s="818" t="e">
        <f>MAX(MIN(H8:J8,64.64),0)</f>
        <v>#REF!</v>
      </c>
      <c r="L8" s="535" t="e">
        <f>Sheet1!#REF!+Sheet1!#REF!-Sheet1!#REF!+(Sheet1!#REF!-F8)*CFStoMGD</f>
        <v>#REF!</v>
      </c>
      <c r="M8" s="535">
        <f t="shared" ref="M8:M17" si="2">1.02*CFStoMGD*G8</f>
        <v>2722.8268416000001</v>
      </c>
      <c r="N8" s="824" t="e">
        <f>IF(Sheet1!#REF!&gt;=F8,MIN(73,MIN(MAX(L8,0),MAX(M8,0))),0)</f>
        <v>#REF!</v>
      </c>
      <c r="O8" s="538" t="e">
        <f>Sheet1!#REF!+Sheet1!#REF!</f>
        <v>#REF!</v>
      </c>
      <c r="P8" s="538" t="e">
        <f t="shared" ref="P8:P17" si="3">AE8+AF8</f>
        <v>#REF!</v>
      </c>
      <c r="Q8" s="812" t="e">
        <f>IF(OR(Y8="FALSE",AND(B8&gt;=FV8,B8&lt;=FW8)),O8-S8-U8,0)</f>
        <v>#REF!</v>
      </c>
      <c r="R8" s="746">
        <v>2.57</v>
      </c>
      <c r="S8" s="812" t="e">
        <f>IF(OR(B8&lt;GC8,B8&gt;GH8),MIN(O8,K8),IF(AND(B8&gt;=FV8,B8&lt;=FW8),0,IF(AND(B8&gt;=GC8,B8&lt;=GD8),DL8,IF(AND(B8&gt;GD8,B8&lt;FV8),MIN(K8,O8),0))))</f>
        <v>#REF!</v>
      </c>
      <c r="T8" s="812">
        <f>IF(OR(B8&lt;GC8,B8&gt;GD8),0, K8-DL8)</f>
        <v>0</v>
      </c>
      <c r="U8" s="812">
        <f>IF(AND(B8&gt;=FV8,B8&lt;=FW8),MAX(EF8,ED8),0)</f>
        <v>0</v>
      </c>
      <c r="V8" s="812"/>
      <c r="W8" s="812" t="e">
        <f>MAX(K8-DJ8,0)</f>
        <v>#REF!</v>
      </c>
      <c r="X8" s="812" t="e">
        <f>S8+T8</f>
        <v>#REF!</v>
      </c>
      <c r="Y8" s="812" t="e">
        <f>IF(OR(O8&gt;K8,AND(B8&gt;=GC8,B8&lt;=GD8),), "FALSE","")</f>
        <v>#REF!</v>
      </c>
      <c r="Z8" s="812" t="e">
        <f>O8</f>
        <v>#REF!</v>
      </c>
      <c r="AA8" s="812" t="e">
        <f>Q8+S8+U8</f>
        <v>#REF!</v>
      </c>
      <c r="AB8" s="1059" t="e">
        <f>IF(OR(Z8-AA8&lt;-0.1,Z8-AA8&gt;0.1),"BAD ENGINEER","")</f>
        <v>#REF!</v>
      </c>
      <c r="AC8" s="538" t="e">
        <f>Sheet1!#REF!*MGDtoCFS</f>
        <v>#REF!</v>
      </c>
      <c r="AD8" s="538" t="e">
        <f>Sheet1!#REF!*MGDtoCFS</f>
        <v>#REF!</v>
      </c>
      <c r="AE8" s="538" t="e">
        <f>Sheet1!#REF!*MGDtoCFS</f>
        <v>#REF!</v>
      </c>
      <c r="AF8" s="538" t="e">
        <f>Sheet1!#REF!*MGDtoCFS</f>
        <v>#REF!</v>
      </c>
      <c r="AG8" s="538" t="e">
        <f>Sheet1!#REF!*MGDtoCFS</f>
        <v>#REF!</v>
      </c>
      <c r="AH8" s="521">
        <v>0</v>
      </c>
      <c r="AI8" s="1059">
        <f t="shared" ref="AI8:AI17" si="4">AH8*MGDtoCFS</f>
        <v>0</v>
      </c>
      <c r="AJ8" s="535">
        <v>0</v>
      </c>
      <c r="AK8" s="535">
        <f t="shared" ref="AK8:AK17" si="5">AJ8*MGDtoCFS</f>
        <v>0</v>
      </c>
      <c r="AL8" s="535" t="e">
        <f>(VLOOKUP(Sheet1!#REF!,hhdcap_wcm,4)-(((VLOOKUP(Sheet1!#REF!,hhdcap_wcm,3)-Sheet1!#REF!)/(VLOOKUP(Sheet1!#REF!,hhdcap_wcm,3)-VLOOKUP(Sheet1!#REF!,hhdcap_wcm,1)))*(VLOOKUP(Sheet1!#REF!,hhdcap_wcm,4)-VLOOKUP(Sheet1!#REF!,hhdcap_wcm,2))))</f>
        <v>#REF!</v>
      </c>
      <c r="AM8" s="535">
        <v>2843.44</v>
      </c>
      <c r="AN8" s="1035">
        <f t="shared" ref="AN8:AN17" si="6">(IF(AND(B8&gt;=GC8,B8&lt;GF8),MIN(BB8+BU8+CP8+DI8,GE8),IF(B8=GF8,GG8,IF(AND(B8&gt;GF8,B8&lt;GH8),BB8+BU8+CP8+DI8,IF(B8&gt;=GH8,0,0)))))</f>
        <v>0</v>
      </c>
      <c r="AO8" s="535">
        <f t="shared" ref="AO8:AO17" si="7">AN8*MGtoAF</f>
        <v>0</v>
      </c>
      <c r="AP8" s="535" t="e">
        <f>Sheet1!#REF!+Sheet1!#REF!+Sheet1!#REF!+CD8</f>
        <v>#REF!</v>
      </c>
      <c r="AQ8" s="535" t="e">
        <f>Sheet1!#REF!+(DO8*Sheet1!#REF!)</f>
        <v>#REF!</v>
      </c>
      <c r="AR8" s="535" t="e">
        <f>Sheet1!#REF!+CD8</f>
        <v>#REF!</v>
      </c>
      <c r="AS8" s="535" t="e">
        <f>Sheet1!#REF!+Sheet1!#REF!+CD8</f>
        <v>#REF!</v>
      </c>
      <c r="AT8" s="649">
        <f>0</f>
        <v>0</v>
      </c>
      <c r="AU8" s="535" t="e">
        <f>IF(EB8&lt;K8,0,MAX(Sheet1!#REF!+AQ8-15/36*K8-N8,Sheet1!#REF!,0))</f>
        <v>#REF!</v>
      </c>
      <c r="AV8" s="535">
        <f>IF(OR(B8&gt;=GD8,B8&lt;GC8),0,15/36*K8-MAX(0,64.6-(137.6-(Sheet1!#REF!+Sheet1!#REF!))))</f>
        <v>0</v>
      </c>
      <c r="AW8" s="649"/>
      <c r="AX8" s="649"/>
      <c r="AY8" s="649"/>
      <c r="AZ8" s="649"/>
      <c r="BA8" s="1059">
        <f>IF(AZ8&lt;=0,0,AZ8/1.547)</f>
        <v>0</v>
      </c>
      <c r="BB8" s="535" t="e">
        <f t="shared" ref="BB8:BB17" si="8">GO8+GQ8</f>
        <v>#REF!</v>
      </c>
      <c r="BC8" s="1035"/>
      <c r="BD8" s="535" t="e">
        <f ca="1">IF(B8&gt;Summary!$A$1,#N/A,BB8*MGtoAF)</f>
        <v>#REF!</v>
      </c>
      <c r="BE8" s="535" t="e">
        <f>Sheet1!#REF!+Sheet1!#REF!+Sheet1!#REF!-BM8</f>
        <v>#REF!</v>
      </c>
      <c r="BF8" s="535" t="e">
        <f t="shared" ref="BF8:BF17" si="9">BE8+(DO8*BE8)</f>
        <v>#REF!</v>
      </c>
      <c r="BG8" s="535" t="e">
        <f>IF(Sheet1!#REF!="FM",BM8,0)</f>
        <v>#REF!</v>
      </c>
      <c r="BH8" s="535" t="e">
        <f t="shared" ref="BH8:BH17" si="10">BG8+(DO8*BG8)</f>
        <v>#REF!</v>
      </c>
      <c r="BI8" s="535" t="e">
        <f>IF(Sheet1!#REF!="OTHER",BM8,0)</f>
        <v>#REF!</v>
      </c>
      <c r="BJ8" s="535" t="e">
        <f t="shared" ref="BJ8:BJ17" si="11">BI8+(DO8*BI8)</f>
        <v>#REF!</v>
      </c>
      <c r="BK8" s="535" t="e">
        <f t="shared" ref="BK8:BK17" si="12">MAX(BE8,BG8,BI8)</f>
        <v>#REF!</v>
      </c>
      <c r="BL8" s="535" t="e">
        <f t="shared" ref="BL8:BL17" si="13">MAX(BF8,BH8,BJ8)</f>
        <v>#REF!</v>
      </c>
      <c r="BM8" s="535" t="e">
        <f>IF(OR(Sheet1!#REF!="FM", Sheet1!#REF!="OTHER"),SUM(Sheet1!#REF!:Sheet1!#REF!),0)</f>
        <v>#REF!</v>
      </c>
      <c r="BN8" s="521" t="e">
        <f>IF(AND($B8&gt;=$FV8,$B8&lt;=$FW8),MAX(BF8,Sheet1!#REF!,0),MAX(BF8-(7/36)*$K8,0))</f>
        <v>#REF!</v>
      </c>
      <c r="BO8" s="535">
        <f t="shared" ref="BO8:BO17" si="14">IF(B8&gt;=GC8,IF(B8&lt;=GD8,(7/36)*K8-BF8,0),0)</f>
        <v>0</v>
      </c>
      <c r="BP8" s="521" t="e">
        <f t="shared" ref="BP8:BP19" si="15">MAX(BL8-BN8,0)</f>
        <v>#REF!</v>
      </c>
      <c r="BQ8" s="521" t="e">
        <f>IF(AND($O8&gt;0,Sheet1!#REF!=1),(1-($O8-Sheet1!#REF!)/$O8)*BL8,0)</f>
        <v>#REF!</v>
      </c>
      <c r="BR8" s="521" t="e">
        <f>IF(AND(Sheet1!#REF!=0,Sheet1!#REF!=0, Calculation!BK8&lt;Sheet1!#REF!-0.1,Sheet1!#REF!=Sheet1!#REF!,Sheet1!#REF!=Sheet1!#REF!),Sheet1!#REF!,BL8-BQ8)</f>
        <v>#REF!</v>
      </c>
      <c r="BS8" s="1035"/>
      <c r="BT8" s="1035"/>
      <c r="BU8" s="535" t="e">
        <f t="shared" ref="BU8:BU17" si="16">GV8+GX8</f>
        <v>#REF!</v>
      </c>
      <c r="BV8" s="535"/>
      <c r="BW8" s="535" t="e">
        <f ca="1">IF(B8&gt;Summary!$A$1,#N/A,BU8*MGtoAF)</f>
        <v>#REF!</v>
      </c>
      <c r="BX8" s="535" t="e">
        <f>Sheet1!#REF!+Sheet1!#REF!+Sheet1!#REF!+Sheet1!#REF!-CG8-CH8</f>
        <v>#REF!</v>
      </c>
      <c r="BY8" s="535" t="e">
        <f t="shared" ref="BY8:BY17" si="17">BX8+(DO8*BX8)</f>
        <v>#REF!</v>
      </c>
      <c r="BZ8" s="535" t="e">
        <f>IF(Sheet1!#REF!="FM",CH8,0)</f>
        <v>#REF!</v>
      </c>
      <c r="CA8" s="535" t="e">
        <f t="shared" ref="CA8:CA17" si="18">BZ8+(DO8*BZ8)</f>
        <v>#REF!</v>
      </c>
      <c r="CB8" s="535" t="e">
        <f>IF(Sheet1!#REF!="OTHER",CH8,0)</f>
        <v>#REF!</v>
      </c>
      <c r="CC8" s="535" t="e">
        <f t="shared" ref="CC8:CC17" si="19">CB8+(DO8*CB8)</f>
        <v>#REF!</v>
      </c>
      <c r="CD8" s="535" t="e">
        <f t="shared" ref="CD8:CD17" si="20">CG8</f>
        <v>#REF!</v>
      </c>
      <c r="CE8" s="535" t="e">
        <f t="shared" ref="CE8:CE17" si="21">MAX(BX8,BZ8,CB8)</f>
        <v>#REF!</v>
      </c>
      <c r="CF8" s="535" t="e">
        <f t="shared" ref="CF8:CF17" si="22">MAX(BY8,CA8, CC8)</f>
        <v>#REF!</v>
      </c>
      <c r="CG8" s="535" t="e">
        <f>IF(Sheet1!#REF!="CWA",SUM(Sheet1!#REF!:Sheet1!#REF!),0)</f>
        <v>#REF!</v>
      </c>
      <c r="CH8" s="535" t="e">
        <f>IF(OR(Sheet1!#REF!="FM", Sheet1!#REF!="OTHER"),SUM(Sheet1!#REF!:Sheet1!#REF!),0)</f>
        <v>#REF!</v>
      </c>
      <c r="CI8" s="521" t="e">
        <f>IF(AND($B8&gt;=$FV8,$B8&lt;=$FW8),MAX(CF8,Sheet1!#REF!,0),MAX(CF8-(7/36)*$K8,0))</f>
        <v>#REF!</v>
      </c>
      <c r="CJ8" s="535">
        <f t="shared" ref="CJ8:CJ17" si="23">IF(B8&gt;=GC8,IF(B8&lt;=GD8,(7/36)*K8-BY8,0),0)</f>
        <v>0</v>
      </c>
      <c r="CK8" s="521" t="e">
        <f t="shared" ref="CK8:CK16" si="24">MAX(CF8-CI8,0)</f>
        <v>#REF!</v>
      </c>
      <c r="CL8" s="521" t="e">
        <f>IF(AND($O8&gt;0,Sheet1!#REF!=1),(1-($O8-Sheet1!#REF!)/$O8)*CF8,0)</f>
        <v>#REF!</v>
      </c>
      <c r="CM8" s="521" t="e">
        <f>IF(AND(Sheet1!#REF!=0,Sheet1!#REF!=0, Calculation!CE8&lt;Sheet1!#REF!-0.1,Sheet1!#REF!=Sheet1!#REF!,Sheet1!#REF!=Sheet1!#REF!),Sheet1!#REF!,CF8-CL8)</f>
        <v>#REF!</v>
      </c>
      <c r="CN8" s="1040"/>
      <c r="CO8" s="1035"/>
      <c r="CP8" s="535" t="e">
        <f t="shared" ref="CP8:CP17" si="25">HC8+HE8</f>
        <v>#REF!</v>
      </c>
      <c r="CQ8" s="535"/>
      <c r="CR8" s="535" t="e">
        <f ca="1">IF(B8&gt;Summary!$A$1,#N/A,CP8*MGtoAF)</f>
        <v>#REF!</v>
      </c>
      <c r="CS8" s="535" t="e">
        <f>Sheet1!#REF!+Sheet1!#REF!+Sheet1!#REF!-Sheet1!#REF!-DA8</f>
        <v>#REF!</v>
      </c>
      <c r="CT8" s="535" t="e">
        <f t="shared" ref="CT8:CT17" si="26">CS8+(DO8*CS8)</f>
        <v>#REF!</v>
      </c>
      <c r="CU8" s="535" t="e">
        <f>IF(Sheet1!#REF!="FM",DA8,0)</f>
        <v>#REF!</v>
      </c>
      <c r="CV8" s="535" t="e">
        <f t="shared" ref="CV8:CV17" si="27">CU8+(DO8*CU8)</f>
        <v>#REF!</v>
      </c>
      <c r="CW8" s="535" t="e">
        <f>IF(Sheet1!#REF!="OTHER",DA8,0)</f>
        <v>#REF!</v>
      </c>
      <c r="CX8" s="535" t="e">
        <f t="shared" ref="CX8:CX17" si="28">CW8+(DO8*CW8)</f>
        <v>#REF!</v>
      </c>
      <c r="CY8" s="535" t="e">
        <f t="shared" ref="CY8:CY17" si="29">MAX(CS8,CU8)</f>
        <v>#REF!</v>
      </c>
      <c r="CZ8" s="535" t="e">
        <f t="shared" ref="CZ8:CZ17" si="30">MAX(CT8,CV8)</f>
        <v>#REF!</v>
      </c>
      <c r="DA8" s="535" t="e">
        <f>IF(OR(Sheet1!#REF!="FM", Sheet1!#REF!="OTHER"),SUM(Sheet1!#REF!:Sheet1!#REF!),0)</f>
        <v>#REF!</v>
      </c>
      <c r="DB8" s="1011" t="e">
        <f>IF(AND($B8&gt;=$FV8,$B8&lt;=$FW8),MAX($CT8,Sheet1!#REF!,0),MAX($CT8-(7/36)*$K8,0))</f>
        <v>#REF!</v>
      </c>
      <c r="DC8" s="1012">
        <f t="shared" ref="DC8:DC17" si="31">IF(B8&gt;=GC8,IF(B8&lt;=GD8,(7/36)*K8-CT8,0),0)</f>
        <v>0</v>
      </c>
      <c r="DD8" s="1011" t="e">
        <f t="shared" ref="DD8:DD16" si="32">MAX(CZ8-DB8,0)</f>
        <v>#REF!</v>
      </c>
      <c r="DE8" s="521" t="e">
        <f>IF(AND($O8&gt;0,Sheet1!#REF!=1),(1-($O8-Sheet1!#REF!)/$O8)*CZ8,0)</f>
        <v>#REF!</v>
      </c>
      <c r="DF8" s="521" t="e">
        <f>IF(AND(Sheet1!#REF!=0,Sheet1!#REF!=0, Calculation!CY8&lt;Sheet1!#REF!-0.1,Sheet1!#REF!=Sheet1!#REF!,Sheet1!#REF!=Sheet1!#REF!),Sheet1!#REF!,CZ8-DE8)</f>
        <v>#REF!</v>
      </c>
      <c r="DG8" s="1040"/>
      <c r="DH8" s="649" t="e">
        <f t="shared" ref="DH8:DH17" si="33">BK8+CE8+CY8</f>
        <v>#REF!</v>
      </c>
      <c r="DI8" s="535" t="e">
        <f t="shared" ref="DI8:DI17" si="34">HJ8+HL8</f>
        <v>#REF!</v>
      </c>
      <c r="DJ8" s="649" t="e">
        <f t="shared" ref="DJ8:DJ17" si="35">BL8+CF8+CZ8</f>
        <v>#REF!</v>
      </c>
      <c r="DK8" s="535" t="e">
        <f ca="1">IF(B8&gt;Summary!$A$1,#N/A,DI8*MGtoAF)</f>
        <v>#REF!</v>
      </c>
      <c r="DL8" s="649" t="e">
        <f t="shared" ref="DL8:DL17" si="36">CY8+CE8+BK8</f>
        <v>#REF!</v>
      </c>
      <c r="DM8" s="535" t="e">
        <f t="shared" ref="DM8:DM17" si="37">DL8+AP8</f>
        <v>#REF!</v>
      </c>
      <c r="DN8" s="535" t="e">
        <f>Sheet1!#REF!-DM8</f>
        <v>#REF!</v>
      </c>
      <c r="DO8" s="743" t="e">
        <f t="shared" ref="DO8:DO17" si="38">IF(DM8=0,0,DN8/DM8)</f>
        <v>#REF!</v>
      </c>
      <c r="DP8" s="535" t="e">
        <f>(VLOOKUP(Sheet1!#REF!,hhdcap_wcm,4)-(((VLOOKUP(Sheet1!#REF!,hhdcap_wcm,3)-Sheet1!#REF!)/(VLOOKUP(Sheet1!#REF!,hhdcap_wcm,3)-VLOOKUP(Sheet1!#REF!,hhdcap_wcm,1)))*(VLOOKUP(Sheet1!#REF!,hhdcap_wcm,4)-VLOOKUP(Sheet1!#REF!,hhdcap_wcm,2))))</f>
        <v>#REF!</v>
      </c>
      <c r="DQ8" s="535" t="e">
        <f>DP8-#REF!</f>
        <v>#REF!</v>
      </c>
      <c r="DR8" s="535" t="e">
        <f t="shared" ref="DR8:DR17" si="39">DQ8*AFtoCFS</f>
        <v>#REF!</v>
      </c>
      <c r="DS8" s="535" t="e">
        <f>Sheet1!#REF!*AFtoMG</f>
        <v>#REF!</v>
      </c>
      <c r="DT8" s="535" t="e">
        <f>Sheet1!#REF!*AFtoMG</f>
        <v>#REF!</v>
      </c>
      <c r="DU8" s="535" t="e">
        <f>Sheet1!#REF!*AFtoMG</f>
        <v>#REF!</v>
      </c>
      <c r="DV8" s="535" t="e">
        <f>Sheet1!#REF!*AFtoMG</f>
        <v>#REF!</v>
      </c>
      <c r="DW8" s="535" t="e">
        <f t="shared" ref="DW8:DW17" si="40">SUM(DS8:DV8)</f>
        <v>#REF!</v>
      </c>
      <c r="DX8" s="535" t="e">
        <f t="shared" ref="DX8:DX17" si="41">DW8*MGtoAF</f>
        <v>#REF!</v>
      </c>
      <c r="DY8" s="535">
        <f t="shared" ref="DY8:DY17" si="42">AN8</f>
        <v>0</v>
      </c>
      <c r="DZ8" s="535">
        <f t="shared" ref="DZ8:DZ17" si="43">DY8*MGtoAF</f>
        <v>0</v>
      </c>
      <c r="EA8" s="535"/>
      <c r="EB8" s="521" t="e">
        <f>IF(OR(B8&lt;FV8,B8&gt;FW8),(MIN(BF8+BY8+CT8+MAX(Sheet1!#REF!+AQ8-73,0),K8)),0)</f>
        <v>#REF!</v>
      </c>
      <c r="EC8" s="535"/>
      <c r="ED8" s="535" t="e">
        <f t="shared" ref="ED8:ED17" si="44">CT8+BF8+BY8</f>
        <v>#REF!</v>
      </c>
      <c r="EE8" s="535"/>
      <c r="EF8" s="535" t="e">
        <f>Sheet1!#REF!+Sheet1!#REF!+Sheet1!#REF!+Sheet1!#REF!</f>
        <v>#REF!</v>
      </c>
      <c r="EG8" s="535"/>
      <c r="EH8" s="521" t="e">
        <f t="shared" ref="EH8:EH17" si="45">EB8-BP8-CK8-DD8</f>
        <v>#REF!</v>
      </c>
      <c r="EI8" s="535" t="e">
        <f>IF(Sheet1!#REF!=1,SUM('Calculations II'!AT8:BA8)+'Calculations II'!BC8+Sheet1!#REF!+'Calculations II'!BE8+AP8,SUM('Calculations II'!AT8:BA8)+'Calculations II'!BC8+Sheet1!#REF!+'Calculations II'!BE8+AP8)</f>
        <v>#REF!</v>
      </c>
      <c r="EJ8" s="535" t="e">
        <f>Sheet1!#REF!+Sheet1!#REF!+'Calculations II'!BC8</f>
        <v>#REF!</v>
      </c>
      <c r="EK8" s="535"/>
      <c r="EL8" s="535"/>
      <c r="EM8" s="535">
        <f t="shared" ref="EM8:EM17" si="46">B8</f>
        <v>42732</v>
      </c>
      <c r="EN8" s="535">
        <f t="shared" ref="EN8:EN17" si="47">AJ8-AH8</f>
        <v>0</v>
      </c>
      <c r="EO8" s="535">
        <f t="shared" ref="EO8:EO17" si="48">AK8-AI8</f>
        <v>0</v>
      </c>
      <c r="EP8" s="535">
        <v>0</v>
      </c>
      <c r="EQ8" s="535">
        <v>0</v>
      </c>
      <c r="ER8" s="535">
        <v>0</v>
      </c>
      <c r="ES8" s="521" t="e">
        <f>ET8+EU8</f>
        <v>#REF!</v>
      </c>
      <c r="ET8" s="535" t="e">
        <f>-(VLOOKUP(Sheet1!#REF!,Lookup!$O$4:$Q$262,2)-VLOOKUP(Sheet1!#REF!,Lookup!$O$4:$Q$262,2))/1000000</f>
        <v>#REF!</v>
      </c>
      <c r="EU8" s="535" t="e">
        <f>-(VLOOKUP(Sheet1!#REF!,Lookup!$O$4:$Q$262,3)-VLOOKUP(Sheet1!#REF!,Lookup!$O$4:$Q$262,3))/1000000</f>
        <v>#REF!</v>
      </c>
      <c r="EV8" s="535"/>
      <c r="EW8" s="535"/>
      <c r="EX8" s="535"/>
      <c r="EY8" s="535"/>
      <c r="EZ8" s="535"/>
      <c r="FA8" s="535"/>
      <c r="FB8" s="535"/>
      <c r="FC8" s="535"/>
      <c r="FD8" s="567" t="e">
        <f>VLOOKUP(#REF!,hhdelev_wcm,4) -(((VLOOKUP(#REF!,hhdelev_wcm,3)-#REF!)/(VLOOKUP(#REF!,hhdelev_wcm,3)-VLOOKUP(#REF!,hhdelev_wcm,1)))*(VLOOKUP(#REF!,hhdelev_wcm,4)-VLOOKUP(#REF!,hhdelev_wcm,2)))</f>
        <v>#REF!</v>
      </c>
      <c r="FE8" s="567">
        <v>0</v>
      </c>
      <c r="FF8" s="568" t="e">
        <f t="shared" ref="FF8:FF17" si="49">IF(DP8-AO8-FE8-1220&lt;0,0,DP8-AO8-FE8-1220)</f>
        <v>#REF!</v>
      </c>
      <c r="FG8" s="569" t="s">
        <v>655</v>
      </c>
      <c r="FH8" s="569" t="s">
        <v>655</v>
      </c>
      <c r="FI8" s="567" t="e">
        <v>#N/A</v>
      </c>
      <c r="FJ8" s="567" t="e">
        <v>#N/A</v>
      </c>
      <c r="FK8" s="535"/>
      <c r="FL8" s="1015"/>
      <c r="FM8" s="535"/>
      <c r="FN8" s="535"/>
      <c r="FO8" s="535" t="e">
        <f>O8+((Sheet1!#REF!)*GPMtoMGD)</f>
        <v>#REF!</v>
      </c>
      <c r="FP8" s="535" t="e">
        <f>IF(Sheet1!#REF!+AQ8&lt;=Calculation!N8,AQ8,Calculation!N8-Sheet1!#REF!)</f>
        <v>#REF!</v>
      </c>
      <c r="FQ8" s="535" t="e">
        <f>(Sheet1!#REF!+Sheet1!#REF!)/694.4</f>
        <v>#REF!</v>
      </c>
      <c r="FR8" s="535"/>
      <c r="FS8" s="535"/>
      <c r="FT8" s="535"/>
      <c r="FU8" s="535"/>
      <c r="FV8" s="1109">
        <f>$FV$4</f>
        <v>42918</v>
      </c>
      <c r="FW8" s="1109">
        <f>$FW$4</f>
        <v>43027</v>
      </c>
      <c r="FX8" s="535"/>
      <c r="FY8" s="535"/>
      <c r="FZ8" s="535"/>
      <c r="GA8" s="535"/>
      <c r="GB8" s="535" t="str">
        <f>$GB$4</f>
        <v>n</v>
      </c>
      <c r="GC8" s="539">
        <f>$GC$4</f>
        <v>42782</v>
      </c>
      <c r="GD8" s="1109">
        <f>$GD$4</f>
        <v>42904</v>
      </c>
      <c r="GE8" s="535">
        <v>6518.9</v>
      </c>
      <c r="GF8" s="1109">
        <f>$GF$4</f>
        <v>42909</v>
      </c>
      <c r="GG8" s="535" t="str">
        <f t="shared" ref="GG8:GG17" si="50">GG7</f>
        <v>Maximum Storage after split (MG)</v>
      </c>
      <c r="GH8" s="539">
        <f>$GH$4</f>
        <v>43040</v>
      </c>
      <c r="GJ8" s="521" t="e">
        <f>IF(B8=GD8,AFtoMG*(20000-#REF!),GL8+GZ8+GS8+HG8)</f>
        <v>#REF!</v>
      </c>
      <c r="GK8" s="535" t="e">
        <f t="shared" ref="GK8:GK17" si="51">CONCATENATE(GM8,HA8,GT8,HH8)</f>
        <v>#REF!</v>
      </c>
      <c r="GL8" s="535" t="e">
        <f>IF(GP8&gt;=8333.3,AV8,0)</f>
        <v>#REF!</v>
      </c>
      <c r="GM8" s="535" t="e">
        <f>IF(AND(GP8&lt;8333.3,GJ8&gt;0),"T","")</f>
        <v>#REF!</v>
      </c>
      <c r="GN8" s="535" t="e">
        <f>IF(GK8="P",Lookup!$M$12,IF(GK8="PP",Lookup!$M$13,IF(GK8="PPP",Lookup!$M$14,IF(GK8="T",Lookup!$M$15,IF(GK8="TP",Lookup!$M$16,IF(GK8="TPP",Lookup!$M$17,IF(GK8="TPPP",Lookup!$M$18,0)))))))*GJ8</f>
        <v>#REF!</v>
      </c>
      <c r="GO8" s="535" t="e">
        <f>IF(GM8="T", MIN(GN8, 2716.2-$GQ8),0)</f>
        <v>#REF!</v>
      </c>
      <c r="GP8" s="535" t="e">
        <f t="shared" ref="GP8:GP17" si="52">GQ8*MGtoAF</f>
        <v>#REF!</v>
      </c>
      <c r="GQ8" s="535" t="e">
        <f>(IF(AND(GB7="Y",B8=GD8),2716.2,(IF(AND(B8&lt;GF8,B8&gt;=GC8),MIN(BB7+AV8-AU8,15/36*GE8),IF(B8=GF8,15/36*GG8,IF(AND(B8&gt;GF8,B8&lt;GH8),MIN(BB7+AV8-AU8,15/36*GG8),IF(B8&gt;=GH8,0,0)))))))+DS8</f>
        <v>#REF!</v>
      </c>
      <c r="GR8" s="535"/>
      <c r="GS8" s="535" t="e">
        <f>IF(GW8&gt;=3888.8,BO8,0)</f>
        <v>#REF!</v>
      </c>
      <c r="GT8" s="535" t="e">
        <f>IF(AND(GW8&lt;3888.8,GJ8&gt;0),"P","")</f>
        <v>#REF!</v>
      </c>
      <c r="GU8" s="535" t="e">
        <f>IF(GK8="P",Lookup!$N$12,IF(GK8="PP",Lookup!$N$13,IF(GK8="PPP",Lookup!$N$14,IF(GK8="T",Lookup!$N$15,IF(GK8="TP",Lookup!$N$16,IF(GK8="TPP",Lookup!$N$17,IF(GK8="TPPP",Lookup!$N$18,0)))))))*GJ8</f>
        <v>#REF!</v>
      </c>
      <c r="GV8" s="535" t="e">
        <f t="shared" ref="GV8:GV72" si="53">IF(GT8="P",MIN(GU8,7/36*GE8-GX8),0)</f>
        <v>#REF!</v>
      </c>
      <c r="GW8" s="535" t="e">
        <f t="shared" ref="GW8:GW17" si="54">GX8*MGtoAF</f>
        <v>#REF!</v>
      </c>
      <c r="GX8" s="535" t="e">
        <f>(IF(AND(GB8="Y",B8=GD8),1267.5,(IF(AND(B8&lt;GF8,B8&gt;=GC8),MIN(BU7+BO8-BN8,7/36*GE8),IF(B8=GF8,7/36*GG8,IF(AND(B8&gt;GF8,B8&lt;GH8),MIN(BU7+BO8-BN8,7/36*GG8),IF(B8&gt;=GH8,0,0)))))))+DT8</f>
        <v>#REF!</v>
      </c>
      <c r="GY8" s="535"/>
      <c r="GZ8" s="535" t="e">
        <f>IF(HD8&gt;=3888.8,CJ8,0)</f>
        <v>#REF!</v>
      </c>
      <c r="HA8" s="535" t="e">
        <f>IF(AND(HD8&lt;3888.8,GJ8&gt;0),"P","")</f>
        <v>#REF!</v>
      </c>
      <c r="HB8" s="535" t="e">
        <f>IF(GK8="P",Lookup!$N$12,IF(GK8="PP",Lookup!$N$13,IF(GK8="PPP",Lookup!$N$14,IF(GK8="T",Lookup!$N$15,IF(GK8="TP",Lookup!$N$16,IF(GK8="TPP",Lookup!$N$17,IF(GK8="TPPP",Lookup!$N$18,0)))))))*GJ8</f>
        <v>#REF!</v>
      </c>
      <c r="HC8" s="521" t="e">
        <f t="shared" ref="HC8:HC17" si="55">IF(HA8="P",MIN(HB8,7/36*GE8-HE8),0)</f>
        <v>#REF!</v>
      </c>
      <c r="HD8" s="535" t="e">
        <f t="shared" ref="HD8:HD17" si="56">HE8*MGtoAF</f>
        <v>#REF!</v>
      </c>
      <c r="HE8" s="535" t="e">
        <f>(IF(AND(GB8="Y",B8=GD8),1267.5,IF(AND(B8&lt;GF8,B8&gt;=GC8),MIN(CP7+CJ8-CI8,7/36*GE8),IF(B8=GF8,7/36*GG8,IF(AND(B8&gt;GF8,B8&lt;GH8),MIN(CP7+CJ8-CI8,7/36*GG8),IF(B8&gt;=GH8,0,0))))))+DU8</f>
        <v>#REF!</v>
      </c>
      <c r="HF8" s="535"/>
      <c r="HG8" s="535" t="e">
        <f>IF(HK8&gt;=3888.8,DC8,0)</f>
        <v>#REF!</v>
      </c>
      <c r="HH8" s="535" t="e">
        <f>IF(AND(HK8&lt;3888.8,GJ8&gt;0),"P","")</f>
        <v>#REF!</v>
      </c>
      <c r="HI8" s="535" t="e">
        <f>IF(GK8="P",Lookup!$N$12,IF(GK8="PP",Lookup!$N$13,IF(GK8="PPP",Lookup!$N$14,IF(GK8="T",Lookup!$N$15,IF(GK8="TP",Lookup!$N$16,IF(GK8="TPP",Lookup!$N$17,IF(GK8="TPPP",Lookup!$N$18,0)))))))*GJ8</f>
        <v>#REF!</v>
      </c>
      <c r="HJ8" s="521" t="e">
        <f t="shared" ref="HJ8:HJ17" si="57">IF(HH8="P",MIN(HI8,7/36*GE8-HL8),0)</f>
        <v>#REF!</v>
      </c>
      <c r="HK8" s="535" t="e">
        <f t="shared" ref="HK8:HK17" si="58">HL8*MGtoAF</f>
        <v>#REF!</v>
      </c>
      <c r="HL8" s="535" t="e">
        <f>(IF(AND(GB8="Y",B8=GD8),1267.5,(IF(AND(B8&lt;GF8,B8&gt;=GC8),MIN(DI7+DC8-DB8,7/36*GE8),IF(B8=GF8,7/36*GG8,IF(AND(B8&gt;GF8,B8&lt;GH8),MIN(DI7+DC8-DB8,7/36*GG8),IF(B8&gt;=GH8,0,0)))))))+DV8</f>
        <v>#REF!</v>
      </c>
      <c r="HM8" s="535"/>
      <c r="HN8" s="535"/>
      <c r="HO8" s="535"/>
      <c r="HP8" s="535"/>
      <c r="HQ8" s="535"/>
      <c r="HR8" s="535"/>
    </row>
    <row r="9" spans="1:243" ht="12.75" hidden="1" customHeight="1" x14ac:dyDescent="0.25">
      <c r="A9" s="553" t="s">
        <v>7</v>
      </c>
      <c r="B9" s="531">
        <v>42733</v>
      </c>
      <c r="C9" s="532">
        <v>0</v>
      </c>
      <c r="D9" s="506">
        <f t="shared" si="0"/>
        <v>300</v>
      </c>
      <c r="E9" s="506">
        <f t="shared" si="1"/>
        <v>250</v>
      </c>
      <c r="F9" s="506">
        <v>250</v>
      </c>
      <c r="G9" s="535" t="e">
        <f>DR9+Sheet1!#REF!</f>
        <v>#REF!</v>
      </c>
      <c r="H9" s="1074" t="e">
        <f>MAX((G9-113-D9)*CFStoMGD,0)</f>
        <v>#REF!</v>
      </c>
      <c r="I9" s="534" t="e">
        <f>MAX(Sheet1!#REF!-AT9+(Sheet1!#REF!-E9)*CFStoMGD,0)</f>
        <v>#REF!</v>
      </c>
      <c r="J9" s="537" t="e">
        <f>IF(AND(B9&gt;=Calculation!GC9,B9&lt;=Calculation!GD9),IF(Sheet1!#REF!&gt;=Calculation!D9,64.64,0),MAX(Sheet1!#REF!-AT9+(Sheet1!#REF!-D9)*CFStoMGD,0))</f>
        <v>#REF!</v>
      </c>
      <c r="K9" s="818" t="e">
        <f>MAX(MIN(H9:J9,64.64),0)</f>
        <v>#REF!</v>
      </c>
      <c r="L9" s="535" t="e">
        <f>Sheet1!#REF!+Sheet1!#REF!-Sheet1!#REF!+(Sheet1!#REF!-F9)*CFStoMGD</f>
        <v>#REF!</v>
      </c>
      <c r="M9" s="535" t="e">
        <f t="shared" si="2"/>
        <v>#REF!</v>
      </c>
      <c r="N9" s="824" t="e">
        <f>IF(Sheet1!#REF!&gt;=F9,MIN(73,MIN(MAX(L9,0),MAX(M9,0))),0)</f>
        <v>#REF!</v>
      </c>
      <c r="O9" s="538" t="e">
        <f>Sheet1!#REF!+Sheet1!#REF!</f>
        <v>#REF!</v>
      </c>
      <c r="P9" s="538" t="e">
        <f t="shared" si="3"/>
        <v>#REF!</v>
      </c>
      <c r="Q9" s="812" t="e">
        <f>IF(OR(Y9="FALSE",AND(B9&gt;=FV9,B9&lt;=FW9)),O9-S9-U9,0)</f>
        <v>#REF!</v>
      </c>
      <c r="R9" s="746" t="e">
        <f t="shared" ref="R9:R72" si="59">IF(AND(B9&gt;=GF9,B9&lt;=GH9),MAX(EB9,EF9),EB9)</f>
        <v>#REF!</v>
      </c>
      <c r="S9" s="812" t="e">
        <f t="shared" ref="S9:S72" si="60">IF(OR(B9&lt;GC9,B9&gt;GH9),MIN(O9,K9),IF(AND(B9&gt;=FV9,B9&lt;=FW9),0,IF(AND(B9&gt;=GC9,B9&lt;=GD9),DL9,IF(AND(B9&gt;GD9,B9&lt;FV9),MIN(K9,O9),0))))</f>
        <v>#REF!</v>
      </c>
      <c r="T9" s="812">
        <f t="shared" ref="T9:T72" si="61">IF(OR(B9&lt;GC9,B9&gt;GD9),0, K9-DL9)</f>
        <v>0</v>
      </c>
      <c r="U9" s="812">
        <f>IF(AND(B9&gt;=FV9,B9&lt;=FW9),MAX(EF9,ED9),0)</f>
        <v>0</v>
      </c>
      <c r="V9" s="812"/>
      <c r="W9" s="812" t="e">
        <f t="shared" ref="W9:W72" si="62">MAX(K9-DJ9,0)</f>
        <v>#REF!</v>
      </c>
      <c r="X9" s="812" t="e">
        <f t="shared" ref="X9:X72" si="63">S9+T9</f>
        <v>#REF!</v>
      </c>
      <c r="Y9" s="812" t="e">
        <f t="shared" ref="Y9:Y72" si="64">IF(OR(O9&gt;K9,AND(B9&gt;=GC9,B9&lt;=GD9),), "FALSE","")</f>
        <v>#REF!</v>
      </c>
      <c r="Z9" s="812" t="e">
        <f t="shared" ref="Z9:Z72" si="65">O9</f>
        <v>#REF!</v>
      </c>
      <c r="AA9" s="812" t="e">
        <f t="shared" ref="AA9:AA72" si="66">Q9+S9+U9</f>
        <v>#REF!</v>
      </c>
      <c r="AB9" s="1059" t="e">
        <f>IF(OR(Z9-AA9&lt;-0.1,Z9-AA9&gt;0.1),"BAD ENGINEER","")</f>
        <v>#REF!</v>
      </c>
      <c r="AC9" s="538" t="e">
        <f>Sheet1!#REF!*MGDtoCFS</f>
        <v>#REF!</v>
      </c>
      <c r="AD9" s="538" t="e">
        <f>Sheet1!#REF!*MGDtoCFS</f>
        <v>#REF!</v>
      </c>
      <c r="AE9" s="538" t="e">
        <f>Sheet1!#REF!*MGDtoCFS</f>
        <v>#REF!</v>
      </c>
      <c r="AF9" s="538" t="e">
        <f>Sheet1!#REF!*MGDtoCFS</f>
        <v>#REF!</v>
      </c>
      <c r="AG9" s="538" t="e">
        <f>Sheet1!#REF!*MGDtoCFS</f>
        <v>#REF!</v>
      </c>
      <c r="AH9" s="521" t="e">
        <f t="shared" ref="AH9:AH16" si="67">AU9+BN9+CI9+DB9</f>
        <v>#REF!</v>
      </c>
      <c r="AI9" s="1059" t="e">
        <f t="shared" si="4"/>
        <v>#REF!</v>
      </c>
      <c r="AJ9" s="535">
        <f t="shared" ref="AJ9:AJ17" si="68">IF(B9&gt;=GC9,IF(B9&lt;=GD9,K9-EB9,0),0)</f>
        <v>0</v>
      </c>
      <c r="AK9" s="535">
        <f t="shared" si="5"/>
        <v>0</v>
      </c>
      <c r="AL9" s="535" t="e">
        <f>(VLOOKUP(Sheet1!#REF!,hhdcap_wcm,4)-(((VLOOKUP(Sheet1!#REF!,hhdcap_wcm,3)-Sheet1!#REF!)/(VLOOKUP(Sheet1!#REF!,hhdcap_wcm,3)-VLOOKUP(Sheet1!#REF!,hhdcap_wcm,1)))*(VLOOKUP(Sheet1!#REF!,hhdcap_wcm,4)-VLOOKUP(Sheet1!#REF!,hhdcap_wcm,2))))</f>
        <v>#REF!</v>
      </c>
      <c r="AM9" s="535" t="e">
        <f t="shared" ref="AM9:AM17" si="69">AL9-AL8</f>
        <v>#REF!</v>
      </c>
      <c r="AN9" s="1035">
        <f t="shared" si="6"/>
        <v>0</v>
      </c>
      <c r="AO9" s="535">
        <f t="shared" si="7"/>
        <v>0</v>
      </c>
      <c r="AP9" s="535" t="e">
        <f>Sheet1!#REF!+Sheet1!#REF!+Sheet1!#REF!+CD9</f>
        <v>#REF!</v>
      </c>
      <c r="AQ9" s="535" t="e">
        <f>Sheet1!#REF!+(DO9*Sheet1!#REF!)</f>
        <v>#REF!</v>
      </c>
      <c r="AR9" s="535" t="e">
        <f>Sheet1!#REF!+CD9</f>
        <v>#REF!</v>
      </c>
      <c r="AS9" s="535" t="e">
        <f>Sheet1!#REF!+Sheet1!#REF!+CD9</f>
        <v>#REF!</v>
      </c>
      <c r="AT9" s="649">
        <f>0</f>
        <v>0</v>
      </c>
      <c r="AU9" s="535" t="e">
        <f>IF(EB9&lt;K9,0,MAX(Sheet1!#REF!+AQ9-15/36*K9-N9,Sheet1!#REF!,0))</f>
        <v>#REF!</v>
      </c>
      <c r="AV9" s="535">
        <f>IF(OR(B9&gt;=GD9,B9&lt;GC9),0,15/36*K9-MAX(0,64.6-(137.6-(Sheet1!#REF!+Sheet1!#REF!))))</f>
        <v>0</v>
      </c>
      <c r="AW9" s="649"/>
      <c r="AX9" s="649"/>
      <c r="AY9" s="649"/>
      <c r="AZ9" s="649"/>
      <c r="BA9" s="1059">
        <f>IF(AZ9&lt;=0,0,AZ9/1.547)</f>
        <v>0</v>
      </c>
      <c r="BB9" s="535" t="e">
        <f t="shared" si="8"/>
        <v>#REF!</v>
      </c>
      <c r="BC9" s="1035"/>
      <c r="BD9" s="535" t="e">
        <f ca="1">IF(B9&gt;Summary!$A$1,#N/A,BB9*MGtoAF)</f>
        <v>#REF!</v>
      </c>
      <c r="BE9" s="535" t="e">
        <f>Sheet1!#REF!+Sheet1!#REF!+Sheet1!#REF!-BM9</f>
        <v>#REF!</v>
      </c>
      <c r="BF9" s="535" t="e">
        <f t="shared" si="9"/>
        <v>#REF!</v>
      </c>
      <c r="BG9" s="535" t="e">
        <f>IF(Sheet1!#REF!="FM",BM9,0)</f>
        <v>#REF!</v>
      </c>
      <c r="BH9" s="535" t="e">
        <f t="shared" si="10"/>
        <v>#REF!</v>
      </c>
      <c r="BI9" s="535" t="e">
        <f>IF(Sheet1!#REF!="OTHER",BM9,0)</f>
        <v>#REF!</v>
      </c>
      <c r="BJ9" s="535" t="e">
        <f t="shared" si="11"/>
        <v>#REF!</v>
      </c>
      <c r="BK9" s="535" t="e">
        <f t="shared" si="12"/>
        <v>#REF!</v>
      </c>
      <c r="BL9" s="535" t="e">
        <f t="shared" si="13"/>
        <v>#REF!</v>
      </c>
      <c r="BM9" s="535" t="e">
        <f>IF(OR(Sheet1!#REF!="FM", Sheet1!#REF!="OTHER"),SUM(Sheet1!#REF!:Sheet1!#REF!),0)</f>
        <v>#REF!</v>
      </c>
      <c r="BN9" s="521" t="e">
        <f>IF(AND($B9&gt;=$FV9,$B9&lt;=$FW9),MAX(BF9,Sheet1!#REF!,0),MAX(BF9-(7/36)*$K9,0))</f>
        <v>#REF!</v>
      </c>
      <c r="BO9" s="535">
        <f t="shared" si="14"/>
        <v>0</v>
      </c>
      <c r="BP9" s="521" t="e">
        <f t="shared" si="15"/>
        <v>#REF!</v>
      </c>
      <c r="BQ9" s="521" t="e">
        <f>IF(AND($O9&gt;0,Sheet1!#REF!=1),(1-($O9-Sheet1!#REF!)/$O9)*BL9,0)</f>
        <v>#REF!</v>
      </c>
      <c r="BR9" s="521" t="e">
        <f>IF(AND(Sheet1!#REF!=0,Sheet1!#REF!=0, Calculation!BK9&lt;Sheet1!#REF!-0.1,Sheet1!#REF!=Sheet1!#REF!,Sheet1!#REF!=Sheet1!$EI8),Sheet1!#REF!,BL9-BQ9)</f>
        <v>#REF!</v>
      </c>
      <c r="BS9" s="1035"/>
      <c r="BT9" s="1035"/>
      <c r="BU9" s="535" t="e">
        <f t="shared" si="16"/>
        <v>#REF!</v>
      </c>
      <c r="BV9" s="535"/>
      <c r="BW9" s="535" t="e">
        <f ca="1">IF(B9&gt;Summary!$A$1,#N/A,BU9*MGtoAF)</f>
        <v>#REF!</v>
      </c>
      <c r="BX9" s="535" t="e">
        <f>Sheet1!#REF!+Sheet1!#REF!+Sheet1!#REF!+Sheet1!#REF!-CG9-CH9</f>
        <v>#REF!</v>
      </c>
      <c r="BY9" s="535" t="e">
        <f t="shared" si="17"/>
        <v>#REF!</v>
      </c>
      <c r="BZ9" s="535" t="e">
        <f>IF(Sheet1!#REF!="FM",CH9,0)</f>
        <v>#REF!</v>
      </c>
      <c r="CA9" s="535" t="e">
        <f t="shared" si="18"/>
        <v>#REF!</v>
      </c>
      <c r="CB9" s="535" t="e">
        <f>IF(Sheet1!#REF!="OTHER",CH9,0)</f>
        <v>#REF!</v>
      </c>
      <c r="CC9" s="535" t="e">
        <f t="shared" si="19"/>
        <v>#REF!</v>
      </c>
      <c r="CD9" s="535" t="e">
        <f t="shared" si="20"/>
        <v>#REF!</v>
      </c>
      <c r="CE9" s="535" t="e">
        <f t="shared" si="21"/>
        <v>#REF!</v>
      </c>
      <c r="CF9" s="535" t="e">
        <f t="shared" si="22"/>
        <v>#REF!</v>
      </c>
      <c r="CG9" s="535" t="e">
        <f>IF(Sheet1!#REF!="CWA",SUM(Sheet1!#REF!:Sheet1!#REF!),0)</f>
        <v>#REF!</v>
      </c>
      <c r="CH9" s="535" t="e">
        <f>IF(OR(Sheet1!#REF!="FM", Sheet1!#REF!="OTHER"),SUM(Sheet1!#REF!:Sheet1!#REF!),0)</f>
        <v>#REF!</v>
      </c>
      <c r="CI9" s="521" t="e">
        <f>IF(AND($B9&gt;=$FV9,$B9&lt;=$FW9),MAX(CF9,Sheet1!#REF!,0),MAX(CF9-(7/36)*$K9,0))</f>
        <v>#REF!</v>
      </c>
      <c r="CJ9" s="535">
        <f t="shared" si="23"/>
        <v>0</v>
      </c>
      <c r="CK9" s="521" t="e">
        <f t="shared" si="24"/>
        <v>#REF!</v>
      </c>
      <c r="CL9" s="521" t="e">
        <f>IF(AND($O9&gt;0,Sheet1!#REF!=1),(1-($O9-Sheet1!#REF!)/$O9)*CF9,0)</f>
        <v>#REF!</v>
      </c>
      <c r="CM9" s="521" t="e">
        <f>IF(AND(Sheet1!#REF!=0,Sheet1!#REF!=0, Calculation!CE9&lt;Sheet1!#REF!-0.1,Sheet1!#REF!=Sheet1!#REF!,Sheet1!#REF!=Sheet1!EJ8),Sheet1!#REF!,CF9-CL9)</f>
        <v>#REF!</v>
      </c>
      <c r="CN9" s="1040"/>
      <c r="CO9" s="1035"/>
      <c r="CP9" s="535" t="e">
        <f t="shared" si="25"/>
        <v>#REF!</v>
      </c>
      <c r="CQ9" s="535"/>
      <c r="CR9" s="535" t="e">
        <f ca="1">IF(B9&gt;Summary!$A$1,#N/A,CP9*MGtoAF)</f>
        <v>#REF!</v>
      </c>
      <c r="CS9" s="535" t="e">
        <f>Sheet1!#REF!+Sheet1!#REF!+Sheet1!#REF!-Sheet1!#REF!-DA9</f>
        <v>#REF!</v>
      </c>
      <c r="CT9" s="535" t="e">
        <f t="shared" si="26"/>
        <v>#REF!</v>
      </c>
      <c r="CU9" s="535" t="e">
        <f>IF(Sheet1!#REF!="FM",DA9,0)</f>
        <v>#REF!</v>
      </c>
      <c r="CV9" s="535" t="e">
        <f t="shared" si="27"/>
        <v>#REF!</v>
      </c>
      <c r="CW9" s="535" t="e">
        <f>IF(Sheet1!#REF!="OTHER",DA9,0)</f>
        <v>#REF!</v>
      </c>
      <c r="CX9" s="535" t="e">
        <f t="shared" si="28"/>
        <v>#REF!</v>
      </c>
      <c r="CY9" s="535" t="e">
        <f t="shared" si="29"/>
        <v>#REF!</v>
      </c>
      <c r="CZ9" s="535" t="e">
        <f t="shared" si="30"/>
        <v>#REF!</v>
      </c>
      <c r="DA9" s="535" t="e">
        <f>IF(OR(Sheet1!#REF!="FM", Sheet1!#REF!="OTHER"),SUM(Sheet1!#REF!:Sheet1!#REF!),0)</f>
        <v>#REF!</v>
      </c>
      <c r="DB9" s="1011" t="e">
        <f>IF(AND($B9&gt;=$FV9,$B9&lt;=$FW9),MAX($CT9,Sheet1!#REF!,0),MAX($CT9-(7/36)*$K9,0))</f>
        <v>#REF!</v>
      </c>
      <c r="DC9" s="1012">
        <f t="shared" si="31"/>
        <v>0</v>
      </c>
      <c r="DD9" s="1011" t="e">
        <f t="shared" si="32"/>
        <v>#REF!</v>
      </c>
      <c r="DE9" s="521" t="e">
        <f>IF(AND($O9&gt;0,Sheet1!#REF!=1),(1-($O9-Sheet1!#REF!)/$O9)*CZ9,0)</f>
        <v>#REF!</v>
      </c>
      <c r="DF9" s="521" t="e">
        <f>IF(AND(Sheet1!#REF!=0,Sheet1!#REF!=0, Calculation!CY9&lt;Sheet1!#REF!-0.1,Sheet1!#REF!=Sheet1!#REF!,Sheet1!#REF!=Sheet1!$EK8),Sheet1!#REF!,CZ9-DE9)</f>
        <v>#REF!</v>
      </c>
      <c r="DG9" s="1040"/>
      <c r="DH9" s="649" t="e">
        <f t="shared" si="33"/>
        <v>#REF!</v>
      </c>
      <c r="DI9" s="535" t="e">
        <f t="shared" si="34"/>
        <v>#REF!</v>
      </c>
      <c r="DJ9" s="649" t="e">
        <f t="shared" si="35"/>
        <v>#REF!</v>
      </c>
      <c r="DK9" s="535" t="e">
        <f ca="1">IF(B9&gt;Summary!$A$1,#N/A,DI9*MGtoAF)</f>
        <v>#REF!</v>
      </c>
      <c r="DL9" s="649" t="e">
        <f t="shared" si="36"/>
        <v>#REF!</v>
      </c>
      <c r="DM9" s="535" t="e">
        <f t="shared" si="37"/>
        <v>#REF!</v>
      </c>
      <c r="DN9" s="535" t="e">
        <f>Sheet1!#REF!-DM9</f>
        <v>#REF!</v>
      </c>
      <c r="DO9" s="743" t="e">
        <f t="shared" si="38"/>
        <v>#REF!</v>
      </c>
      <c r="DP9" s="535" t="e">
        <f>(VLOOKUP(Sheet1!#REF!,hhdcap_wcm,4)-(((VLOOKUP(Sheet1!#REF!,hhdcap_wcm,3)-Sheet1!#REF!)/(VLOOKUP(Sheet1!#REF!,hhdcap_wcm,3)-VLOOKUP(Sheet1!#REF!,hhdcap_wcm,1)))*(VLOOKUP(Sheet1!#REF!,hhdcap_wcm,4)-VLOOKUP(Sheet1!#REF!,hhdcap_wcm,2))))</f>
        <v>#REF!</v>
      </c>
      <c r="DQ9" s="535" t="e">
        <f t="shared" ref="DQ9:DQ17" si="70">DP9-DP8</f>
        <v>#REF!</v>
      </c>
      <c r="DR9" s="535" t="e">
        <f t="shared" si="39"/>
        <v>#REF!</v>
      </c>
      <c r="DS9" s="535" t="e">
        <f>Sheet1!#REF!*AFtoMG</f>
        <v>#REF!</v>
      </c>
      <c r="DT9" s="535" t="e">
        <f>Sheet1!#REF!*AFtoMG</f>
        <v>#REF!</v>
      </c>
      <c r="DU9" s="535" t="e">
        <f>Sheet1!#REF!*AFtoMG</f>
        <v>#REF!</v>
      </c>
      <c r="DV9" s="535" t="e">
        <f>Sheet1!#REF!*AFtoMG</f>
        <v>#REF!</v>
      </c>
      <c r="DW9" s="535" t="e">
        <f t="shared" si="40"/>
        <v>#REF!</v>
      </c>
      <c r="DX9" s="535" t="e">
        <f t="shared" si="41"/>
        <v>#REF!</v>
      </c>
      <c r="DY9" s="535">
        <f t="shared" si="42"/>
        <v>0</v>
      </c>
      <c r="DZ9" s="535">
        <f t="shared" si="43"/>
        <v>0</v>
      </c>
      <c r="EA9" s="535"/>
      <c r="EB9" s="521" t="e">
        <f>IF(OR(B9&lt;FV9,B9&gt;FW9),(MIN(BF9+BY9+CT9+MAX(Sheet1!#REF!+AQ9-73,0),K9)),0)</f>
        <v>#REF!</v>
      </c>
      <c r="EC9" s="535"/>
      <c r="ED9" s="535" t="e">
        <f t="shared" si="44"/>
        <v>#REF!</v>
      </c>
      <c r="EE9" s="535"/>
      <c r="EF9" s="535" t="e">
        <f>Sheet1!#REF!+Sheet1!#REF!+Sheet1!#REF!+Sheet1!#REF!</f>
        <v>#REF!</v>
      </c>
      <c r="EG9" s="535"/>
      <c r="EH9" s="521" t="e">
        <f t="shared" si="45"/>
        <v>#REF!</v>
      </c>
      <c r="EI9" s="535" t="e">
        <f>IF(Sheet1!#REF!=1,SUM('Calculations II'!AT9:BA9)+'Calculations II'!BC9+Sheet1!#REF!+'Calculations II'!BE9+AP9,SUM('Calculations II'!AT9:BA9)+'Calculations II'!BC9+Sheet1!#REF!+'Calculations II'!BE9+AP9)</f>
        <v>#REF!</v>
      </c>
      <c r="EJ9" s="535" t="e">
        <f>Sheet1!#REF!+Sheet1!#REF!+'Calculations II'!BC9</f>
        <v>#REF!</v>
      </c>
      <c r="EK9" s="535"/>
      <c r="EL9" s="535"/>
      <c r="EM9" s="535">
        <f t="shared" si="46"/>
        <v>42733</v>
      </c>
      <c r="EN9" s="535" t="e">
        <f t="shared" si="47"/>
        <v>#REF!</v>
      </c>
      <c r="EO9" s="535" t="e">
        <f t="shared" si="48"/>
        <v>#REF!</v>
      </c>
      <c r="EP9" s="535">
        <v>0</v>
      </c>
      <c r="EQ9" s="535">
        <v>0</v>
      </c>
      <c r="ER9" s="535">
        <v>0</v>
      </c>
      <c r="ES9" s="521" t="e">
        <f t="shared" ref="ES9:ES72" si="71">ET9+EU9</f>
        <v>#REF!</v>
      </c>
      <c r="ET9" s="535" t="e">
        <f>-(VLOOKUP(Sheet1!#REF!,Lookup!$O$4:$Q$262,2)-VLOOKUP(Sheet1!#REF!,Lookup!$O$4:$Q$262,2))/1000000</f>
        <v>#REF!</v>
      </c>
      <c r="EU9" s="535" t="e">
        <f>-(VLOOKUP(Sheet1!#REF!,Lookup!$O$4:$Q$262,3)-VLOOKUP(Sheet1!#REF!,Lookup!$O$4:$Q$262,3))/1000000</f>
        <v>#REF!</v>
      </c>
      <c r="EV9" s="535"/>
      <c r="EW9" s="535"/>
      <c r="EX9" s="535"/>
      <c r="EY9" s="535"/>
      <c r="EZ9" s="535"/>
      <c r="FA9" s="535"/>
      <c r="FB9" s="535"/>
      <c r="FC9" s="535"/>
      <c r="FD9" s="567" t="e">
        <f t="shared" ref="FD9:FD17" si="72">VLOOKUP(FJ8,hhdelev_wcm,4) -(((VLOOKUP(FJ8,hhdelev_wcm,3)-FJ8)/(VLOOKUP(FJ8,hhdelev_wcm,3)-VLOOKUP(FJ8,hhdelev_wcm,1)))*(VLOOKUP(FJ8,hhdelev_wcm,4)-VLOOKUP(FJ8,hhdelev_wcm,2)))</f>
        <v>#N/A</v>
      </c>
      <c r="FE9" s="567" t="e">
        <f t="shared" ref="FE9:FE17" si="73">MAX((FE8-FI9*1.983),0)</f>
        <v>#N/A</v>
      </c>
      <c r="FF9" s="568" t="e">
        <f t="shared" si="49"/>
        <v>#REF!</v>
      </c>
      <c r="FG9" s="569" t="s">
        <v>655</v>
      </c>
      <c r="FH9" s="569" t="s">
        <v>655</v>
      </c>
      <c r="FI9" s="567" t="e">
        <v>#N/A</v>
      </c>
      <c r="FJ9" s="567" t="e">
        <v>#N/A</v>
      </c>
      <c r="FK9" s="535"/>
      <c r="FL9" s="1015"/>
      <c r="FM9" s="535"/>
      <c r="FN9" s="535"/>
      <c r="FO9" s="535" t="e">
        <f>O9+((Sheet1!#REF!)*GPMtoMGD)</f>
        <v>#REF!</v>
      </c>
      <c r="FP9" s="535" t="e">
        <f>IF(Sheet1!#REF!+AQ9&lt;=Calculation!N9,AQ9,Calculation!N9-Sheet1!#REF!)</f>
        <v>#REF!</v>
      </c>
      <c r="FQ9" s="535" t="e">
        <f>(Sheet1!#REF!+Sheet1!#REF!)/694.4</f>
        <v>#REF!</v>
      </c>
      <c r="FR9" s="535"/>
      <c r="FS9" s="535"/>
      <c r="FT9" s="535"/>
      <c r="FU9" s="535"/>
      <c r="FV9" s="1109">
        <f t="shared" ref="FV9:FV72" si="74">$FV$4</f>
        <v>42918</v>
      </c>
      <c r="FW9" s="1109">
        <f t="shared" ref="FW9:FW72" si="75">$FW$4</f>
        <v>43027</v>
      </c>
      <c r="FX9" s="535"/>
      <c r="FY9" s="535"/>
      <c r="FZ9" s="535"/>
      <c r="GA9" s="535"/>
      <c r="GB9" s="535" t="str">
        <f t="shared" ref="GB9:GB72" si="76">$GB$4</f>
        <v>n</v>
      </c>
      <c r="GC9" s="539">
        <f t="shared" ref="GC9:GC72" si="77">$GC$4</f>
        <v>42782</v>
      </c>
      <c r="GD9" s="1109">
        <f t="shared" ref="GD9:GD72" si="78">$GD$4</f>
        <v>42904</v>
      </c>
      <c r="GE9" s="535">
        <v>6518.9</v>
      </c>
      <c r="GF9" s="1109">
        <f t="shared" ref="GF9:GF72" si="79">$GF$4</f>
        <v>42909</v>
      </c>
      <c r="GG9" s="535" t="str">
        <f t="shared" si="50"/>
        <v>Maximum Storage after split (MG)</v>
      </c>
      <c r="GH9" s="539">
        <f t="shared" ref="GH9:GH72" si="80">$GH$4</f>
        <v>43040</v>
      </c>
      <c r="GJ9" s="521" t="e">
        <f t="shared" ref="GJ9:GJ72" si="81">IF(AND(B9&gt;=GD9,B9&lt;GF9),AFtoMG*(20000-AO8),GL9+GZ9+GS9+HG9)</f>
        <v>#REF!</v>
      </c>
      <c r="GK9" s="535" t="e">
        <f t="shared" si="51"/>
        <v>#REF!</v>
      </c>
      <c r="GL9" s="535" t="e">
        <f t="shared" ref="GL9:GL72" si="82">IF(GP9&gt;=8333.3,AV9,0)</f>
        <v>#REF!</v>
      </c>
      <c r="GM9" s="535" t="e">
        <f t="shared" ref="GM9:GM72" si="83">IF(AND(GP9&lt;8333.3,GJ9&gt;0),"T","")</f>
        <v>#REF!</v>
      </c>
      <c r="GN9" s="535" t="e">
        <f>IF(GK9="P",Lookup!$M$12,IF(GK9="PP",Lookup!$M$13,IF(GK9="PPP",Lookup!$M$14,IF(GK9="T",Lookup!$M$15,IF(GK9="TP",Lookup!$M$16,IF(GK9="TPP",Lookup!$M$17,IF(GK9="TPPP",Lookup!$M$18,0)))))))*GJ9</f>
        <v>#REF!</v>
      </c>
      <c r="GO9" s="535" t="e">
        <f t="shared" ref="GO9:GO72" si="84">IF(GM9="T", MIN(GN9, 2716.2-$GQ9),0)</f>
        <v>#REF!</v>
      </c>
      <c r="GP9" s="535" t="e">
        <f t="shared" si="52"/>
        <v>#REF!</v>
      </c>
      <c r="GQ9" s="535" t="e">
        <f>(IF(AND(GB8="Y",B9=GD9),2716.2,(IF(AND(B9&lt;GF9,B9&gt;=GC9),MIN(BB8+AV9-AU9,15/36*GE9),IF(B9=GF9,15/36*GG9,IF(AND(B9&gt;GF9,B9&lt;GH9),MIN(BB8+AV9-AU9,15/36*GG9),IF(B9&gt;=GH9,0,0)))))))+DS9</f>
        <v>#REF!</v>
      </c>
      <c r="GR9" s="535"/>
      <c r="GS9" s="535" t="e">
        <f t="shared" ref="GS9:GS72" si="85">IF(GW9&gt;=3888.8,BO9,0)</f>
        <v>#REF!</v>
      </c>
      <c r="GT9" s="535" t="e">
        <f t="shared" ref="GT9:GT72" si="86">IF(AND(GW9&lt;3888.8,GJ9&gt;0),"P","")</f>
        <v>#REF!</v>
      </c>
      <c r="GU9" s="535" t="e">
        <f>IF(GK9="P",Lookup!$N$12,IF(GK9="PP",Lookup!$N$13,IF(GK9="PPP",Lookup!$N$14,IF(GK9="T",Lookup!$N$15,IF(GK9="TP",Lookup!$N$16,IF(GK9="TPP",Lookup!$N$17,IF(GK9="TPPP",Lookup!$N$18,0)))))))*GJ9</f>
        <v>#REF!</v>
      </c>
      <c r="GV9" s="535" t="e">
        <f t="shared" si="53"/>
        <v>#REF!</v>
      </c>
      <c r="GW9" s="535" t="e">
        <f t="shared" si="54"/>
        <v>#REF!</v>
      </c>
      <c r="GX9" s="535" t="e">
        <f>(IF(AND(GB9="Y",B9=GD9),1267.5,(IF(AND(B9&lt;GF9,B9&gt;=GC9),MIN(BU8+BO9-BN9,7/36*GE9),IF(B9=GF9,7/36*GG9,IF(AND(B9&gt;GF9,B9&lt;GH9),MIN(BU8+BO9-BN9,7/36*GG9),IF(B9&gt;=GH9,0,0)))))))+DT9</f>
        <v>#REF!</v>
      </c>
      <c r="GY9" s="535"/>
      <c r="GZ9" s="535" t="e">
        <f t="shared" ref="GZ9:GZ72" si="87">IF(HD9&gt;=3888.8,CJ9,0)</f>
        <v>#REF!</v>
      </c>
      <c r="HA9" s="535" t="e">
        <f t="shared" ref="HA9:HA72" si="88">IF(AND(HD9&lt;3888.8,GJ9&gt;0),"P","")</f>
        <v>#REF!</v>
      </c>
      <c r="HB9" s="535" t="e">
        <f>IF(GK9="P",Lookup!$N$12,IF(GK9="PP",Lookup!$N$13,IF(GK9="PPP",Lookup!$N$14,IF(GK9="T",Lookup!$N$15,IF(GK9="TP",Lookup!$N$16,IF(GK9="TPP",Lookup!$N$17,IF(GK9="TPPP",Lookup!$N$18,0)))))))*GJ9</f>
        <v>#REF!</v>
      </c>
      <c r="HC9" s="521" t="e">
        <f t="shared" si="55"/>
        <v>#REF!</v>
      </c>
      <c r="HD9" s="535" t="e">
        <f t="shared" si="56"/>
        <v>#REF!</v>
      </c>
      <c r="HE9" s="535" t="e">
        <f>(IF(AND(GB9="Y",B9=GD9),1267.5,IF(AND(B9&lt;GF9,B9&gt;=GC9),MIN(CP8+CJ9-CI9,7/36*GE9),IF(B9=GF9,7/36*GG9,IF(AND(B9&gt;GF9,B9&lt;GH9),MIN(CP8+CJ9-CI9,7/36*GG9),IF(B9&gt;=GH9,0,0))))))+DU9</f>
        <v>#REF!</v>
      </c>
      <c r="HF9" s="535"/>
      <c r="HG9" s="535" t="e">
        <f t="shared" ref="HG9:HG72" si="89">IF(HK9&gt;=3888.8,DC9,0)</f>
        <v>#REF!</v>
      </c>
      <c r="HH9" s="535" t="e">
        <f t="shared" ref="HH9:HH72" si="90">IF(AND(HK9&lt;3888.8,GJ9&gt;0),"P","")</f>
        <v>#REF!</v>
      </c>
      <c r="HI9" s="535" t="e">
        <f>IF(GK9="P",Lookup!$N$12,IF(GK9="PP",Lookup!$N$13,IF(GK9="PPP",Lookup!$N$14,IF(GK9="T",Lookup!$N$15,IF(GK9="TP",Lookup!$N$16,IF(GK9="TPP",Lookup!$N$17,IF(GK9="TPPP",Lookup!$N$18,0)))))))*GJ9</f>
        <v>#REF!</v>
      </c>
      <c r="HJ9" s="521" t="e">
        <f t="shared" si="57"/>
        <v>#REF!</v>
      </c>
      <c r="HK9" s="535" t="e">
        <f t="shared" si="58"/>
        <v>#REF!</v>
      </c>
      <c r="HL9" s="535" t="e">
        <f>(IF(AND(GB9="Y",B9=GD9),1267.5,(IF(AND(B9&lt;GF9,B9&gt;=GC9),MIN(DI8+DC9-DB9,7/36*GE9),IF(B9=GF9,7/36*GG9,IF(AND(B9&gt;GF9,B9&lt;GH9),MIN(DI8+DC9-DB9,7/36*GG9),IF(B9&gt;=GH9,0,0)))))))+DV9</f>
        <v>#REF!</v>
      </c>
      <c r="HM9" s="535"/>
      <c r="HN9" s="535"/>
      <c r="HO9" s="535"/>
      <c r="HP9" s="535"/>
      <c r="HQ9" s="535"/>
      <c r="HR9" s="535"/>
    </row>
    <row r="10" spans="1:243" ht="12.75" hidden="1" customHeight="1" x14ac:dyDescent="0.25">
      <c r="A10" s="553" t="s">
        <v>8</v>
      </c>
      <c r="B10" s="531">
        <v>42734</v>
      </c>
      <c r="C10" s="532">
        <v>0</v>
      </c>
      <c r="D10" s="506">
        <f t="shared" si="0"/>
        <v>300</v>
      </c>
      <c r="E10" s="506">
        <f t="shared" si="1"/>
        <v>250</v>
      </c>
      <c r="F10" s="506">
        <v>250</v>
      </c>
      <c r="G10" s="535" t="e">
        <f>DR10+Sheet1!CZ8</f>
        <v>#REF!</v>
      </c>
      <c r="H10" s="1074" t="e">
        <f>MAX((G10-113-D10)*CFStoMGD,0)</f>
        <v>#REF!</v>
      </c>
      <c r="I10" s="534">
        <f>MAX(Sheet1!Z8-AT10+(Sheet1!DA8-E10)*CFStoMGD,0)</f>
        <v>577.33999999999992</v>
      </c>
      <c r="J10" s="537">
        <f>IF(AND(B10&gt;=Calculation!GC10,B10&lt;=Calculation!GD10),IF(Sheet1!DB8&gt;=Calculation!D10,64.64,0),MAX(Sheet1!Z8-AT10+(Sheet1!DB8-D10)*CFStoMGD,0))</f>
        <v>237.33359999999999</v>
      </c>
      <c r="K10" s="818" t="e">
        <f>MAX(MIN(H10:J10,64.64),0)</f>
        <v>#REF!</v>
      </c>
      <c r="L10" s="535">
        <f>Sheet1!AA8+Sheet1!AB8-Sheet1!L8+(Sheet1!DA8-F10)*CFStoMGD</f>
        <v>604</v>
      </c>
      <c r="M10" s="535" t="e">
        <f t="shared" si="2"/>
        <v>#REF!</v>
      </c>
      <c r="N10" s="824" t="e">
        <f>IF(Sheet1!DA8&gt;=F10,MIN(73,MIN(MAX(L10,0),MAX(M10,0))),0)</f>
        <v>#REF!</v>
      </c>
      <c r="O10" s="538">
        <f>Sheet1!AA8+Sheet1!AB8</f>
        <v>54.56</v>
      </c>
      <c r="P10" s="538">
        <f t="shared" si="3"/>
        <v>84.404319999999984</v>
      </c>
      <c r="Q10" s="812" t="e">
        <f>IF(OR(Y10="FALSE",AND(B10&gt;=FV10,B10&lt;=FW10)),O10-S10-U10,0)</f>
        <v>#REF!</v>
      </c>
      <c r="R10" s="746" t="e">
        <f t="shared" si="59"/>
        <v>#REF!</v>
      </c>
      <c r="S10" s="812" t="e">
        <f t="shared" si="60"/>
        <v>#REF!</v>
      </c>
      <c r="T10" s="812">
        <f t="shared" si="61"/>
        <v>0</v>
      </c>
      <c r="U10" s="812">
        <f>IF(AND(B10&gt;=FV10,B10&lt;=FW10),MAX(EF10,ED10),0)</f>
        <v>0</v>
      </c>
      <c r="V10" s="812"/>
      <c r="W10" s="812" t="e">
        <f t="shared" si="62"/>
        <v>#REF!</v>
      </c>
      <c r="X10" s="812" t="e">
        <f t="shared" si="63"/>
        <v>#REF!</v>
      </c>
      <c r="Y10" s="812" t="e">
        <f t="shared" si="64"/>
        <v>#REF!</v>
      </c>
      <c r="Z10" s="812">
        <f t="shared" si="65"/>
        <v>54.56</v>
      </c>
      <c r="AA10" s="812" t="e">
        <f t="shared" si="66"/>
        <v>#REF!</v>
      </c>
      <c r="AB10" s="1059" t="e">
        <f>IF(OR(Z10-AA10&lt;-0.1,Z10-AA10&gt;0.1),"BAD ENGINEER","")</f>
        <v>#REF!</v>
      </c>
      <c r="AC10" s="538">
        <f>Sheet1!Y8*MGDtoCFS</f>
        <v>41.150199999999998</v>
      </c>
      <c r="AD10" s="538">
        <f>Sheet1!Z8*MGDtoCFS</f>
        <v>43.161299999999997</v>
      </c>
      <c r="AE10" s="538">
        <f>Sheet1!AA8*MGDtoCFS</f>
        <v>41.088319999999996</v>
      </c>
      <c r="AF10" s="538">
        <f>Sheet1!AB8*MGDtoCFS</f>
        <v>43.315999999999995</v>
      </c>
      <c r="AG10" s="538">
        <f>Sheet1!L8*MGDtoCFS</f>
        <v>0</v>
      </c>
      <c r="AH10" s="521" t="e">
        <f t="shared" si="67"/>
        <v>#REF!</v>
      </c>
      <c r="AI10" s="1059" t="e">
        <f t="shared" si="4"/>
        <v>#REF!</v>
      </c>
      <c r="AJ10" s="535">
        <f t="shared" si="68"/>
        <v>0</v>
      </c>
      <c r="AK10" s="535">
        <f t="shared" si="5"/>
        <v>0</v>
      </c>
      <c r="AL10" s="535">
        <f>(VLOOKUP(Sheet1!DC8,hhdcap_wcm,4)-(((VLOOKUP(Sheet1!DC8,hhdcap_wcm,3)-Sheet1!DC8)/(VLOOKUP(Sheet1!DC8,hhdcap_wcm,3)-VLOOKUP(Sheet1!DC8,hhdcap_wcm,1)))*(VLOOKUP(Sheet1!DC8,hhdcap_wcm,4)-VLOOKUP(Sheet1!DC8,hhdcap_wcm,2))))</f>
        <v>1368.8000000036925</v>
      </c>
      <c r="AM10" s="535" t="e">
        <f t="shared" si="69"/>
        <v>#REF!</v>
      </c>
      <c r="AN10" s="1035">
        <f t="shared" si="6"/>
        <v>0</v>
      </c>
      <c r="AO10" s="535">
        <f t="shared" si="7"/>
        <v>0</v>
      </c>
      <c r="AP10" s="535">
        <f>Sheet1!BA8+Sheet1!BB8+Sheet1!BN8+CD10</f>
        <v>18.100000000000001</v>
      </c>
      <c r="AQ10" s="535">
        <f>Sheet1!BN8+(DO10*Sheet1!BN8)</f>
        <v>18.009950248756219</v>
      </c>
      <c r="AR10" s="535">
        <f>Sheet1!BA8+CD10</f>
        <v>0</v>
      </c>
      <c r="AS10" s="535">
        <f>Sheet1!BA8+Sheet1!BB8+CD10</f>
        <v>0</v>
      </c>
      <c r="AT10" s="649">
        <f>0</f>
        <v>0</v>
      </c>
      <c r="AU10" s="535" t="e">
        <f>IF(EB10&lt;K10,0,MAX(Sheet1!AA8+AQ10-15/36*K10-N10,Sheet1!EH8,0))</f>
        <v>#REF!</v>
      </c>
      <c r="AV10" s="535">
        <f>IF(OR(B10&gt;=GD10,B10&lt;GC10),0,15/36*K10-MAX(0,64.6-(137.6-(Sheet1!AA8+Sheet1!AB8))))</f>
        <v>0</v>
      </c>
      <c r="AW10" s="649"/>
      <c r="AX10" s="649"/>
      <c r="AY10" s="649"/>
      <c r="AZ10" s="649"/>
      <c r="BA10" s="1059">
        <f>IF(AZ10&lt;=0,0,AZ10/1.547)</f>
        <v>0</v>
      </c>
      <c r="BB10" s="535">
        <f t="shared" si="8"/>
        <v>0</v>
      </c>
      <c r="BC10" s="1035"/>
      <c r="BD10" s="535">
        <f ca="1">IF(B10&gt;Summary!$A$1,#N/A,BB10*MGtoAF)</f>
        <v>0</v>
      </c>
      <c r="BE10" s="535">
        <f>Sheet1!BG8+Sheet1!BH8+Sheet1!BI8-BM10</f>
        <v>1.02</v>
      </c>
      <c r="BF10" s="535">
        <f t="shared" si="9"/>
        <v>1.0149253731343284</v>
      </c>
      <c r="BG10" s="535">
        <f>IF(Sheet1!EP8="FM",BM10,0)</f>
        <v>0</v>
      </c>
      <c r="BH10" s="535">
        <f t="shared" si="10"/>
        <v>0</v>
      </c>
      <c r="BI10" s="535">
        <f>IF(Sheet1!EP8="OTHER",BM10,0)</f>
        <v>0</v>
      </c>
      <c r="BJ10" s="535">
        <f t="shared" si="11"/>
        <v>0</v>
      </c>
      <c r="BK10" s="535">
        <f t="shared" si="12"/>
        <v>1.02</v>
      </c>
      <c r="BL10" s="535">
        <f t="shared" si="13"/>
        <v>1.0149253731343284</v>
      </c>
      <c r="BM10" s="535">
        <f>IF(OR(Sheet1!EP8="FM", Sheet1!EP8="OTHER"),SUM(Sheet1!BG8:'Sheet1'!BI8),0)</f>
        <v>0</v>
      </c>
      <c r="BN10" s="521" t="e">
        <f>IF(AND($B10&gt;=$FV10,$B10&lt;=$FW10),MAX(BF10,Sheet1!EI8,0),MAX(BF10-(7/36)*$K10,0))</f>
        <v>#REF!</v>
      </c>
      <c r="BO10" s="535">
        <f t="shared" si="14"/>
        <v>0</v>
      </c>
      <c r="BP10" s="521" t="e">
        <f t="shared" si="15"/>
        <v>#REF!</v>
      </c>
      <c r="BQ10" s="521">
        <f>IF(AND($O10&gt;0,Sheet1!EM8=1),(1-($O10-Sheet1!$L8)/$O10)*BL10,0)</f>
        <v>0</v>
      </c>
      <c r="BR10" s="521" t="e">
        <f>IF(AND(Sheet1!$L8=0,Sheet1!#REF!=0, Calculation!BK10&lt;Sheet1!$EI8-0.1,Sheet1!$EI8=Sheet1!#REF!,Sheet1!$EI8=Sheet1!$EI9),Sheet1!$EI8,BL10-BQ10)</f>
        <v>#REF!</v>
      </c>
      <c r="BS10" s="1035"/>
      <c r="BT10" s="1035"/>
      <c r="BU10" s="535">
        <f t="shared" si="16"/>
        <v>0</v>
      </c>
      <c r="BV10" s="535"/>
      <c r="BW10" s="535">
        <f ca="1">IF(B10&gt;Summary!$A$1,#N/A,BU10*MGtoAF)</f>
        <v>0</v>
      </c>
      <c r="BX10" s="535">
        <f>Sheet1!BC8+Sheet1!BD8+Sheet1!BE8+Sheet1!BF8-CG10-CH10</f>
        <v>2.5099999999999998</v>
      </c>
      <c r="BY10" s="535">
        <f t="shared" si="17"/>
        <v>2.4975124378109452</v>
      </c>
      <c r="BZ10" s="535">
        <f>IF(Sheet1!EQ8="FM",CH10,0)</f>
        <v>0</v>
      </c>
      <c r="CA10" s="535">
        <f t="shared" si="18"/>
        <v>0</v>
      </c>
      <c r="CB10" s="535">
        <f>IF(Sheet1!EQ8="OTHER",CH10,0)</f>
        <v>0</v>
      </c>
      <c r="CC10" s="535">
        <f t="shared" si="19"/>
        <v>0</v>
      </c>
      <c r="CD10" s="535">
        <f t="shared" si="20"/>
        <v>0</v>
      </c>
      <c r="CE10" s="535">
        <f t="shared" si="21"/>
        <v>2.5099999999999998</v>
      </c>
      <c r="CF10" s="535">
        <f t="shared" si="22"/>
        <v>2.4975124378109452</v>
      </c>
      <c r="CG10" s="535">
        <f>IF(Sheet1!EQ8="CWA",SUM(Sheet1!BC8:'Sheet1'!BF8),0)</f>
        <v>0</v>
      </c>
      <c r="CH10" s="535">
        <f>IF(OR(Sheet1!EQ8="FM", Sheet1!EQ8="OTHER"),SUM(Sheet1!BC8:'Sheet1'!BF8),0)</f>
        <v>0</v>
      </c>
      <c r="CI10" s="521" t="e">
        <f>IF(AND($B10&gt;=$FV10,$B10&lt;=$FW10),MAX(CF10,Sheet1!EJ8,0),MAX(CF10-(7/36)*$K10,0))</f>
        <v>#REF!</v>
      </c>
      <c r="CJ10" s="535">
        <f t="shared" si="23"/>
        <v>0</v>
      </c>
      <c r="CK10" s="521" t="e">
        <f t="shared" si="24"/>
        <v>#REF!</v>
      </c>
      <c r="CL10" s="521">
        <f>IF(AND($O10&gt;0,Sheet1!EN8=1),(1-($O10-Sheet1!$L8)/$O10)*CF10,0)</f>
        <v>0</v>
      </c>
      <c r="CM10" s="521" t="e">
        <f>IF(AND(Sheet1!$L8=0,Sheet1!#REF!=0, Calculation!CE10&lt;Sheet1!EJ8-0.1,Sheet1!EJ8=Sheet1!#REF!,Sheet1!EJ8=Sheet1!EJ9),Sheet1!EJ8,CF10-CL10)</f>
        <v>#REF!</v>
      </c>
      <c r="CN10" s="1040"/>
      <c r="CO10" s="1035"/>
      <c r="CP10" s="535">
        <f t="shared" si="25"/>
        <v>0</v>
      </c>
      <c r="CQ10" s="535"/>
      <c r="CR10" s="535">
        <f ca="1">IF(B10&gt;Summary!$A$1,#N/A,CP10*MGtoAF)</f>
        <v>0</v>
      </c>
      <c r="CS10" s="535">
        <f>Sheet1!BK8+Sheet1!BL8+Sheet1!BM8-Sheet1!ER8-DA10</f>
        <v>6.51</v>
      </c>
      <c r="CT10" s="535">
        <f t="shared" si="26"/>
        <v>6.4776119402985071</v>
      </c>
      <c r="CU10" s="535">
        <f>IF(Sheet1!ER8="FM",DA10,0)</f>
        <v>0</v>
      </c>
      <c r="CV10" s="535">
        <f t="shared" si="27"/>
        <v>0</v>
      </c>
      <c r="CW10" s="535">
        <f>IF(Sheet1!ER8="OTHER",DA10,0)</f>
        <v>0</v>
      </c>
      <c r="CX10" s="535">
        <f t="shared" si="28"/>
        <v>0</v>
      </c>
      <c r="CY10" s="535">
        <f t="shared" si="29"/>
        <v>6.51</v>
      </c>
      <c r="CZ10" s="535">
        <f t="shared" si="30"/>
        <v>6.4776119402985071</v>
      </c>
      <c r="DA10" s="535">
        <f>IF(OR(Sheet1!ER8="FM", Sheet1!ER8="OTHER"),SUM(Sheet1!BK8:'Sheet1'!BM8),0)</f>
        <v>0</v>
      </c>
      <c r="DB10" s="1011" t="e">
        <f>IF(AND($B10&gt;=$FV10,$B10&lt;=$FW10),MAX($CT10,Sheet1!EK8,0),MAX($CT10-(7/36)*$K10,0))</f>
        <v>#REF!</v>
      </c>
      <c r="DC10" s="1012">
        <f t="shared" si="31"/>
        <v>0</v>
      </c>
      <c r="DD10" s="1011" t="e">
        <f t="shared" si="32"/>
        <v>#REF!</v>
      </c>
      <c r="DE10" s="521">
        <f>IF(AND($O10&gt;0,Sheet1!EO8=1),(1-($O10-Sheet1!$L8)/$O10)*CZ10,0)</f>
        <v>0</v>
      </c>
      <c r="DF10" s="521" t="e">
        <f>IF(AND(Sheet1!$L8=0,Sheet1!#REF!=0, Calculation!CY10&lt;Sheet1!$EK8-0.1,Sheet1!$EK8=Sheet1!#REF!,Sheet1!$EK8=Sheet1!$EK9),Sheet1!$EK8,CZ10-DE10)</f>
        <v>#REF!</v>
      </c>
      <c r="DG10" s="1040"/>
      <c r="DH10" s="649">
        <f t="shared" si="33"/>
        <v>10.039999999999999</v>
      </c>
      <c r="DI10" s="535">
        <f t="shared" si="34"/>
        <v>0</v>
      </c>
      <c r="DJ10" s="649">
        <f t="shared" si="35"/>
        <v>9.9900497512437809</v>
      </c>
      <c r="DK10" s="535">
        <f ca="1">IF(B10&gt;Summary!$A$1,#N/A,DI10*MGtoAF)</f>
        <v>0</v>
      </c>
      <c r="DL10" s="649">
        <f t="shared" si="36"/>
        <v>10.039999999999999</v>
      </c>
      <c r="DM10" s="535">
        <f t="shared" si="37"/>
        <v>28.14</v>
      </c>
      <c r="DN10" s="535">
        <f>Sheet1!AB8-DM10</f>
        <v>-0.14000000000000057</v>
      </c>
      <c r="DO10" s="743">
        <f t="shared" si="38"/>
        <v>-4.9751243781094726E-3</v>
      </c>
      <c r="DP10" s="535">
        <f>(VLOOKUP(Sheet1!DC8,hhdcap_wcm,4)-(((VLOOKUP(Sheet1!DC8,hhdcap_wcm,3)-Sheet1!DC8)/(VLOOKUP(Sheet1!DC8,hhdcap_wcm,3)-VLOOKUP(Sheet1!DC8,hhdcap_wcm,1)))*(VLOOKUP(Sheet1!DC8,hhdcap_wcm,4)-VLOOKUP(Sheet1!DC8,hhdcap_wcm,2))))</f>
        <v>1368.8000000036925</v>
      </c>
      <c r="DQ10" s="535" t="e">
        <f t="shared" si="70"/>
        <v>#REF!</v>
      </c>
      <c r="DR10" s="535" t="e">
        <f t="shared" si="39"/>
        <v>#REF!</v>
      </c>
      <c r="DS10" s="535">
        <f>Sheet1!EA8*AFtoMG</f>
        <v>0</v>
      </c>
      <c r="DT10" s="535">
        <f>Sheet1!EB8*AFtoMG</f>
        <v>0</v>
      </c>
      <c r="DU10" s="535">
        <f>Sheet1!EC8*AFtoMG</f>
        <v>0</v>
      </c>
      <c r="DV10" s="535">
        <f>Sheet1!ED8*AFtoMG</f>
        <v>0</v>
      </c>
      <c r="DW10" s="535">
        <f t="shared" si="40"/>
        <v>0</v>
      </c>
      <c r="DX10" s="535">
        <f t="shared" si="41"/>
        <v>0</v>
      </c>
      <c r="DY10" s="535">
        <f t="shared" si="42"/>
        <v>0</v>
      </c>
      <c r="DZ10" s="535">
        <f t="shared" si="43"/>
        <v>0</v>
      </c>
      <c r="EA10" s="535"/>
      <c r="EB10" s="521" t="e">
        <f>IF(OR(B10&lt;FV10,B10&gt;FW10),(MIN(BF10+BY10+CT10+MAX(Sheet1!AA8+AQ10-73,0),K10)),0)</f>
        <v>#REF!</v>
      </c>
      <c r="EC10" s="535"/>
      <c r="ED10" s="535">
        <f t="shared" si="44"/>
        <v>9.9900497512437809</v>
      </c>
      <c r="EE10" s="535"/>
      <c r="EF10" s="535">
        <f>Sheet1!EH8+Sheet1!EI8+Sheet1!EJ8+Sheet1!EK8</f>
        <v>10</v>
      </c>
      <c r="EG10" s="535"/>
      <c r="EH10" s="521" t="e">
        <f t="shared" si="45"/>
        <v>#REF!</v>
      </c>
      <c r="EI10" s="535">
        <f>IF(Sheet1!ET8=1,SUM('Calculations II'!AT10:BA10)+'Calculations II'!BC10+Sheet1!BV8+'Calculations II'!BE10+AP10,SUM('Calculations II'!AT10:BA10)+'Calculations II'!BC10+Sheet1!BV8+'Calculations II'!BE10+AP10)</f>
        <v>48.179552000000001</v>
      </c>
      <c r="EJ10" s="535">
        <f>Sheet1!AA8+Sheet1!AB8+'Calculations II'!BC10</f>
        <v>54.56</v>
      </c>
      <c r="EK10" s="535"/>
      <c r="EL10" s="535"/>
      <c r="EM10" s="535">
        <f t="shared" si="46"/>
        <v>42734</v>
      </c>
      <c r="EN10" s="535" t="e">
        <f t="shared" si="47"/>
        <v>#REF!</v>
      </c>
      <c r="EO10" s="535" t="e">
        <f t="shared" si="48"/>
        <v>#REF!</v>
      </c>
      <c r="EP10" s="535">
        <v>0</v>
      </c>
      <c r="EQ10" s="535">
        <v>0</v>
      </c>
      <c r="ER10" s="535">
        <v>0</v>
      </c>
      <c r="ES10" s="521" t="e">
        <f t="shared" si="71"/>
        <v>#REF!</v>
      </c>
      <c r="ET10" s="535" t="e">
        <f>-(VLOOKUP(Sheet1!BQ8,Lookup!$O$4:$Q$262,2)-VLOOKUP(Sheet1!#REF!,Lookup!$O$4:$Q$262,2))/1000000</f>
        <v>#REF!</v>
      </c>
      <c r="EU10" s="535" t="e">
        <f>-(VLOOKUP(Sheet1!BR8,Lookup!$O$4:$Q$262,3)-VLOOKUP(Sheet1!#REF!,Lookup!$O$4:$Q$262,3))/1000000</f>
        <v>#REF!</v>
      </c>
      <c r="EV10" s="535"/>
      <c r="EW10" s="535"/>
      <c r="EX10" s="535"/>
      <c r="EY10" s="535"/>
      <c r="EZ10" s="535"/>
      <c r="FA10" s="535"/>
      <c r="FB10" s="535"/>
      <c r="FC10" s="535"/>
      <c r="FD10" s="567" t="e">
        <f t="shared" si="72"/>
        <v>#N/A</v>
      </c>
      <c r="FE10" s="567" t="e">
        <f t="shared" si="73"/>
        <v>#N/A</v>
      </c>
      <c r="FF10" s="568" t="e">
        <f t="shared" si="49"/>
        <v>#N/A</v>
      </c>
      <c r="FG10" s="569" t="s">
        <v>655</v>
      </c>
      <c r="FH10" s="569" t="s">
        <v>655</v>
      </c>
      <c r="FI10" s="567" t="e">
        <v>#N/A</v>
      </c>
      <c r="FJ10" s="567" t="e">
        <v>#N/A</v>
      </c>
      <c r="FK10" s="535"/>
      <c r="FL10" s="1015"/>
      <c r="FM10" s="535"/>
      <c r="FN10" s="535"/>
      <c r="FO10" s="535">
        <f>O10+((Sheet1!CS8)*GPMtoMGD)</f>
        <v>54.56</v>
      </c>
      <c r="FP10" s="535" t="e">
        <f>IF(Sheet1!AA8+AQ10&lt;=Calculation!N10,AQ10,Calculation!N10-Sheet1!AA8)</f>
        <v>#REF!</v>
      </c>
      <c r="FQ10" s="535">
        <f>(Sheet1!BP8+Sheet1!BO8)/694.4</f>
        <v>1.4452764976958525</v>
      </c>
      <c r="FR10" s="535"/>
      <c r="FS10" s="535"/>
      <c r="FT10" s="535"/>
      <c r="FU10" s="535"/>
      <c r="FV10" s="1109">
        <f t="shared" si="74"/>
        <v>42918</v>
      </c>
      <c r="FW10" s="1109">
        <f t="shared" si="75"/>
        <v>43027</v>
      </c>
      <c r="FX10" s="535"/>
      <c r="FY10" s="535"/>
      <c r="FZ10" s="535"/>
      <c r="GA10" s="535"/>
      <c r="GB10" s="535" t="str">
        <f t="shared" si="76"/>
        <v>n</v>
      </c>
      <c r="GC10" s="539">
        <f t="shared" si="77"/>
        <v>42782</v>
      </c>
      <c r="GD10" s="1109">
        <f t="shared" si="78"/>
        <v>42904</v>
      </c>
      <c r="GE10" s="535">
        <v>6518.9</v>
      </c>
      <c r="GF10" s="1109">
        <f t="shared" si="79"/>
        <v>42909</v>
      </c>
      <c r="GG10" s="535" t="str">
        <f t="shared" si="50"/>
        <v>Maximum Storage after split (MG)</v>
      </c>
      <c r="GH10" s="539">
        <f t="shared" si="80"/>
        <v>43040</v>
      </c>
      <c r="GJ10" s="521">
        <f t="shared" si="81"/>
        <v>0</v>
      </c>
      <c r="GK10" s="535" t="str">
        <f t="shared" si="51"/>
        <v/>
      </c>
      <c r="GL10" s="535">
        <f t="shared" si="82"/>
        <v>0</v>
      </c>
      <c r="GM10" s="535" t="str">
        <f t="shared" si="83"/>
        <v/>
      </c>
      <c r="GN10" s="535">
        <f>IF(GK10="P",Lookup!$M$12,IF(GK10="PP",Lookup!$M$13,IF(GK10="PPP",Lookup!$M$14,IF(GK10="T",Lookup!$M$15,IF(GK10="TP",Lookup!$M$16,IF(GK10="TPP",Lookup!$M$17,IF(GK10="TPPP",Lookup!$M$18,0)))))))*GJ10</f>
        <v>0</v>
      </c>
      <c r="GO10" s="535">
        <f t="shared" si="84"/>
        <v>0</v>
      </c>
      <c r="GP10" s="535">
        <f t="shared" si="52"/>
        <v>0</v>
      </c>
      <c r="GQ10" s="535">
        <f>(IF(AND(GB9="Y",B10=GD10),1392.1,(IF(AND(B10&lt;GF10,B10&gt;=GC10),MIN(BB9+AV10-AU10,15/36*GE10),IF(B10=GF10,15/36*GG10,IF(AND(B10&gt;GF10,B10&lt;GH10),MIN(BB9+AV10-AU10,15/36*GG10),IF(B10&gt;=GH10,0,0)))))))+DS10</f>
        <v>0</v>
      </c>
      <c r="GR10" s="535"/>
      <c r="GS10" s="535">
        <f t="shared" si="85"/>
        <v>0</v>
      </c>
      <c r="GT10" s="535" t="str">
        <f t="shared" si="86"/>
        <v/>
      </c>
      <c r="GU10" s="535">
        <f>IF(GK10="P",Lookup!$N$12,IF(GK10="PP",Lookup!$N$13,IF(GK10="PPP",Lookup!$N$14,IF(GK10="T",Lookup!$N$15,IF(GK10="TP",Lookup!$N$16,IF(GK10="TPP",Lookup!$N$17,IF(GK10="TPPP",Lookup!$N$18,0)))))))*GJ10</f>
        <v>0</v>
      </c>
      <c r="GV10" s="535">
        <f t="shared" si="53"/>
        <v>0</v>
      </c>
      <c r="GW10" s="535">
        <f t="shared" si="54"/>
        <v>0</v>
      </c>
      <c r="GX10" s="535">
        <f t="shared" ref="GX10:GX73" si="91">(IF(AND(GB10="Y",B10=GD10),1267.5,(IF(AND(B10&lt;GF10,B10&gt;=GC10),MIN(BU9+BO10-BN10,7/36*GE10),IF(B10=GF10,7/36*GG10,IF(AND(B10&gt;GF10,B10&lt;GH10),MIN(BU9+BO10-BN10,7/36*GG10),IF(B10&gt;=GH10,0,0)))))))+DT10</f>
        <v>0</v>
      </c>
      <c r="GY10" s="535"/>
      <c r="GZ10" s="535">
        <f t="shared" si="87"/>
        <v>0</v>
      </c>
      <c r="HA10" s="535" t="str">
        <f t="shared" si="88"/>
        <v/>
      </c>
      <c r="HB10" s="535">
        <f>IF(GK10="P",Lookup!$N$12,IF(GK10="PP",Lookup!$N$13,IF(GK10="PPP",Lookup!$N$14,IF(GK10="T",Lookup!$N$15,IF(GK10="TP",Lookup!$N$16,IF(GK10="TPP",Lookup!$N$17,IF(GK10="TPPP",Lookup!$N$18,0)))))))*GJ10</f>
        <v>0</v>
      </c>
      <c r="HC10" s="521">
        <f t="shared" si="55"/>
        <v>0</v>
      </c>
      <c r="HD10" s="535">
        <f t="shared" si="56"/>
        <v>0</v>
      </c>
      <c r="HE10" s="535">
        <f t="shared" ref="HE10:HE73" si="92">(IF(AND(GB10="Y",B10=GD10),1267.5,IF(AND(B10&lt;GF10,B10&gt;=GC10),MIN(CP9+CJ10-CI10,7/36*GE10),IF(B10=GF10,7/36*GG10,IF(AND(B10&gt;GF10,B10&lt;GH10),MIN(CP9+CJ10-CI10,7/36*GG10),IF(B10&gt;=GH10,0,0))))))+DU10</f>
        <v>0</v>
      </c>
      <c r="HF10" s="535"/>
      <c r="HG10" s="535">
        <f t="shared" si="89"/>
        <v>0</v>
      </c>
      <c r="HH10" s="535" t="str">
        <f t="shared" si="90"/>
        <v/>
      </c>
      <c r="HI10" s="535">
        <f>IF(GK10="P",Lookup!$N$12,IF(GK10="PP",Lookup!$N$13,IF(GK10="PPP",Lookup!$N$14,IF(GK10="T",Lookup!$N$15,IF(GK10="TP",Lookup!$N$16,IF(GK10="TPP",Lookup!$N$17,IF(GK10="TPPP",Lookup!$N$18,0)))))))*GJ10</f>
        <v>0</v>
      </c>
      <c r="HJ10" s="521">
        <f t="shared" si="57"/>
        <v>0</v>
      </c>
      <c r="HK10" s="535">
        <f t="shared" si="58"/>
        <v>0</v>
      </c>
      <c r="HL10" s="535">
        <f t="shared" ref="HL10:HL73" si="93">(IF(AND(GB10="Y",B10=GD10),1267.5,(IF(AND(B10&lt;GF10,B10&gt;=GC10),MIN(DI9+DC10-DB10,7/36*GE10),IF(B10=GF10,7/36*GG10,IF(AND(B10&gt;GF10,B10&lt;GH10),MIN(DI9+DC10-DB10,7/36*GG10),IF(B10&gt;=GH10,0,0)))))))+DV10</f>
        <v>0</v>
      </c>
      <c r="HM10" s="535"/>
      <c r="HN10" s="535"/>
      <c r="HO10" s="535"/>
      <c r="HP10" s="535"/>
      <c r="HQ10" s="535"/>
      <c r="HR10" s="535"/>
    </row>
    <row r="11" spans="1:243" ht="12.75" customHeight="1" x14ac:dyDescent="0.25">
      <c r="A11" s="553" t="s">
        <v>9</v>
      </c>
      <c r="B11" s="531">
        <v>42735</v>
      </c>
      <c r="C11" s="532">
        <v>0</v>
      </c>
      <c r="D11" s="506">
        <f t="shared" si="0"/>
        <v>300</v>
      </c>
      <c r="E11" s="506">
        <f t="shared" si="1"/>
        <v>250</v>
      </c>
      <c r="F11" s="506">
        <v>250</v>
      </c>
      <c r="G11" s="535">
        <f>DR11+Sheet1!CZ9</f>
        <v>765.22239031791946</v>
      </c>
      <c r="H11" s="1074">
        <f>MAX((G11-113-D11)*CFStoMGD,0)</f>
        <v>227.67655310150312</v>
      </c>
      <c r="I11" s="534">
        <f>MAX(Sheet1!Z9-AT11+(Sheet1!DA9-E11)*CFStoMGD,0)</f>
        <v>564.51199999999994</v>
      </c>
      <c r="J11" s="995">
        <f>IF((Sheet1!DB9-D11)&gt;0,(((Sheet1!DB9)+(MIN(P11,100))-D11))/1.547,0)</f>
        <v>263.66327084680023</v>
      </c>
      <c r="K11" s="818">
        <f>MAX(MIN(H11:J11,64.64),0)</f>
        <v>64.64</v>
      </c>
      <c r="L11" s="535">
        <f>Sheet1!AA9+Sheet1!AB9-Sheet1!L9+(Sheet1!DA9-F11)*CFStoMGD</f>
        <v>588.15199999999993</v>
      </c>
      <c r="M11" s="535">
        <f t="shared" si="2"/>
        <v>504.53254816353325</v>
      </c>
      <c r="N11" s="824">
        <f>IF(Sheet1!DA9&gt;=F11,MIN(73,MIN(MAX(L11,0),MAX(M11,0))),0)</f>
        <v>73</v>
      </c>
      <c r="O11" s="538">
        <f>Sheet1!AA9+Sheet1!AB9</f>
        <v>51.64</v>
      </c>
      <c r="P11" s="538">
        <f t="shared" si="3"/>
        <v>79.887079999999997</v>
      </c>
      <c r="Q11" s="812">
        <f>IF(OR(Y11="FALSE",AND(B11&gt;=FV11,B11&lt;=FW11)),O11-S11-U11,0)</f>
        <v>0</v>
      </c>
      <c r="R11" s="812">
        <f t="shared" si="59"/>
        <v>10.118811881188119</v>
      </c>
      <c r="S11" s="812">
        <f t="shared" si="60"/>
        <v>51.64</v>
      </c>
      <c r="T11" s="812">
        <f t="shared" si="61"/>
        <v>0</v>
      </c>
      <c r="U11" s="812">
        <f>IF(AND(B11&gt;=FV11,B11&lt;=FW11),MAX(EF11,ED11),0)</f>
        <v>0</v>
      </c>
      <c r="V11" s="812"/>
      <c r="W11" s="812">
        <f t="shared" si="62"/>
        <v>54.521188118811878</v>
      </c>
      <c r="X11" s="812">
        <f t="shared" si="63"/>
        <v>51.64</v>
      </c>
      <c r="Y11" s="812" t="str">
        <f t="shared" si="64"/>
        <v/>
      </c>
      <c r="Z11" s="812">
        <f t="shared" si="65"/>
        <v>51.64</v>
      </c>
      <c r="AA11" s="812">
        <f t="shared" si="66"/>
        <v>51.64</v>
      </c>
      <c r="AB11" s="1059" t="str">
        <f>IF(OR(Z11-AA11&lt;-0.1,Z11-AA11&gt;0.1),"BAD ENGINEER","")</f>
        <v/>
      </c>
      <c r="AC11" s="538">
        <f>Sheet1!Y9*MGDtoCFS</f>
        <v>41.088319999999996</v>
      </c>
      <c r="AD11" s="538">
        <f>Sheet1!Z9*MGDtoCFS</f>
        <v>43.315999999999995</v>
      </c>
      <c r="AE11" s="538">
        <f>Sheet1!AA9*MGDtoCFS</f>
        <v>36.571080000000002</v>
      </c>
      <c r="AF11" s="538">
        <f>Sheet1!AB9*MGDtoCFS</f>
        <v>43.315999999999995</v>
      </c>
      <c r="AG11" s="538">
        <f>Sheet1!L9*MGDtoCFS</f>
        <v>0</v>
      </c>
      <c r="AH11" s="521">
        <f t="shared" si="67"/>
        <v>0</v>
      </c>
      <c r="AI11" s="1059">
        <f t="shared" si="4"/>
        <v>0</v>
      </c>
      <c r="AJ11" s="535">
        <f t="shared" si="68"/>
        <v>0</v>
      </c>
      <c r="AK11" s="535">
        <f t="shared" si="5"/>
        <v>0</v>
      </c>
      <c r="AL11" s="535">
        <f>(VLOOKUP(Sheet1!DC9,hhdcap_wcm,4)-(((VLOOKUP(Sheet1!DC9,hhdcap_wcm,3)-Sheet1!DC9)/(VLOOKUP(Sheet1!DC9,hhdcap_wcm,3)-VLOOKUP(Sheet1!DC9,hhdcap_wcm,1)))*(VLOOKUP(Sheet1!DC9,hhdcap_wcm,4)-VLOOKUP(Sheet1!DC9,hhdcap_wcm,2))))</f>
        <v>1514.0000000041268</v>
      </c>
      <c r="AM11" s="535">
        <f t="shared" si="69"/>
        <v>145.20000000043433</v>
      </c>
      <c r="AN11" s="1035">
        <f t="shared" si="6"/>
        <v>0</v>
      </c>
      <c r="AO11" s="535">
        <f t="shared" si="7"/>
        <v>0</v>
      </c>
      <c r="AP11" s="535">
        <f>Sheet1!BA9+Sheet1!BB9+Sheet1!BN9+CD11</f>
        <v>18.059999999999999</v>
      </c>
      <c r="AQ11" s="535">
        <f>Sheet1!BN9+(DO11*Sheet1!BN9)</f>
        <v>17.881188118811878</v>
      </c>
      <c r="AR11" s="535">
        <f>Sheet1!BA9+CD11</f>
        <v>0</v>
      </c>
      <c r="AS11" s="535">
        <f>Sheet1!BA9+Sheet1!BB9+CD11</f>
        <v>0</v>
      </c>
      <c r="AT11" s="649">
        <f>0</f>
        <v>0</v>
      </c>
      <c r="AU11" s="535">
        <f>IF(EB11&lt;K11,0,MAX(Sheet1!AA9+AQ11-15/36*K11-N11,Sheet1!EH9,0))</f>
        <v>0</v>
      </c>
      <c r="AV11" s="535">
        <f>IF(OR(B11&gt;=GD11,B11&lt;GC11),0,15/36*K11-MAX(0,64.6-(137.6-(Sheet1!AA9+Sheet1!AB9))))</f>
        <v>0</v>
      </c>
      <c r="AW11" s="649"/>
      <c r="AX11" s="649">
        <v>0</v>
      </c>
      <c r="AY11" s="649">
        <v>0</v>
      </c>
      <c r="AZ11" s="649"/>
      <c r="BA11" s="1059">
        <f>IF(AZ11&lt;=0,0,AZ11/1.547)</f>
        <v>0</v>
      </c>
      <c r="BB11" s="535">
        <f t="shared" si="8"/>
        <v>0</v>
      </c>
      <c r="BC11" s="1035"/>
      <c r="BD11" s="535">
        <f ca="1">IF(B11&gt;Summary!$A$1,#N/A,BB11*MGtoAF)</f>
        <v>0</v>
      </c>
      <c r="BE11" s="535">
        <f>Sheet1!BG9+Sheet1!BH9+Sheet1!BI9-BM11</f>
        <v>1.06</v>
      </c>
      <c r="BF11" s="535">
        <f t="shared" si="9"/>
        <v>1.0495049504950495</v>
      </c>
      <c r="BG11" s="535">
        <f>IF(Sheet1!EP9="FM",BM11,0)</f>
        <v>0</v>
      </c>
      <c r="BH11" s="535">
        <f t="shared" si="10"/>
        <v>0</v>
      </c>
      <c r="BI11" s="535">
        <f>IF(Sheet1!EP9="OTHER",BM11,0)</f>
        <v>0</v>
      </c>
      <c r="BJ11" s="535">
        <f t="shared" si="11"/>
        <v>0</v>
      </c>
      <c r="BK11" s="535">
        <f t="shared" si="12"/>
        <v>1.06</v>
      </c>
      <c r="BL11" s="535">
        <f t="shared" si="13"/>
        <v>1.0495049504950495</v>
      </c>
      <c r="BM11" s="535">
        <f>IF(OR(Sheet1!EP9="FM", Sheet1!EP9="OTHER"),SUM(Sheet1!BG9:'Sheet1'!BI9),0)</f>
        <v>0</v>
      </c>
      <c r="BN11" s="521">
        <f>IF(AND($B11&gt;=$FV11,$B11&lt;=$FW11),MAX(BF11,Sheet1!EI9,0),MAX(BF11-(7/36)*$K11,0))</f>
        <v>0</v>
      </c>
      <c r="BO11" s="535">
        <f t="shared" si="14"/>
        <v>0</v>
      </c>
      <c r="BP11" s="521">
        <f t="shared" si="15"/>
        <v>1.0495049504950495</v>
      </c>
      <c r="BQ11" s="521">
        <f>IF(AND($O11&gt;0,Sheet1!EM9=1),(1-($O11-Sheet1!$L9)/$O11)*BL11,0)</f>
        <v>0</v>
      </c>
      <c r="BR11" s="521">
        <f>IF(AND(Sheet1!$L9=0,Sheet1!$L8=0, Calculation!BK11&lt;Sheet1!$EI9-0.1,Sheet1!$EI9=Sheet1!$EI8,Sheet1!$EI9=Sheet1!$EI10),Sheet1!$EI9,BL11-BQ11)</f>
        <v>1.0495049504950495</v>
      </c>
      <c r="BS11" s="1035"/>
      <c r="BT11" s="1035"/>
      <c r="BU11" s="535">
        <f t="shared" si="16"/>
        <v>0</v>
      </c>
      <c r="BV11" s="535"/>
      <c r="BW11" s="535">
        <f ca="1">IF(B11&gt;Summary!$A$1,#N/A,BU11*MGtoAF)</f>
        <v>0</v>
      </c>
      <c r="BX11" s="535">
        <f>Sheet1!BC9+Sheet1!BD9+Sheet1!BE9+Sheet1!BF9-CG11-CH11</f>
        <v>2.4900000000000002</v>
      </c>
      <c r="BY11" s="535">
        <f t="shared" si="17"/>
        <v>2.4653465346534653</v>
      </c>
      <c r="BZ11" s="535">
        <f>IF(Sheet1!EQ9="FM",CH11,0)</f>
        <v>0</v>
      </c>
      <c r="CA11" s="535">
        <f t="shared" si="18"/>
        <v>0</v>
      </c>
      <c r="CB11" s="535">
        <f>IF(Sheet1!EQ9="OTHER",CH11,0)</f>
        <v>0</v>
      </c>
      <c r="CC11" s="535">
        <f t="shared" si="19"/>
        <v>0</v>
      </c>
      <c r="CD11" s="535">
        <f t="shared" si="20"/>
        <v>0</v>
      </c>
      <c r="CE11" s="535">
        <f t="shared" si="21"/>
        <v>2.4900000000000002</v>
      </c>
      <c r="CF11" s="535">
        <f t="shared" si="22"/>
        <v>2.4653465346534653</v>
      </c>
      <c r="CG11" s="535">
        <f>IF(Sheet1!EQ9="CWA",SUM(Sheet1!BC9:'Sheet1'!BF9),0)</f>
        <v>0</v>
      </c>
      <c r="CH11" s="535">
        <f>IF(OR(Sheet1!EQ9="FM", Sheet1!EQ9="OTHER"),SUM(Sheet1!BC9:'Sheet1'!BF9),0)</f>
        <v>0</v>
      </c>
      <c r="CI11" s="521">
        <f>IF(AND($B11&gt;=$FV11,$B11&lt;=$FW11),MAX(CF11,Sheet1!EJ9,0),MAX(CF11-(7/36)*$K11,0))</f>
        <v>0</v>
      </c>
      <c r="CJ11" s="535">
        <f t="shared" si="23"/>
        <v>0</v>
      </c>
      <c r="CK11" s="521">
        <f t="shared" si="24"/>
        <v>2.4653465346534653</v>
      </c>
      <c r="CL11" s="521">
        <f>IF(AND($O11&gt;0,Sheet1!EN9=1),(1-($O11-Sheet1!$L9)/$O11)*CF11,0)</f>
        <v>0</v>
      </c>
      <c r="CM11" s="521">
        <f>IF(AND(Sheet1!$L9=0,Sheet1!$L8=0, Calculation!CE11&lt;Sheet1!EJ9-0.1,Sheet1!EJ9=Sheet1!EJ8,Sheet1!EJ9=Sheet1!EJ10),Sheet1!EJ9,CF11-CL11)</f>
        <v>2.4653465346534653</v>
      </c>
      <c r="CN11" s="1040"/>
      <c r="CO11" s="1035"/>
      <c r="CP11" s="535">
        <f t="shared" si="25"/>
        <v>0</v>
      </c>
      <c r="CQ11" s="535"/>
      <c r="CR11" s="535">
        <f ca="1">IF(B11&gt;Summary!$A$1,#N/A,CP11*MGtoAF)</f>
        <v>0</v>
      </c>
      <c r="CS11" s="535">
        <f>Sheet1!BK9+Sheet1!BL9+Sheet1!BM9-Sheet1!ER9-DA11</f>
        <v>6.67</v>
      </c>
      <c r="CT11" s="535">
        <f t="shared" si="26"/>
        <v>6.6039603960396036</v>
      </c>
      <c r="CU11" s="535">
        <f>IF(Sheet1!ER9="FM",DA11,0)</f>
        <v>0</v>
      </c>
      <c r="CV11" s="535">
        <f t="shared" si="27"/>
        <v>0</v>
      </c>
      <c r="CW11" s="535">
        <f>IF(Sheet1!ER9="OTHER",DA11,0)</f>
        <v>0</v>
      </c>
      <c r="CX11" s="535">
        <f t="shared" si="28"/>
        <v>0</v>
      </c>
      <c r="CY11" s="535">
        <f t="shared" si="29"/>
        <v>6.67</v>
      </c>
      <c r="CZ11" s="535">
        <f t="shared" si="30"/>
        <v>6.6039603960396036</v>
      </c>
      <c r="DA11" s="535">
        <f>IF(OR(Sheet1!ER9="FM", Sheet1!ER9="OTHER"),SUM(Sheet1!BK9:'Sheet1'!BM9),0)</f>
        <v>0</v>
      </c>
      <c r="DB11" s="1011">
        <f>IF(AND($B11&gt;=$FV11,$B11&lt;=$FW11),MAX($CT11,Sheet1!EK9,0),MAX($CT11-(7/36)*$K11,0))</f>
        <v>0</v>
      </c>
      <c r="DC11" s="1012">
        <f t="shared" si="31"/>
        <v>0</v>
      </c>
      <c r="DD11" s="1011">
        <f t="shared" si="32"/>
        <v>6.6039603960396036</v>
      </c>
      <c r="DE11" s="521">
        <f>IF(AND($O11&gt;0,Sheet1!EO9=1),(1-($O11-Sheet1!$L9)/$O11)*CZ11,0)</f>
        <v>0</v>
      </c>
      <c r="DF11" s="521">
        <f>IF(AND(Sheet1!$L9=0,Sheet1!$L8=0, Calculation!CY11&lt;Sheet1!$EK9-0.1,Sheet1!$EK9=Sheet1!$EK8,Sheet1!$EK9=Sheet1!$EK10),Sheet1!$EK9,CZ11-DE11)</f>
        <v>6.6039603960396036</v>
      </c>
      <c r="DG11" s="1040"/>
      <c r="DH11" s="649">
        <f t="shared" si="33"/>
        <v>10.220000000000001</v>
      </c>
      <c r="DI11" s="535">
        <f t="shared" si="34"/>
        <v>0</v>
      </c>
      <c r="DJ11" s="649">
        <f t="shared" si="35"/>
        <v>10.118811881188119</v>
      </c>
      <c r="DK11" s="535">
        <f ca="1">IF(B11&gt;Summary!$A$1,#N/A,DI11*MGtoAF)</f>
        <v>0</v>
      </c>
      <c r="DL11" s="649">
        <f t="shared" si="36"/>
        <v>10.220000000000001</v>
      </c>
      <c r="DM11" s="535">
        <f t="shared" si="37"/>
        <v>28.28</v>
      </c>
      <c r="DN11" s="535">
        <f>Sheet1!AB9-DM11</f>
        <v>-0.28000000000000114</v>
      </c>
      <c r="DO11" s="743">
        <f t="shared" si="38"/>
        <v>-9.900990099009941E-3</v>
      </c>
      <c r="DP11" s="535">
        <f>(VLOOKUP(Sheet1!DC9,hhdcap_wcm,4)-(((VLOOKUP(Sheet1!DC9,hhdcap_wcm,3)-Sheet1!DC9)/(VLOOKUP(Sheet1!DC9,hhdcap_wcm,3)-VLOOKUP(Sheet1!DC9,hhdcap_wcm,1)))*(VLOOKUP(Sheet1!DC9,hhdcap_wcm,4)-VLOOKUP(Sheet1!DC9,hhdcap_wcm,2))))</f>
        <v>1514.0000000041268</v>
      </c>
      <c r="DQ11" s="535">
        <f t="shared" si="70"/>
        <v>145.20000000043433</v>
      </c>
      <c r="DR11" s="535">
        <f t="shared" si="39"/>
        <v>73.222390317919476</v>
      </c>
      <c r="DS11" s="535">
        <f>Sheet1!EA9*AFtoMG</f>
        <v>0</v>
      </c>
      <c r="DT11" s="535">
        <f>Sheet1!EB9*AFtoMG</f>
        <v>0</v>
      </c>
      <c r="DU11" s="535">
        <f>Sheet1!EC9*AFtoMG</f>
        <v>0</v>
      </c>
      <c r="DV11" s="535">
        <f>Sheet1!ED9*AFtoMG</f>
        <v>0</v>
      </c>
      <c r="DW11" s="535">
        <f t="shared" si="40"/>
        <v>0</v>
      </c>
      <c r="DX11" s="535">
        <f t="shared" si="41"/>
        <v>0</v>
      </c>
      <c r="DY11" s="535">
        <f t="shared" si="42"/>
        <v>0</v>
      </c>
      <c r="DZ11" s="535">
        <f t="shared" si="43"/>
        <v>0</v>
      </c>
      <c r="EA11" s="535"/>
      <c r="EB11" s="521">
        <f>IF(OR(B11&lt;FV11,B11&gt;FW11),(MIN(BF11+BY11+CT11+MAX(Sheet1!AA9+AQ11-73,0),K11)),0)</f>
        <v>10.118811881188119</v>
      </c>
      <c r="EC11" s="535"/>
      <c r="ED11" s="535">
        <f t="shared" si="44"/>
        <v>10.118811881188119</v>
      </c>
      <c r="EE11" s="535"/>
      <c r="EF11" s="535">
        <f>Sheet1!EH9+Sheet1!EI9+Sheet1!EJ9+Sheet1!EK9</f>
        <v>10</v>
      </c>
      <c r="EG11" s="535"/>
      <c r="EH11" s="521">
        <f t="shared" si="45"/>
        <v>0</v>
      </c>
      <c r="EI11" s="535">
        <f>IF(Sheet1!ET9=1,SUM('Calculations II'!AT11:BA11)+'Calculations II'!BC11+Sheet1!BV9+'Calculations II'!BE11+AP11,SUM('Calculations II'!AT11:BA11)+'Calculations II'!BC11+Sheet1!BV9+'Calculations II'!BE11+AP11)</f>
        <v>48.066032</v>
      </c>
      <c r="EJ11" s="535">
        <f>Sheet1!AA9+Sheet1!AB9+'Calculations II'!BC11</f>
        <v>51.64</v>
      </c>
      <c r="EK11" s="535"/>
      <c r="EL11" s="535"/>
      <c r="EM11" s="535">
        <f t="shared" si="46"/>
        <v>42735</v>
      </c>
      <c r="EN11" s="535">
        <f t="shared" si="47"/>
        <v>0</v>
      </c>
      <c r="EO11" s="535">
        <f t="shared" si="48"/>
        <v>0</v>
      </c>
      <c r="EP11" s="535">
        <v>0</v>
      </c>
      <c r="EQ11" s="535">
        <v>0</v>
      </c>
      <c r="ER11" s="535">
        <v>0</v>
      </c>
      <c r="ES11" s="521">
        <f t="shared" si="71"/>
        <v>-1.1083909269209058</v>
      </c>
      <c r="ET11" s="535">
        <f>-(VLOOKUP(Sheet1!BQ9,Lookup!$O$4:$Q$262,2)-VLOOKUP(Sheet1!BQ8,Lookup!$O$4:$Q$262,2))/1000000</f>
        <v>-0.55410572707746919</v>
      </c>
      <c r="EU11" s="535">
        <f>-(VLOOKUP(Sheet1!BR9,Lookup!$O$4:$Q$262,3)-VLOOKUP(Sheet1!BR8,Lookup!$O$4:$Q$262,3))/1000000</f>
        <v>-0.55428519984343649</v>
      </c>
      <c r="EV11" s="535"/>
      <c r="EW11" s="535"/>
      <c r="EX11" s="535"/>
      <c r="EY11" s="535"/>
      <c r="EZ11" s="535"/>
      <c r="FA11" s="535"/>
      <c r="FB11" s="535"/>
      <c r="FC11" s="535"/>
      <c r="FD11" s="567" t="e">
        <f t="shared" si="72"/>
        <v>#N/A</v>
      </c>
      <c r="FE11" s="567" t="e">
        <f t="shared" si="73"/>
        <v>#N/A</v>
      </c>
      <c r="FF11" s="568" t="e">
        <f t="shared" si="49"/>
        <v>#N/A</v>
      </c>
      <c r="FG11" s="569" t="s">
        <v>655</v>
      </c>
      <c r="FH11" s="569" t="s">
        <v>655</v>
      </c>
      <c r="FI11" s="567" t="e">
        <v>#N/A</v>
      </c>
      <c r="FJ11" s="567" t="e">
        <v>#N/A</v>
      </c>
      <c r="FK11" s="535"/>
      <c r="FL11" s="1015"/>
      <c r="FM11" s="535"/>
      <c r="FN11" s="535"/>
      <c r="FO11" s="535">
        <f>O11+((Sheet1!CS9)*GPMtoMGD)</f>
        <v>51.64</v>
      </c>
      <c r="FP11" s="535">
        <f>IF(Sheet1!AA9+AQ11&lt;=Calculation!N11,AQ11,Calculation!N11-Sheet1!AA9)</f>
        <v>17.881188118811878</v>
      </c>
      <c r="FQ11" s="535">
        <f>(Sheet1!BP9+Sheet1!BO9)/694.4</f>
        <v>1.5478110599078341</v>
      </c>
      <c r="FR11" s="535"/>
      <c r="FS11" s="535"/>
      <c r="FT11" s="535"/>
      <c r="FU11" s="535"/>
      <c r="FV11" s="1109">
        <f t="shared" si="74"/>
        <v>42918</v>
      </c>
      <c r="FW11" s="1109">
        <f t="shared" si="75"/>
        <v>43027</v>
      </c>
      <c r="FX11" s="535"/>
      <c r="FY11" s="535"/>
      <c r="FZ11" s="535"/>
      <c r="GA11" s="535"/>
      <c r="GB11" s="535" t="str">
        <f t="shared" si="76"/>
        <v>n</v>
      </c>
      <c r="GC11" s="539">
        <f t="shared" si="77"/>
        <v>42782</v>
      </c>
      <c r="GD11" s="1109">
        <f t="shared" si="78"/>
        <v>42904</v>
      </c>
      <c r="GE11" s="535">
        <f>$GE$4</f>
        <v>6520</v>
      </c>
      <c r="GF11" s="1109">
        <f t="shared" si="79"/>
        <v>42909</v>
      </c>
      <c r="GG11" s="535">
        <f>GG4</f>
        <v>3260</v>
      </c>
      <c r="GH11" s="539">
        <f t="shared" si="80"/>
        <v>43040</v>
      </c>
      <c r="GJ11" s="521">
        <f t="shared" si="81"/>
        <v>0</v>
      </c>
      <c r="GK11" s="535" t="str">
        <f t="shared" si="51"/>
        <v/>
      </c>
      <c r="GL11" s="535">
        <f t="shared" si="82"/>
        <v>0</v>
      </c>
      <c r="GM11" s="535" t="str">
        <f t="shared" si="83"/>
        <v/>
      </c>
      <c r="GN11" s="535">
        <f>IF(GK11="P",Lookup!$M$12,IF(GK11="PP",Lookup!$M$13,IF(GK11="PPP",Lookup!$M$14,IF(GK11="T",Lookup!$M$15,IF(GK11="TP",Lookup!$M$16,IF(GK11="TPP",Lookup!$M$17,IF(GK11="TPPP",Lookup!$M$18,0)))))))*GJ11</f>
        <v>0</v>
      </c>
      <c r="GO11" s="535">
        <f t="shared" si="84"/>
        <v>0</v>
      </c>
      <c r="GP11" s="535">
        <f t="shared" si="52"/>
        <v>0</v>
      </c>
      <c r="GQ11" s="535">
        <f t="shared" ref="GQ11:GQ74" si="94">(IF(AND(GB10="Y",B11=GD11),1392.1,(IF(AND(B11&lt;GF11,B11&gt;=GC11),MIN(BB10+AV11-AU11,15/36*GE11),IF(B11=GF11,15/36*GG11,IF(AND(B11&gt;GF11,B11&lt;GH11),MIN(BB10+AV11-AU11,15/36*GG11),IF(B11&gt;=GH11,0,0)))))))+DS11</f>
        <v>0</v>
      </c>
      <c r="GR11" s="535"/>
      <c r="GS11" s="535">
        <f t="shared" si="85"/>
        <v>0</v>
      </c>
      <c r="GT11" s="535" t="str">
        <f t="shared" si="86"/>
        <v/>
      </c>
      <c r="GU11" s="535">
        <f>IF(GK11="P",Lookup!$N$12,IF(GK11="PP",Lookup!$N$13,IF(GK11="PPP",Lookup!$N$14,IF(GK11="T",Lookup!$N$15,IF(GK11="TP",Lookup!$N$16,IF(GK11="TPP",Lookup!$N$17,IF(GK11="TPPP",Lookup!$N$18,0)))))))*GJ11</f>
        <v>0</v>
      </c>
      <c r="GV11" s="535">
        <f t="shared" si="53"/>
        <v>0</v>
      </c>
      <c r="GW11" s="535">
        <f t="shared" si="54"/>
        <v>0</v>
      </c>
      <c r="GX11" s="535">
        <f t="shared" si="91"/>
        <v>0</v>
      </c>
      <c r="GY11" s="535"/>
      <c r="GZ11" s="535">
        <f t="shared" si="87"/>
        <v>0</v>
      </c>
      <c r="HA11" s="535" t="str">
        <f t="shared" si="88"/>
        <v/>
      </c>
      <c r="HB11" s="535">
        <f>IF(GK11="P",Lookup!$N$12,IF(GK11="PP",Lookup!$N$13,IF(GK11="PPP",Lookup!$N$14,IF(GK11="T",Lookup!$N$15,IF(GK11="TP",Lookup!$N$16,IF(GK11="TPP",Lookup!$N$17,IF(GK11="TPPP",Lookup!$N$18,0)))))))*GJ11</f>
        <v>0</v>
      </c>
      <c r="HC11" s="521">
        <f t="shared" si="55"/>
        <v>0</v>
      </c>
      <c r="HD11" s="535">
        <f t="shared" si="56"/>
        <v>0</v>
      </c>
      <c r="HE11" s="535">
        <f t="shared" si="92"/>
        <v>0</v>
      </c>
      <c r="HF11" s="535"/>
      <c r="HG11" s="535">
        <f t="shared" si="89"/>
        <v>0</v>
      </c>
      <c r="HH11" s="535" t="str">
        <f t="shared" si="90"/>
        <v/>
      </c>
      <c r="HI11" s="535">
        <f>IF(GK11="P",Lookup!$N$12,IF(GK11="PP",Lookup!$N$13,IF(GK11="PPP",Lookup!$N$14,IF(GK11="T",Lookup!$N$15,IF(GK11="TP",Lookup!$N$16,IF(GK11="TPP",Lookup!$N$17,IF(GK11="TPPP",Lookup!$N$18,0)))))))*GJ11</f>
        <v>0</v>
      </c>
      <c r="HJ11" s="521">
        <f t="shared" si="57"/>
        <v>0</v>
      </c>
      <c r="HK11" s="535">
        <f t="shared" si="58"/>
        <v>0</v>
      </c>
      <c r="HL11" s="535">
        <f t="shared" si="93"/>
        <v>0</v>
      </c>
      <c r="HM11" s="535"/>
      <c r="HN11" s="535"/>
      <c r="HO11" s="535"/>
      <c r="HP11" s="535"/>
      <c r="HQ11" s="541">
        <f>110+$HQ$6+MIN(113,G11)</f>
        <v>223</v>
      </c>
      <c r="HR11" s="541">
        <f>HQ11</f>
        <v>223</v>
      </c>
      <c r="HS11" s="541">
        <f>HR11+(Sheet1!DA9-Sheet1!DB9)</f>
        <v>675</v>
      </c>
      <c r="HT11" s="541" t="str">
        <f>AB11</f>
        <v/>
      </c>
      <c r="HU11" s="541" t="e">
        <f>HS11-HT11</f>
        <v>#VALUE!</v>
      </c>
      <c r="HV11" s="541" t="e">
        <f>MAX($HV$6-HU11,0)</f>
        <v>#VALUE!</v>
      </c>
      <c r="HW11" s="533" t="str">
        <f>IF(IB11-HQ11&lt;0,HQ11-IB11,"")</f>
        <v/>
      </c>
      <c r="HX11" s="541">
        <f>IF(IB11-HQ11&gt;0,IB11-HQ11,"")</f>
        <v>469</v>
      </c>
      <c r="HY11" s="541">
        <f>Sheet1!CZ9</f>
        <v>692</v>
      </c>
      <c r="HZ11" s="541">
        <f>AI11</f>
        <v>0</v>
      </c>
      <c r="IA11" s="541" t="str">
        <f>AB11</f>
        <v/>
      </c>
      <c r="IB11" s="541">
        <f>HY11-HZ11</f>
        <v>692</v>
      </c>
      <c r="IC11" s="1019" t="str">
        <f>IF(IB11-HQ11&lt;0,"YES","")</f>
        <v/>
      </c>
      <c r="ID11" s="541" t="e">
        <f>HY11-HZ11-IA11</f>
        <v>#VALUE!</v>
      </c>
      <c r="IE11" s="541">
        <f>Sheet1!DB9</f>
        <v>628</v>
      </c>
      <c r="IF11" s="533">
        <f>Sheet1!DA9</f>
        <v>1080</v>
      </c>
      <c r="IH11" s="541">
        <f>IF(AND($B11&gt;=$GC11,$B11&lt;=$GH11,$DR11&lt;0)+N("only adjusted when pool is drawn down during storage season"),Sheet1!$DB9+$DR11+N("Palmer minus all storage release"),Sheet1!$DB9)</f>
        <v>628</v>
      </c>
      <c r="II11" s="541">
        <f>IF(AND($B11&gt;=$GC11,$B11&lt;=$GH11,$DR11&lt;0)+N("only adjusted when pool is drawn down during storage season"),Sheet1!$DA9+$DR11+N("Auburn minus all storage release"),Sheet1!$DA9)</f>
        <v>1080</v>
      </c>
    </row>
    <row r="12" spans="1:243" x14ac:dyDescent="0.25">
      <c r="A12" s="553" t="s">
        <v>3</v>
      </c>
      <c r="B12" s="531">
        <v>42736</v>
      </c>
      <c r="C12" s="532">
        <v>0</v>
      </c>
      <c r="D12" s="506">
        <f t="shared" si="0"/>
        <v>300</v>
      </c>
      <c r="E12" s="506">
        <f t="shared" si="1"/>
        <v>250</v>
      </c>
      <c r="F12" s="506">
        <v>250</v>
      </c>
      <c r="G12" s="535">
        <f>DR12+Sheet1!CZ10</f>
        <v>722.25718608157172</v>
      </c>
      <c r="H12" s="1074">
        <f>MAX(MIN(M12-D12*CFStoMGD-IF(AND($B12&gt;=$GC12,$B12&lt;=$GH12),MIN($O12-$ED12,113*CFStoMGD),MAX($O12-100*CFStoMGD,0)),M12+(Sheet1!DA10-Sheet1!DB10-E12)*CFStoMGD-IF(AND($B12&gt;=$GC12,$B12&lt;=$GH12),MIN($O12-$ED12,113*CFStoMGD),MAX($O12-100*CFStoMGD,0))),0)</f>
        <v>282.28438598479056</v>
      </c>
      <c r="I12" s="534">
        <f>IF(Sheet1!DA10&gt;=E12,(Sheet1!DA10-E12+P12)*CFStoMGD,0)</f>
        <v>584.57695302399998</v>
      </c>
      <c r="J12" s="995">
        <f>IF(Sheet1!DB10&gt;=D12,(Sheet1!DB10-D12+P12)*CFStoMGD,0)</f>
        <v>258.79135302399999</v>
      </c>
      <c r="K12" s="818">
        <f>MAX(MIN(H12:J12,100*CFStoMGD),0)</f>
        <v>64.64</v>
      </c>
      <c r="L12" s="535">
        <f>Sheet1!AA10+Sheet1!AB10-Sheet1!L10+(Sheet1!DA10-F12)*CFStoMGD-S12-T12-U12</f>
        <v>530.048</v>
      </c>
      <c r="M12" s="535">
        <f t="shared" si="2"/>
        <v>476.20438598479052</v>
      </c>
      <c r="N12" s="824">
        <f>IF(Sheet1!DA10&gt;=F12,MIN(113*CFStoMGD,MIN(MAX(L12,0),MAX(M12,0))),0)</f>
        <v>73.043199999999999</v>
      </c>
      <c r="O12" s="538">
        <f>Sheet1!AA10+Sheet1!AB10</f>
        <v>54.53</v>
      </c>
      <c r="P12" s="538">
        <f t="shared" si="3"/>
        <v>84.357910000000004</v>
      </c>
      <c r="Q12" s="812">
        <f>IF(OR(Y12="FALSE",AND(B12&gt;=FV12,B12&lt;=FW12)),MIN(O12-S12-U12,N12),0)</f>
        <v>0</v>
      </c>
      <c r="R12" s="812">
        <f t="shared" si="59"/>
        <v>10.023363021018882</v>
      </c>
      <c r="S12" s="812">
        <f t="shared" si="60"/>
        <v>54.53</v>
      </c>
      <c r="T12" s="812">
        <f t="shared" si="61"/>
        <v>0</v>
      </c>
      <c r="U12" s="812">
        <f>IF(AND(B12&gt;=FV12,B12&lt;=FW12),ED12,0)</f>
        <v>0</v>
      </c>
      <c r="V12" s="812"/>
      <c r="W12" s="812">
        <f t="shared" si="62"/>
        <v>54.61663697898112</v>
      </c>
      <c r="X12" s="812">
        <f t="shared" si="63"/>
        <v>54.53</v>
      </c>
      <c r="Y12" s="812" t="str">
        <f t="shared" si="64"/>
        <v/>
      </c>
      <c r="Z12" s="812">
        <f t="shared" si="65"/>
        <v>54.53</v>
      </c>
      <c r="AA12" s="812">
        <f t="shared" si="66"/>
        <v>54.53</v>
      </c>
      <c r="AB12" s="1059">
        <v>0</v>
      </c>
      <c r="AC12" s="538">
        <f>Sheet1!Y10*MGDtoCFS</f>
        <v>36.571080000000002</v>
      </c>
      <c r="AD12" s="538">
        <f>Sheet1!Z10*MGDtoCFS</f>
        <v>43.25412</v>
      </c>
      <c r="AE12" s="538">
        <f>Sheet1!AA10*MGDtoCFS</f>
        <v>41.134729999999998</v>
      </c>
      <c r="AF12" s="538">
        <f>Sheet1!AB10*MGDtoCFS</f>
        <v>43.223179999999999</v>
      </c>
      <c r="AG12" s="538">
        <f>Sheet1!L10*MGDtoCFS</f>
        <v>0</v>
      </c>
      <c r="AH12" s="521">
        <f t="shared" si="67"/>
        <v>0</v>
      </c>
      <c r="AI12" s="1059">
        <f t="shared" si="4"/>
        <v>0</v>
      </c>
      <c r="AJ12" s="535">
        <f t="shared" si="68"/>
        <v>0</v>
      </c>
      <c r="AK12" s="535">
        <f t="shared" si="5"/>
        <v>0</v>
      </c>
      <c r="AL12" s="535">
        <f>(VLOOKUP(Sheet1!DC10,hhdcap_wcm,4)-(((VLOOKUP(Sheet1!DC10,hhdcap_wcm,3)-Sheet1!DC10)/(VLOOKUP(Sheet1!DC10,hhdcap_wcm,3)-VLOOKUP(Sheet1!DC10,hhdcap_wcm,1)))*(VLOOKUP(Sheet1!DC10,hhdcap_wcm,4)-VLOOKUP(Sheet1!DC10,hhdcap_wcm,2))))</f>
        <v>1574.0000000038835</v>
      </c>
      <c r="AM12" s="535">
        <f t="shared" si="69"/>
        <v>59.99999999975671</v>
      </c>
      <c r="AN12" s="1035">
        <f t="shared" si="6"/>
        <v>0</v>
      </c>
      <c r="AO12" s="535">
        <f t="shared" si="7"/>
        <v>0</v>
      </c>
      <c r="AP12" s="535">
        <f>Sheet1!BA10+Sheet1!BB10+Sheet1!BN10+CD12</f>
        <v>18</v>
      </c>
      <c r="AQ12" s="535">
        <f>Sheet1!BN10+(DO12*Sheet1!BN10)</f>
        <v>17.916636978981121</v>
      </c>
      <c r="AR12" s="535">
        <f>Sheet1!BA10+CD12</f>
        <v>0</v>
      </c>
      <c r="AS12" s="535">
        <f>Sheet1!BA10+Sheet1!BB10+CD12</f>
        <v>0</v>
      </c>
      <c r="AT12" s="649">
        <f>0</f>
        <v>0</v>
      </c>
      <c r="AU12" s="535">
        <f>IF(EB12&lt;K12,0,MAX(Sheet1!AA10+AQ12-15/36*K12-N12,Sheet1!EH10,0))</f>
        <v>0</v>
      </c>
      <c r="AV12" s="535">
        <f>IF(OR(B12&gt;=GD12,B12&lt;GC12),0,15/36*K12-MAX(0,64.6-(137.6-(Sheet1!AA10+Sheet1!AB10))))</f>
        <v>0</v>
      </c>
      <c r="AW12" s="1029"/>
      <c r="AX12" s="649">
        <f>AX11+AZ12*MGtoAF</f>
        <v>0</v>
      </c>
      <c r="AY12" s="649">
        <f>AY11+BA12*MGtoAF</f>
        <v>0</v>
      </c>
      <c r="AZ12" s="649">
        <f>BA12*1.547</f>
        <v>0</v>
      </c>
      <c r="BA12" s="1059">
        <f>HV12/1.547</f>
        <v>0</v>
      </c>
      <c r="BB12" s="1019">
        <f t="shared" si="8"/>
        <v>0</v>
      </c>
      <c r="BC12" s="1041">
        <f>K12*(15/36)</f>
        <v>26.933333333333334</v>
      </c>
      <c r="BD12" s="1019">
        <f ca="1">IF(B12&gt;Summary!$A$1,#N/A,BB12*MGtoAF)</f>
        <v>0</v>
      </c>
      <c r="BE12" s="535">
        <f>Sheet1!BG10+Sheet1!BH10+Sheet1!BI10-BM12</f>
        <v>1.01</v>
      </c>
      <c r="BF12" s="535">
        <f t="shared" si="9"/>
        <v>1.0053224082650516</v>
      </c>
      <c r="BG12" s="535">
        <f>IF(Sheet1!EP10="FM",BM12,0)</f>
        <v>0</v>
      </c>
      <c r="BH12" s="535">
        <f t="shared" si="10"/>
        <v>0</v>
      </c>
      <c r="BI12" s="535">
        <f>IF(Sheet1!EP10="OTHER",BM12,0)</f>
        <v>0</v>
      </c>
      <c r="BJ12" s="535">
        <f t="shared" si="11"/>
        <v>0</v>
      </c>
      <c r="BK12" s="535">
        <f t="shared" si="12"/>
        <v>1.01</v>
      </c>
      <c r="BL12" s="535">
        <f t="shared" si="13"/>
        <v>1.0053224082650516</v>
      </c>
      <c r="BM12" s="535">
        <f>IF(OR(Sheet1!EP10="FM", Sheet1!EP10="OTHER"),SUM(Sheet1!BG10:'Sheet1'!BI10),0)</f>
        <v>0</v>
      </c>
      <c r="BN12" s="521">
        <f>IF(AND($B12&gt;=$FV12,$B12&lt;=$FW12),MAX(BF12,Sheet1!EI10,0),MAX(BF12-(7/36)*$K12,0))</f>
        <v>0</v>
      </c>
      <c r="BO12" s="535">
        <f t="shared" si="14"/>
        <v>0</v>
      </c>
      <c r="BP12" s="521">
        <f t="shared" si="15"/>
        <v>1.0053224082650516</v>
      </c>
      <c r="BQ12" s="521">
        <f>IF(AND($O12&gt;0,Sheet1!EM10=1),(1-($O12-Sheet1!$L10)/$O12)*BL12,0)</f>
        <v>0</v>
      </c>
      <c r="BR12" s="521">
        <f>IF(AND(Sheet1!$L10=0,Sheet1!$L9=0, Calculation!BK12&lt;Sheet1!$EI10-0.1,Sheet1!$EI10=Sheet1!$EI9,Sheet1!$EI10=Sheet1!$EI11),BL12-BQ12,BL12-BQ12)</f>
        <v>1.0053224082650516</v>
      </c>
      <c r="BS12" s="1035" t="str">
        <f>IF(AND(B12&lt;=FV12,BR12&gt;BT12),BR12-BT12,"")</f>
        <v/>
      </c>
      <c r="BT12" s="1035">
        <f>(7/36)*K12</f>
        <v>12.568888888888889</v>
      </c>
      <c r="BU12" s="535">
        <f t="shared" si="16"/>
        <v>0</v>
      </c>
      <c r="BV12" s="535"/>
      <c r="BW12" s="535">
        <f ca="1">IF(B12&gt;Summary!$A$1,#N/A,BU12*MGtoAF)</f>
        <v>0</v>
      </c>
      <c r="BX12" s="535">
        <f>Sheet1!BC10+Sheet1!BD10+Sheet1!BE10+Sheet1!BF10-CG12-CH12</f>
        <v>2.4900000000000002</v>
      </c>
      <c r="BY12" s="535">
        <f t="shared" si="17"/>
        <v>2.4784681154257218</v>
      </c>
      <c r="BZ12" s="535">
        <f>IF(Sheet1!EQ10="FM",CH12,0)</f>
        <v>0</v>
      </c>
      <c r="CA12" s="535">
        <f t="shared" si="18"/>
        <v>0</v>
      </c>
      <c r="CB12" s="535">
        <f>IF(Sheet1!EQ10="OTHER",CH12,0)</f>
        <v>0</v>
      </c>
      <c r="CC12" s="535">
        <f t="shared" si="19"/>
        <v>0</v>
      </c>
      <c r="CD12" s="535">
        <f t="shared" si="20"/>
        <v>0</v>
      </c>
      <c r="CE12" s="535">
        <f t="shared" si="21"/>
        <v>2.4900000000000002</v>
      </c>
      <c r="CF12" s="535">
        <f t="shared" si="22"/>
        <v>2.4784681154257218</v>
      </c>
      <c r="CG12" s="535">
        <f>IF(Sheet1!EQ10="CWA",SUM(Sheet1!BC10:'Sheet1'!BF10),0)</f>
        <v>0</v>
      </c>
      <c r="CH12" s="535">
        <f>IF(OR(Sheet1!EQ10="FM", Sheet1!EQ10="OTHER"),SUM(Sheet1!BC10:'Sheet1'!BF10),0)</f>
        <v>0</v>
      </c>
      <c r="CI12" s="521">
        <f>IF(AND($B12&gt;=$FV12,$B12&lt;=$FW12),MAX(CF12,Sheet1!EJ10,0),MAX(CF12-(7/36)*$K12,0))</f>
        <v>0</v>
      </c>
      <c r="CJ12" s="535">
        <f t="shared" si="23"/>
        <v>0</v>
      </c>
      <c r="CK12" s="521">
        <f t="shared" si="24"/>
        <v>2.4784681154257218</v>
      </c>
      <c r="CL12" s="521">
        <f>IF(AND($O12&gt;0,Sheet1!EN10=1),(1-($O12-Sheet1!$L10)/$O12)*CF12,0)</f>
        <v>0</v>
      </c>
      <c r="CM12" s="521">
        <f>IF(AND(Sheet1!$L10=0,Sheet1!$L9=0, Calculation!CE12&lt;Sheet1!EJ10-0.1,Sheet1!EJ10=Sheet1!EJ9,Sheet1!EJ10=Sheet1!EJ11),CF12-CL12,CF12-CL12)</f>
        <v>2.4784681154257218</v>
      </c>
      <c r="CN12" s="1040" t="str">
        <f>IF(AND(B12&lt;=FV12,CM12&gt;CO12),CM12-CO12,"")</f>
        <v/>
      </c>
      <c r="CO12" s="1035">
        <f>(7/36)*K12</f>
        <v>12.568888888888889</v>
      </c>
      <c r="CP12" s="535">
        <f t="shared" si="25"/>
        <v>0</v>
      </c>
      <c r="CQ12" s="535"/>
      <c r="CR12" s="535">
        <f ca="1">IF(B12&gt;Summary!$A$1,#N/A,CP12*MGtoAF)</f>
        <v>0</v>
      </c>
      <c r="CS12" s="535">
        <f>Sheet1!BK10+Sheet1!BL10+Sheet1!BM10-Sheet1!ER10-DA12</f>
        <v>6.57</v>
      </c>
      <c r="CT12" s="535">
        <f t="shared" si="26"/>
        <v>6.5395724973281091</v>
      </c>
      <c r="CU12" s="535">
        <f>IF(Sheet1!ER10="FM",DA12,0)</f>
        <v>0</v>
      </c>
      <c r="CV12" s="535">
        <f t="shared" si="27"/>
        <v>0</v>
      </c>
      <c r="CW12" s="535">
        <f>IF(Sheet1!ER10="OTHER",DA12,0)</f>
        <v>0</v>
      </c>
      <c r="CX12" s="535">
        <f t="shared" si="28"/>
        <v>0</v>
      </c>
      <c r="CY12" s="535">
        <f t="shared" si="29"/>
        <v>6.57</v>
      </c>
      <c r="CZ12" s="535">
        <f t="shared" si="30"/>
        <v>6.5395724973281091</v>
      </c>
      <c r="DA12" s="535">
        <f>IF(OR(Sheet1!ER10="FM", Sheet1!ER10="OTHER"),SUM(Sheet1!BK10:'Sheet1'!BM10),0)</f>
        <v>0</v>
      </c>
      <c r="DB12" s="1011">
        <f>IF(AND($B12&gt;=$FV12,$B12&lt;=$FW12),MAX($CT12,Sheet1!EK10,0),MAX($CT12-(7/36)*$K12,0))</f>
        <v>0</v>
      </c>
      <c r="DC12" s="1012">
        <f t="shared" si="31"/>
        <v>0</v>
      </c>
      <c r="DD12" s="1011">
        <f t="shared" si="32"/>
        <v>6.5395724973281091</v>
      </c>
      <c r="DE12" s="521">
        <f>IF(AND($O12&gt;0,Sheet1!EO10=1),(1-($O12-Sheet1!$L10)/$O12)*CZ12,0)</f>
        <v>0</v>
      </c>
      <c r="DF12" s="521">
        <f>IF(AND(Sheet1!$L10=0,Sheet1!$L9=0, Calculation!CY12&lt;Sheet1!$EK10-0.1,Sheet1!$EK10=Sheet1!$EK9,Sheet1!$EK10=Sheet1!$EK11),CZ12-DE12,CZ12-DE12)</f>
        <v>6.5395724973281091</v>
      </c>
      <c r="DG12" s="1040">
        <f>(7/36)*K12</f>
        <v>12.568888888888889</v>
      </c>
      <c r="DH12" s="649">
        <f t="shared" si="33"/>
        <v>10.07</v>
      </c>
      <c r="DI12" s="535">
        <f t="shared" si="34"/>
        <v>0</v>
      </c>
      <c r="DJ12" s="649">
        <f t="shared" si="35"/>
        <v>10.023363021018882</v>
      </c>
      <c r="DK12" s="535">
        <f ca="1">IF(B12&gt;Summary!$A$1,#N/A,DI12*MGtoAF)</f>
        <v>0</v>
      </c>
      <c r="DL12" s="649">
        <f t="shared" si="36"/>
        <v>10.07</v>
      </c>
      <c r="DM12" s="535">
        <f t="shared" si="37"/>
        <v>28.07</v>
      </c>
      <c r="DN12" s="535">
        <f>Sheet1!AB10-DM12</f>
        <v>-0.12999999999999901</v>
      </c>
      <c r="DO12" s="743">
        <f t="shared" si="38"/>
        <v>-4.6312789454933737E-3</v>
      </c>
      <c r="DP12" s="535">
        <f>(VLOOKUP(Sheet1!DC10,hhdcap_wcm,4)-(((VLOOKUP(Sheet1!DC10,hhdcap_wcm,3)-Sheet1!DC10)/(VLOOKUP(Sheet1!DC10,hhdcap_wcm,3)-VLOOKUP(Sheet1!DC10,hhdcap_wcm,1)))*(VLOOKUP(Sheet1!DC10,hhdcap_wcm,4)-VLOOKUP(Sheet1!DC10,hhdcap_wcm,2))))</f>
        <v>1574.0000000038835</v>
      </c>
      <c r="DQ12" s="535">
        <f t="shared" si="70"/>
        <v>59.99999999975671</v>
      </c>
      <c r="DR12" s="535">
        <f t="shared" si="39"/>
        <v>30.25718608157171</v>
      </c>
      <c r="DS12" s="535">
        <f>Sheet1!EA10*AFtoMG</f>
        <v>0</v>
      </c>
      <c r="DT12" s="535">
        <f>Sheet1!EB10*AFtoMG</f>
        <v>0</v>
      </c>
      <c r="DU12" s="535">
        <f>Sheet1!EC10*AFtoMG</f>
        <v>0</v>
      </c>
      <c r="DV12" s="535">
        <f>Sheet1!ED10*AFtoMG</f>
        <v>0</v>
      </c>
      <c r="DW12" s="535">
        <f t="shared" si="40"/>
        <v>0</v>
      </c>
      <c r="DX12" s="535">
        <f t="shared" si="41"/>
        <v>0</v>
      </c>
      <c r="DY12" s="535">
        <f t="shared" si="42"/>
        <v>0</v>
      </c>
      <c r="DZ12" s="535">
        <f t="shared" si="43"/>
        <v>0</v>
      </c>
      <c r="EA12" s="535"/>
      <c r="EB12" s="521">
        <f>IF(OR(B12&lt;FV12,B12&gt;FW12),(MIN(BF12+BY12+CT12+MAX(Sheet1!AA10+AQ12-73,0),K12)),0)</f>
        <v>10.023363021018882</v>
      </c>
      <c r="EC12" s="535"/>
      <c r="ED12" s="535">
        <f t="shared" si="44"/>
        <v>10.023363021018882</v>
      </c>
      <c r="EE12" s="535"/>
      <c r="EF12" s="535">
        <f>Sheet1!EH10+Sheet1!EI10+Sheet1!EJ10+Sheet1!EK10</f>
        <v>10</v>
      </c>
      <c r="EG12" s="1019">
        <f>EF12*1.547</f>
        <v>15.469999999999999</v>
      </c>
      <c r="EH12" s="521">
        <f t="shared" si="45"/>
        <v>0</v>
      </c>
      <c r="EI12" s="535">
        <f>IF(Sheet1!ET10=1,SUM('Calculations II'!AT12:BA12)+'Calculations II'!BC12+Sheet1!BV10+'Calculations II'!BE12+AP12,'Calculations II'!BK12)</f>
        <v>41.435704978981121</v>
      </c>
      <c r="EJ12" s="535">
        <f ca="1">EI12+'Calculations II'!D12+'Calculations II'!E12+'Calculations II'!O12</f>
        <v>43.979944653953304</v>
      </c>
      <c r="EK12" s="535"/>
      <c r="EL12" s="535"/>
      <c r="EM12" s="535">
        <f t="shared" si="46"/>
        <v>42736</v>
      </c>
      <c r="EN12" s="535">
        <f t="shared" si="47"/>
        <v>0</v>
      </c>
      <c r="EO12" s="535">
        <f t="shared" si="48"/>
        <v>0</v>
      </c>
      <c r="EP12" s="535">
        <v>0</v>
      </c>
      <c r="EQ12" s="535">
        <v>0</v>
      </c>
      <c r="ER12" s="535">
        <v>0</v>
      </c>
      <c r="ES12" s="521">
        <f t="shared" si="71"/>
        <v>-2.7718747639001089</v>
      </c>
      <c r="ET12" s="535">
        <f>-(VLOOKUP(Sheet1!BQ10,Lookup!$O$4:$Q$262,2)-VLOOKUP(Sheet1!BQ9,Lookup!$O$4:$Q$262,2))/1000000</f>
        <v>-1.3857130047815964</v>
      </c>
      <c r="EU12" s="535">
        <f>-(VLOOKUP(Sheet1!BR10,Lookup!$O$4:$Q$262,3)-VLOOKUP(Sheet1!BR9,Lookup!$O$4:$Q$262,3))/1000000</f>
        <v>-1.3861617591185122</v>
      </c>
      <c r="EV12" s="535"/>
      <c r="EW12" s="535"/>
      <c r="EX12" s="535"/>
      <c r="EY12" s="535"/>
      <c r="EZ12" s="535"/>
      <c r="FA12" s="535"/>
      <c r="FB12" s="535"/>
      <c r="FC12" s="535"/>
      <c r="FD12" s="567" t="e">
        <f t="shared" si="72"/>
        <v>#N/A</v>
      </c>
      <c r="FE12" s="567" t="e">
        <f t="shared" si="73"/>
        <v>#N/A</v>
      </c>
      <c r="FF12" s="568" t="e">
        <f t="shared" si="49"/>
        <v>#N/A</v>
      </c>
      <c r="FG12" s="569" t="s">
        <v>655</v>
      </c>
      <c r="FH12" s="569" t="s">
        <v>655</v>
      </c>
      <c r="FI12" s="567" t="e">
        <v>#N/A</v>
      </c>
      <c r="FJ12" s="567" t="e">
        <v>#N/A</v>
      </c>
      <c r="FK12" s="535"/>
      <c r="FL12" s="1015">
        <v>0</v>
      </c>
      <c r="FM12" s="535"/>
      <c r="FN12" s="535"/>
      <c r="FO12" s="535">
        <f>O12+((Sheet1!CS10)*GPMtoMGD)</f>
        <v>54.53</v>
      </c>
      <c r="FP12" s="535">
        <f>IF(Sheet1!AA10+AQ12&lt;=Calculation!N12,AQ12,Calculation!N12-Sheet1!AA10)</f>
        <v>17.916636978981121</v>
      </c>
      <c r="FQ12" s="535">
        <f>(Sheet1!BP10+Sheet1!BO10)/694.4</f>
        <v>1.4435483870967745</v>
      </c>
      <c r="FR12" s="541"/>
      <c r="FS12" s="541"/>
      <c r="FT12" s="541"/>
      <c r="FU12" s="541"/>
      <c r="FV12" s="1109">
        <f t="shared" si="74"/>
        <v>42918</v>
      </c>
      <c r="FW12" s="1109">
        <f t="shared" si="75"/>
        <v>43027</v>
      </c>
      <c r="FX12" s="541"/>
      <c r="FY12" s="541">
        <f>Sheet1!DA10-Sheet1!CZ10-Sheet1!AE10</f>
        <v>293.64209</v>
      </c>
      <c r="FZ12" s="535">
        <f>FY12/G12</f>
        <v>0.40656167312516855</v>
      </c>
      <c r="GA12" s="535"/>
      <c r="GB12" s="535" t="str">
        <f t="shared" si="76"/>
        <v>n</v>
      </c>
      <c r="GC12" s="539">
        <f t="shared" si="77"/>
        <v>42782</v>
      </c>
      <c r="GD12" s="1109">
        <f t="shared" si="78"/>
        <v>42904</v>
      </c>
      <c r="GE12" s="535">
        <f t="shared" ref="GE12:GE75" si="95">$GE$4</f>
        <v>6520</v>
      </c>
      <c r="GF12" s="1109">
        <f t="shared" si="79"/>
        <v>42909</v>
      </c>
      <c r="GG12" s="535">
        <f t="shared" si="50"/>
        <v>3260</v>
      </c>
      <c r="GH12" s="539">
        <f t="shared" si="80"/>
        <v>43040</v>
      </c>
      <c r="GJ12" s="521">
        <f t="shared" si="81"/>
        <v>0</v>
      </c>
      <c r="GK12" s="535" t="str">
        <f t="shared" si="51"/>
        <v/>
      </c>
      <c r="GL12" s="535">
        <f t="shared" si="82"/>
        <v>0</v>
      </c>
      <c r="GM12" s="535" t="str">
        <f t="shared" si="83"/>
        <v/>
      </c>
      <c r="GN12" s="535">
        <f>IF(GK12="P",Lookup!$M$12,IF(GK12="PP",Lookup!$M$13,IF(GK12="PPP",Lookup!$M$14,IF(GK12="T",Lookup!$M$15,IF(GK12="TP",Lookup!$M$16,IF(GK12="TPP",Lookup!$M$17,IF(GK12="TPPP",Lookup!$M$18,0)))))))*GJ12</f>
        <v>0</v>
      </c>
      <c r="GO12" s="535">
        <f t="shared" si="84"/>
        <v>0</v>
      </c>
      <c r="GP12" s="535">
        <f t="shared" si="52"/>
        <v>0</v>
      </c>
      <c r="GQ12" s="535">
        <f t="shared" si="94"/>
        <v>0</v>
      </c>
      <c r="GR12" s="535"/>
      <c r="GS12" s="535">
        <f t="shared" si="85"/>
        <v>0</v>
      </c>
      <c r="GT12" s="535" t="str">
        <f t="shared" si="86"/>
        <v/>
      </c>
      <c r="GU12" s="535">
        <f>IF(GK12="P",Lookup!$N$12,IF(GK12="PP",Lookup!$N$13,IF(GK12="PPP",Lookup!$N$14,IF(GK12="T",Lookup!$N$15,IF(GK12="TP",Lookup!$N$16,IF(GK12="TPP",Lookup!$N$17,IF(GK12="TPPP",Lookup!$N$18,0)))))))*GJ12</f>
        <v>0</v>
      </c>
      <c r="GV12" s="535">
        <f t="shared" si="53"/>
        <v>0</v>
      </c>
      <c r="GW12" s="535">
        <f t="shared" si="54"/>
        <v>0</v>
      </c>
      <c r="GX12" s="535">
        <f t="shared" si="91"/>
        <v>0</v>
      </c>
      <c r="GY12" s="535"/>
      <c r="GZ12" s="535">
        <f t="shared" si="87"/>
        <v>0</v>
      </c>
      <c r="HA12" s="535" t="str">
        <f t="shared" si="88"/>
        <v/>
      </c>
      <c r="HB12" s="535">
        <f>IF(GK12="P",Lookup!$N$12,IF(GK12="PP",Lookup!$N$13,IF(GK12="PPP",Lookup!$N$14,IF(GK12="T",Lookup!$N$15,IF(GK12="TP",Lookup!$N$16,IF(GK12="TPP",Lookup!$N$17,IF(GK12="TPPP",Lookup!$N$18,0)))))))*GJ12</f>
        <v>0</v>
      </c>
      <c r="HC12" s="521">
        <f t="shared" si="55"/>
        <v>0</v>
      </c>
      <c r="HD12" s="535">
        <f t="shared" si="56"/>
        <v>0</v>
      </c>
      <c r="HE12" s="535">
        <f t="shared" si="92"/>
        <v>0</v>
      </c>
      <c r="HF12" s="535"/>
      <c r="HG12" s="535">
        <f t="shared" si="89"/>
        <v>0</v>
      </c>
      <c r="HH12" s="535" t="str">
        <f t="shared" si="90"/>
        <v/>
      </c>
      <c r="HI12" s="535">
        <f>IF(GK12="P",Lookup!$N$12,IF(GK12="PP",Lookup!$N$13,IF(GK12="PPP",Lookup!$N$14,IF(GK12="T",Lookup!$N$15,IF(GK12="TP",Lookup!$N$16,IF(GK12="TPP",Lookup!$N$17,IF(GK12="TPPP",Lookup!$N$18,0)))))))*GJ12</f>
        <v>0</v>
      </c>
      <c r="HJ12" s="521">
        <f t="shared" si="57"/>
        <v>0</v>
      </c>
      <c r="HK12" s="535">
        <f t="shared" si="58"/>
        <v>0</v>
      </c>
      <c r="HL12" s="535">
        <f t="shared" si="93"/>
        <v>0</v>
      </c>
      <c r="HM12" s="535"/>
      <c r="HN12" s="541"/>
      <c r="HO12" s="541"/>
      <c r="HP12" s="541"/>
      <c r="HQ12" s="541">
        <f>IF(AND(B12&gt;=$FV$4,B12&lt;=$FW$4),MAX(110/1.02+$HQ$6+MIN(113/1.02,G12),IF($HV$6-(Sheet1!DA10-Sheet1!DB10)+MIN(113/1.02,G12)&lt;G12+FL12,$HV$6-(Sheet1!DA10-Sheet1!DB10)+MIN(113/1.02,G12),G12+FL12)),MIN(110/1.02+$HQ$6+113/1.02,G12))</f>
        <v>218.62745098039215</v>
      </c>
      <c r="HR12" s="541">
        <f>HQ12*1.02</f>
        <v>223</v>
      </c>
      <c r="HS12" s="541">
        <f>HR12+(Sheet1!DA10-Sheet1!DB10)</f>
        <v>677</v>
      </c>
      <c r="HT12" s="541">
        <f>AB12</f>
        <v>0</v>
      </c>
      <c r="HU12" s="541">
        <f>HS12-HT12</f>
        <v>677</v>
      </c>
      <c r="HV12" s="541">
        <f>MAX($HV$6-HU12,0)</f>
        <v>0</v>
      </c>
      <c r="HW12" s="533" t="str">
        <f>IF(IB12-HQ12&lt;0,HQ12-IB12,"")</f>
        <v/>
      </c>
      <c r="HX12" s="541">
        <f>IF(IB12-HQ12&gt;0,IB12-HQ12,"")</f>
        <v>473.37254901960785</v>
      </c>
      <c r="HY12" s="541">
        <f>Sheet1!CZ10</f>
        <v>692</v>
      </c>
      <c r="HZ12" s="541">
        <f>AI12</f>
        <v>0</v>
      </c>
      <c r="IA12" s="541">
        <f>AB12</f>
        <v>0</v>
      </c>
      <c r="IB12" s="541">
        <f>HY12-HZ12</f>
        <v>692</v>
      </c>
      <c r="IC12" s="1019" t="str">
        <f>IF(IB12-HQ12&lt;0,"YES","")</f>
        <v/>
      </c>
      <c r="ID12" s="541">
        <f>HY12-HZ12-IA12</f>
        <v>692</v>
      </c>
      <c r="IE12" s="541">
        <f>Sheet1!DB10</f>
        <v>616</v>
      </c>
      <c r="IF12" s="533">
        <f>Sheet1!DA10</f>
        <v>1070</v>
      </c>
      <c r="IH12" s="541">
        <f>IF(AND($B12&gt;=$GC12,$B12&lt;=$GH12,$DR12&lt;0)+N("only adjusted when pool is drawn down during storage season"),Sheet1!$DB10+$DR12+N("Palmer minus all storage release"),Sheet1!$DB10)</f>
        <v>616</v>
      </c>
      <c r="II12" s="541">
        <f>IF(AND($B12&gt;=$GC12,$B12&lt;=$GH12,$DR12&lt;0)+N("only adjusted when pool is drawn down during storage season"),Sheet1!$DA10+$DR12+N("Auburn minus all storage release"),Sheet1!$DA10)</f>
        <v>1070</v>
      </c>
    </row>
    <row r="13" spans="1:243" x14ac:dyDescent="0.25">
      <c r="A13" s="553" t="s">
        <v>4</v>
      </c>
      <c r="B13" s="531">
        <v>42737</v>
      </c>
      <c r="C13" s="536">
        <v>0</v>
      </c>
      <c r="D13" s="506">
        <f t="shared" si="0"/>
        <v>300</v>
      </c>
      <c r="E13" s="506">
        <f t="shared" si="1"/>
        <v>250</v>
      </c>
      <c r="F13" s="506">
        <v>250</v>
      </c>
      <c r="G13" s="535">
        <f>DR13+Sheet1!CZ11</f>
        <v>731.78668683802766</v>
      </c>
      <c r="H13" s="1074">
        <f t="shared" ref="H13:H44" si="96">MIN(IF($II13&gt;=$E13,($II13-$E13+$P13)*CFStoMGD,0),IF($IH13&gt;=$D13,($IH13-$D13+$P13)*CFStoMGD,0))</f>
        <v>350.59938988799996</v>
      </c>
      <c r="I13" s="534">
        <f>IF(Sheet1!$DA11&gt;=$E13,(Sheet1!$DA11-$E13+$P13)*CFStoMGD,0)</f>
        <v>660.22498988799998</v>
      </c>
      <c r="J13" s="995">
        <f>IF(Sheet1!$DB11&gt;=$D13,(Sheet1!$DB11-$D13+$P13)*CFStoMGD,0)</f>
        <v>350.59938988799996</v>
      </c>
      <c r="K13" s="818">
        <f t="shared" ref="K13:K76" si="97">MAX(MIN(H13:J13,100*CFStoMGD),0)</f>
        <v>64.64</v>
      </c>
      <c r="L13" s="535">
        <f>Sheet1!AA11+Sheet1!AB11-Sheet1!L11+(Sheet1!DA11-F13)*CFStoMGD-S13-T13-U13</f>
        <v>607.61599999999999</v>
      </c>
      <c r="M13" s="535">
        <f t="shared" si="2"/>
        <v>482.48745265954312</v>
      </c>
      <c r="N13" s="824">
        <f>IF(Sheet1!DA11&gt;=F13,MIN(113*CFStoMGD,MIN(MAX(L13,0),MAX(M13,0))),0)</f>
        <v>73.043199999999999</v>
      </c>
      <c r="O13" s="538">
        <f>Sheet1!AA11+Sheet1!AB11</f>
        <v>52.61</v>
      </c>
      <c r="P13" s="538">
        <f t="shared" si="3"/>
        <v>81.38767</v>
      </c>
      <c r="Q13" s="812">
        <f t="shared" ref="Q13:Q76" si="98">IF(OR(Y13="FALSE",AND(B13&gt;=FV13,B13&lt;=FW13)),MIN(O13-S13-U13,N13),0)</f>
        <v>0</v>
      </c>
      <c r="R13" s="812">
        <f t="shared" si="59"/>
        <v>9.9802897445672905</v>
      </c>
      <c r="S13" s="812">
        <f t="shared" si="60"/>
        <v>52.61</v>
      </c>
      <c r="T13" s="812">
        <f t="shared" si="61"/>
        <v>0</v>
      </c>
      <c r="U13" s="812">
        <f t="shared" ref="U13:U76" si="99">IF(AND(B13&gt;=FV13,B13&lt;=FW13),ED13,0)</f>
        <v>0</v>
      </c>
      <c r="V13" s="812"/>
      <c r="W13" s="812">
        <f t="shared" si="62"/>
        <v>54.659710255432714</v>
      </c>
      <c r="X13" s="812">
        <f t="shared" si="63"/>
        <v>52.61</v>
      </c>
      <c r="Y13" s="812" t="str">
        <f t="shared" si="64"/>
        <v/>
      </c>
      <c r="Z13" s="812">
        <f t="shared" si="65"/>
        <v>52.61</v>
      </c>
      <c r="AA13" s="812">
        <f t="shared" si="66"/>
        <v>52.61</v>
      </c>
      <c r="AB13" s="1059">
        <f t="shared" ref="AB13:AB76" si="100">Q13*MGDtoCFS</f>
        <v>0</v>
      </c>
      <c r="AC13" s="538">
        <f>Sheet1!Y11*MGDtoCFS</f>
        <v>41.134729999999998</v>
      </c>
      <c r="AD13" s="538">
        <f>Sheet1!Z11*MGDtoCFS</f>
        <v>43.223179999999999</v>
      </c>
      <c r="AE13" s="538">
        <f>Sheet1!AA11*MGDtoCFS</f>
        <v>41.01097</v>
      </c>
      <c r="AF13" s="538">
        <f>Sheet1!AB11*MGDtoCFS</f>
        <v>40.3767</v>
      </c>
      <c r="AG13" s="538">
        <f>Sheet1!L11*MGDtoCFS</f>
        <v>0</v>
      </c>
      <c r="AH13" s="521">
        <f t="shared" si="67"/>
        <v>0</v>
      </c>
      <c r="AI13" s="1059">
        <f t="shared" si="4"/>
        <v>0</v>
      </c>
      <c r="AJ13" s="535">
        <f t="shared" si="68"/>
        <v>0</v>
      </c>
      <c r="AK13" s="535">
        <f t="shared" si="5"/>
        <v>0</v>
      </c>
      <c r="AL13" s="535">
        <f>(VLOOKUP(Sheet1!DC11,hhdcap_wcm,4)-(((VLOOKUP(Sheet1!DC11,hhdcap_wcm,3)-Sheet1!DC11)/(VLOOKUP(Sheet1!DC11,hhdcap_wcm,3)-VLOOKUP(Sheet1!DC11,hhdcap_wcm,1)))*(VLOOKUP(Sheet1!DC11,hhdcap_wcm,4)-VLOOKUP(Sheet1!DC11,hhdcap_wcm,2))))</f>
        <v>1337.6000000036925</v>
      </c>
      <c r="AM13" s="535">
        <f t="shared" si="69"/>
        <v>-236.40000000019108</v>
      </c>
      <c r="AN13" s="1035">
        <f t="shared" si="6"/>
        <v>0</v>
      </c>
      <c r="AO13" s="535">
        <f t="shared" si="7"/>
        <v>0</v>
      </c>
      <c r="AP13" s="535">
        <f>Sheet1!BA11+Sheet1!BB11+Sheet1!BN11+CD13</f>
        <v>16.2</v>
      </c>
      <c r="AQ13" s="535">
        <f>Sheet1!BN11+(DO13*Sheet1!BN11)</f>
        <v>16.119710255432711</v>
      </c>
      <c r="AR13" s="535">
        <f>Sheet1!BA11+CD13</f>
        <v>0</v>
      </c>
      <c r="AS13" s="535">
        <f>Sheet1!BA11+Sheet1!BB11+CD13</f>
        <v>0</v>
      </c>
      <c r="AT13" s="649">
        <f>0</f>
        <v>0</v>
      </c>
      <c r="AU13" s="535">
        <f>IF(EB13&lt;K13,0,MAX(Sheet1!AA11+AQ13-15/36*K13-N13,Sheet1!EH11,0))</f>
        <v>0</v>
      </c>
      <c r="AV13" s="535">
        <f>IF(OR(B13&gt;=GD13,B13&lt;GC13),0,15/36*K13-MAX(0,64.6-(137.6-(Sheet1!AA11+Sheet1!AB11))))</f>
        <v>0</v>
      </c>
      <c r="AW13" s="1029"/>
      <c r="AX13" s="649"/>
      <c r="AY13" s="649">
        <f t="shared" ref="AY13:AY76" si="101">AY12+BA13*MGtoAF</f>
        <v>0</v>
      </c>
      <c r="AZ13" s="649">
        <f t="shared" ref="AZ13:AZ76" si="102">BA13*1.547</f>
        <v>0</v>
      </c>
      <c r="BA13" s="1059">
        <f t="shared" ref="BA13:BA76" si="103">HV13/1.547</f>
        <v>0</v>
      </c>
      <c r="BB13" s="1019">
        <f t="shared" si="8"/>
        <v>0</v>
      </c>
      <c r="BC13" s="1041">
        <f t="shared" ref="BC13:BC76" si="104">K13*(15/36)</f>
        <v>26.933333333333334</v>
      </c>
      <c r="BD13" s="1019">
        <f ca="1">IF(B13&gt;Summary!$A$1,#N/A,BB13*MGtoAF)</f>
        <v>0</v>
      </c>
      <c r="BE13" s="535">
        <f>Sheet1!BG11+Sheet1!BH11+Sheet1!BI11-BM13</f>
        <v>1.01</v>
      </c>
      <c r="BF13" s="535">
        <f t="shared" si="9"/>
        <v>1.0049942813572248</v>
      </c>
      <c r="BG13" s="535">
        <f>IF(Sheet1!EP11="FM",BM13,0)</f>
        <v>0</v>
      </c>
      <c r="BH13" s="535">
        <f t="shared" si="10"/>
        <v>0</v>
      </c>
      <c r="BI13" s="535">
        <f>IF(Sheet1!EP11="OTHER",BM13,0)</f>
        <v>0</v>
      </c>
      <c r="BJ13" s="535">
        <f t="shared" si="11"/>
        <v>0</v>
      </c>
      <c r="BK13" s="535">
        <f t="shared" si="12"/>
        <v>1.01</v>
      </c>
      <c r="BL13" s="535">
        <f t="shared" si="13"/>
        <v>1.0049942813572248</v>
      </c>
      <c r="BM13" s="535">
        <f>IF(OR(Sheet1!EP11="FM", Sheet1!EP11="OTHER"),SUM(Sheet1!BG11:'Sheet1'!BI11),0)</f>
        <v>0</v>
      </c>
      <c r="BN13" s="521">
        <f>IF(AND($B13&gt;=$FV13,$B13&lt;=$FW13),MAX(BF13,Sheet1!EI11,0),MAX(BF13-(7/36)*$K13,0))</f>
        <v>0</v>
      </c>
      <c r="BO13" s="535">
        <f t="shared" si="14"/>
        <v>0</v>
      </c>
      <c r="BP13" s="521">
        <f t="shared" si="15"/>
        <v>1.0049942813572248</v>
      </c>
      <c r="BQ13" s="521">
        <f>IF(AND($O13&gt;0,Sheet1!EM11=1),(1-($O13-Sheet1!$L11)/$O13)*BL13,0)</f>
        <v>0</v>
      </c>
      <c r="BR13" s="521">
        <f>IF(AND(Sheet1!$L11=0,Sheet1!$L10=0, Calculation!BK13&lt;Sheet1!$EI11-0.1,Sheet1!$EI11=Sheet1!$EI10,Sheet1!$EI11=Sheet1!$EI12),BL13-BQ13,BL13-BQ13)</f>
        <v>1.0049942813572248</v>
      </c>
      <c r="BS13" s="1035" t="str">
        <f t="shared" ref="BS13:BS76" si="105">IF(AND(B13&lt;=FV13,BR13&gt;BT13),BR13-BT13,"")</f>
        <v/>
      </c>
      <c r="BT13" s="1035">
        <f t="shared" ref="BT13:BT76" si="106">(7/36)*K13</f>
        <v>12.568888888888889</v>
      </c>
      <c r="BU13" s="535">
        <f t="shared" si="16"/>
        <v>0</v>
      </c>
      <c r="BV13" s="535"/>
      <c r="BW13" s="535">
        <f ca="1">IF(B13&gt;Summary!$A$1,#N/A,BU13*MGtoAF)</f>
        <v>0</v>
      </c>
      <c r="BX13" s="535">
        <f>Sheet1!BC11+Sheet1!BD11+Sheet1!BE11+Sheet1!BF11-CG13-CH13</f>
        <v>2.5</v>
      </c>
      <c r="BY13" s="535">
        <f t="shared" si="17"/>
        <v>2.4876096073198632</v>
      </c>
      <c r="BZ13" s="535">
        <f>IF(Sheet1!EQ11="FM",CH13,0)</f>
        <v>0</v>
      </c>
      <c r="CA13" s="535">
        <f t="shared" si="18"/>
        <v>0</v>
      </c>
      <c r="CB13" s="535">
        <f>IF(Sheet1!EQ11="OTHER",CH13,0)</f>
        <v>0</v>
      </c>
      <c r="CC13" s="535">
        <f t="shared" si="19"/>
        <v>0</v>
      </c>
      <c r="CD13" s="535">
        <f t="shared" si="20"/>
        <v>0</v>
      </c>
      <c r="CE13" s="535">
        <f t="shared" si="21"/>
        <v>2.5</v>
      </c>
      <c r="CF13" s="535">
        <f t="shared" si="22"/>
        <v>2.4876096073198632</v>
      </c>
      <c r="CG13" s="535">
        <f>IF(Sheet1!EQ11="CWA",SUM(Sheet1!BC11:'Sheet1'!BF11),0)</f>
        <v>0</v>
      </c>
      <c r="CH13" s="535">
        <f>IF(OR(Sheet1!EQ11="FM", Sheet1!EQ11="OTHER"),SUM(Sheet1!BC11:'Sheet1'!BF11),0)</f>
        <v>0</v>
      </c>
      <c r="CI13" s="521">
        <f>IF(AND($B13&gt;=$FV13,$B13&lt;=$FW13),MAX(CF13,Sheet1!EJ11,0),MAX(CF13-(7/36)*$K13,0))</f>
        <v>0</v>
      </c>
      <c r="CJ13" s="535">
        <f t="shared" si="23"/>
        <v>0</v>
      </c>
      <c r="CK13" s="521">
        <f t="shared" si="24"/>
        <v>2.4876096073198632</v>
      </c>
      <c r="CL13" s="521">
        <f>IF(AND($O13&gt;0,Sheet1!EN11=1),(1-($O13-Sheet1!$L11)/$O13)*CF13,0)</f>
        <v>0</v>
      </c>
      <c r="CM13" s="521">
        <f>IF(AND(Sheet1!$L11=0,Sheet1!$L10=0, Calculation!CE13&lt;Sheet1!EJ11-0.1,Sheet1!EJ11=Sheet1!EJ10,Sheet1!EJ11=Sheet1!EJ12),CF13-CL13,CF13-CL13)</f>
        <v>2.4876096073198632</v>
      </c>
      <c r="CN13" s="1040" t="str">
        <f t="shared" ref="CN13:CN76" si="107">IF(AND(B13&lt;=FV13,CM13&gt;CO13),CM13-CO13,"")</f>
        <v/>
      </c>
      <c r="CO13" s="1035">
        <f t="shared" ref="CO13:CO76" si="108">(7/36)*K13</f>
        <v>12.568888888888889</v>
      </c>
      <c r="CP13" s="535">
        <f t="shared" si="25"/>
        <v>0</v>
      </c>
      <c r="CQ13" s="535"/>
      <c r="CR13" s="535">
        <f ca="1">IF(B13&gt;Summary!$A$1,#N/A,CP13*MGtoAF)</f>
        <v>0</v>
      </c>
      <c r="CS13" s="535">
        <f>Sheet1!BK11+Sheet1!BL11+Sheet1!BM11-Sheet1!ER11-DA13</f>
        <v>6.52</v>
      </c>
      <c r="CT13" s="535">
        <f t="shared" si="26"/>
        <v>6.4876858558902031</v>
      </c>
      <c r="CU13" s="535">
        <f>IF(Sheet1!ER11="FM",DA13,0)</f>
        <v>0</v>
      </c>
      <c r="CV13" s="535">
        <f t="shared" si="27"/>
        <v>0</v>
      </c>
      <c r="CW13" s="535">
        <f>IF(Sheet1!ER11="OTHER",DA13,0)</f>
        <v>0</v>
      </c>
      <c r="CX13" s="535">
        <f t="shared" si="28"/>
        <v>0</v>
      </c>
      <c r="CY13" s="535">
        <f t="shared" si="29"/>
        <v>6.52</v>
      </c>
      <c r="CZ13" s="535">
        <f t="shared" si="30"/>
        <v>6.4876858558902031</v>
      </c>
      <c r="DA13" s="535">
        <f>IF(OR(Sheet1!ER11="FM", Sheet1!ER11="OTHER"),SUM(Sheet1!BK11:'Sheet1'!BM11),0)</f>
        <v>0</v>
      </c>
      <c r="DB13" s="1011">
        <f>IF(AND($B13&gt;=$FV13,$B13&lt;=$FW13),MAX($CT13,Sheet1!EK11,0),MAX($CT13-(7/36)*$K13,0))</f>
        <v>0</v>
      </c>
      <c r="DC13" s="1012">
        <f t="shared" si="31"/>
        <v>0</v>
      </c>
      <c r="DD13" s="1011">
        <f t="shared" si="32"/>
        <v>6.4876858558902031</v>
      </c>
      <c r="DE13" s="521">
        <f>IF(AND($O13&gt;0,Sheet1!EO11=1),(1-($O13-Sheet1!$L11)/$O13)*CZ13,0)</f>
        <v>0</v>
      </c>
      <c r="DF13" s="521">
        <f>IF(AND(Sheet1!$L11=0,Sheet1!$L10=0, Calculation!CY13&lt;Sheet1!$EK11-0.1,Sheet1!$EK11=Sheet1!$EK10,Sheet1!$EK11=Sheet1!$EK12),CZ13-DE13,CZ13-DE13)</f>
        <v>6.4876858558902031</v>
      </c>
      <c r="DG13" s="1040">
        <f t="shared" ref="DG13:DG76" si="109">(7/36)*K13</f>
        <v>12.568888888888889</v>
      </c>
      <c r="DH13" s="649">
        <f t="shared" si="33"/>
        <v>10.029999999999999</v>
      </c>
      <c r="DI13" s="535">
        <f t="shared" si="34"/>
        <v>0</v>
      </c>
      <c r="DJ13" s="649">
        <f t="shared" si="35"/>
        <v>9.9802897445672905</v>
      </c>
      <c r="DK13" s="535">
        <f ca="1">IF(B13&gt;Summary!$A$1,#N/A,DI13*MGtoAF)</f>
        <v>0</v>
      </c>
      <c r="DL13" s="649">
        <f t="shared" si="36"/>
        <v>10.029999999999999</v>
      </c>
      <c r="DM13" s="535">
        <f t="shared" si="37"/>
        <v>26.229999999999997</v>
      </c>
      <c r="DN13" s="535">
        <f>Sheet1!AB11-DM13</f>
        <v>-0.12999999999999545</v>
      </c>
      <c r="DO13" s="743">
        <f t="shared" si="38"/>
        <v>-4.956157072054726E-3</v>
      </c>
      <c r="DP13" s="535">
        <f>(VLOOKUP(Sheet1!DC11,hhdcap_wcm,4)-(((VLOOKUP(Sheet1!DC11,hhdcap_wcm,3)-Sheet1!DC11)/(VLOOKUP(Sheet1!DC11,hhdcap_wcm,3)-VLOOKUP(Sheet1!DC11,hhdcap_wcm,1)))*(VLOOKUP(Sheet1!DC11,hhdcap_wcm,4)-VLOOKUP(Sheet1!DC11,hhdcap_wcm,2))))</f>
        <v>1337.6000000036925</v>
      </c>
      <c r="DQ13" s="535">
        <f t="shared" si="70"/>
        <v>-236.40000000019108</v>
      </c>
      <c r="DR13" s="535">
        <f t="shared" si="39"/>
        <v>-119.21331316197229</v>
      </c>
      <c r="DS13" s="535">
        <f>Sheet1!EA11*AFtoMG</f>
        <v>0</v>
      </c>
      <c r="DT13" s="535">
        <f>Sheet1!EB11*AFtoMG</f>
        <v>0</v>
      </c>
      <c r="DU13" s="535">
        <f>Sheet1!EC11*AFtoMG</f>
        <v>0</v>
      </c>
      <c r="DV13" s="535">
        <f>Sheet1!ED11*AFtoMG</f>
        <v>0</v>
      </c>
      <c r="DW13" s="535">
        <f t="shared" si="40"/>
        <v>0</v>
      </c>
      <c r="DX13" s="535">
        <f t="shared" si="41"/>
        <v>0</v>
      </c>
      <c r="DY13" s="535">
        <f t="shared" si="42"/>
        <v>0</v>
      </c>
      <c r="DZ13" s="535">
        <f t="shared" si="43"/>
        <v>0</v>
      </c>
      <c r="EA13" s="535"/>
      <c r="EB13" s="521">
        <f>IF(OR(B13&lt;FV13,B13&gt;FW13),(MIN(BF13+BY13+CT13+MAX(Sheet1!AA11+AQ13-73,0),K13)),0)</f>
        <v>9.9802897445672905</v>
      </c>
      <c r="EC13" s="535"/>
      <c r="ED13" s="535">
        <f t="shared" si="44"/>
        <v>9.9802897445672905</v>
      </c>
      <c r="EE13" s="535"/>
      <c r="EF13" s="535">
        <f>Sheet1!EH11+Sheet1!EI11+Sheet1!EJ11+Sheet1!EK11</f>
        <v>10</v>
      </c>
      <c r="EG13" s="1019">
        <f t="shared" ref="EG13:EG76" si="110">EF13*1.547</f>
        <v>15.469999999999999</v>
      </c>
      <c r="EH13" s="521">
        <f t="shared" si="45"/>
        <v>0</v>
      </c>
      <c r="EI13" s="535">
        <f>IF(Sheet1!ET11=1,SUM('Calculations II'!AT13:BA13)+'Calculations II'!BC13+Sheet1!BV11+'Calculations II'!BE13+AP13,'Calculations II'!BK13)</f>
        <v>43.468016255432715</v>
      </c>
      <c r="EJ13" s="535">
        <f ca="1">EI13+'Calculations II'!D13+'Calculations II'!E13+'Calculations II'!O13</f>
        <v>42.871209197844387</v>
      </c>
      <c r="EK13" s="535"/>
      <c r="EL13" s="535"/>
      <c r="EM13" s="535">
        <f t="shared" si="46"/>
        <v>42737</v>
      </c>
      <c r="EN13" s="535">
        <f t="shared" si="47"/>
        <v>0</v>
      </c>
      <c r="EO13" s="535">
        <f t="shared" si="48"/>
        <v>0</v>
      </c>
      <c r="EP13" s="535">
        <v>0</v>
      </c>
      <c r="EQ13" s="535">
        <v>0</v>
      </c>
      <c r="ER13" s="535">
        <v>0</v>
      </c>
      <c r="ES13" s="521">
        <f t="shared" si="71"/>
        <v>1.6632787157874629</v>
      </c>
      <c r="ET13" s="535">
        <f>-(VLOOKUP(Sheet1!BQ11,Lookup!$O$4:$Q$262,2)-VLOOKUP(Sheet1!BQ10,Lookup!$O$4:$Q$262,2))/1000000</f>
        <v>0.83150472538505127</v>
      </c>
      <c r="EU13" s="535">
        <f>-(VLOOKUP(Sheet1!BR11,Lookup!$O$4:$Q$262,3)-VLOOKUP(Sheet1!BR10,Lookup!$O$4:$Q$262,3))/1000000</f>
        <v>0.83177399040241162</v>
      </c>
      <c r="EV13" s="535"/>
      <c r="EW13" s="535"/>
      <c r="EX13" s="535"/>
      <c r="EY13" s="535"/>
      <c r="EZ13" s="535"/>
      <c r="FA13" s="535"/>
      <c r="FB13" s="535"/>
      <c r="FC13" s="535"/>
      <c r="FD13" s="567" t="e">
        <f t="shared" si="72"/>
        <v>#N/A</v>
      </c>
      <c r="FE13" s="567" t="e">
        <f t="shared" si="73"/>
        <v>#N/A</v>
      </c>
      <c r="FF13" s="568" t="e">
        <f t="shared" si="49"/>
        <v>#N/A</v>
      </c>
      <c r="FG13" s="569" t="s">
        <v>655</v>
      </c>
      <c r="FH13" s="569" t="s">
        <v>655</v>
      </c>
      <c r="FI13" s="567" t="e">
        <v>#N/A</v>
      </c>
      <c r="FJ13" s="567" t="e">
        <v>#N/A</v>
      </c>
      <c r="FK13" s="535"/>
      <c r="FL13" s="1015">
        <v>0</v>
      </c>
      <c r="FM13" s="535"/>
      <c r="FN13" s="535"/>
      <c r="FO13" s="535">
        <f>O13+((Sheet1!CS11)*GPMtoMGD)</f>
        <v>52.61</v>
      </c>
      <c r="FP13" s="535">
        <f>IF(Sheet1!AA11+AQ13&lt;=Calculation!N13,AQ13,Calculation!N13-Sheet1!AA11)</f>
        <v>16.119710255432711</v>
      </c>
      <c r="FQ13" s="535">
        <f>(Sheet1!BP11+Sheet1!BO11)/694.4</f>
        <v>1.9517569124423964</v>
      </c>
      <c r="FR13" s="541"/>
      <c r="FS13" s="541"/>
      <c r="FT13" s="541"/>
      <c r="FU13" s="541"/>
      <c r="FV13" s="1109">
        <f t="shared" si="74"/>
        <v>42918</v>
      </c>
      <c r="FW13" s="1109">
        <f t="shared" si="75"/>
        <v>43027</v>
      </c>
      <c r="FX13" s="541"/>
      <c r="FY13" s="541">
        <f>Sheet1!DA11-Sheet1!CZ11-Sheet1!AE11</f>
        <v>257.61232999999999</v>
      </c>
      <c r="FZ13" s="535">
        <f t="shared" ref="FZ13:FZ76" si="111">FY13/G13</f>
        <v>0.35203199871415458</v>
      </c>
      <c r="GA13" s="535"/>
      <c r="GB13" s="535" t="str">
        <f t="shared" si="76"/>
        <v>n</v>
      </c>
      <c r="GC13" s="539">
        <f t="shared" si="77"/>
        <v>42782</v>
      </c>
      <c r="GD13" s="1109">
        <f t="shared" si="78"/>
        <v>42904</v>
      </c>
      <c r="GE13" s="535">
        <f t="shared" si="95"/>
        <v>6520</v>
      </c>
      <c r="GF13" s="1109">
        <f t="shared" si="79"/>
        <v>42909</v>
      </c>
      <c r="GG13" s="535">
        <f t="shared" si="50"/>
        <v>3260</v>
      </c>
      <c r="GH13" s="539">
        <f t="shared" si="80"/>
        <v>43040</v>
      </c>
      <c r="GJ13" s="521">
        <f t="shared" si="81"/>
        <v>0</v>
      </c>
      <c r="GK13" s="535" t="str">
        <f t="shared" si="51"/>
        <v/>
      </c>
      <c r="GL13" s="535">
        <f t="shared" si="82"/>
        <v>0</v>
      </c>
      <c r="GM13" s="535" t="str">
        <f t="shared" si="83"/>
        <v/>
      </c>
      <c r="GN13" s="535">
        <f>IF(GK13="P",Lookup!$M$12,IF(GK13="PP",Lookup!$M$13,IF(GK13="PPP",Lookup!$M$14,IF(GK13="T",Lookup!$M$15,IF(GK13="TP",Lookup!$M$16,IF(GK13="TPP",Lookup!$M$17,IF(GK13="TPPP",Lookup!$M$18,0)))))))*GJ13</f>
        <v>0</v>
      </c>
      <c r="GO13" s="535">
        <f t="shared" si="84"/>
        <v>0</v>
      </c>
      <c r="GP13" s="535">
        <f t="shared" si="52"/>
        <v>0</v>
      </c>
      <c r="GQ13" s="535">
        <f t="shared" si="94"/>
        <v>0</v>
      </c>
      <c r="GR13" s="535"/>
      <c r="GS13" s="535">
        <f t="shared" si="85"/>
        <v>0</v>
      </c>
      <c r="GT13" s="535" t="str">
        <f t="shared" si="86"/>
        <v/>
      </c>
      <c r="GU13" s="535">
        <f>IF(GK13="P",Lookup!$N$12,IF(GK13="PP",Lookup!$N$13,IF(GK13="PPP",Lookup!$N$14,IF(GK13="T",Lookup!$N$15,IF(GK13="TP",Lookup!$N$16,IF(GK13="TPP",Lookup!$N$17,IF(GK13="TPPP",Lookup!$N$18,0)))))))*GJ13</f>
        <v>0</v>
      </c>
      <c r="GV13" s="535">
        <f t="shared" si="53"/>
        <v>0</v>
      </c>
      <c r="GW13" s="535">
        <f t="shared" si="54"/>
        <v>0</v>
      </c>
      <c r="GX13" s="535">
        <f t="shared" si="91"/>
        <v>0</v>
      </c>
      <c r="GY13" s="535"/>
      <c r="GZ13" s="535">
        <f t="shared" si="87"/>
        <v>0</v>
      </c>
      <c r="HA13" s="535" t="str">
        <f t="shared" si="88"/>
        <v/>
      </c>
      <c r="HB13" s="535">
        <f>IF(GK13="P",Lookup!$N$12,IF(GK13="PP",Lookup!$N$13,IF(GK13="PPP",Lookup!$N$14,IF(GK13="T",Lookup!$N$15,IF(GK13="TP",Lookup!$N$16,IF(GK13="TPP",Lookup!$N$17,IF(GK13="TPPP",Lookup!$N$18,0)))))))*GJ13</f>
        <v>0</v>
      </c>
      <c r="HC13" s="521">
        <f t="shared" si="55"/>
        <v>0</v>
      </c>
      <c r="HD13" s="535">
        <f t="shared" si="56"/>
        <v>0</v>
      </c>
      <c r="HE13" s="535">
        <f t="shared" si="92"/>
        <v>0</v>
      </c>
      <c r="HF13" s="535"/>
      <c r="HG13" s="535">
        <f t="shared" si="89"/>
        <v>0</v>
      </c>
      <c r="HH13" s="535" t="str">
        <f t="shared" si="90"/>
        <v/>
      </c>
      <c r="HI13" s="535">
        <f>IF(GK13="P",Lookup!$N$12,IF(GK13="PP",Lookup!$N$13,IF(GK13="PPP",Lookup!$N$14,IF(GK13="T",Lookup!$N$15,IF(GK13="TP",Lookup!$N$16,IF(GK13="TPP",Lookup!$N$17,IF(GK13="TPPP",Lookup!$N$18,0)))))))*GJ13</f>
        <v>0</v>
      </c>
      <c r="HJ13" s="521">
        <f t="shared" si="57"/>
        <v>0</v>
      </c>
      <c r="HK13" s="535">
        <f t="shared" si="58"/>
        <v>0</v>
      </c>
      <c r="HL13" s="535">
        <f t="shared" si="93"/>
        <v>0</v>
      </c>
      <c r="HM13" s="535"/>
      <c r="HN13" s="541"/>
      <c r="HO13" s="541"/>
      <c r="HP13" s="541"/>
      <c r="HQ13" s="541">
        <f>IF(AND(B13&gt;=$FV$4,B13&lt;=$FW$4),MAX(110/1.02+$HQ$6+MIN(113/1.02,G13),IF($HV$6-(Sheet1!DA11-Sheet1!DB11)+MIN(113/1.02,G13)&lt;G13+FL13,$HV$6-(Sheet1!DA11-Sheet1!DB11)+MIN(113/1.02,G13),G13+FL13)),MIN(110/1.02+$HQ$6+113/1.02,G13))</f>
        <v>218.62745098039215</v>
      </c>
      <c r="HR13" s="541">
        <f t="shared" ref="HR13:HR76" si="112">HQ13*1.02</f>
        <v>223</v>
      </c>
      <c r="HS13" s="541">
        <f>HR13+(Sheet1!DA11-Sheet1!DB11)</f>
        <v>652</v>
      </c>
      <c r="HT13" s="541">
        <f t="shared" ref="HT13:HT76" si="113">AB13</f>
        <v>0</v>
      </c>
      <c r="HU13" s="541">
        <f t="shared" ref="HU13:HU76" si="114">HS13-HT13</f>
        <v>652</v>
      </c>
      <c r="HV13" s="541">
        <f t="shared" ref="HV13:HV76" si="115">MAX($HV$6-HU13,0)</f>
        <v>0</v>
      </c>
      <c r="HW13" s="533" t="str">
        <f t="shared" ref="HW13:HW76" si="116">IF(IB13-HQ13&lt;0,HQ13-IB13,"")</f>
        <v/>
      </c>
      <c r="HX13" s="541">
        <f t="shared" ref="HX13:HX76" si="117">IF(IB13-HQ13&gt;0,IB13-HQ13,"")</f>
        <v>632.37254901960785</v>
      </c>
      <c r="HY13" s="541">
        <f>Sheet1!CZ11</f>
        <v>851</v>
      </c>
      <c r="HZ13" s="541">
        <f t="shared" ref="HZ13:HZ76" si="118">AI13</f>
        <v>0</v>
      </c>
      <c r="IA13" s="541">
        <f t="shared" ref="IA13:IA76" si="119">AB13</f>
        <v>0</v>
      </c>
      <c r="IB13" s="541">
        <f t="shared" ref="IB13:IB76" si="120">HY13-HZ13</f>
        <v>851</v>
      </c>
      <c r="IC13" s="1019" t="str">
        <f t="shared" ref="IC13:IC76" si="121">IF(IB13-HQ13&lt;0,"YES","")</f>
        <v/>
      </c>
      <c r="ID13" s="541">
        <f t="shared" ref="ID13:ID76" si="122">HY13-HZ13-IA13</f>
        <v>851</v>
      </c>
      <c r="IE13" s="541">
        <f>Sheet1!DB11</f>
        <v>761</v>
      </c>
      <c r="IF13" s="533">
        <f>Sheet1!DA11</f>
        <v>1190</v>
      </c>
      <c r="IH13" s="541">
        <f>IF(AND($B13&gt;=$GC13,$B13&lt;=$GH13,$DR13&lt;0)+N("only adjusted when pool is drawn down during storage season"),Sheet1!$DB11+$DR13+N("Palmer minus all storage release"),Sheet1!$DB11)</f>
        <v>761</v>
      </c>
      <c r="II13" s="541">
        <f>IF(AND($B13&gt;=$GC13,$B13&lt;=$GH13,$DR13&lt;0)+N("only adjusted when pool is drawn down during storage season"),Sheet1!$DA11+$DR13+N("Auburn minus all storage release"),Sheet1!$DA11)</f>
        <v>1190</v>
      </c>
    </row>
    <row r="14" spans="1:243" x14ac:dyDescent="0.25">
      <c r="A14" s="553" t="s">
        <v>5</v>
      </c>
      <c r="B14" s="531">
        <v>42738</v>
      </c>
      <c r="C14" s="532">
        <v>0</v>
      </c>
      <c r="D14" s="506">
        <f t="shared" si="0"/>
        <v>300</v>
      </c>
      <c r="E14" s="506">
        <f t="shared" si="1"/>
        <v>250</v>
      </c>
      <c r="F14" s="506">
        <v>250</v>
      </c>
      <c r="G14" s="535">
        <f>DR14+Sheet1!CZ12</f>
        <v>513.42561775038268</v>
      </c>
      <c r="H14" s="1074">
        <f t="shared" si="96"/>
        <v>303.70218431999996</v>
      </c>
      <c r="I14" s="534">
        <f>IF(Sheet1!DA12&gt;=E14,(Sheet1!DA12-E14+P14)*CFStoMGD,0)</f>
        <v>660.51498431999994</v>
      </c>
      <c r="J14" s="995">
        <f>IF(Sheet1!DB12&gt;=D14,(Sheet1!DB12-D14+P14)*CFStoMGD,0)</f>
        <v>303.70218431999996</v>
      </c>
      <c r="K14" s="818">
        <f t="shared" si="97"/>
        <v>64.64</v>
      </c>
      <c r="L14" s="535">
        <f>Sheet1!AA12+Sheet1!AB12-Sheet1!L12+(Sheet1!DA12-F14)*CFStoMGD-S14-T14-U14</f>
        <v>607.61599999999999</v>
      </c>
      <c r="M14" s="535">
        <f t="shared" si="2"/>
        <v>338.51588570012433</v>
      </c>
      <c r="N14" s="824">
        <f>IF(Sheet1!DA12&gt;=F14,MIN(113*CFStoMGD,MIN(MAX(L14,0),MAX(M14,0))),0)</f>
        <v>73.043199999999999</v>
      </c>
      <c r="O14" s="538">
        <f>Sheet1!AA12+Sheet1!AB12</f>
        <v>52.9</v>
      </c>
      <c r="P14" s="538">
        <f t="shared" si="3"/>
        <v>81.836299999999994</v>
      </c>
      <c r="Q14" s="812">
        <f t="shared" si="98"/>
        <v>0</v>
      </c>
      <c r="R14" s="812">
        <f t="shared" si="59"/>
        <v>9.9124153498871337</v>
      </c>
      <c r="S14" s="812">
        <f t="shared" si="60"/>
        <v>52.9</v>
      </c>
      <c r="T14" s="812">
        <f t="shared" si="61"/>
        <v>0</v>
      </c>
      <c r="U14" s="812">
        <f t="shared" si="99"/>
        <v>0</v>
      </c>
      <c r="V14" s="812"/>
      <c r="W14" s="812">
        <f t="shared" si="62"/>
        <v>54.727584650112867</v>
      </c>
      <c r="X14" s="812">
        <f t="shared" si="63"/>
        <v>52.9</v>
      </c>
      <c r="Y14" s="812" t="str">
        <f t="shared" si="64"/>
        <v/>
      </c>
      <c r="Z14" s="812">
        <f t="shared" si="65"/>
        <v>52.9</v>
      </c>
      <c r="AA14" s="812">
        <f t="shared" si="66"/>
        <v>52.9</v>
      </c>
      <c r="AB14" s="1059">
        <f t="shared" si="100"/>
        <v>0</v>
      </c>
      <c r="AC14" s="538">
        <f>Sheet1!Y12*MGDtoCFS</f>
        <v>41.01097</v>
      </c>
      <c r="AD14" s="538">
        <f>Sheet1!Z12*MGDtoCFS</f>
        <v>40.3767</v>
      </c>
      <c r="AE14" s="538">
        <f>Sheet1!AA12*MGDtoCFS</f>
        <v>40.9955</v>
      </c>
      <c r="AF14" s="538">
        <f>Sheet1!AB12*MGDtoCFS</f>
        <v>40.840799999999994</v>
      </c>
      <c r="AG14" s="538">
        <f>Sheet1!L12*MGDtoCFS</f>
        <v>0</v>
      </c>
      <c r="AH14" s="521">
        <f t="shared" si="67"/>
        <v>0</v>
      </c>
      <c r="AI14" s="1059">
        <f t="shared" si="4"/>
        <v>0</v>
      </c>
      <c r="AJ14" s="535">
        <f t="shared" si="68"/>
        <v>0</v>
      </c>
      <c r="AK14" s="535">
        <f t="shared" si="5"/>
        <v>0</v>
      </c>
      <c r="AL14" s="535">
        <f>(VLOOKUP(Sheet1!DC12,hhdcap_wcm,4)-(((VLOOKUP(Sheet1!DC12,hhdcap_wcm,3)-Sheet1!DC12)/(VLOOKUP(Sheet1!DC12,hhdcap_wcm,3)-VLOOKUP(Sheet1!DC12,hhdcap_wcm,1)))*(VLOOKUP(Sheet1!DC12,hhdcap_wcm,4)-VLOOKUP(Sheet1!DC12,hhdcap_wcm,2))))</f>
        <v>807.0000000027012</v>
      </c>
      <c r="AM14" s="535">
        <f t="shared" si="69"/>
        <v>-530.60000000099126</v>
      </c>
      <c r="AN14" s="1035">
        <f t="shared" si="6"/>
        <v>0</v>
      </c>
      <c r="AO14" s="535">
        <f t="shared" si="7"/>
        <v>0</v>
      </c>
      <c r="AP14" s="535">
        <f>Sheet1!BA12+Sheet1!BB12+Sheet1!BN12+CD14</f>
        <v>16.600000000000001</v>
      </c>
      <c r="AQ14" s="535">
        <f>Sheet1!BN12+(DO14*Sheet1!BN12)</f>
        <v>16.487584650112865</v>
      </c>
      <c r="AR14" s="535">
        <f>Sheet1!BA12+CD14</f>
        <v>0</v>
      </c>
      <c r="AS14" s="535">
        <f>Sheet1!BA12+Sheet1!BB12+CD14</f>
        <v>0</v>
      </c>
      <c r="AT14" s="649">
        <f>0</f>
        <v>0</v>
      </c>
      <c r="AU14" s="535">
        <f>IF(EB14&lt;K14,0,MAX(Sheet1!AA12+AQ14-15/36*K14-N14,Sheet1!EH12,0))</f>
        <v>0</v>
      </c>
      <c r="AV14" s="535">
        <f>IF(OR(B14&gt;=GD14,B14&lt;GC14),0,15/36*K14-MAX(0,64.6-(137.6-(Sheet1!AA12+Sheet1!AB12))))</f>
        <v>0</v>
      </c>
      <c r="AW14" s="1029"/>
      <c r="AX14" s="649"/>
      <c r="AY14" s="649">
        <f t="shared" si="101"/>
        <v>0</v>
      </c>
      <c r="AZ14" s="649">
        <f t="shared" si="102"/>
        <v>0</v>
      </c>
      <c r="BA14" s="1059">
        <f t="shared" si="103"/>
        <v>0</v>
      </c>
      <c r="BB14" s="1019">
        <f t="shared" si="8"/>
        <v>0</v>
      </c>
      <c r="BC14" s="1041">
        <f t="shared" si="104"/>
        <v>26.933333333333334</v>
      </c>
      <c r="BD14" s="1019">
        <f ca="1">IF(B14&gt;Summary!$A$1,#N/A,BB14*MGtoAF)</f>
        <v>0</v>
      </c>
      <c r="BE14" s="535">
        <f>Sheet1!BG12+Sheet1!BH12+Sheet1!BI12-BM14</f>
        <v>1.01</v>
      </c>
      <c r="BF14" s="535">
        <f t="shared" si="9"/>
        <v>1.0031602708803611</v>
      </c>
      <c r="BG14" s="535">
        <f>IF(Sheet1!EP12="FM",BM14,0)</f>
        <v>0</v>
      </c>
      <c r="BH14" s="535">
        <f t="shared" si="10"/>
        <v>0</v>
      </c>
      <c r="BI14" s="535">
        <f>IF(Sheet1!EP12="OTHER",BM14,0)</f>
        <v>0</v>
      </c>
      <c r="BJ14" s="535">
        <f t="shared" si="11"/>
        <v>0</v>
      </c>
      <c r="BK14" s="535">
        <f t="shared" si="12"/>
        <v>1.01</v>
      </c>
      <c r="BL14" s="535">
        <f t="shared" si="13"/>
        <v>1.0031602708803611</v>
      </c>
      <c r="BM14" s="535">
        <f>IF(OR(Sheet1!EP12="FM", Sheet1!EP12="OTHER"),SUM(Sheet1!BG12:'Sheet1'!BI12),0)</f>
        <v>0</v>
      </c>
      <c r="BN14" s="521">
        <f>IF(AND($B14&gt;=$FV14,$B14&lt;=$FW14),MAX(BF14,Sheet1!EI12,0),MAX(BF14-(7/36)*$K14,0))</f>
        <v>0</v>
      </c>
      <c r="BO14" s="535">
        <f t="shared" si="14"/>
        <v>0</v>
      </c>
      <c r="BP14" s="521">
        <f t="shared" si="15"/>
        <v>1.0031602708803611</v>
      </c>
      <c r="BQ14" s="521">
        <f>IF(AND($O14&gt;0,Sheet1!EM12=1),(1-($O14-Sheet1!$L12)/$O14)*BL14,0)</f>
        <v>0</v>
      </c>
      <c r="BR14" s="521">
        <f>IF(AND(Sheet1!$L12=0,Sheet1!$L11=0, Calculation!BK14&lt;Sheet1!$EI12-0.1,Sheet1!$EI12=Sheet1!$EI11,Sheet1!$EI12=Sheet1!$EI13),BL14-BQ14,BL14-BQ14)</f>
        <v>1.0031602708803611</v>
      </c>
      <c r="BS14" s="1035" t="str">
        <f t="shared" si="105"/>
        <v/>
      </c>
      <c r="BT14" s="1035">
        <f t="shared" si="106"/>
        <v>12.568888888888889</v>
      </c>
      <c r="BU14" s="535">
        <f t="shared" si="16"/>
        <v>0</v>
      </c>
      <c r="BV14" s="535"/>
      <c r="BW14" s="535">
        <f ca="1">IF(B14&gt;Summary!$A$1,#N/A,BU14*MGtoAF)</f>
        <v>0</v>
      </c>
      <c r="BX14" s="535">
        <f>Sheet1!BC12+Sheet1!BD12+Sheet1!BE12+Sheet1!BF12-CG14-CH14</f>
        <v>2.4900000000000002</v>
      </c>
      <c r="BY14" s="535">
        <f t="shared" si="17"/>
        <v>2.4731376975169299</v>
      </c>
      <c r="BZ14" s="535">
        <f>IF(Sheet1!EQ12="FM",CH14,0)</f>
        <v>0</v>
      </c>
      <c r="CA14" s="535">
        <f t="shared" si="18"/>
        <v>0</v>
      </c>
      <c r="CB14" s="535">
        <f>IF(Sheet1!EQ12="OTHER",CH14,0)</f>
        <v>0</v>
      </c>
      <c r="CC14" s="535">
        <f t="shared" si="19"/>
        <v>0</v>
      </c>
      <c r="CD14" s="535">
        <f t="shared" si="20"/>
        <v>0</v>
      </c>
      <c r="CE14" s="535">
        <f t="shared" si="21"/>
        <v>2.4900000000000002</v>
      </c>
      <c r="CF14" s="535">
        <f t="shared" si="22"/>
        <v>2.4731376975169299</v>
      </c>
      <c r="CG14" s="535">
        <f>IF(Sheet1!EQ12="CWA",SUM(Sheet1!BC12:'Sheet1'!BF12),0)</f>
        <v>0</v>
      </c>
      <c r="CH14" s="535">
        <f>IF(OR(Sheet1!EQ12="FM", Sheet1!EQ12="OTHER"),SUM(Sheet1!BC12:'Sheet1'!BF12),0)</f>
        <v>0</v>
      </c>
      <c r="CI14" s="521">
        <f>IF(AND($B14&gt;=$FV14,$B14&lt;=$FW14),MAX(CF14,Sheet1!EJ12,0),MAX(CF14-(7/36)*$K14,0))</f>
        <v>0</v>
      </c>
      <c r="CJ14" s="535">
        <f t="shared" si="23"/>
        <v>0</v>
      </c>
      <c r="CK14" s="521">
        <f t="shared" si="24"/>
        <v>2.4731376975169299</v>
      </c>
      <c r="CL14" s="521">
        <f>IF(AND($O14&gt;0,Sheet1!EN12=1),(1-($O14-Sheet1!$L12)/$O14)*CF14,0)</f>
        <v>0</v>
      </c>
      <c r="CM14" s="521">
        <f>IF(AND(Sheet1!$L12=0,Sheet1!$L11=0, Calculation!CE14&lt;Sheet1!EJ12-0.1,Sheet1!EJ12=Sheet1!EJ11,Sheet1!EJ12=Sheet1!EJ13),CF14-CL14,CF14-CL14)</f>
        <v>2.4731376975169299</v>
      </c>
      <c r="CN14" s="1040" t="str">
        <f t="shared" si="107"/>
        <v/>
      </c>
      <c r="CO14" s="1035">
        <f t="shared" si="108"/>
        <v>12.568888888888889</v>
      </c>
      <c r="CP14" s="535">
        <f t="shared" si="25"/>
        <v>0</v>
      </c>
      <c r="CQ14" s="535"/>
      <c r="CR14" s="535">
        <f ca="1">IF(B14&gt;Summary!$A$1,#N/A,CP14*MGtoAF)</f>
        <v>0</v>
      </c>
      <c r="CS14" s="535">
        <f>Sheet1!BK12+Sheet1!BL12+Sheet1!BM12-Sheet1!ER12-DA14</f>
        <v>6.48</v>
      </c>
      <c r="CT14" s="535">
        <f t="shared" si="26"/>
        <v>6.4361173814898418</v>
      </c>
      <c r="CU14" s="535">
        <f>IF(Sheet1!ER12="FM",DA14,0)</f>
        <v>0</v>
      </c>
      <c r="CV14" s="535">
        <f t="shared" si="27"/>
        <v>0</v>
      </c>
      <c r="CW14" s="535">
        <f>IF(Sheet1!ER12="OTHER",DA14,0)</f>
        <v>0</v>
      </c>
      <c r="CX14" s="535">
        <f t="shared" si="28"/>
        <v>0</v>
      </c>
      <c r="CY14" s="535">
        <f t="shared" si="29"/>
        <v>6.48</v>
      </c>
      <c r="CZ14" s="535">
        <f t="shared" si="30"/>
        <v>6.4361173814898418</v>
      </c>
      <c r="DA14" s="535">
        <f>IF(OR(Sheet1!ER12="FM", Sheet1!ER12="OTHER"),SUM(Sheet1!BK12:'Sheet1'!BM12),0)</f>
        <v>0</v>
      </c>
      <c r="DB14" s="1011">
        <f>IF(AND($B14&gt;=$FV14,$B14&lt;=$FW14),MAX($CT14,Sheet1!EK12,0),MAX($CT14-(7/36)*$K14,0))</f>
        <v>0</v>
      </c>
      <c r="DC14" s="1012">
        <f t="shared" si="31"/>
        <v>0</v>
      </c>
      <c r="DD14" s="1011">
        <f t="shared" si="32"/>
        <v>6.4361173814898418</v>
      </c>
      <c r="DE14" s="521">
        <f>IF(AND($O14&gt;0,Sheet1!EO12=1),(1-($O14-Sheet1!$L12)/$O14)*CZ14,0)</f>
        <v>0</v>
      </c>
      <c r="DF14" s="521">
        <f>IF(AND(Sheet1!$L12=0,Sheet1!$L11=0, Calculation!CY14&lt;Sheet1!$EK12-0.1,Sheet1!$EK12=Sheet1!$EK11,Sheet1!$EK12=Sheet1!$EK13),CZ14-DE14,CZ14-DE14)</f>
        <v>6.4361173814898418</v>
      </c>
      <c r="DG14" s="1040">
        <f t="shared" si="109"/>
        <v>12.568888888888889</v>
      </c>
      <c r="DH14" s="649">
        <f t="shared" si="33"/>
        <v>9.98</v>
      </c>
      <c r="DI14" s="535">
        <f t="shared" si="34"/>
        <v>0</v>
      </c>
      <c r="DJ14" s="649">
        <f t="shared" si="35"/>
        <v>9.9124153498871337</v>
      </c>
      <c r="DK14" s="535">
        <f ca="1">IF(B14&gt;Summary!$A$1,#N/A,DI14*MGtoAF)</f>
        <v>0</v>
      </c>
      <c r="DL14" s="649">
        <f t="shared" si="36"/>
        <v>9.98</v>
      </c>
      <c r="DM14" s="535">
        <f t="shared" si="37"/>
        <v>26.580000000000002</v>
      </c>
      <c r="DN14" s="535">
        <f>Sheet1!AB12-DM14</f>
        <v>-0.18000000000000327</v>
      </c>
      <c r="DO14" s="743">
        <f t="shared" si="38"/>
        <v>-6.7720090293454946E-3</v>
      </c>
      <c r="DP14" s="535">
        <f>(VLOOKUP(Sheet1!DC12,hhdcap_wcm,4)-(((VLOOKUP(Sheet1!DC12,hhdcap_wcm,3)-Sheet1!DC12)/(VLOOKUP(Sheet1!DC12,hhdcap_wcm,3)-VLOOKUP(Sheet1!DC12,hhdcap_wcm,1)))*(VLOOKUP(Sheet1!DC12,hhdcap_wcm,4)-VLOOKUP(Sheet1!DC12,hhdcap_wcm,2))))</f>
        <v>807.0000000027012</v>
      </c>
      <c r="DQ14" s="535">
        <f t="shared" si="70"/>
        <v>-530.60000000099126</v>
      </c>
      <c r="DR14" s="535">
        <f t="shared" si="39"/>
        <v>-267.57438224961732</v>
      </c>
      <c r="DS14" s="535">
        <f>Sheet1!EA12*AFtoMG</f>
        <v>0</v>
      </c>
      <c r="DT14" s="535">
        <f>Sheet1!EB12*AFtoMG</f>
        <v>0</v>
      </c>
      <c r="DU14" s="535">
        <f>Sheet1!EC12*AFtoMG</f>
        <v>0</v>
      </c>
      <c r="DV14" s="535">
        <f>Sheet1!ED12*AFtoMG</f>
        <v>0</v>
      </c>
      <c r="DW14" s="535">
        <f t="shared" si="40"/>
        <v>0</v>
      </c>
      <c r="DX14" s="535">
        <f t="shared" si="41"/>
        <v>0</v>
      </c>
      <c r="DY14" s="535">
        <f t="shared" si="42"/>
        <v>0</v>
      </c>
      <c r="DZ14" s="535">
        <f t="shared" si="43"/>
        <v>0</v>
      </c>
      <c r="EA14" s="535"/>
      <c r="EB14" s="521">
        <f>IF(OR(B14&lt;FV14,B14&gt;FW14),(MIN(BF14+BY14+CT14+MAX(Sheet1!AA12+AQ14-73,0),K14)),0)</f>
        <v>9.9124153498871337</v>
      </c>
      <c r="EC14" s="535"/>
      <c r="ED14" s="535">
        <f t="shared" si="44"/>
        <v>9.9124153498871337</v>
      </c>
      <c r="EE14" s="535"/>
      <c r="EF14" s="535">
        <f>Sheet1!EH12+Sheet1!EI12+Sheet1!EJ12+Sheet1!EK12</f>
        <v>10</v>
      </c>
      <c r="EG14" s="1019">
        <f t="shared" si="110"/>
        <v>15.469999999999999</v>
      </c>
      <c r="EH14" s="521">
        <f t="shared" si="45"/>
        <v>0</v>
      </c>
      <c r="EI14" s="535">
        <f>IF(Sheet1!ET12=1,SUM('Calculations II'!AT14:BA14)+'Calculations II'!BC14+Sheet1!BV12+'Calculations II'!BE14+AP14,'Calculations II'!BK14)</f>
        <v>46.142676650112861</v>
      </c>
      <c r="EJ14" s="535">
        <f ca="1">EI14+'Calculations II'!D14+'Calculations II'!E14+'Calculations II'!O14</f>
        <v>41.577730515381653</v>
      </c>
      <c r="EK14" s="535"/>
      <c r="EL14" s="535"/>
      <c r="EM14" s="535">
        <f t="shared" si="46"/>
        <v>42738</v>
      </c>
      <c r="EN14" s="535">
        <f t="shared" si="47"/>
        <v>0</v>
      </c>
      <c r="EO14" s="535">
        <f t="shared" si="48"/>
        <v>0</v>
      </c>
      <c r="EP14" s="535">
        <v>0</v>
      </c>
      <c r="EQ14" s="535">
        <v>0</v>
      </c>
      <c r="ER14" s="535">
        <v>0</v>
      </c>
      <c r="ES14" s="521">
        <f t="shared" si="71"/>
        <v>3.879188804564409</v>
      </c>
      <c r="ET14" s="535">
        <f>-(VLOOKUP(Sheet1!BQ12,Lookup!$O$4:$Q$262,2)-VLOOKUP(Sheet1!BQ11,Lookup!$O$4:$Q$262,2))/1000000</f>
        <v>1.9392803321839682</v>
      </c>
      <c r="EU14" s="535">
        <f>-(VLOOKUP(Sheet1!BR12,Lookup!$O$4:$Q$262,3)-VLOOKUP(Sheet1!BR11,Lookup!$O$4:$Q$262,3))/1000000</f>
        <v>1.9399084723804407</v>
      </c>
      <c r="EV14" s="535"/>
      <c r="EW14" s="535"/>
      <c r="EX14" s="535"/>
      <c r="EY14" s="535"/>
      <c r="EZ14" s="535"/>
      <c r="FA14" s="535"/>
      <c r="FB14" s="535"/>
      <c r="FC14" s="535"/>
      <c r="FD14" s="567" t="e">
        <f t="shared" si="72"/>
        <v>#N/A</v>
      </c>
      <c r="FE14" s="567" t="e">
        <f t="shared" si="73"/>
        <v>#N/A</v>
      </c>
      <c r="FF14" s="568" t="e">
        <f t="shared" si="49"/>
        <v>#N/A</v>
      </c>
      <c r="FG14" s="569" t="s">
        <v>656</v>
      </c>
      <c r="FH14" s="569" t="s">
        <v>656</v>
      </c>
      <c r="FI14" s="567" t="e">
        <v>#N/A</v>
      </c>
      <c r="FJ14" s="567" t="e">
        <v>#N/A</v>
      </c>
      <c r="FK14" s="535"/>
      <c r="FL14" s="1015">
        <v>0</v>
      </c>
      <c r="FM14" s="535"/>
      <c r="FN14" s="535"/>
      <c r="FO14" s="535">
        <f>O14+((Sheet1!CS12)*GPMtoMGD)</f>
        <v>52.9</v>
      </c>
      <c r="FP14" s="535">
        <f>IF(Sheet1!AA12+AQ14&lt;=Calculation!N14,AQ14,Calculation!N14-Sheet1!AA12)</f>
        <v>16.487584650112865</v>
      </c>
      <c r="FQ14" s="535">
        <f>(Sheet1!BP12+Sheet1!BO12)/694.4</f>
        <v>1.1396889400921659</v>
      </c>
      <c r="FR14" s="541"/>
      <c r="FS14" s="541"/>
      <c r="FT14" s="541"/>
      <c r="FU14" s="541"/>
      <c r="FV14" s="1109">
        <f t="shared" si="74"/>
        <v>42918</v>
      </c>
      <c r="FW14" s="1109">
        <f t="shared" si="75"/>
        <v>43027</v>
      </c>
      <c r="FX14" s="541"/>
      <c r="FY14" s="541">
        <f>Sheet1!DA12-Sheet1!CZ12-Sheet1!AE12</f>
        <v>327.16370000000001</v>
      </c>
      <c r="FZ14" s="535">
        <f t="shared" si="111"/>
        <v>0.63721732747480564</v>
      </c>
      <c r="GA14" s="535"/>
      <c r="GB14" s="535" t="str">
        <f t="shared" si="76"/>
        <v>n</v>
      </c>
      <c r="GC14" s="539">
        <f t="shared" si="77"/>
        <v>42782</v>
      </c>
      <c r="GD14" s="1109">
        <f t="shared" si="78"/>
        <v>42904</v>
      </c>
      <c r="GE14" s="535">
        <f t="shared" si="95"/>
        <v>6520</v>
      </c>
      <c r="GF14" s="1109">
        <f t="shared" si="79"/>
        <v>42909</v>
      </c>
      <c r="GG14" s="535">
        <f t="shared" si="50"/>
        <v>3260</v>
      </c>
      <c r="GH14" s="539">
        <f t="shared" si="80"/>
        <v>43040</v>
      </c>
      <c r="GJ14" s="521">
        <f t="shared" si="81"/>
        <v>0</v>
      </c>
      <c r="GK14" s="535" t="str">
        <f t="shared" si="51"/>
        <v/>
      </c>
      <c r="GL14" s="535">
        <f t="shared" si="82"/>
        <v>0</v>
      </c>
      <c r="GM14" s="535" t="str">
        <f t="shared" si="83"/>
        <v/>
      </c>
      <c r="GN14" s="535">
        <f>IF(GK14="P",Lookup!$M$12,IF(GK14="PP",Lookup!$M$13,IF(GK14="PPP",Lookup!$M$14,IF(GK14="T",Lookup!$M$15,IF(GK14="TP",Lookup!$M$16,IF(GK14="TPP",Lookup!$M$17,IF(GK14="TPPP",Lookup!$M$18,0)))))))*GJ14</f>
        <v>0</v>
      </c>
      <c r="GO14" s="535">
        <f t="shared" si="84"/>
        <v>0</v>
      </c>
      <c r="GP14" s="535">
        <f t="shared" si="52"/>
        <v>0</v>
      </c>
      <c r="GQ14" s="535">
        <f t="shared" si="94"/>
        <v>0</v>
      </c>
      <c r="GR14" s="535"/>
      <c r="GS14" s="535">
        <f t="shared" si="85"/>
        <v>0</v>
      </c>
      <c r="GT14" s="535" t="str">
        <f t="shared" si="86"/>
        <v/>
      </c>
      <c r="GU14" s="535">
        <f>IF(GK14="P",Lookup!$N$12,IF(GK14="PP",Lookup!$N$13,IF(GK14="PPP",Lookup!$N$14,IF(GK14="T",Lookup!$N$15,IF(GK14="TP",Lookup!$N$16,IF(GK14="TPP",Lookup!$N$17,IF(GK14="TPPP",Lookup!$N$18,0)))))))*GJ14</f>
        <v>0</v>
      </c>
      <c r="GV14" s="535">
        <f t="shared" si="53"/>
        <v>0</v>
      </c>
      <c r="GW14" s="535">
        <f t="shared" si="54"/>
        <v>0</v>
      </c>
      <c r="GX14" s="535">
        <f t="shared" si="91"/>
        <v>0</v>
      </c>
      <c r="GY14" s="535"/>
      <c r="GZ14" s="535">
        <f t="shared" si="87"/>
        <v>0</v>
      </c>
      <c r="HA14" s="535" t="str">
        <f t="shared" si="88"/>
        <v/>
      </c>
      <c r="HB14" s="535">
        <f>IF(GK14="P",Lookup!$N$12,IF(GK14="PP",Lookup!$N$13,IF(GK14="PPP",Lookup!$N$14,IF(GK14="T",Lookup!$N$15,IF(GK14="TP",Lookup!$N$16,IF(GK14="TPP",Lookup!$N$17,IF(GK14="TPPP",Lookup!$N$18,0)))))))*GJ14</f>
        <v>0</v>
      </c>
      <c r="HC14" s="521">
        <f t="shared" si="55"/>
        <v>0</v>
      </c>
      <c r="HD14" s="535">
        <f t="shared" si="56"/>
        <v>0</v>
      </c>
      <c r="HE14" s="535">
        <f t="shared" si="92"/>
        <v>0</v>
      </c>
      <c r="HF14" s="535"/>
      <c r="HG14" s="535">
        <f t="shared" si="89"/>
        <v>0</v>
      </c>
      <c r="HH14" s="535" t="str">
        <f t="shared" si="90"/>
        <v/>
      </c>
      <c r="HI14" s="535">
        <f>IF(GK14="P",Lookup!$N$12,IF(GK14="PP",Lookup!$N$13,IF(GK14="PPP",Lookup!$N$14,IF(GK14="T",Lookup!$N$15,IF(GK14="TP",Lookup!$N$16,IF(GK14="TPP",Lookup!$N$17,IF(GK14="TPPP",Lookup!$N$18,0)))))))*GJ14</f>
        <v>0</v>
      </c>
      <c r="HJ14" s="521">
        <f t="shared" si="57"/>
        <v>0</v>
      </c>
      <c r="HK14" s="535">
        <f t="shared" si="58"/>
        <v>0</v>
      </c>
      <c r="HL14" s="535">
        <f t="shared" si="93"/>
        <v>0</v>
      </c>
      <c r="HM14" s="535"/>
      <c r="HN14" s="541"/>
      <c r="HO14" s="541"/>
      <c r="HP14" s="541"/>
      <c r="HQ14" s="541">
        <f>IF(AND(B14&gt;=$FV$4,B14&lt;=$FW$4),MAX(110/1.02+$HQ$6+MIN(113/1.02,G14),IF($HV$6-(Sheet1!DA12-Sheet1!DB12)+MIN(113/1.02,G14)&lt;G14+FL14,$HV$6-(Sheet1!DA12-Sheet1!DB12)+MIN(113/1.02,G14),G14+FL14)),MIN(110/1.02+$HQ$6+113/1.02,G14))</f>
        <v>218.62745098039215</v>
      </c>
      <c r="HR14" s="541">
        <f t="shared" si="112"/>
        <v>223</v>
      </c>
      <c r="HS14" s="541">
        <f>HR14+(Sheet1!DA12-Sheet1!DB12)</f>
        <v>725</v>
      </c>
      <c r="HT14" s="541">
        <f t="shared" si="113"/>
        <v>0</v>
      </c>
      <c r="HU14" s="541">
        <f t="shared" si="114"/>
        <v>725</v>
      </c>
      <c r="HV14" s="541">
        <f t="shared" si="115"/>
        <v>0</v>
      </c>
      <c r="HW14" s="533" t="str">
        <f t="shared" si="116"/>
        <v/>
      </c>
      <c r="HX14" s="541">
        <f t="shared" si="117"/>
        <v>562.37254901960785</v>
      </c>
      <c r="HY14" s="541">
        <f>Sheet1!CZ12</f>
        <v>781</v>
      </c>
      <c r="HZ14" s="541">
        <f t="shared" si="118"/>
        <v>0</v>
      </c>
      <c r="IA14" s="541">
        <f t="shared" si="119"/>
        <v>0</v>
      </c>
      <c r="IB14" s="541">
        <f t="shared" si="120"/>
        <v>781</v>
      </c>
      <c r="IC14" s="1019" t="str">
        <f t="shared" si="121"/>
        <v/>
      </c>
      <c r="ID14" s="541">
        <f t="shared" si="122"/>
        <v>781</v>
      </c>
      <c r="IE14" s="541">
        <f>Sheet1!DB12</f>
        <v>688</v>
      </c>
      <c r="IF14" s="533">
        <f>Sheet1!DA12</f>
        <v>1190</v>
      </c>
      <c r="IH14" s="541">
        <f>IF(AND($B14&gt;=$GC14,$B14&lt;=$GH14,$DR14&lt;0)+N("only adjusted when pool is drawn down during storage season"),Sheet1!$DB12+$DR14+N("Palmer minus all storage release"),Sheet1!$DB12)</f>
        <v>688</v>
      </c>
      <c r="II14" s="541">
        <f>IF(AND($B14&gt;=$GC14,$B14&lt;=$GH14,$DR14&lt;0)+N("only adjusted when pool is drawn down during storage season"),Sheet1!$DA12+$DR14+N("Auburn minus all storage release"),Sheet1!$DA12)</f>
        <v>1190</v>
      </c>
    </row>
    <row r="15" spans="1:243" x14ac:dyDescent="0.25">
      <c r="A15" s="553" t="s">
        <v>6</v>
      </c>
      <c r="B15" s="531">
        <v>42739</v>
      </c>
      <c r="C15" s="536">
        <v>0</v>
      </c>
      <c r="D15" s="506">
        <f t="shared" si="0"/>
        <v>300</v>
      </c>
      <c r="E15" s="506">
        <f t="shared" si="1"/>
        <v>250</v>
      </c>
      <c r="F15" s="506">
        <v>250</v>
      </c>
      <c r="G15" s="535">
        <f>DR15+Sheet1!CZ13</f>
        <v>406.34694906672843</v>
      </c>
      <c r="H15" s="1074">
        <f t="shared" si="96"/>
        <v>195.51415167999997</v>
      </c>
      <c r="I15" s="534">
        <f>IF(Sheet1!DA13&gt;=E15,(Sheet1!DA13-E15+P15)*CFStoMGD,0)</f>
        <v>481.86935167999997</v>
      </c>
      <c r="J15" s="995">
        <f>IF(Sheet1!DB13&gt;=D15,(Sheet1!DB13-D15+P15)*CFStoMGD,0)</f>
        <v>195.51415167999997</v>
      </c>
      <c r="K15" s="818">
        <f t="shared" si="97"/>
        <v>64.64</v>
      </c>
      <c r="L15" s="535">
        <f>Sheet1!AA13+Sheet1!AB13-Sheet1!L13+(Sheet1!DA13-F15)*CFStoMGD-S15-T15-U15</f>
        <v>401.94039999999825</v>
      </c>
      <c r="M15" s="535">
        <f t="shared" si="2"/>
        <v>267.91592123426796</v>
      </c>
      <c r="N15" s="824">
        <f>IF(Sheet1!DA13&gt;=F15,MIN(113*CFStoMGD,MIN(MAX(L15,0),MAX(M15,0))),0)</f>
        <v>73.043199999999999</v>
      </c>
      <c r="O15" s="538">
        <f>Sheet1!AA13+Sheet1!AB13</f>
        <v>54.6</v>
      </c>
      <c r="P15" s="538">
        <f t="shared" si="3"/>
        <v>84.466199999999986</v>
      </c>
      <c r="Q15" s="812">
        <f t="shared" si="98"/>
        <v>0</v>
      </c>
      <c r="R15" s="812">
        <f t="shared" si="59"/>
        <v>9.9579921680313266</v>
      </c>
      <c r="S15" s="812">
        <f t="shared" si="60"/>
        <v>54.6</v>
      </c>
      <c r="T15" s="812">
        <f t="shared" si="61"/>
        <v>0</v>
      </c>
      <c r="U15" s="812">
        <f t="shared" si="99"/>
        <v>0</v>
      </c>
      <c r="V15" s="812"/>
      <c r="W15" s="812">
        <f t="shared" si="62"/>
        <v>54.682007831968676</v>
      </c>
      <c r="X15" s="812">
        <f t="shared" si="63"/>
        <v>54.6</v>
      </c>
      <c r="Y15" s="812" t="str">
        <f t="shared" si="64"/>
        <v/>
      </c>
      <c r="Z15" s="812">
        <f t="shared" si="65"/>
        <v>54.6</v>
      </c>
      <c r="AA15" s="812">
        <f t="shared" si="66"/>
        <v>54.6</v>
      </c>
      <c r="AB15" s="1059">
        <f t="shared" si="100"/>
        <v>0</v>
      </c>
      <c r="AC15" s="538">
        <f>Sheet1!Y13*MGDtoCFS</f>
        <v>40.9955</v>
      </c>
      <c r="AD15" s="538">
        <f>Sheet1!Z13*MGDtoCFS</f>
        <v>40.840799999999994</v>
      </c>
      <c r="AE15" s="538">
        <f>Sheet1!AA13*MGDtoCFS</f>
        <v>41.150199999999998</v>
      </c>
      <c r="AF15" s="538">
        <f>Sheet1!AB13*MGDtoCFS</f>
        <v>43.315999999999995</v>
      </c>
      <c r="AG15" s="538">
        <f>Sheet1!L13*MGDtoCFS</f>
        <v>39.185510000002701</v>
      </c>
      <c r="AH15" s="521">
        <f t="shared" si="67"/>
        <v>0</v>
      </c>
      <c r="AI15" s="1059">
        <f t="shared" si="4"/>
        <v>0</v>
      </c>
      <c r="AJ15" s="535">
        <f t="shared" si="68"/>
        <v>0</v>
      </c>
      <c r="AK15" s="535">
        <f t="shared" si="5"/>
        <v>0</v>
      </c>
      <c r="AL15" s="535">
        <f>(VLOOKUP(Sheet1!DC13,hhdcap_wcm,4)-(((VLOOKUP(Sheet1!DC13,hhdcap_wcm,3)-Sheet1!DC13)/(VLOOKUP(Sheet1!DC13,hhdcap_wcm,3)-VLOOKUP(Sheet1!DC13,hhdcap_wcm,1)))*(VLOOKUP(Sheet1!DC13,hhdcap_wcm,4)-VLOOKUP(Sheet1!DC13,hhdcap_wcm,2))))</f>
        <v>538.00000000202363</v>
      </c>
      <c r="AM15" s="535">
        <f t="shared" si="69"/>
        <v>-269.00000000067757</v>
      </c>
      <c r="AN15" s="1035">
        <f t="shared" si="6"/>
        <v>0</v>
      </c>
      <c r="AO15" s="535">
        <f t="shared" si="7"/>
        <v>0</v>
      </c>
      <c r="AP15" s="535">
        <f>Sheet1!BA13+Sheet1!BB13+Sheet1!BN13+CD15</f>
        <v>18.100000000000001</v>
      </c>
      <c r="AQ15" s="535">
        <f>Sheet1!BN13+(DO15*Sheet1!BN13)</f>
        <v>18.042007831968672</v>
      </c>
      <c r="AR15" s="535">
        <f>Sheet1!BA13+CD15</f>
        <v>0</v>
      </c>
      <c r="AS15" s="535">
        <f>Sheet1!BA13+Sheet1!BB13+CD15</f>
        <v>0</v>
      </c>
      <c r="AT15" s="649">
        <f>0</f>
        <v>0</v>
      </c>
      <c r="AU15" s="535">
        <f>IF(EB15&lt;K15,0,MAX(Sheet1!AA13+AQ15-15/36*K15-N15,Sheet1!EH13,0))</f>
        <v>0</v>
      </c>
      <c r="AV15" s="535">
        <f>IF(OR(B15&gt;=GD15,B15&lt;GC15),0,15/36*K15-MAX(0,64.6-(137.6-(Sheet1!AA13+Sheet1!AB13))))</f>
        <v>0</v>
      </c>
      <c r="AW15" s="1029"/>
      <c r="AX15" s="649"/>
      <c r="AY15" s="649">
        <f t="shared" si="101"/>
        <v>0</v>
      </c>
      <c r="AZ15" s="649">
        <f t="shared" si="102"/>
        <v>0</v>
      </c>
      <c r="BA15" s="1059">
        <f t="shared" si="103"/>
        <v>0</v>
      </c>
      <c r="BB15" s="1019">
        <f t="shared" si="8"/>
        <v>0</v>
      </c>
      <c r="BC15" s="1041">
        <f t="shared" si="104"/>
        <v>26.933333333333334</v>
      </c>
      <c r="BD15" s="1019">
        <f ca="1">IF(B15&gt;Summary!$A$1,#N/A,BB15*MGtoAF)</f>
        <v>0</v>
      </c>
      <c r="BE15" s="535">
        <f>Sheet1!BG13+Sheet1!BH13+Sheet1!BI13-BM15</f>
        <v>1.01</v>
      </c>
      <c r="BF15" s="535">
        <f t="shared" si="9"/>
        <v>1.006763972944108</v>
      </c>
      <c r="BG15" s="535">
        <f>IF(Sheet1!EP13="FM",BM15,0)</f>
        <v>0</v>
      </c>
      <c r="BH15" s="535">
        <f t="shared" si="10"/>
        <v>0</v>
      </c>
      <c r="BI15" s="535">
        <f>IF(Sheet1!EP13="OTHER",BM15,0)</f>
        <v>0</v>
      </c>
      <c r="BJ15" s="535">
        <f t="shared" si="11"/>
        <v>0</v>
      </c>
      <c r="BK15" s="535">
        <f t="shared" si="12"/>
        <v>1.01</v>
      </c>
      <c r="BL15" s="535">
        <f t="shared" si="13"/>
        <v>1.006763972944108</v>
      </c>
      <c r="BM15" s="535">
        <f>IF(OR(Sheet1!EP13="FM", Sheet1!EP13="OTHER"),SUM(Sheet1!BG13:'Sheet1'!BI13),0)</f>
        <v>0</v>
      </c>
      <c r="BN15" s="521">
        <f>IF(AND($B15&gt;=$FV15,$B15&lt;=$FW15),MAX(BF15,Sheet1!EI13,0),MAX(BF15-(7/36)*$K15,0))</f>
        <v>0</v>
      </c>
      <c r="BO15" s="535">
        <f t="shared" si="14"/>
        <v>0</v>
      </c>
      <c r="BP15" s="521">
        <f t="shared" si="15"/>
        <v>1.006763972944108</v>
      </c>
      <c r="BQ15" s="521">
        <f>IF(AND($O15&gt;0,Sheet1!EM13=1),(1-($O15-Sheet1!$L13)/$O15)*BL15,0)</f>
        <v>0</v>
      </c>
      <c r="BR15" s="521">
        <f>IF(AND(Sheet1!$L13=0,Sheet1!$L12=0, Calculation!BK15&lt;Sheet1!$EI13-0.1,Sheet1!$EI13=Sheet1!$EI12,Sheet1!$EI13=Sheet1!$EI14),BL15-BQ15,BL15-BQ15)</f>
        <v>1.006763972944108</v>
      </c>
      <c r="BS15" s="1035" t="str">
        <f t="shared" si="105"/>
        <v/>
      </c>
      <c r="BT15" s="1035">
        <f t="shared" si="106"/>
        <v>12.568888888888889</v>
      </c>
      <c r="BU15" s="535">
        <f t="shared" si="16"/>
        <v>0</v>
      </c>
      <c r="BV15" s="535"/>
      <c r="BW15" s="535">
        <f ca="1">IF(B15&gt;Summary!$A$1,#N/A,BU15*MGtoAF)</f>
        <v>0</v>
      </c>
      <c r="BX15" s="535">
        <f>Sheet1!BC13+Sheet1!BD13+Sheet1!BE13+Sheet1!BF13-CG15-CH15</f>
        <v>2.5</v>
      </c>
      <c r="BY15" s="535">
        <f t="shared" si="17"/>
        <v>2.4919900320398716</v>
      </c>
      <c r="BZ15" s="535">
        <f>IF(Sheet1!EQ13="FM",CH15,0)</f>
        <v>0</v>
      </c>
      <c r="CA15" s="535">
        <f t="shared" si="18"/>
        <v>0</v>
      </c>
      <c r="CB15" s="535">
        <f>IF(Sheet1!EQ13="OTHER",CH15,0)</f>
        <v>0</v>
      </c>
      <c r="CC15" s="535">
        <f t="shared" si="19"/>
        <v>0</v>
      </c>
      <c r="CD15" s="535">
        <f t="shared" si="20"/>
        <v>0</v>
      </c>
      <c r="CE15" s="535">
        <f t="shared" si="21"/>
        <v>2.5</v>
      </c>
      <c r="CF15" s="535">
        <f t="shared" si="22"/>
        <v>2.4919900320398716</v>
      </c>
      <c r="CG15" s="535">
        <f>IF(Sheet1!EQ13="CWA",SUM(Sheet1!BC13:'Sheet1'!BF13),0)</f>
        <v>0</v>
      </c>
      <c r="CH15" s="535">
        <f>IF(OR(Sheet1!EQ13="FM", Sheet1!EQ13="OTHER"),SUM(Sheet1!BC13:'Sheet1'!BF13),0)</f>
        <v>0</v>
      </c>
      <c r="CI15" s="521">
        <f>IF(AND($B15&gt;=$FV15,$B15&lt;=$FW15),MAX(CF15,Sheet1!EJ13,0),MAX(CF15-(7/36)*$K15,0))</f>
        <v>0</v>
      </c>
      <c r="CJ15" s="535">
        <f t="shared" si="23"/>
        <v>0</v>
      </c>
      <c r="CK15" s="521">
        <f t="shared" si="24"/>
        <v>2.4919900320398716</v>
      </c>
      <c r="CL15" s="521">
        <f>IF(AND($O15&gt;0,Sheet1!EN13=1),(1-($O15-Sheet1!$L13)/$O15)*CF15,0)</f>
        <v>0</v>
      </c>
      <c r="CM15" s="521">
        <f>IF(AND(Sheet1!$L13=0,Sheet1!$L12=0, Calculation!CE15&lt;Sheet1!EJ13-0.1,Sheet1!EJ13=Sheet1!EJ12,Sheet1!EJ13=Sheet1!EJ14),CF15-CL15,CF15-CL15)</f>
        <v>2.4919900320398716</v>
      </c>
      <c r="CN15" s="1040" t="str">
        <f t="shared" si="107"/>
        <v/>
      </c>
      <c r="CO15" s="1035">
        <f t="shared" si="108"/>
        <v>12.568888888888889</v>
      </c>
      <c r="CP15" s="535">
        <f t="shared" si="25"/>
        <v>0</v>
      </c>
      <c r="CQ15" s="535"/>
      <c r="CR15" s="535">
        <f ca="1">IF(B15&gt;Summary!$A$1,#N/A,CP15*MGtoAF)</f>
        <v>0</v>
      </c>
      <c r="CS15" s="535">
        <f>Sheet1!BK13+Sheet1!BL13+Sheet1!BM13-Sheet1!ER13-DA15</f>
        <v>6.48</v>
      </c>
      <c r="CT15" s="535">
        <f t="shared" si="26"/>
        <v>6.4592381630473472</v>
      </c>
      <c r="CU15" s="535">
        <f>IF(Sheet1!ER13="FM",DA15,0)</f>
        <v>0</v>
      </c>
      <c r="CV15" s="535">
        <f t="shared" si="27"/>
        <v>0</v>
      </c>
      <c r="CW15" s="535">
        <f>IF(Sheet1!ER13="OTHER",DA15,0)</f>
        <v>0</v>
      </c>
      <c r="CX15" s="535">
        <f t="shared" si="28"/>
        <v>0</v>
      </c>
      <c r="CY15" s="535">
        <f t="shared" si="29"/>
        <v>6.48</v>
      </c>
      <c r="CZ15" s="535">
        <f t="shared" si="30"/>
        <v>6.4592381630473472</v>
      </c>
      <c r="DA15" s="535">
        <f>IF(OR(Sheet1!ER13="FM", Sheet1!ER13="OTHER"),SUM(Sheet1!BK13:'Sheet1'!BM13),0)</f>
        <v>0</v>
      </c>
      <c r="DB15" s="1011">
        <f>IF(AND($B15&gt;=$FV15,$B15&lt;=$FW15),MAX($CT15,Sheet1!EK13,0),MAX($CT15-(7/36)*$K15,0))</f>
        <v>0</v>
      </c>
      <c r="DC15" s="1012">
        <f t="shared" si="31"/>
        <v>0</v>
      </c>
      <c r="DD15" s="1011">
        <f t="shared" si="32"/>
        <v>6.4592381630473472</v>
      </c>
      <c r="DE15" s="521">
        <f>IF(AND($O15&gt;0,Sheet1!EO13=1),(1-($O15-Sheet1!$L13)/$O15)*CZ15,0)</f>
        <v>0</v>
      </c>
      <c r="DF15" s="521">
        <f>IF(AND(Sheet1!$L13=0,Sheet1!$L12=0, Calculation!CY15&lt;Sheet1!$EK13-0.1,Sheet1!$EK13=Sheet1!$EK12,Sheet1!$EK13=Sheet1!$EK14),CZ15-DE15,CZ15-DE15)</f>
        <v>6.4592381630473472</v>
      </c>
      <c r="DG15" s="1040">
        <f t="shared" si="109"/>
        <v>12.568888888888889</v>
      </c>
      <c r="DH15" s="649">
        <f t="shared" si="33"/>
        <v>9.99</v>
      </c>
      <c r="DI15" s="535">
        <f t="shared" si="34"/>
        <v>0</v>
      </c>
      <c r="DJ15" s="649">
        <f t="shared" si="35"/>
        <v>9.9579921680313266</v>
      </c>
      <c r="DK15" s="535">
        <f ca="1">IF(B15&gt;Summary!$A$1,#N/A,DI15*MGtoAF)</f>
        <v>0</v>
      </c>
      <c r="DL15" s="649">
        <f t="shared" si="36"/>
        <v>9.99</v>
      </c>
      <c r="DM15" s="535">
        <f t="shared" si="37"/>
        <v>28.090000000000003</v>
      </c>
      <c r="DN15" s="535">
        <f>Sheet1!AB13-DM15</f>
        <v>-9.0000000000003411E-2</v>
      </c>
      <c r="DO15" s="743">
        <f t="shared" si="38"/>
        <v>-3.203987184051385E-3</v>
      </c>
      <c r="DP15" s="535">
        <f>(VLOOKUP(Sheet1!DC13,hhdcap_wcm,4)-(((VLOOKUP(Sheet1!DC13,hhdcap_wcm,3)-Sheet1!DC13)/(VLOOKUP(Sheet1!DC13,hhdcap_wcm,3)-VLOOKUP(Sheet1!DC13,hhdcap_wcm,1)))*(VLOOKUP(Sheet1!DC13,hhdcap_wcm,4)-VLOOKUP(Sheet1!DC13,hhdcap_wcm,2))))</f>
        <v>538.00000000202363</v>
      </c>
      <c r="DQ15" s="535">
        <f t="shared" si="70"/>
        <v>-269.00000000067757</v>
      </c>
      <c r="DR15" s="535">
        <f t="shared" si="39"/>
        <v>-135.65305093327157</v>
      </c>
      <c r="DS15" s="535">
        <f>Sheet1!EA13*AFtoMG</f>
        <v>0</v>
      </c>
      <c r="DT15" s="535">
        <f>Sheet1!EB13*AFtoMG</f>
        <v>0</v>
      </c>
      <c r="DU15" s="535">
        <f>Sheet1!EC13*AFtoMG</f>
        <v>0</v>
      </c>
      <c r="DV15" s="535">
        <f>Sheet1!ED13*AFtoMG</f>
        <v>0</v>
      </c>
      <c r="DW15" s="535">
        <f t="shared" si="40"/>
        <v>0</v>
      </c>
      <c r="DX15" s="535">
        <f t="shared" si="41"/>
        <v>0</v>
      </c>
      <c r="DY15" s="535">
        <f t="shared" si="42"/>
        <v>0</v>
      </c>
      <c r="DZ15" s="535">
        <f t="shared" si="43"/>
        <v>0</v>
      </c>
      <c r="EA15" s="535"/>
      <c r="EB15" s="521">
        <f>IF(OR(B15&lt;FV15,B15&gt;FW15),(MIN(BF15+BY15+CT15+MAX(Sheet1!AA13+AQ15-73,0),K15)),0)</f>
        <v>9.9579921680313266</v>
      </c>
      <c r="EC15" s="535"/>
      <c r="ED15" s="535">
        <f t="shared" si="44"/>
        <v>9.9579921680313266</v>
      </c>
      <c r="EE15" s="535"/>
      <c r="EF15" s="535">
        <f>Sheet1!EH13+Sheet1!EI13+Sheet1!EJ13+Sheet1!EK13</f>
        <v>10</v>
      </c>
      <c r="EG15" s="1019">
        <f t="shared" si="110"/>
        <v>15.469999999999999</v>
      </c>
      <c r="EH15" s="521">
        <f t="shared" si="45"/>
        <v>0</v>
      </c>
      <c r="EI15" s="535">
        <f>IF(Sheet1!ET13=1,SUM('Calculations II'!AT15:BA15)+'Calculations II'!BC15+Sheet1!BV13+'Calculations II'!BE15+AP15,'Calculations II'!BK15)</f>
        <v>45.673441831968667</v>
      </c>
      <c r="EJ15" s="535">
        <f ca="1">EI15+'Calculations II'!D15+'Calculations II'!E15+'Calculations II'!O15</f>
        <v>43.829969868778775</v>
      </c>
      <c r="EK15" s="535"/>
      <c r="EL15" s="535"/>
      <c r="EM15" s="535">
        <f t="shared" si="46"/>
        <v>42739</v>
      </c>
      <c r="EN15" s="535">
        <f t="shared" si="47"/>
        <v>0</v>
      </c>
      <c r="EO15" s="535">
        <f t="shared" si="48"/>
        <v>0</v>
      </c>
      <c r="EP15" s="535">
        <v>0</v>
      </c>
      <c r="EQ15" s="535">
        <v>0</v>
      </c>
      <c r="ER15" s="535">
        <v>0</v>
      </c>
      <c r="ES15" s="521">
        <f t="shared" si="71"/>
        <v>1.5233004926488176</v>
      </c>
      <c r="ET15" s="535">
        <f>-(VLOOKUP(Sheet1!BQ13,Lookup!$O$4:$Q$262,2)-VLOOKUP(Sheet1!BQ12,Lookup!$O$4:$Q$262,2))/1000000</f>
        <v>0.69229571558341008</v>
      </c>
      <c r="EU15" s="535">
        <f>-(VLOOKUP(Sheet1!BR13,Lookup!$O$4:$Q$262,3)-VLOOKUP(Sheet1!BR12,Lookup!$O$4:$Q$262,3))/1000000</f>
        <v>0.83100477706540743</v>
      </c>
      <c r="EV15" s="535"/>
      <c r="EW15" s="535"/>
      <c r="EX15" s="535"/>
      <c r="EY15" s="535"/>
      <c r="EZ15" s="535"/>
      <c r="FA15" s="535"/>
      <c r="FB15" s="535"/>
      <c r="FC15" s="535"/>
      <c r="FD15" s="567" t="e">
        <f t="shared" si="72"/>
        <v>#N/A</v>
      </c>
      <c r="FE15" s="567" t="e">
        <f t="shared" si="73"/>
        <v>#N/A</v>
      </c>
      <c r="FF15" s="568" t="e">
        <f t="shared" si="49"/>
        <v>#N/A</v>
      </c>
      <c r="FG15" s="569" t="s">
        <v>656</v>
      </c>
      <c r="FH15" s="569" t="s">
        <v>656</v>
      </c>
      <c r="FI15" s="567" t="e">
        <v>#N/A</v>
      </c>
      <c r="FJ15" s="567" t="e">
        <v>#N/A</v>
      </c>
      <c r="FK15" s="535"/>
      <c r="FL15" s="1015">
        <v>0</v>
      </c>
      <c r="FM15" s="535"/>
      <c r="FN15" s="535"/>
      <c r="FO15" s="535">
        <f>O15+((Sheet1!CS13)*GPMtoMGD)</f>
        <v>54.6</v>
      </c>
      <c r="FP15" s="535">
        <f>IF(Sheet1!AA13+AQ15&lt;=Calculation!N15,AQ15,Calculation!N15-Sheet1!AA13)</f>
        <v>18.042007831968672</v>
      </c>
      <c r="FQ15" s="535">
        <f>(Sheet1!BP13+Sheet1!BO13)/694.4</f>
        <v>1.694556451612903</v>
      </c>
      <c r="FR15" s="541"/>
      <c r="FS15" s="541"/>
      <c r="FT15" s="541"/>
      <c r="FU15" s="541"/>
      <c r="FV15" s="1109">
        <f t="shared" si="74"/>
        <v>42918</v>
      </c>
      <c r="FW15" s="1109">
        <f t="shared" si="75"/>
        <v>43027</v>
      </c>
      <c r="FX15" s="541"/>
      <c r="FY15" s="541">
        <f>Sheet1!DA13-Sheet1!CZ13-Sheet1!AE13</f>
        <v>323.71931000000268</v>
      </c>
      <c r="FZ15" s="535">
        <f t="shared" si="111"/>
        <v>0.79665741490984587</v>
      </c>
      <c r="GA15" s="535"/>
      <c r="GB15" s="535" t="str">
        <f t="shared" si="76"/>
        <v>n</v>
      </c>
      <c r="GC15" s="539">
        <f t="shared" si="77"/>
        <v>42782</v>
      </c>
      <c r="GD15" s="1109">
        <f t="shared" si="78"/>
        <v>42904</v>
      </c>
      <c r="GE15" s="535">
        <f t="shared" si="95"/>
        <v>6520</v>
      </c>
      <c r="GF15" s="1109">
        <f t="shared" si="79"/>
        <v>42909</v>
      </c>
      <c r="GG15" s="535">
        <f t="shared" si="50"/>
        <v>3260</v>
      </c>
      <c r="GH15" s="539">
        <f t="shared" si="80"/>
        <v>43040</v>
      </c>
      <c r="GJ15" s="521">
        <f t="shared" si="81"/>
        <v>0</v>
      </c>
      <c r="GK15" s="535" t="str">
        <f t="shared" si="51"/>
        <v/>
      </c>
      <c r="GL15" s="535">
        <f t="shared" si="82"/>
        <v>0</v>
      </c>
      <c r="GM15" s="535" t="str">
        <f t="shared" si="83"/>
        <v/>
      </c>
      <c r="GN15" s="535">
        <f>IF(GK15="P",Lookup!$M$12,IF(GK15="PP",Lookup!$M$13,IF(GK15="PPP",Lookup!$M$14,IF(GK15="T",Lookup!$M$15,IF(GK15="TP",Lookup!$M$16,IF(GK15="TPP",Lookup!$M$17,IF(GK15="TPPP",Lookup!$M$18,0)))))))*GJ15</f>
        <v>0</v>
      </c>
      <c r="GO15" s="535">
        <f t="shared" si="84"/>
        <v>0</v>
      </c>
      <c r="GP15" s="535">
        <f t="shared" si="52"/>
        <v>0</v>
      </c>
      <c r="GQ15" s="535">
        <f t="shared" si="94"/>
        <v>0</v>
      </c>
      <c r="GR15" s="535"/>
      <c r="GS15" s="535">
        <f t="shared" si="85"/>
        <v>0</v>
      </c>
      <c r="GT15" s="535" t="str">
        <f t="shared" si="86"/>
        <v/>
      </c>
      <c r="GU15" s="535">
        <f>IF(GK15="P",Lookup!$N$12,IF(GK15="PP",Lookup!$N$13,IF(GK15="PPP",Lookup!$N$14,IF(GK15="T",Lookup!$N$15,IF(GK15="TP",Lookup!$N$16,IF(GK15="TPP",Lookup!$N$17,IF(GK15="TPPP",Lookup!$N$18,0)))))))*GJ15</f>
        <v>0</v>
      </c>
      <c r="GV15" s="535">
        <f t="shared" si="53"/>
        <v>0</v>
      </c>
      <c r="GW15" s="535">
        <f t="shared" si="54"/>
        <v>0</v>
      </c>
      <c r="GX15" s="535">
        <f t="shared" si="91"/>
        <v>0</v>
      </c>
      <c r="GY15" s="535"/>
      <c r="GZ15" s="535">
        <f t="shared" si="87"/>
        <v>0</v>
      </c>
      <c r="HA15" s="535" t="str">
        <f t="shared" si="88"/>
        <v/>
      </c>
      <c r="HB15" s="535">
        <f>IF(GK15="P",Lookup!$N$12,IF(GK15="PP",Lookup!$N$13,IF(GK15="PPP",Lookup!$N$14,IF(GK15="T",Lookup!$N$15,IF(GK15="TP",Lookup!$N$16,IF(GK15="TPP",Lookup!$N$17,IF(GK15="TPPP",Lookup!$N$18,0)))))))*GJ15</f>
        <v>0</v>
      </c>
      <c r="HC15" s="521">
        <f t="shared" si="55"/>
        <v>0</v>
      </c>
      <c r="HD15" s="535">
        <f t="shared" si="56"/>
        <v>0</v>
      </c>
      <c r="HE15" s="535">
        <f t="shared" si="92"/>
        <v>0</v>
      </c>
      <c r="HF15" s="535"/>
      <c r="HG15" s="535">
        <f t="shared" si="89"/>
        <v>0</v>
      </c>
      <c r="HH15" s="535" t="str">
        <f t="shared" si="90"/>
        <v/>
      </c>
      <c r="HI15" s="535">
        <f>IF(GK15="P",Lookup!$N$12,IF(GK15="PP",Lookup!$N$13,IF(GK15="PPP",Lookup!$N$14,IF(GK15="T",Lookup!$N$15,IF(GK15="TP",Lookup!$N$16,IF(GK15="TPP",Lookup!$N$17,IF(GK15="TPPP",Lookup!$N$18,0)))))))*GJ15</f>
        <v>0</v>
      </c>
      <c r="HJ15" s="521">
        <f t="shared" si="57"/>
        <v>0</v>
      </c>
      <c r="HK15" s="535">
        <f t="shared" si="58"/>
        <v>0</v>
      </c>
      <c r="HL15" s="535">
        <f t="shared" si="93"/>
        <v>0</v>
      </c>
      <c r="HM15" s="535"/>
      <c r="HN15" s="541"/>
      <c r="HO15" s="541"/>
      <c r="HP15" s="541"/>
      <c r="HQ15" s="541">
        <f>IF(AND(B15&gt;=$FV$4,B15&lt;=$FW$4),MAX(110/1.02+$HQ$6+MIN(113/1.02,G15),IF($HV$6-(Sheet1!DA13-Sheet1!DB13)+MIN(113/1.02,G15)&lt;G15+FL15,$HV$6-(Sheet1!DA13-Sheet1!DB13)+MIN(113/1.02,G15),G15+FL15)),MIN(110/1.02+$HQ$6+113/1.02,G15))</f>
        <v>218.62745098039215</v>
      </c>
      <c r="HR15" s="541">
        <f t="shared" si="112"/>
        <v>223</v>
      </c>
      <c r="HS15" s="541">
        <f>HR15+(Sheet1!DA13-Sheet1!DB13)</f>
        <v>616</v>
      </c>
      <c r="HT15" s="541">
        <f t="shared" si="113"/>
        <v>0</v>
      </c>
      <c r="HU15" s="541">
        <f t="shared" si="114"/>
        <v>616</v>
      </c>
      <c r="HV15" s="541">
        <f t="shared" si="115"/>
        <v>0</v>
      </c>
      <c r="HW15" s="533" t="str">
        <f t="shared" si="116"/>
        <v/>
      </c>
      <c r="HX15" s="541">
        <f t="shared" si="117"/>
        <v>323.37254901960785</v>
      </c>
      <c r="HY15" s="541">
        <f>Sheet1!CZ13</f>
        <v>542</v>
      </c>
      <c r="HZ15" s="541">
        <f t="shared" si="118"/>
        <v>0</v>
      </c>
      <c r="IA15" s="541">
        <f t="shared" si="119"/>
        <v>0</v>
      </c>
      <c r="IB15" s="541">
        <f t="shared" si="120"/>
        <v>542</v>
      </c>
      <c r="IC15" s="1019" t="str">
        <f t="shared" si="121"/>
        <v/>
      </c>
      <c r="ID15" s="541">
        <f t="shared" si="122"/>
        <v>542</v>
      </c>
      <c r="IE15" s="541">
        <f>Sheet1!DB13</f>
        <v>518</v>
      </c>
      <c r="IF15" s="533">
        <f>Sheet1!DA13</f>
        <v>911</v>
      </c>
      <c r="IH15" s="541">
        <f>IF(AND($B15&gt;=$GC15,$B15&lt;=$GH15,$DR15&lt;0)+N("only adjusted when pool is drawn down during storage season"),Sheet1!$DB13+$DR15+N("Palmer minus all storage release"),Sheet1!$DB13)</f>
        <v>518</v>
      </c>
      <c r="II15" s="541">
        <f>IF(AND($B15&gt;=$GC15,$B15&lt;=$GH15,$DR15&lt;0)+N("only adjusted when pool is drawn down during storage season"),Sheet1!$DA13+$DR15+N("Auburn minus all storage release"),Sheet1!$DA13)</f>
        <v>911</v>
      </c>
    </row>
    <row r="16" spans="1:243" x14ac:dyDescent="0.25">
      <c r="A16" s="553" t="s">
        <v>7</v>
      </c>
      <c r="B16" s="531">
        <v>42740</v>
      </c>
      <c r="C16" s="532">
        <v>0</v>
      </c>
      <c r="D16" s="506">
        <f t="shared" si="0"/>
        <v>300</v>
      </c>
      <c r="E16" s="506">
        <f t="shared" si="1"/>
        <v>250</v>
      </c>
      <c r="F16" s="506">
        <v>250</v>
      </c>
      <c r="G16" s="535">
        <f>DR16+Sheet1!CZ14</f>
        <v>470.43318204753018</v>
      </c>
      <c r="H16" s="1074">
        <f t="shared" si="96"/>
        <v>129.51135302399999</v>
      </c>
      <c r="I16" s="534">
        <f>IF(Sheet1!DA14&gt;=E16,(Sheet1!DA14-E16+P16)*CFStoMGD,0)</f>
        <v>426.20895302399992</v>
      </c>
      <c r="J16" s="995">
        <f>IF(Sheet1!DB14&gt;=D16,(Sheet1!DB14-D16+P16)*CFStoMGD,0)</f>
        <v>129.51135302399999</v>
      </c>
      <c r="K16" s="818">
        <f t="shared" si="97"/>
        <v>64.64</v>
      </c>
      <c r="L16" s="535">
        <f>Sheet1!AA14+Sheet1!AB14-Sheet1!L14+(Sheet1!DA14-F16)*CFStoMGD-S16-T16-U16</f>
        <v>332.83000000000152</v>
      </c>
      <c r="M16" s="535">
        <f t="shared" si="2"/>
        <v>310.16976905303397</v>
      </c>
      <c r="N16" s="824">
        <f>IF(Sheet1!DA14&gt;=F16,MIN(113*CFStoMGD,MIN(MAX(L16,0),MAX(M16,0))),0)</f>
        <v>73.043199999999999</v>
      </c>
      <c r="O16" s="538">
        <f>Sheet1!AA14+Sheet1!AB14</f>
        <v>54.53</v>
      </c>
      <c r="P16" s="538">
        <f t="shared" si="3"/>
        <v>84.357910000000004</v>
      </c>
      <c r="Q16" s="812">
        <f t="shared" si="98"/>
        <v>0</v>
      </c>
      <c r="R16" s="812">
        <f t="shared" si="59"/>
        <v>9.9202743142144634</v>
      </c>
      <c r="S16" s="812">
        <f t="shared" si="60"/>
        <v>54.53</v>
      </c>
      <c r="T16" s="812">
        <f t="shared" si="61"/>
        <v>0</v>
      </c>
      <c r="U16" s="812">
        <f t="shared" si="99"/>
        <v>0</v>
      </c>
      <c r="V16" s="812"/>
      <c r="W16" s="812">
        <f t="shared" si="62"/>
        <v>54.719725685785534</v>
      </c>
      <c r="X16" s="812">
        <f t="shared" si="63"/>
        <v>54.53</v>
      </c>
      <c r="Y16" s="812" t="str">
        <f t="shared" si="64"/>
        <v/>
      </c>
      <c r="Z16" s="812">
        <f t="shared" si="65"/>
        <v>54.53</v>
      </c>
      <c r="AA16" s="812">
        <f t="shared" si="66"/>
        <v>54.53</v>
      </c>
      <c r="AB16" s="1059">
        <f t="shared" si="100"/>
        <v>0</v>
      </c>
      <c r="AC16" s="538">
        <f>Sheet1!Y14*MGDtoCFS</f>
        <v>41.150199999999998</v>
      </c>
      <c r="AD16" s="538">
        <f>Sheet1!Z14*MGDtoCFS</f>
        <v>43.315999999999995</v>
      </c>
      <c r="AE16" s="538">
        <f>Sheet1!AA14*MGDtoCFS</f>
        <v>41.150199999999998</v>
      </c>
      <c r="AF16" s="538">
        <f>Sheet1!AB14*MGDtoCFS</f>
        <v>43.207709999999999</v>
      </c>
      <c r="AG16" s="538">
        <f>Sheet1!L14*MGDtoCFS</f>
        <v>60.100949999997745</v>
      </c>
      <c r="AH16" s="521">
        <f t="shared" si="67"/>
        <v>0</v>
      </c>
      <c r="AI16" s="1059">
        <f t="shared" si="4"/>
        <v>0</v>
      </c>
      <c r="AJ16" s="535">
        <f t="shared" si="68"/>
        <v>0</v>
      </c>
      <c r="AK16" s="535">
        <f t="shared" si="5"/>
        <v>0</v>
      </c>
      <c r="AL16" s="535">
        <f>(VLOOKUP(Sheet1!DC14,hhdcap_wcm,4)-(((VLOOKUP(Sheet1!DC14,hhdcap_wcm,3)-Sheet1!DC14)/(VLOOKUP(Sheet1!DC14,hhdcap_wcm,3)-VLOOKUP(Sheet1!DC14,hhdcap_wcm,1)))*(VLOOKUP(Sheet1!DC14,hhdcap_wcm,4)-VLOOKUP(Sheet1!DC14,hhdcap_wcm,2))))</f>
        <v>592.40000000227599</v>
      </c>
      <c r="AM16" s="535">
        <f t="shared" si="69"/>
        <v>54.400000000252362</v>
      </c>
      <c r="AN16" s="1035">
        <f t="shared" si="6"/>
        <v>0</v>
      </c>
      <c r="AO16" s="535">
        <f t="shared" si="7"/>
        <v>0</v>
      </c>
      <c r="AP16" s="535">
        <f>Sheet1!BA14+Sheet1!BB14+Sheet1!BN14+CD16</f>
        <v>18.100000000000001</v>
      </c>
      <c r="AQ16" s="535">
        <f>Sheet1!BN14+(DO16*Sheet1!BN14)</f>
        <v>18.009725685785536</v>
      </c>
      <c r="AR16" s="535">
        <f>Sheet1!BA14+CD16</f>
        <v>0</v>
      </c>
      <c r="AS16" s="535">
        <f>Sheet1!BA14+Sheet1!BB14+CD16</f>
        <v>0</v>
      </c>
      <c r="AT16" s="649">
        <f>0</f>
        <v>0</v>
      </c>
      <c r="AU16" s="535">
        <f>IF(EB16&lt;K16,0,MAX(Sheet1!AA14+AQ16-15/36*K16-N16,Sheet1!EH14,0))</f>
        <v>0</v>
      </c>
      <c r="AV16" s="535">
        <f>IF(OR(B16&gt;=GD16,B16&lt;GC16),0,15/36*K16-MAX(0,64.6-(137.6-(Sheet1!AA14+Sheet1!AB14))))</f>
        <v>0</v>
      </c>
      <c r="AW16" s="1029"/>
      <c r="AX16" s="649"/>
      <c r="AY16" s="649">
        <f t="shared" si="101"/>
        <v>0</v>
      </c>
      <c r="AZ16" s="649">
        <f t="shared" si="102"/>
        <v>0</v>
      </c>
      <c r="BA16" s="1059">
        <f t="shared" si="103"/>
        <v>0</v>
      </c>
      <c r="BB16" s="1019">
        <f t="shared" si="8"/>
        <v>0</v>
      </c>
      <c r="BC16" s="1041">
        <f t="shared" si="104"/>
        <v>26.933333333333334</v>
      </c>
      <c r="BD16" s="1019">
        <f ca="1">IF(B16&gt;Summary!$A$1,#N/A,BB16*MGtoAF)</f>
        <v>0</v>
      </c>
      <c r="BE16" s="535">
        <f>Sheet1!BG14+Sheet1!BH14+Sheet1!BI14-BM16</f>
        <v>1.01</v>
      </c>
      <c r="BF16" s="535">
        <f t="shared" si="9"/>
        <v>1.0049625935162094</v>
      </c>
      <c r="BG16" s="535">
        <f>IF(Sheet1!EP14="FM",BM16,0)</f>
        <v>0</v>
      </c>
      <c r="BH16" s="535">
        <f t="shared" si="10"/>
        <v>0</v>
      </c>
      <c r="BI16" s="535">
        <f>IF(Sheet1!EP14="OTHER",BM16,0)</f>
        <v>0</v>
      </c>
      <c r="BJ16" s="535">
        <f t="shared" si="11"/>
        <v>0</v>
      </c>
      <c r="BK16" s="535">
        <f t="shared" si="12"/>
        <v>1.01</v>
      </c>
      <c r="BL16" s="535">
        <f t="shared" si="13"/>
        <v>1.0049625935162094</v>
      </c>
      <c r="BM16" s="535">
        <f>IF(OR(Sheet1!EP14="FM", Sheet1!EP14="OTHER"),SUM(Sheet1!BG14:'Sheet1'!BI14),0)</f>
        <v>0</v>
      </c>
      <c r="BN16" s="521">
        <f>IF(AND($B16&gt;=$FV16,$B16&lt;=$FW16),MAX(BF16,Sheet1!EI14,0),MAX(BF16-(7/36)*$K16,0))</f>
        <v>0</v>
      </c>
      <c r="BO16" s="535">
        <f t="shared" si="14"/>
        <v>0</v>
      </c>
      <c r="BP16" s="521">
        <f t="shared" si="15"/>
        <v>1.0049625935162094</v>
      </c>
      <c r="BQ16" s="521">
        <f>IF(AND($O16&gt;0,Sheet1!EM14=1),(1-($O16-Sheet1!$L14)/$O16)*BL16,0)</f>
        <v>0</v>
      </c>
      <c r="BR16" s="521">
        <f>IF(AND(Sheet1!$L14=0,Sheet1!$L13=0, Calculation!BK16&lt;Sheet1!$EI14-0.1,Sheet1!$EI14=Sheet1!$EI13,Sheet1!$EI14=Sheet1!$EI15),BL16-BQ16,BL16-BQ16)</f>
        <v>1.0049625935162094</v>
      </c>
      <c r="BS16" s="1035" t="str">
        <f t="shared" si="105"/>
        <v/>
      </c>
      <c r="BT16" s="1035">
        <f t="shared" si="106"/>
        <v>12.568888888888889</v>
      </c>
      <c r="BU16" s="535">
        <f t="shared" si="16"/>
        <v>0</v>
      </c>
      <c r="BV16" s="535"/>
      <c r="BW16" s="535">
        <f ca="1">IF(B16&gt;Summary!$A$1,#N/A,BU16*MGtoAF)</f>
        <v>0</v>
      </c>
      <c r="BX16" s="535">
        <f>Sheet1!BC14+Sheet1!BD14+Sheet1!BE14+Sheet1!BF14-CG16-CH16</f>
        <v>2.4900000000000002</v>
      </c>
      <c r="BY16" s="535">
        <f t="shared" si="17"/>
        <v>2.4775810473815465</v>
      </c>
      <c r="BZ16" s="535">
        <f>IF(Sheet1!EQ14="FM",CH16,0)</f>
        <v>0</v>
      </c>
      <c r="CA16" s="535">
        <f t="shared" si="18"/>
        <v>0</v>
      </c>
      <c r="CB16" s="535">
        <f>IF(Sheet1!EQ14="OTHER",CH16,0)</f>
        <v>0</v>
      </c>
      <c r="CC16" s="535">
        <f t="shared" si="19"/>
        <v>0</v>
      </c>
      <c r="CD16" s="535">
        <f t="shared" si="20"/>
        <v>0</v>
      </c>
      <c r="CE16" s="535">
        <f t="shared" si="21"/>
        <v>2.4900000000000002</v>
      </c>
      <c r="CF16" s="535">
        <f t="shared" si="22"/>
        <v>2.4775810473815465</v>
      </c>
      <c r="CG16" s="535">
        <f>IF(Sheet1!EQ14="CWA",SUM(Sheet1!BC14:'Sheet1'!BF14),0)</f>
        <v>0</v>
      </c>
      <c r="CH16" s="535">
        <f>IF(OR(Sheet1!EQ14="FM", Sheet1!EQ14="OTHER"),SUM(Sheet1!BC14:'Sheet1'!BF14),0)</f>
        <v>0</v>
      </c>
      <c r="CI16" s="521">
        <f>IF(AND($B16&gt;=$FV16,$B16&lt;=$FW16),MAX(CF16,Sheet1!EJ14,0),MAX(CF16-(7/36)*$K16,0))</f>
        <v>0</v>
      </c>
      <c r="CJ16" s="535">
        <f t="shared" si="23"/>
        <v>0</v>
      </c>
      <c r="CK16" s="521">
        <f t="shared" si="24"/>
        <v>2.4775810473815465</v>
      </c>
      <c r="CL16" s="521">
        <f>IF(AND($O16&gt;0,Sheet1!EN14=1),(1-($O16-Sheet1!$L14)/$O16)*CF16,0)</f>
        <v>0</v>
      </c>
      <c r="CM16" s="521">
        <f>IF(AND(Sheet1!$L14=0,Sheet1!$L13=0, Calculation!CE16&lt;Sheet1!EJ14-0.1,Sheet1!EJ14=Sheet1!EJ13,Sheet1!EJ14=Sheet1!EJ15),CF16-CL16,CF16-CL16)</f>
        <v>2.4775810473815465</v>
      </c>
      <c r="CN16" s="1040" t="str">
        <f t="shared" si="107"/>
        <v/>
      </c>
      <c r="CO16" s="1035">
        <f t="shared" si="108"/>
        <v>12.568888888888889</v>
      </c>
      <c r="CP16" s="535">
        <f t="shared" si="25"/>
        <v>0</v>
      </c>
      <c r="CQ16" s="535"/>
      <c r="CR16" s="535">
        <f ca="1">IF(B16&gt;Summary!$A$1,#N/A,CP16*MGtoAF)</f>
        <v>0</v>
      </c>
      <c r="CS16" s="535">
        <f>Sheet1!BK14+Sheet1!BL14+Sheet1!BM14-Sheet1!ER14-DA16</f>
        <v>6.4700000000000006</v>
      </c>
      <c r="CT16" s="535">
        <f t="shared" si="26"/>
        <v>6.4377306733167083</v>
      </c>
      <c r="CU16" s="535">
        <f>IF(Sheet1!ER14="FM",DA16,0)</f>
        <v>0</v>
      </c>
      <c r="CV16" s="535">
        <f t="shared" si="27"/>
        <v>0</v>
      </c>
      <c r="CW16" s="535">
        <f>IF(Sheet1!ER14="OTHER",DA16,0)</f>
        <v>0</v>
      </c>
      <c r="CX16" s="535">
        <f t="shared" si="28"/>
        <v>0</v>
      </c>
      <c r="CY16" s="535">
        <f t="shared" si="29"/>
        <v>6.4700000000000006</v>
      </c>
      <c r="CZ16" s="535">
        <f t="shared" si="30"/>
        <v>6.4377306733167083</v>
      </c>
      <c r="DA16" s="535">
        <f>IF(OR(Sheet1!ER14="FM", Sheet1!ER14="OTHER"),SUM(Sheet1!BK14:'Sheet1'!BM14),0)</f>
        <v>0</v>
      </c>
      <c r="DB16" s="1011">
        <f>IF(AND($B16&gt;=$FV16,$B16&lt;=$FW16),MAX($CT16,Sheet1!EK14,0),MAX($CT16-(7/36)*$K16,0))</f>
        <v>0</v>
      </c>
      <c r="DC16" s="1012">
        <f t="shared" si="31"/>
        <v>0</v>
      </c>
      <c r="DD16" s="1011">
        <f t="shared" si="32"/>
        <v>6.4377306733167083</v>
      </c>
      <c r="DE16" s="521">
        <f>IF(AND($O16&gt;0,Sheet1!EO14=1),(1-($O16-Sheet1!$L14)/$O16)*CZ16,0)</f>
        <v>0</v>
      </c>
      <c r="DF16" s="521">
        <f>IF(AND(Sheet1!$L14=0,Sheet1!$L13=0, Calculation!CY16&lt;Sheet1!$EK14-0.1,Sheet1!$EK14=Sheet1!$EK13,Sheet1!$EK14=Sheet1!$EK15),CZ16-DE16,CZ16-DE16)</f>
        <v>6.4377306733167083</v>
      </c>
      <c r="DG16" s="1040">
        <f t="shared" si="109"/>
        <v>12.568888888888889</v>
      </c>
      <c r="DH16" s="649">
        <f t="shared" si="33"/>
        <v>9.9700000000000006</v>
      </c>
      <c r="DI16" s="535">
        <f t="shared" si="34"/>
        <v>0</v>
      </c>
      <c r="DJ16" s="649">
        <f t="shared" si="35"/>
        <v>9.9202743142144634</v>
      </c>
      <c r="DK16" s="535">
        <f ca="1">IF(B16&gt;Summary!$A$1,#N/A,DI16*MGtoAF)</f>
        <v>0</v>
      </c>
      <c r="DL16" s="649">
        <f t="shared" si="36"/>
        <v>9.9700000000000006</v>
      </c>
      <c r="DM16" s="535">
        <f t="shared" si="37"/>
        <v>28.07</v>
      </c>
      <c r="DN16" s="535">
        <f>Sheet1!AB14-DM16</f>
        <v>-0.14000000000000057</v>
      </c>
      <c r="DO16" s="743">
        <f t="shared" si="38"/>
        <v>-4.9875311720698453E-3</v>
      </c>
      <c r="DP16" s="535">
        <f>(VLOOKUP(Sheet1!DC14,hhdcap_wcm,4)-(((VLOOKUP(Sheet1!DC14,hhdcap_wcm,3)-Sheet1!DC14)/(VLOOKUP(Sheet1!DC14,hhdcap_wcm,3)-VLOOKUP(Sheet1!DC14,hhdcap_wcm,1)))*(VLOOKUP(Sheet1!DC14,hhdcap_wcm,4)-VLOOKUP(Sheet1!DC14,hhdcap_wcm,2))))</f>
        <v>592.40000000227599</v>
      </c>
      <c r="DQ16" s="535">
        <f t="shared" si="70"/>
        <v>54.400000000252362</v>
      </c>
      <c r="DR16" s="535">
        <f t="shared" si="39"/>
        <v>27.433182047530185</v>
      </c>
      <c r="DS16" s="535">
        <f>Sheet1!EA14*AFtoMG</f>
        <v>0</v>
      </c>
      <c r="DT16" s="535">
        <f>Sheet1!EB14*AFtoMG</f>
        <v>0</v>
      </c>
      <c r="DU16" s="535">
        <f>Sheet1!EC14*AFtoMG</f>
        <v>0</v>
      </c>
      <c r="DV16" s="535">
        <f>Sheet1!ED14*AFtoMG</f>
        <v>0</v>
      </c>
      <c r="DW16" s="535">
        <f t="shared" si="40"/>
        <v>0</v>
      </c>
      <c r="DX16" s="535">
        <f t="shared" si="41"/>
        <v>0</v>
      </c>
      <c r="DY16" s="535">
        <f t="shared" si="42"/>
        <v>0</v>
      </c>
      <c r="DZ16" s="535">
        <f t="shared" si="43"/>
        <v>0</v>
      </c>
      <c r="EA16" s="535"/>
      <c r="EB16" s="521">
        <f>IF(OR(B16&lt;FV16,B16&gt;FW16),(MIN(BF16+BY16+CT16+MAX(Sheet1!AA14+AQ16-73,0),K16)),0)</f>
        <v>9.9202743142144634</v>
      </c>
      <c r="EC16" s="535"/>
      <c r="ED16" s="535">
        <f t="shared" si="44"/>
        <v>9.9202743142144634</v>
      </c>
      <c r="EE16" s="535"/>
      <c r="EF16" s="535">
        <f>Sheet1!EH14+Sheet1!EI14+Sheet1!EJ14+Sheet1!EK14</f>
        <v>10</v>
      </c>
      <c r="EG16" s="1019">
        <f t="shared" si="110"/>
        <v>15.469999999999999</v>
      </c>
      <c r="EH16" s="521">
        <f t="shared" si="45"/>
        <v>0</v>
      </c>
      <c r="EI16" s="535">
        <f>IF(Sheet1!ET14=1,SUM('Calculations II'!AT16:BA16)+'Calculations II'!BC16+Sheet1!BV14+'Calculations II'!BE16+AP16,'Calculations II'!BK16)</f>
        <v>41.133013685785542</v>
      </c>
      <c r="EJ16" s="535">
        <f ca="1">EI16+'Calculations II'!D16+'Calculations II'!E16+'Calculations II'!O16</f>
        <v>42.399450250864994</v>
      </c>
      <c r="EK16" s="535"/>
      <c r="EL16" s="535"/>
      <c r="EM16" s="535">
        <f t="shared" si="46"/>
        <v>42740</v>
      </c>
      <c r="EN16" s="535">
        <f t="shared" si="47"/>
        <v>0</v>
      </c>
      <c r="EO16" s="535">
        <f t="shared" si="48"/>
        <v>0</v>
      </c>
      <c r="EP16" s="535">
        <v>0</v>
      </c>
      <c r="EQ16" s="535">
        <v>0</v>
      </c>
      <c r="ER16" s="535">
        <v>0</v>
      </c>
      <c r="ES16" s="521">
        <f t="shared" si="71"/>
        <v>0.41535180072947964</v>
      </c>
      <c r="ET16" s="535">
        <f>-(VLOOKUP(Sheet1!BQ14,Lookup!$O$4:$Q$262,2)-VLOOKUP(Sheet1!BQ13,Lookup!$O$4:$Q$262,2))/1000000</f>
        <v>0.27687343407817183</v>
      </c>
      <c r="EU16" s="535">
        <f>-(VLOOKUP(Sheet1!BR14,Lookup!$O$4:$Q$262,3)-VLOOKUP(Sheet1!BR13,Lookup!$O$4:$Q$262,3))/1000000</f>
        <v>0.1384783666513078</v>
      </c>
      <c r="EV16" s="535"/>
      <c r="EW16" s="535"/>
      <c r="EX16" s="535"/>
      <c r="EY16" s="535"/>
      <c r="EZ16" s="535"/>
      <c r="FA16" s="535"/>
      <c r="FB16" s="535"/>
      <c r="FC16" s="535"/>
      <c r="FD16" s="567" t="e">
        <f t="shared" si="72"/>
        <v>#N/A</v>
      </c>
      <c r="FE16" s="567" t="e">
        <f t="shared" si="73"/>
        <v>#N/A</v>
      </c>
      <c r="FF16" s="568" t="e">
        <f t="shared" si="49"/>
        <v>#N/A</v>
      </c>
      <c r="FG16" s="569" t="s">
        <v>656</v>
      </c>
      <c r="FH16" s="569" t="s">
        <v>656</v>
      </c>
      <c r="FI16" s="567" t="e">
        <v>#N/A</v>
      </c>
      <c r="FJ16" s="567" t="e">
        <v>#N/A</v>
      </c>
      <c r="FK16" s="535"/>
      <c r="FL16" s="1015">
        <v>0</v>
      </c>
      <c r="FM16" s="535"/>
      <c r="FN16" s="535"/>
      <c r="FO16" s="535">
        <f>O16+((Sheet1!CS14)*GPMtoMGD)</f>
        <v>54.53</v>
      </c>
      <c r="FP16" s="535">
        <f>IF(Sheet1!AA14+AQ16&lt;=Calculation!N16,AQ16,Calculation!N16-Sheet1!AA14)</f>
        <v>18.009725685785536</v>
      </c>
      <c r="FQ16" s="535">
        <f>(Sheet1!BP14+Sheet1!BO14)/694.4</f>
        <v>1.621975806451613</v>
      </c>
      <c r="FR16" s="541"/>
      <c r="FS16" s="541"/>
      <c r="FT16" s="541"/>
      <c r="FU16" s="541"/>
      <c r="FV16" s="1109">
        <f t="shared" si="74"/>
        <v>42918</v>
      </c>
      <c r="FW16" s="1109">
        <f t="shared" si="75"/>
        <v>43027</v>
      </c>
      <c r="FX16" s="541"/>
      <c r="FY16" s="541">
        <f>Sheet1!DA14-Sheet1!CZ14-Sheet1!AE14</f>
        <v>357.74303999999773</v>
      </c>
      <c r="FZ16" s="535">
        <f t="shared" si="111"/>
        <v>0.76045452075243536</v>
      </c>
      <c r="GA16" s="535"/>
      <c r="GB16" s="535" t="str">
        <f t="shared" si="76"/>
        <v>n</v>
      </c>
      <c r="GC16" s="539">
        <f t="shared" si="77"/>
        <v>42782</v>
      </c>
      <c r="GD16" s="1109">
        <f t="shared" si="78"/>
        <v>42904</v>
      </c>
      <c r="GE16" s="535">
        <f t="shared" si="95"/>
        <v>6520</v>
      </c>
      <c r="GF16" s="1109">
        <f t="shared" si="79"/>
        <v>42909</v>
      </c>
      <c r="GG16" s="535">
        <f t="shared" si="50"/>
        <v>3260</v>
      </c>
      <c r="GH16" s="539">
        <f t="shared" si="80"/>
        <v>43040</v>
      </c>
      <c r="GJ16" s="521">
        <f t="shared" si="81"/>
        <v>0</v>
      </c>
      <c r="GK16" s="535" t="str">
        <f t="shared" si="51"/>
        <v/>
      </c>
      <c r="GL16" s="535">
        <f t="shared" si="82"/>
        <v>0</v>
      </c>
      <c r="GM16" s="535" t="str">
        <f t="shared" si="83"/>
        <v/>
      </c>
      <c r="GN16" s="535">
        <f>IF(GK16="P",Lookup!$M$12,IF(GK16="PP",Lookup!$M$13,IF(GK16="PPP",Lookup!$M$14,IF(GK16="T",Lookup!$M$15,IF(GK16="TP",Lookup!$M$16,IF(GK16="TPP",Lookup!$M$17,IF(GK16="TPPP",Lookup!$M$18,0)))))))*GJ16</f>
        <v>0</v>
      </c>
      <c r="GO16" s="535">
        <f t="shared" si="84"/>
        <v>0</v>
      </c>
      <c r="GP16" s="535">
        <f t="shared" si="52"/>
        <v>0</v>
      </c>
      <c r="GQ16" s="535">
        <f t="shared" si="94"/>
        <v>0</v>
      </c>
      <c r="GR16" s="535"/>
      <c r="GS16" s="535">
        <f t="shared" si="85"/>
        <v>0</v>
      </c>
      <c r="GT16" s="535" t="str">
        <f t="shared" si="86"/>
        <v/>
      </c>
      <c r="GU16" s="535">
        <f>IF(GK16="P",Lookup!$N$12,IF(GK16="PP",Lookup!$N$13,IF(GK16="PPP",Lookup!$N$14,IF(GK16="T",Lookup!$N$15,IF(GK16="TP",Lookup!$N$16,IF(GK16="TPP",Lookup!$N$17,IF(GK16="TPPP",Lookup!$N$18,0)))))))*GJ16</f>
        <v>0</v>
      </c>
      <c r="GV16" s="535">
        <f t="shared" si="53"/>
        <v>0</v>
      </c>
      <c r="GW16" s="535">
        <f t="shared" si="54"/>
        <v>0</v>
      </c>
      <c r="GX16" s="535">
        <f t="shared" si="91"/>
        <v>0</v>
      </c>
      <c r="GY16" s="535"/>
      <c r="GZ16" s="535">
        <f t="shared" si="87"/>
        <v>0</v>
      </c>
      <c r="HA16" s="535" t="str">
        <f t="shared" si="88"/>
        <v/>
      </c>
      <c r="HB16" s="535">
        <f>IF(GK16="P",Lookup!$N$12,IF(GK16="PP",Lookup!$N$13,IF(GK16="PPP",Lookup!$N$14,IF(GK16="T",Lookup!$N$15,IF(GK16="TP",Lookup!$N$16,IF(GK16="TPP",Lookup!$N$17,IF(GK16="TPPP",Lookup!$N$18,0)))))))*GJ16</f>
        <v>0</v>
      </c>
      <c r="HC16" s="521">
        <f t="shared" si="55"/>
        <v>0</v>
      </c>
      <c r="HD16" s="535">
        <f t="shared" si="56"/>
        <v>0</v>
      </c>
      <c r="HE16" s="535">
        <f t="shared" si="92"/>
        <v>0</v>
      </c>
      <c r="HF16" s="535"/>
      <c r="HG16" s="535">
        <f t="shared" si="89"/>
        <v>0</v>
      </c>
      <c r="HH16" s="535" t="str">
        <f t="shared" si="90"/>
        <v/>
      </c>
      <c r="HI16" s="535">
        <f>IF(GK16="P",Lookup!$N$12,IF(GK16="PP",Lookup!$N$13,IF(GK16="PPP",Lookup!$N$14,IF(GK16="T",Lookup!$N$15,IF(GK16="TP",Lookup!$N$16,IF(GK16="TPP",Lookup!$N$17,IF(GK16="TPPP",Lookup!$N$18,0)))))))*GJ16</f>
        <v>0</v>
      </c>
      <c r="HJ16" s="521">
        <f t="shared" si="57"/>
        <v>0</v>
      </c>
      <c r="HK16" s="535">
        <f t="shared" si="58"/>
        <v>0</v>
      </c>
      <c r="HL16" s="535">
        <f t="shared" si="93"/>
        <v>0</v>
      </c>
      <c r="HM16" s="535"/>
      <c r="HN16" s="541"/>
      <c r="HO16" s="541"/>
      <c r="HP16" s="541"/>
      <c r="HQ16" s="541">
        <f>IF(AND(B16&gt;=$FV$4,B16&lt;=$FW$4),MAX(110/1.02+$HQ$6+MIN(113/1.02,G16),IF($HV$6-(Sheet1!DA14-Sheet1!DB14)+MIN(113/1.02,G16)&lt;G16+FL16,$HV$6-(Sheet1!DA14-Sheet1!DB14)+MIN(113/1.02,G16),G16+FL16)),MIN(110/1.02+$HQ$6+113/1.02,G16))</f>
        <v>218.62745098039215</v>
      </c>
      <c r="HR16" s="541">
        <f t="shared" si="112"/>
        <v>223</v>
      </c>
      <c r="HS16" s="541">
        <f>HR16+(Sheet1!DA14-Sheet1!DB14)</f>
        <v>632</v>
      </c>
      <c r="HT16" s="541">
        <f t="shared" si="113"/>
        <v>0</v>
      </c>
      <c r="HU16" s="541">
        <f t="shared" si="114"/>
        <v>632</v>
      </c>
      <c r="HV16" s="541">
        <f t="shared" si="115"/>
        <v>0</v>
      </c>
      <c r="HW16" s="533" t="str">
        <f t="shared" si="116"/>
        <v/>
      </c>
      <c r="HX16" s="541">
        <f t="shared" si="117"/>
        <v>224.37254901960785</v>
      </c>
      <c r="HY16" s="541">
        <f>Sheet1!CZ14</f>
        <v>443</v>
      </c>
      <c r="HZ16" s="541">
        <f t="shared" si="118"/>
        <v>0</v>
      </c>
      <c r="IA16" s="541">
        <f t="shared" si="119"/>
        <v>0</v>
      </c>
      <c r="IB16" s="541">
        <f t="shared" si="120"/>
        <v>443</v>
      </c>
      <c r="IC16" s="1019" t="str">
        <f t="shared" si="121"/>
        <v/>
      </c>
      <c r="ID16" s="541">
        <f t="shared" si="122"/>
        <v>443</v>
      </c>
      <c r="IE16" s="541">
        <f>Sheet1!DB14</f>
        <v>416</v>
      </c>
      <c r="IF16" s="533">
        <f>Sheet1!DA14</f>
        <v>825</v>
      </c>
      <c r="IH16" s="541">
        <f>IF(AND($B16&gt;=$GC16,$B16&lt;=$GH16,$DR16&lt;0)+N("only adjusted when pool is drawn down during storage season"),Sheet1!$DB14+$DR16+N("Palmer minus all storage release"),Sheet1!$DB14)</f>
        <v>416</v>
      </c>
      <c r="II16" s="541">
        <f>IF(AND($B16&gt;=$GC16,$B16&lt;=$GH16,$DR16&lt;0)+N("only adjusted when pool is drawn down during storage season"),Sheet1!$DA14+$DR16+N("Auburn minus all storage release"),Sheet1!$DA14)</f>
        <v>825</v>
      </c>
    </row>
    <row r="17" spans="1:243" x14ac:dyDescent="0.25">
      <c r="A17" s="553" t="s">
        <v>8</v>
      </c>
      <c r="B17" s="531">
        <v>42741</v>
      </c>
      <c r="C17" s="536">
        <v>0</v>
      </c>
      <c r="D17" s="506">
        <f t="shared" si="0"/>
        <v>300</v>
      </c>
      <c r="E17" s="506">
        <f t="shared" si="1"/>
        <v>250</v>
      </c>
      <c r="F17" s="506">
        <v>250</v>
      </c>
      <c r="G17" s="535">
        <f>DR17+Sheet1!CZ15</f>
        <v>456.06757438244972</v>
      </c>
      <c r="H17" s="1074">
        <f t="shared" si="96"/>
        <v>0</v>
      </c>
      <c r="I17" s="534">
        <f>IF(Sheet1!DA15&gt;=E17,(Sheet1!DA15-E17+P17)*CFStoMGD,0)</f>
        <v>395.221752256</v>
      </c>
      <c r="J17" s="995">
        <f>IF(Sheet1!DB15&gt;=D17,(Sheet1!DB15-D17+P17)*CFStoMGD,0)</f>
        <v>0</v>
      </c>
      <c r="K17" s="1115">
        <f t="shared" si="97"/>
        <v>0</v>
      </c>
      <c r="L17" s="535">
        <f>Sheet1!AA15+Sheet1!AB15-Sheet1!L15+(Sheet1!DA15-F17)*CFStoMGD-S17-T17-U17</f>
        <v>368.43279999999913</v>
      </c>
      <c r="M17" s="535">
        <f t="shared" si="2"/>
        <v>300.6981216824318</v>
      </c>
      <c r="N17" s="824">
        <f>IF(Sheet1!DA15&gt;=F17,MIN(113*CFStoMGD,MIN(MAX(L17,0),MAX(M17,0))),0)</f>
        <v>73.043199999999999</v>
      </c>
      <c r="O17" s="538">
        <f>Sheet1!AA15+Sheet1!AB15</f>
        <v>54.57</v>
      </c>
      <c r="P17" s="538">
        <f t="shared" si="3"/>
        <v>84.419789999999992</v>
      </c>
      <c r="Q17" s="812">
        <f t="shared" si="98"/>
        <v>54.57</v>
      </c>
      <c r="R17" s="812">
        <f t="shared" si="59"/>
        <v>0</v>
      </c>
      <c r="S17" s="812">
        <f t="shared" si="60"/>
        <v>0</v>
      </c>
      <c r="T17" s="812">
        <f t="shared" si="61"/>
        <v>0</v>
      </c>
      <c r="U17" s="812">
        <f t="shared" si="99"/>
        <v>0</v>
      </c>
      <c r="V17" s="812"/>
      <c r="W17" s="812">
        <f t="shared" si="62"/>
        <v>0</v>
      </c>
      <c r="X17" s="812">
        <f t="shared" si="63"/>
        <v>0</v>
      </c>
      <c r="Y17" s="812" t="str">
        <f t="shared" si="64"/>
        <v>FALSE</v>
      </c>
      <c r="Z17" s="812">
        <f t="shared" si="65"/>
        <v>54.57</v>
      </c>
      <c r="AA17" s="812">
        <f t="shared" si="66"/>
        <v>54.57</v>
      </c>
      <c r="AB17" s="1059">
        <f t="shared" si="100"/>
        <v>84.419789999999992</v>
      </c>
      <c r="AC17" s="538">
        <f>Sheet1!Y15*MGDtoCFS</f>
        <v>41.150199999999998</v>
      </c>
      <c r="AD17" s="538">
        <f>Sheet1!Z15*MGDtoCFS</f>
        <v>43.207709999999999</v>
      </c>
      <c r="AE17" s="538">
        <f>Sheet1!AA15*MGDtoCFS</f>
        <v>41.150199999999998</v>
      </c>
      <c r="AF17" s="538">
        <f>Sheet1!AB15*MGDtoCFS</f>
        <v>43.269589999999994</v>
      </c>
      <c r="AG17" s="538">
        <f>Sheet1!L15*MGDtoCFS</f>
        <v>41.444130000001351</v>
      </c>
      <c r="AH17" s="521">
        <f>AU17+BN17+CI17+DB17</f>
        <v>0</v>
      </c>
      <c r="AI17" s="1059">
        <f t="shared" si="4"/>
        <v>0</v>
      </c>
      <c r="AJ17" s="535">
        <f t="shared" si="68"/>
        <v>0</v>
      </c>
      <c r="AK17" s="535">
        <f t="shared" si="5"/>
        <v>0</v>
      </c>
      <c r="AL17" s="535">
        <f>(VLOOKUP(Sheet1!DC15,hhdcap_wcm,4)-(((VLOOKUP(Sheet1!DC15,hhdcap_wcm,3)-Sheet1!DC15)/(VLOOKUP(Sheet1!DC15,hhdcap_wcm,3)-VLOOKUP(Sheet1!DC15,hhdcap_wcm,1)))*(VLOOKUP(Sheet1!DC15,hhdcap_wcm,4)-VLOOKUP(Sheet1!DC15,hhdcap_wcm,2))))</f>
        <v>794.80000000267387</v>
      </c>
      <c r="AM17" s="535">
        <f t="shared" si="69"/>
        <v>202.40000000039788</v>
      </c>
      <c r="AN17" s="1035">
        <f t="shared" si="6"/>
        <v>0</v>
      </c>
      <c r="AO17" s="535">
        <f t="shared" si="7"/>
        <v>0</v>
      </c>
      <c r="AP17" s="535">
        <f>Sheet1!BA15+Sheet1!BB15+Sheet1!BN15+CD17</f>
        <v>18.100000000000001</v>
      </c>
      <c r="AQ17" s="535">
        <f>Sheet1!BN15+(DO17*Sheet1!BN15)</f>
        <v>18.029095441595441</v>
      </c>
      <c r="AR17" s="535">
        <f>Sheet1!BA15+CD17</f>
        <v>0</v>
      </c>
      <c r="AS17" s="535">
        <f>Sheet1!BA15+Sheet1!BB15+CD17</f>
        <v>0</v>
      </c>
      <c r="AT17" s="649">
        <f>0</f>
        <v>0</v>
      </c>
      <c r="AU17" s="535">
        <f>IF(EB17&lt;K17,0,MAX(Sheet1!AA15+AQ17-15/36*K17-N17,Sheet1!EH15,0))</f>
        <v>0</v>
      </c>
      <c r="AV17" s="535">
        <f>IF(OR(B17&gt;=GD17,B17&lt;GC17),0,15/36*K17-MAX(0,64.6-(137.6-(Sheet1!AA15+Sheet1!AB15))))</f>
        <v>0</v>
      </c>
      <c r="AW17" s="1029"/>
      <c r="AX17" s="649"/>
      <c r="AY17" s="649">
        <f t="shared" si="101"/>
        <v>0</v>
      </c>
      <c r="AZ17" s="649">
        <f t="shared" si="102"/>
        <v>0</v>
      </c>
      <c r="BA17" s="1059">
        <f t="shared" si="103"/>
        <v>0</v>
      </c>
      <c r="BB17" s="1019">
        <f t="shared" si="8"/>
        <v>0</v>
      </c>
      <c r="BC17" s="1041">
        <f t="shared" si="104"/>
        <v>0</v>
      </c>
      <c r="BD17" s="1019">
        <f ca="1">IF(B17&gt;Summary!$A$1,#N/A,BB17*MGtoAF)</f>
        <v>0</v>
      </c>
      <c r="BE17" s="535">
        <f>Sheet1!BG15+Sheet1!BH15+Sheet1!BI15-BM17</f>
        <v>0</v>
      </c>
      <c r="BF17" s="535">
        <f t="shared" si="9"/>
        <v>0</v>
      </c>
      <c r="BG17" s="535">
        <v>1.01</v>
      </c>
      <c r="BH17" s="535">
        <f t="shared" si="10"/>
        <v>1.0060434472934472</v>
      </c>
      <c r="BI17" s="535">
        <f>IF(Sheet1!EP15="OTHER",BM17,0)</f>
        <v>0</v>
      </c>
      <c r="BJ17" s="535">
        <f t="shared" si="11"/>
        <v>0</v>
      </c>
      <c r="BK17" s="535">
        <f t="shared" si="12"/>
        <v>1.01</v>
      </c>
      <c r="BL17" s="535">
        <f t="shared" si="13"/>
        <v>1.0060434472934472</v>
      </c>
      <c r="BM17" s="535">
        <v>1.01</v>
      </c>
      <c r="BN17" s="521">
        <f>IF(AND($B17&gt;=$FV17,$B17&lt;=$FW17),MAX(BF17,Sheet1!EI15,0),MAX(BF17-(7/36)*$K17,0))</f>
        <v>0</v>
      </c>
      <c r="BO17" s="535">
        <f t="shared" si="14"/>
        <v>0</v>
      </c>
      <c r="BP17" s="521">
        <v>0</v>
      </c>
      <c r="BQ17" s="521">
        <f>IF(AND($O17&gt;0,Sheet1!EM15=1),(1-($O17-Sheet1!$L15)/$O17)*BL17,0)</f>
        <v>0</v>
      </c>
      <c r="BR17" s="521">
        <f>IF(AND(Sheet1!$L15=0,Sheet1!$L14=0, Calculation!BK17&lt;Sheet1!$EI15-0.1,Sheet1!$EI15=Sheet1!$EI14,Sheet1!$EI15=Sheet1!$EI16),BL17-BQ17,BL17-BQ17)</f>
        <v>1.0060434472934472</v>
      </c>
      <c r="BS17" s="1035">
        <f t="shared" si="105"/>
        <v>1.0060434472934472</v>
      </c>
      <c r="BT17" s="1035">
        <f t="shared" si="106"/>
        <v>0</v>
      </c>
      <c r="BU17" s="535">
        <f t="shared" si="16"/>
        <v>0</v>
      </c>
      <c r="BV17" s="535"/>
      <c r="BW17" s="535">
        <f ca="1">IF(B17&gt;Summary!$A$1,#N/A,BU17*MGtoAF)</f>
        <v>0</v>
      </c>
      <c r="BX17" s="521">
        <v>0</v>
      </c>
      <c r="BY17" s="535">
        <f t="shared" si="17"/>
        <v>0</v>
      </c>
      <c r="BZ17" s="535">
        <v>2.4900000000000002</v>
      </c>
      <c r="CA17" s="535">
        <f t="shared" si="18"/>
        <v>2.4802457264957263</v>
      </c>
      <c r="CB17" s="535">
        <f>IF(Sheet1!EQ15="OTHER",CH17,0)</f>
        <v>0</v>
      </c>
      <c r="CC17" s="535">
        <f t="shared" si="19"/>
        <v>0</v>
      </c>
      <c r="CD17" s="535">
        <f t="shared" si="20"/>
        <v>0</v>
      </c>
      <c r="CE17" s="535">
        <f t="shared" si="21"/>
        <v>2.4900000000000002</v>
      </c>
      <c r="CF17" s="535">
        <f t="shared" si="22"/>
        <v>2.4802457264957263</v>
      </c>
      <c r="CG17" s="535">
        <f>IF(Sheet1!EQ15="CWA",SUM(Sheet1!BC15:'Sheet1'!BF15),0)</f>
        <v>0</v>
      </c>
      <c r="CH17" s="535">
        <f>CA17</f>
        <v>2.4802457264957263</v>
      </c>
      <c r="CI17" s="521">
        <v>0</v>
      </c>
      <c r="CJ17" s="535">
        <f t="shared" si="23"/>
        <v>0</v>
      </c>
      <c r="CK17" s="521">
        <v>0</v>
      </c>
      <c r="CL17" s="521">
        <f>IF(AND($O17&gt;0,Sheet1!EN15=1),(1-($O17-Sheet1!$L15)/$O17)*CF17,0)</f>
        <v>0</v>
      </c>
      <c r="CM17" s="521">
        <f>IF(AND(Sheet1!$L15=0,Sheet1!$L14=0, Calculation!CE17&lt;Sheet1!EJ15-0.1,Sheet1!EJ15=Sheet1!EJ14,Sheet1!EJ15=Sheet1!EJ16),CF17-CL17,CF17-CL17)</f>
        <v>2.4802457264957263</v>
      </c>
      <c r="CN17" s="1040">
        <f t="shared" si="107"/>
        <v>2.4802457264957263</v>
      </c>
      <c r="CO17" s="1035">
        <f t="shared" si="108"/>
        <v>0</v>
      </c>
      <c r="CP17" s="535">
        <f t="shared" si="25"/>
        <v>0</v>
      </c>
      <c r="CQ17" s="535"/>
      <c r="CR17" s="535">
        <f ca="1">IF(B17&gt;Summary!$A$1,#N/A,CP17*MGtoAF)</f>
        <v>0</v>
      </c>
      <c r="CS17" s="521">
        <v>0</v>
      </c>
      <c r="CT17" s="535">
        <f t="shared" si="26"/>
        <v>0</v>
      </c>
      <c r="CU17" s="535">
        <v>6.48</v>
      </c>
      <c r="CV17" s="535">
        <f t="shared" si="27"/>
        <v>6.4546153846153844</v>
      </c>
      <c r="CW17" s="535">
        <f>IF(Sheet1!ER15="OTHER",DA17,0)</f>
        <v>0</v>
      </c>
      <c r="CX17" s="535">
        <f t="shared" si="28"/>
        <v>0</v>
      </c>
      <c r="CY17" s="535">
        <f t="shared" si="29"/>
        <v>6.48</v>
      </c>
      <c r="CZ17" s="535">
        <f t="shared" si="30"/>
        <v>6.4546153846153844</v>
      </c>
      <c r="DA17" s="535">
        <f>CV17</f>
        <v>6.4546153846153844</v>
      </c>
      <c r="DB17" s="1011">
        <f>IF(AND($B17&gt;=$FV17,$B17&lt;=$FW17),MAX($CT17,Sheet1!EK15,0),MAX($CT17-(7/36)*$K17,0))</f>
        <v>0</v>
      </c>
      <c r="DC17" s="1012">
        <f t="shared" si="31"/>
        <v>0</v>
      </c>
      <c r="DD17" s="1011">
        <v>0</v>
      </c>
      <c r="DE17" s="521">
        <f>IF(AND($O17&gt;0,Sheet1!EO15=1),(1-($O17-Sheet1!$L15)/$O17)*CZ17,0)</f>
        <v>0</v>
      </c>
      <c r="DF17" s="521">
        <f>IF(AND(Sheet1!$L15=0,Sheet1!$L14=0, Calculation!CY17&lt;Sheet1!$EK15-0.1,Sheet1!$EK15=Sheet1!$EK14,Sheet1!$EK15=Sheet1!$EK16),CZ17-DE17,CZ17-DE17)</f>
        <v>6.4546153846153844</v>
      </c>
      <c r="DG17" s="1040">
        <f t="shared" si="109"/>
        <v>0</v>
      </c>
      <c r="DH17" s="649">
        <f t="shared" si="33"/>
        <v>9.98</v>
      </c>
      <c r="DI17" s="535">
        <f t="shared" si="34"/>
        <v>0</v>
      </c>
      <c r="DJ17" s="649">
        <f t="shared" si="35"/>
        <v>9.9409045584045579</v>
      </c>
      <c r="DK17" s="535">
        <f ca="1">IF(B17&gt;Summary!$A$1,#N/A,DI17*MGtoAF)</f>
        <v>0</v>
      </c>
      <c r="DL17" s="649">
        <f t="shared" si="36"/>
        <v>9.98</v>
      </c>
      <c r="DM17" s="535">
        <f t="shared" si="37"/>
        <v>28.080000000000002</v>
      </c>
      <c r="DN17" s="535">
        <f>Sheet1!AB15-DM17</f>
        <v>-0.11000000000000298</v>
      </c>
      <c r="DO17" s="743">
        <f t="shared" si="38"/>
        <v>-3.9173789173790234E-3</v>
      </c>
      <c r="DP17" s="535">
        <f>(VLOOKUP(Sheet1!DC15,hhdcap_wcm,4)-(((VLOOKUP(Sheet1!DC15,hhdcap_wcm,3)-Sheet1!DC15)/(VLOOKUP(Sheet1!DC15,hhdcap_wcm,3)-VLOOKUP(Sheet1!DC15,hhdcap_wcm,1)))*(VLOOKUP(Sheet1!DC15,hhdcap_wcm,4)-VLOOKUP(Sheet1!DC15,hhdcap_wcm,2))))</f>
        <v>794.80000000267387</v>
      </c>
      <c r="DQ17" s="535">
        <f t="shared" si="70"/>
        <v>202.40000000039788</v>
      </c>
      <c r="DR17" s="535">
        <f t="shared" si="39"/>
        <v>102.06757438244975</v>
      </c>
      <c r="DS17" s="535">
        <f>Sheet1!EA15*AFtoMG</f>
        <v>0</v>
      </c>
      <c r="DT17" s="535">
        <f>Sheet1!EB15*AFtoMG</f>
        <v>0</v>
      </c>
      <c r="DU17" s="535">
        <f>Sheet1!EC15*AFtoMG</f>
        <v>0</v>
      </c>
      <c r="DV17" s="535">
        <f>Sheet1!ED15*AFtoMG</f>
        <v>0</v>
      </c>
      <c r="DW17" s="535">
        <f t="shared" si="40"/>
        <v>0</v>
      </c>
      <c r="DX17" s="535">
        <f t="shared" si="41"/>
        <v>0</v>
      </c>
      <c r="DY17" s="535">
        <f t="shared" si="42"/>
        <v>0</v>
      </c>
      <c r="DZ17" s="535">
        <f t="shared" si="43"/>
        <v>0</v>
      </c>
      <c r="EA17" s="535"/>
      <c r="EB17" s="521">
        <f>IF(OR(B17&lt;FV17,B17&gt;FW17),(MIN(BF17+BY17+CT17+MAX(Sheet1!AA15+AQ17-73,0),K17)),0)</f>
        <v>0</v>
      </c>
      <c r="EC17" s="535"/>
      <c r="ED17" s="535">
        <f t="shared" si="44"/>
        <v>0</v>
      </c>
      <c r="EE17" s="535"/>
      <c r="EF17" s="535">
        <f>Sheet1!EH15+Sheet1!EI15+Sheet1!EJ15+Sheet1!EK15</f>
        <v>10</v>
      </c>
      <c r="EG17" s="1019">
        <f t="shared" si="110"/>
        <v>15.469999999999999</v>
      </c>
      <c r="EH17" s="521">
        <f t="shared" si="45"/>
        <v>0</v>
      </c>
      <c r="EI17" s="535">
        <f>IF(Sheet1!ET15=1,SUM('Calculations II'!AT17:BA17)+'Calculations II'!BC17+Sheet1!BV15+'Calculations II'!BE17+AP17,'Calculations II'!BK17)</f>
        <v>43.448849441595442</v>
      </c>
      <c r="EJ17" s="535">
        <f ca="1">EI17+'Calculations II'!D17+'Calculations II'!E17+'Calculations II'!O17</f>
        <v>44.405428182145528</v>
      </c>
      <c r="EK17" s="535"/>
      <c r="EL17" s="535"/>
      <c r="EM17" s="535">
        <f t="shared" si="46"/>
        <v>42741</v>
      </c>
      <c r="EN17" s="535">
        <f t="shared" si="47"/>
        <v>0</v>
      </c>
      <c r="EO17" s="535">
        <f t="shared" si="48"/>
        <v>0</v>
      </c>
      <c r="EP17" s="535">
        <v>0</v>
      </c>
      <c r="EQ17" s="535">
        <v>0</v>
      </c>
      <c r="ER17" s="535">
        <v>0</v>
      </c>
      <c r="ES17" s="521">
        <f t="shared" si="71"/>
        <v>-0.69228290349011867</v>
      </c>
      <c r="ET17" s="535">
        <f>-(VLOOKUP(Sheet1!BQ15,Lookup!$O$4:$Q$262,2)-VLOOKUP(Sheet1!BQ14,Lookup!$O$4:$Q$262,2))/1000000</f>
        <v>-0.41531976199776677</v>
      </c>
      <c r="EU17" s="535">
        <f>-(VLOOKUP(Sheet1!BR15,Lookup!$O$4:$Q$262,3)-VLOOKUP(Sheet1!BR14,Lookup!$O$4:$Q$262,3))/1000000</f>
        <v>-0.27696314149235191</v>
      </c>
      <c r="EV17" s="535"/>
      <c r="EW17" s="535"/>
      <c r="EX17" s="535"/>
      <c r="EY17" s="535"/>
      <c r="EZ17" s="535"/>
      <c r="FA17" s="535"/>
      <c r="FB17" s="535"/>
      <c r="FC17" s="535"/>
      <c r="FD17" s="567" t="e">
        <f t="shared" si="72"/>
        <v>#N/A</v>
      </c>
      <c r="FE17" s="567" t="e">
        <f t="shared" si="73"/>
        <v>#N/A</v>
      </c>
      <c r="FF17" s="568" t="e">
        <f t="shared" si="49"/>
        <v>#N/A</v>
      </c>
      <c r="FG17" s="569" t="s">
        <v>656</v>
      </c>
      <c r="FH17" s="569" t="s">
        <v>656</v>
      </c>
      <c r="FI17" s="567" t="e">
        <v>#N/A</v>
      </c>
      <c r="FJ17" s="567" t="e">
        <v>#N/A</v>
      </c>
      <c r="FK17" s="535"/>
      <c r="FL17" s="1015">
        <v>0</v>
      </c>
      <c r="FM17" s="535"/>
      <c r="FN17" s="535"/>
      <c r="FO17" s="535">
        <f>O17+((Sheet1!CS15)*GPMtoMGD)</f>
        <v>54.57</v>
      </c>
      <c r="FP17" s="535">
        <f>IF(Sheet1!AA15+AQ17&lt;=Calculation!N17,AQ17,Calculation!N17-Sheet1!AA15)</f>
        <v>18.029095441595441</v>
      </c>
      <c r="FQ17" s="535">
        <f>(Sheet1!BP15+Sheet1!BO15)/694.4</f>
        <v>1.4808467741935483</v>
      </c>
      <c r="FR17" s="541"/>
      <c r="FS17" s="541"/>
      <c r="FT17" s="541"/>
      <c r="FU17" s="541"/>
      <c r="FV17" s="1109">
        <f t="shared" si="74"/>
        <v>42918</v>
      </c>
      <c r="FW17" s="1109">
        <f t="shared" si="75"/>
        <v>43027</v>
      </c>
      <c r="FX17" s="541"/>
      <c r="FY17" s="541">
        <f>Sheet1!DA15-Sheet1!CZ15-Sheet1!AE15</f>
        <v>380.02434000000136</v>
      </c>
      <c r="FZ17" s="535">
        <f t="shared" si="111"/>
        <v>0.83326322971893652</v>
      </c>
      <c r="GA17" s="535"/>
      <c r="GB17" s="535" t="str">
        <f t="shared" si="76"/>
        <v>n</v>
      </c>
      <c r="GC17" s="539">
        <f t="shared" si="77"/>
        <v>42782</v>
      </c>
      <c r="GD17" s="1109">
        <f t="shared" si="78"/>
        <v>42904</v>
      </c>
      <c r="GE17" s="535">
        <f t="shared" si="95"/>
        <v>6520</v>
      </c>
      <c r="GF17" s="1109">
        <f t="shared" si="79"/>
        <v>42909</v>
      </c>
      <c r="GG17" s="535">
        <f t="shared" si="50"/>
        <v>3260</v>
      </c>
      <c r="GH17" s="539">
        <f t="shared" si="80"/>
        <v>43040</v>
      </c>
      <c r="GJ17" s="521">
        <f t="shared" si="81"/>
        <v>0</v>
      </c>
      <c r="GK17" s="535" t="str">
        <f t="shared" si="51"/>
        <v/>
      </c>
      <c r="GL17" s="535">
        <f t="shared" si="82"/>
        <v>0</v>
      </c>
      <c r="GM17" s="535" t="str">
        <f t="shared" si="83"/>
        <v/>
      </c>
      <c r="GN17" s="535">
        <f>IF(GK17="P",Lookup!$M$12,IF(GK17="PP",Lookup!$M$13,IF(GK17="PPP",Lookup!$M$14,IF(GK17="T",Lookup!$M$15,IF(GK17="TP",Lookup!$M$16,IF(GK17="TPP",Lookup!$M$17,IF(GK17="TPPP",Lookup!$M$18,0)))))))*GJ17</f>
        <v>0</v>
      </c>
      <c r="GO17" s="535">
        <f t="shared" si="84"/>
        <v>0</v>
      </c>
      <c r="GP17" s="535">
        <f t="shared" si="52"/>
        <v>0</v>
      </c>
      <c r="GQ17" s="535">
        <f t="shared" si="94"/>
        <v>0</v>
      </c>
      <c r="GR17" s="535"/>
      <c r="GS17" s="535">
        <f t="shared" si="85"/>
        <v>0</v>
      </c>
      <c r="GT17" s="535" t="str">
        <f t="shared" si="86"/>
        <v/>
      </c>
      <c r="GU17" s="535">
        <f>IF(GK17="P",Lookup!$N$12,IF(GK17="PP",Lookup!$N$13,IF(GK17="PPP",Lookup!$N$14,IF(GK17="T",Lookup!$N$15,IF(GK17="TP",Lookup!$N$16,IF(GK17="TPP",Lookup!$N$17,IF(GK17="TPPP",Lookup!$N$18,0)))))))*GJ17</f>
        <v>0</v>
      </c>
      <c r="GV17" s="535">
        <f t="shared" si="53"/>
        <v>0</v>
      </c>
      <c r="GW17" s="535">
        <f t="shared" si="54"/>
        <v>0</v>
      </c>
      <c r="GX17" s="535">
        <f t="shared" si="91"/>
        <v>0</v>
      </c>
      <c r="GY17" s="535"/>
      <c r="GZ17" s="535">
        <f t="shared" si="87"/>
        <v>0</v>
      </c>
      <c r="HA17" s="535" t="str">
        <f t="shared" si="88"/>
        <v/>
      </c>
      <c r="HB17" s="535">
        <f>IF(GK17="P",Lookup!$N$12,IF(GK17="PP",Lookup!$N$13,IF(GK17="PPP",Lookup!$N$14,IF(GK17="T",Lookup!$N$15,IF(GK17="TP",Lookup!$N$16,IF(GK17="TPP",Lookup!$N$17,IF(GK17="TPPP",Lookup!$N$18,0)))))))*GJ17</f>
        <v>0</v>
      </c>
      <c r="HC17" s="521">
        <f t="shared" si="55"/>
        <v>0</v>
      </c>
      <c r="HD17" s="535">
        <f t="shared" si="56"/>
        <v>0</v>
      </c>
      <c r="HE17" s="535">
        <f t="shared" si="92"/>
        <v>0</v>
      </c>
      <c r="HF17" s="535"/>
      <c r="HG17" s="535">
        <f t="shared" si="89"/>
        <v>0</v>
      </c>
      <c r="HH17" s="535" t="str">
        <f t="shared" si="90"/>
        <v/>
      </c>
      <c r="HI17" s="535">
        <f>IF(GK17="P",Lookup!$N$12,IF(GK17="PP",Lookup!$N$13,IF(GK17="PPP",Lookup!$N$14,IF(GK17="T",Lookup!$N$15,IF(GK17="TP",Lookup!$N$16,IF(GK17="TPP",Lookup!$N$17,IF(GK17="TPPP",Lookup!$N$18,0)))))))*GJ17</f>
        <v>0</v>
      </c>
      <c r="HJ17" s="521">
        <f t="shared" si="57"/>
        <v>0</v>
      </c>
      <c r="HK17" s="535">
        <f t="shared" si="58"/>
        <v>0</v>
      </c>
      <c r="HL17" s="535">
        <f t="shared" si="93"/>
        <v>0</v>
      </c>
      <c r="HM17" s="535"/>
      <c r="HN17" s="541"/>
      <c r="HO17" s="541"/>
      <c r="HP17" s="541"/>
      <c r="HQ17" s="541">
        <f>IF(AND(B17&gt;=$FV$4,B17&lt;=$FW$4),MAX(110/1.02+$HQ$6+MIN(113/1.02,G17),IF($HV$6-(Sheet1!DA15-Sheet1!DB15)+MIN(113/1.02,G17)&lt;G17+FL17,$HV$6-(Sheet1!DA15-Sheet1!DB15)+MIN(113/1.02,G17),G17+FL17)),MIN(110/1.02+$HQ$6+113/1.02,G17))</f>
        <v>218.62745098039215</v>
      </c>
      <c r="HR17" s="541">
        <f t="shared" si="112"/>
        <v>223</v>
      </c>
      <c r="HS17" s="541">
        <f>HR17+(Sheet1!DA15-Sheet1!DB15)</f>
        <v>721</v>
      </c>
      <c r="HT17" s="541">
        <f t="shared" si="113"/>
        <v>84.419789999999992</v>
      </c>
      <c r="HU17" s="541">
        <f t="shared" si="114"/>
        <v>636.58020999999997</v>
      </c>
      <c r="HV17" s="541">
        <f t="shared" si="115"/>
        <v>0</v>
      </c>
      <c r="HW17" s="533" t="str">
        <f t="shared" si="116"/>
        <v/>
      </c>
      <c r="HX17" s="541">
        <f t="shared" si="117"/>
        <v>135.37254901960785</v>
      </c>
      <c r="HY17" s="541">
        <f>Sheet1!CZ15</f>
        <v>354</v>
      </c>
      <c r="HZ17" s="541">
        <f t="shared" si="118"/>
        <v>0</v>
      </c>
      <c r="IA17" s="541">
        <f t="shared" si="119"/>
        <v>84.419789999999992</v>
      </c>
      <c r="IB17" s="541">
        <f t="shared" si="120"/>
        <v>354</v>
      </c>
      <c r="IC17" s="1019" t="str">
        <f t="shared" si="121"/>
        <v/>
      </c>
      <c r="ID17" s="541">
        <f t="shared" si="122"/>
        <v>269.58021000000002</v>
      </c>
      <c r="IE17" s="541">
        <f>Sheet1!DB15</f>
        <v>279</v>
      </c>
      <c r="IF17" s="533">
        <f>Sheet1!DA15</f>
        <v>777</v>
      </c>
      <c r="IH17" s="541">
        <f>IF(AND($B17&gt;=$GC17,$B17&lt;=$GH17,$DR17&lt;0)+N("only adjusted when pool is drawn down during storage season"),Sheet1!$DB15+$DR17+N("Palmer minus all storage release"),Sheet1!$DB15)</f>
        <v>279</v>
      </c>
      <c r="II17" s="541">
        <f>IF(AND($B17&gt;=$GC17,$B17&lt;=$GH17,$DR17&lt;0)+N("only adjusted when pool is drawn down during storage season"),Sheet1!$DA15+$DR17+N("Auburn minus all storage release"),Sheet1!$DA15)</f>
        <v>777</v>
      </c>
    </row>
    <row r="18" spans="1:243" x14ac:dyDescent="0.25">
      <c r="A18" s="553" t="s">
        <v>9</v>
      </c>
      <c r="B18" s="531">
        <v>42742</v>
      </c>
      <c r="C18" s="536">
        <v>0</v>
      </c>
      <c r="D18" s="506">
        <f t="shared" si="0"/>
        <v>300</v>
      </c>
      <c r="E18" s="506">
        <f t="shared" si="1"/>
        <v>250</v>
      </c>
      <c r="F18" s="506">
        <v>250</v>
      </c>
      <c r="G18" s="535">
        <f>DR18+Sheet1!CZ16</f>
        <v>527.2708018157075</v>
      </c>
      <c r="H18" s="1074">
        <f t="shared" si="96"/>
        <v>0</v>
      </c>
      <c r="I18" s="534">
        <f>IF(Sheet1!DA16&gt;=E18,(Sheet1!DA16-E18+P18)*CFStoMGD,0)</f>
        <v>300.23095167999998</v>
      </c>
      <c r="J18" s="995">
        <f>IF(Sheet1!DB16&gt;=D18,(Sheet1!DB16-D18+P18)*CFStoMGD,0)</f>
        <v>0</v>
      </c>
      <c r="K18" s="1115">
        <f t="shared" si="97"/>
        <v>0</v>
      </c>
      <c r="L18" s="535">
        <f>Sheet1!AA16+Sheet1!AB16-Sheet1!L16+(Sheet1!DA16-F18)*CFStoMGD-S18-T18-U18</f>
        <v>300.23199999999997</v>
      </c>
      <c r="M18" s="535">
        <f t="shared" ref="M18:M42" si="123">1.02*CFStoMGD*G18</f>
        <v>347.6444032195468</v>
      </c>
      <c r="N18" s="824">
        <f>IF(Sheet1!DA16&gt;=F18,MIN(113*CFStoMGD,MIN(MAX(L18,0),MAX(M18,0))),0)</f>
        <v>73.043199999999999</v>
      </c>
      <c r="O18" s="538">
        <f>Sheet1!AA16+Sheet1!AB16</f>
        <v>54.6</v>
      </c>
      <c r="P18" s="538">
        <f t="shared" ref="P18:P42" si="124">AE18+AF18</f>
        <v>84.466199999999986</v>
      </c>
      <c r="Q18" s="812">
        <f t="shared" si="98"/>
        <v>54.6</v>
      </c>
      <c r="R18" s="812">
        <f t="shared" si="59"/>
        <v>0</v>
      </c>
      <c r="S18" s="812">
        <f t="shared" si="60"/>
        <v>0</v>
      </c>
      <c r="T18" s="812">
        <f t="shared" si="61"/>
        <v>0</v>
      </c>
      <c r="U18" s="812">
        <f t="shared" si="99"/>
        <v>0</v>
      </c>
      <c r="V18" s="812"/>
      <c r="W18" s="812">
        <f t="shared" si="62"/>
        <v>0</v>
      </c>
      <c r="X18" s="812">
        <f t="shared" si="63"/>
        <v>0</v>
      </c>
      <c r="Y18" s="812" t="str">
        <f t="shared" si="64"/>
        <v>FALSE</v>
      </c>
      <c r="Z18" s="812">
        <f t="shared" si="65"/>
        <v>54.6</v>
      </c>
      <c r="AA18" s="812">
        <f t="shared" si="66"/>
        <v>54.6</v>
      </c>
      <c r="AB18" s="1059">
        <f t="shared" si="100"/>
        <v>84.466200000000001</v>
      </c>
      <c r="AC18" s="538">
        <f>Sheet1!Y16*MGDtoCFS</f>
        <v>41.150199999999998</v>
      </c>
      <c r="AD18" s="538">
        <f>Sheet1!Z16*MGDtoCFS</f>
        <v>43.269589999999994</v>
      </c>
      <c r="AE18" s="538">
        <f>Sheet1!AA16*MGDtoCFS</f>
        <v>41.150199999999998</v>
      </c>
      <c r="AF18" s="538">
        <f>Sheet1!AB16*MGDtoCFS</f>
        <v>43.315999999999995</v>
      </c>
      <c r="AG18" s="538">
        <f>Sheet1!L16*MGDtoCFS</f>
        <v>0</v>
      </c>
      <c r="AH18" s="521">
        <f t="shared" ref="AH18:AH42" si="125">AU18+BN18+CI18+DB18</f>
        <v>0</v>
      </c>
      <c r="AI18" s="1059">
        <f t="shared" ref="AI18:AI42" si="126">AH18*MGDtoCFS</f>
        <v>0</v>
      </c>
      <c r="AJ18" s="535">
        <f t="shared" ref="AJ18:AJ42" si="127">IF(B18&gt;=GC18,IF(B18&lt;=GD18,K18-EB18,0),0)</f>
        <v>0</v>
      </c>
      <c r="AK18" s="535">
        <f t="shared" ref="AK18:AK42" si="128">AJ18*MGDtoCFS</f>
        <v>0</v>
      </c>
      <c r="AL18" s="535">
        <f>(VLOOKUP(Sheet1!DC16,hhdcap_wcm,4)-(((VLOOKUP(Sheet1!DC16,hhdcap_wcm,3)-Sheet1!DC16)/(VLOOKUP(Sheet1!DC16,hhdcap_wcm,3)-VLOOKUP(Sheet1!DC16,hhdcap_wcm,1)))*(VLOOKUP(Sheet1!DC16,hhdcap_wcm,4)-VLOOKUP(Sheet1!DC16,hhdcap_wcm,2))))</f>
        <v>1114.6000000032218</v>
      </c>
      <c r="AM18" s="535">
        <f t="shared" ref="AM18:AM42" si="129">AL18-AL17</f>
        <v>319.80000000054793</v>
      </c>
      <c r="AN18" s="1035">
        <f t="shared" ref="AN18:AN42" si="130">(IF(AND(B18&gt;=GC18,B18&lt;GF18),MIN(BB18+BU18+CP18+DI18,GE18),IF(B18=GF18,GG18,IF(AND(B18&gt;GF18,B18&lt;GH18),BB18+BU18+CP18+DI18,IF(B18&gt;=GH18,0,0)))))</f>
        <v>0</v>
      </c>
      <c r="AO18" s="535">
        <f t="shared" ref="AO18:AO42" si="131">AN18*MGtoAF</f>
        <v>0</v>
      </c>
      <c r="AP18" s="535">
        <f>Sheet1!BA16+Sheet1!BB16+Sheet1!BN16+CD18</f>
        <v>18</v>
      </c>
      <c r="AQ18" s="535">
        <f>Sheet1!BN16+(DO18*Sheet1!BN16)</f>
        <v>17.987152034261243</v>
      </c>
      <c r="AR18" s="535">
        <f>Sheet1!BA16+CD18</f>
        <v>0</v>
      </c>
      <c r="AS18" s="535">
        <f>Sheet1!BA16+Sheet1!BB16+CD18</f>
        <v>0</v>
      </c>
      <c r="AT18" s="649">
        <f>0</f>
        <v>0</v>
      </c>
      <c r="AU18" s="535">
        <f>IF(EB18&lt;K18,0,MAX(Sheet1!AA16+AQ18-15/36*K18-N18,Sheet1!EH16,0))</f>
        <v>0</v>
      </c>
      <c r="AV18" s="535">
        <f>IF(OR(B18&gt;=GD18,B18&lt;GC18),0,15/36*K18-MAX(0,64.6-(137.6-(Sheet1!AA16+Sheet1!AB16))))</f>
        <v>0</v>
      </c>
      <c r="AW18" s="1029"/>
      <c r="AX18" s="649"/>
      <c r="AY18" s="649">
        <f t="shared" si="101"/>
        <v>0</v>
      </c>
      <c r="AZ18" s="649">
        <f t="shared" si="102"/>
        <v>0</v>
      </c>
      <c r="BA18" s="1059">
        <f t="shared" si="103"/>
        <v>0</v>
      </c>
      <c r="BB18" s="1019">
        <f t="shared" ref="BB18:BB42" si="132">GO18+GQ18</f>
        <v>0</v>
      </c>
      <c r="BC18" s="1041">
        <f t="shared" si="104"/>
        <v>0</v>
      </c>
      <c r="BD18" s="1019">
        <f ca="1">IF(B18&gt;Summary!$A$1,#N/A,BB18*MGtoAF)</f>
        <v>0</v>
      </c>
      <c r="BE18" s="535">
        <f>Sheet1!BG16+Sheet1!BH16+Sheet1!BI16-BM18</f>
        <v>0</v>
      </c>
      <c r="BF18" s="535">
        <f t="shared" ref="BF18:BF42" si="133">BE18+(DO18*BE18)</f>
        <v>0</v>
      </c>
      <c r="BG18" s="535">
        <v>1.01</v>
      </c>
      <c r="BH18" s="535">
        <f t="shared" ref="BH18:BH42" si="134">BG18+(DO18*BG18)</f>
        <v>1.0092790863668808</v>
      </c>
      <c r="BI18" s="535">
        <f>IF(Sheet1!EP16="OTHER",BM18,0)</f>
        <v>0</v>
      </c>
      <c r="BJ18" s="535">
        <f t="shared" ref="BJ18:BJ42" si="135">BI18+(DO18*BI18)</f>
        <v>0</v>
      </c>
      <c r="BK18" s="535">
        <f t="shared" ref="BK18:BK42" si="136">MAX(BE18,BG18,BI18)</f>
        <v>1.01</v>
      </c>
      <c r="BL18" s="535">
        <f t="shared" ref="BL18:BL42" si="137">MAX(BF18,BH18,BJ18)</f>
        <v>1.0092790863668808</v>
      </c>
      <c r="BM18" s="535">
        <v>1.01</v>
      </c>
      <c r="BN18" s="521">
        <f>IF(AND($B18&gt;=$FV18,$B18&lt;=$FW18),MAX(BF18,Sheet1!EI16,0),MAX(BF18-(7/36)*$K18,0))</f>
        <v>0</v>
      </c>
      <c r="BO18" s="535">
        <f t="shared" ref="BO18:BO42" si="138">IF(B18&gt;=GC18,IF(B18&lt;=GD18,(7/36)*K18-BF18,0),0)</f>
        <v>0</v>
      </c>
      <c r="BP18" s="521">
        <v>0</v>
      </c>
      <c r="BQ18" s="521">
        <f>IF(AND($O18&gt;0,Sheet1!EM16=1),(1-($O18-Sheet1!$L16)/$O18)*BL18,0)</f>
        <v>0</v>
      </c>
      <c r="BR18" s="521">
        <f>IF(AND(Sheet1!$L16=0,Sheet1!$L15=0, Calculation!BK18&lt;Sheet1!$EI16-0.1,Sheet1!$EI16=Sheet1!$EI15,Sheet1!$EI16=Sheet1!$EI17),BL18-BQ18,BL18-BQ18)</f>
        <v>1.0092790863668808</v>
      </c>
      <c r="BS18" s="1035">
        <f t="shared" si="105"/>
        <v>1.0092790863668808</v>
      </c>
      <c r="BT18" s="1035">
        <f t="shared" si="106"/>
        <v>0</v>
      </c>
      <c r="BU18" s="535">
        <f t="shared" ref="BU18:BU42" si="139">GV18+GX18</f>
        <v>0</v>
      </c>
      <c r="BV18" s="535"/>
      <c r="BW18" s="535">
        <f ca="1">IF(B18&gt;Summary!$A$1,#N/A,BU18*MGtoAF)</f>
        <v>0</v>
      </c>
      <c r="BX18" s="521">
        <v>0</v>
      </c>
      <c r="BY18" s="535">
        <f t="shared" ref="BY18:BY42" si="140">BX18+(DO18*BX18)</f>
        <v>0</v>
      </c>
      <c r="BZ18" s="535">
        <v>2.4900000000000002</v>
      </c>
      <c r="CA18" s="535">
        <f t="shared" ref="CA18:CA42" si="141">BZ18+(DO18*BZ18)</f>
        <v>2.4882226980728053</v>
      </c>
      <c r="CB18" s="535">
        <f>IF(Sheet1!EQ16="OTHER",CH18,0)</f>
        <v>0</v>
      </c>
      <c r="CC18" s="535">
        <f t="shared" ref="CC18:CC42" si="142">CB18+(DO18*CB18)</f>
        <v>0</v>
      </c>
      <c r="CD18" s="535">
        <f t="shared" ref="CD18:CD42" si="143">CG18</f>
        <v>0</v>
      </c>
      <c r="CE18" s="535">
        <f t="shared" ref="CE18:CE42" si="144">MAX(BX18,BZ18,CB18)</f>
        <v>2.4900000000000002</v>
      </c>
      <c r="CF18" s="535">
        <f t="shared" ref="CF18:CF42" si="145">MAX(BY18,CA18, CC18)</f>
        <v>2.4882226980728053</v>
      </c>
      <c r="CG18" s="535">
        <f>IF(Sheet1!EQ16="CWA",SUM(Sheet1!BC16:'Sheet1'!BF16),0)</f>
        <v>0</v>
      </c>
      <c r="CH18" s="535">
        <f>CA18</f>
        <v>2.4882226980728053</v>
      </c>
      <c r="CI18" s="521">
        <v>0</v>
      </c>
      <c r="CJ18" s="535">
        <f t="shared" ref="CJ18:CJ42" si="146">IF(B18&gt;=GC18,IF(B18&lt;=GD18,(7/36)*K18-BY18,0),0)</f>
        <v>0</v>
      </c>
      <c r="CK18" s="521">
        <v>0</v>
      </c>
      <c r="CL18" s="521">
        <f>IF(AND($O18&gt;0,Sheet1!EN16=1),(1-($O18-Sheet1!$L16)/$O18)*CF18,0)</f>
        <v>0</v>
      </c>
      <c r="CM18" s="521">
        <f>IF(AND(Sheet1!$L16=0,Sheet1!$L15=0, Calculation!CE18&lt;Sheet1!EJ16-0.1,Sheet1!EJ16=Sheet1!EJ15,Sheet1!EJ16=Sheet1!EJ17),CF18-CL18,CF18-CL18)</f>
        <v>2.4882226980728053</v>
      </c>
      <c r="CN18" s="1040">
        <f t="shared" si="107"/>
        <v>2.4882226980728053</v>
      </c>
      <c r="CO18" s="1035">
        <f t="shared" si="108"/>
        <v>0</v>
      </c>
      <c r="CP18" s="535">
        <f t="shared" ref="CP18:CP42" si="147">HC18+HE18</f>
        <v>0</v>
      </c>
      <c r="CQ18" s="535"/>
      <c r="CR18" s="535">
        <f ca="1">IF(B18&gt;Summary!$A$1,#N/A,CP18*MGtoAF)</f>
        <v>0</v>
      </c>
      <c r="CS18" s="521">
        <v>0</v>
      </c>
      <c r="CT18" s="535">
        <f t="shared" ref="CT18:CT42" si="148">CS18+(DO18*CS18)</f>
        <v>0</v>
      </c>
      <c r="CU18" s="535">
        <v>6.52</v>
      </c>
      <c r="CV18" s="535">
        <f t="shared" ref="CV18:CV42" si="149">CU18+(DO18*CU18)</f>
        <v>6.5153461812990718</v>
      </c>
      <c r="CW18" s="535">
        <f>IF(Sheet1!ER16="OTHER",DA18,0)</f>
        <v>0</v>
      </c>
      <c r="CX18" s="535">
        <f t="shared" ref="CX18:CX42" si="150">CW18+(DO18*CW18)</f>
        <v>0</v>
      </c>
      <c r="CY18" s="535">
        <f t="shared" ref="CY18:CY42" si="151">MAX(CS18,CU18)</f>
        <v>6.52</v>
      </c>
      <c r="CZ18" s="535">
        <f t="shared" ref="CZ18:CZ42" si="152">MAX(CT18,CV18)</f>
        <v>6.5153461812990718</v>
      </c>
      <c r="DA18" s="535">
        <f>CV18</f>
        <v>6.5153461812990718</v>
      </c>
      <c r="DB18" s="1011">
        <f>IF(AND($B18&gt;=$FV18,$B18&lt;=$FW18),MAX($CT18,Sheet1!EK16,0),MAX($CT18-(7/36)*$K18,0))</f>
        <v>0</v>
      </c>
      <c r="DC18" s="1012">
        <f t="shared" ref="DC18:DC42" si="153">IF(B18&gt;=GC18,IF(B18&lt;=GD18,(7/36)*K18-CT18,0),0)</f>
        <v>0</v>
      </c>
      <c r="DD18" s="1011">
        <v>0</v>
      </c>
      <c r="DE18" s="521">
        <f>IF(AND($O18&gt;0,Sheet1!EO16=1),(1-($O18-Sheet1!$L16)/$O18)*CZ18,0)</f>
        <v>0</v>
      </c>
      <c r="DF18" s="521">
        <f>IF(AND(Sheet1!$L16=0,Sheet1!$L15=0, Calculation!CY18&lt;Sheet1!$EK16-0.1,Sheet1!$EK16=Sheet1!$EK15,Sheet1!$EK16=Sheet1!$EK17),CZ18-DE18,CZ18-DE18)</f>
        <v>6.5153461812990718</v>
      </c>
      <c r="DG18" s="1040">
        <f t="shared" si="109"/>
        <v>0</v>
      </c>
      <c r="DH18" s="649">
        <f t="shared" ref="DH18:DH42" si="154">BK18+CE18+CY18</f>
        <v>10.02</v>
      </c>
      <c r="DI18" s="535">
        <f t="shared" ref="DI18:DI42" si="155">HJ18+HL18</f>
        <v>0</v>
      </c>
      <c r="DJ18" s="649">
        <f t="shared" ref="DJ18:DJ42" si="156">BL18+CF18+CZ18</f>
        <v>10.012847965738757</v>
      </c>
      <c r="DK18" s="535">
        <f ca="1">IF(B18&gt;Summary!$A$1,#N/A,DI18*MGtoAF)</f>
        <v>0</v>
      </c>
      <c r="DL18" s="649">
        <f t="shared" ref="DL18:DL42" si="157">CY18+CE18+BK18</f>
        <v>10.02</v>
      </c>
      <c r="DM18" s="535">
        <f t="shared" ref="DM18:DM42" si="158">DL18+AP18</f>
        <v>28.02</v>
      </c>
      <c r="DN18" s="535">
        <f>Sheet1!AB16-DM18</f>
        <v>-1.9999999999999574E-2</v>
      </c>
      <c r="DO18" s="743">
        <f t="shared" ref="DO18:DO42" si="159">IF(DM18=0,0,DN18/DM18)</f>
        <v>-7.1377587437543093E-4</v>
      </c>
      <c r="DP18" s="535">
        <f>(VLOOKUP(Sheet1!DC16,hhdcap_wcm,4)-(((VLOOKUP(Sheet1!DC16,hhdcap_wcm,3)-Sheet1!DC16)/(VLOOKUP(Sheet1!DC16,hhdcap_wcm,3)-VLOOKUP(Sheet1!DC16,hhdcap_wcm,1)))*(VLOOKUP(Sheet1!DC16,hhdcap_wcm,4)-VLOOKUP(Sheet1!DC16,hhdcap_wcm,2))))</f>
        <v>1114.6000000032218</v>
      </c>
      <c r="DQ18" s="535">
        <f t="shared" ref="DQ18:DQ42" si="160">DP18-DP17</f>
        <v>319.80000000054793</v>
      </c>
      <c r="DR18" s="535">
        <f t="shared" ref="DR18:DR42" si="161">DQ18*AFtoCFS</f>
        <v>161.27080181570744</v>
      </c>
      <c r="DS18" s="535">
        <f>Sheet1!EA16*AFtoMG</f>
        <v>0</v>
      </c>
      <c r="DT18" s="535">
        <f>Sheet1!EB16*AFtoMG</f>
        <v>0</v>
      </c>
      <c r="DU18" s="535">
        <f>Sheet1!EC16*AFtoMG</f>
        <v>0</v>
      </c>
      <c r="DV18" s="535">
        <f>Sheet1!ED16*AFtoMG</f>
        <v>0</v>
      </c>
      <c r="DW18" s="535">
        <f t="shared" ref="DW18:DW42" si="162">SUM(DS18:DV18)</f>
        <v>0</v>
      </c>
      <c r="DX18" s="535">
        <f t="shared" ref="DX18:DX42" si="163">DW18*MGtoAF</f>
        <v>0</v>
      </c>
      <c r="DY18" s="535">
        <f t="shared" ref="DY18:DY42" si="164">AN18</f>
        <v>0</v>
      </c>
      <c r="DZ18" s="535">
        <f t="shared" ref="DZ18:DZ42" si="165">DY18*MGtoAF</f>
        <v>0</v>
      </c>
      <c r="EA18" s="535"/>
      <c r="EB18" s="521">
        <f>IF(OR(B18&lt;FV18,B18&gt;FW18),(MIN(BF18+BY18+CT18+MAX(Sheet1!AA16+AQ18-73,0),K18)),0)</f>
        <v>0</v>
      </c>
      <c r="EC18" s="535"/>
      <c r="ED18" s="535">
        <f t="shared" ref="ED18:ED42" si="166">CT18+BF18+BY18</f>
        <v>0</v>
      </c>
      <c r="EE18" s="535"/>
      <c r="EF18" s="535">
        <f>Sheet1!EH16+Sheet1!EI16+Sheet1!EJ16+Sheet1!EK16</f>
        <v>10</v>
      </c>
      <c r="EG18" s="1019">
        <f t="shared" si="110"/>
        <v>15.469999999999999</v>
      </c>
      <c r="EH18" s="521">
        <f t="shared" ref="EH18:EH42" si="167">EB18-BP18-CK18-DD18</f>
        <v>0</v>
      </c>
      <c r="EI18" s="535">
        <f>IF(Sheet1!ET16=1,SUM('Calculations II'!AT18:BA18)+'Calculations II'!BC18+Sheet1!BV16+'Calculations II'!BE18+AP18,'Calculations II'!BK18)</f>
        <v>48.665544034261245</v>
      </c>
      <c r="EJ18" s="535">
        <f ca="1">EI18+'Calculations II'!D18+'Calculations II'!E18+'Calculations II'!O18</f>
        <v>42.692368333866781</v>
      </c>
      <c r="EK18" s="535"/>
      <c r="EL18" s="535"/>
      <c r="EM18" s="535">
        <f t="shared" ref="EM18:EM42" si="168">B18</f>
        <v>42742</v>
      </c>
      <c r="EN18" s="535">
        <f t="shared" ref="EN18:EN42" si="169">AJ18-AH18</f>
        <v>0</v>
      </c>
      <c r="EO18" s="535">
        <f t="shared" ref="EO18:EO42" si="170">AK18-AI18</f>
        <v>0</v>
      </c>
      <c r="EP18" s="535">
        <v>0</v>
      </c>
      <c r="EQ18" s="535">
        <v>0</v>
      </c>
      <c r="ER18" s="535">
        <v>0</v>
      </c>
      <c r="ES18" s="521">
        <f t="shared" si="71"/>
        <v>4.7060860409341343</v>
      </c>
      <c r="ET18" s="535">
        <f>-(VLOOKUP(Sheet1!BQ16,Lookup!$O$4:$Q$262,2)-VLOOKUP(Sheet1!BQ15,Lookup!$O$4:$Q$262,2))/1000000</f>
        <v>2.3527162819371559</v>
      </c>
      <c r="EU18" s="535">
        <f>-(VLOOKUP(Sheet1!BR16,Lookup!$O$4:$Q$262,3)-VLOOKUP(Sheet1!BR15,Lookup!$O$4:$Q$262,3))/1000000</f>
        <v>2.3533697589969784</v>
      </c>
      <c r="EV18" s="535"/>
      <c r="EW18" s="535"/>
      <c r="EX18" s="535"/>
      <c r="EY18" s="535"/>
      <c r="EZ18" s="535"/>
      <c r="FA18" s="535"/>
      <c r="FB18" s="535"/>
      <c r="FC18" s="535"/>
      <c r="FD18" s="567" t="e">
        <f t="shared" ref="FD18:FD42" si="171">VLOOKUP(FJ17,hhdelev_wcm,4) -(((VLOOKUP(FJ17,hhdelev_wcm,3)-FJ17)/(VLOOKUP(FJ17,hhdelev_wcm,3)-VLOOKUP(FJ17,hhdelev_wcm,1)))*(VLOOKUP(FJ17,hhdelev_wcm,4)-VLOOKUP(FJ17,hhdelev_wcm,2)))</f>
        <v>#N/A</v>
      </c>
      <c r="FE18" s="567" t="e">
        <f t="shared" ref="FE18:FE42" si="172">MAX((FE17-FI18*1.983),0)</f>
        <v>#N/A</v>
      </c>
      <c r="FF18" s="568" t="e">
        <f t="shared" ref="FF18:FF42" si="173">IF(DP18-AO18-FE18-1220&lt;0,0,DP18-AO18-FE18-1220)</f>
        <v>#N/A</v>
      </c>
      <c r="FG18" s="569" t="s">
        <v>656</v>
      </c>
      <c r="FH18" s="569" t="s">
        <v>656</v>
      </c>
      <c r="FI18" s="567" t="e">
        <v>#N/A</v>
      </c>
      <c r="FJ18" s="567" t="e">
        <v>#N/A</v>
      </c>
      <c r="FK18" s="535"/>
      <c r="FL18" s="1015">
        <v>0</v>
      </c>
      <c r="FM18" s="535"/>
      <c r="FN18" s="535"/>
      <c r="FO18" s="535">
        <f>O18+((Sheet1!CS16)*GPMtoMGD)</f>
        <v>54.6</v>
      </c>
      <c r="FP18" s="535">
        <f>IF(Sheet1!AA16+AQ18&lt;=Calculation!N18,AQ18,Calculation!N18-Sheet1!AA16)</f>
        <v>17.987152034261243</v>
      </c>
      <c r="FQ18" s="535">
        <f>(Sheet1!BP16+Sheet1!BO16)/694.4</f>
        <v>1.54205069124424</v>
      </c>
      <c r="FR18" s="541"/>
      <c r="FS18" s="541"/>
      <c r="FT18" s="541"/>
      <c r="FU18" s="541"/>
      <c r="FV18" s="1109">
        <f t="shared" si="74"/>
        <v>42918</v>
      </c>
      <c r="FW18" s="1109">
        <f t="shared" si="75"/>
        <v>43027</v>
      </c>
      <c r="FX18" s="541"/>
      <c r="FY18" s="541">
        <f>Sheet1!DA16-Sheet1!CZ16-Sheet1!AE16</f>
        <v>179.53379999999999</v>
      </c>
      <c r="FZ18" s="535">
        <f t="shared" si="111"/>
        <v>0.34049638133148685</v>
      </c>
      <c r="GA18" s="535"/>
      <c r="GB18" s="535" t="str">
        <f t="shared" si="76"/>
        <v>n</v>
      </c>
      <c r="GC18" s="539">
        <f t="shared" si="77"/>
        <v>42782</v>
      </c>
      <c r="GD18" s="1109">
        <f t="shared" si="78"/>
        <v>42904</v>
      </c>
      <c r="GE18" s="535">
        <f t="shared" si="95"/>
        <v>6520</v>
      </c>
      <c r="GF18" s="1109">
        <f t="shared" si="79"/>
        <v>42909</v>
      </c>
      <c r="GG18" s="535">
        <f t="shared" ref="GG18:GG81" si="174">GG17</f>
        <v>3260</v>
      </c>
      <c r="GH18" s="539">
        <f t="shared" si="80"/>
        <v>43040</v>
      </c>
      <c r="GJ18" s="521">
        <f t="shared" si="81"/>
        <v>0</v>
      </c>
      <c r="GK18" s="535" t="str">
        <f t="shared" ref="GK18:GK42" si="175">CONCATENATE(GM18,HA18,GT18,HH18)</f>
        <v/>
      </c>
      <c r="GL18" s="535">
        <f t="shared" si="82"/>
        <v>0</v>
      </c>
      <c r="GM18" s="535" t="str">
        <f t="shared" si="83"/>
        <v/>
      </c>
      <c r="GN18" s="535">
        <f>IF(GK18="P",Lookup!$M$12,IF(GK18="PP",Lookup!$M$13,IF(GK18="PPP",Lookup!$M$14,IF(GK18="T",Lookup!$M$15,IF(GK18="TP",Lookup!$M$16,IF(GK18="TPP",Lookup!$M$17,IF(GK18="TPPP",Lookup!$M$18,0)))))))*GJ18</f>
        <v>0</v>
      </c>
      <c r="GO18" s="535">
        <f t="shared" si="84"/>
        <v>0</v>
      </c>
      <c r="GP18" s="535">
        <f t="shared" ref="GP18:GP42" si="176">GQ18*MGtoAF</f>
        <v>0</v>
      </c>
      <c r="GQ18" s="535">
        <f t="shared" si="94"/>
        <v>0</v>
      </c>
      <c r="GR18" s="535"/>
      <c r="GS18" s="535">
        <f t="shared" si="85"/>
        <v>0</v>
      </c>
      <c r="GT18" s="535" t="str">
        <f t="shared" si="86"/>
        <v/>
      </c>
      <c r="GU18" s="535">
        <f>IF(GK18="P",Lookup!$N$12,IF(GK18="PP",Lookup!$N$13,IF(GK18="PPP",Lookup!$N$14,IF(GK18="T",Lookup!$N$15,IF(GK18="TP",Lookup!$N$16,IF(GK18="TPP",Lookup!$N$17,IF(GK18="TPPP",Lookup!$N$18,0)))))))*GJ18</f>
        <v>0</v>
      </c>
      <c r="GV18" s="535">
        <f t="shared" si="53"/>
        <v>0</v>
      </c>
      <c r="GW18" s="535">
        <f t="shared" ref="GW18:GW42" si="177">GX18*MGtoAF</f>
        <v>0</v>
      </c>
      <c r="GX18" s="535">
        <f t="shared" si="91"/>
        <v>0</v>
      </c>
      <c r="GY18" s="535"/>
      <c r="GZ18" s="535">
        <f t="shared" si="87"/>
        <v>0</v>
      </c>
      <c r="HA18" s="535" t="str">
        <f t="shared" si="88"/>
        <v/>
      </c>
      <c r="HB18" s="535">
        <f>IF(GK18="P",Lookup!$N$12,IF(GK18="PP",Lookup!$N$13,IF(GK18="PPP",Lookup!$N$14,IF(GK18="T",Lookup!$N$15,IF(GK18="TP",Lookup!$N$16,IF(GK18="TPP",Lookup!$N$17,IF(GK18="TPPP",Lookup!$N$18,0)))))))*GJ18</f>
        <v>0</v>
      </c>
      <c r="HC18" s="521">
        <f t="shared" ref="HC18:HC42" si="178">IF(HA18="P",MIN(HB18,7/36*GE18-HE18),0)</f>
        <v>0</v>
      </c>
      <c r="HD18" s="535">
        <f t="shared" ref="HD18:HD42" si="179">HE18*MGtoAF</f>
        <v>0</v>
      </c>
      <c r="HE18" s="535">
        <f t="shared" si="92"/>
        <v>0</v>
      </c>
      <c r="HF18" s="535"/>
      <c r="HG18" s="535">
        <f t="shared" si="89"/>
        <v>0</v>
      </c>
      <c r="HH18" s="535" t="str">
        <f t="shared" si="90"/>
        <v/>
      </c>
      <c r="HI18" s="535">
        <f>IF(GK18="P",Lookup!$N$12,IF(GK18="PP",Lookup!$N$13,IF(GK18="PPP",Lookup!$N$14,IF(GK18="T",Lookup!$N$15,IF(GK18="TP",Lookup!$N$16,IF(GK18="TPP",Lookup!$N$17,IF(GK18="TPPP",Lookup!$N$18,0)))))))*GJ18</f>
        <v>0</v>
      </c>
      <c r="HJ18" s="521">
        <f t="shared" ref="HJ18:HJ42" si="180">IF(HH18="P",MIN(HI18,7/36*GE18-HL18),0)</f>
        <v>0</v>
      </c>
      <c r="HK18" s="535">
        <f t="shared" ref="HK18:HK42" si="181">HL18*MGtoAF</f>
        <v>0</v>
      </c>
      <c r="HL18" s="535">
        <f t="shared" si="93"/>
        <v>0</v>
      </c>
      <c r="HM18" s="535"/>
      <c r="HN18" s="541"/>
      <c r="HO18" s="541"/>
      <c r="HP18" s="541"/>
      <c r="HQ18" s="541">
        <f>IF(AND(B18&gt;=$FV$4,B18&lt;=$FW$4),MAX(110/1.02+$HQ$6+MIN(113/1.02,G18),IF($HV$6-(Sheet1!DA16-Sheet1!DB16)+MIN(113/1.02,G18)&lt;G18+FL18,$HV$6-(Sheet1!DA16-Sheet1!DB16)+MIN(113/1.02,G18),G18+FL18)),MIN(110/1.02+$HQ$6+113/1.02,G18))</f>
        <v>218.62745098039215</v>
      </c>
      <c r="HR18" s="541">
        <f t="shared" si="112"/>
        <v>223</v>
      </c>
      <c r="HS18" s="541">
        <f>HR18+(Sheet1!DA16-Sheet1!DB16)</f>
        <v>565</v>
      </c>
      <c r="HT18" s="541">
        <f t="shared" si="113"/>
        <v>84.466200000000001</v>
      </c>
      <c r="HU18" s="541">
        <f t="shared" si="114"/>
        <v>480.53379999999999</v>
      </c>
      <c r="HV18" s="541">
        <f t="shared" si="115"/>
        <v>0</v>
      </c>
      <c r="HW18" s="533" t="str">
        <f t="shared" si="116"/>
        <v/>
      </c>
      <c r="HX18" s="541">
        <f t="shared" si="117"/>
        <v>147.37254901960785</v>
      </c>
      <c r="HY18" s="541">
        <f>Sheet1!CZ16</f>
        <v>366</v>
      </c>
      <c r="HZ18" s="541">
        <f t="shared" si="118"/>
        <v>0</v>
      </c>
      <c r="IA18" s="541">
        <f t="shared" si="119"/>
        <v>84.466200000000001</v>
      </c>
      <c r="IB18" s="541">
        <f t="shared" si="120"/>
        <v>366</v>
      </c>
      <c r="IC18" s="1019" t="str">
        <f t="shared" si="121"/>
        <v/>
      </c>
      <c r="ID18" s="541">
        <f t="shared" si="122"/>
        <v>281.53379999999999</v>
      </c>
      <c r="IE18" s="541">
        <f>Sheet1!DB16</f>
        <v>288</v>
      </c>
      <c r="IF18" s="533">
        <f>Sheet1!DA16</f>
        <v>630</v>
      </c>
      <c r="IH18" s="541">
        <f>IF(AND($B18&gt;=$GC18,$B18&lt;=$GH18,$DR18&lt;0)+N("only adjusted when pool is drawn down during storage season"),Sheet1!$DB16+$DR18+N("Palmer minus all storage release"),Sheet1!$DB16)</f>
        <v>288</v>
      </c>
      <c r="II18" s="541">
        <f>IF(AND($B18&gt;=$GC18,$B18&lt;=$GH18,$DR18&lt;0)+N("only adjusted when pool is drawn down during storage season"),Sheet1!$DA16+$DR18+N("Auburn minus all storage release"),Sheet1!$DA16)</f>
        <v>630</v>
      </c>
    </row>
    <row r="19" spans="1:243" x14ac:dyDescent="0.25">
      <c r="A19" s="553" t="s">
        <v>3</v>
      </c>
      <c r="B19" s="531">
        <v>42743</v>
      </c>
      <c r="C19" s="536">
        <v>0</v>
      </c>
      <c r="D19" s="506">
        <f t="shared" si="0"/>
        <v>300</v>
      </c>
      <c r="E19" s="506">
        <f t="shared" si="1"/>
        <v>250</v>
      </c>
      <c r="F19" s="506">
        <v>250</v>
      </c>
      <c r="G19" s="535">
        <f>DR19+Sheet1!CZ17</f>
        <v>578.04639435218121</v>
      </c>
      <c r="H19" s="1074">
        <f t="shared" si="96"/>
        <v>122.2853056</v>
      </c>
      <c r="I19" s="534">
        <f>IF(Sheet1!DA17&gt;=E19,(Sheet1!DA17-E19+P19)*CFStoMGD,0)</f>
        <v>405.40850559999996</v>
      </c>
      <c r="J19" s="995">
        <f>IF(Sheet1!DB17&gt;=D19,(Sheet1!DB17-D19+P19)*CFStoMGD,0)</f>
        <v>122.2853056</v>
      </c>
      <c r="K19" s="818">
        <f t="shared" si="97"/>
        <v>64.64</v>
      </c>
      <c r="L19" s="535">
        <f>Sheet1!AA17+Sheet1!AB17-Sheet1!L17+(Sheet1!DA17-F19)*CFStoMGD-S19-T19-U19</f>
        <v>348.40960000000001</v>
      </c>
      <c r="M19" s="535">
        <f t="shared" si="123"/>
        <v>381.12217309543496</v>
      </c>
      <c r="N19" s="824">
        <f>IF(Sheet1!DA17&gt;=F19,MIN(113*CFStoMGD,MIN(MAX(L19,0),MAX(M19,0))),0)</f>
        <v>73.043199999999999</v>
      </c>
      <c r="O19" s="538">
        <f>Sheet1!AA17+Sheet1!AB17</f>
        <v>57</v>
      </c>
      <c r="P19" s="538">
        <f t="shared" si="124"/>
        <v>88.179000000000002</v>
      </c>
      <c r="Q19" s="812">
        <f t="shared" si="98"/>
        <v>0</v>
      </c>
      <c r="R19" s="812">
        <f t="shared" si="59"/>
        <v>9.9538057742782158</v>
      </c>
      <c r="S19" s="812">
        <f t="shared" si="60"/>
        <v>57</v>
      </c>
      <c r="T19" s="812">
        <f t="shared" si="61"/>
        <v>0</v>
      </c>
      <c r="U19" s="812">
        <f t="shared" si="99"/>
        <v>0</v>
      </c>
      <c r="V19" s="812"/>
      <c r="W19" s="812">
        <f t="shared" si="62"/>
        <v>54.686194225721785</v>
      </c>
      <c r="X19" s="812">
        <f t="shared" si="63"/>
        <v>57</v>
      </c>
      <c r="Y19" s="812" t="str">
        <f t="shared" si="64"/>
        <v/>
      </c>
      <c r="Z19" s="812">
        <f t="shared" si="65"/>
        <v>57</v>
      </c>
      <c r="AA19" s="812">
        <f t="shared" si="66"/>
        <v>57</v>
      </c>
      <c r="AB19" s="1059">
        <f t="shared" si="100"/>
        <v>0</v>
      </c>
      <c r="AC19" s="538">
        <f>Sheet1!Y17*MGDtoCFS</f>
        <v>41.150199999999998</v>
      </c>
      <c r="AD19" s="538">
        <f>Sheet1!Z17*MGDtoCFS</f>
        <v>43.315999999999995</v>
      </c>
      <c r="AE19" s="538">
        <f>Sheet1!AA17*MGDtoCFS</f>
        <v>41.150199999999998</v>
      </c>
      <c r="AF19" s="538">
        <f>Sheet1!AB17*MGDtoCFS</f>
        <v>47.028799999999997</v>
      </c>
      <c r="AG19" s="538">
        <f>Sheet1!L17*MGDtoCFS</f>
        <v>0</v>
      </c>
      <c r="AH19" s="521">
        <f t="shared" si="125"/>
        <v>0</v>
      </c>
      <c r="AI19" s="1059">
        <f t="shared" si="126"/>
        <v>0</v>
      </c>
      <c r="AJ19" s="535">
        <f t="shared" si="127"/>
        <v>0</v>
      </c>
      <c r="AK19" s="535">
        <f t="shared" si="128"/>
        <v>0</v>
      </c>
      <c r="AL19" s="535">
        <f>(VLOOKUP(Sheet1!DC17,hhdcap_wcm,4)-(((VLOOKUP(Sheet1!DC17,hhdcap_wcm,3)-Sheet1!DC17)/(VLOOKUP(Sheet1!DC17,hhdcap_wcm,3)-VLOOKUP(Sheet1!DC17,hhdcap_wcm,1)))*(VLOOKUP(Sheet1!DC17,hhdcap_wcm,4)-VLOOKUP(Sheet1!DC17,hhdcap_wcm,2))))</f>
        <v>1265.4000000035971</v>
      </c>
      <c r="AM19" s="535">
        <f t="shared" si="129"/>
        <v>150.80000000037535</v>
      </c>
      <c r="AN19" s="1035">
        <f t="shared" si="130"/>
        <v>0</v>
      </c>
      <c r="AO19" s="535">
        <f t="shared" si="131"/>
        <v>0</v>
      </c>
      <c r="AP19" s="535">
        <f>Sheet1!BA17+Sheet1!BB17+Sheet1!BN17+CD19</f>
        <v>20.5</v>
      </c>
      <c r="AQ19" s="535">
        <f>Sheet1!BN17+(DO19*Sheet1!BN17)</f>
        <v>20.446194225721783</v>
      </c>
      <c r="AR19" s="535">
        <f>Sheet1!BA17+CD19</f>
        <v>0</v>
      </c>
      <c r="AS19" s="535">
        <f>Sheet1!BA17+Sheet1!BB17+CD19</f>
        <v>0</v>
      </c>
      <c r="AT19" s="649">
        <f>0</f>
        <v>0</v>
      </c>
      <c r="AU19" s="535">
        <f>IF(EB19&lt;K19,0,MAX(Sheet1!AA17+AQ19-15/36*K19-N19,Sheet1!EH17,0))</f>
        <v>0</v>
      </c>
      <c r="AV19" s="535">
        <f>IF(OR(B19&gt;=GD19,B19&lt;GC19),0,15/36*K19-MAX(0,64.6-(137.6-(Sheet1!AA17+Sheet1!AB17))))</f>
        <v>0</v>
      </c>
      <c r="AW19" s="1029"/>
      <c r="AX19" s="649"/>
      <c r="AY19" s="649">
        <f t="shared" si="101"/>
        <v>0</v>
      </c>
      <c r="AZ19" s="649">
        <f t="shared" si="102"/>
        <v>0</v>
      </c>
      <c r="BA19" s="1059">
        <f t="shared" si="103"/>
        <v>0</v>
      </c>
      <c r="BB19" s="1019">
        <f t="shared" si="132"/>
        <v>0</v>
      </c>
      <c r="BC19" s="1041">
        <f t="shared" si="104"/>
        <v>26.933333333333334</v>
      </c>
      <c r="BD19" s="1019">
        <f ca="1">IF(B19&gt;Summary!$A$1,#N/A,BB19*MGtoAF)</f>
        <v>0</v>
      </c>
      <c r="BE19" s="535">
        <f>Sheet1!BG17+Sheet1!BH17+Sheet1!BI17-BM19</f>
        <v>1.01</v>
      </c>
      <c r="BF19" s="535">
        <f t="shared" si="133"/>
        <v>1.0073490813648294</v>
      </c>
      <c r="BG19" s="535">
        <f>IF(Sheet1!EP17="FM",BM19,0)</f>
        <v>0</v>
      </c>
      <c r="BH19" s="535">
        <f t="shared" si="134"/>
        <v>0</v>
      </c>
      <c r="BI19" s="535">
        <f>IF(Sheet1!EP17="OTHER",BM19,0)</f>
        <v>0</v>
      </c>
      <c r="BJ19" s="535">
        <f t="shared" si="135"/>
        <v>0</v>
      </c>
      <c r="BK19" s="535">
        <f t="shared" si="136"/>
        <v>1.01</v>
      </c>
      <c r="BL19" s="535">
        <f t="shared" si="137"/>
        <v>1.0073490813648294</v>
      </c>
      <c r="BM19" s="535">
        <f>IF(OR(Sheet1!EP17="FM", Sheet1!EP17="OTHER"),SUM(Sheet1!BG17:'Sheet1'!BI17),0)</f>
        <v>0</v>
      </c>
      <c r="BN19" s="521">
        <f>IF(AND($B19&gt;=$FV19,$B19&lt;=$FW19),MAX(BF19,Sheet1!EI17,0),MAX(BF19-(7/36)*$K19,0))</f>
        <v>0</v>
      </c>
      <c r="BO19" s="535">
        <f t="shared" si="138"/>
        <v>0</v>
      </c>
      <c r="BP19" s="521">
        <f t="shared" si="15"/>
        <v>1.0073490813648294</v>
      </c>
      <c r="BQ19" s="521">
        <f>IF(AND($O19&gt;0,Sheet1!EM17=1),(1-($O19-Sheet1!$L17)/$O19)*BL19,0)</f>
        <v>0</v>
      </c>
      <c r="BR19" s="521">
        <f>IF(AND(Sheet1!$L17=0,Sheet1!$L16=0, Calculation!BK19&lt;Sheet1!$EI17-0.1,Sheet1!$EI17=Sheet1!$EI16,Sheet1!$EI17=Sheet1!$EI18),BL19-BQ19,BL19-BQ19)</f>
        <v>1.0073490813648294</v>
      </c>
      <c r="BS19" s="1035" t="str">
        <f t="shared" si="105"/>
        <v/>
      </c>
      <c r="BT19" s="1035">
        <f t="shared" si="106"/>
        <v>12.568888888888889</v>
      </c>
      <c r="BU19" s="535">
        <f t="shared" si="139"/>
        <v>0</v>
      </c>
      <c r="BV19" s="535"/>
      <c r="BW19" s="535">
        <f ca="1">IF(B19&gt;Summary!$A$1,#N/A,BU19*MGtoAF)</f>
        <v>0</v>
      </c>
      <c r="BX19" s="535">
        <f>Sheet1!BC17+Sheet1!BD17+Sheet1!BE17+Sheet1!BF17-CG19-CH19</f>
        <v>2.4900000000000002</v>
      </c>
      <c r="BY19" s="535">
        <f t="shared" si="140"/>
        <v>2.483464566929134</v>
      </c>
      <c r="BZ19" s="535">
        <f>IF(Sheet1!EQ17="FM",CH19,0)</f>
        <v>0</v>
      </c>
      <c r="CA19" s="535">
        <f t="shared" si="141"/>
        <v>0</v>
      </c>
      <c r="CB19" s="535">
        <f>IF(Sheet1!EQ17="OTHER",CH19,0)</f>
        <v>0</v>
      </c>
      <c r="CC19" s="535">
        <f t="shared" si="142"/>
        <v>0</v>
      </c>
      <c r="CD19" s="535">
        <f t="shared" si="143"/>
        <v>0</v>
      </c>
      <c r="CE19" s="535">
        <f t="shared" si="144"/>
        <v>2.4900000000000002</v>
      </c>
      <c r="CF19" s="535">
        <f t="shared" si="145"/>
        <v>2.483464566929134</v>
      </c>
      <c r="CG19" s="535">
        <f>IF(Sheet1!EQ17="CWA",SUM(Sheet1!BC17:'Sheet1'!BF17),0)</f>
        <v>0</v>
      </c>
      <c r="CH19" s="535">
        <f>IF(OR(Sheet1!EQ17="FM", Sheet1!EQ17="OTHER"),SUM(Sheet1!BC17:'Sheet1'!BF17),0)</f>
        <v>0</v>
      </c>
      <c r="CI19" s="521">
        <f>IF(AND($B19&gt;=$FV19,$B19&lt;=$FW19),MAX(CF19,Sheet1!EJ17,0),MAX(CF19-(7/36)*$K19,0))</f>
        <v>0</v>
      </c>
      <c r="CJ19" s="535">
        <f t="shared" si="146"/>
        <v>0</v>
      </c>
      <c r="CK19" s="521">
        <f t="shared" ref="CK19:CK42" si="182">MAX(CF19-CI19,0)</f>
        <v>2.483464566929134</v>
      </c>
      <c r="CL19" s="521">
        <f>IF(AND($O19&gt;0,Sheet1!EN17=1),(1-($O19-Sheet1!$L17)/$O19)*CF19,0)</f>
        <v>0</v>
      </c>
      <c r="CM19" s="521">
        <f>IF(AND(Sheet1!$L17=0,Sheet1!$L16=0, Calculation!CE19&lt;Sheet1!EJ17-0.1,Sheet1!EJ17=Sheet1!EJ16,Sheet1!EJ17=Sheet1!EJ18),CF19-CL19,CF19-CL19)</f>
        <v>2.483464566929134</v>
      </c>
      <c r="CN19" s="1040" t="str">
        <f t="shared" si="107"/>
        <v/>
      </c>
      <c r="CO19" s="1035">
        <f t="shared" si="108"/>
        <v>12.568888888888889</v>
      </c>
      <c r="CP19" s="535">
        <f t="shared" si="147"/>
        <v>0</v>
      </c>
      <c r="CQ19" s="535"/>
      <c r="CR19" s="535">
        <f ca="1">IF(B19&gt;Summary!$A$1,#N/A,CP19*MGtoAF)</f>
        <v>0</v>
      </c>
      <c r="CS19" s="535">
        <f>Sheet1!BK17+Sheet1!BL17+Sheet1!BM17-Sheet1!ER17-DA19</f>
        <v>6.48</v>
      </c>
      <c r="CT19" s="535">
        <f t="shared" si="148"/>
        <v>6.4629921259842522</v>
      </c>
      <c r="CU19" s="535">
        <f>IF(Sheet1!ER17="FM",DA19,0)</f>
        <v>0</v>
      </c>
      <c r="CV19" s="535">
        <f t="shared" si="149"/>
        <v>0</v>
      </c>
      <c r="CW19" s="535">
        <f>IF(Sheet1!ER17="OTHER",DA19,0)</f>
        <v>0</v>
      </c>
      <c r="CX19" s="535">
        <f t="shared" si="150"/>
        <v>0</v>
      </c>
      <c r="CY19" s="535">
        <f t="shared" si="151"/>
        <v>6.48</v>
      </c>
      <c r="CZ19" s="535">
        <f t="shared" si="152"/>
        <v>6.4629921259842522</v>
      </c>
      <c r="DA19" s="535">
        <f>IF(OR(Sheet1!ER17="FM", Sheet1!ER17="OTHER"),SUM(Sheet1!BK17:'Sheet1'!BM17),0)</f>
        <v>0</v>
      </c>
      <c r="DB19" s="1011">
        <f>IF(AND($B19&gt;=$FV19,$B19&lt;=$FW19),MAX($CT19,Sheet1!EK17,0),MAX($CT19-(7/36)*$K19,0))</f>
        <v>0</v>
      </c>
      <c r="DC19" s="1012">
        <f t="shared" si="153"/>
        <v>0</v>
      </c>
      <c r="DD19" s="1011">
        <f t="shared" ref="DD19:DD42" si="183">MAX(CZ19-DB19,0)</f>
        <v>6.4629921259842522</v>
      </c>
      <c r="DE19" s="521">
        <f>IF(AND($O19&gt;0,Sheet1!EO17=1),(1-($O19-Sheet1!$L17)/$O19)*CZ19,0)</f>
        <v>0</v>
      </c>
      <c r="DF19" s="521">
        <f>IF(AND(Sheet1!$L17=0,Sheet1!$L16=0, Calculation!CY19&lt;Sheet1!$EK17-0.1,Sheet1!$EK17=Sheet1!$EK16,Sheet1!$EK17=Sheet1!$EK18),CZ19-DE19,CZ19-DE19)</f>
        <v>6.4629921259842522</v>
      </c>
      <c r="DG19" s="1040">
        <f t="shared" si="109"/>
        <v>12.568888888888889</v>
      </c>
      <c r="DH19" s="649">
        <f t="shared" si="154"/>
        <v>9.98</v>
      </c>
      <c r="DI19" s="535">
        <f t="shared" si="155"/>
        <v>0</v>
      </c>
      <c r="DJ19" s="649">
        <f t="shared" si="156"/>
        <v>9.9538057742782158</v>
      </c>
      <c r="DK19" s="535">
        <f ca="1">IF(B19&gt;Summary!$A$1,#N/A,DI19*MGtoAF)</f>
        <v>0</v>
      </c>
      <c r="DL19" s="649">
        <f t="shared" si="157"/>
        <v>9.98</v>
      </c>
      <c r="DM19" s="535">
        <f t="shared" si="158"/>
        <v>30.48</v>
      </c>
      <c r="DN19" s="535">
        <f>Sheet1!AB17-DM19</f>
        <v>-8.0000000000001847E-2</v>
      </c>
      <c r="DO19" s="743">
        <f t="shared" si="159"/>
        <v>-2.6246719160105594E-3</v>
      </c>
      <c r="DP19" s="535">
        <f>(VLOOKUP(Sheet1!DC17,hhdcap_wcm,4)-(((VLOOKUP(Sheet1!DC17,hhdcap_wcm,3)-Sheet1!DC17)/(VLOOKUP(Sheet1!DC17,hhdcap_wcm,3)-VLOOKUP(Sheet1!DC17,hhdcap_wcm,1)))*(VLOOKUP(Sheet1!DC17,hhdcap_wcm,4)-VLOOKUP(Sheet1!DC17,hhdcap_wcm,2))))</f>
        <v>1265.4000000035971</v>
      </c>
      <c r="DQ19" s="535">
        <f t="shared" si="160"/>
        <v>150.80000000037535</v>
      </c>
      <c r="DR19" s="535">
        <f t="shared" si="161"/>
        <v>76.04639435218121</v>
      </c>
      <c r="DS19" s="535">
        <f>Sheet1!EA17*AFtoMG</f>
        <v>0</v>
      </c>
      <c r="DT19" s="535">
        <f>Sheet1!EB17*AFtoMG</f>
        <v>0</v>
      </c>
      <c r="DU19" s="535">
        <f>Sheet1!EC17*AFtoMG</f>
        <v>0</v>
      </c>
      <c r="DV19" s="535">
        <f>Sheet1!ED17*AFtoMG</f>
        <v>0</v>
      </c>
      <c r="DW19" s="535">
        <f t="shared" si="162"/>
        <v>0</v>
      </c>
      <c r="DX19" s="535">
        <f t="shared" si="163"/>
        <v>0</v>
      </c>
      <c r="DY19" s="535">
        <f t="shared" si="164"/>
        <v>0</v>
      </c>
      <c r="DZ19" s="535">
        <f t="shared" si="165"/>
        <v>0</v>
      </c>
      <c r="EA19" s="535"/>
      <c r="EB19" s="521">
        <f>IF(OR(B19&lt;FV19,B19&gt;FW19),(MIN(BF19+BY19+CT19+MAX(Sheet1!AA17+AQ19-73,0),K19)),0)</f>
        <v>9.9538057742782158</v>
      </c>
      <c r="EC19" s="535"/>
      <c r="ED19" s="535">
        <f t="shared" si="166"/>
        <v>9.9538057742782158</v>
      </c>
      <c r="EE19" s="535"/>
      <c r="EF19" s="535">
        <f>Sheet1!EH17+Sheet1!EI17+Sheet1!EJ17+Sheet1!EK17</f>
        <v>10</v>
      </c>
      <c r="EG19" s="1019">
        <f t="shared" si="110"/>
        <v>15.469999999999999</v>
      </c>
      <c r="EH19" s="521">
        <f t="shared" si="167"/>
        <v>0</v>
      </c>
      <c r="EI19" s="535">
        <f>IF(Sheet1!ET17=1,SUM('Calculations II'!AT19:BA19)+'Calculations II'!BC19+Sheet1!BV17+'Calculations II'!BE19+AP19,'Calculations II'!BK19)</f>
        <v>47.453226225721792</v>
      </c>
      <c r="EJ19" s="535">
        <f ca="1">EI19+'Calculations II'!D19+'Calculations II'!E19+'Calculations II'!O19</f>
        <v>45.704210830456482</v>
      </c>
      <c r="EK19" s="535"/>
      <c r="EL19" s="535"/>
      <c r="EM19" s="535">
        <f t="shared" si="168"/>
        <v>42743</v>
      </c>
      <c r="EN19" s="535">
        <f t="shared" si="169"/>
        <v>0</v>
      </c>
      <c r="EO19" s="535">
        <f t="shared" si="170"/>
        <v>0</v>
      </c>
      <c r="EP19" s="535">
        <v>0</v>
      </c>
      <c r="EQ19" s="535">
        <v>0</v>
      </c>
      <c r="ER19" s="535">
        <v>0</v>
      </c>
      <c r="ES19" s="521">
        <f t="shared" si="71"/>
        <v>1.383393463716589</v>
      </c>
      <c r="ET19" s="535">
        <f>-(VLOOKUP(Sheet1!BQ17,Lookup!$O$4:$Q$262,2)-VLOOKUP(Sheet1!BQ16,Lookup!$O$4:$Q$262,2))/1000000</f>
        <v>0.82992847432326156</v>
      </c>
      <c r="EU19" s="535">
        <f>-(VLOOKUP(Sheet1!BR17,Lookup!$O$4:$Q$262,3)-VLOOKUP(Sheet1!BR16,Lookup!$O$4:$Q$262,3))/1000000</f>
        <v>0.55346498939332733</v>
      </c>
      <c r="EV19" s="535"/>
      <c r="EW19" s="535"/>
      <c r="EX19" s="535"/>
      <c r="EY19" s="535"/>
      <c r="EZ19" s="535"/>
      <c r="FA19" s="535"/>
      <c r="FB19" s="535"/>
      <c r="FC19" s="535"/>
      <c r="FD19" s="567" t="e">
        <f t="shared" si="171"/>
        <v>#N/A</v>
      </c>
      <c r="FE19" s="567" t="e">
        <f t="shared" si="172"/>
        <v>#N/A</v>
      </c>
      <c r="FF19" s="568" t="e">
        <f t="shared" si="173"/>
        <v>#N/A</v>
      </c>
      <c r="FG19" s="569" t="s">
        <v>656</v>
      </c>
      <c r="FH19" s="569" t="s">
        <v>656</v>
      </c>
      <c r="FI19" s="567" t="e">
        <v>#N/A</v>
      </c>
      <c r="FJ19" s="567" t="e">
        <v>#N/A</v>
      </c>
      <c r="FK19" s="535"/>
      <c r="FL19" s="1015">
        <v>0</v>
      </c>
      <c r="FM19" s="535"/>
      <c r="FN19" s="535"/>
      <c r="FO19" s="535">
        <f>O19+((Sheet1!CS17)*GPMtoMGD)</f>
        <v>57</v>
      </c>
      <c r="FP19" s="535">
        <f>IF(Sheet1!AA17+AQ19&lt;=Calculation!N19,AQ19,Calculation!N19-Sheet1!AA17)</f>
        <v>20.446194225721783</v>
      </c>
      <c r="FQ19" s="535">
        <f>(Sheet1!BP17+Sheet1!BO17)/694.4</f>
        <v>1.5961981566820278</v>
      </c>
      <c r="FR19" s="541"/>
      <c r="FS19" s="541"/>
      <c r="FT19" s="541"/>
      <c r="FU19" s="541"/>
      <c r="FV19" s="1109">
        <f t="shared" si="74"/>
        <v>42918</v>
      </c>
      <c r="FW19" s="1109">
        <f t="shared" si="75"/>
        <v>43027</v>
      </c>
      <c r="FX19" s="541"/>
      <c r="FY19" s="541">
        <f>Sheet1!DA17-Sheet1!CZ17-Sheet1!AE17</f>
        <v>198.821</v>
      </c>
      <c r="FZ19" s="535">
        <f t="shared" si="111"/>
        <v>0.34395336073814531</v>
      </c>
      <c r="GA19" s="535"/>
      <c r="GB19" s="535" t="str">
        <f t="shared" si="76"/>
        <v>n</v>
      </c>
      <c r="GC19" s="539">
        <f t="shared" si="77"/>
        <v>42782</v>
      </c>
      <c r="GD19" s="1109">
        <f t="shared" si="78"/>
        <v>42904</v>
      </c>
      <c r="GE19" s="535">
        <f t="shared" si="95"/>
        <v>6520</v>
      </c>
      <c r="GF19" s="1109">
        <f t="shared" si="79"/>
        <v>42909</v>
      </c>
      <c r="GG19" s="535">
        <f t="shared" si="174"/>
        <v>3260</v>
      </c>
      <c r="GH19" s="539">
        <f t="shared" si="80"/>
        <v>43040</v>
      </c>
      <c r="GJ19" s="521">
        <f t="shared" si="81"/>
        <v>0</v>
      </c>
      <c r="GK19" s="535" t="str">
        <f t="shared" si="175"/>
        <v/>
      </c>
      <c r="GL19" s="535">
        <f t="shared" si="82"/>
        <v>0</v>
      </c>
      <c r="GM19" s="535" t="str">
        <f t="shared" si="83"/>
        <v/>
      </c>
      <c r="GN19" s="535">
        <f>IF(GK19="P",Lookup!$M$12,IF(GK19="PP",Lookup!$M$13,IF(GK19="PPP",Lookup!$M$14,IF(GK19="T",Lookup!$M$15,IF(GK19="TP",Lookup!$M$16,IF(GK19="TPP",Lookup!$M$17,IF(GK19="TPPP",Lookup!$M$18,0)))))))*GJ19</f>
        <v>0</v>
      </c>
      <c r="GO19" s="535">
        <f t="shared" si="84"/>
        <v>0</v>
      </c>
      <c r="GP19" s="535">
        <f t="shared" si="176"/>
        <v>0</v>
      </c>
      <c r="GQ19" s="535">
        <f t="shared" si="94"/>
        <v>0</v>
      </c>
      <c r="GR19" s="535"/>
      <c r="GS19" s="535">
        <f t="shared" si="85"/>
        <v>0</v>
      </c>
      <c r="GT19" s="535" t="str">
        <f t="shared" si="86"/>
        <v/>
      </c>
      <c r="GU19" s="535">
        <f>IF(GK19="P",Lookup!$N$12,IF(GK19="PP",Lookup!$N$13,IF(GK19="PPP",Lookup!$N$14,IF(GK19="T",Lookup!$N$15,IF(GK19="TP",Lookup!$N$16,IF(GK19="TPP",Lookup!$N$17,IF(GK19="TPPP",Lookup!$N$18,0)))))))*GJ19</f>
        <v>0</v>
      </c>
      <c r="GV19" s="535">
        <f t="shared" si="53"/>
        <v>0</v>
      </c>
      <c r="GW19" s="535">
        <f t="shared" si="177"/>
        <v>0</v>
      </c>
      <c r="GX19" s="535">
        <f t="shared" si="91"/>
        <v>0</v>
      </c>
      <c r="GY19" s="535"/>
      <c r="GZ19" s="535">
        <f t="shared" si="87"/>
        <v>0</v>
      </c>
      <c r="HA19" s="535" t="str">
        <f t="shared" si="88"/>
        <v/>
      </c>
      <c r="HB19" s="535">
        <f>IF(GK19="P",Lookup!$N$12,IF(GK19="PP",Lookup!$N$13,IF(GK19="PPP",Lookup!$N$14,IF(GK19="T",Lookup!$N$15,IF(GK19="TP",Lookup!$N$16,IF(GK19="TPP",Lookup!$N$17,IF(GK19="TPPP",Lookup!$N$18,0)))))))*GJ19</f>
        <v>0</v>
      </c>
      <c r="HC19" s="521">
        <f t="shared" si="178"/>
        <v>0</v>
      </c>
      <c r="HD19" s="535">
        <f t="shared" si="179"/>
        <v>0</v>
      </c>
      <c r="HE19" s="535">
        <f t="shared" si="92"/>
        <v>0</v>
      </c>
      <c r="HF19" s="535"/>
      <c r="HG19" s="535">
        <f t="shared" si="89"/>
        <v>0</v>
      </c>
      <c r="HH19" s="535" t="str">
        <f t="shared" si="90"/>
        <v/>
      </c>
      <c r="HI19" s="535">
        <f>IF(GK19="P",Lookup!$N$12,IF(GK19="PP",Lookup!$N$13,IF(GK19="PPP",Lookup!$N$14,IF(GK19="T",Lookup!$N$15,IF(GK19="TP",Lookup!$N$16,IF(GK19="TPP",Lookup!$N$17,IF(GK19="TPPP",Lookup!$N$18,0)))))))*GJ19</f>
        <v>0</v>
      </c>
      <c r="HJ19" s="521">
        <f t="shared" si="180"/>
        <v>0</v>
      </c>
      <c r="HK19" s="535">
        <f t="shared" si="181"/>
        <v>0</v>
      </c>
      <c r="HL19" s="535">
        <f t="shared" si="93"/>
        <v>0</v>
      </c>
      <c r="HM19" s="535"/>
      <c r="HN19" s="541"/>
      <c r="HO19" s="541"/>
      <c r="HP19" s="541"/>
      <c r="HQ19" s="541">
        <f>IF(AND(B19&gt;=$FV$4,B19&lt;=$FW$4),MAX(110/1.02+$HQ$6+MIN(113/1.02,G19),IF($HV$6-(Sheet1!DA17-Sheet1!DB17)+MIN(113/1.02,G19)&lt;G19+FL19,$HV$6-(Sheet1!DA17-Sheet1!DB17)+MIN(113/1.02,G19),G19+FL19)),MIN(110/1.02+$HQ$6+113/1.02,G19))</f>
        <v>218.62745098039215</v>
      </c>
      <c r="HR19" s="541">
        <f t="shared" si="112"/>
        <v>223</v>
      </c>
      <c r="HS19" s="541">
        <f>HR19+(Sheet1!DA17-Sheet1!DB17)</f>
        <v>611</v>
      </c>
      <c r="HT19" s="541">
        <f t="shared" si="113"/>
        <v>0</v>
      </c>
      <c r="HU19" s="541">
        <f t="shared" si="114"/>
        <v>611</v>
      </c>
      <c r="HV19" s="541">
        <f t="shared" si="115"/>
        <v>0</v>
      </c>
      <c r="HW19" s="533" t="str">
        <f t="shared" si="116"/>
        <v/>
      </c>
      <c r="HX19" s="541">
        <f t="shared" si="117"/>
        <v>283.37254901960785</v>
      </c>
      <c r="HY19" s="541">
        <f>Sheet1!CZ17</f>
        <v>502</v>
      </c>
      <c r="HZ19" s="541">
        <f t="shared" si="118"/>
        <v>0</v>
      </c>
      <c r="IA19" s="541">
        <f t="shared" si="119"/>
        <v>0</v>
      </c>
      <c r="IB19" s="541">
        <f t="shared" si="120"/>
        <v>502</v>
      </c>
      <c r="IC19" s="1019" t="str">
        <f t="shared" si="121"/>
        <v/>
      </c>
      <c r="ID19" s="541">
        <f t="shared" si="122"/>
        <v>502</v>
      </c>
      <c r="IE19" s="541">
        <f>Sheet1!DB17</f>
        <v>401</v>
      </c>
      <c r="IF19" s="533">
        <f>Sheet1!DA17</f>
        <v>789</v>
      </c>
      <c r="IH19" s="541">
        <f>IF(AND($B19&gt;=$GC19,$B19&lt;=$GH19,$DR19&lt;0)+N("only adjusted when pool is drawn down during storage season"),Sheet1!$DB17+$DR19+N("Palmer minus all storage release"),Sheet1!$DB17)</f>
        <v>401</v>
      </c>
      <c r="II19" s="541">
        <f>IF(AND($B19&gt;=$GC19,$B19&lt;=$GH19,$DR19&lt;0)+N("only adjusted when pool is drawn down during storage season"),Sheet1!$DA17+$DR19+N("Auburn minus all storage release"),Sheet1!$DA17)</f>
        <v>789</v>
      </c>
    </row>
    <row r="20" spans="1:243" x14ac:dyDescent="0.25">
      <c r="A20" s="553" t="s">
        <v>4</v>
      </c>
      <c r="B20" s="531">
        <v>42744</v>
      </c>
      <c r="C20" s="536">
        <v>0</v>
      </c>
      <c r="D20" s="506">
        <f t="shared" si="0"/>
        <v>300</v>
      </c>
      <c r="E20" s="506">
        <f t="shared" si="1"/>
        <v>250</v>
      </c>
      <c r="F20" s="506">
        <v>250</v>
      </c>
      <c r="G20" s="535">
        <f>DR20+Sheet1!CZ18</f>
        <v>530.77559253635673</v>
      </c>
      <c r="H20" s="1074">
        <f t="shared" si="96"/>
        <v>202.55401651199998</v>
      </c>
      <c r="I20" s="534">
        <f>IF(Sheet1!DA18&gt;=E20,(Sheet1!DA18-E20+P20)*CFStoMGD,0)</f>
        <v>496.666016512</v>
      </c>
      <c r="J20" s="995">
        <f>IF(Sheet1!DB18&gt;=D20,(Sheet1!DB18-D20+P20)*CFStoMGD,0)</f>
        <v>202.55401651199998</v>
      </c>
      <c r="K20" s="818">
        <f t="shared" si="97"/>
        <v>64.64</v>
      </c>
      <c r="L20" s="535">
        <f>Sheet1!AA18+Sheet1!AB18-Sheet1!L18+(Sheet1!DA18-F20)*CFStoMGD-S20-T20-U20</f>
        <v>435.02719999999999</v>
      </c>
      <c r="M20" s="535">
        <f t="shared" si="123"/>
        <v>349.95520987581102</v>
      </c>
      <c r="N20" s="824">
        <f>IF(Sheet1!DA18&gt;=F20,MIN(113*CFStoMGD,MIN(MAX(L20,0),MAX(M20,0))),0)</f>
        <v>73.043199999999999</v>
      </c>
      <c r="O20" s="538">
        <f>Sheet1!AA18+Sheet1!AB18</f>
        <v>61.64</v>
      </c>
      <c r="P20" s="538">
        <f t="shared" si="124"/>
        <v>95.357079999999996</v>
      </c>
      <c r="Q20" s="812">
        <f t="shared" si="98"/>
        <v>0</v>
      </c>
      <c r="R20" s="812">
        <f t="shared" si="59"/>
        <v>10.014334862385322</v>
      </c>
      <c r="S20" s="812">
        <f t="shared" si="60"/>
        <v>61.64</v>
      </c>
      <c r="T20" s="812">
        <f t="shared" si="61"/>
        <v>0</v>
      </c>
      <c r="U20" s="812">
        <f t="shared" si="99"/>
        <v>0</v>
      </c>
      <c r="V20" s="812"/>
      <c r="W20" s="812">
        <f t="shared" si="62"/>
        <v>54.625665137614675</v>
      </c>
      <c r="X20" s="812">
        <f t="shared" si="63"/>
        <v>61.64</v>
      </c>
      <c r="Y20" s="812" t="str">
        <f t="shared" si="64"/>
        <v/>
      </c>
      <c r="Z20" s="812">
        <f t="shared" si="65"/>
        <v>61.64</v>
      </c>
      <c r="AA20" s="812">
        <f t="shared" si="66"/>
        <v>61.64</v>
      </c>
      <c r="AB20" s="1059">
        <f t="shared" si="100"/>
        <v>0</v>
      </c>
      <c r="AC20" s="538">
        <f>Sheet1!Y18*MGDtoCFS</f>
        <v>41.150199999999998</v>
      </c>
      <c r="AD20" s="538">
        <f>Sheet1!Z18*MGDtoCFS</f>
        <v>47.028799999999997</v>
      </c>
      <c r="AE20" s="538">
        <f>Sheet1!AA18*MGDtoCFS</f>
        <v>41.21208</v>
      </c>
      <c r="AF20" s="538">
        <f>Sheet1!AB18*MGDtoCFS</f>
        <v>54.144999999999996</v>
      </c>
      <c r="AG20" s="538">
        <f>Sheet1!L18*MGDtoCFS</f>
        <v>0</v>
      </c>
      <c r="AH20" s="521">
        <f t="shared" si="125"/>
        <v>0</v>
      </c>
      <c r="AI20" s="1059">
        <f t="shared" si="126"/>
        <v>0</v>
      </c>
      <c r="AJ20" s="535">
        <f t="shared" si="127"/>
        <v>0</v>
      </c>
      <c r="AK20" s="535">
        <f t="shared" si="128"/>
        <v>0</v>
      </c>
      <c r="AL20" s="535">
        <f>(VLOOKUP(Sheet1!DC18,hhdcap_wcm,4)-(((VLOOKUP(Sheet1!DC18,hhdcap_wcm,3)-Sheet1!DC18)/(VLOOKUP(Sheet1!DC18,hhdcap_wcm,3)-VLOOKUP(Sheet1!DC18,hhdcap_wcm,1)))*(VLOOKUP(Sheet1!DC18,hhdcap_wcm,4)-VLOOKUP(Sheet1!DC18,hhdcap_wcm,2))))</f>
        <v>1096.4000000031924</v>
      </c>
      <c r="AM20" s="535">
        <f t="shared" si="129"/>
        <v>-169.00000000040473</v>
      </c>
      <c r="AN20" s="1035">
        <f t="shared" si="130"/>
        <v>0</v>
      </c>
      <c r="AO20" s="535">
        <f t="shared" si="131"/>
        <v>0</v>
      </c>
      <c r="AP20" s="535">
        <f>Sheet1!BA18+Sheet1!BB18+Sheet1!BN18+CD20</f>
        <v>24.9</v>
      </c>
      <c r="AQ20" s="535">
        <f>Sheet1!BN18+(DO20*Sheet1!BN18)</f>
        <v>24.985665137614681</v>
      </c>
      <c r="AR20" s="535">
        <f>Sheet1!BA18+CD20</f>
        <v>0</v>
      </c>
      <c r="AS20" s="535">
        <f>Sheet1!BA18+Sheet1!BB18+CD20</f>
        <v>0</v>
      </c>
      <c r="AT20" s="649">
        <f>0</f>
        <v>0</v>
      </c>
      <c r="AU20" s="535">
        <f>IF(EB20&lt;K20,0,MAX(Sheet1!AA18+AQ20-15/36*K20-N20,Sheet1!EH18,0))</f>
        <v>0</v>
      </c>
      <c r="AV20" s="535">
        <f>IF(OR(B20&gt;=GD20,B20&lt;GC20),0,15/36*K20-MAX(0,64.6-(137.6-(Sheet1!AA18+Sheet1!AB18))))</f>
        <v>0</v>
      </c>
      <c r="AW20" s="1029"/>
      <c r="AX20" s="649"/>
      <c r="AY20" s="649">
        <f t="shared" si="101"/>
        <v>0</v>
      </c>
      <c r="AZ20" s="649">
        <f t="shared" si="102"/>
        <v>0</v>
      </c>
      <c r="BA20" s="1059">
        <f t="shared" si="103"/>
        <v>0</v>
      </c>
      <c r="BB20" s="1019">
        <f t="shared" si="132"/>
        <v>0</v>
      </c>
      <c r="BC20" s="1041">
        <f t="shared" si="104"/>
        <v>26.933333333333334</v>
      </c>
      <c r="BD20" s="1019">
        <f ca="1">IF(B20&gt;Summary!$A$1,#N/A,BB20*MGtoAF)</f>
        <v>0</v>
      </c>
      <c r="BE20" s="535">
        <f>Sheet1!BG18+Sheet1!BH18+Sheet1!BI18-BM20</f>
        <v>1.01</v>
      </c>
      <c r="BF20" s="535">
        <f t="shared" si="133"/>
        <v>1.013474770642202</v>
      </c>
      <c r="BG20" s="535">
        <f>IF(Sheet1!EP18="FM",BM20,0)</f>
        <v>0</v>
      </c>
      <c r="BH20" s="535">
        <f t="shared" si="134"/>
        <v>0</v>
      </c>
      <c r="BI20" s="535">
        <f>IF(Sheet1!EP18="OTHER",BM20,0)</f>
        <v>0</v>
      </c>
      <c r="BJ20" s="535">
        <f t="shared" si="135"/>
        <v>0</v>
      </c>
      <c r="BK20" s="535">
        <f t="shared" si="136"/>
        <v>1.01</v>
      </c>
      <c r="BL20" s="535">
        <f t="shared" si="137"/>
        <v>1.013474770642202</v>
      </c>
      <c r="BM20" s="535">
        <f>IF(OR(Sheet1!EP18="FM", Sheet1!EP18="OTHER"),SUM(Sheet1!BG18:'Sheet1'!BI18),0)</f>
        <v>0</v>
      </c>
      <c r="BN20" s="521">
        <f>IF(AND($B20&gt;=$FV20,$B20&lt;=$FW20),MAX(BF20,Sheet1!EI18,0),MAX(BF20-(7/36)*$K20,0))</f>
        <v>0</v>
      </c>
      <c r="BO20" s="535">
        <f t="shared" si="138"/>
        <v>0</v>
      </c>
      <c r="BP20" s="521">
        <f t="shared" ref="BP20:BP42" si="184">MAX(BL20-BN20,0)</f>
        <v>1.013474770642202</v>
      </c>
      <c r="BQ20" s="521">
        <f>IF(AND($O20&gt;0,Sheet1!EM18=1),(1-($O20-Sheet1!$L18)/$O20)*BL20,0)</f>
        <v>0</v>
      </c>
      <c r="BR20" s="521">
        <f>IF(AND(Sheet1!$L18=0,Sheet1!$L17=0, Calculation!BK20&lt;Sheet1!$EI18-0.1,Sheet1!$EI18=Sheet1!$EI17,Sheet1!$EI18=Sheet1!$EI19),BL20-BQ20,BL20-BQ20)</f>
        <v>1.013474770642202</v>
      </c>
      <c r="BS20" s="1035" t="str">
        <f t="shared" si="105"/>
        <v/>
      </c>
      <c r="BT20" s="1035">
        <f t="shared" si="106"/>
        <v>12.568888888888889</v>
      </c>
      <c r="BU20" s="535">
        <f t="shared" si="139"/>
        <v>0</v>
      </c>
      <c r="BV20" s="535"/>
      <c r="BW20" s="535">
        <f ca="1">IF(B20&gt;Summary!$A$1,#N/A,BU20*MGtoAF)</f>
        <v>0</v>
      </c>
      <c r="BX20" s="535">
        <f>Sheet1!BC18+Sheet1!BD18+Sheet1!BE18+Sheet1!BF18-CG20-CH20</f>
        <v>2.4900000000000002</v>
      </c>
      <c r="BY20" s="535">
        <f t="shared" si="140"/>
        <v>2.4985665137614683</v>
      </c>
      <c r="BZ20" s="535">
        <f>IF(Sheet1!EQ18="FM",CH20,0)</f>
        <v>0</v>
      </c>
      <c r="CA20" s="535">
        <f t="shared" si="141"/>
        <v>0</v>
      </c>
      <c r="CB20" s="535">
        <f>IF(Sheet1!EQ18="OTHER",CH20,0)</f>
        <v>0</v>
      </c>
      <c r="CC20" s="535">
        <f t="shared" si="142"/>
        <v>0</v>
      </c>
      <c r="CD20" s="535">
        <f t="shared" si="143"/>
        <v>0</v>
      </c>
      <c r="CE20" s="535">
        <f t="shared" si="144"/>
        <v>2.4900000000000002</v>
      </c>
      <c r="CF20" s="535">
        <f t="shared" si="145"/>
        <v>2.4985665137614683</v>
      </c>
      <c r="CG20" s="535">
        <f>IF(Sheet1!EQ18="CWA",SUM(Sheet1!BC18:'Sheet1'!BF18),0)</f>
        <v>0</v>
      </c>
      <c r="CH20" s="535">
        <f>IF(OR(Sheet1!EQ18="FM", Sheet1!EQ18="OTHER"),SUM(Sheet1!BC18:'Sheet1'!BF18),0)</f>
        <v>0</v>
      </c>
      <c r="CI20" s="521">
        <f>IF(AND($B20&gt;=$FV20,$B20&lt;=$FW20),MAX(CF20,Sheet1!EJ18,0),MAX(CF20-(7/36)*$K20,0))</f>
        <v>0</v>
      </c>
      <c r="CJ20" s="535">
        <f t="shared" si="146"/>
        <v>0</v>
      </c>
      <c r="CK20" s="521">
        <f t="shared" si="182"/>
        <v>2.4985665137614683</v>
      </c>
      <c r="CL20" s="521">
        <f>IF(AND($O20&gt;0,Sheet1!EN18=1),(1-($O20-Sheet1!$L18)/$O20)*CF20,0)</f>
        <v>0</v>
      </c>
      <c r="CM20" s="521">
        <f>IF(AND(Sheet1!$L18=0,Sheet1!$L17=0, Calculation!CE20&lt;Sheet1!EJ18-0.1,Sheet1!EJ18=Sheet1!EJ17,Sheet1!EJ18=Sheet1!EJ19),CF20-CL20,CF20-CL20)</f>
        <v>2.4985665137614683</v>
      </c>
      <c r="CN20" s="1040" t="str">
        <f t="shared" si="107"/>
        <v/>
      </c>
      <c r="CO20" s="1035">
        <f t="shared" si="108"/>
        <v>12.568888888888889</v>
      </c>
      <c r="CP20" s="535">
        <f t="shared" si="147"/>
        <v>0</v>
      </c>
      <c r="CQ20" s="535"/>
      <c r="CR20" s="535">
        <f ca="1">IF(B20&gt;Summary!$A$1,#N/A,CP20*MGtoAF)</f>
        <v>0</v>
      </c>
      <c r="CS20" s="535">
        <f>Sheet1!BK18+Sheet1!BL18+Sheet1!BM18-Sheet1!ER18-DA20</f>
        <v>6.48</v>
      </c>
      <c r="CT20" s="535">
        <f t="shared" si="148"/>
        <v>6.5022935779816526</v>
      </c>
      <c r="CU20" s="535">
        <f>IF(Sheet1!ER18="FM",DA20,0)</f>
        <v>0</v>
      </c>
      <c r="CV20" s="535">
        <f t="shared" si="149"/>
        <v>0</v>
      </c>
      <c r="CW20" s="535">
        <f>IF(Sheet1!ER18="OTHER",DA20,0)</f>
        <v>0</v>
      </c>
      <c r="CX20" s="535">
        <f t="shared" si="150"/>
        <v>0</v>
      </c>
      <c r="CY20" s="535">
        <f t="shared" si="151"/>
        <v>6.48</v>
      </c>
      <c r="CZ20" s="535">
        <f t="shared" si="152"/>
        <v>6.5022935779816526</v>
      </c>
      <c r="DA20" s="535">
        <f>IF(OR(Sheet1!ER18="FM", Sheet1!ER18="OTHER"),SUM(Sheet1!BK18:'Sheet1'!BM18),0)</f>
        <v>0</v>
      </c>
      <c r="DB20" s="1011">
        <f>IF(AND($B20&gt;=$FV20,$B20&lt;=$FW20),MAX($CT20,Sheet1!EK18,0),MAX($CT20-(7/36)*$K20,0))</f>
        <v>0</v>
      </c>
      <c r="DC20" s="1012">
        <f t="shared" si="153"/>
        <v>0</v>
      </c>
      <c r="DD20" s="1011">
        <f t="shared" si="183"/>
        <v>6.5022935779816526</v>
      </c>
      <c r="DE20" s="521">
        <f>IF(AND($O20&gt;0,Sheet1!EO18=1),(1-($O20-Sheet1!$L18)/$O20)*CZ20,0)</f>
        <v>0</v>
      </c>
      <c r="DF20" s="521">
        <f>IF(AND(Sheet1!$L18=0,Sheet1!$L17=0, Calculation!CY20&lt;Sheet1!$EK18-0.1,Sheet1!$EK18=Sheet1!$EK17,Sheet1!$EK18=Sheet1!$EK19),CZ20-DE20,CZ20-DE20)</f>
        <v>6.5022935779816526</v>
      </c>
      <c r="DG20" s="1040">
        <f t="shared" si="109"/>
        <v>12.568888888888889</v>
      </c>
      <c r="DH20" s="649">
        <f t="shared" si="154"/>
        <v>9.98</v>
      </c>
      <c r="DI20" s="535">
        <f t="shared" si="155"/>
        <v>0</v>
      </c>
      <c r="DJ20" s="649">
        <f t="shared" si="156"/>
        <v>10.014334862385322</v>
      </c>
      <c r="DK20" s="535">
        <f ca="1">IF(B20&gt;Summary!$A$1,#N/A,DI20*MGtoAF)</f>
        <v>0</v>
      </c>
      <c r="DL20" s="649">
        <f t="shared" si="157"/>
        <v>9.98</v>
      </c>
      <c r="DM20" s="535">
        <f t="shared" si="158"/>
        <v>34.879999999999995</v>
      </c>
      <c r="DN20" s="535">
        <f>Sheet1!AB18-DM20</f>
        <v>0.12000000000000455</v>
      </c>
      <c r="DO20" s="743">
        <f t="shared" si="159"/>
        <v>3.4403669724771949E-3</v>
      </c>
      <c r="DP20" s="535">
        <f>(VLOOKUP(Sheet1!DC18,hhdcap_wcm,4)-(((VLOOKUP(Sheet1!DC18,hhdcap_wcm,3)-Sheet1!DC18)/(VLOOKUP(Sheet1!DC18,hhdcap_wcm,3)-VLOOKUP(Sheet1!DC18,hhdcap_wcm,1)))*(VLOOKUP(Sheet1!DC18,hhdcap_wcm,4)-VLOOKUP(Sheet1!DC18,hhdcap_wcm,2))))</f>
        <v>1096.4000000031924</v>
      </c>
      <c r="DQ20" s="535">
        <f t="shared" si="160"/>
        <v>-169.00000000040473</v>
      </c>
      <c r="DR20" s="535">
        <f t="shared" si="161"/>
        <v>-85.224407463643317</v>
      </c>
      <c r="DS20" s="535">
        <f>Sheet1!EA18*AFtoMG</f>
        <v>0</v>
      </c>
      <c r="DT20" s="535">
        <f>Sheet1!EB18*AFtoMG</f>
        <v>0</v>
      </c>
      <c r="DU20" s="535">
        <f>Sheet1!EC18*AFtoMG</f>
        <v>0</v>
      </c>
      <c r="DV20" s="535">
        <f>Sheet1!ED18*AFtoMG</f>
        <v>0</v>
      </c>
      <c r="DW20" s="535">
        <f t="shared" si="162"/>
        <v>0</v>
      </c>
      <c r="DX20" s="535">
        <f t="shared" si="163"/>
        <v>0</v>
      </c>
      <c r="DY20" s="535">
        <f t="shared" si="164"/>
        <v>0</v>
      </c>
      <c r="DZ20" s="535">
        <f t="shared" si="165"/>
        <v>0</v>
      </c>
      <c r="EA20" s="535"/>
      <c r="EB20" s="521">
        <f>IF(OR(B20&lt;FV20,B20&gt;FW20),(MIN(BF20+BY20+CT20+MAX(Sheet1!AA18+AQ20-73,0),K20)),0)</f>
        <v>10.014334862385322</v>
      </c>
      <c r="EC20" s="535"/>
      <c r="ED20" s="535">
        <f t="shared" si="166"/>
        <v>10.014334862385322</v>
      </c>
      <c r="EE20" s="535"/>
      <c r="EF20" s="535">
        <f>Sheet1!EH18+Sheet1!EI18+Sheet1!EJ18+Sheet1!EK18</f>
        <v>10</v>
      </c>
      <c r="EG20" s="1019">
        <f t="shared" si="110"/>
        <v>15.469999999999999</v>
      </c>
      <c r="EH20" s="521">
        <f t="shared" si="167"/>
        <v>0</v>
      </c>
      <c r="EI20" s="535">
        <f>IF(Sheet1!ET18=1,SUM('Calculations II'!AT20:BA20)+'Calculations II'!BC20+Sheet1!BV18+'Calculations II'!BE20+AP20,'Calculations II'!BK20)</f>
        <v>45.024521137614677</v>
      </c>
      <c r="EJ20" s="535">
        <f ca="1">EI20+'Calculations II'!D20+'Calculations II'!E20+'Calculations II'!O20</f>
        <v>53.931989693566038</v>
      </c>
      <c r="EK20" s="535"/>
      <c r="EL20" s="535"/>
      <c r="EM20" s="535">
        <f t="shared" si="168"/>
        <v>42744</v>
      </c>
      <c r="EN20" s="535">
        <f t="shared" si="169"/>
        <v>0</v>
      </c>
      <c r="EO20" s="535">
        <f t="shared" si="170"/>
        <v>0</v>
      </c>
      <c r="EP20" s="535">
        <v>0</v>
      </c>
      <c r="EQ20" s="535">
        <v>0</v>
      </c>
      <c r="ER20" s="535">
        <v>0</v>
      </c>
      <c r="ES20" s="521">
        <f t="shared" si="71"/>
        <v>-5.812593256114468</v>
      </c>
      <c r="ET20" s="535">
        <f>-(VLOOKUP(Sheet1!BQ18,Lookup!$O$4:$Q$262,2)-VLOOKUP(Sheet1!BQ17,Lookup!$O$4:$Q$262,2))/1000000</f>
        <v>-2.9057585077241623</v>
      </c>
      <c r="EU20" s="535">
        <f>-(VLOOKUP(Sheet1!BR18,Lookup!$O$4:$Q$262,3)-VLOOKUP(Sheet1!BR17,Lookup!$O$4:$Q$262,3))/1000000</f>
        <v>-2.9068347483903056</v>
      </c>
      <c r="EV20" s="535"/>
      <c r="EW20" s="535"/>
      <c r="EX20" s="535"/>
      <c r="EY20" s="535"/>
      <c r="EZ20" s="535"/>
      <c r="FA20" s="535"/>
      <c r="FB20" s="535"/>
      <c r="FC20" s="535"/>
      <c r="FD20" s="567" t="e">
        <f t="shared" si="171"/>
        <v>#N/A</v>
      </c>
      <c r="FE20" s="567" t="e">
        <f t="shared" si="172"/>
        <v>#N/A</v>
      </c>
      <c r="FF20" s="568" t="e">
        <f t="shared" si="173"/>
        <v>#N/A</v>
      </c>
      <c r="FG20" s="569" t="s">
        <v>656</v>
      </c>
      <c r="FH20" s="569" t="s">
        <v>656</v>
      </c>
      <c r="FI20" s="567" t="e">
        <v>#N/A</v>
      </c>
      <c r="FJ20" s="567" t="e">
        <v>#N/A</v>
      </c>
      <c r="FK20" s="535"/>
      <c r="FL20" s="1015">
        <v>0</v>
      </c>
      <c r="FM20" s="535"/>
      <c r="FN20" s="535"/>
      <c r="FO20" s="535">
        <f>O20+((Sheet1!CS18)*GPMtoMGD)</f>
        <v>61.64</v>
      </c>
      <c r="FP20" s="535">
        <f>IF(Sheet1!AA18+AQ20&lt;=Calculation!N20,AQ20,Calculation!N20-Sheet1!AA18)</f>
        <v>24.985665137614681</v>
      </c>
      <c r="FQ20" s="535">
        <f>(Sheet1!BP18+Sheet1!BO18)/694.4</f>
        <v>1.3078917050691246</v>
      </c>
      <c r="FR20" s="541"/>
      <c r="FS20" s="541"/>
      <c r="FT20" s="541"/>
      <c r="FU20" s="541"/>
      <c r="FV20" s="1109">
        <f t="shared" si="74"/>
        <v>42918</v>
      </c>
      <c r="FW20" s="1109">
        <f t="shared" si="75"/>
        <v>43027</v>
      </c>
      <c r="FX20" s="541"/>
      <c r="FY20" s="541">
        <f>Sheet1!DA18-Sheet1!CZ18-Sheet1!AE18</f>
        <v>211.64292</v>
      </c>
      <c r="FZ20" s="535">
        <f t="shared" si="111"/>
        <v>0.39874275112886437</v>
      </c>
      <c r="GA20" s="535"/>
      <c r="GB20" s="535" t="str">
        <f t="shared" si="76"/>
        <v>n</v>
      </c>
      <c r="GC20" s="539">
        <f t="shared" si="77"/>
        <v>42782</v>
      </c>
      <c r="GD20" s="1109">
        <f t="shared" si="78"/>
        <v>42904</v>
      </c>
      <c r="GE20" s="535">
        <f t="shared" si="95"/>
        <v>6520</v>
      </c>
      <c r="GF20" s="1109">
        <f t="shared" si="79"/>
        <v>42909</v>
      </c>
      <c r="GG20" s="535">
        <f t="shared" si="174"/>
        <v>3260</v>
      </c>
      <c r="GH20" s="539">
        <f t="shared" si="80"/>
        <v>43040</v>
      </c>
      <c r="GJ20" s="521">
        <f t="shared" si="81"/>
        <v>0</v>
      </c>
      <c r="GK20" s="535" t="str">
        <f t="shared" si="175"/>
        <v/>
      </c>
      <c r="GL20" s="535">
        <f t="shared" si="82"/>
        <v>0</v>
      </c>
      <c r="GM20" s="535" t="str">
        <f t="shared" si="83"/>
        <v/>
      </c>
      <c r="GN20" s="535">
        <f>IF(GK20="P",Lookup!$M$12,IF(GK20="PP",Lookup!$M$13,IF(GK20="PPP",Lookup!$M$14,IF(GK20="T",Lookup!$M$15,IF(GK20="TP",Lookup!$M$16,IF(GK20="TPP",Lookup!$M$17,IF(GK20="TPPP",Lookup!$M$18,0)))))))*GJ20</f>
        <v>0</v>
      </c>
      <c r="GO20" s="535">
        <f t="shared" si="84"/>
        <v>0</v>
      </c>
      <c r="GP20" s="535">
        <f t="shared" si="176"/>
        <v>0</v>
      </c>
      <c r="GQ20" s="535">
        <f t="shared" si="94"/>
        <v>0</v>
      </c>
      <c r="GR20" s="535"/>
      <c r="GS20" s="535">
        <f t="shared" si="85"/>
        <v>0</v>
      </c>
      <c r="GT20" s="535" t="str">
        <f t="shared" si="86"/>
        <v/>
      </c>
      <c r="GU20" s="535">
        <f>IF(GK20="P",Lookup!$N$12,IF(GK20="PP",Lookup!$N$13,IF(GK20="PPP",Lookup!$N$14,IF(GK20="T",Lookup!$N$15,IF(GK20="TP",Lookup!$N$16,IF(GK20="TPP",Lookup!$N$17,IF(GK20="TPPP",Lookup!$N$18,0)))))))*GJ20</f>
        <v>0</v>
      </c>
      <c r="GV20" s="535">
        <f t="shared" si="53"/>
        <v>0</v>
      </c>
      <c r="GW20" s="535">
        <f t="shared" si="177"/>
        <v>0</v>
      </c>
      <c r="GX20" s="535">
        <f t="shared" si="91"/>
        <v>0</v>
      </c>
      <c r="GY20" s="535"/>
      <c r="GZ20" s="535">
        <f t="shared" si="87"/>
        <v>0</v>
      </c>
      <c r="HA20" s="535" t="str">
        <f t="shared" si="88"/>
        <v/>
      </c>
      <c r="HB20" s="535">
        <f>IF(GK20="P",Lookup!$N$12,IF(GK20="PP",Lookup!$N$13,IF(GK20="PPP",Lookup!$N$14,IF(GK20="T",Lookup!$N$15,IF(GK20="TP",Lookup!$N$16,IF(GK20="TPP",Lookup!$N$17,IF(GK20="TPPP",Lookup!$N$18,0)))))))*GJ20</f>
        <v>0</v>
      </c>
      <c r="HC20" s="521">
        <f t="shared" si="178"/>
        <v>0</v>
      </c>
      <c r="HD20" s="535">
        <f t="shared" si="179"/>
        <v>0</v>
      </c>
      <c r="HE20" s="535">
        <f t="shared" si="92"/>
        <v>0</v>
      </c>
      <c r="HF20" s="535"/>
      <c r="HG20" s="535">
        <f t="shared" si="89"/>
        <v>0</v>
      </c>
      <c r="HH20" s="535" t="str">
        <f t="shared" si="90"/>
        <v/>
      </c>
      <c r="HI20" s="535">
        <f>IF(GK20="P",Lookup!$N$12,IF(GK20="PP",Lookup!$N$13,IF(GK20="PPP",Lookup!$N$14,IF(GK20="T",Lookup!$N$15,IF(GK20="TP",Lookup!$N$16,IF(GK20="TPP",Lookup!$N$17,IF(GK20="TPPP",Lookup!$N$18,0)))))))*GJ20</f>
        <v>0</v>
      </c>
      <c r="HJ20" s="521">
        <f t="shared" si="180"/>
        <v>0</v>
      </c>
      <c r="HK20" s="535">
        <f t="shared" si="181"/>
        <v>0</v>
      </c>
      <c r="HL20" s="535">
        <f t="shared" si="93"/>
        <v>0</v>
      </c>
      <c r="HM20" s="535"/>
      <c r="HN20" s="541"/>
      <c r="HO20" s="541"/>
      <c r="HP20" s="541"/>
      <c r="HQ20" s="541">
        <f>IF(AND(B20&gt;=$FV$4,B20&lt;=$FW$4),MAX(110/1.02+$HQ$6+MIN(113/1.02,G20),IF($HV$6-(Sheet1!DA18-Sheet1!DB18)+MIN(113/1.02,G20)&lt;G20+FL20,$HV$6-(Sheet1!DA18-Sheet1!DB18)+MIN(113/1.02,G20),G20+FL20)),MIN(110/1.02+$HQ$6+113/1.02,G20))</f>
        <v>218.62745098039215</v>
      </c>
      <c r="HR20" s="541">
        <f t="shared" si="112"/>
        <v>223</v>
      </c>
      <c r="HS20" s="541">
        <f>HR20+(Sheet1!DA18-Sheet1!DB18)</f>
        <v>628</v>
      </c>
      <c r="HT20" s="541">
        <f t="shared" si="113"/>
        <v>0</v>
      </c>
      <c r="HU20" s="541">
        <f t="shared" si="114"/>
        <v>628</v>
      </c>
      <c r="HV20" s="541">
        <f t="shared" si="115"/>
        <v>0</v>
      </c>
      <c r="HW20" s="533" t="str">
        <f t="shared" si="116"/>
        <v/>
      </c>
      <c r="HX20" s="541">
        <f t="shared" si="117"/>
        <v>397.37254901960785</v>
      </c>
      <c r="HY20" s="541">
        <f>Sheet1!CZ18</f>
        <v>616</v>
      </c>
      <c r="HZ20" s="541">
        <f t="shared" si="118"/>
        <v>0</v>
      </c>
      <c r="IA20" s="541">
        <f t="shared" si="119"/>
        <v>0</v>
      </c>
      <c r="IB20" s="541">
        <f t="shared" si="120"/>
        <v>616</v>
      </c>
      <c r="IC20" s="1019" t="str">
        <f t="shared" si="121"/>
        <v/>
      </c>
      <c r="ID20" s="541">
        <f t="shared" si="122"/>
        <v>616</v>
      </c>
      <c r="IE20" s="541">
        <f>Sheet1!DB18</f>
        <v>518</v>
      </c>
      <c r="IF20" s="533">
        <f>Sheet1!DA18</f>
        <v>923</v>
      </c>
      <c r="IH20" s="541">
        <f>IF(AND($B20&gt;=$GC20,$B20&lt;=$GH20,$DR20&lt;0)+N("only adjusted when pool is drawn down during storage season"),Sheet1!$DB18+$DR20+N("Palmer minus all storage release"),Sheet1!$DB18)</f>
        <v>518</v>
      </c>
      <c r="II20" s="541">
        <f>IF(AND($B20&gt;=$GC20,$B20&lt;=$GH20,$DR20&lt;0)+N("only adjusted when pool is drawn down during storage season"),Sheet1!$DA18+$DR20+N("Auburn minus all storage release"),Sheet1!$DA18)</f>
        <v>923</v>
      </c>
    </row>
    <row r="21" spans="1:243" x14ac:dyDescent="0.25">
      <c r="A21" s="553" t="s">
        <v>5</v>
      </c>
      <c r="B21" s="531">
        <v>42745</v>
      </c>
      <c r="C21" s="536">
        <v>0</v>
      </c>
      <c r="D21" s="506">
        <f t="shared" si="0"/>
        <v>300</v>
      </c>
      <c r="E21" s="506">
        <f t="shared" si="1"/>
        <v>250</v>
      </c>
      <c r="F21" s="506">
        <v>250</v>
      </c>
      <c r="G21" s="535">
        <f>DR21+Sheet1!CZ19</f>
        <v>411.05950579904629</v>
      </c>
      <c r="H21" s="1074">
        <f t="shared" si="96"/>
        <v>166.31485452799998</v>
      </c>
      <c r="I21" s="534">
        <f>IF(Sheet1!DA19&gt;=E21,(Sheet1!DA19-E21+P21)*CFStoMGD,0)</f>
        <v>490.807654528</v>
      </c>
      <c r="J21" s="995">
        <f>IF(Sheet1!DB19&gt;=D21,(Sheet1!DB19-D21+P21)*CFStoMGD,0)</f>
        <v>166.31485452799998</v>
      </c>
      <c r="K21" s="818">
        <f t="shared" si="97"/>
        <v>64.64</v>
      </c>
      <c r="L21" s="535">
        <f>Sheet1!AA19+Sheet1!AB19-Sheet1!L19+(Sheet1!DA19-F21)*CFStoMGD-S21-T21-U21</f>
        <v>431.14880000000005</v>
      </c>
      <c r="M21" s="535">
        <f t="shared" si="123"/>
        <v>271.02304183947359</v>
      </c>
      <c r="N21" s="824">
        <f>IF(Sheet1!DA19&gt;=F21,MIN(113*CFStoMGD,MIN(MAX(L21,0),MAX(M21,0))),0)</f>
        <v>73.043199999999999</v>
      </c>
      <c r="O21" s="538">
        <f>Sheet1!AA19+Sheet1!AB19</f>
        <v>59.66</v>
      </c>
      <c r="P21" s="538">
        <f t="shared" si="124"/>
        <v>92.294019999999989</v>
      </c>
      <c r="Q21" s="812">
        <f t="shared" si="98"/>
        <v>0</v>
      </c>
      <c r="R21" s="812">
        <f t="shared" si="59"/>
        <v>10.231003039513677</v>
      </c>
      <c r="S21" s="812">
        <f t="shared" si="60"/>
        <v>59.66</v>
      </c>
      <c r="T21" s="812">
        <f t="shared" si="61"/>
        <v>0</v>
      </c>
      <c r="U21" s="812">
        <f t="shared" si="99"/>
        <v>0</v>
      </c>
      <c r="V21" s="812"/>
      <c r="W21" s="812">
        <f t="shared" si="62"/>
        <v>54.40899696048632</v>
      </c>
      <c r="X21" s="812">
        <f t="shared" si="63"/>
        <v>59.66</v>
      </c>
      <c r="Y21" s="812" t="str">
        <f t="shared" si="64"/>
        <v/>
      </c>
      <c r="Z21" s="812">
        <f t="shared" si="65"/>
        <v>59.66</v>
      </c>
      <c r="AA21" s="812">
        <f t="shared" si="66"/>
        <v>59.66</v>
      </c>
      <c r="AB21" s="1059">
        <f t="shared" si="100"/>
        <v>0</v>
      </c>
      <c r="AC21" s="538">
        <f>Sheet1!Y19*MGDtoCFS</f>
        <v>41.21208</v>
      </c>
      <c r="AD21" s="538">
        <f>Sheet1!Z19*MGDtoCFS</f>
        <v>54.144999999999996</v>
      </c>
      <c r="AE21" s="538">
        <f>Sheet1!AA19*MGDtoCFS</f>
        <v>41.243020000000001</v>
      </c>
      <c r="AF21" s="538">
        <f>Sheet1!AB19*MGDtoCFS</f>
        <v>51.050999999999995</v>
      </c>
      <c r="AG21" s="538">
        <f>Sheet1!L19*MGDtoCFS</f>
        <v>0</v>
      </c>
      <c r="AH21" s="521">
        <f t="shared" si="125"/>
        <v>0</v>
      </c>
      <c r="AI21" s="1059">
        <f t="shared" si="126"/>
        <v>0</v>
      </c>
      <c r="AJ21" s="535">
        <f t="shared" si="127"/>
        <v>0</v>
      </c>
      <c r="AK21" s="535">
        <f t="shared" si="128"/>
        <v>0</v>
      </c>
      <c r="AL21" s="535">
        <f>(VLOOKUP(Sheet1!DC19,hhdcap_wcm,4)-(((VLOOKUP(Sheet1!DC19,hhdcap_wcm,3)-Sheet1!DC19)/(VLOOKUP(Sheet1!DC19,hhdcap_wcm,3)-VLOOKUP(Sheet1!DC19,hhdcap_wcm,1)))*(VLOOKUP(Sheet1!DC19,hhdcap_wcm,4)-VLOOKUP(Sheet1!DC19,hhdcap_wcm,2))))</f>
        <v>807.0000000027012</v>
      </c>
      <c r="AM21" s="535">
        <f t="shared" si="129"/>
        <v>-289.40000000049122</v>
      </c>
      <c r="AN21" s="1035">
        <f t="shared" si="130"/>
        <v>0</v>
      </c>
      <c r="AO21" s="535">
        <f t="shared" si="131"/>
        <v>0</v>
      </c>
      <c r="AP21" s="535">
        <f>Sheet1!BA19+Sheet1!BB19+Sheet1!BN19+CD21</f>
        <v>22.7</v>
      </c>
      <c r="AQ21" s="535">
        <f>Sheet1!BN19+(DO21*Sheet1!BN19)</f>
        <v>22.768996960486323</v>
      </c>
      <c r="AR21" s="535">
        <f>Sheet1!BA19+CD21</f>
        <v>0</v>
      </c>
      <c r="AS21" s="535">
        <f>Sheet1!BA19+Sheet1!BB19+CD21</f>
        <v>0</v>
      </c>
      <c r="AT21" s="649">
        <f>0</f>
        <v>0</v>
      </c>
      <c r="AU21" s="535">
        <f>IF(EB21&lt;K21,0,MAX(Sheet1!AA19+AQ21-15/36*K21-N21,Sheet1!EH19,0))</f>
        <v>0</v>
      </c>
      <c r="AV21" s="535">
        <f>IF(OR(B21&gt;=GD21,B21&lt;GC21),0,15/36*K21-MAX(0,64.6-(137.6-(Sheet1!AA19+Sheet1!AB19))))</f>
        <v>0</v>
      </c>
      <c r="AW21" s="1029"/>
      <c r="AX21" s="649"/>
      <c r="AY21" s="649">
        <f t="shared" si="101"/>
        <v>0</v>
      </c>
      <c r="AZ21" s="649">
        <f t="shared" si="102"/>
        <v>0</v>
      </c>
      <c r="BA21" s="1059">
        <f t="shared" si="103"/>
        <v>0</v>
      </c>
      <c r="BB21" s="1019">
        <f t="shared" si="132"/>
        <v>0</v>
      </c>
      <c r="BC21" s="1041">
        <f t="shared" si="104"/>
        <v>26.933333333333334</v>
      </c>
      <c r="BD21" s="1019">
        <f ca="1">IF(B21&gt;Summary!$A$1,#N/A,BB21*MGtoAF)</f>
        <v>0</v>
      </c>
      <c r="BE21" s="535">
        <f>Sheet1!BG19+Sheet1!BH19+Sheet1!BI19-BM21</f>
        <v>1.01</v>
      </c>
      <c r="BF21" s="535">
        <f t="shared" si="133"/>
        <v>1.0130699088145898</v>
      </c>
      <c r="BG21" s="535">
        <f>IF(Sheet1!EP19="FM",BM21,0)</f>
        <v>0</v>
      </c>
      <c r="BH21" s="535">
        <f t="shared" si="134"/>
        <v>0</v>
      </c>
      <c r="BI21" s="535">
        <f>IF(Sheet1!EP19="OTHER",BM21,0)</f>
        <v>0</v>
      </c>
      <c r="BJ21" s="535">
        <f t="shared" si="135"/>
        <v>0</v>
      </c>
      <c r="BK21" s="535">
        <f t="shared" si="136"/>
        <v>1.01</v>
      </c>
      <c r="BL21" s="535">
        <f t="shared" si="137"/>
        <v>1.0130699088145898</v>
      </c>
      <c r="BM21" s="535">
        <f>IF(OR(Sheet1!EP19="FM", Sheet1!EP19="OTHER"),SUM(Sheet1!BG19:'Sheet1'!BI19),0)</f>
        <v>0</v>
      </c>
      <c r="BN21" s="521">
        <f>IF(AND($B21&gt;=$FV21,$B21&lt;=$FW21),MAX(BF21,Sheet1!EI19,0),MAX(BF21-(7/36)*$K21,0))</f>
        <v>0</v>
      </c>
      <c r="BO21" s="535">
        <f t="shared" si="138"/>
        <v>0</v>
      </c>
      <c r="BP21" s="521">
        <f t="shared" si="184"/>
        <v>1.0130699088145898</v>
      </c>
      <c r="BQ21" s="521">
        <f>IF(AND($O21&gt;0,Sheet1!EM19=1),(1-($O21-Sheet1!$L19)/$O21)*BL21,0)</f>
        <v>0</v>
      </c>
      <c r="BR21" s="521">
        <f>IF(AND(Sheet1!$L19=0,Sheet1!$L18=0, Calculation!BK21&lt;Sheet1!$EI19-0.1,Sheet1!$EI19=Sheet1!$EI18,Sheet1!$EI19=Sheet1!$EI20),BL21-BQ21,BL21-BQ21)</f>
        <v>1.0130699088145898</v>
      </c>
      <c r="BS21" s="1035" t="str">
        <f t="shared" si="105"/>
        <v/>
      </c>
      <c r="BT21" s="1035">
        <f t="shared" si="106"/>
        <v>12.568888888888889</v>
      </c>
      <c r="BU21" s="535">
        <f t="shared" si="139"/>
        <v>0</v>
      </c>
      <c r="BV21" s="535"/>
      <c r="BW21" s="535">
        <f ca="1">IF(B21&gt;Summary!$A$1,#N/A,BU21*MGtoAF)</f>
        <v>0</v>
      </c>
      <c r="BX21" s="535">
        <f>Sheet1!BC19+Sheet1!BD19+Sheet1!BE19+Sheet1!BF19-CG21-CH21</f>
        <v>2.54</v>
      </c>
      <c r="BY21" s="535">
        <f t="shared" si="140"/>
        <v>2.5477203647416413</v>
      </c>
      <c r="BZ21" s="535">
        <f>IF(Sheet1!EQ19="FM",CH21,0)</f>
        <v>0</v>
      </c>
      <c r="CA21" s="535">
        <f t="shared" si="141"/>
        <v>0</v>
      </c>
      <c r="CB21" s="535">
        <f>IF(Sheet1!EQ19="OTHER",CH21,0)</f>
        <v>0</v>
      </c>
      <c r="CC21" s="535">
        <f t="shared" si="142"/>
        <v>0</v>
      </c>
      <c r="CD21" s="535">
        <f t="shared" si="143"/>
        <v>0</v>
      </c>
      <c r="CE21" s="535">
        <f t="shared" si="144"/>
        <v>2.54</v>
      </c>
      <c r="CF21" s="535">
        <f t="shared" si="145"/>
        <v>2.5477203647416413</v>
      </c>
      <c r="CG21" s="535">
        <f>IF(Sheet1!EQ19="CWA",SUM(Sheet1!BC19:'Sheet1'!BF19),0)</f>
        <v>0</v>
      </c>
      <c r="CH21" s="535">
        <f>IF(OR(Sheet1!EQ19="FM", Sheet1!EQ19="OTHER"),SUM(Sheet1!BC19:'Sheet1'!BF19),0)</f>
        <v>0</v>
      </c>
      <c r="CI21" s="521">
        <f>IF(AND($B21&gt;=$FV21,$B21&lt;=$FW21),MAX(CF21,Sheet1!EJ19,0),MAX(CF21-(7/36)*$K21,0))</f>
        <v>0</v>
      </c>
      <c r="CJ21" s="535">
        <f t="shared" si="146"/>
        <v>0</v>
      </c>
      <c r="CK21" s="521">
        <f t="shared" si="182"/>
        <v>2.5477203647416413</v>
      </c>
      <c r="CL21" s="521">
        <f>IF(AND($O21&gt;0,Sheet1!EN19=1),(1-($O21-Sheet1!$L19)/$O21)*CF21,0)</f>
        <v>0</v>
      </c>
      <c r="CM21" s="521">
        <f>IF(AND(Sheet1!$L19=0,Sheet1!$L18=0, Calculation!CE21&lt;Sheet1!EJ19-0.1,Sheet1!EJ19=Sheet1!EJ18,Sheet1!EJ19=Sheet1!EJ20),CF21-CL21,CF21-CL21)</f>
        <v>2.5477203647416413</v>
      </c>
      <c r="CN21" s="1040" t="str">
        <f t="shared" si="107"/>
        <v/>
      </c>
      <c r="CO21" s="1035">
        <f t="shared" si="108"/>
        <v>12.568888888888889</v>
      </c>
      <c r="CP21" s="535">
        <f t="shared" si="147"/>
        <v>0</v>
      </c>
      <c r="CQ21" s="535"/>
      <c r="CR21" s="535">
        <f ca="1">IF(B21&gt;Summary!$A$1,#N/A,CP21*MGtoAF)</f>
        <v>0</v>
      </c>
      <c r="CS21" s="535">
        <f>Sheet1!BK19+Sheet1!BL19+Sheet1!BM19-Sheet1!ER19-DA21</f>
        <v>6.65</v>
      </c>
      <c r="CT21" s="535">
        <f t="shared" si="148"/>
        <v>6.6702127659574471</v>
      </c>
      <c r="CU21" s="535">
        <f>IF(Sheet1!ER19="FM",DA21,0)</f>
        <v>0</v>
      </c>
      <c r="CV21" s="535">
        <f t="shared" si="149"/>
        <v>0</v>
      </c>
      <c r="CW21" s="535">
        <f>IF(Sheet1!ER19="OTHER",DA21,0)</f>
        <v>0</v>
      </c>
      <c r="CX21" s="535">
        <f t="shared" si="150"/>
        <v>0</v>
      </c>
      <c r="CY21" s="535">
        <f t="shared" si="151"/>
        <v>6.65</v>
      </c>
      <c r="CZ21" s="535">
        <f t="shared" si="152"/>
        <v>6.6702127659574471</v>
      </c>
      <c r="DA21" s="535">
        <f>IF(OR(Sheet1!ER19="FM", Sheet1!ER19="OTHER"),SUM(Sheet1!BK19:'Sheet1'!BM19),0)</f>
        <v>0</v>
      </c>
      <c r="DB21" s="1011">
        <f>IF(AND($B21&gt;=$FV21,$B21&lt;=$FW21),MAX($CT21,Sheet1!EK19,0),MAX($CT21-(7/36)*$K21,0))</f>
        <v>0</v>
      </c>
      <c r="DC21" s="1012">
        <f t="shared" si="153"/>
        <v>0</v>
      </c>
      <c r="DD21" s="1011">
        <f t="shared" si="183"/>
        <v>6.6702127659574471</v>
      </c>
      <c r="DE21" s="521">
        <f>IF(AND($O21&gt;0,Sheet1!EO19=1),(1-($O21-Sheet1!$L19)/$O21)*CZ21,0)</f>
        <v>0</v>
      </c>
      <c r="DF21" s="521">
        <f>IF(AND(Sheet1!$L19=0,Sheet1!$L18=0, Calculation!CY21&lt;Sheet1!$EK19-0.1,Sheet1!$EK19=Sheet1!$EK18,Sheet1!$EK19=Sheet1!$EK20),CZ21-DE21,CZ21-DE21)</f>
        <v>6.6702127659574471</v>
      </c>
      <c r="DG21" s="1040">
        <f t="shared" si="109"/>
        <v>12.568888888888889</v>
      </c>
      <c r="DH21" s="649">
        <f t="shared" si="154"/>
        <v>10.199999999999999</v>
      </c>
      <c r="DI21" s="535">
        <f t="shared" si="155"/>
        <v>0</v>
      </c>
      <c r="DJ21" s="649">
        <f t="shared" si="156"/>
        <v>10.231003039513677</v>
      </c>
      <c r="DK21" s="535">
        <f ca="1">IF(B21&gt;Summary!$A$1,#N/A,DI21*MGtoAF)</f>
        <v>0</v>
      </c>
      <c r="DL21" s="649">
        <f t="shared" si="157"/>
        <v>10.200000000000001</v>
      </c>
      <c r="DM21" s="535">
        <f t="shared" si="158"/>
        <v>32.9</v>
      </c>
      <c r="DN21" s="535">
        <f>Sheet1!AB19-DM21</f>
        <v>0.10000000000000142</v>
      </c>
      <c r="DO21" s="743">
        <f t="shared" si="159"/>
        <v>3.0395136778115935E-3</v>
      </c>
      <c r="DP21" s="535">
        <f>(VLOOKUP(Sheet1!DC19,hhdcap_wcm,4)-(((VLOOKUP(Sheet1!DC19,hhdcap_wcm,3)-Sheet1!DC19)/(VLOOKUP(Sheet1!DC19,hhdcap_wcm,3)-VLOOKUP(Sheet1!DC19,hhdcap_wcm,1)))*(VLOOKUP(Sheet1!DC19,hhdcap_wcm,4)-VLOOKUP(Sheet1!DC19,hhdcap_wcm,2))))</f>
        <v>807.0000000027012</v>
      </c>
      <c r="DQ21" s="535">
        <f t="shared" si="160"/>
        <v>-289.40000000049122</v>
      </c>
      <c r="DR21" s="535">
        <f t="shared" si="161"/>
        <v>-145.94049420095371</v>
      </c>
      <c r="DS21" s="535">
        <f>Sheet1!EA19*AFtoMG</f>
        <v>0</v>
      </c>
      <c r="DT21" s="535">
        <f>Sheet1!EB19*AFtoMG</f>
        <v>0</v>
      </c>
      <c r="DU21" s="535">
        <f>Sheet1!EC19*AFtoMG</f>
        <v>0</v>
      </c>
      <c r="DV21" s="535">
        <f>Sheet1!ED19*AFtoMG</f>
        <v>0</v>
      </c>
      <c r="DW21" s="535">
        <f t="shared" si="162"/>
        <v>0</v>
      </c>
      <c r="DX21" s="535">
        <f t="shared" si="163"/>
        <v>0</v>
      </c>
      <c r="DY21" s="535">
        <f t="shared" si="164"/>
        <v>0</v>
      </c>
      <c r="DZ21" s="535">
        <f t="shared" si="165"/>
        <v>0</v>
      </c>
      <c r="EA21" s="535"/>
      <c r="EB21" s="521">
        <f>IF(OR(B21&lt;FV21,B21&gt;FW21),(MIN(BF21+BY21+CT21+MAX(Sheet1!AA19+AQ21-73,0),K21)),0)</f>
        <v>10.231003039513677</v>
      </c>
      <c r="EC21" s="535"/>
      <c r="ED21" s="535">
        <f t="shared" si="166"/>
        <v>10.231003039513677</v>
      </c>
      <c r="EE21" s="535"/>
      <c r="EF21" s="535">
        <f>Sheet1!EH19+Sheet1!EI19+Sheet1!EJ19+Sheet1!EK19</f>
        <v>10</v>
      </c>
      <c r="EG21" s="1019">
        <f t="shared" si="110"/>
        <v>15.469999999999999</v>
      </c>
      <c r="EH21" s="521">
        <f t="shared" si="167"/>
        <v>0</v>
      </c>
      <c r="EI21" s="535">
        <f>IF(Sheet1!ET19=1,SUM('Calculations II'!AT21:BA21)+'Calculations II'!BC21+Sheet1!BV19+'Calculations II'!BE21+AP21,'Calculations II'!BK21)</f>
        <v>47.365856960486326</v>
      </c>
      <c r="EJ21" s="535">
        <f ca="1">EI21+'Calculations II'!D21+'Calculations II'!E21+'Calculations II'!O21</f>
        <v>47.735602641987022</v>
      </c>
      <c r="EK21" s="535"/>
      <c r="EL21" s="535"/>
      <c r="EM21" s="535">
        <f t="shared" si="168"/>
        <v>42745</v>
      </c>
      <c r="EN21" s="535">
        <f t="shared" si="169"/>
        <v>0</v>
      </c>
      <c r="EO21" s="535">
        <f t="shared" si="170"/>
        <v>0</v>
      </c>
      <c r="EP21" s="535">
        <v>0</v>
      </c>
      <c r="EQ21" s="535">
        <v>0</v>
      </c>
      <c r="ER21" s="535">
        <v>0</v>
      </c>
      <c r="ES21" s="521">
        <f t="shared" si="71"/>
        <v>-1.2462668618083037</v>
      </c>
      <c r="ET21" s="535">
        <f>-(VLOOKUP(Sheet1!BQ19,Lookup!$O$4:$Q$262,2)-VLOOKUP(Sheet1!BQ18,Lookup!$O$4:$Q$262,2))/1000000</f>
        <v>-0.69226367759070173</v>
      </c>
      <c r="EU21" s="535">
        <f>-(VLOOKUP(Sheet1!BR19,Lookup!$O$4:$Q$262,3)-VLOOKUP(Sheet1!BR18,Lookup!$O$4:$Q$262,3))/1000000</f>
        <v>-0.55400318421760197</v>
      </c>
      <c r="EV21" s="535"/>
      <c r="EW21" s="535"/>
      <c r="EX21" s="535"/>
      <c r="EY21" s="535"/>
      <c r="EZ21" s="535"/>
      <c r="FA21" s="535"/>
      <c r="FB21" s="535"/>
      <c r="FC21" s="535"/>
      <c r="FD21" s="567" t="e">
        <f t="shared" si="171"/>
        <v>#N/A</v>
      </c>
      <c r="FE21" s="567" t="e">
        <f t="shared" si="172"/>
        <v>#N/A</v>
      </c>
      <c r="FF21" s="568" t="e">
        <f t="shared" si="173"/>
        <v>#N/A</v>
      </c>
      <c r="FG21" s="569" t="s">
        <v>656</v>
      </c>
      <c r="FH21" s="569" t="s">
        <v>656</v>
      </c>
      <c r="FI21" s="567" t="e">
        <v>#N/A</v>
      </c>
      <c r="FJ21" s="567" t="e">
        <v>#N/A</v>
      </c>
      <c r="FK21" s="535"/>
      <c r="FL21" s="1015">
        <v>0</v>
      </c>
      <c r="FM21" s="535"/>
      <c r="FN21" s="535"/>
      <c r="FO21" s="535">
        <f>O21+((Sheet1!CS19)*GPMtoMGD)</f>
        <v>59.66</v>
      </c>
      <c r="FP21" s="535">
        <f>IF(Sheet1!AA19+AQ21&lt;=Calculation!N21,AQ21,Calculation!N21-Sheet1!AA19)</f>
        <v>22.768996960486323</v>
      </c>
      <c r="FQ21" s="535">
        <f>(Sheet1!BP19+Sheet1!BO19)/694.4</f>
        <v>1.3067396313364055</v>
      </c>
      <c r="FR21" s="541"/>
      <c r="FS21" s="541"/>
      <c r="FT21" s="541"/>
      <c r="FU21" s="541"/>
      <c r="FV21" s="1109">
        <f t="shared" si="74"/>
        <v>42918</v>
      </c>
      <c r="FW21" s="1109">
        <f t="shared" si="75"/>
        <v>43027</v>
      </c>
      <c r="FX21" s="541"/>
      <c r="FY21" s="541">
        <f>Sheet1!DA19-Sheet1!CZ19-Sheet1!AE19</f>
        <v>267.70598000000001</v>
      </c>
      <c r="FZ21" s="535">
        <f t="shared" si="111"/>
        <v>0.65125845826047579</v>
      </c>
      <c r="GA21" s="535"/>
      <c r="GB21" s="535" t="str">
        <f t="shared" si="76"/>
        <v>n</v>
      </c>
      <c r="GC21" s="539">
        <f t="shared" si="77"/>
        <v>42782</v>
      </c>
      <c r="GD21" s="1109">
        <f t="shared" si="78"/>
        <v>42904</v>
      </c>
      <c r="GE21" s="535">
        <f t="shared" si="95"/>
        <v>6520</v>
      </c>
      <c r="GF21" s="1109">
        <f t="shared" si="79"/>
        <v>42909</v>
      </c>
      <c r="GG21" s="535">
        <f t="shared" si="174"/>
        <v>3260</v>
      </c>
      <c r="GH21" s="539">
        <f t="shared" si="80"/>
        <v>43040</v>
      </c>
      <c r="GJ21" s="521">
        <f t="shared" si="81"/>
        <v>0</v>
      </c>
      <c r="GK21" s="535" t="str">
        <f t="shared" si="175"/>
        <v/>
      </c>
      <c r="GL21" s="535">
        <f t="shared" si="82"/>
        <v>0</v>
      </c>
      <c r="GM21" s="535" t="str">
        <f t="shared" si="83"/>
        <v/>
      </c>
      <c r="GN21" s="535">
        <f>IF(GK21="P",Lookup!$M$12,IF(GK21="PP",Lookup!$M$13,IF(GK21="PPP",Lookup!$M$14,IF(GK21="T",Lookup!$M$15,IF(GK21="TP",Lookup!$M$16,IF(GK21="TPP",Lookup!$M$17,IF(GK21="TPPP",Lookup!$M$18,0)))))))*GJ21</f>
        <v>0</v>
      </c>
      <c r="GO21" s="535">
        <f t="shared" si="84"/>
        <v>0</v>
      </c>
      <c r="GP21" s="535">
        <f t="shared" si="176"/>
        <v>0</v>
      </c>
      <c r="GQ21" s="535">
        <f t="shared" si="94"/>
        <v>0</v>
      </c>
      <c r="GR21" s="535"/>
      <c r="GS21" s="535">
        <f t="shared" si="85"/>
        <v>0</v>
      </c>
      <c r="GT21" s="535" t="str">
        <f t="shared" si="86"/>
        <v/>
      </c>
      <c r="GU21" s="535">
        <f>IF(GK21="P",Lookup!$N$12,IF(GK21="PP",Lookup!$N$13,IF(GK21="PPP",Lookup!$N$14,IF(GK21="T",Lookup!$N$15,IF(GK21="TP",Lookup!$N$16,IF(GK21="TPP",Lookup!$N$17,IF(GK21="TPPP",Lookup!$N$18,0)))))))*GJ21</f>
        <v>0</v>
      </c>
      <c r="GV21" s="535">
        <f t="shared" si="53"/>
        <v>0</v>
      </c>
      <c r="GW21" s="535">
        <f t="shared" si="177"/>
        <v>0</v>
      </c>
      <c r="GX21" s="535">
        <f t="shared" si="91"/>
        <v>0</v>
      </c>
      <c r="GY21" s="535"/>
      <c r="GZ21" s="535">
        <f t="shared" si="87"/>
        <v>0</v>
      </c>
      <c r="HA21" s="535" t="str">
        <f t="shared" si="88"/>
        <v/>
      </c>
      <c r="HB21" s="535">
        <f>IF(GK21="P",Lookup!$N$12,IF(GK21="PP",Lookup!$N$13,IF(GK21="PPP",Lookup!$N$14,IF(GK21="T",Lookup!$N$15,IF(GK21="TP",Lookup!$N$16,IF(GK21="TPP",Lookup!$N$17,IF(GK21="TPPP",Lookup!$N$18,0)))))))*GJ21</f>
        <v>0</v>
      </c>
      <c r="HC21" s="521">
        <f t="shared" si="178"/>
        <v>0</v>
      </c>
      <c r="HD21" s="535">
        <f t="shared" si="179"/>
        <v>0</v>
      </c>
      <c r="HE21" s="535">
        <f t="shared" si="92"/>
        <v>0</v>
      </c>
      <c r="HF21" s="535"/>
      <c r="HG21" s="535">
        <f t="shared" si="89"/>
        <v>0</v>
      </c>
      <c r="HH21" s="535" t="str">
        <f t="shared" si="90"/>
        <v/>
      </c>
      <c r="HI21" s="535">
        <f>IF(GK21="P",Lookup!$N$12,IF(GK21="PP",Lookup!$N$13,IF(GK21="PPP",Lookup!$N$14,IF(GK21="T",Lookup!$N$15,IF(GK21="TP",Lookup!$N$16,IF(GK21="TPP",Lookup!$N$17,IF(GK21="TPPP",Lookup!$N$18,0)))))))*GJ21</f>
        <v>0</v>
      </c>
      <c r="HJ21" s="521">
        <f t="shared" si="180"/>
        <v>0</v>
      </c>
      <c r="HK21" s="535">
        <f t="shared" si="181"/>
        <v>0</v>
      </c>
      <c r="HL21" s="535">
        <f t="shared" si="93"/>
        <v>0</v>
      </c>
      <c r="HM21" s="535"/>
      <c r="HN21" s="541"/>
      <c r="HO21" s="541"/>
      <c r="HP21" s="541"/>
      <c r="HQ21" s="541">
        <f>IF(AND(B21&gt;=$FV$4,B21&lt;=$FW$4),MAX(110/1.02+$HQ$6+MIN(113/1.02,G21),IF($HV$6-(Sheet1!DA19-Sheet1!DB19)+MIN(113/1.02,G21)&lt;G21+FL21,$HV$6-(Sheet1!DA19-Sheet1!DB19)+MIN(113/1.02,G21),G21+FL21)),MIN(110/1.02+$HQ$6+113/1.02,G21))</f>
        <v>218.62745098039215</v>
      </c>
      <c r="HR21" s="541">
        <f t="shared" si="112"/>
        <v>223</v>
      </c>
      <c r="HS21" s="541">
        <f>HR21+(Sheet1!DA19-Sheet1!DB19)</f>
        <v>675</v>
      </c>
      <c r="HT21" s="541">
        <f t="shared" si="113"/>
        <v>0</v>
      </c>
      <c r="HU21" s="541">
        <f t="shared" si="114"/>
        <v>675</v>
      </c>
      <c r="HV21" s="541">
        <f t="shared" si="115"/>
        <v>0</v>
      </c>
      <c r="HW21" s="533" t="str">
        <f t="shared" si="116"/>
        <v/>
      </c>
      <c r="HX21" s="541">
        <f t="shared" si="117"/>
        <v>338.37254901960785</v>
      </c>
      <c r="HY21" s="541">
        <f>Sheet1!CZ19</f>
        <v>557</v>
      </c>
      <c r="HZ21" s="541">
        <f t="shared" si="118"/>
        <v>0</v>
      </c>
      <c r="IA21" s="541">
        <f t="shared" si="119"/>
        <v>0</v>
      </c>
      <c r="IB21" s="541">
        <f t="shared" si="120"/>
        <v>557</v>
      </c>
      <c r="IC21" s="1019" t="str">
        <f t="shared" si="121"/>
        <v/>
      </c>
      <c r="ID21" s="541">
        <f t="shared" si="122"/>
        <v>557</v>
      </c>
      <c r="IE21" s="541">
        <f>Sheet1!DB19</f>
        <v>465</v>
      </c>
      <c r="IF21" s="533">
        <f>Sheet1!DA19</f>
        <v>917</v>
      </c>
      <c r="IH21" s="541">
        <f>IF(AND($B21&gt;=$GC21,$B21&lt;=$GH21,$DR21&lt;0)+N("only adjusted when pool is drawn down during storage season"),Sheet1!$DB19+$DR21+N("Palmer minus all storage release"),Sheet1!$DB19)</f>
        <v>465</v>
      </c>
      <c r="II21" s="541">
        <f>IF(AND($B21&gt;=$GC21,$B21&lt;=$GH21,$DR21&lt;0)+N("only adjusted when pool is drawn down during storage season"),Sheet1!$DA19+$DR21+N("Auburn minus all storage release"),Sheet1!$DA19)</f>
        <v>917</v>
      </c>
    </row>
    <row r="22" spans="1:243" x14ac:dyDescent="0.25">
      <c r="A22" s="553" t="s">
        <v>6</v>
      </c>
      <c r="B22" s="531">
        <v>42746</v>
      </c>
      <c r="C22" s="536">
        <v>0</v>
      </c>
      <c r="D22" s="506">
        <f t="shared" si="0"/>
        <v>300</v>
      </c>
      <c r="E22" s="506">
        <f t="shared" si="1"/>
        <v>250</v>
      </c>
      <c r="F22" s="506">
        <v>250</v>
      </c>
      <c r="G22" s="535">
        <f>DR22+Sheet1!CZ20</f>
        <v>343.18557740766045</v>
      </c>
      <c r="H22" s="1074">
        <f t="shared" si="96"/>
        <v>93.79729408</v>
      </c>
      <c r="I22" s="534">
        <f>IF(Sheet1!DA20&gt;=E22,(Sheet1!DA20-E22+P22)*CFStoMGD,0)</f>
        <v>405.36209408000002</v>
      </c>
      <c r="J22" s="995">
        <f>IF(Sheet1!DB20&gt;=D22,(Sheet1!DB20-D22+P22)*CFStoMGD,0)</f>
        <v>93.79729408</v>
      </c>
      <c r="K22" s="818">
        <f t="shared" si="97"/>
        <v>64.64</v>
      </c>
      <c r="L22" s="535">
        <f>Sheet1!AA20+Sheet1!AB20-Sheet1!L20+(Sheet1!DA20-F22)*CFStoMGD-S22-T22-U22</f>
        <v>347.76319999999998</v>
      </c>
      <c r="M22" s="535">
        <f t="shared" si="123"/>
        <v>226.27186038103795</v>
      </c>
      <c r="N22" s="824">
        <f>IF(Sheet1!DA20&gt;=F22,MIN(113*CFStoMGD,MIN(MAX(L22,0),MAX(M22,0))),0)</f>
        <v>73.043199999999999</v>
      </c>
      <c r="O22" s="538">
        <f>Sheet1!AA20+Sheet1!AB20</f>
        <v>57.6</v>
      </c>
      <c r="P22" s="538">
        <f t="shared" si="124"/>
        <v>89.107200000000006</v>
      </c>
      <c r="Q22" s="812">
        <f t="shared" si="98"/>
        <v>0</v>
      </c>
      <c r="R22" s="812">
        <f t="shared" si="59"/>
        <v>9.7931590835753468</v>
      </c>
      <c r="S22" s="812">
        <f t="shared" si="60"/>
        <v>57.6</v>
      </c>
      <c r="T22" s="812">
        <f t="shared" si="61"/>
        <v>0</v>
      </c>
      <c r="U22" s="812">
        <f t="shared" si="99"/>
        <v>0</v>
      </c>
      <c r="V22" s="812"/>
      <c r="W22" s="812">
        <f t="shared" si="62"/>
        <v>54.846840916424654</v>
      </c>
      <c r="X22" s="812">
        <f t="shared" si="63"/>
        <v>57.6</v>
      </c>
      <c r="Y22" s="812" t="str">
        <f t="shared" si="64"/>
        <v/>
      </c>
      <c r="Z22" s="812">
        <f t="shared" si="65"/>
        <v>57.6</v>
      </c>
      <c r="AA22" s="812">
        <f t="shared" si="66"/>
        <v>57.6</v>
      </c>
      <c r="AB22" s="1059">
        <f t="shared" si="100"/>
        <v>0</v>
      </c>
      <c r="AC22" s="538">
        <f>Sheet1!Y20*MGDtoCFS</f>
        <v>41.243020000000001</v>
      </c>
      <c r="AD22" s="538">
        <f>Sheet1!Z20*MGDtoCFS</f>
        <v>51.050999999999995</v>
      </c>
      <c r="AE22" s="538">
        <f>Sheet1!AA20*MGDtoCFS</f>
        <v>41.150199999999998</v>
      </c>
      <c r="AF22" s="538">
        <f>Sheet1!AB20*MGDtoCFS</f>
        <v>47.957000000000001</v>
      </c>
      <c r="AG22" s="538">
        <f>Sheet1!L20*MGDtoCFS</f>
        <v>0</v>
      </c>
      <c r="AH22" s="521">
        <f t="shared" si="125"/>
        <v>0</v>
      </c>
      <c r="AI22" s="1059">
        <f t="shared" si="126"/>
        <v>0</v>
      </c>
      <c r="AJ22" s="535">
        <f t="shared" si="127"/>
        <v>0</v>
      </c>
      <c r="AK22" s="535">
        <f t="shared" si="128"/>
        <v>0</v>
      </c>
      <c r="AL22" s="535">
        <f>(VLOOKUP(Sheet1!DC20,hhdcap_wcm,4)-(((VLOOKUP(Sheet1!DC20,hhdcap_wcm,3)-Sheet1!DC20)/(VLOOKUP(Sheet1!DC20,hhdcap_wcm,3)-VLOOKUP(Sheet1!DC20,hhdcap_wcm,1)))*(VLOOKUP(Sheet1!DC20,hhdcap_wcm,4)-VLOOKUP(Sheet1!DC20,hhdcap_wcm,2))))</f>
        <v>617.00000000209184</v>
      </c>
      <c r="AM22" s="535">
        <f t="shared" si="129"/>
        <v>-190.00000000060936</v>
      </c>
      <c r="AN22" s="1035">
        <f t="shared" si="130"/>
        <v>0</v>
      </c>
      <c r="AO22" s="535">
        <f t="shared" si="131"/>
        <v>0</v>
      </c>
      <c r="AP22" s="535">
        <f>Sheet1!BA20+Sheet1!BB20+Sheet1!BN20+CD22</f>
        <v>21.2</v>
      </c>
      <c r="AQ22" s="535">
        <f>Sheet1!BN20+(DO22*Sheet1!BN20)</f>
        <v>21.20684091642465</v>
      </c>
      <c r="AR22" s="535">
        <f>Sheet1!BA20+CD22</f>
        <v>0</v>
      </c>
      <c r="AS22" s="535">
        <f>Sheet1!BA20+Sheet1!BB20+CD22</f>
        <v>0</v>
      </c>
      <c r="AT22" s="649">
        <f>0</f>
        <v>0</v>
      </c>
      <c r="AU22" s="535">
        <f>IF(EB22&lt;K22,0,MAX(Sheet1!AA20+AQ22-15/36*K22-N22,Sheet1!EH20,0))</f>
        <v>0</v>
      </c>
      <c r="AV22" s="535">
        <f>IF(OR(B22&gt;=GD22,B22&lt;GC22),0,15/36*K22-MAX(0,64.6-(137.6-(Sheet1!AA20+Sheet1!AB20))))</f>
        <v>0</v>
      </c>
      <c r="AW22" s="1029"/>
      <c r="AX22" s="649"/>
      <c r="AY22" s="649">
        <f t="shared" si="101"/>
        <v>0</v>
      </c>
      <c r="AZ22" s="649">
        <f t="shared" si="102"/>
        <v>0</v>
      </c>
      <c r="BA22" s="1059">
        <f t="shared" si="103"/>
        <v>0</v>
      </c>
      <c r="BB22" s="1019">
        <f t="shared" si="132"/>
        <v>0</v>
      </c>
      <c r="BC22" s="1041">
        <f t="shared" si="104"/>
        <v>26.933333333333334</v>
      </c>
      <c r="BD22" s="1019">
        <f ca="1">IF(B22&gt;Summary!$A$1,#N/A,BB22*MGtoAF)</f>
        <v>0</v>
      </c>
      <c r="BE22" s="535">
        <f>Sheet1!BG20+Sheet1!BH20+Sheet1!BI20-BM22</f>
        <v>1.01</v>
      </c>
      <c r="BF22" s="535">
        <f t="shared" si="133"/>
        <v>1.0103259115843819</v>
      </c>
      <c r="BG22" s="535">
        <f>IF(Sheet1!EP20="FM",BM22,0)</f>
        <v>0</v>
      </c>
      <c r="BH22" s="535">
        <f t="shared" si="134"/>
        <v>0</v>
      </c>
      <c r="BI22" s="535">
        <f>IF(Sheet1!EP20="OTHER",BM22,0)</f>
        <v>0</v>
      </c>
      <c r="BJ22" s="535">
        <f t="shared" si="135"/>
        <v>0</v>
      </c>
      <c r="BK22" s="535">
        <f t="shared" si="136"/>
        <v>1.01</v>
      </c>
      <c r="BL22" s="535">
        <f t="shared" si="137"/>
        <v>1.0103259115843819</v>
      </c>
      <c r="BM22" s="535">
        <f>IF(OR(Sheet1!EP20="FM", Sheet1!EP20="OTHER"),SUM(Sheet1!BG20:'Sheet1'!BI20),0)</f>
        <v>0</v>
      </c>
      <c r="BN22" s="521">
        <f>IF(AND($B22&gt;=$FV22,$B22&lt;=$FW22),MAX(BF22,Sheet1!EI20,0),MAX(BF22-(7/36)*$K22,0))</f>
        <v>0</v>
      </c>
      <c r="BO22" s="535">
        <f t="shared" si="138"/>
        <v>0</v>
      </c>
      <c r="BP22" s="521">
        <f t="shared" si="184"/>
        <v>1.0103259115843819</v>
      </c>
      <c r="BQ22" s="521">
        <f>IF(AND($O22&gt;0,Sheet1!EM20=1),(1-($O22-Sheet1!$L20)/$O22)*BL22,0)</f>
        <v>0</v>
      </c>
      <c r="BR22" s="521">
        <f>IF(AND(Sheet1!$L20=0,Sheet1!$L19=0, Calculation!BK22&lt;Sheet1!$EI20-0.1,Sheet1!$EI20=Sheet1!$EI19,Sheet1!$EI20=Sheet1!$EI21),BL22-BQ22,BL22-BQ22)</f>
        <v>1.0103259115843819</v>
      </c>
      <c r="BS22" s="1035" t="str">
        <f t="shared" si="105"/>
        <v/>
      </c>
      <c r="BT22" s="1035">
        <f t="shared" si="106"/>
        <v>12.568888888888889</v>
      </c>
      <c r="BU22" s="535">
        <f t="shared" si="139"/>
        <v>0</v>
      </c>
      <c r="BV22" s="535"/>
      <c r="BW22" s="535">
        <f ca="1">IF(B22&gt;Summary!$A$1,#N/A,BU22*MGtoAF)</f>
        <v>0</v>
      </c>
      <c r="BX22" s="535">
        <f>Sheet1!BC20+Sheet1!BD20+Sheet1!BE20+Sheet1!BF20-CG22-CH22</f>
        <v>2.5</v>
      </c>
      <c r="BY22" s="535">
        <f t="shared" si="140"/>
        <v>2.5008067118425297</v>
      </c>
      <c r="BZ22" s="535">
        <f>IF(Sheet1!EQ20="FM",CH22,0)</f>
        <v>0</v>
      </c>
      <c r="CA22" s="535">
        <f t="shared" si="141"/>
        <v>0</v>
      </c>
      <c r="CB22" s="535">
        <f>IF(Sheet1!EQ20="OTHER",CH22,0)</f>
        <v>0</v>
      </c>
      <c r="CC22" s="535">
        <f t="shared" si="142"/>
        <v>0</v>
      </c>
      <c r="CD22" s="535">
        <f t="shared" si="143"/>
        <v>0</v>
      </c>
      <c r="CE22" s="535">
        <f t="shared" si="144"/>
        <v>2.5</v>
      </c>
      <c r="CF22" s="535">
        <f t="shared" si="145"/>
        <v>2.5008067118425297</v>
      </c>
      <c r="CG22" s="535">
        <f>IF(Sheet1!EQ20="CWA",SUM(Sheet1!BC20:'Sheet1'!BF20),0)</f>
        <v>0</v>
      </c>
      <c r="CH22" s="535">
        <f>IF(OR(Sheet1!EQ20="FM", Sheet1!EQ20="OTHER"),SUM(Sheet1!BC20:'Sheet1'!BF20),0)</f>
        <v>0</v>
      </c>
      <c r="CI22" s="521">
        <f>IF(AND($B22&gt;=$FV22,$B22&lt;=$FW22),MAX(CF22,Sheet1!EJ20,0),MAX(CF22-(7/36)*$K22,0))</f>
        <v>0</v>
      </c>
      <c r="CJ22" s="535">
        <f t="shared" si="146"/>
        <v>0</v>
      </c>
      <c r="CK22" s="521">
        <f t="shared" si="182"/>
        <v>2.5008067118425297</v>
      </c>
      <c r="CL22" s="521">
        <f>IF(AND($O22&gt;0,Sheet1!EN20=1),(1-($O22-Sheet1!$L20)/$O22)*CF22,0)</f>
        <v>0</v>
      </c>
      <c r="CM22" s="521">
        <f>IF(AND(Sheet1!$L20=0,Sheet1!$L19=0, Calculation!CE22&lt;Sheet1!EJ20-0.1,Sheet1!EJ20=Sheet1!EJ19,Sheet1!EJ20=Sheet1!EJ21),CF22-CL22,CF22-CL22)</f>
        <v>2.5008067118425297</v>
      </c>
      <c r="CN22" s="1040" t="str">
        <f t="shared" si="107"/>
        <v/>
      </c>
      <c r="CO22" s="1035">
        <f t="shared" si="108"/>
        <v>12.568888888888889</v>
      </c>
      <c r="CP22" s="535">
        <f t="shared" si="147"/>
        <v>0</v>
      </c>
      <c r="CQ22" s="535"/>
      <c r="CR22" s="535">
        <f ca="1">IF(B22&gt;Summary!$A$1,#N/A,CP22*MGtoAF)</f>
        <v>0</v>
      </c>
      <c r="CS22" s="535">
        <f>Sheet1!BK20+Sheet1!BL20+Sheet1!BM20-Sheet1!ER20-DA22</f>
        <v>6.28</v>
      </c>
      <c r="CT22" s="535">
        <f t="shared" si="148"/>
        <v>6.282026460148435</v>
      </c>
      <c r="CU22" s="535">
        <f>IF(Sheet1!ER20="FM",DA22,0)</f>
        <v>0</v>
      </c>
      <c r="CV22" s="535">
        <f t="shared" si="149"/>
        <v>0</v>
      </c>
      <c r="CW22" s="535">
        <f>IF(Sheet1!ER20="OTHER",DA22,0)</f>
        <v>0</v>
      </c>
      <c r="CX22" s="535">
        <f t="shared" si="150"/>
        <v>0</v>
      </c>
      <c r="CY22" s="535">
        <f t="shared" si="151"/>
        <v>6.28</v>
      </c>
      <c r="CZ22" s="535">
        <f t="shared" si="152"/>
        <v>6.282026460148435</v>
      </c>
      <c r="DA22" s="535">
        <f>IF(OR(Sheet1!ER20="FM", Sheet1!ER20="OTHER"),SUM(Sheet1!BK20:'Sheet1'!BM20),0)</f>
        <v>0</v>
      </c>
      <c r="DB22" s="1011">
        <f>IF(AND($B22&gt;=$FV22,$B22&lt;=$FW22),MAX($CT22,Sheet1!EK20,0),MAX($CT22-(7/36)*$K22,0))</f>
        <v>0</v>
      </c>
      <c r="DC22" s="1012">
        <f t="shared" si="153"/>
        <v>0</v>
      </c>
      <c r="DD22" s="1011">
        <f t="shared" si="183"/>
        <v>6.282026460148435</v>
      </c>
      <c r="DE22" s="521">
        <f>IF(AND($O22&gt;0,Sheet1!EO20=1),(1-($O22-Sheet1!$L20)/$O22)*CZ22,0)</f>
        <v>0</v>
      </c>
      <c r="DF22" s="521">
        <f>IF(AND(Sheet1!$L20=0,Sheet1!$L19=0, Calculation!CY22&lt;Sheet1!$EK20-0.1,Sheet1!$EK20=Sheet1!$EK19,Sheet1!$EK20=Sheet1!$EK21),CZ22-DE22,CZ22-DE22)</f>
        <v>6.282026460148435</v>
      </c>
      <c r="DG22" s="1040">
        <f t="shared" si="109"/>
        <v>12.568888888888889</v>
      </c>
      <c r="DH22" s="649">
        <f t="shared" si="154"/>
        <v>9.7899999999999991</v>
      </c>
      <c r="DI22" s="535">
        <f t="shared" si="155"/>
        <v>0</v>
      </c>
      <c r="DJ22" s="649">
        <f t="shared" si="156"/>
        <v>9.7931590835753468</v>
      </c>
      <c r="DK22" s="535">
        <f ca="1">IF(B22&gt;Summary!$A$1,#N/A,DI22*MGtoAF)</f>
        <v>0</v>
      </c>
      <c r="DL22" s="649">
        <f t="shared" si="157"/>
        <v>9.7900000000000009</v>
      </c>
      <c r="DM22" s="535">
        <f t="shared" si="158"/>
        <v>30.990000000000002</v>
      </c>
      <c r="DN22" s="535">
        <f>Sheet1!AB20-DM22</f>
        <v>9.9999999999980105E-3</v>
      </c>
      <c r="DO22" s="743">
        <f t="shared" si="159"/>
        <v>3.2268473701187509E-4</v>
      </c>
      <c r="DP22" s="535">
        <f>(VLOOKUP(Sheet1!DC20,hhdcap_wcm,4)-(((VLOOKUP(Sheet1!DC20,hhdcap_wcm,3)-Sheet1!DC20)/(VLOOKUP(Sheet1!DC20,hhdcap_wcm,3)-VLOOKUP(Sheet1!DC20,hhdcap_wcm,1)))*(VLOOKUP(Sheet1!DC20,hhdcap_wcm,4)-VLOOKUP(Sheet1!DC20,hhdcap_wcm,2))))</f>
        <v>617.00000000209184</v>
      </c>
      <c r="DQ22" s="535">
        <f t="shared" si="160"/>
        <v>-190.00000000060936</v>
      </c>
      <c r="DR22" s="535">
        <f t="shared" si="161"/>
        <v>-95.814422592339554</v>
      </c>
      <c r="DS22" s="535">
        <f>Sheet1!EA20*AFtoMG</f>
        <v>0</v>
      </c>
      <c r="DT22" s="535">
        <f>Sheet1!EB20*AFtoMG</f>
        <v>0</v>
      </c>
      <c r="DU22" s="535">
        <f>Sheet1!EC20*AFtoMG</f>
        <v>0</v>
      </c>
      <c r="DV22" s="535">
        <f>Sheet1!ED20*AFtoMG</f>
        <v>0</v>
      </c>
      <c r="DW22" s="535">
        <f t="shared" si="162"/>
        <v>0</v>
      </c>
      <c r="DX22" s="535">
        <f t="shared" si="163"/>
        <v>0</v>
      </c>
      <c r="DY22" s="535">
        <f t="shared" si="164"/>
        <v>0</v>
      </c>
      <c r="DZ22" s="535">
        <f t="shared" si="165"/>
        <v>0</v>
      </c>
      <c r="EA22" s="535"/>
      <c r="EB22" s="521">
        <f>IF(OR(B22&lt;FV22,B22&gt;FW22),(MIN(BF22+BY22+CT22+MAX(Sheet1!AA20+AQ22-73,0),K22)),0)</f>
        <v>9.7931590835753468</v>
      </c>
      <c r="EC22" s="535"/>
      <c r="ED22" s="535">
        <f t="shared" si="166"/>
        <v>9.7931590835753468</v>
      </c>
      <c r="EE22" s="535"/>
      <c r="EF22" s="535">
        <f>Sheet1!EH20+Sheet1!EI20+Sheet1!EJ20+Sheet1!EK20</f>
        <v>10</v>
      </c>
      <c r="EG22" s="1019">
        <f t="shared" si="110"/>
        <v>15.469999999999999</v>
      </c>
      <c r="EH22" s="521">
        <f t="shared" si="167"/>
        <v>0</v>
      </c>
      <c r="EI22" s="535">
        <f>IF(Sheet1!ET20=1,SUM('Calculations II'!AT22:BA22)+'Calculations II'!BC22+Sheet1!BV20+'Calculations II'!BE22+AP22,'Calculations II'!BK22)</f>
        <v>47.252096916424648</v>
      </c>
      <c r="EJ22" s="535">
        <f ca="1">EI22+'Calculations II'!D22+'Calculations II'!E22+'Calculations II'!O22</f>
        <v>44.209406584055422</v>
      </c>
      <c r="EK22" s="535"/>
      <c r="EL22" s="535"/>
      <c r="EM22" s="535">
        <f t="shared" si="168"/>
        <v>42746</v>
      </c>
      <c r="EN22" s="535">
        <f t="shared" si="169"/>
        <v>0</v>
      </c>
      <c r="EO22" s="535">
        <f t="shared" si="170"/>
        <v>0</v>
      </c>
      <c r="EP22" s="535">
        <v>0</v>
      </c>
      <c r="EQ22" s="535">
        <v>0</v>
      </c>
      <c r="ER22" s="535">
        <v>0</v>
      </c>
      <c r="ES22" s="521">
        <f t="shared" si="71"/>
        <v>0.27697595979323608</v>
      </c>
      <c r="ET22" s="535">
        <f>-(VLOOKUP(Sheet1!BQ20,Lookup!$O$4:$Q$262,2)-VLOOKUP(Sheet1!BQ19,Lookup!$O$4:$Q$262,2))/1000000</f>
        <v>0.13846555071522296</v>
      </c>
      <c r="EU22" s="535">
        <f>-(VLOOKUP(Sheet1!BR20,Lookup!$O$4:$Q$262,3)-VLOOKUP(Sheet1!BR19,Lookup!$O$4:$Q$262,3))/1000000</f>
        <v>0.13851040907801315</v>
      </c>
      <c r="EV22" s="535"/>
      <c r="EW22" s="535"/>
      <c r="EX22" s="535"/>
      <c r="EY22" s="535"/>
      <c r="EZ22" s="535"/>
      <c r="FA22" s="535"/>
      <c r="FB22" s="535"/>
      <c r="FC22" s="535"/>
      <c r="FD22" s="567" t="e">
        <f t="shared" si="171"/>
        <v>#N/A</v>
      </c>
      <c r="FE22" s="567" t="e">
        <f t="shared" si="172"/>
        <v>#N/A</v>
      </c>
      <c r="FF22" s="568" t="e">
        <f t="shared" si="173"/>
        <v>#N/A</v>
      </c>
      <c r="FG22" s="569" t="s">
        <v>656</v>
      </c>
      <c r="FH22" s="569" t="s">
        <v>656</v>
      </c>
      <c r="FI22" s="567" t="e">
        <v>#N/A</v>
      </c>
      <c r="FJ22" s="567" t="e">
        <v>#N/A</v>
      </c>
      <c r="FK22" s="535"/>
      <c r="FL22" s="1015">
        <v>0</v>
      </c>
      <c r="FM22" s="535"/>
      <c r="FN22" s="535"/>
      <c r="FO22" s="535">
        <f>O22+((Sheet1!CS20)*GPMtoMGD)</f>
        <v>57.6</v>
      </c>
      <c r="FP22" s="535">
        <f>IF(Sheet1!AA20+AQ22&lt;=Calculation!N22,AQ22,Calculation!N22-Sheet1!AA20)</f>
        <v>21.20684091642465</v>
      </c>
      <c r="FQ22" s="535">
        <f>(Sheet1!BP20+Sheet1!BO20)/694.4</f>
        <v>1.3742799539170509</v>
      </c>
      <c r="FR22" s="541"/>
      <c r="FS22" s="541"/>
      <c r="FT22" s="541"/>
      <c r="FU22" s="541"/>
      <c r="FV22" s="1109">
        <f t="shared" si="74"/>
        <v>42918</v>
      </c>
      <c r="FW22" s="1109">
        <f t="shared" si="75"/>
        <v>43027</v>
      </c>
      <c r="FX22" s="541"/>
      <c r="FY22" s="541">
        <f>Sheet1!DA20-Sheet1!CZ20-Sheet1!AE20</f>
        <v>259.89280000000002</v>
      </c>
      <c r="FZ22" s="535">
        <f t="shared" si="111"/>
        <v>0.75729522773994873</v>
      </c>
      <c r="GA22" s="535"/>
      <c r="GB22" s="535" t="str">
        <f t="shared" si="76"/>
        <v>n</v>
      </c>
      <c r="GC22" s="539">
        <f t="shared" si="77"/>
        <v>42782</v>
      </c>
      <c r="GD22" s="1109">
        <f t="shared" si="78"/>
        <v>42904</v>
      </c>
      <c r="GE22" s="535">
        <f t="shared" si="95"/>
        <v>6520</v>
      </c>
      <c r="GF22" s="1109">
        <f t="shared" si="79"/>
        <v>42909</v>
      </c>
      <c r="GG22" s="535">
        <f t="shared" si="174"/>
        <v>3260</v>
      </c>
      <c r="GH22" s="539">
        <f t="shared" si="80"/>
        <v>43040</v>
      </c>
      <c r="GJ22" s="521">
        <f t="shared" si="81"/>
        <v>0</v>
      </c>
      <c r="GK22" s="535" t="str">
        <f t="shared" si="175"/>
        <v/>
      </c>
      <c r="GL22" s="535">
        <f t="shared" si="82"/>
        <v>0</v>
      </c>
      <c r="GM22" s="535" t="str">
        <f t="shared" si="83"/>
        <v/>
      </c>
      <c r="GN22" s="535">
        <f>IF(GK22="P",Lookup!$M$12,IF(GK22="PP",Lookup!$M$13,IF(GK22="PPP",Lookup!$M$14,IF(GK22="T",Lookup!$M$15,IF(GK22="TP",Lookup!$M$16,IF(GK22="TPP",Lookup!$M$17,IF(GK22="TPPP",Lookup!$M$18,0)))))))*GJ22</f>
        <v>0</v>
      </c>
      <c r="GO22" s="535">
        <f t="shared" si="84"/>
        <v>0</v>
      </c>
      <c r="GP22" s="535">
        <f t="shared" si="176"/>
        <v>0</v>
      </c>
      <c r="GQ22" s="535">
        <f t="shared" si="94"/>
        <v>0</v>
      </c>
      <c r="GR22" s="535"/>
      <c r="GS22" s="535">
        <f t="shared" si="85"/>
        <v>0</v>
      </c>
      <c r="GT22" s="535" t="str">
        <f t="shared" si="86"/>
        <v/>
      </c>
      <c r="GU22" s="535">
        <f>IF(GK22="P",Lookup!$N$12,IF(GK22="PP",Lookup!$N$13,IF(GK22="PPP",Lookup!$N$14,IF(GK22="T",Lookup!$N$15,IF(GK22="TP",Lookup!$N$16,IF(GK22="TPP",Lookup!$N$17,IF(GK22="TPPP",Lookup!$N$18,0)))))))*GJ22</f>
        <v>0</v>
      </c>
      <c r="GV22" s="535">
        <f t="shared" si="53"/>
        <v>0</v>
      </c>
      <c r="GW22" s="535">
        <f t="shared" si="177"/>
        <v>0</v>
      </c>
      <c r="GX22" s="535">
        <f t="shared" si="91"/>
        <v>0</v>
      </c>
      <c r="GY22" s="535"/>
      <c r="GZ22" s="535">
        <f t="shared" si="87"/>
        <v>0</v>
      </c>
      <c r="HA22" s="535" t="str">
        <f t="shared" si="88"/>
        <v/>
      </c>
      <c r="HB22" s="535">
        <f>IF(GK22="P",Lookup!$N$12,IF(GK22="PP",Lookup!$N$13,IF(GK22="PPP",Lookup!$N$14,IF(GK22="T",Lookup!$N$15,IF(GK22="TP",Lookup!$N$16,IF(GK22="TPP",Lookup!$N$17,IF(GK22="TPPP",Lookup!$N$18,0)))))))*GJ22</f>
        <v>0</v>
      </c>
      <c r="HC22" s="521">
        <f t="shared" si="178"/>
        <v>0</v>
      </c>
      <c r="HD22" s="535">
        <f t="shared" si="179"/>
        <v>0</v>
      </c>
      <c r="HE22" s="535">
        <f t="shared" si="92"/>
        <v>0</v>
      </c>
      <c r="HF22" s="535"/>
      <c r="HG22" s="535">
        <f t="shared" si="89"/>
        <v>0</v>
      </c>
      <c r="HH22" s="535" t="str">
        <f t="shared" si="90"/>
        <v/>
      </c>
      <c r="HI22" s="535">
        <f>IF(GK22="P",Lookup!$N$12,IF(GK22="PP",Lookup!$N$13,IF(GK22="PPP",Lookup!$N$14,IF(GK22="T",Lookup!$N$15,IF(GK22="TP",Lookup!$N$16,IF(GK22="TPP",Lookup!$N$17,IF(GK22="TPPP",Lookup!$N$18,0)))))))*GJ22</f>
        <v>0</v>
      </c>
      <c r="HJ22" s="521">
        <f t="shared" si="180"/>
        <v>0</v>
      </c>
      <c r="HK22" s="535">
        <f t="shared" si="181"/>
        <v>0</v>
      </c>
      <c r="HL22" s="535">
        <f t="shared" si="93"/>
        <v>0</v>
      </c>
      <c r="HM22" s="535"/>
      <c r="HN22" s="541"/>
      <c r="HO22" s="541"/>
      <c r="HP22" s="541"/>
      <c r="HQ22" s="541">
        <f>IF(AND(B22&gt;=$FV$4,B22&lt;=$FW$4),MAX(110/1.02+$HQ$6+MIN(113/1.02,G22),IF($HV$6-(Sheet1!DA20-Sheet1!DB20)+MIN(113/1.02,G22)&lt;G22+FL22,$HV$6-(Sheet1!DA20-Sheet1!DB20)+MIN(113/1.02,G22),G22+FL22)),MIN(110/1.02+$HQ$6+113/1.02,G22))</f>
        <v>218.62745098039215</v>
      </c>
      <c r="HR22" s="541">
        <f t="shared" si="112"/>
        <v>223</v>
      </c>
      <c r="HS22" s="541">
        <f>HR22+(Sheet1!DA20-Sheet1!DB20)</f>
        <v>655</v>
      </c>
      <c r="HT22" s="541">
        <f t="shared" si="113"/>
        <v>0</v>
      </c>
      <c r="HU22" s="541">
        <f t="shared" si="114"/>
        <v>655</v>
      </c>
      <c r="HV22" s="541">
        <f t="shared" si="115"/>
        <v>0</v>
      </c>
      <c r="HW22" s="533" t="str">
        <f t="shared" si="116"/>
        <v/>
      </c>
      <c r="HX22" s="541">
        <f t="shared" si="117"/>
        <v>220.37254901960785</v>
      </c>
      <c r="HY22" s="541">
        <f>Sheet1!CZ20</f>
        <v>439</v>
      </c>
      <c r="HZ22" s="541">
        <f t="shared" si="118"/>
        <v>0</v>
      </c>
      <c r="IA22" s="541">
        <f t="shared" si="119"/>
        <v>0</v>
      </c>
      <c r="IB22" s="541">
        <f t="shared" si="120"/>
        <v>439</v>
      </c>
      <c r="IC22" s="1019" t="str">
        <f t="shared" si="121"/>
        <v/>
      </c>
      <c r="ID22" s="541">
        <f t="shared" si="122"/>
        <v>439</v>
      </c>
      <c r="IE22" s="541">
        <f>Sheet1!DB20</f>
        <v>356</v>
      </c>
      <c r="IF22" s="533">
        <f>Sheet1!DA20</f>
        <v>788</v>
      </c>
      <c r="IH22" s="541">
        <f>IF(AND($B22&gt;=$GC22,$B22&lt;=$GH22,$DR22&lt;0)+N("only adjusted when pool is drawn down during storage season"),Sheet1!$DB20+$DR22+N("Palmer minus all storage release"),Sheet1!$DB20)</f>
        <v>356</v>
      </c>
      <c r="II22" s="541">
        <f>IF(AND($B22&gt;=$GC22,$B22&lt;=$GH22,$DR22&lt;0)+N("only adjusted when pool is drawn down during storage season"),Sheet1!$DA20+$DR22+N("Auburn minus all storage release"),Sheet1!$DA20)</f>
        <v>788</v>
      </c>
    </row>
    <row r="23" spans="1:243" x14ac:dyDescent="0.25">
      <c r="A23" s="553" t="s">
        <v>7</v>
      </c>
      <c r="B23" s="531">
        <v>42747</v>
      </c>
      <c r="C23" s="536">
        <v>0</v>
      </c>
      <c r="D23" s="506">
        <f t="shared" si="0"/>
        <v>300</v>
      </c>
      <c r="E23" s="506">
        <f t="shared" si="1"/>
        <v>250</v>
      </c>
      <c r="F23" s="506">
        <v>250</v>
      </c>
      <c r="G23" s="535">
        <f>DR23+Sheet1!CZ21</f>
        <v>412.11800302582412</v>
      </c>
      <c r="H23" s="1074">
        <f t="shared" si="96"/>
        <v>66.448497919999994</v>
      </c>
      <c r="I23" s="534">
        <f>IF(Sheet1!DA21&gt;=E23,(Sheet1!DA21-E23+P23)*CFStoMGD,0)</f>
        <v>349.57169792000002</v>
      </c>
      <c r="J23" s="995">
        <f>IF(Sheet1!DB21&gt;=D23,(Sheet1!DB21-D23+P23)*CFStoMGD,0)</f>
        <v>66.448497919999994</v>
      </c>
      <c r="K23" s="818">
        <f t="shared" si="97"/>
        <v>64.64</v>
      </c>
      <c r="L23" s="535">
        <f>Sheet1!AA21+Sheet1!AB21-Sheet1!L21+(Sheet1!DA21-F23)*CFStoMGD-S23-T23-U23</f>
        <v>292.1728</v>
      </c>
      <c r="M23" s="535">
        <f t="shared" si="123"/>
        <v>271.72093869901056</v>
      </c>
      <c r="N23" s="824">
        <f>IF(Sheet1!DA21&gt;=F23,MIN(113*CFStoMGD,MIN(MAX(L23,0),MAX(M23,0))),0)</f>
        <v>73.043199999999999</v>
      </c>
      <c r="O23" s="538">
        <f>Sheet1!AA21+Sheet1!AB21</f>
        <v>57.4</v>
      </c>
      <c r="P23" s="538">
        <f t="shared" si="124"/>
        <v>88.797799999999995</v>
      </c>
      <c r="Q23" s="812">
        <f t="shared" si="98"/>
        <v>0</v>
      </c>
      <c r="R23" s="812">
        <f t="shared" si="59"/>
        <v>9.922200772200771</v>
      </c>
      <c r="S23" s="812">
        <f t="shared" si="60"/>
        <v>57.4</v>
      </c>
      <c r="T23" s="812">
        <f t="shared" si="61"/>
        <v>0</v>
      </c>
      <c r="U23" s="812">
        <f t="shared" si="99"/>
        <v>0</v>
      </c>
      <c r="V23" s="812"/>
      <c r="W23" s="812">
        <f t="shared" si="62"/>
        <v>54.717799227799233</v>
      </c>
      <c r="X23" s="812">
        <f t="shared" si="63"/>
        <v>57.4</v>
      </c>
      <c r="Y23" s="812" t="str">
        <f t="shared" si="64"/>
        <v/>
      </c>
      <c r="Z23" s="812">
        <f t="shared" si="65"/>
        <v>57.4</v>
      </c>
      <c r="AA23" s="812">
        <f t="shared" si="66"/>
        <v>57.4</v>
      </c>
      <c r="AB23" s="1059">
        <f t="shared" si="100"/>
        <v>0</v>
      </c>
      <c r="AC23" s="538">
        <f>Sheet1!Y21*MGDtoCFS</f>
        <v>41.150199999999998</v>
      </c>
      <c r="AD23" s="538">
        <f>Sheet1!Z21*MGDtoCFS</f>
        <v>47.957000000000001</v>
      </c>
      <c r="AE23" s="538">
        <f>Sheet1!AA21*MGDtoCFS</f>
        <v>40.9955</v>
      </c>
      <c r="AF23" s="538">
        <f>Sheet1!AB21*MGDtoCFS</f>
        <v>47.802299999999995</v>
      </c>
      <c r="AG23" s="538">
        <f>Sheet1!L21*MGDtoCFS</f>
        <v>0</v>
      </c>
      <c r="AH23" s="521">
        <f t="shared" si="125"/>
        <v>0</v>
      </c>
      <c r="AI23" s="1059">
        <f t="shared" si="126"/>
        <v>0</v>
      </c>
      <c r="AJ23" s="535">
        <f t="shared" si="127"/>
        <v>0</v>
      </c>
      <c r="AK23" s="535">
        <f t="shared" si="128"/>
        <v>0</v>
      </c>
      <c r="AL23" s="535">
        <f>(VLOOKUP(Sheet1!DC21,hhdcap_wcm,4)-(((VLOOKUP(Sheet1!DC21,hhdcap_wcm,3)-Sheet1!DC21)/(VLOOKUP(Sheet1!DC21,hhdcap_wcm,3)-VLOOKUP(Sheet1!DC21,hhdcap_wcm,1)))*(VLOOKUP(Sheet1!DC21,hhdcap_wcm,4)-VLOOKUP(Sheet1!DC21,hhdcap_wcm,2))))</f>
        <v>621.20000000230107</v>
      </c>
      <c r="AM23" s="535">
        <f t="shared" si="129"/>
        <v>4.2000000002092293</v>
      </c>
      <c r="AN23" s="1035">
        <f t="shared" si="130"/>
        <v>0</v>
      </c>
      <c r="AO23" s="535">
        <f t="shared" si="131"/>
        <v>0</v>
      </c>
      <c r="AP23" s="535">
        <f>Sheet1!BA21+Sheet1!BB21+Sheet1!BN21+CD23</f>
        <v>21.1</v>
      </c>
      <c r="AQ23" s="535">
        <f>Sheet1!BN21+(DO23*Sheet1!BN21)</f>
        <v>20.977799227799228</v>
      </c>
      <c r="AR23" s="535">
        <f>Sheet1!BA21+CD23</f>
        <v>0</v>
      </c>
      <c r="AS23" s="535">
        <f>Sheet1!BA21+Sheet1!BB21+CD23</f>
        <v>0</v>
      </c>
      <c r="AT23" s="649">
        <f>0</f>
        <v>0</v>
      </c>
      <c r="AU23" s="535">
        <f>IF(EB23&lt;K23,0,MAX(Sheet1!AA21+AQ23-15/36*K23-N23,Sheet1!EH21,0))</f>
        <v>0</v>
      </c>
      <c r="AV23" s="535">
        <f>IF(OR(B23&gt;=GD23,B23&lt;GC23),0,15/36*K23-MAX(0,64.6-(137.6-(Sheet1!AA21+Sheet1!AB21))))</f>
        <v>0</v>
      </c>
      <c r="AW23" s="1029"/>
      <c r="AX23" s="649"/>
      <c r="AY23" s="649">
        <f t="shared" si="101"/>
        <v>0</v>
      </c>
      <c r="AZ23" s="649">
        <f t="shared" si="102"/>
        <v>0</v>
      </c>
      <c r="BA23" s="1059">
        <f t="shared" si="103"/>
        <v>0</v>
      </c>
      <c r="BB23" s="1019">
        <f t="shared" si="132"/>
        <v>0</v>
      </c>
      <c r="BC23" s="1041">
        <f t="shared" si="104"/>
        <v>26.933333333333334</v>
      </c>
      <c r="BD23" s="1019">
        <f ca="1">IF(B23&gt;Summary!$A$1,#N/A,BB23*MGtoAF)</f>
        <v>0</v>
      </c>
      <c r="BE23" s="535">
        <f>Sheet1!BG21+Sheet1!BH21+Sheet1!BI21-BM23</f>
        <v>1</v>
      </c>
      <c r="BF23" s="535">
        <f t="shared" si="133"/>
        <v>0.99420849420849411</v>
      </c>
      <c r="BG23" s="535">
        <f>IF(Sheet1!EP21="FM",BM23,0)</f>
        <v>0</v>
      </c>
      <c r="BH23" s="535">
        <f t="shared" si="134"/>
        <v>0</v>
      </c>
      <c r="BI23" s="535">
        <f>IF(Sheet1!EP21="OTHER",BM23,0)</f>
        <v>0</v>
      </c>
      <c r="BJ23" s="535">
        <f t="shared" si="135"/>
        <v>0</v>
      </c>
      <c r="BK23" s="535">
        <f t="shared" si="136"/>
        <v>1</v>
      </c>
      <c r="BL23" s="535">
        <f t="shared" si="137"/>
        <v>0.99420849420849411</v>
      </c>
      <c r="BM23" s="535">
        <f>IF(OR(Sheet1!EP21="FM", Sheet1!EP21="OTHER"),SUM(Sheet1!BG21:'Sheet1'!BI21),0)</f>
        <v>0</v>
      </c>
      <c r="BN23" s="521">
        <f>IF(AND($B23&gt;=$FV23,$B23&lt;=$FW23),MAX(BF23,Sheet1!EI21,0),MAX(BF23-(7/36)*$K23,0))</f>
        <v>0</v>
      </c>
      <c r="BO23" s="535">
        <f t="shared" si="138"/>
        <v>0</v>
      </c>
      <c r="BP23" s="521">
        <f t="shared" si="184"/>
        <v>0.99420849420849411</v>
      </c>
      <c r="BQ23" s="521">
        <f>IF(AND($O23&gt;0,Sheet1!EM21=1),(1-($O23-Sheet1!$L21)/$O23)*BL23,0)</f>
        <v>0</v>
      </c>
      <c r="BR23" s="521">
        <f>IF(AND(Sheet1!$L21=0,Sheet1!$L20=0, Calculation!BK23&lt;Sheet1!$EI21-0.1,Sheet1!$EI21=Sheet1!$EI20,Sheet1!$EI21=Sheet1!$EI22),BL23-BQ23,BL23-BQ23)</f>
        <v>0.99420849420849411</v>
      </c>
      <c r="BS23" s="1035" t="str">
        <f t="shared" si="105"/>
        <v/>
      </c>
      <c r="BT23" s="1035">
        <f t="shared" si="106"/>
        <v>12.568888888888889</v>
      </c>
      <c r="BU23" s="535">
        <f t="shared" si="139"/>
        <v>0</v>
      </c>
      <c r="BV23" s="535"/>
      <c r="BW23" s="535">
        <f ca="1">IF(B23&gt;Summary!$A$1,#N/A,BU23*MGtoAF)</f>
        <v>0</v>
      </c>
      <c r="BX23" s="535">
        <f>Sheet1!BC21+Sheet1!BD21+Sheet1!BE21+Sheet1!BF21-CG23-CH23</f>
        <v>2.4900000000000002</v>
      </c>
      <c r="BY23" s="535">
        <f t="shared" si="140"/>
        <v>2.4755791505791507</v>
      </c>
      <c r="BZ23" s="535">
        <f>IF(Sheet1!EQ21="FM",CH23,0)</f>
        <v>0</v>
      </c>
      <c r="CA23" s="535">
        <f t="shared" si="141"/>
        <v>0</v>
      </c>
      <c r="CB23" s="535">
        <f>IF(Sheet1!EQ21="OTHER",CH23,0)</f>
        <v>0</v>
      </c>
      <c r="CC23" s="535">
        <f t="shared" si="142"/>
        <v>0</v>
      </c>
      <c r="CD23" s="535">
        <f t="shared" si="143"/>
        <v>0</v>
      </c>
      <c r="CE23" s="535">
        <f t="shared" si="144"/>
        <v>2.4900000000000002</v>
      </c>
      <c r="CF23" s="535">
        <f t="shared" si="145"/>
        <v>2.4755791505791507</v>
      </c>
      <c r="CG23" s="535">
        <f>IF(Sheet1!EQ21="CWA",SUM(Sheet1!BC21:'Sheet1'!BF21),0)</f>
        <v>0</v>
      </c>
      <c r="CH23" s="535">
        <f>IF(OR(Sheet1!EQ21="FM", Sheet1!EQ21="OTHER"),SUM(Sheet1!BC21:'Sheet1'!BF21),0)</f>
        <v>0</v>
      </c>
      <c r="CI23" s="521">
        <f>IF(AND($B23&gt;=$FV23,$B23&lt;=$FW23),MAX(CF23,Sheet1!EJ21,0),MAX(CF23-(7/36)*$K23,0))</f>
        <v>0</v>
      </c>
      <c r="CJ23" s="535">
        <f t="shared" si="146"/>
        <v>0</v>
      </c>
      <c r="CK23" s="521">
        <f t="shared" si="182"/>
        <v>2.4755791505791507</v>
      </c>
      <c r="CL23" s="521">
        <f>IF(AND($O23&gt;0,Sheet1!EN21=1),(1-($O23-Sheet1!$L21)/$O23)*CF23,0)</f>
        <v>0</v>
      </c>
      <c r="CM23" s="521">
        <f>IF(AND(Sheet1!$L21=0,Sheet1!$L20=0, Calculation!CE23&lt;Sheet1!EJ21-0.1,Sheet1!EJ21=Sheet1!EJ20,Sheet1!EJ21=Sheet1!EJ22),CF23-CL23,CF23-CL23)</f>
        <v>2.4755791505791507</v>
      </c>
      <c r="CN23" s="1040" t="str">
        <f t="shared" si="107"/>
        <v/>
      </c>
      <c r="CO23" s="1035">
        <f t="shared" si="108"/>
        <v>12.568888888888889</v>
      </c>
      <c r="CP23" s="535">
        <f t="shared" si="147"/>
        <v>0</v>
      </c>
      <c r="CQ23" s="535"/>
      <c r="CR23" s="535">
        <f ca="1">IF(B23&gt;Summary!$A$1,#N/A,CP23*MGtoAF)</f>
        <v>0</v>
      </c>
      <c r="CS23" s="535">
        <f>Sheet1!BK21+Sheet1!BL21+Sheet1!BM21-Sheet1!ER21-DA23</f>
        <v>6.49</v>
      </c>
      <c r="CT23" s="535">
        <f t="shared" si="148"/>
        <v>6.4524131274131271</v>
      </c>
      <c r="CU23" s="535">
        <f>IF(Sheet1!ER21="FM",DA23,0)</f>
        <v>0</v>
      </c>
      <c r="CV23" s="535">
        <f t="shared" si="149"/>
        <v>0</v>
      </c>
      <c r="CW23" s="535">
        <f>IF(Sheet1!ER21="OTHER",DA23,0)</f>
        <v>0</v>
      </c>
      <c r="CX23" s="535">
        <f t="shared" si="150"/>
        <v>0</v>
      </c>
      <c r="CY23" s="535">
        <f t="shared" si="151"/>
        <v>6.49</v>
      </c>
      <c r="CZ23" s="535">
        <f t="shared" si="152"/>
        <v>6.4524131274131271</v>
      </c>
      <c r="DA23" s="535">
        <f>IF(OR(Sheet1!ER21="FM", Sheet1!ER21="OTHER"),SUM(Sheet1!BK21:'Sheet1'!BM21),0)</f>
        <v>0</v>
      </c>
      <c r="DB23" s="1011">
        <f>IF(AND($B23&gt;=$FV23,$B23&lt;=$FW23),MAX($CT23,Sheet1!EK21,0),MAX($CT23-(7/36)*$K23,0))</f>
        <v>0</v>
      </c>
      <c r="DC23" s="1012">
        <f t="shared" si="153"/>
        <v>0</v>
      </c>
      <c r="DD23" s="1011">
        <f t="shared" si="183"/>
        <v>6.4524131274131271</v>
      </c>
      <c r="DE23" s="521">
        <f>IF(AND($O23&gt;0,Sheet1!EO21=1),(1-($O23-Sheet1!$L21)/$O23)*CZ23,0)</f>
        <v>0</v>
      </c>
      <c r="DF23" s="521">
        <f>IF(AND(Sheet1!$L21=0,Sheet1!$L20=0, Calculation!CY23&lt;Sheet1!$EK21-0.1,Sheet1!$EK21=Sheet1!$EK20,Sheet1!$EK21=Sheet1!$EK22),CZ23-DE23,CZ23-DE23)</f>
        <v>6.4524131274131271</v>
      </c>
      <c r="DG23" s="1040">
        <f t="shared" si="109"/>
        <v>12.568888888888889</v>
      </c>
      <c r="DH23" s="649">
        <f t="shared" si="154"/>
        <v>9.98</v>
      </c>
      <c r="DI23" s="535">
        <f t="shared" si="155"/>
        <v>0</v>
      </c>
      <c r="DJ23" s="649">
        <f t="shared" si="156"/>
        <v>9.922200772200771</v>
      </c>
      <c r="DK23" s="535">
        <f ca="1">IF(B23&gt;Summary!$A$1,#N/A,DI23*MGtoAF)</f>
        <v>0</v>
      </c>
      <c r="DL23" s="649">
        <f t="shared" si="157"/>
        <v>9.98</v>
      </c>
      <c r="DM23" s="535">
        <f t="shared" si="158"/>
        <v>31.080000000000002</v>
      </c>
      <c r="DN23" s="535">
        <f>Sheet1!AB21-DM23</f>
        <v>-0.18000000000000327</v>
      </c>
      <c r="DO23" s="743">
        <f t="shared" si="159"/>
        <v>-5.7915057915058962E-3</v>
      </c>
      <c r="DP23" s="535">
        <f>(VLOOKUP(Sheet1!DC21,hhdcap_wcm,4)-(((VLOOKUP(Sheet1!DC21,hhdcap_wcm,3)-Sheet1!DC21)/(VLOOKUP(Sheet1!DC21,hhdcap_wcm,3)-VLOOKUP(Sheet1!DC21,hhdcap_wcm,1)))*(VLOOKUP(Sheet1!DC21,hhdcap_wcm,4)-VLOOKUP(Sheet1!DC21,hhdcap_wcm,2))))</f>
        <v>621.20000000230107</v>
      </c>
      <c r="DQ23" s="535">
        <f t="shared" si="160"/>
        <v>4.2000000002092293</v>
      </c>
      <c r="DR23" s="535">
        <f t="shared" si="161"/>
        <v>2.1180030258241191</v>
      </c>
      <c r="DS23" s="535">
        <f>Sheet1!EA21*AFtoMG</f>
        <v>0</v>
      </c>
      <c r="DT23" s="535">
        <f>Sheet1!EB21*AFtoMG</f>
        <v>0</v>
      </c>
      <c r="DU23" s="535">
        <f>Sheet1!EC21*AFtoMG</f>
        <v>0</v>
      </c>
      <c r="DV23" s="535">
        <f>Sheet1!ED21*AFtoMG</f>
        <v>0</v>
      </c>
      <c r="DW23" s="535">
        <f t="shared" si="162"/>
        <v>0</v>
      </c>
      <c r="DX23" s="535">
        <f t="shared" si="163"/>
        <v>0</v>
      </c>
      <c r="DY23" s="535">
        <f t="shared" si="164"/>
        <v>0</v>
      </c>
      <c r="DZ23" s="535">
        <f t="shared" si="165"/>
        <v>0</v>
      </c>
      <c r="EA23" s="535"/>
      <c r="EB23" s="521">
        <f>IF(OR(B23&lt;FV23,B23&gt;FW23),(MIN(BF23+BY23+CT23+MAX(Sheet1!AA21+AQ23-73,0),K23)),0)</f>
        <v>9.922200772200771</v>
      </c>
      <c r="EC23" s="535"/>
      <c r="ED23" s="535">
        <f t="shared" si="166"/>
        <v>9.922200772200771</v>
      </c>
      <c r="EE23" s="535"/>
      <c r="EF23" s="535">
        <f>Sheet1!EH21+Sheet1!EI21+Sheet1!EJ21+Sheet1!EK21</f>
        <v>10</v>
      </c>
      <c r="EG23" s="1019">
        <f t="shared" si="110"/>
        <v>15.469999999999999</v>
      </c>
      <c r="EH23" s="521">
        <f t="shared" si="167"/>
        <v>0</v>
      </c>
      <c r="EI23" s="535">
        <f>IF(Sheet1!ET21=1,SUM('Calculations II'!AT23:BA23)+'Calculations II'!BC23+Sheet1!BV21+'Calculations II'!BE23+AP23,'Calculations II'!BK23)</f>
        <v>43.242623227799228</v>
      </c>
      <c r="EJ23" s="535">
        <f ca="1">EI23+'Calculations II'!D23+'Calculations II'!E23+'Calculations II'!O23</f>
        <v>48.183017915341061</v>
      </c>
      <c r="EK23" s="535"/>
      <c r="EL23" s="535"/>
      <c r="EM23" s="535">
        <f t="shared" si="168"/>
        <v>42747</v>
      </c>
      <c r="EN23" s="535">
        <f t="shared" si="169"/>
        <v>0</v>
      </c>
      <c r="EO23" s="535">
        <f t="shared" si="170"/>
        <v>0</v>
      </c>
      <c r="EP23" s="535">
        <v>0</v>
      </c>
      <c r="EQ23" s="535">
        <v>0</v>
      </c>
      <c r="ER23" s="535">
        <v>0</v>
      </c>
      <c r="ES23" s="521">
        <f t="shared" si="71"/>
        <v>-3.6016872740385719</v>
      </c>
      <c r="ET23" s="535">
        <f>-(VLOOKUP(Sheet1!BQ21,Lookup!$O$4:$Q$262,2)-VLOOKUP(Sheet1!BQ20,Lookup!$O$4:$Q$262,2))/1000000</f>
        <v>-1.8005520173117406</v>
      </c>
      <c r="EU23" s="535">
        <f>-(VLOOKUP(Sheet1!BR21,Lookup!$O$4:$Q$262,3)-VLOOKUP(Sheet1!BR20,Lookup!$O$4:$Q$262,3))/1000000</f>
        <v>-1.8011352567268313</v>
      </c>
      <c r="EV23" s="535"/>
      <c r="EW23" s="535"/>
      <c r="EX23" s="535"/>
      <c r="EY23" s="535"/>
      <c r="EZ23" s="535"/>
      <c r="FA23" s="535"/>
      <c r="FB23" s="535"/>
      <c r="FC23" s="535"/>
      <c r="FD23" s="567" t="e">
        <f t="shared" si="171"/>
        <v>#N/A</v>
      </c>
      <c r="FE23" s="567" t="e">
        <f t="shared" si="172"/>
        <v>#N/A</v>
      </c>
      <c r="FF23" s="568" t="e">
        <f t="shared" si="173"/>
        <v>#N/A</v>
      </c>
      <c r="FG23" s="569" t="s">
        <v>656</v>
      </c>
      <c r="FH23" s="569" t="s">
        <v>656</v>
      </c>
      <c r="FI23" s="567" t="e">
        <v>#N/A</v>
      </c>
      <c r="FJ23" s="567" t="e">
        <v>#N/A</v>
      </c>
      <c r="FK23" s="535"/>
      <c r="FL23" s="1015">
        <v>0</v>
      </c>
      <c r="FM23" s="535"/>
      <c r="FN23" s="535"/>
      <c r="FO23" s="535">
        <f>O23+((Sheet1!CS21)*GPMtoMGD)</f>
        <v>57.4</v>
      </c>
      <c r="FP23" s="535">
        <f>IF(Sheet1!AA21+AQ23&lt;=Calculation!N23,AQ23,Calculation!N23-Sheet1!AA21)</f>
        <v>20.977799227799228</v>
      </c>
      <c r="FQ23" s="535">
        <f>(Sheet1!BP21+Sheet1!BO21)/694.4</f>
        <v>1.7040610599078341</v>
      </c>
      <c r="FR23" s="541"/>
      <c r="FS23" s="541"/>
      <c r="FT23" s="541"/>
      <c r="FU23" s="541"/>
      <c r="FV23" s="1109">
        <f t="shared" si="74"/>
        <v>42918</v>
      </c>
      <c r="FW23" s="1109">
        <f t="shared" si="75"/>
        <v>43027</v>
      </c>
      <c r="FX23" s="541"/>
      <c r="FY23" s="541">
        <f>Sheet1!DA21-Sheet1!CZ21-Sheet1!AE21</f>
        <v>203.2022</v>
      </c>
      <c r="FZ23" s="535">
        <f t="shared" si="111"/>
        <v>0.49306800117457367</v>
      </c>
      <c r="GA23" s="535"/>
      <c r="GB23" s="535" t="str">
        <f t="shared" si="76"/>
        <v>n</v>
      </c>
      <c r="GC23" s="539">
        <f t="shared" si="77"/>
        <v>42782</v>
      </c>
      <c r="GD23" s="1109">
        <f t="shared" si="78"/>
        <v>42904</v>
      </c>
      <c r="GE23" s="535">
        <f t="shared" si="95"/>
        <v>6520</v>
      </c>
      <c r="GF23" s="1109">
        <f t="shared" si="79"/>
        <v>42909</v>
      </c>
      <c r="GG23" s="535">
        <f t="shared" si="174"/>
        <v>3260</v>
      </c>
      <c r="GH23" s="539">
        <f t="shared" si="80"/>
        <v>43040</v>
      </c>
      <c r="GJ23" s="521">
        <f t="shared" si="81"/>
        <v>0</v>
      </c>
      <c r="GK23" s="535" t="str">
        <f t="shared" si="175"/>
        <v/>
      </c>
      <c r="GL23" s="535">
        <f t="shared" si="82"/>
        <v>0</v>
      </c>
      <c r="GM23" s="535" t="str">
        <f t="shared" si="83"/>
        <v/>
      </c>
      <c r="GN23" s="535">
        <f>IF(GK23="P",Lookup!$M$12,IF(GK23="PP",Lookup!$M$13,IF(GK23="PPP",Lookup!$M$14,IF(GK23="T",Lookup!$M$15,IF(GK23="TP",Lookup!$M$16,IF(GK23="TPP",Lookup!$M$17,IF(GK23="TPPP",Lookup!$M$18,0)))))))*GJ23</f>
        <v>0</v>
      </c>
      <c r="GO23" s="535">
        <f t="shared" si="84"/>
        <v>0</v>
      </c>
      <c r="GP23" s="535">
        <f t="shared" si="176"/>
        <v>0</v>
      </c>
      <c r="GQ23" s="535">
        <f t="shared" si="94"/>
        <v>0</v>
      </c>
      <c r="GR23" s="535"/>
      <c r="GS23" s="535">
        <f t="shared" si="85"/>
        <v>0</v>
      </c>
      <c r="GT23" s="535" t="str">
        <f t="shared" si="86"/>
        <v/>
      </c>
      <c r="GU23" s="535">
        <f>IF(GK23="P",Lookup!$N$12,IF(GK23="PP",Lookup!$N$13,IF(GK23="PPP",Lookup!$N$14,IF(GK23="T",Lookup!$N$15,IF(GK23="TP",Lookup!$N$16,IF(GK23="TPP",Lookup!$N$17,IF(GK23="TPPP",Lookup!$N$18,0)))))))*GJ23</f>
        <v>0</v>
      </c>
      <c r="GV23" s="535">
        <f t="shared" si="53"/>
        <v>0</v>
      </c>
      <c r="GW23" s="535">
        <f t="shared" si="177"/>
        <v>0</v>
      </c>
      <c r="GX23" s="535">
        <f t="shared" si="91"/>
        <v>0</v>
      </c>
      <c r="GY23" s="535"/>
      <c r="GZ23" s="535">
        <f t="shared" si="87"/>
        <v>0</v>
      </c>
      <c r="HA23" s="535" t="str">
        <f t="shared" si="88"/>
        <v/>
      </c>
      <c r="HB23" s="535">
        <f>IF(GK23="P",Lookup!$N$12,IF(GK23="PP",Lookup!$N$13,IF(GK23="PPP",Lookup!$N$14,IF(GK23="T",Lookup!$N$15,IF(GK23="TP",Lookup!$N$16,IF(GK23="TPP",Lookup!$N$17,IF(GK23="TPPP",Lookup!$N$18,0)))))))*GJ23</f>
        <v>0</v>
      </c>
      <c r="HC23" s="521">
        <f t="shared" si="178"/>
        <v>0</v>
      </c>
      <c r="HD23" s="535">
        <f t="shared" si="179"/>
        <v>0</v>
      </c>
      <c r="HE23" s="535">
        <f t="shared" si="92"/>
        <v>0</v>
      </c>
      <c r="HF23" s="535"/>
      <c r="HG23" s="535">
        <f t="shared" si="89"/>
        <v>0</v>
      </c>
      <c r="HH23" s="535" t="str">
        <f t="shared" si="90"/>
        <v/>
      </c>
      <c r="HI23" s="535">
        <f>IF(GK23="P",Lookup!$N$12,IF(GK23="PP",Lookup!$N$13,IF(GK23="PPP",Lookup!$N$14,IF(GK23="T",Lookup!$N$15,IF(GK23="TP",Lookup!$N$16,IF(GK23="TPP",Lookup!$N$17,IF(GK23="TPPP",Lookup!$N$18,0)))))))*GJ23</f>
        <v>0</v>
      </c>
      <c r="HJ23" s="521">
        <f t="shared" si="180"/>
        <v>0</v>
      </c>
      <c r="HK23" s="535">
        <f t="shared" si="181"/>
        <v>0</v>
      </c>
      <c r="HL23" s="535">
        <f t="shared" si="93"/>
        <v>0</v>
      </c>
      <c r="HM23" s="535"/>
      <c r="HN23" s="541"/>
      <c r="HO23" s="541"/>
      <c r="HP23" s="541"/>
      <c r="HQ23" s="541">
        <f>IF(AND(B23&gt;=$FV$4,B23&lt;=$FW$4),MAX(110/1.02+$HQ$6+MIN(113/1.02,G23),IF($HV$6-(Sheet1!DA21-Sheet1!DB21)+MIN(113/1.02,G23)&lt;G23+FL23,$HV$6-(Sheet1!DA21-Sheet1!DB21)+MIN(113/1.02,G23),G23+FL23)),MIN(110/1.02+$HQ$6+113/1.02,G23))</f>
        <v>218.62745098039215</v>
      </c>
      <c r="HR23" s="541">
        <f t="shared" si="112"/>
        <v>223</v>
      </c>
      <c r="HS23" s="541">
        <f>HR23+(Sheet1!DA21-Sheet1!DB21)</f>
        <v>611</v>
      </c>
      <c r="HT23" s="541">
        <f t="shared" si="113"/>
        <v>0</v>
      </c>
      <c r="HU23" s="541">
        <f t="shared" si="114"/>
        <v>611</v>
      </c>
      <c r="HV23" s="541">
        <f t="shared" si="115"/>
        <v>0</v>
      </c>
      <c r="HW23" s="533" t="str">
        <f t="shared" si="116"/>
        <v/>
      </c>
      <c r="HX23" s="541">
        <f t="shared" si="117"/>
        <v>191.37254901960785</v>
      </c>
      <c r="HY23" s="541">
        <f>Sheet1!CZ21</f>
        <v>410</v>
      </c>
      <c r="HZ23" s="541">
        <f t="shared" si="118"/>
        <v>0</v>
      </c>
      <c r="IA23" s="541">
        <f t="shared" si="119"/>
        <v>0</v>
      </c>
      <c r="IB23" s="541">
        <f t="shared" si="120"/>
        <v>410</v>
      </c>
      <c r="IC23" s="1019" t="str">
        <f t="shared" si="121"/>
        <v/>
      </c>
      <c r="ID23" s="541">
        <f t="shared" si="122"/>
        <v>410</v>
      </c>
      <c r="IE23" s="541">
        <f>Sheet1!DB21</f>
        <v>314</v>
      </c>
      <c r="IF23" s="533">
        <f>Sheet1!DA21</f>
        <v>702</v>
      </c>
      <c r="IH23" s="541">
        <f>IF(AND($B23&gt;=$GC23,$B23&lt;=$GH23,$DR23&lt;0)+N("only adjusted when pool is drawn down during storage season"),Sheet1!$DB21+$DR23+N("Palmer minus all storage release"),Sheet1!$DB21)</f>
        <v>314</v>
      </c>
      <c r="II23" s="541">
        <f>IF(AND($B23&gt;=$GC23,$B23&lt;=$GH23,$DR23&lt;0)+N("only adjusted when pool is drawn down during storage season"),Sheet1!$DA21+$DR23+N("Auburn minus all storage release"),Sheet1!$DA21)</f>
        <v>702</v>
      </c>
    </row>
    <row r="24" spans="1:243" x14ac:dyDescent="0.25">
      <c r="A24" s="553" t="s">
        <v>8</v>
      </c>
      <c r="B24" s="531">
        <v>42748</v>
      </c>
      <c r="C24" s="536">
        <v>0</v>
      </c>
      <c r="D24" s="506">
        <f t="shared" si="0"/>
        <v>300</v>
      </c>
      <c r="E24" s="506">
        <f t="shared" si="1"/>
        <v>250</v>
      </c>
      <c r="F24" s="506">
        <v>250</v>
      </c>
      <c r="G24" s="535">
        <f>DR24+Sheet1!CZ22</f>
        <v>401.02521432178514</v>
      </c>
      <c r="H24" s="1074">
        <f t="shared" si="96"/>
        <v>0</v>
      </c>
      <c r="I24" s="534">
        <f>IF(Sheet1!DA22&gt;=E24,(Sheet1!DA22-E24+P24)*CFStoMGD,0)</f>
        <v>312.34331769599999</v>
      </c>
      <c r="J24" s="995">
        <f>IF(Sheet1!DB22&gt;=D24,(Sheet1!DB22-D24+P24)*CFStoMGD,0)</f>
        <v>0</v>
      </c>
      <c r="K24" s="1115">
        <f t="shared" si="97"/>
        <v>0</v>
      </c>
      <c r="L24" s="535">
        <f>Sheet1!AA22+Sheet1!AB22-Sheet1!L22+(Sheet1!DA22-F24)*CFStoMGD-S24-T24-U24</f>
        <v>312.34440000000001</v>
      </c>
      <c r="M24" s="535">
        <f t="shared" si="123"/>
        <v>264.40715250835399</v>
      </c>
      <c r="N24" s="824">
        <f>IF(Sheet1!DA22&gt;=F24,MIN(113*CFStoMGD,MIN(MAX(L24,0),MAX(M24,0))),0)</f>
        <v>73.043199999999999</v>
      </c>
      <c r="O24" s="538">
        <f>Sheet1!AA22+Sheet1!AB22</f>
        <v>56.370000000000005</v>
      </c>
      <c r="P24" s="538">
        <f t="shared" si="124"/>
        <v>87.204389999999989</v>
      </c>
      <c r="Q24" s="812">
        <f t="shared" si="98"/>
        <v>56.370000000000005</v>
      </c>
      <c r="R24" s="812">
        <f t="shared" si="59"/>
        <v>0</v>
      </c>
      <c r="S24" s="812">
        <f t="shared" si="60"/>
        <v>0</v>
      </c>
      <c r="T24" s="812">
        <f t="shared" si="61"/>
        <v>0</v>
      </c>
      <c r="U24" s="812">
        <f t="shared" si="99"/>
        <v>0</v>
      </c>
      <c r="V24" s="812"/>
      <c r="W24" s="812">
        <f t="shared" si="62"/>
        <v>0</v>
      </c>
      <c r="X24" s="812">
        <f t="shared" si="63"/>
        <v>0</v>
      </c>
      <c r="Y24" s="812" t="str">
        <f t="shared" si="64"/>
        <v>FALSE</v>
      </c>
      <c r="Z24" s="812">
        <f t="shared" si="65"/>
        <v>56.370000000000005</v>
      </c>
      <c r="AA24" s="812">
        <f t="shared" si="66"/>
        <v>56.370000000000005</v>
      </c>
      <c r="AB24" s="1059">
        <f t="shared" si="100"/>
        <v>87.204390000000004</v>
      </c>
      <c r="AC24" s="538">
        <f>Sheet1!Y22*MGDtoCFS</f>
        <v>40.9955</v>
      </c>
      <c r="AD24" s="538">
        <f>Sheet1!Z22*MGDtoCFS</f>
        <v>47.802299999999995</v>
      </c>
      <c r="AE24" s="538">
        <f>Sheet1!AA22*MGDtoCFS</f>
        <v>41.103789999999996</v>
      </c>
      <c r="AF24" s="538">
        <f>Sheet1!AB22*MGDtoCFS</f>
        <v>46.1006</v>
      </c>
      <c r="AG24" s="538">
        <f>Sheet1!L22*MGDtoCFS</f>
        <v>0</v>
      </c>
      <c r="AH24" s="521">
        <f t="shared" si="125"/>
        <v>0</v>
      </c>
      <c r="AI24" s="1059">
        <f t="shared" si="126"/>
        <v>0</v>
      </c>
      <c r="AJ24" s="535">
        <f t="shared" si="127"/>
        <v>0</v>
      </c>
      <c r="AK24" s="535">
        <f t="shared" si="128"/>
        <v>0</v>
      </c>
      <c r="AL24" s="535">
        <f>(VLOOKUP(Sheet1!DC22,hhdcap_wcm,4)-(((VLOOKUP(Sheet1!DC22,hhdcap_wcm,3)-Sheet1!DC22)/(VLOOKUP(Sheet1!DC22,hhdcap_wcm,3)-VLOOKUP(Sheet1!DC22,hhdcap_wcm,1)))*(VLOOKUP(Sheet1!DC22,hhdcap_wcm,4)-VLOOKUP(Sheet1!DC22,hhdcap_wcm,2))))</f>
        <v>720.40000000240104</v>
      </c>
      <c r="AM24" s="535">
        <f t="shared" si="129"/>
        <v>99.200000000099976</v>
      </c>
      <c r="AN24" s="1035">
        <f t="shared" si="130"/>
        <v>0</v>
      </c>
      <c r="AO24" s="535">
        <f t="shared" si="131"/>
        <v>0</v>
      </c>
      <c r="AP24" s="535">
        <f>Sheet1!BA22+Sheet1!BB22+Sheet1!BN22+CD24</f>
        <v>19.600000000000001</v>
      </c>
      <c r="AQ24" s="535">
        <f>Sheet1!BN22+(DO24*Sheet1!BN22)</f>
        <v>19.540983606557379</v>
      </c>
      <c r="AR24" s="535">
        <f>Sheet1!BA22+CD24</f>
        <v>0</v>
      </c>
      <c r="AS24" s="535">
        <f>Sheet1!BA22+Sheet1!BB22+CD24</f>
        <v>0</v>
      </c>
      <c r="AT24" s="649">
        <f>0</f>
        <v>0</v>
      </c>
      <c r="AU24" s="535">
        <f>IF(EB24&lt;K24,0,MAX(Sheet1!AA22+AQ24-15/36*K24-N24,Sheet1!EH22,0))</f>
        <v>0</v>
      </c>
      <c r="AV24" s="535">
        <f>IF(OR(B24&gt;=GD24,B24&lt;GC24),0,15/36*K24-MAX(0,64.6-(137.6-(Sheet1!AA22+Sheet1!AB22))))</f>
        <v>0</v>
      </c>
      <c r="AW24" s="1029"/>
      <c r="AX24" s="649"/>
      <c r="AY24" s="649">
        <f t="shared" si="101"/>
        <v>0</v>
      </c>
      <c r="AZ24" s="649">
        <f t="shared" si="102"/>
        <v>0</v>
      </c>
      <c r="BA24" s="1059">
        <f t="shared" si="103"/>
        <v>0</v>
      </c>
      <c r="BB24" s="1019">
        <f t="shared" si="132"/>
        <v>0</v>
      </c>
      <c r="BC24" s="1041">
        <f t="shared" si="104"/>
        <v>0</v>
      </c>
      <c r="BD24" s="1019">
        <f ca="1">IF(B24&gt;Summary!$A$1,#N/A,BB24*MGtoAF)</f>
        <v>0</v>
      </c>
      <c r="BE24" s="535">
        <f>Sheet1!BG22+Sheet1!BH22+Sheet1!BI22-BM24</f>
        <v>0</v>
      </c>
      <c r="BF24" s="535">
        <f t="shared" si="133"/>
        <v>0</v>
      </c>
      <c r="BG24" s="535">
        <v>1</v>
      </c>
      <c r="BH24" s="535">
        <f t="shared" si="134"/>
        <v>0.99698895951823352</v>
      </c>
      <c r="BI24" s="535">
        <f>IF(Sheet1!EP22="OTHER",BM24,0)</f>
        <v>0</v>
      </c>
      <c r="BJ24" s="535">
        <f t="shared" si="135"/>
        <v>0</v>
      </c>
      <c r="BK24" s="535">
        <f t="shared" si="136"/>
        <v>1</v>
      </c>
      <c r="BL24" s="535">
        <f t="shared" si="137"/>
        <v>0.99698895951823352</v>
      </c>
      <c r="BM24" s="535">
        <v>1</v>
      </c>
      <c r="BN24" s="521">
        <f>IF(AND($B24&gt;=$FV24,$B24&lt;=$FW24),MAX(BF24,Sheet1!EI22,0),MAX(BF24-(7/36)*$K24,0))</f>
        <v>0</v>
      </c>
      <c r="BO24" s="535">
        <f t="shared" si="138"/>
        <v>0</v>
      </c>
      <c r="BP24" s="521">
        <v>0</v>
      </c>
      <c r="BQ24" s="521">
        <f>IF(AND($O24&gt;0,Sheet1!EM22=1),(1-($O24-Sheet1!$L22)/$O24)*BL24,0)</f>
        <v>0</v>
      </c>
      <c r="BR24" s="521">
        <f>IF(AND(Sheet1!$L22=0,Sheet1!$L21=0, Calculation!BK24&lt;Sheet1!$EI22-0.1,Sheet1!$EI22=Sheet1!$EI21,Sheet1!$EI22=Sheet1!$EI23),BL24-BQ24,BL24-BQ24)</f>
        <v>0.99698895951823352</v>
      </c>
      <c r="BS24" s="1035">
        <f t="shared" si="105"/>
        <v>0.99698895951823352</v>
      </c>
      <c r="BT24" s="1035">
        <f t="shared" si="106"/>
        <v>0</v>
      </c>
      <c r="BU24" s="535">
        <f t="shared" si="139"/>
        <v>0</v>
      </c>
      <c r="BV24" s="535"/>
      <c r="BW24" s="535">
        <f ca="1">IF(B24&gt;Summary!$A$1,#N/A,BU24*MGtoAF)</f>
        <v>0</v>
      </c>
      <c r="BX24" s="521">
        <v>0</v>
      </c>
      <c r="BY24" s="535">
        <f t="shared" si="140"/>
        <v>0</v>
      </c>
      <c r="BZ24" s="535">
        <v>2.82</v>
      </c>
      <c r="CA24" s="535">
        <f t="shared" si="141"/>
        <v>2.8115088658414185</v>
      </c>
      <c r="CB24" s="535">
        <f>IF(Sheet1!EQ22="OTHER",CH24,0)</f>
        <v>0</v>
      </c>
      <c r="CC24" s="535">
        <f t="shared" si="142"/>
        <v>0</v>
      </c>
      <c r="CD24" s="535">
        <f t="shared" si="143"/>
        <v>0</v>
      </c>
      <c r="CE24" s="535">
        <f t="shared" si="144"/>
        <v>2.82</v>
      </c>
      <c r="CF24" s="535">
        <f t="shared" si="145"/>
        <v>2.8115088658414185</v>
      </c>
      <c r="CG24" s="535">
        <f>IF(Sheet1!EQ22="CWA",SUM(Sheet1!BC22:'Sheet1'!BF22),0)</f>
        <v>0</v>
      </c>
      <c r="CH24" s="535">
        <f>CA24</f>
        <v>2.8115088658414185</v>
      </c>
      <c r="CI24" s="521">
        <v>0</v>
      </c>
      <c r="CJ24" s="535">
        <f t="shared" si="146"/>
        <v>0</v>
      </c>
      <c r="CK24" s="521">
        <v>0</v>
      </c>
      <c r="CL24" s="521">
        <f>IF(AND($O24&gt;0,Sheet1!EN22=1),(1-($O24-Sheet1!$L22)/$O24)*CF24,0)</f>
        <v>0</v>
      </c>
      <c r="CM24" s="521">
        <f>IF(AND(Sheet1!$L22=0,Sheet1!$L21=0, Calculation!CE24&lt;Sheet1!EJ22-0.1,Sheet1!EJ22=Sheet1!EJ21,Sheet1!EJ22=Sheet1!EJ23),CF24-CL24,CF24-CL24)</f>
        <v>2.8115088658414185</v>
      </c>
      <c r="CN24" s="1040">
        <f t="shared" si="107"/>
        <v>2.8115088658414185</v>
      </c>
      <c r="CO24" s="1035">
        <f t="shared" si="108"/>
        <v>0</v>
      </c>
      <c r="CP24" s="535">
        <f t="shared" si="147"/>
        <v>0</v>
      </c>
      <c r="CQ24" s="535"/>
      <c r="CR24" s="535">
        <f ca="1">IF(B24&gt;Summary!$A$1,#N/A,CP24*MGtoAF)</f>
        <v>0</v>
      </c>
      <c r="CS24" s="521">
        <v>0</v>
      </c>
      <c r="CT24" s="535">
        <f t="shared" si="148"/>
        <v>0</v>
      </c>
      <c r="CU24" s="535">
        <v>6.47</v>
      </c>
      <c r="CV24" s="535">
        <f t="shared" si="149"/>
        <v>6.4505185680829706</v>
      </c>
      <c r="CW24" s="535">
        <f>IF(Sheet1!ER22="OTHER",DA24,0)</f>
        <v>0</v>
      </c>
      <c r="CX24" s="535">
        <f t="shared" si="150"/>
        <v>0</v>
      </c>
      <c r="CY24" s="535">
        <f t="shared" si="151"/>
        <v>6.47</v>
      </c>
      <c r="CZ24" s="535">
        <f t="shared" si="152"/>
        <v>6.4505185680829706</v>
      </c>
      <c r="DA24" s="535">
        <f>CV24</f>
        <v>6.4505185680829706</v>
      </c>
      <c r="DB24" s="1011">
        <f>IF(AND($B24&gt;=$FV24,$B24&lt;=$FW24),MAX($CT24,Sheet1!EK22,0),MAX($CT24-(7/36)*$K24,0))</f>
        <v>0</v>
      </c>
      <c r="DC24" s="1012">
        <f t="shared" si="153"/>
        <v>0</v>
      </c>
      <c r="DD24" s="1011">
        <v>0</v>
      </c>
      <c r="DE24" s="521">
        <f>IF(AND($O24&gt;0,Sheet1!EO22=1),(1-($O24-Sheet1!$L22)/$O24)*CZ24,0)</f>
        <v>0</v>
      </c>
      <c r="DF24" s="521">
        <f>IF(AND(Sheet1!$L22=0,Sheet1!$L21=0, Calculation!CY24&lt;Sheet1!$EK22-0.1,Sheet1!$EK22=Sheet1!$EK21,Sheet1!$EK22=Sheet1!$EK23),CZ24-DE24,CZ24-DE24)</f>
        <v>6.4505185680829706</v>
      </c>
      <c r="DG24" s="1040">
        <f t="shared" si="109"/>
        <v>0</v>
      </c>
      <c r="DH24" s="649">
        <f t="shared" si="154"/>
        <v>10.29</v>
      </c>
      <c r="DI24" s="535">
        <f t="shared" si="155"/>
        <v>0</v>
      </c>
      <c r="DJ24" s="649">
        <f t="shared" si="156"/>
        <v>10.259016393442622</v>
      </c>
      <c r="DK24" s="535">
        <f ca="1">IF(B24&gt;Summary!$A$1,#N/A,DI24*MGtoAF)</f>
        <v>0</v>
      </c>
      <c r="DL24" s="649">
        <f t="shared" si="157"/>
        <v>10.29</v>
      </c>
      <c r="DM24" s="535">
        <f t="shared" si="158"/>
        <v>29.89</v>
      </c>
      <c r="DN24" s="535">
        <f>Sheet1!AB22-DM24</f>
        <v>-8.9999999999999858E-2</v>
      </c>
      <c r="DO24" s="743">
        <f t="shared" si="159"/>
        <v>-3.0110404817664722E-3</v>
      </c>
      <c r="DP24" s="535">
        <f>(VLOOKUP(Sheet1!DC22,hhdcap_wcm,4)-(((VLOOKUP(Sheet1!DC22,hhdcap_wcm,3)-Sheet1!DC22)/(VLOOKUP(Sheet1!DC22,hhdcap_wcm,3)-VLOOKUP(Sheet1!DC22,hhdcap_wcm,1)))*(VLOOKUP(Sheet1!DC22,hhdcap_wcm,4)-VLOOKUP(Sheet1!DC22,hhdcap_wcm,2))))</f>
        <v>720.40000000240104</v>
      </c>
      <c r="DQ24" s="535">
        <f t="shared" si="160"/>
        <v>99.200000000099976</v>
      </c>
      <c r="DR24" s="535">
        <f t="shared" si="161"/>
        <v>50.025214321785157</v>
      </c>
      <c r="DS24" s="535">
        <f>Sheet1!EA22*AFtoMG</f>
        <v>0</v>
      </c>
      <c r="DT24" s="535">
        <f>Sheet1!EB22*AFtoMG</f>
        <v>0</v>
      </c>
      <c r="DU24" s="535">
        <f>Sheet1!EC22*AFtoMG</f>
        <v>0</v>
      </c>
      <c r="DV24" s="535">
        <f>Sheet1!ED22*AFtoMG</f>
        <v>0</v>
      </c>
      <c r="DW24" s="535">
        <f t="shared" si="162"/>
        <v>0</v>
      </c>
      <c r="DX24" s="535">
        <f t="shared" si="163"/>
        <v>0</v>
      </c>
      <c r="DY24" s="535">
        <f t="shared" si="164"/>
        <v>0</v>
      </c>
      <c r="DZ24" s="535">
        <f t="shared" si="165"/>
        <v>0</v>
      </c>
      <c r="EA24" s="535"/>
      <c r="EB24" s="521">
        <f>IF(OR(B24&lt;FV24,B24&gt;FW24),(MIN(BF24+BY24+CT24+MAX(Sheet1!AA22+AQ24-73,0),K24)),0)</f>
        <v>0</v>
      </c>
      <c r="EC24" s="535"/>
      <c r="ED24" s="535">
        <f t="shared" si="166"/>
        <v>0</v>
      </c>
      <c r="EE24" s="535"/>
      <c r="EF24" s="535">
        <f>Sheet1!EH22+Sheet1!EI22+Sheet1!EJ22+Sheet1!EK22</f>
        <v>10.5</v>
      </c>
      <c r="EG24" s="1019">
        <f t="shared" si="110"/>
        <v>16.243500000000001</v>
      </c>
      <c r="EH24" s="521">
        <f t="shared" si="167"/>
        <v>0</v>
      </c>
      <c r="EI24" s="535">
        <f>IF(Sheet1!ET22=1,SUM('Calculations II'!AT24:BA24)+'Calculations II'!BC24+Sheet1!BV22+'Calculations II'!BE24+AP24,'Calculations II'!BK24)</f>
        <v>45.179447606557375</v>
      </c>
      <c r="EJ24" s="535">
        <f ca="1">EI24+'Calculations II'!D24+'Calculations II'!E24+'Calculations II'!O24</f>
        <v>45.76647666583434</v>
      </c>
      <c r="EK24" s="535"/>
      <c r="EL24" s="535"/>
      <c r="EM24" s="535">
        <f t="shared" si="168"/>
        <v>42748</v>
      </c>
      <c r="EN24" s="535">
        <f t="shared" si="169"/>
        <v>0</v>
      </c>
      <c r="EO24" s="535">
        <f t="shared" si="170"/>
        <v>0</v>
      </c>
      <c r="EP24" s="535">
        <v>0</v>
      </c>
      <c r="EQ24" s="535">
        <v>0</v>
      </c>
      <c r="ER24" s="535">
        <v>0</v>
      </c>
      <c r="ES24" s="521">
        <f t="shared" si="71"/>
        <v>-0.27714260154751691</v>
      </c>
      <c r="ET24" s="535">
        <f>-(VLOOKUP(Sheet1!BQ22,Lookup!$O$4:$Q$262,2)-VLOOKUP(Sheet1!BQ21,Lookup!$O$4:$Q$262,2))/1000000</f>
        <v>-0.13854886486746743</v>
      </c>
      <c r="EU24" s="535">
        <f>-(VLOOKUP(Sheet1!BR22,Lookup!$O$4:$Q$262,3)-VLOOKUP(Sheet1!BR21,Lookup!$O$4:$Q$262,3))/1000000</f>
        <v>-0.13859373668004946</v>
      </c>
      <c r="EV24" s="535"/>
      <c r="EW24" s="535"/>
      <c r="EX24" s="535"/>
      <c r="EY24" s="535"/>
      <c r="EZ24" s="535"/>
      <c r="FA24" s="535"/>
      <c r="FB24" s="535"/>
      <c r="FC24" s="535"/>
      <c r="FD24" s="567" t="e">
        <f t="shared" si="171"/>
        <v>#N/A</v>
      </c>
      <c r="FE24" s="567" t="e">
        <f t="shared" si="172"/>
        <v>#N/A</v>
      </c>
      <c r="FF24" s="568" t="e">
        <f t="shared" si="173"/>
        <v>#N/A</v>
      </c>
      <c r="FG24" s="569" t="s">
        <v>656</v>
      </c>
      <c r="FH24" s="569" t="s">
        <v>656</v>
      </c>
      <c r="FI24" s="567" t="e">
        <v>#N/A</v>
      </c>
      <c r="FJ24" s="567" t="e">
        <v>#N/A</v>
      </c>
      <c r="FK24" s="535"/>
      <c r="FL24" s="1015">
        <v>0</v>
      </c>
      <c r="FM24" s="535"/>
      <c r="FN24" s="535"/>
      <c r="FO24" s="535">
        <f>O24+((Sheet1!CS22)*GPMtoMGD)</f>
        <v>56.370000000000005</v>
      </c>
      <c r="FP24" s="535">
        <f>IF(Sheet1!AA22+AQ24&lt;=Calculation!N24,AQ24,Calculation!N24-Sheet1!AA22)</f>
        <v>19.540983606557379</v>
      </c>
      <c r="FQ24" s="535">
        <f>(Sheet1!BP22+Sheet1!BO22)/694.4</f>
        <v>2.0668202764976957</v>
      </c>
      <c r="FR24" s="541"/>
      <c r="FS24" s="541"/>
      <c r="FT24" s="541"/>
      <c r="FU24" s="541"/>
      <c r="FV24" s="1109">
        <f t="shared" si="74"/>
        <v>42918</v>
      </c>
      <c r="FW24" s="1109">
        <f t="shared" si="75"/>
        <v>43027</v>
      </c>
      <c r="FX24" s="541"/>
      <c r="FY24" s="541">
        <f>Sheet1!DA22-Sheet1!CZ22-Sheet1!AE22</f>
        <v>207.79561000000001</v>
      </c>
      <c r="FZ24" s="535">
        <f t="shared" si="111"/>
        <v>0.51816095990728284</v>
      </c>
      <c r="GA24" s="535"/>
      <c r="GB24" s="535" t="str">
        <f t="shared" si="76"/>
        <v>n</v>
      </c>
      <c r="GC24" s="539">
        <f t="shared" si="77"/>
        <v>42782</v>
      </c>
      <c r="GD24" s="1109">
        <f t="shared" si="78"/>
        <v>42904</v>
      </c>
      <c r="GE24" s="535">
        <f t="shared" si="95"/>
        <v>6520</v>
      </c>
      <c r="GF24" s="1109">
        <f t="shared" si="79"/>
        <v>42909</v>
      </c>
      <c r="GG24" s="535">
        <f t="shared" si="174"/>
        <v>3260</v>
      </c>
      <c r="GH24" s="539">
        <f t="shared" si="80"/>
        <v>43040</v>
      </c>
      <c r="GJ24" s="521">
        <f t="shared" si="81"/>
        <v>0</v>
      </c>
      <c r="GK24" s="535" t="str">
        <f t="shared" si="175"/>
        <v/>
      </c>
      <c r="GL24" s="535">
        <f t="shared" si="82"/>
        <v>0</v>
      </c>
      <c r="GM24" s="535" t="str">
        <f t="shared" si="83"/>
        <v/>
      </c>
      <c r="GN24" s="535">
        <f>IF(GK24="P",Lookup!$M$12,IF(GK24="PP",Lookup!$M$13,IF(GK24="PPP",Lookup!$M$14,IF(GK24="T",Lookup!$M$15,IF(GK24="TP",Lookup!$M$16,IF(GK24="TPP",Lookup!$M$17,IF(GK24="TPPP",Lookup!$M$18,0)))))))*GJ24</f>
        <v>0</v>
      </c>
      <c r="GO24" s="535">
        <f t="shared" si="84"/>
        <v>0</v>
      </c>
      <c r="GP24" s="535">
        <f t="shared" si="176"/>
        <v>0</v>
      </c>
      <c r="GQ24" s="535">
        <f t="shared" si="94"/>
        <v>0</v>
      </c>
      <c r="GR24" s="535"/>
      <c r="GS24" s="535">
        <f t="shared" si="85"/>
        <v>0</v>
      </c>
      <c r="GT24" s="535" t="str">
        <f t="shared" si="86"/>
        <v/>
      </c>
      <c r="GU24" s="535">
        <f>IF(GK24="P",Lookup!$N$12,IF(GK24="PP",Lookup!$N$13,IF(GK24="PPP",Lookup!$N$14,IF(GK24="T",Lookup!$N$15,IF(GK24="TP",Lookup!$N$16,IF(GK24="TPP",Lookup!$N$17,IF(GK24="TPPP",Lookup!$N$18,0)))))))*GJ24</f>
        <v>0</v>
      </c>
      <c r="GV24" s="535">
        <f t="shared" si="53"/>
        <v>0</v>
      </c>
      <c r="GW24" s="535">
        <f t="shared" si="177"/>
        <v>0</v>
      </c>
      <c r="GX24" s="535">
        <f t="shared" si="91"/>
        <v>0</v>
      </c>
      <c r="GY24" s="535"/>
      <c r="GZ24" s="535">
        <f t="shared" si="87"/>
        <v>0</v>
      </c>
      <c r="HA24" s="535" t="str">
        <f t="shared" si="88"/>
        <v/>
      </c>
      <c r="HB24" s="535">
        <f>IF(GK24="P",Lookup!$N$12,IF(GK24="PP",Lookup!$N$13,IF(GK24="PPP",Lookup!$N$14,IF(GK24="T",Lookup!$N$15,IF(GK24="TP",Lookup!$N$16,IF(GK24="TPP",Lookup!$N$17,IF(GK24="TPPP",Lookup!$N$18,0)))))))*GJ24</f>
        <v>0</v>
      </c>
      <c r="HC24" s="521">
        <f t="shared" si="178"/>
        <v>0</v>
      </c>
      <c r="HD24" s="535">
        <f t="shared" si="179"/>
        <v>0</v>
      </c>
      <c r="HE24" s="535">
        <f t="shared" si="92"/>
        <v>0</v>
      </c>
      <c r="HF24" s="535"/>
      <c r="HG24" s="535">
        <f t="shared" si="89"/>
        <v>0</v>
      </c>
      <c r="HH24" s="535" t="str">
        <f t="shared" si="90"/>
        <v/>
      </c>
      <c r="HI24" s="535">
        <f>IF(GK24="P",Lookup!$N$12,IF(GK24="PP",Lookup!$N$13,IF(GK24="PPP",Lookup!$N$14,IF(GK24="T",Lookup!$N$15,IF(GK24="TP",Lookup!$N$16,IF(GK24="TPP",Lookup!$N$17,IF(GK24="TPPP",Lookup!$N$18,0)))))))*GJ24</f>
        <v>0</v>
      </c>
      <c r="HJ24" s="521">
        <f t="shared" si="180"/>
        <v>0</v>
      </c>
      <c r="HK24" s="535">
        <f t="shared" si="181"/>
        <v>0</v>
      </c>
      <c r="HL24" s="535">
        <f t="shared" si="93"/>
        <v>0</v>
      </c>
      <c r="HM24" s="535"/>
      <c r="HN24" s="541"/>
      <c r="HO24" s="541"/>
      <c r="HP24" s="541"/>
      <c r="HQ24" s="541">
        <f>IF(AND(B24&gt;=$FV$4,B24&lt;=$FW$4),MAX(110/1.02+$HQ$6+MIN(113/1.02,G24),IF($HV$6-(Sheet1!DA22-Sheet1!DB22)+MIN(113/1.02,G24)&lt;G24+FL24,$HV$6-(Sheet1!DA22-Sheet1!DB22)+MIN(113/1.02,G24),G24+FL24)),MIN(110/1.02+$HQ$6+113/1.02,G24))</f>
        <v>218.62745098039215</v>
      </c>
      <c r="HR24" s="541">
        <f t="shared" si="112"/>
        <v>223</v>
      </c>
      <c r="HS24" s="541">
        <f>HR24+(Sheet1!DA22-Sheet1!DB22)</f>
        <v>615</v>
      </c>
      <c r="HT24" s="541">
        <f t="shared" si="113"/>
        <v>87.204390000000004</v>
      </c>
      <c r="HU24" s="541">
        <f t="shared" si="114"/>
        <v>527.79561000000001</v>
      </c>
      <c r="HV24" s="541">
        <f t="shared" si="115"/>
        <v>0</v>
      </c>
      <c r="HW24" s="533" t="str">
        <f t="shared" si="116"/>
        <v/>
      </c>
      <c r="HX24" s="541">
        <f t="shared" si="117"/>
        <v>132.37254901960785</v>
      </c>
      <c r="HY24" s="541">
        <f>Sheet1!CZ22</f>
        <v>351</v>
      </c>
      <c r="HZ24" s="541">
        <f t="shared" si="118"/>
        <v>0</v>
      </c>
      <c r="IA24" s="541">
        <f t="shared" si="119"/>
        <v>87.204390000000004</v>
      </c>
      <c r="IB24" s="541">
        <f t="shared" si="120"/>
        <v>351</v>
      </c>
      <c r="IC24" s="1019" t="str">
        <f t="shared" si="121"/>
        <v/>
      </c>
      <c r="ID24" s="541">
        <f t="shared" si="122"/>
        <v>263.79561000000001</v>
      </c>
      <c r="IE24" s="541">
        <f>Sheet1!DB22</f>
        <v>254</v>
      </c>
      <c r="IF24" s="533">
        <f>Sheet1!DA22</f>
        <v>646</v>
      </c>
      <c r="IH24" s="541">
        <f>IF(AND($B24&gt;=$GC24,$B24&lt;=$GH24,$DR24&lt;0)+N("only adjusted when pool is drawn down during storage season"),Sheet1!$DB22+$DR24+N("Palmer minus all storage release"),Sheet1!$DB22)</f>
        <v>254</v>
      </c>
      <c r="II24" s="541">
        <f>IF(AND($B24&gt;=$GC24,$B24&lt;=$GH24,$DR24&lt;0)+N("only adjusted when pool is drawn down during storage season"),Sheet1!$DA22+$DR24+N("Auburn minus all storage release"),Sheet1!$DA22)</f>
        <v>646</v>
      </c>
    </row>
    <row r="25" spans="1:243" x14ac:dyDescent="0.25">
      <c r="A25" s="553" t="s">
        <v>9</v>
      </c>
      <c r="B25" s="531">
        <v>42749</v>
      </c>
      <c r="C25" s="536">
        <v>0</v>
      </c>
      <c r="D25" s="506">
        <f t="shared" si="0"/>
        <v>300</v>
      </c>
      <c r="E25" s="506">
        <f t="shared" si="1"/>
        <v>250</v>
      </c>
      <c r="F25" s="506">
        <v>250</v>
      </c>
      <c r="G25" s="535">
        <f>DR25+Sheet1!CZ23</f>
        <v>428.00353000522176</v>
      </c>
      <c r="H25" s="1074">
        <f t="shared" si="96"/>
        <v>0</v>
      </c>
      <c r="I25" s="534">
        <f>IF(Sheet1!DA23&gt;=E25,(Sheet1!DA23-E25+P25)*CFStoMGD,0)</f>
        <v>274.69777030399996</v>
      </c>
      <c r="J25" s="995">
        <f>IF(Sheet1!DB23&gt;=D25,(Sheet1!DB23-D25+P25)*CFStoMGD,0)</f>
        <v>0</v>
      </c>
      <c r="K25" s="1115">
        <f t="shared" si="97"/>
        <v>0</v>
      </c>
      <c r="L25" s="535">
        <f>Sheet1!AA23+Sheet1!AB23-Sheet1!L23+(Sheet1!DA23-F25)*CFStoMGD-S25-T25-U25</f>
        <v>274.69880000000001</v>
      </c>
      <c r="M25" s="535">
        <f t="shared" si="123"/>
        <v>282.19471143128288</v>
      </c>
      <c r="N25" s="824">
        <f>IF(Sheet1!DA23&gt;=F25,MIN(113*CFStoMGD,MIN(MAX(L25,0),MAX(M25,0))),0)</f>
        <v>73.043199999999999</v>
      </c>
      <c r="O25" s="538">
        <f>Sheet1!AA23+Sheet1!AB23</f>
        <v>53.629999999999995</v>
      </c>
      <c r="P25" s="538">
        <f t="shared" si="124"/>
        <v>82.965609999999998</v>
      </c>
      <c r="Q25" s="812">
        <f t="shared" si="98"/>
        <v>53.629999999999995</v>
      </c>
      <c r="R25" s="812">
        <f t="shared" si="59"/>
        <v>0</v>
      </c>
      <c r="S25" s="812">
        <f t="shared" si="60"/>
        <v>0</v>
      </c>
      <c r="T25" s="812">
        <f t="shared" si="61"/>
        <v>0</v>
      </c>
      <c r="U25" s="812">
        <f t="shared" si="99"/>
        <v>0</v>
      </c>
      <c r="V25" s="812"/>
      <c r="W25" s="812">
        <f t="shared" si="62"/>
        <v>0</v>
      </c>
      <c r="X25" s="812">
        <f t="shared" si="63"/>
        <v>0</v>
      </c>
      <c r="Y25" s="812" t="str">
        <f t="shared" si="64"/>
        <v>FALSE</v>
      </c>
      <c r="Z25" s="812">
        <f t="shared" si="65"/>
        <v>53.629999999999995</v>
      </c>
      <c r="AA25" s="812">
        <f t="shared" si="66"/>
        <v>53.629999999999995</v>
      </c>
      <c r="AB25" s="1059">
        <f t="shared" si="100"/>
        <v>82.965609999999984</v>
      </c>
      <c r="AC25" s="538">
        <f>Sheet1!Y23*MGDtoCFS</f>
        <v>41.103789999999996</v>
      </c>
      <c r="AD25" s="538">
        <f>Sheet1!Z23*MGDtoCFS</f>
        <v>46.1006</v>
      </c>
      <c r="AE25" s="538">
        <f>Sheet1!AA23*MGDtoCFS</f>
        <v>41.19661</v>
      </c>
      <c r="AF25" s="538">
        <f>Sheet1!AB23*MGDtoCFS</f>
        <v>41.768999999999998</v>
      </c>
      <c r="AG25" s="538">
        <f>Sheet1!L23*MGDtoCFS</f>
        <v>0</v>
      </c>
      <c r="AH25" s="521">
        <f t="shared" si="125"/>
        <v>0</v>
      </c>
      <c r="AI25" s="1059">
        <f t="shared" si="126"/>
        <v>0</v>
      </c>
      <c r="AJ25" s="535">
        <f t="shared" si="127"/>
        <v>0</v>
      </c>
      <c r="AK25" s="535">
        <f t="shared" si="128"/>
        <v>0</v>
      </c>
      <c r="AL25" s="535">
        <f>(VLOOKUP(Sheet1!DC23,hhdcap_wcm,4)-(((VLOOKUP(Sheet1!DC23,hhdcap_wcm,3)-Sheet1!DC23)/(VLOOKUP(Sheet1!DC23,hhdcap_wcm,3)-VLOOKUP(Sheet1!DC23,hhdcap_wcm,1)))*(VLOOKUP(Sheet1!DC23,hhdcap_wcm,4)-VLOOKUP(Sheet1!DC23,hhdcap_wcm,2))))</f>
        <v>861.20000000275581</v>
      </c>
      <c r="AM25" s="535">
        <f t="shared" si="129"/>
        <v>140.80000000035477</v>
      </c>
      <c r="AN25" s="1035">
        <f t="shared" si="130"/>
        <v>0</v>
      </c>
      <c r="AO25" s="535">
        <f t="shared" si="131"/>
        <v>0</v>
      </c>
      <c r="AP25" s="535">
        <f>Sheet1!BA23+Sheet1!BB23+Sheet1!BN23+CD25</f>
        <v>16.600000000000001</v>
      </c>
      <c r="AQ25" s="535">
        <f>Sheet1!BN23+(DO25*Sheet1!BN23)</f>
        <v>16.550960118168391</v>
      </c>
      <c r="AR25" s="535">
        <f>Sheet1!BA23+CD25</f>
        <v>0</v>
      </c>
      <c r="AS25" s="535">
        <f>Sheet1!BA23+Sheet1!BB23+CD25</f>
        <v>0</v>
      </c>
      <c r="AT25" s="649">
        <f>0</f>
        <v>0</v>
      </c>
      <c r="AU25" s="535">
        <f>IF(EB25&lt;K25,0,MAX(Sheet1!AA23+AQ25-15/36*K25-N25,Sheet1!EH23,0))</f>
        <v>0</v>
      </c>
      <c r="AV25" s="535">
        <f>IF(OR(B25&gt;=GD25,B25&lt;GC25),0,15/36*K25-MAX(0,64.6-(137.6-(Sheet1!AA23+Sheet1!AB23))))</f>
        <v>0</v>
      </c>
      <c r="AW25" s="1029"/>
      <c r="AX25" s="649"/>
      <c r="AY25" s="649">
        <f t="shared" si="101"/>
        <v>0</v>
      </c>
      <c r="AZ25" s="649">
        <f t="shared" si="102"/>
        <v>0</v>
      </c>
      <c r="BA25" s="1059">
        <f t="shared" si="103"/>
        <v>0</v>
      </c>
      <c r="BB25" s="1019">
        <f t="shared" si="132"/>
        <v>0</v>
      </c>
      <c r="BC25" s="1041">
        <f t="shared" si="104"/>
        <v>0</v>
      </c>
      <c r="BD25" s="1019">
        <f ca="1">IF(B25&gt;Summary!$A$1,#N/A,BB25*MGtoAF)</f>
        <v>0</v>
      </c>
      <c r="BE25" s="535">
        <f>Sheet1!BG23+Sheet1!BH23+Sheet1!BI23-BM25</f>
        <v>0</v>
      </c>
      <c r="BF25" s="535">
        <f t="shared" si="133"/>
        <v>0</v>
      </c>
      <c r="BG25" s="535">
        <v>1</v>
      </c>
      <c r="BH25" s="535">
        <f t="shared" si="134"/>
        <v>0.99704579025110773</v>
      </c>
      <c r="BI25" s="535">
        <f>IF(Sheet1!EP23="OTHER",BM25,0)</f>
        <v>0</v>
      </c>
      <c r="BJ25" s="535">
        <f t="shared" si="135"/>
        <v>0</v>
      </c>
      <c r="BK25" s="535">
        <f t="shared" si="136"/>
        <v>1</v>
      </c>
      <c r="BL25" s="535">
        <f t="shared" si="137"/>
        <v>0.99704579025110773</v>
      </c>
      <c r="BM25" s="535">
        <v>1</v>
      </c>
      <c r="BN25" s="521">
        <f>IF(AND($B25&gt;=$FV25,$B25&lt;=$FW25),MAX(BF25,Sheet1!EI23,0),MAX(BF25-(7/36)*$K25,0))</f>
        <v>0</v>
      </c>
      <c r="BO25" s="535">
        <f t="shared" si="138"/>
        <v>0</v>
      </c>
      <c r="BP25" s="521">
        <v>0</v>
      </c>
      <c r="BQ25" s="521">
        <f>IF(AND($O25&gt;0,Sheet1!EM23=1),(1-($O25-Sheet1!$L23)/$O25)*BL25,0)</f>
        <v>0</v>
      </c>
      <c r="BR25" s="521">
        <f>IF(AND(Sheet1!$L23=0,Sheet1!$L22=0, Calculation!BK25&lt;Sheet1!$EI23-0.1,Sheet1!$EI23=Sheet1!$EI22,Sheet1!$EI23=Sheet1!$EI24),BL25-BQ25,BL25-BQ25)</f>
        <v>0.99704579025110773</v>
      </c>
      <c r="BS25" s="1035">
        <f t="shared" si="105"/>
        <v>0.99704579025110773</v>
      </c>
      <c r="BT25" s="1035">
        <f t="shared" si="106"/>
        <v>0</v>
      </c>
      <c r="BU25" s="535">
        <f t="shared" si="139"/>
        <v>0</v>
      </c>
      <c r="BV25" s="535"/>
      <c r="BW25" s="535">
        <f ca="1">IF(B25&gt;Summary!$A$1,#N/A,BU25*MGtoAF)</f>
        <v>0</v>
      </c>
      <c r="BX25" s="521">
        <v>0</v>
      </c>
      <c r="BY25" s="535">
        <f t="shared" si="140"/>
        <v>0</v>
      </c>
      <c r="BZ25" s="535">
        <v>2.99</v>
      </c>
      <c r="CA25" s="535">
        <f t="shared" si="141"/>
        <v>2.9811669128508123</v>
      </c>
      <c r="CB25" s="535">
        <f>IF(Sheet1!EQ23="OTHER",CH25,0)</f>
        <v>0</v>
      </c>
      <c r="CC25" s="535">
        <f t="shared" si="142"/>
        <v>0</v>
      </c>
      <c r="CD25" s="535">
        <f t="shared" si="143"/>
        <v>0</v>
      </c>
      <c r="CE25" s="535">
        <f t="shared" si="144"/>
        <v>2.99</v>
      </c>
      <c r="CF25" s="535">
        <f t="shared" si="145"/>
        <v>2.9811669128508123</v>
      </c>
      <c r="CG25" s="535">
        <f>IF(Sheet1!EQ23="CWA",SUM(Sheet1!BC23:'Sheet1'!BF23),0)</f>
        <v>0</v>
      </c>
      <c r="CH25" s="535">
        <f>CA25</f>
        <v>2.9811669128508123</v>
      </c>
      <c r="CI25" s="521">
        <v>0</v>
      </c>
      <c r="CJ25" s="535">
        <f t="shared" si="146"/>
        <v>0</v>
      </c>
      <c r="CK25" s="521">
        <v>0</v>
      </c>
      <c r="CL25" s="521">
        <f>IF(AND($O25&gt;0,Sheet1!EN23=1),(1-($O25-Sheet1!$L23)/$O25)*CF25,0)</f>
        <v>0</v>
      </c>
      <c r="CM25" s="521">
        <f>IF(AND(Sheet1!$L23=0,Sheet1!$L22=0, Calculation!CE25&lt;Sheet1!EJ23-0.1,Sheet1!EJ23=Sheet1!EJ22,Sheet1!EJ23=Sheet1!EJ24),CF25-CL25,CF25-CL25)</f>
        <v>2.9811669128508123</v>
      </c>
      <c r="CN25" s="1040">
        <f t="shared" si="107"/>
        <v>2.9811669128508123</v>
      </c>
      <c r="CO25" s="1035">
        <f t="shared" si="108"/>
        <v>0</v>
      </c>
      <c r="CP25" s="535">
        <f t="shared" si="147"/>
        <v>0</v>
      </c>
      <c r="CQ25" s="535"/>
      <c r="CR25" s="535">
        <f ca="1">IF(B25&gt;Summary!$A$1,#N/A,CP25*MGtoAF)</f>
        <v>0</v>
      </c>
      <c r="CS25" s="521">
        <v>0</v>
      </c>
      <c r="CT25" s="535">
        <f t="shared" si="148"/>
        <v>0</v>
      </c>
      <c r="CU25" s="535">
        <v>6.49</v>
      </c>
      <c r="CV25" s="535">
        <f t="shared" si="149"/>
        <v>6.4708271787296896</v>
      </c>
      <c r="CW25" s="535">
        <f>IF(Sheet1!ER23="OTHER",DA25,0)</f>
        <v>0</v>
      </c>
      <c r="CX25" s="535">
        <f t="shared" si="150"/>
        <v>0</v>
      </c>
      <c r="CY25" s="535">
        <f t="shared" si="151"/>
        <v>6.49</v>
      </c>
      <c r="CZ25" s="535">
        <f t="shared" si="152"/>
        <v>6.4708271787296896</v>
      </c>
      <c r="DA25" s="535">
        <f>CV25</f>
        <v>6.4708271787296896</v>
      </c>
      <c r="DB25" s="1011">
        <f>IF(AND($B25&gt;=$FV25,$B25&lt;=$FW25),MAX($CT25,Sheet1!EK23,0),MAX($CT25-(7/36)*$K25,0))</f>
        <v>0</v>
      </c>
      <c r="DC25" s="1012">
        <f t="shared" si="153"/>
        <v>0</v>
      </c>
      <c r="DD25" s="1011">
        <v>0</v>
      </c>
      <c r="DE25" s="521">
        <f>IF(AND($O25&gt;0,Sheet1!EO23=1),(1-($O25-Sheet1!$L23)/$O25)*CZ25,0)</f>
        <v>0</v>
      </c>
      <c r="DF25" s="521">
        <f>IF(AND(Sheet1!$L23=0,Sheet1!$L22=0, Calculation!CY25&lt;Sheet1!$EK23-0.1,Sheet1!$EK23=Sheet1!$EK22,Sheet1!$EK23=Sheet1!$EK24),CZ25-DE25,CZ25-DE25)</f>
        <v>6.4708271787296896</v>
      </c>
      <c r="DG25" s="1040">
        <f t="shared" si="109"/>
        <v>0</v>
      </c>
      <c r="DH25" s="649">
        <f t="shared" si="154"/>
        <v>10.48</v>
      </c>
      <c r="DI25" s="535">
        <f t="shared" si="155"/>
        <v>0</v>
      </c>
      <c r="DJ25" s="649">
        <f t="shared" si="156"/>
        <v>10.449039881831609</v>
      </c>
      <c r="DK25" s="535">
        <f ca="1">IF(B25&gt;Summary!$A$1,#N/A,DI25*MGtoAF)</f>
        <v>0</v>
      </c>
      <c r="DL25" s="649">
        <f t="shared" si="157"/>
        <v>10.48</v>
      </c>
      <c r="DM25" s="535">
        <f t="shared" si="158"/>
        <v>27.080000000000002</v>
      </c>
      <c r="DN25" s="535">
        <f>Sheet1!AB23-DM25</f>
        <v>-8.0000000000001847E-2</v>
      </c>
      <c r="DO25" s="743">
        <f t="shared" si="159"/>
        <v>-2.9542097488922392E-3</v>
      </c>
      <c r="DP25" s="535">
        <f>(VLOOKUP(Sheet1!DC23,hhdcap_wcm,4)-(((VLOOKUP(Sheet1!DC23,hhdcap_wcm,3)-Sheet1!DC23)/(VLOOKUP(Sheet1!DC23,hhdcap_wcm,3)-VLOOKUP(Sheet1!DC23,hhdcap_wcm,1)))*(VLOOKUP(Sheet1!DC23,hhdcap_wcm,4)-VLOOKUP(Sheet1!DC23,hhdcap_wcm,2))))</f>
        <v>861.20000000275581</v>
      </c>
      <c r="DQ25" s="535">
        <f t="shared" si="160"/>
        <v>140.80000000035477</v>
      </c>
      <c r="DR25" s="535">
        <f t="shared" si="161"/>
        <v>71.003530005221762</v>
      </c>
      <c r="DS25" s="535">
        <f>Sheet1!EA23*AFtoMG</f>
        <v>0</v>
      </c>
      <c r="DT25" s="535">
        <f>Sheet1!EB23*AFtoMG</f>
        <v>0</v>
      </c>
      <c r="DU25" s="535">
        <f>Sheet1!EC23*AFtoMG</f>
        <v>0</v>
      </c>
      <c r="DV25" s="535">
        <f>Sheet1!ED23*AFtoMG</f>
        <v>0</v>
      </c>
      <c r="DW25" s="535">
        <f t="shared" si="162"/>
        <v>0</v>
      </c>
      <c r="DX25" s="535">
        <f t="shared" si="163"/>
        <v>0</v>
      </c>
      <c r="DY25" s="535">
        <f t="shared" si="164"/>
        <v>0</v>
      </c>
      <c r="DZ25" s="535">
        <f t="shared" si="165"/>
        <v>0</v>
      </c>
      <c r="EA25" s="535"/>
      <c r="EB25" s="521">
        <f>IF(OR(B25&lt;FV25,B25&gt;FW25),(MIN(BF25+BY25+CT25+MAX(Sheet1!AA23+AQ25-73,0),K25)),0)</f>
        <v>0</v>
      </c>
      <c r="EC25" s="535"/>
      <c r="ED25" s="535">
        <f t="shared" si="166"/>
        <v>0</v>
      </c>
      <c r="EE25" s="535"/>
      <c r="EF25" s="535">
        <f>Sheet1!EH23+Sheet1!EI23+Sheet1!EJ23+Sheet1!EK23</f>
        <v>10.5</v>
      </c>
      <c r="EG25" s="1019">
        <f t="shared" si="110"/>
        <v>16.243500000000001</v>
      </c>
      <c r="EH25" s="521">
        <f t="shared" si="167"/>
        <v>0</v>
      </c>
      <c r="EI25" s="535">
        <f>IF(Sheet1!ET23=1,SUM('Calculations II'!AT25:BA25)+'Calculations II'!BC25+Sheet1!BV23+'Calculations II'!BE25+AP25,'Calculations II'!BK25)</f>
        <v>45.943254118168397</v>
      </c>
      <c r="EJ25" s="535">
        <f ca="1">EI25+'Calculations II'!D25+'Calculations II'!E25+'Calculations II'!O25</f>
        <v>41.694553441081702</v>
      </c>
      <c r="EK25" s="535"/>
      <c r="EL25" s="535"/>
      <c r="EM25" s="535">
        <f t="shared" si="168"/>
        <v>42749</v>
      </c>
      <c r="EN25" s="535">
        <f t="shared" si="169"/>
        <v>0</v>
      </c>
      <c r="EO25" s="535">
        <f t="shared" si="170"/>
        <v>0</v>
      </c>
      <c r="EP25" s="535">
        <v>0</v>
      </c>
      <c r="EQ25" s="535">
        <v>0</v>
      </c>
      <c r="ER25" s="535">
        <v>0</v>
      </c>
      <c r="ES25" s="521">
        <f t="shared" si="71"/>
        <v>3.8788298755860886</v>
      </c>
      <c r="ET25" s="535">
        <f>-(VLOOKUP(Sheet1!BQ23,Lookup!$O$4:$Q$262,2)-VLOOKUP(Sheet1!BQ22,Lookup!$O$4:$Q$262,2))/1000000</f>
        <v>1.9391008821792082</v>
      </c>
      <c r="EU25" s="535">
        <f>-(VLOOKUP(Sheet1!BR23,Lookup!$O$4:$Q$262,3)-VLOOKUP(Sheet1!BR22,Lookup!$O$4:$Q$262,3))/1000000</f>
        <v>1.9397289934068807</v>
      </c>
      <c r="EV25" s="535"/>
      <c r="EW25" s="535"/>
      <c r="EX25" s="535"/>
      <c r="EY25" s="535"/>
      <c r="EZ25" s="535"/>
      <c r="FA25" s="535"/>
      <c r="FB25" s="535"/>
      <c r="FC25" s="535"/>
      <c r="FD25" s="567" t="e">
        <f t="shared" si="171"/>
        <v>#N/A</v>
      </c>
      <c r="FE25" s="567" t="e">
        <f t="shared" si="172"/>
        <v>#N/A</v>
      </c>
      <c r="FF25" s="568" t="e">
        <f t="shared" si="173"/>
        <v>#N/A</v>
      </c>
      <c r="FG25" s="569" t="s">
        <v>656</v>
      </c>
      <c r="FH25" s="569" t="s">
        <v>656</v>
      </c>
      <c r="FI25" s="567" t="e">
        <v>#N/A</v>
      </c>
      <c r="FJ25" s="567" t="e">
        <v>#N/A</v>
      </c>
      <c r="FK25" s="535"/>
      <c r="FL25" s="1015">
        <v>0</v>
      </c>
      <c r="FM25" s="535"/>
      <c r="FN25" s="535"/>
      <c r="FO25" s="535">
        <f>O25+((Sheet1!CS23)*GPMtoMGD)</f>
        <v>53.629999999999995</v>
      </c>
      <c r="FP25" s="535">
        <f>IF(Sheet1!AA23+AQ25&lt;=Calculation!N25,AQ25,Calculation!N25-Sheet1!AA23)</f>
        <v>16.550960118168391</v>
      </c>
      <c r="FQ25" s="535">
        <f>(Sheet1!BP23+Sheet1!BO23)/694.4</f>
        <v>1.7279665898617511</v>
      </c>
      <c r="FR25" s="541"/>
      <c r="FS25" s="541"/>
      <c r="FT25" s="541"/>
      <c r="FU25" s="541"/>
      <c r="FV25" s="1109">
        <f t="shared" si="74"/>
        <v>42918</v>
      </c>
      <c r="FW25" s="1109">
        <f t="shared" si="75"/>
        <v>43027</v>
      </c>
      <c r="FX25" s="541"/>
      <c r="FY25" s="541">
        <f>Sheet1!DA23-Sheet1!CZ23-Sheet1!AE23</f>
        <v>152.03439000000003</v>
      </c>
      <c r="FZ25" s="535">
        <f t="shared" si="111"/>
        <v>0.35521760766352833</v>
      </c>
      <c r="GA25" s="535"/>
      <c r="GB25" s="535" t="str">
        <f t="shared" si="76"/>
        <v>n</v>
      </c>
      <c r="GC25" s="539">
        <f t="shared" si="77"/>
        <v>42782</v>
      </c>
      <c r="GD25" s="1109">
        <f t="shared" si="78"/>
        <v>42904</v>
      </c>
      <c r="GE25" s="535">
        <f t="shared" si="95"/>
        <v>6520</v>
      </c>
      <c r="GF25" s="1109">
        <f t="shared" si="79"/>
        <v>42909</v>
      </c>
      <c r="GG25" s="535">
        <f t="shared" si="174"/>
        <v>3260</v>
      </c>
      <c r="GH25" s="539">
        <f t="shared" si="80"/>
        <v>43040</v>
      </c>
      <c r="GJ25" s="521">
        <f t="shared" si="81"/>
        <v>0</v>
      </c>
      <c r="GK25" s="535" t="str">
        <f t="shared" si="175"/>
        <v/>
      </c>
      <c r="GL25" s="535">
        <f t="shared" si="82"/>
        <v>0</v>
      </c>
      <c r="GM25" s="535" t="str">
        <f t="shared" si="83"/>
        <v/>
      </c>
      <c r="GN25" s="535">
        <f>IF(GK25="P",Lookup!$M$12,IF(GK25="PP",Lookup!$M$13,IF(GK25="PPP",Lookup!$M$14,IF(GK25="T",Lookup!$M$15,IF(GK25="TP",Lookup!$M$16,IF(GK25="TPP",Lookup!$M$17,IF(GK25="TPPP",Lookup!$M$18,0)))))))*GJ25</f>
        <v>0</v>
      </c>
      <c r="GO25" s="535">
        <f t="shared" si="84"/>
        <v>0</v>
      </c>
      <c r="GP25" s="535">
        <f t="shared" si="176"/>
        <v>0</v>
      </c>
      <c r="GQ25" s="535">
        <f t="shared" si="94"/>
        <v>0</v>
      </c>
      <c r="GR25" s="535"/>
      <c r="GS25" s="535">
        <f t="shared" si="85"/>
        <v>0</v>
      </c>
      <c r="GT25" s="535" t="str">
        <f t="shared" si="86"/>
        <v/>
      </c>
      <c r="GU25" s="535">
        <f>IF(GK25="P",Lookup!$N$12,IF(GK25="PP",Lookup!$N$13,IF(GK25="PPP",Lookup!$N$14,IF(GK25="T",Lookup!$N$15,IF(GK25="TP",Lookup!$N$16,IF(GK25="TPP",Lookup!$N$17,IF(GK25="TPPP",Lookup!$N$18,0)))))))*GJ25</f>
        <v>0</v>
      </c>
      <c r="GV25" s="535">
        <f t="shared" si="53"/>
        <v>0</v>
      </c>
      <c r="GW25" s="535">
        <f t="shared" si="177"/>
        <v>0</v>
      </c>
      <c r="GX25" s="535">
        <f t="shared" si="91"/>
        <v>0</v>
      </c>
      <c r="GY25" s="535"/>
      <c r="GZ25" s="535">
        <f t="shared" si="87"/>
        <v>0</v>
      </c>
      <c r="HA25" s="535" t="str">
        <f t="shared" si="88"/>
        <v/>
      </c>
      <c r="HB25" s="535">
        <f>IF(GK25="P",Lookup!$N$12,IF(GK25="PP",Lookup!$N$13,IF(GK25="PPP",Lookup!$N$14,IF(GK25="T",Lookup!$N$15,IF(GK25="TP",Lookup!$N$16,IF(GK25="TPP",Lookup!$N$17,IF(GK25="TPPP",Lookup!$N$18,0)))))))*GJ25</f>
        <v>0</v>
      </c>
      <c r="HC25" s="521">
        <f t="shared" si="178"/>
        <v>0</v>
      </c>
      <c r="HD25" s="535">
        <f t="shared" si="179"/>
        <v>0</v>
      </c>
      <c r="HE25" s="535">
        <f t="shared" si="92"/>
        <v>0</v>
      </c>
      <c r="HF25" s="535"/>
      <c r="HG25" s="535">
        <f t="shared" si="89"/>
        <v>0</v>
      </c>
      <c r="HH25" s="535" t="str">
        <f t="shared" si="90"/>
        <v/>
      </c>
      <c r="HI25" s="535">
        <f>IF(GK25="P",Lookup!$N$12,IF(GK25="PP",Lookup!$N$13,IF(GK25="PPP",Lookup!$N$14,IF(GK25="T",Lookup!$N$15,IF(GK25="TP",Lookup!$N$16,IF(GK25="TPP",Lookup!$N$17,IF(GK25="TPPP",Lookup!$N$18,0)))))))*GJ25</f>
        <v>0</v>
      </c>
      <c r="HJ25" s="521">
        <f t="shared" si="180"/>
        <v>0</v>
      </c>
      <c r="HK25" s="535">
        <f t="shared" si="181"/>
        <v>0</v>
      </c>
      <c r="HL25" s="535">
        <f t="shared" si="93"/>
        <v>0</v>
      </c>
      <c r="HM25" s="535"/>
      <c r="HN25" s="541"/>
      <c r="HO25" s="541"/>
      <c r="HP25" s="541"/>
      <c r="HQ25" s="541">
        <f>IF(AND(B25&gt;=$FV$4,B25&lt;=$FW$4),MAX(110/1.02+$HQ$6+MIN(113/1.02,G25),IF($HV$6-(Sheet1!DA23-Sheet1!DB23)+MIN(113/1.02,G25)&lt;G25+FL25,$HV$6-(Sheet1!DA23-Sheet1!DB23)+MIN(113/1.02,G25),G25+FL25)),MIN(110/1.02+$HQ$6+113/1.02,G25))</f>
        <v>218.62745098039215</v>
      </c>
      <c r="HR25" s="541">
        <f t="shared" si="112"/>
        <v>223</v>
      </c>
      <c r="HS25" s="541">
        <f>HR25+(Sheet1!DA23-Sheet1!DB23)</f>
        <v>543</v>
      </c>
      <c r="HT25" s="541">
        <f t="shared" si="113"/>
        <v>82.965609999999984</v>
      </c>
      <c r="HU25" s="541">
        <f t="shared" si="114"/>
        <v>460.03439000000003</v>
      </c>
      <c r="HV25" s="541">
        <f t="shared" si="115"/>
        <v>0</v>
      </c>
      <c r="HW25" s="533" t="str">
        <f t="shared" si="116"/>
        <v/>
      </c>
      <c r="HX25" s="541">
        <f t="shared" si="117"/>
        <v>138.37254901960785</v>
      </c>
      <c r="HY25" s="541">
        <f>Sheet1!CZ23</f>
        <v>357</v>
      </c>
      <c r="HZ25" s="541">
        <f t="shared" si="118"/>
        <v>0</v>
      </c>
      <c r="IA25" s="541">
        <f t="shared" si="119"/>
        <v>82.965609999999984</v>
      </c>
      <c r="IB25" s="541">
        <f t="shared" si="120"/>
        <v>357</v>
      </c>
      <c r="IC25" s="1019" t="str">
        <f t="shared" si="121"/>
        <v/>
      </c>
      <c r="ID25" s="541">
        <f t="shared" si="122"/>
        <v>274.03439000000003</v>
      </c>
      <c r="IE25" s="541">
        <f>Sheet1!DB23</f>
        <v>272</v>
      </c>
      <c r="IF25" s="533">
        <f>Sheet1!DA23</f>
        <v>592</v>
      </c>
      <c r="IH25" s="541">
        <f>IF(AND($B25&gt;=$GC25,$B25&lt;=$GH25,$DR25&lt;0)+N("only adjusted when pool is drawn down during storage season"),Sheet1!$DB23+$DR25+N("Palmer minus all storage release"),Sheet1!$DB23)</f>
        <v>272</v>
      </c>
      <c r="II25" s="541">
        <f>IF(AND($B25&gt;=$GC25,$B25&lt;=$GH25,$DR25&lt;0)+N("only adjusted when pool is drawn down during storage season"),Sheet1!$DA23+$DR25+N("Auburn minus all storage release"),Sheet1!$DA23)</f>
        <v>592</v>
      </c>
    </row>
    <row r="26" spans="1:243" x14ac:dyDescent="0.25">
      <c r="A26" s="553" t="s">
        <v>3</v>
      </c>
      <c r="B26" s="531">
        <v>42750</v>
      </c>
      <c r="C26" s="536">
        <v>0</v>
      </c>
      <c r="D26" s="506">
        <f t="shared" si="0"/>
        <v>300</v>
      </c>
      <c r="E26" s="506">
        <f t="shared" si="1"/>
        <v>250</v>
      </c>
      <c r="F26" s="506">
        <v>250</v>
      </c>
      <c r="G26" s="535">
        <f>DR26+Sheet1!CZ24</f>
        <v>400.04034291480309</v>
      </c>
      <c r="H26" s="1074">
        <f t="shared" si="96"/>
        <v>0</v>
      </c>
      <c r="I26" s="534">
        <f>IF(Sheet1!DA24&gt;=E26,(Sheet1!DA24-E26+P26)*CFStoMGD,0)</f>
        <v>270.78937087999998</v>
      </c>
      <c r="J26" s="995">
        <f>IF(Sheet1!DB24&gt;=D26,(Sheet1!DB24-D26+P26)*CFStoMGD,0)</f>
        <v>0</v>
      </c>
      <c r="K26" s="1115">
        <f t="shared" si="97"/>
        <v>0</v>
      </c>
      <c r="L26" s="535">
        <f>Sheet1!AA24+Sheet1!AB24-Sheet1!L24+(Sheet1!DA24-F26)*CFStoMGD-S26-T26-U26</f>
        <v>270.79039999999998</v>
      </c>
      <c r="M26" s="535">
        <f t="shared" si="123"/>
        <v>263.75779921333128</v>
      </c>
      <c r="N26" s="824">
        <f>IF(Sheet1!DA24&gt;=F26,MIN(113*CFStoMGD,MIN(MAX(L26,0),MAX(M26,0))),0)</f>
        <v>73.043199999999999</v>
      </c>
      <c r="O26" s="538">
        <f>Sheet1!AA24+Sheet1!AB24</f>
        <v>53.6</v>
      </c>
      <c r="P26" s="538">
        <f t="shared" si="124"/>
        <v>82.919200000000004</v>
      </c>
      <c r="Q26" s="812">
        <f t="shared" si="98"/>
        <v>53.6</v>
      </c>
      <c r="R26" s="812">
        <f t="shared" si="59"/>
        <v>0</v>
      </c>
      <c r="S26" s="812">
        <f t="shared" si="60"/>
        <v>0</v>
      </c>
      <c r="T26" s="812">
        <f t="shared" si="61"/>
        <v>0</v>
      </c>
      <c r="U26" s="812">
        <f t="shared" si="99"/>
        <v>0</v>
      </c>
      <c r="V26" s="812"/>
      <c r="W26" s="812">
        <f t="shared" si="62"/>
        <v>0</v>
      </c>
      <c r="X26" s="812">
        <f t="shared" si="63"/>
        <v>0</v>
      </c>
      <c r="Y26" s="812" t="str">
        <f t="shared" si="64"/>
        <v>FALSE</v>
      </c>
      <c r="Z26" s="812">
        <f t="shared" si="65"/>
        <v>53.6</v>
      </c>
      <c r="AA26" s="812">
        <f t="shared" si="66"/>
        <v>53.6</v>
      </c>
      <c r="AB26" s="1059">
        <f t="shared" si="100"/>
        <v>82.919200000000004</v>
      </c>
      <c r="AC26" s="538">
        <f>Sheet1!Y24*MGDtoCFS</f>
        <v>41.19661</v>
      </c>
      <c r="AD26" s="538">
        <f>Sheet1!Z24*MGDtoCFS</f>
        <v>41.768999999999998</v>
      </c>
      <c r="AE26" s="538">
        <f>Sheet1!AA24*MGDtoCFS</f>
        <v>40.9955</v>
      </c>
      <c r="AF26" s="538">
        <f>Sheet1!AB24*MGDtoCFS</f>
        <v>41.923700000000004</v>
      </c>
      <c r="AG26" s="538">
        <f>Sheet1!L24*MGDtoCFS</f>
        <v>0</v>
      </c>
      <c r="AH26" s="521">
        <f t="shared" si="125"/>
        <v>0</v>
      </c>
      <c r="AI26" s="1059">
        <f t="shared" si="126"/>
        <v>0</v>
      </c>
      <c r="AJ26" s="535">
        <f t="shared" si="127"/>
        <v>0</v>
      </c>
      <c r="AK26" s="535">
        <f t="shared" si="128"/>
        <v>0</v>
      </c>
      <c r="AL26" s="535">
        <f>(VLOOKUP(Sheet1!DC24,hhdcap_wcm,4)-(((VLOOKUP(Sheet1!DC24,hhdcap_wcm,3)-Sheet1!DC24)/(VLOOKUP(Sheet1!DC24,hhdcap_wcm,3)-VLOOKUP(Sheet1!DC24,hhdcap_wcm,1)))*(VLOOKUP(Sheet1!DC24,hhdcap_wcm,4)-VLOOKUP(Sheet1!DC24,hhdcap_wcm,2))))</f>
        <v>940.60000000281036</v>
      </c>
      <c r="AM26" s="535">
        <f t="shared" si="129"/>
        <v>79.400000000054547</v>
      </c>
      <c r="AN26" s="1035">
        <f t="shared" si="130"/>
        <v>0</v>
      </c>
      <c r="AO26" s="535">
        <f t="shared" si="131"/>
        <v>0</v>
      </c>
      <c r="AP26" s="535">
        <f>Sheet1!BA24+Sheet1!BB24+Sheet1!BN24+CD26</f>
        <v>16.8</v>
      </c>
      <c r="AQ26" s="535">
        <f>Sheet1!BN24+(DO26*Sheet1!BN24)</f>
        <v>16.689149560117304</v>
      </c>
      <c r="AR26" s="535">
        <f>Sheet1!BA24+CD26</f>
        <v>0</v>
      </c>
      <c r="AS26" s="535">
        <f>Sheet1!BA24+Sheet1!BB24+CD26</f>
        <v>0</v>
      </c>
      <c r="AT26" s="649">
        <f>0</f>
        <v>0</v>
      </c>
      <c r="AU26" s="535">
        <f>IF(EB26&lt;K26,0,MAX(Sheet1!AA24+AQ26-15/36*K26-N26,Sheet1!EH24,0))</f>
        <v>0</v>
      </c>
      <c r="AV26" s="535">
        <f>IF(OR(B26&gt;=GD26,B26&lt;GC26),0,15/36*K26-MAX(0,64.6-(137.6-(Sheet1!AA24+Sheet1!AB24))))</f>
        <v>0</v>
      </c>
      <c r="AW26" s="1029"/>
      <c r="AX26" s="649"/>
      <c r="AY26" s="649">
        <f t="shared" si="101"/>
        <v>0</v>
      </c>
      <c r="AZ26" s="649">
        <f t="shared" si="102"/>
        <v>0</v>
      </c>
      <c r="BA26" s="1059">
        <f t="shared" si="103"/>
        <v>0</v>
      </c>
      <c r="BB26" s="1019">
        <f t="shared" si="132"/>
        <v>0</v>
      </c>
      <c r="BC26" s="1041">
        <f t="shared" si="104"/>
        <v>0</v>
      </c>
      <c r="BD26" s="1019">
        <f ca="1">IF(B26&gt;Summary!$A$1,#N/A,BB26*MGtoAF)</f>
        <v>0</v>
      </c>
      <c r="BE26" s="535">
        <f>Sheet1!BG24+Sheet1!BH24+Sheet1!BI24-BM26</f>
        <v>0</v>
      </c>
      <c r="BF26" s="535">
        <f t="shared" si="133"/>
        <v>0</v>
      </c>
      <c r="BG26" s="535">
        <v>1</v>
      </c>
      <c r="BH26" s="535">
        <f t="shared" si="134"/>
        <v>0.99340175953079179</v>
      </c>
      <c r="BI26" s="535">
        <f>IF(Sheet1!EP24="OTHER",BM26,0)</f>
        <v>0</v>
      </c>
      <c r="BJ26" s="535">
        <f t="shared" si="135"/>
        <v>0</v>
      </c>
      <c r="BK26" s="535">
        <f t="shared" si="136"/>
        <v>1</v>
      </c>
      <c r="BL26" s="535">
        <f t="shared" si="137"/>
        <v>0.99340175953079179</v>
      </c>
      <c r="BM26" s="535">
        <v>1</v>
      </c>
      <c r="BN26" s="521">
        <f>IF(AND($B26&gt;=$FV26,$B26&lt;=$FW26),MAX(BF26,Sheet1!EI24,0),MAX(BF26-(7/36)*$K26,0))</f>
        <v>0</v>
      </c>
      <c r="BO26" s="535">
        <f t="shared" si="138"/>
        <v>0</v>
      </c>
      <c r="BP26" s="521">
        <v>0</v>
      </c>
      <c r="BQ26" s="521">
        <f>IF(AND($O26&gt;0,Sheet1!EM24=1),(1-($O26-Sheet1!$L24)/$O26)*BL26,0)</f>
        <v>0</v>
      </c>
      <c r="BR26" s="521">
        <f>IF(AND(Sheet1!$L24=0,Sheet1!$L23=0, Calculation!BK26&lt;Sheet1!$EI24-0.1,Sheet1!$EI24=Sheet1!$EI23,Sheet1!$EI24=Sheet1!$EI25),BL26-BQ26,BL26-BQ26)</f>
        <v>0.99340175953079179</v>
      </c>
      <c r="BS26" s="1035">
        <f t="shared" si="105"/>
        <v>0.99340175953079179</v>
      </c>
      <c r="BT26" s="1035">
        <f t="shared" si="106"/>
        <v>0</v>
      </c>
      <c r="BU26" s="535">
        <f t="shared" si="139"/>
        <v>0</v>
      </c>
      <c r="BV26" s="535"/>
      <c r="BW26" s="535">
        <f ca="1">IF(B26&gt;Summary!$A$1,#N/A,BU26*MGtoAF)</f>
        <v>0</v>
      </c>
      <c r="BX26" s="521">
        <v>0</v>
      </c>
      <c r="BY26" s="535">
        <f t="shared" si="140"/>
        <v>0</v>
      </c>
      <c r="BZ26" s="535">
        <v>3</v>
      </c>
      <c r="CA26" s="535">
        <f t="shared" si="141"/>
        <v>2.9802052785923756</v>
      </c>
      <c r="CB26" s="535">
        <f>IF(Sheet1!EQ24="OTHER",CH26,0)</f>
        <v>0</v>
      </c>
      <c r="CC26" s="535">
        <f t="shared" si="142"/>
        <v>0</v>
      </c>
      <c r="CD26" s="535">
        <f t="shared" si="143"/>
        <v>0</v>
      </c>
      <c r="CE26" s="535">
        <f t="shared" si="144"/>
        <v>3</v>
      </c>
      <c r="CF26" s="535">
        <f t="shared" si="145"/>
        <v>2.9802052785923756</v>
      </c>
      <c r="CG26" s="535">
        <f>IF(Sheet1!EQ24="CWA",SUM(Sheet1!BC24:'Sheet1'!BF24),0)</f>
        <v>0</v>
      </c>
      <c r="CH26" s="535">
        <f>CA26</f>
        <v>2.9802052785923756</v>
      </c>
      <c r="CI26" s="521">
        <v>0</v>
      </c>
      <c r="CJ26" s="535">
        <f t="shared" si="146"/>
        <v>0</v>
      </c>
      <c r="CK26" s="521">
        <v>0</v>
      </c>
      <c r="CL26" s="521">
        <f>IF(AND($O26&gt;0,Sheet1!EN24=1),(1-($O26-Sheet1!$L24)/$O26)*CF26,0)</f>
        <v>0</v>
      </c>
      <c r="CM26" s="521">
        <f>IF(AND(Sheet1!$L24=0,Sheet1!$L23=0, Calculation!CE26&lt;Sheet1!EJ24-0.1,Sheet1!EJ24=Sheet1!EJ23,Sheet1!EJ24=Sheet1!EJ25),CF26-CL26,CF26-CL26)</f>
        <v>2.9802052785923756</v>
      </c>
      <c r="CN26" s="1040">
        <f t="shared" si="107"/>
        <v>2.9802052785923756</v>
      </c>
      <c r="CO26" s="1035">
        <f t="shared" si="108"/>
        <v>0</v>
      </c>
      <c r="CP26" s="535">
        <f t="shared" si="147"/>
        <v>0</v>
      </c>
      <c r="CQ26" s="535"/>
      <c r="CR26" s="535">
        <f ca="1">IF(B26&gt;Summary!$A$1,#N/A,CP26*MGtoAF)</f>
        <v>0</v>
      </c>
      <c r="CS26" s="521">
        <v>0</v>
      </c>
      <c r="CT26" s="535">
        <f t="shared" si="148"/>
        <v>0</v>
      </c>
      <c r="CU26" s="535">
        <v>6.48</v>
      </c>
      <c r="CV26" s="535">
        <f t="shared" si="149"/>
        <v>6.437243401759531</v>
      </c>
      <c r="CW26" s="535">
        <f>IF(Sheet1!ER24="OTHER",DA26,0)</f>
        <v>0</v>
      </c>
      <c r="CX26" s="535">
        <f t="shared" si="150"/>
        <v>0</v>
      </c>
      <c r="CY26" s="535">
        <f t="shared" si="151"/>
        <v>6.48</v>
      </c>
      <c r="CZ26" s="535">
        <f t="shared" si="152"/>
        <v>6.437243401759531</v>
      </c>
      <c r="DA26" s="535">
        <f>CV26</f>
        <v>6.437243401759531</v>
      </c>
      <c r="DB26" s="1011">
        <f>IF(AND($B26&gt;=$FV26,$B26&lt;=$FW26),MAX($CT26,Sheet1!EK24,0),MAX($CT26-(7/36)*$K26,0))</f>
        <v>0</v>
      </c>
      <c r="DC26" s="1012">
        <f t="shared" si="153"/>
        <v>0</v>
      </c>
      <c r="DD26" s="1011">
        <v>0</v>
      </c>
      <c r="DE26" s="521">
        <f>IF(AND($O26&gt;0,Sheet1!EO24=1),(1-($O26-Sheet1!$L24)/$O26)*CZ26,0)</f>
        <v>0</v>
      </c>
      <c r="DF26" s="521">
        <f>IF(AND(Sheet1!$L24=0,Sheet1!$L23=0, Calculation!CY26&lt;Sheet1!$EK24-0.1,Sheet1!$EK24=Sheet1!$EK23,Sheet1!$EK24=Sheet1!$EK25),CZ26-DE26,CZ26-DE26)</f>
        <v>6.437243401759531</v>
      </c>
      <c r="DG26" s="1040">
        <f t="shared" si="109"/>
        <v>0</v>
      </c>
      <c r="DH26" s="649">
        <f t="shared" si="154"/>
        <v>10.48</v>
      </c>
      <c r="DI26" s="535">
        <f t="shared" si="155"/>
        <v>0</v>
      </c>
      <c r="DJ26" s="649">
        <f t="shared" si="156"/>
        <v>10.410850439882697</v>
      </c>
      <c r="DK26" s="535">
        <f ca="1">IF(B26&gt;Summary!$A$1,#N/A,DI26*MGtoAF)</f>
        <v>0</v>
      </c>
      <c r="DL26" s="649">
        <f t="shared" si="157"/>
        <v>10.48</v>
      </c>
      <c r="DM26" s="535">
        <f t="shared" si="158"/>
        <v>27.28</v>
      </c>
      <c r="DN26" s="535">
        <f>Sheet1!AB24-DM26</f>
        <v>-0.17999999999999972</v>
      </c>
      <c r="DO26" s="743">
        <f t="shared" si="159"/>
        <v>-6.5982404692082001E-3</v>
      </c>
      <c r="DP26" s="535">
        <f>(VLOOKUP(Sheet1!DC24,hhdcap_wcm,4)-(((VLOOKUP(Sheet1!DC24,hhdcap_wcm,3)-Sheet1!DC24)/(VLOOKUP(Sheet1!DC24,hhdcap_wcm,3)-VLOOKUP(Sheet1!DC24,hhdcap_wcm,1)))*(VLOOKUP(Sheet1!DC24,hhdcap_wcm,4)-VLOOKUP(Sheet1!DC24,hhdcap_wcm,2))))</f>
        <v>940.60000000281036</v>
      </c>
      <c r="DQ26" s="535">
        <f t="shared" si="160"/>
        <v>79.400000000054547</v>
      </c>
      <c r="DR26" s="535">
        <f t="shared" si="161"/>
        <v>40.040342914803091</v>
      </c>
      <c r="DS26" s="535">
        <f>Sheet1!EA24*AFtoMG</f>
        <v>0</v>
      </c>
      <c r="DT26" s="535">
        <f>Sheet1!EB24*AFtoMG</f>
        <v>0</v>
      </c>
      <c r="DU26" s="535">
        <f>Sheet1!EC24*AFtoMG</f>
        <v>0</v>
      </c>
      <c r="DV26" s="535">
        <f>Sheet1!ED24*AFtoMG</f>
        <v>0</v>
      </c>
      <c r="DW26" s="535">
        <f t="shared" si="162"/>
        <v>0</v>
      </c>
      <c r="DX26" s="535">
        <f t="shared" si="163"/>
        <v>0</v>
      </c>
      <c r="DY26" s="535">
        <f t="shared" si="164"/>
        <v>0</v>
      </c>
      <c r="DZ26" s="535">
        <f t="shared" si="165"/>
        <v>0</v>
      </c>
      <c r="EA26" s="535"/>
      <c r="EB26" s="521">
        <f>IF(OR(B26&lt;FV26,B26&gt;FW26),(MIN(BF26+BY26+CT26+MAX(Sheet1!AA24+AQ26-73,0),K26)),0)</f>
        <v>0</v>
      </c>
      <c r="EC26" s="535"/>
      <c r="ED26" s="535">
        <f t="shared" si="166"/>
        <v>0</v>
      </c>
      <c r="EE26" s="535"/>
      <c r="EF26" s="535">
        <f>Sheet1!EH24+Sheet1!EI24+Sheet1!EJ24+Sheet1!EK24</f>
        <v>11</v>
      </c>
      <c r="EG26" s="1019">
        <f t="shared" si="110"/>
        <v>17.016999999999999</v>
      </c>
      <c r="EH26" s="521">
        <f t="shared" si="167"/>
        <v>0</v>
      </c>
      <c r="EI26" s="535">
        <f>IF(Sheet1!ET24=1,SUM('Calculations II'!AT26:BA26)+'Calculations II'!BC26+Sheet1!BV24+'Calculations II'!BE26+AP26,'Calculations II'!BK26)</f>
        <v>45.979265560117305</v>
      </c>
      <c r="EJ26" s="535">
        <f ca="1">EI26+'Calculations II'!D26+'Calculations II'!E26+'Calculations II'!O26</f>
        <v>41.719306957394181</v>
      </c>
      <c r="EK26" s="535"/>
      <c r="EL26" s="535"/>
      <c r="EM26" s="535">
        <f t="shared" si="168"/>
        <v>42750</v>
      </c>
      <c r="EN26" s="535">
        <f t="shared" si="169"/>
        <v>0</v>
      </c>
      <c r="EO26" s="535">
        <f t="shared" si="170"/>
        <v>0</v>
      </c>
      <c r="EP26" s="535">
        <v>0</v>
      </c>
      <c r="EQ26" s="535">
        <v>0</v>
      </c>
      <c r="ER26" s="535">
        <v>0</v>
      </c>
      <c r="ES26" s="521">
        <f t="shared" si="71"/>
        <v>3.5995212809277328</v>
      </c>
      <c r="ET26" s="535">
        <f>-(VLOOKUP(Sheet1!BQ24,Lookup!$O$4:$Q$262,2)-VLOOKUP(Sheet1!BQ23,Lookup!$O$4:$Q$262,2))/1000000</f>
        <v>1.7994691081800349</v>
      </c>
      <c r="EU26" s="535">
        <f>-(VLOOKUP(Sheet1!BR24,Lookup!$O$4:$Q$262,3)-VLOOKUP(Sheet1!BR23,Lookup!$O$4:$Q$262,3))/1000000</f>
        <v>1.8000521727476977</v>
      </c>
      <c r="EV26" s="535"/>
      <c r="EW26" s="535"/>
      <c r="EX26" s="535"/>
      <c r="EY26" s="535"/>
      <c r="EZ26" s="535"/>
      <c r="FA26" s="535"/>
      <c r="FB26" s="535"/>
      <c r="FC26" s="535"/>
      <c r="FD26" s="567" t="e">
        <f t="shared" si="171"/>
        <v>#N/A</v>
      </c>
      <c r="FE26" s="567" t="e">
        <f t="shared" si="172"/>
        <v>#N/A</v>
      </c>
      <c r="FF26" s="568" t="e">
        <f t="shared" si="173"/>
        <v>#N/A</v>
      </c>
      <c r="FG26" s="569" t="s">
        <v>656</v>
      </c>
      <c r="FH26" s="569" t="s">
        <v>656</v>
      </c>
      <c r="FI26" s="567" t="e">
        <v>#N/A</v>
      </c>
      <c r="FJ26" s="567" t="e">
        <v>#N/A</v>
      </c>
      <c r="FK26" s="535"/>
      <c r="FL26" s="1015">
        <v>0</v>
      </c>
      <c r="FM26" s="535"/>
      <c r="FN26" s="535"/>
      <c r="FO26" s="535">
        <f>O26+((Sheet1!CS24)*GPMtoMGD)</f>
        <v>53.6</v>
      </c>
      <c r="FP26" s="535">
        <f>IF(Sheet1!AA24+AQ26&lt;=Calculation!N26,AQ26,Calculation!N26-Sheet1!AA24)</f>
        <v>16.689149560117304</v>
      </c>
      <c r="FQ26" s="535">
        <f>(Sheet1!BP24+Sheet1!BO24)/694.4</f>
        <v>1.3539746543778803</v>
      </c>
      <c r="FR26" s="541"/>
      <c r="FS26" s="541"/>
      <c r="FT26" s="541"/>
      <c r="FU26" s="541"/>
      <c r="FV26" s="1109">
        <f t="shared" si="74"/>
        <v>42918</v>
      </c>
      <c r="FW26" s="1109">
        <f t="shared" si="75"/>
        <v>43027</v>
      </c>
      <c r="FX26" s="541"/>
      <c r="FY26" s="541">
        <f>Sheet1!DA24-Sheet1!CZ24-Sheet1!AE24</f>
        <v>143.08080000000001</v>
      </c>
      <c r="FZ26" s="535">
        <f t="shared" si="111"/>
        <v>0.35766592678496939</v>
      </c>
      <c r="GA26" s="535"/>
      <c r="GB26" s="535" t="str">
        <f t="shared" si="76"/>
        <v>n</v>
      </c>
      <c r="GC26" s="539">
        <f t="shared" si="77"/>
        <v>42782</v>
      </c>
      <c r="GD26" s="1109">
        <f t="shared" si="78"/>
        <v>42904</v>
      </c>
      <c r="GE26" s="535">
        <f t="shared" si="95"/>
        <v>6520</v>
      </c>
      <c r="GF26" s="1109">
        <f t="shared" si="79"/>
        <v>42909</v>
      </c>
      <c r="GG26" s="535">
        <f t="shared" si="174"/>
        <v>3260</v>
      </c>
      <c r="GH26" s="539">
        <f t="shared" si="80"/>
        <v>43040</v>
      </c>
      <c r="GJ26" s="521">
        <f t="shared" si="81"/>
        <v>0</v>
      </c>
      <c r="GK26" s="535" t="str">
        <f t="shared" si="175"/>
        <v/>
      </c>
      <c r="GL26" s="535">
        <f t="shared" si="82"/>
        <v>0</v>
      </c>
      <c r="GM26" s="535" t="str">
        <f t="shared" si="83"/>
        <v/>
      </c>
      <c r="GN26" s="535">
        <f>IF(GK26="P",Lookup!$M$12,IF(GK26="PP",Lookup!$M$13,IF(GK26="PPP",Lookup!$M$14,IF(GK26="T",Lookup!$M$15,IF(GK26="TP",Lookup!$M$16,IF(GK26="TPP",Lookup!$M$17,IF(GK26="TPPP",Lookup!$M$18,0)))))))*GJ26</f>
        <v>0</v>
      </c>
      <c r="GO26" s="535">
        <f t="shared" si="84"/>
        <v>0</v>
      </c>
      <c r="GP26" s="535">
        <f t="shared" si="176"/>
        <v>0</v>
      </c>
      <c r="GQ26" s="535">
        <f t="shared" si="94"/>
        <v>0</v>
      </c>
      <c r="GR26" s="535"/>
      <c r="GS26" s="535">
        <f t="shared" si="85"/>
        <v>0</v>
      </c>
      <c r="GT26" s="535" t="str">
        <f t="shared" si="86"/>
        <v/>
      </c>
      <c r="GU26" s="535">
        <f>IF(GK26="P",Lookup!$N$12,IF(GK26="PP",Lookup!$N$13,IF(GK26="PPP",Lookup!$N$14,IF(GK26="T",Lookup!$N$15,IF(GK26="TP",Lookup!$N$16,IF(GK26="TPP",Lookup!$N$17,IF(GK26="TPPP",Lookup!$N$18,0)))))))*GJ26</f>
        <v>0</v>
      </c>
      <c r="GV26" s="535">
        <f t="shared" si="53"/>
        <v>0</v>
      </c>
      <c r="GW26" s="535">
        <f t="shared" si="177"/>
        <v>0</v>
      </c>
      <c r="GX26" s="535">
        <f t="shared" si="91"/>
        <v>0</v>
      </c>
      <c r="GY26" s="535"/>
      <c r="GZ26" s="535">
        <f t="shared" si="87"/>
        <v>0</v>
      </c>
      <c r="HA26" s="535" t="str">
        <f t="shared" si="88"/>
        <v/>
      </c>
      <c r="HB26" s="535">
        <f>IF(GK26="P",Lookup!$N$12,IF(GK26="PP",Lookup!$N$13,IF(GK26="PPP",Lookup!$N$14,IF(GK26="T",Lookup!$N$15,IF(GK26="TP",Lookup!$N$16,IF(GK26="TPP",Lookup!$N$17,IF(GK26="TPPP",Lookup!$N$18,0)))))))*GJ26</f>
        <v>0</v>
      </c>
      <c r="HC26" s="521">
        <f t="shared" si="178"/>
        <v>0</v>
      </c>
      <c r="HD26" s="535">
        <f t="shared" si="179"/>
        <v>0</v>
      </c>
      <c r="HE26" s="535">
        <f t="shared" si="92"/>
        <v>0</v>
      </c>
      <c r="HF26" s="535"/>
      <c r="HG26" s="535">
        <f t="shared" si="89"/>
        <v>0</v>
      </c>
      <c r="HH26" s="535" t="str">
        <f t="shared" si="90"/>
        <v/>
      </c>
      <c r="HI26" s="535">
        <f>IF(GK26="P",Lookup!$N$12,IF(GK26="PP",Lookup!$N$13,IF(GK26="PPP",Lookup!$N$14,IF(GK26="T",Lookup!$N$15,IF(GK26="TP",Lookup!$N$16,IF(GK26="TPP",Lookup!$N$17,IF(GK26="TPPP",Lookup!$N$18,0)))))))*GJ26</f>
        <v>0</v>
      </c>
      <c r="HJ26" s="521">
        <f t="shared" si="180"/>
        <v>0</v>
      </c>
      <c r="HK26" s="535">
        <f t="shared" si="181"/>
        <v>0</v>
      </c>
      <c r="HL26" s="535">
        <f t="shared" si="93"/>
        <v>0</v>
      </c>
      <c r="HM26" s="535"/>
      <c r="HN26" s="541"/>
      <c r="HO26" s="541"/>
      <c r="HP26" s="541"/>
      <c r="HQ26" s="541">
        <f>IF(AND(B26&gt;=$FV$4,B26&lt;=$FW$4),MAX(110/1.02+$HQ$6+MIN(113/1.02,G26),IF($HV$6-(Sheet1!DA24-Sheet1!DB24)+MIN(113/1.02,G26)&lt;G26+FL26,$HV$6-(Sheet1!DA24-Sheet1!DB24)+MIN(113/1.02,G26),G26+FL26)),MIN(110/1.02+$HQ$6+113/1.02,G26))</f>
        <v>218.62745098039215</v>
      </c>
      <c r="HR26" s="541">
        <f t="shared" si="112"/>
        <v>223</v>
      </c>
      <c r="HS26" s="541">
        <f>HR26+(Sheet1!DA24-Sheet1!DB24)</f>
        <v>535</v>
      </c>
      <c r="HT26" s="541">
        <f t="shared" si="113"/>
        <v>82.919200000000004</v>
      </c>
      <c r="HU26" s="541">
        <f t="shared" si="114"/>
        <v>452.08080000000001</v>
      </c>
      <c r="HV26" s="541">
        <f t="shared" si="115"/>
        <v>0</v>
      </c>
      <c r="HW26" s="533" t="str">
        <f t="shared" si="116"/>
        <v/>
      </c>
      <c r="HX26" s="541">
        <f t="shared" si="117"/>
        <v>141.37254901960785</v>
      </c>
      <c r="HY26" s="541">
        <f>Sheet1!CZ24</f>
        <v>360</v>
      </c>
      <c r="HZ26" s="541">
        <f t="shared" si="118"/>
        <v>0</v>
      </c>
      <c r="IA26" s="541">
        <f t="shared" si="119"/>
        <v>82.919200000000004</v>
      </c>
      <c r="IB26" s="541">
        <f t="shared" si="120"/>
        <v>360</v>
      </c>
      <c r="IC26" s="1019" t="str">
        <f t="shared" si="121"/>
        <v/>
      </c>
      <c r="ID26" s="541">
        <f t="shared" si="122"/>
        <v>277.08080000000001</v>
      </c>
      <c r="IE26" s="541">
        <f>Sheet1!DB24</f>
        <v>274</v>
      </c>
      <c r="IF26" s="533">
        <f>Sheet1!DA24</f>
        <v>586</v>
      </c>
      <c r="IH26" s="541">
        <f>IF(AND($B26&gt;=$GC26,$B26&lt;=$GH26,$DR26&lt;0)+N("only adjusted when pool is drawn down during storage season"),Sheet1!$DB24+$DR26+N("Palmer minus all storage release"),Sheet1!$DB24)</f>
        <v>274</v>
      </c>
      <c r="II26" s="541">
        <f>IF(AND($B26&gt;=$GC26,$B26&lt;=$GH26,$DR26&lt;0)+N("only adjusted when pool is drawn down during storage season"),Sheet1!$DA24+$DR26+N("Auburn minus all storage release"),Sheet1!$DA24)</f>
        <v>586</v>
      </c>
    </row>
    <row r="27" spans="1:243" x14ac:dyDescent="0.25">
      <c r="A27" s="553" t="s">
        <v>4</v>
      </c>
      <c r="B27" s="531">
        <v>42751</v>
      </c>
      <c r="C27" s="536">
        <v>0</v>
      </c>
      <c r="D27" s="506">
        <f t="shared" si="0"/>
        <v>300</v>
      </c>
      <c r="E27" s="506">
        <f t="shared" si="1"/>
        <v>250</v>
      </c>
      <c r="F27" s="506">
        <v>250</v>
      </c>
      <c r="G27" s="535">
        <f>DR27+Sheet1!CZ25</f>
        <v>383.55017650040003</v>
      </c>
      <c r="H27" s="1074">
        <f t="shared" si="96"/>
        <v>0</v>
      </c>
      <c r="I27" s="534">
        <f>IF(Sheet1!DA25&gt;=E27,(Sheet1!DA25-E27+P27)*CFStoMGD,0)</f>
        <v>263.82690598400001</v>
      </c>
      <c r="J27" s="995">
        <f>IF(Sheet1!DB25&gt;=D27,(Sheet1!DB25-D27+P27)*CFStoMGD,0)</f>
        <v>0</v>
      </c>
      <c r="K27" s="1115">
        <f t="shared" si="97"/>
        <v>0</v>
      </c>
      <c r="L27" s="535">
        <f>Sheet1!AA25+Sheet1!AB25-Sheet1!L25+(Sheet1!DA25-F27)*CFStoMGD-S27-T27-U27</f>
        <v>263.82799999999997</v>
      </c>
      <c r="M27" s="535">
        <f t="shared" si="123"/>
        <v>252.88537077165577</v>
      </c>
      <c r="N27" s="824">
        <f>IF(Sheet1!DA25&gt;=F27,MIN(113*CFStoMGD,MIN(MAX(L27,0),MAX(M27,0))),0)</f>
        <v>73.043199999999999</v>
      </c>
      <c r="O27" s="538">
        <f>Sheet1!AA25+Sheet1!AB25</f>
        <v>56.980000000000004</v>
      </c>
      <c r="P27" s="538">
        <f t="shared" si="124"/>
        <v>88.148059999999987</v>
      </c>
      <c r="Q27" s="812">
        <f t="shared" si="98"/>
        <v>56.980000000000004</v>
      </c>
      <c r="R27" s="812">
        <f t="shared" si="59"/>
        <v>0</v>
      </c>
      <c r="S27" s="812">
        <f t="shared" si="60"/>
        <v>0</v>
      </c>
      <c r="T27" s="812">
        <f t="shared" si="61"/>
        <v>0</v>
      </c>
      <c r="U27" s="812">
        <f t="shared" si="99"/>
        <v>0</v>
      </c>
      <c r="V27" s="812"/>
      <c r="W27" s="812">
        <f t="shared" si="62"/>
        <v>0</v>
      </c>
      <c r="X27" s="812">
        <f t="shared" si="63"/>
        <v>0</v>
      </c>
      <c r="Y27" s="812" t="str">
        <f t="shared" si="64"/>
        <v>FALSE</v>
      </c>
      <c r="Z27" s="812">
        <f t="shared" si="65"/>
        <v>56.980000000000004</v>
      </c>
      <c r="AA27" s="812">
        <f t="shared" si="66"/>
        <v>56.980000000000004</v>
      </c>
      <c r="AB27" s="1059">
        <f t="shared" si="100"/>
        <v>88.148060000000001</v>
      </c>
      <c r="AC27" s="538">
        <f>Sheet1!Y25*MGDtoCFS</f>
        <v>40.9955</v>
      </c>
      <c r="AD27" s="538">
        <f>Sheet1!Z25*MGDtoCFS</f>
        <v>41.923700000000004</v>
      </c>
      <c r="AE27" s="538">
        <f>Sheet1!AA25*MGDtoCFS</f>
        <v>41.273959999999995</v>
      </c>
      <c r="AF27" s="538">
        <f>Sheet1!AB25*MGDtoCFS</f>
        <v>46.874099999999999</v>
      </c>
      <c r="AG27" s="538">
        <f>Sheet1!L25*MGDtoCFS</f>
        <v>0</v>
      </c>
      <c r="AH27" s="521">
        <f t="shared" si="125"/>
        <v>0</v>
      </c>
      <c r="AI27" s="1059">
        <f t="shared" si="126"/>
        <v>0</v>
      </c>
      <c r="AJ27" s="535">
        <f t="shared" si="127"/>
        <v>0</v>
      </c>
      <c r="AK27" s="535">
        <f t="shared" si="128"/>
        <v>0</v>
      </c>
      <c r="AL27" s="535">
        <f>(VLOOKUP(Sheet1!DC25,hhdcap_wcm,4)-(((VLOOKUP(Sheet1!DC25,hhdcap_wcm,3)-Sheet1!DC25)/(VLOOKUP(Sheet1!DC25,hhdcap_wcm,3)-VLOOKUP(Sheet1!DC25,hhdcap_wcm,1)))*(VLOOKUP(Sheet1!DC25,hhdcap_wcm,4)-VLOOKUP(Sheet1!DC25,hhdcap_wcm,2))))</f>
        <v>987.30000000310361</v>
      </c>
      <c r="AM27" s="535">
        <f t="shared" si="129"/>
        <v>46.700000000293244</v>
      </c>
      <c r="AN27" s="1035">
        <f t="shared" si="130"/>
        <v>0</v>
      </c>
      <c r="AO27" s="535">
        <f t="shared" si="131"/>
        <v>0</v>
      </c>
      <c r="AP27" s="535">
        <f>Sheet1!BA25+Sheet1!BB25+Sheet1!BN25+CD27</f>
        <v>19.7</v>
      </c>
      <c r="AQ27" s="535">
        <f>Sheet1!BN25+(DO27*Sheet1!BN25)</f>
        <v>19.577238438832403</v>
      </c>
      <c r="AR27" s="535">
        <f>Sheet1!BA25+CD27</f>
        <v>0</v>
      </c>
      <c r="AS27" s="535">
        <f>Sheet1!BA25+Sheet1!BB25+CD27</f>
        <v>0</v>
      </c>
      <c r="AT27" s="649">
        <f>0</f>
        <v>0</v>
      </c>
      <c r="AU27" s="535">
        <f>IF(EB27&lt;K27,0,MAX(Sheet1!AA25+AQ27-15/36*K27-N27,Sheet1!EH25,0))</f>
        <v>0</v>
      </c>
      <c r="AV27" s="535">
        <f>IF(OR(B27&gt;=GD27,B27&lt;GC27),0,15/36*K27-MAX(0,64.6-(137.6-(Sheet1!AA25+Sheet1!AB25))))</f>
        <v>0</v>
      </c>
      <c r="AW27" s="1029"/>
      <c r="AX27" s="649"/>
      <c r="AY27" s="649">
        <f t="shared" si="101"/>
        <v>0</v>
      </c>
      <c r="AZ27" s="649">
        <f t="shared" si="102"/>
        <v>0</v>
      </c>
      <c r="BA27" s="1059">
        <f t="shared" si="103"/>
        <v>0</v>
      </c>
      <c r="BB27" s="1019">
        <f t="shared" si="132"/>
        <v>0</v>
      </c>
      <c r="BC27" s="1041">
        <f t="shared" si="104"/>
        <v>0</v>
      </c>
      <c r="BD27" s="1019">
        <f ca="1">IF(B27&gt;Summary!$A$1,#N/A,BB27*MGtoAF)</f>
        <v>0</v>
      </c>
      <c r="BE27" s="535">
        <f>Sheet1!BG25+Sheet1!BH25+Sheet1!BI25-BM27</f>
        <v>0</v>
      </c>
      <c r="BF27" s="535">
        <f t="shared" si="133"/>
        <v>0</v>
      </c>
      <c r="BG27" s="535">
        <v>1.01</v>
      </c>
      <c r="BH27" s="535">
        <f t="shared" si="134"/>
        <v>1.0037061331584125</v>
      </c>
      <c r="BI27" s="535">
        <f>IF(Sheet1!EP25="OTHER",BM27,0)</f>
        <v>0</v>
      </c>
      <c r="BJ27" s="535">
        <f t="shared" si="135"/>
        <v>0</v>
      </c>
      <c r="BK27" s="535">
        <f t="shared" si="136"/>
        <v>1.01</v>
      </c>
      <c r="BL27" s="535">
        <f t="shared" si="137"/>
        <v>1.0037061331584125</v>
      </c>
      <c r="BM27" s="535">
        <v>1.01</v>
      </c>
      <c r="BN27" s="521">
        <f>IF(AND($B27&gt;=$FV27,$B27&lt;=$FW27),MAX(BF27,Sheet1!EI25,0),MAX(BF27-(7/36)*$K27,0))</f>
        <v>0</v>
      </c>
      <c r="BO27" s="535">
        <f t="shared" si="138"/>
        <v>0</v>
      </c>
      <c r="BP27" s="521">
        <v>0</v>
      </c>
      <c r="BQ27" s="521">
        <f>IF(AND($O27&gt;0,Sheet1!EM25=1),(1-($O27-Sheet1!$L25)/$O27)*BL27,0)</f>
        <v>0</v>
      </c>
      <c r="BR27" s="521">
        <f>IF(AND(Sheet1!$L25=0,Sheet1!$L24=0, Calculation!BK27&lt;Sheet1!$EI25-0.1,Sheet1!$EI25=Sheet1!$EI24,Sheet1!$EI25=Sheet1!$EI26),BL27-BQ27,BL27-BQ27)</f>
        <v>1.0037061331584125</v>
      </c>
      <c r="BS27" s="1035">
        <f t="shared" si="105"/>
        <v>1.0037061331584125</v>
      </c>
      <c r="BT27" s="1035">
        <f t="shared" si="106"/>
        <v>0</v>
      </c>
      <c r="BU27" s="535">
        <f t="shared" si="139"/>
        <v>0</v>
      </c>
      <c r="BV27" s="535"/>
      <c r="BW27" s="535">
        <f ca="1">IF(B27&gt;Summary!$A$1,#N/A,BU27*MGtoAF)</f>
        <v>0</v>
      </c>
      <c r="BX27" s="521">
        <v>0</v>
      </c>
      <c r="BY27" s="535">
        <f t="shared" si="140"/>
        <v>0</v>
      </c>
      <c r="BZ27" s="535">
        <v>3.24</v>
      </c>
      <c r="CA27" s="535">
        <f t="shared" si="141"/>
        <v>3.2198097736962938</v>
      </c>
      <c r="CB27" s="535">
        <f>IF(Sheet1!EQ25="OTHER",CH27,0)</f>
        <v>0</v>
      </c>
      <c r="CC27" s="535">
        <f t="shared" si="142"/>
        <v>0</v>
      </c>
      <c r="CD27" s="535">
        <f t="shared" si="143"/>
        <v>0</v>
      </c>
      <c r="CE27" s="535">
        <f t="shared" si="144"/>
        <v>3.24</v>
      </c>
      <c r="CF27" s="535">
        <f t="shared" si="145"/>
        <v>3.2198097736962938</v>
      </c>
      <c r="CG27" s="535">
        <f>IF(Sheet1!EQ25="CWA",SUM(Sheet1!BC25:'Sheet1'!BF25),0)</f>
        <v>0</v>
      </c>
      <c r="CH27" s="535">
        <f>CA27</f>
        <v>3.2198097736962938</v>
      </c>
      <c r="CI27" s="521">
        <v>0</v>
      </c>
      <c r="CJ27" s="535">
        <f t="shared" si="146"/>
        <v>0</v>
      </c>
      <c r="CK27" s="521">
        <v>0</v>
      </c>
      <c r="CL27" s="521">
        <f>IF(AND($O27&gt;0,Sheet1!EN25=1),(1-($O27-Sheet1!$L25)/$O27)*CF27,0)</f>
        <v>0</v>
      </c>
      <c r="CM27" s="521">
        <f>IF(AND(Sheet1!$L25=0,Sheet1!$L24=0, Calculation!CE27&lt;Sheet1!EJ25-0.1,Sheet1!EJ25=Sheet1!EJ24,Sheet1!EJ25=Sheet1!EJ26),CF27-CL27,CF27-CL27)</f>
        <v>3.2198097736962938</v>
      </c>
      <c r="CN27" s="1040">
        <f t="shared" si="107"/>
        <v>3.2198097736962938</v>
      </c>
      <c r="CO27" s="1035">
        <f t="shared" si="108"/>
        <v>0</v>
      </c>
      <c r="CP27" s="535">
        <f t="shared" si="147"/>
        <v>0</v>
      </c>
      <c r="CQ27" s="535"/>
      <c r="CR27" s="535">
        <f ca="1">IF(B27&gt;Summary!$A$1,#N/A,CP27*MGtoAF)</f>
        <v>0</v>
      </c>
      <c r="CS27" s="521">
        <v>0</v>
      </c>
      <c r="CT27" s="535">
        <f t="shared" si="148"/>
        <v>0</v>
      </c>
      <c r="CU27" s="535">
        <v>6.54</v>
      </c>
      <c r="CV27" s="535">
        <f t="shared" si="149"/>
        <v>6.4992456543128894</v>
      </c>
      <c r="CW27" s="535">
        <f>IF(Sheet1!ER25="OTHER",DA27,0)</f>
        <v>0</v>
      </c>
      <c r="CX27" s="535">
        <f t="shared" si="150"/>
        <v>0</v>
      </c>
      <c r="CY27" s="535">
        <f t="shared" si="151"/>
        <v>6.54</v>
      </c>
      <c r="CZ27" s="535">
        <f t="shared" si="152"/>
        <v>6.4992456543128894</v>
      </c>
      <c r="DA27" s="535">
        <f>CV27</f>
        <v>6.4992456543128894</v>
      </c>
      <c r="DB27" s="1011">
        <f>IF(AND($B27&gt;=$FV27,$B27&lt;=$FW27),MAX($CT27,Sheet1!EK25,0),MAX($CT27-(7/36)*$K27,0))</f>
        <v>0</v>
      </c>
      <c r="DC27" s="1012">
        <f t="shared" si="153"/>
        <v>0</v>
      </c>
      <c r="DD27" s="1011">
        <v>0</v>
      </c>
      <c r="DE27" s="521">
        <f>IF(AND($O27&gt;0,Sheet1!EO25=1),(1-($O27-Sheet1!$L25)/$O27)*CZ27,0)</f>
        <v>0</v>
      </c>
      <c r="DF27" s="521">
        <f>IF(AND(Sheet1!$L25=0,Sheet1!$L24=0, Calculation!CY27&lt;Sheet1!$EK25-0.1,Sheet1!$EK25=Sheet1!$EK24,Sheet1!$EK25=Sheet1!$EK26),CZ27-DE27,CZ27-DE27)</f>
        <v>6.4992456543128894</v>
      </c>
      <c r="DG27" s="1040">
        <f t="shared" si="109"/>
        <v>0</v>
      </c>
      <c r="DH27" s="649">
        <f t="shared" si="154"/>
        <v>10.79</v>
      </c>
      <c r="DI27" s="535">
        <f t="shared" si="155"/>
        <v>0</v>
      </c>
      <c r="DJ27" s="649">
        <f t="shared" si="156"/>
        <v>10.722761561167594</v>
      </c>
      <c r="DK27" s="535">
        <f ca="1">IF(B27&gt;Summary!$A$1,#N/A,DI27*MGtoAF)</f>
        <v>0</v>
      </c>
      <c r="DL27" s="649">
        <f t="shared" si="157"/>
        <v>10.790000000000001</v>
      </c>
      <c r="DM27" s="535">
        <f t="shared" si="158"/>
        <v>30.490000000000002</v>
      </c>
      <c r="DN27" s="535">
        <f>Sheet1!AB25-DM27</f>
        <v>-0.19000000000000128</v>
      </c>
      <c r="DO27" s="743">
        <f t="shared" si="159"/>
        <v>-6.2315513283044037E-3</v>
      </c>
      <c r="DP27" s="535">
        <f>(VLOOKUP(Sheet1!DC25,hhdcap_wcm,4)-(((VLOOKUP(Sheet1!DC25,hhdcap_wcm,3)-Sheet1!DC25)/(VLOOKUP(Sheet1!DC25,hhdcap_wcm,3)-VLOOKUP(Sheet1!DC25,hhdcap_wcm,1)))*(VLOOKUP(Sheet1!DC25,hhdcap_wcm,4)-VLOOKUP(Sheet1!DC25,hhdcap_wcm,2))))</f>
        <v>987.30000000310361</v>
      </c>
      <c r="DQ27" s="535">
        <f t="shared" si="160"/>
        <v>46.700000000293244</v>
      </c>
      <c r="DR27" s="535">
        <f t="shared" si="161"/>
        <v>23.550176500400021</v>
      </c>
      <c r="DS27" s="535">
        <f>Sheet1!EA25*AFtoMG</f>
        <v>0</v>
      </c>
      <c r="DT27" s="535">
        <f>Sheet1!EB25*AFtoMG</f>
        <v>0</v>
      </c>
      <c r="DU27" s="535">
        <f>Sheet1!EC25*AFtoMG</f>
        <v>0</v>
      </c>
      <c r="DV27" s="535">
        <f>Sheet1!ED25*AFtoMG</f>
        <v>0</v>
      </c>
      <c r="DW27" s="535">
        <f t="shared" si="162"/>
        <v>0</v>
      </c>
      <c r="DX27" s="535">
        <f t="shared" si="163"/>
        <v>0</v>
      </c>
      <c r="DY27" s="535">
        <f t="shared" si="164"/>
        <v>0</v>
      </c>
      <c r="DZ27" s="535">
        <f t="shared" si="165"/>
        <v>0</v>
      </c>
      <c r="EA27" s="535"/>
      <c r="EB27" s="521">
        <f>IF(OR(B27&lt;FV27,B27&gt;FW27),(MIN(BF27+BY27+CT27+MAX(Sheet1!AA25+AQ27-73,0),K27)),0)</f>
        <v>0</v>
      </c>
      <c r="EC27" s="535"/>
      <c r="ED27" s="535">
        <f t="shared" si="166"/>
        <v>0</v>
      </c>
      <c r="EE27" s="535"/>
      <c r="EF27" s="535">
        <f>Sheet1!EH25+Sheet1!EI25+Sheet1!EJ25+Sheet1!EK25</f>
        <v>11</v>
      </c>
      <c r="EG27" s="1019">
        <f t="shared" si="110"/>
        <v>17.016999999999999</v>
      </c>
      <c r="EH27" s="521">
        <f t="shared" si="167"/>
        <v>0</v>
      </c>
      <c r="EI27" s="535">
        <f>IF(Sheet1!ET25=1,SUM('Calculations II'!AT27:BA27)+'Calculations II'!BC27+Sheet1!BV25+'Calculations II'!BE27+AP27,'Calculations II'!BK27)</f>
        <v>46.246594438832403</v>
      </c>
      <c r="EJ27" s="535">
        <f ca="1">EI27+'Calculations II'!D27+'Calculations II'!E27+'Calculations II'!O27</f>
        <v>45.386986451278005</v>
      </c>
      <c r="EK27" s="535"/>
      <c r="EL27" s="535"/>
      <c r="EM27" s="535">
        <f t="shared" si="168"/>
        <v>42751</v>
      </c>
      <c r="EN27" s="535">
        <f t="shared" si="169"/>
        <v>0</v>
      </c>
      <c r="EO27" s="535">
        <f t="shared" si="170"/>
        <v>0</v>
      </c>
      <c r="EP27" s="535">
        <v>0</v>
      </c>
      <c r="EQ27" s="535">
        <v>0</v>
      </c>
      <c r="ER27" s="535">
        <v>0</v>
      </c>
      <c r="ES27" s="521">
        <f t="shared" si="71"/>
        <v>0.83035122906157754</v>
      </c>
      <c r="ET27" s="535">
        <f>-(VLOOKUP(Sheet1!BQ25,Lookup!$O$4:$Q$262,2)-VLOOKUP(Sheet1!BQ24,Lookup!$O$4:$Q$262,2))/1000000</f>
        <v>0.41510835026510434</v>
      </c>
      <c r="EU27" s="535">
        <f>-(VLOOKUP(Sheet1!BR25,Lookup!$O$4:$Q$262,3)-VLOOKUP(Sheet1!BR24,Lookup!$O$4:$Q$262,3))/1000000</f>
        <v>0.41524287879647315</v>
      </c>
      <c r="EV27" s="535"/>
      <c r="EW27" s="535"/>
      <c r="EX27" s="535"/>
      <c r="EY27" s="535"/>
      <c r="EZ27" s="535"/>
      <c r="FA27" s="535"/>
      <c r="FB27" s="535"/>
      <c r="FC27" s="535"/>
      <c r="FD27" s="567" t="e">
        <f t="shared" si="171"/>
        <v>#N/A</v>
      </c>
      <c r="FE27" s="567" t="e">
        <f t="shared" si="172"/>
        <v>#N/A</v>
      </c>
      <c r="FF27" s="568" t="e">
        <f t="shared" si="173"/>
        <v>#N/A</v>
      </c>
      <c r="FG27" s="569" t="s">
        <v>656</v>
      </c>
      <c r="FH27" s="569" t="s">
        <v>656</v>
      </c>
      <c r="FI27" s="567" t="e">
        <v>#N/A</v>
      </c>
      <c r="FJ27" s="567" t="e">
        <v>#N/A</v>
      </c>
      <c r="FK27" s="535"/>
      <c r="FL27" s="1015">
        <v>0</v>
      </c>
      <c r="FM27" s="535"/>
      <c r="FN27" s="535"/>
      <c r="FO27" s="535">
        <f>O27+((Sheet1!CS25)*GPMtoMGD)</f>
        <v>56.980000000000004</v>
      </c>
      <c r="FP27" s="535">
        <f>IF(Sheet1!AA25+AQ27&lt;=Calculation!N27,AQ27,Calculation!N27-Sheet1!AA25)</f>
        <v>19.577238438832403</v>
      </c>
      <c r="FQ27" s="535">
        <f>(Sheet1!BP25+Sheet1!BO25)/694.4</f>
        <v>1.6111751152073732</v>
      </c>
      <c r="FR27" s="541"/>
      <c r="FS27" s="541"/>
      <c r="FT27" s="541"/>
      <c r="FU27" s="541"/>
      <c r="FV27" s="1109">
        <f t="shared" si="74"/>
        <v>42918</v>
      </c>
      <c r="FW27" s="1109">
        <f t="shared" si="75"/>
        <v>43027</v>
      </c>
      <c r="FX27" s="541"/>
      <c r="FY27" s="541">
        <f>Sheet1!DA25-Sheet1!CZ25-Sheet1!AE25</f>
        <v>121.85194</v>
      </c>
      <c r="FZ27" s="535">
        <f t="shared" si="111"/>
        <v>0.31769491311881304</v>
      </c>
      <c r="GA27" s="535"/>
      <c r="GB27" s="535" t="str">
        <f t="shared" si="76"/>
        <v>n</v>
      </c>
      <c r="GC27" s="539">
        <f t="shared" si="77"/>
        <v>42782</v>
      </c>
      <c r="GD27" s="1109">
        <f t="shared" si="78"/>
        <v>42904</v>
      </c>
      <c r="GE27" s="535">
        <f t="shared" si="95"/>
        <v>6520</v>
      </c>
      <c r="GF27" s="1109">
        <f t="shared" si="79"/>
        <v>42909</v>
      </c>
      <c r="GG27" s="535">
        <f t="shared" si="174"/>
        <v>3260</v>
      </c>
      <c r="GH27" s="539">
        <f t="shared" si="80"/>
        <v>43040</v>
      </c>
      <c r="GJ27" s="521">
        <f t="shared" si="81"/>
        <v>0</v>
      </c>
      <c r="GK27" s="535" t="str">
        <f t="shared" si="175"/>
        <v/>
      </c>
      <c r="GL27" s="535">
        <f t="shared" si="82"/>
        <v>0</v>
      </c>
      <c r="GM27" s="535" t="str">
        <f t="shared" si="83"/>
        <v/>
      </c>
      <c r="GN27" s="535">
        <f>IF(GK27="P",Lookup!$M$12,IF(GK27="PP",Lookup!$M$13,IF(GK27="PPP",Lookup!$M$14,IF(GK27="T",Lookup!$M$15,IF(GK27="TP",Lookup!$M$16,IF(GK27="TPP",Lookup!$M$17,IF(GK27="TPPP",Lookup!$M$18,0)))))))*GJ27</f>
        <v>0</v>
      </c>
      <c r="GO27" s="535">
        <f t="shared" si="84"/>
        <v>0</v>
      </c>
      <c r="GP27" s="535">
        <f t="shared" si="176"/>
        <v>0</v>
      </c>
      <c r="GQ27" s="535">
        <f t="shared" si="94"/>
        <v>0</v>
      </c>
      <c r="GR27" s="535"/>
      <c r="GS27" s="535">
        <f t="shared" si="85"/>
        <v>0</v>
      </c>
      <c r="GT27" s="535" t="str">
        <f t="shared" si="86"/>
        <v/>
      </c>
      <c r="GU27" s="535">
        <f>IF(GK27="P",Lookup!$N$12,IF(GK27="PP",Lookup!$N$13,IF(GK27="PPP",Lookup!$N$14,IF(GK27="T",Lookup!$N$15,IF(GK27="TP",Lookup!$N$16,IF(GK27="TPP",Lookup!$N$17,IF(GK27="TPPP",Lookup!$N$18,0)))))))*GJ27</f>
        <v>0</v>
      </c>
      <c r="GV27" s="535">
        <f t="shared" si="53"/>
        <v>0</v>
      </c>
      <c r="GW27" s="535">
        <f t="shared" si="177"/>
        <v>0</v>
      </c>
      <c r="GX27" s="535">
        <f t="shared" si="91"/>
        <v>0</v>
      </c>
      <c r="GY27" s="535"/>
      <c r="GZ27" s="535">
        <f t="shared" si="87"/>
        <v>0</v>
      </c>
      <c r="HA27" s="535" t="str">
        <f t="shared" si="88"/>
        <v/>
      </c>
      <c r="HB27" s="535">
        <f>IF(GK27="P",Lookup!$N$12,IF(GK27="PP",Lookup!$N$13,IF(GK27="PPP",Lookup!$N$14,IF(GK27="T",Lookup!$N$15,IF(GK27="TP",Lookup!$N$16,IF(GK27="TPP",Lookup!$N$17,IF(GK27="TPPP",Lookup!$N$18,0)))))))*GJ27</f>
        <v>0</v>
      </c>
      <c r="HC27" s="521">
        <f t="shared" si="178"/>
        <v>0</v>
      </c>
      <c r="HD27" s="535">
        <f t="shared" si="179"/>
        <v>0</v>
      </c>
      <c r="HE27" s="535">
        <f t="shared" si="92"/>
        <v>0</v>
      </c>
      <c r="HF27" s="535"/>
      <c r="HG27" s="535">
        <f t="shared" si="89"/>
        <v>0</v>
      </c>
      <c r="HH27" s="535" t="str">
        <f t="shared" si="90"/>
        <v/>
      </c>
      <c r="HI27" s="535">
        <f>IF(GK27="P",Lookup!$N$12,IF(GK27="PP",Lookup!$N$13,IF(GK27="PPP",Lookup!$N$14,IF(GK27="T",Lookup!$N$15,IF(GK27="TP",Lookup!$N$16,IF(GK27="TPP",Lookup!$N$17,IF(GK27="TPPP",Lookup!$N$18,0)))))))*GJ27</f>
        <v>0</v>
      </c>
      <c r="HJ27" s="521">
        <f t="shared" si="180"/>
        <v>0</v>
      </c>
      <c r="HK27" s="535">
        <f t="shared" si="181"/>
        <v>0</v>
      </c>
      <c r="HL27" s="535">
        <f t="shared" si="93"/>
        <v>0</v>
      </c>
      <c r="HM27" s="535"/>
      <c r="HN27" s="541"/>
      <c r="HO27" s="541"/>
      <c r="HP27" s="541"/>
      <c r="HQ27" s="541">
        <f>IF(AND(B27&gt;=$FV$4,B27&lt;=$FW$4),MAX(110/1.02+$HQ$6+MIN(113/1.02,G27),IF($HV$6-(Sheet1!DA25-Sheet1!DB25)+MIN(113/1.02,G27)&lt;G27+FL27,$HV$6-(Sheet1!DA25-Sheet1!DB25)+MIN(113/1.02,G27),G27+FL27)),MIN(110/1.02+$HQ$6+113/1.02,G27))</f>
        <v>218.62745098039215</v>
      </c>
      <c r="HR27" s="541">
        <f t="shared" si="112"/>
        <v>223</v>
      </c>
      <c r="HS27" s="541">
        <f>HR27+(Sheet1!DA25-Sheet1!DB25)</f>
        <v>521</v>
      </c>
      <c r="HT27" s="541">
        <f t="shared" si="113"/>
        <v>88.148060000000001</v>
      </c>
      <c r="HU27" s="541">
        <f t="shared" si="114"/>
        <v>432.85194000000001</v>
      </c>
      <c r="HV27" s="541">
        <f t="shared" si="115"/>
        <v>0</v>
      </c>
      <c r="HW27" s="533" t="str">
        <f t="shared" si="116"/>
        <v/>
      </c>
      <c r="HX27" s="541">
        <f t="shared" si="117"/>
        <v>141.37254901960785</v>
      </c>
      <c r="HY27" s="541">
        <f>Sheet1!CZ25</f>
        <v>360</v>
      </c>
      <c r="HZ27" s="541">
        <f t="shared" si="118"/>
        <v>0</v>
      </c>
      <c r="IA27" s="541">
        <f t="shared" si="119"/>
        <v>88.148060000000001</v>
      </c>
      <c r="IB27" s="541">
        <f t="shared" si="120"/>
        <v>360</v>
      </c>
      <c r="IC27" s="1019" t="str">
        <f t="shared" si="121"/>
        <v/>
      </c>
      <c r="ID27" s="541">
        <f t="shared" si="122"/>
        <v>271.85194000000001</v>
      </c>
      <c r="IE27" s="541">
        <f>Sheet1!DB25</f>
        <v>272</v>
      </c>
      <c r="IF27" s="533">
        <f>Sheet1!DA25</f>
        <v>570</v>
      </c>
      <c r="IH27" s="541">
        <f>IF(AND($B27&gt;=$GC27,$B27&lt;=$GH27,$DR27&lt;0)+N("only adjusted when pool is drawn down during storage season"),Sheet1!$DB25+$DR27+N("Palmer minus all storage release"),Sheet1!$DB25)</f>
        <v>272</v>
      </c>
      <c r="II27" s="541">
        <f>IF(AND($B27&gt;=$GC27,$B27&lt;=$GH27,$DR27&lt;0)+N("only adjusted when pool is drawn down during storage season"),Sheet1!$DA25+$DR27+N("Auburn minus all storage release"),Sheet1!$DA25)</f>
        <v>570</v>
      </c>
    </row>
    <row r="28" spans="1:243" x14ac:dyDescent="0.25">
      <c r="A28" s="553" t="s">
        <v>5</v>
      </c>
      <c r="B28" s="531">
        <v>42752</v>
      </c>
      <c r="C28" s="536">
        <v>0</v>
      </c>
      <c r="D28" s="506">
        <f t="shared" si="0"/>
        <v>300</v>
      </c>
      <c r="E28" s="506">
        <f t="shared" si="1"/>
        <v>250</v>
      </c>
      <c r="F28" s="506">
        <v>250</v>
      </c>
      <c r="G28" s="535">
        <f>DR28+Sheet1!CZ26</f>
        <v>573.71961674221677</v>
      </c>
      <c r="H28" s="1074">
        <f t="shared" si="96"/>
        <v>178.22211135999999</v>
      </c>
      <c r="I28" s="534">
        <f>IF(Sheet1!DA26&gt;=E28,(Sheet1!DA26-E28+P28)*CFStoMGD,0)</f>
        <v>547.96291135999991</v>
      </c>
      <c r="J28" s="995">
        <f>IF(Sheet1!DB26&gt;=D28,(Sheet1!DB26-D28+P28)*CFStoMGD,0)</f>
        <v>178.22211135999999</v>
      </c>
      <c r="K28" s="818">
        <f t="shared" si="97"/>
        <v>64.64</v>
      </c>
      <c r="L28" s="535">
        <f>Sheet1!AA26+Sheet1!AB26-Sheet1!L26+(Sheet1!DA26-F28)*CFStoMGD-S28-T28-U28</f>
        <v>491.26399999999995</v>
      </c>
      <c r="M28" s="535">
        <f t="shared" si="123"/>
        <v>378.26940746741229</v>
      </c>
      <c r="N28" s="824">
        <f>IF(Sheet1!DA26&gt;=F28,MIN(113*CFStoMGD,MIN(MAX(L28,0),MAX(M28,0))),0)</f>
        <v>73.043199999999999</v>
      </c>
      <c r="O28" s="538">
        <f>Sheet1!AA26+Sheet1!AB26</f>
        <v>56.7</v>
      </c>
      <c r="P28" s="538">
        <f t="shared" si="124"/>
        <v>87.7149</v>
      </c>
      <c r="Q28" s="812">
        <f t="shared" si="98"/>
        <v>0</v>
      </c>
      <c r="R28" s="812">
        <f t="shared" si="59"/>
        <v>10.963455149501662</v>
      </c>
      <c r="S28" s="812">
        <f t="shared" si="60"/>
        <v>56.7</v>
      </c>
      <c r="T28" s="812">
        <f t="shared" si="61"/>
        <v>0</v>
      </c>
      <c r="U28" s="812">
        <f t="shared" si="99"/>
        <v>0</v>
      </c>
      <c r="V28" s="812"/>
      <c r="W28" s="812">
        <f t="shared" si="62"/>
        <v>53.676544850498338</v>
      </c>
      <c r="X28" s="812">
        <f t="shared" si="63"/>
        <v>56.7</v>
      </c>
      <c r="Y28" s="812" t="str">
        <f t="shared" si="64"/>
        <v/>
      </c>
      <c r="Z28" s="812">
        <f t="shared" si="65"/>
        <v>56.7</v>
      </c>
      <c r="AA28" s="812">
        <f t="shared" si="66"/>
        <v>56.7</v>
      </c>
      <c r="AB28" s="1059">
        <f t="shared" si="100"/>
        <v>0</v>
      </c>
      <c r="AC28" s="538">
        <f>Sheet1!Y26*MGDtoCFS</f>
        <v>41.273959999999995</v>
      </c>
      <c r="AD28" s="538">
        <f>Sheet1!Z26*MGDtoCFS</f>
        <v>46.874099999999999</v>
      </c>
      <c r="AE28" s="538">
        <f>Sheet1!AA26*MGDtoCFS</f>
        <v>41.304899999999996</v>
      </c>
      <c r="AF28" s="538">
        <f>Sheet1!AB26*MGDtoCFS</f>
        <v>46.41</v>
      </c>
      <c r="AG28" s="538">
        <f>Sheet1!L26*MGDtoCFS</f>
        <v>0</v>
      </c>
      <c r="AH28" s="521">
        <f t="shared" si="125"/>
        <v>0</v>
      </c>
      <c r="AI28" s="1059">
        <f t="shared" si="126"/>
        <v>0</v>
      </c>
      <c r="AJ28" s="535">
        <f t="shared" si="127"/>
        <v>0</v>
      </c>
      <c r="AK28" s="535">
        <f t="shared" si="128"/>
        <v>0</v>
      </c>
      <c r="AL28" s="535">
        <f>(VLOOKUP(Sheet1!DC26,hhdcap_wcm,4)-(((VLOOKUP(Sheet1!DC26,hhdcap_wcm,3)-Sheet1!DC26)/(VLOOKUP(Sheet1!DC26,hhdcap_wcm,3)-VLOOKUP(Sheet1!DC26,hhdcap_wcm,1)))*(VLOOKUP(Sheet1!DC26,hhdcap_wcm,4)-VLOOKUP(Sheet1!DC26,hhdcap_wcm,2))))</f>
        <v>1050.2000000029195</v>
      </c>
      <c r="AM28" s="535">
        <f t="shared" si="129"/>
        <v>62.899999999815918</v>
      </c>
      <c r="AN28" s="1035">
        <f t="shared" si="130"/>
        <v>0</v>
      </c>
      <c r="AO28" s="535">
        <f t="shared" si="131"/>
        <v>0</v>
      </c>
      <c r="AP28" s="535">
        <f>Sheet1!BA26+Sheet1!BB26+Sheet1!BN26+CD28</f>
        <v>19.100000000000001</v>
      </c>
      <c r="AQ28" s="535">
        <f>Sheet1!BN26+(DO28*Sheet1!BN26)</f>
        <v>19.036544850498338</v>
      </c>
      <c r="AR28" s="535">
        <f>Sheet1!BA26+CD28</f>
        <v>0</v>
      </c>
      <c r="AS28" s="535">
        <f>Sheet1!BA26+Sheet1!BB26+CD28</f>
        <v>0</v>
      </c>
      <c r="AT28" s="649">
        <f>0</f>
        <v>0</v>
      </c>
      <c r="AU28" s="535">
        <f>IF(EB28&lt;K28,0,MAX(Sheet1!AA26+AQ28-15/36*K28-N28,Sheet1!EH26,0))</f>
        <v>0</v>
      </c>
      <c r="AV28" s="535">
        <f>IF(OR(B28&gt;=GD28,B28&lt;GC28),0,15/36*K28-MAX(0,64.6-(137.6-(Sheet1!AA26+Sheet1!AB26))))</f>
        <v>0</v>
      </c>
      <c r="AW28" s="1029"/>
      <c r="AX28" s="649"/>
      <c r="AY28" s="649">
        <f t="shared" si="101"/>
        <v>0</v>
      </c>
      <c r="AZ28" s="649">
        <f t="shared" si="102"/>
        <v>0</v>
      </c>
      <c r="BA28" s="1059">
        <f t="shared" si="103"/>
        <v>0</v>
      </c>
      <c r="BB28" s="1019">
        <f t="shared" si="132"/>
        <v>0</v>
      </c>
      <c r="BC28" s="1041">
        <f t="shared" si="104"/>
        <v>26.933333333333334</v>
      </c>
      <c r="BD28" s="1019">
        <f ca="1">IF(B28&gt;Summary!$A$1,#N/A,BB28*MGtoAF)</f>
        <v>0</v>
      </c>
      <c r="BE28" s="535">
        <f>Sheet1!BG26+Sheet1!BH26+Sheet1!BI26-BM28</f>
        <v>1.02</v>
      </c>
      <c r="BF28" s="535">
        <f t="shared" si="133"/>
        <v>1.0166112956810631</v>
      </c>
      <c r="BG28" s="535">
        <f>IF(Sheet1!EP26="FM",BM28,0)</f>
        <v>0</v>
      </c>
      <c r="BH28" s="535">
        <f t="shared" si="134"/>
        <v>0</v>
      </c>
      <c r="BI28" s="535">
        <f>IF(Sheet1!EP26="OTHER",BM28,0)</f>
        <v>0</v>
      </c>
      <c r="BJ28" s="535">
        <f t="shared" si="135"/>
        <v>0</v>
      </c>
      <c r="BK28" s="535">
        <f t="shared" si="136"/>
        <v>1.02</v>
      </c>
      <c r="BL28" s="535">
        <f t="shared" si="137"/>
        <v>1.0166112956810631</v>
      </c>
      <c r="BM28" s="535">
        <f>IF(OR(Sheet1!EP26="FM", Sheet1!EP26="OTHER"),SUM(Sheet1!BG26:'Sheet1'!BI26),0)</f>
        <v>0</v>
      </c>
      <c r="BN28" s="521">
        <f>IF(AND($B28&gt;=$FV28,$B28&lt;=$FW28),MAX(BF28,Sheet1!EI26,0),MAX(BF28-(7/36)*$K28,0))</f>
        <v>0</v>
      </c>
      <c r="BO28" s="535">
        <f t="shared" si="138"/>
        <v>0</v>
      </c>
      <c r="BP28" s="521">
        <f t="shared" si="184"/>
        <v>1.0166112956810631</v>
      </c>
      <c r="BQ28" s="521">
        <f>IF(AND($O28&gt;0,Sheet1!EM26=1),(1-($O28-Sheet1!$L26)/$O28)*BL28,0)</f>
        <v>0</v>
      </c>
      <c r="BR28" s="521">
        <f>IF(AND(Sheet1!$L26=0,Sheet1!$L25=0, Calculation!BK28&lt;Sheet1!$EI26-0.1,Sheet1!$EI26=Sheet1!$EI25,Sheet1!$EI26=Sheet1!$EI27),BL28-BQ28,BL28-BQ28)</f>
        <v>1.0166112956810631</v>
      </c>
      <c r="BS28" s="1035" t="str">
        <f t="shared" si="105"/>
        <v/>
      </c>
      <c r="BT28" s="1035">
        <f t="shared" si="106"/>
        <v>12.568888888888889</v>
      </c>
      <c r="BU28" s="535">
        <f t="shared" si="139"/>
        <v>0</v>
      </c>
      <c r="BV28" s="535"/>
      <c r="BW28" s="535">
        <f ca="1">IF(B28&gt;Summary!$A$1,#N/A,BU28*MGtoAF)</f>
        <v>0</v>
      </c>
      <c r="BX28" s="535">
        <f>Sheet1!BC26+Sheet1!BD26+Sheet1!BE26+Sheet1!BF26-CG28-CH28</f>
        <v>3.5</v>
      </c>
      <c r="BY28" s="535">
        <f t="shared" si="140"/>
        <v>3.4883720930232558</v>
      </c>
      <c r="BZ28" s="535">
        <f>IF(Sheet1!EQ26="FM",CH28,0)</f>
        <v>0</v>
      </c>
      <c r="CA28" s="535">
        <f t="shared" si="141"/>
        <v>0</v>
      </c>
      <c r="CB28" s="535">
        <f>IF(Sheet1!EQ26="OTHER",CH28,0)</f>
        <v>0</v>
      </c>
      <c r="CC28" s="535">
        <f t="shared" si="142"/>
        <v>0</v>
      </c>
      <c r="CD28" s="535">
        <f t="shared" si="143"/>
        <v>0</v>
      </c>
      <c r="CE28" s="535">
        <f t="shared" si="144"/>
        <v>3.5</v>
      </c>
      <c r="CF28" s="535">
        <f t="shared" si="145"/>
        <v>3.4883720930232558</v>
      </c>
      <c r="CG28" s="535">
        <f>IF(Sheet1!EQ26="CWA",SUM(Sheet1!BC26:'Sheet1'!BF26),0)</f>
        <v>0</v>
      </c>
      <c r="CH28" s="535">
        <f>IF(OR(Sheet1!EQ26="FM", Sheet1!EQ26="OTHER"),SUM(Sheet1!BC26:'Sheet1'!BF26),0)</f>
        <v>0</v>
      </c>
      <c r="CI28" s="521">
        <f>IF(AND($B28&gt;=$FV28,$B28&lt;=$FW28),MAX(CF28,Sheet1!EJ26,0),MAX(CF28-(7/36)*$K28,0))</f>
        <v>0</v>
      </c>
      <c r="CJ28" s="535">
        <f t="shared" si="146"/>
        <v>0</v>
      </c>
      <c r="CK28" s="521">
        <f t="shared" si="182"/>
        <v>3.4883720930232558</v>
      </c>
      <c r="CL28" s="521">
        <f>IF(AND($O28&gt;0,Sheet1!EN26=1),(1-($O28-Sheet1!$L26)/$O28)*CF28,0)</f>
        <v>0</v>
      </c>
      <c r="CM28" s="521">
        <f>IF(AND(Sheet1!$L26=0,Sheet1!$L25=0, Calculation!CE28&lt;Sheet1!EJ26-0.1,Sheet1!EJ26=Sheet1!EJ25,Sheet1!EJ26=Sheet1!EJ27),CF28-CL28,CF28-CL28)</f>
        <v>3.4883720930232558</v>
      </c>
      <c r="CN28" s="1040" t="str">
        <f t="shared" si="107"/>
        <v/>
      </c>
      <c r="CO28" s="1035">
        <f t="shared" si="108"/>
        <v>12.568888888888889</v>
      </c>
      <c r="CP28" s="535">
        <f t="shared" si="147"/>
        <v>0</v>
      </c>
      <c r="CQ28" s="535"/>
      <c r="CR28" s="535">
        <f ca="1">IF(B28&gt;Summary!$A$1,#N/A,CP28*MGtoAF)</f>
        <v>0</v>
      </c>
      <c r="CS28" s="535">
        <f>Sheet1!BK26+Sheet1!BL26+Sheet1!BM26-Sheet1!ER26-DA28</f>
        <v>6.48</v>
      </c>
      <c r="CT28" s="535">
        <f t="shared" si="148"/>
        <v>6.4584717607973428</v>
      </c>
      <c r="CU28" s="535">
        <f>IF(Sheet1!ER26="FM",DA28,0)</f>
        <v>0</v>
      </c>
      <c r="CV28" s="535">
        <f t="shared" si="149"/>
        <v>0</v>
      </c>
      <c r="CW28" s="535">
        <f>IF(Sheet1!ER26="OTHER",DA28,0)</f>
        <v>0</v>
      </c>
      <c r="CX28" s="535">
        <f t="shared" si="150"/>
        <v>0</v>
      </c>
      <c r="CY28" s="535">
        <f t="shared" si="151"/>
        <v>6.48</v>
      </c>
      <c r="CZ28" s="535">
        <f t="shared" si="152"/>
        <v>6.4584717607973428</v>
      </c>
      <c r="DA28" s="535">
        <f>IF(OR(Sheet1!ER26="FM", Sheet1!ER26="OTHER"),SUM(Sheet1!BK26:'Sheet1'!BM26),0)</f>
        <v>0</v>
      </c>
      <c r="DB28" s="1011">
        <f>IF(AND($B28&gt;=$FV28,$B28&lt;=$FW28),MAX($CT28,Sheet1!EK26,0),MAX($CT28-(7/36)*$K28,0))</f>
        <v>0</v>
      </c>
      <c r="DC28" s="1012">
        <f t="shared" si="153"/>
        <v>0</v>
      </c>
      <c r="DD28" s="1011">
        <f t="shared" si="183"/>
        <v>6.4584717607973428</v>
      </c>
      <c r="DE28" s="521">
        <f>IF(AND($O28&gt;0,Sheet1!EO26=1),(1-($O28-Sheet1!$L26)/$O28)*CZ28,0)</f>
        <v>0</v>
      </c>
      <c r="DF28" s="521">
        <f>IF(AND(Sheet1!$L26=0,Sheet1!$L25=0, Calculation!CY28&lt;Sheet1!$EK26-0.1,Sheet1!$EK26=Sheet1!$EK25,Sheet1!$EK26=Sheet1!$EK27),CZ28-DE28,CZ28-DE28)</f>
        <v>6.4584717607973428</v>
      </c>
      <c r="DG28" s="1040">
        <f t="shared" si="109"/>
        <v>12.568888888888889</v>
      </c>
      <c r="DH28" s="649">
        <f t="shared" si="154"/>
        <v>11</v>
      </c>
      <c r="DI28" s="535">
        <f t="shared" si="155"/>
        <v>0</v>
      </c>
      <c r="DJ28" s="649">
        <f t="shared" si="156"/>
        <v>10.963455149501662</v>
      </c>
      <c r="DK28" s="535">
        <f ca="1">IF(B28&gt;Summary!$A$1,#N/A,DI28*MGtoAF)</f>
        <v>0</v>
      </c>
      <c r="DL28" s="649">
        <f t="shared" si="157"/>
        <v>11</v>
      </c>
      <c r="DM28" s="535">
        <f t="shared" si="158"/>
        <v>30.1</v>
      </c>
      <c r="DN28" s="535">
        <f>Sheet1!AB26-DM28</f>
        <v>-0.10000000000000142</v>
      </c>
      <c r="DO28" s="743">
        <f t="shared" si="159"/>
        <v>-3.3222591362126715E-3</v>
      </c>
      <c r="DP28" s="535">
        <f>(VLOOKUP(Sheet1!DC26,hhdcap_wcm,4)-(((VLOOKUP(Sheet1!DC26,hhdcap_wcm,3)-Sheet1!DC26)/(VLOOKUP(Sheet1!DC26,hhdcap_wcm,3)-VLOOKUP(Sheet1!DC26,hhdcap_wcm,1)))*(VLOOKUP(Sheet1!DC26,hhdcap_wcm,4)-VLOOKUP(Sheet1!DC26,hhdcap_wcm,2))))</f>
        <v>1050.2000000029195</v>
      </c>
      <c r="DQ28" s="535">
        <f t="shared" si="160"/>
        <v>62.899999999815918</v>
      </c>
      <c r="DR28" s="535">
        <f t="shared" si="161"/>
        <v>31.719616742216797</v>
      </c>
      <c r="DS28" s="535">
        <f>Sheet1!EA26*AFtoMG</f>
        <v>0</v>
      </c>
      <c r="DT28" s="535">
        <f>Sheet1!EB26*AFtoMG</f>
        <v>0</v>
      </c>
      <c r="DU28" s="535">
        <f>Sheet1!EC26*AFtoMG</f>
        <v>0</v>
      </c>
      <c r="DV28" s="535">
        <f>Sheet1!ED26*AFtoMG</f>
        <v>0</v>
      </c>
      <c r="DW28" s="535">
        <f t="shared" si="162"/>
        <v>0</v>
      </c>
      <c r="DX28" s="535">
        <f t="shared" si="163"/>
        <v>0</v>
      </c>
      <c r="DY28" s="535">
        <f t="shared" si="164"/>
        <v>0</v>
      </c>
      <c r="DZ28" s="535">
        <f t="shared" si="165"/>
        <v>0</v>
      </c>
      <c r="EA28" s="535"/>
      <c r="EB28" s="521">
        <f>IF(OR(B28&lt;FV28,B28&gt;FW28),(MIN(BF28+BY28+CT28+MAX(Sheet1!AA26+AQ28-73,0),K28)),0)</f>
        <v>10.963455149501662</v>
      </c>
      <c r="EC28" s="535"/>
      <c r="ED28" s="535">
        <f t="shared" si="166"/>
        <v>10.963455149501662</v>
      </c>
      <c r="EE28" s="535"/>
      <c r="EF28" s="535">
        <f>Sheet1!EH26+Sheet1!EI26+Sheet1!EJ26+Sheet1!EK26</f>
        <v>11</v>
      </c>
      <c r="EG28" s="1019">
        <f t="shared" si="110"/>
        <v>17.016999999999999</v>
      </c>
      <c r="EH28" s="521">
        <f t="shared" si="167"/>
        <v>0</v>
      </c>
      <c r="EI28" s="535">
        <f>IF(Sheet1!ET26=1,SUM('Calculations II'!AT28:BA28)+'Calculations II'!BC28+Sheet1!BV26+'Calculations II'!BE28+AP28,'Calculations II'!BK28)</f>
        <v>44.68976685049833</v>
      </c>
      <c r="EJ28" s="535">
        <f ca="1">EI28+'Calculations II'!D28+'Calculations II'!E28+'Calculations II'!O28</f>
        <v>44.955527330818661</v>
      </c>
      <c r="EK28" s="535"/>
      <c r="EL28" s="535"/>
      <c r="EM28" s="535">
        <f t="shared" si="168"/>
        <v>42752</v>
      </c>
      <c r="EN28" s="535">
        <f t="shared" si="169"/>
        <v>0</v>
      </c>
      <c r="EO28" s="535">
        <f t="shared" si="170"/>
        <v>0</v>
      </c>
      <c r="EP28" s="535">
        <v>0</v>
      </c>
      <c r="EQ28" s="535">
        <v>0</v>
      </c>
      <c r="ER28" s="535">
        <v>0</v>
      </c>
      <c r="ES28" s="521">
        <f t="shared" si="71"/>
        <v>-0.27677093082870541</v>
      </c>
      <c r="ET28" s="535">
        <f>-(VLOOKUP(Sheet1!BQ26,Lookup!$O$4:$Q$262,2)-VLOOKUP(Sheet1!BQ25,Lookup!$O$4:$Q$262,2))/1000000</f>
        <v>-0.13836304450976103</v>
      </c>
      <c r="EU28" s="535">
        <f>-(VLOOKUP(Sheet1!BR26,Lookup!$O$4:$Q$262,3)-VLOOKUP(Sheet1!BR25,Lookup!$O$4:$Q$262,3))/1000000</f>
        <v>-0.13840788631894441</v>
      </c>
      <c r="EV28" s="535"/>
      <c r="EW28" s="535"/>
      <c r="EX28" s="535"/>
      <c r="EY28" s="535"/>
      <c r="EZ28" s="535"/>
      <c r="FA28" s="535"/>
      <c r="FB28" s="535"/>
      <c r="FC28" s="535"/>
      <c r="FD28" s="567" t="e">
        <f t="shared" si="171"/>
        <v>#N/A</v>
      </c>
      <c r="FE28" s="567" t="e">
        <f t="shared" si="172"/>
        <v>#N/A</v>
      </c>
      <c r="FF28" s="568" t="e">
        <f t="shared" si="173"/>
        <v>#N/A</v>
      </c>
      <c r="FG28" s="569" t="s">
        <v>656</v>
      </c>
      <c r="FH28" s="569" t="s">
        <v>656</v>
      </c>
      <c r="FI28" s="567" t="e">
        <v>#N/A</v>
      </c>
      <c r="FJ28" s="567" t="e">
        <v>#N/A</v>
      </c>
      <c r="FK28" s="535"/>
      <c r="FL28" s="1015">
        <v>0</v>
      </c>
      <c r="FM28" s="535"/>
      <c r="FN28" s="535"/>
      <c r="FO28" s="535">
        <f>O28+((Sheet1!CS26)*GPMtoMGD)</f>
        <v>56.7</v>
      </c>
      <c r="FP28" s="535">
        <f>IF(Sheet1!AA26+AQ28&lt;=Calculation!N28,AQ28,Calculation!N28-Sheet1!AA26)</f>
        <v>19.036544850498338</v>
      </c>
      <c r="FQ28" s="535">
        <f>(Sheet1!BP26+Sheet1!BO26)/694.4</f>
        <v>1.5044642857142858</v>
      </c>
      <c r="FR28" s="541"/>
      <c r="FS28" s="541"/>
      <c r="FT28" s="541"/>
      <c r="FU28" s="541"/>
      <c r="FV28" s="1109">
        <f t="shared" si="74"/>
        <v>42918</v>
      </c>
      <c r="FW28" s="1109">
        <f t="shared" si="75"/>
        <v>43027</v>
      </c>
      <c r="FX28" s="541"/>
      <c r="FY28" s="541">
        <f>Sheet1!DA26-Sheet1!CZ26-Sheet1!AE26</f>
        <v>380.2851</v>
      </c>
      <c r="FZ28" s="535">
        <f t="shared" si="111"/>
        <v>0.66284137565208856</v>
      </c>
      <c r="GA28" s="535"/>
      <c r="GB28" s="535" t="str">
        <f t="shared" si="76"/>
        <v>n</v>
      </c>
      <c r="GC28" s="539">
        <f t="shared" si="77"/>
        <v>42782</v>
      </c>
      <c r="GD28" s="1109">
        <f t="shared" si="78"/>
        <v>42904</v>
      </c>
      <c r="GE28" s="535">
        <f t="shared" si="95"/>
        <v>6520</v>
      </c>
      <c r="GF28" s="1109">
        <f t="shared" si="79"/>
        <v>42909</v>
      </c>
      <c r="GG28" s="535">
        <f t="shared" si="174"/>
        <v>3260</v>
      </c>
      <c r="GH28" s="539">
        <f t="shared" si="80"/>
        <v>43040</v>
      </c>
      <c r="GJ28" s="521">
        <f t="shared" si="81"/>
        <v>0</v>
      </c>
      <c r="GK28" s="535" t="str">
        <f t="shared" si="175"/>
        <v/>
      </c>
      <c r="GL28" s="535">
        <f t="shared" si="82"/>
        <v>0</v>
      </c>
      <c r="GM28" s="535" t="str">
        <f t="shared" si="83"/>
        <v/>
      </c>
      <c r="GN28" s="535">
        <f>IF(GK28="P",Lookup!$M$12,IF(GK28="PP",Lookup!$M$13,IF(GK28="PPP",Lookup!$M$14,IF(GK28="T",Lookup!$M$15,IF(GK28="TP",Lookup!$M$16,IF(GK28="TPP",Lookup!$M$17,IF(GK28="TPPP",Lookup!$M$18,0)))))))*GJ28</f>
        <v>0</v>
      </c>
      <c r="GO28" s="535">
        <f t="shared" si="84"/>
        <v>0</v>
      </c>
      <c r="GP28" s="535">
        <f t="shared" si="176"/>
        <v>0</v>
      </c>
      <c r="GQ28" s="535">
        <f t="shared" si="94"/>
        <v>0</v>
      </c>
      <c r="GR28" s="535"/>
      <c r="GS28" s="535">
        <f t="shared" si="85"/>
        <v>0</v>
      </c>
      <c r="GT28" s="535" t="str">
        <f t="shared" si="86"/>
        <v/>
      </c>
      <c r="GU28" s="535">
        <f>IF(GK28="P",Lookup!$N$12,IF(GK28="PP",Lookup!$N$13,IF(GK28="PPP",Lookup!$N$14,IF(GK28="T",Lookup!$N$15,IF(GK28="TP",Lookup!$N$16,IF(GK28="TPP",Lookup!$N$17,IF(GK28="TPPP",Lookup!$N$18,0)))))))*GJ28</f>
        <v>0</v>
      </c>
      <c r="GV28" s="535">
        <f t="shared" si="53"/>
        <v>0</v>
      </c>
      <c r="GW28" s="535">
        <f t="shared" si="177"/>
        <v>0</v>
      </c>
      <c r="GX28" s="535">
        <f t="shared" si="91"/>
        <v>0</v>
      </c>
      <c r="GY28" s="535"/>
      <c r="GZ28" s="535">
        <f t="shared" si="87"/>
        <v>0</v>
      </c>
      <c r="HA28" s="535" t="str">
        <f t="shared" si="88"/>
        <v/>
      </c>
      <c r="HB28" s="535">
        <f>IF(GK28="P",Lookup!$N$12,IF(GK28="PP",Lookup!$N$13,IF(GK28="PPP",Lookup!$N$14,IF(GK28="T",Lookup!$N$15,IF(GK28="TP",Lookup!$N$16,IF(GK28="TPP",Lookup!$N$17,IF(GK28="TPPP",Lookup!$N$18,0)))))))*GJ28</f>
        <v>0</v>
      </c>
      <c r="HC28" s="521">
        <f t="shared" si="178"/>
        <v>0</v>
      </c>
      <c r="HD28" s="535">
        <f t="shared" si="179"/>
        <v>0</v>
      </c>
      <c r="HE28" s="535">
        <f t="shared" si="92"/>
        <v>0</v>
      </c>
      <c r="HF28" s="535"/>
      <c r="HG28" s="535">
        <f t="shared" si="89"/>
        <v>0</v>
      </c>
      <c r="HH28" s="535" t="str">
        <f t="shared" si="90"/>
        <v/>
      </c>
      <c r="HI28" s="535">
        <f>IF(GK28="P",Lookup!$N$12,IF(GK28="PP",Lookup!$N$13,IF(GK28="PPP",Lookup!$N$14,IF(GK28="T",Lookup!$N$15,IF(GK28="TP",Lookup!$N$16,IF(GK28="TPP",Lookup!$N$17,IF(GK28="TPPP",Lookup!$N$18,0)))))))*GJ28</f>
        <v>0</v>
      </c>
      <c r="HJ28" s="521">
        <f t="shared" si="180"/>
        <v>0</v>
      </c>
      <c r="HK28" s="535">
        <f t="shared" si="181"/>
        <v>0</v>
      </c>
      <c r="HL28" s="535">
        <f t="shared" si="93"/>
        <v>0</v>
      </c>
      <c r="HM28" s="535"/>
      <c r="HN28" s="541"/>
      <c r="HO28" s="541"/>
      <c r="HP28" s="541"/>
      <c r="HQ28" s="541">
        <f>IF(AND(B28&gt;=$FV$4,B28&lt;=$FW$4),MAX(110/1.02+$HQ$6+MIN(113/1.02,G28),IF($HV$6-(Sheet1!DA26-Sheet1!DB26)+MIN(113/1.02,G28)&lt;G28+FL28,$HV$6-(Sheet1!DA26-Sheet1!DB26)+MIN(113/1.02,G28),G28+FL28)),MIN(110/1.02+$HQ$6+113/1.02,G28))</f>
        <v>218.62745098039215</v>
      </c>
      <c r="HR28" s="541">
        <f t="shared" si="112"/>
        <v>223</v>
      </c>
      <c r="HS28" s="541">
        <f>HR28+(Sheet1!DA26-Sheet1!DB26)</f>
        <v>745</v>
      </c>
      <c r="HT28" s="541">
        <f t="shared" si="113"/>
        <v>0</v>
      </c>
      <c r="HU28" s="541">
        <f t="shared" si="114"/>
        <v>745</v>
      </c>
      <c r="HV28" s="541">
        <f t="shared" si="115"/>
        <v>0</v>
      </c>
      <c r="HW28" s="533" t="str">
        <f t="shared" si="116"/>
        <v/>
      </c>
      <c r="HX28" s="541">
        <f t="shared" si="117"/>
        <v>323.37254901960785</v>
      </c>
      <c r="HY28" s="541">
        <f>Sheet1!CZ26</f>
        <v>542</v>
      </c>
      <c r="HZ28" s="541">
        <f t="shared" si="118"/>
        <v>0</v>
      </c>
      <c r="IA28" s="541">
        <f t="shared" si="119"/>
        <v>0</v>
      </c>
      <c r="IB28" s="541">
        <f t="shared" si="120"/>
        <v>542</v>
      </c>
      <c r="IC28" s="1019" t="str">
        <f t="shared" si="121"/>
        <v/>
      </c>
      <c r="ID28" s="541">
        <f t="shared" si="122"/>
        <v>542</v>
      </c>
      <c r="IE28" s="541">
        <f>Sheet1!DB26</f>
        <v>488</v>
      </c>
      <c r="IF28" s="533">
        <f>Sheet1!DA26</f>
        <v>1010</v>
      </c>
      <c r="IH28" s="541">
        <f>IF(AND($B28&gt;=$GC28,$B28&lt;=$GH28,$DR28&lt;0)+N("only adjusted when pool is drawn down during storage season"),Sheet1!$DB26+$DR28+N("Palmer minus all storage release"),Sheet1!$DB26)</f>
        <v>488</v>
      </c>
      <c r="II28" s="541">
        <f>IF(AND($B28&gt;=$GC28,$B28&lt;=$GH28,$DR28&lt;0)+N("only adjusted when pool is drawn down during storage season"),Sheet1!$DA26+$DR28+N("Auburn minus all storage release"),Sheet1!$DA26)</f>
        <v>1010</v>
      </c>
    </row>
    <row r="29" spans="1:243" x14ac:dyDescent="0.25">
      <c r="A29" s="553" t="s">
        <v>6</v>
      </c>
      <c r="B29" s="531">
        <v>42753</v>
      </c>
      <c r="C29" s="536">
        <v>0</v>
      </c>
      <c r="D29" s="506">
        <f t="shared" si="0"/>
        <v>300</v>
      </c>
      <c r="E29" s="506">
        <f t="shared" si="1"/>
        <v>250</v>
      </c>
      <c r="F29" s="506">
        <v>250</v>
      </c>
      <c r="G29" s="535">
        <f>DR29+Sheet1!CZ27</f>
        <v>1484.4831064050809</v>
      </c>
      <c r="H29" s="1074">
        <f t="shared" si="96"/>
        <v>586.64691328000004</v>
      </c>
      <c r="I29" s="534">
        <f>IF(Sheet1!DA27&gt;=E29,(Sheet1!DA27-E29+P29)*CFStoMGD,0)</f>
        <v>1362.3269132799999</v>
      </c>
      <c r="J29" s="995">
        <f>IF(Sheet1!DB27&gt;=D29,(Sheet1!DB27-D29+P29)*CFStoMGD,0)</f>
        <v>586.64691328000004</v>
      </c>
      <c r="K29" s="818">
        <f t="shared" si="97"/>
        <v>64.64</v>
      </c>
      <c r="L29" s="535">
        <f>Sheet1!AA27+Sheet1!AB27-Sheet1!L27+(Sheet1!DA27-F29)*CFStoMGD-S29-T29-U29</f>
        <v>1292.6080000000009</v>
      </c>
      <c r="M29" s="535">
        <f t="shared" si="123"/>
        <v>978.76127757984921</v>
      </c>
      <c r="N29" s="824">
        <f>IF(Sheet1!DA27&gt;=F29,MIN(113*CFStoMGD,MIN(MAX(L29,0),MAX(M29,0))),0)</f>
        <v>73.043199999999999</v>
      </c>
      <c r="O29" s="538">
        <f>Sheet1!AA27+Sheet1!AB27</f>
        <v>56.599999999999994</v>
      </c>
      <c r="P29" s="538">
        <f t="shared" si="124"/>
        <v>87.560199999999995</v>
      </c>
      <c r="Q29" s="812">
        <f t="shared" si="98"/>
        <v>0</v>
      </c>
      <c r="R29" s="812">
        <f t="shared" si="59"/>
        <v>10.555275381552754</v>
      </c>
      <c r="S29" s="812">
        <f t="shared" si="60"/>
        <v>56.599999999999994</v>
      </c>
      <c r="T29" s="812">
        <f t="shared" si="61"/>
        <v>0</v>
      </c>
      <c r="U29" s="812">
        <f t="shared" si="99"/>
        <v>0</v>
      </c>
      <c r="V29" s="812"/>
      <c r="W29" s="812">
        <f t="shared" si="62"/>
        <v>54.084724618447247</v>
      </c>
      <c r="X29" s="812">
        <f t="shared" si="63"/>
        <v>56.599999999999994</v>
      </c>
      <c r="Y29" s="812" t="str">
        <f t="shared" si="64"/>
        <v/>
      </c>
      <c r="Z29" s="812">
        <f t="shared" si="65"/>
        <v>56.599999999999994</v>
      </c>
      <c r="AA29" s="812">
        <f t="shared" si="66"/>
        <v>56.599999999999994</v>
      </c>
      <c r="AB29" s="1059">
        <f t="shared" si="100"/>
        <v>0</v>
      </c>
      <c r="AC29" s="538">
        <f>Sheet1!Y27*MGDtoCFS</f>
        <v>41.304899999999996</v>
      </c>
      <c r="AD29" s="538">
        <f>Sheet1!Z27*MGDtoCFS</f>
        <v>46.41</v>
      </c>
      <c r="AE29" s="538">
        <f>Sheet1!AA27*MGDtoCFS</f>
        <v>41.304899999999996</v>
      </c>
      <c r="AF29" s="538">
        <f>Sheet1!AB27*MGDtoCFS</f>
        <v>46.255299999999998</v>
      </c>
      <c r="AG29" s="538">
        <f>Sheet1!L27*MGDtoCFS</f>
        <v>20.296639999998423</v>
      </c>
      <c r="AH29" s="521">
        <f t="shared" si="125"/>
        <v>0</v>
      </c>
      <c r="AI29" s="1059">
        <f t="shared" si="126"/>
        <v>0</v>
      </c>
      <c r="AJ29" s="535">
        <f t="shared" si="127"/>
        <v>0</v>
      </c>
      <c r="AK29" s="535">
        <f t="shared" si="128"/>
        <v>0</v>
      </c>
      <c r="AL29" s="535">
        <f>(VLOOKUP(Sheet1!DC27,hhdcap_wcm,4)-(((VLOOKUP(Sheet1!DC27,hhdcap_wcm,3)-Sheet1!DC27)/(VLOOKUP(Sheet1!DC27,hhdcap_wcm,3)-VLOOKUP(Sheet1!DC27,hhdcap_wcm,1)))*(VLOOKUP(Sheet1!DC27,hhdcap_wcm,4)-VLOOKUP(Sheet1!DC27,hhdcap_wcm,2))))</f>
        <v>1594.500000004195</v>
      </c>
      <c r="AM29" s="535">
        <f t="shared" si="129"/>
        <v>544.30000000127552</v>
      </c>
      <c r="AN29" s="1035">
        <f t="shared" si="130"/>
        <v>0</v>
      </c>
      <c r="AO29" s="535">
        <f t="shared" si="131"/>
        <v>0</v>
      </c>
      <c r="AP29" s="535">
        <f>Sheet1!BA27+Sheet1!BB27+Sheet1!BN27+CD29</f>
        <v>19.5</v>
      </c>
      <c r="AQ29" s="535">
        <f>Sheet1!BN27+(DO29*Sheet1!BN27)</f>
        <v>19.344724618447245</v>
      </c>
      <c r="AR29" s="535">
        <f>Sheet1!BA27+CD29</f>
        <v>0</v>
      </c>
      <c r="AS29" s="535">
        <f>Sheet1!BA27+Sheet1!BB27+CD29</f>
        <v>0</v>
      </c>
      <c r="AT29" s="649">
        <f>0</f>
        <v>0</v>
      </c>
      <c r="AU29" s="535">
        <f>IF(EB29&lt;K29,0,MAX(Sheet1!AA27+AQ29-15/36*K29-N29,Sheet1!EH27,0))</f>
        <v>0</v>
      </c>
      <c r="AV29" s="535">
        <f>IF(OR(B29&gt;=GD29,B29&lt;GC29),0,15/36*K29-MAX(0,64.6-(137.6-(Sheet1!AA27+Sheet1!AB27))))</f>
        <v>0</v>
      </c>
      <c r="AW29" s="1029"/>
      <c r="AX29" s="649"/>
      <c r="AY29" s="649">
        <f t="shared" si="101"/>
        <v>0</v>
      </c>
      <c r="AZ29" s="649">
        <f t="shared" si="102"/>
        <v>0</v>
      </c>
      <c r="BA29" s="1059">
        <f t="shared" si="103"/>
        <v>0</v>
      </c>
      <c r="BB29" s="1019">
        <f t="shared" si="132"/>
        <v>0</v>
      </c>
      <c r="BC29" s="1041">
        <f t="shared" si="104"/>
        <v>26.933333333333334</v>
      </c>
      <c r="BD29" s="1019">
        <f ca="1">IF(B29&gt;Summary!$A$1,#N/A,BB29*MGtoAF)</f>
        <v>0</v>
      </c>
      <c r="BE29" s="535">
        <f>Sheet1!BG27+Sheet1!BH27+Sheet1!BI27-BM29</f>
        <v>1.02</v>
      </c>
      <c r="BF29" s="535">
        <f t="shared" si="133"/>
        <v>1.011877903118779</v>
      </c>
      <c r="BG29" s="535">
        <f>IF(Sheet1!EP27="FM",BM29,0)</f>
        <v>0</v>
      </c>
      <c r="BH29" s="535">
        <f t="shared" si="134"/>
        <v>0</v>
      </c>
      <c r="BI29" s="535">
        <f>IF(Sheet1!EP27="OTHER",BM29,0)</f>
        <v>0</v>
      </c>
      <c r="BJ29" s="535">
        <f t="shared" si="135"/>
        <v>0</v>
      </c>
      <c r="BK29" s="535">
        <f t="shared" si="136"/>
        <v>1.02</v>
      </c>
      <c r="BL29" s="535">
        <f t="shared" si="137"/>
        <v>1.011877903118779</v>
      </c>
      <c r="BM29" s="535">
        <f>IF(OR(Sheet1!EP27="FM", Sheet1!EP27="OTHER"),SUM(Sheet1!BG27:'Sheet1'!BI27),0)</f>
        <v>0</v>
      </c>
      <c r="BN29" s="521">
        <f>IF(AND($B29&gt;=$FV29,$B29&lt;=$FW29),MAX(BF29,Sheet1!EI27,0),MAX(BF29-(7/36)*$K29,0))</f>
        <v>0</v>
      </c>
      <c r="BO29" s="535">
        <f t="shared" si="138"/>
        <v>0</v>
      </c>
      <c r="BP29" s="521">
        <f t="shared" si="184"/>
        <v>1.011877903118779</v>
      </c>
      <c r="BQ29" s="521">
        <f>IF(AND($O29&gt;0,Sheet1!EM27=1),(1-($O29-Sheet1!$L27)/$O29)*BL29,0)</f>
        <v>0</v>
      </c>
      <c r="BR29" s="521">
        <f>IF(AND(Sheet1!$L27=0,Sheet1!$L26=0, Calculation!BK29&lt;Sheet1!$EI27-0.1,Sheet1!$EI27=Sheet1!$EI26,Sheet1!$EI27=Sheet1!$EI28),BL29-BQ29,BL29-BQ29)</f>
        <v>1.011877903118779</v>
      </c>
      <c r="BS29" s="1035" t="str">
        <f t="shared" si="105"/>
        <v/>
      </c>
      <c r="BT29" s="1035">
        <f t="shared" si="106"/>
        <v>12.568888888888889</v>
      </c>
      <c r="BU29" s="535">
        <f t="shared" si="139"/>
        <v>0</v>
      </c>
      <c r="BV29" s="535"/>
      <c r="BW29" s="535">
        <f ca="1">IF(B29&gt;Summary!$A$1,#N/A,BU29*MGtoAF)</f>
        <v>0</v>
      </c>
      <c r="BX29" s="535">
        <f>Sheet1!BC27+Sheet1!BD27+Sheet1!BE27+Sheet1!BF27-CG29-CH29</f>
        <v>3.13</v>
      </c>
      <c r="BY29" s="535">
        <f t="shared" si="140"/>
        <v>3.1050763105507628</v>
      </c>
      <c r="BZ29" s="535">
        <f>IF(Sheet1!EQ27="FM",CH29,0)</f>
        <v>0</v>
      </c>
      <c r="CA29" s="535">
        <f t="shared" si="141"/>
        <v>0</v>
      </c>
      <c r="CB29" s="535">
        <f>IF(Sheet1!EQ27="OTHER",CH29,0)</f>
        <v>0</v>
      </c>
      <c r="CC29" s="535">
        <f t="shared" si="142"/>
        <v>0</v>
      </c>
      <c r="CD29" s="535">
        <f t="shared" si="143"/>
        <v>0</v>
      </c>
      <c r="CE29" s="535">
        <f t="shared" si="144"/>
        <v>3.13</v>
      </c>
      <c r="CF29" s="535">
        <f t="shared" si="145"/>
        <v>3.1050763105507628</v>
      </c>
      <c r="CG29" s="535">
        <f>IF(Sheet1!EQ27="CWA",SUM(Sheet1!BC27:'Sheet1'!BF27),0)</f>
        <v>0</v>
      </c>
      <c r="CH29" s="535">
        <f>IF(OR(Sheet1!EQ27="FM", Sheet1!EQ27="OTHER"),SUM(Sheet1!BC27:'Sheet1'!BF27),0)</f>
        <v>0</v>
      </c>
      <c r="CI29" s="521">
        <f>IF(AND($B29&gt;=$FV29,$B29&lt;=$FW29),MAX(CF29,Sheet1!EJ27,0),MAX(CF29-(7/36)*$K29,0))</f>
        <v>0</v>
      </c>
      <c r="CJ29" s="535">
        <f t="shared" si="146"/>
        <v>0</v>
      </c>
      <c r="CK29" s="521">
        <f t="shared" si="182"/>
        <v>3.1050763105507628</v>
      </c>
      <c r="CL29" s="521">
        <f>IF(AND($O29&gt;0,Sheet1!EN27=1),(1-($O29-Sheet1!$L27)/$O29)*CF29,0)</f>
        <v>0</v>
      </c>
      <c r="CM29" s="521">
        <f>IF(AND(Sheet1!$L27=0,Sheet1!$L26=0, Calculation!CE29&lt;Sheet1!EJ27-0.1,Sheet1!EJ27=Sheet1!EJ26,Sheet1!EJ27=Sheet1!EJ28),CF29-CL29,CF29-CL29)</f>
        <v>3.1050763105507628</v>
      </c>
      <c r="CN29" s="1040" t="str">
        <f t="shared" si="107"/>
        <v/>
      </c>
      <c r="CO29" s="1035">
        <f t="shared" si="108"/>
        <v>12.568888888888889</v>
      </c>
      <c r="CP29" s="535">
        <f t="shared" si="147"/>
        <v>0</v>
      </c>
      <c r="CQ29" s="535"/>
      <c r="CR29" s="535">
        <f ca="1">IF(B29&gt;Summary!$A$1,#N/A,CP29*MGtoAF)</f>
        <v>0</v>
      </c>
      <c r="CS29" s="535">
        <f>Sheet1!BK27+Sheet1!BL27+Sheet1!BM27-Sheet1!ER27-DA29</f>
        <v>6.49</v>
      </c>
      <c r="CT29" s="535">
        <f t="shared" si="148"/>
        <v>6.4383211678832115</v>
      </c>
      <c r="CU29" s="535">
        <f>IF(Sheet1!ER27="FM",DA29,0)</f>
        <v>0</v>
      </c>
      <c r="CV29" s="535">
        <f t="shared" si="149"/>
        <v>0</v>
      </c>
      <c r="CW29" s="535">
        <f>IF(Sheet1!ER27="OTHER",DA29,0)</f>
        <v>0</v>
      </c>
      <c r="CX29" s="535">
        <f t="shared" si="150"/>
        <v>0</v>
      </c>
      <c r="CY29" s="535">
        <f t="shared" si="151"/>
        <v>6.49</v>
      </c>
      <c r="CZ29" s="535">
        <f t="shared" si="152"/>
        <v>6.4383211678832115</v>
      </c>
      <c r="DA29" s="535">
        <f>IF(OR(Sheet1!ER27="FM", Sheet1!ER27="OTHER"),SUM(Sheet1!BK27:'Sheet1'!BM27),0)</f>
        <v>0</v>
      </c>
      <c r="DB29" s="1011">
        <f>IF(AND($B29&gt;=$FV29,$B29&lt;=$FW29),MAX($CT29,Sheet1!EK27,0),MAX($CT29-(7/36)*$K29,0))</f>
        <v>0</v>
      </c>
      <c r="DC29" s="1012">
        <f t="shared" si="153"/>
        <v>0</v>
      </c>
      <c r="DD29" s="1011">
        <f t="shared" si="183"/>
        <v>6.4383211678832115</v>
      </c>
      <c r="DE29" s="521">
        <f>IF(AND($O29&gt;0,Sheet1!EO27=1),(1-($O29-Sheet1!$L27)/$O29)*CZ29,0)</f>
        <v>0</v>
      </c>
      <c r="DF29" s="521">
        <f>IF(AND(Sheet1!$L27=0,Sheet1!$L26=0, Calculation!CY29&lt;Sheet1!$EK27-0.1,Sheet1!$EK27=Sheet1!$EK26,Sheet1!$EK27=Sheet1!$EK28),CZ29-DE29,CZ29-DE29)</f>
        <v>6.4383211678832115</v>
      </c>
      <c r="DG29" s="1040">
        <f t="shared" si="109"/>
        <v>12.568888888888889</v>
      </c>
      <c r="DH29" s="649">
        <f t="shared" si="154"/>
        <v>10.64</v>
      </c>
      <c r="DI29" s="535">
        <f t="shared" si="155"/>
        <v>0</v>
      </c>
      <c r="DJ29" s="649">
        <f t="shared" si="156"/>
        <v>10.555275381552754</v>
      </c>
      <c r="DK29" s="535">
        <f ca="1">IF(B29&gt;Summary!$A$1,#N/A,DI29*MGtoAF)</f>
        <v>0</v>
      </c>
      <c r="DL29" s="649">
        <f t="shared" si="157"/>
        <v>10.64</v>
      </c>
      <c r="DM29" s="535">
        <f t="shared" si="158"/>
        <v>30.14</v>
      </c>
      <c r="DN29" s="535">
        <f>Sheet1!AB27-DM29</f>
        <v>-0.24000000000000199</v>
      </c>
      <c r="DO29" s="743">
        <f t="shared" si="159"/>
        <v>-7.9628400796284658E-3</v>
      </c>
      <c r="DP29" s="535">
        <f>(VLOOKUP(Sheet1!DC27,hhdcap_wcm,4)-(((VLOOKUP(Sheet1!DC27,hhdcap_wcm,3)-Sheet1!DC27)/(VLOOKUP(Sheet1!DC27,hhdcap_wcm,3)-VLOOKUP(Sheet1!DC27,hhdcap_wcm,1)))*(VLOOKUP(Sheet1!DC27,hhdcap_wcm,4)-VLOOKUP(Sheet1!DC27,hhdcap_wcm,2))))</f>
        <v>1594.500000004195</v>
      </c>
      <c r="DQ29" s="535">
        <f t="shared" si="160"/>
        <v>544.30000000127552</v>
      </c>
      <c r="DR29" s="535">
        <f t="shared" si="161"/>
        <v>274.48310640508089</v>
      </c>
      <c r="DS29" s="535">
        <f>Sheet1!EA27*AFtoMG</f>
        <v>0</v>
      </c>
      <c r="DT29" s="535">
        <f>Sheet1!EB27*AFtoMG</f>
        <v>0</v>
      </c>
      <c r="DU29" s="535">
        <f>Sheet1!EC27*AFtoMG</f>
        <v>0</v>
      </c>
      <c r="DV29" s="535">
        <f>Sheet1!ED27*AFtoMG</f>
        <v>0</v>
      </c>
      <c r="DW29" s="535">
        <f t="shared" si="162"/>
        <v>0</v>
      </c>
      <c r="DX29" s="535">
        <f t="shared" si="163"/>
        <v>0</v>
      </c>
      <c r="DY29" s="535">
        <f t="shared" si="164"/>
        <v>0</v>
      </c>
      <c r="DZ29" s="535">
        <f t="shared" si="165"/>
        <v>0</v>
      </c>
      <c r="EA29" s="535"/>
      <c r="EB29" s="521">
        <f>IF(OR(B29&lt;FV29,B29&gt;FW29),(MIN(BF29+BY29+CT29+MAX(Sheet1!AA27+AQ29-73,0),K29)),0)</f>
        <v>10.555275381552754</v>
      </c>
      <c r="EC29" s="535"/>
      <c r="ED29" s="535">
        <f t="shared" si="166"/>
        <v>10.555275381552754</v>
      </c>
      <c r="EE29" s="535"/>
      <c r="EF29" s="535">
        <f>Sheet1!EH27+Sheet1!EI27+Sheet1!EJ27+Sheet1!EK27</f>
        <v>11</v>
      </c>
      <c r="EG29" s="1019">
        <f t="shared" si="110"/>
        <v>17.016999999999999</v>
      </c>
      <c r="EH29" s="521">
        <f t="shared" si="167"/>
        <v>0</v>
      </c>
      <c r="EI29" s="535">
        <f>IF(Sheet1!ET27=1,SUM('Calculations II'!AT29:BA29)+'Calculations II'!BC29+Sheet1!BV27+'Calculations II'!BE29+AP29,'Calculations II'!BK29)</f>
        <v>42.469694618447249</v>
      </c>
      <c r="EJ29" s="535">
        <f ca="1">EI29+'Calculations II'!D29+'Calculations II'!E29+'Calculations II'!O29</f>
        <v>45.771906138665706</v>
      </c>
      <c r="EK29" s="535"/>
      <c r="EL29" s="535"/>
      <c r="EM29" s="535">
        <f t="shared" si="168"/>
        <v>42753</v>
      </c>
      <c r="EN29" s="535">
        <f t="shared" si="169"/>
        <v>0</v>
      </c>
      <c r="EO29" s="535">
        <f t="shared" si="170"/>
        <v>0</v>
      </c>
      <c r="EP29" s="535">
        <v>0</v>
      </c>
      <c r="EQ29" s="535">
        <v>0</v>
      </c>
      <c r="ER29" s="535">
        <v>0</v>
      </c>
      <c r="ES29" s="521">
        <f t="shared" si="71"/>
        <v>-2.4915149571281301</v>
      </c>
      <c r="ET29" s="535">
        <f>-(VLOOKUP(Sheet1!BQ27,Lookup!$O$4:$Q$262,2)-VLOOKUP(Sheet1!BQ26,Lookup!$O$4:$Q$262,2))/1000000</f>
        <v>-1.245555667144213</v>
      </c>
      <c r="EU29" s="535">
        <f>-(VLOOKUP(Sheet1!BR27,Lookup!$O$4:$Q$262,3)-VLOOKUP(Sheet1!BR26,Lookup!$O$4:$Q$262,3))/1000000</f>
        <v>-1.2459592899839169</v>
      </c>
      <c r="EV29" s="535"/>
      <c r="EW29" s="535"/>
      <c r="EX29" s="535"/>
      <c r="EY29" s="535"/>
      <c r="EZ29" s="535"/>
      <c r="FA29" s="535"/>
      <c r="FB29" s="535"/>
      <c r="FC29" s="535"/>
      <c r="FD29" s="567" t="e">
        <f t="shared" si="171"/>
        <v>#N/A</v>
      </c>
      <c r="FE29" s="567" t="e">
        <f t="shared" si="172"/>
        <v>#N/A</v>
      </c>
      <c r="FF29" s="568" t="e">
        <f t="shared" si="173"/>
        <v>#N/A</v>
      </c>
      <c r="FG29" s="569" t="s">
        <v>656</v>
      </c>
      <c r="FH29" s="569" t="s">
        <v>656</v>
      </c>
      <c r="FI29" s="567" t="e">
        <v>#N/A</v>
      </c>
      <c r="FJ29" s="567" t="e">
        <v>#N/A</v>
      </c>
      <c r="FK29" s="535"/>
      <c r="FL29" s="1015">
        <v>0</v>
      </c>
      <c r="FM29" s="535"/>
      <c r="FN29" s="535"/>
      <c r="FO29" s="535">
        <f>O29+((Sheet1!CS27)*GPMtoMGD)</f>
        <v>56.599999999999994</v>
      </c>
      <c r="FP29" s="535">
        <f>IF(Sheet1!AA27+AQ29&lt;=Calculation!N29,AQ29,Calculation!N29-Sheet1!AA27)</f>
        <v>19.344724618447245</v>
      </c>
      <c r="FQ29" s="535">
        <f>(Sheet1!BP27+Sheet1!BO27)/694.4</f>
        <v>1.4949596774193548</v>
      </c>
      <c r="FR29" s="541"/>
      <c r="FS29" s="541"/>
      <c r="FT29" s="541"/>
      <c r="FU29" s="541"/>
      <c r="FV29" s="1109">
        <f t="shared" si="74"/>
        <v>42918</v>
      </c>
      <c r="FW29" s="1109">
        <f t="shared" si="75"/>
        <v>43027</v>
      </c>
      <c r="FX29" s="541"/>
      <c r="FY29" s="541">
        <f>Sheet1!DA27-Sheet1!CZ27-Sheet1!AE27</f>
        <v>992.73643999999842</v>
      </c>
      <c r="FZ29" s="535">
        <f t="shared" si="111"/>
        <v>0.66874216063264769</v>
      </c>
      <c r="GA29" s="535"/>
      <c r="GB29" s="535" t="str">
        <f t="shared" si="76"/>
        <v>n</v>
      </c>
      <c r="GC29" s="539">
        <f t="shared" si="77"/>
        <v>42782</v>
      </c>
      <c r="GD29" s="1109">
        <f t="shared" si="78"/>
        <v>42904</v>
      </c>
      <c r="GE29" s="535">
        <f t="shared" si="95"/>
        <v>6520</v>
      </c>
      <c r="GF29" s="1109">
        <f t="shared" si="79"/>
        <v>42909</v>
      </c>
      <c r="GG29" s="535">
        <f t="shared" si="174"/>
        <v>3260</v>
      </c>
      <c r="GH29" s="539">
        <f t="shared" si="80"/>
        <v>43040</v>
      </c>
      <c r="GJ29" s="521">
        <f t="shared" si="81"/>
        <v>0</v>
      </c>
      <c r="GK29" s="535" t="str">
        <f t="shared" si="175"/>
        <v/>
      </c>
      <c r="GL29" s="535">
        <f t="shared" si="82"/>
        <v>0</v>
      </c>
      <c r="GM29" s="535" t="str">
        <f t="shared" si="83"/>
        <v/>
      </c>
      <c r="GN29" s="535">
        <f>IF(GK29="P",Lookup!$M$12,IF(GK29="PP",Lookup!$M$13,IF(GK29="PPP",Lookup!$M$14,IF(GK29="T",Lookup!$M$15,IF(GK29="TP",Lookup!$M$16,IF(GK29="TPP",Lookup!$M$17,IF(GK29="TPPP",Lookup!$M$18,0)))))))*GJ29</f>
        <v>0</v>
      </c>
      <c r="GO29" s="535">
        <f t="shared" si="84"/>
        <v>0</v>
      </c>
      <c r="GP29" s="535">
        <f t="shared" si="176"/>
        <v>0</v>
      </c>
      <c r="GQ29" s="535">
        <f t="shared" si="94"/>
        <v>0</v>
      </c>
      <c r="GR29" s="535"/>
      <c r="GS29" s="535">
        <f t="shared" si="85"/>
        <v>0</v>
      </c>
      <c r="GT29" s="535" t="str">
        <f t="shared" si="86"/>
        <v/>
      </c>
      <c r="GU29" s="535">
        <f>IF(GK29="P",Lookup!$N$12,IF(GK29="PP",Lookup!$N$13,IF(GK29="PPP",Lookup!$N$14,IF(GK29="T",Lookup!$N$15,IF(GK29="TP",Lookup!$N$16,IF(GK29="TPP",Lookup!$N$17,IF(GK29="TPPP",Lookup!$N$18,0)))))))*GJ29</f>
        <v>0</v>
      </c>
      <c r="GV29" s="535">
        <f t="shared" si="53"/>
        <v>0</v>
      </c>
      <c r="GW29" s="535">
        <f t="shared" si="177"/>
        <v>0</v>
      </c>
      <c r="GX29" s="535">
        <f t="shared" si="91"/>
        <v>0</v>
      </c>
      <c r="GY29" s="535"/>
      <c r="GZ29" s="535">
        <f t="shared" si="87"/>
        <v>0</v>
      </c>
      <c r="HA29" s="535" t="str">
        <f t="shared" si="88"/>
        <v/>
      </c>
      <c r="HB29" s="535">
        <f>IF(GK29="P",Lookup!$N$12,IF(GK29="PP",Lookup!$N$13,IF(GK29="PPP",Lookup!$N$14,IF(GK29="T",Lookup!$N$15,IF(GK29="TP",Lookup!$N$16,IF(GK29="TPP",Lookup!$N$17,IF(GK29="TPPP",Lookup!$N$18,0)))))))*GJ29</f>
        <v>0</v>
      </c>
      <c r="HC29" s="521">
        <f t="shared" si="178"/>
        <v>0</v>
      </c>
      <c r="HD29" s="535">
        <f t="shared" si="179"/>
        <v>0</v>
      </c>
      <c r="HE29" s="535">
        <f t="shared" si="92"/>
        <v>0</v>
      </c>
      <c r="HF29" s="535"/>
      <c r="HG29" s="535">
        <f t="shared" si="89"/>
        <v>0</v>
      </c>
      <c r="HH29" s="535" t="str">
        <f t="shared" si="90"/>
        <v/>
      </c>
      <c r="HI29" s="535">
        <f>IF(GK29="P",Lookup!$N$12,IF(GK29="PP",Lookup!$N$13,IF(GK29="PPP",Lookup!$N$14,IF(GK29="T",Lookup!$N$15,IF(GK29="TP",Lookup!$N$16,IF(GK29="TPP",Lookup!$N$17,IF(GK29="TPPP",Lookup!$N$18,0)))))))*GJ29</f>
        <v>0</v>
      </c>
      <c r="HJ29" s="521">
        <f t="shared" si="180"/>
        <v>0</v>
      </c>
      <c r="HK29" s="535">
        <f t="shared" si="181"/>
        <v>0</v>
      </c>
      <c r="HL29" s="535">
        <f t="shared" si="93"/>
        <v>0</v>
      </c>
      <c r="HM29" s="535"/>
      <c r="HN29" s="541"/>
      <c r="HO29" s="541"/>
      <c r="HP29" s="541"/>
      <c r="HQ29" s="541">
        <f>IF(AND(B29&gt;=$FV$4,B29&lt;=$FW$4),MAX(110/1.02+$HQ$6+MIN(113/1.02,G29),IF($HV$6-(Sheet1!DA27-Sheet1!DB27)+MIN(113/1.02,G29)&lt;G29+FL29,$HV$6-(Sheet1!DA27-Sheet1!DB27)+MIN(113/1.02,G29),G29+FL29)),MIN(110/1.02+$HQ$6+113/1.02,G29))</f>
        <v>218.62745098039215</v>
      </c>
      <c r="HR29" s="541">
        <f t="shared" si="112"/>
        <v>223</v>
      </c>
      <c r="HS29" s="541">
        <f>HR29+(Sheet1!DA27-Sheet1!DB27)</f>
        <v>1373</v>
      </c>
      <c r="HT29" s="541">
        <f t="shared" si="113"/>
        <v>0</v>
      </c>
      <c r="HU29" s="541">
        <f t="shared" si="114"/>
        <v>1373</v>
      </c>
      <c r="HV29" s="541">
        <f t="shared" si="115"/>
        <v>0</v>
      </c>
      <c r="HW29" s="533" t="str">
        <f t="shared" si="116"/>
        <v/>
      </c>
      <c r="HX29" s="541">
        <f t="shared" si="117"/>
        <v>991.37254901960785</v>
      </c>
      <c r="HY29" s="541">
        <f>Sheet1!CZ27</f>
        <v>1210</v>
      </c>
      <c r="HZ29" s="541">
        <f t="shared" si="118"/>
        <v>0</v>
      </c>
      <c r="IA29" s="541">
        <f t="shared" si="119"/>
        <v>0</v>
      </c>
      <c r="IB29" s="541">
        <f t="shared" si="120"/>
        <v>1210</v>
      </c>
      <c r="IC29" s="1019" t="str">
        <f t="shared" si="121"/>
        <v/>
      </c>
      <c r="ID29" s="541">
        <f t="shared" si="122"/>
        <v>1210</v>
      </c>
      <c r="IE29" s="541">
        <f>Sheet1!DB27</f>
        <v>1120</v>
      </c>
      <c r="IF29" s="533">
        <f>Sheet1!DA27</f>
        <v>2270</v>
      </c>
      <c r="IH29" s="541">
        <f>IF(AND($B29&gt;=$GC29,$B29&lt;=$GH29,$DR29&lt;0)+N("only adjusted when pool is drawn down during storage season"),Sheet1!$DB27+$DR29+N("Palmer minus all storage release"),Sheet1!$DB27)</f>
        <v>1120</v>
      </c>
      <c r="II29" s="541">
        <f>IF(AND($B29&gt;=$GC29,$B29&lt;=$GH29,$DR29&lt;0)+N("only adjusted when pool is drawn down during storage season"),Sheet1!$DA27+$DR29+N("Auburn minus all storage release"),Sheet1!$DA27)</f>
        <v>2270</v>
      </c>
    </row>
    <row r="30" spans="1:243" x14ac:dyDescent="0.25">
      <c r="A30" s="553" t="s">
        <v>7</v>
      </c>
      <c r="B30" s="531">
        <v>42754</v>
      </c>
      <c r="C30" s="536">
        <v>0</v>
      </c>
      <c r="D30" s="506">
        <f t="shared" si="0"/>
        <v>300</v>
      </c>
      <c r="E30" s="506">
        <f t="shared" si="1"/>
        <v>250</v>
      </c>
      <c r="F30" s="506">
        <v>250</v>
      </c>
      <c r="G30" s="535">
        <f>DR30+Sheet1!CZ28</f>
        <v>874.77559253624327</v>
      </c>
      <c r="H30" s="1074">
        <f t="shared" si="96"/>
        <v>479.97091366400002</v>
      </c>
      <c r="I30" s="534">
        <f>IF(Sheet1!DA28&gt;=E30,(Sheet1!DA28-E30+P30)*CFStoMGD,0)</f>
        <v>1103.746913664</v>
      </c>
      <c r="J30" s="995">
        <f>IF(Sheet1!DB28&gt;=D30,(Sheet1!DB28-D30+P30)*CFStoMGD,0)</f>
        <v>479.97091366400002</v>
      </c>
      <c r="K30" s="818">
        <f t="shared" si="97"/>
        <v>64.64</v>
      </c>
      <c r="L30" s="535">
        <f>Sheet1!AA28+Sheet1!AB28-Sheet1!L28+(Sheet1!DA28-F30)*CFStoMGD-S30-T30-U30</f>
        <v>1045.0980000000002</v>
      </c>
      <c r="M30" s="535">
        <f t="shared" si="123"/>
        <v>576.76404187573621</v>
      </c>
      <c r="N30" s="824">
        <f>IF(Sheet1!DA28&gt;=F30,MIN(113*CFStoMGD,MIN(MAX(L30,0),MAX(M30,0))),0)</f>
        <v>73.043199999999999</v>
      </c>
      <c r="O30" s="538">
        <f>Sheet1!AA28+Sheet1!AB28</f>
        <v>56.58</v>
      </c>
      <c r="P30" s="538">
        <f t="shared" si="124"/>
        <v>87.529259999999994</v>
      </c>
      <c r="Q30" s="812">
        <f t="shared" si="98"/>
        <v>0</v>
      </c>
      <c r="R30" s="812">
        <f t="shared" si="59"/>
        <v>10.571238791099303</v>
      </c>
      <c r="S30" s="812">
        <f t="shared" si="60"/>
        <v>56.58</v>
      </c>
      <c r="T30" s="812">
        <f t="shared" si="61"/>
        <v>0</v>
      </c>
      <c r="U30" s="812">
        <f t="shared" si="99"/>
        <v>0</v>
      </c>
      <c r="V30" s="812"/>
      <c r="W30" s="812">
        <f t="shared" si="62"/>
        <v>54.068761208900696</v>
      </c>
      <c r="X30" s="812">
        <f t="shared" si="63"/>
        <v>56.58</v>
      </c>
      <c r="Y30" s="812" t="str">
        <f t="shared" si="64"/>
        <v/>
      </c>
      <c r="Z30" s="812">
        <f t="shared" si="65"/>
        <v>56.58</v>
      </c>
      <c r="AA30" s="812">
        <f t="shared" si="66"/>
        <v>56.58</v>
      </c>
      <c r="AB30" s="1059">
        <f t="shared" si="100"/>
        <v>0</v>
      </c>
      <c r="AC30" s="538">
        <f>Sheet1!Y28*MGDtoCFS</f>
        <v>41.304899999999996</v>
      </c>
      <c r="AD30" s="538">
        <f>Sheet1!Z28*MGDtoCFS</f>
        <v>46.255299999999998</v>
      </c>
      <c r="AE30" s="538">
        <f>Sheet1!AA28*MGDtoCFS</f>
        <v>41.119259999999997</v>
      </c>
      <c r="AF30" s="538">
        <f>Sheet1!AB28*MGDtoCFS</f>
        <v>46.41</v>
      </c>
      <c r="AG30" s="538">
        <f>Sheet1!L28*MGDtoCFS</f>
        <v>3.2022899999995498</v>
      </c>
      <c r="AH30" s="521">
        <f t="shared" si="125"/>
        <v>0</v>
      </c>
      <c r="AI30" s="1059">
        <f t="shared" si="126"/>
        <v>0</v>
      </c>
      <c r="AJ30" s="535">
        <f t="shared" si="127"/>
        <v>0</v>
      </c>
      <c r="AK30" s="535">
        <f t="shared" si="128"/>
        <v>0</v>
      </c>
      <c r="AL30" s="535">
        <f>(VLOOKUP(Sheet1!DC28,hhdcap_wcm,4)-(((VLOOKUP(Sheet1!DC28,hhdcap_wcm,3)-Sheet1!DC28)/(VLOOKUP(Sheet1!DC28,hhdcap_wcm,3)-VLOOKUP(Sheet1!DC28,hhdcap_wcm,1)))*(VLOOKUP(Sheet1!DC28,hhdcap_wcm,4)-VLOOKUP(Sheet1!DC28,hhdcap_wcm,2))))</f>
        <v>1227.2000000035653</v>
      </c>
      <c r="AM30" s="535">
        <f t="shared" si="129"/>
        <v>-367.30000000062978</v>
      </c>
      <c r="AN30" s="1035">
        <f t="shared" si="130"/>
        <v>0</v>
      </c>
      <c r="AO30" s="535">
        <f t="shared" si="131"/>
        <v>0</v>
      </c>
      <c r="AP30" s="535">
        <f>Sheet1!BA28+Sheet1!BB28+Sheet1!BN28+CD30</f>
        <v>19.5</v>
      </c>
      <c r="AQ30" s="535">
        <f>Sheet1!BN28+(DO30*Sheet1!BN28)</f>
        <v>19.428761208900699</v>
      </c>
      <c r="AR30" s="535">
        <f>Sheet1!BA28+CD30</f>
        <v>0</v>
      </c>
      <c r="AS30" s="535">
        <f>Sheet1!BA28+Sheet1!BB28+CD30</f>
        <v>0</v>
      </c>
      <c r="AT30" s="649">
        <f>0</f>
        <v>0</v>
      </c>
      <c r="AU30" s="535">
        <f>IF(EB30&lt;K30,0,MAX(Sheet1!AA28+AQ30-15/36*K30-N30,Sheet1!EH28,0))</f>
        <v>0</v>
      </c>
      <c r="AV30" s="535">
        <f>IF(OR(B30&gt;=GD30,B30&lt;GC30),0,15/36*K30-MAX(0,64.6-(137.6-(Sheet1!AA28+Sheet1!AB28))))</f>
        <v>0</v>
      </c>
      <c r="AW30" s="1029"/>
      <c r="AX30" s="649"/>
      <c r="AY30" s="649">
        <f t="shared" si="101"/>
        <v>0</v>
      </c>
      <c r="AZ30" s="649">
        <f t="shared" si="102"/>
        <v>0</v>
      </c>
      <c r="BA30" s="1059">
        <f t="shared" si="103"/>
        <v>0</v>
      </c>
      <c r="BB30" s="1019">
        <f t="shared" si="132"/>
        <v>0</v>
      </c>
      <c r="BC30" s="1041">
        <f t="shared" si="104"/>
        <v>26.933333333333334</v>
      </c>
      <c r="BD30" s="1019">
        <f ca="1">IF(B30&gt;Summary!$A$1,#N/A,BB30*MGtoAF)</f>
        <v>0</v>
      </c>
      <c r="BE30" s="535">
        <f>Sheet1!BG28+Sheet1!BH28+Sheet1!BI28-BM30</f>
        <v>1.02</v>
      </c>
      <c r="BF30" s="535">
        <f t="shared" si="133"/>
        <v>1.0162736632348057</v>
      </c>
      <c r="BG30" s="535">
        <f>IF(Sheet1!EP28="FM",BM30,0)</f>
        <v>0</v>
      </c>
      <c r="BH30" s="535">
        <f t="shared" si="134"/>
        <v>0</v>
      </c>
      <c r="BI30" s="535">
        <f>IF(Sheet1!EP28="OTHER",BM30,0)</f>
        <v>0</v>
      </c>
      <c r="BJ30" s="535">
        <f t="shared" si="135"/>
        <v>0</v>
      </c>
      <c r="BK30" s="535">
        <f t="shared" si="136"/>
        <v>1.02</v>
      </c>
      <c r="BL30" s="535">
        <f t="shared" si="137"/>
        <v>1.0162736632348057</v>
      </c>
      <c r="BM30" s="535">
        <f>IF(OR(Sheet1!EP28="FM", Sheet1!EP28="OTHER"),SUM(Sheet1!BG28:'Sheet1'!BI28),0)</f>
        <v>0</v>
      </c>
      <c r="BN30" s="521">
        <f>IF(AND($B30&gt;=$FV30,$B30&lt;=$FW30),MAX(BF30,Sheet1!EI28,0),MAX(BF30-(7/36)*$K30,0))</f>
        <v>0</v>
      </c>
      <c r="BO30" s="535">
        <f t="shared" si="138"/>
        <v>0</v>
      </c>
      <c r="BP30" s="521">
        <f t="shared" si="184"/>
        <v>1.0162736632348057</v>
      </c>
      <c r="BQ30" s="521">
        <f>IF(AND($O30&gt;0,Sheet1!EM28=1),(1-($O30-Sheet1!$L28)/$O30)*BL30,0)</f>
        <v>0</v>
      </c>
      <c r="BR30" s="521">
        <f>IF(AND(Sheet1!$L28=0,Sheet1!$L27=0, Calculation!BK30&lt;Sheet1!$EI28-0.1,Sheet1!$EI28=Sheet1!$EI27,Sheet1!$EI28=Sheet1!$EI29),BL30-BQ30,BL30-BQ30)</f>
        <v>1.0162736632348057</v>
      </c>
      <c r="BS30" s="1035" t="str">
        <f t="shared" si="105"/>
        <v/>
      </c>
      <c r="BT30" s="1035">
        <f t="shared" si="106"/>
        <v>12.568888888888889</v>
      </c>
      <c r="BU30" s="535">
        <f t="shared" si="139"/>
        <v>0</v>
      </c>
      <c r="BV30" s="535"/>
      <c r="BW30" s="535">
        <f ca="1">IF(B30&gt;Summary!$A$1,#N/A,BU30*MGtoAF)</f>
        <v>0</v>
      </c>
      <c r="BX30" s="535">
        <f>Sheet1!BC28+Sheet1!BD28+Sheet1!BE28+Sheet1!BF28-CG30-CH30</f>
        <v>3</v>
      </c>
      <c r="BY30" s="535">
        <f t="shared" si="140"/>
        <v>2.9890401859847229</v>
      </c>
      <c r="BZ30" s="535">
        <f>IF(Sheet1!EQ28="FM",CH30,0)</f>
        <v>0</v>
      </c>
      <c r="CA30" s="535">
        <f t="shared" si="141"/>
        <v>0</v>
      </c>
      <c r="CB30" s="535">
        <f>IF(Sheet1!EQ28="OTHER",CH30,0)</f>
        <v>0</v>
      </c>
      <c r="CC30" s="535">
        <f t="shared" si="142"/>
        <v>0</v>
      </c>
      <c r="CD30" s="535">
        <f t="shared" si="143"/>
        <v>0</v>
      </c>
      <c r="CE30" s="535">
        <f t="shared" si="144"/>
        <v>3</v>
      </c>
      <c r="CF30" s="535">
        <f t="shared" si="145"/>
        <v>2.9890401859847229</v>
      </c>
      <c r="CG30" s="535">
        <f>IF(Sheet1!EQ28="CWA",SUM(Sheet1!BC28:'Sheet1'!BF28),0)</f>
        <v>0</v>
      </c>
      <c r="CH30" s="535">
        <f>IF(OR(Sheet1!EQ28="FM", Sheet1!EQ28="OTHER"),SUM(Sheet1!BC28:'Sheet1'!BF28),0)</f>
        <v>0</v>
      </c>
      <c r="CI30" s="521">
        <f>IF(AND($B30&gt;=$FV30,$B30&lt;=$FW30),MAX(CF30,Sheet1!EJ28,0),MAX(CF30-(7/36)*$K30,0))</f>
        <v>0</v>
      </c>
      <c r="CJ30" s="535">
        <f t="shared" si="146"/>
        <v>0</v>
      </c>
      <c r="CK30" s="521">
        <f t="shared" si="182"/>
        <v>2.9890401859847229</v>
      </c>
      <c r="CL30" s="521">
        <f>IF(AND($O30&gt;0,Sheet1!EN28=1),(1-($O30-Sheet1!$L28)/$O30)*CF30,0)</f>
        <v>0</v>
      </c>
      <c r="CM30" s="521">
        <f>IF(AND(Sheet1!$L28=0,Sheet1!$L27=0, Calculation!CE30&lt;Sheet1!EJ28-0.1,Sheet1!EJ28=Sheet1!EJ27,Sheet1!EJ28=Sheet1!EJ29),CF30-CL30,CF30-CL30)</f>
        <v>2.9890401859847229</v>
      </c>
      <c r="CN30" s="1040" t="str">
        <f t="shared" si="107"/>
        <v/>
      </c>
      <c r="CO30" s="1035">
        <f t="shared" si="108"/>
        <v>12.568888888888889</v>
      </c>
      <c r="CP30" s="535">
        <f t="shared" si="147"/>
        <v>0</v>
      </c>
      <c r="CQ30" s="535"/>
      <c r="CR30" s="535">
        <f ca="1">IF(B30&gt;Summary!$A$1,#N/A,CP30*MGtoAF)</f>
        <v>0</v>
      </c>
      <c r="CS30" s="535">
        <f>Sheet1!BK28+Sheet1!BL28+Sheet1!BM28-Sheet1!ER28-DA30</f>
        <v>6.59</v>
      </c>
      <c r="CT30" s="535">
        <f t="shared" si="148"/>
        <v>6.565924941879774</v>
      </c>
      <c r="CU30" s="535">
        <f>IF(Sheet1!ER28="FM",DA30,0)</f>
        <v>0</v>
      </c>
      <c r="CV30" s="535">
        <f t="shared" si="149"/>
        <v>0</v>
      </c>
      <c r="CW30" s="535">
        <f>IF(Sheet1!ER28="OTHER",DA30,0)</f>
        <v>0</v>
      </c>
      <c r="CX30" s="535">
        <f t="shared" si="150"/>
        <v>0</v>
      </c>
      <c r="CY30" s="535">
        <f t="shared" si="151"/>
        <v>6.59</v>
      </c>
      <c r="CZ30" s="535">
        <f t="shared" si="152"/>
        <v>6.565924941879774</v>
      </c>
      <c r="DA30" s="535">
        <f>IF(OR(Sheet1!ER28="FM", Sheet1!ER28="OTHER"),SUM(Sheet1!BK28:'Sheet1'!BM28),0)</f>
        <v>0</v>
      </c>
      <c r="DB30" s="1011">
        <f>IF(AND($B30&gt;=$FV30,$B30&lt;=$FW30),MAX($CT30,Sheet1!EK28,0),MAX($CT30-(7/36)*$K30,0))</f>
        <v>0</v>
      </c>
      <c r="DC30" s="1012">
        <f t="shared" si="153"/>
        <v>0</v>
      </c>
      <c r="DD30" s="1011">
        <f t="shared" si="183"/>
        <v>6.565924941879774</v>
      </c>
      <c r="DE30" s="521">
        <f>IF(AND($O30&gt;0,Sheet1!EO28=1),(1-($O30-Sheet1!$L28)/$O30)*CZ30,0)</f>
        <v>0</v>
      </c>
      <c r="DF30" s="521">
        <f>IF(AND(Sheet1!$L28=0,Sheet1!$L27=0, Calculation!CY30&lt;Sheet1!$EK28-0.1,Sheet1!$EK28=Sheet1!$EK27,Sheet1!$EK28=Sheet1!$EK29),CZ30-DE30,CZ30-DE30)</f>
        <v>6.565924941879774</v>
      </c>
      <c r="DG30" s="1040">
        <f t="shared" si="109"/>
        <v>12.568888888888889</v>
      </c>
      <c r="DH30" s="649">
        <f t="shared" si="154"/>
        <v>10.61</v>
      </c>
      <c r="DI30" s="535">
        <f t="shared" si="155"/>
        <v>0</v>
      </c>
      <c r="DJ30" s="649">
        <f t="shared" si="156"/>
        <v>10.571238791099303</v>
      </c>
      <c r="DK30" s="535">
        <f ca="1">IF(B30&gt;Summary!$A$1,#N/A,DI30*MGtoAF)</f>
        <v>0</v>
      </c>
      <c r="DL30" s="649">
        <f t="shared" si="157"/>
        <v>10.61</v>
      </c>
      <c r="DM30" s="535">
        <f t="shared" si="158"/>
        <v>30.11</v>
      </c>
      <c r="DN30" s="535">
        <f>Sheet1!AB28-DM30</f>
        <v>-0.10999999999999943</v>
      </c>
      <c r="DO30" s="743">
        <f t="shared" si="159"/>
        <v>-3.6532713384257532E-3</v>
      </c>
      <c r="DP30" s="535">
        <f>(VLOOKUP(Sheet1!DC28,hhdcap_wcm,4)-(((VLOOKUP(Sheet1!DC28,hhdcap_wcm,3)-Sheet1!DC28)/(VLOOKUP(Sheet1!DC28,hhdcap_wcm,3)-VLOOKUP(Sheet1!DC28,hhdcap_wcm,1)))*(VLOOKUP(Sheet1!DC28,hhdcap_wcm,4)-VLOOKUP(Sheet1!DC28,hhdcap_wcm,2))))</f>
        <v>1227.2000000035653</v>
      </c>
      <c r="DQ30" s="535">
        <f t="shared" si="160"/>
        <v>-367.30000000062978</v>
      </c>
      <c r="DR30" s="535">
        <f t="shared" si="161"/>
        <v>-185.22440746375679</v>
      </c>
      <c r="DS30" s="535">
        <f>Sheet1!EA28*AFtoMG</f>
        <v>0</v>
      </c>
      <c r="DT30" s="535">
        <f>Sheet1!EB28*AFtoMG</f>
        <v>0</v>
      </c>
      <c r="DU30" s="535">
        <f>Sheet1!EC28*AFtoMG</f>
        <v>0</v>
      </c>
      <c r="DV30" s="535">
        <f>Sheet1!ED28*AFtoMG</f>
        <v>0</v>
      </c>
      <c r="DW30" s="535">
        <f t="shared" si="162"/>
        <v>0</v>
      </c>
      <c r="DX30" s="535">
        <f t="shared" si="163"/>
        <v>0</v>
      </c>
      <c r="DY30" s="535">
        <f t="shared" si="164"/>
        <v>0</v>
      </c>
      <c r="DZ30" s="535">
        <f t="shared" si="165"/>
        <v>0</v>
      </c>
      <c r="EA30" s="535"/>
      <c r="EB30" s="521">
        <f>IF(OR(B30&lt;FV30,B30&gt;FW30),(MIN(BF30+BY30+CT30+MAX(Sheet1!AA28+AQ30-73,0),K30)),0)</f>
        <v>10.571238791099303</v>
      </c>
      <c r="EC30" s="535"/>
      <c r="ED30" s="535">
        <f t="shared" si="166"/>
        <v>10.571238791099303</v>
      </c>
      <c r="EE30" s="535"/>
      <c r="EF30" s="535">
        <f>Sheet1!EH28+Sheet1!EI28+Sheet1!EJ28+Sheet1!EK28</f>
        <v>10.5</v>
      </c>
      <c r="EG30" s="1019">
        <f t="shared" si="110"/>
        <v>16.243500000000001</v>
      </c>
      <c r="EH30" s="521">
        <f t="shared" si="167"/>
        <v>0</v>
      </c>
      <c r="EI30" s="535">
        <f>IF(Sheet1!ET28=1,SUM('Calculations II'!AT30:BA30)+'Calculations II'!BC30+Sheet1!BV28+'Calculations II'!BE30+AP30,'Calculations II'!BK30)</f>
        <v>45.371023208900702</v>
      </c>
      <c r="EJ30" s="535">
        <f ca="1">EI30+'Calculations II'!D30+'Calculations II'!E30+'Calculations II'!O30</f>
        <v>44.675254452486747</v>
      </c>
      <c r="EK30" s="535"/>
      <c r="EL30" s="535"/>
      <c r="EM30" s="535">
        <f t="shared" si="168"/>
        <v>42754</v>
      </c>
      <c r="EN30" s="535">
        <f t="shared" si="169"/>
        <v>0</v>
      </c>
      <c r="EO30" s="535">
        <f t="shared" si="170"/>
        <v>0</v>
      </c>
      <c r="EP30" s="535">
        <v>0</v>
      </c>
      <c r="EQ30" s="535">
        <v>0</v>
      </c>
      <c r="ER30" s="535">
        <v>0</v>
      </c>
      <c r="ES30" s="521">
        <f t="shared" si="71"/>
        <v>-0.27689906506354361</v>
      </c>
      <c r="ET30" s="535">
        <f>-(VLOOKUP(Sheet1!BQ28,Lookup!$O$4:$Q$262,2)-VLOOKUP(Sheet1!BQ27,Lookup!$O$4:$Q$262,2))/1000000</f>
        <v>-0.13842710645417497</v>
      </c>
      <c r="EU30" s="535">
        <f>-(VLOOKUP(Sheet1!BR28,Lookup!$O$4:$Q$262,3)-VLOOKUP(Sheet1!BR27,Lookup!$O$4:$Q$262,3))/1000000</f>
        <v>-0.13847195860936864</v>
      </c>
      <c r="EV30" s="535"/>
      <c r="EW30" s="535"/>
      <c r="EX30" s="535"/>
      <c r="EY30" s="535"/>
      <c r="EZ30" s="535"/>
      <c r="FA30" s="535"/>
      <c r="FB30" s="535"/>
      <c r="FC30" s="535"/>
      <c r="FD30" s="567" t="e">
        <f t="shared" si="171"/>
        <v>#N/A</v>
      </c>
      <c r="FE30" s="567" t="e">
        <f t="shared" si="172"/>
        <v>#N/A</v>
      </c>
      <c r="FF30" s="568" t="e">
        <f t="shared" si="173"/>
        <v>#N/A</v>
      </c>
      <c r="FG30" s="569" t="s">
        <v>656</v>
      </c>
      <c r="FH30" s="569" t="s">
        <v>656</v>
      </c>
      <c r="FI30" s="567" t="e">
        <v>#N/A</v>
      </c>
      <c r="FJ30" s="567" t="e">
        <v>#N/A</v>
      </c>
      <c r="FK30" s="535"/>
      <c r="FL30" s="1015">
        <v>0</v>
      </c>
      <c r="FM30" s="535"/>
      <c r="FN30" s="535"/>
      <c r="FO30" s="535">
        <f>O30+((Sheet1!CS28)*GPMtoMGD)</f>
        <v>56.58</v>
      </c>
      <c r="FP30" s="535">
        <f>IF(Sheet1!AA28+AQ30&lt;=Calculation!N30,AQ30,Calculation!N30-Sheet1!AA28)</f>
        <v>19.428761208900699</v>
      </c>
      <c r="FQ30" s="535">
        <f>(Sheet1!BP28+Sheet1!BO28)/694.4</f>
        <v>1.4161866359447004</v>
      </c>
      <c r="FR30" s="541"/>
      <c r="FS30" s="541"/>
      <c r="FT30" s="541"/>
      <c r="FU30" s="541"/>
      <c r="FV30" s="1109">
        <f t="shared" si="74"/>
        <v>42918</v>
      </c>
      <c r="FW30" s="1109">
        <f t="shared" si="75"/>
        <v>43027</v>
      </c>
      <c r="FX30" s="541"/>
      <c r="FY30" s="541">
        <f>Sheet1!DA28-Sheet1!CZ28-Sheet1!AE28</f>
        <v>725.67302999999959</v>
      </c>
      <c r="FZ30" s="535">
        <f t="shared" si="111"/>
        <v>0.82955335767433847</v>
      </c>
      <c r="GA30" s="535"/>
      <c r="GB30" s="535" t="str">
        <f t="shared" si="76"/>
        <v>n</v>
      </c>
      <c r="GC30" s="539">
        <f t="shared" si="77"/>
        <v>42782</v>
      </c>
      <c r="GD30" s="1109">
        <f t="shared" si="78"/>
        <v>42904</v>
      </c>
      <c r="GE30" s="535">
        <f t="shared" si="95"/>
        <v>6520</v>
      </c>
      <c r="GF30" s="1109">
        <f t="shared" si="79"/>
        <v>42909</v>
      </c>
      <c r="GG30" s="535">
        <f t="shared" si="174"/>
        <v>3260</v>
      </c>
      <c r="GH30" s="539">
        <f t="shared" si="80"/>
        <v>43040</v>
      </c>
      <c r="GJ30" s="521">
        <f t="shared" si="81"/>
        <v>0</v>
      </c>
      <c r="GK30" s="535" t="str">
        <f t="shared" si="175"/>
        <v/>
      </c>
      <c r="GL30" s="535">
        <f t="shared" si="82"/>
        <v>0</v>
      </c>
      <c r="GM30" s="535" t="str">
        <f t="shared" si="83"/>
        <v/>
      </c>
      <c r="GN30" s="535">
        <f>IF(GK30="P",Lookup!$M$12,IF(GK30="PP",Lookup!$M$13,IF(GK30="PPP",Lookup!$M$14,IF(GK30="T",Lookup!$M$15,IF(GK30="TP",Lookup!$M$16,IF(GK30="TPP",Lookup!$M$17,IF(GK30="TPPP",Lookup!$M$18,0)))))))*GJ30</f>
        <v>0</v>
      </c>
      <c r="GO30" s="535">
        <f t="shared" si="84"/>
        <v>0</v>
      </c>
      <c r="GP30" s="535">
        <f t="shared" si="176"/>
        <v>0</v>
      </c>
      <c r="GQ30" s="535">
        <f t="shared" si="94"/>
        <v>0</v>
      </c>
      <c r="GR30" s="535"/>
      <c r="GS30" s="535">
        <f t="shared" si="85"/>
        <v>0</v>
      </c>
      <c r="GT30" s="535" t="str">
        <f t="shared" si="86"/>
        <v/>
      </c>
      <c r="GU30" s="535">
        <f>IF(GK30="P",Lookup!$N$12,IF(GK30="PP",Lookup!$N$13,IF(GK30="PPP",Lookup!$N$14,IF(GK30="T",Lookup!$N$15,IF(GK30="TP",Lookup!$N$16,IF(GK30="TPP",Lookup!$N$17,IF(GK30="TPPP",Lookup!$N$18,0)))))))*GJ30</f>
        <v>0</v>
      </c>
      <c r="GV30" s="535">
        <f t="shared" si="53"/>
        <v>0</v>
      </c>
      <c r="GW30" s="535">
        <f t="shared" si="177"/>
        <v>0</v>
      </c>
      <c r="GX30" s="535">
        <f t="shared" si="91"/>
        <v>0</v>
      </c>
      <c r="GY30" s="535"/>
      <c r="GZ30" s="535">
        <f t="shared" si="87"/>
        <v>0</v>
      </c>
      <c r="HA30" s="535" t="str">
        <f t="shared" si="88"/>
        <v/>
      </c>
      <c r="HB30" s="535">
        <f>IF(GK30="P",Lookup!$N$12,IF(GK30="PP",Lookup!$N$13,IF(GK30="PPP",Lookup!$N$14,IF(GK30="T",Lookup!$N$15,IF(GK30="TP",Lookup!$N$16,IF(GK30="TPP",Lookup!$N$17,IF(GK30="TPPP",Lookup!$N$18,0)))))))*GJ30</f>
        <v>0</v>
      </c>
      <c r="HC30" s="521">
        <f t="shared" si="178"/>
        <v>0</v>
      </c>
      <c r="HD30" s="535">
        <f t="shared" si="179"/>
        <v>0</v>
      </c>
      <c r="HE30" s="535">
        <f t="shared" si="92"/>
        <v>0</v>
      </c>
      <c r="HF30" s="535"/>
      <c r="HG30" s="535">
        <f t="shared" si="89"/>
        <v>0</v>
      </c>
      <c r="HH30" s="535" t="str">
        <f t="shared" si="90"/>
        <v/>
      </c>
      <c r="HI30" s="535">
        <f>IF(GK30="P",Lookup!$N$12,IF(GK30="PP",Lookup!$N$13,IF(GK30="PPP",Lookup!$N$14,IF(GK30="T",Lookup!$N$15,IF(GK30="TP",Lookup!$N$16,IF(GK30="TPP",Lookup!$N$17,IF(GK30="TPPP",Lookup!$N$18,0)))))))*GJ30</f>
        <v>0</v>
      </c>
      <c r="HJ30" s="521">
        <f t="shared" si="180"/>
        <v>0</v>
      </c>
      <c r="HK30" s="535">
        <f t="shared" si="181"/>
        <v>0</v>
      </c>
      <c r="HL30" s="535">
        <f t="shared" si="93"/>
        <v>0</v>
      </c>
      <c r="HM30" s="535"/>
      <c r="HN30" s="541"/>
      <c r="HO30" s="541"/>
      <c r="HP30" s="541"/>
      <c r="HQ30" s="541">
        <f>IF(AND(B30&gt;=$FV$4,B30&lt;=$FW$4),MAX(110/1.02+$HQ$6+MIN(113/1.02,G30),IF($HV$6-(Sheet1!DA28-Sheet1!DB28)+MIN(113/1.02,G30)&lt;G30+FL30,$HV$6-(Sheet1!DA28-Sheet1!DB28)+MIN(113/1.02,G30),G30+FL30)),MIN(110/1.02+$HQ$6+113/1.02,G30))</f>
        <v>218.62745098039215</v>
      </c>
      <c r="HR30" s="541">
        <f t="shared" si="112"/>
        <v>223</v>
      </c>
      <c r="HS30" s="541">
        <f>HR30+(Sheet1!DA28-Sheet1!DB28)</f>
        <v>1138</v>
      </c>
      <c r="HT30" s="541">
        <f t="shared" si="113"/>
        <v>0</v>
      </c>
      <c r="HU30" s="541">
        <f t="shared" si="114"/>
        <v>1138</v>
      </c>
      <c r="HV30" s="541">
        <f t="shared" si="115"/>
        <v>0</v>
      </c>
      <c r="HW30" s="533" t="str">
        <f t="shared" si="116"/>
        <v/>
      </c>
      <c r="HX30" s="541">
        <f t="shared" si="117"/>
        <v>841.37254901960785</v>
      </c>
      <c r="HY30" s="541">
        <f>Sheet1!CZ28</f>
        <v>1060</v>
      </c>
      <c r="HZ30" s="541">
        <f t="shared" si="118"/>
        <v>0</v>
      </c>
      <c r="IA30" s="541">
        <f t="shared" si="119"/>
        <v>0</v>
      </c>
      <c r="IB30" s="541">
        <f t="shared" si="120"/>
        <v>1060</v>
      </c>
      <c r="IC30" s="1019" t="str">
        <f t="shared" si="121"/>
        <v/>
      </c>
      <c r="ID30" s="541">
        <f t="shared" si="122"/>
        <v>1060</v>
      </c>
      <c r="IE30" s="541">
        <f>Sheet1!DB28</f>
        <v>955</v>
      </c>
      <c r="IF30" s="533">
        <f>Sheet1!DA28</f>
        <v>1870</v>
      </c>
      <c r="IH30" s="541">
        <f>IF(AND($B30&gt;=$GC30,$B30&lt;=$GH30,$DR30&lt;0)+N("only adjusted when pool is drawn down during storage season"),Sheet1!$DB28+$DR30+N("Palmer minus all storage release"),Sheet1!$DB28)</f>
        <v>955</v>
      </c>
      <c r="II30" s="541">
        <f>IF(AND($B30&gt;=$GC30,$B30&lt;=$GH30,$DR30&lt;0)+N("only adjusted when pool is drawn down during storage season"),Sheet1!$DA28+$DR30+N("Auburn minus all storage release"),Sheet1!$DA28)</f>
        <v>1870</v>
      </c>
    </row>
    <row r="31" spans="1:243" x14ac:dyDescent="0.25">
      <c r="A31" s="553" t="s">
        <v>8</v>
      </c>
      <c r="B31" s="531">
        <v>42755</v>
      </c>
      <c r="C31" s="536">
        <v>0</v>
      </c>
      <c r="D31" s="506">
        <f t="shared" si="0"/>
        <v>300</v>
      </c>
      <c r="E31" s="506">
        <f t="shared" si="1"/>
        <v>250</v>
      </c>
      <c r="F31" s="506">
        <v>250</v>
      </c>
      <c r="G31" s="535">
        <f>DR31+Sheet1!CZ29</f>
        <v>663.58799798285429</v>
      </c>
      <c r="H31" s="1074">
        <f t="shared" si="96"/>
        <v>241.489312896</v>
      </c>
      <c r="I31" s="534">
        <f>IF(Sheet1!DA29&gt;=E31,(Sheet1!DA29-E31+P31)*CFStoMGD,0)</f>
        <v>787.050912896</v>
      </c>
      <c r="J31" s="995">
        <f>IF(Sheet1!DB29&gt;=D31,(Sheet1!DB29-D31+P31)*CFStoMGD,0)</f>
        <v>241.489312896</v>
      </c>
      <c r="K31" s="818">
        <f t="shared" si="97"/>
        <v>64.64</v>
      </c>
      <c r="L31" s="535">
        <f>Sheet1!AA29+Sheet1!AB29-Sheet1!L29+(Sheet1!DA29-F31)*CFStoMGD-S31-T31-U31</f>
        <v>730.42199999999798</v>
      </c>
      <c r="M31" s="535">
        <f t="shared" si="123"/>
        <v>437.52214753403939</v>
      </c>
      <c r="N31" s="824">
        <f>IF(Sheet1!DA29&gt;=F31,MIN(113*CFStoMGD,MIN(MAX(L31,0),MAX(M31,0))),0)</f>
        <v>73.043199999999999</v>
      </c>
      <c r="O31" s="538">
        <f>Sheet1!AA29+Sheet1!AB29</f>
        <v>56.620000000000005</v>
      </c>
      <c r="P31" s="538">
        <f t="shared" si="124"/>
        <v>87.591139999999996</v>
      </c>
      <c r="Q31" s="812">
        <f t="shared" si="98"/>
        <v>0</v>
      </c>
      <c r="R31" s="812">
        <f t="shared" si="59"/>
        <v>10.590577305905773</v>
      </c>
      <c r="S31" s="812">
        <f t="shared" si="60"/>
        <v>56.620000000000005</v>
      </c>
      <c r="T31" s="812">
        <f t="shared" si="61"/>
        <v>0</v>
      </c>
      <c r="U31" s="812">
        <f t="shared" si="99"/>
        <v>0</v>
      </c>
      <c r="V31" s="812"/>
      <c r="W31" s="812">
        <f t="shared" si="62"/>
        <v>54.049422694094226</v>
      </c>
      <c r="X31" s="812">
        <f t="shared" si="63"/>
        <v>56.620000000000005</v>
      </c>
      <c r="Y31" s="812" t="str">
        <f t="shared" si="64"/>
        <v/>
      </c>
      <c r="Z31" s="812">
        <f t="shared" si="65"/>
        <v>56.620000000000005</v>
      </c>
      <c r="AA31" s="812">
        <f t="shared" si="66"/>
        <v>56.620000000000005</v>
      </c>
      <c r="AB31" s="1059">
        <f t="shared" si="100"/>
        <v>0</v>
      </c>
      <c r="AC31" s="538">
        <f>Sheet1!Y29*MGDtoCFS</f>
        <v>41.119259999999997</v>
      </c>
      <c r="AD31" s="538">
        <f>Sheet1!Z29*MGDtoCFS</f>
        <v>46.41</v>
      </c>
      <c r="AE31" s="538">
        <f>Sheet1!AA29*MGDtoCFS</f>
        <v>41.181139999999999</v>
      </c>
      <c r="AF31" s="538">
        <f>Sheet1!AB29*MGDtoCFS</f>
        <v>46.41</v>
      </c>
      <c r="AG31" s="538">
        <f>Sheet1!L29*MGDtoCFS</f>
        <v>1.5470000003151654E-2</v>
      </c>
      <c r="AH31" s="521">
        <f t="shared" si="125"/>
        <v>0</v>
      </c>
      <c r="AI31" s="1059">
        <f t="shared" si="126"/>
        <v>0</v>
      </c>
      <c r="AJ31" s="535">
        <f t="shared" si="127"/>
        <v>0</v>
      </c>
      <c r="AK31" s="535">
        <f t="shared" si="128"/>
        <v>0</v>
      </c>
      <c r="AL31" s="535">
        <f>(VLOOKUP(Sheet1!DC29,hhdcap_wcm,4)-(((VLOOKUP(Sheet1!DC29,hhdcap_wcm,3)-Sheet1!DC29)/(VLOOKUP(Sheet1!DC29,hhdcap_wcm,3)-VLOOKUP(Sheet1!DC29,hhdcap_wcm,1)))*(VLOOKUP(Sheet1!DC29,hhdcap_wcm,4)-VLOOKUP(Sheet1!DC29,hhdcap_wcm,2))))</f>
        <v>1224.4000000035653</v>
      </c>
      <c r="AM31" s="535">
        <f t="shared" si="129"/>
        <v>-2.7999999999999545</v>
      </c>
      <c r="AN31" s="1035">
        <f t="shared" si="130"/>
        <v>0</v>
      </c>
      <c r="AO31" s="535">
        <f t="shared" si="131"/>
        <v>0</v>
      </c>
      <c r="AP31" s="535">
        <f>Sheet1!BA29+Sheet1!BB29+Sheet1!BN29+CD31</f>
        <v>19.5</v>
      </c>
      <c r="AQ31" s="535">
        <f>Sheet1!BN29+(DO31*Sheet1!BN29)</f>
        <v>19.409422694094225</v>
      </c>
      <c r="AR31" s="535">
        <f>Sheet1!BA29+CD31</f>
        <v>0</v>
      </c>
      <c r="AS31" s="535">
        <f>Sheet1!BA29+Sheet1!BB29+CD31</f>
        <v>0</v>
      </c>
      <c r="AT31" s="649">
        <f>0</f>
        <v>0</v>
      </c>
      <c r="AU31" s="535">
        <f>IF(EB31&lt;K31,0,MAX(Sheet1!AA29+AQ31-15/36*K31-N31,Sheet1!EH29,0))</f>
        <v>0</v>
      </c>
      <c r="AV31" s="535">
        <f>IF(OR(B31&gt;=GD31,B31&lt;GC31),0,15/36*K31-MAX(0,64.6-(137.6-(Sheet1!AA29+Sheet1!AB29))))</f>
        <v>0</v>
      </c>
      <c r="AW31" s="1029"/>
      <c r="AX31" s="649"/>
      <c r="AY31" s="649">
        <f t="shared" si="101"/>
        <v>0</v>
      </c>
      <c r="AZ31" s="649">
        <f t="shared" si="102"/>
        <v>0</v>
      </c>
      <c r="BA31" s="1059">
        <f t="shared" si="103"/>
        <v>0</v>
      </c>
      <c r="BB31" s="1019">
        <f t="shared" si="132"/>
        <v>0</v>
      </c>
      <c r="BC31" s="1041">
        <f t="shared" si="104"/>
        <v>26.933333333333334</v>
      </c>
      <c r="BD31" s="1019">
        <f ca="1">IF(B31&gt;Summary!$A$1,#N/A,BB31*MGtoAF)</f>
        <v>0</v>
      </c>
      <c r="BE31" s="535">
        <f>Sheet1!BG29+Sheet1!BH29+Sheet1!BI29-BM31</f>
        <v>1.02</v>
      </c>
      <c r="BF31" s="535">
        <f t="shared" si="133"/>
        <v>1.0152621101526211</v>
      </c>
      <c r="BG31" s="535">
        <f>IF(Sheet1!EP29="FM",BM31,0)</f>
        <v>0</v>
      </c>
      <c r="BH31" s="535">
        <f t="shared" si="134"/>
        <v>0</v>
      </c>
      <c r="BI31" s="535">
        <f>IF(Sheet1!EP29="OTHER",BM31,0)</f>
        <v>0</v>
      </c>
      <c r="BJ31" s="535">
        <f t="shared" si="135"/>
        <v>0</v>
      </c>
      <c r="BK31" s="535">
        <f t="shared" si="136"/>
        <v>1.02</v>
      </c>
      <c r="BL31" s="535">
        <f t="shared" si="137"/>
        <v>1.0152621101526211</v>
      </c>
      <c r="BM31" s="535">
        <f>IF(OR(Sheet1!EP29="FM", Sheet1!EP29="OTHER"),SUM(Sheet1!BG29:'Sheet1'!BI29),0)</f>
        <v>0</v>
      </c>
      <c r="BN31" s="521">
        <f>IF(AND($B31&gt;=$FV31,$B31&lt;=$FW31),MAX(BF31,Sheet1!EI29,0),MAX(BF31-(7/36)*$K31,0))</f>
        <v>0</v>
      </c>
      <c r="BO31" s="535">
        <f t="shared" si="138"/>
        <v>0</v>
      </c>
      <c r="BP31" s="521">
        <f t="shared" si="184"/>
        <v>1.0152621101526211</v>
      </c>
      <c r="BQ31" s="521">
        <f>IF(AND($O31&gt;0,Sheet1!EM29=1),(1-($O31-Sheet1!$L29)/$O31)*BL31,0)</f>
        <v>0</v>
      </c>
      <c r="BR31" s="521">
        <f>IF(AND(Sheet1!$L29=0,Sheet1!$L28=0, Calculation!BK31&lt;Sheet1!$EI29-0.1,Sheet1!$EI29=Sheet1!$EI28,Sheet1!$EI29=Sheet1!$EI30),BL31-BQ31,BL31-BQ31)</f>
        <v>1.0152621101526211</v>
      </c>
      <c r="BS31" s="1035" t="str">
        <f t="shared" si="105"/>
        <v/>
      </c>
      <c r="BT31" s="1035">
        <f t="shared" si="106"/>
        <v>12.568888888888889</v>
      </c>
      <c r="BU31" s="535">
        <f t="shared" si="139"/>
        <v>0</v>
      </c>
      <c r="BV31" s="535"/>
      <c r="BW31" s="535">
        <f ca="1">IF(B31&gt;Summary!$A$1,#N/A,BU31*MGtoAF)</f>
        <v>0</v>
      </c>
      <c r="BX31" s="535">
        <f>Sheet1!BC29+Sheet1!BD29+Sheet1!BE29+Sheet1!BF29-CG31-CH31</f>
        <v>2.99</v>
      </c>
      <c r="BY31" s="535">
        <f t="shared" si="140"/>
        <v>2.9761114797611148</v>
      </c>
      <c r="BZ31" s="535">
        <f>IF(Sheet1!EQ29="FM",CH31,0)</f>
        <v>0</v>
      </c>
      <c r="CA31" s="535">
        <f t="shared" si="141"/>
        <v>0</v>
      </c>
      <c r="CB31" s="535">
        <f>IF(Sheet1!EQ29="OTHER",CH31,0)</f>
        <v>0</v>
      </c>
      <c r="CC31" s="535">
        <f t="shared" si="142"/>
        <v>0</v>
      </c>
      <c r="CD31" s="535">
        <f t="shared" si="143"/>
        <v>0</v>
      </c>
      <c r="CE31" s="535">
        <f t="shared" si="144"/>
        <v>2.99</v>
      </c>
      <c r="CF31" s="535">
        <f t="shared" si="145"/>
        <v>2.9761114797611148</v>
      </c>
      <c r="CG31" s="535">
        <f>IF(Sheet1!EQ29="CWA",SUM(Sheet1!BC29:'Sheet1'!BF29),0)</f>
        <v>0</v>
      </c>
      <c r="CH31" s="535">
        <f>IF(OR(Sheet1!EQ29="FM", Sheet1!EQ29="OTHER"),SUM(Sheet1!BC29:'Sheet1'!BF29),0)</f>
        <v>0</v>
      </c>
      <c r="CI31" s="521">
        <f>IF(AND($B31&gt;=$FV31,$B31&lt;=$FW31),MAX(CF31,Sheet1!EJ29,0),MAX(CF31-(7/36)*$K31,0))</f>
        <v>0</v>
      </c>
      <c r="CJ31" s="535">
        <f t="shared" si="146"/>
        <v>0</v>
      </c>
      <c r="CK31" s="521">
        <f t="shared" si="182"/>
        <v>2.9761114797611148</v>
      </c>
      <c r="CL31" s="521">
        <f>IF(AND($O31&gt;0,Sheet1!EN29=1),(1-($O31-Sheet1!$L29)/$O31)*CF31,0)</f>
        <v>0</v>
      </c>
      <c r="CM31" s="521">
        <f>IF(AND(Sheet1!$L29=0,Sheet1!$L28=0, Calculation!CE31&lt;Sheet1!EJ29-0.1,Sheet1!EJ29=Sheet1!EJ28,Sheet1!EJ29=Sheet1!EJ30),CF31-CL31,CF31-CL31)</f>
        <v>2.9761114797611148</v>
      </c>
      <c r="CN31" s="1040" t="str">
        <f t="shared" si="107"/>
        <v/>
      </c>
      <c r="CO31" s="1035">
        <f t="shared" si="108"/>
        <v>12.568888888888889</v>
      </c>
      <c r="CP31" s="535">
        <f t="shared" si="147"/>
        <v>0</v>
      </c>
      <c r="CQ31" s="535"/>
      <c r="CR31" s="535">
        <f ca="1">IF(B31&gt;Summary!$A$1,#N/A,CP31*MGtoAF)</f>
        <v>0</v>
      </c>
      <c r="CS31" s="535">
        <f>Sheet1!BK29+Sheet1!BL29+Sheet1!BM29-Sheet1!ER29-DA31</f>
        <v>6.63</v>
      </c>
      <c r="CT31" s="535">
        <f t="shared" si="148"/>
        <v>6.5992037159920374</v>
      </c>
      <c r="CU31" s="535">
        <f>IF(Sheet1!ER29="FM",DA31,0)</f>
        <v>0</v>
      </c>
      <c r="CV31" s="535">
        <f t="shared" si="149"/>
        <v>0</v>
      </c>
      <c r="CW31" s="535">
        <f>IF(Sheet1!ER29="OTHER",DA31,0)</f>
        <v>0</v>
      </c>
      <c r="CX31" s="535">
        <f t="shared" si="150"/>
        <v>0</v>
      </c>
      <c r="CY31" s="535">
        <f t="shared" si="151"/>
        <v>6.63</v>
      </c>
      <c r="CZ31" s="535">
        <f t="shared" si="152"/>
        <v>6.5992037159920374</v>
      </c>
      <c r="DA31" s="535">
        <f>IF(OR(Sheet1!ER29="FM", Sheet1!ER29="OTHER"),SUM(Sheet1!BK29:'Sheet1'!BM29),0)</f>
        <v>0</v>
      </c>
      <c r="DB31" s="1011">
        <f>IF(AND($B31&gt;=$FV31,$B31&lt;=$FW31),MAX($CT31,Sheet1!EK29,0),MAX($CT31-(7/36)*$K31,0))</f>
        <v>0</v>
      </c>
      <c r="DC31" s="1012">
        <f t="shared" si="153"/>
        <v>0</v>
      </c>
      <c r="DD31" s="1011">
        <f t="shared" si="183"/>
        <v>6.5992037159920374</v>
      </c>
      <c r="DE31" s="521">
        <f>IF(AND($O31&gt;0,Sheet1!EO29=1),(1-($O31-Sheet1!$L29)/$O31)*CZ31,0)</f>
        <v>0</v>
      </c>
      <c r="DF31" s="521">
        <f>IF(AND(Sheet1!$L29=0,Sheet1!$L28=0, Calculation!CY31&lt;Sheet1!$EK29-0.1,Sheet1!$EK29=Sheet1!$EK28,Sheet1!$EK29=Sheet1!$EK30),CZ31-DE31,CZ31-DE31)</f>
        <v>6.5992037159920374</v>
      </c>
      <c r="DG31" s="1040">
        <f t="shared" si="109"/>
        <v>12.568888888888889</v>
      </c>
      <c r="DH31" s="649">
        <f t="shared" si="154"/>
        <v>10.64</v>
      </c>
      <c r="DI31" s="535">
        <f t="shared" si="155"/>
        <v>0</v>
      </c>
      <c r="DJ31" s="649">
        <f t="shared" si="156"/>
        <v>10.590577305905773</v>
      </c>
      <c r="DK31" s="535">
        <f ca="1">IF(B31&gt;Summary!$A$1,#N/A,DI31*MGtoAF)</f>
        <v>0</v>
      </c>
      <c r="DL31" s="649">
        <f t="shared" si="157"/>
        <v>10.64</v>
      </c>
      <c r="DM31" s="535">
        <f t="shared" si="158"/>
        <v>30.14</v>
      </c>
      <c r="DN31" s="535">
        <f>Sheet1!AB29-DM31</f>
        <v>-0.14000000000000057</v>
      </c>
      <c r="DO31" s="743">
        <f t="shared" si="159"/>
        <v>-4.6449900464499193E-3</v>
      </c>
      <c r="DP31" s="535">
        <f>(VLOOKUP(Sheet1!DC29,hhdcap_wcm,4)-(((VLOOKUP(Sheet1!DC29,hhdcap_wcm,3)-Sheet1!DC29)/(VLOOKUP(Sheet1!DC29,hhdcap_wcm,3)-VLOOKUP(Sheet1!DC29,hhdcap_wcm,1)))*(VLOOKUP(Sheet1!DC29,hhdcap_wcm,4)-VLOOKUP(Sheet1!DC29,hhdcap_wcm,2))))</f>
        <v>1224.4000000035653</v>
      </c>
      <c r="DQ31" s="535">
        <f t="shared" si="160"/>
        <v>-2.7999999999999545</v>
      </c>
      <c r="DR31" s="535">
        <f t="shared" si="161"/>
        <v>-1.4120020171457157</v>
      </c>
      <c r="DS31" s="535">
        <f>Sheet1!EA29*AFtoMG</f>
        <v>0</v>
      </c>
      <c r="DT31" s="535">
        <f>Sheet1!EB29*AFtoMG</f>
        <v>0</v>
      </c>
      <c r="DU31" s="535">
        <f>Sheet1!EC29*AFtoMG</f>
        <v>0</v>
      </c>
      <c r="DV31" s="535">
        <f>Sheet1!ED29*AFtoMG</f>
        <v>0</v>
      </c>
      <c r="DW31" s="535">
        <f t="shared" si="162"/>
        <v>0</v>
      </c>
      <c r="DX31" s="535">
        <f t="shared" si="163"/>
        <v>0</v>
      </c>
      <c r="DY31" s="535">
        <f t="shared" si="164"/>
        <v>0</v>
      </c>
      <c r="DZ31" s="535">
        <f t="shared" si="165"/>
        <v>0</v>
      </c>
      <c r="EA31" s="535"/>
      <c r="EB31" s="521">
        <f>IF(OR(B31&lt;FV31,B31&gt;FW31),(MIN(BF31+BY31+CT31+MAX(Sheet1!AA29+AQ31-73,0),K31)),0)</f>
        <v>10.590577305905773</v>
      </c>
      <c r="EC31" s="535"/>
      <c r="ED31" s="535">
        <f t="shared" si="166"/>
        <v>10.590577305905773</v>
      </c>
      <c r="EE31" s="535"/>
      <c r="EF31" s="535">
        <f>Sheet1!EH29+Sheet1!EI29+Sheet1!EJ29+Sheet1!EK29</f>
        <v>10.5</v>
      </c>
      <c r="EG31" s="1019">
        <f t="shared" si="110"/>
        <v>16.243500000000001</v>
      </c>
      <c r="EH31" s="521">
        <f t="shared" si="167"/>
        <v>0</v>
      </c>
      <c r="EI31" s="535">
        <f>IF(Sheet1!ET29=1,SUM('Calculations II'!AT31:BA31)+'Calculations II'!BC31+Sheet1!BV29+'Calculations II'!BE31+AP31,'Calculations II'!BK31)</f>
        <v>42.954466694094222</v>
      </c>
      <c r="EJ31" s="535">
        <f ca="1">EI31+'Calculations II'!D31+'Calculations II'!E31+'Calculations II'!O31</f>
        <v>44.026217602112759</v>
      </c>
      <c r="EK31" s="535"/>
      <c r="EL31" s="535"/>
      <c r="EM31" s="535">
        <f t="shared" si="168"/>
        <v>42755</v>
      </c>
      <c r="EN31" s="535">
        <f t="shared" si="169"/>
        <v>0</v>
      </c>
      <c r="EO31" s="535">
        <f t="shared" si="170"/>
        <v>0</v>
      </c>
      <c r="EP31" s="535">
        <v>0</v>
      </c>
      <c r="EQ31" s="535">
        <v>0</v>
      </c>
      <c r="ER31" s="535">
        <v>0</v>
      </c>
      <c r="ES31" s="521">
        <f t="shared" si="71"/>
        <v>-2.3541386619539484</v>
      </c>
      <c r="ET31" s="535">
        <f>-(VLOOKUP(Sheet1!BQ29,Lookup!$O$4:$Q$262,2)-VLOOKUP(Sheet1!BQ28,Lookup!$O$4:$Q$262,2))/1000000</f>
        <v>-1.2461322911539339</v>
      </c>
      <c r="EU31" s="535">
        <f>-(VLOOKUP(Sheet1!BR29,Lookup!$O$4:$Q$262,3)-VLOOKUP(Sheet1!BR28,Lookup!$O$4:$Q$262,3))/1000000</f>
        <v>-1.1080063708000145</v>
      </c>
      <c r="EV31" s="535"/>
      <c r="EW31" s="535"/>
      <c r="EX31" s="535"/>
      <c r="EY31" s="535"/>
      <c r="EZ31" s="535"/>
      <c r="FA31" s="535"/>
      <c r="FB31" s="535"/>
      <c r="FC31" s="535"/>
      <c r="FD31" s="567" t="e">
        <f t="shared" si="171"/>
        <v>#N/A</v>
      </c>
      <c r="FE31" s="567" t="e">
        <f t="shared" si="172"/>
        <v>#N/A</v>
      </c>
      <c r="FF31" s="568" t="e">
        <f t="shared" si="173"/>
        <v>#N/A</v>
      </c>
      <c r="FG31" s="569" t="s">
        <v>656</v>
      </c>
      <c r="FH31" s="569" t="s">
        <v>656</v>
      </c>
      <c r="FI31" s="567" t="e">
        <v>#N/A</v>
      </c>
      <c r="FJ31" s="567" t="e">
        <v>#N/A</v>
      </c>
      <c r="FK31" s="535"/>
      <c r="FL31" s="1015">
        <v>0</v>
      </c>
      <c r="FM31" s="535"/>
      <c r="FN31" s="535"/>
      <c r="FO31" s="535">
        <f>O31+((Sheet1!CS29)*GPMtoMGD)</f>
        <v>56.620000000000005</v>
      </c>
      <c r="FP31" s="535">
        <f>IF(Sheet1!AA29+AQ31&lt;=Calculation!N31,AQ31,Calculation!N31-Sheet1!AA29)</f>
        <v>19.409422694094225</v>
      </c>
      <c r="FQ31" s="535">
        <f>(Sheet1!BP29+Sheet1!BO29)/694.4</f>
        <v>1.3137960829493087</v>
      </c>
      <c r="FR31" s="541"/>
      <c r="FS31" s="541"/>
      <c r="FT31" s="541"/>
      <c r="FU31" s="541"/>
      <c r="FV31" s="1109">
        <f t="shared" si="74"/>
        <v>42918</v>
      </c>
      <c r="FW31" s="1109">
        <f t="shared" si="75"/>
        <v>43027</v>
      </c>
      <c r="FX31" s="541"/>
      <c r="FY31" s="541">
        <f>Sheet1!DA29-Sheet1!CZ29-Sheet1!AE29</f>
        <v>627.42433000000312</v>
      </c>
      <c r="FZ31" s="535">
        <f t="shared" si="111"/>
        <v>0.94550282992944434</v>
      </c>
      <c r="GA31" s="535"/>
      <c r="GB31" s="535" t="str">
        <f t="shared" si="76"/>
        <v>n</v>
      </c>
      <c r="GC31" s="539">
        <f t="shared" si="77"/>
        <v>42782</v>
      </c>
      <c r="GD31" s="1109">
        <f t="shared" si="78"/>
        <v>42904</v>
      </c>
      <c r="GE31" s="535">
        <f t="shared" si="95"/>
        <v>6520</v>
      </c>
      <c r="GF31" s="1109">
        <f t="shared" si="79"/>
        <v>42909</v>
      </c>
      <c r="GG31" s="535">
        <f t="shared" si="174"/>
        <v>3260</v>
      </c>
      <c r="GH31" s="539">
        <f t="shared" si="80"/>
        <v>43040</v>
      </c>
      <c r="GJ31" s="521">
        <f t="shared" si="81"/>
        <v>0</v>
      </c>
      <c r="GK31" s="535" t="str">
        <f t="shared" si="175"/>
        <v/>
      </c>
      <c r="GL31" s="535">
        <f t="shared" si="82"/>
        <v>0</v>
      </c>
      <c r="GM31" s="535" t="str">
        <f t="shared" si="83"/>
        <v/>
      </c>
      <c r="GN31" s="535">
        <f>IF(GK31="P",Lookup!$M$12,IF(GK31="PP",Lookup!$M$13,IF(GK31="PPP",Lookup!$M$14,IF(GK31="T",Lookup!$M$15,IF(GK31="TP",Lookup!$M$16,IF(GK31="TPP",Lookup!$M$17,IF(GK31="TPPP",Lookup!$M$18,0)))))))*GJ31</f>
        <v>0</v>
      </c>
      <c r="GO31" s="535">
        <f t="shared" si="84"/>
        <v>0</v>
      </c>
      <c r="GP31" s="535">
        <f t="shared" si="176"/>
        <v>0</v>
      </c>
      <c r="GQ31" s="535">
        <f t="shared" si="94"/>
        <v>0</v>
      </c>
      <c r="GR31" s="535"/>
      <c r="GS31" s="535">
        <f t="shared" si="85"/>
        <v>0</v>
      </c>
      <c r="GT31" s="535" t="str">
        <f t="shared" si="86"/>
        <v/>
      </c>
      <c r="GU31" s="535">
        <f>IF(GK31="P",Lookup!$N$12,IF(GK31="PP",Lookup!$N$13,IF(GK31="PPP",Lookup!$N$14,IF(GK31="T",Lookup!$N$15,IF(GK31="TP",Lookup!$N$16,IF(GK31="TPP",Lookup!$N$17,IF(GK31="TPPP",Lookup!$N$18,0)))))))*GJ31</f>
        <v>0</v>
      </c>
      <c r="GV31" s="535">
        <f t="shared" si="53"/>
        <v>0</v>
      </c>
      <c r="GW31" s="535">
        <f t="shared" si="177"/>
        <v>0</v>
      </c>
      <c r="GX31" s="535">
        <f t="shared" si="91"/>
        <v>0</v>
      </c>
      <c r="GY31" s="535"/>
      <c r="GZ31" s="535">
        <f t="shared" si="87"/>
        <v>0</v>
      </c>
      <c r="HA31" s="535" t="str">
        <f t="shared" si="88"/>
        <v/>
      </c>
      <c r="HB31" s="535">
        <f>IF(GK31="P",Lookup!$N$12,IF(GK31="PP",Lookup!$N$13,IF(GK31="PPP",Lookup!$N$14,IF(GK31="T",Lookup!$N$15,IF(GK31="TP",Lookup!$N$16,IF(GK31="TPP",Lookup!$N$17,IF(GK31="TPPP",Lookup!$N$18,0)))))))*GJ31</f>
        <v>0</v>
      </c>
      <c r="HC31" s="521">
        <f t="shared" si="178"/>
        <v>0</v>
      </c>
      <c r="HD31" s="535">
        <f t="shared" si="179"/>
        <v>0</v>
      </c>
      <c r="HE31" s="535">
        <f t="shared" si="92"/>
        <v>0</v>
      </c>
      <c r="HF31" s="535"/>
      <c r="HG31" s="535">
        <f t="shared" si="89"/>
        <v>0</v>
      </c>
      <c r="HH31" s="535" t="str">
        <f t="shared" si="90"/>
        <v/>
      </c>
      <c r="HI31" s="535">
        <f>IF(GK31="P",Lookup!$N$12,IF(GK31="PP",Lookup!$N$13,IF(GK31="PPP",Lookup!$N$14,IF(GK31="T",Lookup!$N$15,IF(GK31="TP",Lookup!$N$16,IF(GK31="TPP",Lookup!$N$17,IF(GK31="TPPP",Lookup!$N$18,0)))))))*GJ31</f>
        <v>0</v>
      </c>
      <c r="HJ31" s="521">
        <f t="shared" si="180"/>
        <v>0</v>
      </c>
      <c r="HK31" s="535">
        <f t="shared" si="181"/>
        <v>0</v>
      </c>
      <c r="HL31" s="535">
        <f t="shared" si="93"/>
        <v>0</v>
      </c>
      <c r="HM31" s="535"/>
      <c r="HN31" s="541"/>
      <c r="HO31" s="541"/>
      <c r="HP31" s="541"/>
      <c r="HQ31" s="541">
        <f>IF(AND(B31&gt;=$FV$4,B31&lt;=$FW$4),MAX(110/1.02+$HQ$6+MIN(113/1.02,G31),IF($HV$6-(Sheet1!DA29-Sheet1!DB29)+MIN(113/1.02,G31)&lt;G31+FL31,$HV$6-(Sheet1!DA29-Sheet1!DB29)+MIN(113/1.02,G31),G31+FL31)),MIN(110/1.02+$HQ$6+113/1.02,G31))</f>
        <v>218.62745098039215</v>
      </c>
      <c r="HR31" s="541">
        <f t="shared" si="112"/>
        <v>223</v>
      </c>
      <c r="HS31" s="541">
        <f>HR31+(Sheet1!DA29-Sheet1!DB29)</f>
        <v>1017</v>
      </c>
      <c r="HT31" s="541">
        <f t="shared" si="113"/>
        <v>0</v>
      </c>
      <c r="HU31" s="541">
        <f t="shared" si="114"/>
        <v>1017</v>
      </c>
      <c r="HV31" s="541">
        <f t="shared" si="115"/>
        <v>0</v>
      </c>
      <c r="HW31" s="533" t="str">
        <f t="shared" si="116"/>
        <v/>
      </c>
      <c r="HX31" s="541">
        <f t="shared" si="117"/>
        <v>446.37254901960785</v>
      </c>
      <c r="HY31" s="541">
        <f>Sheet1!CZ29</f>
        <v>665</v>
      </c>
      <c r="HZ31" s="541">
        <f t="shared" si="118"/>
        <v>0</v>
      </c>
      <c r="IA31" s="541">
        <f t="shared" si="119"/>
        <v>0</v>
      </c>
      <c r="IB31" s="541">
        <f t="shared" si="120"/>
        <v>665</v>
      </c>
      <c r="IC31" s="1019" t="str">
        <f t="shared" si="121"/>
        <v/>
      </c>
      <c r="ID31" s="541">
        <f t="shared" si="122"/>
        <v>665</v>
      </c>
      <c r="IE31" s="541">
        <f>Sheet1!DB29</f>
        <v>586</v>
      </c>
      <c r="IF31" s="533">
        <f>Sheet1!DA29</f>
        <v>1380</v>
      </c>
      <c r="IH31" s="541">
        <f>IF(AND($B31&gt;=$GC31,$B31&lt;=$GH31,$DR31&lt;0)+N("only adjusted when pool is drawn down during storage season"),Sheet1!$DB29+$DR31+N("Palmer minus all storage release"),Sheet1!$DB29)</f>
        <v>586</v>
      </c>
      <c r="II31" s="541">
        <f>IF(AND($B31&gt;=$GC31,$B31&lt;=$GH31,$DR31&lt;0)+N("only adjusted when pool is drawn down during storage season"),Sheet1!$DA29+$DR31+N("Auburn minus all storage release"),Sheet1!$DA29)</f>
        <v>1380</v>
      </c>
    </row>
    <row r="32" spans="1:243" x14ac:dyDescent="0.25">
      <c r="A32" s="553" t="s">
        <v>9</v>
      </c>
      <c r="B32" s="531">
        <v>42756</v>
      </c>
      <c r="C32" s="536">
        <v>0</v>
      </c>
      <c r="D32" s="506">
        <f t="shared" si="0"/>
        <v>300</v>
      </c>
      <c r="E32" s="506">
        <f t="shared" si="1"/>
        <v>250</v>
      </c>
      <c r="F32" s="506">
        <v>250</v>
      </c>
      <c r="G32" s="535">
        <f>DR32+Sheet1!CZ30</f>
        <v>715.70448814918495</v>
      </c>
      <c r="H32" s="1074">
        <f t="shared" si="96"/>
        <v>248.95100543999999</v>
      </c>
      <c r="I32" s="534">
        <f>IF(Sheet1!DA30&gt;=E32,(Sheet1!DA30-E32+P32)*CFStoMGD,0)</f>
        <v>678.80700544000001</v>
      </c>
      <c r="J32" s="995">
        <f>IF(Sheet1!DB30&gt;=D32,(Sheet1!DB30-D32+P32)*CFStoMGD,0)</f>
        <v>248.95100543999999</v>
      </c>
      <c r="K32" s="818">
        <f t="shared" si="97"/>
        <v>64.64</v>
      </c>
      <c r="L32" s="535">
        <f>Sheet1!AA30+Sheet1!AB30-Sheet1!L30+(Sheet1!DA30-F32)*CFStoMGD-S32-T32-U32</f>
        <v>627.00799999999992</v>
      </c>
      <c r="M32" s="535">
        <f t="shared" si="123"/>
        <v>471.88400876242582</v>
      </c>
      <c r="N32" s="824">
        <f>IF(Sheet1!DA30&gt;=F32,MIN(113*CFStoMGD,MIN(MAX(L32,0),MAX(M32,0))),0)</f>
        <v>73.043199999999999</v>
      </c>
      <c r="O32" s="538">
        <f>Sheet1!AA30+Sheet1!AB30</f>
        <v>51.8</v>
      </c>
      <c r="P32" s="538">
        <f t="shared" si="124"/>
        <v>80.134599999999992</v>
      </c>
      <c r="Q32" s="812">
        <f t="shared" si="98"/>
        <v>0</v>
      </c>
      <c r="R32" s="812">
        <f t="shared" si="59"/>
        <v>10.575088408644401</v>
      </c>
      <c r="S32" s="812">
        <f t="shared" si="60"/>
        <v>51.8</v>
      </c>
      <c r="T32" s="812">
        <f t="shared" si="61"/>
        <v>0</v>
      </c>
      <c r="U32" s="812">
        <f t="shared" si="99"/>
        <v>0</v>
      </c>
      <c r="V32" s="812"/>
      <c r="W32" s="812">
        <f t="shared" si="62"/>
        <v>54.064911591355596</v>
      </c>
      <c r="X32" s="812">
        <f t="shared" si="63"/>
        <v>51.8</v>
      </c>
      <c r="Y32" s="812" t="str">
        <f t="shared" si="64"/>
        <v/>
      </c>
      <c r="Z32" s="812">
        <f t="shared" si="65"/>
        <v>51.8</v>
      </c>
      <c r="AA32" s="812">
        <f t="shared" si="66"/>
        <v>51.8</v>
      </c>
      <c r="AB32" s="1059">
        <f t="shared" si="100"/>
        <v>0</v>
      </c>
      <c r="AC32" s="538">
        <f>Sheet1!Y30*MGDtoCFS</f>
        <v>41.181139999999999</v>
      </c>
      <c r="AD32" s="538">
        <f>Sheet1!Z30*MGDtoCFS</f>
        <v>46.41</v>
      </c>
      <c r="AE32" s="538">
        <f>Sheet1!AA30*MGDtoCFS</f>
        <v>41.150199999999998</v>
      </c>
      <c r="AF32" s="538">
        <f>Sheet1!AB30*MGDtoCFS</f>
        <v>38.984399999999994</v>
      </c>
      <c r="AG32" s="538">
        <f>Sheet1!L30*MGDtoCFS</f>
        <v>0</v>
      </c>
      <c r="AH32" s="521">
        <f t="shared" si="125"/>
        <v>0</v>
      </c>
      <c r="AI32" s="1059">
        <f t="shared" si="126"/>
        <v>0</v>
      </c>
      <c r="AJ32" s="535">
        <f t="shared" si="127"/>
        <v>0</v>
      </c>
      <c r="AK32" s="535">
        <f t="shared" si="128"/>
        <v>0</v>
      </c>
      <c r="AL32" s="535">
        <f>(VLOOKUP(Sheet1!DC30,hhdcap_wcm,4)-(((VLOOKUP(Sheet1!DC30,hhdcap_wcm,3)-Sheet1!DC30)/(VLOOKUP(Sheet1!DC30,hhdcap_wcm,3)-VLOOKUP(Sheet1!DC30,hhdcap_wcm,1)))*(VLOOKUP(Sheet1!DC30,hhdcap_wcm,4)-VLOOKUP(Sheet1!DC30,hhdcap_wcm,2))))</f>
        <v>1307.1000000033991</v>
      </c>
      <c r="AM32" s="535">
        <f t="shared" si="129"/>
        <v>82.699999999833835</v>
      </c>
      <c r="AN32" s="1035">
        <f t="shared" si="130"/>
        <v>0</v>
      </c>
      <c r="AO32" s="535">
        <f t="shared" si="131"/>
        <v>0</v>
      </c>
      <c r="AP32" s="535">
        <f>Sheet1!BA30+Sheet1!BB30+Sheet1!BN30+CD32</f>
        <v>14.77</v>
      </c>
      <c r="AQ32" s="535">
        <f>Sheet1!BN30+(DO32*Sheet1!BN30)</f>
        <v>14.624911591355596</v>
      </c>
      <c r="AR32" s="535">
        <f>Sheet1!BA30+CD32</f>
        <v>0</v>
      </c>
      <c r="AS32" s="535">
        <f>Sheet1!BA30+Sheet1!BB30+CD32</f>
        <v>0</v>
      </c>
      <c r="AT32" s="649">
        <f>0</f>
        <v>0</v>
      </c>
      <c r="AU32" s="535">
        <f>IF(EB32&lt;K32,0,MAX(Sheet1!AA30+AQ32-15/36*K32-N32,Sheet1!EH30,0))</f>
        <v>0</v>
      </c>
      <c r="AV32" s="535">
        <f>IF(OR(B32&gt;=GD32,B32&lt;GC32),0,15/36*K32-MAX(0,64.6-(137.6-(Sheet1!AA30+Sheet1!AB30))))</f>
        <v>0</v>
      </c>
      <c r="AW32" s="1029"/>
      <c r="AX32" s="649"/>
      <c r="AY32" s="649">
        <f t="shared" si="101"/>
        <v>0</v>
      </c>
      <c r="AZ32" s="649">
        <f t="shared" si="102"/>
        <v>0</v>
      </c>
      <c r="BA32" s="1059">
        <f t="shared" si="103"/>
        <v>0</v>
      </c>
      <c r="BB32" s="1019">
        <f t="shared" si="132"/>
        <v>0</v>
      </c>
      <c r="BC32" s="1041">
        <f t="shared" si="104"/>
        <v>26.933333333333334</v>
      </c>
      <c r="BD32" s="1019">
        <f ca="1">IF(B32&gt;Summary!$A$1,#N/A,BB32*MGtoAF)</f>
        <v>0</v>
      </c>
      <c r="BE32" s="535">
        <f>Sheet1!BG30+Sheet1!BH30+Sheet1!BI30-BM32</f>
        <v>1.06</v>
      </c>
      <c r="BF32" s="535">
        <f t="shared" si="133"/>
        <v>1.0495874263261296</v>
      </c>
      <c r="BG32" s="535">
        <f>IF(Sheet1!EP30="FM",BM32,0)</f>
        <v>0</v>
      </c>
      <c r="BH32" s="535">
        <f t="shared" si="134"/>
        <v>0</v>
      </c>
      <c r="BI32" s="535">
        <f>IF(Sheet1!EP30="OTHER",BM32,0)</f>
        <v>0</v>
      </c>
      <c r="BJ32" s="535">
        <f t="shared" si="135"/>
        <v>0</v>
      </c>
      <c r="BK32" s="535">
        <f t="shared" si="136"/>
        <v>1.06</v>
      </c>
      <c r="BL32" s="535">
        <f t="shared" si="137"/>
        <v>1.0495874263261296</v>
      </c>
      <c r="BM32" s="535">
        <f>IF(OR(Sheet1!EP30="FM", Sheet1!EP30="OTHER"),SUM(Sheet1!BG30:'Sheet1'!BI30),0)</f>
        <v>0</v>
      </c>
      <c r="BN32" s="521">
        <f>IF(AND($B32&gt;=$FV32,$B32&lt;=$FW32),MAX(BF32,Sheet1!EI30,0),MAX(BF32-(7/36)*$K32,0))</f>
        <v>0</v>
      </c>
      <c r="BO32" s="535">
        <f t="shared" si="138"/>
        <v>0</v>
      </c>
      <c r="BP32" s="521">
        <f t="shared" si="184"/>
        <v>1.0495874263261296</v>
      </c>
      <c r="BQ32" s="521">
        <f>IF(AND($O32&gt;0,Sheet1!EM30=1),(1-($O32-Sheet1!$L30)/$O32)*BL32,0)</f>
        <v>0</v>
      </c>
      <c r="BR32" s="521">
        <f>IF(AND(Sheet1!$L30=0,Sheet1!$L29=0, Calculation!BK32&lt;Sheet1!$EI30-0.1,Sheet1!$EI30=Sheet1!$EI29,Sheet1!$EI30=Sheet1!$EI31),BL32-BQ32,BL32-BQ32)</f>
        <v>1.0495874263261296</v>
      </c>
      <c r="BS32" s="1035" t="str">
        <f t="shared" si="105"/>
        <v/>
      </c>
      <c r="BT32" s="1035">
        <f t="shared" si="106"/>
        <v>12.568888888888889</v>
      </c>
      <c r="BU32" s="535">
        <f t="shared" si="139"/>
        <v>0</v>
      </c>
      <c r="BV32" s="535"/>
      <c r="BW32" s="535">
        <f ca="1">IF(B32&gt;Summary!$A$1,#N/A,BU32*MGtoAF)</f>
        <v>0</v>
      </c>
      <c r="BX32" s="535">
        <f>Sheet1!BC30+Sheet1!BD30+Sheet1!BE30+Sheet1!BF30-CG32-CH32</f>
        <v>2.99</v>
      </c>
      <c r="BY32" s="535">
        <f t="shared" si="140"/>
        <v>2.9606286836935163</v>
      </c>
      <c r="BZ32" s="535">
        <f>IF(Sheet1!EQ30="FM",CH32,0)</f>
        <v>0</v>
      </c>
      <c r="CA32" s="535">
        <f t="shared" si="141"/>
        <v>0</v>
      </c>
      <c r="CB32" s="535">
        <f>IF(Sheet1!EQ30="OTHER",CH32,0)</f>
        <v>0</v>
      </c>
      <c r="CC32" s="535">
        <f t="shared" si="142"/>
        <v>0</v>
      </c>
      <c r="CD32" s="535">
        <f t="shared" si="143"/>
        <v>0</v>
      </c>
      <c r="CE32" s="535">
        <f t="shared" si="144"/>
        <v>2.99</v>
      </c>
      <c r="CF32" s="535">
        <f t="shared" si="145"/>
        <v>2.9606286836935163</v>
      </c>
      <c r="CG32" s="535">
        <f>IF(Sheet1!EQ30="CWA",SUM(Sheet1!BC30:'Sheet1'!BF30),0)</f>
        <v>0</v>
      </c>
      <c r="CH32" s="535">
        <f>IF(OR(Sheet1!EQ30="FM", Sheet1!EQ30="OTHER"),SUM(Sheet1!BC30:'Sheet1'!BF30),0)</f>
        <v>0</v>
      </c>
      <c r="CI32" s="521">
        <f>IF(AND($B32&gt;=$FV32,$B32&lt;=$FW32),MAX(CF32,Sheet1!EJ30,0),MAX(CF32-(7/36)*$K32,0))</f>
        <v>0</v>
      </c>
      <c r="CJ32" s="535">
        <f t="shared" si="146"/>
        <v>0</v>
      </c>
      <c r="CK32" s="521">
        <f t="shared" si="182"/>
        <v>2.9606286836935163</v>
      </c>
      <c r="CL32" s="521">
        <f>IF(AND($O32&gt;0,Sheet1!EN30=1),(1-($O32-Sheet1!$L30)/$O32)*CF32,0)</f>
        <v>0</v>
      </c>
      <c r="CM32" s="521">
        <f>IF(AND(Sheet1!$L30=0,Sheet1!$L29=0, Calculation!CE32&lt;Sheet1!EJ30-0.1,Sheet1!EJ30=Sheet1!EJ29,Sheet1!EJ30=Sheet1!EJ31),CF32-CL32,CF32-CL32)</f>
        <v>2.9606286836935163</v>
      </c>
      <c r="CN32" s="1040" t="str">
        <f t="shared" si="107"/>
        <v/>
      </c>
      <c r="CO32" s="1035">
        <f t="shared" si="108"/>
        <v>12.568888888888889</v>
      </c>
      <c r="CP32" s="535">
        <f t="shared" si="147"/>
        <v>0</v>
      </c>
      <c r="CQ32" s="535"/>
      <c r="CR32" s="535">
        <f ca="1">IF(B32&gt;Summary!$A$1,#N/A,CP32*MGtoAF)</f>
        <v>0</v>
      </c>
      <c r="CS32" s="535">
        <f>Sheet1!BK30+Sheet1!BL30+Sheet1!BM30-Sheet1!ER30-DA32</f>
        <v>6.6300000000000008</v>
      </c>
      <c r="CT32" s="535">
        <f t="shared" si="148"/>
        <v>6.5648722986247545</v>
      </c>
      <c r="CU32" s="535">
        <f>IF(Sheet1!ER30="FM",DA32,0)</f>
        <v>0</v>
      </c>
      <c r="CV32" s="535">
        <f t="shared" si="149"/>
        <v>0</v>
      </c>
      <c r="CW32" s="535">
        <f>IF(Sheet1!ER30="OTHER",DA32,0)</f>
        <v>0</v>
      </c>
      <c r="CX32" s="535">
        <f t="shared" si="150"/>
        <v>0</v>
      </c>
      <c r="CY32" s="535">
        <f t="shared" si="151"/>
        <v>6.6300000000000008</v>
      </c>
      <c r="CZ32" s="535">
        <f t="shared" si="152"/>
        <v>6.5648722986247545</v>
      </c>
      <c r="DA32" s="535">
        <f>IF(OR(Sheet1!ER30="FM", Sheet1!ER30="OTHER"),SUM(Sheet1!BK30:'Sheet1'!BM30),0)</f>
        <v>0</v>
      </c>
      <c r="DB32" s="1011">
        <f>IF(AND($B32&gt;=$FV32,$B32&lt;=$FW32),MAX($CT32,Sheet1!EK30,0),MAX($CT32-(7/36)*$K32,0))</f>
        <v>0</v>
      </c>
      <c r="DC32" s="1012">
        <f t="shared" si="153"/>
        <v>0</v>
      </c>
      <c r="DD32" s="1011">
        <f t="shared" si="183"/>
        <v>6.5648722986247545</v>
      </c>
      <c r="DE32" s="521">
        <f>IF(AND($O32&gt;0,Sheet1!EO30=1),(1-($O32-Sheet1!$L30)/$O32)*CZ32,0)</f>
        <v>0</v>
      </c>
      <c r="DF32" s="521">
        <f>IF(AND(Sheet1!$L30=0,Sheet1!$L29=0, Calculation!CY32&lt;Sheet1!$EK30-0.1,Sheet1!$EK30=Sheet1!$EK29,Sheet1!$EK30=Sheet1!$EK31),CZ32-DE32,CZ32-DE32)</f>
        <v>6.5648722986247545</v>
      </c>
      <c r="DG32" s="1040">
        <f t="shared" si="109"/>
        <v>12.568888888888889</v>
      </c>
      <c r="DH32" s="649">
        <f t="shared" si="154"/>
        <v>10.680000000000001</v>
      </c>
      <c r="DI32" s="535">
        <f t="shared" si="155"/>
        <v>0</v>
      </c>
      <c r="DJ32" s="649">
        <f t="shared" si="156"/>
        <v>10.575088408644401</v>
      </c>
      <c r="DK32" s="535">
        <f ca="1">IF(B32&gt;Summary!$A$1,#N/A,DI32*MGtoAF)</f>
        <v>0</v>
      </c>
      <c r="DL32" s="649">
        <f t="shared" si="157"/>
        <v>10.680000000000001</v>
      </c>
      <c r="DM32" s="535">
        <f t="shared" si="158"/>
        <v>25.450000000000003</v>
      </c>
      <c r="DN32" s="535">
        <f>Sheet1!AB30-DM32</f>
        <v>-0.25000000000000355</v>
      </c>
      <c r="DO32" s="743">
        <f t="shared" si="159"/>
        <v>-9.8231827111985668E-3</v>
      </c>
      <c r="DP32" s="535">
        <f>(VLOOKUP(Sheet1!DC30,hhdcap_wcm,4)-(((VLOOKUP(Sheet1!DC30,hhdcap_wcm,3)-Sheet1!DC30)/(VLOOKUP(Sheet1!DC30,hhdcap_wcm,3)-VLOOKUP(Sheet1!DC30,hhdcap_wcm,1)))*(VLOOKUP(Sheet1!DC30,hhdcap_wcm,4)-VLOOKUP(Sheet1!DC30,hhdcap_wcm,2))))</f>
        <v>1307.1000000033991</v>
      </c>
      <c r="DQ32" s="535">
        <f t="shared" si="160"/>
        <v>82.699999999833835</v>
      </c>
      <c r="DR32" s="535">
        <f t="shared" si="161"/>
        <v>41.704488149184982</v>
      </c>
      <c r="DS32" s="535">
        <f>Sheet1!EA30*AFtoMG</f>
        <v>0</v>
      </c>
      <c r="DT32" s="535">
        <f>Sheet1!EB30*AFtoMG</f>
        <v>0</v>
      </c>
      <c r="DU32" s="535">
        <f>Sheet1!EC30*AFtoMG</f>
        <v>0</v>
      </c>
      <c r="DV32" s="535">
        <f>Sheet1!ED30*AFtoMG</f>
        <v>0</v>
      </c>
      <c r="DW32" s="535">
        <f t="shared" si="162"/>
        <v>0</v>
      </c>
      <c r="DX32" s="535">
        <f t="shared" si="163"/>
        <v>0</v>
      </c>
      <c r="DY32" s="535">
        <f t="shared" si="164"/>
        <v>0</v>
      </c>
      <c r="DZ32" s="535">
        <f t="shared" si="165"/>
        <v>0</v>
      </c>
      <c r="EA32" s="535"/>
      <c r="EB32" s="521">
        <f>IF(OR(B32&lt;FV32,B32&gt;FW32),(MIN(BF32+BY32+CT32+MAX(Sheet1!AA30+AQ32-73,0),K32)),0)</f>
        <v>10.575088408644401</v>
      </c>
      <c r="EC32" s="535"/>
      <c r="ED32" s="535">
        <f t="shared" si="166"/>
        <v>10.575088408644401</v>
      </c>
      <c r="EE32" s="535"/>
      <c r="EF32" s="535">
        <f>Sheet1!EH30+Sheet1!EI30+Sheet1!EJ30+Sheet1!EK30</f>
        <v>10.5</v>
      </c>
      <c r="EG32" s="1019">
        <f t="shared" si="110"/>
        <v>16.243500000000001</v>
      </c>
      <c r="EH32" s="521">
        <f t="shared" si="167"/>
        <v>0</v>
      </c>
      <c r="EI32" s="535">
        <f>IF(Sheet1!ET30=1,SUM('Calculations II'!AT32:BA32)+'Calculations II'!BC32+Sheet1!BV30+'Calculations II'!BE32+AP32,'Calculations II'!BK32)</f>
        <v>38.419069591355594</v>
      </c>
      <c r="EJ32" s="535">
        <f ca="1">EI32+'Calculations II'!D32+'Calculations II'!E32+'Calculations II'!O32</f>
        <v>41.917639300442566</v>
      </c>
      <c r="EK32" s="535"/>
      <c r="EL32" s="535"/>
      <c r="EM32" s="535">
        <f t="shared" si="168"/>
        <v>42756</v>
      </c>
      <c r="EN32" s="535">
        <f t="shared" si="169"/>
        <v>0</v>
      </c>
      <c r="EO32" s="535">
        <f t="shared" si="170"/>
        <v>0</v>
      </c>
      <c r="EP32" s="535">
        <v>0</v>
      </c>
      <c r="EQ32" s="535">
        <v>0</v>
      </c>
      <c r="ER32" s="535">
        <v>0</v>
      </c>
      <c r="ES32" s="521">
        <f t="shared" si="71"/>
        <v>-2.0779894267731644</v>
      </c>
      <c r="ET32" s="535">
        <f>-(VLOOKUP(Sheet1!BQ30,Lookup!$O$4:$Q$262,2)-VLOOKUP(Sheet1!BQ29,Lookup!$O$4:$Q$262,2))/1000000</f>
        <v>-0.9695728656152971</v>
      </c>
      <c r="EU32" s="535">
        <f>-(VLOOKUP(Sheet1!BR30,Lookup!$O$4:$Q$262,3)-VLOOKUP(Sheet1!BR29,Lookup!$O$4:$Q$262,3))/1000000</f>
        <v>-1.1084165611578674</v>
      </c>
      <c r="EV32" s="535"/>
      <c r="EW32" s="535"/>
      <c r="EX32" s="535"/>
      <c r="EY32" s="535"/>
      <c r="EZ32" s="535"/>
      <c r="FA32" s="535"/>
      <c r="FB32" s="535"/>
      <c r="FC32" s="535"/>
      <c r="FD32" s="567" t="e">
        <f t="shared" si="171"/>
        <v>#N/A</v>
      </c>
      <c r="FE32" s="567" t="e">
        <f t="shared" si="172"/>
        <v>#N/A</v>
      </c>
      <c r="FF32" s="568" t="e">
        <f t="shared" si="173"/>
        <v>#N/A</v>
      </c>
      <c r="FG32" s="569" t="s">
        <v>656</v>
      </c>
      <c r="FH32" s="569" t="s">
        <v>656</v>
      </c>
      <c r="FI32" s="567" t="e">
        <v>#N/A</v>
      </c>
      <c r="FJ32" s="567" t="e">
        <v>#N/A</v>
      </c>
      <c r="FK32" s="535"/>
      <c r="FL32" s="1015">
        <v>0</v>
      </c>
      <c r="FM32" s="535"/>
      <c r="FN32" s="535"/>
      <c r="FO32" s="535">
        <f>O32+((Sheet1!CS30)*GPMtoMGD)</f>
        <v>51.8</v>
      </c>
      <c r="FP32" s="535">
        <f>IF(Sheet1!AA30+AQ32&lt;=Calculation!N32,AQ32,Calculation!N32-Sheet1!AA30)</f>
        <v>14.624911591355596</v>
      </c>
      <c r="FQ32" s="535">
        <f>(Sheet1!BP30+Sheet1!BO30)/694.4</f>
        <v>1.5408986175115207</v>
      </c>
      <c r="FR32" s="541"/>
      <c r="FS32" s="541"/>
      <c r="FT32" s="541"/>
      <c r="FU32" s="541"/>
      <c r="FV32" s="1109">
        <f t="shared" si="74"/>
        <v>42918</v>
      </c>
      <c r="FW32" s="1109">
        <f t="shared" si="75"/>
        <v>43027</v>
      </c>
      <c r="FX32" s="541"/>
      <c r="FY32" s="541">
        <f>Sheet1!DA30-Sheet1!CZ30-Sheet1!AE30</f>
        <v>465.86540000000002</v>
      </c>
      <c r="FZ32" s="535">
        <f t="shared" si="111"/>
        <v>0.65091865108283731</v>
      </c>
      <c r="GA32" s="535"/>
      <c r="GB32" s="535" t="str">
        <f t="shared" si="76"/>
        <v>n</v>
      </c>
      <c r="GC32" s="539">
        <f t="shared" si="77"/>
        <v>42782</v>
      </c>
      <c r="GD32" s="1109">
        <f t="shared" si="78"/>
        <v>42904</v>
      </c>
      <c r="GE32" s="535">
        <f t="shared" si="95"/>
        <v>6520</v>
      </c>
      <c r="GF32" s="1109">
        <f t="shared" si="79"/>
        <v>42909</v>
      </c>
      <c r="GG32" s="535">
        <f t="shared" si="174"/>
        <v>3260</v>
      </c>
      <c r="GH32" s="539">
        <f t="shared" si="80"/>
        <v>43040</v>
      </c>
      <c r="GJ32" s="521">
        <f t="shared" si="81"/>
        <v>0</v>
      </c>
      <c r="GK32" s="535" t="str">
        <f t="shared" si="175"/>
        <v/>
      </c>
      <c r="GL32" s="535">
        <f t="shared" si="82"/>
        <v>0</v>
      </c>
      <c r="GM32" s="535" t="str">
        <f t="shared" si="83"/>
        <v/>
      </c>
      <c r="GN32" s="535">
        <f>IF(GK32="P",Lookup!$M$12,IF(GK32="PP",Lookup!$M$13,IF(GK32="PPP",Lookup!$M$14,IF(GK32="T",Lookup!$M$15,IF(GK32="TP",Lookup!$M$16,IF(GK32="TPP",Lookup!$M$17,IF(GK32="TPPP",Lookup!$M$18,0)))))))*GJ32</f>
        <v>0</v>
      </c>
      <c r="GO32" s="535">
        <f t="shared" si="84"/>
        <v>0</v>
      </c>
      <c r="GP32" s="535">
        <f t="shared" si="176"/>
        <v>0</v>
      </c>
      <c r="GQ32" s="535">
        <f t="shared" si="94"/>
        <v>0</v>
      </c>
      <c r="GR32" s="535"/>
      <c r="GS32" s="535">
        <f t="shared" si="85"/>
        <v>0</v>
      </c>
      <c r="GT32" s="535" t="str">
        <f t="shared" si="86"/>
        <v/>
      </c>
      <c r="GU32" s="535">
        <f>IF(GK32="P",Lookup!$N$12,IF(GK32="PP",Lookup!$N$13,IF(GK32="PPP",Lookup!$N$14,IF(GK32="T",Lookup!$N$15,IF(GK32="TP",Lookup!$N$16,IF(GK32="TPP",Lookup!$N$17,IF(GK32="TPPP",Lookup!$N$18,0)))))))*GJ32</f>
        <v>0</v>
      </c>
      <c r="GV32" s="535">
        <f t="shared" si="53"/>
        <v>0</v>
      </c>
      <c r="GW32" s="535">
        <f t="shared" si="177"/>
        <v>0</v>
      </c>
      <c r="GX32" s="535">
        <f t="shared" si="91"/>
        <v>0</v>
      </c>
      <c r="GY32" s="535"/>
      <c r="GZ32" s="535">
        <f t="shared" si="87"/>
        <v>0</v>
      </c>
      <c r="HA32" s="535" t="str">
        <f t="shared" si="88"/>
        <v/>
      </c>
      <c r="HB32" s="535">
        <f>IF(GK32="P",Lookup!$N$12,IF(GK32="PP",Lookup!$N$13,IF(GK32="PPP",Lookup!$N$14,IF(GK32="T",Lookup!$N$15,IF(GK32="TP",Lookup!$N$16,IF(GK32="TPP",Lookup!$N$17,IF(GK32="TPPP",Lookup!$N$18,0)))))))*GJ32</f>
        <v>0</v>
      </c>
      <c r="HC32" s="521">
        <f t="shared" si="178"/>
        <v>0</v>
      </c>
      <c r="HD32" s="535">
        <f t="shared" si="179"/>
        <v>0</v>
      </c>
      <c r="HE32" s="535">
        <f t="shared" si="92"/>
        <v>0</v>
      </c>
      <c r="HF32" s="535"/>
      <c r="HG32" s="535">
        <f t="shared" si="89"/>
        <v>0</v>
      </c>
      <c r="HH32" s="535" t="str">
        <f t="shared" si="90"/>
        <v/>
      </c>
      <c r="HI32" s="535">
        <f>IF(GK32="P",Lookup!$N$12,IF(GK32="PP",Lookup!$N$13,IF(GK32="PPP",Lookup!$N$14,IF(GK32="T",Lookup!$N$15,IF(GK32="TP",Lookup!$N$16,IF(GK32="TPP",Lookup!$N$17,IF(GK32="TPPP",Lookup!$N$18,0)))))))*GJ32</f>
        <v>0</v>
      </c>
      <c r="HJ32" s="521">
        <f t="shared" si="180"/>
        <v>0</v>
      </c>
      <c r="HK32" s="535">
        <f t="shared" si="181"/>
        <v>0</v>
      </c>
      <c r="HL32" s="535">
        <f t="shared" si="93"/>
        <v>0</v>
      </c>
      <c r="HM32" s="535"/>
      <c r="HN32" s="541"/>
      <c r="HO32" s="541"/>
      <c r="HP32" s="541"/>
      <c r="HQ32" s="541">
        <f>IF(AND(B32&gt;=$FV$4,B32&lt;=$FW$4),MAX(110/1.02+$HQ$6+MIN(113/1.02,G32),IF($HV$6-(Sheet1!DA30-Sheet1!DB30)+MIN(113/1.02,G32)&lt;G32+FL32,$HV$6-(Sheet1!DA30-Sheet1!DB30)+MIN(113/1.02,G32),G32+FL32)),MIN(110/1.02+$HQ$6+113/1.02,G32))</f>
        <v>218.62745098039215</v>
      </c>
      <c r="HR32" s="541">
        <f t="shared" si="112"/>
        <v>223</v>
      </c>
      <c r="HS32" s="541">
        <f>HR32+(Sheet1!DA30-Sheet1!DB30)</f>
        <v>838</v>
      </c>
      <c r="HT32" s="541">
        <f t="shared" si="113"/>
        <v>0</v>
      </c>
      <c r="HU32" s="541">
        <f t="shared" si="114"/>
        <v>838</v>
      </c>
      <c r="HV32" s="541">
        <f t="shared" si="115"/>
        <v>0</v>
      </c>
      <c r="HW32" s="533" t="str">
        <f t="shared" si="116"/>
        <v/>
      </c>
      <c r="HX32" s="541">
        <f t="shared" si="117"/>
        <v>455.37254901960785</v>
      </c>
      <c r="HY32" s="541">
        <f>Sheet1!CZ30</f>
        <v>674</v>
      </c>
      <c r="HZ32" s="541">
        <f t="shared" si="118"/>
        <v>0</v>
      </c>
      <c r="IA32" s="541">
        <f t="shared" si="119"/>
        <v>0</v>
      </c>
      <c r="IB32" s="541">
        <f t="shared" si="120"/>
        <v>674</v>
      </c>
      <c r="IC32" s="1019" t="str">
        <f t="shared" si="121"/>
        <v/>
      </c>
      <c r="ID32" s="541">
        <f t="shared" si="122"/>
        <v>674</v>
      </c>
      <c r="IE32" s="541">
        <f>Sheet1!DB30</f>
        <v>605</v>
      </c>
      <c r="IF32" s="533">
        <f>Sheet1!DA30</f>
        <v>1220</v>
      </c>
      <c r="IH32" s="541">
        <f>IF(AND($B32&gt;=$GC32,$B32&lt;=$GH32,$DR32&lt;0)+N("only adjusted when pool is drawn down during storage season"),Sheet1!$DB30+$DR32+N("Palmer minus all storage release"),Sheet1!$DB30)</f>
        <v>605</v>
      </c>
      <c r="II32" s="541">
        <f>IF(AND($B32&gt;=$GC32,$B32&lt;=$GH32,$DR32&lt;0)+N("only adjusted when pool is drawn down during storage season"),Sheet1!$DA30+$DR32+N("Auburn minus all storage release"),Sheet1!$DA30)</f>
        <v>1220</v>
      </c>
    </row>
    <row r="33" spans="1:243" x14ac:dyDescent="0.25">
      <c r="A33" s="553" t="s">
        <v>3</v>
      </c>
      <c r="B33" s="531">
        <v>42757</v>
      </c>
      <c r="C33" s="536">
        <v>0</v>
      </c>
      <c r="D33" s="506">
        <f t="shared" si="0"/>
        <v>300</v>
      </c>
      <c r="E33" s="506">
        <f t="shared" si="1"/>
        <v>250</v>
      </c>
      <c r="F33" s="506">
        <v>250</v>
      </c>
      <c r="G33" s="535">
        <f>DR33+Sheet1!CZ31</f>
        <v>685.85073121546213</v>
      </c>
      <c r="H33" s="1074">
        <f t="shared" si="96"/>
        <v>248.37155308799996</v>
      </c>
      <c r="I33" s="534">
        <f>IF(Sheet1!DA31&gt;=E33,(Sheet1!DA31-E33+P33)*CFStoMGD,0)</f>
        <v>664.65315308800007</v>
      </c>
      <c r="J33" s="995">
        <f>IF(Sheet1!DB31&gt;=D33,(Sheet1!DB31-D33+P33)*CFStoMGD,0)</f>
        <v>248.37155308799996</v>
      </c>
      <c r="K33" s="818">
        <f t="shared" si="97"/>
        <v>64.64</v>
      </c>
      <c r="L33" s="535">
        <f>Sheet1!AA31+Sheet1!AB31-Sheet1!L31+(Sheet1!DA31-F33)*CFStoMGD-S33-T33-U33</f>
        <v>620.54399999999998</v>
      </c>
      <c r="M33" s="535">
        <f t="shared" si="123"/>
        <v>452.20059091082823</v>
      </c>
      <c r="N33" s="824">
        <f>IF(Sheet1!DA31&gt;=F33,MIN(113*CFStoMGD,MIN(MAX(L33,0),MAX(M33,0))),0)</f>
        <v>73.043199999999999</v>
      </c>
      <c r="O33" s="538">
        <f>Sheet1!AA31+Sheet1!AB31</f>
        <v>44.11</v>
      </c>
      <c r="P33" s="538">
        <f t="shared" si="124"/>
        <v>68.238169999999997</v>
      </c>
      <c r="Q33" s="812">
        <f t="shared" si="98"/>
        <v>0</v>
      </c>
      <c r="R33" s="812">
        <f t="shared" si="59"/>
        <v>10.40462015015488</v>
      </c>
      <c r="S33" s="812">
        <f t="shared" si="60"/>
        <v>44.11</v>
      </c>
      <c r="T33" s="812">
        <f t="shared" si="61"/>
        <v>0</v>
      </c>
      <c r="U33" s="812">
        <f t="shared" si="99"/>
        <v>0</v>
      </c>
      <c r="V33" s="812"/>
      <c r="W33" s="812">
        <f t="shared" si="62"/>
        <v>54.235379849845117</v>
      </c>
      <c r="X33" s="812">
        <f t="shared" si="63"/>
        <v>44.11</v>
      </c>
      <c r="Y33" s="812" t="str">
        <f t="shared" si="64"/>
        <v/>
      </c>
      <c r="Z33" s="812">
        <f t="shared" si="65"/>
        <v>44.11</v>
      </c>
      <c r="AA33" s="812">
        <f t="shared" si="66"/>
        <v>44.11</v>
      </c>
      <c r="AB33" s="1059">
        <f t="shared" si="100"/>
        <v>0</v>
      </c>
      <c r="AC33" s="538">
        <f>Sheet1!Y31*MGDtoCFS</f>
        <v>41.150199999999998</v>
      </c>
      <c r="AD33" s="538">
        <f>Sheet1!Z31*MGDtoCFS</f>
        <v>35.828519999999997</v>
      </c>
      <c r="AE33" s="538">
        <f>Sheet1!AA31*MGDtoCFS</f>
        <v>38.984399999999994</v>
      </c>
      <c r="AF33" s="538">
        <f>Sheet1!AB31*MGDtoCFS</f>
        <v>29.253769999999999</v>
      </c>
      <c r="AG33" s="538">
        <f>Sheet1!L31*MGDtoCFS</f>
        <v>0</v>
      </c>
      <c r="AH33" s="521">
        <f t="shared" si="125"/>
        <v>0</v>
      </c>
      <c r="AI33" s="1059">
        <f t="shared" si="126"/>
        <v>0</v>
      </c>
      <c r="AJ33" s="535">
        <f t="shared" si="127"/>
        <v>0</v>
      </c>
      <c r="AK33" s="535">
        <f t="shared" si="128"/>
        <v>0</v>
      </c>
      <c r="AL33" s="535">
        <f>(VLOOKUP(Sheet1!DC31,hhdcap_wcm,4)-(((VLOOKUP(Sheet1!DC31,hhdcap_wcm,3)-Sheet1!DC31)/(VLOOKUP(Sheet1!DC31,hhdcap_wcm,3)-VLOOKUP(Sheet1!DC31,hhdcap_wcm,1)))*(VLOOKUP(Sheet1!DC31,hhdcap_wcm,4)-VLOOKUP(Sheet1!DC31,hhdcap_wcm,2))))</f>
        <v>1330.6000000036606</v>
      </c>
      <c r="AM33" s="535">
        <f t="shared" si="129"/>
        <v>23.50000000026148</v>
      </c>
      <c r="AN33" s="1035">
        <f t="shared" si="130"/>
        <v>0</v>
      </c>
      <c r="AO33" s="535">
        <f t="shared" si="131"/>
        <v>0</v>
      </c>
      <c r="AP33" s="535">
        <f>Sheet1!BA31+Sheet1!BB31+Sheet1!BN31+CD33</f>
        <v>8.5670000000000002</v>
      </c>
      <c r="AQ33" s="535">
        <f>Sheet1!BN31+(DO33*Sheet1!BN31)</f>
        <v>8.5053798498451201</v>
      </c>
      <c r="AR33" s="535">
        <f>Sheet1!BA31+CD33</f>
        <v>0</v>
      </c>
      <c r="AS33" s="535">
        <f>Sheet1!BA31+Sheet1!BB31+CD33</f>
        <v>0</v>
      </c>
      <c r="AT33" s="649">
        <f>0</f>
        <v>0</v>
      </c>
      <c r="AU33" s="535">
        <f>IF(EB33&lt;K33,0,MAX(Sheet1!AA31+AQ33-15/36*K33-N33,Sheet1!EH31,0))</f>
        <v>0</v>
      </c>
      <c r="AV33" s="535">
        <f>IF(OR(B33&gt;=GD33,B33&lt;GC33),0,15/36*K33-MAX(0,64.6-(137.6-(Sheet1!AA31+Sheet1!AB31))))</f>
        <v>0</v>
      </c>
      <c r="AW33" s="1029"/>
      <c r="AX33" s="649"/>
      <c r="AY33" s="649">
        <f t="shared" si="101"/>
        <v>0</v>
      </c>
      <c r="AZ33" s="649">
        <f t="shared" si="102"/>
        <v>0</v>
      </c>
      <c r="BA33" s="1059">
        <f t="shared" si="103"/>
        <v>0</v>
      </c>
      <c r="BB33" s="1019">
        <f t="shared" si="132"/>
        <v>0</v>
      </c>
      <c r="BC33" s="1041">
        <f t="shared" si="104"/>
        <v>26.933333333333334</v>
      </c>
      <c r="BD33" s="1019">
        <f ca="1">IF(B33&gt;Summary!$A$1,#N/A,BB33*MGtoAF)</f>
        <v>0</v>
      </c>
      <c r="BE33" s="535">
        <f>Sheet1!BG31+Sheet1!BH31+Sheet1!BI31-BM33</f>
        <v>1.01</v>
      </c>
      <c r="BF33" s="535">
        <f t="shared" si="133"/>
        <v>1.0027353388985143</v>
      </c>
      <c r="BG33" s="535">
        <f>IF(Sheet1!EP31="FM",BM33,0)</f>
        <v>0</v>
      </c>
      <c r="BH33" s="535">
        <f t="shared" si="134"/>
        <v>0</v>
      </c>
      <c r="BI33" s="535">
        <f>IF(Sheet1!EP31="OTHER",BM33,0)</f>
        <v>0</v>
      </c>
      <c r="BJ33" s="535">
        <f t="shared" si="135"/>
        <v>0</v>
      </c>
      <c r="BK33" s="535">
        <f t="shared" si="136"/>
        <v>1.01</v>
      </c>
      <c r="BL33" s="535">
        <f t="shared" si="137"/>
        <v>1.0027353388985143</v>
      </c>
      <c r="BM33" s="535">
        <f>IF(OR(Sheet1!EP31="FM", Sheet1!EP31="OTHER"),SUM(Sheet1!BG31:'Sheet1'!BI31),0)</f>
        <v>0</v>
      </c>
      <c r="BN33" s="521">
        <f>IF(AND($B33&gt;=$FV33,$B33&lt;=$FW33),MAX(BF33,Sheet1!EI31,0),MAX(BF33-(7/36)*$K33,0))</f>
        <v>0</v>
      </c>
      <c r="BO33" s="535">
        <f t="shared" si="138"/>
        <v>0</v>
      </c>
      <c r="BP33" s="521">
        <f t="shared" si="184"/>
        <v>1.0027353388985143</v>
      </c>
      <c r="BQ33" s="521">
        <f>IF(AND($O33&gt;0,Sheet1!EM31=1),(1-($O33-Sheet1!$L31)/$O33)*BL33,0)</f>
        <v>0</v>
      </c>
      <c r="BR33" s="521">
        <f>IF(AND(Sheet1!$L31=0,Sheet1!$L30=0, Calculation!BK33&lt;Sheet1!$EI31-0.1,Sheet1!$EI31=Sheet1!$EI30,Sheet1!$EI31=Sheet1!$EI32),BL33-BQ33,BL33-BQ33)</f>
        <v>1.0027353388985143</v>
      </c>
      <c r="BS33" s="1035" t="str">
        <f t="shared" si="105"/>
        <v/>
      </c>
      <c r="BT33" s="1035">
        <f t="shared" si="106"/>
        <v>12.568888888888889</v>
      </c>
      <c r="BU33" s="535">
        <f t="shared" si="139"/>
        <v>0</v>
      </c>
      <c r="BV33" s="535"/>
      <c r="BW33" s="535">
        <f ca="1">IF(B33&gt;Summary!$A$1,#N/A,BU33*MGtoAF)</f>
        <v>0</v>
      </c>
      <c r="BX33" s="535">
        <f>Sheet1!BC31+Sheet1!BD31+Sheet1!BE31+Sheet1!BF31-CG33-CH33</f>
        <v>2.99</v>
      </c>
      <c r="BY33" s="535">
        <f t="shared" si="140"/>
        <v>2.9684937260460966</v>
      </c>
      <c r="BZ33" s="535">
        <f>IF(Sheet1!EQ31="FM",CH33,0)</f>
        <v>0</v>
      </c>
      <c r="CA33" s="535">
        <f t="shared" si="141"/>
        <v>0</v>
      </c>
      <c r="CB33" s="535">
        <f>IF(Sheet1!EQ31="OTHER",CH33,0)</f>
        <v>0</v>
      </c>
      <c r="CC33" s="535">
        <f t="shared" si="142"/>
        <v>0</v>
      </c>
      <c r="CD33" s="535">
        <f t="shared" si="143"/>
        <v>0</v>
      </c>
      <c r="CE33" s="535">
        <f t="shared" si="144"/>
        <v>2.99</v>
      </c>
      <c r="CF33" s="535">
        <f t="shared" si="145"/>
        <v>2.9684937260460966</v>
      </c>
      <c r="CG33" s="535">
        <f>IF(Sheet1!EQ31="CWA",SUM(Sheet1!BC31:'Sheet1'!BF31),0)</f>
        <v>0</v>
      </c>
      <c r="CH33" s="535">
        <f>IF(OR(Sheet1!EQ31="FM", Sheet1!EQ31="OTHER"),SUM(Sheet1!BC31:'Sheet1'!BF31),0)</f>
        <v>0</v>
      </c>
      <c r="CI33" s="521">
        <f>IF(AND($B33&gt;=$FV33,$B33&lt;=$FW33),MAX(CF33,Sheet1!EJ31,0),MAX(CF33-(7/36)*$K33,0))</f>
        <v>0</v>
      </c>
      <c r="CJ33" s="535">
        <f t="shared" si="146"/>
        <v>0</v>
      </c>
      <c r="CK33" s="521">
        <f t="shared" si="182"/>
        <v>2.9684937260460966</v>
      </c>
      <c r="CL33" s="521">
        <f>IF(AND($O33&gt;0,Sheet1!EN31=1),(1-($O33-Sheet1!$L31)/$O33)*CF33,0)</f>
        <v>0</v>
      </c>
      <c r="CM33" s="521">
        <f>IF(AND(Sheet1!$L31=0,Sheet1!$L30=0, Calculation!CE33&lt;Sheet1!EJ31-0.1,Sheet1!EJ31=Sheet1!EJ30,Sheet1!EJ31=Sheet1!EJ32),CF33-CL33,CF33-CL33)</f>
        <v>2.9684937260460966</v>
      </c>
      <c r="CN33" s="1040" t="str">
        <f t="shared" si="107"/>
        <v/>
      </c>
      <c r="CO33" s="1035">
        <f t="shared" si="108"/>
        <v>12.568888888888889</v>
      </c>
      <c r="CP33" s="535">
        <f t="shared" si="147"/>
        <v>0</v>
      </c>
      <c r="CQ33" s="535"/>
      <c r="CR33" s="535">
        <f ca="1">IF(B33&gt;Summary!$A$1,#N/A,CP33*MGtoAF)</f>
        <v>0</v>
      </c>
      <c r="CS33" s="535">
        <f>Sheet1!BK31+Sheet1!BL31+Sheet1!BM31-Sheet1!ER31-DA33</f>
        <v>6.48</v>
      </c>
      <c r="CT33" s="535">
        <f t="shared" si="148"/>
        <v>6.4333910852102694</v>
      </c>
      <c r="CU33" s="535">
        <f>IF(Sheet1!ER31="FM",DA33,0)</f>
        <v>0</v>
      </c>
      <c r="CV33" s="535">
        <f t="shared" si="149"/>
        <v>0</v>
      </c>
      <c r="CW33" s="535">
        <f>IF(Sheet1!ER31="OTHER",DA33,0)</f>
        <v>0</v>
      </c>
      <c r="CX33" s="535">
        <f t="shared" si="150"/>
        <v>0</v>
      </c>
      <c r="CY33" s="535">
        <f t="shared" si="151"/>
        <v>6.48</v>
      </c>
      <c r="CZ33" s="535">
        <f t="shared" si="152"/>
        <v>6.4333910852102694</v>
      </c>
      <c r="DA33" s="535">
        <f>IF(OR(Sheet1!ER31="FM", Sheet1!ER31="OTHER"),SUM(Sheet1!BK31:'Sheet1'!BM31),0)</f>
        <v>0</v>
      </c>
      <c r="DB33" s="1011">
        <f>IF(AND($B33&gt;=$FV33,$B33&lt;=$FW33),MAX($CT33,Sheet1!EK31,0),MAX($CT33-(7/36)*$K33,0))</f>
        <v>0</v>
      </c>
      <c r="DC33" s="1012">
        <f t="shared" si="153"/>
        <v>0</v>
      </c>
      <c r="DD33" s="1011">
        <f t="shared" si="183"/>
        <v>6.4333910852102694</v>
      </c>
      <c r="DE33" s="521">
        <f>IF(AND($O33&gt;0,Sheet1!EO31=1),(1-($O33-Sheet1!$L31)/$O33)*CZ33,0)</f>
        <v>0</v>
      </c>
      <c r="DF33" s="521">
        <f>IF(AND(Sheet1!$L31=0,Sheet1!$L30=0, Calculation!CY33&lt;Sheet1!$EK31-0.1,Sheet1!$EK31=Sheet1!$EK30,Sheet1!$EK31=Sheet1!$EK32),CZ33-DE33,CZ33-DE33)</f>
        <v>6.4333910852102694</v>
      </c>
      <c r="DG33" s="1040">
        <f t="shared" si="109"/>
        <v>12.568888888888889</v>
      </c>
      <c r="DH33" s="649">
        <f t="shared" si="154"/>
        <v>10.48</v>
      </c>
      <c r="DI33" s="535">
        <f t="shared" si="155"/>
        <v>0</v>
      </c>
      <c r="DJ33" s="649">
        <f t="shared" si="156"/>
        <v>10.40462015015488</v>
      </c>
      <c r="DK33" s="535">
        <f ca="1">IF(B33&gt;Summary!$A$1,#N/A,DI33*MGtoAF)</f>
        <v>0</v>
      </c>
      <c r="DL33" s="649">
        <f t="shared" si="157"/>
        <v>10.48</v>
      </c>
      <c r="DM33" s="535">
        <f t="shared" si="158"/>
        <v>19.047000000000001</v>
      </c>
      <c r="DN33" s="535">
        <f>Sheet1!AB31-DM33</f>
        <v>-0.13700000000000045</v>
      </c>
      <c r="DO33" s="743">
        <f t="shared" si="159"/>
        <v>-7.1927337638473489E-3</v>
      </c>
      <c r="DP33" s="535">
        <f>(VLOOKUP(Sheet1!DC31,hhdcap_wcm,4)-(((VLOOKUP(Sheet1!DC31,hhdcap_wcm,3)-Sheet1!DC31)/(VLOOKUP(Sheet1!DC31,hhdcap_wcm,3)-VLOOKUP(Sheet1!DC31,hhdcap_wcm,1)))*(VLOOKUP(Sheet1!DC31,hhdcap_wcm,4)-VLOOKUP(Sheet1!DC31,hhdcap_wcm,2))))</f>
        <v>1330.6000000036606</v>
      </c>
      <c r="DQ33" s="535">
        <f t="shared" si="160"/>
        <v>23.50000000026148</v>
      </c>
      <c r="DR33" s="535">
        <f t="shared" si="161"/>
        <v>11.850731215462167</v>
      </c>
      <c r="DS33" s="535">
        <f>Sheet1!EA31*AFtoMG</f>
        <v>0</v>
      </c>
      <c r="DT33" s="535">
        <f>Sheet1!EB31*AFtoMG</f>
        <v>0</v>
      </c>
      <c r="DU33" s="535">
        <f>Sheet1!EC31*AFtoMG</f>
        <v>0</v>
      </c>
      <c r="DV33" s="535">
        <f>Sheet1!ED31*AFtoMG</f>
        <v>0</v>
      </c>
      <c r="DW33" s="535">
        <f t="shared" si="162"/>
        <v>0</v>
      </c>
      <c r="DX33" s="535">
        <f t="shared" si="163"/>
        <v>0</v>
      </c>
      <c r="DY33" s="535">
        <f t="shared" si="164"/>
        <v>0</v>
      </c>
      <c r="DZ33" s="535">
        <f t="shared" si="165"/>
        <v>0</v>
      </c>
      <c r="EA33" s="535"/>
      <c r="EB33" s="521">
        <f>IF(OR(B33&lt;FV33,B33&gt;FW33),(MIN(BF33+BY33+CT33+MAX(Sheet1!AA31+AQ33-73,0),K33)),0)</f>
        <v>10.40462015015488</v>
      </c>
      <c r="EC33" s="535"/>
      <c r="ED33" s="535">
        <f t="shared" si="166"/>
        <v>10.40462015015488</v>
      </c>
      <c r="EE33" s="535"/>
      <c r="EF33" s="535">
        <f>Sheet1!EH31+Sheet1!EI31+Sheet1!EJ31+Sheet1!EK31</f>
        <v>10.5</v>
      </c>
      <c r="EG33" s="1019">
        <f t="shared" si="110"/>
        <v>16.243500000000001</v>
      </c>
      <c r="EH33" s="521">
        <f t="shared" si="167"/>
        <v>0</v>
      </c>
      <c r="EI33" s="535">
        <f>IF(Sheet1!ET31=1,SUM('Calculations II'!AT33:BA33)+'Calculations II'!BC33+Sheet1!BV31+'Calculations II'!BE33+AP33,'Calculations II'!BK33)</f>
        <v>35.779543849845119</v>
      </c>
      <c r="EJ33" s="535">
        <f ca="1">EI33+'Calculations II'!D33+'Calculations II'!E33+'Calculations II'!O33</f>
        <v>33.422766779216261</v>
      </c>
      <c r="EK33" s="535"/>
      <c r="EL33" s="535"/>
      <c r="EM33" s="535">
        <f t="shared" si="168"/>
        <v>42757</v>
      </c>
      <c r="EN33" s="535">
        <f t="shared" si="169"/>
        <v>0</v>
      </c>
      <c r="EO33" s="535">
        <f t="shared" si="170"/>
        <v>0</v>
      </c>
      <c r="EP33" s="535">
        <v>0</v>
      </c>
      <c r="EQ33" s="535">
        <v>0</v>
      </c>
      <c r="ER33" s="535">
        <v>0</v>
      </c>
      <c r="ES33" s="521">
        <f t="shared" si="71"/>
        <v>2.7704645719649457</v>
      </c>
      <c r="ET33" s="535">
        <f>-(VLOOKUP(Sheet1!BQ31,Lookup!$O$4:$Q$262,2)-VLOOKUP(Sheet1!BQ30,Lookup!$O$4:$Q$262,2))/1000000</f>
        <v>1.3850079657170176</v>
      </c>
      <c r="EU33" s="535">
        <f>-(VLOOKUP(Sheet1!BR31,Lookup!$O$4:$Q$262,3)-VLOOKUP(Sheet1!BR30,Lookup!$O$4:$Q$262,3))/1000000</f>
        <v>1.3854566062479281</v>
      </c>
      <c r="EV33" s="535"/>
      <c r="EW33" s="535"/>
      <c r="EX33" s="535"/>
      <c r="EY33" s="535"/>
      <c r="EZ33" s="535"/>
      <c r="FA33" s="535"/>
      <c r="FB33" s="535"/>
      <c r="FC33" s="535"/>
      <c r="FD33" s="567" t="e">
        <f t="shared" si="171"/>
        <v>#N/A</v>
      </c>
      <c r="FE33" s="567" t="e">
        <f t="shared" si="172"/>
        <v>#N/A</v>
      </c>
      <c r="FF33" s="568" t="e">
        <f t="shared" si="173"/>
        <v>#N/A</v>
      </c>
      <c r="FG33" s="569" t="s">
        <v>656</v>
      </c>
      <c r="FH33" s="569" t="s">
        <v>656</v>
      </c>
      <c r="FI33" s="567" t="e">
        <v>#N/A</v>
      </c>
      <c r="FJ33" s="567" t="e">
        <v>#N/A</v>
      </c>
      <c r="FK33" s="535"/>
      <c r="FL33" s="1015">
        <v>0</v>
      </c>
      <c r="FM33" s="535"/>
      <c r="FN33" s="535"/>
      <c r="FO33" s="535">
        <f>O33+((Sheet1!CS31)*GPMtoMGD)</f>
        <v>44.11</v>
      </c>
      <c r="FP33" s="535">
        <f>IF(Sheet1!AA31+AQ33&lt;=Calculation!N33,AQ33,Calculation!N33-Sheet1!AA31)</f>
        <v>8.5053798498451201</v>
      </c>
      <c r="FQ33" s="535">
        <f>(Sheet1!BP31+Sheet1!BO31)/694.4</f>
        <v>1.410570276497696</v>
      </c>
      <c r="FR33" s="541"/>
      <c r="FS33" s="541"/>
      <c r="FT33" s="541"/>
      <c r="FU33" s="541"/>
      <c r="FV33" s="1109">
        <f t="shared" si="74"/>
        <v>42918</v>
      </c>
      <c r="FW33" s="1109">
        <f t="shared" si="75"/>
        <v>43027</v>
      </c>
      <c r="FX33" s="541"/>
      <c r="FY33" s="541">
        <f>Sheet1!DA31-Sheet1!CZ31-Sheet1!AE31</f>
        <v>467.76183000000003</v>
      </c>
      <c r="FZ33" s="535">
        <f t="shared" si="111"/>
        <v>0.68201695895407777</v>
      </c>
      <c r="GA33" s="535"/>
      <c r="GB33" s="535" t="str">
        <f t="shared" si="76"/>
        <v>n</v>
      </c>
      <c r="GC33" s="539">
        <f t="shared" si="77"/>
        <v>42782</v>
      </c>
      <c r="GD33" s="1109">
        <f t="shared" si="78"/>
        <v>42904</v>
      </c>
      <c r="GE33" s="535">
        <f t="shared" si="95"/>
        <v>6520</v>
      </c>
      <c r="GF33" s="1109">
        <f t="shared" si="79"/>
        <v>42909</v>
      </c>
      <c r="GG33" s="535">
        <f t="shared" si="174"/>
        <v>3260</v>
      </c>
      <c r="GH33" s="539">
        <f t="shared" si="80"/>
        <v>43040</v>
      </c>
      <c r="GJ33" s="521">
        <f t="shared" si="81"/>
        <v>0</v>
      </c>
      <c r="GK33" s="535" t="str">
        <f t="shared" si="175"/>
        <v/>
      </c>
      <c r="GL33" s="535">
        <f t="shared" si="82"/>
        <v>0</v>
      </c>
      <c r="GM33" s="535" t="str">
        <f t="shared" si="83"/>
        <v/>
      </c>
      <c r="GN33" s="535">
        <f>IF(GK33="P",Lookup!$M$12,IF(GK33="PP",Lookup!$M$13,IF(GK33="PPP",Lookup!$M$14,IF(GK33="T",Lookup!$M$15,IF(GK33="TP",Lookup!$M$16,IF(GK33="TPP",Lookup!$M$17,IF(GK33="TPPP",Lookup!$M$18,0)))))))*GJ33</f>
        <v>0</v>
      </c>
      <c r="GO33" s="535">
        <f t="shared" si="84"/>
        <v>0</v>
      </c>
      <c r="GP33" s="535">
        <f t="shared" si="176"/>
        <v>0</v>
      </c>
      <c r="GQ33" s="535">
        <f t="shared" si="94"/>
        <v>0</v>
      </c>
      <c r="GR33" s="535"/>
      <c r="GS33" s="535">
        <f t="shared" si="85"/>
        <v>0</v>
      </c>
      <c r="GT33" s="535" t="str">
        <f t="shared" si="86"/>
        <v/>
      </c>
      <c r="GU33" s="535">
        <f>IF(GK33="P",Lookup!$N$12,IF(GK33="PP",Lookup!$N$13,IF(GK33="PPP",Lookup!$N$14,IF(GK33="T",Lookup!$N$15,IF(GK33="TP",Lookup!$N$16,IF(GK33="TPP",Lookup!$N$17,IF(GK33="TPPP",Lookup!$N$18,0)))))))*GJ33</f>
        <v>0</v>
      </c>
      <c r="GV33" s="535">
        <f t="shared" si="53"/>
        <v>0</v>
      </c>
      <c r="GW33" s="535">
        <f t="shared" si="177"/>
        <v>0</v>
      </c>
      <c r="GX33" s="535">
        <f t="shared" si="91"/>
        <v>0</v>
      </c>
      <c r="GY33" s="535"/>
      <c r="GZ33" s="535">
        <f t="shared" si="87"/>
        <v>0</v>
      </c>
      <c r="HA33" s="535" t="str">
        <f t="shared" si="88"/>
        <v/>
      </c>
      <c r="HB33" s="535">
        <f>IF(GK33="P",Lookup!$N$12,IF(GK33="PP",Lookup!$N$13,IF(GK33="PPP",Lookup!$N$14,IF(GK33="T",Lookup!$N$15,IF(GK33="TP",Lookup!$N$16,IF(GK33="TPP",Lookup!$N$17,IF(GK33="TPPP",Lookup!$N$18,0)))))))*GJ33</f>
        <v>0</v>
      </c>
      <c r="HC33" s="521">
        <f t="shared" si="178"/>
        <v>0</v>
      </c>
      <c r="HD33" s="535">
        <f t="shared" si="179"/>
        <v>0</v>
      </c>
      <c r="HE33" s="535">
        <f t="shared" si="92"/>
        <v>0</v>
      </c>
      <c r="HF33" s="535"/>
      <c r="HG33" s="535">
        <f t="shared" si="89"/>
        <v>0</v>
      </c>
      <c r="HH33" s="535" t="str">
        <f t="shared" si="90"/>
        <v/>
      </c>
      <c r="HI33" s="535">
        <f>IF(GK33="P",Lookup!$N$12,IF(GK33="PP",Lookup!$N$13,IF(GK33="PPP",Lookup!$N$14,IF(GK33="T",Lookup!$N$15,IF(GK33="TP",Lookup!$N$16,IF(GK33="TPP",Lookup!$N$17,IF(GK33="TPPP",Lookup!$N$18,0)))))))*GJ33</f>
        <v>0</v>
      </c>
      <c r="HJ33" s="521">
        <f t="shared" si="180"/>
        <v>0</v>
      </c>
      <c r="HK33" s="535">
        <f t="shared" si="181"/>
        <v>0</v>
      </c>
      <c r="HL33" s="535">
        <f t="shared" si="93"/>
        <v>0</v>
      </c>
      <c r="HM33" s="535"/>
      <c r="HN33" s="541"/>
      <c r="HO33" s="541"/>
      <c r="HP33" s="541"/>
      <c r="HQ33" s="541">
        <f>IF(AND(B33&gt;=$FV$4,B33&lt;=$FW$4),MAX(110/1.02+$HQ$6+MIN(113/1.02,G33),IF($HV$6-(Sheet1!DA31-Sheet1!DB31)+MIN(113/1.02,G33)&lt;G33+FL33,$HV$6-(Sheet1!DA31-Sheet1!DB31)+MIN(113/1.02,G33),G33+FL33)),MIN(110/1.02+$HQ$6+113/1.02,G33))</f>
        <v>218.62745098039215</v>
      </c>
      <c r="HR33" s="541">
        <f t="shared" si="112"/>
        <v>223</v>
      </c>
      <c r="HS33" s="541">
        <f>HR33+(Sheet1!DA31-Sheet1!DB31)</f>
        <v>817</v>
      </c>
      <c r="HT33" s="541">
        <f t="shared" si="113"/>
        <v>0</v>
      </c>
      <c r="HU33" s="541">
        <f t="shared" si="114"/>
        <v>817</v>
      </c>
      <c r="HV33" s="541">
        <f t="shared" si="115"/>
        <v>0</v>
      </c>
      <c r="HW33" s="533" t="str">
        <f t="shared" si="116"/>
        <v/>
      </c>
      <c r="HX33" s="541">
        <f t="shared" si="117"/>
        <v>455.37254901960785</v>
      </c>
      <c r="HY33" s="541">
        <f>Sheet1!CZ31</f>
        <v>674</v>
      </c>
      <c r="HZ33" s="541">
        <f t="shared" si="118"/>
        <v>0</v>
      </c>
      <c r="IA33" s="541">
        <f t="shared" si="119"/>
        <v>0</v>
      </c>
      <c r="IB33" s="541">
        <f t="shared" si="120"/>
        <v>674</v>
      </c>
      <c r="IC33" s="1019" t="str">
        <f t="shared" si="121"/>
        <v/>
      </c>
      <c r="ID33" s="541">
        <f t="shared" si="122"/>
        <v>674</v>
      </c>
      <c r="IE33" s="541">
        <f>Sheet1!DB31</f>
        <v>616</v>
      </c>
      <c r="IF33" s="533">
        <f>Sheet1!DA31</f>
        <v>1210</v>
      </c>
      <c r="IH33" s="541">
        <f>IF(AND($B33&gt;=$GC33,$B33&lt;=$GH33,$DR33&lt;0)+N("only adjusted when pool is drawn down during storage season"),Sheet1!$DB31+$DR33+N("Palmer minus all storage release"),Sheet1!$DB31)</f>
        <v>616</v>
      </c>
      <c r="II33" s="541">
        <f>IF(AND($B33&gt;=$GC33,$B33&lt;=$GH33,$DR33&lt;0)+N("only adjusted when pool is drawn down during storage season"),Sheet1!$DA31+$DR33+N("Auburn minus all storage release"),Sheet1!$DA31)</f>
        <v>1210</v>
      </c>
    </row>
    <row r="34" spans="1:243" x14ac:dyDescent="0.25">
      <c r="A34" s="553" t="s">
        <v>4</v>
      </c>
      <c r="B34" s="531">
        <v>42758</v>
      </c>
      <c r="C34" s="536">
        <v>0</v>
      </c>
      <c r="D34" s="506">
        <f t="shared" si="0"/>
        <v>300</v>
      </c>
      <c r="E34" s="506">
        <f t="shared" si="1"/>
        <v>250</v>
      </c>
      <c r="F34" s="506">
        <v>250</v>
      </c>
      <c r="G34" s="535">
        <f>DR34+Sheet1!CZ32</f>
        <v>630.76651538070416</v>
      </c>
      <c r="H34" s="1074">
        <f t="shared" si="96"/>
        <v>238.66120300799997</v>
      </c>
      <c r="I34" s="534">
        <f>IF(Sheet1!DA32&gt;=E34,(Sheet1!DA32-E34+P34)*CFStoMGD,0)</f>
        <v>629.73320300799992</v>
      </c>
      <c r="J34" s="995">
        <f>IF(Sheet1!DB32&gt;=D34,(Sheet1!DB32-D34+P34)*CFStoMGD,0)</f>
        <v>238.66120300799997</v>
      </c>
      <c r="K34" s="818">
        <f t="shared" si="97"/>
        <v>64.64</v>
      </c>
      <c r="L34" s="535">
        <f>Sheet1!AA32+Sheet1!AB32-Sheet1!L32+(Sheet1!DA32-F34)*CFStoMGD-S34-T34-U34</f>
        <v>588.22399999999993</v>
      </c>
      <c r="M34" s="535">
        <f t="shared" si="123"/>
        <v>415.88202505292895</v>
      </c>
      <c r="N34" s="824">
        <f>IF(Sheet1!DA32&gt;=F34,MIN(113*CFStoMGD,MIN(MAX(L34,0),MAX(M34,0))),0)</f>
        <v>73.043199999999999</v>
      </c>
      <c r="O34" s="538">
        <f>Sheet1!AA32+Sheet1!AB32</f>
        <v>41.510000000000005</v>
      </c>
      <c r="P34" s="538">
        <f t="shared" si="124"/>
        <v>64.215969999999999</v>
      </c>
      <c r="Q34" s="812">
        <f t="shared" si="98"/>
        <v>0</v>
      </c>
      <c r="R34" s="812">
        <f t="shared" si="59"/>
        <v>10.42834008097166</v>
      </c>
      <c r="S34" s="812">
        <f t="shared" si="60"/>
        <v>41.510000000000005</v>
      </c>
      <c r="T34" s="812">
        <f t="shared" si="61"/>
        <v>0</v>
      </c>
      <c r="U34" s="812">
        <f t="shared" si="99"/>
        <v>0</v>
      </c>
      <c r="V34" s="812"/>
      <c r="W34" s="812">
        <f t="shared" si="62"/>
        <v>54.211659919028342</v>
      </c>
      <c r="X34" s="812">
        <f t="shared" si="63"/>
        <v>41.510000000000005</v>
      </c>
      <c r="Y34" s="812" t="str">
        <f t="shared" si="64"/>
        <v/>
      </c>
      <c r="Z34" s="812">
        <f t="shared" si="65"/>
        <v>41.510000000000005</v>
      </c>
      <c r="AA34" s="812">
        <f t="shared" si="66"/>
        <v>41.510000000000005</v>
      </c>
      <c r="AB34" s="1059">
        <f t="shared" si="100"/>
        <v>0</v>
      </c>
      <c r="AC34" s="538">
        <f>Sheet1!Y32*MGDtoCFS</f>
        <v>38.984399999999994</v>
      </c>
      <c r="AD34" s="538">
        <f>Sheet1!Z32*MGDtoCFS</f>
        <v>29.16095</v>
      </c>
      <c r="AE34" s="538">
        <f>Sheet1!AA32*MGDtoCFS</f>
        <v>37.901499999999999</v>
      </c>
      <c r="AF34" s="538">
        <f>Sheet1!AB32*MGDtoCFS</f>
        <v>26.31447</v>
      </c>
      <c r="AG34" s="538">
        <f>Sheet1!L32*MGDtoCFS</f>
        <v>0</v>
      </c>
      <c r="AH34" s="521">
        <f t="shared" si="125"/>
        <v>0</v>
      </c>
      <c r="AI34" s="1059">
        <f t="shared" si="126"/>
        <v>0</v>
      </c>
      <c r="AJ34" s="535">
        <f t="shared" si="127"/>
        <v>0</v>
      </c>
      <c r="AK34" s="535">
        <f t="shared" si="128"/>
        <v>0</v>
      </c>
      <c r="AL34" s="535">
        <f>(VLOOKUP(Sheet1!DC32,hhdcap_wcm,4)-(((VLOOKUP(Sheet1!DC32,hhdcap_wcm,3)-Sheet1!DC32)/(VLOOKUP(Sheet1!DC32,hhdcap_wcm,3)-VLOOKUP(Sheet1!DC32,hhdcap_wcm,1)))*(VLOOKUP(Sheet1!DC32,hhdcap_wcm,4)-VLOOKUP(Sheet1!DC32,hhdcap_wcm,2))))</f>
        <v>1252.800000003597</v>
      </c>
      <c r="AM34" s="535">
        <f t="shared" si="129"/>
        <v>-77.800000000063619</v>
      </c>
      <c r="AN34" s="1035">
        <f t="shared" si="130"/>
        <v>0</v>
      </c>
      <c r="AO34" s="535">
        <f t="shared" si="131"/>
        <v>0</v>
      </c>
      <c r="AP34" s="535">
        <f>Sheet1!BA32+Sheet1!BB32+Sheet1!BN32+CD34</f>
        <v>6.69</v>
      </c>
      <c r="AQ34" s="535">
        <f>Sheet1!BN32+(DO34*Sheet1!BN32)</f>
        <v>6.5816599190283398</v>
      </c>
      <c r="AR34" s="535">
        <f>Sheet1!BA32+CD34</f>
        <v>0</v>
      </c>
      <c r="AS34" s="535">
        <f>Sheet1!BA32+Sheet1!BB32+CD34</f>
        <v>0</v>
      </c>
      <c r="AT34" s="649">
        <f>0</f>
        <v>0</v>
      </c>
      <c r="AU34" s="535">
        <f>IF(EB34&lt;K34,0,MAX(Sheet1!AA32+AQ34-15/36*K34-N34,Sheet1!EH32,0))</f>
        <v>0</v>
      </c>
      <c r="AV34" s="535">
        <f>IF(OR(B34&gt;=GD34,B34&lt;GC34),0,15/36*K34-MAX(0,64.6-(137.6-(Sheet1!AA32+Sheet1!AB32))))</f>
        <v>0</v>
      </c>
      <c r="AW34" s="1029"/>
      <c r="AX34" s="649"/>
      <c r="AY34" s="649">
        <f t="shared" si="101"/>
        <v>0</v>
      </c>
      <c r="AZ34" s="649">
        <f t="shared" si="102"/>
        <v>0</v>
      </c>
      <c r="BA34" s="1059">
        <f t="shared" si="103"/>
        <v>0</v>
      </c>
      <c r="BB34" s="1019">
        <f t="shared" si="132"/>
        <v>0</v>
      </c>
      <c r="BC34" s="1041">
        <f t="shared" si="104"/>
        <v>26.933333333333334</v>
      </c>
      <c r="BD34" s="1019">
        <f ca="1">IF(B34&gt;Summary!$A$1,#N/A,BB34*MGtoAF)</f>
        <v>0</v>
      </c>
      <c r="BE34" s="535">
        <f>Sheet1!BG32+Sheet1!BH32+Sheet1!BI32-BM34</f>
        <v>1.05</v>
      </c>
      <c r="BF34" s="535">
        <f t="shared" si="133"/>
        <v>1.032995951417004</v>
      </c>
      <c r="BG34" s="535">
        <f>IF(Sheet1!EP32="FM",BM34,0)</f>
        <v>0</v>
      </c>
      <c r="BH34" s="535">
        <f t="shared" si="134"/>
        <v>0</v>
      </c>
      <c r="BI34" s="535">
        <f>IF(Sheet1!EP32="OTHER",BM34,0)</f>
        <v>0</v>
      </c>
      <c r="BJ34" s="535">
        <f t="shared" si="135"/>
        <v>0</v>
      </c>
      <c r="BK34" s="535">
        <f t="shared" si="136"/>
        <v>1.05</v>
      </c>
      <c r="BL34" s="535">
        <f t="shared" si="137"/>
        <v>1.032995951417004</v>
      </c>
      <c r="BM34" s="535">
        <f>IF(OR(Sheet1!EP32="FM", Sheet1!EP32="OTHER"),SUM(Sheet1!BG32:'Sheet1'!BI32),0)</f>
        <v>0</v>
      </c>
      <c r="BN34" s="521">
        <f>IF(AND($B34&gt;=$FV34,$B34&lt;=$FW34),MAX(BF34,Sheet1!EI32,0),MAX(BF34-(7/36)*$K34,0))</f>
        <v>0</v>
      </c>
      <c r="BO34" s="535">
        <f t="shared" si="138"/>
        <v>0</v>
      </c>
      <c r="BP34" s="521">
        <f t="shared" si="184"/>
        <v>1.032995951417004</v>
      </c>
      <c r="BQ34" s="521">
        <f>IF(AND($O34&gt;0,Sheet1!EM32=1),(1-($O34-Sheet1!$L32)/$O34)*BL34,0)</f>
        <v>0</v>
      </c>
      <c r="BR34" s="521">
        <f>IF(AND(Sheet1!$L32=0,Sheet1!$L31=0, Calculation!BK34&lt;Sheet1!$EI32-0.1,Sheet1!$EI32=Sheet1!$EI31,Sheet1!$EI32=Sheet1!$EI33),BL34-BQ34,BL34-BQ34)</f>
        <v>1.032995951417004</v>
      </c>
      <c r="BS34" s="1035" t="str">
        <f t="shared" si="105"/>
        <v/>
      </c>
      <c r="BT34" s="1035">
        <f t="shared" si="106"/>
        <v>12.568888888888889</v>
      </c>
      <c r="BU34" s="535">
        <f t="shared" si="139"/>
        <v>0</v>
      </c>
      <c r="BV34" s="535"/>
      <c r="BW34" s="535">
        <f ca="1">IF(B34&gt;Summary!$A$1,#N/A,BU34*MGtoAF)</f>
        <v>0</v>
      </c>
      <c r="BX34" s="535">
        <f>Sheet1!BC32+Sheet1!BD32+Sheet1!BE32+Sheet1!BF32-CG34-CH34</f>
        <v>2.98</v>
      </c>
      <c r="BY34" s="535">
        <f t="shared" si="140"/>
        <v>2.9317408906882587</v>
      </c>
      <c r="BZ34" s="535">
        <f>IF(Sheet1!EQ32="FM",CH34,0)</f>
        <v>0</v>
      </c>
      <c r="CA34" s="535">
        <f t="shared" si="141"/>
        <v>0</v>
      </c>
      <c r="CB34" s="535">
        <f>IF(Sheet1!EQ32="OTHER",CH34,0)</f>
        <v>0</v>
      </c>
      <c r="CC34" s="535">
        <f t="shared" si="142"/>
        <v>0</v>
      </c>
      <c r="CD34" s="535">
        <f t="shared" si="143"/>
        <v>0</v>
      </c>
      <c r="CE34" s="535">
        <f t="shared" si="144"/>
        <v>2.98</v>
      </c>
      <c r="CF34" s="535">
        <f t="shared" si="145"/>
        <v>2.9317408906882587</v>
      </c>
      <c r="CG34" s="535">
        <f>IF(Sheet1!EQ32="CWA",SUM(Sheet1!BC32:'Sheet1'!BF32),0)</f>
        <v>0</v>
      </c>
      <c r="CH34" s="535">
        <f>IF(OR(Sheet1!EQ32="FM", Sheet1!EQ32="OTHER"),SUM(Sheet1!BC32:'Sheet1'!BF32),0)</f>
        <v>0</v>
      </c>
      <c r="CI34" s="521">
        <f>IF(AND($B34&gt;=$FV34,$B34&lt;=$FW34),MAX(CF34,Sheet1!EJ32,0),MAX(CF34-(7/36)*$K34,0))</f>
        <v>0</v>
      </c>
      <c r="CJ34" s="535">
        <f t="shared" si="146"/>
        <v>0</v>
      </c>
      <c r="CK34" s="521">
        <f t="shared" si="182"/>
        <v>2.9317408906882587</v>
      </c>
      <c r="CL34" s="521">
        <f>IF(AND($O34&gt;0,Sheet1!EN32=1),(1-($O34-Sheet1!$L32)/$O34)*CF34,0)</f>
        <v>0</v>
      </c>
      <c r="CM34" s="521">
        <f>IF(AND(Sheet1!$L32=0,Sheet1!$L31=0, Calculation!CE34&lt;Sheet1!EJ32-0.1,Sheet1!EJ32=Sheet1!EJ31,Sheet1!EJ32=Sheet1!EJ33),CF34-CL34,CF34-CL34)</f>
        <v>2.9317408906882587</v>
      </c>
      <c r="CN34" s="1040" t="str">
        <f t="shared" si="107"/>
        <v/>
      </c>
      <c r="CO34" s="1035">
        <f t="shared" si="108"/>
        <v>12.568888888888889</v>
      </c>
      <c r="CP34" s="535">
        <f t="shared" si="147"/>
        <v>0</v>
      </c>
      <c r="CQ34" s="535"/>
      <c r="CR34" s="535">
        <f ca="1">IF(B34&gt;Summary!$A$1,#N/A,CP34*MGtoAF)</f>
        <v>0</v>
      </c>
      <c r="CS34" s="535">
        <f>Sheet1!BK32+Sheet1!BL32+Sheet1!BM32-Sheet1!ER32-DA34</f>
        <v>6.57</v>
      </c>
      <c r="CT34" s="535">
        <f t="shared" si="148"/>
        <v>6.4636032388663969</v>
      </c>
      <c r="CU34" s="535">
        <f>IF(Sheet1!ER32="FM",DA34,0)</f>
        <v>0</v>
      </c>
      <c r="CV34" s="535">
        <f t="shared" si="149"/>
        <v>0</v>
      </c>
      <c r="CW34" s="535">
        <f>IF(Sheet1!ER32="OTHER",DA34,0)</f>
        <v>0</v>
      </c>
      <c r="CX34" s="535">
        <f t="shared" si="150"/>
        <v>0</v>
      </c>
      <c r="CY34" s="535">
        <f t="shared" si="151"/>
        <v>6.57</v>
      </c>
      <c r="CZ34" s="535">
        <f t="shared" si="152"/>
        <v>6.4636032388663969</v>
      </c>
      <c r="DA34" s="535">
        <f>IF(OR(Sheet1!ER32="FM", Sheet1!ER32="OTHER"),SUM(Sheet1!BK32:'Sheet1'!BM32),0)</f>
        <v>0</v>
      </c>
      <c r="DB34" s="1011">
        <f>IF(AND($B34&gt;=$FV34,$B34&lt;=$FW34),MAX($CT34,Sheet1!EK32,0),MAX($CT34-(7/36)*$K34,0))</f>
        <v>0</v>
      </c>
      <c r="DC34" s="1012">
        <f t="shared" si="153"/>
        <v>0</v>
      </c>
      <c r="DD34" s="1011">
        <f t="shared" si="183"/>
        <v>6.4636032388663969</v>
      </c>
      <c r="DE34" s="521">
        <f>IF(AND($O34&gt;0,Sheet1!EO32=1),(1-($O34-Sheet1!$L32)/$O34)*CZ34,0)</f>
        <v>0</v>
      </c>
      <c r="DF34" s="521">
        <f>IF(AND(Sheet1!$L32=0,Sheet1!$L31=0, Calculation!CY34&lt;Sheet1!$EK32-0.1,Sheet1!$EK32=Sheet1!$EK31,Sheet1!$EK32=Sheet1!$EK33),CZ34-DE34,CZ34-DE34)</f>
        <v>6.4636032388663969</v>
      </c>
      <c r="DG34" s="1040">
        <f t="shared" si="109"/>
        <v>12.568888888888889</v>
      </c>
      <c r="DH34" s="649">
        <f t="shared" si="154"/>
        <v>10.600000000000001</v>
      </c>
      <c r="DI34" s="535">
        <f t="shared" si="155"/>
        <v>0</v>
      </c>
      <c r="DJ34" s="649">
        <f t="shared" si="156"/>
        <v>10.42834008097166</v>
      </c>
      <c r="DK34" s="535">
        <f ca="1">IF(B34&gt;Summary!$A$1,#N/A,DI34*MGtoAF)</f>
        <v>0</v>
      </c>
      <c r="DL34" s="649">
        <f t="shared" si="157"/>
        <v>10.600000000000001</v>
      </c>
      <c r="DM34" s="535">
        <f t="shared" si="158"/>
        <v>17.290000000000003</v>
      </c>
      <c r="DN34" s="535">
        <f>Sheet1!AB32-DM34</f>
        <v>-0.28000000000000114</v>
      </c>
      <c r="DO34" s="743">
        <f t="shared" si="159"/>
        <v>-1.6194331983805731E-2</v>
      </c>
      <c r="DP34" s="535">
        <f>(VLOOKUP(Sheet1!DC32,hhdcap_wcm,4)-(((VLOOKUP(Sheet1!DC32,hhdcap_wcm,3)-Sheet1!DC32)/(VLOOKUP(Sheet1!DC32,hhdcap_wcm,3)-VLOOKUP(Sheet1!DC32,hhdcap_wcm,1)))*(VLOOKUP(Sheet1!DC32,hhdcap_wcm,4)-VLOOKUP(Sheet1!DC32,hhdcap_wcm,2))))</f>
        <v>1252.800000003597</v>
      </c>
      <c r="DQ34" s="535">
        <f t="shared" si="160"/>
        <v>-77.800000000063619</v>
      </c>
      <c r="DR34" s="535">
        <f t="shared" si="161"/>
        <v>-39.233484619295815</v>
      </c>
      <c r="DS34" s="535">
        <f>Sheet1!EA32*AFtoMG</f>
        <v>0</v>
      </c>
      <c r="DT34" s="535">
        <f>Sheet1!EB32*AFtoMG</f>
        <v>0</v>
      </c>
      <c r="DU34" s="535">
        <f>Sheet1!EC32*AFtoMG</f>
        <v>0</v>
      </c>
      <c r="DV34" s="535">
        <f>Sheet1!ED32*AFtoMG</f>
        <v>0</v>
      </c>
      <c r="DW34" s="535">
        <f t="shared" si="162"/>
        <v>0</v>
      </c>
      <c r="DX34" s="535">
        <f t="shared" si="163"/>
        <v>0</v>
      </c>
      <c r="DY34" s="535">
        <f t="shared" si="164"/>
        <v>0</v>
      </c>
      <c r="DZ34" s="535">
        <f t="shared" si="165"/>
        <v>0</v>
      </c>
      <c r="EA34" s="535"/>
      <c r="EB34" s="521">
        <f>IF(OR(B34&lt;FV34,B34&gt;FW34),(MIN(BF34+BY34+CT34+MAX(Sheet1!AA32+AQ34-73,0),K34)),0)</f>
        <v>10.42834008097166</v>
      </c>
      <c r="EC34" s="535"/>
      <c r="ED34" s="535">
        <f t="shared" si="166"/>
        <v>10.42834008097166</v>
      </c>
      <c r="EE34" s="535"/>
      <c r="EF34" s="535">
        <f>Sheet1!EH32+Sheet1!EI32+Sheet1!EJ32+Sheet1!EK32</f>
        <v>10.5</v>
      </c>
      <c r="EG34" s="1019">
        <f t="shared" si="110"/>
        <v>16.243500000000001</v>
      </c>
      <c r="EH34" s="521">
        <f t="shared" si="167"/>
        <v>0</v>
      </c>
      <c r="EI34" s="535">
        <f>IF(Sheet1!ET32=1,SUM('Calculations II'!AT34:BA34)+'Calculations II'!BC34+Sheet1!BV32+'Calculations II'!BE34+AP34,'Calculations II'!BK34)</f>
        <v>33.65164591902834</v>
      </c>
      <c r="EJ34" s="535">
        <f ca="1">EI34+'Calculations II'!D34+'Calculations II'!E34+'Calculations II'!O34</f>
        <v>31.907009503335399</v>
      </c>
      <c r="EK34" s="535"/>
      <c r="EL34" s="535"/>
      <c r="EM34" s="535">
        <f t="shared" si="168"/>
        <v>42758</v>
      </c>
      <c r="EN34" s="535">
        <f t="shared" si="169"/>
        <v>0</v>
      </c>
      <c r="EO34" s="535">
        <f t="shared" si="170"/>
        <v>0</v>
      </c>
      <c r="EP34" s="535">
        <v>0</v>
      </c>
      <c r="EQ34" s="535">
        <v>0</v>
      </c>
      <c r="ER34" s="535">
        <v>0</v>
      </c>
      <c r="ES34" s="521">
        <f t="shared" si="71"/>
        <v>3.184470618115701</v>
      </c>
      <c r="ET34" s="535">
        <f>-(VLOOKUP(Sheet1!BQ32,Lookup!$O$4:$Q$262,2)-VLOOKUP(Sheet1!BQ31,Lookup!$O$4:$Q$262,2))/1000000</f>
        <v>1.5227686562056766</v>
      </c>
      <c r="EU34" s="535">
        <f>-(VLOOKUP(Sheet1!BR32,Lookup!$O$4:$Q$262,3)-VLOOKUP(Sheet1!BR31,Lookup!$O$4:$Q$262,3))/1000000</f>
        <v>1.6617019619100244</v>
      </c>
      <c r="EV34" s="535"/>
      <c r="EW34" s="535"/>
      <c r="EX34" s="535"/>
      <c r="EY34" s="535"/>
      <c r="EZ34" s="535"/>
      <c r="FA34" s="535"/>
      <c r="FB34" s="535"/>
      <c r="FC34" s="535"/>
      <c r="FD34" s="567" t="e">
        <f t="shared" si="171"/>
        <v>#N/A</v>
      </c>
      <c r="FE34" s="567" t="e">
        <f t="shared" si="172"/>
        <v>#N/A</v>
      </c>
      <c r="FF34" s="568" t="e">
        <f t="shared" si="173"/>
        <v>#N/A</v>
      </c>
      <c r="FG34" s="569" t="s">
        <v>656</v>
      </c>
      <c r="FH34" s="569" t="s">
        <v>656</v>
      </c>
      <c r="FI34" s="567" t="e">
        <v>#N/A</v>
      </c>
      <c r="FJ34" s="567" t="e">
        <v>#N/A</v>
      </c>
      <c r="FK34" s="535"/>
      <c r="FL34" s="1015">
        <v>0</v>
      </c>
      <c r="FM34" s="535"/>
      <c r="FN34" s="535"/>
      <c r="FO34" s="535">
        <f>O34+((Sheet1!CS32)*GPMtoMGD)</f>
        <v>41.510000000000005</v>
      </c>
      <c r="FP34" s="535">
        <f>IF(Sheet1!AA32+AQ34&lt;=Calculation!N34,AQ34,Calculation!N34-Sheet1!AA32)</f>
        <v>6.5816599190283398</v>
      </c>
      <c r="FQ34" s="535">
        <f>(Sheet1!BP32+Sheet1!BO32)/694.4</f>
        <v>1.2262384792626728</v>
      </c>
      <c r="FR34" s="541"/>
      <c r="FS34" s="541"/>
      <c r="FT34" s="541"/>
      <c r="FU34" s="541"/>
      <c r="FV34" s="1109">
        <f t="shared" si="74"/>
        <v>42918</v>
      </c>
      <c r="FW34" s="1109">
        <f t="shared" si="75"/>
        <v>43027</v>
      </c>
      <c r="FX34" s="541"/>
      <c r="FY34" s="541">
        <f>Sheet1!DA32-Sheet1!CZ32-Sheet1!AE32</f>
        <v>425.78403000000003</v>
      </c>
      <c r="FZ34" s="535">
        <f t="shared" si="111"/>
        <v>0.67502636810550209</v>
      </c>
      <c r="GA34" s="535"/>
      <c r="GB34" s="535" t="str">
        <f t="shared" si="76"/>
        <v>n</v>
      </c>
      <c r="GC34" s="539">
        <f t="shared" si="77"/>
        <v>42782</v>
      </c>
      <c r="GD34" s="1109">
        <f t="shared" si="78"/>
        <v>42904</v>
      </c>
      <c r="GE34" s="535">
        <f t="shared" si="95"/>
        <v>6520</v>
      </c>
      <c r="GF34" s="1109">
        <f t="shared" si="79"/>
        <v>42909</v>
      </c>
      <c r="GG34" s="535">
        <f t="shared" si="174"/>
        <v>3260</v>
      </c>
      <c r="GH34" s="539">
        <f t="shared" si="80"/>
        <v>43040</v>
      </c>
      <c r="GJ34" s="521">
        <f t="shared" si="81"/>
        <v>0</v>
      </c>
      <c r="GK34" s="535" t="str">
        <f t="shared" si="175"/>
        <v/>
      </c>
      <c r="GL34" s="535">
        <f t="shared" si="82"/>
        <v>0</v>
      </c>
      <c r="GM34" s="535" t="str">
        <f t="shared" si="83"/>
        <v/>
      </c>
      <c r="GN34" s="535">
        <f>IF(GK34="P",Lookup!$M$12,IF(GK34="PP",Lookup!$M$13,IF(GK34="PPP",Lookup!$M$14,IF(GK34="T",Lookup!$M$15,IF(GK34="TP",Lookup!$M$16,IF(GK34="TPP",Lookup!$M$17,IF(GK34="TPPP",Lookup!$M$18,0)))))))*GJ34</f>
        <v>0</v>
      </c>
      <c r="GO34" s="535">
        <f t="shared" si="84"/>
        <v>0</v>
      </c>
      <c r="GP34" s="535">
        <f t="shared" si="176"/>
        <v>0</v>
      </c>
      <c r="GQ34" s="535">
        <f t="shared" si="94"/>
        <v>0</v>
      </c>
      <c r="GR34" s="535"/>
      <c r="GS34" s="535">
        <f t="shared" si="85"/>
        <v>0</v>
      </c>
      <c r="GT34" s="535" t="str">
        <f t="shared" si="86"/>
        <v/>
      </c>
      <c r="GU34" s="535">
        <f>IF(GK34="P",Lookup!$N$12,IF(GK34="PP",Lookup!$N$13,IF(GK34="PPP",Lookup!$N$14,IF(GK34="T",Lookup!$N$15,IF(GK34="TP",Lookup!$N$16,IF(GK34="TPP",Lookup!$N$17,IF(GK34="TPPP",Lookup!$N$18,0)))))))*GJ34</f>
        <v>0</v>
      </c>
      <c r="GV34" s="535">
        <f t="shared" si="53"/>
        <v>0</v>
      </c>
      <c r="GW34" s="535">
        <f t="shared" si="177"/>
        <v>0</v>
      </c>
      <c r="GX34" s="535">
        <f t="shared" si="91"/>
        <v>0</v>
      </c>
      <c r="GY34" s="535"/>
      <c r="GZ34" s="535">
        <f t="shared" si="87"/>
        <v>0</v>
      </c>
      <c r="HA34" s="535" t="str">
        <f t="shared" si="88"/>
        <v/>
      </c>
      <c r="HB34" s="535">
        <f>IF(GK34="P",Lookup!$N$12,IF(GK34="PP",Lookup!$N$13,IF(GK34="PPP",Lookup!$N$14,IF(GK34="T",Lookup!$N$15,IF(GK34="TP",Lookup!$N$16,IF(GK34="TPP",Lookup!$N$17,IF(GK34="TPPP",Lookup!$N$18,0)))))))*GJ34</f>
        <v>0</v>
      </c>
      <c r="HC34" s="521">
        <f t="shared" si="178"/>
        <v>0</v>
      </c>
      <c r="HD34" s="535">
        <f t="shared" si="179"/>
        <v>0</v>
      </c>
      <c r="HE34" s="535">
        <f t="shared" si="92"/>
        <v>0</v>
      </c>
      <c r="HF34" s="535"/>
      <c r="HG34" s="535">
        <f t="shared" si="89"/>
        <v>0</v>
      </c>
      <c r="HH34" s="535" t="str">
        <f t="shared" si="90"/>
        <v/>
      </c>
      <c r="HI34" s="535">
        <f>IF(GK34="P",Lookup!$N$12,IF(GK34="PP",Lookup!$N$13,IF(GK34="PPP",Lookup!$N$14,IF(GK34="T",Lookup!$N$15,IF(GK34="TP",Lookup!$N$16,IF(GK34="TPP",Lookup!$N$17,IF(GK34="TPPP",Lookup!$N$18,0)))))))*GJ34</f>
        <v>0</v>
      </c>
      <c r="HJ34" s="521">
        <f t="shared" si="180"/>
        <v>0</v>
      </c>
      <c r="HK34" s="535">
        <f t="shared" si="181"/>
        <v>0</v>
      </c>
      <c r="HL34" s="535">
        <f t="shared" si="93"/>
        <v>0</v>
      </c>
      <c r="HM34" s="535"/>
      <c r="HN34" s="541"/>
      <c r="HO34" s="541"/>
      <c r="HP34" s="541"/>
      <c r="HQ34" s="541">
        <f>IF(AND(B34&gt;=$FV$4,B34&lt;=$FW$4),MAX(110/1.02+$HQ$6+MIN(113/1.02,G34),IF($HV$6-(Sheet1!DA32-Sheet1!DB32)+MIN(113/1.02,G34)&lt;G34+FL34,$HV$6-(Sheet1!DA32-Sheet1!DB32)+MIN(113/1.02,G34),G34+FL34)),MIN(110/1.02+$HQ$6+113/1.02,G34))</f>
        <v>218.62745098039215</v>
      </c>
      <c r="HR34" s="541">
        <f t="shared" si="112"/>
        <v>223</v>
      </c>
      <c r="HS34" s="541">
        <f>HR34+(Sheet1!DA32-Sheet1!DB32)</f>
        <v>778</v>
      </c>
      <c r="HT34" s="541">
        <f t="shared" si="113"/>
        <v>0</v>
      </c>
      <c r="HU34" s="541">
        <f t="shared" si="114"/>
        <v>778</v>
      </c>
      <c r="HV34" s="541">
        <f t="shared" si="115"/>
        <v>0</v>
      </c>
      <c r="HW34" s="533" t="str">
        <f t="shared" si="116"/>
        <v/>
      </c>
      <c r="HX34" s="541">
        <f t="shared" si="117"/>
        <v>451.37254901960785</v>
      </c>
      <c r="HY34" s="541">
        <f>Sheet1!CZ32</f>
        <v>670</v>
      </c>
      <c r="HZ34" s="541">
        <f t="shared" si="118"/>
        <v>0</v>
      </c>
      <c r="IA34" s="541">
        <f t="shared" si="119"/>
        <v>0</v>
      </c>
      <c r="IB34" s="541">
        <f t="shared" si="120"/>
        <v>670</v>
      </c>
      <c r="IC34" s="1019" t="str">
        <f t="shared" si="121"/>
        <v/>
      </c>
      <c r="ID34" s="541">
        <f t="shared" si="122"/>
        <v>670</v>
      </c>
      <c r="IE34" s="541">
        <f>Sheet1!DB32</f>
        <v>605</v>
      </c>
      <c r="IF34" s="533">
        <f>Sheet1!DA32</f>
        <v>1160</v>
      </c>
      <c r="IH34" s="541">
        <f>IF(AND($B34&gt;=$GC34,$B34&lt;=$GH34,$DR34&lt;0)+N("only adjusted when pool is drawn down during storage season"),Sheet1!$DB32+$DR34+N("Palmer minus all storage release"),Sheet1!$DB32)</f>
        <v>605</v>
      </c>
      <c r="II34" s="541">
        <f>IF(AND($B34&gt;=$GC34,$B34&lt;=$GH34,$DR34&lt;0)+N("only adjusted when pool is drawn down during storage season"),Sheet1!$DA32+$DR34+N("Auburn minus all storage release"),Sheet1!$DA32)</f>
        <v>1160</v>
      </c>
    </row>
    <row r="35" spans="1:243" x14ac:dyDescent="0.25">
      <c r="A35" s="553" t="s">
        <v>5</v>
      </c>
      <c r="B35" s="531">
        <v>42759</v>
      </c>
      <c r="C35" s="536">
        <v>0</v>
      </c>
      <c r="D35" s="506">
        <f t="shared" si="0"/>
        <v>300</v>
      </c>
      <c r="E35" s="506">
        <f t="shared" si="1"/>
        <v>250</v>
      </c>
      <c r="F35" s="506">
        <v>250</v>
      </c>
      <c r="G35" s="535">
        <f>DR35+Sheet1!CZ33</f>
        <v>559.28593040829776</v>
      </c>
      <c r="H35" s="1074">
        <f t="shared" si="96"/>
        <v>198.59440281600001</v>
      </c>
      <c r="I35" s="534">
        <f>IF(Sheet1!DA33&gt;=E35,(Sheet1!DA33-E35+P35)*CFStoMGD,0)</f>
        <v>570.92080281599999</v>
      </c>
      <c r="J35" s="995">
        <f>IF(Sheet1!DB33&gt;=D35,(Sheet1!DB33-D35+P35)*CFStoMGD,0)</f>
        <v>198.59440281600001</v>
      </c>
      <c r="K35" s="818">
        <f t="shared" si="97"/>
        <v>64.64</v>
      </c>
      <c r="L35" s="535">
        <f>Sheet1!AA33+Sheet1!AB33-Sheet1!L33+(Sheet1!DA33-F35)*CFStoMGD-S35-T35-U35</f>
        <v>529.40160000000003</v>
      </c>
      <c r="M35" s="535">
        <f t="shared" si="123"/>
        <v>368.75287392424218</v>
      </c>
      <c r="N35" s="824">
        <f>IF(Sheet1!DA33&gt;=F35,MIN(113*CFStoMGD,MIN(MAX(L35,0),MAX(M35,0))),0)</f>
        <v>73.043199999999999</v>
      </c>
      <c r="O35" s="538">
        <f>Sheet1!AA33+Sheet1!AB33</f>
        <v>41.519999999999996</v>
      </c>
      <c r="P35" s="538">
        <f t="shared" si="124"/>
        <v>64.231439999999992</v>
      </c>
      <c r="Q35" s="812">
        <f t="shared" si="98"/>
        <v>0</v>
      </c>
      <c r="R35" s="812">
        <f t="shared" si="59"/>
        <v>10.434886817576565</v>
      </c>
      <c r="S35" s="812">
        <f t="shared" si="60"/>
        <v>41.519999999999996</v>
      </c>
      <c r="T35" s="812">
        <f t="shared" si="61"/>
        <v>0</v>
      </c>
      <c r="U35" s="812">
        <f t="shared" si="99"/>
        <v>0</v>
      </c>
      <c r="V35" s="812"/>
      <c r="W35" s="812">
        <f t="shared" si="62"/>
        <v>54.205113182423432</v>
      </c>
      <c r="X35" s="812">
        <f t="shared" si="63"/>
        <v>41.519999999999996</v>
      </c>
      <c r="Y35" s="812" t="str">
        <f t="shared" si="64"/>
        <v/>
      </c>
      <c r="Z35" s="812">
        <f t="shared" si="65"/>
        <v>41.519999999999996</v>
      </c>
      <c r="AA35" s="812">
        <f t="shared" si="66"/>
        <v>41.519999999999996</v>
      </c>
      <c r="AB35" s="1059">
        <f t="shared" si="100"/>
        <v>0</v>
      </c>
      <c r="AC35" s="538">
        <f>Sheet1!Y33*MGDtoCFS</f>
        <v>37.901499999999999</v>
      </c>
      <c r="AD35" s="538">
        <f>Sheet1!Z33*MGDtoCFS</f>
        <v>26.298999999999999</v>
      </c>
      <c r="AE35" s="538">
        <f>Sheet1!AA33*MGDtoCFS</f>
        <v>37.901499999999999</v>
      </c>
      <c r="AF35" s="538">
        <f>Sheet1!AB33*MGDtoCFS</f>
        <v>26.329939999999997</v>
      </c>
      <c r="AG35" s="538">
        <f>Sheet1!L33*MGDtoCFS</f>
        <v>0</v>
      </c>
      <c r="AH35" s="521">
        <f t="shared" si="125"/>
        <v>0</v>
      </c>
      <c r="AI35" s="1059">
        <f t="shared" si="126"/>
        <v>0</v>
      </c>
      <c r="AJ35" s="535">
        <f t="shared" si="127"/>
        <v>0</v>
      </c>
      <c r="AK35" s="535">
        <f t="shared" si="128"/>
        <v>0</v>
      </c>
      <c r="AL35" s="535">
        <f>(VLOOKUP(Sheet1!DC33,hhdcap_wcm,4)-(((VLOOKUP(Sheet1!DC33,hhdcap_wcm,3)-Sheet1!DC33)/(VLOOKUP(Sheet1!DC33,hhdcap_wcm,3)-VLOOKUP(Sheet1!DC33,hhdcap_wcm,1)))*(VLOOKUP(Sheet1!DC33,hhdcap_wcm,4)-VLOOKUP(Sheet1!DC33,hhdcap_wcm,2))))</f>
        <v>1156.2000000032515</v>
      </c>
      <c r="AM35" s="535">
        <f t="shared" si="129"/>
        <v>-96.600000000345517</v>
      </c>
      <c r="AN35" s="1035">
        <f t="shared" si="130"/>
        <v>0</v>
      </c>
      <c r="AO35" s="535">
        <f t="shared" si="131"/>
        <v>0</v>
      </c>
      <c r="AP35" s="535">
        <f>Sheet1!BA33+Sheet1!BB33+Sheet1!BN33+CD35</f>
        <v>6.6829999999999998</v>
      </c>
      <c r="AQ35" s="535">
        <f>Sheet1!BN33+(DO35*Sheet1!BN33)</f>
        <v>6.5851131824234352</v>
      </c>
      <c r="AR35" s="535">
        <f>Sheet1!BA33+CD35</f>
        <v>0</v>
      </c>
      <c r="AS35" s="535">
        <f>Sheet1!BA33+Sheet1!BB33+CD35</f>
        <v>0</v>
      </c>
      <c r="AT35" s="649">
        <f>0</f>
        <v>0</v>
      </c>
      <c r="AU35" s="535">
        <f>IF(EB35&lt;K35,0,MAX(Sheet1!AA33+AQ35-15/36*K35-N35,Sheet1!EH33,0))</f>
        <v>0</v>
      </c>
      <c r="AV35" s="535">
        <f>IF(OR(B35&gt;=GD35,B35&lt;GC35),0,15/36*K35-MAX(0,64.6-(137.6-(Sheet1!AA33+Sheet1!AB33))))</f>
        <v>0</v>
      </c>
      <c r="AW35" s="1029"/>
      <c r="AX35" s="649"/>
      <c r="AY35" s="649">
        <f t="shared" si="101"/>
        <v>0</v>
      </c>
      <c r="AZ35" s="649">
        <f t="shared" si="102"/>
        <v>0</v>
      </c>
      <c r="BA35" s="1059">
        <f t="shared" si="103"/>
        <v>0</v>
      </c>
      <c r="BB35" s="1019">
        <f t="shared" si="132"/>
        <v>0</v>
      </c>
      <c r="BC35" s="1041">
        <f t="shared" si="104"/>
        <v>26.933333333333334</v>
      </c>
      <c r="BD35" s="1019">
        <f ca="1">IF(B35&gt;Summary!$A$1,#N/A,BB35*MGtoAF)</f>
        <v>0</v>
      </c>
      <c r="BE35" s="535">
        <f>Sheet1!BG33+Sheet1!BH33+Sheet1!BI33-BM35</f>
        <v>1.05</v>
      </c>
      <c r="BF35" s="535">
        <f t="shared" si="133"/>
        <v>1.0346205059920106</v>
      </c>
      <c r="BG35" s="535">
        <f>IF(Sheet1!EP33="FM",BM35,0)</f>
        <v>0</v>
      </c>
      <c r="BH35" s="535">
        <f t="shared" si="134"/>
        <v>0</v>
      </c>
      <c r="BI35" s="535">
        <f>IF(Sheet1!EP33="OTHER",BM35,0)</f>
        <v>0</v>
      </c>
      <c r="BJ35" s="535">
        <f t="shared" si="135"/>
        <v>0</v>
      </c>
      <c r="BK35" s="535">
        <f t="shared" si="136"/>
        <v>1.05</v>
      </c>
      <c r="BL35" s="535">
        <f t="shared" si="137"/>
        <v>1.0346205059920106</v>
      </c>
      <c r="BM35" s="535">
        <f>IF(OR(Sheet1!EP33="FM", Sheet1!EP33="OTHER"),SUM(Sheet1!BG33:'Sheet1'!BI33),0)</f>
        <v>0</v>
      </c>
      <c r="BN35" s="521">
        <f>IF(AND($B35&gt;=$FV35,$B35&lt;=$FW35),MAX(BF35,Sheet1!EI33,0),MAX(BF35-(7/36)*$K35,0))</f>
        <v>0</v>
      </c>
      <c r="BO35" s="535">
        <f t="shared" si="138"/>
        <v>0</v>
      </c>
      <c r="BP35" s="521">
        <f t="shared" si="184"/>
        <v>1.0346205059920106</v>
      </c>
      <c r="BQ35" s="521">
        <f>IF(AND($O35&gt;0,Sheet1!EM33=1),(1-($O35-Sheet1!$L33)/$O35)*BL35,0)</f>
        <v>0</v>
      </c>
      <c r="BR35" s="521">
        <f>IF(AND(Sheet1!$L33=0,Sheet1!$L32=0, Calculation!BK35&lt;Sheet1!$EI33-0.1,Sheet1!$EI33=Sheet1!$EI32,Sheet1!$EI33=Sheet1!$EI34),BL35-BQ35,BL35-BQ35)</f>
        <v>1.0346205059920106</v>
      </c>
      <c r="BS35" s="1035" t="str">
        <f t="shared" si="105"/>
        <v/>
      </c>
      <c r="BT35" s="1035">
        <f t="shared" si="106"/>
        <v>12.568888888888889</v>
      </c>
      <c r="BU35" s="535">
        <f t="shared" si="139"/>
        <v>0</v>
      </c>
      <c r="BV35" s="535"/>
      <c r="BW35" s="535">
        <f ca="1">IF(B35&gt;Summary!$A$1,#N/A,BU35*MGtoAF)</f>
        <v>0</v>
      </c>
      <c r="BX35" s="535">
        <f>Sheet1!BC33+Sheet1!BD33+Sheet1!BE33+Sheet1!BF33-CG35-CH35</f>
        <v>2.99</v>
      </c>
      <c r="BY35" s="535">
        <f t="shared" si="140"/>
        <v>2.9462050599201066</v>
      </c>
      <c r="BZ35" s="535">
        <f>IF(Sheet1!EQ33="FM",CH35,0)</f>
        <v>0</v>
      </c>
      <c r="CA35" s="535">
        <f t="shared" si="141"/>
        <v>0</v>
      </c>
      <c r="CB35" s="535">
        <f>IF(Sheet1!EQ33="OTHER",CH35,0)</f>
        <v>0</v>
      </c>
      <c r="CC35" s="535">
        <f t="shared" si="142"/>
        <v>0</v>
      </c>
      <c r="CD35" s="535">
        <f t="shared" si="143"/>
        <v>0</v>
      </c>
      <c r="CE35" s="535">
        <f t="shared" si="144"/>
        <v>2.99</v>
      </c>
      <c r="CF35" s="535">
        <f t="shared" si="145"/>
        <v>2.9462050599201066</v>
      </c>
      <c r="CG35" s="535">
        <f>IF(Sheet1!EQ33="CWA",SUM(Sheet1!BC33:'Sheet1'!BF33),0)</f>
        <v>0</v>
      </c>
      <c r="CH35" s="535">
        <f>IF(OR(Sheet1!EQ33="FM", Sheet1!EQ33="OTHER"),SUM(Sheet1!BC33:'Sheet1'!BF33),0)</f>
        <v>0</v>
      </c>
      <c r="CI35" s="521">
        <f>IF(AND($B35&gt;=$FV35,$B35&lt;=$FW35),MAX(CF35,Sheet1!EJ33,0),MAX(CF35-(7/36)*$K35,0))</f>
        <v>0</v>
      </c>
      <c r="CJ35" s="535">
        <f t="shared" si="146"/>
        <v>0</v>
      </c>
      <c r="CK35" s="521">
        <f t="shared" si="182"/>
        <v>2.9462050599201066</v>
      </c>
      <c r="CL35" s="521">
        <f>IF(AND($O35&gt;0,Sheet1!EN33=1),(1-($O35-Sheet1!$L33)/$O35)*CF35,0)</f>
        <v>0</v>
      </c>
      <c r="CM35" s="521">
        <f>IF(AND(Sheet1!$L33=0,Sheet1!$L32=0, Calculation!CE35&lt;Sheet1!EJ33-0.1,Sheet1!EJ33=Sheet1!EJ32,Sheet1!EJ33=Sheet1!EJ34),CF35-CL35,CF35-CL35)</f>
        <v>2.9462050599201066</v>
      </c>
      <c r="CN35" s="1040" t="str">
        <f t="shared" si="107"/>
        <v/>
      </c>
      <c r="CO35" s="1035">
        <f t="shared" si="108"/>
        <v>12.568888888888889</v>
      </c>
      <c r="CP35" s="535">
        <f t="shared" si="147"/>
        <v>0</v>
      </c>
      <c r="CQ35" s="535"/>
      <c r="CR35" s="535">
        <f ca="1">IF(B35&gt;Summary!$A$1,#N/A,CP35*MGtoAF)</f>
        <v>0</v>
      </c>
      <c r="CS35" s="535">
        <f>Sheet1!BK33+Sheet1!BL33+Sheet1!BM33-Sheet1!ER33-DA35</f>
        <v>6.55</v>
      </c>
      <c r="CT35" s="535">
        <f t="shared" si="148"/>
        <v>6.4540612516644469</v>
      </c>
      <c r="CU35" s="535">
        <f>IF(Sheet1!ER33="FM",DA35,0)</f>
        <v>0</v>
      </c>
      <c r="CV35" s="535">
        <f t="shared" si="149"/>
        <v>0</v>
      </c>
      <c r="CW35" s="535">
        <f>IF(Sheet1!ER33="OTHER",DA35,0)</f>
        <v>0</v>
      </c>
      <c r="CX35" s="535">
        <f t="shared" si="150"/>
        <v>0</v>
      </c>
      <c r="CY35" s="535">
        <f t="shared" si="151"/>
        <v>6.55</v>
      </c>
      <c r="CZ35" s="535">
        <f t="shared" si="152"/>
        <v>6.4540612516644469</v>
      </c>
      <c r="DA35" s="535">
        <f>IF(OR(Sheet1!ER33="FM", Sheet1!ER33="OTHER"),SUM(Sheet1!BK33:'Sheet1'!BM33),0)</f>
        <v>0</v>
      </c>
      <c r="DB35" s="1011">
        <f>IF(AND($B35&gt;=$FV35,$B35&lt;=$FW35),MAX($CT35,Sheet1!EK33,0),MAX($CT35-(7/36)*$K35,0))</f>
        <v>0</v>
      </c>
      <c r="DC35" s="1012">
        <f t="shared" si="153"/>
        <v>0</v>
      </c>
      <c r="DD35" s="1011">
        <f t="shared" si="183"/>
        <v>6.4540612516644469</v>
      </c>
      <c r="DE35" s="521">
        <f>IF(AND($O35&gt;0,Sheet1!EO33=1),(1-($O35-Sheet1!$L33)/$O35)*CZ35,0)</f>
        <v>0</v>
      </c>
      <c r="DF35" s="521">
        <f>IF(AND(Sheet1!$L33=0,Sheet1!$L32=0, Calculation!CY35&lt;Sheet1!$EK33-0.1,Sheet1!$EK33=Sheet1!$EK32,Sheet1!$EK33=Sheet1!$EK34),CZ35-DE35,CZ35-DE35)</f>
        <v>6.4540612516644469</v>
      </c>
      <c r="DG35" s="1040">
        <f t="shared" si="109"/>
        <v>12.568888888888889</v>
      </c>
      <c r="DH35" s="649">
        <f t="shared" si="154"/>
        <v>10.59</v>
      </c>
      <c r="DI35" s="535">
        <f t="shared" si="155"/>
        <v>0</v>
      </c>
      <c r="DJ35" s="649">
        <f t="shared" si="156"/>
        <v>10.434886817576565</v>
      </c>
      <c r="DK35" s="535">
        <f ca="1">IF(B35&gt;Summary!$A$1,#N/A,DI35*MGtoAF)</f>
        <v>0</v>
      </c>
      <c r="DL35" s="649">
        <f t="shared" si="157"/>
        <v>10.59</v>
      </c>
      <c r="DM35" s="535">
        <f t="shared" si="158"/>
        <v>17.273</v>
      </c>
      <c r="DN35" s="535">
        <f>Sheet1!AB33-DM35</f>
        <v>-0.25300000000000011</v>
      </c>
      <c r="DO35" s="743">
        <f t="shared" si="159"/>
        <v>-1.4647137150466052E-2</v>
      </c>
      <c r="DP35" s="535">
        <f>(VLOOKUP(Sheet1!DC33,hhdcap_wcm,4)-(((VLOOKUP(Sheet1!DC33,hhdcap_wcm,3)-Sheet1!DC33)/(VLOOKUP(Sheet1!DC33,hhdcap_wcm,3)-VLOOKUP(Sheet1!DC33,hhdcap_wcm,1)))*(VLOOKUP(Sheet1!DC33,hhdcap_wcm,4)-VLOOKUP(Sheet1!DC33,hhdcap_wcm,2))))</f>
        <v>1156.2000000032515</v>
      </c>
      <c r="DQ35" s="535">
        <f t="shared" si="160"/>
        <v>-96.600000000345517</v>
      </c>
      <c r="DR35" s="535">
        <f t="shared" si="161"/>
        <v>-48.71406959170222</v>
      </c>
      <c r="DS35" s="535">
        <f>Sheet1!EA33*AFtoMG</f>
        <v>0</v>
      </c>
      <c r="DT35" s="535">
        <f>Sheet1!EB33*AFtoMG</f>
        <v>0</v>
      </c>
      <c r="DU35" s="535">
        <f>Sheet1!EC33*AFtoMG</f>
        <v>0</v>
      </c>
      <c r="DV35" s="535">
        <f>Sheet1!ED33*AFtoMG</f>
        <v>0</v>
      </c>
      <c r="DW35" s="535">
        <f t="shared" si="162"/>
        <v>0</v>
      </c>
      <c r="DX35" s="535">
        <f t="shared" si="163"/>
        <v>0</v>
      </c>
      <c r="DY35" s="535">
        <f t="shared" si="164"/>
        <v>0</v>
      </c>
      <c r="DZ35" s="535">
        <f t="shared" si="165"/>
        <v>0</v>
      </c>
      <c r="EA35" s="535"/>
      <c r="EB35" s="521">
        <f>IF(OR(B35&lt;FV35,B35&gt;FW35),(MIN(BF35+BY35+CT35+MAX(Sheet1!AA33+AQ35-73,0),K35)),0)</f>
        <v>10.434886817576565</v>
      </c>
      <c r="EC35" s="535"/>
      <c r="ED35" s="535">
        <f t="shared" si="166"/>
        <v>10.434886817576563</v>
      </c>
      <c r="EE35" s="535"/>
      <c r="EF35" s="535">
        <f>Sheet1!EH33+Sheet1!EI33+Sheet1!EJ33+Sheet1!EK33</f>
        <v>10.5</v>
      </c>
      <c r="EG35" s="1019">
        <f t="shared" si="110"/>
        <v>16.243500000000001</v>
      </c>
      <c r="EH35" s="521">
        <f t="shared" si="167"/>
        <v>0</v>
      </c>
      <c r="EI35" s="535">
        <f>IF(Sheet1!ET33=1,SUM('Calculations II'!AT35:BA35)+'Calculations II'!BC35+Sheet1!BV33+'Calculations II'!BE35+AP35,'Calculations II'!BK35)</f>
        <v>31.904151182423426</v>
      </c>
      <c r="EJ35" s="535">
        <f ca="1">EI35+'Calculations II'!D35+'Calculations II'!E35+'Calculations II'!O35</f>
        <v>31.285895594732871</v>
      </c>
      <c r="EK35" s="535"/>
      <c r="EL35" s="535"/>
      <c r="EM35" s="535">
        <f t="shared" si="168"/>
        <v>42759</v>
      </c>
      <c r="EN35" s="535">
        <f t="shared" si="169"/>
        <v>0</v>
      </c>
      <c r="EO35" s="535">
        <f t="shared" si="170"/>
        <v>0</v>
      </c>
      <c r="EP35" s="535">
        <v>0</v>
      </c>
      <c r="EQ35" s="535">
        <v>0</v>
      </c>
      <c r="ER35" s="535">
        <v>0</v>
      </c>
      <c r="ES35" s="521">
        <f t="shared" si="71"/>
        <v>0.9688231779161468</v>
      </c>
      <c r="ET35" s="535">
        <f>-(VLOOKUP(Sheet1!BQ33,Lookup!$O$4:$Q$262,2)-VLOOKUP(Sheet1!BQ32,Lookup!$O$4:$Q$262,2))/1000000</f>
        <v>0.55354185840582104</v>
      </c>
      <c r="EU35" s="535">
        <f>-(VLOOKUP(Sheet1!BR33,Lookup!$O$4:$Q$262,3)-VLOOKUP(Sheet1!BR32,Lookup!$O$4:$Q$262,3))/1000000</f>
        <v>0.41528131951032576</v>
      </c>
      <c r="EV35" s="535"/>
      <c r="EW35" s="535"/>
      <c r="EX35" s="535"/>
      <c r="EY35" s="535"/>
      <c r="EZ35" s="535"/>
      <c r="FA35" s="535"/>
      <c r="FB35" s="535"/>
      <c r="FC35" s="535"/>
      <c r="FD35" s="567" t="e">
        <f t="shared" si="171"/>
        <v>#N/A</v>
      </c>
      <c r="FE35" s="567" t="e">
        <f t="shared" si="172"/>
        <v>#N/A</v>
      </c>
      <c r="FF35" s="568" t="e">
        <f t="shared" si="173"/>
        <v>#N/A</v>
      </c>
      <c r="FG35" s="569" t="s">
        <v>656</v>
      </c>
      <c r="FH35" s="569" t="s">
        <v>656</v>
      </c>
      <c r="FI35" s="567" t="e">
        <v>#N/A</v>
      </c>
      <c r="FJ35" s="567" t="e">
        <v>#N/A</v>
      </c>
      <c r="FK35" s="535"/>
      <c r="FL35" s="1015">
        <v>0</v>
      </c>
      <c r="FM35" s="535"/>
      <c r="FN35" s="535"/>
      <c r="FO35" s="535">
        <f>O35+((Sheet1!CS33)*GPMtoMGD)</f>
        <v>41.936015999999995</v>
      </c>
      <c r="FP35" s="535">
        <f>IF(Sheet1!AA33+AQ35&lt;=Calculation!N35,AQ35,Calculation!N35-Sheet1!AA33)</f>
        <v>6.5851131824234352</v>
      </c>
      <c r="FQ35" s="535">
        <f>(Sheet1!BP33+Sheet1!BO33)/694.4</f>
        <v>0.95478110599078347</v>
      </c>
      <c r="FR35" s="541"/>
      <c r="FS35" s="541"/>
      <c r="FT35" s="541"/>
      <c r="FU35" s="541"/>
      <c r="FV35" s="1109">
        <f t="shared" si="74"/>
        <v>42918</v>
      </c>
      <c r="FW35" s="1109">
        <f t="shared" si="75"/>
        <v>43027</v>
      </c>
      <c r="FX35" s="541"/>
      <c r="FY35" s="541">
        <f>Sheet1!DA33-Sheet1!CZ33-Sheet1!AE33</f>
        <v>396.76855999999998</v>
      </c>
      <c r="FZ35" s="535">
        <f t="shared" si="111"/>
        <v>0.70941988422692026</v>
      </c>
      <c r="GA35" s="535"/>
      <c r="GB35" s="535" t="str">
        <f t="shared" si="76"/>
        <v>n</v>
      </c>
      <c r="GC35" s="539">
        <f t="shared" si="77"/>
        <v>42782</v>
      </c>
      <c r="GD35" s="1109">
        <f t="shared" si="78"/>
        <v>42904</v>
      </c>
      <c r="GE35" s="535">
        <f t="shared" si="95"/>
        <v>6520</v>
      </c>
      <c r="GF35" s="1109">
        <f t="shared" si="79"/>
        <v>42909</v>
      </c>
      <c r="GG35" s="535">
        <f t="shared" si="174"/>
        <v>3260</v>
      </c>
      <c r="GH35" s="539">
        <f t="shared" si="80"/>
        <v>43040</v>
      </c>
      <c r="GJ35" s="521">
        <f t="shared" si="81"/>
        <v>0</v>
      </c>
      <c r="GK35" s="535" t="str">
        <f t="shared" si="175"/>
        <v/>
      </c>
      <c r="GL35" s="535">
        <f t="shared" si="82"/>
        <v>0</v>
      </c>
      <c r="GM35" s="535" t="str">
        <f t="shared" si="83"/>
        <v/>
      </c>
      <c r="GN35" s="535">
        <f>IF(GK35="P",Lookup!$M$12,IF(GK35="PP",Lookup!$M$13,IF(GK35="PPP",Lookup!$M$14,IF(GK35="T",Lookup!$M$15,IF(GK35="TP",Lookup!$M$16,IF(GK35="TPP",Lookup!$M$17,IF(GK35="TPPP",Lookup!$M$18,0)))))))*GJ35</f>
        <v>0</v>
      </c>
      <c r="GO35" s="535">
        <f t="shared" si="84"/>
        <v>0</v>
      </c>
      <c r="GP35" s="535">
        <f t="shared" si="176"/>
        <v>0</v>
      </c>
      <c r="GQ35" s="535">
        <f t="shared" si="94"/>
        <v>0</v>
      </c>
      <c r="GR35" s="535"/>
      <c r="GS35" s="535">
        <f t="shared" si="85"/>
        <v>0</v>
      </c>
      <c r="GT35" s="535" t="str">
        <f t="shared" si="86"/>
        <v/>
      </c>
      <c r="GU35" s="535">
        <f>IF(GK35="P",Lookup!$N$12,IF(GK35="PP",Lookup!$N$13,IF(GK35="PPP",Lookup!$N$14,IF(GK35="T",Lookup!$N$15,IF(GK35="TP",Lookup!$N$16,IF(GK35="TPP",Lookup!$N$17,IF(GK35="TPPP",Lookup!$N$18,0)))))))*GJ35</f>
        <v>0</v>
      </c>
      <c r="GV35" s="535">
        <f t="shared" si="53"/>
        <v>0</v>
      </c>
      <c r="GW35" s="535">
        <f t="shared" si="177"/>
        <v>0</v>
      </c>
      <c r="GX35" s="535">
        <f t="shared" si="91"/>
        <v>0</v>
      </c>
      <c r="GY35" s="535"/>
      <c r="GZ35" s="535">
        <f t="shared" si="87"/>
        <v>0</v>
      </c>
      <c r="HA35" s="535" t="str">
        <f t="shared" si="88"/>
        <v/>
      </c>
      <c r="HB35" s="535">
        <f>IF(GK35="P",Lookup!$N$12,IF(GK35="PP",Lookup!$N$13,IF(GK35="PPP",Lookup!$N$14,IF(GK35="T",Lookup!$N$15,IF(GK35="TP",Lookup!$N$16,IF(GK35="TPP",Lookup!$N$17,IF(GK35="TPPP",Lookup!$N$18,0)))))))*GJ35</f>
        <v>0</v>
      </c>
      <c r="HC35" s="521">
        <f t="shared" si="178"/>
        <v>0</v>
      </c>
      <c r="HD35" s="535">
        <f t="shared" si="179"/>
        <v>0</v>
      </c>
      <c r="HE35" s="535">
        <f t="shared" si="92"/>
        <v>0</v>
      </c>
      <c r="HF35" s="535"/>
      <c r="HG35" s="535">
        <f t="shared" si="89"/>
        <v>0</v>
      </c>
      <c r="HH35" s="535" t="str">
        <f t="shared" si="90"/>
        <v/>
      </c>
      <c r="HI35" s="535">
        <f>IF(GK35="P",Lookup!$N$12,IF(GK35="PP",Lookup!$N$13,IF(GK35="PPP",Lookup!$N$14,IF(GK35="T",Lookup!$N$15,IF(GK35="TP",Lookup!$N$16,IF(GK35="TPP",Lookup!$N$17,IF(GK35="TPPP",Lookup!$N$18,0)))))))*GJ35</f>
        <v>0</v>
      </c>
      <c r="HJ35" s="521">
        <f t="shared" si="180"/>
        <v>0</v>
      </c>
      <c r="HK35" s="535">
        <f t="shared" si="181"/>
        <v>0</v>
      </c>
      <c r="HL35" s="535">
        <f t="shared" si="93"/>
        <v>0</v>
      </c>
      <c r="HM35" s="535"/>
      <c r="HN35" s="541"/>
      <c r="HO35" s="541"/>
      <c r="HP35" s="541"/>
      <c r="HQ35" s="541">
        <f>IF(AND(B35&gt;=$FV$4,B35&lt;=$FW$4),MAX(110/1.02+$HQ$6+MIN(113/1.02,G35),IF($HV$6-(Sheet1!DA33-Sheet1!DB33)+MIN(113/1.02,G35)&lt;G35+FL35,$HV$6-(Sheet1!DA33-Sheet1!DB33)+MIN(113/1.02,G35),G35+FL35)),MIN(110/1.02+$HQ$6+113/1.02,G35))</f>
        <v>218.62745098039215</v>
      </c>
      <c r="HR35" s="541">
        <f t="shared" si="112"/>
        <v>223</v>
      </c>
      <c r="HS35" s="541">
        <f>HR35+(Sheet1!DA33-Sheet1!DB33)</f>
        <v>749</v>
      </c>
      <c r="HT35" s="541">
        <f t="shared" si="113"/>
        <v>0</v>
      </c>
      <c r="HU35" s="541">
        <f t="shared" si="114"/>
        <v>749</v>
      </c>
      <c r="HV35" s="541">
        <f t="shared" si="115"/>
        <v>0</v>
      </c>
      <c r="HW35" s="533" t="str">
        <f t="shared" si="116"/>
        <v/>
      </c>
      <c r="HX35" s="541">
        <f t="shared" si="117"/>
        <v>389.37254901960785</v>
      </c>
      <c r="HY35" s="541">
        <f>Sheet1!CZ33</f>
        <v>608</v>
      </c>
      <c r="HZ35" s="541">
        <f t="shared" si="118"/>
        <v>0</v>
      </c>
      <c r="IA35" s="541">
        <f t="shared" si="119"/>
        <v>0</v>
      </c>
      <c r="IB35" s="541">
        <f t="shared" si="120"/>
        <v>608</v>
      </c>
      <c r="IC35" s="1019" t="str">
        <f t="shared" si="121"/>
        <v/>
      </c>
      <c r="ID35" s="541">
        <f t="shared" si="122"/>
        <v>608</v>
      </c>
      <c r="IE35" s="541">
        <f>Sheet1!DB33</f>
        <v>543</v>
      </c>
      <c r="IF35" s="533">
        <f>Sheet1!DA33</f>
        <v>1069</v>
      </c>
      <c r="IH35" s="541">
        <f>IF(AND($B35&gt;=$GC35,$B35&lt;=$GH35,$DR35&lt;0)+N("only adjusted when pool is drawn down during storage season"),Sheet1!$DB33+$DR35+N("Palmer minus all storage release"),Sheet1!$DB33)</f>
        <v>543</v>
      </c>
      <c r="II35" s="541">
        <f>IF(AND($B35&gt;=$GC35,$B35&lt;=$GH35,$DR35&lt;0)+N("only adjusted when pool is drawn down during storage season"),Sheet1!$DA33+$DR35+N("Auburn minus all storage release"),Sheet1!$DA33)</f>
        <v>1069</v>
      </c>
    </row>
    <row r="36" spans="1:243" x14ac:dyDescent="0.25">
      <c r="A36" s="553" t="s">
        <v>6</v>
      </c>
      <c r="B36" s="531">
        <v>42760</v>
      </c>
      <c r="C36" s="536">
        <v>0</v>
      </c>
      <c r="D36" s="506">
        <f t="shared" si="0"/>
        <v>300</v>
      </c>
      <c r="E36" s="506">
        <f t="shared" si="1"/>
        <v>250</v>
      </c>
      <c r="F36" s="506">
        <v>250</v>
      </c>
      <c r="G36" s="535">
        <f>DR36+Sheet1!CZ34</f>
        <v>550.71053958647019</v>
      </c>
      <c r="H36" s="1074">
        <f t="shared" si="96"/>
        <v>177.80960473599998</v>
      </c>
      <c r="I36" s="534">
        <f>IF(Sheet1!DA34&gt;=E36,(Sheet1!DA34-E36+P36)*CFStoMGD,0)</f>
        <v>532.68320473599999</v>
      </c>
      <c r="J36" s="995">
        <f>IF(Sheet1!DB34&gt;=D36,(Sheet1!DB34-D36+P36)*CFStoMGD,0)</f>
        <v>177.80960473599998</v>
      </c>
      <c r="K36" s="818">
        <f t="shared" si="97"/>
        <v>64.64</v>
      </c>
      <c r="L36" s="535">
        <f>Sheet1!AA34+Sheet1!AB34-Sheet1!L34+(Sheet1!DA34-F36)*CFStoMGD-S36-T36-U36</f>
        <v>491.26399999999995</v>
      </c>
      <c r="M36" s="535">
        <f t="shared" si="123"/>
        <v>363.09887864446824</v>
      </c>
      <c r="N36" s="824">
        <f>IF(Sheet1!DA34&gt;=F36,MIN(113*CFStoMGD,MIN(MAX(L36,0),MAX(M36,0))),0)</f>
        <v>73.043199999999999</v>
      </c>
      <c r="O36" s="538">
        <f>Sheet1!AA34+Sheet1!AB34</f>
        <v>41.42</v>
      </c>
      <c r="P36" s="538">
        <f t="shared" si="124"/>
        <v>64.076739999999987</v>
      </c>
      <c r="Q36" s="812">
        <f t="shared" si="98"/>
        <v>0</v>
      </c>
      <c r="R36" s="812">
        <f t="shared" si="59"/>
        <v>10.409364703162032</v>
      </c>
      <c r="S36" s="812">
        <f t="shared" si="60"/>
        <v>41.42</v>
      </c>
      <c r="T36" s="812">
        <f t="shared" si="61"/>
        <v>0</v>
      </c>
      <c r="U36" s="812">
        <f t="shared" si="99"/>
        <v>0</v>
      </c>
      <c r="V36" s="812"/>
      <c r="W36" s="812">
        <f t="shared" si="62"/>
        <v>54.230635296837967</v>
      </c>
      <c r="X36" s="812">
        <f t="shared" si="63"/>
        <v>41.42</v>
      </c>
      <c r="Y36" s="812" t="str">
        <f t="shared" si="64"/>
        <v/>
      </c>
      <c r="Z36" s="812">
        <f t="shared" si="65"/>
        <v>41.42</v>
      </c>
      <c r="AA36" s="812">
        <f t="shared" si="66"/>
        <v>41.42</v>
      </c>
      <c r="AB36" s="1059">
        <f t="shared" si="100"/>
        <v>0</v>
      </c>
      <c r="AC36" s="538">
        <f>Sheet1!Y34*MGDtoCFS</f>
        <v>37.901499999999999</v>
      </c>
      <c r="AD36" s="538">
        <f>Sheet1!Z34*MGDtoCFS</f>
        <v>26.298999999999999</v>
      </c>
      <c r="AE36" s="538">
        <f>Sheet1!AA34*MGDtoCFS</f>
        <v>37.746799999999993</v>
      </c>
      <c r="AF36" s="538">
        <f>Sheet1!AB34*MGDtoCFS</f>
        <v>26.329939999999997</v>
      </c>
      <c r="AG36" s="538">
        <f>Sheet1!L34*MGDtoCFS</f>
        <v>0</v>
      </c>
      <c r="AH36" s="521">
        <f t="shared" si="125"/>
        <v>0</v>
      </c>
      <c r="AI36" s="1059">
        <f t="shared" si="126"/>
        <v>0</v>
      </c>
      <c r="AJ36" s="535">
        <f t="shared" si="127"/>
        <v>0</v>
      </c>
      <c r="AK36" s="535">
        <f t="shared" si="128"/>
        <v>0</v>
      </c>
      <c r="AL36" s="535">
        <f>(VLOOKUP(Sheet1!DC34,hhdcap_wcm,4)-(((VLOOKUP(Sheet1!DC34,hhdcap_wcm,3)-Sheet1!DC34)/(VLOOKUP(Sheet1!DC34,hhdcap_wcm,3)-VLOOKUP(Sheet1!DC34,hhdcap_wcm,1)))*(VLOOKUP(Sheet1!DC34,hhdcap_wcm,4)-VLOOKUP(Sheet1!DC34,hhdcap_wcm,2))))</f>
        <v>1112.0000000032219</v>
      </c>
      <c r="AM36" s="535">
        <f t="shared" si="129"/>
        <v>-44.200000000029604</v>
      </c>
      <c r="AN36" s="1035">
        <f t="shared" si="130"/>
        <v>0</v>
      </c>
      <c r="AO36" s="535">
        <f t="shared" si="131"/>
        <v>0</v>
      </c>
      <c r="AP36" s="535">
        <f>Sheet1!BA34+Sheet1!BB34+Sheet1!BN34+CD36</f>
        <v>6.7190000000000003</v>
      </c>
      <c r="AQ36" s="535">
        <f>Sheet1!BN34+(DO36*Sheet1!BN34)</f>
        <v>6.6106352968379678</v>
      </c>
      <c r="AR36" s="535">
        <f>Sheet1!BA34+CD36</f>
        <v>0</v>
      </c>
      <c r="AS36" s="535">
        <f>Sheet1!BA34+Sheet1!BB34+CD36</f>
        <v>0</v>
      </c>
      <c r="AT36" s="649">
        <f>0</f>
        <v>0</v>
      </c>
      <c r="AU36" s="535">
        <f>IF(EB36&lt;K36,0,MAX(Sheet1!AA34+AQ36-15/36*K36-N36,Sheet1!EH34,0))</f>
        <v>0</v>
      </c>
      <c r="AV36" s="535">
        <f>IF(OR(B36&gt;=GD36,B36&lt;GC36),0,15/36*K36-MAX(0,64.6-(137.6-(Sheet1!AA34+Sheet1!AB34))))</f>
        <v>0</v>
      </c>
      <c r="AW36" s="1029"/>
      <c r="AX36" s="649"/>
      <c r="AY36" s="649">
        <f t="shared" si="101"/>
        <v>0</v>
      </c>
      <c r="AZ36" s="649">
        <f t="shared" si="102"/>
        <v>0</v>
      </c>
      <c r="BA36" s="1059">
        <f t="shared" si="103"/>
        <v>0</v>
      </c>
      <c r="BB36" s="1019">
        <f t="shared" si="132"/>
        <v>0</v>
      </c>
      <c r="BC36" s="1041">
        <f t="shared" si="104"/>
        <v>26.933333333333334</v>
      </c>
      <c r="BD36" s="1019">
        <f ca="1">IF(B36&gt;Summary!$A$1,#N/A,BB36*MGtoAF)</f>
        <v>0</v>
      </c>
      <c r="BE36" s="535">
        <f>Sheet1!BG34+Sheet1!BH34+Sheet1!BI34-BM36</f>
        <v>1.06</v>
      </c>
      <c r="BF36" s="535">
        <f t="shared" si="133"/>
        <v>1.0429042141164229</v>
      </c>
      <c r="BG36" s="535">
        <f>IF(Sheet1!EP34="FM",BM36,0)</f>
        <v>0</v>
      </c>
      <c r="BH36" s="535">
        <f t="shared" si="134"/>
        <v>0</v>
      </c>
      <c r="BI36" s="535">
        <f>IF(Sheet1!EP34="OTHER",BM36,0)</f>
        <v>0</v>
      </c>
      <c r="BJ36" s="535">
        <f t="shared" si="135"/>
        <v>0</v>
      </c>
      <c r="BK36" s="535">
        <f t="shared" si="136"/>
        <v>1.06</v>
      </c>
      <c r="BL36" s="535">
        <f t="shared" si="137"/>
        <v>1.0429042141164229</v>
      </c>
      <c r="BM36" s="535">
        <f>IF(OR(Sheet1!EP34="FM", Sheet1!EP34="OTHER"),SUM(Sheet1!BG34:'Sheet1'!BI34),0)</f>
        <v>0</v>
      </c>
      <c r="BN36" s="521">
        <f>IF(AND($B36&gt;=$FV36,$B36&lt;=$FW36),MAX(BF36,Sheet1!EI34,0),MAX(BF36-(7/36)*$K36,0))</f>
        <v>0</v>
      </c>
      <c r="BO36" s="535">
        <f t="shared" si="138"/>
        <v>0</v>
      </c>
      <c r="BP36" s="521">
        <f t="shared" si="184"/>
        <v>1.0429042141164229</v>
      </c>
      <c r="BQ36" s="521">
        <f>IF(AND($O36&gt;0,Sheet1!EM34=1),(1-($O36-Sheet1!$L34)/$O36)*BL36,0)</f>
        <v>0</v>
      </c>
      <c r="BR36" s="521">
        <f>IF(AND(Sheet1!$L34=0,Sheet1!$L33=0, Calculation!BK36&lt;Sheet1!$EI34-0.1,Sheet1!$EI34=Sheet1!$EI33,Sheet1!$EI34=Sheet1!$EI35),BL36-BQ36,BL36-BQ36)</f>
        <v>1.0429042141164229</v>
      </c>
      <c r="BS36" s="1035" t="str">
        <f t="shared" si="105"/>
        <v/>
      </c>
      <c r="BT36" s="1035">
        <f t="shared" si="106"/>
        <v>12.568888888888889</v>
      </c>
      <c r="BU36" s="535">
        <f t="shared" si="139"/>
        <v>0</v>
      </c>
      <c r="BV36" s="535"/>
      <c r="BW36" s="535">
        <f ca="1">IF(B36&gt;Summary!$A$1,#N/A,BU36*MGtoAF)</f>
        <v>0</v>
      </c>
      <c r="BX36" s="535">
        <f>Sheet1!BC34+Sheet1!BD34+Sheet1!BE34+Sheet1!BF34-CG36-CH36</f>
        <v>2.9699999999999998</v>
      </c>
      <c r="BY36" s="535">
        <f t="shared" si="140"/>
        <v>2.9220995433262038</v>
      </c>
      <c r="BZ36" s="535">
        <f>IF(Sheet1!EQ34="FM",CH36,0)</f>
        <v>0</v>
      </c>
      <c r="CA36" s="535">
        <f t="shared" si="141"/>
        <v>0</v>
      </c>
      <c r="CB36" s="535">
        <f>IF(Sheet1!EQ34="OTHER",CH36,0)</f>
        <v>0</v>
      </c>
      <c r="CC36" s="535">
        <f t="shared" si="142"/>
        <v>0</v>
      </c>
      <c r="CD36" s="535">
        <f t="shared" si="143"/>
        <v>0</v>
      </c>
      <c r="CE36" s="535">
        <f t="shared" si="144"/>
        <v>2.9699999999999998</v>
      </c>
      <c r="CF36" s="535">
        <f t="shared" si="145"/>
        <v>2.9220995433262038</v>
      </c>
      <c r="CG36" s="535">
        <f>IF(Sheet1!EQ34="CWA",SUM(Sheet1!BC34:'Sheet1'!BF34),0)</f>
        <v>0</v>
      </c>
      <c r="CH36" s="535">
        <f>IF(OR(Sheet1!EQ34="FM", Sheet1!EQ34="OTHER"),SUM(Sheet1!BC34:'Sheet1'!BF34),0)</f>
        <v>0</v>
      </c>
      <c r="CI36" s="521">
        <f>IF(AND($B36&gt;=$FV36,$B36&lt;=$FW36),MAX(CF36,Sheet1!EJ34,0),MAX(CF36-(7/36)*$K36,0))</f>
        <v>0</v>
      </c>
      <c r="CJ36" s="535">
        <f t="shared" si="146"/>
        <v>0</v>
      </c>
      <c r="CK36" s="521">
        <f t="shared" si="182"/>
        <v>2.9220995433262038</v>
      </c>
      <c r="CL36" s="521">
        <f>IF(AND($O36&gt;0,Sheet1!EN34=1),(1-($O36-Sheet1!$L34)/$O36)*CF36,0)</f>
        <v>0</v>
      </c>
      <c r="CM36" s="521">
        <f>IF(AND(Sheet1!$L34=0,Sheet1!$L33=0, Calculation!CE36&lt;Sheet1!EJ34-0.1,Sheet1!EJ34=Sheet1!EJ33,Sheet1!EJ34=Sheet1!EJ35),CF36-CL36,CF36-CL36)</f>
        <v>2.9220995433262038</v>
      </c>
      <c r="CN36" s="1040" t="str">
        <f t="shared" si="107"/>
        <v/>
      </c>
      <c r="CO36" s="1035">
        <f t="shared" si="108"/>
        <v>12.568888888888889</v>
      </c>
      <c r="CP36" s="535">
        <f t="shared" si="147"/>
        <v>0</v>
      </c>
      <c r="CQ36" s="535"/>
      <c r="CR36" s="535">
        <f ca="1">IF(B36&gt;Summary!$A$1,#N/A,CP36*MGtoAF)</f>
        <v>0</v>
      </c>
      <c r="CS36" s="535">
        <f>Sheet1!BK34+Sheet1!BL34+Sheet1!BM34-Sheet1!ER34-DA36</f>
        <v>6.55</v>
      </c>
      <c r="CT36" s="535">
        <f t="shared" si="148"/>
        <v>6.4443609457194055</v>
      </c>
      <c r="CU36" s="535">
        <f>IF(Sheet1!ER34="FM",DA36,0)</f>
        <v>0</v>
      </c>
      <c r="CV36" s="535">
        <f t="shared" si="149"/>
        <v>0</v>
      </c>
      <c r="CW36" s="535">
        <f>IF(Sheet1!ER34="OTHER",DA36,0)</f>
        <v>0</v>
      </c>
      <c r="CX36" s="535">
        <f t="shared" si="150"/>
        <v>0</v>
      </c>
      <c r="CY36" s="535">
        <f t="shared" si="151"/>
        <v>6.55</v>
      </c>
      <c r="CZ36" s="535">
        <f t="shared" si="152"/>
        <v>6.4443609457194055</v>
      </c>
      <c r="DA36" s="535">
        <f>IF(OR(Sheet1!ER34="FM", Sheet1!ER34="OTHER"),SUM(Sheet1!BK34:'Sheet1'!BM34),0)</f>
        <v>0</v>
      </c>
      <c r="DB36" s="1011">
        <f>IF(AND($B36&gt;=$FV36,$B36&lt;=$FW36),MAX($CT36,Sheet1!EK34,0),MAX($CT36-(7/36)*$K36,0))</f>
        <v>0</v>
      </c>
      <c r="DC36" s="1012">
        <f t="shared" si="153"/>
        <v>0</v>
      </c>
      <c r="DD36" s="1011">
        <f t="shared" si="183"/>
        <v>6.4443609457194055</v>
      </c>
      <c r="DE36" s="521">
        <f>IF(AND($O36&gt;0,Sheet1!EO34=1),(1-($O36-Sheet1!$L34)/$O36)*CZ36,0)</f>
        <v>0</v>
      </c>
      <c r="DF36" s="521">
        <f>IF(AND(Sheet1!$L34=0,Sheet1!$L33=0, Calculation!CY36&lt;Sheet1!$EK34-0.1,Sheet1!$EK34=Sheet1!$EK33,Sheet1!$EK34=Sheet1!$EK35),CZ36-DE36,CZ36-DE36)</f>
        <v>6.4443609457194055</v>
      </c>
      <c r="DG36" s="1040">
        <f t="shared" si="109"/>
        <v>12.568888888888889</v>
      </c>
      <c r="DH36" s="649">
        <f t="shared" si="154"/>
        <v>10.579999999999998</v>
      </c>
      <c r="DI36" s="535">
        <f t="shared" si="155"/>
        <v>0</v>
      </c>
      <c r="DJ36" s="649">
        <f t="shared" si="156"/>
        <v>10.409364703162032</v>
      </c>
      <c r="DK36" s="535">
        <f ca="1">IF(B36&gt;Summary!$A$1,#N/A,DI36*MGtoAF)</f>
        <v>0</v>
      </c>
      <c r="DL36" s="649">
        <f t="shared" si="157"/>
        <v>10.58</v>
      </c>
      <c r="DM36" s="535">
        <f t="shared" si="158"/>
        <v>17.298999999999999</v>
      </c>
      <c r="DN36" s="535">
        <f>Sheet1!AB34-DM36</f>
        <v>-0.27899999999999991</v>
      </c>
      <c r="DO36" s="743">
        <f t="shared" si="159"/>
        <v>-1.6128099890167058E-2</v>
      </c>
      <c r="DP36" s="535">
        <f>(VLOOKUP(Sheet1!DC34,hhdcap_wcm,4)-(((VLOOKUP(Sheet1!DC34,hhdcap_wcm,3)-Sheet1!DC34)/(VLOOKUP(Sheet1!DC34,hhdcap_wcm,3)-VLOOKUP(Sheet1!DC34,hhdcap_wcm,1)))*(VLOOKUP(Sheet1!DC34,hhdcap_wcm,4)-VLOOKUP(Sheet1!DC34,hhdcap_wcm,2))))</f>
        <v>1112.0000000032219</v>
      </c>
      <c r="DQ36" s="535">
        <f t="shared" si="160"/>
        <v>-44.200000000029604</v>
      </c>
      <c r="DR36" s="535">
        <f t="shared" si="161"/>
        <v>-22.289460413529802</v>
      </c>
      <c r="DS36" s="535">
        <f>Sheet1!EA34*AFtoMG</f>
        <v>0</v>
      </c>
      <c r="DT36" s="535">
        <f>Sheet1!EB34*AFtoMG</f>
        <v>0</v>
      </c>
      <c r="DU36" s="535">
        <f>Sheet1!EC34*AFtoMG</f>
        <v>0</v>
      </c>
      <c r="DV36" s="535">
        <f>Sheet1!ED34*AFtoMG</f>
        <v>0</v>
      </c>
      <c r="DW36" s="535">
        <f t="shared" si="162"/>
        <v>0</v>
      </c>
      <c r="DX36" s="535">
        <f t="shared" si="163"/>
        <v>0</v>
      </c>
      <c r="DY36" s="535">
        <f t="shared" si="164"/>
        <v>0</v>
      </c>
      <c r="DZ36" s="535">
        <f t="shared" si="165"/>
        <v>0</v>
      </c>
      <c r="EA36" s="535"/>
      <c r="EB36" s="521">
        <f>IF(OR(B36&lt;FV36,B36&gt;FW36),(MIN(BF36+BY36+CT36+MAX(Sheet1!AA34+AQ36-73,0),K36)),0)</f>
        <v>10.409364703162032</v>
      </c>
      <c r="EC36" s="535"/>
      <c r="ED36" s="535">
        <f t="shared" si="166"/>
        <v>10.409364703162034</v>
      </c>
      <c r="EE36" s="535"/>
      <c r="EF36" s="535">
        <f>Sheet1!EH34+Sheet1!EI34+Sheet1!EJ34+Sheet1!EK34</f>
        <v>10.5</v>
      </c>
      <c r="EG36" s="1019">
        <f t="shared" si="110"/>
        <v>16.243500000000001</v>
      </c>
      <c r="EH36" s="521">
        <f t="shared" si="167"/>
        <v>0</v>
      </c>
      <c r="EI36" s="535">
        <f>IF(Sheet1!ET34=1,SUM('Calculations II'!AT36:BA36)+'Calculations II'!BC36+Sheet1!BV34+'Calculations II'!BE36+AP36,'Calculations II'!BK36)</f>
        <v>29.319813296837964</v>
      </c>
      <c r="EJ36" s="535">
        <f ca="1">EI36+'Calculations II'!D36+'Calculations II'!E36+'Calculations II'!O36</f>
        <v>30.707871994618611</v>
      </c>
      <c r="EK36" s="535"/>
      <c r="EL36" s="535"/>
      <c r="EM36" s="535">
        <f t="shared" si="168"/>
        <v>42760</v>
      </c>
      <c r="EN36" s="535">
        <f t="shared" si="169"/>
        <v>0</v>
      </c>
      <c r="EO36" s="535">
        <f t="shared" si="170"/>
        <v>0</v>
      </c>
      <c r="EP36" s="535">
        <v>0</v>
      </c>
      <c r="EQ36" s="535">
        <v>0</v>
      </c>
      <c r="ER36" s="535">
        <v>0</v>
      </c>
      <c r="ES36" s="521">
        <f t="shared" si="71"/>
        <v>-1.6609715280444994</v>
      </c>
      <c r="ET36" s="535">
        <f>-(VLOOKUP(Sheet1!BQ34,Lookup!$O$4:$Q$262,2)-VLOOKUP(Sheet1!BQ33,Lookup!$O$4:$Q$262,2))/1000000</f>
        <v>-0.83035122462758049</v>
      </c>
      <c r="EU36" s="535">
        <f>-(VLOOKUP(Sheet1!BR34,Lookup!$O$4:$Q$262,3)-VLOOKUP(Sheet1!BR33,Lookup!$O$4:$Q$262,3))/1000000</f>
        <v>-0.83062030341691895</v>
      </c>
      <c r="EV36" s="535"/>
      <c r="EW36" s="535"/>
      <c r="EX36" s="535"/>
      <c r="EY36" s="535"/>
      <c r="EZ36" s="535"/>
      <c r="FA36" s="535"/>
      <c r="FB36" s="535"/>
      <c r="FC36" s="535"/>
      <c r="FD36" s="567" t="e">
        <f t="shared" si="171"/>
        <v>#N/A</v>
      </c>
      <c r="FE36" s="567" t="e">
        <f t="shared" si="172"/>
        <v>#N/A</v>
      </c>
      <c r="FF36" s="568" t="e">
        <f t="shared" si="173"/>
        <v>#N/A</v>
      </c>
      <c r="FG36" s="569" t="s">
        <v>656</v>
      </c>
      <c r="FH36" s="569" t="s">
        <v>656</v>
      </c>
      <c r="FI36" s="567" t="e">
        <v>#N/A</v>
      </c>
      <c r="FJ36" s="567" t="e">
        <v>#N/A</v>
      </c>
      <c r="FK36" s="535"/>
      <c r="FL36" s="1015">
        <v>0</v>
      </c>
      <c r="FM36" s="535"/>
      <c r="FN36" s="535"/>
      <c r="FO36" s="535">
        <f>O36+((Sheet1!CS34)*GPMtoMGD)</f>
        <v>41.42</v>
      </c>
      <c r="FP36" s="535">
        <f>IF(Sheet1!AA34+AQ36&lt;=Calculation!N36,AQ36,Calculation!N36-Sheet1!AA34)</f>
        <v>6.6106352968379678</v>
      </c>
      <c r="FQ36" s="535">
        <f>(Sheet1!BP34+Sheet1!BO34)/694.4</f>
        <v>0.67338709677419362</v>
      </c>
      <c r="FR36" s="541"/>
      <c r="FS36" s="541"/>
      <c r="FT36" s="541"/>
      <c r="FU36" s="541"/>
      <c r="FV36" s="1109">
        <f t="shared" si="74"/>
        <v>42918</v>
      </c>
      <c r="FW36" s="1109">
        <f t="shared" si="75"/>
        <v>43027</v>
      </c>
      <c r="FX36" s="541"/>
      <c r="FY36" s="541">
        <f>Sheet1!DA34-Sheet1!CZ34-Sheet1!AE34</f>
        <v>372.92326000000003</v>
      </c>
      <c r="FZ36" s="535">
        <f t="shared" si="111"/>
        <v>0.67716746492636393</v>
      </c>
      <c r="GA36" s="535"/>
      <c r="GB36" s="535" t="str">
        <f t="shared" si="76"/>
        <v>n</v>
      </c>
      <c r="GC36" s="539">
        <f t="shared" si="77"/>
        <v>42782</v>
      </c>
      <c r="GD36" s="1109">
        <f t="shared" si="78"/>
        <v>42904</v>
      </c>
      <c r="GE36" s="535">
        <f t="shared" si="95"/>
        <v>6520</v>
      </c>
      <c r="GF36" s="1109">
        <f t="shared" si="79"/>
        <v>42909</v>
      </c>
      <c r="GG36" s="535">
        <f t="shared" si="174"/>
        <v>3260</v>
      </c>
      <c r="GH36" s="539">
        <f t="shared" si="80"/>
        <v>43040</v>
      </c>
      <c r="GJ36" s="521">
        <f t="shared" si="81"/>
        <v>0</v>
      </c>
      <c r="GK36" s="535" t="str">
        <f t="shared" si="175"/>
        <v/>
      </c>
      <c r="GL36" s="535">
        <f t="shared" si="82"/>
        <v>0</v>
      </c>
      <c r="GM36" s="535" t="str">
        <f t="shared" si="83"/>
        <v/>
      </c>
      <c r="GN36" s="535">
        <f>IF(GK36="P",Lookup!$M$12,IF(GK36="PP",Lookup!$M$13,IF(GK36="PPP",Lookup!$M$14,IF(GK36="T",Lookup!$M$15,IF(GK36="TP",Lookup!$M$16,IF(GK36="TPP",Lookup!$M$17,IF(GK36="TPPP",Lookup!$M$18,0)))))))*GJ36</f>
        <v>0</v>
      </c>
      <c r="GO36" s="535">
        <f t="shared" si="84"/>
        <v>0</v>
      </c>
      <c r="GP36" s="535">
        <f t="shared" si="176"/>
        <v>0</v>
      </c>
      <c r="GQ36" s="535">
        <f t="shared" si="94"/>
        <v>0</v>
      </c>
      <c r="GR36" s="535"/>
      <c r="GS36" s="535">
        <f t="shared" si="85"/>
        <v>0</v>
      </c>
      <c r="GT36" s="535" t="str">
        <f t="shared" si="86"/>
        <v/>
      </c>
      <c r="GU36" s="535">
        <f>IF(GK36="P",Lookup!$N$12,IF(GK36="PP",Lookup!$N$13,IF(GK36="PPP",Lookup!$N$14,IF(GK36="T",Lookup!$N$15,IF(GK36="TP",Lookup!$N$16,IF(GK36="TPP",Lookup!$N$17,IF(GK36="TPPP",Lookup!$N$18,0)))))))*GJ36</f>
        <v>0</v>
      </c>
      <c r="GV36" s="535">
        <f t="shared" si="53"/>
        <v>0</v>
      </c>
      <c r="GW36" s="535">
        <f t="shared" si="177"/>
        <v>0</v>
      </c>
      <c r="GX36" s="535">
        <f t="shared" si="91"/>
        <v>0</v>
      </c>
      <c r="GY36" s="535"/>
      <c r="GZ36" s="535">
        <f t="shared" si="87"/>
        <v>0</v>
      </c>
      <c r="HA36" s="535" t="str">
        <f t="shared" si="88"/>
        <v/>
      </c>
      <c r="HB36" s="535">
        <f>IF(GK36="P",Lookup!$N$12,IF(GK36="PP",Lookup!$N$13,IF(GK36="PPP",Lookup!$N$14,IF(GK36="T",Lookup!$N$15,IF(GK36="TP",Lookup!$N$16,IF(GK36="TPP",Lookup!$N$17,IF(GK36="TPPP",Lookup!$N$18,0)))))))*GJ36</f>
        <v>0</v>
      </c>
      <c r="HC36" s="521">
        <f t="shared" si="178"/>
        <v>0</v>
      </c>
      <c r="HD36" s="535">
        <f t="shared" si="179"/>
        <v>0</v>
      </c>
      <c r="HE36" s="535">
        <f t="shared" si="92"/>
        <v>0</v>
      </c>
      <c r="HF36" s="535"/>
      <c r="HG36" s="535">
        <f t="shared" si="89"/>
        <v>0</v>
      </c>
      <c r="HH36" s="535" t="str">
        <f t="shared" si="90"/>
        <v/>
      </c>
      <c r="HI36" s="535">
        <f>IF(GK36="P",Lookup!$N$12,IF(GK36="PP",Lookup!$N$13,IF(GK36="PPP",Lookup!$N$14,IF(GK36="T",Lookup!$N$15,IF(GK36="TP",Lookup!$N$16,IF(GK36="TPP",Lookup!$N$17,IF(GK36="TPPP",Lookup!$N$18,0)))))))*GJ36</f>
        <v>0</v>
      </c>
      <c r="HJ36" s="521">
        <f t="shared" si="180"/>
        <v>0</v>
      </c>
      <c r="HK36" s="535">
        <f t="shared" si="181"/>
        <v>0</v>
      </c>
      <c r="HL36" s="535">
        <f t="shared" si="93"/>
        <v>0</v>
      </c>
      <c r="HM36" s="535"/>
      <c r="HN36" s="541"/>
      <c r="HO36" s="541"/>
      <c r="HP36" s="541"/>
      <c r="HQ36" s="541">
        <f>IF(AND(B36&gt;=$FV$4,B36&lt;=$FW$4),MAX(110/1.02+$HQ$6+MIN(113/1.02,G36),IF($HV$6-(Sheet1!DA34-Sheet1!DB34)+MIN(113/1.02,G36)&lt;G36+FL36,$HV$6-(Sheet1!DA34-Sheet1!DB34)+MIN(113/1.02,G36),G36+FL36)),MIN(110/1.02+$HQ$6+113/1.02,G36))</f>
        <v>218.62745098039215</v>
      </c>
      <c r="HR36" s="541">
        <f t="shared" si="112"/>
        <v>223</v>
      </c>
      <c r="HS36" s="541">
        <f>HR36+(Sheet1!DA34-Sheet1!DB34)</f>
        <v>722</v>
      </c>
      <c r="HT36" s="541">
        <f t="shared" si="113"/>
        <v>0</v>
      </c>
      <c r="HU36" s="541">
        <f t="shared" si="114"/>
        <v>722</v>
      </c>
      <c r="HV36" s="541">
        <f t="shared" si="115"/>
        <v>0</v>
      </c>
      <c r="HW36" s="533" t="str">
        <f t="shared" si="116"/>
        <v/>
      </c>
      <c r="HX36" s="541">
        <f t="shared" si="117"/>
        <v>354.37254901960785</v>
      </c>
      <c r="HY36" s="541">
        <f>Sheet1!CZ34</f>
        <v>573</v>
      </c>
      <c r="HZ36" s="541">
        <f t="shared" si="118"/>
        <v>0</v>
      </c>
      <c r="IA36" s="541">
        <f t="shared" si="119"/>
        <v>0</v>
      </c>
      <c r="IB36" s="541">
        <f t="shared" si="120"/>
        <v>573</v>
      </c>
      <c r="IC36" s="1019" t="str">
        <f t="shared" si="121"/>
        <v/>
      </c>
      <c r="ID36" s="541">
        <f t="shared" si="122"/>
        <v>573</v>
      </c>
      <c r="IE36" s="541">
        <f>Sheet1!DB34</f>
        <v>511</v>
      </c>
      <c r="IF36" s="533">
        <f>Sheet1!DA34</f>
        <v>1010</v>
      </c>
      <c r="IH36" s="541">
        <f>IF(AND($B36&gt;=$GC36,$B36&lt;=$GH36,$DR36&lt;0)+N("only adjusted when pool is drawn down during storage season"),Sheet1!$DB34+$DR36+N("Palmer minus all storage release"),Sheet1!$DB34)</f>
        <v>511</v>
      </c>
      <c r="II36" s="541">
        <f>IF(AND($B36&gt;=$GC36,$B36&lt;=$GH36,$DR36&lt;0)+N("only adjusted when pool is drawn down during storage season"),Sheet1!$DA34+$DR36+N("Auburn minus all storage release"),Sheet1!$DA34)</f>
        <v>1010</v>
      </c>
    </row>
    <row r="37" spans="1:243" x14ac:dyDescent="0.25">
      <c r="A37" s="553" t="s">
        <v>7</v>
      </c>
      <c r="B37" s="531">
        <v>42761</v>
      </c>
      <c r="C37" s="536">
        <v>0</v>
      </c>
      <c r="D37" s="506">
        <f t="shared" si="0"/>
        <v>300</v>
      </c>
      <c r="E37" s="506">
        <f t="shared" si="1"/>
        <v>250</v>
      </c>
      <c r="F37" s="506">
        <v>250</v>
      </c>
      <c r="G37" s="535">
        <f>DR37+Sheet1!CZ35</f>
        <v>558.51084215833112</v>
      </c>
      <c r="H37" s="1074">
        <f t="shared" si="96"/>
        <v>181.37518592000001</v>
      </c>
      <c r="I37" s="534">
        <f>IF(Sheet1!DA35&gt;=E37,(Sheet1!DA35-E37+P37)*CFStoMGD,0)</f>
        <v>522.67438591999996</v>
      </c>
      <c r="J37" s="995">
        <f>IF(Sheet1!DB35&gt;=D37,(Sheet1!DB35-D37+P37)*CFStoMGD,0)</f>
        <v>181.37518592000001</v>
      </c>
      <c r="K37" s="818">
        <f t="shared" si="97"/>
        <v>64.64</v>
      </c>
      <c r="L37" s="535">
        <f>Sheet1!AA35+Sheet1!AB35-Sheet1!L35+(Sheet1!DA35-F37)*CFStoMGD-S37-T37-U37</f>
        <v>480.27520000000004</v>
      </c>
      <c r="M37" s="535">
        <f t="shared" si="123"/>
        <v>368.24183653856818</v>
      </c>
      <c r="N37" s="824">
        <f>IF(Sheet1!DA35&gt;=F37,MIN(113*CFStoMGD,MIN(MAX(L37,0),MAX(M37,0))),0)</f>
        <v>73.043199999999999</v>
      </c>
      <c r="O37" s="538">
        <f>Sheet1!AA35+Sheet1!AB35</f>
        <v>42.4</v>
      </c>
      <c r="P37" s="538">
        <f t="shared" si="124"/>
        <v>65.592799999999997</v>
      </c>
      <c r="Q37" s="812">
        <f t="shared" si="98"/>
        <v>0</v>
      </c>
      <c r="R37" s="812">
        <f t="shared" si="59"/>
        <v>10.295751816657351</v>
      </c>
      <c r="S37" s="812">
        <f t="shared" si="60"/>
        <v>42.4</v>
      </c>
      <c r="T37" s="812">
        <f t="shared" si="61"/>
        <v>0</v>
      </c>
      <c r="U37" s="812">
        <f t="shared" si="99"/>
        <v>0</v>
      </c>
      <c r="V37" s="812"/>
      <c r="W37" s="812">
        <f t="shared" si="62"/>
        <v>54.34424818334265</v>
      </c>
      <c r="X37" s="812">
        <f t="shared" si="63"/>
        <v>42.4</v>
      </c>
      <c r="Y37" s="812" t="str">
        <f t="shared" si="64"/>
        <v/>
      </c>
      <c r="Z37" s="812">
        <f t="shared" si="65"/>
        <v>42.4</v>
      </c>
      <c r="AA37" s="812">
        <f t="shared" si="66"/>
        <v>42.4</v>
      </c>
      <c r="AB37" s="1059">
        <f t="shared" si="100"/>
        <v>0</v>
      </c>
      <c r="AC37" s="538">
        <f>Sheet1!Y35*MGDtoCFS</f>
        <v>37.746799999999993</v>
      </c>
      <c r="AD37" s="538">
        <f>Sheet1!Z35*MGDtoCFS</f>
        <v>26.298999999999999</v>
      </c>
      <c r="AE37" s="538">
        <f>Sheet1!AA35*MGDtoCFS</f>
        <v>37.901499999999999</v>
      </c>
      <c r="AF37" s="538">
        <f>Sheet1!AB35*MGDtoCFS</f>
        <v>27.691299999999998</v>
      </c>
      <c r="AG37" s="538">
        <f>Sheet1!L35*MGDtoCFS</f>
        <v>0</v>
      </c>
      <c r="AH37" s="521">
        <f t="shared" si="125"/>
        <v>0</v>
      </c>
      <c r="AI37" s="1059">
        <f t="shared" si="126"/>
        <v>0</v>
      </c>
      <c r="AJ37" s="535">
        <f t="shared" si="127"/>
        <v>0</v>
      </c>
      <c r="AK37" s="535">
        <f t="shared" si="128"/>
        <v>0</v>
      </c>
      <c r="AL37" s="535">
        <f>(VLOOKUP(Sheet1!DC35,hhdcap_wcm,4)-(((VLOOKUP(Sheet1!DC35,hhdcap_wcm,3)-Sheet1!DC35)/(VLOOKUP(Sheet1!DC35,hhdcap_wcm,3)-VLOOKUP(Sheet1!DC35,hhdcap_wcm,1)))*(VLOOKUP(Sheet1!DC35,hhdcap_wcm,4)-VLOOKUP(Sheet1!DC35,hhdcap_wcm,2))))</f>
        <v>1091.2000000031924</v>
      </c>
      <c r="AM37" s="535">
        <f t="shared" si="129"/>
        <v>-20.800000000029513</v>
      </c>
      <c r="AN37" s="1035">
        <f t="shared" si="130"/>
        <v>0</v>
      </c>
      <c r="AO37" s="535">
        <f t="shared" si="131"/>
        <v>0</v>
      </c>
      <c r="AP37" s="535">
        <f>Sheet1!BA35+Sheet1!BB35+Sheet1!BN35+CD37</f>
        <v>7.6</v>
      </c>
      <c r="AQ37" s="535">
        <f>Sheet1!BN35+(DO37*Sheet1!BN35)</f>
        <v>7.6042481833426487</v>
      </c>
      <c r="AR37" s="535">
        <f>Sheet1!BA35+CD37</f>
        <v>0</v>
      </c>
      <c r="AS37" s="535">
        <f>Sheet1!BA35+Sheet1!BB35+CD37</f>
        <v>0</v>
      </c>
      <c r="AT37" s="649">
        <f>0</f>
        <v>0</v>
      </c>
      <c r="AU37" s="535">
        <f>IF(EB37&lt;K37,0,MAX(Sheet1!AA35+AQ37-15/36*K37-N37,Sheet1!EH35,0))</f>
        <v>0</v>
      </c>
      <c r="AV37" s="535">
        <f>IF(OR(B37&gt;=GD37,B37&lt;GC37),0,15/36*K37-MAX(0,64.6-(137.6-(Sheet1!AA35+Sheet1!AB35))))</f>
        <v>0</v>
      </c>
      <c r="AW37" s="1029"/>
      <c r="AX37" s="649"/>
      <c r="AY37" s="649">
        <f t="shared" si="101"/>
        <v>0</v>
      </c>
      <c r="AZ37" s="649">
        <f t="shared" si="102"/>
        <v>0</v>
      </c>
      <c r="BA37" s="1059">
        <f t="shared" si="103"/>
        <v>0</v>
      </c>
      <c r="BB37" s="1019">
        <f t="shared" si="132"/>
        <v>0</v>
      </c>
      <c r="BC37" s="1041">
        <f t="shared" si="104"/>
        <v>26.933333333333334</v>
      </c>
      <c r="BD37" s="1019">
        <f ca="1">IF(B37&gt;Summary!$A$1,#N/A,BB37*MGtoAF)</f>
        <v>0</v>
      </c>
      <c r="BE37" s="535">
        <f>Sheet1!BG35+Sheet1!BH35+Sheet1!BI35-BM37</f>
        <v>1</v>
      </c>
      <c r="BF37" s="535">
        <f t="shared" si="133"/>
        <v>1.0005589714924539</v>
      </c>
      <c r="BG37" s="535">
        <f>IF(Sheet1!EP35="FM",BM37,0)</f>
        <v>0</v>
      </c>
      <c r="BH37" s="535">
        <f t="shared" si="134"/>
        <v>0</v>
      </c>
      <c r="BI37" s="535">
        <f>IF(Sheet1!EP35="OTHER",BM37,0)</f>
        <v>0</v>
      </c>
      <c r="BJ37" s="535">
        <f t="shared" si="135"/>
        <v>0</v>
      </c>
      <c r="BK37" s="535">
        <f t="shared" si="136"/>
        <v>1</v>
      </c>
      <c r="BL37" s="535">
        <f t="shared" si="137"/>
        <v>1.0005589714924539</v>
      </c>
      <c r="BM37" s="535">
        <f>IF(OR(Sheet1!EP35="FM", Sheet1!EP35="OTHER"),SUM(Sheet1!BG35:'Sheet1'!BI35),0)</f>
        <v>0</v>
      </c>
      <c r="BN37" s="521">
        <f>IF(AND($B37&gt;=$FV37,$B37&lt;=$FW37),MAX(BF37,Sheet1!EI35,0),MAX(BF37-(7/36)*$K37,0))</f>
        <v>0</v>
      </c>
      <c r="BO37" s="535">
        <f t="shared" si="138"/>
        <v>0</v>
      </c>
      <c r="BP37" s="521">
        <f t="shared" si="184"/>
        <v>1.0005589714924539</v>
      </c>
      <c r="BQ37" s="521">
        <f>IF(AND($O37&gt;0,Sheet1!EM35=1),(1-($O37-Sheet1!$L35)/$O37)*BL37,0)</f>
        <v>0</v>
      </c>
      <c r="BR37" s="521">
        <f>IF(AND(Sheet1!$L35=0,Sheet1!$L34=0, Calculation!BK37&lt;Sheet1!$EI35-0.1,Sheet1!$EI35=Sheet1!$EI34,Sheet1!$EI35=Sheet1!$EI36),BL37-BQ37,BL37-BQ37)</f>
        <v>1.0005589714924539</v>
      </c>
      <c r="BS37" s="1035" t="str">
        <f t="shared" si="105"/>
        <v/>
      </c>
      <c r="BT37" s="1035">
        <f t="shared" si="106"/>
        <v>12.568888888888889</v>
      </c>
      <c r="BU37" s="535">
        <f t="shared" si="139"/>
        <v>0</v>
      </c>
      <c r="BV37" s="535"/>
      <c r="BW37" s="535">
        <f ca="1">IF(B37&gt;Summary!$A$1,#N/A,BU37*MGtoAF)</f>
        <v>0</v>
      </c>
      <c r="BX37" s="535">
        <f>Sheet1!BC35+Sheet1!BD35+Sheet1!BE35+Sheet1!BF35-CG37-CH37</f>
        <v>2.99</v>
      </c>
      <c r="BY37" s="535">
        <f t="shared" si="140"/>
        <v>2.9916713247624371</v>
      </c>
      <c r="BZ37" s="535">
        <f>IF(Sheet1!EQ35="FM",CH37,0)</f>
        <v>0</v>
      </c>
      <c r="CA37" s="535">
        <f t="shared" si="141"/>
        <v>0</v>
      </c>
      <c r="CB37" s="535">
        <f>IF(Sheet1!EQ35="OTHER",CH37,0)</f>
        <v>0</v>
      </c>
      <c r="CC37" s="535">
        <f t="shared" si="142"/>
        <v>0</v>
      </c>
      <c r="CD37" s="535">
        <f t="shared" si="143"/>
        <v>0</v>
      </c>
      <c r="CE37" s="535">
        <f t="shared" si="144"/>
        <v>2.99</v>
      </c>
      <c r="CF37" s="535">
        <f t="shared" si="145"/>
        <v>2.9916713247624371</v>
      </c>
      <c r="CG37" s="535">
        <f>IF(Sheet1!EQ35="CWA",SUM(Sheet1!BC35:'Sheet1'!BF35),0)</f>
        <v>0</v>
      </c>
      <c r="CH37" s="535">
        <f>IF(OR(Sheet1!EQ35="FM", Sheet1!EQ35="OTHER"),SUM(Sheet1!BC35:'Sheet1'!BF35),0)</f>
        <v>0</v>
      </c>
      <c r="CI37" s="521">
        <f>IF(AND($B37&gt;=$FV37,$B37&lt;=$FW37),MAX(CF37,Sheet1!EJ35,0),MAX(CF37-(7/36)*$K37,0))</f>
        <v>0</v>
      </c>
      <c r="CJ37" s="535">
        <f t="shared" si="146"/>
        <v>0</v>
      </c>
      <c r="CK37" s="521">
        <f t="shared" si="182"/>
        <v>2.9916713247624371</v>
      </c>
      <c r="CL37" s="521">
        <f>IF(AND($O37&gt;0,Sheet1!EN35=1),(1-($O37-Sheet1!$L35)/$O37)*CF37,0)</f>
        <v>0</v>
      </c>
      <c r="CM37" s="521">
        <f>IF(AND(Sheet1!$L35=0,Sheet1!$L34=0, Calculation!CE37&lt;Sheet1!EJ35-0.1,Sheet1!EJ35=Sheet1!EJ34,Sheet1!EJ35=Sheet1!EJ36),CF37-CL37,CF37-CL37)</f>
        <v>2.9916713247624371</v>
      </c>
      <c r="CN37" s="1040" t="str">
        <f t="shared" si="107"/>
        <v/>
      </c>
      <c r="CO37" s="1035">
        <f t="shared" si="108"/>
        <v>12.568888888888889</v>
      </c>
      <c r="CP37" s="535">
        <f t="shared" si="147"/>
        <v>0</v>
      </c>
      <c r="CQ37" s="535"/>
      <c r="CR37" s="535">
        <f ca="1">IF(B37&gt;Summary!$A$1,#N/A,CP37*MGtoAF)</f>
        <v>0</v>
      </c>
      <c r="CS37" s="535">
        <f>Sheet1!BK35+Sheet1!BL35+Sheet1!BM35-Sheet1!ER35-DA37</f>
        <v>6.3000000000000007</v>
      </c>
      <c r="CT37" s="535">
        <f t="shared" si="148"/>
        <v>6.3035215204024597</v>
      </c>
      <c r="CU37" s="535">
        <f>IF(Sheet1!ER35="FM",DA37,0)</f>
        <v>0</v>
      </c>
      <c r="CV37" s="535">
        <f t="shared" si="149"/>
        <v>0</v>
      </c>
      <c r="CW37" s="535">
        <f>IF(Sheet1!ER35="OTHER",DA37,0)</f>
        <v>0</v>
      </c>
      <c r="CX37" s="535">
        <f t="shared" si="150"/>
        <v>0</v>
      </c>
      <c r="CY37" s="535">
        <f t="shared" si="151"/>
        <v>6.3000000000000007</v>
      </c>
      <c r="CZ37" s="535">
        <f t="shared" si="152"/>
        <v>6.3035215204024597</v>
      </c>
      <c r="DA37" s="535">
        <f>IF(OR(Sheet1!ER35="FM", Sheet1!ER35="OTHER"),SUM(Sheet1!BK35:'Sheet1'!BM35),0)</f>
        <v>0</v>
      </c>
      <c r="DB37" s="1011">
        <f>IF(AND($B37&gt;=$FV37,$B37&lt;=$FW37),MAX($CT37,Sheet1!EK35,0),MAX($CT37-(7/36)*$K37,0))</f>
        <v>0</v>
      </c>
      <c r="DC37" s="1012">
        <f t="shared" si="153"/>
        <v>0</v>
      </c>
      <c r="DD37" s="1011">
        <f t="shared" si="183"/>
        <v>6.3035215204024597</v>
      </c>
      <c r="DE37" s="521">
        <f>IF(AND($O37&gt;0,Sheet1!EO35=1),(1-($O37-Sheet1!$L35)/$O37)*CZ37,0)</f>
        <v>0</v>
      </c>
      <c r="DF37" s="521">
        <f>IF(AND(Sheet1!$L35=0,Sheet1!$L34=0, Calculation!CY37&lt;Sheet1!$EK35-0.1,Sheet1!$EK35=Sheet1!$EK34,Sheet1!$EK35=Sheet1!$EK36),CZ37-DE37,CZ37-DE37)</f>
        <v>6.3035215204024597</v>
      </c>
      <c r="DG37" s="1040">
        <f t="shared" si="109"/>
        <v>12.568888888888889</v>
      </c>
      <c r="DH37" s="649">
        <f t="shared" si="154"/>
        <v>10.290000000000001</v>
      </c>
      <c r="DI37" s="535">
        <f t="shared" si="155"/>
        <v>0</v>
      </c>
      <c r="DJ37" s="649">
        <f t="shared" si="156"/>
        <v>10.295751816657351</v>
      </c>
      <c r="DK37" s="535">
        <f ca="1">IF(B37&gt;Summary!$A$1,#N/A,DI37*MGtoAF)</f>
        <v>0</v>
      </c>
      <c r="DL37" s="649">
        <f t="shared" si="157"/>
        <v>10.290000000000001</v>
      </c>
      <c r="DM37" s="535">
        <f t="shared" si="158"/>
        <v>17.89</v>
      </c>
      <c r="DN37" s="535">
        <f>Sheet1!AB35-DM37</f>
        <v>9.9999999999980105E-3</v>
      </c>
      <c r="DO37" s="743">
        <f t="shared" si="159"/>
        <v>5.5897149245377363E-4</v>
      </c>
      <c r="DP37" s="535">
        <f>(VLOOKUP(Sheet1!DC35,hhdcap_wcm,4)-(((VLOOKUP(Sheet1!DC35,hhdcap_wcm,3)-Sheet1!DC35)/(VLOOKUP(Sheet1!DC35,hhdcap_wcm,3)-VLOOKUP(Sheet1!DC35,hhdcap_wcm,1)))*(VLOOKUP(Sheet1!DC35,hhdcap_wcm,4)-VLOOKUP(Sheet1!DC35,hhdcap_wcm,2))))</f>
        <v>1091.2000000031924</v>
      </c>
      <c r="DQ37" s="535">
        <f t="shared" si="160"/>
        <v>-20.800000000029513</v>
      </c>
      <c r="DR37" s="535">
        <f t="shared" si="161"/>
        <v>-10.489157841668941</v>
      </c>
      <c r="DS37" s="535">
        <f>Sheet1!EA35*AFtoMG</f>
        <v>0</v>
      </c>
      <c r="DT37" s="535">
        <f>Sheet1!EB35*AFtoMG</f>
        <v>0</v>
      </c>
      <c r="DU37" s="535">
        <f>Sheet1!EC35*AFtoMG</f>
        <v>0</v>
      </c>
      <c r="DV37" s="535">
        <f>Sheet1!ED35*AFtoMG</f>
        <v>0</v>
      </c>
      <c r="DW37" s="535">
        <f t="shared" si="162"/>
        <v>0</v>
      </c>
      <c r="DX37" s="535">
        <f t="shared" si="163"/>
        <v>0</v>
      </c>
      <c r="DY37" s="535">
        <f t="shared" si="164"/>
        <v>0</v>
      </c>
      <c r="DZ37" s="535">
        <f t="shared" si="165"/>
        <v>0</v>
      </c>
      <c r="EA37" s="535"/>
      <c r="EB37" s="521">
        <f>IF(OR(B37&lt;FV37,B37&gt;FW37),(MIN(BF37+BY37+CT37+MAX(Sheet1!AA35+AQ37-73,0),K37)),0)</f>
        <v>10.295751816657351</v>
      </c>
      <c r="EC37" s="535"/>
      <c r="ED37" s="535">
        <f t="shared" si="166"/>
        <v>10.295751816657351</v>
      </c>
      <c r="EE37" s="535"/>
      <c r="EF37" s="535">
        <f>Sheet1!EH35+Sheet1!EI35+Sheet1!EJ35+Sheet1!EK35</f>
        <v>10.5</v>
      </c>
      <c r="EG37" s="1019">
        <f t="shared" si="110"/>
        <v>16.243500000000001</v>
      </c>
      <c r="EH37" s="521">
        <f t="shared" si="167"/>
        <v>0</v>
      </c>
      <c r="EI37" s="535">
        <f>IF(Sheet1!ET35=1,SUM('Calculations II'!AT37:BA37)+'Calculations II'!BC37+Sheet1!BV35+'Calculations II'!BE37+AP37,'Calculations II'!BK37)</f>
        <v>29.723156183342653</v>
      </c>
      <c r="EJ37" s="535">
        <f ca="1">EI37+'Calculations II'!D37+'Calculations II'!E37+'Calculations II'!O37</f>
        <v>29.623681928366057</v>
      </c>
      <c r="EK37" s="535"/>
      <c r="EL37" s="535"/>
      <c r="EM37" s="535">
        <f t="shared" si="168"/>
        <v>42761</v>
      </c>
      <c r="EN37" s="535">
        <f t="shared" si="169"/>
        <v>0</v>
      </c>
      <c r="EO37" s="535">
        <f t="shared" si="170"/>
        <v>0</v>
      </c>
      <c r="EP37" s="535">
        <v>0</v>
      </c>
      <c r="EQ37" s="535">
        <v>0</v>
      </c>
      <c r="ER37" s="535">
        <v>0</v>
      </c>
      <c r="ES37" s="521">
        <f t="shared" si="71"/>
        <v>-1.1075706313380003</v>
      </c>
      <c r="ET37" s="535">
        <f>-(VLOOKUP(Sheet1!BQ35,Lookup!$O$4:$Q$262,2)-VLOOKUP(Sheet1!BQ34,Lookup!$O$4:$Q$262,2))/1000000</f>
        <v>-0.5536956123932153</v>
      </c>
      <c r="EU37" s="535">
        <f>-(VLOOKUP(Sheet1!BR35,Lookup!$O$4:$Q$262,3)-VLOOKUP(Sheet1!BR34,Lookup!$O$4:$Q$262,3))/1000000</f>
        <v>-0.55387501894478497</v>
      </c>
      <c r="EV37" s="535"/>
      <c r="EW37" s="535"/>
      <c r="EX37" s="535"/>
      <c r="EY37" s="535"/>
      <c r="EZ37" s="535"/>
      <c r="FA37" s="535"/>
      <c r="FB37" s="535"/>
      <c r="FC37" s="535"/>
      <c r="FD37" s="567" t="e">
        <f t="shared" si="171"/>
        <v>#N/A</v>
      </c>
      <c r="FE37" s="567" t="e">
        <f t="shared" si="172"/>
        <v>#N/A</v>
      </c>
      <c r="FF37" s="568" t="e">
        <f t="shared" si="173"/>
        <v>#N/A</v>
      </c>
      <c r="FG37" s="569" t="s">
        <v>656</v>
      </c>
      <c r="FH37" s="569" t="s">
        <v>656</v>
      </c>
      <c r="FI37" s="567" t="e">
        <v>#N/A</v>
      </c>
      <c r="FJ37" s="567" t="e">
        <v>#N/A</v>
      </c>
      <c r="FK37" s="535"/>
      <c r="FL37" s="1015">
        <v>0</v>
      </c>
      <c r="FM37" s="535"/>
      <c r="FN37" s="535"/>
      <c r="FO37" s="535">
        <f>O37+((Sheet1!CS35)*GPMtoMGD)</f>
        <v>42.4</v>
      </c>
      <c r="FP37" s="535">
        <f>IF(Sheet1!AA35+AQ37&lt;=Calculation!N37,AQ37,Calculation!N37-Sheet1!AA35)</f>
        <v>7.6042481833426487</v>
      </c>
      <c r="FQ37" s="535">
        <f>(Sheet1!BP35+Sheet1!BO35)/694.4</f>
        <v>1.7151497695852536</v>
      </c>
      <c r="FR37" s="541"/>
      <c r="FS37" s="541"/>
      <c r="FT37" s="541"/>
      <c r="FU37" s="541"/>
      <c r="FV37" s="1109">
        <f t="shared" si="74"/>
        <v>42918</v>
      </c>
      <c r="FW37" s="1109">
        <f t="shared" si="75"/>
        <v>43027</v>
      </c>
      <c r="FX37" s="541"/>
      <c r="FY37" s="541">
        <f>Sheet1!DA35-Sheet1!CZ35-Sheet1!AE35</f>
        <v>358.40719999999999</v>
      </c>
      <c r="FZ37" s="535">
        <f t="shared" si="111"/>
        <v>0.64171932386300179</v>
      </c>
      <c r="GA37" s="535"/>
      <c r="GB37" s="535" t="str">
        <f t="shared" si="76"/>
        <v>n</v>
      </c>
      <c r="GC37" s="539">
        <f t="shared" si="77"/>
        <v>42782</v>
      </c>
      <c r="GD37" s="1109">
        <f t="shared" si="78"/>
        <v>42904</v>
      </c>
      <c r="GE37" s="535">
        <f t="shared" si="95"/>
        <v>6520</v>
      </c>
      <c r="GF37" s="1109">
        <f t="shared" si="79"/>
        <v>42909</v>
      </c>
      <c r="GG37" s="535">
        <f t="shared" si="174"/>
        <v>3260</v>
      </c>
      <c r="GH37" s="539">
        <f t="shared" si="80"/>
        <v>43040</v>
      </c>
      <c r="GJ37" s="521">
        <f t="shared" si="81"/>
        <v>0</v>
      </c>
      <c r="GK37" s="535" t="str">
        <f t="shared" si="175"/>
        <v/>
      </c>
      <c r="GL37" s="535">
        <f t="shared" si="82"/>
        <v>0</v>
      </c>
      <c r="GM37" s="535" t="str">
        <f t="shared" si="83"/>
        <v/>
      </c>
      <c r="GN37" s="535">
        <f>IF(GK37="P",Lookup!$M$12,IF(GK37="PP",Lookup!$M$13,IF(GK37="PPP",Lookup!$M$14,IF(GK37="T",Lookup!$M$15,IF(GK37="TP",Lookup!$M$16,IF(GK37="TPP",Lookup!$M$17,IF(GK37="TPPP",Lookup!$M$18,0)))))))*GJ37</f>
        <v>0</v>
      </c>
      <c r="GO37" s="535">
        <f t="shared" si="84"/>
        <v>0</v>
      </c>
      <c r="GP37" s="535">
        <f t="shared" si="176"/>
        <v>0</v>
      </c>
      <c r="GQ37" s="535">
        <f t="shared" si="94"/>
        <v>0</v>
      </c>
      <c r="GR37" s="535"/>
      <c r="GS37" s="535">
        <f t="shared" si="85"/>
        <v>0</v>
      </c>
      <c r="GT37" s="535" t="str">
        <f t="shared" si="86"/>
        <v/>
      </c>
      <c r="GU37" s="535">
        <f>IF(GK37="P",Lookup!$N$12,IF(GK37="PP",Lookup!$N$13,IF(GK37="PPP",Lookup!$N$14,IF(GK37="T",Lookup!$N$15,IF(GK37="TP",Lookup!$N$16,IF(GK37="TPP",Lookup!$N$17,IF(GK37="TPPP",Lookup!$N$18,0)))))))*GJ37</f>
        <v>0</v>
      </c>
      <c r="GV37" s="535">
        <f t="shared" si="53"/>
        <v>0</v>
      </c>
      <c r="GW37" s="535">
        <f t="shared" si="177"/>
        <v>0</v>
      </c>
      <c r="GX37" s="535">
        <f t="shared" si="91"/>
        <v>0</v>
      </c>
      <c r="GY37" s="535"/>
      <c r="GZ37" s="535">
        <f t="shared" si="87"/>
        <v>0</v>
      </c>
      <c r="HA37" s="535" t="str">
        <f t="shared" si="88"/>
        <v/>
      </c>
      <c r="HB37" s="535">
        <f>IF(GK37="P",Lookup!$N$12,IF(GK37="PP",Lookup!$N$13,IF(GK37="PPP",Lookup!$N$14,IF(GK37="T",Lookup!$N$15,IF(GK37="TP",Lookup!$N$16,IF(GK37="TPP",Lookup!$N$17,IF(GK37="TPPP",Lookup!$N$18,0)))))))*GJ37</f>
        <v>0</v>
      </c>
      <c r="HC37" s="521">
        <f t="shared" si="178"/>
        <v>0</v>
      </c>
      <c r="HD37" s="535">
        <f t="shared" si="179"/>
        <v>0</v>
      </c>
      <c r="HE37" s="535">
        <f t="shared" si="92"/>
        <v>0</v>
      </c>
      <c r="HF37" s="535"/>
      <c r="HG37" s="535">
        <f t="shared" si="89"/>
        <v>0</v>
      </c>
      <c r="HH37" s="535" t="str">
        <f t="shared" si="90"/>
        <v/>
      </c>
      <c r="HI37" s="535">
        <f>IF(GK37="P",Lookup!$N$12,IF(GK37="PP",Lookup!$N$13,IF(GK37="PPP",Lookup!$N$14,IF(GK37="T",Lookup!$N$15,IF(GK37="TP",Lookup!$N$16,IF(GK37="TPP",Lookup!$N$17,IF(GK37="TPPP",Lookup!$N$18,0)))))))*GJ37</f>
        <v>0</v>
      </c>
      <c r="HJ37" s="521">
        <f t="shared" si="180"/>
        <v>0</v>
      </c>
      <c r="HK37" s="535">
        <f t="shared" si="181"/>
        <v>0</v>
      </c>
      <c r="HL37" s="535">
        <f t="shared" si="93"/>
        <v>0</v>
      </c>
      <c r="HM37" s="535"/>
      <c r="HN37" s="541"/>
      <c r="HO37" s="541"/>
      <c r="HP37" s="541"/>
      <c r="HQ37" s="541">
        <f>IF(AND(B37&gt;=$FV$4,B37&lt;=$FW$4),MAX(110/1.02+$HQ$6+MIN(113/1.02,G37),IF($HV$6-(Sheet1!DA35-Sheet1!DB35)+MIN(113/1.02,G37)&lt;G37+FL37,$HV$6-(Sheet1!DA35-Sheet1!DB35)+MIN(113/1.02,G37),G37+FL37)),MIN(110/1.02+$HQ$6+113/1.02,G37))</f>
        <v>218.62745098039215</v>
      </c>
      <c r="HR37" s="541">
        <f t="shared" si="112"/>
        <v>223</v>
      </c>
      <c r="HS37" s="541">
        <f>HR37+(Sheet1!DA35-Sheet1!DB35)</f>
        <v>701</v>
      </c>
      <c r="HT37" s="541">
        <f t="shared" si="113"/>
        <v>0</v>
      </c>
      <c r="HU37" s="541">
        <f t="shared" si="114"/>
        <v>701</v>
      </c>
      <c r="HV37" s="541">
        <f t="shared" si="115"/>
        <v>0</v>
      </c>
      <c r="HW37" s="533" t="str">
        <f t="shared" si="116"/>
        <v/>
      </c>
      <c r="HX37" s="541">
        <f t="shared" si="117"/>
        <v>350.37254901960785</v>
      </c>
      <c r="HY37" s="541">
        <f>Sheet1!CZ35</f>
        <v>569</v>
      </c>
      <c r="HZ37" s="541">
        <f t="shared" si="118"/>
        <v>0</v>
      </c>
      <c r="IA37" s="541">
        <f t="shared" si="119"/>
        <v>0</v>
      </c>
      <c r="IB37" s="541">
        <f t="shared" si="120"/>
        <v>569</v>
      </c>
      <c r="IC37" s="1019" t="str">
        <f t="shared" si="121"/>
        <v/>
      </c>
      <c r="ID37" s="541">
        <f t="shared" si="122"/>
        <v>569</v>
      </c>
      <c r="IE37" s="541">
        <f>Sheet1!DB35</f>
        <v>515</v>
      </c>
      <c r="IF37" s="533">
        <f>Sheet1!DA35</f>
        <v>993</v>
      </c>
      <c r="IH37" s="541">
        <f>IF(AND($B37&gt;=$GC37,$B37&lt;=$GH37,$DR37&lt;0)+N("only adjusted when pool is drawn down during storage season"),Sheet1!$DB35+$DR37+N("Palmer minus all storage release"),Sheet1!$DB35)</f>
        <v>515</v>
      </c>
      <c r="II37" s="541">
        <f>IF(AND($B37&gt;=$GC37,$B37&lt;=$GH37,$DR37&lt;0)+N("only adjusted when pool is drawn down during storage season"),Sheet1!$DA35+$DR37+N("Auburn minus all storage release"),Sheet1!$DA35)</f>
        <v>993</v>
      </c>
    </row>
    <row r="38" spans="1:243" x14ac:dyDescent="0.25">
      <c r="A38" s="553" t="s">
        <v>8</v>
      </c>
      <c r="B38" s="531">
        <v>42762</v>
      </c>
      <c r="C38" s="536">
        <v>0</v>
      </c>
      <c r="D38" s="506">
        <f t="shared" si="0"/>
        <v>300</v>
      </c>
      <c r="E38" s="506">
        <f t="shared" si="1"/>
        <v>250</v>
      </c>
      <c r="F38" s="506">
        <v>250</v>
      </c>
      <c r="G38" s="535">
        <f>DR38+Sheet1!CZ36</f>
        <v>494.48915784166894</v>
      </c>
      <c r="H38" s="1074">
        <f t="shared" si="96"/>
        <v>127.24834540799999</v>
      </c>
      <c r="I38" s="534">
        <f>IF(Sheet1!DA36&gt;=E38,(Sheet1!DA36-E38+P38)*CFStoMGD,0)</f>
        <v>464.02274540799999</v>
      </c>
      <c r="J38" s="995">
        <f>IF(Sheet1!DB36&gt;=D38,(Sheet1!DB36-D38+P38)*CFStoMGD,0)</f>
        <v>127.24834540799999</v>
      </c>
      <c r="K38" s="818">
        <f t="shared" si="97"/>
        <v>64.64</v>
      </c>
      <c r="L38" s="535">
        <f>Sheet1!AA36+Sheet1!AB36-Sheet1!L36+(Sheet1!DA36-F38)*CFStoMGD-S38-T38-U38</f>
        <v>419.5136</v>
      </c>
      <c r="M38" s="535">
        <f t="shared" si="123"/>
        <v>326.03054746143192</v>
      </c>
      <c r="N38" s="824">
        <f>IF(Sheet1!DA36&gt;=F38,MIN(113*CFStoMGD,MIN(MAX(L38,0),MAX(M38,0))),0)</f>
        <v>73.043199999999999</v>
      </c>
      <c r="O38" s="538">
        <f>Sheet1!AA36+Sheet1!AB36</f>
        <v>44.510000000000005</v>
      </c>
      <c r="P38" s="538">
        <f t="shared" si="124"/>
        <v>68.856970000000004</v>
      </c>
      <c r="Q38" s="812">
        <f t="shared" si="98"/>
        <v>0</v>
      </c>
      <c r="R38" s="812">
        <f t="shared" si="59"/>
        <v>10.457398285883166</v>
      </c>
      <c r="S38" s="812">
        <f t="shared" si="60"/>
        <v>44.510000000000005</v>
      </c>
      <c r="T38" s="812">
        <f t="shared" si="61"/>
        <v>0</v>
      </c>
      <c r="U38" s="812">
        <f t="shared" si="99"/>
        <v>0</v>
      </c>
      <c r="V38" s="812"/>
      <c r="W38" s="812">
        <f t="shared" si="62"/>
        <v>54.182601714116835</v>
      </c>
      <c r="X38" s="812">
        <f t="shared" si="63"/>
        <v>44.510000000000005</v>
      </c>
      <c r="Y38" s="812" t="str">
        <f t="shared" si="64"/>
        <v/>
      </c>
      <c r="Z38" s="812">
        <f t="shared" si="65"/>
        <v>44.510000000000005</v>
      </c>
      <c r="AA38" s="812">
        <f t="shared" si="66"/>
        <v>44.510000000000005</v>
      </c>
      <c r="AB38" s="1059">
        <f t="shared" si="100"/>
        <v>0</v>
      </c>
      <c r="AC38" s="538">
        <f>Sheet1!Y36*MGDtoCFS</f>
        <v>37.901499999999999</v>
      </c>
      <c r="AD38" s="538">
        <f>Sheet1!Z36*MGDtoCFS</f>
        <v>27.691299999999998</v>
      </c>
      <c r="AE38" s="538">
        <f>Sheet1!AA36*MGDtoCFS</f>
        <v>37.901499999999999</v>
      </c>
      <c r="AF38" s="538">
        <f>Sheet1!AB36*MGDtoCFS</f>
        <v>30.955470000000002</v>
      </c>
      <c r="AG38" s="538">
        <f>Sheet1!L36*MGDtoCFS</f>
        <v>0</v>
      </c>
      <c r="AH38" s="521">
        <f t="shared" si="125"/>
        <v>0</v>
      </c>
      <c r="AI38" s="1059">
        <f t="shared" si="126"/>
        <v>0</v>
      </c>
      <c r="AJ38" s="535">
        <f t="shared" si="127"/>
        <v>0</v>
      </c>
      <c r="AK38" s="535">
        <f t="shared" si="128"/>
        <v>0</v>
      </c>
      <c r="AL38" s="535">
        <f>(VLOOKUP(Sheet1!DC36,hhdcap_wcm,4)-(((VLOOKUP(Sheet1!DC36,hhdcap_wcm,3)-Sheet1!DC36)/(VLOOKUP(Sheet1!DC36,hhdcap_wcm,3)-VLOOKUP(Sheet1!DC36,hhdcap_wcm,1)))*(VLOOKUP(Sheet1!DC36,hhdcap_wcm,4)-VLOOKUP(Sheet1!DC36,hhdcap_wcm,2))))</f>
        <v>1112.0000000032219</v>
      </c>
      <c r="AM38" s="535">
        <f t="shared" si="129"/>
        <v>20.800000000029513</v>
      </c>
      <c r="AN38" s="1035">
        <f t="shared" si="130"/>
        <v>0</v>
      </c>
      <c r="AO38" s="535">
        <f t="shared" si="131"/>
        <v>0</v>
      </c>
      <c r="AP38" s="535">
        <f>Sheet1!BA36+Sheet1!BB36+Sheet1!BN36+CD38</f>
        <v>9.6920000000000002</v>
      </c>
      <c r="AQ38" s="535">
        <f>Sheet1!BN36+(DO38*Sheet1!BN36)</f>
        <v>9.552601714116836</v>
      </c>
      <c r="AR38" s="535">
        <f>Sheet1!BA36+CD38</f>
        <v>0</v>
      </c>
      <c r="AS38" s="535">
        <f>Sheet1!BA36+Sheet1!BB36+CD38</f>
        <v>0</v>
      </c>
      <c r="AT38" s="649">
        <f>0</f>
        <v>0</v>
      </c>
      <c r="AU38" s="535">
        <f>IF(EB38&lt;K38,0,MAX(Sheet1!AA36+AQ38-15/36*K38-N38,Sheet1!EH36,0))</f>
        <v>0</v>
      </c>
      <c r="AV38" s="535">
        <f>IF(OR(B38&gt;=GD38,B38&lt;GC38),0,15/36*K38-MAX(0,64.6-(137.6-(Sheet1!AA36+Sheet1!AB36))))</f>
        <v>0</v>
      </c>
      <c r="AW38" s="1029"/>
      <c r="AX38" s="649"/>
      <c r="AY38" s="649">
        <f t="shared" si="101"/>
        <v>0</v>
      </c>
      <c r="AZ38" s="649">
        <f t="shared" si="102"/>
        <v>0</v>
      </c>
      <c r="BA38" s="1059">
        <f t="shared" si="103"/>
        <v>0</v>
      </c>
      <c r="BB38" s="1019">
        <f t="shared" si="132"/>
        <v>0</v>
      </c>
      <c r="BC38" s="1041">
        <f t="shared" si="104"/>
        <v>26.933333333333334</v>
      </c>
      <c r="BD38" s="1019">
        <f ca="1">IF(B38&gt;Summary!$A$1,#N/A,BB38*MGtoAF)</f>
        <v>0</v>
      </c>
      <c r="BE38" s="535">
        <f>Sheet1!BG36+Sheet1!BH36+Sheet1!BI36-BM38</f>
        <v>1.06</v>
      </c>
      <c r="BF38" s="535">
        <f t="shared" si="133"/>
        <v>1.0447542114077433</v>
      </c>
      <c r="BG38" s="535">
        <f>IF(Sheet1!EP36="FM",BM38,0)</f>
        <v>0</v>
      </c>
      <c r="BH38" s="535">
        <f t="shared" si="134"/>
        <v>0</v>
      </c>
      <c r="BI38" s="535">
        <f>IF(Sheet1!EP36="OTHER",BM38,0)</f>
        <v>0</v>
      </c>
      <c r="BJ38" s="535">
        <f t="shared" si="135"/>
        <v>0</v>
      </c>
      <c r="BK38" s="535">
        <f t="shared" si="136"/>
        <v>1.06</v>
      </c>
      <c r="BL38" s="535">
        <f t="shared" si="137"/>
        <v>1.0447542114077433</v>
      </c>
      <c r="BM38" s="535">
        <f>IF(OR(Sheet1!EP36="FM", Sheet1!EP36="OTHER"),SUM(Sheet1!BG36:'Sheet1'!BI36),0)</f>
        <v>0</v>
      </c>
      <c r="BN38" s="521">
        <f>IF(AND($B38&gt;=$FV38,$B38&lt;=$FW38),MAX(BF38,Sheet1!EI36,0),MAX(BF38-(7/36)*$K38,0))</f>
        <v>0</v>
      </c>
      <c r="BO38" s="535">
        <f t="shared" si="138"/>
        <v>0</v>
      </c>
      <c r="BP38" s="521">
        <f t="shared" si="184"/>
        <v>1.0447542114077433</v>
      </c>
      <c r="BQ38" s="521">
        <f>IF(AND($O38&gt;0,Sheet1!EM36=1),(1-($O38-Sheet1!$L36)/$O38)*BL38,0)</f>
        <v>0</v>
      </c>
      <c r="BR38" s="521">
        <f>IF(AND(Sheet1!$L36=0,Sheet1!$L35=0, Calculation!BK38&lt;Sheet1!$EI36-0.1,Sheet1!$EI36=Sheet1!$EI35,Sheet1!$EI36=Sheet1!$EI37),BL38-BQ38,BL38-BQ38)</f>
        <v>1.0447542114077433</v>
      </c>
      <c r="BS38" s="1035" t="str">
        <f t="shared" si="105"/>
        <v/>
      </c>
      <c r="BT38" s="1035">
        <f t="shared" si="106"/>
        <v>12.568888888888889</v>
      </c>
      <c r="BU38" s="535">
        <f t="shared" si="139"/>
        <v>0</v>
      </c>
      <c r="BV38" s="535"/>
      <c r="BW38" s="535">
        <f ca="1">IF(B38&gt;Summary!$A$1,#N/A,BU38*MGtoAF)</f>
        <v>0</v>
      </c>
      <c r="BX38" s="535">
        <f>Sheet1!BC36+Sheet1!BD36+Sheet1!BE36+Sheet1!BF36-CG38-CH38</f>
        <v>3</v>
      </c>
      <c r="BY38" s="535">
        <f t="shared" si="140"/>
        <v>2.9568515417200278</v>
      </c>
      <c r="BZ38" s="535">
        <f>IF(Sheet1!EQ36="FM",CH38,0)</f>
        <v>0</v>
      </c>
      <c r="CA38" s="535">
        <f t="shared" si="141"/>
        <v>0</v>
      </c>
      <c r="CB38" s="535">
        <f>IF(Sheet1!EQ36="OTHER",CH38,0)</f>
        <v>0</v>
      </c>
      <c r="CC38" s="535">
        <f t="shared" si="142"/>
        <v>0</v>
      </c>
      <c r="CD38" s="535">
        <f t="shared" si="143"/>
        <v>0</v>
      </c>
      <c r="CE38" s="535">
        <f t="shared" si="144"/>
        <v>3</v>
      </c>
      <c r="CF38" s="535">
        <f t="shared" si="145"/>
        <v>2.9568515417200278</v>
      </c>
      <c r="CG38" s="535">
        <f>IF(Sheet1!EQ36="CWA",SUM(Sheet1!BC36:'Sheet1'!BF36),0)</f>
        <v>0</v>
      </c>
      <c r="CH38" s="535">
        <f>IF(OR(Sheet1!EQ36="FM", Sheet1!EQ36="OTHER"),SUM(Sheet1!BC36:'Sheet1'!BF36),0)</f>
        <v>0</v>
      </c>
      <c r="CI38" s="521">
        <f>IF(AND($B38&gt;=$FV38,$B38&lt;=$FW38),MAX(CF38,Sheet1!EJ36,0),MAX(CF38-(7/36)*$K38,0))</f>
        <v>0</v>
      </c>
      <c r="CJ38" s="535">
        <f t="shared" si="146"/>
        <v>0</v>
      </c>
      <c r="CK38" s="521">
        <f t="shared" si="182"/>
        <v>2.9568515417200278</v>
      </c>
      <c r="CL38" s="521">
        <f>IF(AND($O38&gt;0,Sheet1!EN36=1),(1-($O38-Sheet1!$L36)/$O38)*CF38,0)</f>
        <v>0</v>
      </c>
      <c r="CM38" s="521">
        <f>IF(AND(Sheet1!$L36=0,Sheet1!$L35=0, Calculation!CE38&lt;Sheet1!EJ36-0.1,Sheet1!EJ36=Sheet1!EJ35,Sheet1!EJ36=Sheet1!EJ37),CF38-CL38,CF38-CL38)</f>
        <v>2.9568515417200278</v>
      </c>
      <c r="CN38" s="1040" t="str">
        <f t="shared" si="107"/>
        <v/>
      </c>
      <c r="CO38" s="1035">
        <f t="shared" si="108"/>
        <v>12.568888888888889</v>
      </c>
      <c r="CP38" s="535">
        <f t="shared" si="147"/>
        <v>0</v>
      </c>
      <c r="CQ38" s="535"/>
      <c r="CR38" s="535">
        <f ca="1">IF(B38&gt;Summary!$A$1,#N/A,CP38*MGtoAF)</f>
        <v>0</v>
      </c>
      <c r="CS38" s="535">
        <f>Sheet1!BK36+Sheet1!BL36+Sheet1!BM36-Sheet1!ER36-DA38</f>
        <v>6.55</v>
      </c>
      <c r="CT38" s="535">
        <f t="shared" si="148"/>
        <v>6.4557925327553942</v>
      </c>
      <c r="CU38" s="535">
        <f>IF(Sheet1!ER36="FM",DA38,0)</f>
        <v>0</v>
      </c>
      <c r="CV38" s="535">
        <f t="shared" si="149"/>
        <v>0</v>
      </c>
      <c r="CW38" s="535">
        <f>IF(Sheet1!ER36="OTHER",DA38,0)</f>
        <v>0</v>
      </c>
      <c r="CX38" s="535">
        <f t="shared" si="150"/>
        <v>0</v>
      </c>
      <c r="CY38" s="535">
        <f t="shared" si="151"/>
        <v>6.55</v>
      </c>
      <c r="CZ38" s="535">
        <f t="shared" si="152"/>
        <v>6.4557925327553942</v>
      </c>
      <c r="DA38" s="535">
        <f>IF(OR(Sheet1!ER36="FM", Sheet1!ER36="OTHER"),SUM(Sheet1!BK36:'Sheet1'!BM36),0)</f>
        <v>0</v>
      </c>
      <c r="DB38" s="1011">
        <f>IF(AND($B38&gt;=$FV38,$B38&lt;=$FW38),MAX($CT38,Sheet1!EK36,0),MAX($CT38-(7/36)*$K38,0))</f>
        <v>0</v>
      </c>
      <c r="DC38" s="1012">
        <f t="shared" si="153"/>
        <v>0</v>
      </c>
      <c r="DD38" s="1011">
        <f t="shared" si="183"/>
        <v>6.4557925327553942</v>
      </c>
      <c r="DE38" s="521">
        <f>IF(AND($O38&gt;0,Sheet1!EO36=1),(1-($O38-Sheet1!$L36)/$O38)*CZ38,0)</f>
        <v>0</v>
      </c>
      <c r="DF38" s="521">
        <f>IF(AND(Sheet1!$L36=0,Sheet1!$L35=0, Calculation!CY38&lt;Sheet1!$EK36-0.1,Sheet1!$EK36=Sheet1!$EK35,Sheet1!$EK36=Sheet1!$EK37),CZ38-DE38,CZ38-DE38)</f>
        <v>6.4557925327553942</v>
      </c>
      <c r="DG38" s="1040">
        <f t="shared" si="109"/>
        <v>12.568888888888889</v>
      </c>
      <c r="DH38" s="649">
        <f t="shared" si="154"/>
        <v>10.61</v>
      </c>
      <c r="DI38" s="535">
        <f t="shared" si="155"/>
        <v>0</v>
      </c>
      <c r="DJ38" s="649">
        <f t="shared" si="156"/>
        <v>10.457398285883166</v>
      </c>
      <c r="DK38" s="535">
        <f ca="1">IF(B38&gt;Summary!$A$1,#N/A,DI38*MGtoAF)</f>
        <v>0</v>
      </c>
      <c r="DL38" s="649">
        <f t="shared" si="157"/>
        <v>10.610000000000001</v>
      </c>
      <c r="DM38" s="535">
        <f t="shared" si="158"/>
        <v>20.302</v>
      </c>
      <c r="DN38" s="535">
        <f>Sheet1!AB36-DM38</f>
        <v>-0.29199999999999804</v>
      </c>
      <c r="DO38" s="743">
        <f t="shared" si="159"/>
        <v>-1.4382819426657376E-2</v>
      </c>
      <c r="DP38" s="535">
        <f>(VLOOKUP(Sheet1!DC36,hhdcap_wcm,4)-(((VLOOKUP(Sheet1!DC36,hhdcap_wcm,3)-Sheet1!DC36)/(VLOOKUP(Sheet1!DC36,hhdcap_wcm,3)-VLOOKUP(Sheet1!DC36,hhdcap_wcm,1)))*(VLOOKUP(Sheet1!DC36,hhdcap_wcm,4)-VLOOKUP(Sheet1!DC36,hhdcap_wcm,2))))</f>
        <v>1112.0000000032219</v>
      </c>
      <c r="DQ38" s="535">
        <f t="shared" si="160"/>
        <v>20.800000000029513</v>
      </c>
      <c r="DR38" s="535">
        <f t="shared" si="161"/>
        <v>10.489157841668941</v>
      </c>
      <c r="DS38" s="535">
        <f>Sheet1!EA36*AFtoMG</f>
        <v>0</v>
      </c>
      <c r="DT38" s="535">
        <f>Sheet1!EB36*AFtoMG</f>
        <v>0</v>
      </c>
      <c r="DU38" s="535">
        <f>Sheet1!EC36*AFtoMG</f>
        <v>0</v>
      </c>
      <c r="DV38" s="535">
        <f>Sheet1!ED36*AFtoMG</f>
        <v>0</v>
      </c>
      <c r="DW38" s="535">
        <f t="shared" si="162"/>
        <v>0</v>
      </c>
      <c r="DX38" s="535">
        <f t="shared" si="163"/>
        <v>0</v>
      </c>
      <c r="DY38" s="535">
        <f t="shared" si="164"/>
        <v>0</v>
      </c>
      <c r="DZ38" s="535">
        <f t="shared" si="165"/>
        <v>0</v>
      </c>
      <c r="EA38" s="535"/>
      <c r="EB38" s="521">
        <f>IF(OR(B38&lt;FV38,B38&gt;FW38),(MIN(BF38+BY38+CT38+MAX(Sheet1!AA36+AQ38-73,0),K38)),0)</f>
        <v>10.457398285883166</v>
      </c>
      <c r="EC38" s="535"/>
      <c r="ED38" s="535">
        <f t="shared" si="166"/>
        <v>10.457398285883166</v>
      </c>
      <c r="EE38" s="535"/>
      <c r="EF38" s="535">
        <f>Sheet1!EH36+Sheet1!EI36+Sheet1!EJ36+Sheet1!EK36</f>
        <v>10.5</v>
      </c>
      <c r="EG38" s="1019">
        <f t="shared" si="110"/>
        <v>16.243500000000001</v>
      </c>
      <c r="EH38" s="521">
        <f t="shared" si="167"/>
        <v>0</v>
      </c>
      <c r="EI38" s="535">
        <f>IF(Sheet1!ET36=1,SUM('Calculations II'!AT38:BA38)+'Calculations II'!BC38+Sheet1!BV36+'Calculations II'!BE38+AP38,'Calculations II'!BK38)</f>
        <v>33.933249714116833</v>
      </c>
      <c r="EJ38" s="535">
        <f ca="1">EI38+'Calculations II'!D38+'Calculations II'!E38+'Calculations II'!O38</f>
        <v>32.692244585109719</v>
      </c>
      <c r="EK38" s="535"/>
      <c r="EL38" s="535"/>
      <c r="EM38" s="535">
        <f t="shared" si="168"/>
        <v>42762</v>
      </c>
      <c r="EN38" s="535">
        <f t="shared" si="169"/>
        <v>0</v>
      </c>
      <c r="EO38" s="535">
        <f t="shared" si="170"/>
        <v>0</v>
      </c>
      <c r="EP38" s="535">
        <v>0</v>
      </c>
      <c r="EQ38" s="535">
        <v>0</v>
      </c>
      <c r="ER38" s="535">
        <v>0</v>
      </c>
      <c r="ES38" s="521">
        <f t="shared" si="71"/>
        <v>-0.27711693006494642</v>
      </c>
      <c r="ET38" s="535">
        <f>-(VLOOKUP(Sheet1!BQ36,Lookup!$O$4:$Q$262,2)-VLOOKUP(Sheet1!BQ35,Lookup!$O$4:$Q$262,2))/1000000</f>
        <v>0.27686061991568656</v>
      </c>
      <c r="EU38" s="535">
        <f>-(VLOOKUP(Sheet1!BR36,Lookup!$O$4:$Q$262,3)-VLOOKUP(Sheet1!BR35,Lookup!$O$4:$Q$262,3))/1000000</f>
        <v>-0.55397754998063298</v>
      </c>
      <c r="EV38" s="535"/>
      <c r="EW38" s="535"/>
      <c r="EX38" s="535"/>
      <c r="EY38" s="535"/>
      <c r="EZ38" s="535"/>
      <c r="FA38" s="535"/>
      <c r="FB38" s="535"/>
      <c r="FC38" s="535"/>
      <c r="FD38" s="567" t="e">
        <f t="shared" si="171"/>
        <v>#N/A</v>
      </c>
      <c r="FE38" s="567" t="e">
        <f t="shared" si="172"/>
        <v>#N/A</v>
      </c>
      <c r="FF38" s="568" t="e">
        <f t="shared" si="173"/>
        <v>#N/A</v>
      </c>
      <c r="FG38" s="569" t="s">
        <v>656</v>
      </c>
      <c r="FH38" s="569" t="s">
        <v>656</v>
      </c>
      <c r="FI38" s="567" t="e">
        <v>#N/A</v>
      </c>
      <c r="FJ38" s="567" t="e">
        <v>#N/A</v>
      </c>
      <c r="FK38" s="535"/>
      <c r="FL38" s="1015">
        <v>0</v>
      </c>
      <c r="FM38" s="535"/>
      <c r="FN38" s="535"/>
      <c r="FO38" s="535">
        <f>O38+((Sheet1!CS36)*GPMtoMGD)</f>
        <v>44.510000000000005</v>
      </c>
      <c r="FP38" s="535">
        <f>IF(Sheet1!AA36+AQ38&lt;=Calculation!N38,AQ38,Calculation!N38-Sheet1!AA36)</f>
        <v>9.552601714116836</v>
      </c>
      <c r="FQ38" s="535">
        <f>(Sheet1!BP36+Sheet1!BO36)/694.4</f>
        <v>1.467741935483871</v>
      </c>
      <c r="FR38" s="541"/>
      <c r="FS38" s="541"/>
      <c r="FT38" s="541"/>
      <c r="FU38" s="541"/>
      <c r="FV38" s="1109">
        <f t="shared" si="74"/>
        <v>42918</v>
      </c>
      <c r="FW38" s="1109">
        <f t="shared" si="75"/>
        <v>43027</v>
      </c>
      <c r="FX38" s="541"/>
      <c r="FY38" s="541">
        <f>Sheet1!DA36-Sheet1!CZ36-Sheet1!AE36</f>
        <v>346.14303000000001</v>
      </c>
      <c r="FZ38" s="535">
        <f t="shared" si="111"/>
        <v>0.70000125282995984</v>
      </c>
      <c r="GA38" s="535"/>
      <c r="GB38" s="535" t="str">
        <f t="shared" si="76"/>
        <v>n</v>
      </c>
      <c r="GC38" s="539">
        <f t="shared" si="77"/>
        <v>42782</v>
      </c>
      <c r="GD38" s="1109">
        <f t="shared" si="78"/>
        <v>42904</v>
      </c>
      <c r="GE38" s="535">
        <f t="shared" si="95"/>
        <v>6520</v>
      </c>
      <c r="GF38" s="1109">
        <f t="shared" si="79"/>
        <v>42909</v>
      </c>
      <c r="GG38" s="535">
        <f t="shared" si="174"/>
        <v>3260</v>
      </c>
      <c r="GH38" s="539">
        <f t="shared" si="80"/>
        <v>43040</v>
      </c>
      <c r="GJ38" s="521">
        <f t="shared" si="81"/>
        <v>0</v>
      </c>
      <c r="GK38" s="535" t="str">
        <f t="shared" si="175"/>
        <v/>
      </c>
      <c r="GL38" s="535">
        <f t="shared" si="82"/>
        <v>0</v>
      </c>
      <c r="GM38" s="535" t="str">
        <f t="shared" si="83"/>
        <v/>
      </c>
      <c r="GN38" s="535">
        <f>IF(GK38="P",Lookup!$M$12,IF(GK38="PP",Lookup!$M$13,IF(GK38="PPP",Lookup!$M$14,IF(GK38="T",Lookup!$M$15,IF(GK38="TP",Lookup!$M$16,IF(GK38="TPP",Lookup!$M$17,IF(GK38="TPPP",Lookup!$M$18,0)))))))*GJ38</f>
        <v>0</v>
      </c>
      <c r="GO38" s="535">
        <f t="shared" si="84"/>
        <v>0</v>
      </c>
      <c r="GP38" s="535">
        <f t="shared" si="176"/>
        <v>0</v>
      </c>
      <c r="GQ38" s="535">
        <f t="shared" si="94"/>
        <v>0</v>
      </c>
      <c r="GR38" s="535"/>
      <c r="GS38" s="535">
        <f t="shared" si="85"/>
        <v>0</v>
      </c>
      <c r="GT38" s="535" t="str">
        <f t="shared" si="86"/>
        <v/>
      </c>
      <c r="GU38" s="535">
        <f>IF(GK38="P",Lookup!$N$12,IF(GK38="PP",Lookup!$N$13,IF(GK38="PPP",Lookup!$N$14,IF(GK38="T",Lookup!$N$15,IF(GK38="TP",Lookup!$N$16,IF(GK38="TPP",Lookup!$N$17,IF(GK38="TPPP",Lookup!$N$18,0)))))))*GJ38</f>
        <v>0</v>
      </c>
      <c r="GV38" s="535">
        <f t="shared" si="53"/>
        <v>0</v>
      </c>
      <c r="GW38" s="535">
        <f t="shared" si="177"/>
        <v>0</v>
      </c>
      <c r="GX38" s="535">
        <f t="shared" si="91"/>
        <v>0</v>
      </c>
      <c r="GY38" s="535"/>
      <c r="GZ38" s="535">
        <f t="shared" si="87"/>
        <v>0</v>
      </c>
      <c r="HA38" s="535" t="str">
        <f t="shared" si="88"/>
        <v/>
      </c>
      <c r="HB38" s="535">
        <f>IF(GK38="P",Lookup!$N$12,IF(GK38="PP",Lookup!$N$13,IF(GK38="PPP",Lookup!$N$14,IF(GK38="T",Lookup!$N$15,IF(GK38="TP",Lookup!$N$16,IF(GK38="TPP",Lookup!$N$17,IF(GK38="TPPP",Lookup!$N$18,0)))))))*GJ38</f>
        <v>0</v>
      </c>
      <c r="HC38" s="521">
        <f t="shared" si="178"/>
        <v>0</v>
      </c>
      <c r="HD38" s="535">
        <f t="shared" si="179"/>
        <v>0</v>
      </c>
      <c r="HE38" s="535">
        <f t="shared" si="92"/>
        <v>0</v>
      </c>
      <c r="HF38" s="535"/>
      <c r="HG38" s="535">
        <f t="shared" si="89"/>
        <v>0</v>
      </c>
      <c r="HH38" s="535" t="str">
        <f t="shared" si="90"/>
        <v/>
      </c>
      <c r="HI38" s="535">
        <f>IF(GK38="P",Lookup!$N$12,IF(GK38="PP",Lookup!$N$13,IF(GK38="PPP",Lookup!$N$14,IF(GK38="T",Lookup!$N$15,IF(GK38="TP",Lookup!$N$16,IF(GK38="TPP",Lookup!$N$17,IF(GK38="TPPP",Lookup!$N$18,0)))))))*GJ38</f>
        <v>0</v>
      </c>
      <c r="HJ38" s="521">
        <f t="shared" si="180"/>
        <v>0</v>
      </c>
      <c r="HK38" s="535">
        <f t="shared" si="181"/>
        <v>0</v>
      </c>
      <c r="HL38" s="535">
        <f t="shared" si="93"/>
        <v>0</v>
      </c>
      <c r="HM38" s="535"/>
      <c r="HN38" s="541"/>
      <c r="HO38" s="541"/>
      <c r="HP38" s="541"/>
      <c r="HQ38" s="541">
        <f>IF(AND(B38&gt;=$FV$4,B38&lt;=$FW$4),MAX(110/1.02+$HQ$6+MIN(113/1.02,G38),IF($HV$6-(Sheet1!DA36-Sheet1!DB36)+MIN(113/1.02,G38)&lt;G38+FL38,$HV$6-(Sheet1!DA36-Sheet1!DB36)+MIN(113/1.02,G38),G38+FL38)),MIN(110/1.02+$HQ$6+113/1.02,G38))</f>
        <v>218.62745098039215</v>
      </c>
      <c r="HR38" s="541">
        <f t="shared" si="112"/>
        <v>223</v>
      </c>
      <c r="HS38" s="541">
        <f>HR38+(Sheet1!DA36-Sheet1!DB36)</f>
        <v>694</v>
      </c>
      <c r="HT38" s="541">
        <f t="shared" si="113"/>
        <v>0</v>
      </c>
      <c r="HU38" s="541">
        <f t="shared" si="114"/>
        <v>694</v>
      </c>
      <c r="HV38" s="541">
        <f t="shared" si="115"/>
        <v>0</v>
      </c>
      <c r="HW38" s="533" t="str">
        <f t="shared" si="116"/>
        <v/>
      </c>
      <c r="HX38" s="541">
        <f t="shared" si="117"/>
        <v>265.37254901960785</v>
      </c>
      <c r="HY38" s="541">
        <f>Sheet1!CZ36</f>
        <v>484</v>
      </c>
      <c r="HZ38" s="541">
        <f t="shared" si="118"/>
        <v>0</v>
      </c>
      <c r="IA38" s="541">
        <f t="shared" si="119"/>
        <v>0</v>
      </c>
      <c r="IB38" s="541">
        <f t="shared" si="120"/>
        <v>484</v>
      </c>
      <c r="IC38" s="1019" t="str">
        <f t="shared" si="121"/>
        <v/>
      </c>
      <c r="ID38" s="541">
        <f t="shared" si="122"/>
        <v>484</v>
      </c>
      <c r="IE38" s="541">
        <f>Sheet1!DB36</f>
        <v>428</v>
      </c>
      <c r="IF38" s="533">
        <f>Sheet1!DA36</f>
        <v>899</v>
      </c>
      <c r="IH38" s="541">
        <f>IF(AND($B38&gt;=$GC38,$B38&lt;=$GH38,$DR38&lt;0)+N("only adjusted when pool is drawn down during storage season"),Sheet1!$DB36+$DR38+N("Palmer minus all storage release"),Sheet1!$DB36)</f>
        <v>428</v>
      </c>
      <c r="II38" s="541">
        <f>IF(AND($B38&gt;=$GC38,$B38&lt;=$GH38,$DR38&lt;0)+N("only adjusted when pool is drawn down during storage season"),Sheet1!$DA36+$DR38+N("Auburn minus all storage release"),Sheet1!$DA36)</f>
        <v>899</v>
      </c>
    </row>
    <row r="39" spans="1:243" x14ac:dyDescent="0.25">
      <c r="A39" s="553" t="s">
        <v>9</v>
      </c>
      <c r="B39" s="531">
        <v>42763</v>
      </c>
      <c r="C39" s="536">
        <v>0</v>
      </c>
      <c r="D39" s="506">
        <f t="shared" si="0"/>
        <v>300</v>
      </c>
      <c r="E39" s="506">
        <f t="shared" si="1"/>
        <v>250</v>
      </c>
      <c r="F39" s="506">
        <v>250</v>
      </c>
      <c r="G39" s="535">
        <f>DR39+Sheet1!CZ37</f>
        <v>523.05648008071569</v>
      </c>
      <c r="H39" s="1074">
        <f t="shared" si="96"/>
        <v>131.22674348799998</v>
      </c>
      <c r="I39" s="534">
        <f>IF(Sheet1!DA37&gt;=E39,(Sheet1!DA37-E39+P39)*CFStoMGD,0)</f>
        <v>427.92434348799998</v>
      </c>
      <c r="J39" s="995">
        <f>IF(Sheet1!DB37&gt;=D39,(Sheet1!DB37-D39+P39)*CFStoMGD,0)</f>
        <v>131.22674348799998</v>
      </c>
      <c r="K39" s="818">
        <f t="shared" si="97"/>
        <v>64.64</v>
      </c>
      <c r="L39" s="535">
        <f>Sheet1!AA37+Sheet1!AB37-Sheet1!L37+(Sheet1!DA37-F39)*CFStoMGD-S39-T39-U39</f>
        <v>383.3152</v>
      </c>
      <c r="M39" s="535">
        <f t="shared" si="123"/>
        <v>344.86578289865815</v>
      </c>
      <c r="N39" s="824">
        <f>IF(Sheet1!DA37&gt;=F39,MIN(113*CFStoMGD,MIN(MAX(L39,0),MAX(M39,0))),0)</f>
        <v>73.043199999999999</v>
      </c>
      <c r="O39" s="538">
        <f>Sheet1!AA37+Sheet1!AB37</f>
        <v>44.61</v>
      </c>
      <c r="P39" s="538">
        <f t="shared" si="124"/>
        <v>69.011669999999995</v>
      </c>
      <c r="Q39" s="812">
        <f t="shared" si="98"/>
        <v>0</v>
      </c>
      <c r="R39" s="812">
        <f t="shared" si="59"/>
        <v>10.421593270658089</v>
      </c>
      <c r="S39" s="812">
        <f t="shared" si="60"/>
        <v>44.61</v>
      </c>
      <c r="T39" s="812">
        <f t="shared" si="61"/>
        <v>0</v>
      </c>
      <c r="U39" s="812">
        <f t="shared" si="99"/>
        <v>0</v>
      </c>
      <c r="V39" s="812"/>
      <c r="W39" s="812">
        <f t="shared" si="62"/>
        <v>54.218406729341908</v>
      </c>
      <c r="X39" s="812">
        <f t="shared" si="63"/>
        <v>44.61</v>
      </c>
      <c r="Y39" s="812" t="str">
        <f t="shared" si="64"/>
        <v/>
      </c>
      <c r="Z39" s="812">
        <f t="shared" si="65"/>
        <v>44.61</v>
      </c>
      <c r="AA39" s="812">
        <f t="shared" si="66"/>
        <v>44.61</v>
      </c>
      <c r="AB39" s="1059">
        <f t="shared" si="100"/>
        <v>0</v>
      </c>
      <c r="AC39" s="538">
        <f>Sheet1!Y37*MGDtoCFS</f>
        <v>37.901499999999999</v>
      </c>
      <c r="AD39" s="538">
        <f>Sheet1!Z37*MGDtoCFS</f>
        <v>30.878119999999999</v>
      </c>
      <c r="AE39" s="538">
        <f>Sheet1!AA37*MGDtoCFS</f>
        <v>38.009789999999995</v>
      </c>
      <c r="AF39" s="538">
        <f>Sheet1!AB37*MGDtoCFS</f>
        <v>31.001879999999996</v>
      </c>
      <c r="AG39" s="538">
        <f>Sheet1!L37*MGDtoCFS</f>
        <v>0</v>
      </c>
      <c r="AH39" s="521">
        <f t="shared" si="125"/>
        <v>0</v>
      </c>
      <c r="AI39" s="1059">
        <f t="shared" si="126"/>
        <v>0</v>
      </c>
      <c r="AJ39" s="535">
        <f t="shared" si="127"/>
        <v>0</v>
      </c>
      <c r="AK39" s="535">
        <f t="shared" si="128"/>
        <v>0</v>
      </c>
      <c r="AL39" s="535">
        <f>(VLOOKUP(Sheet1!DC37,hhdcap_wcm,4)-(((VLOOKUP(Sheet1!DC37,hhdcap_wcm,3)-Sheet1!DC37)/(VLOOKUP(Sheet1!DC37,hhdcap_wcm,3)-VLOOKUP(Sheet1!DC37,hhdcap_wcm,1)))*(VLOOKUP(Sheet1!DC37,hhdcap_wcm,4)-VLOOKUP(Sheet1!DC37,hhdcap_wcm,2))))</f>
        <v>1183.500000003281</v>
      </c>
      <c r="AM39" s="535">
        <f t="shared" si="129"/>
        <v>71.500000000059117</v>
      </c>
      <c r="AN39" s="1035">
        <f t="shared" si="130"/>
        <v>0</v>
      </c>
      <c r="AO39" s="535">
        <f t="shared" si="131"/>
        <v>0</v>
      </c>
      <c r="AP39" s="535">
        <f>Sheet1!BA37+Sheet1!BB37+Sheet1!BN37+CD39</f>
        <v>9.6999999999999993</v>
      </c>
      <c r="AQ39" s="535">
        <f>Sheet1!BN37+(DO39*Sheet1!BN37)</f>
        <v>9.618406729341908</v>
      </c>
      <c r="AR39" s="535">
        <f>Sheet1!BA37+CD39</f>
        <v>0</v>
      </c>
      <c r="AS39" s="535">
        <f>Sheet1!BA37+Sheet1!BB37+CD39</f>
        <v>0</v>
      </c>
      <c r="AT39" s="649">
        <f>0</f>
        <v>0</v>
      </c>
      <c r="AU39" s="535">
        <f>IF(EB39&lt;K39,0,MAX(Sheet1!AA37+AQ39-15/36*K39-N39,Sheet1!EH37,0))</f>
        <v>0</v>
      </c>
      <c r="AV39" s="535">
        <f>IF(OR(B39&gt;=GD39,B39&lt;GC39),0,15/36*K39-MAX(0,64.6-(137.6-(Sheet1!AA37+Sheet1!AB37))))</f>
        <v>0</v>
      </c>
      <c r="AW39" s="1029"/>
      <c r="AX39" s="649"/>
      <c r="AY39" s="649">
        <f t="shared" si="101"/>
        <v>0</v>
      </c>
      <c r="AZ39" s="649">
        <f t="shared" si="102"/>
        <v>0</v>
      </c>
      <c r="BA39" s="1059">
        <f t="shared" si="103"/>
        <v>0</v>
      </c>
      <c r="BB39" s="1019">
        <f t="shared" si="132"/>
        <v>0</v>
      </c>
      <c r="BC39" s="1041">
        <f t="shared" si="104"/>
        <v>26.933333333333334</v>
      </c>
      <c r="BD39" s="1019">
        <f ca="1">IF(B39&gt;Summary!$A$1,#N/A,BB39*MGtoAF)</f>
        <v>0</v>
      </c>
      <c r="BE39" s="535">
        <f>Sheet1!BG37+Sheet1!BH37+Sheet1!BI37-BM39</f>
        <v>1.01</v>
      </c>
      <c r="BF39" s="535">
        <f t="shared" si="133"/>
        <v>1.0015042058386936</v>
      </c>
      <c r="BG39" s="535">
        <f>IF(Sheet1!EP37="FM",BM39,0)</f>
        <v>0</v>
      </c>
      <c r="BH39" s="535">
        <f t="shared" si="134"/>
        <v>0</v>
      </c>
      <c r="BI39" s="535">
        <f>IF(Sheet1!EP37="OTHER",BM39,0)</f>
        <v>0</v>
      </c>
      <c r="BJ39" s="535">
        <f t="shared" si="135"/>
        <v>0</v>
      </c>
      <c r="BK39" s="535">
        <f t="shared" si="136"/>
        <v>1.01</v>
      </c>
      <c r="BL39" s="535">
        <f t="shared" si="137"/>
        <v>1.0015042058386936</v>
      </c>
      <c r="BM39" s="535">
        <f>IF(OR(Sheet1!EP37="FM", Sheet1!EP37="OTHER"),SUM(Sheet1!BG37:'Sheet1'!BI37),0)</f>
        <v>0</v>
      </c>
      <c r="BN39" s="521">
        <f>IF(AND($B39&gt;=$FV39,$B39&lt;=$FW39),MAX(BF39,Sheet1!EI37,0),MAX(BF39-(7/36)*$K39,0))</f>
        <v>0</v>
      </c>
      <c r="BO39" s="535">
        <f t="shared" si="138"/>
        <v>0</v>
      </c>
      <c r="BP39" s="521">
        <f t="shared" si="184"/>
        <v>1.0015042058386936</v>
      </c>
      <c r="BQ39" s="521">
        <f>IF(AND($O39&gt;0,Sheet1!EM37=1),(1-($O39-Sheet1!$L37)/$O39)*BL39,0)</f>
        <v>0</v>
      </c>
      <c r="BR39" s="521">
        <f>IF(AND(Sheet1!$L37=0,Sheet1!$L36=0, Calculation!BK39&lt;Sheet1!$EI37-0.1,Sheet1!$EI37=Sheet1!$EI36,Sheet1!$EI37=Sheet1!$EI38),BL39-BQ39,BL39-BQ39)</f>
        <v>1.0015042058386936</v>
      </c>
      <c r="BS39" s="1035" t="str">
        <f t="shared" si="105"/>
        <v/>
      </c>
      <c r="BT39" s="1035">
        <f t="shared" si="106"/>
        <v>12.568888888888889</v>
      </c>
      <c r="BU39" s="535">
        <f t="shared" si="139"/>
        <v>0</v>
      </c>
      <c r="BV39" s="535"/>
      <c r="BW39" s="535">
        <f ca="1">IF(B39&gt;Summary!$A$1,#N/A,BU39*MGtoAF)</f>
        <v>0</v>
      </c>
      <c r="BX39" s="535">
        <f>Sheet1!BC37+Sheet1!BD37+Sheet1!BE37+Sheet1!BF37-CG39-CH39</f>
        <v>3.01</v>
      </c>
      <c r="BY39" s="535">
        <f t="shared" si="140"/>
        <v>2.9846808510638292</v>
      </c>
      <c r="BZ39" s="535">
        <f>IF(Sheet1!EQ37="FM",CH39,0)</f>
        <v>0</v>
      </c>
      <c r="CA39" s="535">
        <f t="shared" si="141"/>
        <v>0</v>
      </c>
      <c r="CB39" s="535">
        <f>IF(Sheet1!EQ37="OTHER",CH39,0)</f>
        <v>0</v>
      </c>
      <c r="CC39" s="535">
        <f t="shared" si="142"/>
        <v>0</v>
      </c>
      <c r="CD39" s="535">
        <f t="shared" si="143"/>
        <v>0</v>
      </c>
      <c r="CE39" s="535">
        <f t="shared" si="144"/>
        <v>3.01</v>
      </c>
      <c r="CF39" s="535">
        <f t="shared" si="145"/>
        <v>2.9846808510638292</v>
      </c>
      <c r="CG39" s="535">
        <f>IF(Sheet1!EQ37="CWA",SUM(Sheet1!BC37:'Sheet1'!BF37),0)</f>
        <v>0</v>
      </c>
      <c r="CH39" s="535">
        <f>IF(OR(Sheet1!EQ37="FM", Sheet1!EQ37="OTHER"),SUM(Sheet1!BC37:'Sheet1'!BF37),0)</f>
        <v>0</v>
      </c>
      <c r="CI39" s="521">
        <f>IF(AND($B39&gt;=$FV39,$B39&lt;=$FW39),MAX(CF39,Sheet1!EJ37,0),MAX(CF39-(7/36)*$K39,0))</f>
        <v>0</v>
      </c>
      <c r="CJ39" s="535">
        <f t="shared" si="146"/>
        <v>0</v>
      </c>
      <c r="CK39" s="521">
        <f t="shared" si="182"/>
        <v>2.9846808510638292</v>
      </c>
      <c r="CL39" s="521">
        <f>IF(AND($O39&gt;0,Sheet1!EN37=1),(1-($O39-Sheet1!$L37)/$O39)*CF39,0)</f>
        <v>0</v>
      </c>
      <c r="CM39" s="521">
        <f>IF(AND(Sheet1!$L37=0,Sheet1!$L36=0, Calculation!CE39&lt;Sheet1!EJ37-0.1,Sheet1!EJ37=Sheet1!EJ36,Sheet1!EJ37=Sheet1!EJ38),CF39-CL39,CF39-CL39)</f>
        <v>2.9846808510638292</v>
      </c>
      <c r="CN39" s="1040" t="str">
        <f t="shared" si="107"/>
        <v/>
      </c>
      <c r="CO39" s="1035">
        <f t="shared" si="108"/>
        <v>12.568888888888889</v>
      </c>
      <c r="CP39" s="535">
        <f t="shared" si="147"/>
        <v>0</v>
      </c>
      <c r="CQ39" s="535"/>
      <c r="CR39" s="535">
        <f ca="1">IF(B39&gt;Summary!$A$1,#N/A,CP39*MGtoAF)</f>
        <v>0</v>
      </c>
      <c r="CS39" s="535">
        <f>Sheet1!BK37+Sheet1!BL37+Sheet1!BM37-Sheet1!ER37-DA39</f>
        <v>6.49</v>
      </c>
      <c r="CT39" s="535">
        <f t="shared" si="148"/>
        <v>6.4354082137555659</v>
      </c>
      <c r="CU39" s="535">
        <f>IF(Sheet1!ER37="FM",DA39,0)</f>
        <v>0</v>
      </c>
      <c r="CV39" s="535">
        <f t="shared" si="149"/>
        <v>0</v>
      </c>
      <c r="CW39" s="535">
        <f>IF(Sheet1!ER37="OTHER",DA39,0)</f>
        <v>0</v>
      </c>
      <c r="CX39" s="535">
        <f t="shared" si="150"/>
        <v>0</v>
      </c>
      <c r="CY39" s="535">
        <f t="shared" si="151"/>
        <v>6.49</v>
      </c>
      <c r="CZ39" s="535">
        <f t="shared" si="152"/>
        <v>6.4354082137555659</v>
      </c>
      <c r="DA39" s="535">
        <f>IF(OR(Sheet1!ER37="FM", Sheet1!ER37="OTHER"),SUM(Sheet1!BK37:'Sheet1'!BM37),0)</f>
        <v>0</v>
      </c>
      <c r="DB39" s="1011">
        <f>IF(AND($B39&gt;=$FV39,$B39&lt;=$FW39),MAX($CT39,Sheet1!EK37,0),MAX($CT39-(7/36)*$K39,0))</f>
        <v>0</v>
      </c>
      <c r="DC39" s="1012">
        <f t="shared" si="153"/>
        <v>0</v>
      </c>
      <c r="DD39" s="1011">
        <f t="shared" si="183"/>
        <v>6.4354082137555659</v>
      </c>
      <c r="DE39" s="521">
        <f>IF(AND($O39&gt;0,Sheet1!EO37=1),(1-($O39-Sheet1!$L37)/$O39)*CZ39,0)</f>
        <v>0</v>
      </c>
      <c r="DF39" s="521">
        <f>IF(AND(Sheet1!$L37=0,Sheet1!$L36=0, Calculation!CY39&lt;Sheet1!$EK37-0.1,Sheet1!$EK37=Sheet1!$EK36,Sheet1!$EK37=Sheet1!$EK38),CZ39-DE39,CZ39-DE39)</f>
        <v>6.4354082137555659</v>
      </c>
      <c r="DG39" s="1040">
        <f t="shared" si="109"/>
        <v>12.568888888888889</v>
      </c>
      <c r="DH39" s="649">
        <f t="shared" si="154"/>
        <v>10.51</v>
      </c>
      <c r="DI39" s="535">
        <f t="shared" si="155"/>
        <v>0</v>
      </c>
      <c r="DJ39" s="649">
        <f t="shared" si="156"/>
        <v>10.421593270658089</v>
      </c>
      <c r="DK39" s="535">
        <f ca="1">IF(B39&gt;Summary!$A$1,#N/A,DI39*MGtoAF)</f>
        <v>0</v>
      </c>
      <c r="DL39" s="649">
        <f t="shared" si="157"/>
        <v>10.51</v>
      </c>
      <c r="DM39" s="535">
        <f t="shared" si="158"/>
        <v>20.21</v>
      </c>
      <c r="DN39" s="535">
        <f>Sheet1!AB37-DM39</f>
        <v>-0.17000000000000171</v>
      </c>
      <c r="DO39" s="743">
        <f t="shared" si="159"/>
        <v>-8.4116773874320476E-3</v>
      </c>
      <c r="DP39" s="535">
        <f>(VLOOKUP(Sheet1!DC37,hhdcap_wcm,4)-(((VLOOKUP(Sheet1!DC37,hhdcap_wcm,3)-Sheet1!DC37)/(VLOOKUP(Sheet1!DC37,hhdcap_wcm,3)-VLOOKUP(Sheet1!DC37,hhdcap_wcm,1)))*(VLOOKUP(Sheet1!DC37,hhdcap_wcm,4)-VLOOKUP(Sheet1!DC37,hhdcap_wcm,2))))</f>
        <v>1183.500000003281</v>
      </c>
      <c r="DQ39" s="535">
        <f t="shared" si="160"/>
        <v>71.500000000059117</v>
      </c>
      <c r="DR39" s="535">
        <f t="shared" si="161"/>
        <v>36.056480080715637</v>
      </c>
      <c r="DS39" s="535">
        <f>Sheet1!EA37*AFtoMG</f>
        <v>0</v>
      </c>
      <c r="DT39" s="535">
        <f>Sheet1!EB37*AFtoMG</f>
        <v>0</v>
      </c>
      <c r="DU39" s="535">
        <f>Sheet1!EC37*AFtoMG</f>
        <v>0</v>
      </c>
      <c r="DV39" s="535">
        <f>Sheet1!ED37*AFtoMG</f>
        <v>0</v>
      </c>
      <c r="DW39" s="535">
        <f t="shared" si="162"/>
        <v>0</v>
      </c>
      <c r="DX39" s="535">
        <f t="shared" si="163"/>
        <v>0</v>
      </c>
      <c r="DY39" s="535">
        <f t="shared" si="164"/>
        <v>0</v>
      </c>
      <c r="DZ39" s="535">
        <f t="shared" si="165"/>
        <v>0</v>
      </c>
      <c r="EA39" s="535"/>
      <c r="EB39" s="521">
        <f>IF(OR(B39&lt;FV39,B39&gt;FW39),(MIN(BF39+BY39+CT39+MAX(Sheet1!AA37+AQ39-73,0),K39)),0)</f>
        <v>10.421593270658089</v>
      </c>
      <c r="EC39" s="535"/>
      <c r="ED39" s="535">
        <f t="shared" si="166"/>
        <v>10.421593270658089</v>
      </c>
      <c r="EE39" s="535"/>
      <c r="EF39" s="535">
        <f>Sheet1!EH37+Sheet1!EI37+Sheet1!EJ37+Sheet1!EK37</f>
        <v>10.5</v>
      </c>
      <c r="EG39" s="1019">
        <f t="shared" si="110"/>
        <v>16.243500000000001</v>
      </c>
      <c r="EH39" s="521">
        <f t="shared" si="167"/>
        <v>0</v>
      </c>
      <c r="EI39" s="535">
        <f>IF(Sheet1!ET37=1,SUM('Calculations II'!AT39:BA39)+'Calculations II'!BC39+Sheet1!BV37+'Calculations II'!BE39+AP39,'Calculations II'!BK39)</f>
        <v>34.614402729341911</v>
      </c>
      <c r="EJ39" s="535">
        <f ca="1">EI39+'Calculations II'!D39+'Calculations II'!E39+'Calculations II'!O39</f>
        <v>33.360811769935971</v>
      </c>
      <c r="EK39" s="535"/>
      <c r="EL39" s="535"/>
      <c r="EM39" s="535">
        <f t="shared" si="168"/>
        <v>42763</v>
      </c>
      <c r="EN39" s="535">
        <f t="shared" si="169"/>
        <v>0</v>
      </c>
      <c r="EO39" s="535">
        <f t="shared" si="170"/>
        <v>0</v>
      </c>
      <c r="EP39" s="535">
        <v>0</v>
      </c>
      <c r="EQ39" s="535">
        <v>0</v>
      </c>
      <c r="ER39" s="535">
        <v>0</v>
      </c>
      <c r="ES39" s="521">
        <f t="shared" si="71"/>
        <v>0.96939342595653233</v>
      </c>
      <c r="ET39" s="535">
        <f>-(VLOOKUP(Sheet1!BQ37,Lookup!$O$4:$Q$262,2)-VLOOKUP(Sheet1!BQ36,Lookup!$O$4:$Q$262,2))/1000000</f>
        <v>0</v>
      </c>
      <c r="EU39" s="535">
        <f>-(VLOOKUP(Sheet1!BR37,Lookup!$O$4:$Q$262,3)-VLOOKUP(Sheet1!BR36,Lookup!$O$4:$Q$262,3))/1000000</f>
        <v>0.96939342595653233</v>
      </c>
      <c r="EV39" s="535"/>
      <c r="EW39" s="535"/>
      <c r="EX39" s="535"/>
      <c r="EY39" s="535"/>
      <c r="EZ39" s="535"/>
      <c r="FA39" s="535"/>
      <c r="FB39" s="535"/>
      <c r="FC39" s="535"/>
      <c r="FD39" s="567" t="e">
        <f t="shared" si="171"/>
        <v>#N/A</v>
      </c>
      <c r="FE39" s="567" t="e">
        <f t="shared" si="172"/>
        <v>#N/A</v>
      </c>
      <c r="FF39" s="568" t="e">
        <f t="shared" si="173"/>
        <v>#N/A</v>
      </c>
      <c r="FG39" s="569" t="s">
        <v>656</v>
      </c>
      <c r="FH39" s="569" t="s">
        <v>656</v>
      </c>
      <c r="FI39" s="567" t="e">
        <v>#N/A</v>
      </c>
      <c r="FJ39" s="567" t="e">
        <v>#N/A</v>
      </c>
      <c r="FK39" s="535"/>
      <c r="FL39" s="1015">
        <v>0</v>
      </c>
      <c r="FM39" s="535"/>
      <c r="FN39" s="535"/>
      <c r="FO39" s="535">
        <f>O39+((Sheet1!CS37)*GPMtoMGD)</f>
        <v>44.61</v>
      </c>
      <c r="FP39" s="535">
        <f>IF(Sheet1!AA37+AQ39&lt;=Calculation!N39,AQ39,Calculation!N39-Sheet1!AA37)</f>
        <v>9.618406729341908</v>
      </c>
      <c r="FQ39" s="535">
        <f>(Sheet1!BP37+Sheet1!BO37)/694.4</f>
        <v>1.5165610599078343</v>
      </c>
      <c r="FR39" s="541"/>
      <c r="FS39" s="541"/>
      <c r="FT39" s="541"/>
      <c r="FU39" s="541"/>
      <c r="FV39" s="1109">
        <f t="shared" si="74"/>
        <v>42918</v>
      </c>
      <c r="FW39" s="1109">
        <f t="shared" si="75"/>
        <v>43027</v>
      </c>
      <c r="FX39" s="541"/>
      <c r="FY39" s="541">
        <f>Sheet1!DA37-Sheet1!CZ37-Sheet1!AE37</f>
        <v>286.98833000000002</v>
      </c>
      <c r="FZ39" s="535">
        <f t="shared" si="111"/>
        <v>0.54867560374304758</v>
      </c>
      <c r="GA39" s="535"/>
      <c r="GB39" s="535" t="str">
        <f t="shared" si="76"/>
        <v>n</v>
      </c>
      <c r="GC39" s="539">
        <f t="shared" si="77"/>
        <v>42782</v>
      </c>
      <c r="GD39" s="1109">
        <f t="shared" si="78"/>
        <v>42904</v>
      </c>
      <c r="GE39" s="535">
        <f t="shared" si="95"/>
        <v>6520</v>
      </c>
      <c r="GF39" s="1109">
        <f t="shared" si="79"/>
        <v>42909</v>
      </c>
      <c r="GG39" s="535">
        <f t="shared" si="174"/>
        <v>3260</v>
      </c>
      <c r="GH39" s="539">
        <f t="shared" si="80"/>
        <v>43040</v>
      </c>
      <c r="GJ39" s="521">
        <f t="shared" si="81"/>
        <v>0</v>
      </c>
      <c r="GK39" s="535" t="str">
        <f t="shared" si="175"/>
        <v/>
      </c>
      <c r="GL39" s="535">
        <f t="shared" si="82"/>
        <v>0</v>
      </c>
      <c r="GM39" s="535" t="str">
        <f t="shared" si="83"/>
        <v/>
      </c>
      <c r="GN39" s="535">
        <f>IF(GK39="P",Lookup!$M$12,IF(GK39="PP",Lookup!$M$13,IF(GK39="PPP",Lookup!$M$14,IF(GK39="T",Lookup!$M$15,IF(GK39="TP",Lookup!$M$16,IF(GK39="TPP",Lookup!$M$17,IF(GK39="TPPP",Lookup!$M$18,0)))))))*GJ39</f>
        <v>0</v>
      </c>
      <c r="GO39" s="535">
        <f t="shared" si="84"/>
        <v>0</v>
      </c>
      <c r="GP39" s="535">
        <f t="shared" si="176"/>
        <v>0</v>
      </c>
      <c r="GQ39" s="535">
        <f t="shared" si="94"/>
        <v>0</v>
      </c>
      <c r="GR39" s="535"/>
      <c r="GS39" s="535">
        <f t="shared" si="85"/>
        <v>0</v>
      </c>
      <c r="GT39" s="535" t="str">
        <f t="shared" si="86"/>
        <v/>
      </c>
      <c r="GU39" s="535">
        <f>IF(GK39="P",Lookup!$N$12,IF(GK39="PP",Lookup!$N$13,IF(GK39="PPP",Lookup!$N$14,IF(GK39="T",Lookup!$N$15,IF(GK39="TP",Lookup!$N$16,IF(GK39="TPP",Lookup!$N$17,IF(GK39="TPPP",Lookup!$N$18,0)))))))*GJ39</f>
        <v>0</v>
      </c>
      <c r="GV39" s="535">
        <f t="shared" si="53"/>
        <v>0</v>
      </c>
      <c r="GW39" s="535">
        <f t="shared" si="177"/>
        <v>0</v>
      </c>
      <c r="GX39" s="535">
        <f t="shared" si="91"/>
        <v>0</v>
      </c>
      <c r="GY39" s="535"/>
      <c r="GZ39" s="535">
        <f t="shared" si="87"/>
        <v>0</v>
      </c>
      <c r="HA39" s="535" t="str">
        <f t="shared" si="88"/>
        <v/>
      </c>
      <c r="HB39" s="535">
        <f>IF(GK39="P",Lookup!$N$12,IF(GK39="PP",Lookup!$N$13,IF(GK39="PPP",Lookup!$N$14,IF(GK39="T",Lookup!$N$15,IF(GK39="TP",Lookup!$N$16,IF(GK39="TPP",Lookup!$N$17,IF(GK39="TPPP",Lookup!$N$18,0)))))))*GJ39</f>
        <v>0</v>
      </c>
      <c r="HC39" s="521">
        <f t="shared" si="178"/>
        <v>0</v>
      </c>
      <c r="HD39" s="535">
        <f t="shared" si="179"/>
        <v>0</v>
      </c>
      <c r="HE39" s="535">
        <f t="shared" si="92"/>
        <v>0</v>
      </c>
      <c r="HF39" s="535"/>
      <c r="HG39" s="535">
        <f t="shared" si="89"/>
        <v>0</v>
      </c>
      <c r="HH39" s="535" t="str">
        <f t="shared" si="90"/>
        <v/>
      </c>
      <c r="HI39" s="535">
        <f>IF(GK39="P",Lookup!$N$12,IF(GK39="PP",Lookup!$N$13,IF(GK39="PPP",Lookup!$N$14,IF(GK39="T",Lookup!$N$15,IF(GK39="TP",Lookup!$N$16,IF(GK39="TPP",Lookup!$N$17,IF(GK39="TPPP",Lookup!$N$18,0)))))))*GJ39</f>
        <v>0</v>
      </c>
      <c r="HJ39" s="521">
        <f t="shared" si="180"/>
        <v>0</v>
      </c>
      <c r="HK39" s="535">
        <f t="shared" si="181"/>
        <v>0</v>
      </c>
      <c r="HL39" s="535">
        <f t="shared" si="93"/>
        <v>0</v>
      </c>
      <c r="HM39" s="535"/>
      <c r="HN39" s="541"/>
      <c r="HO39" s="541"/>
      <c r="HP39" s="541"/>
      <c r="HQ39" s="541">
        <f>IF(AND(B39&gt;=$FV$4,B39&lt;=$FW$4),MAX(110/1.02+$HQ$6+MIN(113/1.02,G39),IF($HV$6-(Sheet1!DA37-Sheet1!DB37)+MIN(113/1.02,G39)&lt;G39+FL39,$HV$6-(Sheet1!DA37-Sheet1!DB37)+MIN(113/1.02,G39),G39+FL39)),MIN(110/1.02+$HQ$6+113/1.02,G39))</f>
        <v>218.62745098039215</v>
      </c>
      <c r="HR39" s="541">
        <f t="shared" si="112"/>
        <v>223</v>
      </c>
      <c r="HS39" s="541">
        <f>HR39+(Sheet1!DA37-Sheet1!DB37)</f>
        <v>632</v>
      </c>
      <c r="HT39" s="541">
        <f t="shared" si="113"/>
        <v>0</v>
      </c>
      <c r="HU39" s="541">
        <f t="shared" si="114"/>
        <v>632</v>
      </c>
      <c r="HV39" s="541">
        <f t="shared" si="115"/>
        <v>0</v>
      </c>
      <c r="HW39" s="533" t="str">
        <f t="shared" si="116"/>
        <v/>
      </c>
      <c r="HX39" s="541">
        <f t="shared" si="117"/>
        <v>268.37254901960785</v>
      </c>
      <c r="HY39" s="541">
        <f>Sheet1!CZ37</f>
        <v>487</v>
      </c>
      <c r="HZ39" s="541">
        <f t="shared" si="118"/>
        <v>0</v>
      </c>
      <c r="IA39" s="541">
        <f t="shared" si="119"/>
        <v>0</v>
      </c>
      <c r="IB39" s="541">
        <f t="shared" si="120"/>
        <v>487</v>
      </c>
      <c r="IC39" s="1019" t="str">
        <f t="shared" si="121"/>
        <v/>
      </c>
      <c r="ID39" s="541">
        <f t="shared" si="122"/>
        <v>487</v>
      </c>
      <c r="IE39" s="541">
        <f>Sheet1!DB37</f>
        <v>434</v>
      </c>
      <c r="IF39" s="533">
        <f>Sheet1!DA37</f>
        <v>843</v>
      </c>
      <c r="IH39" s="541">
        <f>IF(AND($B39&gt;=$GC39,$B39&lt;=$GH39,$DR39&lt;0)+N("only adjusted when pool is drawn down during storage season"),Sheet1!$DB37+$DR39+N("Palmer minus all storage release"),Sheet1!$DB37)</f>
        <v>434</v>
      </c>
      <c r="II39" s="541">
        <f>IF(AND($B39&gt;=$GC39,$B39&lt;=$GH39,$DR39&lt;0)+N("only adjusted when pool is drawn down during storage season"),Sheet1!$DA37+$DR39+N("Auburn minus all storage release"),Sheet1!$DA37)</f>
        <v>843</v>
      </c>
    </row>
    <row r="40" spans="1:243" x14ac:dyDescent="0.25">
      <c r="A40" s="553" t="s">
        <v>3</v>
      </c>
      <c r="B40" s="531">
        <v>42764</v>
      </c>
      <c r="C40" s="536">
        <v>0</v>
      </c>
      <c r="D40" s="506">
        <f t="shared" si="0"/>
        <v>300</v>
      </c>
      <c r="E40" s="506">
        <f t="shared" si="1"/>
        <v>250</v>
      </c>
      <c r="F40" s="506">
        <v>250</v>
      </c>
      <c r="G40" s="535">
        <f>DR40+Sheet1!CZ38</f>
        <v>519.69389813417001</v>
      </c>
      <c r="H40" s="1074">
        <f t="shared" si="96"/>
        <v>142.79194483199998</v>
      </c>
      <c r="I40" s="534">
        <f>IF(Sheet1!DA38&gt;=E40,(Sheet1!DA38-E40+P40)*CFStoMGD,0)</f>
        <v>427.85434483199998</v>
      </c>
      <c r="J40" s="995">
        <f>IF(Sheet1!DB38&gt;=D40,(Sheet1!DB38-D40+P40)*CFStoMGD,0)</f>
        <v>142.79194483199998</v>
      </c>
      <c r="K40" s="818">
        <f t="shared" si="97"/>
        <v>64.64</v>
      </c>
      <c r="L40" s="535">
        <f>Sheet1!AA38+Sheet1!AB38-Sheet1!L38+(Sheet1!DA38-F40)*CFStoMGD-S40-T40-U40</f>
        <v>383.3152</v>
      </c>
      <c r="M40" s="535">
        <f t="shared" si="123"/>
        <v>342.64873846900605</v>
      </c>
      <c r="N40" s="824">
        <f>IF(Sheet1!DA38&gt;=F40,MIN(113*CFStoMGD,MIN(MAX(L40,0),MAX(M40,0))),0)</f>
        <v>73.043199999999999</v>
      </c>
      <c r="O40" s="538">
        <f>Sheet1!AA38+Sheet1!AB38</f>
        <v>44.540000000000006</v>
      </c>
      <c r="P40" s="538">
        <f t="shared" si="124"/>
        <v>68.903379999999999</v>
      </c>
      <c r="Q40" s="812">
        <f t="shared" si="98"/>
        <v>0</v>
      </c>
      <c r="R40" s="812">
        <f t="shared" si="59"/>
        <v>10.462551744529865</v>
      </c>
      <c r="S40" s="812">
        <f t="shared" si="60"/>
        <v>44.540000000000006</v>
      </c>
      <c r="T40" s="812">
        <f t="shared" si="61"/>
        <v>0</v>
      </c>
      <c r="U40" s="812">
        <f t="shared" si="99"/>
        <v>0</v>
      </c>
      <c r="V40" s="812"/>
      <c r="W40" s="812">
        <f t="shared" si="62"/>
        <v>54.177448255470139</v>
      </c>
      <c r="X40" s="812">
        <f t="shared" si="63"/>
        <v>44.540000000000006</v>
      </c>
      <c r="Y40" s="812" t="str">
        <f t="shared" si="64"/>
        <v/>
      </c>
      <c r="Z40" s="812">
        <f t="shared" si="65"/>
        <v>44.540000000000006</v>
      </c>
      <c r="AA40" s="812">
        <f t="shared" si="66"/>
        <v>44.540000000000006</v>
      </c>
      <c r="AB40" s="1059">
        <f t="shared" si="100"/>
        <v>0</v>
      </c>
      <c r="AC40" s="538">
        <f>Sheet1!Y38*MGDtoCFS</f>
        <v>38.009789999999995</v>
      </c>
      <c r="AD40" s="538">
        <f>Sheet1!Z38*MGDtoCFS</f>
        <v>31.001879999999996</v>
      </c>
      <c r="AE40" s="538">
        <f>Sheet1!AA38*MGDtoCFS</f>
        <v>37.94791</v>
      </c>
      <c r="AF40" s="538">
        <f>Sheet1!AB38*MGDtoCFS</f>
        <v>30.955470000000002</v>
      </c>
      <c r="AG40" s="538">
        <f>Sheet1!L38*MGDtoCFS</f>
        <v>0</v>
      </c>
      <c r="AH40" s="521">
        <f t="shared" si="125"/>
        <v>0</v>
      </c>
      <c r="AI40" s="1059">
        <f t="shared" si="126"/>
        <v>0</v>
      </c>
      <c r="AJ40" s="535">
        <f t="shared" si="127"/>
        <v>0</v>
      </c>
      <c r="AK40" s="535">
        <f t="shared" si="128"/>
        <v>0</v>
      </c>
      <c r="AL40" s="535">
        <f>(VLOOKUP(Sheet1!DC38,hhdcap_wcm,4)-(((VLOOKUP(Sheet1!DC38,hhdcap_wcm,3)-Sheet1!DC38)/(VLOOKUP(Sheet1!DC38,hhdcap_wcm,3)-VLOOKUP(Sheet1!DC38,hhdcap_wcm,1)))*(VLOOKUP(Sheet1!DC38,hhdcap_wcm,4)-VLOOKUP(Sheet1!DC38,hhdcap_wcm,2))))</f>
        <v>1240.4000000033402</v>
      </c>
      <c r="AM40" s="535">
        <f t="shared" si="129"/>
        <v>56.900000000059208</v>
      </c>
      <c r="AN40" s="1035">
        <f t="shared" si="130"/>
        <v>0</v>
      </c>
      <c r="AO40" s="535">
        <f t="shared" si="131"/>
        <v>0</v>
      </c>
      <c r="AP40" s="535">
        <f>Sheet1!BA38+Sheet1!BB38+Sheet1!BN38+CD40</f>
        <v>9.6820000000000004</v>
      </c>
      <c r="AQ40" s="535">
        <f>Sheet1!BN38+(DO40*Sheet1!BN38)</f>
        <v>9.5474482554701368</v>
      </c>
      <c r="AR40" s="535">
        <f>Sheet1!BA38+CD40</f>
        <v>0</v>
      </c>
      <c r="AS40" s="535">
        <f>Sheet1!BA38+Sheet1!BB38+CD40</f>
        <v>0</v>
      </c>
      <c r="AT40" s="649">
        <f>0</f>
        <v>0</v>
      </c>
      <c r="AU40" s="535">
        <f>IF(EB40&lt;K40,0,MAX(Sheet1!AA38+AQ40-15/36*K40-N40,Sheet1!EH38,0))</f>
        <v>0</v>
      </c>
      <c r="AV40" s="535">
        <f>IF(OR(B40&gt;=GD40,B40&lt;GC40),0,15/36*K40-MAX(0,64.6-(137.6-(Sheet1!AA38+Sheet1!AB38))))</f>
        <v>0</v>
      </c>
      <c r="AW40" s="1029"/>
      <c r="AX40" s="649"/>
      <c r="AY40" s="649">
        <f t="shared" si="101"/>
        <v>0</v>
      </c>
      <c r="AZ40" s="649">
        <f t="shared" si="102"/>
        <v>0</v>
      </c>
      <c r="BA40" s="1059">
        <f t="shared" si="103"/>
        <v>0</v>
      </c>
      <c r="BB40" s="1019">
        <f t="shared" si="132"/>
        <v>0</v>
      </c>
      <c r="BC40" s="1041">
        <f t="shared" si="104"/>
        <v>26.933333333333334</v>
      </c>
      <c r="BD40" s="1019">
        <f ca="1">IF(B40&gt;Summary!$A$1,#N/A,BB40*MGtoAF)</f>
        <v>0</v>
      </c>
      <c r="BE40" s="535">
        <f>Sheet1!BG38+Sheet1!BH38+Sheet1!BI38-BM40</f>
        <v>1.06</v>
      </c>
      <c r="BF40" s="535">
        <f t="shared" si="133"/>
        <v>1.0452690715552928</v>
      </c>
      <c r="BG40" s="535">
        <f>IF(Sheet1!EP38="FM",BM40,0)</f>
        <v>0</v>
      </c>
      <c r="BH40" s="535">
        <f t="shared" si="134"/>
        <v>0</v>
      </c>
      <c r="BI40" s="535">
        <f>IF(Sheet1!EP38="OTHER",BM40,0)</f>
        <v>0</v>
      </c>
      <c r="BJ40" s="535">
        <f t="shared" si="135"/>
        <v>0</v>
      </c>
      <c r="BK40" s="535">
        <f t="shared" si="136"/>
        <v>1.06</v>
      </c>
      <c r="BL40" s="535">
        <f t="shared" si="137"/>
        <v>1.0452690715552928</v>
      </c>
      <c r="BM40" s="535">
        <f>IF(OR(Sheet1!EP38="FM", Sheet1!EP38="OTHER"),SUM(Sheet1!BG38:'Sheet1'!BI38),0)</f>
        <v>0</v>
      </c>
      <c r="BN40" s="521">
        <f>IF(AND($B40&gt;=$FV40,$B40&lt;=$FW40),MAX(BF40,Sheet1!EI38,0),MAX(BF40-(7/36)*$K40,0))</f>
        <v>0</v>
      </c>
      <c r="BO40" s="535">
        <f t="shared" si="138"/>
        <v>0</v>
      </c>
      <c r="BP40" s="521">
        <f t="shared" si="184"/>
        <v>1.0452690715552928</v>
      </c>
      <c r="BQ40" s="521">
        <f>IF(AND($O40&gt;0,Sheet1!EM38=1),(1-($O40-Sheet1!$L38)/$O40)*BL40,0)</f>
        <v>0</v>
      </c>
      <c r="BR40" s="521">
        <f>IF(AND(Sheet1!$L38=0,Sheet1!$L37=0, Calculation!BK40&lt;Sheet1!$EI38-0.1,Sheet1!$EI38=Sheet1!$EI37,Sheet1!$EI38=Sheet1!$EI39),BL40-BQ40,BL40-BQ40)</f>
        <v>1.0452690715552928</v>
      </c>
      <c r="BS40" s="1035" t="str">
        <f t="shared" si="105"/>
        <v/>
      </c>
      <c r="BT40" s="1035">
        <f t="shared" si="106"/>
        <v>12.568888888888889</v>
      </c>
      <c r="BU40" s="535">
        <f t="shared" si="139"/>
        <v>0</v>
      </c>
      <c r="BV40" s="535"/>
      <c r="BW40" s="535">
        <f ca="1">IF(B40&gt;Summary!$A$1,#N/A,BU40*MGtoAF)</f>
        <v>0</v>
      </c>
      <c r="BX40" s="535">
        <f>Sheet1!BC38+Sheet1!BD38+Sheet1!BE38+Sheet1!BF38-CG40-CH40</f>
        <v>3</v>
      </c>
      <c r="BY40" s="535">
        <f t="shared" si="140"/>
        <v>2.9583086930810172</v>
      </c>
      <c r="BZ40" s="535">
        <f>IF(Sheet1!EQ38="FM",CH40,0)</f>
        <v>0</v>
      </c>
      <c r="CA40" s="535">
        <f t="shared" si="141"/>
        <v>0</v>
      </c>
      <c r="CB40" s="535">
        <f>IF(Sheet1!EQ38="OTHER",CH40,0)</f>
        <v>0</v>
      </c>
      <c r="CC40" s="535">
        <f t="shared" si="142"/>
        <v>0</v>
      </c>
      <c r="CD40" s="535">
        <f t="shared" si="143"/>
        <v>0</v>
      </c>
      <c r="CE40" s="535">
        <f t="shared" si="144"/>
        <v>3</v>
      </c>
      <c r="CF40" s="535">
        <f t="shared" si="145"/>
        <v>2.9583086930810172</v>
      </c>
      <c r="CG40" s="535">
        <f>IF(Sheet1!EQ38="CWA",SUM(Sheet1!BC38:'Sheet1'!BF38),0)</f>
        <v>0</v>
      </c>
      <c r="CH40" s="535">
        <f>IF(OR(Sheet1!EQ38="FM", Sheet1!EQ38="OTHER"),SUM(Sheet1!BC38:'Sheet1'!BF38),0)</f>
        <v>0</v>
      </c>
      <c r="CI40" s="521">
        <f>IF(AND($B40&gt;=$FV40,$B40&lt;=$FW40),MAX(CF40,Sheet1!EJ38,0),MAX(CF40-(7/36)*$K40,0))</f>
        <v>0</v>
      </c>
      <c r="CJ40" s="535">
        <f t="shared" si="146"/>
        <v>0</v>
      </c>
      <c r="CK40" s="521">
        <f t="shared" si="182"/>
        <v>2.9583086930810172</v>
      </c>
      <c r="CL40" s="521">
        <f>IF(AND($O40&gt;0,Sheet1!EN38=1),(1-($O40-Sheet1!$L38)/$O40)*CF40,0)</f>
        <v>0</v>
      </c>
      <c r="CM40" s="521">
        <f>IF(AND(Sheet1!$L38=0,Sheet1!$L37=0, Calculation!CE40&lt;Sheet1!EJ38-0.1,Sheet1!EJ38=Sheet1!EJ37,Sheet1!EJ38=Sheet1!EJ39),CF40-CL40,CF40-CL40)</f>
        <v>2.9583086930810172</v>
      </c>
      <c r="CN40" s="1040" t="str">
        <f t="shared" si="107"/>
        <v/>
      </c>
      <c r="CO40" s="1035">
        <f t="shared" si="108"/>
        <v>12.568888888888889</v>
      </c>
      <c r="CP40" s="535">
        <f t="shared" si="147"/>
        <v>0</v>
      </c>
      <c r="CQ40" s="535"/>
      <c r="CR40" s="535">
        <f ca="1">IF(B40&gt;Summary!$A$1,#N/A,CP40*MGtoAF)</f>
        <v>0</v>
      </c>
      <c r="CS40" s="535">
        <f>Sheet1!BK38+Sheet1!BL38+Sheet1!BM38-Sheet1!ER38-DA40</f>
        <v>6.55</v>
      </c>
      <c r="CT40" s="535">
        <f t="shared" si="148"/>
        <v>6.4589739798935542</v>
      </c>
      <c r="CU40" s="535">
        <f>IF(Sheet1!ER38="FM",DA40,0)</f>
        <v>0</v>
      </c>
      <c r="CV40" s="535">
        <f t="shared" si="149"/>
        <v>0</v>
      </c>
      <c r="CW40" s="535">
        <f>IF(Sheet1!ER38="OTHER",DA40,0)</f>
        <v>0</v>
      </c>
      <c r="CX40" s="535">
        <f t="shared" si="150"/>
        <v>0</v>
      </c>
      <c r="CY40" s="535">
        <f t="shared" si="151"/>
        <v>6.55</v>
      </c>
      <c r="CZ40" s="535">
        <f t="shared" si="152"/>
        <v>6.4589739798935542</v>
      </c>
      <c r="DA40" s="535">
        <f>IF(OR(Sheet1!ER38="FM", Sheet1!ER38="OTHER"),SUM(Sheet1!BK38:'Sheet1'!BM38),0)</f>
        <v>0</v>
      </c>
      <c r="DB40" s="1011">
        <f>IF(AND($B40&gt;=$FV40,$B40&lt;=$FW40),MAX($CT40,Sheet1!EK38,0),MAX($CT40-(7/36)*$K40,0))</f>
        <v>0</v>
      </c>
      <c r="DC40" s="1012">
        <f t="shared" si="153"/>
        <v>0</v>
      </c>
      <c r="DD40" s="1011">
        <f t="shared" si="183"/>
        <v>6.4589739798935542</v>
      </c>
      <c r="DE40" s="521">
        <f>IF(AND($O40&gt;0,Sheet1!EO38=1),(1-($O40-Sheet1!$L38)/$O40)*CZ40,0)</f>
        <v>0</v>
      </c>
      <c r="DF40" s="521">
        <f>IF(AND(Sheet1!$L38=0,Sheet1!$L37=0, Calculation!CY40&lt;Sheet1!$EK38-0.1,Sheet1!$EK38=Sheet1!$EK37,Sheet1!$EK38=Sheet1!$EK39),CZ40-DE40,CZ40-DE40)</f>
        <v>6.4589739798935542</v>
      </c>
      <c r="DG40" s="1040">
        <f t="shared" si="109"/>
        <v>12.568888888888889</v>
      </c>
      <c r="DH40" s="649">
        <f t="shared" si="154"/>
        <v>10.61</v>
      </c>
      <c r="DI40" s="535">
        <f t="shared" si="155"/>
        <v>0</v>
      </c>
      <c r="DJ40" s="649">
        <f t="shared" si="156"/>
        <v>10.462551744529865</v>
      </c>
      <c r="DK40" s="535">
        <f ca="1">IF(B40&gt;Summary!$A$1,#N/A,DI40*MGtoAF)</f>
        <v>0</v>
      </c>
      <c r="DL40" s="649">
        <f t="shared" si="157"/>
        <v>10.610000000000001</v>
      </c>
      <c r="DM40" s="535">
        <f t="shared" si="158"/>
        <v>20.292000000000002</v>
      </c>
      <c r="DN40" s="535">
        <f>Sheet1!AB38-DM40</f>
        <v>-0.28200000000000003</v>
      </c>
      <c r="DO40" s="743">
        <f t="shared" si="159"/>
        <v>-1.3897102306327618E-2</v>
      </c>
      <c r="DP40" s="535">
        <f>(VLOOKUP(Sheet1!DC38,hhdcap_wcm,4)-(((VLOOKUP(Sheet1!DC38,hhdcap_wcm,3)-Sheet1!DC38)/(VLOOKUP(Sheet1!DC38,hhdcap_wcm,3)-VLOOKUP(Sheet1!DC38,hhdcap_wcm,1)))*(VLOOKUP(Sheet1!DC38,hhdcap_wcm,4)-VLOOKUP(Sheet1!DC38,hhdcap_wcm,2))))</f>
        <v>1240.4000000033402</v>
      </c>
      <c r="DQ40" s="535">
        <f t="shared" si="160"/>
        <v>56.900000000059208</v>
      </c>
      <c r="DR40" s="535">
        <f t="shared" si="161"/>
        <v>28.693898134170045</v>
      </c>
      <c r="DS40" s="535">
        <f>Sheet1!EA38*AFtoMG</f>
        <v>0</v>
      </c>
      <c r="DT40" s="535">
        <f>Sheet1!EB38*AFtoMG</f>
        <v>0</v>
      </c>
      <c r="DU40" s="535">
        <f>Sheet1!EC38*AFtoMG</f>
        <v>0</v>
      </c>
      <c r="DV40" s="535">
        <f>Sheet1!ED38*AFtoMG</f>
        <v>0</v>
      </c>
      <c r="DW40" s="535">
        <f t="shared" si="162"/>
        <v>0</v>
      </c>
      <c r="DX40" s="535">
        <f t="shared" si="163"/>
        <v>0</v>
      </c>
      <c r="DY40" s="535">
        <f t="shared" si="164"/>
        <v>0</v>
      </c>
      <c r="DZ40" s="535">
        <f t="shared" si="165"/>
        <v>0</v>
      </c>
      <c r="EA40" s="535"/>
      <c r="EB40" s="521">
        <f>IF(OR(B40&lt;FV40,B40&gt;FW40),(MIN(BF40+BY40+CT40+MAX(Sheet1!AA38+AQ40-73,0),K40)),0)</f>
        <v>10.462551744529865</v>
      </c>
      <c r="EC40" s="535"/>
      <c r="ED40" s="535">
        <f t="shared" si="166"/>
        <v>10.462551744529865</v>
      </c>
      <c r="EE40" s="535"/>
      <c r="EF40" s="535">
        <f>Sheet1!EH38+Sheet1!EI38+Sheet1!EJ38+Sheet1!EK38</f>
        <v>10.5</v>
      </c>
      <c r="EG40" s="1019">
        <f t="shared" si="110"/>
        <v>16.243500000000001</v>
      </c>
      <c r="EH40" s="521">
        <f t="shared" si="167"/>
        <v>0</v>
      </c>
      <c r="EI40" s="535">
        <f>IF(Sheet1!ET38=1,SUM('Calculations II'!AT40:BA40)+'Calculations II'!BC40+Sheet1!BV38+'Calculations II'!BE40+AP40,'Calculations II'!BK40)</f>
        <v>32.842080255470137</v>
      </c>
      <c r="EJ40" s="535">
        <f ca="1">EI40+'Calculations II'!D40+'Calculations II'!E40+'Calculations II'!O40</f>
        <v>34.208375631679566</v>
      </c>
      <c r="EK40" s="535"/>
      <c r="EL40" s="535"/>
      <c r="EM40" s="535">
        <f t="shared" si="168"/>
        <v>42764</v>
      </c>
      <c r="EN40" s="535">
        <f t="shared" si="169"/>
        <v>0</v>
      </c>
      <c r="EO40" s="535">
        <f t="shared" si="170"/>
        <v>0</v>
      </c>
      <c r="EP40" s="535">
        <v>0</v>
      </c>
      <c r="EQ40" s="535">
        <v>0</v>
      </c>
      <c r="ER40" s="535">
        <v>0</v>
      </c>
      <c r="ES40" s="521">
        <f t="shared" si="71"/>
        <v>-0.83071641650824624</v>
      </c>
      <c r="ET40" s="535">
        <f>-(VLOOKUP(Sheet1!BQ38,Lookup!$O$4:$Q$262,2)-VLOOKUP(Sheet1!BQ37,Lookup!$O$4:$Q$262,2))/1000000</f>
        <v>-0.41530054053234683</v>
      </c>
      <c r="EU40" s="535">
        <f>-(VLOOKUP(Sheet1!BR38,Lookup!$O$4:$Q$262,3)-VLOOKUP(Sheet1!BR37,Lookup!$O$4:$Q$262,3))/1000000</f>
        <v>-0.41541587597589941</v>
      </c>
      <c r="EV40" s="535"/>
      <c r="EW40" s="535"/>
      <c r="EX40" s="535"/>
      <c r="EY40" s="535"/>
      <c r="EZ40" s="535"/>
      <c r="FA40" s="535"/>
      <c r="FB40" s="535"/>
      <c r="FC40" s="535"/>
      <c r="FD40" s="567" t="e">
        <f t="shared" si="171"/>
        <v>#N/A</v>
      </c>
      <c r="FE40" s="567" t="e">
        <f t="shared" si="172"/>
        <v>#N/A</v>
      </c>
      <c r="FF40" s="568" t="e">
        <f t="shared" si="173"/>
        <v>#N/A</v>
      </c>
      <c r="FG40" s="569" t="s">
        <v>656</v>
      </c>
      <c r="FH40" s="569" t="s">
        <v>656</v>
      </c>
      <c r="FI40" s="567" t="e">
        <v>#N/A</v>
      </c>
      <c r="FJ40" s="567" t="e">
        <v>#N/A</v>
      </c>
      <c r="FK40" s="535"/>
      <c r="FL40" s="1015">
        <v>0</v>
      </c>
      <c r="FM40" s="535"/>
      <c r="FN40" s="535"/>
      <c r="FO40" s="535">
        <f>O40+((Sheet1!CS38)*GPMtoMGD)</f>
        <v>44.540000000000006</v>
      </c>
      <c r="FP40" s="535">
        <f>IF(Sheet1!AA38+AQ40&lt;=Calculation!N40,AQ40,Calculation!N40-Sheet1!AA38)</f>
        <v>9.5474482554701368</v>
      </c>
      <c r="FQ40" s="535">
        <f>(Sheet1!BP38+Sheet1!BO38)/694.4</f>
        <v>1.4922235023041477</v>
      </c>
      <c r="FR40" s="541"/>
      <c r="FS40" s="541"/>
      <c r="FT40" s="541"/>
      <c r="FU40" s="541"/>
      <c r="FV40" s="1109">
        <f t="shared" si="74"/>
        <v>42918</v>
      </c>
      <c r="FW40" s="1109">
        <f t="shared" si="75"/>
        <v>43027</v>
      </c>
      <c r="FX40" s="541"/>
      <c r="FY40" s="541">
        <f>Sheet1!DA38-Sheet1!CZ38-Sheet1!AE38</f>
        <v>283.09661999999997</v>
      </c>
      <c r="FZ40" s="535">
        <f t="shared" si="111"/>
        <v>0.54473724054946004</v>
      </c>
      <c r="GA40" s="535"/>
      <c r="GB40" s="535" t="str">
        <f t="shared" si="76"/>
        <v>n</v>
      </c>
      <c r="GC40" s="539">
        <f t="shared" si="77"/>
        <v>42782</v>
      </c>
      <c r="GD40" s="1109">
        <f t="shared" si="78"/>
        <v>42904</v>
      </c>
      <c r="GE40" s="535">
        <f t="shared" si="95"/>
        <v>6520</v>
      </c>
      <c r="GF40" s="1109">
        <f t="shared" si="79"/>
        <v>42909</v>
      </c>
      <c r="GG40" s="535">
        <f t="shared" si="174"/>
        <v>3260</v>
      </c>
      <c r="GH40" s="539">
        <f t="shared" si="80"/>
        <v>43040</v>
      </c>
      <c r="GJ40" s="521">
        <f t="shared" si="81"/>
        <v>0</v>
      </c>
      <c r="GK40" s="535" t="str">
        <f t="shared" si="175"/>
        <v/>
      </c>
      <c r="GL40" s="535">
        <f t="shared" si="82"/>
        <v>0</v>
      </c>
      <c r="GM40" s="535" t="str">
        <f t="shared" si="83"/>
        <v/>
      </c>
      <c r="GN40" s="535">
        <f>IF(GK40="P",Lookup!$M$12,IF(GK40="PP",Lookup!$M$13,IF(GK40="PPP",Lookup!$M$14,IF(GK40="T",Lookup!$M$15,IF(GK40="TP",Lookup!$M$16,IF(GK40="TPP",Lookup!$M$17,IF(GK40="TPPP",Lookup!$M$18,0)))))))*GJ40</f>
        <v>0</v>
      </c>
      <c r="GO40" s="535">
        <f t="shared" si="84"/>
        <v>0</v>
      </c>
      <c r="GP40" s="535">
        <f t="shared" si="176"/>
        <v>0</v>
      </c>
      <c r="GQ40" s="535">
        <f t="shared" si="94"/>
        <v>0</v>
      </c>
      <c r="GR40" s="535"/>
      <c r="GS40" s="535">
        <f t="shared" si="85"/>
        <v>0</v>
      </c>
      <c r="GT40" s="535" t="str">
        <f t="shared" si="86"/>
        <v/>
      </c>
      <c r="GU40" s="535">
        <f>IF(GK40="P",Lookup!$N$12,IF(GK40="PP",Lookup!$N$13,IF(GK40="PPP",Lookup!$N$14,IF(GK40="T",Lookup!$N$15,IF(GK40="TP",Lookup!$N$16,IF(GK40="TPP",Lookup!$N$17,IF(GK40="TPPP",Lookup!$N$18,0)))))))*GJ40</f>
        <v>0</v>
      </c>
      <c r="GV40" s="535">
        <f t="shared" si="53"/>
        <v>0</v>
      </c>
      <c r="GW40" s="535">
        <f t="shared" si="177"/>
        <v>0</v>
      </c>
      <c r="GX40" s="535">
        <f t="shared" si="91"/>
        <v>0</v>
      </c>
      <c r="GY40" s="535"/>
      <c r="GZ40" s="535">
        <f t="shared" si="87"/>
        <v>0</v>
      </c>
      <c r="HA40" s="535" t="str">
        <f t="shared" si="88"/>
        <v/>
      </c>
      <c r="HB40" s="535">
        <f>IF(GK40="P",Lookup!$N$12,IF(GK40="PP",Lookup!$N$13,IF(GK40="PPP",Lookup!$N$14,IF(GK40="T",Lookup!$N$15,IF(GK40="TP",Lookup!$N$16,IF(GK40="TPP",Lookup!$N$17,IF(GK40="TPPP",Lookup!$N$18,0)))))))*GJ40</f>
        <v>0</v>
      </c>
      <c r="HC40" s="521">
        <f t="shared" si="178"/>
        <v>0</v>
      </c>
      <c r="HD40" s="535">
        <f t="shared" si="179"/>
        <v>0</v>
      </c>
      <c r="HE40" s="535">
        <f t="shared" si="92"/>
        <v>0</v>
      </c>
      <c r="HF40" s="535"/>
      <c r="HG40" s="535">
        <f t="shared" si="89"/>
        <v>0</v>
      </c>
      <c r="HH40" s="535" t="str">
        <f t="shared" si="90"/>
        <v/>
      </c>
      <c r="HI40" s="535">
        <f>IF(GK40="P",Lookup!$N$12,IF(GK40="PP",Lookup!$N$13,IF(GK40="PPP",Lookup!$N$14,IF(GK40="T",Lookup!$N$15,IF(GK40="TP",Lookup!$N$16,IF(GK40="TPP",Lookup!$N$17,IF(GK40="TPPP",Lookup!$N$18,0)))))))*GJ40</f>
        <v>0</v>
      </c>
      <c r="HJ40" s="521">
        <f t="shared" si="180"/>
        <v>0</v>
      </c>
      <c r="HK40" s="535">
        <f t="shared" si="181"/>
        <v>0</v>
      </c>
      <c r="HL40" s="535">
        <f t="shared" si="93"/>
        <v>0</v>
      </c>
      <c r="HM40" s="535"/>
      <c r="HN40" s="541"/>
      <c r="HO40" s="541"/>
      <c r="HP40" s="541"/>
      <c r="HQ40" s="541">
        <f>IF(AND(B40&gt;=$FV$4,B40&lt;=$FW$4),MAX(110/1.02+$HQ$6+MIN(113/1.02,G40),IF($HV$6-(Sheet1!DA38-Sheet1!DB38)+MIN(113/1.02,G40)&lt;G40+FL40,$HV$6-(Sheet1!DA38-Sheet1!DB38)+MIN(113/1.02,G40),G40+FL40)),MIN(110/1.02+$HQ$6+113/1.02,G40))</f>
        <v>218.62745098039215</v>
      </c>
      <c r="HR40" s="541">
        <f t="shared" si="112"/>
        <v>223</v>
      </c>
      <c r="HS40" s="541">
        <f>HR40+(Sheet1!DA38-Sheet1!DB38)</f>
        <v>614</v>
      </c>
      <c r="HT40" s="541">
        <f t="shared" si="113"/>
        <v>0</v>
      </c>
      <c r="HU40" s="541">
        <f t="shared" si="114"/>
        <v>614</v>
      </c>
      <c r="HV40" s="541">
        <f t="shared" si="115"/>
        <v>0</v>
      </c>
      <c r="HW40" s="533" t="str">
        <f t="shared" si="116"/>
        <v/>
      </c>
      <c r="HX40" s="541">
        <f t="shared" si="117"/>
        <v>272.37254901960785</v>
      </c>
      <c r="HY40" s="541">
        <f>Sheet1!CZ38</f>
        <v>491</v>
      </c>
      <c r="HZ40" s="541">
        <f t="shared" si="118"/>
        <v>0</v>
      </c>
      <c r="IA40" s="541">
        <f t="shared" si="119"/>
        <v>0</v>
      </c>
      <c r="IB40" s="541">
        <f t="shared" si="120"/>
        <v>491</v>
      </c>
      <c r="IC40" s="1019" t="str">
        <f t="shared" si="121"/>
        <v/>
      </c>
      <c r="ID40" s="541">
        <f t="shared" si="122"/>
        <v>491</v>
      </c>
      <c r="IE40" s="541">
        <f>Sheet1!DB38</f>
        <v>452</v>
      </c>
      <c r="IF40" s="533">
        <f>Sheet1!DA38</f>
        <v>843</v>
      </c>
      <c r="IH40" s="541">
        <f>IF(AND($B40&gt;=$GC40,$B40&lt;=$GH40,$DR40&lt;0)+N("only adjusted when pool is drawn down during storage season"),Sheet1!$DB38+$DR40+N("Palmer minus all storage release"),Sheet1!$DB38)</f>
        <v>452</v>
      </c>
      <c r="II40" s="541">
        <f>IF(AND($B40&gt;=$GC40,$B40&lt;=$GH40,$DR40&lt;0)+N("only adjusted when pool is drawn down during storage season"),Sheet1!$DA38+$DR40+N("Auburn minus all storage release"),Sheet1!$DA38)</f>
        <v>843</v>
      </c>
    </row>
    <row r="41" spans="1:243" x14ac:dyDescent="0.25">
      <c r="A41" s="553" t="s">
        <v>4</v>
      </c>
      <c r="B41" s="531">
        <v>42765</v>
      </c>
      <c r="C41" s="536">
        <v>0</v>
      </c>
      <c r="D41" s="506">
        <f t="shared" si="0"/>
        <v>300</v>
      </c>
      <c r="E41" s="506">
        <f t="shared" si="1"/>
        <v>250</v>
      </c>
      <c r="F41" s="506">
        <v>250</v>
      </c>
      <c r="G41" s="535">
        <f>DR41+Sheet1!CZ39</f>
        <v>619.94704992438687</v>
      </c>
      <c r="H41" s="1074">
        <f t="shared" si="96"/>
        <v>199.07874387199999</v>
      </c>
      <c r="I41" s="534">
        <f>IF(Sheet1!DA39&gt;=E41,(Sheet1!DA39-E41+P41)*CFStoMGD,0)</f>
        <v>467.98114387199996</v>
      </c>
      <c r="J41" s="995">
        <f>IF(Sheet1!DB39&gt;=D41,(Sheet1!DB39-D41+P41)*CFStoMGD,0)</f>
        <v>199.07874387199999</v>
      </c>
      <c r="K41" s="818">
        <f t="shared" si="97"/>
        <v>64.64</v>
      </c>
      <c r="L41" s="535">
        <f>Sheet1!AA39+Sheet1!AB39-Sheet1!L39+(Sheet1!DA39-F41)*CFStoMGD-S41-T41-U41</f>
        <v>423.39199999999994</v>
      </c>
      <c r="M41" s="535">
        <f t="shared" si="123"/>
        <v>408.74844853254615</v>
      </c>
      <c r="N41" s="824">
        <f>IF(Sheet1!DA39&gt;=F41,MIN(113*CFStoMGD,MIN(MAX(L41,0),MAX(M41,0))),0)</f>
        <v>73.043199999999999</v>
      </c>
      <c r="O41" s="538">
        <f>Sheet1!AA39+Sheet1!AB39</f>
        <v>44.59</v>
      </c>
      <c r="P41" s="538">
        <f t="shared" si="124"/>
        <v>68.980729999999994</v>
      </c>
      <c r="Q41" s="812">
        <f t="shared" si="98"/>
        <v>0</v>
      </c>
      <c r="R41" s="812">
        <f t="shared" si="59"/>
        <v>10.381328047571852</v>
      </c>
      <c r="S41" s="812">
        <f t="shared" si="60"/>
        <v>44.59</v>
      </c>
      <c r="T41" s="812">
        <f t="shared" si="61"/>
        <v>0</v>
      </c>
      <c r="U41" s="812">
        <f t="shared" si="99"/>
        <v>0</v>
      </c>
      <c r="V41" s="812"/>
      <c r="W41" s="812">
        <f t="shared" si="62"/>
        <v>54.258671952428145</v>
      </c>
      <c r="X41" s="812">
        <f t="shared" si="63"/>
        <v>44.59</v>
      </c>
      <c r="Y41" s="812" t="str">
        <f t="shared" si="64"/>
        <v/>
      </c>
      <c r="Z41" s="812">
        <f t="shared" si="65"/>
        <v>44.59</v>
      </c>
      <c r="AA41" s="812">
        <f t="shared" si="66"/>
        <v>44.59</v>
      </c>
      <c r="AB41" s="1059">
        <f t="shared" si="100"/>
        <v>0</v>
      </c>
      <c r="AC41" s="538">
        <f>Sheet1!Y39*MGDtoCFS</f>
        <v>37.94791</v>
      </c>
      <c r="AD41" s="538">
        <f>Sheet1!Z39*MGDtoCFS</f>
        <v>30.816240000000001</v>
      </c>
      <c r="AE41" s="538">
        <f>Sheet1!AA39*MGDtoCFS</f>
        <v>38.056200000000004</v>
      </c>
      <c r="AF41" s="538">
        <f>Sheet1!AB39*MGDtoCFS</f>
        <v>30.924529999999997</v>
      </c>
      <c r="AG41" s="538">
        <f>Sheet1!L39*MGDtoCFS</f>
        <v>0</v>
      </c>
      <c r="AH41" s="521">
        <f t="shared" si="125"/>
        <v>0</v>
      </c>
      <c r="AI41" s="1059">
        <f t="shared" si="126"/>
        <v>0</v>
      </c>
      <c r="AJ41" s="535">
        <f t="shared" si="127"/>
        <v>0</v>
      </c>
      <c r="AK41" s="535">
        <f t="shared" si="128"/>
        <v>0</v>
      </c>
      <c r="AL41" s="535">
        <f>(VLOOKUP(Sheet1!DC39,hhdcap_wcm,4)-(((VLOOKUP(Sheet1!DC39,hhdcap_wcm,3)-Sheet1!DC39)/(VLOOKUP(Sheet1!DC39,hhdcap_wcm,3)-VLOOKUP(Sheet1!DC39,hhdcap_wcm,1)))*(VLOOKUP(Sheet1!DC39,hhdcap_wcm,4)-VLOOKUP(Sheet1!DC39,hhdcap_wcm,2))))</f>
        <v>1309.7000000033993</v>
      </c>
      <c r="AM41" s="535">
        <f t="shared" si="129"/>
        <v>69.300000000059072</v>
      </c>
      <c r="AN41" s="1035">
        <f t="shared" si="130"/>
        <v>0</v>
      </c>
      <c r="AO41" s="535">
        <f t="shared" si="131"/>
        <v>0</v>
      </c>
      <c r="AP41" s="535">
        <f>Sheet1!BA39+Sheet1!BB39+Sheet1!BN39+CD41</f>
        <v>9.6999999999999993</v>
      </c>
      <c r="AQ41" s="535">
        <f>Sheet1!BN39+(DO41*Sheet1!BN39)</f>
        <v>9.6086719524281445</v>
      </c>
      <c r="AR41" s="535">
        <f>Sheet1!BA39+CD41</f>
        <v>0</v>
      </c>
      <c r="AS41" s="535">
        <f>Sheet1!BA39+Sheet1!BB39+CD41</f>
        <v>0</v>
      </c>
      <c r="AT41" s="649">
        <f>0</f>
        <v>0</v>
      </c>
      <c r="AU41" s="535">
        <f>IF(EB41&lt;K41,0,MAX(Sheet1!AA39+AQ41-15/36*K41-N41,Sheet1!EH39,0))</f>
        <v>0</v>
      </c>
      <c r="AV41" s="535">
        <f>IF(OR(B41&gt;=GD41,B41&lt;GC41),0,15/36*K41-MAX(0,64.6-(137.6-(Sheet1!AA39+Sheet1!AB39))))</f>
        <v>0</v>
      </c>
      <c r="AW41" s="1029"/>
      <c r="AX41" s="649"/>
      <c r="AY41" s="649">
        <f t="shared" si="101"/>
        <v>0</v>
      </c>
      <c r="AZ41" s="649">
        <f t="shared" si="102"/>
        <v>0</v>
      </c>
      <c r="BA41" s="1059">
        <f t="shared" si="103"/>
        <v>0</v>
      </c>
      <c r="BB41" s="1019">
        <f t="shared" si="132"/>
        <v>0</v>
      </c>
      <c r="BC41" s="1041">
        <f t="shared" si="104"/>
        <v>26.933333333333334</v>
      </c>
      <c r="BD41" s="1019">
        <f ca="1">IF(B41&gt;Summary!$A$1,#N/A,BB41*MGtoAF)</f>
        <v>0</v>
      </c>
      <c r="BE41" s="535">
        <f>Sheet1!BG39+Sheet1!BH39+Sheet1!BI39-BM41</f>
        <v>1.01</v>
      </c>
      <c r="BF41" s="535">
        <f t="shared" si="133"/>
        <v>1.0004905847373637</v>
      </c>
      <c r="BG41" s="535">
        <f>IF(Sheet1!EP39="FM",BM41,0)</f>
        <v>0</v>
      </c>
      <c r="BH41" s="535">
        <f t="shared" si="134"/>
        <v>0</v>
      </c>
      <c r="BI41" s="535">
        <f>IF(Sheet1!EP39="OTHER",BM41,0)</f>
        <v>0</v>
      </c>
      <c r="BJ41" s="535">
        <f t="shared" si="135"/>
        <v>0</v>
      </c>
      <c r="BK41" s="535">
        <f t="shared" si="136"/>
        <v>1.01</v>
      </c>
      <c r="BL41" s="535">
        <f t="shared" si="137"/>
        <v>1.0004905847373637</v>
      </c>
      <c r="BM41" s="535">
        <f>IF(OR(Sheet1!EP39="FM", Sheet1!EP39="OTHER"),SUM(Sheet1!BG39:'Sheet1'!BI39),0)</f>
        <v>0</v>
      </c>
      <c r="BN41" s="521">
        <f>IF(AND($B41&gt;=$FV41,$B41&lt;=$FW41),MAX(BF41,Sheet1!EI39,0),MAX(BF41-(7/36)*$K41,0))</f>
        <v>0</v>
      </c>
      <c r="BO41" s="535">
        <f t="shared" si="138"/>
        <v>0</v>
      </c>
      <c r="BP41" s="521">
        <f t="shared" si="184"/>
        <v>1.0004905847373637</v>
      </c>
      <c r="BQ41" s="521">
        <f>IF(AND($O41&gt;0,Sheet1!EM39=1),(1-($O41-Sheet1!$L39)/$O41)*BL41,0)</f>
        <v>0</v>
      </c>
      <c r="BR41" s="521">
        <f>IF(AND(Sheet1!$L39=0,Sheet1!$L38=0, Calculation!BK41&lt;Sheet1!$EI39-0.1,Sheet1!$EI39=Sheet1!$EI38,Sheet1!$EI39=Sheet1!$EI40),BL41-BQ41,BL41-BQ41)</f>
        <v>1.0004905847373637</v>
      </c>
      <c r="BS41" s="1035" t="str">
        <f t="shared" si="105"/>
        <v/>
      </c>
      <c r="BT41" s="1035">
        <f t="shared" si="106"/>
        <v>12.568888888888889</v>
      </c>
      <c r="BU41" s="535">
        <f t="shared" si="139"/>
        <v>0</v>
      </c>
      <c r="BV41" s="535"/>
      <c r="BW41" s="535">
        <f ca="1">IF(B41&gt;Summary!$A$1,#N/A,BU41*MGtoAF)</f>
        <v>0</v>
      </c>
      <c r="BX41" s="535">
        <f>Sheet1!BC39+Sheet1!BD39+Sheet1!BE39+Sheet1!BF39-CG41-CH41</f>
        <v>2.99</v>
      </c>
      <c r="BY41" s="535">
        <f t="shared" si="140"/>
        <v>2.9618483647175422</v>
      </c>
      <c r="BZ41" s="535">
        <f>IF(Sheet1!EQ39="FM",CH41,0)</f>
        <v>0</v>
      </c>
      <c r="CA41" s="535">
        <f t="shared" si="141"/>
        <v>0</v>
      </c>
      <c r="CB41" s="535">
        <f>IF(Sheet1!EQ39="OTHER",CH41,0)</f>
        <v>0</v>
      </c>
      <c r="CC41" s="535">
        <f t="shared" si="142"/>
        <v>0</v>
      </c>
      <c r="CD41" s="535">
        <f t="shared" si="143"/>
        <v>0</v>
      </c>
      <c r="CE41" s="535">
        <f t="shared" si="144"/>
        <v>2.99</v>
      </c>
      <c r="CF41" s="535">
        <f t="shared" si="145"/>
        <v>2.9618483647175422</v>
      </c>
      <c r="CG41" s="535">
        <f>IF(Sheet1!EQ39="CWA",SUM(Sheet1!BC39:'Sheet1'!BF39),0)</f>
        <v>0</v>
      </c>
      <c r="CH41" s="535">
        <f>IF(OR(Sheet1!EQ39="FM", Sheet1!EQ39="OTHER"),SUM(Sheet1!BC39:'Sheet1'!BF39),0)</f>
        <v>0</v>
      </c>
      <c r="CI41" s="521">
        <f>IF(AND($B41&gt;=$FV41,$B41&lt;=$FW41),MAX(CF41,Sheet1!EJ39,0),MAX(CF41-(7/36)*$K41,0))</f>
        <v>0</v>
      </c>
      <c r="CJ41" s="535">
        <f t="shared" si="146"/>
        <v>0</v>
      </c>
      <c r="CK41" s="521">
        <f t="shared" si="182"/>
        <v>2.9618483647175422</v>
      </c>
      <c r="CL41" s="521">
        <f>IF(AND($O41&gt;0,Sheet1!EN39=1),(1-($O41-Sheet1!$L39)/$O41)*CF41,0)</f>
        <v>0</v>
      </c>
      <c r="CM41" s="521">
        <f>IF(AND(Sheet1!$L39=0,Sheet1!$L38=0, Calculation!CE41&lt;Sheet1!EJ39-0.1,Sheet1!EJ39=Sheet1!EJ38,Sheet1!EJ39=Sheet1!EJ40),CF41-CL41,CF41-CL41)</f>
        <v>2.9618483647175422</v>
      </c>
      <c r="CN41" s="1040" t="str">
        <f t="shared" si="107"/>
        <v/>
      </c>
      <c r="CO41" s="1035">
        <f t="shared" si="108"/>
        <v>12.568888888888889</v>
      </c>
      <c r="CP41" s="535">
        <f t="shared" si="147"/>
        <v>0</v>
      </c>
      <c r="CQ41" s="535"/>
      <c r="CR41" s="535">
        <f ca="1">IF(B41&gt;Summary!$A$1,#N/A,CP41*MGtoAF)</f>
        <v>0</v>
      </c>
      <c r="CS41" s="535">
        <f>Sheet1!BK39+Sheet1!BL39+Sheet1!BM39-Sheet1!ER39-DA41</f>
        <v>6.48</v>
      </c>
      <c r="CT41" s="535">
        <f t="shared" si="148"/>
        <v>6.4189890981169473</v>
      </c>
      <c r="CU41" s="535">
        <f>IF(Sheet1!ER39="FM",DA41,0)</f>
        <v>0</v>
      </c>
      <c r="CV41" s="535">
        <f t="shared" si="149"/>
        <v>0</v>
      </c>
      <c r="CW41" s="535">
        <f>IF(Sheet1!ER39="OTHER",DA41,0)</f>
        <v>0</v>
      </c>
      <c r="CX41" s="535">
        <f t="shared" si="150"/>
        <v>0</v>
      </c>
      <c r="CY41" s="535">
        <f t="shared" si="151"/>
        <v>6.48</v>
      </c>
      <c r="CZ41" s="535">
        <f t="shared" si="152"/>
        <v>6.4189890981169473</v>
      </c>
      <c r="DA41" s="535">
        <f>IF(OR(Sheet1!ER39="FM", Sheet1!ER39="OTHER"),SUM(Sheet1!BK39:'Sheet1'!BM39),0)</f>
        <v>0</v>
      </c>
      <c r="DB41" s="1011">
        <f>IF(AND($B41&gt;=$FV41,$B41&lt;=$FW41),MAX($CT41,Sheet1!EK39,0),MAX($CT41-(7/36)*$K41,0))</f>
        <v>0</v>
      </c>
      <c r="DC41" s="1012">
        <f t="shared" si="153"/>
        <v>0</v>
      </c>
      <c r="DD41" s="1011">
        <f t="shared" si="183"/>
        <v>6.4189890981169473</v>
      </c>
      <c r="DE41" s="521">
        <f>IF(AND($O41&gt;0,Sheet1!EO39=1),(1-($O41-Sheet1!$L39)/$O41)*CZ41,0)</f>
        <v>0</v>
      </c>
      <c r="DF41" s="521">
        <f>IF(AND(Sheet1!$L39=0,Sheet1!$L38=0, Calculation!CY41&lt;Sheet1!$EK39-0.1,Sheet1!$EK39=Sheet1!$EK38,Sheet1!$EK39=Sheet1!$EK40),CZ41-DE41,CZ41-DE41)</f>
        <v>6.4189890981169473</v>
      </c>
      <c r="DG41" s="1040">
        <f t="shared" si="109"/>
        <v>12.568888888888889</v>
      </c>
      <c r="DH41" s="649">
        <f t="shared" si="154"/>
        <v>10.48</v>
      </c>
      <c r="DI41" s="535">
        <f t="shared" si="155"/>
        <v>0</v>
      </c>
      <c r="DJ41" s="649">
        <f t="shared" si="156"/>
        <v>10.381328047571852</v>
      </c>
      <c r="DK41" s="535">
        <f ca="1">IF(B41&gt;Summary!$A$1,#N/A,DI41*MGtoAF)</f>
        <v>0</v>
      </c>
      <c r="DL41" s="649">
        <f t="shared" si="157"/>
        <v>10.48</v>
      </c>
      <c r="DM41" s="535">
        <f t="shared" si="158"/>
        <v>20.18</v>
      </c>
      <c r="DN41" s="535">
        <f>Sheet1!AB39-DM41</f>
        <v>-0.19000000000000128</v>
      </c>
      <c r="DO41" s="743">
        <f t="shared" si="159"/>
        <v>-9.4152626362736021E-3</v>
      </c>
      <c r="DP41" s="535">
        <f>(VLOOKUP(Sheet1!DC39,hhdcap_wcm,4)-(((VLOOKUP(Sheet1!DC39,hhdcap_wcm,3)-Sheet1!DC39)/(VLOOKUP(Sheet1!DC39,hhdcap_wcm,3)-VLOOKUP(Sheet1!DC39,hhdcap_wcm,1)))*(VLOOKUP(Sheet1!DC39,hhdcap_wcm,4)-VLOOKUP(Sheet1!DC39,hhdcap_wcm,2))))</f>
        <v>1309.7000000033993</v>
      </c>
      <c r="DQ41" s="535">
        <f t="shared" si="160"/>
        <v>69.300000000059072</v>
      </c>
      <c r="DR41" s="535">
        <f t="shared" si="161"/>
        <v>34.947049924386818</v>
      </c>
      <c r="DS41" s="535">
        <f>Sheet1!EA39*AFtoMG</f>
        <v>0</v>
      </c>
      <c r="DT41" s="535">
        <f>Sheet1!EB39*AFtoMG</f>
        <v>0</v>
      </c>
      <c r="DU41" s="535">
        <f>Sheet1!EC39*AFtoMG</f>
        <v>0</v>
      </c>
      <c r="DV41" s="535">
        <f>Sheet1!ED39*AFtoMG</f>
        <v>0</v>
      </c>
      <c r="DW41" s="535">
        <f t="shared" si="162"/>
        <v>0</v>
      </c>
      <c r="DX41" s="535">
        <f t="shared" si="163"/>
        <v>0</v>
      </c>
      <c r="DY41" s="535">
        <f t="shared" si="164"/>
        <v>0</v>
      </c>
      <c r="DZ41" s="535">
        <f t="shared" si="165"/>
        <v>0</v>
      </c>
      <c r="EA41" s="535"/>
      <c r="EB41" s="521">
        <f>IF(OR(B41&lt;FV41,B41&gt;FW41),(MIN(BF41+BY41+CT41+MAX(Sheet1!AA39+AQ41-73,0),K41)),0)</f>
        <v>10.381328047571852</v>
      </c>
      <c r="EC41" s="535"/>
      <c r="ED41" s="535">
        <f t="shared" si="166"/>
        <v>10.381328047571852</v>
      </c>
      <c r="EE41" s="535"/>
      <c r="EF41" s="535">
        <f>Sheet1!EH39+Sheet1!EI39+Sheet1!EJ39+Sheet1!EK39</f>
        <v>10.5</v>
      </c>
      <c r="EG41" s="1019">
        <f t="shared" si="110"/>
        <v>16.243500000000001</v>
      </c>
      <c r="EH41" s="521">
        <f t="shared" si="167"/>
        <v>0</v>
      </c>
      <c r="EI41" s="535">
        <f>IF(Sheet1!ET39=1,SUM('Calculations II'!AT41:BA41)+'Calculations II'!BC41+Sheet1!BV39+'Calculations II'!BE41+AP41,'Calculations II'!BK41)</f>
        <v>33.83660195242814</v>
      </c>
      <c r="EJ41" s="535">
        <f ca="1">EI41+'Calculations II'!D41+'Calculations II'!E41+'Calculations II'!O41</f>
        <v>33.794952579303462</v>
      </c>
      <c r="EK41" s="535"/>
      <c r="EL41" s="535"/>
      <c r="EM41" s="535">
        <f t="shared" si="168"/>
        <v>42765</v>
      </c>
      <c r="EN41" s="535">
        <f t="shared" si="169"/>
        <v>0</v>
      </c>
      <c r="EO41" s="535">
        <f t="shared" si="170"/>
        <v>0</v>
      </c>
      <c r="EP41" s="535">
        <v>0</v>
      </c>
      <c r="EQ41" s="535">
        <v>0</v>
      </c>
      <c r="ER41" s="535">
        <v>0</v>
      </c>
      <c r="ES41" s="521">
        <f t="shared" si="71"/>
        <v>0.13843992061666027</v>
      </c>
      <c r="ET41" s="535">
        <f>-(VLOOKUP(Sheet1!BQ39,Lookup!$O$4:$Q$262,2)-VLOOKUP(Sheet1!BQ38,Lookup!$O$4:$Q$262,2))/1000000</f>
        <v>0.13843992061666027</v>
      </c>
      <c r="EU41" s="535">
        <f>-(VLOOKUP(Sheet1!BR39,Lookup!$O$4:$Q$262,3)-VLOOKUP(Sheet1!BR38,Lookup!$O$4:$Q$262,3))/1000000</f>
        <v>0</v>
      </c>
      <c r="EV41" s="535"/>
      <c r="EW41" s="535"/>
      <c r="EX41" s="535"/>
      <c r="EY41" s="535"/>
      <c r="EZ41" s="535"/>
      <c r="FA41" s="535"/>
      <c r="FB41" s="535"/>
      <c r="FC41" s="535"/>
      <c r="FD41" s="567" t="e">
        <f t="shared" si="171"/>
        <v>#N/A</v>
      </c>
      <c r="FE41" s="567" t="e">
        <f t="shared" si="172"/>
        <v>#N/A</v>
      </c>
      <c r="FF41" s="568" t="e">
        <f t="shared" si="173"/>
        <v>#N/A</v>
      </c>
      <c r="FG41" s="569" t="s">
        <v>656</v>
      </c>
      <c r="FH41" s="569" t="s">
        <v>656</v>
      </c>
      <c r="FI41" s="567" t="e">
        <v>#N/A</v>
      </c>
      <c r="FJ41" s="567" t="e">
        <v>#N/A</v>
      </c>
      <c r="FK41" s="535"/>
      <c r="FL41" s="1015">
        <v>0</v>
      </c>
      <c r="FM41" s="535"/>
      <c r="FN41" s="535"/>
      <c r="FO41" s="535">
        <f>O41+((Sheet1!CS39)*GPMtoMGD)</f>
        <v>44.59</v>
      </c>
      <c r="FP41" s="535">
        <f>IF(Sheet1!AA39+AQ41&lt;=Calculation!N41,AQ41,Calculation!N41-Sheet1!AA39)</f>
        <v>9.6086719524281445</v>
      </c>
      <c r="FQ41" s="535">
        <f>(Sheet1!BP39+Sheet1!BO39)/694.4</f>
        <v>1.3853686635944702</v>
      </c>
      <c r="FR41" s="541"/>
      <c r="FS41" s="541"/>
      <c r="FT41" s="541"/>
      <c r="FU41" s="541"/>
      <c r="FV41" s="1109">
        <f t="shared" si="74"/>
        <v>42918</v>
      </c>
      <c r="FW41" s="1109">
        <f t="shared" si="75"/>
        <v>43027</v>
      </c>
      <c r="FX41" s="541"/>
      <c r="FY41" s="541">
        <f>Sheet1!DA39-Sheet1!CZ39-Sheet1!AE39</f>
        <v>251.01927000000001</v>
      </c>
      <c r="FZ41" s="535">
        <f t="shared" si="111"/>
        <v>0.40490437051134626</v>
      </c>
      <c r="GA41" s="535"/>
      <c r="GB41" s="535" t="str">
        <f t="shared" si="76"/>
        <v>n</v>
      </c>
      <c r="GC41" s="539">
        <f t="shared" si="77"/>
        <v>42782</v>
      </c>
      <c r="GD41" s="1109">
        <f t="shared" si="78"/>
        <v>42904</v>
      </c>
      <c r="GE41" s="535">
        <f t="shared" si="95"/>
        <v>6520</v>
      </c>
      <c r="GF41" s="1109">
        <f t="shared" si="79"/>
        <v>42909</v>
      </c>
      <c r="GG41" s="535">
        <f t="shared" si="174"/>
        <v>3260</v>
      </c>
      <c r="GH41" s="539">
        <f t="shared" si="80"/>
        <v>43040</v>
      </c>
      <c r="GJ41" s="521">
        <f t="shared" si="81"/>
        <v>0</v>
      </c>
      <c r="GK41" s="535" t="str">
        <f t="shared" si="175"/>
        <v/>
      </c>
      <c r="GL41" s="535">
        <f t="shared" si="82"/>
        <v>0</v>
      </c>
      <c r="GM41" s="535" t="str">
        <f t="shared" si="83"/>
        <v/>
      </c>
      <c r="GN41" s="535">
        <f>IF(GK41="P",Lookup!$M$12,IF(GK41="PP",Lookup!$M$13,IF(GK41="PPP",Lookup!$M$14,IF(GK41="T",Lookup!$M$15,IF(GK41="TP",Lookup!$M$16,IF(GK41="TPP",Lookup!$M$17,IF(GK41="TPPP",Lookup!$M$18,0)))))))*GJ41</f>
        <v>0</v>
      </c>
      <c r="GO41" s="535">
        <f t="shared" si="84"/>
        <v>0</v>
      </c>
      <c r="GP41" s="535">
        <f t="shared" si="176"/>
        <v>0</v>
      </c>
      <c r="GQ41" s="535">
        <f t="shared" si="94"/>
        <v>0</v>
      </c>
      <c r="GR41" s="535"/>
      <c r="GS41" s="535">
        <f t="shared" si="85"/>
        <v>0</v>
      </c>
      <c r="GT41" s="535" t="str">
        <f t="shared" si="86"/>
        <v/>
      </c>
      <c r="GU41" s="535">
        <f>IF(GK41="P",Lookup!$N$12,IF(GK41="PP",Lookup!$N$13,IF(GK41="PPP",Lookup!$N$14,IF(GK41="T",Lookup!$N$15,IF(GK41="TP",Lookup!$N$16,IF(GK41="TPP",Lookup!$N$17,IF(GK41="TPPP",Lookup!$N$18,0)))))))*GJ41</f>
        <v>0</v>
      </c>
      <c r="GV41" s="535">
        <f t="shared" si="53"/>
        <v>0</v>
      </c>
      <c r="GW41" s="535">
        <f t="shared" si="177"/>
        <v>0</v>
      </c>
      <c r="GX41" s="535">
        <f t="shared" si="91"/>
        <v>0</v>
      </c>
      <c r="GY41" s="535"/>
      <c r="GZ41" s="535">
        <f t="shared" si="87"/>
        <v>0</v>
      </c>
      <c r="HA41" s="535" t="str">
        <f t="shared" si="88"/>
        <v/>
      </c>
      <c r="HB41" s="535">
        <f>IF(GK41="P",Lookup!$N$12,IF(GK41="PP",Lookup!$N$13,IF(GK41="PPP",Lookup!$N$14,IF(GK41="T",Lookup!$N$15,IF(GK41="TP",Lookup!$N$16,IF(GK41="TPP",Lookup!$N$17,IF(GK41="TPPP",Lookup!$N$18,0)))))))*GJ41</f>
        <v>0</v>
      </c>
      <c r="HC41" s="521">
        <f t="shared" si="178"/>
        <v>0</v>
      </c>
      <c r="HD41" s="535">
        <f t="shared" si="179"/>
        <v>0</v>
      </c>
      <c r="HE41" s="535">
        <f t="shared" si="92"/>
        <v>0</v>
      </c>
      <c r="HF41" s="535"/>
      <c r="HG41" s="535">
        <f t="shared" si="89"/>
        <v>0</v>
      </c>
      <c r="HH41" s="535" t="str">
        <f t="shared" si="90"/>
        <v/>
      </c>
      <c r="HI41" s="535">
        <f>IF(GK41="P",Lookup!$N$12,IF(GK41="PP",Lookup!$N$13,IF(GK41="PPP",Lookup!$N$14,IF(GK41="T",Lookup!$N$15,IF(GK41="TP",Lookup!$N$16,IF(GK41="TPP",Lookup!$N$17,IF(GK41="TPPP",Lookup!$N$18,0)))))))*GJ41</f>
        <v>0</v>
      </c>
      <c r="HJ41" s="521">
        <f t="shared" si="180"/>
        <v>0</v>
      </c>
      <c r="HK41" s="535">
        <f t="shared" si="181"/>
        <v>0</v>
      </c>
      <c r="HL41" s="535">
        <f t="shared" si="93"/>
        <v>0</v>
      </c>
      <c r="HM41" s="535"/>
      <c r="HN41" s="541"/>
      <c r="HO41" s="541"/>
      <c r="HP41" s="541"/>
      <c r="HQ41" s="541">
        <f>IF(AND(B41&gt;=$FV$4,B41&lt;=$FW$4),MAX(110/1.02+$HQ$6+MIN(113/1.02,G41),IF($HV$6-(Sheet1!DA39-Sheet1!DB39)+MIN(113/1.02,G41)&lt;G41+FL41,$HV$6-(Sheet1!DA39-Sheet1!DB39)+MIN(113/1.02,G41),G41+FL41)),MIN(110/1.02+$HQ$6+113/1.02,G41))</f>
        <v>218.62745098039215</v>
      </c>
      <c r="HR41" s="541">
        <f t="shared" si="112"/>
        <v>223</v>
      </c>
      <c r="HS41" s="541">
        <f>HR41+(Sheet1!DA39-Sheet1!DB39)</f>
        <v>589</v>
      </c>
      <c r="HT41" s="541">
        <f t="shared" si="113"/>
        <v>0</v>
      </c>
      <c r="HU41" s="541">
        <f t="shared" si="114"/>
        <v>589</v>
      </c>
      <c r="HV41" s="541">
        <f t="shared" si="115"/>
        <v>0</v>
      </c>
      <c r="HW41" s="533" t="str">
        <f t="shared" si="116"/>
        <v/>
      </c>
      <c r="HX41" s="541">
        <f t="shared" si="117"/>
        <v>366.37254901960785</v>
      </c>
      <c r="HY41" s="541">
        <f>Sheet1!CZ39</f>
        <v>585</v>
      </c>
      <c r="HZ41" s="541">
        <f t="shared" si="118"/>
        <v>0</v>
      </c>
      <c r="IA41" s="541">
        <f t="shared" si="119"/>
        <v>0</v>
      </c>
      <c r="IB41" s="541">
        <f t="shared" si="120"/>
        <v>585</v>
      </c>
      <c r="IC41" s="1019" t="str">
        <f t="shared" si="121"/>
        <v/>
      </c>
      <c r="ID41" s="541">
        <f t="shared" si="122"/>
        <v>585</v>
      </c>
      <c r="IE41" s="541">
        <f>Sheet1!DB39</f>
        <v>539</v>
      </c>
      <c r="IF41" s="533">
        <f>Sheet1!DA39</f>
        <v>905</v>
      </c>
      <c r="IH41" s="541">
        <f>IF(AND($B41&gt;=$GC41,$B41&lt;=$GH41,$DR41&lt;0)+N("only adjusted when pool is drawn down during storage season"),Sheet1!$DB39+$DR41+N("Palmer minus all storage release"),Sheet1!$DB39)</f>
        <v>539</v>
      </c>
      <c r="II41" s="541">
        <f>IF(AND($B41&gt;=$GC41,$B41&lt;=$GH41,$DR41&lt;0)+N("only adjusted when pool is drawn down during storage season"),Sheet1!$DA39+$DR41+N("Auburn minus all storage release"),Sheet1!$DA39)</f>
        <v>905</v>
      </c>
    </row>
    <row r="42" spans="1:243" x14ac:dyDescent="0.25">
      <c r="A42" s="553" t="s">
        <v>5</v>
      </c>
      <c r="B42" s="531">
        <v>42766</v>
      </c>
      <c r="C42" s="536">
        <v>0</v>
      </c>
      <c r="D42" s="506">
        <f t="shared" si="0"/>
        <v>300</v>
      </c>
      <c r="E42" s="506">
        <f t="shared" si="1"/>
        <v>250</v>
      </c>
      <c r="F42" s="506">
        <v>250</v>
      </c>
      <c r="G42" s="535">
        <f>DR42+Sheet1!CZ40</f>
        <v>567.38426626322257</v>
      </c>
      <c r="H42" s="1074">
        <f t="shared" si="96"/>
        <v>192.61474387199999</v>
      </c>
      <c r="I42" s="534">
        <f>IF(Sheet1!DA40&gt;=E42,(Sheet1!DA40-E42+P42)*CFStoMGD,0)</f>
        <v>488.01954387199999</v>
      </c>
      <c r="J42" s="995">
        <f>IF(Sheet1!DB40&gt;=D42,(Sheet1!DB40-D42+P42)*CFStoMGD,0)</f>
        <v>192.61474387199999</v>
      </c>
      <c r="K42" s="818">
        <f t="shared" si="97"/>
        <v>64.64</v>
      </c>
      <c r="L42" s="535">
        <f>Sheet1!AA40+Sheet1!AB40-Sheet1!L40+(Sheet1!DA40-F42)*CFStoMGD-S42-T42-U42</f>
        <v>443.43039999999996</v>
      </c>
      <c r="M42" s="535">
        <f t="shared" si="123"/>
        <v>374.09233350679801</v>
      </c>
      <c r="N42" s="824">
        <f>IF(Sheet1!DA40&gt;=F42,MIN(113*CFStoMGD,MIN(MAX(L42,0),MAX(M42,0))),0)</f>
        <v>73.043199999999999</v>
      </c>
      <c r="O42" s="538">
        <f>Sheet1!AA40+Sheet1!AB40</f>
        <v>44.59</v>
      </c>
      <c r="P42" s="538">
        <f t="shared" si="124"/>
        <v>68.980729999999994</v>
      </c>
      <c r="Q42" s="812">
        <f t="shared" si="98"/>
        <v>0</v>
      </c>
      <c r="R42" s="812">
        <f t="shared" si="59"/>
        <v>10.376564204263756</v>
      </c>
      <c r="S42" s="812">
        <f t="shared" si="60"/>
        <v>44.59</v>
      </c>
      <c r="T42" s="812">
        <f t="shared" si="61"/>
        <v>0</v>
      </c>
      <c r="U42" s="812">
        <f t="shared" si="99"/>
        <v>0</v>
      </c>
      <c r="V42" s="812"/>
      <c r="W42" s="812">
        <f t="shared" si="62"/>
        <v>54.263435795736243</v>
      </c>
      <c r="X42" s="812">
        <f t="shared" si="63"/>
        <v>44.59</v>
      </c>
      <c r="Y42" s="812" t="str">
        <f t="shared" si="64"/>
        <v/>
      </c>
      <c r="Z42" s="812">
        <f t="shared" si="65"/>
        <v>44.59</v>
      </c>
      <c r="AA42" s="812">
        <f t="shared" si="66"/>
        <v>44.59</v>
      </c>
      <c r="AB42" s="1059">
        <f t="shared" si="100"/>
        <v>0</v>
      </c>
      <c r="AC42" s="538">
        <f>Sheet1!Y40*MGDtoCFS</f>
        <v>38.056200000000004</v>
      </c>
      <c r="AD42" s="538">
        <f>Sheet1!Z40*MGDtoCFS</f>
        <v>30.924529999999997</v>
      </c>
      <c r="AE42" s="538">
        <f>Sheet1!AA40*MGDtoCFS</f>
        <v>38.056200000000004</v>
      </c>
      <c r="AF42" s="538">
        <f>Sheet1!AB40*MGDtoCFS</f>
        <v>30.924529999999997</v>
      </c>
      <c r="AG42" s="538">
        <f>Sheet1!L40*MGDtoCFS</f>
        <v>0</v>
      </c>
      <c r="AH42" s="521">
        <f t="shared" si="125"/>
        <v>0</v>
      </c>
      <c r="AI42" s="1059">
        <f t="shared" si="126"/>
        <v>0</v>
      </c>
      <c r="AJ42" s="535">
        <f t="shared" si="127"/>
        <v>0</v>
      </c>
      <c r="AK42" s="535">
        <f t="shared" si="128"/>
        <v>0</v>
      </c>
      <c r="AL42" s="535">
        <f>(VLOOKUP(Sheet1!DC40,hhdcap_wcm,4)-(((VLOOKUP(Sheet1!DC40,hhdcap_wcm,3)-Sheet1!DC40)/(VLOOKUP(Sheet1!DC40,hhdcap_wcm,3)-VLOOKUP(Sheet1!DC40,hhdcap_wcm,1)))*(VLOOKUP(Sheet1!DC40,hhdcap_wcm,4)-VLOOKUP(Sheet1!DC40,hhdcap_wcm,2))))</f>
        <v>1282.7000000033697</v>
      </c>
      <c r="AM42" s="535">
        <f t="shared" si="129"/>
        <v>-27.000000000029559</v>
      </c>
      <c r="AN42" s="1035">
        <f t="shared" si="130"/>
        <v>0</v>
      </c>
      <c r="AO42" s="535">
        <f t="shared" si="131"/>
        <v>0</v>
      </c>
      <c r="AP42" s="535">
        <f>Sheet1!BA40+Sheet1!BB40+Sheet1!BN40+CD42</f>
        <v>9.6999999999999993</v>
      </c>
      <c r="AQ42" s="535">
        <f>Sheet1!BN40+(DO42*Sheet1!BN40)</f>
        <v>9.6134357957362404</v>
      </c>
      <c r="AR42" s="535">
        <f>Sheet1!BA40+CD42</f>
        <v>0</v>
      </c>
      <c r="AS42" s="535">
        <f>Sheet1!BA40+Sheet1!BB40+CD42</f>
        <v>0</v>
      </c>
      <c r="AT42" s="649">
        <f>0</f>
        <v>0</v>
      </c>
      <c r="AU42" s="535">
        <f>IF(EB42&lt;K42,0,MAX(Sheet1!AA40+AQ42-15/36*K42-N42,Sheet1!EH40,0))</f>
        <v>0</v>
      </c>
      <c r="AV42" s="535">
        <f>IF(OR(B42&gt;=GD42,B42&lt;GC42),0,15/36*K42-MAX(0,64.6-(137.6-(Sheet1!AA40+Sheet1!AB40))))</f>
        <v>0</v>
      </c>
      <c r="AW42" s="1029"/>
      <c r="AX42" s="649"/>
      <c r="AY42" s="649">
        <f t="shared" si="101"/>
        <v>0</v>
      </c>
      <c r="AZ42" s="649">
        <f t="shared" si="102"/>
        <v>0</v>
      </c>
      <c r="BA42" s="1059">
        <f t="shared" si="103"/>
        <v>0</v>
      </c>
      <c r="BB42" s="1019">
        <f t="shared" si="132"/>
        <v>0</v>
      </c>
      <c r="BC42" s="1041">
        <f t="shared" si="104"/>
        <v>26.933333333333334</v>
      </c>
      <c r="BD42" s="1019">
        <f ca="1">IF(B42&gt;Summary!$A$1,#N/A,BB42*MGtoAF)</f>
        <v>0</v>
      </c>
      <c r="BE42" s="535">
        <f>Sheet1!BG40+Sheet1!BH40+Sheet1!BI40-BM42</f>
        <v>1.01</v>
      </c>
      <c r="BF42" s="535">
        <f t="shared" si="133"/>
        <v>1.0009866137828456</v>
      </c>
      <c r="BG42" s="535">
        <f>IF(Sheet1!EP40="FM",BM42,0)</f>
        <v>0</v>
      </c>
      <c r="BH42" s="535">
        <f t="shared" si="134"/>
        <v>0</v>
      </c>
      <c r="BI42" s="535">
        <f>IF(Sheet1!EP40="OTHER",BM42,0)</f>
        <v>0</v>
      </c>
      <c r="BJ42" s="535">
        <f t="shared" si="135"/>
        <v>0</v>
      </c>
      <c r="BK42" s="535">
        <f t="shared" si="136"/>
        <v>1.01</v>
      </c>
      <c r="BL42" s="535">
        <f t="shared" si="137"/>
        <v>1.0009866137828456</v>
      </c>
      <c r="BM42" s="535">
        <f>IF(OR(Sheet1!EP40="FM", Sheet1!EP40="OTHER"),SUM(Sheet1!BG40:'Sheet1'!BI40),0)</f>
        <v>0</v>
      </c>
      <c r="BN42" s="521">
        <f>IF(AND($B42&gt;=$FV42,$B42&lt;=$FW42),MAX(BF42,Sheet1!EI40,0),MAX(BF42-(7/36)*$K42,0))</f>
        <v>0</v>
      </c>
      <c r="BO42" s="535">
        <f t="shared" si="138"/>
        <v>0</v>
      </c>
      <c r="BP42" s="521">
        <f t="shared" si="184"/>
        <v>1.0009866137828456</v>
      </c>
      <c r="BQ42" s="521">
        <f>IF(AND($O42&gt;0,Sheet1!EM40=1),(1-($O42-Sheet1!$L40)/$O42)*BL42,0)</f>
        <v>0</v>
      </c>
      <c r="BR42" s="521">
        <f>IF(AND(Sheet1!$L40=0,Sheet1!$L39=0, Calculation!BK42&lt;Sheet1!$EI40-0.1,Sheet1!$EI40=Sheet1!$EI39,Sheet1!$EI40=Sheet1!$EI41),BL42-BQ42,BL42-BQ42)</f>
        <v>1.0009866137828456</v>
      </c>
      <c r="BS42" s="1035" t="str">
        <f t="shared" si="105"/>
        <v/>
      </c>
      <c r="BT42" s="1035">
        <f t="shared" si="106"/>
        <v>12.568888888888889</v>
      </c>
      <c r="BU42" s="535">
        <f t="shared" si="139"/>
        <v>0</v>
      </c>
      <c r="BV42" s="535"/>
      <c r="BW42" s="535">
        <f ca="1">IF(B42&gt;Summary!$A$1,#N/A,BU42*MGtoAF)</f>
        <v>0</v>
      </c>
      <c r="BX42" s="535">
        <f>Sheet1!BC40+Sheet1!BD40+Sheet1!BE40+Sheet1!BF40-CG42-CH42</f>
        <v>2.99</v>
      </c>
      <c r="BY42" s="535">
        <f t="shared" si="140"/>
        <v>2.9633168071393157</v>
      </c>
      <c r="BZ42" s="535">
        <f>IF(Sheet1!EQ40="FM",CH42,0)</f>
        <v>0</v>
      </c>
      <c r="CA42" s="535">
        <f t="shared" si="141"/>
        <v>0</v>
      </c>
      <c r="CB42" s="535">
        <f>IF(Sheet1!EQ40="OTHER",CH42,0)</f>
        <v>0</v>
      </c>
      <c r="CC42" s="535">
        <f t="shared" si="142"/>
        <v>0</v>
      </c>
      <c r="CD42" s="535">
        <f t="shared" si="143"/>
        <v>0</v>
      </c>
      <c r="CE42" s="535">
        <f t="shared" si="144"/>
        <v>2.99</v>
      </c>
      <c r="CF42" s="535">
        <f t="shared" si="145"/>
        <v>2.9633168071393157</v>
      </c>
      <c r="CG42" s="535">
        <f>IF(Sheet1!EQ40="CWA",SUM(Sheet1!BC40:'Sheet1'!BF40),0)</f>
        <v>0</v>
      </c>
      <c r="CH42" s="535">
        <f>IF(OR(Sheet1!EQ40="FM", Sheet1!EQ40="OTHER"),SUM(Sheet1!BC40:'Sheet1'!BF40),0)</f>
        <v>0</v>
      </c>
      <c r="CI42" s="521">
        <f>IF(AND($B42&gt;=$FV42,$B42&lt;=$FW42),MAX(CF42,Sheet1!EJ40,0),MAX(CF42-(7/36)*$K42,0))</f>
        <v>0</v>
      </c>
      <c r="CJ42" s="535">
        <f t="shared" si="146"/>
        <v>0</v>
      </c>
      <c r="CK42" s="521">
        <f t="shared" si="182"/>
        <v>2.9633168071393157</v>
      </c>
      <c r="CL42" s="521">
        <f>IF(AND($O42&gt;0,Sheet1!EN40=1),(1-($O42-Sheet1!$L40)/$O42)*CF42,0)</f>
        <v>0</v>
      </c>
      <c r="CM42" s="521">
        <f>IF(AND(Sheet1!$L40=0,Sheet1!$L39=0, Calculation!CE42&lt;Sheet1!EJ40-0.1,Sheet1!EJ40=Sheet1!EJ39,Sheet1!EJ40=Sheet1!EJ41),CF42-CL42,CF42-CL42)</f>
        <v>2.9633168071393157</v>
      </c>
      <c r="CN42" s="1040" t="str">
        <f t="shared" si="107"/>
        <v/>
      </c>
      <c r="CO42" s="1035">
        <f t="shared" si="108"/>
        <v>12.568888888888889</v>
      </c>
      <c r="CP42" s="535">
        <f t="shared" si="147"/>
        <v>0</v>
      </c>
      <c r="CQ42" s="535"/>
      <c r="CR42" s="535">
        <f ca="1">IF(B42&gt;Summary!$A$1,#N/A,CP42*MGtoAF)</f>
        <v>0</v>
      </c>
      <c r="CS42" s="535">
        <f>Sheet1!BK40+Sheet1!BL40+Sheet1!BM40-Sheet1!ER40-DA42</f>
        <v>6.47</v>
      </c>
      <c r="CT42" s="535">
        <f t="shared" si="148"/>
        <v>6.412260783341595</v>
      </c>
      <c r="CU42" s="535">
        <f>IF(Sheet1!ER40="FM",DA42,0)</f>
        <v>0</v>
      </c>
      <c r="CV42" s="535">
        <f t="shared" si="149"/>
        <v>0</v>
      </c>
      <c r="CW42" s="535">
        <f>IF(Sheet1!ER40="OTHER",DA42,0)</f>
        <v>0</v>
      </c>
      <c r="CX42" s="535">
        <f t="shared" si="150"/>
        <v>0</v>
      </c>
      <c r="CY42" s="535">
        <f t="shared" si="151"/>
        <v>6.47</v>
      </c>
      <c r="CZ42" s="535">
        <f t="shared" si="152"/>
        <v>6.412260783341595</v>
      </c>
      <c r="DA42" s="535">
        <f>IF(OR(Sheet1!ER40="FM", Sheet1!ER40="OTHER"),SUM(Sheet1!BK40:'Sheet1'!BM40),0)</f>
        <v>0</v>
      </c>
      <c r="DB42" s="1011">
        <f>IF(AND($B42&gt;=$FV42,$B42&lt;=$FW42),MAX($CT42,Sheet1!EK40,0),MAX($CT42-(7/36)*$K42,0))</f>
        <v>0</v>
      </c>
      <c r="DC42" s="1012">
        <f t="shared" si="153"/>
        <v>0</v>
      </c>
      <c r="DD42" s="1011">
        <f t="shared" si="183"/>
        <v>6.412260783341595</v>
      </c>
      <c r="DE42" s="521">
        <f>IF(AND($O42&gt;0,Sheet1!EO40=1),(1-($O42-Sheet1!$L40)/$O42)*CZ42,0)</f>
        <v>0</v>
      </c>
      <c r="DF42" s="521">
        <f>IF(AND(Sheet1!$L40=0,Sheet1!$L39=0, Calculation!CY42&lt;Sheet1!$EK40-0.1,Sheet1!$EK40=Sheet1!$EK39,Sheet1!$EK40=Sheet1!$EK41),CZ42-DE42,CZ42-DE42)</f>
        <v>6.412260783341595</v>
      </c>
      <c r="DG42" s="1040">
        <f t="shared" si="109"/>
        <v>12.568888888888889</v>
      </c>
      <c r="DH42" s="649">
        <f t="shared" si="154"/>
        <v>10.469999999999999</v>
      </c>
      <c r="DI42" s="535">
        <f t="shared" si="155"/>
        <v>0</v>
      </c>
      <c r="DJ42" s="649">
        <f t="shared" si="156"/>
        <v>10.376564204263756</v>
      </c>
      <c r="DK42" s="535">
        <f ca="1">IF(B42&gt;Summary!$A$1,#N/A,DI42*MGtoAF)</f>
        <v>0</v>
      </c>
      <c r="DL42" s="649">
        <f t="shared" si="157"/>
        <v>10.47</v>
      </c>
      <c r="DM42" s="535">
        <f t="shared" si="158"/>
        <v>20.170000000000002</v>
      </c>
      <c r="DN42" s="535">
        <f>Sheet1!AB40-DM42</f>
        <v>-0.18000000000000327</v>
      </c>
      <c r="DO42" s="743">
        <f t="shared" si="159"/>
        <v>-8.9241447694597548E-3</v>
      </c>
      <c r="DP42" s="535">
        <f>(VLOOKUP(Sheet1!DC40,hhdcap_wcm,4)-(((VLOOKUP(Sheet1!DC40,hhdcap_wcm,3)-Sheet1!DC40)/(VLOOKUP(Sheet1!DC40,hhdcap_wcm,3)-VLOOKUP(Sheet1!DC40,hhdcap_wcm,1)))*(VLOOKUP(Sheet1!DC40,hhdcap_wcm,4)-VLOOKUP(Sheet1!DC40,hhdcap_wcm,2))))</f>
        <v>1282.7000000033697</v>
      </c>
      <c r="DQ42" s="535">
        <f t="shared" si="160"/>
        <v>-27.000000000029559</v>
      </c>
      <c r="DR42" s="535">
        <f t="shared" si="161"/>
        <v>-13.615733736777385</v>
      </c>
      <c r="DS42" s="535">
        <f>Sheet1!EA40*AFtoMG</f>
        <v>0</v>
      </c>
      <c r="DT42" s="535">
        <f>Sheet1!EB40*AFtoMG</f>
        <v>0</v>
      </c>
      <c r="DU42" s="535">
        <f>Sheet1!EC40*AFtoMG</f>
        <v>0</v>
      </c>
      <c r="DV42" s="535">
        <f>Sheet1!ED40*AFtoMG</f>
        <v>0</v>
      </c>
      <c r="DW42" s="535">
        <f t="shared" si="162"/>
        <v>0</v>
      </c>
      <c r="DX42" s="535">
        <f t="shared" si="163"/>
        <v>0</v>
      </c>
      <c r="DY42" s="535">
        <f t="shared" si="164"/>
        <v>0</v>
      </c>
      <c r="DZ42" s="535">
        <f t="shared" si="165"/>
        <v>0</v>
      </c>
      <c r="EA42" s="535"/>
      <c r="EB42" s="521">
        <f>IF(OR(B42&lt;FV42,B42&gt;FW42),(MIN(BF42+BY42+CT42+MAX(Sheet1!AA40+AQ42-73,0),K42)),0)</f>
        <v>10.376564204263756</v>
      </c>
      <c r="EC42" s="535"/>
      <c r="ED42" s="535">
        <f t="shared" si="166"/>
        <v>10.376564204263756</v>
      </c>
      <c r="EE42" s="535"/>
      <c r="EF42" s="535">
        <f>Sheet1!EH40+Sheet1!EI40+Sheet1!EJ40+Sheet1!EK40</f>
        <v>10.5</v>
      </c>
      <c r="EG42" s="1019">
        <f t="shared" si="110"/>
        <v>16.243500000000001</v>
      </c>
      <c r="EH42" s="521">
        <f t="shared" si="167"/>
        <v>0</v>
      </c>
      <c r="EI42" s="535">
        <f>IF(Sheet1!ET40=1,SUM('Calculations II'!AT42:BA42)+'Calculations II'!BC42+Sheet1!BV40+'Calculations II'!BE42+AP42,'Calculations II'!BK42)</f>
        <v>34.323971795736242</v>
      </c>
      <c r="EJ42" s="535">
        <f ca="1">EI42+'Calculations II'!D42+'Calculations II'!E42+'Calculations II'!O42</f>
        <v>34.522500805886054</v>
      </c>
      <c r="EK42" s="535"/>
      <c r="EL42" s="535"/>
      <c r="EM42" s="535">
        <f t="shared" si="168"/>
        <v>42766</v>
      </c>
      <c r="EN42" s="535">
        <f t="shared" si="169"/>
        <v>0</v>
      </c>
      <c r="EO42" s="535">
        <f t="shared" si="170"/>
        <v>0</v>
      </c>
      <c r="EP42" s="535">
        <v>0</v>
      </c>
      <c r="EQ42" s="535">
        <v>0</v>
      </c>
      <c r="ER42" s="535">
        <v>0</v>
      </c>
      <c r="ES42" s="521">
        <f t="shared" si="71"/>
        <v>0.83069719548622523</v>
      </c>
      <c r="ET42" s="535">
        <f>-(VLOOKUP(Sheet1!BQ40,Lookup!$O$4:$Q$262,2)-VLOOKUP(Sheet1!BQ39,Lookup!$O$4:$Q$262,2))/1000000</f>
        <v>0.41528131951032576</v>
      </c>
      <c r="EU42" s="535">
        <f>-(VLOOKUP(Sheet1!BR40,Lookup!$O$4:$Q$262,3)-VLOOKUP(Sheet1!BR39,Lookup!$O$4:$Q$262,3))/1000000</f>
        <v>0.41541587597589941</v>
      </c>
      <c r="EV42" s="535"/>
      <c r="EW42" s="535"/>
      <c r="EX42" s="535"/>
      <c r="EY42" s="535"/>
      <c r="EZ42" s="535"/>
      <c r="FA42" s="535"/>
      <c r="FB42" s="535"/>
      <c r="FC42" s="535"/>
      <c r="FD42" s="567" t="e">
        <f t="shared" si="171"/>
        <v>#N/A</v>
      </c>
      <c r="FE42" s="567" t="e">
        <f t="shared" si="172"/>
        <v>#N/A</v>
      </c>
      <c r="FF42" s="568" t="e">
        <f t="shared" si="173"/>
        <v>#N/A</v>
      </c>
      <c r="FG42" s="569" t="s">
        <v>656</v>
      </c>
      <c r="FH42" s="569" t="s">
        <v>656</v>
      </c>
      <c r="FI42" s="567" t="e">
        <v>#N/A</v>
      </c>
      <c r="FJ42" s="567" t="e">
        <v>#N/A</v>
      </c>
      <c r="FK42" s="535"/>
      <c r="FL42" s="1015">
        <v>0</v>
      </c>
      <c r="FM42" s="535"/>
      <c r="FN42" s="535"/>
      <c r="FO42" s="535">
        <f>O42+((Sheet1!CS40)*GPMtoMGD)</f>
        <v>44.59</v>
      </c>
      <c r="FP42" s="535">
        <f>IF(Sheet1!AA40+AQ42&lt;=Calculation!N42,AQ42,Calculation!N42-Sheet1!AA40)</f>
        <v>9.6134357957362404</v>
      </c>
      <c r="FQ42" s="535">
        <f>(Sheet1!BP40+Sheet1!BO40)/694.4</f>
        <v>1.2010368663594471</v>
      </c>
      <c r="FR42" s="541"/>
      <c r="FS42" s="541"/>
      <c r="FT42" s="541"/>
      <c r="FU42" s="541"/>
      <c r="FV42" s="1109">
        <f t="shared" si="74"/>
        <v>42918</v>
      </c>
      <c r="FW42" s="1109">
        <f t="shared" si="75"/>
        <v>43027</v>
      </c>
      <c r="FX42" s="541"/>
      <c r="FY42" s="541">
        <f>Sheet1!DA40-Sheet1!CZ40-Sheet1!AE40</f>
        <v>286.01927000000001</v>
      </c>
      <c r="FZ42" s="535">
        <f t="shared" si="111"/>
        <v>0.50410151815402848</v>
      </c>
      <c r="GA42" s="535"/>
      <c r="GB42" s="535" t="str">
        <f t="shared" si="76"/>
        <v>n</v>
      </c>
      <c r="GC42" s="539">
        <f t="shared" si="77"/>
        <v>42782</v>
      </c>
      <c r="GD42" s="1109">
        <f t="shared" si="78"/>
        <v>42904</v>
      </c>
      <c r="GE42" s="535">
        <f t="shared" si="95"/>
        <v>6520</v>
      </c>
      <c r="GF42" s="1109">
        <f t="shared" si="79"/>
        <v>42909</v>
      </c>
      <c r="GG42" s="535">
        <f t="shared" si="174"/>
        <v>3260</v>
      </c>
      <c r="GH42" s="539">
        <f t="shared" si="80"/>
        <v>43040</v>
      </c>
      <c r="GJ42" s="521">
        <f t="shared" si="81"/>
        <v>0</v>
      </c>
      <c r="GK42" s="535" t="str">
        <f t="shared" si="175"/>
        <v/>
      </c>
      <c r="GL42" s="535">
        <f t="shared" si="82"/>
        <v>0</v>
      </c>
      <c r="GM42" s="535" t="str">
        <f t="shared" si="83"/>
        <v/>
      </c>
      <c r="GN42" s="535">
        <f>IF(GK42="P",Lookup!$M$12,IF(GK42="PP",Lookup!$M$13,IF(GK42="PPP",Lookup!$M$14,IF(GK42="T",Lookup!$M$15,IF(GK42="TP",Lookup!$M$16,IF(GK42="TPP",Lookup!$M$17,IF(GK42="TPPP",Lookup!$M$18,0)))))))*GJ42</f>
        <v>0</v>
      </c>
      <c r="GO42" s="535">
        <f t="shared" si="84"/>
        <v>0</v>
      </c>
      <c r="GP42" s="535">
        <f t="shared" si="176"/>
        <v>0</v>
      </c>
      <c r="GQ42" s="535">
        <f t="shared" si="94"/>
        <v>0</v>
      </c>
      <c r="GR42" s="535"/>
      <c r="GS42" s="535">
        <f t="shared" si="85"/>
        <v>0</v>
      </c>
      <c r="GT42" s="535" t="str">
        <f t="shared" si="86"/>
        <v/>
      </c>
      <c r="GU42" s="535">
        <f>IF(GK42="P",Lookup!$N$12,IF(GK42="PP",Lookup!$N$13,IF(GK42="PPP",Lookup!$N$14,IF(GK42="T",Lookup!$N$15,IF(GK42="TP",Lookup!$N$16,IF(GK42="TPP",Lookup!$N$17,IF(GK42="TPPP",Lookup!$N$18,0)))))))*GJ42</f>
        <v>0</v>
      </c>
      <c r="GV42" s="535">
        <f t="shared" si="53"/>
        <v>0</v>
      </c>
      <c r="GW42" s="535">
        <f t="shared" si="177"/>
        <v>0</v>
      </c>
      <c r="GX42" s="535">
        <f t="shared" si="91"/>
        <v>0</v>
      </c>
      <c r="GY42" s="535"/>
      <c r="GZ42" s="535">
        <f t="shared" si="87"/>
        <v>0</v>
      </c>
      <c r="HA42" s="535" t="str">
        <f t="shared" si="88"/>
        <v/>
      </c>
      <c r="HB42" s="535">
        <f>IF(GK42="P",Lookup!$N$12,IF(GK42="PP",Lookup!$N$13,IF(GK42="PPP",Lookup!$N$14,IF(GK42="T",Lookup!$N$15,IF(GK42="TP",Lookup!$N$16,IF(GK42="TPP",Lookup!$N$17,IF(GK42="TPPP",Lookup!$N$18,0)))))))*GJ42</f>
        <v>0</v>
      </c>
      <c r="HC42" s="521">
        <f t="shared" si="178"/>
        <v>0</v>
      </c>
      <c r="HD42" s="535">
        <f t="shared" si="179"/>
        <v>0</v>
      </c>
      <c r="HE42" s="535">
        <f t="shared" si="92"/>
        <v>0</v>
      </c>
      <c r="HF42" s="535"/>
      <c r="HG42" s="535">
        <f t="shared" si="89"/>
        <v>0</v>
      </c>
      <c r="HH42" s="535" t="str">
        <f t="shared" si="90"/>
        <v/>
      </c>
      <c r="HI42" s="535">
        <f>IF(GK42="P",Lookup!$N$12,IF(GK42="PP",Lookup!$N$13,IF(GK42="PPP",Lookup!$N$14,IF(GK42="T",Lookup!$N$15,IF(GK42="TP",Lookup!$N$16,IF(GK42="TPP",Lookup!$N$17,IF(GK42="TPPP",Lookup!$N$18,0)))))))*GJ42</f>
        <v>0</v>
      </c>
      <c r="HJ42" s="521">
        <f t="shared" si="180"/>
        <v>0</v>
      </c>
      <c r="HK42" s="535">
        <f t="shared" si="181"/>
        <v>0</v>
      </c>
      <c r="HL42" s="535">
        <f t="shared" si="93"/>
        <v>0</v>
      </c>
      <c r="HM42" s="535"/>
      <c r="HN42" s="541"/>
      <c r="HO42" s="541"/>
      <c r="HP42" s="541"/>
      <c r="HQ42" s="541">
        <f>IF(AND(B42&gt;=$FV$4,B42&lt;=$FW$4),MAX(110/1.02+$HQ$6+MIN(113/1.02,G42),IF($HV$6-(Sheet1!DA40-Sheet1!DB40)+MIN(113/1.02,G42)&lt;G42+FL42,$HV$6-(Sheet1!DA40-Sheet1!DB40)+MIN(113/1.02,G42),G42+FL42)),MIN(110/1.02+$HQ$6+113/1.02,G42))</f>
        <v>218.62745098039215</v>
      </c>
      <c r="HR42" s="541">
        <f t="shared" si="112"/>
        <v>223</v>
      </c>
      <c r="HS42" s="541">
        <f>HR42+(Sheet1!DA40-Sheet1!DB40)</f>
        <v>630</v>
      </c>
      <c r="HT42" s="541">
        <f t="shared" si="113"/>
        <v>0</v>
      </c>
      <c r="HU42" s="541">
        <f t="shared" si="114"/>
        <v>630</v>
      </c>
      <c r="HV42" s="541">
        <f t="shared" si="115"/>
        <v>0</v>
      </c>
      <c r="HW42" s="533" t="str">
        <f t="shared" si="116"/>
        <v/>
      </c>
      <c r="HX42" s="541">
        <f t="shared" si="117"/>
        <v>362.37254901960785</v>
      </c>
      <c r="HY42" s="541">
        <f>Sheet1!CZ40</f>
        <v>581</v>
      </c>
      <c r="HZ42" s="541">
        <f t="shared" si="118"/>
        <v>0</v>
      </c>
      <c r="IA42" s="541">
        <f t="shared" si="119"/>
        <v>0</v>
      </c>
      <c r="IB42" s="541">
        <f t="shared" si="120"/>
        <v>581</v>
      </c>
      <c r="IC42" s="1019" t="str">
        <f t="shared" si="121"/>
        <v/>
      </c>
      <c r="ID42" s="541">
        <f t="shared" si="122"/>
        <v>581</v>
      </c>
      <c r="IE42" s="541">
        <f>Sheet1!DB40</f>
        <v>529</v>
      </c>
      <c r="IF42" s="533">
        <f>Sheet1!DA40</f>
        <v>936</v>
      </c>
      <c r="IH42" s="541">
        <f>IF(AND($B42&gt;=$GC42,$B42&lt;=$GH42,$DR42&lt;0)+N("only adjusted when pool is drawn down during storage season"),Sheet1!$DB40+$DR42+N("Palmer minus all storage release"),Sheet1!$DB40)</f>
        <v>529</v>
      </c>
      <c r="II42" s="541">
        <f>IF(AND($B42&gt;=$GC42,$B42&lt;=$GH42,$DR42&lt;0)+N("only adjusted when pool is drawn down during storage season"),Sheet1!$DA40+$DR42+N("Auburn minus all storage release"),Sheet1!$DA40)</f>
        <v>936</v>
      </c>
    </row>
    <row r="43" spans="1:243" x14ac:dyDescent="0.25">
      <c r="A43" s="553" t="s">
        <v>6</v>
      </c>
      <c r="B43" s="531">
        <v>42767</v>
      </c>
      <c r="C43" s="536">
        <v>0</v>
      </c>
      <c r="D43" s="506">
        <f t="shared" si="0"/>
        <v>300</v>
      </c>
      <c r="E43" s="506">
        <f t="shared" si="1"/>
        <v>250</v>
      </c>
      <c r="F43" s="506">
        <v>250</v>
      </c>
      <c r="G43" s="535">
        <f>DR43+Sheet1!CZ41</f>
        <v>520.60010085738554</v>
      </c>
      <c r="H43" s="1074">
        <f t="shared" si="96"/>
        <v>164.673134272</v>
      </c>
      <c r="I43" s="534">
        <f>IF(Sheet1!DA41&gt;=E43,(Sheet1!DA41-E43+P43)*CFStoMGD,0)</f>
        <v>472.35953427199996</v>
      </c>
      <c r="J43" s="995">
        <f>IF(Sheet1!DB41&gt;=D43,(Sheet1!DB41-D43+P43)*CFStoMGD,0)</f>
        <v>164.673134272</v>
      </c>
      <c r="K43" s="818">
        <f t="shared" si="97"/>
        <v>64.64</v>
      </c>
      <c r="L43" s="535">
        <f>Sheet1!AA41+Sheet1!AB41-Sheet1!L41+(Sheet1!DA41-F43)*CFStoMGD-S43-T43-U43</f>
        <v>427.2704</v>
      </c>
      <c r="M43" s="535">
        <f t="shared" ref="M43:M106" si="185">1.02*CFStoMGD*G43</f>
        <v>343.2462232980983</v>
      </c>
      <c r="N43" s="824">
        <f>IF(Sheet1!DA41&gt;=F43,MIN(113*CFStoMGD,MIN(MAX(L43,0),MAX(M43,0))),0)</f>
        <v>73.043199999999999</v>
      </c>
      <c r="O43" s="538">
        <f>Sheet1!AA41+Sheet1!AB41</f>
        <v>45.09</v>
      </c>
      <c r="P43" s="538">
        <f t="shared" ref="P43:P106" si="186">AE43+AF43</f>
        <v>69.754229999999993</v>
      </c>
      <c r="Q43" s="812">
        <f t="shared" si="98"/>
        <v>0</v>
      </c>
      <c r="R43" s="812">
        <f t="shared" si="59"/>
        <v>10.398916827852998</v>
      </c>
      <c r="S43" s="812">
        <f t="shared" si="60"/>
        <v>45.09</v>
      </c>
      <c r="T43" s="812">
        <f t="shared" si="61"/>
        <v>0</v>
      </c>
      <c r="U43" s="812">
        <f t="shared" si="99"/>
        <v>0</v>
      </c>
      <c r="V43" s="812"/>
      <c r="W43" s="812">
        <f t="shared" si="62"/>
        <v>54.241083172147</v>
      </c>
      <c r="X43" s="812">
        <f t="shared" si="63"/>
        <v>45.09</v>
      </c>
      <c r="Y43" s="812" t="str">
        <f t="shared" si="64"/>
        <v/>
      </c>
      <c r="Z43" s="812">
        <f t="shared" si="65"/>
        <v>45.09</v>
      </c>
      <c r="AA43" s="812">
        <f t="shared" si="66"/>
        <v>45.09</v>
      </c>
      <c r="AB43" s="1059">
        <f t="shared" si="100"/>
        <v>0</v>
      </c>
      <c r="AC43" s="538">
        <f>Sheet1!Y41*MGDtoCFS</f>
        <v>38.056200000000004</v>
      </c>
      <c r="AD43" s="538">
        <f>Sheet1!Z41*MGDtoCFS</f>
        <v>30.924529999999997</v>
      </c>
      <c r="AE43" s="538">
        <f>Sheet1!AA41*MGDtoCFS</f>
        <v>38.009789999999995</v>
      </c>
      <c r="AF43" s="538">
        <f>Sheet1!AB41*MGDtoCFS</f>
        <v>31.744439999999997</v>
      </c>
      <c r="AG43" s="538">
        <f>Sheet1!L41*MGDtoCFS</f>
        <v>0</v>
      </c>
      <c r="AH43" s="521">
        <f t="shared" ref="AH43:AH106" si="187">AU43+BN43+CI43+DB43</f>
        <v>0</v>
      </c>
      <c r="AI43" s="1059">
        <f t="shared" ref="AI43:AI106" si="188">AH43*MGDtoCFS</f>
        <v>0</v>
      </c>
      <c r="AJ43" s="535">
        <f t="shared" ref="AJ43:AJ106" si="189">IF(B43&gt;=GC43,IF(B43&lt;=GD43,K43-EB43,0),0)</f>
        <v>0</v>
      </c>
      <c r="AK43" s="535">
        <f t="shared" ref="AK43:AK106" si="190">AJ43*MGDtoCFS</f>
        <v>0</v>
      </c>
      <c r="AL43" s="535">
        <f>(VLOOKUP(Sheet1!DC41,hhdcap_wcm,4)-(((VLOOKUP(Sheet1!DC41,hhdcap_wcm,3)-Sheet1!DC41)/(VLOOKUP(Sheet1!DC41,hhdcap_wcm,3)-VLOOKUP(Sheet1!DC41,hhdcap_wcm,1)))*(VLOOKUP(Sheet1!DC41,hhdcap_wcm,4)-VLOOKUP(Sheet1!DC41,hhdcap_wcm,2))))</f>
        <v>1224.4000000035653</v>
      </c>
      <c r="AM43" s="535">
        <f t="shared" ref="AM43:AM106" si="191">AL43-AL42</f>
        <v>-58.299999999804413</v>
      </c>
      <c r="AN43" s="1035">
        <f t="shared" ref="AN43:AN106" si="192">(IF(AND(B43&gt;=GC43,B43&lt;GF43),MIN(BB43+BU43+CP43+DI43,GE43),IF(B43=GF43,GG43,IF(AND(B43&gt;GF43,B43&lt;GH43),BB43+BU43+CP43+DI43,IF(B43&gt;=GH43,0,0)))))</f>
        <v>0</v>
      </c>
      <c r="AO43" s="535">
        <f t="shared" ref="AO43:AO106" si="193">AN43*MGtoAF</f>
        <v>0</v>
      </c>
      <c r="AP43" s="535">
        <f>Sheet1!BA41+Sheet1!BB41+Sheet1!BN41+CD43</f>
        <v>10.199999999999999</v>
      </c>
      <c r="AQ43" s="535">
        <f>Sheet1!BN41+(DO43*Sheet1!BN41)</f>
        <v>10.121083172147001</v>
      </c>
      <c r="AR43" s="535">
        <f>Sheet1!BA41+CD43</f>
        <v>0</v>
      </c>
      <c r="AS43" s="535">
        <f>Sheet1!BA41+Sheet1!BB41+CD43</f>
        <v>0</v>
      </c>
      <c r="AT43" s="649">
        <f>0</f>
        <v>0</v>
      </c>
      <c r="AU43" s="535">
        <f>IF(EB43&lt;K43,0,MAX(Sheet1!AA41+AQ43-15/36*K43-N43,Sheet1!EH41,0))</f>
        <v>0</v>
      </c>
      <c r="AV43" s="535">
        <f>IF(OR(B43&gt;=GD43,B43&lt;GC43),0,15/36*K43-MAX(0,64.6-(137.6-(Sheet1!AA41+Sheet1!AB41))))</f>
        <v>0</v>
      </c>
      <c r="AW43" s="1029"/>
      <c r="AX43" s="649"/>
      <c r="AY43" s="649">
        <f t="shared" si="101"/>
        <v>0</v>
      </c>
      <c r="AZ43" s="649">
        <f t="shared" si="102"/>
        <v>0</v>
      </c>
      <c r="BA43" s="1059">
        <f t="shared" si="103"/>
        <v>0</v>
      </c>
      <c r="BB43" s="1019">
        <f t="shared" ref="BB43:BB106" si="194">GO43+GQ43</f>
        <v>0</v>
      </c>
      <c r="BC43" s="1041">
        <f t="shared" si="104"/>
        <v>26.933333333333334</v>
      </c>
      <c r="BD43" s="1019">
        <f ca="1">IF(B43&gt;Summary!$A$1,#N/A,BB43*MGtoAF)</f>
        <v>0</v>
      </c>
      <c r="BE43" s="535">
        <f>Sheet1!BG41+Sheet1!BH41+Sheet1!BI41-BM43</f>
        <v>1.01</v>
      </c>
      <c r="BF43" s="535">
        <f t="shared" ref="BF43:BF106" si="195">BE43+(DO43*BE43)</f>
        <v>1.0021856866537717</v>
      </c>
      <c r="BG43" s="535">
        <f>IF(Sheet1!EP41="FM",BM43,0)</f>
        <v>0</v>
      </c>
      <c r="BH43" s="535">
        <f t="shared" ref="BH43:BH106" si="196">BG43+(DO43*BG43)</f>
        <v>0</v>
      </c>
      <c r="BI43" s="535">
        <f>IF(Sheet1!EP41="OTHER",BM43,0)</f>
        <v>0</v>
      </c>
      <c r="BJ43" s="535">
        <f t="shared" ref="BJ43:BJ106" si="197">BI43+(DO43*BI43)</f>
        <v>0</v>
      </c>
      <c r="BK43" s="535">
        <f t="shared" ref="BK43:BK106" si="198">MAX(BE43,BG43,BI43)</f>
        <v>1.01</v>
      </c>
      <c r="BL43" s="535">
        <f t="shared" ref="BL43:BL106" si="199">MAX(BF43,BH43,BJ43)</f>
        <v>1.0021856866537717</v>
      </c>
      <c r="BM43" s="535">
        <f>IF(OR(Sheet1!EP41="FM", Sheet1!EP41="OTHER"),SUM(Sheet1!BG41:'Sheet1'!BI41),0)</f>
        <v>0</v>
      </c>
      <c r="BN43" s="521">
        <f>IF(AND($B43&gt;=$FV43,$B43&lt;=$FW43),MAX(BF43,Sheet1!EI41,0),MAX(BF43-(7/36)*$K43,0))</f>
        <v>0</v>
      </c>
      <c r="BO43" s="535">
        <f t="shared" ref="BO43:BO106" si="200">IF(B43&gt;=GC43,IF(B43&lt;=GD43,(7/36)*K43-BF43,0),0)</f>
        <v>0</v>
      </c>
      <c r="BP43" s="521">
        <f t="shared" ref="BP43:BP106" si="201">MAX(BL43-BN43,0)</f>
        <v>1.0021856866537717</v>
      </c>
      <c r="BQ43" s="521">
        <f>IF(AND($O43&gt;0,Sheet1!EM41=1),(1-($O43-Sheet1!$L41)/$O43)*BL43,0)</f>
        <v>0</v>
      </c>
      <c r="BR43" s="521">
        <f>IF(AND(Sheet1!$L41=0,Sheet1!$L40=0, Calculation!BK43&lt;Sheet1!$EI41-0.1,Sheet1!$EI41=Sheet1!$EI40,Sheet1!$EI41=Sheet1!$EI42),BL43-BQ43,BL43-BQ43)</f>
        <v>1.0021856866537717</v>
      </c>
      <c r="BS43" s="1035" t="str">
        <f t="shared" si="105"/>
        <v/>
      </c>
      <c r="BT43" s="1035">
        <f t="shared" si="106"/>
        <v>12.568888888888889</v>
      </c>
      <c r="BU43" s="535">
        <f t="shared" ref="BU43:BU106" si="202">GV43+GX43</f>
        <v>0</v>
      </c>
      <c r="BV43" s="535"/>
      <c r="BW43" s="535">
        <f ca="1">IF(B43&gt;Summary!$A$1,#N/A,BU43*MGtoAF)</f>
        <v>0</v>
      </c>
      <c r="BX43" s="535">
        <f>Sheet1!BC41+Sheet1!BD41+Sheet1!BE41+Sheet1!BF41-CG43-CH43</f>
        <v>2.99</v>
      </c>
      <c r="BY43" s="535">
        <f t="shared" ref="BY43:BY106" si="203">BX43+(DO43*BX43)</f>
        <v>2.9668665377176016</v>
      </c>
      <c r="BZ43" s="535">
        <f>IF(Sheet1!EQ41="FM",CH43,0)</f>
        <v>0</v>
      </c>
      <c r="CA43" s="535">
        <f t="shared" ref="CA43:CA106" si="204">BZ43+(DO43*BZ43)</f>
        <v>0</v>
      </c>
      <c r="CB43" s="535">
        <f>IF(Sheet1!EQ41="OTHER",CH43,0)</f>
        <v>0</v>
      </c>
      <c r="CC43" s="535">
        <f t="shared" ref="CC43:CC106" si="205">CB43+(DO43*CB43)</f>
        <v>0</v>
      </c>
      <c r="CD43" s="535">
        <f t="shared" ref="CD43:CD106" si="206">CG43</f>
        <v>0</v>
      </c>
      <c r="CE43" s="535">
        <f t="shared" ref="CE43:CE106" si="207">MAX(BX43,BZ43,CB43)</f>
        <v>2.99</v>
      </c>
      <c r="CF43" s="535">
        <f t="shared" ref="CF43:CF106" si="208">MAX(BY43,CA43, CC43)</f>
        <v>2.9668665377176016</v>
      </c>
      <c r="CG43" s="535">
        <f>IF(Sheet1!EQ41="CWA",SUM(Sheet1!BC41:'Sheet1'!BF41),0)</f>
        <v>0</v>
      </c>
      <c r="CH43" s="535">
        <f>IF(OR(Sheet1!EQ41="FM", Sheet1!EQ41="OTHER"),SUM(Sheet1!BC41:'Sheet1'!BF41),0)</f>
        <v>0</v>
      </c>
      <c r="CI43" s="521">
        <f>IF(AND($B43&gt;=$FV43,$B43&lt;=$FW43),MAX(CF43,Sheet1!EJ41,0),MAX(CF43-(7/36)*$K43,0))</f>
        <v>0</v>
      </c>
      <c r="CJ43" s="535">
        <f t="shared" ref="CJ43:CJ106" si="209">IF(B43&gt;=GC43,IF(B43&lt;=GD43,(7/36)*K43-BY43,0),0)</f>
        <v>0</v>
      </c>
      <c r="CK43" s="521">
        <f t="shared" ref="CK43:CK106" si="210">MAX(CF43-CI43,0)</f>
        <v>2.9668665377176016</v>
      </c>
      <c r="CL43" s="521">
        <f>IF(AND($O43&gt;0,Sheet1!EN41=1),(1-($O43-Sheet1!$L41)/$O43)*CF43,0)</f>
        <v>0</v>
      </c>
      <c r="CM43" s="521">
        <f>IF(AND(Sheet1!$L41=0,Sheet1!$L40=0, Calculation!CE43&lt;Sheet1!EJ41-0.1,Sheet1!EJ41=Sheet1!EJ40,Sheet1!EJ41=Sheet1!EJ42),CF43-CL43,CF43-CL43)</f>
        <v>2.9668665377176016</v>
      </c>
      <c r="CN43" s="1040" t="str">
        <f t="shared" si="107"/>
        <v/>
      </c>
      <c r="CO43" s="1035">
        <f t="shared" si="108"/>
        <v>12.568888888888889</v>
      </c>
      <c r="CP43" s="535">
        <f t="shared" ref="CP43:CP106" si="211">HC43+HE43</f>
        <v>0</v>
      </c>
      <c r="CQ43" s="535"/>
      <c r="CR43" s="535">
        <f ca="1">IF(B43&gt;Summary!$A$1,#N/A,CP43*MGtoAF)</f>
        <v>0</v>
      </c>
      <c r="CS43" s="535">
        <f>Sheet1!BK41+Sheet1!BL41+Sheet1!BM41-Sheet1!ER41-DA43</f>
        <v>6.48</v>
      </c>
      <c r="CT43" s="535">
        <f t="shared" ref="CT43:CT106" si="212">CS43+(DO43*CS43)</f>
        <v>6.4298646034816249</v>
      </c>
      <c r="CU43" s="535">
        <f>IF(Sheet1!ER41="FM",DA43,0)</f>
        <v>0</v>
      </c>
      <c r="CV43" s="535">
        <f t="shared" ref="CV43:CV106" si="213">CU43+(DO43*CU43)</f>
        <v>0</v>
      </c>
      <c r="CW43" s="535">
        <f>IF(Sheet1!ER41="OTHER",DA43,0)</f>
        <v>0</v>
      </c>
      <c r="CX43" s="535">
        <f t="shared" ref="CX43:CX106" si="214">CW43+(DO43*CW43)</f>
        <v>0</v>
      </c>
      <c r="CY43" s="535">
        <f t="shared" ref="CY43:CY106" si="215">MAX(CS43,CU43)</f>
        <v>6.48</v>
      </c>
      <c r="CZ43" s="535">
        <f t="shared" ref="CZ43:CZ106" si="216">MAX(CT43,CV43)</f>
        <v>6.4298646034816249</v>
      </c>
      <c r="DA43" s="535">
        <f>IF(OR(Sheet1!ER41="FM", Sheet1!ER41="OTHER"),SUM(Sheet1!BK41:'Sheet1'!BM41),0)</f>
        <v>0</v>
      </c>
      <c r="DB43" s="1011">
        <f>IF(AND($B43&gt;=$FV43,$B43&lt;=$FW43),MAX($CT43,Sheet1!EK41,0),MAX($CT43-(7/36)*$K43,0))</f>
        <v>0</v>
      </c>
      <c r="DC43" s="1012">
        <f t="shared" ref="DC43:DC106" si="217">IF(B43&gt;=GC43,IF(B43&lt;=GD43,(7/36)*K43-CT43,0),0)</f>
        <v>0</v>
      </c>
      <c r="DD43" s="1011">
        <f t="shared" ref="DD43:DD106" si="218">MAX(CZ43-DB43,0)</f>
        <v>6.4298646034816249</v>
      </c>
      <c r="DE43" s="521">
        <f>IF(AND($O43&gt;0,Sheet1!EO41=1),(1-($O43-Sheet1!$L41)/$O43)*CZ43,0)</f>
        <v>0</v>
      </c>
      <c r="DF43" s="521">
        <f>IF(AND(Sheet1!$L41=0,Sheet1!$L40=0, Calculation!CY43&lt;Sheet1!$EK41-0.1,Sheet1!$EK41=Sheet1!$EK40,Sheet1!$EK41=Sheet1!$EK42),CZ43-DE43,CZ43-DE43)</f>
        <v>6.4298646034816249</v>
      </c>
      <c r="DG43" s="1040">
        <f t="shared" si="109"/>
        <v>12.568888888888889</v>
      </c>
      <c r="DH43" s="649">
        <f t="shared" ref="DH43:DH106" si="219">BK43+CE43+CY43</f>
        <v>10.48</v>
      </c>
      <c r="DI43" s="535">
        <f t="shared" ref="DI43:DI106" si="220">HJ43+HL43</f>
        <v>0</v>
      </c>
      <c r="DJ43" s="649">
        <f t="shared" ref="DJ43:DJ106" si="221">BL43+CF43+CZ43</f>
        <v>10.398916827852998</v>
      </c>
      <c r="DK43" s="535">
        <f ca="1">IF(B43&gt;Summary!$A$1,#N/A,DI43*MGtoAF)</f>
        <v>0</v>
      </c>
      <c r="DL43" s="649">
        <f t="shared" ref="DL43:DL106" si="222">CY43+CE43+BK43</f>
        <v>10.48</v>
      </c>
      <c r="DM43" s="535">
        <f t="shared" ref="DM43:DM106" si="223">DL43+AP43</f>
        <v>20.68</v>
      </c>
      <c r="DN43" s="535">
        <f>Sheet1!AB41-DM43</f>
        <v>-0.16000000000000014</v>
      </c>
      <c r="DO43" s="743">
        <f t="shared" ref="DO43:DO106" si="224">IF(DM43=0,0,DN43/DM43)</f>
        <v>-7.7369439071566801E-3</v>
      </c>
      <c r="DP43" s="535">
        <f>(VLOOKUP(Sheet1!DC41,hhdcap_wcm,4)-(((VLOOKUP(Sheet1!DC41,hhdcap_wcm,3)-Sheet1!DC41)/(VLOOKUP(Sheet1!DC41,hhdcap_wcm,3)-VLOOKUP(Sheet1!DC41,hhdcap_wcm,1)))*(VLOOKUP(Sheet1!DC41,hhdcap_wcm,4)-VLOOKUP(Sheet1!DC41,hhdcap_wcm,2))))</f>
        <v>1224.4000000035653</v>
      </c>
      <c r="DQ43" s="535">
        <f t="shared" ref="DQ43:DQ106" si="225">DP43-DP42</f>
        <v>-58.299999999804413</v>
      </c>
      <c r="DR43" s="535">
        <f t="shared" ref="DR43:DR106" si="226">DQ43*AFtoCFS</f>
        <v>-29.399899142614426</v>
      </c>
      <c r="DS43" s="535">
        <f>Sheet1!EA41*AFtoMG</f>
        <v>0</v>
      </c>
      <c r="DT43" s="535">
        <f>Sheet1!EB41*AFtoMG</f>
        <v>0</v>
      </c>
      <c r="DU43" s="535">
        <f>Sheet1!EC41*AFtoMG</f>
        <v>0</v>
      </c>
      <c r="DV43" s="535">
        <f>Sheet1!ED41*AFtoMG</f>
        <v>0</v>
      </c>
      <c r="DW43" s="535">
        <f t="shared" ref="DW43:DW106" si="227">SUM(DS43:DV43)</f>
        <v>0</v>
      </c>
      <c r="DX43" s="535">
        <f t="shared" ref="DX43:DX106" si="228">DW43*MGtoAF</f>
        <v>0</v>
      </c>
      <c r="DY43" s="535">
        <f t="shared" ref="DY43:DY106" si="229">AN43</f>
        <v>0</v>
      </c>
      <c r="DZ43" s="535">
        <f t="shared" ref="DZ43:DZ106" si="230">DY43*MGtoAF</f>
        <v>0</v>
      </c>
      <c r="EA43" s="535"/>
      <c r="EB43" s="521">
        <f>IF(OR(B43&lt;FV43,B43&gt;FW43),(MIN(BF43+BY43+CT43+MAX(Sheet1!AA41+AQ43-73,0),K43)),0)</f>
        <v>10.398916827852998</v>
      </c>
      <c r="EC43" s="535"/>
      <c r="ED43" s="535">
        <f t="shared" ref="ED43:ED106" si="231">CT43+BF43+BY43</f>
        <v>10.398916827852998</v>
      </c>
      <c r="EE43" s="535"/>
      <c r="EF43" s="535">
        <f>Sheet1!EH41+Sheet1!EI41+Sheet1!EJ41+Sheet1!EK41</f>
        <v>10.5</v>
      </c>
      <c r="EG43" s="1019">
        <f t="shared" si="110"/>
        <v>16.243500000000001</v>
      </c>
      <c r="EH43" s="521">
        <f t="shared" ref="EH43:EH106" si="232">EB43-BP43-CK43-DD43</f>
        <v>0</v>
      </c>
      <c r="EI43" s="535">
        <f>IF(Sheet1!ET41=1,SUM('Calculations II'!AT43:BA43)+'Calculations II'!BC43+Sheet1!BV41+'Calculations II'!BE43+AP43,'Calculations II'!BK43)</f>
        <v>37.154911172147003</v>
      </c>
      <c r="EJ43" s="535">
        <f ca="1">EI43+'Calculations II'!D43+'Calculations II'!E43+'Calculations II'!O43</f>
        <v>35.476646416276353</v>
      </c>
      <c r="EK43" s="535"/>
      <c r="EL43" s="535"/>
      <c r="EM43" s="535">
        <f t="shared" ref="EM43:EM106" si="233">B43</f>
        <v>42767</v>
      </c>
      <c r="EN43" s="535">
        <f t="shared" ref="EN43:EN106" si="234">AJ43-AH43</f>
        <v>0</v>
      </c>
      <c r="EO43" s="535">
        <f t="shared" ref="EO43:EO106" si="235">AK43-AI43</f>
        <v>0</v>
      </c>
      <c r="EP43" s="535">
        <v>0</v>
      </c>
      <c r="EQ43" s="535">
        <v>0</v>
      </c>
      <c r="ER43" s="535">
        <v>0</v>
      </c>
      <c r="ES43" s="521">
        <f t="shared" si="71"/>
        <v>3.0449030642069617</v>
      </c>
      <c r="ET43" s="535">
        <f>-(VLOOKUP(Sheet1!BQ41,Lookup!$O$4:$Q$262,2)-VLOOKUP(Sheet1!BQ40,Lookup!$O$4:$Q$262,2))/1000000</f>
        <v>1.52220488508204</v>
      </c>
      <c r="EU43" s="535">
        <f>-(VLOOKUP(Sheet1!BR41,Lookup!$O$4:$Q$262,3)-VLOOKUP(Sheet1!BR40,Lookup!$O$4:$Q$262,3))/1000000</f>
        <v>1.5226981791249217</v>
      </c>
      <c r="EV43" s="535"/>
      <c r="EW43" s="535"/>
      <c r="EX43" s="535"/>
      <c r="EY43" s="535"/>
      <c r="EZ43" s="535"/>
      <c r="FA43" s="535"/>
      <c r="FB43" s="535"/>
      <c r="FC43" s="535"/>
      <c r="FD43" s="567" t="e">
        <f t="shared" ref="FD43:FD106" si="236">VLOOKUP(FJ42,hhdelev_wcm,4) -(((VLOOKUP(FJ42,hhdelev_wcm,3)-FJ42)/(VLOOKUP(FJ42,hhdelev_wcm,3)-VLOOKUP(FJ42,hhdelev_wcm,1)))*(VLOOKUP(FJ42,hhdelev_wcm,4)-VLOOKUP(FJ42,hhdelev_wcm,2)))</f>
        <v>#N/A</v>
      </c>
      <c r="FE43" s="567" t="e">
        <f t="shared" ref="FE43:FE106" si="237">MAX((FE42-FI43*1.983),0)</f>
        <v>#N/A</v>
      </c>
      <c r="FF43" s="568" t="e">
        <f t="shared" ref="FF43:FF106" si="238">IF(DP43-AO43-FE43-1220&lt;0,0,DP43-AO43-FE43-1220)</f>
        <v>#N/A</v>
      </c>
      <c r="FG43" s="569" t="s">
        <v>656</v>
      </c>
      <c r="FH43" s="569" t="s">
        <v>656</v>
      </c>
      <c r="FI43" s="567" t="e">
        <v>#N/A</v>
      </c>
      <c r="FJ43" s="567" t="e">
        <v>#N/A</v>
      </c>
      <c r="FK43" s="535"/>
      <c r="FL43" s="1015">
        <v>0</v>
      </c>
      <c r="FM43" s="535"/>
      <c r="FN43" s="535"/>
      <c r="FO43" s="535">
        <f>O43+((Sheet1!CS41)*GPMtoMGD)</f>
        <v>45.09</v>
      </c>
      <c r="FP43" s="535">
        <f>IF(Sheet1!AA41+AQ43&lt;=Calculation!N43,AQ43,Calculation!N43-Sheet1!AA41)</f>
        <v>10.121083172147001</v>
      </c>
      <c r="FQ43" s="535">
        <f>(Sheet1!BP41+Sheet1!BO41)/694.4</f>
        <v>1.2224942396313365</v>
      </c>
      <c r="FR43" s="541"/>
      <c r="FS43" s="541"/>
      <c r="FT43" s="541"/>
      <c r="FU43" s="541"/>
      <c r="FV43" s="1109">
        <f t="shared" si="74"/>
        <v>42918</v>
      </c>
      <c r="FW43" s="1109">
        <f t="shared" si="75"/>
        <v>43027</v>
      </c>
      <c r="FX43" s="541"/>
      <c r="FY43" s="541">
        <f>Sheet1!DA41-Sheet1!CZ41-Sheet1!AE41</f>
        <v>291.24576999999999</v>
      </c>
      <c r="FZ43" s="535">
        <f t="shared" si="111"/>
        <v>0.55944240026143321</v>
      </c>
      <c r="GA43" s="535"/>
      <c r="GB43" s="535" t="str">
        <f t="shared" si="76"/>
        <v>n</v>
      </c>
      <c r="GC43" s="539">
        <f t="shared" si="77"/>
        <v>42782</v>
      </c>
      <c r="GD43" s="1109">
        <f t="shared" si="78"/>
        <v>42904</v>
      </c>
      <c r="GE43" s="535">
        <f t="shared" si="95"/>
        <v>6520</v>
      </c>
      <c r="GF43" s="1109">
        <f t="shared" si="79"/>
        <v>42909</v>
      </c>
      <c r="GG43" s="535">
        <f t="shared" si="174"/>
        <v>3260</v>
      </c>
      <c r="GH43" s="539">
        <f t="shared" si="80"/>
        <v>43040</v>
      </c>
      <c r="GJ43" s="521">
        <f t="shared" si="81"/>
        <v>0</v>
      </c>
      <c r="GK43" s="535" t="str">
        <f t="shared" ref="GK43:GK106" si="239">CONCATENATE(GM43,HA43,GT43,HH43)</f>
        <v/>
      </c>
      <c r="GL43" s="535">
        <f t="shared" si="82"/>
        <v>0</v>
      </c>
      <c r="GM43" s="535" t="str">
        <f t="shared" si="83"/>
        <v/>
      </c>
      <c r="GN43" s="535">
        <f>IF(GK43="P",Lookup!$M$12,IF(GK43="PP",Lookup!$M$13,IF(GK43="PPP",Lookup!$M$14,IF(GK43="T",Lookup!$M$15,IF(GK43="TP",Lookup!$M$16,IF(GK43="TPP",Lookup!$M$17,IF(GK43="TPPP",Lookup!$M$18,0)))))))*GJ43</f>
        <v>0</v>
      </c>
      <c r="GO43" s="535">
        <f t="shared" si="84"/>
        <v>0</v>
      </c>
      <c r="GP43" s="535">
        <f t="shared" ref="GP43:GP106" si="240">GQ43*MGtoAF</f>
        <v>0</v>
      </c>
      <c r="GQ43" s="535">
        <f t="shared" si="94"/>
        <v>0</v>
      </c>
      <c r="GR43" s="535"/>
      <c r="GS43" s="535">
        <f t="shared" si="85"/>
        <v>0</v>
      </c>
      <c r="GT43" s="535" t="str">
        <f t="shared" si="86"/>
        <v/>
      </c>
      <c r="GU43" s="535">
        <f>IF(GK43="P",Lookup!$N$12,IF(GK43="PP",Lookup!$N$13,IF(GK43="PPP",Lookup!$N$14,IF(GK43="T",Lookup!$N$15,IF(GK43="TP",Lookup!$N$16,IF(GK43="TPP",Lookup!$N$17,IF(GK43="TPPP",Lookup!$N$18,0)))))))*GJ43</f>
        <v>0</v>
      </c>
      <c r="GV43" s="535">
        <f t="shared" si="53"/>
        <v>0</v>
      </c>
      <c r="GW43" s="535">
        <f t="shared" ref="GW43:GW106" si="241">GX43*MGtoAF</f>
        <v>0</v>
      </c>
      <c r="GX43" s="535">
        <f t="shared" si="91"/>
        <v>0</v>
      </c>
      <c r="GY43" s="535"/>
      <c r="GZ43" s="535">
        <f t="shared" si="87"/>
        <v>0</v>
      </c>
      <c r="HA43" s="535" t="str">
        <f t="shared" si="88"/>
        <v/>
      </c>
      <c r="HB43" s="535">
        <f>IF(GK43="P",Lookup!$N$12,IF(GK43="PP",Lookup!$N$13,IF(GK43="PPP",Lookup!$N$14,IF(GK43="T",Lookup!$N$15,IF(GK43="TP",Lookup!$N$16,IF(GK43="TPP",Lookup!$N$17,IF(GK43="TPPP",Lookup!$N$18,0)))))))*GJ43</f>
        <v>0</v>
      </c>
      <c r="HC43" s="521">
        <f t="shared" ref="HC43:HC106" si="242">IF(HA43="P",MIN(HB43,7/36*GE43-HE43),0)</f>
        <v>0</v>
      </c>
      <c r="HD43" s="535">
        <f t="shared" ref="HD43:HD106" si="243">HE43*MGtoAF</f>
        <v>0</v>
      </c>
      <c r="HE43" s="535">
        <f t="shared" si="92"/>
        <v>0</v>
      </c>
      <c r="HF43" s="535"/>
      <c r="HG43" s="535">
        <f t="shared" si="89"/>
        <v>0</v>
      </c>
      <c r="HH43" s="535" t="str">
        <f t="shared" si="90"/>
        <v/>
      </c>
      <c r="HI43" s="535">
        <f>IF(GK43="P",Lookup!$N$12,IF(GK43="PP",Lookup!$N$13,IF(GK43="PPP",Lookup!$N$14,IF(GK43="T",Lookup!$N$15,IF(GK43="TP",Lookup!$N$16,IF(GK43="TPP",Lookup!$N$17,IF(GK43="TPPP",Lookup!$N$18,0)))))))*GJ43</f>
        <v>0</v>
      </c>
      <c r="HJ43" s="521">
        <f t="shared" ref="HJ43:HJ106" si="244">IF(HH43="P",MIN(HI43,7/36*GE43-HL43),0)</f>
        <v>0</v>
      </c>
      <c r="HK43" s="535">
        <f t="shared" ref="HK43:HK106" si="245">HL43*MGtoAF</f>
        <v>0</v>
      </c>
      <c r="HL43" s="535">
        <f t="shared" si="93"/>
        <v>0</v>
      </c>
      <c r="HM43" s="535"/>
      <c r="HN43" s="541"/>
      <c r="HO43" s="541"/>
      <c r="HP43" s="541"/>
      <c r="HQ43" s="541">
        <f>IF(AND(B43&gt;=$FV$4,B43&lt;=$FW$4),MAX(110/1.02+$HQ$6+MIN(113/1.02,G43),IF($HV$6-(Sheet1!DA41-Sheet1!DB41)+MIN(113/1.02,G43)&lt;G43+FL43,$HV$6-(Sheet1!DA41-Sheet1!DB41)+MIN(113/1.02,G43),G43+FL43)),MIN(110/1.02+$HQ$6+113/1.02,G43))</f>
        <v>218.62745098039215</v>
      </c>
      <c r="HR43" s="541">
        <f t="shared" si="112"/>
        <v>223</v>
      </c>
      <c r="HS43" s="541">
        <f>HR43+(Sheet1!DA41-Sheet1!DB41)</f>
        <v>649</v>
      </c>
      <c r="HT43" s="541">
        <f t="shared" si="113"/>
        <v>0</v>
      </c>
      <c r="HU43" s="541">
        <f t="shared" si="114"/>
        <v>649</v>
      </c>
      <c r="HV43" s="541">
        <f t="shared" si="115"/>
        <v>0</v>
      </c>
      <c r="HW43" s="533" t="str">
        <f t="shared" si="116"/>
        <v/>
      </c>
      <c r="HX43" s="541">
        <f t="shared" si="117"/>
        <v>331.37254901960785</v>
      </c>
      <c r="HY43" s="541">
        <f>Sheet1!CZ41</f>
        <v>550</v>
      </c>
      <c r="HZ43" s="541">
        <f t="shared" si="118"/>
        <v>0</v>
      </c>
      <c r="IA43" s="541">
        <f t="shared" si="119"/>
        <v>0</v>
      </c>
      <c r="IB43" s="541">
        <f t="shared" si="120"/>
        <v>550</v>
      </c>
      <c r="IC43" s="1019" t="str">
        <f t="shared" si="121"/>
        <v/>
      </c>
      <c r="ID43" s="541">
        <f t="shared" si="122"/>
        <v>550</v>
      </c>
      <c r="IE43" s="541">
        <f>Sheet1!DB41</f>
        <v>485</v>
      </c>
      <c r="IF43" s="533">
        <f>Sheet1!DA41</f>
        <v>911</v>
      </c>
      <c r="IH43" s="541">
        <f>IF(AND($B43&gt;=$GC43,$B43&lt;=$GH43,$DR43&lt;0)+N("only adjusted when pool is drawn down during storage season"),Sheet1!$DB41+$DR43+N("Palmer minus all storage release"),Sheet1!$DB41)</f>
        <v>485</v>
      </c>
      <c r="II43" s="541">
        <f>IF(AND($B43&gt;=$GC43,$B43&lt;=$GH43,$DR43&lt;0)+N("only adjusted when pool is drawn down during storage season"),Sheet1!$DA41+$DR43+N("Auburn minus all storage release"),Sheet1!$DA41)</f>
        <v>911</v>
      </c>
    </row>
    <row r="44" spans="1:243" x14ac:dyDescent="0.25">
      <c r="A44" s="553" t="s">
        <v>7</v>
      </c>
      <c r="B44" s="531">
        <v>42768</v>
      </c>
      <c r="C44" s="536">
        <v>0</v>
      </c>
      <c r="D44" s="506">
        <f t="shared" si="0"/>
        <v>300</v>
      </c>
      <c r="E44" s="506">
        <f t="shared" si="1"/>
        <v>250</v>
      </c>
      <c r="F44" s="506">
        <v>250</v>
      </c>
      <c r="G44" s="535">
        <f>DR44+Sheet1!CZ42</f>
        <v>508.9853756932356</v>
      </c>
      <c r="H44" s="1074">
        <f t="shared" si="96"/>
        <v>165.92746054399998</v>
      </c>
      <c r="I44" s="534">
        <f>IF(Sheet1!DA42&gt;=E44,(Sheet1!DA42-E44+P44)*CFStoMGD,0)</f>
        <v>428.36586054399999</v>
      </c>
      <c r="J44" s="995">
        <f>IF(Sheet1!DB42&gt;=D44,(Sheet1!DB42-D44+P44)*CFStoMGD,0)</f>
        <v>165.92746054399998</v>
      </c>
      <c r="K44" s="818">
        <f t="shared" si="97"/>
        <v>64.64</v>
      </c>
      <c r="L44" s="535">
        <f>Sheet1!AA42+Sheet1!AB42-Sheet1!L42+(Sheet1!DA42-F44)*CFStoMGD-S44-T44-U44</f>
        <v>379.43680000000001</v>
      </c>
      <c r="M44" s="535">
        <f t="shared" si="185"/>
        <v>335.58830978506967</v>
      </c>
      <c r="N44" s="824">
        <f>IF(Sheet1!DA42&gt;=F44,MIN(113*CFStoMGD,MIN(MAX(L44,0),MAX(M44,0))),0)</f>
        <v>73.043199999999999</v>
      </c>
      <c r="O44" s="538">
        <f>Sheet1!AA42+Sheet1!AB42</f>
        <v>48.93</v>
      </c>
      <c r="P44" s="538">
        <f t="shared" si="186"/>
        <v>75.694709999999986</v>
      </c>
      <c r="Q44" s="812">
        <f t="shared" si="98"/>
        <v>0</v>
      </c>
      <c r="R44" s="812">
        <f t="shared" si="59"/>
        <v>10.519463632669646</v>
      </c>
      <c r="S44" s="812">
        <f t="shared" si="60"/>
        <v>48.93</v>
      </c>
      <c r="T44" s="812">
        <f t="shared" si="61"/>
        <v>0</v>
      </c>
      <c r="U44" s="812">
        <f t="shared" si="99"/>
        <v>0</v>
      </c>
      <c r="V44" s="812"/>
      <c r="W44" s="812">
        <f t="shared" si="62"/>
        <v>54.120536367330352</v>
      </c>
      <c r="X44" s="812">
        <f t="shared" si="63"/>
        <v>48.93</v>
      </c>
      <c r="Y44" s="812" t="str">
        <f t="shared" si="64"/>
        <v/>
      </c>
      <c r="Z44" s="812">
        <f t="shared" si="65"/>
        <v>48.93</v>
      </c>
      <c r="AA44" s="812">
        <f t="shared" si="66"/>
        <v>48.93</v>
      </c>
      <c r="AB44" s="1059">
        <f t="shared" si="100"/>
        <v>0</v>
      </c>
      <c r="AC44" s="538">
        <f>Sheet1!Y42*MGDtoCFS</f>
        <v>38.009789999999995</v>
      </c>
      <c r="AD44" s="538">
        <f>Sheet1!Z42*MGDtoCFS</f>
        <v>31.7135</v>
      </c>
      <c r="AE44" s="538">
        <f>Sheet1!AA42*MGDtoCFS</f>
        <v>37.94791</v>
      </c>
      <c r="AF44" s="538">
        <f>Sheet1!AB42*MGDtoCFS</f>
        <v>37.746799999999993</v>
      </c>
      <c r="AG44" s="538">
        <f>Sheet1!L42*MGDtoCFS</f>
        <v>0</v>
      </c>
      <c r="AH44" s="521">
        <f t="shared" si="187"/>
        <v>0</v>
      </c>
      <c r="AI44" s="1059">
        <f t="shared" si="188"/>
        <v>0</v>
      </c>
      <c r="AJ44" s="535">
        <f t="shared" si="189"/>
        <v>0</v>
      </c>
      <c r="AK44" s="535">
        <f t="shared" si="190"/>
        <v>0</v>
      </c>
      <c r="AL44" s="535">
        <f>(VLOOKUP(Sheet1!DC42,hhdcap_wcm,4)-(((VLOOKUP(Sheet1!DC42,hhdcap_wcm,3)-Sheet1!DC42)/(VLOOKUP(Sheet1!DC42,hhdcap_wcm,3)-VLOOKUP(Sheet1!DC42,hhdcap_wcm,1)))*(VLOOKUP(Sheet1!DC42,hhdcap_wcm,4)-VLOOKUP(Sheet1!DC42,hhdcap_wcm,2))))</f>
        <v>1151.0000000032514</v>
      </c>
      <c r="AM44" s="535">
        <f t="shared" si="191"/>
        <v>-73.400000000313867</v>
      </c>
      <c r="AN44" s="1035">
        <f t="shared" si="192"/>
        <v>0</v>
      </c>
      <c r="AO44" s="535">
        <f t="shared" si="193"/>
        <v>0</v>
      </c>
      <c r="AP44" s="535">
        <f>Sheet1!BA42+Sheet1!BB42+Sheet1!BN42+CD44</f>
        <v>14</v>
      </c>
      <c r="AQ44" s="535">
        <f>Sheet1!BN42+(DO44*Sheet1!BN42)</f>
        <v>13.880536367330354</v>
      </c>
      <c r="AR44" s="535">
        <f>Sheet1!BA42+CD44</f>
        <v>0</v>
      </c>
      <c r="AS44" s="535">
        <f>Sheet1!BA42+Sheet1!BB42+CD44</f>
        <v>0</v>
      </c>
      <c r="AT44" s="649">
        <f>0</f>
        <v>0</v>
      </c>
      <c r="AU44" s="535">
        <f>IF(EB44&lt;K44,0,MAX(Sheet1!AA42+AQ44-15/36*K44-N44,Sheet1!EH42,0))</f>
        <v>0</v>
      </c>
      <c r="AV44" s="535">
        <f>IF(OR(B44&gt;=GD44,B44&lt;GC44),0,15/36*K44-MAX(0,64.6-(137.6-(Sheet1!AA42+Sheet1!AB42))))</f>
        <v>0</v>
      </c>
      <c r="AW44" s="1029"/>
      <c r="AX44" s="649"/>
      <c r="AY44" s="649">
        <f t="shared" si="101"/>
        <v>0</v>
      </c>
      <c r="AZ44" s="649">
        <f t="shared" si="102"/>
        <v>0</v>
      </c>
      <c r="BA44" s="1059">
        <f t="shared" si="103"/>
        <v>0</v>
      </c>
      <c r="BB44" s="1019">
        <f t="shared" si="194"/>
        <v>0</v>
      </c>
      <c r="BC44" s="1041">
        <f t="shared" si="104"/>
        <v>26.933333333333334</v>
      </c>
      <c r="BD44" s="1019">
        <f ca="1">IF(B44&gt;Summary!$A$1,#N/A,BB44*MGtoAF)</f>
        <v>0</v>
      </c>
      <c r="BE44" s="535">
        <f>Sheet1!BG42+Sheet1!BH42+Sheet1!BI42-BM44</f>
        <v>1.06</v>
      </c>
      <c r="BF44" s="535">
        <f t="shared" si="195"/>
        <v>1.050954896383584</v>
      </c>
      <c r="BG44" s="535">
        <f>IF(Sheet1!EP42="FM",BM44,0)</f>
        <v>0</v>
      </c>
      <c r="BH44" s="535">
        <f t="shared" si="196"/>
        <v>0</v>
      </c>
      <c r="BI44" s="535">
        <f>IF(Sheet1!EP42="OTHER",BM44,0)</f>
        <v>0</v>
      </c>
      <c r="BJ44" s="535">
        <f t="shared" si="197"/>
        <v>0</v>
      </c>
      <c r="BK44" s="535">
        <f t="shared" si="198"/>
        <v>1.06</v>
      </c>
      <c r="BL44" s="535">
        <f t="shared" si="199"/>
        <v>1.050954896383584</v>
      </c>
      <c r="BM44" s="535">
        <f>IF(OR(Sheet1!EP42="FM", Sheet1!EP42="OTHER"),SUM(Sheet1!BG42:'Sheet1'!BI42),0)</f>
        <v>0</v>
      </c>
      <c r="BN44" s="521">
        <f>IF(AND($B44&gt;=$FV44,$B44&lt;=$FW44),MAX(BF44,Sheet1!EI42,0),MAX(BF44-(7/36)*$K44,0))</f>
        <v>0</v>
      </c>
      <c r="BO44" s="535">
        <f t="shared" si="200"/>
        <v>0</v>
      </c>
      <c r="BP44" s="521">
        <f t="shared" si="201"/>
        <v>1.050954896383584</v>
      </c>
      <c r="BQ44" s="521">
        <f>IF(AND($O44&gt;0,Sheet1!EM42=1),(1-($O44-Sheet1!$L42)/$O44)*BL44,0)</f>
        <v>0</v>
      </c>
      <c r="BR44" s="521">
        <f>IF(AND(Sheet1!$L42=0,Sheet1!$L41=0, Calculation!BK44&lt;Sheet1!$EI42-0.1,Sheet1!$EI42=Sheet1!$EI41,Sheet1!$EI42=Sheet1!$EI43),BL44-BQ44,BL44-BQ44)</f>
        <v>1.050954896383584</v>
      </c>
      <c r="BS44" s="1035" t="str">
        <f t="shared" si="105"/>
        <v/>
      </c>
      <c r="BT44" s="1035">
        <f t="shared" si="106"/>
        <v>12.568888888888889</v>
      </c>
      <c r="BU44" s="535">
        <f t="shared" si="202"/>
        <v>0</v>
      </c>
      <c r="BV44" s="535"/>
      <c r="BW44" s="535">
        <f ca="1">IF(B44&gt;Summary!$A$1,#N/A,BU44*MGtoAF)</f>
        <v>0</v>
      </c>
      <c r="BX44" s="535">
        <f>Sheet1!BC42+Sheet1!BD42+Sheet1!BE42+Sheet1!BF42-CG44-CH44</f>
        <v>3</v>
      </c>
      <c r="BY44" s="535">
        <f t="shared" si="203"/>
        <v>2.9744006501422184</v>
      </c>
      <c r="BZ44" s="535">
        <f>IF(Sheet1!EQ42="FM",CH44,0)</f>
        <v>0</v>
      </c>
      <c r="CA44" s="535">
        <f t="shared" si="204"/>
        <v>0</v>
      </c>
      <c r="CB44" s="535">
        <f>IF(Sheet1!EQ42="OTHER",CH44,0)</f>
        <v>0</v>
      </c>
      <c r="CC44" s="535">
        <f t="shared" si="205"/>
        <v>0</v>
      </c>
      <c r="CD44" s="535">
        <f t="shared" si="206"/>
        <v>0</v>
      </c>
      <c r="CE44" s="535">
        <f t="shared" si="207"/>
        <v>3</v>
      </c>
      <c r="CF44" s="535">
        <f t="shared" si="208"/>
        <v>2.9744006501422184</v>
      </c>
      <c r="CG44" s="535">
        <f>IF(Sheet1!EQ42="CWA",SUM(Sheet1!BC42:'Sheet1'!BF42),0)</f>
        <v>0</v>
      </c>
      <c r="CH44" s="535">
        <f>IF(OR(Sheet1!EQ42="FM", Sheet1!EQ42="OTHER"),SUM(Sheet1!BC42:'Sheet1'!BF42),0)</f>
        <v>0</v>
      </c>
      <c r="CI44" s="521">
        <f>IF(AND($B44&gt;=$FV44,$B44&lt;=$FW44),MAX(CF44,Sheet1!EJ42,0),MAX(CF44-(7/36)*$K44,0))</f>
        <v>0</v>
      </c>
      <c r="CJ44" s="535">
        <f t="shared" si="209"/>
        <v>0</v>
      </c>
      <c r="CK44" s="521">
        <f t="shared" si="210"/>
        <v>2.9744006501422184</v>
      </c>
      <c r="CL44" s="521">
        <f>IF(AND($O44&gt;0,Sheet1!EN42=1),(1-($O44-Sheet1!$L42)/$O44)*CF44,0)</f>
        <v>0</v>
      </c>
      <c r="CM44" s="521">
        <f>IF(AND(Sheet1!$L42=0,Sheet1!$L41=0, Calculation!CE44&lt;Sheet1!EJ42-0.1,Sheet1!EJ42=Sheet1!EJ41,Sheet1!EJ42=Sheet1!EJ43),CF44-CL44,CF44-CL44)</f>
        <v>2.9744006501422184</v>
      </c>
      <c r="CN44" s="1040" t="str">
        <f t="shared" si="107"/>
        <v/>
      </c>
      <c r="CO44" s="1035">
        <f t="shared" si="108"/>
        <v>12.568888888888889</v>
      </c>
      <c r="CP44" s="535">
        <f t="shared" si="211"/>
        <v>0</v>
      </c>
      <c r="CQ44" s="535"/>
      <c r="CR44" s="535">
        <f ca="1">IF(B44&gt;Summary!$A$1,#N/A,CP44*MGtoAF)</f>
        <v>0</v>
      </c>
      <c r="CS44" s="535">
        <f>Sheet1!BK42+Sheet1!BL42+Sheet1!BM42-Sheet1!ER42-DA44</f>
        <v>6.55</v>
      </c>
      <c r="CT44" s="535">
        <f t="shared" si="212"/>
        <v>6.4941080861438438</v>
      </c>
      <c r="CU44" s="535">
        <f>IF(Sheet1!ER42="FM",DA44,0)</f>
        <v>0</v>
      </c>
      <c r="CV44" s="535">
        <f t="shared" si="213"/>
        <v>0</v>
      </c>
      <c r="CW44" s="535">
        <f>IF(Sheet1!ER42="OTHER",DA44,0)</f>
        <v>0</v>
      </c>
      <c r="CX44" s="535">
        <f t="shared" si="214"/>
        <v>0</v>
      </c>
      <c r="CY44" s="535">
        <f t="shared" si="215"/>
        <v>6.55</v>
      </c>
      <c r="CZ44" s="535">
        <f t="shared" si="216"/>
        <v>6.4941080861438438</v>
      </c>
      <c r="DA44" s="535">
        <f>IF(OR(Sheet1!ER42="FM", Sheet1!ER42="OTHER"),SUM(Sheet1!BK42:'Sheet1'!BM42),0)</f>
        <v>0</v>
      </c>
      <c r="DB44" s="1011">
        <f>IF(AND($B44&gt;=$FV44,$B44&lt;=$FW44),MAX($CT44,Sheet1!EK42,0),MAX($CT44-(7/36)*$K44,0))</f>
        <v>0</v>
      </c>
      <c r="DC44" s="1012">
        <f t="shared" si="217"/>
        <v>0</v>
      </c>
      <c r="DD44" s="1011">
        <f t="shared" si="218"/>
        <v>6.4941080861438438</v>
      </c>
      <c r="DE44" s="521">
        <f>IF(AND($O44&gt;0,Sheet1!EO42=1),(1-($O44-Sheet1!$L42)/$O44)*CZ44,0)</f>
        <v>0</v>
      </c>
      <c r="DF44" s="521">
        <f>IF(AND(Sheet1!$L42=0,Sheet1!$L41=0, Calculation!CY44&lt;Sheet1!$EK42-0.1,Sheet1!$EK42=Sheet1!$EK41,Sheet1!$EK42=Sheet1!$EK43),CZ44-DE44,CZ44-DE44)</f>
        <v>6.4941080861438438</v>
      </c>
      <c r="DG44" s="1040">
        <f t="shared" si="109"/>
        <v>12.568888888888889</v>
      </c>
      <c r="DH44" s="649">
        <f t="shared" si="219"/>
        <v>10.61</v>
      </c>
      <c r="DI44" s="535">
        <f t="shared" si="220"/>
        <v>0</v>
      </c>
      <c r="DJ44" s="649">
        <f t="shared" si="221"/>
        <v>10.519463632669646</v>
      </c>
      <c r="DK44" s="535">
        <f ca="1">IF(B44&gt;Summary!$A$1,#N/A,DI44*MGtoAF)</f>
        <v>0</v>
      </c>
      <c r="DL44" s="649">
        <f t="shared" si="222"/>
        <v>10.610000000000001</v>
      </c>
      <c r="DM44" s="535">
        <f t="shared" si="223"/>
        <v>24.61</v>
      </c>
      <c r="DN44" s="535">
        <f>Sheet1!AB42-DM44</f>
        <v>-0.21000000000000085</v>
      </c>
      <c r="DO44" s="743">
        <f t="shared" si="224"/>
        <v>-8.5331166192604974E-3</v>
      </c>
      <c r="DP44" s="535">
        <f>(VLOOKUP(Sheet1!DC42,hhdcap_wcm,4)-(((VLOOKUP(Sheet1!DC42,hhdcap_wcm,3)-Sheet1!DC42)/(VLOOKUP(Sheet1!DC42,hhdcap_wcm,3)-VLOOKUP(Sheet1!DC42,hhdcap_wcm,1)))*(VLOOKUP(Sheet1!DC42,hhdcap_wcm,4)-VLOOKUP(Sheet1!DC42,hhdcap_wcm,2))))</f>
        <v>1151.0000000032514</v>
      </c>
      <c r="DQ44" s="535">
        <f t="shared" si="225"/>
        <v>-73.400000000313867</v>
      </c>
      <c r="DR44" s="535">
        <f t="shared" si="226"/>
        <v>-37.014624306764425</v>
      </c>
      <c r="DS44" s="535">
        <f>Sheet1!EA42*AFtoMG</f>
        <v>0</v>
      </c>
      <c r="DT44" s="535">
        <f>Sheet1!EB42*AFtoMG</f>
        <v>0</v>
      </c>
      <c r="DU44" s="535">
        <f>Sheet1!EC42*AFtoMG</f>
        <v>0</v>
      </c>
      <c r="DV44" s="535">
        <f>Sheet1!ED42*AFtoMG</f>
        <v>0</v>
      </c>
      <c r="DW44" s="535">
        <f t="shared" si="227"/>
        <v>0</v>
      </c>
      <c r="DX44" s="535">
        <f t="shared" si="228"/>
        <v>0</v>
      </c>
      <c r="DY44" s="535">
        <f t="shared" si="229"/>
        <v>0</v>
      </c>
      <c r="DZ44" s="535">
        <f t="shared" si="230"/>
        <v>0</v>
      </c>
      <c r="EA44" s="535"/>
      <c r="EB44" s="521">
        <f>IF(OR(B44&lt;FV44,B44&gt;FW44),(MIN(BF44+BY44+CT44+MAX(Sheet1!AA42+AQ44-73,0),K44)),0)</f>
        <v>10.519463632669646</v>
      </c>
      <c r="EC44" s="535"/>
      <c r="ED44" s="535">
        <f t="shared" si="231"/>
        <v>10.519463632669646</v>
      </c>
      <c r="EE44" s="535"/>
      <c r="EF44" s="535">
        <f>Sheet1!EH42+Sheet1!EI42+Sheet1!EJ42+Sheet1!EK42</f>
        <v>10.5</v>
      </c>
      <c r="EG44" s="1019">
        <f t="shared" si="110"/>
        <v>16.243500000000001</v>
      </c>
      <c r="EH44" s="521">
        <f t="shared" si="232"/>
        <v>0</v>
      </c>
      <c r="EI44" s="535">
        <f>IF(Sheet1!ET42=1,SUM('Calculations II'!AT44:BA44)+'Calculations II'!BC44+Sheet1!BV42+'Calculations II'!BE44+AP44,'Calculations II'!BK44)</f>
        <v>40.944836367330353</v>
      </c>
      <c r="EJ44" s="535">
        <f ca="1">EI44+'Calculations II'!D44+'Calculations II'!E44+'Calculations II'!O44</f>
        <v>36.953509267569174</v>
      </c>
      <c r="EK44" s="535"/>
      <c r="EL44" s="535"/>
      <c r="EM44" s="535">
        <f t="shared" si="233"/>
        <v>42768</v>
      </c>
      <c r="EN44" s="535">
        <f t="shared" si="234"/>
        <v>0</v>
      </c>
      <c r="EO44" s="535">
        <f t="shared" si="235"/>
        <v>0</v>
      </c>
      <c r="EP44" s="535">
        <v>0</v>
      </c>
      <c r="EQ44" s="535">
        <v>0</v>
      </c>
      <c r="ER44" s="535">
        <v>0</v>
      </c>
      <c r="ES44" s="521">
        <f t="shared" si="71"/>
        <v>3.319944500783313</v>
      </c>
      <c r="ET44" s="535">
        <f>-(VLOOKUP(Sheet1!BQ42,Lookup!$O$4:$Q$262,2)-VLOOKUP(Sheet1!BQ41,Lookup!$O$4:$Q$262,2))/1000000</f>
        <v>1.659703252301123</v>
      </c>
      <c r="EU44" s="535">
        <f>-(VLOOKUP(Sheet1!BR42,Lookup!$O$4:$Q$262,3)-VLOOKUP(Sheet1!BR41,Lookup!$O$4:$Q$262,3))/1000000</f>
        <v>1.66024124848219</v>
      </c>
      <c r="EV44" s="535"/>
      <c r="EW44" s="535"/>
      <c r="EX44" s="535"/>
      <c r="EY44" s="535"/>
      <c r="EZ44" s="535"/>
      <c r="FA44" s="535"/>
      <c r="FB44" s="535"/>
      <c r="FC44" s="535"/>
      <c r="FD44" s="567" t="e">
        <f t="shared" si="236"/>
        <v>#N/A</v>
      </c>
      <c r="FE44" s="567" t="e">
        <f t="shared" si="237"/>
        <v>#N/A</v>
      </c>
      <c r="FF44" s="568" t="e">
        <f t="shared" si="238"/>
        <v>#N/A</v>
      </c>
      <c r="FG44" s="569" t="s">
        <v>656</v>
      </c>
      <c r="FH44" s="569" t="s">
        <v>656</v>
      </c>
      <c r="FI44" s="567" t="e">
        <v>#N/A</v>
      </c>
      <c r="FJ44" s="567" t="e">
        <v>#N/A</v>
      </c>
      <c r="FK44" s="535"/>
      <c r="FL44" s="1015">
        <v>0</v>
      </c>
      <c r="FM44" s="535"/>
      <c r="FN44" s="535"/>
      <c r="FO44" s="535">
        <f>O44+((Sheet1!CS42)*GPMtoMGD)</f>
        <v>48.93</v>
      </c>
      <c r="FP44" s="535">
        <f>IF(Sheet1!AA42+AQ44&lt;=Calculation!N44,AQ44,Calculation!N44-Sheet1!AA42)</f>
        <v>13.880536367330354</v>
      </c>
      <c r="FQ44" s="535">
        <f>(Sheet1!BP42+Sheet1!BO42)/694.4</f>
        <v>1.6561059907834101</v>
      </c>
      <c r="FR44" s="541"/>
      <c r="FS44" s="541"/>
      <c r="FT44" s="541"/>
      <c r="FU44" s="541"/>
      <c r="FV44" s="1109">
        <f t="shared" si="74"/>
        <v>42918</v>
      </c>
      <c r="FW44" s="1109">
        <f t="shared" si="75"/>
        <v>43027</v>
      </c>
      <c r="FX44" s="541"/>
      <c r="FY44" s="541">
        <f>Sheet1!DA42-Sheet1!CZ42-Sheet1!AE42</f>
        <v>215.30529000000001</v>
      </c>
      <c r="FZ44" s="535">
        <f t="shared" si="111"/>
        <v>0.42300879412646242</v>
      </c>
      <c r="GA44" s="535"/>
      <c r="GB44" s="535" t="str">
        <f t="shared" si="76"/>
        <v>n</v>
      </c>
      <c r="GC44" s="539">
        <f t="shared" si="77"/>
        <v>42782</v>
      </c>
      <c r="GD44" s="1109">
        <f t="shared" si="78"/>
        <v>42904</v>
      </c>
      <c r="GE44" s="535">
        <f t="shared" si="95"/>
        <v>6520</v>
      </c>
      <c r="GF44" s="1109">
        <f t="shared" si="79"/>
        <v>42909</v>
      </c>
      <c r="GG44" s="535">
        <f t="shared" si="174"/>
        <v>3260</v>
      </c>
      <c r="GH44" s="539">
        <f t="shared" si="80"/>
        <v>43040</v>
      </c>
      <c r="GJ44" s="521">
        <f t="shared" si="81"/>
        <v>0</v>
      </c>
      <c r="GK44" s="535" t="str">
        <f t="shared" si="239"/>
        <v/>
      </c>
      <c r="GL44" s="535">
        <f t="shared" si="82"/>
        <v>0</v>
      </c>
      <c r="GM44" s="535" t="str">
        <f t="shared" si="83"/>
        <v/>
      </c>
      <c r="GN44" s="535">
        <f>IF(GK44="P",Lookup!$M$12,IF(GK44="PP",Lookup!$M$13,IF(GK44="PPP",Lookup!$M$14,IF(GK44="T",Lookup!$M$15,IF(GK44="TP",Lookup!$M$16,IF(GK44="TPP",Lookup!$M$17,IF(GK44="TPPP",Lookup!$M$18,0)))))))*GJ44</f>
        <v>0</v>
      </c>
      <c r="GO44" s="535">
        <f t="shared" si="84"/>
        <v>0</v>
      </c>
      <c r="GP44" s="535">
        <f t="shared" si="240"/>
        <v>0</v>
      </c>
      <c r="GQ44" s="535">
        <f t="shared" si="94"/>
        <v>0</v>
      </c>
      <c r="GR44" s="535"/>
      <c r="GS44" s="535">
        <f t="shared" si="85"/>
        <v>0</v>
      </c>
      <c r="GT44" s="535" t="str">
        <f t="shared" si="86"/>
        <v/>
      </c>
      <c r="GU44" s="535">
        <f>IF(GK44="P",Lookup!$N$12,IF(GK44="PP",Lookup!$N$13,IF(GK44="PPP",Lookup!$N$14,IF(GK44="T",Lookup!$N$15,IF(GK44="TP",Lookup!$N$16,IF(GK44="TPP",Lookup!$N$17,IF(GK44="TPPP",Lookup!$N$18,0)))))))*GJ44</f>
        <v>0</v>
      </c>
      <c r="GV44" s="535">
        <f t="shared" si="53"/>
        <v>0</v>
      </c>
      <c r="GW44" s="535">
        <f t="shared" si="241"/>
        <v>0</v>
      </c>
      <c r="GX44" s="535">
        <f t="shared" si="91"/>
        <v>0</v>
      </c>
      <c r="GY44" s="535"/>
      <c r="GZ44" s="535">
        <f t="shared" si="87"/>
        <v>0</v>
      </c>
      <c r="HA44" s="535" t="str">
        <f t="shared" si="88"/>
        <v/>
      </c>
      <c r="HB44" s="535">
        <f>IF(GK44="P",Lookup!$N$12,IF(GK44="PP",Lookup!$N$13,IF(GK44="PPP",Lookup!$N$14,IF(GK44="T",Lookup!$N$15,IF(GK44="TP",Lookup!$N$16,IF(GK44="TPP",Lookup!$N$17,IF(GK44="TPPP",Lookup!$N$18,0)))))))*GJ44</f>
        <v>0</v>
      </c>
      <c r="HC44" s="521">
        <f t="shared" si="242"/>
        <v>0</v>
      </c>
      <c r="HD44" s="535">
        <f t="shared" si="243"/>
        <v>0</v>
      </c>
      <c r="HE44" s="535">
        <f t="shared" si="92"/>
        <v>0</v>
      </c>
      <c r="HF44" s="535"/>
      <c r="HG44" s="535">
        <f t="shared" si="89"/>
        <v>0</v>
      </c>
      <c r="HH44" s="535" t="str">
        <f t="shared" si="90"/>
        <v/>
      </c>
      <c r="HI44" s="535">
        <f>IF(GK44="P",Lookup!$N$12,IF(GK44="PP",Lookup!$N$13,IF(GK44="PPP",Lookup!$N$14,IF(GK44="T",Lookup!$N$15,IF(GK44="TP",Lookup!$N$16,IF(GK44="TPP",Lookup!$N$17,IF(GK44="TPPP",Lookup!$N$18,0)))))))*GJ44</f>
        <v>0</v>
      </c>
      <c r="HJ44" s="521">
        <f t="shared" si="244"/>
        <v>0</v>
      </c>
      <c r="HK44" s="535">
        <f t="shared" si="245"/>
        <v>0</v>
      </c>
      <c r="HL44" s="535">
        <f t="shared" si="93"/>
        <v>0</v>
      </c>
      <c r="HM44" s="535"/>
      <c r="HN44" s="541"/>
      <c r="HO44" s="541"/>
      <c r="HP44" s="541"/>
      <c r="HQ44" s="541">
        <f>IF(AND(B44&gt;=$FV$4,B44&lt;=$FW$4),MAX(110/1.02+$HQ$6+MIN(113/1.02,G44),IF($HV$6-(Sheet1!DA42-Sheet1!DB42)+MIN(113/1.02,G44)&lt;G44+FL44,$HV$6-(Sheet1!DA42-Sheet1!DB42)+MIN(113/1.02,G44),G44+FL44)),MIN(110/1.02+$HQ$6+113/1.02,G44))</f>
        <v>218.62745098039215</v>
      </c>
      <c r="HR44" s="541">
        <f t="shared" si="112"/>
        <v>223</v>
      </c>
      <c r="HS44" s="541">
        <f>HR44+(Sheet1!DA42-Sheet1!DB42)</f>
        <v>579</v>
      </c>
      <c r="HT44" s="541">
        <f t="shared" si="113"/>
        <v>0</v>
      </c>
      <c r="HU44" s="541">
        <f t="shared" si="114"/>
        <v>579</v>
      </c>
      <c r="HV44" s="541">
        <f t="shared" si="115"/>
        <v>0</v>
      </c>
      <c r="HW44" s="533" t="str">
        <f t="shared" si="116"/>
        <v/>
      </c>
      <c r="HX44" s="541">
        <f t="shared" si="117"/>
        <v>327.37254901960785</v>
      </c>
      <c r="HY44" s="541">
        <f>Sheet1!CZ42</f>
        <v>546</v>
      </c>
      <c r="HZ44" s="541">
        <f t="shared" si="118"/>
        <v>0</v>
      </c>
      <c r="IA44" s="541">
        <f t="shared" si="119"/>
        <v>0</v>
      </c>
      <c r="IB44" s="541">
        <f t="shared" si="120"/>
        <v>546</v>
      </c>
      <c r="IC44" s="1019" t="str">
        <f t="shared" si="121"/>
        <v/>
      </c>
      <c r="ID44" s="541">
        <f t="shared" si="122"/>
        <v>546</v>
      </c>
      <c r="IE44" s="541">
        <f>Sheet1!DB42</f>
        <v>481</v>
      </c>
      <c r="IF44" s="533">
        <f>Sheet1!DA42</f>
        <v>837</v>
      </c>
      <c r="IH44" s="541">
        <f>IF(AND($B44&gt;=$GC44,$B44&lt;=$GH44,$DR44&lt;0)+N("only adjusted when pool is drawn down during storage season"),Sheet1!$DB42+$DR44+N("Palmer minus all storage release"),Sheet1!$DB42)</f>
        <v>481</v>
      </c>
      <c r="II44" s="541">
        <f>IF(AND($B44&gt;=$GC44,$B44&lt;=$GH44,$DR44&lt;0)+N("only adjusted when pool is drawn down during storage season"),Sheet1!$DA42+$DR44+N("Auburn minus all storage release"),Sheet1!$DA42)</f>
        <v>837</v>
      </c>
    </row>
    <row r="45" spans="1:243" x14ac:dyDescent="0.25">
      <c r="A45" s="553" t="s">
        <v>8</v>
      </c>
      <c r="B45" s="531">
        <v>42769</v>
      </c>
      <c r="C45" s="536">
        <v>0</v>
      </c>
      <c r="D45" s="506">
        <f t="shared" si="0"/>
        <v>300</v>
      </c>
      <c r="E45" s="506">
        <f t="shared" si="1"/>
        <v>250</v>
      </c>
      <c r="F45" s="506">
        <v>250</v>
      </c>
      <c r="G45" s="535">
        <f>DR45+Sheet1!CZ43</f>
        <v>518.77307110421998</v>
      </c>
      <c r="H45" s="1074">
        <f t="shared" ref="H45:H76" si="246">MIN(IF($II45&gt;=$E45,($II45-$E45+$P45)*CFStoMGD,0),IF($IH45&gt;=$D45,($IH45-$D45+$P45)*CFStoMGD,0))</f>
        <v>180.446192768</v>
      </c>
      <c r="I45" s="534">
        <f>IF(Sheet1!DA43&gt;=E45,(Sheet1!DA43-E45+P45)*CFStoMGD,0)</f>
        <v>504.29259276799996</v>
      </c>
      <c r="J45" s="995">
        <f>IF(Sheet1!DB43&gt;=D45,(Sheet1!DB43-D45+P45)*CFStoMGD,0)</f>
        <v>180.446192768</v>
      </c>
      <c r="K45" s="818">
        <f t="shared" si="97"/>
        <v>64.64</v>
      </c>
      <c r="L45" s="535">
        <f>Sheet1!AA43+Sheet1!AB43-Sheet1!L43+(Sheet1!DA43-F45)*CFStoMGD-S45-T45-U45</f>
        <v>451.83359999999999</v>
      </c>
      <c r="M45" s="535">
        <f t="shared" si="185"/>
        <v>342.04161142500317</v>
      </c>
      <c r="N45" s="824">
        <f>IF(Sheet1!DA43&gt;=F45,MIN(113*CFStoMGD,MIN(MAX(L45,0),MAX(M45,0))),0)</f>
        <v>73.043199999999999</v>
      </c>
      <c r="O45" s="538">
        <f>Sheet1!AA43+Sheet1!AB43</f>
        <v>52.46</v>
      </c>
      <c r="P45" s="538">
        <f t="shared" si="186"/>
        <v>81.155619999999999</v>
      </c>
      <c r="Q45" s="812">
        <f t="shared" si="98"/>
        <v>0</v>
      </c>
      <c r="R45" s="812">
        <f t="shared" si="59"/>
        <v>10.459928622412562</v>
      </c>
      <c r="S45" s="812">
        <f t="shared" si="60"/>
        <v>52.46</v>
      </c>
      <c r="T45" s="812">
        <f t="shared" si="61"/>
        <v>0</v>
      </c>
      <c r="U45" s="812">
        <f t="shared" si="99"/>
        <v>0</v>
      </c>
      <c r="V45" s="812"/>
      <c r="W45" s="812">
        <f t="shared" si="62"/>
        <v>54.180071377587439</v>
      </c>
      <c r="X45" s="812">
        <f t="shared" si="63"/>
        <v>52.46</v>
      </c>
      <c r="Y45" s="812" t="str">
        <f t="shared" si="64"/>
        <v/>
      </c>
      <c r="Z45" s="812">
        <f t="shared" si="65"/>
        <v>52.46</v>
      </c>
      <c r="AA45" s="812">
        <f t="shared" si="66"/>
        <v>52.46</v>
      </c>
      <c r="AB45" s="1059">
        <f t="shared" si="100"/>
        <v>0</v>
      </c>
      <c r="AC45" s="538">
        <f>Sheet1!Y43*MGDtoCFS</f>
        <v>37.94791</v>
      </c>
      <c r="AD45" s="538">
        <f>Sheet1!Z43*MGDtoCFS</f>
        <v>37.669449999999998</v>
      </c>
      <c r="AE45" s="538">
        <f>Sheet1!AA43*MGDtoCFS</f>
        <v>38.056200000000004</v>
      </c>
      <c r="AF45" s="538">
        <f>Sheet1!AB43*MGDtoCFS</f>
        <v>43.099419999999995</v>
      </c>
      <c r="AG45" s="538">
        <f>Sheet1!L43*MGDtoCFS</f>
        <v>0</v>
      </c>
      <c r="AH45" s="521">
        <f t="shared" si="187"/>
        <v>0</v>
      </c>
      <c r="AI45" s="1059">
        <f t="shared" si="188"/>
        <v>0</v>
      </c>
      <c r="AJ45" s="535">
        <f t="shared" si="189"/>
        <v>0</v>
      </c>
      <c r="AK45" s="535">
        <f t="shared" si="190"/>
        <v>0</v>
      </c>
      <c r="AL45" s="535">
        <f>(VLOOKUP(Sheet1!DC43,hhdcap_wcm,4)-(((VLOOKUP(Sheet1!DC43,hhdcap_wcm,3)-Sheet1!DC43)/(VLOOKUP(Sheet1!DC43,hhdcap_wcm,3)-VLOOKUP(Sheet1!DC43,hhdcap_wcm,1)))*(VLOOKUP(Sheet1!DC43,hhdcap_wcm,4)-VLOOKUP(Sheet1!DC43,hhdcap_wcm,2))))</f>
        <v>1051.4000000029196</v>
      </c>
      <c r="AM45" s="535">
        <f t="shared" si="191"/>
        <v>-99.600000000331875</v>
      </c>
      <c r="AN45" s="1035">
        <f t="shared" si="192"/>
        <v>0</v>
      </c>
      <c r="AO45" s="535">
        <f t="shared" si="193"/>
        <v>0</v>
      </c>
      <c r="AP45" s="535">
        <f>Sheet1!BA43+Sheet1!BB43+Sheet1!BN43+CD45</f>
        <v>17.5</v>
      </c>
      <c r="AQ45" s="535">
        <f>Sheet1!BN43+(DO45*Sheet1!BN43)</f>
        <v>17.400071377587437</v>
      </c>
      <c r="AR45" s="535">
        <f>Sheet1!BA43+CD45</f>
        <v>0</v>
      </c>
      <c r="AS45" s="535">
        <f>Sheet1!BA43+Sheet1!BB43+CD45</f>
        <v>0</v>
      </c>
      <c r="AT45" s="649">
        <f>0</f>
        <v>0</v>
      </c>
      <c r="AU45" s="535">
        <f>IF(EB45&lt;K45,0,MAX(Sheet1!AA43+AQ45-15/36*K45-N45,Sheet1!EH43,0))</f>
        <v>0</v>
      </c>
      <c r="AV45" s="535">
        <f>IF(OR(B45&gt;=GD45,B45&lt;GC45),0,15/36*K45-MAX(0,64.6-(137.6-(Sheet1!AA43+Sheet1!AB43))))</f>
        <v>0</v>
      </c>
      <c r="AW45" s="1029"/>
      <c r="AX45" s="649"/>
      <c r="AY45" s="649">
        <f t="shared" si="101"/>
        <v>0</v>
      </c>
      <c r="AZ45" s="649">
        <f t="shared" si="102"/>
        <v>0</v>
      </c>
      <c r="BA45" s="1059">
        <f t="shared" si="103"/>
        <v>0</v>
      </c>
      <c r="BB45" s="1019">
        <f t="shared" si="194"/>
        <v>0</v>
      </c>
      <c r="BC45" s="1041">
        <f t="shared" si="104"/>
        <v>26.933333333333334</v>
      </c>
      <c r="BD45" s="1019">
        <f ca="1">IF(B45&gt;Summary!$A$1,#N/A,BB45*MGtoAF)</f>
        <v>0</v>
      </c>
      <c r="BE45" s="535">
        <f>Sheet1!BG43+Sheet1!BH43+Sheet1!BI43-BM45</f>
        <v>1.04</v>
      </c>
      <c r="BF45" s="535">
        <f t="shared" si="195"/>
        <v>1.0340613847251963</v>
      </c>
      <c r="BG45" s="535">
        <f>IF(Sheet1!EP43="FM",BM45,0)</f>
        <v>0</v>
      </c>
      <c r="BH45" s="535">
        <f t="shared" si="196"/>
        <v>0</v>
      </c>
      <c r="BI45" s="535">
        <f>IF(Sheet1!EP43="OTHER",BM45,0)</f>
        <v>0</v>
      </c>
      <c r="BJ45" s="535">
        <f t="shared" si="197"/>
        <v>0</v>
      </c>
      <c r="BK45" s="535">
        <f t="shared" si="198"/>
        <v>1.04</v>
      </c>
      <c r="BL45" s="535">
        <f t="shared" si="199"/>
        <v>1.0340613847251963</v>
      </c>
      <c r="BM45" s="535">
        <f>IF(OR(Sheet1!EP43="FM", Sheet1!EP43="OTHER"),SUM(Sheet1!BG43:'Sheet1'!BI43),0)</f>
        <v>0</v>
      </c>
      <c r="BN45" s="521">
        <f>IF(AND($B45&gt;=$FV45,$B45&lt;=$FW45),MAX(BF45,Sheet1!EI43,0),MAX(BF45-(7/36)*$K45,0))</f>
        <v>0</v>
      </c>
      <c r="BO45" s="535">
        <f t="shared" si="200"/>
        <v>0</v>
      </c>
      <c r="BP45" s="521">
        <f t="shared" si="201"/>
        <v>1.0340613847251963</v>
      </c>
      <c r="BQ45" s="521">
        <f>IF(AND($O45&gt;0,Sheet1!EM43=1),(1-($O45-Sheet1!$L43)/$O45)*BL45,0)</f>
        <v>0</v>
      </c>
      <c r="BR45" s="521">
        <f>IF(AND(Sheet1!$L43=0,Sheet1!$L42=0, Calculation!BK45&lt;Sheet1!$EI43-0.1,Sheet1!$EI43=Sheet1!$EI42,Sheet1!$EI43=Sheet1!$EI44),BL45-BQ45,BL45-BQ45)</f>
        <v>1.0340613847251963</v>
      </c>
      <c r="BS45" s="1035" t="str">
        <f t="shared" si="105"/>
        <v/>
      </c>
      <c r="BT45" s="1035">
        <f t="shared" si="106"/>
        <v>12.568888888888889</v>
      </c>
      <c r="BU45" s="535">
        <f t="shared" si="202"/>
        <v>0</v>
      </c>
      <c r="BV45" s="535"/>
      <c r="BW45" s="535">
        <f ca="1">IF(B45&gt;Summary!$A$1,#N/A,BU45*MGtoAF)</f>
        <v>0</v>
      </c>
      <c r="BX45" s="535">
        <f>Sheet1!BC43+Sheet1!BD43+Sheet1!BE43+Sheet1!BF43-CG45-CH45</f>
        <v>3</v>
      </c>
      <c r="BY45" s="535">
        <f t="shared" si="203"/>
        <v>2.9828693790149892</v>
      </c>
      <c r="BZ45" s="535">
        <f>IF(Sheet1!EQ43="FM",CH45,0)</f>
        <v>0</v>
      </c>
      <c r="CA45" s="535">
        <f t="shared" si="204"/>
        <v>0</v>
      </c>
      <c r="CB45" s="535">
        <f>IF(Sheet1!EQ43="OTHER",CH45,0)</f>
        <v>0</v>
      </c>
      <c r="CC45" s="535">
        <f t="shared" si="205"/>
        <v>0</v>
      </c>
      <c r="CD45" s="535">
        <f t="shared" si="206"/>
        <v>0</v>
      </c>
      <c r="CE45" s="535">
        <f t="shared" si="207"/>
        <v>3</v>
      </c>
      <c r="CF45" s="535">
        <f t="shared" si="208"/>
        <v>2.9828693790149892</v>
      </c>
      <c r="CG45" s="535">
        <f>IF(Sheet1!EQ43="CWA",SUM(Sheet1!BC43:'Sheet1'!BF43),0)</f>
        <v>0</v>
      </c>
      <c r="CH45" s="535">
        <f>IF(OR(Sheet1!EQ43="FM", Sheet1!EQ43="OTHER"),SUM(Sheet1!BC43:'Sheet1'!BF43),0)</f>
        <v>0</v>
      </c>
      <c r="CI45" s="521">
        <f>IF(AND($B45&gt;=$FV45,$B45&lt;=$FW45),MAX(CF45,Sheet1!EJ43,0),MAX(CF45-(7/36)*$K45,0))</f>
        <v>0</v>
      </c>
      <c r="CJ45" s="535">
        <f t="shared" si="209"/>
        <v>0</v>
      </c>
      <c r="CK45" s="521">
        <f t="shared" si="210"/>
        <v>2.9828693790149892</v>
      </c>
      <c r="CL45" s="521">
        <f>IF(AND($O45&gt;0,Sheet1!EN43=1),(1-($O45-Sheet1!$L43)/$O45)*CF45,0)</f>
        <v>0</v>
      </c>
      <c r="CM45" s="521">
        <f>IF(AND(Sheet1!$L43=0,Sheet1!$L42=0, Calculation!CE45&lt;Sheet1!EJ43-0.1,Sheet1!EJ43=Sheet1!EJ42,Sheet1!EJ43=Sheet1!EJ44),CF45-CL45,CF45-CL45)</f>
        <v>2.9828693790149892</v>
      </c>
      <c r="CN45" s="1040" t="str">
        <f t="shared" si="107"/>
        <v/>
      </c>
      <c r="CO45" s="1035">
        <f t="shared" si="108"/>
        <v>12.568888888888889</v>
      </c>
      <c r="CP45" s="535">
        <f t="shared" si="211"/>
        <v>0</v>
      </c>
      <c r="CQ45" s="535"/>
      <c r="CR45" s="535">
        <f ca="1">IF(B45&gt;Summary!$A$1,#N/A,CP45*MGtoAF)</f>
        <v>0</v>
      </c>
      <c r="CS45" s="535">
        <f>Sheet1!BK43+Sheet1!BL43+Sheet1!BM43-Sheet1!ER43-DA45</f>
        <v>6.48</v>
      </c>
      <c r="CT45" s="535">
        <f t="shared" si="212"/>
        <v>6.4429978586723768</v>
      </c>
      <c r="CU45" s="535">
        <f>IF(Sheet1!ER43="FM",DA45,0)</f>
        <v>0</v>
      </c>
      <c r="CV45" s="535">
        <f t="shared" si="213"/>
        <v>0</v>
      </c>
      <c r="CW45" s="535">
        <f>IF(Sheet1!ER43="OTHER",DA45,0)</f>
        <v>0</v>
      </c>
      <c r="CX45" s="535">
        <f t="shared" si="214"/>
        <v>0</v>
      </c>
      <c r="CY45" s="535">
        <f t="shared" si="215"/>
        <v>6.48</v>
      </c>
      <c r="CZ45" s="535">
        <f t="shared" si="216"/>
        <v>6.4429978586723768</v>
      </c>
      <c r="DA45" s="535">
        <f>IF(OR(Sheet1!ER43="FM", Sheet1!ER43="OTHER"),SUM(Sheet1!BK43:'Sheet1'!BM43),0)</f>
        <v>0</v>
      </c>
      <c r="DB45" s="1011">
        <f>IF(AND($B45&gt;=$FV45,$B45&lt;=$FW45),MAX($CT45,Sheet1!EK43,0),MAX($CT45-(7/36)*$K45,0))</f>
        <v>0</v>
      </c>
      <c r="DC45" s="1012">
        <f t="shared" si="217"/>
        <v>0</v>
      </c>
      <c r="DD45" s="1011">
        <f t="shared" si="218"/>
        <v>6.4429978586723768</v>
      </c>
      <c r="DE45" s="521">
        <f>IF(AND($O45&gt;0,Sheet1!EO43=1),(1-($O45-Sheet1!$L43)/$O45)*CZ45,0)</f>
        <v>0</v>
      </c>
      <c r="DF45" s="521">
        <f>IF(AND(Sheet1!$L43=0,Sheet1!$L42=0, Calculation!CY45&lt;Sheet1!$EK43-0.1,Sheet1!$EK43=Sheet1!$EK42,Sheet1!$EK43=Sheet1!$EK44),CZ45-DE45,CZ45-DE45)</f>
        <v>6.4429978586723768</v>
      </c>
      <c r="DG45" s="1040">
        <f t="shared" si="109"/>
        <v>12.568888888888889</v>
      </c>
      <c r="DH45" s="649">
        <f t="shared" si="219"/>
        <v>10.52</v>
      </c>
      <c r="DI45" s="535">
        <f t="shared" si="220"/>
        <v>0</v>
      </c>
      <c r="DJ45" s="649">
        <f t="shared" si="221"/>
        <v>10.459928622412562</v>
      </c>
      <c r="DK45" s="535">
        <f ca="1">IF(B45&gt;Summary!$A$1,#N/A,DI45*MGtoAF)</f>
        <v>0</v>
      </c>
      <c r="DL45" s="649">
        <f t="shared" si="222"/>
        <v>10.52</v>
      </c>
      <c r="DM45" s="535">
        <f t="shared" si="223"/>
        <v>28.02</v>
      </c>
      <c r="DN45" s="535">
        <f>Sheet1!AB43-DM45</f>
        <v>-0.16000000000000014</v>
      </c>
      <c r="DO45" s="743">
        <f t="shared" si="224"/>
        <v>-5.7102069950035741E-3</v>
      </c>
      <c r="DP45" s="535">
        <f>(VLOOKUP(Sheet1!DC43,hhdcap_wcm,4)-(((VLOOKUP(Sheet1!DC43,hhdcap_wcm,3)-Sheet1!DC43)/(VLOOKUP(Sheet1!DC43,hhdcap_wcm,3)-VLOOKUP(Sheet1!DC43,hhdcap_wcm,1)))*(VLOOKUP(Sheet1!DC43,hhdcap_wcm,4)-VLOOKUP(Sheet1!DC43,hhdcap_wcm,2))))</f>
        <v>1051.4000000029196</v>
      </c>
      <c r="DQ45" s="535">
        <f t="shared" si="225"/>
        <v>-99.600000000331875</v>
      </c>
      <c r="DR45" s="535">
        <f t="shared" si="226"/>
        <v>-50.226928895780063</v>
      </c>
      <c r="DS45" s="535">
        <f>Sheet1!EA43*AFtoMG</f>
        <v>0</v>
      </c>
      <c r="DT45" s="535">
        <f>Sheet1!EB43*AFtoMG</f>
        <v>0</v>
      </c>
      <c r="DU45" s="535">
        <f>Sheet1!EC43*AFtoMG</f>
        <v>0</v>
      </c>
      <c r="DV45" s="535">
        <f>Sheet1!ED43*AFtoMG</f>
        <v>0</v>
      </c>
      <c r="DW45" s="535">
        <f t="shared" si="227"/>
        <v>0</v>
      </c>
      <c r="DX45" s="535">
        <f t="shared" si="228"/>
        <v>0</v>
      </c>
      <c r="DY45" s="535">
        <f t="shared" si="229"/>
        <v>0</v>
      </c>
      <c r="DZ45" s="535">
        <f t="shared" si="230"/>
        <v>0</v>
      </c>
      <c r="EA45" s="535"/>
      <c r="EB45" s="521">
        <f>IF(OR(B45&lt;FV45,B45&gt;FW45),(MIN(BF45+BY45+CT45+MAX(Sheet1!AA43+AQ45-73,0),K45)),0)</f>
        <v>10.459928622412562</v>
      </c>
      <c r="EC45" s="535"/>
      <c r="ED45" s="535">
        <f t="shared" si="231"/>
        <v>10.459928622412562</v>
      </c>
      <c r="EE45" s="535"/>
      <c r="EF45" s="535">
        <f>Sheet1!EH43+Sheet1!EI43+Sheet1!EJ43+Sheet1!EK43</f>
        <v>10.5</v>
      </c>
      <c r="EG45" s="1019">
        <f t="shared" si="110"/>
        <v>16.243500000000001</v>
      </c>
      <c r="EH45" s="521">
        <f t="shared" si="232"/>
        <v>0</v>
      </c>
      <c r="EI45" s="535">
        <f>IF(Sheet1!ET43=1,SUM('Calculations II'!AT45:BA45)+'Calculations II'!BC45+Sheet1!BV43+'Calculations II'!BE45+AP45,'Calculations II'!BK45)</f>
        <v>43.559273377587438</v>
      </c>
      <c r="EJ45" s="535">
        <f ca="1">EI45+'Calculations II'!D45+'Calculations II'!E45+'Calculations II'!O45</f>
        <v>40.315055740207171</v>
      </c>
      <c r="EK45" s="535"/>
      <c r="EL45" s="535"/>
      <c r="EM45" s="535">
        <f t="shared" si="233"/>
        <v>42769</v>
      </c>
      <c r="EN45" s="535">
        <f t="shared" si="234"/>
        <v>0</v>
      </c>
      <c r="EO45" s="535">
        <f t="shared" si="235"/>
        <v>0</v>
      </c>
      <c r="EP45" s="535">
        <v>0</v>
      </c>
      <c r="EQ45" s="535">
        <v>0</v>
      </c>
      <c r="ER45" s="535">
        <v>0</v>
      </c>
      <c r="ES45" s="521">
        <f t="shared" si="71"/>
        <v>2.2122716895822956</v>
      </c>
      <c r="ET45" s="535">
        <f>-(VLOOKUP(Sheet1!BQ43,Lookup!$O$4:$Q$262,2)-VLOOKUP(Sheet1!BQ42,Lookup!$O$4:$Q$262,2))/1000000</f>
        <v>1.1059565541147962</v>
      </c>
      <c r="EU45" s="535">
        <f>-(VLOOKUP(Sheet1!BR43,Lookup!$O$4:$Q$262,3)-VLOOKUP(Sheet1!BR42,Lookup!$O$4:$Q$262,3))/1000000</f>
        <v>1.1063151354674996</v>
      </c>
      <c r="EV45" s="535"/>
      <c r="EW45" s="535"/>
      <c r="EX45" s="535"/>
      <c r="EY45" s="535"/>
      <c r="EZ45" s="535"/>
      <c r="FA45" s="535"/>
      <c r="FB45" s="535"/>
      <c r="FC45" s="535"/>
      <c r="FD45" s="567" t="e">
        <f t="shared" si="236"/>
        <v>#N/A</v>
      </c>
      <c r="FE45" s="567" t="e">
        <f t="shared" si="237"/>
        <v>#N/A</v>
      </c>
      <c r="FF45" s="568" t="e">
        <f t="shared" si="238"/>
        <v>#N/A</v>
      </c>
      <c r="FG45" s="569" t="s">
        <v>656</v>
      </c>
      <c r="FH45" s="569" t="s">
        <v>656</v>
      </c>
      <c r="FI45" s="567" t="e">
        <v>#N/A</v>
      </c>
      <c r="FJ45" s="567" t="e">
        <v>#N/A</v>
      </c>
      <c r="FK45" s="535"/>
      <c r="FL45" s="1015">
        <v>0</v>
      </c>
      <c r="FM45" s="535"/>
      <c r="FN45" s="535"/>
      <c r="FO45" s="535">
        <f>O45+((Sheet1!CS43)*GPMtoMGD)</f>
        <v>52.46</v>
      </c>
      <c r="FP45" s="535">
        <f>IF(Sheet1!AA43+AQ45&lt;=Calculation!N45,AQ45,Calculation!N45-Sheet1!AA43)</f>
        <v>17.400071377587437</v>
      </c>
      <c r="FQ45" s="535">
        <f>(Sheet1!BP43+Sheet1!BO43)/694.4</f>
        <v>1.4866071428571428</v>
      </c>
      <c r="FR45" s="541"/>
      <c r="FS45" s="541"/>
      <c r="FT45" s="541"/>
      <c r="FU45" s="541"/>
      <c r="FV45" s="1109">
        <f t="shared" si="74"/>
        <v>42918</v>
      </c>
      <c r="FW45" s="1109">
        <f t="shared" si="75"/>
        <v>43027</v>
      </c>
      <c r="FX45" s="541"/>
      <c r="FY45" s="541">
        <f>Sheet1!DA43-Sheet1!CZ43-Sheet1!AE43</f>
        <v>298.84438</v>
      </c>
      <c r="FZ45" s="535">
        <f t="shared" si="111"/>
        <v>0.5760599318771561</v>
      </c>
      <c r="GA45" s="535"/>
      <c r="GB45" s="535" t="str">
        <f t="shared" si="76"/>
        <v>n</v>
      </c>
      <c r="GC45" s="539">
        <f t="shared" si="77"/>
        <v>42782</v>
      </c>
      <c r="GD45" s="1109">
        <f t="shared" si="78"/>
        <v>42904</v>
      </c>
      <c r="GE45" s="535">
        <f t="shared" si="95"/>
        <v>6520</v>
      </c>
      <c r="GF45" s="1109">
        <f t="shared" si="79"/>
        <v>42909</v>
      </c>
      <c r="GG45" s="535">
        <f t="shared" si="174"/>
        <v>3260</v>
      </c>
      <c r="GH45" s="539">
        <f t="shared" si="80"/>
        <v>43040</v>
      </c>
      <c r="GJ45" s="521">
        <f t="shared" si="81"/>
        <v>0</v>
      </c>
      <c r="GK45" s="535" t="str">
        <f t="shared" si="239"/>
        <v/>
      </c>
      <c r="GL45" s="535">
        <f t="shared" si="82"/>
        <v>0</v>
      </c>
      <c r="GM45" s="535" t="str">
        <f t="shared" si="83"/>
        <v/>
      </c>
      <c r="GN45" s="535">
        <f>IF(GK45="P",Lookup!$M$12,IF(GK45="PP",Lookup!$M$13,IF(GK45="PPP",Lookup!$M$14,IF(GK45="T",Lookup!$M$15,IF(GK45="TP",Lookup!$M$16,IF(GK45="TPP",Lookup!$M$17,IF(GK45="TPPP",Lookup!$M$18,0)))))))*GJ45</f>
        <v>0</v>
      </c>
      <c r="GO45" s="535">
        <f t="shared" si="84"/>
        <v>0</v>
      </c>
      <c r="GP45" s="535">
        <f t="shared" si="240"/>
        <v>0</v>
      </c>
      <c r="GQ45" s="535">
        <f t="shared" si="94"/>
        <v>0</v>
      </c>
      <c r="GR45" s="535"/>
      <c r="GS45" s="535">
        <f t="shared" si="85"/>
        <v>0</v>
      </c>
      <c r="GT45" s="535" t="str">
        <f t="shared" si="86"/>
        <v/>
      </c>
      <c r="GU45" s="535">
        <f>IF(GK45="P",Lookup!$N$12,IF(GK45="PP",Lookup!$N$13,IF(GK45="PPP",Lookup!$N$14,IF(GK45="T",Lookup!$N$15,IF(GK45="TP",Lookup!$N$16,IF(GK45="TPP",Lookup!$N$17,IF(GK45="TPPP",Lookup!$N$18,0)))))))*GJ45</f>
        <v>0</v>
      </c>
      <c r="GV45" s="535">
        <f t="shared" si="53"/>
        <v>0</v>
      </c>
      <c r="GW45" s="535">
        <f t="shared" si="241"/>
        <v>0</v>
      </c>
      <c r="GX45" s="535">
        <f t="shared" si="91"/>
        <v>0</v>
      </c>
      <c r="GY45" s="535"/>
      <c r="GZ45" s="535">
        <f t="shared" si="87"/>
        <v>0</v>
      </c>
      <c r="HA45" s="535" t="str">
        <f t="shared" si="88"/>
        <v/>
      </c>
      <c r="HB45" s="535">
        <f>IF(GK45="P",Lookup!$N$12,IF(GK45="PP",Lookup!$N$13,IF(GK45="PPP",Lookup!$N$14,IF(GK45="T",Lookup!$N$15,IF(GK45="TP",Lookup!$N$16,IF(GK45="TPP",Lookup!$N$17,IF(GK45="TPPP",Lookup!$N$18,0)))))))*GJ45</f>
        <v>0</v>
      </c>
      <c r="HC45" s="521">
        <f t="shared" si="242"/>
        <v>0</v>
      </c>
      <c r="HD45" s="535">
        <f t="shared" si="243"/>
        <v>0</v>
      </c>
      <c r="HE45" s="535">
        <f t="shared" si="92"/>
        <v>0</v>
      </c>
      <c r="HF45" s="535"/>
      <c r="HG45" s="535">
        <f t="shared" si="89"/>
        <v>0</v>
      </c>
      <c r="HH45" s="535" t="str">
        <f t="shared" si="90"/>
        <v/>
      </c>
      <c r="HI45" s="535">
        <f>IF(GK45="P",Lookup!$N$12,IF(GK45="PP",Lookup!$N$13,IF(GK45="PPP",Lookup!$N$14,IF(GK45="T",Lookup!$N$15,IF(GK45="TP",Lookup!$N$16,IF(GK45="TPP",Lookup!$N$17,IF(GK45="TPPP",Lookup!$N$18,0)))))))*GJ45</f>
        <v>0</v>
      </c>
      <c r="HJ45" s="521">
        <f t="shared" si="244"/>
        <v>0</v>
      </c>
      <c r="HK45" s="535">
        <f t="shared" si="245"/>
        <v>0</v>
      </c>
      <c r="HL45" s="535">
        <f t="shared" si="93"/>
        <v>0</v>
      </c>
      <c r="HM45" s="535"/>
      <c r="HN45" s="541"/>
      <c r="HO45" s="541"/>
      <c r="HP45" s="541"/>
      <c r="HQ45" s="541">
        <f>IF(AND(B45&gt;=$FV$4,B45&lt;=$FW$4),MAX(110/1.02+$HQ$6+MIN(113/1.02,G45),IF($HV$6-(Sheet1!DA43-Sheet1!DB43)+MIN(113/1.02,G45)&lt;G45+FL45,$HV$6-(Sheet1!DA43-Sheet1!DB43)+MIN(113/1.02,G45),G45+FL45)),MIN(110/1.02+$HQ$6+113/1.02,G45))</f>
        <v>218.62745098039215</v>
      </c>
      <c r="HR45" s="541">
        <f t="shared" si="112"/>
        <v>223</v>
      </c>
      <c r="HS45" s="541">
        <f>HR45+(Sheet1!DA43-Sheet1!DB43)</f>
        <v>674</v>
      </c>
      <c r="HT45" s="541">
        <f t="shared" si="113"/>
        <v>0</v>
      </c>
      <c r="HU45" s="541">
        <f t="shared" si="114"/>
        <v>674</v>
      </c>
      <c r="HV45" s="541">
        <f t="shared" si="115"/>
        <v>0</v>
      </c>
      <c r="HW45" s="533" t="str">
        <f t="shared" si="116"/>
        <v/>
      </c>
      <c r="HX45" s="541">
        <f t="shared" si="117"/>
        <v>350.37254901960785</v>
      </c>
      <c r="HY45" s="541">
        <f>Sheet1!CZ43</f>
        <v>569</v>
      </c>
      <c r="HZ45" s="541">
        <f t="shared" si="118"/>
        <v>0</v>
      </c>
      <c r="IA45" s="541">
        <f t="shared" si="119"/>
        <v>0</v>
      </c>
      <c r="IB45" s="541">
        <f t="shared" si="120"/>
        <v>569</v>
      </c>
      <c r="IC45" s="1019" t="str">
        <f t="shared" si="121"/>
        <v/>
      </c>
      <c r="ID45" s="541">
        <f t="shared" si="122"/>
        <v>569</v>
      </c>
      <c r="IE45" s="541">
        <f>Sheet1!DB43</f>
        <v>498</v>
      </c>
      <c r="IF45" s="533">
        <f>Sheet1!DA43</f>
        <v>949</v>
      </c>
      <c r="IH45" s="541">
        <f>IF(AND($B45&gt;=$GC45,$B45&lt;=$GH45,$DR45&lt;0)+N("only adjusted when pool is drawn down during storage season"),Sheet1!$DB43+$DR45+N("Palmer minus all storage release"),Sheet1!$DB43)</f>
        <v>498</v>
      </c>
      <c r="II45" s="541">
        <f>IF(AND($B45&gt;=$GC45,$B45&lt;=$GH45,$DR45&lt;0)+N("only adjusted when pool is drawn down during storage season"),Sheet1!$DA43+$DR45+N("Auburn minus all storage release"),Sheet1!$DA43)</f>
        <v>949</v>
      </c>
    </row>
    <row r="46" spans="1:243" x14ac:dyDescent="0.25">
      <c r="A46" s="553" t="s">
        <v>9</v>
      </c>
      <c r="B46" s="531">
        <v>42770</v>
      </c>
      <c r="C46" s="536">
        <v>0</v>
      </c>
      <c r="D46" s="506">
        <f t="shared" si="0"/>
        <v>300</v>
      </c>
      <c r="E46" s="506">
        <f t="shared" si="1"/>
        <v>250</v>
      </c>
      <c r="F46" s="506">
        <v>250</v>
      </c>
      <c r="G46" s="535">
        <f>DR46+Sheet1!CZ44</f>
        <v>555.1825516893457</v>
      </c>
      <c r="H46" s="1074">
        <f t="shared" si="246"/>
        <v>207.98933555199997</v>
      </c>
      <c r="I46" s="534">
        <f>IF(Sheet1!DA44&gt;=E46,(Sheet1!DA44-E46+P46)*CFStoMGD,0)</f>
        <v>721.23093555200001</v>
      </c>
      <c r="J46" s="995">
        <f>IF(Sheet1!DB44&gt;=D46,(Sheet1!DB44-D46+P46)*CFStoMGD,0)</f>
        <v>207.98933555199997</v>
      </c>
      <c r="K46" s="818">
        <f t="shared" si="97"/>
        <v>64.64</v>
      </c>
      <c r="L46" s="535">
        <f>Sheet1!AA44+Sheet1!AB44-Sheet1!L44+(Sheet1!DA44-F46)*CFStoMGD-S46-T46-U46</f>
        <v>665.79199999999992</v>
      </c>
      <c r="M46" s="535">
        <f t="shared" si="185"/>
        <v>366.04740144023293</v>
      </c>
      <c r="N46" s="824">
        <f>IF(Sheet1!DA44&gt;=F46,MIN(113*CFStoMGD,MIN(MAX(L46,0),MAX(M46,0))),0)</f>
        <v>73.043199999999999</v>
      </c>
      <c r="O46" s="538">
        <f>Sheet1!AA44+Sheet1!AB44</f>
        <v>55.44</v>
      </c>
      <c r="P46" s="538">
        <f t="shared" si="186"/>
        <v>85.765680000000003</v>
      </c>
      <c r="Q46" s="812">
        <f t="shared" si="98"/>
        <v>0</v>
      </c>
      <c r="R46" s="812">
        <f t="shared" si="59"/>
        <v>10.459151670951158</v>
      </c>
      <c r="S46" s="812">
        <f t="shared" si="60"/>
        <v>55.44</v>
      </c>
      <c r="T46" s="812">
        <f t="shared" si="61"/>
        <v>0</v>
      </c>
      <c r="U46" s="812">
        <f t="shared" si="99"/>
        <v>0</v>
      </c>
      <c r="V46" s="812"/>
      <c r="W46" s="812">
        <f t="shared" si="62"/>
        <v>54.180848329048843</v>
      </c>
      <c r="X46" s="812">
        <f t="shared" si="63"/>
        <v>55.44</v>
      </c>
      <c r="Y46" s="812" t="str">
        <f t="shared" si="64"/>
        <v/>
      </c>
      <c r="Z46" s="812">
        <f t="shared" si="65"/>
        <v>55.44</v>
      </c>
      <c r="AA46" s="812">
        <f t="shared" si="66"/>
        <v>55.44</v>
      </c>
      <c r="AB46" s="1059">
        <f t="shared" si="100"/>
        <v>0</v>
      </c>
      <c r="AC46" s="538">
        <f>Sheet1!Y44*MGDtoCFS</f>
        <v>38.056200000000004</v>
      </c>
      <c r="AD46" s="538">
        <f>Sheet1!Z44*MGDtoCFS</f>
        <v>43.099419999999995</v>
      </c>
      <c r="AE46" s="538">
        <f>Sheet1!AA44*MGDtoCFS</f>
        <v>37.901499999999999</v>
      </c>
      <c r="AF46" s="538">
        <f>Sheet1!AB44*MGDtoCFS</f>
        <v>47.864179999999998</v>
      </c>
      <c r="AG46" s="538">
        <f>Sheet1!L44*MGDtoCFS</f>
        <v>0</v>
      </c>
      <c r="AH46" s="521">
        <f t="shared" si="187"/>
        <v>0</v>
      </c>
      <c r="AI46" s="1059">
        <f t="shared" si="188"/>
        <v>0</v>
      </c>
      <c r="AJ46" s="535">
        <f t="shared" si="189"/>
        <v>0</v>
      </c>
      <c r="AK46" s="535">
        <f t="shared" si="190"/>
        <v>0</v>
      </c>
      <c r="AL46" s="535">
        <f>(VLOOKUP(Sheet1!DC44,hhdcap_wcm,4)-(((VLOOKUP(Sheet1!DC44,hhdcap_wcm,3)-Sheet1!DC44)/(VLOOKUP(Sheet1!DC44,hhdcap_wcm,3)-VLOOKUP(Sheet1!DC44,hhdcap_wcm,1)))*(VLOOKUP(Sheet1!DC44,hhdcap_wcm,4)-VLOOKUP(Sheet1!DC44,hhdcap_wcm,2))))</f>
        <v>1024.0000000028922</v>
      </c>
      <c r="AM46" s="535">
        <f t="shared" si="191"/>
        <v>-27.400000000027376</v>
      </c>
      <c r="AN46" s="1035">
        <f t="shared" si="192"/>
        <v>0</v>
      </c>
      <c r="AO46" s="535">
        <f t="shared" si="193"/>
        <v>0</v>
      </c>
      <c r="AP46" s="535">
        <f>Sheet1!BA44+Sheet1!BB44+Sheet1!BN44+CD46</f>
        <v>20.6</v>
      </c>
      <c r="AQ46" s="535">
        <f>Sheet1!BN44+(DO46*Sheet1!BN44)</f>
        <v>20.480848329048843</v>
      </c>
      <c r="AR46" s="535">
        <f>Sheet1!BA44+CD46</f>
        <v>0</v>
      </c>
      <c r="AS46" s="535">
        <f>Sheet1!BA44+Sheet1!BB44+CD46</f>
        <v>0</v>
      </c>
      <c r="AT46" s="649">
        <f>0</f>
        <v>0</v>
      </c>
      <c r="AU46" s="535">
        <f>IF(EB46&lt;K46,0,MAX(Sheet1!AA44+AQ46-15/36*K46-N46,Sheet1!EH44,0))</f>
        <v>0</v>
      </c>
      <c r="AV46" s="535">
        <f>IF(OR(B46&gt;=GD46,B46&lt;GC46),0,15/36*K46-MAX(0,64.6-(137.6-(Sheet1!AA44+Sheet1!AB44))))</f>
        <v>0</v>
      </c>
      <c r="AW46" s="1029"/>
      <c r="AX46" s="649"/>
      <c r="AY46" s="649">
        <f t="shared" si="101"/>
        <v>0</v>
      </c>
      <c r="AZ46" s="649">
        <f t="shared" si="102"/>
        <v>0</v>
      </c>
      <c r="BA46" s="1059">
        <f t="shared" si="103"/>
        <v>0</v>
      </c>
      <c r="BB46" s="1019">
        <f t="shared" si="194"/>
        <v>0</v>
      </c>
      <c r="BC46" s="1041">
        <f t="shared" si="104"/>
        <v>26.933333333333334</v>
      </c>
      <c r="BD46" s="1019">
        <f ca="1">IF(B46&gt;Summary!$A$1,#N/A,BB46*MGtoAF)</f>
        <v>0</v>
      </c>
      <c r="BE46" s="535">
        <f>Sheet1!BG44+Sheet1!BH44+Sheet1!BI44-BM46</f>
        <v>1.03</v>
      </c>
      <c r="BF46" s="535">
        <f t="shared" si="195"/>
        <v>1.0240424164524422</v>
      </c>
      <c r="BG46" s="535">
        <f>IF(Sheet1!EP44="FM",BM46,0)</f>
        <v>0</v>
      </c>
      <c r="BH46" s="535">
        <f t="shared" si="196"/>
        <v>0</v>
      </c>
      <c r="BI46" s="535">
        <f>IF(Sheet1!EP44="OTHER",BM46,0)</f>
        <v>0</v>
      </c>
      <c r="BJ46" s="535">
        <f t="shared" si="197"/>
        <v>0</v>
      </c>
      <c r="BK46" s="535">
        <f t="shared" si="198"/>
        <v>1.03</v>
      </c>
      <c r="BL46" s="535">
        <f t="shared" si="199"/>
        <v>1.0240424164524422</v>
      </c>
      <c r="BM46" s="535">
        <f>IF(OR(Sheet1!EP44="FM", Sheet1!EP44="OTHER"),SUM(Sheet1!BG44:'Sheet1'!BI44),0)</f>
        <v>0</v>
      </c>
      <c r="BN46" s="521">
        <f>IF(AND($B46&gt;=$FV46,$B46&lt;=$FW46),MAX(BF46,Sheet1!EI44,0),MAX(BF46-(7/36)*$K46,0))</f>
        <v>0</v>
      </c>
      <c r="BO46" s="535">
        <f t="shared" si="200"/>
        <v>0</v>
      </c>
      <c r="BP46" s="521">
        <f t="shared" si="201"/>
        <v>1.0240424164524422</v>
      </c>
      <c r="BQ46" s="521">
        <f>IF(AND($O46&gt;0,Sheet1!EM44=1),(1-($O46-Sheet1!$L44)/$O46)*BL46,0)</f>
        <v>0</v>
      </c>
      <c r="BR46" s="521">
        <f>IF(AND(Sheet1!$L44=0,Sheet1!$L43=0, Calculation!BK46&lt;Sheet1!$EI44-0.1,Sheet1!$EI44=Sheet1!$EI43,Sheet1!$EI44=Sheet1!$EI45),BL46-BQ46,BL46-BQ46)</f>
        <v>1.0240424164524422</v>
      </c>
      <c r="BS46" s="1035" t="str">
        <f t="shared" si="105"/>
        <v/>
      </c>
      <c r="BT46" s="1035">
        <f t="shared" si="106"/>
        <v>12.568888888888889</v>
      </c>
      <c r="BU46" s="535">
        <f t="shared" si="202"/>
        <v>0</v>
      </c>
      <c r="BV46" s="535"/>
      <c r="BW46" s="535">
        <f ca="1">IF(B46&gt;Summary!$A$1,#N/A,BU46*MGtoAF)</f>
        <v>0</v>
      </c>
      <c r="BX46" s="535">
        <f>Sheet1!BC44+Sheet1!BD44+Sheet1!BE44+Sheet1!BF44-CG46-CH46</f>
        <v>3.01</v>
      </c>
      <c r="BY46" s="535">
        <f t="shared" si="203"/>
        <v>2.9925899742930588</v>
      </c>
      <c r="BZ46" s="535">
        <f>IF(Sheet1!EQ44="FM",CH46,0)</f>
        <v>0</v>
      </c>
      <c r="CA46" s="535">
        <f t="shared" si="204"/>
        <v>0</v>
      </c>
      <c r="CB46" s="535">
        <f>IF(Sheet1!EQ44="OTHER",CH46,0)</f>
        <v>0</v>
      </c>
      <c r="CC46" s="535">
        <f t="shared" si="205"/>
        <v>0</v>
      </c>
      <c r="CD46" s="535">
        <f t="shared" si="206"/>
        <v>0</v>
      </c>
      <c r="CE46" s="535">
        <f t="shared" si="207"/>
        <v>3.01</v>
      </c>
      <c r="CF46" s="535">
        <f t="shared" si="208"/>
        <v>2.9925899742930588</v>
      </c>
      <c r="CG46" s="535">
        <f>IF(Sheet1!EQ44="CWA",SUM(Sheet1!BC44:'Sheet1'!BF44),0)</f>
        <v>0</v>
      </c>
      <c r="CH46" s="535">
        <f>IF(OR(Sheet1!EQ44="FM", Sheet1!EQ44="OTHER"),SUM(Sheet1!BC44:'Sheet1'!BF44),0)</f>
        <v>0</v>
      </c>
      <c r="CI46" s="521">
        <f>IF(AND($B46&gt;=$FV46,$B46&lt;=$FW46),MAX(CF46,Sheet1!EJ44,0),MAX(CF46-(7/36)*$K46,0))</f>
        <v>0</v>
      </c>
      <c r="CJ46" s="535">
        <f t="shared" si="209"/>
        <v>0</v>
      </c>
      <c r="CK46" s="521">
        <f t="shared" si="210"/>
        <v>2.9925899742930588</v>
      </c>
      <c r="CL46" s="521">
        <f>IF(AND($O46&gt;0,Sheet1!EN44=1),(1-($O46-Sheet1!$L44)/$O46)*CF46,0)</f>
        <v>0</v>
      </c>
      <c r="CM46" s="521">
        <f>IF(AND(Sheet1!$L44=0,Sheet1!$L43=0, Calculation!CE46&lt;Sheet1!EJ44-0.1,Sheet1!EJ44=Sheet1!EJ43,Sheet1!EJ44=Sheet1!EJ45),CF46-CL46,CF46-CL46)</f>
        <v>2.9925899742930588</v>
      </c>
      <c r="CN46" s="1040" t="str">
        <f t="shared" si="107"/>
        <v/>
      </c>
      <c r="CO46" s="1035">
        <f t="shared" si="108"/>
        <v>12.568888888888889</v>
      </c>
      <c r="CP46" s="535">
        <f t="shared" si="211"/>
        <v>0</v>
      </c>
      <c r="CQ46" s="535"/>
      <c r="CR46" s="535">
        <f ca="1">IF(B46&gt;Summary!$A$1,#N/A,CP46*MGtoAF)</f>
        <v>0</v>
      </c>
      <c r="CS46" s="535">
        <f>Sheet1!BK44+Sheet1!BL44+Sheet1!BM44-Sheet1!ER44-DA46</f>
        <v>6.48</v>
      </c>
      <c r="CT46" s="535">
        <f t="shared" si="212"/>
        <v>6.4425192802056559</v>
      </c>
      <c r="CU46" s="535">
        <f>IF(Sheet1!ER44="FM",DA46,0)</f>
        <v>0</v>
      </c>
      <c r="CV46" s="535">
        <f t="shared" si="213"/>
        <v>0</v>
      </c>
      <c r="CW46" s="535">
        <f>IF(Sheet1!ER44="OTHER",DA46,0)</f>
        <v>0</v>
      </c>
      <c r="CX46" s="535">
        <f t="shared" si="214"/>
        <v>0</v>
      </c>
      <c r="CY46" s="535">
        <f t="shared" si="215"/>
        <v>6.48</v>
      </c>
      <c r="CZ46" s="535">
        <f t="shared" si="216"/>
        <v>6.4425192802056559</v>
      </c>
      <c r="DA46" s="535">
        <f>IF(OR(Sheet1!ER44="FM", Sheet1!ER44="OTHER"),SUM(Sheet1!BK44:'Sheet1'!BM44),0)</f>
        <v>0</v>
      </c>
      <c r="DB46" s="1011">
        <f>IF(AND($B46&gt;=$FV46,$B46&lt;=$FW46),MAX($CT46,Sheet1!EK44,0),MAX($CT46-(7/36)*$K46,0))</f>
        <v>0</v>
      </c>
      <c r="DC46" s="1012">
        <f t="shared" si="217"/>
        <v>0</v>
      </c>
      <c r="DD46" s="1011">
        <f t="shared" si="218"/>
        <v>6.4425192802056559</v>
      </c>
      <c r="DE46" s="521">
        <f>IF(AND($O46&gt;0,Sheet1!EO44=1),(1-($O46-Sheet1!$L44)/$O46)*CZ46,0)</f>
        <v>0</v>
      </c>
      <c r="DF46" s="521">
        <f>IF(AND(Sheet1!$L44=0,Sheet1!$L43=0, Calculation!CY46&lt;Sheet1!$EK44-0.1,Sheet1!$EK44=Sheet1!$EK43,Sheet1!$EK44=Sheet1!$EK45),CZ46-DE46,CZ46-DE46)</f>
        <v>6.4425192802056559</v>
      </c>
      <c r="DG46" s="1040">
        <f t="shared" si="109"/>
        <v>12.568888888888889</v>
      </c>
      <c r="DH46" s="649">
        <f t="shared" si="219"/>
        <v>10.52</v>
      </c>
      <c r="DI46" s="535">
        <f t="shared" si="220"/>
        <v>0</v>
      </c>
      <c r="DJ46" s="649">
        <f t="shared" si="221"/>
        <v>10.459151670951158</v>
      </c>
      <c r="DK46" s="535">
        <f ca="1">IF(B46&gt;Summary!$A$1,#N/A,DI46*MGtoAF)</f>
        <v>0</v>
      </c>
      <c r="DL46" s="649">
        <f t="shared" si="222"/>
        <v>10.52</v>
      </c>
      <c r="DM46" s="535">
        <f t="shared" si="223"/>
        <v>31.12</v>
      </c>
      <c r="DN46" s="535">
        <f>Sheet1!AB44-DM46</f>
        <v>-0.17999999999999972</v>
      </c>
      <c r="DO46" s="743">
        <f t="shared" si="224"/>
        <v>-5.7840616966580881E-3</v>
      </c>
      <c r="DP46" s="535">
        <f>(VLOOKUP(Sheet1!DC44,hhdcap_wcm,4)-(((VLOOKUP(Sheet1!DC44,hhdcap_wcm,3)-Sheet1!DC44)/(VLOOKUP(Sheet1!DC44,hhdcap_wcm,3)-VLOOKUP(Sheet1!DC44,hhdcap_wcm,1)))*(VLOOKUP(Sheet1!DC44,hhdcap_wcm,4)-VLOOKUP(Sheet1!DC44,hhdcap_wcm,2))))</f>
        <v>1024.0000000028922</v>
      </c>
      <c r="DQ46" s="535">
        <f t="shared" si="225"/>
        <v>-27.400000000027376</v>
      </c>
      <c r="DR46" s="535">
        <f t="shared" si="226"/>
        <v>-13.817448310654248</v>
      </c>
      <c r="DS46" s="535">
        <f>Sheet1!EA44*AFtoMG</f>
        <v>0</v>
      </c>
      <c r="DT46" s="535">
        <f>Sheet1!EB44*AFtoMG</f>
        <v>0</v>
      </c>
      <c r="DU46" s="535">
        <f>Sheet1!EC44*AFtoMG</f>
        <v>0</v>
      </c>
      <c r="DV46" s="535">
        <f>Sheet1!ED44*AFtoMG</f>
        <v>0</v>
      </c>
      <c r="DW46" s="535">
        <f t="shared" si="227"/>
        <v>0</v>
      </c>
      <c r="DX46" s="535">
        <f t="shared" si="228"/>
        <v>0</v>
      </c>
      <c r="DY46" s="535">
        <f t="shared" si="229"/>
        <v>0</v>
      </c>
      <c r="DZ46" s="535">
        <f t="shared" si="230"/>
        <v>0</v>
      </c>
      <c r="EA46" s="535"/>
      <c r="EB46" s="521">
        <f>IF(OR(B46&lt;FV46,B46&gt;FW46),(MIN(BF46+BY46+CT46+MAX(Sheet1!AA44+AQ46-73,0),K46)),0)</f>
        <v>10.459151670951158</v>
      </c>
      <c r="EC46" s="535"/>
      <c r="ED46" s="535">
        <f t="shared" si="231"/>
        <v>10.459151670951156</v>
      </c>
      <c r="EE46" s="535"/>
      <c r="EF46" s="535">
        <f>Sheet1!EH44+Sheet1!EI44+Sheet1!EJ44+Sheet1!EK44</f>
        <v>10.5</v>
      </c>
      <c r="EG46" s="1019">
        <f t="shared" si="110"/>
        <v>16.243500000000001</v>
      </c>
      <c r="EH46" s="521">
        <f t="shared" si="232"/>
        <v>0</v>
      </c>
      <c r="EI46" s="535">
        <f>IF(Sheet1!ET44=1,SUM('Calculations II'!AT46:BA46)+'Calculations II'!BC46+Sheet1!BV44+'Calculations II'!BE46+AP46,'Calculations II'!BK46)</f>
        <v>45.96941632904884</v>
      </c>
      <c r="EJ46" s="535">
        <f ca="1">EI46+'Calculations II'!D46+'Calculations II'!E46+'Calculations II'!O46</f>
        <v>44.770293833371589</v>
      </c>
      <c r="EK46" s="535"/>
      <c r="EL46" s="535"/>
      <c r="EM46" s="535">
        <f t="shared" si="233"/>
        <v>42770</v>
      </c>
      <c r="EN46" s="535">
        <f t="shared" si="234"/>
        <v>0</v>
      </c>
      <c r="EO46" s="535">
        <f t="shared" si="235"/>
        <v>0</v>
      </c>
      <c r="EP46" s="535">
        <v>0</v>
      </c>
      <c r="EQ46" s="535">
        <v>0</v>
      </c>
      <c r="ER46" s="535">
        <v>0</v>
      </c>
      <c r="ES46" s="521">
        <f t="shared" si="71"/>
        <v>1.382253624311246</v>
      </c>
      <c r="ET46" s="535">
        <f>-(VLOOKUP(Sheet1!BQ44,Lookup!$O$4:$Q$262,2)-VLOOKUP(Sheet1!BQ43,Lookup!$O$4:$Q$262,2))/1000000</f>
        <v>0.69101477229515096</v>
      </c>
      <c r="EU46" s="535">
        <f>-(VLOOKUP(Sheet1!BR44,Lookup!$O$4:$Q$262,3)-VLOOKUP(Sheet1!BR43,Lookup!$O$4:$Q$262,3))/1000000</f>
        <v>0.69123885201609503</v>
      </c>
      <c r="EV46" s="535"/>
      <c r="EW46" s="535"/>
      <c r="EX46" s="535"/>
      <c r="EY46" s="535"/>
      <c r="EZ46" s="535"/>
      <c r="FA46" s="535"/>
      <c r="FB46" s="535"/>
      <c r="FC46" s="535"/>
      <c r="FD46" s="567" t="e">
        <f t="shared" si="236"/>
        <v>#N/A</v>
      </c>
      <c r="FE46" s="567" t="e">
        <f t="shared" si="237"/>
        <v>#N/A</v>
      </c>
      <c r="FF46" s="568" t="e">
        <f t="shared" si="238"/>
        <v>#N/A</v>
      </c>
      <c r="FG46" s="569" t="s">
        <v>656</v>
      </c>
      <c r="FH46" s="569" t="s">
        <v>656</v>
      </c>
      <c r="FI46" s="567" t="e">
        <v>#N/A</v>
      </c>
      <c r="FJ46" s="567" t="e">
        <v>#N/A</v>
      </c>
      <c r="FK46" s="535"/>
      <c r="FL46" s="1015">
        <v>0</v>
      </c>
      <c r="FM46" s="535"/>
      <c r="FN46" s="535"/>
      <c r="FO46" s="535">
        <f>O46+((Sheet1!CS44)*GPMtoMGD)</f>
        <v>55.44</v>
      </c>
      <c r="FP46" s="535">
        <f>IF(Sheet1!AA44+AQ46&lt;=Calculation!N46,AQ46,Calculation!N46-Sheet1!AA44)</f>
        <v>20.480848329048843</v>
      </c>
      <c r="FQ46" s="535">
        <f>(Sheet1!BP44+Sheet1!BO44)/694.4</f>
        <v>1.7121255760368665</v>
      </c>
      <c r="FR46" s="541"/>
      <c r="FS46" s="541"/>
      <c r="FT46" s="541"/>
      <c r="FU46" s="541"/>
      <c r="FV46" s="1109">
        <f t="shared" si="74"/>
        <v>42918</v>
      </c>
      <c r="FW46" s="1109">
        <f t="shared" si="75"/>
        <v>43027</v>
      </c>
      <c r="FX46" s="541"/>
      <c r="FY46" s="541">
        <f>Sheet1!DA44-Sheet1!CZ44-Sheet1!AE44</f>
        <v>625.23432000000003</v>
      </c>
      <c r="FZ46" s="535">
        <f t="shared" si="111"/>
        <v>1.1261778996791167</v>
      </c>
      <c r="GA46" s="535"/>
      <c r="GB46" s="535" t="str">
        <f t="shared" si="76"/>
        <v>n</v>
      </c>
      <c r="GC46" s="539">
        <f t="shared" si="77"/>
        <v>42782</v>
      </c>
      <c r="GD46" s="1109">
        <f t="shared" si="78"/>
        <v>42904</v>
      </c>
      <c r="GE46" s="535">
        <f t="shared" si="95"/>
        <v>6520</v>
      </c>
      <c r="GF46" s="1109">
        <f t="shared" si="79"/>
        <v>42909</v>
      </c>
      <c r="GG46" s="535">
        <f t="shared" si="174"/>
        <v>3260</v>
      </c>
      <c r="GH46" s="539">
        <f t="shared" si="80"/>
        <v>43040</v>
      </c>
      <c r="GJ46" s="521">
        <f t="shared" si="81"/>
        <v>0</v>
      </c>
      <c r="GK46" s="535" t="str">
        <f t="shared" si="239"/>
        <v/>
      </c>
      <c r="GL46" s="535">
        <f t="shared" si="82"/>
        <v>0</v>
      </c>
      <c r="GM46" s="535" t="str">
        <f t="shared" si="83"/>
        <v/>
      </c>
      <c r="GN46" s="535">
        <f>IF(GK46="P",Lookup!$M$12,IF(GK46="PP",Lookup!$M$13,IF(GK46="PPP",Lookup!$M$14,IF(GK46="T",Lookup!$M$15,IF(GK46="TP",Lookup!$M$16,IF(GK46="TPP",Lookup!$M$17,IF(GK46="TPPP",Lookup!$M$18,0)))))))*GJ46</f>
        <v>0</v>
      </c>
      <c r="GO46" s="535">
        <f t="shared" si="84"/>
        <v>0</v>
      </c>
      <c r="GP46" s="535">
        <f t="shared" si="240"/>
        <v>0</v>
      </c>
      <c r="GQ46" s="535">
        <f t="shared" si="94"/>
        <v>0</v>
      </c>
      <c r="GR46" s="535"/>
      <c r="GS46" s="535">
        <f t="shared" si="85"/>
        <v>0</v>
      </c>
      <c r="GT46" s="535" t="str">
        <f t="shared" si="86"/>
        <v/>
      </c>
      <c r="GU46" s="535">
        <f>IF(GK46="P",Lookup!$N$12,IF(GK46="PP",Lookup!$N$13,IF(GK46="PPP",Lookup!$N$14,IF(GK46="T",Lookup!$N$15,IF(GK46="TP",Lookup!$N$16,IF(GK46="TPP",Lookup!$N$17,IF(GK46="TPPP",Lookup!$N$18,0)))))))*GJ46</f>
        <v>0</v>
      </c>
      <c r="GV46" s="535">
        <f t="shared" si="53"/>
        <v>0</v>
      </c>
      <c r="GW46" s="535">
        <f t="shared" si="241"/>
        <v>0</v>
      </c>
      <c r="GX46" s="535">
        <f t="shared" si="91"/>
        <v>0</v>
      </c>
      <c r="GY46" s="535"/>
      <c r="GZ46" s="535">
        <f t="shared" si="87"/>
        <v>0</v>
      </c>
      <c r="HA46" s="535" t="str">
        <f t="shared" si="88"/>
        <v/>
      </c>
      <c r="HB46" s="535">
        <f>IF(GK46="P",Lookup!$N$12,IF(GK46="PP",Lookup!$N$13,IF(GK46="PPP",Lookup!$N$14,IF(GK46="T",Lookup!$N$15,IF(GK46="TP",Lookup!$N$16,IF(GK46="TPP",Lookup!$N$17,IF(GK46="TPPP",Lookup!$N$18,0)))))))*GJ46</f>
        <v>0</v>
      </c>
      <c r="HC46" s="521">
        <f t="shared" si="242"/>
        <v>0</v>
      </c>
      <c r="HD46" s="535">
        <f t="shared" si="243"/>
        <v>0</v>
      </c>
      <c r="HE46" s="535">
        <f t="shared" si="92"/>
        <v>0</v>
      </c>
      <c r="HF46" s="535"/>
      <c r="HG46" s="535">
        <f t="shared" si="89"/>
        <v>0</v>
      </c>
      <c r="HH46" s="535" t="str">
        <f t="shared" si="90"/>
        <v/>
      </c>
      <c r="HI46" s="535">
        <f>IF(GK46="P",Lookup!$N$12,IF(GK46="PP",Lookup!$N$13,IF(GK46="PPP",Lookup!$N$14,IF(GK46="T",Lookup!$N$15,IF(GK46="TP",Lookup!$N$16,IF(GK46="TPP",Lookup!$N$17,IF(GK46="TPPP",Lookup!$N$18,0)))))))*GJ46</f>
        <v>0</v>
      </c>
      <c r="HJ46" s="521">
        <f t="shared" si="244"/>
        <v>0</v>
      </c>
      <c r="HK46" s="535">
        <f t="shared" si="245"/>
        <v>0</v>
      </c>
      <c r="HL46" s="535">
        <f t="shared" si="93"/>
        <v>0</v>
      </c>
      <c r="HM46" s="535"/>
      <c r="HN46" s="541"/>
      <c r="HO46" s="541"/>
      <c r="HP46" s="541"/>
      <c r="HQ46" s="541">
        <f>IF(AND(B46&gt;=$FV$4,B46&lt;=$FW$4),MAX(110/1.02+$HQ$6+MIN(113/1.02,G46),IF($HV$6-(Sheet1!DA44-Sheet1!DB44)+MIN(113/1.02,G46)&lt;G46+FL46,$HV$6-(Sheet1!DA44-Sheet1!DB44)+MIN(113/1.02,G46),G46+FL46)),MIN(110/1.02+$HQ$6+113/1.02,G46))</f>
        <v>218.62745098039215</v>
      </c>
      <c r="HR46" s="541">
        <f t="shared" si="112"/>
        <v>223</v>
      </c>
      <c r="HS46" s="541">
        <f>HR46+(Sheet1!DA44-Sheet1!DB44)</f>
        <v>967</v>
      </c>
      <c r="HT46" s="541">
        <f t="shared" si="113"/>
        <v>0</v>
      </c>
      <c r="HU46" s="541">
        <f t="shared" si="114"/>
        <v>967</v>
      </c>
      <c r="HV46" s="541">
        <f t="shared" si="115"/>
        <v>0</v>
      </c>
      <c r="HW46" s="533" t="str">
        <f t="shared" si="116"/>
        <v/>
      </c>
      <c r="HX46" s="541">
        <f t="shared" si="117"/>
        <v>350.37254901960785</v>
      </c>
      <c r="HY46" s="541">
        <f>Sheet1!CZ44</f>
        <v>569</v>
      </c>
      <c r="HZ46" s="541">
        <f t="shared" si="118"/>
        <v>0</v>
      </c>
      <c r="IA46" s="541">
        <f t="shared" si="119"/>
        <v>0</v>
      </c>
      <c r="IB46" s="541">
        <f t="shared" si="120"/>
        <v>569</v>
      </c>
      <c r="IC46" s="1019" t="str">
        <f t="shared" si="121"/>
        <v/>
      </c>
      <c r="ID46" s="541">
        <f t="shared" si="122"/>
        <v>569</v>
      </c>
      <c r="IE46" s="541">
        <f>Sheet1!DB44</f>
        <v>536</v>
      </c>
      <c r="IF46" s="533">
        <f>Sheet1!DA44</f>
        <v>1280</v>
      </c>
      <c r="IH46" s="541">
        <f>IF(AND($B46&gt;=$GC46,$B46&lt;=$GH46,$DR46&lt;0)+N("only adjusted when pool is drawn down during storage season"),Sheet1!$DB44+$DR46+N("Palmer minus all storage release"),Sheet1!$DB44)</f>
        <v>536</v>
      </c>
      <c r="II46" s="541">
        <f>IF(AND($B46&gt;=$GC46,$B46&lt;=$GH46,$DR46&lt;0)+N("only adjusted when pool is drawn down during storage season"),Sheet1!$DA44+$DR46+N("Auburn minus all storage release"),Sheet1!$DA44)</f>
        <v>1280</v>
      </c>
    </row>
    <row r="47" spans="1:243" x14ac:dyDescent="0.25">
      <c r="A47" s="553" t="s">
        <v>3</v>
      </c>
      <c r="B47" s="531">
        <v>42771</v>
      </c>
      <c r="C47" s="536">
        <v>0</v>
      </c>
      <c r="D47" s="506">
        <f t="shared" si="0"/>
        <v>300</v>
      </c>
      <c r="E47" s="506">
        <f t="shared" si="1"/>
        <v>250</v>
      </c>
      <c r="F47" s="506">
        <v>250</v>
      </c>
      <c r="G47" s="535">
        <f>DR47+Sheet1!CZ45</f>
        <v>665.30055471527419</v>
      </c>
      <c r="H47" s="1074">
        <f t="shared" si="246"/>
        <v>216.82405279999998</v>
      </c>
      <c r="I47" s="534">
        <f>IF(Sheet1!DA45&gt;=E47,(Sheet1!DA45-E47+P47)*CFStoMGD,0)</f>
        <v>919.4608528</v>
      </c>
      <c r="J47" s="995">
        <f>IF(Sheet1!DB45&gt;=D47,(Sheet1!DB45-D47+P47)*CFStoMGD,0)</f>
        <v>216.82405279999998</v>
      </c>
      <c r="K47" s="818">
        <f t="shared" si="97"/>
        <v>64.64</v>
      </c>
      <c r="L47" s="535">
        <f>Sheet1!AA45+Sheet1!AB45-Sheet1!L45+(Sheet1!DA45-F47)*CFStoMGD-S47-T47-U47</f>
        <v>859.71199999999999</v>
      </c>
      <c r="M47" s="535">
        <f t="shared" si="185"/>
        <v>438.65128413931234</v>
      </c>
      <c r="N47" s="824">
        <f>IF(Sheet1!DA45&gt;=F47,MIN(113*CFStoMGD,MIN(MAX(L47,0),MAX(M47,0))),0)</f>
        <v>73.043199999999999</v>
      </c>
      <c r="O47" s="538">
        <f>Sheet1!AA45+Sheet1!AB45</f>
        <v>59.75</v>
      </c>
      <c r="P47" s="538">
        <f t="shared" si="186"/>
        <v>92.433250000000001</v>
      </c>
      <c r="Q47" s="812">
        <f t="shared" si="98"/>
        <v>0</v>
      </c>
      <c r="R47" s="812">
        <f t="shared" si="59"/>
        <v>10.582867132867133</v>
      </c>
      <c r="S47" s="812">
        <f t="shared" si="60"/>
        <v>59.75</v>
      </c>
      <c r="T47" s="812">
        <f t="shared" si="61"/>
        <v>0</v>
      </c>
      <c r="U47" s="812">
        <f t="shared" si="99"/>
        <v>0</v>
      </c>
      <c r="V47" s="812"/>
      <c r="W47" s="812">
        <f t="shared" si="62"/>
        <v>54.057132867132864</v>
      </c>
      <c r="X47" s="812">
        <f t="shared" si="63"/>
        <v>59.75</v>
      </c>
      <c r="Y47" s="812" t="str">
        <f t="shared" si="64"/>
        <v/>
      </c>
      <c r="Z47" s="812">
        <f t="shared" si="65"/>
        <v>59.75</v>
      </c>
      <c r="AA47" s="812">
        <f t="shared" si="66"/>
        <v>59.75</v>
      </c>
      <c r="AB47" s="1059">
        <f t="shared" si="100"/>
        <v>0</v>
      </c>
      <c r="AC47" s="538">
        <f>Sheet1!Y45*MGDtoCFS</f>
        <v>37.901499999999999</v>
      </c>
      <c r="AD47" s="538">
        <f>Sheet1!Z45*MGDtoCFS</f>
        <v>47.864179999999998</v>
      </c>
      <c r="AE47" s="538">
        <f>Sheet1!AA45*MGDtoCFS</f>
        <v>39.525849999999998</v>
      </c>
      <c r="AF47" s="538">
        <f>Sheet1!AB45*MGDtoCFS</f>
        <v>52.907400000000003</v>
      </c>
      <c r="AG47" s="538">
        <f>Sheet1!L45*MGDtoCFS</f>
        <v>0</v>
      </c>
      <c r="AH47" s="521">
        <f t="shared" si="187"/>
        <v>0</v>
      </c>
      <c r="AI47" s="1059">
        <f t="shared" si="188"/>
        <v>0</v>
      </c>
      <c r="AJ47" s="535">
        <f t="shared" si="189"/>
        <v>0</v>
      </c>
      <c r="AK47" s="535">
        <f t="shared" si="190"/>
        <v>0</v>
      </c>
      <c r="AL47" s="535">
        <f>(VLOOKUP(Sheet1!DC45,hhdcap_wcm,4)-(((VLOOKUP(Sheet1!DC45,hhdcap_wcm,3)-Sheet1!DC45)/(VLOOKUP(Sheet1!DC45,hhdcap_wcm,3)-VLOOKUP(Sheet1!DC45,hhdcap_wcm,1)))*(VLOOKUP(Sheet1!DC45,hhdcap_wcm,4)-VLOOKUP(Sheet1!DC45,hhdcap_wcm,2))))</f>
        <v>1199.1000000032809</v>
      </c>
      <c r="AM47" s="535">
        <f t="shared" si="191"/>
        <v>175.10000000038872</v>
      </c>
      <c r="AN47" s="1035">
        <f t="shared" si="192"/>
        <v>0</v>
      </c>
      <c r="AO47" s="535">
        <f t="shared" si="193"/>
        <v>0</v>
      </c>
      <c r="AP47" s="535">
        <f>Sheet1!BA45+Sheet1!BB45+Sheet1!BN45+CD47</f>
        <v>23.7</v>
      </c>
      <c r="AQ47" s="535">
        <f>Sheet1!BN45+(DO47*Sheet1!BN45)</f>
        <v>23.617132867132867</v>
      </c>
      <c r="AR47" s="535">
        <f>Sheet1!BA45+CD47</f>
        <v>0</v>
      </c>
      <c r="AS47" s="535">
        <f>Sheet1!BA45+Sheet1!BB45+CD47</f>
        <v>0</v>
      </c>
      <c r="AT47" s="649">
        <f>0</f>
        <v>0</v>
      </c>
      <c r="AU47" s="535">
        <f>IF(EB47&lt;K47,0,MAX(Sheet1!AA45+AQ47-15/36*K47-N47,Sheet1!EH45,0))</f>
        <v>0</v>
      </c>
      <c r="AV47" s="535">
        <f>IF(OR(B47&gt;=GD47,B47&lt;GC47),0,15/36*K47-MAX(0,64.6-(137.6-(Sheet1!AA45+Sheet1!AB45))))</f>
        <v>0</v>
      </c>
      <c r="AW47" s="1029"/>
      <c r="AX47" s="649"/>
      <c r="AY47" s="649">
        <f t="shared" si="101"/>
        <v>0</v>
      </c>
      <c r="AZ47" s="649">
        <f t="shared" si="102"/>
        <v>0</v>
      </c>
      <c r="BA47" s="1059">
        <f t="shared" si="103"/>
        <v>0</v>
      </c>
      <c r="BB47" s="1019">
        <f t="shared" si="194"/>
        <v>0</v>
      </c>
      <c r="BC47" s="1041">
        <f t="shared" si="104"/>
        <v>26.933333333333334</v>
      </c>
      <c r="BD47" s="1019">
        <f ca="1">IF(B47&gt;Summary!$A$1,#N/A,BB47*MGtoAF)</f>
        <v>0</v>
      </c>
      <c r="BE47" s="535">
        <f>Sheet1!BG45+Sheet1!BH45+Sheet1!BI45-BM47</f>
        <v>1.01</v>
      </c>
      <c r="BF47" s="535">
        <f t="shared" si="195"/>
        <v>1.0064685314685315</v>
      </c>
      <c r="BG47" s="535">
        <f>IF(Sheet1!EP45="FM",BM47,0)</f>
        <v>0</v>
      </c>
      <c r="BH47" s="535">
        <f t="shared" si="196"/>
        <v>0</v>
      </c>
      <c r="BI47" s="535">
        <f>IF(Sheet1!EP45="OTHER",BM47,0)</f>
        <v>0</v>
      </c>
      <c r="BJ47" s="535">
        <f t="shared" si="197"/>
        <v>0</v>
      </c>
      <c r="BK47" s="535">
        <f t="shared" si="198"/>
        <v>1.01</v>
      </c>
      <c r="BL47" s="535">
        <f t="shared" si="199"/>
        <v>1.0064685314685315</v>
      </c>
      <c r="BM47" s="535">
        <f>IF(OR(Sheet1!EP45="FM", Sheet1!EP45="OTHER"),SUM(Sheet1!BG45:'Sheet1'!BI45),0)</f>
        <v>0</v>
      </c>
      <c r="BN47" s="521">
        <f>IF(AND($B47&gt;=$FV47,$B47&lt;=$FW47),MAX(BF47,Sheet1!EI45,0),MAX(BF47-(7/36)*$K47,0))</f>
        <v>0</v>
      </c>
      <c r="BO47" s="535">
        <f t="shared" si="200"/>
        <v>0</v>
      </c>
      <c r="BP47" s="521">
        <f t="shared" si="201"/>
        <v>1.0064685314685315</v>
      </c>
      <c r="BQ47" s="521">
        <f>IF(AND($O47&gt;0,Sheet1!EM45=1),(1-($O47-Sheet1!$L45)/$O47)*BL47,0)</f>
        <v>0</v>
      </c>
      <c r="BR47" s="521">
        <f>IF(AND(Sheet1!$L45=0,Sheet1!$L44=0, Calculation!BK47&lt;Sheet1!$EI45-0.1,Sheet1!$EI45=Sheet1!$EI44,Sheet1!$EI45=Sheet1!$EI46),BL47-BQ47,BL47-BQ47)</f>
        <v>1.0064685314685315</v>
      </c>
      <c r="BS47" s="1035" t="str">
        <f t="shared" si="105"/>
        <v/>
      </c>
      <c r="BT47" s="1035">
        <f t="shared" si="106"/>
        <v>12.568888888888889</v>
      </c>
      <c r="BU47" s="535">
        <f t="shared" si="202"/>
        <v>0</v>
      </c>
      <c r="BV47" s="535"/>
      <c r="BW47" s="535">
        <f ca="1">IF(B47&gt;Summary!$A$1,#N/A,BU47*MGtoAF)</f>
        <v>0</v>
      </c>
      <c r="BX47" s="535">
        <f>Sheet1!BC45+Sheet1!BD45+Sheet1!BE45+Sheet1!BF45-CG47-CH47</f>
        <v>2.98</v>
      </c>
      <c r="BY47" s="535">
        <f t="shared" si="203"/>
        <v>2.9695804195804198</v>
      </c>
      <c r="BZ47" s="535">
        <f>IF(Sheet1!EQ45="FM",CH47,0)</f>
        <v>0</v>
      </c>
      <c r="CA47" s="535">
        <f t="shared" si="204"/>
        <v>0</v>
      </c>
      <c r="CB47" s="535">
        <f>IF(Sheet1!EQ45="OTHER",CH47,0)</f>
        <v>0</v>
      </c>
      <c r="CC47" s="535">
        <f t="shared" si="205"/>
        <v>0</v>
      </c>
      <c r="CD47" s="535">
        <f t="shared" si="206"/>
        <v>0</v>
      </c>
      <c r="CE47" s="535">
        <f t="shared" si="207"/>
        <v>2.98</v>
      </c>
      <c r="CF47" s="535">
        <f t="shared" si="208"/>
        <v>2.9695804195804198</v>
      </c>
      <c r="CG47" s="535">
        <f>IF(Sheet1!EQ45="CWA",SUM(Sheet1!BC45:'Sheet1'!BF45),0)</f>
        <v>0</v>
      </c>
      <c r="CH47" s="535">
        <f>IF(OR(Sheet1!EQ45="FM", Sheet1!EQ45="OTHER"),SUM(Sheet1!BC45:'Sheet1'!BF45),0)</f>
        <v>0</v>
      </c>
      <c r="CI47" s="521">
        <f>IF(AND($B47&gt;=$FV47,$B47&lt;=$FW47),MAX(CF47,Sheet1!EJ45,0),MAX(CF47-(7/36)*$K47,0))</f>
        <v>0</v>
      </c>
      <c r="CJ47" s="535">
        <f t="shared" si="209"/>
        <v>0</v>
      </c>
      <c r="CK47" s="521">
        <f t="shared" si="210"/>
        <v>2.9695804195804198</v>
      </c>
      <c r="CL47" s="521">
        <f>IF(AND($O47&gt;0,Sheet1!EN45=1),(1-($O47-Sheet1!$L45)/$O47)*CF47,0)</f>
        <v>0</v>
      </c>
      <c r="CM47" s="521">
        <f>IF(AND(Sheet1!$L45=0,Sheet1!$L44=0, Calculation!CE47&lt;Sheet1!EJ45-0.1,Sheet1!EJ45=Sheet1!EJ44,Sheet1!EJ45=Sheet1!EJ46),CF47-CL47,CF47-CL47)</f>
        <v>2.9695804195804198</v>
      </c>
      <c r="CN47" s="1040" t="str">
        <f t="shared" si="107"/>
        <v/>
      </c>
      <c r="CO47" s="1035">
        <f t="shared" si="108"/>
        <v>12.568888888888889</v>
      </c>
      <c r="CP47" s="535">
        <f t="shared" si="211"/>
        <v>0</v>
      </c>
      <c r="CQ47" s="535"/>
      <c r="CR47" s="535">
        <f ca="1">IF(B47&gt;Summary!$A$1,#N/A,CP47*MGtoAF)</f>
        <v>0</v>
      </c>
      <c r="CS47" s="535">
        <f>Sheet1!BK45+Sheet1!BL45+Sheet1!BM45-Sheet1!ER45-DA47</f>
        <v>6.63</v>
      </c>
      <c r="CT47" s="535">
        <f t="shared" si="212"/>
        <v>6.6068181818181824</v>
      </c>
      <c r="CU47" s="535">
        <f>IF(Sheet1!ER45="FM",DA47,0)</f>
        <v>0</v>
      </c>
      <c r="CV47" s="535">
        <f t="shared" si="213"/>
        <v>0</v>
      </c>
      <c r="CW47" s="535">
        <f>IF(Sheet1!ER45="OTHER",DA47,0)</f>
        <v>0</v>
      </c>
      <c r="CX47" s="535">
        <f t="shared" si="214"/>
        <v>0</v>
      </c>
      <c r="CY47" s="535">
        <f t="shared" si="215"/>
        <v>6.63</v>
      </c>
      <c r="CZ47" s="535">
        <f t="shared" si="216"/>
        <v>6.6068181818181824</v>
      </c>
      <c r="DA47" s="535">
        <f>IF(OR(Sheet1!ER45="FM", Sheet1!ER45="OTHER"),SUM(Sheet1!BK45:'Sheet1'!BM45),0)</f>
        <v>0</v>
      </c>
      <c r="DB47" s="1011">
        <f>IF(AND($B47&gt;=$FV47,$B47&lt;=$FW47),MAX($CT47,Sheet1!EK45,0),MAX($CT47-(7/36)*$K47,0))</f>
        <v>0</v>
      </c>
      <c r="DC47" s="1012">
        <f t="shared" si="217"/>
        <v>0</v>
      </c>
      <c r="DD47" s="1011">
        <f t="shared" si="218"/>
        <v>6.6068181818181824</v>
      </c>
      <c r="DE47" s="521">
        <f>IF(AND($O47&gt;0,Sheet1!EO45=1),(1-($O47-Sheet1!$L45)/$O47)*CZ47,0)</f>
        <v>0</v>
      </c>
      <c r="DF47" s="521">
        <f>IF(AND(Sheet1!$L45=0,Sheet1!$L44=0, Calculation!CY47&lt;Sheet1!$EK45-0.1,Sheet1!$EK45=Sheet1!$EK44,Sheet1!$EK45=Sheet1!$EK46),CZ47-DE47,CZ47-DE47)</f>
        <v>6.6068181818181824</v>
      </c>
      <c r="DG47" s="1040">
        <f t="shared" si="109"/>
        <v>12.568888888888889</v>
      </c>
      <c r="DH47" s="649">
        <f t="shared" si="219"/>
        <v>10.620000000000001</v>
      </c>
      <c r="DI47" s="535">
        <f t="shared" si="220"/>
        <v>0</v>
      </c>
      <c r="DJ47" s="649">
        <f t="shared" si="221"/>
        <v>10.582867132867133</v>
      </c>
      <c r="DK47" s="535">
        <f ca="1">IF(B47&gt;Summary!$A$1,#N/A,DI47*MGtoAF)</f>
        <v>0</v>
      </c>
      <c r="DL47" s="649">
        <f t="shared" si="222"/>
        <v>10.62</v>
      </c>
      <c r="DM47" s="535">
        <f t="shared" si="223"/>
        <v>34.32</v>
      </c>
      <c r="DN47" s="535">
        <f>Sheet1!AB45-DM47</f>
        <v>-0.11999999999999744</v>
      </c>
      <c r="DO47" s="743">
        <f t="shared" si="224"/>
        <v>-3.4965034965034219E-3</v>
      </c>
      <c r="DP47" s="535">
        <f>(VLOOKUP(Sheet1!DC45,hhdcap_wcm,4)-(((VLOOKUP(Sheet1!DC45,hhdcap_wcm,3)-Sheet1!DC45)/(VLOOKUP(Sheet1!DC45,hhdcap_wcm,3)-VLOOKUP(Sheet1!DC45,hhdcap_wcm,1)))*(VLOOKUP(Sheet1!DC45,hhdcap_wcm,4)-VLOOKUP(Sheet1!DC45,hhdcap_wcm,2))))</f>
        <v>1199.1000000032809</v>
      </c>
      <c r="DQ47" s="535">
        <f t="shared" si="225"/>
        <v>175.10000000038872</v>
      </c>
      <c r="DR47" s="535">
        <f t="shared" si="226"/>
        <v>88.300554715274174</v>
      </c>
      <c r="DS47" s="535">
        <f>Sheet1!EA45*AFtoMG</f>
        <v>0</v>
      </c>
      <c r="DT47" s="535">
        <f>Sheet1!EB45*AFtoMG</f>
        <v>0</v>
      </c>
      <c r="DU47" s="535">
        <f>Sheet1!EC45*AFtoMG</f>
        <v>0</v>
      </c>
      <c r="DV47" s="535">
        <f>Sheet1!ED45*AFtoMG</f>
        <v>0</v>
      </c>
      <c r="DW47" s="535">
        <f t="shared" si="227"/>
        <v>0</v>
      </c>
      <c r="DX47" s="535">
        <f t="shared" si="228"/>
        <v>0</v>
      </c>
      <c r="DY47" s="535">
        <f t="shared" si="229"/>
        <v>0</v>
      </c>
      <c r="DZ47" s="535">
        <f t="shared" si="230"/>
        <v>0</v>
      </c>
      <c r="EA47" s="535"/>
      <c r="EB47" s="521">
        <f>IF(OR(B47&lt;FV47,B47&gt;FW47),(MIN(BF47+BY47+CT47+MAX(Sheet1!AA45+AQ47-73,0),K47)),0)</f>
        <v>10.582867132867133</v>
      </c>
      <c r="EC47" s="535"/>
      <c r="ED47" s="535">
        <f t="shared" si="231"/>
        <v>10.582867132867133</v>
      </c>
      <c r="EE47" s="535"/>
      <c r="EF47" s="535">
        <f>Sheet1!EH45+Sheet1!EI45+Sheet1!EJ45+Sheet1!EK45</f>
        <v>10.5</v>
      </c>
      <c r="EG47" s="1019">
        <f t="shared" si="110"/>
        <v>16.243500000000001</v>
      </c>
      <c r="EH47" s="521">
        <f t="shared" si="232"/>
        <v>0</v>
      </c>
      <c r="EI47" s="535">
        <f>IF(Sheet1!ET45=1,SUM('Calculations II'!AT47:BA47)+'Calculations II'!BC47+Sheet1!BV45+'Calculations II'!BE47+AP47,'Calculations II'!BK47)</f>
        <v>46.680788867132868</v>
      </c>
      <c r="EJ47" s="535">
        <f ca="1">EI47+'Calculations II'!D47+'Calculations II'!E47+'Calculations II'!O47</f>
        <v>48.594259832165285</v>
      </c>
      <c r="EK47" s="535"/>
      <c r="EL47" s="535"/>
      <c r="EM47" s="535">
        <f t="shared" si="233"/>
        <v>42771</v>
      </c>
      <c r="EN47" s="535">
        <f t="shared" si="234"/>
        <v>0</v>
      </c>
      <c r="EO47" s="535">
        <f t="shared" si="235"/>
        <v>0</v>
      </c>
      <c r="EP47" s="535">
        <v>0</v>
      </c>
      <c r="EQ47" s="535">
        <v>0</v>
      </c>
      <c r="ER47" s="535">
        <v>0</v>
      </c>
      <c r="ES47" s="521">
        <f t="shared" si="71"/>
        <v>-1.9352447090279348</v>
      </c>
      <c r="ET47" s="535">
        <f>-(VLOOKUP(Sheet1!BQ45,Lookup!$O$4:$Q$262,2)-VLOOKUP(Sheet1!BQ44,Lookup!$O$4:$Q$262,2))/1000000</f>
        <v>-0.96746549508820845</v>
      </c>
      <c r="EU47" s="535">
        <f>-(VLOOKUP(Sheet1!BR45,Lookup!$O$4:$Q$262,3)-VLOOKUP(Sheet1!BR44,Lookup!$O$4:$Q$262,3))/1000000</f>
        <v>-0.96777921393972632</v>
      </c>
      <c r="EV47" s="535"/>
      <c r="EW47" s="535"/>
      <c r="EX47" s="535"/>
      <c r="EY47" s="535"/>
      <c r="EZ47" s="535"/>
      <c r="FA47" s="535"/>
      <c r="FB47" s="535"/>
      <c r="FC47" s="535"/>
      <c r="FD47" s="567" t="e">
        <f t="shared" si="236"/>
        <v>#N/A</v>
      </c>
      <c r="FE47" s="567" t="e">
        <f t="shared" si="237"/>
        <v>#N/A</v>
      </c>
      <c r="FF47" s="568" t="e">
        <f t="shared" si="238"/>
        <v>#N/A</v>
      </c>
      <c r="FG47" s="569" t="s">
        <v>656</v>
      </c>
      <c r="FH47" s="569" t="s">
        <v>656</v>
      </c>
      <c r="FI47" s="567" t="e">
        <v>#N/A</v>
      </c>
      <c r="FJ47" s="567" t="e">
        <v>#N/A</v>
      </c>
      <c r="FK47" s="535"/>
      <c r="FL47" s="1015">
        <v>0</v>
      </c>
      <c r="FM47" s="535"/>
      <c r="FN47" s="535"/>
      <c r="FO47" s="535">
        <f>O47+((Sheet1!CS45)*GPMtoMGD)</f>
        <v>59.75</v>
      </c>
      <c r="FP47" s="535">
        <f>IF(Sheet1!AA45+AQ47&lt;=Calculation!N47,AQ47,Calculation!N47-Sheet1!AA45)</f>
        <v>23.617132867132867</v>
      </c>
      <c r="FQ47" s="535">
        <f>(Sheet1!BP45+Sheet1!BO45)/694.4</f>
        <v>1.48991935483871</v>
      </c>
      <c r="FR47" s="541"/>
      <c r="FS47" s="541"/>
      <c r="FT47" s="541"/>
      <c r="FU47" s="541"/>
      <c r="FV47" s="1109">
        <f t="shared" si="74"/>
        <v>42918</v>
      </c>
      <c r="FW47" s="1109">
        <f t="shared" si="75"/>
        <v>43027</v>
      </c>
      <c r="FX47" s="541"/>
      <c r="FY47" s="541">
        <f>Sheet1!DA45-Sheet1!CZ45-Sheet1!AE45</f>
        <v>910.56674999999996</v>
      </c>
      <c r="FZ47" s="535">
        <f t="shared" si="111"/>
        <v>1.3686547283726396</v>
      </c>
      <c r="GA47" s="535"/>
      <c r="GB47" s="535" t="str">
        <f t="shared" si="76"/>
        <v>n</v>
      </c>
      <c r="GC47" s="539">
        <f t="shared" si="77"/>
        <v>42782</v>
      </c>
      <c r="GD47" s="1109">
        <f t="shared" si="78"/>
        <v>42904</v>
      </c>
      <c r="GE47" s="535">
        <f t="shared" si="95"/>
        <v>6520</v>
      </c>
      <c r="GF47" s="1109">
        <f t="shared" si="79"/>
        <v>42909</v>
      </c>
      <c r="GG47" s="535">
        <f t="shared" si="174"/>
        <v>3260</v>
      </c>
      <c r="GH47" s="539">
        <f t="shared" si="80"/>
        <v>43040</v>
      </c>
      <c r="GJ47" s="521">
        <f t="shared" si="81"/>
        <v>0</v>
      </c>
      <c r="GK47" s="535" t="str">
        <f t="shared" si="239"/>
        <v/>
      </c>
      <c r="GL47" s="535">
        <f t="shared" si="82"/>
        <v>0</v>
      </c>
      <c r="GM47" s="535" t="str">
        <f t="shared" si="83"/>
        <v/>
      </c>
      <c r="GN47" s="535">
        <f>IF(GK47="P",Lookup!$M$12,IF(GK47="PP",Lookup!$M$13,IF(GK47="PPP",Lookup!$M$14,IF(GK47="T",Lookup!$M$15,IF(GK47="TP",Lookup!$M$16,IF(GK47="TPP",Lookup!$M$17,IF(GK47="TPPP",Lookup!$M$18,0)))))))*GJ47</f>
        <v>0</v>
      </c>
      <c r="GO47" s="535">
        <f t="shared" si="84"/>
        <v>0</v>
      </c>
      <c r="GP47" s="535">
        <f t="shared" si="240"/>
        <v>0</v>
      </c>
      <c r="GQ47" s="535">
        <f t="shared" si="94"/>
        <v>0</v>
      </c>
      <c r="GR47" s="535"/>
      <c r="GS47" s="535">
        <f t="shared" si="85"/>
        <v>0</v>
      </c>
      <c r="GT47" s="535" t="str">
        <f t="shared" si="86"/>
        <v/>
      </c>
      <c r="GU47" s="535">
        <f>IF(GK47="P",Lookup!$N$12,IF(GK47="PP",Lookup!$N$13,IF(GK47="PPP",Lookup!$N$14,IF(GK47="T",Lookup!$N$15,IF(GK47="TP",Lookup!$N$16,IF(GK47="TPP",Lookup!$N$17,IF(GK47="TPPP",Lookup!$N$18,0)))))))*GJ47</f>
        <v>0</v>
      </c>
      <c r="GV47" s="535">
        <f t="shared" si="53"/>
        <v>0</v>
      </c>
      <c r="GW47" s="535">
        <f t="shared" si="241"/>
        <v>0</v>
      </c>
      <c r="GX47" s="535">
        <f t="shared" si="91"/>
        <v>0</v>
      </c>
      <c r="GY47" s="535"/>
      <c r="GZ47" s="535">
        <f t="shared" si="87"/>
        <v>0</v>
      </c>
      <c r="HA47" s="535" t="str">
        <f t="shared" si="88"/>
        <v/>
      </c>
      <c r="HB47" s="535">
        <f>IF(GK47="P",Lookup!$N$12,IF(GK47="PP",Lookup!$N$13,IF(GK47="PPP",Lookup!$N$14,IF(GK47="T",Lookup!$N$15,IF(GK47="TP",Lookup!$N$16,IF(GK47="TPP",Lookup!$N$17,IF(GK47="TPPP",Lookup!$N$18,0)))))))*GJ47</f>
        <v>0</v>
      </c>
      <c r="HC47" s="521">
        <f t="shared" si="242"/>
        <v>0</v>
      </c>
      <c r="HD47" s="535">
        <f t="shared" si="243"/>
        <v>0</v>
      </c>
      <c r="HE47" s="535">
        <f t="shared" si="92"/>
        <v>0</v>
      </c>
      <c r="HF47" s="535"/>
      <c r="HG47" s="535">
        <f t="shared" si="89"/>
        <v>0</v>
      </c>
      <c r="HH47" s="535" t="str">
        <f t="shared" si="90"/>
        <v/>
      </c>
      <c r="HI47" s="535">
        <f>IF(GK47="P",Lookup!$N$12,IF(GK47="PP",Lookup!$N$13,IF(GK47="PPP",Lookup!$N$14,IF(GK47="T",Lookup!$N$15,IF(GK47="TP",Lookup!$N$16,IF(GK47="TPP",Lookup!$N$17,IF(GK47="TPPP",Lookup!$N$18,0)))))))*GJ47</f>
        <v>0</v>
      </c>
      <c r="HJ47" s="521">
        <f t="shared" si="244"/>
        <v>0</v>
      </c>
      <c r="HK47" s="535">
        <f t="shared" si="245"/>
        <v>0</v>
      </c>
      <c r="HL47" s="535">
        <f t="shared" si="93"/>
        <v>0</v>
      </c>
      <c r="HM47" s="535"/>
      <c r="HN47" s="541"/>
      <c r="HO47" s="541"/>
      <c r="HP47" s="541"/>
      <c r="HQ47" s="541">
        <f>IF(AND(B47&gt;=$FV$4,B47&lt;=$FW$4),MAX(110/1.02+$HQ$6+MIN(113/1.02,G47),IF($HV$6-(Sheet1!DA45-Sheet1!DB45)+MIN(113/1.02,G47)&lt;G47+FL47,$HV$6-(Sheet1!DA45-Sheet1!DB45)+MIN(113/1.02,G47),G47+FL47)),MIN(110/1.02+$HQ$6+113/1.02,G47))</f>
        <v>218.62745098039215</v>
      </c>
      <c r="HR47" s="541">
        <f t="shared" si="112"/>
        <v>223</v>
      </c>
      <c r="HS47" s="541">
        <f>HR47+(Sheet1!DA45-Sheet1!DB45)</f>
        <v>1260</v>
      </c>
      <c r="HT47" s="541">
        <f t="shared" si="113"/>
        <v>0</v>
      </c>
      <c r="HU47" s="541">
        <f t="shared" si="114"/>
        <v>1260</v>
      </c>
      <c r="HV47" s="541">
        <f t="shared" si="115"/>
        <v>0</v>
      </c>
      <c r="HW47" s="533" t="str">
        <f t="shared" si="116"/>
        <v/>
      </c>
      <c r="HX47" s="541">
        <f t="shared" si="117"/>
        <v>358.37254901960785</v>
      </c>
      <c r="HY47" s="541">
        <f>Sheet1!CZ45</f>
        <v>577</v>
      </c>
      <c r="HZ47" s="541">
        <f t="shared" si="118"/>
        <v>0</v>
      </c>
      <c r="IA47" s="541">
        <f t="shared" si="119"/>
        <v>0</v>
      </c>
      <c r="IB47" s="541">
        <f t="shared" si="120"/>
        <v>577</v>
      </c>
      <c r="IC47" s="1019" t="str">
        <f t="shared" si="121"/>
        <v/>
      </c>
      <c r="ID47" s="541">
        <f t="shared" si="122"/>
        <v>577</v>
      </c>
      <c r="IE47" s="541">
        <f>Sheet1!DB45</f>
        <v>543</v>
      </c>
      <c r="IF47" s="533">
        <f>Sheet1!DA45</f>
        <v>1580</v>
      </c>
      <c r="IH47" s="541">
        <f>IF(AND($B47&gt;=$GC47,$B47&lt;=$GH47,$DR47&lt;0)+N("only adjusted when pool is drawn down during storage season"),Sheet1!$DB45+$DR47+N("Palmer minus all storage release"),Sheet1!$DB45)</f>
        <v>543</v>
      </c>
      <c r="II47" s="541">
        <f>IF(AND($B47&gt;=$GC47,$B47&lt;=$GH47,$DR47&lt;0)+N("only adjusted when pool is drawn down during storage season"),Sheet1!$DA45+$DR47+N("Auburn minus all storage release"),Sheet1!$DA45)</f>
        <v>1580</v>
      </c>
    </row>
    <row r="48" spans="1:243" x14ac:dyDescent="0.25">
      <c r="A48" s="553" t="s">
        <v>4</v>
      </c>
      <c r="B48" s="531">
        <v>42772</v>
      </c>
      <c r="C48" s="536">
        <v>0</v>
      </c>
      <c r="D48" s="506">
        <f t="shared" si="0"/>
        <v>300</v>
      </c>
      <c r="E48" s="506">
        <f t="shared" si="1"/>
        <v>250</v>
      </c>
      <c r="F48" s="506">
        <v>250</v>
      </c>
      <c r="G48" s="535">
        <f>DR48+Sheet1!CZ46</f>
        <v>624.74382249116013</v>
      </c>
      <c r="H48" s="1074">
        <f t="shared" si="246"/>
        <v>242.28441075200001</v>
      </c>
      <c r="I48" s="534">
        <f>IF(Sheet1!DA46&gt;=E48,(Sheet1!DA46-E48+P48)*CFStoMGD,0)</f>
        <v>902.25881075199993</v>
      </c>
      <c r="J48" s="995">
        <f>IF(Sheet1!DB46&gt;=D48,(Sheet1!DB46-D48+P48)*CFStoMGD,0)</f>
        <v>242.28441075200001</v>
      </c>
      <c r="K48" s="818">
        <f t="shared" si="97"/>
        <v>64.64</v>
      </c>
      <c r="L48" s="535">
        <f>Sheet1!AA46+Sheet1!AB46-Sheet1!L46+(Sheet1!DA46-F48)*CFStoMGD-S48-T48-U48</f>
        <v>840.31999999999994</v>
      </c>
      <c r="M48" s="535">
        <f t="shared" si="185"/>
        <v>411.91109499545166</v>
      </c>
      <c r="N48" s="824">
        <f>IF(Sheet1!DA46&gt;=F48,MIN(113*CFStoMGD,MIN(MAX(L48,0),MAX(M48,0))),0)</f>
        <v>73.043199999999999</v>
      </c>
      <c r="O48" s="538">
        <f>Sheet1!AA46+Sheet1!AB46</f>
        <v>61.94</v>
      </c>
      <c r="P48" s="538">
        <f t="shared" si="186"/>
        <v>95.821179999999998</v>
      </c>
      <c r="Q48" s="812">
        <f t="shared" si="98"/>
        <v>0</v>
      </c>
      <c r="R48" s="812">
        <f>IF(AND(B48&gt;=GF48,B48&lt;=GH48),MAX(EB48,EF48),EB48)</f>
        <v>10.560049847687619</v>
      </c>
      <c r="S48" s="812">
        <f t="shared" si="60"/>
        <v>61.94</v>
      </c>
      <c r="T48" s="812">
        <f t="shared" si="61"/>
        <v>0</v>
      </c>
      <c r="U48" s="812">
        <f t="shared" si="99"/>
        <v>0</v>
      </c>
      <c r="V48" s="812"/>
      <c r="W48" s="812">
        <f t="shared" si="62"/>
        <v>54.079950152312378</v>
      </c>
      <c r="X48" s="812">
        <f t="shared" si="63"/>
        <v>61.94</v>
      </c>
      <c r="Y48" s="812" t="str">
        <f t="shared" si="64"/>
        <v/>
      </c>
      <c r="Z48" s="812">
        <f t="shared" si="65"/>
        <v>61.94</v>
      </c>
      <c r="AA48" s="812">
        <f t="shared" si="66"/>
        <v>61.94</v>
      </c>
      <c r="AB48" s="1059">
        <f t="shared" si="100"/>
        <v>0</v>
      </c>
      <c r="AC48" s="538">
        <f>Sheet1!Y46*MGDtoCFS</f>
        <v>39.525849999999998</v>
      </c>
      <c r="AD48" s="538">
        <f>Sheet1!Z46*MGDtoCFS</f>
        <v>52.907400000000003</v>
      </c>
      <c r="AE48" s="538">
        <f>Sheet1!AA46*MGDtoCFS</f>
        <v>40.222000000000001</v>
      </c>
      <c r="AF48" s="538">
        <f>Sheet1!AB46*MGDtoCFS</f>
        <v>55.599179999999997</v>
      </c>
      <c r="AG48" s="538">
        <f>Sheet1!L46*MGDtoCFS</f>
        <v>0</v>
      </c>
      <c r="AH48" s="521">
        <f t="shared" si="187"/>
        <v>0</v>
      </c>
      <c r="AI48" s="1059">
        <f t="shared" si="188"/>
        <v>0</v>
      </c>
      <c r="AJ48" s="535">
        <f t="shared" si="189"/>
        <v>0</v>
      </c>
      <c r="AK48" s="535">
        <f t="shared" si="190"/>
        <v>0</v>
      </c>
      <c r="AL48" s="535">
        <f>(VLOOKUP(Sheet1!DC46,hhdcap_wcm,4)-(((VLOOKUP(Sheet1!DC46,hhdcap_wcm,3)-Sheet1!DC46)/(VLOOKUP(Sheet1!DC46,hhdcap_wcm,3)-VLOOKUP(Sheet1!DC46,hhdcap_wcm,1)))*(VLOOKUP(Sheet1!DC46,hhdcap_wcm,4)-VLOOKUP(Sheet1!DC46,hhdcap_wcm,2))))</f>
        <v>1151.0000000032514</v>
      </c>
      <c r="AM48" s="535">
        <f t="shared" si="191"/>
        <v>-48.100000000029468</v>
      </c>
      <c r="AN48" s="1035">
        <f t="shared" si="192"/>
        <v>0</v>
      </c>
      <c r="AO48" s="535">
        <f t="shared" si="193"/>
        <v>0</v>
      </c>
      <c r="AP48" s="535">
        <f>Sheet1!BA46+Sheet1!BB46+Sheet1!BN46+CD48</f>
        <v>25.5</v>
      </c>
      <c r="AQ48" s="535">
        <f>Sheet1!BN46+(DO48*Sheet1!BN46)</f>
        <v>25.379950152312379</v>
      </c>
      <c r="AR48" s="535">
        <f>Sheet1!BA46+CD48</f>
        <v>0</v>
      </c>
      <c r="AS48" s="535">
        <f>Sheet1!BA46+Sheet1!BB46+CD48</f>
        <v>0</v>
      </c>
      <c r="AT48" s="649">
        <f>0</f>
        <v>0</v>
      </c>
      <c r="AU48" s="535">
        <f>IF(EB48&lt;K48,0,MAX(Sheet1!AA46+AQ48-15/36*K48-N48,Sheet1!EH46,0))</f>
        <v>0</v>
      </c>
      <c r="AV48" s="535">
        <f>IF(OR(B48&gt;=GD48,B48&lt;GC48),0,15/36*K48-MAX(0,64.6-(137.6-(Sheet1!AA46+Sheet1!AB46))))</f>
        <v>0</v>
      </c>
      <c r="AW48" s="1029"/>
      <c r="AX48" s="649"/>
      <c r="AY48" s="649">
        <f t="shared" si="101"/>
        <v>0</v>
      </c>
      <c r="AZ48" s="649">
        <f t="shared" si="102"/>
        <v>0</v>
      </c>
      <c r="BA48" s="1059">
        <f t="shared" si="103"/>
        <v>0</v>
      </c>
      <c r="BB48" s="1019">
        <f t="shared" si="194"/>
        <v>0</v>
      </c>
      <c r="BC48" s="1041">
        <f t="shared" si="104"/>
        <v>26.933333333333334</v>
      </c>
      <c r="BD48" s="1019">
        <f ca="1">IF(B48&gt;Summary!$A$1,#N/A,BB48*MGtoAF)</f>
        <v>0</v>
      </c>
      <c r="BE48" s="535">
        <f>Sheet1!BG46+Sheet1!BH46+Sheet1!BI46-BM48</f>
        <v>1.1399999999999999</v>
      </c>
      <c r="BF48" s="535">
        <f t="shared" si="195"/>
        <v>1.1346330656327885</v>
      </c>
      <c r="BG48" s="535">
        <f>IF(Sheet1!EP46="FM",BM48,0)</f>
        <v>0</v>
      </c>
      <c r="BH48" s="535">
        <f t="shared" si="196"/>
        <v>0</v>
      </c>
      <c r="BI48" s="535">
        <f>IF(Sheet1!EP46="OTHER",BM48,0)</f>
        <v>0</v>
      </c>
      <c r="BJ48" s="535">
        <f t="shared" si="197"/>
        <v>0</v>
      </c>
      <c r="BK48" s="535">
        <f t="shared" si="198"/>
        <v>1.1399999999999999</v>
      </c>
      <c r="BL48" s="535">
        <f t="shared" si="199"/>
        <v>1.1346330656327885</v>
      </c>
      <c r="BM48" s="535">
        <f>IF(OR(Sheet1!EP46="FM", Sheet1!EP46="OTHER"),SUM(Sheet1!BG46:'Sheet1'!BI46),0)</f>
        <v>0</v>
      </c>
      <c r="BN48" s="521">
        <f>IF(AND($B48&gt;=$FV48,$B48&lt;=$FW48),MAX(BF48,Sheet1!EI46,0),MAX(BF48-(7/36)*$K48,0))</f>
        <v>0</v>
      </c>
      <c r="BO48" s="535">
        <f t="shared" si="200"/>
        <v>0</v>
      </c>
      <c r="BP48" s="521">
        <f t="shared" si="201"/>
        <v>1.1346330656327885</v>
      </c>
      <c r="BQ48" s="521">
        <f>IF(AND($O48&gt;0,Sheet1!EM46=1),(1-($O48-Sheet1!$L46)/$O48)*BL48,0)</f>
        <v>0</v>
      </c>
      <c r="BR48" s="521">
        <f>IF(AND(Sheet1!$L46=0,Sheet1!$L45=0, Calculation!BK48&lt;Sheet1!$EI46-0.1,Sheet1!$EI46=Sheet1!$EI45,Sheet1!$EI46=Sheet1!$EI47),BL48-BQ48,BL48-BQ48)</f>
        <v>1.1346330656327885</v>
      </c>
      <c r="BS48" s="1035" t="str">
        <f t="shared" si="105"/>
        <v/>
      </c>
      <c r="BT48" s="1035">
        <f t="shared" si="106"/>
        <v>12.568888888888889</v>
      </c>
      <c r="BU48" s="535">
        <f t="shared" si="202"/>
        <v>0</v>
      </c>
      <c r="BV48" s="535"/>
      <c r="BW48" s="535">
        <f ca="1">IF(B48&gt;Summary!$A$1,#N/A,BU48*MGtoAF)</f>
        <v>0</v>
      </c>
      <c r="BX48" s="535">
        <f>Sheet1!BC46+Sheet1!BD46+Sheet1!BE46+Sheet1!BF46-CG48-CH48</f>
        <v>3</v>
      </c>
      <c r="BY48" s="535">
        <f t="shared" si="203"/>
        <v>2.9858764885073383</v>
      </c>
      <c r="BZ48" s="535">
        <f>IF(Sheet1!EQ46="FM",CH48,0)</f>
        <v>0</v>
      </c>
      <c r="CA48" s="535">
        <f t="shared" si="204"/>
        <v>0</v>
      </c>
      <c r="CB48" s="535">
        <f>IF(Sheet1!EQ46="OTHER",CH48,0)</f>
        <v>0</v>
      </c>
      <c r="CC48" s="535">
        <f t="shared" si="205"/>
        <v>0</v>
      </c>
      <c r="CD48" s="535">
        <f t="shared" si="206"/>
        <v>0</v>
      </c>
      <c r="CE48" s="535">
        <f t="shared" si="207"/>
        <v>3</v>
      </c>
      <c r="CF48" s="535">
        <f t="shared" si="208"/>
        <v>2.9858764885073383</v>
      </c>
      <c r="CG48" s="535">
        <f>IF(Sheet1!EQ46="CWA",SUM(Sheet1!BC46:'Sheet1'!BF46),0)</f>
        <v>0</v>
      </c>
      <c r="CH48" s="535">
        <f>IF(OR(Sheet1!EQ46="FM", Sheet1!EQ46="OTHER"),SUM(Sheet1!BC46:'Sheet1'!BF46),0)</f>
        <v>0</v>
      </c>
      <c r="CI48" s="521">
        <f>IF(AND($B48&gt;=$FV48,$B48&lt;=$FW48),MAX(CF48,Sheet1!EJ46,0),MAX(CF48-(7/36)*$K48,0))</f>
        <v>0</v>
      </c>
      <c r="CJ48" s="535">
        <f t="shared" si="209"/>
        <v>0</v>
      </c>
      <c r="CK48" s="521">
        <f t="shared" si="210"/>
        <v>2.9858764885073383</v>
      </c>
      <c r="CL48" s="521">
        <f>IF(AND($O48&gt;0,Sheet1!EN46=1),(1-($O48-Sheet1!$L46)/$O48)*CF48,0)</f>
        <v>0</v>
      </c>
      <c r="CM48" s="521">
        <f>IF(AND(Sheet1!$L46=0,Sheet1!$L45=0, Calculation!CE48&lt;Sheet1!EJ46-0.1,Sheet1!EJ46=Sheet1!EJ45,Sheet1!EJ46=Sheet1!EJ47),CF48-CL48,CF48-CL48)</f>
        <v>2.9858764885073383</v>
      </c>
      <c r="CN48" s="1040" t="str">
        <f t="shared" si="107"/>
        <v/>
      </c>
      <c r="CO48" s="1035">
        <f t="shared" si="108"/>
        <v>12.568888888888889</v>
      </c>
      <c r="CP48" s="535">
        <f t="shared" si="211"/>
        <v>0</v>
      </c>
      <c r="CQ48" s="535"/>
      <c r="CR48" s="535">
        <f ca="1">IF(B48&gt;Summary!$A$1,#N/A,CP48*MGtoAF)</f>
        <v>0</v>
      </c>
      <c r="CS48" s="535">
        <f>Sheet1!BK46+Sheet1!BL46+Sheet1!BM46-Sheet1!ER46-DA48</f>
        <v>6.47</v>
      </c>
      <c r="CT48" s="535">
        <f t="shared" si="212"/>
        <v>6.439540293547493</v>
      </c>
      <c r="CU48" s="535">
        <f>IF(Sheet1!ER46="FM",DA48,0)</f>
        <v>0</v>
      </c>
      <c r="CV48" s="535">
        <f t="shared" si="213"/>
        <v>0</v>
      </c>
      <c r="CW48" s="535">
        <f>IF(Sheet1!ER46="OTHER",DA48,0)</f>
        <v>0</v>
      </c>
      <c r="CX48" s="535">
        <f t="shared" si="214"/>
        <v>0</v>
      </c>
      <c r="CY48" s="535">
        <f t="shared" si="215"/>
        <v>6.47</v>
      </c>
      <c r="CZ48" s="535">
        <f t="shared" si="216"/>
        <v>6.439540293547493</v>
      </c>
      <c r="DA48" s="535">
        <f>IF(OR(Sheet1!ER46="FM", Sheet1!ER46="OTHER"),SUM(Sheet1!BK46:'Sheet1'!BM46),0)</f>
        <v>0</v>
      </c>
      <c r="DB48" s="1011">
        <f>IF(AND($B48&gt;=$FV48,$B48&lt;=$FW48),MAX($CT48,Sheet1!EK46,0),MAX($CT48-(7/36)*$K48,0))</f>
        <v>0</v>
      </c>
      <c r="DC48" s="1012">
        <f t="shared" si="217"/>
        <v>0</v>
      </c>
      <c r="DD48" s="1011">
        <f t="shared" si="218"/>
        <v>6.439540293547493</v>
      </c>
      <c r="DE48" s="521">
        <f>IF(AND($O48&gt;0,Sheet1!EO46=1),(1-($O48-Sheet1!$L46)/$O48)*CZ48,0)</f>
        <v>0</v>
      </c>
      <c r="DF48" s="521">
        <f>IF(AND(Sheet1!$L46=0,Sheet1!$L45=0, Calculation!CY48&lt;Sheet1!$EK46-0.1,Sheet1!$EK46=Sheet1!$EK45,Sheet1!$EK46=Sheet1!$EK47),CZ48-DE48,CZ48-DE48)</f>
        <v>6.439540293547493</v>
      </c>
      <c r="DG48" s="1040">
        <f t="shared" si="109"/>
        <v>12.568888888888889</v>
      </c>
      <c r="DH48" s="649">
        <f t="shared" si="219"/>
        <v>10.61</v>
      </c>
      <c r="DI48" s="535">
        <f t="shared" si="220"/>
        <v>0</v>
      </c>
      <c r="DJ48" s="649">
        <f t="shared" si="221"/>
        <v>10.560049847687619</v>
      </c>
      <c r="DK48" s="535">
        <f ca="1">IF(B48&gt;Summary!$A$1,#N/A,DI48*MGtoAF)</f>
        <v>0</v>
      </c>
      <c r="DL48" s="649">
        <f t="shared" si="222"/>
        <v>10.61</v>
      </c>
      <c r="DM48" s="535">
        <f t="shared" si="223"/>
        <v>36.11</v>
      </c>
      <c r="DN48" s="535">
        <f>Sheet1!AB46-DM48</f>
        <v>-0.17000000000000171</v>
      </c>
      <c r="DO48" s="743">
        <f t="shared" si="224"/>
        <v>-4.7078371642204847E-3</v>
      </c>
      <c r="DP48" s="535">
        <f>(VLOOKUP(Sheet1!DC46,hhdcap_wcm,4)-(((VLOOKUP(Sheet1!DC46,hhdcap_wcm,3)-Sheet1!DC46)/(VLOOKUP(Sheet1!DC46,hhdcap_wcm,3)-VLOOKUP(Sheet1!DC46,hhdcap_wcm,1)))*(VLOOKUP(Sheet1!DC46,hhdcap_wcm,4)-VLOOKUP(Sheet1!DC46,hhdcap_wcm,2))))</f>
        <v>1151.0000000032514</v>
      </c>
      <c r="DQ48" s="535">
        <f t="shared" si="225"/>
        <v>-48.100000000029468</v>
      </c>
      <c r="DR48" s="535">
        <f t="shared" si="226"/>
        <v>-24.256177508839869</v>
      </c>
      <c r="DS48" s="535">
        <f>Sheet1!EA46*AFtoMG</f>
        <v>0</v>
      </c>
      <c r="DT48" s="535">
        <f>Sheet1!EB46*AFtoMG</f>
        <v>0</v>
      </c>
      <c r="DU48" s="535">
        <f>Sheet1!EC46*AFtoMG</f>
        <v>0</v>
      </c>
      <c r="DV48" s="535">
        <f>Sheet1!ED46*AFtoMG</f>
        <v>0</v>
      </c>
      <c r="DW48" s="535">
        <f t="shared" si="227"/>
        <v>0</v>
      </c>
      <c r="DX48" s="535">
        <f t="shared" si="228"/>
        <v>0</v>
      </c>
      <c r="DY48" s="535">
        <f t="shared" si="229"/>
        <v>0</v>
      </c>
      <c r="DZ48" s="535">
        <f t="shared" si="230"/>
        <v>0</v>
      </c>
      <c r="EA48" s="535"/>
      <c r="EB48" s="521">
        <f>IF(OR(B48&lt;FV48,B48&gt;FW48),(MIN(BF48+BY48+CT48+MAX(Sheet1!AA46+AQ48-73,0),K48)),0)</f>
        <v>10.560049847687619</v>
      </c>
      <c r="EC48" s="535"/>
      <c r="ED48" s="535">
        <f t="shared" si="231"/>
        <v>10.560049847687621</v>
      </c>
      <c r="EE48" s="535"/>
      <c r="EF48" s="535">
        <f>Sheet1!EH46+Sheet1!EI46+Sheet1!EJ46+Sheet1!EK46</f>
        <v>10.5</v>
      </c>
      <c r="EG48" s="1019">
        <f t="shared" si="110"/>
        <v>16.243500000000001</v>
      </c>
      <c r="EH48" s="521">
        <f t="shared" si="232"/>
        <v>0</v>
      </c>
      <c r="EI48" s="535">
        <f>IF(Sheet1!ET46=1,SUM('Calculations II'!AT48:BA48)+'Calculations II'!BC48+Sheet1!BV46+'Calculations II'!BE48+AP48,'Calculations II'!BK48)</f>
        <v>45.372468152312379</v>
      </c>
      <c r="EJ48" s="535">
        <f ca="1">EI48+'Calculations II'!D48+'Calculations II'!E48+'Calculations II'!O48</f>
        <v>50.939659111604733</v>
      </c>
      <c r="EK48" s="535"/>
      <c r="EL48" s="535"/>
      <c r="EM48" s="535">
        <f t="shared" si="233"/>
        <v>42772</v>
      </c>
      <c r="EN48" s="535">
        <f t="shared" si="234"/>
        <v>0</v>
      </c>
      <c r="EO48" s="535">
        <f t="shared" si="235"/>
        <v>0</v>
      </c>
      <c r="EP48" s="535">
        <v>0</v>
      </c>
      <c r="EQ48" s="535">
        <v>0</v>
      </c>
      <c r="ER48" s="535">
        <v>0</v>
      </c>
      <c r="ES48" s="521">
        <f t="shared" si="71"/>
        <v>-5.3943718930806845</v>
      </c>
      <c r="ET48" s="535">
        <f>-(VLOOKUP(Sheet1!BQ46,Lookup!$O$4:$Q$262,2)-VLOOKUP(Sheet1!BQ45,Lookup!$O$4:$Q$262,2))/1000000</f>
        <v>-2.6275593175173437</v>
      </c>
      <c r="EU48" s="535">
        <f>-(VLOOKUP(Sheet1!BR46,Lookup!$O$4:$Q$262,3)-VLOOKUP(Sheet1!BR45,Lookup!$O$4:$Q$262,3))/1000000</f>
        <v>-2.7668125755633413</v>
      </c>
      <c r="EV48" s="535"/>
      <c r="EW48" s="535"/>
      <c r="EX48" s="535"/>
      <c r="EY48" s="535"/>
      <c r="EZ48" s="535"/>
      <c r="FA48" s="535"/>
      <c r="FB48" s="535"/>
      <c r="FC48" s="535"/>
      <c r="FD48" s="567" t="e">
        <f t="shared" si="236"/>
        <v>#N/A</v>
      </c>
      <c r="FE48" s="567" t="e">
        <f t="shared" si="237"/>
        <v>#N/A</v>
      </c>
      <c r="FF48" s="568" t="e">
        <f t="shared" si="238"/>
        <v>#N/A</v>
      </c>
      <c r="FG48" s="569" t="s">
        <v>656</v>
      </c>
      <c r="FH48" s="569" t="s">
        <v>656</v>
      </c>
      <c r="FI48" s="567" t="e">
        <v>#N/A</v>
      </c>
      <c r="FJ48" s="567" t="e">
        <v>#N/A</v>
      </c>
      <c r="FK48" s="535"/>
      <c r="FL48" s="1015">
        <v>0</v>
      </c>
      <c r="FM48" s="535"/>
      <c r="FN48" s="535"/>
      <c r="FO48" s="535">
        <f>O48+((Sheet1!CS46)*GPMtoMGD)</f>
        <v>61.94</v>
      </c>
      <c r="FP48" s="535">
        <f>IF(Sheet1!AA46+AQ48&lt;=Calculation!N48,AQ48,Calculation!N48-Sheet1!AA46)</f>
        <v>25.379950152312379</v>
      </c>
      <c r="FQ48" s="535">
        <f>(Sheet1!BP46+Sheet1!BO46)/694.4</f>
        <v>1.3722638248847927</v>
      </c>
      <c r="FR48" s="541"/>
      <c r="FS48" s="541"/>
      <c r="FT48" s="541"/>
      <c r="FU48" s="541"/>
      <c r="FV48" s="1109">
        <f t="shared" si="74"/>
        <v>42918</v>
      </c>
      <c r="FW48" s="1109">
        <f t="shared" si="75"/>
        <v>43027</v>
      </c>
      <c r="FX48" s="541"/>
      <c r="FY48" s="541">
        <f>Sheet1!DA46-Sheet1!CZ46-Sheet1!AE46</f>
        <v>805.17881999999997</v>
      </c>
      <c r="FZ48" s="535">
        <f t="shared" si="111"/>
        <v>1.2888143764100892</v>
      </c>
      <c r="GA48" s="535"/>
      <c r="GB48" s="535" t="str">
        <f t="shared" si="76"/>
        <v>n</v>
      </c>
      <c r="GC48" s="539">
        <f t="shared" si="77"/>
        <v>42782</v>
      </c>
      <c r="GD48" s="1109">
        <f t="shared" si="78"/>
        <v>42904</v>
      </c>
      <c r="GE48" s="535">
        <f t="shared" si="95"/>
        <v>6520</v>
      </c>
      <c r="GF48" s="1109">
        <f t="shared" si="79"/>
        <v>42909</v>
      </c>
      <c r="GG48" s="535">
        <f t="shared" si="174"/>
        <v>3260</v>
      </c>
      <c r="GH48" s="539">
        <f t="shared" si="80"/>
        <v>43040</v>
      </c>
      <c r="GJ48" s="521">
        <f t="shared" si="81"/>
        <v>0</v>
      </c>
      <c r="GK48" s="535" t="str">
        <f t="shared" si="239"/>
        <v/>
      </c>
      <c r="GL48" s="535">
        <f t="shared" si="82"/>
        <v>0</v>
      </c>
      <c r="GM48" s="535" t="str">
        <f t="shared" si="83"/>
        <v/>
      </c>
      <c r="GN48" s="535">
        <f>IF(GK48="P",Lookup!$M$12,IF(GK48="PP",Lookup!$M$13,IF(GK48="PPP",Lookup!$M$14,IF(GK48="T",Lookup!$M$15,IF(GK48="TP",Lookup!$M$16,IF(GK48="TPP",Lookup!$M$17,IF(GK48="TPPP",Lookup!$M$18,0)))))))*GJ48</f>
        <v>0</v>
      </c>
      <c r="GO48" s="535">
        <f t="shared" si="84"/>
        <v>0</v>
      </c>
      <c r="GP48" s="535">
        <f t="shared" si="240"/>
        <v>0</v>
      </c>
      <c r="GQ48" s="535">
        <f t="shared" si="94"/>
        <v>0</v>
      </c>
      <c r="GR48" s="535"/>
      <c r="GS48" s="535">
        <f t="shared" si="85"/>
        <v>0</v>
      </c>
      <c r="GT48" s="535" t="str">
        <f t="shared" si="86"/>
        <v/>
      </c>
      <c r="GU48" s="535">
        <f>IF(GK48="P",Lookup!$N$12,IF(GK48="PP",Lookup!$N$13,IF(GK48="PPP",Lookup!$N$14,IF(GK48="T",Lookup!$N$15,IF(GK48="TP",Lookup!$N$16,IF(GK48="TPP",Lookup!$N$17,IF(GK48="TPPP",Lookup!$N$18,0)))))))*GJ48</f>
        <v>0</v>
      </c>
      <c r="GV48" s="535">
        <f t="shared" si="53"/>
        <v>0</v>
      </c>
      <c r="GW48" s="535">
        <f t="shared" si="241"/>
        <v>0</v>
      </c>
      <c r="GX48" s="535">
        <f t="shared" si="91"/>
        <v>0</v>
      </c>
      <c r="GY48" s="535"/>
      <c r="GZ48" s="535">
        <f t="shared" si="87"/>
        <v>0</v>
      </c>
      <c r="HA48" s="535" t="str">
        <f t="shared" si="88"/>
        <v/>
      </c>
      <c r="HB48" s="535">
        <f>IF(GK48="P",Lookup!$N$12,IF(GK48="PP",Lookup!$N$13,IF(GK48="PPP",Lookup!$N$14,IF(GK48="T",Lookup!$N$15,IF(GK48="TP",Lookup!$N$16,IF(GK48="TPP",Lookup!$N$17,IF(GK48="TPPP",Lookup!$N$18,0)))))))*GJ48</f>
        <v>0</v>
      </c>
      <c r="HC48" s="521">
        <f t="shared" si="242"/>
        <v>0</v>
      </c>
      <c r="HD48" s="535">
        <f t="shared" si="243"/>
        <v>0</v>
      </c>
      <c r="HE48" s="535">
        <f t="shared" si="92"/>
        <v>0</v>
      </c>
      <c r="HF48" s="535"/>
      <c r="HG48" s="535">
        <f t="shared" si="89"/>
        <v>0</v>
      </c>
      <c r="HH48" s="535" t="str">
        <f t="shared" si="90"/>
        <v/>
      </c>
      <c r="HI48" s="535">
        <f>IF(GK48="P",Lookup!$N$12,IF(GK48="PP",Lookup!$N$13,IF(GK48="PPP",Lookup!$N$14,IF(GK48="T",Lookup!$N$15,IF(GK48="TP",Lookup!$N$16,IF(GK48="TPP",Lookup!$N$17,IF(GK48="TPPP",Lookup!$N$18,0)))))))*GJ48</f>
        <v>0</v>
      </c>
      <c r="HJ48" s="521">
        <f t="shared" si="244"/>
        <v>0</v>
      </c>
      <c r="HK48" s="535">
        <f t="shared" si="245"/>
        <v>0</v>
      </c>
      <c r="HL48" s="535">
        <f t="shared" si="93"/>
        <v>0</v>
      </c>
      <c r="HM48" s="535"/>
      <c r="HN48" s="541"/>
      <c r="HO48" s="541"/>
      <c r="HP48" s="541"/>
      <c r="HQ48" s="541">
        <f>IF(AND(B48&gt;=$FV$4,B48&lt;=$FW$4),MAX(110/1.02+$HQ$6+MIN(113/1.02,G48),IF($HV$6-(Sheet1!DA46-Sheet1!DB46)+MIN(113/1.02,G48)&lt;G48+FL48,$HV$6-(Sheet1!DA46-Sheet1!DB46)+MIN(113/1.02,G48),G48+FL48)),MIN(110/1.02+$HQ$6+113/1.02,G48))</f>
        <v>218.62745098039215</v>
      </c>
      <c r="HR48" s="541">
        <f t="shared" si="112"/>
        <v>223</v>
      </c>
      <c r="HS48" s="541">
        <f>HR48+(Sheet1!DA46-Sheet1!DB46)</f>
        <v>1194</v>
      </c>
      <c r="HT48" s="541">
        <f t="shared" si="113"/>
        <v>0</v>
      </c>
      <c r="HU48" s="541">
        <f t="shared" si="114"/>
        <v>1194</v>
      </c>
      <c r="HV48" s="541">
        <f t="shared" si="115"/>
        <v>0</v>
      </c>
      <c r="HW48" s="533" t="str">
        <f t="shared" si="116"/>
        <v/>
      </c>
      <c r="HX48" s="541">
        <f t="shared" si="117"/>
        <v>430.37254901960785</v>
      </c>
      <c r="HY48" s="541">
        <f>Sheet1!CZ46</f>
        <v>649</v>
      </c>
      <c r="HZ48" s="541">
        <f t="shared" si="118"/>
        <v>0</v>
      </c>
      <c r="IA48" s="541">
        <f t="shared" si="119"/>
        <v>0</v>
      </c>
      <c r="IB48" s="541">
        <f t="shared" si="120"/>
        <v>649</v>
      </c>
      <c r="IC48" s="1019" t="str">
        <f t="shared" si="121"/>
        <v/>
      </c>
      <c r="ID48" s="541">
        <f t="shared" si="122"/>
        <v>649</v>
      </c>
      <c r="IE48" s="541">
        <f>Sheet1!DB46</f>
        <v>579</v>
      </c>
      <c r="IF48" s="533">
        <f>Sheet1!DA46</f>
        <v>1550</v>
      </c>
      <c r="IH48" s="541">
        <f>IF(AND($B48&gt;=$GC48,$B48&lt;=$GH48,$DR48&lt;0)+N("only adjusted when pool is drawn down during storage season"),Sheet1!$DB46+$DR48+N("Palmer minus all storage release"),Sheet1!$DB46)</f>
        <v>579</v>
      </c>
      <c r="II48" s="541">
        <f>IF(AND($B48&gt;=$GC48,$B48&lt;=$GH48,$DR48&lt;0)+N("only adjusted when pool is drawn down during storage season"),Sheet1!$DA46+$DR48+N("Auburn minus all storage release"),Sheet1!$DA46)</f>
        <v>1550</v>
      </c>
    </row>
    <row r="49" spans="1:243" x14ac:dyDescent="0.25">
      <c r="A49" s="553" t="s">
        <v>5</v>
      </c>
      <c r="B49" s="531">
        <v>42773</v>
      </c>
      <c r="C49" s="536">
        <v>0</v>
      </c>
      <c r="D49" s="506">
        <f t="shared" si="0"/>
        <v>300</v>
      </c>
      <c r="E49" s="506">
        <f t="shared" si="1"/>
        <v>250</v>
      </c>
      <c r="F49" s="506">
        <v>250</v>
      </c>
      <c r="G49" s="535">
        <f>DR49+Sheet1!CZ47</f>
        <v>460.38174483098953</v>
      </c>
      <c r="H49" s="1074">
        <f t="shared" si="246"/>
        <v>169.374033024</v>
      </c>
      <c r="I49" s="534">
        <f>IF(Sheet1!DA47&gt;=E49,(Sheet1!DA47-E49+P49)*CFStoMGD,0)</f>
        <v>752.42683302399996</v>
      </c>
      <c r="J49" s="995">
        <f>IF(Sheet1!DB47&gt;=D49,(Sheet1!DB47-D49+P49)*CFStoMGD,0)</f>
        <v>169.374033024</v>
      </c>
      <c r="K49" s="818">
        <f t="shared" si="97"/>
        <v>64.64</v>
      </c>
      <c r="L49" s="535">
        <f>Sheet1!AA47+Sheet1!AB47-Sheet1!L47+(Sheet1!DA47-F49)*CFStoMGD-S49-T49-U49</f>
        <v>691.64800000000002</v>
      </c>
      <c r="M49" s="535">
        <f t="shared" si="185"/>
        <v>303.5425750559267</v>
      </c>
      <c r="N49" s="824">
        <f>IF(Sheet1!DA47&gt;=F49,MIN(113*CFStoMGD,MIN(MAX(L49,0),MAX(M49,0))),0)</f>
        <v>73.043199999999999</v>
      </c>
      <c r="O49" s="538">
        <f>Sheet1!AA47+Sheet1!AB47</f>
        <v>60.78</v>
      </c>
      <c r="P49" s="538">
        <f t="shared" si="186"/>
        <v>94.026659999999993</v>
      </c>
      <c r="Q49" s="812">
        <f t="shared" si="98"/>
        <v>0</v>
      </c>
      <c r="R49" s="812">
        <f t="shared" si="59"/>
        <v>10.442976770863208</v>
      </c>
      <c r="S49" s="812">
        <f t="shared" si="60"/>
        <v>60.78</v>
      </c>
      <c r="T49" s="812">
        <f t="shared" si="61"/>
        <v>0</v>
      </c>
      <c r="U49" s="812">
        <f t="shared" si="99"/>
        <v>0</v>
      </c>
      <c r="V49" s="812"/>
      <c r="W49" s="812">
        <f t="shared" si="62"/>
        <v>54.197023229136789</v>
      </c>
      <c r="X49" s="812">
        <f t="shared" si="63"/>
        <v>60.78</v>
      </c>
      <c r="Y49" s="812" t="str">
        <f t="shared" si="64"/>
        <v/>
      </c>
      <c r="Z49" s="812">
        <f t="shared" si="65"/>
        <v>60.78</v>
      </c>
      <c r="AA49" s="812">
        <f t="shared" si="66"/>
        <v>60.78</v>
      </c>
      <c r="AB49" s="1059">
        <f t="shared" si="100"/>
        <v>0</v>
      </c>
      <c r="AC49" s="538">
        <f>Sheet1!Y47*MGDtoCFS</f>
        <v>40.222000000000001</v>
      </c>
      <c r="AD49" s="538">
        <f>Sheet1!Z47*MGDtoCFS</f>
        <v>55.599179999999997</v>
      </c>
      <c r="AE49" s="538">
        <f>Sheet1!AA47*MGDtoCFS</f>
        <v>40.222000000000001</v>
      </c>
      <c r="AF49" s="538">
        <f>Sheet1!AB47*MGDtoCFS</f>
        <v>53.804659999999998</v>
      </c>
      <c r="AG49" s="538">
        <f>Sheet1!L47*MGDtoCFS</f>
        <v>0</v>
      </c>
      <c r="AH49" s="521">
        <f t="shared" si="187"/>
        <v>0</v>
      </c>
      <c r="AI49" s="1059">
        <f t="shared" si="188"/>
        <v>0</v>
      </c>
      <c r="AJ49" s="535">
        <f t="shared" si="189"/>
        <v>0</v>
      </c>
      <c r="AK49" s="535">
        <f t="shared" si="190"/>
        <v>0</v>
      </c>
      <c r="AL49" s="535">
        <f>(VLOOKUP(Sheet1!DC47,hhdcap_wcm,4)-(((VLOOKUP(Sheet1!DC47,hhdcap_wcm,3)-Sheet1!DC47)/(VLOOKUP(Sheet1!DC47,hhdcap_wcm,3)-VLOOKUP(Sheet1!DC47,hhdcap_wcm,1)))*(VLOOKUP(Sheet1!DC47,hhdcap_wcm,4)-VLOOKUP(Sheet1!DC47,hhdcap_wcm,2))))</f>
        <v>995.10000000310367</v>
      </c>
      <c r="AM49" s="535">
        <f t="shared" si="191"/>
        <v>-155.90000000014777</v>
      </c>
      <c r="AN49" s="1035">
        <f t="shared" si="192"/>
        <v>0</v>
      </c>
      <c r="AO49" s="535">
        <f t="shared" si="193"/>
        <v>0</v>
      </c>
      <c r="AP49" s="535">
        <f>Sheet1!BA47+Sheet1!BB47+Sheet1!BN47+CD49</f>
        <v>24.4</v>
      </c>
      <c r="AQ49" s="535">
        <f>Sheet1!BN47+(DO49*Sheet1!BN47)</f>
        <v>24.337023229136793</v>
      </c>
      <c r="AR49" s="535">
        <f>Sheet1!BA47+CD49</f>
        <v>0</v>
      </c>
      <c r="AS49" s="535">
        <f>Sheet1!BA47+Sheet1!BB47+CD49</f>
        <v>0</v>
      </c>
      <c r="AT49" s="649">
        <f>0</f>
        <v>0</v>
      </c>
      <c r="AU49" s="535">
        <f>IF(EB49&lt;K49,0,MAX(Sheet1!AA47+AQ49-15/36*K49-N49,Sheet1!EH47,0))</f>
        <v>0</v>
      </c>
      <c r="AV49" s="535">
        <f>IF(OR(B49&gt;=GD49,B49&lt;GC49),0,15/36*K49-MAX(0,64.6-(137.6-(Sheet1!AA47+Sheet1!AB47))))</f>
        <v>0</v>
      </c>
      <c r="AW49" s="1029"/>
      <c r="AX49" s="649"/>
      <c r="AY49" s="649">
        <f t="shared" si="101"/>
        <v>0</v>
      </c>
      <c r="AZ49" s="649">
        <f t="shared" si="102"/>
        <v>0</v>
      </c>
      <c r="BA49" s="1059">
        <f t="shared" si="103"/>
        <v>0</v>
      </c>
      <c r="BB49" s="1019">
        <f t="shared" si="194"/>
        <v>0</v>
      </c>
      <c r="BC49" s="1041">
        <f t="shared" si="104"/>
        <v>26.933333333333334</v>
      </c>
      <c r="BD49" s="1019">
        <f ca="1">IF(B49&gt;Summary!$A$1,#N/A,BB49*MGtoAF)</f>
        <v>0</v>
      </c>
      <c r="BE49" s="535">
        <f>Sheet1!BG47+Sheet1!BH47+Sheet1!BI47-BM49</f>
        <v>1.01</v>
      </c>
      <c r="BF49" s="535">
        <f t="shared" si="195"/>
        <v>1.0073931746486953</v>
      </c>
      <c r="BG49" s="535">
        <f>IF(Sheet1!EP47="FM",BM49,0)</f>
        <v>0</v>
      </c>
      <c r="BH49" s="535">
        <f t="shared" si="196"/>
        <v>0</v>
      </c>
      <c r="BI49" s="535">
        <f>IF(Sheet1!EP47="OTHER",BM49,0)</f>
        <v>0</v>
      </c>
      <c r="BJ49" s="535">
        <f t="shared" si="197"/>
        <v>0</v>
      </c>
      <c r="BK49" s="535">
        <f t="shared" si="198"/>
        <v>1.01</v>
      </c>
      <c r="BL49" s="535">
        <f t="shared" si="199"/>
        <v>1.0073931746486953</v>
      </c>
      <c r="BM49" s="535">
        <f>IF(OR(Sheet1!EP47="FM", Sheet1!EP47="OTHER"),SUM(Sheet1!BG47:'Sheet1'!BI47),0)</f>
        <v>0</v>
      </c>
      <c r="BN49" s="521">
        <f>IF(AND($B49&gt;=$FV49,$B49&lt;=$FW49),MAX(BF49,Sheet1!EI47,0),MAX(BF49-(7/36)*$K49,0))</f>
        <v>0</v>
      </c>
      <c r="BO49" s="535">
        <f t="shared" si="200"/>
        <v>0</v>
      </c>
      <c r="BP49" s="521">
        <f t="shared" si="201"/>
        <v>1.0073931746486953</v>
      </c>
      <c r="BQ49" s="521">
        <f>IF(AND($O49&gt;0,Sheet1!EM47=1),(1-($O49-Sheet1!$L47)/$O49)*BL49,0)</f>
        <v>0</v>
      </c>
      <c r="BR49" s="521">
        <f>IF(AND(Sheet1!$L47=0,Sheet1!$L46=0, Calculation!BK49&lt;Sheet1!$EI47-0.1,Sheet1!$EI47=Sheet1!$EI46,Sheet1!$EI47=Sheet1!$EI48),BL49-BQ49,BL49-BQ49)</f>
        <v>1.0073931746486953</v>
      </c>
      <c r="BS49" s="1035" t="str">
        <f t="shared" si="105"/>
        <v/>
      </c>
      <c r="BT49" s="1035">
        <f t="shared" si="106"/>
        <v>12.568888888888889</v>
      </c>
      <c r="BU49" s="535">
        <f t="shared" si="202"/>
        <v>0</v>
      </c>
      <c r="BV49" s="535"/>
      <c r="BW49" s="535">
        <f ca="1">IF(B49&gt;Summary!$A$1,#N/A,BU49*MGtoAF)</f>
        <v>0</v>
      </c>
      <c r="BX49" s="535">
        <f>Sheet1!BC47+Sheet1!BD47+Sheet1!BE47+Sheet1!BF47-CG49-CH49</f>
        <v>3</v>
      </c>
      <c r="BY49" s="535">
        <f t="shared" si="203"/>
        <v>2.9922569544020652</v>
      </c>
      <c r="BZ49" s="535">
        <f>IF(Sheet1!EQ47="FM",CH49,0)</f>
        <v>0</v>
      </c>
      <c r="CA49" s="535">
        <f t="shared" si="204"/>
        <v>0</v>
      </c>
      <c r="CB49" s="535">
        <f>IF(Sheet1!EQ47="OTHER",CH49,0)</f>
        <v>0</v>
      </c>
      <c r="CC49" s="535">
        <f t="shared" si="205"/>
        <v>0</v>
      </c>
      <c r="CD49" s="535">
        <f t="shared" si="206"/>
        <v>0</v>
      </c>
      <c r="CE49" s="535">
        <f t="shared" si="207"/>
        <v>3</v>
      </c>
      <c r="CF49" s="535">
        <f t="shared" si="208"/>
        <v>2.9922569544020652</v>
      </c>
      <c r="CG49" s="535">
        <f>IF(Sheet1!EQ47="CWA",SUM(Sheet1!BC47:'Sheet1'!BF47),0)</f>
        <v>0</v>
      </c>
      <c r="CH49" s="535">
        <f>IF(OR(Sheet1!EQ47="FM", Sheet1!EQ47="OTHER"),SUM(Sheet1!BC47:'Sheet1'!BF47),0)</f>
        <v>0</v>
      </c>
      <c r="CI49" s="521">
        <f>IF(AND($B49&gt;=$FV49,$B49&lt;=$FW49),MAX(CF49,Sheet1!EJ47,0),MAX(CF49-(7/36)*$K49,0))</f>
        <v>0</v>
      </c>
      <c r="CJ49" s="535">
        <f t="shared" si="209"/>
        <v>0</v>
      </c>
      <c r="CK49" s="521">
        <f t="shared" si="210"/>
        <v>2.9922569544020652</v>
      </c>
      <c r="CL49" s="521">
        <f>IF(AND($O49&gt;0,Sheet1!EN47=1),(1-($O49-Sheet1!$L47)/$O49)*CF49,0)</f>
        <v>0</v>
      </c>
      <c r="CM49" s="521">
        <f>IF(AND(Sheet1!$L47=0,Sheet1!$L46=0, Calculation!CE49&lt;Sheet1!EJ47-0.1,Sheet1!EJ47=Sheet1!EJ46,Sheet1!EJ47=Sheet1!EJ48),CF49-CL49,CF49-CL49)</f>
        <v>2.9922569544020652</v>
      </c>
      <c r="CN49" s="1040" t="str">
        <f t="shared" si="107"/>
        <v/>
      </c>
      <c r="CO49" s="1035">
        <f t="shared" si="108"/>
        <v>12.568888888888889</v>
      </c>
      <c r="CP49" s="535">
        <f t="shared" si="211"/>
        <v>0</v>
      </c>
      <c r="CQ49" s="535"/>
      <c r="CR49" s="535">
        <f ca="1">IF(B49&gt;Summary!$A$1,#N/A,CP49*MGtoAF)</f>
        <v>0</v>
      </c>
      <c r="CS49" s="535">
        <f>Sheet1!BK47+Sheet1!BL47+Sheet1!BM47-Sheet1!ER47-DA49</f>
        <v>6.46</v>
      </c>
      <c r="CT49" s="535">
        <f t="shared" si="212"/>
        <v>6.4433266418124466</v>
      </c>
      <c r="CU49" s="535">
        <f>IF(Sheet1!ER47="FM",DA49,0)</f>
        <v>0</v>
      </c>
      <c r="CV49" s="535">
        <f t="shared" si="213"/>
        <v>0</v>
      </c>
      <c r="CW49" s="535">
        <f>IF(Sheet1!ER47="OTHER",DA49,0)</f>
        <v>0</v>
      </c>
      <c r="CX49" s="535">
        <f t="shared" si="214"/>
        <v>0</v>
      </c>
      <c r="CY49" s="535">
        <f t="shared" si="215"/>
        <v>6.46</v>
      </c>
      <c r="CZ49" s="535">
        <f t="shared" si="216"/>
        <v>6.4433266418124466</v>
      </c>
      <c r="DA49" s="535">
        <f>IF(OR(Sheet1!ER47="FM", Sheet1!ER47="OTHER"),SUM(Sheet1!BK47:'Sheet1'!BM47),0)</f>
        <v>0</v>
      </c>
      <c r="DB49" s="1011">
        <f>IF(AND($B49&gt;=$FV49,$B49&lt;=$FW49),MAX($CT49,Sheet1!EK47,0),MAX($CT49-(7/36)*$K49,0))</f>
        <v>0</v>
      </c>
      <c r="DC49" s="1012">
        <f t="shared" si="217"/>
        <v>0</v>
      </c>
      <c r="DD49" s="1011">
        <f t="shared" si="218"/>
        <v>6.4433266418124466</v>
      </c>
      <c r="DE49" s="521">
        <f>IF(AND($O49&gt;0,Sheet1!EO47=1),(1-($O49-Sheet1!$L47)/$O49)*CZ49,0)</f>
        <v>0</v>
      </c>
      <c r="DF49" s="521">
        <f>IF(AND(Sheet1!$L47=0,Sheet1!$L46=0, Calculation!CY49&lt;Sheet1!$EK47-0.1,Sheet1!$EK47=Sheet1!$EK46,Sheet1!$EK47=Sheet1!$EK48),CZ49-DE49,CZ49-DE49)</f>
        <v>6.4433266418124466</v>
      </c>
      <c r="DG49" s="1040">
        <f t="shared" si="109"/>
        <v>12.568888888888889</v>
      </c>
      <c r="DH49" s="649">
        <f t="shared" si="219"/>
        <v>10.469999999999999</v>
      </c>
      <c r="DI49" s="535">
        <f t="shared" si="220"/>
        <v>0</v>
      </c>
      <c r="DJ49" s="649">
        <f t="shared" si="221"/>
        <v>10.442976770863208</v>
      </c>
      <c r="DK49" s="535">
        <f ca="1">IF(B49&gt;Summary!$A$1,#N/A,DI49*MGtoAF)</f>
        <v>0</v>
      </c>
      <c r="DL49" s="649">
        <f t="shared" si="222"/>
        <v>10.47</v>
      </c>
      <c r="DM49" s="535">
        <f t="shared" si="223"/>
        <v>34.869999999999997</v>
      </c>
      <c r="DN49" s="535">
        <f>Sheet1!AB47-DM49</f>
        <v>-8.9999999999996305E-2</v>
      </c>
      <c r="DO49" s="743">
        <f t="shared" si="224"/>
        <v>-2.5810151993116235E-3</v>
      </c>
      <c r="DP49" s="535">
        <f>(VLOOKUP(Sheet1!DC47,hhdcap_wcm,4)-(((VLOOKUP(Sheet1!DC47,hhdcap_wcm,3)-Sheet1!DC47)/(VLOOKUP(Sheet1!DC47,hhdcap_wcm,3)-VLOOKUP(Sheet1!DC47,hhdcap_wcm,1)))*(VLOOKUP(Sheet1!DC47,hhdcap_wcm,4)-VLOOKUP(Sheet1!DC47,hhdcap_wcm,2))))</f>
        <v>995.10000000310367</v>
      </c>
      <c r="DQ49" s="535">
        <f t="shared" si="225"/>
        <v>-155.90000000014777</v>
      </c>
      <c r="DR49" s="535">
        <f t="shared" si="226"/>
        <v>-78.618255169010467</v>
      </c>
      <c r="DS49" s="535">
        <f>Sheet1!EA47*AFtoMG</f>
        <v>0</v>
      </c>
      <c r="DT49" s="535">
        <f>Sheet1!EB47*AFtoMG</f>
        <v>0</v>
      </c>
      <c r="DU49" s="535">
        <f>Sheet1!EC47*AFtoMG</f>
        <v>0</v>
      </c>
      <c r="DV49" s="535">
        <f>Sheet1!ED47*AFtoMG</f>
        <v>0</v>
      </c>
      <c r="DW49" s="535">
        <f t="shared" si="227"/>
        <v>0</v>
      </c>
      <c r="DX49" s="535">
        <f t="shared" si="228"/>
        <v>0</v>
      </c>
      <c r="DY49" s="535">
        <f t="shared" si="229"/>
        <v>0</v>
      </c>
      <c r="DZ49" s="535">
        <f t="shared" si="230"/>
        <v>0</v>
      </c>
      <c r="EA49" s="535"/>
      <c r="EB49" s="521">
        <f>IF(OR(B49&lt;FV49,B49&gt;FW49),(MIN(BF49+BY49+CT49+MAX(Sheet1!AA47+AQ49-73,0),K49)),0)</f>
        <v>10.442976770863208</v>
      </c>
      <c r="EC49" s="535"/>
      <c r="ED49" s="535">
        <f t="shared" si="231"/>
        <v>10.442976770863208</v>
      </c>
      <c r="EE49" s="535"/>
      <c r="EF49" s="535">
        <f>Sheet1!EH47+Sheet1!EI47+Sheet1!EJ47+Sheet1!EK47</f>
        <v>10.5</v>
      </c>
      <c r="EG49" s="1019">
        <f t="shared" si="110"/>
        <v>16.243500000000001</v>
      </c>
      <c r="EH49" s="521">
        <f t="shared" si="232"/>
        <v>0</v>
      </c>
      <c r="EI49" s="535">
        <f>IF(Sheet1!ET47=1,SUM('Calculations II'!AT49:BA49)+'Calculations II'!BC49+Sheet1!BV47+'Calculations II'!BE49+AP49,'Calculations II'!BK49)</f>
        <v>45.551153229136787</v>
      </c>
      <c r="EJ49" s="535">
        <f ca="1">EI49+'Calculations II'!D49+'Calculations II'!E49+'Calculations II'!O49</f>
        <v>49.562670644058358</v>
      </c>
      <c r="EK49" s="535"/>
      <c r="EL49" s="535"/>
      <c r="EM49" s="535">
        <f t="shared" si="233"/>
        <v>42773</v>
      </c>
      <c r="EN49" s="535">
        <f t="shared" si="234"/>
        <v>0</v>
      </c>
      <c r="EO49" s="535">
        <f t="shared" si="235"/>
        <v>0</v>
      </c>
      <c r="EP49" s="535">
        <v>0</v>
      </c>
      <c r="EQ49" s="535">
        <v>0</v>
      </c>
      <c r="ER49" s="535">
        <v>0</v>
      </c>
      <c r="ES49" s="521">
        <f t="shared" si="71"/>
        <v>-3.7373781677191258</v>
      </c>
      <c r="ET49" s="535">
        <f>-(VLOOKUP(Sheet1!BQ47,Lookup!$O$4:$Q$262,2)-VLOOKUP(Sheet1!BQ46,Lookup!$O$4:$Q$262,2))/1000000</f>
        <v>-1.9375758913145438</v>
      </c>
      <c r="EU49" s="535">
        <f>-(VLOOKUP(Sheet1!BR47,Lookup!$O$4:$Q$262,3)-VLOOKUP(Sheet1!BR46,Lookup!$O$4:$Q$262,3))/1000000</f>
        <v>-1.799802276404582</v>
      </c>
      <c r="EV49" s="535"/>
      <c r="EW49" s="535"/>
      <c r="EX49" s="535"/>
      <c r="EY49" s="535"/>
      <c r="EZ49" s="535"/>
      <c r="FA49" s="535"/>
      <c r="FB49" s="535"/>
      <c r="FC49" s="535"/>
      <c r="FD49" s="567" t="e">
        <f t="shared" si="236"/>
        <v>#N/A</v>
      </c>
      <c r="FE49" s="567" t="e">
        <f t="shared" si="237"/>
        <v>#N/A</v>
      </c>
      <c r="FF49" s="568" t="e">
        <f t="shared" si="238"/>
        <v>#N/A</v>
      </c>
      <c r="FG49" s="569" t="s">
        <v>656</v>
      </c>
      <c r="FH49" s="569" t="s">
        <v>656</v>
      </c>
      <c r="FI49" s="567" t="e">
        <v>#N/A</v>
      </c>
      <c r="FJ49" s="567" t="e">
        <v>#N/A</v>
      </c>
      <c r="FK49" s="535"/>
      <c r="FL49" s="1015">
        <v>0</v>
      </c>
      <c r="FM49" s="535"/>
      <c r="FN49" s="535"/>
      <c r="FO49" s="535">
        <f>O49+((Sheet1!CS47)*GPMtoMGD)</f>
        <v>60.78</v>
      </c>
      <c r="FP49" s="535">
        <f>IF(Sheet1!AA47+AQ49&lt;=Calculation!N49,AQ49,Calculation!N49-Sheet1!AA47)</f>
        <v>24.337023229136793</v>
      </c>
      <c r="FQ49" s="535">
        <f>(Sheet1!BP47+Sheet1!BO47)/694.4</f>
        <v>1.284274193548387</v>
      </c>
      <c r="FR49" s="541"/>
      <c r="FS49" s="541"/>
      <c r="FT49" s="541"/>
      <c r="FU49" s="541"/>
      <c r="FV49" s="1109">
        <f t="shared" si="74"/>
        <v>42918</v>
      </c>
      <c r="FW49" s="1109">
        <f t="shared" si="75"/>
        <v>43027</v>
      </c>
      <c r="FX49" s="541"/>
      <c r="FY49" s="541">
        <f>Sheet1!DA47-Sheet1!CZ47-Sheet1!AE47</f>
        <v>686.97334000000001</v>
      </c>
      <c r="FZ49" s="535">
        <f t="shared" si="111"/>
        <v>1.4921819722721508</v>
      </c>
      <c r="GA49" s="535"/>
      <c r="GB49" s="535" t="str">
        <f t="shared" si="76"/>
        <v>n</v>
      </c>
      <c r="GC49" s="539">
        <f t="shared" si="77"/>
        <v>42782</v>
      </c>
      <c r="GD49" s="1109">
        <f t="shared" si="78"/>
        <v>42904</v>
      </c>
      <c r="GE49" s="535">
        <f t="shared" si="95"/>
        <v>6520</v>
      </c>
      <c r="GF49" s="1109">
        <f t="shared" si="79"/>
        <v>42909</v>
      </c>
      <c r="GG49" s="535">
        <f t="shared" si="174"/>
        <v>3260</v>
      </c>
      <c r="GH49" s="539">
        <f t="shared" si="80"/>
        <v>43040</v>
      </c>
      <c r="GJ49" s="521">
        <f t="shared" si="81"/>
        <v>0</v>
      </c>
      <c r="GK49" s="535" t="str">
        <f t="shared" si="239"/>
        <v/>
      </c>
      <c r="GL49" s="535">
        <f t="shared" si="82"/>
        <v>0</v>
      </c>
      <c r="GM49" s="535" t="str">
        <f t="shared" si="83"/>
        <v/>
      </c>
      <c r="GN49" s="535">
        <f>IF(GK49="P",Lookup!$M$12,IF(GK49="PP",Lookup!$M$13,IF(GK49="PPP",Lookup!$M$14,IF(GK49="T",Lookup!$M$15,IF(GK49="TP",Lookup!$M$16,IF(GK49="TPP",Lookup!$M$17,IF(GK49="TPPP",Lookup!$M$18,0)))))))*GJ49</f>
        <v>0</v>
      </c>
      <c r="GO49" s="535">
        <f t="shared" si="84"/>
        <v>0</v>
      </c>
      <c r="GP49" s="535">
        <f t="shared" si="240"/>
        <v>0</v>
      </c>
      <c r="GQ49" s="535">
        <f t="shared" si="94"/>
        <v>0</v>
      </c>
      <c r="GR49" s="535"/>
      <c r="GS49" s="535">
        <f t="shared" si="85"/>
        <v>0</v>
      </c>
      <c r="GT49" s="535" t="str">
        <f t="shared" si="86"/>
        <v/>
      </c>
      <c r="GU49" s="535">
        <f>IF(GK49="P",Lookup!$N$12,IF(GK49="PP",Lookup!$N$13,IF(GK49="PPP",Lookup!$N$14,IF(GK49="T",Lookup!$N$15,IF(GK49="TP",Lookup!$N$16,IF(GK49="TPP",Lookup!$N$17,IF(GK49="TPPP",Lookup!$N$18,0)))))))*GJ49</f>
        <v>0</v>
      </c>
      <c r="GV49" s="535">
        <f t="shared" si="53"/>
        <v>0</v>
      </c>
      <c r="GW49" s="535">
        <f t="shared" si="241"/>
        <v>0</v>
      </c>
      <c r="GX49" s="535">
        <f t="shared" si="91"/>
        <v>0</v>
      </c>
      <c r="GY49" s="535"/>
      <c r="GZ49" s="535">
        <f t="shared" si="87"/>
        <v>0</v>
      </c>
      <c r="HA49" s="535" t="str">
        <f t="shared" si="88"/>
        <v/>
      </c>
      <c r="HB49" s="535">
        <f>IF(GK49="P",Lookup!$N$12,IF(GK49="PP",Lookup!$N$13,IF(GK49="PPP",Lookup!$N$14,IF(GK49="T",Lookup!$N$15,IF(GK49="TP",Lookup!$N$16,IF(GK49="TPP",Lookup!$N$17,IF(GK49="TPPP",Lookup!$N$18,0)))))))*GJ49</f>
        <v>0</v>
      </c>
      <c r="HC49" s="521">
        <f t="shared" si="242"/>
        <v>0</v>
      </c>
      <c r="HD49" s="535">
        <f t="shared" si="243"/>
        <v>0</v>
      </c>
      <c r="HE49" s="535">
        <f t="shared" si="92"/>
        <v>0</v>
      </c>
      <c r="HF49" s="535"/>
      <c r="HG49" s="535">
        <f t="shared" si="89"/>
        <v>0</v>
      </c>
      <c r="HH49" s="535" t="str">
        <f t="shared" si="90"/>
        <v/>
      </c>
      <c r="HI49" s="535">
        <f>IF(GK49="P",Lookup!$N$12,IF(GK49="PP",Lookup!$N$13,IF(GK49="PPP",Lookup!$N$14,IF(GK49="T",Lookup!$N$15,IF(GK49="TP",Lookup!$N$16,IF(GK49="TPP",Lookup!$N$17,IF(GK49="TPPP",Lookup!$N$18,0)))))))*GJ49</f>
        <v>0</v>
      </c>
      <c r="HJ49" s="521">
        <f t="shared" si="244"/>
        <v>0</v>
      </c>
      <c r="HK49" s="535">
        <f t="shared" si="245"/>
        <v>0</v>
      </c>
      <c r="HL49" s="535">
        <f t="shared" si="93"/>
        <v>0</v>
      </c>
      <c r="HM49" s="535"/>
      <c r="HN49" s="541"/>
      <c r="HO49" s="541"/>
      <c r="HP49" s="541"/>
      <c r="HQ49" s="541">
        <f>IF(AND(B49&gt;=$FV$4,B49&lt;=$FW$4),MAX(110/1.02+$HQ$6+MIN(113/1.02,G49),IF($HV$6-(Sheet1!DA47-Sheet1!DB47)+MIN(113/1.02,G49)&lt;G49+FL49,$HV$6-(Sheet1!DA47-Sheet1!DB47)+MIN(113/1.02,G49),G49+FL49)),MIN(110/1.02+$HQ$6+113/1.02,G49))</f>
        <v>218.62745098039215</v>
      </c>
      <c r="HR49" s="541">
        <f t="shared" si="112"/>
        <v>223</v>
      </c>
      <c r="HS49" s="541">
        <f>HR49+(Sheet1!DA47-Sheet1!DB47)</f>
        <v>1075</v>
      </c>
      <c r="HT49" s="541">
        <f t="shared" si="113"/>
        <v>0</v>
      </c>
      <c r="HU49" s="541">
        <f t="shared" si="114"/>
        <v>1075</v>
      </c>
      <c r="HV49" s="541">
        <f t="shared" si="115"/>
        <v>0</v>
      </c>
      <c r="HW49" s="533" t="str">
        <f t="shared" si="116"/>
        <v/>
      </c>
      <c r="HX49" s="541">
        <f t="shared" si="117"/>
        <v>320.37254901960785</v>
      </c>
      <c r="HY49" s="541">
        <f>Sheet1!CZ47</f>
        <v>539</v>
      </c>
      <c r="HZ49" s="541">
        <f t="shared" si="118"/>
        <v>0</v>
      </c>
      <c r="IA49" s="541">
        <f t="shared" si="119"/>
        <v>0</v>
      </c>
      <c r="IB49" s="541">
        <f t="shared" si="120"/>
        <v>539</v>
      </c>
      <c r="IC49" s="1019" t="str">
        <f t="shared" si="121"/>
        <v/>
      </c>
      <c r="ID49" s="541">
        <f t="shared" si="122"/>
        <v>539</v>
      </c>
      <c r="IE49" s="541">
        <f>Sheet1!DB47</f>
        <v>468</v>
      </c>
      <c r="IF49" s="533">
        <f>Sheet1!DA47</f>
        <v>1320</v>
      </c>
      <c r="IH49" s="541">
        <f>IF(AND($B49&gt;=$GC49,$B49&lt;=$GH49,$DR49&lt;0)+N("only adjusted when pool is drawn down during storage season"),Sheet1!$DB47+$DR49+N("Palmer minus all storage release"),Sheet1!$DB47)</f>
        <v>468</v>
      </c>
      <c r="II49" s="541">
        <f>IF(AND($B49&gt;=$GC49,$B49&lt;=$GH49,$DR49&lt;0)+N("only adjusted when pool is drawn down during storage season"),Sheet1!$DA47+$DR49+N("Auburn minus all storage release"),Sheet1!$DA47)</f>
        <v>1320</v>
      </c>
    </row>
    <row r="50" spans="1:243" x14ac:dyDescent="0.25">
      <c r="A50" s="553" t="s">
        <v>6</v>
      </c>
      <c r="B50" s="531">
        <v>42774</v>
      </c>
      <c r="C50" s="536">
        <v>0</v>
      </c>
      <c r="D50" s="506">
        <f t="shared" si="0"/>
        <v>300</v>
      </c>
      <c r="E50" s="506">
        <f t="shared" si="1"/>
        <v>250</v>
      </c>
      <c r="F50" s="506">
        <v>250</v>
      </c>
      <c r="G50" s="535">
        <f>DR50+Sheet1!CZ48</f>
        <v>527.42612203730232</v>
      </c>
      <c r="H50" s="1074">
        <f t="shared" si="246"/>
        <v>178.01287814399998</v>
      </c>
      <c r="I50" s="534">
        <f>IF(Sheet1!DA48&gt;=E50,(Sheet1!DA48-E50+P50)*CFStoMGD,0)</f>
        <v>814.07047814399994</v>
      </c>
      <c r="J50" s="995">
        <f>IF(Sheet1!DB48&gt;=D50,(Sheet1!DB48-D50+P50)*CFStoMGD,0)</f>
        <v>178.01287814399998</v>
      </c>
      <c r="K50" s="818">
        <f t="shared" si="97"/>
        <v>64.64</v>
      </c>
      <c r="L50" s="535">
        <f>Sheet1!AA48+Sheet1!AB48-Sheet1!L48+(Sheet1!DA48-F50)*CFStoMGD-S50-T50-U50</f>
        <v>755.64159999999993</v>
      </c>
      <c r="M50" s="535">
        <f t="shared" si="185"/>
        <v>347.74681019061046</v>
      </c>
      <c r="N50" s="824">
        <f>IF(Sheet1!DA48&gt;=F50,MIN(113*CFStoMGD,MIN(MAX(L50,0),MAX(M50,0))),0)</f>
        <v>73.043199999999999</v>
      </c>
      <c r="O50" s="538">
        <f>Sheet1!AA48+Sheet1!AB48</f>
        <v>58.43</v>
      </c>
      <c r="P50" s="538">
        <f t="shared" si="186"/>
        <v>90.391210000000001</v>
      </c>
      <c r="Q50" s="812">
        <f t="shared" si="98"/>
        <v>0</v>
      </c>
      <c r="R50" s="812">
        <f t="shared" si="59"/>
        <v>10.667278287461773</v>
      </c>
      <c r="S50" s="812">
        <f t="shared" si="60"/>
        <v>58.43</v>
      </c>
      <c r="T50" s="812">
        <f t="shared" si="61"/>
        <v>0</v>
      </c>
      <c r="U50" s="812">
        <f t="shared" si="99"/>
        <v>0</v>
      </c>
      <c r="V50" s="812"/>
      <c r="W50" s="812">
        <f t="shared" si="62"/>
        <v>53.972721712538231</v>
      </c>
      <c r="X50" s="812">
        <f t="shared" si="63"/>
        <v>58.43</v>
      </c>
      <c r="Y50" s="812" t="str">
        <f t="shared" si="64"/>
        <v/>
      </c>
      <c r="Z50" s="812">
        <f t="shared" si="65"/>
        <v>58.43</v>
      </c>
      <c r="AA50" s="812">
        <f t="shared" si="66"/>
        <v>58.43</v>
      </c>
      <c r="AB50" s="1059">
        <f t="shared" si="100"/>
        <v>0</v>
      </c>
      <c r="AC50" s="538">
        <f>Sheet1!Y48*MGDtoCFS</f>
        <v>40.222000000000001</v>
      </c>
      <c r="AD50" s="538">
        <f>Sheet1!Z48*MGDtoCFS</f>
        <v>53.804659999999998</v>
      </c>
      <c r="AE50" s="538">
        <f>Sheet1!AA48*MGDtoCFS</f>
        <v>39.959009999999992</v>
      </c>
      <c r="AF50" s="538">
        <f>Sheet1!AB48*MGDtoCFS</f>
        <v>50.432200000000002</v>
      </c>
      <c r="AG50" s="538">
        <f>Sheet1!L48*MGDtoCFS</f>
        <v>0</v>
      </c>
      <c r="AH50" s="521">
        <f t="shared" si="187"/>
        <v>0</v>
      </c>
      <c r="AI50" s="1059">
        <f t="shared" si="188"/>
        <v>0</v>
      </c>
      <c r="AJ50" s="535">
        <f t="shared" si="189"/>
        <v>0</v>
      </c>
      <c r="AK50" s="535">
        <f t="shared" si="190"/>
        <v>0</v>
      </c>
      <c r="AL50" s="535">
        <f>(VLOOKUP(Sheet1!DC48,hhdcap_wcm,4)-(((VLOOKUP(Sheet1!DC48,hhdcap_wcm,3)-Sheet1!DC48)/(VLOOKUP(Sheet1!DC48,hhdcap_wcm,3)-VLOOKUP(Sheet1!DC48,hhdcap_wcm,1)))*(VLOOKUP(Sheet1!DC48,hhdcap_wcm,4)-VLOOKUP(Sheet1!DC48,hhdcap_wcm,2))))</f>
        <v>966.20000000307414</v>
      </c>
      <c r="AM50" s="535">
        <f t="shared" si="191"/>
        <v>-28.900000000029536</v>
      </c>
      <c r="AN50" s="1035">
        <f t="shared" si="192"/>
        <v>0</v>
      </c>
      <c r="AO50" s="535">
        <f t="shared" si="193"/>
        <v>0</v>
      </c>
      <c r="AP50" s="535">
        <f>Sheet1!BA48+Sheet1!BB48+Sheet1!BN48+CD50</f>
        <v>22</v>
      </c>
      <c r="AQ50" s="535">
        <f>Sheet1!BN48+(DO50*Sheet1!BN48)</f>
        <v>21.932721712538225</v>
      </c>
      <c r="AR50" s="535">
        <f>Sheet1!BA48+CD50</f>
        <v>0</v>
      </c>
      <c r="AS50" s="535">
        <f>Sheet1!BA48+Sheet1!BB48+CD50</f>
        <v>0</v>
      </c>
      <c r="AT50" s="649">
        <f>0</f>
        <v>0</v>
      </c>
      <c r="AU50" s="535">
        <f>IF(EB50&lt;K50,0,MAX(Sheet1!AA48+AQ50-15/36*K50-N50,Sheet1!EH48,0))</f>
        <v>0</v>
      </c>
      <c r="AV50" s="535">
        <f>IF(OR(B50&gt;=GD50,B50&lt;GC50),0,15/36*K50-MAX(0,64.6-(137.6-(Sheet1!AA48+Sheet1!AB48))))</f>
        <v>0</v>
      </c>
      <c r="AW50" s="1029"/>
      <c r="AX50" s="649"/>
      <c r="AY50" s="649">
        <f t="shared" si="101"/>
        <v>0</v>
      </c>
      <c r="AZ50" s="649">
        <f t="shared" si="102"/>
        <v>0</v>
      </c>
      <c r="BA50" s="1059">
        <f t="shared" si="103"/>
        <v>0</v>
      </c>
      <c r="BB50" s="1019">
        <f t="shared" si="194"/>
        <v>0</v>
      </c>
      <c r="BC50" s="1041">
        <f t="shared" si="104"/>
        <v>26.933333333333334</v>
      </c>
      <c r="BD50" s="1019">
        <f ca="1">IF(B50&gt;Summary!$A$1,#N/A,BB50*MGtoAF)</f>
        <v>0</v>
      </c>
      <c r="BE50" s="535">
        <f>Sheet1!BG48+Sheet1!BH48+Sheet1!BI48-BM50</f>
        <v>1.03</v>
      </c>
      <c r="BF50" s="535">
        <f t="shared" si="195"/>
        <v>1.0268501529051988</v>
      </c>
      <c r="BG50" s="535">
        <f>IF(Sheet1!EP48="FM",BM50,0)</f>
        <v>0</v>
      </c>
      <c r="BH50" s="535">
        <f t="shared" si="196"/>
        <v>0</v>
      </c>
      <c r="BI50" s="535">
        <f>IF(Sheet1!EP48="OTHER",BM50,0)</f>
        <v>0</v>
      </c>
      <c r="BJ50" s="535">
        <f t="shared" si="197"/>
        <v>0</v>
      </c>
      <c r="BK50" s="535">
        <f t="shared" si="198"/>
        <v>1.03</v>
      </c>
      <c r="BL50" s="535">
        <f t="shared" si="199"/>
        <v>1.0268501529051988</v>
      </c>
      <c r="BM50" s="535">
        <f>IF(OR(Sheet1!EP48="FM", Sheet1!EP48="OTHER"),SUM(Sheet1!BG48:'Sheet1'!BI48),0)</f>
        <v>0</v>
      </c>
      <c r="BN50" s="521">
        <f>IF(AND($B50&gt;=$FV50,$B50&lt;=$FW50),MAX(BF50,Sheet1!EI48,0),MAX(BF50-(7/36)*$K50,0))</f>
        <v>0</v>
      </c>
      <c r="BO50" s="535">
        <f t="shared" si="200"/>
        <v>0</v>
      </c>
      <c r="BP50" s="521">
        <f t="shared" si="201"/>
        <v>1.0268501529051988</v>
      </c>
      <c r="BQ50" s="521">
        <f>IF(AND($O50&gt;0,Sheet1!EM48=1),(1-($O50-Sheet1!$L48)/$O50)*BL50,0)</f>
        <v>0</v>
      </c>
      <c r="BR50" s="521">
        <f>IF(AND(Sheet1!$L48=0,Sheet1!$L47=0, Calculation!BK50&lt;Sheet1!$EI48-0.1,Sheet1!$EI48=Sheet1!$EI47,Sheet1!$EI48=Sheet1!$EI49),BL50-BQ50,BL50-BQ50)</f>
        <v>1.0268501529051988</v>
      </c>
      <c r="BS50" s="1035" t="str">
        <f t="shared" si="105"/>
        <v/>
      </c>
      <c r="BT50" s="1035">
        <f t="shared" si="106"/>
        <v>12.568888888888889</v>
      </c>
      <c r="BU50" s="535">
        <f t="shared" si="202"/>
        <v>0</v>
      </c>
      <c r="BV50" s="535"/>
      <c r="BW50" s="535">
        <f ca="1">IF(B50&gt;Summary!$A$1,#N/A,BU50*MGtoAF)</f>
        <v>0</v>
      </c>
      <c r="BX50" s="535">
        <f>Sheet1!BC48+Sheet1!BD48+Sheet1!BE48+Sheet1!BF48-CG50-CH50</f>
        <v>3</v>
      </c>
      <c r="BY50" s="535">
        <f t="shared" si="203"/>
        <v>2.9908256880733943</v>
      </c>
      <c r="BZ50" s="535">
        <f>IF(Sheet1!EQ48="FM",CH50,0)</f>
        <v>0</v>
      </c>
      <c r="CA50" s="535">
        <f t="shared" si="204"/>
        <v>0</v>
      </c>
      <c r="CB50" s="535">
        <f>IF(Sheet1!EQ48="OTHER",CH50,0)</f>
        <v>0</v>
      </c>
      <c r="CC50" s="535">
        <f t="shared" si="205"/>
        <v>0</v>
      </c>
      <c r="CD50" s="535">
        <f t="shared" si="206"/>
        <v>0</v>
      </c>
      <c r="CE50" s="535">
        <f t="shared" si="207"/>
        <v>3</v>
      </c>
      <c r="CF50" s="535">
        <f t="shared" si="208"/>
        <v>2.9908256880733943</v>
      </c>
      <c r="CG50" s="535">
        <f>IF(Sheet1!EQ48="CWA",SUM(Sheet1!BC48:'Sheet1'!BF48),0)</f>
        <v>0</v>
      </c>
      <c r="CH50" s="535">
        <f>IF(OR(Sheet1!EQ48="FM", Sheet1!EQ48="OTHER"),SUM(Sheet1!BC48:'Sheet1'!BF48),0)</f>
        <v>0</v>
      </c>
      <c r="CI50" s="521">
        <f>IF(AND($B50&gt;=$FV50,$B50&lt;=$FW50),MAX(CF50,Sheet1!EJ48,0),MAX(CF50-(7/36)*$K50,0))</f>
        <v>0</v>
      </c>
      <c r="CJ50" s="535">
        <f t="shared" si="209"/>
        <v>0</v>
      </c>
      <c r="CK50" s="521">
        <f t="shared" si="210"/>
        <v>2.9908256880733943</v>
      </c>
      <c r="CL50" s="521">
        <f>IF(AND($O50&gt;0,Sheet1!EN48=1),(1-($O50-Sheet1!$L48)/$O50)*CF50,0)</f>
        <v>0</v>
      </c>
      <c r="CM50" s="521">
        <f>IF(AND(Sheet1!$L48=0,Sheet1!$L47=0, Calculation!CE50&lt;Sheet1!EJ48-0.1,Sheet1!EJ48=Sheet1!EJ47,Sheet1!EJ48=Sheet1!EJ49),CF50-CL50,CF50-CL50)</f>
        <v>2.9908256880733943</v>
      </c>
      <c r="CN50" s="1040" t="str">
        <f t="shared" si="107"/>
        <v/>
      </c>
      <c r="CO50" s="1035">
        <f t="shared" si="108"/>
        <v>12.568888888888889</v>
      </c>
      <c r="CP50" s="535">
        <f t="shared" si="211"/>
        <v>0</v>
      </c>
      <c r="CQ50" s="535"/>
      <c r="CR50" s="535">
        <f ca="1">IF(B50&gt;Summary!$A$1,#N/A,CP50*MGtoAF)</f>
        <v>0</v>
      </c>
      <c r="CS50" s="535">
        <f>Sheet1!BK48+Sheet1!BL48+Sheet1!BM48-Sheet1!ER48-DA50</f>
        <v>6.67</v>
      </c>
      <c r="CT50" s="535">
        <f t="shared" si="212"/>
        <v>6.64960244648318</v>
      </c>
      <c r="CU50" s="535">
        <f>IF(Sheet1!ER48="FM",DA50,0)</f>
        <v>0</v>
      </c>
      <c r="CV50" s="535">
        <f t="shared" si="213"/>
        <v>0</v>
      </c>
      <c r="CW50" s="535">
        <f>IF(Sheet1!ER48="OTHER",DA50,0)</f>
        <v>0</v>
      </c>
      <c r="CX50" s="535">
        <f t="shared" si="214"/>
        <v>0</v>
      </c>
      <c r="CY50" s="535">
        <f t="shared" si="215"/>
        <v>6.67</v>
      </c>
      <c r="CZ50" s="535">
        <f t="shared" si="216"/>
        <v>6.64960244648318</v>
      </c>
      <c r="DA50" s="535">
        <f>IF(OR(Sheet1!ER48="FM", Sheet1!ER48="OTHER"),SUM(Sheet1!BK48:'Sheet1'!BM48),0)</f>
        <v>0</v>
      </c>
      <c r="DB50" s="1011">
        <f>IF(AND($B50&gt;=$FV50,$B50&lt;=$FW50),MAX($CT50,Sheet1!EK48,0),MAX($CT50-(7/36)*$K50,0))</f>
        <v>0</v>
      </c>
      <c r="DC50" s="1012">
        <f t="shared" si="217"/>
        <v>0</v>
      </c>
      <c r="DD50" s="1011">
        <f t="shared" si="218"/>
        <v>6.64960244648318</v>
      </c>
      <c r="DE50" s="521">
        <f>IF(AND($O50&gt;0,Sheet1!EO48=1),(1-($O50-Sheet1!$L48)/$O50)*CZ50,0)</f>
        <v>0</v>
      </c>
      <c r="DF50" s="521">
        <f>IF(AND(Sheet1!$L48=0,Sheet1!$L47=0, Calculation!CY50&lt;Sheet1!$EK48-0.1,Sheet1!$EK48=Sheet1!$EK47,Sheet1!$EK48=Sheet1!$EK49),CZ50-DE50,CZ50-DE50)</f>
        <v>6.64960244648318</v>
      </c>
      <c r="DG50" s="1040">
        <f t="shared" si="109"/>
        <v>12.568888888888889</v>
      </c>
      <c r="DH50" s="649">
        <f t="shared" si="219"/>
        <v>10.7</v>
      </c>
      <c r="DI50" s="535">
        <f t="shared" si="220"/>
        <v>0</v>
      </c>
      <c r="DJ50" s="649">
        <f t="shared" si="221"/>
        <v>10.667278287461773</v>
      </c>
      <c r="DK50" s="535">
        <f ca="1">IF(B50&gt;Summary!$A$1,#N/A,DI50*MGtoAF)</f>
        <v>0</v>
      </c>
      <c r="DL50" s="649">
        <f t="shared" si="222"/>
        <v>10.7</v>
      </c>
      <c r="DM50" s="535">
        <f t="shared" si="223"/>
        <v>32.700000000000003</v>
      </c>
      <c r="DN50" s="535">
        <f>Sheet1!AB48-DM50</f>
        <v>-0.10000000000000142</v>
      </c>
      <c r="DO50" s="743">
        <f t="shared" si="224"/>
        <v>-3.0581039755352116E-3</v>
      </c>
      <c r="DP50" s="535">
        <f>(VLOOKUP(Sheet1!DC48,hhdcap_wcm,4)-(((VLOOKUP(Sheet1!DC48,hhdcap_wcm,3)-Sheet1!DC48)/(VLOOKUP(Sheet1!DC48,hhdcap_wcm,3)-VLOOKUP(Sheet1!DC48,hhdcap_wcm,1)))*(VLOOKUP(Sheet1!DC48,hhdcap_wcm,4)-VLOOKUP(Sheet1!DC48,hhdcap_wcm,2))))</f>
        <v>966.20000000307414</v>
      </c>
      <c r="DQ50" s="535">
        <f t="shared" si="225"/>
        <v>-28.900000000029536</v>
      </c>
      <c r="DR50" s="535">
        <f t="shared" si="226"/>
        <v>-14.573877962697697</v>
      </c>
      <c r="DS50" s="535">
        <f>Sheet1!EA48*AFtoMG</f>
        <v>0</v>
      </c>
      <c r="DT50" s="535">
        <f>Sheet1!EB48*AFtoMG</f>
        <v>0</v>
      </c>
      <c r="DU50" s="535">
        <f>Sheet1!EC48*AFtoMG</f>
        <v>0</v>
      </c>
      <c r="DV50" s="535">
        <f>Sheet1!ED48*AFtoMG</f>
        <v>0</v>
      </c>
      <c r="DW50" s="535">
        <f t="shared" si="227"/>
        <v>0</v>
      </c>
      <c r="DX50" s="535">
        <f t="shared" si="228"/>
        <v>0</v>
      </c>
      <c r="DY50" s="535">
        <f t="shared" si="229"/>
        <v>0</v>
      </c>
      <c r="DZ50" s="535">
        <f t="shared" si="230"/>
        <v>0</v>
      </c>
      <c r="EA50" s="535"/>
      <c r="EB50" s="521">
        <f>IF(OR(B50&lt;FV50,B50&gt;FW50),(MIN(BF50+BY50+CT50+MAX(Sheet1!AA48+AQ50-73,0),K50)),0)</f>
        <v>10.667278287461773</v>
      </c>
      <c r="EC50" s="535"/>
      <c r="ED50" s="535">
        <f t="shared" si="231"/>
        <v>10.667278287461773</v>
      </c>
      <c r="EE50" s="535"/>
      <c r="EF50" s="535">
        <f>Sheet1!EH48+Sheet1!EI48+Sheet1!EJ48+Sheet1!EK48</f>
        <v>10.5</v>
      </c>
      <c r="EG50" s="1019">
        <f t="shared" si="110"/>
        <v>16.243500000000001</v>
      </c>
      <c r="EH50" s="521">
        <f t="shared" si="232"/>
        <v>0</v>
      </c>
      <c r="EI50" s="535">
        <f>IF(Sheet1!ET48=1,SUM('Calculations II'!AT50:BA50)+'Calculations II'!BC50+Sheet1!BV48+'Calculations II'!BE50+AP50,'Calculations II'!BK50)</f>
        <v>45.689593712538226</v>
      </c>
      <c r="EJ50" s="535">
        <f ca="1">EI50+'Calculations II'!D50+'Calculations II'!E50+'Calculations II'!O50</f>
        <v>47.910337270071835</v>
      </c>
      <c r="EK50" s="535"/>
      <c r="EL50" s="535"/>
      <c r="EM50" s="535">
        <f t="shared" si="233"/>
        <v>42774</v>
      </c>
      <c r="EN50" s="535">
        <f t="shared" si="234"/>
        <v>0</v>
      </c>
      <c r="EO50" s="535">
        <f t="shared" si="235"/>
        <v>0</v>
      </c>
      <c r="EP50" s="535">
        <v>0</v>
      </c>
      <c r="EQ50" s="535">
        <v>0</v>
      </c>
      <c r="ER50" s="535">
        <v>0</v>
      </c>
      <c r="ES50" s="521">
        <f t="shared" si="71"/>
        <v>-1.3848157178077733</v>
      </c>
      <c r="ET50" s="535">
        <f>-(VLOOKUP(Sheet1!BQ48,Lookup!$O$4:$Q$262,2)-VLOOKUP(Sheet1!BQ47,Lookup!$O$4:$Q$262,2))/1000000</f>
        <v>-0.69229571558341008</v>
      </c>
      <c r="EU50" s="535">
        <f>-(VLOOKUP(Sheet1!BR48,Lookup!$O$4:$Q$262,3)-VLOOKUP(Sheet1!BR47,Lookup!$O$4:$Q$262,3))/1000000</f>
        <v>-0.69252000222436338</v>
      </c>
      <c r="EV50" s="535"/>
      <c r="EW50" s="535"/>
      <c r="EX50" s="535"/>
      <c r="EY50" s="535"/>
      <c r="EZ50" s="535"/>
      <c r="FA50" s="535"/>
      <c r="FB50" s="535"/>
      <c r="FC50" s="535"/>
      <c r="FD50" s="567" t="e">
        <f t="shared" si="236"/>
        <v>#N/A</v>
      </c>
      <c r="FE50" s="567" t="e">
        <f t="shared" si="237"/>
        <v>#N/A</v>
      </c>
      <c r="FF50" s="568" t="e">
        <f t="shared" si="238"/>
        <v>#N/A</v>
      </c>
      <c r="FG50" s="569" t="s">
        <v>656</v>
      </c>
      <c r="FH50" s="569" t="s">
        <v>656</v>
      </c>
      <c r="FI50" s="567" t="e">
        <v>#N/A</v>
      </c>
      <c r="FJ50" s="567" t="e">
        <v>#N/A</v>
      </c>
      <c r="FK50" s="535"/>
      <c r="FL50" s="1015">
        <v>0</v>
      </c>
      <c r="FM50" s="535"/>
      <c r="FN50" s="535"/>
      <c r="FO50" s="535">
        <f>O50+((Sheet1!CS48)*GPMtoMGD)</f>
        <v>58.43</v>
      </c>
      <c r="FP50" s="535">
        <f>IF(Sheet1!AA48+AQ50&lt;=Calculation!N50,AQ50,Calculation!N50-Sheet1!AA48)</f>
        <v>21.932721712538225</v>
      </c>
      <c r="FQ50" s="535">
        <f>(Sheet1!BP48+Sheet1!BO48)/694.4</f>
        <v>1.2682891705069126</v>
      </c>
      <c r="FR50" s="541"/>
      <c r="FS50" s="541"/>
      <c r="FT50" s="541"/>
      <c r="FU50" s="541"/>
      <c r="FV50" s="1109">
        <f t="shared" si="74"/>
        <v>42918</v>
      </c>
      <c r="FW50" s="1109">
        <f t="shared" si="75"/>
        <v>43027</v>
      </c>
      <c r="FX50" s="541"/>
      <c r="FY50" s="541">
        <f>Sheet1!DA48-Sheet1!CZ48-Sheet1!AE48</f>
        <v>786.60879</v>
      </c>
      <c r="FZ50" s="535">
        <f t="shared" si="111"/>
        <v>1.4914103741421569</v>
      </c>
      <c r="GA50" s="535"/>
      <c r="GB50" s="535" t="str">
        <f t="shared" si="76"/>
        <v>n</v>
      </c>
      <c r="GC50" s="539">
        <f t="shared" si="77"/>
        <v>42782</v>
      </c>
      <c r="GD50" s="1109">
        <f t="shared" si="78"/>
        <v>42904</v>
      </c>
      <c r="GE50" s="535">
        <f t="shared" si="95"/>
        <v>6520</v>
      </c>
      <c r="GF50" s="1109">
        <f t="shared" si="79"/>
        <v>42909</v>
      </c>
      <c r="GG50" s="535">
        <f t="shared" si="174"/>
        <v>3260</v>
      </c>
      <c r="GH50" s="539">
        <f t="shared" si="80"/>
        <v>43040</v>
      </c>
      <c r="GJ50" s="521">
        <f t="shared" si="81"/>
        <v>0</v>
      </c>
      <c r="GK50" s="535" t="str">
        <f t="shared" si="239"/>
        <v/>
      </c>
      <c r="GL50" s="535">
        <f t="shared" si="82"/>
        <v>0</v>
      </c>
      <c r="GM50" s="535" t="str">
        <f t="shared" si="83"/>
        <v/>
      </c>
      <c r="GN50" s="535">
        <f>IF(GK50="P",Lookup!$M$12,IF(GK50="PP",Lookup!$M$13,IF(GK50="PPP",Lookup!$M$14,IF(GK50="T",Lookup!$M$15,IF(GK50="TP",Lookup!$M$16,IF(GK50="TPP",Lookup!$M$17,IF(GK50="TPPP",Lookup!$M$18,0)))))))*GJ50</f>
        <v>0</v>
      </c>
      <c r="GO50" s="535">
        <f t="shared" si="84"/>
        <v>0</v>
      </c>
      <c r="GP50" s="535">
        <f t="shared" si="240"/>
        <v>0</v>
      </c>
      <c r="GQ50" s="535">
        <f t="shared" si="94"/>
        <v>0</v>
      </c>
      <c r="GR50" s="535"/>
      <c r="GS50" s="535">
        <f t="shared" si="85"/>
        <v>0</v>
      </c>
      <c r="GT50" s="535" t="str">
        <f t="shared" si="86"/>
        <v/>
      </c>
      <c r="GU50" s="535">
        <f>IF(GK50="P",Lookup!$N$12,IF(GK50="PP",Lookup!$N$13,IF(GK50="PPP",Lookup!$N$14,IF(GK50="T",Lookup!$N$15,IF(GK50="TP",Lookup!$N$16,IF(GK50="TPP",Lookup!$N$17,IF(GK50="TPPP",Lookup!$N$18,0)))))))*GJ50</f>
        <v>0</v>
      </c>
      <c r="GV50" s="535">
        <f t="shared" si="53"/>
        <v>0</v>
      </c>
      <c r="GW50" s="535">
        <f t="shared" si="241"/>
        <v>0</v>
      </c>
      <c r="GX50" s="535">
        <f t="shared" si="91"/>
        <v>0</v>
      </c>
      <c r="GY50" s="535"/>
      <c r="GZ50" s="535">
        <f t="shared" si="87"/>
        <v>0</v>
      </c>
      <c r="HA50" s="535" t="str">
        <f t="shared" si="88"/>
        <v/>
      </c>
      <c r="HB50" s="535">
        <f>IF(GK50="P",Lookup!$N$12,IF(GK50="PP",Lookup!$N$13,IF(GK50="PPP",Lookup!$N$14,IF(GK50="T",Lookup!$N$15,IF(GK50="TP",Lookup!$N$16,IF(GK50="TPP",Lookup!$N$17,IF(GK50="TPPP",Lookup!$N$18,0)))))))*GJ50</f>
        <v>0</v>
      </c>
      <c r="HC50" s="521">
        <f t="shared" si="242"/>
        <v>0</v>
      </c>
      <c r="HD50" s="535">
        <f t="shared" si="243"/>
        <v>0</v>
      </c>
      <c r="HE50" s="535">
        <f t="shared" si="92"/>
        <v>0</v>
      </c>
      <c r="HF50" s="535"/>
      <c r="HG50" s="535">
        <f t="shared" si="89"/>
        <v>0</v>
      </c>
      <c r="HH50" s="535" t="str">
        <f t="shared" si="90"/>
        <v/>
      </c>
      <c r="HI50" s="535">
        <f>IF(GK50="P",Lookup!$N$12,IF(GK50="PP",Lookup!$N$13,IF(GK50="PPP",Lookup!$N$14,IF(GK50="T",Lookup!$N$15,IF(GK50="TP",Lookup!$N$16,IF(GK50="TPP",Lookup!$N$17,IF(GK50="TPPP",Lookup!$N$18,0)))))))*GJ50</f>
        <v>0</v>
      </c>
      <c r="HJ50" s="521">
        <f t="shared" si="244"/>
        <v>0</v>
      </c>
      <c r="HK50" s="535">
        <f t="shared" si="245"/>
        <v>0</v>
      </c>
      <c r="HL50" s="535">
        <f t="shared" si="93"/>
        <v>0</v>
      </c>
      <c r="HM50" s="535"/>
      <c r="HN50" s="541"/>
      <c r="HO50" s="541"/>
      <c r="HP50" s="541"/>
      <c r="HQ50" s="541">
        <f>IF(AND(B50&gt;=$FV$4,B50&lt;=$FW$4),MAX(110/1.02+$HQ$6+MIN(113/1.02,G50),IF($HV$6-(Sheet1!DA48-Sheet1!DB48)+MIN(113/1.02,G50)&lt;G50+FL50,$HV$6-(Sheet1!DA48-Sheet1!DB48)+MIN(113/1.02,G50),G50+FL50)),MIN(110/1.02+$HQ$6+113/1.02,G50))</f>
        <v>218.62745098039215</v>
      </c>
      <c r="HR50" s="541">
        <f t="shared" si="112"/>
        <v>223</v>
      </c>
      <c r="HS50" s="541">
        <f>HR50+(Sheet1!DA48-Sheet1!DB48)</f>
        <v>1157</v>
      </c>
      <c r="HT50" s="541">
        <f t="shared" si="113"/>
        <v>0</v>
      </c>
      <c r="HU50" s="541">
        <f t="shared" si="114"/>
        <v>1157</v>
      </c>
      <c r="HV50" s="541">
        <f t="shared" si="115"/>
        <v>0</v>
      </c>
      <c r="HW50" s="533" t="str">
        <f t="shared" si="116"/>
        <v/>
      </c>
      <c r="HX50" s="541">
        <f t="shared" si="117"/>
        <v>323.37254901960785</v>
      </c>
      <c r="HY50" s="541">
        <f>Sheet1!CZ48</f>
        <v>542</v>
      </c>
      <c r="HZ50" s="541">
        <f t="shared" si="118"/>
        <v>0</v>
      </c>
      <c r="IA50" s="541">
        <f t="shared" si="119"/>
        <v>0</v>
      </c>
      <c r="IB50" s="541">
        <f t="shared" si="120"/>
        <v>542</v>
      </c>
      <c r="IC50" s="1019" t="str">
        <f t="shared" si="121"/>
        <v/>
      </c>
      <c r="ID50" s="541">
        <f t="shared" si="122"/>
        <v>542</v>
      </c>
      <c r="IE50" s="541">
        <f>Sheet1!DB48</f>
        <v>485</v>
      </c>
      <c r="IF50" s="533">
        <f>Sheet1!DA48</f>
        <v>1419</v>
      </c>
      <c r="IH50" s="541">
        <f>IF(AND($B50&gt;=$GC50,$B50&lt;=$GH50,$DR50&lt;0)+N("only adjusted when pool is drawn down during storage season"),Sheet1!$DB48+$DR50+N("Palmer minus all storage release"),Sheet1!$DB48)</f>
        <v>485</v>
      </c>
      <c r="II50" s="541">
        <f>IF(AND($B50&gt;=$GC50,$B50&lt;=$GH50,$DR50&lt;0)+N("only adjusted when pool is drawn down during storage season"),Sheet1!$DA48+$DR50+N("Auburn minus all storage release"),Sheet1!$DA48)</f>
        <v>1419</v>
      </c>
    </row>
    <row r="51" spans="1:243" x14ac:dyDescent="0.25">
      <c r="A51" s="553" t="s">
        <v>7</v>
      </c>
      <c r="B51" s="531">
        <v>42775</v>
      </c>
      <c r="C51" s="536">
        <v>0</v>
      </c>
      <c r="D51" s="506">
        <f t="shared" si="0"/>
        <v>300</v>
      </c>
      <c r="E51" s="506">
        <f t="shared" si="1"/>
        <v>250</v>
      </c>
      <c r="F51" s="506">
        <v>250</v>
      </c>
      <c r="G51" s="535">
        <f>DR51+Sheet1!CZ49</f>
        <v>1799.8134140198829</v>
      </c>
      <c r="H51" s="1074">
        <f t="shared" si="246"/>
        <v>845.57690617599997</v>
      </c>
      <c r="I51" s="534">
        <f>IF(Sheet1!DA49&gt;=E51,(Sheet1!DA49-E51+P51)*CFStoMGD,0)</f>
        <v>2144.8409061759999</v>
      </c>
      <c r="J51" s="995">
        <f>IF(Sheet1!DB49&gt;=D51,(Sheet1!DB49-D51+P51)*CFStoMGD,0)</f>
        <v>845.57690617599997</v>
      </c>
      <c r="K51" s="818">
        <f t="shared" si="97"/>
        <v>64.64</v>
      </c>
      <c r="L51" s="535">
        <f>Sheet1!AA49+Sheet1!AB49-Sheet1!L49+(Sheet1!DA49-F51)*CFStoMGD-S51-T51-U51</f>
        <v>2075.2620000000029</v>
      </c>
      <c r="M51" s="535">
        <f t="shared" si="185"/>
        <v>1186.6673786389015</v>
      </c>
      <c r="N51" s="824">
        <f>IF(Sheet1!DA49&gt;=F51,MIN(113*CFStoMGD,MIN(MAX(L51,0),MAX(M51,0))),0)</f>
        <v>73.043199999999999</v>
      </c>
      <c r="O51" s="538">
        <f>Sheet1!AA49+Sheet1!AB49</f>
        <v>56.97</v>
      </c>
      <c r="P51" s="538">
        <f t="shared" si="186"/>
        <v>88.132589999999993</v>
      </c>
      <c r="Q51" s="812">
        <f t="shared" si="98"/>
        <v>0</v>
      </c>
      <c r="R51" s="812">
        <f t="shared" si="59"/>
        <v>10.618542199488491</v>
      </c>
      <c r="S51" s="812">
        <f t="shared" si="60"/>
        <v>56.97</v>
      </c>
      <c r="T51" s="812">
        <f t="shared" si="61"/>
        <v>0</v>
      </c>
      <c r="U51" s="812">
        <f t="shared" si="99"/>
        <v>0</v>
      </c>
      <c r="V51" s="812"/>
      <c r="W51" s="812">
        <f t="shared" si="62"/>
        <v>54.021457800511513</v>
      </c>
      <c r="X51" s="812">
        <f t="shared" si="63"/>
        <v>56.97</v>
      </c>
      <c r="Y51" s="812" t="str">
        <f t="shared" si="64"/>
        <v/>
      </c>
      <c r="Z51" s="812">
        <f t="shared" si="65"/>
        <v>56.97</v>
      </c>
      <c r="AA51" s="812">
        <f t="shared" si="66"/>
        <v>56.97</v>
      </c>
      <c r="AB51" s="1059">
        <f t="shared" si="100"/>
        <v>0</v>
      </c>
      <c r="AC51" s="538">
        <f>Sheet1!Y49*MGDtoCFS</f>
        <v>39.959009999999992</v>
      </c>
      <c r="AD51" s="538">
        <f>Sheet1!Z49*MGDtoCFS</f>
        <v>50.432200000000002</v>
      </c>
      <c r="AE51" s="538">
        <f>Sheet1!AA49*MGDtoCFS</f>
        <v>40.020890000000001</v>
      </c>
      <c r="AF51" s="538">
        <f>Sheet1!AB49*MGDtoCFS</f>
        <v>48.111699999999999</v>
      </c>
      <c r="AG51" s="538">
        <f>Sheet1!L49*MGDtoCFS</f>
        <v>19.507669999995272</v>
      </c>
      <c r="AH51" s="521">
        <f t="shared" si="187"/>
        <v>0</v>
      </c>
      <c r="AI51" s="1059">
        <f t="shared" si="188"/>
        <v>0</v>
      </c>
      <c r="AJ51" s="535">
        <f t="shared" si="189"/>
        <v>0</v>
      </c>
      <c r="AK51" s="535">
        <f t="shared" si="190"/>
        <v>0</v>
      </c>
      <c r="AL51" s="535">
        <f>(VLOOKUP(Sheet1!DC49,hhdcap_wcm,4)-(((VLOOKUP(Sheet1!DC49,hhdcap_wcm,3)-Sheet1!DC49)/(VLOOKUP(Sheet1!DC49,hhdcap_wcm,3)-VLOOKUP(Sheet1!DC49,hhdcap_wcm,1)))*(VLOOKUP(Sheet1!DC49,hhdcap_wcm,4)-VLOOKUP(Sheet1!DC49,hhdcap_wcm,2))))</f>
        <v>1937.500000004502</v>
      </c>
      <c r="AM51" s="535">
        <f t="shared" si="191"/>
        <v>971.30000000142786</v>
      </c>
      <c r="AN51" s="1035">
        <f t="shared" si="192"/>
        <v>0</v>
      </c>
      <c r="AO51" s="535">
        <f t="shared" si="193"/>
        <v>0</v>
      </c>
      <c r="AP51" s="535">
        <f>Sheet1!BA49+Sheet1!BB49+Sheet1!BN49+CD51</f>
        <v>20.6</v>
      </c>
      <c r="AQ51" s="535">
        <f>Sheet1!BN49+(DO51*Sheet1!BN49)</f>
        <v>20.48145780051151</v>
      </c>
      <c r="AR51" s="535">
        <f>Sheet1!BA49+CD51</f>
        <v>0</v>
      </c>
      <c r="AS51" s="535">
        <f>Sheet1!BA49+Sheet1!BB49+CD51</f>
        <v>0</v>
      </c>
      <c r="AT51" s="649">
        <f>0</f>
        <v>0</v>
      </c>
      <c r="AU51" s="535">
        <f>IF(EB51&lt;K51,0,MAX(Sheet1!AA49+AQ51-15/36*K51-N51,Sheet1!EH49,0))</f>
        <v>0</v>
      </c>
      <c r="AV51" s="535">
        <f>IF(OR(B51&gt;=GD51,B51&lt;GC51),0,15/36*K51-MAX(0,64.6-(137.6-(Sheet1!AA49+Sheet1!AB49))))</f>
        <v>0</v>
      </c>
      <c r="AW51" s="1029"/>
      <c r="AX51" s="649"/>
      <c r="AY51" s="649">
        <f t="shared" si="101"/>
        <v>0</v>
      </c>
      <c r="AZ51" s="649">
        <f t="shared" si="102"/>
        <v>0</v>
      </c>
      <c r="BA51" s="1059">
        <f t="shared" si="103"/>
        <v>0</v>
      </c>
      <c r="BB51" s="1019">
        <f t="shared" si="194"/>
        <v>0</v>
      </c>
      <c r="BC51" s="1041">
        <f t="shared" si="104"/>
        <v>26.933333333333334</v>
      </c>
      <c r="BD51" s="1019">
        <f ca="1">IF(B51&gt;Summary!$A$1,#N/A,BB51*MGtoAF)</f>
        <v>0</v>
      </c>
      <c r="BE51" s="535">
        <f>Sheet1!BG49+Sheet1!BH49+Sheet1!BI49-BM51</f>
        <v>1.02</v>
      </c>
      <c r="BF51" s="535">
        <f t="shared" si="195"/>
        <v>1.0141304347826088</v>
      </c>
      <c r="BG51" s="535">
        <f>IF(Sheet1!EP49="FM",BM51,0)</f>
        <v>0</v>
      </c>
      <c r="BH51" s="535">
        <f t="shared" si="196"/>
        <v>0</v>
      </c>
      <c r="BI51" s="535">
        <f>IF(Sheet1!EP49="OTHER",BM51,0)</f>
        <v>0</v>
      </c>
      <c r="BJ51" s="535">
        <f t="shared" si="197"/>
        <v>0</v>
      </c>
      <c r="BK51" s="535">
        <f t="shared" si="198"/>
        <v>1.02</v>
      </c>
      <c r="BL51" s="535">
        <f t="shared" si="199"/>
        <v>1.0141304347826088</v>
      </c>
      <c r="BM51" s="535">
        <f>IF(OR(Sheet1!EP49="FM", Sheet1!EP49="OTHER"),SUM(Sheet1!BG49:'Sheet1'!BI49),0)</f>
        <v>0</v>
      </c>
      <c r="BN51" s="521">
        <f>IF(AND($B51&gt;=$FV51,$B51&lt;=$FW51),MAX(BF51,Sheet1!EI49,0),MAX(BF51-(7/36)*$K51,0))</f>
        <v>0</v>
      </c>
      <c r="BO51" s="535">
        <f t="shared" si="200"/>
        <v>0</v>
      </c>
      <c r="BP51" s="521">
        <f t="shared" si="201"/>
        <v>1.0141304347826088</v>
      </c>
      <c r="BQ51" s="521">
        <f>IF(AND($O51&gt;0,Sheet1!EM49=1),(1-($O51-Sheet1!$L49)/$O51)*BL51,0)</f>
        <v>0</v>
      </c>
      <c r="BR51" s="521">
        <f>IF(AND(Sheet1!$L49=0,Sheet1!$L48=0, Calculation!BK51&lt;Sheet1!$EI49-0.1,Sheet1!$EI49=Sheet1!$EI48,Sheet1!$EI49=Sheet1!$EI50),BL51-BQ51,BL51-BQ51)</f>
        <v>1.0141304347826088</v>
      </c>
      <c r="BS51" s="1035" t="str">
        <f t="shared" si="105"/>
        <v/>
      </c>
      <c r="BT51" s="1035">
        <f t="shared" si="106"/>
        <v>12.568888888888889</v>
      </c>
      <c r="BU51" s="535">
        <f t="shared" si="202"/>
        <v>0</v>
      </c>
      <c r="BV51" s="535"/>
      <c r="BW51" s="535">
        <f ca="1">IF(B51&gt;Summary!$A$1,#N/A,BU51*MGtoAF)</f>
        <v>0</v>
      </c>
      <c r="BX51" s="535">
        <f>Sheet1!BC49+Sheet1!BD49+Sheet1!BE49+Sheet1!BF49-CG51-CH51</f>
        <v>3.01</v>
      </c>
      <c r="BY51" s="535">
        <f t="shared" si="203"/>
        <v>2.9926790281329922</v>
      </c>
      <c r="BZ51" s="535">
        <f>IF(Sheet1!EQ49="FM",CH51,0)</f>
        <v>0</v>
      </c>
      <c r="CA51" s="535">
        <f t="shared" si="204"/>
        <v>0</v>
      </c>
      <c r="CB51" s="535">
        <f>IF(Sheet1!EQ49="OTHER",CH51,0)</f>
        <v>0</v>
      </c>
      <c r="CC51" s="535">
        <f t="shared" si="205"/>
        <v>0</v>
      </c>
      <c r="CD51" s="535">
        <f t="shared" si="206"/>
        <v>0</v>
      </c>
      <c r="CE51" s="535">
        <f t="shared" si="207"/>
        <v>3.01</v>
      </c>
      <c r="CF51" s="535">
        <f t="shared" si="208"/>
        <v>2.9926790281329922</v>
      </c>
      <c r="CG51" s="535">
        <f>IF(Sheet1!EQ49="CWA",SUM(Sheet1!BC49:'Sheet1'!BF49),0)</f>
        <v>0</v>
      </c>
      <c r="CH51" s="535">
        <f>IF(OR(Sheet1!EQ49="FM", Sheet1!EQ49="OTHER"),SUM(Sheet1!BC49:'Sheet1'!BF49),0)</f>
        <v>0</v>
      </c>
      <c r="CI51" s="521">
        <f>IF(AND($B51&gt;=$FV51,$B51&lt;=$FW51),MAX(CF51,Sheet1!EJ49,0),MAX(CF51-(7/36)*$K51,0))</f>
        <v>0</v>
      </c>
      <c r="CJ51" s="535">
        <f t="shared" si="209"/>
        <v>0</v>
      </c>
      <c r="CK51" s="521">
        <f t="shared" si="210"/>
        <v>2.9926790281329922</v>
      </c>
      <c r="CL51" s="521">
        <f>IF(AND($O51&gt;0,Sheet1!EN49=1),(1-($O51-Sheet1!$L49)/$O51)*CF51,0)</f>
        <v>0</v>
      </c>
      <c r="CM51" s="521">
        <f>IF(AND(Sheet1!$L49=0,Sheet1!$L48=0, Calculation!CE51&lt;Sheet1!EJ49-0.1,Sheet1!EJ49=Sheet1!EJ48,Sheet1!EJ49=Sheet1!EJ50),CF51-CL51,CF51-CL51)</f>
        <v>2.9926790281329922</v>
      </c>
      <c r="CN51" s="1040" t="str">
        <f t="shared" si="107"/>
        <v/>
      </c>
      <c r="CO51" s="1035">
        <f t="shared" si="108"/>
        <v>12.568888888888889</v>
      </c>
      <c r="CP51" s="535">
        <f t="shared" si="211"/>
        <v>0</v>
      </c>
      <c r="CQ51" s="535"/>
      <c r="CR51" s="535">
        <f ca="1">IF(B51&gt;Summary!$A$1,#N/A,CP51*MGtoAF)</f>
        <v>0</v>
      </c>
      <c r="CS51" s="535">
        <f>Sheet1!BK49+Sheet1!BL49+Sheet1!BM49-Sheet1!ER49-DA51</f>
        <v>6.65</v>
      </c>
      <c r="CT51" s="535">
        <f t="shared" si="212"/>
        <v>6.6117327365728906</v>
      </c>
      <c r="CU51" s="535">
        <f>IF(Sheet1!ER49="FM",DA51,0)</f>
        <v>0</v>
      </c>
      <c r="CV51" s="535">
        <f t="shared" si="213"/>
        <v>0</v>
      </c>
      <c r="CW51" s="535">
        <f>IF(Sheet1!ER49="OTHER",DA51,0)</f>
        <v>0</v>
      </c>
      <c r="CX51" s="535">
        <f t="shared" si="214"/>
        <v>0</v>
      </c>
      <c r="CY51" s="535">
        <f t="shared" si="215"/>
        <v>6.65</v>
      </c>
      <c r="CZ51" s="535">
        <f t="shared" si="216"/>
        <v>6.6117327365728906</v>
      </c>
      <c r="DA51" s="535">
        <f>IF(OR(Sheet1!ER49="FM", Sheet1!ER49="OTHER"),SUM(Sheet1!BK49:'Sheet1'!BM49),0)</f>
        <v>0</v>
      </c>
      <c r="DB51" s="1011">
        <f>IF(AND($B51&gt;=$FV51,$B51&lt;=$FW51),MAX($CT51,Sheet1!EK49,0),MAX($CT51-(7/36)*$K51,0))</f>
        <v>0</v>
      </c>
      <c r="DC51" s="1012">
        <f t="shared" si="217"/>
        <v>0</v>
      </c>
      <c r="DD51" s="1011">
        <f t="shared" si="218"/>
        <v>6.6117327365728906</v>
      </c>
      <c r="DE51" s="521">
        <f>IF(AND($O51&gt;0,Sheet1!EO49=1),(1-($O51-Sheet1!$L49)/$O51)*CZ51,0)</f>
        <v>0</v>
      </c>
      <c r="DF51" s="521">
        <f>IF(AND(Sheet1!$L49=0,Sheet1!$L48=0, Calculation!CY51&lt;Sheet1!$EK49-0.1,Sheet1!$EK49=Sheet1!$EK48,Sheet1!$EK49=Sheet1!$EK50),CZ51-DE51,CZ51-DE51)</f>
        <v>6.6117327365728906</v>
      </c>
      <c r="DG51" s="1040">
        <f t="shared" si="109"/>
        <v>12.568888888888889</v>
      </c>
      <c r="DH51" s="649">
        <f t="shared" si="219"/>
        <v>10.68</v>
      </c>
      <c r="DI51" s="535">
        <f t="shared" si="220"/>
        <v>0</v>
      </c>
      <c r="DJ51" s="649">
        <f t="shared" si="221"/>
        <v>10.618542199488491</v>
      </c>
      <c r="DK51" s="535">
        <f ca="1">IF(B51&gt;Summary!$A$1,#N/A,DI51*MGtoAF)</f>
        <v>0</v>
      </c>
      <c r="DL51" s="649">
        <f t="shared" si="222"/>
        <v>10.68</v>
      </c>
      <c r="DM51" s="535">
        <f t="shared" si="223"/>
        <v>31.28</v>
      </c>
      <c r="DN51" s="535">
        <f>Sheet1!AB49-DM51</f>
        <v>-0.17999999999999972</v>
      </c>
      <c r="DO51" s="743">
        <f t="shared" si="224"/>
        <v>-5.7544757033247988E-3</v>
      </c>
      <c r="DP51" s="535">
        <f>(VLOOKUP(Sheet1!DC49,hhdcap_wcm,4)-(((VLOOKUP(Sheet1!DC49,hhdcap_wcm,3)-Sheet1!DC49)/(VLOOKUP(Sheet1!DC49,hhdcap_wcm,3)-VLOOKUP(Sheet1!DC49,hhdcap_wcm,1)))*(VLOOKUP(Sheet1!DC49,hhdcap_wcm,4)-VLOOKUP(Sheet1!DC49,hhdcap_wcm,2))))</f>
        <v>1937.500000004502</v>
      </c>
      <c r="DQ51" s="535">
        <f t="shared" si="225"/>
        <v>971.30000000142786</v>
      </c>
      <c r="DR51" s="535">
        <f t="shared" si="226"/>
        <v>489.81341401988288</v>
      </c>
      <c r="DS51" s="535">
        <f>Sheet1!EA49*AFtoMG</f>
        <v>0</v>
      </c>
      <c r="DT51" s="535">
        <f>Sheet1!EB49*AFtoMG</f>
        <v>0</v>
      </c>
      <c r="DU51" s="535">
        <f>Sheet1!EC49*AFtoMG</f>
        <v>0</v>
      </c>
      <c r="DV51" s="535">
        <f>Sheet1!ED49*AFtoMG</f>
        <v>0</v>
      </c>
      <c r="DW51" s="535">
        <f t="shared" si="227"/>
        <v>0</v>
      </c>
      <c r="DX51" s="535">
        <f t="shared" si="228"/>
        <v>0</v>
      </c>
      <c r="DY51" s="535">
        <f t="shared" si="229"/>
        <v>0</v>
      </c>
      <c r="DZ51" s="535">
        <f t="shared" si="230"/>
        <v>0</v>
      </c>
      <c r="EA51" s="535"/>
      <c r="EB51" s="521">
        <f>IF(OR(B51&lt;FV51,B51&gt;FW51),(MIN(BF51+BY51+CT51+MAX(Sheet1!AA49+AQ51-73,0),K51)),0)</f>
        <v>10.618542199488491</v>
      </c>
      <c r="EC51" s="535"/>
      <c r="ED51" s="535">
        <f t="shared" si="231"/>
        <v>10.618542199488491</v>
      </c>
      <c r="EE51" s="535"/>
      <c r="EF51" s="535">
        <f>Sheet1!EH49+Sheet1!EI49+Sheet1!EJ49+Sheet1!EK49</f>
        <v>10.5</v>
      </c>
      <c r="EG51" s="1019">
        <f t="shared" si="110"/>
        <v>16.243500000000001</v>
      </c>
      <c r="EH51" s="521">
        <f t="shared" si="232"/>
        <v>0</v>
      </c>
      <c r="EI51" s="535">
        <f>IF(Sheet1!ET49=1,SUM('Calculations II'!AT51:BA51)+'Calculations II'!BC51+Sheet1!BV49+'Calculations II'!BE51+AP51,'Calculations II'!BK51)</f>
        <v>45.977097800511515</v>
      </c>
      <c r="EJ51" s="535">
        <f ca="1">EI51+'Calculations II'!D51+'Calculations II'!E51+'Calculations II'!O51</f>
        <v>45.063195154861603</v>
      </c>
      <c r="EK51" s="535"/>
      <c r="EL51" s="535"/>
      <c r="EM51" s="535">
        <f t="shared" si="233"/>
        <v>42775</v>
      </c>
      <c r="EN51" s="535">
        <f t="shared" si="234"/>
        <v>0</v>
      </c>
      <c r="EO51" s="535">
        <f t="shared" si="235"/>
        <v>0</v>
      </c>
      <c r="EP51" s="535">
        <v>0</v>
      </c>
      <c r="EQ51" s="535">
        <v>0</v>
      </c>
      <c r="ER51" s="535">
        <v>0</v>
      </c>
      <c r="ES51" s="521">
        <f t="shared" si="71"/>
        <v>0.27698877661613003</v>
      </c>
      <c r="ET51" s="535">
        <f>-(VLOOKUP(Sheet1!BQ49,Lookup!$O$4:$Q$262,2)-VLOOKUP(Sheet1!BQ48,Lookup!$O$4:$Q$262,2))/1000000</f>
        <v>0.13847195860936864</v>
      </c>
      <c r="EU51" s="535">
        <f>-(VLOOKUP(Sheet1!BR49,Lookup!$O$4:$Q$262,3)-VLOOKUP(Sheet1!BR48,Lookup!$O$4:$Q$262,3))/1000000</f>
        <v>0.13851681800676138</v>
      </c>
      <c r="EV51" s="535"/>
      <c r="EW51" s="535"/>
      <c r="EX51" s="535"/>
      <c r="EY51" s="535"/>
      <c r="EZ51" s="535"/>
      <c r="FA51" s="535"/>
      <c r="FB51" s="535"/>
      <c r="FC51" s="535"/>
      <c r="FD51" s="567" t="e">
        <f t="shared" si="236"/>
        <v>#N/A</v>
      </c>
      <c r="FE51" s="567" t="e">
        <f t="shared" si="237"/>
        <v>#N/A</v>
      </c>
      <c r="FF51" s="568" t="e">
        <f t="shared" si="238"/>
        <v>#N/A</v>
      </c>
      <c r="FG51" s="569" t="s">
        <v>656</v>
      </c>
      <c r="FH51" s="569" t="s">
        <v>656</v>
      </c>
      <c r="FI51" s="567" t="e">
        <v>#N/A</v>
      </c>
      <c r="FJ51" s="567" t="e">
        <v>#N/A</v>
      </c>
      <c r="FK51" s="535"/>
      <c r="FL51" s="1015">
        <v>0</v>
      </c>
      <c r="FM51" s="535"/>
      <c r="FN51" s="535"/>
      <c r="FO51" s="535">
        <f>O51+((Sheet1!CS49)*GPMtoMGD)</f>
        <v>56.97</v>
      </c>
      <c r="FP51" s="535">
        <f>IF(Sheet1!AA49+AQ51&lt;=Calculation!N51,AQ51,Calculation!N51-Sheet1!AA49)</f>
        <v>20.48145780051151</v>
      </c>
      <c r="FQ51" s="535">
        <f>(Sheet1!BP49+Sheet1!BO49)/694.4</f>
        <v>1.2632488479262673</v>
      </c>
      <c r="FR51" s="541"/>
      <c r="FS51" s="541"/>
      <c r="FT51" s="541"/>
      <c r="FU51" s="541"/>
      <c r="FV51" s="1109">
        <f t="shared" si="74"/>
        <v>42918</v>
      </c>
      <c r="FW51" s="1109">
        <f t="shared" si="75"/>
        <v>43027</v>
      </c>
      <c r="FX51" s="541"/>
      <c r="FY51" s="541">
        <f>Sheet1!DA49-Sheet1!CZ49-Sheet1!AE49</f>
        <v>2101.3750799999953</v>
      </c>
      <c r="FZ51" s="535">
        <f t="shared" si="111"/>
        <v>1.1675516270914852</v>
      </c>
      <c r="GA51" s="535"/>
      <c r="GB51" s="535" t="str">
        <f t="shared" si="76"/>
        <v>n</v>
      </c>
      <c r="GC51" s="539">
        <f t="shared" si="77"/>
        <v>42782</v>
      </c>
      <c r="GD51" s="1109">
        <f t="shared" si="78"/>
        <v>42904</v>
      </c>
      <c r="GE51" s="535">
        <f t="shared" si="95"/>
        <v>6520</v>
      </c>
      <c r="GF51" s="1109">
        <f t="shared" si="79"/>
        <v>42909</v>
      </c>
      <c r="GG51" s="535">
        <f t="shared" si="174"/>
        <v>3260</v>
      </c>
      <c r="GH51" s="539">
        <f t="shared" si="80"/>
        <v>43040</v>
      </c>
      <c r="GJ51" s="521">
        <f t="shared" si="81"/>
        <v>0</v>
      </c>
      <c r="GK51" s="535" t="str">
        <f t="shared" si="239"/>
        <v/>
      </c>
      <c r="GL51" s="535">
        <f t="shared" si="82"/>
        <v>0</v>
      </c>
      <c r="GM51" s="535" t="str">
        <f t="shared" si="83"/>
        <v/>
      </c>
      <c r="GN51" s="535">
        <f>IF(GK51="P",Lookup!$M$12,IF(GK51="PP",Lookup!$M$13,IF(GK51="PPP",Lookup!$M$14,IF(GK51="T",Lookup!$M$15,IF(GK51="TP",Lookup!$M$16,IF(GK51="TPP",Lookup!$M$17,IF(GK51="TPPP",Lookup!$M$18,0)))))))*GJ51</f>
        <v>0</v>
      </c>
      <c r="GO51" s="535">
        <f t="shared" si="84"/>
        <v>0</v>
      </c>
      <c r="GP51" s="535">
        <f t="shared" si="240"/>
        <v>0</v>
      </c>
      <c r="GQ51" s="535">
        <f t="shared" si="94"/>
        <v>0</v>
      </c>
      <c r="GR51" s="535"/>
      <c r="GS51" s="535">
        <f t="shared" si="85"/>
        <v>0</v>
      </c>
      <c r="GT51" s="535" t="str">
        <f t="shared" si="86"/>
        <v/>
      </c>
      <c r="GU51" s="535">
        <f>IF(GK51="P",Lookup!$N$12,IF(GK51="PP",Lookup!$N$13,IF(GK51="PPP",Lookup!$N$14,IF(GK51="T",Lookup!$N$15,IF(GK51="TP",Lookup!$N$16,IF(GK51="TPP",Lookup!$N$17,IF(GK51="TPPP",Lookup!$N$18,0)))))))*GJ51</f>
        <v>0</v>
      </c>
      <c r="GV51" s="535">
        <f t="shared" si="53"/>
        <v>0</v>
      </c>
      <c r="GW51" s="535">
        <f t="shared" si="241"/>
        <v>0</v>
      </c>
      <c r="GX51" s="535">
        <f t="shared" si="91"/>
        <v>0</v>
      </c>
      <c r="GY51" s="535"/>
      <c r="GZ51" s="535">
        <f t="shared" si="87"/>
        <v>0</v>
      </c>
      <c r="HA51" s="535" t="str">
        <f t="shared" si="88"/>
        <v/>
      </c>
      <c r="HB51" s="535">
        <f>IF(GK51="P",Lookup!$N$12,IF(GK51="PP",Lookup!$N$13,IF(GK51="PPP",Lookup!$N$14,IF(GK51="T",Lookup!$N$15,IF(GK51="TP",Lookup!$N$16,IF(GK51="TPP",Lookup!$N$17,IF(GK51="TPPP",Lookup!$N$18,0)))))))*GJ51</f>
        <v>0</v>
      </c>
      <c r="HC51" s="521">
        <f t="shared" si="242"/>
        <v>0</v>
      </c>
      <c r="HD51" s="535">
        <f t="shared" si="243"/>
        <v>0</v>
      </c>
      <c r="HE51" s="535">
        <f t="shared" si="92"/>
        <v>0</v>
      </c>
      <c r="HF51" s="535"/>
      <c r="HG51" s="535">
        <f t="shared" si="89"/>
        <v>0</v>
      </c>
      <c r="HH51" s="535" t="str">
        <f t="shared" si="90"/>
        <v/>
      </c>
      <c r="HI51" s="535">
        <f>IF(GK51="P",Lookup!$N$12,IF(GK51="PP",Lookup!$N$13,IF(GK51="PPP",Lookup!$N$14,IF(GK51="T",Lookup!$N$15,IF(GK51="TP",Lookup!$N$16,IF(GK51="TPP",Lookup!$N$17,IF(GK51="TPPP",Lookup!$N$18,0)))))))*GJ51</f>
        <v>0</v>
      </c>
      <c r="HJ51" s="521">
        <f t="shared" si="244"/>
        <v>0</v>
      </c>
      <c r="HK51" s="535">
        <f t="shared" si="245"/>
        <v>0</v>
      </c>
      <c r="HL51" s="535">
        <f t="shared" si="93"/>
        <v>0</v>
      </c>
      <c r="HM51" s="535"/>
      <c r="HN51" s="541"/>
      <c r="HO51" s="541"/>
      <c r="HP51" s="541"/>
      <c r="HQ51" s="541">
        <f>IF(AND(B51&gt;=$FV$4,B51&lt;=$FW$4),MAX(110/1.02+$HQ$6+MIN(113/1.02,G51),IF($HV$6-(Sheet1!DA49-Sheet1!DB49)+MIN(113/1.02,G51)&lt;G51+FL51,$HV$6-(Sheet1!DA49-Sheet1!DB49)+MIN(113/1.02,G51),G51+FL51)),MIN(110/1.02+$HQ$6+113/1.02,G51))</f>
        <v>218.62745098039215</v>
      </c>
      <c r="HR51" s="541">
        <f t="shared" si="112"/>
        <v>223</v>
      </c>
      <c r="HS51" s="541">
        <f>HR51+(Sheet1!DA49-Sheet1!DB49)</f>
        <v>2183</v>
      </c>
      <c r="HT51" s="541">
        <f t="shared" si="113"/>
        <v>0</v>
      </c>
      <c r="HU51" s="541">
        <f t="shared" si="114"/>
        <v>2183</v>
      </c>
      <c r="HV51" s="541">
        <f t="shared" si="115"/>
        <v>0</v>
      </c>
      <c r="HW51" s="533" t="str">
        <f t="shared" si="116"/>
        <v/>
      </c>
      <c r="HX51" s="541">
        <f t="shared" si="117"/>
        <v>1091.372549019608</v>
      </c>
      <c r="HY51" s="541">
        <f>Sheet1!CZ49</f>
        <v>1310</v>
      </c>
      <c r="HZ51" s="541">
        <f t="shared" si="118"/>
        <v>0</v>
      </c>
      <c r="IA51" s="541">
        <f t="shared" si="119"/>
        <v>0</v>
      </c>
      <c r="IB51" s="541">
        <f t="shared" si="120"/>
        <v>1310</v>
      </c>
      <c r="IC51" s="1019" t="str">
        <f t="shared" si="121"/>
        <v/>
      </c>
      <c r="ID51" s="541">
        <f t="shared" si="122"/>
        <v>1310</v>
      </c>
      <c r="IE51" s="541">
        <f>Sheet1!DB49</f>
        <v>1520</v>
      </c>
      <c r="IF51" s="533">
        <f>Sheet1!DA49</f>
        <v>3480</v>
      </c>
      <c r="IH51" s="541">
        <f>IF(AND($B51&gt;=$GC51,$B51&lt;=$GH51,$DR51&lt;0)+N("only adjusted when pool is drawn down during storage season"),Sheet1!$DB49+$DR51+N("Palmer minus all storage release"),Sheet1!$DB49)</f>
        <v>1520</v>
      </c>
      <c r="II51" s="541">
        <f>IF(AND($B51&gt;=$GC51,$B51&lt;=$GH51,$DR51&lt;0)+N("only adjusted when pool is drawn down during storage season"),Sheet1!$DA49+$DR51+N("Auburn minus all storage release"),Sheet1!$DA49)</f>
        <v>3480</v>
      </c>
    </row>
    <row r="52" spans="1:243" x14ac:dyDescent="0.25">
      <c r="A52" s="553" t="s">
        <v>8</v>
      </c>
      <c r="B52" s="531">
        <v>42776</v>
      </c>
      <c r="C52" s="536">
        <v>0</v>
      </c>
      <c r="D52" s="506">
        <f t="shared" si="0"/>
        <v>300</v>
      </c>
      <c r="E52" s="506">
        <f t="shared" si="1"/>
        <v>250</v>
      </c>
      <c r="F52" s="506">
        <v>250</v>
      </c>
      <c r="G52" s="535">
        <f>DR52+Sheet1!CZ50</f>
        <v>2077.9828542624814</v>
      </c>
      <c r="H52" s="1074">
        <f t="shared" si="246"/>
        <v>876.72692863999998</v>
      </c>
      <c r="I52" s="534">
        <f>IF(Sheet1!DA50&gt;=E52,(Sheet1!DA50-E52+P52)*CFStoMGD,0)</f>
        <v>1949.75092864</v>
      </c>
      <c r="J52" s="995">
        <f>IF(Sheet1!DB50&gt;=D52,(Sheet1!DB50-D52+P52)*CFStoMGD,0)</f>
        <v>876.72692863999998</v>
      </c>
      <c r="K52" s="818">
        <f t="shared" si="97"/>
        <v>64.64</v>
      </c>
      <c r="L52" s="535">
        <f>Sheet1!AA50+Sheet1!AB50-Sheet1!L50+(Sheet1!DA50-F52)*CFStoMGD-S52-T52-U52</f>
        <v>1874.0819999999974</v>
      </c>
      <c r="M52" s="535">
        <f t="shared" si="185"/>
        <v>1370.0722793351733</v>
      </c>
      <c r="N52" s="824">
        <f>IF(Sheet1!DA50&gt;=F52,MIN(113*CFStoMGD,MIN(MAX(L52,0),MAX(M52,0))),0)</f>
        <v>73.043199999999999</v>
      </c>
      <c r="O52" s="538">
        <f>Sheet1!AA50+Sheet1!AB50</f>
        <v>55.8</v>
      </c>
      <c r="P52" s="538">
        <f t="shared" si="186"/>
        <v>86.322599999999994</v>
      </c>
      <c r="Q52" s="812">
        <f t="shared" si="98"/>
        <v>0</v>
      </c>
      <c r="R52" s="812">
        <f t="shared" si="59"/>
        <v>10.523352103345479</v>
      </c>
      <c r="S52" s="812">
        <f t="shared" si="60"/>
        <v>55.8</v>
      </c>
      <c r="T52" s="812">
        <f t="shared" si="61"/>
        <v>0</v>
      </c>
      <c r="U52" s="812">
        <f t="shared" si="99"/>
        <v>0</v>
      </c>
      <c r="V52" s="812"/>
      <c r="W52" s="812">
        <f t="shared" si="62"/>
        <v>54.11664789665452</v>
      </c>
      <c r="X52" s="812">
        <f t="shared" si="63"/>
        <v>55.8</v>
      </c>
      <c r="Y52" s="812" t="str">
        <f t="shared" si="64"/>
        <v/>
      </c>
      <c r="Z52" s="812">
        <f t="shared" si="65"/>
        <v>55.8</v>
      </c>
      <c r="AA52" s="812">
        <f t="shared" si="66"/>
        <v>55.8</v>
      </c>
      <c r="AB52" s="1059">
        <f t="shared" si="100"/>
        <v>0</v>
      </c>
      <c r="AC52" s="538">
        <f>Sheet1!Y50*MGDtoCFS</f>
        <v>40.020890000000001</v>
      </c>
      <c r="AD52" s="538">
        <f>Sheet1!Z50*MGDtoCFS</f>
        <v>48.111699999999999</v>
      </c>
      <c r="AE52" s="538">
        <f>Sheet1!AA50*MGDtoCFS</f>
        <v>39.912599999999998</v>
      </c>
      <c r="AF52" s="538">
        <f>Sheet1!AB50*MGDtoCFS</f>
        <v>46.41</v>
      </c>
      <c r="AG52" s="538">
        <f>Sheet1!L50*MGDtoCFS</f>
        <v>30.738890000004051</v>
      </c>
      <c r="AH52" s="521">
        <f t="shared" si="187"/>
        <v>0</v>
      </c>
      <c r="AI52" s="1059">
        <f t="shared" si="188"/>
        <v>0</v>
      </c>
      <c r="AJ52" s="535">
        <f t="shared" si="189"/>
        <v>0</v>
      </c>
      <c r="AK52" s="535">
        <f t="shared" si="190"/>
        <v>0</v>
      </c>
      <c r="AL52" s="535">
        <f>(VLOOKUP(Sheet1!DC50,hhdcap_wcm,4)-(((VLOOKUP(Sheet1!DC50,hhdcap_wcm,3)-Sheet1!DC50)/(VLOOKUP(Sheet1!DC50,hhdcap_wcm,3)-VLOOKUP(Sheet1!DC50,hhdcap_wcm,1)))*(VLOOKUP(Sheet1!DC50,hhdcap_wcm,4)-VLOOKUP(Sheet1!DC50,hhdcap_wcm,2))))</f>
        <v>2925.0000000070031</v>
      </c>
      <c r="AM52" s="535">
        <f t="shared" si="191"/>
        <v>987.50000000250111</v>
      </c>
      <c r="AN52" s="1035">
        <f t="shared" si="192"/>
        <v>0</v>
      </c>
      <c r="AO52" s="535">
        <f t="shared" si="193"/>
        <v>0</v>
      </c>
      <c r="AP52" s="535">
        <f>Sheet1!BA50+Sheet1!BB50+Sheet1!BN50+CD52</f>
        <v>19.600000000000001</v>
      </c>
      <c r="AQ52" s="535">
        <f>Sheet1!BN50+(DO52*Sheet1!BN50)</f>
        <v>19.476647896654523</v>
      </c>
      <c r="AR52" s="535">
        <f>Sheet1!BA50+CD52</f>
        <v>0</v>
      </c>
      <c r="AS52" s="535">
        <f>Sheet1!BA50+Sheet1!BB50+CD52</f>
        <v>0</v>
      </c>
      <c r="AT52" s="649">
        <f>0</f>
        <v>0</v>
      </c>
      <c r="AU52" s="535">
        <f>IF(EB52&lt;K52,0,MAX(Sheet1!AA50+AQ52-15/36*K52-N52,Sheet1!EH50,0))</f>
        <v>0</v>
      </c>
      <c r="AV52" s="535">
        <f>IF(OR(B52&gt;=GD52,B52&lt;GC52),0,15/36*K52-MAX(0,64.6-(137.6-(Sheet1!AA50+Sheet1!AB50))))</f>
        <v>0</v>
      </c>
      <c r="AW52" s="1029"/>
      <c r="AX52" s="649"/>
      <c r="AY52" s="649">
        <f t="shared" si="101"/>
        <v>0</v>
      </c>
      <c r="AZ52" s="649">
        <f t="shared" si="102"/>
        <v>0</v>
      </c>
      <c r="BA52" s="1059">
        <f t="shared" si="103"/>
        <v>0</v>
      </c>
      <c r="BB52" s="1019">
        <f t="shared" si="194"/>
        <v>0</v>
      </c>
      <c r="BC52" s="1041">
        <f t="shared" si="104"/>
        <v>26.933333333333334</v>
      </c>
      <c r="BD52" s="1019">
        <f ca="1">IF(B52&gt;Summary!$A$1,#N/A,BB52*MGtoAF)</f>
        <v>0</v>
      </c>
      <c r="BE52" s="535">
        <f>Sheet1!BG50+Sheet1!BH50+Sheet1!BI50-BM52</f>
        <v>1.02</v>
      </c>
      <c r="BF52" s="535">
        <f t="shared" si="195"/>
        <v>1.0135806558463067</v>
      </c>
      <c r="BG52" s="535">
        <f>IF(Sheet1!EP50="FM",BM52,0)</f>
        <v>0</v>
      </c>
      <c r="BH52" s="535">
        <f t="shared" si="196"/>
        <v>0</v>
      </c>
      <c r="BI52" s="535">
        <f>IF(Sheet1!EP50="OTHER",BM52,0)</f>
        <v>0</v>
      </c>
      <c r="BJ52" s="535">
        <f t="shared" si="197"/>
        <v>0</v>
      </c>
      <c r="BK52" s="535">
        <f t="shared" si="198"/>
        <v>1.02</v>
      </c>
      <c r="BL52" s="535">
        <f t="shared" si="199"/>
        <v>1.0135806558463067</v>
      </c>
      <c r="BM52" s="535">
        <f>IF(OR(Sheet1!EP50="FM", Sheet1!EP50="OTHER"),SUM(Sheet1!BG50:'Sheet1'!BI50),0)</f>
        <v>0</v>
      </c>
      <c r="BN52" s="521">
        <f>IF(AND($B52&gt;=$FV52,$B52&lt;=$FW52),MAX(BF52,Sheet1!EI50,0),MAX(BF52-(7/36)*$K52,0))</f>
        <v>0</v>
      </c>
      <c r="BO52" s="535">
        <f t="shared" si="200"/>
        <v>0</v>
      </c>
      <c r="BP52" s="521">
        <f t="shared" si="201"/>
        <v>1.0135806558463067</v>
      </c>
      <c r="BQ52" s="521">
        <f>IF(AND($O52&gt;0,Sheet1!EM50=1),(1-($O52-Sheet1!$L50)/$O52)*BL52,0)</f>
        <v>0</v>
      </c>
      <c r="BR52" s="521">
        <f>IF(AND(Sheet1!$L50=0,Sheet1!$L49=0, Calculation!BK52&lt;Sheet1!$EI50-0.1,Sheet1!$EI50=Sheet1!$EI49,Sheet1!$EI50=Sheet1!$EI51),BL52-BQ52,BL52-BQ52)</f>
        <v>1.0135806558463067</v>
      </c>
      <c r="BS52" s="1035" t="str">
        <f t="shared" si="105"/>
        <v/>
      </c>
      <c r="BT52" s="1035">
        <f t="shared" si="106"/>
        <v>12.568888888888889</v>
      </c>
      <c r="BU52" s="535">
        <f t="shared" si="202"/>
        <v>0</v>
      </c>
      <c r="BV52" s="535"/>
      <c r="BW52" s="535">
        <f ca="1">IF(B52&gt;Summary!$A$1,#N/A,BU52*MGtoAF)</f>
        <v>0</v>
      </c>
      <c r="BX52" s="535">
        <f>Sheet1!BC50+Sheet1!BD50+Sheet1!BE50+Sheet1!BF50-CG52-CH52</f>
        <v>3</v>
      </c>
      <c r="BY52" s="535">
        <f t="shared" si="203"/>
        <v>2.9811195760185489</v>
      </c>
      <c r="BZ52" s="535">
        <f>IF(Sheet1!EQ50="FM",CH52,0)</f>
        <v>0</v>
      </c>
      <c r="CA52" s="535">
        <f t="shared" si="204"/>
        <v>0</v>
      </c>
      <c r="CB52" s="535">
        <f>IF(Sheet1!EQ50="OTHER",CH52,0)</f>
        <v>0</v>
      </c>
      <c r="CC52" s="535">
        <f t="shared" si="205"/>
        <v>0</v>
      </c>
      <c r="CD52" s="535">
        <f t="shared" si="206"/>
        <v>0</v>
      </c>
      <c r="CE52" s="535">
        <f t="shared" si="207"/>
        <v>3</v>
      </c>
      <c r="CF52" s="535">
        <f t="shared" si="208"/>
        <v>2.9811195760185489</v>
      </c>
      <c r="CG52" s="535">
        <f>IF(Sheet1!EQ50="CWA",SUM(Sheet1!BC50:'Sheet1'!BF50),0)</f>
        <v>0</v>
      </c>
      <c r="CH52" s="535">
        <f>IF(OR(Sheet1!EQ50="FM", Sheet1!EQ50="OTHER"),SUM(Sheet1!BC50:'Sheet1'!BF50),0)</f>
        <v>0</v>
      </c>
      <c r="CI52" s="521">
        <f>IF(AND($B52&gt;=$FV52,$B52&lt;=$FW52),MAX(CF52,Sheet1!EJ50,0),MAX(CF52-(7/36)*$K52,0))</f>
        <v>0</v>
      </c>
      <c r="CJ52" s="535">
        <f t="shared" si="209"/>
        <v>0</v>
      </c>
      <c r="CK52" s="521">
        <f t="shared" si="210"/>
        <v>2.9811195760185489</v>
      </c>
      <c r="CL52" s="521">
        <f>IF(AND($O52&gt;0,Sheet1!EN50=1),(1-($O52-Sheet1!$L50)/$O52)*CF52,0)</f>
        <v>0</v>
      </c>
      <c r="CM52" s="521">
        <f>IF(AND(Sheet1!$L50=0,Sheet1!$L49=0, Calculation!CE52&lt;Sheet1!EJ50-0.1,Sheet1!EJ50=Sheet1!EJ49,Sheet1!EJ50=Sheet1!EJ51),CF52-CL52,CF52-CL52)</f>
        <v>2.9811195760185489</v>
      </c>
      <c r="CN52" s="1040" t="str">
        <f t="shared" si="107"/>
        <v/>
      </c>
      <c r="CO52" s="1035">
        <f t="shared" si="108"/>
        <v>12.568888888888889</v>
      </c>
      <c r="CP52" s="535">
        <f t="shared" si="211"/>
        <v>0</v>
      </c>
      <c r="CQ52" s="535"/>
      <c r="CR52" s="535">
        <f ca="1">IF(B52&gt;Summary!$A$1,#N/A,CP52*MGtoAF)</f>
        <v>0</v>
      </c>
      <c r="CS52" s="535">
        <f>Sheet1!BK50+Sheet1!BL50+Sheet1!BM50-Sheet1!ER50-DA52</f>
        <v>6.57</v>
      </c>
      <c r="CT52" s="535">
        <f t="shared" si="212"/>
        <v>6.5286518714806228</v>
      </c>
      <c r="CU52" s="535">
        <f>IF(Sheet1!ER50="FM",DA52,0)</f>
        <v>0</v>
      </c>
      <c r="CV52" s="535">
        <f t="shared" si="213"/>
        <v>0</v>
      </c>
      <c r="CW52" s="535">
        <f>IF(Sheet1!ER50="OTHER",DA52,0)</f>
        <v>0</v>
      </c>
      <c r="CX52" s="535">
        <f t="shared" si="214"/>
        <v>0</v>
      </c>
      <c r="CY52" s="535">
        <f t="shared" si="215"/>
        <v>6.57</v>
      </c>
      <c r="CZ52" s="535">
        <f t="shared" si="216"/>
        <v>6.5286518714806228</v>
      </c>
      <c r="DA52" s="535">
        <f>IF(OR(Sheet1!ER50="FM", Sheet1!ER50="OTHER"),SUM(Sheet1!BK50:'Sheet1'!BM50),0)</f>
        <v>0</v>
      </c>
      <c r="DB52" s="1011">
        <f>IF(AND($B52&gt;=$FV52,$B52&lt;=$FW52),MAX($CT52,Sheet1!EK50,0),MAX($CT52-(7/36)*$K52,0))</f>
        <v>0</v>
      </c>
      <c r="DC52" s="1012">
        <f t="shared" si="217"/>
        <v>0</v>
      </c>
      <c r="DD52" s="1011">
        <f t="shared" si="218"/>
        <v>6.5286518714806228</v>
      </c>
      <c r="DE52" s="521">
        <f>IF(AND($O52&gt;0,Sheet1!EO50=1),(1-($O52-Sheet1!$L50)/$O52)*CZ52,0)</f>
        <v>0</v>
      </c>
      <c r="DF52" s="521">
        <f>IF(AND(Sheet1!$L50=0,Sheet1!$L49=0, Calculation!CY52&lt;Sheet1!$EK50-0.1,Sheet1!$EK50=Sheet1!$EK49,Sheet1!$EK50=Sheet1!$EK51),CZ52-DE52,CZ52-DE52)</f>
        <v>6.5286518714806228</v>
      </c>
      <c r="DG52" s="1040">
        <f t="shared" si="109"/>
        <v>12.568888888888889</v>
      </c>
      <c r="DH52" s="649">
        <f t="shared" si="219"/>
        <v>10.59</v>
      </c>
      <c r="DI52" s="535">
        <f t="shared" si="220"/>
        <v>0</v>
      </c>
      <c r="DJ52" s="649">
        <f t="shared" si="221"/>
        <v>10.523352103345479</v>
      </c>
      <c r="DK52" s="535">
        <f ca="1">IF(B52&gt;Summary!$A$1,#N/A,DI52*MGtoAF)</f>
        <v>0</v>
      </c>
      <c r="DL52" s="649">
        <f t="shared" si="222"/>
        <v>10.59</v>
      </c>
      <c r="DM52" s="535">
        <f t="shared" si="223"/>
        <v>30.19</v>
      </c>
      <c r="DN52" s="535">
        <f>Sheet1!AB50-DM52</f>
        <v>-0.19000000000000128</v>
      </c>
      <c r="DO52" s="743">
        <f t="shared" si="224"/>
        <v>-6.2934746604836464E-3</v>
      </c>
      <c r="DP52" s="535">
        <f>(VLOOKUP(Sheet1!DC50,hhdcap_wcm,4)-(((VLOOKUP(Sheet1!DC50,hhdcap_wcm,3)-Sheet1!DC50)/(VLOOKUP(Sheet1!DC50,hhdcap_wcm,3)-VLOOKUP(Sheet1!DC50,hhdcap_wcm,1)))*(VLOOKUP(Sheet1!DC50,hhdcap_wcm,4)-VLOOKUP(Sheet1!DC50,hhdcap_wcm,2))))</f>
        <v>2925.0000000070031</v>
      </c>
      <c r="DQ52" s="535">
        <f t="shared" si="225"/>
        <v>987.50000000250111</v>
      </c>
      <c r="DR52" s="535">
        <f t="shared" si="226"/>
        <v>497.98285426248157</v>
      </c>
      <c r="DS52" s="535">
        <f>Sheet1!EA50*AFtoMG</f>
        <v>0</v>
      </c>
      <c r="DT52" s="535">
        <f>Sheet1!EB50*AFtoMG</f>
        <v>0</v>
      </c>
      <c r="DU52" s="535">
        <f>Sheet1!EC50*AFtoMG</f>
        <v>0</v>
      </c>
      <c r="DV52" s="535">
        <f>Sheet1!ED50*AFtoMG</f>
        <v>0</v>
      </c>
      <c r="DW52" s="535">
        <f t="shared" si="227"/>
        <v>0</v>
      </c>
      <c r="DX52" s="535">
        <f t="shared" si="228"/>
        <v>0</v>
      </c>
      <c r="DY52" s="535">
        <f t="shared" si="229"/>
        <v>0</v>
      </c>
      <c r="DZ52" s="535">
        <f t="shared" si="230"/>
        <v>0</v>
      </c>
      <c r="EA52" s="535"/>
      <c r="EB52" s="521">
        <f>IF(OR(B52&lt;FV52,B52&gt;FW52),(MIN(BF52+BY52+CT52+MAX(Sheet1!AA50+AQ52-73,0),K52)),0)</f>
        <v>10.523352103345479</v>
      </c>
      <c r="EC52" s="535"/>
      <c r="ED52" s="535">
        <f t="shared" si="231"/>
        <v>10.523352103345477</v>
      </c>
      <c r="EE52" s="535"/>
      <c r="EF52" s="535">
        <f>Sheet1!EH50+Sheet1!EI50+Sheet1!EJ50+Sheet1!EK50</f>
        <v>10.5</v>
      </c>
      <c r="EG52" s="1019">
        <f t="shared" si="110"/>
        <v>16.243500000000001</v>
      </c>
      <c r="EH52" s="521">
        <f t="shared" si="232"/>
        <v>0</v>
      </c>
      <c r="EI52" s="535">
        <f>IF(Sheet1!ET50=1,SUM('Calculations II'!AT52:BA52)+'Calculations II'!BC52+Sheet1!BV50+'Calculations II'!BE52+AP52,'Calculations II'!BK52)</f>
        <v>44.566237896654521</v>
      </c>
      <c r="EJ52" s="535">
        <f ca="1">EI52+'Calculations II'!D52+'Calculations II'!E52+'Calculations II'!O52</f>
        <v>44.3493584744839</v>
      </c>
      <c r="EK52" s="535"/>
      <c r="EL52" s="535"/>
      <c r="EM52" s="535">
        <f t="shared" si="233"/>
        <v>42776</v>
      </c>
      <c r="EN52" s="535">
        <f t="shared" si="234"/>
        <v>0</v>
      </c>
      <c r="EO52" s="535">
        <f t="shared" si="235"/>
        <v>0</v>
      </c>
      <c r="EP52" s="535">
        <v>0</v>
      </c>
      <c r="EQ52" s="535">
        <v>0</v>
      </c>
      <c r="ER52" s="535">
        <v>0</v>
      </c>
      <c r="ES52" s="521">
        <f t="shared" si="71"/>
        <v>-0.13851681800676138</v>
      </c>
      <c r="ET52" s="535">
        <f>-(VLOOKUP(Sheet1!BQ50,Lookup!$O$4:$Q$262,2)-VLOOKUP(Sheet1!BQ49,Lookup!$O$4:$Q$262,2))/1000000</f>
        <v>0</v>
      </c>
      <c r="EU52" s="535">
        <f>-(VLOOKUP(Sheet1!BR50,Lookup!$O$4:$Q$262,3)-VLOOKUP(Sheet1!BR49,Lookup!$O$4:$Q$262,3))/1000000</f>
        <v>-0.13851681800676138</v>
      </c>
      <c r="EV52" s="535"/>
      <c r="EW52" s="535"/>
      <c r="EX52" s="535"/>
      <c r="EY52" s="535"/>
      <c r="EZ52" s="535"/>
      <c r="FA52" s="535"/>
      <c r="FB52" s="535"/>
      <c r="FC52" s="535"/>
      <c r="FD52" s="567" t="e">
        <f t="shared" si="236"/>
        <v>#N/A</v>
      </c>
      <c r="FE52" s="567" t="e">
        <f t="shared" si="237"/>
        <v>#N/A</v>
      </c>
      <c r="FF52" s="568" t="e">
        <f t="shared" si="238"/>
        <v>#N/A</v>
      </c>
      <c r="FG52" s="569" t="s">
        <v>656</v>
      </c>
      <c r="FH52" s="569" t="s">
        <v>656</v>
      </c>
      <c r="FI52" s="567" t="e">
        <v>#N/A</v>
      </c>
      <c r="FJ52" s="567" t="e">
        <v>#N/A</v>
      </c>
      <c r="FK52" s="535"/>
      <c r="FL52" s="1015">
        <v>0</v>
      </c>
      <c r="FM52" s="535"/>
      <c r="FN52" s="535"/>
      <c r="FO52" s="535">
        <f>O52+((Sheet1!CS50)*GPMtoMGD)</f>
        <v>55.8</v>
      </c>
      <c r="FP52" s="535">
        <f>IF(Sheet1!AA50+AQ52&lt;=Calculation!N52,AQ52,Calculation!N52-Sheet1!AA50)</f>
        <v>19.476647896654523</v>
      </c>
      <c r="FQ52" s="535">
        <f>(Sheet1!BP50+Sheet1!BO50)/694.4</f>
        <v>1.3411578341013826</v>
      </c>
      <c r="FR52" s="541"/>
      <c r="FS52" s="541"/>
      <c r="FT52" s="541"/>
      <c r="FU52" s="541"/>
      <c r="FV52" s="1109">
        <f t="shared" si="74"/>
        <v>42918</v>
      </c>
      <c r="FW52" s="1109">
        <f t="shared" si="75"/>
        <v>43027</v>
      </c>
      <c r="FX52" s="541"/>
      <c r="FY52" s="541">
        <f>Sheet1!DA50-Sheet1!CZ50-Sheet1!AE50</f>
        <v>1544.416290000004</v>
      </c>
      <c r="FZ52" s="535">
        <f t="shared" si="111"/>
        <v>0.74322860115616729</v>
      </c>
      <c r="GA52" s="535"/>
      <c r="GB52" s="535" t="str">
        <f t="shared" si="76"/>
        <v>n</v>
      </c>
      <c r="GC52" s="539">
        <f t="shared" si="77"/>
        <v>42782</v>
      </c>
      <c r="GD52" s="1109">
        <f t="shared" si="78"/>
        <v>42904</v>
      </c>
      <c r="GE52" s="535">
        <f t="shared" si="95"/>
        <v>6520</v>
      </c>
      <c r="GF52" s="1109">
        <f t="shared" si="79"/>
        <v>42909</v>
      </c>
      <c r="GG52" s="535">
        <f t="shared" si="174"/>
        <v>3260</v>
      </c>
      <c r="GH52" s="539">
        <f t="shared" si="80"/>
        <v>43040</v>
      </c>
      <c r="GJ52" s="521">
        <f t="shared" si="81"/>
        <v>0</v>
      </c>
      <c r="GK52" s="535" t="str">
        <f t="shared" si="239"/>
        <v/>
      </c>
      <c r="GL52" s="535">
        <f t="shared" si="82"/>
        <v>0</v>
      </c>
      <c r="GM52" s="535" t="str">
        <f t="shared" si="83"/>
        <v/>
      </c>
      <c r="GN52" s="535">
        <f>IF(GK52="P",Lookup!$M$12,IF(GK52="PP",Lookup!$M$13,IF(GK52="PPP",Lookup!$M$14,IF(GK52="T",Lookup!$M$15,IF(GK52="TP",Lookup!$M$16,IF(GK52="TPP",Lookup!$M$17,IF(GK52="TPPP",Lookup!$M$18,0)))))))*GJ52</f>
        <v>0</v>
      </c>
      <c r="GO52" s="535">
        <f t="shared" si="84"/>
        <v>0</v>
      </c>
      <c r="GP52" s="535">
        <f t="shared" si="240"/>
        <v>0</v>
      </c>
      <c r="GQ52" s="535">
        <f t="shared" si="94"/>
        <v>0</v>
      </c>
      <c r="GR52" s="535"/>
      <c r="GS52" s="535">
        <f t="shared" si="85"/>
        <v>0</v>
      </c>
      <c r="GT52" s="535" t="str">
        <f t="shared" si="86"/>
        <v/>
      </c>
      <c r="GU52" s="535">
        <f>IF(GK52="P",Lookup!$N$12,IF(GK52="PP",Lookup!$N$13,IF(GK52="PPP",Lookup!$N$14,IF(GK52="T",Lookup!$N$15,IF(GK52="TP",Lookup!$N$16,IF(GK52="TPP",Lookup!$N$17,IF(GK52="TPPP",Lookup!$N$18,0)))))))*GJ52</f>
        <v>0</v>
      </c>
      <c r="GV52" s="535">
        <f t="shared" si="53"/>
        <v>0</v>
      </c>
      <c r="GW52" s="535">
        <f t="shared" si="241"/>
        <v>0</v>
      </c>
      <c r="GX52" s="535">
        <f t="shared" si="91"/>
        <v>0</v>
      </c>
      <c r="GY52" s="535"/>
      <c r="GZ52" s="535">
        <f t="shared" si="87"/>
        <v>0</v>
      </c>
      <c r="HA52" s="535" t="str">
        <f t="shared" si="88"/>
        <v/>
      </c>
      <c r="HB52" s="535">
        <f>IF(GK52="P",Lookup!$N$12,IF(GK52="PP",Lookup!$N$13,IF(GK52="PPP",Lookup!$N$14,IF(GK52="T",Lookup!$N$15,IF(GK52="TP",Lookup!$N$16,IF(GK52="TPP",Lookup!$N$17,IF(GK52="TPPP",Lookup!$N$18,0)))))))*GJ52</f>
        <v>0</v>
      </c>
      <c r="HC52" s="521">
        <f t="shared" si="242"/>
        <v>0</v>
      </c>
      <c r="HD52" s="535">
        <f t="shared" si="243"/>
        <v>0</v>
      </c>
      <c r="HE52" s="535">
        <f t="shared" si="92"/>
        <v>0</v>
      </c>
      <c r="HF52" s="535"/>
      <c r="HG52" s="535">
        <f t="shared" si="89"/>
        <v>0</v>
      </c>
      <c r="HH52" s="535" t="str">
        <f t="shared" si="90"/>
        <v/>
      </c>
      <c r="HI52" s="535">
        <f>IF(GK52="P",Lookup!$N$12,IF(GK52="PP",Lookup!$N$13,IF(GK52="PPP",Lookup!$N$14,IF(GK52="T",Lookup!$N$15,IF(GK52="TP",Lookup!$N$16,IF(GK52="TPP",Lookup!$N$17,IF(GK52="TPPP",Lookup!$N$18,0)))))))*GJ52</f>
        <v>0</v>
      </c>
      <c r="HJ52" s="521">
        <f t="shared" si="244"/>
        <v>0</v>
      </c>
      <c r="HK52" s="535">
        <f t="shared" si="245"/>
        <v>0</v>
      </c>
      <c r="HL52" s="535">
        <f t="shared" si="93"/>
        <v>0</v>
      </c>
      <c r="HM52" s="535"/>
      <c r="HN52" s="541"/>
      <c r="HO52" s="541"/>
      <c r="HP52" s="541"/>
      <c r="HQ52" s="541">
        <f>IF(AND(B52&gt;=$FV$4,B52&lt;=$FW$4),MAX(110/1.02+$HQ$6+MIN(113/1.02,G52),IF($HV$6-(Sheet1!DA50-Sheet1!DB50)+MIN(113/1.02,G52)&lt;G52+FL52,$HV$6-(Sheet1!DA50-Sheet1!DB50)+MIN(113/1.02,G52),G52+FL52)),MIN(110/1.02+$HQ$6+113/1.02,G52))</f>
        <v>218.62745098039215</v>
      </c>
      <c r="HR52" s="541">
        <f t="shared" si="112"/>
        <v>223</v>
      </c>
      <c r="HS52" s="541">
        <f>HR52+(Sheet1!DA50-Sheet1!DB50)</f>
        <v>1833</v>
      </c>
      <c r="HT52" s="541">
        <f t="shared" si="113"/>
        <v>0</v>
      </c>
      <c r="HU52" s="541">
        <f t="shared" si="114"/>
        <v>1833</v>
      </c>
      <c r="HV52" s="541">
        <f t="shared" si="115"/>
        <v>0</v>
      </c>
      <c r="HW52" s="533" t="str">
        <f t="shared" si="116"/>
        <v/>
      </c>
      <c r="HX52" s="541">
        <f t="shared" si="117"/>
        <v>1361.372549019608</v>
      </c>
      <c r="HY52" s="541">
        <f>Sheet1!CZ50</f>
        <v>1580</v>
      </c>
      <c r="HZ52" s="541">
        <f t="shared" si="118"/>
        <v>0</v>
      </c>
      <c r="IA52" s="541">
        <f t="shared" si="119"/>
        <v>0</v>
      </c>
      <c r="IB52" s="541">
        <f t="shared" si="120"/>
        <v>1580</v>
      </c>
      <c r="IC52" s="1019" t="str">
        <f t="shared" si="121"/>
        <v/>
      </c>
      <c r="ID52" s="541">
        <f t="shared" si="122"/>
        <v>1580</v>
      </c>
      <c r="IE52" s="541">
        <f>Sheet1!DB50</f>
        <v>1570</v>
      </c>
      <c r="IF52" s="533">
        <f>Sheet1!DA50</f>
        <v>3180</v>
      </c>
      <c r="IH52" s="541">
        <f>IF(AND($B52&gt;=$GC52,$B52&lt;=$GH52,$DR52&lt;0)+N("only adjusted when pool is drawn down during storage season"),Sheet1!$DB50+$DR52+N("Palmer minus all storage release"),Sheet1!$DB50)</f>
        <v>1570</v>
      </c>
      <c r="II52" s="541">
        <f>IF(AND($B52&gt;=$GC52,$B52&lt;=$GH52,$DR52&lt;0)+N("only adjusted when pool is drawn down during storage season"),Sheet1!$DA50+$DR52+N("Auburn minus all storage release"),Sheet1!$DA50)</f>
        <v>3180</v>
      </c>
    </row>
    <row r="53" spans="1:243" x14ac:dyDescent="0.25">
      <c r="A53" s="553" t="s">
        <v>9</v>
      </c>
      <c r="B53" s="531">
        <v>42777</v>
      </c>
      <c r="C53" s="536">
        <v>0</v>
      </c>
      <c r="D53" s="506">
        <f t="shared" si="0"/>
        <v>300</v>
      </c>
      <c r="E53" s="506">
        <f t="shared" si="1"/>
        <v>250</v>
      </c>
      <c r="F53" s="506">
        <v>250</v>
      </c>
      <c r="G53" s="535">
        <f>DR53+Sheet1!CZ51</f>
        <v>1441.4926878465824</v>
      </c>
      <c r="H53" s="1074">
        <f t="shared" si="246"/>
        <v>824.92493036799999</v>
      </c>
      <c r="I53" s="534">
        <f>IF(Sheet1!DA51&gt;=E53,(Sheet1!DA51-E53+P53)*CFStoMGD,0)</f>
        <v>1645.852930368</v>
      </c>
      <c r="J53" s="995">
        <f>IF(Sheet1!DB51&gt;=D53,(Sheet1!DB51-D53+P53)*CFStoMGD,0)</f>
        <v>824.92493036799999</v>
      </c>
      <c r="K53" s="818">
        <f t="shared" si="97"/>
        <v>64.64</v>
      </c>
      <c r="L53" s="535">
        <f>Sheet1!AA51+Sheet1!AB51-Sheet1!L51+(Sheet1!DA51-F53)*CFStoMGD-S53-T53-U53</f>
        <v>1586.6239999999996</v>
      </c>
      <c r="M53" s="535">
        <f t="shared" si="185"/>
        <v>950.41649089251155</v>
      </c>
      <c r="N53" s="824">
        <f>IF(Sheet1!DA51&gt;=F53,MIN(113*CFStoMGD,MIN(MAX(L53,0),MAX(M53,0))),0)</f>
        <v>73.043199999999999</v>
      </c>
      <c r="O53" s="538">
        <f>Sheet1!AA51+Sheet1!AB51</f>
        <v>55.71</v>
      </c>
      <c r="P53" s="538">
        <f t="shared" si="186"/>
        <v>86.183369999999996</v>
      </c>
      <c r="Q53" s="812">
        <f t="shared" si="98"/>
        <v>0</v>
      </c>
      <c r="R53" s="812">
        <f t="shared" si="59"/>
        <v>10.574762537363004</v>
      </c>
      <c r="S53" s="812">
        <f t="shared" si="60"/>
        <v>55.71</v>
      </c>
      <c r="T53" s="812">
        <f t="shared" si="61"/>
        <v>0</v>
      </c>
      <c r="U53" s="812">
        <f t="shared" si="99"/>
        <v>0</v>
      </c>
      <c r="V53" s="812"/>
      <c r="W53" s="812">
        <f t="shared" si="62"/>
        <v>54.065237462637</v>
      </c>
      <c r="X53" s="812">
        <f t="shared" si="63"/>
        <v>55.71</v>
      </c>
      <c r="Y53" s="812" t="str">
        <f t="shared" si="64"/>
        <v/>
      </c>
      <c r="Z53" s="812">
        <f t="shared" si="65"/>
        <v>55.71</v>
      </c>
      <c r="AA53" s="812">
        <f t="shared" si="66"/>
        <v>55.71</v>
      </c>
      <c r="AB53" s="1059">
        <f t="shared" si="100"/>
        <v>0</v>
      </c>
      <c r="AC53" s="538">
        <f>Sheet1!Y51*MGDtoCFS</f>
        <v>39.912599999999998</v>
      </c>
      <c r="AD53" s="538">
        <f>Sheet1!Z51*MGDtoCFS</f>
        <v>46.41</v>
      </c>
      <c r="AE53" s="538">
        <f>Sheet1!AA51*MGDtoCFS</f>
        <v>39.757899999999999</v>
      </c>
      <c r="AF53" s="538">
        <f>Sheet1!AB51*MGDtoCFS</f>
        <v>46.425469999999997</v>
      </c>
      <c r="AG53" s="538">
        <f>Sheet1!L51*MGDtoCFS</f>
        <v>5.4454400000006755</v>
      </c>
      <c r="AH53" s="521">
        <f t="shared" si="187"/>
        <v>0</v>
      </c>
      <c r="AI53" s="1059">
        <f t="shared" si="188"/>
        <v>0</v>
      </c>
      <c r="AJ53" s="535">
        <f t="shared" si="189"/>
        <v>0</v>
      </c>
      <c r="AK53" s="535">
        <f t="shared" si="190"/>
        <v>0</v>
      </c>
      <c r="AL53" s="535">
        <f>(VLOOKUP(Sheet1!DC51,hhdcap_wcm,4)-(((VLOOKUP(Sheet1!DC51,hhdcap_wcm,3)-Sheet1!DC51)/(VLOOKUP(Sheet1!DC51,hhdcap_wcm,3)-VLOOKUP(Sheet1!DC51,hhdcap_wcm,1)))*(VLOOKUP(Sheet1!DC51,hhdcap_wcm,4)-VLOOKUP(Sheet1!DC51,hhdcap_wcm,2))))</f>
        <v>2690.0000000067757</v>
      </c>
      <c r="AM53" s="535">
        <f t="shared" si="191"/>
        <v>-235.00000000022737</v>
      </c>
      <c r="AN53" s="1035">
        <f t="shared" si="192"/>
        <v>0</v>
      </c>
      <c r="AO53" s="535">
        <f t="shared" si="193"/>
        <v>0</v>
      </c>
      <c r="AP53" s="535">
        <f>Sheet1!BA51+Sheet1!BB51+Sheet1!BN51+CD53</f>
        <v>19.5</v>
      </c>
      <c r="AQ53" s="535">
        <f>Sheet1!BN51+(DO53*Sheet1!BN51)</f>
        <v>19.435237462636998</v>
      </c>
      <c r="AR53" s="535">
        <f>Sheet1!BA51+CD53</f>
        <v>0</v>
      </c>
      <c r="AS53" s="535">
        <f>Sheet1!BA51+Sheet1!BB51+CD53</f>
        <v>0</v>
      </c>
      <c r="AT53" s="649">
        <f>0</f>
        <v>0</v>
      </c>
      <c r="AU53" s="535">
        <f>IF(EB53&lt;K53,0,MAX(Sheet1!AA51+AQ53-15/36*K53-N53,Sheet1!EH51,0))</f>
        <v>0</v>
      </c>
      <c r="AV53" s="535">
        <f>IF(OR(B53&gt;=GD53,B53&lt;GC53),0,15/36*K53-MAX(0,64.6-(137.6-(Sheet1!AA51+Sheet1!AB51))))</f>
        <v>0</v>
      </c>
      <c r="AW53" s="1029"/>
      <c r="AX53" s="649"/>
      <c r="AY53" s="649">
        <f t="shared" si="101"/>
        <v>0</v>
      </c>
      <c r="AZ53" s="649">
        <f t="shared" si="102"/>
        <v>0</v>
      </c>
      <c r="BA53" s="1059">
        <f t="shared" si="103"/>
        <v>0</v>
      </c>
      <c r="BB53" s="1019">
        <f t="shared" si="194"/>
        <v>0</v>
      </c>
      <c r="BC53" s="1041">
        <f t="shared" si="104"/>
        <v>26.933333333333334</v>
      </c>
      <c r="BD53" s="1019">
        <f ca="1">IF(B53&gt;Summary!$A$1,#N/A,BB53*MGtoAF)</f>
        <v>0</v>
      </c>
      <c r="BE53" s="535">
        <f>Sheet1!BG51+Sheet1!BH51+Sheet1!BI51-BM53</f>
        <v>1.02</v>
      </c>
      <c r="BF53" s="535">
        <f t="shared" si="195"/>
        <v>1.0166124211225507</v>
      </c>
      <c r="BG53" s="535">
        <f>IF(Sheet1!EP51="FM",BM53,0)</f>
        <v>0</v>
      </c>
      <c r="BH53" s="535">
        <f t="shared" si="196"/>
        <v>0</v>
      </c>
      <c r="BI53" s="535">
        <f>IF(Sheet1!EP51="OTHER",BM53,0)</f>
        <v>0</v>
      </c>
      <c r="BJ53" s="535">
        <f t="shared" si="197"/>
        <v>0</v>
      </c>
      <c r="BK53" s="535">
        <f t="shared" si="198"/>
        <v>1.02</v>
      </c>
      <c r="BL53" s="535">
        <f t="shared" si="199"/>
        <v>1.0166124211225507</v>
      </c>
      <c r="BM53" s="535">
        <f>IF(OR(Sheet1!EP51="FM", Sheet1!EP51="OTHER"),SUM(Sheet1!BG51:'Sheet1'!BI51),0)</f>
        <v>0</v>
      </c>
      <c r="BN53" s="521">
        <f>IF(AND($B53&gt;=$FV53,$B53&lt;=$FW53),MAX(BF53,Sheet1!EI51,0),MAX(BF53-(7/36)*$K53,0))</f>
        <v>0</v>
      </c>
      <c r="BO53" s="535">
        <f t="shared" si="200"/>
        <v>0</v>
      </c>
      <c r="BP53" s="521">
        <f t="shared" si="201"/>
        <v>1.0166124211225507</v>
      </c>
      <c r="BQ53" s="521">
        <f>IF(AND($O53&gt;0,Sheet1!EM51=1),(1-($O53-Sheet1!$L51)/$O53)*BL53,0)</f>
        <v>0</v>
      </c>
      <c r="BR53" s="521">
        <f>IF(AND(Sheet1!$L51=0,Sheet1!$L50=0, Calculation!BK53&lt;Sheet1!$EI51-0.1,Sheet1!$EI51=Sheet1!$EI50,Sheet1!$EI51=Sheet1!$EI52),BL53-BQ53,BL53-BQ53)</f>
        <v>1.0166124211225507</v>
      </c>
      <c r="BS53" s="1035" t="str">
        <f t="shared" si="105"/>
        <v/>
      </c>
      <c r="BT53" s="1035">
        <f t="shared" si="106"/>
        <v>12.568888888888889</v>
      </c>
      <c r="BU53" s="535">
        <f t="shared" si="202"/>
        <v>0</v>
      </c>
      <c r="BV53" s="535"/>
      <c r="BW53" s="535">
        <f ca="1">IF(B53&gt;Summary!$A$1,#N/A,BU53*MGtoAF)</f>
        <v>0</v>
      </c>
      <c r="BX53" s="535">
        <f>Sheet1!BC51+Sheet1!BD51+Sheet1!BE51+Sheet1!BF51-CG53-CH53</f>
        <v>3</v>
      </c>
      <c r="BY53" s="535">
        <f t="shared" si="203"/>
        <v>2.9900365327133844</v>
      </c>
      <c r="BZ53" s="535">
        <f>IF(Sheet1!EQ51="FM",CH53,0)</f>
        <v>0</v>
      </c>
      <c r="CA53" s="535">
        <f t="shared" si="204"/>
        <v>0</v>
      </c>
      <c r="CB53" s="535">
        <f>IF(Sheet1!EQ51="OTHER",CH53,0)</f>
        <v>0</v>
      </c>
      <c r="CC53" s="535">
        <f t="shared" si="205"/>
        <v>0</v>
      </c>
      <c r="CD53" s="535">
        <f t="shared" si="206"/>
        <v>0</v>
      </c>
      <c r="CE53" s="535">
        <f t="shared" si="207"/>
        <v>3</v>
      </c>
      <c r="CF53" s="535">
        <f t="shared" si="208"/>
        <v>2.9900365327133844</v>
      </c>
      <c r="CG53" s="535">
        <f>IF(Sheet1!EQ51="CWA",SUM(Sheet1!BC51:'Sheet1'!BF51),0)</f>
        <v>0</v>
      </c>
      <c r="CH53" s="535">
        <f>IF(OR(Sheet1!EQ51="FM", Sheet1!EQ51="OTHER"),SUM(Sheet1!BC51:'Sheet1'!BF51),0)</f>
        <v>0</v>
      </c>
      <c r="CI53" s="521">
        <f>IF(AND($B53&gt;=$FV53,$B53&lt;=$FW53),MAX(CF53,Sheet1!EJ51,0),MAX(CF53-(7/36)*$K53,0))</f>
        <v>0</v>
      </c>
      <c r="CJ53" s="535">
        <f t="shared" si="209"/>
        <v>0</v>
      </c>
      <c r="CK53" s="521">
        <f t="shared" si="210"/>
        <v>2.9900365327133844</v>
      </c>
      <c r="CL53" s="521">
        <f>IF(AND($O53&gt;0,Sheet1!EN51=1),(1-($O53-Sheet1!$L51)/$O53)*CF53,0)</f>
        <v>0</v>
      </c>
      <c r="CM53" s="521">
        <f>IF(AND(Sheet1!$L51=0,Sheet1!$L50=0, Calculation!CE53&lt;Sheet1!EJ51-0.1,Sheet1!EJ51=Sheet1!EJ50,Sheet1!EJ51=Sheet1!EJ52),CF53-CL53,CF53-CL53)</f>
        <v>2.9900365327133844</v>
      </c>
      <c r="CN53" s="1040" t="str">
        <f t="shared" si="107"/>
        <v/>
      </c>
      <c r="CO53" s="1035">
        <f t="shared" si="108"/>
        <v>12.568888888888889</v>
      </c>
      <c r="CP53" s="535">
        <f t="shared" si="211"/>
        <v>0</v>
      </c>
      <c r="CQ53" s="535"/>
      <c r="CR53" s="535">
        <f ca="1">IF(B53&gt;Summary!$A$1,#N/A,CP53*MGtoAF)</f>
        <v>0</v>
      </c>
      <c r="CS53" s="535">
        <f>Sheet1!BK51+Sheet1!BL51+Sheet1!BM51-Sheet1!ER51-DA53</f>
        <v>6.59</v>
      </c>
      <c r="CT53" s="535">
        <f t="shared" si="212"/>
        <v>6.5681135835270679</v>
      </c>
      <c r="CU53" s="535">
        <f>IF(Sheet1!ER51="FM",DA53,0)</f>
        <v>0</v>
      </c>
      <c r="CV53" s="535">
        <f t="shared" si="213"/>
        <v>0</v>
      </c>
      <c r="CW53" s="535">
        <f>IF(Sheet1!ER51="OTHER",DA53,0)</f>
        <v>0</v>
      </c>
      <c r="CX53" s="535">
        <f t="shared" si="214"/>
        <v>0</v>
      </c>
      <c r="CY53" s="535">
        <f t="shared" si="215"/>
        <v>6.59</v>
      </c>
      <c r="CZ53" s="535">
        <f t="shared" si="216"/>
        <v>6.5681135835270679</v>
      </c>
      <c r="DA53" s="535">
        <f>IF(OR(Sheet1!ER51="FM", Sheet1!ER51="OTHER"),SUM(Sheet1!BK51:'Sheet1'!BM51),0)</f>
        <v>0</v>
      </c>
      <c r="DB53" s="1011">
        <f>IF(AND($B53&gt;=$FV53,$B53&lt;=$FW53),MAX($CT53,Sheet1!EK51,0),MAX($CT53-(7/36)*$K53,0))</f>
        <v>0</v>
      </c>
      <c r="DC53" s="1012">
        <f t="shared" si="217"/>
        <v>0</v>
      </c>
      <c r="DD53" s="1011">
        <f t="shared" si="218"/>
        <v>6.5681135835270679</v>
      </c>
      <c r="DE53" s="521">
        <f>IF(AND($O53&gt;0,Sheet1!EO51=1),(1-($O53-Sheet1!$L51)/$O53)*CZ53,0)</f>
        <v>0</v>
      </c>
      <c r="DF53" s="521">
        <f>IF(AND(Sheet1!$L51=0,Sheet1!$L50=0, Calculation!CY53&lt;Sheet1!$EK51-0.1,Sheet1!$EK51=Sheet1!$EK50,Sheet1!$EK51=Sheet1!$EK52),CZ53-DE53,CZ53-DE53)</f>
        <v>6.5681135835270679</v>
      </c>
      <c r="DG53" s="1040">
        <f t="shared" si="109"/>
        <v>12.568888888888889</v>
      </c>
      <c r="DH53" s="649">
        <f t="shared" si="219"/>
        <v>10.61</v>
      </c>
      <c r="DI53" s="535">
        <f t="shared" si="220"/>
        <v>0</v>
      </c>
      <c r="DJ53" s="649">
        <f t="shared" si="221"/>
        <v>10.574762537363004</v>
      </c>
      <c r="DK53" s="535">
        <f ca="1">IF(B53&gt;Summary!$A$1,#N/A,DI53*MGtoAF)</f>
        <v>0</v>
      </c>
      <c r="DL53" s="649">
        <f t="shared" si="222"/>
        <v>10.61</v>
      </c>
      <c r="DM53" s="535">
        <f t="shared" si="223"/>
        <v>30.11</v>
      </c>
      <c r="DN53" s="535">
        <f>Sheet1!AB51-DM53</f>
        <v>-9.9999999999997868E-2</v>
      </c>
      <c r="DO53" s="743">
        <f t="shared" si="224"/>
        <v>-3.3211557622051767E-3</v>
      </c>
      <c r="DP53" s="535">
        <f>(VLOOKUP(Sheet1!DC51,hhdcap_wcm,4)-(((VLOOKUP(Sheet1!DC51,hhdcap_wcm,3)-Sheet1!DC51)/(VLOOKUP(Sheet1!DC51,hhdcap_wcm,3)-VLOOKUP(Sheet1!DC51,hhdcap_wcm,1)))*(VLOOKUP(Sheet1!DC51,hhdcap_wcm,4)-VLOOKUP(Sheet1!DC51,hhdcap_wcm,2))))</f>
        <v>2690.0000000067757</v>
      </c>
      <c r="DQ53" s="535">
        <f t="shared" si="225"/>
        <v>-235.00000000022737</v>
      </c>
      <c r="DR53" s="535">
        <f t="shared" si="226"/>
        <v>-118.50731215341771</v>
      </c>
      <c r="DS53" s="535">
        <f>Sheet1!EA51*AFtoMG</f>
        <v>0</v>
      </c>
      <c r="DT53" s="535">
        <f>Sheet1!EB51*AFtoMG</f>
        <v>0</v>
      </c>
      <c r="DU53" s="535">
        <f>Sheet1!EC51*AFtoMG</f>
        <v>0</v>
      </c>
      <c r="DV53" s="535">
        <f>Sheet1!ED51*AFtoMG</f>
        <v>0</v>
      </c>
      <c r="DW53" s="535">
        <f t="shared" si="227"/>
        <v>0</v>
      </c>
      <c r="DX53" s="535">
        <f t="shared" si="228"/>
        <v>0</v>
      </c>
      <c r="DY53" s="535">
        <f t="shared" si="229"/>
        <v>0</v>
      </c>
      <c r="DZ53" s="535">
        <f t="shared" si="230"/>
        <v>0</v>
      </c>
      <c r="EA53" s="535"/>
      <c r="EB53" s="521">
        <f>IF(OR(B53&lt;FV53,B53&gt;FW53),(MIN(BF53+BY53+CT53+MAX(Sheet1!AA51+AQ53-73,0),K53)),0)</f>
        <v>10.574762537363004</v>
      </c>
      <c r="EC53" s="535"/>
      <c r="ED53" s="535">
        <f t="shared" si="231"/>
        <v>10.574762537363004</v>
      </c>
      <c r="EE53" s="535"/>
      <c r="EF53" s="535">
        <f>Sheet1!EH51+Sheet1!EI51+Sheet1!EJ51+Sheet1!EK51</f>
        <v>10.5</v>
      </c>
      <c r="EG53" s="1019">
        <f t="shared" si="110"/>
        <v>16.243500000000001</v>
      </c>
      <c r="EH53" s="521">
        <f t="shared" si="232"/>
        <v>0</v>
      </c>
      <c r="EI53" s="535">
        <f>IF(Sheet1!ET51=1,SUM('Calculations II'!AT53:BA53)+'Calculations II'!BC53+Sheet1!BV51+'Calculations II'!BE53+AP53,'Calculations II'!BK53)</f>
        <v>44.786233462637</v>
      </c>
      <c r="EJ53" s="535">
        <f ca="1">EI53+'Calculations II'!D53+'Calculations II'!E53+'Calculations II'!O53</f>
        <v>44.940737748294978</v>
      </c>
      <c r="EK53" s="535"/>
      <c r="EL53" s="535"/>
      <c r="EM53" s="535">
        <f t="shared" si="233"/>
        <v>42777</v>
      </c>
      <c r="EN53" s="535">
        <f t="shared" si="234"/>
        <v>0</v>
      </c>
      <c r="EO53" s="535">
        <f t="shared" si="235"/>
        <v>0</v>
      </c>
      <c r="EP53" s="535">
        <v>0</v>
      </c>
      <c r="EQ53" s="535">
        <v>0</v>
      </c>
      <c r="ER53" s="535">
        <v>0</v>
      </c>
      <c r="ES53" s="521">
        <f t="shared" si="71"/>
        <v>0.13851681800676138</v>
      </c>
      <c r="ET53" s="535">
        <f>-(VLOOKUP(Sheet1!BQ51,Lookup!$O$4:$Q$262,2)-VLOOKUP(Sheet1!BQ50,Lookup!$O$4:$Q$262,2))/1000000</f>
        <v>0</v>
      </c>
      <c r="EU53" s="535">
        <f>-(VLOOKUP(Sheet1!BR51,Lookup!$O$4:$Q$262,3)-VLOOKUP(Sheet1!BR50,Lookup!$O$4:$Q$262,3))/1000000</f>
        <v>0.13851681800676138</v>
      </c>
      <c r="EV53" s="535"/>
      <c r="EW53" s="535"/>
      <c r="EX53" s="535"/>
      <c r="EY53" s="535"/>
      <c r="EZ53" s="535"/>
      <c r="FA53" s="535"/>
      <c r="FB53" s="535"/>
      <c r="FC53" s="535"/>
      <c r="FD53" s="567" t="e">
        <f t="shared" si="236"/>
        <v>#N/A</v>
      </c>
      <c r="FE53" s="567" t="e">
        <f t="shared" si="237"/>
        <v>#N/A</v>
      </c>
      <c r="FF53" s="568" t="e">
        <f t="shared" si="238"/>
        <v>#N/A</v>
      </c>
      <c r="FG53" s="569" t="s">
        <v>656</v>
      </c>
      <c r="FH53" s="569" t="s">
        <v>656</v>
      </c>
      <c r="FI53" s="567" t="e">
        <v>#N/A</v>
      </c>
      <c r="FJ53" s="567" t="e">
        <v>#N/A</v>
      </c>
      <c r="FK53" s="535"/>
      <c r="FL53" s="1015">
        <v>0</v>
      </c>
      <c r="FM53" s="535"/>
      <c r="FN53" s="535"/>
      <c r="FO53" s="535">
        <f>O53+((Sheet1!CS51)*GPMtoMGD)</f>
        <v>55.71</v>
      </c>
      <c r="FP53" s="535">
        <f>IF(Sheet1!AA51+AQ53&lt;=Calculation!N53,AQ53,Calculation!N53-Sheet1!AA51)</f>
        <v>19.435237462636998</v>
      </c>
      <c r="FQ53" s="535">
        <f>(Sheet1!BP51+Sheet1!BO51)/694.4</f>
        <v>2.1091589861751157</v>
      </c>
      <c r="FR53" s="541"/>
      <c r="FS53" s="541"/>
      <c r="FT53" s="541"/>
      <c r="FU53" s="541"/>
      <c r="FV53" s="1109">
        <f t="shared" si="74"/>
        <v>42918</v>
      </c>
      <c r="FW53" s="1109">
        <f t="shared" si="75"/>
        <v>43027</v>
      </c>
      <c r="FX53" s="541"/>
      <c r="FY53" s="541">
        <f>Sheet1!DA51-Sheet1!CZ51-Sheet1!AE51</f>
        <v>1069.2620700000007</v>
      </c>
      <c r="FZ53" s="535">
        <f t="shared" si="111"/>
        <v>0.7417741893629376</v>
      </c>
      <c r="GA53" s="535"/>
      <c r="GB53" s="535" t="str">
        <f t="shared" si="76"/>
        <v>n</v>
      </c>
      <c r="GC53" s="539">
        <f t="shared" si="77"/>
        <v>42782</v>
      </c>
      <c r="GD53" s="1109">
        <f t="shared" si="78"/>
        <v>42904</v>
      </c>
      <c r="GE53" s="535">
        <f t="shared" si="95"/>
        <v>6520</v>
      </c>
      <c r="GF53" s="1109">
        <f t="shared" si="79"/>
        <v>42909</v>
      </c>
      <c r="GG53" s="535">
        <f t="shared" si="174"/>
        <v>3260</v>
      </c>
      <c r="GH53" s="539">
        <f t="shared" si="80"/>
        <v>43040</v>
      </c>
      <c r="GJ53" s="521">
        <f t="shared" si="81"/>
        <v>0</v>
      </c>
      <c r="GK53" s="535" t="str">
        <f t="shared" si="239"/>
        <v/>
      </c>
      <c r="GL53" s="535">
        <f t="shared" si="82"/>
        <v>0</v>
      </c>
      <c r="GM53" s="535" t="str">
        <f t="shared" si="83"/>
        <v/>
      </c>
      <c r="GN53" s="535">
        <f>IF(GK53="P",Lookup!$M$12,IF(GK53="PP",Lookup!$M$13,IF(GK53="PPP",Lookup!$M$14,IF(GK53="T",Lookup!$M$15,IF(GK53="TP",Lookup!$M$16,IF(GK53="TPP",Lookup!$M$17,IF(GK53="TPPP",Lookup!$M$18,0)))))))*GJ53</f>
        <v>0</v>
      </c>
      <c r="GO53" s="535">
        <f t="shared" si="84"/>
        <v>0</v>
      </c>
      <c r="GP53" s="535">
        <f t="shared" si="240"/>
        <v>0</v>
      </c>
      <c r="GQ53" s="535">
        <f t="shared" si="94"/>
        <v>0</v>
      </c>
      <c r="GR53" s="535"/>
      <c r="GS53" s="535">
        <f t="shared" si="85"/>
        <v>0</v>
      </c>
      <c r="GT53" s="535" t="str">
        <f t="shared" si="86"/>
        <v/>
      </c>
      <c r="GU53" s="535">
        <f>IF(GK53="P",Lookup!$N$12,IF(GK53="PP",Lookup!$N$13,IF(GK53="PPP",Lookup!$N$14,IF(GK53="T",Lookup!$N$15,IF(GK53="TP",Lookup!$N$16,IF(GK53="TPP",Lookup!$N$17,IF(GK53="TPPP",Lookup!$N$18,0)))))))*GJ53</f>
        <v>0</v>
      </c>
      <c r="GV53" s="535">
        <f t="shared" si="53"/>
        <v>0</v>
      </c>
      <c r="GW53" s="535">
        <f t="shared" si="241"/>
        <v>0</v>
      </c>
      <c r="GX53" s="535">
        <f t="shared" si="91"/>
        <v>0</v>
      </c>
      <c r="GY53" s="535"/>
      <c r="GZ53" s="535">
        <f t="shared" si="87"/>
        <v>0</v>
      </c>
      <c r="HA53" s="535" t="str">
        <f t="shared" si="88"/>
        <v/>
      </c>
      <c r="HB53" s="535">
        <f>IF(GK53="P",Lookup!$N$12,IF(GK53="PP",Lookup!$N$13,IF(GK53="PPP",Lookup!$N$14,IF(GK53="T",Lookup!$N$15,IF(GK53="TP",Lookup!$N$16,IF(GK53="TPP",Lookup!$N$17,IF(GK53="TPPP",Lookup!$N$18,0)))))))*GJ53</f>
        <v>0</v>
      </c>
      <c r="HC53" s="521">
        <f t="shared" si="242"/>
        <v>0</v>
      </c>
      <c r="HD53" s="535">
        <f t="shared" si="243"/>
        <v>0</v>
      </c>
      <c r="HE53" s="535">
        <f t="shared" si="92"/>
        <v>0</v>
      </c>
      <c r="HF53" s="535"/>
      <c r="HG53" s="535">
        <f t="shared" si="89"/>
        <v>0</v>
      </c>
      <c r="HH53" s="535" t="str">
        <f t="shared" si="90"/>
        <v/>
      </c>
      <c r="HI53" s="535">
        <f>IF(GK53="P",Lookup!$N$12,IF(GK53="PP",Lookup!$N$13,IF(GK53="PPP",Lookup!$N$14,IF(GK53="T",Lookup!$N$15,IF(GK53="TP",Lookup!$N$16,IF(GK53="TPP",Lookup!$N$17,IF(GK53="TPPP",Lookup!$N$18,0)))))))*GJ53</f>
        <v>0</v>
      </c>
      <c r="HJ53" s="521">
        <f t="shared" si="244"/>
        <v>0</v>
      </c>
      <c r="HK53" s="535">
        <f t="shared" si="245"/>
        <v>0</v>
      </c>
      <c r="HL53" s="535">
        <f t="shared" si="93"/>
        <v>0</v>
      </c>
      <c r="HM53" s="535"/>
      <c r="HN53" s="541"/>
      <c r="HO53" s="541"/>
      <c r="HP53" s="541"/>
      <c r="HQ53" s="541">
        <f>IF(AND(B53&gt;=$FV$4,B53&lt;=$FW$4),MAX(110/1.02+$HQ$6+MIN(113/1.02,G53),IF($HV$6-(Sheet1!DA51-Sheet1!DB51)+MIN(113/1.02,G53)&lt;G53+FL53,$HV$6-(Sheet1!DA51-Sheet1!DB51)+MIN(113/1.02,G53),G53+FL53)),MIN(110/1.02+$HQ$6+113/1.02,G53))</f>
        <v>218.62745098039215</v>
      </c>
      <c r="HR53" s="541">
        <f t="shared" si="112"/>
        <v>223</v>
      </c>
      <c r="HS53" s="541">
        <f>HR53+(Sheet1!DA51-Sheet1!DB51)</f>
        <v>1443</v>
      </c>
      <c r="HT53" s="541">
        <f t="shared" si="113"/>
        <v>0</v>
      </c>
      <c r="HU53" s="541">
        <f t="shared" si="114"/>
        <v>1443</v>
      </c>
      <c r="HV53" s="541">
        <f t="shared" si="115"/>
        <v>0</v>
      </c>
      <c r="HW53" s="533" t="str">
        <f t="shared" si="116"/>
        <v/>
      </c>
      <c r="HX53" s="541">
        <f t="shared" si="117"/>
        <v>1341.372549019608</v>
      </c>
      <c r="HY53" s="541">
        <f>Sheet1!CZ51</f>
        <v>1560</v>
      </c>
      <c r="HZ53" s="541">
        <f t="shared" si="118"/>
        <v>0</v>
      </c>
      <c r="IA53" s="541">
        <f t="shared" si="119"/>
        <v>0</v>
      </c>
      <c r="IB53" s="541">
        <f t="shared" si="120"/>
        <v>1560</v>
      </c>
      <c r="IC53" s="1019" t="str">
        <f t="shared" si="121"/>
        <v/>
      </c>
      <c r="ID53" s="541">
        <f t="shared" si="122"/>
        <v>1560</v>
      </c>
      <c r="IE53" s="541">
        <f>Sheet1!DB51</f>
        <v>1490</v>
      </c>
      <c r="IF53" s="533">
        <f>Sheet1!DA51</f>
        <v>2710</v>
      </c>
      <c r="IH53" s="541">
        <f>IF(AND($B53&gt;=$GC53,$B53&lt;=$GH53,$DR53&lt;0)+N("only adjusted when pool is drawn down during storage season"),Sheet1!$DB51+$DR53+N("Palmer minus all storage release"),Sheet1!$DB51)</f>
        <v>1490</v>
      </c>
      <c r="II53" s="541">
        <f>IF(AND($B53&gt;=$GC53,$B53&lt;=$GH53,$DR53&lt;0)+N("only adjusted when pool is drawn down during storage season"),Sheet1!$DA51+$DR53+N("Auburn minus all storage release"),Sheet1!$DA51)</f>
        <v>2710</v>
      </c>
    </row>
    <row r="54" spans="1:243" x14ac:dyDescent="0.25">
      <c r="A54" s="553" t="s">
        <v>3</v>
      </c>
      <c r="B54" s="531">
        <v>42778</v>
      </c>
      <c r="C54" s="536">
        <v>0</v>
      </c>
      <c r="D54" s="506">
        <f t="shared" si="0"/>
        <v>300</v>
      </c>
      <c r="E54" s="506">
        <f t="shared" si="1"/>
        <v>250</v>
      </c>
      <c r="F54" s="506">
        <v>250</v>
      </c>
      <c r="G54" s="535">
        <f>DR54+Sheet1!CZ52</f>
        <v>1157.3877962673034</v>
      </c>
      <c r="H54" s="1074">
        <f t="shared" si="246"/>
        <v>760.37492863999989</v>
      </c>
      <c r="I54" s="534">
        <f>IF(Sheet1!DA52&gt;=E54,(Sheet1!DA52-E54+P54)*CFStoMGD,0)</f>
        <v>1477.8789286399999</v>
      </c>
      <c r="J54" s="995">
        <f>IF(Sheet1!DB52&gt;=D54,(Sheet1!DB52-D54+P54)*CFStoMGD,0)</f>
        <v>760.37492863999989</v>
      </c>
      <c r="K54" s="818">
        <f t="shared" si="97"/>
        <v>64.64</v>
      </c>
      <c r="L54" s="535">
        <f>Sheet1!AA52+Sheet1!AB52-Sheet1!L52+(Sheet1!DA52-F54)*CFStoMGD-S54-T54-U54</f>
        <v>1422.08</v>
      </c>
      <c r="M54" s="535">
        <f t="shared" si="185"/>
        <v>763.09818093732872</v>
      </c>
      <c r="N54" s="824">
        <f>IF(Sheet1!DA52&gt;=F54,MIN(113*CFStoMGD,MIN(MAX(L54,0),MAX(M54,0))),0)</f>
        <v>73.043199999999999</v>
      </c>
      <c r="O54" s="538">
        <f>Sheet1!AA52+Sheet1!AB52</f>
        <v>55.8</v>
      </c>
      <c r="P54" s="538">
        <f t="shared" si="186"/>
        <v>86.322599999999994</v>
      </c>
      <c r="Q54" s="812">
        <f t="shared" si="98"/>
        <v>0</v>
      </c>
      <c r="R54" s="812">
        <f t="shared" si="59"/>
        <v>10.545394080478882</v>
      </c>
      <c r="S54" s="812">
        <f t="shared" si="60"/>
        <v>55.8</v>
      </c>
      <c r="T54" s="812">
        <f t="shared" si="61"/>
        <v>0</v>
      </c>
      <c r="U54" s="812">
        <f t="shared" si="99"/>
        <v>0</v>
      </c>
      <c r="V54" s="812"/>
      <c r="W54" s="812">
        <f t="shared" si="62"/>
        <v>54.094605919521115</v>
      </c>
      <c r="X54" s="812">
        <f t="shared" si="63"/>
        <v>55.8</v>
      </c>
      <c r="Y54" s="812" t="str">
        <f t="shared" si="64"/>
        <v/>
      </c>
      <c r="Z54" s="812">
        <f t="shared" si="65"/>
        <v>55.8</v>
      </c>
      <c r="AA54" s="812">
        <f t="shared" si="66"/>
        <v>55.8</v>
      </c>
      <c r="AB54" s="1059">
        <f t="shared" si="100"/>
        <v>0</v>
      </c>
      <c r="AC54" s="538">
        <f>Sheet1!Y52*MGDtoCFS</f>
        <v>39.757899999999999</v>
      </c>
      <c r="AD54" s="538">
        <f>Sheet1!Z52*MGDtoCFS</f>
        <v>46.255299999999998</v>
      </c>
      <c r="AE54" s="538">
        <f>Sheet1!AA52*MGDtoCFS</f>
        <v>39.912599999999998</v>
      </c>
      <c r="AF54" s="538">
        <f>Sheet1!AB52*MGDtoCFS</f>
        <v>46.41</v>
      </c>
      <c r="AG54" s="538">
        <f>Sheet1!L52*MGDtoCFS</f>
        <v>0</v>
      </c>
      <c r="AH54" s="521">
        <f t="shared" si="187"/>
        <v>0</v>
      </c>
      <c r="AI54" s="1059">
        <f t="shared" si="188"/>
        <v>0</v>
      </c>
      <c r="AJ54" s="535">
        <f t="shared" si="189"/>
        <v>0</v>
      </c>
      <c r="AK54" s="535">
        <f t="shared" si="190"/>
        <v>0</v>
      </c>
      <c r="AL54" s="535">
        <f>(VLOOKUP(Sheet1!DC52,hhdcap_wcm,4)-(((VLOOKUP(Sheet1!DC52,hhdcap_wcm,3)-Sheet1!DC52)/(VLOOKUP(Sheet1!DC52,hhdcap_wcm,3)-VLOOKUP(Sheet1!DC52,hhdcap_wcm,1)))*(VLOOKUP(Sheet1!DC52,hhdcap_wcm,4)-VLOOKUP(Sheet1!DC52,hhdcap_wcm,2))))</f>
        <v>2010.6000000048384</v>
      </c>
      <c r="AM54" s="535">
        <f t="shared" si="191"/>
        <v>-679.40000000193731</v>
      </c>
      <c r="AN54" s="1035">
        <f t="shared" si="192"/>
        <v>0</v>
      </c>
      <c r="AO54" s="535">
        <f t="shared" si="193"/>
        <v>0</v>
      </c>
      <c r="AP54" s="535">
        <f>Sheet1!BA52+Sheet1!BB52+Sheet1!BN52+CD54</f>
        <v>19.5</v>
      </c>
      <c r="AQ54" s="535">
        <f>Sheet1!BN52+(DO54*Sheet1!BN52)</f>
        <v>19.454605919521118</v>
      </c>
      <c r="AR54" s="535">
        <f>Sheet1!BA52+CD54</f>
        <v>0</v>
      </c>
      <c r="AS54" s="535">
        <f>Sheet1!BA52+Sheet1!BB52+CD54</f>
        <v>0</v>
      </c>
      <c r="AT54" s="649">
        <f>0</f>
        <v>0</v>
      </c>
      <c r="AU54" s="535">
        <f>IF(EB54&lt;K54,0,MAX(Sheet1!AA52+AQ54-15/36*K54-N54,Sheet1!EH52,0))</f>
        <v>0</v>
      </c>
      <c r="AV54" s="535">
        <f>IF(OR(B54&gt;=GD54,B54&lt;GC54),0,15/36*K54-MAX(0,64.6-(137.6-(Sheet1!AA52+Sheet1!AB52))))</f>
        <v>0</v>
      </c>
      <c r="AW54" s="1029"/>
      <c r="AX54" s="649"/>
      <c r="AY54" s="649">
        <f t="shared" si="101"/>
        <v>0</v>
      </c>
      <c r="AZ54" s="649">
        <f t="shared" si="102"/>
        <v>0</v>
      </c>
      <c r="BA54" s="1059">
        <f t="shared" si="103"/>
        <v>0</v>
      </c>
      <c r="BB54" s="1019">
        <f t="shared" si="194"/>
        <v>0</v>
      </c>
      <c r="BC54" s="1041">
        <f t="shared" si="104"/>
        <v>26.933333333333334</v>
      </c>
      <c r="BD54" s="1019">
        <f ca="1">IF(B54&gt;Summary!$A$1,#N/A,BB54*MGtoAF)</f>
        <v>0</v>
      </c>
      <c r="BE54" s="535">
        <f>Sheet1!BG52+Sheet1!BH52+Sheet1!BI52-BM54</f>
        <v>1.02</v>
      </c>
      <c r="BF54" s="535">
        <f t="shared" si="195"/>
        <v>1.01762554040572</v>
      </c>
      <c r="BG54" s="535">
        <f>IF(Sheet1!EP52="FM",BM54,0)</f>
        <v>0</v>
      </c>
      <c r="BH54" s="535">
        <f t="shared" si="196"/>
        <v>0</v>
      </c>
      <c r="BI54" s="535">
        <f>IF(Sheet1!EP52="OTHER",BM54,0)</f>
        <v>0</v>
      </c>
      <c r="BJ54" s="535">
        <f t="shared" si="197"/>
        <v>0</v>
      </c>
      <c r="BK54" s="535">
        <f t="shared" si="198"/>
        <v>1.02</v>
      </c>
      <c r="BL54" s="535">
        <f t="shared" si="199"/>
        <v>1.01762554040572</v>
      </c>
      <c r="BM54" s="535">
        <f>IF(OR(Sheet1!EP52="FM", Sheet1!EP52="OTHER"),SUM(Sheet1!BG52:'Sheet1'!BI52),0)</f>
        <v>0</v>
      </c>
      <c r="BN54" s="521">
        <f>IF(AND($B54&gt;=$FV54,$B54&lt;=$FW54),MAX(BF54,Sheet1!EI52,0),MAX(BF54-(7/36)*$K54,0))</f>
        <v>0</v>
      </c>
      <c r="BO54" s="535">
        <f t="shared" si="200"/>
        <v>0</v>
      </c>
      <c r="BP54" s="521">
        <f t="shared" si="201"/>
        <v>1.01762554040572</v>
      </c>
      <c r="BQ54" s="521">
        <f>IF(AND($O54&gt;0,Sheet1!EM52=1),(1-($O54-Sheet1!$L52)/$O54)*BL54,0)</f>
        <v>0</v>
      </c>
      <c r="BR54" s="521">
        <f>IF(AND(Sheet1!$L52=0,Sheet1!$L51=0, Calculation!BK54&lt;Sheet1!$EI52-0.1,Sheet1!$EI52=Sheet1!$EI51,Sheet1!$EI52=Sheet1!$EI53),BL54-BQ54,BL54-BQ54)</f>
        <v>1.01762554040572</v>
      </c>
      <c r="BS54" s="1035" t="str">
        <f t="shared" si="105"/>
        <v/>
      </c>
      <c r="BT54" s="1035">
        <f t="shared" si="106"/>
        <v>12.568888888888889</v>
      </c>
      <c r="BU54" s="535">
        <f t="shared" si="202"/>
        <v>0</v>
      </c>
      <c r="BV54" s="535"/>
      <c r="BW54" s="535">
        <f ca="1">IF(B54&gt;Summary!$A$1,#N/A,BU54*MGtoAF)</f>
        <v>0</v>
      </c>
      <c r="BX54" s="535">
        <f>Sheet1!BC52+Sheet1!BD52+Sheet1!BE52+Sheet1!BF52-CG54-CH54</f>
        <v>3</v>
      </c>
      <c r="BY54" s="535">
        <f t="shared" si="203"/>
        <v>2.9930162953109409</v>
      </c>
      <c r="BZ54" s="535">
        <f>IF(Sheet1!EQ52="FM",CH54,0)</f>
        <v>0</v>
      </c>
      <c r="CA54" s="535">
        <f t="shared" si="204"/>
        <v>0</v>
      </c>
      <c r="CB54" s="535">
        <f>IF(Sheet1!EQ52="OTHER",CH54,0)</f>
        <v>0</v>
      </c>
      <c r="CC54" s="535">
        <f t="shared" si="205"/>
        <v>0</v>
      </c>
      <c r="CD54" s="535">
        <f t="shared" si="206"/>
        <v>0</v>
      </c>
      <c r="CE54" s="535">
        <f t="shared" si="207"/>
        <v>3</v>
      </c>
      <c r="CF54" s="535">
        <f t="shared" si="208"/>
        <v>2.9930162953109409</v>
      </c>
      <c r="CG54" s="535">
        <f>IF(Sheet1!EQ52="CWA",SUM(Sheet1!BC52:'Sheet1'!BF52),0)</f>
        <v>0</v>
      </c>
      <c r="CH54" s="535">
        <f>IF(OR(Sheet1!EQ52="FM", Sheet1!EQ52="OTHER"),SUM(Sheet1!BC52:'Sheet1'!BF52),0)</f>
        <v>0</v>
      </c>
      <c r="CI54" s="521">
        <f>IF(AND($B54&gt;=$FV54,$B54&lt;=$FW54),MAX(CF54,Sheet1!EJ52,0),MAX(CF54-(7/36)*$K54,0))</f>
        <v>0</v>
      </c>
      <c r="CJ54" s="535">
        <f t="shared" si="209"/>
        <v>0</v>
      </c>
      <c r="CK54" s="521">
        <f t="shared" si="210"/>
        <v>2.9930162953109409</v>
      </c>
      <c r="CL54" s="521">
        <f>IF(AND($O54&gt;0,Sheet1!EN52=1),(1-($O54-Sheet1!$L52)/$O54)*CF54,0)</f>
        <v>0</v>
      </c>
      <c r="CM54" s="521">
        <f>IF(AND(Sheet1!$L52=0,Sheet1!$L51=0, Calculation!CE54&lt;Sheet1!EJ52-0.1,Sheet1!EJ52=Sheet1!EJ51,Sheet1!EJ52=Sheet1!EJ53),CF54-CL54,CF54-CL54)</f>
        <v>2.9930162953109409</v>
      </c>
      <c r="CN54" s="1040" t="str">
        <f t="shared" si="107"/>
        <v/>
      </c>
      <c r="CO54" s="1035">
        <f t="shared" si="108"/>
        <v>12.568888888888889</v>
      </c>
      <c r="CP54" s="535">
        <f t="shared" si="211"/>
        <v>0</v>
      </c>
      <c r="CQ54" s="535"/>
      <c r="CR54" s="535">
        <f ca="1">IF(B54&gt;Summary!$A$1,#N/A,CP54*MGtoAF)</f>
        <v>0</v>
      </c>
      <c r="CS54" s="535">
        <f>Sheet1!BK52+Sheet1!BL52+Sheet1!BM52-Sheet1!ER52-DA54</f>
        <v>6.55</v>
      </c>
      <c r="CT54" s="535">
        <f t="shared" si="212"/>
        <v>6.5347522447622213</v>
      </c>
      <c r="CU54" s="535">
        <f>IF(Sheet1!ER52="FM",DA54,0)</f>
        <v>0</v>
      </c>
      <c r="CV54" s="535">
        <f t="shared" si="213"/>
        <v>0</v>
      </c>
      <c r="CW54" s="535">
        <f>IF(Sheet1!ER52="OTHER",DA54,0)</f>
        <v>0</v>
      </c>
      <c r="CX54" s="535">
        <f t="shared" si="214"/>
        <v>0</v>
      </c>
      <c r="CY54" s="535">
        <f t="shared" si="215"/>
        <v>6.55</v>
      </c>
      <c r="CZ54" s="535">
        <f t="shared" si="216"/>
        <v>6.5347522447622213</v>
      </c>
      <c r="DA54" s="535">
        <f>IF(OR(Sheet1!ER52="FM", Sheet1!ER52="OTHER"),SUM(Sheet1!BK52:'Sheet1'!BM52),0)</f>
        <v>0</v>
      </c>
      <c r="DB54" s="1011">
        <f>IF(AND($B54&gt;=$FV54,$B54&lt;=$FW54),MAX($CT54,Sheet1!EK52,0),MAX($CT54-(7/36)*$K54,0))</f>
        <v>0</v>
      </c>
      <c r="DC54" s="1012">
        <f t="shared" si="217"/>
        <v>0</v>
      </c>
      <c r="DD54" s="1011">
        <f t="shared" si="218"/>
        <v>6.5347522447622213</v>
      </c>
      <c r="DE54" s="521">
        <f>IF(AND($O54&gt;0,Sheet1!EO52=1),(1-($O54-Sheet1!$L52)/$O54)*CZ54,0)</f>
        <v>0</v>
      </c>
      <c r="DF54" s="521">
        <f>IF(AND(Sheet1!$L52=0,Sheet1!$L51=0, Calculation!CY54&lt;Sheet1!$EK52-0.1,Sheet1!$EK52=Sheet1!$EK51,Sheet1!$EK52=Sheet1!$EK53),CZ54-DE54,CZ54-DE54)</f>
        <v>6.5347522447622213</v>
      </c>
      <c r="DG54" s="1040">
        <f t="shared" si="109"/>
        <v>12.568888888888889</v>
      </c>
      <c r="DH54" s="649">
        <f t="shared" si="219"/>
        <v>10.57</v>
      </c>
      <c r="DI54" s="535">
        <f t="shared" si="220"/>
        <v>0</v>
      </c>
      <c r="DJ54" s="649">
        <f t="shared" si="221"/>
        <v>10.545394080478882</v>
      </c>
      <c r="DK54" s="535">
        <f ca="1">IF(B54&gt;Summary!$A$1,#N/A,DI54*MGtoAF)</f>
        <v>0</v>
      </c>
      <c r="DL54" s="649">
        <f t="shared" si="222"/>
        <v>10.57</v>
      </c>
      <c r="DM54" s="535">
        <f t="shared" si="223"/>
        <v>30.07</v>
      </c>
      <c r="DN54" s="535">
        <f>Sheet1!AB52-DM54</f>
        <v>-7.0000000000000284E-2</v>
      </c>
      <c r="DO54" s="743">
        <f t="shared" si="224"/>
        <v>-2.3279015630196303E-3</v>
      </c>
      <c r="DP54" s="535">
        <f>(VLOOKUP(Sheet1!DC52,hhdcap_wcm,4)-(((VLOOKUP(Sheet1!DC52,hhdcap_wcm,3)-Sheet1!DC52)/(VLOOKUP(Sheet1!DC52,hhdcap_wcm,3)-VLOOKUP(Sheet1!DC52,hhdcap_wcm,1)))*(VLOOKUP(Sheet1!DC52,hhdcap_wcm,4)-VLOOKUP(Sheet1!DC52,hhdcap_wcm,2))))</f>
        <v>2010.6000000048384</v>
      </c>
      <c r="DQ54" s="535">
        <f t="shared" si="225"/>
        <v>-679.40000000193731</v>
      </c>
      <c r="DR54" s="535">
        <f t="shared" si="226"/>
        <v>-342.61220373269651</v>
      </c>
      <c r="DS54" s="535">
        <f>Sheet1!EA52*AFtoMG</f>
        <v>0</v>
      </c>
      <c r="DT54" s="535">
        <f>Sheet1!EB52*AFtoMG</f>
        <v>0</v>
      </c>
      <c r="DU54" s="535">
        <f>Sheet1!EC52*AFtoMG</f>
        <v>0</v>
      </c>
      <c r="DV54" s="535">
        <f>Sheet1!ED52*AFtoMG</f>
        <v>0</v>
      </c>
      <c r="DW54" s="535">
        <f t="shared" si="227"/>
        <v>0</v>
      </c>
      <c r="DX54" s="535">
        <f t="shared" si="228"/>
        <v>0</v>
      </c>
      <c r="DY54" s="535">
        <f t="shared" si="229"/>
        <v>0</v>
      </c>
      <c r="DZ54" s="535">
        <f t="shared" si="230"/>
        <v>0</v>
      </c>
      <c r="EA54" s="535"/>
      <c r="EB54" s="521">
        <f>IF(OR(B54&lt;FV54,B54&gt;FW54),(MIN(BF54+BY54+CT54+MAX(Sheet1!AA52+AQ54-73,0),K54)),0)</f>
        <v>10.545394080478882</v>
      </c>
      <c r="EC54" s="535"/>
      <c r="ED54" s="535">
        <f t="shared" si="231"/>
        <v>10.545394080478882</v>
      </c>
      <c r="EE54" s="535"/>
      <c r="EF54" s="535">
        <f>Sheet1!EH52+Sheet1!EI52+Sheet1!EJ52+Sheet1!EK52</f>
        <v>10.5</v>
      </c>
      <c r="EG54" s="1019">
        <f t="shared" si="110"/>
        <v>16.243500000000001</v>
      </c>
      <c r="EH54" s="521">
        <f t="shared" si="232"/>
        <v>0</v>
      </c>
      <c r="EI54" s="535">
        <f>IF(Sheet1!ET52=1,SUM('Calculations II'!AT54:BA54)+'Calculations II'!BC54+Sheet1!BV52+'Calculations II'!BE54+AP54,'Calculations II'!BK54)</f>
        <v>45.373851919521115</v>
      </c>
      <c r="EJ54" s="535">
        <f ca="1">EI54+'Calculations II'!D54+'Calculations II'!E54+'Calculations II'!O54</f>
        <v>44.923294768118545</v>
      </c>
      <c r="EK54" s="535"/>
      <c r="EL54" s="535"/>
      <c r="EM54" s="535">
        <f t="shared" si="233"/>
        <v>42778</v>
      </c>
      <c r="EN54" s="535">
        <f t="shared" si="234"/>
        <v>0</v>
      </c>
      <c r="EO54" s="535">
        <f t="shared" si="235"/>
        <v>0</v>
      </c>
      <c r="EP54" s="535">
        <v>0</v>
      </c>
      <c r="EQ54" s="535">
        <v>0</v>
      </c>
      <c r="ER54" s="535">
        <v>0</v>
      </c>
      <c r="ES54" s="521">
        <f t="shared" si="71"/>
        <v>0.83088943009345972</v>
      </c>
      <c r="ET54" s="535">
        <f>-(VLOOKUP(Sheet1!BQ52,Lookup!$O$4:$Q$262,2)-VLOOKUP(Sheet1!BQ51,Lookup!$O$4:$Q$262,2))/1000000</f>
        <v>0.41537742905444652</v>
      </c>
      <c r="EU54" s="535">
        <f>-(VLOOKUP(Sheet1!BR52,Lookup!$O$4:$Q$262,3)-VLOOKUP(Sheet1!BR51,Lookup!$O$4:$Q$262,3))/1000000</f>
        <v>0.41551200103901326</v>
      </c>
      <c r="EV54" s="535"/>
      <c r="EW54" s="535"/>
      <c r="EX54" s="535"/>
      <c r="EY54" s="535"/>
      <c r="EZ54" s="535"/>
      <c r="FA54" s="535"/>
      <c r="FB54" s="535"/>
      <c r="FC54" s="535"/>
      <c r="FD54" s="567" t="e">
        <f t="shared" si="236"/>
        <v>#N/A</v>
      </c>
      <c r="FE54" s="567" t="e">
        <f t="shared" si="237"/>
        <v>#N/A</v>
      </c>
      <c r="FF54" s="568" t="e">
        <f t="shared" si="238"/>
        <v>#N/A</v>
      </c>
      <c r="FG54" s="569" t="s">
        <v>656</v>
      </c>
      <c r="FH54" s="569" t="s">
        <v>656</v>
      </c>
      <c r="FI54" s="567" t="e">
        <v>#N/A</v>
      </c>
      <c r="FJ54" s="567" t="e">
        <v>#N/A</v>
      </c>
      <c r="FK54" s="535"/>
      <c r="FL54" s="1015">
        <v>0</v>
      </c>
      <c r="FM54" s="535"/>
      <c r="FN54" s="535"/>
      <c r="FO54" s="535">
        <f>O54+((Sheet1!CS52)*GPMtoMGD)</f>
        <v>55.8</v>
      </c>
      <c r="FP54" s="535">
        <f>IF(Sheet1!AA52+AQ54&lt;=Calculation!N54,AQ54,Calculation!N54-Sheet1!AA52)</f>
        <v>19.454605919521118</v>
      </c>
      <c r="FQ54" s="535">
        <f>(Sheet1!BP52+Sheet1!BO52)/694.4</f>
        <v>1.4789746543778803</v>
      </c>
      <c r="FR54" s="541"/>
      <c r="FS54" s="541"/>
      <c r="FT54" s="541"/>
      <c r="FU54" s="541"/>
      <c r="FV54" s="1109">
        <f t="shared" si="74"/>
        <v>42918</v>
      </c>
      <c r="FW54" s="1109">
        <f t="shared" si="75"/>
        <v>43027</v>
      </c>
      <c r="FX54" s="541"/>
      <c r="FY54" s="541">
        <f>Sheet1!DA52-Sheet1!CZ52-Sheet1!AE52</f>
        <v>863.67740000000003</v>
      </c>
      <c r="FZ54" s="535">
        <f t="shared" si="111"/>
        <v>0.74622991773841918</v>
      </c>
      <c r="GA54" s="535"/>
      <c r="GB54" s="535" t="str">
        <f t="shared" si="76"/>
        <v>n</v>
      </c>
      <c r="GC54" s="539">
        <f t="shared" si="77"/>
        <v>42782</v>
      </c>
      <c r="GD54" s="1109">
        <f t="shared" si="78"/>
        <v>42904</v>
      </c>
      <c r="GE54" s="535">
        <f t="shared" si="95"/>
        <v>6520</v>
      </c>
      <c r="GF54" s="1109">
        <f t="shared" si="79"/>
        <v>42909</v>
      </c>
      <c r="GG54" s="535">
        <f t="shared" si="174"/>
        <v>3260</v>
      </c>
      <c r="GH54" s="539">
        <f t="shared" si="80"/>
        <v>43040</v>
      </c>
      <c r="GJ54" s="521">
        <f t="shared" si="81"/>
        <v>0</v>
      </c>
      <c r="GK54" s="535" t="str">
        <f t="shared" si="239"/>
        <v/>
      </c>
      <c r="GL54" s="535">
        <f t="shared" si="82"/>
        <v>0</v>
      </c>
      <c r="GM54" s="535" t="str">
        <f t="shared" si="83"/>
        <v/>
      </c>
      <c r="GN54" s="535">
        <f>IF(GK54="P",Lookup!$M$12,IF(GK54="PP",Lookup!$M$13,IF(GK54="PPP",Lookup!$M$14,IF(GK54="T",Lookup!$M$15,IF(GK54="TP",Lookup!$M$16,IF(GK54="TPP",Lookup!$M$17,IF(GK54="TPPP",Lookup!$M$18,0)))))))*GJ54</f>
        <v>0</v>
      </c>
      <c r="GO54" s="535">
        <f t="shared" si="84"/>
        <v>0</v>
      </c>
      <c r="GP54" s="535">
        <f t="shared" si="240"/>
        <v>0</v>
      </c>
      <c r="GQ54" s="535">
        <f t="shared" si="94"/>
        <v>0</v>
      </c>
      <c r="GR54" s="535"/>
      <c r="GS54" s="535">
        <f t="shared" si="85"/>
        <v>0</v>
      </c>
      <c r="GT54" s="535" t="str">
        <f t="shared" si="86"/>
        <v/>
      </c>
      <c r="GU54" s="535">
        <f>IF(GK54="P",Lookup!$N$12,IF(GK54="PP",Lookup!$N$13,IF(GK54="PPP",Lookup!$N$14,IF(GK54="T",Lookup!$N$15,IF(GK54="TP",Lookup!$N$16,IF(GK54="TPP",Lookup!$N$17,IF(GK54="TPPP",Lookup!$N$18,0)))))))*GJ54</f>
        <v>0</v>
      </c>
      <c r="GV54" s="535">
        <f t="shared" si="53"/>
        <v>0</v>
      </c>
      <c r="GW54" s="535">
        <f t="shared" si="241"/>
        <v>0</v>
      </c>
      <c r="GX54" s="535">
        <f t="shared" si="91"/>
        <v>0</v>
      </c>
      <c r="GY54" s="535"/>
      <c r="GZ54" s="535">
        <f t="shared" si="87"/>
        <v>0</v>
      </c>
      <c r="HA54" s="535" t="str">
        <f t="shared" si="88"/>
        <v/>
      </c>
      <c r="HB54" s="535">
        <f>IF(GK54="P",Lookup!$N$12,IF(GK54="PP",Lookup!$N$13,IF(GK54="PPP",Lookup!$N$14,IF(GK54="T",Lookup!$N$15,IF(GK54="TP",Lookup!$N$16,IF(GK54="TPP",Lookup!$N$17,IF(GK54="TPPP",Lookup!$N$18,0)))))))*GJ54</f>
        <v>0</v>
      </c>
      <c r="HC54" s="521">
        <f t="shared" si="242"/>
        <v>0</v>
      </c>
      <c r="HD54" s="535">
        <f t="shared" si="243"/>
        <v>0</v>
      </c>
      <c r="HE54" s="535">
        <f t="shared" si="92"/>
        <v>0</v>
      </c>
      <c r="HF54" s="535"/>
      <c r="HG54" s="535">
        <f t="shared" si="89"/>
        <v>0</v>
      </c>
      <c r="HH54" s="535" t="str">
        <f t="shared" si="90"/>
        <v/>
      </c>
      <c r="HI54" s="535">
        <f>IF(GK54="P",Lookup!$N$12,IF(GK54="PP",Lookup!$N$13,IF(GK54="PPP",Lookup!$N$14,IF(GK54="T",Lookup!$N$15,IF(GK54="TP",Lookup!$N$16,IF(GK54="TPP",Lookup!$N$17,IF(GK54="TPPP",Lookup!$N$18,0)))))))*GJ54</f>
        <v>0</v>
      </c>
      <c r="HJ54" s="521">
        <f t="shared" si="244"/>
        <v>0</v>
      </c>
      <c r="HK54" s="535">
        <f t="shared" si="245"/>
        <v>0</v>
      </c>
      <c r="HL54" s="535">
        <f t="shared" si="93"/>
        <v>0</v>
      </c>
      <c r="HM54" s="535"/>
      <c r="HN54" s="541"/>
      <c r="HO54" s="541"/>
      <c r="HP54" s="541"/>
      <c r="HQ54" s="541">
        <f>IF(AND(B54&gt;=$FV$4,B54&lt;=$FW$4),MAX(110/1.02+$HQ$6+MIN(113/1.02,G54),IF($HV$6-(Sheet1!DA52-Sheet1!DB52)+MIN(113/1.02,G54)&lt;G54+FL54,$HV$6-(Sheet1!DA52-Sheet1!DB52)+MIN(113/1.02,G54),G54+FL54)),MIN(110/1.02+$HQ$6+113/1.02,G54))</f>
        <v>218.62745098039215</v>
      </c>
      <c r="HR54" s="541">
        <f t="shared" si="112"/>
        <v>223</v>
      </c>
      <c r="HS54" s="541">
        <f>HR54+(Sheet1!DA52-Sheet1!DB52)</f>
        <v>1283</v>
      </c>
      <c r="HT54" s="541">
        <f t="shared" si="113"/>
        <v>0</v>
      </c>
      <c r="HU54" s="541">
        <f t="shared" si="114"/>
        <v>1283</v>
      </c>
      <c r="HV54" s="541">
        <f t="shared" si="115"/>
        <v>0</v>
      </c>
      <c r="HW54" s="533" t="str">
        <f t="shared" si="116"/>
        <v/>
      </c>
      <c r="HX54" s="541">
        <f t="shared" si="117"/>
        <v>1281.372549019608</v>
      </c>
      <c r="HY54" s="541">
        <f>Sheet1!CZ52</f>
        <v>1500</v>
      </c>
      <c r="HZ54" s="541">
        <f t="shared" si="118"/>
        <v>0</v>
      </c>
      <c r="IA54" s="541">
        <f t="shared" si="119"/>
        <v>0</v>
      </c>
      <c r="IB54" s="541">
        <f t="shared" si="120"/>
        <v>1500</v>
      </c>
      <c r="IC54" s="1019" t="str">
        <f t="shared" si="121"/>
        <v/>
      </c>
      <c r="ID54" s="541">
        <f t="shared" si="122"/>
        <v>1500</v>
      </c>
      <c r="IE54" s="541">
        <f>Sheet1!DB52</f>
        <v>1390</v>
      </c>
      <c r="IF54" s="533">
        <f>Sheet1!DA52</f>
        <v>2450</v>
      </c>
      <c r="IH54" s="541">
        <f>IF(AND($B54&gt;=$GC54,$B54&lt;=$GH54,$DR54&lt;0)+N("only adjusted when pool is drawn down during storage season"),Sheet1!$DB52+$DR54+N("Palmer minus all storage release"),Sheet1!$DB52)</f>
        <v>1390</v>
      </c>
      <c r="II54" s="541">
        <f>IF(AND($B54&gt;=$GC54,$B54&lt;=$GH54,$DR54&lt;0)+N("only adjusted when pool is drawn down during storage season"),Sheet1!$DA52+$DR54+N("Auburn minus all storage release"),Sheet1!$DA52)</f>
        <v>2450</v>
      </c>
    </row>
    <row r="55" spans="1:243" x14ac:dyDescent="0.25">
      <c r="A55" s="553" t="s">
        <v>4</v>
      </c>
      <c r="B55" s="531">
        <v>42779</v>
      </c>
      <c r="C55" s="536">
        <v>0</v>
      </c>
      <c r="D55" s="506">
        <f t="shared" si="0"/>
        <v>300</v>
      </c>
      <c r="E55" s="506">
        <f t="shared" si="1"/>
        <v>250</v>
      </c>
      <c r="F55" s="506">
        <v>250</v>
      </c>
      <c r="G55" s="535">
        <f>DR55+Sheet1!CZ53</f>
        <v>897.32728189557133</v>
      </c>
      <c r="H55" s="1074">
        <f t="shared" si="246"/>
        <v>585.84692863999999</v>
      </c>
      <c r="I55" s="534">
        <f>IF(Sheet1!DA53&gt;=E55,(Sheet1!DA53-E55+P55)*CFStoMGD,0)</f>
        <v>1206.3909286399999</v>
      </c>
      <c r="J55" s="995">
        <f>IF(Sheet1!DB53&gt;=D55,(Sheet1!DB53-D55+P55)*CFStoMGD,0)</f>
        <v>585.84692863999999</v>
      </c>
      <c r="K55" s="818">
        <f t="shared" si="97"/>
        <v>64.64</v>
      </c>
      <c r="L55" s="535">
        <f>Sheet1!AA53+Sheet1!AB53-Sheet1!L53+(Sheet1!DA53-F55)*CFStoMGD-S55-T55-U55</f>
        <v>1150.5919999999999</v>
      </c>
      <c r="M55" s="535">
        <f t="shared" si="185"/>
        <v>591.63300211764329</v>
      </c>
      <c r="N55" s="824">
        <f>IF(Sheet1!DA53&gt;=F55,MIN(113*CFStoMGD,MIN(MAX(L55,0),MAX(M55,0))),0)</f>
        <v>73.043199999999999</v>
      </c>
      <c r="O55" s="538">
        <f>Sheet1!AA53+Sheet1!AB53</f>
        <v>55.8</v>
      </c>
      <c r="P55" s="538">
        <f t="shared" si="186"/>
        <v>86.322599999999994</v>
      </c>
      <c r="Q55" s="812">
        <f t="shared" si="98"/>
        <v>0</v>
      </c>
      <c r="R55" s="812">
        <f t="shared" si="59"/>
        <v>10.465116279069768</v>
      </c>
      <c r="S55" s="812">
        <f t="shared" si="60"/>
        <v>55.8</v>
      </c>
      <c r="T55" s="812">
        <f t="shared" si="61"/>
        <v>0</v>
      </c>
      <c r="U55" s="812">
        <f t="shared" si="99"/>
        <v>0</v>
      </c>
      <c r="V55" s="812"/>
      <c r="W55" s="812">
        <f t="shared" si="62"/>
        <v>54.174883720930232</v>
      </c>
      <c r="X55" s="812">
        <f t="shared" si="63"/>
        <v>55.8</v>
      </c>
      <c r="Y55" s="812" t="str">
        <f t="shared" si="64"/>
        <v/>
      </c>
      <c r="Z55" s="812">
        <f t="shared" si="65"/>
        <v>55.8</v>
      </c>
      <c r="AA55" s="812">
        <f t="shared" si="66"/>
        <v>55.8</v>
      </c>
      <c r="AB55" s="1059">
        <f t="shared" si="100"/>
        <v>0</v>
      </c>
      <c r="AC55" s="538">
        <f>Sheet1!Y53*MGDtoCFS</f>
        <v>39.912599999999998</v>
      </c>
      <c r="AD55" s="538">
        <f>Sheet1!Z53*MGDtoCFS</f>
        <v>46.41</v>
      </c>
      <c r="AE55" s="538">
        <f>Sheet1!AA53*MGDtoCFS</f>
        <v>39.912599999999998</v>
      </c>
      <c r="AF55" s="538">
        <f>Sheet1!AB53*MGDtoCFS</f>
        <v>46.41</v>
      </c>
      <c r="AG55" s="538">
        <f>Sheet1!L53*MGDtoCFS</f>
        <v>0</v>
      </c>
      <c r="AH55" s="521">
        <f t="shared" si="187"/>
        <v>0</v>
      </c>
      <c r="AI55" s="1059">
        <f t="shared" si="188"/>
        <v>0</v>
      </c>
      <c r="AJ55" s="535">
        <f t="shared" si="189"/>
        <v>0</v>
      </c>
      <c r="AK55" s="535">
        <f t="shared" si="190"/>
        <v>0</v>
      </c>
      <c r="AL55" s="535">
        <f>(VLOOKUP(Sheet1!DC53,hhdcap_wcm,4)-(((VLOOKUP(Sheet1!DC53,hhdcap_wcm,3)-Sheet1!DC53)/(VLOOKUP(Sheet1!DC53,hhdcap_wcm,3)-VLOOKUP(Sheet1!DC53,hhdcap_wcm,1)))*(VLOOKUP(Sheet1!DC53,hhdcap_wcm,4)-VLOOKUP(Sheet1!DC53,hhdcap_wcm,2))))</f>
        <v>1410.4000000037563</v>
      </c>
      <c r="AM55" s="535">
        <f t="shared" si="191"/>
        <v>-600.20000000108212</v>
      </c>
      <c r="AN55" s="1035">
        <f t="shared" si="192"/>
        <v>0</v>
      </c>
      <c r="AO55" s="535">
        <f t="shared" si="193"/>
        <v>0</v>
      </c>
      <c r="AP55" s="535">
        <f>Sheet1!BA53+Sheet1!BB53+Sheet1!BN53+CD55</f>
        <v>19.600000000000001</v>
      </c>
      <c r="AQ55" s="535">
        <f>Sheet1!BN53+(DO55*Sheet1!BN53)</f>
        <v>19.534883720930232</v>
      </c>
      <c r="AR55" s="535">
        <f>Sheet1!BA53+CD55</f>
        <v>0</v>
      </c>
      <c r="AS55" s="535">
        <f>Sheet1!BA53+Sheet1!BB53+CD55</f>
        <v>0</v>
      </c>
      <c r="AT55" s="649">
        <f>0</f>
        <v>0</v>
      </c>
      <c r="AU55" s="535">
        <f>IF(EB55&lt;K55,0,MAX(Sheet1!AA53+AQ55-15/36*K55-N55,Sheet1!EH53,0))</f>
        <v>0</v>
      </c>
      <c r="AV55" s="535">
        <f>IF(OR(B55&gt;=GD55,B55&lt;GC55),0,15/36*K55-MAX(0,64.6-(137.6-(Sheet1!AA53+Sheet1!AB53))))</f>
        <v>0</v>
      </c>
      <c r="AW55" s="1029"/>
      <c r="AX55" s="649"/>
      <c r="AY55" s="649">
        <f t="shared" si="101"/>
        <v>0</v>
      </c>
      <c r="AZ55" s="649">
        <f t="shared" si="102"/>
        <v>0</v>
      </c>
      <c r="BA55" s="1059">
        <f t="shared" si="103"/>
        <v>0</v>
      </c>
      <c r="BB55" s="1019">
        <f t="shared" si="194"/>
        <v>0</v>
      </c>
      <c r="BC55" s="1041">
        <f t="shared" si="104"/>
        <v>26.933333333333334</v>
      </c>
      <c r="BD55" s="1019">
        <f ca="1">IF(B55&gt;Summary!$A$1,#N/A,BB55*MGtoAF)</f>
        <v>0</v>
      </c>
      <c r="BE55" s="535">
        <f>Sheet1!BG53+Sheet1!BH53+Sheet1!BI53-BM55</f>
        <v>1.02</v>
      </c>
      <c r="BF55" s="535">
        <f t="shared" si="195"/>
        <v>1.0166112956810631</v>
      </c>
      <c r="BG55" s="535">
        <f>IF(Sheet1!EP53="FM",BM55,0)</f>
        <v>0</v>
      </c>
      <c r="BH55" s="535">
        <f t="shared" si="196"/>
        <v>0</v>
      </c>
      <c r="BI55" s="535">
        <f>IF(Sheet1!EP53="OTHER",BM55,0)</f>
        <v>0</v>
      </c>
      <c r="BJ55" s="535">
        <f t="shared" si="197"/>
        <v>0</v>
      </c>
      <c r="BK55" s="535">
        <f t="shared" si="198"/>
        <v>1.02</v>
      </c>
      <c r="BL55" s="535">
        <f t="shared" si="199"/>
        <v>1.0166112956810631</v>
      </c>
      <c r="BM55" s="535">
        <f>IF(OR(Sheet1!EP53="FM", Sheet1!EP53="OTHER"),SUM(Sheet1!BG53:'Sheet1'!BI53),0)</f>
        <v>0</v>
      </c>
      <c r="BN55" s="521">
        <f>IF(AND($B55&gt;=$FV55,$B55&lt;=$FW55),MAX(BF55,Sheet1!EI53,0),MAX(BF55-(7/36)*$K55,0))</f>
        <v>0</v>
      </c>
      <c r="BO55" s="535">
        <f t="shared" si="200"/>
        <v>0</v>
      </c>
      <c r="BP55" s="521">
        <f t="shared" si="201"/>
        <v>1.0166112956810631</v>
      </c>
      <c r="BQ55" s="521">
        <f>IF(AND($O55&gt;0,Sheet1!EM53=1),(1-($O55-Sheet1!$L53)/$O55)*BL55,0)</f>
        <v>0</v>
      </c>
      <c r="BR55" s="521">
        <f>IF(AND(Sheet1!$L53=0,Sheet1!$L52=0, Calculation!BK55&lt;Sheet1!$EI53-0.1,Sheet1!$EI53=Sheet1!$EI52,Sheet1!$EI53=Sheet1!$EI54),BL55-BQ55,BL55-BQ55)</f>
        <v>1.0166112956810631</v>
      </c>
      <c r="BS55" s="1035" t="str">
        <f t="shared" si="105"/>
        <v/>
      </c>
      <c r="BT55" s="1035">
        <f t="shared" si="106"/>
        <v>12.568888888888889</v>
      </c>
      <c r="BU55" s="535">
        <f t="shared" si="202"/>
        <v>0</v>
      </c>
      <c r="BV55" s="535"/>
      <c r="BW55" s="535">
        <f ca="1">IF(B55&gt;Summary!$A$1,#N/A,BU55*MGtoAF)</f>
        <v>0</v>
      </c>
      <c r="BX55" s="535">
        <f>Sheet1!BC53+Sheet1!BD53+Sheet1!BE53+Sheet1!BF53-CG55-CH55</f>
        <v>3</v>
      </c>
      <c r="BY55" s="535">
        <f t="shared" si="203"/>
        <v>2.9900332225913622</v>
      </c>
      <c r="BZ55" s="535">
        <f>IF(Sheet1!EQ53="FM",CH55,0)</f>
        <v>0</v>
      </c>
      <c r="CA55" s="535">
        <f t="shared" si="204"/>
        <v>0</v>
      </c>
      <c r="CB55" s="535">
        <f>IF(Sheet1!EQ53="OTHER",CH55,0)</f>
        <v>0</v>
      </c>
      <c r="CC55" s="535">
        <f t="shared" si="205"/>
        <v>0</v>
      </c>
      <c r="CD55" s="535">
        <f t="shared" si="206"/>
        <v>0</v>
      </c>
      <c r="CE55" s="535">
        <f t="shared" si="207"/>
        <v>3</v>
      </c>
      <c r="CF55" s="535">
        <f t="shared" si="208"/>
        <v>2.9900332225913622</v>
      </c>
      <c r="CG55" s="535">
        <f>IF(Sheet1!EQ53="CWA",SUM(Sheet1!BC53:'Sheet1'!BF53),0)</f>
        <v>0</v>
      </c>
      <c r="CH55" s="535">
        <f>IF(OR(Sheet1!EQ53="FM", Sheet1!EQ53="OTHER"),SUM(Sheet1!BC53:'Sheet1'!BF53),0)</f>
        <v>0</v>
      </c>
      <c r="CI55" s="521">
        <f>IF(AND($B55&gt;=$FV55,$B55&lt;=$FW55),MAX(CF55,Sheet1!EJ53,0),MAX(CF55-(7/36)*$K55,0))</f>
        <v>0</v>
      </c>
      <c r="CJ55" s="535">
        <f t="shared" si="209"/>
        <v>0</v>
      </c>
      <c r="CK55" s="521">
        <f t="shared" si="210"/>
        <v>2.9900332225913622</v>
      </c>
      <c r="CL55" s="521">
        <f>IF(AND($O55&gt;0,Sheet1!EN53=1),(1-($O55-Sheet1!$L53)/$O55)*CF55,0)</f>
        <v>0</v>
      </c>
      <c r="CM55" s="521">
        <f>IF(AND(Sheet1!$L53=0,Sheet1!$L52=0, Calculation!CE55&lt;Sheet1!EJ53-0.1,Sheet1!EJ53=Sheet1!EJ52,Sheet1!EJ53=Sheet1!EJ54),CF55-CL55,CF55-CL55)</f>
        <v>2.9900332225913622</v>
      </c>
      <c r="CN55" s="1040" t="str">
        <f t="shared" si="107"/>
        <v/>
      </c>
      <c r="CO55" s="1035">
        <f t="shared" si="108"/>
        <v>12.568888888888889</v>
      </c>
      <c r="CP55" s="535">
        <f t="shared" si="211"/>
        <v>0</v>
      </c>
      <c r="CQ55" s="535"/>
      <c r="CR55" s="535">
        <f ca="1">IF(B55&gt;Summary!$A$1,#N/A,CP55*MGtoAF)</f>
        <v>0</v>
      </c>
      <c r="CS55" s="535">
        <f>Sheet1!BK53+Sheet1!BL53+Sheet1!BM53-Sheet1!ER53-DA55</f>
        <v>6.48</v>
      </c>
      <c r="CT55" s="535">
        <f t="shared" si="212"/>
        <v>6.4584717607973428</v>
      </c>
      <c r="CU55" s="535">
        <f>IF(Sheet1!ER53="FM",DA55,0)</f>
        <v>0</v>
      </c>
      <c r="CV55" s="535">
        <f t="shared" si="213"/>
        <v>0</v>
      </c>
      <c r="CW55" s="535">
        <f>IF(Sheet1!ER53="OTHER",DA55,0)</f>
        <v>0</v>
      </c>
      <c r="CX55" s="535">
        <f t="shared" si="214"/>
        <v>0</v>
      </c>
      <c r="CY55" s="535">
        <f t="shared" si="215"/>
        <v>6.48</v>
      </c>
      <c r="CZ55" s="535">
        <f t="shared" si="216"/>
        <v>6.4584717607973428</v>
      </c>
      <c r="DA55" s="535">
        <f>IF(OR(Sheet1!ER53="FM", Sheet1!ER53="OTHER"),SUM(Sheet1!BK53:'Sheet1'!BM53),0)</f>
        <v>0</v>
      </c>
      <c r="DB55" s="1011">
        <f>IF(AND($B55&gt;=$FV55,$B55&lt;=$FW55),MAX($CT55,Sheet1!EK53,0),MAX($CT55-(7/36)*$K55,0))</f>
        <v>0</v>
      </c>
      <c r="DC55" s="1012">
        <f t="shared" si="217"/>
        <v>0</v>
      </c>
      <c r="DD55" s="1011">
        <f t="shared" si="218"/>
        <v>6.4584717607973428</v>
      </c>
      <c r="DE55" s="521">
        <f>IF(AND($O55&gt;0,Sheet1!EO53=1),(1-($O55-Sheet1!$L53)/$O55)*CZ55,0)</f>
        <v>0</v>
      </c>
      <c r="DF55" s="521">
        <f>IF(AND(Sheet1!$L53=0,Sheet1!$L52=0, Calculation!CY55&lt;Sheet1!$EK53-0.1,Sheet1!$EK53=Sheet1!$EK52,Sheet1!$EK53=Sheet1!$EK54),CZ55-DE55,CZ55-DE55)</f>
        <v>6.4584717607973428</v>
      </c>
      <c r="DG55" s="1040">
        <f t="shared" si="109"/>
        <v>12.568888888888889</v>
      </c>
      <c r="DH55" s="649">
        <f t="shared" si="219"/>
        <v>10.5</v>
      </c>
      <c r="DI55" s="535">
        <f t="shared" si="220"/>
        <v>0</v>
      </c>
      <c r="DJ55" s="649">
        <f t="shared" si="221"/>
        <v>10.465116279069768</v>
      </c>
      <c r="DK55" s="535">
        <f ca="1">IF(B55&gt;Summary!$A$1,#N/A,DI55*MGtoAF)</f>
        <v>0</v>
      </c>
      <c r="DL55" s="649">
        <f t="shared" si="222"/>
        <v>10.5</v>
      </c>
      <c r="DM55" s="535">
        <f t="shared" si="223"/>
        <v>30.1</v>
      </c>
      <c r="DN55" s="535">
        <f>Sheet1!AB53-DM55</f>
        <v>-0.10000000000000142</v>
      </c>
      <c r="DO55" s="743">
        <f t="shared" si="224"/>
        <v>-3.3222591362126715E-3</v>
      </c>
      <c r="DP55" s="535">
        <f>(VLOOKUP(Sheet1!DC53,hhdcap_wcm,4)-(((VLOOKUP(Sheet1!DC53,hhdcap_wcm,3)-Sheet1!DC53)/(VLOOKUP(Sheet1!DC53,hhdcap_wcm,3)-VLOOKUP(Sheet1!DC53,hhdcap_wcm,1)))*(VLOOKUP(Sheet1!DC53,hhdcap_wcm,4)-VLOOKUP(Sheet1!DC53,hhdcap_wcm,2))))</f>
        <v>1410.4000000037563</v>
      </c>
      <c r="DQ55" s="535">
        <f t="shared" si="225"/>
        <v>-600.20000000108212</v>
      </c>
      <c r="DR55" s="535">
        <f t="shared" si="226"/>
        <v>-302.67271810442867</v>
      </c>
      <c r="DS55" s="535">
        <f>Sheet1!EA53*AFtoMG</f>
        <v>0</v>
      </c>
      <c r="DT55" s="535">
        <f>Sheet1!EB53*AFtoMG</f>
        <v>0</v>
      </c>
      <c r="DU55" s="535">
        <f>Sheet1!EC53*AFtoMG</f>
        <v>0</v>
      </c>
      <c r="DV55" s="535">
        <f>Sheet1!ED53*AFtoMG</f>
        <v>0</v>
      </c>
      <c r="DW55" s="535">
        <f t="shared" si="227"/>
        <v>0</v>
      </c>
      <c r="DX55" s="535">
        <f t="shared" si="228"/>
        <v>0</v>
      </c>
      <c r="DY55" s="535">
        <f t="shared" si="229"/>
        <v>0</v>
      </c>
      <c r="DZ55" s="535">
        <f t="shared" si="230"/>
        <v>0</v>
      </c>
      <c r="EA55" s="535"/>
      <c r="EB55" s="521">
        <f>IF(OR(B55&lt;FV55,B55&gt;FW55),(MIN(BF55+BY55+CT55+MAX(Sheet1!AA53+AQ55-73,0),K55)),0)</f>
        <v>10.465116279069768</v>
      </c>
      <c r="EC55" s="535"/>
      <c r="ED55" s="535">
        <f t="shared" si="231"/>
        <v>10.465116279069768</v>
      </c>
      <c r="EE55" s="535"/>
      <c r="EF55" s="535">
        <f>Sheet1!EH53+Sheet1!EI53+Sheet1!EJ53+Sheet1!EK53</f>
        <v>10.5</v>
      </c>
      <c r="EG55" s="1019">
        <f t="shared" si="110"/>
        <v>16.243500000000001</v>
      </c>
      <c r="EH55" s="521">
        <f t="shared" si="232"/>
        <v>0</v>
      </c>
      <c r="EI55" s="535">
        <f>IF(Sheet1!ET53=1,SUM('Calculations II'!AT55:BA55)+'Calculations II'!BC55+Sheet1!BV53+'Calculations II'!BE55+AP55,'Calculations II'!BK55)</f>
        <v>47.249409720930231</v>
      </c>
      <c r="EJ55" s="535">
        <f ca="1">EI55+'Calculations II'!D55+'Calculations II'!E55+'Calculations II'!O55</f>
        <v>42.632892913998468</v>
      </c>
      <c r="EK55" s="535"/>
      <c r="EL55" s="535"/>
      <c r="EM55" s="535">
        <f t="shared" si="233"/>
        <v>42779</v>
      </c>
      <c r="EN55" s="535">
        <f t="shared" si="234"/>
        <v>0</v>
      </c>
      <c r="EO55" s="535">
        <f t="shared" si="235"/>
        <v>0</v>
      </c>
      <c r="EP55" s="535">
        <v>0</v>
      </c>
      <c r="EQ55" s="535">
        <v>0</v>
      </c>
      <c r="ER55" s="535">
        <v>0</v>
      </c>
      <c r="ES55" s="521">
        <f t="shared" si="71"/>
        <v>2.4919762616567089</v>
      </c>
      <c r="ET55" s="535">
        <f>-(VLOOKUP(Sheet1!BQ53,Lookup!$O$4:$Q$262,2)-VLOOKUP(Sheet1!BQ52,Lookup!$O$4:$Q$262,2))/1000000</f>
        <v>1.245786300785698</v>
      </c>
      <c r="EU55" s="535">
        <f>-(VLOOKUP(Sheet1!BR53,Lookup!$O$4:$Q$262,3)-VLOOKUP(Sheet1!BR52,Lookup!$O$4:$Q$262,3))/1000000</f>
        <v>1.246189960871011</v>
      </c>
      <c r="EV55" s="535"/>
      <c r="EW55" s="535"/>
      <c r="EX55" s="535"/>
      <c r="EY55" s="535"/>
      <c r="EZ55" s="535"/>
      <c r="FA55" s="535"/>
      <c r="FB55" s="535"/>
      <c r="FC55" s="535"/>
      <c r="FD55" s="567" t="e">
        <f t="shared" si="236"/>
        <v>#N/A</v>
      </c>
      <c r="FE55" s="567" t="e">
        <f t="shared" si="237"/>
        <v>#N/A</v>
      </c>
      <c r="FF55" s="568" t="e">
        <f t="shared" si="238"/>
        <v>#N/A</v>
      </c>
      <c r="FG55" s="569" t="s">
        <v>656</v>
      </c>
      <c r="FH55" s="569" t="s">
        <v>656</v>
      </c>
      <c r="FI55" s="567" t="e">
        <v>#N/A</v>
      </c>
      <c r="FJ55" s="567" t="e">
        <v>#N/A</v>
      </c>
      <c r="FK55" s="535"/>
      <c r="FL55" s="1015">
        <v>0</v>
      </c>
      <c r="FM55" s="535"/>
      <c r="FN55" s="535"/>
      <c r="FO55" s="535">
        <f>O55+((Sheet1!CS53)*GPMtoMGD)</f>
        <v>55.8</v>
      </c>
      <c r="FP55" s="535">
        <f>IF(Sheet1!AA53+AQ55&lt;=Calculation!N55,AQ55,Calculation!N55-Sheet1!AA53)</f>
        <v>19.534883720930232</v>
      </c>
      <c r="FQ55" s="535">
        <f>(Sheet1!BP53+Sheet1!BO53)/694.4</f>
        <v>1.3348214285714286</v>
      </c>
      <c r="FR55" s="541"/>
      <c r="FS55" s="541"/>
      <c r="FT55" s="541"/>
      <c r="FU55" s="541"/>
      <c r="FV55" s="1109">
        <f t="shared" si="74"/>
        <v>42918</v>
      </c>
      <c r="FW55" s="1109">
        <f t="shared" si="75"/>
        <v>43027</v>
      </c>
      <c r="FX55" s="541"/>
      <c r="FY55" s="541">
        <f>Sheet1!DA53-Sheet1!CZ53-Sheet1!AE53</f>
        <v>743.67740000000003</v>
      </c>
      <c r="FZ55" s="535">
        <f t="shared" si="111"/>
        <v>0.82876940777840669</v>
      </c>
      <c r="GA55" s="535"/>
      <c r="GB55" s="535" t="str">
        <f t="shared" si="76"/>
        <v>n</v>
      </c>
      <c r="GC55" s="539">
        <f t="shared" si="77"/>
        <v>42782</v>
      </c>
      <c r="GD55" s="1109">
        <f t="shared" si="78"/>
        <v>42904</v>
      </c>
      <c r="GE55" s="535">
        <f t="shared" si="95"/>
        <v>6520</v>
      </c>
      <c r="GF55" s="1109">
        <f t="shared" si="79"/>
        <v>42909</v>
      </c>
      <c r="GG55" s="535">
        <f t="shared" si="174"/>
        <v>3260</v>
      </c>
      <c r="GH55" s="539">
        <f t="shared" si="80"/>
        <v>43040</v>
      </c>
      <c r="GJ55" s="521">
        <f t="shared" si="81"/>
        <v>0</v>
      </c>
      <c r="GK55" s="535" t="str">
        <f t="shared" si="239"/>
        <v/>
      </c>
      <c r="GL55" s="535">
        <f t="shared" si="82"/>
        <v>0</v>
      </c>
      <c r="GM55" s="535" t="str">
        <f t="shared" si="83"/>
        <v/>
      </c>
      <c r="GN55" s="535">
        <f>IF(GK55="P",Lookup!$M$12,IF(GK55="PP",Lookup!$M$13,IF(GK55="PPP",Lookup!$M$14,IF(GK55="T",Lookup!$M$15,IF(GK55="TP",Lookup!$M$16,IF(GK55="TPP",Lookup!$M$17,IF(GK55="TPPP",Lookup!$M$18,0)))))))*GJ55</f>
        <v>0</v>
      </c>
      <c r="GO55" s="535">
        <f t="shared" si="84"/>
        <v>0</v>
      </c>
      <c r="GP55" s="535">
        <f t="shared" si="240"/>
        <v>0</v>
      </c>
      <c r="GQ55" s="535">
        <f t="shared" si="94"/>
        <v>0</v>
      </c>
      <c r="GR55" s="535"/>
      <c r="GS55" s="535">
        <f t="shared" si="85"/>
        <v>0</v>
      </c>
      <c r="GT55" s="535" t="str">
        <f t="shared" si="86"/>
        <v/>
      </c>
      <c r="GU55" s="535">
        <f>IF(GK55="P",Lookup!$N$12,IF(GK55="PP",Lookup!$N$13,IF(GK55="PPP",Lookup!$N$14,IF(GK55="T",Lookup!$N$15,IF(GK55="TP",Lookup!$N$16,IF(GK55="TPP",Lookup!$N$17,IF(GK55="TPPP",Lookup!$N$18,0)))))))*GJ55</f>
        <v>0</v>
      </c>
      <c r="GV55" s="535">
        <f t="shared" si="53"/>
        <v>0</v>
      </c>
      <c r="GW55" s="535">
        <f t="shared" si="241"/>
        <v>0</v>
      </c>
      <c r="GX55" s="535">
        <f t="shared" si="91"/>
        <v>0</v>
      </c>
      <c r="GY55" s="535"/>
      <c r="GZ55" s="535">
        <f t="shared" si="87"/>
        <v>0</v>
      </c>
      <c r="HA55" s="535" t="str">
        <f t="shared" si="88"/>
        <v/>
      </c>
      <c r="HB55" s="535">
        <f>IF(GK55="P",Lookup!$N$12,IF(GK55="PP",Lookup!$N$13,IF(GK55="PPP",Lookup!$N$14,IF(GK55="T",Lookup!$N$15,IF(GK55="TP",Lookup!$N$16,IF(GK55="TPP",Lookup!$N$17,IF(GK55="TPPP",Lookup!$N$18,0)))))))*GJ55</f>
        <v>0</v>
      </c>
      <c r="HC55" s="521">
        <f t="shared" si="242"/>
        <v>0</v>
      </c>
      <c r="HD55" s="535">
        <f t="shared" si="243"/>
        <v>0</v>
      </c>
      <c r="HE55" s="535">
        <f t="shared" si="92"/>
        <v>0</v>
      </c>
      <c r="HF55" s="535"/>
      <c r="HG55" s="535">
        <f t="shared" si="89"/>
        <v>0</v>
      </c>
      <c r="HH55" s="535" t="str">
        <f t="shared" si="90"/>
        <v/>
      </c>
      <c r="HI55" s="535">
        <f>IF(GK55="P",Lookup!$N$12,IF(GK55="PP",Lookup!$N$13,IF(GK55="PPP",Lookup!$N$14,IF(GK55="T",Lookup!$N$15,IF(GK55="TP",Lookup!$N$16,IF(GK55="TPP",Lookup!$N$17,IF(GK55="TPPP",Lookup!$N$18,0)))))))*GJ55</f>
        <v>0</v>
      </c>
      <c r="HJ55" s="521">
        <f t="shared" si="244"/>
        <v>0</v>
      </c>
      <c r="HK55" s="535">
        <f t="shared" si="245"/>
        <v>0</v>
      </c>
      <c r="HL55" s="535">
        <f t="shared" si="93"/>
        <v>0</v>
      </c>
      <c r="HM55" s="535"/>
      <c r="HN55" s="541"/>
      <c r="HO55" s="541"/>
      <c r="HP55" s="541"/>
      <c r="HQ55" s="541">
        <f>IF(AND(B55&gt;=$FV$4,B55&lt;=$FW$4),MAX(110/1.02+$HQ$6+MIN(113/1.02,G55),IF($HV$6-(Sheet1!DA53-Sheet1!DB53)+MIN(113/1.02,G55)&lt;G55+FL55,$HV$6-(Sheet1!DA53-Sheet1!DB53)+MIN(113/1.02,G55),G55+FL55)),MIN(110/1.02+$HQ$6+113/1.02,G55))</f>
        <v>218.62745098039215</v>
      </c>
      <c r="HR55" s="541">
        <f t="shared" si="112"/>
        <v>223</v>
      </c>
      <c r="HS55" s="541">
        <f>HR55+(Sheet1!DA53-Sheet1!DB53)</f>
        <v>1133</v>
      </c>
      <c r="HT55" s="541">
        <f t="shared" si="113"/>
        <v>0</v>
      </c>
      <c r="HU55" s="541">
        <f t="shared" si="114"/>
        <v>1133</v>
      </c>
      <c r="HV55" s="541">
        <f t="shared" si="115"/>
        <v>0</v>
      </c>
      <c r="HW55" s="533" t="str">
        <f t="shared" si="116"/>
        <v/>
      </c>
      <c r="HX55" s="541">
        <f t="shared" si="117"/>
        <v>981.37254901960785</v>
      </c>
      <c r="HY55" s="541">
        <f>Sheet1!CZ53</f>
        <v>1200</v>
      </c>
      <c r="HZ55" s="541">
        <f t="shared" si="118"/>
        <v>0</v>
      </c>
      <c r="IA55" s="541">
        <f t="shared" si="119"/>
        <v>0</v>
      </c>
      <c r="IB55" s="541">
        <f t="shared" si="120"/>
        <v>1200</v>
      </c>
      <c r="IC55" s="1019" t="str">
        <f t="shared" si="121"/>
        <v/>
      </c>
      <c r="ID55" s="541">
        <f t="shared" si="122"/>
        <v>1200</v>
      </c>
      <c r="IE55" s="541">
        <f>Sheet1!DB53</f>
        <v>1120</v>
      </c>
      <c r="IF55" s="533">
        <f>Sheet1!DA53</f>
        <v>2030</v>
      </c>
      <c r="IH55" s="541">
        <f>IF(AND($B55&gt;=$GC55,$B55&lt;=$GH55,$DR55&lt;0)+N("only adjusted when pool is drawn down during storage season"),Sheet1!$DB53+$DR55+N("Palmer minus all storage release"),Sheet1!$DB53)</f>
        <v>1120</v>
      </c>
      <c r="II55" s="541">
        <f>IF(AND($B55&gt;=$GC55,$B55&lt;=$GH55,$DR55&lt;0)+N("only adjusted when pool is drawn down during storage season"),Sheet1!$DA53+$DR55+N("Auburn minus all storage release"),Sheet1!$DA53)</f>
        <v>2030</v>
      </c>
    </row>
    <row r="56" spans="1:243" x14ac:dyDescent="0.25">
      <c r="A56" s="553" t="s">
        <v>5</v>
      </c>
      <c r="B56" s="531">
        <v>42780</v>
      </c>
      <c r="C56" s="536">
        <v>0</v>
      </c>
      <c r="D56" s="506">
        <f t="shared" si="0"/>
        <v>300</v>
      </c>
      <c r="E56" s="506">
        <f t="shared" si="1"/>
        <v>250</v>
      </c>
      <c r="F56" s="506">
        <v>250</v>
      </c>
      <c r="G56" s="535">
        <f>DR56+Sheet1!CZ54</f>
        <v>912.52143217316029</v>
      </c>
      <c r="H56" s="1074">
        <f t="shared" si="246"/>
        <v>514.80292748800002</v>
      </c>
      <c r="I56" s="534">
        <f>IF(Sheet1!DA54&gt;=E56,(Sheet1!DA54-E56+P56)*CFStoMGD,0)</f>
        <v>1109.4909274879999</v>
      </c>
      <c r="J56" s="995">
        <f>IF(Sheet1!DB54&gt;=D56,(Sheet1!DB54-D56+P56)*CFStoMGD,0)</f>
        <v>514.80292748800002</v>
      </c>
      <c r="K56" s="818">
        <f t="shared" si="97"/>
        <v>64.64</v>
      </c>
      <c r="L56" s="535">
        <f>Sheet1!AA54+Sheet1!AB54-Sheet1!L54+(Sheet1!DA54-F56)*CFStoMGD-S56-T56-U56</f>
        <v>1053.6320000000001</v>
      </c>
      <c r="M56" s="535">
        <f t="shared" si="185"/>
        <v>601.65093083186548</v>
      </c>
      <c r="N56" s="824">
        <f>IF(Sheet1!DA54&gt;=F56,MIN(113*CFStoMGD,MIN(MAX(L56,0),MAX(M56,0))),0)</f>
        <v>73.043199999999999</v>
      </c>
      <c r="O56" s="538">
        <f>Sheet1!AA54+Sheet1!AB54</f>
        <v>55.86</v>
      </c>
      <c r="P56" s="538">
        <f t="shared" si="186"/>
        <v>86.415419999999997</v>
      </c>
      <c r="Q56" s="812">
        <f t="shared" si="98"/>
        <v>0</v>
      </c>
      <c r="R56" s="812">
        <f t="shared" si="59"/>
        <v>10.539467554076539</v>
      </c>
      <c r="S56" s="812">
        <f t="shared" si="60"/>
        <v>55.86</v>
      </c>
      <c r="T56" s="812">
        <f t="shared" si="61"/>
        <v>0</v>
      </c>
      <c r="U56" s="812">
        <f t="shared" si="99"/>
        <v>0</v>
      </c>
      <c r="V56" s="812"/>
      <c r="W56" s="812">
        <f t="shared" si="62"/>
        <v>54.100532445923463</v>
      </c>
      <c r="X56" s="812">
        <f t="shared" si="63"/>
        <v>55.86</v>
      </c>
      <c r="Y56" s="812" t="str">
        <f t="shared" si="64"/>
        <v/>
      </c>
      <c r="Z56" s="812">
        <f t="shared" si="65"/>
        <v>55.86</v>
      </c>
      <c r="AA56" s="812">
        <f t="shared" si="66"/>
        <v>55.86</v>
      </c>
      <c r="AB56" s="1059">
        <f t="shared" si="100"/>
        <v>0</v>
      </c>
      <c r="AC56" s="538">
        <f>Sheet1!Y54*MGDtoCFS</f>
        <v>39.912599999999998</v>
      </c>
      <c r="AD56" s="538">
        <f>Sheet1!Z54*MGDtoCFS</f>
        <v>46.41</v>
      </c>
      <c r="AE56" s="538">
        <f>Sheet1!AA54*MGDtoCFS</f>
        <v>39.97448</v>
      </c>
      <c r="AF56" s="538">
        <f>Sheet1!AB54*MGDtoCFS</f>
        <v>46.440939999999998</v>
      </c>
      <c r="AG56" s="538">
        <f>Sheet1!L54*MGDtoCFS</f>
        <v>0</v>
      </c>
      <c r="AH56" s="521">
        <f t="shared" si="187"/>
        <v>0</v>
      </c>
      <c r="AI56" s="1059">
        <f t="shared" si="188"/>
        <v>0</v>
      </c>
      <c r="AJ56" s="535">
        <f t="shared" si="189"/>
        <v>0</v>
      </c>
      <c r="AK56" s="535">
        <f t="shared" si="190"/>
        <v>0</v>
      </c>
      <c r="AL56" s="535">
        <f>(VLOOKUP(Sheet1!DC54,hhdcap_wcm,4)-(((VLOOKUP(Sheet1!DC54,hhdcap_wcm,3)-Sheet1!DC54)/(VLOOKUP(Sheet1!DC54,hhdcap_wcm,3)-VLOOKUP(Sheet1!DC54,hhdcap_wcm,1)))*(VLOOKUP(Sheet1!DC54,hhdcap_wcm,4)-VLOOKUP(Sheet1!DC54,hhdcap_wcm,2))))</f>
        <v>1018.8000000031332</v>
      </c>
      <c r="AM56" s="535">
        <f t="shared" si="191"/>
        <v>-391.60000000062314</v>
      </c>
      <c r="AN56" s="1035">
        <f t="shared" si="192"/>
        <v>0</v>
      </c>
      <c r="AO56" s="535">
        <f t="shared" si="193"/>
        <v>0</v>
      </c>
      <c r="AP56" s="535">
        <f>Sheet1!BA54+Sheet1!BB54+Sheet1!BN54+CD56</f>
        <v>19.5</v>
      </c>
      <c r="AQ56" s="535">
        <f>Sheet1!BN54+(DO56*Sheet1!BN54)</f>
        <v>19.480532445923462</v>
      </c>
      <c r="AR56" s="535">
        <f>Sheet1!BA54+CD56</f>
        <v>0</v>
      </c>
      <c r="AS56" s="535">
        <f>Sheet1!BA54+Sheet1!BB54+CD56</f>
        <v>0</v>
      </c>
      <c r="AT56" s="649">
        <f>0</f>
        <v>0</v>
      </c>
      <c r="AU56" s="535">
        <f>IF(EB56&lt;K56,0,MAX(Sheet1!AA54+AQ56-15/36*K56-N56,Sheet1!EH54,0))</f>
        <v>0</v>
      </c>
      <c r="AV56" s="535">
        <f>IF(OR(B56&gt;=GD56,B56&lt;GC56),0,15/36*K56-MAX(0,64.6-(137.6-(Sheet1!AA54+Sheet1!AB54))))</f>
        <v>0</v>
      </c>
      <c r="AW56" s="1029"/>
      <c r="AX56" s="649"/>
      <c r="AY56" s="649">
        <f t="shared" si="101"/>
        <v>0</v>
      </c>
      <c r="AZ56" s="649">
        <f t="shared" si="102"/>
        <v>0</v>
      </c>
      <c r="BA56" s="1059">
        <f t="shared" si="103"/>
        <v>0</v>
      </c>
      <c r="BB56" s="1019">
        <f t="shared" si="194"/>
        <v>0</v>
      </c>
      <c r="BC56" s="1041">
        <f t="shared" si="104"/>
        <v>26.933333333333334</v>
      </c>
      <c r="BD56" s="1019">
        <f ca="1">IF(B56&gt;Summary!$A$1,#N/A,BB56*MGtoAF)</f>
        <v>0</v>
      </c>
      <c r="BE56" s="535">
        <f>Sheet1!BG54+Sheet1!BH54+Sheet1!BI54-BM56</f>
        <v>1.01</v>
      </c>
      <c r="BF56" s="535">
        <f t="shared" si="195"/>
        <v>1.0089916805324459</v>
      </c>
      <c r="BG56" s="535">
        <f>IF(Sheet1!EP54="FM",BM56,0)</f>
        <v>0</v>
      </c>
      <c r="BH56" s="535">
        <f t="shared" si="196"/>
        <v>0</v>
      </c>
      <c r="BI56" s="535">
        <f>IF(Sheet1!EP54="OTHER",BM56,0)</f>
        <v>0</v>
      </c>
      <c r="BJ56" s="535">
        <f t="shared" si="197"/>
        <v>0</v>
      </c>
      <c r="BK56" s="535">
        <f t="shared" si="198"/>
        <v>1.01</v>
      </c>
      <c r="BL56" s="535">
        <f t="shared" si="199"/>
        <v>1.0089916805324459</v>
      </c>
      <c r="BM56" s="535">
        <f>IF(OR(Sheet1!EP54="FM", Sheet1!EP54="OTHER"),SUM(Sheet1!BG54:'Sheet1'!BI54),0)</f>
        <v>0</v>
      </c>
      <c r="BN56" s="521">
        <f>IF(AND($B56&gt;=$FV56,$B56&lt;=$FW56),MAX(BF56,Sheet1!EI54,0),MAX(BF56-(7/36)*$K56,0))</f>
        <v>0</v>
      </c>
      <c r="BO56" s="535">
        <f t="shared" si="200"/>
        <v>0</v>
      </c>
      <c r="BP56" s="521">
        <f t="shared" si="201"/>
        <v>1.0089916805324459</v>
      </c>
      <c r="BQ56" s="521">
        <f>IF(AND($O56&gt;0,Sheet1!EM54=1),(1-($O56-Sheet1!$L54)/$O56)*BL56,0)</f>
        <v>0</v>
      </c>
      <c r="BR56" s="521">
        <f>IF(AND(Sheet1!$L54=0,Sheet1!$L53=0, Calculation!BK56&lt;Sheet1!$EI54-0.1,Sheet1!$EI54=Sheet1!$EI53,Sheet1!$EI54=Sheet1!$EI55),BL56-BQ56,BL56-BQ56)</f>
        <v>1.0089916805324459</v>
      </c>
      <c r="BS56" s="1035" t="str">
        <f t="shared" si="105"/>
        <v/>
      </c>
      <c r="BT56" s="1035">
        <f t="shared" si="106"/>
        <v>12.568888888888889</v>
      </c>
      <c r="BU56" s="535">
        <f t="shared" si="202"/>
        <v>0</v>
      </c>
      <c r="BV56" s="535"/>
      <c r="BW56" s="535">
        <f ca="1">IF(B56&gt;Summary!$A$1,#N/A,BU56*MGtoAF)</f>
        <v>0</v>
      </c>
      <c r="BX56" s="535">
        <f>Sheet1!BC54+Sheet1!BD54+Sheet1!BE54+Sheet1!BF54-CG56-CH56</f>
        <v>2.99</v>
      </c>
      <c r="BY56" s="535">
        <f t="shared" si="203"/>
        <v>2.9870149750415975</v>
      </c>
      <c r="BZ56" s="535">
        <f>IF(Sheet1!EQ54="FM",CH56,0)</f>
        <v>0</v>
      </c>
      <c r="CA56" s="535">
        <f t="shared" si="204"/>
        <v>0</v>
      </c>
      <c r="CB56" s="535">
        <f>IF(Sheet1!EQ54="OTHER",CH56,0)</f>
        <v>0</v>
      </c>
      <c r="CC56" s="535">
        <f t="shared" si="205"/>
        <v>0</v>
      </c>
      <c r="CD56" s="535">
        <f t="shared" si="206"/>
        <v>0</v>
      </c>
      <c r="CE56" s="535">
        <f t="shared" si="207"/>
        <v>2.99</v>
      </c>
      <c r="CF56" s="535">
        <f t="shared" si="208"/>
        <v>2.9870149750415975</v>
      </c>
      <c r="CG56" s="535">
        <f>IF(Sheet1!EQ54="CWA",SUM(Sheet1!BC54:'Sheet1'!BF54),0)</f>
        <v>0</v>
      </c>
      <c r="CH56" s="535">
        <f>IF(OR(Sheet1!EQ54="FM", Sheet1!EQ54="OTHER"),SUM(Sheet1!BC54:'Sheet1'!BF54),0)</f>
        <v>0</v>
      </c>
      <c r="CI56" s="521">
        <f>IF(AND($B56&gt;=$FV56,$B56&lt;=$FW56),MAX(CF56,Sheet1!EJ54,0),MAX(CF56-(7/36)*$K56,0))</f>
        <v>0</v>
      </c>
      <c r="CJ56" s="535">
        <f t="shared" si="209"/>
        <v>0</v>
      </c>
      <c r="CK56" s="521">
        <f t="shared" si="210"/>
        <v>2.9870149750415975</v>
      </c>
      <c r="CL56" s="521">
        <f>IF(AND($O56&gt;0,Sheet1!EN54=1),(1-($O56-Sheet1!$L54)/$O56)*CF56,0)</f>
        <v>0</v>
      </c>
      <c r="CM56" s="521">
        <f>IF(AND(Sheet1!$L54=0,Sheet1!$L53=0, Calculation!CE56&lt;Sheet1!EJ54-0.1,Sheet1!EJ54=Sheet1!EJ53,Sheet1!EJ54=Sheet1!EJ55),CF56-CL56,CF56-CL56)</f>
        <v>2.9870149750415975</v>
      </c>
      <c r="CN56" s="1040" t="str">
        <f t="shared" si="107"/>
        <v/>
      </c>
      <c r="CO56" s="1035">
        <f t="shared" si="108"/>
        <v>12.568888888888889</v>
      </c>
      <c r="CP56" s="535">
        <f t="shared" si="211"/>
        <v>0</v>
      </c>
      <c r="CQ56" s="535"/>
      <c r="CR56" s="535">
        <f ca="1">IF(B56&gt;Summary!$A$1,#N/A,CP56*MGtoAF)</f>
        <v>0</v>
      </c>
      <c r="CS56" s="535">
        <f>Sheet1!BK54+Sheet1!BL54+Sheet1!BM54-Sheet1!ER54-DA56</f>
        <v>6.5500000000000007</v>
      </c>
      <c r="CT56" s="535">
        <f t="shared" si="212"/>
        <v>6.543460898502496</v>
      </c>
      <c r="CU56" s="535">
        <f>IF(Sheet1!ER54="FM",DA56,0)</f>
        <v>0</v>
      </c>
      <c r="CV56" s="535">
        <f t="shared" si="213"/>
        <v>0</v>
      </c>
      <c r="CW56" s="535">
        <f>IF(Sheet1!ER54="OTHER",DA56,0)</f>
        <v>0</v>
      </c>
      <c r="CX56" s="535">
        <f t="shared" si="214"/>
        <v>0</v>
      </c>
      <c r="CY56" s="535">
        <f t="shared" si="215"/>
        <v>6.5500000000000007</v>
      </c>
      <c r="CZ56" s="535">
        <f t="shared" si="216"/>
        <v>6.543460898502496</v>
      </c>
      <c r="DA56" s="535">
        <f>IF(OR(Sheet1!ER54="FM", Sheet1!ER54="OTHER"),SUM(Sheet1!BK54:'Sheet1'!BM54),0)</f>
        <v>0</v>
      </c>
      <c r="DB56" s="1011">
        <f>IF(AND($B56&gt;=$FV56,$B56&lt;=$FW56),MAX($CT56,Sheet1!EK54,0),MAX($CT56-(7/36)*$K56,0))</f>
        <v>0</v>
      </c>
      <c r="DC56" s="1012">
        <f t="shared" si="217"/>
        <v>0</v>
      </c>
      <c r="DD56" s="1011">
        <f t="shared" si="218"/>
        <v>6.543460898502496</v>
      </c>
      <c r="DE56" s="521">
        <f>IF(AND($O56&gt;0,Sheet1!EO54=1),(1-($O56-Sheet1!$L54)/$O56)*CZ56,0)</f>
        <v>0</v>
      </c>
      <c r="DF56" s="521">
        <f>IF(AND(Sheet1!$L54=0,Sheet1!$L53=0, Calculation!CY56&lt;Sheet1!$EK54-0.1,Sheet1!$EK54=Sheet1!$EK53,Sheet1!$EK54=Sheet1!$EK55),CZ56-DE56,CZ56-DE56)</f>
        <v>6.543460898502496</v>
      </c>
      <c r="DG56" s="1040">
        <f t="shared" si="109"/>
        <v>12.568888888888889</v>
      </c>
      <c r="DH56" s="649">
        <f t="shared" si="219"/>
        <v>10.55</v>
      </c>
      <c r="DI56" s="535">
        <f t="shared" si="220"/>
        <v>0</v>
      </c>
      <c r="DJ56" s="649">
        <f t="shared" si="221"/>
        <v>10.539467554076539</v>
      </c>
      <c r="DK56" s="535">
        <f ca="1">IF(B56&gt;Summary!$A$1,#N/A,DI56*MGtoAF)</f>
        <v>0</v>
      </c>
      <c r="DL56" s="649">
        <f t="shared" si="222"/>
        <v>10.55</v>
      </c>
      <c r="DM56" s="535">
        <f t="shared" si="223"/>
        <v>30.05</v>
      </c>
      <c r="DN56" s="535">
        <f>Sheet1!AB54-DM56</f>
        <v>-3.0000000000001137E-2</v>
      </c>
      <c r="DO56" s="743">
        <f t="shared" si="224"/>
        <v>-9.9833610648922245E-4</v>
      </c>
      <c r="DP56" s="535">
        <f>(VLOOKUP(Sheet1!DC54,hhdcap_wcm,4)-(((VLOOKUP(Sheet1!DC54,hhdcap_wcm,3)-Sheet1!DC54)/(VLOOKUP(Sheet1!DC54,hhdcap_wcm,3)-VLOOKUP(Sheet1!DC54,hhdcap_wcm,1)))*(VLOOKUP(Sheet1!DC54,hhdcap_wcm,4)-VLOOKUP(Sheet1!DC54,hhdcap_wcm,2))))</f>
        <v>1018.8000000031332</v>
      </c>
      <c r="DQ56" s="535">
        <f t="shared" si="225"/>
        <v>-391.60000000062314</v>
      </c>
      <c r="DR56" s="535">
        <f t="shared" si="226"/>
        <v>-197.47856782683968</v>
      </c>
      <c r="DS56" s="535">
        <f>Sheet1!EA54*AFtoMG</f>
        <v>0</v>
      </c>
      <c r="DT56" s="535">
        <f>Sheet1!EB54*AFtoMG</f>
        <v>0</v>
      </c>
      <c r="DU56" s="535">
        <f>Sheet1!EC54*AFtoMG</f>
        <v>0</v>
      </c>
      <c r="DV56" s="535">
        <f>Sheet1!ED54*AFtoMG</f>
        <v>0</v>
      </c>
      <c r="DW56" s="535">
        <f t="shared" si="227"/>
        <v>0</v>
      </c>
      <c r="DX56" s="535">
        <f t="shared" si="228"/>
        <v>0</v>
      </c>
      <c r="DY56" s="535">
        <f t="shared" si="229"/>
        <v>0</v>
      </c>
      <c r="DZ56" s="535">
        <f t="shared" si="230"/>
        <v>0</v>
      </c>
      <c r="EA56" s="535"/>
      <c r="EB56" s="521">
        <f>IF(OR(B56&lt;FV56,B56&gt;FW56),(MIN(BF56+BY56+CT56+MAX(Sheet1!AA54+AQ56-73,0),K56)),0)</f>
        <v>10.539467554076539</v>
      </c>
      <c r="EC56" s="535"/>
      <c r="ED56" s="535">
        <f t="shared" si="231"/>
        <v>10.539467554076539</v>
      </c>
      <c r="EE56" s="535"/>
      <c r="EF56" s="535">
        <f>Sheet1!EH54+Sheet1!EI54+Sheet1!EJ54+Sheet1!EK54</f>
        <v>10.5</v>
      </c>
      <c r="EG56" s="1019">
        <f t="shared" si="110"/>
        <v>16.243500000000001</v>
      </c>
      <c r="EH56" s="521">
        <f t="shared" si="232"/>
        <v>0</v>
      </c>
      <c r="EI56" s="535">
        <f>IF(Sheet1!ET54=1,SUM('Calculations II'!AT56:BA56)+'Calculations II'!BC56+Sheet1!BV54+'Calculations II'!BE56+AP56,'Calculations II'!BK56)</f>
        <v>44.049744445923466</v>
      </c>
      <c r="EJ56" s="535">
        <f ca="1">EI56+'Calculations II'!D56+'Calculations II'!E56+'Calculations II'!O56</f>
        <v>45.695337416008051</v>
      </c>
      <c r="EK56" s="535"/>
      <c r="EL56" s="535"/>
      <c r="EM56" s="535">
        <f t="shared" si="233"/>
        <v>42780</v>
      </c>
      <c r="EN56" s="535">
        <f t="shared" si="234"/>
        <v>0</v>
      </c>
      <c r="EO56" s="535">
        <f t="shared" si="235"/>
        <v>0</v>
      </c>
      <c r="EP56" s="535">
        <v>0</v>
      </c>
      <c r="EQ56" s="535">
        <v>0</v>
      </c>
      <c r="ER56" s="535">
        <v>0</v>
      </c>
      <c r="ES56" s="521">
        <f t="shared" si="71"/>
        <v>-0.83054342376282064</v>
      </c>
      <c r="ET56" s="535">
        <f>-(VLOOKUP(Sheet1!BQ54,Lookup!$O$4:$Q$262,2)-VLOOKUP(Sheet1!BQ53,Lookup!$O$4:$Q$262,2))/1000000</f>
        <v>-0.41520443985622751</v>
      </c>
      <c r="EU56" s="535">
        <f>-(VLOOKUP(Sheet1!BR54,Lookup!$O$4:$Q$262,3)-VLOOKUP(Sheet1!BR53,Lookup!$O$4:$Q$262,3))/1000000</f>
        <v>-0.41533898390659318</v>
      </c>
      <c r="EV56" s="535"/>
      <c r="EW56" s="535"/>
      <c r="EX56" s="535"/>
      <c r="EY56" s="535"/>
      <c r="EZ56" s="535"/>
      <c r="FA56" s="535"/>
      <c r="FB56" s="535"/>
      <c r="FC56" s="535"/>
      <c r="FD56" s="567" t="e">
        <f t="shared" si="236"/>
        <v>#N/A</v>
      </c>
      <c r="FE56" s="567" t="e">
        <f t="shared" si="237"/>
        <v>#N/A</v>
      </c>
      <c r="FF56" s="568" t="e">
        <f t="shared" si="238"/>
        <v>#N/A</v>
      </c>
      <c r="FG56" s="569" t="s">
        <v>656</v>
      </c>
      <c r="FH56" s="569" t="s">
        <v>656</v>
      </c>
      <c r="FI56" s="567" t="e">
        <v>#N/A</v>
      </c>
      <c r="FJ56" s="567" t="e">
        <v>#N/A</v>
      </c>
      <c r="FK56" s="535"/>
      <c r="FL56" s="1015">
        <v>0</v>
      </c>
      <c r="FM56" s="535"/>
      <c r="FN56" s="535"/>
      <c r="FO56" s="535">
        <f>O56+((Sheet1!CS54)*GPMtoMGD)</f>
        <v>55.86</v>
      </c>
      <c r="FP56" s="535">
        <f>IF(Sheet1!AA54+AQ56&lt;=Calculation!N56,AQ56,Calculation!N56-Sheet1!AA54)</f>
        <v>19.480532445923462</v>
      </c>
      <c r="FQ56" s="535">
        <f>(Sheet1!BP54+Sheet1!BO54)/694.4</f>
        <v>1.2795218894009217</v>
      </c>
      <c r="FR56" s="541"/>
      <c r="FS56" s="541"/>
      <c r="FT56" s="541"/>
      <c r="FU56" s="541"/>
      <c r="FV56" s="1109">
        <f t="shared" si="74"/>
        <v>42918</v>
      </c>
      <c r="FW56" s="1109">
        <f t="shared" si="75"/>
        <v>43027</v>
      </c>
      <c r="FX56" s="541"/>
      <c r="FY56" s="541">
        <f>Sheet1!DA54-Sheet1!CZ54-Sheet1!AE54</f>
        <v>683.58457999999996</v>
      </c>
      <c r="FZ56" s="535">
        <f t="shared" si="111"/>
        <v>0.74911619157486564</v>
      </c>
      <c r="GA56" s="535"/>
      <c r="GB56" s="535" t="str">
        <f t="shared" si="76"/>
        <v>n</v>
      </c>
      <c r="GC56" s="539">
        <f t="shared" si="77"/>
        <v>42782</v>
      </c>
      <c r="GD56" s="1109">
        <f t="shared" si="78"/>
        <v>42904</v>
      </c>
      <c r="GE56" s="535">
        <f t="shared" si="95"/>
        <v>6520</v>
      </c>
      <c r="GF56" s="1109">
        <f t="shared" si="79"/>
        <v>42909</v>
      </c>
      <c r="GG56" s="535">
        <f t="shared" si="174"/>
        <v>3260</v>
      </c>
      <c r="GH56" s="539">
        <f t="shared" si="80"/>
        <v>43040</v>
      </c>
      <c r="GJ56" s="521">
        <f t="shared" si="81"/>
        <v>0</v>
      </c>
      <c r="GK56" s="535" t="str">
        <f t="shared" si="239"/>
        <v/>
      </c>
      <c r="GL56" s="535">
        <f t="shared" si="82"/>
        <v>0</v>
      </c>
      <c r="GM56" s="535" t="str">
        <f t="shared" si="83"/>
        <v/>
      </c>
      <c r="GN56" s="535">
        <f>IF(GK56="P",Lookup!$M$12,IF(GK56="PP",Lookup!$M$13,IF(GK56="PPP",Lookup!$M$14,IF(GK56="T",Lookup!$M$15,IF(GK56="TP",Lookup!$M$16,IF(GK56="TPP",Lookup!$M$17,IF(GK56="TPPP",Lookup!$M$18,0)))))))*GJ56</f>
        <v>0</v>
      </c>
      <c r="GO56" s="535">
        <f t="shared" si="84"/>
        <v>0</v>
      </c>
      <c r="GP56" s="535">
        <f t="shared" si="240"/>
        <v>0</v>
      </c>
      <c r="GQ56" s="535">
        <f t="shared" si="94"/>
        <v>0</v>
      </c>
      <c r="GR56" s="535"/>
      <c r="GS56" s="535">
        <f t="shared" si="85"/>
        <v>0</v>
      </c>
      <c r="GT56" s="535" t="str">
        <f t="shared" si="86"/>
        <v/>
      </c>
      <c r="GU56" s="535">
        <f>IF(GK56="P",Lookup!$N$12,IF(GK56="PP",Lookup!$N$13,IF(GK56="PPP",Lookup!$N$14,IF(GK56="T",Lookup!$N$15,IF(GK56="TP",Lookup!$N$16,IF(GK56="TPP",Lookup!$N$17,IF(GK56="TPPP",Lookup!$N$18,0)))))))*GJ56</f>
        <v>0</v>
      </c>
      <c r="GV56" s="535">
        <f t="shared" si="53"/>
        <v>0</v>
      </c>
      <c r="GW56" s="535">
        <f t="shared" si="241"/>
        <v>0</v>
      </c>
      <c r="GX56" s="535">
        <f t="shared" si="91"/>
        <v>0</v>
      </c>
      <c r="GY56" s="535"/>
      <c r="GZ56" s="535">
        <f t="shared" si="87"/>
        <v>0</v>
      </c>
      <c r="HA56" s="535" t="str">
        <f t="shared" si="88"/>
        <v/>
      </c>
      <c r="HB56" s="535">
        <f>IF(GK56="P",Lookup!$N$12,IF(GK56="PP",Lookup!$N$13,IF(GK56="PPP",Lookup!$N$14,IF(GK56="T",Lookup!$N$15,IF(GK56="TP",Lookup!$N$16,IF(GK56="TPP",Lookup!$N$17,IF(GK56="TPPP",Lookup!$N$18,0)))))))*GJ56</f>
        <v>0</v>
      </c>
      <c r="HC56" s="521">
        <f t="shared" si="242"/>
        <v>0</v>
      </c>
      <c r="HD56" s="535">
        <f t="shared" si="243"/>
        <v>0</v>
      </c>
      <c r="HE56" s="535">
        <f t="shared" si="92"/>
        <v>0</v>
      </c>
      <c r="HF56" s="535"/>
      <c r="HG56" s="535">
        <f t="shared" si="89"/>
        <v>0</v>
      </c>
      <c r="HH56" s="535" t="str">
        <f t="shared" si="90"/>
        <v/>
      </c>
      <c r="HI56" s="535">
        <f>IF(GK56="P",Lookup!$N$12,IF(GK56="PP",Lookup!$N$13,IF(GK56="PPP",Lookup!$N$14,IF(GK56="T",Lookup!$N$15,IF(GK56="TP",Lookup!$N$16,IF(GK56="TPP",Lookup!$N$17,IF(GK56="TPPP",Lookup!$N$18,0)))))))*GJ56</f>
        <v>0</v>
      </c>
      <c r="HJ56" s="521">
        <f t="shared" si="244"/>
        <v>0</v>
      </c>
      <c r="HK56" s="535">
        <f t="shared" si="245"/>
        <v>0</v>
      </c>
      <c r="HL56" s="535">
        <f t="shared" si="93"/>
        <v>0</v>
      </c>
      <c r="HM56" s="535"/>
      <c r="HN56" s="541"/>
      <c r="HO56" s="541"/>
      <c r="HP56" s="541"/>
      <c r="HQ56" s="541">
        <f>IF(AND(B56&gt;=$FV$4,B56&lt;=$FW$4),MAX(110/1.02+$HQ$6+MIN(113/1.02,G56),IF($HV$6-(Sheet1!DA54-Sheet1!DB54)+MIN(113/1.02,G56)&lt;G56+FL56,$HV$6-(Sheet1!DA54-Sheet1!DB54)+MIN(113/1.02,G56),G56+FL56)),MIN(110/1.02+$HQ$6+113/1.02,G56))</f>
        <v>218.62745098039215</v>
      </c>
      <c r="HR56" s="541">
        <f t="shared" si="112"/>
        <v>223</v>
      </c>
      <c r="HS56" s="541">
        <f>HR56+(Sheet1!DA54-Sheet1!DB54)</f>
        <v>1093</v>
      </c>
      <c r="HT56" s="541">
        <f t="shared" si="113"/>
        <v>0</v>
      </c>
      <c r="HU56" s="541">
        <f t="shared" si="114"/>
        <v>1093</v>
      </c>
      <c r="HV56" s="541">
        <f t="shared" si="115"/>
        <v>0</v>
      </c>
      <c r="HW56" s="533" t="str">
        <f t="shared" si="116"/>
        <v/>
      </c>
      <c r="HX56" s="541">
        <f t="shared" si="117"/>
        <v>891.37254901960785</v>
      </c>
      <c r="HY56" s="541">
        <f>Sheet1!CZ54</f>
        <v>1110</v>
      </c>
      <c r="HZ56" s="541">
        <f t="shared" si="118"/>
        <v>0</v>
      </c>
      <c r="IA56" s="541">
        <f t="shared" si="119"/>
        <v>0</v>
      </c>
      <c r="IB56" s="541">
        <f t="shared" si="120"/>
        <v>1110</v>
      </c>
      <c r="IC56" s="1019" t="str">
        <f t="shared" si="121"/>
        <v/>
      </c>
      <c r="ID56" s="541">
        <f t="shared" si="122"/>
        <v>1110</v>
      </c>
      <c r="IE56" s="541">
        <f>Sheet1!DB54</f>
        <v>1010</v>
      </c>
      <c r="IF56" s="533">
        <f>Sheet1!DA54</f>
        <v>1880</v>
      </c>
      <c r="IH56" s="541">
        <f>IF(AND($B56&gt;=$GC56,$B56&lt;=$GH56,$DR56&lt;0)+N("only adjusted when pool is drawn down during storage season"),Sheet1!$DB54+$DR56+N("Palmer minus all storage release"),Sheet1!$DB54)</f>
        <v>1010</v>
      </c>
      <c r="II56" s="541">
        <f>IF(AND($B56&gt;=$GC56,$B56&lt;=$GH56,$DR56&lt;0)+N("only adjusted when pool is drawn down during storage season"),Sheet1!$DA54+$DR56+N("Auburn minus all storage release"),Sheet1!$DA54)</f>
        <v>1880</v>
      </c>
    </row>
    <row r="57" spans="1:243" x14ac:dyDescent="0.25">
      <c r="A57" s="553" t="s">
        <v>6</v>
      </c>
      <c r="B57" s="531">
        <v>42781</v>
      </c>
      <c r="C57" s="536">
        <v>0</v>
      </c>
      <c r="D57" s="506">
        <f t="shared" si="0"/>
        <v>300</v>
      </c>
      <c r="E57" s="506">
        <f t="shared" si="1"/>
        <v>250</v>
      </c>
      <c r="F57" s="506">
        <v>250</v>
      </c>
      <c r="G57" s="535">
        <f>DR57+Sheet1!CZ55</f>
        <v>1663.3434190625626</v>
      </c>
      <c r="H57" s="1074">
        <f t="shared" si="246"/>
        <v>779.81692767999994</v>
      </c>
      <c r="I57" s="534">
        <f>IF(Sheet1!DA55&gt;=E57,(Sheet1!DA55-E57+P57)*CFStoMGD,0)</f>
        <v>1555.49692768</v>
      </c>
      <c r="J57" s="995">
        <f>IF(Sheet1!DB55&gt;=D57,(Sheet1!DB55-D57+P57)*CFStoMGD,0)</f>
        <v>779.81692767999994</v>
      </c>
      <c r="K57" s="818">
        <f t="shared" si="97"/>
        <v>64.64</v>
      </c>
      <c r="L57" s="535">
        <f>Sheet1!AA55+Sheet1!AB55-Sheet1!L55+(Sheet1!DA55-F57)*CFStoMGD-S57-T57-U57</f>
        <v>1491.9480000000001</v>
      </c>
      <c r="M57" s="535">
        <f t="shared" si="185"/>
        <v>1096.6888898036814</v>
      </c>
      <c r="N57" s="824">
        <f>IF(Sheet1!DA55&gt;=F57,MIN(113*CFStoMGD,MIN(MAX(L57,0),MAX(M57,0))),0)</f>
        <v>73.043199999999999</v>
      </c>
      <c r="O57" s="538">
        <f>Sheet1!AA55+Sheet1!AB55</f>
        <v>55.849999999999994</v>
      </c>
      <c r="P57" s="538">
        <f t="shared" si="186"/>
        <v>86.39994999999999</v>
      </c>
      <c r="Q57" s="812">
        <f t="shared" si="98"/>
        <v>0</v>
      </c>
      <c r="R57" s="812">
        <f t="shared" si="59"/>
        <v>10.461627906976744</v>
      </c>
      <c r="S57" s="812">
        <f t="shared" si="60"/>
        <v>55.849999999999994</v>
      </c>
      <c r="T57" s="812">
        <f t="shared" si="61"/>
        <v>0</v>
      </c>
      <c r="U57" s="812">
        <f t="shared" si="99"/>
        <v>0</v>
      </c>
      <c r="V57" s="812"/>
      <c r="W57" s="812">
        <f t="shared" si="62"/>
        <v>54.178372093023256</v>
      </c>
      <c r="X57" s="812">
        <f t="shared" si="63"/>
        <v>55.849999999999994</v>
      </c>
      <c r="Y57" s="812" t="str">
        <f t="shared" si="64"/>
        <v/>
      </c>
      <c r="Z57" s="812">
        <f t="shared" si="65"/>
        <v>55.849999999999994</v>
      </c>
      <c r="AA57" s="812">
        <f t="shared" si="66"/>
        <v>55.849999999999994</v>
      </c>
      <c r="AB57" s="1059">
        <f t="shared" si="100"/>
        <v>0</v>
      </c>
      <c r="AC57" s="538">
        <f>Sheet1!Y55*MGDtoCFS</f>
        <v>0</v>
      </c>
      <c r="AD57" s="538">
        <f>Sheet1!Z55*MGDtoCFS</f>
        <v>0</v>
      </c>
      <c r="AE57" s="538">
        <f>Sheet1!AA55*MGDtoCFS</f>
        <v>40.005420000000001</v>
      </c>
      <c r="AF57" s="538">
        <f>Sheet1!AB55*MGDtoCFS</f>
        <v>46.394529999999996</v>
      </c>
      <c r="AG57" s="538">
        <f>Sheet1!L55*MGDtoCFS</f>
        <v>11.911899999999999</v>
      </c>
      <c r="AH57" s="521">
        <f t="shared" si="187"/>
        <v>0</v>
      </c>
      <c r="AI57" s="1059">
        <f t="shared" si="188"/>
        <v>0</v>
      </c>
      <c r="AJ57" s="535">
        <f t="shared" si="189"/>
        <v>0</v>
      </c>
      <c r="AK57" s="535">
        <f t="shared" si="190"/>
        <v>0</v>
      </c>
      <c r="AL57" s="535">
        <f>(VLOOKUP(Sheet1!DC55,hhdcap_wcm,4)-(((VLOOKUP(Sheet1!DC55,hhdcap_wcm,3)-Sheet1!DC55)/(VLOOKUP(Sheet1!DC55,hhdcap_wcm,3)-VLOOKUP(Sheet1!DC55,hhdcap_wcm,1)))*(VLOOKUP(Sheet1!DC55,hhdcap_wcm,4)-VLOOKUP(Sheet1!DC55,hhdcap_wcm,2))))</f>
        <v>1600.500000004195</v>
      </c>
      <c r="AM57" s="535">
        <f t="shared" si="191"/>
        <v>581.70000000106188</v>
      </c>
      <c r="AN57" s="1035">
        <f t="shared" si="192"/>
        <v>0</v>
      </c>
      <c r="AO57" s="535">
        <f t="shared" si="193"/>
        <v>0</v>
      </c>
      <c r="AP57" s="535">
        <f>Sheet1!BA55+Sheet1!BB55+Sheet1!BN55+CD57</f>
        <v>19.600000000000001</v>
      </c>
      <c r="AQ57" s="535">
        <f>Sheet1!BN55+(DO57*Sheet1!BN55)</f>
        <v>19.528372093023254</v>
      </c>
      <c r="AR57" s="535">
        <f>Sheet1!BA55+CD57</f>
        <v>0</v>
      </c>
      <c r="AS57" s="535">
        <f>Sheet1!BA55+Sheet1!BB55+CD57</f>
        <v>0</v>
      </c>
      <c r="AT57" s="649">
        <f>0</f>
        <v>0</v>
      </c>
      <c r="AU57" s="535">
        <f>IF(EB57&lt;K57,0,MAX(Sheet1!AA55+AQ57-15/36*K57-N57,Sheet1!EH55,0))</f>
        <v>0</v>
      </c>
      <c r="AV57" s="535">
        <f>IF(OR(B57&gt;=GD57,B57&lt;GC57),0,15/36*K57-MAX(0,64.6-(137.6-(Sheet1!AA55+Sheet1!AB55))))</f>
        <v>0</v>
      </c>
      <c r="AW57" s="1029"/>
      <c r="AX57" s="649"/>
      <c r="AY57" s="649">
        <f t="shared" si="101"/>
        <v>0</v>
      </c>
      <c r="AZ57" s="649">
        <f t="shared" si="102"/>
        <v>0</v>
      </c>
      <c r="BA57" s="1059">
        <f t="shared" si="103"/>
        <v>0</v>
      </c>
      <c r="BB57" s="1019">
        <f>GO57+GQ57</f>
        <v>0</v>
      </c>
      <c r="BC57" s="1041">
        <f t="shared" si="104"/>
        <v>26.933333333333334</v>
      </c>
      <c r="BD57" s="1019">
        <f ca="1">IF(B57&gt;Summary!$A$1,#N/A,BB57*MGtoAF)</f>
        <v>0</v>
      </c>
      <c r="BE57" s="535">
        <f>Sheet1!BG55+Sheet1!BH55+Sheet1!BI55-BM57</f>
        <v>1.02</v>
      </c>
      <c r="BF57" s="535">
        <f t="shared" si="195"/>
        <v>1.0162724252491693</v>
      </c>
      <c r="BG57" s="535">
        <f>IF(Sheet1!EP55="FM",BM57,0)</f>
        <v>0</v>
      </c>
      <c r="BH57" s="535">
        <f t="shared" si="196"/>
        <v>0</v>
      </c>
      <c r="BI57" s="535">
        <f>IF(Sheet1!EP55="OTHER",BM57,0)</f>
        <v>0</v>
      </c>
      <c r="BJ57" s="535">
        <f t="shared" si="197"/>
        <v>0</v>
      </c>
      <c r="BK57" s="535">
        <f t="shared" si="198"/>
        <v>1.02</v>
      </c>
      <c r="BL57" s="535">
        <f t="shared" si="199"/>
        <v>1.0162724252491693</v>
      </c>
      <c r="BM57" s="535">
        <f>IF(OR(Sheet1!EP55="FM", Sheet1!EP55="OTHER"),SUM(Sheet1!BG55:'Sheet1'!BI55),0)</f>
        <v>0</v>
      </c>
      <c r="BN57" s="521">
        <f>IF(AND($B57&gt;=$FV57,$B57&lt;=$FW57),MAX(BF57,Sheet1!EI55,0),MAX(BF57-(7/36)*$K57,0))</f>
        <v>0</v>
      </c>
      <c r="BO57" s="535">
        <f t="shared" si="200"/>
        <v>0</v>
      </c>
      <c r="BP57" s="521">
        <f t="shared" si="201"/>
        <v>1.0162724252491693</v>
      </c>
      <c r="BQ57" s="521">
        <f>IF(AND($O57&gt;0,Sheet1!EM55=1),(1-($O57-Sheet1!$L55)/$O57)*BL57,0)</f>
        <v>0</v>
      </c>
      <c r="BR57" s="521">
        <f>IF(AND(Sheet1!$L55=0,Sheet1!$L54=0, Calculation!BK57&lt;Sheet1!$EI55-0.1,Sheet1!$EI55=Sheet1!$EI54,Sheet1!$EI55=Sheet1!$EI56),BL57-BQ57,BL57-BQ57)</f>
        <v>1.0162724252491693</v>
      </c>
      <c r="BS57" s="1035" t="str">
        <f t="shared" si="105"/>
        <v/>
      </c>
      <c r="BT57" s="1035">
        <f t="shared" si="106"/>
        <v>12.568888888888889</v>
      </c>
      <c r="BU57" s="535">
        <f t="shared" si="202"/>
        <v>0</v>
      </c>
      <c r="BV57" s="535"/>
      <c r="BW57" s="535">
        <f ca="1">IF(B57&gt;Summary!$A$1,#N/A,BU57*MGtoAF)</f>
        <v>0</v>
      </c>
      <c r="BX57" s="535">
        <f>Sheet1!BC55+Sheet1!BD55+Sheet1!BE55+Sheet1!BF55-CG57-CH57</f>
        <v>3</v>
      </c>
      <c r="BY57" s="535">
        <f t="shared" si="203"/>
        <v>2.9890365448504981</v>
      </c>
      <c r="BZ57" s="535">
        <f>IF(Sheet1!EQ55="FM",CH57,0)</f>
        <v>0</v>
      </c>
      <c r="CA57" s="535">
        <f t="shared" si="204"/>
        <v>0</v>
      </c>
      <c r="CB57" s="535">
        <f>IF(Sheet1!EQ55="OTHER",CH57,0)</f>
        <v>0</v>
      </c>
      <c r="CC57" s="535">
        <f t="shared" si="205"/>
        <v>0</v>
      </c>
      <c r="CD57" s="535">
        <f t="shared" si="206"/>
        <v>0</v>
      </c>
      <c r="CE57" s="535">
        <f t="shared" si="207"/>
        <v>3</v>
      </c>
      <c r="CF57" s="535">
        <f t="shared" si="208"/>
        <v>2.9890365448504981</v>
      </c>
      <c r="CG57" s="535">
        <f>IF(Sheet1!EQ55="CWA",SUM(Sheet1!BC55:'Sheet1'!BF55),0)</f>
        <v>0</v>
      </c>
      <c r="CH57" s="535">
        <f>IF(OR(Sheet1!EQ55="FM", Sheet1!EQ55="OTHER"),SUM(Sheet1!BC55:'Sheet1'!BF55),0)</f>
        <v>0</v>
      </c>
      <c r="CI57" s="521">
        <f>IF(AND($B57&gt;=$FV57,$B57&lt;=$FW57),MAX(CF57,Sheet1!EJ55,0),MAX(CF57-(7/36)*$K57,0))</f>
        <v>0</v>
      </c>
      <c r="CJ57" s="535">
        <f t="shared" si="209"/>
        <v>0</v>
      </c>
      <c r="CK57" s="521">
        <f t="shared" si="210"/>
        <v>2.9890365448504981</v>
      </c>
      <c r="CL57" s="521">
        <f>IF(AND($O57&gt;0,Sheet1!EN55=1),(1-($O57-Sheet1!$L55)/$O57)*CF57,0)</f>
        <v>0</v>
      </c>
      <c r="CM57" s="521">
        <f>IF(AND(Sheet1!$L55=0,Sheet1!$L54=0, Calculation!CE57&lt;Sheet1!EJ55-0.1,Sheet1!EJ55=Sheet1!EJ54,Sheet1!EJ55=Sheet1!EJ56),CF57-CL57,CF57-CL57)</f>
        <v>2.9890365448504981</v>
      </c>
      <c r="CN57" s="1040" t="str">
        <f t="shared" si="107"/>
        <v/>
      </c>
      <c r="CO57" s="1035">
        <f t="shared" si="108"/>
        <v>12.568888888888889</v>
      </c>
      <c r="CP57" s="535">
        <f t="shared" si="211"/>
        <v>0</v>
      </c>
      <c r="CQ57" s="535"/>
      <c r="CR57" s="535">
        <f ca="1">IF(B57&gt;Summary!$A$1,#N/A,CP57*MGtoAF)</f>
        <v>0</v>
      </c>
      <c r="CS57" s="535">
        <f>Sheet1!BK55+Sheet1!BL55+Sheet1!BM55-Sheet1!ER55-DA57</f>
        <v>6.48</v>
      </c>
      <c r="CT57" s="535">
        <f t="shared" si="212"/>
        <v>6.4563189368770759</v>
      </c>
      <c r="CU57" s="535">
        <f>IF(Sheet1!ER55="FM",DA57,0)</f>
        <v>0</v>
      </c>
      <c r="CV57" s="535">
        <f t="shared" si="213"/>
        <v>0</v>
      </c>
      <c r="CW57" s="535">
        <f>IF(Sheet1!ER55="OTHER",DA57,0)</f>
        <v>0</v>
      </c>
      <c r="CX57" s="535">
        <f t="shared" si="214"/>
        <v>0</v>
      </c>
      <c r="CY57" s="535">
        <f t="shared" si="215"/>
        <v>6.48</v>
      </c>
      <c r="CZ57" s="535">
        <f t="shared" si="216"/>
        <v>6.4563189368770759</v>
      </c>
      <c r="DA57" s="535">
        <f>IF(OR(Sheet1!ER55="FM", Sheet1!ER55="OTHER"),SUM(Sheet1!BK55:'Sheet1'!BM55),0)</f>
        <v>0</v>
      </c>
      <c r="DB57" s="1011">
        <f>IF(AND($B57&gt;=$FV57,$B57&lt;=$FW57),MAX($CT57,Sheet1!EK55,0),MAX($CT57-(7/36)*$K57,0))</f>
        <v>0</v>
      </c>
      <c r="DC57" s="1012">
        <f t="shared" si="217"/>
        <v>0</v>
      </c>
      <c r="DD57" s="1011">
        <f t="shared" si="218"/>
        <v>6.4563189368770759</v>
      </c>
      <c r="DE57" s="521">
        <f>IF(AND($O57&gt;0,Sheet1!EO55=1),(1-($O57-Sheet1!$L55)/$O57)*CZ57,0)</f>
        <v>0</v>
      </c>
      <c r="DF57" s="521">
        <f>IF(AND(Sheet1!$L55=0,Sheet1!$L54=0, Calculation!CY57&lt;Sheet1!$EK55-0.1,Sheet1!$EK55=Sheet1!$EK54,Sheet1!$EK55=Sheet1!$EK56),CZ57-DE57,CZ57-DE57)</f>
        <v>6.4563189368770759</v>
      </c>
      <c r="DG57" s="1040">
        <f t="shared" si="109"/>
        <v>12.568888888888889</v>
      </c>
      <c r="DH57" s="649">
        <f t="shared" si="219"/>
        <v>10.5</v>
      </c>
      <c r="DI57" s="535">
        <f t="shared" si="220"/>
        <v>0</v>
      </c>
      <c r="DJ57" s="649">
        <f t="shared" si="221"/>
        <v>10.461627906976744</v>
      </c>
      <c r="DK57" s="535">
        <f ca="1">IF(B57&gt;Summary!$A$1,#N/A,DI57*MGtoAF)</f>
        <v>0</v>
      </c>
      <c r="DL57" s="649">
        <f t="shared" si="222"/>
        <v>10.5</v>
      </c>
      <c r="DM57" s="535">
        <f t="shared" si="223"/>
        <v>30.1</v>
      </c>
      <c r="DN57" s="535">
        <f>Sheet1!AB55-DM57</f>
        <v>-0.11000000000000298</v>
      </c>
      <c r="DO57" s="743">
        <f t="shared" si="224"/>
        <v>-3.6544850498339862E-3</v>
      </c>
      <c r="DP57" s="535">
        <f>(VLOOKUP(Sheet1!DC55,hhdcap_wcm,4)-(((VLOOKUP(Sheet1!DC55,hhdcap_wcm,3)-Sheet1!DC55)/(VLOOKUP(Sheet1!DC55,hhdcap_wcm,3)-VLOOKUP(Sheet1!DC55,hhdcap_wcm,1)))*(VLOOKUP(Sheet1!DC55,hhdcap_wcm,4)-VLOOKUP(Sheet1!DC55,hhdcap_wcm,2))))</f>
        <v>1600.500000004195</v>
      </c>
      <c r="DQ57" s="535">
        <f t="shared" si="225"/>
        <v>581.70000000106188</v>
      </c>
      <c r="DR57" s="535">
        <f t="shared" si="226"/>
        <v>293.3434190625627</v>
      </c>
      <c r="DS57" s="535">
        <f>Sheet1!EA55*AFtoMG</f>
        <v>0</v>
      </c>
      <c r="DT57" s="535">
        <f>Sheet1!EB55*AFtoMG</f>
        <v>0</v>
      </c>
      <c r="DU57" s="535">
        <f>Sheet1!EC55*AFtoMG</f>
        <v>0</v>
      </c>
      <c r="DV57" s="535">
        <f>Sheet1!ED55*AFtoMG</f>
        <v>0</v>
      </c>
      <c r="DW57" s="535">
        <f t="shared" si="227"/>
        <v>0</v>
      </c>
      <c r="DX57" s="535">
        <f t="shared" si="228"/>
        <v>0</v>
      </c>
      <c r="DY57" s="535">
        <f t="shared" si="229"/>
        <v>0</v>
      </c>
      <c r="DZ57" s="535">
        <f t="shared" si="230"/>
        <v>0</v>
      </c>
      <c r="EA57" s="535"/>
      <c r="EB57" s="521">
        <f>IF(OR(B57&lt;FV57,B57&gt;FW57),(MIN(BF57+BY57+CT57+MAX(Sheet1!AA55+AQ57-73,0),K57)),0)</f>
        <v>10.461627906976744</v>
      </c>
      <c r="EC57" s="535"/>
      <c r="ED57" s="535">
        <f t="shared" si="231"/>
        <v>10.461627906976743</v>
      </c>
      <c r="EE57" s="535"/>
      <c r="EF57" s="535">
        <f>Sheet1!EH55+Sheet1!EI55+Sheet1!EJ55+Sheet1!EK55</f>
        <v>10.5</v>
      </c>
      <c r="EG57" s="1019">
        <f t="shared" si="110"/>
        <v>16.243500000000001</v>
      </c>
      <c r="EH57" s="521">
        <f t="shared" si="232"/>
        <v>0</v>
      </c>
      <c r="EI57" s="535">
        <f>IF(Sheet1!ET55=1,SUM('Calculations II'!AT57:BA57)+'Calculations II'!BC57+Sheet1!BV55+'Calculations II'!BE57+AP57,'Calculations II'!BK57)</f>
        <v>45.257900093023252</v>
      </c>
      <c r="EJ57" s="535">
        <f ca="1">EI57+'Calculations II'!D57+'Calculations II'!E57+'Calculations II'!O57</f>
        <v>46.663743755004845</v>
      </c>
      <c r="EK57" s="535"/>
      <c r="EL57" s="535"/>
      <c r="EM57" s="535">
        <f t="shared" si="233"/>
        <v>42781</v>
      </c>
      <c r="EN57" s="535">
        <f t="shared" si="234"/>
        <v>0</v>
      </c>
      <c r="EO57" s="535">
        <f t="shared" si="235"/>
        <v>0</v>
      </c>
      <c r="EP57" s="535">
        <v>0</v>
      </c>
      <c r="EQ57" s="535">
        <v>0</v>
      </c>
      <c r="ER57" s="535">
        <v>0</v>
      </c>
      <c r="ES57" s="521">
        <f t="shared" si="71"/>
        <v>-0.83065875122518096</v>
      </c>
      <c r="ET57" s="535">
        <f>-(VLOOKUP(Sheet1!BQ55,Lookup!$O$4:$Q$262,2)-VLOOKUP(Sheet1!BQ54,Lookup!$O$4:$Q$262,2))/1000000</f>
        <v>-0.41526209893170374</v>
      </c>
      <c r="EU57" s="535">
        <f>-(VLOOKUP(Sheet1!BR55,Lookup!$O$4:$Q$262,3)-VLOOKUP(Sheet1!BR54,Lookup!$O$4:$Q$262,3))/1000000</f>
        <v>-0.41539665229347722</v>
      </c>
      <c r="EV57" s="535"/>
      <c r="EW57" s="535"/>
      <c r="EX57" s="535"/>
      <c r="EY57" s="535"/>
      <c r="EZ57" s="535"/>
      <c r="FA57" s="535"/>
      <c r="FB57" s="535"/>
      <c r="FC57" s="535"/>
      <c r="FD57" s="567" t="e">
        <f t="shared" si="236"/>
        <v>#N/A</v>
      </c>
      <c r="FE57" s="567" t="e">
        <f t="shared" si="237"/>
        <v>#N/A</v>
      </c>
      <c r="FF57" s="568" t="e">
        <f t="shared" si="238"/>
        <v>#N/A</v>
      </c>
      <c r="FG57" s="569" t="s">
        <v>656</v>
      </c>
      <c r="FH57" s="569" t="s">
        <v>656</v>
      </c>
      <c r="FI57" s="567" t="e">
        <v>#N/A</v>
      </c>
      <c r="FJ57" s="567" t="e">
        <v>#N/A</v>
      </c>
      <c r="FK57" s="535"/>
      <c r="FL57" s="1015">
        <v>0</v>
      </c>
      <c r="FM57" s="535"/>
      <c r="FN57" s="535"/>
      <c r="FO57" s="535">
        <f>O57+((Sheet1!CS55)*GPMtoMGD)</f>
        <v>55.849999999999994</v>
      </c>
      <c r="FP57" s="535">
        <f>IF(Sheet1!AA55+AQ57&lt;=Calculation!N57,AQ57,Calculation!N57-Sheet1!AA55)</f>
        <v>19.528372093023254</v>
      </c>
      <c r="FQ57" s="535">
        <f>(Sheet1!BP55+Sheet1!BO55)/694.4</f>
        <v>1.2632488479262673</v>
      </c>
      <c r="FR57" s="541"/>
      <c r="FS57" s="541"/>
      <c r="FT57" s="541"/>
      <c r="FU57" s="541"/>
      <c r="FV57" s="1109">
        <f t="shared" si="74"/>
        <v>42918</v>
      </c>
      <c r="FW57" s="1109">
        <f t="shared" si="75"/>
        <v>43027</v>
      </c>
      <c r="FX57" s="541"/>
      <c r="FY57" s="541">
        <f>Sheet1!DA55-Sheet1!CZ55-Sheet1!AE55</f>
        <v>1125.5119500000001</v>
      </c>
      <c r="FZ57" s="535">
        <f t="shared" si="111"/>
        <v>0.67665638803219785</v>
      </c>
      <c r="GA57" s="535"/>
      <c r="GB57" s="535" t="str">
        <f t="shared" si="76"/>
        <v>n</v>
      </c>
      <c r="GC57" s="539">
        <f t="shared" si="77"/>
        <v>42782</v>
      </c>
      <c r="GD57" s="1109">
        <f t="shared" si="78"/>
        <v>42904</v>
      </c>
      <c r="GE57" s="535">
        <f t="shared" si="95"/>
        <v>6520</v>
      </c>
      <c r="GF57" s="1109">
        <f t="shared" si="79"/>
        <v>42909</v>
      </c>
      <c r="GG57" s="535">
        <f t="shared" si="174"/>
        <v>3260</v>
      </c>
      <c r="GH57" s="539">
        <f t="shared" si="80"/>
        <v>43040</v>
      </c>
      <c r="GJ57" s="521">
        <f t="shared" si="81"/>
        <v>0</v>
      </c>
      <c r="GK57" s="535" t="str">
        <f t="shared" si="239"/>
        <v/>
      </c>
      <c r="GL57" s="535">
        <f t="shared" si="82"/>
        <v>0</v>
      </c>
      <c r="GM57" s="535" t="str">
        <f t="shared" si="83"/>
        <v/>
      </c>
      <c r="GN57" s="535">
        <f>IF(GK57="P",Lookup!$M$12,IF(GK57="PP",Lookup!$M$13,IF(GK57="PPP",Lookup!$M$14,IF(GK57="T",Lookup!$M$15,IF(GK57="TP",Lookup!$M$16,IF(GK57="TPP",Lookup!$M$17,IF(GK57="TPPP",Lookup!$M$18,0)))))))*GJ57</f>
        <v>0</v>
      </c>
      <c r="GO57" s="535">
        <f t="shared" si="84"/>
        <v>0</v>
      </c>
      <c r="GP57" s="535">
        <f t="shared" si="240"/>
        <v>0</v>
      </c>
      <c r="GQ57" s="535">
        <f t="shared" si="94"/>
        <v>0</v>
      </c>
      <c r="GR57" s="535"/>
      <c r="GS57" s="535">
        <f t="shared" si="85"/>
        <v>0</v>
      </c>
      <c r="GT57" s="535" t="str">
        <f t="shared" si="86"/>
        <v/>
      </c>
      <c r="GU57" s="535">
        <f>IF(GK57="P",Lookup!$N$12,IF(GK57="PP",Lookup!$N$13,IF(GK57="PPP",Lookup!$N$14,IF(GK57="T",Lookup!$N$15,IF(GK57="TP",Lookup!$N$16,IF(GK57="TPP",Lookup!$N$17,IF(GK57="TPPP",Lookup!$N$18,0)))))))*GJ57</f>
        <v>0</v>
      </c>
      <c r="GV57" s="535">
        <f t="shared" si="53"/>
        <v>0</v>
      </c>
      <c r="GW57" s="535">
        <f t="shared" si="241"/>
        <v>0</v>
      </c>
      <c r="GX57" s="535">
        <f t="shared" si="91"/>
        <v>0</v>
      </c>
      <c r="GY57" s="535"/>
      <c r="GZ57" s="535">
        <f t="shared" si="87"/>
        <v>0</v>
      </c>
      <c r="HA57" s="535" t="str">
        <f t="shared" si="88"/>
        <v/>
      </c>
      <c r="HB57" s="535">
        <f>IF(GK57="P",Lookup!$N$12,IF(GK57="PP",Lookup!$N$13,IF(GK57="PPP",Lookup!$N$14,IF(GK57="T",Lookup!$N$15,IF(GK57="TP",Lookup!$N$16,IF(GK57="TPP",Lookup!$N$17,IF(GK57="TPPP",Lookup!$N$18,0)))))))*GJ57</f>
        <v>0</v>
      </c>
      <c r="HC57" s="521">
        <f t="shared" si="242"/>
        <v>0</v>
      </c>
      <c r="HD57" s="535">
        <f t="shared" si="243"/>
        <v>0</v>
      </c>
      <c r="HE57" s="535">
        <f t="shared" si="92"/>
        <v>0</v>
      </c>
      <c r="HF57" s="535"/>
      <c r="HG57" s="535">
        <f t="shared" si="89"/>
        <v>0</v>
      </c>
      <c r="HH57" s="535" t="str">
        <f t="shared" si="90"/>
        <v/>
      </c>
      <c r="HI57" s="535">
        <f>IF(GK57="P",Lookup!$N$12,IF(GK57="PP",Lookup!$N$13,IF(GK57="PPP",Lookup!$N$14,IF(GK57="T",Lookup!$N$15,IF(GK57="TP",Lookup!$N$16,IF(GK57="TPP",Lookup!$N$17,IF(GK57="TPPP",Lookup!$N$18,0)))))))*GJ57</f>
        <v>0</v>
      </c>
      <c r="HJ57" s="521">
        <f t="shared" si="244"/>
        <v>0</v>
      </c>
      <c r="HK57" s="535">
        <f t="shared" si="245"/>
        <v>0</v>
      </c>
      <c r="HL57" s="535">
        <f t="shared" si="93"/>
        <v>0</v>
      </c>
      <c r="HM57" s="535"/>
      <c r="HN57" s="541"/>
      <c r="HO57" s="541"/>
      <c r="HP57" s="541"/>
      <c r="HQ57" s="541">
        <f>IF(AND(B57&gt;=$FV$4,B57&lt;=$FW$4),MAX(110/1.02+$HQ$6+MIN(113/1.02,G57),IF($HV$6-(Sheet1!DA55-Sheet1!DB55)+MIN(113/1.02,G57)&lt;G57+FL57,$HV$6-(Sheet1!DA55-Sheet1!DB55)+MIN(113/1.02,G57),G57+FL57)),MIN(110/1.02+$HQ$6+113/1.02,G57))</f>
        <v>218.62745098039215</v>
      </c>
      <c r="HR57" s="541">
        <f t="shared" si="112"/>
        <v>223</v>
      </c>
      <c r="HS57" s="541">
        <f>HR57+(Sheet1!DA55-Sheet1!DB55)</f>
        <v>1373</v>
      </c>
      <c r="HT57" s="541">
        <f t="shared" si="113"/>
        <v>0</v>
      </c>
      <c r="HU57" s="541">
        <f t="shared" si="114"/>
        <v>1373</v>
      </c>
      <c r="HV57" s="541">
        <f t="shared" si="115"/>
        <v>0</v>
      </c>
      <c r="HW57" s="533" t="str">
        <f t="shared" si="116"/>
        <v/>
      </c>
      <c r="HX57" s="541">
        <f t="shared" si="117"/>
        <v>1151.372549019608</v>
      </c>
      <c r="HY57" s="541">
        <f>Sheet1!CZ55</f>
        <v>1370</v>
      </c>
      <c r="HZ57" s="541">
        <f t="shared" si="118"/>
        <v>0</v>
      </c>
      <c r="IA57" s="541">
        <f t="shared" si="119"/>
        <v>0</v>
      </c>
      <c r="IB57" s="541">
        <f t="shared" si="120"/>
        <v>1370</v>
      </c>
      <c r="IC57" s="1019" t="str">
        <f t="shared" si="121"/>
        <v/>
      </c>
      <c r="ID57" s="541">
        <f t="shared" si="122"/>
        <v>1370</v>
      </c>
      <c r="IE57" s="541">
        <f>Sheet1!DB55</f>
        <v>1420</v>
      </c>
      <c r="IF57" s="533">
        <f>Sheet1!DA55</f>
        <v>2570</v>
      </c>
      <c r="IH57" s="541">
        <f>IF(AND($B57&gt;=$GC57,$B57&lt;=$GH57,$DR57&lt;0)+N("only adjusted when pool is drawn down during storage season"),Sheet1!$DB55+$DR57+N("Palmer minus all storage release"),Sheet1!$DB55)</f>
        <v>1420</v>
      </c>
      <c r="II57" s="541">
        <f>IF(AND($B57&gt;=$GC57,$B57&lt;=$GH57,$DR57&lt;0)+N("only adjusted when pool is drawn down during storage season"),Sheet1!$DA55+$DR57+N("Auburn minus all storage release"),Sheet1!$DA55)</f>
        <v>2570</v>
      </c>
    </row>
    <row r="58" spans="1:243" x14ac:dyDescent="0.25">
      <c r="A58" s="553" t="s">
        <v>7</v>
      </c>
      <c r="B58" s="531">
        <v>42782</v>
      </c>
      <c r="C58" s="536">
        <v>0</v>
      </c>
      <c r="D58" s="506">
        <f t="shared" si="0"/>
        <v>300</v>
      </c>
      <c r="E58" s="506">
        <f t="shared" si="1"/>
        <v>250</v>
      </c>
      <c r="F58" s="506">
        <v>250</v>
      </c>
      <c r="G58" s="535">
        <f>DR58+Sheet1!CZ56</f>
        <v>2757.9021684337663</v>
      </c>
      <c r="H58" s="1074">
        <f t="shared" si="246"/>
        <v>1025.4989267199999</v>
      </c>
      <c r="I58" s="534">
        <f>IF(Sheet1!DA56&gt;=E58,(Sheet1!DA56-E58+P58)*CFStoMGD,0)</f>
        <v>2195.4829267199998</v>
      </c>
      <c r="J58" s="995">
        <f>IF(Sheet1!DB56&gt;=D58,(Sheet1!DB56-D58+P58)*CFStoMGD,0)</f>
        <v>1025.4989267199999</v>
      </c>
      <c r="K58" s="818">
        <f t="shared" si="97"/>
        <v>64.64</v>
      </c>
      <c r="L58" s="535">
        <f>Sheet1!AA56+Sheet1!AB56-Sheet1!L56+(Sheet1!DA56-F58)*CFStoMGD-S58-T58-U58</f>
        <v>2107.5140000000019</v>
      </c>
      <c r="M58" s="535">
        <f t="shared" si="185"/>
        <v>1818.3621209090984</v>
      </c>
      <c r="N58" s="824">
        <f>IF(Sheet1!DA56&gt;=F58,MIN(113*CFStoMGD,MIN(MAX(L58,0),MAX(M58,0))),0)</f>
        <v>73.043199999999999</v>
      </c>
      <c r="O58" s="538">
        <f>Sheet1!AA56+Sheet1!AB56</f>
        <v>55.9</v>
      </c>
      <c r="P58" s="538">
        <f t="shared" si="186"/>
        <v>86.477299999999985</v>
      </c>
      <c r="Q58" s="812">
        <f t="shared" si="98"/>
        <v>45.42</v>
      </c>
      <c r="R58" s="812">
        <f t="shared" si="59"/>
        <v>10.452127659574469</v>
      </c>
      <c r="S58" s="812">
        <f t="shared" si="60"/>
        <v>10.479999999999999</v>
      </c>
      <c r="T58" s="812">
        <f t="shared" si="61"/>
        <v>54.160000000000004</v>
      </c>
      <c r="U58" s="812">
        <f t="shared" si="99"/>
        <v>0</v>
      </c>
      <c r="V58" s="812"/>
      <c r="W58" s="812">
        <f t="shared" si="62"/>
        <v>54.187872340425528</v>
      </c>
      <c r="X58" s="812">
        <f t="shared" si="63"/>
        <v>64.64</v>
      </c>
      <c r="Y58" s="812" t="str">
        <f t="shared" si="64"/>
        <v>FALSE</v>
      </c>
      <c r="Z58" s="812">
        <f t="shared" si="65"/>
        <v>55.9</v>
      </c>
      <c r="AA58" s="812">
        <f t="shared" si="66"/>
        <v>55.9</v>
      </c>
      <c r="AB58" s="1059">
        <f t="shared" si="100"/>
        <v>70.264740000000003</v>
      </c>
      <c r="AC58" s="538">
        <f>Sheet1!Y56*MGDtoCFS</f>
        <v>40.005420000000001</v>
      </c>
      <c r="AD58" s="538">
        <f>Sheet1!Z56*MGDtoCFS</f>
        <v>46.394529999999996</v>
      </c>
      <c r="AE58" s="538">
        <f>Sheet1!AA56*MGDtoCFS</f>
        <v>40.067299999999996</v>
      </c>
      <c r="AF58" s="538">
        <f>Sheet1!AB56*MGDtoCFS</f>
        <v>46.41</v>
      </c>
      <c r="AG58" s="538">
        <f>Sheet1!L56*MGDtoCFS</f>
        <v>36.091509999997072</v>
      </c>
      <c r="AH58" s="521">
        <f t="shared" si="187"/>
        <v>0</v>
      </c>
      <c r="AI58" s="1059">
        <f t="shared" si="188"/>
        <v>0</v>
      </c>
      <c r="AJ58" s="535">
        <f t="shared" si="189"/>
        <v>54.187872340425528</v>
      </c>
      <c r="AK58" s="535">
        <f t="shared" si="190"/>
        <v>83.828638510638285</v>
      </c>
      <c r="AL58" s="535">
        <f>(VLOOKUP(Sheet1!DC56,hhdcap_wcm,4)-(((VLOOKUP(Sheet1!DC56,hhdcap_wcm,3)-Sheet1!DC56)/(VLOOKUP(Sheet1!DC56,hhdcap_wcm,3)-VLOOKUP(Sheet1!DC56,hhdcap_wcm,1)))*(VLOOKUP(Sheet1!DC56,hhdcap_wcm,4)-VLOOKUP(Sheet1!DC56,hhdcap_wcm,2))))</f>
        <v>3619.0000000083537</v>
      </c>
      <c r="AM58" s="535">
        <f t="shared" si="191"/>
        <v>2018.5000000041587</v>
      </c>
      <c r="AN58" s="1035">
        <f>(IF(AND(B58&gt;=GC58,B58&lt;GF58),MIN(BB58+BU58+CP58+DI58,GE58),IF(B58=GF58,GG58,IF(AND(B58&gt;GF58,B58&lt;GH58),BB58+BU58+CP58+DI58,IF(B58&gt;=GH58,0,0)))))</f>
        <v>54.187872340425528</v>
      </c>
      <c r="AO58" s="535">
        <f t="shared" si="193"/>
        <v>166.24839234042551</v>
      </c>
      <c r="AP58" s="535">
        <f>Sheet1!BA56+Sheet1!BB56+Sheet1!BN56+CD58</f>
        <v>19.600000000000001</v>
      </c>
      <c r="AQ58" s="535">
        <f>Sheet1!BN56+(DO58*Sheet1!BN56)</f>
        <v>19.547872340425535</v>
      </c>
      <c r="AR58" s="535">
        <f>Sheet1!BA56+CD58</f>
        <v>0</v>
      </c>
      <c r="AS58" s="535">
        <f>Sheet1!BA56+Sheet1!BB56+CD58</f>
        <v>0</v>
      </c>
      <c r="AT58" s="649">
        <f>0</f>
        <v>0</v>
      </c>
      <c r="AU58" s="535">
        <f>IF(EB58&lt;K58,0,MAX(Sheet1!AA56+AQ58-15/36*K58-N58,Sheet1!EH56,0))</f>
        <v>0</v>
      </c>
      <c r="AV58" s="535">
        <f>IF(OR(B58&gt;=GD58,B58&lt;GC58),0,15/36*K58-MAX(0,64.6-(137.6-(Sheet1!AA56+Sheet1!AB56))))</f>
        <v>26.933333333333334</v>
      </c>
      <c r="AW58" s="1029"/>
      <c r="AX58" s="649"/>
      <c r="AY58" s="649">
        <f t="shared" si="101"/>
        <v>0</v>
      </c>
      <c r="AZ58" s="649">
        <f t="shared" si="102"/>
        <v>0</v>
      </c>
      <c r="BA58" s="1059">
        <f t="shared" si="103"/>
        <v>0</v>
      </c>
      <c r="BB58" s="1019">
        <f t="shared" si="194"/>
        <v>26.933333333333334</v>
      </c>
      <c r="BC58" s="1041">
        <f t="shared" si="104"/>
        <v>26.933333333333334</v>
      </c>
      <c r="BD58" s="1019">
        <f ca="1">IF(B58&gt;Summary!$A$1,#N/A,BB58*MGtoAF)</f>
        <v>82.631466666666668</v>
      </c>
      <c r="BE58" s="535">
        <f>Sheet1!BG56+Sheet1!BH56+Sheet1!BI56-BM58</f>
        <v>1.01</v>
      </c>
      <c r="BF58" s="535">
        <f t="shared" si="195"/>
        <v>1.0073138297872342</v>
      </c>
      <c r="BG58" s="535">
        <f>IF(Sheet1!EP56="FM",BM58,0)</f>
        <v>0</v>
      </c>
      <c r="BH58" s="535">
        <f t="shared" si="196"/>
        <v>0</v>
      </c>
      <c r="BI58" s="535">
        <f>IF(Sheet1!EP56="OTHER",BM58,0)</f>
        <v>0</v>
      </c>
      <c r="BJ58" s="535">
        <f t="shared" si="197"/>
        <v>0</v>
      </c>
      <c r="BK58" s="535">
        <f t="shared" si="198"/>
        <v>1.01</v>
      </c>
      <c r="BL58" s="535">
        <f t="shared" si="199"/>
        <v>1.0073138297872342</v>
      </c>
      <c r="BM58" s="535">
        <f>IF(OR(Sheet1!EP56="FM", Sheet1!EP56="OTHER"),SUM(Sheet1!BG56:'Sheet1'!BI56),0)</f>
        <v>0</v>
      </c>
      <c r="BN58" s="521">
        <f>IF(AND($B58&gt;=$FV58,$B58&lt;=$FW58),MAX(BF58,Sheet1!EI56,0),MAX(BF58-(7/36)*$K58,0))</f>
        <v>0</v>
      </c>
      <c r="BO58" s="535">
        <f t="shared" si="200"/>
        <v>11.561575059101655</v>
      </c>
      <c r="BP58" s="521">
        <f t="shared" si="201"/>
        <v>1.0073138297872342</v>
      </c>
      <c r="BQ58" s="521">
        <f>IF(AND($O58&gt;0,Sheet1!EM56=1),(1-($O58-Sheet1!$L56)/$O58)*BL58,0)</f>
        <v>0</v>
      </c>
      <c r="BR58" s="521">
        <f>IF(AND(Sheet1!$L56=0,Sheet1!$L55=0, Calculation!BK58&lt;Sheet1!$EI56-0.1,Sheet1!$EI56=Sheet1!$EI55,Sheet1!$EI56=Sheet1!$EI57),BL58-BQ58,BL58-BQ58)</f>
        <v>1.0073138297872342</v>
      </c>
      <c r="BS58" s="1035" t="str">
        <f t="shared" si="105"/>
        <v/>
      </c>
      <c r="BT58" s="1035">
        <f t="shared" si="106"/>
        <v>12.568888888888889</v>
      </c>
      <c r="BU58" s="535">
        <f t="shared" si="202"/>
        <v>11.561575059101655</v>
      </c>
      <c r="BV58" s="535"/>
      <c r="BW58" s="535">
        <f ca="1">IF(B58&gt;Summary!$A$1,#N/A,BU58*MGtoAF)</f>
        <v>35.470912281323876</v>
      </c>
      <c r="BX58" s="535">
        <f>Sheet1!BC56+Sheet1!BD56+Sheet1!BE56+Sheet1!BF56-CG58-CH58</f>
        <v>3</v>
      </c>
      <c r="BY58" s="535">
        <f t="shared" si="203"/>
        <v>2.9920212765957448</v>
      </c>
      <c r="BZ58" s="535">
        <f>IF(Sheet1!EQ56="FM",CH58,0)</f>
        <v>0</v>
      </c>
      <c r="CA58" s="535">
        <f t="shared" si="204"/>
        <v>0</v>
      </c>
      <c r="CB58" s="535">
        <f>IF(Sheet1!EQ56="OTHER",CH58,0)</f>
        <v>0</v>
      </c>
      <c r="CC58" s="535">
        <f t="shared" si="205"/>
        <v>0</v>
      </c>
      <c r="CD58" s="535">
        <f t="shared" si="206"/>
        <v>0</v>
      </c>
      <c r="CE58" s="535">
        <f t="shared" si="207"/>
        <v>3</v>
      </c>
      <c r="CF58" s="535">
        <f t="shared" si="208"/>
        <v>2.9920212765957448</v>
      </c>
      <c r="CG58" s="535">
        <f>IF(Sheet1!EQ56="CWA",SUM(Sheet1!BC56:'Sheet1'!BF56),0)</f>
        <v>0</v>
      </c>
      <c r="CH58" s="535">
        <f>IF(OR(Sheet1!EQ56="FM", Sheet1!EQ56="OTHER"),SUM(Sheet1!BC56:'Sheet1'!BF56),0)</f>
        <v>0</v>
      </c>
      <c r="CI58" s="521">
        <f>IF(AND($B58&gt;=$FV58,$B58&lt;=$FW58),MAX(CF58,Sheet1!EJ56,0),MAX(CF58-(7/36)*$K58,0))</f>
        <v>0</v>
      </c>
      <c r="CJ58" s="535">
        <f t="shared" si="209"/>
        <v>9.5768676122931442</v>
      </c>
      <c r="CK58" s="521">
        <f t="shared" si="210"/>
        <v>2.9920212765957448</v>
      </c>
      <c r="CL58" s="521">
        <f>IF(AND($O58&gt;0,Sheet1!EN56=1),(1-($O58-Sheet1!$L56)/$O58)*CF58,0)</f>
        <v>0</v>
      </c>
      <c r="CM58" s="521">
        <f>IF(AND(Sheet1!$L56=0,Sheet1!$L55=0, Calculation!CE58&lt;Sheet1!EJ56-0.1,Sheet1!EJ56=Sheet1!EJ55,Sheet1!EJ56=Sheet1!EJ57),CF58-CL58,CF58-CL58)</f>
        <v>2.9920212765957448</v>
      </c>
      <c r="CN58" s="1040" t="str">
        <f t="shared" si="107"/>
        <v/>
      </c>
      <c r="CO58" s="1035">
        <f t="shared" si="108"/>
        <v>12.568888888888889</v>
      </c>
      <c r="CP58" s="535">
        <f t="shared" si="211"/>
        <v>9.5768676122931442</v>
      </c>
      <c r="CQ58" s="535"/>
      <c r="CR58" s="535">
        <f ca="1">IF(B58&gt;Summary!$A$1,#N/A,CP58*MGtoAF)</f>
        <v>29.381829834515369</v>
      </c>
      <c r="CS58" s="535">
        <f>Sheet1!BK56+Sheet1!BL56+Sheet1!BM56-Sheet1!ER56-DA58</f>
        <v>6.47</v>
      </c>
      <c r="CT58" s="535">
        <f t="shared" si="212"/>
        <v>6.4527925531914896</v>
      </c>
      <c r="CU58" s="535">
        <f>IF(Sheet1!ER56="FM",DA58,0)</f>
        <v>0</v>
      </c>
      <c r="CV58" s="535">
        <f t="shared" si="213"/>
        <v>0</v>
      </c>
      <c r="CW58" s="535">
        <f>IF(Sheet1!ER56="OTHER",DA58,0)</f>
        <v>0</v>
      </c>
      <c r="CX58" s="535">
        <f t="shared" si="214"/>
        <v>0</v>
      </c>
      <c r="CY58" s="535">
        <f t="shared" si="215"/>
        <v>6.47</v>
      </c>
      <c r="CZ58" s="535">
        <f t="shared" si="216"/>
        <v>6.4527925531914896</v>
      </c>
      <c r="DA58" s="535">
        <f>IF(OR(Sheet1!ER56="FM", Sheet1!ER56="OTHER"),SUM(Sheet1!BK56:'Sheet1'!BM56),0)</f>
        <v>0</v>
      </c>
      <c r="DB58" s="1011">
        <f>IF(AND($B58&gt;=$FV58,$B58&lt;=$FW58),MAX($CT58,Sheet1!EK56,0),MAX($CT58-(7/36)*$K58,0))</f>
        <v>0</v>
      </c>
      <c r="DC58" s="1012">
        <f t="shared" si="217"/>
        <v>6.1160963356973994</v>
      </c>
      <c r="DD58" s="1011">
        <f t="shared" si="218"/>
        <v>6.4527925531914896</v>
      </c>
      <c r="DE58" s="521">
        <f>IF(AND($O58&gt;0,Sheet1!EO56=1),(1-($O58-Sheet1!$L56)/$O58)*CZ58,0)</f>
        <v>0</v>
      </c>
      <c r="DF58" s="521">
        <f>IF(AND(Sheet1!$L56=0,Sheet1!$L55=0, Calculation!CY58&lt;Sheet1!$EK56-0.1,Sheet1!$EK56=Sheet1!$EK55,Sheet1!$EK56=Sheet1!$EK57),CZ58-DE58,CZ58-DE58)</f>
        <v>6.4527925531914896</v>
      </c>
      <c r="DG58" s="1040">
        <f t="shared" si="109"/>
        <v>12.568888888888889</v>
      </c>
      <c r="DH58" s="649">
        <f t="shared" si="219"/>
        <v>10.48</v>
      </c>
      <c r="DI58" s="535">
        <f t="shared" si="220"/>
        <v>6.1160963356973994</v>
      </c>
      <c r="DJ58" s="649">
        <f t="shared" si="221"/>
        <v>10.452127659574469</v>
      </c>
      <c r="DK58" s="535">
        <f ca="1">IF(B58&gt;Summary!$A$1,#N/A,DI58*MGtoAF)</f>
        <v>18.764183557919623</v>
      </c>
      <c r="DL58" s="649">
        <f t="shared" si="222"/>
        <v>10.479999999999999</v>
      </c>
      <c r="DM58" s="535">
        <f t="shared" si="223"/>
        <v>30.08</v>
      </c>
      <c r="DN58" s="535">
        <f>Sheet1!AB56-DM58</f>
        <v>-7.9999999999998295E-2</v>
      </c>
      <c r="DO58" s="743">
        <f t="shared" si="224"/>
        <v>-2.6595744680850499E-3</v>
      </c>
      <c r="DP58" s="535">
        <f>(VLOOKUP(Sheet1!DC56,hhdcap_wcm,4)-(((VLOOKUP(Sheet1!DC56,hhdcap_wcm,3)-Sheet1!DC56)/(VLOOKUP(Sheet1!DC56,hhdcap_wcm,3)-VLOOKUP(Sheet1!DC56,hhdcap_wcm,1)))*(VLOOKUP(Sheet1!DC56,hhdcap_wcm,4)-VLOOKUP(Sheet1!DC56,hhdcap_wcm,2))))</f>
        <v>3619.0000000083537</v>
      </c>
      <c r="DQ58" s="535">
        <f t="shared" si="225"/>
        <v>2018.5000000041587</v>
      </c>
      <c r="DR58" s="535">
        <f t="shared" si="226"/>
        <v>1017.9021684337662</v>
      </c>
      <c r="DS58" s="535">
        <f>Sheet1!EA56*AFtoMG</f>
        <v>0</v>
      </c>
      <c r="DT58" s="535">
        <f>Sheet1!EB56*AFtoMG</f>
        <v>0</v>
      </c>
      <c r="DU58" s="535">
        <f>Sheet1!EC56*AFtoMG</f>
        <v>0</v>
      </c>
      <c r="DV58" s="535">
        <f>Sheet1!ED56*AFtoMG</f>
        <v>0</v>
      </c>
      <c r="DW58" s="535">
        <f t="shared" si="227"/>
        <v>0</v>
      </c>
      <c r="DX58" s="535">
        <f t="shared" si="228"/>
        <v>0</v>
      </c>
      <c r="DY58" s="535">
        <f t="shared" si="229"/>
        <v>54.187872340425528</v>
      </c>
      <c r="DZ58" s="535">
        <f t="shared" si="230"/>
        <v>166.24839234042551</v>
      </c>
      <c r="EA58" s="535"/>
      <c r="EB58" s="521">
        <f>IF(OR(B58&lt;FV58,B58&gt;FW58),(MIN(BF58+BY58+CT58+MAX(Sheet1!AA56+AQ58-73,0),K58)),0)</f>
        <v>10.452127659574469</v>
      </c>
      <c r="EC58" s="535"/>
      <c r="ED58" s="535">
        <f t="shared" si="231"/>
        <v>10.452127659574469</v>
      </c>
      <c r="EE58" s="535"/>
      <c r="EF58" s="535">
        <f>Sheet1!EH56+Sheet1!EI56+Sheet1!EJ56+Sheet1!EK56</f>
        <v>10.5</v>
      </c>
      <c r="EG58" s="1019">
        <f t="shared" si="110"/>
        <v>16.243500000000001</v>
      </c>
      <c r="EH58" s="521">
        <f t="shared" si="232"/>
        <v>0</v>
      </c>
      <c r="EI58" s="535">
        <f>IF(Sheet1!ET56=1,SUM('Calculations II'!AT58:BA58)+'Calculations II'!BC58+Sheet1!BV56+'Calculations II'!BE58+AP58,'Calculations II'!BK58)</f>
        <v>45.017260340425537</v>
      </c>
      <c r="EJ58" s="535">
        <f ca="1">EI58+'Calculations II'!D58+'Calculations II'!E58+'Calculations II'!O58</f>
        <v>45.533393501320987</v>
      </c>
      <c r="EK58" s="535"/>
      <c r="EL58" s="535"/>
      <c r="EM58" s="535">
        <f t="shared" si="233"/>
        <v>42782</v>
      </c>
      <c r="EN58" s="535">
        <f t="shared" si="234"/>
        <v>54.187872340425528</v>
      </c>
      <c r="EO58" s="535">
        <f t="shared" si="235"/>
        <v>83.828638510638285</v>
      </c>
      <c r="EP58" s="535">
        <v>0</v>
      </c>
      <c r="EQ58" s="535">
        <v>0</v>
      </c>
      <c r="ER58" s="535">
        <v>0</v>
      </c>
      <c r="ES58" s="521">
        <f t="shared" si="71"/>
        <v>0</v>
      </c>
      <c r="ET58" s="535">
        <f>-(VLOOKUP(Sheet1!BQ56,Lookup!$O$4:$Q$262,2)-VLOOKUP(Sheet1!BQ55,Lookup!$O$4:$Q$262,2))/1000000</f>
        <v>0</v>
      </c>
      <c r="EU58" s="535">
        <f>-(VLOOKUP(Sheet1!BR56,Lookup!$O$4:$Q$262,3)-VLOOKUP(Sheet1!BR55,Lookup!$O$4:$Q$262,3))/1000000</f>
        <v>0</v>
      </c>
      <c r="EV58" s="535"/>
      <c r="EW58" s="535"/>
      <c r="EX58" s="535"/>
      <c r="EY58" s="535"/>
      <c r="EZ58" s="535"/>
      <c r="FA58" s="535"/>
      <c r="FB58" s="535"/>
      <c r="FC58" s="535"/>
      <c r="FD58" s="567" t="e">
        <f t="shared" si="236"/>
        <v>#N/A</v>
      </c>
      <c r="FE58" s="567" t="e">
        <f t="shared" si="237"/>
        <v>#N/A</v>
      </c>
      <c r="FF58" s="568" t="e">
        <f t="shared" si="238"/>
        <v>#N/A</v>
      </c>
      <c r="FG58" s="569" t="s">
        <v>656</v>
      </c>
      <c r="FH58" s="569" t="s">
        <v>656</v>
      </c>
      <c r="FI58" s="567" t="e">
        <v>#N/A</v>
      </c>
      <c r="FJ58" s="567" t="e">
        <v>#N/A</v>
      </c>
      <c r="FK58" s="535"/>
      <c r="FL58" s="1015">
        <v>0</v>
      </c>
      <c r="FM58" s="535"/>
      <c r="FN58" s="535"/>
      <c r="FO58" s="535">
        <f>O58+((Sheet1!CS56)*GPMtoMGD)</f>
        <v>55.9</v>
      </c>
      <c r="FP58" s="535">
        <f>IF(Sheet1!AA56+AQ58&lt;=Calculation!N58,AQ58,Calculation!N58-Sheet1!AA56)</f>
        <v>19.547872340425535</v>
      </c>
      <c r="FQ58" s="535">
        <f>(Sheet1!BP56+Sheet1!BO56)/694.4</f>
        <v>1.3028513824884793</v>
      </c>
      <c r="FR58" s="541"/>
      <c r="FS58" s="541"/>
      <c r="FT58" s="541"/>
      <c r="FU58" s="541"/>
      <c r="FV58" s="1109">
        <f t="shared" si="74"/>
        <v>42918</v>
      </c>
      <c r="FW58" s="1109">
        <f t="shared" si="75"/>
        <v>43027</v>
      </c>
      <c r="FX58" s="541"/>
      <c r="FY58" s="541">
        <f>Sheet1!DA56-Sheet1!CZ56-Sheet1!AE56</f>
        <v>1769.614209999997</v>
      </c>
      <c r="FZ58" s="535">
        <f t="shared" si="111"/>
        <v>0.64165227840731365</v>
      </c>
      <c r="GA58" s="535"/>
      <c r="GB58" s="535" t="str">
        <f t="shared" si="76"/>
        <v>n</v>
      </c>
      <c r="GC58" s="539">
        <f t="shared" si="77"/>
        <v>42782</v>
      </c>
      <c r="GD58" s="1109">
        <f t="shared" si="78"/>
        <v>42904</v>
      </c>
      <c r="GE58" s="535">
        <f t="shared" si="95"/>
        <v>6520</v>
      </c>
      <c r="GF58" s="1109">
        <f t="shared" si="79"/>
        <v>42909</v>
      </c>
      <c r="GG58" s="535">
        <f t="shared" si="174"/>
        <v>3260</v>
      </c>
      <c r="GH58" s="539">
        <f t="shared" si="80"/>
        <v>43040</v>
      </c>
      <c r="GJ58" s="521">
        <f t="shared" si="81"/>
        <v>0</v>
      </c>
      <c r="GK58" s="535" t="str">
        <f t="shared" si="239"/>
        <v/>
      </c>
      <c r="GL58" s="535">
        <f t="shared" si="82"/>
        <v>0</v>
      </c>
      <c r="GM58" s="535" t="str">
        <f t="shared" si="83"/>
        <v/>
      </c>
      <c r="GN58" s="535">
        <f>IF(GK58="P",Lookup!$M$12,IF(GK58="PP",Lookup!$M$13,IF(GK58="PPP",Lookup!$M$14,IF(GK58="T",Lookup!$M$15,IF(GK58="TP",Lookup!$M$16,IF(GK58="TPP",Lookup!$M$17,IF(GK58="TPPP",Lookup!$M$18,0)))))))*GJ58</f>
        <v>0</v>
      </c>
      <c r="GO58" s="535">
        <f t="shared" si="84"/>
        <v>0</v>
      </c>
      <c r="GP58" s="535">
        <f t="shared" si="240"/>
        <v>82.631466666666668</v>
      </c>
      <c r="GQ58" s="535">
        <f t="shared" si="94"/>
        <v>26.933333333333334</v>
      </c>
      <c r="GR58" s="535"/>
      <c r="GS58" s="535">
        <f t="shared" si="85"/>
        <v>0</v>
      </c>
      <c r="GT58" s="535" t="str">
        <f t="shared" si="86"/>
        <v/>
      </c>
      <c r="GU58" s="535">
        <f>IF(GK58="P",Lookup!$N$12,IF(GK58="PP",Lookup!$N$13,IF(GK58="PPP",Lookup!$N$14,IF(GK58="T",Lookup!$N$15,IF(GK58="TP",Lookup!$N$16,IF(GK58="TPP",Lookup!$N$17,IF(GK58="TPPP",Lookup!$N$18,0)))))))*GJ58</f>
        <v>0</v>
      </c>
      <c r="GV58" s="535">
        <f t="shared" si="53"/>
        <v>0</v>
      </c>
      <c r="GW58" s="535">
        <f t="shared" si="241"/>
        <v>35.470912281323876</v>
      </c>
      <c r="GX58" s="535">
        <f t="shared" si="91"/>
        <v>11.561575059101655</v>
      </c>
      <c r="GY58" s="535"/>
      <c r="GZ58" s="535">
        <f t="shared" si="87"/>
        <v>0</v>
      </c>
      <c r="HA58" s="535" t="str">
        <f t="shared" si="88"/>
        <v/>
      </c>
      <c r="HB58" s="535">
        <f>IF(GK58="P",Lookup!$N$12,IF(GK58="PP",Lookup!$N$13,IF(GK58="PPP",Lookup!$N$14,IF(GK58="T",Lookup!$N$15,IF(GK58="TP",Lookup!$N$16,IF(GK58="TPP",Lookup!$N$17,IF(GK58="TPPP",Lookup!$N$18,0)))))))*GJ58</f>
        <v>0</v>
      </c>
      <c r="HC58" s="521">
        <f t="shared" si="242"/>
        <v>0</v>
      </c>
      <c r="HD58" s="535">
        <f t="shared" si="243"/>
        <v>29.381829834515369</v>
      </c>
      <c r="HE58" s="535">
        <f t="shared" si="92"/>
        <v>9.5768676122931442</v>
      </c>
      <c r="HF58" s="535"/>
      <c r="HG58" s="535">
        <f t="shared" si="89"/>
        <v>0</v>
      </c>
      <c r="HH58" s="535" t="str">
        <f t="shared" si="90"/>
        <v/>
      </c>
      <c r="HI58" s="535">
        <f>IF(GK58="P",Lookup!$N$12,IF(GK58="PP",Lookup!$N$13,IF(GK58="PPP",Lookup!$N$14,IF(GK58="T",Lookup!$N$15,IF(GK58="TP",Lookup!$N$16,IF(GK58="TPP",Lookup!$N$17,IF(GK58="TPPP",Lookup!$N$18,0)))))))*GJ58</f>
        <v>0</v>
      </c>
      <c r="HJ58" s="521">
        <f t="shared" si="244"/>
        <v>0</v>
      </c>
      <c r="HK58" s="535">
        <f t="shared" si="245"/>
        <v>18.764183557919623</v>
      </c>
      <c r="HL58" s="535">
        <f t="shared" si="93"/>
        <v>6.1160963356973994</v>
      </c>
      <c r="HM58" s="535"/>
      <c r="HN58" s="541"/>
      <c r="HO58" s="541"/>
      <c r="HP58" s="541"/>
      <c r="HQ58" s="541">
        <f>IF(AND(B58&gt;=$FV$4,B58&lt;=$FW$4),MAX(110/1.02+$HQ$6+MIN(113/1.02,G58),IF($HV$6-(Sheet1!DA56-Sheet1!DB56)+MIN(113/1.02,G58)&lt;G58+FL58,$HV$6-(Sheet1!DA56-Sheet1!DB56)+MIN(113/1.02,G58),G58+FL58)),MIN(110/1.02+$HQ$6+113/1.02,G58))</f>
        <v>218.62745098039215</v>
      </c>
      <c r="HR58" s="541">
        <f t="shared" si="112"/>
        <v>223</v>
      </c>
      <c r="HS58" s="541">
        <f>HR58+(Sheet1!DA56-Sheet1!DB56)</f>
        <v>1983</v>
      </c>
      <c r="HT58" s="541">
        <f t="shared" si="113"/>
        <v>70.264740000000003</v>
      </c>
      <c r="HU58" s="541">
        <f t="shared" si="114"/>
        <v>1912.7352599999999</v>
      </c>
      <c r="HV58" s="541">
        <f t="shared" si="115"/>
        <v>0</v>
      </c>
      <c r="HW58" s="533" t="str">
        <f t="shared" si="116"/>
        <v/>
      </c>
      <c r="HX58" s="541">
        <f t="shared" si="117"/>
        <v>1521.372549019608</v>
      </c>
      <c r="HY58" s="541">
        <f>Sheet1!CZ56</f>
        <v>1740</v>
      </c>
      <c r="HZ58" s="541">
        <f t="shared" si="118"/>
        <v>0</v>
      </c>
      <c r="IA58" s="541">
        <f t="shared" si="119"/>
        <v>70.264740000000003</v>
      </c>
      <c r="IB58" s="541">
        <f t="shared" si="120"/>
        <v>1740</v>
      </c>
      <c r="IC58" s="1019" t="str">
        <f t="shared" si="121"/>
        <v/>
      </c>
      <c r="ID58" s="541">
        <f t="shared" si="122"/>
        <v>1669.7352599999999</v>
      </c>
      <c r="IE58" s="541">
        <f>Sheet1!DB56</f>
        <v>1800</v>
      </c>
      <c r="IF58" s="533">
        <f>Sheet1!DA56</f>
        <v>3560</v>
      </c>
      <c r="IH58" s="541">
        <f>IF(AND($B58&gt;=$GC58,$B58&lt;=$GH58,$DR58&lt;0)+N("only adjusted when pool is drawn down during storage season"),Sheet1!$DB56+$DR58+N("Palmer minus all storage release"),Sheet1!$DB56)</f>
        <v>1800</v>
      </c>
      <c r="II58" s="541">
        <f>IF(AND($B58&gt;=$GC58,$B58&lt;=$GH58,$DR58&lt;0)+N("only adjusted when pool is drawn down during storage season"),Sheet1!$DA56+$DR58+N("Auburn minus all storage release"),Sheet1!$DA56)</f>
        <v>3560</v>
      </c>
    </row>
    <row r="59" spans="1:243" x14ac:dyDescent="0.25">
      <c r="A59" s="553" t="s">
        <v>8</v>
      </c>
      <c r="B59" s="531">
        <v>42783</v>
      </c>
      <c r="C59" s="536">
        <v>0</v>
      </c>
      <c r="D59" s="506">
        <f t="shared" si="0"/>
        <v>300</v>
      </c>
      <c r="E59" s="506">
        <f t="shared" si="1"/>
        <v>250</v>
      </c>
      <c r="F59" s="506">
        <v>250</v>
      </c>
      <c r="G59" s="535">
        <f>DR59+Sheet1!CZ57</f>
        <v>3092.4558749381122</v>
      </c>
      <c r="H59" s="1074">
        <f t="shared" si="246"/>
        <v>1342.0349305599998</v>
      </c>
      <c r="I59" s="534">
        <f>IF(Sheet1!DA57&gt;=E59,(Sheet1!DA57-E59+P59)*CFStoMGD,0)</f>
        <v>2395.6669305599999</v>
      </c>
      <c r="J59" s="995">
        <f>IF(Sheet1!DB57&gt;=D59,(Sheet1!DB57-D59+P59)*CFStoMGD,0)</f>
        <v>1342.0349305599998</v>
      </c>
      <c r="K59" s="818">
        <f t="shared" si="97"/>
        <v>64.64</v>
      </c>
      <c r="L59" s="535">
        <f>Sheet1!AA57+Sheet1!AB57-Sheet1!L57+(Sheet1!DA57-F59)*CFStoMGD-S59-T59-U59</f>
        <v>2313.4780000000005</v>
      </c>
      <c r="M59" s="535">
        <f t="shared" si="185"/>
        <v>2038.9427471111958</v>
      </c>
      <c r="N59" s="824">
        <f>IF(Sheet1!DA57&gt;=F59,MIN(113*CFStoMGD,MIN(MAX(L59,0),MAX(M59,0))),0)</f>
        <v>73.043199999999999</v>
      </c>
      <c r="O59" s="538">
        <f>Sheet1!AA57+Sheet1!AB57</f>
        <v>55.7</v>
      </c>
      <c r="P59" s="538">
        <f t="shared" si="186"/>
        <v>86.167900000000003</v>
      </c>
      <c r="Q59" s="812">
        <f t="shared" si="98"/>
        <v>45.33</v>
      </c>
      <c r="R59" s="812">
        <f t="shared" si="59"/>
        <v>10.31137346192218</v>
      </c>
      <c r="S59" s="812">
        <f t="shared" si="60"/>
        <v>10.370000000000001</v>
      </c>
      <c r="T59" s="812">
        <f t="shared" si="61"/>
        <v>54.269999999999996</v>
      </c>
      <c r="U59" s="812">
        <f t="shared" si="99"/>
        <v>0</v>
      </c>
      <c r="V59" s="812"/>
      <c r="W59" s="812">
        <f t="shared" si="62"/>
        <v>54.32862653807782</v>
      </c>
      <c r="X59" s="812">
        <f t="shared" si="63"/>
        <v>64.64</v>
      </c>
      <c r="Y59" s="812" t="str">
        <f t="shared" si="64"/>
        <v>FALSE</v>
      </c>
      <c r="Z59" s="812">
        <f t="shared" si="65"/>
        <v>55.7</v>
      </c>
      <c r="AA59" s="812">
        <f t="shared" si="66"/>
        <v>55.7</v>
      </c>
      <c r="AB59" s="1059">
        <f t="shared" si="100"/>
        <v>70.125509999999991</v>
      </c>
      <c r="AC59" s="538">
        <f>Sheet1!Y57*MGDtoCFS</f>
        <v>40.067299999999996</v>
      </c>
      <c r="AD59" s="538">
        <f>Sheet1!Z57*MGDtoCFS</f>
        <v>46.41</v>
      </c>
      <c r="AE59" s="538">
        <f>Sheet1!AA57*MGDtoCFS</f>
        <v>39.912599999999998</v>
      </c>
      <c r="AF59" s="538">
        <f>Sheet1!AB57*MGDtoCFS</f>
        <v>46.255299999999998</v>
      </c>
      <c r="AG59" s="538">
        <f>Sheet1!L57*MGDtoCFS</f>
        <v>27.149849999998874</v>
      </c>
      <c r="AH59" s="521">
        <f t="shared" si="187"/>
        <v>0</v>
      </c>
      <c r="AI59" s="1059">
        <f t="shared" si="188"/>
        <v>0</v>
      </c>
      <c r="AJ59" s="535">
        <f t="shared" si="189"/>
        <v>54.32862653807782</v>
      </c>
      <c r="AK59" s="535">
        <f t="shared" si="190"/>
        <v>84.046385254406388</v>
      </c>
      <c r="AL59" s="535">
        <f>(VLOOKUP(Sheet1!DC57,hhdcap_wcm,4)-(((VLOOKUP(Sheet1!DC57,hhdcap_wcm,3)-Sheet1!DC57)/(VLOOKUP(Sheet1!DC57,hhdcap_wcm,3)-VLOOKUP(Sheet1!DC57,hhdcap_wcm,1)))*(VLOOKUP(Sheet1!DC57,hhdcap_wcm,4)-VLOOKUP(Sheet1!DC57,hhdcap_wcm,2))))</f>
        <v>4833.5000000106302</v>
      </c>
      <c r="AM59" s="535">
        <f t="shared" si="191"/>
        <v>1214.5000000022765</v>
      </c>
      <c r="AN59" s="1035">
        <f t="shared" si="192"/>
        <v>108.51649887850334</v>
      </c>
      <c r="AO59" s="535">
        <f t="shared" si="193"/>
        <v>332.92861855924826</v>
      </c>
      <c r="AP59" s="535">
        <f>Sheet1!BA57+Sheet1!BB57+Sheet1!BN57+CD59</f>
        <v>19.7</v>
      </c>
      <c r="AQ59" s="535">
        <f>Sheet1!BN57+(DO59*Sheet1!BN57)</f>
        <v>19.588626538077815</v>
      </c>
      <c r="AR59" s="535">
        <f>Sheet1!BA57+CD59</f>
        <v>0</v>
      </c>
      <c r="AS59" s="535">
        <f>Sheet1!BA57+Sheet1!BB57+CD59</f>
        <v>0</v>
      </c>
      <c r="AT59" s="649">
        <f>0</f>
        <v>0</v>
      </c>
      <c r="AU59" s="535">
        <f>IF(EB59&lt;K59,0,MAX(Sheet1!AA57+AQ59-15/36*K59-N59,Sheet1!EH57,0))</f>
        <v>0</v>
      </c>
      <c r="AV59" s="535">
        <f>IF(OR(B59&gt;=GD59,B59&lt;GC59),0,15/36*K59-MAX(0,64.6-(137.6-(Sheet1!AA57+Sheet1!AB57))))</f>
        <v>26.933333333333334</v>
      </c>
      <c r="AW59" s="1029"/>
      <c r="AX59" s="649"/>
      <c r="AY59" s="649">
        <f t="shared" si="101"/>
        <v>0</v>
      </c>
      <c r="AZ59" s="649">
        <f t="shared" si="102"/>
        <v>0</v>
      </c>
      <c r="BA59" s="1059">
        <f t="shared" si="103"/>
        <v>0</v>
      </c>
      <c r="BB59" s="1019">
        <f t="shared" si="194"/>
        <v>53.866666666666667</v>
      </c>
      <c r="BC59" s="1041">
        <f t="shared" si="104"/>
        <v>26.933333333333334</v>
      </c>
      <c r="BD59" s="1019">
        <f ca="1">IF(B59&gt;Summary!$A$1,#N/A,BB59*MGtoAF)</f>
        <v>165.26293333333334</v>
      </c>
      <c r="BE59" s="535">
        <f>Sheet1!BG57+Sheet1!BH57+Sheet1!BI57-BM59</f>
        <v>1</v>
      </c>
      <c r="BF59" s="535">
        <f t="shared" si="195"/>
        <v>0.99434652477552377</v>
      </c>
      <c r="BG59" s="535">
        <f>IF(Sheet1!EP57="FM",BM59,0)</f>
        <v>0</v>
      </c>
      <c r="BH59" s="535">
        <f t="shared" si="196"/>
        <v>0</v>
      </c>
      <c r="BI59" s="535">
        <f>IF(Sheet1!EP57="OTHER",BM59,0)</f>
        <v>0</v>
      </c>
      <c r="BJ59" s="535">
        <f t="shared" si="197"/>
        <v>0</v>
      </c>
      <c r="BK59" s="535">
        <f t="shared" si="198"/>
        <v>1</v>
      </c>
      <c r="BL59" s="535">
        <f t="shared" si="199"/>
        <v>0.99434652477552377</v>
      </c>
      <c r="BM59" s="535">
        <f>IF(OR(Sheet1!EP57="FM", Sheet1!EP57="OTHER"),SUM(Sheet1!BG57:'Sheet1'!BI57),0)</f>
        <v>0</v>
      </c>
      <c r="BN59" s="521">
        <f>IF(AND($B59&gt;=$FV59,$B59&lt;=$FW59),MAX(BF59,Sheet1!EI57,0),MAX(BF59-(7/36)*$K59,0))</f>
        <v>0</v>
      </c>
      <c r="BO59" s="535">
        <f t="shared" si="200"/>
        <v>11.574542364113364</v>
      </c>
      <c r="BP59" s="521">
        <f t="shared" si="201"/>
        <v>0.99434652477552377</v>
      </c>
      <c r="BQ59" s="521">
        <f>IF(AND($O59&gt;0,Sheet1!EM57=1),(1-($O59-Sheet1!$L57)/$O59)*BL59,0)</f>
        <v>0</v>
      </c>
      <c r="BR59" s="521">
        <f>IF(AND(Sheet1!$L57=0,Sheet1!$L56=0, Calculation!BK59&lt;Sheet1!$EI57-0.1,Sheet1!$EI57=Sheet1!$EI56,Sheet1!$EI57=Sheet1!$EI58),BL59-BQ59,BL59-BQ59)</f>
        <v>0.99434652477552377</v>
      </c>
      <c r="BS59" s="1035" t="str">
        <f t="shared" si="105"/>
        <v/>
      </c>
      <c r="BT59" s="1035">
        <f t="shared" si="106"/>
        <v>12.568888888888889</v>
      </c>
      <c r="BU59" s="535">
        <f t="shared" si="202"/>
        <v>23.136117423215019</v>
      </c>
      <c r="BV59" s="535"/>
      <c r="BW59" s="535">
        <f ca="1">IF(B59&gt;Summary!$A$1,#N/A,BU59*MGtoAF)</f>
        <v>70.981608254423676</v>
      </c>
      <c r="BX59" s="535">
        <f>Sheet1!BC57+Sheet1!BD57+Sheet1!BE57+Sheet1!BF57-CG59-CH59</f>
        <v>2.98</v>
      </c>
      <c r="BY59" s="535">
        <f t="shared" si="203"/>
        <v>2.9631526438310605</v>
      </c>
      <c r="BZ59" s="535">
        <f>IF(Sheet1!EQ57="FM",CH59,0)</f>
        <v>0</v>
      </c>
      <c r="CA59" s="535">
        <f t="shared" si="204"/>
        <v>0</v>
      </c>
      <c r="CB59" s="535">
        <f>IF(Sheet1!EQ57="OTHER",CH59,0)</f>
        <v>0</v>
      </c>
      <c r="CC59" s="535">
        <f t="shared" si="205"/>
        <v>0</v>
      </c>
      <c r="CD59" s="535">
        <f t="shared" si="206"/>
        <v>0</v>
      </c>
      <c r="CE59" s="535">
        <f t="shared" si="207"/>
        <v>2.98</v>
      </c>
      <c r="CF59" s="535">
        <f t="shared" si="208"/>
        <v>2.9631526438310605</v>
      </c>
      <c r="CG59" s="535">
        <f>IF(Sheet1!EQ57="CWA",SUM(Sheet1!BC57:'Sheet1'!BF57),0)</f>
        <v>0</v>
      </c>
      <c r="CH59" s="535">
        <f>IF(OR(Sheet1!EQ57="FM", Sheet1!EQ57="OTHER"),SUM(Sheet1!BC57:'Sheet1'!BF57),0)</f>
        <v>0</v>
      </c>
      <c r="CI59" s="521">
        <f>IF(AND($B59&gt;=$FV59,$B59&lt;=$FW59),MAX(CF59,Sheet1!EJ57,0),MAX(CF59-(7/36)*$K59,0))</f>
        <v>0</v>
      </c>
      <c r="CJ59" s="535">
        <f t="shared" si="209"/>
        <v>9.6057362450578285</v>
      </c>
      <c r="CK59" s="521">
        <f t="shared" si="210"/>
        <v>2.9631526438310605</v>
      </c>
      <c r="CL59" s="521">
        <f>IF(AND($O59&gt;0,Sheet1!EN57=1),(1-($O59-Sheet1!$L57)/$O59)*CF59,0)</f>
        <v>0</v>
      </c>
      <c r="CM59" s="521">
        <f>IF(AND(Sheet1!$L57=0,Sheet1!$L56=0, Calculation!CE59&lt;Sheet1!EJ57-0.1,Sheet1!EJ57=Sheet1!EJ56,Sheet1!EJ57=Sheet1!EJ58),CF59-CL59,CF59-CL59)</f>
        <v>2.9631526438310605</v>
      </c>
      <c r="CN59" s="1040" t="str">
        <f t="shared" si="107"/>
        <v/>
      </c>
      <c r="CO59" s="1035">
        <f t="shared" si="108"/>
        <v>12.568888888888889</v>
      </c>
      <c r="CP59" s="535">
        <f t="shared" si="211"/>
        <v>19.182603857350973</v>
      </c>
      <c r="CQ59" s="535"/>
      <c r="CR59" s="535">
        <f ca="1">IF(B59&gt;Summary!$A$1,#N/A,CP59*MGtoAF)</f>
        <v>58.852228634352784</v>
      </c>
      <c r="CS59" s="535">
        <f>Sheet1!BK57+Sheet1!BL57+Sheet1!BM57-Sheet1!ER57-DA59</f>
        <v>6.3900000000000006</v>
      </c>
      <c r="CT59" s="535">
        <f t="shared" si="212"/>
        <v>6.3538742933155969</v>
      </c>
      <c r="CU59" s="535">
        <f>IF(Sheet1!ER57="FM",DA59,0)</f>
        <v>0</v>
      </c>
      <c r="CV59" s="535">
        <f t="shared" si="213"/>
        <v>0</v>
      </c>
      <c r="CW59" s="535">
        <f>IF(Sheet1!ER57="OTHER",DA59,0)</f>
        <v>0</v>
      </c>
      <c r="CX59" s="535">
        <f t="shared" si="214"/>
        <v>0</v>
      </c>
      <c r="CY59" s="535">
        <f t="shared" si="215"/>
        <v>6.3900000000000006</v>
      </c>
      <c r="CZ59" s="535">
        <f t="shared" si="216"/>
        <v>6.3538742933155969</v>
      </c>
      <c r="DA59" s="535">
        <f>IF(OR(Sheet1!ER57="FM", Sheet1!ER57="OTHER"),SUM(Sheet1!BK57:'Sheet1'!BM57),0)</f>
        <v>0</v>
      </c>
      <c r="DB59" s="1011">
        <f>IF(AND($B59&gt;=$FV59,$B59&lt;=$FW59),MAX($CT59,Sheet1!EK57,0),MAX($CT59-(7/36)*$K59,0))</f>
        <v>0</v>
      </c>
      <c r="DC59" s="1012">
        <f t="shared" si="217"/>
        <v>6.2150145955732921</v>
      </c>
      <c r="DD59" s="1011">
        <f t="shared" si="218"/>
        <v>6.3538742933155969</v>
      </c>
      <c r="DE59" s="521">
        <f>IF(AND($O59&gt;0,Sheet1!EO57=1),(1-($O59-Sheet1!$L57)/$O59)*CZ59,0)</f>
        <v>0</v>
      </c>
      <c r="DF59" s="521">
        <f>IF(AND(Sheet1!$L57=0,Sheet1!$L56=0, Calculation!CY59&lt;Sheet1!$EK57-0.1,Sheet1!$EK57=Sheet1!$EK56,Sheet1!$EK57=Sheet1!$EK58),CZ59-DE59,CZ59-DE59)</f>
        <v>6.3538742933155969</v>
      </c>
      <c r="DG59" s="1040">
        <f t="shared" si="109"/>
        <v>12.568888888888889</v>
      </c>
      <c r="DH59" s="649">
        <f t="shared" si="219"/>
        <v>10.370000000000001</v>
      </c>
      <c r="DI59" s="535">
        <f t="shared" si="220"/>
        <v>12.331110931270691</v>
      </c>
      <c r="DJ59" s="649">
        <f t="shared" si="221"/>
        <v>10.31137346192218</v>
      </c>
      <c r="DK59" s="535">
        <f ca="1">IF(B59&gt;Summary!$A$1,#N/A,DI59*MGtoAF)</f>
        <v>37.831848337138481</v>
      </c>
      <c r="DL59" s="649">
        <f t="shared" si="222"/>
        <v>10.370000000000001</v>
      </c>
      <c r="DM59" s="535">
        <f t="shared" si="223"/>
        <v>30.07</v>
      </c>
      <c r="DN59" s="535">
        <f>Sheet1!AB57-DM59</f>
        <v>-0.17000000000000171</v>
      </c>
      <c r="DO59" s="743">
        <f t="shared" si="224"/>
        <v>-5.6534752244762785E-3</v>
      </c>
      <c r="DP59" s="535">
        <f>(VLOOKUP(Sheet1!DC57,hhdcap_wcm,4)-(((VLOOKUP(Sheet1!DC57,hhdcap_wcm,3)-Sheet1!DC57)/(VLOOKUP(Sheet1!DC57,hhdcap_wcm,3)-VLOOKUP(Sheet1!DC57,hhdcap_wcm,1)))*(VLOOKUP(Sheet1!DC57,hhdcap_wcm,4)-VLOOKUP(Sheet1!DC57,hhdcap_wcm,2))))</f>
        <v>4833.5000000106302</v>
      </c>
      <c r="DQ59" s="535">
        <f t="shared" si="225"/>
        <v>1214.5000000022765</v>
      </c>
      <c r="DR59" s="535">
        <f t="shared" si="226"/>
        <v>612.45587493811206</v>
      </c>
      <c r="DS59" s="535">
        <f>Sheet1!EA57*AFtoMG</f>
        <v>0</v>
      </c>
      <c r="DT59" s="535">
        <f>Sheet1!EB57*AFtoMG</f>
        <v>0</v>
      </c>
      <c r="DU59" s="535">
        <f>Sheet1!EC57*AFtoMG</f>
        <v>0</v>
      </c>
      <c r="DV59" s="535">
        <f>Sheet1!ED57*AFtoMG</f>
        <v>0</v>
      </c>
      <c r="DW59" s="535">
        <f t="shared" si="227"/>
        <v>0</v>
      </c>
      <c r="DX59" s="535">
        <f t="shared" si="228"/>
        <v>0</v>
      </c>
      <c r="DY59" s="535">
        <f t="shared" si="229"/>
        <v>108.51649887850334</v>
      </c>
      <c r="DZ59" s="535">
        <f t="shared" si="230"/>
        <v>332.92861855924826</v>
      </c>
      <c r="EA59" s="535"/>
      <c r="EB59" s="521">
        <f>IF(OR(B59&lt;FV59,B59&gt;FW59),(MIN(BF59+BY59+CT59+MAX(Sheet1!AA57+AQ59-73,0),K59)),0)</f>
        <v>10.31137346192218</v>
      </c>
      <c r="EC59" s="535"/>
      <c r="ED59" s="535">
        <f t="shared" si="231"/>
        <v>10.31137346192218</v>
      </c>
      <c r="EE59" s="535"/>
      <c r="EF59" s="535">
        <f>Sheet1!EH57+Sheet1!EI57+Sheet1!EJ57+Sheet1!EK57</f>
        <v>10.5</v>
      </c>
      <c r="EG59" s="1019">
        <f t="shared" si="110"/>
        <v>16.243500000000001</v>
      </c>
      <c r="EH59" s="521">
        <f t="shared" si="232"/>
        <v>0</v>
      </c>
      <c r="EI59" s="535">
        <f>IF(Sheet1!ET57=1,SUM('Calculations II'!AT59:BA59)+'Calculations II'!BC59+Sheet1!BV57+'Calculations II'!BE59+AP59,'Calculations II'!BK59)</f>
        <v>45.870642538077817</v>
      </c>
      <c r="EJ59" s="535">
        <f ca="1">EI59+'Calculations II'!D59+'Calculations II'!E59+'Calculations II'!O59</f>
        <v>43.723875813044479</v>
      </c>
      <c r="EK59" s="535"/>
      <c r="EL59" s="535"/>
      <c r="EM59" s="535">
        <f t="shared" si="233"/>
        <v>42783</v>
      </c>
      <c r="EN59" s="535">
        <f t="shared" si="234"/>
        <v>54.32862653807782</v>
      </c>
      <c r="EO59" s="535">
        <f t="shared" si="235"/>
        <v>84.046385254406388</v>
      </c>
      <c r="EP59" s="535">
        <v>0</v>
      </c>
      <c r="EQ59" s="535">
        <v>0</v>
      </c>
      <c r="ER59" s="535">
        <v>0</v>
      </c>
      <c r="ES59" s="521">
        <f t="shared" si="71"/>
        <v>0.83065875122518096</v>
      </c>
      <c r="ET59" s="535">
        <f>-(VLOOKUP(Sheet1!BQ57,Lookup!$O$4:$Q$262,2)-VLOOKUP(Sheet1!BQ56,Lookup!$O$4:$Q$262,2))/1000000</f>
        <v>0.41526209893170374</v>
      </c>
      <c r="EU59" s="535">
        <f>-(VLOOKUP(Sheet1!BR57,Lookup!$O$4:$Q$262,3)-VLOOKUP(Sheet1!BR56,Lookup!$O$4:$Q$262,3))/1000000</f>
        <v>0.41539665229347722</v>
      </c>
      <c r="EV59" s="535"/>
      <c r="EW59" s="535"/>
      <c r="EX59" s="535"/>
      <c r="EY59" s="535"/>
      <c r="EZ59" s="535"/>
      <c r="FA59" s="535"/>
      <c r="FB59" s="535"/>
      <c r="FC59" s="535"/>
      <c r="FD59" s="567" t="e">
        <f t="shared" si="236"/>
        <v>#N/A</v>
      </c>
      <c r="FE59" s="567" t="e">
        <f t="shared" si="237"/>
        <v>#N/A</v>
      </c>
      <c r="FF59" s="568" t="e">
        <f t="shared" si="238"/>
        <v>#N/A</v>
      </c>
      <c r="FG59" s="569" t="s">
        <v>656</v>
      </c>
      <c r="FH59" s="569" t="s">
        <v>656</v>
      </c>
      <c r="FI59" s="567" t="e">
        <v>#N/A</v>
      </c>
      <c r="FJ59" s="567" t="e">
        <v>#N/A</v>
      </c>
      <c r="FK59" s="535"/>
      <c r="FL59" s="1015">
        <v>0</v>
      </c>
      <c r="FM59" s="535"/>
      <c r="FN59" s="535"/>
      <c r="FO59" s="535">
        <f>O59+((Sheet1!CS57)*GPMtoMGD)</f>
        <v>55.7</v>
      </c>
      <c r="FP59" s="535">
        <f>IF(Sheet1!AA57+AQ59&lt;=Calculation!N59,AQ59,Calculation!N59-Sheet1!AA57)</f>
        <v>19.588626538077815</v>
      </c>
      <c r="FQ59" s="535">
        <f>(Sheet1!BP57+Sheet1!BO57)/694.4</f>
        <v>1.3771601382488479</v>
      </c>
      <c r="FR59" s="541"/>
      <c r="FS59" s="541"/>
      <c r="FT59" s="541"/>
      <c r="FU59" s="541"/>
      <c r="FV59" s="1109">
        <f t="shared" si="74"/>
        <v>42918</v>
      </c>
      <c r="FW59" s="1109">
        <f t="shared" si="75"/>
        <v>43027</v>
      </c>
      <c r="FX59" s="541"/>
      <c r="FY59" s="541">
        <f>Sheet1!DA57-Sheet1!CZ57-Sheet1!AE57</f>
        <v>1330.981949999999</v>
      </c>
      <c r="FZ59" s="535">
        <f t="shared" si="111"/>
        <v>0.43039642401579464</v>
      </c>
      <c r="GA59" s="535"/>
      <c r="GB59" s="535" t="str">
        <f t="shared" si="76"/>
        <v>n</v>
      </c>
      <c r="GC59" s="539">
        <f t="shared" si="77"/>
        <v>42782</v>
      </c>
      <c r="GD59" s="1109">
        <f t="shared" si="78"/>
        <v>42904</v>
      </c>
      <c r="GE59" s="535">
        <f t="shared" si="95"/>
        <v>6520</v>
      </c>
      <c r="GF59" s="1109">
        <f t="shared" si="79"/>
        <v>42909</v>
      </c>
      <c r="GG59" s="535">
        <f t="shared" si="174"/>
        <v>3260</v>
      </c>
      <c r="GH59" s="539">
        <f t="shared" si="80"/>
        <v>43040</v>
      </c>
      <c r="GJ59" s="521">
        <f t="shared" si="81"/>
        <v>0</v>
      </c>
      <c r="GK59" s="535" t="str">
        <f t="shared" si="239"/>
        <v/>
      </c>
      <c r="GL59" s="535">
        <f t="shared" si="82"/>
        <v>0</v>
      </c>
      <c r="GM59" s="535" t="str">
        <f t="shared" si="83"/>
        <v/>
      </c>
      <c r="GN59" s="535">
        <f>IF(GK59="P",Lookup!$M$12,IF(GK59="PP",Lookup!$M$13,IF(GK59="PPP",Lookup!$M$14,IF(GK59="T",Lookup!$M$15,IF(GK59="TP",Lookup!$M$16,IF(GK59="TPP",Lookup!$M$17,IF(GK59="TPPP",Lookup!$M$18,0)))))))*GJ59</f>
        <v>0</v>
      </c>
      <c r="GO59" s="535">
        <f t="shared" si="84"/>
        <v>0</v>
      </c>
      <c r="GP59" s="535">
        <f t="shared" si="240"/>
        <v>165.26293333333334</v>
      </c>
      <c r="GQ59" s="535">
        <f t="shared" si="94"/>
        <v>53.866666666666667</v>
      </c>
      <c r="GR59" s="535"/>
      <c r="GS59" s="535">
        <f t="shared" si="85"/>
        <v>0</v>
      </c>
      <c r="GT59" s="535" t="str">
        <f t="shared" si="86"/>
        <v/>
      </c>
      <c r="GU59" s="535">
        <f>IF(GK59="P",Lookup!$N$12,IF(GK59="PP",Lookup!$N$13,IF(GK59="PPP",Lookup!$N$14,IF(GK59="T",Lookup!$N$15,IF(GK59="TP",Lookup!$N$16,IF(GK59="TPP",Lookup!$N$17,IF(GK59="TPPP",Lookup!$N$18,0)))))))*GJ59</f>
        <v>0</v>
      </c>
      <c r="GV59" s="535">
        <f t="shared" si="53"/>
        <v>0</v>
      </c>
      <c r="GW59" s="535">
        <f t="shared" si="241"/>
        <v>70.981608254423676</v>
      </c>
      <c r="GX59" s="535">
        <f t="shared" si="91"/>
        <v>23.136117423215019</v>
      </c>
      <c r="GY59" s="535"/>
      <c r="GZ59" s="535">
        <f t="shared" si="87"/>
        <v>0</v>
      </c>
      <c r="HA59" s="535" t="str">
        <f t="shared" si="88"/>
        <v/>
      </c>
      <c r="HB59" s="535">
        <f>IF(GK59="P",Lookup!$N$12,IF(GK59="PP",Lookup!$N$13,IF(GK59="PPP",Lookup!$N$14,IF(GK59="T",Lookup!$N$15,IF(GK59="TP",Lookup!$N$16,IF(GK59="TPP",Lookup!$N$17,IF(GK59="TPPP",Lookup!$N$18,0)))))))*GJ59</f>
        <v>0</v>
      </c>
      <c r="HC59" s="521">
        <f t="shared" si="242"/>
        <v>0</v>
      </c>
      <c r="HD59" s="535">
        <f t="shared" si="243"/>
        <v>58.852228634352784</v>
      </c>
      <c r="HE59" s="535">
        <f t="shared" si="92"/>
        <v>19.182603857350973</v>
      </c>
      <c r="HF59" s="535"/>
      <c r="HG59" s="535">
        <f t="shared" si="89"/>
        <v>0</v>
      </c>
      <c r="HH59" s="535" t="str">
        <f t="shared" si="90"/>
        <v/>
      </c>
      <c r="HI59" s="535">
        <f>IF(GK59="P",Lookup!$N$12,IF(GK59="PP",Lookup!$N$13,IF(GK59="PPP",Lookup!$N$14,IF(GK59="T",Lookup!$N$15,IF(GK59="TP",Lookup!$N$16,IF(GK59="TPP",Lookup!$N$17,IF(GK59="TPPP",Lookup!$N$18,0)))))))*GJ59</f>
        <v>0</v>
      </c>
      <c r="HJ59" s="521">
        <f t="shared" si="244"/>
        <v>0</v>
      </c>
      <c r="HK59" s="535">
        <f t="shared" si="245"/>
        <v>37.831848337138481</v>
      </c>
      <c r="HL59" s="535">
        <f t="shared" si="93"/>
        <v>12.331110931270691</v>
      </c>
      <c r="HM59" s="535"/>
      <c r="HN59" s="541"/>
      <c r="HO59" s="541"/>
      <c r="HP59" s="541"/>
      <c r="HQ59" s="541">
        <f>IF(AND(B59&gt;=$FV$4,B59&lt;=$FW$4),MAX(110/1.02+$HQ$6+MIN(113/1.02,G59),IF($HV$6-(Sheet1!DA57-Sheet1!DB57)+MIN(113/1.02,G59)&lt;G59+FL59,$HV$6-(Sheet1!DA57-Sheet1!DB57)+MIN(113/1.02,G59),G59+FL59)),MIN(110/1.02+$HQ$6+113/1.02,G59))</f>
        <v>218.62745098039215</v>
      </c>
      <c r="HR59" s="541">
        <f t="shared" si="112"/>
        <v>223</v>
      </c>
      <c r="HS59" s="541">
        <f>HR59+(Sheet1!DA57-Sheet1!DB57)</f>
        <v>1803</v>
      </c>
      <c r="HT59" s="541">
        <f t="shared" si="113"/>
        <v>70.125509999999991</v>
      </c>
      <c r="HU59" s="541">
        <f t="shared" si="114"/>
        <v>1732.8744899999999</v>
      </c>
      <c r="HV59" s="541">
        <f t="shared" si="115"/>
        <v>0</v>
      </c>
      <c r="HW59" s="533" t="str">
        <f t="shared" si="116"/>
        <v/>
      </c>
      <c r="HX59" s="541">
        <f t="shared" si="117"/>
        <v>2261.372549019608</v>
      </c>
      <c r="HY59" s="541">
        <f>Sheet1!CZ57</f>
        <v>2480</v>
      </c>
      <c r="HZ59" s="541">
        <f t="shared" si="118"/>
        <v>0</v>
      </c>
      <c r="IA59" s="541">
        <f t="shared" si="119"/>
        <v>70.125509999999991</v>
      </c>
      <c r="IB59" s="541">
        <f t="shared" si="120"/>
        <v>2480</v>
      </c>
      <c r="IC59" s="1019" t="str">
        <f t="shared" si="121"/>
        <v/>
      </c>
      <c r="ID59" s="541">
        <f t="shared" si="122"/>
        <v>2409.8744900000002</v>
      </c>
      <c r="IE59" s="541">
        <f>Sheet1!DB57</f>
        <v>2290</v>
      </c>
      <c r="IF59" s="533">
        <f>Sheet1!DA57</f>
        <v>3870</v>
      </c>
      <c r="IH59" s="541">
        <f>IF(AND($B59&gt;=$GC59,$B59&lt;=$GH59,$DR59&lt;0)+N("only adjusted when pool is drawn down during storage season"),Sheet1!$DB57+$DR59+N("Palmer minus all storage release"),Sheet1!$DB57)</f>
        <v>2290</v>
      </c>
      <c r="II59" s="541">
        <f>IF(AND($B59&gt;=$GC59,$B59&lt;=$GH59,$DR59&lt;0)+N("only adjusted when pool is drawn down during storage season"),Sheet1!$DA57+$DR59+N("Auburn minus all storage release"),Sheet1!$DA57)</f>
        <v>3870</v>
      </c>
    </row>
    <row r="60" spans="1:243" x14ac:dyDescent="0.25">
      <c r="A60" s="553" t="s">
        <v>9</v>
      </c>
      <c r="B60" s="531">
        <v>42784</v>
      </c>
      <c r="C60" s="536">
        <v>0</v>
      </c>
      <c r="D60" s="506">
        <f t="shared" si="0"/>
        <v>300</v>
      </c>
      <c r="E60" s="506">
        <f t="shared" si="1"/>
        <v>250</v>
      </c>
      <c r="F60" s="506">
        <v>250</v>
      </c>
      <c r="G60" s="535">
        <f>DR60+Sheet1!CZ58</f>
        <v>2220.0806858291439</v>
      </c>
      <c r="H60" s="1074">
        <f t="shared" si="246"/>
        <v>1141.8030839599585</v>
      </c>
      <c r="I60" s="534">
        <f>IF(Sheet1!DA58&gt;=E60,(Sheet1!DA58-E60+P60)*CFStoMGD,0)</f>
        <v>2227.7029286399998</v>
      </c>
      <c r="J60" s="995">
        <f>IF(Sheet1!DB58&gt;=D60,(Sheet1!DB58-D60+P60)*CFStoMGD,0)</f>
        <v>1283.9589286399998</v>
      </c>
      <c r="K60" s="818">
        <f t="shared" si="97"/>
        <v>64.64</v>
      </c>
      <c r="L60" s="535">
        <f>Sheet1!AA58+Sheet1!AB58-Sheet1!L58+(Sheet1!DA58-F60)*CFStoMGD-S60-T60-U60</f>
        <v>2154.9139999999989</v>
      </c>
      <c r="M60" s="535">
        <f t="shared" si="185"/>
        <v>1463.7613584263579</v>
      </c>
      <c r="N60" s="824">
        <f>IF(Sheet1!DA58&gt;=F60,MIN(113*CFStoMGD,MIN(MAX(L60,0),MAX(M60,0))),0)</f>
        <v>73.043199999999999</v>
      </c>
      <c r="O60" s="538">
        <f>Sheet1!AA58+Sheet1!AB58</f>
        <v>55.8</v>
      </c>
      <c r="P60" s="538">
        <f t="shared" si="186"/>
        <v>86.322599999999994</v>
      </c>
      <c r="Q60" s="812">
        <f t="shared" si="98"/>
        <v>44.989999999999995</v>
      </c>
      <c r="R60" s="812">
        <f t="shared" si="59"/>
        <v>10.806397867377541</v>
      </c>
      <c r="S60" s="812">
        <f t="shared" si="60"/>
        <v>10.81</v>
      </c>
      <c r="T60" s="812">
        <f t="shared" si="61"/>
        <v>53.83</v>
      </c>
      <c r="U60" s="812">
        <f t="shared" si="99"/>
        <v>0</v>
      </c>
      <c r="V60" s="812"/>
      <c r="W60" s="812">
        <f t="shared" si="62"/>
        <v>53.83360213262246</v>
      </c>
      <c r="X60" s="812">
        <f t="shared" si="63"/>
        <v>64.64</v>
      </c>
      <c r="Y60" s="812" t="str">
        <f t="shared" si="64"/>
        <v>FALSE</v>
      </c>
      <c r="Z60" s="812">
        <f t="shared" si="65"/>
        <v>55.8</v>
      </c>
      <c r="AA60" s="812">
        <f t="shared" si="66"/>
        <v>55.8</v>
      </c>
      <c r="AB60" s="1059">
        <f t="shared" si="100"/>
        <v>69.599529999999987</v>
      </c>
      <c r="AC60" s="538">
        <f>Sheet1!Y58*MGDtoCFS</f>
        <v>39.912599999999998</v>
      </c>
      <c r="AD60" s="538">
        <f>Sheet1!Z58*MGDtoCFS</f>
        <v>46.255299999999998</v>
      </c>
      <c r="AE60" s="538">
        <f>Sheet1!AA58*MGDtoCFS</f>
        <v>39.912599999999998</v>
      </c>
      <c r="AF60" s="538">
        <f>Sheet1!AB58*MGDtoCFS</f>
        <v>46.41</v>
      </c>
      <c r="AG60" s="538">
        <f>Sheet1!L58*MGDtoCFS</f>
        <v>12.608050000002251</v>
      </c>
      <c r="AH60" s="521">
        <f t="shared" si="187"/>
        <v>0</v>
      </c>
      <c r="AI60" s="1059">
        <f t="shared" si="188"/>
        <v>0</v>
      </c>
      <c r="AJ60" s="535">
        <f t="shared" si="189"/>
        <v>53.83360213262246</v>
      </c>
      <c r="AK60" s="535">
        <f t="shared" si="190"/>
        <v>83.28058249916694</v>
      </c>
      <c r="AL60" s="535">
        <f>(VLOOKUP(Sheet1!DC58,hhdcap_wcm,4)-(((VLOOKUP(Sheet1!DC58,hhdcap_wcm,3)-Sheet1!DC58)/(VLOOKUP(Sheet1!DC58,hhdcap_wcm,3)-VLOOKUP(Sheet1!DC58,hhdcap_wcm,1)))*(VLOOKUP(Sheet1!DC58,hhdcap_wcm,4)-VLOOKUP(Sheet1!DC58,hhdcap_wcm,2))))</f>
        <v>4397.4000000098222</v>
      </c>
      <c r="AM60" s="535">
        <f t="shared" si="191"/>
        <v>-436.100000000808</v>
      </c>
      <c r="AN60" s="1035">
        <f t="shared" si="192"/>
        <v>162.35010101112582</v>
      </c>
      <c r="AO60" s="535">
        <f t="shared" si="193"/>
        <v>498.09010990213403</v>
      </c>
      <c r="AP60" s="535">
        <f>Sheet1!BA58+Sheet1!BB58+Sheet1!BN58+CD60</f>
        <v>19.2</v>
      </c>
      <c r="AQ60" s="535">
        <f>Sheet1!BN58+(DO60*Sheet1!BN58)</f>
        <v>19.193602132622459</v>
      </c>
      <c r="AR60" s="535">
        <f>Sheet1!BA58+CD60</f>
        <v>0</v>
      </c>
      <c r="AS60" s="535">
        <f>Sheet1!BA58+Sheet1!BB58+CD60</f>
        <v>0</v>
      </c>
      <c r="AT60" s="649">
        <f>0</f>
        <v>0</v>
      </c>
      <c r="AU60" s="535">
        <f>IF(EB60&lt;K60,0,MAX(Sheet1!AA58+AQ60-15/36*K60-N60,Sheet1!EH58,0))</f>
        <v>0</v>
      </c>
      <c r="AV60" s="535">
        <f>IF(OR(B60&gt;=GD60,B60&lt;GC60),0,15/36*K60-MAX(0,64.6-(137.6-(Sheet1!AA58+Sheet1!AB58))))</f>
        <v>26.933333333333334</v>
      </c>
      <c r="AW60" s="1029"/>
      <c r="AX60" s="649"/>
      <c r="AY60" s="649">
        <f t="shared" si="101"/>
        <v>0</v>
      </c>
      <c r="AZ60" s="649">
        <f t="shared" si="102"/>
        <v>0</v>
      </c>
      <c r="BA60" s="1059">
        <f t="shared" si="103"/>
        <v>0</v>
      </c>
      <c r="BB60" s="1019">
        <f t="shared" si="194"/>
        <v>80.8</v>
      </c>
      <c r="BC60" s="1041">
        <f t="shared" si="104"/>
        <v>26.933333333333334</v>
      </c>
      <c r="BD60" s="1019">
        <f ca="1">IF(B60&gt;Summary!$A$1,#N/A,BB60*MGtoAF)</f>
        <v>247.89439999999999</v>
      </c>
      <c r="BE60" s="535">
        <f>Sheet1!BG58+Sheet1!BH58+Sheet1!BI58-BM60</f>
        <v>1.01</v>
      </c>
      <c r="BF60" s="535">
        <f t="shared" si="195"/>
        <v>1.0096634455181608</v>
      </c>
      <c r="BG60" s="535">
        <f>IF(Sheet1!EP58="FM",BM60,0)</f>
        <v>0</v>
      </c>
      <c r="BH60" s="535">
        <f t="shared" si="196"/>
        <v>0</v>
      </c>
      <c r="BI60" s="535">
        <f>IF(Sheet1!EP58="OTHER",BM60,0)</f>
        <v>0</v>
      </c>
      <c r="BJ60" s="535">
        <f t="shared" si="197"/>
        <v>0</v>
      </c>
      <c r="BK60" s="535">
        <f t="shared" si="198"/>
        <v>1.01</v>
      </c>
      <c r="BL60" s="535">
        <f t="shared" si="199"/>
        <v>1.0096634455181608</v>
      </c>
      <c r="BM60" s="535">
        <f>IF(OR(Sheet1!EP58="FM", Sheet1!EP58="OTHER"),SUM(Sheet1!BG58:'Sheet1'!BI58),0)</f>
        <v>0</v>
      </c>
      <c r="BN60" s="521">
        <f>IF(AND($B60&gt;=$FV60,$B60&lt;=$FW60),MAX(BF60,Sheet1!EI58,0),MAX(BF60-(7/36)*$K60,0))</f>
        <v>0</v>
      </c>
      <c r="BO60" s="535">
        <f t="shared" si="200"/>
        <v>11.559225443370728</v>
      </c>
      <c r="BP60" s="521">
        <f t="shared" si="201"/>
        <v>1.0096634455181608</v>
      </c>
      <c r="BQ60" s="521">
        <f>IF(AND($O60&gt;0,Sheet1!EM58=1),(1-($O60-Sheet1!$L58)/$O60)*BL60,0)</f>
        <v>0</v>
      </c>
      <c r="BR60" s="521">
        <f>IF(AND(Sheet1!$L58=0,Sheet1!$L57=0, Calculation!BK60&lt;Sheet1!$EI58-0.1,Sheet1!$EI58=Sheet1!$EI57,Sheet1!$EI58=Sheet1!$EI59),BL60-BQ60,BL60-BQ60)</f>
        <v>1.0096634455181608</v>
      </c>
      <c r="BS60" s="1035" t="str">
        <f t="shared" si="105"/>
        <v/>
      </c>
      <c r="BT60" s="1035">
        <f t="shared" si="106"/>
        <v>12.568888888888889</v>
      </c>
      <c r="BU60" s="535">
        <f t="shared" si="202"/>
        <v>34.695342866585747</v>
      </c>
      <c r="BV60" s="535"/>
      <c r="BW60" s="535">
        <f ca="1">IF(B60&gt;Summary!$A$1,#N/A,BU60*MGtoAF)</f>
        <v>106.44531191468508</v>
      </c>
      <c r="BX60" s="535">
        <f>Sheet1!BC58+Sheet1!BD58+Sheet1!BE58+Sheet1!BF58-CG60-CH60</f>
        <v>3.3200000000000003</v>
      </c>
      <c r="BY60" s="535">
        <f t="shared" si="203"/>
        <v>3.3188937020993006</v>
      </c>
      <c r="BZ60" s="535">
        <f>IF(Sheet1!EQ58="FM",CH60,0)</f>
        <v>0</v>
      </c>
      <c r="CA60" s="535">
        <f t="shared" si="204"/>
        <v>0</v>
      </c>
      <c r="CB60" s="535">
        <f>IF(Sheet1!EQ58="OTHER",CH60,0)</f>
        <v>0</v>
      </c>
      <c r="CC60" s="535">
        <f t="shared" si="205"/>
        <v>0</v>
      </c>
      <c r="CD60" s="535">
        <f t="shared" si="206"/>
        <v>0</v>
      </c>
      <c r="CE60" s="535">
        <f t="shared" si="207"/>
        <v>3.3200000000000003</v>
      </c>
      <c r="CF60" s="535">
        <f t="shared" si="208"/>
        <v>3.3188937020993006</v>
      </c>
      <c r="CG60" s="535">
        <f>IF(Sheet1!EQ58="CWA",SUM(Sheet1!BC58:'Sheet1'!BF58),0)</f>
        <v>0</v>
      </c>
      <c r="CH60" s="535">
        <f>IF(OR(Sheet1!EQ58="FM", Sheet1!EQ58="OTHER"),SUM(Sheet1!BC58:'Sheet1'!BF58),0)</f>
        <v>0</v>
      </c>
      <c r="CI60" s="521">
        <f>IF(AND($B60&gt;=$FV60,$B60&lt;=$FW60),MAX(CF60,Sheet1!EJ58,0),MAX(CF60-(7/36)*$K60,0))</f>
        <v>0</v>
      </c>
      <c r="CJ60" s="535">
        <f t="shared" si="209"/>
        <v>9.2499951867895884</v>
      </c>
      <c r="CK60" s="521">
        <f t="shared" si="210"/>
        <v>3.3188937020993006</v>
      </c>
      <c r="CL60" s="521">
        <f>IF(AND($O60&gt;0,Sheet1!EN58=1),(1-($O60-Sheet1!$L58)/$O60)*CF60,0)</f>
        <v>0</v>
      </c>
      <c r="CM60" s="521">
        <f>IF(AND(Sheet1!$L58=0,Sheet1!$L57=0, Calculation!CE60&lt;Sheet1!EJ58-0.1,Sheet1!EJ58=Sheet1!EJ57,Sheet1!EJ58=Sheet1!EJ59),CF60-CL60,CF60-CL60)</f>
        <v>3.3188937020993006</v>
      </c>
      <c r="CN60" s="1040" t="str">
        <f t="shared" si="107"/>
        <v/>
      </c>
      <c r="CO60" s="1035">
        <f t="shared" si="108"/>
        <v>12.568888888888889</v>
      </c>
      <c r="CP60" s="535">
        <f t="shared" si="211"/>
        <v>28.432599044140559</v>
      </c>
      <c r="CQ60" s="535"/>
      <c r="CR60" s="535">
        <f ca="1">IF(B60&gt;Summary!$A$1,#N/A,CP60*MGtoAF)</f>
        <v>87.231213867423236</v>
      </c>
      <c r="CS60" s="535">
        <f>Sheet1!BK58+Sheet1!BL58+Sheet1!BM58-Sheet1!ER58-DA60</f>
        <v>6.48</v>
      </c>
      <c r="CT60" s="535">
        <f t="shared" si="212"/>
        <v>6.4778407197600805</v>
      </c>
      <c r="CU60" s="535">
        <f>IF(Sheet1!ER58="FM",DA60,0)</f>
        <v>0</v>
      </c>
      <c r="CV60" s="535">
        <f t="shared" si="213"/>
        <v>0</v>
      </c>
      <c r="CW60" s="535">
        <f>IF(Sheet1!ER58="OTHER",DA60,0)</f>
        <v>0</v>
      </c>
      <c r="CX60" s="535">
        <f t="shared" si="214"/>
        <v>0</v>
      </c>
      <c r="CY60" s="535">
        <f t="shared" si="215"/>
        <v>6.48</v>
      </c>
      <c r="CZ60" s="535">
        <f t="shared" si="216"/>
        <v>6.4778407197600805</v>
      </c>
      <c r="DA60" s="535">
        <f>IF(OR(Sheet1!ER58="FM", Sheet1!ER58="OTHER"),SUM(Sheet1!BK58:'Sheet1'!BM58),0)</f>
        <v>0</v>
      </c>
      <c r="DB60" s="1011">
        <f>IF(AND($B60&gt;=$FV60,$B60&lt;=$FW60),MAX($CT60,Sheet1!EK58,0),MAX($CT60-(7/36)*$K60,0))</f>
        <v>0</v>
      </c>
      <c r="DC60" s="1012">
        <f t="shared" si="217"/>
        <v>6.0910481691288085</v>
      </c>
      <c r="DD60" s="1011">
        <f t="shared" si="218"/>
        <v>6.4778407197600805</v>
      </c>
      <c r="DE60" s="521">
        <f>IF(AND($O60&gt;0,Sheet1!EO58=1),(1-($O60-Sheet1!$L58)/$O60)*CZ60,0)</f>
        <v>0</v>
      </c>
      <c r="DF60" s="521">
        <f>IF(AND(Sheet1!$L58=0,Sheet1!$L57=0, Calculation!CY60&lt;Sheet1!$EK58-0.1,Sheet1!$EK58=Sheet1!$EK57,Sheet1!$EK58=Sheet1!$EK59),CZ60-DE60,CZ60-DE60)</f>
        <v>6.4778407197600805</v>
      </c>
      <c r="DG60" s="1040">
        <f t="shared" si="109"/>
        <v>12.568888888888889</v>
      </c>
      <c r="DH60" s="649">
        <f t="shared" si="219"/>
        <v>10.81</v>
      </c>
      <c r="DI60" s="535">
        <f t="shared" si="220"/>
        <v>18.422159100399501</v>
      </c>
      <c r="DJ60" s="649">
        <f t="shared" si="221"/>
        <v>10.806397867377541</v>
      </c>
      <c r="DK60" s="535">
        <f ca="1">IF(B60&gt;Summary!$A$1,#N/A,DI60*MGtoAF)</f>
        <v>56.51918412002567</v>
      </c>
      <c r="DL60" s="649">
        <f t="shared" si="222"/>
        <v>10.81</v>
      </c>
      <c r="DM60" s="535">
        <f t="shared" si="223"/>
        <v>30.009999999999998</v>
      </c>
      <c r="DN60" s="535">
        <f>Sheet1!AB58-DM60</f>
        <v>-9.9999999999980105E-3</v>
      </c>
      <c r="DO60" s="743">
        <f t="shared" si="224"/>
        <v>-3.3322225924685141E-4</v>
      </c>
      <c r="DP60" s="535">
        <f>(VLOOKUP(Sheet1!DC58,hhdcap_wcm,4)-(((VLOOKUP(Sheet1!DC58,hhdcap_wcm,3)-Sheet1!DC58)/(VLOOKUP(Sheet1!DC58,hhdcap_wcm,3)-VLOOKUP(Sheet1!DC58,hhdcap_wcm,1)))*(VLOOKUP(Sheet1!DC58,hhdcap_wcm,4)-VLOOKUP(Sheet1!DC58,hhdcap_wcm,2))))</f>
        <v>4397.4000000098222</v>
      </c>
      <c r="DQ60" s="535">
        <f t="shared" si="225"/>
        <v>-436.100000000808</v>
      </c>
      <c r="DR60" s="535">
        <f t="shared" si="226"/>
        <v>-219.91931417085624</v>
      </c>
      <c r="DS60" s="535">
        <f>Sheet1!EA58*AFtoMG</f>
        <v>0</v>
      </c>
      <c r="DT60" s="535">
        <f>Sheet1!EB58*AFtoMG</f>
        <v>0</v>
      </c>
      <c r="DU60" s="535">
        <f>Sheet1!EC58*AFtoMG</f>
        <v>0</v>
      </c>
      <c r="DV60" s="535">
        <f>Sheet1!ED58*AFtoMG</f>
        <v>0</v>
      </c>
      <c r="DW60" s="535">
        <f t="shared" si="227"/>
        <v>0</v>
      </c>
      <c r="DX60" s="535">
        <f t="shared" si="228"/>
        <v>0</v>
      </c>
      <c r="DY60" s="535">
        <f t="shared" si="229"/>
        <v>162.35010101112582</v>
      </c>
      <c r="DZ60" s="535">
        <f t="shared" si="230"/>
        <v>498.09010990213403</v>
      </c>
      <c r="EA60" s="535"/>
      <c r="EB60" s="521">
        <f>IF(OR(B60&lt;FV60,B60&gt;FW60),(MIN(BF60+BY60+CT60+MAX(Sheet1!AA58+AQ60-73,0),K60)),0)</f>
        <v>10.806397867377541</v>
      </c>
      <c r="EC60" s="535"/>
      <c r="ED60" s="535">
        <f t="shared" si="231"/>
        <v>10.806397867377541</v>
      </c>
      <c r="EE60" s="535"/>
      <c r="EF60" s="535">
        <f>Sheet1!EH58+Sheet1!EI58+Sheet1!EJ58+Sheet1!EK58</f>
        <v>11</v>
      </c>
      <c r="EG60" s="1019">
        <f t="shared" si="110"/>
        <v>17.016999999999999</v>
      </c>
      <c r="EH60" s="521">
        <f t="shared" si="232"/>
        <v>0</v>
      </c>
      <c r="EI60" s="535">
        <f>IF(Sheet1!ET58=1,SUM('Calculations II'!AT60:BA60)+'Calculations II'!BC60+Sheet1!BV58+'Calculations II'!BE60+AP60,'Calculations II'!BK60)</f>
        <v>44.255404132622459</v>
      </c>
      <c r="EJ60" s="535">
        <f ca="1">EI60+'Calculations II'!D60+'Calculations II'!E60+'Calculations II'!O60</f>
        <v>43.585938393585707</v>
      </c>
      <c r="EK60" s="535"/>
      <c r="EL60" s="535"/>
      <c r="EM60" s="535">
        <f t="shared" si="233"/>
        <v>42784</v>
      </c>
      <c r="EN60" s="535">
        <f t="shared" si="234"/>
        <v>53.83360213262246</v>
      </c>
      <c r="EO60" s="535">
        <f t="shared" si="235"/>
        <v>83.28058249916694</v>
      </c>
      <c r="EP60" s="535">
        <v>0</v>
      </c>
      <c r="EQ60" s="535">
        <v>0</v>
      </c>
      <c r="ER60" s="535">
        <v>0</v>
      </c>
      <c r="ES60" s="521">
        <f t="shared" si="71"/>
        <v>-0.2768734358517751</v>
      </c>
      <c r="ET60" s="535">
        <f>-(VLOOKUP(Sheet1!BQ58,Lookup!$O$4:$Q$262,2)-VLOOKUP(Sheet1!BQ57,Lookup!$O$4:$Q$262,2))/1000000</f>
        <v>-0.13841429288288951</v>
      </c>
      <c r="EU60" s="535">
        <f>-(VLOOKUP(Sheet1!BR58,Lookup!$O$4:$Q$262,3)-VLOOKUP(Sheet1!BR57,Lookup!$O$4:$Q$262,3))/1000000</f>
        <v>-0.13845914296888559</v>
      </c>
      <c r="EV60" s="535"/>
      <c r="EW60" s="535"/>
      <c r="EX60" s="535"/>
      <c r="EY60" s="535"/>
      <c r="EZ60" s="535"/>
      <c r="FA60" s="535"/>
      <c r="FB60" s="535"/>
      <c r="FC60" s="535"/>
      <c r="FD60" s="567" t="e">
        <f t="shared" si="236"/>
        <v>#N/A</v>
      </c>
      <c r="FE60" s="567" t="e">
        <f t="shared" si="237"/>
        <v>#N/A</v>
      </c>
      <c r="FF60" s="568" t="e">
        <f t="shared" si="238"/>
        <v>#N/A</v>
      </c>
      <c r="FG60" s="569" t="s">
        <v>656</v>
      </c>
      <c r="FH60" s="569" t="s">
        <v>656</v>
      </c>
      <c r="FI60" s="567" t="e">
        <v>#N/A</v>
      </c>
      <c r="FJ60" s="567" t="e">
        <v>#N/A</v>
      </c>
      <c r="FK60" s="535"/>
      <c r="FL60" s="1015">
        <v>0</v>
      </c>
      <c r="FM60" s="535"/>
      <c r="FN60" s="535"/>
      <c r="FO60" s="535">
        <f>O60+((Sheet1!CS58)*GPMtoMGD)</f>
        <v>55.8</v>
      </c>
      <c r="FP60" s="535">
        <f>IF(Sheet1!AA58+AQ60&lt;=Calculation!N60,AQ60,Calculation!N60-Sheet1!AA58)</f>
        <v>19.193602132622459</v>
      </c>
      <c r="FQ60" s="535">
        <f>(Sheet1!BP58+Sheet1!BO58)/694.4</f>
        <v>1.5686923963133641</v>
      </c>
      <c r="FR60" s="541"/>
      <c r="FS60" s="541"/>
      <c r="FT60" s="541"/>
      <c r="FU60" s="541"/>
      <c r="FV60" s="1109">
        <f t="shared" si="74"/>
        <v>42918</v>
      </c>
      <c r="FW60" s="1109">
        <f t="shared" si="75"/>
        <v>43027</v>
      </c>
      <c r="FX60" s="541"/>
      <c r="FY60" s="541">
        <f>Sheet1!DA58-Sheet1!CZ58-Sheet1!AE58</f>
        <v>1096.2854500000024</v>
      </c>
      <c r="FZ60" s="535">
        <f t="shared" si="111"/>
        <v>0.49380432747225467</v>
      </c>
      <c r="GA60" s="535"/>
      <c r="GB60" s="535" t="str">
        <f t="shared" si="76"/>
        <v>n</v>
      </c>
      <c r="GC60" s="539">
        <f t="shared" si="77"/>
        <v>42782</v>
      </c>
      <c r="GD60" s="1109">
        <f t="shared" si="78"/>
        <v>42904</v>
      </c>
      <c r="GE60" s="535">
        <f t="shared" si="95"/>
        <v>6520</v>
      </c>
      <c r="GF60" s="1109">
        <f t="shared" si="79"/>
        <v>42909</v>
      </c>
      <c r="GG60" s="535">
        <f t="shared" si="174"/>
        <v>3260</v>
      </c>
      <c r="GH60" s="539">
        <f t="shared" si="80"/>
        <v>43040</v>
      </c>
      <c r="GJ60" s="521">
        <f t="shared" si="81"/>
        <v>0</v>
      </c>
      <c r="GK60" s="535" t="str">
        <f t="shared" si="239"/>
        <v/>
      </c>
      <c r="GL60" s="535">
        <f t="shared" si="82"/>
        <v>0</v>
      </c>
      <c r="GM60" s="535" t="str">
        <f t="shared" si="83"/>
        <v/>
      </c>
      <c r="GN60" s="535">
        <f>IF(GK60="P",Lookup!$M$12,IF(GK60="PP",Lookup!$M$13,IF(GK60="PPP",Lookup!$M$14,IF(GK60="T",Lookup!$M$15,IF(GK60="TP",Lookup!$M$16,IF(GK60="TPP",Lookup!$M$17,IF(GK60="TPPP",Lookup!$M$18,0)))))))*GJ60</f>
        <v>0</v>
      </c>
      <c r="GO60" s="535">
        <f t="shared" si="84"/>
        <v>0</v>
      </c>
      <c r="GP60" s="535">
        <f t="shared" si="240"/>
        <v>247.89439999999999</v>
      </c>
      <c r="GQ60" s="535">
        <f t="shared" si="94"/>
        <v>80.8</v>
      </c>
      <c r="GR60" s="535"/>
      <c r="GS60" s="535">
        <f t="shared" si="85"/>
        <v>0</v>
      </c>
      <c r="GT60" s="535" t="str">
        <f t="shared" si="86"/>
        <v/>
      </c>
      <c r="GU60" s="535">
        <f>IF(GK60="P",Lookup!$N$12,IF(GK60="PP",Lookup!$N$13,IF(GK60="PPP",Lookup!$N$14,IF(GK60="T",Lookup!$N$15,IF(GK60="TP",Lookup!$N$16,IF(GK60="TPP",Lookup!$N$17,IF(GK60="TPPP",Lookup!$N$18,0)))))))*GJ60</f>
        <v>0</v>
      </c>
      <c r="GV60" s="535">
        <f t="shared" si="53"/>
        <v>0</v>
      </c>
      <c r="GW60" s="535">
        <f t="shared" si="241"/>
        <v>106.44531191468508</v>
      </c>
      <c r="GX60" s="535">
        <f t="shared" si="91"/>
        <v>34.695342866585747</v>
      </c>
      <c r="GY60" s="535"/>
      <c r="GZ60" s="535">
        <f t="shared" si="87"/>
        <v>0</v>
      </c>
      <c r="HA60" s="535" t="str">
        <f t="shared" si="88"/>
        <v/>
      </c>
      <c r="HB60" s="535">
        <f>IF(GK60="P",Lookup!$N$12,IF(GK60="PP",Lookup!$N$13,IF(GK60="PPP",Lookup!$N$14,IF(GK60="T",Lookup!$N$15,IF(GK60="TP",Lookup!$N$16,IF(GK60="TPP",Lookup!$N$17,IF(GK60="TPPP",Lookup!$N$18,0)))))))*GJ60</f>
        <v>0</v>
      </c>
      <c r="HC60" s="521">
        <f t="shared" si="242"/>
        <v>0</v>
      </c>
      <c r="HD60" s="535">
        <f t="shared" si="243"/>
        <v>87.231213867423236</v>
      </c>
      <c r="HE60" s="535">
        <f t="shared" si="92"/>
        <v>28.432599044140559</v>
      </c>
      <c r="HF60" s="535"/>
      <c r="HG60" s="535">
        <f t="shared" si="89"/>
        <v>0</v>
      </c>
      <c r="HH60" s="535" t="str">
        <f t="shared" si="90"/>
        <v/>
      </c>
      <c r="HI60" s="535">
        <f>IF(GK60="P",Lookup!$N$12,IF(GK60="PP",Lookup!$N$13,IF(GK60="PPP",Lookup!$N$14,IF(GK60="T",Lookup!$N$15,IF(GK60="TP",Lookup!$N$16,IF(GK60="TPP",Lookup!$N$17,IF(GK60="TPPP",Lookup!$N$18,0)))))))*GJ60</f>
        <v>0</v>
      </c>
      <c r="HJ60" s="521">
        <f t="shared" si="244"/>
        <v>0</v>
      </c>
      <c r="HK60" s="535">
        <f t="shared" si="245"/>
        <v>56.51918412002567</v>
      </c>
      <c r="HL60" s="535">
        <f t="shared" si="93"/>
        <v>18.422159100399501</v>
      </c>
      <c r="HM60" s="535"/>
      <c r="HN60" s="541"/>
      <c r="HO60" s="541"/>
      <c r="HP60" s="541"/>
      <c r="HQ60" s="541">
        <f>IF(AND(B60&gt;=$FV$4,B60&lt;=$FW$4),MAX(110/1.02+$HQ$6+MIN(113/1.02,G60),IF($HV$6-(Sheet1!DA58-Sheet1!DB58)+MIN(113/1.02,G60)&lt;G60+FL60,$HV$6-(Sheet1!DA58-Sheet1!DB58)+MIN(113/1.02,G60),G60+FL60)),MIN(110/1.02+$HQ$6+113/1.02,G60))</f>
        <v>218.62745098039215</v>
      </c>
      <c r="HR60" s="541">
        <f t="shared" si="112"/>
        <v>223</v>
      </c>
      <c r="HS60" s="541">
        <f>HR60+(Sheet1!DA58-Sheet1!DB58)</f>
        <v>1633</v>
      </c>
      <c r="HT60" s="541">
        <f t="shared" si="113"/>
        <v>69.599529999999987</v>
      </c>
      <c r="HU60" s="541">
        <f t="shared" si="114"/>
        <v>1563.40047</v>
      </c>
      <c r="HV60" s="541">
        <f t="shared" si="115"/>
        <v>0</v>
      </c>
      <c r="HW60" s="533" t="str">
        <f t="shared" si="116"/>
        <v/>
      </c>
      <c r="HX60" s="541">
        <f t="shared" si="117"/>
        <v>2221.372549019608</v>
      </c>
      <c r="HY60" s="541">
        <f>Sheet1!CZ58</f>
        <v>2440</v>
      </c>
      <c r="HZ60" s="541">
        <f t="shared" si="118"/>
        <v>0</v>
      </c>
      <c r="IA60" s="541">
        <f t="shared" si="119"/>
        <v>69.599529999999987</v>
      </c>
      <c r="IB60" s="541">
        <f t="shared" si="120"/>
        <v>2440</v>
      </c>
      <c r="IC60" s="1019" t="str">
        <f t="shared" si="121"/>
        <v/>
      </c>
      <c r="ID60" s="541">
        <f t="shared" si="122"/>
        <v>2370.40047</v>
      </c>
      <c r="IE60" s="541">
        <f>Sheet1!DB58</f>
        <v>2200</v>
      </c>
      <c r="IF60" s="533">
        <f>Sheet1!DA58</f>
        <v>3610</v>
      </c>
      <c r="IH60" s="541">
        <f>IF(AND($B60&gt;=$GC60,$B60&lt;=$GH60,$DR60&lt;0)+N("only adjusted when pool is drawn down during storage season"),Sheet1!$DB58+$DR60+N("Palmer minus all storage release"),Sheet1!$DB58)</f>
        <v>1980.0806858291437</v>
      </c>
      <c r="II60" s="541">
        <f>IF(AND($B60&gt;=$GC60,$B60&lt;=$GH60,$DR60&lt;0)+N("only adjusted when pool is drawn down during storage season"),Sheet1!$DA58+$DR60+N("Auburn minus all storage release"),Sheet1!$DA58)</f>
        <v>3390.0806858291439</v>
      </c>
    </row>
    <row r="61" spans="1:243" x14ac:dyDescent="0.25">
      <c r="A61" s="553" t="s">
        <v>3</v>
      </c>
      <c r="B61" s="531">
        <v>42785</v>
      </c>
      <c r="C61" s="536">
        <v>0</v>
      </c>
      <c r="D61" s="506">
        <f t="shared" si="0"/>
        <v>300</v>
      </c>
      <c r="E61" s="506">
        <f t="shared" si="1"/>
        <v>250</v>
      </c>
      <c r="F61" s="506">
        <v>250</v>
      </c>
      <c r="G61" s="535">
        <f>DR61+Sheet1!CZ59</f>
        <v>1885.3706505286091</v>
      </c>
      <c r="H61" s="1074">
        <f t="shared" si="246"/>
        <v>918.88251906169285</v>
      </c>
      <c r="I61" s="534">
        <f>IF(Sheet1!DA59&gt;=E61,(Sheet1!DA59-E61+P61)*CFStoMGD,0)</f>
        <v>2143.5709305599999</v>
      </c>
      <c r="J61" s="995">
        <f>IF(Sheet1!DB59&gt;=D61,(Sheet1!DB59-D61+P61)*CFStoMGD,0)</f>
        <v>1270.93093056</v>
      </c>
      <c r="K61" s="818">
        <f t="shared" si="97"/>
        <v>64.64</v>
      </c>
      <c r="L61" s="535">
        <f>Sheet1!AA59+Sheet1!AB59-Sheet1!L59+(Sheet1!DA59-F61)*CFStoMGD-S61-T61-U61</f>
        <v>2078.9319999999998</v>
      </c>
      <c r="M61" s="535">
        <f t="shared" si="185"/>
        <v>1243.0776602717267</v>
      </c>
      <c r="N61" s="824">
        <f>IF(Sheet1!DA59&gt;=F61,MIN(113*CFStoMGD,MIN(MAX(L61,0),MAX(M61,0))),0)</f>
        <v>73.043199999999999</v>
      </c>
      <c r="O61" s="538">
        <f>Sheet1!AA59+Sheet1!AB59</f>
        <v>55.7</v>
      </c>
      <c r="P61" s="538">
        <f t="shared" si="186"/>
        <v>86.167900000000003</v>
      </c>
      <c r="Q61" s="812">
        <f t="shared" si="98"/>
        <v>44.71</v>
      </c>
      <c r="R61" s="812">
        <f t="shared" si="59"/>
        <v>10.920604852110333</v>
      </c>
      <c r="S61" s="812">
        <f t="shared" si="60"/>
        <v>10.99</v>
      </c>
      <c r="T61" s="812">
        <f t="shared" si="61"/>
        <v>53.65</v>
      </c>
      <c r="U61" s="812">
        <f t="shared" si="99"/>
        <v>0</v>
      </c>
      <c r="V61" s="812"/>
      <c r="W61" s="812">
        <f t="shared" si="62"/>
        <v>53.719395147889671</v>
      </c>
      <c r="X61" s="812">
        <f t="shared" si="63"/>
        <v>64.64</v>
      </c>
      <c r="Y61" s="812" t="str">
        <f t="shared" si="64"/>
        <v>FALSE</v>
      </c>
      <c r="Z61" s="812">
        <f t="shared" si="65"/>
        <v>55.7</v>
      </c>
      <c r="AA61" s="812">
        <f t="shared" si="66"/>
        <v>55.7</v>
      </c>
      <c r="AB61" s="1059">
        <f t="shared" si="100"/>
        <v>69.166370000000001</v>
      </c>
      <c r="AC61" s="538">
        <f>Sheet1!Y59*MGDtoCFS</f>
        <v>39.912599999999998</v>
      </c>
      <c r="AD61" s="538">
        <f>Sheet1!Z59*MGDtoCFS</f>
        <v>46.41</v>
      </c>
      <c r="AE61" s="538">
        <f>Sheet1!AA59*MGDtoCFS</f>
        <v>39.912599999999998</v>
      </c>
      <c r="AF61" s="538">
        <f>Sheet1!AB59*MGDtoCFS</f>
        <v>46.255299999999998</v>
      </c>
      <c r="AG61" s="538">
        <f>Sheet1!L59*MGDtoCFS</f>
        <v>0</v>
      </c>
      <c r="AH61" s="521">
        <f t="shared" si="187"/>
        <v>0</v>
      </c>
      <c r="AI61" s="1059">
        <f t="shared" si="188"/>
        <v>0</v>
      </c>
      <c r="AJ61" s="535">
        <f t="shared" si="189"/>
        <v>53.719395147889671</v>
      </c>
      <c r="AK61" s="535">
        <f t="shared" si="190"/>
        <v>83.10390429378532</v>
      </c>
      <c r="AL61" s="535">
        <f>(VLOOKUP(Sheet1!DC59,hhdcap_wcm,4)-(((VLOOKUP(Sheet1!DC59,hhdcap_wcm,3)-Sheet1!DC59)/(VLOOKUP(Sheet1!DC59,hhdcap_wcm,3)-VLOOKUP(Sheet1!DC59,hhdcap_wcm,1)))*(VLOOKUP(Sheet1!DC59,hhdcap_wcm,4)-VLOOKUP(Sheet1!DC59,hhdcap_wcm,2))))</f>
        <v>3317.4000000080537</v>
      </c>
      <c r="AM61" s="535">
        <f t="shared" si="191"/>
        <v>-1080.0000000017685</v>
      </c>
      <c r="AN61" s="1035">
        <f t="shared" si="192"/>
        <v>216.0694961590155</v>
      </c>
      <c r="AO61" s="535">
        <f t="shared" si="193"/>
        <v>662.90121421585957</v>
      </c>
      <c r="AP61" s="535">
        <f>Sheet1!BA59+Sheet1!BB59+Sheet1!BN59+CD61</f>
        <v>19.100000000000001</v>
      </c>
      <c r="AQ61" s="535">
        <f>Sheet1!BN59+(DO61*Sheet1!BN59)</f>
        <v>18.979395147889662</v>
      </c>
      <c r="AR61" s="535">
        <f>Sheet1!BA59+CD61</f>
        <v>0</v>
      </c>
      <c r="AS61" s="535">
        <f>Sheet1!BA59+Sheet1!BB59+CD61</f>
        <v>0</v>
      </c>
      <c r="AT61" s="649">
        <f>0</f>
        <v>0</v>
      </c>
      <c r="AU61" s="535">
        <f>IF(EB61&lt;K61,0,MAX(Sheet1!AA59+AQ61-15/36*K61-N61,Sheet1!EH59,0))</f>
        <v>0</v>
      </c>
      <c r="AV61" s="535">
        <f>IF(OR(B61&gt;=GD61,B61&lt;GC61),0,15/36*K61-MAX(0,64.6-(137.6-(Sheet1!AA59+Sheet1!AB59))))</f>
        <v>26.933333333333334</v>
      </c>
      <c r="AW61" s="1029"/>
      <c r="AX61" s="649"/>
      <c r="AY61" s="649">
        <f t="shared" si="101"/>
        <v>0</v>
      </c>
      <c r="AZ61" s="649">
        <f t="shared" si="102"/>
        <v>0</v>
      </c>
      <c r="BA61" s="1059">
        <f t="shared" si="103"/>
        <v>0</v>
      </c>
      <c r="BB61" s="1019">
        <f t="shared" si="194"/>
        <v>107.73333333333333</v>
      </c>
      <c r="BC61" s="1041">
        <f t="shared" si="104"/>
        <v>26.933333333333334</v>
      </c>
      <c r="BD61" s="1019">
        <f ca="1">IF(B61&gt;Summary!$A$1,#N/A,BB61*MGtoAF)</f>
        <v>330.52586666666667</v>
      </c>
      <c r="BE61" s="535">
        <f>Sheet1!BG59+Sheet1!BH59+Sheet1!BI59-BM61</f>
        <v>1.02</v>
      </c>
      <c r="BF61" s="535">
        <f t="shared" si="195"/>
        <v>1.0135593220338981</v>
      </c>
      <c r="BG61" s="535">
        <f>IF(Sheet1!EP59="FM",BM61,0)</f>
        <v>0</v>
      </c>
      <c r="BH61" s="535">
        <f t="shared" si="196"/>
        <v>0</v>
      </c>
      <c r="BI61" s="535">
        <f>IF(Sheet1!EP59="OTHER",BM61,0)</f>
        <v>0</v>
      </c>
      <c r="BJ61" s="535">
        <f t="shared" si="197"/>
        <v>0</v>
      </c>
      <c r="BK61" s="535">
        <f t="shared" si="198"/>
        <v>1.02</v>
      </c>
      <c r="BL61" s="535">
        <f t="shared" si="199"/>
        <v>1.0135593220338981</v>
      </c>
      <c r="BM61" s="535">
        <f>IF(OR(Sheet1!EP59="FM", Sheet1!EP59="OTHER"),SUM(Sheet1!BG59:'Sheet1'!BI59),0)</f>
        <v>0</v>
      </c>
      <c r="BN61" s="521">
        <f>IF(AND($B61&gt;=$FV61,$B61&lt;=$FW61),MAX(BF61,Sheet1!EI59,0),MAX(BF61-(7/36)*$K61,0))</f>
        <v>0</v>
      </c>
      <c r="BO61" s="535">
        <f t="shared" si="200"/>
        <v>11.55532956685499</v>
      </c>
      <c r="BP61" s="521">
        <f t="shared" si="201"/>
        <v>1.0135593220338981</v>
      </c>
      <c r="BQ61" s="521">
        <f>IF(AND($O61&gt;0,Sheet1!EM59=1),(1-($O61-Sheet1!$L59)/$O61)*BL61,0)</f>
        <v>0</v>
      </c>
      <c r="BR61" s="521">
        <f>IF(AND(Sheet1!$L59=0,Sheet1!$L58=0, Calculation!BK61&lt;Sheet1!$EI59-0.1,Sheet1!$EI59=Sheet1!$EI58,Sheet1!$EI59=Sheet1!$EI60),BL61-BQ61,BL61-BQ61)</f>
        <v>1.0135593220338981</v>
      </c>
      <c r="BS61" s="1035" t="str">
        <f t="shared" si="105"/>
        <v/>
      </c>
      <c r="BT61" s="1035">
        <f t="shared" si="106"/>
        <v>12.568888888888889</v>
      </c>
      <c r="BU61" s="535">
        <f t="shared" si="202"/>
        <v>46.250672433440741</v>
      </c>
      <c r="BV61" s="535"/>
      <c r="BW61" s="535">
        <f ca="1">IF(B61&gt;Summary!$A$1,#N/A,BU61*MGtoAF)</f>
        <v>141.8970630257962</v>
      </c>
      <c r="BX61" s="535">
        <f>Sheet1!BC59+Sheet1!BD59+Sheet1!BE59+Sheet1!BF59-CG61-CH61</f>
        <v>3.49</v>
      </c>
      <c r="BY61" s="535">
        <f t="shared" si="203"/>
        <v>3.4679627783316711</v>
      </c>
      <c r="BZ61" s="535">
        <f>IF(Sheet1!EQ59="FM",CH61,0)</f>
        <v>0</v>
      </c>
      <c r="CA61" s="535">
        <f t="shared" si="204"/>
        <v>0</v>
      </c>
      <c r="CB61" s="535">
        <f>IF(Sheet1!EQ59="OTHER",CH61,0)</f>
        <v>0</v>
      </c>
      <c r="CC61" s="535">
        <f t="shared" si="205"/>
        <v>0</v>
      </c>
      <c r="CD61" s="535">
        <f t="shared" si="206"/>
        <v>0</v>
      </c>
      <c r="CE61" s="535">
        <f t="shared" si="207"/>
        <v>3.49</v>
      </c>
      <c r="CF61" s="535">
        <f t="shared" si="208"/>
        <v>3.4679627783316711</v>
      </c>
      <c r="CG61" s="535">
        <f>IF(Sheet1!EQ59="CWA",SUM(Sheet1!BC59:'Sheet1'!BF59),0)</f>
        <v>0</v>
      </c>
      <c r="CH61" s="535">
        <f>IF(OR(Sheet1!EQ59="FM", Sheet1!EQ59="OTHER"),SUM(Sheet1!BC59:'Sheet1'!BF59),0)</f>
        <v>0</v>
      </c>
      <c r="CI61" s="521">
        <f>IF(AND($B61&gt;=$FV61,$B61&lt;=$FW61),MAX(CF61,Sheet1!EJ59,0),MAX(CF61-(7/36)*$K61,0))</f>
        <v>0</v>
      </c>
      <c r="CJ61" s="535">
        <f t="shared" si="209"/>
        <v>9.1009261105572179</v>
      </c>
      <c r="CK61" s="521">
        <f t="shared" si="210"/>
        <v>3.4679627783316711</v>
      </c>
      <c r="CL61" s="521">
        <f>IF(AND($O61&gt;0,Sheet1!EN59=1),(1-($O61-Sheet1!$L59)/$O61)*CF61,0)</f>
        <v>0</v>
      </c>
      <c r="CM61" s="521">
        <f>IF(AND(Sheet1!$L59=0,Sheet1!$L58=0, Calculation!CE61&lt;Sheet1!EJ59-0.1,Sheet1!EJ59=Sheet1!EJ58,Sheet1!EJ59=Sheet1!EJ60),CF61-CL61,CF61-CL61)</f>
        <v>3.4679627783316711</v>
      </c>
      <c r="CN61" s="1040" t="str">
        <f t="shared" si="107"/>
        <v/>
      </c>
      <c r="CO61" s="1035">
        <f t="shared" si="108"/>
        <v>12.568888888888889</v>
      </c>
      <c r="CP61" s="535">
        <f t="shared" si="211"/>
        <v>37.533525154697777</v>
      </c>
      <c r="CQ61" s="535"/>
      <c r="CR61" s="535">
        <f ca="1">IF(B61&gt;Summary!$A$1,#N/A,CP61*MGtoAF)</f>
        <v>115.15285517461278</v>
      </c>
      <c r="CS61" s="535">
        <f>Sheet1!BK59+Sheet1!BL59+Sheet1!BM59-Sheet1!ER59-DA61</f>
        <v>6.48</v>
      </c>
      <c r="CT61" s="535">
        <f t="shared" si="212"/>
        <v>6.4390827517447651</v>
      </c>
      <c r="CU61" s="535">
        <f>IF(Sheet1!ER59="FM",DA61,0)</f>
        <v>0</v>
      </c>
      <c r="CV61" s="535">
        <f t="shared" si="213"/>
        <v>0</v>
      </c>
      <c r="CW61" s="535">
        <f>IF(Sheet1!ER59="OTHER",DA61,0)</f>
        <v>0</v>
      </c>
      <c r="CX61" s="535">
        <f t="shared" si="214"/>
        <v>0</v>
      </c>
      <c r="CY61" s="535">
        <f t="shared" si="215"/>
        <v>6.48</v>
      </c>
      <c r="CZ61" s="535">
        <f t="shared" si="216"/>
        <v>6.4390827517447651</v>
      </c>
      <c r="DA61" s="535">
        <f>IF(OR(Sheet1!ER59="FM", Sheet1!ER59="OTHER"),SUM(Sheet1!BK59:'Sheet1'!BM59),0)</f>
        <v>0</v>
      </c>
      <c r="DB61" s="1011">
        <f>IF(AND($B61&gt;=$FV61,$B61&lt;=$FW61),MAX($CT61,Sheet1!EK59,0),MAX($CT61-(7/36)*$K61,0))</f>
        <v>0</v>
      </c>
      <c r="DC61" s="1012">
        <f t="shared" si="217"/>
        <v>6.1298061371441239</v>
      </c>
      <c r="DD61" s="1011">
        <f t="shared" si="218"/>
        <v>6.4390827517447651</v>
      </c>
      <c r="DE61" s="521">
        <f>IF(AND($O61&gt;0,Sheet1!EO59=1),(1-($O61-Sheet1!$L59)/$O61)*CZ61,0)</f>
        <v>0</v>
      </c>
      <c r="DF61" s="521">
        <f>IF(AND(Sheet1!$L59=0,Sheet1!$L58=0, Calculation!CY61&lt;Sheet1!$EK59-0.1,Sheet1!$EK59=Sheet1!$EK58,Sheet1!$EK59=Sheet1!$EK60),CZ61-DE61,CZ61-DE61)</f>
        <v>6.4390827517447651</v>
      </c>
      <c r="DG61" s="1040">
        <f t="shared" si="109"/>
        <v>12.568888888888889</v>
      </c>
      <c r="DH61" s="649">
        <f t="shared" si="219"/>
        <v>10.99</v>
      </c>
      <c r="DI61" s="535">
        <f t="shared" si="220"/>
        <v>24.551965237543627</v>
      </c>
      <c r="DJ61" s="649">
        <f t="shared" si="221"/>
        <v>10.920604852110333</v>
      </c>
      <c r="DK61" s="535">
        <f ca="1">IF(B61&gt;Summary!$A$1,#N/A,DI61*MGtoAF)</f>
        <v>75.325429348783842</v>
      </c>
      <c r="DL61" s="649">
        <f t="shared" si="222"/>
        <v>10.99</v>
      </c>
      <c r="DM61" s="535">
        <f t="shared" si="223"/>
        <v>30.090000000000003</v>
      </c>
      <c r="DN61" s="535">
        <f>Sheet1!AB59-DM61</f>
        <v>-0.19000000000000483</v>
      </c>
      <c r="DO61" s="743">
        <f t="shared" si="224"/>
        <v>-6.3143901628449585E-3</v>
      </c>
      <c r="DP61" s="535">
        <f>(VLOOKUP(Sheet1!DC59,hhdcap_wcm,4)-(((VLOOKUP(Sheet1!DC59,hhdcap_wcm,3)-Sheet1!DC59)/(VLOOKUP(Sheet1!DC59,hhdcap_wcm,3)-VLOOKUP(Sheet1!DC59,hhdcap_wcm,1)))*(VLOOKUP(Sheet1!DC59,hhdcap_wcm,4)-VLOOKUP(Sheet1!DC59,hhdcap_wcm,2))))</f>
        <v>3317.4000000080537</v>
      </c>
      <c r="DQ61" s="535">
        <f t="shared" si="225"/>
        <v>-1080.0000000017685</v>
      </c>
      <c r="DR61" s="535">
        <f t="shared" si="226"/>
        <v>-544.62934947139104</v>
      </c>
      <c r="DS61" s="535">
        <f>Sheet1!EA59*AFtoMG</f>
        <v>0</v>
      </c>
      <c r="DT61" s="535">
        <f>Sheet1!EB59*AFtoMG</f>
        <v>0</v>
      </c>
      <c r="DU61" s="535">
        <f>Sheet1!EC59*AFtoMG</f>
        <v>0</v>
      </c>
      <c r="DV61" s="535">
        <f>Sheet1!ED59*AFtoMG</f>
        <v>0</v>
      </c>
      <c r="DW61" s="535">
        <f t="shared" si="227"/>
        <v>0</v>
      </c>
      <c r="DX61" s="535">
        <f t="shared" si="228"/>
        <v>0</v>
      </c>
      <c r="DY61" s="535">
        <f t="shared" si="229"/>
        <v>216.0694961590155</v>
      </c>
      <c r="DZ61" s="535">
        <f t="shared" si="230"/>
        <v>662.90121421585957</v>
      </c>
      <c r="EA61" s="535"/>
      <c r="EB61" s="521">
        <f>IF(OR(B61&lt;FV61,B61&gt;FW61),(MIN(BF61+BY61+CT61+MAX(Sheet1!AA59+AQ61-73,0),K61)),0)</f>
        <v>10.920604852110333</v>
      </c>
      <c r="EC61" s="535"/>
      <c r="ED61" s="535">
        <f t="shared" si="231"/>
        <v>10.920604852110333</v>
      </c>
      <c r="EE61" s="535"/>
      <c r="EF61" s="535">
        <f>Sheet1!EH59+Sheet1!EI59+Sheet1!EJ59+Sheet1!EK59</f>
        <v>11</v>
      </c>
      <c r="EG61" s="1019">
        <f t="shared" si="110"/>
        <v>17.016999999999999</v>
      </c>
      <c r="EH61" s="521">
        <f t="shared" si="232"/>
        <v>0</v>
      </c>
      <c r="EI61" s="535">
        <f>IF(Sheet1!ET59=1,SUM('Calculations II'!AT61:BA61)+'Calculations II'!BC61+Sheet1!BV59+'Calculations II'!BE61+AP61,'Calculations II'!BK61)</f>
        <v>43.877585147889654</v>
      </c>
      <c r="EJ61" s="535">
        <f ca="1">EI61+'Calculations II'!D61+'Calculations II'!E61+'Calculations II'!O61</f>
        <v>44.493142131304978</v>
      </c>
      <c r="EK61" s="535"/>
      <c r="EL61" s="535"/>
      <c r="EM61" s="535">
        <f t="shared" si="233"/>
        <v>42785</v>
      </c>
      <c r="EN61" s="535">
        <f t="shared" si="234"/>
        <v>53.719395147889671</v>
      </c>
      <c r="EO61" s="535">
        <f t="shared" si="235"/>
        <v>83.10390429378532</v>
      </c>
      <c r="EP61" s="535">
        <v>0</v>
      </c>
      <c r="EQ61" s="535">
        <v>0</v>
      </c>
      <c r="ER61" s="535">
        <v>0</v>
      </c>
      <c r="ES61" s="521">
        <f t="shared" si="71"/>
        <v>-0.69221882883491737</v>
      </c>
      <c r="ET61" s="535">
        <f>-(VLOOKUP(Sheet1!BQ59,Lookup!$O$4:$Q$262,2)-VLOOKUP(Sheet1!BQ58,Lookup!$O$4:$Q$262,2))/1000000</f>
        <v>-0.41528131951032576</v>
      </c>
      <c r="EU61" s="535">
        <f>-(VLOOKUP(Sheet1!BR59,Lookup!$O$4:$Q$262,3)-VLOOKUP(Sheet1!BR58,Lookup!$O$4:$Q$262,3))/1000000</f>
        <v>-0.2769375093245916</v>
      </c>
      <c r="EV61" s="535"/>
      <c r="EW61" s="535"/>
      <c r="EX61" s="535"/>
      <c r="EY61" s="535"/>
      <c r="EZ61" s="535"/>
      <c r="FA61" s="535"/>
      <c r="FB61" s="535"/>
      <c r="FC61" s="535"/>
      <c r="FD61" s="567" t="e">
        <f t="shared" si="236"/>
        <v>#N/A</v>
      </c>
      <c r="FE61" s="567" t="e">
        <f t="shared" si="237"/>
        <v>#N/A</v>
      </c>
      <c r="FF61" s="568" t="e">
        <f t="shared" si="238"/>
        <v>#N/A</v>
      </c>
      <c r="FG61" s="569" t="s">
        <v>656</v>
      </c>
      <c r="FH61" s="569" t="s">
        <v>656</v>
      </c>
      <c r="FI61" s="567" t="e">
        <v>#N/A</v>
      </c>
      <c r="FJ61" s="567" t="e">
        <v>#N/A</v>
      </c>
      <c r="FK61" s="535"/>
      <c r="FL61" s="1015">
        <v>0</v>
      </c>
      <c r="FM61" s="535"/>
      <c r="FN61" s="535"/>
      <c r="FO61" s="535">
        <f>O61+((Sheet1!CS59)*GPMtoMGD)</f>
        <v>55.7</v>
      </c>
      <c r="FP61" s="535">
        <f>IF(Sheet1!AA59+AQ61&lt;=Calculation!N61,AQ61,Calculation!N61-Sheet1!AA59)</f>
        <v>18.979395147889662</v>
      </c>
      <c r="FQ61" s="535">
        <f>(Sheet1!BP59+Sheet1!BO59)/694.4</f>
        <v>1.5845334101382489</v>
      </c>
      <c r="FR61" s="541"/>
      <c r="FS61" s="541"/>
      <c r="FT61" s="541"/>
      <c r="FU61" s="541"/>
      <c r="FV61" s="1109">
        <f t="shared" si="74"/>
        <v>42918</v>
      </c>
      <c r="FW61" s="1109">
        <f t="shared" si="75"/>
        <v>43027</v>
      </c>
      <c r="FX61" s="541"/>
      <c r="FY61" s="541">
        <f>Sheet1!DA59-Sheet1!CZ59-Sheet1!AE59</f>
        <v>963.83209999999997</v>
      </c>
      <c r="FZ61" s="535">
        <f t="shared" si="111"/>
        <v>0.51121624266812815</v>
      </c>
      <c r="GA61" s="535"/>
      <c r="GB61" s="535" t="str">
        <f t="shared" si="76"/>
        <v>n</v>
      </c>
      <c r="GC61" s="539">
        <f t="shared" si="77"/>
        <v>42782</v>
      </c>
      <c r="GD61" s="1109">
        <f t="shared" si="78"/>
        <v>42904</v>
      </c>
      <c r="GE61" s="535">
        <f t="shared" si="95"/>
        <v>6520</v>
      </c>
      <c r="GF61" s="1109">
        <f t="shared" si="79"/>
        <v>42909</v>
      </c>
      <c r="GG61" s="535">
        <f t="shared" si="174"/>
        <v>3260</v>
      </c>
      <c r="GH61" s="539">
        <f t="shared" si="80"/>
        <v>43040</v>
      </c>
      <c r="GJ61" s="521">
        <f t="shared" si="81"/>
        <v>0</v>
      </c>
      <c r="GK61" s="535" t="str">
        <f t="shared" si="239"/>
        <v/>
      </c>
      <c r="GL61" s="535">
        <f t="shared" si="82"/>
        <v>0</v>
      </c>
      <c r="GM61" s="535" t="str">
        <f t="shared" si="83"/>
        <v/>
      </c>
      <c r="GN61" s="535">
        <f>IF(GK61="P",Lookup!$M$12,IF(GK61="PP",Lookup!$M$13,IF(GK61="PPP",Lookup!$M$14,IF(GK61="T",Lookup!$M$15,IF(GK61="TP",Lookup!$M$16,IF(GK61="TPP",Lookup!$M$17,IF(GK61="TPPP",Lookup!$M$18,0)))))))*GJ61</f>
        <v>0</v>
      </c>
      <c r="GO61" s="535">
        <f t="shared" si="84"/>
        <v>0</v>
      </c>
      <c r="GP61" s="535">
        <f t="shared" si="240"/>
        <v>330.52586666666667</v>
      </c>
      <c r="GQ61" s="535">
        <f t="shared" si="94"/>
        <v>107.73333333333333</v>
      </c>
      <c r="GR61" s="535"/>
      <c r="GS61" s="535">
        <f t="shared" si="85"/>
        <v>0</v>
      </c>
      <c r="GT61" s="535" t="str">
        <f t="shared" si="86"/>
        <v/>
      </c>
      <c r="GU61" s="535">
        <f>IF(GK61="P",Lookup!$N$12,IF(GK61="PP",Lookup!$N$13,IF(GK61="PPP",Lookup!$N$14,IF(GK61="T",Lookup!$N$15,IF(GK61="TP",Lookup!$N$16,IF(GK61="TPP",Lookup!$N$17,IF(GK61="TPPP",Lookup!$N$18,0)))))))*GJ61</f>
        <v>0</v>
      </c>
      <c r="GV61" s="535">
        <f t="shared" si="53"/>
        <v>0</v>
      </c>
      <c r="GW61" s="535">
        <f t="shared" si="241"/>
        <v>141.8970630257962</v>
      </c>
      <c r="GX61" s="535">
        <f t="shared" si="91"/>
        <v>46.250672433440741</v>
      </c>
      <c r="GY61" s="535"/>
      <c r="GZ61" s="535">
        <f t="shared" si="87"/>
        <v>0</v>
      </c>
      <c r="HA61" s="535" t="str">
        <f t="shared" si="88"/>
        <v/>
      </c>
      <c r="HB61" s="535">
        <f>IF(GK61="P",Lookup!$N$12,IF(GK61="PP",Lookup!$N$13,IF(GK61="PPP",Lookup!$N$14,IF(GK61="T",Lookup!$N$15,IF(GK61="TP",Lookup!$N$16,IF(GK61="TPP",Lookup!$N$17,IF(GK61="TPPP",Lookup!$N$18,0)))))))*GJ61</f>
        <v>0</v>
      </c>
      <c r="HC61" s="521">
        <f t="shared" si="242"/>
        <v>0</v>
      </c>
      <c r="HD61" s="535">
        <f t="shared" si="243"/>
        <v>115.15285517461278</v>
      </c>
      <c r="HE61" s="535">
        <f t="shared" si="92"/>
        <v>37.533525154697777</v>
      </c>
      <c r="HF61" s="535"/>
      <c r="HG61" s="535">
        <f t="shared" si="89"/>
        <v>0</v>
      </c>
      <c r="HH61" s="535" t="str">
        <f t="shared" si="90"/>
        <v/>
      </c>
      <c r="HI61" s="535">
        <f>IF(GK61="P",Lookup!$N$12,IF(GK61="PP",Lookup!$N$13,IF(GK61="PPP",Lookup!$N$14,IF(GK61="T",Lookup!$N$15,IF(GK61="TP",Lookup!$N$16,IF(GK61="TPP",Lookup!$N$17,IF(GK61="TPPP",Lookup!$N$18,0)))))))*GJ61</f>
        <v>0</v>
      </c>
      <c r="HJ61" s="521">
        <f t="shared" si="244"/>
        <v>0</v>
      </c>
      <c r="HK61" s="535">
        <f t="shared" si="245"/>
        <v>75.325429348783842</v>
      </c>
      <c r="HL61" s="535">
        <f t="shared" si="93"/>
        <v>24.551965237543627</v>
      </c>
      <c r="HM61" s="535"/>
      <c r="HN61" s="541"/>
      <c r="HO61" s="541"/>
      <c r="HP61" s="541"/>
      <c r="HQ61" s="541">
        <f>IF(AND(B61&gt;=$FV$4,B61&lt;=$FW$4),MAX(110/1.02+$HQ$6+MIN(113/1.02,G61),IF($HV$6-(Sheet1!DA59-Sheet1!DB59)+MIN(113/1.02,G61)&lt;G61+FL61,$HV$6-(Sheet1!DA59-Sheet1!DB59)+MIN(113/1.02,G61),G61+FL61)),MIN(110/1.02+$HQ$6+113/1.02,G61))</f>
        <v>218.62745098039215</v>
      </c>
      <c r="HR61" s="541">
        <f t="shared" si="112"/>
        <v>223</v>
      </c>
      <c r="HS61" s="541">
        <f>HR61+(Sheet1!DA59-Sheet1!DB59)</f>
        <v>1523</v>
      </c>
      <c r="HT61" s="541">
        <f t="shared" si="113"/>
        <v>69.166370000000001</v>
      </c>
      <c r="HU61" s="541">
        <f t="shared" si="114"/>
        <v>1453.8336300000001</v>
      </c>
      <c r="HV61" s="541">
        <f t="shared" si="115"/>
        <v>0</v>
      </c>
      <c r="HW61" s="533" t="str">
        <f t="shared" si="116"/>
        <v/>
      </c>
      <c r="HX61" s="541">
        <f t="shared" si="117"/>
        <v>2211.372549019608</v>
      </c>
      <c r="HY61" s="541">
        <f>Sheet1!CZ59</f>
        <v>2430</v>
      </c>
      <c r="HZ61" s="541">
        <f t="shared" si="118"/>
        <v>0</v>
      </c>
      <c r="IA61" s="541">
        <f t="shared" si="119"/>
        <v>69.166370000000001</v>
      </c>
      <c r="IB61" s="541">
        <f t="shared" si="120"/>
        <v>2430</v>
      </c>
      <c r="IC61" s="1019" t="str">
        <f t="shared" si="121"/>
        <v/>
      </c>
      <c r="ID61" s="541">
        <f t="shared" si="122"/>
        <v>2360.8336300000001</v>
      </c>
      <c r="IE61" s="541">
        <f>Sheet1!DB59</f>
        <v>2180</v>
      </c>
      <c r="IF61" s="533">
        <f>Sheet1!DA59</f>
        <v>3480</v>
      </c>
      <c r="IH61" s="541">
        <f>IF(AND($B61&gt;=$GC61,$B61&lt;=$GH61,$DR61&lt;0)+N("only adjusted when pool is drawn down during storage season"),Sheet1!$DB59+$DR61+N("Palmer minus all storage release"),Sheet1!$DB59)</f>
        <v>1635.3706505286091</v>
      </c>
      <c r="II61" s="541">
        <f>IF(AND($B61&gt;=$GC61,$B61&lt;=$GH61,$DR61&lt;0)+N("only adjusted when pool is drawn down during storage season"),Sheet1!$DA59+$DR61+N("Auburn minus all storage release"),Sheet1!$DA59)</f>
        <v>2935.3706505286091</v>
      </c>
    </row>
    <row r="62" spans="1:243" x14ac:dyDescent="0.25">
      <c r="A62" s="553" t="s">
        <v>4</v>
      </c>
      <c r="B62" s="531">
        <v>42786</v>
      </c>
      <c r="C62" s="536">
        <v>0</v>
      </c>
      <c r="D62" s="506">
        <f t="shared" si="0"/>
        <v>300</v>
      </c>
      <c r="E62" s="506">
        <f t="shared" si="1"/>
        <v>250</v>
      </c>
      <c r="F62" s="506">
        <v>250</v>
      </c>
      <c r="G62" s="535">
        <f>DR62+Sheet1!CZ60</f>
        <v>1564.1351487627071</v>
      </c>
      <c r="H62" s="1074">
        <f t="shared" si="246"/>
        <v>717.79988880021381</v>
      </c>
      <c r="I62" s="534">
        <f>IF(Sheet1!DA60&gt;=E62,(Sheet1!DA60-E62+P62)*CFStoMGD,0)</f>
        <v>2040.2469286399999</v>
      </c>
      <c r="J62" s="995">
        <f>IF(Sheet1!DB60&gt;=D62,(Sheet1!DB60-D62+P62)*CFStoMGD,0)</f>
        <v>1167.60692864</v>
      </c>
      <c r="K62" s="818">
        <f t="shared" si="97"/>
        <v>64.64</v>
      </c>
      <c r="L62" s="535">
        <f>Sheet1!AA60+Sheet1!AB60-Sheet1!L60+(Sheet1!DA60-F62)*CFStoMGD-S62-T62-U62</f>
        <v>1975.6079999999997</v>
      </c>
      <c r="M62" s="535">
        <f t="shared" si="185"/>
        <v>1031.2780993634183</v>
      </c>
      <c r="N62" s="824">
        <f>IF(Sheet1!DA60&gt;=F62,MIN(113*CFStoMGD,MIN(MAX(L62,0),MAX(M62,0))),0)</f>
        <v>73.043199999999999</v>
      </c>
      <c r="O62" s="538">
        <f>Sheet1!AA60+Sheet1!AB60</f>
        <v>55.8</v>
      </c>
      <c r="P62" s="538">
        <f t="shared" si="186"/>
        <v>86.322599999999994</v>
      </c>
      <c r="Q62" s="812">
        <f t="shared" si="98"/>
        <v>44.78</v>
      </c>
      <c r="R62" s="812">
        <f t="shared" si="59"/>
        <v>10.976095617529879</v>
      </c>
      <c r="S62" s="812">
        <f t="shared" si="60"/>
        <v>11.02</v>
      </c>
      <c r="T62" s="812">
        <f t="shared" si="61"/>
        <v>53.620000000000005</v>
      </c>
      <c r="U62" s="812">
        <f t="shared" si="99"/>
        <v>0</v>
      </c>
      <c r="V62" s="812"/>
      <c r="W62" s="812">
        <f t="shared" si="62"/>
        <v>53.663904382470122</v>
      </c>
      <c r="X62" s="812">
        <f t="shared" si="63"/>
        <v>64.64</v>
      </c>
      <c r="Y62" s="812" t="str">
        <f t="shared" si="64"/>
        <v>FALSE</v>
      </c>
      <c r="Z62" s="812">
        <f t="shared" si="65"/>
        <v>55.8</v>
      </c>
      <c r="AA62" s="812">
        <f t="shared" si="66"/>
        <v>55.8</v>
      </c>
      <c r="AB62" s="1059">
        <f t="shared" si="100"/>
        <v>69.274659999999997</v>
      </c>
      <c r="AC62" s="538">
        <f>Sheet1!Y60*MGDtoCFS</f>
        <v>39.912599999999998</v>
      </c>
      <c r="AD62" s="538">
        <f>Sheet1!Z60*MGDtoCFS</f>
        <v>46.255299999999998</v>
      </c>
      <c r="AE62" s="538">
        <f>Sheet1!AA60*MGDtoCFS</f>
        <v>39.912599999999998</v>
      </c>
      <c r="AF62" s="538">
        <f>Sheet1!AB60*MGDtoCFS</f>
        <v>46.41</v>
      </c>
      <c r="AG62" s="538">
        <f>Sheet1!L60*MGDtoCFS</f>
        <v>0</v>
      </c>
      <c r="AH62" s="521">
        <f t="shared" si="187"/>
        <v>0</v>
      </c>
      <c r="AI62" s="1059">
        <f t="shared" si="188"/>
        <v>0</v>
      </c>
      <c r="AJ62" s="535">
        <f t="shared" si="189"/>
        <v>53.663904382470122</v>
      </c>
      <c r="AK62" s="535">
        <f t="shared" si="190"/>
        <v>83.018060079681277</v>
      </c>
      <c r="AL62" s="535">
        <f>(VLOOKUP(Sheet1!DC60,hhdcap_wcm,4)-(((VLOOKUP(Sheet1!DC60,hhdcap_wcm,3)-Sheet1!DC60)/(VLOOKUP(Sheet1!DC60,hhdcap_wcm,3)-VLOOKUP(Sheet1!DC60,hhdcap_wcm,1)))*(VLOOKUP(Sheet1!DC60,hhdcap_wcm,4)-VLOOKUP(Sheet1!DC60,hhdcap_wcm,2))))</f>
        <v>1937.500000004502</v>
      </c>
      <c r="AM62" s="535">
        <f t="shared" si="191"/>
        <v>-1379.9000000035517</v>
      </c>
      <c r="AN62" s="1035">
        <f t="shared" si="192"/>
        <v>269.73340054148559</v>
      </c>
      <c r="AO62" s="535">
        <f t="shared" si="193"/>
        <v>827.5420728612778</v>
      </c>
      <c r="AP62" s="535">
        <f>Sheet1!BA60+Sheet1!BB60+Sheet1!BN60+CD62</f>
        <v>19.100000000000001</v>
      </c>
      <c r="AQ62" s="535">
        <f>Sheet1!BN60+(DO62*Sheet1!BN60)</f>
        <v>19.023904382470121</v>
      </c>
      <c r="AR62" s="535">
        <f>Sheet1!BA60+CD62</f>
        <v>0</v>
      </c>
      <c r="AS62" s="535">
        <f>Sheet1!BA60+Sheet1!BB60+CD62</f>
        <v>0</v>
      </c>
      <c r="AT62" s="649">
        <f>0</f>
        <v>0</v>
      </c>
      <c r="AU62" s="535">
        <f>IF(EB62&lt;K62,0,MAX(Sheet1!AA60+AQ62-15/36*K62-N62,Sheet1!EH60,0))</f>
        <v>0</v>
      </c>
      <c r="AV62" s="535">
        <f>IF(OR(B62&gt;=GD62,B62&lt;GC62),0,15/36*K62-MAX(0,64.6-(137.6-(Sheet1!AA60+Sheet1!AB60))))</f>
        <v>26.933333333333334</v>
      </c>
      <c r="AW62" s="1029"/>
      <c r="AX62" s="649"/>
      <c r="AY62" s="649">
        <f t="shared" si="101"/>
        <v>0</v>
      </c>
      <c r="AZ62" s="649">
        <f t="shared" si="102"/>
        <v>0</v>
      </c>
      <c r="BA62" s="1059">
        <f t="shared" si="103"/>
        <v>0</v>
      </c>
      <c r="BB62" s="1019">
        <f t="shared" si="194"/>
        <v>134.66666666666666</v>
      </c>
      <c r="BC62" s="1041">
        <f t="shared" si="104"/>
        <v>26.933333333333334</v>
      </c>
      <c r="BD62" s="1019">
        <f ca="1">IF(B62&gt;Summary!$A$1,#N/A,BB62*MGtoAF)</f>
        <v>413.15733333333333</v>
      </c>
      <c r="BE62" s="535">
        <f>Sheet1!BG60+Sheet1!BH60+Sheet1!BI60-BM62</f>
        <v>1.02</v>
      </c>
      <c r="BF62" s="535">
        <f t="shared" si="195"/>
        <v>1.0159362549800797</v>
      </c>
      <c r="BG62" s="535">
        <f>IF(Sheet1!EP60="FM",BM62,0)</f>
        <v>0</v>
      </c>
      <c r="BH62" s="535">
        <f t="shared" si="196"/>
        <v>0</v>
      </c>
      <c r="BI62" s="535">
        <f>IF(Sheet1!EP60="OTHER",BM62,0)</f>
        <v>0</v>
      </c>
      <c r="BJ62" s="535">
        <f t="shared" si="197"/>
        <v>0</v>
      </c>
      <c r="BK62" s="535">
        <f t="shared" si="198"/>
        <v>1.02</v>
      </c>
      <c r="BL62" s="535">
        <f t="shared" si="199"/>
        <v>1.0159362549800797</v>
      </c>
      <c r="BM62" s="535">
        <f>IF(OR(Sheet1!EP60="FM", Sheet1!EP60="OTHER"),SUM(Sheet1!BG60:'Sheet1'!BI60),0)</f>
        <v>0</v>
      </c>
      <c r="BN62" s="521">
        <f>IF(AND($B62&gt;=$FV62,$B62&lt;=$FW62),MAX(BF62,Sheet1!EI60,0),MAX(BF62-(7/36)*$K62,0))</f>
        <v>0</v>
      </c>
      <c r="BO62" s="535">
        <f t="shared" si="200"/>
        <v>11.552952633908809</v>
      </c>
      <c r="BP62" s="521">
        <f t="shared" si="201"/>
        <v>1.0159362549800797</v>
      </c>
      <c r="BQ62" s="521">
        <f>IF(AND($O62&gt;0,Sheet1!EM60=1),(1-($O62-Sheet1!$L60)/$O62)*BL62,0)</f>
        <v>0</v>
      </c>
      <c r="BR62" s="521">
        <f>IF(AND(Sheet1!$L60=0,Sheet1!$L59=0, Calculation!BK62&lt;Sheet1!$EI60-0.1,Sheet1!$EI60=Sheet1!$EI59,Sheet1!$EI60=Sheet1!$EI61),BL62-BQ62,BL62-BQ62)</f>
        <v>1.0159362549800797</v>
      </c>
      <c r="BS62" s="1035" t="str">
        <f t="shared" si="105"/>
        <v/>
      </c>
      <c r="BT62" s="1035">
        <f t="shared" si="106"/>
        <v>12.568888888888889</v>
      </c>
      <c r="BU62" s="535">
        <f t="shared" si="202"/>
        <v>57.80362506734955</v>
      </c>
      <c r="BV62" s="535"/>
      <c r="BW62" s="535">
        <f ca="1">IF(B62&gt;Summary!$A$1,#N/A,BU62*MGtoAF)</f>
        <v>177.34152170662841</v>
      </c>
      <c r="BX62" s="535">
        <f>Sheet1!BC60+Sheet1!BD60+Sheet1!BE60+Sheet1!BF60-CG62-CH62</f>
        <v>3.5</v>
      </c>
      <c r="BY62" s="535">
        <f t="shared" si="203"/>
        <v>3.4860557768924303</v>
      </c>
      <c r="BZ62" s="535">
        <f>IF(Sheet1!EQ60="FM",CH62,0)</f>
        <v>0</v>
      </c>
      <c r="CA62" s="535">
        <f t="shared" si="204"/>
        <v>0</v>
      </c>
      <c r="CB62" s="535">
        <f>IF(Sheet1!EQ60="OTHER",CH62,0)</f>
        <v>0</v>
      </c>
      <c r="CC62" s="535">
        <f t="shared" si="205"/>
        <v>0</v>
      </c>
      <c r="CD62" s="535">
        <f t="shared" si="206"/>
        <v>0</v>
      </c>
      <c r="CE62" s="535">
        <f t="shared" si="207"/>
        <v>3.5</v>
      </c>
      <c r="CF62" s="535">
        <f t="shared" si="208"/>
        <v>3.4860557768924303</v>
      </c>
      <c r="CG62" s="535">
        <f>IF(Sheet1!EQ60="CWA",SUM(Sheet1!BC60:'Sheet1'!BF60),0)</f>
        <v>0</v>
      </c>
      <c r="CH62" s="535">
        <f>IF(OR(Sheet1!EQ60="FM", Sheet1!EQ60="OTHER"),SUM(Sheet1!BC60:'Sheet1'!BF60),0)</f>
        <v>0</v>
      </c>
      <c r="CI62" s="521">
        <f>IF(AND($B62&gt;=$FV62,$B62&lt;=$FW62),MAX(CF62,Sheet1!EJ60,0),MAX(CF62-(7/36)*$K62,0))</f>
        <v>0</v>
      </c>
      <c r="CJ62" s="535">
        <f t="shared" si="209"/>
        <v>9.0828331119964592</v>
      </c>
      <c r="CK62" s="521">
        <f t="shared" si="210"/>
        <v>3.4860557768924303</v>
      </c>
      <c r="CL62" s="521">
        <f>IF(AND($O62&gt;0,Sheet1!EN60=1),(1-($O62-Sheet1!$L60)/$O62)*CF62,0)</f>
        <v>0</v>
      </c>
      <c r="CM62" s="521">
        <f>IF(AND(Sheet1!$L60=0,Sheet1!$L59=0, Calculation!CE62&lt;Sheet1!EJ60-0.1,Sheet1!EJ60=Sheet1!EJ59,Sheet1!EJ60=Sheet1!EJ61),CF62-CL62,CF62-CL62)</f>
        <v>3.4860557768924303</v>
      </c>
      <c r="CN62" s="1040" t="str">
        <f t="shared" si="107"/>
        <v/>
      </c>
      <c r="CO62" s="1035">
        <f t="shared" si="108"/>
        <v>12.568888888888889</v>
      </c>
      <c r="CP62" s="535">
        <f t="shared" si="211"/>
        <v>46.616358266694235</v>
      </c>
      <c r="CQ62" s="535"/>
      <c r="CR62" s="535">
        <f ca="1">IF(B62&gt;Summary!$A$1,#N/A,CP62*MGtoAF)</f>
        <v>143.01898716221791</v>
      </c>
      <c r="CS62" s="535">
        <f>Sheet1!BK60+Sheet1!BL60+Sheet1!BM60-Sheet1!ER60-DA62</f>
        <v>6.5</v>
      </c>
      <c r="CT62" s="535">
        <f t="shared" si="212"/>
        <v>6.4741035856573701</v>
      </c>
      <c r="CU62" s="535">
        <f>IF(Sheet1!ER60="FM",DA62,0)</f>
        <v>0</v>
      </c>
      <c r="CV62" s="535">
        <f t="shared" si="213"/>
        <v>0</v>
      </c>
      <c r="CW62" s="535">
        <f>IF(Sheet1!ER60="OTHER",DA62,0)</f>
        <v>0</v>
      </c>
      <c r="CX62" s="535">
        <f t="shared" si="214"/>
        <v>0</v>
      </c>
      <c r="CY62" s="535">
        <f t="shared" si="215"/>
        <v>6.5</v>
      </c>
      <c r="CZ62" s="535">
        <f t="shared" si="216"/>
        <v>6.4741035856573701</v>
      </c>
      <c r="DA62" s="535">
        <f>IF(OR(Sheet1!ER60="FM", Sheet1!ER60="OTHER"),SUM(Sheet1!BK60:'Sheet1'!BM60),0)</f>
        <v>0</v>
      </c>
      <c r="DB62" s="1011">
        <f>IF(AND($B62&gt;=$FV62,$B62&lt;=$FW62),MAX($CT62,Sheet1!EK60,0),MAX($CT62-(7/36)*$K62,0))</f>
        <v>0</v>
      </c>
      <c r="DC62" s="1012">
        <f t="shared" si="217"/>
        <v>6.0947853032315189</v>
      </c>
      <c r="DD62" s="1011">
        <f t="shared" si="218"/>
        <v>6.4741035856573701</v>
      </c>
      <c r="DE62" s="521">
        <f>IF(AND($O62&gt;0,Sheet1!EO60=1),(1-($O62-Sheet1!$L60)/$O62)*CZ62,0)</f>
        <v>0</v>
      </c>
      <c r="DF62" s="521">
        <f>IF(AND(Sheet1!$L60=0,Sheet1!$L59=0, Calculation!CY62&lt;Sheet1!$EK60-0.1,Sheet1!$EK60=Sheet1!$EK59,Sheet1!$EK60=Sheet1!$EK61),CZ62-DE62,CZ62-DE62)</f>
        <v>6.4741035856573701</v>
      </c>
      <c r="DG62" s="1040">
        <f t="shared" si="109"/>
        <v>12.568888888888889</v>
      </c>
      <c r="DH62" s="649">
        <f t="shared" si="219"/>
        <v>11.02</v>
      </c>
      <c r="DI62" s="535">
        <f t="shared" si="220"/>
        <v>30.646750540775145</v>
      </c>
      <c r="DJ62" s="649">
        <f t="shared" si="221"/>
        <v>10.976095617529879</v>
      </c>
      <c r="DK62" s="535">
        <f ca="1">IF(B62&gt;Summary!$A$1,#N/A,DI62*MGtoAF)</f>
        <v>94.024230659098151</v>
      </c>
      <c r="DL62" s="649">
        <f t="shared" si="222"/>
        <v>11.02</v>
      </c>
      <c r="DM62" s="535">
        <f t="shared" si="223"/>
        <v>30.12</v>
      </c>
      <c r="DN62" s="535">
        <f>Sheet1!AB60-DM62</f>
        <v>-0.12000000000000099</v>
      </c>
      <c r="DO62" s="743">
        <f t="shared" si="224"/>
        <v>-3.9840637450199532E-3</v>
      </c>
      <c r="DP62" s="535">
        <f>(VLOOKUP(Sheet1!DC60,hhdcap_wcm,4)-(((VLOOKUP(Sheet1!DC60,hhdcap_wcm,3)-Sheet1!DC60)/(VLOOKUP(Sheet1!DC60,hhdcap_wcm,3)-VLOOKUP(Sheet1!DC60,hhdcap_wcm,1)))*(VLOOKUP(Sheet1!DC60,hhdcap_wcm,4)-VLOOKUP(Sheet1!DC60,hhdcap_wcm,2))))</f>
        <v>1937.500000004502</v>
      </c>
      <c r="DQ62" s="535">
        <f t="shared" si="225"/>
        <v>-1379.9000000035517</v>
      </c>
      <c r="DR62" s="535">
        <f t="shared" si="226"/>
        <v>-695.86485123729278</v>
      </c>
      <c r="DS62" s="535">
        <f>Sheet1!EA60*AFtoMG</f>
        <v>0</v>
      </c>
      <c r="DT62" s="535">
        <f>Sheet1!EB60*AFtoMG</f>
        <v>0</v>
      </c>
      <c r="DU62" s="535">
        <f>Sheet1!EC60*AFtoMG</f>
        <v>0</v>
      </c>
      <c r="DV62" s="535">
        <f>Sheet1!ED60*AFtoMG</f>
        <v>0</v>
      </c>
      <c r="DW62" s="535">
        <f t="shared" si="227"/>
        <v>0</v>
      </c>
      <c r="DX62" s="535">
        <f t="shared" si="228"/>
        <v>0</v>
      </c>
      <c r="DY62" s="535">
        <f t="shared" si="229"/>
        <v>269.73340054148559</v>
      </c>
      <c r="DZ62" s="535">
        <f t="shared" si="230"/>
        <v>827.5420728612778</v>
      </c>
      <c r="EA62" s="535"/>
      <c r="EB62" s="521">
        <f>IF(OR(B62&lt;FV62,B62&gt;FW62),(MIN(BF62+BY62+CT62+MAX(Sheet1!AA60+AQ62-73,0),K62)),0)</f>
        <v>10.976095617529879</v>
      </c>
      <c r="EC62" s="535"/>
      <c r="ED62" s="535">
        <f t="shared" si="231"/>
        <v>10.97609561752988</v>
      </c>
      <c r="EE62" s="535"/>
      <c r="EF62" s="535">
        <f>Sheet1!EH60+Sheet1!EI60+Sheet1!EJ60+Sheet1!EK60</f>
        <v>11</v>
      </c>
      <c r="EG62" s="1019">
        <f t="shared" si="110"/>
        <v>17.016999999999999</v>
      </c>
      <c r="EH62" s="521">
        <f t="shared" si="232"/>
        <v>0</v>
      </c>
      <c r="EI62" s="535">
        <f>IF(Sheet1!ET60=1,SUM('Calculations II'!AT62:BA62)+'Calculations II'!BC62+Sheet1!BV60+'Calculations II'!BE62+AP62,'Calculations II'!BK62)</f>
        <v>42.664300382470117</v>
      </c>
      <c r="EJ62" s="535">
        <f ca="1">EI62+'Calculations II'!D62+'Calculations II'!E62+'Calculations II'!O62</f>
        <v>44.287311522057784</v>
      </c>
      <c r="EK62" s="535"/>
      <c r="EL62" s="535"/>
      <c r="EM62" s="535">
        <f t="shared" si="233"/>
        <v>42786</v>
      </c>
      <c r="EN62" s="535">
        <f t="shared" si="234"/>
        <v>53.663904382470122</v>
      </c>
      <c r="EO62" s="535">
        <f t="shared" si="235"/>
        <v>83.018060079681277</v>
      </c>
      <c r="EP62" s="535">
        <v>0</v>
      </c>
      <c r="EQ62" s="535">
        <v>0</v>
      </c>
      <c r="ER62" s="535">
        <v>0</v>
      </c>
      <c r="ES62" s="521">
        <f t="shared" si="71"/>
        <v>-1.5232300033006556</v>
      </c>
      <c r="ET62" s="535">
        <f>-(VLOOKUP(Sheet1!BQ60,Lookup!$O$4:$Q$262,2)-VLOOKUP(Sheet1!BQ59,Lookup!$O$4:$Q$262,2))/1000000</f>
        <v>-0.69226367759070173</v>
      </c>
      <c r="EU62" s="535">
        <f>-(VLOOKUP(Sheet1!BR60,Lookup!$O$4:$Q$262,3)-VLOOKUP(Sheet1!BR59,Lookup!$O$4:$Q$262,3))/1000000</f>
        <v>-0.83096632570995388</v>
      </c>
      <c r="EV62" s="535"/>
      <c r="EW62" s="535"/>
      <c r="EX62" s="535"/>
      <c r="EY62" s="535"/>
      <c r="EZ62" s="535"/>
      <c r="FA62" s="535"/>
      <c r="FB62" s="535"/>
      <c r="FC62" s="535"/>
      <c r="FD62" s="567" t="e">
        <f t="shared" si="236"/>
        <v>#N/A</v>
      </c>
      <c r="FE62" s="567" t="e">
        <f t="shared" si="237"/>
        <v>#N/A</v>
      </c>
      <c r="FF62" s="568" t="e">
        <f t="shared" si="238"/>
        <v>#N/A</v>
      </c>
      <c r="FG62" s="569" t="s">
        <v>656</v>
      </c>
      <c r="FH62" s="569" t="s">
        <v>656</v>
      </c>
      <c r="FI62" s="567" t="e">
        <v>#N/A</v>
      </c>
      <c r="FJ62" s="567" t="e">
        <v>#N/A</v>
      </c>
      <c r="FK62" s="535"/>
      <c r="FL62" s="1015">
        <v>0</v>
      </c>
      <c r="FM62" s="535"/>
      <c r="FN62" s="535"/>
      <c r="FO62" s="535">
        <f>O62+((Sheet1!CS60)*GPMtoMGD)</f>
        <v>55.8</v>
      </c>
      <c r="FP62" s="535">
        <f>IF(Sheet1!AA60+AQ62&lt;=Calculation!N62,AQ62,Calculation!N62-Sheet1!AA60)</f>
        <v>19.023904382470121</v>
      </c>
      <c r="FQ62" s="535">
        <f>(Sheet1!BP60+Sheet1!BO60)/694.4</f>
        <v>1.4190668202764978</v>
      </c>
      <c r="FR62" s="541"/>
      <c r="FS62" s="541"/>
      <c r="FT62" s="541"/>
      <c r="FU62" s="541"/>
      <c r="FV62" s="1109">
        <f t="shared" si="74"/>
        <v>42918</v>
      </c>
      <c r="FW62" s="1109">
        <f t="shared" si="75"/>
        <v>43027</v>
      </c>
      <c r="FX62" s="541"/>
      <c r="FY62" s="541">
        <f>Sheet1!DA60-Sheet1!CZ60-Sheet1!AE60</f>
        <v>973.67740000000003</v>
      </c>
      <c r="FZ62" s="535">
        <f t="shared" si="111"/>
        <v>0.62250209054519201</v>
      </c>
      <c r="GA62" s="535"/>
      <c r="GB62" s="535" t="str">
        <f t="shared" si="76"/>
        <v>n</v>
      </c>
      <c r="GC62" s="539">
        <f t="shared" si="77"/>
        <v>42782</v>
      </c>
      <c r="GD62" s="1109">
        <f t="shared" si="78"/>
        <v>42904</v>
      </c>
      <c r="GE62" s="535">
        <f t="shared" si="95"/>
        <v>6520</v>
      </c>
      <c r="GF62" s="1109">
        <f t="shared" si="79"/>
        <v>42909</v>
      </c>
      <c r="GG62" s="535">
        <f t="shared" si="174"/>
        <v>3260</v>
      </c>
      <c r="GH62" s="539">
        <f t="shared" si="80"/>
        <v>43040</v>
      </c>
      <c r="GJ62" s="521">
        <f t="shared" si="81"/>
        <v>0</v>
      </c>
      <c r="GK62" s="535" t="str">
        <f t="shared" si="239"/>
        <v/>
      </c>
      <c r="GL62" s="535">
        <f t="shared" si="82"/>
        <v>0</v>
      </c>
      <c r="GM62" s="535" t="str">
        <f t="shared" si="83"/>
        <v/>
      </c>
      <c r="GN62" s="535">
        <f>IF(GK62="P",Lookup!$M$12,IF(GK62="PP",Lookup!$M$13,IF(GK62="PPP",Lookup!$M$14,IF(GK62="T",Lookup!$M$15,IF(GK62="TP",Lookup!$M$16,IF(GK62="TPP",Lookup!$M$17,IF(GK62="TPPP",Lookup!$M$18,0)))))))*GJ62</f>
        <v>0</v>
      </c>
      <c r="GO62" s="535">
        <f t="shared" si="84"/>
        <v>0</v>
      </c>
      <c r="GP62" s="535">
        <f t="shared" si="240"/>
        <v>413.15733333333333</v>
      </c>
      <c r="GQ62" s="535">
        <f t="shared" si="94"/>
        <v>134.66666666666666</v>
      </c>
      <c r="GR62" s="535"/>
      <c r="GS62" s="535">
        <f t="shared" si="85"/>
        <v>0</v>
      </c>
      <c r="GT62" s="535" t="str">
        <f t="shared" si="86"/>
        <v/>
      </c>
      <c r="GU62" s="535">
        <f>IF(GK62="P",Lookup!$N$12,IF(GK62="PP",Lookup!$N$13,IF(GK62="PPP",Lookup!$N$14,IF(GK62="T",Lookup!$N$15,IF(GK62="TP",Lookup!$N$16,IF(GK62="TPP",Lookup!$N$17,IF(GK62="TPPP",Lookup!$N$18,0)))))))*GJ62</f>
        <v>0</v>
      </c>
      <c r="GV62" s="535">
        <f t="shared" si="53"/>
        <v>0</v>
      </c>
      <c r="GW62" s="535">
        <f t="shared" si="241"/>
        <v>177.34152170662841</v>
      </c>
      <c r="GX62" s="535">
        <f t="shared" si="91"/>
        <v>57.80362506734955</v>
      </c>
      <c r="GY62" s="535"/>
      <c r="GZ62" s="535">
        <f t="shared" si="87"/>
        <v>0</v>
      </c>
      <c r="HA62" s="535" t="str">
        <f t="shared" si="88"/>
        <v/>
      </c>
      <c r="HB62" s="535">
        <f>IF(GK62="P",Lookup!$N$12,IF(GK62="PP",Lookup!$N$13,IF(GK62="PPP",Lookup!$N$14,IF(GK62="T",Lookup!$N$15,IF(GK62="TP",Lookup!$N$16,IF(GK62="TPP",Lookup!$N$17,IF(GK62="TPPP",Lookup!$N$18,0)))))))*GJ62</f>
        <v>0</v>
      </c>
      <c r="HC62" s="521">
        <f t="shared" si="242"/>
        <v>0</v>
      </c>
      <c r="HD62" s="535">
        <f t="shared" si="243"/>
        <v>143.01898716221791</v>
      </c>
      <c r="HE62" s="535">
        <f t="shared" si="92"/>
        <v>46.616358266694235</v>
      </c>
      <c r="HF62" s="535"/>
      <c r="HG62" s="535">
        <f t="shared" si="89"/>
        <v>0</v>
      </c>
      <c r="HH62" s="535" t="str">
        <f t="shared" si="90"/>
        <v/>
      </c>
      <c r="HI62" s="535">
        <f>IF(GK62="P",Lookup!$N$12,IF(GK62="PP",Lookup!$N$13,IF(GK62="PPP",Lookup!$N$14,IF(GK62="T",Lookup!$N$15,IF(GK62="TP",Lookup!$N$16,IF(GK62="TPP",Lookup!$N$17,IF(GK62="TPPP",Lookup!$N$18,0)))))))*GJ62</f>
        <v>0</v>
      </c>
      <c r="HJ62" s="521">
        <f t="shared" si="244"/>
        <v>0</v>
      </c>
      <c r="HK62" s="535">
        <f t="shared" si="245"/>
        <v>94.024230659098151</v>
      </c>
      <c r="HL62" s="535">
        <f t="shared" si="93"/>
        <v>30.646750540775145</v>
      </c>
      <c r="HM62" s="535"/>
      <c r="HN62" s="541"/>
      <c r="HO62" s="541"/>
      <c r="HP62" s="541"/>
      <c r="HQ62" s="541">
        <f>IF(AND(B62&gt;=$FV$4,B62&lt;=$FW$4),MAX(110/1.02+$HQ$6+MIN(113/1.02,G62),IF($HV$6-(Sheet1!DA60-Sheet1!DB60)+MIN(113/1.02,G62)&lt;G62+FL62,$HV$6-(Sheet1!DA60-Sheet1!DB60)+MIN(113/1.02,G62),G62+FL62)),MIN(110/1.02+$HQ$6+113/1.02,G62))</f>
        <v>218.62745098039215</v>
      </c>
      <c r="HR62" s="541">
        <f t="shared" si="112"/>
        <v>223</v>
      </c>
      <c r="HS62" s="541">
        <f>HR62+(Sheet1!DA60-Sheet1!DB60)</f>
        <v>1523</v>
      </c>
      <c r="HT62" s="541">
        <f t="shared" si="113"/>
        <v>69.274659999999997</v>
      </c>
      <c r="HU62" s="541">
        <f t="shared" si="114"/>
        <v>1453.72534</v>
      </c>
      <c r="HV62" s="541">
        <f t="shared" si="115"/>
        <v>0</v>
      </c>
      <c r="HW62" s="533" t="str">
        <f t="shared" si="116"/>
        <v/>
      </c>
      <c r="HX62" s="541">
        <f t="shared" si="117"/>
        <v>2041.372549019608</v>
      </c>
      <c r="HY62" s="541">
        <f>Sheet1!CZ60</f>
        <v>2260</v>
      </c>
      <c r="HZ62" s="541">
        <f t="shared" si="118"/>
        <v>0</v>
      </c>
      <c r="IA62" s="541">
        <f t="shared" si="119"/>
        <v>69.274659999999997</v>
      </c>
      <c r="IB62" s="541">
        <f t="shared" si="120"/>
        <v>2260</v>
      </c>
      <c r="IC62" s="1019" t="str">
        <f t="shared" si="121"/>
        <v/>
      </c>
      <c r="ID62" s="541">
        <f t="shared" si="122"/>
        <v>2190.72534</v>
      </c>
      <c r="IE62" s="541">
        <f>Sheet1!DB60</f>
        <v>2020</v>
      </c>
      <c r="IF62" s="533">
        <f>Sheet1!DA60</f>
        <v>3320</v>
      </c>
      <c r="IH62" s="541">
        <f>IF(AND($B62&gt;=$GC62,$B62&lt;=$GH62,$DR62&lt;0)+N("only adjusted when pool is drawn down during storage season"),Sheet1!$DB60+$DR62+N("Palmer minus all storage release"),Sheet1!$DB60)</f>
        <v>1324.1351487627071</v>
      </c>
      <c r="II62" s="541">
        <f>IF(AND($B62&gt;=$GC62,$B62&lt;=$GH62,$DR62&lt;0)+N("only adjusted when pool is drawn down during storage season"),Sheet1!$DA60+$DR62+N("Auburn minus all storage release"),Sheet1!$DA60)</f>
        <v>2624.1351487627071</v>
      </c>
    </row>
    <row r="63" spans="1:243" x14ac:dyDescent="0.25">
      <c r="A63" s="553" t="s">
        <v>5</v>
      </c>
      <c r="B63" s="531">
        <v>42787</v>
      </c>
      <c r="C63" s="536">
        <v>0</v>
      </c>
      <c r="D63" s="506">
        <f t="shared" si="0"/>
        <v>300</v>
      </c>
      <c r="E63" s="506">
        <f t="shared" si="1"/>
        <v>250</v>
      </c>
      <c r="F63" s="506">
        <v>250</v>
      </c>
      <c r="G63" s="535">
        <f>DR63+Sheet1!CZ61</f>
        <v>1160.1311144724646</v>
      </c>
      <c r="H63" s="1074">
        <f t="shared" si="246"/>
        <v>540.62368218700112</v>
      </c>
      <c r="I63" s="534">
        <f>IF(Sheet1!DA61&gt;=E63,(Sheet1!DA61-E63+P63)*CFStoMGD,0)</f>
        <v>1522.420529792</v>
      </c>
      <c r="J63" s="995">
        <f>IF(Sheet1!DB61&gt;=D63,(Sheet1!DB61-D63+P63)*CFStoMGD,0)</f>
        <v>747.38692979199993</v>
      </c>
      <c r="K63" s="818">
        <f t="shared" si="97"/>
        <v>64.64</v>
      </c>
      <c r="L63" s="535">
        <f>Sheet1!AA61+Sheet1!AB61-Sheet1!L61+(Sheet1!DA61-F63)*CFStoMGD-S63-T63-U63</f>
        <v>1457.7815999999998</v>
      </c>
      <c r="M63" s="535">
        <f t="shared" si="185"/>
        <v>764.90692744290118</v>
      </c>
      <c r="N63" s="824">
        <f>IF(Sheet1!DA61&gt;=F63,MIN(113*CFStoMGD,MIN(MAX(L63,0),MAX(M63,0))),0)</f>
        <v>73.043199999999999</v>
      </c>
      <c r="O63" s="538">
        <f>Sheet1!AA61+Sheet1!AB61</f>
        <v>55.739999999999995</v>
      </c>
      <c r="P63" s="538">
        <f t="shared" si="186"/>
        <v>86.229779999999991</v>
      </c>
      <c r="Q63" s="812">
        <f t="shared" si="98"/>
        <v>44.999999999999993</v>
      </c>
      <c r="R63" s="812">
        <f t="shared" si="59"/>
        <v>10.690112806901128</v>
      </c>
      <c r="S63" s="812">
        <f t="shared" si="60"/>
        <v>10.74</v>
      </c>
      <c r="T63" s="812">
        <f t="shared" si="61"/>
        <v>53.9</v>
      </c>
      <c r="U63" s="812">
        <f t="shared" si="99"/>
        <v>0</v>
      </c>
      <c r="V63" s="812"/>
      <c r="W63" s="812">
        <f t="shared" si="62"/>
        <v>53.949887193098874</v>
      </c>
      <c r="X63" s="812">
        <f t="shared" si="63"/>
        <v>64.64</v>
      </c>
      <c r="Y63" s="812" t="str">
        <f t="shared" si="64"/>
        <v>FALSE</v>
      </c>
      <c r="Z63" s="812">
        <f t="shared" si="65"/>
        <v>55.739999999999995</v>
      </c>
      <c r="AA63" s="812">
        <f t="shared" si="66"/>
        <v>55.739999999999995</v>
      </c>
      <c r="AB63" s="1059">
        <f t="shared" si="100"/>
        <v>69.614999999999981</v>
      </c>
      <c r="AC63" s="538">
        <f>Sheet1!Y61*MGDtoCFS</f>
        <v>39.912599999999998</v>
      </c>
      <c r="AD63" s="538">
        <f>Sheet1!Z61*MGDtoCFS</f>
        <v>46.41</v>
      </c>
      <c r="AE63" s="538">
        <f>Sheet1!AA61*MGDtoCFS</f>
        <v>39.819779999999994</v>
      </c>
      <c r="AF63" s="538">
        <f>Sheet1!AB61*MGDtoCFS</f>
        <v>46.41</v>
      </c>
      <c r="AG63" s="538">
        <f>Sheet1!L61*MGDtoCFS</f>
        <v>0</v>
      </c>
      <c r="AH63" s="521">
        <f t="shared" si="187"/>
        <v>0</v>
      </c>
      <c r="AI63" s="1059">
        <f t="shared" si="188"/>
        <v>0</v>
      </c>
      <c r="AJ63" s="535">
        <f t="shared" si="189"/>
        <v>53.949887193098874</v>
      </c>
      <c r="AK63" s="535">
        <f t="shared" si="190"/>
        <v>83.460475487723954</v>
      </c>
      <c r="AL63" s="535">
        <f>(VLOOKUP(Sheet1!DC61,hhdcap_wcm,4)-(((VLOOKUP(Sheet1!DC61,hhdcap_wcm,3)-Sheet1!DC61)/(VLOOKUP(Sheet1!DC61,hhdcap_wcm,3)-VLOOKUP(Sheet1!DC61,hhdcap_wcm,1)))*(VLOOKUP(Sheet1!DC61,hhdcap_wcm,4)-VLOOKUP(Sheet1!DC61,hhdcap_wcm,2))))</f>
        <v>1303.2000000033993</v>
      </c>
      <c r="AM63" s="535">
        <f t="shared" si="191"/>
        <v>-634.30000000110272</v>
      </c>
      <c r="AN63" s="1035">
        <f t="shared" si="192"/>
        <v>323.68328773458444</v>
      </c>
      <c r="AO63" s="535">
        <f t="shared" si="193"/>
        <v>993.06032676970506</v>
      </c>
      <c r="AP63" s="535">
        <f>Sheet1!BA61+Sheet1!BB61+Sheet1!BN61+CD63</f>
        <v>19.399999999999999</v>
      </c>
      <c r="AQ63" s="535">
        <f>Sheet1!BN61+(DO63*Sheet1!BN61)</f>
        <v>19.30988719309887</v>
      </c>
      <c r="AR63" s="535">
        <f>Sheet1!BA61+CD63</f>
        <v>0</v>
      </c>
      <c r="AS63" s="535">
        <f>Sheet1!BA61+Sheet1!BB61+CD63</f>
        <v>0</v>
      </c>
      <c r="AT63" s="649">
        <f>0</f>
        <v>0</v>
      </c>
      <c r="AU63" s="535">
        <f>IF(EB63&lt;K63,0,MAX(Sheet1!AA61+AQ63-15/36*K63-N63,Sheet1!EH61,0))</f>
        <v>0</v>
      </c>
      <c r="AV63" s="535">
        <f>IF(OR(B63&gt;=GD63,B63&lt;GC63),0,15/36*K63-MAX(0,64.6-(137.6-(Sheet1!AA61+Sheet1!AB61))))</f>
        <v>26.933333333333334</v>
      </c>
      <c r="AW63" s="1029"/>
      <c r="AX63" s="649"/>
      <c r="AY63" s="649">
        <f t="shared" si="101"/>
        <v>0</v>
      </c>
      <c r="AZ63" s="649">
        <f t="shared" si="102"/>
        <v>0</v>
      </c>
      <c r="BA63" s="1059">
        <f t="shared" si="103"/>
        <v>0</v>
      </c>
      <c r="BB63" s="1019">
        <f t="shared" si="194"/>
        <v>161.6</v>
      </c>
      <c r="BC63" s="1041">
        <f t="shared" si="104"/>
        <v>26.933333333333334</v>
      </c>
      <c r="BD63" s="1019">
        <f ca="1">IF(B63&gt;Summary!$A$1,#N/A,BB63*MGtoAF)</f>
        <v>495.78879999999998</v>
      </c>
      <c r="BE63" s="535">
        <f>Sheet1!BG61+Sheet1!BH61+Sheet1!BI61-BM63</f>
        <v>1.02</v>
      </c>
      <c r="BF63" s="535">
        <f t="shared" si="195"/>
        <v>1.0152621101526211</v>
      </c>
      <c r="BG63" s="535">
        <f>IF(Sheet1!EP61="FM",BM63,0)</f>
        <v>0</v>
      </c>
      <c r="BH63" s="535">
        <f t="shared" si="196"/>
        <v>0</v>
      </c>
      <c r="BI63" s="535">
        <f>IF(Sheet1!EP61="OTHER",BM63,0)</f>
        <v>0</v>
      </c>
      <c r="BJ63" s="535">
        <f t="shared" si="197"/>
        <v>0</v>
      </c>
      <c r="BK63" s="535">
        <f t="shared" si="198"/>
        <v>1.02</v>
      </c>
      <c r="BL63" s="535">
        <f t="shared" si="199"/>
        <v>1.0152621101526211</v>
      </c>
      <c r="BM63" s="535">
        <f>IF(OR(Sheet1!EP61="FM", Sheet1!EP61="OTHER"),SUM(Sheet1!BG61:'Sheet1'!BI61),0)</f>
        <v>0</v>
      </c>
      <c r="BN63" s="521">
        <f>IF(AND($B63&gt;=$FV63,$B63&lt;=$FW63),MAX(BF63,Sheet1!EI61,0),MAX(BF63-(7/36)*$K63,0))</f>
        <v>0</v>
      </c>
      <c r="BO63" s="535">
        <f t="shared" si="200"/>
        <v>11.553626778736268</v>
      </c>
      <c r="BP63" s="521">
        <f t="shared" si="201"/>
        <v>1.0152621101526211</v>
      </c>
      <c r="BQ63" s="521">
        <f>IF(AND($O63&gt;0,Sheet1!EM61=1),(1-($O63-Sheet1!$L61)/$O63)*BL63,0)</f>
        <v>0</v>
      </c>
      <c r="BR63" s="521">
        <f>IF(AND(Sheet1!$L61=0,Sheet1!$L60=0, Calculation!BK63&lt;Sheet1!$EI61-0.1,Sheet1!$EI61=Sheet1!$EI60,Sheet1!$EI61=Sheet1!$EI62),BL63-BQ63,BL63-BQ63)</f>
        <v>1.0152621101526211</v>
      </c>
      <c r="BS63" s="1035" t="str">
        <f t="shared" si="105"/>
        <v/>
      </c>
      <c r="BT63" s="1035">
        <f t="shared" si="106"/>
        <v>12.568888888888889</v>
      </c>
      <c r="BU63" s="535">
        <f t="shared" si="202"/>
        <v>69.357251846085816</v>
      </c>
      <c r="BV63" s="535"/>
      <c r="BW63" s="535">
        <f ca="1">IF(B63&gt;Summary!$A$1,#N/A,BU63*MGtoAF)</f>
        <v>212.7880486637913</v>
      </c>
      <c r="BX63" s="535">
        <f>Sheet1!BC61+Sheet1!BD61+Sheet1!BE61+Sheet1!BF61-CG63-CH63</f>
        <v>3.16</v>
      </c>
      <c r="BY63" s="535">
        <f t="shared" si="203"/>
        <v>3.1453218314532183</v>
      </c>
      <c r="BZ63" s="535">
        <f>IF(Sheet1!EQ61="FM",CH63,0)</f>
        <v>0</v>
      </c>
      <c r="CA63" s="535">
        <f t="shared" si="204"/>
        <v>0</v>
      </c>
      <c r="CB63" s="535">
        <f>IF(Sheet1!EQ61="OTHER",CH63,0)</f>
        <v>0</v>
      </c>
      <c r="CC63" s="535">
        <f t="shared" si="205"/>
        <v>0</v>
      </c>
      <c r="CD63" s="535">
        <f t="shared" si="206"/>
        <v>0</v>
      </c>
      <c r="CE63" s="535">
        <f t="shared" si="207"/>
        <v>3.16</v>
      </c>
      <c r="CF63" s="535">
        <f t="shared" si="208"/>
        <v>3.1453218314532183</v>
      </c>
      <c r="CG63" s="535">
        <f>IF(Sheet1!EQ61="CWA",SUM(Sheet1!BC61:'Sheet1'!BF61),0)</f>
        <v>0</v>
      </c>
      <c r="CH63" s="535">
        <f>IF(OR(Sheet1!EQ61="FM", Sheet1!EQ61="OTHER"),SUM(Sheet1!BC61:'Sheet1'!BF61),0)</f>
        <v>0</v>
      </c>
      <c r="CI63" s="521">
        <f>IF(AND($B63&gt;=$FV63,$B63&lt;=$FW63),MAX(CF63,Sheet1!EJ61,0),MAX(CF63-(7/36)*$K63,0))</f>
        <v>0</v>
      </c>
      <c r="CJ63" s="535">
        <f t="shared" si="209"/>
        <v>9.4235670574356707</v>
      </c>
      <c r="CK63" s="521">
        <f t="shared" si="210"/>
        <v>3.1453218314532183</v>
      </c>
      <c r="CL63" s="521">
        <f>IF(AND($O63&gt;0,Sheet1!EN61=1),(1-($O63-Sheet1!$L61)/$O63)*CF63,0)</f>
        <v>0</v>
      </c>
      <c r="CM63" s="521">
        <f>IF(AND(Sheet1!$L61=0,Sheet1!$L60=0, Calculation!CE63&lt;Sheet1!EJ61-0.1,Sheet1!EJ61=Sheet1!EJ60,Sheet1!EJ61=Sheet1!EJ62),CF63-CL63,CF63-CL63)</f>
        <v>3.1453218314532183</v>
      </c>
      <c r="CN63" s="1040" t="str">
        <f t="shared" si="107"/>
        <v/>
      </c>
      <c r="CO63" s="1035">
        <f t="shared" si="108"/>
        <v>12.568888888888889</v>
      </c>
      <c r="CP63" s="535">
        <f t="shared" si="211"/>
        <v>56.039925324129904</v>
      </c>
      <c r="CQ63" s="535"/>
      <c r="CR63" s="535">
        <f ca="1">IF(B63&gt;Summary!$A$1,#N/A,CP63*MGtoAF)</f>
        <v>171.93049089443053</v>
      </c>
      <c r="CS63" s="535">
        <f>Sheet1!BK61+Sheet1!BL61+Sheet1!BM61-Sheet1!ER61-DA63</f>
        <v>6.5600000000000005</v>
      </c>
      <c r="CT63" s="535">
        <f t="shared" si="212"/>
        <v>6.5295288652952888</v>
      </c>
      <c r="CU63" s="535">
        <f>IF(Sheet1!ER61="FM",DA63,0)</f>
        <v>0</v>
      </c>
      <c r="CV63" s="535">
        <f t="shared" si="213"/>
        <v>0</v>
      </c>
      <c r="CW63" s="535">
        <f>IF(Sheet1!ER61="OTHER",DA63,0)</f>
        <v>0</v>
      </c>
      <c r="CX63" s="535">
        <f t="shared" si="214"/>
        <v>0</v>
      </c>
      <c r="CY63" s="535">
        <f t="shared" si="215"/>
        <v>6.5600000000000005</v>
      </c>
      <c r="CZ63" s="535">
        <f t="shared" si="216"/>
        <v>6.5295288652952888</v>
      </c>
      <c r="DA63" s="535">
        <f>IF(OR(Sheet1!ER61="FM", Sheet1!ER61="OTHER"),SUM(Sheet1!BK61:'Sheet1'!BM61),0)</f>
        <v>0</v>
      </c>
      <c r="DB63" s="1011">
        <f>IF(AND($B63&gt;=$FV63,$B63&lt;=$FW63),MAX($CT63,Sheet1!EK61,0),MAX($CT63-(7/36)*$K63,0))</f>
        <v>0</v>
      </c>
      <c r="DC63" s="1012">
        <f t="shared" si="217"/>
        <v>6.0393600235936002</v>
      </c>
      <c r="DD63" s="1011">
        <f t="shared" si="218"/>
        <v>6.5295288652952888</v>
      </c>
      <c r="DE63" s="521">
        <f>IF(AND($O63&gt;0,Sheet1!EO61=1),(1-($O63-Sheet1!$L61)/$O63)*CZ63,0)</f>
        <v>0</v>
      </c>
      <c r="DF63" s="521">
        <f>IF(AND(Sheet1!$L61=0,Sheet1!$L60=0, Calculation!CY63&lt;Sheet1!$EK61-0.1,Sheet1!$EK61=Sheet1!$EK60,Sheet1!$EK61=Sheet1!$EK62),CZ63-DE63,CZ63-DE63)</f>
        <v>6.5295288652952888</v>
      </c>
      <c r="DG63" s="1040">
        <f t="shared" si="109"/>
        <v>12.568888888888889</v>
      </c>
      <c r="DH63" s="649">
        <f t="shared" si="219"/>
        <v>10.74</v>
      </c>
      <c r="DI63" s="535">
        <f t="shared" si="220"/>
        <v>36.686110564368747</v>
      </c>
      <c r="DJ63" s="649">
        <f t="shared" si="221"/>
        <v>10.690112806901128</v>
      </c>
      <c r="DK63" s="535">
        <f ca="1">IF(B63&gt;Summary!$A$1,#N/A,DI63*MGtoAF)</f>
        <v>112.55298721148331</v>
      </c>
      <c r="DL63" s="649">
        <f t="shared" si="222"/>
        <v>10.74</v>
      </c>
      <c r="DM63" s="535">
        <f t="shared" si="223"/>
        <v>30.14</v>
      </c>
      <c r="DN63" s="535">
        <f>Sheet1!AB61-DM63</f>
        <v>-0.14000000000000057</v>
      </c>
      <c r="DO63" s="743">
        <f t="shared" si="224"/>
        <v>-4.6449900464499193E-3</v>
      </c>
      <c r="DP63" s="535">
        <f>(VLOOKUP(Sheet1!DC61,hhdcap_wcm,4)-(((VLOOKUP(Sheet1!DC61,hhdcap_wcm,3)-Sheet1!DC61)/(VLOOKUP(Sheet1!DC61,hhdcap_wcm,3)-VLOOKUP(Sheet1!DC61,hhdcap_wcm,1)))*(VLOOKUP(Sheet1!DC61,hhdcap_wcm,4)-VLOOKUP(Sheet1!DC61,hhdcap_wcm,2))))</f>
        <v>1303.2000000033993</v>
      </c>
      <c r="DQ63" s="535">
        <f t="shared" si="225"/>
        <v>-634.30000000110272</v>
      </c>
      <c r="DR63" s="535">
        <f t="shared" si="226"/>
        <v>-319.86888552753538</v>
      </c>
      <c r="DS63" s="535">
        <f>Sheet1!EA61*AFtoMG</f>
        <v>0</v>
      </c>
      <c r="DT63" s="535">
        <f>Sheet1!EB61*AFtoMG</f>
        <v>0</v>
      </c>
      <c r="DU63" s="535">
        <f>Sheet1!EC61*AFtoMG</f>
        <v>0</v>
      </c>
      <c r="DV63" s="535">
        <f>Sheet1!ED61*AFtoMG</f>
        <v>0</v>
      </c>
      <c r="DW63" s="535">
        <f t="shared" si="227"/>
        <v>0</v>
      </c>
      <c r="DX63" s="535">
        <f t="shared" si="228"/>
        <v>0</v>
      </c>
      <c r="DY63" s="535">
        <f t="shared" si="229"/>
        <v>323.68328773458444</v>
      </c>
      <c r="DZ63" s="535">
        <f t="shared" si="230"/>
        <v>993.06032676970506</v>
      </c>
      <c r="EA63" s="535"/>
      <c r="EB63" s="521">
        <f>IF(OR(B63&lt;FV63,B63&gt;FW63),(MIN(BF63+BY63+CT63+MAX(Sheet1!AA61+AQ63-73,0),K63)),0)</f>
        <v>10.690112806901128</v>
      </c>
      <c r="EC63" s="535"/>
      <c r="ED63" s="535">
        <f t="shared" si="231"/>
        <v>10.690112806901128</v>
      </c>
      <c r="EE63" s="535"/>
      <c r="EF63" s="535">
        <f>Sheet1!EH61+Sheet1!EI61+Sheet1!EJ61+Sheet1!EK61</f>
        <v>10.5</v>
      </c>
      <c r="EG63" s="1019">
        <f t="shared" si="110"/>
        <v>16.243500000000001</v>
      </c>
      <c r="EH63" s="521">
        <f t="shared" si="232"/>
        <v>0</v>
      </c>
      <c r="EI63" s="535">
        <f>IF(Sheet1!ET61=1,SUM('Calculations II'!AT63:BA63)+'Calculations II'!BC63+Sheet1!BV61+'Calculations II'!BE63+AP63,'Calculations II'!BK63)</f>
        <v>45.101341193098875</v>
      </c>
      <c r="EJ63" s="535">
        <f ca="1">EI63+'Calculations II'!D63+'Calculations II'!E63+'Calculations II'!O63</f>
        <v>44.451573448087267</v>
      </c>
      <c r="EK63" s="535"/>
      <c r="EL63" s="535"/>
      <c r="EM63" s="535">
        <f t="shared" si="233"/>
        <v>42787</v>
      </c>
      <c r="EN63" s="535">
        <f t="shared" si="234"/>
        <v>53.949887193098874</v>
      </c>
      <c r="EO63" s="535">
        <f t="shared" si="235"/>
        <v>83.460475487723954</v>
      </c>
      <c r="EP63" s="535">
        <v>0</v>
      </c>
      <c r="EQ63" s="535">
        <v>0</v>
      </c>
      <c r="ER63" s="535">
        <v>0</v>
      </c>
      <c r="ES63" s="521">
        <f t="shared" si="71"/>
        <v>0.83088943009345972</v>
      </c>
      <c r="ET63" s="535">
        <f>-(VLOOKUP(Sheet1!BQ61,Lookup!$O$4:$Q$262,2)-VLOOKUP(Sheet1!BQ60,Lookup!$O$4:$Q$262,2))/1000000</f>
        <v>0.41537742905444652</v>
      </c>
      <c r="EU63" s="535">
        <f>-(VLOOKUP(Sheet1!BR61,Lookup!$O$4:$Q$262,3)-VLOOKUP(Sheet1!BR60,Lookup!$O$4:$Q$262,3))/1000000</f>
        <v>0.41551200103901326</v>
      </c>
      <c r="EV63" s="535"/>
      <c r="EW63" s="535"/>
      <c r="EX63" s="535"/>
      <c r="EY63" s="535"/>
      <c r="EZ63" s="535"/>
      <c r="FA63" s="535"/>
      <c r="FB63" s="535"/>
      <c r="FC63" s="535"/>
      <c r="FD63" s="567" t="e">
        <f t="shared" si="236"/>
        <v>#N/A</v>
      </c>
      <c r="FE63" s="567" t="e">
        <f t="shared" si="237"/>
        <v>#N/A</v>
      </c>
      <c r="FF63" s="568" t="e">
        <f t="shared" si="238"/>
        <v>#N/A</v>
      </c>
      <c r="FG63" s="569" t="s">
        <v>656</v>
      </c>
      <c r="FH63" s="569" t="s">
        <v>656</v>
      </c>
      <c r="FI63" s="567" t="e">
        <v>#N/A</v>
      </c>
      <c r="FJ63" s="567" t="e">
        <v>#N/A</v>
      </c>
      <c r="FK63" s="535"/>
      <c r="FL63" s="1015">
        <v>0</v>
      </c>
      <c r="FM63" s="535"/>
      <c r="FN63" s="535"/>
      <c r="FO63" s="535">
        <f>O63+((Sheet1!CS61)*GPMtoMGD)</f>
        <v>55.739999999999995</v>
      </c>
      <c r="FP63" s="535">
        <f>IF(Sheet1!AA61+AQ63&lt;=Calculation!N63,AQ63,Calculation!N63-Sheet1!AA61)</f>
        <v>19.30988719309887</v>
      </c>
      <c r="FQ63" s="535">
        <f>(Sheet1!BP61+Sheet1!BO61)/694.4</f>
        <v>1.3159562211981566</v>
      </c>
      <c r="FR63" s="541"/>
      <c r="FS63" s="541"/>
      <c r="FT63" s="541"/>
      <c r="FU63" s="541"/>
      <c r="FV63" s="1109">
        <f t="shared" si="74"/>
        <v>42918</v>
      </c>
      <c r="FW63" s="1109">
        <f t="shared" si="75"/>
        <v>43027</v>
      </c>
      <c r="FX63" s="541"/>
      <c r="FY63" s="541">
        <f>Sheet1!DA61-Sheet1!CZ61-Sheet1!AE61</f>
        <v>952.77021999999999</v>
      </c>
      <c r="FZ63" s="535">
        <f t="shared" si="111"/>
        <v>0.82126081105345083</v>
      </c>
      <c r="GA63" s="535"/>
      <c r="GB63" s="535" t="str">
        <f t="shared" si="76"/>
        <v>n</v>
      </c>
      <c r="GC63" s="539">
        <f t="shared" si="77"/>
        <v>42782</v>
      </c>
      <c r="GD63" s="1109">
        <f t="shared" si="78"/>
        <v>42904</v>
      </c>
      <c r="GE63" s="535">
        <f t="shared" si="95"/>
        <v>6520</v>
      </c>
      <c r="GF63" s="1109">
        <f t="shared" si="79"/>
        <v>42909</v>
      </c>
      <c r="GG63" s="535">
        <f t="shared" si="174"/>
        <v>3260</v>
      </c>
      <c r="GH63" s="539">
        <f t="shared" si="80"/>
        <v>43040</v>
      </c>
      <c r="GJ63" s="521">
        <f t="shared" si="81"/>
        <v>0</v>
      </c>
      <c r="GK63" s="535" t="str">
        <f t="shared" si="239"/>
        <v/>
      </c>
      <c r="GL63" s="535">
        <f t="shared" si="82"/>
        <v>0</v>
      </c>
      <c r="GM63" s="535" t="str">
        <f t="shared" si="83"/>
        <v/>
      </c>
      <c r="GN63" s="535">
        <f>IF(GK63="P",Lookup!$M$12,IF(GK63="PP",Lookup!$M$13,IF(GK63="PPP",Lookup!$M$14,IF(GK63="T",Lookup!$M$15,IF(GK63="TP",Lookup!$M$16,IF(GK63="TPP",Lookup!$M$17,IF(GK63="TPPP",Lookup!$M$18,0)))))))*GJ63</f>
        <v>0</v>
      </c>
      <c r="GO63" s="535">
        <f t="shared" si="84"/>
        <v>0</v>
      </c>
      <c r="GP63" s="535">
        <f t="shared" si="240"/>
        <v>495.78879999999998</v>
      </c>
      <c r="GQ63" s="535">
        <f t="shared" si="94"/>
        <v>161.6</v>
      </c>
      <c r="GR63" s="535"/>
      <c r="GS63" s="535">
        <f t="shared" si="85"/>
        <v>0</v>
      </c>
      <c r="GT63" s="535" t="str">
        <f t="shared" si="86"/>
        <v/>
      </c>
      <c r="GU63" s="535">
        <f>IF(GK63="P",Lookup!$N$12,IF(GK63="PP",Lookup!$N$13,IF(GK63="PPP",Lookup!$N$14,IF(GK63="T",Lookup!$N$15,IF(GK63="TP",Lookup!$N$16,IF(GK63="TPP",Lookup!$N$17,IF(GK63="TPPP",Lookup!$N$18,0)))))))*GJ63</f>
        <v>0</v>
      </c>
      <c r="GV63" s="535">
        <f t="shared" si="53"/>
        <v>0</v>
      </c>
      <c r="GW63" s="535">
        <f t="shared" si="241"/>
        <v>212.7880486637913</v>
      </c>
      <c r="GX63" s="535">
        <f t="shared" si="91"/>
        <v>69.357251846085816</v>
      </c>
      <c r="GY63" s="535"/>
      <c r="GZ63" s="535">
        <f t="shared" si="87"/>
        <v>0</v>
      </c>
      <c r="HA63" s="535" t="str">
        <f t="shared" si="88"/>
        <v/>
      </c>
      <c r="HB63" s="535">
        <f>IF(GK63="P",Lookup!$N$12,IF(GK63="PP",Lookup!$N$13,IF(GK63="PPP",Lookup!$N$14,IF(GK63="T",Lookup!$N$15,IF(GK63="TP",Lookup!$N$16,IF(GK63="TPP",Lookup!$N$17,IF(GK63="TPPP",Lookup!$N$18,0)))))))*GJ63</f>
        <v>0</v>
      </c>
      <c r="HC63" s="521">
        <f t="shared" si="242"/>
        <v>0</v>
      </c>
      <c r="HD63" s="535">
        <f t="shared" si="243"/>
        <v>171.93049089443053</v>
      </c>
      <c r="HE63" s="535">
        <f t="shared" si="92"/>
        <v>56.039925324129904</v>
      </c>
      <c r="HF63" s="535"/>
      <c r="HG63" s="535">
        <f t="shared" si="89"/>
        <v>0</v>
      </c>
      <c r="HH63" s="535" t="str">
        <f t="shared" si="90"/>
        <v/>
      </c>
      <c r="HI63" s="535">
        <f>IF(GK63="P",Lookup!$N$12,IF(GK63="PP",Lookup!$N$13,IF(GK63="PPP",Lookup!$N$14,IF(GK63="T",Lookup!$N$15,IF(GK63="TP",Lookup!$N$16,IF(GK63="TPP",Lookup!$N$17,IF(GK63="TPPP",Lookup!$N$18,0)))))))*GJ63</f>
        <v>0</v>
      </c>
      <c r="HJ63" s="521">
        <f t="shared" si="244"/>
        <v>0</v>
      </c>
      <c r="HK63" s="535">
        <f t="shared" si="245"/>
        <v>112.55298721148331</v>
      </c>
      <c r="HL63" s="535">
        <f t="shared" si="93"/>
        <v>36.686110564368747</v>
      </c>
      <c r="HM63" s="535"/>
      <c r="HN63" s="541"/>
      <c r="HO63" s="541"/>
      <c r="HP63" s="541"/>
      <c r="HQ63" s="541">
        <f>IF(AND(B63&gt;=$FV$4,B63&lt;=$FW$4),MAX(110/1.02+$HQ$6+MIN(113/1.02,G63),IF($HV$6-(Sheet1!DA61-Sheet1!DB61)+MIN(113/1.02,G63)&lt;G63+FL63,$HV$6-(Sheet1!DA61-Sheet1!DB61)+MIN(113/1.02,G63),G63+FL63)),MIN(110/1.02+$HQ$6+113/1.02,G63))</f>
        <v>218.62745098039215</v>
      </c>
      <c r="HR63" s="541">
        <f t="shared" si="112"/>
        <v>223</v>
      </c>
      <c r="HS63" s="541">
        <f>HR63+(Sheet1!DA61-Sheet1!DB61)</f>
        <v>1372</v>
      </c>
      <c r="HT63" s="541">
        <f t="shared" si="113"/>
        <v>69.614999999999981</v>
      </c>
      <c r="HU63" s="541">
        <f t="shared" si="114"/>
        <v>1302.385</v>
      </c>
      <c r="HV63" s="541">
        <f t="shared" si="115"/>
        <v>0</v>
      </c>
      <c r="HW63" s="533" t="str">
        <f t="shared" si="116"/>
        <v/>
      </c>
      <c r="HX63" s="541">
        <f t="shared" si="117"/>
        <v>1261.372549019608</v>
      </c>
      <c r="HY63" s="541">
        <f>Sheet1!CZ61</f>
        <v>1480</v>
      </c>
      <c r="HZ63" s="541">
        <f t="shared" si="118"/>
        <v>0</v>
      </c>
      <c r="IA63" s="541">
        <f t="shared" si="119"/>
        <v>69.614999999999981</v>
      </c>
      <c r="IB63" s="541">
        <f t="shared" si="120"/>
        <v>1480</v>
      </c>
      <c r="IC63" s="1019" t="str">
        <f t="shared" si="121"/>
        <v/>
      </c>
      <c r="ID63" s="541">
        <f t="shared" si="122"/>
        <v>1410.385</v>
      </c>
      <c r="IE63" s="541">
        <f>Sheet1!DB61</f>
        <v>1370</v>
      </c>
      <c r="IF63" s="533">
        <f>Sheet1!DA61</f>
        <v>2519</v>
      </c>
      <c r="IH63" s="541">
        <f>IF(AND($B63&gt;=$GC63,$B63&lt;=$GH63,$DR63&lt;0)+N("only adjusted when pool is drawn down during storage season"),Sheet1!$DB61+$DR63+N("Palmer minus all storage release"),Sheet1!$DB61)</f>
        <v>1050.1311144724646</v>
      </c>
      <c r="II63" s="541">
        <f>IF(AND($B63&gt;=$GC63,$B63&lt;=$GH63,$DR63&lt;0)+N("only adjusted when pool is drawn down during storage season"),Sheet1!$DA61+$DR63+N("Auburn minus all storage release"),Sheet1!$DA61)</f>
        <v>2199.1311144724646</v>
      </c>
    </row>
    <row r="64" spans="1:243" x14ac:dyDescent="0.25">
      <c r="A64" s="553" t="s">
        <v>6</v>
      </c>
      <c r="B64" s="531">
        <v>42788</v>
      </c>
      <c r="C64" s="536">
        <v>0</v>
      </c>
      <c r="D64" s="506">
        <f t="shared" si="0"/>
        <v>300</v>
      </c>
      <c r="E64" s="506">
        <f t="shared" si="1"/>
        <v>250</v>
      </c>
      <c r="F64" s="506">
        <v>250</v>
      </c>
      <c r="G64" s="535">
        <f>DR64+Sheet1!CZ62</f>
        <v>1276.3777105395716</v>
      </c>
      <c r="H64" s="1074">
        <f t="shared" si="246"/>
        <v>629.34988169277904</v>
      </c>
      <c r="I64" s="534">
        <f>IF(Sheet1!DA62&gt;=E64,(Sheet1!DA62-E64+P64)*CFStoMGD,0)</f>
        <v>1296.1905296</v>
      </c>
      <c r="J64" s="995">
        <f>IF(Sheet1!DB62&gt;=D64,(Sheet1!DB62-D64+P64)*CFStoMGD,0)</f>
        <v>631.04492959999993</v>
      </c>
      <c r="K64" s="818">
        <f t="shared" si="97"/>
        <v>64.64</v>
      </c>
      <c r="L64" s="535">
        <f>Sheet1!AA62+Sheet1!AB62-Sheet1!L62+(Sheet1!DA62-F64)*CFStoMGD-S64-T64-U64</f>
        <v>1231.5515999999998</v>
      </c>
      <c r="M64" s="535">
        <f t="shared" si="185"/>
        <v>841.55156313463465</v>
      </c>
      <c r="N64" s="824">
        <f>IF(Sheet1!DA62&gt;=F64,MIN(113*CFStoMGD,MIN(MAX(L64,0),MAX(M64,0))),0)</f>
        <v>73.043199999999999</v>
      </c>
      <c r="O64" s="538">
        <f>Sheet1!AA62+Sheet1!AB62</f>
        <v>55.75</v>
      </c>
      <c r="P64" s="538">
        <f t="shared" si="186"/>
        <v>86.245249999999999</v>
      </c>
      <c r="Q64" s="812">
        <f t="shared" si="98"/>
        <v>45.07</v>
      </c>
      <c r="R64" s="812">
        <f t="shared" si="59"/>
        <v>10.648045212765958</v>
      </c>
      <c r="S64" s="812">
        <f t="shared" si="60"/>
        <v>10.68</v>
      </c>
      <c r="T64" s="812">
        <f t="shared" si="61"/>
        <v>53.96</v>
      </c>
      <c r="U64" s="812">
        <f t="shared" si="99"/>
        <v>0</v>
      </c>
      <c r="V64" s="812"/>
      <c r="W64" s="812">
        <f t="shared" si="62"/>
        <v>53.991954787234043</v>
      </c>
      <c r="X64" s="812">
        <f t="shared" si="63"/>
        <v>64.64</v>
      </c>
      <c r="Y64" s="812" t="str">
        <f t="shared" si="64"/>
        <v>FALSE</v>
      </c>
      <c r="Z64" s="812">
        <f t="shared" si="65"/>
        <v>55.75</v>
      </c>
      <c r="AA64" s="812">
        <f t="shared" si="66"/>
        <v>55.75</v>
      </c>
      <c r="AB64" s="1059">
        <f t="shared" si="100"/>
        <v>69.723289999999992</v>
      </c>
      <c r="AC64" s="538">
        <f>Sheet1!Y62*MGDtoCFS</f>
        <v>39.819779999999994</v>
      </c>
      <c r="AD64" s="538">
        <f>Sheet1!Z62*MGDtoCFS</f>
        <v>46.255299999999998</v>
      </c>
      <c r="AE64" s="538">
        <f>Sheet1!AA62*MGDtoCFS</f>
        <v>39.850720000000003</v>
      </c>
      <c r="AF64" s="538">
        <f>Sheet1!AB62*MGDtoCFS</f>
        <v>46.394529999999996</v>
      </c>
      <c r="AG64" s="538">
        <f>Sheet1!L62*MGDtoCFS</f>
        <v>0</v>
      </c>
      <c r="AH64" s="521">
        <f t="shared" si="187"/>
        <v>0</v>
      </c>
      <c r="AI64" s="1059">
        <f t="shared" si="188"/>
        <v>0</v>
      </c>
      <c r="AJ64" s="535">
        <f t="shared" si="189"/>
        <v>53.991954787234043</v>
      </c>
      <c r="AK64" s="535">
        <f t="shared" si="190"/>
        <v>83.52555405585106</v>
      </c>
      <c r="AL64" s="535">
        <f>(VLOOKUP(Sheet1!DC62,hhdcap_wcm,4)-(((VLOOKUP(Sheet1!DC62,hhdcap_wcm,3)-Sheet1!DC62)/(VLOOKUP(Sheet1!DC62,hhdcap_wcm,3)-VLOOKUP(Sheet1!DC62,hhdcap_wcm,1)))*(VLOOKUP(Sheet1!DC62,hhdcap_wcm,4)-VLOOKUP(Sheet1!DC62,hhdcap_wcm,2))))</f>
        <v>1298.0000000033697</v>
      </c>
      <c r="AM64" s="535">
        <f t="shared" si="191"/>
        <v>-5.2000000000296041</v>
      </c>
      <c r="AN64" s="1035">
        <f t="shared" si="192"/>
        <v>377.67524252181846</v>
      </c>
      <c r="AO64" s="535">
        <f t="shared" si="193"/>
        <v>1158.707644056939</v>
      </c>
      <c r="AP64" s="535">
        <f>Sheet1!BA62+Sheet1!BB62+Sheet1!BN62+CD64</f>
        <v>19.399999999999999</v>
      </c>
      <c r="AQ64" s="535">
        <f>Sheet1!BN62+(DO64*Sheet1!BN62)</f>
        <v>19.341954787234041</v>
      </c>
      <c r="AR64" s="535">
        <f>Sheet1!BA62+CD64</f>
        <v>0</v>
      </c>
      <c r="AS64" s="535">
        <f>Sheet1!BA62+Sheet1!BB62+CD64</f>
        <v>0</v>
      </c>
      <c r="AT64" s="649">
        <f>0</f>
        <v>0</v>
      </c>
      <c r="AU64" s="535">
        <f>IF(EB64&lt;K64,0,MAX(Sheet1!AA62+AQ64-15/36*K64-N64,Sheet1!EH62,0))</f>
        <v>0</v>
      </c>
      <c r="AV64" s="535">
        <f>IF(OR(B64&gt;=GD64,B64&lt;GC64),0,15/36*K64-MAX(0,64.6-(137.6-(Sheet1!AA62+Sheet1!AB62))))</f>
        <v>26.933333333333334</v>
      </c>
      <c r="AW64" s="1029"/>
      <c r="AX64" s="649"/>
      <c r="AY64" s="649">
        <f t="shared" si="101"/>
        <v>0</v>
      </c>
      <c r="AZ64" s="649">
        <f t="shared" si="102"/>
        <v>0</v>
      </c>
      <c r="BA64" s="1059">
        <f t="shared" si="103"/>
        <v>0</v>
      </c>
      <c r="BB64" s="1019">
        <f t="shared" si="194"/>
        <v>188.53333333333333</v>
      </c>
      <c r="BC64" s="1041">
        <f t="shared" si="104"/>
        <v>26.933333333333334</v>
      </c>
      <c r="BD64" s="1019">
        <f ca="1">IF(B64&gt;Summary!$A$1,#N/A,BB64*MGtoAF)</f>
        <v>578.42026666666663</v>
      </c>
      <c r="BE64" s="535">
        <f>Sheet1!BG62+Sheet1!BH62+Sheet1!BI62-BM64</f>
        <v>1.02</v>
      </c>
      <c r="BF64" s="535">
        <f t="shared" si="195"/>
        <v>1.0169481382978725</v>
      </c>
      <c r="BG64" s="535">
        <f>IF(Sheet1!EP62="FM",BM64,0)</f>
        <v>0</v>
      </c>
      <c r="BH64" s="535">
        <f t="shared" si="196"/>
        <v>0</v>
      </c>
      <c r="BI64" s="535">
        <f>IF(Sheet1!EP62="OTHER",BM64,0)</f>
        <v>0</v>
      </c>
      <c r="BJ64" s="535">
        <f t="shared" si="197"/>
        <v>0</v>
      </c>
      <c r="BK64" s="535">
        <f t="shared" si="198"/>
        <v>1.02</v>
      </c>
      <c r="BL64" s="535">
        <f t="shared" si="199"/>
        <v>1.0169481382978725</v>
      </c>
      <c r="BM64" s="535">
        <f>IF(OR(Sheet1!EP62="FM", Sheet1!EP62="OTHER"),SUM(Sheet1!BG62:'Sheet1'!BI62),0)</f>
        <v>0</v>
      </c>
      <c r="BN64" s="521">
        <f>IF(AND($B64&gt;=$FV64,$B64&lt;=$FW64),MAX(BF64,Sheet1!EI62,0),MAX(BF64-(7/36)*$K64,0))</f>
        <v>0</v>
      </c>
      <c r="BO64" s="535">
        <f t="shared" si="200"/>
        <v>11.551940750591017</v>
      </c>
      <c r="BP64" s="521">
        <f t="shared" si="201"/>
        <v>1.0169481382978725</v>
      </c>
      <c r="BQ64" s="521">
        <f>IF(AND($O64&gt;0,Sheet1!EM62=1),(1-($O64-Sheet1!$L62)/$O64)*BL64,0)</f>
        <v>0</v>
      </c>
      <c r="BR64" s="521">
        <f>IF(AND(Sheet1!$L62=0,Sheet1!$L61=0, Calculation!BK64&lt;Sheet1!$EI62-0.1,Sheet1!$EI62=Sheet1!$EI61,Sheet1!$EI62=Sheet1!$EI63),BL64-BQ64,BL64-BQ64)</f>
        <v>1.0169481382978725</v>
      </c>
      <c r="BS64" s="1035" t="str">
        <f t="shared" si="105"/>
        <v/>
      </c>
      <c r="BT64" s="1035">
        <f t="shared" si="106"/>
        <v>12.568888888888889</v>
      </c>
      <c r="BU64" s="535">
        <f t="shared" si="202"/>
        <v>80.909192596676831</v>
      </c>
      <c r="BV64" s="535"/>
      <c r="BW64" s="535">
        <f ca="1">IF(B64&gt;Summary!$A$1,#N/A,BU64*MGtoAF)</f>
        <v>248.22940288660453</v>
      </c>
      <c r="BX64" s="535">
        <f>Sheet1!BC62+Sheet1!BD62+Sheet1!BE62+Sheet1!BF62-CG64-CH64</f>
        <v>3</v>
      </c>
      <c r="BY64" s="535">
        <f t="shared" si="203"/>
        <v>2.9910239361702127</v>
      </c>
      <c r="BZ64" s="535">
        <f>IF(Sheet1!EQ62="FM",CH64,0)</f>
        <v>0</v>
      </c>
      <c r="CA64" s="535">
        <f t="shared" si="204"/>
        <v>0</v>
      </c>
      <c r="CB64" s="535">
        <f>IF(Sheet1!EQ62="OTHER",CH64,0)</f>
        <v>0</v>
      </c>
      <c r="CC64" s="535">
        <f t="shared" si="205"/>
        <v>0</v>
      </c>
      <c r="CD64" s="535">
        <f t="shared" si="206"/>
        <v>0</v>
      </c>
      <c r="CE64" s="535">
        <f t="shared" si="207"/>
        <v>3</v>
      </c>
      <c r="CF64" s="535">
        <f t="shared" si="208"/>
        <v>2.9910239361702127</v>
      </c>
      <c r="CG64" s="535">
        <f>IF(Sheet1!EQ62="CWA",SUM(Sheet1!BC62:'Sheet1'!BF62),0)</f>
        <v>0</v>
      </c>
      <c r="CH64" s="535">
        <f>IF(OR(Sheet1!EQ62="FM", Sheet1!EQ62="OTHER"),SUM(Sheet1!BC62:'Sheet1'!BF62),0)</f>
        <v>0</v>
      </c>
      <c r="CI64" s="521">
        <f>IF(AND($B64&gt;=$FV64,$B64&lt;=$FW64),MAX(CF64,Sheet1!EJ62,0),MAX(CF64-(7/36)*$K64,0))</f>
        <v>0</v>
      </c>
      <c r="CJ64" s="535">
        <f t="shared" si="209"/>
        <v>9.5778649527186772</v>
      </c>
      <c r="CK64" s="521">
        <f t="shared" si="210"/>
        <v>2.9910239361702127</v>
      </c>
      <c r="CL64" s="521">
        <f>IF(AND($O64&gt;0,Sheet1!EN62=1),(1-($O64-Sheet1!$L62)/$O64)*CF64,0)</f>
        <v>0</v>
      </c>
      <c r="CM64" s="521">
        <f>IF(AND(Sheet1!$L62=0,Sheet1!$L61=0, Calculation!CE64&lt;Sheet1!EJ62-0.1,Sheet1!EJ62=Sheet1!EJ61,Sheet1!EJ62=Sheet1!EJ63),CF64-CL64,CF64-CL64)</f>
        <v>2.9910239361702127</v>
      </c>
      <c r="CN64" s="1040" t="str">
        <f t="shared" si="107"/>
        <v/>
      </c>
      <c r="CO64" s="1035">
        <f t="shared" si="108"/>
        <v>12.568888888888889</v>
      </c>
      <c r="CP64" s="535">
        <f t="shared" si="211"/>
        <v>65.617790276848581</v>
      </c>
      <c r="CQ64" s="535"/>
      <c r="CR64" s="535">
        <f ca="1">IF(B64&gt;Summary!$A$1,#N/A,CP64*MGtoAF)</f>
        <v>201.31538056937146</v>
      </c>
      <c r="CS64" s="535">
        <f>Sheet1!BK62+Sheet1!BL62+Sheet1!BM62-Sheet1!ER62-DA64</f>
        <v>6.66</v>
      </c>
      <c r="CT64" s="535">
        <f t="shared" si="212"/>
        <v>6.6400731382978728</v>
      </c>
      <c r="CU64" s="535">
        <f>IF(Sheet1!ER62="FM",DA64,0)</f>
        <v>0</v>
      </c>
      <c r="CV64" s="535">
        <f t="shared" si="213"/>
        <v>0</v>
      </c>
      <c r="CW64" s="535">
        <f>IF(Sheet1!ER62="OTHER",DA64,0)</f>
        <v>0</v>
      </c>
      <c r="CX64" s="535">
        <f t="shared" si="214"/>
        <v>0</v>
      </c>
      <c r="CY64" s="535">
        <f t="shared" si="215"/>
        <v>6.66</v>
      </c>
      <c r="CZ64" s="535">
        <f t="shared" si="216"/>
        <v>6.6400731382978728</v>
      </c>
      <c r="DA64" s="535">
        <f>IF(OR(Sheet1!ER62="FM", Sheet1!ER62="OTHER"),SUM(Sheet1!BK62:'Sheet1'!BM62),0)</f>
        <v>0</v>
      </c>
      <c r="DB64" s="1011">
        <f>IF(AND($B64&gt;=$FV64,$B64&lt;=$FW64),MAX($CT64,Sheet1!EK62,0),MAX($CT64-(7/36)*$K64,0))</f>
        <v>0</v>
      </c>
      <c r="DC64" s="1012">
        <f t="shared" si="217"/>
        <v>5.9288157505910162</v>
      </c>
      <c r="DD64" s="1011">
        <f t="shared" si="218"/>
        <v>6.6400731382978728</v>
      </c>
      <c r="DE64" s="521">
        <f>IF(AND($O64&gt;0,Sheet1!EO62=1),(1-($O64-Sheet1!$L62)/$O64)*CZ64,0)</f>
        <v>0</v>
      </c>
      <c r="DF64" s="521">
        <f>IF(AND(Sheet1!$L62=0,Sheet1!$L61=0, Calculation!CY64&lt;Sheet1!$EK62-0.1,Sheet1!$EK62=Sheet1!$EK61,Sheet1!$EK62=Sheet1!$EK63),CZ64-DE64,CZ64-DE64)</f>
        <v>6.6400731382978728</v>
      </c>
      <c r="DG64" s="1040">
        <f t="shared" si="109"/>
        <v>12.568888888888889</v>
      </c>
      <c r="DH64" s="649">
        <f t="shared" si="219"/>
        <v>10.68</v>
      </c>
      <c r="DI64" s="535">
        <f t="shared" si="220"/>
        <v>42.61492631495976</v>
      </c>
      <c r="DJ64" s="649">
        <f t="shared" si="221"/>
        <v>10.648045212765958</v>
      </c>
      <c r="DK64" s="535">
        <f ca="1">IF(B64&gt;Summary!$A$1,#N/A,DI64*MGtoAF)</f>
        <v>130.74259393429654</v>
      </c>
      <c r="DL64" s="649">
        <f t="shared" si="222"/>
        <v>10.68</v>
      </c>
      <c r="DM64" s="535">
        <f t="shared" si="223"/>
        <v>30.08</v>
      </c>
      <c r="DN64" s="535">
        <f>Sheet1!AB62-DM64</f>
        <v>-8.9999999999999858E-2</v>
      </c>
      <c r="DO64" s="743">
        <f t="shared" si="224"/>
        <v>-2.9920212765957403E-3</v>
      </c>
      <c r="DP64" s="535">
        <f>(VLOOKUP(Sheet1!DC62,hhdcap_wcm,4)-(((VLOOKUP(Sheet1!DC62,hhdcap_wcm,3)-Sheet1!DC62)/(VLOOKUP(Sheet1!DC62,hhdcap_wcm,3)-VLOOKUP(Sheet1!DC62,hhdcap_wcm,1)))*(VLOOKUP(Sheet1!DC62,hhdcap_wcm,4)-VLOOKUP(Sheet1!DC62,hhdcap_wcm,2))))</f>
        <v>1298.0000000033697</v>
      </c>
      <c r="DQ64" s="535">
        <f t="shared" si="225"/>
        <v>-5.2000000000296041</v>
      </c>
      <c r="DR64" s="535">
        <f t="shared" si="226"/>
        <v>-2.6222894604284432</v>
      </c>
      <c r="DS64" s="535">
        <f>Sheet1!EA62*AFtoMG</f>
        <v>0</v>
      </c>
      <c r="DT64" s="535">
        <f>Sheet1!EB62*AFtoMG</f>
        <v>0</v>
      </c>
      <c r="DU64" s="535">
        <f>Sheet1!EC62*AFtoMG</f>
        <v>0</v>
      </c>
      <c r="DV64" s="535">
        <f>Sheet1!ED62*AFtoMG</f>
        <v>0</v>
      </c>
      <c r="DW64" s="535">
        <f t="shared" si="227"/>
        <v>0</v>
      </c>
      <c r="DX64" s="535">
        <f t="shared" si="228"/>
        <v>0</v>
      </c>
      <c r="DY64" s="535">
        <f t="shared" si="229"/>
        <v>377.67524252181846</v>
      </c>
      <c r="DZ64" s="535">
        <f t="shared" si="230"/>
        <v>1158.707644056939</v>
      </c>
      <c r="EA64" s="535"/>
      <c r="EB64" s="521">
        <f>IF(OR(B64&lt;FV64,B64&gt;FW64),(MIN(BF64+BY64+CT64+MAX(Sheet1!AA62+AQ64-73,0),K64)),0)</f>
        <v>10.648045212765958</v>
      </c>
      <c r="EC64" s="535"/>
      <c r="ED64" s="535">
        <f t="shared" si="231"/>
        <v>10.648045212765958</v>
      </c>
      <c r="EE64" s="535"/>
      <c r="EF64" s="535">
        <f>Sheet1!EH62+Sheet1!EI62+Sheet1!EJ62+Sheet1!EK62</f>
        <v>10.5</v>
      </c>
      <c r="EG64" s="1019">
        <f t="shared" si="110"/>
        <v>16.243500000000001</v>
      </c>
      <c r="EH64" s="521">
        <f t="shared" si="232"/>
        <v>0</v>
      </c>
      <c r="EI64" s="535">
        <f>IF(Sheet1!ET62=1,SUM('Calculations II'!AT64:BA64)+'Calculations II'!BC64+Sheet1!BV62+'Calculations II'!BE64+AP64,'Calculations II'!BK64)</f>
        <v>44.256260787234041</v>
      </c>
      <c r="EJ64" s="535">
        <f ca="1">EI64+'Calculations II'!D64+'Calculations II'!E64+'Calculations II'!O64</f>
        <v>46.618669816527273</v>
      </c>
      <c r="EK64" s="535"/>
      <c r="EL64" s="535"/>
      <c r="EM64" s="535">
        <f t="shared" si="233"/>
        <v>42788</v>
      </c>
      <c r="EN64" s="535">
        <f t="shared" si="234"/>
        <v>53.991954787234043</v>
      </c>
      <c r="EO64" s="535">
        <f t="shared" si="235"/>
        <v>83.52555405585106</v>
      </c>
      <c r="EP64" s="535">
        <v>0</v>
      </c>
      <c r="EQ64" s="535">
        <v>0</v>
      </c>
      <c r="ER64" s="535">
        <v>0</v>
      </c>
      <c r="ES64" s="521">
        <f t="shared" si="71"/>
        <v>-1.9389214404512383</v>
      </c>
      <c r="ET64" s="535">
        <f>-(VLOOKUP(Sheet1!BQ62,Lookup!$O$4:$Q$262,2)-VLOOKUP(Sheet1!BQ61,Lookup!$O$4:$Q$262,2))/1000000</f>
        <v>-0.96930371233475576</v>
      </c>
      <c r="EU64" s="535">
        <f>-(VLOOKUP(Sheet1!BR62,Lookup!$O$4:$Q$262,3)-VLOOKUP(Sheet1!BR61,Lookup!$O$4:$Q$262,3))/1000000</f>
        <v>-0.9696177281164825</v>
      </c>
      <c r="EV64" s="535"/>
      <c r="EW64" s="535"/>
      <c r="EX64" s="535"/>
      <c r="EY64" s="535"/>
      <c r="EZ64" s="535"/>
      <c r="FA64" s="535"/>
      <c r="FB64" s="535"/>
      <c r="FC64" s="535"/>
      <c r="FD64" s="567" t="e">
        <f t="shared" si="236"/>
        <v>#N/A</v>
      </c>
      <c r="FE64" s="567" t="e">
        <f t="shared" si="237"/>
        <v>#N/A</v>
      </c>
      <c r="FF64" s="568" t="e">
        <f t="shared" si="238"/>
        <v>#N/A</v>
      </c>
      <c r="FG64" s="569" t="s">
        <v>656</v>
      </c>
      <c r="FH64" s="569" t="s">
        <v>656</v>
      </c>
      <c r="FI64" s="567" t="e">
        <v>#N/A</v>
      </c>
      <c r="FJ64" s="567" t="e">
        <v>#N/A</v>
      </c>
      <c r="FK64" s="535"/>
      <c r="FL64" s="1015">
        <v>0</v>
      </c>
      <c r="FM64" s="535"/>
      <c r="FN64" s="535"/>
      <c r="FO64" s="535">
        <f>O64+((Sheet1!CS62)*GPMtoMGD)</f>
        <v>57.852831999999999</v>
      </c>
      <c r="FP64" s="535">
        <f>IF(Sheet1!AA62+AQ64&lt;=Calculation!N64,AQ64,Calculation!N64-Sheet1!AA62)</f>
        <v>19.341954787234041</v>
      </c>
      <c r="FQ64" s="535">
        <f>(Sheet1!BP62+Sheet1!BO62)/694.4</f>
        <v>1.341733870967742</v>
      </c>
      <c r="FR64" s="541"/>
      <c r="FS64" s="541"/>
      <c r="FT64" s="541"/>
      <c r="FU64" s="541"/>
      <c r="FV64" s="1109">
        <f t="shared" si="74"/>
        <v>42918</v>
      </c>
      <c r="FW64" s="1109">
        <f t="shared" si="75"/>
        <v>43027</v>
      </c>
      <c r="FX64" s="541"/>
      <c r="FY64" s="541">
        <f>Sheet1!DA62-Sheet1!CZ62-Sheet1!AE62</f>
        <v>803.75475000000006</v>
      </c>
      <c r="FZ64" s="535">
        <f t="shared" si="111"/>
        <v>0.62971543874753466</v>
      </c>
      <c r="GA64" s="535"/>
      <c r="GB64" s="535" t="str">
        <f t="shared" si="76"/>
        <v>n</v>
      </c>
      <c r="GC64" s="539">
        <f t="shared" si="77"/>
        <v>42782</v>
      </c>
      <c r="GD64" s="1109">
        <f t="shared" si="78"/>
        <v>42904</v>
      </c>
      <c r="GE64" s="535">
        <f t="shared" si="95"/>
        <v>6520</v>
      </c>
      <c r="GF64" s="1109">
        <f t="shared" si="79"/>
        <v>42909</v>
      </c>
      <c r="GG64" s="535">
        <f t="shared" si="174"/>
        <v>3260</v>
      </c>
      <c r="GH64" s="539">
        <f t="shared" si="80"/>
        <v>43040</v>
      </c>
      <c r="GJ64" s="521">
        <f t="shared" si="81"/>
        <v>0</v>
      </c>
      <c r="GK64" s="535" t="str">
        <f t="shared" si="239"/>
        <v/>
      </c>
      <c r="GL64" s="535">
        <f t="shared" si="82"/>
        <v>0</v>
      </c>
      <c r="GM64" s="535" t="str">
        <f t="shared" si="83"/>
        <v/>
      </c>
      <c r="GN64" s="535">
        <f>IF(GK64="P",Lookup!$M$12,IF(GK64="PP",Lookup!$M$13,IF(GK64="PPP",Lookup!$M$14,IF(GK64="T",Lookup!$M$15,IF(GK64="TP",Lookup!$M$16,IF(GK64="TPP",Lookup!$M$17,IF(GK64="TPPP",Lookup!$M$18,0)))))))*GJ64</f>
        <v>0</v>
      </c>
      <c r="GO64" s="535">
        <f t="shared" si="84"/>
        <v>0</v>
      </c>
      <c r="GP64" s="535">
        <f t="shared" si="240"/>
        <v>578.42026666666663</v>
      </c>
      <c r="GQ64" s="535">
        <f t="shared" si="94"/>
        <v>188.53333333333333</v>
      </c>
      <c r="GR64" s="535"/>
      <c r="GS64" s="535">
        <f t="shared" si="85"/>
        <v>0</v>
      </c>
      <c r="GT64" s="535" t="str">
        <f t="shared" si="86"/>
        <v/>
      </c>
      <c r="GU64" s="535">
        <f>IF(GK64="P",Lookup!$N$12,IF(GK64="PP",Lookup!$N$13,IF(GK64="PPP",Lookup!$N$14,IF(GK64="T",Lookup!$N$15,IF(GK64="TP",Lookup!$N$16,IF(GK64="TPP",Lookup!$N$17,IF(GK64="TPPP",Lookup!$N$18,0)))))))*GJ64</f>
        <v>0</v>
      </c>
      <c r="GV64" s="535">
        <f t="shared" si="53"/>
        <v>0</v>
      </c>
      <c r="GW64" s="535">
        <f t="shared" si="241"/>
        <v>248.22940288660453</v>
      </c>
      <c r="GX64" s="535">
        <f t="shared" si="91"/>
        <v>80.909192596676831</v>
      </c>
      <c r="GY64" s="535"/>
      <c r="GZ64" s="535">
        <f t="shared" si="87"/>
        <v>0</v>
      </c>
      <c r="HA64" s="535" t="str">
        <f t="shared" si="88"/>
        <v/>
      </c>
      <c r="HB64" s="535">
        <f>IF(GK64="P",Lookup!$N$12,IF(GK64="PP",Lookup!$N$13,IF(GK64="PPP",Lookup!$N$14,IF(GK64="T",Lookup!$N$15,IF(GK64="TP",Lookup!$N$16,IF(GK64="TPP",Lookup!$N$17,IF(GK64="TPPP",Lookup!$N$18,0)))))))*GJ64</f>
        <v>0</v>
      </c>
      <c r="HC64" s="521">
        <f t="shared" si="242"/>
        <v>0</v>
      </c>
      <c r="HD64" s="535">
        <f t="shared" si="243"/>
        <v>201.31538056937146</v>
      </c>
      <c r="HE64" s="535">
        <f t="shared" si="92"/>
        <v>65.617790276848581</v>
      </c>
      <c r="HF64" s="535"/>
      <c r="HG64" s="535">
        <f t="shared" si="89"/>
        <v>0</v>
      </c>
      <c r="HH64" s="535" t="str">
        <f t="shared" si="90"/>
        <v/>
      </c>
      <c r="HI64" s="535">
        <f>IF(GK64="P",Lookup!$N$12,IF(GK64="PP",Lookup!$N$13,IF(GK64="PPP",Lookup!$N$14,IF(GK64="T",Lookup!$N$15,IF(GK64="TP",Lookup!$N$16,IF(GK64="TPP",Lookup!$N$17,IF(GK64="TPPP",Lookup!$N$18,0)))))))*GJ64</f>
        <v>0</v>
      </c>
      <c r="HJ64" s="521">
        <f t="shared" si="244"/>
        <v>0</v>
      </c>
      <c r="HK64" s="535">
        <f t="shared" si="245"/>
        <v>130.74259393429654</v>
      </c>
      <c r="HL64" s="535">
        <f t="shared" si="93"/>
        <v>42.61492631495976</v>
      </c>
      <c r="HM64" s="535"/>
      <c r="HN64" s="541"/>
      <c r="HO64" s="541"/>
      <c r="HP64" s="541"/>
      <c r="HQ64" s="541">
        <f>IF(AND(B64&gt;=$FV$4,B64&lt;=$FW$4),MAX(110/1.02+$HQ$6+MIN(113/1.02,G64),IF($HV$6-(Sheet1!DA62-Sheet1!DB62)+MIN(113/1.02,G64)&lt;G64+FL64,$HV$6-(Sheet1!DA62-Sheet1!DB62)+MIN(113/1.02,G64),G64+FL64)),MIN(110/1.02+$HQ$6+113/1.02,G64))</f>
        <v>218.62745098039215</v>
      </c>
      <c r="HR64" s="541">
        <f t="shared" si="112"/>
        <v>223</v>
      </c>
      <c r="HS64" s="541">
        <f>HR64+(Sheet1!DA62-Sheet1!DB62)</f>
        <v>1202</v>
      </c>
      <c r="HT64" s="541">
        <f t="shared" si="113"/>
        <v>69.723289999999992</v>
      </c>
      <c r="HU64" s="541">
        <f t="shared" si="114"/>
        <v>1132.2767100000001</v>
      </c>
      <c r="HV64" s="541">
        <f t="shared" si="115"/>
        <v>0</v>
      </c>
      <c r="HW64" s="533" t="str">
        <f t="shared" si="116"/>
        <v/>
      </c>
      <c r="HX64" s="541">
        <f t="shared" si="117"/>
        <v>1060.372549019608</v>
      </c>
      <c r="HY64" s="541">
        <f>Sheet1!CZ62</f>
        <v>1279</v>
      </c>
      <c r="HZ64" s="541">
        <f t="shared" si="118"/>
        <v>0</v>
      </c>
      <c r="IA64" s="541">
        <f t="shared" si="119"/>
        <v>69.723289999999992</v>
      </c>
      <c r="IB64" s="541">
        <f t="shared" si="120"/>
        <v>1279</v>
      </c>
      <c r="IC64" s="1019" t="str">
        <f t="shared" si="121"/>
        <v/>
      </c>
      <c r="ID64" s="541">
        <f t="shared" si="122"/>
        <v>1209.2767100000001</v>
      </c>
      <c r="IE64" s="541">
        <f>Sheet1!DB62</f>
        <v>1190</v>
      </c>
      <c r="IF64" s="533">
        <f>Sheet1!DA62</f>
        <v>2169</v>
      </c>
      <c r="IH64" s="541">
        <f>IF(AND($B64&gt;=$GC64,$B64&lt;=$GH64,$DR64&lt;0)+N("only adjusted when pool is drawn down during storage season"),Sheet1!$DB62+$DR64+N("Palmer minus all storage release"),Sheet1!$DB62)</f>
        <v>1187.3777105395716</v>
      </c>
      <c r="II64" s="541">
        <f>IF(AND($B64&gt;=$GC64,$B64&lt;=$GH64,$DR64&lt;0)+N("only adjusted when pool is drawn down during storage season"),Sheet1!$DA62+$DR64+N("Auburn minus all storage release"),Sheet1!$DA62)</f>
        <v>2166.3777105395716</v>
      </c>
    </row>
    <row r="65" spans="1:281" x14ac:dyDescent="0.25">
      <c r="A65" s="553" t="s">
        <v>7</v>
      </c>
      <c r="B65" s="531">
        <v>42789</v>
      </c>
      <c r="C65" s="536">
        <v>0</v>
      </c>
      <c r="D65" s="506">
        <f t="shared" si="0"/>
        <v>300</v>
      </c>
      <c r="E65" s="506">
        <f t="shared" si="1"/>
        <v>250</v>
      </c>
      <c r="F65" s="506">
        <v>250</v>
      </c>
      <c r="G65" s="535">
        <f>DR65+Sheet1!CZ63</f>
        <v>1094.9218356028332</v>
      </c>
      <c r="H65" s="1074">
        <f t="shared" si="246"/>
        <v>466.072932288</v>
      </c>
      <c r="I65" s="534">
        <f>IF(Sheet1!DA63&gt;=E65,(Sheet1!DA63-E65+P65)*CFStoMGD,0)</f>
        <v>1089.848932288</v>
      </c>
      <c r="J65" s="995">
        <f>IF(Sheet1!DB63&gt;=D65,(Sheet1!DB63-D65+P65)*CFStoMGD,0)</f>
        <v>466.072932288</v>
      </c>
      <c r="K65" s="818">
        <f t="shared" si="97"/>
        <v>64.64</v>
      </c>
      <c r="L65" s="535">
        <f>Sheet1!AA63+Sheet1!AB63-Sheet1!L63+(Sheet1!DA63-F65)*CFStoMGD-S65-T65-U65</f>
        <v>1025.2099999999998</v>
      </c>
      <c r="M65" s="535">
        <f t="shared" si="185"/>
        <v>721.91262402434484</v>
      </c>
      <c r="N65" s="824">
        <f>IF(Sheet1!DA63&gt;=F65,MIN(113*CFStoMGD,MIN(MAX(L65,0),MAX(M65,0))),0)</f>
        <v>73.043199999999999</v>
      </c>
      <c r="O65" s="538">
        <f>Sheet1!AA63+Sheet1!AB63</f>
        <v>55.61</v>
      </c>
      <c r="P65" s="538">
        <f t="shared" si="186"/>
        <v>86.028670000000005</v>
      </c>
      <c r="Q65" s="812">
        <f t="shared" si="98"/>
        <v>44.98</v>
      </c>
      <c r="R65" s="812">
        <f t="shared" si="59"/>
        <v>10.587522477522477</v>
      </c>
      <c r="S65" s="812">
        <f t="shared" si="60"/>
        <v>10.63</v>
      </c>
      <c r="T65" s="812">
        <f t="shared" si="61"/>
        <v>54.01</v>
      </c>
      <c r="U65" s="812">
        <f t="shared" si="99"/>
        <v>0</v>
      </c>
      <c r="V65" s="812"/>
      <c r="W65" s="812">
        <f t="shared" si="62"/>
        <v>54.052477522477524</v>
      </c>
      <c r="X65" s="812">
        <f t="shared" si="63"/>
        <v>64.64</v>
      </c>
      <c r="Y65" s="812" t="str">
        <f t="shared" si="64"/>
        <v>FALSE</v>
      </c>
      <c r="Z65" s="812">
        <f t="shared" si="65"/>
        <v>55.61</v>
      </c>
      <c r="AA65" s="812">
        <f t="shared" si="66"/>
        <v>55.61</v>
      </c>
      <c r="AB65" s="1059">
        <f t="shared" si="100"/>
        <v>69.584059999999994</v>
      </c>
      <c r="AC65" s="538">
        <f>Sheet1!Y63*MGDtoCFS</f>
        <v>39.17004</v>
      </c>
      <c r="AD65" s="538">
        <f>Sheet1!Z63*MGDtoCFS</f>
        <v>45.327100000000002</v>
      </c>
      <c r="AE65" s="538">
        <f>Sheet1!AA63*MGDtoCFS</f>
        <v>39.757899999999999</v>
      </c>
      <c r="AF65" s="538">
        <f>Sheet1!AB63*MGDtoCFS</f>
        <v>46.270769999999999</v>
      </c>
      <c r="AG65" s="538">
        <f>Sheet1!L63*MGDtoCFS</f>
        <v>0</v>
      </c>
      <c r="AH65" s="521">
        <f t="shared" si="187"/>
        <v>0</v>
      </c>
      <c r="AI65" s="1059">
        <f t="shared" si="188"/>
        <v>0</v>
      </c>
      <c r="AJ65" s="535">
        <f t="shared" si="189"/>
        <v>54.052477522477524</v>
      </c>
      <c r="AK65" s="535">
        <f t="shared" si="190"/>
        <v>83.619182727272729</v>
      </c>
      <c r="AL65" s="535">
        <f>(VLOOKUP(Sheet1!DC63,hhdcap_wcm,4)-(((VLOOKUP(Sheet1!DC63,hhdcap_wcm,3)-Sheet1!DC63)/(VLOOKUP(Sheet1!DC63,hhdcap_wcm,3)-VLOOKUP(Sheet1!DC63,hhdcap_wcm,1)))*(VLOOKUP(Sheet1!DC63,hhdcap_wcm,4)-VLOOKUP(Sheet1!DC63,hhdcap_wcm,2))))</f>
        <v>1466.4000000037881</v>
      </c>
      <c r="AM65" s="535">
        <f t="shared" si="191"/>
        <v>168.40000000041846</v>
      </c>
      <c r="AN65" s="1035">
        <f t="shared" si="192"/>
        <v>431.72772004429601</v>
      </c>
      <c r="AO65" s="535">
        <f t="shared" si="193"/>
        <v>1324.5406450959001</v>
      </c>
      <c r="AP65" s="535">
        <f>Sheet1!BA63+Sheet1!BB63+Sheet1!BN63+CD65</f>
        <v>19.399999999999999</v>
      </c>
      <c r="AQ65" s="535">
        <f>Sheet1!BN63+(DO65*Sheet1!BN63)</f>
        <v>19.32247752247752</v>
      </c>
      <c r="AR65" s="535">
        <f>Sheet1!BA63+CD65</f>
        <v>0</v>
      </c>
      <c r="AS65" s="535">
        <f>Sheet1!BA63+Sheet1!BB63+CD65</f>
        <v>0</v>
      </c>
      <c r="AT65" s="649">
        <f>0</f>
        <v>0</v>
      </c>
      <c r="AU65" s="535">
        <f>IF(EB65&lt;K65,0,MAX(Sheet1!AA63+AQ65-15/36*K65-N65,Sheet1!EH63,0))</f>
        <v>0</v>
      </c>
      <c r="AV65" s="535">
        <f>IF(OR(B65&gt;=GD65,B65&lt;GC65),0,15/36*K65-MAX(0,64.6-(137.6-(Sheet1!AA63+Sheet1!AB63))))</f>
        <v>26.933333333333334</v>
      </c>
      <c r="AW65" s="1029"/>
      <c r="AX65" s="649"/>
      <c r="AY65" s="649">
        <f t="shared" si="101"/>
        <v>0</v>
      </c>
      <c r="AZ65" s="649">
        <f t="shared" si="102"/>
        <v>0</v>
      </c>
      <c r="BA65" s="1059">
        <f t="shared" si="103"/>
        <v>0</v>
      </c>
      <c r="BB65" s="1019">
        <f t="shared" si="194"/>
        <v>215.46666666666667</v>
      </c>
      <c r="BC65" s="1041">
        <f t="shared" si="104"/>
        <v>26.933333333333334</v>
      </c>
      <c r="BD65" s="1019">
        <f ca="1">IF(B65&gt;Summary!$A$1,#N/A,BB65*MGtoAF)</f>
        <v>661.05173333333335</v>
      </c>
      <c r="BE65" s="535">
        <f>Sheet1!BG63+Sheet1!BH63+Sheet1!BI63-BM65</f>
        <v>1.01</v>
      </c>
      <c r="BF65" s="535">
        <f t="shared" si="195"/>
        <v>1.0059640359640358</v>
      </c>
      <c r="BG65" s="535">
        <f>IF(Sheet1!EP63="FM",BM65,0)</f>
        <v>0</v>
      </c>
      <c r="BH65" s="535">
        <f t="shared" si="196"/>
        <v>0</v>
      </c>
      <c r="BI65" s="535">
        <f>IF(Sheet1!EP63="OTHER",BM65,0)</f>
        <v>0</v>
      </c>
      <c r="BJ65" s="535">
        <f t="shared" si="197"/>
        <v>0</v>
      </c>
      <c r="BK65" s="535">
        <f t="shared" si="198"/>
        <v>1.01</v>
      </c>
      <c r="BL65" s="535">
        <f t="shared" si="199"/>
        <v>1.0059640359640358</v>
      </c>
      <c r="BM65" s="535">
        <f>IF(OR(Sheet1!EP63="FM", Sheet1!EP63="OTHER"),SUM(Sheet1!BG63:'Sheet1'!BI63),0)</f>
        <v>0</v>
      </c>
      <c r="BN65" s="521">
        <f>IF(AND($B65&gt;=$FV65,$B65&lt;=$FW65),MAX(BF65,Sheet1!EI63,0),MAX(BF65-(7/36)*$K65,0))</f>
        <v>0</v>
      </c>
      <c r="BO65" s="535">
        <f t="shared" si="200"/>
        <v>11.562924852924853</v>
      </c>
      <c r="BP65" s="521">
        <f t="shared" si="201"/>
        <v>1.0059640359640358</v>
      </c>
      <c r="BQ65" s="521">
        <f>IF(AND($O65&gt;0,Sheet1!EM63=1),(1-($O65-Sheet1!$L63)/$O65)*BL65,0)</f>
        <v>0</v>
      </c>
      <c r="BR65" s="521">
        <f>IF(AND(Sheet1!$L63=0,Sheet1!$L62=0, Calculation!BK65&lt;Sheet1!$EI63-0.1,Sheet1!$EI63=Sheet1!$EI62,Sheet1!$EI63=Sheet1!$EI64),BL65-BQ65,BL65-BQ65)</f>
        <v>1.0059640359640358</v>
      </c>
      <c r="BS65" s="1035" t="str">
        <f t="shared" si="105"/>
        <v/>
      </c>
      <c r="BT65" s="1035">
        <f t="shared" si="106"/>
        <v>12.568888888888889</v>
      </c>
      <c r="BU65" s="535">
        <f t="shared" si="202"/>
        <v>92.472117449601683</v>
      </c>
      <c r="BV65" s="535"/>
      <c r="BW65" s="535">
        <f ca="1">IF(B65&gt;Summary!$A$1,#N/A,BU65*MGtoAF)</f>
        <v>283.70445633537798</v>
      </c>
      <c r="BX65" s="535">
        <f>Sheet1!BC63+Sheet1!BD63+Sheet1!BE63+Sheet1!BF63-CG65-CH65</f>
        <v>2.99</v>
      </c>
      <c r="BY65" s="535">
        <f t="shared" si="203"/>
        <v>2.9780519480519483</v>
      </c>
      <c r="BZ65" s="535">
        <f>IF(Sheet1!EQ63="FM",CH65,0)</f>
        <v>0</v>
      </c>
      <c r="CA65" s="535">
        <f t="shared" si="204"/>
        <v>0</v>
      </c>
      <c r="CB65" s="535">
        <f>IF(Sheet1!EQ63="OTHER",CH65,0)</f>
        <v>0</v>
      </c>
      <c r="CC65" s="535">
        <f t="shared" si="205"/>
        <v>0</v>
      </c>
      <c r="CD65" s="535">
        <f t="shared" si="206"/>
        <v>0</v>
      </c>
      <c r="CE65" s="535">
        <f t="shared" si="207"/>
        <v>2.99</v>
      </c>
      <c r="CF65" s="535">
        <f t="shared" si="208"/>
        <v>2.9780519480519483</v>
      </c>
      <c r="CG65" s="535">
        <f>IF(Sheet1!EQ63="CWA",SUM(Sheet1!BC63:'Sheet1'!BF63),0)</f>
        <v>0</v>
      </c>
      <c r="CH65" s="535">
        <f>IF(OR(Sheet1!EQ63="FM", Sheet1!EQ63="OTHER"),SUM(Sheet1!BC63:'Sheet1'!BF63),0)</f>
        <v>0</v>
      </c>
      <c r="CI65" s="521">
        <f>IF(AND($B65&gt;=$FV65,$B65&lt;=$FW65),MAX(CF65,Sheet1!EJ63,0),MAX(CF65-(7/36)*$K65,0))</f>
        <v>0</v>
      </c>
      <c r="CJ65" s="535">
        <f t="shared" si="209"/>
        <v>9.5908369408369403</v>
      </c>
      <c r="CK65" s="521">
        <f t="shared" si="210"/>
        <v>2.9780519480519483</v>
      </c>
      <c r="CL65" s="521">
        <f>IF(AND($O65&gt;0,Sheet1!EN63=1),(1-($O65-Sheet1!$L63)/$O65)*CF65,0)</f>
        <v>0</v>
      </c>
      <c r="CM65" s="521">
        <f>IF(AND(Sheet1!$L63=0,Sheet1!$L62=0, Calculation!CE65&lt;Sheet1!EJ63-0.1,Sheet1!EJ63=Sheet1!EJ62,Sheet1!EJ63=Sheet1!EJ64),CF65-CL65,CF65-CL65)</f>
        <v>2.9780519480519483</v>
      </c>
      <c r="CN65" s="1040" t="str">
        <f t="shared" si="107"/>
        <v/>
      </c>
      <c r="CO65" s="1035">
        <f t="shared" si="108"/>
        <v>12.568888888888889</v>
      </c>
      <c r="CP65" s="535">
        <f t="shared" si="211"/>
        <v>75.208627217685518</v>
      </c>
      <c r="CQ65" s="535"/>
      <c r="CR65" s="535">
        <f ca="1">IF(B65&gt;Summary!$A$1,#N/A,CP65*MGtoAF)</f>
        <v>230.74006830385918</v>
      </c>
      <c r="CS65" s="535">
        <f>Sheet1!BK63+Sheet1!BL63+Sheet1!BM63-Sheet1!ER63-DA65</f>
        <v>6.63</v>
      </c>
      <c r="CT65" s="535">
        <f t="shared" si="212"/>
        <v>6.6035064935064929</v>
      </c>
      <c r="CU65" s="535">
        <f>IF(Sheet1!ER63="FM",DA65,0)</f>
        <v>0</v>
      </c>
      <c r="CV65" s="535">
        <f t="shared" si="213"/>
        <v>0</v>
      </c>
      <c r="CW65" s="535">
        <f>IF(Sheet1!ER63="OTHER",DA65,0)</f>
        <v>0</v>
      </c>
      <c r="CX65" s="535">
        <f t="shared" si="214"/>
        <v>0</v>
      </c>
      <c r="CY65" s="535">
        <f t="shared" si="215"/>
        <v>6.63</v>
      </c>
      <c r="CZ65" s="535">
        <f t="shared" si="216"/>
        <v>6.6035064935064929</v>
      </c>
      <c r="DA65" s="535">
        <f>IF(OR(Sheet1!ER63="FM", Sheet1!ER63="OTHER"),SUM(Sheet1!BK63:'Sheet1'!BM63),0)</f>
        <v>0</v>
      </c>
      <c r="DB65" s="1011">
        <f>IF(AND($B65&gt;=$FV65,$B65&lt;=$FW65),MAX($CT65,Sheet1!EK63,0),MAX($CT65-(7/36)*$K65,0))</f>
        <v>0</v>
      </c>
      <c r="DC65" s="1012">
        <f t="shared" si="217"/>
        <v>5.9653823953823961</v>
      </c>
      <c r="DD65" s="1011">
        <f t="shared" si="218"/>
        <v>6.6035064935064929</v>
      </c>
      <c r="DE65" s="521">
        <f>IF(AND($O65&gt;0,Sheet1!EO63=1),(1-($O65-Sheet1!$L63)/$O65)*CZ65,0)</f>
        <v>0</v>
      </c>
      <c r="DF65" s="521">
        <f>IF(AND(Sheet1!$L63=0,Sheet1!$L62=0, Calculation!CY65&lt;Sheet1!$EK63-0.1,Sheet1!$EK63=Sheet1!$EK62,Sheet1!$EK63=Sheet1!$EK64),CZ65-DE65,CZ65-DE65)</f>
        <v>6.6035064935064929</v>
      </c>
      <c r="DG65" s="1040">
        <f t="shared" si="109"/>
        <v>12.568888888888889</v>
      </c>
      <c r="DH65" s="649">
        <f t="shared" si="219"/>
        <v>10.629999999999999</v>
      </c>
      <c r="DI65" s="535">
        <f t="shared" si="220"/>
        <v>48.580308710342159</v>
      </c>
      <c r="DJ65" s="649">
        <f t="shared" si="221"/>
        <v>10.587522477522477</v>
      </c>
      <c r="DK65" s="535">
        <f ca="1">IF(B65&gt;Summary!$A$1,#N/A,DI65*MGtoAF)</f>
        <v>149.04438712332976</v>
      </c>
      <c r="DL65" s="649">
        <f t="shared" si="222"/>
        <v>10.63</v>
      </c>
      <c r="DM65" s="535">
        <f t="shared" si="223"/>
        <v>30.03</v>
      </c>
      <c r="DN65" s="535">
        <f>Sheet1!AB63-DM65</f>
        <v>-0.12000000000000099</v>
      </c>
      <c r="DO65" s="743">
        <f t="shared" si="224"/>
        <v>-3.996003996004029E-3</v>
      </c>
      <c r="DP65" s="535">
        <f>(VLOOKUP(Sheet1!DC63,hhdcap_wcm,4)-(((VLOOKUP(Sheet1!DC63,hhdcap_wcm,3)-Sheet1!DC63)/(VLOOKUP(Sheet1!DC63,hhdcap_wcm,3)-VLOOKUP(Sheet1!DC63,hhdcap_wcm,1)))*(VLOOKUP(Sheet1!DC63,hhdcap_wcm,4)-VLOOKUP(Sheet1!DC63,hhdcap_wcm,2))))</f>
        <v>1466.4000000037881</v>
      </c>
      <c r="DQ65" s="535">
        <f t="shared" si="225"/>
        <v>168.40000000041846</v>
      </c>
      <c r="DR65" s="535">
        <f t="shared" si="226"/>
        <v>84.921835602833298</v>
      </c>
      <c r="DS65" s="535">
        <f>Sheet1!EA63*AFtoMG</f>
        <v>0</v>
      </c>
      <c r="DT65" s="535">
        <f>Sheet1!EB63*AFtoMG</f>
        <v>0</v>
      </c>
      <c r="DU65" s="535">
        <f>Sheet1!EC63*AFtoMG</f>
        <v>0</v>
      </c>
      <c r="DV65" s="535">
        <f>Sheet1!ED63*AFtoMG</f>
        <v>0</v>
      </c>
      <c r="DW65" s="535">
        <f t="shared" si="227"/>
        <v>0</v>
      </c>
      <c r="DX65" s="535">
        <f t="shared" si="228"/>
        <v>0</v>
      </c>
      <c r="DY65" s="535">
        <f t="shared" si="229"/>
        <v>431.72772004429601</v>
      </c>
      <c r="DZ65" s="535">
        <f t="shared" si="230"/>
        <v>1324.5406450959001</v>
      </c>
      <c r="EA65" s="535"/>
      <c r="EB65" s="521">
        <f>IF(OR(B65&lt;FV65,B65&gt;FW65),(MIN(BF65+BY65+CT65+MAX(Sheet1!AA63+AQ65-73,0),K65)),0)</f>
        <v>10.587522477522477</v>
      </c>
      <c r="EC65" s="535"/>
      <c r="ED65" s="535">
        <f t="shared" si="231"/>
        <v>10.587522477522477</v>
      </c>
      <c r="EE65" s="535"/>
      <c r="EF65" s="535">
        <f>Sheet1!EH63+Sheet1!EI63+Sheet1!EJ63+Sheet1!EK63</f>
        <v>10.5</v>
      </c>
      <c r="EG65" s="1019">
        <f t="shared" si="110"/>
        <v>16.243500000000001</v>
      </c>
      <c r="EH65" s="521">
        <f t="shared" si="232"/>
        <v>0</v>
      </c>
      <c r="EI65" s="535">
        <f>IF(Sheet1!ET63=1,SUM('Calculations II'!AT65:BA65)+'Calculations II'!BC65+Sheet1!BV63+'Calculations II'!BE65+AP65,'Calculations II'!BK65)</f>
        <v>45.069657522477513</v>
      </c>
      <c r="EJ65" s="535">
        <f ca="1">EI65+'Calculations II'!D65+'Calculations II'!E65+'Calculations II'!O65</f>
        <v>46.054793687819625</v>
      </c>
      <c r="EK65" s="535"/>
      <c r="EL65" s="535"/>
      <c r="EM65" s="535">
        <f t="shared" si="233"/>
        <v>42789</v>
      </c>
      <c r="EN65" s="535">
        <f t="shared" si="234"/>
        <v>54.052477522477524</v>
      </c>
      <c r="EO65" s="535">
        <f t="shared" si="235"/>
        <v>83.619182727272729</v>
      </c>
      <c r="EP65" s="535">
        <v>0</v>
      </c>
      <c r="EQ65" s="535">
        <v>0</v>
      </c>
      <c r="ER65" s="535">
        <v>0</v>
      </c>
      <c r="ES65" s="521">
        <f t="shared" si="71"/>
        <v>0.27702722885836284</v>
      </c>
      <c r="ET65" s="535">
        <f>-(VLOOKUP(Sheet1!BQ63,Lookup!$O$4:$Q$262,2)-VLOOKUP(Sheet1!BQ62,Lookup!$O$4:$Q$262,2))/1000000</f>
        <v>0.13849118317858874</v>
      </c>
      <c r="EU65" s="535">
        <f>-(VLOOKUP(Sheet1!BR63,Lookup!$O$4:$Q$262,3)-VLOOKUP(Sheet1!BR62,Lookup!$O$4:$Q$262,3))/1000000</f>
        <v>0.13853604567977412</v>
      </c>
      <c r="EV65" s="535"/>
      <c r="EW65" s="535"/>
      <c r="EX65" s="535"/>
      <c r="EY65" s="535"/>
      <c r="EZ65" s="535"/>
      <c r="FA65" s="535"/>
      <c r="FB65" s="535"/>
      <c r="FC65" s="535"/>
      <c r="FD65" s="567" t="e">
        <f t="shared" si="236"/>
        <v>#N/A</v>
      </c>
      <c r="FE65" s="567" t="e">
        <f t="shared" si="237"/>
        <v>#N/A</v>
      </c>
      <c r="FF65" s="568" t="e">
        <f t="shared" si="238"/>
        <v>#N/A</v>
      </c>
      <c r="FG65" s="569" t="s">
        <v>656</v>
      </c>
      <c r="FH65" s="569" t="s">
        <v>656</v>
      </c>
      <c r="FI65" s="567" t="e">
        <v>#N/A</v>
      </c>
      <c r="FJ65" s="567" t="e">
        <v>#N/A</v>
      </c>
      <c r="FK65" s="535"/>
      <c r="FL65" s="1015">
        <v>0</v>
      </c>
      <c r="FM65" s="535"/>
      <c r="FN65" s="535"/>
      <c r="FO65" s="535">
        <f>O65+((Sheet1!CS63)*GPMtoMGD)</f>
        <v>55.61</v>
      </c>
      <c r="FP65" s="535">
        <f>IF(Sheet1!AA63+AQ65&lt;=Calculation!N65,AQ65,Calculation!N65-Sheet1!AA63)</f>
        <v>19.32247752247752</v>
      </c>
      <c r="FQ65" s="535">
        <f>(Sheet1!BP63+Sheet1!BO63)/694.4</f>
        <v>1.3699596774193548</v>
      </c>
      <c r="FR65" s="541"/>
      <c r="FS65" s="541"/>
      <c r="FT65" s="541"/>
      <c r="FU65" s="541"/>
      <c r="FV65" s="1109">
        <f t="shared" si="74"/>
        <v>42918</v>
      </c>
      <c r="FW65" s="1109">
        <f t="shared" si="75"/>
        <v>43027</v>
      </c>
      <c r="FX65" s="541"/>
      <c r="FY65" s="541">
        <f>Sheet1!DA63-Sheet1!CZ63-Sheet1!AE63</f>
        <v>753.97132999999997</v>
      </c>
      <c r="FZ65" s="535">
        <f t="shared" si="111"/>
        <v>0.68860744711049127</v>
      </c>
      <c r="GA65" s="535"/>
      <c r="GB65" s="535" t="str">
        <f t="shared" si="76"/>
        <v>n</v>
      </c>
      <c r="GC65" s="539">
        <f t="shared" si="77"/>
        <v>42782</v>
      </c>
      <c r="GD65" s="1109">
        <f t="shared" si="78"/>
        <v>42904</v>
      </c>
      <c r="GE65" s="535">
        <f t="shared" si="95"/>
        <v>6520</v>
      </c>
      <c r="GF65" s="1109">
        <f t="shared" si="79"/>
        <v>42909</v>
      </c>
      <c r="GG65" s="535">
        <f t="shared" si="174"/>
        <v>3260</v>
      </c>
      <c r="GH65" s="539">
        <f t="shared" si="80"/>
        <v>43040</v>
      </c>
      <c r="GJ65" s="521">
        <f t="shared" si="81"/>
        <v>0</v>
      </c>
      <c r="GK65" s="535" t="str">
        <f t="shared" si="239"/>
        <v/>
      </c>
      <c r="GL65" s="535">
        <f t="shared" si="82"/>
        <v>0</v>
      </c>
      <c r="GM65" s="535" t="str">
        <f t="shared" si="83"/>
        <v/>
      </c>
      <c r="GN65" s="535">
        <f>IF(GK65="P",Lookup!$M$12,IF(GK65="PP",Lookup!$M$13,IF(GK65="PPP",Lookup!$M$14,IF(GK65="T",Lookup!$M$15,IF(GK65="TP",Lookup!$M$16,IF(GK65="TPP",Lookup!$M$17,IF(GK65="TPPP",Lookup!$M$18,0)))))))*GJ65</f>
        <v>0</v>
      </c>
      <c r="GO65" s="535">
        <f t="shared" si="84"/>
        <v>0</v>
      </c>
      <c r="GP65" s="535">
        <f t="shared" si="240"/>
        <v>661.05173333333335</v>
      </c>
      <c r="GQ65" s="535">
        <f t="shared" si="94"/>
        <v>215.46666666666667</v>
      </c>
      <c r="GR65" s="535"/>
      <c r="GS65" s="535">
        <f t="shared" si="85"/>
        <v>0</v>
      </c>
      <c r="GT65" s="535" t="str">
        <f t="shared" si="86"/>
        <v/>
      </c>
      <c r="GU65" s="535">
        <f>IF(GK65="P",Lookup!$N$12,IF(GK65="PP",Lookup!$N$13,IF(GK65="PPP",Lookup!$N$14,IF(GK65="T",Lookup!$N$15,IF(GK65="TP",Lookup!$N$16,IF(GK65="TPP",Lookup!$N$17,IF(GK65="TPPP",Lookup!$N$18,0)))))))*GJ65</f>
        <v>0</v>
      </c>
      <c r="GV65" s="535">
        <f t="shared" si="53"/>
        <v>0</v>
      </c>
      <c r="GW65" s="535">
        <f t="shared" si="241"/>
        <v>283.70445633537798</v>
      </c>
      <c r="GX65" s="535">
        <f t="shared" si="91"/>
        <v>92.472117449601683</v>
      </c>
      <c r="GY65" s="535"/>
      <c r="GZ65" s="535">
        <f t="shared" si="87"/>
        <v>0</v>
      </c>
      <c r="HA65" s="535" t="str">
        <f t="shared" si="88"/>
        <v/>
      </c>
      <c r="HB65" s="535">
        <f>IF(GK65="P",Lookup!$N$12,IF(GK65="PP",Lookup!$N$13,IF(GK65="PPP",Lookup!$N$14,IF(GK65="T",Lookup!$N$15,IF(GK65="TP",Lookup!$N$16,IF(GK65="TPP",Lookup!$N$17,IF(GK65="TPPP",Lookup!$N$18,0)))))))*GJ65</f>
        <v>0</v>
      </c>
      <c r="HC65" s="521">
        <f t="shared" si="242"/>
        <v>0</v>
      </c>
      <c r="HD65" s="535">
        <f t="shared" si="243"/>
        <v>230.74006830385918</v>
      </c>
      <c r="HE65" s="535">
        <f t="shared" si="92"/>
        <v>75.208627217685518</v>
      </c>
      <c r="HF65" s="535"/>
      <c r="HG65" s="535">
        <f t="shared" si="89"/>
        <v>0</v>
      </c>
      <c r="HH65" s="535" t="str">
        <f t="shared" si="90"/>
        <v/>
      </c>
      <c r="HI65" s="535">
        <f>IF(GK65="P",Lookup!$N$12,IF(GK65="PP",Lookup!$N$13,IF(GK65="PPP",Lookup!$N$14,IF(GK65="T",Lookup!$N$15,IF(GK65="TP",Lookup!$N$16,IF(GK65="TPP",Lookup!$N$17,IF(GK65="TPPP",Lookup!$N$18,0)))))))*GJ65</f>
        <v>0</v>
      </c>
      <c r="HJ65" s="521">
        <f t="shared" si="244"/>
        <v>0</v>
      </c>
      <c r="HK65" s="535">
        <f t="shared" si="245"/>
        <v>149.04438712332976</v>
      </c>
      <c r="HL65" s="535">
        <f t="shared" si="93"/>
        <v>48.580308710342159</v>
      </c>
      <c r="HM65" s="535"/>
      <c r="HN65" s="541"/>
      <c r="HO65" s="541"/>
      <c r="HP65" s="541"/>
      <c r="HQ65" s="541">
        <f>IF(AND(B65&gt;=$FV$4,B65&lt;=$FW$4),MAX(110/1.02+$HQ$6+MIN(113/1.02,G65),IF($HV$6-(Sheet1!DA63-Sheet1!DB63)+MIN(113/1.02,G65)&lt;G65+FL65,$HV$6-(Sheet1!DA63-Sheet1!DB63)+MIN(113/1.02,G65),G65+FL65)),MIN(110/1.02+$HQ$6+113/1.02,G65))</f>
        <v>218.62745098039215</v>
      </c>
      <c r="HR65" s="541">
        <f t="shared" si="112"/>
        <v>223</v>
      </c>
      <c r="HS65" s="541">
        <f>HR65+(Sheet1!DA63-Sheet1!DB63)</f>
        <v>1138</v>
      </c>
      <c r="HT65" s="541">
        <f t="shared" si="113"/>
        <v>69.584059999999994</v>
      </c>
      <c r="HU65" s="541">
        <f t="shared" si="114"/>
        <v>1068.4159400000001</v>
      </c>
      <c r="HV65" s="541">
        <f t="shared" si="115"/>
        <v>0</v>
      </c>
      <c r="HW65" s="533" t="str">
        <f t="shared" si="116"/>
        <v/>
      </c>
      <c r="HX65" s="541">
        <f t="shared" si="117"/>
        <v>791.37254901960785</v>
      </c>
      <c r="HY65" s="541">
        <f>Sheet1!CZ63</f>
        <v>1010</v>
      </c>
      <c r="HZ65" s="541">
        <f t="shared" si="118"/>
        <v>0</v>
      </c>
      <c r="IA65" s="541">
        <f t="shared" si="119"/>
        <v>69.584059999999994</v>
      </c>
      <c r="IB65" s="541">
        <f t="shared" si="120"/>
        <v>1010</v>
      </c>
      <c r="IC65" s="1019" t="str">
        <f t="shared" si="121"/>
        <v/>
      </c>
      <c r="ID65" s="541">
        <f t="shared" si="122"/>
        <v>940.41593999999998</v>
      </c>
      <c r="IE65" s="541">
        <f>Sheet1!DB63</f>
        <v>935</v>
      </c>
      <c r="IF65" s="533">
        <f>Sheet1!DA63</f>
        <v>1850</v>
      </c>
      <c r="IH65" s="541">
        <f>IF(AND($B65&gt;=$GC65,$B65&lt;=$GH65,$DR65&lt;0)+N("only adjusted when pool is drawn down during storage season"),Sheet1!$DB63+$DR65+N("Palmer minus all storage release"),Sheet1!$DB63)</f>
        <v>935</v>
      </c>
      <c r="II65" s="541">
        <f>IF(AND($B65&gt;=$GC65,$B65&lt;=$GH65,$DR65&lt;0)+N("only adjusted when pool is drawn down during storage season"),Sheet1!$DA63+$DR65+N("Auburn minus all storage release"),Sheet1!$DA63)</f>
        <v>1850</v>
      </c>
    </row>
    <row r="66" spans="1:281" x14ac:dyDescent="0.25">
      <c r="A66" s="553" t="s">
        <v>8</v>
      </c>
      <c r="B66" s="531">
        <v>42790</v>
      </c>
      <c r="C66" s="536">
        <v>0</v>
      </c>
      <c r="D66" s="506">
        <f t="shared" si="0"/>
        <v>300</v>
      </c>
      <c r="E66" s="506">
        <f t="shared" si="1"/>
        <v>250</v>
      </c>
      <c r="F66" s="506">
        <v>250</v>
      </c>
      <c r="G66" s="535">
        <f>DR66+Sheet1!CZ64</f>
        <v>1010.187090267563</v>
      </c>
      <c r="H66" s="1074">
        <f t="shared" si="246"/>
        <v>358.96052863999995</v>
      </c>
      <c r="I66" s="534">
        <f>IF(Sheet1!DA64&gt;=E66,(Sheet1!DA64-E66+P66)*CFStoMGD,0)</f>
        <v>928.43892863999997</v>
      </c>
      <c r="J66" s="995">
        <f>IF(Sheet1!DB64&gt;=D66,(Sheet1!DB64-D66+P66)*CFStoMGD,0)</f>
        <v>358.96052863999995</v>
      </c>
      <c r="K66" s="818">
        <f t="shared" si="97"/>
        <v>64.64</v>
      </c>
      <c r="L66" s="535">
        <f>Sheet1!AA64+Sheet1!AB64-Sheet1!L64+(Sheet1!DA64-F66)*CFStoMGD-S66-T66-U66</f>
        <v>863.8</v>
      </c>
      <c r="M66" s="535">
        <f t="shared" si="185"/>
        <v>666.04463385193185</v>
      </c>
      <c r="N66" s="824">
        <f>IF(Sheet1!DA64&gt;=F66,MIN(113*CFStoMGD,MIN(MAX(L66,0),MAX(M66,0))),0)</f>
        <v>73.043199999999999</v>
      </c>
      <c r="O66" s="538">
        <f>Sheet1!AA64+Sheet1!AB64</f>
        <v>55.8</v>
      </c>
      <c r="P66" s="538">
        <f t="shared" si="186"/>
        <v>86.322599999999994</v>
      </c>
      <c r="Q66" s="812">
        <f t="shared" si="98"/>
        <v>45.19</v>
      </c>
      <c r="R66" s="812">
        <f t="shared" si="59"/>
        <v>10.571238791099303</v>
      </c>
      <c r="S66" s="812">
        <f t="shared" si="60"/>
        <v>10.61</v>
      </c>
      <c r="T66" s="812">
        <f t="shared" si="61"/>
        <v>54.03</v>
      </c>
      <c r="U66" s="812">
        <f t="shared" si="99"/>
        <v>0</v>
      </c>
      <c r="V66" s="812"/>
      <c r="W66" s="812">
        <f t="shared" si="62"/>
        <v>54.068761208900696</v>
      </c>
      <c r="X66" s="812">
        <f t="shared" si="63"/>
        <v>64.64</v>
      </c>
      <c r="Y66" s="812" t="str">
        <f t="shared" si="64"/>
        <v>FALSE</v>
      </c>
      <c r="Z66" s="812">
        <f t="shared" si="65"/>
        <v>55.8</v>
      </c>
      <c r="AA66" s="812">
        <f t="shared" si="66"/>
        <v>55.8</v>
      </c>
      <c r="AB66" s="1059">
        <f t="shared" si="100"/>
        <v>69.908929999999998</v>
      </c>
      <c r="AC66" s="538">
        <f>Sheet1!Y64*MGDtoCFS</f>
        <v>39.757899999999999</v>
      </c>
      <c r="AD66" s="538">
        <f>Sheet1!Z64*MGDtoCFS</f>
        <v>46.270769999999999</v>
      </c>
      <c r="AE66" s="538">
        <f>Sheet1!AA64*MGDtoCFS</f>
        <v>39.912599999999998</v>
      </c>
      <c r="AF66" s="538">
        <f>Sheet1!AB64*MGDtoCFS</f>
        <v>46.41</v>
      </c>
      <c r="AG66" s="538">
        <f>Sheet1!L64*MGDtoCFS</f>
        <v>0</v>
      </c>
      <c r="AH66" s="521">
        <f t="shared" si="187"/>
        <v>0</v>
      </c>
      <c r="AI66" s="1059">
        <f t="shared" si="188"/>
        <v>0</v>
      </c>
      <c r="AJ66" s="535">
        <f t="shared" si="189"/>
        <v>54.068761208900696</v>
      </c>
      <c r="AK66" s="535">
        <f t="shared" si="190"/>
        <v>83.64437359016938</v>
      </c>
      <c r="AL66" s="535">
        <f>(VLOOKUP(Sheet1!DC64,hhdcap_wcm,4)-(((VLOOKUP(Sheet1!DC64,hhdcap_wcm,3)-Sheet1!DC64)/(VLOOKUP(Sheet1!DC64,hhdcap_wcm,3)-VLOOKUP(Sheet1!DC64,hhdcap_wcm,1)))*(VLOOKUP(Sheet1!DC64,hhdcap_wcm,4)-VLOOKUP(Sheet1!DC64,hhdcap_wcm,2))))</f>
        <v>1790.0000000043656</v>
      </c>
      <c r="AM66" s="535">
        <f t="shared" si="191"/>
        <v>323.60000000057744</v>
      </c>
      <c r="AN66" s="1035">
        <f t="shared" si="192"/>
        <v>485.7964812531967</v>
      </c>
      <c r="AO66" s="535">
        <f t="shared" si="193"/>
        <v>1490.4236044848076</v>
      </c>
      <c r="AP66" s="535">
        <f>Sheet1!BA64+Sheet1!BB64+Sheet1!BN64+CD66</f>
        <v>19.5</v>
      </c>
      <c r="AQ66" s="535">
        <f>Sheet1!BN64+(DO66*Sheet1!BN64)</f>
        <v>19.428761208900699</v>
      </c>
      <c r="AR66" s="535">
        <f>Sheet1!BA64+CD66</f>
        <v>0</v>
      </c>
      <c r="AS66" s="535">
        <f>Sheet1!BA64+Sheet1!BB64+CD66</f>
        <v>0</v>
      </c>
      <c r="AT66" s="649">
        <f>0</f>
        <v>0</v>
      </c>
      <c r="AU66" s="535">
        <f>IF(EB66&lt;K66,0,MAX(Sheet1!AA64+AQ66-15/36*K66-N66,Sheet1!EH64,0))</f>
        <v>0</v>
      </c>
      <c r="AV66" s="535">
        <f>IF(OR(B66&gt;=GD66,B66&lt;GC66),0,15/36*K66-MAX(0,64.6-(137.6-(Sheet1!AA64+Sheet1!AB64))))</f>
        <v>26.933333333333334</v>
      </c>
      <c r="AW66" s="1029"/>
      <c r="AX66" s="649"/>
      <c r="AY66" s="649">
        <f t="shared" si="101"/>
        <v>0</v>
      </c>
      <c r="AZ66" s="649">
        <f t="shared" si="102"/>
        <v>0</v>
      </c>
      <c r="BA66" s="1059">
        <f t="shared" si="103"/>
        <v>0</v>
      </c>
      <c r="BB66" s="1019">
        <f t="shared" si="194"/>
        <v>242.4</v>
      </c>
      <c r="BC66" s="1041">
        <f t="shared" si="104"/>
        <v>26.933333333333334</v>
      </c>
      <c r="BD66" s="1019">
        <f ca="1">IF(B66&gt;Summary!$A$1,#N/A,BB66*MGtoAF)</f>
        <v>743.68320000000006</v>
      </c>
      <c r="BE66" s="535">
        <f>Sheet1!BG64+Sheet1!BH64+Sheet1!BI64-BM66</f>
        <v>1.02</v>
      </c>
      <c r="BF66" s="535">
        <f t="shared" si="195"/>
        <v>1.0162736632348057</v>
      </c>
      <c r="BG66" s="535">
        <f>IF(Sheet1!EP64="FM",BM66,0)</f>
        <v>0</v>
      </c>
      <c r="BH66" s="535">
        <f t="shared" si="196"/>
        <v>0</v>
      </c>
      <c r="BI66" s="535">
        <f>IF(Sheet1!EP64="OTHER",BM66,0)</f>
        <v>0</v>
      </c>
      <c r="BJ66" s="535">
        <f t="shared" si="197"/>
        <v>0</v>
      </c>
      <c r="BK66" s="535">
        <f t="shared" si="198"/>
        <v>1.02</v>
      </c>
      <c r="BL66" s="535">
        <f t="shared" si="199"/>
        <v>1.0162736632348057</v>
      </c>
      <c r="BM66" s="535">
        <f>IF(OR(Sheet1!EP64="FM", Sheet1!EP64="OTHER"),SUM(Sheet1!BG64:'Sheet1'!BI64),0)</f>
        <v>0</v>
      </c>
      <c r="BN66" s="521">
        <f>IF(AND($B66&gt;=$FV66,$B66&lt;=$FW66),MAX(BF66,Sheet1!EI64,0),MAX(BF66-(7/36)*$K66,0))</f>
        <v>0</v>
      </c>
      <c r="BO66" s="535">
        <f t="shared" si="200"/>
        <v>11.552615225654083</v>
      </c>
      <c r="BP66" s="521">
        <f t="shared" si="201"/>
        <v>1.0162736632348057</v>
      </c>
      <c r="BQ66" s="521">
        <f>IF(AND($O66&gt;0,Sheet1!EM64=1),(1-($O66-Sheet1!$L64)/$O66)*BL66,0)</f>
        <v>0</v>
      </c>
      <c r="BR66" s="521">
        <f>IF(AND(Sheet1!$L64=0,Sheet1!$L63=0, Calculation!BK66&lt;Sheet1!$EI64-0.1,Sheet1!$EI64=Sheet1!$EI63,Sheet1!$EI64=Sheet1!$EI65),BL66-BQ66,BL66-BQ66)</f>
        <v>1.0162736632348057</v>
      </c>
      <c r="BS66" s="1035" t="str">
        <f t="shared" si="105"/>
        <v/>
      </c>
      <c r="BT66" s="1035">
        <f t="shared" si="106"/>
        <v>12.568888888888889</v>
      </c>
      <c r="BU66" s="535">
        <f t="shared" si="202"/>
        <v>104.02473267525576</v>
      </c>
      <c r="BV66" s="535"/>
      <c r="BW66" s="535">
        <f ca="1">IF(B66&gt;Summary!$A$1,#N/A,BU66*MGtoAF)</f>
        <v>319.14787984768469</v>
      </c>
      <c r="BX66" s="535">
        <f>Sheet1!BC64+Sheet1!BD64+Sheet1!BE64+Sheet1!BF64-CG66-CH66</f>
        <v>3</v>
      </c>
      <c r="BY66" s="535">
        <f t="shared" si="203"/>
        <v>2.9890401859847229</v>
      </c>
      <c r="BZ66" s="535">
        <f>IF(Sheet1!EQ64="FM",CH66,0)</f>
        <v>0</v>
      </c>
      <c r="CA66" s="535">
        <f t="shared" si="204"/>
        <v>0</v>
      </c>
      <c r="CB66" s="535">
        <f>IF(Sheet1!EQ64="OTHER",CH66,0)</f>
        <v>0</v>
      </c>
      <c r="CC66" s="535">
        <f t="shared" si="205"/>
        <v>0</v>
      </c>
      <c r="CD66" s="535">
        <f t="shared" si="206"/>
        <v>0</v>
      </c>
      <c r="CE66" s="535">
        <f t="shared" si="207"/>
        <v>3</v>
      </c>
      <c r="CF66" s="535">
        <f t="shared" si="208"/>
        <v>2.9890401859847229</v>
      </c>
      <c r="CG66" s="535">
        <f>IF(Sheet1!EQ64="CWA",SUM(Sheet1!BC64:'Sheet1'!BF64),0)</f>
        <v>0</v>
      </c>
      <c r="CH66" s="535">
        <f>IF(OR(Sheet1!EQ64="FM", Sheet1!EQ64="OTHER"),SUM(Sheet1!BC64:'Sheet1'!BF64),0)</f>
        <v>0</v>
      </c>
      <c r="CI66" s="521">
        <f>IF(AND($B66&gt;=$FV66,$B66&lt;=$FW66),MAX(CF66,Sheet1!EJ64,0),MAX(CF66-(7/36)*$K66,0))</f>
        <v>0</v>
      </c>
      <c r="CJ66" s="535">
        <f t="shared" si="209"/>
        <v>9.5798487029041652</v>
      </c>
      <c r="CK66" s="521">
        <f t="shared" si="210"/>
        <v>2.9890401859847229</v>
      </c>
      <c r="CL66" s="521">
        <f>IF(AND($O66&gt;0,Sheet1!EN64=1),(1-($O66-Sheet1!$L64)/$O66)*CF66,0)</f>
        <v>0</v>
      </c>
      <c r="CM66" s="521">
        <f>IF(AND(Sheet1!$L64=0,Sheet1!$L63=0, Calculation!CE66&lt;Sheet1!EJ64-0.1,Sheet1!EJ64=Sheet1!EJ63,Sheet1!EJ64=Sheet1!EJ65),CF66-CL66,CF66-CL66)</f>
        <v>2.9890401859847229</v>
      </c>
      <c r="CN66" s="1040" t="str">
        <f t="shared" si="107"/>
        <v/>
      </c>
      <c r="CO66" s="1035">
        <f t="shared" si="108"/>
        <v>12.568888888888889</v>
      </c>
      <c r="CP66" s="535">
        <f t="shared" si="211"/>
        <v>84.78847592058969</v>
      </c>
      <c r="CQ66" s="535"/>
      <c r="CR66" s="535">
        <f ca="1">IF(B66&gt;Summary!$A$1,#N/A,CP66*MGtoAF)</f>
        <v>260.13104412436917</v>
      </c>
      <c r="CS66" s="535">
        <f>Sheet1!BK64+Sheet1!BL64+Sheet1!BM64-Sheet1!ER64-DA66</f>
        <v>6.59</v>
      </c>
      <c r="CT66" s="535">
        <f t="shared" si="212"/>
        <v>6.565924941879774</v>
      </c>
      <c r="CU66" s="535">
        <f>IF(Sheet1!ER64="FM",DA66,0)</f>
        <v>0</v>
      </c>
      <c r="CV66" s="535">
        <f t="shared" si="213"/>
        <v>0</v>
      </c>
      <c r="CW66" s="535">
        <f>IF(Sheet1!ER64="OTHER",DA66,0)</f>
        <v>0</v>
      </c>
      <c r="CX66" s="535">
        <f t="shared" si="214"/>
        <v>0</v>
      </c>
      <c r="CY66" s="535">
        <f t="shared" si="215"/>
        <v>6.59</v>
      </c>
      <c r="CZ66" s="535">
        <f t="shared" si="216"/>
        <v>6.565924941879774</v>
      </c>
      <c r="DA66" s="535">
        <f>IF(OR(Sheet1!ER64="FM", Sheet1!ER64="OTHER"),SUM(Sheet1!BK64:'Sheet1'!BM64),0)</f>
        <v>0</v>
      </c>
      <c r="DB66" s="1011">
        <f>IF(AND($B66&gt;=$FV66,$B66&lt;=$FW66),MAX($CT66,Sheet1!EK64,0),MAX($CT66-(7/36)*$K66,0))</f>
        <v>0</v>
      </c>
      <c r="DC66" s="1012">
        <f t="shared" si="217"/>
        <v>6.002963947009115</v>
      </c>
      <c r="DD66" s="1011">
        <f t="shared" si="218"/>
        <v>6.565924941879774</v>
      </c>
      <c r="DE66" s="521">
        <f>IF(AND($O66&gt;0,Sheet1!EO64=1),(1-($O66-Sheet1!$L64)/$O66)*CZ66,0)</f>
        <v>0</v>
      </c>
      <c r="DF66" s="521">
        <f>IF(AND(Sheet1!$L64=0,Sheet1!$L63=0, Calculation!CY66&lt;Sheet1!$EK64-0.1,Sheet1!$EK64=Sheet1!$EK63,Sheet1!$EK64=Sheet1!$EK65),CZ66-DE66,CZ66-DE66)</f>
        <v>6.565924941879774</v>
      </c>
      <c r="DG66" s="1040">
        <f t="shared" si="109"/>
        <v>12.568888888888889</v>
      </c>
      <c r="DH66" s="649">
        <f t="shared" si="219"/>
        <v>10.61</v>
      </c>
      <c r="DI66" s="535">
        <f t="shared" si="220"/>
        <v>54.583272657351273</v>
      </c>
      <c r="DJ66" s="649">
        <f t="shared" si="221"/>
        <v>10.571238791099303</v>
      </c>
      <c r="DK66" s="535">
        <f ca="1">IF(B66&gt;Summary!$A$1,#N/A,DI66*MGtoAF)</f>
        <v>167.4614805127537</v>
      </c>
      <c r="DL66" s="649">
        <f t="shared" si="222"/>
        <v>10.61</v>
      </c>
      <c r="DM66" s="535">
        <f t="shared" si="223"/>
        <v>30.11</v>
      </c>
      <c r="DN66" s="535">
        <f>Sheet1!AB64-DM66</f>
        <v>-0.10999999999999943</v>
      </c>
      <c r="DO66" s="743">
        <f t="shared" si="224"/>
        <v>-3.6532713384257532E-3</v>
      </c>
      <c r="DP66" s="535">
        <f>(VLOOKUP(Sheet1!DC64,hhdcap_wcm,4)-(((VLOOKUP(Sheet1!DC64,hhdcap_wcm,3)-Sheet1!DC64)/(VLOOKUP(Sheet1!DC64,hhdcap_wcm,3)-VLOOKUP(Sheet1!DC64,hhdcap_wcm,1)))*(VLOOKUP(Sheet1!DC64,hhdcap_wcm,4)-VLOOKUP(Sheet1!DC64,hhdcap_wcm,2))))</f>
        <v>1790.0000000043656</v>
      </c>
      <c r="DQ66" s="535">
        <f t="shared" si="225"/>
        <v>323.60000000057744</v>
      </c>
      <c r="DR66" s="535">
        <f t="shared" si="226"/>
        <v>163.18709026756298</v>
      </c>
      <c r="DS66" s="535">
        <f>Sheet1!EA64*AFtoMG</f>
        <v>0</v>
      </c>
      <c r="DT66" s="535">
        <f>Sheet1!EB64*AFtoMG</f>
        <v>0</v>
      </c>
      <c r="DU66" s="535">
        <f>Sheet1!EC64*AFtoMG</f>
        <v>0</v>
      </c>
      <c r="DV66" s="535">
        <f>Sheet1!ED64*AFtoMG</f>
        <v>0</v>
      </c>
      <c r="DW66" s="535">
        <f t="shared" si="227"/>
        <v>0</v>
      </c>
      <c r="DX66" s="535">
        <f t="shared" si="228"/>
        <v>0</v>
      </c>
      <c r="DY66" s="535">
        <f t="shared" si="229"/>
        <v>485.7964812531967</v>
      </c>
      <c r="DZ66" s="535">
        <f t="shared" si="230"/>
        <v>1490.4236044848076</v>
      </c>
      <c r="EA66" s="535"/>
      <c r="EB66" s="521">
        <f>IF(OR(B66&lt;FV66,B66&gt;FW66),(MIN(BF66+BY66+CT66+MAX(Sheet1!AA64+AQ66-73,0),K66)),0)</f>
        <v>10.571238791099303</v>
      </c>
      <c r="EC66" s="535"/>
      <c r="ED66" s="535">
        <f t="shared" si="231"/>
        <v>10.571238791099303</v>
      </c>
      <c r="EE66" s="535"/>
      <c r="EF66" s="535">
        <f>Sheet1!EH64+Sheet1!EI64+Sheet1!EJ64+Sheet1!EK64</f>
        <v>10.5</v>
      </c>
      <c r="EG66" s="1019">
        <f t="shared" si="110"/>
        <v>16.243500000000001</v>
      </c>
      <c r="EH66" s="521">
        <f t="shared" si="232"/>
        <v>0</v>
      </c>
      <c r="EI66" s="535">
        <f>IF(Sheet1!ET64=1,SUM('Calculations II'!AT66:BA66)+'Calculations II'!BC66+Sheet1!BV64+'Calculations II'!BE66+AP66,'Calculations II'!BK66)</f>
        <v>44.019491208900703</v>
      </c>
      <c r="EJ66" s="535">
        <f ca="1">EI66+'Calculations II'!D66+'Calculations II'!E66+'Calculations II'!O66</f>
        <v>44.518402178123345</v>
      </c>
      <c r="EK66" s="535"/>
      <c r="EL66" s="535"/>
      <c r="EM66" s="535">
        <f t="shared" si="233"/>
        <v>42790</v>
      </c>
      <c r="EN66" s="535">
        <f t="shared" si="234"/>
        <v>54.068761208900696</v>
      </c>
      <c r="EO66" s="535">
        <f t="shared" si="235"/>
        <v>83.64437359016938</v>
      </c>
      <c r="EP66" s="535">
        <v>0</v>
      </c>
      <c r="EQ66" s="535">
        <v>0</v>
      </c>
      <c r="ER66" s="535">
        <v>0</v>
      </c>
      <c r="ES66" s="521">
        <f t="shared" si="71"/>
        <v>3.8453129045656897E-5</v>
      </c>
      <c r="ET66" s="535">
        <f>-(VLOOKUP(Sheet1!BQ64,Lookup!$O$4:$Q$262,2)-VLOOKUP(Sheet1!BQ63,Lookup!$O$4:$Q$262,2))/1000000</f>
        <v>-0.13849118317858874</v>
      </c>
      <c r="EU66" s="535">
        <f>-(VLOOKUP(Sheet1!BR64,Lookup!$O$4:$Q$262,3)-VLOOKUP(Sheet1!BR63,Lookup!$O$4:$Q$262,3))/1000000</f>
        <v>0.1385296363076344</v>
      </c>
      <c r="EV66" s="535"/>
      <c r="EW66" s="535"/>
      <c r="EX66" s="535"/>
      <c r="EY66" s="535"/>
      <c r="EZ66" s="535"/>
      <c r="FA66" s="535"/>
      <c r="FB66" s="535"/>
      <c r="FC66" s="535"/>
      <c r="FD66" s="567" t="e">
        <f t="shared" si="236"/>
        <v>#N/A</v>
      </c>
      <c r="FE66" s="567" t="e">
        <f t="shared" si="237"/>
        <v>#N/A</v>
      </c>
      <c r="FF66" s="568" t="e">
        <f t="shared" si="238"/>
        <v>#N/A</v>
      </c>
      <c r="FG66" s="569" t="s">
        <v>656</v>
      </c>
      <c r="FH66" s="569" t="s">
        <v>656</v>
      </c>
      <c r="FI66" s="567" t="e">
        <v>#N/A</v>
      </c>
      <c r="FJ66" s="567" t="e">
        <v>#N/A</v>
      </c>
      <c r="FK66" s="535"/>
      <c r="FL66" s="1015">
        <v>0</v>
      </c>
      <c r="FM66" s="535"/>
      <c r="FN66" s="535"/>
      <c r="FO66" s="535">
        <f>O66+((Sheet1!CS64)*GPMtoMGD)</f>
        <v>55.8</v>
      </c>
      <c r="FP66" s="535">
        <f>IF(Sheet1!AA64+AQ66&lt;=Calculation!N66,AQ66,Calculation!N66-Sheet1!AA64)</f>
        <v>19.428761208900699</v>
      </c>
      <c r="FQ66" s="535">
        <f>(Sheet1!BP64+Sheet1!BO64)/694.4</f>
        <v>1.4447004608294931</v>
      </c>
      <c r="FR66" s="541"/>
      <c r="FS66" s="541"/>
      <c r="FT66" s="541"/>
      <c r="FU66" s="541"/>
      <c r="FV66" s="1109">
        <f t="shared" si="74"/>
        <v>42918</v>
      </c>
      <c r="FW66" s="1109">
        <f t="shared" si="75"/>
        <v>43027</v>
      </c>
      <c r="FX66" s="541"/>
      <c r="FY66" s="541">
        <f>Sheet1!DA64-Sheet1!CZ64-Sheet1!AE64</f>
        <v>666.67740000000003</v>
      </c>
      <c r="FZ66" s="535">
        <f t="shared" si="111"/>
        <v>0.65995438510644666</v>
      </c>
      <c r="GA66" s="535"/>
      <c r="GB66" s="535" t="str">
        <f t="shared" si="76"/>
        <v>n</v>
      </c>
      <c r="GC66" s="539">
        <f t="shared" si="77"/>
        <v>42782</v>
      </c>
      <c r="GD66" s="1109">
        <f t="shared" si="78"/>
        <v>42904</v>
      </c>
      <c r="GE66" s="535">
        <f t="shared" si="95"/>
        <v>6520</v>
      </c>
      <c r="GF66" s="1109">
        <f t="shared" si="79"/>
        <v>42909</v>
      </c>
      <c r="GG66" s="535">
        <f t="shared" si="174"/>
        <v>3260</v>
      </c>
      <c r="GH66" s="539">
        <f t="shared" si="80"/>
        <v>43040</v>
      </c>
      <c r="GJ66" s="521">
        <f t="shared" si="81"/>
        <v>0</v>
      </c>
      <c r="GK66" s="535" t="str">
        <f t="shared" si="239"/>
        <v/>
      </c>
      <c r="GL66" s="535">
        <f t="shared" si="82"/>
        <v>0</v>
      </c>
      <c r="GM66" s="535" t="str">
        <f t="shared" si="83"/>
        <v/>
      </c>
      <c r="GN66" s="535">
        <f>IF(GK66="P",Lookup!$M$12,IF(GK66="PP",Lookup!$M$13,IF(GK66="PPP",Lookup!$M$14,IF(GK66="T",Lookup!$M$15,IF(GK66="TP",Lookup!$M$16,IF(GK66="TPP",Lookup!$M$17,IF(GK66="TPPP",Lookup!$M$18,0)))))))*GJ66</f>
        <v>0</v>
      </c>
      <c r="GO66" s="535">
        <f t="shared" si="84"/>
        <v>0</v>
      </c>
      <c r="GP66" s="535">
        <f t="shared" si="240"/>
        <v>743.68320000000006</v>
      </c>
      <c r="GQ66" s="535">
        <f t="shared" si="94"/>
        <v>242.4</v>
      </c>
      <c r="GR66" s="535"/>
      <c r="GS66" s="535">
        <f t="shared" si="85"/>
        <v>0</v>
      </c>
      <c r="GT66" s="535" t="str">
        <f t="shared" si="86"/>
        <v/>
      </c>
      <c r="GU66" s="535">
        <f>IF(GK66="P",Lookup!$N$12,IF(GK66="PP",Lookup!$N$13,IF(GK66="PPP",Lookup!$N$14,IF(GK66="T",Lookup!$N$15,IF(GK66="TP",Lookup!$N$16,IF(GK66="TPP",Lookup!$N$17,IF(GK66="TPPP",Lookup!$N$18,0)))))))*GJ66</f>
        <v>0</v>
      </c>
      <c r="GV66" s="535">
        <f t="shared" si="53"/>
        <v>0</v>
      </c>
      <c r="GW66" s="535">
        <f t="shared" si="241"/>
        <v>319.14787984768469</v>
      </c>
      <c r="GX66" s="535">
        <f t="shared" si="91"/>
        <v>104.02473267525576</v>
      </c>
      <c r="GY66" s="535"/>
      <c r="GZ66" s="535">
        <f t="shared" si="87"/>
        <v>0</v>
      </c>
      <c r="HA66" s="535" t="str">
        <f t="shared" si="88"/>
        <v/>
      </c>
      <c r="HB66" s="535">
        <f>IF(GK66="P",Lookup!$N$12,IF(GK66="PP",Lookup!$N$13,IF(GK66="PPP",Lookup!$N$14,IF(GK66="T",Lookup!$N$15,IF(GK66="TP",Lookup!$N$16,IF(GK66="TPP",Lookup!$N$17,IF(GK66="TPPP",Lookup!$N$18,0)))))))*GJ66</f>
        <v>0</v>
      </c>
      <c r="HC66" s="521">
        <f t="shared" si="242"/>
        <v>0</v>
      </c>
      <c r="HD66" s="535">
        <f t="shared" si="243"/>
        <v>260.13104412436917</v>
      </c>
      <c r="HE66" s="535">
        <f t="shared" si="92"/>
        <v>84.78847592058969</v>
      </c>
      <c r="HF66" s="535"/>
      <c r="HG66" s="535">
        <f t="shared" si="89"/>
        <v>0</v>
      </c>
      <c r="HH66" s="535" t="str">
        <f t="shared" si="90"/>
        <v/>
      </c>
      <c r="HI66" s="535">
        <f>IF(GK66="P",Lookup!$N$12,IF(GK66="PP",Lookup!$N$13,IF(GK66="PPP",Lookup!$N$14,IF(GK66="T",Lookup!$N$15,IF(GK66="TP",Lookup!$N$16,IF(GK66="TPP",Lookup!$N$17,IF(GK66="TPPP",Lookup!$N$18,0)))))))*GJ66</f>
        <v>0</v>
      </c>
      <c r="HJ66" s="521">
        <f t="shared" si="244"/>
        <v>0</v>
      </c>
      <c r="HK66" s="535">
        <f t="shared" si="245"/>
        <v>167.4614805127537</v>
      </c>
      <c r="HL66" s="535">
        <f t="shared" si="93"/>
        <v>54.583272657351273</v>
      </c>
      <c r="HM66" s="535"/>
      <c r="HN66" s="541"/>
      <c r="HO66" s="541"/>
      <c r="HP66" s="541"/>
      <c r="HQ66" s="541">
        <f>IF(AND(B66&gt;=$FV$4,B66&lt;=$FW$4),MAX(110/1.02+$HQ$6+MIN(113/1.02,G66),IF($HV$6-(Sheet1!DA64-Sheet1!DB64)+MIN(113/1.02,G66)&lt;G66+FL66,$HV$6-(Sheet1!DA64-Sheet1!DB64)+MIN(113/1.02,G66),G66+FL66)),MIN(110/1.02+$HQ$6+113/1.02,G66))</f>
        <v>218.62745098039215</v>
      </c>
      <c r="HR66" s="541">
        <f t="shared" si="112"/>
        <v>223</v>
      </c>
      <c r="HS66" s="541">
        <f>HR66+(Sheet1!DA64-Sheet1!DB64)</f>
        <v>1054</v>
      </c>
      <c r="HT66" s="541">
        <f t="shared" si="113"/>
        <v>69.908929999999998</v>
      </c>
      <c r="HU66" s="541">
        <f t="shared" si="114"/>
        <v>984.09106999999995</v>
      </c>
      <c r="HV66" s="541">
        <f t="shared" si="115"/>
        <v>0</v>
      </c>
      <c r="HW66" s="533" t="str">
        <f t="shared" si="116"/>
        <v/>
      </c>
      <c r="HX66" s="541">
        <f t="shared" si="117"/>
        <v>628.37254901960785</v>
      </c>
      <c r="HY66" s="541">
        <f>Sheet1!CZ64</f>
        <v>847</v>
      </c>
      <c r="HZ66" s="541">
        <f t="shared" si="118"/>
        <v>0</v>
      </c>
      <c r="IA66" s="541">
        <f t="shared" si="119"/>
        <v>69.908929999999998</v>
      </c>
      <c r="IB66" s="541">
        <f t="shared" si="120"/>
        <v>847</v>
      </c>
      <c r="IC66" s="1019" t="str">
        <f t="shared" si="121"/>
        <v/>
      </c>
      <c r="ID66" s="541">
        <f t="shared" si="122"/>
        <v>777.09106999999995</v>
      </c>
      <c r="IE66" s="541">
        <f>Sheet1!DB64</f>
        <v>769</v>
      </c>
      <c r="IF66" s="533">
        <f>Sheet1!DA64</f>
        <v>1600</v>
      </c>
      <c r="IH66" s="541">
        <f>IF(AND($B66&gt;=$GC66,$B66&lt;=$GH66,$DR66&lt;0)+N("only adjusted when pool is drawn down during storage season"),Sheet1!$DB64+$DR66+N("Palmer minus all storage release"),Sheet1!$DB64)</f>
        <v>769</v>
      </c>
      <c r="II66" s="541">
        <f>IF(AND($B66&gt;=$GC66,$B66&lt;=$GH66,$DR66&lt;0)+N("only adjusted when pool is drawn down during storage season"),Sheet1!$DA64+$DR66+N("Auburn minus all storage release"),Sheet1!$DA64)</f>
        <v>1600</v>
      </c>
    </row>
    <row r="67" spans="1:281" x14ac:dyDescent="0.25">
      <c r="A67" s="553" t="s">
        <v>9</v>
      </c>
      <c r="B67" s="531">
        <v>42791</v>
      </c>
      <c r="C67" s="536">
        <v>0</v>
      </c>
      <c r="D67" s="506">
        <f t="shared" si="0"/>
        <v>300</v>
      </c>
      <c r="E67" s="506">
        <f t="shared" si="1"/>
        <v>250</v>
      </c>
      <c r="F67" s="506">
        <v>250</v>
      </c>
      <c r="G67" s="535">
        <f>DR67+Sheet1!CZ65</f>
        <v>1001.4009077160124</v>
      </c>
      <c r="H67" s="1074">
        <f t="shared" si="246"/>
        <v>370.52572998399995</v>
      </c>
      <c r="I67" s="534">
        <f>IF(Sheet1!DA65&gt;=E67,(Sheet1!DA65-E67+P67)*CFStoMGD,0)</f>
        <v>883.12092998399999</v>
      </c>
      <c r="J67" s="995">
        <f>IF(Sheet1!DB65&gt;=D67,(Sheet1!DB65-D67+P67)*CFStoMGD,0)</f>
        <v>370.52572998399995</v>
      </c>
      <c r="K67" s="818">
        <f t="shared" si="97"/>
        <v>64.64</v>
      </c>
      <c r="L67" s="535">
        <f>Sheet1!AA65+Sheet1!AB65-Sheet1!L65+(Sheet1!DA65-F67)*CFStoMGD-S67-T67-U67</f>
        <v>818.48199999999997</v>
      </c>
      <c r="M67" s="535">
        <f t="shared" si="185"/>
        <v>660.25165768258307</v>
      </c>
      <c r="N67" s="824">
        <f>IF(Sheet1!DA65&gt;=F67,MIN(113*CFStoMGD,MIN(MAX(L67,0),MAX(M67,0))),0)</f>
        <v>73.043199999999999</v>
      </c>
      <c r="O67" s="538">
        <f>Sheet1!AA65+Sheet1!AB65</f>
        <v>55.730000000000004</v>
      </c>
      <c r="P67" s="538">
        <f t="shared" si="186"/>
        <v>86.214309999999998</v>
      </c>
      <c r="Q67" s="812">
        <f t="shared" si="98"/>
        <v>45.010000000000005</v>
      </c>
      <c r="R67" s="812">
        <f t="shared" si="59"/>
        <v>10.677290836653388</v>
      </c>
      <c r="S67" s="812">
        <f t="shared" si="60"/>
        <v>10.72</v>
      </c>
      <c r="T67" s="812">
        <f t="shared" si="61"/>
        <v>53.92</v>
      </c>
      <c r="U67" s="812">
        <f t="shared" si="99"/>
        <v>0</v>
      </c>
      <c r="V67" s="812"/>
      <c r="W67" s="812">
        <f t="shared" si="62"/>
        <v>53.962709163346616</v>
      </c>
      <c r="X67" s="812">
        <f t="shared" si="63"/>
        <v>64.64</v>
      </c>
      <c r="Y67" s="812" t="str">
        <f t="shared" si="64"/>
        <v>FALSE</v>
      </c>
      <c r="Z67" s="812">
        <f t="shared" si="65"/>
        <v>55.730000000000004</v>
      </c>
      <c r="AA67" s="812">
        <f t="shared" si="66"/>
        <v>55.730000000000004</v>
      </c>
      <c r="AB67" s="1059">
        <f t="shared" si="100"/>
        <v>69.630470000000003</v>
      </c>
      <c r="AC67" s="538">
        <f>Sheet1!Y65*MGDtoCFS</f>
        <v>39.912599999999998</v>
      </c>
      <c r="AD67" s="538">
        <f>Sheet1!Z65*MGDtoCFS</f>
        <v>46.41</v>
      </c>
      <c r="AE67" s="538">
        <f>Sheet1!AA65*MGDtoCFS</f>
        <v>39.804310000000001</v>
      </c>
      <c r="AF67" s="538">
        <f>Sheet1!AB65*MGDtoCFS</f>
        <v>46.41</v>
      </c>
      <c r="AG67" s="538">
        <f>Sheet1!L65*MGDtoCFS</f>
        <v>0</v>
      </c>
      <c r="AH67" s="521">
        <f t="shared" si="187"/>
        <v>0</v>
      </c>
      <c r="AI67" s="1059">
        <f t="shared" si="188"/>
        <v>0</v>
      </c>
      <c r="AJ67" s="535">
        <f t="shared" si="189"/>
        <v>53.962709163346616</v>
      </c>
      <c r="AK67" s="535">
        <f t="shared" si="190"/>
        <v>83.480311075697216</v>
      </c>
      <c r="AL67" s="535">
        <f>(VLOOKUP(Sheet1!DC65,hhdcap_wcm,4)-(((VLOOKUP(Sheet1!DC65,hhdcap_wcm,3)-Sheet1!DC65)/(VLOOKUP(Sheet1!DC65,hhdcap_wcm,3)-VLOOKUP(Sheet1!DC65,hhdcap_wcm,1)))*(VLOOKUP(Sheet1!DC65,hhdcap_wcm,4)-VLOOKUP(Sheet1!DC65,hhdcap_wcm,2))))</f>
        <v>2058.5000000052182</v>
      </c>
      <c r="AM67" s="535">
        <f t="shared" si="191"/>
        <v>268.50000000085265</v>
      </c>
      <c r="AN67" s="1035">
        <f t="shared" si="192"/>
        <v>539.75919041654333</v>
      </c>
      <c r="AO67" s="535">
        <f t="shared" si="193"/>
        <v>1655.9811961979549</v>
      </c>
      <c r="AP67" s="535">
        <f>Sheet1!BA65+Sheet1!BB65+Sheet1!BN65+CD67</f>
        <v>19.399999999999999</v>
      </c>
      <c r="AQ67" s="535">
        <f>Sheet1!BN65+(DO67*Sheet1!BN65)</f>
        <v>19.322709163346612</v>
      </c>
      <c r="AR67" s="535">
        <f>Sheet1!BA65+CD67</f>
        <v>0</v>
      </c>
      <c r="AS67" s="535">
        <f>Sheet1!BA65+Sheet1!BB65+CD67</f>
        <v>0</v>
      </c>
      <c r="AT67" s="649">
        <f>0</f>
        <v>0</v>
      </c>
      <c r="AU67" s="535">
        <f>IF(EB67&lt;K67,0,MAX(Sheet1!AA65+AQ67-15/36*K67-N67,Sheet1!EH65,0))</f>
        <v>0</v>
      </c>
      <c r="AV67" s="535">
        <f>IF(OR(B67&gt;=GD67,B67&lt;GC67),0,15/36*K67-MAX(0,64.6-(137.6-(Sheet1!AA65+Sheet1!AB65))))</f>
        <v>26.933333333333334</v>
      </c>
      <c r="AW67" s="1029"/>
      <c r="AX67" s="649"/>
      <c r="AY67" s="649">
        <f t="shared" si="101"/>
        <v>0</v>
      </c>
      <c r="AZ67" s="649">
        <f t="shared" si="102"/>
        <v>0</v>
      </c>
      <c r="BA67" s="1059">
        <f t="shared" si="103"/>
        <v>0</v>
      </c>
      <c r="BB67" s="1019">
        <f t="shared" si="194"/>
        <v>269.33333333333331</v>
      </c>
      <c r="BC67" s="1041">
        <f t="shared" si="104"/>
        <v>26.933333333333334</v>
      </c>
      <c r="BD67" s="1019">
        <f ca="1">IF(B67&gt;Summary!$A$1,#N/A,BB67*MGtoAF)</f>
        <v>826.31466666666665</v>
      </c>
      <c r="BE67" s="535">
        <f>Sheet1!BG65+Sheet1!BH65+Sheet1!BI65-BM67</f>
        <v>1.01</v>
      </c>
      <c r="BF67" s="535">
        <f t="shared" si="195"/>
        <v>1.0059760956175299</v>
      </c>
      <c r="BG67" s="535">
        <f>IF(Sheet1!EP65="FM",BM67,0)</f>
        <v>0</v>
      </c>
      <c r="BH67" s="535">
        <f t="shared" si="196"/>
        <v>0</v>
      </c>
      <c r="BI67" s="535">
        <f>IF(Sheet1!EP65="OTHER",BM67,0)</f>
        <v>0</v>
      </c>
      <c r="BJ67" s="535">
        <f t="shared" si="197"/>
        <v>0</v>
      </c>
      <c r="BK67" s="535">
        <f t="shared" si="198"/>
        <v>1.01</v>
      </c>
      <c r="BL67" s="535">
        <f t="shared" si="199"/>
        <v>1.0059760956175299</v>
      </c>
      <c r="BM67" s="535">
        <f>IF(OR(Sheet1!EP65="FM", Sheet1!EP65="OTHER"),SUM(Sheet1!BG65:'Sheet1'!BI65),0)</f>
        <v>0</v>
      </c>
      <c r="BN67" s="521">
        <f>IF(AND($B67&gt;=$FV67,$B67&lt;=$FW67),MAX(BF67,Sheet1!EI65,0),MAX(BF67-(7/36)*$K67,0))</f>
        <v>0</v>
      </c>
      <c r="BO67" s="535">
        <f t="shared" si="200"/>
        <v>11.562912793271359</v>
      </c>
      <c r="BP67" s="521">
        <f t="shared" si="201"/>
        <v>1.0059760956175299</v>
      </c>
      <c r="BQ67" s="521">
        <f>IF(AND($O67&gt;0,Sheet1!EM65=1),(1-($O67-Sheet1!$L65)/$O67)*BL67,0)</f>
        <v>0</v>
      </c>
      <c r="BR67" s="521">
        <f>IF(AND(Sheet1!$L65=0,Sheet1!$L64=0, Calculation!BK67&lt;Sheet1!$EI65-0.1,Sheet1!$EI65=Sheet1!$EI64,Sheet1!$EI65=Sheet1!$EI66),BL67-BQ67,BL67-BQ67)</f>
        <v>1.0059760956175299</v>
      </c>
      <c r="BS67" s="1035" t="str">
        <f t="shared" si="105"/>
        <v/>
      </c>
      <c r="BT67" s="1035">
        <f t="shared" si="106"/>
        <v>12.568888888888889</v>
      </c>
      <c r="BU67" s="535">
        <f t="shared" si="202"/>
        <v>115.58764546852711</v>
      </c>
      <c r="BV67" s="535"/>
      <c r="BW67" s="535">
        <f ca="1">IF(B67&gt;Summary!$A$1,#N/A,BU67*MGtoAF)</f>
        <v>354.62289629744117</v>
      </c>
      <c r="BX67" s="535">
        <f>Sheet1!BC65+Sheet1!BD65+Sheet1!BE65+Sheet1!BF65-CG67-CH67</f>
        <v>2.99</v>
      </c>
      <c r="BY67" s="535">
        <f t="shared" si="203"/>
        <v>2.9780876494023909</v>
      </c>
      <c r="BZ67" s="535">
        <f>IF(Sheet1!EQ65="FM",CH67,0)</f>
        <v>0</v>
      </c>
      <c r="CA67" s="535">
        <f t="shared" si="204"/>
        <v>0</v>
      </c>
      <c r="CB67" s="535">
        <f>IF(Sheet1!EQ65="OTHER",CH67,0)</f>
        <v>0</v>
      </c>
      <c r="CC67" s="535">
        <f t="shared" si="205"/>
        <v>0</v>
      </c>
      <c r="CD67" s="535">
        <f t="shared" si="206"/>
        <v>0</v>
      </c>
      <c r="CE67" s="535">
        <f t="shared" si="207"/>
        <v>2.99</v>
      </c>
      <c r="CF67" s="535">
        <f t="shared" si="208"/>
        <v>2.9780876494023909</v>
      </c>
      <c r="CG67" s="535">
        <f>IF(Sheet1!EQ65="CWA",SUM(Sheet1!BC65:'Sheet1'!BF65),0)</f>
        <v>0</v>
      </c>
      <c r="CH67" s="535">
        <f>IF(OR(Sheet1!EQ65="FM", Sheet1!EQ65="OTHER"),SUM(Sheet1!BC65:'Sheet1'!BF65),0)</f>
        <v>0</v>
      </c>
      <c r="CI67" s="521">
        <f>IF(AND($B67&gt;=$FV67,$B67&lt;=$FW67),MAX(CF67,Sheet1!EJ65,0),MAX(CF67-(7/36)*$K67,0))</f>
        <v>0</v>
      </c>
      <c r="CJ67" s="535">
        <f t="shared" si="209"/>
        <v>9.590801239486499</v>
      </c>
      <c r="CK67" s="521">
        <f t="shared" si="210"/>
        <v>2.9780876494023909</v>
      </c>
      <c r="CL67" s="521">
        <f>IF(AND($O67&gt;0,Sheet1!EN65=1),(1-($O67-Sheet1!$L65)/$O67)*CF67,0)</f>
        <v>0</v>
      </c>
      <c r="CM67" s="521">
        <f>IF(AND(Sheet1!$L65=0,Sheet1!$L64=0, Calculation!CE67&lt;Sheet1!EJ65-0.1,Sheet1!EJ65=Sheet1!EJ64,Sheet1!EJ65=Sheet1!EJ66),CF67-CL67,CF67-CL67)</f>
        <v>2.9780876494023909</v>
      </c>
      <c r="CN67" s="1040" t="str">
        <f t="shared" si="107"/>
        <v/>
      </c>
      <c r="CO67" s="1035">
        <f t="shared" si="108"/>
        <v>12.568888888888889</v>
      </c>
      <c r="CP67" s="535">
        <f t="shared" si="211"/>
        <v>94.379277160076185</v>
      </c>
      <c r="CQ67" s="535"/>
      <c r="CR67" s="535">
        <f ca="1">IF(B67&gt;Summary!$A$1,#N/A,CP67*MGtoAF)</f>
        <v>289.55562232711372</v>
      </c>
      <c r="CS67" s="535">
        <f>Sheet1!BK65+Sheet1!BL65+Sheet1!BM65-Sheet1!ER65-DA67</f>
        <v>6.7200000000000006</v>
      </c>
      <c r="CT67" s="535">
        <f t="shared" si="212"/>
        <v>6.6932270916334673</v>
      </c>
      <c r="CU67" s="535">
        <f>IF(Sheet1!ER65="FM",DA67,0)</f>
        <v>0</v>
      </c>
      <c r="CV67" s="535">
        <f t="shared" si="213"/>
        <v>0</v>
      </c>
      <c r="CW67" s="535">
        <f>IF(Sheet1!ER65="OTHER",DA67,0)</f>
        <v>0</v>
      </c>
      <c r="CX67" s="535">
        <f t="shared" si="214"/>
        <v>0</v>
      </c>
      <c r="CY67" s="535">
        <f t="shared" si="215"/>
        <v>6.7200000000000006</v>
      </c>
      <c r="CZ67" s="535">
        <f t="shared" si="216"/>
        <v>6.6932270916334673</v>
      </c>
      <c r="DA67" s="535">
        <f>IF(OR(Sheet1!ER65="FM", Sheet1!ER65="OTHER"),SUM(Sheet1!BK65:'Sheet1'!BM65),0)</f>
        <v>0</v>
      </c>
      <c r="DB67" s="1011">
        <f>IF(AND($B67&gt;=$FV67,$B67&lt;=$FW67),MAX($CT67,Sheet1!EK65,0),MAX($CT67-(7/36)*$K67,0))</f>
        <v>0</v>
      </c>
      <c r="DC67" s="1012">
        <f t="shared" si="217"/>
        <v>5.8756617972554217</v>
      </c>
      <c r="DD67" s="1011">
        <f t="shared" si="218"/>
        <v>6.6932270916334673</v>
      </c>
      <c r="DE67" s="521">
        <f>IF(AND($O67&gt;0,Sheet1!EO65=1),(1-($O67-Sheet1!$L65)/$O67)*CZ67,0)</f>
        <v>0</v>
      </c>
      <c r="DF67" s="521">
        <f>IF(AND(Sheet1!$L65=0,Sheet1!$L64=0, Calculation!CY67&lt;Sheet1!$EK65-0.1,Sheet1!$EK65=Sheet1!$EK64,Sheet1!$EK65=Sheet1!$EK66),CZ67-DE67,CZ67-DE67)</f>
        <v>6.6932270916334673</v>
      </c>
      <c r="DG67" s="1040">
        <f t="shared" si="109"/>
        <v>12.568888888888889</v>
      </c>
      <c r="DH67" s="649">
        <f t="shared" si="219"/>
        <v>10.72</v>
      </c>
      <c r="DI67" s="535">
        <f t="shared" si="220"/>
        <v>60.458934454606691</v>
      </c>
      <c r="DJ67" s="649">
        <f t="shared" si="221"/>
        <v>10.677290836653388</v>
      </c>
      <c r="DK67" s="535">
        <f ca="1">IF(B67&gt;Summary!$A$1,#N/A,DI67*MGtoAF)</f>
        <v>185.48801090673334</v>
      </c>
      <c r="DL67" s="649">
        <f t="shared" si="222"/>
        <v>10.72</v>
      </c>
      <c r="DM67" s="535">
        <f t="shared" si="223"/>
        <v>30.119999999999997</v>
      </c>
      <c r="DN67" s="535">
        <f>Sheet1!AB65-DM67</f>
        <v>-0.11999999999999744</v>
      </c>
      <c r="DO67" s="743">
        <f t="shared" si="224"/>
        <v>-3.9840637450198361E-3</v>
      </c>
      <c r="DP67" s="535">
        <f>(VLOOKUP(Sheet1!DC65,hhdcap_wcm,4)-(((VLOOKUP(Sheet1!DC65,hhdcap_wcm,3)-Sheet1!DC65)/(VLOOKUP(Sheet1!DC65,hhdcap_wcm,3)-VLOOKUP(Sheet1!DC65,hhdcap_wcm,1)))*(VLOOKUP(Sheet1!DC65,hhdcap_wcm,4)-VLOOKUP(Sheet1!DC65,hhdcap_wcm,2))))</f>
        <v>2058.5000000052182</v>
      </c>
      <c r="DQ67" s="535">
        <f t="shared" si="225"/>
        <v>268.50000000085265</v>
      </c>
      <c r="DR67" s="535">
        <f t="shared" si="226"/>
        <v>135.40090771601243</v>
      </c>
      <c r="DS67" s="535">
        <f>Sheet1!EA65*AFtoMG</f>
        <v>0</v>
      </c>
      <c r="DT67" s="535">
        <f>Sheet1!EB65*AFtoMG</f>
        <v>0</v>
      </c>
      <c r="DU67" s="535">
        <f>Sheet1!EC65*AFtoMG</f>
        <v>0</v>
      </c>
      <c r="DV67" s="535">
        <f>Sheet1!ED65*AFtoMG</f>
        <v>0</v>
      </c>
      <c r="DW67" s="535">
        <f t="shared" si="227"/>
        <v>0</v>
      </c>
      <c r="DX67" s="535">
        <f t="shared" si="228"/>
        <v>0</v>
      </c>
      <c r="DY67" s="535">
        <f t="shared" si="229"/>
        <v>539.75919041654333</v>
      </c>
      <c r="DZ67" s="535">
        <f t="shared" si="230"/>
        <v>1655.9811961979549</v>
      </c>
      <c r="EA67" s="535"/>
      <c r="EB67" s="521">
        <f>IF(OR(B67&lt;FV67,B67&gt;FW67),(MIN(BF67+BY67+CT67+MAX(Sheet1!AA65+AQ67-73,0),K67)),0)</f>
        <v>10.677290836653388</v>
      </c>
      <c r="EC67" s="535"/>
      <c r="ED67" s="535">
        <f t="shared" si="231"/>
        <v>10.677290836653388</v>
      </c>
      <c r="EE67" s="535"/>
      <c r="EF67" s="535">
        <f>Sheet1!EH65+Sheet1!EI65+Sheet1!EJ65+Sheet1!EK65</f>
        <v>10.5</v>
      </c>
      <c r="EG67" s="1019">
        <f t="shared" si="110"/>
        <v>16.243500000000001</v>
      </c>
      <c r="EH67" s="521">
        <f t="shared" si="232"/>
        <v>0</v>
      </c>
      <c r="EI67" s="535">
        <f>IF(Sheet1!ET65=1,SUM('Calculations II'!AT67:BA67)+'Calculations II'!BC67+Sheet1!BV65+'Calculations II'!BE67+AP67,'Calculations II'!BK67)</f>
        <v>47.664005163346609</v>
      </c>
      <c r="EJ67" s="535">
        <f ca="1">EI67+'Calculations II'!D67+'Calculations II'!E67+'Calculations II'!O67</f>
        <v>42.197164332597396</v>
      </c>
      <c r="EK67" s="535"/>
      <c r="EL67" s="535"/>
      <c r="EM67" s="535">
        <f t="shared" si="233"/>
        <v>42791</v>
      </c>
      <c r="EN67" s="535">
        <f t="shared" si="234"/>
        <v>53.962709163346616</v>
      </c>
      <c r="EO67" s="535">
        <f t="shared" si="235"/>
        <v>83.480311075697216</v>
      </c>
      <c r="EP67" s="535">
        <v>0</v>
      </c>
      <c r="EQ67" s="535">
        <v>0</v>
      </c>
      <c r="ER67" s="535">
        <v>0</v>
      </c>
      <c r="ES67" s="521">
        <f t="shared" si="71"/>
        <v>3.3232885963577181</v>
      </c>
      <c r="ET67" s="535">
        <f>-(VLOOKUP(Sheet1!BQ65,Lookup!$O$4:$Q$262,2)-VLOOKUP(Sheet1!BQ64,Lookup!$O$4:$Q$262,2))/1000000</f>
        <v>1.7998855732642263</v>
      </c>
      <c r="EU67" s="535">
        <f>-(VLOOKUP(Sheet1!BR65,Lookup!$O$4:$Q$262,3)-VLOOKUP(Sheet1!BR64,Lookup!$O$4:$Q$262,3))/1000000</f>
        <v>1.5234030230934918</v>
      </c>
      <c r="EV67" s="535"/>
      <c r="EW67" s="535"/>
      <c r="EX67" s="535"/>
      <c r="EY67" s="535"/>
      <c r="EZ67" s="535"/>
      <c r="FA67" s="535"/>
      <c r="FB67" s="535"/>
      <c r="FC67" s="535"/>
      <c r="FD67" s="567" t="e">
        <f t="shared" si="236"/>
        <v>#N/A</v>
      </c>
      <c r="FE67" s="567" t="e">
        <f t="shared" si="237"/>
        <v>#N/A</v>
      </c>
      <c r="FF67" s="568" t="e">
        <f t="shared" si="238"/>
        <v>#N/A</v>
      </c>
      <c r="FG67" s="569" t="s">
        <v>656</v>
      </c>
      <c r="FH67" s="569" t="s">
        <v>656</v>
      </c>
      <c r="FI67" s="567" t="e">
        <v>#N/A</v>
      </c>
      <c r="FJ67" s="567" t="e">
        <v>#N/A</v>
      </c>
      <c r="FK67" s="535"/>
      <c r="FL67" s="1015">
        <v>0</v>
      </c>
      <c r="FM67" s="535"/>
      <c r="FN67" s="535"/>
      <c r="FO67" s="535">
        <f>O67+((Sheet1!CS65)*GPMtoMGD)</f>
        <v>55.730000000000004</v>
      </c>
      <c r="FP67" s="535">
        <f>IF(Sheet1!AA65+AQ67&lt;=Calculation!N67,AQ67,Calculation!N67-Sheet1!AA65)</f>
        <v>19.322709163346612</v>
      </c>
      <c r="FQ67" s="535">
        <f>(Sheet1!BP65+Sheet1!BO65)/694.4</f>
        <v>2.2021889400921659</v>
      </c>
      <c r="FR67" s="541"/>
      <c r="FS67" s="541"/>
      <c r="FT67" s="541"/>
      <c r="FU67" s="541"/>
      <c r="FV67" s="1109">
        <f t="shared" si="74"/>
        <v>42918</v>
      </c>
      <c r="FW67" s="1109">
        <f t="shared" si="75"/>
        <v>43027</v>
      </c>
      <c r="FX67" s="541"/>
      <c r="FY67" s="541">
        <f>Sheet1!DA65-Sheet1!CZ65-Sheet1!AE65</f>
        <v>577.78569000000005</v>
      </c>
      <c r="FZ67" s="535">
        <f t="shared" si="111"/>
        <v>0.57697739791130132</v>
      </c>
      <c r="GA67" s="535"/>
      <c r="GB67" s="535" t="str">
        <f t="shared" si="76"/>
        <v>n</v>
      </c>
      <c r="GC67" s="539">
        <f t="shared" si="77"/>
        <v>42782</v>
      </c>
      <c r="GD67" s="1109">
        <f t="shared" si="78"/>
        <v>42904</v>
      </c>
      <c r="GE67" s="535">
        <f t="shared" si="95"/>
        <v>6520</v>
      </c>
      <c r="GF67" s="1109">
        <f t="shared" si="79"/>
        <v>42909</v>
      </c>
      <c r="GG67" s="535">
        <f t="shared" si="174"/>
        <v>3260</v>
      </c>
      <c r="GH67" s="539">
        <f t="shared" si="80"/>
        <v>43040</v>
      </c>
      <c r="GJ67" s="521">
        <f t="shared" si="81"/>
        <v>0</v>
      </c>
      <c r="GK67" s="535" t="str">
        <f t="shared" si="239"/>
        <v/>
      </c>
      <c r="GL67" s="535">
        <f t="shared" si="82"/>
        <v>0</v>
      </c>
      <c r="GM67" s="535" t="str">
        <f t="shared" si="83"/>
        <v/>
      </c>
      <c r="GN67" s="535">
        <f>IF(GK67="P",Lookup!$M$12,IF(GK67="PP",Lookup!$M$13,IF(GK67="PPP",Lookup!$M$14,IF(GK67="T",Lookup!$M$15,IF(GK67="TP",Lookup!$M$16,IF(GK67="TPP",Lookup!$M$17,IF(GK67="TPPP",Lookup!$M$18,0)))))))*GJ67</f>
        <v>0</v>
      </c>
      <c r="GO67" s="535">
        <f t="shared" si="84"/>
        <v>0</v>
      </c>
      <c r="GP67" s="535">
        <f t="shared" si="240"/>
        <v>826.31466666666665</v>
      </c>
      <c r="GQ67" s="535">
        <f t="shared" si="94"/>
        <v>269.33333333333331</v>
      </c>
      <c r="GR67" s="535"/>
      <c r="GS67" s="535">
        <f t="shared" si="85"/>
        <v>0</v>
      </c>
      <c r="GT67" s="535" t="str">
        <f t="shared" si="86"/>
        <v/>
      </c>
      <c r="GU67" s="535">
        <f>IF(GK67="P",Lookup!$N$12,IF(GK67="PP",Lookup!$N$13,IF(GK67="PPP",Lookup!$N$14,IF(GK67="T",Lookup!$N$15,IF(GK67="TP",Lookup!$N$16,IF(GK67="TPP",Lookup!$N$17,IF(GK67="TPPP",Lookup!$N$18,0)))))))*GJ67</f>
        <v>0</v>
      </c>
      <c r="GV67" s="535">
        <f t="shared" si="53"/>
        <v>0</v>
      </c>
      <c r="GW67" s="535">
        <f t="shared" si="241"/>
        <v>354.62289629744117</v>
      </c>
      <c r="GX67" s="535">
        <f t="shared" si="91"/>
        <v>115.58764546852711</v>
      </c>
      <c r="GY67" s="535"/>
      <c r="GZ67" s="535">
        <f t="shared" si="87"/>
        <v>0</v>
      </c>
      <c r="HA67" s="535" t="str">
        <f t="shared" si="88"/>
        <v/>
      </c>
      <c r="HB67" s="535">
        <f>IF(GK67="P",Lookup!$N$12,IF(GK67="PP",Lookup!$N$13,IF(GK67="PPP",Lookup!$N$14,IF(GK67="T",Lookup!$N$15,IF(GK67="TP",Lookup!$N$16,IF(GK67="TPP",Lookup!$N$17,IF(GK67="TPPP",Lookup!$N$18,0)))))))*GJ67</f>
        <v>0</v>
      </c>
      <c r="HC67" s="521">
        <f t="shared" si="242"/>
        <v>0</v>
      </c>
      <c r="HD67" s="535">
        <f t="shared" si="243"/>
        <v>289.55562232711372</v>
      </c>
      <c r="HE67" s="535">
        <f t="shared" si="92"/>
        <v>94.379277160076185</v>
      </c>
      <c r="HF67" s="535"/>
      <c r="HG67" s="535">
        <f t="shared" si="89"/>
        <v>0</v>
      </c>
      <c r="HH67" s="535" t="str">
        <f t="shared" si="90"/>
        <v/>
      </c>
      <c r="HI67" s="535">
        <f>IF(GK67="P",Lookup!$N$12,IF(GK67="PP",Lookup!$N$13,IF(GK67="PPP",Lookup!$N$14,IF(GK67="T",Lookup!$N$15,IF(GK67="TP",Lookup!$N$16,IF(GK67="TPP",Lookup!$N$17,IF(GK67="TPPP",Lookup!$N$18,0)))))))*GJ67</f>
        <v>0</v>
      </c>
      <c r="HJ67" s="521">
        <f t="shared" si="244"/>
        <v>0</v>
      </c>
      <c r="HK67" s="535">
        <f t="shared" si="245"/>
        <v>185.48801090673334</v>
      </c>
      <c r="HL67" s="535">
        <f t="shared" si="93"/>
        <v>60.458934454606691</v>
      </c>
      <c r="HM67" s="535"/>
      <c r="HN67" s="541"/>
      <c r="HO67" s="541"/>
      <c r="HP67" s="541"/>
      <c r="HQ67" s="541">
        <f>IF(AND(B67&gt;=$FV$4,B67&lt;=$FW$4),MAX(110/1.02+$HQ$6+MIN(113/1.02,G67),IF($HV$6-(Sheet1!DA65-Sheet1!DB65)+MIN(113/1.02,G67)&lt;G67+FL67,$HV$6-(Sheet1!DA65-Sheet1!DB65)+MIN(113/1.02,G67),G67+FL67)),MIN(110/1.02+$HQ$6+113/1.02,G67))</f>
        <v>218.62745098039215</v>
      </c>
      <c r="HR67" s="541">
        <f t="shared" si="112"/>
        <v>223</v>
      </c>
      <c r="HS67" s="541">
        <f>HR67+(Sheet1!DA65-Sheet1!DB65)</f>
        <v>966</v>
      </c>
      <c r="HT67" s="541">
        <f t="shared" si="113"/>
        <v>69.630470000000003</v>
      </c>
      <c r="HU67" s="541">
        <f t="shared" si="114"/>
        <v>896.36952999999994</v>
      </c>
      <c r="HV67" s="541">
        <f t="shared" si="115"/>
        <v>0</v>
      </c>
      <c r="HW67" s="533" t="str">
        <f t="shared" si="116"/>
        <v/>
      </c>
      <c r="HX67" s="541">
        <f t="shared" si="117"/>
        <v>647.37254901960785</v>
      </c>
      <c r="HY67" s="541">
        <f>Sheet1!CZ65</f>
        <v>866</v>
      </c>
      <c r="HZ67" s="541">
        <f t="shared" si="118"/>
        <v>0</v>
      </c>
      <c r="IA67" s="541">
        <f t="shared" si="119"/>
        <v>69.630470000000003</v>
      </c>
      <c r="IB67" s="541">
        <f t="shared" si="120"/>
        <v>866</v>
      </c>
      <c r="IC67" s="1019" t="str">
        <f t="shared" si="121"/>
        <v/>
      </c>
      <c r="ID67" s="541">
        <f t="shared" si="122"/>
        <v>796.36952999999994</v>
      </c>
      <c r="IE67" s="541">
        <f>Sheet1!DB65</f>
        <v>787</v>
      </c>
      <c r="IF67" s="533">
        <f>Sheet1!DA65</f>
        <v>1530</v>
      </c>
      <c r="IH67" s="541">
        <f>IF(AND($B67&gt;=$GC67,$B67&lt;=$GH67,$DR67&lt;0)+N("only adjusted when pool is drawn down during storage season"),Sheet1!$DB65+$DR67+N("Palmer minus all storage release"),Sheet1!$DB65)</f>
        <v>787</v>
      </c>
      <c r="II67" s="541">
        <f>IF(AND($B67&gt;=$GC67,$B67&lt;=$GH67,$DR67&lt;0)+N("only adjusted when pool is drawn down during storage season"),Sheet1!$DA65+$DR67+N("Auburn minus all storage release"),Sheet1!$DA65)</f>
        <v>1530</v>
      </c>
    </row>
    <row r="68" spans="1:281" x14ac:dyDescent="0.25">
      <c r="A68" s="553" t="s">
        <v>3</v>
      </c>
      <c r="B68" s="531">
        <v>42792</v>
      </c>
      <c r="C68" s="536">
        <v>0</v>
      </c>
      <c r="D68" s="506">
        <f t="shared" si="0"/>
        <v>300</v>
      </c>
      <c r="E68" s="506">
        <f t="shared" si="1"/>
        <v>250</v>
      </c>
      <c r="F68" s="506">
        <v>250</v>
      </c>
      <c r="G68" s="535">
        <f>DR68+Sheet1!CZ66</f>
        <v>939.07866868387089</v>
      </c>
      <c r="H68" s="1074">
        <f t="shared" si="246"/>
        <v>368.01012863999995</v>
      </c>
      <c r="I68" s="534">
        <f>IF(Sheet1!DA66&gt;=E68,(Sheet1!DA66-E68+P68)*CFStoMGD,0)</f>
        <v>915.51092863999997</v>
      </c>
      <c r="J68" s="995">
        <f>IF(Sheet1!DB66&gt;=D68,(Sheet1!DB66-D68+P68)*CFStoMGD,0)</f>
        <v>368.01012863999995</v>
      </c>
      <c r="K68" s="818">
        <f t="shared" si="97"/>
        <v>64.64</v>
      </c>
      <c r="L68" s="535">
        <f>Sheet1!AA66+Sheet1!AB66-Sheet1!L66+(Sheet1!DA66-F68)*CFStoMGD-S68-T68-U68</f>
        <v>850.87199999999996</v>
      </c>
      <c r="M68" s="535">
        <f t="shared" si="185"/>
        <v>619.16086046599924</v>
      </c>
      <c r="N68" s="824">
        <f>IF(Sheet1!DA66&gt;=F68,MIN(113*CFStoMGD,MIN(MAX(L68,0),MAX(M68,0))),0)</f>
        <v>73.043199999999999</v>
      </c>
      <c r="O68" s="538">
        <f>Sheet1!AA66+Sheet1!AB66</f>
        <v>55.8</v>
      </c>
      <c r="P68" s="538">
        <f t="shared" si="186"/>
        <v>86.322599999999994</v>
      </c>
      <c r="Q68" s="812">
        <f t="shared" si="98"/>
        <v>44.75</v>
      </c>
      <c r="R68" s="812">
        <f t="shared" si="59"/>
        <v>11.027936772046589</v>
      </c>
      <c r="S68" s="812">
        <f t="shared" si="60"/>
        <v>11.049999999999999</v>
      </c>
      <c r="T68" s="812">
        <f t="shared" si="61"/>
        <v>53.59</v>
      </c>
      <c r="U68" s="812">
        <f t="shared" si="99"/>
        <v>0</v>
      </c>
      <c r="V68" s="812"/>
      <c r="W68" s="812">
        <f t="shared" si="62"/>
        <v>53.612063227953414</v>
      </c>
      <c r="X68" s="812">
        <f t="shared" si="63"/>
        <v>64.64</v>
      </c>
      <c r="Y68" s="812" t="str">
        <f t="shared" si="64"/>
        <v>FALSE</v>
      </c>
      <c r="Z68" s="812">
        <f t="shared" si="65"/>
        <v>55.8</v>
      </c>
      <c r="AA68" s="812">
        <f t="shared" si="66"/>
        <v>55.8</v>
      </c>
      <c r="AB68" s="1059">
        <f t="shared" si="100"/>
        <v>69.228250000000003</v>
      </c>
      <c r="AC68" s="538">
        <f>Sheet1!Y66*MGDtoCFS</f>
        <v>39.804310000000001</v>
      </c>
      <c r="AD68" s="538">
        <f>Sheet1!Z66*MGDtoCFS</f>
        <v>46.41</v>
      </c>
      <c r="AE68" s="538">
        <f>Sheet1!AA66*MGDtoCFS</f>
        <v>39.928069999999998</v>
      </c>
      <c r="AF68" s="538">
        <f>Sheet1!AB66*MGDtoCFS</f>
        <v>46.394529999999996</v>
      </c>
      <c r="AG68" s="538">
        <f>Sheet1!L66*MGDtoCFS</f>
        <v>0</v>
      </c>
      <c r="AH68" s="521">
        <f t="shared" si="187"/>
        <v>0</v>
      </c>
      <c r="AI68" s="1059">
        <f t="shared" si="188"/>
        <v>0</v>
      </c>
      <c r="AJ68" s="535">
        <f t="shared" si="189"/>
        <v>53.612063227953414</v>
      </c>
      <c r="AK68" s="535">
        <f t="shared" si="190"/>
        <v>82.93786181364392</v>
      </c>
      <c r="AL68" s="535">
        <f>(VLOOKUP(Sheet1!DC66,hhdcap_wcm,4)-(((VLOOKUP(Sheet1!DC66,hhdcap_wcm,3)-Sheet1!DC66)/(VLOOKUP(Sheet1!DC66,hhdcap_wcm,3)-VLOOKUP(Sheet1!DC66,hhdcap_wcm,1)))*(VLOOKUP(Sheet1!DC66,hhdcap_wcm,4)-VLOOKUP(Sheet1!DC66,hhdcap_wcm,2))))</f>
        <v>2193.5000000053342</v>
      </c>
      <c r="AM68" s="535">
        <f t="shared" si="191"/>
        <v>135.00000000011596</v>
      </c>
      <c r="AN68" s="1035">
        <f t="shared" si="192"/>
        <v>593.37125364449673</v>
      </c>
      <c r="AO68" s="535">
        <f t="shared" si="193"/>
        <v>1820.4630061813159</v>
      </c>
      <c r="AP68" s="535">
        <f>Sheet1!BA66+Sheet1!BB66+Sheet1!BN66+CD68</f>
        <v>19</v>
      </c>
      <c r="AQ68" s="535">
        <f>Sheet1!BN66+(DO68*Sheet1!BN66)</f>
        <v>18.962063227953411</v>
      </c>
      <c r="AR68" s="535">
        <f>Sheet1!BA66+CD68</f>
        <v>0</v>
      </c>
      <c r="AS68" s="535">
        <f>Sheet1!BA66+Sheet1!BB66+CD68</f>
        <v>0</v>
      </c>
      <c r="AT68" s="649">
        <f>0</f>
        <v>0</v>
      </c>
      <c r="AU68" s="535">
        <f>IF(EB68&lt;K68,0,MAX(Sheet1!AA66+AQ68-15/36*K68-N68,Sheet1!EH66,0))</f>
        <v>0</v>
      </c>
      <c r="AV68" s="535">
        <f>IF(OR(B68&gt;=GD68,B68&lt;GC68),0,15/36*K68-MAX(0,64.6-(137.6-(Sheet1!AA66+Sheet1!AB66))))</f>
        <v>26.933333333333334</v>
      </c>
      <c r="AW68" s="1029"/>
      <c r="AX68" s="649"/>
      <c r="AY68" s="649">
        <f t="shared" si="101"/>
        <v>0</v>
      </c>
      <c r="AZ68" s="649">
        <f t="shared" si="102"/>
        <v>0</v>
      </c>
      <c r="BA68" s="1059">
        <f t="shared" si="103"/>
        <v>0</v>
      </c>
      <c r="BB68" s="1019">
        <f t="shared" si="194"/>
        <v>296.26666666666665</v>
      </c>
      <c r="BC68" s="1041">
        <f t="shared" si="104"/>
        <v>26.933333333333334</v>
      </c>
      <c r="BD68" s="1019">
        <f ca="1">IF(B68&gt;Summary!$A$1,#N/A,BB68*MGtoAF)</f>
        <v>908.94613333333325</v>
      </c>
      <c r="BE68" s="535">
        <f>Sheet1!BG66+Sheet1!BH66+Sheet1!BI66-BM68</f>
        <v>1.02</v>
      </c>
      <c r="BF68" s="535">
        <f t="shared" si="195"/>
        <v>1.0179633943427622</v>
      </c>
      <c r="BG68" s="535">
        <f>IF(Sheet1!EP66="FM",BM68,0)</f>
        <v>0</v>
      </c>
      <c r="BH68" s="535">
        <f t="shared" si="196"/>
        <v>0</v>
      </c>
      <c r="BI68" s="535">
        <f>IF(Sheet1!EP66="OTHER",BM68,0)</f>
        <v>0</v>
      </c>
      <c r="BJ68" s="535">
        <f t="shared" si="197"/>
        <v>0</v>
      </c>
      <c r="BK68" s="535">
        <f t="shared" si="198"/>
        <v>1.02</v>
      </c>
      <c r="BL68" s="535">
        <f t="shared" si="199"/>
        <v>1.0179633943427622</v>
      </c>
      <c r="BM68" s="535">
        <f>IF(OR(Sheet1!EP66="FM", Sheet1!EP66="OTHER"),SUM(Sheet1!BG66:'Sheet1'!BI66),0)</f>
        <v>0</v>
      </c>
      <c r="BN68" s="521">
        <f>IF(AND($B68&gt;=$FV68,$B68&lt;=$FW68),MAX(BF68,Sheet1!EI66,0),MAX(BF68-(7/36)*$K68,0))</f>
        <v>0</v>
      </c>
      <c r="BO68" s="535">
        <f t="shared" si="200"/>
        <v>11.550925494546126</v>
      </c>
      <c r="BP68" s="521">
        <f t="shared" si="201"/>
        <v>1.0179633943427622</v>
      </c>
      <c r="BQ68" s="521">
        <f>IF(AND($O68&gt;0,Sheet1!EM66=1),(1-($O68-Sheet1!$L66)/$O68)*BL68,0)</f>
        <v>0</v>
      </c>
      <c r="BR68" s="521">
        <f>IF(AND(Sheet1!$L66=0,Sheet1!$L65=0, Calculation!BK68&lt;Sheet1!$EI66-0.1,Sheet1!$EI66=Sheet1!$EI65,Sheet1!$EI66=Sheet1!$EI67),BL68-BQ68,BL68-BQ68)</f>
        <v>1.0179633943427622</v>
      </c>
      <c r="BS68" s="1035" t="str">
        <f t="shared" si="105"/>
        <v/>
      </c>
      <c r="BT68" s="1035">
        <f t="shared" si="106"/>
        <v>12.568888888888889</v>
      </c>
      <c r="BU68" s="535">
        <f t="shared" si="202"/>
        <v>127.13857096307324</v>
      </c>
      <c r="BV68" s="535"/>
      <c r="BW68" s="535">
        <f ca="1">IF(B68&gt;Summary!$A$1,#N/A,BU68*MGtoAF)</f>
        <v>390.06113571470871</v>
      </c>
      <c r="BX68" s="535">
        <f>Sheet1!BC66+Sheet1!BD66+Sheet1!BE66+Sheet1!BF66-CG68-CH68</f>
        <v>3</v>
      </c>
      <c r="BY68" s="535">
        <f t="shared" si="203"/>
        <v>2.9940099833610652</v>
      </c>
      <c r="BZ68" s="535">
        <f>IF(Sheet1!EQ66="FM",CH68,0)</f>
        <v>0</v>
      </c>
      <c r="CA68" s="535">
        <f t="shared" si="204"/>
        <v>0</v>
      </c>
      <c r="CB68" s="535">
        <f>IF(Sheet1!EQ66="OTHER",CH68,0)</f>
        <v>0</v>
      </c>
      <c r="CC68" s="535">
        <f t="shared" si="205"/>
        <v>0</v>
      </c>
      <c r="CD68" s="535">
        <f t="shared" si="206"/>
        <v>0</v>
      </c>
      <c r="CE68" s="535">
        <f t="shared" si="207"/>
        <v>3</v>
      </c>
      <c r="CF68" s="535">
        <f t="shared" si="208"/>
        <v>2.9940099833610652</v>
      </c>
      <c r="CG68" s="535">
        <f>IF(Sheet1!EQ66="CWA",SUM(Sheet1!BC66:'Sheet1'!BF66),0)</f>
        <v>0</v>
      </c>
      <c r="CH68" s="535">
        <f>IF(OR(Sheet1!EQ66="FM", Sheet1!EQ66="OTHER"),SUM(Sheet1!BC66:'Sheet1'!BF66),0)</f>
        <v>0</v>
      </c>
      <c r="CI68" s="521">
        <f>IF(AND($B68&gt;=$FV68,$B68&lt;=$FW68),MAX(CF68,Sheet1!EJ66,0),MAX(CF68-(7/36)*$K68,0))</f>
        <v>0</v>
      </c>
      <c r="CJ68" s="535">
        <f t="shared" si="209"/>
        <v>9.5748789055278234</v>
      </c>
      <c r="CK68" s="521">
        <f t="shared" si="210"/>
        <v>2.9940099833610652</v>
      </c>
      <c r="CL68" s="521">
        <f>IF(AND($O68&gt;0,Sheet1!EN66=1),(1-($O68-Sheet1!$L66)/$O68)*CF68,0)</f>
        <v>0</v>
      </c>
      <c r="CM68" s="521">
        <f>IF(AND(Sheet1!$L66=0,Sheet1!$L65=0, Calculation!CE68&lt;Sheet1!EJ66-0.1,Sheet1!EJ66=Sheet1!EJ65,Sheet1!EJ66=Sheet1!EJ67),CF68-CL68,CF68-CL68)</f>
        <v>2.9940099833610652</v>
      </c>
      <c r="CN68" s="1040" t="str">
        <f t="shared" si="107"/>
        <v/>
      </c>
      <c r="CO68" s="1035">
        <f t="shared" si="108"/>
        <v>12.568888888888889</v>
      </c>
      <c r="CP68" s="535">
        <f t="shared" si="211"/>
        <v>103.95415606560401</v>
      </c>
      <c r="CQ68" s="535"/>
      <c r="CR68" s="535">
        <f ca="1">IF(B68&gt;Summary!$A$1,#N/A,CP68*MGtoAF)</f>
        <v>318.93135080927311</v>
      </c>
      <c r="CS68" s="535">
        <f>Sheet1!BK66+Sheet1!BL66+Sheet1!BM66-Sheet1!ER66-DA68</f>
        <v>7.0299999999999994</v>
      </c>
      <c r="CT68" s="535">
        <f t="shared" si="212"/>
        <v>7.0159633943427613</v>
      </c>
      <c r="CU68" s="535">
        <f>IF(Sheet1!ER66="FM",DA68,0)</f>
        <v>0</v>
      </c>
      <c r="CV68" s="535">
        <f t="shared" si="213"/>
        <v>0</v>
      </c>
      <c r="CW68" s="535">
        <f>IF(Sheet1!ER66="OTHER",DA68,0)</f>
        <v>0</v>
      </c>
      <c r="CX68" s="535">
        <f t="shared" si="214"/>
        <v>0</v>
      </c>
      <c r="CY68" s="535">
        <f t="shared" si="215"/>
        <v>7.0299999999999994</v>
      </c>
      <c r="CZ68" s="535">
        <f t="shared" si="216"/>
        <v>7.0159633943427613</v>
      </c>
      <c r="DA68" s="535">
        <f>IF(OR(Sheet1!ER66="FM", Sheet1!ER66="OTHER"),SUM(Sheet1!BK66:'Sheet1'!BM66),0)</f>
        <v>0</v>
      </c>
      <c r="DB68" s="1011">
        <f>IF(AND($B68&gt;=$FV68,$B68&lt;=$FW68),MAX($CT68,Sheet1!EK66,0),MAX($CT68-(7/36)*$K68,0))</f>
        <v>0</v>
      </c>
      <c r="DC68" s="1012">
        <f t="shared" si="217"/>
        <v>5.5529254945461277</v>
      </c>
      <c r="DD68" s="1011">
        <f t="shared" si="218"/>
        <v>7.0159633943427613</v>
      </c>
      <c r="DE68" s="521">
        <f>IF(AND($O68&gt;0,Sheet1!EO66=1),(1-($O68-Sheet1!$L66)/$O68)*CZ68,0)</f>
        <v>0</v>
      </c>
      <c r="DF68" s="521">
        <f>IF(AND(Sheet1!$L66=0,Sheet1!$L65=0, Calculation!CY68&lt;Sheet1!$EK66-0.1,Sheet1!$EK66=Sheet1!$EK65,Sheet1!$EK66=Sheet1!$EK67),CZ68-DE68,CZ68-DE68)</f>
        <v>7.0159633943427613</v>
      </c>
      <c r="DG68" s="1040">
        <f t="shared" si="109"/>
        <v>12.568888888888889</v>
      </c>
      <c r="DH68" s="649">
        <f t="shared" si="219"/>
        <v>11.049999999999999</v>
      </c>
      <c r="DI68" s="535">
        <f t="shared" si="220"/>
        <v>66.011859949152822</v>
      </c>
      <c r="DJ68" s="649">
        <f t="shared" si="221"/>
        <v>11.027936772046589</v>
      </c>
      <c r="DK68" s="535">
        <f ca="1">IF(B68&gt;Summary!$A$1,#N/A,DI68*MGtoAF)</f>
        <v>202.52438632400086</v>
      </c>
      <c r="DL68" s="649">
        <f t="shared" si="222"/>
        <v>11.049999999999999</v>
      </c>
      <c r="DM68" s="535">
        <f t="shared" si="223"/>
        <v>30.049999999999997</v>
      </c>
      <c r="DN68" s="535">
        <f>Sheet1!AB66-DM68</f>
        <v>-5.9999999999998721E-2</v>
      </c>
      <c r="DO68" s="743">
        <f t="shared" si="224"/>
        <v>-1.9966722129783269E-3</v>
      </c>
      <c r="DP68" s="535">
        <f>(VLOOKUP(Sheet1!DC66,hhdcap_wcm,4)-(((VLOOKUP(Sheet1!DC66,hhdcap_wcm,3)-Sheet1!DC66)/(VLOOKUP(Sheet1!DC66,hhdcap_wcm,3)-VLOOKUP(Sheet1!DC66,hhdcap_wcm,1)))*(VLOOKUP(Sheet1!DC66,hhdcap_wcm,4)-VLOOKUP(Sheet1!DC66,hhdcap_wcm,2))))</f>
        <v>2193.5000000053342</v>
      </c>
      <c r="DQ68" s="535">
        <f t="shared" si="225"/>
        <v>135.00000000011596</v>
      </c>
      <c r="DR68" s="535">
        <f t="shared" si="226"/>
        <v>68.078668683870873</v>
      </c>
      <c r="DS68" s="535">
        <f>Sheet1!EA66*AFtoMG</f>
        <v>0</v>
      </c>
      <c r="DT68" s="535">
        <f>Sheet1!EB66*AFtoMG</f>
        <v>0</v>
      </c>
      <c r="DU68" s="535">
        <f>Sheet1!EC66*AFtoMG</f>
        <v>0</v>
      </c>
      <c r="DV68" s="535">
        <f>Sheet1!ED66*AFtoMG</f>
        <v>0</v>
      </c>
      <c r="DW68" s="535">
        <f t="shared" si="227"/>
        <v>0</v>
      </c>
      <c r="DX68" s="535">
        <f t="shared" si="228"/>
        <v>0</v>
      </c>
      <c r="DY68" s="535">
        <f t="shared" si="229"/>
        <v>593.37125364449673</v>
      </c>
      <c r="DZ68" s="535">
        <f t="shared" si="230"/>
        <v>1820.4630061813159</v>
      </c>
      <c r="EA68" s="535"/>
      <c r="EB68" s="521">
        <f>IF(OR(B68&lt;FV68,B68&gt;FW68),(MIN(BF68+BY68+CT68+MAX(Sheet1!AA66+AQ68-73,0),K68)),0)</f>
        <v>11.027936772046589</v>
      </c>
      <c r="EC68" s="535"/>
      <c r="ED68" s="535">
        <f t="shared" si="231"/>
        <v>11.027936772046589</v>
      </c>
      <c r="EE68" s="535"/>
      <c r="EF68" s="535">
        <f>Sheet1!EH66+Sheet1!EI66+Sheet1!EJ66+Sheet1!EK66</f>
        <v>10.5</v>
      </c>
      <c r="EG68" s="1019">
        <f t="shared" si="110"/>
        <v>16.243500000000001</v>
      </c>
      <c r="EH68" s="521">
        <f t="shared" si="232"/>
        <v>0</v>
      </c>
      <c r="EI68" s="535">
        <f>IF(Sheet1!ET66=1,SUM('Calculations II'!AT68:BA68)+'Calculations II'!BC68+Sheet1!BV66+'Calculations II'!BE68+AP68,'Calculations II'!BK68)</f>
        <v>44.989669227953414</v>
      </c>
      <c r="EJ68" s="535">
        <f ca="1">EI68+'Calculations II'!D68+'Calculations II'!E68+'Calculations II'!O68</f>
        <v>43.870127079808256</v>
      </c>
      <c r="EK68" s="535"/>
      <c r="EL68" s="535"/>
      <c r="EM68" s="535">
        <f t="shared" si="233"/>
        <v>42792</v>
      </c>
      <c r="EN68" s="535">
        <f t="shared" si="234"/>
        <v>53.612063227953414</v>
      </c>
      <c r="EO68" s="535">
        <f t="shared" si="235"/>
        <v>82.93786181364392</v>
      </c>
      <c r="EP68" s="535">
        <v>0</v>
      </c>
      <c r="EQ68" s="535">
        <v>0</v>
      </c>
      <c r="ER68" s="535">
        <v>0</v>
      </c>
      <c r="ES68" s="521">
        <f t="shared" si="71"/>
        <v>1.1073656047382578</v>
      </c>
      <c r="ET68" s="535">
        <f>-(VLOOKUP(Sheet1!BQ66,Lookup!$O$4:$Q$262,2)-VLOOKUP(Sheet1!BQ65,Lookup!$O$4:$Q$262,2))/1000000</f>
        <v>0.5535931073701531</v>
      </c>
      <c r="EU68" s="535">
        <f>-(VLOOKUP(Sheet1!BR66,Lookup!$O$4:$Q$262,3)-VLOOKUP(Sheet1!BR65,Lookup!$O$4:$Q$262,3))/1000000</f>
        <v>0.55377249736810474</v>
      </c>
      <c r="EV68" s="535"/>
      <c r="EW68" s="535"/>
      <c r="EX68" s="535"/>
      <c r="EY68" s="535"/>
      <c r="EZ68" s="535"/>
      <c r="FA68" s="535"/>
      <c r="FB68" s="535"/>
      <c r="FC68" s="535"/>
      <c r="FD68" s="567" t="e">
        <f t="shared" si="236"/>
        <v>#N/A</v>
      </c>
      <c r="FE68" s="567" t="e">
        <f t="shared" si="237"/>
        <v>#N/A</v>
      </c>
      <c r="FF68" s="568" t="e">
        <f t="shared" si="238"/>
        <v>#N/A</v>
      </c>
      <c r="FG68" s="569" t="s">
        <v>656</v>
      </c>
      <c r="FH68" s="569" t="s">
        <v>656</v>
      </c>
      <c r="FI68" s="567" t="e">
        <v>#N/A</v>
      </c>
      <c r="FJ68" s="567" t="e">
        <v>#N/A</v>
      </c>
      <c r="FK68" s="535"/>
      <c r="FL68" s="1015">
        <v>0</v>
      </c>
      <c r="FM68" s="535"/>
      <c r="FN68" s="535"/>
      <c r="FO68" s="535">
        <f>O68+((Sheet1!CS66)*GPMtoMGD)</f>
        <v>55.8</v>
      </c>
      <c r="FP68" s="535">
        <f>IF(Sheet1!AA66+AQ68&lt;=Calculation!N68,AQ68,Calculation!N68-Sheet1!AA66)</f>
        <v>18.962063227953411</v>
      </c>
      <c r="FQ68" s="535">
        <f>(Sheet1!BP66+Sheet1!BO66)/694.4</f>
        <v>1.4439804147465438</v>
      </c>
      <c r="FR68" s="541"/>
      <c r="FS68" s="541"/>
      <c r="FT68" s="541"/>
      <c r="FU68" s="541"/>
      <c r="FV68" s="1109">
        <f t="shared" si="74"/>
        <v>42918</v>
      </c>
      <c r="FW68" s="1109">
        <f t="shared" si="75"/>
        <v>43027</v>
      </c>
      <c r="FX68" s="541"/>
      <c r="FY68" s="541">
        <f>Sheet1!DA66-Sheet1!CZ66-Sheet1!AE66</f>
        <v>622.67740000000003</v>
      </c>
      <c r="FZ68" s="535">
        <f t="shared" si="111"/>
        <v>0.66307266980378676</v>
      </c>
      <c r="GA68" s="535"/>
      <c r="GB68" s="535" t="str">
        <f t="shared" si="76"/>
        <v>n</v>
      </c>
      <c r="GC68" s="539">
        <f t="shared" si="77"/>
        <v>42782</v>
      </c>
      <c r="GD68" s="1109">
        <f t="shared" si="78"/>
        <v>42904</v>
      </c>
      <c r="GE68" s="535">
        <f t="shared" si="95"/>
        <v>6520</v>
      </c>
      <c r="GF68" s="1109">
        <f t="shared" si="79"/>
        <v>42909</v>
      </c>
      <c r="GG68" s="535">
        <f t="shared" si="174"/>
        <v>3260</v>
      </c>
      <c r="GH68" s="539">
        <f t="shared" si="80"/>
        <v>43040</v>
      </c>
      <c r="GJ68" s="521">
        <f t="shared" si="81"/>
        <v>0</v>
      </c>
      <c r="GK68" s="535" t="str">
        <f t="shared" si="239"/>
        <v/>
      </c>
      <c r="GL68" s="535">
        <f t="shared" si="82"/>
        <v>0</v>
      </c>
      <c r="GM68" s="535" t="str">
        <f t="shared" si="83"/>
        <v/>
      </c>
      <c r="GN68" s="535">
        <f>IF(GK68="P",Lookup!$M$12,IF(GK68="PP",Lookup!$M$13,IF(GK68="PPP",Lookup!$M$14,IF(GK68="T",Lookup!$M$15,IF(GK68="TP",Lookup!$M$16,IF(GK68="TPP",Lookup!$M$17,IF(GK68="TPPP",Lookup!$M$18,0)))))))*GJ68</f>
        <v>0</v>
      </c>
      <c r="GO68" s="535">
        <f t="shared" si="84"/>
        <v>0</v>
      </c>
      <c r="GP68" s="535">
        <f t="shared" si="240"/>
        <v>908.94613333333325</v>
      </c>
      <c r="GQ68" s="535">
        <f t="shared" si="94"/>
        <v>296.26666666666665</v>
      </c>
      <c r="GR68" s="535"/>
      <c r="GS68" s="535">
        <f t="shared" si="85"/>
        <v>0</v>
      </c>
      <c r="GT68" s="535" t="str">
        <f t="shared" si="86"/>
        <v/>
      </c>
      <c r="GU68" s="535">
        <f>IF(GK68="P",Lookup!$N$12,IF(GK68="PP",Lookup!$N$13,IF(GK68="PPP",Lookup!$N$14,IF(GK68="T",Lookup!$N$15,IF(GK68="TP",Lookup!$N$16,IF(GK68="TPP",Lookup!$N$17,IF(GK68="TPPP",Lookup!$N$18,0)))))))*GJ68</f>
        <v>0</v>
      </c>
      <c r="GV68" s="535">
        <f t="shared" si="53"/>
        <v>0</v>
      </c>
      <c r="GW68" s="535">
        <f t="shared" si="241"/>
        <v>390.06113571470871</v>
      </c>
      <c r="GX68" s="535">
        <f t="shared" si="91"/>
        <v>127.13857096307324</v>
      </c>
      <c r="GY68" s="535"/>
      <c r="GZ68" s="535">
        <f t="shared" si="87"/>
        <v>0</v>
      </c>
      <c r="HA68" s="535" t="str">
        <f t="shared" si="88"/>
        <v/>
      </c>
      <c r="HB68" s="535">
        <f>IF(GK68="P",Lookup!$N$12,IF(GK68="PP",Lookup!$N$13,IF(GK68="PPP",Lookup!$N$14,IF(GK68="T",Lookup!$N$15,IF(GK68="TP",Lookup!$N$16,IF(GK68="TPP",Lookup!$N$17,IF(GK68="TPPP",Lookup!$N$18,0)))))))*GJ68</f>
        <v>0</v>
      </c>
      <c r="HC68" s="521">
        <f t="shared" si="242"/>
        <v>0</v>
      </c>
      <c r="HD68" s="535">
        <f t="shared" si="243"/>
        <v>318.93135080927311</v>
      </c>
      <c r="HE68" s="535">
        <f t="shared" si="92"/>
        <v>103.95415606560401</v>
      </c>
      <c r="HF68" s="535"/>
      <c r="HG68" s="535">
        <f t="shared" si="89"/>
        <v>0</v>
      </c>
      <c r="HH68" s="535" t="str">
        <f t="shared" si="90"/>
        <v/>
      </c>
      <c r="HI68" s="535">
        <f>IF(GK68="P",Lookup!$N$12,IF(GK68="PP",Lookup!$N$13,IF(GK68="PPP",Lookup!$N$14,IF(GK68="T",Lookup!$N$15,IF(GK68="TP",Lookup!$N$16,IF(GK68="TPP",Lookup!$N$17,IF(GK68="TPPP",Lookup!$N$18,0)))))))*GJ68</f>
        <v>0</v>
      </c>
      <c r="HJ68" s="521">
        <f t="shared" si="244"/>
        <v>0</v>
      </c>
      <c r="HK68" s="535">
        <f t="shared" si="245"/>
        <v>202.52438632400086</v>
      </c>
      <c r="HL68" s="535">
        <f t="shared" si="93"/>
        <v>66.011859949152822</v>
      </c>
      <c r="HM68" s="535"/>
      <c r="HN68" s="541"/>
      <c r="HO68" s="541"/>
      <c r="HP68" s="541"/>
      <c r="HQ68" s="541">
        <f>IF(AND(B68&gt;=$FV$4,B68&lt;=$FW$4),MAX(110/1.02+$HQ$6+MIN(113/1.02,G68),IF($HV$6-(Sheet1!DA66-Sheet1!DB66)+MIN(113/1.02,G68)&lt;G68+FL68,$HV$6-(Sheet1!DA66-Sheet1!DB66)+MIN(113/1.02,G68),G68+FL68)),MIN(110/1.02+$HQ$6+113/1.02,G68))</f>
        <v>218.62745098039215</v>
      </c>
      <c r="HR68" s="541">
        <f t="shared" si="112"/>
        <v>223</v>
      </c>
      <c r="HS68" s="541">
        <f>HR68+(Sheet1!DA66-Sheet1!DB66)</f>
        <v>1020</v>
      </c>
      <c r="HT68" s="541">
        <f t="shared" si="113"/>
        <v>69.228250000000003</v>
      </c>
      <c r="HU68" s="541">
        <f t="shared" si="114"/>
        <v>950.77175</v>
      </c>
      <c r="HV68" s="541">
        <f t="shared" si="115"/>
        <v>0</v>
      </c>
      <c r="HW68" s="533" t="str">
        <f t="shared" si="116"/>
        <v/>
      </c>
      <c r="HX68" s="541">
        <f t="shared" si="117"/>
        <v>652.37254901960785</v>
      </c>
      <c r="HY68" s="541">
        <f>Sheet1!CZ66</f>
        <v>871</v>
      </c>
      <c r="HZ68" s="541">
        <f t="shared" si="118"/>
        <v>0</v>
      </c>
      <c r="IA68" s="541">
        <f t="shared" si="119"/>
        <v>69.228250000000003</v>
      </c>
      <c r="IB68" s="541">
        <f t="shared" si="120"/>
        <v>871</v>
      </c>
      <c r="IC68" s="1019" t="str">
        <f t="shared" si="121"/>
        <v/>
      </c>
      <c r="ID68" s="541">
        <f t="shared" si="122"/>
        <v>801.77175</v>
      </c>
      <c r="IE68" s="541">
        <f>Sheet1!DB66</f>
        <v>783</v>
      </c>
      <c r="IF68" s="533">
        <f>Sheet1!DA66</f>
        <v>1580</v>
      </c>
      <c r="IH68" s="541">
        <f>IF(AND($B68&gt;=$GC68,$B68&lt;=$GH68,$DR68&lt;0)+N("only adjusted when pool is drawn down during storage season"),Sheet1!$DB66+$DR68+N("Palmer minus all storage release"),Sheet1!$DB66)</f>
        <v>783</v>
      </c>
      <c r="II68" s="541">
        <f>IF(AND($B68&gt;=$GC68,$B68&lt;=$GH68,$DR68&lt;0)+N("only adjusted when pool is drawn down during storage season"),Sheet1!$DA66+$DR68+N("Auburn minus all storage release"),Sheet1!$DA66)</f>
        <v>1580</v>
      </c>
    </row>
    <row r="69" spans="1:281" x14ac:dyDescent="0.25">
      <c r="A69" s="553" t="s">
        <v>4</v>
      </c>
      <c r="B69" s="531">
        <v>42793</v>
      </c>
      <c r="C69" s="536">
        <v>0</v>
      </c>
      <c r="D69" s="506">
        <f t="shared" si="0"/>
        <v>300</v>
      </c>
      <c r="E69" s="506">
        <f t="shared" si="1"/>
        <v>250</v>
      </c>
      <c r="F69" s="506">
        <v>250</v>
      </c>
      <c r="G69" s="535">
        <f>DR69+Sheet1!CZ67</f>
        <v>806.57892082706883</v>
      </c>
      <c r="H69" s="1074">
        <f t="shared" si="246"/>
        <v>301.30093113599997</v>
      </c>
      <c r="I69" s="534">
        <f>IF(Sheet1!DA67&gt;=E69,(Sheet1!DA67-E69+P69)*CFStoMGD,0)</f>
        <v>883.06093113599991</v>
      </c>
      <c r="J69" s="995">
        <f>IF(Sheet1!DB67&gt;=D69,(Sheet1!DB67-D69+P69)*CFStoMGD,0)</f>
        <v>301.30093113599997</v>
      </c>
      <c r="K69" s="818">
        <f t="shared" si="97"/>
        <v>64.64</v>
      </c>
      <c r="L69" s="535">
        <f>Sheet1!AA67+Sheet1!AB67-Sheet1!L67+(Sheet1!DA67-F69)*CFStoMGD-S69-T69-U69</f>
        <v>818.42199999999991</v>
      </c>
      <c r="M69" s="535">
        <f t="shared" si="185"/>
        <v>531.80006671106969</v>
      </c>
      <c r="N69" s="824">
        <f>IF(Sheet1!DA67&gt;=F69,MIN(113*CFStoMGD,MIN(MAX(L69,0),MAX(M69,0))),0)</f>
        <v>73.043199999999999</v>
      </c>
      <c r="O69" s="538">
        <f>Sheet1!AA67+Sheet1!AB67</f>
        <v>55.67</v>
      </c>
      <c r="P69" s="538">
        <f t="shared" si="186"/>
        <v>86.121489999999994</v>
      </c>
      <c r="Q69" s="812">
        <f t="shared" si="98"/>
        <v>45.17</v>
      </c>
      <c r="R69" s="812">
        <f t="shared" si="59"/>
        <v>10.433720930232559</v>
      </c>
      <c r="S69" s="812">
        <f t="shared" si="60"/>
        <v>10.5</v>
      </c>
      <c r="T69" s="812">
        <f t="shared" si="61"/>
        <v>54.14</v>
      </c>
      <c r="U69" s="812">
        <f t="shared" si="99"/>
        <v>0</v>
      </c>
      <c r="V69" s="812"/>
      <c r="W69" s="812">
        <f t="shared" si="62"/>
        <v>54.20627906976744</v>
      </c>
      <c r="X69" s="812">
        <f t="shared" si="63"/>
        <v>64.64</v>
      </c>
      <c r="Y69" s="812" t="str">
        <f t="shared" si="64"/>
        <v>FALSE</v>
      </c>
      <c r="Z69" s="812">
        <f t="shared" si="65"/>
        <v>55.67</v>
      </c>
      <c r="AA69" s="812">
        <f t="shared" si="66"/>
        <v>55.67</v>
      </c>
      <c r="AB69" s="1059">
        <f t="shared" si="100"/>
        <v>69.877989999999997</v>
      </c>
      <c r="AC69" s="538">
        <f>Sheet1!Y67*MGDtoCFS</f>
        <v>39.928069999999998</v>
      </c>
      <c r="AD69" s="538">
        <f>Sheet1!Z67*MGDtoCFS</f>
        <v>46.394529999999996</v>
      </c>
      <c r="AE69" s="538">
        <f>Sheet1!AA67*MGDtoCFS</f>
        <v>39.850720000000003</v>
      </c>
      <c r="AF69" s="538">
        <f>Sheet1!AB67*MGDtoCFS</f>
        <v>46.270769999999999</v>
      </c>
      <c r="AG69" s="538">
        <f>Sheet1!L67*MGDtoCFS</f>
        <v>0</v>
      </c>
      <c r="AH69" s="521">
        <f t="shared" si="187"/>
        <v>0</v>
      </c>
      <c r="AI69" s="1059">
        <f t="shared" si="188"/>
        <v>0</v>
      </c>
      <c r="AJ69" s="535">
        <f t="shared" si="189"/>
        <v>54.20627906976744</v>
      </c>
      <c r="AK69" s="535">
        <f t="shared" si="190"/>
        <v>83.857113720930229</v>
      </c>
      <c r="AL69" s="535">
        <f>(VLOOKUP(Sheet1!DC67,hhdcap_wcm,4)-(((VLOOKUP(Sheet1!DC67,hhdcap_wcm,3)-Sheet1!DC67)/(VLOOKUP(Sheet1!DC67,hhdcap_wcm,3)-VLOOKUP(Sheet1!DC67,hhdcap_wcm,1)))*(VLOOKUP(Sheet1!DC67,hhdcap_wcm,4)-VLOOKUP(Sheet1!DC67,hhdcap_wcm,2))))</f>
        <v>2281.9000000054116</v>
      </c>
      <c r="AM69" s="535">
        <f t="shared" si="191"/>
        <v>88.400000000077398</v>
      </c>
      <c r="AN69" s="1035">
        <f t="shared" si="192"/>
        <v>647.57753271426418</v>
      </c>
      <c r="AO69" s="535">
        <f t="shared" si="193"/>
        <v>1986.7678703673625</v>
      </c>
      <c r="AP69" s="535">
        <f>Sheet1!BA67+Sheet1!BB67+Sheet1!BN67+CD69</f>
        <v>19.600000000000001</v>
      </c>
      <c r="AQ69" s="535">
        <f>Sheet1!BN67+(DO69*Sheet1!BN67)</f>
        <v>19.476279069767443</v>
      </c>
      <c r="AR69" s="535">
        <f>Sheet1!BA67+CD69</f>
        <v>0</v>
      </c>
      <c r="AS69" s="535">
        <f>Sheet1!BA67+Sheet1!BB67+CD69</f>
        <v>0</v>
      </c>
      <c r="AT69" s="649">
        <f>0</f>
        <v>0</v>
      </c>
      <c r="AU69" s="535">
        <f>IF(EB69&lt;K69,0,MAX(Sheet1!AA67+AQ69-15/36*K69-N69,Sheet1!EH67,0))</f>
        <v>0</v>
      </c>
      <c r="AV69" s="535">
        <f>IF(OR(B69&gt;=GD69,B69&lt;GC69),0,15/36*K69-MAX(0,64.6-(137.6-(Sheet1!AA67+Sheet1!AB67))))</f>
        <v>26.933333333333334</v>
      </c>
      <c r="AW69" s="1029"/>
      <c r="AX69" s="649"/>
      <c r="AY69" s="649">
        <f t="shared" si="101"/>
        <v>0</v>
      </c>
      <c r="AZ69" s="649">
        <f t="shared" si="102"/>
        <v>0</v>
      </c>
      <c r="BA69" s="1059">
        <f t="shared" si="103"/>
        <v>0</v>
      </c>
      <c r="BB69" s="1019">
        <f t="shared" si="194"/>
        <v>323.2</v>
      </c>
      <c r="BC69" s="1041">
        <f t="shared" si="104"/>
        <v>26.933333333333334</v>
      </c>
      <c r="BD69" s="1019">
        <f ca="1">IF(B69&gt;Summary!$A$1,#N/A,BB69*MGtoAF)</f>
        <v>991.57759999999996</v>
      </c>
      <c r="BE69" s="535">
        <f>Sheet1!BG67+Sheet1!BH67+Sheet1!BI67-BM69</f>
        <v>1.01</v>
      </c>
      <c r="BF69" s="535">
        <f t="shared" si="195"/>
        <v>1.003624584717608</v>
      </c>
      <c r="BG69" s="535">
        <f>IF(Sheet1!EP67="FM",BM69,0)</f>
        <v>0</v>
      </c>
      <c r="BH69" s="535">
        <f t="shared" si="196"/>
        <v>0</v>
      </c>
      <c r="BI69" s="535">
        <f>IF(Sheet1!EP67="OTHER",BM69,0)</f>
        <v>0</v>
      </c>
      <c r="BJ69" s="535">
        <f t="shared" si="197"/>
        <v>0</v>
      </c>
      <c r="BK69" s="535">
        <f t="shared" si="198"/>
        <v>1.01</v>
      </c>
      <c r="BL69" s="535">
        <f t="shared" si="199"/>
        <v>1.003624584717608</v>
      </c>
      <c r="BM69" s="535">
        <f>IF(OR(Sheet1!EP67="FM", Sheet1!EP67="OTHER"),SUM(Sheet1!BG67:'Sheet1'!BI67),0)</f>
        <v>0</v>
      </c>
      <c r="BN69" s="521">
        <f>IF(AND($B69&gt;=$FV69,$B69&lt;=$FW69),MAX(BF69,Sheet1!EI67,0),MAX(BF69-(7/36)*$K69,0))</f>
        <v>0</v>
      </c>
      <c r="BO69" s="535">
        <f t="shared" si="200"/>
        <v>11.565264304171281</v>
      </c>
      <c r="BP69" s="521">
        <f t="shared" si="201"/>
        <v>1.003624584717608</v>
      </c>
      <c r="BQ69" s="521">
        <f>IF(AND($O69&gt;0,Sheet1!EM67=1),(1-($O69-Sheet1!$L67)/$O69)*BL69,0)</f>
        <v>0</v>
      </c>
      <c r="BR69" s="521">
        <f>IF(AND(Sheet1!$L67=0,Sheet1!$L66=0, Calculation!BK69&lt;Sheet1!$EI67-0.1,Sheet1!$EI67=Sheet1!$EI66,Sheet1!$EI67=Sheet1!$EI68),BL69-BQ69,BL69-BQ69)</f>
        <v>1.003624584717608</v>
      </c>
      <c r="BS69" s="1035" t="str">
        <f t="shared" si="105"/>
        <v/>
      </c>
      <c r="BT69" s="1035">
        <f t="shared" si="106"/>
        <v>12.568888888888889</v>
      </c>
      <c r="BU69" s="535">
        <f t="shared" si="202"/>
        <v>138.70383526724453</v>
      </c>
      <c r="BV69" s="535"/>
      <c r="BW69" s="535">
        <f ca="1">IF(B69&gt;Summary!$A$1,#N/A,BU69*MGtoAF)</f>
        <v>425.54336659990622</v>
      </c>
      <c r="BX69" s="535">
        <f>Sheet1!BC67+Sheet1!BD67+Sheet1!BE67+Sheet1!BF67-CG69-CH69</f>
        <v>3</v>
      </c>
      <c r="BY69" s="535">
        <f t="shared" si="203"/>
        <v>2.981063122923588</v>
      </c>
      <c r="BZ69" s="535">
        <f>IF(Sheet1!EQ67="FM",CH69,0)</f>
        <v>0</v>
      </c>
      <c r="CA69" s="535">
        <f t="shared" si="204"/>
        <v>0</v>
      </c>
      <c r="CB69" s="535">
        <f>IF(Sheet1!EQ67="OTHER",CH69,0)</f>
        <v>0</v>
      </c>
      <c r="CC69" s="535">
        <f t="shared" si="205"/>
        <v>0</v>
      </c>
      <c r="CD69" s="535">
        <f t="shared" si="206"/>
        <v>0</v>
      </c>
      <c r="CE69" s="535">
        <f t="shared" si="207"/>
        <v>3</v>
      </c>
      <c r="CF69" s="535">
        <f t="shared" si="208"/>
        <v>2.981063122923588</v>
      </c>
      <c r="CG69" s="535">
        <f>IF(Sheet1!EQ67="CWA",SUM(Sheet1!BC67:'Sheet1'!BF67),0)</f>
        <v>0</v>
      </c>
      <c r="CH69" s="535">
        <f>IF(OR(Sheet1!EQ67="FM", Sheet1!EQ67="OTHER"),SUM(Sheet1!BC67:'Sheet1'!BF67),0)</f>
        <v>0</v>
      </c>
      <c r="CI69" s="521">
        <f>IF(AND($B69&gt;=$FV69,$B69&lt;=$FW69),MAX(CF69,Sheet1!EJ67,0),MAX(CF69-(7/36)*$K69,0))</f>
        <v>0</v>
      </c>
      <c r="CJ69" s="535">
        <f t="shared" si="209"/>
        <v>9.5878257659653006</v>
      </c>
      <c r="CK69" s="521">
        <f t="shared" si="210"/>
        <v>2.981063122923588</v>
      </c>
      <c r="CL69" s="521">
        <f>IF(AND($O69&gt;0,Sheet1!EN67=1),(1-($O69-Sheet1!$L67)/$O69)*CF69,0)</f>
        <v>0</v>
      </c>
      <c r="CM69" s="521">
        <f>IF(AND(Sheet1!$L67=0,Sheet1!$L66=0, Calculation!CE69&lt;Sheet1!EJ67-0.1,Sheet1!EJ67=Sheet1!EJ66,Sheet1!EJ67=Sheet1!EJ68),CF69-CL69,CF69-CL69)</f>
        <v>2.981063122923588</v>
      </c>
      <c r="CN69" s="1040" t="str">
        <f t="shared" si="107"/>
        <v/>
      </c>
      <c r="CO69" s="1035">
        <f t="shared" si="108"/>
        <v>12.568888888888889</v>
      </c>
      <c r="CP69" s="535">
        <f t="shared" si="211"/>
        <v>113.54198183156932</v>
      </c>
      <c r="CQ69" s="535"/>
      <c r="CR69" s="535">
        <f ca="1">IF(B69&gt;Summary!$A$1,#N/A,CP69*MGtoAF)</f>
        <v>348.34680025925468</v>
      </c>
      <c r="CS69" s="535">
        <f>Sheet1!BK67+Sheet1!BL67+Sheet1!BM67-Sheet1!ER67-DA69</f>
        <v>6.49</v>
      </c>
      <c r="CT69" s="535">
        <f t="shared" si="212"/>
        <v>6.4490332225913622</v>
      </c>
      <c r="CU69" s="535">
        <f>IF(Sheet1!ER67="FM",DA69,0)</f>
        <v>0</v>
      </c>
      <c r="CV69" s="535">
        <f t="shared" si="213"/>
        <v>0</v>
      </c>
      <c r="CW69" s="535">
        <f>IF(Sheet1!ER67="OTHER",DA69,0)</f>
        <v>0</v>
      </c>
      <c r="CX69" s="535">
        <f t="shared" si="214"/>
        <v>0</v>
      </c>
      <c r="CY69" s="535">
        <f t="shared" si="215"/>
        <v>6.49</v>
      </c>
      <c r="CZ69" s="535">
        <f t="shared" si="216"/>
        <v>6.4490332225913622</v>
      </c>
      <c r="DA69" s="535">
        <f>IF(OR(Sheet1!ER67="FM", Sheet1!ER67="OTHER"),SUM(Sheet1!BK67:'Sheet1'!BM67),0)</f>
        <v>0</v>
      </c>
      <c r="DB69" s="1011">
        <f>IF(AND($B69&gt;=$FV69,$B69&lt;=$FW69),MAX($CT69,Sheet1!EK67,0),MAX($CT69-(7/36)*$K69,0))</f>
        <v>0</v>
      </c>
      <c r="DC69" s="1012">
        <f t="shared" si="217"/>
        <v>6.1198556662975268</v>
      </c>
      <c r="DD69" s="1011">
        <f t="shared" si="218"/>
        <v>6.4490332225913622</v>
      </c>
      <c r="DE69" s="521">
        <f>IF(AND($O69&gt;0,Sheet1!EO67=1),(1-($O69-Sheet1!$L67)/$O69)*CZ69,0)</f>
        <v>0</v>
      </c>
      <c r="DF69" s="521">
        <f>IF(AND(Sheet1!$L67=0,Sheet1!$L66=0, Calculation!CY69&lt;Sheet1!$EK67-0.1,Sheet1!$EK67=Sheet1!$EK66,Sheet1!$EK67=Sheet1!$EK68),CZ69-DE69,CZ69-DE69)</f>
        <v>6.4490332225913622</v>
      </c>
      <c r="DG69" s="1040">
        <f t="shared" si="109"/>
        <v>12.568888888888889</v>
      </c>
      <c r="DH69" s="649">
        <f t="shared" si="219"/>
        <v>10.5</v>
      </c>
      <c r="DI69" s="535">
        <f t="shared" si="220"/>
        <v>72.131715615450346</v>
      </c>
      <c r="DJ69" s="649">
        <f t="shared" si="221"/>
        <v>10.433720930232559</v>
      </c>
      <c r="DK69" s="535">
        <f ca="1">IF(B69&gt;Summary!$A$1,#N/A,DI69*MGtoAF)</f>
        <v>221.30010350820166</v>
      </c>
      <c r="DL69" s="649">
        <f t="shared" si="222"/>
        <v>10.5</v>
      </c>
      <c r="DM69" s="535">
        <f t="shared" si="223"/>
        <v>30.1</v>
      </c>
      <c r="DN69" s="535">
        <f>Sheet1!AB67-DM69</f>
        <v>-0.19000000000000128</v>
      </c>
      <c r="DO69" s="743">
        <f t="shared" si="224"/>
        <v>-6.3122923588040288E-3</v>
      </c>
      <c r="DP69" s="535">
        <f>(VLOOKUP(Sheet1!DC67,hhdcap_wcm,4)-(((VLOOKUP(Sheet1!DC67,hhdcap_wcm,3)-Sheet1!DC67)/(VLOOKUP(Sheet1!DC67,hhdcap_wcm,3)-VLOOKUP(Sheet1!DC67,hhdcap_wcm,1)))*(VLOOKUP(Sheet1!DC67,hhdcap_wcm,4)-VLOOKUP(Sheet1!DC67,hhdcap_wcm,2))))</f>
        <v>2281.9000000054116</v>
      </c>
      <c r="DQ69" s="535">
        <f t="shared" si="225"/>
        <v>88.400000000077398</v>
      </c>
      <c r="DR69" s="535">
        <f t="shared" si="226"/>
        <v>44.578920827068778</v>
      </c>
      <c r="DS69" s="535">
        <f>Sheet1!EA67*AFtoMG</f>
        <v>0</v>
      </c>
      <c r="DT69" s="535">
        <f>Sheet1!EB67*AFtoMG</f>
        <v>0</v>
      </c>
      <c r="DU69" s="535">
        <f>Sheet1!EC67*AFtoMG</f>
        <v>0</v>
      </c>
      <c r="DV69" s="535">
        <f>Sheet1!ED67*AFtoMG</f>
        <v>0</v>
      </c>
      <c r="DW69" s="535">
        <f t="shared" si="227"/>
        <v>0</v>
      </c>
      <c r="DX69" s="535">
        <f t="shared" si="228"/>
        <v>0</v>
      </c>
      <c r="DY69" s="535">
        <f t="shared" si="229"/>
        <v>647.57753271426418</v>
      </c>
      <c r="DZ69" s="535">
        <f t="shared" si="230"/>
        <v>1986.7678703673625</v>
      </c>
      <c r="EA69" s="535"/>
      <c r="EB69" s="521">
        <f>IF(OR(B69&lt;FV69,B69&gt;FW69),(MIN(BF69+BY69+CT69+MAX(Sheet1!AA67+AQ69-73,0),K69)),0)</f>
        <v>10.433720930232559</v>
      </c>
      <c r="EC69" s="535"/>
      <c r="ED69" s="535">
        <f t="shared" si="231"/>
        <v>10.433720930232559</v>
      </c>
      <c r="EE69" s="535"/>
      <c r="EF69" s="535">
        <f>Sheet1!EH67+Sheet1!EI67+Sheet1!EJ67+Sheet1!EK67</f>
        <v>10.5</v>
      </c>
      <c r="EG69" s="1019">
        <f t="shared" si="110"/>
        <v>16.243500000000001</v>
      </c>
      <c r="EH69" s="521">
        <f t="shared" si="232"/>
        <v>0</v>
      </c>
      <c r="EI69" s="535">
        <f>IF(Sheet1!ET67=1,SUM('Calculations II'!AT69:BA69)+'Calculations II'!BC69+Sheet1!BV67+'Calculations II'!BE69+AP69,'Calculations II'!BK69)</f>
        <v>43.392379069767443</v>
      </c>
      <c r="EJ69" s="535">
        <f ca="1">EI69+'Calculations II'!D69+'Calculations II'!E69+'Calculations II'!O69</f>
        <v>44.919411827937083</v>
      </c>
      <c r="EK69" s="535"/>
      <c r="EL69" s="535"/>
      <c r="EM69" s="535">
        <f t="shared" si="233"/>
        <v>42793</v>
      </c>
      <c r="EN69" s="535">
        <f t="shared" si="234"/>
        <v>54.20627906976744</v>
      </c>
      <c r="EO69" s="535">
        <f t="shared" si="235"/>
        <v>83.857113720930229</v>
      </c>
      <c r="EP69" s="535">
        <v>0</v>
      </c>
      <c r="EQ69" s="535">
        <v>0</v>
      </c>
      <c r="ER69" s="535">
        <v>0</v>
      </c>
      <c r="ES69" s="521">
        <f t="shared" si="71"/>
        <v>-1.1073656047382578</v>
      </c>
      <c r="ET69" s="535">
        <f>-(VLOOKUP(Sheet1!BQ67,Lookup!$O$4:$Q$262,2)-VLOOKUP(Sheet1!BQ66,Lookup!$O$4:$Q$262,2))/1000000</f>
        <v>-0.5535931073701531</v>
      </c>
      <c r="EU69" s="535">
        <f>-(VLOOKUP(Sheet1!BR67,Lookup!$O$4:$Q$262,3)-VLOOKUP(Sheet1!BR66,Lookup!$O$4:$Q$262,3))/1000000</f>
        <v>-0.55377249736810474</v>
      </c>
      <c r="EV69" s="535"/>
      <c r="EW69" s="535"/>
      <c r="EX69" s="535"/>
      <c r="EY69" s="535"/>
      <c r="EZ69" s="535"/>
      <c r="FA69" s="535"/>
      <c r="FB69" s="535"/>
      <c r="FC69" s="535"/>
      <c r="FD69" s="567" t="e">
        <f t="shared" si="236"/>
        <v>#N/A</v>
      </c>
      <c r="FE69" s="567" t="e">
        <f t="shared" si="237"/>
        <v>#N/A</v>
      </c>
      <c r="FF69" s="568" t="e">
        <f t="shared" si="238"/>
        <v>#N/A</v>
      </c>
      <c r="FG69" s="569" t="s">
        <v>656</v>
      </c>
      <c r="FH69" s="569" t="s">
        <v>656</v>
      </c>
      <c r="FI69" s="567" t="e">
        <v>#N/A</v>
      </c>
      <c r="FJ69" s="567" t="e">
        <v>#N/A</v>
      </c>
      <c r="FK69" s="535"/>
      <c r="FL69" s="1015">
        <v>0</v>
      </c>
      <c r="FM69" s="535"/>
      <c r="FN69" s="535"/>
      <c r="FO69" s="535">
        <f>O69+((Sheet1!CS67)*GPMtoMGD)</f>
        <v>55.67</v>
      </c>
      <c r="FP69" s="535">
        <f>IF(Sheet1!AA67+AQ69&lt;=Calculation!N69,AQ69,Calculation!N69-Sheet1!AA67)</f>
        <v>19.476279069767443</v>
      </c>
      <c r="FQ69" s="535">
        <f>(Sheet1!BP67+Sheet1!BO67)/694.4</f>
        <v>1.3906970046082952</v>
      </c>
      <c r="FR69" s="541"/>
      <c r="FS69" s="541"/>
      <c r="FT69" s="541"/>
      <c r="FU69" s="541"/>
      <c r="FV69" s="1109">
        <f t="shared" si="74"/>
        <v>42918</v>
      </c>
      <c r="FW69" s="1109">
        <f t="shared" si="75"/>
        <v>43027</v>
      </c>
      <c r="FX69" s="541"/>
      <c r="FY69" s="541">
        <f>Sheet1!DA67-Sheet1!CZ67-Sheet1!AE67</f>
        <v>681.87851000000001</v>
      </c>
      <c r="FZ69" s="535">
        <f t="shared" si="111"/>
        <v>0.84539589666042769</v>
      </c>
      <c r="GA69" s="535"/>
      <c r="GB69" s="535" t="str">
        <f t="shared" si="76"/>
        <v>n</v>
      </c>
      <c r="GC69" s="539">
        <f t="shared" si="77"/>
        <v>42782</v>
      </c>
      <c r="GD69" s="1109">
        <f t="shared" si="78"/>
        <v>42904</v>
      </c>
      <c r="GE69" s="535">
        <f t="shared" si="95"/>
        <v>6520</v>
      </c>
      <c r="GF69" s="1109">
        <f t="shared" si="79"/>
        <v>42909</v>
      </c>
      <c r="GG69" s="535">
        <f t="shared" si="174"/>
        <v>3260</v>
      </c>
      <c r="GH69" s="539">
        <f t="shared" si="80"/>
        <v>43040</v>
      </c>
      <c r="GJ69" s="521">
        <f t="shared" si="81"/>
        <v>0</v>
      </c>
      <c r="GK69" s="535" t="str">
        <f t="shared" si="239"/>
        <v/>
      </c>
      <c r="GL69" s="535">
        <f t="shared" si="82"/>
        <v>0</v>
      </c>
      <c r="GM69" s="535" t="str">
        <f t="shared" si="83"/>
        <v/>
      </c>
      <c r="GN69" s="535">
        <f>IF(GK69="P",Lookup!$M$12,IF(GK69="PP",Lookup!$M$13,IF(GK69="PPP",Lookup!$M$14,IF(GK69="T",Lookup!$M$15,IF(GK69="TP",Lookup!$M$16,IF(GK69="TPP",Lookup!$M$17,IF(GK69="TPPP",Lookup!$M$18,0)))))))*GJ69</f>
        <v>0</v>
      </c>
      <c r="GO69" s="535">
        <f t="shared" si="84"/>
        <v>0</v>
      </c>
      <c r="GP69" s="535">
        <f t="shared" si="240"/>
        <v>991.57759999999996</v>
      </c>
      <c r="GQ69" s="535">
        <f t="shared" si="94"/>
        <v>323.2</v>
      </c>
      <c r="GR69" s="535"/>
      <c r="GS69" s="535">
        <f t="shared" si="85"/>
        <v>0</v>
      </c>
      <c r="GT69" s="535" t="str">
        <f t="shared" si="86"/>
        <v/>
      </c>
      <c r="GU69" s="535">
        <f>IF(GK69="P",Lookup!$N$12,IF(GK69="PP",Lookup!$N$13,IF(GK69="PPP",Lookup!$N$14,IF(GK69="T",Lookup!$N$15,IF(GK69="TP",Lookup!$N$16,IF(GK69="TPP",Lookup!$N$17,IF(GK69="TPPP",Lookup!$N$18,0)))))))*GJ69</f>
        <v>0</v>
      </c>
      <c r="GV69" s="535">
        <f t="shared" si="53"/>
        <v>0</v>
      </c>
      <c r="GW69" s="535">
        <f t="shared" si="241"/>
        <v>425.54336659990622</v>
      </c>
      <c r="GX69" s="535">
        <f t="shared" si="91"/>
        <v>138.70383526724453</v>
      </c>
      <c r="GY69" s="535"/>
      <c r="GZ69" s="535">
        <f t="shared" si="87"/>
        <v>0</v>
      </c>
      <c r="HA69" s="535" t="str">
        <f t="shared" si="88"/>
        <v/>
      </c>
      <c r="HB69" s="535">
        <f>IF(GK69="P",Lookup!$N$12,IF(GK69="PP",Lookup!$N$13,IF(GK69="PPP",Lookup!$N$14,IF(GK69="T",Lookup!$N$15,IF(GK69="TP",Lookup!$N$16,IF(GK69="TPP",Lookup!$N$17,IF(GK69="TPPP",Lookup!$N$18,0)))))))*GJ69</f>
        <v>0</v>
      </c>
      <c r="HC69" s="521">
        <f t="shared" si="242"/>
        <v>0</v>
      </c>
      <c r="HD69" s="535">
        <f t="shared" si="243"/>
        <v>348.34680025925468</v>
      </c>
      <c r="HE69" s="535">
        <f t="shared" si="92"/>
        <v>113.54198183156932</v>
      </c>
      <c r="HF69" s="535"/>
      <c r="HG69" s="535">
        <f t="shared" si="89"/>
        <v>0</v>
      </c>
      <c r="HH69" s="535" t="str">
        <f t="shared" si="90"/>
        <v/>
      </c>
      <c r="HI69" s="535">
        <f>IF(GK69="P",Lookup!$N$12,IF(GK69="PP",Lookup!$N$13,IF(GK69="PPP",Lookup!$N$14,IF(GK69="T",Lookup!$N$15,IF(GK69="TP",Lookup!$N$16,IF(GK69="TPP",Lookup!$N$17,IF(GK69="TPPP",Lookup!$N$18,0)))))))*GJ69</f>
        <v>0</v>
      </c>
      <c r="HJ69" s="521">
        <f t="shared" si="244"/>
        <v>0</v>
      </c>
      <c r="HK69" s="535">
        <f t="shared" si="245"/>
        <v>221.30010350820166</v>
      </c>
      <c r="HL69" s="535">
        <f t="shared" si="93"/>
        <v>72.131715615450346</v>
      </c>
      <c r="HM69" s="535"/>
      <c r="HN69" s="541"/>
      <c r="HO69" s="541"/>
      <c r="HP69" s="541"/>
      <c r="HQ69" s="541">
        <f>IF(AND(B69&gt;=$FV$4,B69&lt;=$FW$4),MAX(110/1.02+$HQ$6+MIN(113/1.02,G69),IF($HV$6-(Sheet1!DA67-Sheet1!DB67)+MIN(113/1.02,G69)&lt;G69+FL69,$HV$6-(Sheet1!DA67-Sheet1!DB67)+MIN(113/1.02,G69),G69+FL69)),MIN(110/1.02+$HQ$6+113/1.02,G69))</f>
        <v>218.62745098039215</v>
      </c>
      <c r="HR69" s="541">
        <f t="shared" si="112"/>
        <v>223</v>
      </c>
      <c r="HS69" s="541">
        <f>HR69+(Sheet1!DA67-Sheet1!DB67)</f>
        <v>1073</v>
      </c>
      <c r="HT69" s="541">
        <f t="shared" si="113"/>
        <v>69.877989999999997</v>
      </c>
      <c r="HU69" s="541">
        <f t="shared" si="114"/>
        <v>1003.12201</v>
      </c>
      <c r="HV69" s="541">
        <f t="shared" si="115"/>
        <v>0</v>
      </c>
      <c r="HW69" s="533" t="str">
        <f t="shared" si="116"/>
        <v/>
      </c>
      <c r="HX69" s="541">
        <f t="shared" si="117"/>
        <v>543.37254901960785</v>
      </c>
      <c r="HY69" s="541">
        <f>Sheet1!CZ67</f>
        <v>762</v>
      </c>
      <c r="HZ69" s="541">
        <f t="shared" si="118"/>
        <v>0</v>
      </c>
      <c r="IA69" s="541">
        <f t="shared" si="119"/>
        <v>69.877989999999997</v>
      </c>
      <c r="IB69" s="541">
        <f t="shared" si="120"/>
        <v>762</v>
      </c>
      <c r="IC69" s="1019" t="str">
        <f t="shared" si="121"/>
        <v/>
      </c>
      <c r="ID69" s="541">
        <f t="shared" si="122"/>
        <v>692.12201000000005</v>
      </c>
      <c r="IE69" s="541">
        <f>Sheet1!DB67</f>
        <v>680</v>
      </c>
      <c r="IF69" s="533">
        <f>Sheet1!DA67</f>
        <v>1530</v>
      </c>
      <c r="IH69" s="541">
        <f>IF(AND($B69&gt;=$GC69,$B69&lt;=$GH69,$DR69&lt;0)+N("only adjusted when pool is drawn down during storage season"),Sheet1!$DB67+$DR69+N("Palmer minus all storage release"),Sheet1!$DB67)</f>
        <v>680</v>
      </c>
      <c r="II69" s="541">
        <f>IF(AND($B69&gt;=$GC69,$B69&lt;=$GH69,$DR69&lt;0)+N("only adjusted when pool is drawn down during storage season"),Sheet1!$DA67+$DR69+N("Auburn minus all storage release"),Sheet1!$DA67)</f>
        <v>1530</v>
      </c>
    </row>
    <row r="70" spans="1:281" x14ac:dyDescent="0.25">
      <c r="A70" s="553" t="s">
        <v>5</v>
      </c>
      <c r="B70" s="531">
        <v>42794</v>
      </c>
      <c r="C70" s="536">
        <v>0</v>
      </c>
      <c r="D70" s="506">
        <f t="shared" si="0"/>
        <v>300</v>
      </c>
      <c r="E70" s="506">
        <f t="shared" si="1"/>
        <v>250</v>
      </c>
      <c r="F70" s="506">
        <v>250</v>
      </c>
      <c r="G70" s="535">
        <f>DR70+Sheet1!CZ68</f>
        <v>825.71507816459916</v>
      </c>
      <c r="H70" s="1074">
        <f t="shared" si="246"/>
        <v>301.33093056000001</v>
      </c>
      <c r="I70" s="534">
        <f>IF(Sheet1!DA68&gt;=E70,(Sheet1!DA68-E70+P70)*CFStoMGD,0)</f>
        <v>857.23493055999995</v>
      </c>
      <c r="J70" s="995">
        <f>IF(Sheet1!DB68&gt;=D70,(Sheet1!DB68-D70+P70)*CFStoMGD,0)</f>
        <v>301.33093056000001</v>
      </c>
      <c r="K70" s="818">
        <f t="shared" si="97"/>
        <v>64.64</v>
      </c>
      <c r="L70" s="535">
        <f>Sheet1!AA68+Sheet1!AB68-Sheet1!L68+(Sheet1!DA68-F70)*CFStoMGD-S70-T70-U70</f>
        <v>792.596</v>
      </c>
      <c r="M70" s="535">
        <f t="shared" si="185"/>
        <v>544.41707105610885</v>
      </c>
      <c r="N70" s="824">
        <f>IF(Sheet1!DA68&gt;=F70,MIN(113*CFStoMGD,MIN(MAX(L70,0),MAX(M70,0))),0)</f>
        <v>73.043199999999999</v>
      </c>
      <c r="O70" s="538">
        <f>Sheet1!AA68+Sheet1!AB68</f>
        <v>55.7</v>
      </c>
      <c r="P70" s="538">
        <f t="shared" si="186"/>
        <v>86.167900000000003</v>
      </c>
      <c r="Q70" s="812">
        <f t="shared" si="98"/>
        <v>45.430000000000007</v>
      </c>
      <c r="R70" s="812">
        <f t="shared" si="59"/>
        <v>10.246092450947787</v>
      </c>
      <c r="S70" s="812">
        <f t="shared" si="60"/>
        <v>10.27</v>
      </c>
      <c r="T70" s="812">
        <f t="shared" si="61"/>
        <v>54.370000000000005</v>
      </c>
      <c r="U70" s="812">
        <f t="shared" si="99"/>
        <v>0</v>
      </c>
      <c r="V70" s="812"/>
      <c r="W70" s="812">
        <f t="shared" si="62"/>
        <v>54.393907549052216</v>
      </c>
      <c r="X70" s="812">
        <f t="shared" si="63"/>
        <v>64.64</v>
      </c>
      <c r="Y70" s="812" t="str">
        <f t="shared" si="64"/>
        <v>FALSE</v>
      </c>
      <c r="Z70" s="812">
        <f t="shared" si="65"/>
        <v>55.7</v>
      </c>
      <c r="AA70" s="812">
        <f t="shared" si="66"/>
        <v>55.7</v>
      </c>
      <c r="AB70" s="1059">
        <f t="shared" si="100"/>
        <v>70.280210000000011</v>
      </c>
      <c r="AC70" s="538">
        <f>Sheet1!Y68*MGDtoCFS</f>
        <v>39.850720000000003</v>
      </c>
      <c r="AD70" s="538">
        <f>Sheet1!Z68*MGDtoCFS</f>
        <v>46.270769999999999</v>
      </c>
      <c r="AE70" s="538">
        <f>Sheet1!AA68*MGDtoCFS</f>
        <v>39.757899999999999</v>
      </c>
      <c r="AF70" s="538">
        <f>Sheet1!AB68*MGDtoCFS</f>
        <v>46.41</v>
      </c>
      <c r="AG70" s="538">
        <f>Sheet1!L68*MGDtoCFS</f>
        <v>0</v>
      </c>
      <c r="AH70" s="521">
        <f t="shared" si="187"/>
        <v>0</v>
      </c>
      <c r="AI70" s="1059">
        <f t="shared" si="188"/>
        <v>0</v>
      </c>
      <c r="AJ70" s="535">
        <f t="shared" si="189"/>
        <v>54.393907549052216</v>
      </c>
      <c r="AK70" s="535">
        <f t="shared" si="190"/>
        <v>84.14737497838378</v>
      </c>
      <c r="AL70" s="535">
        <f>(VLOOKUP(Sheet1!DC68,hhdcap_wcm,4)-(((VLOOKUP(Sheet1!DC68,hhdcap_wcm,3)-Sheet1!DC68)/(VLOOKUP(Sheet1!DC68,hhdcap_wcm,3)-VLOOKUP(Sheet1!DC68,hhdcap_wcm,1)))*(VLOOKUP(Sheet1!DC68,hhdcap_wcm,4)-VLOOKUP(Sheet1!DC68,hhdcap_wcm,2))))</f>
        <v>2390.4000000058118</v>
      </c>
      <c r="AM70" s="535">
        <f t="shared" si="191"/>
        <v>108.50000000040018</v>
      </c>
      <c r="AN70" s="1035">
        <f t="shared" si="192"/>
        <v>701.97144026331637</v>
      </c>
      <c r="AO70" s="535">
        <f t="shared" si="193"/>
        <v>2153.6483787278548</v>
      </c>
      <c r="AP70" s="535">
        <f>Sheet1!BA68+Sheet1!BB68+Sheet1!BN68+CD70</f>
        <v>19.8</v>
      </c>
      <c r="AQ70" s="535">
        <f>Sheet1!BN68+(DO70*Sheet1!BN68)</f>
        <v>19.753907549052212</v>
      </c>
      <c r="AR70" s="535">
        <f>Sheet1!BA68+CD70</f>
        <v>0</v>
      </c>
      <c r="AS70" s="535">
        <f>Sheet1!BA68+Sheet1!BB68+CD70</f>
        <v>0</v>
      </c>
      <c r="AT70" s="649">
        <f>0</f>
        <v>0</v>
      </c>
      <c r="AU70" s="535">
        <f>IF(EB70&lt;K70,0,MAX(Sheet1!AA68+AQ70-15/36*K70-N70,Sheet1!EH68,0))</f>
        <v>0</v>
      </c>
      <c r="AV70" s="535">
        <f>IF(OR(B70&gt;=GD70,B70&lt;GC70),0,15/36*K70-MAX(0,64.6-(137.6-(Sheet1!AA68+Sheet1!AB68))))</f>
        <v>26.933333333333334</v>
      </c>
      <c r="AW70" s="1029"/>
      <c r="AX70" s="649"/>
      <c r="AY70" s="649">
        <f t="shared" si="101"/>
        <v>0</v>
      </c>
      <c r="AZ70" s="649">
        <f t="shared" si="102"/>
        <v>0</v>
      </c>
      <c r="BA70" s="1059">
        <f t="shared" si="103"/>
        <v>0</v>
      </c>
      <c r="BB70" s="1019">
        <f t="shared" si="194"/>
        <v>350.13333333333333</v>
      </c>
      <c r="BC70" s="1041">
        <f t="shared" si="104"/>
        <v>26.933333333333334</v>
      </c>
      <c r="BD70" s="1019">
        <f ca="1">IF(B70&gt;Summary!$A$1,#N/A,BB70*MGtoAF)</f>
        <v>1074.2090666666666</v>
      </c>
      <c r="BE70" s="535">
        <f>Sheet1!BG68+Sheet1!BH68+Sheet1!BI68-BM70</f>
        <v>0.72</v>
      </c>
      <c r="BF70" s="535">
        <f t="shared" si="195"/>
        <v>0.71832391087462588</v>
      </c>
      <c r="BG70" s="535">
        <f>IF(Sheet1!EP68="FM",BM70,0)</f>
        <v>0</v>
      </c>
      <c r="BH70" s="535">
        <f t="shared" si="196"/>
        <v>0</v>
      </c>
      <c r="BI70" s="535">
        <f>IF(Sheet1!EP68="OTHER",BM70,0)</f>
        <v>0</v>
      </c>
      <c r="BJ70" s="535">
        <f t="shared" si="197"/>
        <v>0</v>
      </c>
      <c r="BK70" s="535">
        <f t="shared" si="198"/>
        <v>0.72</v>
      </c>
      <c r="BL70" s="535">
        <f t="shared" si="199"/>
        <v>0.71832391087462588</v>
      </c>
      <c r="BM70" s="535">
        <f>IF(OR(Sheet1!EP68="FM", Sheet1!EP68="OTHER"),SUM(Sheet1!BG68:'Sheet1'!BI68),0)</f>
        <v>0</v>
      </c>
      <c r="BN70" s="521">
        <f>IF(AND($B70&gt;=$FV70,$B70&lt;=$FW70),MAX(BF70,Sheet1!EI68,0),MAX(BF70-(7/36)*$K70,0))</f>
        <v>0</v>
      </c>
      <c r="BO70" s="535">
        <f t="shared" si="200"/>
        <v>11.850564978014264</v>
      </c>
      <c r="BP70" s="521">
        <f t="shared" si="201"/>
        <v>0.71832391087462588</v>
      </c>
      <c r="BQ70" s="521">
        <f>IF(AND($O70&gt;0,Sheet1!EM68=1),(1-($O70-Sheet1!$L68)/$O70)*BL70,0)</f>
        <v>0</v>
      </c>
      <c r="BR70" s="521">
        <f>IF(AND(Sheet1!$L68=0,Sheet1!$L67=0, Calculation!BK70&lt;Sheet1!$EI68-0.1,Sheet1!$EI68=Sheet1!$EI67,Sheet1!$EI68=Sheet1!$EI69),BL70-BQ70,BL70-BQ70)</f>
        <v>0.71832391087462588</v>
      </c>
      <c r="BS70" s="1035" t="str">
        <f t="shared" si="105"/>
        <v/>
      </c>
      <c r="BT70" s="1035">
        <f t="shared" si="106"/>
        <v>12.568888888888889</v>
      </c>
      <c r="BU70" s="535">
        <f t="shared" si="202"/>
        <v>150.55440024525879</v>
      </c>
      <c r="BV70" s="535"/>
      <c r="BW70" s="535">
        <f ca="1">IF(B70&gt;Summary!$A$1,#N/A,BU70*MGtoAF)</f>
        <v>461.90089995245398</v>
      </c>
      <c r="BX70" s="535">
        <f>Sheet1!BC68+Sheet1!BD68+Sheet1!BE68+Sheet1!BF68-CG70-CH70</f>
        <v>3.01</v>
      </c>
      <c r="BY70" s="535">
        <f t="shared" si="203"/>
        <v>3.0029930162953109</v>
      </c>
      <c r="BZ70" s="535">
        <f>IF(Sheet1!EQ68="FM",CH70,0)</f>
        <v>0</v>
      </c>
      <c r="CA70" s="535">
        <f t="shared" si="204"/>
        <v>0</v>
      </c>
      <c r="CB70" s="535">
        <f>IF(Sheet1!EQ68="OTHER",CH70,0)</f>
        <v>0</v>
      </c>
      <c r="CC70" s="535">
        <f t="shared" si="205"/>
        <v>0</v>
      </c>
      <c r="CD70" s="535">
        <f t="shared" si="206"/>
        <v>0</v>
      </c>
      <c r="CE70" s="535">
        <f t="shared" si="207"/>
        <v>3.01</v>
      </c>
      <c r="CF70" s="535">
        <f t="shared" si="208"/>
        <v>3.0029930162953109</v>
      </c>
      <c r="CG70" s="535">
        <f>IF(Sheet1!EQ68="CWA",SUM(Sheet1!BC68:'Sheet1'!BF68),0)</f>
        <v>0</v>
      </c>
      <c r="CH70" s="535">
        <f>IF(OR(Sheet1!EQ68="FM", Sheet1!EQ68="OTHER"),SUM(Sheet1!BC68:'Sheet1'!BF68),0)</f>
        <v>0</v>
      </c>
      <c r="CI70" s="521">
        <f>IF(AND($B70&gt;=$FV70,$B70&lt;=$FW70),MAX(CF70,Sheet1!EJ68,0),MAX(CF70-(7/36)*$K70,0))</f>
        <v>0</v>
      </c>
      <c r="CJ70" s="535">
        <f t="shared" si="209"/>
        <v>9.565895872593579</v>
      </c>
      <c r="CK70" s="521">
        <f t="shared" si="210"/>
        <v>3.0029930162953109</v>
      </c>
      <c r="CL70" s="521">
        <f>IF(AND($O70&gt;0,Sheet1!EN68=1),(1-($O70-Sheet1!$L68)/$O70)*CF70,0)</f>
        <v>0</v>
      </c>
      <c r="CM70" s="521">
        <f>IF(AND(Sheet1!$L68=0,Sheet1!$L67=0, Calculation!CE70&lt;Sheet1!EJ68-0.1,Sheet1!EJ68=Sheet1!EJ67,Sheet1!EJ68=Sheet1!EJ69),CF70-CL70,CF70-CL70)</f>
        <v>3.0029930162953109</v>
      </c>
      <c r="CN70" s="1040" t="str">
        <f t="shared" si="107"/>
        <v/>
      </c>
      <c r="CO70" s="1035">
        <f t="shared" si="108"/>
        <v>12.568888888888889</v>
      </c>
      <c r="CP70" s="535">
        <f t="shared" si="211"/>
        <v>123.10787770416289</v>
      </c>
      <c r="CQ70" s="535"/>
      <c r="CR70" s="535">
        <f ca="1">IF(B70&gt;Summary!$A$1,#N/A,CP70*MGtoAF)</f>
        <v>377.69496879637177</v>
      </c>
      <c r="CS70" s="535">
        <f>Sheet1!BK68+Sheet1!BL68+Sheet1!BM68-Sheet1!ER68-DA70</f>
        <v>6.5399999999999991</v>
      </c>
      <c r="CT70" s="535">
        <f t="shared" si="212"/>
        <v>6.5247755237778504</v>
      </c>
      <c r="CU70" s="535">
        <f>IF(Sheet1!ER68="FM",DA70,0)</f>
        <v>0</v>
      </c>
      <c r="CV70" s="535">
        <f t="shared" si="213"/>
        <v>0</v>
      </c>
      <c r="CW70" s="535">
        <f>IF(Sheet1!ER68="OTHER",DA70,0)</f>
        <v>0</v>
      </c>
      <c r="CX70" s="535">
        <f t="shared" si="214"/>
        <v>0</v>
      </c>
      <c r="CY70" s="535">
        <f t="shared" si="215"/>
        <v>6.5399999999999991</v>
      </c>
      <c r="CZ70" s="535">
        <f t="shared" si="216"/>
        <v>6.5247755237778504</v>
      </c>
      <c r="DA70" s="535">
        <f>IF(OR(Sheet1!ER68="FM", Sheet1!ER68="OTHER"),SUM(Sheet1!BK68:'Sheet1'!BM68),0)</f>
        <v>0</v>
      </c>
      <c r="DB70" s="1011">
        <f>IF(AND($B70&gt;=$FV70,$B70&lt;=$FW70),MAX($CT70,Sheet1!EK68,0),MAX($CT70-(7/36)*$K70,0))</f>
        <v>0</v>
      </c>
      <c r="DC70" s="1012">
        <f t="shared" si="217"/>
        <v>6.0441133651110386</v>
      </c>
      <c r="DD70" s="1011">
        <f t="shared" si="218"/>
        <v>6.5247755237778504</v>
      </c>
      <c r="DE70" s="521">
        <f>IF(AND($O70&gt;0,Sheet1!EO68=1),(1-($O70-Sheet1!$L68)/$O70)*CZ70,0)</f>
        <v>0</v>
      </c>
      <c r="DF70" s="521">
        <f>IF(AND(Sheet1!$L68=0,Sheet1!$L67=0, Calculation!CY70&lt;Sheet1!$EK68-0.1,Sheet1!$EK68=Sheet1!$EK67,Sheet1!$EK68=Sheet1!$EK69),CZ70-DE70,CZ70-DE70)</f>
        <v>6.5247755237778504</v>
      </c>
      <c r="DG70" s="1040">
        <f t="shared" si="109"/>
        <v>12.568888888888889</v>
      </c>
      <c r="DH70" s="649">
        <f t="shared" si="219"/>
        <v>10.27</v>
      </c>
      <c r="DI70" s="535">
        <f t="shared" si="220"/>
        <v>78.175828980561391</v>
      </c>
      <c r="DJ70" s="649">
        <f t="shared" si="221"/>
        <v>10.246092450947787</v>
      </c>
      <c r="DK70" s="535">
        <f ca="1">IF(B70&gt;Summary!$A$1,#N/A,DI70*MGtoAF)</f>
        <v>239.84344331236235</v>
      </c>
      <c r="DL70" s="649">
        <f t="shared" si="222"/>
        <v>10.27</v>
      </c>
      <c r="DM70" s="535">
        <f t="shared" si="223"/>
        <v>30.07</v>
      </c>
      <c r="DN70" s="535">
        <f>Sheet1!AB68-DM70</f>
        <v>-7.0000000000000284E-2</v>
      </c>
      <c r="DO70" s="743">
        <f t="shared" si="224"/>
        <v>-2.3279015630196303E-3</v>
      </c>
      <c r="DP70" s="535">
        <f>(VLOOKUP(Sheet1!DC68,hhdcap_wcm,4)-(((VLOOKUP(Sheet1!DC68,hhdcap_wcm,3)-Sheet1!DC68)/(VLOOKUP(Sheet1!DC68,hhdcap_wcm,3)-VLOOKUP(Sheet1!DC68,hhdcap_wcm,1)))*(VLOOKUP(Sheet1!DC68,hhdcap_wcm,4)-VLOOKUP(Sheet1!DC68,hhdcap_wcm,2))))</f>
        <v>2390.4000000058118</v>
      </c>
      <c r="DQ70" s="535">
        <f t="shared" si="225"/>
        <v>108.50000000040018</v>
      </c>
      <c r="DR70" s="535">
        <f t="shared" si="226"/>
        <v>54.715078164599177</v>
      </c>
      <c r="DS70" s="535">
        <f>Sheet1!EA68*AFtoMG</f>
        <v>0</v>
      </c>
      <c r="DT70" s="535">
        <f>Sheet1!EB68*AFtoMG</f>
        <v>0</v>
      </c>
      <c r="DU70" s="535">
        <f>Sheet1!EC68*AFtoMG</f>
        <v>0</v>
      </c>
      <c r="DV70" s="535">
        <f>Sheet1!ED68*AFtoMG</f>
        <v>0</v>
      </c>
      <c r="DW70" s="535">
        <f t="shared" si="227"/>
        <v>0</v>
      </c>
      <c r="DX70" s="535">
        <f t="shared" si="228"/>
        <v>0</v>
      </c>
      <c r="DY70" s="535">
        <f t="shared" si="229"/>
        <v>701.97144026331637</v>
      </c>
      <c r="DZ70" s="535">
        <f t="shared" si="230"/>
        <v>2153.6483787278548</v>
      </c>
      <c r="EA70" s="535"/>
      <c r="EB70" s="521">
        <f>IF(OR(B70&lt;FV70,B70&gt;FW70),(MIN(BF70+BY70+CT70+MAX(Sheet1!AA68+AQ70-73,0),K70)),0)</f>
        <v>10.246092450947787</v>
      </c>
      <c r="EC70" s="535"/>
      <c r="ED70" s="535">
        <f t="shared" si="231"/>
        <v>10.246092450947788</v>
      </c>
      <c r="EE70" s="535"/>
      <c r="EF70" s="535">
        <f>Sheet1!EH68+Sheet1!EI68+Sheet1!EJ68+Sheet1!EK68</f>
        <v>10.5</v>
      </c>
      <c r="EG70" s="1019">
        <f t="shared" si="110"/>
        <v>16.243500000000001</v>
      </c>
      <c r="EH70" s="521">
        <f t="shared" si="232"/>
        <v>0</v>
      </c>
      <c r="EI70" s="535">
        <f>IF(Sheet1!ET68=1,SUM('Calculations II'!AT70:BA70)+'Calculations II'!BC70+Sheet1!BV68+'Calculations II'!BE70+AP70,'Calculations II'!BK70)</f>
        <v>43.491077549052214</v>
      </c>
      <c r="EJ70" s="535">
        <f ca="1">EI70+'Calculations II'!D70+'Calculations II'!E70+'Calculations II'!O70</f>
        <v>45.404412982594053</v>
      </c>
      <c r="EK70" s="535"/>
      <c r="EL70" s="535"/>
      <c r="EM70" s="535">
        <f t="shared" si="233"/>
        <v>42794</v>
      </c>
      <c r="EN70" s="535">
        <f t="shared" si="234"/>
        <v>54.393907549052216</v>
      </c>
      <c r="EO70" s="535">
        <f t="shared" si="235"/>
        <v>84.14737497838378</v>
      </c>
      <c r="EP70" s="535">
        <v>0</v>
      </c>
      <c r="EQ70" s="535">
        <v>0</v>
      </c>
      <c r="ER70" s="535">
        <v>0</v>
      </c>
      <c r="ES70" s="521">
        <f t="shared" si="71"/>
        <v>-1.2460554061790443</v>
      </c>
      <c r="ET70" s="535">
        <f>-(VLOOKUP(Sheet1!BQ68,Lookup!$O$4:$Q$262,2)-VLOOKUP(Sheet1!BQ67,Lookup!$O$4:$Q$262,2))/1000000</f>
        <v>-0.5536956123932153</v>
      </c>
      <c r="EU70" s="535">
        <f>-(VLOOKUP(Sheet1!BR68,Lookup!$O$4:$Q$262,3)-VLOOKUP(Sheet1!BR67,Lookup!$O$4:$Q$262,3))/1000000</f>
        <v>-0.69235979378582913</v>
      </c>
      <c r="EV70" s="535"/>
      <c r="EW70" s="535"/>
      <c r="EX70" s="535"/>
      <c r="EY70" s="535"/>
      <c r="EZ70" s="535"/>
      <c r="FA70" s="535"/>
      <c r="FB70" s="535"/>
      <c r="FC70" s="535"/>
      <c r="FD70" s="567" t="e">
        <f t="shared" si="236"/>
        <v>#N/A</v>
      </c>
      <c r="FE70" s="567" t="e">
        <f t="shared" si="237"/>
        <v>#N/A</v>
      </c>
      <c r="FF70" s="568" t="e">
        <f t="shared" si="238"/>
        <v>#N/A</v>
      </c>
      <c r="FG70" s="569" t="s">
        <v>656</v>
      </c>
      <c r="FH70" s="569" t="s">
        <v>656</v>
      </c>
      <c r="FI70" s="567" t="e">
        <v>#N/A</v>
      </c>
      <c r="FJ70" s="567" t="e">
        <v>#N/A</v>
      </c>
      <c r="FK70" s="535"/>
      <c r="FL70" s="1015">
        <v>0</v>
      </c>
      <c r="FM70" s="535"/>
      <c r="FN70" s="535"/>
      <c r="FO70" s="535">
        <f>O70+((Sheet1!CS68)*GPMtoMGD)</f>
        <v>55.7</v>
      </c>
      <c r="FP70" s="535">
        <f>IF(Sheet1!AA68+AQ70&lt;=Calculation!N70,AQ70,Calculation!N70-Sheet1!AA68)</f>
        <v>19.753907549052212</v>
      </c>
      <c r="FQ70" s="535">
        <f>(Sheet1!BP68+Sheet1!BO68)/694.4</f>
        <v>1.3873847926267282</v>
      </c>
      <c r="FR70" s="541"/>
      <c r="FS70" s="541"/>
      <c r="FT70" s="541"/>
      <c r="FU70" s="541"/>
      <c r="FV70" s="1109">
        <f t="shared" si="74"/>
        <v>42918</v>
      </c>
      <c r="FW70" s="1109">
        <f t="shared" si="75"/>
        <v>43027</v>
      </c>
      <c r="FX70" s="541"/>
      <c r="FY70" s="541">
        <f>Sheet1!DA68-Sheet1!CZ68-Sheet1!AE68</f>
        <v>632.83209999999997</v>
      </c>
      <c r="FZ70" s="535">
        <f t="shared" si="111"/>
        <v>0.76640492190921372</v>
      </c>
      <c r="GA70" s="535"/>
      <c r="GB70" s="535" t="str">
        <f t="shared" si="76"/>
        <v>n</v>
      </c>
      <c r="GC70" s="539">
        <f t="shared" si="77"/>
        <v>42782</v>
      </c>
      <c r="GD70" s="1109">
        <f t="shared" si="78"/>
        <v>42904</v>
      </c>
      <c r="GE70" s="535">
        <f t="shared" si="95"/>
        <v>6520</v>
      </c>
      <c r="GF70" s="1109">
        <f t="shared" si="79"/>
        <v>42909</v>
      </c>
      <c r="GG70" s="535">
        <f t="shared" si="174"/>
        <v>3260</v>
      </c>
      <c r="GH70" s="539">
        <f t="shared" si="80"/>
        <v>43040</v>
      </c>
      <c r="GJ70" s="521">
        <f t="shared" si="81"/>
        <v>0</v>
      </c>
      <c r="GK70" s="535" t="str">
        <f t="shared" si="239"/>
        <v/>
      </c>
      <c r="GL70" s="535">
        <f t="shared" si="82"/>
        <v>0</v>
      </c>
      <c r="GM70" s="535" t="str">
        <f t="shared" si="83"/>
        <v/>
      </c>
      <c r="GN70" s="535">
        <f>IF(GK70="P",Lookup!$M$12,IF(GK70="PP",Lookup!$M$13,IF(GK70="PPP",Lookup!$M$14,IF(GK70="T",Lookup!$M$15,IF(GK70="TP",Lookup!$M$16,IF(GK70="TPP",Lookup!$M$17,IF(GK70="TPPP",Lookup!$M$18,0)))))))*GJ70</f>
        <v>0</v>
      </c>
      <c r="GO70" s="535">
        <f t="shared" si="84"/>
        <v>0</v>
      </c>
      <c r="GP70" s="535">
        <f t="shared" si="240"/>
        <v>1074.2090666666666</v>
      </c>
      <c r="GQ70" s="535">
        <f t="shared" si="94"/>
        <v>350.13333333333333</v>
      </c>
      <c r="GR70" s="535"/>
      <c r="GS70" s="535">
        <f t="shared" si="85"/>
        <v>0</v>
      </c>
      <c r="GT70" s="535" t="str">
        <f t="shared" si="86"/>
        <v/>
      </c>
      <c r="GU70" s="535">
        <f>IF(GK70="P",Lookup!$N$12,IF(GK70="PP",Lookup!$N$13,IF(GK70="PPP",Lookup!$N$14,IF(GK70="T",Lookup!$N$15,IF(GK70="TP",Lookup!$N$16,IF(GK70="TPP",Lookup!$N$17,IF(GK70="TPPP",Lookup!$N$18,0)))))))*GJ70</f>
        <v>0</v>
      </c>
      <c r="GV70" s="535">
        <f t="shared" si="53"/>
        <v>0</v>
      </c>
      <c r="GW70" s="535">
        <f t="shared" si="241"/>
        <v>461.90089995245398</v>
      </c>
      <c r="GX70" s="535">
        <f t="shared" si="91"/>
        <v>150.55440024525879</v>
      </c>
      <c r="GY70" s="535"/>
      <c r="GZ70" s="535">
        <f t="shared" si="87"/>
        <v>0</v>
      </c>
      <c r="HA70" s="535" t="str">
        <f t="shared" si="88"/>
        <v/>
      </c>
      <c r="HB70" s="535">
        <f>IF(GK70="P",Lookup!$N$12,IF(GK70="PP",Lookup!$N$13,IF(GK70="PPP",Lookup!$N$14,IF(GK70="T",Lookup!$N$15,IF(GK70="TP",Lookup!$N$16,IF(GK70="TPP",Lookup!$N$17,IF(GK70="TPPP",Lookup!$N$18,0)))))))*GJ70</f>
        <v>0</v>
      </c>
      <c r="HC70" s="521">
        <f t="shared" si="242"/>
        <v>0</v>
      </c>
      <c r="HD70" s="535">
        <f t="shared" si="243"/>
        <v>377.69496879637177</v>
      </c>
      <c r="HE70" s="535">
        <f t="shared" si="92"/>
        <v>123.10787770416289</v>
      </c>
      <c r="HF70" s="535"/>
      <c r="HG70" s="535">
        <f t="shared" si="89"/>
        <v>0</v>
      </c>
      <c r="HH70" s="535" t="str">
        <f t="shared" si="90"/>
        <v/>
      </c>
      <c r="HI70" s="535">
        <f>IF(GK70="P",Lookup!$N$12,IF(GK70="PP",Lookup!$N$13,IF(GK70="PPP",Lookup!$N$14,IF(GK70="T",Lookup!$N$15,IF(GK70="TP",Lookup!$N$16,IF(GK70="TPP",Lookup!$N$17,IF(GK70="TPPP",Lookup!$N$18,0)))))))*GJ70</f>
        <v>0</v>
      </c>
      <c r="HJ70" s="521">
        <f t="shared" si="244"/>
        <v>0</v>
      </c>
      <c r="HK70" s="535">
        <f t="shared" si="245"/>
        <v>239.84344331236235</v>
      </c>
      <c r="HL70" s="535">
        <f t="shared" si="93"/>
        <v>78.175828980561391</v>
      </c>
      <c r="HM70" s="535"/>
      <c r="HN70" s="541"/>
      <c r="HO70" s="541"/>
      <c r="HP70" s="541"/>
      <c r="HQ70" s="541">
        <f>IF(AND(B70&gt;=$FV$4,B70&lt;=$FW$4),MAX(110/1.02+$HQ$6+MIN(113/1.02,G70),IF($HV$6-(Sheet1!DA68-Sheet1!DB68)+MIN(113/1.02,G70)&lt;G70+FL70,$HV$6-(Sheet1!DA68-Sheet1!DB68)+MIN(113/1.02,G70),G70+FL70)),MIN(110/1.02+$HQ$6+113/1.02,G70))</f>
        <v>218.62745098039215</v>
      </c>
      <c r="HR70" s="541">
        <f t="shared" si="112"/>
        <v>223</v>
      </c>
      <c r="HS70" s="541">
        <f>HR70+(Sheet1!DA68-Sheet1!DB68)</f>
        <v>1033</v>
      </c>
      <c r="HT70" s="541">
        <f t="shared" si="113"/>
        <v>70.280210000000011</v>
      </c>
      <c r="HU70" s="541">
        <f t="shared" si="114"/>
        <v>962.71978999999999</v>
      </c>
      <c r="HV70" s="541">
        <f t="shared" si="115"/>
        <v>0</v>
      </c>
      <c r="HW70" s="533" t="str">
        <f t="shared" si="116"/>
        <v/>
      </c>
      <c r="HX70" s="541">
        <f t="shared" si="117"/>
        <v>552.37254901960785</v>
      </c>
      <c r="HY70" s="541">
        <f>Sheet1!CZ68</f>
        <v>771</v>
      </c>
      <c r="HZ70" s="541">
        <f t="shared" si="118"/>
        <v>0</v>
      </c>
      <c r="IA70" s="541">
        <f t="shared" si="119"/>
        <v>70.280210000000011</v>
      </c>
      <c r="IB70" s="541">
        <f t="shared" si="120"/>
        <v>771</v>
      </c>
      <c r="IC70" s="1019" t="str">
        <f t="shared" si="121"/>
        <v/>
      </c>
      <c r="ID70" s="541">
        <f t="shared" si="122"/>
        <v>700.71978999999999</v>
      </c>
      <c r="IE70" s="541">
        <f>Sheet1!DB68</f>
        <v>680</v>
      </c>
      <c r="IF70" s="533">
        <f>Sheet1!DA68</f>
        <v>1490</v>
      </c>
      <c r="IH70" s="541">
        <f>IF(AND($B70&gt;=$GC70,$B70&lt;=$GH70,$DR70&lt;0)+N("only adjusted when pool is drawn down during storage season"),Sheet1!$DB68+$DR70+N("Palmer minus all storage release"),Sheet1!$DB68)</f>
        <v>680</v>
      </c>
      <c r="II70" s="541">
        <f>IF(AND($B70&gt;=$GC70,$B70&lt;=$GH70,$DR70&lt;0)+N("only adjusted when pool is drawn down during storage season"),Sheet1!$DA68+$DR70+N("Auburn minus all storage release"),Sheet1!$DA68)</f>
        <v>1490</v>
      </c>
    </row>
    <row r="71" spans="1:281" x14ac:dyDescent="0.25">
      <c r="A71" s="553" t="s">
        <v>6</v>
      </c>
      <c r="B71" s="531">
        <v>42795</v>
      </c>
      <c r="C71" s="536">
        <v>0</v>
      </c>
      <c r="D71" s="506">
        <f t="shared" si="0"/>
        <v>300</v>
      </c>
      <c r="E71" s="506">
        <f t="shared" si="1"/>
        <v>250</v>
      </c>
      <c r="F71" s="506">
        <v>250</v>
      </c>
      <c r="G71" s="535">
        <f>DR71+Sheet1!CZ69</f>
        <v>770.22541603655861</v>
      </c>
      <c r="H71" s="1074">
        <f t="shared" si="246"/>
        <v>257.82213439999998</v>
      </c>
      <c r="I71" s="534">
        <f>IF(Sheet1!DA69&gt;=E71,(Sheet1!DA69-E71+P71)*CFStoMGD,0)</f>
        <v>805.32293440000001</v>
      </c>
      <c r="J71" s="995">
        <f>IF(Sheet1!DB69&gt;=D71,(Sheet1!DB69-D71+P71)*CFStoMGD,0)</f>
        <v>257.82213439999998</v>
      </c>
      <c r="K71" s="818">
        <f t="shared" si="97"/>
        <v>64.64</v>
      </c>
      <c r="L71" s="535">
        <f>Sheet1!AA69+Sheet1!AB69-Sheet1!L69+(Sheet1!DA69-F71)*CFStoMGD-S71-T71-U71</f>
        <v>740.68399999999997</v>
      </c>
      <c r="M71" s="535">
        <f t="shared" si="185"/>
        <v>507.83118310455211</v>
      </c>
      <c r="N71" s="824">
        <f>IF(Sheet1!DA69&gt;=F71,MIN(113*CFStoMGD,MIN(MAX(L71,0),MAX(M71,0))),0)</f>
        <v>73.043199999999999</v>
      </c>
      <c r="O71" s="538">
        <f>Sheet1!AA69+Sheet1!AB69</f>
        <v>55.5</v>
      </c>
      <c r="P71" s="538">
        <f t="shared" si="186"/>
        <v>85.858499999999992</v>
      </c>
      <c r="Q71" s="812">
        <f t="shared" si="98"/>
        <v>44.9</v>
      </c>
      <c r="R71" s="812">
        <f t="shared" si="59"/>
        <v>10.529333333333334</v>
      </c>
      <c r="S71" s="812">
        <f t="shared" si="60"/>
        <v>10.6</v>
      </c>
      <c r="T71" s="812">
        <f t="shared" si="61"/>
        <v>54.04</v>
      </c>
      <c r="U71" s="812">
        <f t="shared" si="99"/>
        <v>0</v>
      </c>
      <c r="V71" s="812"/>
      <c r="W71" s="812">
        <f t="shared" si="62"/>
        <v>54.110666666666667</v>
      </c>
      <c r="X71" s="812">
        <f t="shared" si="63"/>
        <v>64.64</v>
      </c>
      <c r="Y71" s="812" t="str">
        <f t="shared" si="64"/>
        <v>FALSE</v>
      </c>
      <c r="Z71" s="812">
        <f t="shared" si="65"/>
        <v>55.5</v>
      </c>
      <c r="AA71" s="812">
        <f t="shared" si="66"/>
        <v>55.5</v>
      </c>
      <c r="AB71" s="1059">
        <f t="shared" si="100"/>
        <v>69.460299999999989</v>
      </c>
      <c r="AC71" s="538">
        <f>Sheet1!Y69*MGDtoCFS</f>
        <v>39.757899999999999</v>
      </c>
      <c r="AD71" s="538">
        <f>Sheet1!Z69*MGDtoCFS</f>
        <v>46.41</v>
      </c>
      <c r="AE71" s="538">
        <f>Sheet1!AA69*MGDtoCFS</f>
        <v>39.757899999999999</v>
      </c>
      <c r="AF71" s="538">
        <f>Sheet1!AB69*MGDtoCFS</f>
        <v>46.1006</v>
      </c>
      <c r="AG71" s="538">
        <f>Sheet1!L69*MGDtoCFS</f>
        <v>0</v>
      </c>
      <c r="AH71" s="521">
        <f t="shared" si="187"/>
        <v>0</v>
      </c>
      <c r="AI71" s="1059">
        <f t="shared" si="188"/>
        <v>0</v>
      </c>
      <c r="AJ71" s="535">
        <f t="shared" si="189"/>
        <v>54.110666666666667</v>
      </c>
      <c r="AK71" s="535">
        <f t="shared" si="190"/>
        <v>83.709201333333326</v>
      </c>
      <c r="AL71" s="535">
        <f>(VLOOKUP(Sheet1!DC69,hhdcap_wcm,4)-(((VLOOKUP(Sheet1!DC69,hhdcap_wcm,3)-Sheet1!DC69)/(VLOOKUP(Sheet1!DC69,hhdcap_wcm,3)-VLOOKUP(Sheet1!DC69,hhdcap_wcm,1)))*(VLOOKUP(Sheet1!DC69,hhdcap_wcm,4)-VLOOKUP(Sheet1!DC69,hhdcap_wcm,2))))</f>
        <v>2571.3000000063075</v>
      </c>
      <c r="AM71" s="535">
        <f t="shared" si="191"/>
        <v>180.90000000049577</v>
      </c>
      <c r="AN71" s="1035">
        <f t="shared" si="192"/>
        <v>756.08210692998307</v>
      </c>
      <c r="AO71" s="535">
        <f t="shared" si="193"/>
        <v>2319.6599040611882</v>
      </c>
      <c r="AP71" s="535">
        <f>Sheet1!BA69+Sheet1!BB69+Sheet1!BN69+CD71</f>
        <v>19.399999999999999</v>
      </c>
      <c r="AQ71" s="535">
        <f>Sheet1!BN69+(DO71*Sheet1!BN69)</f>
        <v>19.270666666666667</v>
      </c>
      <c r="AR71" s="535">
        <f>Sheet1!BA69+CD71</f>
        <v>0</v>
      </c>
      <c r="AS71" s="535">
        <f>Sheet1!BA69+Sheet1!BB69+CD71</f>
        <v>0</v>
      </c>
      <c r="AT71" s="649">
        <f>0</f>
        <v>0</v>
      </c>
      <c r="AU71" s="535">
        <f>IF(EB71&lt;K71,0,MAX(Sheet1!AA69+AQ71-15/36*K71-N71,Sheet1!EH69,0))</f>
        <v>0</v>
      </c>
      <c r="AV71" s="535">
        <f>IF(OR(B71&gt;=GD71,B71&lt;GC71),0,15/36*K71-MAX(0,64.6-(137.6-(Sheet1!AA69+Sheet1!AB69))))</f>
        <v>26.933333333333334</v>
      </c>
      <c r="AW71" s="1029"/>
      <c r="AX71" s="649"/>
      <c r="AY71" s="649">
        <f t="shared" si="101"/>
        <v>0</v>
      </c>
      <c r="AZ71" s="649">
        <f t="shared" si="102"/>
        <v>0</v>
      </c>
      <c r="BA71" s="1059">
        <f t="shared" si="103"/>
        <v>0</v>
      </c>
      <c r="BB71" s="1019">
        <f t="shared" si="194"/>
        <v>377.06666666666666</v>
      </c>
      <c r="BC71" s="1041">
        <f t="shared" si="104"/>
        <v>26.933333333333334</v>
      </c>
      <c r="BD71" s="1019">
        <f ca="1">IF(B71&gt;Summary!$A$1,#N/A,BB71*MGtoAF)</f>
        <v>1156.8405333333333</v>
      </c>
      <c r="BE71" s="535">
        <f>Sheet1!BG69+Sheet1!BH69+Sheet1!BI69-BM71</f>
        <v>1.07</v>
      </c>
      <c r="BF71" s="535">
        <f t="shared" si="195"/>
        <v>1.0628666666666668</v>
      </c>
      <c r="BG71" s="535">
        <f>IF(Sheet1!EP69="FM",BM71,0)</f>
        <v>0</v>
      </c>
      <c r="BH71" s="535">
        <f t="shared" si="196"/>
        <v>0</v>
      </c>
      <c r="BI71" s="535">
        <f>IF(Sheet1!EP69="OTHER",BM71,0)</f>
        <v>0</v>
      </c>
      <c r="BJ71" s="535">
        <f t="shared" si="197"/>
        <v>0</v>
      </c>
      <c r="BK71" s="535">
        <f t="shared" si="198"/>
        <v>1.07</v>
      </c>
      <c r="BL71" s="535">
        <f t="shared" si="199"/>
        <v>1.0628666666666668</v>
      </c>
      <c r="BM71" s="535">
        <f>IF(OR(Sheet1!EP69="FM", Sheet1!EP69="OTHER"),SUM(Sheet1!BG69:'Sheet1'!BI69),0)</f>
        <v>0</v>
      </c>
      <c r="BN71" s="521">
        <f>IF(AND($B71&gt;=$FV71,$B71&lt;=$FW71),MAX(BF71,Sheet1!EI69,0),MAX(BF71-(7/36)*$K71,0))</f>
        <v>0</v>
      </c>
      <c r="BO71" s="535">
        <f t="shared" si="200"/>
        <v>11.506022222222223</v>
      </c>
      <c r="BP71" s="521">
        <f t="shared" si="201"/>
        <v>1.0628666666666668</v>
      </c>
      <c r="BQ71" s="521">
        <f>IF(AND($O71&gt;0,Sheet1!EM69=1),(1-($O71-Sheet1!$L69)/$O71)*BL71,0)</f>
        <v>0</v>
      </c>
      <c r="BR71" s="521">
        <f>IF(AND(Sheet1!$L69=0,Sheet1!$L68=0, Calculation!BK71&lt;Sheet1!$EI69-0.1,Sheet1!$EI69=Sheet1!$EI68,Sheet1!$EI69=Sheet1!$EI70),BL71-BQ71,BL71-BQ71)</f>
        <v>1.0628666666666668</v>
      </c>
      <c r="BS71" s="1035" t="str">
        <f t="shared" si="105"/>
        <v/>
      </c>
      <c r="BT71" s="1035">
        <f t="shared" si="106"/>
        <v>12.568888888888889</v>
      </c>
      <c r="BU71" s="535">
        <f t="shared" si="202"/>
        <v>162.060422467481</v>
      </c>
      <c r="BV71" s="535"/>
      <c r="BW71" s="535">
        <f ca="1">IF(B71&gt;Summary!$A$1,#N/A,BU71*MGtoAF)</f>
        <v>497.20137613023172</v>
      </c>
      <c r="BX71" s="535">
        <f>Sheet1!BC69+Sheet1!BD69+Sheet1!BE69+Sheet1!BF69-CG71-CH71</f>
        <v>3.01</v>
      </c>
      <c r="BY71" s="535">
        <f t="shared" si="203"/>
        <v>2.9899333333333331</v>
      </c>
      <c r="BZ71" s="535">
        <f>IF(Sheet1!EQ69="FM",CH71,0)</f>
        <v>0</v>
      </c>
      <c r="CA71" s="535">
        <f t="shared" si="204"/>
        <v>0</v>
      </c>
      <c r="CB71" s="535">
        <f>IF(Sheet1!EQ69="OTHER",CH71,0)</f>
        <v>0</v>
      </c>
      <c r="CC71" s="535">
        <f t="shared" si="205"/>
        <v>0</v>
      </c>
      <c r="CD71" s="535">
        <f t="shared" si="206"/>
        <v>0</v>
      </c>
      <c r="CE71" s="535">
        <f t="shared" si="207"/>
        <v>3.01</v>
      </c>
      <c r="CF71" s="535">
        <f t="shared" si="208"/>
        <v>2.9899333333333331</v>
      </c>
      <c r="CG71" s="535">
        <f>IF(Sheet1!EQ69="CWA",SUM(Sheet1!BC69:'Sheet1'!BF69),0)</f>
        <v>0</v>
      </c>
      <c r="CH71" s="535">
        <f>IF(OR(Sheet1!EQ69="FM", Sheet1!EQ69="OTHER"),SUM(Sheet1!BC69:'Sheet1'!BF69),0)</f>
        <v>0</v>
      </c>
      <c r="CI71" s="521">
        <f>IF(AND($B71&gt;=$FV71,$B71&lt;=$FW71),MAX(CF71,Sheet1!EJ69,0),MAX(CF71-(7/36)*$K71,0))</f>
        <v>0</v>
      </c>
      <c r="CJ71" s="535">
        <f t="shared" si="209"/>
        <v>9.5789555555555559</v>
      </c>
      <c r="CK71" s="521">
        <f t="shared" si="210"/>
        <v>2.9899333333333331</v>
      </c>
      <c r="CL71" s="521">
        <f>IF(AND($O71&gt;0,Sheet1!EN69=1),(1-($O71-Sheet1!$L69)/$O71)*CF71,0)</f>
        <v>0</v>
      </c>
      <c r="CM71" s="521">
        <f>IF(AND(Sheet1!$L69=0,Sheet1!$L68=0, Calculation!CE71&lt;Sheet1!EJ69-0.1,Sheet1!EJ69=Sheet1!EJ68,Sheet1!EJ69=Sheet1!EJ70),CF71-CL71,CF71-CL71)</f>
        <v>2.9899333333333331</v>
      </c>
      <c r="CN71" s="1040" t="str">
        <f t="shared" si="107"/>
        <v/>
      </c>
      <c r="CO71" s="1035">
        <f t="shared" si="108"/>
        <v>12.568888888888889</v>
      </c>
      <c r="CP71" s="535">
        <f t="shared" si="211"/>
        <v>132.68683325971844</v>
      </c>
      <c r="CQ71" s="535"/>
      <c r="CR71" s="535">
        <f ca="1">IF(B71&gt;Summary!$A$1,#N/A,CP71*MGtoAF)</f>
        <v>407.08320444081619</v>
      </c>
      <c r="CS71" s="535">
        <f>Sheet1!BK69+Sheet1!BL69+Sheet1!BM69-Sheet1!ER69-DA71</f>
        <v>6.52</v>
      </c>
      <c r="CT71" s="535">
        <f t="shared" si="212"/>
        <v>6.4765333333333333</v>
      </c>
      <c r="CU71" s="535">
        <f>IF(Sheet1!ER69="FM",DA71,0)</f>
        <v>0</v>
      </c>
      <c r="CV71" s="535">
        <f t="shared" si="213"/>
        <v>0</v>
      </c>
      <c r="CW71" s="535">
        <f>IF(Sheet1!ER69="OTHER",DA71,0)</f>
        <v>0</v>
      </c>
      <c r="CX71" s="535">
        <f t="shared" si="214"/>
        <v>0</v>
      </c>
      <c r="CY71" s="535">
        <f t="shared" si="215"/>
        <v>6.52</v>
      </c>
      <c r="CZ71" s="535">
        <f t="shared" si="216"/>
        <v>6.4765333333333333</v>
      </c>
      <c r="DA71" s="535">
        <f>IF(OR(Sheet1!ER69="FM", Sheet1!ER69="OTHER"),SUM(Sheet1!BK69:'Sheet1'!BM69),0)</f>
        <v>0</v>
      </c>
      <c r="DB71" s="1011">
        <f>IF(AND($B71&gt;=$FV71,$B71&lt;=$FW71),MAX($CT71,Sheet1!EK69,0),MAX($CT71-(7/36)*$K71,0))</f>
        <v>0</v>
      </c>
      <c r="DC71" s="1012">
        <f t="shared" si="217"/>
        <v>6.0923555555555557</v>
      </c>
      <c r="DD71" s="1011">
        <f t="shared" si="218"/>
        <v>6.4765333333333333</v>
      </c>
      <c r="DE71" s="521">
        <f>IF(AND($O71&gt;0,Sheet1!EO69=1),(1-($O71-Sheet1!$L69)/$O71)*CZ71,0)</f>
        <v>0</v>
      </c>
      <c r="DF71" s="521">
        <f>IF(AND(Sheet1!$L69=0,Sheet1!$L68=0, Calculation!CY71&lt;Sheet1!$EK69-0.1,Sheet1!$EK69=Sheet1!$EK68,Sheet1!$EK69=Sheet1!$EK70),CZ71-DE71,CZ71-DE71)</f>
        <v>6.4765333333333333</v>
      </c>
      <c r="DG71" s="1040">
        <f t="shared" si="109"/>
        <v>12.568888888888889</v>
      </c>
      <c r="DH71" s="649">
        <f t="shared" si="219"/>
        <v>10.6</v>
      </c>
      <c r="DI71" s="535">
        <f t="shared" si="220"/>
        <v>84.268184536116948</v>
      </c>
      <c r="DJ71" s="649">
        <f t="shared" si="221"/>
        <v>10.529333333333334</v>
      </c>
      <c r="DK71" s="535">
        <f ca="1">IF(B71&gt;Summary!$A$1,#N/A,DI71*MGtoAF)</f>
        <v>258.53479015680682</v>
      </c>
      <c r="DL71" s="649">
        <f t="shared" si="222"/>
        <v>10.6</v>
      </c>
      <c r="DM71" s="535">
        <f t="shared" si="223"/>
        <v>30</v>
      </c>
      <c r="DN71" s="535">
        <f>Sheet1!AB69-DM71</f>
        <v>-0.19999999999999929</v>
      </c>
      <c r="DO71" s="743">
        <f t="shared" si="224"/>
        <v>-6.6666666666666428E-3</v>
      </c>
      <c r="DP71" s="535">
        <f>(VLOOKUP(Sheet1!DC69,hhdcap_wcm,4)-(((VLOOKUP(Sheet1!DC69,hhdcap_wcm,3)-Sheet1!DC69)/(VLOOKUP(Sheet1!DC69,hhdcap_wcm,3)-VLOOKUP(Sheet1!DC69,hhdcap_wcm,1)))*(VLOOKUP(Sheet1!DC69,hhdcap_wcm,4)-VLOOKUP(Sheet1!DC69,hhdcap_wcm,2))))</f>
        <v>2571.3000000063075</v>
      </c>
      <c r="DQ71" s="535">
        <f t="shared" si="225"/>
        <v>180.90000000049577</v>
      </c>
      <c r="DR71" s="535">
        <f t="shared" si="226"/>
        <v>91.225416036558613</v>
      </c>
      <c r="DS71" s="535">
        <f>Sheet1!EA69*AFtoMG</f>
        <v>0</v>
      </c>
      <c r="DT71" s="535">
        <f>Sheet1!EB69*AFtoMG</f>
        <v>0</v>
      </c>
      <c r="DU71" s="535">
        <f>Sheet1!EC69*AFtoMG</f>
        <v>0</v>
      </c>
      <c r="DV71" s="535">
        <f>Sheet1!ED69*AFtoMG</f>
        <v>0</v>
      </c>
      <c r="DW71" s="535">
        <f t="shared" si="227"/>
        <v>0</v>
      </c>
      <c r="DX71" s="535">
        <f t="shared" si="228"/>
        <v>0</v>
      </c>
      <c r="DY71" s="535">
        <f t="shared" si="229"/>
        <v>756.08210692998307</v>
      </c>
      <c r="DZ71" s="535">
        <f t="shared" si="230"/>
        <v>2319.6599040611882</v>
      </c>
      <c r="EA71" s="535"/>
      <c r="EB71" s="521">
        <f>IF(OR(B71&lt;FV71,B71&gt;FW71),(MIN(BF71+BY71+CT71+MAX(Sheet1!AA69+AQ71-73,0),K71)),0)</f>
        <v>10.529333333333334</v>
      </c>
      <c r="EC71" s="535"/>
      <c r="ED71" s="535">
        <f t="shared" si="231"/>
        <v>10.529333333333334</v>
      </c>
      <c r="EE71" s="535"/>
      <c r="EF71" s="535">
        <f>Sheet1!EH69+Sheet1!EI69+Sheet1!EJ69+Sheet1!EK69</f>
        <v>10.5</v>
      </c>
      <c r="EG71" s="1019">
        <f t="shared" si="110"/>
        <v>16.243500000000001</v>
      </c>
      <c r="EH71" s="521">
        <f t="shared" si="232"/>
        <v>0</v>
      </c>
      <c r="EI71" s="535">
        <f>IF(Sheet1!ET69=1,SUM('Calculations II'!AT71:BA71)+'Calculations II'!BC71+Sheet1!BV69+'Calculations II'!BE71+AP71,'Calculations II'!BK71)</f>
        <v>44.560854666666664</v>
      </c>
      <c r="EJ71" s="535">
        <f ca="1">EI71+'Calculations II'!D71+'Calculations II'!E71+'Calculations II'!O71</f>
        <v>43.700208053890798</v>
      </c>
      <c r="EK71" s="535"/>
      <c r="EL71" s="535"/>
      <c r="EM71" s="535">
        <f t="shared" si="233"/>
        <v>42795</v>
      </c>
      <c r="EN71" s="535">
        <f t="shared" si="234"/>
        <v>54.110666666666667</v>
      </c>
      <c r="EO71" s="535">
        <f t="shared" si="235"/>
        <v>83.709201333333326</v>
      </c>
      <c r="EP71" s="535">
        <v>0</v>
      </c>
      <c r="EQ71" s="535">
        <v>0</v>
      </c>
      <c r="ER71" s="535">
        <v>0</v>
      </c>
      <c r="ES71" s="521">
        <f t="shared" si="71"/>
        <v>0.1384847748410441</v>
      </c>
      <c r="ET71" s="535">
        <f>-(VLOOKUP(Sheet1!BQ69,Lookup!$O$4:$Q$262,2)-VLOOKUP(Sheet1!BQ68,Lookup!$O$4:$Q$262,2))/1000000</f>
        <v>0</v>
      </c>
      <c r="EU71" s="535">
        <f>-(VLOOKUP(Sheet1!BR69,Lookup!$O$4:$Q$262,3)-VLOOKUP(Sheet1!BR68,Lookup!$O$4:$Q$262,3))/1000000</f>
        <v>0.1384847748410441</v>
      </c>
      <c r="EV71" s="535"/>
      <c r="EW71" s="535"/>
      <c r="EX71" s="535"/>
      <c r="EY71" s="535"/>
      <c r="EZ71" s="535"/>
      <c r="FA71" s="535"/>
      <c r="FB71" s="535"/>
      <c r="FC71" s="535"/>
      <c r="FD71" s="567" t="e">
        <f t="shared" si="236"/>
        <v>#N/A</v>
      </c>
      <c r="FE71" s="567" t="e">
        <f t="shared" si="237"/>
        <v>#N/A</v>
      </c>
      <c r="FF71" s="568" t="e">
        <f t="shared" si="238"/>
        <v>#N/A</v>
      </c>
      <c r="FG71" s="569" t="s">
        <v>656</v>
      </c>
      <c r="FH71" s="569" t="s">
        <v>656</v>
      </c>
      <c r="FI71" s="567" t="e">
        <v>#N/A</v>
      </c>
      <c r="FJ71" s="567" t="e">
        <v>#N/A</v>
      </c>
      <c r="FK71" s="535"/>
      <c r="FL71" s="1015">
        <v>0</v>
      </c>
      <c r="FM71" s="535"/>
      <c r="FN71" s="535"/>
      <c r="FO71" s="535">
        <f>O71+((Sheet1!CS69)*GPMtoMGD)</f>
        <v>55.5</v>
      </c>
      <c r="FP71" s="535">
        <f>IF(Sheet1!AA69+AQ71&lt;=Calculation!N71,AQ71,Calculation!N71-Sheet1!AA69)</f>
        <v>19.270666666666667</v>
      </c>
      <c r="FQ71" s="535">
        <f>(Sheet1!BP69+Sheet1!BO69)/694.4</f>
        <v>1.3620391705069124</v>
      </c>
      <c r="FR71" s="541"/>
      <c r="FS71" s="541"/>
      <c r="FT71" s="541"/>
      <c r="FU71" s="541"/>
      <c r="FV71" s="1109">
        <f t="shared" si="74"/>
        <v>42918</v>
      </c>
      <c r="FW71" s="1109">
        <f t="shared" si="75"/>
        <v>43027</v>
      </c>
      <c r="FX71" s="541"/>
      <c r="FY71" s="541">
        <f>Sheet1!DA69-Sheet1!CZ69-Sheet1!AE69</f>
        <v>645.14149999999995</v>
      </c>
      <c r="FZ71" s="535">
        <f t="shared" si="111"/>
        <v>0.83760089782518732</v>
      </c>
      <c r="GA71" s="535"/>
      <c r="GB71" s="535" t="str">
        <f t="shared" si="76"/>
        <v>n</v>
      </c>
      <c r="GC71" s="539">
        <f t="shared" si="77"/>
        <v>42782</v>
      </c>
      <c r="GD71" s="1109">
        <f t="shared" si="78"/>
        <v>42904</v>
      </c>
      <c r="GE71" s="535">
        <f t="shared" si="95"/>
        <v>6520</v>
      </c>
      <c r="GF71" s="1109">
        <f t="shared" si="79"/>
        <v>42909</v>
      </c>
      <c r="GG71" s="535">
        <f t="shared" si="174"/>
        <v>3260</v>
      </c>
      <c r="GH71" s="539">
        <f t="shared" si="80"/>
        <v>43040</v>
      </c>
      <c r="GJ71" s="521">
        <f t="shared" si="81"/>
        <v>0</v>
      </c>
      <c r="GK71" s="535" t="str">
        <f t="shared" si="239"/>
        <v/>
      </c>
      <c r="GL71" s="535">
        <f t="shared" si="82"/>
        <v>0</v>
      </c>
      <c r="GM71" s="535" t="str">
        <f t="shared" si="83"/>
        <v/>
      </c>
      <c r="GN71" s="535">
        <f>IF(GK71="P",Lookup!$M$12,IF(GK71="PP",Lookup!$M$13,IF(GK71="PPP",Lookup!$M$14,IF(GK71="T",Lookup!$M$15,IF(GK71="TP",Lookup!$M$16,IF(GK71="TPP",Lookup!$M$17,IF(GK71="TPPP",Lookup!$M$18,0)))))))*GJ71</f>
        <v>0</v>
      </c>
      <c r="GO71" s="535">
        <f t="shared" si="84"/>
        <v>0</v>
      </c>
      <c r="GP71" s="535">
        <f t="shared" si="240"/>
        <v>1156.8405333333333</v>
      </c>
      <c r="GQ71" s="535">
        <f t="shared" si="94"/>
        <v>377.06666666666666</v>
      </c>
      <c r="GR71" s="535"/>
      <c r="GS71" s="535">
        <f t="shared" si="85"/>
        <v>0</v>
      </c>
      <c r="GT71" s="535" t="str">
        <f t="shared" si="86"/>
        <v/>
      </c>
      <c r="GU71" s="535">
        <f>IF(GK71="P",Lookup!$N$12,IF(GK71="PP",Lookup!$N$13,IF(GK71="PPP",Lookup!$N$14,IF(GK71="T",Lookup!$N$15,IF(GK71="TP",Lookup!$N$16,IF(GK71="TPP",Lookup!$N$17,IF(GK71="TPPP",Lookup!$N$18,0)))))))*GJ71</f>
        <v>0</v>
      </c>
      <c r="GV71" s="535">
        <f t="shared" si="53"/>
        <v>0</v>
      </c>
      <c r="GW71" s="535">
        <f t="shared" si="241"/>
        <v>497.20137613023172</v>
      </c>
      <c r="GX71" s="535">
        <f t="shared" si="91"/>
        <v>162.060422467481</v>
      </c>
      <c r="GY71" s="535"/>
      <c r="GZ71" s="535">
        <f t="shared" si="87"/>
        <v>0</v>
      </c>
      <c r="HA71" s="535" t="str">
        <f t="shared" si="88"/>
        <v/>
      </c>
      <c r="HB71" s="535">
        <f>IF(GK71="P",Lookup!$N$12,IF(GK71="PP",Lookup!$N$13,IF(GK71="PPP",Lookup!$N$14,IF(GK71="T",Lookup!$N$15,IF(GK71="TP",Lookup!$N$16,IF(GK71="TPP",Lookup!$N$17,IF(GK71="TPPP",Lookup!$N$18,0)))))))*GJ71</f>
        <v>0</v>
      </c>
      <c r="HC71" s="521">
        <f t="shared" si="242"/>
        <v>0</v>
      </c>
      <c r="HD71" s="535">
        <f t="shared" si="243"/>
        <v>407.08320444081619</v>
      </c>
      <c r="HE71" s="535">
        <f t="shared" si="92"/>
        <v>132.68683325971844</v>
      </c>
      <c r="HF71" s="535"/>
      <c r="HG71" s="535">
        <f t="shared" si="89"/>
        <v>0</v>
      </c>
      <c r="HH71" s="535" t="str">
        <f t="shared" si="90"/>
        <v/>
      </c>
      <c r="HI71" s="535">
        <f>IF(GK71="P",Lookup!$N$12,IF(GK71="PP",Lookup!$N$13,IF(GK71="PPP",Lookup!$N$14,IF(GK71="T",Lookup!$N$15,IF(GK71="TP",Lookup!$N$16,IF(GK71="TPP",Lookup!$N$17,IF(GK71="TPPP",Lookup!$N$18,0)))))))*GJ71</f>
        <v>0</v>
      </c>
      <c r="HJ71" s="521">
        <f t="shared" si="244"/>
        <v>0</v>
      </c>
      <c r="HK71" s="535">
        <f t="shared" si="245"/>
        <v>258.53479015680682</v>
      </c>
      <c r="HL71" s="535">
        <f t="shared" si="93"/>
        <v>84.268184536116948</v>
      </c>
      <c r="HM71" s="535"/>
      <c r="HN71" s="541"/>
      <c r="HO71" s="541"/>
      <c r="HP71" s="541"/>
      <c r="HQ71" s="541">
        <f>IF(AND(B71&gt;=$FV$4,B71&lt;=$FW$4),MAX(110/1.02+$HQ$6+MIN(113/1.02,G71),IF($HV$6-(Sheet1!DA69-Sheet1!DB69)+MIN(113/1.02,G71)&lt;G71+FL71,$HV$6-(Sheet1!DA69-Sheet1!DB69)+MIN(113/1.02,G71),G71+FL71)),MIN(110/1.02+$HQ$6+113/1.02,G71))</f>
        <v>218.62745098039215</v>
      </c>
      <c r="HR71" s="541">
        <f t="shared" si="112"/>
        <v>223</v>
      </c>
      <c r="HS71" s="541">
        <f>HR71+(Sheet1!DA69-Sheet1!DB69)</f>
        <v>1020</v>
      </c>
      <c r="HT71" s="541">
        <f t="shared" si="113"/>
        <v>69.460299999999989</v>
      </c>
      <c r="HU71" s="541">
        <f t="shared" si="114"/>
        <v>950.53970000000004</v>
      </c>
      <c r="HV71" s="541">
        <f t="shared" si="115"/>
        <v>0</v>
      </c>
      <c r="HW71" s="533" t="str">
        <f t="shared" si="116"/>
        <v/>
      </c>
      <c r="HX71" s="541">
        <f t="shared" si="117"/>
        <v>460.37254901960785</v>
      </c>
      <c r="HY71" s="541">
        <f>Sheet1!CZ69</f>
        <v>679</v>
      </c>
      <c r="HZ71" s="541">
        <f t="shared" si="118"/>
        <v>0</v>
      </c>
      <c r="IA71" s="541">
        <f t="shared" si="119"/>
        <v>69.460299999999989</v>
      </c>
      <c r="IB71" s="541">
        <f t="shared" si="120"/>
        <v>679</v>
      </c>
      <c r="IC71" s="1019" t="str">
        <f t="shared" si="121"/>
        <v/>
      </c>
      <c r="ID71" s="541">
        <f t="shared" si="122"/>
        <v>609.53970000000004</v>
      </c>
      <c r="IE71" s="541">
        <f>Sheet1!DB69</f>
        <v>613</v>
      </c>
      <c r="IF71" s="533">
        <f>Sheet1!DA69</f>
        <v>1410</v>
      </c>
      <c r="IH71" s="541">
        <f>IF(AND($B71&gt;=$GC71,$B71&lt;=$GH71,$DR71&lt;0)+N("only adjusted when pool is drawn down during storage season"),Sheet1!$DB69+$DR71+N("Palmer minus all storage release"),Sheet1!$DB69)</f>
        <v>613</v>
      </c>
      <c r="II71" s="541">
        <f>IF(AND($B71&gt;=$GC71,$B71&lt;=$GH71,$DR71&lt;0)+N("only adjusted when pool is drawn down during storage season"),Sheet1!$DA69+$DR71+N("Auburn minus all storage release"),Sheet1!$DA69)</f>
        <v>1410</v>
      </c>
    </row>
    <row r="72" spans="1:281" s="648" customFormat="1" x14ac:dyDescent="0.25">
      <c r="A72" s="553" t="s">
        <v>7</v>
      </c>
      <c r="B72" s="531">
        <v>42796</v>
      </c>
      <c r="C72" s="536">
        <v>0</v>
      </c>
      <c r="D72" s="506">
        <f>IF(AND(B72&gt;=DATE($A$1,7,15),B72&lt;=DATE($A$1,9,15)),200,300)</f>
        <v>300</v>
      </c>
      <c r="E72" s="506">
        <f>IF(AND(B72&gt;=DATE($A$1,7,15),B72&lt;=DATE($A$1,9,15)),400,250)</f>
        <v>250</v>
      </c>
      <c r="F72" s="506">
        <v>250</v>
      </c>
      <c r="G72" s="535">
        <f>DR72+Sheet1!CZ70</f>
        <v>771.45890065587719</v>
      </c>
      <c r="H72" s="1074">
        <f t="shared" si="246"/>
        <v>237.63014975999999</v>
      </c>
      <c r="I72" s="534">
        <f>IF(Sheet1!DA70&gt;=E72,(Sheet1!DA70-E72+P72)*CFStoMGD,0)</f>
        <v>752.81094975999986</v>
      </c>
      <c r="J72" s="995">
        <f>IF(Sheet1!DB70&gt;=D72,(Sheet1!DB70-D72+P72)*CFStoMGD,0)</f>
        <v>237.63014975999999</v>
      </c>
      <c r="K72" s="818">
        <f t="shared" si="97"/>
        <v>64.64</v>
      </c>
      <c r="L72" s="535">
        <f>Sheet1!AA70+Sheet1!AB70-Sheet1!L70+(Sheet1!DA70-F72)*CFStoMGD-S72-T72-U72</f>
        <v>688.17200000000003</v>
      </c>
      <c r="M72" s="535">
        <f t="shared" si="185"/>
        <v>508.64445405163821</v>
      </c>
      <c r="N72" s="824">
        <f>IF(Sheet1!DA70&gt;=F72,MIN(113*CFStoMGD,MIN(MAX(L72,0),MAX(M72,0))),0)</f>
        <v>73.043199999999999</v>
      </c>
      <c r="O72" s="538">
        <f>Sheet1!AA70+Sheet1!AB70</f>
        <v>54.7</v>
      </c>
      <c r="P72" s="538">
        <f t="shared" si="186"/>
        <v>84.620899999999992</v>
      </c>
      <c r="Q72" s="812">
        <f t="shared" si="98"/>
        <v>44.080000000000005</v>
      </c>
      <c r="R72" s="812">
        <f t="shared" si="59"/>
        <v>10.539766483516484</v>
      </c>
      <c r="S72" s="812">
        <f t="shared" si="60"/>
        <v>10.62</v>
      </c>
      <c r="T72" s="812">
        <f t="shared" si="61"/>
        <v>54.02</v>
      </c>
      <c r="U72" s="812">
        <f t="shared" si="99"/>
        <v>0</v>
      </c>
      <c r="V72" s="812"/>
      <c r="W72" s="812">
        <f t="shared" si="62"/>
        <v>54.100233516483513</v>
      </c>
      <c r="X72" s="812">
        <f t="shared" si="63"/>
        <v>64.64</v>
      </c>
      <c r="Y72" s="812" t="str">
        <f t="shared" si="64"/>
        <v>FALSE</v>
      </c>
      <c r="Z72" s="812">
        <f t="shared" si="65"/>
        <v>54.7</v>
      </c>
      <c r="AA72" s="812">
        <f t="shared" si="66"/>
        <v>54.7</v>
      </c>
      <c r="AB72" s="1059">
        <f t="shared" si="100"/>
        <v>68.191760000000002</v>
      </c>
      <c r="AC72" s="538">
        <f>Sheet1!Y70*MGDtoCFS</f>
        <v>39.757899999999999</v>
      </c>
      <c r="AD72" s="538">
        <f>Sheet1!Z70*MGDtoCFS</f>
        <v>46.1006</v>
      </c>
      <c r="AE72" s="538">
        <f>Sheet1!AA70*MGDtoCFS</f>
        <v>39.912599999999998</v>
      </c>
      <c r="AF72" s="538">
        <f>Sheet1!AB70*MGDtoCFS</f>
        <v>44.708299999999994</v>
      </c>
      <c r="AG72" s="538">
        <f>Sheet1!L70*MGDtoCFS</f>
        <v>0</v>
      </c>
      <c r="AH72" s="521">
        <f t="shared" si="187"/>
        <v>0</v>
      </c>
      <c r="AI72" s="1059">
        <f t="shared" si="188"/>
        <v>0</v>
      </c>
      <c r="AJ72" s="535">
        <f t="shared" si="189"/>
        <v>54.100233516483513</v>
      </c>
      <c r="AK72" s="535">
        <f t="shared" si="190"/>
        <v>83.693061249999985</v>
      </c>
      <c r="AL72" s="535">
        <f>(VLOOKUP(Sheet1!DC70,hhdcap_wcm,4)-(((VLOOKUP(Sheet1!DC70,hhdcap_wcm,3)-Sheet1!DC70)/(VLOOKUP(Sheet1!DC70,hhdcap_wcm,3)-VLOOKUP(Sheet1!DC70,hhdcap_wcm,1)))*(VLOOKUP(Sheet1!DC70,hhdcap_wcm,4)-VLOOKUP(Sheet1!DC70,hhdcap_wcm,2))))</f>
        <v>2830.0000000069122</v>
      </c>
      <c r="AM72" s="535">
        <f t="shared" si="191"/>
        <v>258.70000000060463</v>
      </c>
      <c r="AN72" s="1035">
        <f t="shared" si="192"/>
        <v>810.18234044646658</v>
      </c>
      <c r="AO72" s="535">
        <f t="shared" si="193"/>
        <v>2485.6394204897597</v>
      </c>
      <c r="AP72" s="535">
        <f>Sheet1!BA70+Sheet1!BB70+Sheet1!BN70+CD72</f>
        <v>18.5</v>
      </c>
      <c r="AQ72" s="535">
        <f>Sheet1!BN70+(DO72*Sheet1!BN70)</f>
        <v>18.360233516483518</v>
      </c>
      <c r="AR72" s="535">
        <f>Sheet1!BA70+CD72</f>
        <v>0</v>
      </c>
      <c r="AS72" s="535">
        <f>Sheet1!BA70+Sheet1!BB70+CD72</f>
        <v>0</v>
      </c>
      <c r="AT72" s="649">
        <f>0</f>
        <v>0</v>
      </c>
      <c r="AU72" s="535">
        <f>IF(EB72&lt;K72,0,MAX(Sheet1!AA70+AQ72-15/36*K72-N72,Sheet1!EH70,0))</f>
        <v>0</v>
      </c>
      <c r="AV72" s="535">
        <f>IF(OR(B72&gt;=GD72,B72&lt;GC72),0,15/36*K72-MAX(0,64.6-(137.6-(Sheet1!AA70+Sheet1!AB70))))</f>
        <v>26.933333333333334</v>
      </c>
      <c r="AW72" s="1029"/>
      <c r="AX72" s="649"/>
      <c r="AY72" s="649">
        <f t="shared" si="101"/>
        <v>0</v>
      </c>
      <c r="AZ72" s="649">
        <f t="shared" si="102"/>
        <v>0</v>
      </c>
      <c r="BA72" s="1059">
        <f t="shared" si="103"/>
        <v>0</v>
      </c>
      <c r="BB72" s="1019">
        <f t="shared" si="194"/>
        <v>404</v>
      </c>
      <c r="BC72" s="1041">
        <f t="shared" si="104"/>
        <v>26.933333333333334</v>
      </c>
      <c r="BD72" s="1019">
        <f ca="1">IF(B72&gt;Summary!$A$1,#N/A,BB72*MGtoAF)</f>
        <v>1239.472</v>
      </c>
      <c r="BE72" s="535">
        <f>Sheet1!BG70+Sheet1!BH70+Sheet1!BI70-BM72</f>
        <v>1.02</v>
      </c>
      <c r="BF72" s="535">
        <f t="shared" si="195"/>
        <v>1.0122939560439561</v>
      </c>
      <c r="BG72" s="535">
        <f>IF(Sheet1!EP70="FM",BM72,0)</f>
        <v>0</v>
      </c>
      <c r="BH72" s="535">
        <f t="shared" si="196"/>
        <v>0</v>
      </c>
      <c r="BI72" s="535">
        <f>IF(Sheet1!EP70="OTHER",BM72,0)</f>
        <v>0</v>
      </c>
      <c r="BJ72" s="535">
        <f t="shared" si="197"/>
        <v>0</v>
      </c>
      <c r="BK72" s="535">
        <f t="shared" si="198"/>
        <v>1.02</v>
      </c>
      <c r="BL72" s="535">
        <f t="shared" si="199"/>
        <v>1.0122939560439561</v>
      </c>
      <c r="BM72" s="535">
        <f>IF(OR(Sheet1!EP70="FM", Sheet1!EP70="OTHER"),SUM(Sheet1!BG70:'Sheet1'!BI70),0)</f>
        <v>0</v>
      </c>
      <c r="BN72" s="521">
        <f>IF(AND($B72&gt;=$FV72,$B72&lt;=$FW72),MAX(BF72,Sheet1!EI70,0),MAX(BF72-(7/36)*$K72,0))</f>
        <v>0</v>
      </c>
      <c r="BO72" s="535">
        <f t="shared" si="200"/>
        <v>11.556594932844932</v>
      </c>
      <c r="BP72" s="521">
        <f t="shared" si="201"/>
        <v>1.0122939560439561</v>
      </c>
      <c r="BQ72" s="521">
        <f>IF(AND($O72&gt;0,Sheet1!EM70=1),(1-($O72-Sheet1!$L70)/$O72)*BL72,0)</f>
        <v>0</v>
      </c>
      <c r="BR72" s="521">
        <f>IF(AND(Sheet1!$L70=0,Sheet1!$L69=0, Calculation!BK72&lt;Sheet1!$EI70-0.1,Sheet1!$EI70=Sheet1!$EI69,Sheet1!$EI70=Sheet1!$EI71),BL72-BQ72,BL72-BQ72)</f>
        <v>1.0122939560439561</v>
      </c>
      <c r="BS72" s="1035" t="str">
        <f t="shared" si="105"/>
        <v/>
      </c>
      <c r="BT72" s="1035">
        <f t="shared" si="106"/>
        <v>12.568888888888889</v>
      </c>
      <c r="BU72" s="535">
        <f t="shared" si="202"/>
        <v>173.61701740032595</v>
      </c>
      <c r="BV72" s="535"/>
      <c r="BW72" s="535">
        <f ca="1">IF(B72&gt;Summary!$A$1,#N/A,BU72*MGtoAF)</f>
        <v>532.65700938420002</v>
      </c>
      <c r="BX72" s="535">
        <f>Sheet1!BC70+Sheet1!BD70+Sheet1!BE70+Sheet1!BF70-CG72-CH72</f>
        <v>3</v>
      </c>
      <c r="BY72" s="535">
        <f t="shared" si="203"/>
        <v>2.9773351648351651</v>
      </c>
      <c r="BZ72" s="535">
        <f>IF(Sheet1!EQ70="FM",CH72,0)</f>
        <v>0</v>
      </c>
      <c r="CA72" s="535">
        <f t="shared" si="204"/>
        <v>0</v>
      </c>
      <c r="CB72" s="535">
        <f>IF(Sheet1!EQ70="OTHER",CH72,0)</f>
        <v>0</v>
      </c>
      <c r="CC72" s="535">
        <f t="shared" si="205"/>
        <v>0</v>
      </c>
      <c r="CD72" s="535">
        <f t="shared" si="206"/>
        <v>0</v>
      </c>
      <c r="CE72" s="535">
        <f t="shared" si="207"/>
        <v>3</v>
      </c>
      <c r="CF72" s="535">
        <f t="shared" si="208"/>
        <v>2.9773351648351651</v>
      </c>
      <c r="CG72" s="535">
        <f>IF(Sheet1!EQ70="CWA",SUM(Sheet1!BC70:'Sheet1'!BF70),0)</f>
        <v>0</v>
      </c>
      <c r="CH72" s="535">
        <f>IF(OR(Sheet1!EQ70="FM", Sheet1!EQ70="OTHER"),SUM(Sheet1!BC70:'Sheet1'!BF70),0)</f>
        <v>0</v>
      </c>
      <c r="CI72" s="521">
        <f>IF(AND($B72&gt;=$FV72,$B72&lt;=$FW72),MAX(CF72,Sheet1!EJ70,0),MAX(CF72-(7/36)*$K72,0))</f>
        <v>0</v>
      </c>
      <c r="CJ72" s="535">
        <f t="shared" si="209"/>
        <v>9.5915537240537247</v>
      </c>
      <c r="CK72" s="521">
        <f t="shared" si="210"/>
        <v>2.9773351648351651</v>
      </c>
      <c r="CL72" s="521">
        <f>IF(AND($O72&gt;0,Sheet1!EN70=1),(1-($O72-Sheet1!$L70)/$O72)*CF72,0)</f>
        <v>0</v>
      </c>
      <c r="CM72" s="521">
        <f>IF(AND(Sheet1!$L70=0,Sheet1!$L69=0, Calculation!CE72&lt;Sheet1!EJ70-0.1,Sheet1!EJ70=Sheet1!EJ69,Sheet1!EJ70=Sheet1!EJ71),CF72-CL72,CF72-CL72)</f>
        <v>2.9773351648351651</v>
      </c>
      <c r="CN72" s="1040" t="str">
        <f t="shared" si="107"/>
        <v/>
      </c>
      <c r="CO72" s="1035">
        <f t="shared" si="108"/>
        <v>12.568888888888889</v>
      </c>
      <c r="CP72" s="535">
        <f t="shared" si="211"/>
        <v>142.27838698377218</v>
      </c>
      <c r="CQ72" s="535"/>
      <c r="CR72" s="535">
        <f ca="1">IF(B72&gt;Summary!$A$1,#N/A,CP72*MGtoAF)</f>
        <v>436.51009126621307</v>
      </c>
      <c r="CS72" s="535">
        <f>Sheet1!BK70+Sheet1!BL70+Sheet1!BM70-Sheet1!ER70-DA72</f>
        <v>6.6</v>
      </c>
      <c r="CT72" s="535">
        <f t="shared" si="212"/>
        <v>6.5501373626373622</v>
      </c>
      <c r="CU72" s="535">
        <f>IF(Sheet1!ER70="FM",DA72,0)</f>
        <v>0</v>
      </c>
      <c r="CV72" s="535">
        <f t="shared" si="213"/>
        <v>0</v>
      </c>
      <c r="CW72" s="535">
        <f>IF(Sheet1!ER70="OTHER",DA72,0)</f>
        <v>0</v>
      </c>
      <c r="CX72" s="535">
        <f t="shared" si="214"/>
        <v>0</v>
      </c>
      <c r="CY72" s="535">
        <f t="shared" si="215"/>
        <v>6.6</v>
      </c>
      <c r="CZ72" s="535">
        <f t="shared" si="216"/>
        <v>6.5501373626373622</v>
      </c>
      <c r="DA72" s="535">
        <f>IF(OR(Sheet1!ER70="FM", Sheet1!ER70="OTHER"),SUM(Sheet1!BK70:'Sheet1'!BM70),0)</f>
        <v>0</v>
      </c>
      <c r="DB72" s="1011">
        <f>IF(AND($B72&gt;=$FV72,$B72&lt;=$FW72),MAX($CT72,Sheet1!EK70,0),MAX($CT72-(7/36)*$K72,0))</f>
        <v>0</v>
      </c>
      <c r="DC72" s="1012">
        <f t="shared" si="217"/>
        <v>6.0187515262515268</v>
      </c>
      <c r="DD72" s="1011">
        <f t="shared" si="218"/>
        <v>6.5501373626373622</v>
      </c>
      <c r="DE72" s="521">
        <f>IF(AND($O72&gt;0,Sheet1!EO70=1),(1-($O72-Sheet1!$L70)/$O72)*CZ72,0)</f>
        <v>0</v>
      </c>
      <c r="DF72" s="521">
        <f>IF(AND(Sheet1!$L70=0,Sheet1!$L69=0, Calculation!CY72&lt;Sheet1!$EK70-0.1,Sheet1!$EK70=Sheet1!$EK69,Sheet1!$EK70=Sheet1!$EK71),CZ72-DE72,CZ72-DE72)</f>
        <v>6.5501373626373622</v>
      </c>
      <c r="DG72" s="1040">
        <f t="shared" si="109"/>
        <v>12.568888888888889</v>
      </c>
      <c r="DH72" s="649">
        <f t="shared" si="219"/>
        <v>10.62</v>
      </c>
      <c r="DI72" s="535">
        <f t="shared" si="220"/>
        <v>90.286936062368468</v>
      </c>
      <c r="DJ72" s="649">
        <f t="shared" si="221"/>
        <v>10.539766483516484</v>
      </c>
      <c r="DK72" s="535">
        <f ca="1">IF(B72&gt;Summary!$A$1,#N/A,DI72*MGtoAF)</f>
        <v>277.00031983934645</v>
      </c>
      <c r="DL72" s="649">
        <f t="shared" si="222"/>
        <v>10.62</v>
      </c>
      <c r="DM72" s="535">
        <f t="shared" si="223"/>
        <v>29.119999999999997</v>
      </c>
      <c r="DN72" s="535">
        <f>Sheet1!AB70-DM72</f>
        <v>-0.21999999999999886</v>
      </c>
      <c r="DO72" s="743">
        <f t="shared" si="224"/>
        <v>-7.5549450549450168E-3</v>
      </c>
      <c r="DP72" s="535">
        <f>(VLOOKUP(Sheet1!DC70,hhdcap_wcm,4)-(((VLOOKUP(Sheet1!DC70,hhdcap_wcm,3)-Sheet1!DC70)/(VLOOKUP(Sheet1!DC70,hhdcap_wcm,3)-VLOOKUP(Sheet1!DC70,hhdcap_wcm,1)))*(VLOOKUP(Sheet1!DC70,hhdcap_wcm,4)-VLOOKUP(Sheet1!DC70,hhdcap_wcm,2))))</f>
        <v>2830.0000000069122</v>
      </c>
      <c r="DQ72" s="535">
        <f t="shared" si="225"/>
        <v>258.70000000060463</v>
      </c>
      <c r="DR72" s="535">
        <f t="shared" si="226"/>
        <v>130.45890065587724</v>
      </c>
      <c r="DS72" s="535">
        <f>Sheet1!EA70*AFtoMG</f>
        <v>0</v>
      </c>
      <c r="DT72" s="535">
        <f>Sheet1!EB70*AFtoMG</f>
        <v>0</v>
      </c>
      <c r="DU72" s="535">
        <f>Sheet1!EC70*AFtoMG</f>
        <v>0</v>
      </c>
      <c r="DV72" s="535">
        <f>Sheet1!ED70*AFtoMG</f>
        <v>0</v>
      </c>
      <c r="DW72" s="535">
        <f t="shared" si="227"/>
        <v>0</v>
      </c>
      <c r="DX72" s="535">
        <f t="shared" si="228"/>
        <v>0</v>
      </c>
      <c r="DY72" s="535">
        <f t="shared" si="229"/>
        <v>810.18234044646658</v>
      </c>
      <c r="DZ72" s="535">
        <f t="shared" si="230"/>
        <v>2485.6394204897597</v>
      </c>
      <c r="EA72" s="535"/>
      <c r="EB72" s="521">
        <f>IF(OR(B72&lt;FV72,B72&gt;FW72),(MIN(BF72+BY72+CT72+MAX(Sheet1!AA70+AQ72-73,0),K72)),0)</f>
        <v>10.539766483516484</v>
      </c>
      <c r="EC72" s="535"/>
      <c r="ED72" s="535">
        <f t="shared" si="231"/>
        <v>10.539766483516484</v>
      </c>
      <c r="EE72" s="535"/>
      <c r="EF72" s="535">
        <f>Sheet1!EH70+Sheet1!EI70+Sheet1!EJ70+Sheet1!EK70</f>
        <v>10.5</v>
      </c>
      <c r="EG72" s="1019">
        <f t="shared" si="110"/>
        <v>16.243500000000001</v>
      </c>
      <c r="EH72" s="521">
        <f t="shared" si="232"/>
        <v>0</v>
      </c>
      <c r="EI72" s="535">
        <f>IF(Sheet1!ET70=1,SUM('Calculations II'!AT72:BA72)+'Calculations II'!BC72+Sheet1!BV70+'Calculations II'!BE72+AP72,'Calculations II'!BK72)</f>
        <v>42.312239516483515</v>
      </c>
      <c r="EJ72" s="535">
        <f ca="1">EI72+'Calculations II'!D72+'Calculations II'!E72+'Calculations II'!O72</f>
        <v>43.820901562007236</v>
      </c>
      <c r="EK72" s="535"/>
      <c r="EL72" s="535"/>
      <c r="EM72" s="535">
        <f t="shared" si="233"/>
        <v>42796</v>
      </c>
      <c r="EN72" s="535">
        <f t="shared" si="234"/>
        <v>54.100233516483513</v>
      </c>
      <c r="EO72" s="535">
        <f t="shared" si="235"/>
        <v>83.693061249999985</v>
      </c>
      <c r="EP72" s="535">
        <v>0</v>
      </c>
      <c r="EQ72" s="535">
        <v>0</v>
      </c>
      <c r="ER72" s="535">
        <v>0</v>
      </c>
      <c r="ES72" s="521">
        <f t="shared" si="71"/>
        <v>-1.1077756768561118</v>
      </c>
      <c r="ET72" s="535">
        <f>-(VLOOKUP(Sheet1!BQ70,Lookup!$O$4:$Q$262,2)-VLOOKUP(Sheet1!BQ69,Lookup!$O$4:$Q$262,2))/1000000</f>
        <v>-0.5537981268754788</v>
      </c>
      <c r="EU72" s="535">
        <f>-(VLOOKUP(Sheet1!BR70,Lookup!$O$4:$Q$262,3)-VLOOKUP(Sheet1!BR69,Lookup!$O$4:$Q$262,3))/1000000</f>
        <v>-0.55397754998063298</v>
      </c>
      <c r="EV72" s="535"/>
      <c r="EW72" s="535"/>
      <c r="EX72" s="535"/>
      <c r="EY72" s="535"/>
      <c r="EZ72" s="535"/>
      <c r="FA72" s="535"/>
      <c r="FB72" s="535"/>
      <c r="FC72" s="535"/>
      <c r="FD72" s="825" t="e">
        <f t="shared" si="236"/>
        <v>#N/A</v>
      </c>
      <c r="FE72" s="825" t="e">
        <f t="shared" si="237"/>
        <v>#N/A</v>
      </c>
      <c r="FF72" s="568" t="e">
        <f t="shared" si="238"/>
        <v>#N/A</v>
      </c>
      <c r="FG72" s="569" t="s">
        <v>656</v>
      </c>
      <c r="FH72" s="569" t="s">
        <v>656</v>
      </c>
      <c r="FI72" s="825" t="e">
        <v>#N/A</v>
      </c>
      <c r="FJ72" s="825" t="e">
        <v>#N/A</v>
      </c>
      <c r="FK72" s="535"/>
      <c r="FL72" s="1015">
        <v>0</v>
      </c>
      <c r="FM72" s="535"/>
      <c r="FN72" s="535"/>
      <c r="FO72" s="535">
        <f>O72+((Sheet1!CS70)*GPMtoMGD)</f>
        <v>54.7</v>
      </c>
      <c r="FP72" s="535">
        <f>IF(Sheet1!AA70+AQ72&lt;=Calculation!N72,AQ72,Calculation!N72-Sheet1!AA70)</f>
        <v>18.360233516483518</v>
      </c>
      <c r="FQ72" s="535">
        <f>(Sheet1!BP70+Sheet1!BO70)/694.4</f>
        <v>1.3456221198156681</v>
      </c>
      <c r="FR72" s="541"/>
      <c r="FS72" s="541"/>
      <c r="FT72" s="541"/>
      <c r="FU72" s="541"/>
      <c r="FV72" s="1109">
        <f t="shared" si="74"/>
        <v>42918</v>
      </c>
      <c r="FW72" s="1109">
        <f t="shared" si="75"/>
        <v>43027</v>
      </c>
      <c r="FX72" s="541"/>
      <c r="FY72" s="541">
        <f>Sheet1!DA70-Sheet1!CZ70-Sheet1!AE70</f>
        <v>604.37909999999999</v>
      </c>
      <c r="FZ72" s="535">
        <f t="shared" si="111"/>
        <v>0.78342358806952683</v>
      </c>
      <c r="GA72" s="535"/>
      <c r="GB72" s="535" t="str">
        <f t="shared" si="76"/>
        <v>n</v>
      </c>
      <c r="GC72" s="539">
        <f t="shared" si="77"/>
        <v>42782</v>
      </c>
      <c r="GD72" s="1109">
        <f t="shared" si="78"/>
        <v>42904</v>
      </c>
      <c r="GE72" s="535">
        <f t="shared" si="95"/>
        <v>6520</v>
      </c>
      <c r="GF72" s="1109">
        <f t="shared" si="79"/>
        <v>42909</v>
      </c>
      <c r="GG72" s="535">
        <f t="shared" si="174"/>
        <v>3260</v>
      </c>
      <c r="GH72" s="539">
        <f t="shared" si="80"/>
        <v>43040</v>
      </c>
      <c r="GI72" s="540"/>
      <c r="GJ72" s="521">
        <f t="shared" si="81"/>
        <v>0</v>
      </c>
      <c r="GK72" s="535" t="str">
        <f t="shared" si="239"/>
        <v/>
      </c>
      <c r="GL72" s="535">
        <f t="shared" si="82"/>
        <v>0</v>
      </c>
      <c r="GM72" s="535" t="str">
        <f t="shared" si="83"/>
        <v/>
      </c>
      <c r="GN72" s="535">
        <f>IF(GK72="P",Lookup!$M$12,IF(GK72="PP",Lookup!$M$13,IF(GK72="PPP",Lookup!$M$14,IF(GK72="T",Lookup!$M$15,IF(GK72="TP",Lookup!$M$16,IF(GK72="TPP",Lookup!$M$17,IF(GK72="TPPP",Lookup!$M$18,0)))))))*GJ72</f>
        <v>0</v>
      </c>
      <c r="GO72" s="535">
        <f t="shared" si="84"/>
        <v>0</v>
      </c>
      <c r="GP72" s="535">
        <f t="shared" si="240"/>
        <v>1239.472</v>
      </c>
      <c r="GQ72" s="535">
        <f t="shared" si="94"/>
        <v>404</v>
      </c>
      <c r="GR72" s="535"/>
      <c r="GS72" s="535">
        <f t="shared" si="85"/>
        <v>0</v>
      </c>
      <c r="GT72" s="535" t="str">
        <f t="shared" si="86"/>
        <v/>
      </c>
      <c r="GU72" s="535">
        <f>IF(GK72="P",Lookup!$N$12,IF(GK72="PP",Lookup!$N$13,IF(GK72="PPP",Lookup!$N$14,IF(GK72="T",Lookup!$N$15,IF(GK72="TP",Lookup!$N$16,IF(GK72="TPP",Lookup!$N$17,IF(GK72="TPPP",Lookup!$N$18,0)))))))*GJ72</f>
        <v>0</v>
      </c>
      <c r="GV72" s="535">
        <f t="shared" si="53"/>
        <v>0</v>
      </c>
      <c r="GW72" s="535">
        <f t="shared" si="241"/>
        <v>532.65700938420002</v>
      </c>
      <c r="GX72" s="535">
        <f t="shared" si="91"/>
        <v>173.61701740032595</v>
      </c>
      <c r="GY72" s="535"/>
      <c r="GZ72" s="535">
        <f t="shared" si="87"/>
        <v>0</v>
      </c>
      <c r="HA72" s="535" t="str">
        <f t="shared" si="88"/>
        <v/>
      </c>
      <c r="HB72" s="535">
        <f>IF(GK72="P",Lookup!$N$12,IF(GK72="PP",Lookup!$N$13,IF(GK72="PPP",Lookup!$N$14,IF(GK72="T",Lookup!$N$15,IF(GK72="TP",Lookup!$N$16,IF(GK72="TPP",Lookup!$N$17,IF(GK72="TPPP",Lookup!$N$18,0)))))))*GJ72</f>
        <v>0</v>
      </c>
      <c r="HC72" s="521">
        <f t="shared" si="242"/>
        <v>0</v>
      </c>
      <c r="HD72" s="535">
        <f t="shared" si="243"/>
        <v>436.51009126621307</v>
      </c>
      <c r="HE72" s="535">
        <f t="shared" si="92"/>
        <v>142.27838698377218</v>
      </c>
      <c r="HF72" s="535"/>
      <c r="HG72" s="535">
        <f t="shared" si="89"/>
        <v>0</v>
      </c>
      <c r="HH72" s="535" t="str">
        <f t="shared" si="90"/>
        <v/>
      </c>
      <c r="HI72" s="535">
        <f>IF(GK72="P",Lookup!$N$12,IF(GK72="PP",Lookup!$N$13,IF(GK72="PPP",Lookup!$N$14,IF(GK72="T",Lookup!$N$15,IF(GK72="TP",Lookup!$N$16,IF(GK72="TPP",Lookup!$N$17,IF(GK72="TPPP",Lookup!$N$18,0)))))))*GJ72</f>
        <v>0</v>
      </c>
      <c r="HJ72" s="521">
        <f t="shared" si="244"/>
        <v>0</v>
      </c>
      <c r="HK72" s="535">
        <f t="shared" si="245"/>
        <v>277.00031983934645</v>
      </c>
      <c r="HL72" s="535">
        <f t="shared" si="93"/>
        <v>90.286936062368468</v>
      </c>
      <c r="HM72" s="535"/>
      <c r="HN72" s="541"/>
      <c r="HO72" s="541"/>
      <c r="HP72" s="541"/>
      <c r="HQ72" s="541">
        <f>IF(AND(B72&gt;=$FV$4,B72&lt;=$FW$4),MAX(110/1.02+$HQ$6+MIN(113/1.02,G72),IF($HV$6-(Sheet1!DA70-Sheet1!DB70)+MIN(113/1.02,G72)&lt;G72+FL72,$HV$6-(Sheet1!DA70-Sheet1!DB70)+MIN(113/1.02,G72),G72+FL72)),MIN(110/1.02+$HQ$6+113/1.02,G72))</f>
        <v>218.62745098039215</v>
      </c>
      <c r="HR72" s="541">
        <f t="shared" si="112"/>
        <v>223</v>
      </c>
      <c r="HS72" s="541">
        <f>HR72+(Sheet1!DA70-Sheet1!DB70)</f>
        <v>970</v>
      </c>
      <c r="HT72" s="541">
        <f t="shared" si="113"/>
        <v>68.191760000000002</v>
      </c>
      <c r="HU72" s="541">
        <f t="shared" si="114"/>
        <v>901.80823999999996</v>
      </c>
      <c r="HV72" s="541">
        <f t="shared" si="115"/>
        <v>0</v>
      </c>
      <c r="HW72" s="533" t="str">
        <f t="shared" si="116"/>
        <v/>
      </c>
      <c r="HX72" s="541">
        <f t="shared" si="117"/>
        <v>422.37254901960785</v>
      </c>
      <c r="HY72" s="541">
        <f>Sheet1!CZ70</f>
        <v>641</v>
      </c>
      <c r="HZ72" s="541">
        <f t="shared" si="118"/>
        <v>0</v>
      </c>
      <c r="IA72" s="541">
        <f t="shared" si="119"/>
        <v>68.191760000000002</v>
      </c>
      <c r="IB72" s="541">
        <f t="shared" si="120"/>
        <v>641</v>
      </c>
      <c r="IC72" s="1019" t="str">
        <f t="shared" si="121"/>
        <v/>
      </c>
      <c r="ID72" s="541">
        <f t="shared" si="122"/>
        <v>572.80823999999996</v>
      </c>
      <c r="IE72" s="541">
        <f>Sheet1!DB70</f>
        <v>583</v>
      </c>
      <c r="IF72" s="533">
        <f>Sheet1!DA70</f>
        <v>1330</v>
      </c>
      <c r="IG72" s="533"/>
      <c r="IH72" s="541">
        <f>IF(AND($B72&gt;=$GC72,$B72&lt;=$GH72,$DR72&lt;0)+N("only adjusted when pool is drawn down during storage season"),Sheet1!$DB70+$DR72+N("Palmer minus all storage release"),Sheet1!$DB70)</f>
        <v>583</v>
      </c>
      <c r="II72" s="541">
        <f>IF(AND($B72&gt;=$GC72,$B72&lt;=$GH72,$DR72&lt;0)+N("only adjusted when pool is drawn down during storage season"),Sheet1!$DA70+$DR72+N("Auburn minus all storage release"),Sheet1!$DA70)</f>
        <v>1330</v>
      </c>
      <c r="IJ72" s="533"/>
      <c r="IK72" s="533"/>
      <c r="IL72" s="533"/>
      <c r="IM72" s="533"/>
      <c r="IN72" s="533"/>
      <c r="IO72" s="533"/>
      <c r="IP72" s="533"/>
      <c r="IQ72" s="533"/>
      <c r="IR72" s="533"/>
      <c r="IS72" s="533"/>
      <c r="IT72" s="533"/>
      <c r="IU72" s="533"/>
      <c r="IV72" s="533"/>
      <c r="IW72" s="533"/>
      <c r="IX72" s="533"/>
      <c r="IY72" s="533"/>
      <c r="IZ72" s="533"/>
      <c r="JA72" s="533"/>
      <c r="JB72" s="533"/>
      <c r="JC72" s="533"/>
      <c r="JD72" s="533"/>
      <c r="JE72" s="533"/>
      <c r="JF72" s="533"/>
      <c r="JG72" s="533"/>
      <c r="JH72" s="533"/>
      <c r="JI72" s="533"/>
      <c r="JJ72" s="533"/>
      <c r="JK72" s="533"/>
      <c r="JL72" s="533"/>
      <c r="JM72" s="533"/>
      <c r="JN72" s="533"/>
      <c r="JO72" s="533"/>
      <c r="JP72" s="533"/>
      <c r="JQ72" s="533"/>
      <c r="JR72" s="533"/>
      <c r="JS72" s="533"/>
      <c r="JT72" s="533"/>
      <c r="JU72" s="533"/>
    </row>
    <row r="73" spans="1:281" x14ac:dyDescent="0.25">
      <c r="A73" s="553" t="s">
        <v>8</v>
      </c>
      <c r="B73" s="531">
        <v>42797</v>
      </c>
      <c r="C73" s="536">
        <v>0</v>
      </c>
      <c r="D73" s="506">
        <f t="shared" ref="D73:D135" si="247">IF(AND(B73&gt;=DATE($A$1,7,15),B73&lt;=DATE($A$1,9,15)),200,300)</f>
        <v>300</v>
      </c>
      <c r="E73" s="506">
        <f t="shared" ref="E73:E135" si="248">IF(AND(B73&gt;=DATE($A$1,7,15),B73&lt;=DATE($A$1,9,15)),400,250)</f>
        <v>250</v>
      </c>
      <c r="F73" s="506">
        <v>250</v>
      </c>
      <c r="G73" s="535">
        <f>DR73+Sheet1!CZ71</f>
        <v>867.98487140732607</v>
      </c>
      <c r="H73" s="1074">
        <f t="shared" si="246"/>
        <v>284.91734783999999</v>
      </c>
      <c r="I73" s="534">
        <f>IF(Sheet1!DA71&gt;=E73,(Sheet1!DA71-E73+P73)*CFStoMGD,0)</f>
        <v>811.08694783999988</v>
      </c>
      <c r="J73" s="995">
        <f>IF(Sheet1!DB71&gt;=D73,(Sheet1!DB71-D73+P73)*CFStoMGD,0)</f>
        <v>284.91734783999999</v>
      </c>
      <c r="K73" s="818">
        <f t="shared" si="97"/>
        <v>64.64</v>
      </c>
      <c r="L73" s="535">
        <f>Sheet1!AA71+Sheet1!AB71-Sheet1!L71+(Sheet1!DA71-F73)*CFStoMGD-S73-T73-U73</f>
        <v>746.44799999999998</v>
      </c>
      <c r="M73" s="535">
        <f t="shared" si="185"/>
        <v>572.28672929524953</v>
      </c>
      <c r="N73" s="824">
        <f>IF(Sheet1!DA71&gt;=F73,MIN(113*CFStoMGD,MIN(MAX(L73,0),MAX(M73,0))),0)</f>
        <v>73.043199999999999</v>
      </c>
      <c r="O73" s="538">
        <f>Sheet1!AA71+Sheet1!AB71</f>
        <v>54.8</v>
      </c>
      <c r="P73" s="538">
        <f t="shared" si="186"/>
        <v>84.775599999999997</v>
      </c>
      <c r="Q73" s="812">
        <f t="shared" si="98"/>
        <v>44.269999999999996</v>
      </c>
      <c r="R73" s="812">
        <f t="shared" ref="R73:R136" si="249">IF(AND(B73&gt;=GF73,B73&lt;=GH73),MAX(EB73,EF73),EB73)</f>
        <v>10.479392378990729</v>
      </c>
      <c r="S73" s="812">
        <f t="shared" ref="S73:S136" si="250">IF(OR(B73&lt;GC73,B73&gt;GH73),MIN(O73,K73),IF(AND(B73&gt;=FV73,B73&lt;=FW73),0,IF(AND(B73&gt;=GC73,B73&lt;=GD73),DL73,IF(AND(B73&gt;GD73,B73&lt;FV73),MIN(K73,O73),0))))</f>
        <v>10.53</v>
      </c>
      <c r="T73" s="812">
        <f t="shared" ref="T73:T136" si="251">IF(OR(B73&lt;GC73,B73&gt;GD73),0, K73-DL73)</f>
        <v>54.11</v>
      </c>
      <c r="U73" s="812">
        <f t="shared" si="99"/>
        <v>0</v>
      </c>
      <c r="V73" s="812"/>
      <c r="W73" s="812">
        <f t="shared" ref="W73:W136" si="252">MAX(K73-DJ73,0)</f>
        <v>54.16060762100927</v>
      </c>
      <c r="X73" s="812">
        <f t="shared" ref="X73:X136" si="253">S73+T73</f>
        <v>64.64</v>
      </c>
      <c r="Y73" s="812" t="str">
        <f t="shared" ref="Y73:Y136" si="254">IF(OR(O73&gt;K73,AND(B73&gt;=GC73,B73&lt;=GD73),), "FALSE","")</f>
        <v>FALSE</v>
      </c>
      <c r="Z73" s="812">
        <f t="shared" ref="Z73:Z136" si="255">O73</f>
        <v>54.8</v>
      </c>
      <c r="AA73" s="812">
        <f t="shared" ref="AA73:AA136" si="256">Q73+S73+U73</f>
        <v>54.8</v>
      </c>
      <c r="AB73" s="1059">
        <f t="shared" si="100"/>
        <v>68.485689999999991</v>
      </c>
      <c r="AC73" s="538">
        <f>Sheet1!Y71*MGDtoCFS</f>
        <v>39.912599999999998</v>
      </c>
      <c r="AD73" s="538">
        <f>Sheet1!Z71*MGDtoCFS</f>
        <v>44.708299999999994</v>
      </c>
      <c r="AE73" s="538">
        <f>Sheet1!AA71*MGDtoCFS</f>
        <v>39.928069999999998</v>
      </c>
      <c r="AF73" s="538">
        <f>Sheet1!AB71*MGDtoCFS</f>
        <v>44.847529999999999</v>
      </c>
      <c r="AG73" s="538">
        <f>Sheet1!L71*MGDtoCFS</f>
        <v>0</v>
      </c>
      <c r="AH73" s="521">
        <f t="shared" si="187"/>
        <v>0</v>
      </c>
      <c r="AI73" s="1059">
        <f t="shared" si="188"/>
        <v>0</v>
      </c>
      <c r="AJ73" s="535">
        <f t="shared" si="189"/>
        <v>54.16060762100927</v>
      </c>
      <c r="AK73" s="535">
        <f t="shared" si="190"/>
        <v>83.786459989701342</v>
      </c>
      <c r="AL73" s="535">
        <f>(VLOOKUP(Sheet1!DC71,hhdcap_wcm,4)-(((VLOOKUP(Sheet1!DC71,hhdcap_wcm,3)-Sheet1!DC71)/(VLOOKUP(Sheet1!DC71,hhdcap_wcm,3)-VLOOKUP(Sheet1!DC71,hhdcap_wcm,1)))*(VLOOKUP(Sheet1!DC71,hhdcap_wcm,4)-VLOOKUP(Sheet1!DC71,hhdcap_wcm,2))))</f>
        <v>3246.4000000076398</v>
      </c>
      <c r="AM73" s="535">
        <f t="shared" si="191"/>
        <v>416.40000000072769</v>
      </c>
      <c r="AN73" s="1035">
        <f t="shared" si="192"/>
        <v>864.34294806747585</v>
      </c>
      <c r="AO73" s="535">
        <f t="shared" si="193"/>
        <v>2651.8041646710158</v>
      </c>
      <c r="AP73" s="535">
        <f>Sheet1!BA71+Sheet1!BB71+Sheet1!BN71+CD73</f>
        <v>18.600000000000001</v>
      </c>
      <c r="AQ73" s="535">
        <f>Sheet1!BN71+(DO73*Sheet1!BN71)</f>
        <v>18.510607621009267</v>
      </c>
      <c r="AR73" s="535">
        <f>Sheet1!BA71+CD73</f>
        <v>0</v>
      </c>
      <c r="AS73" s="535">
        <f>Sheet1!BA71+Sheet1!BB71+CD73</f>
        <v>0</v>
      </c>
      <c r="AT73" s="649">
        <f>0</f>
        <v>0</v>
      </c>
      <c r="AU73" s="535">
        <f>IF(EB73&lt;K73,0,MAX(Sheet1!AA71+AQ73-15/36*K73-N73,Sheet1!EH71,0))</f>
        <v>0</v>
      </c>
      <c r="AV73" s="535">
        <f>IF(OR(B73&gt;=GD73,B73&lt;GC73),0,15/36*K73-MAX(0,64.6-(137.6-(Sheet1!AA71+Sheet1!AB71))))</f>
        <v>26.933333333333334</v>
      </c>
      <c r="AW73" s="1029"/>
      <c r="AX73" s="649"/>
      <c r="AY73" s="649">
        <f t="shared" si="101"/>
        <v>0</v>
      </c>
      <c r="AZ73" s="649">
        <f t="shared" si="102"/>
        <v>0</v>
      </c>
      <c r="BA73" s="1059">
        <f t="shared" si="103"/>
        <v>0</v>
      </c>
      <c r="BB73" s="1019">
        <f t="shared" si="194"/>
        <v>430.93333333333334</v>
      </c>
      <c r="BC73" s="1041">
        <f t="shared" si="104"/>
        <v>26.933333333333334</v>
      </c>
      <c r="BD73" s="1019">
        <f ca="1">IF(B73&gt;Summary!$A$1,#N/A,BB73*MGtoAF)</f>
        <v>1322.1034666666667</v>
      </c>
      <c r="BE73" s="535">
        <f>Sheet1!BG71+Sheet1!BH71+Sheet1!BI71-BM73</f>
        <v>1.02</v>
      </c>
      <c r="BF73" s="535">
        <f t="shared" si="195"/>
        <v>1.0150978372811532</v>
      </c>
      <c r="BG73" s="535">
        <f>IF(Sheet1!EP71="FM",BM73,0)</f>
        <v>0</v>
      </c>
      <c r="BH73" s="535">
        <f t="shared" si="196"/>
        <v>0</v>
      </c>
      <c r="BI73" s="535">
        <f>IF(Sheet1!EP71="OTHER",BM73,0)</f>
        <v>0</v>
      </c>
      <c r="BJ73" s="535">
        <f t="shared" si="197"/>
        <v>0</v>
      </c>
      <c r="BK73" s="535">
        <f t="shared" si="198"/>
        <v>1.02</v>
      </c>
      <c r="BL73" s="535">
        <f t="shared" si="199"/>
        <v>1.0150978372811532</v>
      </c>
      <c r="BM73" s="535">
        <f>IF(OR(Sheet1!EP71="FM", Sheet1!EP71="OTHER"),SUM(Sheet1!BG71:'Sheet1'!BI71),0)</f>
        <v>0</v>
      </c>
      <c r="BN73" s="521">
        <f>IF(AND($B73&gt;=$FV73,$B73&lt;=$FW73),MAX(BF73,Sheet1!EI71,0),MAX(BF73-(7/36)*$K73,0))</f>
        <v>0</v>
      </c>
      <c r="BO73" s="535">
        <f t="shared" si="200"/>
        <v>11.553791051607735</v>
      </c>
      <c r="BP73" s="521">
        <f t="shared" si="201"/>
        <v>1.0150978372811532</v>
      </c>
      <c r="BQ73" s="521">
        <f>IF(AND($O73&gt;0,Sheet1!EM71=1),(1-($O73-Sheet1!$L71)/$O73)*BL73,0)</f>
        <v>0</v>
      </c>
      <c r="BR73" s="521">
        <f>IF(AND(Sheet1!$L71=0,Sheet1!$L70=0, Calculation!BK73&lt;Sheet1!$EI71-0.1,Sheet1!$EI71=Sheet1!$EI70,Sheet1!$EI71=Sheet1!$EI72),BL73-BQ73,BL73-BQ73)</f>
        <v>1.0150978372811532</v>
      </c>
      <c r="BS73" s="1035" t="str">
        <f t="shared" si="105"/>
        <v/>
      </c>
      <c r="BT73" s="1035">
        <f t="shared" si="106"/>
        <v>12.568888888888889</v>
      </c>
      <c r="BU73" s="535">
        <f t="shared" si="202"/>
        <v>185.17080845193368</v>
      </c>
      <c r="BV73" s="535"/>
      <c r="BW73" s="535">
        <f ca="1">IF(B73&gt;Summary!$A$1,#N/A,BU73*MGtoAF)</f>
        <v>568.1040403305326</v>
      </c>
      <c r="BX73" s="535">
        <f>Sheet1!BC71+Sheet1!BD71+Sheet1!BE71+Sheet1!BF71-CG73-CH73</f>
        <v>3.01</v>
      </c>
      <c r="BY73" s="535">
        <f t="shared" si="203"/>
        <v>2.9955338139375209</v>
      </c>
      <c r="BZ73" s="535">
        <f>IF(Sheet1!EQ71="FM",CH73,0)</f>
        <v>0</v>
      </c>
      <c r="CA73" s="535">
        <f t="shared" si="204"/>
        <v>0</v>
      </c>
      <c r="CB73" s="535">
        <f>IF(Sheet1!EQ71="OTHER",CH73,0)</f>
        <v>0</v>
      </c>
      <c r="CC73" s="535">
        <f t="shared" si="205"/>
        <v>0</v>
      </c>
      <c r="CD73" s="535">
        <f t="shared" si="206"/>
        <v>0</v>
      </c>
      <c r="CE73" s="535">
        <f t="shared" si="207"/>
        <v>3.01</v>
      </c>
      <c r="CF73" s="535">
        <f t="shared" si="208"/>
        <v>2.9955338139375209</v>
      </c>
      <c r="CG73" s="535">
        <f>IF(Sheet1!EQ71="CWA",SUM(Sheet1!BC71:'Sheet1'!BF71),0)</f>
        <v>0</v>
      </c>
      <c r="CH73" s="535">
        <f>IF(OR(Sheet1!EQ71="FM", Sheet1!EQ71="OTHER"),SUM(Sheet1!BC71:'Sheet1'!BF71),0)</f>
        <v>0</v>
      </c>
      <c r="CI73" s="521">
        <f>IF(AND($B73&gt;=$FV73,$B73&lt;=$FW73),MAX(CF73,Sheet1!EJ71,0),MAX(CF73-(7/36)*$K73,0))</f>
        <v>0</v>
      </c>
      <c r="CJ73" s="535">
        <f t="shared" si="209"/>
        <v>9.5733550749513689</v>
      </c>
      <c r="CK73" s="521">
        <f t="shared" si="210"/>
        <v>2.9955338139375209</v>
      </c>
      <c r="CL73" s="521">
        <f>IF(AND($O73&gt;0,Sheet1!EN71=1),(1-($O73-Sheet1!$L71)/$O73)*CF73,0)</f>
        <v>0</v>
      </c>
      <c r="CM73" s="521">
        <f>IF(AND(Sheet1!$L71=0,Sheet1!$L70=0, Calculation!CE73&lt;Sheet1!EJ71-0.1,Sheet1!EJ71=Sheet1!EJ70,Sheet1!EJ71=Sheet1!EJ72),CF73-CL73,CF73-CL73)</f>
        <v>2.9955338139375209</v>
      </c>
      <c r="CN73" s="1040" t="str">
        <f t="shared" si="107"/>
        <v/>
      </c>
      <c r="CO73" s="1035">
        <f t="shared" si="108"/>
        <v>12.568888888888889</v>
      </c>
      <c r="CP73" s="535">
        <f t="shared" si="211"/>
        <v>151.85174205872354</v>
      </c>
      <c r="CQ73" s="535"/>
      <c r="CR73" s="535">
        <f ca="1">IF(B73&gt;Summary!$A$1,#N/A,CP73*MGtoAF)</f>
        <v>465.88114463616387</v>
      </c>
      <c r="CS73" s="535">
        <f>Sheet1!BK71+Sheet1!BL71+Sheet1!BM71-Sheet1!ER71-DA73</f>
        <v>6.5</v>
      </c>
      <c r="CT73" s="535">
        <f t="shared" si="212"/>
        <v>6.4687607277720556</v>
      </c>
      <c r="CU73" s="535">
        <f>IF(Sheet1!ER71="FM",DA73,0)</f>
        <v>0</v>
      </c>
      <c r="CV73" s="535">
        <f t="shared" si="213"/>
        <v>0</v>
      </c>
      <c r="CW73" s="535">
        <f>IF(Sheet1!ER71="OTHER",DA73,0)</f>
        <v>0</v>
      </c>
      <c r="CX73" s="535">
        <f t="shared" si="214"/>
        <v>0</v>
      </c>
      <c r="CY73" s="535">
        <f t="shared" si="215"/>
        <v>6.5</v>
      </c>
      <c r="CZ73" s="535">
        <f t="shared" si="216"/>
        <v>6.4687607277720556</v>
      </c>
      <c r="DA73" s="535">
        <f>IF(OR(Sheet1!ER71="FM", Sheet1!ER71="OTHER"),SUM(Sheet1!BK71:'Sheet1'!BM71),0)</f>
        <v>0</v>
      </c>
      <c r="DB73" s="1011">
        <f>IF(AND($B73&gt;=$FV73,$B73&lt;=$FW73),MAX($CT73,Sheet1!EK71,0),MAX($CT73-(7/36)*$K73,0))</f>
        <v>0</v>
      </c>
      <c r="DC73" s="1012">
        <f t="shared" si="217"/>
        <v>6.1001281611168334</v>
      </c>
      <c r="DD73" s="1011">
        <f t="shared" si="218"/>
        <v>6.4687607277720556</v>
      </c>
      <c r="DE73" s="521">
        <f>IF(AND($O73&gt;0,Sheet1!EO71=1),(1-($O73-Sheet1!$L71)/$O73)*CZ73,0)</f>
        <v>0</v>
      </c>
      <c r="DF73" s="521">
        <f>IF(AND(Sheet1!$L71=0,Sheet1!$L70=0, Calculation!CY73&lt;Sheet1!$EK71-0.1,Sheet1!$EK71=Sheet1!$EK70,Sheet1!$EK71=Sheet1!$EK72),CZ73-DE73,CZ73-DE73)</f>
        <v>6.4687607277720556</v>
      </c>
      <c r="DG73" s="1040">
        <f t="shared" si="109"/>
        <v>12.568888888888889</v>
      </c>
      <c r="DH73" s="649">
        <f t="shared" si="219"/>
        <v>10.53</v>
      </c>
      <c r="DI73" s="535">
        <f t="shared" si="220"/>
        <v>96.387064223485297</v>
      </c>
      <c r="DJ73" s="649">
        <f t="shared" si="221"/>
        <v>10.479392378990729</v>
      </c>
      <c r="DK73" s="535">
        <f ca="1">IF(B73&gt;Summary!$A$1,#N/A,DI73*MGtoAF)</f>
        <v>295.7155130376529</v>
      </c>
      <c r="DL73" s="649">
        <f t="shared" si="222"/>
        <v>10.53</v>
      </c>
      <c r="DM73" s="535">
        <f t="shared" si="223"/>
        <v>29.130000000000003</v>
      </c>
      <c r="DN73" s="535">
        <f>Sheet1!AB71-DM73</f>
        <v>-0.14000000000000412</v>
      </c>
      <c r="DO73" s="743">
        <f t="shared" si="224"/>
        <v>-4.8060418812222484E-3</v>
      </c>
      <c r="DP73" s="535">
        <f>(VLOOKUP(Sheet1!DC71,hhdcap_wcm,4)-(((VLOOKUP(Sheet1!DC71,hhdcap_wcm,3)-Sheet1!DC71)/(VLOOKUP(Sheet1!DC71,hhdcap_wcm,3)-VLOOKUP(Sheet1!DC71,hhdcap_wcm,1)))*(VLOOKUP(Sheet1!DC71,hhdcap_wcm,4)-VLOOKUP(Sheet1!DC71,hhdcap_wcm,2))))</f>
        <v>3246.4000000076398</v>
      </c>
      <c r="DQ73" s="535">
        <f t="shared" si="225"/>
        <v>416.40000000072769</v>
      </c>
      <c r="DR73" s="535">
        <f t="shared" si="226"/>
        <v>209.9848714073261</v>
      </c>
      <c r="DS73" s="535">
        <f>Sheet1!EA71*AFtoMG</f>
        <v>0</v>
      </c>
      <c r="DT73" s="535">
        <f>Sheet1!EB71*AFtoMG</f>
        <v>0</v>
      </c>
      <c r="DU73" s="535">
        <f>Sheet1!EC71*AFtoMG</f>
        <v>0</v>
      </c>
      <c r="DV73" s="535">
        <f>Sheet1!ED71*AFtoMG</f>
        <v>0</v>
      </c>
      <c r="DW73" s="535">
        <f t="shared" si="227"/>
        <v>0</v>
      </c>
      <c r="DX73" s="535">
        <f t="shared" si="228"/>
        <v>0</v>
      </c>
      <c r="DY73" s="535">
        <f t="shared" si="229"/>
        <v>864.34294806747585</v>
      </c>
      <c r="DZ73" s="535">
        <f t="shared" si="230"/>
        <v>2651.8041646710158</v>
      </c>
      <c r="EA73" s="535"/>
      <c r="EB73" s="521">
        <f>IF(OR(B73&lt;FV73,B73&gt;FW73),(MIN(BF73+BY73+CT73+MAX(Sheet1!AA71+AQ73-73,0),K73)),0)</f>
        <v>10.479392378990729</v>
      </c>
      <c r="EC73" s="535"/>
      <c r="ED73" s="535">
        <f t="shared" si="231"/>
        <v>10.479392378990731</v>
      </c>
      <c r="EE73" s="535"/>
      <c r="EF73" s="535">
        <f>Sheet1!EH71+Sheet1!EI71+Sheet1!EJ71+Sheet1!EK71</f>
        <v>10.5</v>
      </c>
      <c r="EG73" s="1019">
        <f t="shared" si="110"/>
        <v>16.243500000000001</v>
      </c>
      <c r="EH73" s="521">
        <f t="shared" si="232"/>
        <v>0</v>
      </c>
      <c r="EI73" s="535">
        <f>IF(Sheet1!ET71=1,SUM('Calculations II'!AT73:BA73)+'Calculations II'!BC73+Sheet1!BV71+'Calculations II'!BE73+AP73,'Calculations II'!BK73)</f>
        <v>43.29316962100927</v>
      </c>
      <c r="EJ73" s="535">
        <f ca="1">EI73+'Calculations II'!D73+'Calculations II'!E73+'Calculations II'!O73</f>
        <v>45.231842098946032</v>
      </c>
      <c r="EK73" s="535"/>
      <c r="EL73" s="535"/>
      <c r="EM73" s="535">
        <f t="shared" si="233"/>
        <v>42797</v>
      </c>
      <c r="EN73" s="535">
        <f t="shared" si="234"/>
        <v>54.16060762100927</v>
      </c>
      <c r="EO73" s="535">
        <f t="shared" si="235"/>
        <v>83.786459989701342</v>
      </c>
      <c r="EP73" s="535">
        <v>0</v>
      </c>
      <c r="EQ73" s="535">
        <v>0</v>
      </c>
      <c r="ER73" s="535">
        <v>0</v>
      </c>
      <c r="ES73" s="521">
        <f t="shared" ref="ES73:ES136" si="257">ET73+EU73</f>
        <v>-0.55392628505391261</v>
      </c>
      <c r="ET73" s="535">
        <f>-(VLOOKUP(Sheet1!BQ71,Lookup!$O$4:$Q$262,2)-VLOOKUP(Sheet1!BQ70,Lookup!$O$4:$Q$262,2))/1000000</f>
        <v>-0.41541587597589941</v>
      </c>
      <c r="EU73" s="535">
        <f>-(VLOOKUP(Sheet1!BR71,Lookup!$O$4:$Q$262,3)-VLOOKUP(Sheet1!BR70,Lookup!$O$4:$Q$262,3))/1000000</f>
        <v>-0.13851040907801315</v>
      </c>
      <c r="EV73" s="535"/>
      <c r="EW73" s="535"/>
      <c r="EX73" s="535"/>
      <c r="EY73" s="535"/>
      <c r="EZ73" s="535"/>
      <c r="FA73" s="535"/>
      <c r="FB73" s="535"/>
      <c r="FC73" s="535"/>
      <c r="FD73" s="567" t="e">
        <f t="shared" si="236"/>
        <v>#N/A</v>
      </c>
      <c r="FE73" s="567" t="e">
        <f t="shared" si="237"/>
        <v>#N/A</v>
      </c>
      <c r="FF73" s="568" t="e">
        <f t="shared" si="238"/>
        <v>#N/A</v>
      </c>
      <c r="FG73" s="569" t="s">
        <v>656</v>
      </c>
      <c r="FH73" s="569" t="s">
        <v>656</v>
      </c>
      <c r="FI73" s="567" t="e">
        <v>#N/A</v>
      </c>
      <c r="FJ73" s="567" t="e">
        <v>#N/A</v>
      </c>
      <c r="FK73" s="535"/>
      <c r="FL73" s="1015">
        <v>0</v>
      </c>
      <c r="FM73" s="535"/>
      <c r="FN73" s="535"/>
      <c r="FO73" s="535">
        <f>O73+((Sheet1!CS71)*GPMtoMGD)</f>
        <v>54.8</v>
      </c>
      <c r="FP73" s="535">
        <f>IF(Sheet1!AA71+AQ73&lt;=Calculation!N73,AQ73,Calculation!N73-Sheet1!AA71)</f>
        <v>18.510607621009267</v>
      </c>
      <c r="FQ73" s="535">
        <f>(Sheet1!BP71+Sheet1!BO71)/694.4</f>
        <v>1.2754896313364057</v>
      </c>
      <c r="FR73" s="541"/>
      <c r="FS73" s="541"/>
      <c r="FT73" s="541"/>
      <c r="FU73" s="541"/>
      <c r="FV73" s="1109">
        <f t="shared" ref="FV73:FV136" si="258">$FV$4</f>
        <v>42918</v>
      </c>
      <c r="FW73" s="1109">
        <f t="shared" ref="FW73:FW136" si="259">$FW$4</f>
        <v>43027</v>
      </c>
      <c r="FX73" s="541"/>
      <c r="FY73" s="541">
        <f>Sheet1!DA71-Sheet1!CZ71-Sheet1!AE71</f>
        <v>677.22440000000006</v>
      </c>
      <c r="FZ73" s="535">
        <f t="shared" si="111"/>
        <v>0.78022604115434369</v>
      </c>
      <c r="GA73" s="535"/>
      <c r="GB73" s="535" t="str">
        <f t="shared" ref="GB73:GB136" si="260">$GB$4</f>
        <v>n</v>
      </c>
      <c r="GC73" s="539">
        <f t="shared" ref="GC73:GC136" si="261">$GC$4</f>
        <v>42782</v>
      </c>
      <c r="GD73" s="1109">
        <f t="shared" ref="GD73:GD136" si="262">$GD$4</f>
        <v>42904</v>
      </c>
      <c r="GE73" s="535">
        <f t="shared" si="95"/>
        <v>6520</v>
      </c>
      <c r="GF73" s="1109">
        <f t="shared" ref="GF73:GF136" si="263">$GF$4</f>
        <v>42909</v>
      </c>
      <c r="GG73" s="535">
        <f t="shared" si="174"/>
        <v>3260</v>
      </c>
      <c r="GH73" s="539">
        <f t="shared" ref="GH73:GH136" si="264">$GH$4</f>
        <v>43040</v>
      </c>
      <c r="GJ73" s="521">
        <f t="shared" ref="GJ73:GJ136" si="265">IF(AND(B73&gt;=GD73,B73&lt;GF73),AFtoMG*(20000-AO72),GL73+GZ73+GS73+HG73)</f>
        <v>0</v>
      </c>
      <c r="GK73" s="535" t="str">
        <f t="shared" si="239"/>
        <v/>
      </c>
      <c r="GL73" s="535">
        <f t="shared" ref="GL73:GL136" si="266">IF(GP73&gt;=8333.3,AV73,0)</f>
        <v>0</v>
      </c>
      <c r="GM73" s="535" t="str">
        <f t="shared" ref="GM73:GM136" si="267">IF(AND(GP73&lt;8333.3,GJ73&gt;0),"T","")</f>
        <v/>
      </c>
      <c r="GN73" s="535">
        <f>IF(GK73="P",Lookup!$M$12,IF(GK73="PP",Lookup!$M$13,IF(GK73="PPP",Lookup!$M$14,IF(GK73="T",Lookup!$M$15,IF(GK73="TP",Lookup!$M$16,IF(GK73="TPP",Lookup!$M$17,IF(GK73="TPPP",Lookup!$M$18,0)))))))*GJ73</f>
        <v>0</v>
      </c>
      <c r="GO73" s="535">
        <f t="shared" ref="GO73:GO136" si="268">IF(GM73="T", MIN(GN73, 2716.2-$GQ73),0)</f>
        <v>0</v>
      </c>
      <c r="GP73" s="535">
        <f t="shared" si="240"/>
        <v>1322.1034666666667</v>
      </c>
      <c r="GQ73" s="535">
        <f t="shared" si="94"/>
        <v>430.93333333333334</v>
      </c>
      <c r="GR73" s="535"/>
      <c r="GS73" s="535">
        <f t="shared" ref="GS73:GS136" si="269">IF(GW73&gt;=3888.8,BO73,0)</f>
        <v>0</v>
      </c>
      <c r="GT73" s="535" t="str">
        <f t="shared" ref="GT73:GT136" si="270">IF(AND(GW73&lt;3888.8,GJ73&gt;0),"P","")</f>
        <v/>
      </c>
      <c r="GU73" s="535">
        <f>IF(GK73="P",Lookup!$N$12,IF(GK73="PP",Lookup!$N$13,IF(GK73="PPP",Lookup!$N$14,IF(GK73="T",Lookup!$N$15,IF(GK73="TP",Lookup!$N$16,IF(GK73="TPP",Lookup!$N$17,IF(GK73="TPPP",Lookup!$N$18,0)))))))*GJ73</f>
        <v>0</v>
      </c>
      <c r="GV73" s="535">
        <f t="shared" ref="GV73:GV136" si="271">IF(GT73="P",MIN(GU73,7/36*GE73-GX73),0)</f>
        <v>0</v>
      </c>
      <c r="GW73" s="535">
        <f t="shared" si="241"/>
        <v>568.1040403305326</v>
      </c>
      <c r="GX73" s="535">
        <f t="shared" si="91"/>
        <v>185.17080845193368</v>
      </c>
      <c r="GY73" s="535"/>
      <c r="GZ73" s="535">
        <f t="shared" ref="GZ73:GZ136" si="272">IF(HD73&gt;=3888.8,CJ73,0)</f>
        <v>0</v>
      </c>
      <c r="HA73" s="535" t="str">
        <f t="shared" ref="HA73:HA136" si="273">IF(AND(HD73&lt;3888.8,GJ73&gt;0),"P","")</f>
        <v/>
      </c>
      <c r="HB73" s="535">
        <f>IF(GK73="P",Lookup!$N$12,IF(GK73="PP",Lookup!$N$13,IF(GK73="PPP",Lookup!$N$14,IF(GK73="T",Lookup!$N$15,IF(GK73="TP",Lookup!$N$16,IF(GK73="TPP",Lookup!$N$17,IF(GK73="TPPP",Lookup!$N$18,0)))))))*GJ73</f>
        <v>0</v>
      </c>
      <c r="HC73" s="521">
        <f t="shared" si="242"/>
        <v>0</v>
      </c>
      <c r="HD73" s="535">
        <f t="shared" si="243"/>
        <v>465.88114463616387</v>
      </c>
      <c r="HE73" s="535">
        <f t="shared" si="92"/>
        <v>151.85174205872354</v>
      </c>
      <c r="HF73" s="535"/>
      <c r="HG73" s="535">
        <f t="shared" ref="HG73:HG136" si="274">IF(HK73&gt;=3888.8,DC73,0)</f>
        <v>0</v>
      </c>
      <c r="HH73" s="535" t="str">
        <f t="shared" ref="HH73:HH136" si="275">IF(AND(HK73&lt;3888.8,GJ73&gt;0),"P","")</f>
        <v/>
      </c>
      <c r="HI73" s="535">
        <f>IF(GK73="P",Lookup!$N$12,IF(GK73="PP",Lookup!$N$13,IF(GK73="PPP",Lookup!$N$14,IF(GK73="T",Lookup!$N$15,IF(GK73="TP",Lookup!$N$16,IF(GK73="TPP",Lookup!$N$17,IF(GK73="TPPP",Lookup!$N$18,0)))))))*GJ73</f>
        <v>0</v>
      </c>
      <c r="HJ73" s="521">
        <f t="shared" si="244"/>
        <v>0</v>
      </c>
      <c r="HK73" s="535">
        <f t="shared" si="245"/>
        <v>295.7155130376529</v>
      </c>
      <c r="HL73" s="535">
        <f t="shared" si="93"/>
        <v>96.387064223485297</v>
      </c>
      <c r="HM73" s="535"/>
      <c r="HN73" s="541"/>
      <c r="HO73" s="541"/>
      <c r="HP73" s="541"/>
      <c r="HQ73" s="541">
        <f>IF(AND(B73&gt;=$FV$4,B73&lt;=$FW$4),MAX(110/1.02+$HQ$6+MIN(113/1.02,G73),IF($HV$6-(Sheet1!DA71-Sheet1!DB71)+MIN(113/1.02,G73)&lt;G73+FL73,$HV$6-(Sheet1!DA71-Sheet1!DB71)+MIN(113/1.02,G73),G73+FL73)),MIN(110/1.02+$HQ$6+113/1.02,G73))</f>
        <v>218.62745098039215</v>
      </c>
      <c r="HR73" s="541">
        <f t="shared" si="112"/>
        <v>223</v>
      </c>
      <c r="HS73" s="541">
        <f>HR73+(Sheet1!DA71-Sheet1!DB71)</f>
        <v>987</v>
      </c>
      <c r="HT73" s="541">
        <f t="shared" si="113"/>
        <v>68.485689999999991</v>
      </c>
      <c r="HU73" s="541">
        <f t="shared" si="114"/>
        <v>918.51431000000002</v>
      </c>
      <c r="HV73" s="541">
        <f t="shared" si="115"/>
        <v>0</v>
      </c>
      <c r="HW73" s="533" t="str">
        <f t="shared" si="116"/>
        <v/>
      </c>
      <c r="HX73" s="541">
        <f t="shared" si="117"/>
        <v>439.37254901960785</v>
      </c>
      <c r="HY73" s="541">
        <f>Sheet1!CZ71</f>
        <v>658</v>
      </c>
      <c r="HZ73" s="541">
        <f t="shared" si="118"/>
        <v>0</v>
      </c>
      <c r="IA73" s="541">
        <f t="shared" si="119"/>
        <v>68.485689999999991</v>
      </c>
      <c r="IB73" s="541">
        <f t="shared" si="120"/>
        <v>658</v>
      </c>
      <c r="IC73" s="1019" t="str">
        <f t="shared" si="121"/>
        <v/>
      </c>
      <c r="ID73" s="541">
        <f t="shared" si="122"/>
        <v>589.51431000000002</v>
      </c>
      <c r="IE73" s="541">
        <f>Sheet1!DB71</f>
        <v>656</v>
      </c>
      <c r="IF73" s="533">
        <f>Sheet1!DA71</f>
        <v>1420</v>
      </c>
      <c r="IH73" s="541">
        <f>IF(AND($B73&gt;=$GC73,$B73&lt;=$GH73,$DR73&lt;0)+N("only adjusted when pool is drawn down during storage season"),Sheet1!$DB71+$DR73+N("Palmer minus all storage release"),Sheet1!$DB71)</f>
        <v>656</v>
      </c>
      <c r="II73" s="541">
        <f>IF(AND($B73&gt;=$GC73,$B73&lt;=$GH73,$DR73&lt;0)+N("only adjusted when pool is drawn down during storage season"),Sheet1!$DA71+$DR73+N("Auburn minus all storage release"),Sheet1!$DA71)</f>
        <v>1420</v>
      </c>
    </row>
    <row r="74" spans="1:281" x14ac:dyDescent="0.25">
      <c r="A74" s="553" t="s">
        <v>9</v>
      </c>
      <c r="B74" s="531">
        <v>42798</v>
      </c>
      <c r="C74" s="536">
        <v>0</v>
      </c>
      <c r="D74" s="506">
        <f t="shared" si="247"/>
        <v>300</v>
      </c>
      <c r="E74" s="506">
        <f t="shared" si="248"/>
        <v>250</v>
      </c>
      <c r="F74" s="506">
        <v>250</v>
      </c>
      <c r="G74" s="535">
        <f>DR74+Sheet1!CZ72</f>
        <v>994.17145738845329</v>
      </c>
      <c r="H74" s="1074">
        <f t="shared" si="246"/>
        <v>271.90934937599997</v>
      </c>
      <c r="I74" s="534">
        <f>IF(Sheet1!DA72&gt;=E74,(Sheet1!DA72-E74+P74)*CFStoMGD,0)</f>
        <v>823.93494937599996</v>
      </c>
      <c r="J74" s="995">
        <f>IF(Sheet1!DB72&gt;=D74,(Sheet1!DB72-D74+P74)*CFStoMGD,0)</f>
        <v>271.90934937599997</v>
      </c>
      <c r="K74" s="818">
        <f t="shared" si="97"/>
        <v>64.64</v>
      </c>
      <c r="L74" s="535">
        <f>Sheet1!AA72+Sheet1!AB72-Sheet1!L72+(Sheet1!DA72-F74)*CFStoMGD-S74-T74-U74</f>
        <v>759.29600000000005</v>
      </c>
      <c r="M74" s="535">
        <f t="shared" si="185"/>
        <v>655.48507865701413</v>
      </c>
      <c r="N74" s="824">
        <f>IF(Sheet1!DA72&gt;=F74,MIN(113*CFStoMGD,MIN(MAX(L74,0),MAX(M74,0))),0)</f>
        <v>73.043199999999999</v>
      </c>
      <c r="O74" s="538">
        <f>Sheet1!AA72+Sheet1!AB72</f>
        <v>54.72</v>
      </c>
      <c r="P74" s="538">
        <f t="shared" si="186"/>
        <v>84.651839999999993</v>
      </c>
      <c r="Q74" s="812">
        <f t="shared" si="98"/>
        <v>44.14</v>
      </c>
      <c r="R74" s="812">
        <f t="shared" si="249"/>
        <v>10.521788170563964</v>
      </c>
      <c r="S74" s="812">
        <f t="shared" si="250"/>
        <v>10.58</v>
      </c>
      <c r="T74" s="812">
        <f t="shared" si="251"/>
        <v>54.06</v>
      </c>
      <c r="U74" s="812">
        <f t="shared" si="99"/>
        <v>0</v>
      </c>
      <c r="V74" s="812"/>
      <c r="W74" s="812">
        <f t="shared" si="252"/>
        <v>54.118211829436035</v>
      </c>
      <c r="X74" s="812">
        <f t="shared" si="253"/>
        <v>64.64</v>
      </c>
      <c r="Y74" s="812" t="str">
        <f t="shared" si="254"/>
        <v>FALSE</v>
      </c>
      <c r="Z74" s="812">
        <f t="shared" si="255"/>
        <v>54.72</v>
      </c>
      <c r="AA74" s="812">
        <f t="shared" si="256"/>
        <v>54.72</v>
      </c>
      <c r="AB74" s="1059">
        <f t="shared" si="100"/>
        <v>68.284579999999991</v>
      </c>
      <c r="AC74" s="538">
        <f>Sheet1!Y72*MGDtoCFS</f>
        <v>39.928069999999998</v>
      </c>
      <c r="AD74" s="538">
        <f>Sheet1!Z72*MGDtoCFS</f>
        <v>44.847529999999999</v>
      </c>
      <c r="AE74" s="538">
        <f>Sheet1!AA72*MGDtoCFS</f>
        <v>39.912599999999998</v>
      </c>
      <c r="AF74" s="538">
        <f>Sheet1!AB72*MGDtoCFS</f>
        <v>44.739240000000002</v>
      </c>
      <c r="AG74" s="538">
        <f>Sheet1!L72*MGDtoCFS</f>
        <v>0</v>
      </c>
      <c r="AH74" s="521">
        <f t="shared" si="187"/>
        <v>0</v>
      </c>
      <c r="AI74" s="1059">
        <f t="shared" si="188"/>
        <v>0</v>
      </c>
      <c r="AJ74" s="535">
        <f t="shared" si="189"/>
        <v>54.118211829436035</v>
      </c>
      <c r="AK74" s="535">
        <f t="shared" si="190"/>
        <v>83.720873700137545</v>
      </c>
      <c r="AL74" s="535">
        <f>(VLOOKUP(Sheet1!DC72,hhdcap_wcm,4)-(((VLOOKUP(Sheet1!DC72,hhdcap_wcm,3)-Sheet1!DC72)/(VLOOKUP(Sheet1!DC72,hhdcap_wcm,3)-VLOOKUP(Sheet1!DC72,hhdcap_wcm,1)))*(VLOOKUP(Sheet1!DC72,hhdcap_wcm,4)-VLOOKUP(Sheet1!DC72,hhdcap_wcm,2))))</f>
        <v>3881.3000000089428</v>
      </c>
      <c r="AM74" s="535">
        <f t="shared" si="191"/>
        <v>634.90000000130294</v>
      </c>
      <c r="AN74" s="1035">
        <f t="shared" si="192"/>
        <v>918.46115989691191</v>
      </c>
      <c r="AO74" s="535">
        <f t="shared" si="193"/>
        <v>2817.8388385637259</v>
      </c>
      <c r="AP74" s="535">
        <f>Sheet1!BA72+Sheet1!BB72+Sheet1!BN72+CD74</f>
        <v>18.5</v>
      </c>
      <c r="AQ74" s="535">
        <f>Sheet1!BN72+(DO74*Sheet1!BN72)</f>
        <v>18.39821182943604</v>
      </c>
      <c r="AR74" s="535">
        <f>Sheet1!BA72+CD74</f>
        <v>0</v>
      </c>
      <c r="AS74" s="535">
        <f>Sheet1!BA72+Sheet1!BB72+CD74</f>
        <v>0</v>
      </c>
      <c r="AT74" s="649">
        <f>0</f>
        <v>0</v>
      </c>
      <c r="AU74" s="535">
        <f>IF(EB74&lt;K74,0,MAX(Sheet1!AA72+AQ74-15/36*K74-N74,Sheet1!EH72,0))</f>
        <v>0</v>
      </c>
      <c r="AV74" s="535">
        <f>IF(OR(B74&gt;=GD74,B74&lt;GC74),0,15/36*K74-MAX(0,64.6-(137.6-(Sheet1!AA72+Sheet1!AB72))))</f>
        <v>26.933333333333334</v>
      </c>
      <c r="AW74" s="1029"/>
      <c r="AX74" s="649"/>
      <c r="AY74" s="649">
        <f t="shared" si="101"/>
        <v>0</v>
      </c>
      <c r="AZ74" s="649">
        <f t="shared" si="102"/>
        <v>0</v>
      </c>
      <c r="BA74" s="1059">
        <f t="shared" si="103"/>
        <v>0</v>
      </c>
      <c r="BB74" s="1019">
        <f t="shared" si="194"/>
        <v>457.86666666666667</v>
      </c>
      <c r="BC74" s="1041">
        <f t="shared" si="104"/>
        <v>26.933333333333334</v>
      </c>
      <c r="BD74" s="1019">
        <f ca="1">IF(B74&gt;Summary!$A$1,#N/A,BB74*MGtoAF)</f>
        <v>1404.7349333333334</v>
      </c>
      <c r="BE74" s="535">
        <f>Sheet1!BG72+Sheet1!BH72+Sheet1!BI72-BM74</f>
        <v>2.02</v>
      </c>
      <c r="BF74" s="535">
        <f t="shared" si="195"/>
        <v>2.0088858321870706</v>
      </c>
      <c r="BG74" s="535">
        <f>IF(Sheet1!EP72="FM",BM74,0)</f>
        <v>0</v>
      </c>
      <c r="BH74" s="535">
        <f t="shared" si="196"/>
        <v>0</v>
      </c>
      <c r="BI74" s="535">
        <f>IF(Sheet1!EP72="OTHER",BM74,0)</f>
        <v>0</v>
      </c>
      <c r="BJ74" s="535">
        <f t="shared" si="197"/>
        <v>0</v>
      </c>
      <c r="BK74" s="535">
        <f t="shared" si="198"/>
        <v>2.02</v>
      </c>
      <c r="BL74" s="535">
        <f t="shared" si="199"/>
        <v>2.0088858321870706</v>
      </c>
      <c r="BM74" s="535">
        <f>IF(OR(Sheet1!EP72="FM", Sheet1!EP72="OTHER"),SUM(Sheet1!BG72:'Sheet1'!BI72),0)</f>
        <v>0</v>
      </c>
      <c r="BN74" s="521">
        <f>IF(AND($B74&gt;=$FV74,$B74&lt;=$FW74),MAX(BF74,Sheet1!EI72,0),MAX(BF74-(7/36)*$K74,0))</f>
        <v>0</v>
      </c>
      <c r="BO74" s="535">
        <f t="shared" si="200"/>
        <v>10.560003056701818</v>
      </c>
      <c r="BP74" s="521">
        <f t="shared" si="201"/>
        <v>2.0088858321870706</v>
      </c>
      <c r="BQ74" s="521">
        <f>IF(AND($O74&gt;0,Sheet1!EM72=1),(1-($O74-Sheet1!$L72)/$O74)*BL74,0)</f>
        <v>0</v>
      </c>
      <c r="BR74" s="521">
        <f>IF(AND(Sheet1!$L72=0,Sheet1!$L71=0, Calculation!BK74&lt;Sheet1!$EI72-0.1,Sheet1!$EI72=Sheet1!$EI71,Sheet1!$EI72=Sheet1!$EI73),BL74-BQ74,BL74-BQ74)</f>
        <v>2.0088858321870706</v>
      </c>
      <c r="BS74" s="1035" t="str">
        <f t="shared" si="105"/>
        <v/>
      </c>
      <c r="BT74" s="1035">
        <f t="shared" si="106"/>
        <v>12.568888888888889</v>
      </c>
      <c r="BU74" s="535">
        <f t="shared" si="202"/>
        <v>195.7308115086355</v>
      </c>
      <c r="BV74" s="535"/>
      <c r="BW74" s="535">
        <f ca="1">IF(B74&gt;Summary!$A$1,#N/A,BU74*MGtoAF)</f>
        <v>600.50212970849373</v>
      </c>
      <c r="BX74" s="535">
        <f>Sheet1!BC72+Sheet1!BD72+Sheet1!BE72+Sheet1!BF72-CG74-CH74</f>
        <v>2</v>
      </c>
      <c r="BY74" s="535">
        <f t="shared" si="203"/>
        <v>1.988995873452545</v>
      </c>
      <c r="BZ74" s="535">
        <f>IF(Sheet1!EQ72="FM",CH74,0)</f>
        <v>0</v>
      </c>
      <c r="CA74" s="535">
        <f t="shared" si="204"/>
        <v>0</v>
      </c>
      <c r="CB74" s="535">
        <f>IF(Sheet1!EQ72="OTHER",CH74,0)</f>
        <v>0</v>
      </c>
      <c r="CC74" s="535">
        <f t="shared" si="205"/>
        <v>0</v>
      </c>
      <c r="CD74" s="535">
        <f t="shared" si="206"/>
        <v>0</v>
      </c>
      <c r="CE74" s="535">
        <f t="shared" si="207"/>
        <v>2</v>
      </c>
      <c r="CF74" s="535">
        <f t="shared" si="208"/>
        <v>1.988995873452545</v>
      </c>
      <c r="CG74" s="535">
        <f>IF(Sheet1!EQ72="CWA",SUM(Sheet1!BC72:'Sheet1'!BF72),0)</f>
        <v>0</v>
      </c>
      <c r="CH74" s="535">
        <f>IF(OR(Sheet1!EQ72="FM", Sheet1!EQ72="OTHER"),SUM(Sheet1!BC72:'Sheet1'!BF72),0)</f>
        <v>0</v>
      </c>
      <c r="CI74" s="521">
        <f>IF(AND($B74&gt;=$FV74,$B74&lt;=$FW74),MAX(CF74,Sheet1!EJ72,0),MAX(CF74-(7/36)*$K74,0))</f>
        <v>0</v>
      </c>
      <c r="CJ74" s="535">
        <f t="shared" si="209"/>
        <v>10.579893015436344</v>
      </c>
      <c r="CK74" s="521">
        <f t="shared" si="210"/>
        <v>1.988995873452545</v>
      </c>
      <c r="CL74" s="521">
        <f>IF(AND($O74&gt;0,Sheet1!EN72=1),(1-($O74-Sheet1!$L72)/$O74)*CF74,0)</f>
        <v>0</v>
      </c>
      <c r="CM74" s="521">
        <f>IF(AND(Sheet1!$L72=0,Sheet1!$L71=0, Calculation!CE74&lt;Sheet1!EJ72-0.1,Sheet1!EJ72=Sheet1!EJ71,Sheet1!EJ72=Sheet1!EJ73),CF74-CL74,CF74-CL74)</f>
        <v>1.988995873452545</v>
      </c>
      <c r="CN74" s="1040" t="str">
        <f t="shared" si="107"/>
        <v/>
      </c>
      <c r="CO74" s="1035">
        <f t="shared" si="108"/>
        <v>12.568888888888889</v>
      </c>
      <c r="CP74" s="535">
        <f t="shared" si="211"/>
        <v>162.43163507415989</v>
      </c>
      <c r="CQ74" s="535"/>
      <c r="CR74" s="535">
        <f ca="1">IF(B74&gt;Summary!$A$1,#N/A,CP74*MGtoAF)</f>
        <v>498.34025640752253</v>
      </c>
      <c r="CS74" s="535">
        <f>Sheet1!BK72+Sheet1!BL72+Sheet1!BM72-Sheet1!ER72-DA74</f>
        <v>6.5600000000000005</v>
      </c>
      <c r="CT74" s="535">
        <f t="shared" si="212"/>
        <v>6.5239064649243481</v>
      </c>
      <c r="CU74" s="535">
        <f>IF(Sheet1!ER72="FM",DA74,0)</f>
        <v>0</v>
      </c>
      <c r="CV74" s="535">
        <f t="shared" si="213"/>
        <v>0</v>
      </c>
      <c r="CW74" s="535">
        <f>IF(Sheet1!ER72="OTHER",DA74,0)</f>
        <v>0</v>
      </c>
      <c r="CX74" s="535">
        <f t="shared" si="214"/>
        <v>0</v>
      </c>
      <c r="CY74" s="535">
        <f t="shared" si="215"/>
        <v>6.5600000000000005</v>
      </c>
      <c r="CZ74" s="535">
        <f t="shared" si="216"/>
        <v>6.5239064649243481</v>
      </c>
      <c r="DA74" s="535">
        <f>IF(OR(Sheet1!ER72="FM", Sheet1!ER72="OTHER"),SUM(Sheet1!BK72:'Sheet1'!BM72),0)</f>
        <v>0</v>
      </c>
      <c r="DB74" s="1011">
        <f>IF(AND($B74&gt;=$FV74,$B74&lt;=$FW74),MAX($CT74,Sheet1!EK72,0),MAX($CT74-(7/36)*$K74,0))</f>
        <v>0</v>
      </c>
      <c r="DC74" s="1012">
        <f t="shared" si="217"/>
        <v>6.0449824239645409</v>
      </c>
      <c r="DD74" s="1011">
        <f t="shared" si="218"/>
        <v>6.5239064649243481</v>
      </c>
      <c r="DE74" s="521">
        <f>IF(AND($O74&gt;0,Sheet1!EO72=1),(1-($O74-Sheet1!$L72)/$O74)*CZ74,0)</f>
        <v>0</v>
      </c>
      <c r="DF74" s="521">
        <f>IF(AND(Sheet1!$L72=0,Sheet1!$L71=0, Calculation!CY74&lt;Sheet1!$EK72-0.1,Sheet1!$EK72=Sheet1!$EK71,Sheet1!$EK72=Sheet1!$EK73),CZ74-DE74,CZ74-DE74)</f>
        <v>6.5239064649243481</v>
      </c>
      <c r="DG74" s="1040">
        <f t="shared" si="109"/>
        <v>12.568888888888889</v>
      </c>
      <c r="DH74" s="649">
        <f t="shared" si="219"/>
        <v>10.58</v>
      </c>
      <c r="DI74" s="535">
        <f t="shared" si="220"/>
        <v>102.43204664744984</v>
      </c>
      <c r="DJ74" s="649">
        <f t="shared" si="221"/>
        <v>10.521788170563964</v>
      </c>
      <c r="DK74" s="535">
        <f ca="1">IF(B74&gt;Summary!$A$1,#N/A,DI74*MGtoAF)</f>
        <v>314.26151911437609</v>
      </c>
      <c r="DL74" s="649">
        <f t="shared" si="222"/>
        <v>10.58</v>
      </c>
      <c r="DM74" s="535">
        <f t="shared" si="223"/>
        <v>29.08</v>
      </c>
      <c r="DN74" s="535">
        <f>Sheet1!AB72-DM74</f>
        <v>-0.15999999999999659</v>
      </c>
      <c r="DO74" s="743">
        <f t="shared" si="224"/>
        <v>-5.5020632737275308E-3</v>
      </c>
      <c r="DP74" s="535">
        <f>(VLOOKUP(Sheet1!DC72,hhdcap_wcm,4)-(((VLOOKUP(Sheet1!DC72,hhdcap_wcm,3)-Sheet1!DC72)/(VLOOKUP(Sheet1!DC72,hhdcap_wcm,3)-VLOOKUP(Sheet1!DC72,hhdcap_wcm,1)))*(VLOOKUP(Sheet1!DC72,hhdcap_wcm,4)-VLOOKUP(Sheet1!DC72,hhdcap_wcm,2))))</f>
        <v>3881.3000000089428</v>
      </c>
      <c r="DQ74" s="535">
        <f t="shared" si="225"/>
        <v>634.90000000130294</v>
      </c>
      <c r="DR74" s="535">
        <f t="shared" si="226"/>
        <v>320.17145738845329</v>
      </c>
      <c r="DS74" s="535">
        <f>Sheet1!EA72*AFtoMG</f>
        <v>0</v>
      </c>
      <c r="DT74" s="535">
        <f>Sheet1!EB72*AFtoMG</f>
        <v>0</v>
      </c>
      <c r="DU74" s="535">
        <f>Sheet1!EC72*AFtoMG</f>
        <v>0</v>
      </c>
      <c r="DV74" s="535">
        <f>Sheet1!ED72*AFtoMG</f>
        <v>0</v>
      </c>
      <c r="DW74" s="535">
        <f t="shared" si="227"/>
        <v>0</v>
      </c>
      <c r="DX74" s="535">
        <f t="shared" si="228"/>
        <v>0</v>
      </c>
      <c r="DY74" s="535">
        <f t="shared" si="229"/>
        <v>918.46115989691191</v>
      </c>
      <c r="DZ74" s="535">
        <f t="shared" si="230"/>
        <v>2817.8388385637259</v>
      </c>
      <c r="EA74" s="535"/>
      <c r="EB74" s="521">
        <f>IF(OR(B74&lt;FV74,B74&gt;FW74),(MIN(BF74+BY74+CT74+MAX(Sheet1!AA72+AQ74-73,0),K74)),0)</f>
        <v>10.521788170563964</v>
      </c>
      <c r="EC74" s="535"/>
      <c r="ED74" s="535">
        <f t="shared" si="231"/>
        <v>10.521788170563964</v>
      </c>
      <c r="EE74" s="535"/>
      <c r="EF74" s="535">
        <f>Sheet1!EH72+Sheet1!EI72+Sheet1!EJ72+Sheet1!EK72</f>
        <v>10.5</v>
      </c>
      <c r="EG74" s="1019">
        <f t="shared" si="110"/>
        <v>16.243500000000001</v>
      </c>
      <c r="EH74" s="521">
        <f t="shared" si="232"/>
        <v>0</v>
      </c>
      <c r="EI74" s="535">
        <f>IF(Sheet1!ET72=1,SUM('Calculations II'!AT74:BA74)+'Calculations II'!BC74+Sheet1!BV72+'Calculations II'!BE74+AP74,'Calculations II'!BK74)</f>
        <v>44.418383829436038</v>
      </c>
      <c r="EJ74" s="535">
        <f ca="1">EI74+'Calculations II'!D74+'Calculations II'!E74+'Calculations II'!O74</f>
        <v>40.863720756603612</v>
      </c>
      <c r="EK74" s="535"/>
      <c r="EL74" s="535"/>
      <c r="EM74" s="535">
        <f t="shared" si="233"/>
        <v>42798</v>
      </c>
      <c r="EN74" s="535">
        <f t="shared" si="234"/>
        <v>54.118211829436035</v>
      </c>
      <c r="EO74" s="535">
        <f t="shared" si="235"/>
        <v>83.720873700137545</v>
      </c>
      <c r="EP74" s="535">
        <v>0</v>
      </c>
      <c r="EQ74" s="535">
        <v>0</v>
      </c>
      <c r="ER74" s="535">
        <v>0</v>
      </c>
      <c r="ES74" s="521">
        <f t="shared" si="257"/>
        <v>0.96928449131273109</v>
      </c>
      <c r="ET74" s="535">
        <f>-(VLOOKUP(Sheet1!BQ72,Lookup!$O$4:$Q$262,2)-VLOOKUP(Sheet1!BQ71,Lookup!$O$4:$Q$262,2))/1000000</f>
        <v>0.83077408223471794</v>
      </c>
      <c r="EU74" s="535">
        <f>-(VLOOKUP(Sheet1!BR72,Lookup!$O$4:$Q$262,3)-VLOOKUP(Sheet1!BR71,Lookup!$O$4:$Q$262,3))/1000000</f>
        <v>0.13851040907801315</v>
      </c>
      <c r="EV74" s="535"/>
      <c r="EW74" s="535"/>
      <c r="EX74" s="535"/>
      <c r="EY74" s="535"/>
      <c r="EZ74" s="535"/>
      <c r="FA74" s="535"/>
      <c r="FB74" s="535"/>
      <c r="FC74" s="535"/>
      <c r="FD74" s="567" t="e">
        <f t="shared" si="236"/>
        <v>#N/A</v>
      </c>
      <c r="FE74" s="567" t="e">
        <f t="shared" si="237"/>
        <v>#N/A</v>
      </c>
      <c r="FF74" s="568" t="e">
        <f t="shared" si="238"/>
        <v>#N/A</v>
      </c>
      <c r="FG74" s="569" t="s">
        <v>656</v>
      </c>
      <c r="FH74" s="569" t="s">
        <v>656</v>
      </c>
      <c r="FI74" s="567" t="e">
        <v>#N/A</v>
      </c>
      <c r="FJ74" s="567" t="e">
        <v>#N/A</v>
      </c>
      <c r="FK74" s="535"/>
      <c r="FL74" s="1015">
        <v>0</v>
      </c>
      <c r="FM74" s="535"/>
      <c r="FN74" s="535"/>
      <c r="FO74" s="535">
        <f>O74+((Sheet1!CS72)*GPMtoMGD)</f>
        <v>54.72</v>
      </c>
      <c r="FP74" s="535">
        <f>IF(Sheet1!AA72+AQ74&lt;=Calculation!N74,AQ74,Calculation!N74-Sheet1!AA72)</f>
        <v>18.39821182943604</v>
      </c>
      <c r="FQ74" s="535">
        <f>(Sheet1!BP72+Sheet1!BO72)/694.4</f>
        <v>1.5613479262672811</v>
      </c>
      <c r="FR74" s="541"/>
      <c r="FS74" s="541"/>
      <c r="FT74" s="541"/>
      <c r="FU74" s="541"/>
      <c r="FV74" s="1109">
        <f t="shared" si="258"/>
        <v>42918</v>
      </c>
      <c r="FW74" s="1109">
        <f t="shared" si="259"/>
        <v>43027</v>
      </c>
      <c r="FX74" s="541"/>
      <c r="FY74" s="541">
        <f>Sheet1!DA72-Sheet1!CZ72-Sheet1!AE72</f>
        <v>681.34816000000001</v>
      </c>
      <c r="FZ74" s="535">
        <f t="shared" si="111"/>
        <v>0.68534270918399176</v>
      </c>
      <c r="GA74" s="535"/>
      <c r="GB74" s="535" t="str">
        <f t="shared" si="260"/>
        <v>n</v>
      </c>
      <c r="GC74" s="539">
        <f t="shared" si="261"/>
        <v>42782</v>
      </c>
      <c r="GD74" s="1109">
        <f t="shared" si="262"/>
        <v>42904</v>
      </c>
      <c r="GE74" s="535">
        <f t="shared" si="95"/>
        <v>6520</v>
      </c>
      <c r="GF74" s="1109">
        <f t="shared" si="263"/>
        <v>42909</v>
      </c>
      <c r="GG74" s="535">
        <f t="shared" si="174"/>
        <v>3260</v>
      </c>
      <c r="GH74" s="539">
        <f t="shared" si="264"/>
        <v>43040</v>
      </c>
      <c r="GJ74" s="521">
        <f t="shared" si="265"/>
        <v>0</v>
      </c>
      <c r="GK74" s="535" t="str">
        <f t="shared" si="239"/>
        <v/>
      </c>
      <c r="GL74" s="535">
        <f t="shared" si="266"/>
        <v>0</v>
      </c>
      <c r="GM74" s="535" t="str">
        <f t="shared" si="267"/>
        <v/>
      </c>
      <c r="GN74" s="535">
        <f>IF(GK74="P",Lookup!$M$12,IF(GK74="PP",Lookup!$M$13,IF(GK74="PPP",Lookup!$M$14,IF(GK74="T",Lookup!$M$15,IF(GK74="TP",Lookup!$M$16,IF(GK74="TPP",Lookup!$M$17,IF(GK74="TPPP",Lookup!$M$18,0)))))))*GJ74</f>
        <v>0</v>
      </c>
      <c r="GO74" s="535">
        <f t="shared" si="268"/>
        <v>0</v>
      </c>
      <c r="GP74" s="535">
        <f t="shared" si="240"/>
        <v>1404.7349333333334</v>
      </c>
      <c r="GQ74" s="535">
        <f t="shared" si="94"/>
        <v>457.86666666666667</v>
      </c>
      <c r="GR74" s="535"/>
      <c r="GS74" s="535">
        <f t="shared" si="269"/>
        <v>0</v>
      </c>
      <c r="GT74" s="535" t="str">
        <f t="shared" si="270"/>
        <v/>
      </c>
      <c r="GU74" s="535">
        <f>IF(GK74="P",Lookup!$N$12,IF(GK74="PP",Lookup!$N$13,IF(GK74="PPP",Lookup!$N$14,IF(GK74="T",Lookup!$N$15,IF(GK74="TP",Lookup!$N$16,IF(GK74="TPP",Lookup!$N$17,IF(GK74="TPPP",Lookup!$N$18,0)))))))*GJ74</f>
        <v>0</v>
      </c>
      <c r="GV74" s="535">
        <f t="shared" si="271"/>
        <v>0</v>
      </c>
      <c r="GW74" s="535">
        <f t="shared" si="241"/>
        <v>600.50212970849373</v>
      </c>
      <c r="GX74" s="535">
        <f t="shared" ref="GX74:GX137" si="276">(IF(AND(GB74="Y",B74=GD74),1267.5,(IF(AND(B74&lt;GF74,B74&gt;=GC74),MIN(BU73+BO74-BN74,7/36*GE74),IF(B74=GF74,7/36*GG74,IF(AND(B74&gt;GF74,B74&lt;GH74),MIN(BU73+BO74-BN74,7/36*GG74),IF(B74&gt;=GH74,0,0)))))))+DT74</f>
        <v>195.7308115086355</v>
      </c>
      <c r="GY74" s="535"/>
      <c r="GZ74" s="535">
        <f t="shared" si="272"/>
        <v>0</v>
      </c>
      <c r="HA74" s="535" t="str">
        <f t="shared" si="273"/>
        <v/>
      </c>
      <c r="HB74" s="535">
        <f>IF(GK74="P",Lookup!$N$12,IF(GK74="PP",Lookup!$N$13,IF(GK74="PPP",Lookup!$N$14,IF(GK74="T",Lookup!$N$15,IF(GK74="TP",Lookup!$N$16,IF(GK74="TPP",Lookup!$N$17,IF(GK74="TPPP",Lookup!$N$18,0)))))))*GJ74</f>
        <v>0</v>
      </c>
      <c r="HC74" s="521">
        <f t="shared" si="242"/>
        <v>0</v>
      </c>
      <c r="HD74" s="535">
        <f t="shared" si="243"/>
        <v>498.34025640752253</v>
      </c>
      <c r="HE74" s="535">
        <f t="shared" ref="HE74:HE137" si="277">(IF(AND(GB74="Y",B74=GD74),1267.5,IF(AND(B74&lt;GF74,B74&gt;=GC74),MIN(CP73+CJ74-CI74,7/36*GE74),IF(B74=GF74,7/36*GG74,IF(AND(B74&gt;GF74,B74&lt;GH74),MIN(CP73+CJ74-CI74,7/36*GG74),IF(B74&gt;=GH74,0,0))))))+DU74</f>
        <v>162.43163507415989</v>
      </c>
      <c r="HF74" s="535"/>
      <c r="HG74" s="535">
        <f t="shared" si="274"/>
        <v>0</v>
      </c>
      <c r="HH74" s="535" t="str">
        <f t="shared" si="275"/>
        <v/>
      </c>
      <c r="HI74" s="535">
        <f>IF(GK74="P",Lookup!$N$12,IF(GK74="PP",Lookup!$N$13,IF(GK74="PPP",Lookup!$N$14,IF(GK74="T",Lookup!$N$15,IF(GK74="TP",Lookup!$N$16,IF(GK74="TPP",Lookup!$N$17,IF(GK74="TPPP",Lookup!$N$18,0)))))))*GJ74</f>
        <v>0</v>
      </c>
      <c r="HJ74" s="521">
        <f t="shared" si="244"/>
        <v>0</v>
      </c>
      <c r="HK74" s="535">
        <f t="shared" si="245"/>
        <v>314.26151911437609</v>
      </c>
      <c r="HL74" s="535">
        <f t="shared" ref="HL74:HL137" si="278">(IF(AND(GB74="Y",B74=GD74),1267.5,(IF(AND(B74&lt;GF74,B74&gt;=GC74),MIN(DI73+DC74-DB74,7/36*GE74),IF(B74=GF74,7/36*GG74,IF(AND(B74&gt;GF74,B74&lt;GH74),MIN(DI73+DC74-DB74,7/36*GG74),IF(B74&gt;=GH74,0,0)))))))+DV74</f>
        <v>102.43204664744984</v>
      </c>
      <c r="HM74" s="535"/>
      <c r="HN74" s="541"/>
      <c r="HO74" s="541"/>
      <c r="HP74" s="541"/>
      <c r="HQ74" s="541">
        <f>IF(AND(B74&gt;=$FV$4,B74&lt;=$FW$4),MAX(110/1.02+$HQ$6+MIN(113/1.02,G74),IF($HV$6-(Sheet1!DA72-Sheet1!DB72)+MIN(113/1.02,G74)&lt;G74+FL74,$HV$6-(Sheet1!DA72-Sheet1!DB72)+MIN(113/1.02,G74),G74+FL74)),MIN(110/1.02+$HQ$6+113/1.02,G74))</f>
        <v>218.62745098039215</v>
      </c>
      <c r="HR74" s="541">
        <f t="shared" si="112"/>
        <v>223</v>
      </c>
      <c r="HS74" s="541">
        <f>HR74+(Sheet1!DA72-Sheet1!DB72)</f>
        <v>1027</v>
      </c>
      <c r="HT74" s="541">
        <f t="shared" si="113"/>
        <v>68.284579999999991</v>
      </c>
      <c r="HU74" s="541">
        <f t="shared" si="114"/>
        <v>958.71541999999999</v>
      </c>
      <c r="HV74" s="541">
        <f t="shared" si="115"/>
        <v>0</v>
      </c>
      <c r="HW74" s="533" t="str">
        <f t="shared" si="116"/>
        <v/>
      </c>
      <c r="HX74" s="541">
        <f t="shared" si="117"/>
        <v>455.37254901960785</v>
      </c>
      <c r="HY74" s="541">
        <f>Sheet1!CZ72</f>
        <v>674</v>
      </c>
      <c r="HZ74" s="541">
        <f t="shared" si="118"/>
        <v>0</v>
      </c>
      <c r="IA74" s="541">
        <f t="shared" si="119"/>
        <v>68.284579999999991</v>
      </c>
      <c r="IB74" s="541">
        <f t="shared" si="120"/>
        <v>674</v>
      </c>
      <c r="IC74" s="1019" t="str">
        <f t="shared" si="121"/>
        <v/>
      </c>
      <c r="ID74" s="541">
        <f t="shared" si="122"/>
        <v>605.71541999999999</v>
      </c>
      <c r="IE74" s="541">
        <f>Sheet1!DB72</f>
        <v>636</v>
      </c>
      <c r="IF74" s="533">
        <f>Sheet1!DA72</f>
        <v>1440</v>
      </c>
      <c r="IH74" s="541">
        <f>IF(AND($B74&gt;=$GC74,$B74&lt;=$GH74,$DR74&lt;0)+N("only adjusted when pool is drawn down during storage season"),Sheet1!$DB72+$DR74+N("Palmer minus all storage release"),Sheet1!$DB72)</f>
        <v>636</v>
      </c>
      <c r="II74" s="541">
        <f>IF(AND($B74&gt;=$GC74,$B74&lt;=$GH74,$DR74&lt;0)+N("only adjusted when pool is drawn down during storage season"),Sheet1!$DA72+$DR74+N("Auburn minus all storage release"),Sheet1!$DA72)</f>
        <v>1440</v>
      </c>
    </row>
    <row r="75" spans="1:281" x14ac:dyDescent="0.25">
      <c r="A75" s="553" t="s">
        <v>3</v>
      </c>
      <c r="B75" s="531">
        <v>42799</v>
      </c>
      <c r="C75" s="536">
        <v>0</v>
      </c>
      <c r="D75" s="506">
        <f t="shared" si="247"/>
        <v>300</v>
      </c>
      <c r="E75" s="506">
        <f t="shared" si="248"/>
        <v>250</v>
      </c>
      <c r="F75" s="506">
        <v>250</v>
      </c>
      <c r="G75" s="535">
        <f>DR75+Sheet1!CZ73</f>
        <v>921.83005547171865</v>
      </c>
      <c r="H75" s="1074">
        <f t="shared" si="246"/>
        <v>269.38374822399999</v>
      </c>
      <c r="I75" s="534">
        <f>IF(Sheet1!DA73&gt;=E75,(Sheet1!DA73-E75+P75)*CFStoMGD,0)</f>
        <v>791.67494822399999</v>
      </c>
      <c r="J75" s="995">
        <f>IF(Sheet1!DB73&gt;=D75,(Sheet1!DB73-D75+P75)*CFStoMGD,0)</f>
        <v>269.38374822399999</v>
      </c>
      <c r="K75" s="818">
        <f t="shared" si="97"/>
        <v>64.64</v>
      </c>
      <c r="L75" s="535">
        <f>Sheet1!AA73+Sheet1!AB73-Sheet1!L73+(Sheet1!DA73-F75)*CFStoMGD-S75-T75-U75</f>
        <v>727.03599999999994</v>
      </c>
      <c r="M75" s="535">
        <f t="shared" si="185"/>
        <v>607.78836681405733</v>
      </c>
      <c r="N75" s="824">
        <f>IF(Sheet1!DA73&gt;=F75,MIN(113*CFStoMGD,MIN(MAX(L75,0),MAX(M75,0))),0)</f>
        <v>73.043199999999999</v>
      </c>
      <c r="O75" s="538">
        <f>Sheet1!AA73+Sheet1!AB73</f>
        <v>54.78</v>
      </c>
      <c r="P75" s="538">
        <f t="shared" si="186"/>
        <v>84.744659999999996</v>
      </c>
      <c r="Q75" s="812">
        <f t="shared" si="98"/>
        <v>44.22</v>
      </c>
      <c r="R75" s="812">
        <f t="shared" si="249"/>
        <v>10.53456297315898</v>
      </c>
      <c r="S75" s="812">
        <f t="shared" si="250"/>
        <v>10.559999999999999</v>
      </c>
      <c r="T75" s="812">
        <f t="shared" si="251"/>
        <v>54.08</v>
      </c>
      <c r="U75" s="812">
        <f t="shared" si="99"/>
        <v>0</v>
      </c>
      <c r="V75" s="812"/>
      <c r="W75" s="812">
        <f t="shared" si="252"/>
        <v>54.105437026841017</v>
      </c>
      <c r="X75" s="812">
        <f t="shared" si="253"/>
        <v>64.64</v>
      </c>
      <c r="Y75" s="812" t="str">
        <f t="shared" si="254"/>
        <v>FALSE</v>
      </c>
      <c r="Z75" s="812">
        <f t="shared" si="255"/>
        <v>54.78</v>
      </c>
      <c r="AA75" s="812">
        <f t="shared" si="256"/>
        <v>54.78</v>
      </c>
      <c r="AB75" s="1059">
        <f t="shared" si="100"/>
        <v>68.408339999999995</v>
      </c>
      <c r="AC75" s="538">
        <f>Sheet1!Y73*MGDtoCFS</f>
        <v>39.912599999999998</v>
      </c>
      <c r="AD75" s="538">
        <f>Sheet1!Z73*MGDtoCFS</f>
        <v>44.739240000000002</v>
      </c>
      <c r="AE75" s="538">
        <f>Sheet1!AA73*MGDtoCFS</f>
        <v>39.897129999999997</v>
      </c>
      <c r="AF75" s="538">
        <f>Sheet1!AB73*MGDtoCFS</f>
        <v>44.847529999999999</v>
      </c>
      <c r="AG75" s="538">
        <f>Sheet1!L73*MGDtoCFS</f>
        <v>0</v>
      </c>
      <c r="AH75" s="521">
        <f t="shared" si="187"/>
        <v>0</v>
      </c>
      <c r="AI75" s="1059">
        <f t="shared" si="188"/>
        <v>0</v>
      </c>
      <c r="AJ75" s="535">
        <f t="shared" si="189"/>
        <v>54.105437026841017</v>
      </c>
      <c r="AK75" s="535">
        <f t="shared" si="190"/>
        <v>83.701111080523049</v>
      </c>
      <c r="AL75" s="535">
        <f>(VLOOKUP(Sheet1!DC73,hhdcap_wcm,4)-(((VLOOKUP(Sheet1!DC73,hhdcap_wcm,3)-Sheet1!DC73)/(VLOOKUP(Sheet1!DC73,hhdcap_wcm,3)-VLOOKUP(Sheet1!DC73,hhdcap_wcm,1)))*(VLOOKUP(Sheet1!DC73,hhdcap_wcm,4)-VLOOKUP(Sheet1!DC73,hhdcap_wcm,2))))</f>
        <v>4354.9000000093611</v>
      </c>
      <c r="AM75" s="535">
        <f t="shared" si="191"/>
        <v>473.60000000041828</v>
      </c>
      <c r="AN75" s="1035">
        <f t="shared" si="192"/>
        <v>972.56659692375285</v>
      </c>
      <c r="AO75" s="535">
        <f t="shared" si="193"/>
        <v>2983.834319362074</v>
      </c>
      <c r="AP75" s="535">
        <f>Sheet1!BA73+Sheet1!BB73+Sheet1!BN73+CD75</f>
        <v>18.5</v>
      </c>
      <c r="AQ75" s="535">
        <f>Sheet1!BN73+(DO75*Sheet1!BN73)</f>
        <v>18.455437026841018</v>
      </c>
      <c r="AR75" s="535">
        <f>Sheet1!BA73+CD75</f>
        <v>0</v>
      </c>
      <c r="AS75" s="535">
        <f>Sheet1!BA73+Sheet1!BB73+CD75</f>
        <v>0</v>
      </c>
      <c r="AT75" s="649">
        <f>0</f>
        <v>0</v>
      </c>
      <c r="AU75" s="535">
        <f>IF(EB75&lt;K75,0,MAX(Sheet1!AA73+AQ75-15/36*K75-N75,Sheet1!EH73,0))</f>
        <v>0</v>
      </c>
      <c r="AV75" s="535">
        <f>IF(OR(B75&gt;=GD75,B75&lt;GC75),0,15/36*K75-MAX(0,64.6-(137.6-(Sheet1!AA73+Sheet1!AB73))))</f>
        <v>26.933333333333334</v>
      </c>
      <c r="AW75" s="1029"/>
      <c r="AX75" s="649"/>
      <c r="AY75" s="649">
        <f t="shared" si="101"/>
        <v>0</v>
      </c>
      <c r="AZ75" s="649">
        <f t="shared" si="102"/>
        <v>0</v>
      </c>
      <c r="BA75" s="1059">
        <f t="shared" si="103"/>
        <v>0</v>
      </c>
      <c r="BB75" s="1019">
        <f t="shared" si="194"/>
        <v>484.8</v>
      </c>
      <c r="BC75" s="1041">
        <f t="shared" si="104"/>
        <v>26.933333333333334</v>
      </c>
      <c r="BD75" s="1019">
        <f ca="1">IF(B75&gt;Summary!$A$1,#N/A,BB75*MGtoAF)</f>
        <v>1487.3664000000001</v>
      </c>
      <c r="BE75" s="535">
        <f>Sheet1!BG73+Sheet1!BH73+Sheet1!BI73-BM75</f>
        <v>1.02</v>
      </c>
      <c r="BF75" s="535">
        <f t="shared" si="195"/>
        <v>1.0175430144528561</v>
      </c>
      <c r="BG75" s="535">
        <f>IF(Sheet1!EP73="FM",BM75,0)</f>
        <v>0</v>
      </c>
      <c r="BH75" s="535">
        <f t="shared" si="196"/>
        <v>0</v>
      </c>
      <c r="BI75" s="535">
        <f>IF(Sheet1!EP73="OTHER",BM75,0)</f>
        <v>0</v>
      </c>
      <c r="BJ75" s="535">
        <f t="shared" si="197"/>
        <v>0</v>
      </c>
      <c r="BK75" s="535">
        <f t="shared" si="198"/>
        <v>1.02</v>
      </c>
      <c r="BL75" s="535">
        <f t="shared" si="199"/>
        <v>1.0175430144528561</v>
      </c>
      <c r="BM75" s="535">
        <f>IF(OR(Sheet1!EP73="FM", Sheet1!EP73="OTHER"),SUM(Sheet1!BG73:'Sheet1'!BI73),0)</f>
        <v>0</v>
      </c>
      <c r="BN75" s="521">
        <f>IF(AND($B75&gt;=$FV75,$B75&lt;=$FW75),MAX(BF75,Sheet1!EI73,0),MAX(BF75-(7/36)*$K75,0))</f>
        <v>0</v>
      </c>
      <c r="BO75" s="535">
        <f t="shared" si="200"/>
        <v>11.551345874436032</v>
      </c>
      <c r="BP75" s="521">
        <f t="shared" si="201"/>
        <v>1.0175430144528561</v>
      </c>
      <c r="BQ75" s="521">
        <f>IF(AND($O75&gt;0,Sheet1!EM73=1),(1-($O75-Sheet1!$L73)/$O75)*BL75,0)</f>
        <v>0</v>
      </c>
      <c r="BR75" s="521">
        <f>IF(AND(Sheet1!$L73=0,Sheet1!$L72=0, Calculation!BK75&lt;Sheet1!$EI73-0.1,Sheet1!$EI73=Sheet1!$EI72,Sheet1!$EI73=Sheet1!$EI74),BL75-BQ75,BL75-BQ75)</f>
        <v>1.0175430144528561</v>
      </c>
      <c r="BS75" s="1035" t="str">
        <f t="shared" si="105"/>
        <v/>
      </c>
      <c r="BT75" s="1035">
        <f t="shared" si="106"/>
        <v>12.568888888888889</v>
      </c>
      <c r="BU75" s="535">
        <f t="shared" si="202"/>
        <v>207.28215738307154</v>
      </c>
      <c r="BV75" s="535"/>
      <c r="BW75" s="535">
        <f ca="1">IF(B75&gt;Summary!$A$1,#N/A,BU75*MGtoAF)</f>
        <v>635.94165885126347</v>
      </c>
      <c r="BX75" s="535">
        <f>Sheet1!BC73+Sheet1!BD73+Sheet1!BE73+Sheet1!BF73-CG75-CH75</f>
        <v>3</v>
      </c>
      <c r="BY75" s="535">
        <f t="shared" si="203"/>
        <v>2.9927735719201651</v>
      </c>
      <c r="BZ75" s="535">
        <f>IF(Sheet1!EQ73="FM",CH75,0)</f>
        <v>0</v>
      </c>
      <c r="CA75" s="535">
        <f t="shared" si="204"/>
        <v>0</v>
      </c>
      <c r="CB75" s="535">
        <f>IF(Sheet1!EQ73="OTHER",CH75,0)</f>
        <v>0</v>
      </c>
      <c r="CC75" s="535">
        <f t="shared" si="205"/>
        <v>0</v>
      </c>
      <c r="CD75" s="535">
        <f t="shared" si="206"/>
        <v>0</v>
      </c>
      <c r="CE75" s="535">
        <f t="shared" si="207"/>
        <v>3</v>
      </c>
      <c r="CF75" s="535">
        <f t="shared" si="208"/>
        <v>2.9927735719201651</v>
      </c>
      <c r="CG75" s="535">
        <f>IF(Sheet1!EQ73="CWA",SUM(Sheet1!BC73:'Sheet1'!BF73),0)</f>
        <v>0</v>
      </c>
      <c r="CH75" s="535">
        <f>IF(OR(Sheet1!EQ73="FM", Sheet1!EQ73="OTHER"),SUM(Sheet1!BC73:'Sheet1'!BF73),0)</f>
        <v>0</v>
      </c>
      <c r="CI75" s="521">
        <f>IF(AND($B75&gt;=$FV75,$B75&lt;=$FW75),MAX(CF75,Sheet1!EJ73,0),MAX(CF75-(7/36)*$K75,0))</f>
        <v>0</v>
      </c>
      <c r="CJ75" s="535">
        <f t="shared" si="209"/>
        <v>9.5761153169687248</v>
      </c>
      <c r="CK75" s="521">
        <f t="shared" si="210"/>
        <v>2.9927735719201651</v>
      </c>
      <c r="CL75" s="521">
        <f>IF(AND($O75&gt;0,Sheet1!EN73=1),(1-($O75-Sheet1!$L73)/$O75)*CF75,0)</f>
        <v>0</v>
      </c>
      <c r="CM75" s="521">
        <f>IF(AND(Sheet1!$L73=0,Sheet1!$L72=0, Calculation!CE75&lt;Sheet1!EJ73-0.1,Sheet1!EJ73=Sheet1!EJ72,Sheet1!EJ73=Sheet1!EJ74),CF75-CL75,CF75-CL75)</f>
        <v>2.9927735719201651</v>
      </c>
      <c r="CN75" s="1040" t="str">
        <f t="shared" si="107"/>
        <v/>
      </c>
      <c r="CO75" s="1035">
        <f t="shared" si="108"/>
        <v>12.568888888888889</v>
      </c>
      <c r="CP75" s="535">
        <f t="shared" si="211"/>
        <v>172.00775039112861</v>
      </c>
      <c r="CQ75" s="535"/>
      <c r="CR75" s="535">
        <f ca="1">IF(B75&gt;Summary!$A$1,#N/A,CP75*MGtoAF)</f>
        <v>527.71977819998256</v>
      </c>
      <c r="CS75" s="535">
        <f>Sheet1!BK73+Sheet1!BL73+Sheet1!BM73-Sheet1!ER73-DA75</f>
        <v>6.5399999999999991</v>
      </c>
      <c r="CT75" s="535">
        <f t="shared" si="212"/>
        <v>6.5242463867859595</v>
      </c>
      <c r="CU75" s="535">
        <f>IF(Sheet1!ER73="FM",DA75,0)</f>
        <v>0</v>
      </c>
      <c r="CV75" s="535">
        <f t="shared" si="213"/>
        <v>0</v>
      </c>
      <c r="CW75" s="535">
        <f>IF(Sheet1!ER73="OTHER",DA75,0)</f>
        <v>0</v>
      </c>
      <c r="CX75" s="535">
        <f t="shared" si="214"/>
        <v>0</v>
      </c>
      <c r="CY75" s="535">
        <f t="shared" si="215"/>
        <v>6.5399999999999991</v>
      </c>
      <c r="CZ75" s="535">
        <f t="shared" si="216"/>
        <v>6.5242463867859595</v>
      </c>
      <c r="DA75" s="535">
        <f>IF(OR(Sheet1!ER73="FM", Sheet1!ER73="OTHER"),SUM(Sheet1!BK73:'Sheet1'!BM73),0)</f>
        <v>0</v>
      </c>
      <c r="DB75" s="1011">
        <f>IF(AND($B75&gt;=$FV75,$B75&lt;=$FW75),MAX($CT75,Sheet1!EK73,0),MAX($CT75-(7/36)*$K75,0))</f>
        <v>0</v>
      </c>
      <c r="DC75" s="1012">
        <f t="shared" si="217"/>
        <v>6.0446425021029295</v>
      </c>
      <c r="DD75" s="1011">
        <f t="shared" si="218"/>
        <v>6.5242463867859595</v>
      </c>
      <c r="DE75" s="521">
        <f>IF(AND($O75&gt;0,Sheet1!EO73=1),(1-($O75-Sheet1!$L73)/$O75)*CZ75,0)</f>
        <v>0</v>
      </c>
      <c r="DF75" s="521">
        <f>IF(AND(Sheet1!$L73=0,Sheet1!$L72=0, Calculation!CY75&lt;Sheet1!$EK73-0.1,Sheet1!$EK73=Sheet1!$EK72,Sheet1!$EK73=Sheet1!$EK74),CZ75-DE75,CZ75-DE75)</f>
        <v>6.5242463867859595</v>
      </c>
      <c r="DG75" s="1040">
        <f t="shared" si="109"/>
        <v>12.568888888888889</v>
      </c>
      <c r="DH75" s="649">
        <f t="shared" si="219"/>
        <v>10.559999999999999</v>
      </c>
      <c r="DI75" s="535">
        <f t="shared" si="220"/>
        <v>108.47668914955277</v>
      </c>
      <c r="DJ75" s="649">
        <f t="shared" si="221"/>
        <v>10.53456297315898</v>
      </c>
      <c r="DK75" s="535">
        <f ca="1">IF(B75&gt;Summary!$A$1,#N/A,DI75*MGtoAF)</f>
        <v>332.8064823108279</v>
      </c>
      <c r="DL75" s="649">
        <f t="shared" si="222"/>
        <v>10.559999999999999</v>
      </c>
      <c r="DM75" s="535">
        <f t="shared" si="223"/>
        <v>29.06</v>
      </c>
      <c r="DN75" s="535">
        <f>Sheet1!AB73-DM75</f>
        <v>-7.0000000000000284E-2</v>
      </c>
      <c r="DO75" s="743">
        <f t="shared" si="224"/>
        <v>-2.4088093599449515E-3</v>
      </c>
      <c r="DP75" s="535">
        <f>(VLOOKUP(Sheet1!DC73,hhdcap_wcm,4)-(((VLOOKUP(Sheet1!DC73,hhdcap_wcm,3)-Sheet1!DC73)/(VLOOKUP(Sheet1!DC73,hhdcap_wcm,3)-VLOOKUP(Sheet1!DC73,hhdcap_wcm,1)))*(VLOOKUP(Sheet1!DC73,hhdcap_wcm,4)-VLOOKUP(Sheet1!DC73,hhdcap_wcm,2))))</f>
        <v>4354.9000000093611</v>
      </c>
      <c r="DQ75" s="535">
        <f t="shared" si="225"/>
        <v>473.60000000041828</v>
      </c>
      <c r="DR75" s="535">
        <f t="shared" si="226"/>
        <v>238.83005547171871</v>
      </c>
      <c r="DS75" s="535">
        <f>Sheet1!EA73*AFtoMG</f>
        <v>0</v>
      </c>
      <c r="DT75" s="535">
        <f>Sheet1!EB73*AFtoMG</f>
        <v>0</v>
      </c>
      <c r="DU75" s="535">
        <f>Sheet1!EC73*AFtoMG</f>
        <v>0</v>
      </c>
      <c r="DV75" s="535">
        <f>Sheet1!ED73*AFtoMG</f>
        <v>0</v>
      </c>
      <c r="DW75" s="535">
        <f t="shared" si="227"/>
        <v>0</v>
      </c>
      <c r="DX75" s="535">
        <f t="shared" si="228"/>
        <v>0</v>
      </c>
      <c r="DY75" s="535">
        <f t="shared" si="229"/>
        <v>972.56659692375285</v>
      </c>
      <c r="DZ75" s="535">
        <f t="shared" si="230"/>
        <v>2983.834319362074</v>
      </c>
      <c r="EA75" s="535"/>
      <c r="EB75" s="521">
        <f>IF(OR(B75&lt;FV75,B75&gt;FW75),(MIN(BF75+BY75+CT75+MAX(Sheet1!AA73+AQ75-73,0),K75)),0)</f>
        <v>10.53456297315898</v>
      </c>
      <c r="EC75" s="535"/>
      <c r="ED75" s="535">
        <f t="shared" si="231"/>
        <v>10.53456297315898</v>
      </c>
      <c r="EE75" s="535"/>
      <c r="EF75" s="535">
        <f>Sheet1!EH73+Sheet1!EI73+Sheet1!EJ73+Sheet1!EK73</f>
        <v>10.5</v>
      </c>
      <c r="EG75" s="1019">
        <f t="shared" si="110"/>
        <v>16.243500000000001</v>
      </c>
      <c r="EH75" s="521">
        <f t="shared" si="232"/>
        <v>0</v>
      </c>
      <c r="EI75" s="535">
        <f>IF(Sheet1!ET73=1,SUM('Calculations II'!AT75:BA75)+'Calculations II'!BC75+Sheet1!BV73+'Calculations II'!BE75+AP75,'Calculations II'!BK75)</f>
        <v>43.882785026841027</v>
      </c>
      <c r="EJ75" s="535">
        <f ca="1">EI75+'Calculations II'!D75+'Calculations II'!E75+'Calculations II'!O75</f>
        <v>43.566187187611526</v>
      </c>
      <c r="EK75" s="535"/>
      <c r="EL75" s="535"/>
      <c r="EM75" s="535">
        <f t="shared" si="233"/>
        <v>42799</v>
      </c>
      <c r="EN75" s="535">
        <f t="shared" si="234"/>
        <v>54.105437026841017</v>
      </c>
      <c r="EO75" s="535">
        <f t="shared" si="235"/>
        <v>83.701111080523049</v>
      </c>
      <c r="EP75" s="535">
        <v>0</v>
      </c>
      <c r="EQ75" s="535">
        <v>0</v>
      </c>
      <c r="ER75" s="535">
        <v>0</v>
      </c>
      <c r="ES75" s="521">
        <f t="shared" si="257"/>
        <v>0.13855526404140517</v>
      </c>
      <c r="ET75" s="535">
        <f>-(VLOOKUP(Sheet1!BQ73,Lookup!$O$4:$Q$262,2)-VLOOKUP(Sheet1!BQ72,Lookup!$O$4:$Q$262,2))/1000000</f>
        <v>-0.13844632791959494</v>
      </c>
      <c r="EU75" s="535">
        <f>-(VLOOKUP(Sheet1!BR73,Lookup!$O$4:$Q$262,3)-VLOOKUP(Sheet1!BR72,Lookup!$O$4:$Q$262,3))/1000000</f>
        <v>0.2770015919610001</v>
      </c>
      <c r="EV75" s="535"/>
      <c r="EW75" s="535"/>
      <c r="EX75" s="535"/>
      <c r="EY75" s="535"/>
      <c r="EZ75" s="535"/>
      <c r="FA75" s="535"/>
      <c r="FB75" s="535"/>
      <c r="FC75" s="535"/>
      <c r="FD75" s="567" t="e">
        <f t="shared" si="236"/>
        <v>#N/A</v>
      </c>
      <c r="FE75" s="567" t="e">
        <f t="shared" si="237"/>
        <v>#N/A</v>
      </c>
      <c r="FF75" s="568" t="e">
        <f t="shared" si="238"/>
        <v>#N/A</v>
      </c>
      <c r="FG75" s="569" t="s">
        <v>656</v>
      </c>
      <c r="FH75" s="569" t="s">
        <v>656</v>
      </c>
      <c r="FI75" s="567" t="e">
        <v>#N/A</v>
      </c>
      <c r="FJ75" s="567" t="e">
        <v>#N/A</v>
      </c>
      <c r="FK75" s="535"/>
      <c r="FL75" s="1015">
        <v>0</v>
      </c>
      <c r="FM75" s="535"/>
      <c r="FN75" s="535"/>
      <c r="FO75" s="535">
        <f>O75+((Sheet1!CS73)*GPMtoMGD)</f>
        <v>54.78</v>
      </c>
      <c r="FP75" s="535">
        <f>IF(Sheet1!AA73+AQ75&lt;=Calculation!N75,AQ75,Calculation!N75-Sheet1!AA73)</f>
        <v>18.455437026841018</v>
      </c>
      <c r="FQ75" s="535">
        <f>(Sheet1!BP73+Sheet1!BO73)/694.4</f>
        <v>1.6245679723502304</v>
      </c>
      <c r="FR75" s="541"/>
      <c r="FS75" s="541"/>
      <c r="FT75" s="541"/>
      <c r="FU75" s="541"/>
      <c r="FV75" s="1109">
        <f t="shared" si="258"/>
        <v>42918</v>
      </c>
      <c r="FW75" s="1109">
        <f t="shared" si="259"/>
        <v>43027</v>
      </c>
      <c r="FX75" s="541"/>
      <c r="FY75" s="541">
        <f>Sheet1!DA73-Sheet1!CZ73-Sheet1!AE73</f>
        <v>622.25534000000005</v>
      </c>
      <c r="FZ75" s="535">
        <f t="shared" si="111"/>
        <v>0.67502175298632427</v>
      </c>
      <c r="GA75" s="535"/>
      <c r="GB75" s="535" t="str">
        <f t="shared" si="260"/>
        <v>n</v>
      </c>
      <c r="GC75" s="539">
        <f t="shared" si="261"/>
        <v>42782</v>
      </c>
      <c r="GD75" s="1109">
        <f t="shared" si="262"/>
        <v>42904</v>
      </c>
      <c r="GE75" s="535">
        <f t="shared" si="95"/>
        <v>6520</v>
      </c>
      <c r="GF75" s="1109">
        <f t="shared" si="263"/>
        <v>42909</v>
      </c>
      <c r="GG75" s="535">
        <f t="shared" si="174"/>
        <v>3260</v>
      </c>
      <c r="GH75" s="539">
        <f t="shared" si="264"/>
        <v>43040</v>
      </c>
      <c r="GJ75" s="521">
        <f t="shared" si="265"/>
        <v>0</v>
      </c>
      <c r="GK75" s="535" t="str">
        <f t="shared" si="239"/>
        <v/>
      </c>
      <c r="GL75" s="535">
        <f t="shared" si="266"/>
        <v>0</v>
      </c>
      <c r="GM75" s="535" t="str">
        <f t="shared" si="267"/>
        <v/>
      </c>
      <c r="GN75" s="535">
        <f>IF(GK75="P",Lookup!$M$12,IF(GK75="PP",Lookup!$M$13,IF(GK75="PPP",Lookup!$M$14,IF(GK75="T",Lookup!$M$15,IF(GK75="TP",Lookup!$M$16,IF(GK75="TPP",Lookup!$M$17,IF(GK75="TPPP",Lookup!$M$18,0)))))))*GJ75</f>
        <v>0</v>
      </c>
      <c r="GO75" s="535">
        <f t="shared" si="268"/>
        <v>0</v>
      </c>
      <c r="GP75" s="535">
        <f t="shared" si="240"/>
        <v>1487.3664000000001</v>
      </c>
      <c r="GQ75" s="535">
        <f t="shared" ref="GQ75:GQ138" si="279">(IF(AND(GB74="Y",B75=GD75),1392.1,(IF(AND(B75&lt;GF75,B75&gt;=GC75),MIN(BB74+AV75-AU75,15/36*GE75),IF(B75=GF75,15/36*GG75,IF(AND(B75&gt;GF75,B75&lt;GH75),MIN(BB74+AV75-AU75,15/36*GG75),IF(B75&gt;=GH75,0,0)))))))+DS75</f>
        <v>484.8</v>
      </c>
      <c r="GR75" s="535"/>
      <c r="GS75" s="535">
        <f t="shared" si="269"/>
        <v>0</v>
      </c>
      <c r="GT75" s="535" t="str">
        <f t="shared" si="270"/>
        <v/>
      </c>
      <c r="GU75" s="535">
        <f>IF(GK75="P",Lookup!$N$12,IF(GK75="PP",Lookup!$N$13,IF(GK75="PPP",Lookup!$N$14,IF(GK75="T",Lookup!$N$15,IF(GK75="TP",Lookup!$N$16,IF(GK75="TPP",Lookup!$N$17,IF(GK75="TPPP",Lookup!$N$18,0)))))))*GJ75</f>
        <v>0</v>
      </c>
      <c r="GV75" s="535">
        <f t="shared" si="271"/>
        <v>0</v>
      </c>
      <c r="GW75" s="535">
        <f t="shared" si="241"/>
        <v>635.94165885126347</v>
      </c>
      <c r="GX75" s="535">
        <f t="shared" si="276"/>
        <v>207.28215738307154</v>
      </c>
      <c r="GY75" s="535"/>
      <c r="GZ75" s="535">
        <f t="shared" si="272"/>
        <v>0</v>
      </c>
      <c r="HA75" s="535" t="str">
        <f t="shared" si="273"/>
        <v/>
      </c>
      <c r="HB75" s="535">
        <f>IF(GK75="P",Lookup!$N$12,IF(GK75="PP",Lookup!$N$13,IF(GK75="PPP",Lookup!$N$14,IF(GK75="T",Lookup!$N$15,IF(GK75="TP",Lookup!$N$16,IF(GK75="TPP",Lookup!$N$17,IF(GK75="TPPP",Lookup!$N$18,0)))))))*GJ75</f>
        <v>0</v>
      </c>
      <c r="HC75" s="521">
        <f t="shared" si="242"/>
        <v>0</v>
      </c>
      <c r="HD75" s="535">
        <f t="shared" si="243"/>
        <v>527.71977819998256</v>
      </c>
      <c r="HE75" s="535">
        <f t="shared" si="277"/>
        <v>172.00775039112861</v>
      </c>
      <c r="HF75" s="535"/>
      <c r="HG75" s="535">
        <f t="shared" si="274"/>
        <v>0</v>
      </c>
      <c r="HH75" s="535" t="str">
        <f t="shared" si="275"/>
        <v/>
      </c>
      <c r="HI75" s="535">
        <f>IF(GK75="P",Lookup!$N$12,IF(GK75="PP",Lookup!$N$13,IF(GK75="PPP",Lookup!$N$14,IF(GK75="T",Lookup!$N$15,IF(GK75="TP",Lookup!$N$16,IF(GK75="TPP",Lookup!$N$17,IF(GK75="TPPP",Lookup!$N$18,0)))))))*GJ75</f>
        <v>0</v>
      </c>
      <c r="HJ75" s="521">
        <f t="shared" si="244"/>
        <v>0</v>
      </c>
      <c r="HK75" s="535">
        <f t="shared" si="245"/>
        <v>332.8064823108279</v>
      </c>
      <c r="HL75" s="535">
        <f t="shared" si="278"/>
        <v>108.47668914955277</v>
      </c>
      <c r="HM75" s="535"/>
      <c r="HN75" s="541"/>
      <c r="HO75" s="541"/>
      <c r="HP75" s="541"/>
      <c r="HQ75" s="541">
        <f>IF(AND(B75&gt;=$FV$4,B75&lt;=$FW$4),MAX(110/1.02+$HQ$6+MIN(113/1.02,G75),IF($HV$6-(Sheet1!DA73-Sheet1!DB73)+MIN(113/1.02,G75)&lt;G75+FL75,$HV$6-(Sheet1!DA73-Sheet1!DB73)+MIN(113/1.02,G75),G75+FL75)),MIN(110/1.02+$HQ$6+113/1.02,G75))</f>
        <v>218.62745098039215</v>
      </c>
      <c r="HR75" s="541">
        <f t="shared" si="112"/>
        <v>223</v>
      </c>
      <c r="HS75" s="541">
        <f>HR75+(Sheet1!DA73-Sheet1!DB73)</f>
        <v>981</v>
      </c>
      <c r="HT75" s="541">
        <f t="shared" si="113"/>
        <v>68.408339999999995</v>
      </c>
      <c r="HU75" s="541">
        <f t="shared" si="114"/>
        <v>912.59166000000005</v>
      </c>
      <c r="HV75" s="541">
        <f t="shared" si="115"/>
        <v>0</v>
      </c>
      <c r="HW75" s="533" t="str">
        <f t="shared" si="116"/>
        <v/>
      </c>
      <c r="HX75" s="541">
        <f t="shared" si="117"/>
        <v>464.37254901960785</v>
      </c>
      <c r="HY75" s="541">
        <f>Sheet1!CZ73</f>
        <v>683</v>
      </c>
      <c r="HZ75" s="541">
        <f t="shared" si="118"/>
        <v>0</v>
      </c>
      <c r="IA75" s="541">
        <f t="shared" si="119"/>
        <v>68.408339999999995</v>
      </c>
      <c r="IB75" s="541">
        <f t="shared" si="120"/>
        <v>683</v>
      </c>
      <c r="IC75" s="1019" t="str">
        <f t="shared" si="121"/>
        <v/>
      </c>
      <c r="ID75" s="541">
        <f t="shared" si="122"/>
        <v>614.59166000000005</v>
      </c>
      <c r="IE75" s="541">
        <f>Sheet1!DB73</f>
        <v>632</v>
      </c>
      <c r="IF75" s="533">
        <f>Sheet1!DA73</f>
        <v>1390</v>
      </c>
      <c r="IH75" s="541">
        <f>IF(AND($B75&gt;=$GC75,$B75&lt;=$GH75,$DR75&lt;0)+N("only adjusted when pool is drawn down during storage season"),Sheet1!$DB73+$DR75+N("Palmer minus all storage release"),Sheet1!$DB73)</f>
        <v>632</v>
      </c>
      <c r="II75" s="541">
        <f>IF(AND($B75&gt;=$GC75,$B75&lt;=$GH75,$DR75&lt;0)+N("only adjusted when pool is drawn down during storage season"),Sheet1!$DA73+$DR75+N("Auburn minus all storage release"),Sheet1!$DA73)</f>
        <v>1390</v>
      </c>
    </row>
    <row r="76" spans="1:281" x14ac:dyDescent="0.25">
      <c r="A76" s="553" t="s">
        <v>4</v>
      </c>
      <c r="B76" s="531">
        <v>42800</v>
      </c>
      <c r="C76" s="536">
        <v>0</v>
      </c>
      <c r="D76" s="506">
        <f t="shared" si="247"/>
        <v>300</v>
      </c>
      <c r="E76" s="506">
        <f t="shared" si="248"/>
        <v>250</v>
      </c>
      <c r="F76" s="506">
        <v>250</v>
      </c>
      <c r="G76" s="535">
        <f>DR76+Sheet1!CZ74</f>
        <v>855.734241049498</v>
      </c>
      <c r="H76" s="1074">
        <f t="shared" si="246"/>
        <v>261.55694956799999</v>
      </c>
      <c r="I76" s="534">
        <f>IF(Sheet1!DA74&gt;=E76,(Sheet1!DA74-E76+P76)*CFStoMGD,0)</f>
        <v>778.67694956799994</v>
      </c>
      <c r="J76" s="995">
        <f>IF(Sheet1!DB74&gt;=D76,(Sheet1!DB74-D76+P76)*CFStoMGD,0)</f>
        <v>261.55694956799999</v>
      </c>
      <c r="K76" s="818">
        <f t="shared" si="97"/>
        <v>64.64</v>
      </c>
      <c r="L76" s="535">
        <f>Sheet1!AA74+Sheet1!AB74-Sheet1!L74+(Sheet1!DA74-F76)*CFStoMGD-S76-T76-U76</f>
        <v>714.03800000000001</v>
      </c>
      <c r="M76" s="535">
        <f t="shared" si="185"/>
        <v>564.20954568268348</v>
      </c>
      <c r="N76" s="824">
        <f>IF(Sheet1!DA74&gt;=F76,MIN(113*CFStoMGD,MIN(MAX(L76,0),MAX(M76,0))),0)</f>
        <v>73.043199999999999</v>
      </c>
      <c r="O76" s="538">
        <f>Sheet1!AA74+Sheet1!AB74</f>
        <v>54.71</v>
      </c>
      <c r="P76" s="538">
        <f t="shared" si="186"/>
        <v>84.636369999999999</v>
      </c>
      <c r="Q76" s="812">
        <f t="shared" si="98"/>
        <v>44.1</v>
      </c>
      <c r="R76" s="812">
        <f t="shared" si="249"/>
        <v>10.569907248368258</v>
      </c>
      <c r="S76" s="812">
        <f t="shared" si="250"/>
        <v>10.61</v>
      </c>
      <c r="T76" s="812">
        <f t="shared" si="251"/>
        <v>54.03</v>
      </c>
      <c r="U76" s="812">
        <f t="shared" si="99"/>
        <v>0</v>
      </c>
      <c r="V76" s="812"/>
      <c r="W76" s="812">
        <f t="shared" si="252"/>
        <v>54.070092751631741</v>
      </c>
      <c r="X76" s="812">
        <f t="shared" si="253"/>
        <v>64.64</v>
      </c>
      <c r="Y76" s="812" t="str">
        <f t="shared" si="254"/>
        <v>FALSE</v>
      </c>
      <c r="Z76" s="812">
        <f t="shared" si="255"/>
        <v>54.71</v>
      </c>
      <c r="AA76" s="812">
        <f t="shared" si="256"/>
        <v>54.71</v>
      </c>
      <c r="AB76" s="1059">
        <f t="shared" si="100"/>
        <v>68.222700000000003</v>
      </c>
      <c r="AC76" s="538">
        <f>Sheet1!Y74*MGDtoCFS</f>
        <v>39.897129999999997</v>
      </c>
      <c r="AD76" s="538">
        <f>Sheet1!Z74*MGDtoCFS</f>
        <v>44.847529999999999</v>
      </c>
      <c r="AE76" s="538">
        <f>Sheet1!AA74*MGDtoCFS</f>
        <v>39.77337</v>
      </c>
      <c r="AF76" s="538">
        <f>Sheet1!AB74*MGDtoCFS</f>
        <v>44.863</v>
      </c>
      <c r="AG76" s="538">
        <f>Sheet1!L74*MGDtoCFS</f>
        <v>0</v>
      </c>
      <c r="AH76" s="521">
        <f t="shared" si="187"/>
        <v>0</v>
      </c>
      <c r="AI76" s="1059">
        <f t="shared" si="188"/>
        <v>0</v>
      </c>
      <c r="AJ76" s="535">
        <f t="shared" si="189"/>
        <v>54.070092751631741</v>
      </c>
      <c r="AK76" s="535">
        <f t="shared" si="190"/>
        <v>83.646433486774299</v>
      </c>
      <c r="AL76" s="535">
        <f>(VLOOKUP(Sheet1!DC74,hhdcap_wcm,4)-(((VLOOKUP(Sheet1!DC74,hhdcap_wcm,3)-Sheet1!DC74)/(VLOOKUP(Sheet1!DC74,hhdcap_wcm,3)-VLOOKUP(Sheet1!DC74,hhdcap_wcm,1)))*(VLOOKUP(Sheet1!DC74,hhdcap_wcm,4)-VLOOKUP(Sheet1!DC74,hhdcap_wcm,2))))</f>
        <v>4689.5000000105156</v>
      </c>
      <c r="AM76" s="535">
        <f t="shared" si="191"/>
        <v>334.60000000115451</v>
      </c>
      <c r="AN76" s="1035">
        <f t="shared" si="192"/>
        <v>1026.6366896753848</v>
      </c>
      <c r="AO76" s="535">
        <f t="shared" si="193"/>
        <v>3149.7213639240804</v>
      </c>
      <c r="AP76" s="535">
        <f>Sheet1!BA74+Sheet1!BB74+Sheet1!BN74+CD76</f>
        <v>18.5</v>
      </c>
      <c r="AQ76" s="535">
        <f>Sheet1!BN74+(DO76*Sheet1!BN74)</f>
        <v>18.430092751631744</v>
      </c>
      <c r="AR76" s="535">
        <f>Sheet1!BA74+CD76</f>
        <v>0</v>
      </c>
      <c r="AS76" s="535">
        <f>Sheet1!BA74+Sheet1!BB74+CD76</f>
        <v>0</v>
      </c>
      <c r="AT76" s="649">
        <f>0</f>
        <v>0</v>
      </c>
      <c r="AU76" s="535">
        <f>IF(EB76&lt;K76,0,MAX(Sheet1!AA74+AQ76-15/36*K76-N76,Sheet1!EH74,0))</f>
        <v>0</v>
      </c>
      <c r="AV76" s="535">
        <f>IF(OR(B76&gt;=GD76,B76&lt;GC76),0,15/36*K76-MAX(0,64.6-(137.6-(Sheet1!AA74+Sheet1!AB74))))</f>
        <v>26.933333333333334</v>
      </c>
      <c r="AW76" s="1029"/>
      <c r="AX76" s="649"/>
      <c r="AY76" s="649">
        <f t="shared" si="101"/>
        <v>0</v>
      </c>
      <c r="AZ76" s="649">
        <f t="shared" si="102"/>
        <v>0</v>
      </c>
      <c r="BA76" s="1059">
        <f t="shared" si="103"/>
        <v>0</v>
      </c>
      <c r="BB76" s="1019">
        <f t="shared" si="194"/>
        <v>511.73333333333335</v>
      </c>
      <c r="BC76" s="1041">
        <f t="shared" si="104"/>
        <v>26.933333333333334</v>
      </c>
      <c r="BD76" s="1019">
        <f ca="1">IF(B76&gt;Summary!$A$1,#N/A,BB76*MGtoAF)</f>
        <v>1569.9978666666668</v>
      </c>
      <c r="BE76" s="535">
        <f>Sheet1!BG74+Sheet1!BH74+Sheet1!BI74-BM76</f>
        <v>1.02</v>
      </c>
      <c r="BF76" s="535">
        <f t="shared" si="195"/>
        <v>1.0161456544142906</v>
      </c>
      <c r="BG76" s="535">
        <f>IF(Sheet1!EP74="FM",BM76,0)</f>
        <v>0</v>
      </c>
      <c r="BH76" s="535">
        <f t="shared" si="196"/>
        <v>0</v>
      </c>
      <c r="BI76" s="535">
        <f>IF(Sheet1!EP74="OTHER",BM76,0)</f>
        <v>0</v>
      </c>
      <c r="BJ76" s="535">
        <f t="shared" si="197"/>
        <v>0</v>
      </c>
      <c r="BK76" s="535">
        <f t="shared" si="198"/>
        <v>1.02</v>
      </c>
      <c r="BL76" s="535">
        <f t="shared" si="199"/>
        <v>1.0161456544142906</v>
      </c>
      <c r="BM76" s="535">
        <f>IF(OR(Sheet1!EP74="FM", Sheet1!EP74="OTHER"),SUM(Sheet1!BG74:'Sheet1'!BI74),0)</f>
        <v>0</v>
      </c>
      <c r="BN76" s="521">
        <f>IF(AND($B76&gt;=$FV76,$B76&lt;=$FW76),MAX(BF76,Sheet1!EI74,0),MAX(BF76-(7/36)*$K76,0))</f>
        <v>0</v>
      </c>
      <c r="BO76" s="535">
        <f t="shared" si="200"/>
        <v>11.552743234474598</v>
      </c>
      <c r="BP76" s="521">
        <f t="shared" si="201"/>
        <v>1.0161456544142906</v>
      </c>
      <c r="BQ76" s="521">
        <f>IF(AND($O76&gt;0,Sheet1!EM74=1),(1-($O76-Sheet1!$L74)/$O76)*BL76,0)</f>
        <v>0</v>
      </c>
      <c r="BR76" s="521">
        <f>IF(AND(Sheet1!$L74=0,Sheet1!$L73=0, Calculation!BK76&lt;Sheet1!$EI74-0.1,Sheet1!$EI74=Sheet1!$EI73,Sheet1!$EI74=Sheet1!$EI75),BL76-BQ76,BL76-BQ76)</f>
        <v>1.0161456544142906</v>
      </c>
      <c r="BS76" s="1035" t="str">
        <f t="shared" si="105"/>
        <v/>
      </c>
      <c r="BT76" s="1035">
        <f t="shared" si="106"/>
        <v>12.568888888888889</v>
      </c>
      <c r="BU76" s="535">
        <f t="shared" si="202"/>
        <v>218.83490061754614</v>
      </c>
      <c r="BV76" s="535"/>
      <c r="BW76" s="535">
        <f ca="1">IF(B76&gt;Summary!$A$1,#N/A,BU76*MGtoAF)</f>
        <v>671.3854750946316</v>
      </c>
      <c r="BX76" s="535">
        <f>Sheet1!BC74+Sheet1!BD74+Sheet1!BE74+Sheet1!BF74-CG76-CH76</f>
        <v>3</v>
      </c>
      <c r="BY76" s="535">
        <f t="shared" si="203"/>
        <v>2.9886636894537961</v>
      </c>
      <c r="BZ76" s="535">
        <f>IF(Sheet1!EQ74="FM",CH76,0)</f>
        <v>0</v>
      </c>
      <c r="CA76" s="535">
        <f t="shared" si="204"/>
        <v>0</v>
      </c>
      <c r="CB76" s="535">
        <f>IF(Sheet1!EQ74="OTHER",CH76,0)</f>
        <v>0</v>
      </c>
      <c r="CC76" s="535">
        <f t="shared" si="205"/>
        <v>0</v>
      </c>
      <c r="CD76" s="535">
        <f t="shared" si="206"/>
        <v>0</v>
      </c>
      <c r="CE76" s="535">
        <f t="shared" si="207"/>
        <v>3</v>
      </c>
      <c r="CF76" s="535">
        <f t="shared" si="208"/>
        <v>2.9886636894537961</v>
      </c>
      <c r="CG76" s="535">
        <f>IF(Sheet1!EQ74="CWA",SUM(Sheet1!BC74:'Sheet1'!BF74),0)</f>
        <v>0</v>
      </c>
      <c r="CH76" s="535">
        <f>IF(OR(Sheet1!EQ74="FM", Sheet1!EQ74="OTHER"),SUM(Sheet1!BC74:'Sheet1'!BF74),0)</f>
        <v>0</v>
      </c>
      <c r="CI76" s="521">
        <f>IF(AND($B76&gt;=$FV76,$B76&lt;=$FW76),MAX(CF76,Sheet1!EJ74,0),MAX(CF76-(7/36)*$K76,0))</f>
        <v>0</v>
      </c>
      <c r="CJ76" s="535">
        <f t="shared" si="209"/>
        <v>9.5802251994350929</v>
      </c>
      <c r="CK76" s="521">
        <f t="shared" si="210"/>
        <v>2.9886636894537961</v>
      </c>
      <c r="CL76" s="521">
        <f>IF(AND($O76&gt;0,Sheet1!EN74=1),(1-($O76-Sheet1!$L74)/$O76)*CF76,0)</f>
        <v>0</v>
      </c>
      <c r="CM76" s="521">
        <f>IF(AND(Sheet1!$L74=0,Sheet1!$L73=0, Calculation!CE76&lt;Sheet1!EJ74-0.1,Sheet1!EJ74=Sheet1!EJ73,Sheet1!EJ74=Sheet1!EJ75),CF76-CL76,CF76-CL76)</f>
        <v>2.9886636894537961</v>
      </c>
      <c r="CN76" s="1040" t="str">
        <f t="shared" si="107"/>
        <v/>
      </c>
      <c r="CO76" s="1035">
        <f t="shared" si="108"/>
        <v>12.568888888888889</v>
      </c>
      <c r="CP76" s="535">
        <f t="shared" si="211"/>
        <v>181.5879755905637</v>
      </c>
      <c r="CQ76" s="535"/>
      <c r="CR76" s="535">
        <f ca="1">IF(B76&gt;Summary!$A$1,#N/A,CP76*MGtoAF)</f>
        <v>557.1119091118494</v>
      </c>
      <c r="CS76" s="535">
        <f>Sheet1!BK74+Sheet1!BL74+Sheet1!BM74-Sheet1!ER74-DA76</f>
        <v>6.59</v>
      </c>
      <c r="CT76" s="535">
        <f t="shared" si="212"/>
        <v>6.5650979045001714</v>
      </c>
      <c r="CU76" s="535">
        <f>IF(Sheet1!ER74="FM",DA76,0)</f>
        <v>0</v>
      </c>
      <c r="CV76" s="535">
        <f t="shared" si="213"/>
        <v>0</v>
      </c>
      <c r="CW76" s="535">
        <f>IF(Sheet1!ER74="OTHER",DA76,0)</f>
        <v>0</v>
      </c>
      <c r="CX76" s="535">
        <f t="shared" si="214"/>
        <v>0</v>
      </c>
      <c r="CY76" s="535">
        <f t="shared" si="215"/>
        <v>6.59</v>
      </c>
      <c r="CZ76" s="535">
        <f t="shared" si="216"/>
        <v>6.5650979045001714</v>
      </c>
      <c r="DA76" s="535">
        <f>IF(OR(Sheet1!ER74="FM", Sheet1!ER74="OTHER"),SUM(Sheet1!BK74:'Sheet1'!BM74),0)</f>
        <v>0</v>
      </c>
      <c r="DB76" s="1011">
        <f>IF(AND($B76&gt;=$FV76,$B76&lt;=$FW76),MAX($CT76,Sheet1!EK74,0),MAX($CT76-(7/36)*$K76,0))</f>
        <v>0</v>
      </c>
      <c r="DC76" s="1012">
        <f t="shared" si="217"/>
        <v>6.0037909843887176</v>
      </c>
      <c r="DD76" s="1011">
        <f t="shared" si="218"/>
        <v>6.5650979045001714</v>
      </c>
      <c r="DE76" s="521">
        <f>IF(AND($O76&gt;0,Sheet1!EO74=1),(1-($O76-Sheet1!$L74)/$O76)*CZ76,0)</f>
        <v>0</v>
      </c>
      <c r="DF76" s="521">
        <f>IF(AND(Sheet1!$L74=0,Sheet1!$L73=0, Calculation!CY76&lt;Sheet1!$EK74-0.1,Sheet1!$EK74=Sheet1!$EK73,Sheet1!$EK74=Sheet1!$EK75),CZ76-DE76,CZ76-DE76)</f>
        <v>6.5650979045001714</v>
      </c>
      <c r="DG76" s="1040">
        <f t="shared" si="109"/>
        <v>12.568888888888889</v>
      </c>
      <c r="DH76" s="649">
        <f t="shared" si="219"/>
        <v>10.61</v>
      </c>
      <c r="DI76" s="535">
        <f t="shared" si="220"/>
        <v>114.48048013394148</v>
      </c>
      <c r="DJ76" s="649">
        <f t="shared" si="221"/>
        <v>10.569907248368258</v>
      </c>
      <c r="DK76" s="535">
        <f ca="1">IF(B76&gt;Summary!$A$1,#N/A,DI76*MGtoAF)</f>
        <v>351.2261130509325</v>
      </c>
      <c r="DL76" s="649">
        <f t="shared" si="222"/>
        <v>10.61</v>
      </c>
      <c r="DM76" s="535">
        <f t="shared" si="223"/>
        <v>29.11</v>
      </c>
      <c r="DN76" s="535">
        <f>Sheet1!AB74-DM76</f>
        <v>-0.10999999999999943</v>
      </c>
      <c r="DO76" s="743">
        <f t="shared" si="224"/>
        <v>-3.7787701820679986E-3</v>
      </c>
      <c r="DP76" s="535">
        <f>(VLOOKUP(Sheet1!DC74,hhdcap_wcm,4)-(((VLOOKUP(Sheet1!DC74,hhdcap_wcm,3)-Sheet1!DC74)/(VLOOKUP(Sheet1!DC74,hhdcap_wcm,3)-VLOOKUP(Sheet1!DC74,hhdcap_wcm,1)))*(VLOOKUP(Sheet1!DC74,hhdcap_wcm,4)-VLOOKUP(Sheet1!DC74,hhdcap_wcm,2))))</f>
        <v>4689.5000000105156</v>
      </c>
      <c r="DQ76" s="535">
        <f t="shared" si="225"/>
        <v>334.60000000115451</v>
      </c>
      <c r="DR76" s="535">
        <f t="shared" si="226"/>
        <v>168.73424104949797</v>
      </c>
      <c r="DS76" s="535">
        <f>Sheet1!EA74*AFtoMG</f>
        <v>0</v>
      </c>
      <c r="DT76" s="535">
        <f>Sheet1!EB74*AFtoMG</f>
        <v>0</v>
      </c>
      <c r="DU76" s="535">
        <f>Sheet1!EC74*AFtoMG</f>
        <v>0</v>
      </c>
      <c r="DV76" s="535">
        <f>Sheet1!ED74*AFtoMG</f>
        <v>0</v>
      </c>
      <c r="DW76" s="535">
        <f t="shared" si="227"/>
        <v>0</v>
      </c>
      <c r="DX76" s="535">
        <f t="shared" si="228"/>
        <v>0</v>
      </c>
      <c r="DY76" s="535">
        <f t="shared" si="229"/>
        <v>1026.6366896753848</v>
      </c>
      <c r="DZ76" s="535">
        <f t="shared" si="230"/>
        <v>3149.7213639240804</v>
      </c>
      <c r="EA76" s="535"/>
      <c r="EB76" s="521">
        <f>IF(OR(B76&lt;FV76,B76&gt;FW76),(MIN(BF76+BY76+CT76+MAX(Sheet1!AA74+AQ76-73,0),K76)),0)</f>
        <v>10.569907248368258</v>
      </c>
      <c r="EC76" s="535"/>
      <c r="ED76" s="535">
        <f t="shared" si="231"/>
        <v>10.569907248368258</v>
      </c>
      <c r="EE76" s="535"/>
      <c r="EF76" s="535">
        <f>Sheet1!EH74+Sheet1!EI74+Sheet1!EJ74+Sheet1!EK74</f>
        <v>10.5</v>
      </c>
      <c r="EG76" s="1019">
        <f t="shared" si="110"/>
        <v>16.243500000000001</v>
      </c>
      <c r="EH76" s="521">
        <f t="shared" si="232"/>
        <v>0</v>
      </c>
      <c r="EI76" s="535">
        <f>IF(Sheet1!ET74=1,SUM('Calculations II'!AT76:BA76)+'Calculations II'!BC76+Sheet1!BV74+'Calculations II'!BE76+AP76,'Calculations II'!BK76)</f>
        <v>41.990748751631742</v>
      </c>
      <c r="EJ76" s="535">
        <f ca="1">EI76+'Calculations II'!D76+'Calculations II'!E76+'Calculations II'!O76</f>
        <v>45.865194870304421</v>
      </c>
      <c r="EK76" s="535"/>
      <c r="EL76" s="535"/>
      <c r="EM76" s="535">
        <f t="shared" si="233"/>
        <v>42800</v>
      </c>
      <c r="EN76" s="535">
        <f t="shared" si="234"/>
        <v>54.070092751631741</v>
      </c>
      <c r="EO76" s="535">
        <f t="shared" si="235"/>
        <v>83.646433486774299</v>
      </c>
      <c r="EP76" s="535">
        <v>0</v>
      </c>
      <c r="EQ76" s="535">
        <v>0</v>
      </c>
      <c r="ER76" s="535">
        <v>0</v>
      </c>
      <c r="ES76" s="521">
        <f t="shared" si="257"/>
        <v>-1.6618942115928754</v>
      </c>
      <c r="ET76" s="535">
        <f>-(VLOOKUP(Sheet1!BQ74,Lookup!$O$4:$Q$262,2)-VLOOKUP(Sheet1!BQ73,Lookup!$O$4:$Q$262,2))/1000000</f>
        <v>-0.8308125291561671</v>
      </c>
      <c r="EU76" s="535">
        <f>-(VLOOKUP(Sheet1!BR74,Lookup!$O$4:$Q$262,3)-VLOOKUP(Sheet1!BR73,Lookup!$O$4:$Q$262,3))/1000000</f>
        <v>-0.83108168243670832</v>
      </c>
      <c r="EV76" s="535"/>
      <c r="EW76" s="535"/>
      <c r="EX76" s="535"/>
      <c r="EY76" s="535"/>
      <c r="EZ76" s="535"/>
      <c r="FA76" s="535"/>
      <c r="FB76" s="535"/>
      <c r="FC76" s="535"/>
      <c r="FD76" s="567" t="e">
        <f t="shared" si="236"/>
        <v>#N/A</v>
      </c>
      <c r="FE76" s="567" t="e">
        <f t="shared" si="237"/>
        <v>#N/A</v>
      </c>
      <c r="FF76" s="568" t="e">
        <f t="shared" si="238"/>
        <v>#N/A</v>
      </c>
      <c r="FG76" s="569" t="s">
        <v>656</v>
      </c>
      <c r="FH76" s="569" t="s">
        <v>656</v>
      </c>
      <c r="FI76" s="567" t="e">
        <v>#N/A</v>
      </c>
      <c r="FJ76" s="567" t="e">
        <v>#N/A</v>
      </c>
      <c r="FK76" s="535"/>
      <c r="FL76" s="1015">
        <v>0</v>
      </c>
      <c r="FM76" s="535"/>
      <c r="FN76" s="535"/>
      <c r="FO76" s="535">
        <f>O76+((Sheet1!CS74)*GPMtoMGD)</f>
        <v>54.71</v>
      </c>
      <c r="FP76" s="535">
        <f>IF(Sheet1!AA74+AQ76&lt;=Calculation!N76,AQ76,Calculation!N76-Sheet1!AA74)</f>
        <v>18.430092751631744</v>
      </c>
      <c r="FQ76" s="535">
        <f>(Sheet1!BP74+Sheet1!BO74)/694.4</f>
        <v>1.2969470046082949</v>
      </c>
      <c r="FR76" s="541"/>
      <c r="FS76" s="541"/>
      <c r="FT76" s="541"/>
      <c r="FU76" s="541"/>
      <c r="FV76" s="1109">
        <f t="shared" si="258"/>
        <v>42918</v>
      </c>
      <c r="FW76" s="1109">
        <f t="shared" si="259"/>
        <v>43027</v>
      </c>
      <c r="FX76" s="541"/>
      <c r="FY76" s="541">
        <f>Sheet1!DA74-Sheet1!CZ74-Sheet1!AE74</f>
        <v>598.36363000000006</v>
      </c>
      <c r="FZ76" s="535">
        <f t="shared" si="111"/>
        <v>0.69924002254034978</v>
      </c>
      <c r="GA76" s="535"/>
      <c r="GB76" s="535" t="str">
        <f t="shared" si="260"/>
        <v>n</v>
      </c>
      <c r="GC76" s="539">
        <f t="shared" si="261"/>
        <v>42782</v>
      </c>
      <c r="GD76" s="1109">
        <f t="shared" si="262"/>
        <v>42904</v>
      </c>
      <c r="GE76" s="535">
        <f t="shared" ref="GE76:GE139" si="280">$GE$4</f>
        <v>6520</v>
      </c>
      <c r="GF76" s="1109">
        <f t="shared" si="263"/>
        <v>42909</v>
      </c>
      <c r="GG76" s="535">
        <f t="shared" si="174"/>
        <v>3260</v>
      </c>
      <c r="GH76" s="539">
        <f t="shared" si="264"/>
        <v>43040</v>
      </c>
      <c r="GJ76" s="521">
        <f t="shared" si="265"/>
        <v>0</v>
      </c>
      <c r="GK76" s="535" t="str">
        <f t="shared" si="239"/>
        <v/>
      </c>
      <c r="GL76" s="535">
        <f t="shared" si="266"/>
        <v>0</v>
      </c>
      <c r="GM76" s="535" t="str">
        <f t="shared" si="267"/>
        <v/>
      </c>
      <c r="GN76" s="535">
        <f>IF(GK76="P",Lookup!$M$12,IF(GK76="PP",Lookup!$M$13,IF(GK76="PPP",Lookup!$M$14,IF(GK76="T",Lookup!$M$15,IF(GK76="TP",Lookup!$M$16,IF(GK76="TPP",Lookup!$M$17,IF(GK76="TPPP",Lookup!$M$18,0)))))))*GJ76</f>
        <v>0</v>
      </c>
      <c r="GO76" s="535">
        <f t="shared" si="268"/>
        <v>0</v>
      </c>
      <c r="GP76" s="535">
        <f t="shared" si="240"/>
        <v>1569.9978666666668</v>
      </c>
      <c r="GQ76" s="535">
        <f t="shared" si="279"/>
        <v>511.73333333333335</v>
      </c>
      <c r="GR76" s="535"/>
      <c r="GS76" s="535">
        <f t="shared" si="269"/>
        <v>0</v>
      </c>
      <c r="GT76" s="535" t="str">
        <f t="shared" si="270"/>
        <v/>
      </c>
      <c r="GU76" s="535">
        <f>IF(GK76="P",Lookup!$N$12,IF(GK76="PP",Lookup!$N$13,IF(GK76="PPP",Lookup!$N$14,IF(GK76="T",Lookup!$N$15,IF(GK76="TP",Lookup!$N$16,IF(GK76="TPP",Lookup!$N$17,IF(GK76="TPPP",Lookup!$N$18,0)))))))*GJ76</f>
        <v>0</v>
      </c>
      <c r="GV76" s="535">
        <f t="shared" si="271"/>
        <v>0</v>
      </c>
      <c r="GW76" s="535">
        <f t="shared" si="241"/>
        <v>671.3854750946316</v>
      </c>
      <c r="GX76" s="535">
        <f t="shared" si="276"/>
        <v>218.83490061754614</v>
      </c>
      <c r="GY76" s="535"/>
      <c r="GZ76" s="535">
        <f t="shared" si="272"/>
        <v>0</v>
      </c>
      <c r="HA76" s="535" t="str">
        <f t="shared" si="273"/>
        <v/>
      </c>
      <c r="HB76" s="535">
        <f>IF(GK76="P",Lookup!$N$12,IF(GK76="PP",Lookup!$N$13,IF(GK76="PPP",Lookup!$N$14,IF(GK76="T",Lookup!$N$15,IF(GK76="TP",Lookup!$N$16,IF(GK76="TPP",Lookup!$N$17,IF(GK76="TPPP",Lookup!$N$18,0)))))))*GJ76</f>
        <v>0</v>
      </c>
      <c r="HC76" s="521">
        <f t="shared" si="242"/>
        <v>0</v>
      </c>
      <c r="HD76" s="535">
        <f t="shared" si="243"/>
        <v>557.1119091118494</v>
      </c>
      <c r="HE76" s="535">
        <f t="shared" si="277"/>
        <v>181.5879755905637</v>
      </c>
      <c r="HF76" s="535"/>
      <c r="HG76" s="535">
        <f t="shared" si="274"/>
        <v>0</v>
      </c>
      <c r="HH76" s="535" t="str">
        <f t="shared" si="275"/>
        <v/>
      </c>
      <c r="HI76" s="535">
        <f>IF(GK76="P",Lookup!$N$12,IF(GK76="PP",Lookup!$N$13,IF(GK76="PPP",Lookup!$N$14,IF(GK76="T",Lookup!$N$15,IF(GK76="TP",Lookup!$N$16,IF(GK76="TPP",Lookup!$N$17,IF(GK76="TPPP",Lookup!$N$18,0)))))))*GJ76</f>
        <v>0</v>
      </c>
      <c r="HJ76" s="521">
        <f t="shared" si="244"/>
        <v>0</v>
      </c>
      <c r="HK76" s="535">
        <f t="shared" si="245"/>
        <v>351.2261130509325</v>
      </c>
      <c r="HL76" s="535">
        <f t="shared" si="278"/>
        <v>114.48048013394148</v>
      </c>
      <c r="HM76" s="535"/>
      <c r="HN76" s="541"/>
      <c r="HO76" s="541"/>
      <c r="HP76" s="541"/>
      <c r="HQ76" s="541">
        <f>IF(AND(B76&gt;=$FV$4,B76&lt;=$FW$4),MAX(110/1.02+$HQ$6+MIN(113/1.02,G76),IF($HV$6-(Sheet1!DA74-Sheet1!DB74)+MIN(113/1.02,G76)&lt;G76+FL76,$HV$6-(Sheet1!DA74-Sheet1!DB74)+MIN(113/1.02,G76),G76+FL76)),MIN(110/1.02+$HQ$6+113/1.02,G76))</f>
        <v>218.62745098039215</v>
      </c>
      <c r="HR76" s="541">
        <f t="shared" si="112"/>
        <v>223</v>
      </c>
      <c r="HS76" s="541">
        <f>HR76+(Sheet1!DA74-Sheet1!DB74)</f>
        <v>973</v>
      </c>
      <c r="HT76" s="541">
        <f t="shared" si="113"/>
        <v>68.222700000000003</v>
      </c>
      <c r="HU76" s="541">
        <f t="shared" si="114"/>
        <v>904.77729999999997</v>
      </c>
      <c r="HV76" s="541">
        <f t="shared" si="115"/>
        <v>0</v>
      </c>
      <c r="HW76" s="533" t="str">
        <f t="shared" si="116"/>
        <v/>
      </c>
      <c r="HX76" s="541">
        <f t="shared" si="117"/>
        <v>468.37254901960785</v>
      </c>
      <c r="HY76" s="541">
        <f>Sheet1!CZ74</f>
        <v>687</v>
      </c>
      <c r="HZ76" s="541">
        <f t="shared" si="118"/>
        <v>0</v>
      </c>
      <c r="IA76" s="541">
        <f t="shared" si="119"/>
        <v>68.222700000000003</v>
      </c>
      <c r="IB76" s="541">
        <f t="shared" si="120"/>
        <v>687</v>
      </c>
      <c r="IC76" s="1019" t="str">
        <f t="shared" si="121"/>
        <v/>
      </c>
      <c r="ID76" s="541">
        <f t="shared" si="122"/>
        <v>618.77729999999997</v>
      </c>
      <c r="IE76" s="541">
        <f>Sheet1!DB74</f>
        <v>620</v>
      </c>
      <c r="IF76" s="533">
        <f>Sheet1!DA74</f>
        <v>1370</v>
      </c>
      <c r="IH76" s="541">
        <f>IF(AND($B76&gt;=$GC76,$B76&lt;=$GH76,$DR76&lt;0)+N("only adjusted when pool is drawn down during storage season"),Sheet1!$DB74+$DR76+N("Palmer minus all storage release"),Sheet1!$DB74)</f>
        <v>620</v>
      </c>
      <c r="II76" s="541">
        <f>IF(AND($B76&gt;=$GC76,$B76&lt;=$GH76,$DR76&lt;0)+N("only adjusted when pool is drawn down during storage season"),Sheet1!$DA74+$DR76+N("Auburn minus all storage release"),Sheet1!$DA74)</f>
        <v>1370</v>
      </c>
    </row>
    <row r="77" spans="1:281" x14ac:dyDescent="0.25">
      <c r="A77" s="553" t="s">
        <v>5</v>
      </c>
      <c r="B77" s="531">
        <v>42801</v>
      </c>
      <c r="C77" s="536">
        <v>0</v>
      </c>
      <c r="D77" s="506">
        <f t="shared" si="247"/>
        <v>300</v>
      </c>
      <c r="E77" s="506">
        <f t="shared" si="248"/>
        <v>250</v>
      </c>
      <c r="F77" s="506">
        <v>250</v>
      </c>
      <c r="G77" s="535">
        <f>DR77+Sheet1!CZ75</f>
        <v>825.55118507345287</v>
      </c>
      <c r="H77" s="1074">
        <f t="shared" ref="H77:H108" si="281">MIN(IF($II77&gt;=$E77,($II77-$E77+$P77)*CFStoMGD,0),IF($IH77&gt;=$D77,($IH77-$D77+$P77)*CFStoMGD,0))</f>
        <v>271.90934937599997</v>
      </c>
      <c r="I77" s="534">
        <f>IF(Sheet1!DA75&gt;=E77,(Sheet1!DA75-E77+P77)*CFStoMGD,0)</f>
        <v>959.67894937599999</v>
      </c>
      <c r="J77" s="995">
        <f>IF(Sheet1!DB75&gt;=D77,(Sheet1!DB75-D77+P77)*CFStoMGD,0)</f>
        <v>271.90934937599997</v>
      </c>
      <c r="K77" s="818">
        <f t="shared" ref="K77:K140" si="282">MAX(MIN(H77:J77,100*CFStoMGD),0)</f>
        <v>64.64</v>
      </c>
      <c r="L77" s="535">
        <f>Sheet1!AA75+Sheet1!AB75-Sheet1!L75+(Sheet1!DA75-F77)*CFStoMGD-S77-T77-U77</f>
        <v>895.04</v>
      </c>
      <c r="M77" s="535">
        <f t="shared" si="185"/>
        <v>544.30901175210954</v>
      </c>
      <c r="N77" s="824">
        <f>IF(Sheet1!DA75&gt;=F77,MIN(113*CFStoMGD,MIN(MAX(L77,0),MAX(M77,0))),0)</f>
        <v>73.043199999999999</v>
      </c>
      <c r="O77" s="538">
        <f>Sheet1!AA75+Sheet1!AB75</f>
        <v>54.72</v>
      </c>
      <c r="P77" s="538">
        <f t="shared" si="186"/>
        <v>84.651839999999993</v>
      </c>
      <c r="Q77" s="812">
        <f t="shared" ref="Q77:Q140" si="283">IF(OR(Y77="FALSE",AND(B77&gt;=FV77,B77&lt;=FW77)),MIN(O77-S77-U77,N77),0)</f>
        <v>44.14</v>
      </c>
      <c r="R77" s="812">
        <f t="shared" si="249"/>
        <v>10.525426409903714</v>
      </c>
      <c r="S77" s="812">
        <f t="shared" si="250"/>
        <v>10.579999999999998</v>
      </c>
      <c r="T77" s="812">
        <f t="shared" si="251"/>
        <v>54.06</v>
      </c>
      <c r="U77" s="812">
        <f t="shared" ref="U77:U140" si="284">IF(AND(B77&gt;=FV77,B77&lt;=FW77),ED77,0)</f>
        <v>0</v>
      </c>
      <c r="V77" s="812"/>
      <c r="W77" s="812">
        <f t="shared" si="252"/>
        <v>54.114573590096285</v>
      </c>
      <c r="X77" s="812">
        <f t="shared" si="253"/>
        <v>64.64</v>
      </c>
      <c r="Y77" s="812" t="str">
        <f t="shared" si="254"/>
        <v>FALSE</v>
      </c>
      <c r="Z77" s="812">
        <f t="shared" si="255"/>
        <v>54.72</v>
      </c>
      <c r="AA77" s="812">
        <f t="shared" si="256"/>
        <v>54.72</v>
      </c>
      <c r="AB77" s="1059">
        <f t="shared" ref="AB77:AB140" si="285">Q77*MGDtoCFS</f>
        <v>68.284579999999991</v>
      </c>
      <c r="AC77" s="538">
        <f>Sheet1!Y75*MGDtoCFS</f>
        <v>39.77337</v>
      </c>
      <c r="AD77" s="538">
        <f>Sheet1!Z75*MGDtoCFS</f>
        <v>44.863</v>
      </c>
      <c r="AE77" s="538">
        <f>Sheet1!AA75*MGDtoCFS</f>
        <v>39.897129999999997</v>
      </c>
      <c r="AF77" s="538">
        <f>Sheet1!AB75*MGDtoCFS</f>
        <v>44.754709999999996</v>
      </c>
      <c r="AG77" s="538">
        <f>Sheet1!L75*MGDtoCFS</f>
        <v>0</v>
      </c>
      <c r="AH77" s="521">
        <f t="shared" si="187"/>
        <v>0</v>
      </c>
      <c r="AI77" s="1059">
        <f t="shared" si="188"/>
        <v>0</v>
      </c>
      <c r="AJ77" s="535">
        <f t="shared" si="189"/>
        <v>54.114573590096285</v>
      </c>
      <c r="AK77" s="535">
        <f t="shared" si="190"/>
        <v>83.715245343878948</v>
      </c>
      <c r="AL77" s="535">
        <f>(VLOOKUP(Sheet1!DC75,hhdcap_wcm,4)-(((VLOOKUP(Sheet1!DC75,hhdcap_wcm,3)-Sheet1!DC75)/(VLOOKUP(Sheet1!DC75,hhdcap_wcm,3)-VLOOKUP(Sheet1!DC75,hhdcap_wcm,1)))*(VLOOKUP(Sheet1!DC75,hhdcap_wcm,4)-VLOOKUP(Sheet1!DC75,hhdcap_wcm,2))))</f>
        <v>4946.4000000111728</v>
      </c>
      <c r="AM77" s="535">
        <f t="shared" si="191"/>
        <v>256.9000000006572</v>
      </c>
      <c r="AN77" s="1035">
        <f t="shared" si="192"/>
        <v>1080.7512632654809</v>
      </c>
      <c r="AO77" s="535">
        <f t="shared" si="193"/>
        <v>3315.7448756984954</v>
      </c>
      <c r="AP77" s="535">
        <f>Sheet1!BA75+Sheet1!BB75+Sheet1!BN75+CD77</f>
        <v>18.5</v>
      </c>
      <c r="AQ77" s="535">
        <f>Sheet1!BN75+(DO77*Sheet1!BN75)</f>
        <v>18.404573590096287</v>
      </c>
      <c r="AR77" s="535">
        <f>Sheet1!BA75+CD77</f>
        <v>0</v>
      </c>
      <c r="AS77" s="535">
        <f>Sheet1!BA75+Sheet1!BB75+CD77</f>
        <v>0</v>
      </c>
      <c r="AT77" s="649">
        <f>0</f>
        <v>0</v>
      </c>
      <c r="AU77" s="535">
        <f>IF(EB77&lt;K77,0,MAX(Sheet1!AA75+AQ77-15/36*K77-N77,Sheet1!EH75,0))</f>
        <v>0</v>
      </c>
      <c r="AV77" s="535">
        <f>IF(OR(B77&gt;=GD77,B77&lt;GC77),0,15/36*K77-MAX(0,64.6-(137.6-(Sheet1!AA75+Sheet1!AB75))))</f>
        <v>26.933333333333334</v>
      </c>
      <c r="AW77" s="1029"/>
      <c r="AX77" s="649"/>
      <c r="AY77" s="649">
        <f t="shared" ref="AY77:AY140" si="286">AY76+BA77*MGtoAF</f>
        <v>0</v>
      </c>
      <c r="AZ77" s="649">
        <f t="shared" ref="AZ77:AZ140" si="287">BA77*1.547</f>
        <v>0</v>
      </c>
      <c r="BA77" s="1059">
        <f t="shared" ref="BA77:BA140" si="288">HV77/1.547</f>
        <v>0</v>
      </c>
      <c r="BB77" s="1019">
        <f t="shared" si="194"/>
        <v>538.66666666666663</v>
      </c>
      <c r="BC77" s="1041">
        <f t="shared" ref="BC77:BC140" si="289">K77*(15/36)</f>
        <v>26.933333333333334</v>
      </c>
      <c r="BD77" s="1019">
        <f ca="1">IF(B77&gt;Summary!$A$1,#N/A,BB77*MGtoAF)</f>
        <v>1652.6293333333333</v>
      </c>
      <c r="BE77" s="535">
        <f>Sheet1!BG75+Sheet1!BH75+Sheet1!BI75-BM77</f>
        <v>1.02</v>
      </c>
      <c r="BF77" s="535">
        <f t="shared" si="195"/>
        <v>1.0147386519944981</v>
      </c>
      <c r="BG77" s="535">
        <f>IF(Sheet1!EP75="FM",BM77,0)</f>
        <v>0</v>
      </c>
      <c r="BH77" s="535">
        <f t="shared" si="196"/>
        <v>0</v>
      </c>
      <c r="BI77" s="535">
        <f>IF(Sheet1!EP75="OTHER",BM77,0)</f>
        <v>0</v>
      </c>
      <c r="BJ77" s="535">
        <f t="shared" si="197"/>
        <v>0</v>
      </c>
      <c r="BK77" s="535">
        <f t="shared" si="198"/>
        <v>1.02</v>
      </c>
      <c r="BL77" s="535">
        <f t="shared" si="199"/>
        <v>1.0147386519944981</v>
      </c>
      <c r="BM77" s="535">
        <f>IF(OR(Sheet1!EP75="FM", Sheet1!EP75="OTHER"),SUM(Sheet1!BG75:'Sheet1'!BI75),0)</f>
        <v>0</v>
      </c>
      <c r="BN77" s="521">
        <f>IF(AND($B77&gt;=$FV77,$B77&lt;=$FW77),MAX(BF77,Sheet1!EI75,0),MAX(BF77-(7/36)*$K77,0))</f>
        <v>0</v>
      </c>
      <c r="BO77" s="535">
        <f t="shared" si="200"/>
        <v>11.55415023689439</v>
      </c>
      <c r="BP77" s="521">
        <f t="shared" si="201"/>
        <v>1.0147386519944981</v>
      </c>
      <c r="BQ77" s="521">
        <f>IF(AND($O77&gt;0,Sheet1!EM75=1),(1-($O77-Sheet1!$L75)/$O77)*BL77,0)</f>
        <v>0</v>
      </c>
      <c r="BR77" s="521">
        <f>IF(AND(Sheet1!$L75=0,Sheet1!$L74=0, Calculation!BK77&lt;Sheet1!$EI75-0.1,Sheet1!$EI75=Sheet1!$EI74,Sheet1!$EI75=Sheet1!$EI76),BL77-BQ77,BL77-BQ77)</f>
        <v>1.0147386519944981</v>
      </c>
      <c r="BS77" s="1035" t="str">
        <f t="shared" ref="BS77:BS140" si="290">IF(AND(B77&lt;=FV77,BR77&gt;BT77),BR77-BT77,"")</f>
        <v/>
      </c>
      <c r="BT77" s="1035">
        <f t="shared" ref="BT77:BT140" si="291">(7/36)*K77</f>
        <v>12.568888888888889</v>
      </c>
      <c r="BU77" s="535">
        <f t="shared" si="202"/>
        <v>230.38905085444054</v>
      </c>
      <c r="BV77" s="535"/>
      <c r="BW77" s="535">
        <f ca="1">IF(B77&gt;Summary!$A$1,#N/A,BU77*MGtoAF)</f>
        <v>706.83360802142363</v>
      </c>
      <c r="BX77" s="535">
        <f>Sheet1!BC75+Sheet1!BD75+Sheet1!BE75+Sheet1!BF75-CG77-CH77</f>
        <v>3.01</v>
      </c>
      <c r="BY77" s="535">
        <f t="shared" si="203"/>
        <v>2.9944738651994496</v>
      </c>
      <c r="BZ77" s="535">
        <f>IF(Sheet1!EQ75="FM",CH77,0)</f>
        <v>0</v>
      </c>
      <c r="CA77" s="535">
        <f t="shared" si="204"/>
        <v>0</v>
      </c>
      <c r="CB77" s="535">
        <f>IF(Sheet1!EQ75="OTHER",CH77,0)</f>
        <v>0</v>
      </c>
      <c r="CC77" s="535">
        <f t="shared" si="205"/>
        <v>0</v>
      </c>
      <c r="CD77" s="535">
        <f t="shared" si="206"/>
        <v>0</v>
      </c>
      <c r="CE77" s="535">
        <f t="shared" si="207"/>
        <v>3.01</v>
      </c>
      <c r="CF77" s="535">
        <f t="shared" si="208"/>
        <v>2.9944738651994496</v>
      </c>
      <c r="CG77" s="535">
        <f>IF(Sheet1!EQ75="CWA",SUM(Sheet1!BC75:'Sheet1'!BF75),0)</f>
        <v>0</v>
      </c>
      <c r="CH77" s="535">
        <f>IF(OR(Sheet1!EQ75="FM", Sheet1!EQ75="OTHER"),SUM(Sheet1!BC75:'Sheet1'!BF75),0)</f>
        <v>0</v>
      </c>
      <c r="CI77" s="521">
        <f>IF(AND($B77&gt;=$FV77,$B77&lt;=$FW77),MAX(CF77,Sheet1!EJ75,0),MAX(CF77-(7/36)*$K77,0))</f>
        <v>0</v>
      </c>
      <c r="CJ77" s="535">
        <f t="shared" si="209"/>
        <v>9.5744150236894399</v>
      </c>
      <c r="CK77" s="521">
        <f t="shared" si="210"/>
        <v>2.9944738651994496</v>
      </c>
      <c r="CL77" s="521">
        <f>IF(AND($O77&gt;0,Sheet1!EN75=1),(1-($O77-Sheet1!$L75)/$O77)*CF77,0)</f>
        <v>0</v>
      </c>
      <c r="CM77" s="521">
        <f>IF(AND(Sheet1!$L75=0,Sheet1!$L74=0, Calculation!CE77&lt;Sheet1!EJ75-0.1,Sheet1!EJ75=Sheet1!EJ74,Sheet1!EJ75=Sheet1!EJ76),CF77-CL77,CF77-CL77)</f>
        <v>2.9944738651994496</v>
      </c>
      <c r="CN77" s="1040" t="str">
        <f t="shared" ref="CN77:CN140" si="292">IF(AND(B77&lt;=FV77,CM77&gt;CO77),CM77-CO77,"")</f>
        <v/>
      </c>
      <c r="CO77" s="1035">
        <f t="shared" ref="CO77:CO140" si="293">(7/36)*K77</f>
        <v>12.568888888888889</v>
      </c>
      <c r="CP77" s="535">
        <f t="shared" si="211"/>
        <v>191.16239061425313</v>
      </c>
      <c r="CQ77" s="535"/>
      <c r="CR77" s="535">
        <f ca="1">IF(B77&gt;Summary!$A$1,#N/A,CP77*MGtoAF)</f>
        <v>586.4862144045286</v>
      </c>
      <c r="CS77" s="535">
        <f>Sheet1!BK75+Sheet1!BL75+Sheet1!BM75-Sheet1!ER75-DA77</f>
        <v>6.55</v>
      </c>
      <c r="CT77" s="535">
        <f t="shared" si="212"/>
        <v>6.5162138927097661</v>
      </c>
      <c r="CU77" s="535">
        <f>IF(Sheet1!ER75="FM",DA77,0)</f>
        <v>0</v>
      </c>
      <c r="CV77" s="535">
        <f t="shared" si="213"/>
        <v>0</v>
      </c>
      <c r="CW77" s="535">
        <f>IF(Sheet1!ER75="OTHER",DA77,0)</f>
        <v>0</v>
      </c>
      <c r="CX77" s="535">
        <f t="shared" si="214"/>
        <v>0</v>
      </c>
      <c r="CY77" s="535">
        <f t="shared" si="215"/>
        <v>6.55</v>
      </c>
      <c r="CZ77" s="535">
        <f t="shared" si="216"/>
        <v>6.5162138927097661</v>
      </c>
      <c r="DA77" s="535">
        <f>IF(OR(Sheet1!ER75="FM", Sheet1!ER75="OTHER"),SUM(Sheet1!BK75:'Sheet1'!BM75),0)</f>
        <v>0</v>
      </c>
      <c r="DB77" s="1011">
        <f>IF(AND($B77&gt;=$FV77,$B77&lt;=$FW77),MAX($CT77,Sheet1!EK75,0),MAX($CT77-(7/36)*$K77,0))</f>
        <v>0</v>
      </c>
      <c r="DC77" s="1012">
        <f t="shared" si="217"/>
        <v>6.0526749961791229</v>
      </c>
      <c r="DD77" s="1011">
        <f t="shared" si="218"/>
        <v>6.5162138927097661</v>
      </c>
      <c r="DE77" s="521">
        <f>IF(AND($O77&gt;0,Sheet1!EO75=1),(1-($O77-Sheet1!$L75)/$O77)*CZ77,0)</f>
        <v>0</v>
      </c>
      <c r="DF77" s="521">
        <f>IF(AND(Sheet1!$L75=0,Sheet1!$L74=0, Calculation!CY77&lt;Sheet1!$EK75-0.1,Sheet1!$EK75=Sheet1!$EK74,Sheet1!$EK75=Sheet1!$EK76),CZ77-DE77,CZ77-DE77)</f>
        <v>6.5162138927097661</v>
      </c>
      <c r="DG77" s="1040">
        <f t="shared" ref="DG77:DG140" si="294">(7/36)*K77</f>
        <v>12.568888888888889</v>
      </c>
      <c r="DH77" s="649">
        <f t="shared" si="219"/>
        <v>10.579999999999998</v>
      </c>
      <c r="DI77" s="535">
        <f t="shared" si="220"/>
        <v>120.5331551301206</v>
      </c>
      <c r="DJ77" s="649">
        <f t="shared" si="221"/>
        <v>10.525426409903714</v>
      </c>
      <c r="DK77" s="535">
        <f ca="1">IF(B77&gt;Summary!$A$1,#N/A,DI77*MGtoAF)</f>
        <v>369.79571993921002</v>
      </c>
      <c r="DL77" s="649">
        <f t="shared" si="222"/>
        <v>10.579999999999998</v>
      </c>
      <c r="DM77" s="535">
        <f t="shared" si="223"/>
        <v>29.08</v>
      </c>
      <c r="DN77" s="535">
        <f>Sheet1!AB75-DM77</f>
        <v>-0.14999999999999858</v>
      </c>
      <c r="DO77" s="743">
        <f t="shared" si="224"/>
        <v>-5.158184319119621E-3</v>
      </c>
      <c r="DP77" s="535">
        <f>(VLOOKUP(Sheet1!DC75,hhdcap_wcm,4)-(((VLOOKUP(Sheet1!DC75,hhdcap_wcm,3)-Sheet1!DC75)/(VLOOKUP(Sheet1!DC75,hhdcap_wcm,3)-VLOOKUP(Sheet1!DC75,hhdcap_wcm,1)))*(VLOOKUP(Sheet1!DC75,hhdcap_wcm,4)-VLOOKUP(Sheet1!DC75,hhdcap_wcm,2))))</f>
        <v>4946.4000000111728</v>
      </c>
      <c r="DQ77" s="535">
        <f t="shared" si="225"/>
        <v>256.9000000006572</v>
      </c>
      <c r="DR77" s="535">
        <f t="shared" si="226"/>
        <v>129.55118507345293</v>
      </c>
      <c r="DS77" s="535">
        <f>Sheet1!EA75*AFtoMG</f>
        <v>0</v>
      </c>
      <c r="DT77" s="535">
        <f>Sheet1!EB75*AFtoMG</f>
        <v>0</v>
      </c>
      <c r="DU77" s="535">
        <f>Sheet1!EC75*AFtoMG</f>
        <v>0</v>
      </c>
      <c r="DV77" s="535">
        <f>Sheet1!ED75*AFtoMG</f>
        <v>0</v>
      </c>
      <c r="DW77" s="535">
        <f t="shared" si="227"/>
        <v>0</v>
      </c>
      <c r="DX77" s="535">
        <f t="shared" si="228"/>
        <v>0</v>
      </c>
      <c r="DY77" s="535">
        <f t="shared" si="229"/>
        <v>1080.7512632654809</v>
      </c>
      <c r="DZ77" s="535">
        <f t="shared" si="230"/>
        <v>3315.7448756984954</v>
      </c>
      <c r="EA77" s="535"/>
      <c r="EB77" s="521">
        <f>IF(OR(B77&lt;FV77,B77&gt;FW77),(MIN(BF77+BY77+CT77+MAX(Sheet1!AA75+AQ77-73,0),K77)),0)</f>
        <v>10.525426409903714</v>
      </c>
      <c r="EC77" s="535"/>
      <c r="ED77" s="535">
        <f t="shared" si="231"/>
        <v>10.525426409903714</v>
      </c>
      <c r="EE77" s="535"/>
      <c r="EF77" s="535">
        <f>Sheet1!EH75+Sheet1!EI75+Sheet1!EJ75+Sheet1!EK75</f>
        <v>10.5</v>
      </c>
      <c r="EG77" s="1019">
        <f t="shared" ref="EG77:EG140" si="295">EF77*1.547</f>
        <v>16.243500000000001</v>
      </c>
      <c r="EH77" s="521">
        <f t="shared" si="232"/>
        <v>0</v>
      </c>
      <c r="EI77" s="535">
        <f>IF(Sheet1!ET75=1,SUM('Calculations II'!AT77:BA77)+'Calculations II'!BC77+Sheet1!BV75+'Calculations II'!BE77+AP77,'Calculations II'!BK77)</f>
        <v>43.06713359009629</v>
      </c>
      <c r="EJ77" s="535">
        <f ca="1">EI77+'Calculations II'!D77+'Calculations II'!E77+'Calculations II'!O77</f>
        <v>42.613336076126238</v>
      </c>
      <c r="EK77" s="535"/>
      <c r="EL77" s="535"/>
      <c r="EM77" s="535">
        <f t="shared" si="233"/>
        <v>42801</v>
      </c>
      <c r="EN77" s="535">
        <f t="shared" si="234"/>
        <v>54.114573590096285</v>
      </c>
      <c r="EO77" s="535">
        <f t="shared" si="235"/>
        <v>83.715245343878948</v>
      </c>
      <c r="EP77" s="535">
        <v>0</v>
      </c>
      <c r="EQ77" s="535">
        <v>0</v>
      </c>
      <c r="ER77" s="535">
        <v>0</v>
      </c>
      <c r="ES77" s="521">
        <f t="shared" si="257"/>
        <v>-0.5540672757220193</v>
      </c>
      <c r="ET77" s="535">
        <f>-(VLOOKUP(Sheet1!BQ75,Lookup!$O$4:$Q$262,2)-VLOOKUP(Sheet1!BQ74,Lookup!$O$4:$Q$262,2))/1000000</f>
        <v>-0.27698877484251933</v>
      </c>
      <c r="EU77" s="535">
        <f>-(VLOOKUP(Sheet1!BR75,Lookup!$O$4:$Q$262,3)-VLOOKUP(Sheet1!BR74,Lookup!$O$4:$Q$262,3))/1000000</f>
        <v>-0.27707850087950003</v>
      </c>
      <c r="EV77" s="535"/>
      <c r="EW77" s="535"/>
      <c r="EX77" s="535"/>
      <c r="EY77" s="535"/>
      <c r="EZ77" s="535"/>
      <c r="FA77" s="535"/>
      <c r="FB77" s="535"/>
      <c r="FC77" s="535"/>
      <c r="FD77" s="567" t="e">
        <f t="shared" si="236"/>
        <v>#N/A</v>
      </c>
      <c r="FE77" s="567" t="e">
        <f t="shared" si="237"/>
        <v>#N/A</v>
      </c>
      <c r="FF77" s="568" t="e">
        <f t="shared" si="238"/>
        <v>#N/A</v>
      </c>
      <c r="FG77" s="569" t="s">
        <v>656</v>
      </c>
      <c r="FH77" s="569" t="s">
        <v>656</v>
      </c>
      <c r="FI77" s="567" t="e">
        <v>#N/A</v>
      </c>
      <c r="FJ77" s="567" t="e">
        <v>#N/A</v>
      </c>
      <c r="FK77" s="535"/>
      <c r="FL77" s="1015">
        <v>0</v>
      </c>
      <c r="FM77" s="535"/>
      <c r="FN77" s="535"/>
      <c r="FO77" s="535">
        <f>O77+((Sheet1!CS75)*GPMtoMGD)</f>
        <v>54.72</v>
      </c>
      <c r="FP77" s="535">
        <f>IF(Sheet1!AA75+AQ77&lt;=Calculation!N77,AQ77,Calculation!N77-Sheet1!AA75)</f>
        <v>18.404573590096287</v>
      </c>
      <c r="FQ77" s="535">
        <f>(Sheet1!BP75+Sheet1!BO75)/694.4</f>
        <v>1.3088997695852536</v>
      </c>
      <c r="FR77" s="541"/>
      <c r="FS77" s="541"/>
      <c r="FT77" s="541"/>
      <c r="FU77" s="541"/>
      <c r="FV77" s="1109">
        <f t="shared" si="258"/>
        <v>42918</v>
      </c>
      <c r="FW77" s="1109">
        <f t="shared" si="259"/>
        <v>43027</v>
      </c>
      <c r="FX77" s="541"/>
      <c r="FY77" s="541">
        <f>Sheet1!DA75-Sheet1!CZ75-Sheet1!AE75</f>
        <v>869.34816000000001</v>
      </c>
      <c r="FZ77" s="535">
        <f t="shared" ref="FZ77:FZ140" si="296">FY77/G77</f>
        <v>1.0530517982633025</v>
      </c>
      <c r="GA77" s="535"/>
      <c r="GB77" s="535" t="str">
        <f t="shared" si="260"/>
        <v>n</v>
      </c>
      <c r="GC77" s="539">
        <f t="shared" si="261"/>
        <v>42782</v>
      </c>
      <c r="GD77" s="1109">
        <f t="shared" si="262"/>
        <v>42904</v>
      </c>
      <c r="GE77" s="535">
        <f t="shared" si="280"/>
        <v>6520</v>
      </c>
      <c r="GF77" s="1109">
        <f t="shared" si="263"/>
        <v>42909</v>
      </c>
      <c r="GG77" s="535">
        <f t="shared" si="174"/>
        <v>3260</v>
      </c>
      <c r="GH77" s="539">
        <f t="shared" si="264"/>
        <v>43040</v>
      </c>
      <c r="GJ77" s="521">
        <f t="shared" si="265"/>
        <v>0</v>
      </c>
      <c r="GK77" s="535" t="str">
        <f t="shared" si="239"/>
        <v/>
      </c>
      <c r="GL77" s="535">
        <f t="shared" si="266"/>
        <v>0</v>
      </c>
      <c r="GM77" s="535" t="str">
        <f t="shared" si="267"/>
        <v/>
      </c>
      <c r="GN77" s="535">
        <f>IF(GK77="P",Lookup!$M$12,IF(GK77="PP",Lookup!$M$13,IF(GK77="PPP",Lookup!$M$14,IF(GK77="T",Lookup!$M$15,IF(GK77="TP",Lookup!$M$16,IF(GK77="TPP",Lookup!$M$17,IF(GK77="TPPP",Lookup!$M$18,0)))))))*GJ77</f>
        <v>0</v>
      </c>
      <c r="GO77" s="535">
        <f t="shared" si="268"/>
        <v>0</v>
      </c>
      <c r="GP77" s="535">
        <f t="shared" si="240"/>
        <v>1652.6293333333333</v>
      </c>
      <c r="GQ77" s="535">
        <f t="shared" si="279"/>
        <v>538.66666666666663</v>
      </c>
      <c r="GR77" s="535"/>
      <c r="GS77" s="535">
        <f t="shared" si="269"/>
        <v>0</v>
      </c>
      <c r="GT77" s="535" t="str">
        <f t="shared" si="270"/>
        <v/>
      </c>
      <c r="GU77" s="535">
        <f>IF(GK77="P",Lookup!$N$12,IF(GK77="PP",Lookup!$N$13,IF(GK77="PPP",Lookup!$N$14,IF(GK77="T",Lookup!$N$15,IF(GK77="TP",Lookup!$N$16,IF(GK77="TPP",Lookup!$N$17,IF(GK77="TPPP",Lookup!$N$18,0)))))))*GJ77</f>
        <v>0</v>
      </c>
      <c r="GV77" s="535">
        <f t="shared" si="271"/>
        <v>0</v>
      </c>
      <c r="GW77" s="535">
        <f t="shared" si="241"/>
        <v>706.83360802142363</v>
      </c>
      <c r="GX77" s="535">
        <f t="shared" si="276"/>
        <v>230.38905085444054</v>
      </c>
      <c r="GY77" s="535"/>
      <c r="GZ77" s="535">
        <f t="shared" si="272"/>
        <v>0</v>
      </c>
      <c r="HA77" s="535" t="str">
        <f t="shared" si="273"/>
        <v/>
      </c>
      <c r="HB77" s="535">
        <f>IF(GK77="P",Lookup!$N$12,IF(GK77="PP",Lookup!$N$13,IF(GK77="PPP",Lookup!$N$14,IF(GK77="T",Lookup!$N$15,IF(GK77="TP",Lookup!$N$16,IF(GK77="TPP",Lookup!$N$17,IF(GK77="TPPP",Lookup!$N$18,0)))))))*GJ77</f>
        <v>0</v>
      </c>
      <c r="HC77" s="521">
        <f t="shared" si="242"/>
        <v>0</v>
      </c>
      <c r="HD77" s="535">
        <f t="shared" si="243"/>
        <v>586.4862144045286</v>
      </c>
      <c r="HE77" s="535">
        <f t="shared" si="277"/>
        <v>191.16239061425313</v>
      </c>
      <c r="HF77" s="535"/>
      <c r="HG77" s="535">
        <f t="shared" si="274"/>
        <v>0</v>
      </c>
      <c r="HH77" s="535" t="str">
        <f t="shared" si="275"/>
        <v/>
      </c>
      <c r="HI77" s="535">
        <f>IF(GK77="P",Lookup!$N$12,IF(GK77="PP",Lookup!$N$13,IF(GK77="PPP",Lookup!$N$14,IF(GK77="T",Lookup!$N$15,IF(GK77="TP",Lookup!$N$16,IF(GK77="TPP",Lookup!$N$17,IF(GK77="TPPP",Lookup!$N$18,0)))))))*GJ77</f>
        <v>0</v>
      </c>
      <c r="HJ77" s="521">
        <f t="shared" si="244"/>
        <v>0</v>
      </c>
      <c r="HK77" s="535">
        <f t="shared" si="245"/>
        <v>369.79571993921002</v>
      </c>
      <c r="HL77" s="535">
        <f t="shared" si="278"/>
        <v>120.5331551301206</v>
      </c>
      <c r="HM77" s="535"/>
      <c r="HN77" s="541"/>
      <c r="HO77" s="541"/>
      <c r="HP77" s="541"/>
      <c r="HQ77" s="541">
        <f>IF(AND(B77&gt;=$FV$4,B77&lt;=$FW$4),MAX(110/1.02+$HQ$6+MIN(113/1.02,G77),IF($HV$6-(Sheet1!DA75-Sheet1!DB75)+MIN(113/1.02,G77)&lt;G77+FL77,$HV$6-(Sheet1!DA75-Sheet1!DB75)+MIN(113/1.02,G77),G77+FL77)),MIN(110/1.02+$HQ$6+113/1.02,G77))</f>
        <v>218.62745098039215</v>
      </c>
      <c r="HR77" s="541">
        <f t="shared" ref="HR77:HR140" si="297">HQ77*1.02</f>
        <v>223</v>
      </c>
      <c r="HS77" s="541">
        <f>HR77+(Sheet1!DA75-Sheet1!DB75)</f>
        <v>1237</v>
      </c>
      <c r="HT77" s="541">
        <f t="shared" ref="HT77:HT140" si="298">AB77</f>
        <v>68.284579999999991</v>
      </c>
      <c r="HU77" s="541">
        <f t="shared" ref="HU77:HU140" si="299">HS77-HT77</f>
        <v>1168.71542</v>
      </c>
      <c r="HV77" s="541">
        <f t="shared" ref="HV77:HV140" si="300">MAX($HV$6-HU77,0)</f>
        <v>0</v>
      </c>
      <c r="HW77" s="533" t="str">
        <f t="shared" ref="HW77:HW140" si="301">IF(IB77-HQ77&lt;0,HQ77-IB77,"")</f>
        <v/>
      </c>
      <c r="HX77" s="541">
        <f t="shared" ref="HX77:HX140" si="302">IF(IB77-HQ77&gt;0,IB77-HQ77,"")</f>
        <v>477.37254901960785</v>
      </c>
      <c r="HY77" s="541">
        <f>Sheet1!CZ75</f>
        <v>696</v>
      </c>
      <c r="HZ77" s="541">
        <f t="shared" ref="HZ77:HZ140" si="303">AI77</f>
        <v>0</v>
      </c>
      <c r="IA77" s="541">
        <f t="shared" ref="IA77:IA140" si="304">AB77</f>
        <v>68.284579999999991</v>
      </c>
      <c r="IB77" s="541">
        <f t="shared" ref="IB77:IB140" si="305">HY77-HZ77</f>
        <v>696</v>
      </c>
      <c r="IC77" s="1019" t="str">
        <f t="shared" ref="IC77:IC140" si="306">IF(IB77-HQ77&lt;0,"YES","")</f>
        <v/>
      </c>
      <c r="ID77" s="541">
        <f t="shared" ref="ID77:ID140" si="307">HY77-HZ77-IA77</f>
        <v>627.71541999999999</v>
      </c>
      <c r="IE77" s="541">
        <f>Sheet1!DB75</f>
        <v>636</v>
      </c>
      <c r="IF77" s="533">
        <f>Sheet1!DA75</f>
        <v>1650</v>
      </c>
      <c r="IH77" s="541">
        <f>IF(AND($B77&gt;=$GC77,$B77&lt;=$GH77,$DR77&lt;0)+N("only adjusted when pool is drawn down during storage season"),Sheet1!$DB75+$DR77+N("Palmer minus all storage release"),Sheet1!$DB75)</f>
        <v>636</v>
      </c>
      <c r="II77" s="541">
        <f>IF(AND($B77&gt;=$GC77,$B77&lt;=$GH77,$DR77&lt;0)+N("only adjusted when pool is drawn down during storage season"),Sheet1!$DA75+$DR77+N("Auburn minus all storage release"),Sheet1!$DA75)</f>
        <v>1650</v>
      </c>
    </row>
    <row r="78" spans="1:281" x14ac:dyDescent="0.25">
      <c r="A78" s="553" t="s">
        <v>6</v>
      </c>
      <c r="B78" s="531">
        <v>42802</v>
      </c>
      <c r="C78" s="536">
        <v>0</v>
      </c>
      <c r="D78" s="506">
        <f t="shared" si="247"/>
        <v>300</v>
      </c>
      <c r="E78" s="506">
        <f t="shared" si="248"/>
        <v>250</v>
      </c>
      <c r="F78" s="506">
        <v>250</v>
      </c>
      <c r="G78" s="535">
        <f>DR78+Sheet1!CZ76</f>
        <v>806.30358043377589</v>
      </c>
      <c r="H78" s="1074">
        <f t="shared" si="281"/>
        <v>271.35935993599998</v>
      </c>
      <c r="I78" s="534">
        <f>IF(Sheet1!DA76&gt;=E78,(Sheet1!DA76-E78+P78)*CFStoMGD,0)</f>
        <v>913.88095993599995</v>
      </c>
      <c r="J78" s="995">
        <f>IF(Sheet1!DB76&gt;=D78,(Sheet1!DB76-D78+P78)*CFStoMGD,0)</f>
        <v>271.35935993599998</v>
      </c>
      <c r="K78" s="818">
        <f t="shared" si="282"/>
        <v>64.64</v>
      </c>
      <c r="L78" s="535">
        <f>Sheet1!AA76+Sheet1!AB76-Sheet1!L76+(Sheet1!DA76-F78)*CFStoMGD-S78-T78-U78</f>
        <v>849.24199999999996</v>
      </c>
      <c r="M78" s="535">
        <f t="shared" si="185"/>
        <v>531.6185270802406</v>
      </c>
      <c r="N78" s="824">
        <f>IF(Sheet1!DA76&gt;=F78,MIN(113*CFStoMGD,MIN(MAX(L78,0),MAX(M78,0))),0)</f>
        <v>73.043199999999999</v>
      </c>
      <c r="O78" s="538">
        <f>Sheet1!AA76+Sheet1!AB76</f>
        <v>54.17</v>
      </c>
      <c r="P78" s="538">
        <f t="shared" si="186"/>
        <v>83.800989999999999</v>
      </c>
      <c r="Q78" s="812">
        <f t="shared" si="283"/>
        <v>43.650000000000006</v>
      </c>
      <c r="R78" s="812">
        <f t="shared" si="249"/>
        <v>10.464863731656184</v>
      </c>
      <c r="S78" s="812">
        <f t="shared" si="250"/>
        <v>10.52</v>
      </c>
      <c r="T78" s="812">
        <f t="shared" si="251"/>
        <v>54.120000000000005</v>
      </c>
      <c r="U78" s="812">
        <f t="shared" si="284"/>
        <v>0</v>
      </c>
      <c r="V78" s="812"/>
      <c r="W78" s="812">
        <f t="shared" si="252"/>
        <v>54.17513626834382</v>
      </c>
      <c r="X78" s="812">
        <f t="shared" si="253"/>
        <v>64.64</v>
      </c>
      <c r="Y78" s="812" t="str">
        <f t="shared" si="254"/>
        <v>FALSE</v>
      </c>
      <c r="Z78" s="812">
        <f t="shared" si="255"/>
        <v>54.17</v>
      </c>
      <c r="AA78" s="812">
        <f t="shared" si="256"/>
        <v>54.17</v>
      </c>
      <c r="AB78" s="1059">
        <f t="shared" si="285"/>
        <v>67.52655</v>
      </c>
      <c r="AC78" s="538">
        <f>Sheet1!Y76*MGDtoCFS</f>
        <v>39.897129999999997</v>
      </c>
      <c r="AD78" s="538">
        <f>Sheet1!Z76*MGDtoCFS</f>
        <v>44.754709999999996</v>
      </c>
      <c r="AE78" s="538">
        <f>Sheet1!AA76*MGDtoCFS</f>
        <v>39.757899999999999</v>
      </c>
      <c r="AF78" s="538">
        <f>Sheet1!AB76*MGDtoCFS</f>
        <v>44.043089999999999</v>
      </c>
      <c r="AG78" s="538">
        <f>Sheet1!L76*MGDtoCFS</f>
        <v>0</v>
      </c>
      <c r="AH78" s="521">
        <f t="shared" si="187"/>
        <v>0</v>
      </c>
      <c r="AI78" s="1059">
        <f t="shared" si="188"/>
        <v>0</v>
      </c>
      <c r="AJ78" s="535">
        <f t="shared" si="189"/>
        <v>54.17513626834382</v>
      </c>
      <c r="AK78" s="535">
        <f t="shared" si="190"/>
        <v>83.808935807127881</v>
      </c>
      <c r="AL78" s="535">
        <f>(VLOOKUP(Sheet1!DC76,hhdcap_wcm,4)-(((VLOOKUP(Sheet1!DC76,hhdcap_wcm,3)-Sheet1!DC76)/(VLOOKUP(Sheet1!DC76,hhdcap_wcm,3)-VLOOKUP(Sheet1!DC76,hhdcap_wcm,1)))*(VLOOKUP(Sheet1!DC76,hhdcap_wcm,4)-VLOOKUP(Sheet1!DC76,hhdcap_wcm,2))))</f>
        <v>5157.2000000113503</v>
      </c>
      <c r="AM78" s="535">
        <f t="shared" si="191"/>
        <v>210.80000000017753</v>
      </c>
      <c r="AN78" s="1035">
        <f t="shared" si="192"/>
        <v>1134.9263995338247</v>
      </c>
      <c r="AO78" s="535">
        <f t="shared" si="193"/>
        <v>3481.9541937697741</v>
      </c>
      <c r="AP78" s="535">
        <f>Sheet1!BA76+Sheet1!BB76+Sheet1!BN76+CD78</f>
        <v>18.100000000000001</v>
      </c>
      <c r="AQ78" s="535">
        <f>Sheet1!BN76+(DO78*Sheet1!BN76)</f>
        <v>18.005136268343815</v>
      </c>
      <c r="AR78" s="535">
        <f>Sheet1!BA76+CD78</f>
        <v>0</v>
      </c>
      <c r="AS78" s="535">
        <f>Sheet1!BA76+Sheet1!BB76+CD78</f>
        <v>0</v>
      </c>
      <c r="AT78" s="649">
        <f>0</f>
        <v>0</v>
      </c>
      <c r="AU78" s="535">
        <f>IF(EB78&lt;K78,0,MAX(Sheet1!AA76+AQ78-15/36*K78-N78,Sheet1!EH76,0))</f>
        <v>0</v>
      </c>
      <c r="AV78" s="535">
        <f>IF(OR(B78&gt;=GD78,B78&lt;GC78),0,15/36*K78-MAX(0,64.6-(137.6-(Sheet1!AA76+Sheet1!AB76))))</f>
        <v>26.933333333333334</v>
      </c>
      <c r="AW78" s="1029"/>
      <c r="AX78" s="649"/>
      <c r="AY78" s="649">
        <f t="shared" si="286"/>
        <v>0</v>
      </c>
      <c r="AZ78" s="649">
        <f t="shared" si="287"/>
        <v>0</v>
      </c>
      <c r="BA78" s="1059">
        <f t="shared" si="288"/>
        <v>0</v>
      </c>
      <c r="BB78" s="1019">
        <f t="shared" si="194"/>
        <v>565.59999999999991</v>
      </c>
      <c r="BC78" s="1041">
        <f t="shared" si="289"/>
        <v>26.933333333333334</v>
      </c>
      <c r="BD78" s="1019">
        <f ca="1">IF(B78&gt;Summary!$A$1,#N/A,BB78*MGtoAF)</f>
        <v>1735.2607999999998</v>
      </c>
      <c r="BE78" s="535">
        <f>Sheet1!BG76+Sheet1!BH76+Sheet1!BI76-BM78</f>
        <v>1.02</v>
      </c>
      <c r="BF78" s="535">
        <f t="shared" si="195"/>
        <v>1.0146540880503143</v>
      </c>
      <c r="BG78" s="535">
        <f>IF(Sheet1!EP76="FM",BM78,0)</f>
        <v>0</v>
      </c>
      <c r="BH78" s="535">
        <f t="shared" si="196"/>
        <v>0</v>
      </c>
      <c r="BI78" s="535">
        <f>IF(Sheet1!EP76="OTHER",BM78,0)</f>
        <v>0</v>
      </c>
      <c r="BJ78" s="535">
        <f t="shared" si="197"/>
        <v>0</v>
      </c>
      <c r="BK78" s="535">
        <f t="shared" si="198"/>
        <v>1.02</v>
      </c>
      <c r="BL78" s="535">
        <f t="shared" si="199"/>
        <v>1.0146540880503143</v>
      </c>
      <c r="BM78" s="535">
        <f>IF(OR(Sheet1!EP76="FM", Sheet1!EP76="OTHER"),SUM(Sheet1!BG76:'Sheet1'!BI76),0)</f>
        <v>0</v>
      </c>
      <c r="BN78" s="521">
        <f>IF(AND($B78&gt;=$FV78,$B78&lt;=$FW78),MAX(BF78,Sheet1!EI76,0),MAX(BF78-(7/36)*$K78,0))</f>
        <v>0</v>
      </c>
      <c r="BO78" s="535">
        <f t="shared" si="200"/>
        <v>11.554234800838575</v>
      </c>
      <c r="BP78" s="521">
        <f t="shared" si="201"/>
        <v>1.0146540880503143</v>
      </c>
      <c r="BQ78" s="521">
        <f>IF(AND($O78&gt;0,Sheet1!EM76=1),(1-($O78-Sheet1!$L76)/$O78)*BL78,0)</f>
        <v>0</v>
      </c>
      <c r="BR78" s="521">
        <f>IF(AND(Sheet1!$L76=0,Sheet1!$L75=0, Calculation!BK78&lt;Sheet1!$EI76-0.1,Sheet1!$EI76=Sheet1!$EI75,Sheet1!$EI76=Sheet1!$EI77),BL78-BQ78,BL78-BQ78)</f>
        <v>1.0146540880503143</v>
      </c>
      <c r="BS78" s="1035" t="str">
        <f t="shared" si="290"/>
        <v/>
      </c>
      <c r="BT78" s="1035">
        <f t="shared" si="291"/>
        <v>12.568888888888889</v>
      </c>
      <c r="BU78" s="535">
        <f t="shared" si="202"/>
        <v>241.94328565527911</v>
      </c>
      <c r="BV78" s="535"/>
      <c r="BW78" s="535">
        <f ca="1">IF(B78&gt;Summary!$A$1,#N/A,BU78*MGtoAF)</f>
        <v>742.28200039039632</v>
      </c>
      <c r="BX78" s="535">
        <f>Sheet1!BC76+Sheet1!BD76+Sheet1!BE76+Sheet1!BF76-CG78-CH78</f>
        <v>3.01</v>
      </c>
      <c r="BY78" s="535">
        <f t="shared" si="203"/>
        <v>2.9942243186582806</v>
      </c>
      <c r="BZ78" s="535">
        <f>IF(Sheet1!EQ76="FM",CH78,0)</f>
        <v>0</v>
      </c>
      <c r="CA78" s="535">
        <f t="shared" si="204"/>
        <v>0</v>
      </c>
      <c r="CB78" s="535">
        <f>IF(Sheet1!EQ76="OTHER",CH78,0)</f>
        <v>0</v>
      </c>
      <c r="CC78" s="535">
        <f t="shared" si="205"/>
        <v>0</v>
      </c>
      <c r="CD78" s="535">
        <f t="shared" si="206"/>
        <v>0</v>
      </c>
      <c r="CE78" s="535">
        <f t="shared" si="207"/>
        <v>3.01</v>
      </c>
      <c r="CF78" s="535">
        <f t="shared" si="208"/>
        <v>2.9942243186582806</v>
      </c>
      <c r="CG78" s="535">
        <f>IF(Sheet1!EQ76="CWA",SUM(Sheet1!BC76:'Sheet1'!BF76),0)</f>
        <v>0</v>
      </c>
      <c r="CH78" s="535">
        <f>IF(OR(Sheet1!EQ76="FM", Sheet1!EQ76="OTHER"),SUM(Sheet1!BC76:'Sheet1'!BF76),0)</f>
        <v>0</v>
      </c>
      <c r="CI78" s="521">
        <f>IF(AND($B78&gt;=$FV78,$B78&lt;=$FW78),MAX(CF78,Sheet1!EJ76,0),MAX(CF78-(7/36)*$K78,0))</f>
        <v>0</v>
      </c>
      <c r="CJ78" s="535">
        <f t="shared" si="209"/>
        <v>9.5746645702306079</v>
      </c>
      <c r="CK78" s="521">
        <f t="shared" si="210"/>
        <v>2.9942243186582806</v>
      </c>
      <c r="CL78" s="521">
        <f>IF(AND($O78&gt;0,Sheet1!EN76=1),(1-($O78-Sheet1!$L76)/$O78)*CF78,0)</f>
        <v>0</v>
      </c>
      <c r="CM78" s="521">
        <f>IF(AND(Sheet1!$L76=0,Sheet1!$L75=0, Calculation!CE78&lt;Sheet1!EJ76-0.1,Sheet1!EJ76=Sheet1!EJ75,Sheet1!EJ76=Sheet1!EJ77),CF78-CL78,CF78-CL78)</f>
        <v>2.9942243186582806</v>
      </c>
      <c r="CN78" s="1040" t="str">
        <f t="shared" si="292"/>
        <v/>
      </c>
      <c r="CO78" s="1035">
        <f t="shared" si="293"/>
        <v>12.568888888888889</v>
      </c>
      <c r="CP78" s="535">
        <f t="shared" si="211"/>
        <v>200.73705518448372</v>
      </c>
      <c r="CQ78" s="535"/>
      <c r="CR78" s="535">
        <f ca="1">IF(B78&gt;Summary!$A$1,#N/A,CP78*MGtoAF)</f>
        <v>615.86128530599603</v>
      </c>
      <c r="CS78" s="535">
        <f>Sheet1!BK76+Sheet1!BL76+Sheet1!BM76-Sheet1!ER76-DA78</f>
        <v>6.49</v>
      </c>
      <c r="CT78" s="535">
        <f t="shared" si="212"/>
        <v>6.4559853249475889</v>
      </c>
      <c r="CU78" s="535">
        <f>IF(Sheet1!ER76="FM",DA78,0)</f>
        <v>0</v>
      </c>
      <c r="CV78" s="535">
        <f t="shared" si="213"/>
        <v>0</v>
      </c>
      <c r="CW78" s="535">
        <f>IF(Sheet1!ER76="OTHER",DA78,0)</f>
        <v>0</v>
      </c>
      <c r="CX78" s="535">
        <f t="shared" si="214"/>
        <v>0</v>
      </c>
      <c r="CY78" s="535">
        <f t="shared" si="215"/>
        <v>6.49</v>
      </c>
      <c r="CZ78" s="535">
        <f t="shared" si="216"/>
        <v>6.4559853249475889</v>
      </c>
      <c r="DA78" s="535">
        <f>IF(OR(Sheet1!ER76="FM", Sheet1!ER76="OTHER"),SUM(Sheet1!BK76:'Sheet1'!BM76),0)</f>
        <v>0</v>
      </c>
      <c r="DB78" s="1011">
        <f>IF(AND($B78&gt;=$FV78,$B78&lt;=$FW78),MAX($CT78,Sheet1!EK76,0),MAX($CT78-(7/36)*$K78,0))</f>
        <v>0</v>
      </c>
      <c r="DC78" s="1012">
        <f t="shared" si="217"/>
        <v>6.1129035639413001</v>
      </c>
      <c r="DD78" s="1011">
        <f t="shared" si="218"/>
        <v>6.4559853249475889</v>
      </c>
      <c r="DE78" s="521">
        <f>IF(AND($O78&gt;0,Sheet1!EO76=1),(1-($O78-Sheet1!$L76)/$O78)*CZ78,0)</f>
        <v>0</v>
      </c>
      <c r="DF78" s="521">
        <f>IF(AND(Sheet1!$L76=0,Sheet1!$L75=0, Calculation!CY78&lt;Sheet1!$EK76-0.1,Sheet1!$EK76=Sheet1!$EK75,Sheet1!$EK76=Sheet1!$EK77),CZ78-DE78,CZ78-DE78)</f>
        <v>6.4559853249475889</v>
      </c>
      <c r="DG78" s="1040">
        <f t="shared" si="294"/>
        <v>12.568888888888889</v>
      </c>
      <c r="DH78" s="649">
        <f t="shared" si="219"/>
        <v>10.52</v>
      </c>
      <c r="DI78" s="535">
        <f t="shared" si="220"/>
        <v>126.64605869406191</v>
      </c>
      <c r="DJ78" s="649">
        <f t="shared" si="221"/>
        <v>10.464863731656184</v>
      </c>
      <c r="DK78" s="535">
        <f ca="1">IF(B78&gt;Summary!$A$1,#N/A,DI78*MGtoAF)</f>
        <v>388.55010807338192</v>
      </c>
      <c r="DL78" s="649">
        <f t="shared" si="222"/>
        <v>10.52</v>
      </c>
      <c r="DM78" s="535">
        <f t="shared" si="223"/>
        <v>28.62</v>
      </c>
      <c r="DN78" s="535">
        <f>Sheet1!AB76-DM78</f>
        <v>-0.15000000000000213</v>
      </c>
      <c r="DO78" s="743">
        <f t="shared" si="224"/>
        <v>-5.2410901467505981E-3</v>
      </c>
      <c r="DP78" s="535">
        <f>(VLOOKUP(Sheet1!DC76,hhdcap_wcm,4)-(((VLOOKUP(Sheet1!DC76,hhdcap_wcm,3)-Sheet1!DC76)/(VLOOKUP(Sheet1!DC76,hhdcap_wcm,3)-VLOOKUP(Sheet1!DC76,hhdcap_wcm,1)))*(VLOOKUP(Sheet1!DC76,hhdcap_wcm,4)-VLOOKUP(Sheet1!DC76,hhdcap_wcm,2))))</f>
        <v>5157.2000000113503</v>
      </c>
      <c r="DQ78" s="535">
        <f t="shared" si="225"/>
        <v>210.80000000017753</v>
      </c>
      <c r="DR78" s="535">
        <f t="shared" si="226"/>
        <v>106.30358043377585</v>
      </c>
      <c r="DS78" s="535">
        <f>Sheet1!EA76*AFtoMG</f>
        <v>0</v>
      </c>
      <c r="DT78" s="535">
        <f>Sheet1!EB76*AFtoMG</f>
        <v>0</v>
      </c>
      <c r="DU78" s="535">
        <f>Sheet1!EC76*AFtoMG</f>
        <v>0</v>
      </c>
      <c r="DV78" s="535">
        <f>Sheet1!ED76*AFtoMG</f>
        <v>0</v>
      </c>
      <c r="DW78" s="535">
        <f t="shared" si="227"/>
        <v>0</v>
      </c>
      <c r="DX78" s="535">
        <f t="shared" si="228"/>
        <v>0</v>
      </c>
      <c r="DY78" s="535">
        <f t="shared" si="229"/>
        <v>1134.9263995338247</v>
      </c>
      <c r="DZ78" s="535">
        <f t="shared" si="230"/>
        <v>3481.9541937697741</v>
      </c>
      <c r="EA78" s="535"/>
      <c r="EB78" s="521">
        <f>IF(OR(B78&lt;FV78,B78&gt;FW78),(MIN(BF78+BY78+CT78+MAX(Sheet1!AA76+AQ78-73,0),K78)),0)</f>
        <v>10.464863731656184</v>
      </c>
      <c r="EC78" s="535"/>
      <c r="ED78" s="535">
        <f t="shared" si="231"/>
        <v>10.464863731656184</v>
      </c>
      <c r="EE78" s="535"/>
      <c r="EF78" s="535">
        <f>Sheet1!EH76+Sheet1!EI76+Sheet1!EJ76+Sheet1!EK76</f>
        <v>10.5</v>
      </c>
      <c r="EG78" s="1019">
        <f t="shared" si="295"/>
        <v>16.243500000000001</v>
      </c>
      <c r="EH78" s="521">
        <f t="shared" si="232"/>
        <v>0</v>
      </c>
      <c r="EI78" s="535">
        <f>IF(Sheet1!ET76=1,SUM('Calculations II'!AT78:BA78)+'Calculations II'!BC78+Sheet1!BV76+'Calculations II'!BE78+AP78,'Calculations II'!BK78)</f>
        <v>42.232056268343811</v>
      </c>
      <c r="EJ78" s="535">
        <f ca="1">EI78+'Calculations II'!D78+'Calculations II'!E78+'Calculations II'!O78</f>
        <v>44.056446933924363</v>
      </c>
      <c r="EK78" s="535"/>
      <c r="EL78" s="535"/>
      <c r="EM78" s="535">
        <f t="shared" si="233"/>
        <v>42802</v>
      </c>
      <c r="EN78" s="535">
        <f t="shared" si="234"/>
        <v>54.17513626834382</v>
      </c>
      <c r="EO78" s="535">
        <f t="shared" si="235"/>
        <v>83.808935807127881</v>
      </c>
      <c r="EP78" s="535">
        <v>0</v>
      </c>
      <c r="EQ78" s="535">
        <v>0</v>
      </c>
      <c r="ER78" s="535">
        <v>0</v>
      </c>
      <c r="ES78" s="521">
        <f t="shared" si="257"/>
        <v>-0.8311970515786633</v>
      </c>
      <c r="ET78" s="535">
        <f>-(VLOOKUP(Sheet1!BQ76,Lookup!$O$4:$Q$262,2)-VLOOKUP(Sheet1!BQ75,Lookup!$O$4:$Q$262,2))/1000000</f>
        <v>-0.41553122738184406</v>
      </c>
      <c r="EU78" s="535">
        <f>-(VLOOKUP(Sheet1!BR76,Lookup!$O$4:$Q$262,3)-VLOOKUP(Sheet1!BR75,Lookup!$O$4:$Q$262,3))/1000000</f>
        <v>-0.41566582419681919</v>
      </c>
      <c r="EV78" s="535"/>
      <c r="EW78" s="535"/>
      <c r="EX78" s="535"/>
      <c r="EY78" s="535"/>
      <c r="EZ78" s="535"/>
      <c r="FA78" s="535"/>
      <c r="FB78" s="535"/>
      <c r="FC78" s="535"/>
      <c r="FD78" s="567" t="e">
        <f t="shared" si="236"/>
        <v>#N/A</v>
      </c>
      <c r="FE78" s="567" t="e">
        <f t="shared" si="237"/>
        <v>#N/A</v>
      </c>
      <c r="FF78" s="568" t="e">
        <f t="shared" si="238"/>
        <v>#N/A</v>
      </c>
      <c r="FG78" s="569" t="s">
        <v>656</v>
      </c>
      <c r="FH78" s="569" t="s">
        <v>656</v>
      </c>
      <c r="FI78" s="567" t="e">
        <v>#N/A</v>
      </c>
      <c r="FJ78" s="567" t="e">
        <v>#N/A</v>
      </c>
      <c r="FK78" s="535"/>
      <c r="FL78" s="1015">
        <v>0</v>
      </c>
      <c r="FM78" s="535"/>
      <c r="FN78" s="535"/>
      <c r="FO78" s="535">
        <f>O78+((Sheet1!CS76)*GPMtoMGD)</f>
        <v>54.17</v>
      </c>
      <c r="FP78" s="535">
        <f>IF(Sheet1!AA76+AQ78&lt;=Calculation!N78,AQ78,Calculation!N78-Sheet1!AA76)</f>
        <v>18.005136268343815</v>
      </c>
      <c r="FQ78" s="535">
        <f>(Sheet1!BP76+Sheet1!BO76)/694.4</f>
        <v>1.3202764976958525</v>
      </c>
      <c r="FR78" s="541"/>
      <c r="FS78" s="541"/>
      <c r="FT78" s="541"/>
      <c r="FU78" s="541"/>
      <c r="FV78" s="1109">
        <f t="shared" si="258"/>
        <v>42918</v>
      </c>
      <c r="FW78" s="1109">
        <f t="shared" si="259"/>
        <v>43027</v>
      </c>
      <c r="FX78" s="541"/>
      <c r="FY78" s="541">
        <f>Sheet1!DA76-Sheet1!CZ76-Sheet1!AE76</f>
        <v>796.19901000000004</v>
      </c>
      <c r="FZ78" s="535">
        <f t="shared" si="296"/>
        <v>0.98746803229084035</v>
      </c>
      <c r="GA78" s="535"/>
      <c r="GB78" s="535" t="str">
        <f t="shared" si="260"/>
        <v>n</v>
      </c>
      <c r="GC78" s="539">
        <f t="shared" si="261"/>
        <v>42782</v>
      </c>
      <c r="GD78" s="1109">
        <f t="shared" si="262"/>
        <v>42904</v>
      </c>
      <c r="GE78" s="535">
        <f t="shared" si="280"/>
        <v>6520</v>
      </c>
      <c r="GF78" s="1109">
        <f t="shared" si="263"/>
        <v>42909</v>
      </c>
      <c r="GG78" s="535">
        <f t="shared" si="174"/>
        <v>3260</v>
      </c>
      <c r="GH78" s="539">
        <f t="shared" si="264"/>
        <v>43040</v>
      </c>
      <c r="GJ78" s="521">
        <f t="shared" si="265"/>
        <v>0</v>
      </c>
      <c r="GK78" s="535" t="str">
        <f t="shared" si="239"/>
        <v/>
      </c>
      <c r="GL78" s="535">
        <f t="shared" si="266"/>
        <v>0</v>
      </c>
      <c r="GM78" s="535" t="str">
        <f t="shared" si="267"/>
        <v/>
      </c>
      <c r="GN78" s="535">
        <f>IF(GK78="P",Lookup!$M$12,IF(GK78="PP",Lookup!$M$13,IF(GK78="PPP",Lookup!$M$14,IF(GK78="T",Lookup!$M$15,IF(GK78="TP",Lookup!$M$16,IF(GK78="TPP",Lookup!$M$17,IF(GK78="TPPP",Lookup!$M$18,0)))))))*GJ78</f>
        <v>0</v>
      </c>
      <c r="GO78" s="535">
        <f t="shared" si="268"/>
        <v>0</v>
      </c>
      <c r="GP78" s="535">
        <f t="shared" si="240"/>
        <v>1735.2607999999998</v>
      </c>
      <c r="GQ78" s="535">
        <f t="shared" si="279"/>
        <v>565.59999999999991</v>
      </c>
      <c r="GR78" s="535"/>
      <c r="GS78" s="535">
        <f t="shared" si="269"/>
        <v>0</v>
      </c>
      <c r="GT78" s="535" t="str">
        <f t="shared" si="270"/>
        <v/>
      </c>
      <c r="GU78" s="535">
        <f>IF(GK78="P",Lookup!$N$12,IF(GK78="PP",Lookup!$N$13,IF(GK78="PPP",Lookup!$N$14,IF(GK78="T",Lookup!$N$15,IF(GK78="TP",Lookup!$N$16,IF(GK78="TPP",Lookup!$N$17,IF(GK78="TPPP",Lookup!$N$18,0)))))))*GJ78</f>
        <v>0</v>
      </c>
      <c r="GV78" s="535">
        <f t="shared" si="271"/>
        <v>0</v>
      </c>
      <c r="GW78" s="535">
        <f t="shared" si="241"/>
        <v>742.28200039039632</v>
      </c>
      <c r="GX78" s="535">
        <f t="shared" si="276"/>
        <v>241.94328565527911</v>
      </c>
      <c r="GY78" s="535"/>
      <c r="GZ78" s="535">
        <f t="shared" si="272"/>
        <v>0</v>
      </c>
      <c r="HA78" s="535" t="str">
        <f t="shared" si="273"/>
        <v/>
      </c>
      <c r="HB78" s="535">
        <f>IF(GK78="P",Lookup!$N$12,IF(GK78="PP",Lookup!$N$13,IF(GK78="PPP",Lookup!$N$14,IF(GK78="T",Lookup!$N$15,IF(GK78="TP",Lookup!$N$16,IF(GK78="TPP",Lookup!$N$17,IF(GK78="TPPP",Lookup!$N$18,0)))))))*GJ78</f>
        <v>0</v>
      </c>
      <c r="HC78" s="521">
        <f t="shared" si="242"/>
        <v>0</v>
      </c>
      <c r="HD78" s="535">
        <f t="shared" si="243"/>
        <v>615.86128530599603</v>
      </c>
      <c r="HE78" s="535">
        <f t="shared" si="277"/>
        <v>200.73705518448372</v>
      </c>
      <c r="HF78" s="535"/>
      <c r="HG78" s="535">
        <f t="shared" si="274"/>
        <v>0</v>
      </c>
      <c r="HH78" s="535" t="str">
        <f t="shared" si="275"/>
        <v/>
      </c>
      <c r="HI78" s="535">
        <f>IF(GK78="P",Lookup!$N$12,IF(GK78="PP",Lookup!$N$13,IF(GK78="PPP",Lookup!$N$14,IF(GK78="T",Lookup!$N$15,IF(GK78="TP",Lookup!$N$16,IF(GK78="TPP",Lookup!$N$17,IF(GK78="TPPP",Lookup!$N$18,0)))))))*GJ78</f>
        <v>0</v>
      </c>
      <c r="HJ78" s="521">
        <f t="shared" si="244"/>
        <v>0</v>
      </c>
      <c r="HK78" s="535">
        <f t="shared" si="245"/>
        <v>388.55010807338192</v>
      </c>
      <c r="HL78" s="535">
        <f t="shared" si="278"/>
        <v>126.64605869406191</v>
      </c>
      <c r="HM78" s="535"/>
      <c r="HN78" s="541"/>
      <c r="HO78" s="541"/>
      <c r="HP78" s="541"/>
      <c r="HQ78" s="541">
        <f>IF(AND(B78&gt;=$FV$4,B78&lt;=$FW$4),MAX(110/1.02+$HQ$6+MIN(113/1.02,G78),IF($HV$6-(Sheet1!DA76-Sheet1!DB76)+MIN(113/1.02,G78)&lt;G78+FL78,$HV$6-(Sheet1!DA76-Sheet1!DB76)+MIN(113/1.02,G78),G78+FL78)),MIN(110/1.02+$HQ$6+113/1.02,G78))</f>
        <v>218.62745098039215</v>
      </c>
      <c r="HR78" s="541">
        <f t="shared" si="297"/>
        <v>223</v>
      </c>
      <c r="HS78" s="541">
        <f>HR78+(Sheet1!DA76-Sheet1!DB76)</f>
        <v>1167</v>
      </c>
      <c r="HT78" s="541">
        <f t="shared" si="298"/>
        <v>67.52655</v>
      </c>
      <c r="HU78" s="541">
        <f t="shared" si="299"/>
        <v>1099.47345</v>
      </c>
      <c r="HV78" s="541">
        <f t="shared" si="300"/>
        <v>0</v>
      </c>
      <c r="HW78" s="533" t="str">
        <f t="shared" si="301"/>
        <v/>
      </c>
      <c r="HX78" s="541">
        <f t="shared" si="302"/>
        <v>481.37254901960785</v>
      </c>
      <c r="HY78" s="541">
        <f>Sheet1!CZ76</f>
        <v>700</v>
      </c>
      <c r="HZ78" s="541">
        <f t="shared" si="303"/>
        <v>0</v>
      </c>
      <c r="IA78" s="541">
        <f t="shared" si="304"/>
        <v>67.52655</v>
      </c>
      <c r="IB78" s="541">
        <f t="shared" si="305"/>
        <v>700</v>
      </c>
      <c r="IC78" s="1019" t="str">
        <f t="shared" si="306"/>
        <v/>
      </c>
      <c r="ID78" s="541">
        <f t="shared" si="307"/>
        <v>632.47344999999996</v>
      </c>
      <c r="IE78" s="541">
        <f>Sheet1!DB76</f>
        <v>636</v>
      </c>
      <c r="IF78" s="533">
        <f>Sheet1!DA76</f>
        <v>1580</v>
      </c>
      <c r="IH78" s="541">
        <f>IF(AND($B78&gt;=$GC78,$B78&lt;=$GH78,$DR78&lt;0)+N("only adjusted when pool is drawn down during storage season"),Sheet1!$DB76+$DR78+N("Palmer minus all storage release"),Sheet1!$DB76)</f>
        <v>636</v>
      </c>
      <c r="II78" s="541">
        <f>IF(AND($B78&gt;=$GC78,$B78&lt;=$GH78,$DR78&lt;0)+N("only adjusted when pool is drawn down during storage season"),Sheet1!$DA76+$DR78+N("Auburn minus all storage release"),Sheet1!$DA76)</f>
        <v>1580</v>
      </c>
    </row>
    <row r="79" spans="1:281" x14ac:dyDescent="0.25">
      <c r="A79" s="553" t="s">
        <v>7</v>
      </c>
      <c r="B79" s="531">
        <v>42803</v>
      </c>
      <c r="C79" s="536">
        <v>0</v>
      </c>
      <c r="D79" s="506">
        <f t="shared" si="247"/>
        <v>300</v>
      </c>
      <c r="E79" s="506">
        <f t="shared" si="248"/>
        <v>250</v>
      </c>
      <c r="F79" s="506">
        <v>250</v>
      </c>
      <c r="G79" s="535">
        <f>DR79+Sheet1!CZ77</f>
        <v>1023.2541603632056</v>
      </c>
      <c r="H79" s="1074">
        <f t="shared" si="281"/>
        <v>454.26697279999996</v>
      </c>
      <c r="I79" s="534">
        <f>IF(Sheet1!DA77&gt;=E79,(Sheet1!DA77-E79+P79)*CFStoMGD,0)</f>
        <v>1191.1629728</v>
      </c>
      <c r="J79" s="995">
        <f>IF(Sheet1!DB77&gt;=D79,(Sheet1!DB77-D79+P79)*CFStoMGD,0)</f>
        <v>454.26697279999996</v>
      </c>
      <c r="K79" s="818">
        <f t="shared" si="282"/>
        <v>64.64</v>
      </c>
      <c r="L79" s="535">
        <f>Sheet1!AA77+Sheet1!AB77-Sheet1!L77+(Sheet1!DA77-F79)*CFStoMGD-S79-T79-U79</f>
        <v>1126.5239999999999</v>
      </c>
      <c r="M79" s="535">
        <f t="shared" si="185"/>
        <v>674.66011904395168</v>
      </c>
      <c r="N79" s="824">
        <f>IF(Sheet1!DA77&gt;=F79,MIN(113*CFStoMGD,MIN(MAX(L79,0),MAX(M79,0))),0)</f>
        <v>73.043199999999999</v>
      </c>
      <c r="O79" s="538">
        <f>Sheet1!AA77+Sheet1!AB77</f>
        <v>53.5</v>
      </c>
      <c r="P79" s="538">
        <f t="shared" si="186"/>
        <v>82.764499999999998</v>
      </c>
      <c r="Q79" s="812">
        <f t="shared" si="283"/>
        <v>43.04</v>
      </c>
      <c r="R79" s="812">
        <f t="shared" si="249"/>
        <v>10.399928212491027</v>
      </c>
      <c r="S79" s="812">
        <f t="shared" si="250"/>
        <v>10.459999999999999</v>
      </c>
      <c r="T79" s="812">
        <f t="shared" si="251"/>
        <v>54.18</v>
      </c>
      <c r="U79" s="812">
        <f t="shared" si="284"/>
        <v>0</v>
      </c>
      <c r="V79" s="812"/>
      <c r="W79" s="812">
        <f t="shared" si="252"/>
        <v>54.240071787508974</v>
      </c>
      <c r="X79" s="812">
        <f>S79+T79</f>
        <v>64.64</v>
      </c>
      <c r="Y79" s="812" t="str">
        <f t="shared" si="254"/>
        <v>FALSE</v>
      </c>
      <c r="Z79" s="812">
        <f t="shared" si="255"/>
        <v>53.5</v>
      </c>
      <c r="AA79" s="812">
        <f t="shared" si="256"/>
        <v>53.5</v>
      </c>
      <c r="AB79" s="1059">
        <f t="shared" si="285"/>
        <v>66.582879999999989</v>
      </c>
      <c r="AC79" s="538">
        <f>Sheet1!Y77*MGDtoCFS</f>
        <v>39.757899999999999</v>
      </c>
      <c r="AD79" s="538">
        <f>Sheet1!Z77*MGDtoCFS</f>
        <v>44.043089999999999</v>
      </c>
      <c r="AE79" s="538">
        <f>Sheet1!AA77*MGDtoCFS</f>
        <v>39.912599999999998</v>
      </c>
      <c r="AF79" s="538">
        <f>Sheet1!AB77*MGDtoCFS</f>
        <v>42.851899999999993</v>
      </c>
      <c r="AG79" s="538">
        <f>Sheet1!L77*MGDtoCFS</f>
        <v>0</v>
      </c>
      <c r="AH79" s="521">
        <f t="shared" si="187"/>
        <v>0</v>
      </c>
      <c r="AI79" s="1059">
        <f t="shared" si="188"/>
        <v>0</v>
      </c>
      <c r="AJ79" s="535">
        <f t="shared" si="189"/>
        <v>54.240071787508974</v>
      </c>
      <c r="AK79" s="535">
        <f t="shared" si="190"/>
        <v>83.909391055276373</v>
      </c>
      <c r="AL79" s="535">
        <f>(VLOOKUP(Sheet1!DC77,hhdcap_wcm,4)-(((VLOOKUP(Sheet1!DC77,hhdcap_wcm,3)-Sheet1!DC77)/(VLOOKUP(Sheet1!DC77,hhdcap_wcm,3)-VLOOKUP(Sheet1!DC77,hhdcap_wcm,1)))*(VLOOKUP(Sheet1!DC77,hhdcap_wcm,4)-VLOOKUP(Sheet1!DC77,hhdcap_wcm,2))))</f>
        <v>5379.8000000115871</v>
      </c>
      <c r="AM79" s="535">
        <f t="shared" si="191"/>
        <v>222.60000000023683</v>
      </c>
      <c r="AN79" s="1035">
        <f t="shared" si="192"/>
        <v>1189.1664713213338</v>
      </c>
      <c r="AO79" s="535">
        <f t="shared" si="193"/>
        <v>3648.3627340138523</v>
      </c>
      <c r="AP79" s="535">
        <f>Sheet1!BA77+Sheet1!BB77+Sheet1!BN77+CD79</f>
        <v>17.399999999999999</v>
      </c>
      <c r="AQ79" s="535">
        <f>Sheet1!BN77+(DO79*Sheet1!BN77)</f>
        <v>17.300071787508973</v>
      </c>
      <c r="AR79" s="535">
        <f>Sheet1!BA77+CD79</f>
        <v>0</v>
      </c>
      <c r="AS79" s="535">
        <f>Sheet1!BA77+Sheet1!BB77+CD79</f>
        <v>0</v>
      </c>
      <c r="AT79" s="649">
        <f>0</f>
        <v>0</v>
      </c>
      <c r="AU79" s="535">
        <f>IF(EB79&lt;K79,0,MAX(Sheet1!AA77+AQ79-15/36*K79-N79,Sheet1!EH77,0))</f>
        <v>0</v>
      </c>
      <c r="AV79" s="535">
        <f>IF(OR(B79&gt;=GD79,B79&lt;GC79),0,15/36*K79-MAX(0,64.6-(137.6-(Sheet1!AA77+Sheet1!AB77))))</f>
        <v>26.933333333333334</v>
      </c>
      <c r="AW79" s="1029"/>
      <c r="AX79" s="649"/>
      <c r="AY79" s="649">
        <f t="shared" si="286"/>
        <v>0</v>
      </c>
      <c r="AZ79" s="649">
        <f t="shared" si="287"/>
        <v>0</v>
      </c>
      <c r="BA79" s="1059">
        <f t="shared" si="288"/>
        <v>0</v>
      </c>
      <c r="BB79" s="1019">
        <f t="shared" si="194"/>
        <v>592.53333333333319</v>
      </c>
      <c r="BC79" s="1041">
        <f t="shared" si="289"/>
        <v>26.933333333333334</v>
      </c>
      <c r="BD79" s="1019">
        <f ca="1">IF(B79&gt;Summary!$A$1,#N/A,BB79*MGtoAF)</f>
        <v>1817.8922666666663</v>
      </c>
      <c r="BE79" s="535">
        <f>Sheet1!BG77+Sheet1!BH77+Sheet1!BI77-BM79</f>
        <v>1.02</v>
      </c>
      <c r="BF79" s="535">
        <f t="shared" si="195"/>
        <v>1.0141421392677674</v>
      </c>
      <c r="BG79" s="535">
        <f>IF(Sheet1!EP77="FM",BM79,0)</f>
        <v>0</v>
      </c>
      <c r="BH79" s="535">
        <f t="shared" si="196"/>
        <v>0</v>
      </c>
      <c r="BI79" s="535">
        <f>IF(Sheet1!EP77="OTHER",BM79,0)</f>
        <v>0</v>
      </c>
      <c r="BJ79" s="535">
        <f t="shared" si="197"/>
        <v>0</v>
      </c>
      <c r="BK79" s="535">
        <f t="shared" si="198"/>
        <v>1.02</v>
      </c>
      <c r="BL79" s="535">
        <f t="shared" si="199"/>
        <v>1.0141421392677674</v>
      </c>
      <c r="BM79" s="535">
        <f>IF(OR(Sheet1!EP77="FM", Sheet1!EP77="OTHER"),SUM(Sheet1!BG77:'Sheet1'!BI77),0)</f>
        <v>0</v>
      </c>
      <c r="BN79" s="521">
        <f>IF(AND($B79&gt;=$FV79,$B79&lt;=$FW79),MAX(BF79,Sheet1!EI77,0),MAX(BF79-(7/36)*$K79,0))</f>
        <v>0</v>
      </c>
      <c r="BO79" s="535">
        <f t="shared" si="200"/>
        <v>11.554746749621122</v>
      </c>
      <c r="BP79" s="521">
        <f t="shared" si="201"/>
        <v>1.0141421392677674</v>
      </c>
      <c r="BQ79" s="521">
        <f>IF(AND($O79&gt;0,Sheet1!EM77=1),(1-($O79-Sheet1!$L77)/$O79)*BL79,0)</f>
        <v>0</v>
      </c>
      <c r="BR79" s="521">
        <f>IF(AND(Sheet1!$L77=0,Sheet1!$L76=0, Calculation!BK79&lt;Sheet1!$EI77-0.1,Sheet1!$EI77=Sheet1!$EI76,Sheet1!$EI77=Sheet1!$EI78),BL79-BQ79,BL79-BQ79)</f>
        <v>1.0141421392677674</v>
      </c>
      <c r="BS79" s="1035" t="str">
        <f t="shared" si="290"/>
        <v/>
      </c>
      <c r="BT79" s="1035">
        <f t="shared" si="291"/>
        <v>12.568888888888889</v>
      </c>
      <c r="BU79" s="535">
        <f t="shared" si="202"/>
        <v>253.49803240490024</v>
      </c>
      <c r="BV79" s="535"/>
      <c r="BW79" s="535">
        <f ca="1">IF(B79&gt;Summary!$A$1,#N/A,BU79*MGtoAF)</f>
        <v>777.73196341823393</v>
      </c>
      <c r="BX79" s="535">
        <f>Sheet1!BC77+Sheet1!BD77+Sheet1!BE77+Sheet1!BF77-CG79-CH79</f>
        <v>3.01</v>
      </c>
      <c r="BY79" s="535">
        <f t="shared" si="203"/>
        <v>2.9927135678391958</v>
      </c>
      <c r="BZ79" s="535">
        <f>IF(Sheet1!EQ77="FM",CH79,0)</f>
        <v>0</v>
      </c>
      <c r="CA79" s="535">
        <f t="shared" si="204"/>
        <v>0</v>
      </c>
      <c r="CB79" s="535">
        <f>IF(Sheet1!EQ77="OTHER",CH79,0)</f>
        <v>0</v>
      </c>
      <c r="CC79" s="535">
        <f t="shared" si="205"/>
        <v>0</v>
      </c>
      <c r="CD79" s="535">
        <f t="shared" si="206"/>
        <v>0</v>
      </c>
      <c r="CE79" s="535">
        <f t="shared" si="207"/>
        <v>3.01</v>
      </c>
      <c r="CF79" s="535">
        <f t="shared" si="208"/>
        <v>2.9927135678391958</v>
      </c>
      <c r="CG79" s="535">
        <f>IF(Sheet1!EQ77="CWA",SUM(Sheet1!BC77:'Sheet1'!BF77),0)</f>
        <v>0</v>
      </c>
      <c r="CH79" s="535">
        <f>IF(OR(Sheet1!EQ77="FM", Sheet1!EQ77="OTHER"),SUM(Sheet1!BC77:'Sheet1'!BF77),0)</f>
        <v>0</v>
      </c>
      <c r="CI79" s="521">
        <f>IF(AND($B79&gt;=$FV79,$B79&lt;=$FW79),MAX(CF79,Sheet1!EJ77,0),MAX(CF79-(7/36)*$K79,0))</f>
        <v>0</v>
      </c>
      <c r="CJ79" s="535">
        <f t="shared" si="209"/>
        <v>9.5761753210496927</v>
      </c>
      <c r="CK79" s="521">
        <f t="shared" si="210"/>
        <v>2.9927135678391958</v>
      </c>
      <c r="CL79" s="521">
        <f>IF(AND($O79&gt;0,Sheet1!EN77=1),(1-($O79-Sheet1!$L77)/$O79)*CF79,0)</f>
        <v>0</v>
      </c>
      <c r="CM79" s="521">
        <f>IF(AND(Sheet1!$L77=0,Sheet1!$L76=0, Calculation!CE79&lt;Sheet1!EJ77-0.1,Sheet1!EJ77=Sheet1!EJ76,Sheet1!EJ77=Sheet1!EJ78),CF79-CL79,CF79-CL79)</f>
        <v>2.9927135678391958</v>
      </c>
      <c r="CN79" s="1040" t="str">
        <f t="shared" si="292"/>
        <v/>
      </c>
      <c r="CO79" s="1035">
        <f t="shared" si="293"/>
        <v>12.568888888888889</v>
      </c>
      <c r="CP79" s="535">
        <f t="shared" si="211"/>
        <v>210.31323050553343</v>
      </c>
      <c r="CQ79" s="535"/>
      <c r="CR79" s="535">
        <f ca="1">IF(B79&gt;Summary!$A$1,#N/A,CP79*MGtoAF)</f>
        <v>645.24099119097662</v>
      </c>
      <c r="CS79" s="535">
        <f>Sheet1!BK77+Sheet1!BL77+Sheet1!BM77-Sheet1!ER77-DA79</f>
        <v>6.43</v>
      </c>
      <c r="CT79" s="535">
        <f t="shared" si="212"/>
        <v>6.3930725053840627</v>
      </c>
      <c r="CU79" s="535">
        <f>IF(Sheet1!ER77="FM",DA79,0)</f>
        <v>0</v>
      </c>
      <c r="CV79" s="535">
        <f t="shared" si="213"/>
        <v>0</v>
      </c>
      <c r="CW79" s="535">
        <f>IF(Sheet1!ER77="OTHER",DA79,0)</f>
        <v>0</v>
      </c>
      <c r="CX79" s="535">
        <f t="shared" si="214"/>
        <v>0</v>
      </c>
      <c r="CY79" s="535">
        <f t="shared" si="215"/>
        <v>6.43</v>
      </c>
      <c r="CZ79" s="535">
        <f t="shared" si="216"/>
        <v>6.3930725053840627</v>
      </c>
      <c r="DA79" s="535">
        <f>IF(OR(Sheet1!ER77="FM", Sheet1!ER77="OTHER"),SUM(Sheet1!BK77:'Sheet1'!BM77),0)</f>
        <v>0</v>
      </c>
      <c r="DB79" s="1011">
        <f>IF(AND($B79&gt;=$FV79,$B79&lt;=$FW79),MAX($CT79,Sheet1!EK77,0),MAX($CT79-(7/36)*$K79,0))</f>
        <v>0</v>
      </c>
      <c r="DC79" s="1012">
        <f t="shared" si="217"/>
        <v>6.1758163835048263</v>
      </c>
      <c r="DD79" s="1011">
        <f t="shared" si="218"/>
        <v>6.3930725053840627</v>
      </c>
      <c r="DE79" s="521">
        <f>IF(AND($O79&gt;0,Sheet1!EO77=1),(1-($O79-Sheet1!$L77)/$O79)*CZ79,0)</f>
        <v>0</v>
      </c>
      <c r="DF79" s="521">
        <f>IF(AND(Sheet1!$L77=0,Sheet1!$L76=0, Calculation!CY79&lt;Sheet1!$EK77-0.1,Sheet1!$EK77=Sheet1!$EK76,Sheet1!$EK77=Sheet1!$EK78),CZ79-DE79,CZ79-DE79)</f>
        <v>6.3930725053840627</v>
      </c>
      <c r="DG79" s="1040">
        <f t="shared" si="294"/>
        <v>12.568888888888889</v>
      </c>
      <c r="DH79" s="649">
        <f t="shared" si="219"/>
        <v>10.459999999999999</v>
      </c>
      <c r="DI79" s="535">
        <f t="shared" si="220"/>
        <v>132.82187507756674</v>
      </c>
      <c r="DJ79" s="649">
        <f t="shared" si="221"/>
        <v>10.399928212491027</v>
      </c>
      <c r="DK79" s="535">
        <f ca="1">IF(B79&gt;Summary!$A$1,#N/A,DI79*MGtoAF)</f>
        <v>407.49751273797477</v>
      </c>
      <c r="DL79" s="649">
        <f t="shared" si="222"/>
        <v>10.459999999999999</v>
      </c>
      <c r="DM79" s="535">
        <f t="shared" si="223"/>
        <v>27.86</v>
      </c>
      <c r="DN79" s="535">
        <f>Sheet1!AB77-DM79</f>
        <v>-0.16000000000000014</v>
      </c>
      <c r="DO79" s="743">
        <f t="shared" si="224"/>
        <v>-5.7430007178750951E-3</v>
      </c>
      <c r="DP79" s="535">
        <f>(VLOOKUP(Sheet1!DC77,hhdcap_wcm,4)-(((VLOOKUP(Sheet1!DC77,hhdcap_wcm,3)-Sheet1!DC77)/(VLOOKUP(Sheet1!DC77,hhdcap_wcm,3)-VLOOKUP(Sheet1!DC77,hhdcap_wcm,1)))*(VLOOKUP(Sheet1!DC77,hhdcap_wcm,4)-VLOOKUP(Sheet1!DC77,hhdcap_wcm,2))))</f>
        <v>5379.8000000115871</v>
      </c>
      <c r="DQ79" s="535">
        <f t="shared" si="225"/>
        <v>222.60000000023683</v>
      </c>
      <c r="DR79" s="535">
        <f t="shared" si="226"/>
        <v>112.25416036320564</v>
      </c>
      <c r="DS79" s="535">
        <f>Sheet1!EA77*AFtoMG</f>
        <v>0</v>
      </c>
      <c r="DT79" s="535">
        <f>Sheet1!EB77*AFtoMG</f>
        <v>0</v>
      </c>
      <c r="DU79" s="535">
        <f>Sheet1!EC77*AFtoMG</f>
        <v>0</v>
      </c>
      <c r="DV79" s="535">
        <f>Sheet1!ED77*AFtoMG</f>
        <v>0</v>
      </c>
      <c r="DW79" s="535">
        <f t="shared" si="227"/>
        <v>0</v>
      </c>
      <c r="DX79" s="535">
        <f t="shared" si="228"/>
        <v>0</v>
      </c>
      <c r="DY79" s="535">
        <f t="shared" si="229"/>
        <v>1189.1664713213338</v>
      </c>
      <c r="DZ79" s="535">
        <f t="shared" si="230"/>
        <v>3648.3627340138523</v>
      </c>
      <c r="EA79" s="535"/>
      <c r="EB79" s="521">
        <f>IF(OR(B79&lt;FV79,B79&gt;FW79),(MIN(BF79+BY79+CT79+MAX(Sheet1!AA77+AQ79-73,0),K79)),0)</f>
        <v>10.399928212491027</v>
      </c>
      <c r="EC79" s="535"/>
      <c r="ED79" s="535">
        <f t="shared" si="231"/>
        <v>10.399928212491027</v>
      </c>
      <c r="EE79" s="535"/>
      <c r="EF79" s="535">
        <f>Sheet1!EH77+Sheet1!EI77+Sheet1!EJ77+Sheet1!EK77</f>
        <v>10.5</v>
      </c>
      <c r="EG79" s="1019">
        <f t="shared" si="295"/>
        <v>16.243500000000001</v>
      </c>
      <c r="EH79" s="521">
        <f t="shared" si="232"/>
        <v>0</v>
      </c>
      <c r="EI79" s="535">
        <f>IF(Sheet1!ET77=1,SUM('Calculations II'!AT79:BA79)+'Calculations II'!BC79+Sheet1!BV77+'Calculations II'!BE79+AP79,'Calculations II'!BK79)</f>
        <v>42.399415787508971</v>
      </c>
      <c r="EJ79" s="535">
        <f ca="1">EI79+'Calculations II'!D79+'Calculations II'!E79+'Calculations II'!O79</f>
        <v>43.156586163512898</v>
      </c>
      <c r="EK79" s="535"/>
      <c r="EL79" s="535"/>
      <c r="EM79" s="535">
        <f t="shared" si="233"/>
        <v>42803</v>
      </c>
      <c r="EN79" s="535">
        <f t="shared" si="234"/>
        <v>54.240071787508974</v>
      </c>
      <c r="EO79" s="535">
        <f t="shared" si="235"/>
        <v>83.909391055276373</v>
      </c>
      <c r="EP79" s="535">
        <v>0</v>
      </c>
      <c r="EQ79" s="535">
        <v>0</v>
      </c>
      <c r="ER79" s="535">
        <v>0</v>
      </c>
      <c r="ES79" s="521">
        <f t="shared" si="257"/>
        <v>0</v>
      </c>
      <c r="ET79" s="535">
        <f>-(VLOOKUP(Sheet1!BQ77,Lookup!$O$4:$Q$262,2)-VLOOKUP(Sheet1!BQ76,Lookup!$O$4:$Q$262,2))/1000000</f>
        <v>0</v>
      </c>
      <c r="EU79" s="535">
        <f>-(VLOOKUP(Sheet1!BR77,Lookup!$O$4:$Q$262,3)-VLOOKUP(Sheet1!BR76,Lookup!$O$4:$Q$262,3))/1000000</f>
        <v>0</v>
      </c>
      <c r="EV79" s="535"/>
      <c r="EW79" s="535"/>
      <c r="EX79" s="535"/>
      <c r="EY79" s="535"/>
      <c r="EZ79" s="535"/>
      <c r="FA79" s="535"/>
      <c r="FB79" s="535"/>
      <c r="FC79" s="535"/>
      <c r="FD79" s="567" t="e">
        <f t="shared" si="236"/>
        <v>#N/A</v>
      </c>
      <c r="FE79" s="567" t="e">
        <f t="shared" si="237"/>
        <v>#N/A</v>
      </c>
      <c r="FF79" s="568" t="e">
        <f t="shared" si="238"/>
        <v>#N/A</v>
      </c>
      <c r="FG79" s="569" t="s">
        <v>656</v>
      </c>
      <c r="FH79" s="569" t="s">
        <v>656</v>
      </c>
      <c r="FI79" s="567" t="e">
        <v>#N/A</v>
      </c>
      <c r="FJ79" s="567" t="e">
        <v>#N/A</v>
      </c>
      <c r="FK79" s="535"/>
      <c r="FL79" s="1015">
        <v>0</v>
      </c>
      <c r="FM79" s="535"/>
      <c r="FN79" s="535"/>
      <c r="FO79" s="535">
        <f>O79+((Sheet1!CS77)*GPMtoMGD)</f>
        <v>53.5</v>
      </c>
      <c r="FP79" s="535">
        <f>IF(Sheet1!AA77+AQ79&lt;=Calculation!N79,AQ79,Calculation!N79-Sheet1!AA77)</f>
        <v>17.300071787508973</v>
      </c>
      <c r="FQ79" s="535">
        <f>(Sheet1!BP77+Sheet1!BO77)/694.4</f>
        <v>1.392857142857143</v>
      </c>
      <c r="FR79" s="541"/>
      <c r="FS79" s="541"/>
      <c r="FT79" s="541"/>
      <c r="FU79" s="541"/>
      <c r="FV79" s="1109">
        <f t="shared" si="258"/>
        <v>42918</v>
      </c>
      <c r="FW79" s="1109">
        <f t="shared" si="259"/>
        <v>43027</v>
      </c>
      <c r="FX79" s="541"/>
      <c r="FY79" s="541">
        <f>Sheet1!DA77-Sheet1!CZ77-Sheet1!AE77</f>
        <v>1016.2355</v>
      </c>
      <c r="FZ79" s="535">
        <f t="shared" si="296"/>
        <v>0.99314084356059262</v>
      </c>
      <c r="GA79" s="535"/>
      <c r="GB79" s="535" t="str">
        <f t="shared" si="260"/>
        <v>n</v>
      </c>
      <c r="GC79" s="539">
        <f t="shared" si="261"/>
        <v>42782</v>
      </c>
      <c r="GD79" s="1109">
        <f t="shared" si="262"/>
        <v>42904</v>
      </c>
      <c r="GE79" s="535">
        <f t="shared" si="280"/>
        <v>6520</v>
      </c>
      <c r="GF79" s="1109">
        <f t="shared" si="263"/>
        <v>42909</v>
      </c>
      <c r="GG79" s="535">
        <f t="shared" si="174"/>
        <v>3260</v>
      </c>
      <c r="GH79" s="539">
        <f t="shared" si="264"/>
        <v>43040</v>
      </c>
      <c r="GJ79" s="521">
        <f t="shared" si="265"/>
        <v>0</v>
      </c>
      <c r="GK79" s="535" t="str">
        <f t="shared" si="239"/>
        <v/>
      </c>
      <c r="GL79" s="535">
        <f t="shared" si="266"/>
        <v>0</v>
      </c>
      <c r="GM79" s="535" t="str">
        <f t="shared" si="267"/>
        <v/>
      </c>
      <c r="GN79" s="535">
        <f>IF(GK79="P",Lookup!$M$12,IF(GK79="PP",Lookup!$M$13,IF(GK79="PPP",Lookup!$M$14,IF(GK79="T",Lookup!$M$15,IF(GK79="TP",Lookup!$M$16,IF(GK79="TPP",Lookup!$M$17,IF(GK79="TPPP",Lookup!$M$18,0)))))))*GJ79</f>
        <v>0</v>
      </c>
      <c r="GO79" s="535">
        <f t="shared" si="268"/>
        <v>0</v>
      </c>
      <c r="GP79" s="535">
        <f t="shared" si="240"/>
        <v>1817.8922666666663</v>
      </c>
      <c r="GQ79" s="535">
        <f t="shared" si="279"/>
        <v>592.53333333333319</v>
      </c>
      <c r="GR79" s="535"/>
      <c r="GS79" s="535">
        <f t="shared" si="269"/>
        <v>0</v>
      </c>
      <c r="GT79" s="535" t="str">
        <f t="shared" si="270"/>
        <v/>
      </c>
      <c r="GU79" s="535">
        <f>IF(GK79="P",Lookup!$N$12,IF(GK79="PP",Lookup!$N$13,IF(GK79="PPP",Lookup!$N$14,IF(GK79="T",Lookup!$N$15,IF(GK79="TP",Lookup!$N$16,IF(GK79="TPP",Lookup!$N$17,IF(GK79="TPPP",Lookup!$N$18,0)))))))*GJ79</f>
        <v>0</v>
      </c>
      <c r="GV79" s="535">
        <f t="shared" si="271"/>
        <v>0</v>
      </c>
      <c r="GW79" s="535">
        <f t="shared" si="241"/>
        <v>777.73196341823393</v>
      </c>
      <c r="GX79" s="535">
        <f t="shared" si="276"/>
        <v>253.49803240490024</v>
      </c>
      <c r="GY79" s="535"/>
      <c r="GZ79" s="535">
        <f t="shared" si="272"/>
        <v>0</v>
      </c>
      <c r="HA79" s="535" t="str">
        <f t="shared" si="273"/>
        <v/>
      </c>
      <c r="HB79" s="535">
        <f>IF(GK79="P",Lookup!$N$12,IF(GK79="PP",Lookup!$N$13,IF(GK79="PPP",Lookup!$N$14,IF(GK79="T",Lookup!$N$15,IF(GK79="TP",Lookup!$N$16,IF(GK79="TPP",Lookup!$N$17,IF(GK79="TPPP",Lookup!$N$18,0)))))))*GJ79</f>
        <v>0</v>
      </c>
      <c r="HC79" s="521">
        <f t="shared" si="242"/>
        <v>0</v>
      </c>
      <c r="HD79" s="535">
        <f t="shared" si="243"/>
        <v>645.24099119097662</v>
      </c>
      <c r="HE79" s="535">
        <f t="shared" si="277"/>
        <v>210.31323050553343</v>
      </c>
      <c r="HF79" s="535"/>
      <c r="HG79" s="535">
        <f t="shared" si="274"/>
        <v>0</v>
      </c>
      <c r="HH79" s="535" t="str">
        <f t="shared" si="275"/>
        <v/>
      </c>
      <c r="HI79" s="535">
        <f>IF(GK79="P",Lookup!$N$12,IF(GK79="PP",Lookup!$N$13,IF(GK79="PPP",Lookup!$N$14,IF(GK79="T",Lookup!$N$15,IF(GK79="TP",Lookup!$N$16,IF(GK79="TPP",Lookup!$N$17,IF(GK79="TPPP",Lookup!$N$18,0)))))))*GJ79</f>
        <v>0</v>
      </c>
      <c r="HJ79" s="521">
        <f t="shared" si="244"/>
        <v>0</v>
      </c>
      <c r="HK79" s="535">
        <f t="shared" si="245"/>
        <v>407.49751273797477</v>
      </c>
      <c r="HL79" s="535">
        <f t="shared" si="278"/>
        <v>132.82187507756674</v>
      </c>
      <c r="HM79" s="535"/>
      <c r="HN79" s="541"/>
      <c r="HO79" s="541"/>
      <c r="HP79" s="541"/>
      <c r="HQ79" s="541">
        <f>IF(AND(B79&gt;=$FV$4,B79&lt;=$FW$4),MAX(110/1.02+$HQ$6+MIN(113/1.02,G79),IF($HV$6-(Sheet1!DA77-Sheet1!DB77)+MIN(113/1.02,G79)&lt;G79+FL79,$HV$6-(Sheet1!DA77-Sheet1!DB77)+MIN(113/1.02,G79),G79+FL79)),MIN(110/1.02+$HQ$6+113/1.02,G79))</f>
        <v>218.62745098039215</v>
      </c>
      <c r="HR79" s="541">
        <f t="shared" si="297"/>
        <v>223</v>
      </c>
      <c r="HS79" s="541">
        <f>HR79+(Sheet1!DA77-Sheet1!DB77)</f>
        <v>1313</v>
      </c>
      <c r="HT79" s="541">
        <f t="shared" si="298"/>
        <v>66.582879999999989</v>
      </c>
      <c r="HU79" s="541">
        <f t="shared" si="299"/>
        <v>1246.4171200000001</v>
      </c>
      <c r="HV79" s="541">
        <f t="shared" si="300"/>
        <v>0</v>
      </c>
      <c r="HW79" s="533" t="str">
        <f t="shared" si="301"/>
        <v/>
      </c>
      <c r="HX79" s="541">
        <f t="shared" si="302"/>
        <v>692.37254901960785</v>
      </c>
      <c r="HY79" s="541">
        <f>Sheet1!CZ77</f>
        <v>911</v>
      </c>
      <c r="HZ79" s="541">
        <f t="shared" si="303"/>
        <v>0</v>
      </c>
      <c r="IA79" s="541">
        <f t="shared" si="304"/>
        <v>66.582879999999989</v>
      </c>
      <c r="IB79" s="541">
        <f t="shared" si="305"/>
        <v>911</v>
      </c>
      <c r="IC79" s="1019" t="str">
        <f t="shared" si="306"/>
        <v/>
      </c>
      <c r="ID79" s="541">
        <f t="shared" si="307"/>
        <v>844.41712000000007</v>
      </c>
      <c r="IE79" s="541">
        <f>Sheet1!DB77</f>
        <v>920</v>
      </c>
      <c r="IF79" s="533">
        <f>Sheet1!DA77</f>
        <v>2010</v>
      </c>
      <c r="IH79" s="541">
        <f>IF(AND($B79&gt;=$GC79,$B79&lt;=$GH79,$DR79&lt;0)+N("only adjusted when pool is drawn down during storage season"),Sheet1!$DB77+$DR79+N("Palmer minus all storage release"),Sheet1!$DB77)</f>
        <v>920</v>
      </c>
      <c r="II79" s="541">
        <f>IF(AND($B79&gt;=$GC79,$B79&lt;=$GH79,$DR79&lt;0)+N("only adjusted when pool is drawn down during storage season"),Sheet1!$DA77+$DR79+N("Auburn minus all storage release"),Sheet1!$DA77)</f>
        <v>2010</v>
      </c>
    </row>
    <row r="80" spans="1:281" x14ac:dyDescent="0.25">
      <c r="A80" s="553" t="s">
        <v>8</v>
      </c>
      <c r="B80" s="531">
        <v>42804</v>
      </c>
      <c r="C80" s="536">
        <v>0</v>
      </c>
      <c r="D80" s="506">
        <f t="shared" si="247"/>
        <v>300</v>
      </c>
      <c r="E80" s="506">
        <f t="shared" si="248"/>
        <v>250</v>
      </c>
      <c r="F80" s="506">
        <v>250</v>
      </c>
      <c r="G80" s="535">
        <f>DR80+Sheet1!CZ78</f>
        <v>2135.2798789718518</v>
      </c>
      <c r="H80" s="1074">
        <f t="shared" si="281"/>
        <v>964.12298815999998</v>
      </c>
      <c r="I80" s="534">
        <f>IF(Sheet1!DA78&gt;=E80,(Sheet1!DA78-E80+P80)*CFStoMGD,0)</f>
        <v>1785.0509881599999</v>
      </c>
      <c r="J80" s="995">
        <f>IF(Sheet1!DB78&gt;=D80,(Sheet1!DB78-D80+P80)*CFStoMGD,0)</f>
        <v>964.12298815999998</v>
      </c>
      <c r="K80" s="818">
        <f t="shared" si="282"/>
        <v>64.64</v>
      </c>
      <c r="L80" s="535">
        <f>Sheet1!AA78+Sheet1!AB78-Sheet1!L78+(Sheet1!DA78-F80)*CFStoMGD-S80-T80-U80</f>
        <v>1720.4119999999998</v>
      </c>
      <c r="M80" s="535">
        <f t="shared" si="185"/>
        <v>1407.8498120427532</v>
      </c>
      <c r="N80" s="824">
        <f>IF(Sheet1!DA78&gt;=F80,MIN(113*CFStoMGD,MIN(MAX(L80,0),MAX(M80,0))),0)</f>
        <v>73.043199999999999</v>
      </c>
      <c r="O80" s="538">
        <f>Sheet1!AA78+Sheet1!AB78</f>
        <v>52.7</v>
      </c>
      <c r="P80" s="538">
        <f t="shared" si="186"/>
        <v>81.526899999999998</v>
      </c>
      <c r="Q80" s="812">
        <f t="shared" si="283"/>
        <v>42.190000000000005</v>
      </c>
      <c r="R80" s="812">
        <f t="shared" si="249"/>
        <v>10.467355219476207</v>
      </c>
      <c r="S80" s="812">
        <f t="shared" si="250"/>
        <v>10.51</v>
      </c>
      <c r="T80" s="812">
        <f t="shared" si="251"/>
        <v>54.13</v>
      </c>
      <c r="U80" s="812">
        <f t="shared" si="284"/>
        <v>0</v>
      </c>
      <c r="V80" s="812"/>
      <c r="W80" s="812">
        <f t="shared" si="252"/>
        <v>54.172644780523797</v>
      </c>
      <c r="X80" s="812">
        <f t="shared" si="253"/>
        <v>64.64</v>
      </c>
      <c r="Y80" s="812" t="str">
        <f t="shared" si="254"/>
        <v>FALSE</v>
      </c>
      <c r="Z80" s="812">
        <f t="shared" si="255"/>
        <v>52.7</v>
      </c>
      <c r="AA80" s="812">
        <f t="shared" si="256"/>
        <v>52.7</v>
      </c>
      <c r="AB80" s="1059">
        <f t="shared" si="285"/>
        <v>65.267930000000007</v>
      </c>
      <c r="AC80" s="538">
        <f>Sheet1!Y78*MGDtoCFS</f>
        <v>39.912599999999998</v>
      </c>
      <c r="AD80" s="538">
        <f>Sheet1!Z78*MGDtoCFS</f>
        <v>42.697200000000002</v>
      </c>
      <c r="AE80" s="538">
        <f>Sheet1!AA78*MGDtoCFS</f>
        <v>39.757899999999999</v>
      </c>
      <c r="AF80" s="538">
        <f>Sheet1!AB78*MGDtoCFS</f>
        <v>41.768999999999998</v>
      </c>
      <c r="AG80" s="538">
        <f>Sheet1!L78*MGDtoCFS</f>
        <v>0</v>
      </c>
      <c r="AH80" s="521">
        <f t="shared" si="187"/>
        <v>0</v>
      </c>
      <c r="AI80" s="1059">
        <f t="shared" si="188"/>
        <v>0</v>
      </c>
      <c r="AJ80" s="535">
        <f t="shared" si="189"/>
        <v>54.172644780523797</v>
      </c>
      <c r="AK80" s="535">
        <f t="shared" si="190"/>
        <v>83.805081475470317</v>
      </c>
      <c r="AL80" s="535">
        <f>(VLOOKUP(Sheet1!DC78,hhdcap_wcm,4)-(((VLOOKUP(Sheet1!DC78,hhdcap_wcm,3)-Sheet1!DC78)/(VLOOKUP(Sheet1!DC78,hhdcap_wcm,3)-VLOOKUP(Sheet1!DC78,hhdcap_wcm,1)))*(VLOOKUP(Sheet1!DC78,hhdcap_wcm,4)-VLOOKUP(Sheet1!DC78,hhdcap_wcm,2))))</f>
        <v>6203.3000000127695</v>
      </c>
      <c r="AM80" s="535">
        <f t="shared" si="191"/>
        <v>823.50000000118234</v>
      </c>
      <c r="AN80" s="1035">
        <f t="shared" si="192"/>
        <v>1243.3391161018571</v>
      </c>
      <c r="AO80" s="535">
        <f t="shared" si="193"/>
        <v>3814.5644082004978</v>
      </c>
      <c r="AP80" s="535">
        <f>Sheet1!BA78+Sheet1!BB78+Sheet1!BN78+CD80</f>
        <v>16.600000000000001</v>
      </c>
      <c r="AQ80" s="535">
        <f>Sheet1!BN78+(DO80*Sheet1!BN78)</f>
        <v>16.532644780523793</v>
      </c>
      <c r="AR80" s="535">
        <f>Sheet1!BA78+CD80</f>
        <v>0</v>
      </c>
      <c r="AS80" s="535">
        <f>Sheet1!BA78+Sheet1!BB78+CD80</f>
        <v>0</v>
      </c>
      <c r="AT80" s="649">
        <f>0</f>
        <v>0</v>
      </c>
      <c r="AU80" s="535">
        <f>IF(EB80&lt;K80,0,MAX(Sheet1!AA78+AQ80-15/36*K80-N80,Sheet1!EH78,0))</f>
        <v>0</v>
      </c>
      <c r="AV80" s="535">
        <f>IF(OR(B80&gt;=GD80,B80&lt;GC80),0,15/36*K80-MAX(0,64.6-(137.6-(Sheet1!AA78+Sheet1!AB78))))</f>
        <v>26.933333333333334</v>
      </c>
      <c r="AW80" s="1029"/>
      <c r="AX80" s="649"/>
      <c r="AY80" s="649">
        <f t="shared" si="286"/>
        <v>0</v>
      </c>
      <c r="AZ80" s="649">
        <f t="shared" si="287"/>
        <v>0</v>
      </c>
      <c r="BA80" s="1059">
        <f t="shared" si="288"/>
        <v>0</v>
      </c>
      <c r="BB80" s="1019">
        <f t="shared" si="194"/>
        <v>619.46666666666647</v>
      </c>
      <c r="BC80" s="1041">
        <f t="shared" si="289"/>
        <v>26.933333333333334</v>
      </c>
      <c r="BD80" s="1019">
        <f ca="1">IF(B80&gt;Summary!$A$1,#N/A,BB80*MGtoAF)</f>
        <v>1900.5237333333328</v>
      </c>
      <c r="BE80" s="535">
        <f>Sheet1!BG78+Sheet1!BH78+Sheet1!BI78-BM80</f>
        <v>1.02</v>
      </c>
      <c r="BF80" s="535">
        <f t="shared" si="195"/>
        <v>1.0158613057912209</v>
      </c>
      <c r="BG80" s="535">
        <f>IF(Sheet1!EP78="FM",BM80,0)</f>
        <v>0</v>
      </c>
      <c r="BH80" s="535">
        <f t="shared" si="196"/>
        <v>0</v>
      </c>
      <c r="BI80" s="535">
        <f>IF(Sheet1!EP78="OTHER",BM80,0)</f>
        <v>0</v>
      </c>
      <c r="BJ80" s="535">
        <f t="shared" si="197"/>
        <v>0</v>
      </c>
      <c r="BK80" s="535">
        <f t="shared" si="198"/>
        <v>1.02</v>
      </c>
      <c r="BL80" s="535">
        <f t="shared" si="199"/>
        <v>1.0158613057912209</v>
      </c>
      <c r="BM80" s="535">
        <f>IF(OR(Sheet1!EP78="FM", Sheet1!EP78="OTHER"),SUM(Sheet1!BG78:'Sheet1'!BI78),0)</f>
        <v>0</v>
      </c>
      <c r="BN80" s="521">
        <f>IF(AND($B80&gt;=$FV80,$B80&lt;=$FW80),MAX(BF80,Sheet1!EI78,0),MAX(BF80-(7/36)*$K80,0))</f>
        <v>0</v>
      </c>
      <c r="BO80" s="535">
        <f t="shared" si="200"/>
        <v>11.553027583097668</v>
      </c>
      <c r="BP80" s="521">
        <f t="shared" si="201"/>
        <v>1.0158613057912209</v>
      </c>
      <c r="BQ80" s="521">
        <f>IF(AND($O80&gt;0,Sheet1!EM78=1),(1-($O80-Sheet1!$L78)/$O80)*BL80,0)</f>
        <v>0</v>
      </c>
      <c r="BR80" s="521">
        <f>IF(AND(Sheet1!$L78=0,Sheet1!$L77=0, Calculation!BK80&lt;Sheet1!$EI78-0.1,Sheet1!$EI78=Sheet1!$EI77,Sheet1!$EI78=Sheet1!$EI79),BL80-BQ80,BL80-BQ80)</f>
        <v>1.0158613057912209</v>
      </c>
      <c r="BS80" s="1035" t="str">
        <f t="shared" si="290"/>
        <v/>
      </c>
      <c r="BT80" s="1035">
        <f t="shared" si="291"/>
        <v>12.568888888888889</v>
      </c>
      <c r="BU80" s="535">
        <f t="shared" si="202"/>
        <v>265.05105998799792</v>
      </c>
      <c r="BV80" s="535"/>
      <c r="BW80" s="535">
        <f ca="1">IF(B80&gt;Summary!$A$1,#N/A,BU80*MGtoAF)</f>
        <v>813.17665204317757</v>
      </c>
      <c r="BX80" s="535">
        <f>Sheet1!BC78+Sheet1!BD78+Sheet1!BE78+Sheet1!BF78-CG80-CH80</f>
        <v>3</v>
      </c>
      <c r="BY80" s="535">
        <f t="shared" si="203"/>
        <v>2.9878273699741795</v>
      </c>
      <c r="BZ80" s="535">
        <f>IF(Sheet1!EQ78="FM",CH80,0)</f>
        <v>0</v>
      </c>
      <c r="CA80" s="535">
        <f t="shared" si="204"/>
        <v>0</v>
      </c>
      <c r="CB80" s="535">
        <f>IF(Sheet1!EQ78="OTHER",CH80,0)</f>
        <v>0</v>
      </c>
      <c r="CC80" s="535">
        <f t="shared" si="205"/>
        <v>0</v>
      </c>
      <c r="CD80" s="535">
        <f t="shared" si="206"/>
        <v>0</v>
      </c>
      <c r="CE80" s="535">
        <f t="shared" si="207"/>
        <v>3</v>
      </c>
      <c r="CF80" s="535">
        <f t="shared" si="208"/>
        <v>2.9878273699741795</v>
      </c>
      <c r="CG80" s="535">
        <f>IF(Sheet1!EQ78="CWA",SUM(Sheet1!BC78:'Sheet1'!BF78),0)</f>
        <v>0</v>
      </c>
      <c r="CH80" s="535">
        <f>IF(OR(Sheet1!EQ78="FM", Sheet1!EQ78="OTHER"),SUM(Sheet1!BC78:'Sheet1'!BF78),0)</f>
        <v>0</v>
      </c>
      <c r="CI80" s="521">
        <f>IF(AND($B80&gt;=$FV80,$B80&lt;=$FW80),MAX(CF80,Sheet1!EJ78,0),MAX(CF80-(7/36)*$K80,0))</f>
        <v>0</v>
      </c>
      <c r="CJ80" s="535">
        <f t="shared" si="209"/>
        <v>9.5810615189147086</v>
      </c>
      <c r="CK80" s="521">
        <f t="shared" si="210"/>
        <v>2.9878273699741795</v>
      </c>
      <c r="CL80" s="521">
        <f>IF(AND($O80&gt;0,Sheet1!EN78=1),(1-($O80-Sheet1!$L78)/$O80)*CF80,0)</f>
        <v>0</v>
      </c>
      <c r="CM80" s="521">
        <f>IF(AND(Sheet1!$L78=0,Sheet1!$L77=0, Calculation!CE80&lt;Sheet1!EJ78-0.1,Sheet1!EJ78=Sheet1!EJ77,Sheet1!EJ78=Sheet1!EJ79),CF80-CL80,CF80-CL80)</f>
        <v>2.9878273699741795</v>
      </c>
      <c r="CN80" s="1040" t="str">
        <f t="shared" si="292"/>
        <v/>
      </c>
      <c r="CO80" s="1035">
        <f t="shared" si="293"/>
        <v>12.568888888888889</v>
      </c>
      <c r="CP80" s="535">
        <f t="shared" si="211"/>
        <v>219.89429202444813</v>
      </c>
      <c r="CQ80" s="535"/>
      <c r="CR80" s="535">
        <f ca="1">IF(B80&gt;Summary!$A$1,#N/A,CP80*MGtoAF)</f>
        <v>674.63568793100694</v>
      </c>
      <c r="CS80" s="535">
        <f>Sheet1!BK78+Sheet1!BL78+Sheet1!BM78-Sheet1!ER78-DA80</f>
        <v>6.49</v>
      </c>
      <c r="CT80" s="535">
        <f t="shared" si="212"/>
        <v>6.4636665437108078</v>
      </c>
      <c r="CU80" s="535">
        <f>IF(Sheet1!ER78="FM",DA80,0)</f>
        <v>0</v>
      </c>
      <c r="CV80" s="535">
        <f t="shared" si="213"/>
        <v>0</v>
      </c>
      <c r="CW80" s="535">
        <f>IF(Sheet1!ER78="OTHER",DA80,0)</f>
        <v>0</v>
      </c>
      <c r="CX80" s="535">
        <f t="shared" si="214"/>
        <v>0</v>
      </c>
      <c r="CY80" s="535">
        <f t="shared" si="215"/>
        <v>6.49</v>
      </c>
      <c r="CZ80" s="535">
        <f t="shared" si="216"/>
        <v>6.4636665437108078</v>
      </c>
      <c r="DA80" s="535">
        <f>IF(OR(Sheet1!ER78="FM", Sheet1!ER78="OTHER"),SUM(Sheet1!BK78:'Sheet1'!BM78),0)</f>
        <v>0</v>
      </c>
      <c r="DB80" s="1011">
        <f>IF(AND($B80&gt;=$FV80,$B80&lt;=$FW80),MAX($CT80,Sheet1!EK78,0),MAX($CT80-(7/36)*$K80,0))</f>
        <v>0</v>
      </c>
      <c r="DC80" s="1012">
        <f t="shared" si="217"/>
        <v>6.1052223451780812</v>
      </c>
      <c r="DD80" s="1011">
        <f t="shared" si="218"/>
        <v>6.4636665437108078</v>
      </c>
      <c r="DE80" s="521">
        <f>IF(AND($O80&gt;0,Sheet1!EO78=1),(1-($O80-Sheet1!$L78)/$O80)*CZ80,0)</f>
        <v>0</v>
      </c>
      <c r="DF80" s="521">
        <f>IF(AND(Sheet1!$L78=0,Sheet1!$L77=0, Calculation!CY80&lt;Sheet1!$EK78-0.1,Sheet1!$EK78=Sheet1!$EK77,Sheet1!$EK78=Sheet1!$EK79),CZ80-DE80,CZ80-DE80)</f>
        <v>6.4636665437108078</v>
      </c>
      <c r="DG80" s="1040">
        <f t="shared" si="294"/>
        <v>12.568888888888889</v>
      </c>
      <c r="DH80" s="649">
        <f t="shared" si="219"/>
        <v>10.51</v>
      </c>
      <c r="DI80" s="535">
        <f t="shared" si="220"/>
        <v>138.92709742274482</v>
      </c>
      <c r="DJ80" s="649">
        <f t="shared" si="221"/>
        <v>10.467355219476207</v>
      </c>
      <c r="DK80" s="535">
        <f ca="1">IF(B80&gt;Summary!$A$1,#N/A,DI80*MGtoAF)</f>
        <v>426.22833489298114</v>
      </c>
      <c r="DL80" s="649">
        <f t="shared" si="222"/>
        <v>10.51</v>
      </c>
      <c r="DM80" s="535">
        <f t="shared" si="223"/>
        <v>27.11</v>
      </c>
      <c r="DN80" s="535">
        <f>Sheet1!AB78-DM80</f>
        <v>-0.10999999999999943</v>
      </c>
      <c r="DO80" s="743">
        <f t="shared" si="224"/>
        <v>-4.0575433419402229E-3</v>
      </c>
      <c r="DP80" s="535">
        <f>(VLOOKUP(Sheet1!DC78,hhdcap_wcm,4)-(((VLOOKUP(Sheet1!DC78,hhdcap_wcm,3)-Sheet1!DC78)/(VLOOKUP(Sheet1!DC78,hhdcap_wcm,3)-VLOOKUP(Sheet1!DC78,hhdcap_wcm,1)))*(VLOOKUP(Sheet1!DC78,hhdcap_wcm,4)-VLOOKUP(Sheet1!DC78,hhdcap_wcm,2))))</f>
        <v>6203.3000000127695</v>
      </c>
      <c r="DQ80" s="535">
        <f t="shared" si="225"/>
        <v>823.50000000118234</v>
      </c>
      <c r="DR80" s="535">
        <f t="shared" si="226"/>
        <v>415.27987897185187</v>
      </c>
      <c r="DS80" s="535">
        <f>Sheet1!EA78*AFtoMG</f>
        <v>0</v>
      </c>
      <c r="DT80" s="535">
        <f>Sheet1!EB78*AFtoMG</f>
        <v>0</v>
      </c>
      <c r="DU80" s="535">
        <f>Sheet1!EC78*AFtoMG</f>
        <v>0</v>
      </c>
      <c r="DV80" s="535">
        <f>Sheet1!ED78*AFtoMG</f>
        <v>0</v>
      </c>
      <c r="DW80" s="535">
        <f t="shared" si="227"/>
        <v>0</v>
      </c>
      <c r="DX80" s="535">
        <f t="shared" si="228"/>
        <v>0</v>
      </c>
      <c r="DY80" s="535">
        <f t="shared" si="229"/>
        <v>1243.3391161018571</v>
      </c>
      <c r="DZ80" s="535">
        <f t="shared" si="230"/>
        <v>3814.5644082004978</v>
      </c>
      <c r="EA80" s="535"/>
      <c r="EB80" s="521">
        <f>IF(OR(B80&lt;FV80,B80&gt;FW80),(MIN(BF80+BY80+CT80+MAX(Sheet1!AA78+AQ80-73,0),K80)),0)</f>
        <v>10.467355219476207</v>
      </c>
      <c r="EC80" s="535"/>
      <c r="ED80" s="535">
        <f t="shared" si="231"/>
        <v>10.467355219476207</v>
      </c>
      <c r="EE80" s="535"/>
      <c r="EF80" s="535">
        <f>Sheet1!EH78+Sheet1!EI78+Sheet1!EJ78+Sheet1!EK78</f>
        <v>10.5</v>
      </c>
      <c r="EG80" s="1019">
        <f t="shared" si="295"/>
        <v>16.243500000000001</v>
      </c>
      <c r="EH80" s="521">
        <f t="shared" si="232"/>
        <v>0</v>
      </c>
      <c r="EI80" s="535">
        <f>IF(Sheet1!ET78=1,SUM('Calculations II'!AT80:BA80)+'Calculations II'!BC80+Sheet1!BV78+'Calculations II'!BE80+AP80,'Calculations II'!BK80)</f>
        <v>44.617352780523802</v>
      </c>
      <c r="EJ80" s="535">
        <f ca="1">EI80+'Calculations II'!D80+'Calculations II'!E80+'Calculations II'!O80</f>
        <v>40.770211989553523</v>
      </c>
      <c r="EK80" s="535"/>
      <c r="EL80" s="535"/>
      <c r="EM80" s="535">
        <f t="shared" si="233"/>
        <v>42804</v>
      </c>
      <c r="EN80" s="535">
        <f t="shared" si="234"/>
        <v>54.172644780523797</v>
      </c>
      <c r="EO80" s="535">
        <f t="shared" si="235"/>
        <v>83.805081475470317</v>
      </c>
      <c r="EP80" s="535">
        <v>0</v>
      </c>
      <c r="EQ80" s="535">
        <v>0</v>
      </c>
      <c r="ER80" s="535">
        <v>0</v>
      </c>
      <c r="ES80" s="521">
        <f t="shared" si="257"/>
        <v>2.7702082118592894</v>
      </c>
      <c r="ET80" s="535">
        <f>-(VLOOKUP(Sheet1!BQ78,Lookup!$O$4:$Q$262,2)-VLOOKUP(Sheet1!BQ77,Lookup!$O$4:$Q$262,2))/1000000</f>
        <v>1.3848797960101924</v>
      </c>
      <c r="EU80" s="535">
        <f>-(VLOOKUP(Sheet1!BR78,Lookup!$O$4:$Q$262,3)-VLOOKUP(Sheet1!BR77,Lookup!$O$4:$Q$262,3))/1000000</f>
        <v>1.3853284158490971</v>
      </c>
      <c r="EV80" s="535"/>
      <c r="EW80" s="535"/>
      <c r="EX80" s="535"/>
      <c r="EY80" s="535"/>
      <c r="EZ80" s="535"/>
      <c r="FA80" s="535"/>
      <c r="FB80" s="535"/>
      <c r="FC80" s="535"/>
      <c r="FD80" s="567" t="e">
        <f t="shared" si="236"/>
        <v>#N/A</v>
      </c>
      <c r="FE80" s="567" t="e">
        <f t="shared" si="237"/>
        <v>#N/A</v>
      </c>
      <c r="FF80" s="568" t="e">
        <f t="shared" si="238"/>
        <v>#N/A</v>
      </c>
      <c r="FG80" s="569" t="s">
        <v>656</v>
      </c>
      <c r="FH80" s="569" t="s">
        <v>656</v>
      </c>
      <c r="FI80" s="567" t="e">
        <v>#N/A</v>
      </c>
      <c r="FJ80" s="567" t="e">
        <v>#N/A</v>
      </c>
      <c r="FK80" s="535"/>
      <c r="FL80" s="1015">
        <v>0</v>
      </c>
      <c r="FM80" s="535"/>
      <c r="FN80" s="535"/>
      <c r="FO80" s="535">
        <f>O80+((Sheet1!CS78)*GPMtoMGD)</f>
        <v>52.7</v>
      </c>
      <c r="FP80" s="535">
        <f>IF(Sheet1!AA78+AQ80&lt;=Calculation!N80,AQ80,Calculation!N80-Sheet1!AA78)</f>
        <v>16.532644780523793</v>
      </c>
      <c r="FQ80" s="535">
        <f>(Sheet1!BP78+Sheet1!BO78)/694.4</f>
        <v>1.4362039170506913</v>
      </c>
      <c r="FR80" s="541"/>
      <c r="FS80" s="541"/>
      <c r="FT80" s="541"/>
      <c r="FU80" s="541"/>
      <c r="FV80" s="1109">
        <f t="shared" si="258"/>
        <v>42918</v>
      </c>
      <c r="FW80" s="1109">
        <f t="shared" si="259"/>
        <v>43027</v>
      </c>
      <c r="FX80" s="541"/>
      <c r="FY80" s="541">
        <f>Sheet1!DA78-Sheet1!CZ78-Sheet1!AE78</f>
        <v>1128.4730999999999</v>
      </c>
      <c r="FZ80" s="535">
        <f t="shared" si="296"/>
        <v>0.52848954889387401</v>
      </c>
      <c r="GA80" s="535"/>
      <c r="GB80" s="535" t="str">
        <f t="shared" si="260"/>
        <v>n</v>
      </c>
      <c r="GC80" s="539">
        <f t="shared" si="261"/>
        <v>42782</v>
      </c>
      <c r="GD80" s="1109">
        <f t="shared" si="262"/>
        <v>42904</v>
      </c>
      <c r="GE80" s="535">
        <f t="shared" si="280"/>
        <v>6520</v>
      </c>
      <c r="GF80" s="1109">
        <f t="shared" si="263"/>
        <v>42909</v>
      </c>
      <c r="GG80" s="535">
        <f t="shared" si="174"/>
        <v>3260</v>
      </c>
      <c r="GH80" s="539">
        <f t="shared" si="264"/>
        <v>43040</v>
      </c>
      <c r="GJ80" s="521">
        <f t="shared" si="265"/>
        <v>0</v>
      </c>
      <c r="GK80" s="535" t="str">
        <f t="shared" si="239"/>
        <v/>
      </c>
      <c r="GL80" s="535">
        <f t="shared" si="266"/>
        <v>0</v>
      </c>
      <c r="GM80" s="535" t="str">
        <f t="shared" si="267"/>
        <v/>
      </c>
      <c r="GN80" s="535">
        <f>IF(GK80="P",Lookup!$M$12,IF(GK80="PP",Lookup!$M$13,IF(GK80="PPP",Lookup!$M$14,IF(GK80="T",Lookup!$M$15,IF(GK80="TP",Lookup!$M$16,IF(GK80="TPP",Lookup!$M$17,IF(GK80="TPPP",Lookup!$M$18,0)))))))*GJ80</f>
        <v>0</v>
      </c>
      <c r="GO80" s="535">
        <f t="shared" si="268"/>
        <v>0</v>
      </c>
      <c r="GP80" s="535">
        <f t="shared" si="240"/>
        <v>1900.5237333333328</v>
      </c>
      <c r="GQ80" s="535">
        <f t="shared" si="279"/>
        <v>619.46666666666647</v>
      </c>
      <c r="GR80" s="535"/>
      <c r="GS80" s="535">
        <f t="shared" si="269"/>
        <v>0</v>
      </c>
      <c r="GT80" s="535" t="str">
        <f t="shared" si="270"/>
        <v/>
      </c>
      <c r="GU80" s="535">
        <f>IF(GK80="P",Lookup!$N$12,IF(GK80="PP",Lookup!$N$13,IF(GK80="PPP",Lookup!$N$14,IF(GK80="T",Lookup!$N$15,IF(GK80="TP",Lookup!$N$16,IF(GK80="TPP",Lookup!$N$17,IF(GK80="TPPP",Lookup!$N$18,0)))))))*GJ80</f>
        <v>0</v>
      </c>
      <c r="GV80" s="535">
        <f t="shared" si="271"/>
        <v>0</v>
      </c>
      <c r="GW80" s="535">
        <f t="shared" si="241"/>
        <v>813.17665204317757</v>
      </c>
      <c r="GX80" s="535">
        <f t="shared" si="276"/>
        <v>265.05105998799792</v>
      </c>
      <c r="GY80" s="535"/>
      <c r="GZ80" s="535">
        <f t="shared" si="272"/>
        <v>0</v>
      </c>
      <c r="HA80" s="535" t="str">
        <f t="shared" si="273"/>
        <v/>
      </c>
      <c r="HB80" s="535">
        <f>IF(GK80="P",Lookup!$N$12,IF(GK80="PP",Lookup!$N$13,IF(GK80="PPP",Lookup!$N$14,IF(GK80="T",Lookup!$N$15,IF(GK80="TP",Lookup!$N$16,IF(GK80="TPP",Lookup!$N$17,IF(GK80="TPPP",Lookup!$N$18,0)))))))*GJ80</f>
        <v>0</v>
      </c>
      <c r="HC80" s="521">
        <f t="shared" si="242"/>
        <v>0</v>
      </c>
      <c r="HD80" s="535">
        <f t="shared" si="243"/>
        <v>674.63568793100694</v>
      </c>
      <c r="HE80" s="535">
        <f t="shared" si="277"/>
        <v>219.89429202444813</v>
      </c>
      <c r="HF80" s="535"/>
      <c r="HG80" s="535">
        <f t="shared" si="274"/>
        <v>0</v>
      </c>
      <c r="HH80" s="535" t="str">
        <f t="shared" si="275"/>
        <v/>
      </c>
      <c r="HI80" s="535">
        <f>IF(GK80="P",Lookup!$N$12,IF(GK80="PP",Lookup!$N$13,IF(GK80="PPP",Lookup!$N$14,IF(GK80="T",Lookup!$N$15,IF(GK80="TP",Lookup!$N$16,IF(GK80="TPP",Lookup!$N$17,IF(GK80="TPPP",Lookup!$N$18,0)))))))*GJ80</f>
        <v>0</v>
      </c>
      <c r="HJ80" s="521">
        <f t="shared" si="244"/>
        <v>0</v>
      </c>
      <c r="HK80" s="535">
        <f t="shared" si="245"/>
        <v>426.22833489298114</v>
      </c>
      <c r="HL80" s="535">
        <f t="shared" si="278"/>
        <v>138.92709742274482</v>
      </c>
      <c r="HM80" s="535"/>
      <c r="HN80" s="541"/>
      <c r="HO80" s="541"/>
      <c r="HP80" s="541"/>
      <c r="HQ80" s="541">
        <f>IF(AND(B80&gt;=$FV$4,B80&lt;=$FW$4),MAX(110/1.02+$HQ$6+MIN(113/1.02,G80),IF($HV$6-(Sheet1!DA78-Sheet1!DB78)+MIN(113/1.02,G80)&lt;G80+FL80,$HV$6-(Sheet1!DA78-Sheet1!DB78)+MIN(113/1.02,G80),G80+FL80)),MIN(110/1.02+$HQ$6+113/1.02,G80))</f>
        <v>218.62745098039215</v>
      </c>
      <c r="HR80" s="541">
        <f t="shared" si="297"/>
        <v>223</v>
      </c>
      <c r="HS80" s="541">
        <f>HR80+(Sheet1!DA78-Sheet1!DB78)</f>
        <v>1443</v>
      </c>
      <c r="HT80" s="541">
        <f t="shared" si="298"/>
        <v>65.267930000000007</v>
      </c>
      <c r="HU80" s="541">
        <f t="shared" si="299"/>
        <v>1377.73207</v>
      </c>
      <c r="HV80" s="541">
        <f t="shared" si="300"/>
        <v>0</v>
      </c>
      <c r="HW80" s="533" t="str">
        <f t="shared" si="301"/>
        <v/>
      </c>
      <c r="HX80" s="541">
        <f t="shared" si="302"/>
        <v>1501.372549019608</v>
      </c>
      <c r="HY80" s="541">
        <f>Sheet1!CZ78</f>
        <v>1720</v>
      </c>
      <c r="HZ80" s="541">
        <f t="shared" si="303"/>
        <v>0</v>
      </c>
      <c r="IA80" s="541">
        <f t="shared" si="304"/>
        <v>65.267930000000007</v>
      </c>
      <c r="IB80" s="541">
        <f t="shared" si="305"/>
        <v>1720</v>
      </c>
      <c r="IC80" s="1019" t="str">
        <f t="shared" si="306"/>
        <v/>
      </c>
      <c r="ID80" s="541">
        <f t="shared" si="307"/>
        <v>1654.73207</v>
      </c>
      <c r="IE80" s="541">
        <f>Sheet1!DB78</f>
        <v>1710</v>
      </c>
      <c r="IF80" s="533">
        <f>Sheet1!DA78</f>
        <v>2930</v>
      </c>
      <c r="IH80" s="541">
        <f>IF(AND($B80&gt;=$GC80,$B80&lt;=$GH80,$DR80&lt;0)+N("only adjusted when pool is drawn down during storage season"),Sheet1!$DB78+$DR80+N("Palmer minus all storage release"),Sheet1!$DB78)</f>
        <v>1710</v>
      </c>
      <c r="II80" s="541">
        <f>IF(AND($B80&gt;=$GC80,$B80&lt;=$GH80,$DR80&lt;0)+N("only adjusted when pool is drawn down during storage season"),Sheet1!$DA78+$DR80+N("Auburn minus all storage release"),Sheet1!$DA78)</f>
        <v>2930</v>
      </c>
    </row>
    <row r="81" spans="1:243" x14ac:dyDescent="0.25">
      <c r="A81" s="553" t="s">
        <v>9</v>
      </c>
      <c r="B81" s="531">
        <v>42805</v>
      </c>
      <c r="C81" s="536">
        <v>0</v>
      </c>
      <c r="D81" s="506">
        <f t="shared" si="247"/>
        <v>300</v>
      </c>
      <c r="E81" s="506">
        <f t="shared" si="248"/>
        <v>250</v>
      </c>
      <c r="F81" s="506">
        <v>250</v>
      </c>
      <c r="G81" s="535">
        <f>DR81+Sheet1!CZ79</f>
        <v>1995.1689359563322</v>
      </c>
      <c r="H81" s="1074">
        <f t="shared" si="281"/>
        <v>970.6869862399999</v>
      </c>
      <c r="I81" s="534">
        <f>IF(Sheet1!DA79&gt;=E81,(Sheet1!DA79-E81+P81)*CFStoMGD,0)</f>
        <v>1726.9749862399999</v>
      </c>
      <c r="J81" s="995">
        <f>IF(Sheet1!DB79&gt;=D81,(Sheet1!DB79-D81+P81)*CFStoMGD,0)</f>
        <v>970.6869862399999</v>
      </c>
      <c r="K81" s="818">
        <f t="shared" si="282"/>
        <v>64.64</v>
      </c>
      <c r="L81" s="535">
        <f>Sheet1!AA79+Sheet1!AB79-Sheet1!L79+(Sheet1!DA79-F81)*CFStoMGD-S81-T81-U81</f>
        <v>1662.336</v>
      </c>
      <c r="M81" s="535">
        <f t="shared" si="185"/>
        <v>1315.4707442062168</v>
      </c>
      <c r="N81" s="824">
        <f>IF(Sheet1!DA79&gt;=F81,MIN(113*CFStoMGD,MIN(MAX(L81,0),MAX(M81,0))),0)</f>
        <v>73.043199999999999</v>
      </c>
      <c r="O81" s="538">
        <f>Sheet1!AA79+Sheet1!AB79</f>
        <v>52.8</v>
      </c>
      <c r="P81" s="538">
        <f t="shared" si="186"/>
        <v>81.681600000000003</v>
      </c>
      <c r="Q81" s="812">
        <f t="shared" si="283"/>
        <v>41.959999999999994</v>
      </c>
      <c r="R81" s="812">
        <f t="shared" si="249"/>
        <v>10.784082535003684</v>
      </c>
      <c r="S81" s="812">
        <f t="shared" si="250"/>
        <v>10.84</v>
      </c>
      <c r="T81" s="812">
        <f t="shared" si="251"/>
        <v>53.8</v>
      </c>
      <c r="U81" s="812">
        <f t="shared" si="284"/>
        <v>0</v>
      </c>
      <c r="V81" s="812"/>
      <c r="W81" s="812">
        <f t="shared" si="252"/>
        <v>53.855917464996317</v>
      </c>
      <c r="X81" s="812">
        <f t="shared" si="253"/>
        <v>64.64</v>
      </c>
      <c r="Y81" s="812" t="str">
        <f t="shared" si="254"/>
        <v>FALSE</v>
      </c>
      <c r="Z81" s="812">
        <f t="shared" si="255"/>
        <v>52.8</v>
      </c>
      <c r="AA81" s="812">
        <f t="shared" si="256"/>
        <v>52.8</v>
      </c>
      <c r="AB81" s="1059">
        <f t="shared" si="285"/>
        <v>64.912119999999987</v>
      </c>
      <c r="AC81" s="538">
        <f>Sheet1!Y79*MGDtoCFS</f>
        <v>39.757899999999999</v>
      </c>
      <c r="AD81" s="538">
        <f>Sheet1!Z79*MGDtoCFS</f>
        <v>41.768999999999998</v>
      </c>
      <c r="AE81" s="538">
        <f>Sheet1!AA79*MGDtoCFS</f>
        <v>39.912599999999998</v>
      </c>
      <c r="AF81" s="538">
        <f>Sheet1!AB79*MGDtoCFS</f>
        <v>41.768999999999998</v>
      </c>
      <c r="AG81" s="538">
        <f>Sheet1!L79*MGDtoCFS</f>
        <v>0</v>
      </c>
      <c r="AH81" s="521">
        <f t="shared" si="187"/>
        <v>0</v>
      </c>
      <c r="AI81" s="1059">
        <f t="shared" si="188"/>
        <v>0</v>
      </c>
      <c r="AJ81" s="535">
        <f t="shared" si="189"/>
        <v>53.855917464996317</v>
      </c>
      <c r="AK81" s="535">
        <f t="shared" si="190"/>
        <v>83.315104318349299</v>
      </c>
      <c r="AL81" s="535">
        <f>(VLOOKUP(Sheet1!DC79,hhdcap_wcm,4)-(((VLOOKUP(Sheet1!DC79,hhdcap_wcm,3)-Sheet1!DC79)/(VLOOKUP(Sheet1!DC79,hhdcap_wcm,3)-VLOOKUP(Sheet1!DC79,hhdcap_wcm,1)))*(VLOOKUP(Sheet1!DC79,hhdcap_wcm,4)-VLOOKUP(Sheet1!DC79,hhdcap_wcm,2))))</f>
        <v>6709.3000000141765</v>
      </c>
      <c r="AM81" s="535">
        <f t="shared" si="191"/>
        <v>506.00000000140699</v>
      </c>
      <c r="AN81" s="1035">
        <f t="shared" si="192"/>
        <v>1297.1950335668535</v>
      </c>
      <c r="AO81" s="535">
        <f t="shared" si="193"/>
        <v>3979.7943629831066</v>
      </c>
      <c r="AP81" s="535">
        <f>Sheet1!BA79+Sheet1!BB79+Sheet1!BN79+CD81</f>
        <v>16.3</v>
      </c>
      <c r="AQ81" s="535">
        <f>Sheet1!BN79+(DO81*Sheet1!BN79)</f>
        <v>16.215917464996316</v>
      </c>
      <c r="AR81" s="535">
        <f>Sheet1!BA79+CD81</f>
        <v>0</v>
      </c>
      <c r="AS81" s="535">
        <f>Sheet1!BA79+Sheet1!BB79+CD81</f>
        <v>0</v>
      </c>
      <c r="AT81" s="649">
        <f>0</f>
        <v>0</v>
      </c>
      <c r="AU81" s="535">
        <f>IF(EB81&lt;K81,0,MAX(Sheet1!AA79+AQ81-15/36*K81-N81,Sheet1!EH79,0))</f>
        <v>0</v>
      </c>
      <c r="AV81" s="535">
        <f>IF(OR(B81&gt;=GD81,B81&lt;GC81),0,15/36*K81-MAX(0,64.6-(137.6-(Sheet1!AA79+Sheet1!AB79))))</f>
        <v>26.933333333333334</v>
      </c>
      <c r="AW81" s="1029"/>
      <c r="AX81" s="649"/>
      <c r="AY81" s="649">
        <f t="shared" si="286"/>
        <v>0</v>
      </c>
      <c r="AZ81" s="649">
        <f t="shared" si="287"/>
        <v>0</v>
      </c>
      <c r="BA81" s="1059">
        <f t="shared" si="288"/>
        <v>0</v>
      </c>
      <c r="BB81" s="1019">
        <f t="shared" si="194"/>
        <v>646.39999999999975</v>
      </c>
      <c r="BC81" s="1041">
        <f t="shared" si="289"/>
        <v>26.933333333333334</v>
      </c>
      <c r="BD81" s="1019">
        <f ca="1">IF(B81&gt;Summary!$A$1,#N/A,BB81*MGtoAF)</f>
        <v>1983.1551999999992</v>
      </c>
      <c r="BE81" s="535">
        <f>Sheet1!BG79+Sheet1!BH79+Sheet1!BI79-BM81</f>
        <v>1.02</v>
      </c>
      <c r="BF81" s="535">
        <f t="shared" si="195"/>
        <v>1.0147383935151069</v>
      </c>
      <c r="BG81" s="535">
        <f>IF(Sheet1!EP79="FM",BM81,0)</f>
        <v>0</v>
      </c>
      <c r="BH81" s="535">
        <f t="shared" si="196"/>
        <v>0</v>
      </c>
      <c r="BI81" s="535">
        <f>IF(Sheet1!EP79="OTHER",BM81,0)</f>
        <v>0</v>
      </c>
      <c r="BJ81" s="535">
        <f t="shared" si="197"/>
        <v>0</v>
      </c>
      <c r="BK81" s="535">
        <f t="shared" si="198"/>
        <v>1.02</v>
      </c>
      <c r="BL81" s="535">
        <f t="shared" si="199"/>
        <v>1.0147383935151069</v>
      </c>
      <c r="BM81" s="535">
        <f>IF(OR(Sheet1!EP79="FM", Sheet1!EP79="OTHER"),SUM(Sheet1!BG79:'Sheet1'!BI79),0)</f>
        <v>0</v>
      </c>
      <c r="BN81" s="521">
        <f>IF(AND($B81&gt;=$FV81,$B81&lt;=$FW81),MAX(BF81,Sheet1!EI79,0),MAX(BF81-(7/36)*$K81,0))</f>
        <v>0</v>
      </c>
      <c r="BO81" s="535">
        <f t="shared" si="200"/>
        <v>11.554150495373783</v>
      </c>
      <c r="BP81" s="521">
        <f t="shared" si="201"/>
        <v>1.0147383935151069</v>
      </c>
      <c r="BQ81" s="521">
        <f>IF(AND($O81&gt;0,Sheet1!EM79=1),(1-($O81-Sheet1!$L79)/$O81)*BL81,0)</f>
        <v>0</v>
      </c>
      <c r="BR81" s="521">
        <f>IF(AND(Sheet1!$L79=0,Sheet1!$L78=0, Calculation!BK81&lt;Sheet1!$EI79-0.1,Sheet1!$EI79=Sheet1!$EI78,Sheet1!$EI79=Sheet1!$EI80),BL81-BQ81,BL81-BQ81)</f>
        <v>1.0147383935151069</v>
      </c>
      <c r="BS81" s="1035" t="str">
        <f t="shared" si="290"/>
        <v/>
      </c>
      <c r="BT81" s="1035">
        <f t="shared" si="291"/>
        <v>12.568888888888889</v>
      </c>
      <c r="BU81" s="535">
        <f t="shared" si="202"/>
        <v>276.60521048337171</v>
      </c>
      <c r="BV81" s="535"/>
      <c r="BW81" s="535">
        <f ca="1">IF(B81&gt;Summary!$A$1,#N/A,BU81*MGtoAF)</f>
        <v>848.6247857629844</v>
      </c>
      <c r="BX81" s="535">
        <f>Sheet1!BC79+Sheet1!BD79+Sheet1!BE79+Sheet1!BF79-CG81-CH81</f>
        <v>3.33</v>
      </c>
      <c r="BY81" s="535">
        <f t="shared" si="203"/>
        <v>3.312822402358143</v>
      </c>
      <c r="BZ81" s="535">
        <f>IF(Sheet1!EQ79="FM",CH81,0)</f>
        <v>0</v>
      </c>
      <c r="CA81" s="535">
        <f t="shared" si="204"/>
        <v>0</v>
      </c>
      <c r="CB81" s="535">
        <f>IF(Sheet1!EQ79="OTHER",CH81,0)</f>
        <v>0</v>
      </c>
      <c r="CC81" s="535">
        <f t="shared" si="205"/>
        <v>0</v>
      </c>
      <c r="CD81" s="535">
        <f t="shared" si="206"/>
        <v>0</v>
      </c>
      <c r="CE81" s="535">
        <f t="shared" si="207"/>
        <v>3.33</v>
      </c>
      <c r="CF81" s="535">
        <f t="shared" si="208"/>
        <v>3.312822402358143</v>
      </c>
      <c r="CG81" s="535">
        <f>IF(Sheet1!EQ79="CWA",SUM(Sheet1!BC79:'Sheet1'!BF79),0)</f>
        <v>0</v>
      </c>
      <c r="CH81" s="535">
        <f>IF(OR(Sheet1!EQ79="FM", Sheet1!EQ79="OTHER"),SUM(Sheet1!BC79:'Sheet1'!BF79),0)</f>
        <v>0</v>
      </c>
      <c r="CI81" s="521">
        <f>IF(AND($B81&gt;=$FV81,$B81&lt;=$FW81),MAX(CF81,Sheet1!EJ79,0),MAX(CF81-(7/36)*$K81,0))</f>
        <v>0</v>
      </c>
      <c r="CJ81" s="535">
        <f t="shared" si="209"/>
        <v>9.2560664865307452</v>
      </c>
      <c r="CK81" s="521">
        <f t="shared" si="210"/>
        <v>3.312822402358143</v>
      </c>
      <c r="CL81" s="521">
        <f>IF(AND($O81&gt;0,Sheet1!EN79=1),(1-($O81-Sheet1!$L79)/$O81)*CF81,0)</f>
        <v>0</v>
      </c>
      <c r="CM81" s="521">
        <f>IF(AND(Sheet1!$L79=0,Sheet1!$L78=0, Calculation!CE81&lt;Sheet1!EJ79-0.1,Sheet1!EJ79=Sheet1!EJ78,Sheet1!EJ79=Sheet1!EJ80),CF81-CL81,CF81-CL81)</f>
        <v>3.312822402358143</v>
      </c>
      <c r="CN81" s="1040" t="str">
        <f t="shared" si="292"/>
        <v/>
      </c>
      <c r="CO81" s="1035">
        <f t="shared" si="293"/>
        <v>12.568888888888889</v>
      </c>
      <c r="CP81" s="535">
        <f t="shared" si="211"/>
        <v>229.15035851097889</v>
      </c>
      <c r="CQ81" s="535"/>
      <c r="CR81" s="535">
        <f ca="1">IF(B81&gt;Summary!$A$1,#N/A,CP81*MGtoAF)</f>
        <v>703.03329991168323</v>
      </c>
      <c r="CS81" s="535">
        <f>Sheet1!BK79+Sheet1!BL79+Sheet1!BM79-Sheet1!ER79-DA81</f>
        <v>6.49</v>
      </c>
      <c r="CT81" s="535">
        <f t="shared" si="212"/>
        <v>6.4565217391304346</v>
      </c>
      <c r="CU81" s="535">
        <f>IF(Sheet1!ER79="FM",DA81,0)</f>
        <v>0</v>
      </c>
      <c r="CV81" s="535">
        <f t="shared" si="213"/>
        <v>0</v>
      </c>
      <c r="CW81" s="535">
        <f>IF(Sheet1!ER79="OTHER",DA81,0)</f>
        <v>0</v>
      </c>
      <c r="CX81" s="535">
        <f t="shared" si="214"/>
        <v>0</v>
      </c>
      <c r="CY81" s="535">
        <f t="shared" si="215"/>
        <v>6.49</v>
      </c>
      <c r="CZ81" s="535">
        <f t="shared" si="216"/>
        <v>6.4565217391304346</v>
      </c>
      <c r="DA81" s="535">
        <f>IF(OR(Sheet1!ER79="FM", Sheet1!ER79="OTHER"),SUM(Sheet1!BK79:'Sheet1'!BM79),0)</f>
        <v>0</v>
      </c>
      <c r="DB81" s="1011">
        <f>IF(AND($B81&gt;=$FV81,$B81&lt;=$FW81),MAX($CT81,Sheet1!EK79,0),MAX($CT81-(7/36)*$K81,0))</f>
        <v>0</v>
      </c>
      <c r="DC81" s="1012">
        <f t="shared" si="217"/>
        <v>6.1123671497584544</v>
      </c>
      <c r="DD81" s="1011">
        <f t="shared" si="218"/>
        <v>6.4565217391304346</v>
      </c>
      <c r="DE81" s="521">
        <f>IF(AND($O81&gt;0,Sheet1!EO79=1),(1-($O81-Sheet1!$L79)/$O81)*CZ81,0)</f>
        <v>0</v>
      </c>
      <c r="DF81" s="521">
        <f>IF(AND(Sheet1!$L79=0,Sheet1!$L78=0, Calculation!CY81&lt;Sheet1!$EK79-0.1,Sheet1!$EK79=Sheet1!$EK78,Sheet1!$EK79=Sheet1!$EK80),CZ81-DE81,CZ81-DE81)</f>
        <v>6.4565217391304346</v>
      </c>
      <c r="DG81" s="1040">
        <f t="shared" si="294"/>
        <v>12.568888888888889</v>
      </c>
      <c r="DH81" s="649">
        <f t="shared" si="219"/>
        <v>10.84</v>
      </c>
      <c r="DI81" s="535">
        <f t="shared" si="220"/>
        <v>145.03946457250328</v>
      </c>
      <c r="DJ81" s="649">
        <f t="shared" si="221"/>
        <v>10.784082535003684</v>
      </c>
      <c r="DK81" s="535">
        <f ca="1">IF(B81&gt;Summary!$A$1,#N/A,DI81*MGtoAF)</f>
        <v>444.98107730844009</v>
      </c>
      <c r="DL81" s="649">
        <f t="shared" si="222"/>
        <v>10.84</v>
      </c>
      <c r="DM81" s="535">
        <f t="shared" si="223"/>
        <v>27.14</v>
      </c>
      <c r="DN81" s="535">
        <f>Sheet1!AB79-DM81</f>
        <v>-0.14000000000000057</v>
      </c>
      <c r="DO81" s="743">
        <f t="shared" si="224"/>
        <v>-5.1584377302874192E-3</v>
      </c>
      <c r="DP81" s="535">
        <f>(VLOOKUP(Sheet1!DC79,hhdcap_wcm,4)-(((VLOOKUP(Sheet1!DC79,hhdcap_wcm,3)-Sheet1!DC79)/(VLOOKUP(Sheet1!DC79,hhdcap_wcm,3)-VLOOKUP(Sheet1!DC79,hhdcap_wcm,1)))*(VLOOKUP(Sheet1!DC79,hhdcap_wcm,4)-VLOOKUP(Sheet1!DC79,hhdcap_wcm,2))))</f>
        <v>6709.3000000141765</v>
      </c>
      <c r="DQ81" s="535">
        <f t="shared" si="225"/>
        <v>506.00000000140699</v>
      </c>
      <c r="DR81" s="535">
        <f t="shared" si="226"/>
        <v>255.16893595633229</v>
      </c>
      <c r="DS81" s="535">
        <f>Sheet1!EA79*AFtoMG</f>
        <v>0</v>
      </c>
      <c r="DT81" s="535">
        <f>Sheet1!EB79*AFtoMG</f>
        <v>0</v>
      </c>
      <c r="DU81" s="535">
        <f>Sheet1!EC79*AFtoMG</f>
        <v>0</v>
      </c>
      <c r="DV81" s="535">
        <f>Sheet1!ED79*AFtoMG</f>
        <v>0</v>
      </c>
      <c r="DW81" s="535">
        <f t="shared" si="227"/>
        <v>0</v>
      </c>
      <c r="DX81" s="535">
        <f t="shared" si="228"/>
        <v>0</v>
      </c>
      <c r="DY81" s="535">
        <f t="shared" si="229"/>
        <v>1297.1950335668535</v>
      </c>
      <c r="DZ81" s="535">
        <f t="shared" si="230"/>
        <v>3979.7943629831066</v>
      </c>
      <c r="EA81" s="535"/>
      <c r="EB81" s="521">
        <f>IF(OR(B81&lt;FV81,B81&gt;FW81),(MIN(BF81+BY81+CT81+MAX(Sheet1!AA79+AQ81-73,0),K81)),0)</f>
        <v>10.784082535003684</v>
      </c>
      <c r="EC81" s="535"/>
      <c r="ED81" s="535">
        <f t="shared" si="231"/>
        <v>10.784082535003684</v>
      </c>
      <c r="EE81" s="535"/>
      <c r="EF81" s="535">
        <f>Sheet1!EH79+Sheet1!EI79+Sheet1!EJ79+Sheet1!EK79</f>
        <v>11</v>
      </c>
      <c r="EG81" s="1019">
        <f t="shared" si="295"/>
        <v>17.016999999999999</v>
      </c>
      <c r="EH81" s="521">
        <f t="shared" si="232"/>
        <v>0</v>
      </c>
      <c r="EI81" s="535">
        <f>IF(Sheet1!ET79=1,SUM('Calculations II'!AT81:BA81)+'Calculations II'!BC81+Sheet1!BV79+'Calculations II'!BE81+AP81,'Calculations II'!BK81)</f>
        <v>44.240743464996314</v>
      </c>
      <c r="EJ81" s="535">
        <f ca="1">EI81+'Calculations II'!D81+'Calculations II'!E81+'Calculations II'!O81</f>
        <v>41.198239362468179</v>
      </c>
      <c r="EK81" s="535"/>
      <c r="EL81" s="535"/>
      <c r="EM81" s="535">
        <f t="shared" si="233"/>
        <v>42805</v>
      </c>
      <c r="EN81" s="535">
        <f t="shared" si="234"/>
        <v>53.855917464996317</v>
      </c>
      <c r="EO81" s="535">
        <f t="shared" si="235"/>
        <v>83.315104318349299</v>
      </c>
      <c r="EP81" s="535">
        <v>0</v>
      </c>
      <c r="EQ81" s="535">
        <v>0</v>
      </c>
      <c r="ER81" s="535">
        <v>0</v>
      </c>
      <c r="ES81" s="521">
        <f t="shared" si="257"/>
        <v>2.7689265886909773</v>
      </c>
      <c r="ET81" s="535">
        <f>-(VLOOKUP(Sheet1!BQ79,Lookup!$O$4:$Q$262,2)-VLOOKUP(Sheet1!BQ78,Lookup!$O$4:$Q$262,2))/1000000</f>
        <v>1.3842390361560359</v>
      </c>
      <c r="EU81" s="535">
        <f>-(VLOOKUP(Sheet1!BR79,Lookup!$O$4:$Q$262,3)-VLOOKUP(Sheet1!BR78,Lookup!$O$4:$Q$262,3))/1000000</f>
        <v>1.3846875525349416</v>
      </c>
      <c r="EV81" s="535"/>
      <c r="EW81" s="535"/>
      <c r="EX81" s="535"/>
      <c r="EY81" s="535"/>
      <c r="EZ81" s="535"/>
      <c r="FA81" s="535"/>
      <c r="FB81" s="535"/>
      <c r="FC81" s="535"/>
      <c r="FD81" s="567" t="e">
        <f t="shared" si="236"/>
        <v>#N/A</v>
      </c>
      <c r="FE81" s="567" t="e">
        <f t="shared" si="237"/>
        <v>#N/A</v>
      </c>
      <c r="FF81" s="568" t="e">
        <f t="shared" si="238"/>
        <v>#N/A</v>
      </c>
      <c r="FG81" s="569" t="s">
        <v>656</v>
      </c>
      <c r="FH81" s="569" t="s">
        <v>656</v>
      </c>
      <c r="FI81" s="567" t="e">
        <v>#N/A</v>
      </c>
      <c r="FJ81" s="567" t="e">
        <v>#N/A</v>
      </c>
      <c r="FK81" s="535"/>
      <c r="FL81" s="1015">
        <v>0</v>
      </c>
      <c r="FM81" s="535"/>
      <c r="FN81" s="535"/>
      <c r="FO81" s="535">
        <f>O81+((Sheet1!CS79)*GPMtoMGD)</f>
        <v>52.8</v>
      </c>
      <c r="FP81" s="535">
        <f>IF(Sheet1!AA79+AQ81&lt;=Calculation!N81,AQ81,Calculation!N81-Sheet1!AA79)</f>
        <v>16.215917464996316</v>
      </c>
      <c r="FQ81" s="535">
        <f>(Sheet1!BP79+Sheet1!BO79)/694.4</f>
        <v>2.1520737327188941</v>
      </c>
      <c r="FR81" s="541"/>
      <c r="FS81" s="541"/>
      <c r="FT81" s="541"/>
      <c r="FU81" s="541"/>
      <c r="FV81" s="1109">
        <f t="shared" si="258"/>
        <v>42918</v>
      </c>
      <c r="FW81" s="1109">
        <f t="shared" si="259"/>
        <v>43027</v>
      </c>
      <c r="FX81" s="541"/>
      <c r="FY81" s="541">
        <f>Sheet1!DA79-Sheet1!CZ79-Sheet1!AE79</f>
        <v>1018.3184</v>
      </c>
      <c r="FZ81" s="535">
        <f t="shared" si="296"/>
        <v>0.51039206838487372</v>
      </c>
      <c r="GA81" s="535"/>
      <c r="GB81" s="535" t="str">
        <f t="shared" si="260"/>
        <v>n</v>
      </c>
      <c r="GC81" s="539">
        <f t="shared" si="261"/>
        <v>42782</v>
      </c>
      <c r="GD81" s="1109">
        <f t="shared" si="262"/>
        <v>42904</v>
      </c>
      <c r="GE81" s="535">
        <f t="shared" si="280"/>
        <v>6520</v>
      </c>
      <c r="GF81" s="1109">
        <f t="shared" si="263"/>
        <v>42909</v>
      </c>
      <c r="GG81" s="535">
        <f t="shared" si="174"/>
        <v>3260</v>
      </c>
      <c r="GH81" s="539">
        <f t="shared" si="264"/>
        <v>43040</v>
      </c>
      <c r="GJ81" s="521">
        <f t="shared" si="265"/>
        <v>0</v>
      </c>
      <c r="GK81" s="535" t="str">
        <f t="shared" si="239"/>
        <v/>
      </c>
      <c r="GL81" s="535">
        <f t="shared" si="266"/>
        <v>0</v>
      </c>
      <c r="GM81" s="535" t="str">
        <f t="shared" si="267"/>
        <v/>
      </c>
      <c r="GN81" s="535">
        <f>IF(GK81="P",Lookup!$M$12,IF(GK81="PP",Lookup!$M$13,IF(GK81="PPP",Lookup!$M$14,IF(GK81="T",Lookup!$M$15,IF(GK81="TP",Lookup!$M$16,IF(GK81="TPP",Lookup!$M$17,IF(GK81="TPPP",Lookup!$M$18,0)))))))*GJ81</f>
        <v>0</v>
      </c>
      <c r="GO81" s="535">
        <f t="shared" si="268"/>
        <v>0</v>
      </c>
      <c r="GP81" s="535">
        <f t="shared" si="240"/>
        <v>1983.1551999999992</v>
      </c>
      <c r="GQ81" s="535">
        <f t="shared" si="279"/>
        <v>646.39999999999975</v>
      </c>
      <c r="GR81" s="535"/>
      <c r="GS81" s="535">
        <f t="shared" si="269"/>
        <v>0</v>
      </c>
      <c r="GT81" s="535" t="str">
        <f t="shared" si="270"/>
        <v/>
      </c>
      <c r="GU81" s="535">
        <f>IF(GK81="P",Lookup!$N$12,IF(GK81="PP",Lookup!$N$13,IF(GK81="PPP",Lookup!$N$14,IF(GK81="T",Lookup!$N$15,IF(GK81="TP",Lookup!$N$16,IF(GK81="TPP",Lookup!$N$17,IF(GK81="TPPP",Lookup!$N$18,0)))))))*GJ81</f>
        <v>0</v>
      </c>
      <c r="GV81" s="535">
        <f t="shared" si="271"/>
        <v>0</v>
      </c>
      <c r="GW81" s="535">
        <f t="shared" si="241"/>
        <v>848.6247857629844</v>
      </c>
      <c r="GX81" s="535">
        <f t="shared" si="276"/>
        <v>276.60521048337171</v>
      </c>
      <c r="GY81" s="535"/>
      <c r="GZ81" s="535">
        <f t="shared" si="272"/>
        <v>0</v>
      </c>
      <c r="HA81" s="535" t="str">
        <f t="shared" si="273"/>
        <v/>
      </c>
      <c r="HB81" s="535">
        <f>IF(GK81="P",Lookup!$N$12,IF(GK81="PP",Lookup!$N$13,IF(GK81="PPP",Lookup!$N$14,IF(GK81="T",Lookup!$N$15,IF(GK81="TP",Lookup!$N$16,IF(GK81="TPP",Lookup!$N$17,IF(GK81="TPPP",Lookup!$N$18,0)))))))*GJ81</f>
        <v>0</v>
      </c>
      <c r="HC81" s="521">
        <f t="shared" si="242"/>
        <v>0</v>
      </c>
      <c r="HD81" s="535">
        <f t="shared" si="243"/>
        <v>703.03329991168323</v>
      </c>
      <c r="HE81" s="535">
        <f t="shared" si="277"/>
        <v>229.15035851097889</v>
      </c>
      <c r="HF81" s="535"/>
      <c r="HG81" s="535">
        <f t="shared" si="274"/>
        <v>0</v>
      </c>
      <c r="HH81" s="535" t="str">
        <f t="shared" si="275"/>
        <v/>
      </c>
      <c r="HI81" s="535">
        <f>IF(GK81="P",Lookup!$N$12,IF(GK81="PP",Lookup!$N$13,IF(GK81="PPP",Lookup!$N$14,IF(GK81="T",Lookup!$N$15,IF(GK81="TP",Lookup!$N$16,IF(GK81="TPP",Lookup!$N$17,IF(GK81="TPPP",Lookup!$N$18,0)))))))*GJ81</f>
        <v>0</v>
      </c>
      <c r="HJ81" s="521">
        <f t="shared" si="244"/>
        <v>0</v>
      </c>
      <c r="HK81" s="535">
        <f t="shared" si="245"/>
        <v>444.98107730844009</v>
      </c>
      <c r="HL81" s="535">
        <f t="shared" si="278"/>
        <v>145.03946457250328</v>
      </c>
      <c r="HM81" s="535"/>
      <c r="HN81" s="541"/>
      <c r="HO81" s="541"/>
      <c r="HP81" s="541"/>
      <c r="HQ81" s="541">
        <f>IF(AND(B81&gt;=$FV$4,B81&lt;=$FW$4),MAX(110/1.02+$HQ$6+MIN(113/1.02,G81),IF($HV$6-(Sheet1!DA79-Sheet1!DB79)+MIN(113/1.02,G81)&lt;G81+FL81,$HV$6-(Sheet1!DA79-Sheet1!DB79)+MIN(113/1.02,G81),G81+FL81)),MIN(110/1.02+$HQ$6+113/1.02,G81))</f>
        <v>218.62745098039215</v>
      </c>
      <c r="HR81" s="541">
        <f t="shared" si="297"/>
        <v>223</v>
      </c>
      <c r="HS81" s="541">
        <f>HR81+(Sheet1!DA79-Sheet1!DB79)</f>
        <v>1343</v>
      </c>
      <c r="HT81" s="541">
        <f t="shared" si="298"/>
        <v>64.912119999999987</v>
      </c>
      <c r="HU81" s="541">
        <f t="shared" si="299"/>
        <v>1278.08788</v>
      </c>
      <c r="HV81" s="541">
        <f t="shared" si="300"/>
        <v>0</v>
      </c>
      <c r="HW81" s="533" t="str">
        <f t="shared" si="301"/>
        <v/>
      </c>
      <c r="HX81" s="541">
        <f t="shared" si="302"/>
        <v>1521.372549019608</v>
      </c>
      <c r="HY81" s="541">
        <f>Sheet1!CZ79</f>
        <v>1740</v>
      </c>
      <c r="HZ81" s="541">
        <f t="shared" si="303"/>
        <v>0</v>
      </c>
      <c r="IA81" s="541">
        <f t="shared" si="304"/>
        <v>64.912119999999987</v>
      </c>
      <c r="IB81" s="541">
        <f t="shared" si="305"/>
        <v>1740</v>
      </c>
      <c r="IC81" s="1019" t="str">
        <f t="shared" si="306"/>
        <v/>
      </c>
      <c r="ID81" s="541">
        <f t="shared" si="307"/>
        <v>1675.08788</v>
      </c>
      <c r="IE81" s="541">
        <f>Sheet1!DB79</f>
        <v>1720</v>
      </c>
      <c r="IF81" s="533">
        <f>Sheet1!DA79</f>
        <v>2840</v>
      </c>
      <c r="IH81" s="541">
        <f>IF(AND($B81&gt;=$GC81,$B81&lt;=$GH81,$DR81&lt;0)+N("only adjusted when pool is drawn down during storage season"),Sheet1!$DB79+$DR81+N("Palmer minus all storage release"),Sheet1!$DB79)</f>
        <v>1720</v>
      </c>
      <c r="II81" s="541">
        <f>IF(AND($B81&gt;=$GC81,$B81&lt;=$GH81,$DR81&lt;0)+N("only adjusted when pool is drawn down during storage season"),Sheet1!$DA79+$DR81+N("Auburn minus all storage release"),Sheet1!$DA79)</f>
        <v>2840</v>
      </c>
    </row>
    <row r="82" spans="1:243" x14ac:dyDescent="0.25">
      <c r="A82" s="553" t="s">
        <v>3</v>
      </c>
      <c r="B82" s="531">
        <v>42806</v>
      </c>
      <c r="C82" s="536">
        <v>0</v>
      </c>
      <c r="D82" s="506">
        <f t="shared" si="247"/>
        <v>300</v>
      </c>
      <c r="E82" s="506">
        <f t="shared" si="248"/>
        <v>250</v>
      </c>
      <c r="F82" s="506">
        <v>250</v>
      </c>
      <c r="G82" s="535">
        <f>DR82+Sheet1!CZ80</f>
        <v>2601.6893595568872</v>
      </c>
      <c r="H82" s="1074">
        <f t="shared" si="281"/>
        <v>1171.67097472</v>
      </c>
      <c r="I82" s="534">
        <f>IF(Sheet1!DA80&gt;=E82,(Sheet1!DA80-E82+P82)*CFStoMGD,0)</f>
        <v>1727.57497472</v>
      </c>
      <c r="J82" s="995">
        <f>IF(Sheet1!DB80&gt;=D82,(Sheet1!DB80-D82+P82)*CFStoMGD,0)</f>
        <v>1171.67097472</v>
      </c>
      <c r="K82" s="818">
        <f t="shared" si="282"/>
        <v>64.64</v>
      </c>
      <c r="L82" s="535">
        <f>Sheet1!AA80+Sheet1!AB80-Sheet1!L80+(Sheet1!DA80-F82)*CFStoMGD-S82-T82-U82</f>
        <v>1662.9359999999999</v>
      </c>
      <c r="M82" s="535">
        <f t="shared" si="185"/>
        <v>1715.3666420579234</v>
      </c>
      <c r="N82" s="824">
        <f>IF(Sheet1!DA80&gt;=F82,MIN(113*CFStoMGD,MIN(MAX(L82,0),MAX(M82,0))),0)</f>
        <v>73.043199999999999</v>
      </c>
      <c r="O82" s="538">
        <f>Sheet1!AA80+Sheet1!AB80</f>
        <v>53.400000000000006</v>
      </c>
      <c r="P82" s="538">
        <f t="shared" si="186"/>
        <v>82.609800000000007</v>
      </c>
      <c r="Q82" s="812">
        <f t="shared" si="283"/>
        <v>42.52</v>
      </c>
      <c r="R82" s="812">
        <f t="shared" si="249"/>
        <v>10.887889775199421</v>
      </c>
      <c r="S82" s="812">
        <f t="shared" si="250"/>
        <v>10.88</v>
      </c>
      <c r="T82" s="812">
        <f t="shared" si="251"/>
        <v>53.76</v>
      </c>
      <c r="U82" s="812">
        <f t="shared" si="284"/>
        <v>0</v>
      </c>
      <c r="V82" s="812"/>
      <c r="W82" s="812">
        <f t="shared" si="252"/>
        <v>53.752110224800582</v>
      </c>
      <c r="X82" s="812">
        <f t="shared" si="253"/>
        <v>64.64</v>
      </c>
      <c r="Y82" s="812" t="str">
        <f t="shared" si="254"/>
        <v>FALSE</v>
      </c>
      <c r="Z82" s="812">
        <f t="shared" si="255"/>
        <v>53.400000000000006</v>
      </c>
      <c r="AA82" s="812">
        <f t="shared" si="256"/>
        <v>53.400000000000006</v>
      </c>
      <c r="AB82" s="1059">
        <f t="shared" si="285"/>
        <v>65.778440000000003</v>
      </c>
      <c r="AC82" s="538">
        <f>Sheet1!Y80*MGDtoCFS</f>
        <v>39.912599999999998</v>
      </c>
      <c r="AD82" s="538">
        <f>Sheet1!Z80*MGDtoCFS</f>
        <v>41.614299999999993</v>
      </c>
      <c r="AE82" s="538">
        <f>Sheet1!AA80*MGDtoCFS</f>
        <v>39.912599999999998</v>
      </c>
      <c r="AF82" s="538">
        <f>Sheet1!AB80*MGDtoCFS</f>
        <v>42.697200000000002</v>
      </c>
      <c r="AG82" s="538">
        <f>Sheet1!L80*MGDtoCFS</f>
        <v>0</v>
      </c>
      <c r="AH82" s="521">
        <f t="shared" si="187"/>
        <v>0</v>
      </c>
      <c r="AI82" s="1059">
        <f t="shared" si="188"/>
        <v>0</v>
      </c>
      <c r="AJ82" s="535">
        <f t="shared" si="189"/>
        <v>53.752110224800582</v>
      </c>
      <c r="AK82" s="535">
        <f t="shared" si="190"/>
        <v>83.154514517766501</v>
      </c>
      <c r="AL82" s="535">
        <f>(VLOOKUP(Sheet1!DC80,hhdcap_wcm,4)-(((VLOOKUP(Sheet1!DC80,hhdcap_wcm,3)-Sheet1!DC80)/(VLOOKUP(Sheet1!DC80,hhdcap_wcm,3)-VLOOKUP(Sheet1!DC80,hhdcap_wcm,1)))*(VLOOKUP(Sheet1!DC80,hhdcap_wcm,4)-VLOOKUP(Sheet1!DC80,hhdcap_wcm,2))))</f>
        <v>7605.0000000154841</v>
      </c>
      <c r="AM82" s="535">
        <f t="shared" si="191"/>
        <v>895.70000000130767</v>
      </c>
      <c r="AN82" s="1035">
        <f t="shared" si="192"/>
        <v>1350.9471437916541</v>
      </c>
      <c r="AO82" s="535">
        <f t="shared" si="193"/>
        <v>4144.7058371527946</v>
      </c>
      <c r="AP82" s="535">
        <f>Sheet1!BA80+Sheet1!BB80+Sheet1!BN80+CD82</f>
        <v>16.7</v>
      </c>
      <c r="AQ82" s="535">
        <f>Sheet1!BN80+(DO82*Sheet1!BN80)</f>
        <v>16.712110224800583</v>
      </c>
      <c r="AR82" s="535">
        <f>Sheet1!BA80+CD82</f>
        <v>0</v>
      </c>
      <c r="AS82" s="535">
        <f>Sheet1!BA80+Sheet1!BB80+CD82</f>
        <v>0</v>
      </c>
      <c r="AT82" s="649">
        <f>0</f>
        <v>0</v>
      </c>
      <c r="AU82" s="535">
        <f>IF(EB82&lt;K82,0,MAX(Sheet1!AA80+AQ82-15/36*K82-N82,Sheet1!EH80,0))</f>
        <v>0</v>
      </c>
      <c r="AV82" s="535">
        <f>IF(OR(B82&gt;=GD82,B82&lt;GC82),0,15/36*K82-MAX(0,64.6-(137.6-(Sheet1!AA80+Sheet1!AB80))))</f>
        <v>26.933333333333334</v>
      </c>
      <c r="AW82" s="1029"/>
      <c r="AX82" s="649"/>
      <c r="AY82" s="649">
        <f t="shared" si="286"/>
        <v>0</v>
      </c>
      <c r="AZ82" s="649">
        <f t="shared" si="287"/>
        <v>0</v>
      </c>
      <c r="BA82" s="1059">
        <f t="shared" si="288"/>
        <v>0</v>
      </c>
      <c r="BB82" s="1019">
        <f t="shared" si="194"/>
        <v>673.33333333333303</v>
      </c>
      <c r="BC82" s="1041">
        <f t="shared" si="289"/>
        <v>26.933333333333334</v>
      </c>
      <c r="BD82" s="1019">
        <f ca="1">IF(B82&gt;Summary!$A$1,#N/A,BB82*MGtoAF)</f>
        <v>2065.786666666666</v>
      </c>
      <c r="BE82" s="535">
        <f>Sheet1!BG80+Sheet1!BH80+Sheet1!BI80-BM82</f>
        <v>0.98</v>
      </c>
      <c r="BF82" s="535">
        <f t="shared" si="195"/>
        <v>0.98071065989847728</v>
      </c>
      <c r="BG82" s="535">
        <f>IF(Sheet1!EP80="FM",BM82,0)</f>
        <v>0</v>
      </c>
      <c r="BH82" s="535">
        <f t="shared" si="196"/>
        <v>0</v>
      </c>
      <c r="BI82" s="535">
        <f>IF(Sheet1!EP80="OTHER",BM82,0)</f>
        <v>0</v>
      </c>
      <c r="BJ82" s="535">
        <f t="shared" si="197"/>
        <v>0</v>
      </c>
      <c r="BK82" s="535">
        <f t="shared" si="198"/>
        <v>0.98</v>
      </c>
      <c r="BL82" s="535">
        <f t="shared" si="199"/>
        <v>0.98071065989847728</v>
      </c>
      <c r="BM82" s="535">
        <f>IF(OR(Sheet1!EP80="FM", Sheet1!EP80="OTHER"),SUM(Sheet1!BG80:'Sheet1'!BI80),0)</f>
        <v>0</v>
      </c>
      <c r="BN82" s="521">
        <f>IF(AND($B82&gt;=$FV82,$B82&lt;=$FW82),MAX(BF82,Sheet1!EI80,0),MAX(BF82-(7/36)*$K82,0))</f>
        <v>0</v>
      </c>
      <c r="BO82" s="535">
        <f t="shared" si="200"/>
        <v>11.588178228990412</v>
      </c>
      <c r="BP82" s="521">
        <f t="shared" si="201"/>
        <v>0.98071065989847728</v>
      </c>
      <c r="BQ82" s="521">
        <f>IF(AND($O82&gt;0,Sheet1!EM80=1),(1-($O82-Sheet1!$L80)/$O82)*BL82,0)</f>
        <v>0</v>
      </c>
      <c r="BR82" s="521">
        <f>IF(AND(Sheet1!$L80=0,Sheet1!$L79=0, Calculation!BK82&lt;Sheet1!$EI80-0.1,Sheet1!$EI80=Sheet1!$EI79,Sheet1!$EI80=Sheet1!$EI81),BL82-BQ82,BL82-BQ82)</f>
        <v>0.98071065989847728</v>
      </c>
      <c r="BS82" s="1035" t="str">
        <f t="shared" si="290"/>
        <v/>
      </c>
      <c r="BT82" s="1035">
        <f t="shared" si="291"/>
        <v>12.568888888888889</v>
      </c>
      <c r="BU82" s="535">
        <f t="shared" si="202"/>
        <v>288.19338871236209</v>
      </c>
      <c r="BV82" s="535"/>
      <c r="BW82" s="535">
        <f ca="1">IF(B82&gt;Summary!$A$1,#N/A,BU82*MGtoAF)</f>
        <v>884.17731656952697</v>
      </c>
      <c r="BX82" s="535">
        <f>Sheet1!BC80+Sheet1!BD80+Sheet1!BE80+Sheet1!BF80-CG82-CH82</f>
        <v>3.4000000000000004</v>
      </c>
      <c r="BY82" s="535">
        <f t="shared" si="203"/>
        <v>3.4024655547498193</v>
      </c>
      <c r="BZ82" s="535">
        <f>IF(Sheet1!EQ80="FM",CH82,0)</f>
        <v>0</v>
      </c>
      <c r="CA82" s="535">
        <f t="shared" si="204"/>
        <v>0</v>
      </c>
      <c r="CB82" s="535">
        <f>IF(Sheet1!EQ80="OTHER",CH82,0)</f>
        <v>0</v>
      </c>
      <c r="CC82" s="535">
        <f t="shared" si="205"/>
        <v>0</v>
      </c>
      <c r="CD82" s="535">
        <f t="shared" si="206"/>
        <v>0</v>
      </c>
      <c r="CE82" s="535">
        <f t="shared" si="207"/>
        <v>3.4000000000000004</v>
      </c>
      <c r="CF82" s="535">
        <f t="shared" si="208"/>
        <v>3.4024655547498193</v>
      </c>
      <c r="CG82" s="535">
        <f>IF(Sheet1!EQ80="CWA",SUM(Sheet1!BC80:'Sheet1'!BF80),0)</f>
        <v>0</v>
      </c>
      <c r="CH82" s="535">
        <f>IF(OR(Sheet1!EQ80="FM", Sheet1!EQ80="OTHER"),SUM(Sheet1!BC80:'Sheet1'!BF80),0)</f>
        <v>0</v>
      </c>
      <c r="CI82" s="521">
        <f>IF(AND($B82&gt;=$FV82,$B82&lt;=$FW82),MAX(CF82,Sheet1!EJ80,0),MAX(CF82-(7/36)*$K82,0))</f>
        <v>0</v>
      </c>
      <c r="CJ82" s="535">
        <f t="shared" si="209"/>
        <v>9.1664233341390702</v>
      </c>
      <c r="CK82" s="521">
        <f t="shared" si="210"/>
        <v>3.4024655547498193</v>
      </c>
      <c r="CL82" s="521">
        <f>IF(AND($O82&gt;0,Sheet1!EN80=1),(1-($O82-Sheet1!$L80)/$O82)*CF82,0)</f>
        <v>0</v>
      </c>
      <c r="CM82" s="521">
        <f>IF(AND(Sheet1!$L80=0,Sheet1!$L79=0, Calculation!CE82&lt;Sheet1!EJ80-0.1,Sheet1!EJ80=Sheet1!EJ79,Sheet1!EJ80=Sheet1!EJ81),CF82-CL82,CF82-CL82)</f>
        <v>3.4024655547498193</v>
      </c>
      <c r="CN82" s="1040" t="str">
        <f t="shared" si="292"/>
        <v/>
      </c>
      <c r="CO82" s="1035">
        <f t="shared" si="293"/>
        <v>12.568888888888889</v>
      </c>
      <c r="CP82" s="535">
        <f t="shared" si="211"/>
        <v>238.31678184511796</v>
      </c>
      <c r="CQ82" s="535"/>
      <c r="CR82" s="535">
        <f ca="1">IF(B82&gt;Summary!$A$1,#N/A,CP82*MGtoAF)</f>
        <v>731.15588670082195</v>
      </c>
      <c r="CS82" s="535">
        <f>Sheet1!BK80+Sheet1!BL80+Sheet1!BM80-Sheet1!ER80-DA82</f>
        <v>6.5</v>
      </c>
      <c r="CT82" s="535">
        <f t="shared" si="212"/>
        <v>6.5047135605511244</v>
      </c>
      <c r="CU82" s="535">
        <f>IF(Sheet1!ER80="FM",DA82,0)</f>
        <v>0</v>
      </c>
      <c r="CV82" s="535">
        <f t="shared" si="213"/>
        <v>0</v>
      </c>
      <c r="CW82" s="535">
        <f>IF(Sheet1!ER80="OTHER",DA82,0)</f>
        <v>0</v>
      </c>
      <c r="CX82" s="535">
        <f t="shared" si="214"/>
        <v>0</v>
      </c>
      <c r="CY82" s="535">
        <f t="shared" si="215"/>
        <v>6.5</v>
      </c>
      <c r="CZ82" s="535">
        <f t="shared" si="216"/>
        <v>6.5047135605511244</v>
      </c>
      <c r="DA82" s="535">
        <f>IF(OR(Sheet1!ER80="FM", Sheet1!ER80="OTHER"),SUM(Sheet1!BK80:'Sheet1'!BM80),0)</f>
        <v>0</v>
      </c>
      <c r="DB82" s="1011">
        <f>IF(AND($B82&gt;=$FV82,$B82&lt;=$FW82),MAX($CT82,Sheet1!EK80,0),MAX($CT82-(7/36)*$K82,0))</f>
        <v>0</v>
      </c>
      <c r="DC82" s="1012">
        <f t="shared" si="217"/>
        <v>6.0641753283377646</v>
      </c>
      <c r="DD82" s="1011">
        <f t="shared" si="218"/>
        <v>6.5047135605511244</v>
      </c>
      <c r="DE82" s="521">
        <f>IF(AND($O82&gt;0,Sheet1!EO80=1),(1-($O82-Sheet1!$L80)/$O82)*CZ82,0)</f>
        <v>0</v>
      </c>
      <c r="DF82" s="521">
        <f>IF(AND(Sheet1!$L80=0,Sheet1!$L79=0, Calculation!CY82&lt;Sheet1!$EK80-0.1,Sheet1!$EK80=Sheet1!$EK79,Sheet1!$EK80=Sheet1!$EK81),CZ82-DE82,CZ82-DE82)</f>
        <v>6.5047135605511244</v>
      </c>
      <c r="DG82" s="1040">
        <f t="shared" si="294"/>
        <v>12.568888888888889</v>
      </c>
      <c r="DH82" s="649">
        <f t="shared" si="219"/>
        <v>10.88</v>
      </c>
      <c r="DI82" s="535">
        <f t="shared" si="220"/>
        <v>151.10363990084105</v>
      </c>
      <c r="DJ82" s="649">
        <f t="shared" si="221"/>
        <v>10.887889775199421</v>
      </c>
      <c r="DK82" s="535">
        <f ca="1">IF(B82&gt;Summary!$A$1,#N/A,DI82*MGtoAF)</f>
        <v>463.58596721578033</v>
      </c>
      <c r="DL82" s="649">
        <f t="shared" si="222"/>
        <v>10.88</v>
      </c>
      <c r="DM82" s="535">
        <f t="shared" si="223"/>
        <v>27.58</v>
      </c>
      <c r="DN82" s="535">
        <f>Sheet1!AB80-DM82</f>
        <v>2.0000000000003126E-2</v>
      </c>
      <c r="DO82" s="743">
        <f t="shared" si="224"/>
        <v>7.2516316171149849E-4</v>
      </c>
      <c r="DP82" s="535">
        <f>(VLOOKUP(Sheet1!DC80,hhdcap_wcm,4)-(((VLOOKUP(Sheet1!DC80,hhdcap_wcm,3)-Sheet1!DC80)/(VLOOKUP(Sheet1!DC80,hhdcap_wcm,3)-VLOOKUP(Sheet1!DC80,hhdcap_wcm,1)))*(VLOOKUP(Sheet1!DC80,hhdcap_wcm,4)-VLOOKUP(Sheet1!DC80,hhdcap_wcm,2))))</f>
        <v>7605.0000000154841</v>
      </c>
      <c r="DQ82" s="535">
        <f t="shared" si="225"/>
        <v>895.70000000130767</v>
      </c>
      <c r="DR82" s="535">
        <f t="shared" si="226"/>
        <v>451.68935955688733</v>
      </c>
      <c r="DS82" s="535">
        <f>Sheet1!EA80*AFtoMG</f>
        <v>0</v>
      </c>
      <c r="DT82" s="535">
        <f>Sheet1!EB80*AFtoMG</f>
        <v>0</v>
      </c>
      <c r="DU82" s="535">
        <f>Sheet1!EC80*AFtoMG</f>
        <v>0</v>
      </c>
      <c r="DV82" s="535">
        <f>Sheet1!ED80*AFtoMG</f>
        <v>0</v>
      </c>
      <c r="DW82" s="535">
        <f t="shared" si="227"/>
        <v>0</v>
      </c>
      <c r="DX82" s="535">
        <f t="shared" si="228"/>
        <v>0</v>
      </c>
      <c r="DY82" s="535">
        <f t="shared" si="229"/>
        <v>1350.9471437916541</v>
      </c>
      <c r="DZ82" s="535">
        <f t="shared" si="230"/>
        <v>4144.7058371527946</v>
      </c>
      <c r="EA82" s="535"/>
      <c r="EB82" s="521">
        <f>IF(OR(B82&lt;FV82,B82&gt;FW82),(MIN(BF82+BY82+CT82+MAX(Sheet1!AA80+AQ82-73,0),K82)),0)</f>
        <v>10.887889775199421</v>
      </c>
      <c r="EC82" s="535"/>
      <c r="ED82" s="535">
        <f t="shared" si="231"/>
        <v>10.887889775199421</v>
      </c>
      <c r="EE82" s="535"/>
      <c r="EF82" s="535">
        <f>Sheet1!EH80+Sheet1!EI80+Sheet1!EJ80+Sheet1!EK80</f>
        <v>11</v>
      </c>
      <c r="EG82" s="1019">
        <f t="shared" si="295"/>
        <v>17.016999999999999</v>
      </c>
      <c r="EH82" s="521">
        <f t="shared" si="232"/>
        <v>0</v>
      </c>
      <c r="EI82" s="535">
        <f>IF(Sheet1!ET80=1,SUM('Calculations II'!AT82:BA82)+'Calculations II'!BC82+Sheet1!BV80+'Calculations II'!BE82+AP82,'Calculations II'!BK82)</f>
        <v>44.638244224800587</v>
      </c>
      <c r="EJ82" s="535">
        <f ca="1">EI82+'Calculations II'!D82+'Calculations II'!E82+'Calculations II'!O82</f>
        <v>41.699139899374828</v>
      </c>
      <c r="EK82" s="535"/>
      <c r="EL82" s="535"/>
      <c r="EM82" s="535">
        <f t="shared" si="233"/>
        <v>42806</v>
      </c>
      <c r="EN82" s="535">
        <f t="shared" si="234"/>
        <v>53.752110224800582</v>
      </c>
      <c r="EO82" s="535">
        <f t="shared" si="235"/>
        <v>83.154514517766501</v>
      </c>
      <c r="EP82" s="535">
        <v>0</v>
      </c>
      <c r="EQ82" s="535">
        <v>0</v>
      </c>
      <c r="ER82" s="535">
        <v>0</v>
      </c>
      <c r="ES82" s="521">
        <f t="shared" si="257"/>
        <v>2.7676452611227038</v>
      </c>
      <c r="ET82" s="535">
        <f>-(VLOOKUP(Sheet1!BQ80,Lookup!$O$4:$Q$262,2)-VLOOKUP(Sheet1!BQ79,Lookup!$O$4:$Q$262,2))/1000000</f>
        <v>1.3835984241019077</v>
      </c>
      <c r="EU82" s="535">
        <f>-(VLOOKUP(Sheet1!BR80,Lookup!$O$4:$Q$262,3)-VLOOKUP(Sheet1!BR79,Lookup!$O$4:$Q$262,3))/1000000</f>
        <v>1.3840468370207959</v>
      </c>
      <c r="EV82" s="535"/>
      <c r="EW82" s="535"/>
      <c r="EX82" s="535"/>
      <c r="EY82" s="535"/>
      <c r="EZ82" s="535"/>
      <c r="FA82" s="535"/>
      <c r="FB82" s="535"/>
      <c r="FC82" s="535"/>
      <c r="FD82" s="567" t="e">
        <f t="shared" si="236"/>
        <v>#N/A</v>
      </c>
      <c r="FE82" s="567" t="e">
        <f t="shared" si="237"/>
        <v>#N/A</v>
      </c>
      <c r="FF82" s="568" t="e">
        <f t="shared" si="238"/>
        <v>#N/A</v>
      </c>
      <c r="FG82" s="569" t="s">
        <v>656</v>
      </c>
      <c r="FH82" s="569" t="s">
        <v>656</v>
      </c>
      <c r="FI82" s="567" t="e">
        <v>#N/A</v>
      </c>
      <c r="FJ82" s="567" t="e">
        <v>#N/A</v>
      </c>
      <c r="FK82" s="535"/>
      <c r="FL82" s="1015">
        <v>0</v>
      </c>
      <c r="FM82" s="535"/>
      <c r="FN82" s="535"/>
      <c r="FO82" s="535">
        <f>O82+((Sheet1!CS80)*GPMtoMGD)</f>
        <v>53.400000000000006</v>
      </c>
      <c r="FP82" s="535">
        <f>IF(Sheet1!AA80+AQ82&lt;=Calculation!N82,AQ82,Calculation!N82-Sheet1!AA80)</f>
        <v>16.712110224800583</v>
      </c>
      <c r="FQ82" s="535">
        <f>(Sheet1!BP80+Sheet1!BO80)/694.4</f>
        <v>1.7171658986175118</v>
      </c>
      <c r="FR82" s="541"/>
      <c r="FS82" s="541"/>
      <c r="FT82" s="541"/>
      <c r="FU82" s="541"/>
      <c r="FV82" s="1109">
        <f t="shared" si="258"/>
        <v>42918</v>
      </c>
      <c r="FW82" s="1109">
        <f t="shared" si="259"/>
        <v>43027</v>
      </c>
      <c r="FX82" s="541"/>
      <c r="FY82" s="541">
        <f>Sheet1!DA80-Sheet1!CZ80-Sheet1!AE80</f>
        <v>607.39020000000005</v>
      </c>
      <c r="FZ82" s="535">
        <f t="shared" si="296"/>
        <v>0.23345992394090012</v>
      </c>
      <c r="GA82" s="535"/>
      <c r="GB82" s="535" t="str">
        <f t="shared" si="260"/>
        <v>n</v>
      </c>
      <c r="GC82" s="539">
        <f t="shared" si="261"/>
        <v>42782</v>
      </c>
      <c r="GD82" s="1109">
        <f t="shared" si="262"/>
        <v>42904</v>
      </c>
      <c r="GE82" s="535">
        <f t="shared" si="280"/>
        <v>6520</v>
      </c>
      <c r="GF82" s="1109">
        <f t="shared" si="263"/>
        <v>42909</v>
      </c>
      <c r="GG82" s="535">
        <f t="shared" ref="GG82:GG145" si="308">GG81</f>
        <v>3260</v>
      </c>
      <c r="GH82" s="539">
        <f t="shared" si="264"/>
        <v>43040</v>
      </c>
      <c r="GJ82" s="521">
        <f t="shared" si="265"/>
        <v>0</v>
      </c>
      <c r="GK82" s="535" t="str">
        <f t="shared" si="239"/>
        <v/>
      </c>
      <c r="GL82" s="535">
        <f t="shared" si="266"/>
        <v>0</v>
      </c>
      <c r="GM82" s="535" t="str">
        <f t="shared" si="267"/>
        <v/>
      </c>
      <c r="GN82" s="535">
        <f>IF(GK82="P",Lookup!$M$12,IF(GK82="PP",Lookup!$M$13,IF(GK82="PPP",Lookup!$M$14,IF(GK82="T",Lookup!$M$15,IF(GK82="TP",Lookup!$M$16,IF(GK82="TPP",Lookup!$M$17,IF(GK82="TPPP",Lookup!$M$18,0)))))))*GJ82</f>
        <v>0</v>
      </c>
      <c r="GO82" s="535">
        <f t="shared" si="268"/>
        <v>0</v>
      </c>
      <c r="GP82" s="535">
        <f t="shared" si="240"/>
        <v>2065.786666666666</v>
      </c>
      <c r="GQ82" s="535">
        <f t="shared" si="279"/>
        <v>673.33333333333303</v>
      </c>
      <c r="GR82" s="535"/>
      <c r="GS82" s="535">
        <f t="shared" si="269"/>
        <v>0</v>
      </c>
      <c r="GT82" s="535" t="str">
        <f t="shared" si="270"/>
        <v/>
      </c>
      <c r="GU82" s="535">
        <f>IF(GK82="P",Lookup!$N$12,IF(GK82="PP",Lookup!$N$13,IF(GK82="PPP",Lookup!$N$14,IF(GK82="T",Lookup!$N$15,IF(GK82="TP",Lookup!$N$16,IF(GK82="TPP",Lookup!$N$17,IF(GK82="TPPP",Lookup!$N$18,0)))))))*GJ82</f>
        <v>0</v>
      </c>
      <c r="GV82" s="535">
        <f t="shared" si="271"/>
        <v>0</v>
      </c>
      <c r="GW82" s="535">
        <f t="shared" si="241"/>
        <v>884.17731656952697</v>
      </c>
      <c r="GX82" s="535">
        <f t="shared" si="276"/>
        <v>288.19338871236209</v>
      </c>
      <c r="GY82" s="535"/>
      <c r="GZ82" s="535">
        <f t="shared" si="272"/>
        <v>0</v>
      </c>
      <c r="HA82" s="535" t="str">
        <f t="shared" si="273"/>
        <v/>
      </c>
      <c r="HB82" s="535">
        <f>IF(GK82="P",Lookup!$N$12,IF(GK82="PP",Lookup!$N$13,IF(GK82="PPP",Lookup!$N$14,IF(GK82="T",Lookup!$N$15,IF(GK82="TP",Lookup!$N$16,IF(GK82="TPP",Lookup!$N$17,IF(GK82="TPPP",Lookup!$N$18,0)))))))*GJ82</f>
        <v>0</v>
      </c>
      <c r="HC82" s="521">
        <f t="shared" si="242"/>
        <v>0</v>
      </c>
      <c r="HD82" s="535">
        <f t="shared" si="243"/>
        <v>731.15588670082195</v>
      </c>
      <c r="HE82" s="535">
        <f t="shared" si="277"/>
        <v>238.31678184511796</v>
      </c>
      <c r="HF82" s="535"/>
      <c r="HG82" s="535">
        <f t="shared" si="274"/>
        <v>0</v>
      </c>
      <c r="HH82" s="535" t="str">
        <f t="shared" si="275"/>
        <v/>
      </c>
      <c r="HI82" s="535">
        <f>IF(GK82="P",Lookup!$N$12,IF(GK82="PP",Lookup!$N$13,IF(GK82="PPP",Lookup!$N$14,IF(GK82="T",Lookup!$N$15,IF(GK82="TP",Lookup!$N$16,IF(GK82="TPP",Lookup!$N$17,IF(GK82="TPPP",Lookup!$N$18,0)))))))*GJ82</f>
        <v>0</v>
      </c>
      <c r="HJ82" s="521">
        <f t="shared" si="244"/>
        <v>0</v>
      </c>
      <c r="HK82" s="535">
        <f t="shared" si="245"/>
        <v>463.58596721578033</v>
      </c>
      <c r="HL82" s="535">
        <f t="shared" si="278"/>
        <v>151.10363990084105</v>
      </c>
      <c r="HM82" s="535"/>
      <c r="HN82" s="541"/>
      <c r="HO82" s="541"/>
      <c r="HP82" s="541"/>
      <c r="HQ82" s="541">
        <f>IF(AND(B82&gt;=$FV$4,B82&lt;=$FW$4),MAX(110/1.02+$HQ$6+MIN(113/1.02,G82),IF($HV$6-(Sheet1!DA80-Sheet1!DB80)+MIN(113/1.02,G82)&lt;G82+FL82,$HV$6-(Sheet1!DA80-Sheet1!DB80)+MIN(113/1.02,G82),G82+FL82)),MIN(110/1.02+$HQ$6+113/1.02,G82))</f>
        <v>218.62745098039215</v>
      </c>
      <c r="HR82" s="541">
        <f t="shared" si="297"/>
        <v>223</v>
      </c>
      <c r="HS82" s="541">
        <f>HR82+(Sheet1!DA80-Sheet1!DB80)</f>
        <v>1033</v>
      </c>
      <c r="HT82" s="541">
        <f t="shared" si="298"/>
        <v>65.778440000000003</v>
      </c>
      <c r="HU82" s="541">
        <f t="shared" si="299"/>
        <v>967.22155999999995</v>
      </c>
      <c r="HV82" s="541">
        <f t="shared" si="300"/>
        <v>0</v>
      </c>
      <c r="HW82" s="533" t="str">
        <f t="shared" si="301"/>
        <v/>
      </c>
      <c r="HX82" s="541">
        <f t="shared" si="302"/>
        <v>1931.372549019608</v>
      </c>
      <c r="HY82" s="541">
        <f>Sheet1!CZ80</f>
        <v>2150</v>
      </c>
      <c r="HZ82" s="541">
        <f t="shared" si="303"/>
        <v>0</v>
      </c>
      <c r="IA82" s="541">
        <f t="shared" si="304"/>
        <v>65.778440000000003</v>
      </c>
      <c r="IB82" s="541">
        <f t="shared" si="305"/>
        <v>2150</v>
      </c>
      <c r="IC82" s="1019" t="str">
        <f t="shared" si="306"/>
        <v/>
      </c>
      <c r="ID82" s="541">
        <f t="shared" si="307"/>
        <v>2084.22156</v>
      </c>
      <c r="IE82" s="541">
        <f>Sheet1!DB80</f>
        <v>2030</v>
      </c>
      <c r="IF82" s="533">
        <f>Sheet1!DA80</f>
        <v>2840</v>
      </c>
      <c r="IH82" s="541">
        <f>IF(AND($B82&gt;=$GC82,$B82&lt;=$GH82,$DR82&lt;0)+N("only adjusted when pool is drawn down during storage season"),Sheet1!$DB80+$DR82+N("Palmer minus all storage release"),Sheet1!$DB80)</f>
        <v>2030</v>
      </c>
      <c r="II82" s="541">
        <f>IF(AND($B82&gt;=$GC82,$B82&lt;=$GH82,$DR82&lt;0)+N("only adjusted when pool is drawn down during storage season"),Sheet1!$DA80+$DR82+N("Auburn minus all storage release"),Sheet1!$DA80)</f>
        <v>2840</v>
      </c>
    </row>
    <row r="83" spans="1:243" x14ac:dyDescent="0.25">
      <c r="A83" s="553" t="s">
        <v>4</v>
      </c>
      <c r="B83" s="531">
        <v>42807</v>
      </c>
      <c r="C83" s="536">
        <v>0</v>
      </c>
      <c r="D83" s="506">
        <f t="shared" si="247"/>
        <v>300</v>
      </c>
      <c r="E83" s="506">
        <f t="shared" si="248"/>
        <v>250</v>
      </c>
      <c r="F83" s="506">
        <v>250</v>
      </c>
      <c r="G83" s="535">
        <f>DR83+Sheet1!CZ81</f>
        <v>3574.6091780143088</v>
      </c>
      <c r="H83" s="1074">
        <f t="shared" si="281"/>
        <v>1773.22296704</v>
      </c>
      <c r="I83" s="534">
        <f>IF(Sheet1!DA81&gt;=E83,(Sheet1!DA81-E83+P83)*CFStoMGD,0)</f>
        <v>3014.3109670399999</v>
      </c>
      <c r="J83" s="995">
        <f>IF(Sheet1!DB81&gt;=D83,(Sheet1!DB81-D83+P83)*CFStoMGD,0)</f>
        <v>1773.22296704</v>
      </c>
      <c r="K83" s="818">
        <f t="shared" si="282"/>
        <v>64.64</v>
      </c>
      <c r="L83" s="535">
        <f>Sheet1!AA81+Sheet1!AB81-Sheet1!L81+(Sheet1!DA81-F83)*CFStoMGD-S83-T83-U83</f>
        <v>2949.672</v>
      </c>
      <c r="M83" s="535">
        <f t="shared" si="185"/>
        <v>2356.8399201218181</v>
      </c>
      <c r="N83" s="824">
        <f>IF(Sheet1!DA81&gt;=F83,MIN(113*CFStoMGD,MIN(MAX(L83,0),MAX(M83,0))),0)</f>
        <v>73.043199999999999</v>
      </c>
      <c r="O83" s="538">
        <f>Sheet1!AA81+Sheet1!AB81</f>
        <v>53.8</v>
      </c>
      <c r="P83" s="538">
        <f t="shared" si="186"/>
        <v>83.2286</v>
      </c>
      <c r="Q83" s="812">
        <f t="shared" si="283"/>
        <v>43.08</v>
      </c>
      <c r="R83" s="812">
        <f t="shared" si="249"/>
        <v>10.786953504510755</v>
      </c>
      <c r="S83" s="812">
        <f t="shared" si="250"/>
        <v>10.719999999999999</v>
      </c>
      <c r="T83" s="812">
        <f t="shared" si="251"/>
        <v>53.92</v>
      </c>
      <c r="U83" s="812">
        <f t="shared" si="284"/>
        <v>0</v>
      </c>
      <c r="V83" s="812"/>
      <c r="W83" s="812">
        <f t="shared" si="252"/>
        <v>53.853046495489245</v>
      </c>
      <c r="X83" s="812">
        <f t="shared" si="253"/>
        <v>64.64</v>
      </c>
      <c r="Y83" s="812" t="str">
        <f t="shared" si="254"/>
        <v>FALSE</v>
      </c>
      <c r="Z83" s="812">
        <f t="shared" si="255"/>
        <v>53.8</v>
      </c>
      <c r="AA83" s="812">
        <f t="shared" si="256"/>
        <v>53.8</v>
      </c>
      <c r="AB83" s="1059">
        <f t="shared" si="285"/>
        <v>66.644759999999991</v>
      </c>
      <c r="AC83" s="538">
        <f>Sheet1!Y81*MGDtoCFS</f>
        <v>39.912599999999998</v>
      </c>
      <c r="AD83" s="538">
        <f>Sheet1!Z81*MGDtoCFS</f>
        <v>42.697200000000002</v>
      </c>
      <c r="AE83" s="538">
        <f>Sheet1!AA81*MGDtoCFS</f>
        <v>38.365600000000001</v>
      </c>
      <c r="AF83" s="538">
        <f>Sheet1!AB81*MGDtoCFS</f>
        <v>44.863</v>
      </c>
      <c r="AG83" s="538">
        <f>Sheet1!L81*MGDtoCFS</f>
        <v>0</v>
      </c>
      <c r="AH83" s="521">
        <f t="shared" si="187"/>
        <v>0</v>
      </c>
      <c r="AI83" s="1059">
        <f t="shared" si="188"/>
        <v>0</v>
      </c>
      <c r="AJ83" s="535">
        <f t="shared" si="189"/>
        <v>53.853046495489245</v>
      </c>
      <c r="AK83" s="535">
        <f t="shared" si="190"/>
        <v>83.310662928521865</v>
      </c>
      <c r="AL83" s="535">
        <f>(VLOOKUP(Sheet1!DC81,hhdcap_wcm,4)-(((VLOOKUP(Sheet1!DC81,hhdcap_wcm,3)-Sheet1!DC81)/(VLOOKUP(Sheet1!DC81,hhdcap_wcm,3)-VLOOKUP(Sheet1!DC81,hhdcap_wcm,1)))*(VLOOKUP(Sheet1!DC81,hhdcap_wcm,4)-VLOOKUP(Sheet1!DC81,hhdcap_wcm,2))))</f>
        <v>8447.0000000178588</v>
      </c>
      <c r="AM83" s="535">
        <f t="shared" si="191"/>
        <v>842.00000000237469</v>
      </c>
      <c r="AN83" s="1035">
        <f t="shared" si="192"/>
        <v>1404.8001902871433</v>
      </c>
      <c r="AO83" s="535">
        <f t="shared" si="193"/>
        <v>4309.9269838009559</v>
      </c>
      <c r="AP83" s="535">
        <f>Sheet1!BA81+Sheet1!BB81+Sheet1!BN81+CD83</f>
        <v>18.100000000000001</v>
      </c>
      <c r="AQ83" s="535">
        <f>Sheet1!BN81+(DO83*Sheet1!BN81)</f>
        <v>18.213046495489245</v>
      </c>
      <c r="AR83" s="535">
        <f>Sheet1!BA81+CD83</f>
        <v>0</v>
      </c>
      <c r="AS83" s="535">
        <f>Sheet1!BA81+Sheet1!BB81+CD83</f>
        <v>0</v>
      </c>
      <c r="AT83" s="649">
        <f>0</f>
        <v>0</v>
      </c>
      <c r="AU83" s="535">
        <f>IF(EB83&lt;K83,0,MAX(Sheet1!AA81+AQ83-15/36*K83-N83,Sheet1!EH81,0))</f>
        <v>0</v>
      </c>
      <c r="AV83" s="535">
        <f>IF(OR(B83&gt;=GD83,B83&lt;GC83),0,15/36*K83-MAX(0,64.6-(137.6-(Sheet1!AA81+Sheet1!AB81))))</f>
        <v>26.933333333333334</v>
      </c>
      <c r="AW83" s="1029"/>
      <c r="AX83" s="649"/>
      <c r="AY83" s="649">
        <f t="shared" si="286"/>
        <v>0</v>
      </c>
      <c r="AZ83" s="649">
        <f t="shared" si="287"/>
        <v>0</v>
      </c>
      <c r="BA83" s="1059">
        <f t="shared" si="288"/>
        <v>0</v>
      </c>
      <c r="BB83" s="1019">
        <f t="shared" si="194"/>
        <v>700.26666666666631</v>
      </c>
      <c r="BC83" s="1041">
        <f t="shared" si="289"/>
        <v>26.933333333333334</v>
      </c>
      <c r="BD83" s="1019">
        <f ca="1">IF(B83&gt;Summary!$A$1,#N/A,BB83*MGtoAF)</f>
        <v>2148.4181333333322</v>
      </c>
      <c r="BE83" s="535">
        <f>Sheet1!BG81+Sheet1!BH81+Sheet1!BI81-BM83</f>
        <v>1.02</v>
      </c>
      <c r="BF83" s="535">
        <f t="shared" si="195"/>
        <v>1.0263705759888966</v>
      </c>
      <c r="BG83" s="535">
        <f>IF(Sheet1!EP81="FM",BM83,0)</f>
        <v>0</v>
      </c>
      <c r="BH83" s="535">
        <f t="shared" si="196"/>
        <v>0</v>
      </c>
      <c r="BI83" s="535">
        <f>IF(Sheet1!EP81="OTHER",BM83,0)</f>
        <v>0</v>
      </c>
      <c r="BJ83" s="535">
        <f t="shared" si="197"/>
        <v>0</v>
      </c>
      <c r="BK83" s="535">
        <f t="shared" si="198"/>
        <v>1.02</v>
      </c>
      <c r="BL83" s="535">
        <f t="shared" si="199"/>
        <v>1.0263705759888966</v>
      </c>
      <c r="BM83" s="535">
        <f>IF(OR(Sheet1!EP81="FM", Sheet1!EP81="OTHER"),SUM(Sheet1!BG81:'Sheet1'!BI81),0)</f>
        <v>0</v>
      </c>
      <c r="BN83" s="521">
        <f>IF(AND($B83&gt;=$FV83,$B83&lt;=$FW83),MAX(BF83,Sheet1!EI81,0),MAX(BF83-(7/36)*$K83,0))</f>
        <v>0</v>
      </c>
      <c r="BO83" s="535">
        <f t="shared" si="200"/>
        <v>11.542518312899993</v>
      </c>
      <c r="BP83" s="521">
        <f t="shared" si="201"/>
        <v>1.0263705759888966</v>
      </c>
      <c r="BQ83" s="521">
        <f>IF(AND($O83&gt;0,Sheet1!EM81=1),(1-($O83-Sheet1!$L81)/$O83)*BL83,0)</f>
        <v>0</v>
      </c>
      <c r="BR83" s="521">
        <f>IF(AND(Sheet1!$L81=0,Sheet1!$L80=0, Calculation!BK83&lt;Sheet1!$EI81-0.1,Sheet1!$EI81=Sheet1!$EI80,Sheet1!$EI81=Sheet1!$EI82),BL83-BQ83,BL83-BQ83)</f>
        <v>1.0263705759888966</v>
      </c>
      <c r="BS83" s="1035" t="str">
        <f t="shared" si="290"/>
        <v/>
      </c>
      <c r="BT83" s="1035">
        <f t="shared" si="291"/>
        <v>12.568888888888889</v>
      </c>
      <c r="BU83" s="535">
        <f t="shared" si="202"/>
        <v>299.73590702526207</v>
      </c>
      <c r="BV83" s="535"/>
      <c r="BW83" s="535">
        <f ca="1">IF(B83&gt;Summary!$A$1,#N/A,BU83*MGtoAF)</f>
        <v>919.58976275350403</v>
      </c>
      <c r="BX83" s="535">
        <f>Sheet1!BC81+Sheet1!BD81+Sheet1!BE81+Sheet1!BF81-CG83-CH83</f>
        <v>3.51</v>
      </c>
      <c r="BY83" s="535">
        <f t="shared" si="203"/>
        <v>3.531922276197085</v>
      </c>
      <c r="BZ83" s="535">
        <f>IF(Sheet1!EQ81="FM",CH83,0)</f>
        <v>0</v>
      </c>
      <c r="CA83" s="535">
        <f t="shared" si="204"/>
        <v>0</v>
      </c>
      <c r="CB83" s="535">
        <f>IF(Sheet1!EQ81="OTHER",CH83,0)</f>
        <v>0</v>
      </c>
      <c r="CC83" s="535">
        <f t="shared" si="205"/>
        <v>0</v>
      </c>
      <c r="CD83" s="535">
        <f t="shared" si="206"/>
        <v>0</v>
      </c>
      <c r="CE83" s="535">
        <f t="shared" si="207"/>
        <v>3.51</v>
      </c>
      <c r="CF83" s="535">
        <f t="shared" si="208"/>
        <v>3.531922276197085</v>
      </c>
      <c r="CG83" s="535">
        <f>IF(Sheet1!EQ81="CWA",SUM(Sheet1!BC81:'Sheet1'!BF81),0)</f>
        <v>0</v>
      </c>
      <c r="CH83" s="535">
        <f>IF(OR(Sheet1!EQ81="FM", Sheet1!EQ81="OTHER"),SUM(Sheet1!BC81:'Sheet1'!BF81),0)</f>
        <v>0</v>
      </c>
      <c r="CI83" s="521">
        <f>IF(AND($B83&gt;=$FV83,$B83&lt;=$FW83),MAX(CF83,Sheet1!EJ81,0),MAX(CF83-(7/36)*$K83,0))</f>
        <v>0</v>
      </c>
      <c r="CJ83" s="535">
        <f t="shared" si="209"/>
        <v>9.0369666126918045</v>
      </c>
      <c r="CK83" s="521">
        <f t="shared" si="210"/>
        <v>3.531922276197085</v>
      </c>
      <c r="CL83" s="521">
        <f>IF(AND($O83&gt;0,Sheet1!EN81=1),(1-($O83-Sheet1!$L81)/$O83)*CF83,0)</f>
        <v>0</v>
      </c>
      <c r="CM83" s="521">
        <f>IF(AND(Sheet1!$L81=0,Sheet1!$L80=0, Calculation!CE83&lt;Sheet1!EJ81-0.1,Sheet1!EJ81=Sheet1!EJ80,Sheet1!EJ81=Sheet1!EJ82),CF83-CL83,CF83-CL83)</f>
        <v>3.531922276197085</v>
      </c>
      <c r="CN83" s="1040" t="str">
        <f t="shared" si="292"/>
        <v/>
      </c>
      <c r="CO83" s="1035">
        <f t="shared" si="293"/>
        <v>12.568888888888889</v>
      </c>
      <c r="CP83" s="535">
        <f t="shared" si="211"/>
        <v>247.35374845780976</v>
      </c>
      <c r="CQ83" s="535"/>
      <c r="CR83" s="535">
        <f ca="1">IF(B83&gt;Summary!$A$1,#N/A,CP83*MGtoAF)</f>
        <v>758.88130026856038</v>
      </c>
      <c r="CS83" s="535">
        <f>Sheet1!BK81+Sheet1!BL81+Sheet1!BM81-Sheet1!ER81-DA83</f>
        <v>6.1899999999999995</v>
      </c>
      <c r="CT83" s="535">
        <f t="shared" si="212"/>
        <v>6.2286606523247743</v>
      </c>
      <c r="CU83" s="535">
        <f>IF(Sheet1!ER81="FM",DA83,0)</f>
        <v>0</v>
      </c>
      <c r="CV83" s="535">
        <f t="shared" si="213"/>
        <v>0</v>
      </c>
      <c r="CW83" s="535">
        <f>IF(Sheet1!ER81="OTHER",DA83,0)</f>
        <v>0</v>
      </c>
      <c r="CX83" s="535">
        <f t="shared" si="214"/>
        <v>0</v>
      </c>
      <c r="CY83" s="535">
        <f t="shared" si="215"/>
        <v>6.1899999999999995</v>
      </c>
      <c r="CZ83" s="535">
        <f t="shared" si="216"/>
        <v>6.2286606523247743</v>
      </c>
      <c r="DA83" s="535">
        <f>IF(OR(Sheet1!ER81="FM", Sheet1!ER81="OTHER"),SUM(Sheet1!BK81:'Sheet1'!BM81),0)</f>
        <v>0</v>
      </c>
      <c r="DB83" s="1011">
        <f>IF(AND($B83&gt;=$FV83,$B83&lt;=$FW83),MAX($CT83,Sheet1!EK81,0),MAX($CT83-(7/36)*$K83,0))</f>
        <v>0</v>
      </c>
      <c r="DC83" s="1012">
        <f t="shared" si="217"/>
        <v>6.3402282365641147</v>
      </c>
      <c r="DD83" s="1011">
        <f t="shared" si="218"/>
        <v>6.2286606523247743</v>
      </c>
      <c r="DE83" s="521">
        <f>IF(AND($O83&gt;0,Sheet1!EO81=1),(1-($O83-Sheet1!$L81)/$O83)*CZ83,0)</f>
        <v>0</v>
      </c>
      <c r="DF83" s="521">
        <f>IF(AND(Sheet1!$L81=0,Sheet1!$L80=0, Calculation!CY83&lt;Sheet1!$EK81-0.1,Sheet1!$EK81=Sheet1!$EK80,Sheet1!$EK81=Sheet1!$EK82),CZ83-DE83,CZ83-DE83)</f>
        <v>6.2286606523247743</v>
      </c>
      <c r="DG83" s="1040">
        <f t="shared" si="294"/>
        <v>12.568888888888889</v>
      </c>
      <c r="DH83" s="649">
        <f t="shared" si="219"/>
        <v>10.719999999999999</v>
      </c>
      <c r="DI83" s="535">
        <f t="shared" si="220"/>
        <v>157.44386813740516</v>
      </c>
      <c r="DJ83" s="649">
        <f t="shared" si="221"/>
        <v>10.786953504510755</v>
      </c>
      <c r="DK83" s="535">
        <f ca="1">IF(B83&gt;Summary!$A$1,#N/A,DI83*MGtoAF)</f>
        <v>483.03778744555905</v>
      </c>
      <c r="DL83" s="649">
        <f t="shared" si="222"/>
        <v>10.719999999999999</v>
      </c>
      <c r="DM83" s="535">
        <f t="shared" si="223"/>
        <v>28.82</v>
      </c>
      <c r="DN83" s="535">
        <f>Sheet1!AB81-DM83</f>
        <v>0.17999999999999972</v>
      </c>
      <c r="DO83" s="743">
        <f t="shared" si="224"/>
        <v>6.2456627342123427E-3</v>
      </c>
      <c r="DP83" s="535">
        <f>(VLOOKUP(Sheet1!DC81,hhdcap_wcm,4)-(((VLOOKUP(Sheet1!DC81,hhdcap_wcm,3)-Sheet1!DC81)/(VLOOKUP(Sheet1!DC81,hhdcap_wcm,3)-VLOOKUP(Sheet1!DC81,hhdcap_wcm,1)))*(VLOOKUP(Sheet1!DC81,hhdcap_wcm,4)-VLOOKUP(Sheet1!DC81,hhdcap_wcm,2))))</f>
        <v>8447.0000000178588</v>
      </c>
      <c r="DQ83" s="535">
        <f t="shared" si="225"/>
        <v>842.00000000237469</v>
      </c>
      <c r="DR83" s="535">
        <f t="shared" si="226"/>
        <v>424.6091780143089</v>
      </c>
      <c r="DS83" s="535">
        <f>Sheet1!EA81*AFtoMG</f>
        <v>0</v>
      </c>
      <c r="DT83" s="535">
        <f>Sheet1!EB81*AFtoMG</f>
        <v>0</v>
      </c>
      <c r="DU83" s="535">
        <f>Sheet1!EC81*AFtoMG</f>
        <v>0</v>
      </c>
      <c r="DV83" s="535">
        <f>Sheet1!ED81*AFtoMG</f>
        <v>0</v>
      </c>
      <c r="DW83" s="535">
        <f t="shared" si="227"/>
        <v>0</v>
      </c>
      <c r="DX83" s="535">
        <f t="shared" si="228"/>
        <v>0</v>
      </c>
      <c r="DY83" s="535">
        <f t="shared" si="229"/>
        <v>1404.8001902871433</v>
      </c>
      <c r="DZ83" s="535">
        <f t="shared" si="230"/>
        <v>4309.9269838009559</v>
      </c>
      <c r="EA83" s="535"/>
      <c r="EB83" s="521">
        <f>IF(OR(B83&lt;FV83,B83&gt;FW83),(MIN(BF83+BY83+CT83+MAX(Sheet1!AA81+AQ83-73,0),K83)),0)</f>
        <v>10.786953504510755</v>
      </c>
      <c r="EC83" s="535"/>
      <c r="ED83" s="535">
        <f t="shared" si="231"/>
        <v>10.786953504510755</v>
      </c>
      <c r="EE83" s="535"/>
      <c r="EF83" s="535">
        <f>Sheet1!EH81+Sheet1!EI81+Sheet1!EJ81+Sheet1!EK81</f>
        <v>11</v>
      </c>
      <c r="EG83" s="1019">
        <f t="shared" si="295"/>
        <v>17.016999999999999</v>
      </c>
      <c r="EH83" s="521">
        <f t="shared" si="232"/>
        <v>0</v>
      </c>
      <c r="EI83" s="535">
        <f>IF(Sheet1!ET81=1,SUM('Calculations II'!AT83:BA83)+'Calculations II'!BC83+Sheet1!BV81+'Calculations II'!BE83+AP83,'Calculations II'!BK83)</f>
        <v>44.077934495489245</v>
      </c>
      <c r="EJ83" s="535">
        <f ca="1">EI83+'Calculations II'!D83+'Calculations II'!E83+'Calculations II'!O83</f>
        <v>43.927997502248438</v>
      </c>
      <c r="EK83" s="535"/>
      <c r="EL83" s="535"/>
      <c r="EM83" s="535">
        <f t="shared" si="233"/>
        <v>42807</v>
      </c>
      <c r="EN83" s="535">
        <f t="shared" si="234"/>
        <v>53.853046495489245</v>
      </c>
      <c r="EO83" s="535">
        <f t="shared" si="235"/>
        <v>83.310662928521865</v>
      </c>
      <c r="EP83" s="535">
        <v>0</v>
      </c>
      <c r="EQ83" s="535">
        <v>0</v>
      </c>
      <c r="ER83" s="535">
        <v>0</v>
      </c>
      <c r="ES83" s="521">
        <f t="shared" si="257"/>
        <v>0.41505710898636655</v>
      </c>
      <c r="ET83" s="535">
        <f>-(VLOOKUP(Sheet1!BQ81,Lookup!$O$4:$Q$262,2)-VLOOKUP(Sheet1!BQ80,Lookup!$O$4:$Q$262,2))/1000000</f>
        <v>0.13832461443750188</v>
      </c>
      <c r="EU83" s="535">
        <f>-(VLOOKUP(Sheet1!BR81,Lookup!$O$4:$Q$262,3)-VLOOKUP(Sheet1!BR80,Lookup!$O$4:$Q$262,3))/1000000</f>
        <v>0.27673249454886467</v>
      </c>
      <c r="EV83" s="535"/>
      <c r="EW83" s="535"/>
      <c r="EX83" s="535"/>
      <c r="EY83" s="535"/>
      <c r="EZ83" s="535"/>
      <c r="FA83" s="535"/>
      <c r="FB83" s="535"/>
      <c r="FC83" s="535"/>
      <c r="FD83" s="567" t="e">
        <f t="shared" si="236"/>
        <v>#N/A</v>
      </c>
      <c r="FE83" s="567" t="e">
        <f t="shared" si="237"/>
        <v>#N/A</v>
      </c>
      <c r="FF83" s="568" t="e">
        <f t="shared" si="238"/>
        <v>#N/A</v>
      </c>
      <c r="FG83" s="569" t="s">
        <v>656</v>
      </c>
      <c r="FH83" s="569" t="s">
        <v>656</v>
      </c>
      <c r="FI83" s="567" t="e">
        <v>#N/A</v>
      </c>
      <c r="FJ83" s="567" t="e">
        <v>#N/A</v>
      </c>
      <c r="FK83" s="535"/>
      <c r="FL83" s="1015">
        <v>0</v>
      </c>
      <c r="FM83" s="535"/>
      <c r="FN83" s="535"/>
      <c r="FO83" s="535">
        <f>O83+((Sheet1!CS81)*GPMtoMGD)</f>
        <v>53.8</v>
      </c>
      <c r="FP83" s="535">
        <f>IF(Sheet1!AA81+AQ83&lt;=Calculation!N83,AQ83,Calculation!N83-Sheet1!AA81)</f>
        <v>18.213046495489245</v>
      </c>
      <c r="FQ83" s="535">
        <f>(Sheet1!BP81+Sheet1!BO81)/694.4</f>
        <v>1.2004608294930876</v>
      </c>
      <c r="FR83" s="541"/>
      <c r="FS83" s="541"/>
      <c r="FT83" s="541"/>
      <c r="FU83" s="541"/>
      <c r="FV83" s="1109">
        <f t="shared" si="258"/>
        <v>42918</v>
      </c>
      <c r="FW83" s="1109">
        <f t="shared" si="259"/>
        <v>43027</v>
      </c>
      <c r="FX83" s="541"/>
      <c r="FY83" s="541">
        <f>Sheet1!DA81-Sheet1!CZ81-Sheet1!AE81</f>
        <v>1596.7714000000001</v>
      </c>
      <c r="FZ83" s="535">
        <f t="shared" si="296"/>
        <v>0.44669817607501494</v>
      </c>
      <c r="GA83" s="535"/>
      <c r="GB83" s="535" t="str">
        <f t="shared" si="260"/>
        <v>n</v>
      </c>
      <c r="GC83" s="539">
        <f t="shared" si="261"/>
        <v>42782</v>
      </c>
      <c r="GD83" s="1109">
        <f t="shared" si="262"/>
        <v>42904</v>
      </c>
      <c r="GE83" s="535">
        <f t="shared" si="280"/>
        <v>6520</v>
      </c>
      <c r="GF83" s="1109">
        <f t="shared" si="263"/>
        <v>42909</v>
      </c>
      <c r="GG83" s="535">
        <f t="shared" si="308"/>
        <v>3260</v>
      </c>
      <c r="GH83" s="539">
        <f t="shared" si="264"/>
        <v>43040</v>
      </c>
      <c r="GJ83" s="521">
        <f t="shared" si="265"/>
        <v>0</v>
      </c>
      <c r="GK83" s="535" t="str">
        <f t="shared" si="239"/>
        <v/>
      </c>
      <c r="GL83" s="535">
        <f t="shared" si="266"/>
        <v>0</v>
      </c>
      <c r="GM83" s="535" t="str">
        <f t="shared" si="267"/>
        <v/>
      </c>
      <c r="GN83" s="535">
        <f>IF(GK83="P",Lookup!$M$12,IF(GK83="PP",Lookup!$M$13,IF(GK83="PPP",Lookup!$M$14,IF(GK83="T",Lookup!$M$15,IF(GK83="TP",Lookup!$M$16,IF(GK83="TPP",Lookup!$M$17,IF(GK83="TPPP",Lookup!$M$18,0)))))))*GJ83</f>
        <v>0</v>
      </c>
      <c r="GO83" s="535">
        <f t="shared" si="268"/>
        <v>0</v>
      </c>
      <c r="GP83" s="535">
        <f t="shared" si="240"/>
        <v>2148.4181333333322</v>
      </c>
      <c r="GQ83" s="535">
        <f t="shared" si="279"/>
        <v>700.26666666666631</v>
      </c>
      <c r="GR83" s="535"/>
      <c r="GS83" s="535">
        <f t="shared" si="269"/>
        <v>0</v>
      </c>
      <c r="GT83" s="535" t="str">
        <f t="shared" si="270"/>
        <v/>
      </c>
      <c r="GU83" s="535">
        <f>IF(GK83="P",Lookup!$N$12,IF(GK83="PP",Lookup!$N$13,IF(GK83="PPP",Lookup!$N$14,IF(GK83="T",Lookup!$N$15,IF(GK83="TP",Lookup!$N$16,IF(GK83="TPP",Lookup!$N$17,IF(GK83="TPPP",Lookup!$N$18,0)))))))*GJ83</f>
        <v>0</v>
      </c>
      <c r="GV83" s="535">
        <f t="shared" si="271"/>
        <v>0</v>
      </c>
      <c r="GW83" s="535">
        <f t="shared" si="241"/>
        <v>919.58976275350403</v>
      </c>
      <c r="GX83" s="535">
        <f t="shared" si="276"/>
        <v>299.73590702526207</v>
      </c>
      <c r="GY83" s="535"/>
      <c r="GZ83" s="535">
        <f t="shared" si="272"/>
        <v>0</v>
      </c>
      <c r="HA83" s="535" t="str">
        <f t="shared" si="273"/>
        <v/>
      </c>
      <c r="HB83" s="535">
        <f>IF(GK83="P",Lookup!$N$12,IF(GK83="PP",Lookup!$N$13,IF(GK83="PPP",Lookup!$N$14,IF(GK83="T",Lookup!$N$15,IF(GK83="TP",Lookup!$N$16,IF(GK83="TPP",Lookup!$N$17,IF(GK83="TPPP",Lookup!$N$18,0)))))))*GJ83</f>
        <v>0</v>
      </c>
      <c r="HC83" s="521">
        <f t="shared" si="242"/>
        <v>0</v>
      </c>
      <c r="HD83" s="535">
        <f t="shared" si="243"/>
        <v>758.88130026856038</v>
      </c>
      <c r="HE83" s="535">
        <f t="shared" si="277"/>
        <v>247.35374845780976</v>
      </c>
      <c r="HF83" s="535"/>
      <c r="HG83" s="535">
        <f t="shared" si="274"/>
        <v>0</v>
      </c>
      <c r="HH83" s="535" t="str">
        <f t="shared" si="275"/>
        <v/>
      </c>
      <c r="HI83" s="535">
        <f>IF(GK83="P",Lookup!$N$12,IF(GK83="PP",Lookup!$N$13,IF(GK83="PPP",Lookup!$N$14,IF(GK83="T",Lookup!$N$15,IF(GK83="TP",Lookup!$N$16,IF(GK83="TPP",Lookup!$N$17,IF(GK83="TPPP",Lookup!$N$18,0)))))))*GJ83</f>
        <v>0</v>
      </c>
      <c r="HJ83" s="521">
        <f t="shared" si="244"/>
        <v>0</v>
      </c>
      <c r="HK83" s="535">
        <f t="shared" si="245"/>
        <v>483.03778744555905</v>
      </c>
      <c r="HL83" s="535">
        <f t="shared" si="278"/>
        <v>157.44386813740516</v>
      </c>
      <c r="HM83" s="535"/>
      <c r="HN83" s="541"/>
      <c r="HO83" s="541"/>
      <c r="HP83" s="541"/>
      <c r="HQ83" s="541">
        <f>IF(AND(B83&gt;=$FV$4,B83&lt;=$FW$4),MAX(110/1.02+$HQ$6+MIN(113/1.02,G83),IF($HV$6-(Sheet1!DA81-Sheet1!DB81)+MIN(113/1.02,G83)&lt;G83+FL83,$HV$6-(Sheet1!DA81-Sheet1!DB81)+MIN(113/1.02,G83),G83+FL83)),MIN(110/1.02+$HQ$6+113/1.02,G83))</f>
        <v>218.62745098039215</v>
      </c>
      <c r="HR83" s="541">
        <f t="shared" si="297"/>
        <v>223</v>
      </c>
      <c r="HS83" s="541">
        <f>HR83+(Sheet1!DA81-Sheet1!DB81)</f>
        <v>2093</v>
      </c>
      <c r="HT83" s="541">
        <f t="shared" si="298"/>
        <v>66.644759999999991</v>
      </c>
      <c r="HU83" s="541">
        <f t="shared" si="299"/>
        <v>2026.3552400000001</v>
      </c>
      <c r="HV83" s="541">
        <f t="shared" si="300"/>
        <v>0</v>
      </c>
      <c r="HW83" s="533" t="str">
        <f t="shared" si="301"/>
        <v/>
      </c>
      <c r="HX83" s="541">
        <f t="shared" si="302"/>
        <v>2931.372549019608</v>
      </c>
      <c r="HY83" s="541">
        <f>Sheet1!CZ81</f>
        <v>3150</v>
      </c>
      <c r="HZ83" s="541">
        <f t="shared" si="303"/>
        <v>0</v>
      </c>
      <c r="IA83" s="541">
        <f t="shared" si="304"/>
        <v>66.644759999999991</v>
      </c>
      <c r="IB83" s="541">
        <f t="shared" si="305"/>
        <v>3150</v>
      </c>
      <c r="IC83" s="1019" t="str">
        <f t="shared" si="306"/>
        <v/>
      </c>
      <c r="ID83" s="541">
        <f t="shared" si="307"/>
        <v>3083.3552399999999</v>
      </c>
      <c r="IE83" s="541">
        <f>Sheet1!DB81</f>
        <v>2960</v>
      </c>
      <c r="IF83" s="533">
        <f>Sheet1!DA81</f>
        <v>4830</v>
      </c>
      <c r="IH83" s="541">
        <f>IF(AND($B83&gt;=$GC83,$B83&lt;=$GH83,$DR83&lt;0)+N("only adjusted when pool is drawn down during storage season"),Sheet1!$DB81+$DR83+N("Palmer minus all storage release"),Sheet1!$DB81)</f>
        <v>2960</v>
      </c>
      <c r="II83" s="541">
        <f>IF(AND($B83&gt;=$GC83,$B83&lt;=$GH83,$DR83&lt;0)+N("only adjusted when pool is drawn down during storage season"),Sheet1!$DA81+$DR83+N("Auburn minus all storage release"),Sheet1!$DA81)</f>
        <v>4830</v>
      </c>
    </row>
    <row r="84" spans="1:243" x14ac:dyDescent="0.25">
      <c r="A84" s="553" t="s">
        <v>5</v>
      </c>
      <c r="B84" s="531">
        <v>42808</v>
      </c>
      <c r="C84" s="536">
        <v>0</v>
      </c>
      <c r="D84" s="506">
        <f t="shared" si="247"/>
        <v>300</v>
      </c>
      <c r="E84" s="506">
        <f t="shared" si="248"/>
        <v>250</v>
      </c>
      <c r="F84" s="506">
        <v>250</v>
      </c>
      <c r="G84" s="535">
        <f>DR84+Sheet1!CZ82</f>
        <v>5886.1270801836481</v>
      </c>
      <c r="H84" s="1074">
        <f t="shared" si="281"/>
        <v>2672.5389512960001</v>
      </c>
      <c r="I84" s="534">
        <f>IF(Sheet1!DA82&gt;=E84,(Sheet1!DA82-E84+P84)*CFStoMGD,0)</f>
        <v>4126.9389512959997</v>
      </c>
      <c r="J84" s="995">
        <f>IF(Sheet1!DB82&gt;=D84,(Sheet1!DB82-D84+P84)*CFStoMGD,0)</f>
        <v>2672.5389512960001</v>
      </c>
      <c r="K84" s="818">
        <f t="shared" si="282"/>
        <v>64.64</v>
      </c>
      <c r="L84" s="535">
        <f>Sheet1!AA82+Sheet1!AB82-Sheet1!L82+(Sheet1!DA82-F84)*CFStoMGD-S84-T84-U84</f>
        <v>4046.0000000000009</v>
      </c>
      <c r="M84" s="535">
        <f t="shared" si="185"/>
        <v>3880.8883955233246</v>
      </c>
      <c r="N84" s="824">
        <f>IF(Sheet1!DA82&gt;=F84,MIN(113*CFStoMGD,MIN(MAX(L84,0),MAX(M84,0))),0)</f>
        <v>73.043199999999999</v>
      </c>
      <c r="O84" s="538">
        <f>Sheet1!AA82+Sheet1!AB82</f>
        <v>54.620000000000005</v>
      </c>
      <c r="P84" s="538">
        <f t="shared" si="186"/>
        <v>84.497140000000002</v>
      </c>
      <c r="Q84" s="812">
        <f t="shared" si="283"/>
        <v>43.640000000000008</v>
      </c>
      <c r="R84" s="812">
        <f t="shared" si="249"/>
        <v>10.921595744680852</v>
      </c>
      <c r="S84" s="812">
        <f t="shared" si="250"/>
        <v>10.979999999999999</v>
      </c>
      <c r="T84" s="812">
        <f t="shared" si="251"/>
        <v>53.660000000000004</v>
      </c>
      <c r="U84" s="812">
        <f t="shared" si="284"/>
        <v>0</v>
      </c>
      <c r="V84" s="812"/>
      <c r="W84" s="812">
        <f t="shared" si="252"/>
        <v>53.71840425531915</v>
      </c>
      <c r="X84" s="812">
        <f t="shared" si="253"/>
        <v>64.64</v>
      </c>
      <c r="Y84" s="812" t="str">
        <f t="shared" si="254"/>
        <v>FALSE</v>
      </c>
      <c r="Z84" s="812">
        <f t="shared" si="255"/>
        <v>54.620000000000005</v>
      </c>
      <c r="AA84" s="812">
        <f t="shared" si="256"/>
        <v>54.620000000000005</v>
      </c>
      <c r="AB84" s="1059">
        <f t="shared" si="285"/>
        <v>67.511080000000007</v>
      </c>
      <c r="AC84" s="538">
        <f>Sheet1!Y82*MGDtoCFS</f>
        <v>38.365600000000001</v>
      </c>
      <c r="AD84" s="538">
        <f>Sheet1!Z82*MGDtoCFS</f>
        <v>43.114890000000003</v>
      </c>
      <c r="AE84" s="538">
        <f>Sheet1!AA82*MGDtoCFS</f>
        <v>38.210899999999995</v>
      </c>
      <c r="AF84" s="538">
        <f>Sheet1!AB82*MGDtoCFS</f>
        <v>46.286239999999999</v>
      </c>
      <c r="AG84" s="538">
        <f>Sheet1!L82*MGDtoCFS</f>
        <v>25.216099999998875</v>
      </c>
      <c r="AH84" s="521">
        <f t="shared" si="187"/>
        <v>0</v>
      </c>
      <c r="AI84" s="1059">
        <f t="shared" si="188"/>
        <v>0</v>
      </c>
      <c r="AJ84" s="535">
        <f t="shared" si="189"/>
        <v>53.71840425531915</v>
      </c>
      <c r="AK84" s="535">
        <f t="shared" si="190"/>
        <v>83.102371382978717</v>
      </c>
      <c r="AL84" s="535">
        <f>(VLOOKUP(Sheet1!DC82,hhdcap_wcm,4)-(((VLOOKUP(Sheet1!DC82,hhdcap_wcm,3)-Sheet1!DC82)/(VLOOKUP(Sheet1!DC82,hhdcap_wcm,3)-VLOOKUP(Sheet1!DC82,hhdcap_wcm,1)))*(VLOOKUP(Sheet1!DC82,hhdcap_wcm,4)-VLOOKUP(Sheet1!DC82,hhdcap_wcm,2))))</f>
        <v>9946.4000000220331</v>
      </c>
      <c r="AM84" s="535">
        <f t="shared" si="191"/>
        <v>1499.4000000041742</v>
      </c>
      <c r="AN84" s="1035">
        <f t="shared" si="192"/>
        <v>1458.5185945424623</v>
      </c>
      <c r="AO84" s="535">
        <f t="shared" si="193"/>
        <v>4474.7350480562745</v>
      </c>
      <c r="AP84" s="535">
        <f>Sheet1!BA82+Sheet1!BB82+Sheet1!BN82+CD84</f>
        <v>19.100000000000001</v>
      </c>
      <c r="AQ84" s="535">
        <f>Sheet1!BN82+(DO84*Sheet1!BN82)</f>
        <v>18.998404255319151</v>
      </c>
      <c r="AR84" s="535">
        <f>Sheet1!BA82+CD84</f>
        <v>0</v>
      </c>
      <c r="AS84" s="535">
        <f>Sheet1!BA82+Sheet1!BB82+CD84</f>
        <v>0</v>
      </c>
      <c r="AT84" s="649">
        <f>0</f>
        <v>0</v>
      </c>
      <c r="AU84" s="535">
        <f>IF(EB84&lt;K84,0,MAX(Sheet1!AA82+AQ84-15/36*K84-N84,Sheet1!EH82,0))</f>
        <v>0</v>
      </c>
      <c r="AV84" s="535">
        <f>IF(OR(B84&gt;=GD84,B84&lt;GC84),0,15/36*K84-MAX(0,64.6-(137.6-(Sheet1!AA82+Sheet1!AB82))))</f>
        <v>26.933333333333334</v>
      </c>
      <c r="AW84" s="1029"/>
      <c r="AX84" s="649"/>
      <c r="AY84" s="649">
        <f t="shared" si="286"/>
        <v>0</v>
      </c>
      <c r="AZ84" s="649">
        <f t="shared" si="287"/>
        <v>0</v>
      </c>
      <c r="BA84" s="1059">
        <f t="shared" si="288"/>
        <v>0</v>
      </c>
      <c r="BB84" s="1019">
        <f t="shared" si="194"/>
        <v>727.19999999999959</v>
      </c>
      <c r="BC84" s="1041">
        <f t="shared" si="289"/>
        <v>26.933333333333334</v>
      </c>
      <c r="BD84" s="1019">
        <f ca="1">IF(B84&gt;Summary!$A$1,#N/A,BB84*MGtoAF)</f>
        <v>2231.0495999999989</v>
      </c>
      <c r="BE84" s="535">
        <f>Sheet1!BG82+Sheet1!BH82+Sheet1!BI82-BM84</f>
        <v>1.01</v>
      </c>
      <c r="BF84" s="535">
        <f t="shared" si="195"/>
        <v>1.0046276595744683</v>
      </c>
      <c r="BG84" s="535">
        <f>IF(Sheet1!EP82="FM",BM84,0)</f>
        <v>0</v>
      </c>
      <c r="BH84" s="535">
        <f t="shared" si="196"/>
        <v>0</v>
      </c>
      <c r="BI84" s="535">
        <f>IF(Sheet1!EP82="OTHER",BM84,0)</f>
        <v>0</v>
      </c>
      <c r="BJ84" s="535">
        <f t="shared" si="197"/>
        <v>0</v>
      </c>
      <c r="BK84" s="535">
        <f t="shared" si="198"/>
        <v>1.01</v>
      </c>
      <c r="BL84" s="535">
        <f t="shared" si="199"/>
        <v>1.0046276595744683</v>
      </c>
      <c r="BM84" s="535">
        <f>IF(OR(Sheet1!EP82="FM", Sheet1!EP82="OTHER"),SUM(Sheet1!BG82:'Sheet1'!BI82),0)</f>
        <v>0</v>
      </c>
      <c r="BN84" s="521">
        <f>IF(AND($B84&gt;=$FV84,$B84&lt;=$FW84),MAX(BF84,Sheet1!EI82,0),MAX(BF84-(7/36)*$K84,0))</f>
        <v>0</v>
      </c>
      <c r="BO84" s="535">
        <f t="shared" si="200"/>
        <v>11.56426122931442</v>
      </c>
      <c r="BP84" s="521">
        <f t="shared" si="201"/>
        <v>1.0046276595744683</v>
      </c>
      <c r="BQ84" s="521">
        <f>IF(AND($O84&gt;0,Sheet1!EM82=1),(1-($O84-Sheet1!$L82)/$O84)*BL84,0)</f>
        <v>0</v>
      </c>
      <c r="BR84" s="521">
        <f>IF(AND(Sheet1!$L82=0,Sheet1!$L81=0, Calculation!BK84&lt;Sheet1!$EI82-0.1,Sheet1!$EI82=Sheet1!$EI81,Sheet1!$EI82=Sheet1!$EI83),BL84-BQ84,BL84-BQ84)</f>
        <v>1.0046276595744683</v>
      </c>
      <c r="BS84" s="1035" t="str">
        <f t="shared" si="290"/>
        <v/>
      </c>
      <c r="BT84" s="1035">
        <f t="shared" si="291"/>
        <v>12.568888888888889</v>
      </c>
      <c r="BU84" s="535">
        <f t="shared" si="202"/>
        <v>311.30016825457648</v>
      </c>
      <c r="BV84" s="535"/>
      <c r="BW84" s="535">
        <f ca="1">IF(B84&gt;Summary!$A$1,#N/A,BU84*MGtoAF)</f>
        <v>955.06891620504064</v>
      </c>
      <c r="BX84" s="535">
        <f>Sheet1!BC82+Sheet1!BD82+Sheet1!BE82+Sheet1!BF82-CG84-CH84</f>
        <v>3.5</v>
      </c>
      <c r="BY84" s="535">
        <f t="shared" si="203"/>
        <v>3.4813829787234045</v>
      </c>
      <c r="BZ84" s="535">
        <f>IF(Sheet1!EQ82="FM",CH84,0)</f>
        <v>0</v>
      </c>
      <c r="CA84" s="535">
        <f t="shared" si="204"/>
        <v>0</v>
      </c>
      <c r="CB84" s="535">
        <f>IF(Sheet1!EQ82="OTHER",CH84,0)</f>
        <v>0</v>
      </c>
      <c r="CC84" s="535">
        <f t="shared" si="205"/>
        <v>0</v>
      </c>
      <c r="CD84" s="535">
        <f t="shared" si="206"/>
        <v>0</v>
      </c>
      <c r="CE84" s="535">
        <f t="shared" si="207"/>
        <v>3.5</v>
      </c>
      <c r="CF84" s="535">
        <f t="shared" si="208"/>
        <v>3.4813829787234045</v>
      </c>
      <c r="CG84" s="535">
        <f>IF(Sheet1!EQ82="CWA",SUM(Sheet1!BC82:'Sheet1'!BF82),0)</f>
        <v>0</v>
      </c>
      <c r="CH84" s="535">
        <f>IF(OR(Sheet1!EQ82="FM", Sheet1!EQ82="OTHER"),SUM(Sheet1!BC82:'Sheet1'!BF82),0)</f>
        <v>0</v>
      </c>
      <c r="CI84" s="521">
        <f>IF(AND($B84&gt;=$FV84,$B84&lt;=$FW84),MAX(CF84,Sheet1!EJ82,0),MAX(CF84-(7/36)*$K84,0))</f>
        <v>0</v>
      </c>
      <c r="CJ84" s="535">
        <f t="shared" si="209"/>
        <v>9.0875059101654845</v>
      </c>
      <c r="CK84" s="521">
        <f t="shared" si="210"/>
        <v>3.4813829787234045</v>
      </c>
      <c r="CL84" s="521">
        <f>IF(AND($O84&gt;0,Sheet1!EN82=1),(1-($O84-Sheet1!$L82)/$O84)*CF84,0)</f>
        <v>0</v>
      </c>
      <c r="CM84" s="521">
        <f>IF(AND(Sheet1!$L82=0,Sheet1!$L81=0, Calculation!CE84&lt;Sheet1!EJ82-0.1,Sheet1!EJ82=Sheet1!EJ81,Sheet1!EJ82=Sheet1!EJ83),CF84-CL84,CF84-CL84)</f>
        <v>3.4813829787234045</v>
      </c>
      <c r="CN84" s="1040" t="str">
        <f t="shared" si="292"/>
        <v/>
      </c>
      <c r="CO84" s="1035">
        <f t="shared" si="293"/>
        <v>12.568888888888889</v>
      </c>
      <c r="CP84" s="535">
        <f t="shared" si="211"/>
        <v>256.44125436797526</v>
      </c>
      <c r="CQ84" s="535"/>
      <c r="CR84" s="535">
        <f ca="1">IF(B84&gt;Summary!$A$1,#N/A,CP84*MGtoAF)</f>
        <v>786.76176840094809</v>
      </c>
      <c r="CS84" s="535">
        <f>Sheet1!BK82+Sheet1!BL82+Sheet1!BM82-Sheet1!ER82-DA84</f>
        <v>6.47</v>
      </c>
      <c r="CT84" s="535">
        <f t="shared" si="212"/>
        <v>6.4355851063829794</v>
      </c>
      <c r="CU84" s="535">
        <f>IF(Sheet1!ER82="FM",DA84,0)</f>
        <v>0</v>
      </c>
      <c r="CV84" s="535">
        <f t="shared" si="213"/>
        <v>0</v>
      </c>
      <c r="CW84" s="535">
        <f>IF(Sheet1!ER82="OTHER",DA84,0)</f>
        <v>0</v>
      </c>
      <c r="CX84" s="535">
        <f t="shared" si="214"/>
        <v>0</v>
      </c>
      <c r="CY84" s="535">
        <f t="shared" si="215"/>
        <v>6.47</v>
      </c>
      <c r="CZ84" s="535">
        <f t="shared" si="216"/>
        <v>6.4355851063829794</v>
      </c>
      <c r="DA84" s="535">
        <f>IF(OR(Sheet1!ER82="FM", Sheet1!ER82="OTHER"),SUM(Sheet1!BK82:'Sheet1'!BM82),0)</f>
        <v>0</v>
      </c>
      <c r="DB84" s="1011">
        <f>IF(AND($B84&gt;=$FV84,$B84&lt;=$FW84),MAX($CT84,Sheet1!EK82,0),MAX($CT84-(7/36)*$K84,0))</f>
        <v>0</v>
      </c>
      <c r="DC84" s="1012">
        <f t="shared" si="217"/>
        <v>6.1333037825059096</v>
      </c>
      <c r="DD84" s="1011">
        <f t="shared" si="218"/>
        <v>6.4355851063829794</v>
      </c>
      <c r="DE84" s="521">
        <f>IF(AND($O84&gt;0,Sheet1!EO82=1),(1-($O84-Sheet1!$L82)/$O84)*CZ84,0)</f>
        <v>0</v>
      </c>
      <c r="DF84" s="521">
        <f>IF(AND(Sheet1!$L82=0,Sheet1!$L81=0, Calculation!CY84&lt;Sheet1!$EK82-0.1,Sheet1!$EK82=Sheet1!$EK81,Sheet1!$EK82=Sheet1!$EK83),CZ84-DE84,CZ84-DE84)</f>
        <v>6.4355851063829794</v>
      </c>
      <c r="DG84" s="1040">
        <f t="shared" si="294"/>
        <v>12.568888888888889</v>
      </c>
      <c r="DH84" s="649">
        <f t="shared" si="219"/>
        <v>10.98</v>
      </c>
      <c r="DI84" s="535">
        <f t="shared" si="220"/>
        <v>163.57717191991108</v>
      </c>
      <c r="DJ84" s="649">
        <f t="shared" si="221"/>
        <v>10.921595744680852</v>
      </c>
      <c r="DK84" s="535">
        <f ca="1">IF(B84&gt;Summary!$A$1,#N/A,DI84*MGtoAF)</f>
        <v>501.85476345028718</v>
      </c>
      <c r="DL84" s="649">
        <f t="shared" si="222"/>
        <v>10.979999999999999</v>
      </c>
      <c r="DM84" s="535">
        <f t="shared" si="223"/>
        <v>30.08</v>
      </c>
      <c r="DN84" s="535">
        <f>Sheet1!AB82-DM84</f>
        <v>-0.15999999999999659</v>
      </c>
      <c r="DO84" s="743">
        <f t="shared" si="224"/>
        <v>-5.3191489361700999E-3</v>
      </c>
      <c r="DP84" s="535">
        <f>(VLOOKUP(Sheet1!DC82,hhdcap_wcm,4)-(((VLOOKUP(Sheet1!DC82,hhdcap_wcm,3)-Sheet1!DC82)/(VLOOKUP(Sheet1!DC82,hhdcap_wcm,3)-VLOOKUP(Sheet1!DC82,hhdcap_wcm,1)))*(VLOOKUP(Sheet1!DC82,hhdcap_wcm,4)-VLOOKUP(Sheet1!DC82,hhdcap_wcm,2))))</f>
        <v>9946.4000000220331</v>
      </c>
      <c r="DQ84" s="535">
        <f t="shared" si="225"/>
        <v>1499.4000000041742</v>
      </c>
      <c r="DR84" s="535">
        <f t="shared" si="226"/>
        <v>756.12708018364799</v>
      </c>
      <c r="DS84" s="535">
        <f>Sheet1!EA82*AFtoMG</f>
        <v>0</v>
      </c>
      <c r="DT84" s="535">
        <f>Sheet1!EB82*AFtoMG</f>
        <v>0</v>
      </c>
      <c r="DU84" s="535">
        <f>Sheet1!EC82*AFtoMG</f>
        <v>0</v>
      </c>
      <c r="DV84" s="535">
        <f>Sheet1!ED82*AFtoMG</f>
        <v>0</v>
      </c>
      <c r="DW84" s="535">
        <f t="shared" si="227"/>
        <v>0</v>
      </c>
      <c r="DX84" s="535">
        <f t="shared" si="228"/>
        <v>0</v>
      </c>
      <c r="DY84" s="535">
        <f t="shared" si="229"/>
        <v>1458.5185945424623</v>
      </c>
      <c r="DZ84" s="535">
        <f t="shared" si="230"/>
        <v>4474.7350480562745</v>
      </c>
      <c r="EA84" s="535"/>
      <c r="EB84" s="521">
        <f>IF(OR(B84&lt;FV84,B84&gt;FW84),(MIN(BF84+BY84+CT84+MAX(Sheet1!AA82+AQ84-73,0),K84)),0)</f>
        <v>10.921595744680852</v>
      </c>
      <c r="EC84" s="535"/>
      <c r="ED84" s="535">
        <f t="shared" si="231"/>
        <v>10.921595744680852</v>
      </c>
      <c r="EE84" s="535"/>
      <c r="EF84" s="535">
        <f>Sheet1!EH82+Sheet1!EI82+Sheet1!EJ82+Sheet1!EK82</f>
        <v>11</v>
      </c>
      <c r="EG84" s="1019">
        <f t="shared" si="295"/>
        <v>17.016999999999999</v>
      </c>
      <c r="EH84" s="521">
        <f t="shared" si="232"/>
        <v>0</v>
      </c>
      <c r="EI84" s="535">
        <f>IF(Sheet1!ET82=1,SUM('Calculations II'!AT84:BA84)+'Calculations II'!BC84+Sheet1!BV82+'Calculations II'!BE84+AP84,'Calculations II'!BK84)</f>
        <v>42.939010255319154</v>
      </c>
      <c r="EJ84" s="535">
        <f ca="1">EI84+'Calculations II'!D84+'Calculations II'!E84+'Calculations II'!O84</f>
        <v>44.954446673603215</v>
      </c>
      <c r="EK84" s="535"/>
      <c r="EL84" s="535"/>
      <c r="EM84" s="535">
        <f t="shared" si="233"/>
        <v>42808</v>
      </c>
      <c r="EN84" s="535">
        <f t="shared" si="234"/>
        <v>53.71840425531915</v>
      </c>
      <c r="EO84" s="535">
        <f t="shared" si="235"/>
        <v>83.102371382978717</v>
      </c>
      <c r="EP84" s="535">
        <v>0</v>
      </c>
      <c r="EQ84" s="535">
        <v>0</v>
      </c>
      <c r="ER84" s="535">
        <v>0</v>
      </c>
      <c r="ES84" s="521">
        <f t="shared" si="257"/>
        <v>-1.3835663994111864</v>
      </c>
      <c r="ET84" s="535">
        <f>-(VLOOKUP(Sheet1!BQ82,Lookup!$O$4:$Q$262,2)-VLOOKUP(Sheet1!BQ81,Lookup!$O$4:$Q$262,2))/1000000</f>
        <v>-0.69168712009096889</v>
      </c>
      <c r="EU84" s="535">
        <f>-(VLOOKUP(Sheet1!BR82,Lookup!$O$4:$Q$262,3)-VLOOKUP(Sheet1!BR81,Lookup!$O$4:$Q$262,3))/1000000</f>
        <v>-0.69187927932021764</v>
      </c>
      <c r="EV84" s="535"/>
      <c r="EW84" s="535"/>
      <c r="EX84" s="535"/>
      <c r="EY84" s="535"/>
      <c r="EZ84" s="535"/>
      <c r="FA84" s="535"/>
      <c r="FB84" s="535"/>
      <c r="FC84" s="535"/>
      <c r="FD84" s="567" t="e">
        <f t="shared" si="236"/>
        <v>#N/A</v>
      </c>
      <c r="FE84" s="567" t="e">
        <f t="shared" si="237"/>
        <v>#N/A</v>
      </c>
      <c r="FF84" s="568" t="e">
        <f t="shared" si="238"/>
        <v>#N/A</v>
      </c>
      <c r="FG84" s="569" t="s">
        <v>656</v>
      </c>
      <c r="FH84" s="569" t="s">
        <v>656</v>
      </c>
      <c r="FI84" s="567" t="e">
        <v>#N/A</v>
      </c>
      <c r="FJ84" s="567" t="e">
        <v>#N/A</v>
      </c>
      <c r="FK84" s="535"/>
      <c r="FL84" s="1015">
        <v>0</v>
      </c>
      <c r="FM84" s="535"/>
      <c r="FN84" s="535"/>
      <c r="FO84" s="535">
        <f>O84+((Sheet1!CS82)*GPMtoMGD)</f>
        <v>54.620000000000005</v>
      </c>
      <c r="FP84" s="535">
        <f>IF(Sheet1!AA82+AQ84&lt;=Calculation!N84,AQ84,Calculation!N84-Sheet1!AA82)</f>
        <v>18.998404255319151</v>
      </c>
      <c r="FQ84" s="535">
        <f>(Sheet1!BP82+Sheet1!BO82)/694.4</f>
        <v>1.589717741935484</v>
      </c>
      <c r="FR84" s="541"/>
      <c r="FS84" s="541"/>
      <c r="FT84" s="541"/>
      <c r="FU84" s="541"/>
      <c r="FV84" s="1109">
        <f t="shared" si="258"/>
        <v>42918</v>
      </c>
      <c r="FW84" s="1109">
        <f t="shared" si="259"/>
        <v>43027</v>
      </c>
      <c r="FX84" s="541"/>
      <c r="FY84" s="541">
        <f>Sheet1!DA82-Sheet1!CZ82-Sheet1!AE82</f>
        <v>1360.7189599999988</v>
      </c>
      <c r="FZ84" s="535">
        <f t="shared" si="296"/>
        <v>0.23117390118555581</v>
      </c>
      <c r="GA84" s="535"/>
      <c r="GB84" s="535" t="str">
        <f t="shared" si="260"/>
        <v>n</v>
      </c>
      <c r="GC84" s="539">
        <f t="shared" si="261"/>
        <v>42782</v>
      </c>
      <c r="GD84" s="1109">
        <f t="shared" si="262"/>
        <v>42904</v>
      </c>
      <c r="GE84" s="535">
        <f t="shared" si="280"/>
        <v>6520</v>
      </c>
      <c r="GF84" s="1109">
        <f t="shared" si="263"/>
        <v>42909</v>
      </c>
      <c r="GG84" s="535">
        <f t="shared" si="308"/>
        <v>3260</v>
      </c>
      <c r="GH84" s="539">
        <f t="shared" si="264"/>
        <v>43040</v>
      </c>
      <c r="GJ84" s="521">
        <f t="shared" si="265"/>
        <v>0</v>
      </c>
      <c r="GK84" s="535" t="str">
        <f t="shared" si="239"/>
        <v/>
      </c>
      <c r="GL84" s="535">
        <f t="shared" si="266"/>
        <v>0</v>
      </c>
      <c r="GM84" s="535" t="str">
        <f t="shared" si="267"/>
        <v/>
      </c>
      <c r="GN84" s="535">
        <f>IF(GK84="P",Lookup!$M$12,IF(GK84="PP",Lookup!$M$13,IF(GK84="PPP",Lookup!$M$14,IF(GK84="T",Lookup!$M$15,IF(GK84="TP",Lookup!$M$16,IF(GK84="TPP",Lookup!$M$17,IF(GK84="TPPP",Lookup!$M$18,0)))))))*GJ84</f>
        <v>0</v>
      </c>
      <c r="GO84" s="535">
        <f t="shared" si="268"/>
        <v>0</v>
      </c>
      <c r="GP84" s="535">
        <f t="shared" si="240"/>
        <v>2231.0495999999989</v>
      </c>
      <c r="GQ84" s="535">
        <f t="shared" si="279"/>
        <v>727.19999999999959</v>
      </c>
      <c r="GR84" s="535"/>
      <c r="GS84" s="535">
        <f t="shared" si="269"/>
        <v>0</v>
      </c>
      <c r="GT84" s="535" t="str">
        <f t="shared" si="270"/>
        <v/>
      </c>
      <c r="GU84" s="535">
        <f>IF(GK84="P",Lookup!$N$12,IF(GK84="PP",Lookup!$N$13,IF(GK84="PPP",Lookup!$N$14,IF(GK84="T",Lookup!$N$15,IF(GK84="TP",Lookup!$N$16,IF(GK84="TPP",Lookup!$N$17,IF(GK84="TPPP",Lookup!$N$18,0)))))))*GJ84</f>
        <v>0</v>
      </c>
      <c r="GV84" s="535">
        <f t="shared" si="271"/>
        <v>0</v>
      </c>
      <c r="GW84" s="535">
        <f t="shared" si="241"/>
        <v>955.06891620504064</v>
      </c>
      <c r="GX84" s="535">
        <f t="shared" si="276"/>
        <v>311.30016825457648</v>
      </c>
      <c r="GY84" s="535"/>
      <c r="GZ84" s="535">
        <f t="shared" si="272"/>
        <v>0</v>
      </c>
      <c r="HA84" s="535" t="str">
        <f t="shared" si="273"/>
        <v/>
      </c>
      <c r="HB84" s="535">
        <f>IF(GK84="P",Lookup!$N$12,IF(GK84="PP",Lookup!$N$13,IF(GK84="PPP",Lookup!$N$14,IF(GK84="T",Lookup!$N$15,IF(GK84="TP",Lookup!$N$16,IF(GK84="TPP",Lookup!$N$17,IF(GK84="TPPP",Lookup!$N$18,0)))))))*GJ84</f>
        <v>0</v>
      </c>
      <c r="HC84" s="521">
        <f t="shared" si="242"/>
        <v>0</v>
      </c>
      <c r="HD84" s="535">
        <f t="shared" si="243"/>
        <v>786.76176840094809</v>
      </c>
      <c r="HE84" s="535">
        <f t="shared" si="277"/>
        <v>256.44125436797526</v>
      </c>
      <c r="HF84" s="535"/>
      <c r="HG84" s="535">
        <f t="shared" si="274"/>
        <v>0</v>
      </c>
      <c r="HH84" s="535" t="str">
        <f t="shared" si="275"/>
        <v/>
      </c>
      <c r="HI84" s="535">
        <f>IF(GK84="P",Lookup!$N$12,IF(GK84="PP",Lookup!$N$13,IF(GK84="PPP",Lookup!$N$14,IF(GK84="T",Lookup!$N$15,IF(GK84="TP",Lookup!$N$16,IF(GK84="TPP",Lookup!$N$17,IF(GK84="TPPP",Lookup!$N$18,0)))))))*GJ84</f>
        <v>0</v>
      </c>
      <c r="HJ84" s="521">
        <f t="shared" si="244"/>
        <v>0</v>
      </c>
      <c r="HK84" s="535">
        <f t="shared" si="245"/>
        <v>501.85476345028718</v>
      </c>
      <c r="HL84" s="535">
        <f t="shared" si="278"/>
        <v>163.57717191991108</v>
      </c>
      <c r="HM84" s="535"/>
      <c r="HN84" s="541"/>
      <c r="HO84" s="541"/>
      <c r="HP84" s="541"/>
      <c r="HQ84" s="541">
        <f>IF(AND(B84&gt;=$FV$4,B84&lt;=$FW$4),MAX(110/1.02+$HQ$6+MIN(113/1.02,G84),IF($HV$6-(Sheet1!DA82-Sheet1!DB82)+MIN(113/1.02,G84)&lt;G84+FL84,$HV$6-(Sheet1!DA82-Sheet1!DB82)+MIN(113/1.02,G84),G84+FL84)),MIN(110/1.02+$HQ$6+113/1.02,G84))</f>
        <v>218.62745098039215</v>
      </c>
      <c r="HR84" s="541">
        <f t="shared" si="297"/>
        <v>223</v>
      </c>
      <c r="HS84" s="541">
        <f>HR84+(Sheet1!DA82-Sheet1!DB82)</f>
        <v>2423</v>
      </c>
      <c r="HT84" s="541">
        <f t="shared" si="298"/>
        <v>67.511080000000007</v>
      </c>
      <c r="HU84" s="541">
        <f t="shared" si="299"/>
        <v>2355.4889199999998</v>
      </c>
      <c r="HV84" s="541">
        <f t="shared" si="300"/>
        <v>0</v>
      </c>
      <c r="HW84" s="533" t="str">
        <f t="shared" si="301"/>
        <v/>
      </c>
      <c r="HX84" s="541">
        <f t="shared" si="302"/>
        <v>4911.3725490196075</v>
      </c>
      <c r="HY84" s="541">
        <f>Sheet1!CZ82</f>
        <v>5130</v>
      </c>
      <c r="HZ84" s="541">
        <f t="shared" si="303"/>
        <v>0</v>
      </c>
      <c r="IA84" s="541">
        <f t="shared" si="304"/>
        <v>67.511080000000007</v>
      </c>
      <c r="IB84" s="541">
        <f t="shared" si="305"/>
        <v>5130</v>
      </c>
      <c r="IC84" s="1019" t="str">
        <f t="shared" si="306"/>
        <v/>
      </c>
      <c r="ID84" s="541">
        <f t="shared" si="307"/>
        <v>5062.4889199999998</v>
      </c>
      <c r="IE84" s="541">
        <f>Sheet1!DB82</f>
        <v>4350</v>
      </c>
      <c r="IF84" s="533">
        <f>Sheet1!DA82</f>
        <v>6550</v>
      </c>
      <c r="IH84" s="541">
        <f>IF(AND($B84&gt;=$GC84,$B84&lt;=$GH84,$DR84&lt;0)+N("only adjusted when pool is drawn down during storage season"),Sheet1!$DB82+$DR84+N("Palmer minus all storage release"),Sheet1!$DB82)</f>
        <v>4350</v>
      </c>
      <c r="II84" s="541">
        <f>IF(AND($B84&gt;=$GC84,$B84&lt;=$GH84,$DR84&lt;0)+N("only adjusted when pool is drawn down during storage season"),Sheet1!$DA82+$DR84+N("Auburn minus all storage release"),Sheet1!$DA82)</f>
        <v>6550</v>
      </c>
    </row>
    <row r="85" spans="1:243" x14ac:dyDescent="0.25">
      <c r="A85" s="553" t="s">
        <v>6</v>
      </c>
      <c r="B85" s="531">
        <v>42809</v>
      </c>
      <c r="C85" s="536">
        <v>0</v>
      </c>
      <c r="D85" s="506">
        <f t="shared" si="247"/>
        <v>300</v>
      </c>
      <c r="E85" s="506">
        <f t="shared" si="248"/>
        <v>250</v>
      </c>
      <c r="F85" s="506">
        <v>250</v>
      </c>
      <c r="G85" s="535">
        <f>DR85+Sheet1!CZ83</f>
        <v>5873.474533535953</v>
      </c>
      <c r="H85" s="1074">
        <f t="shared" si="281"/>
        <v>2875.1029094400001</v>
      </c>
      <c r="I85" s="534">
        <f>IF(Sheet1!DA83&gt;=E85,(Sheet1!DA83-E85+P85)*CFStoMGD,0)</f>
        <v>4445.8549094399996</v>
      </c>
      <c r="J85" s="995">
        <f>IF(Sheet1!DB83&gt;=D85,(Sheet1!DB83-D85+P85)*CFStoMGD,0)</f>
        <v>2875.1029094400001</v>
      </c>
      <c r="K85" s="818">
        <f t="shared" si="282"/>
        <v>64.64</v>
      </c>
      <c r="L85" s="535">
        <f>Sheet1!AA83+Sheet1!AB83-Sheet1!L83+(Sheet1!DA83-F85)*CFStoMGD-S85-T85-U85</f>
        <v>4344.1559999999981</v>
      </c>
      <c r="M85" s="535">
        <f t="shared" si="185"/>
        <v>3872.546217247193</v>
      </c>
      <c r="N85" s="824">
        <f>IF(Sheet1!DA83&gt;=F85,MIN(113*CFStoMGD,MIN(MAX(L85,0),MAX(M85,0))),0)</f>
        <v>73.043199999999999</v>
      </c>
      <c r="O85" s="538">
        <f>Sheet1!AA83+Sheet1!AB83</f>
        <v>56.8</v>
      </c>
      <c r="P85" s="538">
        <f t="shared" si="186"/>
        <v>87.869599999999991</v>
      </c>
      <c r="Q85" s="812">
        <f t="shared" si="283"/>
        <v>45.75</v>
      </c>
      <c r="R85" s="812">
        <f t="shared" si="249"/>
        <v>10.996789727126806</v>
      </c>
      <c r="S85" s="812">
        <f t="shared" si="250"/>
        <v>11.05</v>
      </c>
      <c r="T85" s="812">
        <f t="shared" si="251"/>
        <v>53.59</v>
      </c>
      <c r="U85" s="812">
        <f t="shared" si="284"/>
        <v>0</v>
      </c>
      <c r="V85" s="812"/>
      <c r="W85" s="812">
        <f t="shared" si="252"/>
        <v>53.643210272873191</v>
      </c>
      <c r="X85" s="812">
        <f t="shared" si="253"/>
        <v>64.64</v>
      </c>
      <c r="Y85" s="812" t="str">
        <f t="shared" si="254"/>
        <v>FALSE</v>
      </c>
      <c r="Z85" s="812">
        <f t="shared" si="255"/>
        <v>56.8</v>
      </c>
      <c r="AA85" s="812">
        <f t="shared" si="256"/>
        <v>56.8</v>
      </c>
      <c r="AB85" s="1059">
        <f t="shared" si="285"/>
        <v>70.77525</v>
      </c>
      <c r="AC85" s="538">
        <f>Sheet1!Y83*MGDtoCFS</f>
        <v>38.210899999999995</v>
      </c>
      <c r="AD85" s="538">
        <f>Sheet1!Z83*MGDtoCFS</f>
        <v>44.306080000000001</v>
      </c>
      <c r="AE85" s="538">
        <f>Sheet1!AA83*MGDtoCFS</f>
        <v>39.912599999999998</v>
      </c>
      <c r="AF85" s="538">
        <f>Sheet1!AB83*MGDtoCFS</f>
        <v>47.957000000000001</v>
      </c>
      <c r="AG85" s="538">
        <f>Sheet1!L83*MGDtoCFS</f>
        <v>57.331820000002025</v>
      </c>
      <c r="AH85" s="521">
        <f t="shared" si="187"/>
        <v>0</v>
      </c>
      <c r="AI85" s="1059">
        <f t="shared" si="188"/>
        <v>0</v>
      </c>
      <c r="AJ85" s="535">
        <f t="shared" si="189"/>
        <v>53.643210272873191</v>
      </c>
      <c r="AK85" s="535">
        <f t="shared" si="190"/>
        <v>82.986046292134816</v>
      </c>
      <c r="AL85" s="535">
        <f>(VLOOKUP(Sheet1!DC83,hhdcap_wcm,4)-(((VLOOKUP(Sheet1!DC83,hhdcap_wcm,3)-Sheet1!DC83)/(VLOOKUP(Sheet1!DC83,hhdcap_wcm,3)-VLOOKUP(Sheet1!DC83,hhdcap_wcm,1)))*(VLOOKUP(Sheet1!DC83,hhdcap_wcm,4)-VLOOKUP(Sheet1!DC83,hhdcap_wcm,2))))</f>
        <v>10687.000000023829</v>
      </c>
      <c r="AM85" s="535">
        <f t="shared" si="191"/>
        <v>740.60000000179571</v>
      </c>
      <c r="AN85" s="1035">
        <f t="shared" si="192"/>
        <v>1512.1618048153355</v>
      </c>
      <c r="AO85" s="535">
        <f t="shared" si="193"/>
        <v>4639.3124171734489</v>
      </c>
      <c r="AP85" s="535">
        <f>Sheet1!BA83+Sheet1!BB83+Sheet1!BN83+CD85</f>
        <v>20.100000000000001</v>
      </c>
      <c r="AQ85" s="535">
        <f>Sheet1!BN83+(DO85*Sheet1!BN83)</f>
        <v>20.003210272873194</v>
      </c>
      <c r="AR85" s="535">
        <f>Sheet1!BA83+CD85</f>
        <v>0</v>
      </c>
      <c r="AS85" s="535">
        <f>Sheet1!BA83+Sheet1!BB83+CD85</f>
        <v>0</v>
      </c>
      <c r="AT85" s="649">
        <f>0</f>
        <v>0</v>
      </c>
      <c r="AU85" s="535">
        <f>IF(EB85&lt;K85,0,MAX(Sheet1!AA83+AQ85-15/36*K85-N85,Sheet1!EH83,0))</f>
        <v>0</v>
      </c>
      <c r="AV85" s="535">
        <f>IF(OR(B85&gt;=GD85,B85&lt;GC85),0,15/36*K85-MAX(0,64.6-(137.6-(Sheet1!AA83+Sheet1!AB83))))</f>
        <v>26.933333333333334</v>
      </c>
      <c r="AW85" s="1029"/>
      <c r="AX85" s="649"/>
      <c r="AY85" s="649">
        <f t="shared" si="286"/>
        <v>0</v>
      </c>
      <c r="AZ85" s="649">
        <f t="shared" si="287"/>
        <v>0</v>
      </c>
      <c r="BA85" s="1059">
        <f t="shared" si="288"/>
        <v>0</v>
      </c>
      <c r="BB85" s="1019">
        <f t="shared" si="194"/>
        <v>754.13333333333287</v>
      </c>
      <c r="BC85" s="1041">
        <f t="shared" si="289"/>
        <v>26.933333333333334</v>
      </c>
      <c r="BD85" s="1019">
        <f ca="1">IF(B85&gt;Summary!$A$1,#N/A,BB85*MGtoAF)</f>
        <v>2313.6810666666652</v>
      </c>
      <c r="BE85" s="535">
        <f>Sheet1!BG83+Sheet1!BH83+Sheet1!BI83-BM85</f>
        <v>1.02</v>
      </c>
      <c r="BF85" s="535">
        <f t="shared" si="195"/>
        <v>1.0150882825040128</v>
      </c>
      <c r="BG85" s="535">
        <f>IF(Sheet1!EP83="FM",BM85,0)</f>
        <v>0</v>
      </c>
      <c r="BH85" s="535">
        <f t="shared" si="196"/>
        <v>0</v>
      </c>
      <c r="BI85" s="535">
        <f>IF(Sheet1!EP83="OTHER",BM85,0)</f>
        <v>0</v>
      </c>
      <c r="BJ85" s="535">
        <f t="shared" si="197"/>
        <v>0</v>
      </c>
      <c r="BK85" s="535">
        <f t="shared" si="198"/>
        <v>1.02</v>
      </c>
      <c r="BL85" s="535">
        <f t="shared" si="199"/>
        <v>1.0150882825040128</v>
      </c>
      <c r="BM85" s="535">
        <f>IF(OR(Sheet1!EP83="FM", Sheet1!EP83="OTHER"),SUM(Sheet1!BG83:'Sheet1'!BI83),0)</f>
        <v>0</v>
      </c>
      <c r="BN85" s="521">
        <f>IF(AND($B85&gt;=$FV85,$B85&lt;=$FW85),MAX(BF85,Sheet1!EI83,0),MAX(BF85-(7/36)*$K85,0))</f>
        <v>0</v>
      </c>
      <c r="BO85" s="535">
        <f t="shared" si="200"/>
        <v>11.553800606384875</v>
      </c>
      <c r="BP85" s="521">
        <f t="shared" si="201"/>
        <v>1.0150882825040128</v>
      </c>
      <c r="BQ85" s="521">
        <f>IF(AND($O85&gt;0,Sheet1!EM83=1),(1-($O85-Sheet1!$L83)/$O85)*BL85,0)</f>
        <v>0</v>
      </c>
      <c r="BR85" s="521">
        <f>IF(AND(Sheet1!$L83=0,Sheet1!$L82=0, Calculation!BK85&lt;Sheet1!$EI83-0.1,Sheet1!$EI83=Sheet1!$EI82,Sheet1!$EI83=Sheet1!$EI84),BL85-BQ85,BL85-BQ85)</f>
        <v>1.0150882825040128</v>
      </c>
      <c r="BS85" s="1035" t="str">
        <f t="shared" si="290"/>
        <v/>
      </c>
      <c r="BT85" s="1035">
        <f t="shared" si="291"/>
        <v>12.568888888888889</v>
      </c>
      <c r="BU85" s="535">
        <f t="shared" si="202"/>
        <v>322.85396886096134</v>
      </c>
      <c r="BV85" s="535"/>
      <c r="BW85" s="535">
        <f ca="1">IF(B85&gt;Summary!$A$1,#N/A,BU85*MGtoAF)</f>
        <v>990.51597646542939</v>
      </c>
      <c r="BX85" s="535">
        <f>Sheet1!BC83+Sheet1!BD83+Sheet1!BE83+Sheet1!BF83-CG85-CH85</f>
        <v>3.5</v>
      </c>
      <c r="BY85" s="535">
        <f t="shared" si="203"/>
        <v>3.48314606741573</v>
      </c>
      <c r="BZ85" s="535">
        <f>IF(Sheet1!EQ83="FM",CH85,0)</f>
        <v>0</v>
      </c>
      <c r="CA85" s="535">
        <f t="shared" si="204"/>
        <v>0</v>
      </c>
      <c r="CB85" s="535">
        <f>IF(Sheet1!EQ83="OTHER",CH85,0)</f>
        <v>0</v>
      </c>
      <c r="CC85" s="535">
        <f t="shared" si="205"/>
        <v>0</v>
      </c>
      <c r="CD85" s="535">
        <f t="shared" si="206"/>
        <v>0</v>
      </c>
      <c r="CE85" s="535">
        <f t="shared" si="207"/>
        <v>3.5</v>
      </c>
      <c r="CF85" s="535">
        <f t="shared" si="208"/>
        <v>3.48314606741573</v>
      </c>
      <c r="CG85" s="535">
        <f>IF(Sheet1!EQ83="CWA",SUM(Sheet1!BC83:'Sheet1'!BF83),0)</f>
        <v>0</v>
      </c>
      <c r="CH85" s="535">
        <f>IF(OR(Sheet1!EQ83="FM", Sheet1!EQ83="OTHER"),SUM(Sheet1!BC83:'Sheet1'!BF83),0)</f>
        <v>0</v>
      </c>
      <c r="CI85" s="521">
        <f>IF(AND($B85&gt;=$FV85,$B85&lt;=$FW85),MAX(CF85,Sheet1!EJ83,0),MAX(CF85-(7/36)*$K85,0))</f>
        <v>0</v>
      </c>
      <c r="CJ85" s="535">
        <f t="shared" si="209"/>
        <v>9.0857428214731595</v>
      </c>
      <c r="CK85" s="521">
        <f t="shared" si="210"/>
        <v>3.48314606741573</v>
      </c>
      <c r="CL85" s="521">
        <f>IF(AND($O85&gt;0,Sheet1!EN83=1),(1-($O85-Sheet1!$L83)/$O85)*CF85,0)</f>
        <v>0</v>
      </c>
      <c r="CM85" s="521">
        <f>IF(AND(Sheet1!$L83=0,Sheet1!$L82=0, Calculation!CE85&lt;Sheet1!EJ83-0.1,Sheet1!EJ83=Sheet1!EJ82,Sheet1!EJ83=Sheet1!EJ84),CF85-CL85,CF85-CL85)</f>
        <v>3.48314606741573</v>
      </c>
      <c r="CN85" s="1040" t="str">
        <f t="shared" si="292"/>
        <v/>
      </c>
      <c r="CO85" s="1035">
        <f t="shared" si="293"/>
        <v>12.568888888888889</v>
      </c>
      <c r="CP85" s="535">
        <f t="shared" si="211"/>
        <v>265.52699718944842</v>
      </c>
      <c r="CQ85" s="535"/>
      <c r="CR85" s="535">
        <f ca="1">IF(B85&gt;Summary!$A$1,#N/A,CP85*MGtoAF)</f>
        <v>814.63682737722775</v>
      </c>
      <c r="CS85" s="535">
        <f>Sheet1!BK83+Sheet1!BL83+Sheet1!BM83-Sheet1!ER83-DA85</f>
        <v>6.53</v>
      </c>
      <c r="CT85" s="535">
        <f t="shared" si="212"/>
        <v>6.4985553772070626</v>
      </c>
      <c r="CU85" s="535">
        <f>IF(Sheet1!ER83="FM",DA85,0)</f>
        <v>0</v>
      </c>
      <c r="CV85" s="535">
        <f t="shared" si="213"/>
        <v>0</v>
      </c>
      <c r="CW85" s="535">
        <f>IF(Sheet1!ER83="OTHER",DA85,0)</f>
        <v>0</v>
      </c>
      <c r="CX85" s="535">
        <f t="shared" si="214"/>
        <v>0</v>
      </c>
      <c r="CY85" s="535">
        <f t="shared" si="215"/>
        <v>6.53</v>
      </c>
      <c r="CZ85" s="535">
        <f t="shared" si="216"/>
        <v>6.4985553772070626</v>
      </c>
      <c r="DA85" s="535">
        <f>IF(OR(Sheet1!ER83="FM", Sheet1!ER83="OTHER"),SUM(Sheet1!BK83:'Sheet1'!BM83),0)</f>
        <v>0</v>
      </c>
      <c r="DB85" s="1011">
        <f>IF(AND($B85&gt;=$FV85,$B85&lt;=$FW85),MAX($CT85,Sheet1!EK83,0),MAX($CT85-(7/36)*$K85,0))</f>
        <v>0</v>
      </c>
      <c r="DC85" s="1012">
        <f t="shared" si="217"/>
        <v>6.0703335116818264</v>
      </c>
      <c r="DD85" s="1011">
        <f t="shared" si="218"/>
        <v>6.4985553772070626</v>
      </c>
      <c r="DE85" s="521">
        <f>IF(AND($O85&gt;0,Sheet1!EO83=1),(1-($O85-Sheet1!$L83)/$O85)*CZ85,0)</f>
        <v>0</v>
      </c>
      <c r="DF85" s="521">
        <f>IF(AND(Sheet1!$L83=0,Sheet1!$L82=0, Calculation!CY85&lt;Sheet1!$EK83-0.1,Sheet1!$EK83=Sheet1!$EK82,Sheet1!$EK83=Sheet1!$EK84),CZ85-DE85,CZ85-DE85)</f>
        <v>6.4985553772070626</v>
      </c>
      <c r="DG85" s="1040">
        <f t="shared" si="294"/>
        <v>12.568888888888889</v>
      </c>
      <c r="DH85" s="649">
        <f t="shared" si="219"/>
        <v>11.05</v>
      </c>
      <c r="DI85" s="535">
        <f t="shared" si="220"/>
        <v>169.64750543159292</v>
      </c>
      <c r="DJ85" s="649">
        <f t="shared" si="221"/>
        <v>10.996789727126806</v>
      </c>
      <c r="DK85" s="535">
        <f ca="1">IF(B85&gt;Summary!$A$1,#N/A,DI85*MGtoAF)</f>
        <v>520.47854666412707</v>
      </c>
      <c r="DL85" s="649">
        <f t="shared" si="222"/>
        <v>11.05</v>
      </c>
      <c r="DM85" s="535">
        <f t="shared" si="223"/>
        <v>31.150000000000002</v>
      </c>
      <c r="DN85" s="535">
        <f>Sheet1!AB83-DM85</f>
        <v>-0.15000000000000213</v>
      </c>
      <c r="DO85" s="743">
        <f t="shared" si="224"/>
        <v>-4.8154093097914005E-3</v>
      </c>
      <c r="DP85" s="535">
        <f>(VLOOKUP(Sheet1!DC83,hhdcap_wcm,4)-(((VLOOKUP(Sheet1!DC83,hhdcap_wcm,3)-Sheet1!DC83)/(VLOOKUP(Sheet1!DC83,hhdcap_wcm,3)-VLOOKUP(Sheet1!DC83,hhdcap_wcm,1)))*(VLOOKUP(Sheet1!DC83,hhdcap_wcm,4)-VLOOKUP(Sheet1!DC83,hhdcap_wcm,2))))</f>
        <v>10687.000000023829</v>
      </c>
      <c r="DQ85" s="535">
        <f t="shared" si="225"/>
        <v>740.60000000179571</v>
      </c>
      <c r="DR85" s="535">
        <f t="shared" si="226"/>
        <v>373.47453353595341</v>
      </c>
      <c r="DS85" s="535">
        <f>Sheet1!EA83*AFtoMG</f>
        <v>0</v>
      </c>
      <c r="DT85" s="535">
        <f>Sheet1!EB83*AFtoMG</f>
        <v>0</v>
      </c>
      <c r="DU85" s="535">
        <f>Sheet1!EC83*AFtoMG</f>
        <v>0</v>
      </c>
      <c r="DV85" s="535">
        <f>Sheet1!ED83*AFtoMG</f>
        <v>0</v>
      </c>
      <c r="DW85" s="535">
        <f t="shared" si="227"/>
        <v>0</v>
      </c>
      <c r="DX85" s="535">
        <f t="shared" si="228"/>
        <v>0</v>
      </c>
      <c r="DY85" s="535">
        <f t="shared" si="229"/>
        <v>1512.1618048153355</v>
      </c>
      <c r="DZ85" s="535">
        <f t="shared" si="230"/>
        <v>4639.3124171734489</v>
      </c>
      <c r="EA85" s="535"/>
      <c r="EB85" s="521">
        <f>IF(OR(B85&lt;FV85,B85&gt;FW85),(MIN(BF85+BY85+CT85+MAX(Sheet1!AA83+AQ85-73,0),K85)),0)</f>
        <v>10.996789727126806</v>
      </c>
      <c r="EC85" s="535"/>
      <c r="ED85" s="535">
        <f t="shared" si="231"/>
        <v>10.996789727126805</v>
      </c>
      <c r="EE85" s="535"/>
      <c r="EF85" s="535">
        <f>Sheet1!EH83+Sheet1!EI83+Sheet1!EJ83+Sheet1!EK83</f>
        <v>11</v>
      </c>
      <c r="EG85" s="1019">
        <f t="shared" si="295"/>
        <v>17.016999999999999</v>
      </c>
      <c r="EH85" s="521">
        <f t="shared" si="232"/>
        <v>0</v>
      </c>
      <c r="EI85" s="535">
        <f>IF(Sheet1!ET83=1,SUM('Calculations II'!AT85:BA85)+'Calculations II'!BC85+Sheet1!BV83+'Calculations II'!BE85+AP85,'Calculations II'!BK85)</f>
        <v>43.819614272873196</v>
      </c>
      <c r="EJ85" s="535">
        <f ca="1">EI85+'Calculations II'!D85+'Calculations II'!E85+'Calculations II'!O85</f>
        <v>45.599521536881845</v>
      </c>
      <c r="EK85" s="535"/>
      <c r="EL85" s="535"/>
      <c r="EM85" s="535">
        <f t="shared" si="233"/>
        <v>42809</v>
      </c>
      <c r="EN85" s="535">
        <f t="shared" si="234"/>
        <v>53.643210272873191</v>
      </c>
      <c r="EO85" s="535">
        <f t="shared" si="235"/>
        <v>82.986046292134816</v>
      </c>
      <c r="EP85" s="535">
        <v>0</v>
      </c>
      <c r="EQ85" s="535">
        <v>0</v>
      </c>
      <c r="ER85" s="535">
        <v>0</v>
      </c>
      <c r="ES85" s="521">
        <f t="shared" si="257"/>
        <v>-1.7991359706978836</v>
      </c>
      <c r="ET85" s="535">
        <f>-(VLOOKUP(Sheet1!BQ83,Lookup!$O$4:$Q$262,2)-VLOOKUP(Sheet1!BQ82,Lookup!$O$4:$Q$262,2))/1000000</f>
        <v>-0.83023591844844069</v>
      </c>
      <c r="EU85" s="535">
        <f>-(VLOOKUP(Sheet1!BR83,Lookup!$O$4:$Q$262,3)-VLOOKUP(Sheet1!BR82,Lookup!$O$4:$Q$262,3))/1000000</f>
        <v>-0.96890005224944276</v>
      </c>
      <c r="EV85" s="535"/>
      <c r="EW85" s="535"/>
      <c r="EX85" s="535"/>
      <c r="EY85" s="535"/>
      <c r="EZ85" s="535"/>
      <c r="FA85" s="535"/>
      <c r="FB85" s="535"/>
      <c r="FC85" s="535"/>
      <c r="FD85" s="567" t="e">
        <f t="shared" si="236"/>
        <v>#N/A</v>
      </c>
      <c r="FE85" s="567" t="e">
        <f t="shared" si="237"/>
        <v>#N/A</v>
      </c>
      <c r="FF85" s="568" t="e">
        <f t="shared" si="238"/>
        <v>#N/A</v>
      </c>
      <c r="FG85" s="569" t="s">
        <v>656</v>
      </c>
      <c r="FH85" s="569" t="s">
        <v>656</v>
      </c>
      <c r="FI85" s="567" t="e">
        <v>#N/A</v>
      </c>
      <c r="FJ85" s="567" t="e">
        <v>#N/A</v>
      </c>
      <c r="FK85" s="535"/>
      <c r="FL85" s="1015">
        <v>0</v>
      </c>
      <c r="FM85" s="535"/>
      <c r="FN85" s="535"/>
      <c r="FO85" s="535">
        <f>O85+((Sheet1!CS83)*GPMtoMGD)</f>
        <v>56.8</v>
      </c>
      <c r="FP85" s="535">
        <f>IF(Sheet1!AA83+AQ85&lt;=Calculation!N85,AQ85,Calculation!N85-Sheet1!AA83)</f>
        <v>20.003210272873194</v>
      </c>
      <c r="FQ85" s="535">
        <f>(Sheet1!BP83+Sheet1!BO83)/694.4</f>
        <v>1.5470910138248848</v>
      </c>
      <c r="FR85" s="541"/>
      <c r="FS85" s="541"/>
      <c r="FT85" s="541"/>
      <c r="FU85" s="541"/>
      <c r="FV85" s="1109">
        <f t="shared" si="258"/>
        <v>42918</v>
      </c>
      <c r="FW85" s="1109">
        <f t="shared" si="259"/>
        <v>43027</v>
      </c>
      <c r="FX85" s="541"/>
      <c r="FY85" s="541">
        <f>Sheet1!DA83-Sheet1!CZ83-Sheet1!AE83</f>
        <v>1509.4622200000019</v>
      </c>
      <c r="FZ85" s="535">
        <f t="shared" si="296"/>
        <v>0.25699646970143147</v>
      </c>
      <c r="GA85" s="535"/>
      <c r="GB85" s="535" t="str">
        <f t="shared" si="260"/>
        <v>n</v>
      </c>
      <c r="GC85" s="539">
        <f t="shared" si="261"/>
        <v>42782</v>
      </c>
      <c r="GD85" s="1109">
        <f t="shared" si="262"/>
        <v>42904</v>
      </c>
      <c r="GE85" s="535">
        <f t="shared" si="280"/>
        <v>6520</v>
      </c>
      <c r="GF85" s="1109">
        <f t="shared" si="263"/>
        <v>42909</v>
      </c>
      <c r="GG85" s="535">
        <f t="shared" si="308"/>
        <v>3260</v>
      </c>
      <c r="GH85" s="539">
        <f t="shared" si="264"/>
        <v>43040</v>
      </c>
      <c r="GJ85" s="521">
        <f t="shared" si="265"/>
        <v>0</v>
      </c>
      <c r="GK85" s="535" t="str">
        <f t="shared" si="239"/>
        <v/>
      </c>
      <c r="GL85" s="535">
        <f t="shared" si="266"/>
        <v>0</v>
      </c>
      <c r="GM85" s="535" t="str">
        <f t="shared" si="267"/>
        <v/>
      </c>
      <c r="GN85" s="535">
        <f>IF(GK85="P",Lookup!$M$12,IF(GK85="PP",Lookup!$M$13,IF(GK85="PPP",Lookup!$M$14,IF(GK85="T",Lookup!$M$15,IF(GK85="TP",Lookup!$M$16,IF(GK85="TPP",Lookup!$M$17,IF(GK85="TPPP",Lookup!$M$18,0)))))))*GJ85</f>
        <v>0</v>
      </c>
      <c r="GO85" s="535">
        <f t="shared" si="268"/>
        <v>0</v>
      </c>
      <c r="GP85" s="535">
        <f t="shared" si="240"/>
        <v>2313.6810666666652</v>
      </c>
      <c r="GQ85" s="535">
        <f t="shared" si="279"/>
        <v>754.13333333333287</v>
      </c>
      <c r="GR85" s="535"/>
      <c r="GS85" s="535">
        <f t="shared" si="269"/>
        <v>0</v>
      </c>
      <c r="GT85" s="535" t="str">
        <f t="shared" si="270"/>
        <v/>
      </c>
      <c r="GU85" s="535">
        <f>IF(GK85="P",Lookup!$N$12,IF(GK85="PP",Lookup!$N$13,IF(GK85="PPP",Lookup!$N$14,IF(GK85="T",Lookup!$N$15,IF(GK85="TP",Lookup!$N$16,IF(GK85="TPP",Lookup!$N$17,IF(GK85="TPPP",Lookup!$N$18,0)))))))*GJ85</f>
        <v>0</v>
      </c>
      <c r="GV85" s="535">
        <f t="shared" si="271"/>
        <v>0</v>
      </c>
      <c r="GW85" s="535">
        <f t="shared" si="241"/>
        <v>990.51597646542939</v>
      </c>
      <c r="GX85" s="535">
        <f t="shared" si="276"/>
        <v>322.85396886096134</v>
      </c>
      <c r="GY85" s="535"/>
      <c r="GZ85" s="535">
        <f t="shared" si="272"/>
        <v>0</v>
      </c>
      <c r="HA85" s="535" t="str">
        <f t="shared" si="273"/>
        <v/>
      </c>
      <c r="HB85" s="535">
        <f>IF(GK85="P",Lookup!$N$12,IF(GK85="PP",Lookup!$N$13,IF(GK85="PPP",Lookup!$N$14,IF(GK85="T",Lookup!$N$15,IF(GK85="TP",Lookup!$N$16,IF(GK85="TPP",Lookup!$N$17,IF(GK85="TPPP",Lookup!$N$18,0)))))))*GJ85</f>
        <v>0</v>
      </c>
      <c r="HC85" s="521">
        <f t="shared" si="242"/>
        <v>0</v>
      </c>
      <c r="HD85" s="535">
        <f t="shared" si="243"/>
        <v>814.63682737722775</v>
      </c>
      <c r="HE85" s="535">
        <f t="shared" si="277"/>
        <v>265.52699718944842</v>
      </c>
      <c r="HF85" s="535"/>
      <c r="HG85" s="535">
        <f t="shared" si="274"/>
        <v>0</v>
      </c>
      <c r="HH85" s="535" t="str">
        <f t="shared" si="275"/>
        <v/>
      </c>
      <c r="HI85" s="535">
        <f>IF(GK85="P",Lookup!$N$12,IF(GK85="PP",Lookup!$N$13,IF(GK85="PPP",Lookup!$N$14,IF(GK85="T",Lookup!$N$15,IF(GK85="TP",Lookup!$N$16,IF(GK85="TPP",Lookup!$N$17,IF(GK85="TPPP",Lookup!$N$18,0)))))))*GJ85</f>
        <v>0</v>
      </c>
      <c r="HJ85" s="521">
        <f t="shared" si="244"/>
        <v>0</v>
      </c>
      <c r="HK85" s="535">
        <f t="shared" si="245"/>
        <v>520.47854666412707</v>
      </c>
      <c r="HL85" s="535">
        <f t="shared" si="278"/>
        <v>169.64750543159292</v>
      </c>
      <c r="HM85" s="535"/>
      <c r="HN85" s="541"/>
      <c r="HO85" s="541"/>
      <c r="HP85" s="541"/>
      <c r="HQ85" s="541">
        <f>IF(AND(B85&gt;=$FV$4,B85&lt;=$FW$4),MAX(110/1.02+$HQ$6+MIN(113/1.02,G85),IF($HV$6-(Sheet1!DA83-Sheet1!DB83)+MIN(113/1.02,G85)&lt;G85+FL85,$HV$6-(Sheet1!DA83-Sheet1!DB83)+MIN(113/1.02,G85),G85+FL85)),MIN(110/1.02+$HQ$6+113/1.02,G85))</f>
        <v>218.62745098039215</v>
      </c>
      <c r="HR85" s="541">
        <f t="shared" si="297"/>
        <v>223</v>
      </c>
      <c r="HS85" s="541">
        <f>HR85+(Sheet1!DA83-Sheet1!DB83)</f>
        <v>2603</v>
      </c>
      <c r="HT85" s="541">
        <f t="shared" si="298"/>
        <v>70.77525</v>
      </c>
      <c r="HU85" s="541">
        <f t="shared" si="299"/>
        <v>2532.2247499999999</v>
      </c>
      <c r="HV85" s="541">
        <f t="shared" si="300"/>
        <v>0</v>
      </c>
      <c r="HW85" s="533" t="str">
        <f t="shared" si="301"/>
        <v/>
      </c>
      <c r="HX85" s="541">
        <f t="shared" si="302"/>
        <v>5281.3725490196075</v>
      </c>
      <c r="HY85" s="541">
        <f>Sheet1!CZ83</f>
        <v>5500</v>
      </c>
      <c r="HZ85" s="541">
        <f t="shared" si="303"/>
        <v>0</v>
      </c>
      <c r="IA85" s="541">
        <f t="shared" si="304"/>
        <v>70.77525</v>
      </c>
      <c r="IB85" s="541">
        <f t="shared" si="305"/>
        <v>5500</v>
      </c>
      <c r="IC85" s="1019" t="str">
        <f t="shared" si="306"/>
        <v/>
      </c>
      <c r="ID85" s="541">
        <f t="shared" si="307"/>
        <v>5429.2247500000003</v>
      </c>
      <c r="IE85" s="541">
        <f>Sheet1!DB83</f>
        <v>4660</v>
      </c>
      <c r="IF85" s="533">
        <f>Sheet1!DA83</f>
        <v>7040</v>
      </c>
      <c r="IH85" s="541">
        <f>IF(AND($B85&gt;=$GC85,$B85&lt;=$GH85,$DR85&lt;0)+N("only adjusted when pool is drawn down during storage season"),Sheet1!$DB83+$DR85+N("Palmer minus all storage release"),Sheet1!$DB83)</f>
        <v>4660</v>
      </c>
      <c r="II85" s="541">
        <f>IF(AND($B85&gt;=$GC85,$B85&lt;=$GH85,$DR85&lt;0)+N("only adjusted when pool is drawn down during storage season"),Sheet1!$DA83+$DR85+N("Auburn minus all storage release"),Sheet1!$DA83)</f>
        <v>7040</v>
      </c>
    </row>
    <row r="86" spans="1:243" x14ac:dyDescent="0.25">
      <c r="A86" s="553" t="s">
        <v>7</v>
      </c>
      <c r="B86" s="531">
        <v>42810</v>
      </c>
      <c r="C86" s="536">
        <v>0</v>
      </c>
      <c r="D86" s="506">
        <f t="shared" si="247"/>
        <v>300</v>
      </c>
      <c r="E86" s="506">
        <f t="shared" si="248"/>
        <v>250</v>
      </c>
      <c r="F86" s="506">
        <v>250</v>
      </c>
      <c r="G86" s="535">
        <f>DR86+Sheet1!CZ84</f>
        <v>4576.3237518915157</v>
      </c>
      <c r="H86" s="1074">
        <f t="shared" si="281"/>
        <v>2351.5789082879996</v>
      </c>
      <c r="I86" s="534">
        <f>IF(Sheet1!DA84&gt;=E86,(Sheet1!DA84-E86+P86)*CFStoMGD,0)</f>
        <v>4193.8189082879999</v>
      </c>
      <c r="J86" s="995">
        <f>IF(Sheet1!DB84&gt;=D86,(Sheet1!DB84-D86+P86)*CFStoMGD,0)</f>
        <v>2351.5789082879996</v>
      </c>
      <c r="K86" s="818">
        <f t="shared" si="282"/>
        <v>64.64</v>
      </c>
      <c r="L86" s="535">
        <f>Sheet1!AA84+Sheet1!AB84-Sheet1!L84+(Sheet1!DA84-F86)*CFStoMGD-S86-T86-U86</f>
        <v>4095.3800000000006</v>
      </c>
      <c r="M86" s="535">
        <f t="shared" si="185"/>
        <v>3017.2983866871296</v>
      </c>
      <c r="N86" s="824">
        <f>IF(Sheet1!DA84&gt;=F86,MIN(113*CFStoMGD,MIN(MAX(L86,0),MAX(M86,0))),0)</f>
        <v>73.043199999999999</v>
      </c>
      <c r="O86" s="538">
        <f>Sheet1!AA84+Sheet1!AB84</f>
        <v>56.86</v>
      </c>
      <c r="P86" s="538">
        <f t="shared" si="186"/>
        <v>87.962420000000009</v>
      </c>
      <c r="Q86" s="812">
        <f t="shared" si="283"/>
        <v>45.83</v>
      </c>
      <c r="R86" s="812">
        <f>IF(AND(B86&gt;=GF86,B86&lt;=GH86),MAX(EB86,EF86),EB86)</f>
        <v>11.022890750886239</v>
      </c>
      <c r="S86" s="812">
        <f t="shared" si="250"/>
        <v>11.03</v>
      </c>
      <c r="T86" s="812">
        <f t="shared" si="251"/>
        <v>53.61</v>
      </c>
      <c r="U86" s="812">
        <f t="shared" si="284"/>
        <v>0</v>
      </c>
      <c r="V86" s="812"/>
      <c r="W86" s="812">
        <f t="shared" si="252"/>
        <v>53.61710924911376</v>
      </c>
      <c r="X86" s="812">
        <f t="shared" si="253"/>
        <v>64.64</v>
      </c>
      <c r="Y86" s="812" t="str">
        <f t="shared" si="254"/>
        <v>FALSE</v>
      </c>
      <c r="Z86" s="812">
        <f t="shared" si="255"/>
        <v>56.86</v>
      </c>
      <c r="AA86" s="812">
        <f t="shared" si="256"/>
        <v>56.86</v>
      </c>
      <c r="AB86" s="1059">
        <f t="shared" si="285"/>
        <v>70.89900999999999</v>
      </c>
      <c r="AC86" s="538">
        <f>Sheet1!Y84*MGDtoCFS</f>
        <v>39.912599999999998</v>
      </c>
      <c r="AD86" s="538">
        <f>Sheet1!Z84*MGDtoCFS</f>
        <v>47.957000000000001</v>
      </c>
      <c r="AE86" s="538">
        <f>Sheet1!AA84*MGDtoCFS</f>
        <v>39.98995</v>
      </c>
      <c r="AF86" s="538">
        <f>Sheet1!AB84*MGDtoCFS</f>
        <v>47.972470000000001</v>
      </c>
      <c r="AG86" s="538">
        <f>Sheet1!L84*MGDtoCFS</f>
        <v>52.288599999998873</v>
      </c>
      <c r="AH86" s="521">
        <f t="shared" si="187"/>
        <v>0</v>
      </c>
      <c r="AI86" s="1059">
        <f t="shared" si="188"/>
        <v>0</v>
      </c>
      <c r="AJ86" s="535">
        <f t="shared" si="189"/>
        <v>53.61710924911376</v>
      </c>
      <c r="AK86" s="535">
        <f t="shared" si="190"/>
        <v>82.945668008378988</v>
      </c>
      <c r="AL86" s="535">
        <f>(VLOOKUP(Sheet1!DC84,hhdcap_wcm,4)-(((VLOOKUP(Sheet1!DC84,hhdcap_wcm,3)-Sheet1!DC84)/(VLOOKUP(Sheet1!DC84,hhdcap_wcm,3)-VLOOKUP(Sheet1!DC84,hhdcap_wcm,1)))*(VLOOKUP(Sheet1!DC84,hhdcap_wcm,4)-VLOOKUP(Sheet1!DC84,hhdcap_wcm,2))))</f>
        <v>10937.500000024704</v>
      </c>
      <c r="AM86" s="535">
        <f t="shared" si="191"/>
        <v>250.50000000087493</v>
      </c>
      <c r="AN86" s="1035">
        <f t="shared" si="192"/>
        <v>1565.7789140644493</v>
      </c>
      <c r="AO86" s="535">
        <f t="shared" si="193"/>
        <v>4803.8097083497305</v>
      </c>
      <c r="AP86" s="535">
        <f>Sheet1!BA84+Sheet1!BB84+Sheet1!BN84+CD86</f>
        <v>20</v>
      </c>
      <c r="AQ86" s="535">
        <f>Sheet1!BN84+(DO86*Sheet1!BN84)</f>
        <v>19.987109249113761</v>
      </c>
      <c r="AR86" s="535">
        <f>Sheet1!BA84+CD86</f>
        <v>0</v>
      </c>
      <c r="AS86" s="535">
        <f>Sheet1!BA84+Sheet1!BB84+CD86</f>
        <v>0</v>
      </c>
      <c r="AT86" s="649">
        <f>0</f>
        <v>0</v>
      </c>
      <c r="AU86" s="535">
        <f>IF(EB86&lt;K86,0,MAX(Sheet1!AA84+AQ86-15/36*K86-N86,Sheet1!EH84,0))</f>
        <v>0</v>
      </c>
      <c r="AV86" s="535">
        <f>IF(OR(B86&gt;=GD86,B86&lt;GC86),0,15/36*K86-MAX(0,64.6-(137.6-(Sheet1!AA84+Sheet1!AB84))))</f>
        <v>26.933333333333334</v>
      </c>
      <c r="AW86" s="1029"/>
      <c r="AX86" s="649"/>
      <c r="AY86" s="649">
        <f t="shared" si="286"/>
        <v>0</v>
      </c>
      <c r="AZ86" s="649">
        <f t="shared" si="287"/>
        <v>0</v>
      </c>
      <c r="BA86" s="1059">
        <f t="shared" si="288"/>
        <v>0</v>
      </c>
      <c r="BB86" s="1019">
        <f t="shared" si="194"/>
        <v>781.06666666666615</v>
      </c>
      <c r="BC86" s="1041">
        <f t="shared" si="289"/>
        <v>26.933333333333334</v>
      </c>
      <c r="BD86" s="1019">
        <f ca="1">IF(B86&gt;Summary!$A$1,#N/A,BB86*MGtoAF)</f>
        <v>2396.3125333333319</v>
      </c>
      <c r="BE86" s="535">
        <f>Sheet1!BG84+Sheet1!BH84+Sheet1!BI84-BM86</f>
        <v>1.02</v>
      </c>
      <c r="BF86" s="535">
        <f t="shared" si="195"/>
        <v>1.0193425717048019</v>
      </c>
      <c r="BG86" s="535">
        <f>IF(Sheet1!EP84="FM",BM86,0)</f>
        <v>0</v>
      </c>
      <c r="BH86" s="535">
        <f t="shared" si="196"/>
        <v>0</v>
      </c>
      <c r="BI86" s="535">
        <f>IF(Sheet1!EP84="OTHER",BM86,0)</f>
        <v>0</v>
      </c>
      <c r="BJ86" s="535">
        <f t="shared" si="197"/>
        <v>0</v>
      </c>
      <c r="BK86" s="535">
        <f t="shared" si="198"/>
        <v>1.02</v>
      </c>
      <c r="BL86" s="535">
        <f t="shared" si="199"/>
        <v>1.0193425717048019</v>
      </c>
      <c r="BM86" s="535">
        <f>IF(OR(Sheet1!EP84="FM", Sheet1!EP84="OTHER"),SUM(Sheet1!BG84:'Sheet1'!BI84),0)</f>
        <v>0</v>
      </c>
      <c r="BN86" s="521">
        <f>IF(AND($B86&gt;=$FV86,$B86&lt;=$FW86),MAX(BF86,Sheet1!EI84,0),MAX(BF86-(7/36)*$K86,0))</f>
        <v>0</v>
      </c>
      <c r="BO86" s="535">
        <f t="shared" si="200"/>
        <v>11.549546317184086</v>
      </c>
      <c r="BP86" s="521">
        <f t="shared" si="201"/>
        <v>1.0193425717048019</v>
      </c>
      <c r="BQ86" s="521">
        <f>IF(AND($O86&gt;0,Sheet1!EM84=1),(1-($O86-Sheet1!$L84)/$O86)*BL86,0)</f>
        <v>0</v>
      </c>
      <c r="BR86" s="521">
        <f>IF(AND(Sheet1!$L84=0,Sheet1!$L83=0, Calculation!BK86&lt;Sheet1!$EI84-0.1,Sheet1!$EI84=Sheet1!$EI83,Sheet1!$EI84=Sheet1!$EI85),BL86-BQ86,BL86-BQ86)</f>
        <v>1.0193425717048019</v>
      </c>
      <c r="BS86" s="1035" t="str">
        <f t="shared" si="290"/>
        <v/>
      </c>
      <c r="BT86" s="1035">
        <f t="shared" si="291"/>
        <v>12.568888888888889</v>
      </c>
      <c r="BU86" s="535">
        <f t="shared" si="202"/>
        <v>334.40351517814543</v>
      </c>
      <c r="BV86" s="535"/>
      <c r="BW86" s="535">
        <f ca="1">IF(B86&gt;Summary!$A$1,#N/A,BU86*MGtoAF)</f>
        <v>1025.9499845665503</v>
      </c>
      <c r="BX86" s="535">
        <f>Sheet1!BC84+Sheet1!BD84+Sheet1!BE84+Sheet1!BF84-CG86-CH86</f>
        <v>3.49</v>
      </c>
      <c r="BY86" s="535">
        <f t="shared" si="203"/>
        <v>3.4877505639703514</v>
      </c>
      <c r="BZ86" s="535">
        <f>IF(Sheet1!EQ84="FM",CH86,0)</f>
        <v>0</v>
      </c>
      <c r="CA86" s="535">
        <f t="shared" si="204"/>
        <v>0</v>
      </c>
      <c r="CB86" s="535">
        <f>IF(Sheet1!EQ84="OTHER",CH86,0)</f>
        <v>0</v>
      </c>
      <c r="CC86" s="535">
        <f t="shared" si="205"/>
        <v>0</v>
      </c>
      <c r="CD86" s="535">
        <f t="shared" si="206"/>
        <v>0</v>
      </c>
      <c r="CE86" s="535">
        <f t="shared" si="207"/>
        <v>3.49</v>
      </c>
      <c r="CF86" s="535">
        <f t="shared" si="208"/>
        <v>3.4877505639703514</v>
      </c>
      <c r="CG86" s="535">
        <f>IF(Sheet1!EQ84="CWA",SUM(Sheet1!BC84:'Sheet1'!BF84),0)</f>
        <v>0</v>
      </c>
      <c r="CH86" s="535">
        <f>IF(OR(Sheet1!EQ84="FM", Sheet1!EQ84="OTHER"),SUM(Sheet1!BC84:'Sheet1'!BF84),0)</f>
        <v>0</v>
      </c>
      <c r="CI86" s="521">
        <f>IF(AND($B86&gt;=$FV86,$B86&lt;=$FW86),MAX(CF86,Sheet1!EJ84,0),MAX(CF86-(7/36)*$K86,0))</f>
        <v>0</v>
      </c>
      <c r="CJ86" s="535">
        <f t="shared" si="209"/>
        <v>9.0811383249185376</v>
      </c>
      <c r="CK86" s="521">
        <f t="shared" si="210"/>
        <v>3.4877505639703514</v>
      </c>
      <c r="CL86" s="521">
        <f>IF(AND($O86&gt;0,Sheet1!EN84=1),(1-($O86-Sheet1!$L84)/$O86)*CF86,0)</f>
        <v>0</v>
      </c>
      <c r="CM86" s="521">
        <f>IF(AND(Sheet1!$L84=0,Sheet1!$L83=0, Calculation!CE86&lt;Sheet1!EJ84-0.1,Sheet1!EJ84=Sheet1!EJ83,Sheet1!EJ84=Sheet1!EJ85),CF86-CL86,CF86-CL86)</f>
        <v>3.4877505639703514</v>
      </c>
      <c r="CN86" s="1040" t="str">
        <f t="shared" si="292"/>
        <v/>
      </c>
      <c r="CO86" s="1035">
        <f t="shared" si="293"/>
        <v>12.568888888888889</v>
      </c>
      <c r="CP86" s="535">
        <f t="shared" si="211"/>
        <v>274.60813551436695</v>
      </c>
      <c r="CQ86" s="535"/>
      <c r="CR86" s="535">
        <f ca="1">IF(B86&gt;Summary!$A$1,#N/A,CP86*MGtoAF)</f>
        <v>842.49775975807779</v>
      </c>
      <c r="CS86" s="535">
        <f>Sheet1!BK84+Sheet1!BL84+Sheet1!BM84-Sheet1!ER84-DA86</f>
        <v>6.52</v>
      </c>
      <c r="CT86" s="535">
        <f t="shared" si="212"/>
        <v>6.5157976152110857</v>
      </c>
      <c r="CU86" s="535">
        <f>IF(Sheet1!ER84="FM",DA86,0)</f>
        <v>0</v>
      </c>
      <c r="CV86" s="535">
        <f t="shared" si="213"/>
        <v>0</v>
      </c>
      <c r="CW86" s="535">
        <f>IF(Sheet1!ER84="OTHER",DA86,0)</f>
        <v>0</v>
      </c>
      <c r="CX86" s="535">
        <f t="shared" si="214"/>
        <v>0</v>
      </c>
      <c r="CY86" s="535">
        <f t="shared" si="215"/>
        <v>6.52</v>
      </c>
      <c r="CZ86" s="535">
        <f t="shared" si="216"/>
        <v>6.5157976152110857</v>
      </c>
      <c r="DA86" s="535">
        <f>IF(OR(Sheet1!ER84="FM", Sheet1!ER84="OTHER"),SUM(Sheet1!BK84:'Sheet1'!BM84),0)</f>
        <v>0</v>
      </c>
      <c r="DB86" s="1011">
        <f>IF(AND($B86&gt;=$FV86,$B86&lt;=$FW86),MAX($CT86,Sheet1!EK84,0),MAX($CT86-(7/36)*$K86,0))</f>
        <v>0</v>
      </c>
      <c r="DC86" s="1012">
        <f t="shared" si="217"/>
        <v>6.0530912736778033</v>
      </c>
      <c r="DD86" s="1011">
        <f t="shared" si="218"/>
        <v>6.5157976152110857</v>
      </c>
      <c r="DE86" s="521">
        <f>IF(AND($O86&gt;0,Sheet1!EO84=1),(1-($O86-Sheet1!$L84)/$O86)*CZ86,0)</f>
        <v>0</v>
      </c>
      <c r="DF86" s="521">
        <f>IF(AND(Sheet1!$L84=0,Sheet1!$L83=0, Calculation!CY86&lt;Sheet1!$EK84-0.1,Sheet1!$EK84=Sheet1!$EK83,Sheet1!$EK84=Sheet1!$EK85),CZ86-DE86,CZ86-DE86)</f>
        <v>6.5157976152110857</v>
      </c>
      <c r="DG86" s="1040">
        <f t="shared" si="294"/>
        <v>12.568888888888889</v>
      </c>
      <c r="DH86" s="649">
        <f t="shared" si="219"/>
        <v>11.03</v>
      </c>
      <c r="DI86" s="535">
        <f t="shared" si="220"/>
        <v>175.70059670527073</v>
      </c>
      <c r="DJ86" s="649">
        <f t="shared" si="221"/>
        <v>11.022890750886239</v>
      </c>
      <c r="DK86" s="535">
        <f ca="1">IF(B86&gt;Summary!$A$1,#N/A,DI86*MGtoAF)</f>
        <v>539.04943069177057</v>
      </c>
      <c r="DL86" s="649">
        <f t="shared" si="222"/>
        <v>11.03</v>
      </c>
      <c r="DM86" s="535">
        <f t="shared" si="223"/>
        <v>31.03</v>
      </c>
      <c r="DN86" s="535">
        <f>Sheet1!AB84-DM86</f>
        <v>-1.9999999999999574E-2</v>
      </c>
      <c r="DO86" s="743">
        <f t="shared" si="224"/>
        <v>-6.4453754431194245E-4</v>
      </c>
      <c r="DP86" s="535">
        <f>(VLOOKUP(Sheet1!DC84,hhdcap_wcm,4)-(((VLOOKUP(Sheet1!DC84,hhdcap_wcm,3)-Sheet1!DC84)/(VLOOKUP(Sheet1!DC84,hhdcap_wcm,3)-VLOOKUP(Sheet1!DC84,hhdcap_wcm,1)))*(VLOOKUP(Sheet1!DC84,hhdcap_wcm,4)-VLOOKUP(Sheet1!DC84,hhdcap_wcm,2))))</f>
        <v>10937.500000024704</v>
      </c>
      <c r="DQ86" s="535">
        <f t="shared" si="225"/>
        <v>250.50000000087493</v>
      </c>
      <c r="DR86" s="535">
        <f t="shared" si="226"/>
        <v>126.32375189151533</v>
      </c>
      <c r="DS86" s="535">
        <f>Sheet1!EA84*AFtoMG</f>
        <v>0</v>
      </c>
      <c r="DT86" s="535">
        <f>Sheet1!EB84*AFtoMG</f>
        <v>0</v>
      </c>
      <c r="DU86" s="535">
        <f>Sheet1!EC84*AFtoMG</f>
        <v>0</v>
      </c>
      <c r="DV86" s="535">
        <f>Sheet1!ED84*AFtoMG</f>
        <v>0</v>
      </c>
      <c r="DW86" s="535">
        <f t="shared" si="227"/>
        <v>0</v>
      </c>
      <c r="DX86" s="535">
        <f t="shared" si="228"/>
        <v>0</v>
      </c>
      <c r="DY86" s="535">
        <f t="shared" si="229"/>
        <v>1565.7789140644493</v>
      </c>
      <c r="DZ86" s="535">
        <f t="shared" si="230"/>
        <v>4803.8097083497305</v>
      </c>
      <c r="EA86" s="535"/>
      <c r="EB86" s="521">
        <f>IF(OR(B86&lt;FV86,B86&gt;FW86),(MIN(BF86+BY86+CT86+MAX(Sheet1!AA84+AQ86-73,0),K86)),0)</f>
        <v>11.022890750886239</v>
      </c>
      <c r="EC86" s="535"/>
      <c r="ED86" s="535">
        <f t="shared" si="231"/>
        <v>11.022890750886239</v>
      </c>
      <c r="EE86" s="535"/>
      <c r="EF86" s="535">
        <f>Sheet1!EH84+Sheet1!EI84+Sheet1!EJ84+Sheet1!EK84</f>
        <v>11</v>
      </c>
      <c r="EG86" s="1019">
        <f t="shared" si="295"/>
        <v>17.016999999999999</v>
      </c>
      <c r="EH86" s="521">
        <f t="shared" si="232"/>
        <v>0</v>
      </c>
      <c r="EI86" s="535">
        <f>IF(Sheet1!ET84=1,SUM('Calculations II'!AT86:BA86)+'Calculations II'!BC86+Sheet1!BV84+'Calculations II'!BE86+AP86,'Calculations II'!BK86)</f>
        <v>45.233377249113765</v>
      </c>
      <c r="EJ86" s="535">
        <f ca="1">EI86+'Calculations II'!D86+'Calculations II'!E86+'Calculations II'!O86</f>
        <v>44.391528759846075</v>
      </c>
      <c r="EK86" s="535"/>
      <c r="EL86" s="535"/>
      <c r="EM86" s="535">
        <f t="shared" si="233"/>
        <v>42810</v>
      </c>
      <c r="EN86" s="535">
        <f t="shared" si="234"/>
        <v>53.61710924911376</v>
      </c>
      <c r="EO86" s="535">
        <f t="shared" si="235"/>
        <v>82.945668008378988</v>
      </c>
      <c r="EP86" s="535">
        <v>0</v>
      </c>
      <c r="EQ86" s="535">
        <v>0</v>
      </c>
      <c r="ER86" s="535">
        <v>0</v>
      </c>
      <c r="ES86" s="521">
        <f t="shared" si="257"/>
        <v>-0.13839507363446801</v>
      </c>
      <c r="ET86" s="535">
        <f>-(VLOOKUP(Sheet1!BQ84,Lookup!$O$4:$Q$262,2)-VLOOKUP(Sheet1!BQ83,Lookup!$O$4:$Q$262,2))/1000000</f>
        <v>-0.13839507363446801</v>
      </c>
      <c r="EU86" s="535">
        <f>-(VLOOKUP(Sheet1!BR84,Lookup!$O$4:$Q$262,3)-VLOOKUP(Sheet1!BR83,Lookup!$O$4:$Q$262,3))/1000000</f>
        <v>0</v>
      </c>
      <c r="EV86" s="535"/>
      <c r="EW86" s="535"/>
      <c r="EX86" s="535"/>
      <c r="EY86" s="535"/>
      <c r="EZ86" s="535"/>
      <c r="FA86" s="535"/>
      <c r="FB86" s="535"/>
      <c r="FC86" s="535"/>
      <c r="FD86" s="567" t="e">
        <f t="shared" si="236"/>
        <v>#N/A</v>
      </c>
      <c r="FE86" s="567" t="e">
        <f t="shared" si="237"/>
        <v>#N/A</v>
      </c>
      <c r="FF86" s="568" t="e">
        <f t="shared" si="238"/>
        <v>#N/A</v>
      </c>
      <c r="FG86" s="569" t="s">
        <v>656</v>
      </c>
      <c r="FH86" s="569" t="s">
        <v>656</v>
      </c>
      <c r="FI86" s="567" t="e">
        <v>#N/A</v>
      </c>
      <c r="FJ86" s="567" t="e">
        <v>#N/A</v>
      </c>
      <c r="FK86" s="535"/>
      <c r="FL86" s="1015">
        <v>0</v>
      </c>
      <c r="FM86" s="535"/>
      <c r="FN86" s="535"/>
      <c r="FO86" s="535">
        <f>O86+((Sheet1!CS84)*GPMtoMGD)</f>
        <v>56.86</v>
      </c>
      <c r="FP86" s="535">
        <f>IF(Sheet1!AA84+AQ86&lt;=Calculation!N86,AQ86,Calculation!N86-Sheet1!AA84)</f>
        <v>19.987109249113761</v>
      </c>
      <c r="FQ86" s="535">
        <f>(Sheet1!BP84+Sheet1!BO84)/694.4</f>
        <v>1.4176267281105992</v>
      </c>
      <c r="FR86" s="541"/>
      <c r="FS86" s="541"/>
      <c r="FT86" s="541"/>
      <c r="FU86" s="541"/>
      <c r="FV86" s="1109">
        <f t="shared" si="258"/>
        <v>42918</v>
      </c>
      <c r="FW86" s="1109">
        <f t="shared" si="259"/>
        <v>43027</v>
      </c>
      <c r="FX86" s="541"/>
      <c r="FY86" s="541">
        <f>Sheet1!DA84-Sheet1!CZ84-Sheet1!AE84</f>
        <v>2164.3261799999987</v>
      </c>
      <c r="FZ86" s="535">
        <f t="shared" si="296"/>
        <v>0.4729399180085162</v>
      </c>
      <c r="GA86" s="535"/>
      <c r="GB86" s="535" t="str">
        <f t="shared" si="260"/>
        <v>n</v>
      </c>
      <c r="GC86" s="539">
        <f t="shared" si="261"/>
        <v>42782</v>
      </c>
      <c r="GD86" s="1109">
        <f t="shared" si="262"/>
        <v>42904</v>
      </c>
      <c r="GE86" s="535">
        <f t="shared" si="280"/>
        <v>6520</v>
      </c>
      <c r="GF86" s="1109">
        <f t="shared" si="263"/>
        <v>42909</v>
      </c>
      <c r="GG86" s="535">
        <f t="shared" si="308"/>
        <v>3260</v>
      </c>
      <c r="GH86" s="539">
        <f t="shared" si="264"/>
        <v>43040</v>
      </c>
      <c r="GJ86" s="521">
        <f t="shared" si="265"/>
        <v>0</v>
      </c>
      <c r="GK86" s="535" t="str">
        <f t="shared" si="239"/>
        <v/>
      </c>
      <c r="GL86" s="535">
        <f t="shared" si="266"/>
        <v>0</v>
      </c>
      <c r="GM86" s="535" t="str">
        <f t="shared" si="267"/>
        <v/>
      </c>
      <c r="GN86" s="535">
        <f>IF(GK86="P",Lookup!$M$12,IF(GK86="PP",Lookup!$M$13,IF(GK86="PPP",Lookup!$M$14,IF(GK86="T",Lookup!$M$15,IF(GK86="TP",Lookup!$M$16,IF(GK86="TPP",Lookup!$M$17,IF(GK86="TPPP",Lookup!$M$18,0)))))))*GJ86</f>
        <v>0</v>
      </c>
      <c r="GO86" s="535">
        <f t="shared" si="268"/>
        <v>0</v>
      </c>
      <c r="GP86" s="535">
        <f t="shared" si="240"/>
        <v>2396.3125333333319</v>
      </c>
      <c r="GQ86" s="535">
        <f t="shared" si="279"/>
        <v>781.06666666666615</v>
      </c>
      <c r="GR86" s="535"/>
      <c r="GS86" s="535">
        <f t="shared" si="269"/>
        <v>0</v>
      </c>
      <c r="GT86" s="535" t="str">
        <f t="shared" si="270"/>
        <v/>
      </c>
      <c r="GU86" s="535">
        <f>IF(GK86="P",Lookup!$N$12,IF(GK86="PP",Lookup!$N$13,IF(GK86="PPP",Lookup!$N$14,IF(GK86="T",Lookup!$N$15,IF(GK86="TP",Lookup!$N$16,IF(GK86="TPP",Lookup!$N$17,IF(GK86="TPPP",Lookup!$N$18,0)))))))*GJ86</f>
        <v>0</v>
      </c>
      <c r="GV86" s="535">
        <f t="shared" si="271"/>
        <v>0</v>
      </c>
      <c r="GW86" s="535">
        <f t="shared" si="241"/>
        <v>1025.9499845665503</v>
      </c>
      <c r="GX86" s="535">
        <f t="shared" si="276"/>
        <v>334.40351517814543</v>
      </c>
      <c r="GY86" s="535"/>
      <c r="GZ86" s="535">
        <f t="shared" si="272"/>
        <v>0</v>
      </c>
      <c r="HA86" s="535" t="str">
        <f t="shared" si="273"/>
        <v/>
      </c>
      <c r="HB86" s="535">
        <f>IF(GK86="P",Lookup!$N$12,IF(GK86="PP",Lookup!$N$13,IF(GK86="PPP",Lookup!$N$14,IF(GK86="T",Lookup!$N$15,IF(GK86="TP",Lookup!$N$16,IF(GK86="TPP",Lookup!$N$17,IF(GK86="TPPP",Lookup!$N$18,0)))))))*GJ86</f>
        <v>0</v>
      </c>
      <c r="HC86" s="521">
        <f t="shared" si="242"/>
        <v>0</v>
      </c>
      <c r="HD86" s="535">
        <f t="shared" si="243"/>
        <v>842.49775975807779</v>
      </c>
      <c r="HE86" s="535">
        <f t="shared" si="277"/>
        <v>274.60813551436695</v>
      </c>
      <c r="HF86" s="535"/>
      <c r="HG86" s="535">
        <f t="shared" si="274"/>
        <v>0</v>
      </c>
      <c r="HH86" s="535" t="str">
        <f t="shared" si="275"/>
        <v/>
      </c>
      <c r="HI86" s="535">
        <f>IF(GK86="P",Lookup!$N$12,IF(GK86="PP",Lookup!$N$13,IF(GK86="PPP",Lookup!$N$14,IF(GK86="T",Lookup!$N$15,IF(GK86="TP",Lookup!$N$16,IF(GK86="TPP",Lookup!$N$17,IF(GK86="TPPP",Lookup!$N$18,0)))))))*GJ86</f>
        <v>0</v>
      </c>
      <c r="HJ86" s="521">
        <f t="shared" si="244"/>
        <v>0</v>
      </c>
      <c r="HK86" s="535">
        <f t="shared" si="245"/>
        <v>539.04943069177057</v>
      </c>
      <c r="HL86" s="535">
        <f t="shared" si="278"/>
        <v>175.70059670527073</v>
      </c>
      <c r="HM86" s="535"/>
      <c r="HN86" s="541"/>
      <c r="HO86" s="541"/>
      <c r="HP86" s="541"/>
      <c r="HQ86" s="541">
        <f>IF(AND(B86&gt;=$FV$4,B86&lt;=$FW$4),MAX(110/1.02+$HQ$6+MIN(113/1.02,G86),IF($HV$6-(Sheet1!DA84-Sheet1!DB84)+MIN(113/1.02,G86)&lt;G86+FL86,$HV$6-(Sheet1!DA84-Sheet1!DB84)+MIN(113/1.02,G86),G86+FL86)),MIN(110/1.02+$HQ$6+113/1.02,G86))</f>
        <v>218.62745098039215</v>
      </c>
      <c r="HR86" s="541">
        <f t="shared" si="297"/>
        <v>223</v>
      </c>
      <c r="HS86" s="541">
        <f>HR86+(Sheet1!DA84-Sheet1!DB84)</f>
        <v>3023</v>
      </c>
      <c r="HT86" s="541">
        <f t="shared" si="298"/>
        <v>70.89900999999999</v>
      </c>
      <c r="HU86" s="541">
        <f t="shared" si="299"/>
        <v>2952.1009899999999</v>
      </c>
      <c r="HV86" s="541">
        <f t="shared" si="300"/>
        <v>0</v>
      </c>
      <c r="HW86" s="533" t="str">
        <f t="shared" si="301"/>
        <v/>
      </c>
      <c r="HX86" s="541">
        <f t="shared" si="302"/>
        <v>4231.3725490196075</v>
      </c>
      <c r="HY86" s="541">
        <f>Sheet1!CZ84</f>
        <v>4450</v>
      </c>
      <c r="HZ86" s="541">
        <f t="shared" si="303"/>
        <v>0</v>
      </c>
      <c r="IA86" s="541">
        <f t="shared" si="304"/>
        <v>70.89900999999999</v>
      </c>
      <c r="IB86" s="541">
        <f t="shared" si="305"/>
        <v>4450</v>
      </c>
      <c r="IC86" s="1019" t="str">
        <f t="shared" si="306"/>
        <v/>
      </c>
      <c r="ID86" s="541">
        <f t="shared" si="307"/>
        <v>4379.1009899999999</v>
      </c>
      <c r="IE86" s="541">
        <f>Sheet1!DB84</f>
        <v>3850</v>
      </c>
      <c r="IF86" s="533">
        <f>Sheet1!DA84</f>
        <v>6650</v>
      </c>
      <c r="IH86" s="541">
        <f>IF(AND($B86&gt;=$GC86,$B86&lt;=$GH86,$DR86&lt;0)+N("only adjusted when pool is drawn down during storage season"),Sheet1!$DB84+$DR86+N("Palmer minus all storage release"),Sheet1!$DB84)</f>
        <v>3850</v>
      </c>
      <c r="II86" s="541">
        <f>IF(AND($B86&gt;=$GC86,$B86&lt;=$GH86,$DR86&lt;0)+N("only adjusted when pool is drawn down during storage season"),Sheet1!$DA84+$DR86+N("Auburn minus all storage release"),Sheet1!$DA84)</f>
        <v>6650</v>
      </c>
    </row>
    <row r="87" spans="1:243" x14ac:dyDescent="0.25">
      <c r="A87" s="553" t="s">
        <v>8</v>
      </c>
      <c r="B87" s="531">
        <v>42811</v>
      </c>
      <c r="C87" s="536">
        <v>0</v>
      </c>
      <c r="D87" s="506">
        <f t="shared" si="247"/>
        <v>300</v>
      </c>
      <c r="E87" s="506">
        <f t="shared" si="248"/>
        <v>250</v>
      </c>
      <c r="F87" s="506">
        <v>250</v>
      </c>
      <c r="G87" s="535">
        <f>DR87+Sheet1!CZ85</f>
        <v>3086.7977811387664</v>
      </c>
      <c r="H87" s="1074">
        <f t="shared" si="281"/>
        <v>1625.4909949760984</v>
      </c>
      <c r="I87" s="534">
        <f>IF(Sheet1!DA85&gt;=E87,(Sheet1!DA85-E87+P87)*CFStoMGD,0)</f>
        <v>3275.8809092480001</v>
      </c>
      <c r="J87" s="995">
        <f>IF(Sheet1!DB85&gt;=D87,(Sheet1!DB85-D87+P87)*CFStoMGD,0)</f>
        <v>1853.8009092479997</v>
      </c>
      <c r="K87" s="818">
        <f t="shared" si="282"/>
        <v>64.64</v>
      </c>
      <c r="L87" s="535">
        <f>Sheet1!AA85+Sheet1!AB85-Sheet1!L85+(Sheet1!DA85-F87)*CFStoMGD-S87-T87-U87</f>
        <v>3182.561999999999</v>
      </c>
      <c r="M87" s="535">
        <f t="shared" si="185"/>
        <v>2035.2122074426607</v>
      </c>
      <c r="N87" s="824">
        <f>IF(Sheet1!DA85&gt;=F87,MIN(113*CFStoMGD,MIN(MAX(L87,0),MAX(M87,0))),0)</f>
        <v>73.043199999999999</v>
      </c>
      <c r="O87" s="538">
        <f>Sheet1!AA85+Sheet1!AB85</f>
        <v>56.81</v>
      </c>
      <c r="P87" s="538">
        <f t="shared" si="186"/>
        <v>87.885069999999985</v>
      </c>
      <c r="Q87" s="812">
        <f t="shared" si="283"/>
        <v>45.7</v>
      </c>
      <c r="R87" s="812">
        <f t="shared" si="249"/>
        <v>11.07417284746856</v>
      </c>
      <c r="S87" s="812">
        <f t="shared" si="250"/>
        <v>11.11</v>
      </c>
      <c r="T87" s="812">
        <f t="shared" si="251"/>
        <v>53.53</v>
      </c>
      <c r="U87" s="812">
        <f t="shared" si="284"/>
        <v>0</v>
      </c>
      <c r="V87" s="812"/>
      <c r="W87" s="812">
        <f t="shared" si="252"/>
        <v>53.56582715253144</v>
      </c>
      <c r="X87" s="812">
        <f t="shared" si="253"/>
        <v>64.64</v>
      </c>
      <c r="Y87" s="812" t="str">
        <f t="shared" si="254"/>
        <v>FALSE</v>
      </c>
      <c r="Z87" s="812">
        <f t="shared" si="255"/>
        <v>56.81</v>
      </c>
      <c r="AA87" s="812">
        <f t="shared" si="256"/>
        <v>56.81</v>
      </c>
      <c r="AB87" s="1059">
        <f t="shared" si="285"/>
        <v>70.697900000000004</v>
      </c>
      <c r="AC87" s="538">
        <f>Sheet1!Y85*MGDtoCFS</f>
        <v>38.195430000000002</v>
      </c>
      <c r="AD87" s="538">
        <f>Sheet1!Z85*MGDtoCFS</f>
        <v>45.791200000000003</v>
      </c>
      <c r="AE87" s="538">
        <f>Sheet1!AA85*MGDtoCFS</f>
        <v>40.067299999999996</v>
      </c>
      <c r="AF87" s="538">
        <f>Sheet1!AB85*MGDtoCFS</f>
        <v>47.817769999999996</v>
      </c>
      <c r="AG87" s="538">
        <f>Sheet1!L85*MGDtoCFS</f>
        <v>44.367960000000451</v>
      </c>
      <c r="AH87" s="521">
        <f t="shared" si="187"/>
        <v>0</v>
      </c>
      <c r="AI87" s="1059">
        <f t="shared" si="188"/>
        <v>0</v>
      </c>
      <c r="AJ87" s="535">
        <f t="shared" si="189"/>
        <v>53.56582715253144</v>
      </c>
      <c r="AK87" s="535">
        <f t="shared" si="190"/>
        <v>82.866334604966141</v>
      </c>
      <c r="AL87" s="535">
        <f>(VLOOKUP(Sheet1!DC85,hhdcap_wcm,4)-(((VLOOKUP(Sheet1!DC85,hhdcap_wcm,3)-Sheet1!DC85)/(VLOOKUP(Sheet1!DC85,hhdcap_wcm,3)-VLOOKUP(Sheet1!DC85,hhdcap_wcm,1)))*(VLOOKUP(Sheet1!DC85,hhdcap_wcm,4)-VLOOKUP(Sheet1!DC85,hhdcap_wcm,2))))</f>
        <v>10237.100000022878</v>
      </c>
      <c r="AM87" s="535">
        <f t="shared" si="191"/>
        <v>-700.4000000018259</v>
      </c>
      <c r="AN87" s="1035">
        <f t="shared" si="192"/>
        <v>1619.3447412169808</v>
      </c>
      <c r="AO87" s="535">
        <f t="shared" si="193"/>
        <v>4968.1496660536968</v>
      </c>
      <c r="AP87" s="535">
        <f>Sheet1!BA85+Sheet1!BB85+Sheet1!BN85+CD87</f>
        <v>19.899999999999999</v>
      </c>
      <c r="AQ87" s="535">
        <f>Sheet1!BN85+(DO87*Sheet1!BN85)</f>
        <v>19.83582715253144</v>
      </c>
      <c r="AR87" s="535">
        <f>Sheet1!BA85+CD87</f>
        <v>0</v>
      </c>
      <c r="AS87" s="535">
        <f>Sheet1!BA85+Sheet1!BB85+CD87</f>
        <v>0</v>
      </c>
      <c r="AT87" s="649">
        <f>0</f>
        <v>0</v>
      </c>
      <c r="AU87" s="535">
        <f>IF(EB87&lt;K87,0,MAX(Sheet1!AA85+AQ87-15/36*K87-N87,Sheet1!EH85,0))</f>
        <v>0</v>
      </c>
      <c r="AV87" s="535">
        <f>IF(OR(B87&gt;=GD87,B87&lt;GC87),0,15/36*K87-MAX(0,64.6-(137.6-(Sheet1!AA85+Sheet1!AB85))))</f>
        <v>26.933333333333334</v>
      </c>
      <c r="AW87" s="1029"/>
      <c r="AX87" s="649"/>
      <c r="AY87" s="649">
        <f t="shared" si="286"/>
        <v>0</v>
      </c>
      <c r="AZ87" s="649">
        <f t="shared" si="287"/>
        <v>0</v>
      </c>
      <c r="BA87" s="1059">
        <f t="shared" si="288"/>
        <v>0</v>
      </c>
      <c r="BB87" s="1019">
        <f t="shared" si="194"/>
        <v>807.99999999999943</v>
      </c>
      <c r="BC87" s="1041">
        <f t="shared" si="289"/>
        <v>26.933333333333334</v>
      </c>
      <c r="BD87" s="1019">
        <f ca="1">IF(B87&gt;Summary!$A$1,#N/A,BB87*MGtoAF)</f>
        <v>2478.9439999999981</v>
      </c>
      <c r="BE87" s="535">
        <f>Sheet1!BG85+Sheet1!BH85+Sheet1!BI85-BM87</f>
        <v>1.01</v>
      </c>
      <c r="BF87" s="535">
        <f t="shared" si="195"/>
        <v>1.0067429861335053</v>
      </c>
      <c r="BG87" s="535">
        <f>IF(Sheet1!EP85="FM",BM87,0)</f>
        <v>0</v>
      </c>
      <c r="BH87" s="535">
        <f t="shared" si="196"/>
        <v>0</v>
      </c>
      <c r="BI87" s="535">
        <f>IF(Sheet1!EP85="OTHER",BM87,0)</f>
        <v>0</v>
      </c>
      <c r="BJ87" s="535">
        <f t="shared" si="197"/>
        <v>0</v>
      </c>
      <c r="BK87" s="535">
        <f t="shared" si="198"/>
        <v>1.01</v>
      </c>
      <c r="BL87" s="535">
        <f t="shared" si="199"/>
        <v>1.0067429861335053</v>
      </c>
      <c r="BM87" s="535">
        <f>IF(OR(Sheet1!EP85="FM", Sheet1!EP85="OTHER"),SUM(Sheet1!BG85:'Sheet1'!BI85),0)</f>
        <v>0</v>
      </c>
      <c r="BN87" s="521">
        <f>IF(AND($B87&gt;=$FV87,$B87&lt;=$FW87),MAX(BF87,Sheet1!EI85,0),MAX(BF87-(7/36)*$K87,0))</f>
        <v>0</v>
      </c>
      <c r="BO87" s="535">
        <f t="shared" si="200"/>
        <v>11.562145902755384</v>
      </c>
      <c r="BP87" s="521">
        <f t="shared" si="201"/>
        <v>1.0067429861335053</v>
      </c>
      <c r="BQ87" s="521">
        <f>IF(AND($O87&gt;0,Sheet1!EM85=1),(1-($O87-Sheet1!$L85)/$O87)*BL87,0)</f>
        <v>0</v>
      </c>
      <c r="BR87" s="521">
        <f>IF(AND(Sheet1!$L85=0,Sheet1!$L84=0, Calculation!BK87&lt;Sheet1!$EI85-0.1,Sheet1!$EI85=Sheet1!$EI84,Sheet1!$EI85=Sheet1!$EI86),BL87-BQ87,BL87-BQ87)</f>
        <v>1.0067429861335053</v>
      </c>
      <c r="BS87" s="1035" t="str">
        <f t="shared" si="290"/>
        <v/>
      </c>
      <c r="BT87" s="1035">
        <f t="shared" si="291"/>
        <v>12.568888888888889</v>
      </c>
      <c r="BU87" s="535">
        <f t="shared" si="202"/>
        <v>345.96566108090082</v>
      </c>
      <c r="BV87" s="535"/>
      <c r="BW87" s="535">
        <f ca="1">IF(B87&gt;Summary!$A$1,#N/A,BU87*MGtoAF)</f>
        <v>1061.4226481962037</v>
      </c>
      <c r="BX87" s="535">
        <f>Sheet1!BC85+Sheet1!BD85+Sheet1!BE85+Sheet1!BF85-CG87-CH87</f>
        <v>3.5</v>
      </c>
      <c r="BY87" s="535">
        <f t="shared" si="203"/>
        <v>3.4887133182844248</v>
      </c>
      <c r="BZ87" s="535">
        <f>IF(Sheet1!EQ85="FM",CH87,0)</f>
        <v>0</v>
      </c>
      <c r="CA87" s="535">
        <f t="shared" si="204"/>
        <v>0</v>
      </c>
      <c r="CB87" s="535">
        <f>IF(Sheet1!EQ85="OTHER",CH87,0)</f>
        <v>0</v>
      </c>
      <c r="CC87" s="535">
        <f t="shared" si="205"/>
        <v>0</v>
      </c>
      <c r="CD87" s="535">
        <f t="shared" si="206"/>
        <v>0</v>
      </c>
      <c r="CE87" s="535">
        <f t="shared" si="207"/>
        <v>3.5</v>
      </c>
      <c r="CF87" s="535">
        <f t="shared" si="208"/>
        <v>3.4887133182844248</v>
      </c>
      <c r="CG87" s="535">
        <f>IF(Sheet1!EQ85="CWA",SUM(Sheet1!BC85:'Sheet1'!BF85),0)</f>
        <v>0</v>
      </c>
      <c r="CH87" s="535">
        <f>IF(OR(Sheet1!EQ85="FM", Sheet1!EQ85="OTHER"),SUM(Sheet1!BC85:'Sheet1'!BF85),0)</f>
        <v>0</v>
      </c>
      <c r="CI87" s="521">
        <f>IF(AND($B87&gt;=$FV87,$B87&lt;=$FW87),MAX(CF87,Sheet1!EJ85,0),MAX(CF87-(7/36)*$K87,0))</f>
        <v>0</v>
      </c>
      <c r="CJ87" s="535">
        <f t="shared" si="209"/>
        <v>9.0801755706044638</v>
      </c>
      <c r="CK87" s="521">
        <f t="shared" si="210"/>
        <v>3.4887133182844248</v>
      </c>
      <c r="CL87" s="521">
        <f>IF(AND($O87&gt;0,Sheet1!EN85=1),(1-($O87-Sheet1!$L85)/$O87)*CF87,0)</f>
        <v>0</v>
      </c>
      <c r="CM87" s="521">
        <f>IF(AND(Sheet1!$L85=0,Sheet1!$L84=0, Calculation!CE87&lt;Sheet1!EJ85-0.1,Sheet1!EJ85=Sheet1!EJ84,Sheet1!EJ85=Sheet1!EJ86),CF87-CL87,CF87-CL87)</f>
        <v>3.4887133182844248</v>
      </c>
      <c r="CN87" s="1040" t="str">
        <f t="shared" si="292"/>
        <v/>
      </c>
      <c r="CO87" s="1035">
        <f t="shared" si="293"/>
        <v>12.568888888888889</v>
      </c>
      <c r="CP87" s="535">
        <f t="shared" si="211"/>
        <v>283.68831108497142</v>
      </c>
      <c r="CQ87" s="535"/>
      <c r="CR87" s="535">
        <f ca="1">IF(B87&gt;Summary!$A$1,#N/A,CP87*MGtoAF)</f>
        <v>870.35573840869233</v>
      </c>
      <c r="CS87" s="535">
        <f>Sheet1!BK85+Sheet1!BL85+Sheet1!BM85-Sheet1!ER85-DA87</f>
        <v>6.6</v>
      </c>
      <c r="CT87" s="535">
        <f t="shared" si="212"/>
        <v>6.5787165430506294</v>
      </c>
      <c r="CU87" s="535">
        <f>IF(Sheet1!ER85="FM",DA87,0)</f>
        <v>0</v>
      </c>
      <c r="CV87" s="535">
        <f t="shared" si="213"/>
        <v>0</v>
      </c>
      <c r="CW87" s="535">
        <f>IF(Sheet1!ER85="OTHER",DA87,0)</f>
        <v>0</v>
      </c>
      <c r="CX87" s="535">
        <f t="shared" si="214"/>
        <v>0</v>
      </c>
      <c r="CY87" s="535">
        <f t="shared" si="215"/>
        <v>6.6</v>
      </c>
      <c r="CZ87" s="535">
        <f t="shared" si="216"/>
        <v>6.5787165430506294</v>
      </c>
      <c r="DA87" s="535">
        <f>IF(OR(Sheet1!ER85="FM", Sheet1!ER85="OTHER"),SUM(Sheet1!BK85:'Sheet1'!BM85),0)</f>
        <v>0</v>
      </c>
      <c r="DB87" s="1011">
        <f>IF(AND($B87&gt;=$FV87,$B87&lt;=$FW87),MAX($CT87,Sheet1!EK85,0),MAX($CT87-(7/36)*$K87,0))</f>
        <v>0</v>
      </c>
      <c r="DC87" s="1012">
        <f t="shared" si="217"/>
        <v>5.9901723458382596</v>
      </c>
      <c r="DD87" s="1011">
        <f t="shared" si="218"/>
        <v>6.5787165430506294</v>
      </c>
      <c r="DE87" s="521">
        <f>IF(AND($O87&gt;0,Sheet1!EO85=1),(1-($O87-Sheet1!$L85)/$O87)*CZ87,0)</f>
        <v>0</v>
      </c>
      <c r="DF87" s="521">
        <f>IF(AND(Sheet1!$L85=0,Sheet1!$L84=0, Calculation!CY87&lt;Sheet1!$EK85-0.1,Sheet1!$EK85=Sheet1!$EK84,Sheet1!$EK85=Sheet1!$EK86),CZ87-DE87,CZ87-DE87)</f>
        <v>6.5787165430506294</v>
      </c>
      <c r="DG87" s="1040">
        <f t="shared" si="294"/>
        <v>12.568888888888889</v>
      </c>
      <c r="DH87" s="649">
        <f t="shared" si="219"/>
        <v>11.11</v>
      </c>
      <c r="DI87" s="535">
        <f t="shared" si="220"/>
        <v>181.69076905110899</v>
      </c>
      <c r="DJ87" s="649">
        <f t="shared" si="221"/>
        <v>11.07417284746856</v>
      </c>
      <c r="DK87" s="535">
        <f ca="1">IF(B87&gt;Summary!$A$1,#N/A,DI87*MGtoAF)</f>
        <v>557.42727944880244</v>
      </c>
      <c r="DL87" s="649">
        <f t="shared" si="222"/>
        <v>11.11</v>
      </c>
      <c r="DM87" s="535">
        <f t="shared" si="223"/>
        <v>31.009999999999998</v>
      </c>
      <c r="DN87" s="535">
        <f>Sheet1!AB85-DM87</f>
        <v>-9.9999999999997868E-2</v>
      </c>
      <c r="DO87" s="743">
        <f t="shared" si="224"/>
        <v>-3.2247662044501088E-3</v>
      </c>
      <c r="DP87" s="535">
        <f>(VLOOKUP(Sheet1!DC85,hhdcap_wcm,4)-(((VLOOKUP(Sheet1!DC85,hhdcap_wcm,3)-Sheet1!DC85)/(VLOOKUP(Sheet1!DC85,hhdcap_wcm,3)-VLOOKUP(Sheet1!DC85,hhdcap_wcm,1)))*(VLOOKUP(Sheet1!DC85,hhdcap_wcm,4)-VLOOKUP(Sheet1!DC85,hhdcap_wcm,2))))</f>
        <v>10237.100000022878</v>
      </c>
      <c r="DQ87" s="535">
        <f t="shared" si="225"/>
        <v>-700.4000000018259</v>
      </c>
      <c r="DR87" s="535">
        <f t="shared" si="226"/>
        <v>-353.2022188612334</v>
      </c>
      <c r="DS87" s="535">
        <f>Sheet1!EA85*AFtoMG</f>
        <v>0</v>
      </c>
      <c r="DT87" s="535">
        <f>Sheet1!EB85*AFtoMG</f>
        <v>0</v>
      </c>
      <c r="DU87" s="535">
        <f>Sheet1!EC85*AFtoMG</f>
        <v>0</v>
      </c>
      <c r="DV87" s="535">
        <f>Sheet1!ED85*AFtoMG</f>
        <v>0</v>
      </c>
      <c r="DW87" s="535">
        <f t="shared" si="227"/>
        <v>0</v>
      </c>
      <c r="DX87" s="535">
        <f t="shared" si="228"/>
        <v>0</v>
      </c>
      <c r="DY87" s="535">
        <f t="shared" si="229"/>
        <v>1619.3447412169808</v>
      </c>
      <c r="DZ87" s="535">
        <f t="shared" si="230"/>
        <v>4968.1496660536968</v>
      </c>
      <c r="EA87" s="535"/>
      <c r="EB87" s="521">
        <f>IF(OR(B87&lt;FV87,B87&gt;FW87),(MIN(BF87+BY87+CT87+MAX(Sheet1!AA85+AQ87-73,0),K87)),0)</f>
        <v>11.07417284746856</v>
      </c>
      <c r="EC87" s="535"/>
      <c r="ED87" s="535">
        <f t="shared" si="231"/>
        <v>11.07417284746856</v>
      </c>
      <c r="EE87" s="535"/>
      <c r="EF87" s="535">
        <f>Sheet1!EH85+Sheet1!EI85+Sheet1!EJ85+Sheet1!EK85</f>
        <v>11</v>
      </c>
      <c r="EG87" s="1019">
        <f t="shared" si="295"/>
        <v>17.016999999999999</v>
      </c>
      <c r="EH87" s="521">
        <f t="shared" si="232"/>
        <v>0</v>
      </c>
      <c r="EI87" s="535">
        <f>IF(Sheet1!ET85=1,SUM('Calculations II'!AT87:BA87)+'Calculations II'!BC87+Sheet1!BV85+'Calculations II'!BE87+AP87,'Calculations II'!BK87)</f>
        <v>43.123689152531441</v>
      </c>
      <c r="EJ87" s="535">
        <f ca="1">EI87+'Calculations II'!D87+'Calculations II'!E87+'Calculations II'!O87</f>
        <v>45.051619414641046</v>
      </c>
      <c r="EK87" s="535"/>
      <c r="EL87" s="535"/>
      <c r="EM87" s="535">
        <f t="shared" si="233"/>
        <v>42811</v>
      </c>
      <c r="EN87" s="535">
        <f t="shared" si="234"/>
        <v>53.56582715253144</v>
      </c>
      <c r="EO87" s="535">
        <f t="shared" si="235"/>
        <v>82.866334604966141</v>
      </c>
      <c r="EP87" s="535">
        <v>0</v>
      </c>
      <c r="EQ87" s="535">
        <v>0</v>
      </c>
      <c r="ER87" s="535">
        <v>0</v>
      </c>
      <c r="ES87" s="521">
        <f t="shared" si="257"/>
        <v>-2.2150900048436526</v>
      </c>
      <c r="ET87" s="535">
        <f>-(VLOOKUP(Sheet1!BQ85,Lookup!$O$4:$Q$262,2)-VLOOKUP(Sheet1!BQ84,Lookup!$O$4:$Q$262,2))/1000000</f>
        <v>-1.1073912271512301</v>
      </c>
      <c r="EU87" s="535">
        <f>-(VLOOKUP(Sheet1!BR85,Lookup!$O$4:$Q$262,3)-VLOOKUP(Sheet1!BR84,Lookup!$O$4:$Q$262,3))/1000000</f>
        <v>-1.1076987776924223</v>
      </c>
      <c r="EV87" s="535"/>
      <c r="EW87" s="535"/>
      <c r="EX87" s="535"/>
      <c r="EY87" s="535"/>
      <c r="EZ87" s="535"/>
      <c r="FA87" s="535"/>
      <c r="FB87" s="535"/>
      <c r="FC87" s="535"/>
      <c r="FD87" s="567" t="e">
        <f t="shared" si="236"/>
        <v>#N/A</v>
      </c>
      <c r="FE87" s="567" t="e">
        <f t="shared" si="237"/>
        <v>#N/A</v>
      </c>
      <c r="FF87" s="568" t="e">
        <f t="shared" si="238"/>
        <v>#N/A</v>
      </c>
      <c r="FG87" s="569" t="s">
        <v>656</v>
      </c>
      <c r="FH87" s="569" t="s">
        <v>656</v>
      </c>
      <c r="FI87" s="567" t="e">
        <v>#N/A</v>
      </c>
      <c r="FJ87" s="567" t="e">
        <v>#N/A</v>
      </c>
      <c r="FK87" s="535"/>
      <c r="FL87" s="1015">
        <v>0</v>
      </c>
      <c r="FM87" s="535"/>
      <c r="FN87" s="535"/>
      <c r="FO87" s="535">
        <f>O87+((Sheet1!CS85)*GPMtoMGD)</f>
        <v>56.81</v>
      </c>
      <c r="FP87" s="535">
        <f>IF(Sheet1!AA85+AQ87&lt;=Calculation!N87,AQ87,Calculation!N87-Sheet1!AA85)</f>
        <v>19.83582715253144</v>
      </c>
      <c r="FQ87" s="535">
        <f>(Sheet1!BP85+Sheet1!BO85)/694.4</f>
        <v>1.5331221198156681</v>
      </c>
      <c r="FR87" s="541"/>
      <c r="FS87" s="541"/>
      <c r="FT87" s="541"/>
      <c r="FU87" s="541"/>
      <c r="FV87" s="1109">
        <f t="shared" si="258"/>
        <v>42918</v>
      </c>
      <c r="FW87" s="1109">
        <f t="shared" si="259"/>
        <v>43027</v>
      </c>
      <c r="FX87" s="541"/>
      <c r="FY87" s="541">
        <f>Sheet1!DA85-Sheet1!CZ85-Sheet1!AE85</f>
        <v>1746.4828900000005</v>
      </c>
      <c r="FZ87" s="535">
        <f t="shared" si="296"/>
        <v>0.5657911576428879</v>
      </c>
      <c r="GA87" s="535"/>
      <c r="GB87" s="535" t="str">
        <f t="shared" si="260"/>
        <v>n</v>
      </c>
      <c r="GC87" s="539">
        <f t="shared" si="261"/>
        <v>42782</v>
      </c>
      <c r="GD87" s="1109">
        <f t="shared" si="262"/>
        <v>42904</v>
      </c>
      <c r="GE87" s="535">
        <f t="shared" si="280"/>
        <v>6520</v>
      </c>
      <c r="GF87" s="1109">
        <f t="shared" si="263"/>
        <v>42909</v>
      </c>
      <c r="GG87" s="535">
        <f t="shared" si="308"/>
        <v>3260</v>
      </c>
      <c r="GH87" s="539">
        <f t="shared" si="264"/>
        <v>43040</v>
      </c>
      <c r="GJ87" s="521">
        <f t="shared" si="265"/>
        <v>0</v>
      </c>
      <c r="GK87" s="535" t="str">
        <f t="shared" si="239"/>
        <v/>
      </c>
      <c r="GL87" s="535">
        <f t="shared" si="266"/>
        <v>0</v>
      </c>
      <c r="GM87" s="535" t="str">
        <f t="shared" si="267"/>
        <v/>
      </c>
      <c r="GN87" s="535">
        <f>IF(GK87="P",Lookup!$M$12,IF(GK87="PP",Lookup!$M$13,IF(GK87="PPP",Lookup!$M$14,IF(GK87="T",Lookup!$M$15,IF(GK87="TP",Lookup!$M$16,IF(GK87="TPP",Lookup!$M$17,IF(GK87="TPPP",Lookup!$M$18,0)))))))*GJ87</f>
        <v>0</v>
      </c>
      <c r="GO87" s="535">
        <f t="shared" si="268"/>
        <v>0</v>
      </c>
      <c r="GP87" s="535">
        <f t="shared" si="240"/>
        <v>2478.9439999999981</v>
      </c>
      <c r="GQ87" s="535">
        <f t="shared" si="279"/>
        <v>807.99999999999943</v>
      </c>
      <c r="GR87" s="535"/>
      <c r="GS87" s="535">
        <f t="shared" si="269"/>
        <v>0</v>
      </c>
      <c r="GT87" s="535" t="str">
        <f t="shared" si="270"/>
        <v/>
      </c>
      <c r="GU87" s="535">
        <f>IF(GK87="P",Lookup!$N$12,IF(GK87="PP",Lookup!$N$13,IF(GK87="PPP",Lookup!$N$14,IF(GK87="T",Lookup!$N$15,IF(GK87="TP",Lookup!$N$16,IF(GK87="TPP",Lookup!$N$17,IF(GK87="TPPP",Lookup!$N$18,0)))))))*GJ87</f>
        <v>0</v>
      </c>
      <c r="GV87" s="535">
        <f t="shared" si="271"/>
        <v>0</v>
      </c>
      <c r="GW87" s="535">
        <f t="shared" si="241"/>
        <v>1061.4226481962037</v>
      </c>
      <c r="GX87" s="535">
        <f t="shared" si="276"/>
        <v>345.96566108090082</v>
      </c>
      <c r="GY87" s="535"/>
      <c r="GZ87" s="535">
        <f t="shared" si="272"/>
        <v>0</v>
      </c>
      <c r="HA87" s="535" t="str">
        <f t="shared" si="273"/>
        <v/>
      </c>
      <c r="HB87" s="535">
        <f>IF(GK87="P",Lookup!$N$12,IF(GK87="PP",Lookup!$N$13,IF(GK87="PPP",Lookup!$N$14,IF(GK87="T",Lookup!$N$15,IF(GK87="TP",Lookup!$N$16,IF(GK87="TPP",Lookup!$N$17,IF(GK87="TPPP",Lookup!$N$18,0)))))))*GJ87</f>
        <v>0</v>
      </c>
      <c r="HC87" s="521">
        <f t="shared" si="242"/>
        <v>0</v>
      </c>
      <c r="HD87" s="535">
        <f t="shared" si="243"/>
        <v>870.35573840869233</v>
      </c>
      <c r="HE87" s="535">
        <f t="shared" si="277"/>
        <v>283.68831108497142</v>
      </c>
      <c r="HF87" s="535"/>
      <c r="HG87" s="535">
        <f t="shared" si="274"/>
        <v>0</v>
      </c>
      <c r="HH87" s="535" t="str">
        <f t="shared" si="275"/>
        <v/>
      </c>
      <c r="HI87" s="535">
        <f>IF(GK87="P",Lookup!$N$12,IF(GK87="PP",Lookup!$N$13,IF(GK87="PPP",Lookup!$N$14,IF(GK87="T",Lookup!$N$15,IF(GK87="TP",Lookup!$N$16,IF(GK87="TPP",Lookup!$N$17,IF(GK87="TPPP",Lookup!$N$18,0)))))))*GJ87</f>
        <v>0</v>
      </c>
      <c r="HJ87" s="521">
        <f t="shared" si="244"/>
        <v>0</v>
      </c>
      <c r="HK87" s="535">
        <f t="shared" si="245"/>
        <v>557.42727944880244</v>
      </c>
      <c r="HL87" s="535">
        <f t="shared" si="278"/>
        <v>181.69076905110899</v>
      </c>
      <c r="HM87" s="535"/>
      <c r="HN87" s="541"/>
      <c r="HO87" s="541"/>
      <c r="HP87" s="541"/>
      <c r="HQ87" s="541">
        <f>IF(AND(B87&gt;=$FV$4,B87&lt;=$FW$4),MAX(110/1.02+$HQ$6+MIN(113/1.02,G87),IF($HV$6-(Sheet1!DA85-Sheet1!DB85)+MIN(113/1.02,G87)&lt;G87+FL87,$HV$6-(Sheet1!DA85-Sheet1!DB85)+MIN(113/1.02,G87),G87+FL87)),MIN(110/1.02+$HQ$6+113/1.02,G87))</f>
        <v>218.62745098039215</v>
      </c>
      <c r="HR87" s="541">
        <f t="shared" si="297"/>
        <v>223</v>
      </c>
      <c r="HS87" s="541">
        <f>HR87+(Sheet1!DA85-Sheet1!DB85)</f>
        <v>2373</v>
      </c>
      <c r="HT87" s="541">
        <f t="shared" si="298"/>
        <v>70.697900000000004</v>
      </c>
      <c r="HU87" s="541">
        <f t="shared" si="299"/>
        <v>2302.3020999999999</v>
      </c>
      <c r="HV87" s="541">
        <f t="shared" si="300"/>
        <v>0</v>
      </c>
      <c r="HW87" s="533" t="str">
        <f t="shared" si="301"/>
        <v/>
      </c>
      <c r="HX87" s="541">
        <f t="shared" si="302"/>
        <v>3221.372549019608</v>
      </c>
      <c r="HY87" s="541">
        <f>Sheet1!CZ85</f>
        <v>3440</v>
      </c>
      <c r="HZ87" s="541">
        <f t="shared" si="303"/>
        <v>0</v>
      </c>
      <c r="IA87" s="541">
        <f t="shared" si="304"/>
        <v>70.697900000000004</v>
      </c>
      <c r="IB87" s="541">
        <f t="shared" si="305"/>
        <v>3440</v>
      </c>
      <c r="IC87" s="1019" t="str">
        <f t="shared" si="306"/>
        <v/>
      </c>
      <c r="ID87" s="541">
        <f t="shared" si="307"/>
        <v>3369.3020999999999</v>
      </c>
      <c r="IE87" s="541">
        <f>Sheet1!DB85</f>
        <v>3080</v>
      </c>
      <c r="IF87" s="533">
        <f>Sheet1!DA85</f>
        <v>5230</v>
      </c>
      <c r="IH87" s="541">
        <f>IF(AND($B87&gt;=$GC87,$B87&lt;=$GH87,$DR87&lt;0)+N("only adjusted when pool is drawn down during storage season"),Sheet1!$DB85+$DR87+N("Palmer minus all storage release"),Sheet1!$DB85)</f>
        <v>2726.7977811387664</v>
      </c>
      <c r="II87" s="541">
        <f>IF(AND($B87&gt;=$GC87,$B87&lt;=$GH87,$DR87&lt;0)+N("only adjusted when pool is drawn down during storage season"),Sheet1!$DA85+$DR87+N("Auburn minus all storage release"),Sheet1!$DA85)</f>
        <v>4876.7977811387664</v>
      </c>
    </row>
    <row r="88" spans="1:243" x14ac:dyDescent="0.25">
      <c r="A88" s="553" t="s">
        <v>9</v>
      </c>
      <c r="B88" s="531">
        <v>42812</v>
      </c>
      <c r="C88" s="536">
        <v>0</v>
      </c>
      <c r="D88" s="506">
        <f t="shared" si="247"/>
        <v>300</v>
      </c>
      <c r="E88" s="506">
        <f t="shared" si="248"/>
        <v>250</v>
      </c>
      <c r="F88" s="506">
        <v>250</v>
      </c>
      <c r="G88" s="535">
        <f>DR88+Sheet1!CZ86</f>
        <v>2466.5355521940796</v>
      </c>
      <c r="H88" s="1074">
        <f t="shared" si="281"/>
        <v>1316.9689153919999</v>
      </c>
      <c r="I88" s="534">
        <f>IF(Sheet1!DA86&gt;=E88,(Sheet1!DA86-E88+P88)*CFStoMGD,0)</f>
        <v>3223.8489153919995</v>
      </c>
      <c r="J88" s="995">
        <f>IF(Sheet1!DB86&gt;=D88,(Sheet1!DB86-D88+P88)*CFStoMGD,0)</f>
        <v>1316.9689153919999</v>
      </c>
      <c r="K88" s="818">
        <f t="shared" si="282"/>
        <v>64.64</v>
      </c>
      <c r="L88" s="535">
        <f>Sheet1!AA86+Sheet1!AB86-Sheet1!L86+(Sheet1!DA86-F88)*CFStoMGD-S88-T88-U88</f>
        <v>3126.2200000000012</v>
      </c>
      <c r="M88" s="535">
        <f t="shared" si="185"/>
        <v>1626.2559525570182</v>
      </c>
      <c r="N88" s="824">
        <f>IF(Sheet1!DA86&gt;=F88,MIN(113*CFStoMGD,MIN(MAX(L88,0),MAX(M88,0))),0)</f>
        <v>73.043199999999999</v>
      </c>
      <c r="O88" s="538">
        <f>Sheet1!AA86+Sheet1!AB86</f>
        <v>56.49</v>
      </c>
      <c r="P88" s="538">
        <f t="shared" si="186"/>
        <v>87.390029999999996</v>
      </c>
      <c r="Q88" s="812">
        <f t="shared" si="283"/>
        <v>45.190000000000005</v>
      </c>
      <c r="R88" s="812">
        <f t="shared" si="249"/>
        <v>11.223203883495145</v>
      </c>
      <c r="S88" s="812">
        <f t="shared" si="250"/>
        <v>11.299999999999999</v>
      </c>
      <c r="T88" s="812">
        <f t="shared" si="251"/>
        <v>53.34</v>
      </c>
      <c r="U88" s="812">
        <f t="shared" si="284"/>
        <v>0</v>
      </c>
      <c r="V88" s="812"/>
      <c r="W88" s="812">
        <f t="shared" si="252"/>
        <v>53.416796116504855</v>
      </c>
      <c r="X88" s="812">
        <f t="shared" si="253"/>
        <v>64.64</v>
      </c>
      <c r="Y88" s="812" t="str">
        <f t="shared" si="254"/>
        <v>FALSE</v>
      </c>
      <c r="Z88" s="812">
        <f t="shared" si="255"/>
        <v>56.49</v>
      </c>
      <c r="AA88" s="812">
        <f t="shared" si="256"/>
        <v>56.49</v>
      </c>
      <c r="AB88" s="1059">
        <f t="shared" si="285"/>
        <v>69.908929999999998</v>
      </c>
      <c r="AC88" s="538">
        <f>Sheet1!Y86*MGDtoCFS</f>
        <v>40.067299999999996</v>
      </c>
      <c r="AD88" s="538">
        <f>Sheet1!Z86*MGDtoCFS</f>
        <v>47.817769999999996</v>
      </c>
      <c r="AE88" s="538">
        <f>Sheet1!AA86*MGDtoCFS</f>
        <v>39.912599999999998</v>
      </c>
      <c r="AF88" s="538">
        <f>Sheet1!AB86*MGDtoCFS</f>
        <v>47.477429999999998</v>
      </c>
      <c r="AG88" s="538">
        <f>Sheet1!L86*MGDtoCFS</f>
        <v>51.035529999996847</v>
      </c>
      <c r="AH88" s="521">
        <f t="shared" si="187"/>
        <v>0</v>
      </c>
      <c r="AI88" s="1059">
        <f t="shared" si="188"/>
        <v>0</v>
      </c>
      <c r="AJ88" s="535">
        <f t="shared" si="189"/>
        <v>53.416796116504855</v>
      </c>
      <c r="AK88" s="535">
        <f t="shared" si="190"/>
        <v>82.635783592233011</v>
      </c>
      <c r="AL88" s="535">
        <f>(VLOOKUP(Sheet1!DC86,hhdcap_wcm,4)-(((VLOOKUP(Sheet1!DC86,hhdcap_wcm,3)-Sheet1!DC86)/(VLOOKUP(Sheet1!DC86,hhdcap_wcm,3)-VLOOKUP(Sheet1!DC86,hhdcap_wcm,1)))*(VLOOKUP(Sheet1!DC86,hhdcap_wcm,4)-VLOOKUP(Sheet1!DC86,hhdcap_wcm,2))))</f>
        <v>10607.000000023738</v>
      </c>
      <c r="AM88" s="535">
        <f t="shared" si="191"/>
        <v>369.90000000086002</v>
      </c>
      <c r="AN88" s="1035">
        <f t="shared" si="192"/>
        <v>1672.7615373334854</v>
      </c>
      <c r="AO88" s="535">
        <f t="shared" si="193"/>
        <v>5132.0323965391335</v>
      </c>
      <c r="AP88" s="535">
        <f>Sheet1!BA86+Sheet1!BB86+Sheet1!BN86+CD88</f>
        <v>19.600000000000001</v>
      </c>
      <c r="AQ88" s="535">
        <f>Sheet1!BN86+(DO88*Sheet1!BN86)</f>
        <v>19.466796116504856</v>
      </c>
      <c r="AR88" s="535">
        <f>Sheet1!BA86+CD88</f>
        <v>0</v>
      </c>
      <c r="AS88" s="535">
        <f>Sheet1!BA86+Sheet1!BB86+CD88</f>
        <v>0</v>
      </c>
      <c r="AT88" s="649">
        <f>0</f>
        <v>0</v>
      </c>
      <c r="AU88" s="535">
        <f>IF(EB88&lt;K88,0,MAX(Sheet1!AA86+AQ88-15/36*K88-N88,Sheet1!EH86,0))</f>
        <v>0</v>
      </c>
      <c r="AV88" s="535">
        <f>IF(OR(B88&gt;=GD88,B88&lt;GC88),0,15/36*K88-MAX(0,64.6-(137.6-(Sheet1!AA86+Sheet1!AB86))))</f>
        <v>26.933333333333334</v>
      </c>
      <c r="AW88" s="1029"/>
      <c r="AX88" s="649"/>
      <c r="AY88" s="649">
        <f t="shared" si="286"/>
        <v>0</v>
      </c>
      <c r="AZ88" s="649">
        <f t="shared" si="287"/>
        <v>0</v>
      </c>
      <c r="BA88" s="1059">
        <f t="shared" si="288"/>
        <v>0</v>
      </c>
      <c r="BB88" s="1019">
        <f t="shared" si="194"/>
        <v>834.93333333333271</v>
      </c>
      <c r="BC88" s="1041">
        <f t="shared" si="289"/>
        <v>26.933333333333334</v>
      </c>
      <c r="BD88" s="1019">
        <f ca="1">IF(B88&gt;Summary!$A$1,#N/A,BB88*MGtoAF)</f>
        <v>2561.5754666666649</v>
      </c>
      <c r="BE88" s="535">
        <f>Sheet1!BG86+Sheet1!BH86+Sheet1!BI86-BM88</f>
        <v>1.02</v>
      </c>
      <c r="BF88" s="535">
        <f t="shared" si="195"/>
        <v>1.0130679611650486</v>
      </c>
      <c r="BG88" s="535">
        <f>IF(Sheet1!EP86="FM",BM88,0)</f>
        <v>0</v>
      </c>
      <c r="BH88" s="535">
        <f t="shared" si="196"/>
        <v>0</v>
      </c>
      <c r="BI88" s="535">
        <f>IF(Sheet1!EP86="OTHER",BM88,0)</f>
        <v>0</v>
      </c>
      <c r="BJ88" s="535">
        <f t="shared" si="197"/>
        <v>0</v>
      </c>
      <c r="BK88" s="535">
        <f t="shared" si="198"/>
        <v>1.02</v>
      </c>
      <c r="BL88" s="535">
        <f t="shared" si="199"/>
        <v>1.0130679611650486</v>
      </c>
      <c r="BM88" s="535">
        <f>IF(OR(Sheet1!EP86="FM", Sheet1!EP86="OTHER"),SUM(Sheet1!BG86:'Sheet1'!BI86),0)</f>
        <v>0</v>
      </c>
      <c r="BN88" s="521">
        <f>IF(AND($B88&gt;=$FV88,$B88&lt;=$FW88),MAX(BF88,Sheet1!EI86,0),MAX(BF88-(7/36)*$K88,0))</f>
        <v>0</v>
      </c>
      <c r="BO88" s="535">
        <f t="shared" si="200"/>
        <v>11.55582092772384</v>
      </c>
      <c r="BP88" s="521">
        <f t="shared" si="201"/>
        <v>1.0130679611650486</v>
      </c>
      <c r="BQ88" s="521">
        <f>IF(AND($O88&gt;0,Sheet1!EM86=1),(1-($O88-Sheet1!$L86)/$O88)*BL88,0)</f>
        <v>0</v>
      </c>
      <c r="BR88" s="521">
        <f>IF(AND(Sheet1!$L86=0,Sheet1!$L85=0, Calculation!BK88&lt;Sheet1!$EI86-0.1,Sheet1!$EI86=Sheet1!$EI85,Sheet1!$EI86=Sheet1!$EI87),BL88-BQ88,BL88-BQ88)</f>
        <v>1.0130679611650486</v>
      </c>
      <c r="BS88" s="1035" t="str">
        <f t="shared" si="290"/>
        <v/>
      </c>
      <c r="BT88" s="1035">
        <f t="shared" si="291"/>
        <v>12.568888888888889</v>
      </c>
      <c r="BU88" s="535">
        <f t="shared" si="202"/>
        <v>357.52148200862467</v>
      </c>
      <c r="BV88" s="535"/>
      <c r="BW88" s="535">
        <f ca="1">IF(B88&gt;Summary!$A$1,#N/A,BU88*MGtoAF)</f>
        <v>1096.8759068024606</v>
      </c>
      <c r="BX88" s="535">
        <f>Sheet1!BC86+Sheet1!BD86+Sheet1!BE86+Sheet1!BF86-CG88-CH88</f>
        <v>3.5</v>
      </c>
      <c r="BY88" s="535">
        <f t="shared" si="203"/>
        <v>3.4762135922330102</v>
      </c>
      <c r="BZ88" s="535">
        <f>IF(Sheet1!EQ86="FM",CH88,0)</f>
        <v>0</v>
      </c>
      <c r="CA88" s="535">
        <f t="shared" si="204"/>
        <v>0</v>
      </c>
      <c r="CB88" s="535">
        <f>IF(Sheet1!EQ86="OTHER",CH88,0)</f>
        <v>0</v>
      </c>
      <c r="CC88" s="535">
        <f t="shared" si="205"/>
        <v>0</v>
      </c>
      <c r="CD88" s="535">
        <f t="shared" si="206"/>
        <v>0</v>
      </c>
      <c r="CE88" s="535">
        <f t="shared" si="207"/>
        <v>3.5</v>
      </c>
      <c r="CF88" s="535">
        <f t="shared" si="208"/>
        <v>3.4762135922330102</v>
      </c>
      <c r="CG88" s="535">
        <f>IF(Sheet1!EQ86="CWA",SUM(Sheet1!BC86:'Sheet1'!BF86),0)</f>
        <v>0</v>
      </c>
      <c r="CH88" s="535">
        <f>IF(OR(Sheet1!EQ86="FM", Sheet1!EQ86="OTHER"),SUM(Sheet1!BC86:'Sheet1'!BF86),0)</f>
        <v>0</v>
      </c>
      <c r="CI88" s="521">
        <f>IF(AND($B88&gt;=$FV88,$B88&lt;=$FW88),MAX(CF88,Sheet1!EJ86,0),MAX(CF88-(7/36)*$K88,0))</f>
        <v>0</v>
      </c>
      <c r="CJ88" s="535">
        <f t="shared" si="209"/>
        <v>9.0926752966558784</v>
      </c>
      <c r="CK88" s="521">
        <f t="shared" si="210"/>
        <v>3.4762135922330102</v>
      </c>
      <c r="CL88" s="521">
        <f>IF(AND($O88&gt;0,Sheet1!EN86=1),(1-($O88-Sheet1!$L86)/$O88)*CF88,0)</f>
        <v>0</v>
      </c>
      <c r="CM88" s="521">
        <f>IF(AND(Sheet1!$L86=0,Sheet1!$L85=0, Calculation!CE88&lt;Sheet1!EJ86-0.1,Sheet1!EJ86=Sheet1!EJ85,Sheet1!EJ86=Sheet1!EJ87),CF88-CL88,CF88-CL88)</f>
        <v>3.4762135922330102</v>
      </c>
      <c r="CN88" s="1040" t="str">
        <f t="shared" si="292"/>
        <v/>
      </c>
      <c r="CO88" s="1035">
        <f t="shared" si="293"/>
        <v>12.568888888888889</v>
      </c>
      <c r="CP88" s="535">
        <f t="shared" si="211"/>
        <v>292.78098638162732</v>
      </c>
      <c r="CQ88" s="535"/>
      <c r="CR88" s="535">
        <f ca="1">IF(B88&gt;Summary!$A$1,#N/A,CP88*MGtoAF)</f>
        <v>898.25206621883262</v>
      </c>
      <c r="CS88" s="535">
        <f>Sheet1!BK86+Sheet1!BL86+Sheet1!BM86-Sheet1!ER86-DA88</f>
        <v>6.7799999999999994</v>
      </c>
      <c r="CT88" s="535">
        <f t="shared" si="212"/>
        <v>6.7339223300970872</v>
      </c>
      <c r="CU88" s="535">
        <f>IF(Sheet1!ER86="FM",DA88,0)</f>
        <v>0</v>
      </c>
      <c r="CV88" s="535">
        <f t="shared" si="213"/>
        <v>0</v>
      </c>
      <c r="CW88" s="535">
        <f>IF(Sheet1!ER86="OTHER",DA88,0)</f>
        <v>0</v>
      </c>
      <c r="CX88" s="535">
        <f t="shared" si="214"/>
        <v>0</v>
      </c>
      <c r="CY88" s="535">
        <f t="shared" si="215"/>
        <v>6.7799999999999994</v>
      </c>
      <c r="CZ88" s="535">
        <f t="shared" si="216"/>
        <v>6.7339223300970872</v>
      </c>
      <c r="DA88" s="535">
        <f>IF(OR(Sheet1!ER86="FM", Sheet1!ER86="OTHER"),SUM(Sheet1!BK86:'Sheet1'!BM86),0)</f>
        <v>0</v>
      </c>
      <c r="DB88" s="1011">
        <f>IF(AND($B88&gt;=$FV88,$B88&lt;=$FW88),MAX($CT88,Sheet1!EK86,0),MAX($CT88-(7/36)*$K88,0))</f>
        <v>0</v>
      </c>
      <c r="DC88" s="1012">
        <f t="shared" si="217"/>
        <v>5.8349665587918018</v>
      </c>
      <c r="DD88" s="1011">
        <f t="shared" si="218"/>
        <v>6.7339223300970872</v>
      </c>
      <c r="DE88" s="521">
        <f>IF(AND($O88&gt;0,Sheet1!EO86=1),(1-($O88-Sheet1!$L86)/$O88)*CZ88,0)</f>
        <v>0</v>
      </c>
      <c r="DF88" s="521">
        <f>IF(AND(Sheet1!$L86=0,Sheet1!$L85=0, Calculation!CY88&lt;Sheet1!$EK86-0.1,Sheet1!$EK86=Sheet1!$EK85,Sheet1!$EK86=Sheet1!$EK87),CZ88-DE88,CZ88-DE88)</f>
        <v>6.7339223300970872</v>
      </c>
      <c r="DG88" s="1040">
        <f t="shared" si="294"/>
        <v>12.568888888888889</v>
      </c>
      <c r="DH88" s="649">
        <f t="shared" si="219"/>
        <v>11.299999999999999</v>
      </c>
      <c r="DI88" s="535">
        <f t="shared" si="220"/>
        <v>187.52573560990078</v>
      </c>
      <c r="DJ88" s="649">
        <f t="shared" si="221"/>
        <v>11.223203883495145</v>
      </c>
      <c r="DK88" s="535">
        <f ca="1">IF(B88&gt;Summary!$A$1,#N/A,DI88*MGtoAF)</f>
        <v>575.32895685117558</v>
      </c>
      <c r="DL88" s="649">
        <f t="shared" si="222"/>
        <v>11.299999999999999</v>
      </c>
      <c r="DM88" s="535">
        <f t="shared" si="223"/>
        <v>30.9</v>
      </c>
      <c r="DN88" s="535">
        <f>Sheet1!AB86-DM88</f>
        <v>-0.2099999999999973</v>
      </c>
      <c r="DO88" s="743">
        <f t="shared" si="224"/>
        <v>-6.7961165048542821E-3</v>
      </c>
      <c r="DP88" s="535">
        <f>(VLOOKUP(Sheet1!DC86,hhdcap_wcm,4)-(((VLOOKUP(Sheet1!DC86,hhdcap_wcm,3)-Sheet1!DC86)/(VLOOKUP(Sheet1!DC86,hhdcap_wcm,3)-VLOOKUP(Sheet1!DC86,hhdcap_wcm,1)))*(VLOOKUP(Sheet1!DC86,hhdcap_wcm,4)-VLOOKUP(Sheet1!DC86,hhdcap_wcm,2))))</f>
        <v>10607.000000023738</v>
      </c>
      <c r="DQ88" s="535">
        <f t="shared" si="225"/>
        <v>369.90000000086002</v>
      </c>
      <c r="DR88" s="535">
        <f t="shared" si="226"/>
        <v>186.53555219407966</v>
      </c>
      <c r="DS88" s="535">
        <f>Sheet1!EA86*AFtoMG</f>
        <v>0</v>
      </c>
      <c r="DT88" s="535">
        <f>Sheet1!EB86*AFtoMG</f>
        <v>0</v>
      </c>
      <c r="DU88" s="535">
        <f>Sheet1!EC86*AFtoMG</f>
        <v>0</v>
      </c>
      <c r="DV88" s="535">
        <f>Sheet1!ED86*AFtoMG</f>
        <v>0</v>
      </c>
      <c r="DW88" s="535">
        <f t="shared" si="227"/>
        <v>0</v>
      </c>
      <c r="DX88" s="535">
        <f t="shared" si="228"/>
        <v>0</v>
      </c>
      <c r="DY88" s="535">
        <f t="shared" si="229"/>
        <v>1672.7615373334854</v>
      </c>
      <c r="DZ88" s="535">
        <f t="shared" si="230"/>
        <v>5132.0323965391335</v>
      </c>
      <c r="EA88" s="535"/>
      <c r="EB88" s="521">
        <f>IF(OR(B88&lt;FV88,B88&gt;FW88),(MIN(BF88+BY88+CT88+MAX(Sheet1!AA86+AQ88-73,0),K88)),0)</f>
        <v>11.223203883495145</v>
      </c>
      <c r="EC88" s="535"/>
      <c r="ED88" s="535">
        <f t="shared" si="231"/>
        <v>11.223203883495145</v>
      </c>
      <c r="EE88" s="535"/>
      <c r="EF88" s="535">
        <f>Sheet1!EH86+Sheet1!EI86+Sheet1!EJ86+Sheet1!EK86</f>
        <v>11</v>
      </c>
      <c r="EG88" s="1019">
        <f t="shared" si="295"/>
        <v>17.016999999999999</v>
      </c>
      <c r="EH88" s="521">
        <f t="shared" si="232"/>
        <v>0</v>
      </c>
      <c r="EI88" s="535">
        <f>IF(Sheet1!ET86=1,SUM('Calculations II'!AT88:BA88)+'Calculations II'!BC88+Sheet1!BV86+'Calculations II'!BE88+AP88,'Calculations II'!BK88)</f>
        <v>42.041666116504857</v>
      </c>
      <c r="EJ88" s="535">
        <f ca="1">EI88+'Calculations II'!D88+'Calculations II'!E88+'Calculations II'!O88</f>
        <v>45.991727666862836</v>
      </c>
      <c r="EK88" s="535"/>
      <c r="EL88" s="535"/>
      <c r="EM88" s="535">
        <f t="shared" si="233"/>
        <v>42812</v>
      </c>
      <c r="EN88" s="535">
        <f t="shared" si="234"/>
        <v>53.416796116504855</v>
      </c>
      <c r="EO88" s="535">
        <f t="shared" si="235"/>
        <v>82.635783592233011</v>
      </c>
      <c r="EP88" s="535">
        <v>0</v>
      </c>
      <c r="EQ88" s="535">
        <v>0</v>
      </c>
      <c r="ER88" s="535">
        <v>0</v>
      </c>
      <c r="ES88" s="521">
        <f t="shared" si="257"/>
        <v>-2.9085712194190361</v>
      </c>
      <c r="ET88" s="535">
        <f>-(VLOOKUP(Sheet1!BQ86,Lookup!$O$4:$Q$262,2)-VLOOKUP(Sheet1!BQ85,Lookup!$O$4:$Q$262,2))/1000000</f>
        <v>-1.3848157133737691</v>
      </c>
      <c r="EU88" s="535">
        <f>-(VLOOKUP(Sheet1!BR86,Lookup!$O$4:$Q$262,3)-VLOOKUP(Sheet1!BR85,Lookup!$O$4:$Q$262,3))/1000000</f>
        <v>-1.523755506045267</v>
      </c>
      <c r="EV88" s="535"/>
      <c r="EW88" s="535"/>
      <c r="EX88" s="535"/>
      <c r="EY88" s="535"/>
      <c r="EZ88" s="535"/>
      <c r="FA88" s="535"/>
      <c r="FB88" s="535"/>
      <c r="FC88" s="535"/>
      <c r="FD88" s="567" t="e">
        <f t="shared" si="236"/>
        <v>#N/A</v>
      </c>
      <c r="FE88" s="567" t="e">
        <f t="shared" si="237"/>
        <v>#N/A</v>
      </c>
      <c r="FF88" s="568" t="e">
        <f t="shared" si="238"/>
        <v>#N/A</v>
      </c>
      <c r="FG88" s="569" t="s">
        <v>656</v>
      </c>
      <c r="FH88" s="569" t="s">
        <v>656</v>
      </c>
      <c r="FI88" s="567" t="e">
        <v>#N/A</v>
      </c>
      <c r="FJ88" s="567" t="e">
        <v>#N/A</v>
      </c>
      <c r="FK88" s="535"/>
      <c r="FL88" s="1015">
        <v>0</v>
      </c>
      <c r="FM88" s="535"/>
      <c r="FN88" s="535"/>
      <c r="FO88" s="535">
        <f>O88+((Sheet1!CS86)*GPMtoMGD)</f>
        <v>56.49</v>
      </c>
      <c r="FP88" s="535">
        <f>IF(Sheet1!AA86+AQ88&lt;=Calculation!N88,AQ88,Calculation!N88-Sheet1!AA86)</f>
        <v>19.466796116504856</v>
      </c>
      <c r="FQ88" s="535">
        <f>(Sheet1!BP86+Sheet1!BO86)/694.4</f>
        <v>1.191820276497696</v>
      </c>
      <c r="FR88" s="541"/>
      <c r="FS88" s="541"/>
      <c r="FT88" s="541"/>
      <c r="FU88" s="541"/>
      <c r="FV88" s="1109">
        <f t="shared" si="258"/>
        <v>42918</v>
      </c>
      <c r="FW88" s="1109">
        <f t="shared" si="259"/>
        <v>43027</v>
      </c>
      <c r="FX88" s="541"/>
      <c r="FY88" s="541">
        <f>Sheet1!DA86-Sheet1!CZ86-Sheet1!AE86</f>
        <v>2833.6454999999969</v>
      </c>
      <c r="FZ88" s="535">
        <f t="shared" si="296"/>
        <v>1.1488362685384197</v>
      </c>
      <c r="GA88" s="535"/>
      <c r="GB88" s="535" t="str">
        <f t="shared" si="260"/>
        <v>n</v>
      </c>
      <c r="GC88" s="539">
        <f t="shared" si="261"/>
        <v>42782</v>
      </c>
      <c r="GD88" s="1109">
        <f t="shared" si="262"/>
        <v>42904</v>
      </c>
      <c r="GE88" s="535">
        <f t="shared" si="280"/>
        <v>6520</v>
      </c>
      <c r="GF88" s="1109">
        <f t="shared" si="263"/>
        <v>42909</v>
      </c>
      <c r="GG88" s="535">
        <f t="shared" si="308"/>
        <v>3260</v>
      </c>
      <c r="GH88" s="539">
        <f t="shared" si="264"/>
        <v>43040</v>
      </c>
      <c r="GJ88" s="521">
        <f t="shared" si="265"/>
        <v>0</v>
      </c>
      <c r="GK88" s="535" t="str">
        <f t="shared" si="239"/>
        <v/>
      </c>
      <c r="GL88" s="535">
        <f t="shared" si="266"/>
        <v>0</v>
      </c>
      <c r="GM88" s="535" t="str">
        <f t="shared" si="267"/>
        <v/>
      </c>
      <c r="GN88" s="535">
        <f>IF(GK88="P",Lookup!$M$12,IF(GK88="PP",Lookup!$M$13,IF(GK88="PPP",Lookup!$M$14,IF(GK88="T",Lookup!$M$15,IF(GK88="TP",Lookup!$M$16,IF(GK88="TPP",Lookup!$M$17,IF(GK88="TPPP",Lookup!$M$18,0)))))))*GJ88</f>
        <v>0</v>
      </c>
      <c r="GO88" s="535">
        <f t="shared" si="268"/>
        <v>0</v>
      </c>
      <c r="GP88" s="535">
        <f t="shared" si="240"/>
        <v>2561.5754666666649</v>
      </c>
      <c r="GQ88" s="535">
        <f t="shared" si="279"/>
        <v>834.93333333333271</v>
      </c>
      <c r="GR88" s="535"/>
      <c r="GS88" s="535">
        <f t="shared" si="269"/>
        <v>0</v>
      </c>
      <c r="GT88" s="535" t="str">
        <f t="shared" si="270"/>
        <v/>
      </c>
      <c r="GU88" s="535">
        <f>IF(GK88="P",Lookup!$N$12,IF(GK88="PP",Lookup!$N$13,IF(GK88="PPP",Lookup!$N$14,IF(GK88="T",Lookup!$N$15,IF(GK88="TP",Lookup!$N$16,IF(GK88="TPP",Lookup!$N$17,IF(GK88="TPPP",Lookup!$N$18,0)))))))*GJ88</f>
        <v>0</v>
      </c>
      <c r="GV88" s="535">
        <f t="shared" si="271"/>
        <v>0</v>
      </c>
      <c r="GW88" s="535">
        <f t="shared" si="241"/>
        <v>1096.8759068024606</v>
      </c>
      <c r="GX88" s="535">
        <f t="shared" si="276"/>
        <v>357.52148200862467</v>
      </c>
      <c r="GY88" s="535"/>
      <c r="GZ88" s="535">
        <f t="shared" si="272"/>
        <v>0</v>
      </c>
      <c r="HA88" s="535" t="str">
        <f t="shared" si="273"/>
        <v/>
      </c>
      <c r="HB88" s="535">
        <f>IF(GK88="P",Lookup!$N$12,IF(GK88="PP",Lookup!$N$13,IF(GK88="PPP",Lookup!$N$14,IF(GK88="T",Lookup!$N$15,IF(GK88="TP",Lookup!$N$16,IF(GK88="TPP",Lookup!$N$17,IF(GK88="TPPP",Lookup!$N$18,0)))))))*GJ88</f>
        <v>0</v>
      </c>
      <c r="HC88" s="521">
        <f t="shared" si="242"/>
        <v>0</v>
      </c>
      <c r="HD88" s="535">
        <f t="shared" si="243"/>
        <v>898.25206621883262</v>
      </c>
      <c r="HE88" s="535">
        <f t="shared" si="277"/>
        <v>292.78098638162732</v>
      </c>
      <c r="HF88" s="535"/>
      <c r="HG88" s="535">
        <f t="shared" si="274"/>
        <v>0</v>
      </c>
      <c r="HH88" s="535" t="str">
        <f t="shared" si="275"/>
        <v/>
      </c>
      <c r="HI88" s="535">
        <f>IF(GK88="P",Lookup!$N$12,IF(GK88="PP",Lookup!$N$13,IF(GK88="PPP",Lookup!$N$14,IF(GK88="T",Lookup!$N$15,IF(GK88="TP",Lookup!$N$16,IF(GK88="TPP",Lookup!$N$17,IF(GK88="TPPP",Lookup!$N$18,0)))))))*GJ88</f>
        <v>0</v>
      </c>
      <c r="HJ88" s="521">
        <f t="shared" si="244"/>
        <v>0</v>
      </c>
      <c r="HK88" s="535">
        <f t="shared" si="245"/>
        <v>575.32895685117558</v>
      </c>
      <c r="HL88" s="535">
        <f t="shared" si="278"/>
        <v>187.52573560990078</v>
      </c>
      <c r="HM88" s="535"/>
      <c r="HN88" s="541"/>
      <c r="HO88" s="541"/>
      <c r="HP88" s="541"/>
      <c r="HQ88" s="541">
        <f>IF(AND(B88&gt;=$FV$4,B88&lt;=$FW$4),MAX(110/1.02+$HQ$6+MIN(113/1.02,G88),IF($HV$6-(Sheet1!DA86-Sheet1!DB86)+MIN(113/1.02,G88)&lt;G88+FL88,$HV$6-(Sheet1!DA86-Sheet1!DB86)+MIN(113/1.02,G88),G88+FL88)),MIN(110/1.02+$HQ$6+113/1.02,G88))</f>
        <v>218.62745098039215</v>
      </c>
      <c r="HR88" s="541">
        <f t="shared" si="297"/>
        <v>223</v>
      </c>
      <c r="HS88" s="541">
        <f>HR88+(Sheet1!DA86-Sheet1!DB86)</f>
        <v>3123</v>
      </c>
      <c r="HT88" s="541">
        <f t="shared" si="298"/>
        <v>69.908929999999998</v>
      </c>
      <c r="HU88" s="541">
        <f t="shared" si="299"/>
        <v>3053.0910699999999</v>
      </c>
      <c r="HV88" s="541">
        <f t="shared" si="300"/>
        <v>0</v>
      </c>
      <c r="HW88" s="533" t="str">
        <f t="shared" si="301"/>
        <v/>
      </c>
      <c r="HX88" s="541">
        <f t="shared" si="302"/>
        <v>2061.372549019608</v>
      </c>
      <c r="HY88" s="541">
        <f>Sheet1!CZ86</f>
        <v>2280</v>
      </c>
      <c r="HZ88" s="541">
        <f t="shared" si="303"/>
        <v>0</v>
      </c>
      <c r="IA88" s="541">
        <f t="shared" si="304"/>
        <v>69.908929999999998</v>
      </c>
      <c r="IB88" s="541">
        <f t="shared" si="305"/>
        <v>2280</v>
      </c>
      <c r="IC88" s="1019" t="str">
        <f t="shared" si="306"/>
        <v/>
      </c>
      <c r="ID88" s="541">
        <f t="shared" si="307"/>
        <v>2210.0910699999999</v>
      </c>
      <c r="IE88" s="541">
        <f>Sheet1!DB86</f>
        <v>2250</v>
      </c>
      <c r="IF88" s="533">
        <f>Sheet1!DA86</f>
        <v>5150</v>
      </c>
      <c r="IH88" s="541">
        <f>IF(AND($B88&gt;=$GC88,$B88&lt;=$GH88,$DR88&lt;0)+N("only adjusted when pool is drawn down during storage season"),Sheet1!$DB86+$DR88+N("Palmer minus all storage release"),Sheet1!$DB86)</f>
        <v>2250</v>
      </c>
      <c r="II88" s="541">
        <f>IF(AND($B88&gt;=$GC88,$B88&lt;=$GH88,$DR88&lt;0)+N("only adjusted when pool is drawn down during storage season"),Sheet1!$DA86+$DR88+N("Auburn minus all storage release"),Sheet1!$DA86)</f>
        <v>5150</v>
      </c>
    </row>
    <row r="89" spans="1:243" x14ac:dyDescent="0.25">
      <c r="A89" s="553" t="s">
        <v>3</v>
      </c>
      <c r="B89" s="531">
        <v>42813</v>
      </c>
      <c r="C89" s="536">
        <v>0</v>
      </c>
      <c r="D89" s="506">
        <f t="shared" si="247"/>
        <v>300</v>
      </c>
      <c r="E89" s="506">
        <f t="shared" si="248"/>
        <v>250</v>
      </c>
      <c r="F89" s="506">
        <v>250</v>
      </c>
      <c r="G89" s="535">
        <f>DR89+Sheet1!CZ87</f>
        <v>3086.1119515904566</v>
      </c>
      <c r="H89" s="1074">
        <f t="shared" si="281"/>
        <v>1275.5649656959999</v>
      </c>
      <c r="I89" s="534">
        <f>IF(Sheet1!DA87&gt;=E89,(Sheet1!DA87-E89+P89)*CFStoMGD,0)</f>
        <v>2477.868965696</v>
      </c>
      <c r="J89" s="995">
        <f>IF(Sheet1!DB87&gt;=D89,(Sheet1!DB87-D89+P89)*CFStoMGD,0)</f>
        <v>1275.5649656959999</v>
      </c>
      <c r="K89" s="818">
        <f t="shared" si="282"/>
        <v>64.64</v>
      </c>
      <c r="L89" s="535">
        <f>Sheet1!AA87+Sheet1!AB87-Sheet1!L87+(Sheet1!DA87-F89)*CFStoMGD-S89-T89-U89</f>
        <v>2364.0199999999973</v>
      </c>
      <c r="M89" s="535">
        <f t="shared" si="185"/>
        <v>2034.7600208182325</v>
      </c>
      <c r="N89" s="824">
        <f>IF(Sheet1!DA87&gt;=F89,MIN(113*CFStoMGD,MIN(MAX(L89,0),MAX(M89,0))),0)</f>
        <v>73.043199999999999</v>
      </c>
      <c r="O89" s="538">
        <f>Sheet1!AA87+Sheet1!AB87</f>
        <v>53.870000000000005</v>
      </c>
      <c r="P89" s="538">
        <f t="shared" si="186"/>
        <v>83.336889999999997</v>
      </c>
      <c r="Q89" s="812">
        <f t="shared" si="283"/>
        <v>42.850000000000009</v>
      </c>
      <c r="R89" s="812">
        <f t="shared" si="249"/>
        <v>10.941899362154501</v>
      </c>
      <c r="S89" s="812">
        <f t="shared" si="250"/>
        <v>11.02</v>
      </c>
      <c r="T89" s="812">
        <f t="shared" si="251"/>
        <v>53.620000000000005</v>
      </c>
      <c r="U89" s="812">
        <f t="shared" si="284"/>
        <v>0</v>
      </c>
      <c r="V89" s="812"/>
      <c r="W89" s="812">
        <f t="shared" si="252"/>
        <v>53.698100637845499</v>
      </c>
      <c r="X89" s="812">
        <f t="shared" si="253"/>
        <v>64.64</v>
      </c>
      <c r="Y89" s="812" t="str">
        <f t="shared" si="254"/>
        <v>FALSE</v>
      </c>
      <c r="Z89" s="812">
        <f t="shared" si="255"/>
        <v>53.870000000000005</v>
      </c>
      <c r="AA89" s="812">
        <f t="shared" si="256"/>
        <v>53.870000000000005</v>
      </c>
      <c r="AB89" s="1059">
        <f t="shared" si="285"/>
        <v>66.288950000000014</v>
      </c>
      <c r="AC89" s="538">
        <f>Sheet1!Y87*MGDtoCFS</f>
        <v>39.912599999999998</v>
      </c>
      <c r="AD89" s="538">
        <f>Sheet1!Z87*MGDtoCFS</f>
        <v>47.477429999999998</v>
      </c>
      <c r="AE89" s="538">
        <f>Sheet1!AA87*MGDtoCFS</f>
        <v>39.98995</v>
      </c>
      <c r="AF89" s="538">
        <f>Sheet1!AB87*MGDtoCFS</f>
        <v>43.346939999999996</v>
      </c>
      <c r="AG89" s="538">
        <f>Sheet1!L87*MGDtoCFS</f>
        <v>76.127870000004279</v>
      </c>
      <c r="AH89" s="521">
        <f t="shared" si="187"/>
        <v>0</v>
      </c>
      <c r="AI89" s="1059">
        <f t="shared" si="188"/>
        <v>0</v>
      </c>
      <c r="AJ89" s="535">
        <f t="shared" si="189"/>
        <v>53.698100637845499</v>
      </c>
      <c r="AK89" s="535">
        <f t="shared" si="190"/>
        <v>83.070961686746983</v>
      </c>
      <c r="AL89" s="535">
        <f>(VLOOKUP(Sheet1!DC87,hhdcap_wcm,4)-(((VLOOKUP(Sheet1!DC87,hhdcap_wcm,3)-Sheet1!DC87)/(VLOOKUP(Sheet1!DC87,hhdcap_wcm,3)-VLOOKUP(Sheet1!DC87,hhdcap_wcm,1)))*(VLOOKUP(Sheet1!DC87,hhdcap_wcm,4)-VLOOKUP(Sheet1!DC87,hhdcap_wcm,2))))</f>
        <v>12126.200000027613</v>
      </c>
      <c r="AM89" s="535">
        <f t="shared" si="191"/>
        <v>1519.2000000038752</v>
      </c>
      <c r="AN89" s="1035">
        <f t="shared" si="192"/>
        <v>1726.4596379713307</v>
      </c>
      <c r="AO89" s="535">
        <f t="shared" si="193"/>
        <v>5296.7781692960425</v>
      </c>
      <c r="AP89" s="535">
        <f>Sheet1!BA87+Sheet1!BB87+Sheet1!BN87+CD89</f>
        <v>17.2</v>
      </c>
      <c r="AQ89" s="535">
        <f>Sheet1!BN87+(DO89*Sheet1!BN87)</f>
        <v>17.078100637845498</v>
      </c>
      <c r="AR89" s="535">
        <f>Sheet1!BA87+CD89</f>
        <v>0</v>
      </c>
      <c r="AS89" s="535">
        <f>Sheet1!BA87+Sheet1!BB87+CD89</f>
        <v>0</v>
      </c>
      <c r="AT89" s="649">
        <f>0</f>
        <v>0</v>
      </c>
      <c r="AU89" s="535">
        <f>IF(EB89&lt;K89,0,MAX(Sheet1!AA87+AQ89-15/36*K89-N89,Sheet1!EH87,0))</f>
        <v>0</v>
      </c>
      <c r="AV89" s="535">
        <f>IF(OR(B89&gt;=GD89,B89&lt;GC89),0,15/36*K89-MAX(0,64.6-(137.6-(Sheet1!AA87+Sheet1!AB87))))</f>
        <v>26.933333333333334</v>
      </c>
      <c r="AW89" s="1029"/>
      <c r="AX89" s="649"/>
      <c r="AY89" s="649">
        <f t="shared" si="286"/>
        <v>0</v>
      </c>
      <c r="AZ89" s="649">
        <f t="shared" si="287"/>
        <v>0</v>
      </c>
      <c r="BA89" s="1059">
        <f t="shared" si="288"/>
        <v>0</v>
      </c>
      <c r="BB89" s="1019">
        <f t="shared" si="194"/>
        <v>861.86666666666599</v>
      </c>
      <c r="BC89" s="1041">
        <f t="shared" si="289"/>
        <v>26.933333333333334</v>
      </c>
      <c r="BD89" s="1019">
        <f ca="1">IF(B89&gt;Summary!$A$1,#N/A,BB89*MGtoAF)</f>
        <v>2644.2069333333311</v>
      </c>
      <c r="BE89" s="535">
        <f>Sheet1!BG87+Sheet1!BH87+Sheet1!BI87-BM89</f>
        <v>1.02</v>
      </c>
      <c r="BF89" s="535">
        <f t="shared" si="195"/>
        <v>1.0127710843373494</v>
      </c>
      <c r="BG89" s="535">
        <f>IF(Sheet1!EP87="FM",BM89,0)</f>
        <v>0</v>
      </c>
      <c r="BH89" s="535">
        <f t="shared" si="196"/>
        <v>0</v>
      </c>
      <c r="BI89" s="535">
        <f>IF(Sheet1!EP87="OTHER",BM89,0)</f>
        <v>0</v>
      </c>
      <c r="BJ89" s="535">
        <f t="shared" si="197"/>
        <v>0</v>
      </c>
      <c r="BK89" s="535">
        <f t="shared" si="198"/>
        <v>1.02</v>
      </c>
      <c r="BL89" s="535">
        <f t="shared" si="199"/>
        <v>1.0127710843373494</v>
      </c>
      <c r="BM89" s="535">
        <f>IF(OR(Sheet1!EP87="FM", Sheet1!EP87="OTHER"),SUM(Sheet1!BG87:'Sheet1'!BI87),0)</f>
        <v>0</v>
      </c>
      <c r="BN89" s="521">
        <f>IF(AND($B89&gt;=$FV89,$B89&lt;=$FW89),MAX(BF89,Sheet1!EI87,0),MAX(BF89-(7/36)*$K89,0))</f>
        <v>0</v>
      </c>
      <c r="BO89" s="535">
        <f t="shared" si="200"/>
        <v>11.55611780455154</v>
      </c>
      <c r="BP89" s="521">
        <f t="shared" si="201"/>
        <v>1.0127710843373494</v>
      </c>
      <c r="BQ89" s="521">
        <f>IF(AND($O89&gt;0,Sheet1!EM87=1),(1-($O89-Sheet1!$L87)/$O89)*BL89,0)</f>
        <v>0</v>
      </c>
      <c r="BR89" s="521">
        <f>IF(AND(Sheet1!$L87=0,Sheet1!$L86=0, Calculation!BK89&lt;Sheet1!$EI87-0.1,Sheet1!$EI87=Sheet1!$EI86,Sheet1!$EI87=Sheet1!$EI88),BL89-BQ89,BL89-BQ89)</f>
        <v>1.0127710843373494</v>
      </c>
      <c r="BS89" s="1035" t="str">
        <f t="shared" si="290"/>
        <v/>
      </c>
      <c r="BT89" s="1035">
        <f t="shared" si="291"/>
        <v>12.568888888888889</v>
      </c>
      <c r="BU89" s="535">
        <f t="shared" si="202"/>
        <v>369.07759981317622</v>
      </c>
      <c r="BV89" s="535"/>
      <c r="BW89" s="535">
        <f ca="1">IF(B89&gt;Summary!$A$1,#N/A,BU89*MGtoAF)</f>
        <v>1132.3300762268248</v>
      </c>
      <c r="BX89" s="535">
        <f>Sheet1!BC87+Sheet1!BD87+Sheet1!BE87+Sheet1!BF87-CG89-CH89</f>
        <v>3.5</v>
      </c>
      <c r="BY89" s="535">
        <f t="shared" si="203"/>
        <v>3.4751948972360029</v>
      </c>
      <c r="BZ89" s="535">
        <f>IF(Sheet1!EQ87="FM",CH89,0)</f>
        <v>0</v>
      </c>
      <c r="CA89" s="535">
        <f t="shared" si="204"/>
        <v>0</v>
      </c>
      <c r="CB89" s="535">
        <f>IF(Sheet1!EQ87="OTHER",CH89,0)</f>
        <v>0</v>
      </c>
      <c r="CC89" s="535">
        <f t="shared" si="205"/>
        <v>0</v>
      </c>
      <c r="CD89" s="535">
        <f t="shared" si="206"/>
        <v>0</v>
      </c>
      <c r="CE89" s="535">
        <f t="shared" si="207"/>
        <v>3.5</v>
      </c>
      <c r="CF89" s="535">
        <f t="shared" si="208"/>
        <v>3.4751948972360029</v>
      </c>
      <c r="CG89" s="535">
        <f>IF(Sheet1!EQ87="CWA",SUM(Sheet1!BC87:'Sheet1'!BF87),0)</f>
        <v>0</v>
      </c>
      <c r="CH89" s="535">
        <f>IF(OR(Sheet1!EQ87="FM", Sheet1!EQ87="OTHER"),SUM(Sheet1!BC87:'Sheet1'!BF87),0)</f>
        <v>0</v>
      </c>
      <c r="CI89" s="521">
        <f>IF(AND($B89&gt;=$FV89,$B89&lt;=$FW89),MAX(CF89,Sheet1!EJ87,0),MAX(CF89-(7/36)*$K89,0))</f>
        <v>0</v>
      </c>
      <c r="CJ89" s="535">
        <f t="shared" si="209"/>
        <v>9.0936939916528861</v>
      </c>
      <c r="CK89" s="521">
        <f t="shared" si="210"/>
        <v>3.4751948972360029</v>
      </c>
      <c r="CL89" s="521">
        <f>IF(AND($O89&gt;0,Sheet1!EN87=1),(1-($O89-Sheet1!$L87)/$O89)*CF89,0)</f>
        <v>0</v>
      </c>
      <c r="CM89" s="521">
        <f>IF(AND(Sheet1!$L87=0,Sheet1!$L86=0, Calculation!CE89&lt;Sheet1!EJ87-0.1,Sheet1!EJ87=Sheet1!EJ86,Sheet1!EJ87=Sheet1!EJ88),CF89-CL89,CF89-CL89)</f>
        <v>3.4751948972360029</v>
      </c>
      <c r="CN89" s="1040" t="str">
        <f t="shared" si="292"/>
        <v/>
      </c>
      <c r="CO89" s="1035">
        <f t="shared" si="293"/>
        <v>12.568888888888889</v>
      </c>
      <c r="CP89" s="535">
        <f t="shared" si="211"/>
        <v>301.87468037328023</v>
      </c>
      <c r="CQ89" s="535"/>
      <c r="CR89" s="535">
        <f ca="1">IF(B89&gt;Summary!$A$1,#N/A,CP89*MGtoAF)</f>
        <v>926.15151938522376</v>
      </c>
      <c r="CS89" s="535">
        <f>Sheet1!BK87+Sheet1!BL87+Sheet1!BM87-Sheet1!ER87-DA89</f>
        <v>6.5</v>
      </c>
      <c r="CT89" s="535">
        <f t="shared" si="212"/>
        <v>6.4539333805811481</v>
      </c>
      <c r="CU89" s="535">
        <f>IF(Sheet1!ER87="FM",DA89,0)</f>
        <v>0</v>
      </c>
      <c r="CV89" s="535">
        <f t="shared" si="213"/>
        <v>0</v>
      </c>
      <c r="CW89" s="535">
        <f>IF(Sheet1!ER87="OTHER",DA89,0)</f>
        <v>0</v>
      </c>
      <c r="CX89" s="535">
        <f t="shared" si="214"/>
        <v>0</v>
      </c>
      <c r="CY89" s="535">
        <f t="shared" si="215"/>
        <v>6.5</v>
      </c>
      <c r="CZ89" s="535">
        <f t="shared" si="216"/>
        <v>6.4539333805811481</v>
      </c>
      <c r="DA89" s="535">
        <f>IF(OR(Sheet1!ER87="FM", Sheet1!ER87="OTHER"),SUM(Sheet1!BK87:'Sheet1'!BM87),0)</f>
        <v>0</v>
      </c>
      <c r="DB89" s="1011">
        <f>IF(AND($B89&gt;=$FV89,$B89&lt;=$FW89),MAX($CT89,Sheet1!EK87,0),MAX($CT89-(7/36)*$K89,0))</f>
        <v>0</v>
      </c>
      <c r="DC89" s="1012">
        <f t="shared" si="217"/>
        <v>6.1149555083077409</v>
      </c>
      <c r="DD89" s="1011">
        <f t="shared" si="218"/>
        <v>6.4539333805811481</v>
      </c>
      <c r="DE89" s="521">
        <f>IF(AND($O89&gt;0,Sheet1!EO87=1),(1-($O89-Sheet1!$L87)/$O89)*CZ89,0)</f>
        <v>0</v>
      </c>
      <c r="DF89" s="521">
        <f>IF(AND(Sheet1!$L87=0,Sheet1!$L86=0, Calculation!CY89&lt;Sheet1!$EK87-0.1,Sheet1!$EK87=Sheet1!$EK86,Sheet1!$EK87=Sheet1!$EK88),CZ89-DE89,CZ89-DE89)</f>
        <v>6.4539333805811481</v>
      </c>
      <c r="DG89" s="1040">
        <f t="shared" si="294"/>
        <v>12.568888888888889</v>
      </c>
      <c r="DH89" s="649">
        <f t="shared" si="219"/>
        <v>11.02</v>
      </c>
      <c r="DI89" s="535">
        <f t="shared" si="220"/>
        <v>193.64069111820851</v>
      </c>
      <c r="DJ89" s="649">
        <f t="shared" si="221"/>
        <v>10.941899362154501</v>
      </c>
      <c r="DK89" s="535">
        <f ca="1">IF(B89&gt;Summary!$A$1,#N/A,DI89*MGtoAF)</f>
        <v>594.08964035066367</v>
      </c>
      <c r="DL89" s="649">
        <f t="shared" si="222"/>
        <v>11.02</v>
      </c>
      <c r="DM89" s="535">
        <f t="shared" si="223"/>
        <v>28.22</v>
      </c>
      <c r="DN89" s="535">
        <f>Sheet1!AB87-DM89</f>
        <v>-0.19999999999999929</v>
      </c>
      <c r="DO89" s="743">
        <f t="shared" si="224"/>
        <v>-7.0871722182848798E-3</v>
      </c>
      <c r="DP89" s="535">
        <f>(VLOOKUP(Sheet1!DC87,hhdcap_wcm,4)-(((VLOOKUP(Sheet1!DC87,hhdcap_wcm,3)-Sheet1!DC87)/(VLOOKUP(Sheet1!DC87,hhdcap_wcm,3)-VLOOKUP(Sheet1!DC87,hhdcap_wcm,1)))*(VLOOKUP(Sheet1!DC87,hhdcap_wcm,4)-VLOOKUP(Sheet1!DC87,hhdcap_wcm,2))))</f>
        <v>12126.200000027613</v>
      </c>
      <c r="DQ89" s="535">
        <f t="shared" si="225"/>
        <v>1519.2000000038752</v>
      </c>
      <c r="DR89" s="535">
        <f t="shared" si="226"/>
        <v>766.11195159045633</v>
      </c>
      <c r="DS89" s="535">
        <f>Sheet1!EA87*AFtoMG</f>
        <v>0</v>
      </c>
      <c r="DT89" s="535">
        <f>Sheet1!EB87*AFtoMG</f>
        <v>0</v>
      </c>
      <c r="DU89" s="535">
        <f>Sheet1!EC87*AFtoMG</f>
        <v>0</v>
      </c>
      <c r="DV89" s="535">
        <f>Sheet1!ED87*AFtoMG</f>
        <v>0</v>
      </c>
      <c r="DW89" s="535">
        <f t="shared" si="227"/>
        <v>0</v>
      </c>
      <c r="DX89" s="535">
        <f t="shared" si="228"/>
        <v>0</v>
      </c>
      <c r="DY89" s="535">
        <f t="shared" si="229"/>
        <v>1726.4596379713307</v>
      </c>
      <c r="DZ89" s="535">
        <f t="shared" si="230"/>
        <v>5296.7781692960425</v>
      </c>
      <c r="EA89" s="535"/>
      <c r="EB89" s="521">
        <f>IF(OR(B89&lt;FV89,B89&gt;FW89),(MIN(BF89+BY89+CT89+MAX(Sheet1!AA87+AQ89-73,0),K89)),0)</f>
        <v>10.941899362154501</v>
      </c>
      <c r="EC89" s="535"/>
      <c r="ED89" s="535">
        <f t="shared" si="231"/>
        <v>10.941899362154501</v>
      </c>
      <c r="EE89" s="535"/>
      <c r="EF89" s="535">
        <f>Sheet1!EH87+Sheet1!EI87+Sheet1!EJ87+Sheet1!EK87</f>
        <v>11</v>
      </c>
      <c r="EG89" s="1019">
        <f t="shared" si="295"/>
        <v>17.016999999999999</v>
      </c>
      <c r="EH89" s="521">
        <f t="shared" si="232"/>
        <v>0</v>
      </c>
      <c r="EI89" s="535">
        <f>IF(Sheet1!ET87=1,SUM('Calculations II'!AT89:BA89)+'Calculations II'!BC89+Sheet1!BV87+'Calculations II'!BE89+AP89,'Calculations II'!BK89)</f>
        <v>44.222678637845497</v>
      </c>
      <c r="EJ89" s="535">
        <f ca="1">EI89+'Calculations II'!D89+'Calculations II'!E89+'Calculations II'!O89</f>
        <v>40.932694059086032</v>
      </c>
      <c r="EK89" s="535"/>
      <c r="EL89" s="535"/>
      <c r="EM89" s="535">
        <f t="shared" si="233"/>
        <v>42813</v>
      </c>
      <c r="EN89" s="535">
        <f t="shared" si="234"/>
        <v>53.698100637845499</v>
      </c>
      <c r="EO89" s="535">
        <f t="shared" si="235"/>
        <v>83.070961686746983</v>
      </c>
      <c r="EP89" s="535">
        <v>0</v>
      </c>
      <c r="EQ89" s="535">
        <v>0</v>
      </c>
      <c r="ER89" s="535">
        <v>0</v>
      </c>
      <c r="ES89" s="521">
        <f t="shared" si="257"/>
        <v>1.6622018295308574</v>
      </c>
      <c r="ET89" s="535">
        <f>-(VLOOKUP(Sheet1!BQ87,Lookup!$O$4:$Q$262,2)-VLOOKUP(Sheet1!BQ86,Lookup!$O$4:$Q$262,2))/1000000</f>
        <v>0.83096632570995388</v>
      </c>
      <c r="EU89" s="535">
        <f>-(VLOOKUP(Sheet1!BR87,Lookup!$O$4:$Q$262,3)-VLOOKUP(Sheet1!BR86,Lookup!$O$4:$Q$262,3))/1000000</f>
        <v>0.83123550382090361</v>
      </c>
      <c r="EV89" s="535"/>
      <c r="EW89" s="535"/>
      <c r="EX89" s="535"/>
      <c r="EY89" s="535"/>
      <c r="EZ89" s="535"/>
      <c r="FA89" s="535"/>
      <c r="FB89" s="535"/>
      <c r="FC89" s="535"/>
      <c r="FD89" s="567" t="e">
        <f t="shared" si="236"/>
        <v>#N/A</v>
      </c>
      <c r="FE89" s="567" t="e">
        <f t="shared" si="237"/>
        <v>#N/A</v>
      </c>
      <c r="FF89" s="568" t="e">
        <f t="shared" si="238"/>
        <v>#N/A</v>
      </c>
      <c r="FG89" s="569" t="s">
        <v>656</v>
      </c>
      <c r="FH89" s="569" t="s">
        <v>656</v>
      </c>
      <c r="FI89" s="567" t="e">
        <v>#N/A</v>
      </c>
      <c r="FJ89" s="567" t="e">
        <v>#N/A</v>
      </c>
      <c r="FK89" s="535"/>
      <c r="FL89" s="1015">
        <v>0</v>
      </c>
      <c r="FM89" s="535"/>
      <c r="FN89" s="535"/>
      <c r="FO89" s="535">
        <f>O89+((Sheet1!CS87)*GPMtoMGD)</f>
        <v>53.870000000000005</v>
      </c>
      <c r="FP89" s="535">
        <f>IF(Sheet1!AA87+AQ89&lt;=Calculation!N89,AQ89,Calculation!N89-Sheet1!AA87)</f>
        <v>17.078100637845498</v>
      </c>
      <c r="FQ89" s="535">
        <f>(Sheet1!BP87+Sheet1!BO87)/694.4</f>
        <v>1.7955069124423964</v>
      </c>
      <c r="FR89" s="541"/>
      <c r="FS89" s="541"/>
      <c r="FT89" s="541"/>
      <c r="FU89" s="541"/>
      <c r="FV89" s="1109">
        <f t="shared" si="258"/>
        <v>42918</v>
      </c>
      <c r="FW89" s="1109">
        <f t="shared" si="259"/>
        <v>43027</v>
      </c>
      <c r="FX89" s="541"/>
      <c r="FY89" s="541">
        <f>Sheet1!DA87-Sheet1!CZ87-Sheet1!AE87</f>
        <v>1672.7909800000043</v>
      </c>
      <c r="FZ89" s="535">
        <f t="shared" si="296"/>
        <v>0.54203833374804045</v>
      </c>
      <c r="GA89" s="535"/>
      <c r="GB89" s="535" t="str">
        <f t="shared" si="260"/>
        <v>n</v>
      </c>
      <c r="GC89" s="539">
        <f t="shared" si="261"/>
        <v>42782</v>
      </c>
      <c r="GD89" s="1109">
        <f t="shared" si="262"/>
        <v>42904</v>
      </c>
      <c r="GE89" s="535">
        <f t="shared" si="280"/>
        <v>6520</v>
      </c>
      <c r="GF89" s="1109">
        <f t="shared" si="263"/>
        <v>42909</v>
      </c>
      <c r="GG89" s="535">
        <f t="shared" si="308"/>
        <v>3260</v>
      </c>
      <c r="GH89" s="539">
        <f t="shared" si="264"/>
        <v>43040</v>
      </c>
      <c r="GJ89" s="521">
        <f t="shared" si="265"/>
        <v>0</v>
      </c>
      <c r="GK89" s="535" t="str">
        <f t="shared" si="239"/>
        <v/>
      </c>
      <c r="GL89" s="535">
        <f t="shared" si="266"/>
        <v>0</v>
      </c>
      <c r="GM89" s="535" t="str">
        <f t="shared" si="267"/>
        <v/>
      </c>
      <c r="GN89" s="535">
        <f>IF(GK89="P",Lookup!$M$12,IF(GK89="PP",Lookup!$M$13,IF(GK89="PPP",Lookup!$M$14,IF(GK89="T",Lookup!$M$15,IF(GK89="TP",Lookup!$M$16,IF(GK89="TPP",Lookup!$M$17,IF(GK89="TPPP",Lookup!$M$18,0)))))))*GJ89</f>
        <v>0</v>
      </c>
      <c r="GO89" s="535">
        <f t="shared" si="268"/>
        <v>0</v>
      </c>
      <c r="GP89" s="535">
        <f t="shared" si="240"/>
        <v>2644.2069333333311</v>
      </c>
      <c r="GQ89" s="535">
        <f t="shared" si="279"/>
        <v>861.86666666666599</v>
      </c>
      <c r="GR89" s="535"/>
      <c r="GS89" s="535">
        <f t="shared" si="269"/>
        <v>0</v>
      </c>
      <c r="GT89" s="535" t="str">
        <f t="shared" si="270"/>
        <v/>
      </c>
      <c r="GU89" s="535">
        <f>IF(GK89="P",Lookup!$N$12,IF(GK89="PP",Lookup!$N$13,IF(GK89="PPP",Lookup!$N$14,IF(GK89="T",Lookup!$N$15,IF(GK89="TP",Lookup!$N$16,IF(GK89="TPP",Lookup!$N$17,IF(GK89="TPPP",Lookup!$N$18,0)))))))*GJ89</f>
        <v>0</v>
      </c>
      <c r="GV89" s="535">
        <f t="shared" si="271"/>
        <v>0</v>
      </c>
      <c r="GW89" s="535">
        <f t="shared" si="241"/>
        <v>1132.3300762268248</v>
      </c>
      <c r="GX89" s="535">
        <f t="shared" si="276"/>
        <v>369.07759981317622</v>
      </c>
      <c r="GY89" s="535"/>
      <c r="GZ89" s="535">
        <f t="shared" si="272"/>
        <v>0</v>
      </c>
      <c r="HA89" s="535" t="str">
        <f t="shared" si="273"/>
        <v/>
      </c>
      <c r="HB89" s="535">
        <f>IF(GK89="P",Lookup!$N$12,IF(GK89="PP",Lookup!$N$13,IF(GK89="PPP",Lookup!$N$14,IF(GK89="T",Lookup!$N$15,IF(GK89="TP",Lookup!$N$16,IF(GK89="TPP",Lookup!$N$17,IF(GK89="TPPP",Lookup!$N$18,0)))))))*GJ89</f>
        <v>0</v>
      </c>
      <c r="HC89" s="521">
        <f t="shared" si="242"/>
        <v>0</v>
      </c>
      <c r="HD89" s="535">
        <f t="shared" si="243"/>
        <v>926.15151938522376</v>
      </c>
      <c r="HE89" s="535">
        <f t="shared" si="277"/>
        <v>301.87468037328023</v>
      </c>
      <c r="HF89" s="535"/>
      <c r="HG89" s="535">
        <f t="shared" si="274"/>
        <v>0</v>
      </c>
      <c r="HH89" s="535" t="str">
        <f t="shared" si="275"/>
        <v/>
      </c>
      <c r="HI89" s="535">
        <f>IF(GK89="P",Lookup!$N$12,IF(GK89="PP",Lookup!$N$13,IF(GK89="PPP",Lookup!$N$14,IF(GK89="T",Lookup!$N$15,IF(GK89="TP",Lookup!$N$16,IF(GK89="TPP",Lookup!$N$17,IF(GK89="TPPP",Lookup!$N$18,0)))))))*GJ89</f>
        <v>0</v>
      </c>
      <c r="HJ89" s="521">
        <f t="shared" si="244"/>
        <v>0</v>
      </c>
      <c r="HK89" s="535">
        <f t="shared" si="245"/>
        <v>594.08964035066367</v>
      </c>
      <c r="HL89" s="535">
        <f t="shared" si="278"/>
        <v>193.64069111820851</v>
      </c>
      <c r="HM89" s="535"/>
      <c r="HN89" s="541"/>
      <c r="HO89" s="541"/>
      <c r="HP89" s="541"/>
      <c r="HQ89" s="541">
        <f>IF(AND(B89&gt;=$FV$4,B89&lt;=$FW$4),MAX(110/1.02+$HQ$6+MIN(113/1.02,G89),IF($HV$6-(Sheet1!DA87-Sheet1!DB87)+MIN(113/1.02,G89)&lt;G89+FL89,$HV$6-(Sheet1!DA87-Sheet1!DB87)+MIN(113/1.02,G89),G89+FL89)),MIN(110/1.02+$HQ$6+113/1.02,G89))</f>
        <v>218.62745098039215</v>
      </c>
      <c r="HR89" s="541">
        <f t="shared" si="297"/>
        <v>223</v>
      </c>
      <c r="HS89" s="541">
        <f>HR89+(Sheet1!DA87-Sheet1!DB87)</f>
        <v>2033</v>
      </c>
      <c r="HT89" s="541">
        <f t="shared" si="298"/>
        <v>66.288950000000014</v>
      </c>
      <c r="HU89" s="541">
        <f t="shared" si="299"/>
        <v>1966.7110499999999</v>
      </c>
      <c r="HV89" s="541">
        <f t="shared" si="300"/>
        <v>0</v>
      </c>
      <c r="HW89" s="533" t="str">
        <f t="shared" si="301"/>
        <v/>
      </c>
      <c r="HX89" s="541">
        <f t="shared" si="302"/>
        <v>2101.372549019608</v>
      </c>
      <c r="HY89" s="541">
        <f>Sheet1!CZ87</f>
        <v>2320</v>
      </c>
      <c r="HZ89" s="541">
        <f t="shared" si="303"/>
        <v>0</v>
      </c>
      <c r="IA89" s="541">
        <f t="shared" si="304"/>
        <v>66.288950000000014</v>
      </c>
      <c r="IB89" s="541">
        <f t="shared" si="305"/>
        <v>2320</v>
      </c>
      <c r="IC89" s="1019" t="str">
        <f t="shared" si="306"/>
        <v/>
      </c>
      <c r="ID89" s="541">
        <f t="shared" si="307"/>
        <v>2253.7110499999999</v>
      </c>
      <c r="IE89" s="541">
        <f>Sheet1!DB87</f>
        <v>2190</v>
      </c>
      <c r="IF89" s="533">
        <f>Sheet1!DA87</f>
        <v>4000</v>
      </c>
      <c r="IH89" s="541">
        <f>IF(AND($B89&gt;=$GC89,$B89&lt;=$GH89,$DR89&lt;0)+N("only adjusted when pool is drawn down during storage season"),Sheet1!$DB87+$DR89+N("Palmer minus all storage release"),Sheet1!$DB87)</f>
        <v>2190</v>
      </c>
      <c r="II89" s="541">
        <f>IF(AND($B89&gt;=$GC89,$B89&lt;=$GH89,$DR89&lt;0)+N("only adjusted when pool is drawn down during storage season"),Sheet1!$DA87+$DR89+N("Auburn minus all storage release"),Sheet1!$DA87)</f>
        <v>4000</v>
      </c>
    </row>
    <row r="90" spans="1:243" x14ac:dyDescent="0.25">
      <c r="A90" s="553" t="s">
        <v>4</v>
      </c>
      <c r="B90" s="531">
        <v>42814</v>
      </c>
      <c r="C90" s="536">
        <v>0</v>
      </c>
      <c r="D90" s="506">
        <f t="shared" si="247"/>
        <v>300</v>
      </c>
      <c r="E90" s="506">
        <f t="shared" si="248"/>
        <v>250</v>
      </c>
      <c r="F90" s="506">
        <v>250</v>
      </c>
      <c r="G90" s="535">
        <f>DR90+Sheet1!CZ88</f>
        <v>2074.8512355032503</v>
      </c>
      <c r="H90" s="1074">
        <f t="shared" si="281"/>
        <v>979.39094323199993</v>
      </c>
      <c r="I90" s="534">
        <f>IF(Sheet1!DA88&gt;=E90,(Sheet1!DA88-E90+P90)*CFStoMGD,0)</f>
        <v>1981.3109432319998</v>
      </c>
      <c r="J90" s="995">
        <f>IF(Sheet1!DB88&gt;=D90,(Sheet1!DB88-D90+P90)*CFStoMGD,0)</f>
        <v>979.39094323199993</v>
      </c>
      <c r="K90" s="818">
        <f t="shared" si="282"/>
        <v>64.64</v>
      </c>
      <c r="L90" s="535">
        <f>Sheet1!AA88+Sheet1!AB88-Sheet1!L88+(Sheet1!DA88-F90)*CFStoMGD-S90-T90-U90</f>
        <v>1876.8520000000003</v>
      </c>
      <c r="M90" s="535">
        <f t="shared" si="185"/>
        <v>1368.0075154018871</v>
      </c>
      <c r="N90" s="824">
        <f>IF(Sheet1!DA88&gt;=F90,MIN(113*CFStoMGD,MIN(MAX(L90,0),MAX(M90,0))),0)</f>
        <v>73.043199999999999</v>
      </c>
      <c r="O90" s="538">
        <f>Sheet1!AA88+Sheet1!AB88</f>
        <v>55.04</v>
      </c>
      <c r="P90" s="538">
        <f t="shared" si="186"/>
        <v>85.146879999999996</v>
      </c>
      <c r="Q90" s="812">
        <f t="shared" si="283"/>
        <v>44.17</v>
      </c>
      <c r="R90" s="812">
        <f t="shared" si="249"/>
        <v>10.836576699692518</v>
      </c>
      <c r="S90" s="812">
        <f t="shared" si="250"/>
        <v>10.87</v>
      </c>
      <c r="T90" s="812">
        <f t="shared" si="251"/>
        <v>53.77</v>
      </c>
      <c r="U90" s="812">
        <f t="shared" si="284"/>
        <v>0</v>
      </c>
      <c r="V90" s="812"/>
      <c r="W90" s="812">
        <f t="shared" si="252"/>
        <v>53.803423300307486</v>
      </c>
      <c r="X90" s="812">
        <f t="shared" si="253"/>
        <v>64.64</v>
      </c>
      <c r="Y90" s="812" t="str">
        <f t="shared" si="254"/>
        <v>FALSE</v>
      </c>
      <c r="Z90" s="812">
        <f t="shared" si="255"/>
        <v>55.04</v>
      </c>
      <c r="AA90" s="812">
        <f t="shared" si="256"/>
        <v>55.04</v>
      </c>
      <c r="AB90" s="1059">
        <f t="shared" si="285"/>
        <v>68.33099</v>
      </c>
      <c r="AC90" s="538">
        <f>Sheet1!Y88*MGDtoCFS</f>
        <v>39.98995</v>
      </c>
      <c r="AD90" s="538">
        <f>Sheet1!Z88*MGDtoCFS</f>
        <v>43.346939999999996</v>
      </c>
      <c r="AE90" s="538">
        <f>Sheet1!AA88*MGDtoCFS</f>
        <v>40.005420000000001</v>
      </c>
      <c r="AF90" s="538">
        <f>Sheet1!AB88*MGDtoCFS</f>
        <v>45.141459999999995</v>
      </c>
      <c r="AG90" s="538">
        <f>Sheet1!L88*MGDtoCFS</f>
        <v>61.601539999999545</v>
      </c>
      <c r="AH90" s="521">
        <f t="shared" si="187"/>
        <v>0</v>
      </c>
      <c r="AI90" s="1059">
        <f t="shared" si="188"/>
        <v>0</v>
      </c>
      <c r="AJ90" s="535">
        <f t="shared" si="189"/>
        <v>53.803423300307486</v>
      </c>
      <c r="AK90" s="535">
        <f t="shared" si="190"/>
        <v>83.233895845575674</v>
      </c>
      <c r="AL90" s="535">
        <f>(VLOOKUP(Sheet1!DC88,hhdcap_wcm,4)-(((VLOOKUP(Sheet1!DC88,hhdcap_wcm,3)-Sheet1!DC88)/(VLOOKUP(Sheet1!DC88,hhdcap_wcm,3)-VLOOKUP(Sheet1!DC88,hhdcap_wcm,1)))*(VLOOKUP(Sheet1!DC88,hhdcap_wcm,4)-VLOOKUP(Sheet1!DC88,hhdcap_wcm,2))))</f>
        <v>12651.400000030559</v>
      </c>
      <c r="AM90" s="535">
        <f t="shared" si="191"/>
        <v>525.20000000294567</v>
      </c>
      <c r="AN90" s="1035">
        <f t="shared" si="192"/>
        <v>1780.2630612716384</v>
      </c>
      <c r="AO90" s="535">
        <f t="shared" si="193"/>
        <v>5461.8470719813868</v>
      </c>
      <c r="AP90" s="535">
        <f>Sheet1!BA88+Sheet1!BB88+Sheet1!BN88+CD90</f>
        <v>18.399999999999999</v>
      </c>
      <c r="AQ90" s="535">
        <f>Sheet1!BN88+(DO90*Sheet1!BN88)</f>
        <v>18.343423300307482</v>
      </c>
      <c r="AR90" s="535">
        <f>Sheet1!BA88+CD90</f>
        <v>0</v>
      </c>
      <c r="AS90" s="535">
        <f>Sheet1!BA88+Sheet1!BB88+CD90</f>
        <v>0</v>
      </c>
      <c r="AT90" s="649">
        <f>0</f>
        <v>0</v>
      </c>
      <c r="AU90" s="535">
        <f>IF(EB90&lt;K90,0,MAX(Sheet1!AA88+AQ90-15/36*K90-N90,Sheet1!EH88,0))</f>
        <v>0</v>
      </c>
      <c r="AV90" s="535">
        <f>IF(OR(B90&gt;=GD90,B90&lt;GC90),0,15/36*K90-MAX(0,64.6-(137.6-(Sheet1!AA88+Sheet1!AB88))))</f>
        <v>26.933333333333334</v>
      </c>
      <c r="AW90" s="1029"/>
      <c r="AX90" s="649"/>
      <c r="AY90" s="649">
        <f t="shared" si="286"/>
        <v>0</v>
      </c>
      <c r="AZ90" s="649">
        <f t="shared" si="287"/>
        <v>0</v>
      </c>
      <c r="BA90" s="1059">
        <f t="shared" si="288"/>
        <v>0</v>
      </c>
      <c r="BB90" s="1019">
        <f t="shared" si="194"/>
        <v>888.79999999999927</v>
      </c>
      <c r="BC90" s="1041">
        <f t="shared" si="289"/>
        <v>26.933333333333334</v>
      </c>
      <c r="BD90" s="1019">
        <f ca="1">IF(B90&gt;Summary!$A$1,#N/A,BB90*MGtoAF)</f>
        <v>2726.8383999999978</v>
      </c>
      <c r="BE90" s="535">
        <f>Sheet1!BG88+Sheet1!BH88+Sheet1!BI88-BM90</f>
        <v>1.02</v>
      </c>
      <c r="BF90" s="535">
        <f t="shared" si="195"/>
        <v>1.0168636829518281</v>
      </c>
      <c r="BG90" s="535">
        <f>IF(Sheet1!EP88="FM",BM90,0)</f>
        <v>0</v>
      </c>
      <c r="BH90" s="535">
        <f t="shared" si="196"/>
        <v>0</v>
      </c>
      <c r="BI90" s="535">
        <f>IF(Sheet1!EP88="OTHER",BM90,0)</f>
        <v>0</v>
      </c>
      <c r="BJ90" s="535">
        <f t="shared" si="197"/>
        <v>0</v>
      </c>
      <c r="BK90" s="535">
        <f t="shared" si="198"/>
        <v>1.02</v>
      </c>
      <c r="BL90" s="535">
        <f t="shared" si="199"/>
        <v>1.0168636829518281</v>
      </c>
      <c r="BM90" s="535">
        <f>IF(OR(Sheet1!EP88="FM", Sheet1!EP88="OTHER"),SUM(Sheet1!BG88:'Sheet1'!BI88),0)</f>
        <v>0</v>
      </c>
      <c r="BN90" s="521">
        <f>IF(AND($B90&gt;=$FV90,$B90&lt;=$FW90),MAX(BF90,Sheet1!EI88,0),MAX(BF90-(7/36)*$K90,0))</f>
        <v>0</v>
      </c>
      <c r="BO90" s="535">
        <f t="shared" si="200"/>
        <v>11.552025205937062</v>
      </c>
      <c r="BP90" s="521">
        <f t="shared" si="201"/>
        <v>1.0168636829518281</v>
      </c>
      <c r="BQ90" s="521">
        <f>IF(AND($O90&gt;0,Sheet1!EM88=1),(1-($O90-Sheet1!$L88)/$O90)*BL90,0)</f>
        <v>0</v>
      </c>
      <c r="BR90" s="521">
        <f>IF(AND(Sheet1!$L88=0,Sheet1!$L87=0, Calculation!BK90&lt;Sheet1!$EI88-0.1,Sheet1!$EI88=Sheet1!$EI87,Sheet1!$EI88=Sheet1!$EI89),BL90-BQ90,BL90-BQ90)</f>
        <v>1.0168636829518281</v>
      </c>
      <c r="BS90" s="1035" t="str">
        <f t="shared" si="290"/>
        <v/>
      </c>
      <c r="BT90" s="1035">
        <f t="shared" si="291"/>
        <v>12.568888888888889</v>
      </c>
      <c r="BU90" s="535">
        <f t="shared" si="202"/>
        <v>380.62962501911329</v>
      </c>
      <c r="BV90" s="535"/>
      <c r="BW90" s="535">
        <f ca="1">IF(B90&gt;Summary!$A$1,#N/A,BU90*MGtoAF)</f>
        <v>1167.7716895586395</v>
      </c>
      <c r="BX90" s="535">
        <f>Sheet1!BC88+Sheet1!BD88+Sheet1!BE88+Sheet1!BF88-CG90-CH90</f>
        <v>3.34</v>
      </c>
      <c r="BY90" s="535">
        <f t="shared" si="203"/>
        <v>3.3297300990775542</v>
      </c>
      <c r="BZ90" s="535">
        <f>IF(Sheet1!EQ88="FM",CH90,0)</f>
        <v>0</v>
      </c>
      <c r="CA90" s="535">
        <f t="shared" si="204"/>
        <v>0</v>
      </c>
      <c r="CB90" s="535">
        <f>IF(Sheet1!EQ88="OTHER",CH90,0)</f>
        <v>0</v>
      </c>
      <c r="CC90" s="535">
        <f t="shared" si="205"/>
        <v>0</v>
      </c>
      <c r="CD90" s="535">
        <f t="shared" si="206"/>
        <v>0</v>
      </c>
      <c r="CE90" s="535">
        <f t="shared" si="207"/>
        <v>3.34</v>
      </c>
      <c r="CF90" s="535">
        <f t="shared" si="208"/>
        <v>3.3297300990775542</v>
      </c>
      <c r="CG90" s="535">
        <f>IF(Sheet1!EQ88="CWA",SUM(Sheet1!BC88:'Sheet1'!BF88),0)</f>
        <v>0</v>
      </c>
      <c r="CH90" s="535">
        <f>IF(OR(Sheet1!EQ88="FM", Sheet1!EQ88="OTHER"),SUM(Sheet1!BC88:'Sheet1'!BF88),0)</f>
        <v>0</v>
      </c>
      <c r="CI90" s="521">
        <f>IF(AND($B90&gt;=$FV90,$B90&lt;=$FW90),MAX(CF90,Sheet1!EJ88,0),MAX(CF90-(7/36)*$K90,0))</f>
        <v>0</v>
      </c>
      <c r="CJ90" s="535">
        <f t="shared" si="209"/>
        <v>9.2391587898113343</v>
      </c>
      <c r="CK90" s="521">
        <f t="shared" si="210"/>
        <v>3.3297300990775542</v>
      </c>
      <c r="CL90" s="521">
        <f>IF(AND($O90&gt;0,Sheet1!EN88=1),(1-($O90-Sheet1!$L88)/$O90)*CF90,0)</f>
        <v>0</v>
      </c>
      <c r="CM90" s="521">
        <f>IF(AND(Sheet1!$L88=0,Sheet1!$L87=0, Calculation!CE90&lt;Sheet1!EJ88-0.1,Sheet1!EJ88=Sheet1!EJ87,Sheet1!EJ88=Sheet1!EJ89),CF90-CL90,CF90-CL90)</f>
        <v>3.3297300990775542</v>
      </c>
      <c r="CN90" s="1040" t="str">
        <f t="shared" si="292"/>
        <v/>
      </c>
      <c r="CO90" s="1035">
        <f t="shared" si="293"/>
        <v>12.568888888888889</v>
      </c>
      <c r="CP90" s="535">
        <f t="shared" si="211"/>
        <v>311.11383916309154</v>
      </c>
      <c r="CQ90" s="535"/>
      <c r="CR90" s="535">
        <f ca="1">IF(B90&gt;Summary!$A$1,#N/A,CP90*MGtoAF)</f>
        <v>954.49725855236488</v>
      </c>
      <c r="CS90" s="535">
        <f>Sheet1!BK88+Sheet1!BL88+Sheet1!BM88-Sheet1!ER88-DA90</f>
        <v>6.51</v>
      </c>
      <c r="CT90" s="535">
        <f t="shared" si="212"/>
        <v>6.489982917663137</v>
      </c>
      <c r="CU90" s="535">
        <f>IF(Sheet1!ER88="FM",DA90,0)</f>
        <v>0</v>
      </c>
      <c r="CV90" s="535">
        <f t="shared" si="213"/>
        <v>0</v>
      </c>
      <c r="CW90" s="535">
        <f>IF(Sheet1!ER88="OTHER",DA90,0)</f>
        <v>0</v>
      </c>
      <c r="CX90" s="535">
        <f t="shared" si="214"/>
        <v>0</v>
      </c>
      <c r="CY90" s="535">
        <f t="shared" si="215"/>
        <v>6.51</v>
      </c>
      <c r="CZ90" s="535">
        <f t="shared" si="216"/>
        <v>6.489982917663137</v>
      </c>
      <c r="DA90" s="535">
        <f>IF(OR(Sheet1!ER88="FM", Sheet1!ER88="OTHER"),SUM(Sheet1!BK88:'Sheet1'!BM88),0)</f>
        <v>0</v>
      </c>
      <c r="DB90" s="1011">
        <f>IF(AND($B90&gt;=$FV90,$B90&lt;=$FW90),MAX($CT90,Sheet1!EK88,0),MAX($CT90-(7/36)*$K90,0))</f>
        <v>0</v>
      </c>
      <c r="DC90" s="1012">
        <f t="shared" si="217"/>
        <v>6.078905971225752</v>
      </c>
      <c r="DD90" s="1011">
        <f t="shared" si="218"/>
        <v>6.489982917663137</v>
      </c>
      <c r="DE90" s="521">
        <f>IF(AND($O90&gt;0,Sheet1!EO88=1),(1-($O90-Sheet1!$L88)/$O90)*CZ90,0)</f>
        <v>0</v>
      </c>
      <c r="DF90" s="521">
        <f>IF(AND(Sheet1!$L88=0,Sheet1!$L87=0, Calculation!CY90&lt;Sheet1!$EK88-0.1,Sheet1!$EK88=Sheet1!$EK87,Sheet1!$EK88=Sheet1!$EK89),CZ90-DE90,CZ90-DE90)</f>
        <v>6.489982917663137</v>
      </c>
      <c r="DG90" s="1040">
        <f t="shared" si="294"/>
        <v>12.568888888888889</v>
      </c>
      <c r="DH90" s="649">
        <f t="shared" si="219"/>
        <v>10.87</v>
      </c>
      <c r="DI90" s="535">
        <f t="shared" si="220"/>
        <v>199.71959708943427</v>
      </c>
      <c r="DJ90" s="649">
        <f t="shared" si="221"/>
        <v>10.836576699692518</v>
      </c>
      <c r="DK90" s="535">
        <f ca="1">IF(B90&gt;Summary!$A$1,#N/A,DI90*MGtoAF)</f>
        <v>612.73972387038441</v>
      </c>
      <c r="DL90" s="649">
        <f t="shared" si="222"/>
        <v>10.87</v>
      </c>
      <c r="DM90" s="535">
        <f t="shared" si="223"/>
        <v>29.269999999999996</v>
      </c>
      <c r="DN90" s="535">
        <f>Sheet1!AB88-DM90</f>
        <v>-8.9999999999996305E-2</v>
      </c>
      <c r="DO90" s="743">
        <f t="shared" si="224"/>
        <v>-3.0748206354628055E-3</v>
      </c>
      <c r="DP90" s="535">
        <f>(VLOOKUP(Sheet1!DC88,hhdcap_wcm,4)-(((VLOOKUP(Sheet1!DC88,hhdcap_wcm,3)-Sheet1!DC88)/(VLOOKUP(Sheet1!DC88,hhdcap_wcm,3)-VLOOKUP(Sheet1!DC88,hhdcap_wcm,1)))*(VLOOKUP(Sheet1!DC88,hhdcap_wcm,4)-VLOOKUP(Sheet1!DC88,hhdcap_wcm,2))))</f>
        <v>12651.400000030559</v>
      </c>
      <c r="DQ90" s="535">
        <f t="shared" si="225"/>
        <v>525.20000000294567</v>
      </c>
      <c r="DR90" s="535">
        <f t="shared" si="226"/>
        <v>264.85123550325045</v>
      </c>
      <c r="DS90" s="535">
        <f>Sheet1!EA88*AFtoMG</f>
        <v>0</v>
      </c>
      <c r="DT90" s="535">
        <f>Sheet1!EB88*AFtoMG</f>
        <v>0</v>
      </c>
      <c r="DU90" s="535">
        <f>Sheet1!EC88*AFtoMG</f>
        <v>0</v>
      </c>
      <c r="DV90" s="535">
        <f>Sheet1!ED88*AFtoMG</f>
        <v>0</v>
      </c>
      <c r="DW90" s="535">
        <f t="shared" si="227"/>
        <v>0</v>
      </c>
      <c r="DX90" s="535">
        <f t="shared" si="228"/>
        <v>0</v>
      </c>
      <c r="DY90" s="535">
        <f t="shared" si="229"/>
        <v>1780.2630612716384</v>
      </c>
      <c r="DZ90" s="535">
        <f t="shared" si="230"/>
        <v>5461.8470719813868</v>
      </c>
      <c r="EA90" s="535"/>
      <c r="EB90" s="521">
        <f>IF(OR(B90&lt;FV90,B90&gt;FW90),(MIN(BF90+BY90+CT90+MAX(Sheet1!AA88+AQ90-73,0),K90)),0)</f>
        <v>10.836576699692518</v>
      </c>
      <c r="EC90" s="535"/>
      <c r="ED90" s="535">
        <f t="shared" si="231"/>
        <v>10.83657669969252</v>
      </c>
      <c r="EE90" s="535"/>
      <c r="EF90" s="535">
        <f>Sheet1!EH88+Sheet1!EI88+Sheet1!EJ88+Sheet1!EK88</f>
        <v>10.5</v>
      </c>
      <c r="EG90" s="1019">
        <f t="shared" si="295"/>
        <v>16.243500000000001</v>
      </c>
      <c r="EH90" s="521">
        <f t="shared" si="232"/>
        <v>0</v>
      </c>
      <c r="EI90" s="535">
        <f>IF(Sheet1!ET88=1,SUM('Calculations II'!AT90:BA90)+'Calculations II'!BC90+Sheet1!BV88+'Calculations II'!BE90+AP90,'Calculations II'!BK90)</f>
        <v>44.301571300307486</v>
      </c>
      <c r="EJ90" s="535">
        <f ca="1">EI90+'Calculations II'!D90+'Calculations II'!E90+'Calculations II'!O90</f>
        <v>43.854674209262804</v>
      </c>
      <c r="EK90" s="535"/>
      <c r="EL90" s="535"/>
      <c r="EM90" s="535">
        <f t="shared" si="233"/>
        <v>42814</v>
      </c>
      <c r="EN90" s="535">
        <f t="shared" si="234"/>
        <v>53.803423300307486</v>
      </c>
      <c r="EO90" s="535">
        <f t="shared" si="235"/>
        <v>83.233895845575674</v>
      </c>
      <c r="EP90" s="535">
        <v>0</v>
      </c>
      <c r="EQ90" s="535">
        <v>0</v>
      </c>
      <c r="ER90" s="535">
        <v>0</v>
      </c>
      <c r="ES90" s="521">
        <f t="shared" si="257"/>
        <v>0.55396473640936605</v>
      </c>
      <c r="ET90" s="535">
        <f>-(VLOOKUP(Sheet1!BQ88,Lookup!$O$4:$Q$262,2)-VLOOKUP(Sheet1!BQ87,Lookup!$O$4:$Q$262,2))/1000000</f>
        <v>0.2769375093245916</v>
      </c>
      <c r="EU90" s="535">
        <f>-(VLOOKUP(Sheet1!BR88,Lookup!$O$4:$Q$262,3)-VLOOKUP(Sheet1!BR87,Lookup!$O$4:$Q$262,3))/1000000</f>
        <v>0.27702722708477451</v>
      </c>
      <c r="EV90" s="535"/>
      <c r="EW90" s="535"/>
      <c r="EX90" s="535"/>
      <c r="EY90" s="535"/>
      <c r="EZ90" s="535"/>
      <c r="FA90" s="535"/>
      <c r="FB90" s="535"/>
      <c r="FC90" s="535"/>
      <c r="FD90" s="567" t="e">
        <f t="shared" si="236"/>
        <v>#N/A</v>
      </c>
      <c r="FE90" s="567" t="e">
        <f t="shared" si="237"/>
        <v>#N/A</v>
      </c>
      <c r="FF90" s="568" t="e">
        <f t="shared" si="238"/>
        <v>#N/A</v>
      </c>
      <c r="FG90" s="569" t="s">
        <v>656</v>
      </c>
      <c r="FH90" s="569" t="s">
        <v>656</v>
      </c>
      <c r="FI90" s="567" t="e">
        <v>#N/A</v>
      </c>
      <c r="FJ90" s="567" t="e">
        <v>#N/A</v>
      </c>
      <c r="FK90" s="535"/>
      <c r="FL90" s="1015">
        <v>0</v>
      </c>
      <c r="FM90" s="535"/>
      <c r="FN90" s="535"/>
      <c r="FO90" s="535">
        <f>O90+((Sheet1!CS88)*GPMtoMGD)</f>
        <v>55.04</v>
      </c>
      <c r="FP90" s="535">
        <f>IF(Sheet1!AA88+AQ90&lt;=Calculation!N90,AQ90,Calculation!N90-Sheet1!AA88)</f>
        <v>18.343423300307482</v>
      </c>
      <c r="FQ90" s="535">
        <f>(Sheet1!BP88+Sheet1!BO88)/694.4</f>
        <v>1.5969182027649771</v>
      </c>
      <c r="FR90" s="541"/>
      <c r="FS90" s="541"/>
      <c r="FT90" s="541"/>
      <c r="FU90" s="541"/>
      <c r="FV90" s="1109">
        <f t="shared" si="258"/>
        <v>42918</v>
      </c>
      <c r="FW90" s="1109">
        <f t="shared" si="259"/>
        <v>43027</v>
      </c>
      <c r="FX90" s="541"/>
      <c r="FY90" s="541">
        <f>Sheet1!DA88-Sheet1!CZ88-Sheet1!AE88</f>
        <v>1396.4546599999996</v>
      </c>
      <c r="FZ90" s="535">
        <f t="shared" si="296"/>
        <v>0.67303845022956199</v>
      </c>
      <c r="GA90" s="535"/>
      <c r="GB90" s="535" t="str">
        <f t="shared" si="260"/>
        <v>n</v>
      </c>
      <c r="GC90" s="539">
        <f t="shared" si="261"/>
        <v>42782</v>
      </c>
      <c r="GD90" s="1109">
        <f t="shared" si="262"/>
        <v>42904</v>
      </c>
      <c r="GE90" s="535">
        <f t="shared" si="280"/>
        <v>6520</v>
      </c>
      <c r="GF90" s="1109">
        <f t="shared" si="263"/>
        <v>42909</v>
      </c>
      <c r="GG90" s="535">
        <f t="shared" si="308"/>
        <v>3260</v>
      </c>
      <c r="GH90" s="539">
        <f t="shared" si="264"/>
        <v>43040</v>
      </c>
      <c r="GJ90" s="521">
        <f t="shared" si="265"/>
        <v>0</v>
      </c>
      <c r="GK90" s="535" t="str">
        <f t="shared" si="239"/>
        <v/>
      </c>
      <c r="GL90" s="535">
        <f t="shared" si="266"/>
        <v>0</v>
      </c>
      <c r="GM90" s="535" t="str">
        <f t="shared" si="267"/>
        <v/>
      </c>
      <c r="GN90" s="535">
        <f>IF(GK90="P",Lookup!$M$12,IF(GK90="PP",Lookup!$M$13,IF(GK90="PPP",Lookup!$M$14,IF(GK90="T",Lookup!$M$15,IF(GK90="TP",Lookup!$M$16,IF(GK90="TPP",Lookup!$M$17,IF(GK90="TPPP",Lookup!$M$18,0)))))))*GJ90</f>
        <v>0</v>
      </c>
      <c r="GO90" s="535">
        <f t="shared" si="268"/>
        <v>0</v>
      </c>
      <c r="GP90" s="535">
        <f t="shared" si="240"/>
        <v>2726.8383999999978</v>
      </c>
      <c r="GQ90" s="535">
        <f t="shared" si="279"/>
        <v>888.79999999999927</v>
      </c>
      <c r="GR90" s="535"/>
      <c r="GS90" s="535">
        <f t="shared" si="269"/>
        <v>0</v>
      </c>
      <c r="GT90" s="535" t="str">
        <f t="shared" si="270"/>
        <v/>
      </c>
      <c r="GU90" s="535">
        <f>IF(GK90="P",Lookup!$N$12,IF(GK90="PP",Lookup!$N$13,IF(GK90="PPP",Lookup!$N$14,IF(GK90="T",Lookup!$N$15,IF(GK90="TP",Lookup!$N$16,IF(GK90="TPP",Lookup!$N$17,IF(GK90="TPPP",Lookup!$N$18,0)))))))*GJ90</f>
        <v>0</v>
      </c>
      <c r="GV90" s="535">
        <f t="shared" si="271"/>
        <v>0</v>
      </c>
      <c r="GW90" s="535">
        <f t="shared" si="241"/>
        <v>1167.7716895586395</v>
      </c>
      <c r="GX90" s="535">
        <f t="shared" si="276"/>
        <v>380.62962501911329</v>
      </c>
      <c r="GY90" s="535"/>
      <c r="GZ90" s="535">
        <f t="shared" si="272"/>
        <v>0</v>
      </c>
      <c r="HA90" s="535" t="str">
        <f t="shared" si="273"/>
        <v/>
      </c>
      <c r="HB90" s="535">
        <f>IF(GK90="P",Lookup!$N$12,IF(GK90="PP",Lookup!$N$13,IF(GK90="PPP",Lookup!$N$14,IF(GK90="T",Lookup!$N$15,IF(GK90="TP",Lookup!$N$16,IF(GK90="TPP",Lookup!$N$17,IF(GK90="TPPP",Lookup!$N$18,0)))))))*GJ90</f>
        <v>0</v>
      </c>
      <c r="HC90" s="521">
        <f t="shared" si="242"/>
        <v>0</v>
      </c>
      <c r="HD90" s="535">
        <f t="shared" si="243"/>
        <v>954.49725855236488</v>
      </c>
      <c r="HE90" s="535">
        <f t="shared" si="277"/>
        <v>311.11383916309154</v>
      </c>
      <c r="HF90" s="535"/>
      <c r="HG90" s="535">
        <f t="shared" si="274"/>
        <v>0</v>
      </c>
      <c r="HH90" s="535" t="str">
        <f t="shared" si="275"/>
        <v/>
      </c>
      <c r="HI90" s="535">
        <f>IF(GK90="P",Lookup!$N$12,IF(GK90="PP",Lookup!$N$13,IF(GK90="PPP",Lookup!$N$14,IF(GK90="T",Lookup!$N$15,IF(GK90="TP",Lookup!$N$16,IF(GK90="TPP",Lookup!$N$17,IF(GK90="TPPP",Lookup!$N$18,0)))))))*GJ90</f>
        <v>0</v>
      </c>
      <c r="HJ90" s="521">
        <f t="shared" si="244"/>
        <v>0</v>
      </c>
      <c r="HK90" s="535">
        <f t="shared" si="245"/>
        <v>612.73972387038441</v>
      </c>
      <c r="HL90" s="535">
        <f t="shared" si="278"/>
        <v>199.71959708943427</v>
      </c>
      <c r="HM90" s="535"/>
      <c r="HN90" s="541"/>
      <c r="HO90" s="541"/>
      <c r="HP90" s="541"/>
      <c r="HQ90" s="541">
        <f>IF(AND(B90&gt;=$FV$4,B90&lt;=$FW$4),MAX(110/1.02+$HQ$6+MIN(113/1.02,G90),IF($HV$6-(Sheet1!DA88-Sheet1!DB88)+MIN(113/1.02,G90)&lt;G90+FL90,$HV$6-(Sheet1!DA88-Sheet1!DB88)+MIN(113/1.02,G90),G90+FL90)),MIN(110/1.02+$HQ$6+113/1.02,G90))</f>
        <v>218.62745098039215</v>
      </c>
      <c r="HR90" s="541">
        <f t="shared" si="297"/>
        <v>223</v>
      </c>
      <c r="HS90" s="541">
        <f>HR90+(Sheet1!DA88-Sheet1!DB88)</f>
        <v>1723</v>
      </c>
      <c r="HT90" s="541">
        <f t="shared" si="298"/>
        <v>68.33099</v>
      </c>
      <c r="HU90" s="541">
        <f t="shared" si="299"/>
        <v>1654.6690100000001</v>
      </c>
      <c r="HV90" s="541">
        <f t="shared" si="300"/>
        <v>0</v>
      </c>
      <c r="HW90" s="533" t="str">
        <f t="shared" si="301"/>
        <v/>
      </c>
      <c r="HX90" s="541">
        <f t="shared" si="302"/>
        <v>1591.372549019608</v>
      </c>
      <c r="HY90" s="541">
        <f>Sheet1!CZ88</f>
        <v>1810</v>
      </c>
      <c r="HZ90" s="541">
        <f t="shared" si="303"/>
        <v>0</v>
      </c>
      <c r="IA90" s="541">
        <f t="shared" si="304"/>
        <v>68.33099</v>
      </c>
      <c r="IB90" s="541">
        <f t="shared" si="305"/>
        <v>1810</v>
      </c>
      <c r="IC90" s="1019" t="str">
        <f t="shared" si="306"/>
        <v/>
      </c>
      <c r="ID90" s="541">
        <f t="shared" si="307"/>
        <v>1741.6690100000001</v>
      </c>
      <c r="IE90" s="541">
        <f>Sheet1!DB88</f>
        <v>1730</v>
      </c>
      <c r="IF90" s="533">
        <f>Sheet1!DA88</f>
        <v>3230</v>
      </c>
      <c r="IH90" s="541">
        <f>IF(AND($B90&gt;=$GC90,$B90&lt;=$GH90,$DR90&lt;0)+N("only adjusted when pool is drawn down during storage season"),Sheet1!$DB88+$DR90+N("Palmer minus all storage release"),Sheet1!$DB88)</f>
        <v>1730</v>
      </c>
      <c r="II90" s="541">
        <f>IF(AND($B90&gt;=$GC90,$B90&lt;=$GH90,$DR90&lt;0)+N("only adjusted when pool is drawn down during storage season"),Sheet1!$DA88+$DR90+N("Auburn minus all storage release"),Sheet1!$DA88)</f>
        <v>3230</v>
      </c>
    </row>
    <row r="91" spans="1:243" x14ac:dyDescent="0.25">
      <c r="A91" s="553" t="s">
        <v>5</v>
      </c>
      <c r="B91" s="531">
        <v>42815</v>
      </c>
      <c r="C91" s="536">
        <v>0</v>
      </c>
      <c r="D91" s="506">
        <f t="shared" si="247"/>
        <v>300</v>
      </c>
      <c r="E91" s="506">
        <f t="shared" si="248"/>
        <v>250</v>
      </c>
      <c r="F91" s="506">
        <v>250</v>
      </c>
      <c r="G91" s="535">
        <f>DR91+Sheet1!CZ89</f>
        <v>2012.3398890573148</v>
      </c>
      <c r="H91" s="1074">
        <f t="shared" si="281"/>
        <v>913.57096588799993</v>
      </c>
      <c r="I91" s="534">
        <f>IF(Sheet1!DA89&gt;=E91,(Sheet1!DA89-E91+P91)*CFStoMGD,0)</f>
        <v>1863.7789658880001</v>
      </c>
      <c r="J91" s="995">
        <f>IF(Sheet1!DB89&gt;=D91,(Sheet1!DB89-D91+P91)*CFStoMGD,0)</f>
        <v>913.57096588799993</v>
      </c>
      <c r="K91" s="818">
        <f t="shared" si="282"/>
        <v>64.64</v>
      </c>
      <c r="L91" s="535">
        <f>Sheet1!AA89+Sheet1!AB89-Sheet1!L89+(Sheet1!DA89-F91)*CFStoMGD-S91-T91-U91</f>
        <v>1764.0400000000011</v>
      </c>
      <c r="M91" s="535">
        <f t="shared" si="185"/>
        <v>1326.7920343723813</v>
      </c>
      <c r="N91" s="824">
        <f>IF(Sheet1!DA89&gt;=F91,MIN(113*CFStoMGD,MIN(MAX(L91,0),MAX(M91,0))),0)</f>
        <v>73.043199999999999</v>
      </c>
      <c r="O91" s="538">
        <f>Sheet1!AA89+Sheet1!AB89</f>
        <v>53.86</v>
      </c>
      <c r="P91" s="538">
        <f t="shared" si="186"/>
        <v>83.321419999999989</v>
      </c>
      <c r="Q91" s="812">
        <f t="shared" si="283"/>
        <v>43.36</v>
      </c>
      <c r="R91" s="812">
        <f t="shared" si="249"/>
        <v>10.451423487544483</v>
      </c>
      <c r="S91" s="812">
        <f t="shared" si="250"/>
        <v>10.5</v>
      </c>
      <c r="T91" s="812">
        <f t="shared" si="251"/>
        <v>54.14</v>
      </c>
      <c r="U91" s="812">
        <f t="shared" si="284"/>
        <v>0</v>
      </c>
      <c r="V91" s="812"/>
      <c r="W91" s="812">
        <f t="shared" si="252"/>
        <v>54.188576512455519</v>
      </c>
      <c r="X91" s="812">
        <f t="shared" si="253"/>
        <v>64.64</v>
      </c>
      <c r="Y91" s="812" t="str">
        <f t="shared" si="254"/>
        <v>FALSE</v>
      </c>
      <c r="Z91" s="812">
        <f t="shared" si="255"/>
        <v>53.86</v>
      </c>
      <c r="AA91" s="812">
        <f t="shared" si="256"/>
        <v>53.86</v>
      </c>
      <c r="AB91" s="1059">
        <f t="shared" si="285"/>
        <v>67.077919999999992</v>
      </c>
      <c r="AC91" s="538">
        <f>Sheet1!Y89*MGDtoCFS</f>
        <v>40.005420000000001</v>
      </c>
      <c r="AD91" s="538">
        <f>Sheet1!Z89*MGDtoCFS</f>
        <v>45.141459999999995</v>
      </c>
      <c r="AE91" s="538">
        <f>Sheet1!AA89*MGDtoCFS</f>
        <v>40.051830000000002</v>
      </c>
      <c r="AF91" s="538">
        <f>Sheet1!AB89*MGDtoCFS</f>
        <v>43.269589999999994</v>
      </c>
      <c r="AG91" s="538">
        <f>Sheet1!L89*MGDtoCFS</f>
        <v>54.299699999997749</v>
      </c>
      <c r="AH91" s="521">
        <f t="shared" si="187"/>
        <v>0</v>
      </c>
      <c r="AI91" s="1059">
        <f t="shared" si="188"/>
        <v>0</v>
      </c>
      <c r="AJ91" s="535">
        <f t="shared" si="189"/>
        <v>54.188576512455519</v>
      </c>
      <c r="AK91" s="535">
        <f t="shared" si="190"/>
        <v>83.829727864768685</v>
      </c>
      <c r="AL91" s="535">
        <f>(VLOOKUP(Sheet1!DC89,hhdcap_wcm,4)-(((VLOOKUP(Sheet1!DC89,hhdcap_wcm,3)-Sheet1!DC89)/(VLOOKUP(Sheet1!DC89,hhdcap_wcm,3)-VLOOKUP(Sheet1!DC89,hhdcap_wcm,1)))*(VLOOKUP(Sheet1!DC89,hhdcap_wcm,4)-VLOOKUP(Sheet1!DC89,hhdcap_wcm,2))))</f>
        <v>13290.600000031214</v>
      </c>
      <c r="AM91" s="535">
        <f t="shared" si="191"/>
        <v>639.20000000065556</v>
      </c>
      <c r="AN91" s="1035">
        <f t="shared" si="192"/>
        <v>1834.4516377840937</v>
      </c>
      <c r="AO91" s="535">
        <f t="shared" si="193"/>
        <v>5628.0976247215995</v>
      </c>
      <c r="AP91" s="535">
        <f>Sheet1!BA89+Sheet1!BB89+Sheet1!BN89+CD91</f>
        <v>17.600000000000001</v>
      </c>
      <c r="AQ91" s="535">
        <f>Sheet1!BN89+(DO91*Sheet1!BN89)</f>
        <v>17.518576512455518</v>
      </c>
      <c r="AR91" s="535">
        <f>Sheet1!BA89+CD91</f>
        <v>0</v>
      </c>
      <c r="AS91" s="535">
        <f>Sheet1!BA89+Sheet1!BB89+CD91</f>
        <v>0</v>
      </c>
      <c r="AT91" s="649">
        <f>0</f>
        <v>0</v>
      </c>
      <c r="AU91" s="535">
        <f>IF(EB91&lt;K91,0,MAX(Sheet1!AA89+AQ91-15/36*K91-N91,Sheet1!EH89,0))</f>
        <v>0</v>
      </c>
      <c r="AV91" s="535">
        <f>IF(OR(B91&gt;=GD91,B91&lt;GC91),0,15/36*K91-MAX(0,64.6-(137.6-(Sheet1!AA89+Sheet1!AB89))))</f>
        <v>26.933333333333334</v>
      </c>
      <c r="AW91" s="1029"/>
      <c r="AX91" s="649"/>
      <c r="AY91" s="649">
        <f t="shared" si="286"/>
        <v>0</v>
      </c>
      <c r="AZ91" s="649">
        <f t="shared" si="287"/>
        <v>0</v>
      </c>
      <c r="BA91" s="1059">
        <f t="shared" si="288"/>
        <v>0</v>
      </c>
      <c r="BB91" s="1019">
        <f t="shared" si="194"/>
        <v>915.73333333333255</v>
      </c>
      <c r="BC91" s="1041">
        <f t="shared" si="289"/>
        <v>26.933333333333334</v>
      </c>
      <c r="BD91" s="1019">
        <f ca="1">IF(B91&gt;Summary!$A$1,#N/A,BB91*MGtoAF)</f>
        <v>2809.4698666666645</v>
      </c>
      <c r="BE91" s="535">
        <f>Sheet1!BG89+Sheet1!BH89+Sheet1!BI89-BM91</f>
        <v>1.01</v>
      </c>
      <c r="BF91" s="535">
        <f t="shared" si="195"/>
        <v>1.0053274021352312</v>
      </c>
      <c r="BG91" s="535">
        <f>IF(Sheet1!EP89="FM",BM91,0)</f>
        <v>0</v>
      </c>
      <c r="BH91" s="535">
        <f t="shared" si="196"/>
        <v>0</v>
      </c>
      <c r="BI91" s="535">
        <f>IF(Sheet1!EP89="OTHER",BM91,0)</f>
        <v>0</v>
      </c>
      <c r="BJ91" s="535">
        <f t="shared" si="197"/>
        <v>0</v>
      </c>
      <c r="BK91" s="535">
        <f t="shared" si="198"/>
        <v>1.01</v>
      </c>
      <c r="BL91" s="535">
        <f t="shared" si="199"/>
        <v>1.0053274021352312</v>
      </c>
      <c r="BM91" s="535">
        <f>IF(OR(Sheet1!EP89="FM", Sheet1!EP89="OTHER"),SUM(Sheet1!BG89:'Sheet1'!BI89),0)</f>
        <v>0</v>
      </c>
      <c r="BN91" s="521">
        <f>IF(AND($B91&gt;=$FV91,$B91&lt;=$FW91),MAX(BF91,Sheet1!EI89,0),MAX(BF91-(7/36)*$K91,0))</f>
        <v>0</v>
      </c>
      <c r="BO91" s="535">
        <f t="shared" si="200"/>
        <v>11.563561486753658</v>
      </c>
      <c r="BP91" s="521">
        <f t="shared" si="201"/>
        <v>1.0053274021352312</v>
      </c>
      <c r="BQ91" s="521">
        <f>IF(AND($O91&gt;0,Sheet1!EM89=1),(1-($O91-Sheet1!$L89)/$O91)*BL91,0)</f>
        <v>0</v>
      </c>
      <c r="BR91" s="521">
        <f>IF(AND(Sheet1!$L89=0,Sheet1!$L88=0, Calculation!BK91&lt;Sheet1!$EI89-0.1,Sheet1!$EI89=Sheet1!$EI88,Sheet1!$EI89=Sheet1!$EI90),BL91-BQ91,BL91-BQ91)</f>
        <v>1.0053274021352312</v>
      </c>
      <c r="BS91" s="1035" t="str">
        <f t="shared" si="290"/>
        <v/>
      </c>
      <c r="BT91" s="1035">
        <f t="shared" si="291"/>
        <v>12.568888888888889</v>
      </c>
      <c r="BU91" s="535">
        <f t="shared" si="202"/>
        <v>392.19318650586695</v>
      </c>
      <c r="BV91" s="535"/>
      <c r="BW91" s="535">
        <f ca="1">IF(B91&gt;Summary!$A$1,#N/A,BU91*MGtoAF)</f>
        <v>1203.2486961999998</v>
      </c>
      <c r="BX91" s="535">
        <f>Sheet1!BC89+Sheet1!BD89+Sheet1!BE89+Sheet1!BF89-CG91-CH91</f>
        <v>3</v>
      </c>
      <c r="BY91" s="535">
        <f t="shared" si="203"/>
        <v>2.9861209964412807</v>
      </c>
      <c r="BZ91" s="535">
        <f>IF(Sheet1!EQ89="FM",CH91,0)</f>
        <v>0</v>
      </c>
      <c r="CA91" s="535">
        <f t="shared" si="204"/>
        <v>0</v>
      </c>
      <c r="CB91" s="535">
        <f>IF(Sheet1!EQ89="OTHER",CH91,0)</f>
        <v>0</v>
      </c>
      <c r="CC91" s="535">
        <f t="shared" si="205"/>
        <v>0</v>
      </c>
      <c r="CD91" s="535">
        <f t="shared" si="206"/>
        <v>0</v>
      </c>
      <c r="CE91" s="535">
        <f t="shared" si="207"/>
        <v>3</v>
      </c>
      <c r="CF91" s="535">
        <f t="shared" si="208"/>
        <v>2.9861209964412807</v>
      </c>
      <c r="CG91" s="535">
        <f>IF(Sheet1!EQ89="CWA",SUM(Sheet1!BC89:'Sheet1'!BF89),0)</f>
        <v>0</v>
      </c>
      <c r="CH91" s="535">
        <f>IF(OR(Sheet1!EQ89="FM", Sheet1!EQ89="OTHER"),SUM(Sheet1!BC89:'Sheet1'!BF89),0)</f>
        <v>0</v>
      </c>
      <c r="CI91" s="521">
        <f>IF(AND($B91&gt;=$FV91,$B91&lt;=$FW91),MAX(CF91,Sheet1!EJ89,0),MAX(CF91-(7/36)*$K91,0))</f>
        <v>0</v>
      </c>
      <c r="CJ91" s="535">
        <f t="shared" si="209"/>
        <v>9.5827678924476078</v>
      </c>
      <c r="CK91" s="521">
        <f t="shared" si="210"/>
        <v>2.9861209964412807</v>
      </c>
      <c r="CL91" s="521">
        <f>IF(AND($O91&gt;0,Sheet1!EN89=1),(1-($O91-Sheet1!$L89)/$O91)*CF91,0)</f>
        <v>0</v>
      </c>
      <c r="CM91" s="521">
        <f>IF(AND(Sheet1!$L89=0,Sheet1!$L88=0, Calculation!CE91&lt;Sheet1!EJ89-0.1,Sheet1!EJ89=Sheet1!EJ88,Sheet1!EJ89=Sheet1!EJ90),CF91-CL91,CF91-CL91)</f>
        <v>2.9861209964412807</v>
      </c>
      <c r="CN91" s="1040" t="str">
        <f t="shared" si="292"/>
        <v/>
      </c>
      <c r="CO91" s="1035">
        <f t="shared" si="293"/>
        <v>12.568888888888889</v>
      </c>
      <c r="CP91" s="535">
        <f t="shared" si="211"/>
        <v>320.69660705553918</v>
      </c>
      <c r="CQ91" s="535"/>
      <c r="CR91" s="535">
        <f ca="1">IF(B91&gt;Summary!$A$1,#N/A,CP91*MGtoAF)</f>
        <v>983.89719044639423</v>
      </c>
      <c r="CS91" s="535">
        <f>Sheet1!BK89+Sheet1!BL89+Sheet1!BM89-Sheet1!ER89-DA91</f>
        <v>6.49</v>
      </c>
      <c r="CT91" s="535">
        <f t="shared" si="212"/>
        <v>6.4599750889679708</v>
      </c>
      <c r="CU91" s="535">
        <f>IF(Sheet1!ER89="FM",DA91,0)</f>
        <v>0</v>
      </c>
      <c r="CV91" s="535">
        <f t="shared" si="213"/>
        <v>0</v>
      </c>
      <c r="CW91" s="535">
        <f>IF(Sheet1!ER89="OTHER",DA91,0)</f>
        <v>0</v>
      </c>
      <c r="CX91" s="535">
        <f t="shared" si="214"/>
        <v>0</v>
      </c>
      <c r="CY91" s="535">
        <f t="shared" si="215"/>
        <v>6.49</v>
      </c>
      <c r="CZ91" s="535">
        <f t="shared" si="216"/>
        <v>6.4599750889679708</v>
      </c>
      <c r="DA91" s="535">
        <f>IF(OR(Sheet1!ER89="FM", Sheet1!ER89="OTHER"),SUM(Sheet1!BK89:'Sheet1'!BM89),0)</f>
        <v>0</v>
      </c>
      <c r="DB91" s="1011">
        <f>IF(AND($B91&gt;=$FV91,$B91&lt;=$FW91),MAX($CT91,Sheet1!EK89,0),MAX($CT91-(7/36)*$K91,0))</f>
        <v>0</v>
      </c>
      <c r="DC91" s="1012">
        <f t="shared" si="217"/>
        <v>6.1089137999209182</v>
      </c>
      <c r="DD91" s="1011">
        <f t="shared" si="218"/>
        <v>6.4599750889679708</v>
      </c>
      <c r="DE91" s="521">
        <f>IF(AND($O91&gt;0,Sheet1!EO89=1),(1-($O91-Sheet1!$L89)/$O91)*CZ91,0)</f>
        <v>0</v>
      </c>
      <c r="DF91" s="521">
        <f>IF(AND(Sheet1!$L89=0,Sheet1!$L88=0, Calculation!CY91&lt;Sheet1!$EK89-0.1,Sheet1!$EK89=Sheet1!$EK88,Sheet1!$EK89=Sheet1!$EK90),CZ91-DE91,CZ91-DE91)</f>
        <v>6.4599750889679708</v>
      </c>
      <c r="DG91" s="1040">
        <f t="shared" si="294"/>
        <v>12.568888888888889</v>
      </c>
      <c r="DH91" s="649">
        <f t="shared" si="219"/>
        <v>10.5</v>
      </c>
      <c r="DI91" s="535">
        <f t="shared" si="220"/>
        <v>205.82851088935519</v>
      </c>
      <c r="DJ91" s="649">
        <f t="shared" si="221"/>
        <v>10.451423487544483</v>
      </c>
      <c r="DK91" s="535">
        <f ca="1">IF(B91&gt;Summary!$A$1,#N/A,DI91*MGtoAF)</f>
        <v>631.48187140854168</v>
      </c>
      <c r="DL91" s="649">
        <f t="shared" si="222"/>
        <v>10.5</v>
      </c>
      <c r="DM91" s="535">
        <f t="shared" si="223"/>
        <v>28.1</v>
      </c>
      <c r="DN91" s="535">
        <f>Sheet1!AB89-DM91</f>
        <v>-0.13000000000000256</v>
      </c>
      <c r="DO91" s="743">
        <f t="shared" si="224"/>
        <v>-4.6263345195730445E-3</v>
      </c>
      <c r="DP91" s="535">
        <f>(VLOOKUP(Sheet1!DC89,hhdcap_wcm,4)-(((VLOOKUP(Sheet1!DC89,hhdcap_wcm,3)-Sheet1!DC89)/(VLOOKUP(Sheet1!DC89,hhdcap_wcm,3)-VLOOKUP(Sheet1!DC89,hhdcap_wcm,1)))*(VLOOKUP(Sheet1!DC89,hhdcap_wcm,4)-VLOOKUP(Sheet1!DC89,hhdcap_wcm,2))))</f>
        <v>13290.600000031214</v>
      </c>
      <c r="DQ91" s="535">
        <f t="shared" si="225"/>
        <v>639.20000000065556</v>
      </c>
      <c r="DR91" s="535">
        <f t="shared" si="226"/>
        <v>322.33988905731491</v>
      </c>
      <c r="DS91" s="535">
        <f>Sheet1!EA89*AFtoMG</f>
        <v>0</v>
      </c>
      <c r="DT91" s="535">
        <f>Sheet1!EB89*AFtoMG</f>
        <v>0</v>
      </c>
      <c r="DU91" s="535">
        <f>Sheet1!EC89*AFtoMG</f>
        <v>0</v>
      </c>
      <c r="DV91" s="535">
        <f>Sheet1!ED89*AFtoMG</f>
        <v>0</v>
      </c>
      <c r="DW91" s="535">
        <f t="shared" si="227"/>
        <v>0</v>
      </c>
      <c r="DX91" s="535">
        <f t="shared" si="228"/>
        <v>0</v>
      </c>
      <c r="DY91" s="535">
        <f t="shared" si="229"/>
        <v>1834.4516377840937</v>
      </c>
      <c r="DZ91" s="535">
        <f t="shared" si="230"/>
        <v>5628.0976247215995</v>
      </c>
      <c r="EA91" s="535"/>
      <c r="EB91" s="521">
        <f>IF(OR(B91&lt;FV91,B91&gt;FW91),(MIN(BF91+BY91+CT91+MAX(Sheet1!AA89+AQ91-73,0),K91)),0)</f>
        <v>10.451423487544483</v>
      </c>
      <c r="EC91" s="535"/>
      <c r="ED91" s="535">
        <f t="shared" si="231"/>
        <v>10.451423487544483</v>
      </c>
      <c r="EE91" s="535"/>
      <c r="EF91" s="535">
        <f>Sheet1!EH89+Sheet1!EI89+Sheet1!EJ89+Sheet1!EK89</f>
        <v>10.5</v>
      </c>
      <c r="EG91" s="1019">
        <f t="shared" si="295"/>
        <v>16.243500000000001</v>
      </c>
      <c r="EH91" s="521">
        <f t="shared" si="232"/>
        <v>0</v>
      </c>
      <c r="EI91" s="535">
        <f>IF(Sheet1!ET89=1,SUM('Calculations II'!AT91:BA91)+'Calculations II'!BC91+Sheet1!BV89+'Calculations II'!BE91+AP91,'Calculations II'!BK91)</f>
        <v>42.198470512455515</v>
      </c>
      <c r="EJ91" s="535">
        <f ca="1">EI91+'Calculations II'!D91+'Calculations II'!E91+'Calculations II'!O91</f>
        <v>44.432153686175418</v>
      </c>
      <c r="EK91" s="535"/>
      <c r="EL91" s="535"/>
      <c r="EM91" s="535">
        <f t="shared" si="233"/>
        <v>42815</v>
      </c>
      <c r="EN91" s="535">
        <f t="shared" si="234"/>
        <v>54.188576512455519</v>
      </c>
      <c r="EO91" s="535">
        <f t="shared" si="235"/>
        <v>83.829727864768685</v>
      </c>
      <c r="EP91" s="535">
        <v>0</v>
      </c>
      <c r="EQ91" s="535">
        <v>0</v>
      </c>
      <c r="ER91" s="535">
        <v>0</v>
      </c>
      <c r="ES91" s="521">
        <f t="shared" si="257"/>
        <v>-0.83096633014397325</v>
      </c>
      <c r="ET91" s="535">
        <f>-(VLOOKUP(Sheet1!BQ89,Lookup!$O$4:$Q$262,2)-VLOOKUP(Sheet1!BQ88,Lookup!$O$4:$Q$262,2))/1000000</f>
        <v>-0.41541587597589941</v>
      </c>
      <c r="EU91" s="535">
        <f>-(VLOOKUP(Sheet1!BR89,Lookup!$O$4:$Q$262,3)-VLOOKUP(Sheet1!BR88,Lookup!$O$4:$Q$262,3))/1000000</f>
        <v>-0.41555045416807385</v>
      </c>
      <c r="EV91" s="535"/>
      <c r="EW91" s="535"/>
      <c r="EX91" s="535"/>
      <c r="EY91" s="535"/>
      <c r="EZ91" s="535"/>
      <c r="FA91" s="535"/>
      <c r="FB91" s="535"/>
      <c r="FC91" s="535"/>
      <c r="FD91" s="567" t="e">
        <f t="shared" si="236"/>
        <v>#N/A</v>
      </c>
      <c r="FE91" s="567" t="e">
        <f t="shared" si="237"/>
        <v>#N/A</v>
      </c>
      <c r="FF91" s="568" t="e">
        <f t="shared" si="238"/>
        <v>#N/A</v>
      </c>
      <c r="FG91" s="569" t="s">
        <v>656</v>
      </c>
      <c r="FH91" s="569" t="s">
        <v>656</v>
      </c>
      <c r="FI91" s="567" t="e">
        <v>#N/A</v>
      </c>
      <c r="FJ91" s="567" t="e">
        <v>#N/A</v>
      </c>
      <c r="FK91" s="535"/>
      <c r="FL91" s="1015">
        <v>0</v>
      </c>
      <c r="FM91" s="535"/>
      <c r="FN91" s="535"/>
      <c r="FO91" s="535">
        <f>O91+((Sheet1!CS89)*GPMtoMGD)</f>
        <v>53.86</v>
      </c>
      <c r="FP91" s="535">
        <f>IF(Sheet1!AA89+AQ91&lt;=Calculation!N91,AQ91,Calculation!N91-Sheet1!AA89)</f>
        <v>17.518576512455518</v>
      </c>
      <c r="FQ91" s="535">
        <f>(Sheet1!BP89+Sheet1!BO89)/694.4</f>
        <v>1.5184331797235024</v>
      </c>
      <c r="FR91" s="541"/>
      <c r="FS91" s="541"/>
      <c r="FT91" s="541"/>
      <c r="FU91" s="541"/>
      <c r="FV91" s="1109">
        <f t="shared" si="258"/>
        <v>42918</v>
      </c>
      <c r="FW91" s="1109">
        <f t="shared" si="259"/>
        <v>43027</v>
      </c>
      <c r="FX91" s="541"/>
      <c r="FY91" s="541">
        <f>Sheet1!DA89-Sheet1!CZ89-Sheet1!AE89</f>
        <v>1330.9782799999978</v>
      </c>
      <c r="FZ91" s="535">
        <f t="shared" si="296"/>
        <v>0.66140828755499026</v>
      </c>
      <c r="GA91" s="535"/>
      <c r="GB91" s="535" t="str">
        <f t="shared" si="260"/>
        <v>n</v>
      </c>
      <c r="GC91" s="539">
        <f t="shared" si="261"/>
        <v>42782</v>
      </c>
      <c r="GD91" s="1109">
        <f t="shared" si="262"/>
        <v>42904</v>
      </c>
      <c r="GE91" s="535">
        <f t="shared" si="280"/>
        <v>6520</v>
      </c>
      <c r="GF91" s="1109">
        <f t="shared" si="263"/>
        <v>42909</v>
      </c>
      <c r="GG91" s="535">
        <f t="shared" si="308"/>
        <v>3260</v>
      </c>
      <c r="GH91" s="539">
        <f t="shared" si="264"/>
        <v>43040</v>
      </c>
      <c r="GJ91" s="521">
        <f t="shared" si="265"/>
        <v>0</v>
      </c>
      <c r="GK91" s="535" t="str">
        <f t="shared" si="239"/>
        <v/>
      </c>
      <c r="GL91" s="535">
        <f t="shared" si="266"/>
        <v>0</v>
      </c>
      <c r="GM91" s="535" t="str">
        <f t="shared" si="267"/>
        <v/>
      </c>
      <c r="GN91" s="535">
        <f>IF(GK91="P",Lookup!$M$12,IF(GK91="PP",Lookup!$M$13,IF(GK91="PPP",Lookup!$M$14,IF(GK91="T",Lookup!$M$15,IF(GK91="TP",Lookup!$M$16,IF(GK91="TPP",Lookup!$M$17,IF(GK91="TPPP",Lookup!$M$18,0)))))))*GJ91</f>
        <v>0</v>
      </c>
      <c r="GO91" s="535">
        <f t="shared" si="268"/>
        <v>0</v>
      </c>
      <c r="GP91" s="535">
        <f t="shared" si="240"/>
        <v>2809.4698666666645</v>
      </c>
      <c r="GQ91" s="535">
        <f t="shared" si="279"/>
        <v>915.73333333333255</v>
      </c>
      <c r="GR91" s="535"/>
      <c r="GS91" s="535">
        <f t="shared" si="269"/>
        <v>0</v>
      </c>
      <c r="GT91" s="535" t="str">
        <f t="shared" si="270"/>
        <v/>
      </c>
      <c r="GU91" s="535">
        <f>IF(GK91="P",Lookup!$N$12,IF(GK91="PP",Lookup!$N$13,IF(GK91="PPP",Lookup!$N$14,IF(GK91="T",Lookup!$N$15,IF(GK91="TP",Lookup!$N$16,IF(GK91="TPP",Lookup!$N$17,IF(GK91="TPPP",Lookup!$N$18,0)))))))*GJ91</f>
        <v>0</v>
      </c>
      <c r="GV91" s="535">
        <f t="shared" si="271"/>
        <v>0</v>
      </c>
      <c r="GW91" s="535">
        <f t="shared" si="241"/>
        <v>1203.2486961999998</v>
      </c>
      <c r="GX91" s="535">
        <f t="shared" si="276"/>
        <v>392.19318650586695</v>
      </c>
      <c r="GY91" s="535"/>
      <c r="GZ91" s="535">
        <f t="shared" si="272"/>
        <v>0</v>
      </c>
      <c r="HA91" s="535" t="str">
        <f t="shared" si="273"/>
        <v/>
      </c>
      <c r="HB91" s="535">
        <f>IF(GK91="P",Lookup!$N$12,IF(GK91="PP",Lookup!$N$13,IF(GK91="PPP",Lookup!$N$14,IF(GK91="T",Lookup!$N$15,IF(GK91="TP",Lookup!$N$16,IF(GK91="TPP",Lookup!$N$17,IF(GK91="TPPP",Lookup!$N$18,0)))))))*GJ91</f>
        <v>0</v>
      </c>
      <c r="HC91" s="521">
        <f t="shared" si="242"/>
        <v>0</v>
      </c>
      <c r="HD91" s="535">
        <f t="shared" si="243"/>
        <v>983.89719044639423</v>
      </c>
      <c r="HE91" s="535">
        <f t="shared" si="277"/>
        <v>320.69660705553918</v>
      </c>
      <c r="HF91" s="535"/>
      <c r="HG91" s="535">
        <f t="shared" si="274"/>
        <v>0</v>
      </c>
      <c r="HH91" s="535" t="str">
        <f t="shared" si="275"/>
        <v/>
      </c>
      <c r="HI91" s="535">
        <f>IF(GK91="P",Lookup!$N$12,IF(GK91="PP",Lookup!$N$13,IF(GK91="PPP",Lookup!$N$14,IF(GK91="T",Lookup!$N$15,IF(GK91="TP",Lookup!$N$16,IF(GK91="TPP",Lookup!$N$17,IF(GK91="TPPP",Lookup!$N$18,0)))))))*GJ91</f>
        <v>0</v>
      </c>
      <c r="HJ91" s="521">
        <f t="shared" si="244"/>
        <v>0</v>
      </c>
      <c r="HK91" s="535">
        <f t="shared" si="245"/>
        <v>631.48187140854168</v>
      </c>
      <c r="HL91" s="535">
        <f t="shared" si="278"/>
        <v>205.82851088935519</v>
      </c>
      <c r="HM91" s="535"/>
      <c r="HN91" s="541"/>
      <c r="HO91" s="541"/>
      <c r="HP91" s="541"/>
      <c r="HQ91" s="541">
        <f>IF(AND(B91&gt;=$FV$4,B91&lt;=$FW$4),MAX(110/1.02+$HQ$6+MIN(113/1.02,G91),IF($HV$6-(Sheet1!DA89-Sheet1!DB89)+MIN(113/1.02,G91)&lt;G91+FL91,$HV$6-(Sheet1!DA89-Sheet1!DB89)+MIN(113/1.02,G91),G91+FL91)),MIN(110/1.02+$HQ$6+113/1.02,G91))</f>
        <v>218.62745098039215</v>
      </c>
      <c r="HR91" s="541">
        <f t="shared" si="297"/>
        <v>223</v>
      </c>
      <c r="HS91" s="541">
        <f>HR91+(Sheet1!DA89-Sheet1!DB89)</f>
        <v>1643</v>
      </c>
      <c r="HT91" s="541">
        <f t="shared" si="298"/>
        <v>67.077919999999992</v>
      </c>
      <c r="HU91" s="541">
        <f t="shared" si="299"/>
        <v>1575.9220800000001</v>
      </c>
      <c r="HV91" s="541">
        <f t="shared" si="300"/>
        <v>0</v>
      </c>
      <c r="HW91" s="533" t="str">
        <f t="shared" si="301"/>
        <v/>
      </c>
      <c r="HX91" s="541">
        <f t="shared" si="302"/>
        <v>1471.372549019608</v>
      </c>
      <c r="HY91" s="541">
        <f>Sheet1!CZ89</f>
        <v>1690</v>
      </c>
      <c r="HZ91" s="541">
        <f t="shared" si="303"/>
        <v>0</v>
      </c>
      <c r="IA91" s="541">
        <f t="shared" si="304"/>
        <v>67.077919999999992</v>
      </c>
      <c r="IB91" s="541">
        <f t="shared" si="305"/>
        <v>1690</v>
      </c>
      <c r="IC91" s="1019" t="str">
        <f t="shared" si="306"/>
        <v/>
      </c>
      <c r="ID91" s="541">
        <f t="shared" si="307"/>
        <v>1622.9220800000001</v>
      </c>
      <c r="IE91" s="541">
        <f>Sheet1!DB89</f>
        <v>1630</v>
      </c>
      <c r="IF91" s="533">
        <f>Sheet1!DA89</f>
        <v>3050</v>
      </c>
      <c r="IH91" s="541">
        <f>IF(AND($B91&gt;=$GC91,$B91&lt;=$GH91,$DR91&lt;0)+N("only adjusted when pool is drawn down during storage season"),Sheet1!$DB89+$DR91+N("Palmer minus all storage release"),Sheet1!$DB89)</f>
        <v>1630</v>
      </c>
      <c r="II91" s="541">
        <f>IF(AND($B91&gt;=$GC91,$B91&lt;=$GH91,$DR91&lt;0)+N("only adjusted when pool is drawn down during storage season"),Sheet1!$DA89+$DR91+N("Auburn minus all storage release"),Sheet1!$DA89)</f>
        <v>3050</v>
      </c>
    </row>
    <row r="92" spans="1:243" x14ac:dyDescent="0.25">
      <c r="A92" s="553" t="s">
        <v>6</v>
      </c>
      <c r="B92" s="531">
        <v>42816</v>
      </c>
      <c r="C92" s="536">
        <v>0</v>
      </c>
      <c r="D92" s="506">
        <f t="shared" si="247"/>
        <v>300</v>
      </c>
      <c r="E92" s="506">
        <f t="shared" si="248"/>
        <v>250</v>
      </c>
      <c r="F92" s="506">
        <v>250</v>
      </c>
      <c r="G92" s="535">
        <f>DR92+Sheet1!CZ90</f>
        <v>1819.4906707018431</v>
      </c>
      <c r="H92" s="1074">
        <f t="shared" si="281"/>
        <v>822.94496838399994</v>
      </c>
      <c r="I92" s="534">
        <f>IF(Sheet1!DA90&gt;=E92,(Sheet1!DA90-E92+P92)*CFStoMGD,0)</f>
        <v>1676.1929683839999</v>
      </c>
      <c r="J92" s="995">
        <f>IF(Sheet1!DB90&gt;=D92,(Sheet1!DB90-D92+P92)*CFStoMGD,0)</f>
        <v>822.94496838399994</v>
      </c>
      <c r="K92" s="818">
        <f t="shared" si="282"/>
        <v>64.64</v>
      </c>
      <c r="L92" s="535">
        <f>Sheet1!AA90+Sheet1!AB90-Sheet1!L90+(Sheet1!DA90-F92)*CFStoMGD-S92-T92-U92</f>
        <v>1582.1440000000002</v>
      </c>
      <c r="M92" s="535">
        <f t="shared" si="185"/>
        <v>1199.6411449325049</v>
      </c>
      <c r="N92" s="824">
        <f>IF(Sheet1!DA90&gt;=F92,MIN(113*CFStoMGD,MIN(MAX(L92,0),MAX(M92,0))),0)</f>
        <v>73.043199999999999</v>
      </c>
      <c r="O92" s="538">
        <f>Sheet1!AA90+Sheet1!AB90</f>
        <v>53.730000000000004</v>
      </c>
      <c r="P92" s="538">
        <f t="shared" si="186"/>
        <v>83.120309999999989</v>
      </c>
      <c r="Q92" s="812">
        <f t="shared" si="283"/>
        <v>43.160000000000004</v>
      </c>
      <c r="R92" s="812">
        <f t="shared" si="249"/>
        <v>10.517281795511222</v>
      </c>
      <c r="S92" s="812">
        <f t="shared" si="250"/>
        <v>10.57</v>
      </c>
      <c r="T92" s="812">
        <f t="shared" si="251"/>
        <v>54.07</v>
      </c>
      <c r="U92" s="812">
        <f t="shared" si="284"/>
        <v>0</v>
      </c>
      <c r="V92" s="812"/>
      <c r="W92" s="812">
        <f t="shared" si="252"/>
        <v>54.122718204488777</v>
      </c>
      <c r="X92" s="812">
        <f t="shared" si="253"/>
        <v>64.64</v>
      </c>
      <c r="Y92" s="812" t="str">
        <f t="shared" si="254"/>
        <v>FALSE</v>
      </c>
      <c r="Z92" s="812">
        <f t="shared" si="255"/>
        <v>53.730000000000004</v>
      </c>
      <c r="AA92" s="812">
        <f t="shared" si="256"/>
        <v>53.730000000000004</v>
      </c>
      <c r="AB92" s="1059">
        <f t="shared" si="285"/>
        <v>66.768520000000009</v>
      </c>
      <c r="AC92" s="538">
        <f>Sheet1!Y90*MGDtoCFS</f>
        <v>40.051830000000002</v>
      </c>
      <c r="AD92" s="538">
        <f>Sheet1!Z90*MGDtoCFS</f>
        <v>43.269589999999994</v>
      </c>
      <c r="AE92" s="538">
        <f>Sheet1!AA90*MGDtoCFS</f>
        <v>39.912599999999998</v>
      </c>
      <c r="AF92" s="538">
        <f>Sheet1!AB90*MGDtoCFS</f>
        <v>43.207709999999999</v>
      </c>
      <c r="AG92" s="538">
        <f>Sheet1!L90*MGDtoCFS</f>
        <v>45.497269999999773</v>
      </c>
      <c r="AH92" s="521">
        <f t="shared" si="187"/>
        <v>0</v>
      </c>
      <c r="AI92" s="1059">
        <f t="shared" si="188"/>
        <v>0</v>
      </c>
      <c r="AJ92" s="535">
        <f t="shared" si="189"/>
        <v>54.122718204488777</v>
      </c>
      <c r="AK92" s="535">
        <f t="shared" si="190"/>
        <v>83.72784506234413</v>
      </c>
      <c r="AL92" s="535">
        <f>(VLOOKUP(Sheet1!DC90,hhdcap_wcm,4)-(((VLOOKUP(Sheet1!DC90,hhdcap_wcm,3)-Sheet1!DC90)/(VLOOKUP(Sheet1!DC90,hhdcap_wcm,3)-VLOOKUP(Sheet1!DC90,hhdcap_wcm,1)))*(VLOOKUP(Sheet1!DC90,hhdcap_wcm,4)-VLOOKUP(Sheet1!DC90,hhdcap_wcm,2))))</f>
        <v>13825.000000032969</v>
      </c>
      <c r="AM92" s="535">
        <f t="shared" si="191"/>
        <v>534.40000000175496</v>
      </c>
      <c r="AN92" s="1035">
        <f t="shared" si="192"/>
        <v>1888.5743559885825</v>
      </c>
      <c r="AO92" s="535">
        <f t="shared" si="193"/>
        <v>5794.1461241729712</v>
      </c>
      <c r="AP92" s="535">
        <f>Sheet1!BA90+Sheet1!BB90+Sheet1!BN90+CD92</f>
        <v>17.5</v>
      </c>
      <c r="AQ92" s="535">
        <f>Sheet1!BN90+(DO92*Sheet1!BN90)</f>
        <v>17.412718204488776</v>
      </c>
      <c r="AR92" s="535">
        <f>Sheet1!BA90+CD92</f>
        <v>0</v>
      </c>
      <c r="AS92" s="535">
        <f>Sheet1!BA90+Sheet1!BB90+CD92</f>
        <v>0</v>
      </c>
      <c r="AT92" s="649">
        <f>0</f>
        <v>0</v>
      </c>
      <c r="AU92" s="535">
        <f>IF(EB92&lt;K92,0,MAX(Sheet1!AA90+AQ92-15/36*K92-N92,Sheet1!EH90,0))</f>
        <v>0</v>
      </c>
      <c r="AV92" s="535">
        <f>IF(OR(B92&gt;=GD92,B92&lt;GC92),0,15/36*K92-MAX(0,64.6-(137.6-(Sheet1!AA90+Sheet1!AB90))))</f>
        <v>26.933333333333334</v>
      </c>
      <c r="AW92" s="1029"/>
      <c r="AX92" s="649"/>
      <c r="AY92" s="649">
        <f t="shared" si="286"/>
        <v>0</v>
      </c>
      <c r="AZ92" s="649">
        <f t="shared" si="287"/>
        <v>0</v>
      </c>
      <c r="BA92" s="1059">
        <f t="shared" si="288"/>
        <v>0</v>
      </c>
      <c r="BB92" s="1019">
        <f t="shared" si="194"/>
        <v>942.66666666666583</v>
      </c>
      <c r="BC92" s="1041">
        <f t="shared" si="289"/>
        <v>26.933333333333334</v>
      </c>
      <c r="BD92" s="1019">
        <f ca="1">IF(B92&gt;Summary!$A$1,#N/A,BB92*MGtoAF)</f>
        <v>2892.1013333333308</v>
      </c>
      <c r="BE92" s="535">
        <f>Sheet1!BG90+Sheet1!BH90+Sheet1!BI90-BM92</f>
        <v>1.02</v>
      </c>
      <c r="BF92" s="535">
        <f t="shared" si="195"/>
        <v>1.0149127182044888</v>
      </c>
      <c r="BG92" s="535">
        <f>IF(Sheet1!EP90="FM",BM92,0)</f>
        <v>0</v>
      </c>
      <c r="BH92" s="535">
        <f t="shared" si="196"/>
        <v>0</v>
      </c>
      <c r="BI92" s="535">
        <f>IF(Sheet1!EP90="OTHER",BM92,0)</f>
        <v>0</v>
      </c>
      <c r="BJ92" s="535">
        <f t="shared" si="197"/>
        <v>0</v>
      </c>
      <c r="BK92" s="535">
        <f t="shared" si="198"/>
        <v>1.02</v>
      </c>
      <c r="BL92" s="535">
        <f t="shared" si="199"/>
        <v>1.0149127182044888</v>
      </c>
      <c r="BM92" s="535">
        <f>IF(OR(Sheet1!EP90="FM", Sheet1!EP90="OTHER"),SUM(Sheet1!BG90:'Sheet1'!BI90),0)</f>
        <v>0</v>
      </c>
      <c r="BN92" s="521">
        <f>IF(AND($B92&gt;=$FV92,$B92&lt;=$FW92),MAX(BF92,Sheet1!EI90,0),MAX(BF92-(7/36)*$K92,0))</f>
        <v>0</v>
      </c>
      <c r="BO92" s="535">
        <f t="shared" si="200"/>
        <v>11.5539761706844</v>
      </c>
      <c r="BP92" s="521">
        <f t="shared" si="201"/>
        <v>1.0149127182044888</v>
      </c>
      <c r="BQ92" s="521">
        <f>IF(AND($O92&gt;0,Sheet1!EM90=1),(1-($O92-Sheet1!$L90)/$O92)*BL92,0)</f>
        <v>0</v>
      </c>
      <c r="BR92" s="521">
        <f>IF(AND(Sheet1!$L90=0,Sheet1!$L89=0, Calculation!BK92&lt;Sheet1!$EI90-0.1,Sheet1!$EI90=Sheet1!$EI89,Sheet1!$EI90=Sheet1!$EI91),BL92-BQ92,BL92-BQ92)</f>
        <v>1.0149127182044888</v>
      </c>
      <c r="BS92" s="1035" t="str">
        <f t="shared" si="290"/>
        <v/>
      </c>
      <c r="BT92" s="1035">
        <f t="shared" si="291"/>
        <v>12.568888888888889</v>
      </c>
      <c r="BU92" s="535">
        <f t="shared" si="202"/>
        <v>403.74716267655134</v>
      </c>
      <c r="BV92" s="535"/>
      <c r="BW92" s="535">
        <f ca="1">IF(B92&gt;Summary!$A$1,#N/A,BU92*MGtoAF)</f>
        <v>1238.6962950916595</v>
      </c>
      <c r="BX92" s="535">
        <f>Sheet1!BC90+Sheet1!BD90+Sheet1!BE90+Sheet1!BF90-CG92-CH92</f>
        <v>2.99</v>
      </c>
      <c r="BY92" s="535">
        <f t="shared" si="203"/>
        <v>2.9750872817955112</v>
      </c>
      <c r="BZ92" s="535">
        <f>IF(Sheet1!EQ90="FM",CH92,0)</f>
        <v>0</v>
      </c>
      <c r="CA92" s="535">
        <f t="shared" si="204"/>
        <v>0</v>
      </c>
      <c r="CB92" s="535">
        <f>IF(Sheet1!EQ90="OTHER",CH92,0)</f>
        <v>0</v>
      </c>
      <c r="CC92" s="535">
        <f t="shared" si="205"/>
        <v>0</v>
      </c>
      <c r="CD92" s="535">
        <f t="shared" si="206"/>
        <v>0</v>
      </c>
      <c r="CE92" s="535">
        <f t="shared" si="207"/>
        <v>2.99</v>
      </c>
      <c r="CF92" s="535">
        <f t="shared" si="208"/>
        <v>2.9750872817955112</v>
      </c>
      <c r="CG92" s="535">
        <f>IF(Sheet1!EQ90="CWA",SUM(Sheet1!BC90:'Sheet1'!BF90),0)</f>
        <v>0</v>
      </c>
      <c r="CH92" s="535">
        <f>IF(OR(Sheet1!EQ90="FM", Sheet1!EQ90="OTHER"),SUM(Sheet1!BC90:'Sheet1'!BF90),0)</f>
        <v>0</v>
      </c>
      <c r="CI92" s="521">
        <f>IF(AND($B92&gt;=$FV92,$B92&lt;=$FW92),MAX(CF92,Sheet1!EJ90,0),MAX(CF92-(7/36)*$K92,0))</f>
        <v>0</v>
      </c>
      <c r="CJ92" s="535">
        <f t="shared" si="209"/>
        <v>9.5938016070933774</v>
      </c>
      <c r="CK92" s="521">
        <f t="shared" si="210"/>
        <v>2.9750872817955112</v>
      </c>
      <c r="CL92" s="521">
        <f>IF(AND($O92&gt;0,Sheet1!EN90=1),(1-($O92-Sheet1!$L90)/$O92)*CF92,0)</f>
        <v>0</v>
      </c>
      <c r="CM92" s="521">
        <f>IF(AND(Sheet1!$L90=0,Sheet1!$L89=0, Calculation!CE92&lt;Sheet1!EJ90-0.1,Sheet1!EJ90=Sheet1!EJ89,Sheet1!EJ90=Sheet1!EJ91),CF92-CL92,CF92-CL92)</f>
        <v>2.9750872817955112</v>
      </c>
      <c r="CN92" s="1040" t="str">
        <f t="shared" si="292"/>
        <v/>
      </c>
      <c r="CO92" s="1035">
        <f t="shared" si="293"/>
        <v>12.568888888888889</v>
      </c>
      <c r="CP92" s="535">
        <f t="shared" si="211"/>
        <v>330.29040866263256</v>
      </c>
      <c r="CQ92" s="535"/>
      <c r="CR92" s="535">
        <f ca="1">IF(B92&gt;Summary!$A$1,#N/A,CP92*MGtoAF)</f>
        <v>1013.3309737769567</v>
      </c>
      <c r="CS92" s="535">
        <f>Sheet1!BK90+Sheet1!BL90+Sheet1!BM90-Sheet1!ER90-DA92</f>
        <v>6.56</v>
      </c>
      <c r="CT92" s="535">
        <f t="shared" si="212"/>
        <v>6.5272817955112217</v>
      </c>
      <c r="CU92" s="535">
        <f>IF(Sheet1!ER90="FM",DA92,0)</f>
        <v>0</v>
      </c>
      <c r="CV92" s="535">
        <f t="shared" si="213"/>
        <v>0</v>
      </c>
      <c r="CW92" s="535">
        <f>IF(Sheet1!ER90="OTHER",DA92,0)</f>
        <v>0</v>
      </c>
      <c r="CX92" s="535">
        <f t="shared" si="214"/>
        <v>0</v>
      </c>
      <c r="CY92" s="535">
        <f t="shared" si="215"/>
        <v>6.56</v>
      </c>
      <c r="CZ92" s="535">
        <f t="shared" si="216"/>
        <v>6.5272817955112217</v>
      </c>
      <c r="DA92" s="535">
        <f>IF(OR(Sheet1!ER90="FM", Sheet1!ER90="OTHER"),SUM(Sheet1!BK90:'Sheet1'!BM90),0)</f>
        <v>0</v>
      </c>
      <c r="DB92" s="1011">
        <f>IF(AND($B92&gt;=$FV92,$B92&lt;=$FW92),MAX($CT92,Sheet1!EK90,0),MAX($CT92-(7/36)*$K92,0))</f>
        <v>0</v>
      </c>
      <c r="DC92" s="1012">
        <f t="shared" si="217"/>
        <v>6.0416070933776673</v>
      </c>
      <c r="DD92" s="1011">
        <f t="shared" si="218"/>
        <v>6.5272817955112217</v>
      </c>
      <c r="DE92" s="521">
        <f>IF(AND($O92&gt;0,Sheet1!EO90=1),(1-($O92-Sheet1!$L90)/$O92)*CZ92,0)</f>
        <v>0</v>
      </c>
      <c r="DF92" s="521">
        <f>IF(AND(Sheet1!$L90=0,Sheet1!$L89=0, Calculation!CY92&lt;Sheet1!$EK90-0.1,Sheet1!$EK90=Sheet1!$EK89,Sheet1!$EK90=Sheet1!$EK91),CZ92-DE92,CZ92-DE92)</f>
        <v>6.5272817955112217</v>
      </c>
      <c r="DG92" s="1040">
        <f t="shared" si="294"/>
        <v>12.568888888888889</v>
      </c>
      <c r="DH92" s="649">
        <f t="shared" si="219"/>
        <v>10.57</v>
      </c>
      <c r="DI92" s="535">
        <f t="shared" si="220"/>
        <v>211.87011798273286</v>
      </c>
      <c r="DJ92" s="649">
        <f t="shared" si="221"/>
        <v>10.517281795511222</v>
      </c>
      <c r="DK92" s="535">
        <f ca="1">IF(B92&gt;Summary!$A$1,#N/A,DI92*MGtoAF)</f>
        <v>650.01752197102439</v>
      </c>
      <c r="DL92" s="649">
        <f t="shared" si="222"/>
        <v>10.57</v>
      </c>
      <c r="DM92" s="535">
        <f t="shared" si="223"/>
        <v>28.07</v>
      </c>
      <c r="DN92" s="535">
        <f>Sheet1!AB90-DM92</f>
        <v>-0.14000000000000057</v>
      </c>
      <c r="DO92" s="743">
        <f t="shared" si="224"/>
        <v>-4.9875311720698453E-3</v>
      </c>
      <c r="DP92" s="535">
        <f>(VLOOKUP(Sheet1!DC90,hhdcap_wcm,4)-(((VLOOKUP(Sheet1!DC90,hhdcap_wcm,3)-Sheet1!DC90)/(VLOOKUP(Sheet1!DC90,hhdcap_wcm,3)-VLOOKUP(Sheet1!DC90,hhdcap_wcm,1)))*(VLOOKUP(Sheet1!DC90,hhdcap_wcm,4)-VLOOKUP(Sheet1!DC90,hhdcap_wcm,2))))</f>
        <v>13825.000000032969</v>
      </c>
      <c r="DQ92" s="535">
        <f t="shared" si="225"/>
        <v>534.40000000175496</v>
      </c>
      <c r="DR92" s="535">
        <f t="shared" si="226"/>
        <v>269.4906707018431</v>
      </c>
      <c r="DS92" s="535">
        <f>Sheet1!EA90*AFtoMG</f>
        <v>0</v>
      </c>
      <c r="DT92" s="535">
        <f>Sheet1!EB90*AFtoMG</f>
        <v>0</v>
      </c>
      <c r="DU92" s="535">
        <f>Sheet1!EC90*AFtoMG</f>
        <v>0</v>
      </c>
      <c r="DV92" s="535">
        <f>Sheet1!ED90*AFtoMG</f>
        <v>0</v>
      </c>
      <c r="DW92" s="535">
        <f t="shared" si="227"/>
        <v>0</v>
      </c>
      <c r="DX92" s="535">
        <f t="shared" si="228"/>
        <v>0</v>
      </c>
      <c r="DY92" s="535">
        <f t="shared" si="229"/>
        <v>1888.5743559885825</v>
      </c>
      <c r="DZ92" s="535">
        <f t="shared" si="230"/>
        <v>5794.1461241729712</v>
      </c>
      <c r="EA92" s="535"/>
      <c r="EB92" s="521">
        <f>IF(OR(B92&lt;FV92,B92&gt;FW92),(MIN(BF92+BY92+CT92+MAX(Sheet1!AA90+AQ92-73,0),K92)),0)</f>
        <v>10.517281795511222</v>
      </c>
      <c r="EC92" s="535"/>
      <c r="ED92" s="535">
        <f t="shared" si="231"/>
        <v>10.517281795511222</v>
      </c>
      <c r="EE92" s="535"/>
      <c r="EF92" s="535">
        <f>Sheet1!EH90+Sheet1!EI90+Sheet1!EJ90+Sheet1!EK90</f>
        <v>10.5</v>
      </c>
      <c r="EG92" s="1019">
        <f t="shared" si="295"/>
        <v>16.243500000000001</v>
      </c>
      <c r="EH92" s="521">
        <f t="shared" si="232"/>
        <v>0</v>
      </c>
      <c r="EI92" s="535">
        <f>IF(Sheet1!ET90=1,SUM('Calculations II'!AT92:BA92)+'Calculations II'!BC92+Sheet1!BV90+'Calculations II'!BE92+AP92,'Calculations II'!BK92)</f>
        <v>45.28422420448878</v>
      </c>
      <c r="EJ92" s="535">
        <f ca="1">EI92+'Calculations II'!D92+'Calculations II'!E92+'Calculations II'!O92</f>
        <v>43.596823332142669</v>
      </c>
      <c r="EK92" s="535"/>
      <c r="EL92" s="535"/>
      <c r="EM92" s="535">
        <f t="shared" si="233"/>
        <v>42816</v>
      </c>
      <c r="EN92" s="535">
        <f t="shared" si="234"/>
        <v>54.122718204488777</v>
      </c>
      <c r="EO92" s="535">
        <f t="shared" si="235"/>
        <v>83.72784506234413</v>
      </c>
      <c r="EP92" s="535">
        <v>0</v>
      </c>
      <c r="EQ92" s="535">
        <v>0</v>
      </c>
      <c r="ER92" s="535">
        <v>0</v>
      </c>
      <c r="ES92" s="521">
        <f t="shared" si="257"/>
        <v>2.3541258457222733</v>
      </c>
      <c r="ET92" s="535">
        <f>-(VLOOKUP(Sheet1!BQ90,Lookup!$O$4:$Q$262,2)-VLOOKUP(Sheet1!BQ89,Lookup!$O$4:$Q$262,2))/1000000</f>
        <v>1.1076475163128898</v>
      </c>
      <c r="EU92" s="535">
        <f>-(VLOOKUP(Sheet1!BR90,Lookup!$O$4:$Q$262,3)-VLOOKUP(Sheet1!BR89,Lookup!$O$4:$Q$262,3))/1000000</f>
        <v>1.2464783294093833</v>
      </c>
      <c r="EV92" s="535"/>
      <c r="EW92" s="535"/>
      <c r="EX92" s="535"/>
      <c r="EY92" s="535"/>
      <c r="EZ92" s="535"/>
      <c r="FA92" s="535"/>
      <c r="FB92" s="535"/>
      <c r="FC92" s="535"/>
      <c r="FD92" s="567" t="e">
        <f t="shared" si="236"/>
        <v>#N/A</v>
      </c>
      <c r="FE92" s="567" t="e">
        <f t="shared" si="237"/>
        <v>#N/A</v>
      </c>
      <c r="FF92" s="568" t="e">
        <f t="shared" si="238"/>
        <v>#N/A</v>
      </c>
      <c r="FG92" s="569" t="s">
        <v>656</v>
      </c>
      <c r="FH92" s="569" t="s">
        <v>656</v>
      </c>
      <c r="FI92" s="567" t="e">
        <v>#N/A</v>
      </c>
      <c r="FJ92" s="567" t="e">
        <v>#N/A</v>
      </c>
      <c r="FK92" s="535"/>
      <c r="FL92" s="1015">
        <v>0</v>
      </c>
      <c r="FM92" s="535"/>
      <c r="FN92" s="535"/>
      <c r="FO92" s="535">
        <f>O92+((Sheet1!CS90)*GPMtoMGD)</f>
        <v>53.730000000000004</v>
      </c>
      <c r="FP92" s="535">
        <f>IF(Sheet1!AA90+AQ92&lt;=Calculation!N92,AQ92,Calculation!N92-Sheet1!AA90)</f>
        <v>17.412718204488776</v>
      </c>
      <c r="FQ92" s="535">
        <f>(Sheet1!BP90+Sheet1!BO90)/694.4</f>
        <v>1.3810483870967742</v>
      </c>
      <c r="FR92" s="541"/>
      <c r="FS92" s="541"/>
      <c r="FT92" s="541"/>
      <c r="FU92" s="541"/>
      <c r="FV92" s="1109">
        <f t="shared" si="258"/>
        <v>42918</v>
      </c>
      <c r="FW92" s="1109">
        <f t="shared" si="259"/>
        <v>43027</v>
      </c>
      <c r="FX92" s="541"/>
      <c r="FY92" s="541">
        <f>Sheet1!DA90-Sheet1!CZ90-Sheet1!AE90</f>
        <v>1172.3769599999998</v>
      </c>
      <c r="FZ92" s="535">
        <f t="shared" si="296"/>
        <v>0.64434348517311812</v>
      </c>
      <c r="GA92" s="535"/>
      <c r="GB92" s="535" t="str">
        <f t="shared" si="260"/>
        <v>n</v>
      </c>
      <c r="GC92" s="539">
        <f t="shared" si="261"/>
        <v>42782</v>
      </c>
      <c r="GD92" s="1109">
        <f t="shared" si="262"/>
        <v>42904</v>
      </c>
      <c r="GE92" s="535">
        <f t="shared" si="280"/>
        <v>6520</v>
      </c>
      <c r="GF92" s="1109">
        <f t="shared" si="263"/>
        <v>42909</v>
      </c>
      <c r="GG92" s="535">
        <f t="shared" si="308"/>
        <v>3260</v>
      </c>
      <c r="GH92" s="539">
        <f t="shared" si="264"/>
        <v>43040</v>
      </c>
      <c r="GJ92" s="521">
        <f t="shared" si="265"/>
        <v>0</v>
      </c>
      <c r="GK92" s="535" t="str">
        <f t="shared" si="239"/>
        <v/>
      </c>
      <c r="GL92" s="535">
        <f t="shared" si="266"/>
        <v>0</v>
      </c>
      <c r="GM92" s="535" t="str">
        <f t="shared" si="267"/>
        <v/>
      </c>
      <c r="GN92" s="535">
        <f>IF(GK92="P",Lookup!$M$12,IF(GK92="PP",Lookup!$M$13,IF(GK92="PPP",Lookup!$M$14,IF(GK92="T",Lookup!$M$15,IF(GK92="TP",Lookup!$M$16,IF(GK92="TPP",Lookup!$M$17,IF(GK92="TPPP",Lookup!$M$18,0)))))))*GJ92</f>
        <v>0</v>
      </c>
      <c r="GO92" s="535">
        <f t="shared" si="268"/>
        <v>0</v>
      </c>
      <c r="GP92" s="535">
        <f t="shared" si="240"/>
        <v>2892.1013333333308</v>
      </c>
      <c r="GQ92" s="535">
        <f t="shared" si="279"/>
        <v>942.66666666666583</v>
      </c>
      <c r="GR92" s="535"/>
      <c r="GS92" s="535">
        <f t="shared" si="269"/>
        <v>0</v>
      </c>
      <c r="GT92" s="535" t="str">
        <f t="shared" si="270"/>
        <v/>
      </c>
      <c r="GU92" s="535">
        <f>IF(GK92="P",Lookup!$N$12,IF(GK92="PP",Lookup!$N$13,IF(GK92="PPP",Lookup!$N$14,IF(GK92="T",Lookup!$N$15,IF(GK92="TP",Lookup!$N$16,IF(GK92="TPP",Lookup!$N$17,IF(GK92="TPPP",Lookup!$N$18,0)))))))*GJ92</f>
        <v>0</v>
      </c>
      <c r="GV92" s="535">
        <f t="shared" si="271"/>
        <v>0</v>
      </c>
      <c r="GW92" s="535">
        <f t="shared" si="241"/>
        <v>1238.6962950916595</v>
      </c>
      <c r="GX92" s="535">
        <f t="shared" si="276"/>
        <v>403.74716267655134</v>
      </c>
      <c r="GY92" s="535"/>
      <c r="GZ92" s="535">
        <f t="shared" si="272"/>
        <v>0</v>
      </c>
      <c r="HA92" s="535" t="str">
        <f t="shared" si="273"/>
        <v/>
      </c>
      <c r="HB92" s="535">
        <f>IF(GK92="P",Lookup!$N$12,IF(GK92="PP",Lookup!$N$13,IF(GK92="PPP",Lookup!$N$14,IF(GK92="T",Lookup!$N$15,IF(GK92="TP",Lookup!$N$16,IF(GK92="TPP",Lookup!$N$17,IF(GK92="TPPP",Lookup!$N$18,0)))))))*GJ92</f>
        <v>0</v>
      </c>
      <c r="HC92" s="521">
        <f t="shared" si="242"/>
        <v>0</v>
      </c>
      <c r="HD92" s="535">
        <f t="shared" si="243"/>
        <v>1013.3309737769567</v>
      </c>
      <c r="HE92" s="535">
        <f t="shared" si="277"/>
        <v>330.29040866263256</v>
      </c>
      <c r="HF92" s="535"/>
      <c r="HG92" s="535">
        <f t="shared" si="274"/>
        <v>0</v>
      </c>
      <c r="HH92" s="535" t="str">
        <f t="shared" si="275"/>
        <v/>
      </c>
      <c r="HI92" s="535">
        <f>IF(GK92="P",Lookup!$N$12,IF(GK92="PP",Lookup!$N$13,IF(GK92="PPP",Lookup!$N$14,IF(GK92="T",Lookup!$N$15,IF(GK92="TP",Lookup!$N$16,IF(GK92="TPP",Lookup!$N$17,IF(GK92="TPPP",Lookup!$N$18,0)))))))*GJ92</f>
        <v>0</v>
      </c>
      <c r="HJ92" s="521">
        <f t="shared" si="244"/>
        <v>0</v>
      </c>
      <c r="HK92" s="535">
        <f t="shared" si="245"/>
        <v>650.01752197102439</v>
      </c>
      <c r="HL92" s="535">
        <f t="shared" si="278"/>
        <v>211.87011798273286</v>
      </c>
      <c r="HM92" s="535"/>
      <c r="HN92" s="541"/>
      <c r="HO92" s="541"/>
      <c r="HP92" s="541"/>
      <c r="HQ92" s="541">
        <f>IF(AND(B92&gt;=$FV$4,B92&lt;=$FW$4),MAX(110/1.02+$HQ$6+MIN(113/1.02,G92),IF($HV$6-(Sheet1!DA90-Sheet1!DB90)+MIN(113/1.02,G92)&lt;G92+FL92,$HV$6-(Sheet1!DA90-Sheet1!DB90)+MIN(113/1.02,G92),G92+FL92)),MIN(110/1.02+$HQ$6+113/1.02,G92))</f>
        <v>218.62745098039215</v>
      </c>
      <c r="HR92" s="541">
        <f t="shared" si="297"/>
        <v>223</v>
      </c>
      <c r="HS92" s="541">
        <f>HR92+(Sheet1!DA90-Sheet1!DB90)</f>
        <v>1493</v>
      </c>
      <c r="HT92" s="541">
        <f t="shared" si="298"/>
        <v>66.768520000000009</v>
      </c>
      <c r="HU92" s="541">
        <f t="shared" si="299"/>
        <v>1426.2314799999999</v>
      </c>
      <c r="HV92" s="541">
        <f t="shared" si="300"/>
        <v>0</v>
      </c>
      <c r="HW92" s="533" t="str">
        <f t="shared" si="301"/>
        <v/>
      </c>
      <c r="HX92" s="541">
        <f t="shared" si="302"/>
        <v>1331.372549019608</v>
      </c>
      <c r="HY92" s="541">
        <f>Sheet1!CZ90</f>
        <v>1550</v>
      </c>
      <c r="HZ92" s="541">
        <f t="shared" si="303"/>
        <v>0</v>
      </c>
      <c r="IA92" s="541">
        <f t="shared" si="304"/>
        <v>66.768520000000009</v>
      </c>
      <c r="IB92" s="541">
        <f t="shared" si="305"/>
        <v>1550</v>
      </c>
      <c r="IC92" s="1019" t="str">
        <f t="shared" si="306"/>
        <v/>
      </c>
      <c r="ID92" s="541">
        <f t="shared" si="307"/>
        <v>1483.2314799999999</v>
      </c>
      <c r="IE92" s="541">
        <f>Sheet1!DB90</f>
        <v>1490</v>
      </c>
      <c r="IF92" s="533">
        <f>Sheet1!DA90</f>
        <v>2760</v>
      </c>
      <c r="IH92" s="541">
        <f>IF(AND($B92&gt;=$GC92,$B92&lt;=$GH92,$DR92&lt;0)+N("only adjusted when pool is drawn down during storage season"),Sheet1!$DB90+$DR92+N("Palmer minus all storage release"),Sheet1!$DB90)</f>
        <v>1490</v>
      </c>
      <c r="II92" s="541">
        <f>IF(AND($B92&gt;=$GC92,$B92&lt;=$GH92,$DR92&lt;0)+N("only adjusted when pool is drawn down during storage season"),Sheet1!$DA90+$DR92+N("Auburn minus all storage release"),Sheet1!$DA90)</f>
        <v>2760</v>
      </c>
    </row>
    <row r="93" spans="1:243" x14ac:dyDescent="0.25">
      <c r="A93" s="553" t="s">
        <v>7</v>
      </c>
      <c r="B93" s="531">
        <v>42817</v>
      </c>
      <c r="C93" s="536">
        <v>0</v>
      </c>
      <c r="D93" s="506">
        <f t="shared" si="247"/>
        <v>300</v>
      </c>
      <c r="E93" s="506">
        <f t="shared" si="248"/>
        <v>250</v>
      </c>
      <c r="F93" s="506">
        <v>250</v>
      </c>
      <c r="G93" s="535">
        <f>DR93+Sheet1!CZ91</f>
        <v>1887.9878971265302</v>
      </c>
      <c r="H93" s="1074">
        <f t="shared" si="281"/>
        <v>797.25896511999997</v>
      </c>
      <c r="I93" s="534">
        <f>IF(Sheet1!DA91&gt;=E93,(Sheet1!DA91-E93+P93)*CFStoMGD,0)</f>
        <v>1585.8669651199998</v>
      </c>
      <c r="J93" s="995">
        <f>IF(Sheet1!DB91&gt;=D93,(Sheet1!DB91-D93+P93)*CFStoMGD,0)</f>
        <v>797.25896511999997</v>
      </c>
      <c r="K93" s="818">
        <f t="shared" si="282"/>
        <v>64.64</v>
      </c>
      <c r="L93" s="535">
        <f>Sheet1!AA91+Sheet1!AB91-Sheet1!L91+(Sheet1!DA91-F93)*CFStoMGD-S93-T93-U93</f>
        <v>1509.1279999999977</v>
      </c>
      <c r="M93" s="535">
        <f t="shared" si="185"/>
        <v>1244.803284236641</v>
      </c>
      <c r="N93" s="824">
        <f>IF(Sheet1!DA91&gt;=F93,MIN(113*CFStoMGD,MIN(MAX(L93,0),MAX(M93,0))),0)</f>
        <v>73.043199999999999</v>
      </c>
      <c r="O93" s="538">
        <f>Sheet1!AA91+Sheet1!AB91</f>
        <v>53.900000000000006</v>
      </c>
      <c r="P93" s="538">
        <f t="shared" si="186"/>
        <v>83.383299999999991</v>
      </c>
      <c r="Q93" s="812">
        <f t="shared" si="283"/>
        <v>43.400000000000006</v>
      </c>
      <c r="R93" s="812">
        <f t="shared" si="249"/>
        <v>10.425795053003535</v>
      </c>
      <c r="S93" s="812">
        <f t="shared" si="250"/>
        <v>10.5</v>
      </c>
      <c r="T93" s="812">
        <f t="shared" si="251"/>
        <v>54.14</v>
      </c>
      <c r="U93" s="812">
        <f t="shared" si="284"/>
        <v>0</v>
      </c>
      <c r="V93" s="812"/>
      <c r="W93" s="812">
        <f t="shared" si="252"/>
        <v>54.214204946996468</v>
      </c>
      <c r="X93" s="812">
        <f t="shared" si="253"/>
        <v>64.64</v>
      </c>
      <c r="Y93" s="812" t="str">
        <f t="shared" si="254"/>
        <v>FALSE</v>
      </c>
      <c r="Z93" s="812">
        <f t="shared" si="255"/>
        <v>53.900000000000006</v>
      </c>
      <c r="AA93" s="812">
        <f t="shared" si="256"/>
        <v>53.900000000000006</v>
      </c>
      <c r="AB93" s="1059">
        <f t="shared" si="285"/>
        <v>67.139800000000008</v>
      </c>
      <c r="AC93" s="538">
        <f>Sheet1!Y91*MGDtoCFS</f>
        <v>39.912599999999998</v>
      </c>
      <c r="AD93" s="538">
        <f>Sheet1!Z91*MGDtoCFS</f>
        <v>43.207709999999999</v>
      </c>
      <c r="AE93" s="538">
        <f>Sheet1!AA91*MGDtoCFS</f>
        <v>39.912599999999998</v>
      </c>
      <c r="AF93" s="538">
        <f>Sheet1!AB91*MGDtoCFS</f>
        <v>43.470700000000001</v>
      </c>
      <c r="AG93" s="538">
        <f>Sheet1!L91*MGDtoCFS</f>
        <v>18.718700000003377</v>
      </c>
      <c r="AH93" s="521">
        <f t="shared" si="187"/>
        <v>0</v>
      </c>
      <c r="AI93" s="1059">
        <f t="shared" si="188"/>
        <v>0</v>
      </c>
      <c r="AJ93" s="535">
        <f t="shared" si="189"/>
        <v>54.214204946996468</v>
      </c>
      <c r="AK93" s="535">
        <f t="shared" si="190"/>
        <v>83.869375053003537</v>
      </c>
      <c r="AL93" s="535">
        <f>(VLOOKUP(Sheet1!DC91,hhdcap_wcm,4)-(((VLOOKUP(Sheet1!DC91,hhdcap_wcm,3)-Sheet1!DC91)/(VLOOKUP(Sheet1!DC91,hhdcap_wcm,3)-VLOOKUP(Sheet1!DC91,hhdcap_wcm,1)))*(VLOOKUP(Sheet1!DC91,hhdcap_wcm,4)-VLOOKUP(Sheet1!DC91,hhdcap_wcm,2))))</f>
        <v>14475.400000034879</v>
      </c>
      <c r="AM93" s="535">
        <f t="shared" si="191"/>
        <v>650.40000000190958</v>
      </c>
      <c r="AN93" s="1035">
        <f t="shared" si="192"/>
        <v>1942.7885609355792</v>
      </c>
      <c r="AO93" s="535">
        <f t="shared" si="193"/>
        <v>5960.475304950357</v>
      </c>
      <c r="AP93" s="535">
        <f>Sheet1!BA91+Sheet1!BB91+Sheet1!BN91+CD93</f>
        <v>17.8</v>
      </c>
      <c r="AQ93" s="535">
        <f>Sheet1!BN91+(DO93*Sheet1!BN91)</f>
        <v>17.674204946996468</v>
      </c>
      <c r="AR93" s="535">
        <f>Sheet1!BA91+CD93</f>
        <v>0</v>
      </c>
      <c r="AS93" s="535">
        <f>Sheet1!BA91+Sheet1!BB91+CD93</f>
        <v>0</v>
      </c>
      <c r="AT93" s="649">
        <f>0</f>
        <v>0</v>
      </c>
      <c r="AU93" s="535">
        <f>IF(EB93&lt;K93,0,MAX(Sheet1!AA91+AQ93-15/36*K93-N93,Sheet1!EH91,0))</f>
        <v>0</v>
      </c>
      <c r="AV93" s="535">
        <f>IF(OR(B93&gt;=GD93,B93&lt;GC93),0,15/36*K93-MAX(0,64.6-(137.6-(Sheet1!AA91+Sheet1!AB91))))</f>
        <v>26.933333333333334</v>
      </c>
      <c r="AW93" s="1029"/>
      <c r="AX93" s="649"/>
      <c r="AY93" s="649">
        <f t="shared" si="286"/>
        <v>0</v>
      </c>
      <c r="AZ93" s="649">
        <f t="shared" si="287"/>
        <v>0</v>
      </c>
      <c r="BA93" s="1059">
        <f t="shared" si="288"/>
        <v>0</v>
      </c>
      <c r="BB93" s="1019">
        <f t="shared" si="194"/>
        <v>969.59999999999911</v>
      </c>
      <c r="BC93" s="1041">
        <f t="shared" si="289"/>
        <v>26.933333333333334</v>
      </c>
      <c r="BD93" s="1019">
        <f ca="1">IF(B93&gt;Summary!$A$1,#N/A,BB93*MGtoAF)</f>
        <v>2974.7327999999975</v>
      </c>
      <c r="BE93" s="535">
        <f>Sheet1!BG91+Sheet1!BH91+Sheet1!BI91-BM93</f>
        <v>1.01</v>
      </c>
      <c r="BF93" s="535">
        <f t="shared" si="195"/>
        <v>1.0028621908127209</v>
      </c>
      <c r="BG93" s="535">
        <f>IF(Sheet1!EP91="FM",BM93,0)</f>
        <v>0</v>
      </c>
      <c r="BH93" s="535">
        <f t="shared" si="196"/>
        <v>0</v>
      </c>
      <c r="BI93" s="535">
        <f>IF(Sheet1!EP91="OTHER",BM93,0)</f>
        <v>0</v>
      </c>
      <c r="BJ93" s="535">
        <f t="shared" si="197"/>
        <v>0</v>
      </c>
      <c r="BK93" s="535">
        <f t="shared" si="198"/>
        <v>1.01</v>
      </c>
      <c r="BL93" s="535">
        <f t="shared" si="199"/>
        <v>1.0028621908127209</v>
      </c>
      <c r="BM93" s="535">
        <f>IF(OR(Sheet1!EP91="FM", Sheet1!EP91="OTHER"),SUM(Sheet1!BG91:'Sheet1'!BI91),0)</f>
        <v>0</v>
      </c>
      <c r="BN93" s="521">
        <f>IF(AND($B93&gt;=$FV93,$B93&lt;=$FW93),MAX(BF93,Sheet1!EI91,0),MAX(BF93-(7/36)*$K93,0))</f>
        <v>0</v>
      </c>
      <c r="BO93" s="535">
        <f t="shared" si="200"/>
        <v>11.566026698076168</v>
      </c>
      <c r="BP93" s="521">
        <f t="shared" si="201"/>
        <v>1.0028621908127209</v>
      </c>
      <c r="BQ93" s="521">
        <f>IF(AND($O93&gt;0,Sheet1!EM91=1),(1-($O93-Sheet1!$L91)/$O93)*BL93,0)</f>
        <v>0</v>
      </c>
      <c r="BR93" s="521">
        <f>IF(AND(Sheet1!$L91=0,Sheet1!$L90=0, Calculation!BK93&lt;Sheet1!$EI91-0.1,Sheet1!$EI91=Sheet1!$EI90,Sheet1!$EI91=Sheet1!$EI92),BL93-BQ93,BL93-BQ93)</f>
        <v>1.0028621908127209</v>
      </c>
      <c r="BS93" s="1035" t="str">
        <f t="shared" si="290"/>
        <v/>
      </c>
      <c r="BT93" s="1035">
        <f t="shared" si="291"/>
        <v>12.568888888888889</v>
      </c>
      <c r="BU93" s="535">
        <f t="shared" si="202"/>
        <v>415.31318937462748</v>
      </c>
      <c r="BV93" s="535"/>
      <c r="BW93" s="535">
        <f ca="1">IF(B93&gt;Summary!$A$1,#N/A,BU93*MGtoAF)</f>
        <v>1274.1808650013572</v>
      </c>
      <c r="BX93" s="535">
        <f>Sheet1!BC91+Sheet1!BD91+Sheet1!BE91+Sheet1!BF91-CG93-CH93</f>
        <v>3</v>
      </c>
      <c r="BY93" s="535">
        <f t="shared" si="203"/>
        <v>2.9787985865724385</v>
      </c>
      <c r="BZ93" s="535">
        <f>IF(Sheet1!EQ91="FM",CH93,0)</f>
        <v>0</v>
      </c>
      <c r="CA93" s="535">
        <f t="shared" si="204"/>
        <v>0</v>
      </c>
      <c r="CB93" s="535">
        <f>IF(Sheet1!EQ91="OTHER",CH93,0)</f>
        <v>0</v>
      </c>
      <c r="CC93" s="535">
        <f t="shared" si="205"/>
        <v>0</v>
      </c>
      <c r="CD93" s="535">
        <f t="shared" si="206"/>
        <v>0</v>
      </c>
      <c r="CE93" s="535">
        <f t="shared" si="207"/>
        <v>3</v>
      </c>
      <c r="CF93" s="535">
        <f t="shared" si="208"/>
        <v>2.9787985865724385</v>
      </c>
      <c r="CG93" s="535">
        <f>IF(Sheet1!EQ91="CWA",SUM(Sheet1!BC91:'Sheet1'!BF91),0)</f>
        <v>0</v>
      </c>
      <c r="CH93" s="535">
        <f>IF(OR(Sheet1!EQ91="FM", Sheet1!EQ91="OTHER"),SUM(Sheet1!BC91:'Sheet1'!BF91),0)</f>
        <v>0</v>
      </c>
      <c r="CI93" s="521">
        <f>IF(AND($B93&gt;=$FV93,$B93&lt;=$FW93),MAX(CF93,Sheet1!EJ91,0),MAX(CF93-(7/36)*$K93,0))</f>
        <v>0</v>
      </c>
      <c r="CJ93" s="535">
        <f t="shared" si="209"/>
        <v>9.590090302316451</v>
      </c>
      <c r="CK93" s="521">
        <f t="shared" si="210"/>
        <v>2.9787985865724385</v>
      </c>
      <c r="CL93" s="521">
        <f>IF(AND($O93&gt;0,Sheet1!EN91=1),(1-($O93-Sheet1!$L91)/$O93)*CF93,0)</f>
        <v>0</v>
      </c>
      <c r="CM93" s="521">
        <f>IF(AND(Sheet1!$L91=0,Sheet1!$L90=0, Calculation!CE93&lt;Sheet1!EJ91-0.1,Sheet1!EJ91=Sheet1!EJ90,Sheet1!EJ91=Sheet1!EJ92),CF93-CL93,CF93-CL93)</f>
        <v>2.9787985865724385</v>
      </c>
      <c r="CN93" s="1040" t="str">
        <f t="shared" si="292"/>
        <v/>
      </c>
      <c r="CO93" s="1035">
        <f t="shared" si="293"/>
        <v>12.568888888888889</v>
      </c>
      <c r="CP93" s="535">
        <f t="shared" si="211"/>
        <v>339.88049896494903</v>
      </c>
      <c r="CQ93" s="535"/>
      <c r="CR93" s="535">
        <f ca="1">IF(B93&gt;Summary!$A$1,#N/A,CP93*MGtoAF)</f>
        <v>1042.7533708244637</v>
      </c>
      <c r="CS93" s="535">
        <f>Sheet1!BK91+Sheet1!BL91+Sheet1!BM91-Sheet1!ER91-DA93</f>
        <v>6.49</v>
      </c>
      <c r="CT93" s="535">
        <f t="shared" si="212"/>
        <v>6.4441342756183753</v>
      </c>
      <c r="CU93" s="535">
        <f>IF(Sheet1!ER91="FM",DA93,0)</f>
        <v>0</v>
      </c>
      <c r="CV93" s="535">
        <f t="shared" si="213"/>
        <v>0</v>
      </c>
      <c r="CW93" s="535">
        <f>IF(Sheet1!ER91="OTHER",DA93,0)</f>
        <v>0</v>
      </c>
      <c r="CX93" s="535">
        <f t="shared" si="214"/>
        <v>0</v>
      </c>
      <c r="CY93" s="535">
        <f t="shared" si="215"/>
        <v>6.49</v>
      </c>
      <c r="CZ93" s="535">
        <f t="shared" si="216"/>
        <v>6.4441342756183753</v>
      </c>
      <c r="DA93" s="535">
        <f>IF(OR(Sheet1!ER91="FM", Sheet1!ER91="OTHER"),SUM(Sheet1!BK91:'Sheet1'!BM91),0)</f>
        <v>0</v>
      </c>
      <c r="DB93" s="1011">
        <f>IF(AND($B93&gt;=$FV93,$B93&lt;=$FW93),MAX($CT93,Sheet1!EK91,0),MAX($CT93-(7/36)*$K93,0))</f>
        <v>0</v>
      </c>
      <c r="DC93" s="1012">
        <f t="shared" si="217"/>
        <v>6.1247546132705137</v>
      </c>
      <c r="DD93" s="1011">
        <f t="shared" si="218"/>
        <v>6.4441342756183753</v>
      </c>
      <c r="DE93" s="521">
        <f>IF(AND($O93&gt;0,Sheet1!EO91=1),(1-($O93-Sheet1!$L91)/$O93)*CZ93,0)</f>
        <v>0</v>
      </c>
      <c r="DF93" s="521">
        <f>IF(AND(Sheet1!$L91=0,Sheet1!$L90=0, Calculation!CY93&lt;Sheet1!$EK91-0.1,Sheet1!$EK91=Sheet1!$EK90,Sheet1!$EK91=Sheet1!$EK92),CZ93-DE93,CZ93-DE93)</f>
        <v>6.4441342756183753</v>
      </c>
      <c r="DG93" s="1040">
        <f t="shared" si="294"/>
        <v>12.568888888888889</v>
      </c>
      <c r="DH93" s="649">
        <f t="shared" si="219"/>
        <v>10.5</v>
      </c>
      <c r="DI93" s="535">
        <f t="shared" si="220"/>
        <v>217.99487259600338</v>
      </c>
      <c r="DJ93" s="649">
        <f t="shared" si="221"/>
        <v>10.425795053003535</v>
      </c>
      <c r="DK93" s="535">
        <f ca="1">IF(B93&gt;Summary!$A$1,#N/A,DI93*MGtoAF)</f>
        <v>668.80826912453836</v>
      </c>
      <c r="DL93" s="649">
        <f t="shared" si="222"/>
        <v>10.5</v>
      </c>
      <c r="DM93" s="535">
        <f t="shared" si="223"/>
        <v>28.3</v>
      </c>
      <c r="DN93" s="535">
        <f>Sheet1!AB91-DM93</f>
        <v>-0.19999999999999929</v>
      </c>
      <c r="DO93" s="743">
        <f t="shared" si="224"/>
        <v>-7.0671378091872539E-3</v>
      </c>
      <c r="DP93" s="535">
        <f>(VLOOKUP(Sheet1!DC91,hhdcap_wcm,4)-(((VLOOKUP(Sheet1!DC91,hhdcap_wcm,3)-Sheet1!DC91)/(VLOOKUP(Sheet1!DC91,hhdcap_wcm,3)-VLOOKUP(Sheet1!DC91,hhdcap_wcm,1)))*(VLOOKUP(Sheet1!DC91,hhdcap_wcm,4)-VLOOKUP(Sheet1!DC91,hhdcap_wcm,2))))</f>
        <v>14475.400000034879</v>
      </c>
      <c r="DQ93" s="535">
        <f t="shared" si="225"/>
        <v>650.40000000190958</v>
      </c>
      <c r="DR93" s="535">
        <f t="shared" si="226"/>
        <v>327.98789712653024</v>
      </c>
      <c r="DS93" s="535">
        <f>Sheet1!EA91*AFtoMG</f>
        <v>0</v>
      </c>
      <c r="DT93" s="535">
        <f>Sheet1!EB91*AFtoMG</f>
        <v>0</v>
      </c>
      <c r="DU93" s="535">
        <f>Sheet1!EC91*AFtoMG</f>
        <v>0</v>
      </c>
      <c r="DV93" s="535">
        <f>Sheet1!ED91*AFtoMG</f>
        <v>0</v>
      </c>
      <c r="DW93" s="535">
        <f t="shared" si="227"/>
        <v>0</v>
      </c>
      <c r="DX93" s="535">
        <f t="shared" si="228"/>
        <v>0</v>
      </c>
      <c r="DY93" s="535">
        <f t="shared" si="229"/>
        <v>1942.7885609355792</v>
      </c>
      <c r="DZ93" s="535">
        <f t="shared" si="230"/>
        <v>5960.475304950357</v>
      </c>
      <c r="EA93" s="535"/>
      <c r="EB93" s="521">
        <f>IF(OR(B93&lt;FV93,B93&gt;FW93),(MIN(BF93+BY93+CT93+MAX(Sheet1!AA91+AQ93-73,0),K93)),0)</f>
        <v>10.425795053003535</v>
      </c>
      <c r="EC93" s="535"/>
      <c r="ED93" s="535">
        <f t="shared" si="231"/>
        <v>10.425795053003535</v>
      </c>
      <c r="EE93" s="535"/>
      <c r="EF93" s="535">
        <f>Sheet1!EH91+Sheet1!EI91+Sheet1!EJ91+Sheet1!EK91</f>
        <v>10.5</v>
      </c>
      <c r="EG93" s="1019">
        <f t="shared" si="295"/>
        <v>16.243500000000001</v>
      </c>
      <c r="EH93" s="521">
        <f t="shared" si="232"/>
        <v>0</v>
      </c>
      <c r="EI93" s="535">
        <f>IF(Sheet1!ET91=1,SUM('Calculations II'!AT93:BA93)+'Calculations II'!BC93+Sheet1!BV91+'Calculations II'!BE93+AP93,'Calculations II'!BK93)</f>
        <v>47.309874946996466</v>
      </c>
      <c r="EJ93" s="535">
        <f ca="1">EI93+'Calculations II'!D93+'Calculations II'!E93+'Calculations II'!O93</f>
        <v>44.315855766992151</v>
      </c>
      <c r="EK93" s="535"/>
      <c r="EL93" s="535"/>
      <c r="EM93" s="535">
        <f t="shared" si="233"/>
        <v>42817</v>
      </c>
      <c r="EN93" s="535">
        <f t="shared" si="234"/>
        <v>54.214204946996468</v>
      </c>
      <c r="EO93" s="535">
        <f t="shared" si="235"/>
        <v>83.869375053003537</v>
      </c>
      <c r="EP93" s="535">
        <v>0</v>
      </c>
      <c r="EQ93" s="535">
        <v>0</v>
      </c>
      <c r="ER93" s="535">
        <v>0</v>
      </c>
      <c r="ES93" s="521">
        <f t="shared" si="257"/>
        <v>2.0763617653494331</v>
      </c>
      <c r="ET93" s="535">
        <f>-(VLOOKUP(Sheet1!BQ91,Lookup!$O$4:$Q$262,2)-VLOOKUP(Sheet1!BQ90,Lookup!$O$4:$Q$262,2))/1000000</f>
        <v>1.1072374678430446</v>
      </c>
      <c r="EU93" s="535">
        <f>-(VLOOKUP(Sheet1!BR91,Lookup!$O$4:$Q$262,3)-VLOOKUP(Sheet1!BR90,Lookup!$O$4:$Q$262,3))/1000000</f>
        <v>0.96912429750638829</v>
      </c>
      <c r="EV93" s="535"/>
      <c r="EW93" s="535"/>
      <c r="EX93" s="535"/>
      <c r="EY93" s="535"/>
      <c r="EZ93" s="535"/>
      <c r="FA93" s="535"/>
      <c r="FB93" s="535"/>
      <c r="FC93" s="535"/>
      <c r="FD93" s="567" t="e">
        <f t="shared" si="236"/>
        <v>#N/A</v>
      </c>
      <c r="FE93" s="567" t="e">
        <f t="shared" si="237"/>
        <v>#N/A</v>
      </c>
      <c r="FF93" s="568" t="e">
        <f t="shared" si="238"/>
        <v>#N/A</v>
      </c>
      <c r="FG93" s="569" t="s">
        <v>656</v>
      </c>
      <c r="FH93" s="569" t="s">
        <v>656</v>
      </c>
      <c r="FI93" s="567" t="e">
        <v>#N/A</v>
      </c>
      <c r="FJ93" s="567" t="e">
        <v>#N/A</v>
      </c>
      <c r="FK93" s="535"/>
      <c r="FL93" s="1015">
        <v>0</v>
      </c>
      <c r="FM93" s="535"/>
      <c r="FN93" s="535"/>
      <c r="FO93" s="535">
        <f>O93+((Sheet1!CS91)*GPMtoMGD)</f>
        <v>53.900000000000006</v>
      </c>
      <c r="FP93" s="535">
        <f>IF(Sheet1!AA91+AQ93&lt;=Calculation!N93,AQ93,Calculation!N93-Sheet1!AA91)</f>
        <v>17.674204946996468</v>
      </c>
      <c r="FQ93" s="535">
        <f>(Sheet1!BP91+Sheet1!BO91)/694.4</f>
        <v>1.3649193548387097</v>
      </c>
      <c r="FR93" s="541"/>
      <c r="FS93" s="541"/>
      <c r="FT93" s="541"/>
      <c r="FU93" s="541"/>
      <c r="FV93" s="1109">
        <f t="shared" si="258"/>
        <v>42918</v>
      </c>
      <c r="FW93" s="1109">
        <f t="shared" si="259"/>
        <v>43027</v>
      </c>
      <c r="FX93" s="541"/>
      <c r="FY93" s="541">
        <f>Sheet1!DA91-Sheet1!CZ91-Sheet1!AE91</f>
        <v>995.33540000000335</v>
      </c>
      <c r="FZ93" s="535">
        <f t="shared" si="296"/>
        <v>0.52719373970292849</v>
      </c>
      <c r="GA93" s="535"/>
      <c r="GB93" s="535" t="str">
        <f t="shared" si="260"/>
        <v>n</v>
      </c>
      <c r="GC93" s="539">
        <f t="shared" si="261"/>
        <v>42782</v>
      </c>
      <c r="GD93" s="1109">
        <f t="shared" si="262"/>
        <v>42904</v>
      </c>
      <c r="GE93" s="535">
        <f t="shared" si="280"/>
        <v>6520</v>
      </c>
      <c r="GF93" s="1109">
        <f t="shared" si="263"/>
        <v>42909</v>
      </c>
      <c r="GG93" s="535">
        <f t="shared" si="308"/>
        <v>3260</v>
      </c>
      <c r="GH93" s="539">
        <f t="shared" si="264"/>
        <v>43040</v>
      </c>
      <c r="GJ93" s="521">
        <f t="shared" si="265"/>
        <v>0</v>
      </c>
      <c r="GK93" s="535" t="str">
        <f t="shared" si="239"/>
        <v/>
      </c>
      <c r="GL93" s="535">
        <f t="shared" si="266"/>
        <v>0</v>
      </c>
      <c r="GM93" s="535" t="str">
        <f t="shared" si="267"/>
        <v/>
      </c>
      <c r="GN93" s="535">
        <f>IF(GK93="P",Lookup!$M$12,IF(GK93="PP",Lookup!$M$13,IF(GK93="PPP",Lookup!$M$14,IF(GK93="T",Lookup!$M$15,IF(GK93="TP",Lookup!$M$16,IF(GK93="TPP",Lookup!$M$17,IF(GK93="TPPP",Lookup!$M$18,0)))))))*GJ93</f>
        <v>0</v>
      </c>
      <c r="GO93" s="535">
        <f t="shared" si="268"/>
        <v>0</v>
      </c>
      <c r="GP93" s="535">
        <f t="shared" si="240"/>
        <v>2974.7327999999975</v>
      </c>
      <c r="GQ93" s="535">
        <f t="shared" si="279"/>
        <v>969.59999999999911</v>
      </c>
      <c r="GR93" s="535"/>
      <c r="GS93" s="535">
        <f t="shared" si="269"/>
        <v>0</v>
      </c>
      <c r="GT93" s="535" t="str">
        <f t="shared" si="270"/>
        <v/>
      </c>
      <c r="GU93" s="535">
        <f>IF(GK93="P",Lookup!$N$12,IF(GK93="PP",Lookup!$N$13,IF(GK93="PPP",Lookup!$N$14,IF(GK93="T",Lookup!$N$15,IF(GK93="TP",Lookup!$N$16,IF(GK93="TPP",Lookup!$N$17,IF(GK93="TPPP",Lookup!$N$18,0)))))))*GJ93</f>
        <v>0</v>
      </c>
      <c r="GV93" s="535">
        <f t="shared" si="271"/>
        <v>0</v>
      </c>
      <c r="GW93" s="535">
        <f t="shared" si="241"/>
        <v>1274.1808650013572</v>
      </c>
      <c r="GX93" s="535">
        <f t="shared" si="276"/>
        <v>415.31318937462748</v>
      </c>
      <c r="GY93" s="535"/>
      <c r="GZ93" s="535">
        <f t="shared" si="272"/>
        <v>0</v>
      </c>
      <c r="HA93" s="535" t="str">
        <f t="shared" si="273"/>
        <v/>
      </c>
      <c r="HB93" s="535">
        <f>IF(GK93="P",Lookup!$N$12,IF(GK93="PP",Lookup!$N$13,IF(GK93="PPP",Lookup!$N$14,IF(GK93="T",Lookup!$N$15,IF(GK93="TP",Lookup!$N$16,IF(GK93="TPP",Lookup!$N$17,IF(GK93="TPPP",Lookup!$N$18,0)))))))*GJ93</f>
        <v>0</v>
      </c>
      <c r="HC93" s="521">
        <f t="shared" si="242"/>
        <v>0</v>
      </c>
      <c r="HD93" s="535">
        <f t="shared" si="243"/>
        <v>1042.7533708244637</v>
      </c>
      <c r="HE93" s="535">
        <f t="shared" si="277"/>
        <v>339.88049896494903</v>
      </c>
      <c r="HF93" s="535"/>
      <c r="HG93" s="535">
        <f t="shared" si="274"/>
        <v>0</v>
      </c>
      <c r="HH93" s="535" t="str">
        <f t="shared" si="275"/>
        <v/>
      </c>
      <c r="HI93" s="535">
        <f>IF(GK93="P",Lookup!$N$12,IF(GK93="PP",Lookup!$N$13,IF(GK93="PPP",Lookup!$N$14,IF(GK93="T",Lookup!$N$15,IF(GK93="TP",Lookup!$N$16,IF(GK93="TPP",Lookup!$N$17,IF(GK93="TPPP",Lookup!$N$18,0)))))))*GJ93</f>
        <v>0</v>
      </c>
      <c r="HJ93" s="521">
        <f t="shared" si="244"/>
        <v>0</v>
      </c>
      <c r="HK93" s="535">
        <f t="shared" si="245"/>
        <v>668.80826912453836</v>
      </c>
      <c r="HL93" s="535">
        <f t="shared" si="278"/>
        <v>217.99487259600338</v>
      </c>
      <c r="HM93" s="535"/>
      <c r="HN93" s="541"/>
      <c r="HO93" s="541"/>
      <c r="HP93" s="541"/>
      <c r="HQ93" s="541">
        <f>IF(AND(B93&gt;=$FV$4,B93&lt;=$FW$4),MAX(110/1.02+$HQ$6+MIN(113/1.02,G93),IF($HV$6-(Sheet1!DA91-Sheet1!DB91)+MIN(113/1.02,G93)&lt;G93+FL93,$HV$6-(Sheet1!DA91-Sheet1!DB91)+MIN(113/1.02,G93),G93+FL93)),MIN(110/1.02+$HQ$6+113/1.02,G93))</f>
        <v>218.62745098039215</v>
      </c>
      <c r="HR93" s="541">
        <f t="shared" si="297"/>
        <v>223</v>
      </c>
      <c r="HS93" s="541">
        <f>HR93+(Sheet1!DA91-Sheet1!DB91)</f>
        <v>1393</v>
      </c>
      <c r="HT93" s="541">
        <f t="shared" si="298"/>
        <v>67.139800000000008</v>
      </c>
      <c r="HU93" s="541">
        <f t="shared" si="299"/>
        <v>1325.8602000000001</v>
      </c>
      <c r="HV93" s="541">
        <f t="shared" si="300"/>
        <v>0</v>
      </c>
      <c r="HW93" s="533" t="str">
        <f t="shared" si="301"/>
        <v/>
      </c>
      <c r="HX93" s="541">
        <f t="shared" si="302"/>
        <v>1341.372549019608</v>
      </c>
      <c r="HY93" s="541">
        <f>Sheet1!CZ91</f>
        <v>1560</v>
      </c>
      <c r="HZ93" s="541">
        <f t="shared" si="303"/>
        <v>0</v>
      </c>
      <c r="IA93" s="541">
        <f t="shared" si="304"/>
        <v>67.139800000000008</v>
      </c>
      <c r="IB93" s="541">
        <f t="shared" si="305"/>
        <v>1560</v>
      </c>
      <c r="IC93" s="1019" t="str">
        <f t="shared" si="306"/>
        <v/>
      </c>
      <c r="ID93" s="541">
        <f t="shared" si="307"/>
        <v>1492.8602000000001</v>
      </c>
      <c r="IE93" s="541">
        <f>Sheet1!DB91</f>
        <v>1450</v>
      </c>
      <c r="IF93" s="533">
        <f>Sheet1!DA91</f>
        <v>2620</v>
      </c>
      <c r="IH93" s="541">
        <f>IF(AND($B93&gt;=$GC93,$B93&lt;=$GH93,$DR93&lt;0)+N("only adjusted when pool is drawn down during storage season"),Sheet1!$DB91+$DR93+N("Palmer minus all storage release"),Sheet1!$DB91)</f>
        <v>1450</v>
      </c>
      <c r="II93" s="541">
        <f>IF(AND($B93&gt;=$GC93,$B93&lt;=$GH93,$DR93&lt;0)+N("only adjusted when pool is drawn down during storage season"),Sheet1!$DA91+$DR93+N("Auburn minus all storage release"),Sheet1!$DA91)</f>
        <v>2620</v>
      </c>
    </row>
    <row r="94" spans="1:243" x14ac:dyDescent="0.25">
      <c r="A94" s="553" t="s">
        <v>8</v>
      </c>
      <c r="B94" s="531">
        <v>42818</v>
      </c>
      <c r="C94" s="536">
        <v>0</v>
      </c>
      <c r="D94" s="506">
        <f t="shared" si="247"/>
        <v>300</v>
      </c>
      <c r="E94" s="506">
        <f t="shared" si="248"/>
        <v>250</v>
      </c>
      <c r="F94" s="506">
        <v>250</v>
      </c>
      <c r="G94" s="535">
        <f>DR94+Sheet1!CZ92</f>
        <v>2356.3086232991436</v>
      </c>
      <c r="H94" s="1074">
        <f t="shared" si="281"/>
        <v>1006.00692864</v>
      </c>
      <c r="I94" s="534">
        <f>IF(Sheet1!DA92&gt;=E94,(Sheet1!DA92-E94+P94)*CFStoMGD,0)</f>
        <v>1820.47092864</v>
      </c>
      <c r="J94" s="995">
        <f>IF(Sheet1!DB92&gt;=D94,(Sheet1!DB92-D94+P94)*CFStoMGD,0)</f>
        <v>1006.00692864</v>
      </c>
      <c r="K94" s="818">
        <f t="shared" si="282"/>
        <v>64.64</v>
      </c>
      <c r="L94" s="535">
        <f>Sheet1!AA92+Sheet1!AB92-Sheet1!L92+(Sheet1!DA92-F94)*CFStoMGD-S94-T94-U94</f>
        <v>1755.8319999999999</v>
      </c>
      <c r="M94" s="535">
        <f t="shared" si="185"/>
        <v>1553.5802519825779</v>
      </c>
      <c r="N94" s="824">
        <f>IF(Sheet1!DA92&gt;=F94,MIN(113*CFStoMGD,MIN(MAX(L94,0),MAX(M94,0))),0)</f>
        <v>73.043199999999999</v>
      </c>
      <c r="O94" s="538">
        <f>Sheet1!AA92+Sheet1!AB92</f>
        <v>55.8</v>
      </c>
      <c r="P94" s="538">
        <f t="shared" si="186"/>
        <v>86.322599999999994</v>
      </c>
      <c r="Q94" s="812">
        <f t="shared" si="283"/>
        <v>44.839999999999996</v>
      </c>
      <c r="R94" s="812">
        <f t="shared" si="249"/>
        <v>10.912601463739188</v>
      </c>
      <c r="S94" s="812">
        <f t="shared" si="250"/>
        <v>10.959999999999999</v>
      </c>
      <c r="T94" s="812">
        <f t="shared" si="251"/>
        <v>53.68</v>
      </c>
      <c r="U94" s="812">
        <f t="shared" si="284"/>
        <v>0</v>
      </c>
      <c r="V94" s="812"/>
      <c r="W94" s="812">
        <f t="shared" si="252"/>
        <v>53.727398536260814</v>
      </c>
      <c r="X94" s="812">
        <f t="shared" si="253"/>
        <v>64.64</v>
      </c>
      <c r="Y94" s="812" t="str">
        <f t="shared" si="254"/>
        <v>FALSE</v>
      </c>
      <c r="Z94" s="812">
        <f t="shared" si="255"/>
        <v>55.8</v>
      </c>
      <c r="AA94" s="812">
        <f t="shared" si="256"/>
        <v>55.8</v>
      </c>
      <c r="AB94" s="1059">
        <f t="shared" si="285"/>
        <v>69.367479999999986</v>
      </c>
      <c r="AC94" s="538">
        <f>Sheet1!Y92*MGDtoCFS</f>
        <v>39.912599999999998</v>
      </c>
      <c r="AD94" s="538">
        <f>Sheet1!Z92*MGDtoCFS</f>
        <v>43.470700000000001</v>
      </c>
      <c r="AE94" s="538">
        <f>Sheet1!AA92*MGDtoCFS</f>
        <v>40.020890000000001</v>
      </c>
      <c r="AF94" s="538">
        <f>Sheet1!AB92*MGDtoCFS</f>
        <v>46.30171</v>
      </c>
      <c r="AG94" s="538">
        <f>Sheet1!L92*MGDtoCFS</f>
        <v>0</v>
      </c>
      <c r="AH94" s="521">
        <f t="shared" si="187"/>
        <v>0</v>
      </c>
      <c r="AI94" s="1059">
        <f t="shared" si="188"/>
        <v>0</v>
      </c>
      <c r="AJ94" s="535">
        <f t="shared" si="189"/>
        <v>53.727398536260814</v>
      </c>
      <c r="AK94" s="535">
        <f t="shared" si="190"/>
        <v>83.11628553559548</v>
      </c>
      <c r="AL94" s="535">
        <f>(VLOOKUP(Sheet1!DC92,hhdcap_wcm,4)-(((VLOOKUP(Sheet1!DC92,hhdcap_wcm,3)-Sheet1!DC92)/(VLOOKUP(Sheet1!DC92,hhdcap_wcm,3)-VLOOKUP(Sheet1!DC92,hhdcap_wcm,1)))*(VLOOKUP(Sheet1!DC92,hhdcap_wcm,4)-VLOOKUP(Sheet1!DC92,hhdcap_wcm,2))))</f>
        <v>15340.60000003708</v>
      </c>
      <c r="AM94" s="535">
        <f t="shared" si="191"/>
        <v>865.2000000022017</v>
      </c>
      <c r="AN94" s="1035">
        <f t="shared" si="192"/>
        <v>1996.5159594718398</v>
      </c>
      <c r="AO94" s="535">
        <f t="shared" si="193"/>
        <v>6125.3109636596046</v>
      </c>
      <c r="AP94" s="535">
        <f>Sheet1!BA92+Sheet1!BB92+Sheet1!BN92+CD94</f>
        <v>19.100000000000001</v>
      </c>
      <c r="AQ94" s="535">
        <f>Sheet1!BN92+(DO94*Sheet1!BN92)</f>
        <v>19.01739853626081</v>
      </c>
      <c r="AR94" s="535">
        <f>Sheet1!BA92+CD94</f>
        <v>0</v>
      </c>
      <c r="AS94" s="535">
        <f>Sheet1!BA92+Sheet1!BB92+CD94</f>
        <v>0</v>
      </c>
      <c r="AT94" s="649">
        <f>0</f>
        <v>0</v>
      </c>
      <c r="AU94" s="535">
        <f>IF(EB94&lt;K94,0,MAX(Sheet1!AA92+AQ94-15/36*K94-N94,Sheet1!EH92,0))</f>
        <v>0</v>
      </c>
      <c r="AV94" s="535">
        <f>IF(OR(B94&gt;=GD94,B94&lt;GC94),0,15/36*K94-MAX(0,64.6-(137.6-(Sheet1!AA92+Sheet1!AB92))))</f>
        <v>26.933333333333334</v>
      </c>
      <c r="AW94" s="1029"/>
      <c r="AX94" s="649"/>
      <c r="AY94" s="649">
        <f t="shared" si="286"/>
        <v>0</v>
      </c>
      <c r="AZ94" s="649">
        <f t="shared" si="287"/>
        <v>0</v>
      </c>
      <c r="BA94" s="1059">
        <f t="shared" si="288"/>
        <v>0</v>
      </c>
      <c r="BB94" s="1019">
        <f t="shared" si="194"/>
        <v>996.53333333333239</v>
      </c>
      <c r="BC94" s="1041">
        <f t="shared" si="289"/>
        <v>26.933333333333334</v>
      </c>
      <c r="BD94" s="1019">
        <f ca="1">IF(B94&gt;Summary!$A$1,#N/A,BB94*MGtoAF)</f>
        <v>3057.3642666666638</v>
      </c>
      <c r="BE94" s="535">
        <f>Sheet1!BG92+Sheet1!BH92+Sheet1!BI92-BM94</f>
        <v>1.02</v>
      </c>
      <c r="BF94" s="535">
        <f t="shared" si="195"/>
        <v>1.0155888223552894</v>
      </c>
      <c r="BG94" s="535">
        <f>IF(Sheet1!EP92="FM",BM94,0)</f>
        <v>0</v>
      </c>
      <c r="BH94" s="535">
        <f t="shared" si="196"/>
        <v>0</v>
      </c>
      <c r="BI94" s="535">
        <f>IF(Sheet1!EP92="OTHER",BM94,0)</f>
        <v>0</v>
      </c>
      <c r="BJ94" s="535">
        <f t="shared" si="197"/>
        <v>0</v>
      </c>
      <c r="BK94" s="535">
        <f t="shared" si="198"/>
        <v>1.02</v>
      </c>
      <c r="BL94" s="535">
        <f t="shared" si="199"/>
        <v>1.0155888223552894</v>
      </c>
      <c r="BM94" s="535">
        <f>IF(OR(Sheet1!EP92="FM", Sheet1!EP92="OTHER"),SUM(Sheet1!BG92:'Sheet1'!BI92),0)</f>
        <v>0</v>
      </c>
      <c r="BN94" s="521">
        <f>IF(AND($B94&gt;=$FV94,$B94&lt;=$FW94),MAX(BF94,Sheet1!EI92,0),MAX(BF94-(7/36)*$K94,0))</f>
        <v>0</v>
      </c>
      <c r="BO94" s="535">
        <f t="shared" si="200"/>
        <v>11.5533000665336</v>
      </c>
      <c r="BP94" s="521">
        <f t="shared" si="201"/>
        <v>1.0155888223552894</v>
      </c>
      <c r="BQ94" s="521">
        <f>IF(AND($O94&gt;0,Sheet1!EM92=1),(1-($O94-Sheet1!$L92)/$O94)*BL94,0)</f>
        <v>0</v>
      </c>
      <c r="BR94" s="521">
        <f>IF(AND(Sheet1!$L92=0,Sheet1!$L91=0, Calculation!BK94&lt;Sheet1!$EI92-0.1,Sheet1!$EI92=Sheet1!$EI91,Sheet1!$EI92=Sheet1!$EI93),BL94-BQ94,BL94-BQ94)</f>
        <v>1.0155888223552894</v>
      </c>
      <c r="BS94" s="1035" t="str">
        <f t="shared" si="290"/>
        <v/>
      </c>
      <c r="BT94" s="1035">
        <f t="shared" si="291"/>
        <v>12.568888888888889</v>
      </c>
      <c r="BU94" s="535">
        <f t="shared" si="202"/>
        <v>426.86648944116109</v>
      </c>
      <c r="BV94" s="535"/>
      <c r="BW94" s="535">
        <f ca="1">IF(B94&gt;Summary!$A$1,#N/A,BU94*MGtoAF)</f>
        <v>1309.6263896054822</v>
      </c>
      <c r="BX94" s="535">
        <f>Sheet1!BC92+Sheet1!BD92+Sheet1!BE92+Sheet1!BF92-CG94-CH94</f>
        <v>3.2399999999999998</v>
      </c>
      <c r="BY94" s="535">
        <f t="shared" si="203"/>
        <v>3.2259880239520955</v>
      </c>
      <c r="BZ94" s="535">
        <f>IF(Sheet1!EQ92="FM",CH94,0)</f>
        <v>0</v>
      </c>
      <c r="CA94" s="535">
        <f t="shared" si="204"/>
        <v>0</v>
      </c>
      <c r="CB94" s="535">
        <f>IF(Sheet1!EQ92="OTHER",CH94,0)</f>
        <v>0</v>
      </c>
      <c r="CC94" s="535">
        <f t="shared" si="205"/>
        <v>0</v>
      </c>
      <c r="CD94" s="535">
        <f t="shared" si="206"/>
        <v>0</v>
      </c>
      <c r="CE94" s="535">
        <f t="shared" si="207"/>
        <v>3.2399999999999998</v>
      </c>
      <c r="CF94" s="535">
        <f t="shared" si="208"/>
        <v>3.2259880239520955</v>
      </c>
      <c r="CG94" s="535">
        <f>IF(Sheet1!EQ92="CWA",SUM(Sheet1!BC92:'Sheet1'!BF92),0)</f>
        <v>0</v>
      </c>
      <c r="CH94" s="535">
        <f>IF(OR(Sheet1!EQ92="FM", Sheet1!EQ92="OTHER"),SUM(Sheet1!BC92:'Sheet1'!BF92),0)</f>
        <v>0</v>
      </c>
      <c r="CI94" s="521">
        <f>IF(AND($B94&gt;=$FV94,$B94&lt;=$FW94),MAX(CF94,Sheet1!EJ92,0),MAX(CF94-(7/36)*$K94,0))</f>
        <v>0</v>
      </c>
      <c r="CJ94" s="535">
        <f t="shared" si="209"/>
        <v>9.3429008649367944</v>
      </c>
      <c r="CK94" s="521">
        <f t="shared" si="210"/>
        <v>3.2259880239520955</v>
      </c>
      <c r="CL94" s="521">
        <f>IF(AND($O94&gt;0,Sheet1!EN92=1),(1-($O94-Sheet1!$L92)/$O94)*CF94,0)</f>
        <v>0</v>
      </c>
      <c r="CM94" s="521">
        <f>IF(AND(Sheet1!$L92=0,Sheet1!$L91=0, Calculation!CE94&lt;Sheet1!EJ92-0.1,Sheet1!EJ92=Sheet1!EJ91,Sheet1!EJ92=Sheet1!EJ93),CF94-CL94,CF94-CL94)</f>
        <v>3.2259880239520955</v>
      </c>
      <c r="CN94" s="1040" t="str">
        <f t="shared" si="292"/>
        <v/>
      </c>
      <c r="CO94" s="1035">
        <f t="shared" si="293"/>
        <v>12.568888888888889</v>
      </c>
      <c r="CP94" s="535">
        <f t="shared" si="211"/>
        <v>349.22339982988581</v>
      </c>
      <c r="CQ94" s="535"/>
      <c r="CR94" s="535">
        <f ca="1">IF(B94&gt;Summary!$A$1,#N/A,CP94*MGtoAF)</f>
        <v>1071.4173906780898</v>
      </c>
      <c r="CS94" s="535">
        <f>Sheet1!BK92+Sheet1!BL92+Sheet1!BM92-Sheet1!ER92-DA94</f>
        <v>6.7</v>
      </c>
      <c r="CT94" s="535">
        <f t="shared" si="212"/>
        <v>6.6710246174318026</v>
      </c>
      <c r="CU94" s="535">
        <f>IF(Sheet1!ER92="FM",DA94,0)</f>
        <v>0</v>
      </c>
      <c r="CV94" s="535">
        <f t="shared" si="213"/>
        <v>0</v>
      </c>
      <c r="CW94" s="535">
        <f>IF(Sheet1!ER92="OTHER",DA94,0)</f>
        <v>0</v>
      </c>
      <c r="CX94" s="535">
        <f t="shared" si="214"/>
        <v>0</v>
      </c>
      <c r="CY94" s="535">
        <f t="shared" si="215"/>
        <v>6.7</v>
      </c>
      <c r="CZ94" s="535">
        <f t="shared" si="216"/>
        <v>6.6710246174318026</v>
      </c>
      <c r="DA94" s="535">
        <f>IF(OR(Sheet1!ER92="FM", Sheet1!ER92="OTHER"),SUM(Sheet1!BK92:'Sheet1'!BM92),0)</f>
        <v>0</v>
      </c>
      <c r="DB94" s="1011">
        <f>IF(AND($B94&gt;=$FV94,$B94&lt;=$FW94),MAX($CT94,Sheet1!EK92,0),MAX($CT94-(7/36)*$K94,0))</f>
        <v>0</v>
      </c>
      <c r="DC94" s="1012">
        <f t="shared" si="217"/>
        <v>5.8978642714570864</v>
      </c>
      <c r="DD94" s="1011">
        <f t="shared" si="218"/>
        <v>6.6710246174318026</v>
      </c>
      <c r="DE94" s="521">
        <f>IF(AND($O94&gt;0,Sheet1!EO92=1),(1-($O94-Sheet1!$L92)/$O94)*CZ94,0)</f>
        <v>0</v>
      </c>
      <c r="DF94" s="521">
        <f>IF(AND(Sheet1!$L92=0,Sheet1!$L91=0, Calculation!CY94&lt;Sheet1!$EK92-0.1,Sheet1!$EK92=Sheet1!$EK91,Sheet1!$EK92=Sheet1!$EK93),CZ94-DE94,CZ94-DE94)</f>
        <v>6.6710246174318026</v>
      </c>
      <c r="DG94" s="1040">
        <f t="shared" si="294"/>
        <v>12.568888888888889</v>
      </c>
      <c r="DH94" s="649">
        <f t="shared" si="219"/>
        <v>10.96</v>
      </c>
      <c r="DI94" s="535">
        <f t="shared" si="220"/>
        <v>223.89273686746046</v>
      </c>
      <c r="DJ94" s="649">
        <f t="shared" si="221"/>
        <v>10.912601463739188</v>
      </c>
      <c r="DK94" s="535">
        <f ca="1">IF(B94&gt;Summary!$A$1,#N/A,DI94*MGtoAF)</f>
        <v>686.9029167093687</v>
      </c>
      <c r="DL94" s="649">
        <f t="shared" si="222"/>
        <v>10.959999999999999</v>
      </c>
      <c r="DM94" s="535">
        <f t="shared" si="223"/>
        <v>30.060000000000002</v>
      </c>
      <c r="DN94" s="535">
        <f>Sheet1!AB92-DM94</f>
        <v>-0.13000000000000256</v>
      </c>
      <c r="DO94" s="743">
        <f t="shared" si="224"/>
        <v>-4.3246839654026131E-3</v>
      </c>
      <c r="DP94" s="535">
        <f>(VLOOKUP(Sheet1!DC92,hhdcap_wcm,4)-(((VLOOKUP(Sheet1!DC92,hhdcap_wcm,3)-Sheet1!DC92)/(VLOOKUP(Sheet1!DC92,hhdcap_wcm,3)-VLOOKUP(Sheet1!DC92,hhdcap_wcm,1)))*(VLOOKUP(Sheet1!DC92,hhdcap_wcm,4)-VLOOKUP(Sheet1!DC92,hhdcap_wcm,2))))</f>
        <v>15340.60000003708</v>
      </c>
      <c r="DQ94" s="535">
        <f t="shared" si="225"/>
        <v>865.2000000022017</v>
      </c>
      <c r="DR94" s="535">
        <f t="shared" si="226"/>
        <v>436.30862329914351</v>
      </c>
      <c r="DS94" s="535">
        <f>Sheet1!EA92*AFtoMG</f>
        <v>0</v>
      </c>
      <c r="DT94" s="535">
        <f>Sheet1!EB92*AFtoMG</f>
        <v>0</v>
      </c>
      <c r="DU94" s="535">
        <f>Sheet1!EC92*AFtoMG</f>
        <v>0</v>
      </c>
      <c r="DV94" s="535">
        <f>Sheet1!ED92*AFtoMG</f>
        <v>0</v>
      </c>
      <c r="DW94" s="535">
        <f t="shared" si="227"/>
        <v>0</v>
      </c>
      <c r="DX94" s="535">
        <f t="shared" si="228"/>
        <v>0</v>
      </c>
      <c r="DY94" s="535">
        <f t="shared" si="229"/>
        <v>1996.5159594718398</v>
      </c>
      <c r="DZ94" s="535">
        <f t="shared" si="230"/>
        <v>6125.3109636596046</v>
      </c>
      <c r="EA94" s="535"/>
      <c r="EB94" s="521">
        <f>IF(OR(B94&lt;FV94,B94&gt;FW94),(MIN(BF94+BY94+CT94+MAX(Sheet1!AA92+AQ94-73,0),K94)),0)</f>
        <v>10.912601463739188</v>
      </c>
      <c r="EC94" s="535"/>
      <c r="ED94" s="535">
        <f t="shared" si="231"/>
        <v>10.912601463739186</v>
      </c>
      <c r="EE94" s="535"/>
      <c r="EF94" s="535">
        <f>Sheet1!EH92+Sheet1!EI92+Sheet1!EJ92+Sheet1!EK92</f>
        <v>11</v>
      </c>
      <c r="EG94" s="1019">
        <f t="shared" si="295"/>
        <v>17.016999999999999</v>
      </c>
      <c r="EH94" s="521">
        <f t="shared" si="232"/>
        <v>0</v>
      </c>
      <c r="EI94" s="535">
        <f>IF(Sheet1!ET92=1,SUM('Calculations II'!AT94:BA94)+'Calculations II'!BC94+Sheet1!BV92+'Calculations II'!BE94+AP94,'Calculations II'!BK94)</f>
        <v>41.453260536260814</v>
      </c>
      <c r="EJ94" s="535">
        <f ca="1">EI94+'Calculations II'!D94+'Calculations II'!E94+'Calculations II'!O94</f>
        <v>43.929094764989379</v>
      </c>
      <c r="EK94" s="535"/>
      <c r="EL94" s="535"/>
      <c r="EM94" s="535">
        <f t="shared" si="233"/>
        <v>42818</v>
      </c>
      <c r="EN94" s="535">
        <f t="shared" si="234"/>
        <v>53.727398536260814</v>
      </c>
      <c r="EO94" s="535">
        <f t="shared" si="235"/>
        <v>83.11628553559548</v>
      </c>
      <c r="EP94" s="535">
        <v>0</v>
      </c>
      <c r="EQ94" s="535">
        <v>0</v>
      </c>
      <c r="ER94" s="535">
        <v>0</v>
      </c>
      <c r="ES94" s="521">
        <f t="shared" si="257"/>
        <v>-2.9071166274489202</v>
      </c>
      <c r="ET94" s="535">
        <f>-(VLOOKUP(Sheet1!BQ92,Lookup!$O$4:$Q$262,2)-VLOOKUP(Sheet1!BQ91,Lookup!$O$4:$Q$262,2))/1000000</f>
        <v>-1.5225572298408114</v>
      </c>
      <c r="EU94" s="535">
        <f>-(VLOOKUP(Sheet1!BR92,Lookup!$O$4:$Q$262,3)-VLOOKUP(Sheet1!BR91,Lookup!$O$4:$Q$262,3))/1000000</f>
        <v>-1.3845593976081088</v>
      </c>
      <c r="EV94" s="535"/>
      <c r="EW94" s="535"/>
      <c r="EX94" s="535"/>
      <c r="EY94" s="535"/>
      <c r="EZ94" s="535"/>
      <c r="FA94" s="535"/>
      <c r="FB94" s="535"/>
      <c r="FC94" s="535"/>
      <c r="FD94" s="567" t="e">
        <f t="shared" si="236"/>
        <v>#N/A</v>
      </c>
      <c r="FE94" s="567" t="e">
        <f t="shared" si="237"/>
        <v>#N/A</v>
      </c>
      <c r="FF94" s="568" t="e">
        <f t="shared" si="238"/>
        <v>#N/A</v>
      </c>
      <c r="FG94" s="569" t="s">
        <v>656</v>
      </c>
      <c r="FH94" s="569" t="s">
        <v>656</v>
      </c>
      <c r="FI94" s="567" t="e">
        <v>#N/A</v>
      </c>
      <c r="FJ94" s="567" t="e">
        <v>#N/A</v>
      </c>
      <c r="FK94" s="535"/>
      <c r="FL94" s="1015">
        <v>0</v>
      </c>
      <c r="FM94" s="535"/>
      <c r="FN94" s="535"/>
      <c r="FO94" s="535">
        <f>O94+((Sheet1!CS92)*GPMtoMGD)</f>
        <v>55.8</v>
      </c>
      <c r="FP94" s="535">
        <f>IF(Sheet1!AA92+AQ94&lt;=Calculation!N94,AQ94,Calculation!N94-Sheet1!AA92)</f>
        <v>19.01739853626081</v>
      </c>
      <c r="FQ94" s="535">
        <f>(Sheet1!BP92+Sheet1!BO92)/694.4</f>
        <v>1.4910714285714288</v>
      </c>
      <c r="FR94" s="541"/>
      <c r="FS94" s="541"/>
      <c r="FT94" s="541"/>
      <c r="FU94" s="541"/>
      <c r="FV94" s="1109">
        <f t="shared" si="258"/>
        <v>42918</v>
      </c>
      <c r="FW94" s="1109">
        <f t="shared" si="259"/>
        <v>43027</v>
      </c>
      <c r="FX94" s="541"/>
      <c r="FY94" s="541">
        <f>Sheet1!DA92-Sheet1!CZ92-Sheet1!AE92</f>
        <v>973.67740000000003</v>
      </c>
      <c r="FZ94" s="535">
        <f t="shared" si="296"/>
        <v>0.41322150688254194</v>
      </c>
      <c r="GA94" s="535"/>
      <c r="GB94" s="535" t="str">
        <f t="shared" si="260"/>
        <v>n</v>
      </c>
      <c r="GC94" s="539">
        <f t="shared" si="261"/>
        <v>42782</v>
      </c>
      <c r="GD94" s="1109">
        <f t="shared" si="262"/>
        <v>42904</v>
      </c>
      <c r="GE94" s="535">
        <f t="shared" si="280"/>
        <v>6520</v>
      </c>
      <c r="GF94" s="1109">
        <f t="shared" si="263"/>
        <v>42909</v>
      </c>
      <c r="GG94" s="535">
        <f t="shared" si="308"/>
        <v>3260</v>
      </c>
      <c r="GH94" s="539">
        <f t="shared" si="264"/>
        <v>43040</v>
      </c>
      <c r="GJ94" s="521">
        <f t="shared" si="265"/>
        <v>0</v>
      </c>
      <c r="GK94" s="535" t="str">
        <f t="shared" si="239"/>
        <v/>
      </c>
      <c r="GL94" s="535">
        <f t="shared" si="266"/>
        <v>0</v>
      </c>
      <c r="GM94" s="535" t="str">
        <f t="shared" si="267"/>
        <v/>
      </c>
      <c r="GN94" s="535">
        <f>IF(GK94="P",Lookup!$M$12,IF(GK94="PP",Lookup!$M$13,IF(GK94="PPP",Lookup!$M$14,IF(GK94="T",Lookup!$M$15,IF(GK94="TP",Lookup!$M$16,IF(GK94="TPP",Lookup!$M$17,IF(GK94="TPPP",Lookup!$M$18,0)))))))*GJ94</f>
        <v>0</v>
      </c>
      <c r="GO94" s="535">
        <f t="shared" si="268"/>
        <v>0</v>
      </c>
      <c r="GP94" s="535">
        <f t="shared" si="240"/>
        <v>3057.3642666666638</v>
      </c>
      <c r="GQ94" s="535">
        <f t="shared" si="279"/>
        <v>996.53333333333239</v>
      </c>
      <c r="GR94" s="535"/>
      <c r="GS94" s="535">
        <f t="shared" si="269"/>
        <v>0</v>
      </c>
      <c r="GT94" s="535" t="str">
        <f t="shared" si="270"/>
        <v/>
      </c>
      <c r="GU94" s="535">
        <f>IF(GK94="P",Lookup!$N$12,IF(GK94="PP",Lookup!$N$13,IF(GK94="PPP",Lookup!$N$14,IF(GK94="T",Lookup!$N$15,IF(GK94="TP",Lookup!$N$16,IF(GK94="TPP",Lookup!$N$17,IF(GK94="TPPP",Lookup!$N$18,0)))))))*GJ94</f>
        <v>0</v>
      </c>
      <c r="GV94" s="535">
        <f t="shared" si="271"/>
        <v>0</v>
      </c>
      <c r="GW94" s="535">
        <f t="shared" si="241"/>
        <v>1309.6263896054822</v>
      </c>
      <c r="GX94" s="535">
        <f t="shared" si="276"/>
        <v>426.86648944116109</v>
      </c>
      <c r="GY94" s="535"/>
      <c r="GZ94" s="535">
        <f t="shared" si="272"/>
        <v>0</v>
      </c>
      <c r="HA94" s="535" t="str">
        <f t="shared" si="273"/>
        <v/>
      </c>
      <c r="HB94" s="535">
        <f>IF(GK94="P",Lookup!$N$12,IF(GK94="PP",Lookup!$N$13,IF(GK94="PPP",Lookup!$N$14,IF(GK94="T",Lookup!$N$15,IF(GK94="TP",Lookup!$N$16,IF(GK94="TPP",Lookup!$N$17,IF(GK94="TPPP",Lookup!$N$18,0)))))))*GJ94</f>
        <v>0</v>
      </c>
      <c r="HC94" s="521">
        <f t="shared" si="242"/>
        <v>0</v>
      </c>
      <c r="HD94" s="535">
        <f t="shared" si="243"/>
        <v>1071.4173906780898</v>
      </c>
      <c r="HE94" s="535">
        <f t="shared" si="277"/>
        <v>349.22339982988581</v>
      </c>
      <c r="HF94" s="535"/>
      <c r="HG94" s="535">
        <f t="shared" si="274"/>
        <v>0</v>
      </c>
      <c r="HH94" s="535" t="str">
        <f t="shared" si="275"/>
        <v/>
      </c>
      <c r="HI94" s="535">
        <f>IF(GK94="P",Lookup!$N$12,IF(GK94="PP",Lookup!$N$13,IF(GK94="PPP",Lookup!$N$14,IF(GK94="T",Lookup!$N$15,IF(GK94="TP",Lookup!$N$16,IF(GK94="TPP",Lookup!$N$17,IF(GK94="TPPP",Lookup!$N$18,0)))))))*GJ94</f>
        <v>0</v>
      </c>
      <c r="HJ94" s="521">
        <f t="shared" si="244"/>
        <v>0</v>
      </c>
      <c r="HK94" s="535">
        <f t="shared" si="245"/>
        <v>686.9029167093687</v>
      </c>
      <c r="HL94" s="535">
        <f t="shared" si="278"/>
        <v>223.89273686746046</v>
      </c>
      <c r="HM94" s="535"/>
      <c r="HN94" s="541"/>
      <c r="HO94" s="541"/>
      <c r="HP94" s="541"/>
      <c r="HQ94" s="541">
        <f>IF(AND(B94&gt;=$FV$4,B94&lt;=$FW$4),MAX(110/1.02+$HQ$6+MIN(113/1.02,G94),IF($HV$6-(Sheet1!DA92-Sheet1!DB92)+MIN(113/1.02,G94)&lt;G94+FL94,$HV$6-(Sheet1!DA92-Sheet1!DB92)+MIN(113/1.02,G94),G94+FL94)),MIN(110/1.02+$HQ$6+113/1.02,G94))</f>
        <v>218.62745098039215</v>
      </c>
      <c r="HR94" s="541">
        <f t="shared" si="297"/>
        <v>223</v>
      </c>
      <c r="HS94" s="541">
        <f>HR94+(Sheet1!DA92-Sheet1!DB92)</f>
        <v>1433</v>
      </c>
      <c r="HT94" s="541">
        <f t="shared" si="298"/>
        <v>69.367479999999986</v>
      </c>
      <c r="HU94" s="541">
        <f t="shared" si="299"/>
        <v>1363.6325200000001</v>
      </c>
      <c r="HV94" s="541">
        <f t="shared" si="300"/>
        <v>0</v>
      </c>
      <c r="HW94" s="533" t="str">
        <f t="shared" si="301"/>
        <v/>
      </c>
      <c r="HX94" s="541">
        <f t="shared" si="302"/>
        <v>1701.372549019608</v>
      </c>
      <c r="HY94" s="541">
        <f>Sheet1!CZ92</f>
        <v>1920</v>
      </c>
      <c r="HZ94" s="541">
        <f t="shared" si="303"/>
        <v>0</v>
      </c>
      <c r="IA94" s="541">
        <f t="shared" si="304"/>
        <v>69.367479999999986</v>
      </c>
      <c r="IB94" s="541">
        <f t="shared" si="305"/>
        <v>1920</v>
      </c>
      <c r="IC94" s="1019" t="str">
        <f t="shared" si="306"/>
        <v/>
      </c>
      <c r="ID94" s="541">
        <f t="shared" si="307"/>
        <v>1850.6325200000001</v>
      </c>
      <c r="IE94" s="541">
        <f>Sheet1!DB92</f>
        <v>1770</v>
      </c>
      <c r="IF94" s="533">
        <f>Sheet1!DA92</f>
        <v>2980</v>
      </c>
      <c r="IH94" s="541">
        <f>IF(AND($B94&gt;=$GC94,$B94&lt;=$GH94,$DR94&lt;0)+N("only adjusted when pool is drawn down during storage season"),Sheet1!$DB92+$DR94+N("Palmer minus all storage release"),Sheet1!$DB92)</f>
        <v>1770</v>
      </c>
      <c r="II94" s="541">
        <f>IF(AND($B94&gt;=$GC94,$B94&lt;=$GH94,$DR94&lt;0)+N("only adjusted when pool is drawn down during storage season"),Sheet1!$DA92+$DR94+N("Auburn minus all storage release"),Sheet1!$DA92)</f>
        <v>2980</v>
      </c>
    </row>
    <row r="95" spans="1:243" x14ac:dyDescent="0.25">
      <c r="A95" s="553" t="s">
        <v>9</v>
      </c>
      <c r="B95" s="531">
        <v>42819</v>
      </c>
      <c r="C95" s="536">
        <v>0</v>
      </c>
      <c r="D95" s="506">
        <f t="shared" si="247"/>
        <v>300</v>
      </c>
      <c r="E95" s="506">
        <f t="shared" si="248"/>
        <v>250</v>
      </c>
      <c r="F95" s="506">
        <v>250</v>
      </c>
      <c r="G95" s="535">
        <f>DR95+Sheet1!CZ93</f>
        <v>2361.4170448829236</v>
      </c>
      <c r="H95" s="1074">
        <f t="shared" si="281"/>
        <v>1018.914929024</v>
      </c>
      <c r="I95" s="534">
        <f>IF(Sheet1!DA93&gt;=E95,(Sheet1!DA93-E95+P95)*CFStoMGD,0)</f>
        <v>1813.9869290239999</v>
      </c>
      <c r="J95" s="995">
        <f>IF(Sheet1!DB93&gt;=D95,(Sheet1!DB93-D95+P95)*CFStoMGD,0)</f>
        <v>1018.914929024</v>
      </c>
      <c r="K95" s="818">
        <f t="shared" si="282"/>
        <v>64.64</v>
      </c>
      <c r="L95" s="535">
        <f>Sheet1!AA93+Sheet1!AB93-Sheet1!L93+(Sheet1!DA93-F95)*CFStoMGD-S95-T95-U95</f>
        <v>1749.3479999999997</v>
      </c>
      <c r="M95" s="535">
        <f t="shared" si="185"/>
        <v>1556.9483773685683</v>
      </c>
      <c r="N95" s="824">
        <f>IF(Sheet1!DA93&gt;=F95,MIN(113*CFStoMGD,MIN(MAX(L95,0),MAX(M95,0))),0)</f>
        <v>73.043199999999999</v>
      </c>
      <c r="O95" s="538">
        <f>Sheet1!AA93+Sheet1!AB93</f>
        <v>55.78</v>
      </c>
      <c r="P95" s="538">
        <f t="shared" si="186"/>
        <v>86.291659999999993</v>
      </c>
      <c r="Q95" s="812">
        <f t="shared" si="283"/>
        <v>44.8</v>
      </c>
      <c r="R95" s="812">
        <f t="shared" si="249"/>
        <v>10.939847074468084</v>
      </c>
      <c r="S95" s="812">
        <f t="shared" si="250"/>
        <v>10.98</v>
      </c>
      <c r="T95" s="812">
        <f t="shared" si="251"/>
        <v>53.66</v>
      </c>
      <c r="U95" s="812">
        <f t="shared" si="284"/>
        <v>0</v>
      </c>
      <c r="V95" s="812"/>
      <c r="W95" s="812">
        <f t="shared" si="252"/>
        <v>53.700152925531917</v>
      </c>
      <c r="X95" s="812">
        <f t="shared" si="253"/>
        <v>64.64</v>
      </c>
      <c r="Y95" s="812" t="str">
        <f t="shared" si="254"/>
        <v>FALSE</v>
      </c>
      <c r="Z95" s="812">
        <f t="shared" si="255"/>
        <v>55.78</v>
      </c>
      <c r="AA95" s="812">
        <f t="shared" si="256"/>
        <v>55.78</v>
      </c>
      <c r="AB95" s="1059">
        <f t="shared" si="285"/>
        <v>69.305599999999998</v>
      </c>
      <c r="AC95" s="538">
        <f>Sheet1!Y93*MGDtoCFS</f>
        <v>40.020890000000001</v>
      </c>
      <c r="AD95" s="538">
        <f>Sheet1!Z93*MGDtoCFS</f>
        <v>46.30171</v>
      </c>
      <c r="AE95" s="538">
        <f>Sheet1!AA93*MGDtoCFS</f>
        <v>39.928069999999998</v>
      </c>
      <c r="AF95" s="538">
        <f>Sheet1!AB93*MGDtoCFS</f>
        <v>46.363589999999995</v>
      </c>
      <c r="AG95" s="538">
        <f>Sheet1!L93*MGDtoCFS</f>
        <v>0</v>
      </c>
      <c r="AH95" s="521">
        <f t="shared" si="187"/>
        <v>0</v>
      </c>
      <c r="AI95" s="1059">
        <f t="shared" si="188"/>
        <v>0</v>
      </c>
      <c r="AJ95" s="535">
        <f t="shared" si="189"/>
        <v>53.700152925531917</v>
      </c>
      <c r="AK95" s="535">
        <f t="shared" si="190"/>
        <v>83.074136575797866</v>
      </c>
      <c r="AL95" s="535">
        <f>(VLOOKUP(Sheet1!DC93,hhdcap_wcm,4)-(((VLOOKUP(Sheet1!DC93,hhdcap_wcm,3)-Sheet1!DC93)/(VLOOKUP(Sheet1!DC93,hhdcap_wcm,3)-VLOOKUP(Sheet1!DC93,hhdcap_wcm,1)))*(VLOOKUP(Sheet1!DC93,hhdcap_wcm,4)-VLOOKUP(Sheet1!DC93,hhdcap_wcm,2))))</f>
        <v>16196.100000039918</v>
      </c>
      <c r="AM95" s="535">
        <f t="shared" si="191"/>
        <v>855.50000000283762</v>
      </c>
      <c r="AN95" s="1035">
        <f t="shared" si="192"/>
        <v>2050.2161123973715</v>
      </c>
      <c r="AO95" s="535">
        <f t="shared" si="193"/>
        <v>6290.0630328351363</v>
      </c>
      <c r="AP95" s="535">
        <f>Sheet1!BA93+Sheet1!BB93+Sheet1!BN93+CD95</f>
        <v>19.100000000000001</v>
      </c>
      <c r="AQ95" s="535">
        <f>Sheet1!BN93+(DO95*Sheet1!BN93)</f>
        <v>19.030152925531915</v>
      </c>
      <c r="AR95" s="535">
        <f>Sheet1!BA93+CD95</f>
        <v>0</v>
      </c>
      <c r="AS95" s="535">
        <f>Sheet1!BA93+Sheet1!BB93+CD95</f>
        <v>0</v>
      </c>
      <c r="AT95" s="649">
        <f>0</f>
        <v>0</v>
      </c>
      <c r="AU95" s="535">
        <f>IF(EB95&lt;K95,0,MAX(Sheet1!AA93+AQ95-15/36*K95-N95,Sheet1!EH93,0))</f>
        <v>0</v>
      </c>
      <c r="AV95" s="535">
        <f>IF(OR(B95&gt;=GD95,B95&lt;GC95),0,15/36*K95-MAX(0,64.6-(137.6-(Sheet1!AA93+Sheet1!AB93))))</f>
        <v>26.933333333333334</v>
      </c>
      <c r="AW95" s="1029"/>
      <c r="AX95" s="649"/>
      <c r="AY95" s="649">
        <f t="shared" si="286"/>
        <v>0</v>
      </c>
      <c r="AZ95" s="649">
        <f t="shared" si="287"/>
        <v>0</v>
      </c>
      <c r="BA95" s="1059">
        <f t="shared" si="288"/>
        <v>0</v>
      </c>
      <c r="BB95" s="1019">
        <f t="shared" si="194"/>
        <v>1023.4666666666657</v>
      </c>
      <c r="BC95" s="1041">
        <f t="shared" si="289"/>
        <v>26.933333333333334</v>
      </c>
      <c r="BD95" s="1019">
        <f ca="1">IF(B95&gt;Summary!$A$1,#N/A,BB95*MGtoAF)</f>
        <v>3139.9957333333305</v>
      </c>
      <c r="BE95" s="535">
        <f>Sheet1!BG93+Sheet1!BH93+Sheet1!BI93-BM95</f>
        <v>1.02</v>
      </c>
      <c r="BF95" s="535">
        <f t="shared" si="195"/>
        <v>1.0162699468085106</v>
      </c>
      <c r="BG95" s="535">
        <f>IF(Sheet1!EP93="FM",BM95,0)</f>
        <v>0</v>
      </c>
      <c r="BH95" s="535">
        <f t="shared" si="196"/>
        <v>0</v>
      </c>
      <c r="BI95" s="535">
        <f>IF(Sheet1!EP93="OTHER",BM95,0)</f>
        <v>0</v>
      </c>
      <c r="BJ95" s="535">
        <f t="shared" si="197"/>
        <v>0</v>
      </c>
      <c r="BK95" s="535">
        <f t="shared" si="198"/>
        <v>1.02</v>
      </c>
      <c r="BL95" s="535">
        <f t="shared" si="199"/>
        <v>1.0162699468085106</v>
      </c>
      <c r="BM95" s="535">
        <f>IF(OR(Sheet1!EP93="FM", Sheet1!EP93="OTHER"),SUM(Sheet1!BG93:'Sheet1'!BI93),0)</f>
        <v>0</v>
      </c>
      <c r="BN95" s="521">
        <f>IF(AND($B95&gt;=$FV95,$B95&lt;=$FW95),MAX(BF95,Sheet1!EI93,0),MAX(BF95-(7/36)*$K95,0))</f>
        <v>0</v>
      </c>
      <c r="BO95" s="535">
        <f t="shared" si="200"/>
        <v>11.552618942080379</v>
      </c>
      <c r="BP95" s="521">
        <f t="shared" si="201"/>
        <v>1.0162699468085106</v>
      </c>
      <c r="BQ95" s="521">
        <f>IF(AND($O95&gt;0,Sheet1!EM93=1),(1-($O95-Sheet1!$L93)/$O95)*BL95,0)</f>
        <v>0</v>
      </c>
      <c r="BR95" s="521">
        <f>IF(AND(Sheet1!$L93=0,Sheet1!$L92=0, Calculation!BK95&lt;Sheet1!$EI93-0.1,Sheet1!$EI93=Sheet1!$EI92,Sheet1!$EI93=Sheet1!$EI94),BL95-BQ95,BL95-BQ95)</f>
        <v>1.0162699468085106</v>
      </c>
      <c r="BS95" s="1035" t="str">
        <f t="shared" si="290"/>
        <v/>
      </c>
      <c r="BT95" s="1035">
        <f t="shared" si="291"/>
        <v>12.568888888888889</v>
      </c>
      <c r="BU95" s="535">
        <f t="shared" si="202"/>
        <v>438.41910838324145</v>
      </c>
      <c r="BV95" s="535"/>
      <c r="BW95" s="535">
        <f ca="1">IF(B95&gt;Summary!$A$1,#N/A,BU95*MGtoAF)</f>
        <v>1345.0698245197848</v>
      </c>
      <c r="BX95" s="535">
        <f>Sheet1!BC93+Sheet1!BD93+Sheet1!BE93+Sheet1!BF93-CG95-CH95</f>
        <v>3.48</v>
      </c>
      <c r="BY95" s="535">
        <f t="shared" si="203"/>
        <v>3.4672739361702125</v>
      </c>
      <c r="BZ95" s="535">
        <f>IF(Sheet1!EQ93="FM",CH95,0)</f>
        <v>0</v>
      </c>
      <c r="CA95" s="535">
        <f t="shared" si="204"/>
        <v>0</v>
      </c>
      <c r="CB95" s="535">
        <f>IF(Sheet1!EQ93="OTHER",CH95,0)</f>
        <v>0</v>
      </c>
      <c r="CC95" s="535">
        <f t="shared" si="205"/>
        <v>0</v>
      </c>
      <c r="CD95" s="535">
        <f t="shared" si="206"/>
        <v>0</v>
      </c>
      <c r="CE95" s="535">
        <f t="shared" si="207"/>
        <v>3.48</v>
      </c>
      <c r="CF95" s="535">
        <f t="shared" si="208"/>
        <v>3.4672739361702125</v>
      </c>
      <c r="CG95" s="535">
        <f>IF(Sheet1!EQ93="CWA",SUM(Sheet1!BC93:'Sheet1'!BF93),0)</f>
        <v>0</v>
      </c>
      <c r="CH95" s="535">
        <f>IF(OR(Sheet1!EQ93="FM", Sheet1!EQ93="OTHER"),SUM(Sheet1!BC93:'Sheet1'!BF93),0)</f>
        <v>0</v>
      </c>
      <c r="CI95" s="521">
        <f>IF(AND($B95&gt;=$FV95,$B95&lt;=$FW95),MAX(CF95,Sheet1!EJ93,0),MAX(CF95-(7/36)*$K95,0))</f>
        <v>0</v>
      </c>
      <c r="CJ95" s="535">
        <f t="shared" si="209"/>
        <v>9.1016149527186769</v>
      </c>
      <c r="CK95" s="521">
        <f t="shared" si="210"/>
        <v>3.4672739361702125</v>
      </c>
      <c r="CL95" s="521">
        <f>IF(AND($O95&gt;0,Sheet1!EN93=1),(1-($O95-Sheet1!$L93)/$O95)*CF95,0)</f>
        <v>0</v>
      </c>
      <c r="CM95" s="521">
        <f>IF(AND(Sheet1!$L93=0,Sheet1!$L92=0, Calculation!CE95&lt;Sheet1!EJ93-0.1,Sheet1!EJ93=Sheet1!EJ92,Sheet1!EJ93=Sheet1!EJ94),CF95-CL95,CF95-CL95)</f>
        <v>3.4672739361702125</v>
      </c>
      <c r="CN95" s="1040" t="str">
        <f t="shared" si="292"/>
        <v/>
      </c>
      <c r="CO95" s="1035">
        <f t="shared" si="293"/>
        <v>12.568888888888889</v>
      </c>
      <c r="CP95" s="535">
        <f t="shared" si="211"/>
        <v>358.32501478260451</v>
      </c>
      <c r="CQ95" s="535"/>
      <c r="CR95" s="535">
        <f ca="1">IF(B95&gt;Summary!$A$1,#N/A,CP95*MGtoAF)</f>
        <v>1099.3411453530307</v>
      </c>
      <c r="CS95" s="535">
        <f>Sheet1!BK93+Sheet1!BL93+Sheet1!BM93-Sheet1!ER93-DA95</f>
        <v>6.48</v>
      </c>
      <c r="CT95" s="535">
        <f t="shared" si="212"/>
        <v>6.4563031914893614</v>
      </c>
      <c r="CU95" s="535">
        <f>IF(Sheet1!ER93="FM",DA95,0)</f>
        <v>0</v>
      </c>
      <c r="CV95" s="535">
        <f t="shared" si="213"/>
        <v>0</v>
      </c>
      <c r="CW95" s="535">
        <f>IF(Sheet1!ER93="OTHER",DA95,0)</f>
        <v>0</v>
      </c>
      <c r="CX95" s="535">
        <f t="shared" si="214"/>
        <v>0</v>
      </c>
      <c r="CY95" s="535">
        <f t="shared" si="215"/>
        <v>6.48</v>
      </c>
      <c r="CZ95" s="535">
        <f t="shared" si="216"/>
        <v>6.4563031914893614</v>
      </c>
      <c r="DA95" s="535">
        <f>IF(OR(Sheet1!ER93="FM", Sheet1!ER93="OTHER"),SUM(Sheet1!BK93:'Sheet1'!BM93),0)</f>
        <v>0</v>
      </c>
      <c r="DB95" s="1011">
        <f>IF(AND($B95&gt;=$FV95,$B95&lt;=$FW95),MAX($CT95,Sheet1!EK93,0),MAX($CT95-(7/36)*$K95,0))</f>
        <v>0</v>
      </c>
      <c r="DC95" s="1012">
        <f t="shared" si="217"/>
        <v>6.1125856973995276</v>
      </c>
      <c r="DD95" s="1011">
        <f t="shared" si="218"/>
        <v>6.4563031914893614</v>
      </c>
      <c r="DE95" s="521">
        <f>IF(AND($O95&gt;0,Sheet1!EO93=1),(1-($O95-Sheet1!$L93)/$O95)*CZ95,0)</f>
        <v>0</v>
      </c>
      <c r="DF95" s="521">
        <f>IF(AND(Sheet1!$L93=0,Sheet1!$L92=0, Calculation!CY95&lt;Sheet1!$EK93-0.1,Sheet1!$EK93=Sheet1!$EK92,Sheet1!$EK93=Sheet1!$EK94),CZ95-DE95,CZ95-DE95)</f>
        <v>6.4563031914893614</v>
      </c>
      <c r="DG95" s="1040">
        <f t="shared" si="294"/>
        <v>12.568888888888889</v>
      </c>
      <c r="DH95" s="649">
        <f t="shared" si="219"/>
        <v>10.98</v>
      </c>
      <c r="DI95" s="535">
        <f t="shared" si="220"/>
        <v>230.00532256485999</v>
      </c>
      <c r="DJ95" s="649">
        <f t="shared" si="221"/>
        <v>10.939847074468084</v>
      </c>
      <c r="DK95" s="535">
        <f ca="1">IF(B95&gt;Summary!$A$1,#N/A,DI95*MGtoAF)</f>
        <v>705.65632962899053</v>
      </c>
      <c r="DL95" s="649">
        <f t="shared" si="222"/>
        <v>10.98</v>
      </c>
      <c r="DM95" s="535">
        <f t="shared" si="223"/>
        <v>30.080000000000002</v>
      </c>
      <c r="DN95" s="535">
        <f>Sheet1!AB93-DM95</f>
        <v>-0.11000000000000298</v>
      </c>
      <c r="DO95" s="743">
        <f t="shared" si="224"/>
        <v>-3.6569148936171202E-3</v>
      </c>
      <c r="DP95" s="535">
        <f>(VLOOKUP(Sheet1!DC93,hhdcap_wcm,4)-(((VLOOKUP(Sheet1!DC93,hhdcap_wcm,3)-Sheet1!DC93)/(VLOOKUP(Sheet1!DC93,hhdcap_wcm,3)-VLOOKUP(Sheet1!DC93,hhdcap_wcm,1)))*(VLOOKUP(Sheet1!DC93,hhdcap_wcm,4)-VLOOKUP(Sheet1!DC93,hhdcap_wcm,2))))</f>
        <v>16196.100000039918</v>
      </c>
      <c r="DQ95" s="535">
        <f t="shared" si="225"/>
        <v>855.50000000283762</v>
      </c>
      <c r="DR95" s="535">
        <f t="shared" si="226"/>
        <v>431.41704488292362</v>
      </c>
      <c r="DS95" s="535">
        <f>Sheet1!EA93*AFtoMG</f>
        <v>0</v>
      </c>
      <c r="DT95" s="535">
        <f>Sheet1!EB93*AFtoMG</f>
        <v>0</v>
      </c>
      <c r="DU95" s="535">
        <f>Sheet1!EC93*AFtoMG</f>
        <v>0</v>
      </c>
      <c r="DV95" s="535">
        <f>Sheet1!ED93*AFtoMG</f>
        <v>0</v>
      </c>
      <c r="DW95" s="535">
        <f t="shared" si="227"/>
        <v>0</v>
      </c>
      <c r="DX95" s="535">
        <f t="shared" si="228"/>
        <v>0</v>
      </c>
      <c r="DY95" s="535">
        <f t="shared" si="229"/>
        <v>2050.2161123973715</v>
      </c>
      <c r="DZ95" s="535">
        <f t="shared" si="230"/>
        <v>6290.0630328351363</v>
      </c>
      <c r="EA95" s="535"/>
      <c r="EB95" s="521">
        <f>IF(OR(B95&lt;FV95,B95&gt;FW95),(MIN(BF95+BY95+CT95+MAX(Sheet1!AA93+AQ95-73,0),K95)),0)</f>
        <v>10.939847074468084</v>
      </c>
      <c r="EC95" s="535"/>
      <c r="ED95" s="535">
        <f t="shared" si="231"/>
        <v>10.939847074468084</v>
      </c>
      <c r="EE95" s="535"/>
      <c r="EF95" s="535">
        <f>Sheet1!EH93+Sheet1!EI93+Sheet1!EJ93+Sheet1!EK93</f>
        <v>11</v>
      </c>
      <c r="EG95" s="1019">
        <f t="shared" si="295"/>
        <v>17.016999999999999</v>
      </c>
      <c r="EH95" s="521">
        <f t="shared" si="232"/>
        <v>0</v>
      </c>
      <c r="EI95" s="535">
        <f>IF(Sheet1!ET93=1,SUM('Calculations II'!AT95:BA95)+'Calculations II'!BC95+Sheet1!BV93+'Calculations II'!BE95+AP95,'Calculations II'!BK95)</f>
        <v>43.906282925531912</v>
      </c>
      <c r="EJ95" s="535">
        <f ca="1">EI95+'Calculations II'!D95+'Calculations II'!E95+'Calculations II'!O95</f>
        <v>43.923340407148437</v>
      </c>
      <c r="EK95" s="535"/>
      <c r="EL95" s="535"/>
      <c r="EM95" s="535">
        <f t="shared" si="233"/>
        <v>42819</v>
      </c>
      <c r="EN95" s="535">
        <f t="shared" si="234"/>
        <v>53.700152925531917</v>
      </c>
      <c r="EO95" s="535">
        <f t="shared" si="235"/>
        <v>83.074136575797866</v>
      </c>
      <c r="EP95" s="535">
        <v>0</v>
      </c>
      <c r="EQ95" s="535">
        <v>0</v>
      </c>
      <c r="ER95" s="535">
        <v>0</v>
      </c>
      <c r="ES95" s="521">
        <f t="shared" si="257"/>
        <v>-0.4154415102128573</v>
      </c>
      <c r="ET95" s="535">
        <f>-(VLOOKUP(Sheet1!BQ93,Lookup!$O$4:$Q$262,2)-VLOOKUP(Sheet1!BQ92,Lookup!$O$4:$Q$262,2))/1000000</f>
        <v>-0.13845273537033798</v>
      </c>
      <c r="EU95" s="535">
        <f>-(VLOOKUP(Sheet1!BR93,Lookup!$O$4:$Q$262,3)-VLOOKUP(Sheet1!BR92,Lookup!$O$4:$Q$262,3))/1000000</f>
        <v>-0.27698877484251933</v>
      </c>
      <c r="EV95" s="535"/>
      <c r="EW95" s="535"/>
      <c r="EX95" s="535"/>
      <c r="EY95" s="535"/>
      <c r="EZ95" s="535"/>
      <c r="FA95" s="535"/>
      <c r="FB95" s="535"/>
      <c r="FC95" s="535"/>
      <c r="FD95" s="567" t="e">
        <f t="shared" si="236"/>
        <v>#N/A</v>
      </c>
      <c r="FE95" s="567" t="e">
        <f t="shared" si="237"/>
        <v>#N/A</v>
      </c>
      <c r="FF95" s="568" t="e">
        <f t="shared" si="238"/>
        <v>#N/A</v>
      </c>
      <c r="FG95" s="569" t="s">
        <v>656</v>
      </c>
      <c r="FH95" s="569" t="s">
        <v>656</v>
      </c>
      <c r="FI95" s="567" t="e">
        <v>#N/A</v>
      </c>
      <c r="FJ95" s="567" t="e">
        <v>#N/A</v>
      </c>
      <c r="FK95" s="535"/>
      <c r="FL95" s="1015">
        <v>0</v>
      </c>
      <c r="FM95" s="535"/>
      <c r="FN95" s="535"/>
      <c r="FO95" s="535">
        <f>O95+((Sheet1!CS93)*GPMtoMGD)</f>
        <v>55.78</v>
      </c>
      <c r="FP95" s="535">
        <f>IF(Sheet1!AA93+AQ95&lt;=Calculation!N95,AQ95,Calculation!N95-Sheet1!AA93)</f>
        <v>19.030152925531915</v>
      </c>
      <c r="FQ95" s="535">
        <f>(Sheet1!BP93+Sheet1!BO93)/694.4</f>
        <v>1.5211693548387097</v>
      </c>
      <c r="FR95" s="541"/>
      <c r="FS95" s="541"/>
      <c r="FT95" s="541"/>
      <c r="FU95" s="541"/>
      <c r="FV95" s="1109">
        <f t="shared" si="258"/>
        <v>42918</v>
      </c>
      <c r="FW95" s="1109">
        <f t="shared" si="259"/>
        <v>43027</v>
      </c>
      <c r="FX95" s="541"/>
      <c r="FY95" s="541">
        <f>Sheet1!DA93-Sheet1!CZ93-Sheet1!AE93</f>
        <v>953.70834000000002</v>
      </c>
      <c r="FZ95" s="535">
        <f t="shared" si="296"/>
        <v>0.40387120185595332</v>
      </c>
      <c r="GA95" s="535"/>
      <c r="GB95" s="535" t="str">
        <f t="shared" si="260"/>
        <v>n</v>
      </c>
      <c r="GC95" s="539">
        <f t="shared" si="261"/>
        <v>42782</v>
      </c>
      <c r="GD95" s="1109">
        <f t="shared" si="262"/>
        <v>42904</v>
      </c>
      <c r="GE95" s="535">
        <f t="shared" si="280"/>
        <v>6520</v>
      </c>
      <c r="GF95" s="1109">
        <f t="shared" si="263"/>
        <v>42909</v>
      </c>
      <c r="GG95" s="535">
        <f t="shared" si="308"/>
        <v>3260</v>
      </c>
      <c r="GH95" s="539">
        <f t="shared" si="264"/>
        <v>43040</v>
      </c>
      <c r="GJ95" s="521">
        <f t="shared" si="265"/>
        <v>0</v>
      </c>
      <c r="GK95" s="535" t="str">
        <f t="shared" si="239"/>
        <v/>
      </c>
      <c r="GL95" s="535">
        <f t="shared" si="266"/>
        <v>0</v>
      </c>
      <c r="GM95" s="535" t="str">
        <f t="shared" si="267"/>
        <v/>
      </c>
      <c r="GN95" s="535">
        <f>IF(GK95="P",Lookup!$M$12,IF(GK95="PP",Lookup!$M$13,IF(GK95="PPP",Lookup!$M$14,IF(GK95="T",Lookup!$M$15,IF(GK95="TP",Lookup!$M$16,IF(GK95="TPP",Lookup!$M$17,IF(GK95="TPPP",Lookup!$M$18,0)))))))*GJ95</f>
        <v>0</v>
      </c>
      <c r="GO95" s="535">
        <f t="shared" si="268"/>
        <v>0</v>
      </c>
      <c r="GP95" s="535">
        <f t="shared" si="240"/>
        <v>3139.9957333333305</v>
      </c>
      <c r="GQ95" s="535">
        <f t="shared" si="279"/>
        <v>1023.4666666666657</v>
      </c>
      <c r="GR95" s="535"/>
      <c r="GS95" s="535">
        <f t="shared" si="269"/>
        <v>0</v>
      </c>
      <c r="GT95" s="535" t="str">
        <f t="shared" si="270"/>
        <v/>
      </c>
      <c r="GU95" s="535">
        <f>IF(GK95="P",Lookup!$N$12,IF(GK95="PP",Lookup!$N$13,IF(GK95="PPP",Lookup!$N$14,IF(GK95="T",Lookup!$N$15,IF(GK95="TP",Lookup!$N$16,IF(GK95="TPP",Lookup!$N$17,IF(GK95="TPPP",Lookup!$N$18,0)))))))*GJ95</f>
        <v>0</v>
      </c>
      <c r="GV95" s="535">
        <f t="shared" si="271"/>
        <v>0</v>
      </c>
      <c r="GW95" s="535">
        <f t="shared" si="241"/>
        <v>1345.0698245197848</v>
      </c>
      <c r="GX95" s="535">
        <f t="shared" si="276"/>
        <v>438.41910838324145</v>
      </c>
      <c r="GY95" s="535"/>
      <c r="GZ95" s="535">
        <f t="shared" si="272"/>
        <v>0</v>
      </c>
      <c r="HA95" s="535" t="str">
        <f t="shared" si="273"/>
        <v/>
      </c>
      <c r="HB95" s="535">
        <f>IF(GK95="P",Lookup!$N$12,IF(GK95="PP",Lookup!$N$13,IF(GK95="PPP",Lookup!$N$14,IF(GK95="T",Lookup!$N$15,IF(GK95="TP",Lookup!$N$16,IF(GK95="TPP",Lookup!$N$17,IF(GK95="TPPP",Lookup!$N$18,0)))))))*GJ95</f>
        <v>0</v>
      </c>
      <c r="HC95" s="521">
        <f t="shared" si="242"/>
        <v>0</v>
      </c>
      <c r="HD95" s="535">
        <f t="shared" si="243"/>
        <v>1099.3411453530307</v>
      </c>
      <c r="HE95" s="535">
        <f t="shared" si="277"/>
        <v>358.32501478260451</v>
      </c>
      <c r="HF95" s="535"/>
      <c r="HG95" s="535">
        <f t="shared" si="274"/>
        <v>0</v>
      </c>
      <c r="HH95" s="535" t="str">
        <f t="shared" si="275"/>
        <v/>
      </c>
      <c r="HI95" s="535">
        <f>IF(GK95="P",Lookup!$N$12,IF(GK95="PP",Lookup!$N$13,IF(GK95="PPP",Lookup!$N$14,IF(GK95="T",Lookup!$N$15,IF(GK95="TP",Lookup!$N$16,IF(GK95="TPP",Lookup!$N$17,IF(GK95="TPPP",Lookup!$N$18,0)))))))*GJ95</f>
        <v>0</v>
      </c>
      <c r="HJ95" s="521">
        <f t="shared" si="244"/>
        <v>0</v>
      </c>
      <c r="HK95" s="535">
        <f t="shared" si="245"/>
        <v>705.65632962899053</v>
      </c>
      <c r="HL95" s="535">
        <f t="shared" si="278"/>
        <v>230.00532256485999</v>
      </c>
      <c r="HM95" s="535"/>
      <c r="HN95" s="541"/>
      <c r="HO95" s="541"/>
      <c r="HP95" s="541"/>
      <c r="HQ95" s="541">
        <f>IF(AND(B95&gt;=$FV$4,B95&lt;=$FW$4),MAX(110/1.02+$HQ$6+MIN(113/1.02,G95),IF($HV$6-(Sheet1!DA93-Sheet1!DB93)+MIN(113/1.02,G95)&lt;G95+FL95,$HV$6-(Sheet1!DA93-Sheet1!DB93)+MIN(113/1.02,G95),G95+FL95)),MIN(110/1.02+$HQ$6+113/1.02,G95))</f>
        <v>218.62745098039215</v>
      </c>
      <c r="HR95" s="541">
        <f t="shared" si="297"/>
        <v>223</v>
      </c>
      <c r="HS95" s="541">
        <f>HR95+(Sheet1!DA93-Sheet1!DB93)</f>
        <v>1403</v>
      </c>
      <c r="HT95" s="541">
        <f t="shared" si="298"/>
        <v>69.305599999999998</v>
      </c>
      <c r="HU95" s="541">
        <f t="shared" si="299"/>
        <v>1333.6944000000001</v>
      </c>
      <c r="HV95" s="541">
        <f t="shared" si="300"/>
        <v>0</v>
      </c>
      <c r="HW95" s="533" t="str">
        <f t="shared" si="301"/>
        <v/>
      </c>
      <c r="HX95" s="541">
        <f t="shared" si="302"/>
        <v>1711.372549019608</v>
      </c>
      <c r="HY95" s="541">
        <f>Sheet1!CZ93</f>
        <v>1930</v>
      </c>
      <c r="HZ95" s="541">
        <f t="shared" si="303"/>
        <v>0</v>
      </c>
      <c r="IA95" s="541">
        <f t="shared" si="304"/>
        <v>69.305599999999998</v>
      </c>
      <c r="IB95" s="541">
        <f t="shared" si="305"/>
        <v>1930</v>
      </c>
      <c r="IC95" s="1019" t="str">
        <f t="shared" si="306"/>
        <v/>
      </c>
      <c r="ID95" s="541">
        <f t="shared" si="307"/>
        <v>1860.6944000000001</v>
      </c>
      <c r="IE95" s="541">
        <f>Sheet1!DB93</f>
        <v>1790</v>
      </c>
      <c r="IF95" s="533">
        <f>Sheet1!DA93</f>
        <v>2970</v>
      </c>
      <c r="IH95" s="541">
        <f>IF(AND($B95&gt;=$GC95,$B95&lt;=$GH95,$DR95&lt;0)+N("only adjusted when pool is drawn down during storage season"),Sheet1!$DB93+$DR95+N("Palmer minus all storage release"),Sheet1!$DB93)</f>
        <v>1790</v>
      </c>
      <c r="II95" s="541">
        <f>IF(AND($B95&gt;=$GC95,$B95&lt;=$GH95,$DR95&lt;0)+N("only adjusted when pool is drawn down during storage season"),Sheet1!$DA93+$DR95+N("Auburn minus all storage release"),Sheet1!$DA93)</f>
        <v>2970</v>
      </c>
    </row>
    <row r="96" spans="1:243" x14ac:dyDescent="0.25">
      <c r="A96" s="553" t="s">
        <v>3</v>
      </c>
      <c r="B96" s="531">
        <v>42820</v>
      </c>
      <c r="C96" s="536">
        <v>0</v>
      </c>
      <c r="D96" s="506">
        <f t="shared" si="247"/>
        <v>300</v>
      </c>
      <c r="E96" s="506">
        <f t="shared" si="248"/>
        <v>250</v>
      </c>
      <c r="F96" s="506">
        <v>250</v>
      </c>
      <c r="G96" s="535">
        <f>DR96+Sheet1!CZ94</f>
        <v>2261.0943015642647</v>
      </c>
      <c r="H96" s="1074">
        <f t="shared" si="281"/>
        <v>1038.256929984</v>
      </c>
      <c r="I96" s="534">
        <f>IF(Sheet1!DA94&gt;=E96,(Sheet1!DA94-E96+P96)*CFStoMGD,0)</f>
        <v>1878.5769299839999</v>
      </c>
      <c r="J96" s="995">
        <f>IF(Sheet1!DB94&gt;=D96,(Sheet1!DB94-D96+P96)*CFStoMGD,0)</f>
        <v>1038.256929984</v>
      </c>
      <c r="K96" s="818">
        <f t="shared" si="282"/>
        <v>64.64</v>
      </c>
      <c r="L96" s="535">
        <f>Sheet1!AA94+Sheet1!AB94-Sheet1!L94+(Sheet1!DA94-F96)*CFStoMGD-S96-T96-U96</f>
        <v>1813.9379999999999</v>
      </c>
      <c r="M96" s="535">
        <f t="shared" si="185"/>
        <v>1490.8027836617637</v>
      </c>
      <c r="N96" s="824">
        <f>IF(Sheet1!DA94&gt;=F96,MIN(113*CFStoMGD,MIN(MAX(L96,0),MAX(M96,0))),0)</f>
        <v>73.043199999999999</v>
      </c>
      <c r="O96" s="538">
        <f>Sheet1!AA94+Sheet1!AB94</f>
        <v>55.730000000000004</v>
      </c>
      <c r="P96" s="538">
        <f t="shared" si="186"/>
        <v>86.214309999999998</v>
      </c>
      <c r="Q96" s="812">
        <f t="shared" si="283"/>
        <v>44.74</v>
      </c>
      <c r="R96" s="812">
        <f t="shared" si="249"/>
        <v>10.924257228315053</v>
      </c>
      <c r="S96" s="812">
        <f t="shared" si="250"/>
        <v>10.99</v>
      </c>
      <c r="T96" s="812">
        <f t="shared" si="251"/>
        <v>53.65</v>
      </c>
      <c r="U96" s="812">
        <f t="shared" si="284"/>
        <v>0</v>
      </c>
      <c r="V96" s="812"/>
      <c r="W96" s="812">
        <f t="shared" si="252"/>
        <v>53.715742771684944</v>
      </c>
      <c r="X96" s="812">
        <f t="shared" si="253"/>
        <v>64.64</v>
      </c>
      <c r="Y96" s="812" t="str">
        <f t="shared" si="254"/>
        <v>FALSE</v>
      </c>
      <c r="Z96" s="812">
        <f t="shared" si="255"/>
        <v>55.730000000000004</v>
      </c>
      <c r="AA96" s="812">
        <f t="shared" si="256"/>
        <v>55.730000000000004</v>
      </c>
      <c r="AB96" s="1059">
        <f t="shared" si="285"/>
        <v>69.212779999999995</v>
      </c>
      <c r="AC96" s="538">
        <f>Sheet1!Y94*MGDtoCFS</f>
        <v>39.928069999999998</v>
      </c>
      <c r="AD96" s="538">
        <f>Sheet1!Z94*MGDtoCFS</f>
        <v>46.363589999999995</v>
      </c>
      <c r="AE96" s="538">
        <f>Sheet1!AA94*MGDtoCFS</f>
        <v>39.943539999999999</v>
      </c>
      <c r="AF96" s="538">
        <f>Sheet1!AB94*MGDtoCFS</f>
        <v>46.270769999999999</v>
      </c>
      <c r="AG96" s="538">
        <f>Sheet1!L94*MGDtoCFS</f>
        <v>0</v>
      </c>
      <c r="AH96" s="521">
        <f t="shared" si="187"/>
        <v>0</v>
      </c>
      <c r="AI96" s="1059">
        <f t="shared" si="188"/>
        <v>0</v>
      </c>
      <c r="AJ96" s="535">
        <f t="shared" si="189"/>
        <v>53.715742771684944</v>
      </c>
      <c r="AK96" s="535">
        <f t="shared" si="190"/>
        <v>83.098254067796603</v>
      </c>
      <c r="AL96" s="535">
        <f>(VLOOKUP(Sheet1!DC94,hhdcap_wcm,4)-(((VLOOKUP(Sheet1!DC94,hhdcap_wcm,3)-Sheet1!DC94)/(VLOOKUP(Sheet1!DC94,hhdcap_wcm,3)-VLOOKUP(Sheet1!DC94,hhdcap_wcm,1)))*(VLOOKUP(Sheet1!DC94,hhdcap_wcm,4)-VLOOKUP(Sheet1!DC94,hhdcap_wcm,2))))</f>
        <v>16813.000000041855</v>
      </c>
      <c r="AM96" s="535">
        <f t="shared" si="191"/>
        <v>616.90000000193686</v>
      </c>
      <c r="AN96" s="1035">
        <f t="shared" si="192"/>
        <v>2103.9318551690567</v>
      </c>
      <c r="AO96" s="535">
        <f t="shared" si="193"/>
        <v>6454.8629316586657</v>
      </c>
      <c r="AP96" s="535">
        <f>Sheet1!BA94+Sheet1!BB94+Sheet1!BN94+CD96</f>
        <v>19.100000000000001</v>
      </c>
      <c r="AQ96" s="535">
        <f>Sheet1!BN94+(DO96*Sheet1!BN94)</f>
        <v>18.985742771684944</v>
      </c>
      <c r="AR96" s="535">
        <f>Sheet1!BA94+CD96</f>
        <v>0</v>
      </c>
      <c r="AS96" s="535">
        <f>Sheet1!BA94+Sheet1!BB94+CD96</f>
        <v>0</v>
      </c>
      <c r="AT96" s="649">
        <f>0</f>
        <v>0</v>
      </c>
      <c r="AU96" s="535">
        <f>IF(EB96&lt;K96,0,MAX(Sheet1!AA94+AQ96-15/36*K96-N96,Sheet1!EH94,0))</f>
        <v>0</v>
      </c>
      <c r="AV96" s="535">
        <f>IF(OR(B96&gt;=GD96,B96&lt;GC96),0,15/36*K96-MAX(0,64.6-(137.6-(Sheet1!AA94+Sheet1!AB94))))</f>
        <v>26.933333333333334</v>
      </c>
      <c r="AW96" s="1029"/>
      <c r="AX96" s="649"/>
      <c r="AY96" s="649">
        <f t="shared" si="286"/>
        <v>0</v>
      </c>
      <c r="AZ96" s="649">
        <f t="shared" si="287"/>
        <v>0</v>
      </c>
      <c r="BA96" s="1059">
        <f t="shared" si="288"/>
        <v>0</v>
      </c>
      <c r="BB96" s="1019">
        <f t="shared" si="194"/>
        <v>1050.399999999999</v>
      </c>
      <c r="BC96" s="1041">
        <f t="shared" si="289"/>
        <v>26.933333333333334</v>
      </c>
      <c r="BD96" s="1019">
        <f ca="1">IF(B96&gt;Summary!$A$1,#N/A,BB96*MGtoAF)</f>
        <v>3222.6271999999967</v>
      </c>
      <c r="BE96" s="535">
        <f>Sheet1!BG94+Sheet1!BH94+Sheet1!BI94-BM96</f>
        <v>1.01</v>
      </c>
      <c r="BF96" s="535">
        <f t="shared" si="195"/>
        <v>1.0039581256231305</v>
      </c>
      <c r="BG96" s="535">
        <f>IF(Sheet1!EP94="FM",BM96,0)</f>
        <v>0</v>
      </c>
      <c r="BH96" s="535">
        <f t="shared" si="196"/>
        <v>0</v>
      </c>
      <c r="BI96" s="535">
        <f>IF(Sheet1!EP94="OTHER",BM96,0)</f>
        <v>0</v>
      </c>
      <c r="BJ96" s="535">
        <f t="shared" si="197"/>
        <v>0</v>
      </c>
      <c r="BK96" s="535">
        <f t="shared" si="198"/>
        <v>1.01</v>
      </c>
      <c r="BL96" s="535">
        <f t="shared" si="199"/>
        <v>1.0039581256231305</v>
      </c>
      <c r="BM96" s="535">
        <f>IF(OR(Sheet1!EP94="FM", Sheet1!EP94="OTHER"),SUM(Sheet1!BG94:'Sheet1'!BI94),0)</f>
        <v>0</v>
      </c>
      <c r="BN96" s="521">
        <f>IF(AND($B96&gt;=$FV96,$B96&lt;=$FW96),MAX(BF96,Sheet1!EI94,0),MAX(BF96-(7/36)*$K96,0))</f>
        <v>0</v>
      </c>
      <c r="BO96" s="535">
        <f t="shared" si="200"/>
        <v>11.564930763265759</v>
      </c>
      <c r="BP96" s="521">
        <f t="shared" si="201"/>
        <v>1.0039581256231305</v>
      </c>
      <c r="BQ96" s="521">
        <f>IF(AND($O96&gt;0,Sheet1!EM94=1),(1-($O96-Sheet1!$L94)/$O96)*BL96,0)</f>
        <v>0</v>
      </c>
      <c r="BR96" s="521">
        <f>IF(AND(Sheet1!$L94=0,Sheet1!$L93=0, Calculation!BK96&lt;Sheet1!$EI94-0.1,Sheet1!$EI94=Sheet1!$EI93,Sheet1!$EI94=Sheet1!$EI95),BL96-BQ96,BL96-BQ96)</f>
        <v>1.0039581256231305</v>
      </c>
      <c r="BS96" s="1035" t="str">
        <f t="shared" si="290"/>
        <v/>
      </c>
      <c r="BT96" s="1035">
        <f t="shared" si="291"/>
        <v>12.568888888888889</v>
      </c>
      <c r="BU96" s="535">
        <f t="shared" si="202"/>
        <v>449.9840391465072</v>
      </c>
      <c r="BV96" s="535"/>
      <c r="BW96" s="535">
        <f ca="1">IF(B96&gt;Summary!$A$1,#N/A,BU96*MGtoAF)</f>
        <v>1380.5510321014842</v>
      </c>
      <c r="BX96" s="535">
        <f>Sheet1!BC94+Sheet1!BD94+Sheet1!BE94+Sheet1!BF94-CG96-CH96</f>
        <v>3.5</v>
      </c>
      <c r="BY96" s="535">
        <f t="shared" si="203"/>
        <v>3.4790628115653037</v>
      </c>
      <c r="BZ96" s="535">
        <f>IF(Sheet1!EQ94="FM",CH96,0)</f>
        <v>0</v>
      </c>
      <c r="CA96" s="535">
        <f t="shared" si="204"/>
        <v>0</v>
      </c>
      <c r="CB96" s="535">
        <f>IF(Sheet1!EQ94="OTHER",CH96,0)</f>
        <v>0</v>
      </c>
      <c r="CC96" s="535">
        <f t="shared" si="205"/>
        <v>0</v>
      </c>
      <c r="CD96" s="535">
        <f t="shared" si="206"/>
        <v>0</v>
      </c>
      <c r="CE96" s="535">
        <f t="shared" si="207"/>
        <v>3.5</v>
      </c>
      <c r="CF96" s="535">
        <f t="shared" si="208"/>
        <v>3.4790628115653037</v>
      </c>
      <c r="CG96" s="535">
        <f>IF(Sheet1!EQ94="CWA",SUM(Sheet1!BC94:'Sheet1'!BF94),0)</f>
        <v>0</v>
      </c>
      <c r="CH96" s="535">
        <f>IF(OR(Sheet1!EQ94="FM", Sheet1!EQ94="OTHER"),SUM(Sheet1!BC94:'Sheet1'!BF94),0)</f>
        <v>0</v>
      </c>
      <c r="CI96" s="521">
        <f>IF(AND($B96&gt;=$FV96,$B96&lt;=$FW96),MAX(CF96,Sheet1!EJ94,0),MAX(CF96-(7/36)*$K96,0))</f>
        <v>0</v>
      </c>
      <c r="CJ96" s="535">
        <f t="shared" si="209"/>
        <v>9.0898260773235862</v>
      </c>
      <c r="CK96" s="521">
        <f t="shared" si="210"/>
        <v>3.4790628115653037</v>
      </c>
      <c r="CL96" s="521">
        <f>IF(AND($O96&gt;0,Sheet1!EN94=1),(1-($O96-Sheet1!$L94)/$O96)*CF96,0)</f>
        <v>0</v>
      </c>
      <c r="CM96" s="521">
        <f>IF(AND(Sheet1!$L94=0,Sheet1!$L93=0, Calculation!CE96&lt;Sheet1!EJ94-0.1,Sheet1!EJ94=Sheet1!EJ93,Sheet1!EJ94=Sheet1!EJ95),CF96-CL96,CF96-CL96)</f>
        <v>3.4790628115653037</v>
      </c>
      <c r="CN96" s="1040" t="str">
        <f t="shared" si="292"/>
        <v/>
      </c>
      <c r="CO96" s="1035">
        <f t="shared" si="293"/>
        <v>12.568888888888889</v>
      </c>
      <c r="CP96" s="535">
        <f t="shared" si="211"/>
        <v>367.41484085992812</v>
      </c>
      <c r="CQ96" s="535"/>
      <c r="CR96" s="535">
        <f ca="1">IF(B96&gt;Summary!$A$1,#N/A,CP96*MGtoAF)</f>
        <v>1127.2287317582595</v>
      </c>
      <c r="CS96" s="535">
        <f>Sheet1!BK94+Sheet1!BL94+Sheet1!BM94-Sheet1!ER94-DA96</f>
        <v>6.48</v>
      </c>
      <c r="CT96" s="535">
        <f t="shared" si="212"/>
        <v>6.4412362911266197</v>
      </c>
      <c r="CU96" s="535">
        <f>IF(Sheet1!ER94="FM",DA96,0)</f>
        <v>0</v>
      </c>
      <c r="CV96" s="535">
        <f t="shared" si="213"/>
        <v>0</v>
      </c>
      <c r="CW96" s="535">
        <f>IF(Sheet1!ER94="OTHER",DA96,0)</f>
        <v>0</v>
      </c>
      <c r="CX96" s="535">
        <f t="shared" si="214"/>
        <v>0</v>
      </c>
      <c r="CY96" s="535">
        <f t="shared" si="215"/>
        <v>6.48</v>
      </c>
      <c r="CZ96" s="535">
        <f t="shared" si="216"/>
        <v>6.4412362911266197</v>
      </c>
      <c r="DA96" s="535">
        <f>IF(OR(Sheet1!ER94="FM", Sheet1!ER94="OTHER"),SUM(Sheet1!BK94:'Sheet1'!BM94),0)</f>
        <v>0</v>
      </c>
      <c r="DB96" s="1011">
        <f>IF(AND($B96&gt;=$FV96,$B96&lt;=$FW96),MAX($CT96,Sheet1!EK94,0),MAX($CT96-(7/36)*$K96,0))</f>
        <v>0</v>
      </c>
      <c r="DC96" s="1012">
        <f t="shared" si="217"/>
        <v>6.1276525977622693</v>
      </c>
      <c r="DD96" s="1011">
        <f t="shared" si="218"/>
        <v>6.4412362911266197</v>
      </c>
      <c r="DE96" s="521">
        <f>IF(AND($O96&gt;0,Sheet1!EO94=1),(1-($O96-Sheet1!$L94)/$O96)*CZ96,0)</f>
        <v>0</v>
      </c>
      <c r="DF96" s="521">
        <f>IF(AND(Sheet1!$L94=0,Sheet1!$L93=0, Calculation!CY96&lt;Sheet1!$EK94-0.1,Sheet1!$EK94=Sheet1!$EK93,Sheet1!$EK94=Sheet1!$EK95),CZ96-DE96,CZ96-DE96)</f>
        <v>6.4412362911266197</v>
      </c>
      <c r="DG96" s="1040">
        <f t="shared" si="294"/>
        <v>12.568888888888889</v>
      </c>
      <c r="DH96" s="649">
        <f t="shared" si="219"/>
        <v>10.99</v>
      </c>
      <c r="DI96" s="535">
        <f t="shared" si="220"/>
        <v>236.13297516262227</v>
      </c>
      <c r="DJ96" s="649">
        <f t="shared" si="221"/>
        <v>10.924257228315053</v>
      </c>
      <c r="DK96" s="535">
        <f ca="1">IF(B96&gt;Summary!$A$1,#N/A,DI96*MGtoAF)</f>
        <v>724.45596779892514</v>
      </c>
      <c r="DL96" s="649">
        <f t="shared" si="222"/>
        <v>10.99</v>
      </c>
      <c r="DM96" s="535">
        <f>DL96+AP96</f>
        <v>30.090000000000003</v>
      </c>
      <c r="DN96" s="535">
        <f>Sheet1!AB94-DM96</f>
        <v>-0.18000000000000327</v>
      </c>
      <c r="DO96" s="743">
        <f t="shared" si="224"/>
        <v>-5.9820538384846543E-3</v>
      </c>
      <c r="DP96" s="535">
        <f>(VLOOKUP(Sheet1!DC94,hhdcap_wcm,4)-(((VLOOKUP(Sheet1!DC94,hhdcap_wcm,3)-Sheet1!DC94)/(VLOOKUP(Sheet1!DC94,hhdcap_wcm,3)-VLOOKUP(Sheet1!DC94,hhdcap_wcm,1)))*(VLOOKUP(Sheet1!DC94,hhdcap_wcm,4)-VLOOKUP(Sheet1!DC94,hhdcap_wcm,2))))</f>
        <v>16813.000000041855</v>
      </c>
      <c r="DQ96" s="535">
        <f t="shared" si="225"/>
        <v>616.90000000193686</v>
      </c>
      <c r="DR96" s="535">
        <f t="shared" si="226"/>
        <v>311.09430156426464</v>
      </c>
      <c r="DS96" s="535">
        <f>Sheet1!EA94*AFtoMG</f>
        <v>0</v>
      </c>
      <c r="DT96" s="535">
        <f>Sheet1!EB94*AFtoMG</f>
        <v>0</v>
      </c>
      <c r="DU96" s="535">
        <f>Sheet1!EC94*AFtoMG</f>
        <v>0</v>
      </c>
      <c r="DV96" s="535">
        <f>Sheet1!ED94*AFtoMG</f>
        <v>0</v>
      </c>
      <c r="DW96" s="535">
        <f t="shared" si="227"/>
        <v>0</v>
      </c>
      <c r="DX96" s="535">
        <f t="shared" si="228"/>
        <v>0</v>
      </c>
      <c r="DY96" s="535">
        <f t="shared" si="229"/>
        <v>2103.9318551690567</v>
      </c>
      <c r="DZ96" s="535">
        <f t="shared" si="230"/>
        <v>6454.8629316586657</v>
      </c>
      <c r="EA96" s="535"/>
      <c r="EB96" s="521">
        <f>IF(OR(B96&lt;FV96,B96&gt;FW96),(MIN(BF96+BY96+CT96+MAX(Sheet1!AA94+AQ96-73,0),K96)),0)</f>
        <v>10.924257228315053</v>
      </c>
      <c r="EC96" s="535"/>
      <c r="ED96" s="535">
        <f t="shared" si="231"/>
        <v>10.924257228315053</v>
      </c>
      <c r="EE96" s="535"/>
      <c r="EF96" s="535">
        <f>Sheet1!EH94+Sheet1!EI94+Sheet1!EJ94+Sheet1!EK94</f>
        <v>11</v>
      </c>
      <c r="EG96" s="1019">
        <f t="shared" si="295"/>
        <v>17.016999999999999</v>
      </c>
      <c r="EH96" s="521">
        <f t="shared" si="232"/>
        <v>0</v>
      </c>
      <c r="EI96" s="535">
        <f>IF(Sheet1!ET94=1,SUM('Calculations II'!AT96:BA96)+'Calculations II'!BC96+Sheet1!BV94+'Calculations II'!BE96+AP96,'Calculations II'!BK96)</f>
        <v>43.066406771684939</v>
      </c>
      <c r="EJ96" s="535">
        <f ca="1">EI96+'Calculations II'!D96+'Calculations II'!E96+'Calculations II'!O96</f>
        <v>44.281685042840394</v>
      </c>
      <c r="EK96" s="535"/>
      <c r="EL96" s="535"/>
      <c r="EM96" s="535">
        <f t="shared" si="233"/>
        <v>42820</v>
      </c>
      <c r="EN96" s="535">
        <f t="shared" si="234"/>
        <v>53.715742771684944</v>
      </c>
      <c r="EO96" s="535">
        <f t="shared" si="235"/>
        <v>83.098254067796603</v>
      </c>
      <c r="EP96" s="535">
        <v>0</v>
      </c>
      <c r="EQ96" s="535">
        <v>0</v>
      </c>
      <c r="ER96" s="535">
        <v>0</v>
      </c>
      <c r="ES96" s="521">
        <f t="shared" si="257"/>
        <v>-1.3849438845586071</v>
      </c>
      <c r="ET96" s="535">
        <f>-(VLOOKUP(Sheet1!BQ94,Lookup!$O$4:$Q$262,2)-VLOOKUP(Sheet1!BQ93,Lookup!$O$4:$Q$262,2))/1000000</f>
        <v>-0.69235979378582913</v>
      </c>
      <c r="EU96" s="535">
        <f>-(VLOOKUP(Sheet1!BR94,Lookup!$O$4:$Q$262,3)-VLOOKUP(Sheet1!BR93,Lookup!$O$4:$Q$262,3))/1000000</f>
        <v>-0.69258409077277783</v>
      </c>
      <c r="EV96" s="535"/>
      <c r="EW96" s="535"/>
      <c r="EX96" s="535"/>
      <c r="EY96" s="535"/>
      <c r="EZ96" s="535"/>
      <c r="FA96" s="535"/>
      <c r="FB96" s="535"/>
      <c r="FC96" s="535"/>
      <c r="FD96" s="567" t="e">
        <f t="shared" si="236"/>
        <v>#N/A</v>
      </c>
      <c r="FE96" s="567" t="e">
        <f t="shared" si="237"/>
        <v>#N/A</v>
      </c>
      <c r="FF96" s="568" t="e">
        <f t="shared" si="238"/>
        <v>#N/A</v>
      </c>
      <c r="FG96" s="569" t="s">
        <v>656</v>
      </c>
      <c r="FH96" s="569" t="s">
        <v>656</v>
      </c>
      <c r="FI96" s="567" t="e">
        <v>#N/A</v>
      </c>
      <c r="FJ96" s="567" t="e">
        <v>#N/A</v>
      </c>
      <c r="FK96" s="535"/>
      <c r="FL96" s="1015">
        <v>0</v>
      </c>
      <c r="FM96" s="535"/>
      <c r="FN96" s="535"/>
      <c r="FO96" s="535">
        <f>O96+((Sheet1!CS94)*GPMtoMGD)</f>
        <v>55.730000000000004</v>
      </c>
      <c r="FP96" s="535">
        <f>IF(Sheet1!AA94+AQ96&lt;=Calculation!N96,AQ96,Calculation!N96-Sheet1!AA94)</f>
        <v>18.985742771684944</v>
      </c>
      <c r="FQ96" s="535">
        <f>(Sheet1!BP94+Sheet1!BO94)/694.4</f>
        <v>1.5576036866359446</v>
      </c>
      <c r="FR96" s="541"/>
      <c r="FS96" s="541"/>
      <c r="FT96" s="541"/>
      <c r="FU96" s="541"/>
      <c r="FV96" s="1109">
        <f t="shared" si="258"/>
        <v>42918</v>
      </c>
      <c r="FW96" s="1109">
        <f t="shared" si="259"/>
        <v>43027</v>
      </c>
      <c r="FX96" s="541"/>
      <c r="FY96" s="541">
        <f>Sheet1!DA94-Sheet1!CZ94-Sheet1!AE94</f>
        <v>1033.7856899999999</v>
      </c>
      <c r="FZ96" s="535">
        <f t="shared" si="296"/>
        <v>0.45720591542104583</v>
      </c>
      <c r="GA96" s="535"/>
      <c r="GB96" s="535" t="str">
        <f t="shared" si="260"/>
        <v>n</v>
      </c>
      <c r="GC96" s="539">
        <f t="shared" si="261"/>
        <v>42782</v>
      </c>
      <c r="GD96" s="1109">
        <f t="shared" si="262"/>
        <v>42904</v>
      </c>
      <c r="GE96" s="535">
        <f t="shared" si="280"/>
        <v>6520</v>
      </c>
      <c r="GF96" s="1109">
        <f t="shared" si="263"/>
        <v>42909</v>
      </c>
      <c r="GG96" s="535">
        <f t="shared" si="308"/>
        <v>3260</v>
      </c>
      <c r="GH96" s="539">
        <f t="shared" si="264"/>
        <v>43040</v>
      </c>
      <c r="GJ96" s="521">
        <f t="shared" si="265"/>
        <v>0</v>
      </c>
      <c r="GK96" s="535" t="str">
        <f t="shared" si="239"/>
        <v/>
      </c>
      <c r="GL96" s="535">
        <f t="shared" si="266"/>
        <v>0</v>
      </c>
      <c r="GM96" s="535" t="str">
        <f t="shared" si="267"/>
        <v/>
      </c>
      <c r="GN96" s="535">
        <f>IF(GK96="P",Lookup!$M$12,IF(GK96="PP",Lookup!$M$13,IF(GK96="PPP",Lookup!$M$14,IF(GK96="T",Lookup!$M$15,IF(GK96="TP",Lookup!$M$16,IF(GK96="TPP",Lookup!$M$17,IF(GK96="TPPP",Lookup!$M$18,0)))))))*GJ96</f>
        <v>0</v>
      </c>
      <c r="GO96" s="535">
        <f t="shared" si="268"/>
        <v>0</v>
      </c>
      <c r="GP96" s="535">
        <f t="shared" si="240"/>
        <v>3222.6271999999967</v>
      </c>
      <c r="GQ96" s="535">
        <f t="shared" si="279"/>
        <v>1050.399999999999</v>
      </c>
      <c r="GR96" s="535"/>
      <c r="GS96" s="535">
        <f t="shared" si="269"/>
        <v>0</v>
      </c>
      <c r="GT96" s="535" t="str">
        <f t="shared" si="270"/>
        <v/>
      </c>
      <c r="GU96" s="535">
        <f>IF(GK96="P",Lookup!$N$12,IF(GK96="PP",Lookup!$N$13,IF(GK96="PPP",Lookup!$N$14,IF(GK96="T",Lookup!$N$15,IF(GK96="TP",Lookup!$N$16,IF(GK96="TPP",Lookup!$N$17,IF(GK96="TPPP",Lookup!$N$18,0)))))))*GJ96</f>
        <v>0</v>
      </c>
      <c r="GV96" s="535">
        <f t="shared" si="271"/>
        <v>0</v>
      </c>
      <c r="GW96" s="535">
        <f t="shared" si="241"/>
        <v>1380.5510321014842</v>
      </c>
      <c r="GX96" s="535">
        <f t="shared" si="276"/>
        <v>449.9840391465072</v>
      </c>
      <c r="GY96" s="535"/>
      <c r="GZ96" s="535">
        <f t="shared" si="272"/>
        <v>0</v>
      </c>
      <c r="HA96" s="535" t="str">
        <f t="shared" si="273"/>
        <v/>
      </c>
      <c r="HB96" s="535">
        <f>IF(GK96="P",Lookup!$N$12,IF(GK96="PP",Lookup!$N$13,IF(GK96="PPP",Lookup!$N$14,IF(GK96="T",Lookup!$N$15,IF(GK96="TP",Lookup!$N$16,IF(GK96="TPP",Lookup!$N$17,IF(GK96="TPPP",Lookup!$N$18,0)))))))*GJ96</f>
        <v>0</v>
      </c>
      <c r="HC96" s="521">
        <f t="shared" si="242"/>
        <v>0</v>
      </c>
      <c r="HD96" s="535">
        <f t="shared" si="243"/>
        <v>1127.2287317582595</v>
      </c>
      <c r="HE96" s="535">
        <f t="shared" si="277"/>
        <v>367.41484085992812</v>
      </c>
      <c r="HF96" s="535"/>
      <c r="HG96" s="535">
        <f t="shared" si="274"/>
        <v>0</v>
      </c>
      <c r="HH96" s="535" t="str">
        <f t="shared" si="275"/>
        <v/>
      </c>
      <c r="HI96" s="535">
        <f>IF(GK96="P",Lookup!$N$12,IF(GK96="PP",Lookup!$N$13,IF(GK96="PPP",Lookup!$N$14,IF(GK96="T",Lookup!$N$15,IF(GK96="TP",Lookup!$N$16,IF(GK96="TPP",Lookup!$N$17,IF(GK96="TPPP",Lookup!$N$18,0)))))))*GJ96</f>
        <v>0</v>
      </c>
      <c r="HJ96" s="521">
        <f t="shared" si="244"/>
        <v>0</v>
      </c>
      <c r="HK96" s="535">
        <f t="shared" si="245"/>
        <v>724.45596779892514</v>
      </c>
      <c r="HL96" s="535">
        <f t="shared" si="278"/>
        <v>236.13297516262227</v>
      </c>
      <c r="HM96" s="535"/>
      <c r="HN96" s="541"/>
      <c r="HO96" s="541"/>
      <c r="HP96" s="541"/>
      <c r="HQ96" s="541">
        <f>IF(AND(B96&gt;=$FV$4,B96&lt;=$FW$4),MAX(110/1.02+$HQ$6+MIN(113/1.02,G96),IF($HV$6-(Sheet1!DA94-Sheet1!DB94)+MIN(113/1.02,G96)&lt;G96+FL96,$HV$6-(Sheet1!DA94-Sheet1!DB94)+MIN(113/1.02,G96),G96+FL96)),MIN(110/1.02+$HQ$6+113/1.02,G96))</f>
        <v>218.62745098039215</v>
      </c>
      <c r="HR96" s="541">
        <f t="shared" si="297"/>
        <v>223</v>
      </c>
      <c r="HS96" s="541">
        <f>HR96+(Sheet1!DA94-Sheet1!DB94)</f>
        <v>1473</v>
      </c>
      <c r="HT96" s="541">
        <f t="shared" si="298"/>
        <v>69.212779999999995</v>
      </c>
      <c r="HU96" s="541">
        <f t="shared" si="299"/>
        <v>1403.7872199999999</v>
      </c>
      <c r="HV96" s="541">
        <f t="shared" si="300"/>
        <v>0</v>
      </c>
      <c r="HW96" s="533" t="str">
        <f t="shared" si="301"/>
        <v/>
      </c>
      <c r="HX96" s="541">
        <f t="shared" si="302"/>
        <v>1731.372549019608</v>
      </c>
      <c r="HY96" s="541">
        <f>Sheet1!CZ94</f>
        <v>1950</v>
      </c>
      <c r="HZ96" s="541">
        <f t="shared" si="303"/>
        <v>0</v>
      </c>
      <c r="IA96" s="541">
        <f t="shared" si="304"/>
        <v>69.212779999999995</v>
      </c>
      <c r="IB96" s="541">
        <f t="shared" si="305"/>
        <v>1950</v>
      </c>
      <c r="IC96" s="1019" t="str">
        <f t="shared" si="306"/>
        <v/>
      </c>
      <c r="ID96" s="541">
        <f t="shared" si="307"/>
        <v>1880.7872199999999</v>
      </c>
      <c r="IE96" s="541">
        <f>Sheet1!DB94</f>
        <v>1820</v>
      </c>
      <c r="IF96" s="533">
        <f>Sheet1!DA94</f>
        <v>3070</v>
      </c>
      <c r="IH96" s="541">
        <f>IF(AND($B96&gt;=$GC96,$B96&lt;=$GH96,$DR96&lt;0)+N("only adjusted when pool is drawn down during storage season"),Sheet1!$DB94+$DR96+N("Palmer minus all storage release"),Sheet1!$DB94)</f>
        <v>1820</v>
      </c>
      <c r="II96" s="541">
        <f>IF(AND($B96&gt;=$GC96,$B96&lt;=$GH96,$DR96&lt;0)+N("only adjusted when pool is drawn down during storage season"),Sheet1!$DA94+$DR96+N("Auburn minus all storage release"),Sheet1!$DA94)</f>
        <v>3070</v>
      </c>
    </row>
    <row r="97" spans="1:243" x14ac:dyDescent="0.25">
      <c r="A97" s="553" t="s">
        <v>4</v>
      </c>
      <c r="B97" s="531">
        <v>42821</v>
      </c>
      <c r="C97" s="536">
        <v>0</v>
      </c>
      <c r="D97" s="506">
        <f t="shared" si="247"/>
        <v>300</v>
      </c>
      <c r="E97" s="506">
        <f t="shared" si="248"/>
        <v>250</v>
      </c>
      <c r="F97" s="506">
        <v>250</v>
      </c>
      <c r="G97" s="535">
        <f>DR97+Sheet1!CZ95</f>
        <v>2399.6318709033058</v>
      </c>
      <c r="H97" s="1074">
        <f t="shared" si="281"/>
        <v>1127.9129461119999</v>
      </c>
      <c r="I97" s="534">
        <f>IF(Sheet1!DA95&gt;=E97,(Sheet1!DA95-E97+P97)*CFStoMGD,0)</f>
        <v>1974.696946112</v>
      </c>
      <c r="J97" s="995">
        <f>IF(Sheet1!DB95&gt;=D97,(Sheet1!DB95-D97+P97)*CFStoMGD,0)</f>
        <v>1127.9129461119999</v>
      </c>
      <c r="K97" s="818">
        <f t="shared" si="282"/>
        <v>64.64</v>
      </c>
      <c r="L97" s="535">
        <f>Sheet1!AA95+Sheet1!AB95-Sheet1!L95+(Sheet1!DA95-F97)*CFStoMGD-S97-T97-U97</f>
        <v>1910.058</v>
      </c>
      <c r="M97" s="535">
        <f t="shared" si="185"/>
        <v>1582.1444821789348</v>
      </c>
      <c r="N97" s="824">
        <f>IF(Sheet1!DA95&gt;=F97,MIN(113*CFStoMGD,MIN(MAX(L97,0),MAX(M97,0))),0)</f>
        <v>73.043199999999999</v>
      </c>
      <c r="O97" s="538">
        <f>Sheet1!AA95+Sheet1!AB95</f>
        <v>54.89</v>
      </c>
      <c r="P97" s="538">
        <f t="shared" si="186"/>
        <v>84.914829999999995</v>
      </c>
      <c r="Q97" s="812">
        <f t="shared" si="283"/>
        <v>44.24</v>
      </c>
      <c r="R97" s="812">
        <f t="shared" si="249"/>
        <v>10.628153846153847</v>
      </c>
      <c r="S97" s="812">
        <f t="shared" si="250"/>
        <v>10.65</v>
      </c>
      <c r="T97" s="812">
        <f t="shared" si="251"/>
        <v>53.99</v>
      </c>
      <c r="U97" s="812">
        <f t="shared" si="284"/>
        <v>0</v>
      </c>
      <c r="V97" s="812"/>
      <c r="W97" s="812">
        <f t="shared" si="252"/>
        <v>54.01184615384615</v>
      </c>
      <c r="X97" s="812">
        <f t="shared" si="253"/>
        <v>64.64</v>
      </c>
      <c r="Y97" s="812" t="str">
        <f t="shared" si="254"/>
        <v>FALSE</v>
      </c>
      <c r="Z97" s="812">
        <f t="shared" si="255"/>
        <v>54.89</v>
      </c>
      <c r="AA97" s="812">
        <f t="shared" si="256"/>
        <v>54.89</v>
      </c>
      <c r="AB97" s="1059">
        <f t="shared" si="285"/>
        <v>68.439279999999997</v>
      </c>
      <c r="AC97" s="538">
        <f>Sheet1!Y95*MGDtoCFS</f>
        <v>39.943539999999999</v>
      </c>
      <c r="AD97" s="538">
        <f>Sheet1!Z95*MGDtoCFS</f>
        <v>46.270769999999999</v>
      </c>
      <c r="AE97" s="538">
        <f>Sheet1!AA95*MGDtoCFS</f>
        <v>39.757899999999999</v>
      </c>
      <c r="AF97" s="538">
        <f>Sheet1!AB95*MGDtoCFS</f>
        <v>45.156930000000003</v>
      </c>
      <c r="AG97" s="538">
        <f>Sheet1!L95*MGDtoCFS</f>
        <v>0</v>
      </c>
      <c r="AH97" s="521">
        <f t="shared" si="187"/>
        <v>0</v>
      </c>
      <c r="AI97" s="1059">
        <f t="shared" si="188"/>
        <v>0</v>
      </c>
      <c r="AJ97" s="535">
        <f t="shared" si="189"/>
        <v>54.01184615384615</v>
      </c>
      <c r="AK97" s="535">
        <f t="shared" si="190"/>
        <v>83.556325999999984</v>
      </c>
      <c r="AL97" s="535">
        <f>(VLOOKUP(Sheet1!DC95,hhdcap_wcm,4)-(((VLOOKUP(Sheet1!DC95,hhdcap_wcm,3)-Sheet1!DC95)/(VLOOKUP(Sheet1!DC95,hhdcap_wcm,3)-VLOOKUP(Sheet1!DC95,hhdcap_wcm,1)))*(VLOOKUP(Sheet1!DC95,hhdcap_wcm,4)-VLOOKUP(Sheet1!DC95,hhdcap_wcm,2))))</f>
        <v>17427.00000004311</v>
      </c>
      <c r="AM97" s="535">
        <f t="shared" si="191"/>
        <v>614.0000000012551</v>
      </c>
      <c r="AN97" s="1035">
        <f t="shared" si="192"/>
        <v>2157.9437013229031</v>
      </c>
      <c r="AO97" s="535">
        <f t="shared" si="193"/>
        <v>6620.5712756586663</v>
      </c>
      <c r="AP97" s="535">
        <f>Sheet1!BA95+Sheet1!BB95+Sheet1!BN95+CD97</f>
        <v>18.600000000000001</v>
      </c>
      <c r="AQ97" s="535">
        <f>Sheet1!BN95+(DO97*Sheet1!BN95)</f>
        <v>18.561846153846155</v>
      </c>
      <c r="AR97" s="535">
        <f>Sheet1!BA95+CD97</f>
        <v>0</v>
      </c>
      <c r="AS97" s="535">
        <f>Sheet1!BA95+Sheet1!BB95+CD97</f>
        <v>0</v>
      </c>
      <c r="AT97" s="649">
        <f>0</f>
        <v>0</v>
      </c>
      <c r="AU97" s="535">
        <f>IF(EB97&lt;K97,0,MAX(Sheet1!AA95+AQ97-15/36*K97-N97,Sheet1!EH95,0))</f>
        <v>0</v>
      </c>
      <c r="AV97" s="535">
        <f>IF(OR(B97&gt;=GD97,B97&lt;GC97),0,15/36*K97-MAX(0,64.6-(137.6-(Sheet1!AA95+Sheet1!AB95))))</f>
        <v>26.933333333333334</v>
      </c>
      <c r="AW97" s="1029"/>
      <c r="AX97" s="649"/>
      <c r="AY97" s="649">
        <f t="shared" si="286"/>
        <v>0</v>
      </c>
      <c r="AZ97" s="649">
        <f t="shared" si="287"/>
        <v>0</v>
      </c>
      <c r="BA97" s="1059">
        <f t="shared" si="288"/>
        <v>0</v>
      </c>
      <c r="BB97" s="1019">
        <f t="shared" si="194"/>
        <v>1077.3333333333323</v>
      </c>
      <c r="BC97" s="1041">
        <f t="shared" si="289"/>
        <v>26.933333333333334</v>
      </c>
      <c r="BD97" s="1019">
        <f ca="1">IF(B97&gt;Summary!$A$1,#N/A,BB97*MGtoAF)</f>
        <v>3305.2586666666639</v>
      </c>
      <c r="BE97" s="535">
        <f>Sheet1!BG95+Sheet1!BH95+Sheet1!BI95-BM97</f>
        <v>1.01</v>
      </c>
      <c r="BF97" s="535">
        <f t="shared" si="195"/>
        <v>1.0079282051282052</v>
      </c>
      <c r="BG97" s="535">
        <f>IF(Sheet1!EP95="FM",BM97,0)</f>
        <v>0</v>
      </c>
      <c r="BH97" s="535">
        <f t="shared" si="196"/>
        <v>0</v>
      </c>
      <c r="BI97" s="535">
        <f>IF(Sheet1!EP95="OTHER",BM97,0)</f>
        <v>0</v>
      </c>
      <c r="BJ97" s="535">
        <f t="shared" si="197"/>
        <v>0</v>
      </c>
      <c r="BK97" s="535">
        <f t="shared" si="198"/>
        <v>1.01</v>
      </c>
      <c r="BL97" s="535">
        <f t="shared" si="199"/>
        <v>1.0079282051282052</v>
      </c>
      <c r="BM97" s="535">
        <f>IF(OR(Sheet1!EP95="FM", Sheet1!EP95="OTHER"),SUM(Sheet1!BG95:'Sheet1'!BI95),0)</f>
        <v>0</v>
      </c>
      <c r="BN97" s="521">
        <f>IF(AND($B97&gt;=$FV97,$B97&lt;=$FW97),MAX(BF97,Sheet1!EI95,0),MAX(BF97-(7/36)*$K97,0))</f>
        <v>0</v>
      </c>
      <c r="BO97" s="535">
        <f t="shared" si="200"/>
        <v>11.560960683760683</v>
      </c>
      <c r="BP97" s="521">
        <f t="shared" si="201"/>
        <v>1.0079282051282052</v>
      </c>
      <c r="BQ97" s="521">
        <f>IF(AND($O97&gt;0,Sheet1!EM95=1),(1-($O97-Sheet1!$L95)/$O97)*BL97,0)</f>
        <v>0</v>
      </c>
      <c r="BR97" s="521">
        <f>IF(AND(Sheet1!$L95=0,Sheet1!$L94=0, Calculation!BK97&lt;Sheet1!$EI95-0.1,Sheet1!$EI95=Sheet1!$EI94,Sheet1!$EI95=Sheet1!$EI96),BL97-BQ97,BL97-BQ97)</f>
        <v>1.0079282051282052</v>
      </c>
      <c r="BS97" s="1035" t="str">
        <f t="shared" si="290"/>
        <v/>
      </c>
      <c r="BT97" s="1035">
        <f t="shared" si="291"/>
        <v>12.568888888888889</v>
      </c>
      <c r="BU97" s="535">
        <f t="shared" si="202"/>
        <v>461.5449998302679</v>
      </c>
      <c r="BV97" s="535"/>
      <c r="BW97" s="535">
        <f ca="1">IF(B97&gt;Summary!$A$1,#N/A,BU97*MGtoAF)</f>
        <v>1416.020059479262</v>
      </c>
      <c r="BX97" s="535">
        <f>Sheet1!BC95+Sheet1!BD95+Sheet1!BE95+Sheet1!BF95-CG97-CH97</f>
        <v>3.17</v>
      </c>
      <c r="BY97" s="535">
        <f t="shared" si="203"/>
        <v>3.1634974358974359</v>
      </c>
      <c r="BZ97" s="535">
        <f>IF(Sheet1!EQ95="FM",CH97,0)</f>
        <v>0</v>
      </c>
      <c r="CA97" s="535">
        <f t="shared" si="204"/>
        <v>0</v>
      </c>
      <c r="CB97" s="535">
        <f>IF(Sheet1!EQ95="OTHER",CH97,0)</f>
        <v>0</v>
      </c>
      <c r="CC97" s="535">
        <f t="shared" si="205"/>
        <v>0</v>
      </c>
      <c r="CD97" s="535">
        <f t="shared" si="206"/>
        <v>0</v>
      </c>
      <c r="CE97" s="535">
        <f t="shared" si="207"/>
        <v>3.17</v>
      </c>
      <c r="CF97" s="535">
        <f t="shared" si="208"/>
        <v>3.1634974358974359</v>
      </c>
      <c r="CG97" s="535">
        <f>IF(Sheet1!EQ95="CWA",SUM(Sheet1!BC95:'Sheet1'!BF95),0)</f>
        <v>0</v>
      </c>
      <c r="CH97" s="535">
        <f>IF(OR(Sheet1!EQ95="FM", Sheet1!EQ95="OTHER"),SUM(Sheet1!BC95:'Sheet1'!BF95),0)</f>
        <v>0</v>
      </c>
      <c r="CI97" s="521">
        <f>IF(AND($B97&gt;=$FV97,$B97&lt;=$FW97),MAX(CF97,Sheet1!EJ95,0),MAX(CF97-(7/36)*$K97,0))</f>
        <v>0</v>
      </c>
      <c r="CJ97" s="535">
        <f t="shared" si="209"/>
        <v>9.4053914529914522</v>
      </c>
      <c r="CK97" s="521">
        <f t="shared" si="210"/>
        <v>3.1634974358974359</v>
      </c>
      <c r="CL97" s="521">
        <f>IF(AND($O97&gt;0,Sheet1!EN95=1),(1-($O97-Sheet1!$L95)/$O97)*CF97,0)</f>
        <v>0</v>
      </c>
      <c r="CM97" s="521">
        <f>IF(AND(Sheet1!$L95=0,Sheet1!$L94=0, Calculation!CE97&lt;Sheet1!EJ95-0.1,Sheet1!EJ95=Sheet1!EJ94,Sheet1!EJ95=Sheet1!EJ96),CF97-CL97,CF97-CL97)</f>
        <v>3.1634974358974359</v>
      </c>
      <c r="CN97" s="1040" t="str">
        <f t="shared" si="292"/>
        <v/>
      </c>
      <c r="CO97" s="1035">
        <f t="shared" si="293"/>
        <v>12.568888888888889</v>
      </c>
      <c r="CP97" s="535">
        <f t="shared" si="211"/>
        <v>376.82023231291959</v>
      </c>
      <c r="CQ97" s="535"/>
      <c r="CR97" s="535">
        <f ca="1">IF(B97&gt;Summary!$A$1,#N/A,CP97*MGtoAF)</f>
        <v>1156.0844727360372</v>
      </c>
      <c r="CS97" s="535">
        <f>Sheet1!BK95+Sheet1!BL95+Sheet1!BM95-Sheet1!ER95-DA97</f>
        <v>6.47</v>
      </c>
      <c r="CT97" s="535">
        <f t="shared" si="212"/>
        <v>6.4567282051282051</v>
      </c>
      <c r="CU97" s="535">
        <f>IF(Sheet1!ER95="FM",DA97,0)</f>
        <v>0</v>
      </c>
      <c r="CV97" s="535">
        <f t="shared" si="213"/>
        <v>0</v>
      </c>
      <c r="CW97" s="535">
        <f>IF(Sheet1!ER95="OTHER",DA97,0)</f>
        <v>0</v>
      </c>
      <c r="CX97" s="535">
        <f t="shared" si="214"/>
        <v>0</v>
      </c>
      <c r="CY97" s="535">
        <f t="shared" si="215"/>
        <v>6.47</v>
      </c>
      <c r="CZ97" s="535">
        <f t="shared" si="216"/>
        <v>6.4567282051282051</v>
      </c>
      <c r="DA97" s="535">
        <f>IF(OR(Sheet1!ER95="FM", Sheet1!ER95="OTHER"),SUM(Sheet1!BK95:'Sheet1'!BM95),0)</f>
        <v>0</v>
      </c>
      <c r="DB97" s="1011">
        <f>IF(AND($B97&gt;=$FV97,$B97&lt;=$FW97),MAX($CT97,Sheet1!EK95,0),MAX($CT97-(7/36)*$K97,0))</f>
        <v>0</v>
      </c>
      <c r="DC97" s="1012">
        <f t="shared" si="217"/>
        <v>6.1121606837606839</v>
      </c>
      <c r="DD97" s="1011">
        <f t="shared" si="218"/>
        <v>6.4567282051282051</v>
      </c>
      <c r="DE97" s="521">
        <f>IF(AND($O97&gt;0,Sheet1!EO95=1),(1-($O97-Sheet1!$L95)/$O97)*CZ97,0)</f>
        <v>0</v>
      </c>
      <c r="DF97" s="521">
        <f>IF(AND(Sheet1!$L95=0,Sheet1!$L94=0, Calculation!CY97&lt;Sheet1!$EK95-0.1,Sheet1!$EK95=Sheet1!$EK94,Sheet1!$EK95=Sheet1!$EK96),CZ97-DE97,CZ97-DE97)</f>
        <v>6.4567282051282051</v>
      </c>
      <c r="DG97" s="1040">
        <f t="shared" si="294"/>
        <v>12.568888888888889</v>
      </c>
      <c r="DH97" s="649">
        <f t="shared" si="219"/>
        <v>10.649999999999999</v>
      </c>
      <c r="DI97" s="535">
        <f t="shared" si="220"/>
        <v>242.24513584638296</v>
      </c>
      <c r="DJ97" s="649">
        <f t="shared" si="221"/>
        <v>10.628153846153847</v>
      </c>
      <c r="DK97" s="535">
        <f ca="1">IF(B97&gt;Summary!$A$1,#N/A,DI97*MGtoAF)</f>
        <v>743.20807677670291</v>
      </c>
      <c r="DL97" s="649">
        <f t="shared" si="222"/>
        <v>10.65</v>
      </c>
      <c r="DM97" s="535">
        <f t="shared" si="223"/>
        <v>29.25</v>
      </c>
      <c r="DN97" s="535">
        <f>Sheet1!AB95-DM97</f>
        <v>-5.9999999999998721E-2</v>
      </c>
      <c r="DO97" s="743">
        <f t="shared" si="224"/>
        <v>-2.0512820512820075E-3</v>
      </c>
      <c r="DP97" s="535">
        <f>(VLOOKUP(Sheet1!DC95,hhdcap_wcm,4)-(((VLOOKUP(Sheet1!DC95,hhdcap_wcm,3)-Sheet1!DC95)/(VLOOKUP(Sheet1!DC95,hhdcap_wcm,3)-VLOOKUP(Sheet1!DC95,hhdcap_wcm,1)))*(VLOOKUP(Sheet1!DC95,hhdcap_wcm,4)-VLOOKUP(Sheet1!DC95,hhdcap_wcm,2))))</f>
        <v>17427.00000004311</v>
      </c>
      <c r="DQ97" s="535">
        <f t="shared" si="225"/>
        <v>614.0000000012551</v>
      </c>
      <c r="DR97" s="535">
        <f t="shared" si="226"/>
        <v>309.63187090330558</v>
      </c>
      <c r="DS97" s="535">
        <f>Sheet1!EA95*AFtoMG</f>
        <v>0</v>
      </c>
      <c r="DT97" s="535">
        <f>Sheet1!EB95*AFtoMG</f>
        <v>0</v>
      </c>
      <c r="DU97" s="535">
        <f>Sheet1!EC95*AFtoMG</f>
        <v>0</v>
      </c>
      <c r="DV97" s="535">
        <f>Sheet1!ED95*AFtoMG</f>
        <v>0</v>
      </c>
      <c r="DW97" s="535">
        <f t="shared" si="227"/>
        <v>0</v>
      </c>
      <c r="DX97" s="535">
        <f t="shared" si="228"/>
        <v>0</v>
      </c>
      <c r="DY97" s="535">
        <f t="shared" si="229"/>
        <v>2157.9437013229031</v>
      </c>
      <c r="DZ97" s="535">
        <f t="shared" si="230"/>
        <v>6620.5712756586663</v>
      </c>
      <c r="EA97" s="535"/>
      <c r="EB97" s="521">
        <f>IF(OR(B97&lt;FV97,B97&gt;FW97),(MIN(BF97+BY97+CT97+MAX(Sheet1!AA95+AQ97-73,0),K97)),0)</f>
        <v>10.628153846153847</v>
      </c>
      <c r="EC97" s="535"/>
      <c r="ED97" s="535">
        <f t="shared" si="231"/>
        <v>10.628153846153847</v>
      </c>
      <c r="EE97" s="535"/>
      <c r="EF97" s="535">
        <f>Sheet1!EH95+Sheet1!EI95+Sheet1!EJ95+Sheet1!EK95</f>
        <v>10.5</v>
      </c>
      <c r="EG97" s="1019">
        <f t="shared" si="295"/>
        <v>16.243500000000001</v>
      </c>
      <c r="EH97" s="521">
        <f t="shared" si="232"/>
        <v>0</v>
      </c>
      <c r="EI97" s="535">
        <f>IF(Sheet1!ET95=1,SUM('Calculations II'!AT97:BA97)+'Calculations II'!BC97+Sheet1!BV95+'Calculations II'!BE97+AP97,'Calculations II'!BK97)</f>
        <v>43.136260153846159</v>
      </c>
      <c r="EJ97" s="535">
        <f ca="1">EI97+'Calculations II'!D97+'Calculations II'!E97+'Calculations II'!O97</f>
        <v>45.209470842525768</v>
      </c>
      <c r="EK97" s="535"/>
      <c r="EL97" s="535"/>
      <c r="EM97" s="535">
        <f t="shared" si="233"/>
        <v>42821</v>
      </c>
      <c r="EN97" s="535">
        <f t="shared" si="234"/>
        <v>54.01184615384615</v>
      </c>
      <c r="EO97" s="535">
        <f t="shared" si="235"/>
        <v>83.556325999999984</v>
      </c>
      <c r="EP97" s="535">
        <v>0</v>
      </c>
      <c r="EQ97" s="535">
        <v>0</v>
      </c>
      <c r="ER97" s="535">
        <v>0</v>
      </c>
      <c r="ES97" s="521">
        <f t="shared" si="257"/>
        <v>-1.1081858246475718</v>
      </c>
      <c r="ET97" s="535">
        <f>-(VLOOKUP(Sheet1!BQ95,Lookup!$O$4:$Q$262,2)-VLOOKUP(Sheet1!BQ94,Lookup!$O$4:$Q$262,2))/1000000</f>
        <v>-0.55400318421760197</v>
      </c>
      <c r="EU97" s="535">
        <f>-(VLOOKUP(Sheet1!BR95,Lookup!$O$4:$Q$262,3)-VLOOKUP(Sheet1!BR94,Lookup!$O$4:$Q$262,3))/1000000</f>
        <v>-0.5541826404299699</v>
      </c>
      <c r="EV97" s="535"/>
      <c r="EW97" s="535"/>
      <c r="EX97" s="535"/>
      <c r="EY97" s="535"/>
      <c r="EZ97" s="535"/>
      <c r="FA97" s="535"/>
      <c r="FB97" s="535"/>
      <c r="FC97" s="535"/>
      <c r="FD97" s="567" t="e">
        <f t="shared" si="236"/>
        <v>#N/A</v>
      </c>
      <c r="FE97" s="567" t="e">
        <f t="shared" si="237"/>
        <v>#N/A</v>
      </c>
      <c r="FF97" s="568" t="e">
        <f t="shared" si="238"/>
        <v>#N/A</v>
      </c>
      <c r="FG97" s="569" t="s">
        <v>656</v>
      </c>
      <c r="FH97" s="569" t="s">
        <v>656</v>
      </c>
      <c r="FI97" s="567" t="e">
        <v>#N/A</v>
      </c>
      <c r="FJ97" s="567" t="e">
        <v>#N/A</v>
      </c>
      <c r="FK97" s="535"/>
      <c r="FL97" s="1015">
        <v>0</v>
      </c>
      <c r="FM97" s="535"/>
      <c r="FN97" s="535"/>
      <c r="FO97" s="535">
        <f>O97+((Sheet1!CS95)*GPMtoMGD)</f>
        <v>54.89</v>
      </c>
      <c r="FP97" s="535">
        <f>IF(Sheet1!AA95+AQ97&lt;=Calculation!N97,AQ97,Calculation!N97-Sheet1!AA95)</f>
        <v>18.561846153846155</v>
      </c>
      <c r="FQ97" s="535">
        <f>(Sheet1!BP95+Sheet1!BO95)/694.4</f>
        <v>1.5311059907834104</v>
      </c>
      <c r="FR97" s="541"/>
      <c r="FS97" s="541"/>
      <c r="FT97" s="541"/>
      <c r="FU97" s="541"/>
      <c r="FV97" s="1109">
        <f t="shared" si="258"/>
        <v>42918</v>
      </c>
      <c r="FW97" s="1109">
        <f t="shared" si="259"/>
        <v>43027</v>
      </c>
      <c r="FX97" s="541"/>
      <c r="FY97" s="541">
        <f>Sheet1!DA95-Sheet1!CZ95-Sheet1!AE95</f>
        <v>1045.0851700000001</v>
      </c>
      <c r="FZ97" s="535">
        <f t="shared" si="296"/>
        <v>0.43551895716678962</v>
      </c>
      <c r="GA97" s="535"/>
      <c r="GB97" s="535" t="str">
        <f t="shared" si="260"/>
        <v>n</v>
      </c>
      <c r="GC97" s="539">
        <f t="shared" si="261"/>
        <v>42782</v>
      </c>
      <c r="GD97" s="1109">
        <f t="shared" si="262"/>
        <v>42904</v>
      </c>
      <c r="GE97" s="535">
        <f t="shared" si="280"/>
        <v>6520</v>
      </c>
      <c r="GF97" s="1109">
        <f t="shared" si="263"/>
        <v>42909</v>
      </c>
      <c r="GG97" s="535">
        <f t="shared" si="308"/>
        <v>3260</v>
      </c>
      <c r="GH97" s="539">
        <f t="shared" si="264"/>
        <v>43040</v>
      </c>
      <c r="GJ97" s="521">
        <f t="shared" si="265"/>
        <v>0</v>
      </c>
      <c r="GK97" s="535" t="str">
        <f t="shared" si="239"/>
        <v/>
      </c>
      <c r="GL97" s="535">
        <f t="shared" si="266"/>
        <v>0</v>
      </c>
      <c r="GM97" s="535" t="str">
        <f t="shared" si="267"/>
        <v/>
      </c>
      <c r="GN97" s="535">
        <f>IF(GK97="P",Lookup!$M$12,IF(GK97="PP",Lookup!$M$13,IF(GK97="PPP",Lookup!$M$14,IF(GK97="T",Lookup!$M$15,IF(GK97="TP",Lookup!$M$16,IF(GK97="TPP",Lookup!$M$17,IF(GK97="TPPP",Lookup!$M$18,0)))))))*GJ97</f>
        <v>0</v>
      </c>
      <c r="GO97" s="535">
        <f t="shared" si="268"/>
        <v>0</v>
      </c>
      <c r="GP97" s="535">
        <f t="shared" si="240"/>
        <v>3305.2586666666639</v>
      </c>
      <c r="GQ97" s="535">
        <f t="shared" si="279"/>
        <v>1077.3333333333323</v>
      </c>
      <c r="GR97" s="535"/>
      <c r="GS97" s="535">
        <f t="shared" si="269"/>
        <v>0</v>
      </c>
      <c r="GT97" s="535" t="str">
        <f t="shared" si="270"/>
        <v/>
      </c>
      <c r="GU97" s="535">
        <f>IF(GK97="P",Lookup!$N$12,IF(GK97="PP",Lookup!$N$13,IF(GK97="PPP",Lookup!$N$14,IF(GK97="T",Lookup!$N$15,IF(GK97="TP",Lookup!$N$16,IF(GK97="TPP",Lookup!$N$17,IF(GK97="TPPP",Lookup!$N$18,0)))))))*GJ97</f>
        <v>0</v>
      </c>
      <c r="GV97" s="535">
        <f t="shared" si="271"/>
        <v>0</v>
      </c>
      <c r="GW97" s="535">
        <f t="shared" si="241"/>
        <v>1416.020059479262</v>
      </c>
      <c r="GX97" s="535">
        <f t="shared" si="276"/>
        <v>461.5449998302679</v>
      </c>
      <c r="GY97" s="535"/>
      <c r="GZ97" s="535">
        <f t="shared" si="272"/>
        <v>0</v>
      </c>
      <c r="HA97" s="535" t="str">
        <f t="shared" si="273"/>
        <v/>
      </c>
      <c r="HB97" s="535">
        <f>IF(GK97="P",Lookup!$N$12,IF(GK97="PP",Lookup!$N$13,IF(GK97="PPP",Lookup!$N$14,IF(GK97="T",Lookup!$N$15,IF(GK97="TP",Lookup!$N$16,IF(GK97="TPP",Lookup!$N$17,IF(GK97="TPPP",Lookup!$N$18,0)))))))*GJ97</f>
        <v>0</v>
      </c>
      <c r="HC97" s="521">
        <f t="shared" si="242"/>
        <v>0</v>
      </c>
      <c r="HD97" s="535">
        <f t="shared" si="243"/>
        <v>1156.0844727360372</v>
      </c>
      <c r="HE97" s="535">
        <f t="shared" si="277"/>
        <v>376.82023231291959</v>
      </c>
      <c r="HF97" s="535"/>
      <c r="HG97" s="535">
        <f t="shared" si="274"/>
        <v>0</v>
      </c>
      <c r="HH97" s="535" t="str">
        <f t="shared" si="275"/>
        <v/>
      </c>
      <c r="HI97" s="535">
        <f>IF(GK97="P",Lookup!$N$12,IF(GK97="PP",Lookup!$N$13,IF(GK97="PPP",Lookup!$N$14,IF(GK97="T",Lookup!$N$15,IF(GK97="TP",Lookup!$N$16,IF(GK97="TPP",Lookup!$N$17,IF(GK97="TPPP",Lookup!$N$18,0)))))))*GJ97</f>
        <v>0</v>
      </c>
      <c r="HJ97" s="521">
        <f t="shared" si="244"/>
        <v>0</v>
      </c>
      <c r="HK97" s="535">
        <f t="shared" si="245"/>
        <v>743.20807677670291</v>
      </c>
      <c r="HL97" s="535">
        <f t="shared" si="278"/>
        <v>242.24513584638296</v>
      </c>
      <c r="HM97" s="535"/>
      <c r="HN97" s="541"/>
      <c r="HO97" s="541"/>
      <c r="HP97" s="541"/>
      <c r="HQ97" s="541">
        <f>IF(AND(B97&gt;=$FV$4,B97&lt;=$FW$4),MAX(110/1.02+$HQ$6+MIN(113/1.02,G97),IF($HV$6-(Sheet1!DA95-Sheet1!DB95)+MIN(113/1.02,G97)&lt;G97+FL97,$HV$6-(Sheet1!DA95-Sheet1!DB95)+MIN(113/1.02,G97),G97+FL97)),MIN(110/1.02+$HQ$6+113/1.02,G97))</f>
        <v>218.62745098039215</v>
      </c>
      <c r="HR97" s="541">
        <f t="shared" si="297"/>
        <v>223</v>
      </c>
      <c r="HS97" s="541">
        <f>HR97+(Sheet1!DA95-Sheet1!DB95)</f>
        <v>1483</v>
      </c>
      <c r="HT97" s="541">
        <f t="shared" si="298"/>
        <v>68.439279999999997</v>
      </c>
      <c r="HU97" s="541">
        <f t="shared" si="299"/>
        <v>1414.5607199999999</v>
      </c>
      <c r="HV97" s="541">
        <f t="shared" si="300"/>
        <v>0</v>
      </c>
      <c r="HW97" s="533" t="str">
        <f t="shared" si="301"/>
        <v/>
      </c>
      <c r="HX97" s="541">
        <f t="shared" si="302"/>
        <v>1871.372549019608</v>
      </c>
      <c r="HY97" s="541">
        <f>Sheet1!CZ95</f>
        <v>2090</v>
      </c>
      <c r="HZ97" s="541">
        <f t="shared" si="303"/>
        <v>0</v>
      </c>
      <c r="IA97" s="541">
        <f t="shared" si="304"/>
        <v>68.439279999999997</v>
      </c>
      <c r="IB97" s="541">
        <f t="shared" si="305"/>
        <v>2090</v>
      </c>
      <c r="IC97" s="1019" t="str">
        <f t="shared" si="306"/>
        <v/>
      </c>
      <c r="ID97" s="541">
        <f t="shared" si="307"/>
        <v>2021.5607199999999</v>
      </c>
      <c r="IE97" s="541">
        <f>Sheet1!DB95</f>
        <v>1960</v>
      </c>
      <c r="IF97" s="533">
        <f>Sheet1!DA95</f>
        <v>3220</v>
      </c>
      <c r="IH97" s="541">
        <f>IF(AND($B97&gt;=$GC97,$B97&lt;=$GH97,$DR97&lt;0)+N("only adjusted when pool is drawn down during storage season"),Sheet1!$DB95+$DR97+N("Palmer minus all storage release"),Sheet1!$DB95)</f>
        <v>1960</v>
      </c>
      <c r="II97" s="541">
        <f>IF(AND($B97&gt;=$GC97,$B97&lt;=$GH97,$DR97&lt;0)+N("only adjusted when pool is drawn down during storage season"),Sheet1!$DA95+$DR97+N("Auburn minus all storage release"),Sheet1!$DA95)</f>
        <v>3220</v>
      </c>
    </row>
    <row r="98" spans="1:243" x14ac:dyDescent="0.25">
      <c r="A98" s="553" t="s">
        <v>5</v>
      </c>
      <c r="B98" s="531">
        <v>42822</v>
      </c>
      <c r="C98" s="536">
        <v>0</v>
      </c>
      <c r="D98" s="506">
        <f t="shared" si="247"/>
        <v>300</v>
      </c>
      <c r="E98" s="506">
        <f t="shared" si="248"/>
        <v>250</v>
      </c>
      <c r="F98" s="506">
        <v>250</v>
      </c>
      <c r="G98" s="535">
        <f>DR98+Sheet1!CZ96</f>
        <v>2676.9944528502265</v>
      </c>
      <c r="H98" s="1074">
        <f t="shared" si="281"/>
        <v>1263.4669497599998</v>
      </c>
      <c r="I98" s="534">
        <f>IF(Sheet1!DA96&gt;=E98,(Sheet1!DA96-E98+P98)*CFStoMGD,0)</f>
        <v>2142.5709497599996</v>
      </c>
      <c r="J98" s="995">
        <f>IF(Sheet1!DB96&gt;=D98,(Sheet1!DB96-D98+P98)*CFStoMGD,0)</f>
        <v>1263.4669497599998</v>
      </c>
      <c r="K98" s="818">
        <f t="shared" si="282"/>
        <v>64.64</v>
      </c>
      <c r="L98" s="535">
        <f>Sheet1!AA96+Sheet1!AB96-Sheet1!L96+(Sheet1!DA96-F98)*CFStoMGD-S98-T98-U98</f>
        <v>2077.9319999999998</v>
      </c>
      <c r="M98" s="535">
        <f t="shared" si="185"/>
        <v>1765.0173986088341</v>
      </c>
      <c r="N98" s="824">
        <f>IF(Sheet1!DA96&gt;=F98,MIN(113*CFStoMGD,MIN(MAX(L98,0),MAX(M98,0))),0)</f>
        <v>73.043199999999999</v>
      </c>
      <c r="O98" s="538">
        <f>Sheet1!AA96+Sheet1!AB96</f>
        <v>54.7</v>
      </c>
      <c r="P98" s="538">
        <f t="shared" si="186"/>
        <v>84.620899999999992</v>
      </c>
      <c r="Q98" s="812">
        <f t="shared" si="283"/>
        <v>44.21</v>
      </c>
      <c r="R98" s="812">
        <f t="shared" si="249"/>
        <v>10.4214850464077</v>
      </c>
      <c r="S98" s="812">
        <f t="shared" si="250"/>
        <v>10.49</v>
      </c>
      <c r="T98" s="812">
        <f t="shared" si="251"/>
        <v>54.15</v>
      </c>
      <c r="U98" s="812">
        <f t="shared" si="284"/>
        <v>0</v>
      </c>
      <c r="V98" s="812"/>
      <c r="W98" s="812">
        <f t="shared" si="252"/>
        <v>54.218514953592305</v>
      </c>
      <c r="X98" s="812">
        <f t="shared" si="253"/>
        <v>64.64</v>
      </c>
      <c r="Y98" s="812" t="str">
        <f t="shared" si="254"/>
        <v>FALSE</v>
      </c>
      <c r="Z98" s="812">
        <f t="shared" si="255"/>
        <v>54.7</v>
      </c>
      <c r="AA98" s="812">
        <f t="shared" si="256"/>
        <v>54.7</v>
      </c>
      <c r="AB98" s="1059">
        <f t="shared" si="285"/>
        <v>68.392870000000002</v>
      </c>
      <c r="AC98" s="538">
        <f>Sheet1!Y96*MGDtoCFS</f>
        <v>39.757899999999999</v>
      </c>
      <c r="AD98" s="538">
        <f>Sheet1!Z96*MGDtoCFS</f>
        <v>45.156930000000003</v>
      </c>
      <c r="AE98" s="538">
        <f>Sheet1!AA96*MGDtoCFS</f>
        <v>39.912599999999998</v>
      </c>
      <c r="AF98" s="538">
        <f>Sheet1!AB96*MGDtoCFS</f>
        <v>44.708299999999994</v>
      </c>
      <c r="AG98" s="538">
        <f>Sheet1!L96*MGDtoCFS</f>
        <v>0</v>
      </c>
      <c r="AH98" s="521">
        <f t="shared" si="187"/>
        <v>0</v>
      </c>
      <c r="AI98" s="1059">
        <f t="shared" si="188"/>
        <v>0</v>
      </c>
      <c r="AJ98" s="535">
        <f t="shared" si="189"/>
        <v>54.218514953592305</v>
      </c>
      <c r="AK98" s="535">
        <f t="shared" si="190"/>
        <v>83.876042633207291</v>
      </c>
      <c r="AL98" s="535">
        <f>(VLOOKUP(Sheet1!DC96,hhdcap_wcm,4)-(((VLOOKUP(Sheet1!DC96,hhdcap_wcm,3)-Sheet1!DC96)/(VLOOKUP(Sheet1!DC96,hhdcap_wcm,3)-VLOOKUP(Sheet1!DC96,hhdcap_wcm,1)))*(VLOOKUP(Sheet1!DC96,hhdcap_wcm,4)-VLOOKUP(Sheet1!DC96,hhdcap_wcm,2))))</f>
        <v>18055.600000045109</v>
      </c>
      <c r="AM98" s="535">
        <f t="shared" si="191"/>
        <v>628.60000000199943</v>
      </c>
      <c r="AN98" s="1035">
        <f t="shared" si="192"/>
        <v>2212.1622162764952</v>
      </c>
      <c r="AO98" s="535">
        <f t="shared" si="193"/>
        <v>6786.9136795362874</v>
      </c>
      <c r="AP98" s="535">
        <f>Sheet1!BA96+Sheet1!BB96+Sheet1!BN96+CD98</f>
        <v>18.600000000000001</v>
      </c>
      <c r="AQ98" s="535">
        <f>Sheet1!BN96+(DO98*Sheet1!BN96)</f>
        <v>18.478514953592299</v>
      </c>
      <c r="AR98" s="535">
        <f>Sheet1!BA96+CD98</f>
        <v>0</v>
      </c>
      <c r="AS98" s="535">
        <f>Sheet1!BA96+Sheet1!BB96+CD98</f>
        <v>0</v>
      </c>
      <c r="AT98" s="649">
        <f>0</f>
        <v>0</v>
      </c>
      <c r="AU98" s="535">
        <f>IF(EB98&lt;K98,0,MAX(Sheet1!AA96+AQ98-15/36*K98-N98,Sheet1!EH96,0))</f>
        <v>0</v>
      </c>
      <c r="AV98" s="535">
        <f>IF(OR(B98&gt;=GD98,B98&lt;GC98),0,15/36*K98-MAX(0,64.6-(137.6-(Sheet1!AA96+Sheet1!AB96))))</f>
        <v>26.933333333333334</v>
      </c>
      <c r="AW98" s="1029"/>
      <c r="AX98" s="649"/>
      <c r="AY98" s="649">
        <f t="shared" si="286"/>
        <v>0</v>
      </c>
      <c r="AZ98" s="649">
        <f t="shared" si="287"/>
        <v>0</v>
      </c>
      <c r="BA98" s="1059">
        <f t="shared" si="288"/>
        <v>0</v>
      </c>
      <c r="BB98" s="1019">
        <f t="shared" si="194"/>
        <v>1104.2666666666657</v>
      </c>
      <c r="BC98" s="1041">
        <f t="shared" si="289"/>
        <v>26.933333333333334</v>
      </c>
      <c r="BD98" s="1019">
        <f ca="1">IF(B98&gt;Summary!$A$1,#N/A,BB98*MGtoAF)</f>
        <v>3387.8901333333306</v>
      </c>
      <c r="BE98" s="535">
        <f>Sheet1!BG96+Sheet1!BH96+Sheet1!BI96-BM98</f>
        <v>1.01</v>
      </c>
      <c r="BF98" s="535">
        <f t="shared" si="195"/>
        <v>1.0034032313509795</v>
      </c>
      <c r="BG98" s="535">
        <f>IF(Sheet1!EP96="FM",BM98,0)</f>
        <v>0</v>
      </c>
      <c r="BH98" s="535">
        <f t="shared" si="196"/>
        <v>0</v>
      </c>
      <c r="BI98" s="535">
        <f>IF(Sheet1!EP96="OTHER",BM98,0)</f>
        <v>0</v>
      </c>
      <c r="BJ98" s="535">
        <f t="shared" si="197"/>
        <v>0</v>
      </c>
      <c r="BK98" s="535">
        <f t="shared" si="198"/>
        <v>1.01</v>
      </c>
      <c r="BL98" s="535">
        <f t="shared" si="199"/>
        <v>1.0034032313509795</v>
      </c>
      <c r="BM98" s="535">
        <f>IF(OR(Sheet1!EP96="FM", Sheet1!EP96="OTHER"),SUM(Sheet1!BG96:'Sheet1'!BI96),0)</f>
        <v>0</v>
      </c>
      <c r="BN98" s="521">
        <f>IF(AND($B98&gt;=$FV98,$B98&lt;=$FW98),MAX(BF98,Sheet1!EI96,0),MAX(BF98-(7/36)*$K98,0))</f>
        <v>0</v>
      </c>
      <c r="BO98" s="535">
        <f t="shared" si="200"/>
        <v>11.565485657537909</v>
      </c>
      <c r="BP98" s="521">
        <f t="shared" si="201"/>
        <v>1.0034032313509795</v>
      </c>
      <c r="BQ98" s="521">
        <f>IF(AND($O98&gt;0,Sheet1!EM96=1),(1-($O98-Sheet1!$L96)/$O98)*BL98,0)</f>
        <v>0</v>
      </c>
      <c r="BR98" s="521">
        <f>IF(AND(Sheet1!$L96=0,Sheet1!$L95=0, Calculation!BK98&lt;Sheet1!$EI96-0.1,Sheet1!$EI96=Sheet1!$EI95,Sheet1!$EI96=Sheet1!$EI97),BL98-BQ98,BL98-BQ98)</f>
        <v>1.0034032313509795</v>
      </c>
      <c r="BS98" s="1035" t="str">
        <f t="shared" si="290"/>
        <v/>
      </c>
      <c r="BT98" s="1035">
        <f t="shared" si="291"/>
        <v>12.568888888888889</v>
      </c>
      <c r="BU98" s="535">
        <f t="shared" si="202"/>
        <v>473.11048548780582</v>
      </c>
      <c r="BV98" s="535"/>
      <c r="BW98" s="535">
        <f ca="1">IF(B98&gt;Summary!$A$1,#N/A,BU98*MGtoAF)</f>
        <v>1451.5029694765883</v>
      </c>
      <c r="BX98" s="535">
        <f>Sheet1!BC96+Sheet1!BD96+Sheet1!BE96+Sheet1!BF96-CG98-CH98</f>
        <v>3</v>
      </c>
      <c r="BY98" s="535">
        <f t="shared" si="203"/>
        <v>2.9804056376761769</v>
      </c>
      <c r="BZ98" s="535">
        <f>IF(Sheet1!EQ96="FM",CH98,0)</f>
        <v>0</v>
      </c>
      <c r="CA98" s="535">
        <f t="shared" si="204"/>
        <v>0</v>
      </c>
      <c r="CB98" s="535">
        <f>IF(Sheet1!EQ96="OTHER",CH98,0)</f>
        <v>0</v>
      </c>
      <c r="CC98" s="535">
        <f t="shared" si="205"/>
        <v>0</v>
      </c>
      <c r="CD98" s="535">
        <f t="shared" si="206"/>
        <v>0</v>
      </c>
      <c r="CE98" s="535">
        <f t="shared" si="207"/>
        <v>3</v>
      </c>
      <c r="CF98" s="535">
        <f t="shared" si="208"/>
        <v>2.9804056376761769</v>
      </c>
      <c r="CG98" s="535">
        <f>IF(Sheet1!EQ96="CWA",SUM(Sheet1!BC96:'Sheet1'!BF96),0)</f>
        <v>0</v>
      </c>
      <c r="CH98" s="535">
        <f>IF(OR(Sheet1!EQ96="FM", Sheet1!EQ96="OTHER"),SUM(Sheet1!BC96:'Sheet1'!BF96),0)</f>
        <v>0</v>
      </c>
      <c r="CI98" s="521">
        <f>IF(AND($B98&gt;=$FV98,$B98&lt;=$FW98),MAX(CF98,Sheet1!EJ96,0),MAX(CF98-(7/36)*$K98,0))</f>
        <v>0</v>
      </c>
      <c r="CJ98" s="535">
        <f t="shared" si="209"/>
        <v>9.5884832512127112</v>
      </c>
      <c r="CK98" s="521">
        <f t="shared" si="210"/>
        <v>2.9804056376761769</v>
      </c>
      <c r="CL98" s="521">
        <f>IF(AND($O98&gt;0,Sheet1!EN96=1),(1-($O98-Sheet1!$L96)/$O98)*CF98,0)</f>
        <v>0</v>
      </c>
      <c r="CM98" s="521">
        <f>IF(AND(Sheet1!$L96=0,Sheet1!$L95=0, Calculation!CE98&lt;Sheet1!EJ96-0.1,Sheet1!EJ96=Sheet1!EJ95,Sheet1!EJ96=Sheet1!EJ97),CF98-CL98,CF98-CL98)</f>
        <v>2.9804056376761769</v>
      </c>
      <c r="CN98" s="1040" t="str">
        <f t="shared" si="292"/>
        <v/>
      </c>
      <c r="CO98" s="1035">
        <f t="shared" si="293"/>
        <v>12.568888888888889</v>
      </c>
      <c r="CP98" s="535">
        <f t="shared" si="211"/>
        <v>386.40871556413231</v>
      </c>
      <c r="CQ98" s="535"/>
      <c r="CR98" s="535">
        <f ca="1">IF(B98&gt;Summary!$A$1,#N/A,CP98*MGtoAF)</f>
        <v>1185.501939350758</v>
      </c>
      <c r="CS98" s="535">
        <f>Sheet1!BK96+Sheet1!BL96+Sheet1!BM96-Sheet1!ER96-DA98</f>
        <v>6.48</v>
      </c>
      <c r="CT98" s="535">
        <f t="shared" si="212"/>
        <v>6.4376761773805429</v>
      </c>
      <c r="CU98" s="535">
        <f>IF(Sheet1!ER96="FM",DA98,0)</f>
        <v>0</v>
      </c>
      <c r="CV98" s="535">
        <f t="shared" si="213"/>
        <v>0</v>
      </c>
      <c r="CW98" s="535">
        <f>IF(Sheet1!ER96="OTHER",DA98,0)</f>
        <v>0</v>
      </c>
      <c r="CX98" s="535">
        <f t="shared" si="214"/>
        <v>0</v>
      </c>
      <c r="CY98" s="535">
        <f t="shared" si="215"/>
        <v>6.48</v>
      </c>
      <c r="CZ98" s="535">
        <f t="shared" si="216"/>
        <v>6.4376761773805429</v>
      </c>
      <c r="DA98" s="535">
        <f>IF(OR(Sheet1!ER96="FM", Sheet1!ER96="OTHER"),SUM(Sheet1!BK96:'Sheet1'!BM96),0)</f>
        <v>0</v>
      </c>
      <c r="DB98" s="1011">
        <f>IF(AND($B98&gt;=$FV98,$B98&lt;=$FW98),MAX($CT98,Sheet1!EK96,0),MAX($CT98-(7/36)*$K98,0))</f>
        <v>0</v>
      </c>
      <c r="DC98" s="1012">
        <f t="shared" si="217"/>
        <v>6.1312127115083461</v>
      </c>
      <c r="DD98" s="1011">
        <f t="shared" si="218"/>
        <v>6.4376761773805429</v>
      </c>
      <c r="DE98" s="521">
        <f>IF(AND($O98&gt;0,Sheet1!EO96=1),(1-($O98-Sheet1!$L96)/$O98)*CZ98,0)</f>
        <v>0</v>
      </c>
      <c r="DF98" s="521">
        <f>IF(AND(Sheet1!$L96=0,Sheet1!$L95=0, Calculation!CY98&lt;Sheet1!$EK96-0.1,Sheet1!$EK96=Sheet1!$EK95,Sheet1!$EK96=Sheet1!$EK97),CZ98-DE98,CZ98-DE98)</f>
        <v>6.4376761773805429</v>
      </c>
      <c r="DG98" s="1040">
        <f t="shared" si="294"/>
        <v>12.568888888888889</v>
      </c>
      <c r="DH98" s="649">
        <f t="shared" si="219"/>
        <v>10.49</v>
      </c>
      <c r="DI98" s="535">
        <f t="shared" si="220"/>
        <v>248.3763485578913</v>
      </c>
      <c r="DJ98" s="649">
        <f t="shared" si="221"/>
        <v>10.4214850464077</v>
      </c>
      <c r="DK98" s="535">
        <f ca="1">IF(B98&gt;Summary!$A$1,#N/A,DI98*MGtoAF)</f>
        <v>762.01863737561052</v>
      </c>
      <c r="DL98" s="649">
        <f t="shared" si="222"/>
        <v>10.49</v>
      </c>
      <c r="DM98" s="535">
        <f t="shared" si="223"/>
        <v>29.090000000000003</v>
      </c>
      <c r="DN98" s="535">
        <f>Sheet1!AB96-DM98</f>
        <v>-0.19000000000000483</v>
      </c>
      <c r="DO98" s="743">
        <f t="shared" si="224"/>
        <v>-6.5314541079410388E-3</v>
      </c>
      <c r="DP98" s="535">
        <f>(VLOOKUP(Sheet1!DC96,hhdcap_wcm,4)-(((VLOOKUP(Sheet1!DC96,hhdcap_wcm,3)-Sheet1!DC96)/(VLOOKUP(Sheet1!DC96,hhdcap_wcm,3)-VLOOKUP(Sheet1!DC96,hhdcap_wcm,1)))*(VLOOKUP(Sheet1!DC96,hhdcap_wcm,4)-VLOOKUP(Sheet1!DC96,hhdcap_wcm,2))))</f>
        <v>18055.600000045109</v>
      </c>
      <c r="DQ98" s="535">
        <f t="shared" si="225"/>
        <v>628.60000000199943</v>
      </c>
      <c r="DR98" s="535">
        <f t="shared" si="226"/>
        <v>316.99445285022659</v>
      </c>
      <c r="DS98" s="535">
        <f>Sheet1!EA96*AFtoMG</f>
        <v>0</v>
      </c>
      <c r="DT98" s="535">
        <f>Sheet1!EB96*AFtoMG</f>
        <v>0</v>
      </c>
      <c r="DU98" s="535">
        <f>Sheet1!EC96*AFtoMG</f>
        <v>0</v>
      </c>
      <c r="DV98" s="535">
        <f>Sheet1!ED96*AFtoMG</f>
        <v>0</v>
      </c>
      <c r="DW98" s="535">
        <f t="shared" si="227"/>
        <v>0</v>
      </c>
      <c r="DX98" s="535">
        <f t="shared" si="228"/>
        <v>0</v>
      </c>
      <c r="DY98" s="535">
        <f t="shared" si="229"/>
        <v>2212.1622162764952</v>
      </c>
      <c r="DZ98" s="535">
        <f t="shared" si="230"/>
        <v>6786.9136795362874</v>
      </c>
      <c r="EA98" s="535"/>
      <c r="EB98" s="521">
        <f>IF(OR(B98&lt;FV98,B98&gt;FW98),(MIN(BF98+BY98+CT98+MAX(Sheet1!AA96+AQ98-73,0),K98)),0)</f>
        <v>10.4214850464077</v>
      </c>
      <c r="EC98" s="535"/>
      <c r="ED98" s="535">
        <f t="shared" si="231"/>
        <v>10.4214850464077</v>
      </c>
      <c r="EE98" s="535"/>
      <c r="EF98" s="535">
        <f>Sheet1!EH96+Sheet1!EI96+Sheet1!EJ96+Sheet1!EK96</f>
        <v>10.5</v>
      </c>
      <c r="EG98" s="1019">
        <f t="shared" si="295"/>
        <v>16.243500000000001</v>
      </c>
      <c r="EH98" s="521">
        <f t="shared" si="232"/>
        <v>0</v>
      </c>
      <c r="EI98" s="535">
        <f>IF(Sheet1!ET96=1,SUM('Calculations II'!AT98:BA98)+'Calculations II'!BC98+Sheet1!BV96+'Calculations II'!BE98+AP98,'Calculations II'!BK98)</f>
        <v>44.122014953592291</v>
      </c>
      <c r="EJ98" s="535">
        <f ca="1">EI98+'Calculations II'!D98+'Calculations II'!E98+'Calculations II'!O98</f>
        <v>42.53541934792203</v>
      </c>
      <c r="EK98" s="535"/>
      <c r="EL98" s="535"/>
      <c r="EM98" s="535">
        <f t="shared" si="233"/>
        <v>42822</v>
      </c>
      <c r="EN98" s="535">
        <f t="shared" si="234"/>
        <v>54.218514953592305</v>
      </c>
      <c r="EO98" s="535">
        <f t="shared" si="235"/>
        <v>83.876042633207291</v>
      </c>
      <c r="EP98" s="535">
        <v>0</v>
      </c>
      <c r="EQ98" s="535">
        <v>0</v>
      </c>
      <c r="ER98" s="535">
        <v>0</v>
      </c>
      <c r="ES98" s="521">
        <f t="shared" si="257"/>
        <v>0.55411854892555246</v>
      </c>
      <c r="ET98" s="535">
        <f>-(VLOOKUP(Sheet1!BQ96,Lookup!$O$4:$Q$262,2)-VLOOKUP(Sheet1!BQ95,Lookup!$O$4:$Q$262,2))/1000000</f>
        <v>0.2770144093750827</v>
      </c>
      <c r="EU98" s="535">
        <f>-(VLOOKUP(Sheet1!BR96,Lookup!$O$4:$Q$262,3)-VLOOKUP(Sheet1!BR95,Lookup!$O$4:$Q$262,3))/1000000</f>
        <v>0.27710413955046981</v>
      </c>
      <c r="EV98" s="535"/>
      <c r="EW98" s="535"/>
      <c r="EX98" s="535"/>
      <c r="EY98" s="535"/>
      <c r="EZ98" s="535"/>
      <c r="FA98" s="535"/>
      <c r="FB98" s="535"/>
      <c r="FC98" s="535"/>
      <c r="FD98" s="567" t="e">
        <f t="shared" si="236"/>
        <v>#N/A</v>
      </c>
      <c r="FE98" s="567" t="e">
        <f t="shared" si="237"/>
        <v>#N/A</v>
      </c>
      <c r="FF98" s="568" t="e">
        <f t="shared" si="238"/>
        <v>#N/A</v>
      </c>
      <c r="FG98" s="569" t="s">
        <v>656</v>
      </c>
      <c r="FH98" s="569" t="s">
        <v>656</v>
      </c>
      <c r="FI98" s="567" t="e">
        <v>#N/A</v>
      </c>
      <c r="FJ98" s="567" t="e">
        <v>#N/A</v>
      </c>
      <c r="FK98" s="535"/>
      <c r="FL98" s="1015">
        <v>0</v>
      </c>
      <c r="FM98" s="535"/>
      <c r="FN98" s="535"/>
      <c r="FO98" s="535">
        <f>O98+((Sheet1!CS96)*GPMtoMGD)</f>
        <v>54.7</v>
      </c>
      <c r="FP98" s="535">
        <f>IF(Sheet1!AA96+AQ98&lt;=Calculation!N98,AQ98,Calculation!N98-Sheet1!AA96)</f>
        <v>18.478514953592299</v>
      </c>
      <c r="FQ98" s="535">
        <f>(Sheet1!BP96+Sheet1!BO96)/694.4</f>
        <v>1.3997695852534562</v>
      </c>
      <c r="FR98" s="541"/>
      <c r="FS98" s="541"/>
      <c r="FT98" s="541"/>
      <c r="FU98" s="541"/>
      <c r="FV98" s="1109">
        <f t="shared" si="258"/>
        <v>42918</v>
      </c>
      <c r="FW98" s="1109">
        <f t="shared" si="259"/>
        <v>43027</v>
      </c>
      <c r="FX98" s="541"/>
      <c r="FY98" s="541">
        <f>Sheet1!DA96-Sheet1!CZ96-Sheet1!AE96</f>
        <v>1035.3791000000001</v>
      </c>
      <c r="FZ98" s="535">
        <f t="shared" si="296"/>
        <v>0.38676923625957471</v>
      </c>
      <c r="GA98" s="535"/>
      <c r="GB98" s="535" t="str">
        <f t="shared" si="260"/>
        <v>n</v>
      </c>
      <c r="GC98" s="539">
        <f t="shared" si="261"/>
        <v>42782</v>
      </c>
      <c r="GD98" s="1109">
        <f t="shared" si="262"/>
        <v>42904</v>
      </c>
      <c r="GE98" s="535">
        <f t="shared" si="280"/>
        <v>6520</v>
      </c>
      <c r="GF98" s="1109">
        <f t="shared" si="263"/>
        <v>42909</v>
      </c>
      <c r="GG98" s="535">
        <f t="shared" si="308"/>
        <v>3260</v>
      </c>
      <c r="GH98" s="539">
        <f t="shared" si="264"/>
        <v>43040</v>
      </c>
      <c r="GJ98" s="521">
        <f t="shared" si="265"/>
        <v>0</v>
      </c>
      <c r="GK98" s="535" t="str">
        <f t="shared" si="239"/>
        <v/>
      </c>
      <c r="GL98" s="535">
        <f t="shared" si="266"/>
        <v>0</v>
      </c>
      <c r="GM98" s="535" t="str">
        <f t="shared" si="267"/>
        <v/>
      </c>
      <c r="GN98" s="535">
        <f>IF(GK98="P",Lookup!$M$12,IF(GK98="PP",Lookup!$M$13,IF(GK98="PPP",Lookup!$M$14,IF(GK98="T",Lookup!$M$15,IF(GK98="TP",Lookup!$M$16,IF(GK98="TPP",Lookup!$M$17,IF(GK98="TPPP",Lookup!$M$18,0)))))))*GJ98</f>
        <v>0</v>
      </c>
      <c r="GO98" s="535">
        <f t="shared" si="268"/>
        <v>0</v>
      </c>
      <c r="GP98" s="535">
        <f t="shared" si="240"/>
        <v>3387.8901333333306</v>
      </c>
      <c r="GQ98" s="535">
        <f t="shared" si="279"/>
        <v>1104.2666666666657</v>
      </c>
      <c r="GR98" s="535"/>
      <c r="GS98" s="535">
        <f t="shared" si="269"/>
        <v>0</v>
      </c>
      <c r="GT98" s="535" t="str">
        <f t="shared" si="270"/>
        <v/>
      </c>
      <c r="GU98" s="535">
        <f>IF(GK98="P",Lookup!$N$12,IF(GK98="PP",Lookup!$N$13,IF(GK98="PPP",Lookup!$N$14,IF(GK98="T",Lookup!$N$15,IF(GK98="TP",Lookup!$N$16,IF(GK98="TPP",Lookup!$N$17,IF(GK98="TPPP",Lookup!$N$18,0)))))))*GJ98</f>
        <v>0</v>
      </c>
      <c r="GV98" s="535">
        <f t="shared" si="271"/>
        <v>0</v>
      </c>
      <c r="GW98" s="535">
        <f t="shared" si="241"/>
        <v>1451.5029694765883</v>
      </c>
      <c r="GX98" s="535">
        <f t="shared" si="276"/>
        <v>473.11048548780582</v>
      </c>
      <c r="GY98" s="535"/>
      <c r="GZ98" s="535">
        <f t="shared" si="272"/>
        <v>0</v>
      </c>
      <c r="HA98" s="535" t="str">
        <f t="shared" si="273"/>
        <v/>
      </c>
      <c r="HB98" s="535">
        <f>IF(GK98="P",Lookup!$N$12,IF(GK98="PP",Lookup!$N$13,IF(GK98="PPP",Lookup!$N$14,IF(GK98="T",Lookup!$N$15,IF(GK98="TP",Lookup!$N$16,IF(GK98="TPP",Lookup!$N$17,IF(GK98="TPPP",Lookup!$N$18,0)))))))*GJ98</f>
        <v>0</v>
      </c>
      <c r="HC98" s="521">
        <f t="shared" si="242"/>
        <v>0</v>
      </c>
      <c r="HD98" s="535">
        <f t="shared" si="243"/>
        <v>1185.501939350758</v>
      </c>
      <c r="HE98" s="535">
        <f t="shared" si="277"/>
        <v>386.40871556413231</v>
      </c>
      <c r="HF98" s="535"/>
      <c r="HG98" s="535">
        <f t="shared" si="274"/>
        <v>0</v>
      </c>
      <c r="HH98" s="535" t="str">
        <f t="shared" si="275"/>
        <v/>
      </c>
      <c r="HI98" s="535">
        <f>IF(GK98="P",Lookup!$N$12,IF(GK98="PP",Lookup!$N$13,IF(GK98="PPP",Lookup!$N$14,IF(GK98="T",Lookup!$N$15,IF(GK98="TP",Lookup!$N$16,IF(GK98="TPP",Lookup!$N$17,IF(GK98="TPPP",Lookup!$N$18,0)))))))*GJ98</f>
        <v>0</v>
      </c>
      <c r="HJ98" s="521">
        <f t="shared" si="244"/>
        <v>0</v>
      </c>
      <c r="HK98" s="535">
        <f t="shared" si="245"/>
        <v>762.01863737561052</v>
      </c>
      <c r="HL98" s="535">
        <f t="shared" si="278"/>
        <v>248.3763485578913</v>
      </c>
      <c r="HM98" s="535"/>
      <c r="HN98" s="541"/>
      <c r="HO98" s="541"/>
      <c r="HP98" s="541"/>
      <c r="HQ98" s="541">
        <f>IF(AND(B98&gt;=$FV$4,B98&lt;=$FW$4),MAX(110/1.02+$HQ$6+MIN(113/1.02,G98),IF($HV$6-(Sheet1!DA96-Sheet1!DB96)+MIN(113/1.02,G98)&lt;G98+FL98,$HV$6-(Sheet1!DA96-Sheet1!DB96)+MIN(113/1.02,G98),G98+FL98)),MIN(110/1.02+$HQ$6+113/1.02,G98))</f>
        <v>218.62745098039215</v>
      </c>
      <c r="HR98" s="541">
        <f t="shared" si="297"/>
        <v>223</v>
      </c>
      <c r="HS98" s="541">
        <f>HR98+(Sheet1!DA96-Sheet1!DB96)</f>
        <v>1533</v>
      </c>
      <c r="HT98" s="541">
        <f t="shared" si="298"/>
        <v>68.392870000000002</v>
      </c>
      <c r="HU98" s="541">
        <f t="shared" si="299"/>
        <v>1464.6071300000001</v>
      </c>
      <c r="HV98" s="541">
        <f t="shared" si="300"/>
        <v>0</v>
      </c>
      <c r="HW98" s="533" t="str">
        <f t="shared" si="301"/>
        <v/>
      </c>
      <c r="HX98" s="541">
        <f t="shared" si="302"/>
        <v>2141.372549019608</v>
      </c>
      <c r="HY98" s="541">
        <f>Sheet1!CZ96</f>
        <v>2360</v>
      </c>
      <c r="HZ98" s="541">
        <f t="shared" si="303"/>
        <v>0</v>
      </c>
      <c r="IA98" s="541">
        <f t="shared" si="304"/>
        <v>68.392870000000002</v>
      </c>
      <c r="IB98" s="541">
        <f t="shared" si="305"/>
        <v>2360</v>
      </c>
      <c r="IC98" s="1019" t="str">
        <f t="shared" si="306"/>
        <v/>
      </c>
      <c r="ID98" s="541">
        <f t="shared" si="307"/>
        <v>2291.6071299999999</v>
      </c>
      <c r="IE98" s="541">
        <f>Sheet1!DB96</f>
        <v>2170</v>
      </c>
      <c r="IF98" s="533">
        <f>Sheet1!DA96</f>
        <v>3480</v>
      </c>
      <c r="IH98" s="541">
        <f>IF(AND($B98&gt;=$GC98,$B98&lt;=$GH98,$DR98&lt;0)+N("only adjusted when pool is drawn down during storage season"),Sheet1!$DB96+$DR98+N("Palmer minus all storage release"),Sheet1!$DB96)</f>
        <v>2170</v>
      </c>
      <c r="II98" s="541">
        <f>IF(AND($B98&gt;=$GC98,$B98&lt;=$GH98,$DR98&lt;0)+N("only adjusted when pool is drawn down during storage season"),Sheet1!$DA96+$DR98+N("Auburn minus all storage release"),Sheet1!$DA96)</f>
        <v>3480</v>
      </c>
    </row>
    <row r="99" spans="1:243" x14ac:dyDescent="0.25">
      <c r="A99" s="553" t="s">
        <v>6</v>
      </c>
      <c r="B99" s="531">
        <v>42823</v>
      </c>
      <c r="C99" s="536">
        <v>0</v>
      </c>
      <c r="D99" s="506">
        <f t="shared" si="247"/>
        <v>300</v>
      </c>
      <c r="E99" s="506">
        <f t="shared" si="248"/>
        <v>250</v>
      </c>
      <c r="F99" s="506">
        <v>250</v>
      </c>
      <c r="G99" s="535">
        <f>DR99+Sheet1!CZ97</f>
        <v>3790.9127584486441</v>
      </c>
      <c r="H99" s="1074">
        <f t="shared" si="281"/>
        <v>1683.7269478399999</v>
      </c>
      <c r="I99" s="534">
        <f>IF(Sheet1!DA97&gt;=E99,(Sheet1!DA97-E99+P99)*CFStoMGD,0)</f>
        <v>2763.2149478399997</v>
      </c>
      <c r="J99" s="995">
        <f>IF(Sheet1!DB97&gt;=D99,(Sheet1!DB97-D99+P99)*CFStoMGD,0)</f>
        <v>1683.7269478399999</v>
      </c>
      <c r="K99" s="818">
        <f t="shared" si="282"/>
        <v>64.64</v>
      </c>
      <c r="L99" s="535">
        <f>Sheet1!AA97+Sheet1!AB97-Sheet1!L97+(Sheet1!DA97-F99)*CFStoMGD-S99-T99-U99</f>
        <v>2698.576</v>
      </c>
      <c r="M99" s="535">
        <f t="shared" si="185"/>
        <v>2499.4549272024278</v>
      </c>
      <c r="N99" s="824">
        <f>IF(Sheet1!DA97&gt;=F99,MIN(113*CFStoMGD,MIN(MAX(L99,0),MAX(M99,0))),0)</f>
        <v>73.043199999999999</v>
      </c>
      <c r="O99" s="538">
        <f>Sheet1!AA97+Sheet1!AB97</f>
        <v>54.8</v>
      </c>
      <c r="P99" s="538">
        <f t="shared" si="186"/>
        <v>84.775599999999997</v>
      </c>
      <c r="Q99" s="812">
        <f t="shared" si="283"/>
        <v>44.309999999999995</v>
      </c>
      <c r="R99" s="812">
        <f t="shared" si="249"/>
        <v>10.457433597792342</v>
      </c>
      <c r="S99" s="812">
        <f t="shared" si="250"/>
        <v>10.49</v>
      </c>
      <c r="T99" s="812">
        <f t="shared" si="251"/>
        <v>54.15</v>
      </c>
      <c r="U99" s="812">
        <f t="shared" si="284"/>
        <v>0</v>
      </c>
      <c r="V99" s="812"/>
      <c r="W99" s="812">
        <f t="shared" si="252"/>
        <v>54.182566402207655</v>
      </c>
      <c r="X99" s="812">
        <f t="shared" si="253"/>
        <v>64.64</v>
      </c>
      <c r="Y99" s="812" t="str">
        <f t="shared" si="254"/>
        <v>FALSE</v>
      </c>
      <c r="Z99" s="812">
        <f t="shared" si="255"/>
        <v>54.8</v>
      </c>
      <c r="AA99" s="812">
        <f t="shared" si="256"/>
        <v>54.8</v>
      </c>
      <c r="AB99" s="1059">
        <f t="shared" si="285"/>
        <v>68.547569999999993</v>
      </c>
      <c r="AC99" s="538">
        <f>Sheet1!Y97*MGDtoCFS</f>
        <v>39.912599999999998</v>
      </c>
      <c r="AD99" s="538">
        <f>Sheet1!Z97*MGDtoCFS</f>
        <v>44.708299999999994</v>
      </c>
      <c r="AE99" s="538">
        <f>Sheet1!AA97*MGDtoCFS</f>
        <v>40.067299999999996</v>
      </c>
      <c r="AF99" s="538">
        <f>Sheet1!AB97*MGDtoCFS</f>
        <v>44.708299999999994</v>
      </c>
      <c r="AG99" s="538">
        <f>Sheet1!L97*MGDtoCFS</f>
        <v>0</v>
      </c>
      <c r="AH99" s="521">
        <f t="shared" si="187"/>
        <v>0</v>
      </c>
      <c r="AI99" s="1059">
        <f t="shared" si="188"/>
        <v>0</v>
      </c>
      <c r="AJ99" s="535">
        <f t="shared" si="189"/>
        <v>54.182566402207655</v>
      </c>
      <c r="AK99" s="535">
        <f t="shared" si="190"/>
        <v>83.820430224215244</v>
      </c>
      <c r="AL99" s="535">
        <f>(VLOOKUP(Sheet1!DC97,hhdcap_wcm,4)-(((VLOOKUP(Sheet1!DC97,hhdcap_wcm,3)-Sheet1!DC97)/(VLOOKUP(Sheet1!DC97,hhdcap_wcm,3)-VLOOKUP(Sheet1!DC97,hhdcap_wcm,1)))*(VLOOKUP(Sheet1!DC97,hhdcap_wcm,4)-VLOOKUP(Sheet1!DC97,hhdcap_wcm,2))))</f>
        <v>19505.000000048771</v>
      </c>
      <c r="AM99" s="535">
        <f t="shared" si="191"/>
        <v>1449.4000000036613</v>
      </c>
      <c r="AN99" s="1035">
        <f t="shared" si="192"/>
        <v>2266.3447826787028</v>
      </c>
      <c r="AO99" s="535">
        <f t="shared" si="193"/>
        <v>6953.1457932582607</v>
      </c>
      <c r="AP99" s="535">
        <f>Sheet1!BA97+Sheet1!BB97+Sheet1!BN97+CD99</f>
        <v>18.5</v>
      </c>
      <c r="AQ99" s="535">
        <f>Sheet1!BN97+(DO99*Sheet1!BN97)</f>
        <v>18.442566402207657</v>
      </c>
      <c r="AR99" s="535">
        <f>Sheet1!BA97+CD99</f>
        <v>0</v>
      </c>
      <c r="AS99" s="535">
        <f>Sheet1!BA97+Sheet1!BB97+CD99</f>
        <v>0</v>
      </c>
      <c r="AT99" s="649">
        <f>0</f>
        <v>0</v>
      </c>
      <c r="AU99" s="535">
        <f>IF(EB99&lt;K99,0,MAX(Sheet1!AA97+AQ99-15/36*K99-N99,Sheet1!EH97,0))</f>
        <v>0</v>
      </c>
      <c r="AV99" s="535">
        <f>IF(OR(B99&gt;=GD99,B99&lt;GC99),0,15/36*K99-MAX(0,64.6-(137.6-(Sheet1!AA97+Sheet1!AB97))))</f>
        <v>26.933333333333334</v>
      </c>
      <c r="AW99" s="1029"/>
      <c r="AX99" s="649"/>
      <c r="AY99" s="649">
        <f t="shared" si="286"/>
        <v>0</v>
      </c>
      <c r="AZ99" s="649">
        <f t="shared" si="287"/>
        <v>0</v>
      </c>
      <c r="BA99" s="1059">
        <f t="shared" si="288"/>
        <v>0</v>
      </c>
      <c r="BB99" s="1019">
        <f t="shared" si="194"/>
        <v>1131.1999999999991</v>
      </c>
      <c r="BC99" s="1041">
        <f t="shared" si="289"/>
        <v>26.933333333333334</v>
      </c>
      <c r="BD99" s="1019">
        <f ca="1">IF(B99&gt;Summary!$A$1,#N/A,BB99*MGtoAF)</f>
        <v>3470.5215999999973</v>
      </c>
      <c r="BE99" s="535">
        <f>Sheet1!BG97+Sheet1!BH97+Sheet1!BI97-BM99</f>
        <v>0.92</v>
      </c>
      <c r="BF99" s="535">
        <f t="shared" si="195"/>
        <v>0.91714384270438076</v>
      </c>
      <c r="BG99" s="535">
        <f>IF(Sheet1!EP97="FM",BM99,0)</f>
        <v>0</v>
      </c>
      <c r="BH99" s="535">
        <f t="shared" si="196"/>
        <v>0</v>
      </c>
      <c r="BI99" s="535">
        <f>IF(Sheet1!EP97="OTHER",BM99,0)</f>
        <v>0</v>
      </c>
      <c r="BJ99" s="535">
        <f t="shared" si="197"/>
        <v>0</v>
      </c>
      <c r="BK99" s="535">
        <f t="shared" si="198"/>
        <v>0.92</v>
      </c>
      <c r="BL99" s="535">
        <f t="shared" si="199"/>
        <v>0.91714384270438076</v>
      </c>
      <c r="BM99" s="535">
        <f>IF(OR(Sheet1!EP97="FM", Sheet1!EP97="OTHER"),SUM(Sheet1!BG97:'Sheet1'!BI97),0)</f>
        <v>0</v>
      </c>
      <c r="BN99" s="521">
        <f>IF(AND($B99&gt;=$FV99,$B99&lt;=$FW99),MAX(BF99,Sheet1!EI97,0),MAX(BF99-(7/36)*$K99,0))</f>
        <v>0</v>
      </c>
      <c r="BO99" s="535">
        <f t="shared" si="200"/>
        <v>11.651745046184509</v>
      </c>
      <c r="BP99" s="521">
        <f t="shared" si="201"/>
        <v>0.91714384270438076</v>
      </c>
      <c r="BQ99" s="521">
        <f>IF(AND($O99&gt;0,Sheet1!EM97=1),(1-($O99-Sheet1!$L97)/$O99)*BL99,0)</f>
        <v>0</v>
      </c>
      <c r="BR99" s="521">
        <f>IF(AND(Sheet1!$L97=0,Sheet1!$L96=0, Calculation!BK99&lt;Sheet1!$EI97-0.1,Sheet1!$EI97=Sheet1!$EI96,Sheet1!$EI97=Sheet1!$EI98),BL99-BQ99,BL99-BQ99)</f>
        <v>0.91714384270438076</v>
      </c>
      <c r="BS99" s="1035" t="str">
        <f t="shared" si="290"/>
        <v/>
      </c>
      <c r="BT99" s="1035">
        <f t="shared" si="291"/>
        <v>12.568888888888889</v>
      </c>
      <c r="BU99" s="535">
        <f t="shared" si="202"/>
        <v>484.76223053399031</v>
      </c>
      <c r="BV99" s="535"/>
      <c r="BW99" s="535">
        <f ca="1">IF(B99&gt;Summary!$A$1,#N/A,BU99*MGtoAF)</f>
        <v>1487.2505232782823</v>
      </c>
      <c r="BX99" s="535">
        <f>Sheet1!BC97+Sheet1!BD97+Sheet1!BE97+Sheet1!BF97-CG99-CH99</f>
        <v>3.01</v>
      </c>
      <c r="BY99" s="535">
        <f t="shared" si="203"/>
        <v>3.0006553984132456</v>
      </c>
      <c r="BZ99" s="535">
        <f>IF(Sheet1!EQ97="FM",CH99,0)</f>
        <v>0</v>
      </c>
      <c r="CA99" s="535">
        <f t="shared" si="204"/>
        <v>0</v>
      </c>
      <c r="CB99" s="535">
        <f>IF(Sheet1!EQ97="OTHER",CH99,0)</f>
        <v>0</v>
      </c>
      <c r="CC99" s="535">
        <f t="shared" si="205"/>
        <v>0</v>
      </c>
      <c r="CD99" s="535">
        <f t="shared" si="206"/>
        <v>0</v>
      </c>
      <c r="CE99" s="535">
        <f t="shared" si="207"/>
        <v>3.01</v>
      </c>
      <c r="CF99" s="535">
        <f t="shared" si="208"/>
        <v>3.0006553984132456</v>
      </c>
      <c r="CG99" s="535">
        <f>IF(Sheet1!EQ97="CWA",SUM(Sheet1!BC97:'Sheet1'!BF97),0)</f>
        <v>0</v>
      </c>
      <c r="CH99" s="535">
        <f>IF(OR(Sheet1!EQ97="FM", Sheet1!EQ97="OTHER"),SUM(Sheet1!BC97:'Sheet1'!BF97),0)</f>
        <v>0</v>
      </c>
      <c r="CI99" s="521">
        <f>IF(AND($B99&gt;=$FV99,$B99&lt;=$FW99),MAX(CF99,Sheet1!EJ97,0),MAX(CF99-(7/36)*$K99,0))</f>
        <v>0</v>
      </c>
      <c r="CJ99" s="535">
        <f t="shared" si="209"/>
        <v>9.5682334904756434</v>
      </c>
      <c r="CK99" s="521">
        <f t="shared" si="210"/>
        <v>3.0006553984132456</v>
      </c>
      <c r="CL99" s="521">
        <f>IF(AND($O99&gt;0,Sheet1!EN97=1),(1-($O99-Sheet1!$L97)/$O99)*CF99,0)</f>
        <v>0</v>
      </c>
      <c r="CM99" s="521">
        <f>IF(AND(Sheet1!$L97=0,Sheet1!$L96=0, Calculation!CE99&lt;Sheet1!EJ97-0.1,Sheet1!EJ97=Sheet1!EJ96,Sheet1!EJ97=Sheet1!EJ98),CF99-CL99,CF99-CL99)</f>
        <v>3.0006553984132456</v>
      </c>
      <c r="CN99" s="1040" t="str">
        <f t="shared" si="292"/>
        <v/>
      </c>
      <c r="CO99" s="1035">
        <f t="shared" si="293"/>
        <v>12.568888888888889</v>
      </c>
      <c r="CP99" s="535">
        <f t="shared" si="211"/>
        <v>395.97694905460793</v>
      </c>
      <c r="CQ99" s="535"/>
      <c r="CR99" s="535">
        <f ca="1">IF(B99&gt;Summary!$A$1,#N/A,CP99*MGtoAF)</f>
        <v>1214.8572796995372</v>
      </c>
      <c r="CS99" s="535">
        <f>Sheet1!BK97+Sheet1!BL97+Sheet1!BM97-Sheet1!ER97-DA99</f>
        <v>6.5600000000000005</v>
      </c>
      <c r="CT99" s="535">
        <f t="shared" si="212"/>
        <v>6.539634356674715</v>
      </c>
      <c r="CU99" s="535">
        <f>IF(Sheet1!ER97="FM",DA99,0)</f>
        <v>0</v>
      </c>
      <c r="CV99" s="535">
        <f t="shared" si="213"/>
        <v>0</v>
      </c>
      <c r="CW99" s="535">
        <f>IF(Sheet1!ER97="OTHER",DA99,0)</f>
        <v>0</v>
      </c>
      <c r="CX99" s="535">
        <f t="shared" si="214"/>
        <v>0</v>
      </c>
      <c r="CY99" s="535">
        <f t="shared" si="215"/>
        <v>6.5600000000000005</v>
      </c>
      <c r="CZ99" s="535">
        <f t="shared" si="216"/>
        <v>6.539634356674715</v>
      </c>
      <c r="DA99" s="535">
        <f>IF(OR(Sheet1!ER97="FM", Sheet1!ER97="OTHER"),SUM(Sheet1!BK97:'Sheet1'!BM97),0)</f>
        <v>0</v>
      </c>
      <c r="DB99" s="1011">
        <f>IF(AND($B99&gt;=$FV99,$B99&lt;=$FW99),MAX($CT99,Sheet1!EK97,0),MAX($CT99-(7/36)*$K99,0))</f>
        <v>0</v>
      </c>
      <c r="DC99" s="1012">
        <f t="shared" si="217"/>
        <v>6.029254532214174</v>
      </c>
      <c r="DD99" s="1011">
        <f t="shared" si="218"/>
        <v>6.539634356674715</v>
      </c>
      <c r="DE99" s="521">
        <f>IF(AND($O99&gt;0,Sheet1!EO97=1),(1-($O99-Sheet1!$L97)/$O99)*CZ99,0)</f>
        <v>0</v>
      </c>
      <c r="DF99" s="521">
        <f>IF(AND(Sheet1!$L97=0,Sheet1!$L96=0, Calculation!CY99&lt;Sheet1!$EK97-0.1,Sheet1!$EK97=Sheet1!$EK96,Sheet1!$EK97=Sheet1!$EK98),CZ99-DE99,CZ99-DE99)</f>
        <v>6.539634356674715</v>
      </c>
      <c r="DG99" s="1040">
        <f t="shared" si="294"/>
        <v>12.568888888888889</v>
      </c>
      <c r="DH99" s="649">
        <f t="shared" si="219"/>
        <v>10.49</v>
      </c>
      <c r="DI99" s="535">
        <f t="shared" si="220"/>
        <v>254.40560309010547</v>
      </c>
      <c r="DJ99" s="649">
        <f t="shared" si="221"/>
        <v>10.457433597792342</v>
      </c>
      <c r="DK99" s="535">
        <f ca="1">IF(B99&gt;Summary!$A$1,#N/A,DI99*MGtoAF)</f>
        <v>780.5163902804436</v>
      </c>
      <c r="DL99" s="649">
        <f t="shared" si="222"/>
        <v>10.49</v>
      </c>
      <c r="DM99" s="535">
        <f t="shared" si="223"/>
        <v>28.990000000000002</v>
      </c>
      <c r="DN99" s="535">
        <f>Sheet1!AB97-DM99</f>
        <v>-9.0000000000003411E-2</v>
      </c>
      <c r="DO99" s="743">
        <f t="shared" si="224"/>
        <v>-3.1045187995861817E-3</v>
      </c>
      <c r="DP99" s="535">
        <f>(VLOOKUP(Sheet1!DC97,hhdcap_wcm,4)-(((VLOOKUP(Sheet1!DC97,hhdcap_wcm,3)-Sheet1!DC97)/(VLOOKUP(Sheet1!DC97,hhdcap_wcm,3)-VLOOKUP(Sheet1!DC97,hhdcap_wcm,1)))*(VLOOKUP(Sheet1!DC97,hhdcap_wcm,4)-VLOOKUP(Sheet1!DC97,hhdcap_wcm,2))))</f>
        <v>19505.000000048771</v>
      </c>
      <c r="DQ99" s="535">
        <f t="shared" si="225"/>
        <v>1449.4000000036613</v>
      </c>
      <c r="DR99" s="535">
        <f t="shared" si="226"/>
        <v>730.91275844864401</v>
      </c>
      <c r="DS99" s="535">
        <f>Sheet1!EA97*AFtoMG</f>
        <v>0</v>
      </c>
      <c r="DT99" s="535">
        <f>Sheet1!EB97*AFtoMG</f>
        <v>0</v>
      </c>
      <c r="DU99" s="535">
        <f>Sheet1!EC97*AFtoMG</f>
        <v>0</v>
      </c>
      <c r="DV99" s="535">
        <f>Sheet1!ED97*AFtoMG</f>
        <v>0</v>
      </c>
      <c r="DW99" s="535">
        <f t="shared" si="227"/>
        <v>0</v>
      </c>
      <c r="DX99" s="535">
        <f t="shared" si="228"/>
        <v>0</v>
      </c>
      <c r="DY99" s="535">
        <f t="shared" si="229"/>
        <v>2266.3447826787028</v>
      </c>
      <c r="DZ99" s="535">
        <f t="shared" si="230"/>
        <v>6953.1457932582607</v>
      </c>
      <c r="EA99" s="535"/>
      <c r="EB99" s="521">
        <f>IF(OR(B99&lt;FV99,B99&gt;FW99),(MIN(BF99+BY99+CT99+MAX(Sheet1!AA97+AQ99-73,0),K99)),0)</f>
        <v>10.457433597792342</v>
      </c>
      <c r="EC99" s="535"/>
      <c r="ED99" s="535">
        <f t="shared" si="231"/>
        <v>10.457433597792342</v>
      </c>
      <c r="EE99" s="535"/>
      <c r="EF99" s="535">
        <f>Sheet1!EH97+Sheet1!EI97+Sheet1!EJ97+Sheet1!EK97</f>
        <v>10.5</v>
      </c>
      <c r="EG99" s="1019">
        <f t="shared" si="295"/>
        <v>16.243500000000001</v>
      </c>
      <c r="EH99" s="521">
        <f t="shared" si="232"/>
        <v>0</v>
      </c>
      <c r="EI99" s="535">
        <f>IF(Sheet1!ET97=1,SUM('Calculations II'!AT99:BA99)+'Calculations II'!BC99+Sheet1!BV97+'Calculations II'!BE99+AP99,'Calculations II'!BK99)</f>
        <v>43.596990402207652</v>
      </c>
      <c r="EJ99" s="535">
        <f ca="1">EI99+'Calculations II'!D99+'Calculations II'!E99+'Calculations II'!O99</f>
        <v>43.596302502246509</v>
      </c>
      <c r="EK99" s="535"/>
      <c r="EL99" s="535"/>
      <c r="EM99" s="535">
        <f t="shared" si="233"/>
        <v>42823</v>
      </c>
      <c r="EN99" s="535">
        <f t="shared" si="234"/>
        <v>54.182566402207655</v>
      </c>
      <c r="EO99" s="535">
        <f t="shared" si="235"/>
        <v>83.820430224215244</v>
      </c>
      <c r="EP99" s="535">
        <v>0</v>
      </c>
      <c r="EQ99" s="535">
        <v>0</v>
      </c>
      <c r="ER99" s="535">
        <v>0</v>
      </c>
      <c r="ES99" s="521">
        <f t="shared" si="257"/>
        <v>-0.13850400029706955</v>
      </c>
      <c r="ET99" s="535">
        <f>-(VLOOKUP(Sheet1!BQ97,Lookup!$O$4:$Q$262,2)-VLOOKUP(Sheet1!BQ96,Lookup!$O$4:$Q$262,2))/1000000</f>
        <v>-0.13850400029706955</v>
      </c>
      <c r="EU99" s="535">
        <f>-(VLOOKUP(Sheet1!BR97,Lookup!$O$4:$Q$262,3)-VLOOKUP(Sheet1!BR96,Lookup!$O$4:$Q$262,3))/1000000</f>
        <v>0</v>
      </c>
      <c r="EV99" s="535"/>
      <c r="EW99" s="535"/>
      <c r="EX99" s="535"/>
      <c r="EY99" s="535"/>
      <c r="EZ99" s="535"/>
      <c r="FA99" s="535"/>
      <c r="FB99" s="535"/>
      <c r="FC99" s="535"/>
      <c r="FD99" s="567" t="e">
        <f t="shared" si="236"/>
        <v>#N/A</v>
      </c>
      <c r="FE99" s="567" t="e">
        <f t="shared" si="237"/>
        <v>#N/A</v>
      </c>
      <c r="FF99" s="568" t="e">
        <f t="shared" si="238"/>
        <v>#N/A</v>
      </c>
      <c r="FG99" s="569" t="s">
        <v>656</v>
      </c>
      <c r="FH99" s="569" t="s">
        <v>656</v>
      </c>
      <c r="FI99" s="567" t="e">
        <v>#N/A</v>
      </c>
      <c r="FJ99" s="567" t="e">
        <v>#N/A</v>
      </c>
      <c r="FK99" s="535"/>
      <c r="FL99" s="1015">
        <v>0</v>
      </c>
      <c r="FM99" s="535"/>
      <c r="FN99" s="535"/>
      <c r="FO99" s="535">
        <f>O99+((Sheet1!CS97)*GPMtoMGD)</f>
        <v>54.8</v>
      </c>
      <c r="FP99" s="535">
        <f>IF(Sheet1!AA97+AQ99&lt;=Calculation!N99,AQ99,Calculation!N99-Sheet1!AA97)</f>
        <v>18.442566402207657</v>
      </c>
      <c r="FQ99" s="535">
        <f>(Sheet1!BP97+Sheet1!BO97)/694.4</f>
        <v>1.3450460829493087</v>
      </c>
      <c r="FR99" s="541"/>
      <c r="FS99" s="541"/>
      <c r="FT99" s="541"/>
      <c r="FU99" s="541"/>
      <c r="FV99" s="1109">
        <f t="shared" si="258"/>
        <v>42918</v>
      </c>
      <c r="FW99" s="1109">
        <f t="shared" si="259"/>
        <v>43027</v>
      </c>
      <c r="FX99" s="541"/>
      <c r="FY99" s="541">
        <f>Sheet1!DA97-Sheet1!CZ97-Sheet1!AE97</f>
        <v>1295.2244000000001</v>
      </c>
      <c r="FZ99" s="535">
        <f t="shared" si="296"/>
        <v>0.34166557832632499</v>
      </c>
      <c r="GA99" s="535"/>
      <c r="GB99" s="535" t="str">
        <f t="shared" si="260"/>
        <v>n</v>
      </c>
      <c r="GC99" s="539">
        <f t="shared" si="261"/>
        <v>42782</v>
      </c>
      <c r="GD99" s="1109">
        <f t="shared" si="262"/>
        <v>42904</v>
      </c>
      <c r="GE99" s="535">
        <f t="shared" si="280"/>
        <v>6520</v>
      </c>
      <c r="GF99" s="1109">
        <f t="shared" si="263"/>
        <v>42909</v>
      </c>
      <c r="GG99" s="535">
        <f t="shared" si="308"/>
        <v>3260</v>
      </c>
      <c r="GH99" s="539">
        <f t="shared" si="264"/>
        <v>43040</v>
      </c>
      <c r="GJ99" s="521">
        <f t="shared" si="265"/>
        <v>0</v>
      </c>
      <c r="GK99" s="535" t="str">
        <f t="shared" si="239"/>
        <v/>
      </c>
      <c r="GL99" s="535">
        <f t="shared" si="266"/>
        <v>0</v>
      </c>
      <c r="GM99" s="535" t="str">
        <f t="shared" si="267"/>
        <v/>
      </c>
      <c r="GN99" s="535">
        <f>IF(GK99="P",Lookup!$M$12,IF(GK99="PP",Lookup!$M$13,IF(GK99="PPP",Lookup!$M$14,IF(GK99="T",Lookup!$M$15,IF(GK99="TP",Lookup!$M$16,IF(GK99="TPP",Lookup!$M$17,IF(GK99="TPPP",Lookup!$M$18,0)))))))*GJ99</f>
        <v>0</v>
      </c>
      <c r="GO99" s="535">
        <f t="shared" si="268"/>
        <v>0</v>
      </c>
      <c r="GP99" s="535">
        <f t="shared" si="240"/>
        <v>3470.5215999999973</v>
      </c>
      <c r="GQ99" s="535">
        <f t="shared" si="279"/>
        <v>1131.1999999999991</v>
      </c>
      <c r="GR99" s="535"/>
      <c r="GS99" s="535">
        <f t="shared" si="269"/>
        <v>0</v>
      </c>
      <c r="GT99" s="535" t="str">
        <f t="shared" si="270"/>
        <v/>
      </c>
      <c r="GU99" s="535">
        <f>IF(GK99="P",Lookup!$N$12,IF(GK99="PP",Lookup!$N$13,IF(GK99="PPP",Lookup!$N$14,IF(GK99="T",Lookup!$N$15,IF(GK99="TP",Lookup!$N$16,IF(GK99="TPP",Lookup!$N$17,IF(GK99="TPPP",Lookup!$N$18,0)))))))*GJ99</f>
        <v>0</v>
      </c>
      <c r="GV99" s="535">
        <f t="shared" si="271"/>
        <v>0</v>
      </c>
      <c r="GW99" s="535">
        <f t="shared" si="241"/>
        <v>1487.2505232782823</v>
      </c>
      <c r="GX99" s="535">
        <f t="shared" si="276"/>
        <v>484.76223053399031</v>
      </c>
      <c r="GY99" s="535"/>
      <c r="GZ99" s="535">
        <f t="shared" si="272"/>
        <v>0</v>
      </c>
      <c r="HA99" s="535" t="str">
        <f t="shared" si="273"/>
        <v/>
      </c>
      <c r="HB99" s="535">
        <f>IF(GK99="P",Lookup!$N$12,IF(GK99="PP",Lookup!$N$13,IF(GK99="PPP",Lookup!$N$14,IF(GK99="T",Lookup!$N$15,IF(GK99="TP",Lookup!$N$16,IF(GK99="TPP",Lookup!$N$17,IF(GK99="TPPP",Lookup!$N$18,0)))))))*GJ99</f>
        <v>0</v>
      </c>
      <c r="HC99" s="521">
        <f t="shared" si="242"/>
        <v>0</v>
      </c>
      <c r="HD99" s="535">
        <f t="shared" si="243"/>
        <v>1214.8572796995372</v>
      </c>
      <c r="HE99" s="535">
        <f t="shared" si="277"/>
        <v>395.97694905460793</v>
      </c>
      <c r="HF99" s="535"/>
      <c r="HG99" s="535">
        <f t="shared" si="274"/>
        <v>0</v>
      </c>
      <c r="HH99" s="535" t="str">
        <f t="shared" si="275"/>
        <v/>
      </c>
      <c r="HI99" s="535">
        <f>IF(GK99="P",Lookup!$N$12,IF(GK99="PP",Lookup!$N$13,IF(GK99="PPP",Lookup!$N$14,IF(GK99="T",Lookup!$N$15,IF(GK99="TP",Lookup!$N$16,IF(GK99="TPP",Lookup!$N$17,IF(GK99="TPPP",Lookup!$N$18,0)))))))*GJ99</f>
        <v>0</v>
      </c>
      <c r="HJ99" s="521">
        <f t="shared" si="244"/>
        <v>0</v>
      </c>
      <c r="HK99" s="535">
        <f t="shared" si="245"/>
        <v>780.5163902804436</v>
      </c>
      <c r="HL99" s="535">
        <f t="shared" si="278"/>
        <v>254.40560309010547</v>
      </c>
      <c r="HM99" s="535"/>
      <c r="HN99" s="541"/>
      <c r="HO99" s="541"/>
      <c r="HP99" s="541"/>
      <c r="HQ99" s="541">
        <f>IF(AND(B99&gt;=$FV$4,B99&lt;=$FW$4),MAX(110/1.02+$HQ$6+MIN(113/1.02,G99),IF($HV$6-(Sheet1!DA97-Sheet1!DB97)+MIN(113/1.02,G99)&lt;G99+FL99,$HV$6-(Sheet1!DA97-Sheet1!DB97)+MIN(113/1.02,G99),G99+FL99)),MIN(110/1.02+$HQ$6+113/1.02,G99))</f>
        <v>218.62745098039215</v>
      </c>
      <c r="HR99" s="541">
        <f t="shared" si="297"/>
        <v>223</v>
      </c>
      <c r="HS99" s="541">
        <f>HR99+(Sheet1!DA97-Sheet1!DB97)</f>
        <v>1843</v>
      </c>
      <c r="HT99" s="541">
        <f t="shared" si="298"/>
        <v>68.547569999999993</v>
      </c>
      <c r="HU99" s="541">
        <f t="shared" si="299"/>
        <v>1774.45243</v>
      </c>
      <c r="HV99" s="541">
        <f t="shared" si="300"/>
        <v>0</v>
      </c>
      <c r="HW99" s="533" t="str">
        <f t="shared" si="301"/>
        <v/>
      </c>
      <c r="HX99" s="541">
        <f t="shared" si="302"/>
        <v>2841.372549019608</v>
      </c>
      <c r="HY99" s="541">
        <f>Sheet1!CZ97</f>
        <v>3060</v>
      </c>
      <c r="HZ99" s="541">
        <f t="shared" si="303"/>
        <v>0</v>
      </c>
      <c r="IA99" s="541">
        <f t="shared" si="304"/>
        <v>68.547569999999993</v>
      </c>
      <c r="IB99" s="541">
        <f t="shared" si="305"/>
        <v>3060</v>
      </c>
      <c r="IC99" s="1019" t="str">
        <f t="shared" si="306"/>
        <v/>
      </c>
      <c r="ID99" s="541">
        <f t="shared" si="307"/>
        <v>2991.4524299999998</v>
      </c>
      <c r="IE99" s="541">
        <f>Sheet1!DB97</f>
        <v>2820</v>
      </c>
      <c r="IF99" s="533">
        <f>Sheet1!DA97</f>
        <v>4440</v>
      </c>
      <c r="IH99" s="541">
        <f>IF(AND($B99&gt;=$GC99,$B99&lt;=$GH99,$DR99&lt;0)+N("only adjusted when pool is drawn down during storage season"),Sheet1!$DB97+$DR99+N("Palmer minus all storage release"),Sheet1!$DB97)</f>
        <v>2820</v>
      </c>
      <c r="II99" s="541">
        <f>IF(AND($B99&gt;=$GC99,$B99&lt;=$GH99,$DR99&lt;0)+N("only adjusted when pool is drawn down during storage season"),Sheet1!$DA97+$DR99+N("Auburn minus all storage release"),Sheet1!$DA97)</f>
        <v>4440</v>
      </c>
    </row>
    <row r="100" spans="1:243" x14ac:dyDescent="0.25">
      <c r="A100" s="553" t="s">
        <v>7</v>
      </c>
      <c r="B100" s="531">
        <v>42824</v>
      </c>
      <c r="C100" s="536">
        <v>0</v>
      </c>
      <c r="D100" s="506">
        <f t="shared" si="247"/>
        <v>300</v>
      </c>
      <c r="E100" s="506">
        <f t="shared" si="248"/>
        <v>250</v>
      </c>
      <c r="F100" s="506">
        <v>250</v>
      </c>
      <c r="G100" s="535">
        <f>DR100+Sheet1!CZ98</f>
        <v>4083.3182047425194</v>
      </c>
      <c r="H100" s="1074">
        <f t="shared" si="281"/>
        <v>1728.8749497599999</v>
      </c>
      <c r="I100" s="534">
        <f>IF(Sheet1!DA98&gt;=E100,(Sheet1!DA98-E100+P100)*CFStoMGD,0)</f>
        <v>2795.4349497599997</v>
      </c>
      <c r="J100" s="995">
        <f>IF(Sheet1!DB98&gt;=D100,(Sheet1!DB98-D100+P100)*CFStoMGD,0)</f>
        <v>1728.8749497599999</v>
      </c>
      <c r="K100" s="818">
        <f t="shared" si="282"/>
        <v>64.64</v>
      </c>
      <c r="L100" s="535">
        <f>Sheet1!AA98+Sheet1!AB98-Sheet1!L98+(Sheet1!DA98-F100)*CFStoMGD-S100-T100-U100</f>
        <v>2730.7959999999998</v>
      </c>
      <c r="M100" s="535">
        <f t="shared" si="185"/>
        <v>2692.2460252964761</v>
      </c>
      <c r="N100" s="824">
        <f>IF(Sheet1!DA98&gt;=F100,MIN(113*CFStoMGD,MIN(MAX(L100,0),MAX(M100,0))),0)</f>
        <v>73.043199999999999</v>
      </c>
      <c r="O100" s="538">
        <f>Sheet1!AA98+Sheet1!AB98</f>
        <v>54.7</v>
      </c>
      <c r="P100" s="538">
        <f t="shared" si="186"/>
        <v>84.620899999999992</v>
      </c>
      <c r="Q100" s="812">
        <f t="shared" si="283"/>
        <v>44.02</v>
      </c>
      <c r="R100" s="812">
        <f t="shared" si="249"/>
        <v>10.613892709766162</v>
      </c>
      <c r="S100" s="812">
        <f t="shared" si="250"/>
        <v>10.68</v>
      </c>
      <c r="T100" s="812">
        <f t="shared" si="251"/>
        <v>53.96</v>
      </c>
      <c r="U100" s="812">
        <f t="shared" si="284"/>
        <v>0</v>
      </c>
      <c r="V100" s="812"/>
      <c r="W100" s="812">
        <f t="shared" si="252"/>
        <v>54.026107290233838</v>
      </c>
      <c r="X100" s="812">
        <f t="shared" si="253"/>
        <v>64.64</v>
      </c>
      <c r="Y100" s="812" t="str">
        <f t="shared" si="254"/>
        <v>FALSE</v>
      </c>
      <c r="Z100" s="812">
        <f t="shared" si="255"/>
        <v>54.7</v>
      </c>
      <c r="AA100" s="812">
        <f t="shared" si="256"/>
        <v>54.7</v>
      </c>
      <c r="AB100" s="1059">
        <f t="shared" si="285"/>
        <v>68.098939999999999</v>
      </c>
      <c r="AC100" s="538">
        <f>Sheet1!Y98*MGDtoCFS</f>
        <v>40.067299999999996</v>
      </c>
      <c r="AD100" s="538">
        <f>Sheet1!Z98*MGDtoCFS</f>
        <v>44.708299999999994</v>
      </c>
      <c r="AE100" s="538">
        <f>Sheet1!AA98*MGDtoCFS</f>
        <v>39.912599999999998</v>
      </c>
      <c r="AF100" s="538">
        <f>Sheet1!AB98*MGDtoCFS</f>
        <v>44.708299999999994</v>
      </c>
      <c r="AG100" s="538">
        <f>Sheet1!L98*MGDtoCFS</f>
        <v>0</v>
      </c>
      <c r="AH100" s="521">
        <f t="shared" si="187"/>
        <v>0</v>
      </c>
      <c r="AI100" s="1059">
        <f t="shared" si="188"/>
        <v>0</v>
      </c>
      <c r="AJ100" s="535">
        <f t="shared" si="189"/>
        <v>54.026107290233838</v>
      </c>
      <c r="AK100" s="535">
        <f t="shared" si="190"/>
        <v>83.578387977991738</v>
      </c>
      <c r="AL100" s="535">
        <f>(VLOOKUP(Sheet1!DC98,hhdcap_wcm,4)-(((VLOOKUP(Sheet1!DC98,hhdcap_wcm,3)-Sheet1!DC98)/(VLOOKUP(Sheet1!DC98,hhdcap_wcm,3)-VLOOKUP(Sheet1!DC98,hhdcap_wcm,1)))*(VLOOKUP(Sheet1!DC98,hhdcap_wcm,4)-VLOOKUP(Sheet1!DC98,hhdcap_wcm,2))))</f>
        <v>21177.300000053187</v>
      </c>
      <c r="AM100" s="535">
        <f t="shared" si="191"/>
        <v>1672.3000000044158</v>
      </c>
      <c r="AN100" s="1035">
        <f t="shared" si="192"/>
        <v>2320.3708899689368</v>
      </c>
      <c r="AO100" s="535">
        <f t="shared" si="193"/>
        <v>7118.8978904246978</v>
      </c>
      <c r="AP100" s="535">
        <f>Sheet1!BA98+Sheet1!BB98+Sheet1!BN98+CD100</f>
        <v>18.399999999999999</v>
      </c>
      <c r="AQ100" s="535">
        <f>Sheet1!BN98+(DO100*Sheet1!BN98)</f>
        <v>18.286107290233836</v>
      </c>
      <c r="AR100" s="535">
        <f>Sheet1!BA98+CD100</f>
        <v>0</v>
      </c>
      <c r="AS100" s="535">
        <f>Sheet1!BA98+Sheet1!BB98+CD100</f>
        <v>0</v>
      </c>
      <c r="AT100" s="649">
        <f>0</f>
        <v>0</v>
      </c>
      <c r="AU100" s="535">
        <f>IF(EB100&lt;K100,0,MAX(Sheet1!AA98+AQ100-15/36*K100-N100,Sheet1!EH98,0))</f>
        <v>0</v>
      </c>
      <c r="AV100" s="535">
        <f>IF(OR(B100&gt;=GD100,B100&lt;GC100),0,15/36*K100-MAX(0,64.6-(137.6-(Sheet1!AA98+Sheet1!AB98))))</f>
        <v>26.933333333333334</v>
      </c>
      <c r="AW100" s="1029"/>
      <c r="AX100" s="649"/>
      <c r="AY100" s="649">
        <f t="shared" si="286"/>
        <v>0</v>
      </c>
      <c r="AZ100" s="649">
        <f t="shared" si="287"/>
        <v>0</v>
      </c>
      <c r="BA100" s="1059">
        <f t="shared" si="288"/>
        <v>0</v>
      </c>
      <c r="BB100" s="1019">
        <f t="shared" si="194"/>
        <v>1158.1333333333325</v>
      </c>
      <c r="BC100" s="1041">
        <f t="shared" si="289"/>
        <v>26.933333333333334</v>
      </c>
      <c r="BD100" s="1019">
        <f ca="1">IF(B100&gt;Summary!$A$1,#N/A,BB100*MGtoAF)</f>
        <v>3553.1530666666645</v>
      </c>
      <c r="BE100" s="535">
        <f>Sheet1!BG98+Sheet1!BH98+Sheet1!BI98-BM100</f>
        <v>1.01</v>
      </c>
      <c r="BF100" s="535">
        <f t="shared" si="195"/>
        <v>1.0037482806052269</v>
      </c>
      <c r="BG100" s="535">
        <f>IF(Sheet1!EP98="FM",BM100,0)</f>
        <v>0</v>
      </c>
      <c r="BH100" s="535">
        <f t="shared" si="196"/>
        <v>0</v>
      </c>
      <c r="BI100" s="535">
        <f>IF(Sheet1!EP98="OTHER",BM100,0)</f>
        <v>0</v>
      </c>
      <c r="BJ100" s="535">
        <f t="shared" si="197"/>
        <v>0</v>
      </c>
      <c r="BK100" s="535">
        <f t="shared" si="198"/>
        <v>1.01</v>
      </c>
      <c r="BL100" s="535">
        <f t="shared" si="199"/>
        <v>1.0037482806052269</v>
      </c>
      <c r="BM100" s="535">
        <f>IF(OR(Sheet1!EP98="FM", Sheet1!EP98="OTHER"),SUM(Sheet1!BG98:'Sheet1'!BI98),0)</f>
        <v>0</v>
      </c>
      <c r="BN100" s="521">
        <f>IF(AND($B100&gt;=$FV100,$B100&lt;=$FW100),MAX(BF100,Sheet1!EI98,0),MAX(BF100-(7/36)*$K100,0))</f>
        <v>0</v>
      </c>
      <c r="BO100" s="535">
        <f t="shared" si="200"/>
        <v>11.565140608283663</v>
      </c>
      <c r="BP100" s="521">
        <f t="shared" si="201"/>
        <v>1.0037482806052269</v>
      </c>
      <c r="BQ100" s="521">
        <f>IF(AND($O100&gt;0,Sheet1!EM98=1),(1-($O100-Sheet1!$L98)/$O100)*BL100,0)</f>
        <v>0</v>
      </c>
      <c r="BR100" s="521">
        <f>IF(AND(Sheet1!$L98=0,Sheet1!$L97=0, Calculation!BK100&lt;Sheet1!$EI98-0.1,Sheet1!$EI98=Sheet1!$EI97,Sheet1!$EI98=Sheet1!$EI99),BL100-BQ100,BL100-BQ100)</f>
        <v>1.0037482806052269</v>
      </c>
      <c r="BS100" s="1035" t="str">
        <f t="shared" si="290"/>
        <v/>
      </c>
      <c r="BT100" s="1035">
        <f t="shared" si="291"/>
        <v>12.568888888888889</v>
      </c>
      <c r="BU100" s="535">
        <f t="shared" si="202"/>
        <v>496.32737114227399</v>
      </c>
      <c r="BV100" s="535"/>
      <c r="BW100" s="535">
        <f ca="1">IF(B100&gt;Summary!$A$1,#N/A,BU100*MGtoAF)</f>
        <v>1522.7323746644965</v>
      </c>
      <c r="BX100" s="535">
        <f>Sheet1!BC98+Sheet1!BD98+Sheet1!BE98+Sheet1!BF98-CG100-CH100</f>
        <v>3</v>
      </c>
      <c r="BY100" s="535">
        <f t="shared" si="203"/>
        <v>2.9814305364511693</v>
      </c>
      <c r="BZ100" s="535">
        <f>IF(Sheet1!EQ98="FM",CH100,0)</f>
        <v>0</v>
      </c>
      <c r="CA100" s="535">
        <f t="shared" si="204"/>
        <v>0</v>
      </c>
      <c r="CB100" s="535">
        <f>IF(Sheet1!EQ98="OTHER",CH100,0)</f>
        <v>0</v>
      </c>
      <c r="CC100" s="535">
        <f t="shared" si="205"/>
        <v>0</v>
      </c>
      <c r="CD100" s="535">
        <f t="shared" si="206"/>
        <v>0</v>
      </c>
      <c r="CE100" s="535">
        <f t="shared" si="207"/>
        <v>3</v>
      </c>
      <c r="CF100" s="535">
        <f t="shared" si="208"/>
        <v>2.9814305364511693</v>
      </c>
      <c r="CG100" s="535">
        <f>IF(Sheet1!EQ98="CWA",SUM(Sheet1!BC98:'Sheet1'!BF98),0)</f>
        <v>0</v>
      </c>
      <c r="CH100" s="535">
        <f>IF(OR(Sheet1!EQ98="FM", Sheet1!EQ98="OTHER"),SUM(Sheet1!BC98:'Sheet1'!BF98),0)</f>
        <v>0</v>
      </c>
      <c r="CI100" s="521">
        <f>IF(AND($B100&gt;=$FV100,$B100&lt;=$FW100),MAX(CF100,Sheet1!EJ98,0),MAX(CF100-(7/36)*$K100,0))</f>
        <v>0</v>
      </c>
      <c r="CJ100" s="535">
        <f t="shared" si="209"/>
        <v>9.5874583524377197</v>
      </c>
      <c r="CK100" s="521">
        <f t="shared" si="210"/>
        <v>2.9814305364511693</v>
      </c>
      <c r="CL100" s="521">
        <f>IF(AND($O100&gt;0,Sheet1!EN98=1),(1-($O100-Sheet1!$L98)/$O100)*CF100,0)</f>
        <v>0</v>
      </c>
      <c r="CM100" s="521">
        <f>IF(AND(Sheet1!$L98=0,Sheet1!$L97=0, Calculation!CE100&lt;Sheet1!EJ98-0.1,Sheet1!EJ98=Sheet1!EJ97,Sheet1!EJ98=Sheet1!EJ99),CF100-CL100,CF100-CL100)</f>
        <v>2.9814305364511693</v>
      </c>
      <c r="CN100" s="1040" t="str">
        <f t="shared" si="292"/>
        <v/>
      </c>
      <c r="CO100" s="1035">
        <f t="shared" si="293"/>
        <v>12.568888888888889</v>
      </c>
      <c r="CP100" s="535">
        <f t="shared" si="211"/>
        <v>405.56440740704562</v>
      </c>
      <c r="CQ100" s="535"/>
      <c r="CR100" s="535">
        <f ca="1">IF(B100&gt;Summary!$A$1,#N/A,CP100*MGtoAF)</f>
        <v>1244.271601924816</v>
      </c>
      <c r="CS100" s="535">
        <f>Sheet1!BK98+Sheet1!BL98+Sheet1!BM98-Sheet1!ER98-DA100</f>
        <v>6.67</v>
      </c>
      <c r="CT100" s="535">
        <f t="shared" si="212"/>
        <v>6.628713892709766</v>
      </c>
      <c r="CU100" s="535">
        <f>IF(Sheet1!ER98="FM",DA100,0)</f>
        <v>0</v>
      </c>
      <c r="CV100" s="535">
        <f t="shared" si="213"/>
        <v>0</v>
      </c>
      <c r="CW100" s="535">
        <f>IF(Sheet1!ER98="OTHER",DA100,0)</f>
        <v>0</v>
      </c>
      <c r="CX100" s="535">
        <f t="shared" si="214"/>
        <v>0</v>
      </c>
      <c r="CY100" s="535">
        <f t="shared" si="215"/>
        <v>6.67</v>
      </c>
      <c r="CZ100" s="535">
        <f t="shared" si="216"/>
        <v>6.628713892709766</v>
      </c>
      <c r="DA100" s="535">
        <f>IF(OR(Sheet1!ER98="FM", Sheet1!ER98="OTHER"),SUM(Sheet1!BK98:'Sheet1'!BM98),0)</f>
        <v>0</v>
      </c>
      <c r="DB100" s="1011">
        <f>IF(AND($B100&gt;=$FV100,$B100&lt;=$FW100),MAX($CT100,Sheet1!EK98,0),MAX($CT100-(7/36)*$K100,0))</f>
        <v>0</v>
      </c>
      <c r="DC100" s="1012">
        <f t="shared" si="217"/>
        <v>5.940174996179123</v>
      </c>
      <c r="DD100" s="1011">
        <f t="shared" si="218"/>
        <v>6.628713892709766</v>
      </c>
      <c r="DE100" s="521">
        <f>IF(AND($O100&gt;0,Sheet1!EO98=1),(1-($O100-Sheet1!$L98)/$O100)*CZ100,0)</f>
        <v>0</v>
      </c>
      <c r="DF100" s="521">
        <f>IF(AND(Sheet1!$L98=0,Sheet1!$L97=0, Calculation!CY100&lt;Sheet1!$EK98-0.1,Sheet1!$EK98=Sheet1!$EK97,Sheet1!$EK98=Sheet1!$EK99),CZ100-DE100,CZ100-DE100)</f>
        <v>6.628713892709766</v>
      </c>
      <c r="DG100" s="1040">
        <f t="shared" si="294"/>
        <v>12.568888888888889</v>
      </c>
      <c r="DH100" s="649">
        <f t="shared" si="219"/>
        <v>10.68</v>
      </c>
      <c r="DI100" s="535">
        <f t="shared" si="220"/>
        <v>260.34577808628461</v>
      </c>
      <c r="DJ100" s="649">
        <f t="shared" si="221"/>
        <v>10.613892709766162</v>
      </c>
      <c r="DK100" s="535">
        <f ca="1">IF(B100&gt;Summary!$A$1,#N/A,DI100*MGtoAF)</f>
        <v>798.74084716872119</v>
      </c>
      <c r="DL100" s="649">
        <f t="shared" si="222"/>
        <v>10.68</v>
      </c>
      <c r="DM100" s="535">
        <f t="shared" si="223"/>
        <v>29.08</v>
      </c>
      <c r="DN100" s="535">
        <f>Sheet1!AB98-DM100</f>
        <v>-0.17999999999999972</v>
      </c>
      <c r="DO100" s="743">
        <f t="shared" si="224"/>
        <v>-6.1898211829435942E-3</v>
      </c>
      <c r="DP100" s="535">
        <f>(VLOOKUP(Sheet1!DC98,hhdcap_wcm,4)-(((VLOOKUP(Sheet1!DC98,hhdcap_wcm,3)-Sheet1!DC98)/(VLOOKUP(Sheet1!DC98,hhdcap_wcm,3)-VLOOKUP(Sheet1!DC98,hhdcap_wcm,1)))*(VLOOKUP(Sheet1!DC98,hhdcap_wcm,4)-VLOOKUP(Sheet1!DC98,hhdcap_wcm,2))))</f>
        <v>21177.300000053187</v>
      </c>
      <c r="DQ100" s="535">
        <f t="shared" si="225"/>
        <v>1672.3000000044158</v>
      </c>
      <c r="DR100" s="535">
        <f t="shared" si="226"/>
        <v>843.31820474251924</v>
      </c>
      <c r="DS100" s="535">
        <f>Sheet1!EA98*AFtoMG</f>
        <v>0</v>
      </c>
      <c r="DT100" s="535">
        <f>Sheet1!EB98*AFtoMG</f>
        <v>0</v>
      </c>
      <c r="DU100" s="535">
        <f>Sheet1!EC98*AFtoMG</f>
        <v>0</v>
      </c>
      <c r="DV100" s="535">
        <f>Sheet1!ED98*AFtoMG</f>
        <v>0</v>
      </c>
      <c r="DW100" s="535">
        <f t="shared" si="227"/>
        <v>0</v>
      </c>
      <c r="DX100" s="535">
        <f t="shared" si="228"/>
        <v>0</v>
      </c>
      <c r="DY100" s="535">
        <f t="shared" si="229"/>
        <v>2320.3708899689368</v>
      </c>
      <c r="DZ100" s="535">
        <f t="shared" si="230"/>
        <v>7118.8978904246978</v>
      </c>
      <c r="EA100" s="535"/>
      <c r="EB100" s="521">
        <f>IF(OR(B100&lt;FV100,B100&gt;FW100),(MIN(BF100+BY100+CT100+MAX(Sheet1!AA98+AQ100-73,0),K100)),0)</f>
        <v>10.613892709766162</v>
      </c>
      <c r="EC100" s="535"/>
      <c r="ED100" s="535">
        <f t="shared" si="231"/>
        <v>10.613892709766162</v>
      </c>
      <c r="EE100" s="535"/>
      <c r="EF100" s="535">
        <f>Sheet1!EH98+Sheet1!EI98+Sheet1!EJ98+Sheet1!EK98</f>
        <v>10.5</v>
      </c>
      <c r="EG100" s="1019">
        <f t="shared" si="295"/>
        <v>16.243500000000001</v>
      </c>
      <c r="EH100" s="521">
        <f t="shared" si="232"/>
        <v>0</v>
      </c>
      <c r="EI100" s="535">
        <f>IF(Sheet1!ET98=1,SUM('Calculations II'!AT100:BA100)+'Calculations II'!BC100+Sheet1!BV98+'Calculations II'!BE100+AP100,'Calculations II'!BK100)</f>
        <v>41.583681290233841</v>
      </c>
      <c r="EJ100" s="535">
        <f ca="1">EI100+'Calculations II'!D100+'Calculations II'!E100+'Calculations II'!O100</f>
        <v>44.675443674832643</v>
      </c>
      <c r="EK100" s="535"/>
      <c r="EL100" s="535"/>
      <c r="EM100" s="535">
        <f t="shared" si="233"/>
        <v>42824</v>
      </c>
      <c r="EN100" s="535">
        <f t="shared" si="234"/>
        <v>54.026107290233838</v>
      </c>
      <c r="EO100" s="535">
        <f t="shared" si="235"/>
        <v>83.578387977991738</v>
      </c>
      <c r="EP100" s="535">
        <v>0</v>
      </c>
      <c r="EQ100" s="535">
        <v>0</v>
      </c>
      <c r="ER100" s="535">
        <v>0</v>
      </c>
      <c r="ES100" s="521">
        <f t="shared" si="257"/>
        <v>-1.8011352567268313</v>
      </c>
      <c r="ET100" s="535">
        <f>-(VLOOKUP(Sheet1!BQ98,Lookup!$O$4:$Q$262,2)-VLOOKUP(Sheet1!BQ97,Lookup!$O$4:$Q$262,2))/1000000</f>
        <v>-0.83115859135520831</v>
      </c>
      <c r="EU100" s="535">
        <f>-(VLOOKUP(Sheet1!BR98,Lookup!$O$4:$Q$262,3)-VLOOKUP(Sheet1!BR97,Lookup!$O$4:$Q$262,3))/1000000</f>
        <v>-0.96997666537162286</v>
      </c>
      <c r="EV100" s="535"/>
      <c r="EW100" s="535"/>
      <c r="EX100" s="535"/>
      <c r="EY100" s="535"/>
      <c r="EZ100" s="535"/>
      <c r="FA100" s="535"/>
      <c r="FB100" s="535"/>
      <c r="FC100" s="535"/>
      <c r="FD100" s="567" t="e">
        <f t="shared" si="236"/>
        <v>#N/A</v>
      </c>
      <c r="FE100" s="567" t="e">
        <f t="shared" si="237"/>
        <v>#N/A</v>
      </c>
      <c r="FF100" s="568" t="e">
        <f t="shared" si="238"/>
        <v>#N/A</v>
      </c>
      <c r="FG100" s="569" t="s">
        <v>656</v>
      </c>
      <c r="FH100" s="569" t="s">
        <v>656</v>
      </c>
      <c r="FI100" s="567" t="e">
        <v>#N/A</v>
      </c>
      <c r="FJ100" s="567" t="e">
        <v>#N/A</v>
      </c>
      <c r="FK100" s="535"/>
      <c r="FL100" s="1015">
        <v>0</v>
      </c>
      <c r="FM100" s="535"/>
      <c r="FN100" s="535"/>
      <c r="FO100" s="535">
        <f>O100+((Sheet1!CS98)*GPMtoMGD)</f>
        <v>54.7</v>
      </c>
      <c r="FP100" s="535">
        <f>IF(Sheet1!AA98+AQ100&lt;=Calculation!N100,AQ100,Calculation!N100-Sheet1!AA98)</f>
        <v>18.286107290233836</v>
      </c>
      <c r="FQ100" s="535">
        <f>(Sheet1!BP98+Sheet1!BO98)/694.4</f>
        <v>1.6057027649769586</v>
      </c>
      <c r="FR100" s="541"/>
      <c r="FS100" s="541"/>
      <c r="FT100" s="541"/>
      <c r="FU100" s="541"/>
      <c r="FV100" s="1109">
        <f t="shared" si="258"/>
        <v>42918</v>
      </c>
      <c r="FW100" s="1109">
        <f t="shared" si="259"/>
        <v>43027</v>
      </c>
      <c r="FX100" s="541"/>
      <c r="FY100" s="541">
        <f>Sheet1!DA98-Sheet1!CZ98-Sheet1!AE98</f>
        <v>1165.3791000000001</v>
      </c>
      <c r="FZ100" s="535">
        <f t="shared" si="296"/>
        <v>0.28540002066125658</v>
      </c>
      <c r="GA100" s="535"/>
      <c r="GB100" s="535" t="str">
        <f t="shared" si="260"/>
        <v>n</v>
      </c>
      <c r="GC100" s="539">
        <f t="shared" si="261"/>
        <v>42782</v>
      </c>
      <c r="GD100" s="1109">
        <f t="shared" si="262"/>
        <v>42904</v>
      </c>
      <c r="GE100" s="535">
        <f t="shared" si="280"/>
        <v>6520</v>
      </c>
      <c r="GF100" s="1109">
        <f t="shared" si="263"/>
        <v>42909</v>
      </c>
      <c r="GG100" s="535">
        <f t="shared" si="308"/>
        <v>3260</v>
      </c>
      <c r="GH100" s="539">
        <f t="shared" si="264"/>
        <v>43040</v>
      </c>
      <c r="GJ100" s="521">
        <f t="shared" si="265"/>
        <v>0</v>
      </c>
      <c r="GK100" s="535" t="str">
        <f t="shared" si="239"/>
        <v/>
      </c>
      <c r="GL100" s="535">
        <f t="shared" si="266"/>
        <v>0</v>
      </c>
      <c r="GM100" s="535" t="str">
        <f t="shared" si="267"/>
        <v/>
      </c>
      <c r="GN100" s="535">
        <f>IF(GK100="P",Lookup!$M$12,IF(GK100="PP",Lookup!$M$13,IF(GK100="PPP",Lookup!$M$14,IF(GK100="T",Lookup!$M$15,IF(GK100="TP",Lookup!$M$16,IF(GK100="TPP",Lookup!$M$17,IF(GK100="TPPP",Lookup!$M$18,0)))))))*GJ100</f>
        <v>0</v>
      </c>
      <c r="GO100" s="535">
        <f t="shared" si="268"/>
        <v>0</v>
      </c>
      <c r="GP100" s="535">
        <f t="shared" si="240"/>
        <v>3553.1530666666645</v>
      </c>
      <c r="GQ100" s="535">
        <f t="shared" si="279"/>
        <v>1158.1333333333325</v>
      </c>
      <c r="GR100" s="535"/>
      <c r="GS100" s="535">
        <f t="shared" si="269"/>
        <v>0</v>
      </c>
      <c r="GT100" s="535" t="str">
        <f t="shared" si="270"/>
        <v/>
      </c>
      <c r="GU100" s="535">
        <f>IF(GK100="P",Lookup!$N$12,IF(GK100="PP",Lookup!$N$13,IF(GK100="PPP",Lookup!$N$14,IF(GK100="T",Lookup!$N$15,IF(GK100="TP",Lookup!$N$16,IF(GK100="TPP",Lookup!$N$17,IF(GK100="TPPP",Lookup!$N$18,0)))))))*GJ100</f>
        <v>0</v>
      </c>
      <c r="GV100" s="535">
        <f t="shared" si="271"/>
        <v>0</v>
      </c>
      <c r="GW100" s="535">
        <f t="shared" si="241"/>
        <v>1522.7323746644965</v>
      </c>
      <c r="GX100" s="535">
        <f t="shared" si="276"/>
        <v>496.32737114227399</v>
      </c>
      <c r="GY100" s="535"/>
      <c r="GZ100" s="535">
        <f t="shared" si="272"/>
        <v>0</v>
      </c>
      <c r="HA100" s="535" t="str">
        <f t="shared" si="273"/>
        <v/>
      </c>
      <c r="HB100" s="535">
        <f>IF(GK100="P",Lookup!$N$12,IF(GK100="PP",Lookup!$N$13,IF(GK100="PPP",Lookup!$N$14,IF(GK100="T",Lookup!$N$15,IF(GK100="TP",Lookup!$N$16,IF(GK100="TPP",Lookup!$N$17,IF(GK100="TPPP",Lookup!$N$18,0)))))))*GJ100</f>
        <v>0</v>
      </c>
      <c r="HC100" s="521">
        <f t="shared" si="242"/>
        <v>0</v>
      </c>
      <c r="HD100" s="535">
        <f t="shared" si="243"/>
        <v>1244.271601924816</v>
      </c>
      <c r="HE100" s="535">
        <f t="shared" si="277"/>
        <v>405.56440740704562</v>
      </c>
      <c r="HF100" s="535"/>
      <c r="HG100" s="535">
        <f t="shared" si="274"/>
        <v>0</v>
      </c>
      <c r="HH100" s="535" t="str">
        <f t="shared" si="275"/>
        <v/>
      </c>
      <c r="HI100" s="535">
        <f>IF(GK100="P",Lookup!$N$12,IF(GK100="PP",Lookup!$N$13,IF(GK100="PPP",Lookup!$N$14,IF(GK100="T",Lookup!$N$15,IF(GK100="TP",Lookup!$N$16,IF(GK100="TPP",Lookup!$N$17,IF(GK100="TPPP",Lookup!$N$18,0)))))))*GJ100</f>
        <v>0</v>
      </c>
      <c r="HJ100" s="521">
        <f t="shared" si="244"/>
        <v>0</v>
      </c>
      <c r="HK100" s="535">
        <f t="shared" si="245"/>
        <v>798.74084716872119</v>
      </c>
      <c r="HL100" s="535">
        <f t="shared" si="278"/>
        <v>260.34577808628461</v>
      </c>
      <c r="HM100" s="535"/>
      <c r="HN100" s="541"/>
      <c r="HO100" s="541"/>
      <c r="HP100" s="541"/>
      <c r="HQ100" s="541">
        <f>IF(AND(B100&gt;=$FV$4,B100&lt;=$FW$4),MAX(110/1.02+$HQ$6+MIN(113/1.02,G100),IF($HV$6-(Sheet1!DA98-Sheet1!DB98)+MIN(113/1.02,G100)&lt;G100+FL100,$HV$6-(Sheet1!DA98-Sheet1!DB98)+MIN(113/1.02,G100),G100+FL100)),MIN(110/1.02+$HQ$6+113/1.02,G100))</f>
        <v>218.62745098039215</v>
      </c>
      <c r="HR100" s="541">
        <f t="shared" si="297"/>
        <v>223</v>
      </c>
      <c r="HS100" s="541">
        <f>HR100+(Sheet1!DA98-Sheet1!DB98)</f>
        <v>1823</v>
      </c>
      <c r="HT100" s="541">
        <f t="shared" si="298"/>
        <v>68.098939999999999</v>
      </c>
      <c r="HU100" s="541">
        <f t="shared" si="299"/>
        <v>1754.9010599999999</v>
      </c>
      <c r="HV100" s="541">
        <f t="shared" si="300"/>
        <v>0</v>
      </c>
      <c r="HW100" s="533" t="str">
        <f t="shared" si="301"/>
        <v/>
      </c>
      <c r="HX100" s="541">
        <f t="shared" si="302"/>
        <v>3021.372549019608</v>
      </c>
      <c r="HY100" s="541">
        <f>Sheet1!CZ98</f>
        <v>3240</v>
      </c>
      <c r="HZ100" s="541">
        <f t="shared" si="303"/>
        <v>0</v>
      </c>
      <c r="IA100" s="541">
        <f t="shared" si="304"/>
        <v>68.098939999999999</v>
      </c>
      <c r="IB100" s="541">
        <f t="shared" si="305"/>
        <v>3240</v>
      </c>
      <c r="IC100" s="1019" t="str">
        <f t="shared" si="306"/>
        <v/>
      </c>
      <c r="ID100" s="541">
        <f t="shared" si="307"/>
        <v>3171.9010600000001</v>
      </c>
      <c r="IE100" s="541">
        <f>Sheet1!DB98</f>
        <v>2890</v>
      </c>
      <c r="IF100" s="533">
        <f>Sheet1!DA98</f>
        <v>4490</v>
      </c>
      <c r="IH100" s="541">
        <f>IF(AND($B100&gt;=$GC100,$B100&lt;=$GH100,$DR100&lt;0)+N("only adjusted when pool is drawn down during storage season"),Sheet1!$DB98+$DR100+N("Palmer minus all storage release"),Sheet1!$DB98)</f>
        <v>2890</v>
      </c>
      <c r="II100" s="541">
        <f>IF(AND($B100&gt;=$GC100,$B100&lt;=$GH100,$DR100&lt;0)+N("only adjusted when pool is drawn down during storage season"),Sheet1!$DA98+$DR100+N("Auburn minus all storage release"),Sheet1!$DA98)</f>
        <v>4490</v>
      </c>
    </row>
    <row r="101" spans="1:243" x14ac:dyDescent="0.25">
      <c r="A101" s="553" t="s">
        <v>8</v>
      </c>
      <c r="B101" s="531">
        <v>42825</v>
      </c>
      <c r="C101" s="536">
        <v>0</v>
      </c>
      <c r="D101" s="506">
        <f t="shared" si="247"/>
        <v>300</v>
      </c>
      <c r="E101" s="506">
        <f t="shared" si="248"/>
        <v>250</v>
      </c>
      <c r="F101" s="506">
        <v>250</v>
      </c>
      <c r="G101" s="535">
        <f>DR101+Sheet1!CZ99</f>
        <v>2607.508825014268</v>
      </c>
      <c r="H101" s="1074">
        <f t="shared" si="281"/>
        <v>1294.5869728</v>
      </c>
      <c r="I101" s="534">
        <f>IF(Sheet1!DA99&gt;=E101,(Sheet1!DA99-E101+P101)*CFStoMGD,0)</f>
        <v>1966.8429728000001</v>
      </c>
      <c r="J101" s="995">
        <f>IF(Sheet1!DB99&gt;=D101,(Sheet1!DB99-D101+P101)*CFStoMGD,0)</f>
        <v>1294.5869728</v>
      </c>
      <c r="K101" s="818">
        <f t="shared" si="282"/>
        <v>64.64</v>
      </c>
      <c r="L101" s="535">
        <f>Sheet1!AA99+Sheet1!AB99-Sheet1!L99+(Sheet1!DA99-F101)*CFStoMGD-S101-T101-U101</f>
        <v>1902.2039999999997</v>
      </c>
      <c r="M101" s="535">
        <f t="shared" si="185"/>
        <v>1719.2035785790074</v>
      </c>
      <c r="N101" s="824">
        <f>IF(Sheet1!DA99&gt;=F101,MIN(113*CFStoMGD,MIN(MAX(L101,0),MAX(M101,0))),0)</f>
        <v>73.043199999999999</v>
      </c>
      <c r="O101" s="538">
        <f>Sheet1!AA99+Sheet1!AB99</f>
        <v>53.5</v>
      </c>
      <c r="P101" s="538">
        <f t="shared" si="186"/>
        <v>82.764499999999998</v>
      </c>
      <c r="Q101" s="812">
        <f t="shared" si="283"/>
        <v>42.51</v>
      </c>
      <c r="R101" s="812">
        <f t="shared" si="249"/>
        <v>10.915130871280027</v>
      </c>
      <c r="S101" s="812">
        <f t="shared" si="250"/>
        <v>10.99</v>
      </c>
      <c r="T101" s="812">
        <f t="shared" si="251"/>
        <v>53.65</v>
      </c>
      <c r="U101" s="812">
        <f t="shared" si="284"/>
        <v>0</v>
      </c>
      <c r="V101" s="812"/>
      <c r="W101" s="812">
        <f t="shared" si="252"/>
        <v>53.724869128719973</v>
      </c>
      <c r="X101" s="812">
        <f t="shared" si="253"/>
        <v>64.64</v>
      </c>
      <c r="Y101" s="812" t="str">
        <f t="shared" si="254"/>
        <v>FALSE</v>
      </c>
      <c r="Z101" s="812">
        <f t="shared" si="255"/>
        <v>53.5</v>
      </c>
      <c r="AA101" s="812">
        <f t="shared" si="256"/>
        <v>53.5</v>
      </c>
      <c r="AB101" s="1059">
        <f t="shared" si="285"/>
        <v>65.762969999999996</v>
      </c>
      <c r="AC101" s="538">
        <f>Sheet1!Y99*MGDtoCFS</f>
        <v>39.912599999999998</v>
      </c>
      <c r="AD101" s="538">
        <f>Sheet1!Z99*MGDtoCFS</f>
        <v>44.708299999999994</v>
      </c>
      <c r="AE101" s="538">
        <f>Sheet1!AA99*MGDtoCFS</f>
        <v>39.912599999999998</v>
      </c>
      <c r="AF101" s="538">
        <f>Sheet1!AB99*MGDtoCFS</f>
        <v>42.851899999999993</v>
      </c>
      <c r="AG101" s="538">
        <f>Sheet1!L99*MGDtoCFS</f>
        <v>0</v>
      </c>
      <c r="AH101" s="521">
        <f t="shared" si="187"/>
        <v>0</v>
      </c>
      <c r="AI101" s="1059">
        <f t="shared" si="188"/>
        <v>0</v>
      </c>
      <c r="AJ101" s="535">
        <f t="shared" si="189"/>
        <v>53.724869128719973</v>
      </c>
      <c r="AK101" s="535">
        <f t="shared" si="190"/>
        <v>83.112372542129791</v>
      </c>
      <c r="AL101" s="535">
        <f>(VLOOKUP(Sheet1!DC99,hhdcap_wcm,4)-(((VLOOKUP(Sheet1!DC99,hhdcap_wcm,3)-Sheet1!DC99)/(VLOOKUP(Sheet1!DC99,hhdcap_wcm,3)-VLOOKUP(Sheet1!DC99,hhdcap_wcm,1)))*(VLOOKUP(Sheet1!DC99,hhdcap_wcm,4)-VLOOKUP(Sheet1!DC99,hhdcap_wcm,2))))</f>
        <v>22124.20000005648</v>
      </c>
      <c r="AM101" s="535">
        <f t="shared" si="191"/>
        <v>946.90000000329383</v>
      </c>
      <c r="AN101" s="1035">
        <f t="shared" si="192"/>
        <v>2374.0957590976568</v>
      </c>
      <c r="AO101" s="535">
        <f t="shared" si="193"/>
        <v>7283.7257889116108</v>
      </c>
      <c r="AP101" s="535">
        <f>Sheet1!BA99+Sheet1!BB99+Sheet1!BN99+CD101</f>
        <v>16.899999999999999</v>
      </c>
      <c r="AQ101" s="535">
        <f>Sheet1!BN99+(DO101*Sheet1!BN99)</f>
        <v>16.784869128719969</v>
      </c>
      <c r="AR101" s="535">
        <f>Sheet1!BA99+CD101</f>
        <v>0</v>
      </c>
      <c r="AS101" s="535">
        <f>Sheet1!BA99+Sheet1!BB99+CD101</f>
        <v>0</v>
      </c>
      <c r="AT101" s="649">
        <f>0</f>
        <v>0</v>
      </c>
      <c r="AU101" s="535">
        <f>IF(EB101&lt;K101,0,MAX(Sheet1!AA99+AQ101-15/36*K101-N101,Sheet1!EH99,0))</f>
        <v>0</v>
      </c>
      <c r="AV101" s="535">
        <f>IF(OR(B101&gt;=GD101,B101&lt;GC101),0,15/36*K101-MAX(0,64.6-(137.6-(Sheet1!AA99+Sheet1!AB99))))</f>
        <v>26.933333333333334</v>
      </c>
      <c r="AW101" s="1029"/>
      <c r="AX101" s="649"/>
      <c r="AY101" s="649">
        <f t="shared" si="286"/>
        <v>0</v>
      </c>
      <c r="AZ101" s="649">
        <f t="shared" si="287"/>
        <v>0</v>
      </c>
      <c r="BA101" s="1059">
        <f t="shared" si="288"/>
        <v>0</v>
      </c>
      <c r="BB101" s="1019">
        <f t="shared" si="194"/>
        <v>1185.0666666666659</v>
      </c>
      <c r="BC101" s="1041">
        <f t="shared" si="289"/>
        <v>26.933333333333334</v>
      </c>
      <c r="BD101" s="1019">
        <f ca="1">IF(B101&gt;Summary!$A$1,#N/A,BB101*MGtoAF)</f>
        <v>3635.7845333333312</v>
      </c>
      <c r="BE101" s="535">
        <f>Sheet1!BG99+Sheet1!BH99+Sheet1!BI99-BM101</f>
        <v>1.01</v>
      </c>
      <c r="BF101" s="535">
        <f t="shared" si="195"/>
        <v>1.0031193976335604</v>
      </c>
      <c r="BG101" s="535">
        <f>IF(Sheet1!EP99="FM",BM101,0)</f>
        <v>0</v>
      </c>
      <c r="BH101" s="535">
        <f t="shared" si="196"/>
        <v>0</v>
      </c>
      <c r="BI101" s="535">
        <f>IF(Sheet1!EP99="OTHER",BM101,0)</f>
        <v>0</v>
      </c>
      <c r="BJ101" s="535">
        <f t="shared" si="197"/>
        <v>0</v>
      </c>
      <c r="BK101" s="535">
        <f t="shared" si="198"/>
        <v>1.01</v>
      </c>
      <c r="BL101" s="535">
        <f t="shared" si="199"/>
        <v>1.0031193976335604</v>
      </c>
      <c r="BM101" s="535">
        <f>IF(OR(Sheet1!EP99="FM", Sheet1!EP99="OTHER"),SUM(Sheet1!BG99:'Sheet1'!BI99),0)</f>
        <v>0</v>
      </c>
      <c r="BN101" s="521">
        <f>IF(AND($B101&gt;=$FV101,$B101&lt;=$FW101),MAX(BF101,Sheet1!EI99,0),MAX(BF101-(7/36)*$K101,0))</f>
        <v>0</v>
      </c>
      <c r="BO101" s="535">
        <f t="shared" si="200"/>
        <v>11.565769491255329</v>
      </c>
      <c r="BP101" s="521">
        <f t="shared" si="201"/>
        <v>1.0031193976335604</v>
      </c>
      <c r="BQ101" s="521">
        <f>IF(AND($O101&gt;0,Sheet1!EM99=1),(1-($O101-Sheet1!$L99)/$O101)*BL101,0)</f>
        <v>0</v>
      </c>
      <c r="BR101" s="521">
        <f>IF(AND(Sheet1!$L99=0,Sheet1!$L98=0, Calculation!BK101&lt;Sheet1!$EI99-0.1,Sheet1!$EI99=Sheet1!$EI98,Sheet1!$EI99=Sheet1!$EI100),BL101-BQ101,BL101-BQ101)</f>
        <v>1.0031193976335604</v>
      </c>
      <c r="BS101" s="1035" t="str">
        <f t="shared" si="290"/>
        <v/>
      </c>
      <c r="BT101" s="1035">
        <f t="shared" si="291"/>
        <v>12.568888888888889</v>
      </c>
      <c r="BU101" s="535">
        <f t="shared" si="202"/>
        <v>507.8931406335293</v>
      </c>
      <c r="BV101" s="535"/>
      <c r="BW101" s="535">
        <f ca="1">IF(B101&gt;Summary!$A$1,#N/A,BU101*MGtoAF)</f>
        <v>1558.216155463668</v>
      </c>
      <c r="BX101" s="535">
        <f>Sheet1!BC99+Sheet1!BD99+Sheet1!BE99+Sheet1!BF99-CG101-CH101</f>
        <v>3.32</v>
      </c>
      <c r="BY101" s="535">
        <f t="shared" si="203"/>
        <v>3.2973825743994261</v>
      </c>
      <c r="BZ101" s="535">
        <f>IF(Sheet1!EQ99="FM",CH101,0)</f>
        <v>0</v>
      </c>
      <c r="CA101" s="535">
        <f t="shared" si="204"/>
        <v>0</v>
      </c>
      <c r="CB101" s="535">
        <f>IF(Sheet1!EQ99="OTHER",CH101,0)</f>
        <v>0</v>
      </c>
      <c r="CC101" s="535">
        <f t="shared" si="205"/>
        <v>0</v>
      </c>
      <c r="CD101" s="535">
        <f t="shared" si="206"/>
        <v>0</v>
      </c>
      <c r="CE101" s="535">
        <f t="shared" si="207"/>
        <v>3.32</v>
      </c>
      <c r="CF101" s="535">
        <f t="shared" si="208"/>
        <v>3.2973825743994261</v>
      </c>
      <c r="CG101" s="535">
        <f>IF(Sheet1!EQ99="CWA",SUM(Sheet1!BC99:'Sheet1'!BF99),0)</f>
        <v>0</v>
      </c>
      <c r="CH101" s="535">
        <f>IF(OR(Sheet1!EQ99="FM", Sheet1!EQ99="OTHER"),SUM(Sheet1!BC99:'Sheet1'!BF99),0)</f>
        <v>0</v>
      </c>
      <c r="CI101" s="521">
        <f>IF(AND($B101&gt;=$FV101,$B101&lt;=$FW101),MAX(CF101,Sheet1!EJ99,0),MAX(CF101-(7/36)*$K101,0))</f>
        <v>0</v>
      </c>
      <c r="CJ101" s="535">
        <f t="shared" si="209"/>
        <v>9.2715063144894625</v>
      </c>
      <c r="CK101" s="521">
        <f t="shared" si="210"/>
        <v>3.2973825743994261</v>
      </c>
      <c r="CL101" s="521">
        <f>IF(AND($O101&gt;0,Sheet1!EN99=1),(1-($O101-Sheet1!$L99)/$O101)*CF101,0)</f>
        <v>0</v>
      </c>
      <c r="CM101" s="521">
        <f>IF(AND(Sheet1!$L99=0,Sheet1!$L98=0, Calculation!CE101&lt;Sheet1!EJ99-0.1,Sheet1!EJ99=Sheet1!EJ98,Sheet1!EJ99=Sheet1!EJ100),CF101-CL101,CF101-CL101)</f>
        <v>3.2973825743994261</v>
      </c>
      <c r="CN101" s="1040" t="str">
        <f t="shared" si="292"/>
        <v/>
      </c>
      <c r="CO101" s="1035">
        <f t="shared" si="293"/>
        <v>12.568888888888889</v>
      </c>
      <c r="CP101" s="535">
        <f t="shared" si="211"/>
        <v>414.83591372153506</v>
      </c>
      <c r="CQ101" s="535"/>
      <c r="CR101" s="535">
        <f ca="1">IF(B101&gt;Summary!$A$1,#N/A,CP101*MGtoAF)</f>
        <v>1272.7165832976696</v>
      </c>
      <c r="CS101" s="535">
        <f>Sheet1!BK99+Sheet1!BL99+Sheet1!BM99-Sheet1!ER99-DA101</f>
        <v>6.66</v>
      </c>
      <c r="CT101" s="535">
        <f t="shared" si="212"/>
        <v>6.6146288992470419</v>
      </c>
      <c r="CU101" s="535">
        <f>IF(Sheet1!ER99="FM",DA101,0)</f>
        <v>0</v>
      </c>
      <c r="CV101" s="535">
        <f t="shared" si="213"/>
        <v>0</v>
      </c>
      <c r="CW101" s="535">
        <f>IF(Sheet1!ER99="OTHER",DA101,0)</f>
        <v>0</v>
      </c>
      <c r="CX101" s="535">
        <f t="shared" si="214"/>
        <v>0</v>
      </c>
      <c r="CY101" s="535">
        <f t="shared" si="215"/>
        <v>6.66</v>
      </c>
      <c r="CZ101" s="535">
        <f t="shared" si="216"/>
        <v>6.6146288992470419</v>
      </c>
      <c r="DA101" s="535">
        <f>IF(OR(Sheet1!ER99="FM", Sheet1!ER99="OTHER"),SUM(Sheet1!BK99:'Sheet1'!BM99),0)</f>
        <v>0</v>
      </c>
      <c r="DB101" s="1011">
        <f>IF(AND($B101&gt;=$FV101,$B101&lt;=$FW101),MAX($CT101,Sheet1!EK99,0),MAX($CT101-(7/36)*$K101,0))</f>
        <v>0</v>
      </c>
      <c r="DC101" s="1012">
        <f t="shared" si="217"/>
        <v>5.9542599896418471</v>
      </c>
      <c r="DD101" s="1011">
        <f t="shared" si="218"/>
        <v>6.6146288992470419</v>
      </c>
      <c r="DE101" s="521">
        <f>IF(AND($O101&gt;0,Sheet1!EO99=1),(1-($O101-Sheet1!$L99)/$O101)*CZ101,0)</f>
        <v>0</v>
      </c>
      <c r="DF101" s="521">
        <f>IF(AND(Sheet1!$L99=0,Sheet1!$L98=0, Calculation!CY101&lt;Sheet1!$EK99-0.1,Sheet1!$EK99=Sheet1!$EK98,Sheet1!$EK99=Sheet1!$EK100),CZ101-DE101,CZ101-DE101)</f>
        <v>6.6146288992470419</v>
      </c>
      <c r="DG101" s="1040">
        <f t="shared" si="294"/>
        <v>12.568888888888889</v>
      </c>
      <c r="DH101" s="649">
        <f t="shared" si="219"/>
        <v>10.99</v>
      </c>
      <c r="DI101" s="535">
        <f t="shared" si="220"/>
        <v>266.30003807592647</v>
      </c>
      <c r="DJ101" s="649">
        <f t="shared" si="221"/>
        <v>10.915130871280027</v>
      </c>
      <c r="DK101" s="535">
        <f ca="1">IF(B101&gt;Summary!$A$1,#N/A,DI101*MGtoAF)</f>
        <v>817.00851681694246</v>
      </c>
      <c r="DL101" s="649">
        <f t="shared" si="222"/>
        <v>10.99</v>
      </c>
      <c r="DM101" s="535">
        <f t="shared" si="223"/>
        <v>27.89</v>
      </c>
      <c r="DN101" s="535">
        <f>Sheet1!AB99-DM101</f>
        <v>-0.19000000000000128</v>
      </c>
      <c r="DO101" s="743">
        <f t="shared" si="224"/>
        <v>-6.8124775905342872E-3</v>
      </c>
      <c r="DP101" s="535">
        <f>(VLOOKUP(Sheet1!DC99,hhdcap_wcm,4)-(((VLOOKUP(Sheet1!DC99,hhdcap_wcm,3)-Sheet1!DC99)/(VLOOKUP(Sheet1!DC99,hhdcap_wcm,3)-VLOOKUP(Sheet1!DC99,hhdcap_wcm,1)))*(VLOOKUP(Sheet1!DC99,hhdcap_wcm,4)-VLOOKUP(Sheet1!DC99,hhdcap_wcm,2))))</f>
        <v>22124.20000005648</v>
      </c>
      <c r="DQ101" s="535">
        <f t="shared" si="225"/>
        <v>946.90000000329383</v>
      </c>
      <c r="DR101" s="535">
        <f t="shared" si="226"/>
        <v>477.50882501426815</v>
      </c>
      <c r="DS101" s="535">
        <f>Sheet1!EA99*AFtoMG</f>
        <v>0</v>
      </c>
      <c r="DT101" s="535">
        <f>Sheet1!EB99*AFtoMG</f>
        <v>0</v>
      </c>
      <c r="DU101" s="535">
        <f>Sheet1!EC99*AFtoMG</f>
        <v>0</v>
      </c>
      <c r="DV101" s="535">
        <f>Sheet1!ED99*AFtoMG</f>
        <v>0</v>
      </c>
      <c r="DW101" s="535">
        <f t="shared" si="227"/>
        <v>0</v>
      </c>
      <c r="DX101" s="535">
        <f t="shared" si="228"/>
        <v>0</v>
      </c>
      <c r="DY101" s="535">
        <f t="shared" si="229"/>
        <v>2374.0957590976568</v>
      </c>
      <c r="DZ101" s="535">
        <f t="shared" si="230"/>
        <v>7283.7257889116108</v>
      </c>
      <c r="EA101" s="535"/>
      <c r="EB101" s="521">
        <f>IF(OR(B101&lt;FV101,B101&gt;FW101),(MIN(BF101+BY101+CT101+MAX(Sheet1!AA99+AQ101-73,0),K101)),0)</f>
        <v>10.915130871280027</v>
      </c>
      <c r="EC101" s="535"/>
      <c r="ED101" s="535">
        <f t="shared" si="231"/>
        <v>10.915130871280029</v>
      </c>
      <c r="EE101" s="535"/>
      <c r="EF101" s="535">
        <f>Sheet1!EH99+Sheet1!EI99+Sheet1!EJ99+Sheet1!EK99</f>
        <v>11</v>
      </c>
      <c r="EG101" s="1019">
        <f t="shared" si="295"/>
        <v>17.016999999999999</v>
      </c>
      <c r="EH101" s="521">
        <f t="shared" si="232"/>
        <v>0</v>
      </c>
      <c r="EI101" s="535">
        <f>IF(Sheet1!ET99=1,SUM('Calculations II'!AT101:BA101)+'Calculations II'!BC101+Sheet1!BV99+'Calculations II'!BE101+AP101,'Calculations II'!BK101)</f>
        <v>43.029615128719968</v>
      </c>
      <c r="EJ101" s="535">
        <f ca="1">EI101+'Calculations II'!D101+'Calculations II'!E101+'Calculations II'!O101</f>
        <v>42.049855876931197</v>
      </c>
      <c r="EK101" s="535"/>
      <c r="EL101" s="535"/>
      <c r="EM101" s="535">
        <f t="shared" si="233"/>
        <v>42825</v>
      </c>
      <c r="EN101" s="535">
        <f t="shared" si="234"/>
        <v>53.724869128719973</v>
      </c>
      <c r="EO101" s="535">
        <f t="shared" si="235"/>
        <v>83.112372542129791</v>
      </c>
      <c r="EP101" s="535">
        <v>0</v>
      </c>
      <c r="EQ101" s="535">
        <v>0</v>
      </c>
      <c r="ER101" s="535">
        <v>0</v>
      </c>
      <c r="ES101" s="521">
        <f t="shared" si="257"/>
        <v>0.96991897836193819</v>
      </c>
      <c r="ET101" s="535">
        <f>-(VLOOKUP(Sheet1!BQ99,Lookup!$O$4:$Q$262,2)-VLOOKUP(Sheet1!BQ98,Lookup!$O$4:$Q$262,2))/1000000</f>
        <v>0.41560813718713446</v>
      </c>
      <c r="EU101" s="535">
        <f>-(VLOOKUP(Sheet1!BR99,Lookup!$O$4:$Q$262,3)-VLOOKUP(Sheet1!BR98,Lookup!$O$4:$Q$262,3))/1000000</f>
        <v>0.55431084117480367</v>
      </c>
      <c r="EV101" s="535"/>
      <c r="EW101" s="535"/>
      <c r="EX101" s="535"/>
      <c r="EY101" s="535"/>
      <c r="EZ101" s="535"/>
      <c r="FA101" s="535"/>
      <c r="FB101" s="535"/>
      <c r="FC101" s="535"/>
      <c r="FD101" s="567" t="e">
        <f t="shared" si="236"/>
        <v>#N/A</v>
      </c>
      <c r="FE101" s="567" t="e">
        <f t="shared" si="237"/>
        <v>#N/A</v>
      </c>
      <c r="FF101" s="568" t="e">
        <f t="shared" si="238"/>
        <v>#N/A</v>
      </c>
      <c r="FG101" s="569" t="s">
        <v>656</v>
      </c>
      <c r="FH101" s="569" t="s">
        <v>656</v>
      </c>
      <c r="FI101" s="567" t="e">
        <v>#N/A</v>
      </c>
      <c r="FJ101" s="567" t="e">
        <v>#N/A</v>
      </c>
      <c r="FK101" s="535"/>
      <c r="FL101" s="1015">
        <v>0</v>
      </c>
      <c r="FM101" s="535"/>
      <c r="FN101" s="535"/>
      <c r="FO101" s="535">
        <f>O101+((Sheet1!CS99)*GPMtoMGD)</f>
        <v>53.5</v>
      </c>
      <c r="FP101" s="535">
        <f>IF(Sheet1!AA99+AQ101&lt;=Calculation!N101,AQ101,Calculation!N101-Sheet1!AA99)</f>
        <v>16.784869128719969</v>
      </c>
      <c r="FQ101" s="535">
        <f>(Sheet1!BP99+Sheet1!BO99)/694.4</f>
        <v>1.474798387096774</v>
      </c>
      <c r="FR101" s="541"/>
      <c r="FS101" s="541"/>
      <c r="FT101" s="541"/>
      <c r="FU101" s="541"/>
      <c r="FV101" s="1109">
        <f t="shared" si="258"/>
        <v>42918</v>
      </c>
      <c r="FW101" s="1109">
        <f t="shared" si="259"/>
        <v>43027</v>
      </c>
      <c r="FX101" s="541"/>
      <c r="FY101" s="541">
        <f>Sheet1!DA99-Sheet1!CZ99-Sheet1!AE99</f>
        <v>997.2355</v>
      </c>
      <c r="FZ101" s="535">
        <f t="shared" si="296"/>
        <v>0.38244760302759212</v>
      </c>
      <c r="GA101" s="535"/>
      <c r="GB101" s="535" t="str">
        <f t="shared" si="260"/>
        <v>n</v>
      </c>
      <c r="GC101" s="539">
        <f t="shared" si="261"/>
        <v>42782</v>
      </c>
      <c r="GD101" s="1109">
        <f t="shared" si="262"/>
        <v>42904</v>
      </c>
      <c r="GE101" s="535">
        <f t="shared" si="280"/>
        <v>6520</v>
      </c>
      <c r="GF101" s="1109">
        <f t="shared" si="263"/>
        <v>42909</v>
      </c>
      <c r="GG101" s="535">
        <f t="shared" si="308"/>
        <v>3260</v>
      </c>
      <c r="GH101" s="539">
        <f t="shared" si="264"/>
        <v>43040</v>
      </c>
      <c r="GJ101" s="521">
        <f t="shared" si="265"/>
        <v>0</v>
      </c>
      <c r="GK101" s="535" t="str">
        <f t="shared" si="239"/>
        <v/>
      </c>
      <c r="GL101" s="535">
        <f t="shared" si="266"/>
        <v>0</v>
      </c>
      <c r="GM101" s="535" t="str">
        <f t="shared" si="267"/>
        <v/>
      </c>
      <c r="GN101" s="535">
        <f>IF(GK101="P",Lookup!$M$12,IF(GK101="PP",Lookup!$M$13,IF(GK101="PPP",Lookup!$M$14,IF(GK101="T",Lookup!$M$15,IF(GK101="TP",Lookup!$M$16,IF(GK101="TPP",Lookup!$M$17,IF(GK101="TPPP",Lookup!$M$18,0)))))))*GJ101</f>
        <v>0</v>
      </c>
      <c r="GO101" s="535">
        <f t="shared" si="268"/>
        <v>0</v>
      </c>
      <c r="GP101" s="535">
        <f t="shared" si="240"/>
        <v>3635.7845333333312</v>
      </c>
      <c r="GQ101" s="535">
        <f t="shared" si="279"/>
        <v>1185.0666666666659</v>
      </c>
      <c r="GR101" s="535"/>
      <c r="GS101" s="535">
        <f t="shared" si="269"/>
        <v>0</v>
      </c>
      <c r="GT101" s="535" t="str">
        <f t="shared" si="270"/>
        <v/>
      </c>
      <c r="GU101" s="535">
        <f>IF(GK101="P",Lookup!$N$12,IF(GK101="PP",Lookup!$N$13,IF(GK101="PPP",Lookup!$N$14,IF(GK101="T",Lookup!$N$15,IF(GK101="TP",Lookup!$N$16,IF(GK101="TPP",Lookup!$N$17,IF(GK101="TPPP",Lookup!$N$18,0)))))))*GJ101</f>
        <v>0</v>
      </c>
      <c r="GV101" s="535">
        <f t="shared" si="271"/>
        <v>0</v>
      </c>
      <c r="GW101" s="535">
        <f t="shared" si="241"/>
        <v>1558.216155463668</v>
      </c>
      <c r="GX101" s="535">
        <f t="shared" si="276"/>
        <v>507.8931406335293</v>
      </c>
      <c r="GY101" s="535"/>
      <c r="GZ101" s="535">
        <f t="shared" si="272"/>
        <v>0</v>
      </c>
      <c r="HA101" s="535" t="str">
        <f t="shared" si="273"/>
        <v/>
      </c>
      <c r="HB101" s="535">
        <f>IF(GK101="P",Lookup!$N$12,IF(GK101="PP",Lookup!$N$13,IF(GK101="PPP",Lookup!$N$14,IF(GK101="T",Lookup!$N$15,IF(GK101="TP",Lookup!$N$16,IF(GK101="TPP",Lookup!$N$17,IF(GK101="TPPP",Lookup!$N$18,0)))))))*GJ101</f>
        <v>0</v>
      </c>
      <c r="HC101" s="521">
        <f t="shared" si="242"/>
        <v>0</v>
      </c>
      <c r="HD101" s="535">
        <f t="shared" si="243"/>
        <v>1272.7165832976696</v>
      </c>
      <c r="HE101" s="535">
        <f t="shared" si="277"/>
        <v>414.83591372153506</v>
      </c>
      <c r="HF101" s="535"/>
      <c r="HG101" s="535">
        <f t="shared" si="274"/>
        <v>0</v>
      </c>
      <c r="HH101" s="535" t="str">
        <f t="shared" si="275"/>
        <v/>
      </c>
      <c r="HI101" s="535">
        <f>IF(GK101="P",Lookup!$N$12,IF(GK101="PP",Lookup!$N$13,IF(GK101="PPP",Lookup!$N$14,IF(GK101="T",Lookup!$N$15,IF(GK101="TP",Lookup!$N$16,IF(GK101="TPP",Lookup!$N$17,IF(GK101="TPPP",Lookup!$N$18,0)))))))*GJ101</f>
        <v>0</v>
      </c>
      <c r="HJ101" s="521">
        <f t="shared" si="244"/>
        <v>0</v>
      </c>
      <c r="HK101" s="535">
        <f t="shared" si="245"/>
        <v>817.00851681694246</v>
      </c>
      <c r="HL101" s="535">
        <f t="shared" si="278"/>
        <v>266.30003807592647</v>
      </c>
      <c r="HM101" s="535"/>
      <c r="HN101" s="541"/>
      <c r="HO101" s="541"/>
      <c r="HP101" s="541"/>
      <c r="HQ101" s="541">
        <f>IF(AND(B101&gt;=$FV$4,B101&lt;=$FW$4),MAX(110/1.02+$HQ$6+MIN(113/1.02,G101),IF($HV$6-(Sheet1!DA99-Sheet1!DB99)+MIN(113/1.02,G101)&lt;G101+FL101,$HV$6-(Sheet1!DA99-Sheet1!DB99)+MIN(113/1.02,G101),G101+FL101)),MIN(110/1.02+$HQ$6+113/1.02,G101))</f>
        <v>218.62745098039215</v>
      </c>
      <c r="HR101" s="541">
        <f t="shared" si="297"/>
        <v>223</v>
      </c>
      <c r="HS101" s="541">
        <f>HR101+(Sheet1!DA99-Sheet1!DB99)</f>
        <v>1213</v>
      </c>
      <c r="HT101" s="541">
        <f t="shared" si="298"/>
        <v>65.762969999999996</v>
      </c>
      <c r="HU101" s="541">
        <f t="shared" si="299"/>
        <v>1147.23703</v>
      </c>
      <c r="HV101" s="541">
        <f t="shared" si="300"/>
        <v>0</v>
      </c>
      <c r="HW101" s="533" t="str">
        <f t="shared" si="301"/>
        <v/>
      </c>
      <c r="HX101" s="541">
        <f t="shared" si="302"/>
        <v>1911.372549019608</v>
      </c>
      <c r="HY101" s="541">
        <f>Sheet1!CZ99</f>
        <v>2130</v>
      </c>
      <c r="HZ101" s="541">
        <f t="shared" si="303"/>
        <v>0</v>
      </c>
      <c r="IA101" s="541">
        <f t="shared" si="304"/>
        <v>65.762969999999996</v>
      </c>
      <c r="IB101" s="541">
        <f t="shared" si="305"/>
        <v>2130</v>
      </c>
      <c r="IC101" s="1019" t="str">
        <f t="shared" si="306"/>
        <v/>
      </c>
      <c r="ID101" s="541">
        <f t="shared" si="307"/>
        <v>2064.2370300000002</v>
      </c>
      <c r="IE101" s="541">
        <f>Sheet1!DB99</f>
        <v>2220</v>
      </c>
      <c r="IF101" s="533">
        <f>Sheet1!DA99</f>
        <v>3210</v>
      </c>
      <c r="IH101" s="541">
        <f>IF(AND($B101&gt;=$GC101,$B101&lt;=$GH101,$DR101&lt;0)+N("only adjusted when pool is drawn down during storage season"),Sheet1!$DB99+$DR101+N("Palmer minus all storage release"),Sheet1!$DB99)</f>
        <v>2220</v>
      </c>
      <c r="II101" s="541">
        <f>IF(AND($B101&gt;=$GC101,$B101&lt;=$GH101,$DR101&lt;0)+N("only adjusted when pool is drawn down during storage season"),Sheet1!$DA99+$DR101+N("Auburn minus all storage release"),Sheet1!$DA99)</f>
        <v>3210</v>
      </c>
    </row>
    <row r="102" spans="1:243" x14ac:dyDescent="0.25">
      <c r="A102" s="553" t="s">
        <v>9</v>
      </c>
      <c r="B102" s="531">
        <v>42826</v>
      </c>
      <c r="C102" s="536">
        <v>0</v>
      </c>
      <c r="D102" s="506">
        <f t="shared" si="247"/>
        <v>300</v>
      </c>
      <c r="E102" s="506">
        <f t="shared" si="248"/>
        <v>250</v>
      </c>
      <c r="F102" s="506">
        <v>250</v>
      </c>
      <c r="G102" s="535">
        <f>DR102+Sheet1!CZ100</f>
        <v>2627.1759959665219</v>
      </c>
      <c r="H102" s="1074">
        <f t="shared" si="281"/>
        <v>1293.9369852799998</v>
      </c>
      <c r="I102" s="534">
        <f>IF(Sheet1!DA100&gt;=E102,(Sheet1!DA100-E102+P102)*CFStoMGD,0)</f>
        <v>1895.0889852799999</v>
      </c>
      <c r="J102" s="995">
        <f>IF(Sheet1!DB100&gt;=D102,(Sheet1!DB100-D102+P102)*CFStoMGD,0)</f>
        <v>1293.9369852799998</v>
      </c>
      <c r="K102" s="818">
        <f t="shared" si="282"/>
        <v>64.64</v>
      </c>
      <c r="L102" s="535">
        <f>Sheet1!AA100+Sheet1!AB100-Sheet1!L100+(Sheet1!DA100-F102)*CFStoMGD-S102-T102-U102</f>
        <v>1830.4499999999998</v>
      </c>
      <c r="M102" s="535">
        <f t="shared" si="185"/>
        <v>1732.170695068615</v>
      </c>
      <c r="N102" s="824">
        <f>IF(Sheet1!DA100&gt;=F102,MIN(113*CFStoMGD,MIN(MAX(L102,0),MAX(M102,0))),0)</f>
        <v>73.043199999999999</v>
      </c>
      <c r="O102" s="538">
        <f>Sheet1!AA100+Sheet1!AB100</f>
        <v>52.85</v>
      </c>
      <c r="P102" s="538">
        <f t="shared" si="186"/>
        <v>81.758949999999999</v>
      </c>
      <c r="Q102" s="812">
        <f t="shared" si="283"/>
        <v>41.89</v>
      </c>
      <c r="R102" s="812">
        <f t="shared" si="249"/>
        <v>10.93569844789357</v>
      </c>
      <c r="S102" s="812">
        <f t="shared" si="250"/>
        <v>10.96</v>
      </c>
      <c r="T102" s="812">
        <f t="shared" si="251"/>
        <v>53.68</v>
      </c>
      <c r="U102" s="812">
        <f t="shared" si="284"/>
        <v>0</v>
      </c>
      <c r="V102" s="812"/>
      <c r="W102" s="812">
        <f t="shared" si="252"/>
        <v>53.704301552106429</v>
      </c>
      <c r="X102" s="812">
        <f t="shared" si="253"/>
        <v>64.64</v>
      </c>
      <c r="Y102" s="812" t="str">
        <f t="shared" si="254"/>
        <v>FALSE</v>
      </c>
      <c r="Z102" s="812">
        <f t="shared" si="255"/>
        <v>52.85</v>
      </c>
      <c r="AA102" s="812">
        <f t="shared" si="256"/>
        <v>52.85</v>
      </c>
      <c r="AB102" s="1059">
        <f t="shared" si="285"/>
        <v>64.803830000000005</v>
      </c>
      <c r="AC102" s="538">
        <f>Sheet1!Y100*MGDtoCFS</f>
        <v>39.912599999999998</v>
      </c>
      <c r="AD102" s="538">
        <f>Sheet1!Z100*MGDtoCFS</f>
        <v>42.851899999999993</v>
      </c>
      <c r="AE102" s="538">
        <f>Sheet1!AA100*MGDtoCFS</f>
        <v>39.98995</v>
      </c>
      <c r="AF102" s="538">
        <f>Sheet1!AB100*MGDtoCFS</f>
        <v>41.768999999999998</v>
      </c>
      <c r="AG102" s="538">
        <f>Sheet1!L100*MGDtoCFS</f>
        <v>0</v>
      </c>
      <c r="AH102" s="521">
        <f t="shared" si="187"/>
        <v>0</v>
      </c>
      <c r="AI102" s="1059">
        <f t="shared" si="188"/>
        <v>0</v>
      </c>
      <c r="AJ102" s="535">
        <f t="shared" si="189"/>
        <v>53.704301552106429</v>
      </c>
      <c r="AK102" s="535">
        <f t="shared" si="190"/>
        <v>83.080554501108637</v>
      </c>
      <c r="AL102" s="535">
        <f>(VLOOKUP(Sheet1!DC100,hhdcap_wcm,4)-(((VLOOKUP(Sheet1!DC100,hhdcap_wcm,3)-Sheet1!DC100)/(VLOOKUP(Sheet1!DC100,hhdcap_wcm,3)-VLOOKUP(Sheet1!DC100,hhdcap_wcm,1)))*(VLOOKUP(Sheet1!DC100,hhdcap_wcm,4)-VLOOKUP(Sheet1!DC100,hhdcap_wcm,2))))</f>
        <v>23110.100000058093</v>
      </c>
      <c r="AM102" s="535">
        <f t="shared" si="191"/>
        <v>985.90000000161308</v>
      </c>
      <c r="AN102" s="1035">
        <f t="shared" si="192"/>
        <v>2427.8000606497635</v>
      </c>
      <c r="AO102" s="535">
        <f t="shared" si="193"/>
        <v>7448.4905860734743</v>
      </c>
      <c r="AP102" s="535">
        <f>Sheet1!BA100+Sheet1!BB100+Sheet1!BN100+CD102</f>
        <v>16.100000000000001</v>
      </c>
      <c r="AQ102" s="535">
        <f>Sheet1!BN100+(DO102*Sheet1!BN100)</f>
        <v>16.064301552106429</v>
      </c>
      <c r="AR102" s="535">
        <f>Sheet1!BA100+CD102</f>
        <v>0</v>
      </c>
      <c r="AS102" s="535">
        <f>Sheet1!BA100+Sheet1!BB100+CD102</f>
        <v>0</v>
      </c>
      <c r="AT102" s="649">
        <f>0</f>
        <v>0</v>
      </c>
      <c r="AU102" s="535">
        <f>IF(EB102&lt;K102,0,MAX(Sheet1!AA100+AQ102-15/36*K102-N102,Sheet1!EH100,0))</f>
        <v>0</v>
      </c>
      <c r="AV102" s="535">
        <f>IF(OR(B102&gt;=GD102,B102&lt;GC102),0,15/36*K102-MAX(0,64.6-(137.6-(Sheet1!AA100+Sheet1!AB100))))</f>
        <v>26.933333333333334</v>
      </c>
      <c r="AW102" s="1029"/>
      <c r="AX102" s="649"/>
      <c r="AY102" s="649">
        <f t="shared" si="286"/>
        <v>0</v>
      </c>
      <c r="AZ102" s="649">
        <f t="shared" si="287"/>
        <v>0</v>
      </c>
      <c r="BA102" s="1059">
        <f t="shared" si="288"/>
        <v>0</v>
      </c>
      <c r="BB102" s="1019">
        <f t="shared" si="194"/>
        <v>1211.9999999999993</v>
      </c>
      <c r="BC102" s="1041">
        <f t="shared" si="289"/>
        <v>26.933333333333334</v>
      </c>
      <c r="BD102" s="1019">
        <f ca="1">IF(B102&gt;Summary!$A$1,#N/A,BB102*MGtoAF)</f>
        <v>3718.4159999999979</v>
      </c>
      <c r="BE102" s="535">
        <f>Sheet1!BG100+Sheet1!BH100+Sheet1!BI100-BM102</f>
        <v>1</v>
      </c>
      <c r="BF102" s="535">
        <f t="shared" si="195"/>
        <v>0.99778270509977818</v>
      </c>
      <c r="BG102" s="535">
        <f>IF(Sheet1!EP100="FM",BM102,0)</f>
        <v>0</v>
      </c>
      <c r="BH102" s="535">
        <f t="shared" si="196"/>
        <v>0</v>
      </c>
      <c r="BI102" s="535">
        <f>IF(Sheet1!EP100="OTHER",BM102,0)</f>
        <v>0</v>
      </c>
      <c r="BJ102" s="535">
        <f t="shared" si="197"/>
        <v>0</v>
      </c>
      <c r="BK102" s="535">
        <f t="shared" si="198"/>
        <v>1</v>
      </c>
      <c r="BL102" s="535">
        <f t="shared" si="199"/>
        <v>0.99778270509977818</v>
      </c>
      <c r="BM102" s="535">
        <f>IF(OR(Sheet1!EP100="FM", Sheet1!EP100="OTHER"),SUM(Sheet1!BG100:'Sheet1'!BI100),0)</f>
        <v>0</v>
      </c>
      <c r="BN102" s="521">
        <f>IF(AND($B102&gt;=$FV102,$B102&lt;=$FW102),MAX(BF102,Sheet1!EI100,0),MAX(BF102-(7/36)*$K102,0))</f>
        <v>0</v>
      </c>
      <c r="BO102" s="535">
        <f t="shared" si="200"/>
        <v>11.57110618378911</v>
      </c>
      <c r="BP102" s="521">
        <f t="shared" si="201"/>
        <v>0.99778270509977818</v>
      </c>
      <c r="BQ102" s="521">
        <f>IF(AND($O102&gt;0,Sheet1!EM100=1),(1-($O102-Sheet1!$L100)/$O102)*BL102,0)</f>
        <v>0</v>
      </c>
      <c r="BR102" s="521">
        <f>IF(AND(Sheet1!$L100=0,Sheet1!$L99=0, Calculation!BK102&lt;Sheet1!$EI100-0.1,Sheet1!$EI100=Sheet1!$EI99,Sheet1!$EI100=Sheet1!$EI101),BL102-BQ102,BL102-BQ102)</f>
        <v>0.99778270509977818</v>
      </c>
      <c r="BS102" s="1035" t="str">
        <f t="shared" si="290"/>
        <v/>
      </c>
      <c r="BT102" s="1035">
        <f t="shared" si="291"/>
        <v>12.568888888888889</v>
      </c>
      <c r="BU102" s="535">
        <f t="shared" si="202"/>
        <v>519.46424681731844</v>
      </c>
      <c r="BV102" s="535"/>
      <c r="BW102" s="535">
        <f ca="1">IF(B102&gt;Summary!$A$1,#N/A,BU102*MGtoAF)</f>
        <v>1593.7163092355331</v>
      </c>
      <c r="BX102" s="535">
        <f>Sheet1!BC100+Sheet1!BD100+Sheet1!BE100+Sheet1!BF100-CG102-CH102</f>
        <v>3.48</v>
      </c>
      <c r="BY102" s="535">
        <f t="shared" si="203"/>
        <v>3.4722838137472283</v>
      </c>
      <c r="BZ102" s="535">
        <f>IF(Sheet1!EQ100="FM",CH102,0)</f>
        <v>0</v>
      </c>
      <c r="CA102" s="535">
        <f t="shared" si="204"/>
        <v>0</v>
      </c>
      <c r="CB102" s="535">
        <f>IF(Sheet1!EQ100="OTHER",CH102,0)</f>
        <v>0</v>
      </c>
      <c r="CC102" s="535">
        <f t="shared" si="205"/>
        <v>0</v>
      </c>
      <c r="CD102" s="535">
        <f t="shared" si="206"/>
        <v>0</v>
      </c>
      <c r="CE102" s="535">
        <f t="shared" si="207"/>
        <v>3.48</v>
      </c>
      <c r="CF102" s="535">
        <f t="shared" si="208"/>
        <v>3.4722838137472283</v>
      </c>
      <c r="CG102" s="535">
        <f>IF(Sheet1!EQ100="CWA",SUM(Sheet1!BC100:'Sheet1'!BF100),0)</f>
        <v>0</v>
      </c>
      <c r="CH102" s="535">
        <f>IF(OR(Sheet1!EQ100="FM", Sheet1!EQ100="OTHER"),SUM(Sheet1!BC100:'Sheet1'!BF100),0)</f>
        <v>0</v>
      </c>
      <c r="CI102" s="521">
        <f>IF(AND($B102&gt;=$FV102,$B102&lt;=$FW102),MAX(CF102,Sheet1!EJ100,0),MAX(CF102-(7/36)*$K102,0))</f>
        <v>0</v>
      </c>
      <c r="CJ102" s="535">
        <f t="shared" si="209"/>
        <v>9.0966050751416603</v>
      </c>
      <c r="CK102" s="521">
        <f t="shared" si="210"/>
        <v>3.4722838137472283</v>
      </c>
      <c r="CL102" s="521">
        <f>IF(AND($O102&gt;0,Sheet1!EN100=1),(1-($O102-Sheet1!$L100)/$O102)*CF102,0)</f>
        <v>0</v>
      </c>
      <c r="CM102" s="521">
        <f>IF(AND(Sheet1!$L100=0,Sheet1!$L99=0, Calculation!CE102&lt;Sheet1!EJ100-0.1,Sheet1!EJ100=Sheet1!EJ99,Sheet1!EJ100=Sheet1!EJ101),CF102-CL102,CF102-CL102)</f>
        <v>3.4722838137472283</v>
      </c>
      <c r="CN102" s="1040" t="str">
        <f t="shared" si="292"/>
        <v/>
      </c>
      <c r="CO102" s="1035">
        <f t="shared" si="293"/>
        <v>12.568888888888889</v>
      </c>
      <c r="CP102" s="535">
        <f t="shared" si="211"/>
        <v>423.93251879667673</v>
      </c>
      <c r="CQ102" s="535"/>
      <c r="CR102" s="535">
        <f ca="1">IF(B102&gt;Summary!$A$1,#N/A,CP102*MGtoAF)</f>
        <v>1300.6249676682041</v>
      </c>
      <c r="CS102" s="535">
        <f>Sheet1!BK100+Sheet1!BL100+Sheet1!BM100-Sheet1!ER100-DA102</f>
        <v>6.48</v>
      </c>
      <c r="CT102" s="535">
        <f t="shared" si="212"/>
        <v>6.4656319290465634</v>
      </c>
      <c r="CU102" s="535">
        <f>IF(Sheet1!ER100="FM",DA102,0)</f>
        <v>0</v>
      </c>
      <c r="CV102" s="535">
        <f t="shared" si="213"/>
        <v>0</v>
      </c>
      <c r="CW102" s="535">
        <f>IF(Sheet1!ER100="OTHER",DA102,0)</f>
        <v>0</v>
      </c>
      <c r="CX102" s="535">
        <f t="shared" si="214"/>
        <v>0</v>
      </c>
      <c r="CY102" s="535">
        <f t="shared" si="215"/>
        <v>6.48</v>
      </c>
      <c r="CZ102" s="535">
        <f t="shared" si="216"/>
        <v>6.4656319290465634</v>
      </c>
      <c r="DA102" s="535">
        <f>IF(OR(Sheet1!ER100="FM", Sheet1!ER100="OTHER"),SUM(Sheet1!BK100:'Sheet1'!BM100),0)</f>
        <v>0</v>
      </c>
      <c r="DB102" s="1011">
        <f>IF(AND($B102&gt;=$FV102,$B102&lt;=$FW102),MAX($CT102,Sheet1!EK100,0),MAX($CT102-(7/36)*$K102,0))</f>
        <v>0</v>
      </c>
      <c r="DC102" s="1012">
        <f t="shared" si="217"/>
        <v>6.1032569598423256</v>
      </c>
      <c r="DD102" s="1011">
        <f t="shared" si="218"/>
        <v>6.4656319290465634</v>
      </c>
      <c r="DE102" s="521">
        <f>IF(AND($O102&gt;0,Sheet1!EO100=1),(1-($O102-Sheet1!$L100)/$O102)*CZ102,0)</f>
        <v>0</v>
      </c>
      <c r="DF102" s="521">
        <f>IF(AND(Sheet1!$L100=0,Sheet1!$L99=0, Calculation!CY102&lt;Sheet1!$EK100-0.1,Sheet1!$EK100=Sheet1!$EK99,Sheet1!$EK100=Sheet1!$EK101),CZ102-DE102,CZ102-DE102)</f>
        <v>6.4656319290465634</v>
      </c>
      <c r="DG102" s="1040">
        <f t="shared" si="294"/>
        <v>12.568888888888889</v>
      </c>
      <c r="DH102" s="649">
        <f t="shared" si="219"/>
        <v>10.96</v>
      </c>
      <c r="DI102" s="535">
        <f t="shared" si="220"/>
        <v>272.40329503576879</v>
      </c>
      <c r="DJ102" s="649">
        <f t="shared" si="221"/>
        <v>10.93569844789357</v>
      </c>
      <c r="DK102" s="535">
        <f ca="1">IF(B102&gt;Summary!$A$1,#N/A,DI102*MGtoAF)</f>
        <v>835.73330916973862</v>
      </c>
      <c r="DL102" s="649">
        <f t="shared" si="222"/>
        <v>10.96</v>
      </c>
      <c r="DM102" s="535">
        <f t="shared" si="223"/>
        <v>27.060000000000002</v>
      </c>
      <c r="DN102" s="535">
        <f>Sheet1!AB100-DM102</f>
        <v>-6.0000000000002274E-2</v>
      </c>
      <c r="DO102" s="743">
        <f t="shared" si="224"/>
        <v>-2.2172949002218132E-3</v>
      </c>
      <c r="DP102" s="535">
        <f>(VLOOKUP(Sheet1!DC100,hhdcap_wcm,4)-(((VLOOKUP(Sheet1!DC100,hhdcap_wcm,3)-Sheet1!DC100)/(VLOOKUP(Sheet1!DC100,hhdcap_wcm,3)-VLOOKUP(Sheet1!DC100,hhdcap_wcm,1)))*(VLOOKUP(Sheet1!DC100,hhdcap_wcm,4)-VLOOKUP(Sheet1!DC100,hhdcap_wcm,2))))</f>
        <v>23110.100000058093</v>
      </c>
      <c r="DQ102" s="535">
        <f t="shared" si="225"/>
        <v>985.90000000161308</v>
      </c>
      <c r="DR102" s="535">
        <f t="shared" si="226"/>
        <v>497.1759959665219</v>
      </c>
      <c r="DS102" s="535">
        <f>Sheet1!EA100*AFtoMG</f>
        <v>0</v>
      </c>
      <c r="DT102" s="535">
        <f>Sheet1!EB100*AFtoMG</f>
        <v>0</v>
      </c>
      <c r="DU102" s="535">
        <f>Sheet1!EC100*AFtoMG</f>
        <v>0</v>
      </c>
      <c r="DV102" s="535">
        <f>Sheet1!ED100*AFtoMG</f>
        <v>0</v>
      </c>
      <c r="DW102" s="535">
        <f t="shared" si="227"/>
        <v>0</v>
      </c>
      <c r="DX102" s="535">
        <f t="shared" si="228"/>
        <v>0</v>
      </c>
      <c r="DY102" s="535">
        <f t="shared" si="229"/>
        <v>2427.8000606497635</v>
      </c>
      <c r="DZ102" s="535">
        <f t="shared" si="230"/>
        <v>7448.4905860734743</v>
      </c>
      <c r="EA102" s="535"/>
      <c r="EB102" s="521">
        <f>IF(OR(B102&lt;FV102,B102&gt;FW102),(MIN(BF102+BY102+CT102+MAX(Sheet1!AA100+AQ102-73,0),K102)),0)</f>
        <v>10.93569844789357</v>
      </c>
      <c r="EC102" s="535"/>
      <c r="ED102" s="535">
        <f t="shared" si="231"/>
        <v>10.93569844789357</v>
      </c>
      <c r="EE102" s="535"/>
      <c r="EF102" s="535">
        <f>Sheet1!EH100+Sheet1!EI100+Sheet1!EJ100+Sheet1!EK100</f>
        <v>11</v>
      </c>
      <c r="EG102" s="1019">
        <f t="shared" si="295"/>
        <v>17.016999999999999</v>
      </c>
      <c r="EH102" s="521">
        <f t="shared" si="232"/>
        <v>0</v>
      </c>
      <c r="EI102" s="535">
        <f>IF(Sheet1!ET100=1,SUM('Calculations II'!AT102:BA102)+'Calculations II'!BC102+Sheet1!BV100+'Calculations II'!BE102+AP102,'Calculations II'!BK102)</f>
        <v>43.235917552106429</v>
      </c>
      <c r="EJ102" s="535">
        <f ca="1">EI102+'Calculations II'!D102+'Calculations II'!E102+'Calculations II'!O102</f>
        <v>42.362788475800372</v>
      </c>
      <c r="EK102" s="535"/>
      <c r="EL102" s="535"/>
      <c r="EM102" s="535">
        <f t="shared" si="233"/>
        <v>42826</v>
      </c>
      <c r="EN102" s="535">
        <f t="shared" si="234"/>
        <v>53.704301552106429</v>
      </c>
      <c r="EO102" s="535">
        <f t="shared" si="235"/>
        <v>83.080554501108637</v>
      </c>
      <c r="EP102" s="535">
        <v>0</v>
      </c>
      <c r="EQ102" s="535">
        <v>0</v>
      </c>
      <c r="ER102" s="535">
        <v>0</v>
      </c>
      <c r="ES102" s="521">
        <f t="shared" si="257"/>
        <v>1.6623171906916165</v>
      </c>
      <c r="ET102" s="535">
        <f>-(VLOOKUP(Sheet1!BQ100,Lookup!$O$4:$Q$262,2)-VLOOKUP(Sheet1!BQ99,Lookup!$O$4:$Q$262,2))/1000000</f>
        <v>0.83104322930766272</v>
      </c>
      <c r="EU102" s="535">
        <f>-(VLOOKUP(Sheet1!BR100,Lookup!$O$4:$Q$262,3)-VLOOKUP(Sheet1!BR99,Lookup!$O$4:$Q$262,3))/1000000</f>
        <v>0.83127396138395371</v>
      </c>
      <c r="EV102" s="535"/>
      <c r="EW102" s="535"/>
      <c r="EX102" s="535"/>
      <c r="EY102" s="535"/>
      <c r="EZ102" s="535"/>
      <c r="FA102" s="535"/>
      <c r="FB102" s="535"/>
      <c r="FC102" s="535"/>
      <c r="FD102" s="567" t="e">
        <f t="shared" si="236"/>
        <v>#N/A</v>
      </c>
      <c r="FE102" s="567" t="e">
        <f t="shared" si="237"/>
        <v>#N/A</v>
      </c>
      <c r="FF102" s="568" t="e">
        <f t="shared" si="238"/>
        <v>#N/A</v>
      </c>
      <c r="FG102" s="569" t="s">
        <v>656</v>
      </c>
      <c r="FH102" s="569" t="s">
        <v>656</v>
      </c>
      <c r="FI102" s="567" t="e">
        <v>#N/A</v>
      </c>
      <c r="FJ102" s="567" t="e">
        <v>#N/A</v>
      </c>
      <c r="FK102" s="535"/>
      <c r="FL102" s="1015">
        <v>0</v>
      </c>
      <c r="FM102" s="535"/>
      <c r="FN102" s="535"/>
      <c r="FO102" s="535">
        <f>O102+((Sheet1!CS100)*GPMtoMGD)</f>
        <v>52.85</v>
      </c>
      <c r="FP102" s="535">
        <f>IF(Sheet1!AA100+AQ102&lt;=Calculation!N102,AQ102,Calculation!N102-Sheet1!AA100)</f>
        <v>16.064301552106429</v>
      </c>
      <c r="FQ102" s="535">
        <f>(Sheet1!BP100+Sheet1!BO100)/694.4</f>
        <v>1.4699020737327191</v>
      </c>
      <c r="FR102" s="541"/>
      <c r="FS102" s="541"/>
      <c r="FT102" s="541"/>
      <c r="FU102" s="541"/>
      <c r="FV102" s="1109">
        <f t="shared" si="258"/>
        <v>42918</v>
      </c>
      <c r="FW102" s="1109">
        <f t="shared" si="259"/>
        <v>43027</v>
      </c>
      <c r="FX102" s="541"/>
      <c r="FY102" s="541">
        <f>Sheet1!DA100-Sheet1!CZ100-Sheet1!AE100</f>
        <v>888.24104999999997</v>
      </c>
      <c r="FZ102" s="535">
        <f t="shared" si="296"/>
        <v>0.33809727683402557</v>
      </c>
      <c r="GA102" s="535"/>
      <c r="GB102" s="535" t="str">
        <f t="shared" si="260"/>
        <v>n</v>
      </c>
      <c r="GC102" s="539">
        <f t="shared" si="261"/>
        <v>42782</v>
      </c>
      <c r="GD102" s="1109">
        <f t="shared" si="262"/>
        <v>42904</v>
      </c>
      <c r="GE102" s="535">
        <f t="shared" si="280"/>
        <v>6520</v>
      </c>
      <c r="GF102" s="1109">
        <f t="shared" si="263"/>
        <v>42909</v>
      </c>
      <c r="GG102" s="535">
        <f t="shared" si="308"/>
        <v>3260</v>
      </c>
      <c r="GH102" s="539">
        <f t="shared" si="264"/>
        <v>43040</v>
      </c>
      <c r="GJ102" s="521">
        <f t="shared" si="265"/>
        <v>0</v>
      </c>
      <c r="GK102" s="535" t="str">
        <f t="shared" si="239"/>
        <v/>
      </c>
      <c r="GL102" s="535">
        <f t="shared" si="266"/>
        <v>0</v>
      </c>
      <c r="GM102" s="535" t="str">
        <f t="shared" si="267"/>
        <v/>
      </c>
      <c r="GN102" s="535">
        <f>IF(GK102="P",Lookup!$M$12,IF(GK102="PP",Lookup!$M$13,IF(GK102="PPP",Lookup!$M$14,IF(GK102="T",Lookup!$M$15,IF(GK102="TP",Lookup!$M$16,IF(GK102="TPP",Lookup!$M$17,IF(GK102="TPPP",Lookup!$M$18,0)))))))*GJ102</f>
        <v>0</v>
      </c>
      <c r="GO102" s="535">
        <f t="shared" si="268"/>
        <v>0</v>
      </c>
      <c r="GP102" s="535">
        <f t="shared" si="240"/>
        <v>3718.4159999999979</v>
      </c>
      <c r="GQ102" s="535">
        <f t="shared" si="279"/>
        <v>1211.9999999999993</v>
      </c>
      <c r="GR102" s="535"/>
      <c r="GS102" s="535">
        <f t="shared" si="269"/>
        <v>0</v>
      </c>
      <c r="GT102" s="535" t="str">
        <f t="shared" si="270"/>
        <v/>
      </c>
      <c r="GU102" s="535">
        <f>IF(GK102="P",Lookup!$N$12,IF(GK102="PP",Lookup!$N$13,IF(GK102="PPP",Lookup!$N$14,IF(GK102="T",Lookup!$N$15,IF(GK102="TP",Lookup!$N$16,IF(GK102="TPP",Lookup!$N$17,IF(GK102="TPPP",Lookup!$N$18,0)))))))*GJ102</f>
        <v>0</v>
      </c>
      <c r="GV102" s="535">
        <f t="shared" si="271"/>
        <v>0</v>
      </c>
      <c r="GW102" s="535">
        <f t="shared" si="241"/>
        <v>1593.7163092355331</v>
      </c>
      <c r="GX102" s="535">
        <f t="shared" si="276"/>
        <v>519.46424681731844</v>
      </c>
      <c r="GY102" s="535"/>
      <c r="GZ102" s="535">
        <f t="shared" si="272"/>
        <v>0</v>
      </c>
      <c r="HA102" s="535" t="str">
        <f t="shared" si="273"/>
        <v/>
      </c>
      <c r="HB102" s="535">
        <f>IF(GK102="P",Lookup!$N$12,IF(GK102="PP",Lookup!$N$13,IF(GK102="PPP",Lookup!$N$14,IF(GK102="T",Lookup!$N$15,IF(GK102="TP",Lookup!$N$16,IF(GK102="TPP",Lookup!$N$17,IF(GK102="TPPP",Lookup!$N$18,0)))))))*GJ102</f>
        <v>0</v>
      </c>
      <c r="HC102" s="521">
        <f t="shared" si="242"/>
        <v>0</v>
      </c>
      <c r="HD102" s="535">
        <f t="shared" si="243"/>
        <v>1300.6249676682041</v>
      </c>
      <c r="HE102" s="535">
        <f t="shared" si="277"/>
        <v>423.93251879667673</v>
      </c>
      <c r="HF102" s="535"/>
      <c r="HG102" s="535">
        <f t="shared" si="274"/>
        <v>0</v>
      </c>
      <c r="HH102" s="535" t="str">
        <f t="shared" si="275"/>
        <v/>
      </c>
      <c r="HI102" s="535">
        <f>IF(GK102="P",Lookup!$N$12,IF(GK102="PP",Lookup!$N$13,IF(GK102="PPP",Lookup!$N$14,IF(GK102="T",Lookup!$N$15,IF(GK102="TP",Lookup!$N$16,IF(GK102="TPP",Lookup!$N$17,IF(GK102="TPPP",Lookup!$N$18,0)))))))*GJ102</f>
        <v>0</v>
      </c>
      <c r="HJ102" s="521">
        <f t="shared" si="244"/>
        <v>0</v>
      </c>
      <c r="HK102" s="535">
        <f t="shared" si="245"/>
        <v>835.73330916973862</v>
      </c>
      <c r="HL102" s="535">
        <f t="shared" si="278"/>
        <v>272.40329503576879</v>
      </c>
      <c r="HM102" s="535"/>
      <c r="HN102" s="541"/>
      <c r="HO102" s="541"/>
      <c r="HP102" s="541"/>
      <c r="HQ102" s="541">
        <f>IF(AND(B102&gt;=$FV$4,B102&lt;=$FW$4),MAX(110/1.02+$HQ$6+MIN(113/1.02,G102),IF($HV$6-(Sheet1!DA100-Sheet1!DB100)+MIN(113/1.02,G102)&lt;G102+FL102,$HV$6-(Sheet1!DA100-Sheet1!DB100)+MIN(113/1.02,G102),G102+FL102)),MIN(110/1.02+$HQ$6+113/1.02,G102))</f>
        <v>218.62745098039215</v>
      </c>
      <c r="HR102" s="541">
        <f t="shared" si="297"/>
        <v>223</v>
      </c>
      <c r="HS102" s="541">
        <f>HR102+(Sheet1!DA100-Sheet1!DB100)</f>
        <v>1103</v>
      </c>
      <c r="HT102" s="541">
        <f t="shared" si="298"/>
        <v>64.803830000000005</v>
      </c>
      <c r="HU102" s="541">
        <f t="shared" si="299"/>
        <v>1038.1961699999999</v>
      </c>
      <c r="HV102" s="541">
        <f t="shared" si="300"/>
        <v>0</v>
      </c>
      <c r="HW102" s="533" t="str">
        <f t="shared" si="301"/>
        <v/>
      </c>
      <c r="HX102" s="541">
        <f t="shared" si="302"/>
        <v>1911.372549019608</v>
      </c>
      <c r="HY102" s="541">
        <f>Sheet1!CZ100</f>
        <v>2130</v>
      </c>
      <c r="HZ102" s="541">
        <f t="shared" si="303"/>
        <v>0</v>
      </c>
      <c r="IA102" s="541">
        <f t="shared" si="304"/>
        <v>64.803830000000005</v>
      </c>
      <c r="IB102" s="541">
        <f t="shared" si="305"/>
        <v>2130</v>
      </c>
      <c r="IC102" s="1019" t="str">
        <f t="shared" si="306"/>
        <v/>
      </c>
      <c r="ID102" s="541">
        <f t="shared" si="307"/>
        <v>2065.1961700000002</v>
      </c>
      <c r="IE102" s="541">
        <f>Sheet1!DB100</f>
        <v>2220</v>
      </c>
      <c r="IF102" s="533">
        <f>Sheet1!DA100</f>
        <v>3100</v>
      </c>
      <c r="IH102" s="541">
        <f>IF(AND($B102&gt;=$GC102,$B102&lt;=$GH102,$DR102&lt;0)+N("only adjusted when pool is drawn down during storage season"),Sheet1!$DB100+$DR102+N("Palmer minus all storage release"),Sheet1!$DB100)</f>
        <v>2220</v>
      </c>
      <c r="II102" s="541">
        <f>IF(AND($B102&gt;=$GC102,$B102&lt;=$GH102,$DR102&lt;0)+N("only adjusted when pool is drawn down during storage season"),Sheet1!$DA100+$DR102+N("Auburn minus all storage release"),Sheet1!$DA100)</f>
        <v>3100</v>
      </c>
    </row>
    <row r="103" spans="1:243" x14ac:dyDescent="0.25">
      <c r="A103" s="553" t="s">
        <v>3</v>
      </c>
      <c r="B103" s="531">
        <v>42827</v>
      </c>
      <c r="C103" s="536">
        <v>0</v>
      </c>
      <c r="D103" s="506">
        <f t="shared" si="247"/>
        <v>300</v>
      </c>
      <c r="E103" s="506">
        <f t="shared" si="248"/>
        <v>250</v>
      </c>
      <c r="F103" s="506">
        <v>250</v>
      </c>
      <c r="G103" s="535">
        <f>DR103+Sheet1!CZ101</f>
        <v>2444.3721633899522</v>
      </c>
      <c r="H103" s="1074">
        <f t="shared" si="281"/>
        <v>1287.4829850879999</v>
      </c>
      <c r="I103" s="534">
        <f>IF(Sheet1!DA101&gt;=E103,(Sheet1!DA101-E103+P103)*CFStoMGD,0)</f>
        <v>1885.4029850880002</v>
      </c>
      <c r="J103" s="995">
        <f>IF(Sheet1!DB101&gt;=D103,(Sheet1!DB101-D103+P103)*CFStoMGD,0)</f>
        <v>1287.4829850879999</v>
      </c>
      <c r="K103" s="818">
        <f t="shared" si="282"/>
        <v>64.64</v>
      </c>
      <c r="L103" s="535">
        <f>Sheet1!AA101+Sheet1!AB101-Sheet1!L101+(Sheet1!DA101-F103)*CFStoMGD-S103-T103-U103</f>
        <v>1820.7639999999997</v>
      </c>
      <c r="M103" s="535">
        <f t="shared" si="185"/>
        <v>1611.6430097435705</v>
      </c>
      <c r="N103" s="824">
        <f>IF(Sheet1!DA101&gt;=F103,MIN(113*CFStoMGD,MIN(MAX(L103,0),MAX(M103,0))),0)</f>
        <v>73.043199999999999</v>
      </c>
      <c r="O103" s="538">
        <f>Sheet1!AA101+Sheet1!AB101</f>
        <v>52.86</v>
      </c>
      <c r="P103" s="538">
        <f t="shared" si="186"/>
        <v>81.774419999999992</v>
      </c>
      <c r="Q103" s="812">
        <f t="shared" si="283"/>
        <v>41.85</v>
      </c>
      <c r="R103" s="812">
        <f t="shared" si="249"/>
        <v>10.969387679822944</v>
      </c>
      <c r="S103" s="812">
        <f t="shared" si="250"/>
        <v>11.01</v>
      </c>
      <c r="T103" s="812">
        <f t="shared" si="251"/>
        <v>53.63</v>
      </c>
      <c r="U103" s="812">
        <f t="shared" si="284"/>
        <v>0</v>
      </c>
      <c r="V103" s="812"/>
      <c r="W103" s="812">
        <f t="shared" si="252"/>
        <v>53.670612320177057</v>
      </c>
      <c r="X103" s="812">
        <f t="shared" si="253"/>
        <v>64.64</v>
      </c>
      <c r="Y103" s="812" t="str">
        <f t="shared" si="254"/>
        <v>FALSE</v>
      </c>
      <c r="Z103" s="812">
        <f t="shared" si="255"/>
        <v>52.86</v>
      </c>
      <c r="AA103" s="812">
        <f t="shared" si="256"/>
        <v>52.86</v>
      </c>
      <c r="AB103" s="1059">
        <f t="shared" si="285"/>
        <v>64.741950000000003</v>
      </c>
      <c r="AC103" s="538">
        <f>Sheet1!Y101*MGDtoCFS</f>
        <v>39.98995</v>
      </c>
      <c r="AD103" s="538">
        <f>Sheet1!Z101*MGDtoCFS</f>
        <v>41.768999999999998</v>
      </c>
      <c r="AE103" s="538">
        <f>Sheet1!AA101*MGDtoCFS</f>
        <v>39.98995</v>
      </c>
      <c r="AF103" s="538">
        <f>Sheet1!AB101*MGDtoCFS</f>
        <v>41.784469999999999</v>
      </c>
      <c r="AG103" s="538">
        <f>Sheet1!L101*MGDtoCFS</f>
        <v>0</v>
      </c>
      <c r="AH103" s="521">
        <f t="shared" si="187"/>
        <v>0</v>
      </c>
      <c r="AI103" s="1059">
        <f t="shared" si="188"/>
        <v>0</v>
      </c>
      <c r="AJ103" s="535">
        <f t="shared" si="189"/>
        <v>53.670612320177057</v>
      </c>
      <c r="AK103" s="535">
        <f t="shared" si="190"/>
        <v>83.028437259313904</v>
      </c>
      <c r="AL103" s="535">
        <f>(VLOOKUP(Sheet1!DC101,hhdcap_wcm,4)-(((VLOOKUP(Sheet1!DC101,hhdcap_wcm,3)-Sheet1!DC101)/(VLOOKUP(Sheet1!DC101,hhdcap_wcm,3)-VLOOKUP(Sheet1!DC101,hhdcap_wcm,1)))*(VLOOKUP(Sheet1!DC101,hhdcap_wcm,4)-VLOOKUP(Sheet1!DC101,hhdcap_wcm,2))))</f>
        <v>23733.500000060369</v>
      </c>
      <c r="AM103" s="535">
        <f t="shared" si="191"/>
        <v>623.40000000227519</v>
      </c>
      <c r="AN103" s="1035">
        <f t="shared" si="192"/>
        <v>2481.4706729699401</v>
      </c>
      <c r="AO103" s="535">
        <f t="shared" si="193"/>
        <v>7613.1520246717764</v>
      </c>
      <c r="AP103" s="535">
        <f>Sheet1!BA101+Sheet1!BB101+Sheet1!BN101+CD103</f>
        <v>16.100000000000001</v>
      </c>
      <c r="AQ103" s="535">
        <f>Sheet1!BN101+(DO103*Sheet1!BN101)</f>
        <v>16.040612320177058</v>
      </c>
      <c r="AR103" s="535">
        <f>Sheet1!BA101+CD103</f>
        <v>0</v>
      </c>
      <c r="AS103" s="535">
        <f>Sheet1!BA101+Sheet1!BB101+CD103</f>
        <v>0</v>
      </c>
      <c r="AT103" s="649">
        <f>0</f>
        <v>0</v>
      </c>
      <c r="AU103" s="535">
        <f>IF(EB103&lt;K103,0,MAX(Sheet1!AA101+AQ103-15/36*K103-N103,Sheet1!EH101,0))</f>
        <v>0</v>
      </c>
      <c r="AV103" s="535">
        <f>IF(OR(B103&gt;=GD103,B103&lt;GC103),0,15/36*K103-MAX(0,64.6-(137.6-(Sheet1!AA101+Sheet1!AB101))))</f>
        <v>26.933333333333334</v>
      </c>
      <c r="AW103" s="1029"/>
      <c r="AX103" s="649"/>
      <c r="AY103" s="649">
        <f t="shared" si="286"/>
        <v>0</v>
      </c>
      <c r="AZ103" s="649">
        <f t="shared" si="287"/>
        <v>0</v>
      </c>
      <c r="BA103" s="1059">
        <f t="shared" si="288"/>
        <v>0</v>
      </c>
      <c r="BB103" s="1019">
        <f t="shared" si="194"/>
        <v>1238.9333333333327</v>
      </c>
      <c r="BC103" s="1041">
        <f t="shared" si="289"/>
        <v>26.933333333333334</v>
      </c>
      <c r="BD103" s="1019">
        <f ca="1">IF(B103&gt;Summary!$A$1,#N/A,BB103*MGtoAF)</f>
        <v>3801.0474666666651</v>
      </c>
      <c r="BE103" s="535">
        <f>Sheet1!BG101+Sheet1!BH101+Sheet1!BI101-BM103</f>
        <v>1.01</v>
      </c>
      <c r="BF103" s="535">
        <f t="shared" si="195"/>
        <v>1.0062744374769459</v>
      </c>
      <c r="BG103" s="535">
        <f>IF(Sheet1!EP101="FM",BM103,0)</f>
        <v>0</v>
      </c>
      <c r="BH103" s="535">
        <f t="shared" si="196"/>
        <v>0</v>
      </c>
      <c r="BI103" s="535">
        <f>IF(Sheet1!EP101="OTHER",BM103,0)</f>
        <v>0</v>
      </c>
      <c r="BJ103" s="535">
        <f t="shared" si="197"/>
        <v>0</v>
      </c>
      <c r="BK103" s="535">
        <f t="shared" si="198"/>
        <v>1.01</v>
      </c>
      <c r="BL103" s="535">
        <f t="shared" si="199"/>
        <v>1.0062744374769459</v>
      </c>
      <c r="BM103" s="535">
        <f>IF(OR(Sheet1!EP101="FM", Sheet1!EP101="OTHER"),SUM(Sheet1!BG101:'Sheet1'!BI101),0)</f>
        <v>0</v>
      </c>
      <c r="BN103" s="521">
        <f>IF(AND($B103&gt;=$FV103,$B103&lt;=$FW103),MAX(BF103,Sheet1!EI101,0),MAX(BF103-(7/36)*$K103,0))</f>
        <v>0</v>
      </c>
      <c r="BO103" s="535">
        <f t="shared" si="200"/>
        <v>11.562614451411942</v>
      </c>
      <c r="BP103" s="521">
        <f t="shared" si="201"/>
        <v>1.0062744374769459</v>
      </c>
      <c r="BQ103" s="521">
        <f>IF(AND($O103&gt;0,Sheet1!EM101=1),(1-($O103-Sheet1!$L101)/$O103)*BL103,0)</f>
        <v>0</v>
      </c>
      <c r="BR103" s="521">
        <f>IF(AND(Sheet1!$L101=0,Sheet1!$L100=0, Calculation!BK103&lt;Sheet1!$EI101-0.1,Sheet1!$EI101=Sheet1!$EI100,Sheet1!$EI101=Sheet1!$EI102),BL103-BQ103,BL103-BQ103)</f>
        <v>1.0062744374769459</v>
      </c>
      <c r="BS103" s="1035" t="str">
        <f t="shared" si="290"/>
        <v/>
      </c>
      <c r="BT103" s="1035">
        <f t="shared" si="291"/>
        <v>12.568888888888889</v>
      </c>
      <c r="BU103" s="535">
        <f t="shared" si="202"/>
        <v>531.02686126873039</v>
      </c>
      <c r="BV103" s="535"/>
      <c r="BW103" s="535">
        <f ca="1">IF(B103&gt;Summary!$A$1,#N/A,BU103*MGtoAF)</f>
        <v>1629.1904103724648</v>
      </c>
      <c r="BX103" s="535">
        <f>Sheet1!BC101+Sheet1!BD101+Sheet1!BE101+Sheet1!BF101-CG103-CH103</f>
        <v>3.5</v>
      </c>
      <c r="BY103" s="535">
        <f t="shared" si="203"/>
        <v>3.4870896348210993</v>
      </c>
      <c r="BZ103" s="535">
        <f>IF(Sheet1!EQ101="FM",CH103,0)</f>
        <v>0</v>
      </c>
      <c r="CA103" s="535">
        <f t="shared" si="204"/>
        <v>0</v>
      </c>
      <c r="CB103" s="535">
        <f>IF(Sheet1!EQ101="OTHER",CH103,0)</f>
        <v>0</v>
      </c>
      <c r="CC103" s="535">
        <f t="shared" si="205"/>
        <v>0</v>
      </c>
      <c r="CD103" s="535">
        <f t="shared" si="206"/>
        <v>0</v>
      </c>
      <c r="CE103" s="535">
        <f t="shared" si="207"/>
        <v>3.5</v>
      </c>
      <c r="CF103" s="535">
        <f t="shared" si="208"/>
        <v>3.4870896348210993</v>
      </c>
      <c r="CG103" s="535">
        <f>IF(Sheet1!EQ101="CWA",SUM(Sheet1!BC101:'Sheet1'!BF101),0)</f>
        <v>0</v>
      </c>
      <c r="CH103" s="535">
        <f>IF(OR(Sheet1!EQ101="FM", Sheet1!EQ101="OTHER"),SUM(Sheet1!BC101:'Sheet1'!BF101),0)</f>
        <v>0</v>
      </c>
      <c r="CI103" s="521">
        <f>IF(AND($B103&gt;=$FV103,$B103&lt;=$FW103),MAX(CF103,Sheet1!EJ101,0),MAX(CF103-(7/36)*$K103,0))</f>
        <v>0</v>
      </c>
      <c r="CJ103" s="535">
        <f t="shared" si="209"/>
        <v>9.0817992540677892</v>
      </c>
      <c r="CK103" s="521">
        <f t="shared" si="210"/>
        <v>3.4870896348210993</v>
      </c>
      <c r="CL103" s="521">
        <f>IF(AND($O103&gt;0,Sheet1!EN101=1),(1-($O103-Sheet1!$L101)/$O103)*CF103,0)</f>
        <v>0</v>
      </c>
      <c r="CM103" s="521">
        <f>IF(AND(Sheet1!$L101=0,Sheet1!$L100=0, Calculation!CE103&lt;Sheet1!EJ101-0.1,Sheet1!EJ101=Sheet1!EJ100,Sheet1!EJ101=Sheet1!EJ102),CF103-CL103,CF103-CL103)</f>
        <v>3.4870896348210993</v>
      </c>
      <c r="CN103" s="1040" t="str">
        <f t="shared" si="292"/>
        <v/>
      </c>
      <c r="CO103" s="1035">
        <f t="shared" si="293"/>
        <v>12.568888888888889</v>
      </c>
      <c r="CP103" s="535">
        <f t="shared" si="211"/>
        <v>433.01431805074452</v>
      </c>
      <c r="CQ103" s="535"/>
      <c r="CR103" s="535">
        <f ca="1">IF(B103&gt;Summary!$A$1,#N/A,CP103*MGtoAF)</f>
        <v>1328.4879277796842</v>
      </c>
      <c r="CS103" s="535">
        <f>Sheet1!BK101+Sheet1!BL101+Sheet1!BM101-Sheet1!ER101-DA103</f>
        <v>6.5</v>
      </c>
      <c r="CT103" s="535">
        <f t="shared" si="212"/>
        <v>6.4760236075248994</v>
      </c>
      <c r="CU103" s="535">
        <f>IF(Sheet1!ER101="FM",DA103,0)</f>
        <v>0</v>
      </c>
      <c r="CV103" s="535">
        <f t="shared" si="213"/>
        <v>0</v>
      </c>
      <c r="CW103" s="535">
        <f>IF(Sheet1!ER101="OTHER",DA103,0)</f>
        <v>0</v>
      </c>
      <c r="CX103" s="535">
        <f t="shared" si="214"/>
        <v>0</v>
      </c>
      <c r="CY103" s="535">
        <f t="shared" si="215"/>
        <v>6.5</v>
      </c>
      <c r="CZ103" s="535">
        <f t="shared" si="216"/>
        <v>6.4760236075248994</v>
      </c>
      <c r="DA103" s="535">
        <f>IF(OR(Sheet1!ER101="FM", Sheet1!ER101="OTHER"),SUM(Sheet1!BK101:'Sheet1'!BM101),0)</f>
        <v>0</v>
      </c>
      <c r="DB103" s="1011">
        <f>IF(AND($B103&gt;=$FV103,$B103&lt;=$FW103),MAX($CT103,Sheet1!EK101,0),MAX($CT103-(7/36)*$K103,0))</f>
        <v>0</v>
      </c>
      <c r="DC103" s="1012">
        <f t="shared" si="217"/>
        <v>6.0928652813639896</v>
      </c>
      <c r="DD103" s="1011">
        <f t="shared" si="218"/>
        <v>6.4760236075248994</v>
      </c>
      <c r="DE103" s="521">
        <f>IF(AND($O103&gt;0,Sheet1!EO101=1),(1-($O103-Sheet1!$L101)/$O103)*CZ103,0)</f>
        <v>0</v>
      </c>
      <c r="DF103" s="521">
        <f>IF(AND(Sheet1!$L101=0,Sheet1!$L100=0, Calculation!CY103&lt;Sheet1!$EK101-0.1,Sheet1!$EK101=Sheet1!$EK100,Sheet1!$EK101=Sheet1!$EK102),CZ103-DE103,CZ103-DE103)</f>
        <v>6.4760236075248994</v>
      </c>
      <c r="DG103" s="1040">
        <f t="shared" si="294"/>
        <v>12.568888888888889</v>
      </c>
      <c r="DH103" s="649">
        <f t="shared" si="219"/>
        <v>11.01</v>
      </c>
      <c r="DI103" s="535">
        <f t="shared" si="220"/>
        <v>278.49616031713276</v>
      </c>
      <c r="DJ103" s="649">
        <f t="shared" si="221"/>
        <v>10.969387679822944</v>
      </c>
      <c r="DK103" s="535">
        <f ca="1">IF(B103&gt;Summary!$A$1,#N/A,DI103*MGtoAF)</f>
        <v>854.4262198529633</v>
      </c>
      <c r="DL103" s="649">
        <f t="shared" si="222"/>
        <v>11.01</v>
      </c>
      <c r="DM103" s="535">
        <f t="shared" si="223"/>
        <v>27.11</v>
      </c>
      <c r="DN103" s="535">
        <f>Sheet1!AB101-DM103</f>
        <v>-9.9999999999997868E-2</v>
      </c>
      <c r="DO103" s="743">
        <f t="shared" si="224"/>
        <v>-3.6886757654001428E-3</v>
      </c>
      <c r="DP103" s="535">
        <f>(VLOOKUP(Sheet1!DC101,hhdcap_wcm,4)-(((VLOOKUP(Sheet1!DC101,hhdcap_wcm,3)-Sheet1!DC101)/(VLOOKUP(Sheet1!DC101,hhdcap_wcm,3)-VLOOKUP(Sheet1!DC101,hhdcap_wcm,1)))*(VLOOKUP(Sheet1!DC101,hhdcap_wcm,4)-VLOOKUP(Sheet1!DC101,hhdcap_wcm,2))))</f>
        <v>23733.500000060369</v>
      </c>
      <c r="DQ103" s="535">
        <f t="shared" si="225"/>
        <v>623.40000000227519</v>
      </c>
      <c r="DR103" s="535">
        <f t="shared" si="226"/>
        <v>314.37216338995216</v>
      </c>
      <c r="DS103" s="535">
        <f>Sheet1!EA101*AFtoMG</f>
        <v>0</v>
      </c>
      <c r="DT103" s="535">
        <f>Sheet1!EB101*AFtoMG</f>
        <v>0</v>
      </c>
      <c r="DU103" s="535">
        <f>Sheet1!EC101*AFtoMG</f>
        <v>0</v>
      </c>
      <c r="DV103" s="535">
        <f>Sheet1!ED101*AFtoMG</f>
        <v>0</v>
      </c>
      <c r="DW103" s="535">
        <f t="shared" si="227"/>
        <v>0</v>
      </c>
      <c r="DX103" s="535">
        <f t="shared" si="228"/>
        <v>0</v>
      </c>
      <c r="DY103" s="535">
        <f t="shared" si="229"/>
        <v>2481.4706729699401</v>
      </c>
      <c r="DZ103" s="535">
        <f t="shared" si="230"/>
        <v>7613.1520246717764</v>
      </c>
      <c r="EA103" s="535"/>
      <c r="EB103" s="521">
        <f>IF(OR(B103&lt;FV103,B103&gt;FW103),(MIN(BF103+BY103+CT103+MAX(Sheet1!AA101+AQ103-73,0),K103)),0)</f>
        <v>10.969387679822944</v>
      </c>
      <c r="EC103" s="535"/>
      <c r="ED103" s="535">
        <f t="shared" si="231"/>
        <v>10.969387679822944</v>
      </c>
      <c r="EE103" s="535"/>
      <c r="EF103" s="535">
        <f>Sheet1!EH101+Sheet1!EI101+Sheet1!EJ101+Sheet1!EK101</f>
        <v>11</v>
      </c>
      <c r="EG103" s="1019">
        <f t="shared" si="295"/>
        <v>17.016999999999999</v>
      </c>
      <c r="EH103" s="521">
        <f t="shared" si="232"/>
        <v>0</v>
      </c>
      <c r="EI103" s="535">
        <f>IF(Sheet1!ET101=1,SUM('Calculations II'!AT103:BA103)+'Calculations II'!BC103+Sheet1!BV101+'Calculations II'!BE103+AP103,'Calculations II'!BK103)</f>
        <v>44.353656320177059</v>
      </c>
      <c r="EJ103" s="535">
        <f ca="1">EI103+'Calculations II'!D103+'Calculations II'!E103+'Calculations II'!O103</f>
        <v>40.707046600095232</v>
      </c>
      <c r="EK103" s="535"/>
      <c r="EL103" s="535"/>
      <c r="EM103" s="535">
        <f t="shared" si="233"/>
        <v>42827</v>
      </c>
      <c r="EN103" s="535">
        <f t="shared" si="234"/>
        <v>53.670612320177057</v>
      </c>
      <c r="EO103" s="535">
        <f t="shared" si="235"/>
        <v>83.028437259313904</v>
      </c>
      <c r="EP103" s="535">
        <v>0</v>
      </c>
      <c r="EQ103" s="535">
        <v>0</v>
      </c>
      <c r="ER103" s="535">
        <v>0</v>
      </c>
      <c r="ES103" s="521">
        <f t="shared" si="257"/>
        <v>2.9079239773273544</v>
      </c>
      <c r="ET103" s="535">
        <f>-(VLOOKUP(Sheet1!BQ101,Lookup!$O$4:$Q$262,2)-VLOOKUP(Sheet1!BQ100,Lookup!$O$4:$Q$262,2))/1000000</f>
        <v>1.5229800972027481</v>
      </c>
      <c r="EU103" s="535">
        <f>-(VLOOKUP(Sheet1!BR101,Lookup!$O$4:$Q$262,3)-VLOOKUP(Sheet1!BR100,Lookup!$O$4:$Q$262,3))/1000000</f>
        <v>1.3849438801246061</v>
      </c>
      <c r="EV103" s="535"/>
      <c r="EW103" s="535"/>
      <c r="EX103" s="535"/>
      <c r="EY103" s="535"/>
      <c r="EZ103" s="535"/>
      <c r="FA103" s="535"/>
      <c r="FB103" s="535"/>
      <c r="FC103" s="535"/>
      <c r="FD103" s="567" t="e">
        <f t="shared" si="236"/>
        <v>#N/A</v>
      </c>
      <c r="FE103" s="567" t="e">
        <f t="shared" si="237"/>
        <v>#N/A</v>
      </c>
      <c r="FF103" s="568" t="e">
        <f t="shared" si="238"/>
        <v>#N/A</v>
      </c>
      <c r="FG103" s="569" t="s">
        <v>656</v>
      </c>
      <c r="FH103" s="569" t="s">
        <v>656</v>
      </c>
      <c r="FI103" s="567" t="e">
        <v>#N/A</v>
      </c>
      <c r="FJ103" s="567" t="e">
        <v>#N/A</v>
      </c>
      <c r="FK103" s="535"/>
      <c r="FL103" s="1015">
        <v>0</v>
      </c>
      <c r="FM103" s="535"/>
      <c r="FN103" s="535"/>
      <c r="FO103" s="535">
        <f>O103+((Sheet1!CS101)*GPMtoMGD)</f>
        <v>52.86</v>
      </c>
      <c r="FP103" s="535">
        <f>IF(Sheet1!AA101+AQ103&lt;=Calculation!N103,AQ103,Calculation!N103-Sheet1!AA101)</f>
        <v>16.040612320177058</v>
      </c>
      <c r="FQ103" s="535">
        <f>(Sheet1!BP101+Sheet1!BO101)/694.4</f>
        <v>1.5233294930875576</v>
      </c>
      <c r="FR103" s="541"/>
      <c r="FS103" s="541"/>
      <c r="FT103" s="541"/>
      <c r="FU103" s="541"/>
      <c r="FV103" s="1109">
        <f t="shared" si="258"/>
        <v>42918</v>
      </c>
      <c r="FW103" s="1109">
        <f t="shared" si="259"/>
        <v>43027</v>
      </c>
      <c r="FX103" s="541"/>
      <c r="FY103" s="541">
        <f>Sheet1!DA101-Sheet1!CZ101-Sheet1!AE101</f>
        <v>873.22558000000004</v>
      </c>
      <c r="FZ103" s="535">
        <f t="shared" si="296"/>
        <v>0.35723920975641293</v>
      </c>
      <c r="GA103" s="535"/>
      <c r="GB103" s="535" t="str">
        <f t="shared" si="260"/>
        <v>n</v>
      </c>
      <c r="GC103" s="539">
        <f t="shared" si="261"/>
        <v>42782</v>
      </c>
      <c r="GD103" s="1109">
        <f t="shared" si="262"/>
        <v>42904</v>
      </c>
      <c r="GE103" s="535">
        <f t="shared" si="280"/>
        <v>6520</v>
      </c>
      <c r="GF103" s="1109">
        <f t="shared" si="263"/>
        <v>42909</v>
      </c>
      <c r="GG103" s="535">
        <f t="shared" si="308"/>
        <v>3260</v>
      </c>
      <c r="GH103" s="539">
        <f t="shared" si="264"/>
        <v>43040</v>
      </c>
      <c r="GJ103" s="521">
        <f t="shared" si="265"/>
        <v>0</v>
      </c>
      <c r="GK103" s="535" t="str">
        <f t="shared" si="239"/>
        <v/>
      </c>
      <c r="GL103" s="535">
        <f t="shared" si="266"/>
        <v>0</v>
      </c>
      <c r="GM103" s="535" t="str">
        <f t="shared" si="267"/>
        <v/>
      </c>
      <c r="GN103" s="535">
        <f>IF(GK103="P",Lookup!$M$12,IF(GK103="PP",Lookup!$M$13,IF(GK103="PPP",Lookup!$M$14,IF(GK103="T",Lookup!$M$15,IF(GK103="TP",Lookup!$M$16,IF(GK103="TPP",Lookup!$M$17,IF(GK103="TPPP",Lookup!$M$18,0)))))))*GJ103</f>
        <v>0</v>
      </c>
      <c r="GO103" s="535">
        <f t="shared" si="268"/>
        <v>0</v>
      </c>
      <c r="GP103" s="535">
        <f t="shared" si="240"/>
        <v>3801.0474666666651</v>
      </c>
      <c r="GQ103" s="535">
        <f t="shared" si="279"/>
        <v>1238.9333333333327</v>
      </c>
      <c r="GR103" s="535"/>
      <c r="GS103" s="535">
        <f t="shared" si="269"/>
        <v>0</v>
      </c>
      <c r="GT103" s="535" t="str">
        <f t="shared" si="270"/>
        <v/>
      </c>
      <c r="GU103" s="535">
        <f>IF(GK103="P",Lookup!$N$12,IF(GK103="PP",Lookup!$N$13,IF(GK103="PPP",Lookup!$N$14,IF(GK103="T",Lookup!$N$15,IF(GK103="TP",Lookup!$N$16,IF(GK103="TPP",Lookup!$N$17,IF(GK103="TPPP",Lookup!$N$18,0)))))))*GJ103</f>
        <v>0</v>
      </c>
      <c r="GV103" s="535">
        <f t="shared" si="271"/>
        <v>0</v>
      </c>
      <c r="GW103" s="535">
        <f t="shared" si="241"/>
        <v>1629.1904103724648</v>
      </c>
      <c r="GX103" s="535">
        <f t="shared" si="276"/>
        <v>531.02686126873039</v>
      </c>
      <c r="GY103" s="535"/>
      <c r="GZ103" s="535">
        <f t="shared" si="272"/>
        <v>0</v>
      </c>
      <c r="HA103" s="535" t="str">
        <f t="shared" si="273"/>
        <v/>
      </c>
      <c r="HB103" s="535">
        <f>IF(GK103="P",Lookup!$N$12,IF(GK103="PP",Lookup!$N$13,IF(GK103="PPP",Lookup!$N$14,IF(GK103="T",Lookup!$N$15,IF(GK103="TP",Lookup!$N$16,IF(GK103="TPP",Lookup!$N$17,IF(GK103="TPPP",Lookup!$N$18,0)))))))*GJ103</f>
        <v>0</v>
      </c>
      <c r="HC103" s="521">
        <f t="shared" si="242"/>
        <v>0</v>
      </c>
      <c r="HD103" s="535">
        <f t="shared" si="243"/>
        <v>1328.4879277796842</v>
      </c>
      <c r="HE103" s="535">
        <f t="shared" si="277"/>
        <v>433.01431805074452</v>
      </c>
      <c r="HF103" s="535"/>
      <c r="HG103" s="535">
        <f t="shared" si="274"/>
        <v>0</v>
      </c>
      <c r="HH103" s="535" t="str">
        <f t="shared" si="275"/>
        <v/>
      </c>
      <c r="HI103" s="535">
        <f>IF(GK103="P",Lookup!$N$12,IF(GK103="PP",Lookup!$N$13,IF(GK103="PPP",Lookup!$N$14,IF(GK103="T",Lookup!$N$15,IF(GK103="TP",Lookup!$N$16,IF(GK103="TPP",Lookup!$N$17,IF(GK103="TPPP",Lookup!$N$18,0)))))))*GJ103</f>
        <v>0</v>
      </c>
      <c r="HJ103" s="521">
        <f t="shared" si="244"/>
        <v>0</v>
      </c>
      <c r="HK103" s="535">
        <f t="shared" si="245"/>
        <v>854.4262198529633</v>
      </c>
      <c r="HL103" s="535">
        <f t="shared" si="278"/>
        <v>278.49616031713276</v>
      </c>
      <c r="HM103" s="535"/>
      <c r="HN103" s="541"/>
      <c r="HO103" s="541"/>
      <c r="HP103" s="541"/>
      <c r="HQ103" s="541">
        <f>IF(AND(B103&gt;=$FV$4,B103&lt;=$FW$4),MAX(110/1.02+$HQ$6+MIN(113/1.02,G103),IF($HV$6-(Sheet1!DA101-Sheet1!DB101)+MIN(113/1.02,G103)&lt;G103+FL103,$HV$6-(Sheet1!DA101-Sheet1!DB101)+MIN(113/1.02,G103),G103+FL103)),MIN(110/1.02+$HQ$6+113/1.02,G103))</f>
        <v>218.62745098039215</v>
      </c>
      <c r="HR103" s="541">
        <f t="shared" si="297"/>
        <v>223</v>
      </c>
      <c r="HS103" s="541">
        <f>HR103+(Sheet1!DA101-Sheet1!DB101)</f>
        <v>1098</v>
      </c>
      <c r="HT103" s="541">
        <f t="shared" si="298"/>
        <v>64.741950000000003</v>
      </c>
      <c r="HU103" s="541">
        <f t="shared" si="299"/>
        <v>1033.2580499999999</v>
      </c>
      <c r="HV103" s="541">
        <f t="shared" si="300"/>
        <v>0</v>
      </c>
      <c r="HW103" s="533" t="str">
        <f t="shared" si="301"/>
        <v/>
      </c>
      <c r="HX103" s="541">
        <f t="shared" si="302"/>
        <v>1911.372549019608</v>
      </c>
      <c r="HY103" s="541">
        <f>Sheet1!CZ101</f>
        <v>2130</v>
      </c>
      <c r="HZ103" s="541">
        <f t="shared" si="303"/>
        <v>0</v>
      </c>
      <c r="IA103" s="541">
        <f t="shared" si="304"/>
        <v>64.741950000000003</v>
      </c>
      <c r="IB103" s="541">
        <f t="shared" si="305"/>
        <v>2130</v>
      </c>
      <c r="IC103" s="1019" t="str">
        <f t="shared" si="306"/>
        <v/>
      </c>
      <c r="ID103" s="541">
        <f t="shared" si="307"/>
        <v>2065.2580499999999</v>
      </c>
      <c r="IE103" s="541">
        <f>Sheet1!DB101</f>
        <v>2210</v>
      </c>
      <c r="IF103" s="533">
        <f>Sheet1!DA101</f>
        <v>3085</v>
      </c>
      <c r="IH103" s="541">
        <f>IF(AND($B103&gt;=$GC103,$B103&lt;=$GH103,$DR103&lt;0)+N("only adjusted when pool is drawn down during storage season"),Sheet1!$DB101+$DR103+N("Palmer minus all storage release"),Sheet1!$DB101)</f>
        <v>2210</v>
      </c>
      <c r="II103" s="541">
        <f>IF(AND($B103&gt;=$GC103,$B103&lt;=$GH103,$DR103&lt;0)+N("only adjusted when pool is drawn down during storage season"),Sheet1!$DA101+$DR103+N("Auburn minus all storage release"),Sheet1!$DA101)</f>
        <v>3085</v>
      </c>
    </row>
    <row r="104" spans="1:243" x14ac:dyDescent="0.25">
      <c r="A104" s="553" t="s">
        <v>4</v>
      </c>
      <c r="B104" s="531">
        <v>42828</v>
      </c>
      <c r="C104" s="536">
        <v>0</v>
      </c>
      <c r="D104" s="506">
        <f t="shared" si="247"/>
        <v>300</v>
      </c>
      <c r="E104" s="506">
        <f t="shared" si="248"/>
        <v>250</v>
      </c>
      <c r="F104" s="506">
        <v>250</v>
      </c>
      <c r="G104" s="535">
        <f>DR104+Sheet1!CZ102</f>
        <v>2062.5012607166673</v>
      </c>
      <c r="H104" s="1074">
        <f t="shared" si="281"/>
        <v>1117.5590207999999</v>
      </c>
      <c r="I104" s="534">
        <f>IF(Sheet1!DA102&gt;=E104,(Sheet1!DA102-E104+P104)*CFStoMGD,0)</f>
        <v>1676.0486208</v>
      </c>
      <c r="J104" s="995">
        <f>IF(Sheet1!DB102&gt;=D104,(Sheet1!DB102-D104+P104)*CFStoMGD,0)</f>
        <v>1117.5590207999999</v>
      </c>
      <c r="K104" s="818">
        <f t="shared" si="282"/>
        <v>64.64</v>
      </c>
      <c r="L104" s="535">
        <f>Sheet1!AA102+Sheet1!AB102-Sheet1!L102+(Sheet1!DA102-F104)*CFStoMGD-S104-T104-U104</f>
        <v>1611.4096</v>
      </c>
      <c r="M104" s="535">
        <f t="shared" si="185"/>
        <v>1359.8648312257988</v>
      </c>
      <c r="N104" s="824">
        <f>IF(Sheet1!DA102&gt;=F104,MIN(113*CFStoMGD,MIN(MAX(L104,0),MAX(M104,0))),0)</f>
        <v>73.043199999999999</v>
      </c>
      <c r="O104" s="538">
        <f>Sheet1!AA102+Sheet1!AB102</f>
        <v>51</v>
      </c>
      <c r="P104" s="538">
        <f t="shared" si="186"/>
        <v>78.896999999999991</v>
      </c>
      <c r="Q104" s="812">
        <f t="shared" si="283"/>
        <v>40.22</v>
      </c>
      <c r="R104" s="812">
        <f t="shared" si="249"/>
        <v>10.745886075949365</v>
      </c>
      <c r="S104" s="812">
        <f t="shared" si="250"/>
        <v>10.78</v>
      </c>
      <c r="T104" s="812">
        <f t="shared" si="251"/>
        <v>53.86</v>
      </c>
      <c r="U104" s="812">
        <f t="shared" si="284"/>
        <v>0</v>
      </c>
      <c r="V104" s="812"/>
      <c r="W104" s="812">
        <f t="shared" si="252"/>
        <v>53.894113924050636</v>
      </c>
      <c r="X104" s="812">
        <f t="shared" si="253"/>
        <v>64.64</v>
      </c>
      <c r="Y104" s="812" t="str">
        <f t="shared" si="254"/>
        <v>FALSE</v>
      </c>
      <c r="Z104" s="812">
        <f t="shared" si="255"/>
        <v>51</v>
      </c>
      <c r="AA104" s="812">
        <f t="shared" si="256"/>
        <v>51</v>
      </c>
      <c r="AB104" s="1059">
        <f t="shared" si="285"/>
        <v>62.220339999999993</v>
      </c>
      <c r="AC104" s="538">
        <f>Sheet1!Y102*MGDtoCFS</f>
        <v>39.98995</v>
      </c>
      <c r="AD104" s="538">
        <f>Sheet1!Z102*MGDtoCFS</f>
        <v>41.614299999999993</v>
      </c>
      <c r="AE104" s="538">
        <f>Sheet1!AA102*MGDtoCFS</f>
        <v>39.912599999999998</v>
      </c>
      <c r="AF104" s="538">
        <f>Sheet1!AB102*MGDtoCFS</f>
        <v>38.984399999999994</v>
      </c>
      <c r="AG104" s="538">
        <f>Sheet1!L102*MGDtoCFS</f>
        <v>0</v>
      </c>
      <c r="AH104" s="521">
        <f t="shared" si="187"/>
        <v>0</v>
      </c>
      <c r="AI104" s="1059">
        <f t="shared" si="188"/>
        <v>0</v>
      </c>
      <c r="AJ104" s="535">
        <f t="shared" si="189"/>
        <v>53.894113924050636</v>
      </c>
      <c r="AK104" s="535">
        <f t="shared" si="190"/>
        <v>83.374194240506327</v>
      </c>
      <c r="AL104" s="535">
        <f>(VLOOKUP(Sheet1!DC102,hhdcap_wcm,4)-(((VLOOKUP(Sheet1!DC102,hhdcap_wcm,3)-Sheet1!DC102)/(VLOOKUP(Sheet1!DC102,hhdcap_wcm,3)-VLOOKUP(Sheet1!DC102,hhdcap_wcm,1)))*(VLOOKUP(Sheet1!DC102,hhdcap_wcm,4)-VLOOKUP(Sheet1!DC102,hhdcap_wcm,2))))</f>
        <v>24095.40000006152</v>
      </c>
      <c r="AM104" s="535">
        <f t="shared" si="191"/>
        <v>361.90000000115106</v>
      </c>
      <c r="AN104" s="1035">
        <f t="shared" si="192"/>
        <v>2535.3647868939911</v>
      </c>
      <c r="AO104" s="535">
        <f t="shared" si="193"/>
        <v>7778.4991661907652</v>
      </c>
      <c r="AP104" s="535">
        <f>Sheet1!BA102+Sheet1!BB102+Sheet1!BN102+CD104</f>
        <v>14.5</v>
      </c>
      <c r="AQ104" s="535">
        <f>Sheet1!BN102+(DO104*Sheet1!BN102)</f>
        <v>14.454113924050631</v>
      </c>
      <c r="AR104" s="535">
        <f>Sheet1!BA102+CD104</f>
        <v>0</v>
      </c>
      <c r="AS104" s="535">
        <f>Sheet1!BA102+Sheet1!BB102+CD104</f>
        <v>0</v>
      </c>
      <c r="AT104" s="649">
        <f>0</f>
        <v>0</v>
      </c>
      <c r="AU104" s="535">
        <f>IF(EB104&lt;K104,0,MAX(Sheet1!AA102+AQ104-15/36*K104-N104,Sheet1!EH102,0))</f>
        <v>0</v>
      </c>
      <c r="AV104" s="535">
        <f>IF(OR(B104&gt;=GD104,B104&lt;GC104),0,15/36*K104-MAX(0,64.6-(137.6-(Sheet1!AA102+Sheet1!AB102))))</f>
        <v>26.933333333333334</v>
      </c>
      <c r="AW104" s="1029"/>
      <c r="AX104" s="649"/>
      <c r="AY104" s="649">
        <f t="shared" si="286"/>
        <v>0</v>
      </c>
      <c r="AZ104" s="649">
        <f t="shared" si="287"/>
        <v>0</v>
      </c>
      <c r="BA104" s="1059">
        <f t="shared" si="288"/>
        <v>0</v>
      </c>
      <c r="BB104" s="1019">
        <f t="shared" si="194"/>
        <v>1265.8666666666661</v>
      </c>
      <c r="BC104" s="1041">
        <f t="shared" si="289"/>
        <v>26.933333333333334</v>
      </c>
      <c r="BD104" s="1019">
        <f ca="1">IF(B104&gt;Summary!$A$1,#N/A,BB104*MGtoAF)</f>
        <v>3883.6789333333318</v>
      </c>
      <c r="BE104" s="535">
        <f>Sheet1!BG102+Sheet1!BH102+Sheet1!BI102-BM104</f>
        <v>1.01</v>
      </c>
      <c r="BF104" s="535">
        <f t="shared" si="195"/>
        <v>1.0068037974683544</v>
      </c>
      <c r="BG104" s="535">
        <f>IF(Sheet1!EP102="FM",BM104,0)</f>
        <v>0</v>
      </c>
      <c r="BH104" s="535">
        <f t="shared" si="196"/>
        <v>0</v>
      </c>
      <c r="BI104" s="535">
        <f>IF(Sheet1!EP102="OTHER",BM104,0)</f>
        <v>0</v>
      </c>
      <c r="BJ104" s="535">
        <f t="shared" si="197"/>
        <v>0</v>
      </c>
      <c r="BK104" s="535">
        <f t="shared" si="198"/>
        <v>1.01</v>
      </c>
      <c r="BL104" s="535">
        <f t="shared" si="199"/>
        <v>1.0068037974683544</v>
      </c>
      <c r="BM104" s="535">
        <f>IF(OR(Sheet1!EP102="FM", Sheet1!EP102="OTHER"),SUM(Sheet1!BG102:'Sheet1'!BI102),0)</f>
        <v>0</v>
      </c>
      <c r="BN104" s="521">
        <f>IF(AND($B104&gt;=$FV104,$B104&lt;=$FW104),MAX(BF104,Sheet1!EI102,0),MAX(BF104-(7/36)*$K104,0))</f>
        <v>0</v>
      </c>
      <c r="BO104" s="535">
        <f t="shared" si="200"/>
        <v>11.562085091420535</v>
      </c>
      <c r="BP104" s="521">
        <f t="shared" si="201"/>
        <v>1.0068037974683544</v>
      </c>
      <c r="BQ104" s="521">
        <f>IF(AND($O104&gt;0,Sheet1!EM102=1),(1-($O104-Sheet1!$L102)/$O104)*BL104,0)</f>
        <v>0</v>
      </c>
      <c r="BR104" s="521">
        <f>IF(AND(Sheet1!$L102=0,Sheet1!$L101=0, Calculation!BK104&lt;Sheet1!$EI102-0.1,Sheet1!$EI102=Sheet1!$EI101,Sheet1!$EI102=Sheet1!$EI103),BL104-BQ104,BL104-BQ104)</f>
        <v>1.0068037974683544</v>
      </c>
      <c r="BS104" s="1035" t="str">
        <f t="shared" si="290"/>
        <v/>
      </c>
      <c r="BT104" s="1035">
        <f t="shared" si="291"/>
        <v>12.568888888888889</v>
      </c>
      <c r="BU104" s="535">
        <f t="shared" si="202"/>
        <v>542.58894636015089</v>
      </c>
      <c r="BV104" s="535"/>
      <c r="BW104" s="535">
        <f ca="1">IF(B104&gt;Summary!$A$1,#N/A,BU104*MGtoAF)</f>
        <v>1664.6628874329429</v>
      </c>
      <c r="BX104" s="535">
        <f>Sheet1!BC102+Sheet1!BD102+Sheet1!BE102+Sheet1!BF102-CG104-CH104</f>
        <v>3.26</v>
      </c>
      <c r="BY104" s="535">
        <f t="shared" si="203"/>
        <v>3.2496835443037968</v>
      </c>
      <c r="BZ104" s="535">
        <f>IF(Sheet1!EQ102="FM",CH104,0)</f>
        <v>0</v>
      </c>
      <c r="CA104" s="535">
        <f t="shared" si="204"/>
        <v>0</v>
      </c>
      <c r="CB104" s="535">
        <f>IF(Sheet1!EQ102="OTHER",CH104,0)</f>
        <v>0</v>
      </c>
      <c r="CC104" s="535">
        <f t="shared" si="205"/>
        <v>0</v>
      </c>
      <c r="CD104" s="535">
        <f t="shared" si="206"/>
        <v>0</v>
      </c>
      <c r="CE104" s="535">
        <f t="shared" si="207"/>
        <v>3.26</v>
      </c>
      <c r="CF104" s="535">
        <f t="shared" si="208"/>
        <v>3.2496835443037968</v>
      </c>
      <c r="CG104" s="535">
        <f>IF(Sheet1!EQ102="CWA",SUM(Sheet1!BC102:'Sheet1'!BF102),0)</f>
        <v>0</v>
      </c>
      <c r="CH104" s="535">
        <f>IF(OR(Sheet1!EQ102="FM", Sheet1!EQ102="OTHER"),SUM(Sheet1!BC102:'Sheet1'!BF102),0)</f>
        <v>0</v>
      </c>
      <c r="CI104" s="521">
        <f>IF(AND($B104&gt;=$FV104,$B104&lt;=$FW104),MAX(CF104,Sheet1!EJ102,0),MAX(CF104-(7/36)*$K104,0))</f>
        <v>0</v>
      </c>
      <c r="CJ104" s="535">
        <f t="shared" si="209"/>
        <v>9.3192053445850931</v>
      </c>
      <c r="CK104" s="521">
        <f t="shared" si="210"/>
        <v>3.2496835443037968</v>
      </c>
      <c r="CL104" s="521">
        <f>IF(AND($O104&gt;0,Sheet1!EN102=1),(1-($O104-Sheet1!$L102)/$O104)*CF104,0)</f>
        <v>0</v>
      </c>
      <c r="CM104" s="521">
        <f>IF(AND(Sheet1!$L102=0,Sheet1!$L101=0, Calculation!CE104&lt;Sheet1!EJ102-0.1,Sheet1!EJ102=Sheet1!EJ101,Sheet1!EJ102=Sheet1!EJ103),CF104-CL104,CF104-CL104)</f>
        <v>3.2496835443037968</v>
      </c>
      <c r="CN104" s="1040" t="str">
        <f t="shared" si="292"/>
        <v/>
      </c>
      <c r="CO104" s="1035">
        <f t="shared" si="293"/>
        <v>12.568888888888889</v>
      </c>
      <c r="CP104" s="535">
        <f t="shared" si="211"/>
        <v>442.33352339532962</v>
      </c>
      <c r="CQ104" s="535"/>
      <c r="CR104" s="535">
        <f ca="1">IF(B104&gt;Summary!$A$1,#N/A,CP104*MGtoAF)</f>
        <v>1357.0792497768714</v>
      </c>
      <c r="CS104" s="535">
        <f>Sheet1!BK102+Sheet1!BL102+Sheet1!BM102-Sheet1!ER102-DA104</f>
        <v>6.51</v>
      </c>
      <c r="CT104" s="535">
        <f t="shared" si="212"/>
        <v>6.4893987341772146</v>
      </c>
      <c r="CU104" s="535">
        <f>IF(Sheet1!ER102="FM",DA104,0)</f>
        <v>0</v>
      </c>
      <c r="CV104" s="535">
        <f t="shared" si="213"/>
        <v>0</v>
      </c>
      <c r="CW104" s="535">
        <f>IF(Sheet1!ER102="OTHER",DA104,0)</f>
        <v>0</v>
      </c>
      <c r="CX104" s="535">
        <f t="shared" si="214"/>
        <v>0</v>
      </c>
      <c r="CY104" s="535">
        <f t="shared" si="215"/>
        <v>6.51</v>
      </c>
      <c r="CZ104" s="535">
        <f t="shared" si="216"/>
        <v>6.4893987341772146</v>
      </c>
      <c r="DA104" s="535">
        <f>IF(OR(Sheet1!ER102="FM", Sheet1!ER102="OTHER"),SUM(Sheet1!BK102:'Sheet1'!BM102),0)</f>
        <v>0</v>
      </c>
      <c r="DB104" s="1011">
        <f>IF(AND($B104&gt;=$FV104,$B104&lt;=$FW104),MAX($CT104,Sheet1!EK102,0),MAX($CT104-(7/36)*$K104,0))</f>
        <v>0</v>
      </c>
      <c r="DC104" s="1012">
        <f t="shared" si="217"/>
        <v>6.0794901547116744</v>
      </c>
      <c r="DD104" s="1011">
        <f t="shared" si="218"/>
        <v>6.4893987341772146</v>
      </c>
      <c r="DE104" s="521">
        <f>IF(AND($O104&gt;0,Sheet1!EO102=1),(1-($O104-Sheet1!$L102)/$O104)*CZ104,0)</f>
        <v>0</v>
      </c>
      <c r="DF104" s="521">
        <f>IF(AND(Sheet1!$L102=0,Sheet1!$L101=0, Calculation!CY104&lt;Sheet1!$EK102-0.1,Sheet1!$EK102=Sheet1!$EK101,Sheet1!$EK102=Sheet1!$EK103),CZ104-DE104,CZ104-DE104)</f>
        <v>6.4893987341772146</v>
      </c>
      <c r="DG104" s="1040">
        <f t="shared" si="294"/>
        <v>12.568888888888889</v>
      </c>
      <c r="DH104" s="649">
        <f t="shared" si="219"/>
        <v>10.78</v>
      </c>
      <c r="DI104" s="535">
        <f t="shared" si="220"/>
        <v>284.57565047184443</v>
      </c>
      <c r="DJ104" s="649">
        <f t="shared" si="221"/>
        <v>10.745886075949365</v>
      </c>
      <c r="DK104" s="535">
        <f ca="1">IF(B104&gt;Summary!$A$1,#N/A,DI104*MGtoAF)</f>
        <v>873.07809564761874</v>
      </c>
      <c r="DL104" s="649">
        <f t="shared" si="222"/>
        <v>10.78</v>
      </c>
      <c r="DM104" s="535">
        <f t="shared" si="223"/>
        <v>25.28</v>
      </c>
      <c r="DN104" s="535">
        <f>Sheet1!AB102-DM104</f>
        <v>-8.0000000000001847E-2</v>
      </c>
      <c r="DO104" s="743">
        <f t="shared" si="224"/>
        <v>-3.1645569620253893E-3</v>
      </c>
      <c r="DP104" s="535">
        <f>(VLOOKUP(Sheet1!DC102,hhdcap_wcm,4)-(((VLOOKUP(Sheet1!DC102,hhdcap_wcm,3)-Sheet1!DC102)/(VLOOKUP(Sheet1!DC102,hhdcap_wcm,3)-VLOOKUP(Sheet1!DC102,hhdcap_wcm,1)))*(VLOOKUP(Sheet1!DC102,hhdcap_wcm,4)-VLOOKUP(Sheet1!DC102,hhdcap_wcm,2))))</f>
        <v>24095.40000006152</v>
      </c>
      <c r="DQ104" s="535">
        <f t="shared" si="225"/>
        <v>361.90000000115106</v>
      </c>
      <c r="DR104" s="535">
        <f t="shared" si="226"/>
        <v>182.50126071666716</v>
      </c>
      <c r="DS104" s="535">
        <f>Sheet1!EA102*AFtoMG</f>
        <v>0</v>
      </c>
      <c r="DT104" s="535">
        <f>Sheet1!EB102*AFtoMG</f>
        <v>0</v>
      </c>
      <c r="DU104" s="535">
        <f>Sheet1!EC102*AFtoMG</f>
        <v>0</v>
      </c>
      <c r="DV104" s="535">
        <f>Sheet1!ED102*AFtoMG</f>
        <v>0</v>
      </c>
      <c r="DW104" s="535">
        <f t="shared" si="227"/>
        <v>0</v>
      </c>
      <c r="DX104" s="535">
        <f t="shared" si="228"/>
        <v>0</v>
      </c>
      <c r="DY104" s="535">
        <f t="shared" si="229"/>
        <v>2535.3647868939911</v>
      </c>
      <c r="DZ104" s="535">
        <f t="shared" si="230"/>
        <v>7778.4991661907652</v>
      </c>
      <c r="EA104" s="535"/>
      <c r="EB104" s="521">
        <f>IF(OR(B104&lt;FV104,B104&gt;FW104),(MIN(BF104+BY104+CT104+MAX(Sheet1!AA102+AQ104-73,0),K104)),0)</f>
        <v>10.745886075949365</v>
      </c>
      <c r="EC104" s="535"/>
      <c r="ED104" s="535">
        <f t="shared" si="231"/>
        <v>10.745886075949365</v>
      </c>
      <c r="EE104" s="535"/>
      <c r="EF104" s="535">
        <f>Sheet1!EH102+Sheet1!EI102+Sheet1!EJ102+Sheet1!EK102</f>
        <v>10.5</v>
      </c>
      <c r="EG104" s="1019">
        <f t="shared" si="295"/>
        <v>16.243500000000001</v>
      </c>
      <c r="EH104" s="521">
        <f t="shared" si="232"/>
        <v>0</v>
      </c>
      <c r="EI104" s="535">
        <f>IF(Sheet1!ET102=1,SUM('Calculations II'!AT104:BA104)+'Calculations II'!BC104+Sheet1!BV102+'Calculations II'!BE104+AP104,'Calculations II'!BK104)</f>
        <v>46.499597924050626</v>
      </c>
      <c r="EJ104" s="535">
        <f ca="1">EI104+'Calculations II'!D104+'Calculations II'!E104+'Calculations II'!O104</f>
        <v>40.015491776968538</v>
      </c>
      <c r="EK104" s="535"/>
      <c r="EL104" s="535"/>
      <c r="EM104" s="535">
        <f t="shared" si="233"/>
        <v>42828</v>
      </c>
      <c r="EN104" s="535">
        <f t="shared" si="234"/>
        <v>53.894113924050636</v>
      </c>
      <c r="EO104" s="535">
        <f t="shared" si="235"/>
        <v>83.374194240506327</v>
      </c>
      <c r="EP104" s="535">
        <v>0</v>
      </c>
      <c r="EQ104" s="535">
        <v>0</v>
      </c>
      <c r="ER104" s="535">
        <v>0</v>
      </c>
      <c r="ES104" s="521">
        <f t="shared" si="257"/>
        <v>6.5031145442959186</v>
      </c>
      <c r="ET104" s="535">
        <f>-(VLOOKUP(Sheet1!BQ102,Lookup!$O$4:$Q$262,2)-VLOOKUP(Sheet1!BQ101,Lookup!$O$4:$Q$262,2))/1000000</f>
        <v>3.3201751166888065</v>
      </c>
      <c r="EU104" s="535">
        <f>-(VLOOKUP(Sheet1!BR102,Lookup!$O$4:$Q$262,3)-VLOOKUP(Sheet1!BR101,Lookup!$O$4:$Q$262,3))/1000000</f>
        <v>3.1829394276071117</v>
      </c>
      <c r="EV104" s="535"/>
      <c r="EW104" s="535"/>
      <c r="EX104" s="535"/>
      <c r="EY104" s="535"/>
      <c r="EZ104" s="535"/>
      <c r="FA104" s="535"/>
      <c r="FB104" s="535"/>
      <c r="FC104" s="535"/>
      <c r="FD104" s="567" t="e">
        <f t="shared" si="236"/>
        <v>#N/A</v>
      </c>
      <c r="FE104" s="567" t="e">
        <f t="shared" si="237"/>
        <v>#N/A</v>
      </c>
      <c r="FF104" s="568" t="e">
        <f t="shared" si="238"/>
        <v>#N/A</v>
      </c>
      <c r="FG104" s="569" t="s">
        <v>656</v>
      </c>
      <c r="FH104" s="569" t="s">
        <v>656</v>
      </c>
      <c r="FI104" s="567" t="e">
        <v>#N/A</v>
      </c>
      <c r="FJ104" s="567" t="e">
        <v>#N/A</v>
      </c>
      <c r="FK104" s="535"/>
      <c r="FL104" s="1015">
        <v>0</v>
      </c>
      <c r="FM104" s="535"/>
      <c r="FN104" s="535"/>
      <c r="FO104" s="535">
        <f>O104+((Sheet1!CS102)*GPMtoMGD)</f>
        <v>51</v>
      </c>
      <c r="FP104" s="535">
        <f>IF(Sheet1!AA102+AQ104&lt;=Calculation!N104,AQ104,Calculation!N104-Sheet1!AA102)</f>
        <v>14.454113924050631</v>
      </c>
      <c r="FQ104" s="535">
        <f>(Sheet1!BP102+Sheet1!BO102)/694.4</f>
        <v>1.3726958525345623</v>
      </c>
      <c r="FR104" s="541"/>
      <c r="FS104" s="541"/>
      <c r="FT104" s="541"/>
      <c r="FU104" s="541"/>
      <c r="FV104" s="1109">
        <f t="shared" si="258"/>
        <v>42918</v>
      </c>
      <c r="FW104" s="1109">
        <f t="shared" si="259"/>
        <v>43027</v>
      </c>
      <c r="FX104" s="541"/>
      <c r="FY104" s="541">
        <f>Sheet1!DA102-Sheet1!CZ102-Sheet1!AE102</f>
        <v>805.10300000000007</v>
      </c>
      <c r="FZ104" s="535">
        <f t="shared" si="296"/>
        <v>0.39035273109129981</v>
      </c>
      <c r="GA104" s="535"/>
      <c r="GB104" s="535" t="str">
        <f t="shared" si="260"/>
        <v>n</v>
      </c>
      <c r="GC104" s="539">
        <f t="shared" si="261"/>
        <v>42782</v>
      </c>
      <c r="GD104" s="1109">
        <f t="shared" si="262"/>
        <v>42904</v>
      </c>
      <c r="GE104" s="535">
        <f t="shared" si="280"/>
        <v>6520</v>
      </c>
      <c r="GF104" s="1109">
        <f t="shared" si="263"/>
        <v>42909</v>
      </c>
      <c r="GG104" s="535">
        <f t="shared" si="308"/>
        <v>3260</v>
      </c>
      <c r="GH104" s="539">
        <f t="shared" si="264"/>
        <v>43040</v>
      </c>
      <c r="GJ104" s="521">
        <f t="shared" si="265"/>
        <v>0</v>
      </c>
      <c r="GK104" s="535" t="str">
        <f t="shared" si="239"/>
        <v/>
      </c>
      <c r="GL104" s="535">
        <f t="shared" si="266"/>
        <v>0</v>
      </c>
      <c r="GM104" s="535" t="str">
        <f t="shared" si="267"/>
        <v/>
      </c>
      <c r="GN104" s="535">
        <f>IF(GK104="P",Lookup!$M$12,IF(GK104="PP",Lookup!$M$13,IF(GK104="PPP",Lookup!$M$14,IF(GK104="T",Lookup!$M$15,IF(GK104="TP",Lookup!$M$16,IF(GK104="TPP",Lookup!$M$17,IF(GK104="TPPP",Lookup!$M$18,0)))))))*GJ104</f>
        <v>0</v>
      </c>
      <c r="GO104" s="535">
        <f t="shared" si="268"/>
        <v>0</v>
      </c>
      <c r="GP104" s="535">
        <f t="shared" si="240"/>
        <v>3883.6789333333318</v>
      </c>
      <c r="GQ104" s="535">
        <f t="shared" si="279"/>
        <v>1265.8666666666661</v>
      </c>
      <c r="GR104" s="535"/>
      <c r="GS104" s="535">
        <f t="shared" si="269"/>
        <v>0</v>
      </c>
      <c r="GT104" s="535" t="str">
        <f t="shared" si="270"/>
        <v/>
      </c>
      <c r="GU104" s="535">
        <f>IF(GK104="P",Lookup!$N$12,IF(GK104="PP",Lookup!$N$13,IF(GK104="PPP",Lookup!$N$14,IF(GK104="T",Lookup!$N$15,IF(GK104="TP",Lookup!$N$16,IF(GK104="TPP",Lookup!$N$17,IF(GK104="TPPP",Lookup!$N$18,0)))))))*GJ104</f>
        <v>0</v>
      </c>
      <c r="GV104" s="535">
        <f t="shared" si="271"/>
        <v>0</v>
      </c>
      <c r="GW104" s="535">
        <f t="shared" si="241"/>
        <v>1664.6628874329429</v>
      </c>
      <c r="GX104" s="535">
        <f t="shared" si="276"/>
        <v>542.58894636015089</v>
      </c>
      <c r="GY104" s="535"/>
      <c r="GZ104" s="535">
        <f t="shared" si="272"/>
        <v>0</v>
      </c>
      <c r="HA104" s="535" t="str">
        <f t="shared" si="273"/>
        <v/>
      </c>
      <c r="HB104" s="535">
        <f>IF(GK104="P",Lookup!$N$12,IF(GK104="PP",Lookup!$N$13,IF(GK104="PPP",Lookup!$N$14,IF(GK104="T",Lookup!$N$15,IF(GK104="TP",Lookup!$N$16,IF(GK104="TPP",Lookup!$N$17,IF(GK104="TPPP",Lookup!$N$18,0)))))))*GJ104</f>
        <v>0</v>
      </c>
      <c r="HC104" s="521">
        <f t="shared" si="242"/>
        <v>0</v>
      </c>
      <c r="HD104" s="535">
        <f t="shared" si="243"/>
        <v>1357.0792497768714</v>
      </c>
      <c r="HE104" s="535">
        <f t="shared" si="277"/>
        <v>442.33352339532962</v>
      </c>
      <c r="HF104" s="535"/>
      <c r="HG104" s="535">
        <f t="shared" si="274"/>
        <v>0</v>
      </c>
      <c r="HH104" s="535" t="str">
        <f t="shared" si="275"/>
        <v/>
      </c>
      <c r="HI104" s="535">
        <f>IF(GK104="P",Lookup!$N$12,IF(GK104="PP",Lookup!$N$13,IF(GK104="PPP",Lookup!$N$14,IF(GK104="T",Lookup!$N$15,IF(GK104="TP",Lookup!$N$16,IF(GK104="TPP",Lookup!$N$17,IF(GK104="TPPP",Lookup!$N$18,0)))))))*GJ104</f>
        <v>0</v>
      </c>
      <c r="HJ104" s="521">
        <f t="shared" si="244"/>
        <v>0</v>
      </c>
      <c r="HK104" s="535">
        <f t="shared" si="245"/>
        <v>873.07809564761874</v>
      </c>
      <c r="HL104" s="535">
        <f t="shared" si="278"/>
        <v>284.57565047184443</v>
      </c>
      <c r="HM104" s="535"/>
      <c r="HN104" s="541"/>
      <c r="HO104" s="541"/>
      <c r="HP104" s="541"/>
      <c r="HQ104" s="541">
        <f>IF(AND(B104&gt;=$FV$4,B104&lt;=$FW$4),MAX(110/1.02+$HQ$6+MIN(113/1.02,G104),IF($HV$6-(Sheet1!DA102-Sheet1!DB102)+MIN(113/1.02,G104)&lt;G104+FL104,$HV$6-(Sheet1!DA102-Sheet1!DB102)+MIN(113/1.02,G104),G104+FL104)),MIN(110/1.02+$HQ$6+113/1.02,G104))</f>
        <v>218.62745098039215</v>
      </c>
      <c r="HR104" s="541">
        <f t="shared" si="297"/>
        <v>223</v>
      </c>
      <c r="HS104" s="541">
        <f>HR104+(Sheet1!DA102-Sheet1!DB102)</f>
        <v>1037</v>
      </c>
      <c r="HT104" s="541">
        <f t="shared" si="298"/>
        <v>62.220339999999993</v>
      </c>
      <c r="HU104" s="541">
        <f t="shared" si="299"/>
        <v>974.77966000000004</v>
      </c>
      <c r="HV104" s="541">
        <f t="shared" si="300"/>
        <v>0</v>
      </c>
      <c r="HW104" s="533" t="str">
        <f t="shared" si="301"/>
        <v/>
      </c>
      <c r="HX104" s="541">
        <f t="shared" si="302"/>
        <v>1661.372549019608</v>
      </c>
      <c r="HY104" s="541">
        <f>Sheet1!CZ102</f>
        <v>1880</v>
      </c>
      <c r="HZ104" s="541">
        <f t="shared" si="303"/>
        <v>0</v>
      </c>
      <c r="IA104" s="541">
        <f t="shared" si="304"/>
        <v>62.220339999999993</v>
      </c>
      <c r="IB104" s="541">
        <f t="shared" si="305"/>
        <v>1880</v>
      </c>
      <c r="IC104" s="1019" t="str">
        <f t="shared" si="306"/>
        <v/>
      </c>
      <c r="ID104" s="541">
        <f t="shared" si="307"/>
        <v>1817.7796599999999</v>
      </c>
      <c r="IE104" s="541">
        <f>Sheet1!DB102</f>
        <v>1950</v>
      </c>
      <c r="IF104" s="533">
        <f>Sheet1!DA102</f>
        <v>2764</v>
      </c>
      <c r="IH104" s="541">
        <f>IF(AND($B104&gt;=$GC104,$B104&lt;=$GH104,$DR104&lt;0)+N("only adjusted when pool is drawn down during storage season"),Sheet1!$DB102+$DR104+N("Palmer minus all storage release"),Sheet1!$DB102)</f>
        <v>1950</v>
      </c>
      <c r="II104" s="541">
        <f>IF(AND($B104&gt;=$GC104,$B104&lt;=$GH104,$DR104&lt;0)+N("only adjusted when pool is drawn down during storage season"),Sheet1!$DA102+$DR104+N("Auburn minus all storage release"),Sheet1!$DA102)</f>
        <v>2764</v>
      </c>
    </row>
    <row r="105" spans="1:243" x14ac:dyDescent="0.25">
      <c r="A105" s="553" t="s">
        <v>5</v>
      </c>
      <c r="B105" s="531">
        <v>42829</v>
      </c>
      <c r="C105" s="536">
        <v>0</v>
      </c>
      <c r="D105" s="506">
        <f t="shared" si="247"/>
        <v>300</v>
      </c>
      <c r="E105" s="506">
        <f t="shared" si="248"/>
        <v>250</v>
      </c>
      <c r="F105" s="506">
        <v>250</v>
      </c>
      <c r="G105" s="535">
        <f>DR105+Sheet1!CZ103</f>
        <v>1828.2334846197602</v>
      </c>
      <c r="H105" s="1074">
        <f t="shared" si="281"/>
        <v>1015.83498816</v>
      </c>
      <c r="I105" s="534">
        <f>IF(Sheet1!DA103&gt;=E105,(Sheet1!DA103-E105+P105)*CFStoMGD,0)</f>
        <v>1542.0045881599999</v>
      </c>
      <c r="J105" s="995">
        <f>IF(Sheet1!DB103&gt;=D105,(Sheet1!DB103-D105+P105)*CFStoMGD,0)</f>
        <v>1015.83498816</v>
      </c>
      <c r="K105" s="818">
        <f t="shared" si="282"/>
        <v>64.64</v>
      </c>
      <c r="L105" s="535">
        <f>Sheet1!AA103+Sheet1!AB103-Sheet1!L103+(Sheet1!DA103-F105)*CFStoMGD-S105-T105-U105</f>
        <v>1477.3655999999999</v>
      </c>
      <c r="M105" s="535">
        <f t="shared" si="185"/>
        <v>1205.4055269473774</v>
      </c>
      <c r="N105" s="824">
        <f>IF(Sheet1!DA103&gt;=F105,MIN(113*CFStoMGD,MIN(MAX(L105,0),MAX(M105,0))),0)</f>
        <v>73.043199999999999</v>
      </c>
      <c r="O105" s="538">
        <f>Sheet1!AA103+Sheet1!AB103</f>
        <v>52.7</v>
      </c>
      <c r="P105" s="538">
        <f t="shared" si="186"/>
        <v>81.526899999999983</v>
      </c>
      <c r="Q105" s="812">
        <f t="shared" si="283"/>
        <v>42.22</v>
      </c>
      <c r="R105" s="812">
        <f t="shared" si="249"/>
        <v>10.448925129725723</v>
      </c>
      <c r="S105" s="812">
        <f t="shared" si="250"/>
        <v>10.48</v>
      </c>
      <c r="T105" s="812">
        <f t="shared" si="251"/>
        <v>54.16</v>
      </c>
      <c r="U105" s="812">
        <f t="shared" si="284"/>
        <v>0</v>
      </c>
      <c r="V105" s="812"/>
      <c r="W105" s="812">
        <f t="shared" si="252"/>
        <v>54.191074870274278</v>
      </c>
      <c r="X105" s="812">
        <f t="shared" si="253"/>
        <v>64.64</v>
      </c>
      <c r="Y105" s="812" t="str">
        <f t="shared" si="254"/>
        <v>FALSE</v>
      </c>
      <c r="Z105" s="812">
        <f t="shared" si="255"/>
        <v>52.7</v>
      </c>
      <c r="AA105" s="812">
        <f t="shared" si="256"/>
        <v>52.7</v>
      </c>
      <c r="AB105" s="1059">
        <f t="shared" si="285"/>
        <v>65.314340000000001</v>
      </c>
      <c r="AC105" s="538">
        <f>Sheet1!Y103*MGDtoCFS</f>
        <v>39.912599999999998</v>
      </c>
      <c r="AD105" s="538">
        <f>Sheet1!Z103*MGDtoCFS</f>
        <v>38.984399999999994</v>
      </c>
      <c r="AE105" s="538">
        <f>Sheet1!AA103*MGDtoCFS</f>
        <v>39.912599999999998</v>
      </c>
      <c r="AF105" s="538">
        <f>Sheet1!AB103*MGDtoCFS</f>
        <v>41.614299999999993</v>
      </c>
      <c r="AG105" s="538">
        <f>Sheet1!L103*MGDtoCFS</f>
        <v>0</v>
      </c>
      <c r="AH105" s="521">
        <f t="shared" si="187"/>
        <v>0</v>
      </c>
      <c r="AI105" s="1059">
        <f t="shared" si="188"/>
        <v>0</v>
      </c>
      <c r="AJ105" s="535">
        <f t="shared" si="189"/>
        <v>54.191074870274278</v>
      </c>
      <c r="AK105" s="535">
        <f t="shared" si="190"/>
        <v>83.833592824314309</v>
      </c>
      <c r="AL105" s="535">
        <f>(VLOOKUP(Sheet1!DC103,hhdcap_wcm,4)-(((VLOOKUP(Sheet1!DC103,hhdcap_wcm,3)-Sheet1!DC103)/(VLOOKUP(Sheet1!DC103,hhdcap_wcm,3)-VLOOKUP(Sheet1!DC103,hhdcap_wcm,1)))*(VLOOKUP(Sheet1!DC103,hhdcap_wcm,4)-VLOOKUP(Sheet1!DC103,hhdcap_wcm,2))))</f>
        <v>24371.500000062504</v>
      </c>
      <c r="AM105" s="535">
        <f t="shared" si="191"/>
        <v>276.10000000098444</v>
      </c>
      <c r="AN105" s="1035">
        <f t="shared" si="192"/>
        <v>2589.5558617642655</v>
      </c>
      <c r="AO105" s="535">
        <f t="shared" si="193"/>
        <v>7944.7573838927665</v>
      </c>
      <c r="AP105" s="535">
        <f>Sheet1!BA103+Sheet1!BB103+Sheet1!BN103+CD105</f>
        <v>16.5</v>
      </c>
      <c r="AQ105" s="535">
        <f>Sheet1!BN103+(DO105*Sheet1!BN103)</f>
        <v>16.451074870274276</v>
      </c>
      <c r="AR105" s="535">
        <f>Sheet1!BA103+CD105</f>
        <v>0</v>
      </c>
      <c r="AS105" s="535">
        <f>Sheet1!BA103+Sheet1!BB103+CD105</f>
        <v>0</v>
      </c>
      <c r="AT105" s="649">
        <f>0</f>
        <v>0</v>
      </c>
      <c r="AU105" s="535">
        <f>IF(EB105&lt;K105,0,MAX(Sheet1!AA103+AQ105-15/36*K105-N105,Sheet1!EH103,0))</f>
        <v>0</v>
      </c>
      <c r="AV105" s="535">
        <f>IF(OR(B105&gt;=GD105,B105&lt;GC105),0,15/36*K105-MAX(0,64.6-(137.6-(Sheet1!AA103+Sheet1!AB103))))</f>
        <v>26.933333333333334</v>
      </c>
      <c r="AW105" s="1029"/>
      <c r="AX105" s="649"/>
      <c r="AY105" s="649">
        <f t="shared" si="286"/>
        <v>0</v>
      </c>
      <c r="AZ105" s="649">
        <f t="shared" si="287"/>
        <v>0</v>
      </c>
      <c r="BA105" s="1059">
        <f t="shared" si="288"/>
        <v>0</v>
      </c>
      <c r="BB105" s="1019">
        <f t="shared" si="194"/>
        <v>1292.7999999999995</v>
      </c>
      <c r="BC105" s="1041">
        <f t="shared" si="289"/>
        <v>26.933333333333334</v>
      </c>
      <c r="BD105" s="1019">
        <f ca="1">IF(B105&gt;Summary!$A$1,#N/A,BB105*MGtoAF)</f>
        <v>3966.3103999999985</v>
      </c>
      <c r="BE105" s="535">
        <f>Sheet1!BG103+Sheet1!BH103+Sheet1!BI103-BM105</f>
        <v>1.01</v>
      </c>
      <c r="BF105" s="535">
        <f t="shared" si="195"/>
        <v>1.0070051890289102</v>
      </c>
      <c r="BG105" s="535">
        <f>IF(Sheet1!EP103="FM",BM105,0)</f>
        <v>0</v>
      </c>
      <c r="BH105" s="535">
        <f t="shared" si="196"/>
        <v>0</v>
      </c>
      <c r="BI105" s="535">
        <f>IF(Sheet1!EP103="OTHER",BM105,0)</f>
        <v>0</v>
      </c>
      <c r="BJ105" s="535">
        <f t="shared" si="197"/>
        <v>0</v>
      </c>
      <c r="BK105" s="535">
        <f t="shared" si="198"/>
        <v>1.01</v>
      </c>
      <c r="BL105" s="535">
        <f t="shared" si="199"/>
        <v>1.0070051890289102</v>
      </c>
      <c r="BM105" s="535">
        <f>IF(OR(Sheet1!EP103="FM", Sheet1!EP103="OTHER"),SUM(Sheet1!BG103:'Sheet1'!BI103),0)</f>
        <v>0</v>
      </c>
      <c r="BN105" s="521">
        <f>IF(AND($B105&gt;=$FV105,$B105&lt;=$FW105),MAX(BF105,Sheet1!EI103,0),MAX(BF105-(7/36)*$K105,0))</f>
        <v>0</v>
      </c>
      <c r="BO105" s="535">
        <f t="shared" si="200"/>
        <v>11.56188369985998</v>
      </c>
      <c r="BP105" s="521">
        <f t="shared" si="201"/>
        <v>1.0070051890289102</v>
      </c>
      <c r="BQ105" s="521">
        <f>IF(AND($O105&gt;0,Sheet1!EM103=1),(1-($O105-Sheet1!$L103)/$O105)*BL105,0)</f>
        <v>0</v>
      </c>
      <c r="BR105" s="521">
        <f>IF(AND(Sheet1!$L103=0,Sheet1!$L102=0, Calculation!BK105&lt;Sheet1!$EI103-0.1,Sheet1!$EI103=Sheet1!$EI102,Sheet1!$EI103=Sheet1!$EI104),BL105-BQ105,BL105-BQ105)</f>
        <v>1.0070051890289102</v>
      </c>
      <c r="BS105" s="1035" t="str">
        <f t="shared" si="290"/>
        <v/>
      </c>
      <c r="BT105" s="1035">
        <f t="shared" si="291"/>
        <v>12.568888888888889</v>
      </c>
      <c r="BU105" s="535">
        <f t="shared" si="202"/>
        <v>554.15083006001089</v>
      </c>
      <c r="BV105" s="535"/>
      <c r="BW105" s="535">
        <f ca="1">IF(B105&gt;Summary!$A$1,#N/A,BU105*MGtoAF)</f>
        <v>1700.1347466241134</v>
      </c>
      <c r="BX105" s="535">
        <f>Sheet1!BC103+Sheet1!BD103+Sheet1!BE103+Sheet1!BF103-CG105-CH105</f>
        <v>2.99</v>
      </c>
      <c r="BY105" s="535">
        <f t="shared" si="203"/>
        <v>2.9811341734618235</v>
      </c>
      <c r="BZ105" s="535">
        <f>IF(Sheet1!EQ103="FM",CH105,0)</f>
        <v>0</v>
      </c>
      <c r="CA105" s="535">
        <f t="shared" si="204"/>
        <v>0</v>
      </c>
      <c r="CB105" s="535">
        <f>IF(Sheet1!EQ103="OTHER",CH105,0)</f>
        <v>0</v>
      </c>
      <c r="CC105" s="535">
        <f t="shared" si="205"/>
        <v>0</v>
      </c>
      <c r="CD105" s="535">
        <f t="shared" si="206"/>
        <v>0</v>
      </c>
      <c r="CE105" s="535">
        <f t="shared" si="207"/>
        <v>2.99</v>
      </c>
      <c r="CF105" s="535">
        <f t="shared" si="208"/>
        <v>2.9811341734618235</v>
      </c>
      <c r="CG105" s="535">
        <f>IF(Sheet1!EQ103="CWA",SUM(Sheet1!BC103:'Sheet1'!BF103),0)</f>
        <v>0</v>
      </c>
      <c r="CH105" s="535">
        <f>IF(OR(Sheet1!EQ103="FM", Sheet1!EQ103="OTHER"),SUM(Sheet1!BC103:'Sheet1'!BF103),0)</f>
        <v>0</v>
      </c>
      <c r="CI105" s="521">
        <f>IF(AND($B105&gt;=$FV105,$B105&lt;=$FW105),MAX(CF105,Sheet1!EJ103,0),MAX(CF105-(7/36)*$K105,0))</f>
        <v>0</v>
      </c>
      <c r="CJ105" s="535">
        <f t="shared" si="209"/>
        <v>9.5877547154270655</v>
      </c>
      <c r="CK105" s="521">
        <f t="shared" si="210"/>
        <v>2.9811341734618235</v>
      </c>
      <c r="CL105" s="521">
        <f>IF(AND($O105&gt;0,Sheet1!EN103=1),(1-($O105-Sheet1!$L103)/$O105)*CF105,0)</f>
        <v>0</v>
      </c>
      <c r="CM105" s="521">
        <f>IF(AND(Sheet1!$L103=0,Sheet1!$L102=0, Calculation!CE105&lt;Sheet1!EJ103-0.1,Sheet1!EJ103=Sheet1!EJ102,Sheet1!EJ103=Sheet1!EJ104),CF105-CL105,CF105-CL105)</f>
        <v>2.9811341734618235</v>
      </c>
      <c r="CN105" s="1040" t="str">
        <f t="shared" si="292"/>
        <v/>
      </c>
      <c r="CO105" s="1035">
        <f t="shared" si="293"/>
        <v>12.568888888888889</v>
      </c>
      <c r="CP105" s="535">
        <f t="shared" si="211"/>
        <v>451.9212781107567</v>
      </c>
      <c r="CQ105" s="535"/>
      <c r="CR105" s="535">
        <f ca="1">IF(B105&gt;Summary!$A$1,#N/A,CP105*MGtoAF)</f>
        <v>1386.4944812438016</v>
      </c>
      <c r="CS105" s="535">
        <f>Sheet1!BK103+Sheet1!BL103+Sheet1!BM103-Sheet1!ER103-DA105</f>
        <v>6.48</v>
      </c>
      <c r="CT105" s="535">
        <f t="shared" si="212"/>
        <v>6.4607857672349889</v>
      </c>
      <c r="CU105" s="535">
        <f>IF(Sheet1!ER103="FM",DA105,0)</f>
        <v>0</v>
      </c>
      <c r="CV105" s="535">
        <f t="shared" si="213"/>
        <v>0</v>
      </c>
      <c r="CW105" s="535">
        <f>IF(Sheet1!ER103="OTHER",DA105,0)</f>
        <v>0</v>
      </c>
      <c r="CX105" s="535">
        <f t="shared" si="214"/>
        <v>0</v>
      </c>
      <c r="CY105" s="535">
        <f t="shared" si="215"/>
        <v>6.48</v>
      </c>
      <c r="CZ105" s="535">
        <f t="shared" si="216"/>
        <v>6.4607857672349889</v>
      </c>
      <c r="DA105" s="535">
        <f>IF(OR(Sheet1!ER103="FM", Sheet1!ER103="OTHER"),SUM(Sheet1!BK103:'Sheet1'!BM103),0)</f>
        <v>0</v>
      </c>
      <c r="DB105" s="1011">
        <f>IF(AND($B105&gt;=$FV105,$B105&lt;=$FW105),MAX($CT105,Sheet1!EK103,0),MAX($CT105-(7/36)*$K105,0))</f>
        <v>0</v>
      </c>
      <c r="DC105" s="1012">
        <f t="shared" si="217"/>
        <v>6.1081031216539001</v>
      </c>
      <c r="DD105" s="1011">
        <f t="shared" si="218"/>
        <v>6.4607857672349889</v>
      </c>
      <c r="DE105" s="521">
        <f>IF(AND($O105&gt;0,Sheet1!EO103=1),(1-($O105-Sheet1!$L103)/$O105)*CZ105,0)</f>
        <v>0</v>
      </c>
      <c r="DF105" s="521">
        <f>IF(AND(Sheet1!$L103=0,Sheet1!$L102=0, Calculation!CY105&lt;Sheet1!$EK103-0.1,Sheet1!$EK103=Sheet1!$EK102,Sheet1!$EK103=Sheet1!$EK104),CZ105-DE105,CZ105-DE105)</f>
        <v>6.4607857672349889</v>
      </c>
      <c r="DG105" s="1040">
        <f t="shared" si="294"/>
        <v>12.568888888888889</v>
      </c>
      <c r="DH105" s="649">
        <f t="shared" si="219"/>
        <v>10.48</v>
      </c>
      <c r="DI105" s="535">
        <f t="shared" si="220"/>
        <v>290.68375359349835</v>
      </c>
      <c r="DJ105" s="649">
        <f t="shared" si="221"/>
        <v>10.448925129725723</v>
      </c>
      <c r="DK105" s="535">
        <f ca="1">IF(B105&gt;Summary!$A$1,#N/A,DI105*MGtoAF)</f>
        <v>891.817756024853</v>
      </c>
      <c r="DL105" s="649">
        <f t="shared" si="222"/>
        <v>10.48</v>
      </c>
      <c r="DM105" s="535">
        <f t="shared" si="223"/>
        <v>26.98</v>
      </c>
      <c r="DN105" s="535">
        <f>Sheet1!AB103-DM105</f>
        <v>-8.0000000000001847E-2</v>
      </c>
      <c r="DO105" s="743">
        <f t="shared" si="224"/>
        <v>-2.9651593773165992E-3</v>
      </c>
      <c r="DP105" s="535">
        <f>(VLOOKUP(Sheet1!DC103,hhdcap_wcm,4)-(((VLOOKUP(Sheet1!DC103,hhdcap_wcm,3)-Sheet1!DC103)/(VLOOKUP(Sheet1!DC103,hhdcap_wcm,3)-VLOOKUP(Sheet1!DC103,hhdcap_wcm,1)))*(VLOOKUP(Sheet1!DC103,hhdcap_wcm,4)-VLOOKUP(Sheet1!DC103,hhdcap_wcm,2))))</f>
        <v>24371.500000062504</v>
      </c>
      <c r="DQ105" s="535">
        <f t="shared" si="225"/>
        <v>276.10000000098444</v>
      </c>
      <c r="DR105" s="535">
        <f t="shared" si="226"/>
        <v>139.23348461976016</v>
      </c>
      <c r="DS105" s="535">
        <f>Sheet1!EA103*AFtoMG</f>
        <v>0</v>
      </c>
      <c r="DT105" s="535">
        <f>Sheet1!EB103*AFtoMG</f>
        <v>0</v>
      </c>
      <c r="DU105" s="535">
        <f>Sheet1!EC103*AFtoMG</f>
        <v>0</v>
      </c>
      <c r="DV105" s="535">
        <f>Sheet1!ED103*AFtoMG</f>
        <v>0</v>
      </c>
      <c r="DW105" s="535">
        <f t="shared" si="227"/>
        <v>0</v>
      </c>
      <c r="DX105" s="535">
        <f t="shared" si="228"/>
        <v>0</v>
      </c>
      <c r="DY105" s="535">
        <f t="shared" si="229"/>
        <v>2589.5558617642655</v>
      </c>
      <c r="DZ105" s="535">
        <f t="shared" si="230"/>
        <v>7944.7573838927665</v>
      </c>
      <c r="EA105" s="535"/>
      <c r="EB105" s="521">
        <f>IF(OR(B105&lt;FV105,B105&gt;FW105),(MIN(BF105+BY105+CT105+MAX(Sheet1!AA103+AQ105-73,0),K105)),0)</f>
        <v>10.448925129725723</v>
      </c>
      <c r="EC105" s="535"/>
      <c r="ED105" s="535">
        <f t="shared" si="231"/>
        <v>10.448925129725723</v>
      </c>
      <c r="EE105" s="535"/>
      <c r="EF105" s="535">
        <f>Sheet1!EH103+Sheet1!EI103+Sheet1!EJ103+Sheet1!EK103</f>
        <v>10.5</v>
      </c>
      <c r="EG105" s="1019">
        <f t="shared" si="295"/>
        <v>16.243500000000001</v>
      </c>
      <c r="EH105" s="521">
        <f t="shared" si="232"/>
        <v>0</v>
      </c>
      <c r="EI105" s="535">
        <f>IF(Sheet1!ET103=1,SUM('Calculations II'!AT105:BA105)+'Calculations II'!BC105+Sheet1!BV103+'Calculations II'!BE105+AP105,'Calculations II'!BK105)</f>
        <v>43.26617087027428</v>
      </c>
      <c r="EJ105" s="535">
        <f ca="1">EI105+'Calculations II'!D105+'Calculations II'!E105+'Calculations II'!O105</f>
        <v>41.704108532883616</v>
      </c>
      <c r="EK105" s="535"/>
      <c r="EL105" s="535"/>
      <c r="EM105" s="535">
        <f t="shared" si="233"/>
        <v>42829</v>
      </c>
      <c r="EN105" s="535">
        <f t="shared" si="234"/>
        <v>54.191074870274278</v>
      </c>
      <c r="EO105" s="535">
        <f t="shared" si="235"/>
        <v>83.833592824314309</v>
      </c>
      <c r="EP105" s="535">
        <v>0</v>
      </c>
      <c r="EQ105" s="535">
        <v>0</v>
      </c>
      <c r="ER105" s="535">
        <v>0</v>
      </c>
      <c r="ES105" s="521">
        <f t="shared" si="257"/>
        <v>1.3827338394818418</v>
      </c>
      <c r="ET105" s="535">
        <f>-(VLOOKUP(Sheet1!BQ103,Lookup!$O$4:$Q$262,2)-VLOOKUP(Sheet1!BQ102,Lookup!$O$4:$Q$262,2))/1000000</f>
        <v>0.69123885201609503</v>
      </c>
      <c r="EU105" s="535">
        <f>-(VLOOKUP(Sheet1!BR103,Lookup!$O$4:$Q$262,3)-VLOOKUP(Sheet1!BR102,Lookup!$O$4:$Q$262,3))/1000000</f>
        <v>0.69149498746574667</v>
      </c>
      <c r="EV105" s="535"/>
      <c r="EW105" s="535"/>
      <c r="EX105" s="535"/>
      <c r="EY105" s="535"/>
      <c r="EZ105" s="535"/>
      <c r="FA105" s="535"/>
      <c r="FB105" s="535"/>
      <c r="FC105" s="535"/>
      <c r="FD105" s="567" t="e">
        <f t="shared" si="236"/>
        <v>#N/A</v>
      </c>
      <c r="FE105" s="567" t="e">
        <f t="shared" si="237"/>
        <v>#N/A</v>
      </c>
      <c r="FF105" s="568" t="e">
        <f t="shared" si="238"/>
        <v>#N/A</v>
      </c>
      <c r="FG105" s="569" t="s">
        <v>656</v>
      </c>
      <c r="FH105" s="569" t="s">
        <v>656</v>
      </c>
      <c r="FI105" s="567" t="e">
        <v>#N/A</v>
      </c>
      <c r="FJ105" s="567" t="e">
        <v>#N/A</v>
      </c>
      <c r="FK105" s="535"/>
      <c r="FL105" s="1015">
        <v>0</v>
      </c>
      <c r="FM105" s="535"/>
      <c r="FN105" s="535"/>
      <c r="FO105" s="535">
        <f>O105+((Sheet1!CS103)*GPMtoMGD)</f>
        <v>52.7</v>
      </c>
      <c r="FP105" s="535">
        <f>IF(Sheet1!AA103+AQ105&lt;=Calculation!N105,AQ105,Calculation!N105-Sheet1!AA103)</f>
        <v>16.451074870274276</v>
      </c>
      <c r="FQ105" s="535">
        <f>(Sheet1!BP103+Sheet1!BO103)/694.4</f>
        <v>0.13148041474654379</v>
      </c>
      <c r="FR105" s="541"/>
      <c r="FS105" s="541"/>
      <c r="FT105" s="541"/>
      <c r="FU105" s="541"/>
      <c r="FV105" s="1109">
        <f t="shared" si="258"/>
        <v>42918</v>
      </c>
      <c r="FW105" s="1109">
        <f t="shared" si="259"/>
        <v>43027</v>
      </c>
      <c r="FX105" s="541"/>
      <c r="FY105" s="541">
        <f>Sheet1!DA103-Sheet1!CZ103-Sheet1!AE103</f>
        <v>783.47310000000004</v>
      </c>
      <c r="FZ105" s="535">
        <f t="shared" si="296"/>
        <v>0.42854105156210309</v>
      </c>
      <c r="GA105" s="535"/>
      <c r="GB105" s="535" t="str">
        <f t="shared" si="260"/>
        <v>n</v>
      </c>
      <c r="GC105" s="539">
        <f t="shared" si="261"/>
        <v>42782</v>
      </c>
      <c r="GD105" s="1109">
        <f t="shared" si="262"/>
        <v>42904</v>
      </c>
      <c r="GE105" s="535">
        <f t="shared" si="280"/>
        <v>6520</v>
      </c>
      <c r="GF105" s="1109">
        <f t="shared" si="263"/>
        <v>42909</v>
      </c>
      <c r="GG105" s="535">
        <f t="shared" si="308"/>
        <v>3260</v>
      </c>
      <c r="GH105" s="539">
        <f t="shared" si="264"/>
        <v>43040</v>
      </c>
      <c r="GJ105" s="521">
        <f t="shared" si="265"/>
        <v>0</v>
      </c>
      <c r="GK105" s="535" t="str">
        <f t="shared" si="239"/>
        <v/>
      </c>
      <c r="GL105" s="535">
        <f t="shared" si="266"/>
        <v>0</v>
      </c>
      <c r="GM105" s="535" t="str">
        <f t="shared" si="267"/>
        <v/>
      </c>
      <c r="GN105" s="535">
        <f>IF(GK105="P",Lookup!$M$12,IF(GK105="PP",Lookup!$M$13,IF(GK105="PPP",Lookup!$M$14,IF(GK105="T",Lookup!$M$15,IF(GK105="TP",Lookup!$M$16,IF(GK105="TPP",Lookup!$M$17,IF(GK105="TPPP",Lookup!$M$18,0)))))))*GJ105</f>
        <v>0</v>
      </c>
      <c r="GO105" s="535">
        <f t="shared" si="268"/>
        <v>0</v>
      </c>
      <c r="GP105" s="535">
        <f t="shared" si="240"/>
        <v>3966.3103999999985</v>
      </c>
      <c r="GQ105" s="535">
        <f t="shared" si="279"/>
        <v>1292.7999999999995</v>
      </c>
      <c r="GR105" s="535"/>
      <c r="GS105" s="535">
        <f t="shared" si="269"/>
        <v>0</v>
      </c>
      <c r="GT105" s="535" t="str">
        <f t="shared" si="270"/>
        <v/>
      </c>
      <c r="GU105" s="535">
        <f>IF(GK105="P",Lookup!$N$12,IF(GK105="PP",Lookup!$N$13,IF(GK105="PPP",Lookup!$N$14,IF(GK105="T",Lookup!$N$15,IF(GK105="TP",Lookup!$N$16,IF(GK105="TPP",Lookup!$N$17,IF(GK105="TPPP",Lookup!$N$18,0)))))))*GJ105</f>
        <v>0</v>
      </c>
      <c r="GV105" s="535">
        <f t="shared" si="271"/>
        <v>0</v>
      </c>
      <c r="GW105" s="535">
        <f t="shared" si="241"/>
        <v>1700.1347466241134</v>
      </c>
      <c r="GX105" s="535">
        <f t="shared" si="276"/>
        <v>554.15083006001089</v>
      </c>
      <c r="GY105" s="535"/>
      <c r="GZ105" s="535">
        <f t="shared" si="272"/>
        <v>0</v>
      </c>
      <c r="HA105" s="535" t="str">
        <f t="shared" si="273"/>
        <v/>
      </c>
      <c r="HB105" s="535">
        <f>IF(GK105="P",Lookup!$N$12,IF(GK105="PP",Lookup!$N$13,IF(GK105="PPP",Lookup!$N$14,IF(GK105="T",Lookup!$N$15,IF(GK105="TP",Lookup!$N$16,IF(GK105="TPP",Lookup!$N$17,IF(GK105="TPPP",Lookup!$N$18,0)))))))*GJ105</f>
        <v>0</v>
      </c>
      <c r="HC105" s="521">
        <f t="shared" si="242"/>
        <v>0</v>
      </c>
      <c r="HD105" s="535">
        <f t="shared" si="243"/>
        <v>1386.4944812438016</v>
      </c>
      <c r="HE105" s="535">
        <f t="shared" si="277"/>
        <v>451.9212781107567</v>
      </c>
      <c r="HF105" s="535"/>
      <c r="HG105" s="535">
        <f t="shared" si="274"/>
        <v>0</v>
      </c>
      <c r="HH105" s="535" t="str">
        <f t="shared" si="275"/>
        <v/>
      </c>
      <c r="HI105" s="535">
        <f>IF(GK105="P",Lookup!$N$12,IF(GK105="PP",Lookup!$N$13,IF(GK105="PPP",Lookup!$N$14,IF(GK105="T",Lookup!$N$15,IF(GK105="TP",Lookup!$N$16,IF(GK105="TPP",Lookup!$N$17,IF(GK105="TPPP",Lookup!$N$18,0)))))))*GJ105</f>
        <v>0</v>
      </c>
      <c r="HJ105" s="521">
        <f t="shared" si="244"/>
        <v>0</v>
      </c>
      <c r="HK105" s="535">
        <f t="shared" si="245"/>
        <v>891.817756024853</v>
      </c>
      <c r="HL105" s="535">
        <f t="shared" si="278"/>
        <v>290.68375359349835</v>
      </c>
      <c r="HM105" s="535"/>
      <c r="HN105" s="541"/>
      <c r="HO105" s="541"/>
      <c r="HP105" s="541"/>
      <c r="HQ105" s="541">
        <f>IF(AND(B105&gt;=$FV$4,B105&lt;=$FW$4),MAX(110/1.02+$HQ$6+MIN(113/1.02,G105),IF($HV$6-(Sheet1!DA103-Sheet1!DB103)+MIN(113/1.02,G105)&lt;G105+FL105,$HV$6-(Sheet1!DA103-Sheet1!DB103)+MIN(113/1.02,G105),G105+FL105)),MIN(110/1.02+$HQ$6+113/1.02,G105))</f>
        <v>218.62745098039215</v>
      </c>
      <c r="HR105" s="541">
        <f t="shared" si="297"/>
        <v>223</v>
      </c>
      <c r="HS105" s="541">
        <f>HR105+(Sheet1!DA103-Sheet1!DB103)</f>
        <v>987</v>
      </c>
      <c r="HT105" s="541">
        <f t="shared" si="298"/>
        <v>65.314340000000001</v>
      </c>
      <c r="HU105" s="541">
        <f t="shared" si="299"/>
        <v>921.68565999999998</v>
      </c>
      <c r="HV105" s="541">
        <f t="shared" si="300"/>
        <v>0</v>
      </c>
      <c r="HW105" s="533" t="str">
        <f t="shared" si="301"/>
        <v/>
      </c>
      <c r="HX105" s="541">
        <f t="shared" si="302"/>
        <v>1470.372549019608</v>
      </c>
      <c r="HY105" s="541">
        <f>Sheet1!CZ103</f>
        <v>1689</v>
      </c>
      <c r="HZ105" s="541">
        <f t="shared" si="303"/>
        <v>0</v>
      </c>
      <c r="IA105" s="541">
        <f t="shared" si="304"/>
        <v>65.314340000000001</v>
      </c>
      <c r="IB105" s="541">
        <f t="shared" si="305"/>
        <v>1689</v>
      </c>
      <c r="IC105" s="1019" t="str">
        <f t="shared" si="306"/>
        <v/>
      </c>
      <c r="ID105" s="541">
        <f t="shared" si="307"/>
        <v>1623.6856600000001</v>
      </c>
      <c r="IE105" s="541">
        <f>Sheet1!DB103</f>
        <v>1790</v>
      </c>
      <c r="IF105" s="533">
        <f>Sheet1!DA103</f>
        <v>2554</v>
      </c>
      <c r="IH105" s="541">
        <f>IF(AND($B105&gt;=$GC105,$B105&lt;=$GH105,$DR105&lt;0)+N("only adjusted when pool is drawn down during storage season"),Sheet1!$DB103+$DR105+N("Palmer minus all storage release"),Sheet1!$DB103)</f>
        <v>1790</v>
      </c>
      <c r="II105" s="541">
        <f>IF(AND($B105&gt;=$GC105,$B105&lt;=$GH105,$DR105&lt;0)+N("only adjusted when pool is drawn down during storage season"),Sheet1!$DA103+$DR105+N("Auburn minus all storage release"),Sheet1!$DA103)</f>
        <v>2554</v>
      </c>
    </row>
    <row r="106" spans="1:243" x14ac:dyDescent="0.25">
      <c r="A106" s="553" t="s">
        <v>6</v>
      </c>
      <c r="B106" s="531">
        <v>42830</v>
      </c>
      <c r="C106" s="536">
        <v>0</v>
      </c>
      <c r="D106" s="506">
        <f t="shared" si="247"/>
        <v>300</v>
      </c>
      <c r="E106" s="506">
        <f t="shared" si="248"/>
        <v>250</v>
      </c>
      <c r="F106" s="506">
        <v>250</v>
      </c>
      <c r="G106" s="535">
        <f>DR106+Sheet1!CZ104</f>
        <v>1821.5264750379092</v>
      </c>
      <c r="H106" s="1074">
        <f t="shared" si="281"/>
        <v>1015.964985664</v>
      </c>
      <c r="I106" s="534">
        <f>IF(Sheet1!DA104&gt;=E106,(Sheet1!DA104-E106+P106)*CFStoMGD,0)</f>
        <v>1542.1345856639998</v>
      </c>
      <c r="J106" s="995">
        <f>IF(Sheet1!DB104&gt;=D106,(Sheet1!DB104-D106+P106)*CFStoMGD,0)</f>
        <v>1015.964985664</v>
      </c>
      <c r="K106" s="818">
        <f t="shared" si="282"/>
        <v>64.64</v>
      </c>
      <c r="L106" s="535">
        <f>Sheet1!AA104+Sheet1!AB104-Sheet1!L104+(Sheet1!DA104-F106)*CFStoMGD-S106-T106-U106</f>
        <v>1477.4955999999997</v>
      </c>
      <c r="M106" s="535">
        <f t="shared" si="185"/>
        <v>1200.9834077337946</v>
      </c>
      <c r="N106" s="824">
        <f>IF(Sheet1!DA104&gt;=F106,MIN(113*CFStoMGD,MIN(MAX(L106,0),MAX(M106,0))),0)</f>
        <v>73.043199999999999</v>
      </c>
      <c r="O106" s="538">
        <f>Sheet1!AA104+Sheet1!AB104</f>
        <v>52.83</v>
      </c>
      <c r="P106" s="538">
        <f t="shared" si="186"/>
        <v>81.728009999999983</v>
      </c>
      <c r="Q106" s="812">
        <f t="shared" si="283"/>
        <v>42.129999999999995</v>
      </c>
      <c r="R106" s="812">
        <f t="shared" si="249"/>
        <v>10.7</v>
      </c>
      <c r="S106" s="812">
        <f t="shared" si="250"/>
        <v>10.7</v>
      </c>
      <c r="T106" s="812">
        <f t="shared" si="251"/>
        <v>53.94</v>
      </c>
      <c r="U106" s="812">
        <f t="shared" si="284"/>
        <v>0</v>
      </c>
      <c r="V106" s="812"/>
      <c r="W106" s="812">
        <f t="shared" si="252"/>
        <v>53.94</v>
      </c>
      <c r="X106" s="812">
        <f t="shared" si="253"/>
        <v>64.64</v>
      </c>
      <c r="Y106" s="812" t="str">
        <f t="shared" si="254"/>
        <v>FALSE</v>
      </c>
      <c r="Z106" s="812">
        <f t="shared" si="255"/>
        <v>52.83</v>
      </c>
      <c r="AA106" s="812">
        <f t="shared" si="256"/>
        <v>52.83</v>
      </c>
      <c r="AB106" s="1059">
        <f t="shared" si="285"/>
        <v>65.175109999999989</v>
      </c>
      <c r="AC106" s="538">
        <f>Sheet1!Y104*MGDtoCFS</f>
        <v>39.912599999999998</v>
      </c>
      <c r="AD106" s="538">
        <f>Sheet1!Z104*MGDtoCFS</f>
        <v>41.614299999999993</v>
      </c>
      <c r="AE106" s="538">
        <f>Sheet1!AA104*MGDtoCFS</f>
        <v>39.959009999999992</v>
      </c>
      <c r="AF106" s="538">
        <f>Sheet1!AB104*MGDtoCFS</f>
        <v>41.768999999999998</v>
      </c>
      <c r="AG106" s="538">
        <f>Sheet1!L104*MGDtoCFS</f>
        <v>0</v>
      </c>
      <c r="AH106" s="521">
        <f t="shared" si="187"/>
        <v>0</v>
      </c>
      <c r="AI106" s="1059">
        <f t="shared" si="188"/>
        <v>0</v>
      </c>
      <c r="AJ106" s="535">
        <f t="shared" si="189"/>
        <v>53.94</v>
      </c>
      <c r="AK106" s="535">
        <f t="shared" si="190"/>
        <v>83.445179999999993</v>
      </c>
      <c r="AL106" s="535">
        <f>(VLOOKUP(Sheet1!DC104,hhdcap_wcm,4)-(((VLOOKUP(Sheet1!DC104,hhdcap_wcm,3)-Sheet1!DC104)/(VLOOKUP(Sheet1!DC104,hhdcap_wcm,3)-VLOOKUP(Sheet1!DC104,hhdcap_wcm,1)))*(VLOOKUP(Sheet1!DC104,hhdcap_wcm,4)-VLOOKUP(Sheet1!DC104,hhdcap_wcm,2))))</f>
        <v>24634.300000062678</v>
      </c>
      <c r="AM106" s="535">
        <f t="shared" si="191"/>
        <v>262.8000000001739</v>
      </c>
      <c r="AN106" s="1035">
        <f t="shared" si="192"/>
        <v>2643.4958617642651</v>
      </c>
      <c r="AO106" s="535">
        <f t="shared" si="193"/>
        <v>8110.2453038927652</v>
      </c>
      <c r="AP106" s="535">
        <f>Sheet1!BA104+Sheet1!BB104+Sheet1!BN104+CD106</f>
        <v>16.3</v>
      </c>
      <c r="AQ106" s="535">
        <f>Sheet1!BN104+(DO106*Sheet1!BN104)</f>
        <v>16.3</v>
      </c>
      <c r="AR106" s="535">
        <f>Sheet1!BA104+CD106</f>
        <v>0</v>
      </c>
      <c r="AS106" s="535">
        <f>Sheet1!BA104+Sheet1!BB104+CD106</f>
        <v>0</v>
      </c>
      <c r="AT106" s="649">
        <f>0</f>
        <v>0</v>
      </c>
      <c r="AU106" s="535">
        <f>IF(EB106&lt;K106,0,MAX(Sheet1!AA104+AQ106-15/36*K106-N106,Sheet1!EH104,0))</f>
        <v>0</v>
      </c>
      <c r="AV106" s="535">
        <f>IF(OR(B106&gt;=GD106,B106&lt;GC106),0,15/36*K106-MAX(0,64.6-(137.6-(Sheet1!AA104+Sheet1!AB104))))</f>
        <v>26.933333333333334</v>
      </c>
      <c r="AW106" s="1029"/>
      <c r="AX106" s="649"/>
      <c r="AY106" s="649">
        <f t="shared" si="286"/>
        <v>0</v>
      </c>
      <c r="AZ106" s="649">
        <f t="shared" si="287"/>
        <v>0</v>
      </c>
      <c r="BA106" s="1059">
        <f t="shared" si="288"/>
        <v>0</v>
      </c>
      <c r="BB106" s="1019">
        <f t="shared" si="194"/>
        <v>1319.7333333333329</v>
      </c>
      <c r="BC106" s="1041">
        <f t="shared" si="289"/>
        <v>26.933333333333334</v>
      </c>
      <c r="BD106" s="1019">
        <f ca="1">IF(B106&gt;Summary!$A$1,#N/A,BB106*MGtoAF)</f>
        <v>4048.9418666666652</v>
      </c>
      <c r="BE106" s="535">
        <f>Sheet1!BG104+Sheet1!BH104+Sheet1!BI104-BM106</f>
        <v>1.01</v>
      </c>
      <c r="BF106" s="535">
        <f t="shared" si="195"/>
        <v>1.01</v>
      </c>
      <c r="BG106" s="535">
        <f>IF(Sheet1!EP104="FM",BM106,0)</f>
        <v>0</v>
      </c>
      <c r="BH106" s="535">
        <f t="shared" si="196"/>
        <v>0</v>
      </c>
      <c r="BI106" s="535">
        <f>IF(Sheet1!EP104="OTHER",BM106,0)</f>
        <v>0</v>
      </c>
      <c r="BJ106" s="535">
        <f t="shared" si="197"/>
        <v>0</v>
      </c>
      <c r="BK106" s="535">
        <f t="shared" si="198"/>
        <v>1.01</v>
      </c>
      <c r="BL106" s="535">
        <f t="shared" si="199"/>
        <v>1.01</v>
      </c>
      <c r="BM106" s="535">
        <f>IF(OR(Sheet1!EP104="FM", Sheet1!EP104="OTHER"),SUM(Sheet1!BG104:'Sheet1'!BI104),0)</f>
        <v>0</v>
      </c>
      <c r="BN106" s="521">
        <f>IF(AND($B106&gt;=$FV106,$B106&lt;=$FW106),MAX(BF106,Sheet1!EI104,0),MAX(BF106-(7/36)*$K106,0))</f>
        <v>0</v>
      </c>
      <c r="BO106" s="535">
        <f t="shared" si="200"/>
        <v>11.558888888888889</v>
      </c>
      <c r="BP106" s="521">
        <f t="shared" si="201"/>
        <v>1.01</v>
      </c>
      <c r="BQ106" s="521">
        <f>IF(AND($O106&gt;0,Sheet1!EM104=1),(1-($O106-Sheet1!$L104)/$O106)*BL106,0)</f>
        <v>0</v>
      </c>
      <c r="BR106" s="521">
        <f>IF(AND(Sheet1!$L104=0,Sheet1!$L103=0, Calculation!BK106&lt;Sheet1!$EI104-0.1,Sheet1!$EI104=Sheet1!$EI103,Sheet1!$EI104=Sheet1!$EI105),BL106-BQ106,BL106-BQ106)</f>
        <v>1.01</v>
      </c>
      <c r="BS106" s="1035" t="str">
        <f t="shared" si="290"/>
        <v/>
      </c>
      <c r="BT106" s="1035">
        <f t="shared" si="291"/>
        <v>12.568888888888889</v>
      </c>
      <c r="BU106" s="535">
        <f t="shared" si="202"/>
        <v>565.70971894889976</v>
      </c>
      <c r="BV106" s="535"/>
      <c r="BW106" s="535">
        <f ca="1">IF(B106&gt;Summary!$A$1,#N/A,BU106*MGtoAF)</f>
        <v>1735.5974177352246</v>
      </c>
      <c r="BX106" s="535">
        <f>Sheet1!BC104+Sheet1!BD104+Sheet1!BE104+Sheet1!BF104-CG106-CH106</f>
        <v>2.99</v>
      </c>
      <c r="BY106" s="535">
        <f t="shared" si="203"/>
        <v>2.99</v>
      </c>
      <c r="BZ106" s="535">
        <f>IF(Sheet1!EQ104="FM",CH106,0)</f>
        <v>0</v>
      </c>
      <c r="CA106" s="535">
        <f t="shared" si="204"/>
        <v>0</v>
      </c>
      <c r="CB106" s="535">
        <f>IF(Sheet1!EQ104="OTHER",CH106,0)</f>
        <v>0</v>
      </c>
      <c r="CC106" s="535">
        <f t="shared" si="205"/>
        <v>0</v>
      </c>
      <c r="CD106" s="535">
        <f t="shared" si="206"/>
        <v>0</v>
      </c>
      <c r="CE106" s="535">
        <f t="shared" si="207"/>
        <v>2.99</v>
      </c>
      <c r="CF106" s="535">
        <f t="shared" si="208"/>
        <v>2.99</v>
      </c>
      <c r="CG106" s="535">
        <f>IF(Sheet1!EQ104="CWA",SUM(Sheet1!BC104:'Sheet1'!BF104),0)</f>
        <v>0</v>
      </c>
      <c r="CH106" s="535">
        <f>IF(OR(Sheet1!EQ104="FM", Sheet1!EQ104="OTHER"),SUM(Sheet1!BC104:'Sheet1'!BF104),0)</f>
        <v>0</v>
      </c>
      <c r="CI106" s="521">
        <f>IF(AND($B106&gt;=$FV106,$B106&lt;=$FW106),MAX(CF106,Sheet1!EJ104,0),MAX(CF106-(7/36)*$K106,0))</f>
        <v>0</v>
      </c>
      <c r="CJ106" s="535">
        <f t="shared" si="209"/>
        <v>9.5788888888888888</v>
      </c>
      <c r="CK106" s="521">
        <f t="shared" si="210"/>
        <v>2.99</v>
      </c>
      <c r="CL106" s="521">
        <f>IF(AND($O106&gt;0,Sheet1!EN104=1),(1-($O106-Sheet1!$L104)/$O106)*CF106,0)</f>
        <v>0</v>
      </c>
      <c r="CM106" s="521">
        <f>IF(AND(Sheet1!$L104=0,Sheet1!$L103=0, Calculation!CE106&lt;Sheet1!EJ104-0.1,Sheet1!EJ104=Sheet1!EJ103,Sheet1!EJ104=Sheet1!EJ105),CF106-CL106,CF106-CL106)</f>
        <v>2.99</v>
      </c>
      <c r="CN106" s="1040" t="str">
        <f t="shared" si="292"/>
        <v/>
      </c>
      <c r="CO106" s="1035">
        <f t="shared" si="293"/>
        <v>12.568888888888889</v>
      </c>
      <c r="CP106" s="535">
        <f t="shared" si="211"/>
        <v>461.50016699964561</v>
      </c>
      <c r="CQ106" s="535"/>
      <c r="CR106" s="535">
        <f ca="1">IF(B106&gt;Summary!$A$1,#N/A,CP106*MGtoAF)</f>
        <v>1415.8825123549127</v>
      </c>
      <c r="CS106" s="535">
        <f>Sheet1!BK104+Sheet1!BL104+Sheet1!BM104-Sheet1!ER104-DA106</f>
        <v>6.6999999999999993</v>
      </c>
      <c r="CT106" s="535">
        <f t="shared" si="212"/>
        <v>6.6999999999999993</v>
      </c>
      <c r="CU106" s="535">
        <f>IF(Sheet1!ER104="FM",DA106,0)</f>
        <v>0</v>
      </c>
      <c r="CV106" s="535">
        <f t="shared" si="213"/>
        <v>0</v>
      </c>
      <c r="CW106" s="535">
        <f>IF(Sheet1!ER104="OTHER",DA106,0)</f>
        <v>0</v>
      </c>
      <c r="CX106" s="535">
        <f t="shared" si="214"/>
        <v>0</v>
      </c>
      <c r="CY106" s="535">
        <f t="shared" si="215"/>
        <v>6.6999999999999993</v>
      </c>
      <c r="CZ106" s="535">
        <f t="shared" si="216"/>
        <v>6.6999999999999993</v>
      </c>
      <c r="DA106" s="535">
        <f>IF(OR(Sheet1!ER104="FM", Sheet1!ER104="OTHER"),SUM(Sheet1!BK104:'Sheet1'!BM104),0)</f>
        <v>0</v>
      </c>
      <c r="DB106" s="1011">
        <f>IF(AND($B106&gt;=$FV106,$B106&lt;=$FW106),MAX($CT106,Sheet1!EK104,0),MAX($CT106-(7/36)*$K106,0))</f>
        <v>0</v>
      </c>
      <c r="DC106" s="1012">
        <f t="shared" si="217"/>
        <v>5.8688888888888897</v>
      </c>
      <c r="DD106" s="1011">
        <f t="shared" si="218"/>
        <v>6.6999999999999993</v>
      </c>
      <c r="DE106" s="521">
        <f>IF(AND($O106&gt;0,Sheet1!EO104=1),(1-($O106-Sheet1!$L104)/$O106)*CZ106,0)</f>
        <v>0</v>
      </c>
      <c r="DF106" s="521">
        <f>IF(AND(Sheet1!$L104=0,Sheet1!$L103=0, Calculation!CY106&lt;Sheet1!$EK104-0.1,Sheet1!$EK104=Sheet1!$EK103,Sheet1!$EK104=Sheet1!$EK105),CZ106-DE106,CZ106-DE106)</f>
        <v>6.6999999999999993</v>
      </c>
      <c r="DG106" s="1040">
        <f t="shared" si="294"/>
        <v>12.568888888888889</v>
      </c>
      <c r="DH106" s="649">
        <f t="shared" si="219"/>
        <v>10.7</v>
      </c>
      <c r="DI106" s="535">
        <f t="shared" si="220"/>
        <v>296.55264248238723</v>
      </c>
      <c r="DJ106" s="649">
        <f t="shared" si="221"/>
        <v>10.7</v>
      </c>
      <c r="DK106" s="535">
        <f ca="1">IF(B106&gt;Summary!$A$1,#N/A,DI106*MGtoAF)</f>
        <v>909.82350713596406</v>
      </c>
      <c r="DL106" s="649">
        <f t="shared" si="222"/>
        <v>10.7</v>
      </c>
      <c r="DM106" s="535">
        <f t="shared" si="223"/>
        <v>27</v>
      </c>
      <c r="DN106" s="535">
        <f>Sheet1!AB104-DM106</f>
        <v>0</v>
      </c>
      <c r="DO106" s="743">
        <f t="shared" si="224"/>
        <v>0</v>
      </c>
      <c r="DP106" s="535">
        <f>(VLOOKUP(Sheet1!DC104,hhdcap_wcm,4)-(((VLOOKUP(Sheet1!DC104,hhdcap_wcm,3)-Sheet1!DC104)/(VLOOKUP(Sheet1!DC104,hhdcap_wcm,3)-VLOOKUP(Sheet1!DC104,hhdcap_wcm,1)))*(VLOOKUP(Sheet1!DC104,hhdcap_wcm,4)-VLOOKUP(Sheet1!DC104,hhdcap_wcm,2))))</f>
        <v>24634.300000062678</v>
      </c>
      <c r="DQ106" s="535">
        <f t="shared" si="225"/>
        <v>262.8000000001739</v>
      </c>
      <c r="DR106" s="535">
        <f t="shared" si="226"/>
        <v>132.52647503790917</v>
      </c>
      <c r="DS106" s="535">
        <f>Sheet1!EA104*AFtoMG</f>
        <v>0</v>
      </c>
      <c r="DT106" s="535">
        <f>Sheet1!EB104*AFtoMG</f>
        <v>0</v>
      </c>
      <c r="DU106" s="535">
        <f>Sheet1!EC104*AFtoMG</f>
        <v>0</v>
      </c>
      <c r="DV106" s="535">
        <f>Sheet1!ED104*AFtoMG</f>
        <v>0</v>
      </c>
      <c r="DW106" s="535">
        <f t="shared" si="227"/>
        <v>0</v>
      </c>
      <c r="DX106" s="535">
        <f t="shared" si="228"/>
        <v>0</v>
      </c>
      <c r="DY106" s="535">
        <f t="shared" si="229"/>
        <v>2643.4958617642651</v>
      </c>
      <c r="DZ106" s="535">
        <f t="shared" si="230"/>
        <v>8110.2453038927652</v>
      </c>
      <c r="EA106" s="535"/>
      <c r="EB106" s="521">
        <f>IF(OR(B106&lt;FV106,B106&gt;FW106),(MIN(BF106+BY106+CT106+MAX(Sheet1!AA104+AQ106-73,0),K106)),0)</f>
        <v>10.7</v>
      </c>
      <c r="EC106" s="535"/>
      <c r="ED106" s="535">
        <f t="shared" si="231"/>
        <v>10.7</v>
      </c>
      <c r="EE106" s="535"/>
      <c r="EF106" s="535">
        <f>Sheet1!EH104+Sheet1!EI104+Sheet1!EJ104+Sheet1!EK104</f>
        <v>10.5</v>
      </c>
      <c r="EG106" s="1019">
        <f t="shared" si="295"/>
        <v>16.243500000000001</v>
      </c>
      <c r="EH106" s="521">
        <f t="shared" si="232"/>
        <v>0</v>
      </c>
      <c r="EI106" s="535">
        <f>IF(Sheet1!ET104=1,SUM('Calculations II'!AT106:BA106)+'Calculations II'!BC106+Sheet1!BV104+'Calculations II'!BE106+AP106,'Calculations II'!BK106)</f>
        <v>42.250508000000004</v>
      </c>
      <c r="EJ106" s="535">
        <f ca="1">EI106+'Calculations II'!D106+'Calculations II'!E106+'Calculations II'!O106</f>
        <v>42.456889352197869</v>
      </c>
      <c r="EK106" s="535"/>
      <c r="EL106" s="535"/>
      <c r="EM106" s="535">
        <f t="shared" si="233"/>
        <v>42830</v>
      </c>
      <c r="EN106" s="535">
        <f t="shared" si="234"/>
        <v>53.94</v>
      </c>
      <c r="EO106" s="535">
        <f t="shared" si="235"/>
        <v>83.445179999999993</v>
      </c>
      <c r="EP106" s="535">
        <v>0</v>
      </c>
      <c r="EQ106" s="535">
        <v>0</v>
      </c>
      <c r="ER106" s="535">
        <v>0</v>
      </c>
      <c r="ES106" s="521">
        <f t="shared" si="257"/>
        <v>0.41478173123150686</v>
      </c>
      <c r="ET106" s="535">
        <f>-(VLOOKUP(Sheet1!BQ104,Lookup!$O$4:$Q$262,2)-VLOOKUP(Sheet1!BQ103,Lookup!$O$4:$Q$262,2))/1000000</f>
        <v>0.1382285625353977</v>
      </c>
      <c r="EU106" s="535">
        <f>-(VLOOKUP(Sheet1!BR104,Lookup!$O$4:$Q$262,3)-VLOOKUP(Sheet1!BR103,Lookup!$O$4:$Q$262,3))/1000000</f>
        <v>0.27655316869610919</v>
      </c>
      <c r="EV106" s="535"/>
      <c r="EW106" s="535"/>
      <c r="EX106" s="535"/>
      <c r="EY106" s="535"/>
      <c r="EZ106" s="535"/>
      <c r="FA106" s="535"/>
      <c r="FB106" s="535"/>
      <c r="FC106" s="535"/>
      <c r="FD106" s="567" t="e">
        <f t="shared" si="236"/>
        <v>#N/A</v>
      </c>
      <c r="FE106" s="567" t="e">
        <f t="shared" si="237"/>
        <v>#N/A</v>
      </c>
      <c r="FF106" s="568" t="e">
        <f t="shared" si="238"/>
        <v>#N/A</v>
      </c>
      <c r="FG106" s="569" t="s">
        <v>656</v>
      </c>
      <c r="FH106" s="569" t="s">
        <v>656</v>
      </c>
      <c r="FI106" s="567" t="e">
        <v>#N/A</v>
      </c>
      <c r="FJ106" s="567" t="e">
        <v>#N/A</v>
      </c>
      <c r="FK106" s="535"/>
      <c r="FL106" s="1015">
        <v>0</v>
      </c>
      <c r="FM106" s="535"/>
      <c r="FN106" s="535"/>
      <c r="FO106" s="535">
        <f>O106+((Sheet1!CS104)*GPMtoMGD)</f>
        <v>52.83</v>
      </c>
      <c r="FP106" s="535">
        <f>IF(Sheet1!AA104+AQ106&lt;=Calculation!N106,AQ106,Calculation!N106-Sheet1!AA104)</f>
        <v>16.3</v>
      </c>
      <c r="FQ106" s="535">
        <f>(Sheet1!BP104+Sheet1!BO104)/694.4</f>
        <v>1.2448156682027649</v>
      </c>
      <c r="FR106" s="541"/>
      <c r="FS106" s="541"/>
      <c r="FT106" s="541"/>
      <c r="FU106" s="541"/>
      <c r="FV106" s="1109">
        <f t="shared" si="258"/>
        <v>42918</v>
      </c>
      <c r="FW106" s="1109">
        <f t="shared" si="259"/>
        <v>43027</v>
      </c>
      <c r="FX106" s="541"/>
      <c r="FY106" s="541">
        <f>Sheet1!DA104-Sheet1!CZ104-Sheet1!AE104</f>
        <v>783.27198999999996</v>
      </c>
      <c r="FZ106" s="535">
        <f t="shared" si="296"/>
        <v>0.43000856739328958</v>
      </c>
      <c r="GA106" s="535"/>
      <c r="GB106" s="535" t="str">
        <f t="shared" si="260"/>
        <v>n</v>
      </c>
      <c r="GC106" s="539">
        <f t="shared" si="261"/>
        <v>42782</v>
      </c>
      <c r="GD106" s="1109">
        <f t="shared" si="262"/>
        <v>42904</v>
      </c>
      <c r="GE106" s="535">
        <f t="shared" si="280"/>
        <v>6520</v>
      </c>
      <c r="GF106" s="1109">
        <f t="shared" si="263"/>
        <v>42909</v>
      </c>
      <c r="GG106" s="535">
        <f t="shared" si="308"/>
        <v>3260</v>
      </c>
      <c r="GH106" s="539">
        <f t="shared" si="264"/>
        <v>43040</v>
      </c>
      <c r="GJ106" s="521">
        <f t="shared" si="265"/>
        <v>0</v>
      </c>
      <c r="GK106" s="535" t="str">
        <f t="shared" si="239"/>
        <v/>
      </c>
      <c r="GL106" s="535">
        <f t="shared" si="266"/>
        <v>0</v>
      </c>
      <c r="GM106" s="535" t="str">
        <f t="shared" si="267"/>
        <v/>
      </c>
      <c r="GN106" s="535">
        <f>IF(GK106="P",Lookup!$M$12,IF(GK106="PP",Lookup!$M$13,IF(GK106="PPP",Lookup!$M$14,IF(GK106="T",Lookup!$M$15,IF(GK106="TP",Lookup!$M$16,IF(GK106="TPP",Lookup!$M$17,IF(GK106="TPPP",Lookup!$M$18,0)))))))*GJ106</f>
        <v>0</v>
      </c>
      <c r="GO106" s="535">
        <f t="shared" si="268"/>
        <v>0</v>
      </c>
      <c r="GP106" s="535">
        <f t="shared" si="240"/>
        <v>4048.9418666666652</v>
      </c>
      <c r="GQ106" s="535">
        <f t="shared" si="279"/>
        <v>1319.7333333333329</v>
      </c>
      <c r="GR106" s="535"/>
      <c r="GS106" s="535">
        <f t="shared" si="269"/>
        <v>0</v>
      </c>
      <c r="GT106" s="535" t="str">
        <f t="shared" si="270"/>
        <v/>
      </c>
      <c r="GU106" s="535">
        <f>IF(GK106="P",Lookup!$N$12,IF(GK106="PP",Lookup!$N$13,IF(GK106="PPP",Lookup!$N$14,IF(GK106="T",Lookup!$N$15,IF(GK106="TP",Lookup!$N$16,IF(GK106="TPP",Lookup!$N$17,IF(GK106="TPPP",Lookup!$N$18,0)))))))*GJ106</f>
        <v>0</v>
      </c>
      <c r="GV106" s="535">
        <f t="shared" si="271"/>
        <v>0</v>
      </c>
      <c r="GW106" s="535">
        <f t="shared" si="241"/>
        <v>1735.5974177352246</v>
      </c>
      <c r="GX106" s="535">
        <f t="shared" si="276"/>
        <v>565.70971894889976</v>
      </c>
      <c r="GY106" s="535"/>
      <c r="GZ106" s="535">
        <f t="shared" si="272"/>
        <v>0</v>
      </c>
      <c r="HA106" s="535" t="str">
        <f t="shared" si="273"/>
        <v/>
      </c>
      <c r="HB106" s="535">
        <f>IF(GK106="P",Lookup!$N$12,IF(GK106="PP",Lookup!$N$13,IF(GK106="PPP",Lookup!$N$14,IF(GK106="T",Lookup!$N$15,IF(GK106="TP",Lookup!$N$16,IF(GK106="TPP",Lookup!$N$17,IF(GK106="TPPP",Lookup!$N$18,0)))))))*GJ106</f>
        <v>0</v>
      </c>
      <c r="HC106" s="521">
        <f t="shared" si="242"/>
        <v>0</v>
      </c>
      <c r="HD106" s="535">
        <f t="shared" si="243"/>
        <v>1415.8825123549127</v>
      </c>
      <c r="HE106" s="535">
        <f t="shared" si="277"/>
        <v>461.50016699964561</v>
      </c>
      <c r="HF106" s="535"/>
      <c r="HG106" s="535">
        <f t="shared" si="274"/>
        <v>0</v>
      </c>
      <c r="HH106" s="535" t="str">
        <f t="shared" si="275"/>
        <v/>
      </c>
      <c r="HI106" s="535">
        <f>IF(GK106="P",Lookup!$N$12,IF(GK106="PP",Lookup!$N$13,IF(GK106="PPP",Lookup!$N$14,IF(GK106="T",Lookup!$N$15,IF(GK106="TP",Lookup!$N$16,IF(GK106="TPP",Lookup!$N$17,IF(GK106="TPPP",Lookup!$N$18,0)))))))*GJ106</f>
        <v>0</v>
      </c>
      <c r="HJ106" s="521">
        <f t="shared" si="244"/>
        <v>0</v>
      </c>
      <c r="HK106" s="535">
        <f t="shared" si="245"/>
        <v>909.82350713596406</v>
      </c>
      <c r="HL106" s="535">
        <f t="shared" si="278"/>
        <v>296.55264248238723</v>
      </c>
      <c r="HM106" s="535"/>
      <c r="HN106" s="541"/>
      <c r="HO106" s="541"/>
      <c r="HP106" s="541"/>
      <c r="HQ106" s="541">
        <f>IF(AND(B106&gt;=$FV$4,B106&lt;=$FW$4),MAX(110/1.02+$HQ$6+MIN(113/1.02,G106),IF($HV$6-(Sheet1!DA104-Sheet1!DB104)+MIN(113/1.02,G106)&lt;G106+FL106,$HV$6-(Sheet1!DA104-Sheet1!DB104)+MIN(113/1.02,G106),G106+FL106)),MIN(110/1.02+$HQ$6+113/1.02,G106))</f>
        <v>218.62745098039215</v>
      </c>
      <c r="HR106" s="541">
        <f t="shared" si="297"/>
        <v>223</v>
      </c>
      <c r="HS106" s="541">
        <f>HR106+(Sheet1!DA104-Sheet1!DB104)</f>
        <v>987</v>
      </c>
      <c r="HT106" s="541">
        <f t="shared" si="298"/>
        <v>65.175109999999989</v>
      </c>
      <c r="HU106" s="541">
        <f t="shared" si="299"/>
        <v>921.82488999999998</v>
      </c>
      <c r="HV106" s="541">
        <f t="shared" si="300"/>
        <v>0</v>
      </c>
      <c r="HW106" s="533" t="str">
        <f t="shared" si="301"/>
        <v/>
      </c>
      <c r="HX106" s="541">
        <f t="shared" si="302"/>
        <v>1470.372549019608</v>
      </c>
      <c r="HY106" s="541">
        <f>Sheet1!CZ104</f>
        <v>1689</v>
      </c>
      <c r="HZ106" s="541">
        <f t="shared" si="303"/>
        <v>0</v>
      </c>
      <c r="IA106" s="541">
        <f t="shared" si="304"/>
        <v>65.175109999999989</v>
      </c>
      <c r="IB106" s="541">
        <f t="shared" si="305"/>
        <v>1689</v>
      </c>
      <c r="IC106" s="1019" t="str">
        <f t="shared" si="306"/>
        <v/>
      </c>
      <c r="ID106" s="541">
        <f t="shared" si="307"/>
        <v>1623.8248900000001</v>
      </c>
      <c r="IE106" s="541">
        <f>Sheet1!DB104</f>
        <v>1790</v>
      </c>
      <c r="IF106" s="533">
        <f>Sheet1!DA104</f>
        <v>2554</v>
      </c>
      <c r="IH106" s="541">
        <f>IF(AND($B106&gt;=$GC106,$B106&lt;=$GH106,$DR106&lt;0)+N("only adjusted when pool is drawn down during storage season"),Sheet1!$DB104+$DR106+N("Palmer minus all storage release"),Sheet1!$DB104)</f>
        <v>1790</v>
      </c>
      <c r="II106" s="541">
        <f>IF(AND($B106&gt;=$GC106,$B106&lt;=$GH106,$DR106&lt;0)+N("only adjusted when pool is drawn down during storage season"),Sheet1!$DA104+$DR106+N("Auburn minus all storage release"),Sheet1!$DA104)</f>
        <v>2554</v>
      </c>
    </row>
    <row r="107" spans="1:243" x14ac:dyDescent="0.25">
      <c r="A107" s="553" t="s">
        <v>7</v>
      </c>
      <c r="B107" s="531">
        <v>42831</v>
      </c>
      <c r="C107" s="536">
        <v>0</v>
      </c>
      <c r="D107" s="506">
        <f t="shared" si="247"/>
        <v>300</v>
      </c>
      <c r="E107" s="506">
        <f t="shared" si="248"/>
        <v>250</v>
      </c>
      <c r="F107" s="506">
        <v>250</v>
      </c>
      <c r="G107" s="535">
        <f>DR107+Sheet1!CZ105</f>
        <v>1862.1633888058436</v>
      </c>
      <c r="H107" s="1074">
        <f t="shared" si="281"/>
        <v>1022.478984704</v>
      </c>
      <c r="I107" s="534">
        <f>IF(Sheet1!DA105&gt;=E107,(Sheet1!DA105-E107+P107)*CFStoMGD,0)</f>
        <v>1548.0021847039998</v>
      </c>
      <c r="J107" s="995">
        <f>IF(Sheet1!DB105&gt;=D107,(Sheet1!DB105-D107+P107)*CFStoMGD,0)</f>
        <v>1022.478984704</v>
      </c>
      <c r="K107" s="818">
        <f t="shared" si="282"/>
        <v>64.64</v>
      </c>
      <c r="L107" s="535">
        <f>Sheet1!AA105+Sheet1!AB105-Sheet1!L105+(Sheet1!DA105-F107)*CFStoMGD-S107-T107-U107</f>
        <v>1483.3632</v>
      </c>
      <c r="M107" s="535">
        <f t="shared" ref="M107:M170" si="309">1.02*CFStoMGD*G107</f>
        <v>1227.7764628145794</v>
      </c>
      <c r="N107" s="824">
        <f>IF(Sheet1!DA105&gt;=F107,MIN(113*CFStoMGD,MIN(MAX(L107,0),MAX(M107,0))),0)</f>
        <v>73.043199999999999</v>
      </c>
      <c r="O107" s="538">
        <f>Sheet1!AA105+Sheet1!AB105</f>
        <v>52.88</v>
      </c>
      <c r="P107" s="538">
        <f t="shared" ref="P107:P170" si="310">AE107+AF107</f>
        <v>81.805360000000007</v>
      </c>
      <c r="Q107" s="812">
        <f t="shared" si="283"/>
        <v>42.42</v>
      </c>
      <c r="R107" s="812">
        <f t="shared" si="249"/>
        <v>10.440672579453068</v>
      </c>
      <c r="S107" s="812">
        <f t="shared" si="250"/>
        <v>10.459999999999999</v>
      </c>
      <c r="T107" s="812">
        <f t="shared" si="251"/>
        <v>54.18</v>
      </c>
      <c r="U107" s="812">
        <f t="shared" si="284"/>
        <v>0</v>
      </c>
      <c r="V107" s="812"/>
      <c r="W107" s="812">
        <f t="shared" si="252"/>
        <v>54.199327420546936</v>
      </c>
      <c r="X107" s="812">
        <f t="shared" si="253"/>
        <v>64.64</v>
      </c>
      <c r="Y107" s="812" t="str">
        <f t="shared" si="254"/>
        <v>FALSE</v>
      </c>
      <c r="Z107" s="812">
        <f t="shared" si="255"/>
        <v>52.88</v>
      </c>
      <c r="AA107" s="812">
        <f t="shared" si="256"/>
        <v>52.88</v>
      </c>
      <c r="AB107" s="1059">
        <f t="shared" si="285"/>
        <v>65.623739999999998</v>
      </c>
      <c r="AC107" s="538">
        <f>Sheet1!Y105*MGDtoCFS</f>
        <v>39.959009999999992</v>
      </c>
      <c r="AD107" s="538">
        <f>Sheet1!Z105*MGDtoCFS</f>
        <v>41.768999999999998</v>
      </c>
      <c r="AE107" s="538">
        <f>Sheet1!AA105*MGDtoCFS</f>
        <v>40.020890000000001</v>
      </c>
      <c r="AF107" s="538">
        <f>Sheet1!AB105*MGDtoCFS</f>
        <v>41.784469999999999</v>
      </c>
      <c r="AG107" s="538">
        <f>Sheet1!L105*MGDtoCFS</f>
        <v>0</v>
      </c>
      <c r="AH107" s="521">
        <f t="shared" ref="AH107:AH170" si="311">AU107+BN107+CI107+DB107</f>
        <v>0</v>
      </c>
      <c r="AI107" s="1059">
        <f t="shared" ref="AI107:AI170" si="312">AH107*MGDtoCFS</f>
        <v>0</v>
      </c>
      <c r="AJ107" s="535">
        <f t="shared" ref="AJ107:AJ170" si="313">IF(B107&gt;=GC107,IF(B107&lt;=GD107,K107-EB107,0),0)</f>
        <v>54.199327420546936</v>
      </c>
      <c r="AK107" s="535">
        <f t="shared" ref="AK107:AK170" si="314">AJ107*MGDtoCFS</f>
        <v>83.846359519586102</v>
      </c>
      <c r="AL107" s="535">
        <f>(VLOOKUP(Sheet1!DC105,hhdcap_wcm,4)-(((VLOOKUP(Sheet1!DC105,hhdcap_wcm,3)-Sheet1!DC105)/(VLOOKUP(Sheet1!DC105,hhdcap_wcm,3)-VLOOKUP(Sheet1!DC105,hhdcap_wcm,1)))*(VLOOKUP(Sheet1!DC105,hhdcap_wcm,4)-VLOOKUP(Sheet1!DC105,hhdcap_wcm,2))))</f>
        <v>24975.700000064666</v>
      </c>
      <c r="AM107" s="535">
        <f t="shared" ref="AM107:AM170" si="315">AL107-AL106</f>
        <v>341.40000000198779</v>
      </c>
      <c r="AN107" s="1035">
        <f t="shared" ref="AN107:AN170" si="316">(IF(AND(B107&gt;=GC107,B107&lt;GF107),MIN(BB107+BU107+CP107+DI107,GE107),IF(B107=GF107,GG107,IF(AND(B107&gt;GF107,B107&lt;GH107),BB107+BU107+CP107+DI107,IF(B107&gt;=GH107,0,0)))))</f>
        <v>2697.6951891848125</v>
      </c>
      <c r="AO107" s="535">
        <f t="shared" ref="AO107:AO170" si="317">AN107*MGtoAF</f>
        <v>8276.5288404190051</v>
      </c>
      <c r="AP107" s="535">
        <f>Sheet1!BA105+Sheet1!BB105+Sheet1!BN105+CD107</f>
        <v>16.600000000000001</v>
      </c>
      <c r="AQ107" s="535">
        <f>Sheet1!BN105+(DO107*Sheet1!BN105)</f>
        <v>16.569327420546934</v>
      </c>
      <c r="AR107" s="535">
        <f>Sheet1!BA105+CD107</f>
        <v>0</v>
      </c>
      <c r="AS107" s="535">
        <f>Sheet1!BA105+Sheet1!BB105+CD107</f>
        <v>0</v>
      </c>
      <c r="AT107" s="649">
        <f>0</f>
        <v>0</v>
      </c>
      <c r="AU107" s="535">
        <f>IF(EB107&lt;K107,0,MAX(Sheet1!AA105+AQ107-15/36*K107-N107,Sheet1!EH105,0))</f>
        <v>0</v>
      </c>
      <c r="AV107" s="535">
        <f>IF(OR(B107&gt;=GD107,B107&lt;GC107),0,15/36*K107-MAX(0,64.6-(137.6-(Sheet1!AA105+Sheet1!AB105))))</f>
        <v>26.933333333333334</v>
      </c>
      <c r="AW107" s="1029"/>
      <c r="AX107" s="649"/>
      <c r="AY107" s="649">
        <f t="shared" si="286"/>
        <v>0</v>
      </c>
      <c r="AZ107" s="649">
        <f t="shared" si="287"/>
        <v>0</v>
      </c>
      <c r="BA107" s="1059">
        <f t="shared" si="288"/>
        <v>0</v>
      </c>
      <c r="BB107" s="1019">
        <f t="shared" ref="BB107:BB170" si="318">GO107+GQ107</f>
        <v>1346.6666666666663</v>
      </c>
      <c r="BC107" s="1041">
        <f t="shared" si="289"/>
        <v>26.933333333333334</v>
      </c>
      <c r="BD107" s="1019">
        <f ca="1">IF(B107&gt;Summary!$A$1,#N/A,BB107*MGtoAF)</f>
        <v>4131.5733333333319</v>
      </c>
      <c r="BE107" s="535">
        <f>Sheet1!BG105+Sheet1!BH105+Sheet1!BI105-BM107</f>
        <v>1.01</v>
      </c>
      <c r="BF107" s="535">
        <f t="shared" ref="BF107:BF170" si="319">BE107+(DO107*BE107)</f>
        <v>1.0081337767923133</v>
      </c>
      <c r="BG107" s="535">
        <f>IF(Sheet1!EP105="FM",BM107,0)</f>
        <v>0</v>
      </c>
      <c r="BH107" s="535">
        <f t="shared" ref="BH107:BH170" si="320">BG107+(DO107*BG107)</f>
        <v>0</v>
      </c>
      <c r="BI107" s="535">
        <f>IF(Sheet1!EP105="OTHER",BM107,0)</f>
        <v>0</v>
      </c>
      <c r="BJ107" s="535">
        <f t="shared" ref="BJ107:BJ170" si="321">BI107+(DO107*BI107)</f>
        <v>0</v>
      </c>
      <c r="BK107" s="535">
        <f t="shared" ref="BK107:BK170" si="322">MAX(BE107,BG107,BI107)</f>
        <v>1.01</v>
      </c>
      <c r="BL107" s="535">
        <f t="shared" ref="BL107:BL170" si="323">MAX(BF107,BH107,BJ107)</f>
        <v>1.0081337767923133</v>
      </c>
      <c r="BM107" s="535">
        <f>IF(OR(Sheet1!EP105="FM", Sheet1!EP105="OTHER"),SUM(Sheet1!BG105:'Sheet1'!BI105),0)</f>
        <v>0</v>
      </c>
      <c r="BN107" s="521">
        <f>IF(AND($B107&gt;=$FV107,$B107&lt;=$FW107),MAX(BF107,Sheet1!EI105,0),MAX(BF107-(7/36)*$K107,0))</f>
        <v>0</v>
      </c>
      <c r="BO107" s="535">
        <f t="shared" ref="BO107:BO170" si="324">IF(B107&gt;=GC107,IF(B107&lt;=GD107,(7/36)*K107-BF107,0),0)</f>
        <v>11.560755112096576</v>
      </c>
      <c r="BP107" s="521">
        <f t="shared" ref="BP107:BP170" si="325">MAX(BL107-BN107,0)</f>
        <v>1.0081337767923133</v>
      </c>
      <c r="BQ107" s="521">
        <f>IF(AND($O107&gt;0,Sheet1!EM105=1),(1-($O107-Sheet1!$L105)/$O107)*BL107,0)</f>
        <v>0</v>
      </c>
      <c r="BR107" s="521">
        <f>IF(AND(Sheet1!$L105=0,Sheet1!$L104=0, Calculation!BK107&lt;Sheet1!$EI105-0.1,Sheet1!$EI105=Sheet1!$EI104,Sheet1!$EI105=Sheet1!$EI106),BL107-BQ107,BL107-BQ107)</f>
        <v>1.0081337767923133</v>
      </c>
      <c r="BS107" s="1035" t="str">
        <f t="shared" si="290"/>
        <v/>
      </c>
      <c r="BT107" s="1035">
        <f t="shared" si="291"/>
        <v>12.568888888888889</v>
      </c>
      <c r="BU107" s="535">
        <f t="shared" ref="BU107:BU170" si="326">GV107+GX107</f>
        <v>577.27047406099632</v>
      </c>
      <c r="BV107" s="535"/>
      <c r="BW107" s="535">
        <f ca="1">IF(B107&gt;Summary!$A$1,#N/A,BU107*MGtoAF)</f>
        <v>1771.0658144191368</v>
      </c>
      <c r="BX107" s="535">
        <f>Sheet1!BC105+Sheet1!BD105+Sheet1!BE105+Sheet1!BF105-CG107-CH107</f>
        <v>2.99</v>
      </c>
      <c r="BY107" s="535">
        <f t="shared" ref="BY107:BY170" si="327">BX107+(DO107*BX107)</f>
        <v>2.9844752402069479</v>
      </c>
      <c r="BZ107" s="535">
        <f>IF(Sheet1!EQ105="FM",CH107,0)</f>
        <v>0</v>
      </c>
      <c r="CA107" s="535">
        <f t="shared" ref="CA107:CA170" si="328">BZ107+(DO107*BZ107)</f>
        <v>0</v>
      </c>
      <c r="CB107" s="535">
        <f>IF(Sheet1!EQ105="OTHER",CH107,0)</f>
        <v>0</v>
      </c>
      <c r="CC107" s="535">
        <f t="shared" ref="CC107:CC170" si="329">CB107+(DO107*CB107)</f>
        <v>0</v>
      </c>
      <c r="CD107" s="535">
        <f t="shared" ref="CD107:CD170" si="330">CG107</f>
        <v>0</v>
      </c>
      <c r="CE107" s="535">
        <f t="shared" ref="CE107:CE170" si="331">MAX(BX107,BZ107,CB107)</f>
        <v>2.99</v>
      </c>
      <c r="CF107" s="535">
        <f t="shared" ref="CF107:CF170" si="332">MAX(BY107,CA107, CC107)</f>
        <v>2.9844752402069479</v>
      </c>
      <c r="CG107" s="535">
        <f>IF(Sheet1!EQ105="CWA",SUM(Sheet1!BC105:'Sheet1'!BF105),0)</f>
        <v>0</v>
      </c>
      <c r="CH107" s="535">
        <f>IF(OR(Sheet1!EQ105="FM", Sheet1!EQ105="OTHER"),SUM(Sheet1!BC105:'Sheet1'!BF105),0)</f>
        <v>0</v>
      </c>
      <c r="CI107" s="521">
        <f>IF(AND($B107&gt;=$FV107,$B107&lt;=$FW107),MAX(CF107,Sheet1!EJ105,0),MAX(CF107-(7/36)*$K107,0))</f>
        <v>0</v>
      </c>
      <c r="CJ107" s="535">
        <f t="shared" ref="CJ107:CJ170" si="333">IF(B107&gt;=GC107,IF(B107&lt;=GD107,(7/36)*K107-BY107,0),0)</f>
        <v>9.5844136486819416</v>
      </c>
      <c r="CK107" s="521">
        <f t="shared" ref="CK107:CK170" si="334">MAX(CF107-CI107,0)</f>
        <v>2.9844752402069479</v>
      </c>
      <c r="CL107" s="521">
        <f>IF(AND($O107&gt;0,Sheet1!EN105=1),(1-($O107-Sheet1!$L105)/$O107)*CF107,0)</f>
        <v>0</v>
      </c>
      <c r="CM107" s="521">
        <f>IF(AND(Sheet1!$L105=0,Sheet1!$L104=0, Calculation!CE107&lt;Sheet1!EJ105-0.1,Sheet1!EJ105=Sheet1!EJ104,Sheet1!EJ105=Sheet1!EJ106),CF107-CL107,CF107-CL107)</f>
        <v>2.9844752402069479</v>
      </c>
      <c r="CN107" s="1040" t="str">
        <f t="shared" si="292"/>
        <v/>
      </c>
      <c r="CO107" s="1035">
        <f t="shared" si="293"/>
        <v>12.568888888888889</v>
      </c>
      <c r="CP107" s="535">
        <f t="shared" ref="CP107:CP170" si="335">HC107+HE107</f>
        <v>471.08458064832757</v>
      </c>
      <c r="CQ107" s="535"/>
      <c r="CR107" s="535">
        <f ca="1">IF(B107&gt;Summary!$A$1,#N/A,CP107*MGtoAF)</f>
        <v>1445.2874934290689</v>
      </c>
      <c r="CS107" s="535">
        <f>Sheet1!BK105+Sheet1!BL105+Sheet1!BM105-Sheet1!ER105-DA107</f>
        <v>6.46</v>
      </c>
      <c r="CT107" s="535">
        <f t="shared" ref="CT107:CT170" si="336">CS107+(DO107*CS107)</f>
        <v>6.4480635624538065</v>
      </c>
      <c r="CU107" s="535">
        <f>IF(Sheet1!ER105="FM",DA107,0)</f>
        <v>0</v>
      </c>
      <c r="CV107" s="535">
        <f t="shared" ref="CV107:CV170" si="337">CU107+(DO107*CU107)</f>
        <v>0</v>
      </c>
      <c r="CW107" s="535">
        <f>IF(Sheet1!ER105="OTHER",DA107,0)</f>
        <v>0</v>
      </c>
      <c r="CX107" s="535">
        <f t="shared" ref="CX107:CX170" si="338">CW107+(DO107*CW107)</f>
        <v>0</v>
      </c>
      <c r="CY107" s="535">
        <f t="shared" ref="CY107:CY170" si="339">MAX(CS107,CU107)</f>
        <v>6.46</v>
      </c>
      <c r="CZ107" s="535">
        <f t="shared" ref="CZ107:CZ170" si="340">MAX(CT107,CV107)</f>
        <v>6.4480635624538065</v>
      </c>
      <c r="DA107" s="535">
        <f>IF(OR(Sheet1!ER105="FM", Sheet1!ER105="OTHER"),SUM(Sheet1!BK105:'Sheet1'!BM105),0)</f>
        <v>0</v>
      </c>
      <c r="DB107" s="1011">
        <f>IF(AND($B107&gt;=$FV107,$B107&lt;=$FW107),MAX($CT107,Sheet1!EK105,0),MAX($CT107-(7/36)*$K107,0))</f>
        <v>0</v>
      </c>
      <c r="DC107" s="1012">
        <f t="shared" ref="DC107:DC170" si="341">IF(B107&gt;=GC107,IF(B107&lt;=GD107,(7/36)*K107-CT107,0),0)</f>
        <v>6.1208253264350825</v>
      </c>
      <c r="DD107" s="1011">
        <f t="shared" ref="DD107:DD170" si="342">MAX(CZ107-DB107,0)</f>
        <v>6.4480635624538065</v>
      </c>
      <c r="DE107" s="521">
        <f>IF(AND($O107&gt;0,Sheet1!EO105=1),(1-($O107-Sheet1!$L105)/$O107)*CZ107,0)</f>
        <v>0</v>
      </c>
      <c r="DF107" s="521">
        <f>IF(AND(Sheet1!$L105=0,Sheet1!$L104=0, Calculation!CY107&lt;Sheet1!$EK105-0.1,Sheet1!$EK105=Sheet1!$EK104,Sheet1!$EK105=Sheet1!$EK106),CZ107-DE107,CZ107-DE107)</f>
        <v>6.4480635624538065</v>
      </c>
      <c r="DG107" s="1040">
        <f t="shared" si="294"/>
        <v>12.568888888888889</v>
      </c>
      <c r="DH107" s="649">
        <f t="shared" ref="DH107:DH170" si="343">BK107+CE107+CY107</f>
        <v>10.46</v>
      </c>
      <c r="DI107" s="535">
        <f t="shared" ref="DI107:DI170" si="344">HJ107+HL107</f>
        <v>302.67346780882229</v>
      </c>
      <c r="DJ107" s="649">
        <f t="shared" ref="DJ107:DJ170" si="345">BL107+CF107+CZ107</f>
        <v>10.440672579453068</v>
      </c>
      <c r="DK107" s="535">
        <f ca="1">IF(B107&gt;Summary!$A$1,#N/A,DI107*MGtoAF)</f>
        <v>928.60219923746683</v>
      </c>
      <c r="DL107" s="649">
        <f t="shared" ref="DL107:DL170" si="346">CY107+CE107+BK107</f>
        <v>10.459999999999999</v>
      </c>
      <c r="DM107" s="535">
        <f t="shared" ref="DM107:DM170" si="347">DL107+AP107</f>
        <v>27.060000000000002</v>
      </c>
      <c r="DN107" s="535">
        <f>Sheet1!AB105-DM107</f>
        <v>-5.0000000000000711E-2</v>
      </c>
      <c r="DO107" s="743">
        <f t="shared" ref="DO107:DO170" si="348">IF(DM107=0,0,DN107/DM107)</f>
        <v>-1.8477457501848006E-3</v>
      </c>
      <c r="DP107" s="535">
        <f>(VLOOKUP(Sheet1!DC105,hhdcap_wcm,4)-(((VLOOKUP(Sheet1!DC105,hhdcap_wcm,3)-Sheet1!DC105)/(VLOOKUP(Sheet1!DC105,hhdcap_wcm,3)-VLOOKUP(Sheet1!DC105,hhdcap_wcm,1)))*(VLOOKUP(Sheet1!DC105,hhdcap_wcm,4)-VLOOKUP(Sheet1!DC105,hhdcap_wcm,2))))</f>
        <v>24975.700000064666</v>
      </c>
      <c r="DQ107" s="535">
        <f t="shared" ref="DQ107:DQ170" si="349">DP107-DP106</f>
        <v>341.40000000198779</v>
      </c>
      <c r="DR107" s="535">
        <f t="shared" ref="DR107:DR170" si="350">DQ107*AFtoCFS</f>
        <v>172.16338880584354</v>
      </c>
      <c r="DS107" s="535">
        <f>Sheet1!EA105*AFtoMG</f>
        <v>0</v>
      </c>
      <c r="DT107" s="535">
        <f>Sheet1!EB105*AFtoMG</f>
        <v>0</v>
      </c>
      <c r="DU107" s="535">
        <f>Sheet1!EC105*AFtoMG</f>
        <v>0</v>
      </c>
      <c r="DV107" s="535">
        <f>Sheet1!ED105*AFtoMG</f>
        <v>0</v>
      </c>
      <c r="DW107" s="535">
        <f t="shared" ref="DW107:DW170" si="351">SUM(DS107:DV107)</f>
        <v>0</v>
      </c>
      <c r="DX107" s="535">
        <f t="shared" ref="DX107:DX170" si="352">DW107*MGtoAF</f>
        <v>0</v>
      </c>
      <c r="DY107" s="535">
        <f t="shared" ref="DY107:DY170" si="353">AN107</f>
        <v>2697.6951891848125</v>
      </c>
      <c r="DZ107" s="535">
        <f t="shared" ref="DZ107:DZ170" si="354">DY107*MGtoAF</f>
        <v>8276.5288404190051</v>
      </c>
      <c r="EA107" s="535"/>
      <c r="EB107" s="521">
        <f>IF(OR(B107&lt;FV107,B107&gt;FW107),(MIN(BF107+BY107+CT107+MAX(Sheet1!AA105+AQ107-73,0),K107)),0)</f>
        <v>10.440672579453068</v>
      </c>
      <c r="EC107" s="535"/>
      <c r="ED107" s="535">
        <f t="shared" ref="ED107:ED170" si="355">CT107+BF107+BY107</f>
        <v>10.440672579453068</v>
      </c>
      <c r="EE107" s="535"/>
      <c r="EF107" s="535">
        <f>Sheet1!EH105+Sheet1!EI105+Sheet1!EJ105+Sheet1!EK105</f>
        <v>10.5</v>
      </c>
      <c r="EG107" s="1019">
        <f t="shared" si="295"/>
        <v>16.243500000000001</v>
      </c>
      <c r="EH107" s="521">
        <f t="shared" ref="EH107:EH170" si="356">EB107-BP107-CK107-DD107</f>
        <v>0</v>
      </c>
      <c r="EI107" s="535">
        <f>IF(Sheet1!ET105=1,SUM('Calculations II'!AT107:BA107)+'Calculations II'!BC107+Sheet1!BV105+'Calculations II'!BE107+AP107,'Calculations II'!BK107)</f>
        <v>43.599607420546931</v>
      </c>
      <c r="EJ107" s="535">
        <f ca="1">EI107+'Calculations II'!D107+'Calculations II'!E107+'Calculations II'!O107</f>
        <v>42.374414907046706</v>
      </c>
      <c r="EK107" s="535"/>
      <c r="EL107" s="535"/>
      <c r="EM107" s="535">
        <f t="shared" ref="EM107:EM170" si="357">B107</f>
        <v>42831</v>
      </c>
      <c r="EN107" s="535">
        <f t="shared" ref="EN107:EN170" si="358">AJ107-AH107</f>
        <v>54.199327420546936</v>
      </c>
      <c r="EO107" s="535">
        <f t="shared" ref="EO107:EO170" si="359">AK107-AI107</f>
        <v>83.846359519586102</v>
      </c>
      <c r="EP107" s="535">
        <v>0</v>
      </c>
      <c r="EQ107" s="535">
        <v>0</v>
      </c>
      <c r="ER107" s="535">
        <v>0</v>
      </c>
      <c r="ES107" s="521">
        <f t="shared" si="257"/>
        <v>1.38231764782767</v>
      </c>
      <c r="ET107" s="535">
        <f>-(VLOOKUP(Sheet1!BQ105,Lookup!$O$4:$Q$262,2)-VLOOKUP(Sheet1!BQ104,Lookup!$O$4:$Q$262,2))/1000000</f>
        <v>0.69104678146686405</v>
      </c>
      <c r="EU107" s="535">
        <f>-(VLOOKUP(Sheet1!BR105,Lookup!$O$4:$Q$262,3)-VLOOKUP(Sheet1!BR104,Lookup!$O$4:$Q$262,3))/1000000</f>
        <v>0.69127086636080592</v>
      </c>
      <c r="EV107" s="535"/>
      <c r="EW107" s="535"/>
      <c r="EX107" s="535"/>
      <c r="EY107" s="535"/>
      <c r="EZ107" s="535"/>
      <c r="FA107" s="535"/>
      <c r="FB107" s="535"/>
      <c r="FC107" s="535"/>
      <c r="FD107" s="567" t="e">
        <f t="shared" ref="FD107:FD170" si="360">VLOOKUP(FJ106,hhdelev_wcm,4) -(((VLOOKUP(FJ106,hhdelev_wcm,3)-FJ106)/(VLOOKUP(FJ106,hhdelev_wcm,3)-VLOOKUP(FJ106,hhdelev_wcm,1)))*(VLOOKUP(FJ106,hhdelev_wcm,4)-VLOOKUP(FJ106,hhdelev_wcm,2)))</f>
        <v>#N/A</v>
      </c>
      <c r="FE107" s="567" t="e">
        <f t="shared" ref="FE107:FE170" si="361">MAX((FE106-FI107*1.983),0)</f>
        <v>#N/A</v>
      </c>
      <c r="FF107" s="568" t="e">
        <f t="shared" ref="FF107:FF170" si="362">IF(DP107-AO107-FE107-1220&lt;0,0,DP107-AO107-FE107-1220)</f>
        <v>#N/A</v>
      </c>
      <c r="FG107" s="569" t="s">
        <v>656</v>
      </c>
      <c r="FH107" s="569" t="s">
        <v>656</v>
      </c>
      <c r="FI107" s="567" t="e">
        <v>#N/A</v>
      </c>
      <c r="FJ107" s="567" t="e">
        <v>#N/A</v>
      </c>
      <c r="FK107" s="535"/>
      <c r="FL107" s="1015">
        <v>0</v>
      </c>
      <c r="FM107" s="535"/>
      <c r="FN107" s="535"/>
      <c r="FO107" s="535">
        <f>O107+((Sheet1!CS105)*GPMtoMGD)</f>
        <v>52.88</v>
      </c>
      <c r="FP107" s="535">
        <f>IF(Sheet1!AA105+AQ107&lt;=Calculation!N107,AQ107,Calculation!N107-Sheet1!AA105)</f>
        <v>16.569327420546934</v>
      </c>
      <c r="FQ107" s="535">
        <f>(Sheet1!BP105+Sheet1!BO105)/694.4</f>
        <v>1.6152073732718892</v>
      </c>
      <c r="FR107" s="541"/>
      <c r="FS107" s="541"/>
      <c r="FT107" s="541"/>
      <c r="FU107" s="541"/>
      <c r="FV107" s="1109">
        <f t="shared" si="258"/>
        <v>42918</v>
      </c>
      <c r="FW107" s="1109">
        <f t="shared" si="259"/>
        <v>43027</v>
      </c>
      <c r="FX107" s="541"/>
      <c r="FY107" s="541">
        <f>Sheet1!DA105-Sheet1!CZ105-Sheet1!AE105</f>
        <v>791.19464000000005</v>
      </c>
      <c r="FZ107" s="535">
        <f t="shared" si="296"/>
        <v>0.42487928006541487</v>
      </c>
      <c r="GA107" s="535"/>
      <c r="GB107" s="535" t="str">
        <f t="shared" si="260"/>
        <v>n</v>
      </c>
      <c r="GC107" s="539">
        <f t="shared" si="261"/>
        <v>42782</v>
      </c>
      <c r="GD107" s="1109">
        <f t="shared" si="262"/>
        <v>42904</v>
      </c>
      <c r="GE107" s="535">
        <f t="shared" si="280"/>
        <v>6520</v>
      </c>
      <c r="GF107" s="1109">
        <f t="shared" si="263"/>
        <v>42909</v>
      </c>
      <c r="GG107" s="535">
        <f t="shared" si="308"/>
        <v>3260</v>
      </c>
      <c r="GH107" s="539">
        <f t="shared" si="264"/>
        <v>43040</v>
      </c>
      <c r="GJ107" s="521">
        <f t="shared" si="265"/>
        <v>0</v>
      </c>
      <c r="GK107" s="535" t="str">
        <f t="shared" ref="GK107:GK170" si="363">CONCATENATE(GM107,HA107,GT107,HH107)</f>
        <v/>
      </c>
      <c r="GL107" s="535">
        <f t="shared" si="266"/>
        <v>0</v>
      </c>
      <c r="GM107" s="535" t="str">
        <f t="shared" si="267"/>
        <v/>
      </c>
      <c r="GN107" s="535">
        <f>IF(GK107="P",Lookup!$M$12,IF(GK107="PP",Lookup!$M$13,IF(GK107="PPP",Lookup!$M$14,IF(GK107="T",Lookup!$M$15,IF(GK107="TP",Lookup!$M$16,IF(GK107="TPP",Lookup!$M$17,IF(GK107="TPPP",Lookup!$M$18,0)))))))*GJ107</f>
        <v>0</v>
      </c>
      <c r="GO107" s="535">
        <f t="shared" si="268"/>
        <v>0</v>
      </c>
      <c r="GP107" s="535">
        <f t="shared" ref="GP107:GP170" si="364">GQ107*MGtoAF</f>
        <v>4131.5733333333319</v>
      </c>
      <c r="GQ107" s="535">
        <f t="shared" si="279"/>
        <v>1346.6666666666663</v>
      </c>
      <c r="GR107" s="535"/>
      <c r="GS107" s="535">
        <f t="shared" si="269"/>
        <v>0</v>
      </c>
      <c r="GT107" s="535" t="str">
        <f t="shared" si="270"/>
        <v/>
      </c>
      <c r="GU107" s="535">
        <f>IF(GK107="P",Lookup!$N$12,IF(GK107="PP",Lookup!$N$13,IF(GK107="PPP",Lookup!$N$14,IF(GK107="T",Lookup!$N$15,IF(GK107="TP",Lookup!$N$16,IF(GK107="TPP",Lookup!$N$17,IF(GK107="TPPP",Lookup!$N$18,0)))))))*GJ107</f>
        <v>0</v>
      </c>
      <c r="GV107" s="535">
        <f t="shared" si="271"/>
        <v>0</v>
      </c>
      <c r="GW107" s="535">
        <f t="shared" ref="GW107:GW170" si="365">GX107*MGtoAF</f>
        <v>1771.0658144191368</v>
      </c>
      <c r="GX107" s="535">
        <f t="shared" si="276"/>
        <v>577.27047406099632</v>
      </c>
      <c r="GY107" s="535"/>
      <c r="GZ107" s="535">
        <f t="shared" si="272"/>
        <v>0</v>
      </c>
      <c r="HA107" s="535" t="str">
        <f t="shared" si="273"/>
        <v/>
      </c>
      <c r="HB107" s="535">
        <f>IF(GK107="P",Lookup!$N$12,IF(GK107="PP",Lookup!$N$13,IF(GK107="PPP",Lookup!$N$14,IF(GK107="T",Lookup!$N$15,IF(GK107="TP",Lookup!$N$16,IF(GK107="TPP",Lookup!$N$17,IF(GK107="TPPP",Lookup!$N$18,0)))))))*GJ107</f>
        <v>0</v>
      </c>
      <c r="HC107" s="521">
        <f t="shared" ref="HC107:HC170" si="366">IF(HA107="P",MIN(HB107,7/36*GE107-HE107),0)</f>
        <v>0</v>
      </c>
      <c r="HD107" s="535">
        <f t="shared" ref="HD107:HD170" si="367">HE107*MGtoAF</f>
        <v>1445.2874934290689</v>
      </c>
      <c r="HE107" s="535">
        <f t="shared" si="277"/>
        <v>471.08458064832757</v>
      </c>
      <c r="HF107" s="535"/>
      <c r="HG107" s="535">
        <f t="shared" si="274"/>
        <v>0</v>
      </c>
      <c r="HH107" s="535" t="str">
        <f t="shared" si="275"/>
        <v/>
      </c>
      <c r="HI107" s="535">
        <f>IF(GK107="P",Lookup!$N$12,IF(GK107="PP",Lookup!$N$13,IF(GK107="PPP",Lookup!$N$14,IF(GK107="T",Lookup!$N$15,IF(GK107="TP",Lookup!$N$16,IF(GK107="TPP",Lookup!$N$17,IF(GK107="TPPP",Lookup!$N$18,0)))))))*GJ107</f>
        <v>0</v>
      </c>
      <c r="HJ107" s="521">
        <f t="shared" ref="HJ107:HJ170" si="368">IF(HH107="P",MIN(HI107,7/36*GE107-HL107),0)</f>
        <v>0</v>
      </c>
      <c r="HK107" s="535">
        <f t="shared" ref="HK107:HK170" si="369">HL107*MGtoAF</f>
        <v>928.60219923746683</v>
      </c>
      <c r="HL107" s="535">
        <f t="shared" si="278"/>
        <v>302.67346780882229</v>
      </c>
      <c r="HM107" s="535"/>
      <c r="HN107" s="541"/>
      <c r="HO107" s="541"/>
      <c r="HP107" s="541"/>
      <c r="HQ107" s="541">
        <f>IF(AND(B107&gt;=$FV$4,B107&lt;=$FW$4),MAX(110/1.02+$HQ$6+MIN(113/1.02,G107),IF($HV$6-(Sheet1!DA105-Sheet1!DB105)+MIN(113/1.02,G107)&lt;G107+FL107,$HV$6-(Sheet1!DA105-Sheet1!DB105)+MIN(113/1.02,G107),G107+FL107)),MIN(110/1.02+$HQ$6+113/1.02,G107))</f>
        <v>218.62745098039215</v>
      </c>
      <c r="HR107" s="541">
        <f t="shared" si="297"/>
        <v>223</v>
      </c>
      <c r="HS107" s="541">
        <f>HR107+(Sheet1!DA105-Sheet1!DB105)</f>
        <v>986</v>
      </c>
      <c r="HT107" s="541">
        <f t="shared" si="298"/>
        <v>65.623739999999998</v>
      </c>
      <c r="HU107" s="541">
        <f t="shared" si="299"/>
        <v>920.37626</v>
      </c>
      <c r="HV107" s="541">
        <f t="shared" si="300"/>
        <v>0</v>
      </c>
      <c r="HW107" s="533" t="str">
        <f t="shared" si="301"/>
        <v/>
      </c>
      <c r="HX107" s="541">
        <f t="shared" si="302"/>
        <v>1471.372549019608</v>
      </c>
      <c r="HY107" s="541">
        <f>Sheet1!CZ105</f>
        <v>1690</v>
      </c>
      <c r="HZ107" s="541">
        <f t="shared" si="303"/>
        <v>0</v>
      </c>
      <c r="IA107" s="541">
        <f t="shared" si="304"/>
        <v>65.623739999999998</v>
      </c>
      <c r="IB107" s="541">
        <f t="shared" si="305"/>
        <v>1690</v>
      </c>
      <c r="IC107" s="1019" t="str">
        <f t="shared" si="306"/>
        <v/>
      </c>
      <c r="ID107" s="541">
        <f t="shared" si="307"/>
        <v>1624.37626</v>
      </c>
      <c r="IE107" s="541">
        <f>Sheet1!DB105</f>
        <v>1800</v>
      </c>
      <c r="IF107" s="533">
        <f>Sheet1!DA105</f>
        <v>2563</v>
      </c>
      <c r="IH107" s="541">
        <f>IF(AND($B107&gt;=$GC107,$B107&lt;=$GH107,$DR107&lt;0)+N("only adjusted when pool is drawn down during storage season"),Sheet1!$DB105+$DR107+N("Palmer minus all storage release"),Sheet1!$DB105)</f>
        <v>1800</v>
      </c>
      <c r="II107" s="541">
        <f>IF(AND($B107&gt;=$GC107,$B107&lt;=$GH107,$DR107&lt;0)+N("only adjusted when pool is drawn down during storage season"),Sheet1!$DA105+$DR107+N("Auburn minus all storage release"),Sheet1!$DA105)</f>
        <v>2563</v>
      </c>
    </row>
    <row r="108" spans="1:243" x14ac:dyDescent="0.25">
      <c r="A108" s="553" t="s">
        <v>8</v>
      </c>
      <c r="B108" s="531">
        <v>42832</v>
      </c>
      <c r="C108" s="536">
        <v>0</v>
      </c>
      <c r="D108" s="506">
        <f t="shared" si="247"/>
        <v>300</v>
      </c>
      <c r="E108" s="506">
        <f t="shared" si="248"/>
        <v>250</v>
      </c>
      <c r="F108" s="506">
        <v>250</v>
      </c>
      <c r="G108" s="535">
        <f>DR108+Sheet1!CZ106</f>
        <v>2270.5698436724947</v>
      </c>
      <c r="H108" s="1074">
        <f t="shared" si="281"/>
        <v>964.22298623999984</v>
      </c>
      <c r="I108" s="534">
        <f>IF(Sheet1!DA106&gt;=E108,(Sheet1!DA106-E108+P108)*CFStoMGD,0)</f>
        <v>1429.6309862399999</v>
      </c>
      <c r="J108" s="995">
        <f>IF(Sheet1!DB106&gt;=D108,(Sheet1!DB106-D108+P108)*CFStoMGD,0)</f>
        <v>964.22298623999984</v>
      </c>
      <c r="K108" s="818">
        <f t="shared" si="282"/>
        <v>64.64</v>
      </c>
      <c r="L108" s="535">
        <f>Sheet1!AA106+Sheet1!AB106-Sheet1!L106+(Sheet1!DA106-F108)*CFStoMGD-S108-T108-U108</f>
        <v>1364.992</v>
      </c>
      <c r="M108" s="535">
        <f t="shared" si="309"/>
        <v>1497.0502738888986</v>
      </c>
      <c r="N108" s="824">
        <f>IF(Sheet1!DA106&gt;=F108,MIN(113*CFStoMGD,MIN(MAX(L108,0),MAX(M108,0))),0)</f>
        <v>73.043199999999999</v>
      </c>
      <c r="O108" s="538">
        <f>Sheet1!AA106+Sheet1!AB106</f>
        <v>52.8</v>
      </c>
      <c r="P108" s="538">
        <f t="shared" si="310"/>
        <v>81.681600000000003</v>
      </c>
      <c r="Q108" s="812">
        <f t="shared" si="283"/>
        <v>42.19</v>
      </c>
      <c r="R108" s="812">
        <f t="shared" si="249"/>
        <v>10.606071825249908</v>
      </c>
      <c r="S108" s="812">
        <f t="shared" si="250"/>
        <v>10.61</v>
      </c>
      <c r="T108" s="812">
        <f t="shared" si="251"/>
        <v>54.03</v>
      </c>
      <c r="U108" s="812">
        <f t="shared" si="284"/>
        <v>0</v>
      </c>
      <c r="V108" s="812"/>
      <c r="W108" s="812">
        <f t="shared" si="252"/>
        <v>54.033928174750095</v>
      </c>
      <c r="X108" s="812">
        <f t="shared" si="253"/>
        <v>64.64</v>
      </c>
      <c r="Y108" s="812" t="str">
        <f t="shared" si="254"/>
        <v>FALSE</v>
      </c>
      <c r="Z108" s="812">
        <f t="shared" si="255"/>
        <v>52.8</v>
      </c>
      <c r="AA108" s="812">
        <f t="shared" si="256"/>
        <v>52.8</v>
      </c>
      <c r="AB108" s="1059">
        <f t="shared" si="285"/>
        <v>65.267929999999993</v>
      </c>
      <c r="AC108" s="538">
        <f>Sheet1!Y106*MGDtoCFS</f>
        <v>40.020890000000001</v>
      </c>
      <c r="AD108" s="538">
        <f>Sheet1!Z106*MGDtoCFS</f>
        <v>41.614299999999993</v>
      </c>
      <c r="AE108" s="538">
        <f>Sheet1!AA106*MGDtoCFS</f>
        <v>39.912599999999998</v>
      </c>
      <c r="AF108" s="538">
        <f>Sheet1!AB106*MGDtoCFS</f>
        <v>41.768999999999998</v>
      </c>
      <c r="AG108" s="538">
        <f>Sheet1!L106*MGDtoCFS</f>
        <v>0</v>
      </c>
      <c r="AH108" s="521">
        <f t="shared" si="311"/>
        <v>0</v>
      </c>
      <c r="AI108" s="1059">
        <f t="shared" si="312"/>
        <v>0</v>
      </c>
      <c r="AJ108" s="535">
        <f t="shared" si="313"/>
        <v>54.033928174750095</v>
      </c>
      <c r="AK108" s="535">
        <f t="shared" si="314"/>
        <v>83.590486886338397</v>
      </c>
      <c r="AL108" s="535">
        <f>(VLOOKUP(Sheet1!DC106,hhdcap_wcm,4)-(((VLOOKUP(Sheet1!DC106,hhdcap_wcm,3)-Sheet1!DC106)/(VLOOKUP(Sheet1!DC106,hhdcap_wcm,3)-VLOOKUP(Sheet1!DC106,hhdcap_wcm,1)))*(VLOOKUP(Sheet1!DC106,hhdcap_wcm,4)-VLOOKUP(Sheet1!DC106,hhdcap_wcm,2))))</f>
        <v>25948.500000067223</v>
      </c>
      <c r="AM108" s="535">
        <f t="shared" si="315"/>
        <v>972.80000000255677</v>
      </c>
      <c r="AN108" s="1035">
        <f t="shared" si="316"/>
        <v>2751.7291173595627</v>
      </c>
      <c r="AO108" s="535">
        <f t="shared" si="317"/>
        <v>8442.3049320591381</v>
      </c>
      <c r="AP108" s="535">
        <f>Sheet1!BA106+Sheet1!BB106+Sheet1!BN106+CD108</f>
        <v>16.399999999999999</v>
      </c>
      <c r="AQ108" s="535">
        <f>Sheet1!BN106+(DO108*Sheet1!BN106)</f>
        <v>16.393928174750091</v>
      </c>
      <c r="AR108" s="535">
        <f>Sheet1!BA106+CD108</f>
        <v>0</v>
      </c>
      <c r="AS108" s="535">
        <f>Sheet1!BA106+Sheet1!BB106+CD108</f>
        <v>0</v>
      </c>
      <c r="AT108" s="649">
        <f>0</f>
        <v>0</v>
      </c>
      <c r="AU108" s="535">
        <f>IF(EB108&lt;K108,0,MAX(Sheet1!AA106+AQ108-15/36*K108-N108,Sheet1!EH106,0))</f>
        <v>0</v>
      </c>
      <c r="AV108" s="535">
        <f>IF(OR(B108&gt;=GD108,B108&lt;GC108),0,15/36*K108-MAX(0,64.6-(137.6-(Sheet1!AA106+Sheet1!AB106))))</f>
        <v>26.933333333333334</v>
      </c>
      <c r="AW108" s="1029"/>
      <c r="AX108" s="649"/>
      <c r="AY108" s="649">
        <f t="shared" si="286"/>
        <v>0</v>
      </c>
      <c r="AZ108" s="649">
        <f t="shared" si="287"/>
        <v>0</v>
      </c>
      <c r="BA108" s="1059">
        <f t="shared" si="288"/>
        <v>0</v>
      </c>
      <c r="BB108" s="1019">
        <f t="shared" si="318"/>
        <v>1373.5999999999997</v>
      </c>
      <c r="BC108" s="1041">
        <f t="shared" si="289"/>
        <v>26.933333333333334</v>
      </c>
      <c r="BD108" s="1019">
        <f ca="1">IF(B108&gt;Summary!$A$1,#N/A,BB108*MGtoAF)</f>
        <v>4214.2047999999995</v>
      </c>
      <c r="BE108" s="535">
        <f>Sheet1!BG106+Sheet1!BH106+Sheet1!BI106-BM108</f>
        <v>1.01</v>
      </c>
      <c r="BF108" s="535">
        <f t="shared" si="319"/>
        <v>1.009626064420585</v>
      </c>
      <c r="BG108" s="535">
        <f>IF(Sheet1!EP106="FM",BM108,0)</f>
        <v>0</v>
      </c>
      <c r="BH108" s="535">
        <f t="shared" si="320"/>
        <v>0</v>
      </c>
      <c r="BI108" s="535">
        <f>IF(Sheet1!EP106="OTHER",BM108,0)</f>
        <v>0</v>
      </c>
      <c r="BJ108" s="535">
        <f t="shared" si="321"/>
        <v>0</v>
      </c>
      <c r="BK108" s="535">
        <f t="shared" si="322"/>
        <v>1.01</v>
      </c>
      <c r="BL108" s="535">
        <f t="shared" si="323"/>
        <v>1.009626064420585</v>
      </c>
      <c r="BM108" s="535">
        <f>IF(OR(Sheet1!EP106="FM", Sheet1!EP106="OTHER"),SUM(Sheet1!BG106:'Sheet1'!BI106),0)</f>
        <v>0</v>
      </c>
      <c r="BN108" s="521">
        <f>IF(AND($B108&gt;=$FV108,$B108&lt;=$FW108),MAX(BF108,Sheet1!EI106,0),MAX(BF108-(7/36)*$K108,0))</f>
        <v>0</v>
      </c>
      <c r="BO108" s="535">
        <f t="shared" si="324"/>
        <v>11.559262824468304</v>
      </c>
      <c r="BP108" s="521">
        <f t="shared" si="325"/>
        <v>1.009626064420585</v>
      </c>
      <c r="BQ108" s="521">
        <f>IF(AND($O108&gt;0,Sheet1!EM106=1),(1-($O108-Sheet1!$L106)/$O108)*BL108,0)</f>
        <v>0</v>
      </c>
      <c r="BR108" s="521">
        <f>IF(AND(Sheet1!$L106=0,Sheet1!$L105=0, Calculation!BK108&lt;Sheet1!$EI106-0.1,Sheet1!$EI106=Sheet1!$EI105,Sheet1!$EI106=Sheet1!$EI107),BL108-BQ108,BL108-BQ108)</f>
        <v>1.009626064420585</v>
      </c>
      <c r="BS108" s="1035" t="str">
        <f t="shared" si="290"/>
        <v/>
      </c>
      <c r="BT108" s="1035">
        <f t="shared" si="291"/>
        <v>12.568888888888889</v>
      </c>
      <c r="BU108" s="535">
        <f t="shared" si="326"/>
        <v>588.82973688546463</v>
      </c>
      <c r="BV108" s="535"/>
      <c r="BW108" s="535">
        <f ca="1">IF(B108&gt;Summary!$A$1,#N/A,BU108*MGtoAF)</f>
        <v>1806.5296327646056</v>
      </c>
      <c r="BX108" s="535">
        <f>Sheet1!BC106+Sheet1!BD106+Sheet1!BE106+Sheet1!BF106-CG108-CH108</f>
        <v>3.16</v>
      </c>
      <c r="BY108" s="535">
        <f t="shared" si="327"/>
        <v>3.1588300629396522</v>
      </c>
      <c r="BZ108" s="535">
        <f>IF(Sheet1!EQ106="FM",CH108,0)</f>
        <v>0</v>
      </c>
      <c r="CA108" s="535">
        <f t="shared" si="328"/>
        <v>0</v>
      </c>
      <c r="CB108" s="535">
        <f>IF(Sheet1!EQ106="OTHER",CH108,0)</f>
        <v>0</v>
      </c>
      <c r="CC108" s="535">
        <f t="shared" si="329"/>
        <v>0</v>
      </c>
      <c r="CD108" s="535">
        <f t="shared" si="330"/>
        <v>0</v>
      </c>
      <c r="CE108" s="535">
        <f t="shared" si="331"/>
        <v>3.16</v>
      </c>
      <c r="CF108" s="535">
        <f t="shared" si="332"/>
        <v>3.1588300629396522</v>
      </c>
      <c r="CG108" s="535">
        <f>IF(Sheet1!EQ106="CWA",SUM(Sheet1!BC106:'Sheet1'!BF106),0)</f>
        <v>0</v>
      </c>
      <c r="CH108" s="535">
        <f>IF(OR(Sheet1!EQ106="FM", Sheet1!EQ106="OTHER"),SUM(Sheet1!BC106:'Sheet1'!BF106),0)</f>
        <v>0</v>
      </c>
      <c r="CI108" s="521">
        <f>IF(AND($B108&gt;=$FV108,$B108&lt;=$FW108),MAX(CF108,Sheet1!EJ106,0),MAX(CF108-(7/36)*$K108,0))</f>
        <v>0</v>
      </c>
      <c r="CJ108" s="535">
        <f t="shared" si="333"/>
        <v>9.4100588259492373</v>
      </c>
      <c r="CK108" s="521">
        <f t="shared" si="334"/>
        <v>3.1588300629396522</v>
      </c>
      <c r="CL108" s="521">
        <f>IF(AND($O108&gt;0,Sheet1!EN106=1),(1-($O108-Sheet1!$L106)/$O108)*CF108,0)</f>
        <v>0</v>
      </c>
      <c r="CM108" s="521">
        <f>IF(AND(Sheet1!$L106=0,Sheet1!$L105=0, Calculation!CE108&lt;Sheet1!EJ106-0.1,Sheet1!EJ106=Sheet1!EJ105,Sheet1!EJ106=Sheet1!EJ107),CF108-CL108,CF108-CL108)</f>
        <v>3.1588300629396522</v>
      </c>
      <c r="CN108" s="1040" t="str">
        <f t="shared" si="292"/>
        <v/>
      </c>
      <c r="CO108" s="1035">
        <f t="shared" si="293"/>
        <v>12.568888888888889</v>
      </c>
      <c r="CP108" s="535">
        <f t="shared" si="335"/>
        <v>480.49463947427682</v>
      </c>
      <c r="CQ108" s="535"/>
      <c r="CR108" s="535">
        <f ca="1">IF(B108&gt;Summary!$A$1,#N/A,CP108*MGtoAF)</f>
        <v>1474.1575539070814</v>
      </c>
      <c r="CS108" s="535">
        <f>Sheet1!BK106+Sheet1!BL106+Sheet1!BM106-Sheet1!ER106-DA108</f>
        <v>6.4399999999999995</v>
      </c>
      <c r="CT108" s="535">
        <f t="shared" si="336"/>
        <v>6.4376156978896706</v>
      </c>
      <c r="CU108" s="535">
        <f>IF(Sheet1!ER106="FM",DA108,0)</f>
        <v>0</v>
      </c>
      <c r="CV108" s="535">
        <f t="shared" si="337"/>
        <v>0</v>
      </c>
      <c r="CW108" s="535">
        <f>IF(Sheet1!ER106="OTHER",DA108,0)</f>
        <v>0</v>
      </c>
      <c r="CX108" s="535">
        <f t="shared" si="338"/>
        <v>0</v>
      </c>
      <c r="CY108" s="535">
        <f t="shared" si="339"/>
        <v>6.4399999999999995</v>
      </c>
      <c r="CZ108" s="535">
        <f t="shared" si="340"/>
        <v>6.4376156978896706</v>
      </c>
      <c r="DA108" s="535">
        <f>IF(OR(Sheet1!ER106="FM", Sheet1!ER106="OTHER"),SUM(Sheet1!BK106:'Sheet1'!BM106),0)</f>
        <v>0</v>
      </c>
      <c r="DB108" s="1011">
        <f>IF(AND($B108&gt;=$FV108,$B108&lt;=$FW108),MAX($CT108,Sheet1!EK106,0),MAX($CT108-(7/36)*$K108,0))</f>
        <v>0</v>
      </c>
      <c r="DC108" s="1012">
        <f t="shared" si="341"/>
        <v>6.1312731909992184</v>
      </c>
      <c r="DD108" s="1011">
        <f t="shared" si="342"/>
        <v>6.4376156978896706</v>
      </c>
      <c r="DE108" s="521">
        <f>IF(AND($O108&gt;0,Sheet1!EO106=1),(1-($O108-Sheet1!$L106)/$O108)*CZ108,0)</f>
        <v>0</v>
      </c>
      <c r="DF108" s="521">
        <f>IF(AND(Sheet1!$L106=0,Sheet1!$L105=0, Calculation!CY108&lt;Sheet1!$EK106-0.1,Sheet1!$EK106=Sheet1!$EK105,Sheet1!$EK106=Sheet1!$EK107),CZ108-DE108,CZ108-DE108)</f>
        <v>6.4376156978896706</v>
      </c>
      <c r="DG108" s="1040">
        <f t="shared" si="294"/>
        <v>12.568888888888889</v>
      </c>
      <c r="DH108" s="649">
        <f t="shared" si="343"/>
        <v>10.61</v>
      </c>
      <c r="DI108" s="535">
        <f t="shared" si="344"/>
        <v>308.80474099982149</v>
      </c>
      <c r="DJ108" s="649">
        <f t="shared" si="345"/>
        <v>10.606071825249908</v>
      </c>
      <c r="DK108" s="535">
        <f ca="1">IF(B108&gt;Summary!$A$1,#N/A,DI108*MGtoAF)</f>
        <v>947.4129453874524</v>
      </c>
      <c r="DL108" s="649">
        <f t="shared" si="346"/>
        <v>10.61</v>
      </c>
      <c r="DM108" s="535">
        <f t="shared" si="347"/>
        <v>27.009999999999998</v>
      </c>
      <c r="DN108" s="535">
        <f>Sheet1!AB106-DM108</f>
        <v>-9.9999999999980105E-3</v>
      </c>
      <c r="DO108" s="743">
        <f t="shared" si="348"/>
        <v>-3.7023324694550206E-4</v>
      </c>
      <c r="DP108" s="535">
        <f>(VLOOKUP(Sheet1!DC106,hhdcap_wcm,4)-(((VLOOKUP(Sheet1!DC106,hhdcap_wcm,3)-Sheet1!DC106)/(VLOOKUP(Sheet1!DC106,hhdcap_wcm,3)-VLOOKUP(Sheet1!DC106,hhdcap_wcm,1)))*(VLOOKUP(Sheet1!DC106,hhdcap_wcm,4)-VLOOKUP(Sheet1!DC106,hhdcap_wcm,2))))</f>
        <v>25948.500000067223</v>
      </c>
      <c r="DQ108" s="535">
        <f t="shared" si="349"/>
        <v>972.80000000255677</v>
      </c>
      <c r="DR108" s="535">
        <f t="shared" si="350"/>
        <v>490.56984367249453</v>
      </c>
      <c r="DS108" s="535">
        <f>Sheet1!EA106*AFtoMG</f>
        <v>0</v>
      </c>
      <c r="DT108" s="535">
        <f>Sheet1!EB106*AFtoMG</f>
        <v>0</v>
      </c>
      <c r="DU108" s="535">
        <f>Sheet1!EC106*AFtoMG</f>
        <v>0</v>
      </c>
      <c r="DV108" s="535">
        <f>Sheet1!ED106*AFtoMG</f>
        <v>0</v>
      </c>
      <c r="DW108" s="535">
        <f t="shared" si="351"/>
        <v>0</v>
      </c>
      <c r="DX108" s="535">
        <f t="shared" si="352"/>
        <v>0</v>
      </c>
      <c r="DY108" s="535">
        <f t="shared" si="353"/>
        <v>2751.7291173595627</v>
      </c>
      <c r="DZ108" s="535">
        <f t="shared" si="354"/>
        <v>8442.3049320591381</v>
      </c>
      <c r="EA108" s="535"/>
      <c r="EB108" s="521">
        <f>IF(OR(B108&lt;FV108,B108&gt;FW108),(MIN(BF108+BY108+CT108+MAX(Sheet1!AA106+AQ108-73,0),K108)),0)</f>
        <v>10.606071825249908</v>
      </c>
      <c r="EC108" s="535"/>
      <c r="ED108" s="535">
        <f t="shared" si="355"/>
        <v>10.606071825249908</v>
      </c>
      <c r="EE108" s="535"/>
      <c r="EF108" s="535">
        <f>Sheet1!EH106+Sheet1!EI106+Sheet1!EJ106+Sheet1!EK106</f>
        <v>11</v>
      </c>
      <c r="EG108" s="1019">
        <f t="shared" si="295"/>
        <v>17.016999999999999</v>
      </c>
      <c r="EH108" s="521">
        <f t="shared" si="356"/>
        <v>0</v>
      </c>
      <c r="EI108" s="535">
        <f>IF(Sheet1!ET106=1,SUM('Calculations II'!AT108:BA108)+'Calculations II'!BC108+Sheet1!BV106+'Calculations II'!BE108+AP108,'Calculations II'!BK108)</f>
        <v>44.94980217475009</v>
      </c>
      <c r="EJ108" s="535">
        <f ca="1">EI108+'Calculations II'!D108+'Calculations II'!E108+'Calculations II'!O108</f>
        <v>41.974502866368731</v>
      </c>
      <c r="EK108" s="535"/>
      <c r="EL108" s="535"/>
      <c r="EM108" s="535">
        <f t="shared" si="357"/>
        <v>42832</v>
      </c>
      <c r="EN108" s="535">
        <f t="shared" si="358"/>
        <v>54.033928174750095</v>
      </c>
      <c r="EO108" s="535">
        <f t="shared" si="359"/>
        <v>83.590486886338397</v>
      </c>
      <c r="EP108" s="535">
        <v>0</v>
      </c>
      <c r="EQ108" s="535">
        <v>0</v>
      </c>
      <c r="ER108" s="535">
        <v>0</v>
      </c>
      <c r="ES108" s="521">
        <f t="shared" si="257"/>
        <v>2.2110424380671789</v>
      </c>
      <c r="ET108" s="535">
        <f>-(VLOOKUP(Sheet1!BQ106,Lookup!$O$4:$Q$262,2)-VLOOKUP(Sheet1!BQ105,Lookup!$O$4:$Q$262,2))/1000000</f>
        <v>1.105341978018038</v>
      </c>
      <c r="EU108" s="535">
        <f>-(VLOOKUP(Sheet1!BR106,Lookup!$O$4:$Q$262,3)-VLOOKUP(Sheet1!BR105,Lookup!$O$4:$Q$262,3))/1000000</f>
        <v>1.1057004600491411</v>
      </c>
      <c r="EV108" s="535"/>
      <c r="EW108" s="535"/>
      <c r="EX108" s="535"/>
      <c r="EY108" s="535"/>
      <c r="EZ108" s="535"/>
      <c r="FA108" s="535"/>
      <c r="FB108" s="535"/>
      <c r="FC108" s="535"/>
      <c r="FD108" s="567" t="e">
        <f t="shared" si="360"/>
        <v>#N/A</v>
      </c>
      <c r="FE108" s="567" t="e">
        <f t="shared" si="361"/>
        <v>#N/A</v>
      </c>
      <c r="FF108" s="568" t="e">
        <f t="shared" si="362"/>
        <v>#N/A</v>
      </c>
      <c r="FG108" s="569" t="s">
        <v>656</v>
      </c>
      <c r="FH108" s="569" t="s">
        <v>656</v>
      </c>
      <c r="FI108" s="567" t="e">
        <v>#N/A</v>
      </c>
      <c r="FJ108" s="567" t="e">
        <v>#N/A</v>
      </c>
      <c r="FK108" s="535"/>
      <c r="FL108" s="1015">
        <v>0</v>
      </c>
      <c r="FM108" s="535"/>
      <c r="FN108" s="535"/>
      <c r="FO108" s="535">
        <f>O108+((Sheet1!CS106)*GPMtoMGD)</f>
        <v>52.8</v>
      </c>
      <c r="FP108" s="535">
        <f>IF(Sheet1!AA106+AQ108&lt;=Calculation!N108,AQ108,Calculation!N108-Sheet1!AA106)</f>
        <v>16.393928174750091</v>
      </c>
      <c r="FQ108" s="535">
        <f>(Sheet1!BP106+Sheet1!BO106)/694.4</f>
        <v>1.2763536866359446</v>
      </c>
      <c r="FR108" s="541"/>
      <c r="FS108" s="541"/>
      <c r="FT108" s="541"/>
      <c r="FU108" s="541"/>
      <c r="FV108" s="1109">
        <f t="shared" si="258"/>
        <v>42918</v>
      </c>
      <c r="FW108" s="1109">
        <f t="shared" si="259"/>
        <v>43027</v>
      </c>
      <c r="FX108" s="541"/>
      <c r="FY108" s="541">
        <f>Sheet1!DA106-Sheet1!CZ106-Sheet1!AE106</f>
        <v>518.3184</v>
      </c>
      <c r="FZ108" s="535">
        <f t="shared" si="296"/>
        <v>0.22827679203281176</v>
      </c>
      <c r="GA108" s="535"/>
      <c r="GB108" s="535" t="str">
        <f t="shared" si="260"/>
        <v>n</v>
      </c>
      <c r="GC108" s="539">
        <f t="shared" si="261"/>
        <v>42782</v>
      </c>
      <c r="GD108" s="1109">
        <f t="shared" si="262"/>
        <v>42904</v>
      </c>
      <c r="GE108" s="535">
        <f t="shared" si="280"/>
        <v>6520</v>
      </c>
      <c r="GF108" s="1109">
        <f t="shared" si="263"/>
        <v>42909</v>
      </c>
      <c r="GG108" s="535">
        <f t="shared" si="308"/>
        <v>3260</v>
      </c>
      <c r="GH108" s="539">
        <f t="shared" si="264"/>
        <v>43040</v>
      </c>
      <c r="GJ108" s="521">
        <f t="shared" si="265"/>
        <v>0</v>
      </c>
      <c r="GK108" s="535" t="str">
        <f t="shared" si="363"/>
        <v/>
      </c>
      <c r="GL108" s="535">
        <f t="shared" si="266"/>
        <v>0</v>
      </c>
      <c r="GM108" s="535" t="str">
        <f t="shared" si="267"/>
        <v/>
      </c>
      <c r="GN108" s="535">
        <f>IF(GK108="P",Lookup!$M$12,IF(GK108="PP",Lookup!$M$13,IF(GK108="PPP",Lookup!$M$14,IF(GK108="T",Lookup!$M$15,IF(GK108="TP",Lookup!$M$16,IF(GK108="TPP",Lookup!$M$17,IF(GK108="TPPP",Lookup!$M$18,0)))))))*GJ108</f>
        <v>0</v>
      </c>
      <c r="GO108" s="535">
        <f t="shared" si="268"/>
        <v>0</v>
      </c>
      <c r="GP108" s="535">
        <f t="shared" si="364"/>
        <v>4214.2047999999995</v>
      </c>
      <c r="GQ108" s="535">
        <f t="shared" si="279"/>
        <v>1373.5999999999997</v>
      </c>
      <c r="GR108" s="535"/>
      <c r="GS108" s="535">
        <f t="shared" si="269"/>
        <v>0</v>
      </c>
      <c r="GT108" s="535" t="str">
        <f t="shared" si="270"/>
        <v/>
      </c>
      <c r="GU108" s="535">
        <f>IF(GK108="P",Lookup!$N$12,IF(GK108="PP",Lookup!$N$13,IF(GK108="PPP",Lookup!$N$14,IF(GK108="T",Lookup!$N$15,IF(GK108="TP",Lookup!$N$16,IF(GK108="TPP",Lookup!$N$17,IF(GK108="TPPP",Lookup!$N$18,0)))))))*GJ108</f>
        <v>0</v>
      </c>
      <c r="GV108" s="535">
        <f t="shared" si="271"/>
        <v>0</v>
      </c>
      <c r="GW108" s="535">
        <f t="shared" si="365"/>
        <v>1806.5296327646056</v>
      </c>
      <c r="GX108" s="535">
        <f t="shared" si="276"/>
        <v>588.82973688546463</v>
      </c>
      <c r="GY108" s="535"/>
      <c r="GZ108" s="535">
        <f t="shared" si="272"/>
        <v>0</v>
      </c>
      <c r="HA108" s="535" t="str">
        <f t="shared" si="273"/>
        <v/>
      </c>
      <c r="HB108" s="535">
        <f>IF(GK108="P",Lookup!$N$12,IF(GK108="PP",Lookup!$N$13,IF(GK108="PPP",Lookup!$N$14,IF(GK108="T",Lookup!$N$15,IF(GK108="TP",Lookup!$N$16,IF(GK108="TPP",Lookup!$N$17,IF(GK108="TPPP",Lookup!$N$18,0)))))))*GJ108</f>
        <v>0</v>
      </c>
      <c r="HC108" s="521">
        <f t="shared" si="366"/>
        <v>0</v>
      </c>
      <c r="HD108" s="535">
        <f t="shared" si="367"/>
        <v>1474.1575539070814</v>
      </c>
      <c r="HE108" s="535">
        <f t="shared" si="277"/>
        <v>480.49463947427682</v>
      </c>
      <c r="HF108" s="535"/>
      <c r="HG108" s="535">
        <f t="shared" si="274"/>
        <v>0</v>
      </c>
      <c r="HH108" s="535" t="str">
        <f t="shared" si="275"/>
        <v/>
      </c>
      <c r="HI108" s="535">
        <f>IF(GK108="P",Lookup!$N$12,IF(GK108="PP",Lookup!$N$13,IF(GK108="PPP",Lookup!$N$14,IF(GK108="T",Lookup!$N$15,IF(GK108="TP",Lookup!$N$16,IF(GK108="TPP",Lookup!$N$17,IF(GK108="TPPP",Lookup!$N$18,0)))))))*GJ108</f>
        <v>0</v>
      </c>
      <c r="HJ108" s="521">
        <f t="shared" si="368"/>
        <v>0</v>
      </c>
      <c r="HK108" s="535">
        <f t="shared" si="369"/>
        <v>947.4129453874524</v>
      </c>
      <c r="HL108" s="535">
        <f t="shared" si="278"/>
        <v>308.80474099982149</v>
      </c>
      <c r="HM108" s="535"/>
      <c r="HN108" s="541"/>
      <c r="HO108" s="541"/>
      <c r="HP108" s="541"/>
      <c r="HQ108" s="541">
        <f>IF(AND(B108&gt;=$FV$4,B108&lt;=$FW$4),MAX(110/1.02+$HQ$6+MIN(113/1.02,G108),IF($HV$6-(Sheet1!DA106-Sheet1!DB106)+MIN(113/1.02,G108)&lt;G108+FL108,$HV$6-(Sheet1!DA106-Sheet1!DB106)+MIN(113/1.02,G108),G108+FL108)),MIN(110/1.02+$HQ$6+113/1.02,G108))</f>
        <v>218.62745098039215</v>
      </c>
      <c r="HR108" s="541">
        <f t="shared" si="297"/>
        <v>223</v>
      </c>
      <c r="HS108" s="541">
        <f>HR108+(Sheet1!DA106-Sheet1!DB106)</f>
        <v>893</v>
      </c>
      <c r="HT108" s="541">
        <f t="shared" si="298"/>
        <v>65.267929999999993</v>
      </c>
      <c r="HU108" s="541">
        <f t="shared" si="299"/>
        <v>827.73207000000002</v>
      </c>
      <c r="HV108" s="541">
        <f t="shared" si="300"/>
        <v>0</v>
      </c>
      <c r="HW108" s="533" t="str">
        <f t="shared" si="301"/>
        <v/>
      </c>
      <c r="HX108" s="541">
        <f t="shared" si="302"/>
        <v>1561.372549019608</v>
      </c>
      <c r="HY108" s="541">
        <f>Sheet1!CZ106</f>
        <v>1780</v>
      </c>
      <c r="HZ108" s="541">
        <f t="shared" si="303"/>
        <v>0</v>
      </c>
      <c r="IA108" s="541">
        <f t="shared" si="304"/>
        <v>65.267929999999993</v>
      </c>
      <c r="IB108" s="541">
        <f t="shared" si="305"/>
        <v>1780</v>
      </c>
      <c r="IC108" s="1019" t="str">
        <f t="shared" si="306"/>
        <v/>
      </c>
      <c r="ID108" s="541">
        <f t="shared" si="307"/>
        <v>1714.73207</v>
      </c>
      <c r="IE108" s="541">
        <f>Sheet1!DB106</f>
        <v>1710</v>
      </c>
      <c r="IF108" s="533">
        <f>Sheet1!DA106</f>
        <v>2380</v>
      </c>
      <c r="IH108" s="541">
        <f>IF(AND($B108&gt;=$GC108,$B108&lt;=$GH108,$DR108&lt;0)+N("only adjusted when pool is drawn down during storage season"),Sheet1!$DB106+$DR108+N("Palmer minus all storage release"),Sheet1!$DB106)</f>
        <v>1710</v>
      </c>
      <c r="II108" s="541">
        <f>IF(AND($B108&gt;=$GC108,$B108&lt;=$GH108,$DR108&lt;0)+N("only adjusted when pool is drawn down during storage season"),Sheet1!$DA106+$DR108+N("Auburn minus all storage release"),Sheet1!$DA106)</f>
        <v>2380</v>
      </c>
    </row>
    <row r="109" spans="1:243" x14ac:dyDescent="0.25">
      <c r="A109" s="553" t="s">
        <v>9</v>
      </c>
      <c r="B109" s="531">
        <v>42833</v>
      </c>
      <c r="C109" s="536">
        <v>0</v>
      </c>
      <c r="D109" s="506">
        <f t="shared" si="247"/>
        <v>300</v>
      </c>
      <c r="E109" s="506">
        <f t="shared" si="248"/>
        <v>250</v>
      </c>
      <c r="F109" s="506">
        <v>250</v>
      </c>
      <c r="G109" s="535">
        <f>DR109+Sheet1!CZ107</f>
        <v>2341.6389309140709</v>
      </c>
      <c r="H109" s="1074">
        <f t="shared" ref="H109:H140" si="370">MIN(IF($II109&gt;=$E109,($II109-$E109+$P109)*CFStoMGD,0),IF($IH109&gt;=$D109,($IH109-$D109+$P109)*CFStoMGD,0))</f>
        <v>964.12298815999998</v>
      </c>
      <c r="I109" s="534">
        <f>IF(Sheet1!DA107&gt;=E109,(Sheet1!DA107-E109+P109)*CFStoMGD,0)</f>
        <v>1410.1389881599998</v>
      </c>
      <c r="J109" s="995">
        <f>IF(Sheet1!DB107&gt;=D109,(Sheet1!DB107-D109+P109)*CFStoMGD,0)</f>
        <v>964.12298815999998</v>
      </c>
      <c r="K109" s="818">
        <f t="shared" si="282"/>
        <v>64.64</v>
      </c>
      <c r="L109" s="535">
        <f>Sheet1!AA107+Sheet1!AB107-Sheet1!L107+(Sheet1!DA107-F109)*CFStoMGD-S109-T109-U109</f>
        <v>1345.5</v>
      </c>
      <c r="M109" s="535">
        <f t="shared" si="309"/>
        <v>1543.9081130417126</v>
      </c>
      <c r="N109" s="824">
        <f>IF(Sheet1!DA107&gt;=F109,MIN(113*CFStoMGD,MIN(MAX(L109,0),MAX(M109,0))),0)</f>
        <v>73.043199999999999</v>
      </c>
      <c r="O109" s="538">
        <f>Sheet1!AA107+Sheet1!AB107</f>
        <v>52.7</v>
      </c>
      <c r="P109" s="538">
        <f t="shared" si="310"/>
        <v>81.526899999999998</v>
      </c>
      <c r="Q109" s="812">
        <f t="shared" si="283"/>
        <v>41.74</v>
      </c>
      <c r="R109" s="812">
        <f t="shared" si="249"/>
        <v>10.935698447893568</v>
      </c>
      <c r="S109" s="812">
        <f t="shared" si="250"/>
        <v>10.959999999999999</v>
      </c>
      <c r="T109" s="812">
        <f t="shared" si="251"/>
        <v>53.68</v>
      </c>
      <c r="U109" s="812">
        <f t="shared" si="284"/>
        <v>0</v>
      </c>
      <c r="V109" s="812"/>
      <c r="W109" s="812">
        <f t="shared" si="252"/>
        <v>53.704301552106429</v>
      </c>
      <c r="X109" s="812">
        <f t="shared" si="253"/>
        <v>64.64</v>
      </c>
      <c r="Y109" s="812" t="str">
        <f t="shared" si="254"/>
        <v>FALSE</v>
      </c>
      <c r="Z109" s="812">
        <f t="shared" si="255"/>
        <v>52.7</v>
      </c>
      <c r="AA109" s="812">
        <f t="shared" si="256"/>
        <v>52.7</v>
      </c>
      <c r="AB109" s="1059">
        <f t="shared" si="285"/>
        <v>64.571780000000004</v>
      </c>
      <c r="AC109" s="538">
        <f>Sheet1!Y107*MGDtoCFS</f>
        <v>39.912599999999998</v>
      </c>
      <c r="AD109" s="538">
        <f>Sheet1!Z107*MGDtoCFS</f>
        <v>41.768999999999998</v>
      </c>
      <c r="AE109" s="538">
        <f>Sheet1!AA107*MGDtoCFS</f>
        <v>39.757899999999999</v>
      </c>
      <c r="AF109" s="538">
        <f>Sheet1!AB107*MGDtoCFS</f>
        <v>41.768999999999998</v>
      </c>
      <c r="AG109" s="538">
        <f>Sheet1!L107*MGDtoCFS</f>
        <v>0</v>
      </c>
      <c r="AH109" s="521">
        <f t="shared" si="311"/>
        <v>0</v>
      </c>
      <c r="AI109" s="1059">
        <f t="shared" si="312"/>
        <v>0</v>
      </c>
      <c r="AJ109" s="535">
        <f t="shared" si="313"/>
        <v>53.704301552106429</v>
      </c>
      <c r="AK109" s="535">
        <f t="shared" si="314"/>
        <v>83.080554501108637</v>
      </c>
      <c r="AL109" s="535">
        <f>(VLOOKUP(Sheet1!DC107,hhdcap_wcm,4)-(((VLOOKUP(Sheet1!DC107,hhdcap_wcm,3)-Sheet1!DC107)/(VLOOKUP(Sheet1!DC107,hhdcap_wcm,3)-VLOOKUP(Sheet1!DC107,hhdcap_wcm,1)))*(VLOOKUP(Sheet1!DC107,hhdcap_wcm,4)-VLOOKUP(Sheet1!DC107,hhdcap_wcm,2))))</f>
        <v>27042.400000069825</v>
      </c>
      <c r="AM109" s="535">
        <f t="shared" si="315"/>
        <v>1093.9000000026026</v>
      </c>
      <c r="AN109" s="1035">
        <f t="shared" si="316"/>
        <v>2805.4334189116689</v>
      </c>
      <c r="AO109" s="535">
        <f t="shared" si="317"/>
        <v>8607.0697292210007</v>
      </c>
      <c r="AP109" s="535">
        <f>Sheet1!BA107+Sheet1!BB107+Sheet1!BN107+CD109</f>
        <v>16.100000000000001</v>
      </c>
      <c r="AQ109" s="535">
        <f>Sheet1!BN107+(DO109*Sheet1!BN107)</f>
        <v>16.064301552106429</v>
      </c>
      <c r="AR109" s="535">
        <f>Sheet1!BA107+CD109</f>
        <v>0</v>
      </c>
      <c r="AS109" s="535">
        <f>Sheet1!BA107+Sheet1!BB107+CD109</f>
        <v>0</v>
      </c>
      <c r="AT109" s="649">
        <f>0</f>
        <v>0</v>
      </c>
      <c r="AU109" s="535">
        <f>IF(EB109&lt;K109,0,MAX(Sheet1!AA107+AQ109-15/36*K109-N109,Sheet1!EH107,0))</f>
        <v>0</v>
      </c>
      <c r="AV109" s="535">
        <f>IF(OR(B109&gt;=GD109,B109&lt;GC109),0,15/36*K109-MAX(0,64.6-(137.6-(Sheet1!AA107+Sheet1!AB107))))</f>
        <v>26.933333333333334</v>
      </c>
      <c r="AW109" s="1029"/>
      <c r="AX109" s="649"/>
      <c r="AY109" s="649">
        <f t="shared" si="286"/>
        <v>0</v>
      </c>
      <c r="AZ109" s="649">
        <f t="shared" si="287"/>
        <v>0</v>
      </c>
      <c r="BA109" s="1059">
        <f t="shared" si="288"/>
        <v>0</v>
      </c>
      <c r="BB109" s="1019">
        <f t="shared" si="318"/>
        <v>1400.5333333333331</v>
      </c>
      <c r="BC109" s="1041">
        <f t="shared" si="289"/>
        <v>26.933333333333334</v>
      </c>
      <c r="BD109" s="1019">
        <f ca="1">IF(B109&gt;Summary!$A$1,#N/A,BB109*MGtoAF)</f>
        <v>4296.8362666666662</v>
      </c>
      <c r="BE109" s="535">
        <f>Sheet1!BG107+Sheet1!BH107+Sheet1!BI107-BM109</f>
        <v>1.02</v>
      </c>
      <c r="BF109" s="535">
        <f t="shared" si="319"/>
        <v>1.0177383592017737</v>
      </c>
      <c r="BG109" s="535">
        <f>IF(Sheet1!EP107="FM",BM109,0)</f>
        <v>0</v>
      </c>
      <c r="BH109" s="535">
        <f t="shared" si="320"/>
        <v>0</v>
      </c>
      <c r="BI109" s="535">
        <f>IF(Sheet1!EP107="OTHER",BM109,0)</f>
        <v>0</v>
      </c>
      <c r="BJ109" s="535">
        <f t="shared" si="321"/>
        <v>0</v>
      </c>
      <c r="BK109" s="535">
        <f t="shared" si="322"/>
        <v>1.02</v>
      </c>
      <c r="BL109" s="535">
        <f t="shared" si="323"/>
        <v>1.0177383592017737</v>
      </c>
      <c r="BM109" s="535">
        <f>IF(OR(Sheet1!EP107="FM", Sheet1!EP107="OTHER"),SUM(Sheet1!BG107:'Sheet1'!BI107),0)</f>
        <v>0</v>
      </c>
      <c r="BN109" s="521">
        <f>IF(AND($B109&gt;=$FV109,$B109&lt;=$FW109),MAX(BF109,Sheet1!EI107,0),MAX(BF109-(7/36)*$K109,0))</f>
        <v>0</v>
      </c>
      <c r="BO109" s="535">
        <f t="shared" si="324"/>
        <v>11.551150529687115</v>
      </c>
      <c r="BP109" s="521">
        <f t="shared" si="325"/>
        <v>1.0177383592017737</v>
      </c>
      <c r="BQ109" s="521">
        <f>IF(AND($O109&gt;0,Sheet1!EM107=1),(1-($O109-Sheet1!$L107)/$O109)*BL109,0)</f>
        <v>0</v>
      </c>
      <c r="BR109" s="521">
        <f>IF(AND(Sheet1!$L107=0,Sheet1!$L106=0, Calculation!BK109&lt;Sheet1!$EI107-0.1,Sheet1!$EI107=Sheet1!$EI106,Sheet1!$EI107=Sheet1!$EI108),BL109-BQ109,BL109-BQ109)</f>
        <v>1.0177383592017737</v>
      </c>
      <c r="BS109" s="1035" t="str">
        <f t="shared" si="290"/>
        <v/>
      </c>
      <c r="BT109" s="1035">
        <f t="shared" si="291"/>
        <v>12.568888888888889</v>
      </c>
      <c r="BU109" s="535">
        <f t="shared" si="326"/>
        <v>600.38088741515173</v>
      </c>
      <c r="BV109" s="535"/>
      <c r="BW109" s="535">
        <f ca="1">IF(B109&gt;Summary!$A$1,#N/A,BU109*MGtoAF)</f>
        <v>1841.9685625896855</v>
      </c>
      <c r="BX109" s="535">
        <f>Sheet1!BC107+Sheet1!BD107+Sheet1!BE107+Sheet1!BF107-CG109-CH109</f>
        <v>3.49</v>
      </c>
      <c r="BY109" s="535">
        <f t="shared" si="327"/>
        <v>3.4822616407982259</v>
      </c>
      <c r="BZ109" s="535">
        <f>IF(Sheet1!EQ107="FM",CH109,0)</f>
        <v>0</v>
      </c>
      <c r="CA109" s="535">
        <f t="shared" si="328"/>
        <v>0</v>
      </c>
      <c r="CB109" s="535">
        <f>IF(Sheet1!EQ107="OTHER",CH109,0)</f>
        <v>0</v>
      </c>
      <c r="CC109" s="535">
        <f t="shared" si="329"/>
        <v>0</v>
      </c>
      <c r="CD109" s="535">
        <f t="shared" si="330"/>
        <v>0</v>
      </c>
      <c r="CE109" s="535">
        <f t="shared" si="331"/>
        <v>3.49</v>
      </c>
      <c r="CF109" s="535">
        <f t="shared" si="332"/>
        <v>3.4822616407982259</v>
      </c>
      <c r="CG109" s="535">
        <f>IF(Sheet1!EQ107="CWA",SUM(Sheet1!BC107:'Sheet1'!BF107),0)</f>
        <v>0</v>
      </c>
      <c r="CH109" s="535">
        <f>IF(OR(Sheet1!EQ107="FM", Sheet1!EQ107="OTHER"),SUM(Sheet1!BC107:'Sheet1'!BF107),0)</f>
        <v>0</v>
      </c>
      <c r="CI109" s="521">
        <f>IF(AND($B109&gt;=$FV109,$B109&lt;=$FW109),MAX(CF109,Sheet1!EJ107,0),MAX(CF109-(7/36)*$K109,0))</f>
        <v>0</v>
      </c>
      <c r="CJ109" s="535">
        <f t="shared" si="333"/>
        <v>9.0866272480906627</v>
      </c>
      <c r="CK109" s="521">
        <f t="shared" si="334"/>
        <v>3.4822616407982259</v>
      </c>
      <c r="CL109" s="521">
        <f>IF(AND($O109&gt;0,Sheet1!EN107=1),(1-($O109-Sheet1!$L107)/$O109)*CF109,0)</f>
        <v>0</v>
      </c>
      <c r="CM109" s="521">
        <f>IF(AND(Sheet1!$L107=0,Sheet1!$L106=0, Calculation!CE109&lt;Sheet1!EJ107-0.1,Sheet1!EJ107=Sheet1!EJ106,Sheet1!EJ107=Sheet1!EJ108),CF109-CL109,CF109-CL109)</f>
        <v>3.4822616407982259</v>
      </c>
      <c r="CN109" s="1040" t="str">
        <f t="shared" si="292"/>
        <v/>
      </c>
      <c r="CO109" s="1035">
        <f t="shared" si="293"/>
        <v>12.568888888888889</v>
      </c>
      <c r="CP109" s="535">
        <f t="shared" si="335"/>
        <v>489.5812667223675</v>
      </c>
      <c r="CQ109" s="535"/>
      <c r="CR109" s="535">
        <f ca="1">IF(B109&gt;Summary!$A$1,#N/A,CP109*MGtoAF)</f>
        <v>1502.0353263042234</v>
      </c>
      <c r="CS109" s="535">
        <f>Sheet1!BK107+Sheet1!BL107+Sheet1!BM107-Sheet1!ER107-DA109</f>
        <v>6.4499999999999993</v>
      </c>
      <c r="CT109" s="535">
        <f t="shared" si="336"/>
        <v>6.4356984478935688</v>
      </c>
      <c r="CU109" s="535">
        <f>IF(Sheet1!ER107="FM",DA109,0)</f>
        <v>0</v>
      </c>
      <c r="CV109" s="535">
        <f t="shared" si="337"/>
        <v>0</v>
      </c>
      <c r="CW109" s="535">
        <f>IF(Sheet1!ER107="OTHER",DA109,0)</f>
        <v>0</v>
      </c>
      <c r="CX109" s="535">
        <f t="shared" si="338"/>
        <v>0</v>
      </c>
      <c r="CY109" s="535">
        <f t="shared" si="339"/>
        <v>6.4499999999999993</v>
      </c>
      <c r="CZ109" s="535">
        <f t="shared" si="340"/>
        <v>6.4356984478935688</v>
      </c>
      <c r="DA109" s="535">
        <f>IF(OR(Sheet1!ER107="FM", Sheet1!ER107="OTHER"),SUM(Sheet1!BK107:'Sheet1'!BM107),0)</f>
        <v>0</v>
      </c>
      <c r="DB109" s="1011">
        <f>IF(AND($B109&gt;=$FV109,$B109&lt;=$FW109),MAX($CT109,Sheet1!EK107,0),MAX($CT109-(7/36)*$K109,0))</f>
        <v>0</v>
      </c>
      <c r="DC109" s="1012">
        <f t="shared" si="341"/>
        <v>6.1331904409953202</v>
      </c>
      <c r="DD109" s="1011">
        <f t="shared" si="342"/>
        <v>6.4356984478935688</v>
      </c>
      <c r="DE109" s="521">
        <f>IF(AND($O109&gt;0,Sheet1!EO107=1),(1-($O109-Sheet1!$L107)/$O109)*CZ109,0)</f>
        <v>0</v>
      </c>
      <c r="DF109" s="521">
        <f>IF(AND(Sheet1!$L107=0,Sheet1!$L106=0, Calculation!CY109&lt;Sheet1!$EK107-0.1,Sheet1!$EK107=Sheet1!$EK106,Sheet1!$EK107=Sheet1!$EK108),CZ109-DE109,CZ109-DE109)</f>
        <v>6.4356984478935688</v>
      </c>
      <c r="DG109" s="1040">
        <f t="shared" si="294"/>
        <v>12.568888888888889</v>
      </c>
      <c r="DH109" s="649">
        <f t="shared" si="343"/>
        <v>10.959999999999999</v>
      </c>
      <c r="DI109" s="535">
        <f t="shared" si="344"/>
        <v>314.93793144081678</v>
      </c>
      <c r="DJ109" s="649">
        <f t="shared" si="345"/>
        <v>10.935698447893568</v>
      </c>
      <c r="DK109" s="535">
        <f ca="1">IF(B109&gt;Summary!$A$1,#N/A,DI109*MGtoAF)</f>
        <v>966.2295736604259</v>
      </c>
      <c r="DL109" s="649">
        <f t="shared" si="346"/>
        <v>10.959999999999999</v>
      </c>
      <c r="DM109" s="535">
        <f t="shared" si="347"/>
        <v>27.060000000000002</v>
      </c>
      <c r="DN109" s="535">
        <f>Sheet1!AB107-DM109</f>
        <v>-6.0000000000002274E-2</v>
      </c>
      <c r="DO109" s="743">
        <f t="shared" si="348"/>
        <v>-2.2172949002218132E-3</v>
      </c>
      <c r="DP109" s="535">
        <f>(VLOOKUP(Sheet1!DC107,hhdcap_wcm,4)-(((VLOOKUP(Sheet1!DC107,hhdcap_wcm,3)-Sheet1!DC107)/(VLOOKUP(Sheet1!DC107,hhdcap_wcm,3)-VLOOKUP(Sheet1!DC107,hhdcap_wcm,1)))*(VLOOKUP(Sheet1!DC107,hhdcap_wcm,4)-VLOOKUP(Sheet1!DC107,hhdcap_wcm,2))))</f>
        <v>27042.400000069825</v>
      </c>
      <c r="DQ109" s="535">
        <f t="shared" si="349"/>
        <v>1093.9000000026026</v>
      </c>
      <c r="DR109" s="535">
        <f t="shared" si="350"/>
        <v>551.63893091407078</v>
      </c>
      <c r="DS109" s="535">
        <f>Sheet1!EA107*AFtoMG</f>
        <v>0</v>
      </c>
      <c r="DT109" s="535">
        <f>Sheet1!EB107*AFtoMG</f>
        <v>0</v>
      </c>
      <c r="DU109" s="535">
        <f>Sheet1!EC107*AFtoMG</f>
        <v>0</v>
      </c>
      <c r="DV109" s="535">
        <f>Sheet1!ED107*AFtoMG</f>
        <v>0</v>
      </c>
      <c r="DW109" s="535">
        <f t="shared" si="351"/>
        <v>0</v>
      </c>
      <c r="DX109" s="535">
        <f t="shared" si="352"/>
        <v>0</v>
      </c>
      <c r="DY109" s="535">
        <f t="shared" si="353"/>
        <v>2805.4334189116689</v>
      </c>
      <c r="DZ109" s="535">
        <f t="shared" si="354"/>
        <v>8607.0697292210007</v>
      </c>
      <c r="EA109" s="535"/>
      <c r="EB109" s="521">
        <f>IF(OR(B109&lt;FV109,B109&gt;FW109),(MIN(BF109+BY109+CT109+MAX(Sheet1!AA107+AQ109-73,0),K109)),0)</f>
        <v>10.935698447893568</v>
      </c>
      <c r="EC109" s="535"/>
      <c r="ED109" s="535">
        <f t="shared" si="355"/>
        <v>10.935698447893568</v>
      </c>
      <c r="EE109" s="535"/>
      <c r="EF109" s="535">
        <f>Sheet1!EH107+Sheet1!EI107+Sheet1!EJ107+Sheet1!EK107</f>
        <v>11</v>
      </c>
      <c r="EG109" s="1019">
        <f t="shared" si="295"/>
        <v>17.016999999999999</v>
      </c>
      <c r="EH109" s="521">
        <f t="shared" si="356"/>
        <v>0</v>
      </c>
      <c r="EI109" s="535">
        <f>IF(Sheet1!ET107=1,SUM('Calculations II'!AT109:BA109)+'Calculations II'!BC109+Sheet1!BV107+'Calculations II'!BE109+AP109,'Calculations II'!BK109)</f>
        <v>44.21162955210643</v>
      </c>
      <c r="EJ109" s="535">
        <f ca="1">EI109+'Calculations II'!D109+'Calculations II'!E109+'Calculations II'!O109</f>
        <v>42.022031392320436</v>
      </c>
      <c r="EK109" s="535"/>
      <c r="EL109" s="535"/>
      <c r="EM109" s="535">
        <f t="shared" si="357"/>
        <v>42833</v>
      </c>
      <c r="EN109" s="535">
        <f t="shared" si="358"/>
        <v>53.704301552106429</v>
      </c>
      <c r="EO109" s="535">
        <f t="shared" si="359"/>
        <v>83.080554501108637</v>
      </c>
      <c r="EP109" s="535">
        <v>0</v>
      </c>
      <c r="EQ109" s="535">
        <v>0</v>
      </c>
      <c r="ER109" s="535">
        <v>0</v>
      </c>
      <c r="ES109" s="521">
        <f t="shared" si="257"/>
        <v>1.3814854573983215</v>
      </c>
      <c r="ET109" s="535">
        <f>-(VLOOKUP(Sheet1!BQ107,Lookup!$O$4:$Q$262,2)-VLOOKUP(Sheet1!BQ106,Lookup!$O$4:$Q$262,2))/1000000</f>
        <v>0.69063071987669544</v>
      </c>
      <c r="EU109" s="535">
        <f>-(VLOOKUP(Sheet1!BR107,Lookup!$O$4:$Q$262,3)-VLOOKUP(Sheet1!BR106,Lookup!$O$4:$Q$262,3))/1000000</f>
        <v>0.69085473752162607</v>
      </c>
      <c r="EV109" s="535"/>
      <c r="EW109" s="535"/>
      <c r="EX109" s="535"/>
      <c r="EY109" s="535"/>
      <c r="EZ109" s="535"/>
      <c r="FA109" s="535"/>
      <c r="FB109" s="535"/>
      <c r="FC109" s="535"/>
      <c r="FD109" s="567" t="e">
        <f t="shared" si="360"/>
        <v>#N/A</v>
      </c>
      <c r="FE109" s="567" t="e">
        <f t="shared" si="361"/>
        <v>#N/A</v>
      </c>
      <c r="FF109" s="568" t="e">
        <f t="shared" si="362"/>
        <v>#N/A</v>
      </c>
      <c r="FG109" s="569" t="s">
        <v>656</v>
      </c>
      <c r="FH109" s="569" t="s">
        <v>656</v>
      </c>
      <c r="FI109" s="567" t="e">
        <v>#N/A</v>
      </c>
      <c r="FJ109" s="567" t="e">
        <v>#N/A</v>
      </c>
      <c r="FK109" s="535"/>
      <c r="FL109" s="1015">
        <v>0</v>
      </c>
      <c r="FM109" s="535"/>
      <c r="FN109" s="535"/>
      <c r="FO109" s="535">
        <f>O109+((Sheet1!CS107)*GPMtoMGD)</f>
        <v>52.7</v>
      </c>
      <c r="FP109" s="535">
        <f>IF(Sheet1!AA107+AQ109&lt;=Calculation!N109,AQ109,Calculation!N109-Sheet1!AA107)</f>
        <v>16.064301552106429</v>
      </c>
      <c r="FQ109" s="535">
        <f>(Sheet1!BP107+Sheet1!BO107)/694.4</f>
        <v>1.3692396313364055</v>
      </c>
      <c r="FR109" s="541"/>
      <c r="FS109" s="541"/>
      <c r="FT109" s="541"/>
      <c r="FU109" s="541"/>
      <c r="FV109" s="1109">
        <f t="shared" si="258"/>
        <v>42918</v>
      </c>
      <c r="FW109" s="1109">
        <f t="shared" si="259"/>
        <v>43027</v>
      </c>
      <c r="FX109" s="541"/>
      <c r="FY109" s="541">
        <f>Sheet1!DA107-Sheet1!CZ107-Sheet1!AE107</f>
        <v>478.47309999999999</v>
      </c>
      <c r="FZ109" s="535">
        <f t="shared" si="296"/>
        <v>0.20433256967299632</v>
      </c>
      <c r="GA109" s="535"/>
      <c r="GB109" s="535" t="str">
        <f t="shared" si="260"/>
        <v>n</v>
      </c>
      <c r="GC109" s="539">
        <f t="shared" si="261"/>
        <v>42782</v>
      </c>
      <c r="GD109" s="1109">
        <f t="shared" si="262"/>
        <v>42904</v>
      </c>
      <c r="GE109" s="535">
        <f t="shared" si="280"/>
        <v>6520</v>
      </c>
      <c r="GF109" s="1109">
        <f t="shared" si="263"/>
        <v>42909</v>
      </c>
      <c r="GG109" s="535">
        <f t="shared" si="308"/>
        <v>3260</v>
      </c>
      <c r="GH109" s="539">
        <f t="shared" si="264"/>
        <v>43040</v>
      </c>
      <c r="GJ109" s="521">
        <f t="shared" si="265"/>
        <v>0</v>
      </c>
      <c r="GK109" s="535" t="str">
        <f t="shared" si="363"/>
        <v/>
      </c>
      <c r="GL109" s="535">
        <f t="shared" si="266"/>
        <v>0</v>
      </c>
      <c r="GM109" s="535" t="str">
        <f t="shared" si="267"/>
        <v/>
      </c>
      <c r="GN109" s="535">
        <f>IF(GK109="P",Lookup!$M$12,IF(GK109="PP",Lookup!$M$13,IF(GK109="PPP",Lookup!$M$14,IF(GK109="T",Lookup!$M$15,IF(GK109="TP",Lookup!$M$16,IF(GK109="TPP",Lookup!$M$17,IF(GK109="TPPP",Lookup!$M$18,0)))))))*GJ109</f>
        <v>0</v>
      </c>
      <c r="GO109" s="535">
        <f t="shared" si="268"/>
        <v>0</v>
      </c>
      <c r="GP109" s="535">
        <f t="shared" si="364"/>
        <v>4296.8362666666662</v>
      </c>
      <c r="GQ109" s="535">
        <f t="shared" si="279"/>
        <v>1400.5333333333331</v>
      </c>
      <c r="GR109" s="535"/>
      <c r="GS109" s="535">
        <f t="shared" si="269"/>
        <v>0</v>
      </c>
      <c r="GT109" s="535" t="str">
        <f t="shared" si="270"/>
        <v/>
      </c>
      <c r="GU109" s="535">
        <f>IF(GK109="P",Lookup!$N$12,IF(GK109="PP",Lookup!$N$13,IF(GK109="PPP",Lookup!$N$14,IF(GK109="T",Lookup!$N$15,IF(GK109="TP",Lookup!$N$16,IF(GK109="TPP",Lookup!$N$17,IF(GK109="TPPP",Lookup!$N$18,0)))))))*GJ109</f>
        <v>0</v>
      </c>
      <c r="GV109" s="535">
        <f t="shared" si="271"/>
        <v>0</v>
      </c>
      <c r="GW109" s="535">
        <f t="shared" si="365"/>
        <v>1841.9685625896855</v>
      </c>
      <c r="GX109" s="535">
        <f t="shared" si="276"/>
        <v>600.38088741515173</v>
      </c>
      <c r="GY109" s="535"/>
      <c r="GZ109" s="535">
        <f t="shared" si="272"/>
        <v>0</v>
      </c>
      <c r="HA109" s="535" t="str">
        <f t="shared" si="273"/>
        <v/>
      </c>
      <c r="HB109" s="535">
        <f>IF(GK109="P",Lookup!$N$12,IF(GK109="PP",Lookup!$N$13,IF(GK109="PPP",Lookup!$N$14,IF(GK109="T",Lookup!$N$15,IF(GK109="TP",Lookup!$N$16,IF(GK109="TPP",Lookup!$N$17,IF(GK109="TPPP",Lookup!$N$18,0)))))))*GJ109</f>
        <v>0</v>
      </c>
      <c r="HC109" s="521">
        <f t="shared" si="366"/>
        <v>0</v>
      </c>
      <c r="HD109" s="535">
        <f t="shared" si="367"/>
        <v>1502.0353263042234</v>
      </c>
      <c r="HE109" s="535">
        <f t="shared" si="277"/>
        <v>489.5812667223675</v>
      </c>
      <c r="HF109" s="535"/>
      <c r="HG109" s="535">
        <f t="shared" si="274"/>
        <v>0</v>
      </c>
      <c r="HH109" s="535" t="str">
        <f t="shared" si="275"/>
        <v/>
      </c>
      <c r="HI109" s="535">
        <f>IF(GK109="P",Lookup!$N$12,IF(GK109="PP",Lookup!$N$13,IF(GK109="PPP",Lookup!$N$14,IF(GK109="T",Lookup!$N$15,IF(GK109="TP",Lookup!$N$16,IF(GK109="TPP",Lookup!$N$17,IF(GK109="TPPP",Lookup!$N$18,0)))))))*GJ109</f>
        <v>0</v>
      </c>
      <c r="HJ109" s="521">
        <f t="shared" si="368"/>
        <v>0</v>
      </c>
      <c r="HK109" s="535">
        <f t="shared" si="369"/>
        <v>966.2295736604259</v>
      </c>
      <c r="HL109" s="535">
        <f t="shared" si="278"/>
        <v>314.93793144081678</v>
      </c>
      <c r="HM109" s="535"/>
      <c r="HN109" s="541"/>
      <c r="HO109" s="541"/>
      <c r="HP109" s="541"/>
      <c r="HQ109" s="541">
        <f>IF(AND(B109&gt;=$FV$4,B109&lt;=$FW$4),MAX(110/1.02+$HQ$6+MIN(113/1.02,G109),IF($HV$6-(Sheet1!DA107-Sheet1!DB107)+MIN(113/1.02,G109)&lt;G109+FL109,$HV$6-(Sheet1!DA107-Sheet1!DB107)+MIN(113/1.02,G109),G109+FL109)),MIN(110/1.02+$HQ$6+113/1.02,G109))</f>
        <v>218.62745098039215</v>
      </c>
      <c r="HR109" s="541">
        <f t="shared" si="297"/>
        <v>223</v>
      </c>
      <c r="HS109" s="541">
        <f>HR109+(Sheet1!DA107-Sheet1!DB107)</f>
        <v>863</v>
      </c>
      <c r="HT109" s="541">
        <f t="shared" si="298"/>
        <v>64.571780000000004</v>
      </c>
      <c r="HU109" s="541">
        <f t="shared" si="299"/>
        <v>798.42822000000001</v>
      </c>
      <c r="HV109" s="541">
        <f t="shared" si="300"/>
        <v>0</v>
      </c>
      <c r="HW109" s="533" t="str">
        <f t="shared" si="301"/>
        <v/>
      </c>
      <c r="HX109" s="541">
        <f t="shared" si="302"/>
        <v>1571.372549019608</v>
      </c>
      <c r="HY109" s="541">
        <f>Sheet1!CZ107</f>
        <v>1790</v>
      </c>
      <c r="HZ109" s="541">
        <f t="shared" si="303"/>
        <v>0</v>
      </c>
      <c r="IA109" s="541">
        <f t="shared" si="304"/>
        <v>64.571780000000004</v>
      </c>
      <c r="IB109" s="541">
        <f t="shared" si="305"/>
        <v>1790</v>
      </c>
      <c r="IC109" s="1019" t="str">
        <f t="shared" si="306"/>
        <v/>
      </c>
      <c r="ID109" s="541">
        <f t="shared" si="307"/>
        <v>1725.42822</v>
      </c>
      <c r="IE109" s="541">
        <f>Sheet1!DB107</f>
        <v>1710</v>
      </c>
      <c r="IF109" s="533">
        <f>Sheet1!DA107</f>
        <v>2350</v>
      </c>
      <c r="IH109" s="541">
        <f>IF(AND($B109&gt;=$GC109,$B109&lt;=$GH109,$DR109&lt;0)+N("only adjusted when pool is drawn down during storage season"),Sheet1!$DB107+$DR109+N("Palmer minus all storage release"),Sheet1!$DB107)</f>
        <v>1710</v>
      </c>
      <c r="II109" s="541">
        <f>IF(AND($B109&gt;=$GC109,$B109&lt;=$GH109,$DR109&lt;0)+N("only adjusted when pool is drawn down during storage season"),Sheet1!$DA107+$DR109+N("Auburn minus all storage release"),Sheet1!$DA107)</f>
        <v>2350</v>
      </c>
    </row>
    <row r="110" spans="1:243" x14ac:dyDescent="0.25">
      <c r="A110" s="553" t="s">
        <v>3</v>
      </c>
      <c r="B110" s="531">
        <v>42834</v>
      </c>
      <c r="C110" s="536">
        <v>0</v>
      </c>
      <c r="D110" s="506">
        <f t="shared" si="247"/>
        <v>300</v>
      </c>
      <c r="E110" s="506">
        <f t="shared" si="248"/>
        <v>250</v>
      </c>
      <c r="F110" s="506">
        <v>250</v>
      </c>
      <c r="G110" s="535">
        <f>DR110+Sheet1!CZ108</f>
        <v>2031.0993444287772</v>
      </c>
      <c r="H110" s="1074">
        <f t="shared" si="370"/>
        <v>963.25300486399999</v>
      </c>
      <c r="I110" s="534">
        <f>IF(Sheet1!DA108&gt;=E110,(Sheet1!DA108-E110+P110)*CFStoMGD,0)</f>
        <v>1370.4850048639998</v>
      </c>
      <c r="J110" s="995">
        <f>IF(Sheet1!DB108&gt;=D110,(Sheet1!DB108-D110+P110)*CFStoMGD,0)</f>
        <v>963.25300486399999</v>
      </c>
      <c r="K110" s="818">
        <f t="shared" si="282"/>
        <v>64.64</v>
      </c>
      <c r="L110" s="535">
        <f>Sheet1!AA108+Sheet1!AB108-Sheet1!L108+(Sheet1!DA108-F110)*CFStoMGD-S110-T110-U110</f>
        <v>1305.8459999999998</v>
      </c>
      <c r="M110" s="535">
        <f t="shared" si="309"/>
        <v>1339.1606685635368</v>
      </c>
      <c r="N110" s="824">
        <f>IF(Sheet1!DA108&gt;=F110,MIN(113*CFStoMGD,MIN(MAX(L110,0),MAX(M110,0))),0)</f>
        <v>73.043199999999999</v>
      </c>
      <c r="O110" s="538">
        <f>Sheet1!AA108+Sheet1!AB108</f>
        <v>51.83</v>
      </c>
      <c r="P110" s="538">
        <f t="shared" si="310"/>
        <v>80.181009999999986</v>
      </c>
      <c r="Q110" s="812">
        <f t="shared" si="283"/>
        <v>40.89</v>
      </c>
      <c r="R110" s="812">
        <f t="shared" si="249"/>
        <v>10.914889058913541</v>
      </c>
      <c r="S110" s="812">
        <f t="shared" si="250"/>
        <v>10.939999999999998</v>
      </c>
      <c r="T110" s="812">
        <f t="shared" si="251"/>
        <v>53.7</v>
      </c>
      <c r="U110" s="812">
        <f t="shared" si="284"/>
        <v>0</v>
      </c>
      <c r="V110" s="812"/>
      <c r="W110" s="812">
        <f t="shared" si="252"/>
        <v>53.725110941086456</v>
      </c>
      <c r="X110" s="812">
        <f t="shared" si="253"/>
        <v>64.64</v>
      </c>
      <c r="Y110" s="812" t="str">
        <f t="shared" si="254"/>
        <v>FALSE</v>
      </c>
      <c r="Z110" s="812">
        <f t="shared" si="255"/>
        <v>51.83</v>
      </c>
      <c r="AA110" s="812">
        <f t="shared" si="256"/>
        <v>51.83</v>
      </c>
      <c r="AB110" s="1059">
        <f t="shared" si="285"/>
        <v>63.256830000000001</v>
      </c>
      <c r="AC110" s="538">
        <f>Sheet1!Y108*MGDtoCFS</f>
        <v>39.757899999999999</v>
      </c>
      <c r="AD110" s="538">
        <f>Sheet1!Z108*MGDtoCFS</f>
        <v>41.614299999999993</v>
      </c>
      <c r="AE110" s="538">
        <f>Sheet1!AA108*MGDtoCFS</f>
        <v>39.835249999999995</v>
      </c>
      <c r="AF110" s="538">
        <f>Sheet1!AB108*MGDtoCFS</f>
        <v>40.345759999999999</v>
      </c>
      <c r="AG110" s="538">
        <f>Sheet1!L108*MGDtoCFS</f>
        <v>0</v>
      </c>
      <c r="AH110" s="521">
        <f t="shared" si="311"/>
        <v>0</v>
      </c>
      <c r="AI110" s="1059">
        <f t="shared" si="312"/>
        <v>0</v>
      </c>
      <c r="AJ110" s="535">
        <f t="shared" si="313"/>
        <v>53.725110941086456</v>
      </c>
      <c r="AK110" s="535">
        <f t="shared" si="314"/>
        <v>83.112746625860737</v>
      </c>
      <c r="AL110" s="535">
        <f>(VLOOKUP(Sheet1!DC108,hhdcap_wcm,4)-(((VLOOKUP(Sheet1!DC108,hhdcap_wcm,3)-Sheet1!DC108)/(VLOOKUP(Sheet1!DC108,hhdcap_wcm,3)-VLOOKUP(Sheet1!DC108,hhdcap_wcm,1)))*(VLOOKUP(Sheet1!DC108,hhdcap_wcm,4)-VLOOKUP(Sheet1!DC108,hhdcap_wcm,2))))</f>
        <v>27520.50000007209</v>
      </c>
      <c r="AM110" s="535">
        <f t="shared" si="315"/>
        <v>478.10000000226501</v>
      </c>
      <c r="AN110" s="1035">
        <f t="shared" si="316"/>
        <v>2859.1585298527557</v>
      </c>
      <c r="AO110" s="535">
        <f t="shared" si="317"/>
        <v>8771.8983695882544</v>
      </c>
      <c r="AP110" s="535">
        <f>Sheet1!BA108+Sheet1!BB108+Sheet1!BN108+CD110</f>
        <v>15.2</v>
      </c>
      <c r="AQ110" s="535">
        <f>Sheet1!BN108+(DO110*Sheet1!BN108)</f>
        <v>15.165110941086457</v>
      </c>
      <c r="AR110" s="535">
        <f>Sheet1!BA108+CD110</f>
        <v>0</v>
      </c>
      <c r="AS110" s="535">
        <f>Sheet1!BA108+Sheet1!BB108+CD110</f>
        <v>0</v>
      </c>
      <c r="AT110" s="649">
        <f>0</f>
        <v>0</v>
      </c>
      <c r="AU110" s="535">
        <f>IF(EB110&lt;K110,0,MAX(Sheet1!AA108+AQ110-15/36*K110-N110,Sheet1!EH108,0))</f>
        <v>0</v>
      </c>
      <c r="AV110" s="535">
        <f>IF(OR(B110&gt;=GD110,B110&lt;GC110),0,15/36*K110-MAX(0,64.6-(137.6-(Sheet1!AA108+Sheet1!AB108))))</f>
        <v>26.933333333333334</v>
      </c>
      <c r="AW110" s="1029"/>
      <c r="AX110" s="649"/>
      <c r="AY110" s="649">
        <f t="shared" si="286"/>
        <v>0</v>
      </c>
      <c r="AZ110" s="649">
        <f t="shared" si="287"/>
        <v>0</v>
      </c>
      <c r="BA110" s="1059">
        <f t="shared" si="288"/>
        <v>0</v>
      </c>
      <c r="BB110" s="1019">
        <f t="shared" si="318"/>
        <v>1427.4666666666665</v>
      </c>
      <c r="BC110" s="1041">
        <f t="shared" si="289"/>
        <v>26.933333333333334</v>
      </c>
      <c r="BD110" s="1019">
        <f ca="1">IF(B110&gt;Summary!$A$1,#N/A,BB110*MGtoAF)</f>
        <v>4379.4677333333329</v>
      </c>
      <c r="BE110" s="535">
        <f>Sheet1!BG108+Sheet1!BH108+Sheet1!BI108-BM110</f>
        <v>1.02</v>
      </c>
      <c r="BF110" s="535">
        <f t="shared" si="319"/>
        <v>1.0176587605202756</v>
      </c>
      <c r="BG110" s="535">
        <f>IF(Sheet1!EP108="FM",BM110,0)</f>
        <v>0</v>
      </c>
      <c r="BH110" s="535">
        <f t="shared" si="320"/>
        <v>0</v>
      </c>
      <c r="BI110" s="535">
        <f>IF(Sheet1!EP108="OTHER",BM110,0)</f>
        <v>0</v>
      </c>
      <c r="BJ110" s="535">
        <f t="shared" si="321"/>
        <v>0</v>
      </c>
      <c r="BK110" s="535">
        <f t="shared" si="322"/>
        <v>1.02</v>
      </c>
      <c r="BL110" s="535">
        <f t="shared" si="323"/>
        <v>1.0176587605202756</v>
      </c>
      <c r="BM110" s="535">
        <f>IF(OR(Sheet1!EP108="FM", Sheet1!EP108="OTHER"),SUM(Sheet1!BG108:'Sheet1'!BI108),0)</f>
        <v>0</v>
      </c>
      <c r="BN110" s="521">
        <f>IF(AND($B110&gt;=$FV110,$B110&lt;=$FW110),MAX(BF110,Sheet1!EI108,0),MAX(BF110-(7/36)*$K110,0))</f>
        <v>0</v>
      </c>
      <c r="BO110" s="535">
        <f t="shared" si="324"/>
        <v>11.551230128368614</v>
      </c>
      <c r="BP110" s="521">
        <f t="shared" si="325"/>
        <v>1.0176587605202756</v>
      </c>
      <c r="BQ110" s="521">
        <f>IF(AND($O110&gt;0,Sheet1!EM108=1),(1-($O110-Sheet1!$L108)/$O110)*BL110,0)</f>
        <v>0</v>
      </c>
      <c r="BR110" s="521">
        <f>IF(AND(Sheet1!$L108=0,Sheet1!$L107=0, Calculation!BK110&lt;Sheet1!$EI108-0.1,Sheet1!$EI108=Sheet1!$EI107,Sheet1!$EI108=Sheet1!$EI109),BL110-BQ110,BL110-BQ110)</f>
        <v>1.0176587605202756</v>
      </c>
      <c r="BS110" s="1035" t="str">
        <f t="shared" si="290"/>
        <v/>
      </c>
      <c r="BT110" s="1035">
        <f t="shared" si="291"/>
        <v>12.568888888888889</v>
      </c>
      <c r="BU110" s="535">
        <f t="shared" si="326"/>
        <v>611.93211754352035</v>
      </c>
      <c r="BV110" s="535"/>
      <c r="BW110" s="535">
        <f ca="1">IF(B110&gt;Summary!$A$1,#N/A,BU110*MGtoAF)</f>
        <v>1877.4077366235206</v>
      </c>
      <c r="BX110" s="535">
        <f>Sheet1!BC108+Sheet1!BD108+Sheet1!BE108+Sheet1!BF108-CG110-CH110</f>
        <v>3.4699999999999998</v>
      </c>
      <c r="BY110" s="535">
        <f t="shared" si="327"/>
        <v>3.4620351951032897</v>
      </c>
      <c r="BZ110" s="535">
        <f>IF(Sheet1!EQ108="FM",CH110,0)</f>
        <v>0</v>
      </c>
      <c r="CA110" s="535">
        <f t="shared" si="328"/>
        <v>0</v>
      </c>
      <c r="CB110" s="535">
        <f>IF(Sheet1!EQ108="OTHER",CH110,0)</f>
        <v>0</v>
      </c>
      <c r="CC110" s="535">
        <f t="shared" si="329"/>
        <v>0</v>
      </c>
      <c r="CD110" s="535">
        <f t="shared" si="330"/>
        <v>0</v>
      </c>
      <c r="CE110" s="535">
        <f t="shared" si="331"/>
        <v>3.4699999999999998</v>
      </c>
      <c r="CF110" s="535">
        <f t="shared" si="332"/>
        <v>3.4620351951032897</v>
      </c>
      <c r="CG110" s="535">
        <f>IF(Sheet1!EQ108="CWA",SUM(Sheet1!BC108:'Sheet1'!BF108),0)</f>
        <v>0</v>
      </c>
      <c r="CH110" s="535">
        <f>IF(OR(Sheet1!EQ108="FM", Sheet1!EQ108="OTHER"),SUM(Sheet1!BC108:'Sheet1'!BF108),0)</f>
        <v>0</v>
      </c>
      <c r="CI110" s="521">
        <f>IF(AND($B110&gt;=$FV110,$B110&lt;=$FW110),MAX(CF110,Sheet1!EJ108,0),MAX(CF110-(7/36)*$K110,0))</f>
        <v>0</v>
      </c>
      <c r="CJ110" s="535">
        <f t="shared" si="333"/>
        <v>9.1068536937855988</v>
      </c>
      <c r="CK110" s="521">
        <f t="shared" si="334"/>
        <v>3.4620351951032897</v>
      </c>
      <c r="CL110" s="521">
        <f>IF(AND($O110&gt;0,Sheet1!EN108=1),(1-($O110-Sheet1!$L108)/$O110)*CF110,0)</f>
        <v>0</v>
      </c>
      <c r="CM110" s="521">
        <f>IF(AND(Sheet1!$L108=0,Sheet1!$L107=0, Calculation!CE110&lt;Sheet1!EJ108-0.1,Sheet1!EJ108=Sheet1!EJ107,Sheet1!EJ108=Sheet1!EJ109),CF110-CL110,CF110-CL110)</f>
        <v>3.4620351951032897</v>
      </c>
      <c r="CN110" s="1040" t="str">
        <f t="shared" si="292"/>
        <v/>
      </c>
      <c r="CO110" s="1035">
        <f t="shared" si="293"/>
        <v>12.568888888888889</v>
      </c>
      <c r="CP110" s="535">
        <f t="shared" si="335"/>
        <v>498.68812041615308</v>
      </c>
      <c r="CQ110" s="535"/>
      <c r="CR110" s="535">
        <f ca="1">IF(B110&gt;Summary!$A$1,#N/A,CP110*MGtoAF)</f>
        <v>1529.9751534367576</v>
      </c>
      <c r="CS110" s="535">
        <f>Sheet1!BK108+Sheet1!BL108+Sheet1!BM108-Sheet1!ER108-DA110</f>
        <v>6.4499999999999993</v>
      </c>
      <c r="CT110" s="535">
        <f t="shared" si="336"/>
        <v>6.4351951032899768</v>
      </c>
      <c r="CU110" s="535">
        <f>IF(Sheet1!ER108="FM",DA110,0)</f>
        <v>0</v>
      </c>
      <c r="CV110" s="535">
        <f t="shared" si="337"/>
        <v>0</v>
      </c>
      <c r="CW110" s="535">
        <f>IF(Sheet1!ER108="OTHER",DA110,0)</f>
        <v>0</v>
      </c>
      <c r="CX110" s="535">
        <f t="shared" si="338"/>
        <v>0</v>
      </c>
      <c r="CY110" s="535">
        <f t="shared" si="339"/>
        <v>6.4499999999999993</v>
      </c>
      <c r="CZ110" s="535">
        <f t="shared" si="340"/>
        <v>6.4351951032899768</v>
      </c>
      <c r="DA110" s="535">
        <f>IF(OR(Sheet1!ER108="FM", Sheet1!ER108="OTHER"),SUM(Sheet1!BK108:'Sheet1'!BM108),0)</f>
        <v>0</v>
      </c>
      <c r="DB110" s="1011">
        <f>IF(AND($B110&gt;=$FV110,$B110&lt;=$FW110),MAX($CT110,Sheet1!EK108,0),MAX($CT110-(7/36)*$K110,0))</f>
        <v>0</v>
      </c>
      <c r="DC110" s="1012">
        <f t="shared" si="341"/>
        <v>6.1336937855989122</v>
      </c>
      <c r="DD110" s="1011">
        <f t="shared" si="342"/>
        <v>6.4351951032899768</v>
      </c>
      <c r="DE110" s="521">
        <f>IF(AND($O110&gt;0,Sheet1!EO108=1),(1-($O110-Sheet1!$L108)/$O110)*CZ110,0)</f>
        <v>0</v>
      </c>
      <c r="DF110" s="521">
        <f>IF(AND(Sheet1!$L108=0,Sheet1!$L107=0, Calculation!CY110&lt;Sheet1!$EK108-0.1,Sheet1!$EK108=Sheet1!$EK107,Sheet1!$EK108=Sheet1!$EK109),CZ110-DE110,CZ110-DE110)</f>
        <v>6.4351951032899768</v>
      </c>
      <c r="DG110" s="1040">
        <f t="shared" si="294"/>
        <v>12.568888888888889</v>
      </c>
      <c r="DH110" s="649">
        <f t="shared" si="343"/>
        <v>10.94</v>
      </c>
      <c r="DI110" s="535">
        <f t="shared" si="344"/>
        <v>321.07162522641568</v>
      </c>
      <c r="DJ110" s="649">
        <f t="shared" si="345"/>
        <v>10.914889058913541</v>
      </c>
      <c r="DK110" s="535">
        <f ca="1">IF(B110&gt;Summary!$A$1,#N/A,DI110*MGtoAF)</f>
        <v>985.04774619464331</v>
      </c>
      <c r="DL110" s="649">
        <f t="shared" si="346"/>
        <v>10.939999999999998</v>
      </c>
      <c r="DM110" s="535">
        <f t="shared" si="347"/>
        <v>26.139999999999997</v>
      </c>
      <c r="DN110" s="535">
        <f>Sheet1!AB108-DM110</f>
        <v>-5.9999999999998721E-2</v>
      </c>
      <c r="DO110" s="743">
        <f t="shared" si="348"/>
        <v>-2.2953328232593237E-3</v>
      </c>
      <c r="DP110" s="535">
        <f>(VLOOKUP(Sheet1!DC108,hhdcap_wcm,4)-(((VLOOKUP(Sheet1!DC108,hhdcap_wcm,3)-Sheet1!DC108)/(VLOOKUP(Sheet1!DC108,hhdcap_wcm,3)-VLOOKUP(Sheet1!DC108,hhdcap_wcm,1)))*(VLOOKUP(Sheet1!DC108,hhdcap_wcm,4)-VLOOKUP(Sheet1!DC108,hhdcap_wcm,2))))</f>
        <v>27520.50000007209</v>
      </c>
      <c r="DQ110" s="535">
        <f t="shared" si="349"/>
        <v>478.10000000226501</v>
      </c>
      <c r="DR110" s="535">
        <f t="shared" si="350"/>
        <v>241.09934442877707</v>
      </c>
      <c r="DS110" s="535">
        <f>Sheet1!EA108*AFtoMG</f>
        <v>0</v>
      </c>
      <c r="DT110" s="535">
        <f>Sheet1!EB108*AFtoMG</f>
        <v>0</v>
      </c>
      <c r="DU110" s="535">
        <f>Sheet1!EC108*AFtoMG</f>
        <v>0</v>
      </c>
      <c r="DV110" s="535">
        <f>Sheet1!ED108*AFtoMG</f>
        <v>0</v>
      </c>
      <c r="DW110" s="535">
        <f t="shared" si="351"/>
        <v>0</v>
      </c>
      <c r="DX110" s="535">
        <f t="shared" si="352"/>
        <v>0</v>
      </c>
      <c r="DY110" s="535">
        <f t="shared" si="353"/>
        <v>2859.1585298527557</v>
      </c>
      <c r="DZ110" s="535">
        <f t="shared" si="354"/>
        <v>8771.8983695882544</v>
      </c>
      <c r="EA110" s="535"/>
      <c r="EB110" s="521">
        <f>IF(OR(B110&lt;FV110,B110&gt;FW110),(MIN(BF110+BY110+CT110+MAX(Sheet1!AA108+AQ110-73,0),K110)),0)</f>
        <v>10.914889058913541</v>
      </c>
      <c r="EC110" s="535"/>
      <c r="ED110" s="535">
        <f t="shared" si="355"/>
        <v>10.914889058913543</v>
      </c>
      <c r="EE110" s="535"/>
      <c r="EF110" s="535">
        <f>Sheet1!EH108+Sheet1!EI108+Sheet1!EJ108+Sheet1!EK108</f>
        <v>11</v>
      </c>
      <c r="EG110" s="1019">
        <f t="shared" si="295"/>
        <v>17.016999999999999</v>
      </c>
      <c r="EH110" s="521">
        <f t="shared" si="356"/>
        <v>0</v>
      </c>
      <c r="EI110" s="535">
        <f>IF(Sheet1!ET108=1,SUM('Calculations II'!AT110:BA110)+'Calculations II'!BC110+Sheet1!BV108+'Calculations II'!BE110+AP110,'Calculations II'!BK110)</f>
        <v>43.645538941086457</v>
      </c>
      <c r="EJ110" s="535">
        <f ca="1">EI110+'Calculations II'!D110+'Calculations II'!E110+'Calculations II'!O110</f>
        <v>43.498490594994948</v>
      </c>
      <c r="EK110" s="535"/>
      <c r="EL110" s="535"/>
      <c r="EM110" s="535">
        <f t="shared" si="357"/>
        <v>42834</v>
      </c>
      <c r="EN110" s="535">
        <f t="shared" si="358"/>
        <v>53.725110941086456</v>
      </c>
      <c r="EO110" s="535">
        <f t="shared" si="359"/>
        <v>83.112746625860737</v>
      </c>
      <c r="EP110" s="535">
        <v>0</v>
      </c>
      <c r="EQ110" s="535">
        <v>0</v>
      </c>
      <c r="ER110" s="535">
        <v>0</v>
      </c>
      <c r="ES110" s="521">
        <f t="shared" si="257"/>
        <v>1.7954286931751633</v>
      </c>
      <c r="ET110" s="535">
        <f>-(VLOOKUP(Sheet1!BQ108,Lookup!$O$4:$Q$262,2)-VLOOKUP(Sheet1!BQ107,Lookup!$O$4:$Q$262,2))/1000000</f>
        <v>0.96661422803746166</v>
      </c>
      <c r="EU110" s="535">
        <f>-(VLOOKUP(Sheet1!BR108,Lookup!$O$4:$Q$262,3)-VLOOKUP(Sheet1!BR107,Lookup!$O$4:$Q$262,3))/1000000</f>
        <v>0.82881446513770152</v>
      </c>
      <c r="EV110" s="535"/>
      <c r="EW110" s="535"/>
      <c r="EX110" s="535"/>
      <c r="EY110" s="535"/>
      <c r="EZ110" s="535"/>
      <c r="FA110" s="535"/>
      <c r="FB110" s="535"/>
      <c r="FC110" s="535"/>
      <c r="FD110" s="567" t="e">
        <f t="shared" si="360"/>
        <v>#N/A</v>
      </c>
      <c r="FE110" s="567" t="e">
        <f t="shared" si="361"/>
        <v>#N/A</v>
      </c>
      <c r="FF110" s="568" t="e">
        <f t="shared" si="362"/>
        <v>#N/A</v>
      </c>
      <c r="FG110" s="569" t="s">
        <v>656</v>
      </c>
      <c r="FH110" s="569" t="s">
        <v>656</v>
      </c>
      <c r="FI110" s="567" t="e">
        <v>#N/A</v>
      </c>
      <c r="FJ110" s="567" t="e">
        <v>#N/A</v>
      </c>
      <c r="FK110" s="535"/>
      <c r="FL110" s="1015">
        <v>0</v>
      </c>
      <c r="FM110" s="535"/>
      <c r="FN110" s="535"/>
      <c r="FO110" s="535">
        <f>O110+((Sheet1!CS108)*GPMtoMGD)</f>
        <v>51.83</v>
      </c>
      <c r="FP110" s="535">
        <f>IF(Sheet1!AA108+AQ110&lt;=Calculation!N110,AQ110,Calculation!N110-Sheet1!AA108)</f>
        <v>15.165110941086457</v>
      </c>
      <c r="FQ110" s="535">
        <f>(Sheet1!BP108+Sheet1!BO108)/694.4</f>
        <v>1.5757488479262673</v>
      </c>
      <c r="FR110" s="541"/>
      <c r="FS110" s="541"/>
      <c r="FT110" s="541"/>
      <c r="FU110" s="541"/>
      <c r="FV110" s="1109">
        <f t="shared" si="258"/>
        <v>42918</v>
      </c>
      <c r="FW110" s="1109">
        <f t="shared" si="259"/>
        <v>43027</v>
      </c>
      <c r="FX110" s="541"/>
      <c r="FY110" s="541">
        <f>Sheet1!DA108-Sheet1!CZ108-Sheet1!AE108</f>
        <v>419.81898999999999</v>
      </c>
      <c r="FZ110" s="535">
        <f t="shared" si="296"/>
        <v>0.20669544852719607</v>
      </c>
      <c r="GA110" s="535"/>
      <c r="GB110" s="535" t="str">
        <f t="shared" si="260"/>
        <v>n</v>
      </c>
      <c r="GC110" s="539">
        <f t="shared" si="261"/>
        <v>42782</v>
      </c>
      <c r="GD110" s="1109">
        <f t="shared" si="262"/>
        <v>42904</v>
      </c>
      <c r="GE110" s="535">
        <f t="shared" si="280"/>
        <v>6520</v>
      </c>
      <c r="GF110" s="1109">
        <f t="shared" si="263"/>
        <v>42909</v>
      </c>
      <c r="GG110" s="535">
        <f t="shared" si="308"/>
        <v>3260</v>
      </c>
      <c r="GH110" s="539">
        <f t="shared" si="264"/>
        <v>43040</v>
      </c>
      <c r="GJ110" s="521">
        <f t="shared" si="265"/>
        <v>0</v>
      </c>
      <c r="GK110" s="535" t="str">
        <f t="shared" si="363"/>
        <v/>
      </c>
      <c r="GL110" s="535">
        <f t="shared" si="266"/>
        <v>0</v>
      </c>
      <c r="GM110" s="535" t="str">
        <f t="shared" si="267"/>
        <v/>
      </c>
      <c r="GN110" s="535">
        <f>IF(GK110="P",Lookup!$M$12,IF(GK110="PP",Lookup!$M$13,IF(GK110="PPP",Lookup!$M$14,IF(GK110="T",Lookup!$M$15,IF(GK110="TP",Lookup!$M$16,IF(GK110="TPP",Lookup!$M$17,IF(GK110="TPPP",Lookup!$M$18,0)))))))*GJ110</f>
        <v>0</v>
      </c>
      <c r="GO110" s="535">
        <f t="shared" si="268"/>
        <v>0</v>
      </c>
      <c r="GP110" s="535">
        <f t="shared" si="364"/>
        <v>4379.4677333333329</v>
      </c>
      <c r="GQ110" s="535">
        <f t="shared" si="279"/>
        <v>1427.4666666666665</v>
      </c>
      <c r="GR110" s="535"/>
      <c r="GS110" s="535">
        <f t="shared" si="269"/>
        <v>0</v>
      </c>
      <c r="GT110" s="535" t="str">
        <f t="shared" si="270"/>
        <v/>
      </c>
      <c r="GU110" s="535">
        <f>IF(GK110="P",Lookup!$N$12,IF(GK110="PP",Lookup!$N$13,IF(GK110="PPP",Lookup!$N$14,IF(GK110="T",Lookup!$N$15,IF(GK110="TP",Lookup!$N$16,IF(GK110="TPP",Lookup!$N$17,IF(GK110="TPPP",Lookup!$N$18,0)))))))*GJ110</f>
        <v>0</v>
      </c>
      <c r="GV110" s="535">
        <f t="shared" si="271"/>
        <v>0</v>
      </c>
      <c r="GW110" s="535">
        <f t="shared" si="365"/>
        <v>1877.4077366235206</v>
      </c>
      <c r="GX110" s="535">
        <f t="shared" si="276"/>
        <v>611.93211754352035</v>
      </c>
      <c r="GY110" s="535"/>
      <c r="GZ110" s="535">
        <f t="shared" si="272"/>
        <v>0</v>
      </c>
      <c r="HA110" s="535" t="str">
        <f t="shared" si="273"/>
        <v/>
      </c>
      <c r="HB110" s="535">
        <f>IF(GK110="P",Lookup!$N$12,IF(GK110="PP",Lookup!$N$13,IF(GK110="PPP",Lookup!$N$14,IF(GK110="T",Lookup!$N$15,IF(GK110="TP",Lookup!$N$16,IF(GK110="TPP",Lookup!$N$17,IF(GK110="TPPP",Lookup!$N$18,0)))))))*GJ110</f>
        <v>0</v>
      </c>
      <c r="HC110" s="521">
        <f t="shared" si="366"/>
        <v>0</v>
      </c>
      <c r="HD110" s="535">
        <f t="shared" si="367"/>
        <v>1529.9751534367576</v>
      </c>
      <c r="HE110" s="535">
        <f t="shared" si="277"/>
        <v>498.68812041615308</v>
      </c>
      <c r="HF110" s="535"/>
      <c r="HG110" s="535">
        <f t="shared" si="274"/>
        <v>0</v>
      </c>
      <c r="HH110" s="535" t="str">
        <f t="shared" si="275"/>
        <v/>
      </c>
      <c r="HI110" s="535">
        <f>IF(GK110="P",Lookup!$N$12,IF(GK110="PP",Lookup!$N$13,IF(GK110="PPP",Lookup!$N$14,IF(GK110="T",Lookup!$N$15,IF(GK110="TP",Lookup!$N$16,IF(GK110="TPP",Lookup!$N$17,IF(GK110="TPPP",Lookup!$N$18,0)))))))*GJ110</f>
        <v>0</v>
      </c>
      <c r="HJ110" s="521">
        <f t="shared" si="368"/>
        <v>0</v>
      </c>
      <c r="HK110" s="535">
        <f t="shared" si="369"/>
        <v>985.04774619464331</v>
      </c>
      <c r="HL110" s="535">
        <f t="shared" si="278"/>
        <v>321.07162522641568</v>
      </c>
      <c r="HM110" s="535"/>
      <c r="HN110" s="541"/>
      <c r="HO110" s="541"/>
      <c r="HP110" s="541"/>
      <c r="HQ110" s="541">
        <f>IF(AND(B110&gt;=$FV$4,B110&lt;=$FW$4),MAX(110/1.02+$HQ$6+MIN(113/1.02,G110),IF($HV$6-(Sheet1!DA108-Sheet1!DB108)+MIN(113/1.02,G110)&lt;G110+FL110,$HV$6-(Sheet1!DA108-Sheet1!DB108)+MIN(113/1.02,G110),G110+FL110)),MIN(110/1.02+$HQ$6+113/1.02,G110))</f>
        <v>218.62745098039215</v>
      </c>
      <c r="HR110" s="541">
        <f t="shared" si="297"/>
        <v>223</v>
      </c>
      <c r="HS110" s="541">
        <f>HR110+(Sheet1!DA108-Sheet1!DB108)</f>
        <v>803</v>
      </c>
      <c r="HT110" s="541">
        <f t="shared" si="298"/>
        <v>63.256830000000001</v>
      </c>
      <c r="HU110" s="541">
        <f t="shared" si="299"/>
        <v>739.74316999999996</v>
      </c>
      <c r="HV110" s="541">
        <f t="shared" si="300"/>
        <v>0</v>
      </c>
      <c r="HW110" s="533" t="str">
        <f t="shared" si="301"/>
        <v/>
      </c>
      <c r="HX110" s="541">
        <f t="shared" si="302"/>
        <v>1571.372549019608</v>
      </c>
      <c r="HY110" s="541">
        <f>Sheet1!CZ108</f>
        <v>1790</v>
      </c>
      <c r="HZ110" s="541">
        <f t="shared" si="303"/>
        <v>0</v>
      </c>
      <c r="IA110" s="541">
        <f t="shared" si="304"/>
        <v>63.256830000000001</v>
      </c>
      <c r="IB110" s="541">
        <f t="shared" si="305"/>
        <v>1790</v>
      </c>
      <c r="IC110" s="1019" t="str">
        <f t="shared" si="306"/>
        <v/>
      </c>
      <c r="ID110" s="541">
        <f t="shared" si="307"/>
        <v>1726.74317</v>
      </c>
      <c r="IE110" s="541">
        <f>Sheet1!DB108</f>
        <v>1710</v>
      </c>
      <c r="IF110" s="533">
        <f>Sheet1!DA108</f>
        <v>2290</v>
      </c>
      <c r="IH110" s="541">
        <f>IF(AND($B110&gt;=$GC110,$B110&lt;=$GH110,$DR110&lt;0)+N("only adjusted when pool is drawn down during storage season"),Sheet1!$DB108+$DR110+N("Palmer minus all storage release"),Sheet1!$DB108)</f>
        <v>1710</v>
      </c>
      <c r="II110" s="541">
        <f>IF(AND($B110&gt;=$GC110,$B110&lt;=$GH110,$DR110&lt;0)+N("only adjusted when pool is drawn down during storage season"),Sheet1!$DA108+$DR110+N("Auburn minus all storage release"),Sheet1!$DA108)</f>
        <v>2290</v>
      </c>
    </row>
    <row r="111" spans="1:243" x14ac:dyDescent="0.25">
      <c r="A111" s="553" t="s">
        <v>4</v>
      </c>
      <c r="B111" s="531">
        <v>42835</v>
      </c>
      <c r="C111" s="536">
        <v>0</v>
      </c>
      <c r="D111" s="506">
        <f t="shared" si="247"/>
        <v>300</v>
      </c>
      <c r="E111" s="506">
        <f t="shared" si="248"/>
        <v>250</v>
      </c>
      <c r="F111" s="506">
        <v>250</v>
      </c>
      <c r="G111" s="535">
        <f>DR111+Sheet1!CZ109</f>
        <v>1740.5194150277357</v>
      </c>
      <c r="H111" s="1074">
        <f t="shared" si="370"/>
        <v>867.03299065599992</v>
      </c>
      <c r="I111" s="534">
        <f>IF(Sheet1!DA109&gt;=E111,(Sheet1!DA109-E111+P111)*CFStoMGD,0)</f>
        <v>1280.728990656</v>
      </c>
      <c r="J111" s="995">
        <f>IF(Sheet1!DB109&gt;=D111,(Sheet1!DB109-D111+P111)*CFStoMGD,0)</f>
        <v>867.03299065599992</v>
      </c>
      <c r="K111" s="818">
        <f t="shared" si="282"/>
        <v>64.64</v>
      </c>
      <c r="L111" s="535">
        <f>Sheet1!AA109+Sheet1!AB109-Sheet1!L109+(Sheet1!DA109-F111)*CFStoMGD-S111-T111-U111</f>
        <v>1216.0899999999997</v>
      </c>
      <c r="M111" s="535">
        <f t="shared" si="309"/>
        <v>1147.573184871407</v>
      </c>
      <c r="N111" s="824">
        <f>IF(Sheet1!DA109&gt;=F111,MIN(113*CFStoMGD,MIN(MAX(L111,0),MAX(M111,0))),0)</f>
        <v>73.043199999999999</v>
      </c>
      <c r="O111" s="538">
        <f>Sheet1!AA109+Sheet1!AB109</f>
        <v>52.57</v>
      </c>
      <c r="P111" s="538">
        <f t="shared" si="310"/>
        <v>81.325789999999984</v>
      </c>
      <c r="Q111" s="812">
        <f t="shared" si="283"/>
        <v>41.9</v>
      </c>
      <c r="R111" s="812">
        <f t="shared" si="249"/>
        <v>10.650145143282472</v>
      </c>
      <c r="S111" s="812">
        <f t="shared" si="250"/>
        <v>10.67</v>
      </c>
      <c r="T111" s="812">
        <f t="shared" si="251"/>
        <v>53.97</v>
      </c>
      <c r="U111" s="812">
        <f t="shared" si="284"/>
        <v>0</v>
      </c>
      <c r="V111" s="812"/>
      <c r="W111" s="812">
        <f t="shared" si="252"/>
        <v>53.989854856717528</v>
      </c>
      <c r="X111" s="812">
        <f t="shared" si="253"/>
        <v>64.64</v>
      </c>
      <c r="Y111" s="812" t="str">
        <f t="shared" si="254"/>
        <v>FALSE</v>
      </c>
      <c r="Z111" s="812">
        <f t="shared" si="255"/>
        <v>52.57</v>
      </c>
      <c r="AA111" s="812">
        <f t="shared" si="256"/>
        <v>52.57</v>
      </c>
      <c r="AB111" s="1059">
        <f t="shared" si="285"/>
        <v>64.819299999999998</v>
      </c>
      <c r="AC111" s="538">
        <f>Sheet1!Y109*MGDtoCFS</f>
        <v>39.835249999999995</v>
      </c>
      <c r="AD111" s="538">
        <f>Sheet1!Z109*MGDtoCFS</f>
        <v>40.222000000000001</v>
      </c>
      <c r="AE111" s="538">
        <f>Sheet1!AA109*MGDtoCFS</f>
        <v>39.835249999999995</v>
      </c>
      <c r="AF111" s="538">
        <f>Sheet1!AB109*MGDtoCFS</f>
        <v>41.490539999999996</v>
      </c>
      <c r="AG111" s="538">
        <f>Sheet1!L109*MGDtoCFS</f>
        <v>0</v>
      </c>
      <c r="AH111" s="521">
        <f t="shared" si="311"/>
        <v>0</v>
      </c>
      <c r="AI111" s="1059">
        <f t="shared" si="312"/>
        <v>0</v>
      </c>
      <c r="AJ111" s="535">
        <f t="shared" si="313"/>
        <v>53.989854856717528</v>
      </c>
      <c r="AK111" s="535">
        <f t="shared" si="314"/>
        <v>83.522305463342008</v>
      </c>
      <c r="AL111" s="535">
        <f>(VLOOKUP(Sheet1!DC109,hhdcap_wcm,4)-(((VLOOKUP(Sheet1!DC109,hhdcap_wcm,3)-Sheet1!DC109)/(VLOOKUP(Sheet1!DC109,hhdcap_wcm,3)-VLOOKUP(Sheet1!DC109,hhdcap_wcm,1)))*(VLOOKUP(Sheet1!DC109,hhdcap_wcm,4)-VLOOKUP(Sheet1!DC109,hhdcap_wcm,2))))</f>
        <v>27700.00000007209</v>
      </c>
      <c r="AM111" s="535">
        <f t="shared" si="315"/>
        <v>179.5</v>
      </c>
      <c r="AN111" s="1035">
        <f t="shared" si="316"/>
        <v>2913.1483847094732</v>
      </c>
      <c r="AO111" s="535">
        <f t="shared" si="317"/>
        <v>8937.5392442886641</v>
      </c>
      <c r="AP111" s="535">
        <f>Sheet1!BA109+Sheet1!BB109+Sheet1!BN109+CD111</f>
        <v>16.2</v>
      </c>
      <c r="AQ111" s="535">
        <f>Sheet1!BN109+(DO111*Sheet1!BN109)</f>
        <v>16.169854856717532</v>
      </c>
      <c r="AR111" s="535">
        <f>Sheet1!BA109+CD111</f>
        <v>0</v>
      </c>
      <c r="AS111" s="535">
        <f>Sheet1!BA109+Sheet1!BB109+CD111</f>
        <v>0</v>
      </c>
      <c r="AT111" s="649">
        <f>0</f>
        <v>0</v>
      </c>
      <c r="AU111" s="535">
        <f>IF(EB111&lt;K111,0,MAX(Sheet1!AA109+AQ111-15/36*K111-N111,Sheet1!EH109,0))</f>
        <v>0</v>
      </c>
      <c r="AV111" s="535">
        <f>IF(OR(B111&gt;=GD111,B111&lt;GC111),0,15/36*K111-MAX(0,64.6-(137.6-(Sheet1!AA109+Sheet1!AB109))))</f>
        <v>26.933333333333334</v>
      </c>
      <c r="AW111" s="1029"/>
      <c r="AX111" s="649"/>
      <c r="AY111" s="649">
        <f t="shared" si="286"/>
        <v>0</v>
      </c>
      <c r="AZ111" s="649">
        <f t="shared" si="287"/>
        <v>0</v>
      </c>
      <c r="BA111" s="1059">
        <f t="shared" si="288"/>
        <v>0</v>
      </c>
      <c r="BB111" s="1019">
        <f t="shared" si="318"/>
        <v>1454.3999999999999</v>
      </c>
      <c r="BC111" s="1041">
        <f t="shared" si="289"/>
        <v>26.933333333333334</v>
      </c>
      <c r="BD111" s="1019">
        <f ca="1">IF(B111&gt;Summary!$A$1,#N/A,BB111*MGtoAF)</f>
        <v>4462.0991999999997</v>
      </c>
      <c r="BE111" s="535">
        <f>Sheet1!BG109+Sheet1!BH109+Sheet1!BI109-BM111</f>
        <v>1.01</v>
      </c>
      <c r="BF111" s="535">
        <f t="shared" si="319"/>
        <v>1.0081205805731299</v>
      </c>
      <c r="BG111" s="535">
        <f>IF(Sheet1!EP109="FM",BM111,0)</f>
        <v>0</v>
      </c>
      <c r="BH111" s="535">
        <f t="shared" si="320"/>
        <v>0</v>
      </c>
      <c r="BI111" s="535">
        <f>IF(Sheet1!EP109="OTHER",BM111,0)</f>
        <v>0</v>
      </c>
      <c r="BJ111" s="535">
        <f t="shared" si="321"/>
        <v>0</v>
      </c>
      <c r="BK111" s="535">
        <f t="shared" si="322"/>
        <v>1.01</v>
      </c>
      <c r="BL111" s="535">
        <f t="shared" si="323"/>
        <v>1.0081205805731299</v>
      </c>
      <c r="BM111" s="535">
        <f>IF(OR(Sheet1!EP109="FM", Sheet1!EP109="OTHER"),SUM(Sheet1!BG109:'Sheet1'!BI109),0)</f>
        <v>0</v>
      </c>
      <c r="BN111" s="521">
        <f>IF(AND($B111&gt;=$FV111,$B111&lt;=$FW111),MAX(BF111,Sheet1!EI109,0),MAX(BF111-(7/36)*$K111,0))</f>
        <v>0</v>
      </c>
      <c r="BO111" s="535">
        <f t="shared" si="324"/>
        <v>11.560768308315758</v>
      </c>
      <c r="BP111" s="521">
        <f t="shared" si="325"/>
        <v>1.0081205805731299</v>
      </c>
      <c r="BQ111" s="521">
        <f>IF(AND($O111&gt;0,Sheet1!EM109=1),(1-($O111-Sheet1!$L109)/$O111)*BL111,0)</f>
        <v>0</v>
      </c>
      <c r="BR111" s="521">
        <f>IF(AND(Sheet1!$L109=0,Sheet1!$L108=0, Calculation!BK111&lt;Sheet1!$EI109-0.1,Sheet1!$EI109=Sheet1!$EI108,Sheet1!$EI109=Sheet1!$EI110),BL111-BQ111,BL111-BQ111)</f>
        <v>1.0081205805731299</v>
      </c>
      <c r="BS111" s="1035" t="str">
        <f t="shared" si="290"/>
        <v/>
      </c>
      <c r="BT111" s="1035">
        <f t="shared" si="291"/>
        <v>12.568888888888889</v>
      </c>
      <c r="BU111" s="535">
        <f t="shared" si="326"/>
        <v>623.49288585183615</v>
      </c>
      <c r="BV111" s="535"/>
      <c r="BW111" s="535">
        <f ca="1">IF(B111&gt;Summary!$A$1,#N/A,BU111*MGtoAF)</f>
        <v>1912.8761737934333</v>
      </c>
      <c r="BX111" s="535">
        <f>Sheet1!BC109+Sheet1!BD109+Sheet1!BE109+Sheet1!BF109-CG111-CH111</f>
        <v>3.1799999999999997</v>
      </c>
      <c r="BY111" s="535">
        <f t="shared" si="327"/>
        <v>3.1740826200223298</v>
      </c>
      <c r="BZ111" s="535">
        <f>IF(Sheet1!EQ109="FM",CH111,0)</f>
        <v>0</v>
      </c>
      <c r="CA111" s="535">
        <f t="shared" si="328"/>
        <v>0</v>
      </c>
      <c r="CB111" s="535">
        <f>IF(Sheet1!EQ109="OTHER",CH111,0)</f>
        <v>0</v>
      </c>
      <c r="CC111" s="535">
        <f t="shared" si="329"/>
        <v>0</v>
      </c>
      <c r="CD111" s="535">
        <f t="shared" si="330"/>
        <v>0</v>
      </c>
      <c r="CE111" s="535">
        <f t="shared" si="331"/>
        <v>3.1799999999999997</v>
      </c>
      <c r="CF111" s="535">
        <f t="shared" si="332"/>
        <v>3.1740826200223298</v>
      </c>
      <c r="CG111" s="535">
        <f>IF(Sheet1!EQ109="CWA",SUM(Sheet1!BC109:'Sheet1'!BF109),0)</f>
        <v>0</v>
      </c>
      <c r="CH111" s="535">
        <f>IF(OR(Sheet1!EQ109="FM", Sheet1!EQ109="OTHER"),SUM(Sheet1!BC109:'Sheet1'!BF109),0)</f>
        <v>0</v>
      </c>
      <c r="CI111" s="521">
        <f>IF(AND($B111&gt;=$FV111,$B111&lt;=$FW111),MAX(CF111,Sheet1!EJ109,0),MAX(CF111-(7/36)*$K111,0))</f>
        <v>0</v>
      </c>
      <c r="CJ111" s="535">
        <f t="shared" si="333"/>
        <v>9.3948062688665601</v>
      </c>
      <c r="CK111" s="521">
        <f t="shared" si="334"/>
        <v>3.1740826200223298</v>
      </c>
      <c r="CL111" s="521">
        <f>IF(AND($O111&gt;0,Sheet1!EN109=1),(1-($O111-Sheet1!$L109)/$O111)*CF111,0)</f>
        <v>0</v>
      </c>
      <c r="CM111" s="521">
        <f>IF(AND(Sheet1!$L109=0,Sheet1!$L108=0, Calculation!CE111&lt;Sheet1!EJ109-0.1,Sheet1!EJ109=Sheet1!EJ108,Sheet1!EJ109=Sheet1!EJ110),CF111-CL111,CF111-CL111)</f>
        <v>3.1740826200223298</v>
      </c>
      <c r="CN111" s="1040" t="str">
        <f t="shared" si="292"/>
        <v/>
      </c>
      <c r="CO111" s="1035">
        <f t="shared" si="293"/>
        <v>12.568888888888889</v>
      </c>
      <c r="CP111" s="535">
        <f t="shared" si="335"/>
        <v>508.08292668501963</v>
      </c>
      <c r="CQ111" s="535"/>
      <c r="CR111" s="535">
        <f ca="1">IF(B111&gt;Summary!$A$1,#N/A,CP111*MGtoAF)</f>
        <v>1558.7984190696402</v>
      </c>
      <c r="CS111" s="535">
        <f>Sheet1!BK109+Sheet1!BL109+Sheet1!BM109-Sheet1!ER109-DA111</f>
        <v>6.48</v>
      </c>
      <c r="CT111" s="535">
        <f t="shared" si="336"/>
        <v>6.4679419426870126</v>
      </c>
      <c r="CU111" s="535">
        <f>IF(Sheet1!ER109="FM",DA111,0)</f>
        <v>0</v>
      </c>
      <c r="CV111" s="535">
        <f t="shared" si="337"/>
        <v>0</v>
      </c>
      <c r="CW111" s="535">
        <f>IF(Sheet1!ER109="OTHER",DA111,0)</f>
        <v>0</v>
      </c>
      <c r="CX111" s="535">
        <f t="shared" si="338"/>
        <v>0</v>
      </c>
      <c r="CY111" s="535">
        <f t="shared" si="339"/>
        <v>6.48</v>
      </c>
      <c r="CZ111" s="535">
        <f t="shared" si="340"/>
        <v>6.4679419426870126</v>
      </c>
      <c r="DA111" s="535">
        <f>IF(OR(Sheet1!ER109="FM", Sheet1!ER109="OTHER"),SUM(Sheet1!BK109:'Sheet1'!BM109),0)</f>
        <v>0</v>
      </c>
      <c r="DB111" s="1011">
        <f>IF(AND($B111&gt;=$FV111,$B111&lt;=$FW111),MAX($CT111,Sheet1!EK109,0),MAX($CT111-(7/36)*$K111,0))</f>
        <v>0</v>
      </c>
      <c r="DC111" s="1012">
        <f t="shared" si="341"/>
        <v>6.1009469462018764</v>
      </c>
      <c r="DD111" s="1011">
        <f t="shared" si="342"/>
        <v>6.4679419426870126</v>
      </c>
      <c r="DE111" s="521">
        <f>IF(AND($O111&gt;0,Sheet1!EO109=1),(1-($O111-Sheet1!$L109)/$O111)*CZ111,0)</f>
        <v>0</v>
      </c>
      <c r="DF111" s="521">
        <f>IF(AND(Sheet1!$L109=0,Sheet1!$L108=0, Calculation!CY111&lt;Sheet1!$EK109-0.1,Sheet1!$EK109=Sheet1!$EK108,Sheet1!$EK109=Sheet1!$EK110),CZ111-DE111,CZ111-DE111)</f>
        <v>6.4679419426870126</v>
      </c>
      <c r="DG111" s="1040">
        <f t="shared" si="294"/>
        <v>12.568888888888889</v>
      </c>
      <c r="DH111" s="649">
        <f t="shared" si="343"/>
        <v>10.67</v>
      </c>
      <c r="DI111" s="535">
        <f t="shared" si="344"/>
        <v>327.17257217261755</v>
      </c>
      <c r="DJ111" s="649">
        <f t="shared" si="345"/>
        <v>10.650145143282472</v>
      </c>
      <c r="DK111" s="535">
        <f ca="1">IF(B111&gt;Summary!$A$1,#N/A,DI111*MGtoAF)</f>
        <v>1003.7654514255906</v>
      </c>
      <c r="DL111" s="649">
        <f t="shared" si="346"/>
        <v>10.67</v>
      </c>
      <c r="DM111" s="535">
        <f t="shared" si="347"/>
        <v>26.869999999999997</v>
      </c>
      <c r="DN111" s="535">
        <f>Sheet1!AB109-DM111</f>
        <v>-4.9999999999997158E-2</v>
      </c>
      <c r="DO111" s="743">
        <f t="shared" si="348"/>
        <v>-1.860811313732682E-3</v>
      </c>
      <c r="DP111" s="535">
        <f>(VLOOKUP(Sheet1!DC109,hhdcap_wcm,4)-(((VLOOKUP(Sheet1!DC109,hhdcap_wcm,3)-Sheet1!DC109)/(VLOOKUP(Sheet1!DC109,hhdcap_wcm,3)-VLOOKUP(Sheet1!DC109,hhdcap_wcm,1)))*(VLOOKUP(Sheet1!DC109,hhdcap_wcm,4)-VLOOKUP(Sheet1!DC109,hhdcap_wcm,2))))</f>
        <v>27700.00000007209</v>
      </c>
      <c r="DQ111" s="535">
        <f t="shared" si="349"/>
        <v>179.5</v>
      </c>
      <c r="DR111" s="535">
        <f t="shared" si="350"/>
        <v>90.519415027735747</v>
      </c>
      <c r="DS111" s="535">
        <f>Sheet1!EA109*AFtoMG</f>
        <v>0</v>
      </c>
      <c r="DT111" s="535">
        <f>Sheet1!EB109*AFtoMG</f>
        <v>0</v>
      </c>
      <c r="DU111" s="535">
        <f>Sheet1!EC109*AFtoMG</f>
        <v>0</v>
      </c>
      <c r="DV111" s="535">
        <f>Sheet1!ED109*AFtoMG</f>
        <v>0</v>
      </c>
      <c r="DW111" s="535">
        <f t="shared" si="351"/>
        <v>0</v>
      </c>
      <c r="DX111" s="535">
        <f t="shared" si="352"/>
        <v>0</v>
      </c>
      <c r="DY111" s="535">
        <f t="shared" si="353"/>
        <v>2913.1483847094732</v>
      </c>
      <c r="DZ111" s="535">
        <f t="shared" si="354"/>
        <v>8937.5392442886641</v>
      </c>
      <c r="EA111" s="535"/>
      <c r="EB111" s="521">
        <f>IF(OR(B111&lt;FV111,B111&gt;FW111),(MIN(BF111+BY111+CT111+MAX(Sheet1!AA109+AQ111-73,0),K111)),0)</f>
        <v>10.650145143282472</v>
      </c>
      <c r="EC111" s="535"/>
      <c r="ED111" s="535">
        <f t="shared" si="355"/>
        <v>10.650145143282472</v>
      </c>
      <c r="EE111" s="535"/>
      <c r="EF111" s="535">
        <f>Sheet1!EH109+Sheet1!EI109+Sheet1!EJ109+Sheet1!EK109</f>
        <v>10.5</v>
      </c>
      <c r="EG111" s="1019">
        <f t="shared" si="295"/>
        <v>16.243500000000001</v>
      </c>
      <c r="EH111" s="521">
        <f t="shared" si="356"/>
        <v>0</v>
      </c>
      <c r="EI111" s="535">
        <f>IF(Sheet1!ET109=1,SUM('Calculations II'!AT111:BA111)+'Calculations II'!BC111+Sheet1!BV109+'Calculations II'!BE111+AP111,'Calculations II'!BK111)</f>
        <v>53.745196856717527</v>
      </c>
      <c r="EJ111" s="535">
        <f ca="1">EI111+'Calculations II'!D111+'Calculations II'!E111+'Calculations II'!O111</f>
        <v>42.238900344421964</v>
      </c>
      <c r="EK111" s="535"/>
      <c r="EL111" s="535"/>
      <c r="EM111" s="535">
        <f t="shared" si="357"/>
        <v>42835</v>
      </c>
      <c r="EN111" s="535">
        <f t="shared" si="358"/>
        <v>53.989854856717528</v>
      </c>
      <c r="EO111" s="535">
        <f t="shared" si="359"/>
        <v>83.522305463342008</v>
      </c>
      <c r="EP111" s="535">
        <v>0</v>
      </c>
      <c r="EQ111" s="535">
        <v>0</v>
      </c>
      <c r="ER111" s="535">
        <v>0</v>
      </c>
      <c r="ES111" s="521">
        <f t="shared" si="257"/>
        <v>11.296823568143004</v>
      </c>
      <c r="ET111" s="535">
        <f>-(VLOOKUP(Sheet1!BQ109,Lookup!$O$4:$Q$262,2)-VLOOKUP(Sheet1!BQ108,Lookup!$O$4:$Q$262,2))/1000000</f>
        <v>11.987486288323401</v>
      </c>
      <c r="EU111" s="535">
        <f>-(VLOOKUP(Sheet1!BR109,Lookup!$O$4:$Q$262,3)-VLOOKUP(Sheet1!BR108,Lookup!$O$4:$Q$262,3))/1000000</f>
        <v>-0.69066272018039598</v>
      </c>
      <c r="EV111" s="535"/>
      <c r="EW111" s="535"/>
      <c r="EX111" s="535"/>
      <c r="EY111" s="535"/>
      <c r="EZ111" s="535"/>
      <c r="FA111" s="535"/>
      <c r="FB111" s="535"/>
      <c r="FC111" s="535"/>
      <c r="FD111" s="567" t="e">
        <f t="shared" si="360"/>
        <v>#N/A</v>
      </c>
      <c r="FE111" s="567" t="e">
        <f t="shared" si="361"/>
        <v>#N/A</v>
      </c>
      <c r="FF111" s="568" t="e">
        <f t="shared" si="362"/>
        <v>#N/A</v>
      </c>
      <c r="FG111" s="569" t="s">
        <v>656</v>
      </c>
      <c r="FH111" s="569" t="s">
        <v>656</v>
      </c>
      <c r="FI111" s="567" t="e">
        <v>#N/A</v>
      </c>
      <c r="FJ111" s="567" t="e">
        <v>#N/A</v>
      </c>
      <c r="FK111" s="535"/>
      <c r="FL111" s="1015">
        <v>0</v>
      </c>
      <c r="FM111" s="535"/>
      <c r="FN111" s="535"/>
      <c r="FO111" s="535">
        <f>O111+((Sheet1!CS109)*GPMtoMGD)</f>
        <v>52.57</v>
      </c>
      <c r="FP111" s="535">
        <f>IF(Sheet1!AA109+AQ111&lt;=Calculation!N111,AQ111,Calculation!N111-Sheet1!AA109)</f>
        <v>16.169854856717532</v>
      </c>
      <c r="FQ111" s="535">
        <f>(Sheet1!BP109+Sheet1!BO109)/694.4</f>
        <v>1.5463709677419355</v>
      </c>
      <c r="FR111" s="541"/>
      <c r="FS111" s="541"/>
      <c r="FT111" s="541"/>
      <c r="FU111" s="541"/>
      <c r="FV111" s="1109">
        <f t="shared" si="258"/>
        <v>42918</v>
      </c>
      <c r="FW111" s="1109">
        <f t="shared" si="259"/>
        <v>43027</v>
      </c>
      <c r="FX111" s="541"/>
      <c r="FY111" s="541">
        <f>Sheet1!DA109-Sheet1!CZ109-Sheet1!AE109</f>
        <v>418.67421000000002</v>
      </c>
      <c r="FZ111" s="535">
        <f t="shared" si="296"/>
        <v>0.24054555576062236</v>
      </c>
      <c r="GA111" s="535"/>
      <c r="GB111" s="535" t="str">
        <f t="shared" si="260"/>
        <v>n</v>
      </c>
      <c r="GC111" s="539">
        <f t="shared" si="261"/>
        <v>42782</v>
      </c>
      <c r="GD111" s="1109">
        <f t="shared" si="262"/>
        <v>42904</v>
      </c>
      <c r="GE111" s="535">
        <f t="shared" si="280"/>
        <v>6520</v>
      </c>
      <c r="GF111" s="1109">
        <f t="shared" si="263"/>
        <v>42909</v>
      </c>
      <c r="GG111" s="535">
        <f t="shared" si="308"/>
        <v>3260</v>
      </c>
      <c r="GH111" s="539">
        <f t="shared" si="264"/>
        <v>43040</v>
      </c>
      <c r="GJ111" s="521">
        <f t="shared" si="265"/>
        <v>0</v>
      </c>
      <c r="GK111" s="535" t="str">
        <f t="shared" si="363"/>
        <v/>
      </c>
      <c r="GL111" s="535">
        <f t="shared" si="266"/>
        <v>0</v>
      </c>
      <c r="GM111" s="535" t="str">
        <f t="shared" si="267"/>
        <v/>
      </c>
      <c r="GN111" s="535">
        <f>IF(GK111="P",Lookup!$M$12,IF(GK111="PP",Lookup!$M$13,IF(GK111="PPP",Lookup!$M$14,IF(GK111="T",Lookup!$M$15,IF(GK111="TP",Lookup!$M$16,IF(GK111="TPP",Lookup!$M$17,IF(GK111="TPPP",Lookup!$M$18,0)))))))*GJ111</f>
        <v>0</v>
      </c>
      <c r="GO111" s="535">
        <f t="shared" si="268"/>
        <v>0</v>
      </c>
      <c r="GP111" s="535">
        <f t="shared" si="364"/>
        <v>4462.0991999999997</v>
      </c>
      <c r="GQ111" s="535">
        <f t="shared" si="279"/>
        <v>1454.3999999999999</v>
      </c>
      <c r="GR111" s="535"/>
      <c r="GS111" s="535">
        <f t="shared" si="269"/>
        <v>0</v>
      </c>
      <c r="GT111" s="535" t="str">
        <f t="shared" si="270"/>
        <v/>
      </c>
      <c r="GU111" s="535">
        <f>IF(GK111="P",Lookup!$N$12,IF(GK111="PP",Lookup!$N$13,IF(GK111="PPP",Lookup!$N$14,IF(GK111="T",Lookup!$N$15,IF(GK111="TP",Lookup!$N$16,IF(GK111="TPP",Lookup!$N$17,IF(GK111="TPPP",Lookup!$N$18,0)))))))*GJ111</f>
        <v>0</v>
      </c>
      <c r="GV111" s="535">
        <f t="shared" si="271"/>
        <v>0</v>
      </c>
      <c r="GW111" s="535">
        <f t="shared" si="365"/>
        <v>1912.8761737934333</v>
      </c>
      <c r="GX111" s="535">
        <f t="shared" si="276"/>
        <v>623.49288585183615</v>
      </c>
      <c r="GY111" s="535"/>
      <c r="GZ111" s="535">
        <f t="shared" si="272"/>
        <v>0</v>
      </c>
      <c r="HA111" s="535" t="str">
        <f t="shared" si="273"/>
        <v/>
      </c>
      <c r="HB111" s="535">
        <f>IF(GK111="P",Lookup!$N$12,IF(GK111="PP",Lookup!$N$13,IF(GK111="PPP",Lookup!$N$14,IF(GK111="T",Lookup!$N$15,IF(GK111="TP",Lookup!$N$16,IF(GK111="TPP",Lookup!$N$17,IF(GK111="TPPP",Lookup!$N$18,0)))))))*GJ111</f>
        <v>0</v>
      </c>
      <c r="HC111" s="521">
        <f t="shared" si="366"/>
        <v>0</v>
      </c>
      <c r="HD111" s="535">
        <f t="shared" si="367"/>
        <v>1558.7984190696402</v>
      </c>
      <c r="HE111" s="535">
        <f t="shared" si="277"/>
        <v>508.08292668501963</v>
      </c>
      <c r="HF111" s="535"/>
      <c r="HG111" s="535">
        <f t="shared" si="274"/>
        <v>0</v>
      </c>
      <c r="HH111" s="535" t="str">
        <f t="shared" si="275"/>
        <v/>
      </c>
      <c r="HI111" s="535">
        <f>IF(GK111="P",Lookup!$N$12,IF(GK111="PP",Lookup!$N$13,IF(GK111="PPP",Lookup!$N$14,IF(GK111="T",Lookup!$N$15,IF(GK111="TP",Lookup!$N$16,IF(GK111="TPP",Lookup!$N$17,IF(GK111="TPPP",Lookup!$N$18,0)))))))*GJ111</f>
        <v>0</v>
      </c>
      <c r="HJ111" s="521">
        <f t="shared" si="368"/>
        <v>0</v>
      </c>
      <c r="HK111" s="535">
        <f t="shared" si="369"/>
        <v>1003.7654514255906</v>
      </c>
      <c r="HL111" s="535">
        <f t="shared" si="278"/>
        <v>327.17257217261755</v>
      </c>
      <c r="HM111" s="535"/>
      <c r="HN111" s="541"/>
      <c r="HO111" s="541"/>
      <c r="HP111" s="541"/>
      <c r="HQ111" s="541">
        <f>IF(AND(B111&gt;=$FV$4,B111&lt;=$FW$4),MAX(110/1.02+$HQ$6+MIN(113/1.02,G111),IF($HV$6-(Sheet1!DA109-Sheet1!DB109)+MIN(113/1.02,G111)&lt;G111+FL111,$HV$6-(Sheet1!DA109-Sheet1!DB109)+MIN(113/1.02,G111),G111+FL111)),MIN(110/1.02+$HQ$6+113/1.02,G111))</f>
        <v>218.62745098039215</v>
      </c>
      <c r="HR111" s="541">
        <f t="shared" si="297"/>
        <v>223</v>
      </c>
      <c r="HS111" s="541">
        <f>HR111+(Sheet1!DA109-Sheet1!DB109)</f>
        <v>813</v>
      </c>
      <c r="HT111" s="541">
        <f t="shared" si="298"/>
        <v>64.819299999999998</v>
      </c>
      <c r="HU111" s="541">
        <f t="shared" si="299"/>
        <v>748.1807</v>
      </c>
      <c r="HV111" s="541">
        <f t="shared" si="300"/>
        <v>0</v>
      </c>
      <c r="HW111" s="533" t="str">
        <f t="shared" si="301"/>
        <v/>
      </c>
      <c r="HX111" s="541">
        <f t="shared" si="302"/>
        <v>1431.372549019608</v>
      </c>
      <c r="HY111" s="541">
        <f>Sheet1!CZ109</f>
        <v>1650</v>
      </c>
      <c r="HZ111" s="541">
        <f t="shared" si="303"/>
        <v>0</v>
      </c>
      <c r="IA111" s="541">
        <f t="shared" si="304"/>
        <v>64.819299999999998</v>
      </c>
      <c r="IB111" s="541">
        <f t="shared" si="305"/>
        <v>1650</v>
      </c>
      <c r="IC111" s="1019" t="str">
        <f t="shared" si="306"/>
        <v/>
      </c>
      <c r="ID111" s="541">
        <f t="shared" si="307"/>
        <v>1585.1806999999999</v>
      </c>
      <c r="IE111" s="541">
        <f>Sheet1!DB109</f>
        <v>1560</v>
      </c>
      <c r="IF111" s="533">
        <f>Sheet1!DA109</f>
        <v>2150</v>
      </c>
      <c r="IH111" s="541">
        <f>IF(AND($B111&gt;=$GC111,$B111&lt;=$GH111,$DR111&lt;0)+N("only adjusted when pool is drawn down during storage season"),Sheet1!$DB109+$DR111+N("Palmer minus all storage release"),Sheet1!$DB109)</f>
        <v>1560</v>
      </c>
      <c r="II111" s="541">
        <f>IF(AND($B111&gt;=$GC111,$B111&lt;=$GH111,$DR111&lt;0)+N("only adjusted when pool is drawn down during storage season"),Sheet1!$DA109+$DR111+N("Auburn minus all storage release"),Sheet1!$DA109)</f>
        <v>2150</v>
      </c>
    </row>
    <row r="112" spans="1:243" x14ac:dyDescent="0.25">
      <c r="A112" s="553" t="s">
        <v>5</v>
      </c>
      <c r="B112" s="531">
        <v>42836</v>
      </c>
      <c r="C112" s="536">
        <v>0</v>
      </c>
      <c r="D112" s="506">
        <f t="shared" si="247"/>
        <v>300</v>
      </c>
      <c r="E112" s="506">
        <f t="shared" si="248"/>
        <v>250</v>
      </c>
      <c r="F112" s="506">
        <v>250</v>
      </c>
      <c r="G112" s="535">
        <f>DR112+Sheet1!CZ110</f>
        <v>1504.2965204236978</v>
      </c>
      <c r="H112" s="1074">
        <f t="shared" si="370"/>
        <v>739.052965696</v>
      </c>
      <c r="I112" s="534">
        <f>IF(Sheet1!DA110&gt;=E112,(Sheet1!DA110-E112+P112)*CFStoMGD,0)</f>
        <v>1133.3569656960001</v>
      </c>
      <c r="J112" s="995">
        <f>IF(Sheet1!DB110&gt;=D112,(Sheet1!DB110-D112+P112)*CFStoMGD,0)</f>
        <v>739.052965696</v>
      </c>
      <c r="K112" s="818">
        <f t="shared" si="282"/>
        <v>64.64</v>
      </c>
      <c r="L112" s="535">
        <f>Sheet1!AA110+Sheet1!AB110-Sheet1!L110+(Sheet1!DA110-F112)*CFStoMGD-S112-T112-U112</f>
        <v>1068.7180000000001</v>
      </c>
      <c r="M112" s="535">
        <f t="shared" si="309"/>
        <v>991.82481621791578</v>
      </c>
      <c r="N112" s="824">
        <f>IF(Sheet1!DA110&gt;=F112,MIN(113*CFStoMGD,MIN(MAX(L112,0),MAX(M112,0))),0)</f>
        <v>73.043199999999999</v>
      </c>
      <c r="O112" s="538">
        <f>Sheet1!AA110+Sheet1!AB110</f>
        <v>53.870000000000005</v>
      </c>
      <c r="P112" s="538">
        <f t="shared" si="310"/>
        <v>83.336889999999997</v>
      </c>
      <c r="Q112" s="812">
        <f t="shared" si="283"/>
        <v>43.38</v>
      </c>
      <c r="R112" s="812">
        <f t="shared" si="249"/>
        <v>10.445345867328843</v>
      </c>
      <c r="S112" s="812">
        <f t="shared" si="250"/>
        <v>10.49</v>
      </c>
      <c r="T112" s="812">
        <f t="shared" si="251"/>
        <v>54.15</v>
      </c>
      <c r="U112" s="812">
        <f t="shared" si="284"/>
        <v>0</v>
      </c>
      <c r="V112" s="812"/>
      <c r="W112" s="812">
        <f t="shared" si="252"/>
        <v>54.194654132671161</v>
      </c>
      <c r="X112" s="812">
        <f t="shared" si="253"/>
        <v>64.64</v>
      </c>
      <c r="Y112" s="812" t="str">
        <f t="shared" si="254"/>
        <v>FALSE</v>
      </c>
      <c r="Z112" s="812">
        <f t="shared" si="255"/>
        <v>53.870000000000005</v>
      </c>
      <c r="AA112" s="812">
        <f t="shared" si="256"/>
        <v>53.870000000000005</v>
      </c>
      <c r="AB112" s="1059">
        <f t="shared" si="285"/>
        <v>67.108860000000007</v>
      </c>
      <c r="AC112" s="538">
        <f>Sheet1!Y110*MGDtoCFS</f>
        <v>39.835249999999995</v>
      </c>
      <c r="AD112" s="538">
        <f>Sheet1!Z110*MGDtoCFS</f>
        <v>41.351309999999998</v>
      </c>
      <c r="AE112" s="538">
        <f>Sheet1!AA110*MGDtoCFS</f>
        <v>39.912599999999998</v>
      </c>
      <c r="AF112" s="538">
        <f>Sheet1!AB110*MGDtoCFS</f>
        <v>43.424289999999999</v>
      </c>
      <c r="AG112" s="538">
        <f>Sheet1!L110*MGDtoCFS</f>
        <v>0</v>
      </c>
      <c r="AH112" s="521">
        <f t="shared" si="311"/>
        <v>0</v>
      </c>
      <c r="AI112" s="1059">
        <f t="shared" si="312"/>
        <v>0</v>
      </c>
      <c r="AJ112" s="535">
        <f t="shared" si="313"/>
        <v>54.194654132671161</v>
      </c>
      <c r="AK112" s="535">
        <f t="shared" si="314"/>
        <v>83.839129943242284</v>
      </c>
      <c r="AL112" s="535">
        <f>(VLOOKUP(Sheet1!DC110,hhdcap_wcm,4)-(((VLOOKUP(Sheet1!DC110,hhdcap_wcm,3)-Sheet1!DC110)/(VLOOKUP(Sheet1!DC110,hhdcap_wcm,3)-VLOOKUP(Sheet1!DC110,hhdcap_wcm,1)))*(VLOOKUP(Sheet1!DC110,hhdcap_wcm,4)-VLOOKUP(Sheet1!DC110,hhdcap_wcm,2))))</f>
        <v>27827.500000072283</v>
      </c>
      <c r="AM112" s="535">
        <f t="shared" si="315"/>
        <v>127.50000000019281</v>
      </c>
      <c r="AN112" s="1035">
        <f t="shared" si="316"/>
        <v>2967.3430388421443</v>
      </c>
      <c r="AO112" s="535">
        <f t="shared" si="317"/>
        <v>9103.8084431676998</v>
      </c>
      <c r="AP112" s="535">
        <f>Sheet1!BA110+Sheet1!BB110+Sheet1!BN110+CD112</f>
        <v>17.7</v>
      </c>
      <c r="AQ112" s="535">
        <f>Sheet1!BN110+(DO112*Sheet1!BN110)</f>
        <v>17.624654132671161</v>
      </c>
      <c r="AR112" s="535">
        <f>Sheet1!BA110+CD112</f>
        <v>0</v>
      </c>
      <c r="AS112" s="535">
        <f>Sheet1!BA110+Sheet1!BB110+CD112</f>
        <v>0</v>
      </c>
      <c r="AT112" s="649">
        <f>0</f>
        <v>0</v>
      </c>
      <c r="AU112" s="535">
        <f>IF(EB112&lt;K112,0,MAX(Sheet1!AA110+AQ112-15/36*K112-N112,Sheet1!EH110,0))</f>
        <v>0</v>
      </c>
      <c r="AV112" s="535">
        <f>IF(OR(B112&gt;=GD112,B112&lt;GC112),0,15/36*K112-MAX(0,64.6-(137.6-(Sheet1!AA110+Sheet1!AB110))))</f>
        <v>26.933333333333334</v>
      </c>
      <c r="AW112" s="1029"/>
      <c r="AX112" s="649"/>
      <c r="AY112" s="649">
        <f t="shared" si="286"/>
        <v>0</v>
      </c>
      <c r="AZ112" s="649">
        <f t="shared" si="287"/>
        <v>0</v>
      </c>
      <c r="BA112" s="1059">
        <f t="shared" si="288"/>
        <v>0</v>
      </c>
      <c r="BB112" s="1019">
        <f t="shared" si="318"/>
        <v>1481.3333333333333</v>
      </c>
      <c r="BC112" s="1041">
        <f t="shared" si="289"/>
        <v>26.933333333333334</v>
      </c>
      <c r="BD112" s="1019">
        <f ca="1">IF(B112&gt;Summary!$A$1,#N/A,BB112*MGtoAF)</f>
        <v>4544.7306666666664</v>
      </c>
      <c r="BE112" s="535">
        <f>Sheet1!BG110+Sheet1!BH110+Sheet1!BI110-BM112</f>
        <v>1.01</v>
      </c>
      <c r="BF112" s="535">
        <f t="shared" si="319"/>
        <v>1.0057006030507274</v>
      </c>
      <c r="BG112" s="535">
        <f>IF(Sheet1!EP110="FM",BM112,0)</f>
        <v>0</v>
      </c>
      <c r="BH112" s="535">
        <f t="shared" si="320"/>
        <v>0</v>
      </c>
      <c r="BI112" s="535">
        <f>IF(Sheet1!EP110="OTHER",BM112,0)</f>
        <v>0</v>
      </c>
      <c r="BJ112" s="535">
        <f t="shared" si="321"/>
        <v>0</v>
      </c>
      <c r="BK112" s="535">
        <f t="shared" si="322"/>
        <v>1.01</v>
      </c>
      <c r="BL112" s="535">
        <f t="shared" si="323"/>
        <v>1.0057006030507274</v>
      </c>
      <c r="BM112" s="535">
        <f>IF(OR(Sheet1!EP110="FM", Sheet1!EP110="OTHER"),SUM(Sheet1!BG110:'Sheet1'!BI110),0)</f>
        <v>0</v>
      </c>
      <c r="BN112" s="521">
        <f>IF(AND($B112&gt;=$FV112,$B112&lt;=$FW112),MAX(BF112,Sheet1!EI110,0),MAX(BF112-(7/36)*$K112,0))</f>
        <v>0</v>
      </c>
      <c r="BO112" s="535">
        <f t="shared" si="324"/>
        <v>11.563188285838162</v>
      </c>
      <c r="BP112" s="521">
        <f t="shared" si="325"/>
        <v>1.0057006030507274</v>
      </c>
      <c r="BQ112" s="521">
        <f>IF(AND($O112&gt;0,Sheet1!EM110=1),(1-($O112-Sheet1!$L110)/$O112)*BL112,0)</f>
        <v>0</v>
      </c>
      <c r="BR112" s="521">
        <f>IF(AND(Sheet1!$L110=0,Sheet1!$L109=0, Calculation!BK112&lt;Sheet1!$EI110-0.1,Sheet1!$EI110=Sheet1!$EI109,Sheet1!$EI110=Sheet1!$EI111),BL112-BQ112,BL112-BQ112)</f>
        <v>1.0057006030507274</v>
      </c>
      <c r="BS112" s="1035" t="str">
        <f t="shared" si="290"/>
        <v/>
      </c>
      <c r="BT112" s="1035">
        <f t="shared" si="291"/>
        <v>12.568888888888889</v>
      </c>
      <c r="BU112" s="535">
        <f t="shared" si="326"/>
        <v>635.05607413767427</v>
      </c>
      <c r="BV112" s="535"/>
      <c r="BW112" s="535">
        <f ca="1">IF(B112&gt;Summary!$A$1,#N/A,BU112*MGtoAF)</f>
        <v>1948.3520354543848</v>
      </c>
      <c r="BX112" s="535">
        <f>Sheet1!BC110+Sheet1!BD110+Sheet1!BE110+Sheet1!BF110-CG112-CH112</f>
        <v>2.99</v>
      </c>
      <c r="BY112" s="535">
        <f t="shared" si="327"/>
        <v>2.977272082298688</v>
      </c>
      <c r="BZ112" s="535">
        <f>IF(Sheet1!EQ110="FM",CH112,0)</f>
        <v>0</v>
      </c>
      <c r="CA112" s="535">
        <f t="shared" si="328"/>
        <v>0</v>
      </c>
      <c r="CB112" s="535">
        <f>IF(Sheet1!EQ110="OTHER",CH112,0)</f>
        <v>0</v>
      </c>
      <c r="CC112" s="535">
        <f t="shared" si="329"/>
        <v>0</v>
      </c>
      <c r="CD112" s="535">
        <f t="shared" si="330"/>
        <v>0</v>
      </c>
      <c r="CE112" s="535">
        <f t="shared" si="331"/>
        <v>2.99</v>
      </c>
      <c r="CF112" s="535">
        <f t="shared" si="332"/>
        <v>2.977272082298688</v>
      </c>
      <c r="CG112" s="535">
        <f>IF(Sheet1!EQ110="CWA",SUM(Sheet1!BC110:'Sheet1'!BF110),0)</f>
        <v>0</v>
      </c>
      <c r="CH112" s="535">
        <f>IF(OR(Sheet1!EQ110="FM", Sheet1!EQ110="OTHER"),SUM(Sheet1!BC110:'Sheet1'!BF110),0)</f>
        <v>0</v>
      </c>
      <c r="CI112" s="521">
        <f>IF(AND($B112&gt;=$FV112,$B112&lt;=$FW112),MAX(CF112,Sheet1!EJ110,0),MAX(CF112-(7/36)*$K112,0))</f>
        <v>0</v>
      </c>
      <c r="CJ112" s="535">
        <f t="shared" si="333"/>
        <v>9.591616806590201</v>
      </c>
      <c r="CK112" s="521">
        <f t="shared" si="334"/>
        <v>2.977272082298688</v>
      </c>
      <c r="CL112" s="521">
        <f>IF(AND($O112&gt;0,Sheet1!EN110=1),(1-($O112-Sheet1!$L110)/$O112)*CF112,0)</f>
        <v>0</v>
      </c>
      <c r="CM112" s="521">
        <f>IF(AND(Sheet1!$L110=0,Sheet1!$L109=0, Calculation!CE112&lt;Sheet1!EJ110-0.1,Sheet1!EJ110=Sheet1!EJ109,Sheet1!EJ110=Sheet1!EJ111),CF112-CL112,CF112-CL112)</f>
        <v>2.977272082298688</v>
      </c>
      <c r="CN112" s="1040" t="str">
        <f t="shared" si="292"/>
        <v/>
      </c>
      <c r="CO112" s="1035">
        <f t="shared" si="293"/>
        <v>12.568888888888889</v>
      </c>
      <c r="CP112" s="535">
        <f t="shared" si="335"/>
        <v>517.67454349160982</v>
      </c>
      <c r="CQ112" s="535"/>
      <c r="CR112" s="535">
        <f ca="1">IF(B112&gt;Summary!$A$1,#N/A,CP112*MGtoAF)</f>
        <v>1588.2254994322591</v>
      </c>
      <c r="CS112" s="535">
        <f>Sheet1!BK110+Sheet1!BL110+Sheet1!BM110-Sheet1!ER110-DA112</f>
        <v>6.49</v>
      </c>
      <c r="CT112" s="535">
        <f t="shared" si="336"/>
        <v>6.4623731819794266</v>
      </c>
      <c r="CU112" s="535">
        <f>IF(Sheet1!ER110="FM",DA112,0)</f>
        <v>0</v>
      </c>
      <c r="CV112" s="535">
        <f t="shared" si="337"/>
        <v>0</v>
      </c>
      <c r="CW112" s="535">
        <f>IF(Sheet1!ER110="OTHER",DA112,0)</f>
        <v>0</v>
      </c>
      <c r="CX112" s="535">
        <f t="shared" si="338"/>
        <v>0</v>
      </c>
      <c r="CY112" s="535">
        <f t="shared" si="339"/>
        <v>6.49</v>
      </c>
      <c r="CZ112" s="535">
        <f t="shared" si="340"/>
        <v>6.4623731819794266</v>
      </c>
      <c r="DA112" s="535">
        <f>IF(OR(Sheet1!ER110="FM", Sheet1!ER110="OTHER"),SUM(Sheet1!BK110:'Sheet1'!BM110),0)</f>
        <v>0</v>
      </c>
      <c r="DB112" s="1011">
        <f>IF(AND($B112&gt;=$FV112,$B112&lt;=$FW112),MAX($CT112,Sheet1!EK110,0),MAX($CT112-(7/36)*$K112,0))</f>
        <v>0</v>
      </c>
      <c r="DC112" s="1012">
        <f t="shared" si="341"/>
        <v>6.1065157069094624</v>
      </c>
      <c r="DD112" s="1011">
        <f t="shared" si="342"/>
        <v>6.4623731819794266</v>
      </c>
      <c r="DE112" s="521">
        <f>IF(AND($O112&gt;0,Sheet1!EO110=1),(1-($O112-Sheet1!$L110)/$O112)*CZ112,0)</f>
        <v>0</v>
      </c>
      <c r="DF112" s="521">
        <f>IF(AND(Sheet1!$L110=0,Sheet1!$L109=0, Calculation!CY112&lt;Sheet1!$EK110-0.1,Sheet1!$EK110=Sheet1!$EK109,Sheet1!$EK110=Sheet1!$EK111),CZ112-DE112,CZ112-DE112)</f>
        <v>6.4623731819794266</v>
      </c>
      <c r="DG112" s="1040">
        <f t="shared" si="294"/>
        <v>12.568888888888889</v>
      </c>
      <c r="DH112" s="649">
        <f t="shared" si="343"/>
        <v>10.49</v>
      </c>
      <c r="DI112" s="535">
        <f t="shared" si="344"/>
        <v>333.27908787952703</v>
      </c>
      <c r="DJ112" s="649">
        <f t="shared" si="345"/>
        <v>10.445345867328843</v>
      </c>
      <c r="DK112" s="535">
        <f ca="1">IF(B112&gt;Summary!$A$1,#N/A,DI112*MGtoAF)</f>
        <v>1022.500241614389</v>
      </c>
      <c r="DL112" s="649">
        <f t="shared" si="346"/>
        <v>10.49</v>
      </c>
      <c r="DM112" s="535">
        <f t="shared" si="347"/>
        <v>28.189999999999998</v>
      </c>
      <c r="DN112" s="535">
        <f>Sheet1!AB110-DM112</f>
        <v>-0.11999999999999744</v>
      </c>
      <c r="DO112" s="743">
        <f t="shared" si="348"/>
        <v>-4.2568286626462381E-3</v>
      </c>
      <c r="DP112" s="535">
        <f>(VLOOKUP(Sheet1!DC110,hhdcap_wcm,4)-(((VLOOKUP(Sheet1!DC110,hhdcap_wcm,3)-Sheet1!DC110)/(VLOOKUP(Sheet1!DC110,hhdcap_wcm,3)-VLOOKUP(Sheet1!DC110,hhdcap_wcm,1)))*(VLOOKUP(Sheet1!DC110,hhdcap_wcm,4)-VLOOKUP(Sheet1!DC110,hhdcap_wcm,2))))</f>
        <v>27827.500000072283</v>
      </c>
      <c r="DQ112" s="535">
        <f t="shared" si="349"/>
        <v>127.50000000019281</v>
      </c>
      <c r="DR112" s="535">
        <f t="shared" si="350"/>
        <v>64.296520423697828</v>
      </c>
      <c r="DS112" s="535">
        <f>Sheet1!EA110*AFtoMG</f>
        <v>0</v>
      </c>
      <c r="DT112" s="535">
        <f>Sheet1!EB110*AFtoMG</f>
        <v>0</v>
      </c>
      <c r="DU112" s="535">
        <f>Sheet1!EC110*AFtoMG</f>
        <v>0</v>
      </c>
      <c r="DV112" s="535">
        <f>Sheet1!ED110*AFtoMG</f>
        <v>0</v>
      </c>
      <c r="DW112" s="535">
        <f t="shared" si="351"/>
        <v>0</v>
      </c>
      <c r="DX112" s="535">
        <f t="shared" si="352"/>
        <v>0</v>
      </c>
      <c r="DY112" s="535">
        <f t="shared" si="353"/>
        <v>2967.3430388421443</v>
      </c>
      <c r="DZ112" s="535">
        <f t="shared" si="354"/>
        <v>9103.8084431676998</v>
      </c>
      <c r="EA112" s="535"/>
      <c r="EB112" s="521">
        <f>IF(OR(B112&lt;FV112,B112&gt;FW112),(MIN(BF112+BY112+CT112+MAX(Sheet1!AA110+AQ112-73,0),K112)),0)</f>
        <v>10.445345867328843</v>
      </c>
      <c r="EC112" s="535"/>
      <c r="ED112" s="535">
        <f t="shared" si="355"/>
        <v>10.445345867328843</v>
      </c>
      <c r="EE112" s="535"/>
      <c r="EF112" s="535">
        <f>Sheet1!EH110+Sheet1!EI110+Sheet1!EJ110+Sheet1!EK110</f>
        <v>10.5</v>
      </c>
      <c r="EG112" s="1019">
        <f t="shared" si="295"/>
        <v>16.243500000000001</v>
      </c>
      <c r="EH112" s="521">
        <f t="shared" si="356"/>
        <v>0</v>
      </c>
      <c r="EI112" s="535">
        <f>IF(Sheet1!ET110=1,SUM('Calculations II'!AT112:BA112)+'Calculations II'!BC112+Sheet1!BV110+'Calculations II'!BE112+AP112,'Calculations II'!BK112)</f>
        <v>50.491590132671163</v>
      </c>
      <c r="EJ112" s="535">
        <f ca="1">EI112+'Calculations II'!D112+'Calculations II'!E112+'Calculations II'!O112</f>
        <v>43.832106963721962</v>
      </c>
      <c r="EK112" s="535"/>
      <c r="EL112" s="535"/>
      <c r="EM112" s="535">
        <f t="shared" si="357"/>
        <v>42836</v>
      </c>
      <c r="EN112" s="535">
        <f t="shared" si="358"/>
        <v>54.194654132671161</v>
      </c>
      <c r="EO112" s="535">
        <f t="shared" si="359"/>
        <v>83.839129943242284</v>
      </c>
      <c r="EP112" s="535">
        <v>0</v>
      </c>
      <c r="EQ112" s="535">
        <v>0</v>
      </c>
      <c r="ER112" s="535">
        <v>0</v>
      </c>
      <c r="ES112" s="521">
        <f t="shared" si="257"/>
        <v>5.7391898570962896</v>
      </c>
      <c r="ET112" s="535">
        <f>-(VLOOKUP(Sheet1!BQ110,Lookup!$O$4:$Q$262,2)-VLOOKUP(Sheet1!BQ109,Lookup!$O$4:$Q$262,2))/1000000</f>
        <v>4.4961121574309031</v>
      </c>
      <c r="EU112" s="535">
        <f>-(VLOOKUP(Sheet1!BR110,Lookup!$O$4:$Q$262,3)-VLOOKUP(Sheet1!BR109,Lookup!$O$4:$Q$262,3))/1000000</f>
        <v>1.2430776996653863</v>
      </c>
      <c r="EV112" s="535"/>
      <c r="EW112" s="535"/>
      <c r="EX112" s="535"/>
      <c r="EY112" s="535"/>
      <c r="EZ112" s="535"/>
      <c r="FA112" s="535"/>
      <c r="FB112" s="535"/>
      <c r="FC112" s="535"/>
      <c r="FD112" s="567" t="e">
        <f t="shared" si="360"/>
        <v>#N/A</v>
      </c>
      <c r="FE112" s="567" t="e">
        <f t="shared" si="361"/>
        <v>#N/A</v>
      </c>
      <c r="FF112" s="568" t="e">
        <f t="shared" si="362"/>
        <v>#N/A</v>
      </c>
      <c r="FG112" s="569" t="s">
        <v>656</v>
      </c>
      <c r="FH112" s="569" t="s">
        <v>656</v>
      </c>
      <c r="FI112" s="567" t="e">
        <v>#N/A</v>
      </c>
      <c r="FJ112" s="567" t="e">
        <v>#N/A</v>
      </c>
      <c r="FK112" s="535"/>
      <c r="FL112" s="1015">
        <v>0</v>
      </c>
      <c r="FM112" s="535"/>
      <c r="FN112" s="535"/>
      <c r="FO112" s="535">
        <f>O112+((Sheet1!CS110)*GPMtoMGD)</f>
        <v>53.870000000000005</v>
      </c>
      <c r="FP112" s="535">
        <f>IF(Sheet1!AA110+AQ112&lt;=Calculation!N112,AQ112,Calculation!N112-Sheet1!AA110)</f>
        <v>17.624654132671161</v>
      </c>
      <c r="FQ112" s="535">
        <f>(Sheet1!BP110+Sheet1!BO110)/694.4</f>
        <v>1.5884216589861753</v>
      </c>
      <c r="FR112" s="541"/>
      <c r="FS112" s="541"/>
      <c r="FT112" s="541"/>
      <c r="FU112" s="541"/>
      <c r="FV112" s="1109">
        <f t="shared" si="258"/>
        <v>42918</v>
      </c>
      <c r="FW112" s="1109">
        <f t="shared" si="259"/>
        <v>43027</v>
      </c>
      <c r="FX112" s="541"/>
      <c r="FY112" s="541">
        <f>Sheet1!DA110-Sheet1!CZ110-Sheet1!AE110</f>
        <v>396.66311000000002</v>
      </c>
      <c r="FZ112" s="535">
        <f t="shared" si="296"/>
        <v>0.2636867829012039</v>
      </c>
      <c r="GA112" s="535"/>
      <c r="GB112" s="535" t="str">
        <f t="shared" si="260"/>
        <v>n</v>
      </c>
      <c r="GC112" s="539">
        <f t="shared" si="261"/>
        <v>42782</v>
      </c>
      <c r="GD112" s="1109">
        <f t="shared" si="262"/>
        <v>42904</v>
      </c>
      <c r="GE112" s="535">
        <f t="shared" si="280"/>
        <v>6520</v>
      </c>
      <c r="GF112" s="1109">
        <f t="shared" si="263"/>
        <v>42909</v>
      </c>
      <c r="GG112" s="535">
        <f t="shared" si="308"/>
        <v>3260</v>
      </c>
      <c r="GH112" s="539">
        <f t="shared" si="264"/>
        <v>43040</v>
      </c>
      <c r="GJ112" s="521">
        <f t="shared" si="265"/>
        <v>0</v>
      </c>
      <c r="GK112" s="535" t="str">
        <f t="shared" si="363"/>
        <v/>
      </c>
      <c r="GL112" s="535">
        <f t="shared" si="266"/>
        <v>0</v>
      </c>
      <c r="GM112" s="535" t="str">
        <f t="shared" si="267"/>
        <v/>
      </c>
      <c r="GN112" s="535">
        <f>IF(GK112="P",Lookup!$M$12,IF(GK112="PP",Lookup!$M$13,IF(GK112="PPP",Lookup!$M$14,IF(GK112="T",Lookup!$M$15,IF(GK112="TP",Lookup!$M$16,IF(GK112="TPP",Lookup!$M$17,IF(GK112="TPPP",Lookup!$M$18,0)))))))*GJ112</f>
        <v>0</v>
      </c>
      <c r="GO112" s="535">
        <f t="shared" si="268"/>
        <v>0</v>
      </c>
      <c r="GP112" s="535">
        <f t="shared" si="364"/>
        <v>4544.7306666666664</v>
      </c>
      <c r="GQ112" s="535">
        <f t="shared" si="279"/>
        <v>1481.3333333333333</v>
      </c>
      <c r="GR112" s="535"/>
      <c r="GS112" s="535">
        <f t="shared" si="269"/>
        <v>0</v>
      </c>
      <c r="GT112" s="535" t="str">
        <f t="shared" si="270"/>
        <v/>
      </c>
      <c r="GU112" s="535">
        <f>IF(GK112="P",Lookup!$N$12,IF(GK112="PP",Lookup!$N$13,IF(GK112="PPP",Lookup!$N$14,IF(GK112="T",Lookup!$N$15,IF(GK112="TP",Lookup!$N$16,IF(GK112="TPP",Lookup!$N$17,IF(GK112="TPPP",Lookup!$N$18,0)))))))*GJ112</f>
        <v>0</v>
      </c>
      <c r="GV112" s="535">
        <f t="shared" si="271"/>
        <v>0</v>
      </c>
      <c r="GW112" s="535">
        <f t="shared" si="365"/>
        <v>1948.3520354543848</v>
      </c>
      <c r="GX112" s="535">
        <f t="shared" si="276"/>
        <v>635.05607413767427</v>
      </c>
      <c r="GY112" s="535"/>
      <c r="GZ112" s="535">
        <f t="shared" si="272"/>
        <v>0</v>
      </c>
      <c r="HA112" s="535" t="str">
        <f t="shared" si="273"/>
        <v/>
      </c>
      <c r="HB112" s="535">
        <f>IF(GK112="P",Lookup!$N$12,IF(GK112="PP",Lookup!$N$13,IF(GK112="PPP",Lookup!$N$14,IF(GK112="T",Lookup!$N$15,IF(GK112="TP",Lookup!$N$16,IF(GK112="TPP",Lookup!$N$17,IF(GK112="TPPP",Lookup!$N$18,0)))))))*GJ112</f>
        <v>0</v>
      </c>
      <c r="HC112" s="521">
        <f t="shared" si="366"/>
        <v>0</v>
      </c>
      <c r="HD112" s="535">
        <f t="shared" si="367"/>
        <v>1588.2254994322591</v>
      </c>
      <c r="HE112" s="535">
        <f t="shared" si="277"/>
        <v>517.67454349160982</v>
      </c>
      <c r="HF112" s="535"/>
      <c r="HG112" s="535">
        <f t="shared" si="274"/>
        <v>0</v>
      </c>
      <c r="HH112" s="535" t="str">
        <f t="shared" si="275"/>
        <v/>
      </c>
      <c r="HI112" s="535">
        <f>IF(GK112="P",Lookup!$N$12,IF(GK112="PP",Lookup!$N$13,IF(GK112="PPP",Lookup!$N$14,IF(GK112="T",Lookup!$N$15,IF(GK112="TP",Lookup!$N$16,IF(GK112="TPP",Lookup!$N$17,IF(GK112="TPPP",Lookup!$N$18,0)))))))*GJ112</f>
        <v>0</v>
      </c>
      <c r="HJ112" s="521">
        <f t="shared" si="368"/>
        <v>0</v>
      </c>
      <c r="HK112" s="535">
        <f t="shared" si="369"/>
        <v>1022.500241614389</v>
      </c>
      <c r="HL112" s="535">
        <f t="shared" si="278"/>
        <v>333.27908787952703</v>
      </c>
      <c r="HM112" s="535"/>
      <c r="HN112" s="541"/>
      <c r="HO112" s="541"/>
      <c r="HP112" s="541"/>
      <c r="HQ112" s="541">
        <f>IF(AND(B112&gt;=$FV$4,B112&lt;=$FW$4),MAX(110/1.02+$HQ$6+MIN(113/1.02,G112),IF($HV$6-(Sheet1!DA110-Sheet1!DB110)+MIN(113/1.02,G112)&lt;G112+FL112,$HV$6-(Sheet1!DA110-Sheet1!DB110)+MIN(113/1.02,G112),G112+FL112)),MIN(110/1.02+$HQ$6+113/1.02,G112))</f>
        <v>218.62745098039215</v>
      </c>
      <c r="HR112" s="541">
        <f t="shared" si="297"/>
        <v>223</v>
      </c>
      <c r="HS112" s="541">
        <f>HR112+(Sheet1!DA110-Sheet1!DB110)</f>
        <v>783</v>
      </c>
      <c r="HT112" s="541">
        <f t="shared" si="298"/>
        <v>67.108860000000007</v>
      </c>
      <c r="HU112" s="541">
        <f t="shared" si="299"/>
        <v>715.89113999999995</v>
      </c>
      <c r="HV112" s="541">
        <f t="shared" si="300"/>
        <v>0</v>
      </c>
      <c r="HW112" s="533" t="str">
        <f t="shared" si="301"/>
        <v/>
      </c>
      <c r="HX112" s="541">
        <f t="shared" si="302"/>
        <v>1221.372549019608</v>
      </c>
      <c r="HY112" s="541">
        <f>Sheet1!CZ110</f>
        <v>1440</v>
      </c>
      <c r="HZ112" s="541">
        <f t="shared" si="303"/>
        <v>0</v>
      </c>
      <c r="IA112" s="541">
        <f t="shared" si="304"/>
        <v>67.108860000000007</v>
      </c>
      <c r="IB112" s="541">
        <f t="shared" si="305"/>
        <v>1440</v>
      </c>
      <c r="IC112" s="1019" t="str">
        <f t="shared" si="306"/>
        <v/>
      </c>
      <c r="ID112" s="541">
        <f t="shared" si="307"/>
        <v>1372.89114</v>
      </c>
      <c r="IE112" s="541">
        <f>Sheet1!DB110</f>
        <v>1360</v>
      </c>
      <c r="IF112" s="533">
        <f>Sheet1!DA110</f>
        <v>1920</v>
      </c>
      <c r="IH112" s="541">
        <f>IF(AND($B112&gt;=$GC112,$B112&lt;=$GH112,$DR112&lt;0)+N("only adjusted when pool is drawn down during storage season"),Sheet1!$DB110+$DR112+N("Palmer minus all storage release"),Sheet1!$DB110)</f>
        <v>1360</v>
      </c>
      <c r="II112" s="541">
        <f>IF(AND($B112&gt;=$GC112,$B112&lt;=$GH112,$DR112&lt;0)+N("only adjusted when pool is drawn down during storage season"),Sheet1!$DA110+$DR112+N("Auburn minus all storage release"),Sheet1!$DA110)</f>
        <v>1920</v>
      </c>
    </row>
    <row r="113" spans="1:243" x14ac:dyDescent="0.25">
      <c r="A113" s="553" t="s">
        <v>6</v>
      </c>
      <c r="B113" s="531">
        <v>42837</v>
      </c>
      <c r="C113" s="536">
        <v>0</v>
      </c>
      <c r="D113" s="506">
        <f t="shared" si="247"/>
        <v>300</v>
      </c>
      <c r="E113" s="506">
        <f t="shared" si="248"/>
        <v>250</v>
      </c>
      <c r="F113" s="506">
        <v>250</v>
      </c>
      <c r="G113" s="535">
        <f>DR113+Sheet1!CZ111</f>
        <v>1600.5295007565269</v>
      </c>
      <c r="H113" s="1074">
        <f t="shared" si="370"/>
        <v>748.36691097599999</v>
      </c>
      <c r="I113" s="534">
        <f>IF(Sheet1!DA111&gt;=E113,(Sheet1!DA111-E113+P113)*CFStoMGD,0)</f>
        <v>1162.062910976</v>
      </c>
      <c r="J113" s="995">
        <f>IF(Sheet1!DB111&gt;=D113,(Sheet1!DB111-D113+P113)*CFStoMGD,0)</f>
        <v>748.36691097599999</v>
      </c>
      <c r="K113" s="818">
        <f t="shared" si="282"/>
        <v>64.64</v>
      </c>
      <c r="L113" s="535">
        <f>Sheet1!AA111+Sheet1!AB111-Sheet1!L111+(Sheet1!DA111-F113)*CFStoMGD-S113-T113-U113</f>
        <v>1097.424</v>
      </c>
      <c r="M113" s="535">
        <f t="shared" si="309"/>
        <v>1055.2739146747995</v>
      </c>
      <c r="N113" s="824">
        <f>IF(Sheet1!DA111&gt;=F113,MIN(113*CFStoMGD,MIN(MAX(L113,0),MAX(M113,0))),0)</f>
        <v>73.043199999999999</v>
      </c>
      <c r="O113" s="538">
        <f>Sheet1!AA111+Sheet1!AB111</f>
        <v>56.72</v>
      </c>
      <c r="P113" s="538">
        <f t="shared" si="310"/>
        <v>87.745839999999987</v>
      </c>
      <c r="Q113" s="812">
        <f t="shared" si="283"/>
        <v>46.22</v>
      </c>
      <c r="R113" s="812">
        <f t="shared" si="249"/>
        <v>10.483064516129033</v>
      </c>
      <c r="S113" s="812">
        <f t="shared" si="250"/>
        <v>10.5</v>
      </c>
      <c r="T113" s="812">
        <f t="shared" si="251"/>
        <v>54.14</v>
      </c>
      <c r="U113" s="812">
        <f t="shared" si="284"/>
        <v>0</v>
      </c>
      <c r="V113" s="812"/>
      <c r="W113" s="812">
        <f t="shared" si="252"/>
        <v>54.156935483870967</v>
      </c>
      <c r="X113" s="812">
        <f t="shared" si="253"/>
        <v>64.64</v>
      </c>
      <c r="Y113" s="812" t="str">
        <f t="shared" si="254"/>
        <v>FALSE</v>
      </c>
      <c r="Z113" s="812">
        <f t="shared" si="255"/>
        <v>56.72</v>
      </c>
      <c r="AA113" s="812">
        <f t="shared" si="256"/>
        <v>56.72</v>
      </c>
      <c r="AB113" s="1059">
        <f t="shared" si="285"/>
        <v>71.50233999999999</v>
      </c>
      <c r="AC113" s="538">
        <f>Sheet1!Y111*MGDtoCFS</f>
        <v>39.912599999999998</v>
      </c>
      <c r="AD113" s="538">
        <f>Sheet1!Z111*MGDtoCFS</f>
        <v>43.424289999999999</v>
      </c>
      <c r="AE113" s="538">
        <f>Sheet1!AA111*MGDtoCFS</f>
        <v>39.866189999999996</v>
      </c>
      <c r="AF113" s="538">
        <f>Sheet1!AB111*MGDtoCFS</f>
        <v>47.879649999999998</v>
      </c>
      <c r="AG113" s="538">
        <f>Sheet1!L111*MGDtoCFS</f>
        <v>0</v>
      </c>
      <c r="AH113" s="521">
        <f t="shared" si="311"/>
        <v>0</v>
      </c>
      <c r="AI113" s="1059">
        <f t="shared" si="312"/>
        <v>0</v>
      </c>
      <c r="AJ113" s="535">
        <f t="shared" si="313"/>
        <v>54.156935483870967</v>
      </c>
      <c r="AK113" s="535">
        <f t="shared" si="314"/>
        <v>83.780779193548383</v>
      </c>
      <c r="AL113" s="535">
        <f>(VLOOKUP(Sheet1!DC111,hhdcap_wcm,4)-(((VLOOKUP(Sheet1!DC111,hhdcap_wcm,3)-Sheet1!DC111)/(VLOOKUP(Sheet1!DC111,hhdcap_wcm,3)-VLOOKUP(Sheet1!DC111,hhdcap_wcm,1)))*(VLOOKUP(Sheet1!DC111,hhdcap_wcm,4)-VLOOKUP(Sheet1!DC111,hhdcap_wcm,2))))</f>
        <v>28126.000000072476</v>
      </c>
      <c r="AM113" s="535">
        <f t="shared" si="315"/>
        <v>298.50000000019281</v>
      </c>
      <c r="AN113" s="1035">
        <f t="shared" si="316"/>
        <v>3021.4999743260155</v>
      </c>
      <c r="AO113" s="535">
        <f t="shared" si="317"/>
        <v>9269.9619212322159</v>
      </c>
      <c r="AP113" s="535">
        <f>Sheet1!BA111+Sheet1!BB111+Sheet1!BN111+CD113</f>
        <v>20.5</v>
      </c>
      <c r="AQ113" s="535">
        <f>Sheet1!BN111+(DO113*Sheet1!BN111)</f>
        <v>20.466935483870966</v>
      </c>
      <c r="AR113" s="535">
        <f>Sheet1!BA111+CD113</f>
        <v>0</v>
      </c>
      <c r="AS113" s="535">
        <f>Sheet1!BA111+Sheet1!BB111+CD113</f>
        <v>0</v>
      </c>
      <c r="AT113" s="649">
        <f>0</f>
        <v>0</v>
      </c>
      <c r="AU113" s="535">
        <f>IF(EB113&lt;K113,0,MAX(Sheet1!AA111+AQ113-15/36*K113-N113,Sheet1!EH111,0))</f>
        <v>0</v>
      </c>
      <c r="AV113" s="535">
        <f>IF(OR(B113&gt;=GD113,B113&lt;GC113),0,15/36*K113-MAX(0,64.6-(137.6-(Sheet1!AA111+Sheet1!AB111))))</f>
        <v>26.933333333333334</v>
      </c>
      <c r="AW113" s="1029"/>
      <c r="AX113" s="649"/>
      <c r="AY113" s="649">
        <f t="shared" si="286"/>
        <v>0</v>
      </c>
      <c r="AZ113" s="649">
        <f t="shared" si="287"/>
        <v>0</v>
      </c>
      <c r="BA113" s="1059">
        <f t="shared" si="288"/>
        <v>0</v>
      </c>
      <c r="BB113" s="1019">
        <f t="shared" si="318"/>
        <v>1508.2666666666667</v>
      </c>
      <c r="BC113" s="1041">
        <f t="shared" si="289"/>
        <v>26.933333333333334</v>
      </c>
      <c r="BD113" s="1019">
        <f ca="1">IF(B113&gt;Summary!$A$1,#N/A,BB113*MGtoAF)</f>
        <v>4627.3621333333331</v>
      </c>
      <c r="BE113" s="535">
        <f>Sheet1!BG111+Sheet1!BH111+Sheet1!BI111-BM113</f>
        <v>1.01</v>
      </c>
      <c r="BF113" s="535">
        <f t="shared" si="319"/>
        <v>1.0083709677419355</v>
      </c>
      <c r="BG113" s="535">
        <f>IF(Sheet1!EP111="FM",BM113,0)</f>
        <v>0</v>
      </c>
      <c r="BH113" s="535">
        <f t="shared" si="320"/>
        <v>0</v>
      </c>
      <c r="BI113" s="535">
        <f>IF(Sheet1!EP111="OTHER",BM113,0)</f>
        <v>0</v>
      </c>
      <c r="BJ113" s="535">
        <f t="shared" si="321"/>
        <v>0</v>
      </c>
      <c r="BK113" s="535">
        <f t="shared" si="322"/>
        <v>1.01</v>
      </c>
      <c r="BL113" s="535">
        <f t="shared" si="323"/>
        <v>1.0083709677419355</v>
      </c>
      <c r="BM113" s="535">
        <f>IF(OR(Sheet1!EP111="FM", Sheet1!EP111="OTHER"),SUM(Sheet1!BG111:'Sheet1'!BI111),0)</f>
        <v>0</v>
      </c>
      <c r="BN113" s="521">
        <f>IF(AND($B113&gt;=$FV113,$B113&lt;=$FW113),MAX(BF113,Sheet1!EI111,0),MAX(BF113-(7/36)*$K113,0))</f>
        <v>0</v>
      </c>
      <c r="BO113" s="535">
        <f t="shared" si="324"/>
        <v>11.560517921146953</v>
      </c>
      <c r="BP113" s="521">
        <f t="shared" si="325"/>
        <v>1.0083709677419355</v>
      </c>
      <c r="BQ113" s="521">
        <f>IF(AND($O113&gt;0,Sheet1!EM111=1),(1-($O113-Sheet1!$L111)/$O113)*BL113,0)</f>
        <v>0</v>
      </c>
      <c r="BR113" s="521">
        <f>IF(AND(Sheet1!$L111=0,Sheet1!$L110=0, Calculation!BK113&lt;Sheet1!$EI111-0.1,Sheet1!$EI111=Sheet1!$EI110,Sheet1!$EI111=Sheet1!$EI112),BL113-BQ113,BL113-BQ113)</f>
        <v>1.0083709677419355</v>
      </c>
      <c r="BS113" s="1035" t="str">
        <f t="shared" si="290"/>
        <v/>
      </c>
      <c r="BT113" s="1035">
        <f t="shared" si="291"/>
        <v>12.568888888888889</v>
      </c>
      <c r="BU113" s="535">
        <f t="shared" si="326"/>
        <v>646.6165920588212</v>
      </c>
      <c r="BV113" s="535"/>
      <c r="BW113" s="535">
        <f ca="1">IF(B113&gt;Summary!$A$1,#N/A,BU113*MGtoAF)</f>
        <v>1983.8197044364636</v>
      </c>
      <c r="BX113" s="535">
        <f>Sheet1!BC111+Sheet1!BD111+Sheet1!BE111+Sheet1!BF111-CG113-CH113</f>
        <v>3</v>
      </c>
      <c r="BY113" s="535">
        <f t="shared" si="327"/>
        <v>2.9951612903225806</v>
      </c>
      <c r="BZ113" s="535">
        <f>IF(Sheet1!EQ111="FM",CH113,0)</f>
        <v>0</v>
      </c>
      <c r="CA113" s="535">
        <f t="shared" si="328"/>
        <v>0</v>
      </c>
      <c r="CB113" s="535">
        <f>IF(Sheet1!EQ111="OTHER",CH113,0)</f>
        <v>0</v>
      </c>
      <c r="CC113" s="535">
        <f t="shared" si="329"/>
        <v>0</v>
      </c>
      <c r="CD113" s="535">
        <f t="shared" si="330"/>
        <v>0</v>
      </c>
      <c r="CE113" s="535">
        <f t="shared" si="331"/>
        <v>3</v>
      </c>
      <c r="CF113" s="535">
        <f t="shared" si="332"/>
        <v>2.9951612903225806</v>
      </c>
      <c r="CG113" s="535">
        <f>IF(Sheet1!EQ111="CWA",SUM(Sheet1!BC111:'Sheet1'!BF111),0)</f>
        <v>0</v>
      </c>
      <c r="CH113" s="535">
        <f>IF(OR(Sheet1!EQ111="FM", Sheet1!EQ111="OTHER"),SUM(Sheet1!BC111:'Sheet1'!BF111),0)</f>
        <v>0</v>
      </c>
      <c r="CI113" s="521">
        <f>IF(AND($B113&gt;=$FV113,$B113&lt;=$FW113),MAX(CF113,Sheet1!EJ111,0),MAX(CF113-(7/36)*$K113,0))</f>
        <v>0</v>
      </c>
      <c r="CJ113" s="535">
        <f t="shared" si="333"/>
        <v>9.5737275985663075</v>
      </c>
      <c r="CK113" s="521">
        <f t="shared" si="334"/>
        <v>2.9951612903225806</v>
      </c>
      <c r="CL113" s="521">
        <f>IF(AND($O113&gt;0,Sheet1!EN111=1),(1-($O113-Sheet1!$L111)/$O113)*CF113,0)</f>
        <v>0</v>
      </c>
      <c r="CM113" s="521">
        <f>IF(AND(Sheet1!$L111=0,Sheet1!$L110=0, Calculation!CE113&lt;Sheet1!EJ111-0.1,Sheet1!EJ111=Sheet1!EJ110,Sheet1!EJ111=Sheet1!EJ112),CF113-CL113,CF113-CL113)</f>
        <v>2.9951612903225806</v>
      </c>
      <c r="CN113" s="1040" t="str">
        <f t="shared" si="292"/>
        <v/>
      </c>
      <c r="CO113" s="1035">
        <f t="shared" si="293"/>
        <v>12.568888888888889</v>
      </c>
      <c r="CP113" s="535">
        <f t="shared" si="335"/>
        <v>527.2482710901761</v>
      </c>
      <c r="CQ113" s="535"/>
      <c r="CR113" s="535">
        <f ca="1">IF(B113&gt;Summary!$A$1,#N/A,CP113*MGtoAF)</f>
        <v>1617.5976957046603</v>
      </c>
      <c r="CS113" s="535">
        <f>Sheet1!BK111+Sheet1!BL111+Sheet1!BM111-Sheet1!ER111-DA113</f>
        <v>6.49</v>
      </c>
      <c r="CT113" s="535">
        <f t="shared" si="336"/>
        <v>6.4795322580645163</v>
      </c>
      <c r="CU113" s="535">
        <f>IF(Sheet1!ER111="FM",DA113,0)</f>
        <v>0</v>
      </c>
      <c r="CV113" s="535">
        <f t="shared" si="337"/>
        <v>0</v>
      </c>
      <c r="CW113" s="535">
        <f>IF(Sheet1!ER111="OTHER",DA113,0)</f>
        <v>0</v>
      </c>
      <c r="CX113" s="535">
        <f t="shared" si="338"/>
        <v>0</v>
      </c>
      <c r="CY113" s="535">
        <f t="shared" si="339"/>
        <v>6.49</v>
      </c>
      <c r="CZ113" s="535">
        <f t="shared" si="340"/>
        <v>6.4795322580645163</v>
      </c>
      <c r="DA113" s="535">
        <f>IF(OR(Sheet1!ER111="FM", Sheet1!ER111="OTHER"),SUM(Sheet1!BK111:'Sheet1'!BM111),0)</f>
        <v>0</v>
      </c>
      <c r="DB113" s="1011">
        <f>IF(AND($B113&gt;=$FV113,$B113&lt;=$FW113),MAX($CT113,Sheet1!EK111,0),MAX($CT113-(7/36)*$K113,0))</f>
        <v>0</v>
      </c>
      <c r="DC113" s="1012">
        <f t="shared" si="341"/>
        <v>6.0893566308243727</v>
      </c>
      <c r="DD113" s="1011">
        <f t="shared" si="342"/>
        <v>6.4795322580645163</v>
      </c>
      <c r="DE113" s="521">
        <f>IF(AND($O113&gt;0,Sheet1!EO111=1),(1-($O113-Sheet1!$L111)/$O113)*CZ113,0)</f>
        <v>0</v>
      </c>
      <c r="DF113" s="521">
        <f>IF(AND(Sheet1!$L111=0,Sheet1!$L110=0, Calculation!CY113&lt;Sheet1!$EK111-0.1,Sheet1!$EK111=Sheet1!$EK110,Sheet1!$EK111=Sheet1!$EK112),CZ113-DE113,CZ113-DE113)</f>
        <v>6.4795322580645163</v>
      </c>
      <c r="DG113" s="1040">
        <f t="shared" si="294"/>
        <v>12.568888888888889</v>
      </c>
      <c r="DH113" s="649">
        <f t="shared" si="343"/>
        <v>10.5</v>
      </c>
      <c r="DI113" s="535">
        <f t="shared" si="344"/>
        <v>339.36844451035142</v>
      </c>
      <c r="DJ113" s="649">
        <f t="shared" si="345"/>
        <v>10.483064516129033</v>
      </c>
      <c r="DK113" s="535">
        <f ca="1">IF(B113&gt;Summary!$A$1,#N/A,DI113*MGtoAF)</f>
        <v>1041.1823877577581</v>
      </c>
      <c r="DL113" s="649">
        <f t="shared" si="346"/>
        <v>10.5</v>
      </c>
      <c r="DM113" s="535">
        <f t="shared" si="347"/>
        <v>31</v>
      </c>
      <c r="DN113" s="535">
        <f>Sheet1!AB111-DM113</f>
        <v>-5.0000000000000711E-2</v>
      </c>
      <c r="DO113" s="743">
        <f t="shared" si="348"/>
        <v>-1.6129032258064746E-3</v>
      </c>
      <c r="DP113" s="535">
        <f>(VLOOKUP(Sheet1!DC111,hhdcap_wcm,4)-(((VLOOKUP(Sheet1!DC111,hhdcap_wcm,3)-Sheet1!DC111)/(VLOOKUP(Sheet1!DC111,hhdcap_wcm,3)-VLOOKUP(Sheet1!DC111,hhdcap_wcm,1)))*(VLOOKUP(Sheet1!DC111,hhdcap_wcm,4)-VLOOKUP(Sheet1!DC111,hhdcap_wcm,2))))</f>
        <v>28126.000000072476</v>
      </c>
      <c r="DQ113" s="535">
        <f t="shared" si="349"/>
        <v>298.50000000019281</v>
      </c>
      <c r="DR113" s="535">
        <f t="shared" si="350"/>
        <v>150.52950075652686</v>
      </c>
      <c r="DS113" s="535">
        <f>Sheet1!EA111*AFtoMG</f>
        <v>0</v>
      </c>
      <c r="DT113" s="535">
        <f>Sheet1!EB111*AFtoMG</f>
        <v>0</v>
      </c>
      <c r="DU113" s="535">
        <f>Sheet1!EC111*AFtoMG</f>
        <v>0</v>
      </c>
      <c r="DV113" s="535">
        <f>Sheet1!ED111*AFtoMG</f>
        <v>0</v>
      </c>
      <c r="DW113" s="535">
        <f t="shared" si="351"/>
        <v>0</v>
      </c>
      <c r="DX113" s="535">
        <f t="shared" si="352"/>
        <v>0</v>
      </c>
      <c r="DY113" s="535">
        <f t="shared" si="353"/>
        <v>3021.4999743260155</v>
      </c>
      <c r="DZ113" s="535">
        <f t="shared" si="354"/>
        <v>9269.9619212322159</v>
      </c>
      <c r="EA113" s="535"/>
      <c r="EB113" s="521">
        <f>IF(OR(B113&lt;FV113,B113&gt;FW113),(MIN(BF113+BY113+CT113+MAX(Sheet1!AA111+AQ113-73,0),K113)),0)</f>
        <v>10.483064516129033</v>
      </c>
      <c r="EC113" s="535"/>
      <c r="ED113" s="535">
        <f t="shared" si="355"/>
        <v>10.483064516129033</v>
      </c>
      <c r="EE113" s="535"/>
      <c r="EF113" s="535">
        <f>Sheet1!EH111+Sheet1!EI111+Sheet1!EJ111+Sheet1!EK111</f>
        <v>10.5</v>
      </c>
      <c r="EG113" s="1019">
        <f t="shared" si="295"/>
        <v>16.243500000000001</v>
      </c>
      <c r="EH113" s="521">
        <f t="shared" si="356"/>
        <v>0</v>
      </c>
      <c r="EI113" s="535">
        <f>IF(Sheet1!ET111=1,SUM('Calculations II'!AT113:BA113)+'Calculations II'!BC113+Sheet1!BV111+'Calculations II'!BE113+AP113,'Calculations II'!BK113)</f>
        <v>46.67137548387096</v>
      </c>
      <c r="EJ113" s="535">
        <f ca="1">EI113+'Calculations II'!D113+'Calculations II'!E113+'Calculations II'!O113</f>
        <v>45.604964051419778</v>
      </c>
      <c r="EK113" s="535"/>
      <c r="EL113" s="535"/>
      <c r="EM113" s="535">
        <f t="shared" si="357"/>
        <v>42837</v>
      </c>
      <c r="EN113" s="535">
        <f t="shared" si="358"/>
        <v>54.156935483870967</v>
      </c>
      <c r="EO113" s="535">
        <f t="shared" si="359"/>
        <v>83.780779193548383</v>
      </c>
      <c r="EP113" s="535">
        <v>0</v>
      </c>
      <c r="EQ113" s="535">
        <v>0</v>
      </c>
      <c r="ER113" s="535">
        <v>0</v>
      </c>
      <c r="ES113" s="521">
        <f t="shared" si="257"/>
        <v>-1.3504796260084797</v>
      </c>
      <c r="ET113" s="535">
        <f>-(VLOOKUP(Sheet1!BQ111,Lookup!$O$4:$Q$262,2)-VLOOKUP(Sheet1!BQ110,Lookup!$O$4:$Q$262,2))/1000000</f>
        <v>0.44524345798896375</v>
      </c>
      <c r="EU113" s="535">
        <f>-(VLOOKUP(Sheet1!BR111,Lookup!$O$4:$Q$262,3)-VLOOKUP(Sheet1!BR110,Lookup!$O$4:$Q$262,3))/1000000</f>
        <v>-1.7957230839974434</v>
      </c>
      <c r="EV113" s="535"/>
      <c r="EW113" s="535"/>
      <c r="EX113" s="535"/>
      <c r="EY113" s="535"/>
      <c r="EZ113" s="535"/>
      <c r="FA113" s="535"/>
      <c r="FB113" s="535"/>
      <c r="FC113" s="535"/>
      <c r="FD113" s="567" t="e">
        <f t="shared" si="360"/>
        <v>#N/A</v>
      </c>
      <c r="FE113" s="567" t="e">
        <f t="shared" si="361"/>
        <v>#N/A</v>
      </c>
      <c r="FF113" s="568" t="e">
        <f t="shared" si="362"/>
        <v>#N/A</v>
      </c>
      <c r="FG113" s="569" t="s">
        <v>656</v>
      </c>
      <c r="FH113" s="569" t="s">
        <v>656</v>
      </c>
      <c r="FI113" s="567" t="e">
        <v>#N/A</v>
      </c>
      <c r="FJ113" s="567" t="e">
        <v>#N/A</v>
      </c>
      <c r="FK113" s="535"/>
      <c r="FL113" s="1015">
        <v>0</v>
      </c>
      <c r="FM113" s="535"/>
      <c r="FN113" s="535"/>
      <c r="FO113" s="535">
        <f>O113+((Sheet1!CS111)*GPMtoMGD)</f>
        <v>56.72</v>
      </c>
      <c r="FP113" s="535">
        <f>IF(Sheet1!AA111+AQ113&lt;=Calculation!N113,AQ113,Calculation!N113-Sheet1!AA111)</f>
        <v>20.466935483870966</v>
      </c>
      <c r="FQ113" s="535">
        <f>(Sheet1!BP111+Sheet1!BO111)/694.4</f>
        <v>1.4027937788018434</v>
      </c>
      <c r="FR113" s="541"/>
      <c r="FS113" s="541"/>
      <c r="FT113" s="541"/>
      <c r="FU113" s="541"/>
      <c r="FV113" s="1109">
        <f t="shared" si="258"/>
        <v>42918</v>
      </c>
      <c r="FW113" s="1109">
        <f t="shared" si="259"/>
        <v>43027</v>
      </c>
      <c r="FX113" s="541"/>
      <c r="FY113" s="541">
        <f>Sheet1!DA111-Sheet1!CZ111-Sheet1!AE111</f>
        <v>422.25416000000001</v>
      </c>
      <c r="FZ113" s="535">
        <f t="shared" si="296"/>
        <v>0.2638215414338892</v>
      </c>
      <c r="GA113" s="535"/>
      <c r="GB113" s="535" t="str">
        <f t="shared" si="260"/>
        <v>n</v>
      </c>
      <c r="GC113" s="539">
        <f t="shared" si="261"/>
        <v>42782</v>
      </c>
      <c r="GD113" s="1109">
        <f t="shared" si="262"/>
        <v>42904</v>
      </c>
      <c r="GE113" s="535">
        <f t="shared" si="280"/>
        <v>6520</v>
      </c>
      <c r="GF113" s="1109">
        <f t="shared" si="263"/>
        <v>42909</v>
      </c>
      <c r="GG113" s="535">
        <f t="shared" si="308"/>
        <v>3260</v>
      </c>
      <c r="GH113" s="539">
        <f t="shared" si="264"/>
        <v>43040</v>
      </c>
      <c r="GJ113" s="521">
        <f t="shared" si="265"/>
        <v>0</v>
      </c>
      <c r="GK113" s="535" t="str">
        <f t="shared" si="363"/>
        <v/>
      </c>
      <c r="GL113" s="535">
        <f t="shared" si="266"/>
        <v>0</v>
      </c>
      <c r="GM113" s="535" t="str">
        <f t="shared" si="267"/>
        <v/>
      </c>
      <c r="GN113" s="535">
        <f>IF(GK113="P",Lookup!$M$12,IF(GK113="PP",Lookup!$M$13,IF(GK113="PPP",Lookup!$M$14,IF(GK113="T",Lookup!$M$15,IF(GK113="TP",Lookup!$M$16,IF(GK113="TPP",Lookup!$M$17,IF(GK113="TPPP",Lookup!$M$18,0)))))))*GJ113</f>
        <v>0</v>
      </c>
      <c r="GO113" s="535">
        <f t="shared" si="268"/>
        <v>0</v>
      </c>
      <c r="GP113" s="535">
        <f t="shared" si="364"/>
        <v>4627.3621333333331</v>
      </c>
      <c r="GQ113" s="535">
        <f t="shared" si="279"/>
        <v>1508.2666666666667</v>
      </c>
      <c r="GR113" s="535"/>
      <c r="GS113" s="535">
        <f t="shared" si="269"/>
        <v>0</v>
      </c>
      <c r="GT113" s="535" t="str">
        <f t="shared" si="270"/>
        <v/>
      </c>
      <c r="GU113" s="535">
        <f>IF(GK113="P",Lookup!$N$12,IF(GK113="PP",Lookup!$N$13,IF(GK113="PPP",Lookup!$N$14,IF(GK113="T",Lookup!$N$15,IF(GK113="TP",Lookup!$N$16,IF(GK113="TPP",Lookup!$N$17,IF(GK113="TPPP",Lookup!$N$18,0)))))))*GJ113</f>
        <v>0</v>
      </c>
      <c r="GV113" s="535">
        <f t="shared" si="271"/>
        <v>0</v>
      </c>
      <c r="GW113" s="535">
        <f t="shared" si="365"/>
        <v>1983.8197044364636</v>
      </c>
      <c r="GX113" s="535">
        <f t="shared" si="276"/>
        <v>646.6165920588212</v>
      </c>
      <c r="GY113" s="535"/>
      <c r="GZ113" s="535">
        <f t="shared" si="272"/>
        <v>0</v>
      </c>
      <c r="HA113" s="535" t="str">
        <f t="shared" si="273"/>
        <v/>
      </c>
      <c r="HB113" s="535">
        <f>IF(GK113="P",Lookup!$N$12,IF(GK113="PP",Lookup!$N$13,IF(GK113="PPP",Lookup!$N$14,IF(GK113="T",Lookup!$N$15,IF(GK113="TP",Lookup!$N$16,IF(GK113="TPP",Lookup!$N$17,IF(GK113="TPPP",Lookup!$N$18,0)))))))*GJ113</f>
        <v>0</v>
      </c>
      <c r="HC113" s="521">
        <f t="shared" si="366"/>
        <v>0</v>
      </c>
      <c r="HD113" s="535">
        <f t="shared" si="367"/>
        <v>1617.5976957046603</v>
      </c>
      <c r="HE113" s="535">
        <f t="shared" si="277"/>
        <v>527.2482710901761</v>
      </c>
      <c r="HF113" s="535"/>
      <c r="HG113" s="535">
        <f t="shared" si="274"/>
        <v>0</v>
      </c>
      <c r="HH113" s="535" t="str">
        <f t="shared" si="275"/>
        <v/>
      </c>
      <c r="HI113" s="535">
        <f>IF(GK113="P",Lookup!$N$12,IF(GK113="PP",Lookup!$N$13,IF(GK113="PPP",Lookup!$N$14,IF(GK113="T",Lookup!$N$15,IF(GK113="TP",Lookup!$N$16,IF(GK113="TPP",Lookup!$N$17,IF(GK113="TPPP",Lookup!$N$18,0)))))))*GJ113</f>
        <v>0</v>
      </c>
      <c r="HJ113" s="521">
        <f t="shared" si="368"/>
        <v>0</v>
      </c>
      <c r="HK113" s="535">
        <f t="shared" si="369"/>
        <v>1041.1823877577581</v>
      </c>
      <c r="HL113" s="535">
        <f t="shared" si="278"/>
        <v>339.36844451035142</v>
      </c>
      <c r="HM113" s="535"/>
      <c r="HN113" s="541"/>
      <c r="HO113" s="541"/>
      <c r="HP113" s="541"/>
      <c r="HQ113" s="541">
        <f>IF(AND(B113&gt;=$FV$4,B113&lt;=$FW$4),MAX(110/1.02+$HQ$6+MIN(113/1.02,G113),IF($HV$6-(Sheet1!DA111-Sheet1!DB111)+MIN(113/1.02,G113)&lt;G113+FL113,$HV$6-(Sheet1!DA111-Sheet1!DB111)+MIN(113/1.02,G113),G113+FL113)),MIN(110/1.02+$HQ$6+113/1.02,G113))</f>
        <v>218.62745098039215</v>
      </c>
      <c r="HR113" s="541">
        <f t="shared" si="297"/>
        <v>223</v>
      </c>
      <c r="HS113" s="541">
        <f>HR113+(Sheet1!DA111-Sheet1!DB111)</f>
        <v>813</v>
      </c>
      <c r="HT113" s="541">
        <f t="shared" si="298"/>
        <v>71.50233999999999</v>
      </c>
      <c r="HU113" s="541">
        <f t="shared" si="299"/>
        <v>741.49766</v>
      </c>
      <c r="HV113" s="541">
        <f t="shared" si="300"/>
        <v>0</v>
      </c>
      <c r="HW113" s="533" t="str">
        <f t="shared" si="301"/>
        <v/>
      </c>
      <c r="HX113" s="541">
        <f t="shared" si="302"/>
        <v>1231.372549019608</v>
      </c>
      <c r="HY113" s="541">
        <f>Sheet1!CZ111</f>
        <v>1450</v>
      </c>
      <c r="HZ113" s="541">
        <f t="shared" si="303"/>
        <v>0</v>
      </c>
      <c r="IA113" s="541">
        <f t="shared" si="304"/>
        <v>71.50233999999999</v>
      </c>
      <c r="IB113" s="541">
        <f t="shared" si="305"/>
        <v>1450</v>
      </c>
      <c r="IC113" s="1019" t="str">
        <f t="shared" si="306"/>
        <v/>
      </c>
      <c r="ID113" s="541">
        <f t="shared" si="307"/>
        <v>1378.49766</v>
      </c>
      <c r="IE113" s="541">
        <f>Sheet1!DB111</f>
        <v>1370</v>
      </c>
      <c r="IF113" s="533">
        <f>Sheet1!DA111</f>
        <v>1960</v>
      </c>
      <c r="IH113" s="541">
        <f>IF(AND($B113&gt;=$GC113,$B113&lt;=$GH113,$DR113&lt;0)+N("only adjusted when pool is drawn down during storage season"),Sheet1!$DB111+$DR113+N("Palmer minus all storage release"),Sheet1!$DB111)</f>
        <v>1370</v>
      </c>
      <c r="II113" s="541">
        <f>IF(AND($B113&gt;=$GC113,$B113&lt;=$GH113,$DR113&lt;0)+N("only adjusted when pool is drawn down during storage season"),Sheet1!$DA111+$DR113+N("Auburn minus all storage release"),Sheet1!$DA111)</f>
        <v>1960</v>
      </c>
    </row>
    <row r="114" spans="1:243" x14ac:dyDescent="0.25">
      <c r="A114" s="553" t="s">
        <v>7</v>
      </c>
      <c r="B114" s="531">
        <v>42838</v>
      </c>
      <c r="C114" s="536">
        <v>0</v>
      </c>
      <c r="D114" s="506">
        <f t="shared" si="247"/>
        <v>300</v>
      </c>
      <c r="E114" s="506">
        <f t="shared" si="248"/>
        <v>250</v>
      </c>
      <c r="F114" s="506">
        <v>250</v>
      </c>
      <c r="G114" s="535">
        <f>DR114+Sheet1!CZ112</f>
        <v>1854.6394352000175</v>
      </c>
      <c r="H114" s="1074">
        <f t="shared" si="370"/>
        <v>761.6449042559999</v>
      </c>
      <c r="I114" s="534">
        <f>IF(Sheet1!DA112&gt;=E114,(Sheet1!DA112-E114+P114)*CFStoMGD,0)</f>
        <v>1214.124904256</v>
      </c>
      <c r="J114" s="995">
        <f>IF(Sheet1!DB112&gt;=D114,(Sheet1!DB112-D114+P114)*CFStoMGD,0)</f>
        <v>761.6449042559999</v>
      </c>
      <c r="K114" s="818">
        <f t="shared" si="282"/>
        <v>64.64</v>
      </c>
      <c r="L114" s="535">
        <f>Sheet1!AA112+Sheet1!AB112-Sheet1!L112+(Sheet1!DA112-F114)*CFStoMGD-S114-T114-U114</f>
        <v>1149.4859999999999</v>
      </c>
      <c r="M114" s="535">
        <f t="shared" si="309"/>
        <v>1222.8157095315571</v>
      </c>
      <c r="N114" s="824">
        <f>IF(Sheet1!DA112&gt;=F114,MIN(113*CFStoMGD,MIN(MAX(L114,0),MAX(M114,0))),0)</f>
        <v>73.043199999999999</v>
      </c>
      <c r="O114" s="538">
        <f>Sheet1!AA112+Sheet1!AB112</f>
        <v>57.07</v>
      </c>
      <c r="P114" s="538">
        <f t="shared" si="310"/>
        <v>88.287289999999999</v>
      </c>
      <c r="Q114" s="812">
        <f t="shared" si="283"/>
        <v>46.44</v>
      </c>
      <c r="R114" s="812">
        <f t="shared" si="249"/>
        <v>10.633392914139801</v>
      </c>
      <c r="S114" s="812">
        <f t="shared" si="250"/>
        <v>10.629999999999999</v>
      </c>
      <c r="T114" s="812">
        <f t="shared" si="251"/>
        <v>54.010000000000005</v>
      </c>
      <c r="U114" s="812">
        <f t="shared" si="284"/>
        <v>0</v>
      </c>
      <c r="V114" s="812"/>
      <c r="W114" s="812">
        <f t="shared" si="252"/>
        <v>54.006607085860196</v>
      </c>
      <c r="X114" s="812">
        <f t="shared" si="253"/>
        <v>64.64</v>
      </c>
      <c r="Y114" s="812" t="str">
        <f t="shared" si="254"/>
        <v>FALSE</v>
      </c>
      <c r="Z114" s="812">
        <f t="shared" si="255"/>
        <v>57.07</v>
      </c>
      <c r="AA114" s="812">
        <f t="shared" si="256"/>
        <v>57.069999999999993</v>
      </c>
      <c r="AB114" s="1059">
        <f t="shared" si="285"/>
        <v>71.842679999999987</v>
      </c>
      <c r="AC114" s="538">
        <f>Sheet1!Y112*MGDtoCFS</f>
        <v>39.866189999999996</v>
      </c>
      <c r="AD114" s="538">
        <f>Sheet1!Z112*MGDtoCFS</f>
        <v>47.879649999999998</v>
      </c>
      <c r="AE114" s="538">
        <f>Sheet1!AA112*MGDtoCFS</f>
        <v>39.804310000000001</v>
      </c>
      <c r="AF114" s="538">
        <f>Sheet1!AB112*MGDtoCFS</f>
        <v>48.482979999999998</v>
      </c>
      <c r="AG114" s="538">
        <f>Sheet1!L112*MGDtoCFS</f>
        <v>0</v>
      </c>
      <c r="AH114" s="521">
        <f t="shared" si="311"/>
        <v>0</v>
      </c>
      <c r="AI114" s="1059">
        <f t="shared" si="312"/>
        <v>0</v>
      </c>
      <c r="AJ114" s="535">
        <f t="shared" si="313"/>
        <v>54.006607085860196</v>
      </c>
      <c r="AK114" s="535">
        <f t="shared" si="314"/>
        <v>83.548221161825722</v>
      </c>
      <c r="AL114" s="535">
        <f>(VLOOKUP(Sheet1!DC112,hhdcap_wcm,4)-(((VLOOKUP(Sheet1!DC112,hhdcap_wcm,3)-Sheet1!DC112)/(VLOOKUP(Sheet1!DC112,hhdcap_wcm,3)-VLOOKUP(Sheet1!DC112,hhdcap_wcm,1)))*(VLOOKUP(Sheet1!DC112,hhdcap_wcm,4)-VLOOKUP(Sheet1!DC112,hhdcap_wcm,2))))</f>
        <v>28928.400000074111</v>
      </c>
      <c r="AM114" s="535">
        <f t="shared" si="315"/>
        <v>802.40000000163491</v>
      </c>
      <c r="AN114" s="1035">
        <f t="shared" si="316"/>
        <v>3075.5065814118757</v>
      </c>
      <c r="AO114" s="535">
        <f t="shared" si="317"/>
        <v>9435.6541917716349</v>
      </c>
      <c r="AP114" s="535">
        <f>Sheet1!BA112+Sheet1!BB112+Sheet1!BN112+CD114</f>
        <v>20.7</v>
      </c>
      <c r="AQ114" s="535">
        <f>Sheet1!BN112+(DO114*Sheet1!BN112)</f>
        <v>20.706607085860199</v>
      </c>
      <c r="AR114" s="535">
        <f>Sheet1!BA112+CD114</f>
        <v>0</v>
      </c>
      <c r="AS114" s="535">
        <f>Sheet1!BA112+Sheet1!BB112+CD114</f>
        <v>0</v>
      </c>
      <c r="AT114" s="649">
        <f>0</f>
        <v>0</v>
      </c>
      <c r="AU114" s="535">
        <f>IF(EB114&lt;K114,0,MAX(Sheet1!AA112+AQ114-15/36*K114-N114,Sheet1!EH112,0))</f>
        <v>0</v>
      </c>
      <c r="AV114" s="535">
        <f>IF(OR(B114&gt;=GD114,B114&lt;GC114),0,15/36*K114-MAX(0,64.6-(137.6-(Sheet1!AA112+Sheet1!AB112))))</f>
        <v>26.933333333333334</v>
      </c>
      <c r="AW114" s="1029"/>
      <c r="AX114" s="649"/>
      <c r="AY114" s="649">
        <f t="shared" si="286"/>
        <v>0</v>
      </c>
      <c r="AZ114" s="649">
        <f t="shared" si="287"/>
        <v>0</v>
      </c>
      <c r="BA114" s="1059">
        <f t="shared" si="288"/>
        <v>0</v>
      </c>
      <c r="BB114" s="1019">
        <f t="shared" si="318"/>
        <v>1535.2</v>
      </c>
      <c r="BC114" s="1041">
        <f t="shared" si="289"/>
        <v>26.933333333333334</v>
      </c>
      <c r="BD114" s="1019">
        <f ca="1">IF(B114&gt;Summary!$A$1,#N/A,BB114*MGtoAF)</f>
        <v>4709.9935999999998</v>
      </c>
      <c r="BE114" s="535">
        <f>Sheet1!BG112+Sheet1!BH112+Sheet1!BI112-BM114</f>
        <v>1.01</v>
      </c>
      <c r="BF114" s="535">
        <f t="shared" si="319"/>
        <v>1.0103223747207151</v>
      </c>
      <c r="BG114" s="535">
        <f>IF(Sheet1!EP112="FM",BM114,0)</f>
        <v>0</v>
      </c>
      <c r="BH114" s="535">
        <f t="shared" si="320"/>
        <v>0</v>
      </c>
      <c r="BI114" s="535">
        <f>IF(Sheet1!EP112="OTHER",BM114,0)</f>
        <v>0</v>
      </c>
      <c r="BJ114" s="535">
        <f t="shared" si="321"/>
        <v>0</v>
      </c>
      <c r="BK114" s="535">
        <f t="shared" si="322"/>
        <v>1.01</v>
      </c>
      <c r="BL114" s="535">
        <f t="shared" si="323"/>
        <v>1.0103223747207151</v>
      </c>
      <c r="BM114" s="535">
        <f>IF(OR(Sheet1!EP112="FM", Sheet1!EP112="OTHER"),SUM(Sheet1!BG112:'Sheet1'!BI112),0)</f>
        <v>0</v>
      </c>
      <c r="BN114" s="521">
        <f>IF(AND($B114&gt;=$FV114,$B114&lt;=$FW114),MAX(BF114,Sheet1!EI112,0),MAX(BF114-(7/36)*$K114,0))</f>
        <v>0</v>
      </c>
      <c r="BO114" s="535">
        <f t="shared" si="324"/>
        <v>11.558566514168174</v>
      </c>
      <c r="BP114" s="521">
        <f t="shared" si="325"/>
        <v>1.0103223747207151</v>
      </c>
      <c r="BQ114" s="521">
        <f>IF(AND($O114&gt;0,Sheet1!EM112=1),(1-($O114-Sheet1!$L112)/$O114)*BL114,0)</f>
        <v>0</v>
      </c>
      <c r="BR114" s="521">
        <f>IF(AND(Sheet1!$L112=0,Sheet1!$L111=0, Calculation!BK114&lt;Sheet1!$EI112-0.1,Sheet1!$EI112=Sheet1!$EI111,Sheet1!$EI112=Sheet1!$EI113),BL114-BQ114,BL114-BQ114)</f>
        <v>1.0103223747207151</v>
      </c>
      <c r="BS114" s="1035" t="str">
        <f t="shared" si="290"/>
        <v/>
      </c>
      <c r="BT114" s="1035">
        <f t="shared" si="291"/>
        <v>12.568888888888889</v>
      </c>
      <c r="BU114" s="535">
        <f t="shared" si="326"/>
        <v>658.1751585729894</v>
      </c>
      <c r="BV114" s="535"/>
      <c r="BW114" s="535">
        <f ca="1">IF(B114&gt;Summary!$A$1,#N/A,BU114*MGtoAF)</f>
        <v>2019.2813865019316</v>
      </c>
      <c r="BX114" s="535">
        <f>Sheet1!BC112+Sheet1!BD112+Sheet1!BE112+Sheet1!BF112-CG114-CH114</f>
        <v>3.01</v>
      </c>
      <c r="BY114" s="535">
        <f t="shared" si="327"/>
        <v>3.0109607405043088</v>
      </c>
      <c r="BZ114" s="535">
        <f>IF(Sheet1!EQ112="FM",CH114,0)</f>
        <v>0</v>
      </c>
      <c r="CA114" s="535">
        <f t="shared" si="328"/>
        <v>0</v>
      </c>
      <c r="CB114" s="535">
        <f>IF(Sheet1!EQ112="OTHER",CH114,0)</f>
        <v>0</v>
      </c>
      <c r="CC114" s="535">
        <f t="shared" si="329"/>
        <v>0</v>
      </c>
      <c r="CD114" s="535">
        <f t="shared" si="330"/>
        <v>0</v>
      </c>
      <c r="CE114" s="535">
        <f t="shared" si="331"/>
        <v>3.01</v>
      </c>
      <c r="CF114" s="535">
        <f t="shared" si="332"/>
        <v>3.0109607405043088</v>
      </c>
      <c r="CG114" s="535">
        <f>IF(Sheet1!EQ112="CWA",SUM(Sheet1!BC112:'Sheet1'!BF112),0)</f>
        <v>0</v>
      </c>
      <c r="CH114" s="535">
        <f>IF(OR(Sheet1!EQ112="FM", Sheet1!EQ112="OTHER"),SUM(Sheet1!BC112:'Sheet1'!BF112),0)</f>
        <v>0</v>
      </c>
      <c r="CI114" s="521">
        <f>IF(AND($B114&gt;=$FV114,$B114&lt;=$FW114),MAX(CF114,Sheet1!EJ112,0),MAX(CF114-(7/36)*$K114,0))</f>
        <v>0</v>
      </c>
      <c r="CJ114" s="535">
        <f t="shared" si="333"/>
        <v>9.5579281483845797</v>
      </c>
      <c r="CK114" s="521">
        <f t="shared" si="334"/>
        <v>3.0109607405043088</v>
      </c>
      <c r="CL114" s="521">
        <f>IF(AND($O114&gt;0,Sheet1!EN112=1),(1-($O114-Sheet1!$L112)/$O114)*CF114,0)</f>
        <v>0</v>
      </c>
      <c r="CM114" s="521">
        <f>IF(AND(Sheet1!$L112=0,Sheet1!$L111=0, Calculation!CE114&lt;Sheet1!EJ112-0.1,Sheet1!EJ112=Sheet1!EJ111,Sheet1!EJ112=Sheet1!EJ113),CF114-CL114,CF114-CL114)</f>
        <v>3.0109607405043088</v>
      </c>
      <c r="CN114" s="1040" t="str">
        <f t="shared" si="292"/>
        <v/>
      </c>
      <c r="CO114" s="1035">
        <f t="shared" si="293"/>
        <v>12.568888888888889</v>
      </c>
      <c r="CP114" s="535">
        <f t="shared" si="335"/>
        <v>536.80619923856068</v>
      </c>
      <c r="CQ114" s="535"/>
      <c r="CR114" s="535">
        <f ca="1">IF(B114&gt;Summary!$A$1,#N/A,CP114*MGtoAF)</f>
        <v>1646.9214192639042</v>
      </c>
      <c r="CS114" s="535">
        <f>Sheet1!BK112+Sheet1!BL112+Sheet1!BM112-Sheet1!ER112-DA114</f>
        <v>6.6099999999999994</v>
      </c>
      <c r="CT114" s="535">
        <f t="shared" si="336"/>
        <v>6.6121097989147781</v>
      </c>
      <c r="CU114" s="535">
        <f>IF(Sheet1!ER112="FM",DA114,0)</f>
        <v>0</v>
      </c>
      <c r="CV114" s="535">
        <f t="shared" si="337"/>
        <v>0</v>
      </c>
      <c r="CW114" s="535">
        <f>IF(Sheet1!ER112="OTHER",DA114,0)</f>
        <v>0</v>
      </c>
      <c r="CX114" s="535">
        <f t="shared" si="338"/>
        <v>0</v>
      </c>
      <c r="CY114" s="535">
        <f t="shared" si="339"/>
        <v>6.6099999999999994</v>
      </c>
      <c r="CZ114" s="535">
        <f t="shared" si="340"/>
        <v>6.6121097989147781</v>
      </c>
      <c r="DA114" s="535">
        <f>IF(OR(Sheet1!ER112="FM", Sheet1!ER112="OTHER"),SUM(Sheet1!BK112:'Sheet1'!BM112),0)</f>
        <v>0</v>
      </c>
      <c r="DB114" s="1011">
        <f>IF(AND($B114&gt;=$FV114,$B114&lt;=$FW114),MAX($CT114,Sheet1!EK112,0),MAX($CT114-(7/36)*$K114,0))</f>
        <v>0</v>
      </c>
      <c r="DC114" s="1012">
        <f t="shared" si="341"/>
        <v>5.9567790899741109</v>
      </c>
      <c r="DD114" s="1011">
        <f t="shared" si="342"/>
        <v>6.6121097989147781</v>
      </c>
      <c r="DE114" s="521">
        <f>IF(AND($O114&gt;0,Sheet1!EO112=1),(1-($O114-Sheet1!$L112)/$O114)*CZ114,0)</f>
        <v>0</v>
      </c>
      <c r="DF114" s="521">
        <f>IF(AND(Sheet1!$L112=0,Sheet1!$L111=0, Calculation!CY114&lt;Sheet1!$EK112-0.1,Sheet1!$EK112=Sheet1!$EK111,Sheet1!$EK112=Sheet1!$EK113),CZ114-DE114,CZ114-DE114)</f>
        <v>6.6121097989147781</v>
      </c>
      <c r="DG114" s="1040">
        <f t="shared" si="294"/>
        <v>12.568888888888889</v>
      </c>
      <c r="DH114" s="649">
        <f t="shared" si="343"/>
        <v>10.629999999999999</v>
      </c>
      <c r="DI114" s="535">
        <f t="shared" si="344"/>
        <v>345.32522360032556</v>
      </c>
      <c r="DJ114" s="649">
        <f t="shared" si="345"/>
        <v>10.633392914139801</v>
      </c>
      <c r="DK114" s="535">
        <f ca="1">IF(B114&gt;Summary!$A$1,#N/A,DI114*MGtoAF)</f>
        <v>1059.4577860057989</v>
      </c>
      <c r="DL114" s="649">
        <f t="shared" si="346"/>
        <v>10.629999999999999</v>
      </c>
      <c r="DM114" s="535">
        <f t="shared" si="347"/>
        <v>31.33</v>
      </c>
      <c r="DN114" s="535">
        <f>Sheet1!AB112-DM114</f>
        <v>1.0000000000001563E-2</v>
      </c>
      <c r="DO114" s="743">
        <f t="shared" si="348"/>
        <v>3.1918289179704961E-4</v>
      </c>
      <c r="DP114" s="535">
        <f>(VLOOKUP(Sheet1!DC112,hhdcap_wcm,4)-(((VLOOKUP(Sheet1!DC112,hhdcap_wcm,3)-Sheet1!DC112)/(VLOOKUP(Sheet1!DC112,hhdcap_wcm,3)-VLOOKUP(Sheet1!DC112,hhdcap_wcm,1)))*(VLOOKUP(Sheet1!DC112,hhdcap_wcm,4)-VLOOKUP(Sheet1!DC112,hhdcap_wcm,2))))</f>
        <v>28928.400000074111</v>
      </c>
      <c r="DQ114" s="535">
        <f t="shared" si="349"/>
        <v>802.40000000163491</v>
      </c>
      <c r="DR114" s="535">
        <f t="shared" si="350"/>
        <v>404.63943520001754</v>
      </c>
      <c r="DS114" s="535">
        <f>Sheet1!EA112*AFtoMG</f>
        <v>0</v>
      </c>
      <c r="DT114" s="535">
        <f>Sheet1!EB112*AFtoMG</f>
        <v>0</v>
      </c>
      <c r="DU114" s="535">
        <f>Sheet1!EC112*AFtoMG</f>
        <v>0</v>
      </c>
      <c r="DV114" s="535">
        <f>Sheet1!ED112*AFtoMG</f>
        <v>0</v>
      </c>
      <c r="DW114" s="535">
        <f t="shared" si="351"/>
        <v>0</v>
      </c>
      <c r="DX114" s="535">
        <f t="shared" si="352"/>
        <v>0</v>
      </c>
      <c r="DY114" s="535">
        <f t="shared" si="353"/>
        <v>3075.5065814118757</v>
      </c>
      <c r="DZ114" s="535">
        <f t="shared" si="354"/>
        <v>9435.6541917716349</v>
      </c>
      <c r="EA114" s="535"/>
      <c r="EB114" s="521">
        <f>IF(OR(B114&lt;FV114,B114&gt;FW114),(MIN(BF114+BY114+CT114+MAX(Sheet1!AA112+AQ114-73,0),K114)),0)</f>
        <v>10.633392914139801</v>
      </c>
      <c r="EC114" s="535"/>
      <c r="ED114" s="535">
        <f t="shared" si="355"/>
        <v>10.633392914139803</v>
      </c>
      <c r="EE114" s="535"/>
      <c r="EF114" s="535">
        <f>Sheet1!EH112+Sheet1!EI112+Sheet1!EJ112+Sheet1!EK112</f>
        <v>10.5</v>
      </c>
      <c r="EG114" s="1019">
        <f t="shared" si="295"/>
        <v>16.243500000000001</v>
      </c>
      <c r="EH114" s="521">
        <f t="shared" si="356"/>
        <v>0</v>
      </c>
      <c r="EI114" s="535">
        <f>IF(Sheet1!ET112=1,SUM('Calculations II'!AT114:BA114)+'Calculations II'!BC114+Sheet1!BV112+'Calculations II'!BE114+AP114,'Calculations II'!BK114)</f>
        <v>42.7438370858602</v>
      </c>
      <c r="EJ114" s="535">
        <f ca="1">EI114+'Calculations II'!D114+'Calculations II'!E114+'Calculations II'!O114</f>
        <v>47.713802824995014</v>
      </c>
      <c r="EK114" s="535"/>
      <c r="EL114" s="535"/>
      <c r="EM114" s="535">
        <f t="shared" si="357"/>
        <v>42838</v>
      </c>
      <c r="EN114" s="535">
        <f t="shared" si="358"/>
        <v>54.006607085860196</v>
      </c>
      <c r="EO114" s="535">
        <f t="shared" si="359"/>
        <v>83.548221161825722</v>
      </c>
      <c r="EP114" s="535">
        <v>0</v>
      </c>
      <c r="EQ114" s="535">
        <v>0</v>
      </c>
      <c r="ER114" s="535">
        <v>0</v>
      </c>
      <c r="ES114" s="521">
        <f t="shared" si="257"/>
        <v>-4.1481055943904108</v>
      </c>
      <c r="ET114" s="535">
        <f>-(VLOOKUP(Sheet1!BQ112,Lookup!$O$4:$Q$262,2)-VLOOKUP(Sheet1!BQ111,Lookup!$O$4:$Q$262,2))/1000000</f>
        <v>0</v>
      </c>
      <c r="EU114" s="535">
        <f>-(VLOOKUP(Sheet1!BR112,Lookup!$O$4:$Q$262,3)-VLOOKUP(Sheet1!BR111,Lookup!$O$4:$Q$262,3))/1000000</f>
        <v>-4.1481055943904108</v>
      </c>
      <c r="EV114" s="535"/>
      <c r="EW114" s="535"/>
      <c r="EX114" s="535"/>
      <c r="EY114" s="535"/>
      <c r="EZ114" s="535"/>
      <c r="FA114" s="535"/>
      <c r="FB114" s="535"/>
      <c r="FC114" s="535"/>
      <c r="FD114" s="567" t="e">
        <f t="shared" si="360"/>
        <v>#N/A</v>
      </c>
      <c r="FE114" s="567" t="e">
        <f t="shared" si="361"/>
        <v>#N/A</v>
      </c>
      <c r="FF114" s="568" t="e">
        <f t="shared" si="362"/>
        <v>#N/A</v>
      </c>
      <c r="FG114" s="569" t="s">
        <v>656</v>
      </c>
      <c r="FH114" s="569" t="s">
        <v>656</v>
      </c>
      <c r="FI114" s="567" t="e">
        <v>#N/A</v>
      </c>
      <c r="FJ114" s="567" t="e">
        <v>#N/A</v>
      </c>
      <c r="FK114" s="535"/>
      <c r="FL114" s="1015">
        <v>0</v>
      </c>
      <c r="FM114" s="535"/>
      <c r="FN114" s="535"/>
      <c r="FO114" s="535">
        <f>O114+((Sheet1!CS112)*GPMtoMGD)</f>
        <v>57.07</v>
      </c>
      <c r="FP114" s="535">
        <f>IF(Sheet1!AA112+AQ114&lt;=Calculation!N114,AQ114,Calculation!N114-Sheet1!AA112)</f>
        <v>20.706607085860199</v>
      </c>
      <c r="FQ114" s="535">
        <f>(Sheet1!BP112+Sheet1!BO112)/694.4</f>
        <v>1.4765264976958525</v>
      </c>
      <c r="FR114" s="541"/>
      <c r="FS114" s="541"/>
      <c r="FT114" s="541"/>
      <c r="FU114" s="541"/>
      <c r="FV114" s="1109">
        <f t="shared" si="258"/>
        <v>42918</v>
      </c>
      <c r="FW114" s="1109">
        <f t="shared" si="259"/>
        <v>43027</v>
      </c>
      <c r="FX114" s="541"/>
      <c r="FY114" s="541">
        <f>Sheet1!DA112-Sheet1!CZ112-Sheet1!AE112</f>
        <v>501.71271000000002</v>
      </c>
      <c r="FZ114" s="535">
        <f t="shared" si="296"/>
        <v>0.27051765452506499</v>
      </c>
      <c r="GA114" s="535"/>
      <c r="GB114" s="535" t="str">
        <f t="shared" si="260"/>
        <v>n</v>
      </c>
      <c r="GC114" s="539">
        <f t="shared" si="261"/>
        <v>42782</v>
      </c>
      <c r="GD114" s="1109">
        <f t="shared" si="262"/>
        <v>42904</v>
      </c>
      <c r="GE114" s="535">
        <f t="shared" si="280"/>
        <v>6520</v>
      </c>
      <c r="GF114" s="1109">
        <f t="shared" si="263"/>
        <v>42909</v>
      </c>
      <c r="GG114" s="535">
        <f t="shared" si="308"/>
        <v>3260</v>
      </c>
      <c r="GH114" s="539">
        <f t="shared" si="264"/>
        <v>43040</v>
      </c>
      <c r="GJ114" s="521">
        <f t="shared" si="265"/>
        <v>0</v>
      </c>
      <c r="GK114" s="535" t="str">
        <f t="shared" si="363"/>
        <v/>
      </c>
      <c r="GL114" s="535">
        <f t="shared" si="266"/>
        <v>0</v>
      </c>
      <c r="GM114" s="535" t="str">
        <f t="shared" si="267"/>
        <v/>
      </c>
      <c r="GN114" s="535">
        <f>IF(GK114="P",Lookup!$M$12,IF(GK114="PP",Lookup!$M$13,IF(GK114="PPP",Lookup!$M$14,IF(GK114="T",Lookup!$M$15,IF(GK114="TP",Lookup!$M$16,IF(GK114="TPP",Lookup!$M$17,IF(GK114="TPPP",Lookup!$M$18,0)))))))*GJ114</f>
        <v>0</v>
      </c>
      <c r="GO114" s="535">
        <f t="shared" si="268"/>
        <v>0</v>
      </c>
      <c r="GP114" s="535">
        <f t="shared" si="364"/>
        <v>4709.9935999999998</v>
      </c>
      <c r="GQ114" s="535">
        <f t="shared" si="279"/>
        <v>1535.2</v>
      </c>
      <c r="GR114" s="535"/>
      <c r="GS114" s="535">
        <f t="shared" si="269"/>
        <v>0</v>
      </c>
      <c r="GT114" s="535" t="str">
        <f t="shared" si="270"/>
        <v/>
      </c>
      <c r="GU114" s="535">
        <f>IF(GK114="P",Lookup!$N$12,IF(GK114="PP",Lookup!$N$13,IF(GK114="PPP",Lookup!$N$14,IF(GK114="T",Lookup!$N$15,IF(GK114="TP",Lookup!$N$16,IF(GK114="TPP",Lookup!$N$17,IF(GK114="TPPP",Lookup!$N$18,0)))))))*GJ114</f>
        <v>0</v>
      </c>
      <c r="GV114" s="535">
        <f t="shared" si="271"/>
        <v>0</v>
      </c>
      <c r="GW114" s="535">
        <f t="shared" si="365"/>
        <v>2019.2813865019316</v>
      </c>
      <c r="GX114" s="535">
        <f t="shared" si="276"/>
        <v>658.1751585729894</v>
      </c>
      <c r="GY114" s="535"/>
      <c r="GZ114" s="535">
        <f t="shared" si="272"/>
        <v>0</v>
      </c>
      <c r="HA114" s="535" t="str">
        <f t="shared" si="273"/>
        <v/>
      </c>
      <c r="HB114" s="535">
        <f>IF(GK114="P",Lookup!$N$12,IF(GK114="PP",Lookup!$N$13,IF(GK114="PPP",Lookup!$N$14,IF(GK114="T",Lookup!$N$15,IF(GK114="TP",Lookup!$N$16,IF(GK114="TPP",Lookup!$N$17,IF(GK114="TPPP",Lookup!$N$18,0)))))))*GJ114</f>
        <v>0</v>
      </c>
      <c r="HC114" s="521">
        <f t="shared" si="366"/>
        <v>0</v>
      </c>
      <c r="HD114" s="535">
        <f t="shared" si="367"/>
        <v>1646.9214192639042</v>
      </c>
      <c r="HE114" s="535">
        <f t="shared" si="277"/>
        <v>536.80619923856068</v>
      </c>
      <c r="HF114" s="535"/>
      <c r="HG114" s="535">
        <f t="shared" si="274"/>
        <v>0</v>
      </c>
      <c r="HH114" s="535" t="str">
        <f t="shared" si="275"/>
        <v/>
      </c>
      <c r="HI114" s="535">
        <f>IF(GK114="P",Lookup!$N$12,IF(GK114="PP",Lookup!$N$13,IF(GK114="PPP",Lookup!$N$14,IF(GK114="T",Lookup!$N$15,IF(GK114="TP",Lookup!$N$16,IF(GK114="TPP",Lookup!$N$17,IF(GK114="TPPP",Lookup!$N$18,0)))))))*GJ114</f>
        <v>0</v>
      </c>
      <c r="HJ114" s="521">
        <f t="shared" si="368"/>
        <v>0</v>
      </c>
      <c r="HK114" s="535">
        <f t="shared" si="369"/>
        <v>1059.4577860057989</v>
      </c>
      <c r="HL114" s="535">
        <f t="shared" si="278"/>
        <v>345.32522360032556</v>
      </c>
      <c r="HM114" s="535"/>
      <c r="HN114" s="541"/>
      <c r="HO114" s="541"/>
      <c r="HP114" s="541"/>
      <c r="HQ114" s="541">
        <f>IF(AND(B114&gt;=$FV$4,B114&lt;=$FW$4),MAX(110/1.02+$HQ$6+MIN(113/1.02,G114),IF($HV$6-(Sheet1!DA112-Sheet1!DB112)+MIN(113/1.02,G114)&lt;G114+FL114,$HV$6-(Sheet1!DA112-Sheet1!DB112)+MIN(113/1.02,G114),G114+FL114)),MIN(110/1.02+$HQ$6+113/1.02,G114))</f>
        <v>218.62745098039215</v>
      </c>
      <c r="HR114" s="541">
        <f t="shared" si="297"/>
        <v>223</v>
      </c>
      <c r="HS114" s="541">
        <f>HR114+(Sheet1!DA112-Sheet1!DB112)</f>
        <v>873</v>
      </c>
      <c r="HT114" s="541">
        <f t="shared" si="298"/>
        <v>71.842679999999987</v>
      </c>
      <c r="HU114" s="541">
        <f t="shared" si="299"/>
        <v>801.15732000000003</v>
      </c>
      <c r="HV114" s="541">
        <f t="shared" si="300"/>
        <v>0</v>
      </c>
      <c r="HW114" s="533" t="str">
        <f t="shared" si="301"/>
        <v/>
      </c>
      <c r="HX114" s="541">
        <f t="shared" si="302"/>
        <v>1231.372549019608</v>
      </c>
      <c r="HY114" s="541">
        <f>Sheet1!CZ112</f>
        <v>1450</v>
      </c>
      <c r="HZ114" s="541">
        <f t="shared" si="303"/>
        <v>0</v>
      </c>
      <c r="IA114" s="541">
        <f t="shared" si="304"/>
        <v>71.842679999999987</v>
      </c>
      <c r="IB114" s="541">
        <f t="shared" si="305"/>
        <v>1450</v>
      </c>
      <c r="IC114" s="1019" t="str">
        <f t="shared" si="306"/>
        <v/>
      </c>
      <c r="ID114" s="541">
        <f t="shared" si="307"/>
        <v>1378.15732</v>
      </c>
      <c r="IE114" s="541">
        <f>Sheet1!DB112</f>
        <v>1390</v>
      </c>
      <c r="IF114" s="533">
        <f>Sheet1!DA112</f>
        <v>2040</v>
      </c>
      <c r="IH114" s="541">
        <f>IF(AND($B114&gt;=$GC114,$B114&lt;=$GH114,$DR114&lt;0)+N("only adjusted when pool is drawn down during storage season"),Sheet1!$DB112+$DR114+N("Palmer minus all storage release"),Sheet1!$DB112)</f>
        <v>1390</v>
      </c>
      <c r="II114" s="541">
        <f>IF(AND($B114&gt;=$GC114,$B114&lt;=$GH114,$DR114&lt;0)+N("only adjusted when pool is drawn down during storage season"),Sheet1!$DA112+$DR114+N("Auburn minus all storage release"),Sheet1!$DA112)</f>
        <v>2040</v>
      </c>
    </row>
    <row r="115" spans="1:243" x14ac:dyDescent="0.25">
      <c r="A115" s="553" t="s">
        <v>8</v>
      </c>
      <c r="B115" s="531">
        <v>42839</v>
      </c>
      <c r="C115" s="536">
        <v>0</v>
      </c>
      <c r="D115" s="506">
        <f t="shared" si="247"/>
        <v>300</v>
      </c>
      <c r="E115" s="506">
        <f t="shared" si="248"/>
        <v>250</v>
      </c>
      <c r="F115" s="506">
        <v>250</v>
      </c>
      <c r="G115" s="535">
        <f>DR115+Sheet1!CZ113</f>
        <v>1648.0383257698693</v>
      </c>
      <c r="H115" s="1074">
        <f t="shared" si="370"/>
        <v>610.64294899200002</v>
      </c>
      <c r="I115" s="534">
        <f>IF(Sheet1!DA113&gt;=E115,(Sheet1!DA113-E115+P115)*CFStoMGD,0)</f>
        <v>1153.618948992</v>
      </c>
      <c r="J115" s="995">
        <f>IF(Sheet1!DB113&gt;=D115,(Sheet1!DB113-D115+P115)*CFStoMGD,0)</f>
        <v>610.64294899200002</v>
      </c>
      <c r="K115" s="818">
        <f t="shared" si="282"/>
        <v>64.64</v>
      </c>
      <c r="L115" s="535">
        <f>Sheet1!AA113+Sheet1!AB113-Sheet1!L113+(Sheet1!DA113-F115)*CFStoMGD-S115-T115-U115</f>
        <v>1088.98</v>
      </c>
      <c r="M115" s="535">
        <f t="shared" si="309"/>
        <v>1086.5978132531964</v>
      </c>
      <c r="N115" s="824">
        <f>IF(Sheet1!DA113&gt;=F115,MIN(113*CFStoMGD,MIN(MAX(L115,0),MAX(M115,0))),0)</f>
        <v>73.043199999999999</v>
      </c>
      <c r="O115" s="538">
        <f>Sheet1!AA113+Sheet1!AB113</f>
        <v>54.739999999999995</v>
      </c>
      <c r="P115" s="538">
        <f t="shared" si="310"/>
        <v>84.682779999999994</v>
      </c>
      <c r="Q115" s="812">
        <f t="shared" si="283"/>
        <v>44.179999999999993</v>
      </c>
      <c r="R115" s="812">
        <f t="shared" si="249"/>
        <v>10.516543209876541</v>
      </c>
      <c r="S115" s="812">
        <f t="shared" si="250"/>
        <v>10.56</v>
      </c>
      <c r="T115" s="812">
        <f t="shared" si="251"/>
        <v>54.08</v>
      </c>
      <c r="U115" s="812">
        <f t="shared" si="284"/>
        <v>0</v>
      </c>
      <c r="V115" s="812"/>
      <c r="W115" s="812">
        <f t="shared" si="252"/>
        <v>54.123456790123456</v>
      </c>
      <c r="X115" s="812">
        <f t="shared" si="253"/>
        <v>64.64</v>
      </c>
      <c r="Y115" s="812" t="str">
        <f t="shared" si="254"/>
        <v>FALSE</v>
      </c>
      <c r="Z115" s="812">
        <f t="shared" si="255"/>
        <v>54.739999999999995</v>
      </c>
      <c r="AA115" s="812">
        <f t="shared" si="256"/>
        <v>54.739999999999995</v>
      </c>
      <c r="AB115" s="1059">
        <f t="shared" si="285"/>
        <v>68.346459999999979</v>
      </c>
      <c r="AC115" s="538">
        <f>Sheet1!Y113*MGDtoCFS</f>
        <v>39.804310000000001</v>
      </c>
      <c r="AD115" s="538">
        <f>Sheet1!Z113*MGDtoCFS</f>
        <v>48.482979999999998</v>
      </c>
      <c r="AE115" s="538">
        <f>Sheet1!AA113*MGDtoCFS</f>
        <v>39.757899999999999</v>
      </c>
      <c r="AF115" s="538">
        <f>Sheet1!AB113*MGDtoCFS</f>
        <v>44.924879999999995</v>
      </c>
      <c r="AG115" s="538">
        <f>Sheet1!L113*MGDtoCFS</f>
        <v>0</v>
      </c>
      <c r="AH115" s="521">
        <f t="shared" si="311"/>
        <v>0</v>
      </c>
      <c r="AI115" s="1059">
        <f t="shared" si="312"/>
        <v>0</v>
      </c>
      <c r="AJ115" s="535">
        <f t="shared" si="313"/>
        <v>54.123456790123456</v>
      </c>
      <c r="AK115" s="535">
        <f t="shared" si="314"/>
        <v>83.728987654320989</v>
      </c>
      <c r="AL115" s="535">
        <f>(VLOOKUP(Sheet1!DC113,hhdcap_wcm,4)-(((VLOOKUP(Sheet1!DC113,hhdcap_wcm,3)-Sheet1!DC113)/(VLOOKUP(Sheet1!DC113,hhdcap_wcm,3)-VLOOKUP(Sheet1!DC113,hhdcap_wcm,1)))*(VLOOKUP(Sheet1!DC113,hhdcap_wcm,4)-VLOOKUP(Sheet1!DC113,hhdcap_wcm,2))))</f>
        <v>29777.200000075762</v>
      </c>
      <c r="AM115" s="535">
        <f t="shared" si="315"/>
        <v>848.80000000165091</v>
      </c>
      <c r="AN115" s="1035">
        <f t="shared" si="316"/>
        <v>3129.6300382019995</v>
      </c>
      <c r="AO115" s="535">
        <f t="shared" si="317"/>
        <v>9601.704957203734</v>
      </c>
      <c r="AP115" s="535">
        <f>Sheet1!BA113+Sheet1!BB113+Sheet1!BN113+CD115</f>
        <v>18.600000000000001</v>
      </c>
      <c r="AQ115" s="535">
        <f>Sheet1!BN113+(DO115*Sheet1!BN113)</f>
        <v>18.523456790123454</v>
      </c>
      <c r="AR115" s="535">
        <f>Sheet1!BA113+CD115</f>
        <v>0</v>
      </c>
      <c r="AS115" s="535">
        <f>Sheet1!BA113+Sheet1!BB113+CD115</f>
        <v>0</v>
      </c>
      <c r="AT115" s="649">
        <f>0</f>
        <v>0</v>
      </c>
      <c r="AU115" s="535">
        <f>IF(EB115&lt;K115,0,MAX(Sheet1!AA113+AQ115-15/36*K115-N115,Sheet1!EH113,0))</f>
        <v>0</v>
      </c>
      <c r="AV115" s="535">
        <f>IF(OR(B115&gt;=GD115,B115&lt;GC115),0,15/36*K115-MAX(0,64.6-(137.6-(Sheet1!AA113+Sheet1!AB113))))</f>
        <v>26.933333333333334</v>
      </c>
      <c r="AW115" s="1029"/>
      <c r="AX115" s="649"/>
      <c r="AY115" s="649">
        <f t="shared" si="286"/>
        <v>0</v>
      </c>
      <c r="AZ115" s="649">
        <f t="shared" si="287"/>
        <v>0</v>
      </c>
      <c r="BA115" s="1059">
        <f t="shared" si="288"/>
        <v>0</v>
      </c>
      <c r="BB115" s="1019">
        <f t="shared" si="318"/>
        <v>1562.1333333333334</v>
      </c>
      <c r="BC115" s="1041">
        <f t="shared" si="289"/>
        <v>26.933333333333334</v>
      </c>
      <c r="BD115" s="1019">
        <f ca="1">IF(B115&gt;Summary!$A$1,#N/A,BB115*MGtoAF)</f>
        <v>4792.6250666666674</v>
      </c>
      <c r="BE115" s="535">
        <f>Sheet1!BG113+Sheet1!BH113+Sheet1!BI113-BM115</f>
        <v>1.01</v>
      </c>
      <c r="BF115" s="535">
        <f t="shared" si="319"/>
        <v>1.0058436213991768</v>
      </c>
      <c r="BG115" s="535">
        <f>IF(Sheet1!EP113="FM",BM115,0)</f>
        <v>0</v>
      </c>
      <c r="BH115" s="535">
        <f t="shared" si="320"/>
        <v>0</v>
      </c>
      <c r="BI115" s="535">
        <f>IF(Sheet1!EP113="OTHER",BM115,0)</f>
        <v>0</v>
      </c>
      <c r="BJ115" s="535">
        <f t="shared" si="321"/>
        <v>0</v>
      </c>
      <c r="BK115" s="535">
        <f t="shared" si="322"/>
        <v>1.01</v>
      </c>
      <c r="BL115" s="535">
        <f t="shared" si="323"/>
        <v>1.0058436213991768</v>
      </c>
      <c r="BM115" s="535">
        <f>IF(OR(Sheet1!EP113="FM", Sheet1!EP113="OTHER"),SUM(Sheet1!BG113:'Sheet1'!BI113),0)</f>
        <v>0</v>
      </c>
      <c r="BN115" s="521">
        <f>IF(AND($B115&gt;=$FV115,$B115&lt;=$FW115),MAX(BF115,Sheet1!EI113,0),MAX(BF115-(7/36)*$K115,0))</f>
        <v>0</v>
      </c>
      <c r="BO115" s="535">
        <f t="shared" si="324"/>
        <v>11.563045267489713</v>
      </c>
      <c r="BP115" s="521">
        <f t="shared" si="325"/>
        <v>1.0058436213991768</v>
      </c>
      <c r="BQ115" s="521">
        <f>IF(AND($O115&gt;0,Sheet1!EM113=1),(1-($O115-Sheet1!$L113)/$O115)*BL115,0)</f>
        <v>0</v>
      </c>
      <c r="BR115" s="521">
        <f>IF(AND(Sheet1!$L113=0,Sheet1!$L112=0, Calculation!BK115&lt;Sheet1!$EI113-0.1,Sheet1!$EI113=Sheet1!$EI112,Sheet1!$EI113=Sheet1!$EI114),BL115-BQ115,BL115-BQ115)</f>
        <v>1.0058436213991768</v>
      </c>
      <c r="BS115" s="1035" t="str">
        <f t="shared" si="290"/>
        <v/>
      </c>
      <c r="BT115" s="1035">
        <f t="shared" si="291"/>
        <v>12.568888888888889</v>
      </c>
      <c r="BU115" s="535">
        <f t="shared" si="326"/>
        <v>669.73820384047917</v>
      </c>
      <c r="BV115" s="535"/>
      <c r="BW115" s="535">
        <f ca="1">IF(B115&gt;Summary!$A$1,#N/A,BU115*MGtoAF)</f>
        <v>2054.7568093825903</v>
      </c>
      <c r="BX115" s="535">
        <f>Sheet1!BC113+Sheet1!BD113+Sheet1!BE113+Sheet1!BF113-CG115-CH115</f>
        <v>3.04</v>
      </c>
      <c r="BY115" s="535">
        <f t="shared" si="327"/>
        <v>3.0274897119341557</v>
      </c>
      <c r="BZ115" s="535">
        <f>IF(Sheet1!EQ113="FM",CH115,0)</f>
        <v>0</v>
      </c>
      <c r="CA115" s="535">
        <f t="shared" si="328"/>
        <v>0</v>
      </c>
      <c r="CB115" s="535">
        <f>IF(Sheet1!EQ113="OTHER",CH115,0)</f>
        <v>0</v>
      </c>
      <c r="CC115" s="535">
        <f t="shared" si="329"/>
        <v>0</v>
      </c>
      <c r="CD115" s="535">
        <f t="shared" si="330"/>
        <v>0</v>
      </c>
      <c r="CE115" s="535">
        <f t="shared" si="331"/>
        <v>3.04</v>
      </c>
      <c r="CF115" s="535">
        <f t="shared" si="332"/>
        <v>3.0274897119341557</v>
      </c>
      <c r="CG115" s="535">
        <f>IF(Sheet1!EQ113="CWA",SUM(Sheet1!BC113:'Sheet1'!BF113),0)</f>
        <v>0</v>
      </c>
      <c r="CH115" s="535">
        <f>IF(OR(Sheet1!EQ113="FM", Sheet1!EQ113="OTHER"),SUM(Sheet1!BC113:'Sheet1'!BF113),0)</f>
        <v>0</v>
      </c>
      <c r="CI115" s="521">
        <f>IF(AND($B115&gt;=$FV115,$B115&lt;=$FW115),MAX(CF115,Sheet1!EJ113,0),MAX(CF115-(7/36)*$K115,0))</f>
        <v>0</v>
      </c>
      <c r="CJ115" s="535">
        <f t="shared" si="333"/>
        <v>9.5413991769547337</v>
      </c>
      <c r="CK115" s="521">
        <f t="shared" si="334"/>
        <v>3.0274897119341557</v>
      </c>
      <c r="CL115" s="521">
        <f>IF(AND($O115&gt;0,Sheet1!EN113=1),(1-($O115-Sheet1!$L113)/$O115)*CF115,0)</f>
        <v>0</v>
      </c>
      <c r="CM115" s="521">
        <f>IF(AND(Sheet1!$L113=0,Sheet1!$L112=0, Calculation!CE115&lt;Sheet1!EJ113-0.1,Sheet1!EJ113=Sheet1!EJ112,Sheet1!EJ113=Sheet1!EJ114),CF115-CL115,CF115-CL115)</f>
        <v>3.0274897119341557</v>
      </c>
      <c r="CN115" s="1040" t="str">
        <f t="shared" si="292"/>
        <v/>
      </c>
      <c r="CO115" s="1035">
        <f t="shared" si="293"/>
        <v>12.568888888888889</v>
      </c>
      <c r="CP115" s="535">
        <f t="shared" si="335"/>
        <v>546.34759841551545</v>
      </c>
      <c r="CQ115" s="535"/>
      <c r="CR115" s="535">
        <f ca="1">IF(B115&gt;Summary!$A$1,#N/A,CP115*MGtoAF)</f>
        <v>1676.1944319388015</v>
      </c>
      <c r="CS115" s="535">
        <f>Sheet1!BK113+Sheet1!BL113+Sheet1!BM113-Sheet1!ER113-DA115</f>
        <v>6.51</v>
      </c>
      <c r="CT115" s="535">
        <f t="shared" si="336"/>
        <v>6.4832098765432082</v>
      </c>
      <c r="CU115" s="535">
        <f>IF(Sheet1!ER113="FM",DA115,0)</f>
        <v>0</v>
      </c>
      <c r="CV115" s="535">
        <f t="shared" si="337"/>
        <v>0</v>
      </c>
      <c r="CW115" s="535">
        <f>IF(Sheet1!ER113="OTHER",DA115,0)</f>
        <v>0</v>
      </c>
      <c r="CX115" s="535">
        <f t="shared" si="338"/>
        <v>0</v>
      </c>
      <c r="CY115" s="535">
        <f t="shared" si="339"/>
        <v>6.51</v>
      </c>
      <c r="CZ115" s="535">
        <f t="shared" si="340"/>
        <v>6.4832098765432082</v>
      </c>
      <c r="DA115" s="535">
        <f>IF(OR(Sheet1!ER113="FM", Sheet1!ER113="OTHER"),SUM(Sheet1!BK113:'Sheet1'!BM113),0)</f>
        <v>0</v>
      </c>
      <c r="DB115" s="1011">
        <f>IF(AND($B115&gt;=$FV115,$B115&lt;=$FW115),MAX($CT115,Sheet1!EK113,0),MAX($CT115-(7/36)*$K115,0))</f>
        <v>0</v>
      </c>
      <c r="DC115" s="1012">
        <f t="shared" si="341"/>
        <v>6.0856790123456808</v>
      </c>
      <c r="DD115" s="1011">
        <f t="shared" si="342"/>
        <v>6.4832098765432082</v>
      </c>
      <c r="DE115" s="521">
        <f>IF(AND($O115&gt;0,Sheet1!EO113=1),(1-($O115-Sheet1!$L113)/$O115)*CZ115,0)</f>
        <v>0</v>
      </c>
      <c r="DF115" s="521">
        <f>IF(AND(Sheet1!$L113=0,Sheet1!$L112=0, Calculation!CY115&lt;Sheet1!$EK113-0.1,Sheet1!$EK113=Sheet1!$EK112,Sheet1!$EK113=Sheet1!$EK114),CZ115-DE115,CZ115-DE115)</f>
        <v>6.4832098765432082</v>
      </c>
      <c r="DG115" s="1040">
        <f t="shared" si="294"/>
        <v>12.568888888888889</v>
      </c>
      <c r="DH115" s="649">
        <f t="shared" si="343"/>
        <v>10.559999999999999</v>
      </c>
      <c r="DI115" s="535">
        <f t="shared" si="344"/>
        <v>351.41090261267124</v>
      </c>
      <c r="DJ115" s="649">
        <f t="shared" si="345"/>
        <v>10.516543209876541</v>
      </c>
      <c r="DK115" s="535">
        <f ca="1">IF(B115&gt;Summary!$A$1,#N/A,DI115*MGtoAF)</f>
        <v>1078.1286492156753</v>
      </c>
      <c r="DL115" s="649">
        <f t="shared" si="346"/>
        <v>10.56</v>
      </c>
      <c r="DM115" s="535">
        <f t="shared" si="347"/>
        <v>29.160000000000004</v>
      </c>
      <c r="DN115" s="535">
        <f>Sheet1!AB113-DM115</f>
        <v>-0.12000000000000455</v>
      </c>
      <c r="DO115" s="743">
        <f t="shared" si="348"/>
        <v>-4.1152263374487153E-3</v>
      </c>
      <c r="DP115" s="535">
        <f>(VLOOKUP(Sheet1!DC113,hhdcap_wcm,4)-(((VLOOKUP(Sheet1!DC113,hhdcap_wcm,3)-Sheet1!DC113)/(VLOOKUP(Sheet1!DC113,hhdcap_wcm,3)-VLOOKUP(Sheet1!DC113,hhdcap_wcm,1)))*(VLOOKUP(Sheet1!DC113,hhdcap_wcm,4)-VLOOKUP(Sheet1!DC113,hhdcap_wcm,2))))</f>
        <v>29777.200000075762</v>
      </c>
      <c r="DQ115" s="535">
        <f t="shared" si="349"/>
        <v>848.80000000165091</v>
      </c>
      <c r="DR115" s="535">
        <f t="shared" si="350"/>
        <v>428.03832576986929</v>
      </c>
      <c r="DS115" s="535">
        <f>Sheet1!EA113*AFtoMG</f>
        <v>0</v>
      </c>
      <c r="DT115" s="535">
        <f>Sheet1!EB113*AFtoMG</f>
        <v>0</v>
      </c>
      <c r="DU115" s="535">
        <f>Sheet1!EC113*AFtoMG</f>
        <v>0</v>
      </c>
      <c r="DV115" s="535">
        <f>Sheet1!ED113*AFtoMG</f>
        <v>0</v>
      </c>
      <c r="DW115" s="535">
        <f t="shared" si="351"/>
        <v>0</v>
      </c>
      <c r="DX115" s="535">
        <f t="shared" si="352"/>
        <v>0</v>
      </c>
      <c r="DY115" s="535">
        <f t="shared" si="353"/>
        <v>3129.6300382019995</v>
      </c>
      <c r="DZ115" s="535">
        <f t="shared" si="354"/>
        <v>9601.704957203734</v>
      </c>
      <c r="EA115" s="535"/>
      <c r="EB115" s="521">
        <f>IF(OR(B115&lt;FV115,B115&gt;FW115),(MIN(BF115+BY115+CT115+MAX(Sheet1!AA113+AQ115-73,0),K115)),0)</f>
        <v>10.516543209876541</v>
      </c>
      <c r="EC115" s="535"/>
      <c r="ED115" s="535">
        <f t="shared" si="355"/>
        <v>10.516543209876541</v>
      </c>
      <c r="EE115" s="535"/>
      <c r="EF115" s="535">
        <f>Sheet1!EH113+Sheet1!EI113+Sheet1!EJ113+Sheet1!EK113</f>
        <v>10.5</v>
      </c>
      <c r="EG115" s="1019">
        <f t="shared" si="295"/>
        <v>16.243500000000001</v>
      </c>
      <c r="EH115" s="521">
        <f t="shared" si="356"/>
        <v>0</v>
      </c>
      <c r="EI115" s="535">
        <f>IF(Sheet1!ET113=1,SUM('Calculations II'!AT115:BA115)+'Calculations II'!BC115+Sheet1!BV113+'Calculations II'!BE115+AP115,'Calculations II'!BK115)</f>
        <v>42.15589679012345</v>
      </c>
      <c r="EJ115" s="535">
        <f ca="1">EI115+'Calculations II'!D115+'Calculations II'!E115+'Calculations II'!O115</f>
        <v>44.700625437121992</v>
      </c>
      <c r="EK115" s="535"/>
      <c r="EL115" s="535"/>
      <c r="EM115" s="535">
        <f t="shared" si="357"/>
        <v>42839</v>
      </c>
      <c r="EN115" s="535">
        <f t="shared" si="358"/>
        <v>54.123456790123456</v>
      </c>
      <c r="EO115" s="535">
        <f t="shared" si="359"/>
        <v>83.728987654320989</v>
      </c>
      <c r="EP115" s="535">
        <v>0</v>
      </c>
      <c r="EQ115" s="535">
        <v>0</v>
      </c>
      <c r="ER115" s="535">
        <v>0</v>
      </c>
      <c r="ES115" s="521">
        <f t="shared" si="257"/>
        <v>-2.0762144139353782</v>
      </c>
      <c r="ET115" s="535">
        <f>-(VLOOKUP(Sheet1!BQ113,Lookup!$O$4:$Q$262,2)-VLOOKUP(Sheet1!BQ112,Lookup!$O$4:$Q$262,2))/1000000</f>
        <v>0</v>
      </c>
      <c r="EU115" s="535">
        <f>-(VLOOKUP(Sheet1!BR113,Lookup!$O$4:$Q$262,3)-VLOOKUP(Sheet1!BR112,Lookup!$O$4:$Q$262,3))/1000000</f>
        <v>-2.0762144139353782</v>
      </c>
      <c r="EV115" s="535"/>
      <c r="EW115" s="535"/>
      <c r="EX115" s="535"/>
      <c r="EY115" s="535"/>
      <c r="EZ115" s="535"/>
      <c r="FA115" s="535"/>
      <c r="FB115" s="535"/>
      <c r="FC115" s="535"/>
      <c r="FD115" s="567" t="e">
        <f t="shared" si="360"/>
        <v>#N/A</v>
      </c>
      <c r="FE115" s="567" t="e">
        <f t="shared" si="361"/>
        <v>#N/A</v>
      </c>
      <c r="FF115" s="568" t="e">
        <f t="shared" si="362"/>
        <v>#N/A</v>
      </c>
      <c r="FG115" s="569" t="s">
        <v>656</v>
      </c>
      <c r="FH115" s="569" t="s">
        <v>656</v>
      </c>
      <c r="FI115" s="567" t="e">
        <v>#N/A</v>
      </c>
      <c r="FJ115" s="567" t="e">
        <v>#N/A</v>
      </c>
      <c r="FK115" s="535"/>
      <c r="FL115" s="1015">
        <v>0</v>
      </c>
      <c r="FM115" s="535"/>
      <c r="FN115" s="535"/>
      <c r="FO115" s="535">
        <f>O115+((Sheet1!CS113)*GPMtoMGD)</f>
        <v>54.739999999999995</v>
      </c>
      <c r="FP115" s="535">
        <f>IF(Sheet1!AA113+AQ115&lt;=Calculation!N115,AQ115,Calculation!N115-Sheet1!AA113)</f>
        <v>18.523456790123454</v>
      </c>
      <c r="FQ115" s="535">
        <f>(Sheet1!BP113+Sheet1!BO113)/694.4</f>
        <v>1.553139400921659</v>
      </c>
      <c r="FR115" s="541"/>
      <c r="FS115" s="541"/>
      <c r="FT115" s="541"/>
      <c r="FU115" s="541"/>
      <c r="FV115" s="1109">
        <f t="shared" si="258"/>
        <v>42918</v>
      </c>
      <c r="FW115" s="1109">
        <f t="shared" si="259"/>
        <v>43027</v>
      </c>
      <c r="FX115" s="541"/>
      <c r="FY115" s="541">
        <f>Sheet1!DA113-Sheet1!CZ113-Sheet1!AE113</f>
        <v>645.31722000000002</v>
      </c>
      <c r="FZ115" s="535">
        <f t="shared" si="296"/>
        <v>0.39156687675849083</v>
      </c>
      <c r="GA115" s="535"/>
      <c r="GB115" s="535" t="str">
        <f t="shared" si="260"/>
        <v>n</v>
      </c>
      <c r="GC115" s="539">
        <f t="shared" si="261"/>
        <v>42782</v>
      </c>
      <c r="GD115" s="1109">
        <f t="shared" si="262"/>
        <v>42904</v>
      </c>
      <c r="GE115" s="535">
        <f t="shared" si="280"/>
        <v>6520</v>
      </c>
      <c r="GF115" s="1109">
        <f t="shared" si="263"/>
        <v>42909</v>
      </c>
      <c r="GG115" s="535">
        <f t="shared" si="308"/>
        <v>3260</v>
      </c>
      <c r="GH115" s="539">
        <f t="shared" si="264"/>
        <v>43040</v>
      </c>
      <c r="GJ115" s="521">
        <f t="shared" si="265"/>
        <v>0</v>
      </c>
      <c r="GK115" s="535" t="str">
        <f t="shared" si="363"/>
        <v/>
      </c>
      <c r="GL115" s="535">
        <f t="shared" si="266"/>
        <v>0</v>
      </c>
      <c r="GM115" s="535" t="str">
        <f t="shared" si="267"/>
        <v/>
      </c>
      <c r="GN115" s="535">
        <f>IF(GK115="P",Lookup!$M$12,IF(GK115="PP",Lookup!$M$13,IF(GK115="PPP",Lookup!$M$14,IF(GK115="T",Lookup!$M$15,IF(GK115="TP",Lookup!$M$16,IF(GK115="TPP",Lookup!$M$17,IF(GK115="TPPP",Lookup!$M$18,0)))))))*GJ115</f>
        <v>0</v>
      </c>
      <c r="GO115" s="535">
        <f t="shared" si="268"/>
        <v>0</v>
      </c>
      <c r="GP115" s="535">
        <f t="shared" si="364"/>
        <v>4792.6250666666674</v>
      </c>
      <c r="GQ115" s="535">
        <f t="shared" si="279"/>
        <v>1562.1333333333334</v>
      </c>
      <c r="GR115" s="535"/>
      <c r="GS115" s="535">
        <f t="shared" si="269"/>
        <v>0</v>
      </c>
      <c r="GT115" s="535" t="str">
        <f t="shared" si="270"/>
        <v/>
      </c>
      <c r="GU115" s="535">
        <f>IF(GK115="P",Lookup!$N$12,IF(GK115="PP",Lookup!$N$13,IF(GK115="PPP",Lookup!$N$14,IF(GK115="T",Lookup!$N$15,IF(GK115="TP",Lookup!$N$16,IF(GK115="TPP",Lookup!$N$17,IF(GK115="TPPP",Lookup!$N$18,0)))))))*GJ115</f>
        <v>0</v>
      </c>
      <c r="GV115" s="535">
        <f t="shared" si="271"/>
        <v>0</v>
      </c>
      <c r="GW115" s="535">
        <f t="shared" si="365"/>
        <v>2054.7568093825903</v>
      </c>
      <c r="GX115" s="535">
        <f t="shared" si="276"/>
        <v>669.73820384047917</v>
      </c>
      <c r="GY115" s="535"/>
      <c r="GZ115" s="535">
        <f t="shared" si="272"/>
        <v>0</v>
      </c>
      <c r="HA115" s="535" t="str">
        <f t="shared" si="273"/>
        <v/>
      </c>
      <c r="HB115" s="535">
        <f>IF(GK115="P",Lookup!$N$12,IF(GK115="PP",Lookup!$N$13,IF(GK115="PPP",Lookup!$N$14,IF(GK115="T",Lookup!$N$15,IF(GK115="TP",Lookup!$N$16,IF(GK115="TPP",Lookup!$N$17,IF(GK115="TPPP",Lookup!$N$18,0)))))))*GJ115</f>
        <v>0</v>
      </c>
      <c r="HC115" s="521">
        <f t="shared" si="366"/>
        <v>0</v>
      </c>
      <c r="HD115" s="535">
        <f t="shared" si="367"/>
        <v>1676.1944319388015</v>
      </c>
      <c r="HE115" s="535">
        <f t="shared" si="277"/>
        <v>546.34759841551545</v>
      </c>
      <c r="HF115" s="535"/>
      <c r="HG115" s="535">
        <f t="shared" si="274"/>
        <v>0</v>
      </c>
      <c r="HH115" s="535" t="str">
        <f t="shared" si="275"/>
        <v/>
      </c>
      <c r="HI115" s="535">
        <f>IF(GK115="P",Lookup!$N$12,IF(GK115="PP",Lookup!$N$13,IF(GK115="PPP",Lookup!$N$14,IF(GK115="T",Lookup!$N$15,IF(GK115="TP",Lookup!$N$16,IF(GK115="TPP",Lookup!$N$17,IF(GK115="TPPP",Lookup!$N$18,0)))))))*GJ115</f>
        <v>0</v>
      </c>
      <c r="HJ115" s="521">
        <f t="shared" si="368"/>
        <v>0</v>
      </c>
      <c r="HK115" s="535">
        <f t="shared" si="369"/>
        <v>1078.1286492156753</v>
      </c>
      <c r="HL115" s="535">
        <f t="shared" si="278"/>
        <v>351.41090261267124</v>
      </c>
      <c r="HM115" s="535"/>
      <c r="HN115" s="541"/>
      <c r="HO115" s="541"/>
      <c r="HP115" s="541"/>
      <c r="HQ115" s="541">
        <f>IF(AND(B115&gt;=$FV$4,B115&lt;=$FW$4),MAX(110/1.02+$HQ$6+MIN(113/1.02,G115),IF($HV$6-(Sheet1!DA113-Sheet1!DB113)+MIN(113/1.02,G115)&lt;G115+FL115,$HV$6-(Sheet1!DA113-Sheet1!DB113)+MIN(113/1.02,G115),G115+FL115)),MIN(110/1.02+$HQ$6+113/1.02,G115))</f>
        <v>218.62745098039215</v>
      </c>
      <c r="HR115" s="541">
        <f t="shared" si="297"/>
        <v>223</v>
      </c>
      <c r="HS115" s="541">
        <f>HR115+(Sheet1!DA113-Sheet1!DB113)</f>
        <v>1013</v>
      </c>
      <c r="HT115" s="541">
        <f t="shared" si="298"/>
        <v>68.346459999999979</v>
      </c>
      <c r="HU115" s="541">
        <f t="shared" si="299"/>
        <v>944.65354000000002</v>
      </c>
      <c r="HV115" s="541">
        <f t="shared" si="300"/>
        <v>0</v>
      </c>
      <c r="HW115" s="533" t="str">
        <f t="shared" si="301"/>
        <v/>
      </c>
      <c r="HX115" s="541">
        <f t="shared" si="302"/>
        <v>1001.3725490196078</v>
      </c>
      <c r="HY115" s="541">
        <f>Sheet1!CZ113</f>
        <v>1220</v>
      </c>
      <c r="HZ115" s="541">
        <f t="shared" si="303"/>
        <v>0</v>
      </c>
      <c r="IA115" s="541">
        <f t="shared" si="304"/>
        <v>68.346459999999979</v>
      </c>
      <c r="IB115" s="541">
        <f t="shared" si="305"/>
        <v>1220</v>
      </c>
      <c r="IC115" s="1019" t="str">
        <f t="shared" si="306"/>
        <v/>
      </c>
      <c r="ID115" s="541">
        <f t="shared" si="307"/>
        <v>1151.65354</v>
      </c>
      <c r="IE115" s="541">
        <f>Sheet1!DB113</f>
        <v>1160</v>
      </c>
      <c r="IF115" s="533">
        <f>Sheet1!DA113</f>
        <v>1950</v>
      </c>
      <c r="IH115" s="541">
        <f>IF(AND($B115&gt;=$GC115,$B115&lt;=$GH115,$DR115&lt;0)+N("only adjusted when pool is drawn down during storage season"),Sheet1!$DB113+$DR115+N("Palmer minus all storage release"),Sheet1!$DB113)</f>
        <v>1160</v>
      </c>
      <c r="II115" s="541">
        <f>IF(AND($B115&gt;=$GC115,$B115&lt;=$GH115,$DR115&lt;0)+N("only adjusted when pool is drawn down during storage season"),Sheet1!$DA113+$DR115+N("Auburn minus all storage release"),Sheet1!$DA113)</f>
        <v>1950</v>
      </c>
    </row>
    <row r="116" spans="1:243" x14ac:dyDescent="0.25">
      <c r="A116" s="553" t="s">
        <v>9</v>
      </c>
      <c r="B116" s="531">
        <v>42840</v>
      </c>
      <c r="C116" s="536">
        <v>0</v>
      </c>
      <c r="D116" s="506">
        <f t="shared" si="247"/>
        <v>300</v>
      </c>
      <c r="E116" s="506">
        <f t="shared" si="248"/>
        <v>250</v>
      </c>
      <c r="F116" s="506">
        <v>250</v>
      </c>
      <c r="G116" s="535">
        <f>DR116+Sheet1!CZ114</f>
        <v>1551.2153303087994</v>
      </c>
      <c r="H116" s="1074">
        <f t="shared" si="370"/>
        <v>603.1089695359999</v>
      </c>
      <c r="I116" s="534">
        <f>IF(Sheet1!DA114&gt;=E116,(Sheet1!DA114-E116+P116)*CFStoMGD,0)</f>
        <v>1087.9089695359999</v>
      </c>
      <c r="J116" s="995">
        <f>IF(Sheet1!DB114&gt;=D116,(Sheet1!DB114-D116+P116)*CFStoMGD,0)</f>
        <v>603.1089695359999</v>
      </c>
      <c r="K116" s="818">
        <f t="shared" si="282"/>
        <v>64.64</v>
      </c>
      <c r="L116" s="535">
        <f>Sheet1!AA114+Sheet1!AB114-Sheet1!L114+(Sheet1!DA114-F116)*CFStoMGD-S116-T116-U116</f>
        <v>1023.2700000000001</v>
      </c>
      <c r="M116" s="535">
        <f t="shared" si="309"/>
        <v>1022.7597013018401</v>
      </c>
      <c r="N116" s="824">
        <f>IF(Sheet1!DA114&gt;=F116,MIN(113*CFStoMGD,MIN(MAX(L116,0),MAX(M116,0))),0)</f>
        <v>73.043199999999999</v>
      </c>
      <c r="O116" s="538">
        <f>Sheet1!AA114+Sheet1!AB114</f>
        <v>53.67</v>
      </c>
      <c r="P116" s="538">
        <f t="shared" si="310"/>
        <v>83.02749</v>
      </c>
      <c r="Q116" s="812">
        <f t="shared" si="283"/>
        <v>42.88</v>
      </c>
      <c r="R116" s="812">
        <f t="shared" si="249"/>
        <v>10.78229010360843</v>
      </c>
      <c r="S116" s="812">
        <f t="shared" si="250"/>
        <v>10.790000000000001</v>
      </c>
      <c r="T116" s="812">
        <f t="shared" si="251"/>
        <v>53.85</v>
      </c>
      <c r="U116" s="812">
        <f t="shared" si="284"/>
        <v>0</v>
      </c>
      <c r="V116" s="812"/>
      <c r="W116" s="812">
        <f t="shared" si="252"/>
        <v>53.857709896391569</v>
      </c>
      <c r="X116" s="812">
        <f t="shared" si="253"/>
        <v>64.64</v>
      </c>
      <c r="Y116" s="812" t="str">
        <f t="shared" si="254"/>
        <v>FALSE</v>
      </c>
      <c r="Z116" s="812">
        <f t="shared" si="255"/>
        <v>53.67</v>
      </c>
      <c r="AA116" s="812">
        <f t="shared" si="256"/>
        <v>53.67</v>
      </c>
      <c r="AB116" s="1059">
        <f t="shared" si="285"/>
        <v>66.335359999999994</v>
      </c>
      <c r="AC116" s="538">
        <f>Sheet1!Y114*MGDtoCFS</f>
        <v>39.757899999999999</v>
      </c>
      <c r="AD116" s="538">
        <f>Sheet1!Z114*MGDtoCFS</f>
        <v>44.924879999999995</v>
      </c>
      <c r="AE116" s="538">
        <f>Sheet1!AA114*MGDtoCFS</f>
        <v>39.757899999999999</v>
      </c>
      <c r="AF116" s="538">
        <f>Sheet1!AB114*MGDtoCFS</f>
        <v>43.269589999999994</v>
      </c>
      <c r="AG116" s="538">
        <f>Sheet1!L114*MGDtoCFS</f>
        <v>0</v>
      </c>
      <c r="AH116" s="521">
        <f t="shared" si="311"/>
        <v>0</v>
      </c>
      <c r="AI116" s="1059">
        <f t="shared" si="312"/>
        <v>0</v>
      </c>
      <c r="AJ116" s="535">
        <f t="shared" si="313"/>
        <v>53.857709896391569</v>
      </c>
      <c r="AK116" s="535">
        <f t="shared" si="314"/>
        <v>83.31787720971775</v>
      </c>
      <c r="AL116" s="535">
        <f>(VLOOKUP(Sheet1!DC114,hhdcap_wcm,4)-(((VLOOKUP(Sheet1!DC114,hhdcap_wcm,3)-Sheet1!DC114)/(VLOOKUP(Sheet1!DC114,hhdcap_wcm,3)-VLOOKUP(Sheet1!DC114,hhdcap_wcm,1)))*(VLOOKUP(Sheet1!DC114,hhdcap_wcm,4)-VLOOKUP(Sheet1!DC114,hhdcap_wcm,2))))</f>
        <v>30434.000000078111</v>
      </c>
      <c r="AM116" s="535">
        <f t="shared" si="315"/>
        <v>656.80000000234941</v>
      </c>
      <c r="AN116" s="1035">
        <f t="shared" si="316"/>
        <v>3183.487748098391</v>
      </c>
      <c r="AO116" s="535">
        <f t="shared" si="317"/>
        <v>9766.9404111658641</v>
      </c>
      <c r="AP116" s="535">
        <f>Sheet1!BA114+Sheet1!BB114+Sheet1!BN114+CD116</f>
        <v>17.2</v>
      </c>
      <c r="AQ116" s="535">
        <f>Sheet1!BN114+(DO116*Sheet1!BN114)</f>
        <v>17.187709896391567</v>
      </c>
      <c r="AR116" s="535">
        <f>Sheet1!BA114+CD116</f>
        <v>0</v>
      </c>
      <c r="AS116" s="535">
        <f>Sheet1!BA114+Sheet1!BB114+CD116</f>
        <v>0</v>
      </c>
      <c r="AT116" s="649">
        <f>0</f>
        <v>0</v>
      </c>
      <c r="AU116" s="535">
        <f>IF(EB116&lt;K116,0,MAX(Sheet1!AA114+AQ116-15/36*K116-N116,Sheet1!EH114,0))</f>
        <v>0</v>
      </c>
      <c r="AV116" s="535">
        <f>IF(OR(B116&gt;=GD116,B116&lt;GC116),0,15/36*K116-MAX(0,64.6-(137.6-(Sheet1!AA114+Sheet1!AB114))))</f>
        <v>26.933333333333334</v>
      </c>
      <c r="AW116" s="1029"/>
      <c r="AX116" s="649"/>
      <c r="AY116" s="649">
        <f t="shared" si="286"/>
        <v>0</v>
      </c>
      <c r="AZ116" s="649">
        <f t="shared" si="287"/>
        <v>0</v>
      </c>
      <c r="BA116" s="1059">
        <f t="shared" si="288"/>
        <v>0</v>
      </c>
      <c r="BB116" s="1019">
        <f t="shared" si="318"/>
        <v>1589.0666666666668</v>
      </c>
      <c r="BC116" s="1041">
        <f t="shared" si="289"/>
        <v>26.933333333333334</v>
      </c>
      <c r="BD116" s="1019">
        <f ca="1">IF(B116&gt;Summary!$A$1,#N/A,BB116*MGtoAF)</f>
        <v>4875.2565333333341</v>
      </c>
      <c r="BE116" s="535">
        <f>Sheet1!BG114+Sheet1!BH114+Sheet1!BI114-BM116</f>
        <v>1.01</v>
      </c>
      <c r="BF116" s="535">
        <f t="shared" si="319"/>
        <v>1.0092783136834582</v>
      </c>
      <c r="BG116" s="535">
        <f>IF(Sheet1!EP114="FM",BM116,0)</f>
        <v>0</v>
      </c>
      <c r="BH116" s="535">
        <f t="shared" si="320"/>
        <v>0</v>
      </c>
      <c r="BI116" s="535">
        <f>IF(Sheet1!EP114="OTHER",BM116,0)</f>
        <v>0</v>
      </c>
      <c r="BJ116" s="535">
        <f t="shared" si="321"/>
        <v>0</v>
      </c>
      <c r="BK116" s="535">
        <f t="shared" si="322"/>
        <v>1.01</v>
      </c>
      <c r="BL116" s="535">
        <f t="shared" si="323"/>
        <v>1.0092783136834582</v>
      </c>
      <c r="BM116" s="535">
        <f>IF(OR(Sheet1!EP114="FM", Sheet1!EP114="OTHER"),SUM(Sheet1!BG114:'Sheet1'!BI114),0)</f>
        <v>0</v>
      </c>
      <c r="BN116" s="521">
        <f>IF(AND($B116&gt;=$FV116,$B116&lt;=$FW116),MAX(BF116,Sheet1!EI114,0),MAX(BF116-(7/36)*$K116,0))</f>
        <v>0</v>
      </c>
      <c r="BO116" s="535">
        <f t="shared" si="324"/>
        <v>11.559610575205431</v>
      </c>
      <c r="BP116" s="521">
        <f t="shared" si="325"/>
        <v>1.0092783136834582</v>
      </c>
      <c r="BQ116" s="521">
        <f>IF(AND($O116&gt;0,Sheet1!EM114=1),(1-($O116-Sheet1!$L114)/$O116)*BL116,0)</f>
        <v>0</v>
      </c>
      <c r="BR116" s="521">
        <f>IF(AND(Sheet1!$L114=0,Sheet1!$L113=0, Calculation!BK116&lt;Sheet1!$EI114-0.1,Sheet1!$EI114=Sheet1!$EI113,Sheet1!$EI114=Sheet1!$EI115),BL116-BQ116,BL116-BQ116)</f>
        <v>1.0092783136834582</v>
      </c>
      <c r="BS116" s="1035" t="str">
        <f t="shared" si="290"/>
        <v/>
      </c>
      <c r="BT116" s="1035">
        <f t="shared" si="291"/>
        <v>12.568888888888889</v>
      </c>
      <c r="BU116" s="535">
        <f t="shared" si="326"/>
        <v>681.29781441568457</v>
      </c>
      <c r="BV116" s="535"/>
      <c r="BW116" s="535">
        <f ca="1">IF(B116&gt;Summary!$A$1,#N/A,BU116*MGtoAF)</f>
        <v>2090.2216946273202</v>
      </c>
      <c r="BX116" s="535">
        <f>Sheet1!BC114+Sheet1!BD114+Sheet1!BE114+Sheet1!BF114-CG116-CH116</f>
        <v>3.3</v>
      </c>
      <c r="BY116" s="535">
        <f t="shared" si="327"/>
        <v>3.2976420150053585</v>
      </c>
      <c r="BZ116" s="535">
        <f>IF(Sheet1!EQ114="FM",CH116,0)</f>
        <v>0</v>
      </c>
      <c r="CA116" s="535">
        <f t="shared" si="328"/>
        <v>0</v>
      </c>
      <c r="CB116" s="535">
        <f>IF(Sheet1!EQ114="OTHER",CH116,0)</f>
        <v>0</v>
      </c>
      <c r="CC116" s="535">
        <f t="shared" si="329"/>
        <v>0</v>
      </c>
      <c r="CD116" s="535">
        <f t="shared" si="330"/>
        <v>0</v>
      </c>
      <c r="CE116" s="535">
        <f t="shared" si="331"/>
        <v>3.3</v>
      </c>
      <c r="CF116" s="535">
        <f t="shared" si="332"/>
        <v>3.2976420150053585</v>
      </c>
      <c r="CG116" s="535">
        <f>IF(Sheet1!EQ114="CWA",SUM(Sheet1!BC114:'Sheet1'!BF114),0)</f>
        <v>0</v>
      </c>
      <c r="CH116" s="535">
        <f>IF(OR(Sheet1!EQ114="FM", Sheet1!EQ114="OTHER"),SUM(Sheet1!BC114:'Sheet1'!BF114),0)</f>
        <v>0</v>
      </c>
      <c r="CI116" s="521">
        <f>IF(AND($B116&gt;=$FV116,$B116&lt;=$FW116),MAX(CF116,Sheet1!EJ114,0),MAX(CF116-(7/36)*$K116,0))</f>
        <v>0</v>
      </c>
      <c r="CJ116" s="535">
        <f t="shared" si="333"/>
        <v>9.2712468738835305</v>
      </c>
      <c r="CK116" s="521">
        <f t="shared" si="334"/>
        <v>3.2976420150053585</v>
      </c>
      <c r="CL116" s="521">
        <f>IF(AND($O116&gt;0,Sheet1!EN114=1),(1-($O116-Sheet1!$L114)/$O116)*CF116,0)</f>
        <v>0</v>
      </c>
      <c r="CM116" s="521">
        <f>IF(AND(Sheet1!$L114=0,Sheet1!$L113=0, Calculation!CE116&lt;Sheet1!EJ114-0.1,Sheet1!EJ114=Sheet1!EJ113,Sheet1!EJ114=Sheet1!EJ115),CF116-CL116,CF116-CL116)</f>
        <v>3.2976420150053585</v>
      </c>
      <c r="CN116" s="1040" t="str">
        <f t="shared" si="292"/>
        <v/>
      </c>
      <c r="CO116" s="1035">
        <f t="shared" si="293"/>
        <v>12.568888888888889</v>
      </c>
      <c r="CP116" s="535">
        <f t="shared" si="335"/>
        <v>555.61884528939902</v>
      </c>
      <c r="CQ116" s="535"/>
      <c r="CR116" s="535">
        <f ca="1">IF(B116&gt;Summary!$A$1,#N/A,CP116*MGtoAF)</f>
        <v>1704.6386173478763</v>
      </c>
      <c r="CS116" s="535">
        <f>Sheet1!BK114+Sheet1!BL114+Sheet1!BM114-Sheet1!ER114-DA116</f>
        <v>6.48</v>
      </c>
      <c r="CT116" s="535">
        <f t="shared" si="336"/>
        <v>6.4753697749196135</v>
      </c>
      <c r="CU116" s="535">
        <f>IF(Sheet1!ER114="FM",DA116,0)</f>
        <v>0</v>
      </c>
      <c r="CV116" s="535">
        <f t="shared" si="337"/>
        <v>0</v>
      </c>
      <c r="CW116" s="535">
        <f>IF(Sheet1!ER114="OTHER",DA116,0)</f>
        <v>0</v>
      </c>
      <c r="CX116" s="535">
        <f t="shared" si="338"/>
        <v>0</v>
      </c>
      <c r="CY116" s="535">
        <f t="shared" si="339"/>
        <v>6.48</v>
      </c>
      <c r="CZ116" s="535">
        <f t="shared" si="340"/>
        <v>6.4753697749196135</v>
      </c>
      <c r="DA116" s="535">
        <f>IF(OR(Sheet1!ER114="FM", Sheet1!ER114="OTHER"),SUM(Sheet1!BK114:'Sheet1'!BM114),0)</f>
        <v>0</v>
      </c>
      <c r="DB116" s="1011">
        <f>IF(AND($B116&gt;=$FV116,$B116&lt;=$FW116),MAX($CT116,Sheet1!EK114,0),MAX($CT116-(7/36)*$K116,0))</f>
        <v>0</v>
      </c>
      <c r="DC116" s="1012">
        <f t="shared" si="341"/>
        <v>6.0935191139692755</v>
      </c>
      <c r="DD116" s="1011">
        <f t="shared" si="342"/>
        <v>6.4753697749196135</v>
      </c>
      <c r="DE116" s="521">
        <f>IF(AND($O116&gt;0,Sheet1!EO114=1),(1-($O116-Sheet1!$L114)/$O116)*CZ116,0)</f>
        <v>0</v>
      </c>
      <c r="DF116" s="521">
        <f>IF(AND(Sheet1!$L114=0,Sheet1!$L113=0, Calculation!CY116&lt;Sheet1!$EK114-0.1,Sheet1!$EK114=Sheet1!$EK113,Sheet1!$EK114=Sheet1!$EK115),CZ116-DE116,CZ116-DE116)</f>
        <v>6.4753697749196135</v>
      </c>
      <c r="DG116" s="1040">
        <f t="shared" si="294"/>
        <v>12.568888888888889</v>
      </c>
      <c r="DH116" s="649">
        <f t="shared" si="343"/>
        <v>10.79</v>
      </c>
      <c r="DI116" s="535">
        <f t="shared" si="344"/>
        <v>357.50442172664049</v>
      </c>
      <c r="DJ116" s="649">
        <f t="shared" si="345"/>
        <v>10.78229010360843</v>
      </c>
      <c r="DK116" s="535">
        <f ca="1">IF(B116&gt;Summary!$A$1,#N/A,DI116*MGtoAF)</f>
        <v>1096.8235658573331</v>
      </c>
      <c r="DL116" s="649">
        <f t="shared" si="346"/>
        <v>10.790000000000001</v>
      </c>
      <c r="DM116" s="535">
        <f t="shared" si="347"/>
        <v>27.990000000000002</v>
      </c>
      <c r="DN116" s="535">
        <f>Sheet1!AB114-DM116</f>
        <v>-2.0000000000003126E-2</v>
      </c>
      <c r="DO116" s="743">
        <f t="shared" si="348"/>
        <v>-7.1454090746706411E-4</v>
      </c>
      <c r="DP116" s="535">
        <f>(VLOOKUP(Sheet1!DC114,hhdcap_wcm,4)-(((VLOOKUP(Sheet1!DC114,hhdcap_wcm,3)-Sheet1!DC114)/(VLOOKUP(Sheet1!DC114,hhdcap_wcm,3)-VLOOKUP(Sheet1!DC114,hhdcap_wcm,1)))*(VLOOKUP(Sheet1!DC114,hhdcap_wcm,4)-VLOOKUP(Sheet1!DC114,hhdcap_wcm,2))))</f>
        <v>30434.000000078111</v>
      </c>
      <c r="DQ116" s="535">
        <f t="shared" si="349"/>
        <v>656.80000000234941</v>
      </c>
      <c r="DR116" s="535">
        <f t="shared" si="350"/>
        <v>331.21533030879948</v>
      </c>
      <c r="DS116" s="535">
        <f>Sheet1!EA114*AFtoMG</f>
        <v>0</v>
      </c>
      <c r="DT116" s="535">
        <f>Sheet1!EB114*AFtoMG</f>
        <v>0</v>
      </c>
      <c r="DU116" s="535">
        <f>Sheet1!EC114*AFtoMG</f>
        <v>0</v>
      </c>
      <c r="DV116" s="535">
        <f>Sheet1!ED114*AFtoMG</f>
        <v>0</v>
      </c>
      <c r="DW116" s="535">
        <f t="shared" si="351"/>
        <v>0</v>
      </c>
      <c r="DX116" s="535">
        <f t="shared" si="352"/>
        <v>0</v>
      </c>
      <c r="DY116" s="535">
        <f t="shared" si="353"/>
        <v>3183.487748098391</v>
      </c>
      <c r="DZ116" s="535">
        <f t="shared" si="354"/>
        <v>9766.9404111658641</v>
      </c>
      <c r="EA116" s="535"/>
      <c r="EB116" s="521">
        <f>IF(OR(B116&lt;FV116,B116&gt;FW116),(MIN(BF116+BY116+CT116+MAX(Sheet1!AA114+AQ116-73,0),K116)),0)</f>
        <v>10.78229010360843</v>
      </c>
      <c r="EC116" s="535"/>
      <c r="ED116" s="535">
        <f t="shared" si="355"/>
        <v>10.78229010360843</v>
      </c>
      <c r="EE116" s="535"/>
      <c r="EF116" s="535">
        <f>Sheet1!EH114+Sheet1!EI114+Sheet1!EJ114+Sheet1!EK114</f>
        <v>11</v>
      </c>
      <c r="EG116" s="1019">
        <f t="shared" si="295"/>
        <v>17.016999999999999</v>
      </c>
      <c r="EH116" s="521">
        <f t="shared" si="356"/>
        <v>0</v>
      </c>
      <c r="EI116" s="535">
        <f>IF(Sheet1!ET114=1,SUM('Calculations II'!AT116:BA116)+'Calculations II'!BC116+Sheet1!BV114+'Calculations II'!BE116+AP116,'Calculations II'!BK116)</f>
        <v>44.638533896391571</v>
      </c>
      <c r="EJ116" s="535">
        <f ca="1">EI116+'Calculations II'!D116+'Calculations II'!E116+'Calculations II'!O116</f>
        <v>42.516007665987793</v>
      </c>
      <c r="EK116" s="535"/>
      <c r="EL116" s="535"/>
      <c r="EM116" s="535">
        <f t="shared" si="357"/>
        <v>42840</v>
      </c>
      <c r="EN116" s="535">
        <f t="shared" si="358"/>
        <v>53.857709896391569</v>
      </c>
      <c r="EO116" s="535">
        <f t="shared" si="359"/>
        <v>83.31787720971775</v>
      </c>
      <c r="EP116" s="535">
        <v>0</v>
      </c>
      <c r="EQ116" s="535">
        <v>0</v>
      </c>
      <c r="ER116" s="535">
        <v>0</v>
      </c>
      <c r="ES116" s="521">
        <f t="shared" si="257"/>
        <v>1.6610868466388471</v>
      </c>
      <c r="ET116" s="535">
        <f>-(VLOOKUP(Sheet1!BQ114,Lookup!$O$4:$Q$262,2)-VLOOKUP(Sheet1!BQ113,Lookup!$O$4:$Q$262,2))/1000000</f>
        <v>0</v>
      </c>
      <c r="EU116" s="535">
        <f>-(VLOOKUP(Sheet1!BR114,Lookup!$O$4:$Q$262,3)-VLOOKUP(Sheet1!BR113,Lookup!$O$4:$Q$262,3))/1000000</f>
        <v>1.6610868466388471</v>
      </c>
      <c r="EV116" s="535"/>
      <c r="EW116" s="535"/>
      <c r="EX116" s="535"/>
      <c r="EY116" s="535"/>
      <c r="EZ116" s="535"/>
      <c r="FA116" s="535"/>
      <c r="FB116" s="535"/>
      <c r="FC116" s="535"/>
      <c r="FD116" s="567" t="e">
        <f t="shared" si="360"/>
        <v>#N/A</v>
      </c>
      <c r="FE116" s="567" t="e">
        <f t="shared" si="361"/>
        <v>#N/A</v>
      </c>
      <c r="FF116" s="568" t="e">
        <f t="shared" si="362"/>
        <v>#N/A</v>
      </c>
      <c r="FG116" s="569" t="s">
        <v>656</v>
      </c>
      <c r="FH116" s="569" t="s">
        <v>656</v>
      </c>
      <c r="FI116" s="567" t="e">
        <v>#N/A</v>
      </c>
      <c r="FJ116" s="567" t="e">
        <v>#N/A</v>
      </c>
      <c r="FK116" s="535"/>
      <c r="FL116" s="1015">
        <v>0</v>
      </c>
      <c r="FM116" s="535"/>
      <c r="FN116" s="535"/>
      <c r="FO116" s="535">
        <f>O116+((Sheet1!CS114)*GPMtoMGD)</f>
        <v>53.67</v>
      </c>
      <c r="FP116" s="535">
        <f>IF(Sheet1!AA114+AQ116&lt;=Calculation!N116,AQ116,Calculation!N116-Sheet1!AA114)</f>
        <v>17.187709896391567</v>
      </c>
      <c r="FQ116" s="535">
        <f>(Sheet1!BP114+Sheet1!BO114)/694.4</f>
        <v>1.6977246543778803</v>
      </c>
      <c r="FR116" s="541"/>
      <c r="FS116" s="541"/>
      <c r="FT116" s="541"/>
      <c r="FU116" s="541"/>
      <c r="FV116" s="1109">
        <f t="shared" si="258"/>
        <v>42918</v>
      </c>
      <c r="FW116" s="1109">
        <f t="shared" si="259"/>
        <v>43027</v>
      </c>
      <c r="FX116" s="541"/>
      <c r="FY116" s="541">
        <f>Sheet1!DA114-Sheet1!CZ114-Sheet1!AE114</f>
        <v>546.97251000000006</v>
      </c>
      <c r="FZ116" s="535">
        <f t="shared" si="296"/>
        <v>0.35260901521074745</v>
      </c>
      <c r="GA116" s="535"/>
      <c r="GB116" s="535" t="str">
        <f t="shared" si="260"/>
        <v>n</v>
      </c>
      <c r="GC116" s="539">
        <f t="shared" si="261"/>
        <v>42782</v>
      </c>
      <c r="GD116" s="1109">
        <f t="shared" si="262"/>
        <v>42904</v>
      </c>
      <c r="GE116" s="535">
        <f t="shared" si="280"/>
        <v>6520</v>
      </c>
      <c r="GF116" s="1109">
        <f t="shared" si="263"/>
        <v>42909</v>
      </c>
      <c r="GG116" s="535">
        <f t="shared" si="308"/>
        <v>3260</v>
      </c>
      <c r="GH116" s="539">
        <f t="shared" si="264"/>
        <v>43040</v>
      </c>
      <c r="GJ116" s="521">
        <f t="shared" si="265"/>
        <v>0</v>
      </c>
      <c r="GK116" s="535" t="str">
        <f t="shared" si="363"/>
        <v/>
      </c>
      <c r="GL116" s="535">
        <f t="shared" si="266"/>
        <v>0</v>
      </c>
      <c r="GM116" s="535" t="str">
        <f t="shared" si="267"/>
        <v/>
      </c>
      <c r="GN116" s="535">
        <f>IF(GK116="P",Lookup!$M$12,IF(GK116="PP",Lookup!$M$13,IF(GK116="PPP",Lookup!$M$14,IF(GK116="T",Lookup!$M$15,IF(GK116="TP",Lookup!$M$16,IF(GK116="TPP",Lookup!$M$17,IF(GK116="TPPP",Lookup!$M$18,0)))))))*GJ116</f>
        <v>0</v>
      </c>
      <c r="GO116" s="535">
        <f t="shared" si="268"/>
        <v>0</v>
      </c>
      <c r="GP116" s="535">
        <f t="shared" si="364"/>
        <v>4875.2565333333341</v>
      </c>
      <c r="GQ116" s="535">
        <f t="shared" si="279"/>
        <v>1589.0666666666668</v>
      </c>
      <c r="GR116" s="535"/>
      <c r="GS116" s="535">
        <f t="shared" si="269"/>
        <v>0</v>
      </c>
      <c r="GT116" s="535" t="str">
        <f t="shared" si="270"/>
        <v/>
      </c>
      <c r="GU116" s="535">
        <f>IF(GK116="P",Lookup!$N$12,IF(GK116="PP",Lookup!$N$13,IF(GK116="PPP",Lookup!$N$14,IF(GK116="T",Lookup!$N$15,IF(GK116="TP",Lookup!$N$16,IF(GK116="TPP",Lookup!$N$17,IF(GK116="TPPP",Lookup!$N$18,0)))))))*GJ116</f>
        <v>0</v>
      </c>
      <c r="GV116" s="535">
        <f t="shared" si="271"/>
        <v>0</v>
      </c>
      <c r="GW116" s="535">
        <f t="shared" si="365"/>
        <v>2090.2216946273202</v>
      </c>
      <c r="GX116" s="535">
        <f t="shared" si="276"/>
        <v>681.29781441568457</v>
      </c>
      <c r="GY116" s="535"/>
      <c r="GZ116" s="535">
        <f t="shared" si="272"/>
        <v>0</v>
      </c>
      <c r="HA116" s="535" t="str">
        <f t="shared" si="273"/>
        <v/>
      </c>
      <c r="HB116" s="535">
        <f>IF(GK116="P",Lookup!$N$12,IF(GK116="PP",Lookup!$N$13,IF(GK116="PPP",Lookup!$N$14,IF(GK116="T",Lookup!$N$15,IF(GK116="TP",Lookup!$N$16,IF(GK116="TPP",Lookup!$N$17,IF(GK116="TPPP",Lookup!$N$18,0)))))))*GJ116</f>
        <v>0</v>
      </c>
      <c r="HC116" s="521">
        <f t="shared" si="366"/>
        <v>0</v>
      </c>
      <c r="HD116" s="535">
        <f t="shared" si="367"/>
        <v>1704.6386173478763</v>
      </c>
      <c r="HE116" s="535">
        <f t="shared" si="277"/>
        <v>555.61884528939902</v>
      </c>
      <c r="HF116" s="535"/>
      <c r="HG116" s="535">
        <f t="shared" si="274"/>
        <v>0</v>
      </c>
      <c r="HH116" s="535" t="str">
        <f t="shared" si="275"/>
        <v/>
      </c>
      <c r="HI116" s="535">
        <f>IF(GK116="P",Lookup!$N$12,IF(GK116="PP",Lookup!$N$13,IF(GK116="PPP",Lookup!$N$14,IF(GK116="T",Lookup!$N$15,IF(GK116="TP",Lookup!$N$16,IF(GK116="TPP",Lookup!$N$17,IF(GK116="TPPP",Lookup!$N$18,0)))))))*GJ116</f>
        <v>0</v>
      </c>
      <c r="HJ116" s="521">
        <f t="shared" si="368"/>
        <v>0</v>
      </c>
      <c r="HK116" s="535">
        <f t="shared" si="369"/>
        <v>1096.8235658573331</v>
      </c>
      <c r="HL116" s="535">
        <f t="shared" si="278"/>
        <v>357.50442172664049</v>
      </c>
      <c r="HM116" s="535"/>
      <c r="HN116" s="541"/>
      <c r="HO116" s="541"/>
      <c r="HP116" s="541"/>
      <c r="HQ116" s="541">
        <f>IF(AND(B116&gt;=$FV$4,B116&lt;=$FW$4),MAX(110/1.02+$HQ$6+MIN(113/1.02,G116),IF($HV$6-(Sheet1!DA114-Sheet1!DB114)+MIN(113/1.02,G116)&lt;G116+FL116,$HV$6-(Sheet1!DA114-Sheet1!DB114)+MIN(113/1.02,G116),G116+FL116)),MIN(110/1.02+$HQ$6+113/1.02,G116))</f>
        <v>218.62745098039215</v>
      </c>
      <c r="HR116" s="541">
        <f t="shared" si="297"/>
        <v>223</v>
      </c>
      <c r="HS116" s="541">
        <f>HR116+(Sheet1!DA114-Sheet1!DB114)</f>
        <v>923</v>
      </c>
      <c r="HT116" s="541">
        <f t="shared" si="298"/>
        <v>66.335359999999994</v>
      </c>
      <c r="HU116" s="541">
        <f t="shared" si="299"/>
        <v>856.66463999999996</v>
      </c>
      <c r="HV116" s="541">
        <f t="shared" si="300"/>
        <v>0</v>
      </c>
      <c r="HW116" s="533" t="str">
        <f t="shared" si="301"/>
        <v/>
      </c>
      <c r="HX116" s="541">
        <f t="shared" si="302"/>
        <v>1001.3725490196078</v>
      </c>
      <c r="HY116" s="541">
        <f>Sheet1!CZ114</f>
        <v>1220</v>
      </c>
      <c r="HZ116" s="541">
        <f t="shared" si="303"/>
        <v>0</v>
      </c>
      <c r="IA116" s="541">
        <f t="shared" si="304"/>
        <v>66.335359999999994</v>
      </c>
      <c r="IB116" s="541">
        <f t="shared" si="305"/>
        <v>1220</v>
      </c>
      <c r="IC116" s="1019" t="str">
        <f t="shared" si="306"/>
        <v/>
      </c>
      <c r="ID116" s="541">
        <f t="shared" si="307"/>
        <v>1153.66464</v>
      </c>
      <c r="IE116" s="541">
        <f>Sheet1!DB114</f>
        <v>1150</v>
      </c>
      <c r="IF116" s="533">
        <f>Sheet1!DA114</f>
        <v>1850</v>
      </c>
      <c r="IH116" s="541">
        <f>IF(AND($B116&gt;=$GC116,$B116&lt;=$GH116,$DR116&lt;0)+N("only adjusted when pool is drawn down during storage season"),Sheet1!$DB114+$DR116+N("Palmer minus all storage release"),Sheet1!$DB114)</f>
        <v>1150</v>
      </c>
      <c r="II116" s="541">
        <f>IF(AND($B116&gt;=$GC116,$B116&lt;=$GH116,$DR116&lt;0)+N("only adjusted when pool is drawn down during storage season"),Sheet1!$DA114+$DR116+N("Auburn minus all storage release"),Sheet1!$DA114)</f>
        <v>1850</v>
      </c>
    </row>
    <row r="117" spans="1:243" x14ac:dyDescent="0.25">
      <c r="A117" s="553" t="s">
        <v>3</v>
      </c>
      <c r="B117" s="531">
        <v>42841</v>
      </c>
      <c r="C117" s="536">
        <v>0</v>
      </c>
      <c r="D117" s="506">
        <f t="shared" si="247"/>
        <v>300</v>
      </c>
      <c r="E117" s="506">
        <f t="shared" si="248"/>
        <v>250</v>
      </c>
      <c r="F117" s="506">
        <v>250</v>
      </c>
      <c r="G117" s="535">
        <f>DR117+Sheet1!CZ115</f>
        <v>1413.4947049926398</v>
      </c>
      <c r="H117" s="1074">
        <f t="shared" si="370"/>
        <v>603.24896684800001</v>
      </c>
      <c r="I117" s="534">
        <f>IF(Sheet1!DA115&gt;=E117,(Sheet1!DA115-E117+P117)*CFStoMGD,0)</f>
        <v>1055.728966848</v>
      </c>
      <c r="J117" s="995">
        <f>IF(Sheet1!DB115&gt;=D117,(Sheet1!DB115-D117+P117)*CFStoMGD,0)</f>
        <v>603.24896684800001</v>
      </c>
      <c r="K117" s="818">
        <f t="shared" si="282"/>
        <v>64.64</v>
      </c>
      <c r="L117" s="535">
        <f>Sheet1!AA115+Sheet1!AB115-Sheet1!L115+(Sheet1!DA115-F117)*CFStoMGD-S117-T117-U117</f>
        <v>991.09</v>
      </c>
      <c r="M117" s="535">
        <f t="shared" si="309"/>
        <v>931.95663685338718</v>
      </c>
      <c r="N117" s="824">
        <f>IF(Sheet1!DA115&gt;=F117,MIN(113*CFStoMGD,MIN(MAX(L117,0),MAX(M117,0))),0)</f>
        <v>73.043199999999999</v>
      </c>
      <c r="O117" s="538">
        <f>Sheet1!AA115+Sheet1!AB115</f>
        <v>53.81</v>
      </c>
      <c r="P117" s="538">
        <f t="shared" si="310"/>
        <v>83.244069999999994</v>
      </c>
      <c r="Q117" s="812">
        <f t="shared" si="283"/>
        <v>42.712000000000003</v>
      </c>
      <c r="R117" s="812">
        <f t="shared" si="249"/>
        <v>11.039668300305422</v>
      </c>
      <c r="S117" s="812">
        <f t="shared" si="250"/>
        <v>11.097999999999999</v>
      </c>
      <c r="T117" s="812">
        <f t="shared" si="251"/>
        <v>53.542000000000002</v>
      </c>
      <c r="U117" s="812">
        <f t="shared" si="284"/>
        <v>0</v>
      </c>
      <c r="V117" s="812"/>
      <c r="W117" s="812">
        <f t="shared" si="252"/>
        <v>53.600331699694578</v>
      </c>
      <c r="X117" s="812">
        <f t="shared" si="253"/>
        <v>64.64</v>
      </c>
      <c r="Y117" s="812" t="str">
        <f t="shared" si="254"/>
        <v>FALSE</v>
      </c>
      <c r="Z117" s="812">
        <f t="shared" si="255"/>
        <v>53.81</v>
      </c>
      <c r="AA117" s="812">
        <f t="shared" si="256"/>
        <v>53.81</v>
      </c>
      <c r="AB117" s="1059">
        <f t="shared" si="285"/>
        <v>66.075463999999997</v>
      </c>
      <c r="AC117" s="538">
        <f>Sheet1!Y115*MGDtoCFS</f>
        <v>39.757899999999999</v>
      </c>
      <c r="AD117" s="538">
        <f>Sheet1!Z115*MGDtoCFS</f>
        <v>43.269589999999994</v>
      </c>
      <c r="AE117" s="538">
        <f>Sheet1!AA115*MGDtoCFS</f>
        <v>39.912599999999998</v>
      </c>
      <c r="AF117" s="538">
        <f>Sheet1!AB115*MGDtoCFS</f>
        <v>43.331470000000003</v>
      </c>
      <c r="AG117" s="538">
        <f>Sheet1!L115*MGDtoCFS</f>
        <v>0</v>
      </c>
      <c r="AH117" s="521">
        <f t="shared" si="311"/>
        <v>0</v>
      </c>
      <c r="AI117" s="1059">
        <f t="shared" si="312"/>
        <v>0</v>
      </c>
      <c r="AJ117" s="535">
        <f t="shared" si="313"/>
        <v>53.600331699694578</v>
      </c>
      <c r="AK117" s="535">
        <f t="shared" si="314"/>
        <v>82.919713139427515</v>
      </c>
      <c r="AL117" s="535">
        <f>(VLOOKUP(Sheet1!DC115,hhdcap_wcm,4)-(((VLOOKUP(Sheet1!DC115,hhdcap_wcm,3)-Sheet1!DC115)/(VLOOKUP(Sheet1!DC115,hhdcap_wcm,3)-VLOOKUP(Sheet1!DC115,hhdcap_wcm,1)))*(VLOOKUP(Sheet1!DC115,hhdcap_wcm,4)-VLOOKUP(Sheet1!DC115,hhdcap_wcm,2))))</f>
        <v>30817.700000078516</v>
      </c>
      <c r="AM117" s="535">
        <f t="shared" si="315"/>
        <v>383.70000000040454</v>
      </c>
      <c r="AN117" s="1035">
        <f t="shared" si="316"/>
        <v>3237.0880797980853</v>
      </c>
      <c r="AO117" s="535">
        <f t="shared" si="317"/>
        <v>9931.3862288205255</v>
      </c>
      <c r="AP117" s="535">
        <f>Sheet1!BA115+Sheet1!BB115+Sheet1!BN115+CD117</f>
        <v>17.059999999999999</v>
      </c>
      <c r="AQ117" s="535">
        <f>Sheet1!BN115+(DO117*Sheet1!BN115)</f>
        <v>16.970331699694583</v>
      </c>
      <c r="AR117" s="535">
        <f>Sheet1!BA115+CD117</f>
        <v>0</v>
      </c>
      <c r="AS117" s="535">
        <f>Sheet1!BA115+Sheet1!BB115+CD117</f>
        <v>0</v>
      </c>
      <c r="AT117" s="649">
        <f>0</f>
        <v>0</v>
      </c>
      <c r="AU117" s="535">
        <f>IF(EB117&lt;K117,0,MAX(Sheet1!AA115+AQ117-15/36*K117-N117,Sheet1!EH115,0))</f>
        <v>0</v>
      </c>
      <c r="AV117" s="535">
        <f>IF(OR(B117&gt;=GD117,B117&lt;GC117),0,15/36*K117-MAX(0,64.6-(137.6-(Sheet1!AA115+Sheet1!AB115))))</f>
        <v>26.933333333333334</v>
      </c>
      <c r="AW117" s="1029"/>
      <c r="AX117" s="649"/>
      <c r="AY117" s="649">
        <f t="shared" si="286"/>
        <v>0</v>
      </c>
      <c r="AZ117" s="649">
        <f t="shared" si="287"/>
        <v>0</v>
      </c>
      <c r="BA117" s="1059">
        <f t="shared" si="288"/>
        <v>0</v>
      </c>
      <c r="BB117" s="1019">
        <f t="shared" si="318"/>
        <v>1616.0000000000002</v>
      </c>
      <c r="BC117" s="1041">
        <f t="shared" si="289"/>
        <v>26.933333333333334</v>
      </c>
      <c r="BD117" s="1019">
        <f ca="1">IF(B117&gt;Summary!$A$1,#N/A,BB117*MGtoAF)</f>
        <v>4957.8880000000008</v>
      </c>
      <c r="BE117" s="535">
        <f>Sheet1!BG115+Sheet1!BH115+Sheet1!BI115-BM117</f>
        <v>1.04</v>
      </c>
      <c r="BF117" s="535">
        <f t="shared" si="319"/>
        <v>1.0345337026777472</v>
      </c>
      <c r="BG117" s="535">
        <f>IF(Sheet1!EP115="FM",BM117,0)</f>
        <v>0</v>
      </c>
      <c r="BH117" s="535">
        <f t="shared" si="320"/>
        <v>0</v>
      </c>
      <c r="BI117" s="535">
        <f>IF(Sheet1!EP115="OTHER",BM117,0)</f>
        <v>0</v>
      </c>
      <c r="BJ117" s="535">
        <f t="shared" si="321"/>
        <v>0</v>
      </c>
      <c r="BK117" s="535">
        <f t="shared" si="322"/>
        <v>1.04</v>
      </c>
      <c r="BL117" s="535">
        <f t="shared" si="323"/>
        <v>1.0345337026777472</v>
      </c>
      <c r="BM117" s="535">
        <f>IF(OR(Sheet1!EP115="FM", Sheet1!EP115="OTHER"),SUM(Sheet1!BG115:'Sheet1'!BI115),0)</f>
        <v>0</v>
      </c>
      <c r="BN117" s="521">
        <f>IF(AND($B117&gt;=$FV117,$B117&lt;=$FW117),MAX(BF117,Sheet1!EI115,0),MAX(BF117-(7/36)*$K117,0))</f>
        <v>0</v>
      </c>
      <c r="BO117" s="535">
        <f t="shared" si="324"/>
        <v>11.534355186211142</v>
      </c>
      <c r="BP117" s="521">
        <f t="shared" si="325"/>
        <v>1.0345337026777472</v>
      </c>
      <c r="BQ117" s="521">
        <f>IF(AND($O117&gt;0,Sheet1!EM115=1),(1-($O117-Sheet1!$L115)/$O117)*BL117,0)</f>
        <v>0</v>
      </c>
      <c r="BR117" s="521">
        <f>IF(AND(Sheet1!$L115=0,Sheet1!$L114=0, Calculation!BK117&lt;Sheet1!$EI115-0.1,Sheet1!$EI115=Sheet1!$EI114,Sheet1!$EI115=Sheet1!$EI116),BL117-BQ117,BL117-BQ117)</f>
        <v>1.0345337026777472</v>
      </c>
      <c r="BS117" s="1035" t="str">
        <f t="shared" si="290"/>
        <v/>
      </c>
      <c r="BT117" s="1035">
        <f t="shared" si="291"/>
        <v>12.568888888888889</v>
      </c>
      <c r="BU117" s="535">
        <f t="shared" si="326"/>
        <v>692.83216960189566</v>
      </c>
      <c r="BV117" s="535"/>
      <c r="BW117" s="535">
        <f ca="1">IF(B117&gt;Summary!$A$1,#N/A,BU117*MGtoAF)</f>
        <v>2125.6090963386159</v>
      </c>
      <c r="BX117" s="535">
        <f>Sheet1!BC115+Sheet1!BD115+Sheet1!BE115+Sheet1!BF115-CG117-CH117</f>
        <v>3.508</v>
      </c>
      <c r="BY117" s="535">
        <f t="shared" si="327"/>
        <v>3.4895617586476315</v>
      </c>
      <c r="BZ117" s="535">
        <f>IF(Sheet1!EQ115="FM",CH117,0)</f>
        <v>0</v>
      </c>
      <c r="CA117" s="535">
        <f t="shared" si="328"/>
        <v>0</v>
      </c>
      <c r="CB117" s="535">
        <f>IF(Sheet1!EQ115="OTHER",CH117,0)</f>
        <v>0</v>
      </c>
      <c r="CC117" s="535">
        <f t="shared" si="329"/>
        <v>0</v>
      </c>
      <c r="CD117" s="535">
        <f t="shared" si="330"/>
        <v>0</v>
      </c>
      <c r="CE117" s="535">
        <f t="shared" si="331"/>
        <v>3.508</v>
      </c>
      <c r="CF117" s="535">
        <f t="shared" si="332"/>
        <v>3.4895617586476315</v>
      </c>
      <c r="CG117" s="535">
        <f>IF(Sheet1!EQ115="CWA",SUM(Sheet1!BC115:'Sheet1'!BF115),0)</f>
        <v>0</v>
      </c>
      <c r="CH117" s="535">
        <f>IF(OR(Sheet1!EQ115="FM", Sheet1!EQ115="OTHER"),SUM(Sheet1!BC115:'Sheet1'!BF115),0)</f>
        <v>0</v>
      </c>
      <c r="CI117" s="521">
        <f>IF(AND($B117&gt;=$FV117,$B117&lt;=$FW117),MAX(CF117,Sheet1!EJ115,0),MAX(CF117-(7/36)*$K117,0))</f>
        <v>0</v>
      </c>
      <c r="CJ117" s="535">
        <f t="shared" si="333"/>
        <v>9.079327130241257</v>
      </c>
      <c r="CK117" s="521">
        <f t="shared" si="334"/>
        <v>3.4895617586476315</v>
      </c>
      <c r="CL117" s="521">
        <f>IF(AND($O117&gt;0,Sheet1!EN115=1),(1-($O117-Sheet1!$L115)/$O117)*CF117,0)</f>
        <v>0</v>
      </c>
      <c r="CM117" s="521">
        <f>IF(AND(Sheet1!$L115=0,Sheet1!$L114=0, Calculation!CE117&lt;Sheet1!EJ115-0.1,Sheet1!EJ115=Sheet1!EJ114,Sheet1!EJ115=Sheet1!EJ116),CF117-CL117,CF117-CL117)</f>
        <v>3.4895617586476315</v>
      </c>
      <c r="CN117" s="1040" t="str">
        <f t="shared" si="292"/>
        <v/>
      </c>
      <c r="CO117" s="1035">
        <f t="shared" si="293"/>
        <v>12.568888888888889</v>
      </c>
      <c r="CP117" s="535">
        <f t="shared" si="335"/>
        <v>564.69817241964029</v>
      </c>
      <c r="CQ117" s="535"/>
      <c r="CR117" s="535">
        <f ca="1">IF(B117&gt;Summary!$A$1,#N/A,CP117*MGtoAF)</f>
        <v>1732.4939929834563</v>
      </c>
      <c r="CS117" s="535">
        <f>Sheet1!BK115+Sheet1!BL115+Sheet1!BM115-Sheet1!ER115-DA117</f>
        <v>6.5500000000000007</v>
      </c>
      <c r="CT117" s="535">
        <f t="shared" si="336"/>
        <v>6.5155728389800425</v>
      </c>
      <c r="CU117" s="535">
        <f>IF(Sheet1!ER115="FM",DA117,0)</f>
        <v>0</v>
      </c>
      <c r="CV117" s="535">
        <f t="shared" si="337"/>
        <v>0</v>
      </c>
      <c r="CW117" s="535">
        <f>IF(Sheet1!ER115="OTHER",DA117,0)</f>
        <v>0</v>
      </c>
      <c r="CX117" s="535">
        <f t="shared" si="338"/>
        <v>0</v>
      </c>
      <c r="CY117" s="535">
        <f t="shared" si="339"/>
        <v>6.5500000000000007</v>
      </c>
      <c r="CZ117" s="535">
        <f t="shared" si="340"/>
        <v>6.5155728389800425</v>
      </c>
      <c r="DA117" s="535">
        <f>IF(OR(Sheet1!ER115="FM", Sheet1!ER115="OTHER"),SUM(Sheet1!BK115:'Sheet1'!BM115),0)</f>
        <v>0</v>
      </c>
      <c r="DB117" s="1011">
        <f>IF(AND($B117&gt;=$FV117,$B117&lt;=$FW117),MAX($CT117,Sheet1!EK115,0),MAX($CT117-(7/36)*$K117,0))</f>
        <v>0</v>
      </c>
      <c r="DC117" s="1012">
        <f t="shared" si="341"/>
        <v>6.0533160499088465</v>
      </c>
      <c r="DD117" s="1011">
        <f t="shared" si="342"/>
        <v>6.5155728389800425</v>
      </c>
      <c r="DE117" s="521">
        <f>IF(AND($O117&gt;0,Sheet1!EO115=1),(1-($O117-Sheet1!$L115)/$O117)*CZ117,0)</f>
        <v>0</v>
      </c>
      <c r="DF117" s="521">
        <f>IF(AND(Sheet1!$L115=0,Sheet1!$L114=0, Calculation!CY117&lt;Sheet1!$EK115-0.1,Sheet1!$EK115=Sheet1!$EK114,Sheet1!$EK115=Sheet1!$EK116),CZ117-DE117,CZ117-DE117)</f>
        <v>6.5155728389800425</v>
      </c>
      <c r="DG117" s="1040">
        <f t="shared" si="294"/>
        <v>12.568888888888889</v>
      </c>
      <c r="DH117" s="649">
        <f t="shared" si="343"/>
        <v>11.098000000000001</v>
      </c>
      <c r="DI117" s="535">
        <f t="shared" si="344"/>
        <v>363.55773777654935</v>
      </c>
      <c r="DJ117" s="649">
        <f t="shared" si="345"/>
        <v>11.039668300305422</v>
      </c>
      <c r="DK117" s="535">
        <f ca="1">IF(B117&gt;Summary!$A$1,#N/A,DI117*MGtoAF)</f>
        <v>1115.3951394984533</v>
      </c>
      <c r="DL117" s="649">
        <f t="shared" si="346"/>
        <v>11.097999999999999</v>
      </c>
      <c r="DM117" s="535">
        <f t="shared" si="347"/>
        <v>28.157999999999998</v>
      </c>
      <c r="DN117" s="535">
        <f>Sheet1!AB115-DM117</f>
        <v>-0.14799999999999613</v>
      </c>
      <c r="DO117" s="743">
        <f t="shared" si="348"/>
        <v>-5.2560551175508258E-3</v>
      </c>
      <c r="DP117" s="535">
        <f>(VLOOKUP(Sheet1!DC115,hhdcap_wcm,4)-(((VLOOKUP(Sheet1!DC115,hhdcap_wcm,3)-Sheet1!DC115)/(VLOOKUP(Sheet1!DC115,hhdcap_wcm,3)-VLOOKUP(Sheet1!DC115,hhdcap_wcm,1)))*(VLOOKUP(Sheet1!DC115,hhdcap_wcm,4)-VLOOKUP(Sheet1!DC115,hhdcap_wcm,2))))</f>
        <v>30817.700000078516</v>
      </c>
      <c r="DQ117" s="535">
        <f t="shared" si="349"/>
        <v>383.70000000040454</v>
      </c>
      <c r="DR117" s="535">
        <f t="shared" si="350"/>
        <v>193.49470499263967</v>
      </c>
      <c r="DS117" s="535">
        <f>Sheet1!EA115*AFtoMG</f>
        <v>0</v>
      </c>
      <c r="DT117" s="535">
        <f>Sheet1!EB115*AFtoMG</f>
        <v>0</v>
      </c>
      <c r="DU117" s="535">
        <f>Sheet1!EC115*AFtoMG</f>
        <v>0</v>
      </c>
      <c r="DV117" s="535">
        <f>Sheet1!ED115*AFtoMG</f>
        <v>0</v>
      </c>
      <c r="DW117" s="535">
        <f t="shared" si="351"/>
        <v>0</v>
      </c>
      <c r="DX117" s="535">
        <f t="shared" si="352"/>
        <v>0</v>
      </c>
      <c r="DY117" s="535">
        <f t="shared" si="353"/>
        <v>3237.0880797980853</v>
      </c>
      <c r="DZ117" s="535">
        <f t="shared" si="354"/>
        <v>9931.3862288205255</v>
      </c>
      <c r="EA117" s="535"/>
      <c r="EB117" s="521">
        <f>IF(OR(B117&lt;FV117,B117&gt;FW117),(MIN(BF117+BY117+CT117+MAX(Sheet1!AA115+AQ117-73,0),K117)),0)</f>
        <v>11.039668300305422</v>
      </c>
      <c r="EC117" s="535"/>
      <c r="ED117" s="535">
        <f t="shared" si="355"/>
        <v>11.039668300305422</v>
      </c>
      <c r="EE117" s="535"/>
      <c r="EF117" s="535">
        <f>Sheet1!EH115+Sheet1!EI115+Sheet1!EJ115+Sheet1!EK115</f>
        <v>11</v>
      </c>
      <c r="EG117" s="1019">
        <f t="shared" si="295"/>
        <v>17.016999999999999</v>
      </c>
      <c r="EH117" s="521">
        <f t="shared" si="356"/>
        <v>0</v>
      </c>
      <c r="EI117" s="535">
        <f>IF(Sheet1!ET115=1,SUM('Calculations II'!AT117:BA117)+'Calculations II'!BC117+Sheet1!BV115+'Calculations II'!BE117+AP117,'Calculations II'!BK117)</f>
        <v>43.251421699694589</v>
      </c>
      <c r="EJ117" s="535">
        <f ca="1">EI117+'Calculations II'!D117+'Calculations II'!E117+'Calculations II'!O117</f>
        <v>42.53790568026875</v>
      </c>
      <c r="EK117" s="535"/>
      <c r="EL117" s="535"/>
      <c r="EM117" s="535">
        <f t="shared" si="357"/>
        <v>42841</v>
      </c>
      <c r="EN117" s="535">
        <f t="shared" si="358"/>
        <v>53.600331699694578</v>
      </c>
      <c r="EO117" s="535">
        <f t="shared" si="359"/>
        <v>82.919713139427515</v>
      </c>
      <c r="EP117" s="535">
        <v>0</v>
      </c>
      <c r="EQ117" s="535">
        <v>0</v>
      </c>
      <c r="ER117" s="535">
        <v>0</v>
      </c>
      <c r="ES117" s="521">
        <f t="shared" si="257"/>
        <v>0.41512756729653105</v>
      </c>
      <c r="ET117" s="535">
        <f>-(VLOOKUP(Sheet1!BQ115,Lookup!$O$4:$Q$262,2)-VLOOKUP(Sheet1!BQ114,Lookup!$O$4:$Q$262,2))/1000000</f>
        <v>0</v>
      </c>
      <c r="EU117" s="535">
        <f>-(VLOOKUP(Sheet1!BR115,Lookup!$O$4:$Q$262,3)-VLOOKUP(Sheet1!BR114,Lookup!$O$4:$Q$262,3))/1000000</f>
        <v>0.41512756729653105</v>
      </c>
      <c r="EV117" s="535"/>
      <c r="EW117" s="535"/>
      <c r="EX117" s="535"/>
      <c r="EY117" s="535"/>
      <c r="EZ117" s="535"/>
      <c r="FA117" s="535"/>
      <c r="FB117" s="535"/>
      <c r="FC117" s="535"/>
      <c r="FD117" s="567" t="e">
        <f t="shared" si="360"/>
        <v>#N/A</v>
      </c>
      <c r="FE117" s="567" t="e">
        <f t="shared" si="361"/>
        <v>#N/A</v>
      </c>
      <c r="FF117" s="568" t="e">
        <f t="shared" si="362"/>
        <v>#N/A</v>
      </c>
      <c r="FG117" s="569" t="s">
        <v>656</v>
      </c>
      <c r="FH117" s="569" t="s">
        <v>656</v>
      </c>
      <c r="FI117" s="567" t="e">
        <v>#N/A</v>
      </c>
      <c r="FJ117" s="567" t="e">
        <v>#N/A</v>
      </c>
      <c r="FK117" s="535"/>
      <c r="FL117" s="1015">
        <v>0</v>
      </c>
      <c r="FM117" s="535"/>
      <c r="FN117" s="535"/>
      <c r="FO117" s="535">
        <f>O117+((Sheet1!CS115)*GPMtoMGD)</f>
        <v>53.81</v>
      </c>
      <c r="FP117" s="535">
        <f>IF(Sheet1!AA115+AQ117&lt;=Calculation!N117,AQ117,Calculation!N117-Sheet1!AA115)</f>
        <v>16.970331699694583</v>
      </c>
      <c r="FQ117" s="535">
        <f>(Sheet1!BP115+Sheet1!BO115)/694.4</f>
        <v>1.735599078341014</v>
      </c>
      <c r="FR117" s="541"/>
      <c r="FS117" s="541"/>
      <c r="FT117" s="541"/>
      <c r="FU117" s="541"/>
      <c r="FV117" s="1109">
        <f t="shared" si="258"/>
        <v>42918</v>
      </c>
      <c r="FW117" s="1109">
        <f t="shared" si="259"/>
        <v>43027</v>
      </c>
      <c r="FX117" s="541"/>
      <c r="FY117" s="541">
        <f>Sheet1!DA115-Sheet1!CZ115-Sheet1!AE115</f>
        <v>496.75593000000003</v>
      </c>
      <c r="FZ117" s="535">
        <f t="shared" si="296"/>
        <v>0.35143812583478107</v>
      </c>
      <c r="GA117" s="535"/>
      <c r="GB117" s="535" t="str">
        <f t="shared" si="260"/>
        <v>n</v>
      </c>
      <c r="GC117" s="539">
        <f t="shared" si="261"/>
        <v>42782</v>
      </c>
      <c r="GD117" s="1109">
        <f t="shared" si="262"/>
        <v>42904</v>
      </c>
      <c r="GE117" s="535">
        <f t="shared" si="280"/>
        <v>6520</v>
      </c>
      <c r="GF117" s="1109">
        <f t="shared" si="263"/>
        <v>42909</v>
      </c>
      <c r="GG117" s="535">
        <f t="shared" si="308"/>
        <v>3260</v>
      </c>
      <c r="GH117" s="539">
        <f t="shared" si="264"/>
        <v>43040</v>
      </c>
      <c r="GJ117" s="521">
        <f t="shared" si="265"/>
        <v>0</v>
      </c>
      <c r="GK117" s="535" t="str">
        <f t="shared" si="363"/>
        <v/>
      </c>
      <c r="GL117" s="535">
        <f t="shared" si="266"/>
        <v>0</v>
      </c>
      <c r="GM117" s="535" t="str">
        <f t="shared" si="267"/>
        <v/>
      </c>
      <c r="GN117" s="535">
        <f>IF(GK117="P",Lookup!$M$12,IF(GK117="PP",Lookup!$M$13,IF(GK117="PPP",Lookup!$M$14,IF(GK117="T",Lookup!$M$15,IF(GK117="TP",Lookup!$M$16,IF(GK117="TPP",Lookup!$M$17,IF(GK117="TPPP",Lookup!$M$18,0)))))))*GJ117</f>
        <v>0</v>
      </c>
      <c r="GO117" s="535">
        <f t="shared" si="268"/>
        <v>0</v>
      </c>
      <c r="GP117" s="535">
        <f t="shared" si="364"/>
        <v>4957.8880000000008</v>
      </c>
      <c r="GQ117" s="535">
        <f t="shared" si="279"/>
        <v>1616.0000000000002</v>
      </c>
      <c r="GR117" s="535"/>
      <c r="GS117" s="535">
        <f t="shared" si="269"/>
        <v>0</v>
      </c>
      <c r="GT117" s="535" t="str">
        <f t="shared" si="270"/>
        <v/>
      </c>
      <c r="GU117" s="535">
        <f>IF(GK117="P",Lookup!$N$12,IF(GK117="PP",Lookup!$N$13,IF(GK117="PPP",Lookup!$N$14,IF(GK117="T",Lookup!$N$15,IF(GK117="TP",Lookup!$N$16,IF(GK117="TPP",Lookup!$N$17,IF(GK117="TPPP",Lookup!$N$18,0)))))))*GJ117</f>
        <v>0</v>
      </c>
      <c r="GV117" s="535">
        <f t="shared" si="271"/>
        <v>0</v>
      </c>
      <c r="GW117" s="535">
        <f t="shared" si="365"/>
        <v>2125.6090963386159</v>
      </c>
      <c r="GX117" s="535">
        <f t="shared" si="276"/>
        <v>692.83216960189566</v>
      </c>
      <c r="GY117" s="535"/>
      <c r="GZ117" s="535">
        <f t="shared" si="272"/>
        <v>0</v>
      </c>
      <c r="HA117" s="535" t="str">
        <f t="shared" si="273"/>
        <v/>
      </c>
      <c r="HB117" s="535">
        <f>IF(GK117="P",Lookup!$N$12,IF(GK117="PP",Lookup!$N$13,IF(GK117="PPP",Lookup!$N$14,IF(GK117="T",Lookup!$N$15,IF(GK117="TP",Lookup!$N$16,IF(GK117="TPP",Lookup!$N$17,IF(GK117="TPPP",Lookup!$N$18,0)))))))*GJ117</f>
        <v>0</v>
      </c>
      <c r="HC117" s="521">
        <f t="shared" si="366"/>
        <v>0</v>
      </c>
      <c r="HD117" s="535">
        <f t="shared" si="367"/>
        <v>1732.4939929834563</v>
      </c>
      <c r="HE117" s="535">
        <f t="shared" si="277"/>
        <v>564.69817241964029</v>
      </c>
      <c r="HF117" s="535"/>
      <c r="HG117" s="535">
        <f t="shared" si="274"/>
        <v>0</v>
      </c>
      <c r="HH117" s="535" t="str">
        <f t="shared" si="275"/>
        <v/>
      </c>
      <c r="HI117" s="535">
        <f>IF(GK117="P",Lookup!$N$12,IF(GK117="PP",Lookup!$N$13,IF(GK117="PPP",Lookup!$N$14,IF(GK117="T",Lookup!$N$15,IF(GK117="TP",Lookup!$N$16,IF(GK117="TPP",Lookup!$N$17,IF(GK117="TPPP",Lookup!$N$18,0)))))))*GJ117</f>
        <v>0</v>
      </c>
      <c r="HJ117" s="521">
        <f t="shared" si="368"/>
        <v>0</v>
      </c>
      <c r="HK117" s="535">
        <f t="shared" si="369"/>
        <v>1115.3951394984533</v>
      </c>
      <c r="HL117" s="535">
        <f t="shared" si="278"/>
        <v>363.55773777654935</v>
      </c>
      <c r="HM117" s="535"/>
      <c r="HN117" s="541"/>
      <c r="HO117" s="541"/>
      <c r="HP117" s="541"/>
      <c r="HQ117" s="541">
        <f>IF(AND(B117&gt;=$FV$4,B117&lt;=$FW$4),MAX(110/1.02+$HQ$6+MIN(113/1.02,G117),IF($HV$6-(Sheet1!DA115-Sheet1!DB115)+MIN(113/1.02,G117)&lt;G117+FL117,$HV$6-(Sheet1!DA115-Sheet1!DB115)+MIN(113/1.02,G117),G117+FL117)),MIN(110/1.02+$HQ$6+113/1.02,G117))</f>
        <v>218.62745098039215</v>
      </c>
      <c r="HR117" s="541">
        <f t="shared" si="297"/>
        <v>223</v>
      </c>
      <c r="HS117" s="541">
        <f>HR117+(Sheet1!DA115-Sheet1!DB115)</f>
        <v>873</v>
      </c>
      <c r="HT117" s="541">
        <f t="shared" si="298"/>
        <v>66.075463999999997</v>
      </c>
      <c r="HU117" s="541">
        <f t="shared" si="299"/>
        <v>806.92453599999999</v>
      </c>
      <c r="HV117" s="541">
        <f t="shared" si="300"/>
        <v>0</v>
      </c>
      <c r="HW117" s="533" t="str">
        <f t="shared" si="301"/>
        <v/>
      </c>
      <c r="HX117" s="541">
        <f t="shared" si="302"/>
        <v>1001.3725490196078</v>
      </c>
      <c r="HY117" s="541">
        <f>Sheet1!CZ115</f>
        <v>1220</v>
      </c>
      <c r="HZ117" s="541">
        <f t="shared" si="303"/>
        <v>0</v>
      </c>
      <c r="IA117" s="541">
        <f t="shared" si="304"/>
        <v>66.075463999999997</v>
      </c>
      <c r="IB117" s="541">
        <f t="shared" si="305"/>
        <v>1220</v>
      </c>
      <c r="IC117" s="1019" t="str">
        <f t="shared" si="306"/>
        <v/>
      </c>
      <c r="ID117" s="541">
        <f t="shared" si="307"/>
        <v>1153.924536</v>
      </c>
      <c r="IE117" s="541">
        <f>Sheet1!DB115</f>
        <v>1150</v>
      </c>
      <c r="IF117" s="533">
        <f>Sheet1!DA115</f>
        <v>1800</v>
      </c>
      <c r="IH117" s="541">
        <f>IF(AND($B117&gt;=$GC117,$B117&lt;=$GH117,$DR117&lt;0)+N("only adjusted when pool is drawn down during storage season"),Sheet1!$DB115+$DR117+N("Palmer minus all storage release"),Sheet1!$DB115)</f>
        <v>1150</v>
      </c>
      <c r="II117" s="541">
        <f>IF(AND($B117&gt;=$GC117,$B117&lt;=$GH117,$DR117&lt;0)+N("only adjusted when pool is drawn down during storage season"),Sheet1!$DA115+$DR117+N("Auburn minus all storage release"),Sheet1!$DA115)</f>
        <v>1800</v>
      </c>
    </row>
    <row r="118" spans="1:243" x14ac:dyDescent="0.25">
      <c r="A118" s="553" t="s">
        <v>4</v>
      </c>
      <c r="B118" s="531">
        <v>42842</v>
      </c>
      <c r="C118" s="536">
        <v>0</v>
      </c>
      <c r="D118" s="506">
        <f t="shared" si="247"/>
        <v>300</v>
      </c>
      <c r="E118" s="506">
        <f t="shared" si="248"/>
        <v>250</v>
      </c>
      <c r="F118" s="506">
        <v>250</v>
      </c>
      <c r="G118" s="535">
        <f>DR118+Sheet1!CZ116</f>
        <v>1380.2269288966077</v>
      </c>
      <c r="H118" s="1074">
        <f t="shared" si="370"/>
        <v>599.80490886400003</v>
      </c>
      <c r="I118" s="534">
        <f>IF(Sheet1!DA116&gt;=E118,(Sheet1!DA116-E118+P118)*CFStoMGD,0)</f>
        <v>1045.8209088639999</v>
      </c>
      <c r="J118" s="995">
        <f>IF(Sheet1!DB116&gt;=D118,(Sheet1!DB116-D118+P118)*CFStoMGD,0)</f>
        <v>599.80490886400003</v>
      </c>
      <c r="K118" s="818">
        <f t="shared" si="282"/>
        <v>64.64</v>
      </c>
      <c r="L118" s="535">
        <f>Sheet1!AA116+Sheet1!AB116-Sheet1!L116+(Sheet1!DA116-F118)*CFStoMGD-S118-T118-U118</f>
        <v>981.18199999999979</v>
      </c>
      <c r="M118" s="535">
        <f t="shared" si="309"/>
        <v>910.02226057554253</v>
      </c>
      <c r="N118" s="824">
        <f>IF(Sheet1!DA116&gt;=F118,MIN(113*CFStoMGD,MIN(MAX(L118,0),MAX(M118,0))),0)</f>
        <v>73.043199999999999</v>
      </c>
      <c r="O118" s="538">
        <f>Sheet1!AA116+Sheet1!AB116</f>
        <v>56.83</v>
      </c>
      <c r="P118" s="538">
        <f t="shared" si="310"/>
        <v>87.91601</v>
      </c>
      <c r="Q118" s="812">
        <f t="shared" si="283"/>
        <v>46.17</v>
      </c>
      <c r="R118" s="812">
        <f t="shared" si="249"/>
        <v>10.639473684210527</v>
      </c>
      <c r="S118" s="812">
        <f t="shared" si="250"/>
        <v>10.66</v>
      </c>
      <c r="T118" s="812">
        <f t="shared" si="251"/>
        <v>53.980000000000004</v>
      </c>
      <c r="U118" s="812">
        <f t="shared" si="284"/>
        <v>0</v>
      </c>
      <c r="V118" s="812"/>
      <c r="W118" s="812">
        <f t="shared" si="252"/>
        <v>54.000526315789472</v>
      </c>
      <c r="X118" s="812">
        <f t="shared" si="253"/>
        <v>64.64</v>
      </c>
      <c r="Y118" s="812" t="str">
        <f t="shared" si="254"/>
        <v>FALSE</v>
      </c>
      <c r="Z118" s="812">
        <f t="shared" si="255"/>
        <v>56.83</v>
      </c>
      <c r="AA118" s="812">
        <f t="shared" si="256"/>
        <v>56.83</v>
      </c>
      <c r="AB118" s="1059">
        <f t="shared" si="285"/>
        <v>71.424989999999994</v>
      </c>
      <c r="AC118" s="538">
        <f>Sheet1!Y116*MGDtoCFS</f>
        <v>39.912599999999998</v>
      </c>
      <c r="AD118" s="538">
        <f>Sheet1!Z116*MGDtoCFS</f>
        <v>43.161299999999997</v>
      </c>
      <c r="AE118" s="538">
        <f>Sheet1!AA116*MGDtoCFS</f>
        <v>39.804310000000001</v>
      </c>
      <c r="AF118" s="538">
        <f>Sheet1!AB116*MGDtoCFS</f>
        <v>48.111699999999999</v>
      </c>
      <c r="AG118" s="538">
        <f>Sheet1!L116*MGDtoCFS</f>
        <v>0</v>
      </c>
      <c r="AH118" s="521">
        <f t="shared" si="311"/>
        <v>0</v>
      </c>
      <c r="AI118" s="1059">
        <f t="shared" si="312"/>
        <v>0</v>
      </c>
      <c r="AJ118" s="535">
        <f t="shared" si="313"/>
        <v>54.000526315789472</v>
      </c>
      <c r="AK118" s="535">
        <f t="shared" si="314"/>
        <v>83.538814210526311</v>
      </c>
      <c r="AL118" s="535">
        <f>(VLOOKUP(Sheet1!DC116,hhdcap_wcm,4)-(((VLOOKUP(Sheet1!DC116,hhdcap_wcm,3)-Sheet1!DC116)/(VLOOKUP(Sheet1!DC116,hhdcap_wcm,3)-VLOOKUP(Sheet1!DC116,hhdcap_wcm,1)))*(VLOOKUP(Sheet1!DC116,hhdcap_wcm,4)-VLOOKUP(Sheet1!DC116,hhdcap_wcm,2))))</f>
        <v>31115.600000080489</v>
      </c>
      <c r="AM118" s="535">
        <f t="shared" si="315"/>
        <v>297.90000000197324</v>
      </c>
      <c r="AN118" s="1035">
        <f t="shared" si="316"/>
        <v>3291.0886061138749</v>
      </c>
      <c r="AO118" s="535">
        <f t="shared" si="317"/>
        <v>10097.059843557368</v>
      </c>
      <c r="AP118" s="535">
        <f>Sheet1!BA116+Sheet1!BB116+Sheet1!BN116+CD118</f>
        <v>20.5</v>
      </c>
      <c r="AQ118" s="535">
        <f>Sheet1!BN116+(DO118*Sheet1!BN116)</f>
        <v>20.460526315789476</v>
      </c>
      <c r="AR118" s="535">
        <f>Sheet1!BA116+CD118</f>
        <v>0</v>
      </c>
      <c r="AS118" s="535">
        <f>Sheet1!BA116+Sheet1!BB116+CD118</f>
        <v>0</v>
      </c>
      <c r="AT118" s="649">
        <f>0</f>
        <v>0</v>
      </c>
      <c r="AU118" s="535">
        <f>IF(EB118&lt;K118,0,MAX(Sheet1!AA116+AQ118-15/36*K118-N118,Sheet1!EH116,0))</f>
        <v>0</v>
      </c>
      <c r="AV118" s="535">
        <f>IF(OR(B118&gt;=GD118,B118&lt;GC118),0,15/36*K118-MAX(0,64.6-(137.6-(Sheet1!AA116+Sheet1!AB116))))</f>
        <v>26.933333333333334</v>
      </c>
      <c r="AW118" s="1029"/>
      <c r="AX118" s="649"/>
      <c r="AY118" s="649">
        <f t="shared" si="286"/>
        <v>0</v>
      </c>
      <c r="AZ118" s="649">
        <f t="shared" si="287"/>
        <v>0</v>
      </c>
      <c r="BA118" s="1059">
        <f t="shared" si="288"/>
        <v>0</v>
      </c>
      <c r="BB118" s="1019">
        <f t="shared" si="318"/>
        <v>1642.9333333333336</v>
      </c>
      <c r="BC118" s="1041">
        <f t="shared" si="289"/>
        <v>26.933333333333334</v>
      </c>
      <c r="BD118" s="1019">
        <f ca="1">IF(B118&gt;Summary!$A$1,#N/A,BB118*MGtoAF)</f>
        <v>5040.5194666666675</v>
      </c>
      <c r="BE118" s="535">
        <f>Sheet1!BG116+Sheet1!BH116+Sheet1!BI116-BM118</f>
        <v>1.01</v>
      </c>
      <c r="BF118" s="535">
        <f t="shared" si="319"/>
        <v>1.0080551989730424</v>
      </c>
      <c r="BG118" s="535">
        <f>IF(Sheet1!EP116="FM",BM118,0)</f>
        <v>0</v>
      </c>
      <c r="BH118" s="535">
        <f t="shared" si="320"/>
        <v>0</v>
      </c>
      <c r="BI118" s="535">
        <f>IF(Sheet1!EP116="OTHER",BM118,0)</f>
        <v>0</v>
      </c>
      <c r="BJ118" s="535">
        <f t="shared" si="321"/>
        <v>0</v>
      </c>
      <c r="BK118" s="535">
        <f t="shared" si="322"/>
        <v>1.01</v>
      </c>
      <c r="BL118" s="535">
        <f t="shared" si="323"/>
        <v>1.0080551989730424</v>
      </c>
      <c r="BM118" s="535">
        <f>IF(OR(Sheet1!EP116="FM", Sheet1!EP116="OTHER"),SUM(Sheet1!BG116:'Sheet1'!BI116),0)</f>
        <v>0</v>
      </c>
      <c r="BN118" s="521">
        <f>IF(AND($B118&gt;=$FV118,$B118&lt;=$FW118),MAX(BF118,Sheet1!EI116,0),MAX(BF118-(7/36)*$K118,0))</f>
        <v>0</v>
      </c>
      <c r="BO118" s="535">
        <f t="shared" si="324"/>
        <v>11.560833689915846</v>
      </c>
      <c r="BP118" s="521">
        <f t="shared" si="325"/>
        <v>1.0080551989730424</v>
      </c>
      <c r="BQ118" s="521">
        <f>IF(AND($O118&gt;0,Sheet1!EM116=1),(1-($O118-Sheet1!$L116)/$O118)*BL118,0)</f>
        <v>0</v>
      </c>
      <c r="BR118" s="521">
        <f>IF(AND(Sheet1!$L116=0,Sheet1!$L115=0, Calculation!BK118&lt;Sheet1!$EI116-0.1,Sheet1!$EI116=Sheet1!$EI115,Sheet1!$EI116=Sheet1!$EI117),BL118-BQ118,BL118-BQ118)</f>
        <v>1.0080551989730424</v>
      </c>
      <c r="BS118" s="1035" t="str">
        <f t="shared" si="290"/>
        <v/>
      </c>
      <c r="BT118" s="1035">
        <f t="shared" si="291"/>
        <v>12.568888888888889</v>
      </c>
      <c r="BU118" s="535">
        <f t="shared" si="326"/>
        <v>704.39300329181151</v>
      </c>
      <c r="BV118" s="535"/>
      <c r="BW118" s="535">
        <f ca="1">IF(B118&gt;Summary!$A$1,#N/A,BU118*MGtoAF)</f>
        <v>2161.0777340992777</v>
      </c>
      <c r="BX118" s="535">
        <f>Sheet1!BC116+Sheet1!BD116+Sheet1!BE116+Sheet1!BF116-CG118-CH118</f>
        <v>3.1799999999999997</v>
      </c>
      <c r="BY118" s="535">
        <f t="shared" si="327"/>
        <v>3.1738767650834401</v>
      </c>
      <c r="BZ118" s="535">
        <f>IF(Sheet1!EQ116="FM",CH118,0)</f>
        <v>0</v>
      </c>
      <c r="CA118" s="535">
        <f t="shared" si="328"/>
        <v>0</v>
      </c>
      <c r="CB118" s="535">
        <f>IF(Sheet1!EQ116="OTHER",CH118,0)</f>
        <v>0</v>
      </c>
      <c r="CC118" s="535">
        <f t="shared" si="329"/>
        <v>0</v>
      </c>
      <c r="CD118" s="535">
        <f t="shared" si="330"/>
        <v>0</v>
      </c>
      <c r="CE118" s="535">
        <f t="shared" si="331"/>
        <v>3.1799999999999997</v>
      </c>
      <c r="CF118" s="535">
        <f t="shared" si="332"/>
        <v>3.1738767650834401</v>
      </c>
      <c r="CG118" s="535">
        <f>IF(Sheet1!EQ116="CWA",SUM(Sheet1!BC116:'Sheet1'!BF116),0)</f>
        <v>0</v>
      </c>
      <c r="CH118" s="535">
        <f>IF(OR(Sheet1!EQ116="FM", Sheet1!EQ116="OTHER"),SUM(Sheet1!BC116:'Sheet1'!BF116),0)</f>
        <v>0</v>
      </c>
      <c r="CI118" s="521">
        <f>IF(AND($B118&gt;=$FV118,$B118&lt;=$FW118),MAX(CF118,Sheet1!EJ116,0),MAX(CF118-(7/36)*$K118,0))</f>
        <v>0</v>
      </c>
      <c r="CJ118" s="535">
        <f t="shared" si="333"/>
        <v>9.3950121238054489</v>
      </c>
      <c r="CK118" s="521">
        <f t="shared" si="334"/>
        <v>3.1738767650834401</v>
      </c>
      <c r="CL118" s="521">
        <f>IF(AND($O118&gt;0,Sheet1!EN116=1),(1-($O118-Sheet1!$L116)/$O118)*CF118,0)</f>
        <v>0</v>
      </c>
      <c r="CM118" s="521">
        <f>IF(AND(Sheet1!$L116=0,Sheet1!$L115=0, Calculation!CE118&lt;Sheet1!EJ116-0.1,Sheet1!EJ116=Sheet1!EJ115,Sheet1!EJ116=Sheet1!EJ117),CF118-CL118,CF118-CL118)</f>
        <v>3.1738767650834401</v>
      </c>
      <c r="CN118" s="1040" t="str">
        <f t="shared" si="292"/>
        <v/>
      </c>
      <c r="CO118" s="1035">
        <f t="shared" si="293"/>
        <v>12.568888888888889</v>
      </c>
      <c r="CP118" s="535">
        <f t="shared" si="335"/>
        <v>574.09318454344577</v>
      </c>
      <c r="CQ118" s="535"/>
      <c r="CR118" s="535">
        <f ca="1">IF(B118&gt;Summary!$A$1,#N/A,CP118*MGtoAF)</f>
        <v>1761.3178901792917</v>
      </c>
      <c r="CS118" s="535">
        <f>Sheet1!BK116+Sheet1!BL116+Sheet1!BM116-Sheet1!ER116-DA118</f>
        <v>6.4700000000000006</v>
      </c>
      <c r="CT118" s="535">
        <f t="shared" si="336"/>
        <v>6.4575417201540448</v>
      </c>
      <c r="CU118" s="535">
        <f>IF(Sheet1!ER116="FM",DA118,0)</f>
        <v>0</v>
      </c>
      <c r="CV118" s="535">
        <f t="shared" si="337"/>
        <v>0</v>
      </c>
      <c r="CW118" s="535">
        <f>IF(Sheet1!ER116="OTHER",DA118,0)</f>
        <v>0</v>
      </c>
      <c r="CX118" s="535">
        <f t="shared" si="338"/>
        <v>0</v>
      </c>
      <c r="CY118" s="535">
        <f t="shared" si="339"/>
        <v>6.4700000000000006</v>
      </c>
      <c r="CZ118" s="535">
        <f t="shared" si="340"/>
        <v>6.4575417201540448</v>
      </c>
      <c r="DA118" s="535">
        <f>IF(OR(Sheet1!ER116="FM", Sheet1!ER116="OTHER"),SUM(Sheet1!BK116:'Sheet1'!BM116),0)</f>
        <v>0</v>
      </c>
      <c r="DB118" s="1011">
        <f>IF(AND($B118&gt;=$FV118,$B118&lt;=$FW118),MAX($CT118,Sheet1!EK116,0),MAX($CT118-(7/36)*$K118,0))</f>
        <v>0</v>
      </c>
      <c r="DC118" s="1012">
        <f t="shared" si="341"/>
        <v>6.1113471687348442</v>
      </c>
      <c r="DD118" s="1011">
        <f t="shared" si="342"/>
        <v>6.4575417201540448</v>
      </c>
      <c r="DE118" s="521">
        <f>IF(AND($O118&gt;0,Sheet1!EO116=1),(1-($O118-Sheet1!$L116)/$O118)*CZ118,0)</f>
        <v>0</v>
      </c>
      <c r="DF118" s="521">
        <f>IF(AND(Sheet1!$L116=0,Sheet1!$L115=0, Calculation!CY118&lt;Sheet1!$EK116-0.1,Sheet1!$EK116=Sheet1!$EK115,Sheet1!$EK116=Sheet1!$EK117),CZ118-DE118,CZ118-DE118)</f>
        <v>6.4575417201540448</v>
      </c>
      <c r="DG118" s="1040">
        <f t="shared" si="294"/>
        <v>12.568888888888889</v>
      </c>
      <c r="DH118" s="649">
        <f t="shared" si="343"/>
        <v>10.66</v>
      </c>
      <c r="DI118" s="535">
        <f t="shared" si="344"/>
        <v>369.66908494528417</v>
      </c>
      <c r="DJ118" s="649">
        <f t="shared" si="345"/>
        <v>10.639473684210527</v>
      </c>
      <c r="DK118" s="535">
        <f ca="1">IF(B118&gt;Summary!$A$1,#N/A,DI118*MGtoAF)</f>
        <v>1134.1447526121319</v>
      </c>
      <c r="DL118" s="649">
        <f t="shared" si="346"/>
        <v>10.66</v>
      </c>
      <c r="DM118" s="535">
        <f t="shared" si="347"/>
        <v>31.16</v>
      </c>
      <c r="DN118" s="535">
        <f>Sheet1!AB116-DM118</f>
        <v>-5.9999999999998721E-2</v>
      </c>
      <c r="DO118" s="743">
        <f t="shared" si="348"/>
        <v>-1.925545571245145E-3</v>
      </c>
      <c r="DP118" s="535">
        <f>(VLOOKUP(Sheet1!DC116,hhdcap_wcm,4)-(((VLOOKUP(Sheet1!DC116,hhdcap_wcm,3)-Sheet1!DC116)/(VLOOKUP(Sheet1!DC116,hhdcap_wcm,3)-VLOOKUP(Sheet1!DC116,hhdcap_wcm,1)))*(VLOOKUP(Sheet1!DC116,hhdcap_wcm,4)-VLOOKUP(Sheet1!DC116,hhdcap_wcm,2))))</f>
        <v>31115.600000080489</v>
      </c>
      <c r="DQ118" s="535">
        <f t="shared" si="349"/>
        <v>297.90000000197324</v>
      </c>
      <c r="DR118" s="535">
        <f t="shared" si="350"/>
        <v>150.22692889660777</v>
      </c>
      <c r="DS118" s="535">
        <f>Sheet1!EA116*AFtoMG</f>
        <v>0</v>
      </c>
      <c r="DT118" s="535">
        <f>Sheet1!EB116*AFtoMG</f>
        <v>0</v>
      </c>
      <c r="DU118" s="535">
        <f>Sheet1!EC116*AFtoMG</f>
        <v>0</v>
      </c>
      <c r="DV118" s="535">
        <f>Sheet1!ED116*AFtoMG</f>
        <v>0</v>
      </c>
      <c r="DW118" s="535">
        <f t="shared" si="351"/>
        <v>0</v>
      </c>
      <c r="DX118" s="535">
        <f t="shared" si="352"/>
        <v>0</v>
      </c>
      <c r="DY118" s="535">
        <f t="shared" si="353"/>
        <v>3291.0886061138749</v>
      </c>
      <c r="DZ118" s="535">
        <f t="shared" si="354"/>
        <v>10097.059843557368</v>
      </c>
      <c r="EA118" s="535"/>
      <c r="EB118" s="521">
        <f>IF(OR(B118&lt;FV118,B118&gt;FW118),(MIN(BF118+BY118+CT118+MAX(Sheet1!AA116+AQ118-73,0),K118)),0)</f>
        <v>10.639473684210527</v>
      </c>
      <c r="EC118" s="535"/>
      <c r="ED118" s="535">
        <f t="shared" si="355"/>
        <v>10.639473684210527</v>
      </c>
      <c r="EE118" s="535"/>
      <c r="EF118" s="535">
        <f>Sheet1!EH116+Sheet1!EI116+Sheet1!EJ116+Sheet1!EK116</f>
        <v>10.5</v>
      </c>
      <c r="EG118" s="1019">
        <f t="shared" si="295"/>
        <v>16.243500000000001</v>
      </c>
      <c r="EH118" s="521">
        <f t="shared" si="356"/>
        <v>0</v>
      </c>
      <c r="EI118" s="535">
        <f>IF(Sheet1!ET116=1,SUM('Calculations II'!AT118:BA118)+'Calculations II'!BC118+Sheet1!BV116+'Calculations II'!BE118+AP118,'Calculations II'!BK118)</f>
        <v>42.827882315789481</v>
      </c>
      <c r="EJ118" s="535">
        <f ca="1">EI118+'Calculations II'!D118+'Calculations II'!E118+'Calculations II'!O118</f>
        <v>45.060093005408874</v>
      </c>
      <c r="EK118" s="535"/>
      <c r="EL118" s="535"/>
      <c r="EM118" s="535">
        <f t="shared" si="357"/>
        <v>42842</v>
      </c>
      <c r="EN118" s="535">
        <f t="shared" si="358"/>
        <v>54.000526315789472</v>
      </c>
      <c r="EO118" s="535">
        <f t="shared" si="359"/>
        <v>83.538814210526311</v>
      </c>
      <c r="EP118" s="535">
        <v>0</v>
      </c>
      <c r="EQ118" s="535">
        <v>0</v>
      </c>
      <c r="ER118" s="535">
        <v>0</v>
      </c>
      <c r="ES118" s="521">
        <f t="shared" si="257"/>
        <v>-1.4970926425158653</v>
      </c>
      <c r="ET118" s="535">
        <f>-(VLOOKUP(Sheet1!BQ116,Lookup!$O$4:$Q$262,2)-VLOOKUP(Sheet1!BQ115,Lookup!$O$4:$Q$262,2))/1000000</f>
        <v>-3.2953126436533453</v>
      </c>
      <c r="EU118" s="535">
        <f>-(VLOOKUP(Sheet1!BR116,Lookup!$O$4:$Q$262,3)-VLOOKUP(Sheet1!BR115,Lookup!$O$4:$Q$262,3))/1000000</f>
        <v>1.79822000113748</v>
      </c>
      <c r="EV118" s="535"/>
      <c r="EW118" s="535"/>
      <c r="EX118" s="535"/>
      <c r="EY118" s="535"/>
      <c r="EZ118" s="535"/>
      <c r="FA118" s="535"/>
      <c r="FB118" s="535"/>
      <c r="FC118" s="535"/>
      <c r="FD118" s="567" t="e">
        <f t="shared" si="360"/>
        <v>#N/A</v>
      </c>
      <c r="FE118" s="567" t="e">
        <f t="shared" si="361"/>
        <v>#N/A</v>
      </c>
      <c r="FF118" s="568" t="e">
        <f t="shared" si="362"/>
        <v>#N/A</v>
      </c>
      <c r="FG118" s="569" t="s">
        <v>656</v>
      </c>
      <c r="FH118" s="569" t="s">
        <v>656</v>
      </c>
      <c r="FI118" s="567" t="e">
        <v>#N/A</v>
      </c>
      <c r="FJ118" s="567" t="e">
        <v>#N/A</v>
      </c>
      <c r="FK118" s="535"/>
      <c r="FL118" s="1015">
        <v>0</v>
      </c>
      <c r="FM118" s="535"/>
      <c r="FN118" s="535"/>
      <c r="FO118" s="535">
        <f>O118+((Sheet1!CS116)*GPMtoMGD)</f>
        <v>56.83</v>
      </c>
      <c r="FP118" s="535">
        <f>IF(Sheet1!AA116+AQ118&lt;=Calculation!N118,AQ118,Calculation!N118-Sheet1!AA116)</f>
        <v>20.460526315789476</v>
      </c>
      <c r="FQ118" s="535">
        <f>(Sheet1!BP116+Sheet1!BO116)/694.4</f>
        <v>1.4988479262672811</v>
      </c>
      <c r="FR118" s="541"/>
      <c r="FS118" s="541"/>
      <c r="FT118" s="541"/>
      <c r="FU118" s="541"/>
      <c r="FV118" s="1109">
        <f t="shared" si="258"/>
        <v>42918</v>
      </c>
      <c r="FW118" s="1109">
        <f t="shared" si="259"/>
        <v>43027</v>
      </c>
      <c r="FX118" s="541"/>
      <c r="FY118" s="541">
        <f>Sheet1!DA116-Sheet1!CZ116-Sheet1!AE116</f>
        <v>462.08398999999997</v>
      </c>
      <c r="FZ118" s="535">
        <f t="shared" si="296"/>
        <v>0.33478841799544001</v>
      </c>
      <c r="GA118" s="535"/>
      <c r="GB118" s="535" t="str">
        <f t="shared" si="260"/>
        <v>n</v>
      </c>
      <c r="GC118" s="539">
        <f t="shared" si="261"/>
        <v>42782</v>
      </c>
      <c r="GD118" s="1109">
        <f t="shared" si="262"/>
        <v>42904</v>
      </c>
      <c r="GE118" s="535">
        <f t="shared" si="280"/>
        <v>6520</v>
      </c>
      <c r="GF118" s="1109">
        <f t="shared" si="263"/>
        <v>42909</v>
      </c>
      <c r="GG118" s="535">
        <f t="shared" si="308"/>
        <v>3260</v>
      </c>
      <c r="GH118" s="539">
        <f t="shared" si="264"/>
        <v>43040</v>
      </c>
      <c r="GJ118" s="521">
        <f t="shared" si="265"/>
        <v>0</v>
      </c>
      <c r="GK118" s="535" t="str">
        <f t="shared" si="363"/>
        <v/>
      </c>
      <c r="GL118" s="535">
        <f t="shared" si="266"/>
        <v>0</v>
      </c>
      <c r="GM118" s="535" t="str">
        <f t="shared" si="267"/>
        <v/>
      </c>
      <c r="GN118" s="535">
        <f>IF(GK118="P",Lookup!$M$12,IF(GK118="PP",Lookup!$M$13,IF(GK118="PPP",Lookup!$M$14,IF(GK118="T",Lookup!$M$15,IF(GK118="TP",Lookup!$M$16,IF(GK118="TPP",Lookup!$M$17,IF(GK118="TPPP",Lookup!$M$18,0)))))))*GJ118</f>
        <v>0</v>
      </c>
      <c r="GO118" s="535">
        <f t="shared" si="268"/>
        <v>0</v>
      </c>
      <c r="GP118" s="535">
        <f t="shared" si="364"/>
        <v>5040.5194666666675</v>
      </c>
      <c r="GQ118" s="535">
        <f t="shared" si="279"/>
        <v>1642.9333333333336</v>
      </c>
      <c r="GR118" s="535"/>
      <c r="GS118" s="535">
        <f t="shared" si="269"/>
        <v>0</v>
      </c>
      <c r="GT118" s="535" t="str">
        <f t="shared" si="270"/>
        <v/>
      </c>
      <c r="GU118" s="535">
        <f>IF(GK118="P",Lookup!$N$12,IF(GK118="PP",Lookup!$N$13,IF(GK118="PPP",Lookup!$N$14,IF(GK118="T",Lookup!$N$15,IF(GK118="TP",Lookup!$N$16,IF(GK118="TPP",Lookup!$N$17,IF(GK118="TPPP",Lookup!$N$18,0)))))))*GJ118</f>
        <v>0</v>
      </c>
      <c r="GV118" s="535">
        <f t="shared" si="271"/>
        <v>0</v>
      </c>
      <c r="GW118" s="535">
        <f t="shared" si="365"/>
        <v>2161.0777340992777</v>
      </c>
      <c r="GX118" s="535">
        <f t="shared" si="276"/>
        <v>704.39300329181151</v>
      </c>
      <c r="GY118" s="535"/>
      <c r="GZ118" s="535">
        <f t="shared" si="272"/>
        <v>0</v>
      </c>
      <c r="HA118" s="535" t="str">
        <f t="shared" si="273"/>
        <v/>
      </c>
      <c r="HB118" s="535">
        <f>IF(GK118="P",Lookup!$N$12,IF(GK118="PP",Lookup!$N$13,IF(GK118="PPP",Lookup!$N$14,IF(GK118="T",Lookup!$N$15,IF(GK118="TP",Lookup!$N$16,IF(GK118="TPP",Lookup!$N$17,IF(GK118="TPPP",Lookup!$N$18,0)))))))*GJ118</f>
        <v>0</v>
      </c>
      <c r="HC118" s="521">
        <f t="shared" si="366"/>
        <v>0</v>
      </c>
      <c r="HD118" s="535">
        <f t="shared" si="367"/>
        <v>1761.3178901792917</v>
      </c>
      <c r="HE118" s="535">
        <f t="shared" si="277"/>
        <v>574.09318454344577</v>
      </c>
      <c r="HF118" s="535"/>
      <c r="HG118" s="535">
        <f t="shared" si="274"/>
        <v>0</v>
      </c>
      <c r="HH118" s="535" t="str">
        <f t="shared" si="275"/>
        <v/>
      </c>
      <c r="HI118" s="535">
        <f>IF(GK118="P",Lookup!$N$12,IF(GK118="PP",Lookup!$N$13,IF(GK118="PPP",Lookup!$N$14,IF(GK118="T",Lookup!$N$15,IF(GK118="TP",Lookup!$N$16,IF(GK118="TPP",Lookup!$N$17,IF(GK118="TPPP",Lookup!$N$18,0)))))))*GJ118</f>
        <v>0</v>
      </c>
      <c r="HJ118" s="521">
        <f t="shared" si="368"/>
        <v>0</v>
      </c>
      <c r="HK118" s="535">
        <f t="shared" si="369"/>
        <v>1134.1447526121319</v>
      </c>
      <c r="HL118" s="535">
        <f t="shared" si="278"/>
        <v>369.66908494528417</v>
      </c>
      <c r="HM118" s="535"/>
      <c r="HN118" s="541"/>
      <c r="HO118" s="541"/>
      <c r="HP118" s="541"/>
      <c r="HQ118" s="541">
        <f>IF(AND(B118&gt;=$FV$4,B118&lt;=$FW$4),MAX(110/1.02+$HQ$6+MIN(113/1.02,G118),IF($HV$6-(Sheet1!DA116-Sheet1!DB116)+MIN(113/1.02,G118)&lt;G118+FL118,$HV$6-(Sheet1!DA116-Sheet1!DB116)+MIN(113/1.02,G118),G118+FL118)),MIN(110/1.02+$HQ$6+113/1.02,G118))</f>
        <v>218.62745098039215</v>
      </c>
      <c r="HR118" s="541">
        <f t="shared" si="297"/>
        <v>223</v>
      </c>
      <c r="HS118" s="541">
        <f>HR118+(Sheet1!DA116-Sheet1!DB116)</f>
        <v>863</v>
      </c>
      <c r="HT118" s="541">
        <f t="shared" si="298"/>
        <v>71.424989999999994</v>
      </c>
      <c r="HU118" s="541">
        <f t="shared" si="299"/>
        <v>791.57501000000002</v>
      </c>
      <c r="HV118" s="541">
        <f t="shared" si="300"/>
        <v>0</v>
      </c>
      <c r="HW118" s="533" t="str">
        <f t="shared" si="301"/>
        <v/>
      </c>
      <c r="HX118" s="541">
        <f t="shared" si="302"/>
        <v>1011.3725490196078</v>
      </c>
      <c r="HY118" s="541">
        <f>Sheet1!CZ116</f>
        <v>1230</v>
      </c>
      <c r="HZ118" s="541">
        <f t="shared" si="303"/>
        <v>0</v>
      </c>
      <c r="IA118" s="541">
        <f t="shared" si="304"/>
        <v>71.424989999999994</v>
      </c>
      <c r="IB118" s="541">
        <f t="shared" si="305"/>
        <v>1230</v>
      </c>
      <c r="IC118" s="1019" t="str">
        <f t="shared" si="306"/>
        <v/>
      </c>
      <c r="ID118" s="541">
        <f t="shared" si="307"/>
        <v>1158.57501</v>
      </c>
      <c r="IE118" s="541">
        <f>Sheet1!DB116</f>
        <v>1140</v>
      </c>
      <c r="IF118" s="533">
        <f>Sheet1!DA116</f>
        <v>1780</v>
      </c>
      <c r="IH118" s="541">
        <f>IF(AND($B118&gt;=$GC118,$B118&lt;=$GH118,$DR118&lt;0)+N("only adjusted when pool is drawn down during storage season"),Sheet1!$DB116+$DR118+N("Palmer minus all storage release"),Sheet1!$DB116)</f>
        <v>1140</v>
      </c>
      <c r="II118" s="541">
        <f>IF(AND($B118&gt;=$GC118,$B118&lt;=$GH118,$DR118&lt;0)+N("only adjusted when pool is drawn down during storage season"),Sheet1!$DA116+$DR118+N("Auburn minus all storage release"),Sheet1!$DA116)</f>
        <v>1780</v>
      </c>
    </row>
    <row r="119" spans="1:243" x14ac:dyDescent="0.25">
      <c r="A119" s="553" t="s">
        <v>5</v>
      </c>
      <c r="B119" s="531">
        <v>42843</v>
      </c>
      <c r="C119" s="536">
        <v>0</v>
      </c>
      <c r="D119" s="506">
        <f t="shared" si="247"/>
        <v>300</v>
      </c>
      <c r="E119" s="506">
        <f t="shared" si="248"/>
        <v>250</v>
      </c>
      <c r="F119" s="506">
        <v>250</v>
      </c>
      <c r="G119" s="535">
        <f>DR119+Sheet1!CZ117</f>
        <v>1562.6777609679903</v>
      </c>
      <c r="H119" s="1074">
        <f t="shared" si="370"/>
        <v>675.35882342399998</v>
      </c>
      <c r="I119" s="534">
        <f>IF(Sheet1!DA117&gt;=E119,(Sheet1!DA117-E119+P119)*CFStoMGD,0)</f>
        <v>1101.9828234239999</v>
      </c>
      <c r="J119" s="995">
        <f>IF(Sheet1!DB117&gt;=D119,(Sheet1!DB117-D119+P119)*CFStoMGD,0)</f>
        <v>675.35882342399998</v>
      </c>
      <c r="K119" s="818">
        <f t="shared" si="282"/>
        <v>64.64</v>
      </c>
      <c r="L119" s="535">
        <f>Sheet1!AA117+Sheet1!AB117-Sheet1!L117+(Sheet1!DA117-F119)*CFStoMGD-S119-T119-U119</f>
        <v>1037.3440000000001</v>
      </c>
      <c r="M119" s="535">
        <f t="shared" si="309"/>
        <v>1030.317202783503</v>
      </c>
      <c r="N119" s="824">
        <f>IF(Sheet1!DA117&gt;=F119,MIN(113*CFStoMGD,MIN(MAX(L119,0),MAX(M119,0))),0)</f>
        <v>73.043199999999999</v>
      </c>
      <c r="O119" s="538">
        <f>Sheet1!AA117+Sheet1!AB117</f>
        <v>61.28</v>
      </c>
      <c r="P119" s="538">
        <f t="shared" si="310"/>
        <v>94.800159999999991</v>
      </c>
      <c r="Q119" s="812">
        <f t="shared" si="283"/>
        <v>50.71</v>
      </c>
      <c r="R119" s="812">
        <f t="shared" si="249"/>
        <v>10.582632207947414</v>
      </c>
      <c r="S119" s="812">
        <f t="shared" si="250"/>
        <v>10.569999999999999</v>
      </c>
      <c r="T119" s="812">
        <f t="shared" si="251"/>
        <v>54.07</v>
      </c>
      <c r="U119" s="812">
        <f t="shared" si="284"/>
        <v>0</v>
      </c>
      <c r="V119" s="812"/>
      <c r="W119" s="812">
        <f t="shared" si="252"/>
        <v>54.057367792052588</v>
      </c>
      <c r="X119" s="812">
        <f t="shared" si="253"/>
        <v>64.64</v>
      </c>
      <c r="Y119" s="812" t="str">
        <f t="shared" si="254"/>
        <v>FALSE</v>
      </c>
      <c r="Z119" s="812">
        <f t="shared" si="255"/>
        <v>61.28</v>
      </c>
      <c r="AA119" s="812">
        <f t="shared" si="256"/>
        <v>61.28</v>
      </c>
      <c r="AB119" s="1059">
        <f t="shared" si="285"/>
        <v>78.448369999999997</v>
      </c>
      <c r="AC119" s="538">
        <f>Sheet1!Y117*MGDtoCFS</f>
        <v>39.804310000000001</v>
      </c>
      <c r="AD119" s="538">
        <f>Sheet1!Z117*MGDtoCFS</f>
        <v>48.111699999999999</v>
      </c>
      <c r="AE119" s="538">
        <f>Sheet1!AA117*MGDtoCFS</f>
        <v>42.960189999999997</v>
      </c>
      <c r="AF119" s="538">
        <f>Sheet1!AB117*MGDtoCFS</f>
        <v>51.839969999999994</v>
      </c>
      <c r="AG119" s="538">
        <f>Sheet1!L117*MGDtoCFS</f>
        <v>0</v>
      </c>
      <c r="AH119" s="521">
        <f t="shared" si="311"/>
        <v>0</v>
      </c>
      <c r="AI119" s="1059">
        <f t="shared" si="312"/>
        <v>0</v>
      </c>
      <c r="AJ119" s="535">
        <f t="shared" si="313"/>
        <v>54.057367792052588</v>
      </c>
      <c r="AK119" s="535">
        <f t="shared" si="314"/>
        <v>83.626747974305346</v>
      </c>
      <c r="AL119" s="535">
        <f>(VLOOKUP(Sheet1!DC117,hhdcap_wcm,4)-(((VLOOKUP(Sheet1!DC117,hhdcap_wcm,3)-Sheet1!DC117)/(VLOOKUP(Sheet1!DC117,hhdcap_wcm,3)-VLOOKUP(Sheet1!DC117,hhdcap_wcm,1)))*(VLOOKUP(Sheet1!DC117,hhdcap_wcm,4)-VLOOKUP(Sheet1!DC117,hhdcap_wcm,2))))</f>
        <v>31577.000000080014</v>
      </c>
      <c r="AM119" s="535">
        <f t="shared" si="315"/>
        <v>461.39999999952488</v>
      </c>
      <c r="AN119" s="1035">
        <f t="shared" si="316"/>
        <v>3345.1459739059278</v>
      </c>
      <c r="AO119" s="535">
        <f t="shared" si="317"/>
        <v>10262.907847943387</v>
      </c>
      <c r="AP119" s="535">
        <f>Sheet1!BA117+Sheet1!BB117+Sheet1!BN117+CD119</f>
        <v>22.9</v>
      </c>
      <c r="AQ119" s="535">
        <f>Sheet1!BN117+(DO119*Sheet1!BN117)</f>
        <v>22.927367792052582</v>
      </c>
      <c r="AR119" s="535">
        <f>Sheet1!BA117+CD119</f>
        <v>0</v>
      </c>
      <c r="AS119" s="535">
        <f>Sheet1!BA117+Sheet1!BB117+CD119</f>
        <v>0</v>
      </c>
      <c r="AT119" s="649">
        <f>0</f>
        <v>0</v>
      </c>
      <c r="AU119" s="535">
        <f>IF(EB119&lt;K119,0,MAX(Sheet1!AA117+AQ119-15/36*K119-N119,Sheet1!EH117,0))</f>
        <v>0</v>
      </c>
      <c r="AV119" s="535">
        <f>IF(OR(B119&gt;=GD119,B119&lt;GC119),0,15/36*K119-MAX(0,64.6-(137.6-(Sheet1!AA117+Sheet1!AB117))))</f>
        <v>26.933333333333334</v>
      </c>
      <c r="AW119" s="1029"/>
      <c r="AX119" s="649"/>
      <c r="AY119" s="649">
        <f t="shared" si="286"/>
        <v>0</v>
      </c>
      <c r="AZ119" s="649">
        <f t="shared" si="287"/>
        <v>0</v>
      </c>
      <c r="BA119" s="1059">
        <f t="shared" si="288"/>
        <v>0</v>
      </c>
      <c r="BB119" s="1019">
        <f t="shared" si="318"/>
        <v>1669.866666666667</v>
      </c>
      <c r="BC119" s="1041">
        <f t="shared" si="289"/>
        <v>26.933333333333334</v>
      </c>
      <c r="BD119" s="1019">
        <f ca="1">IF(B119&gt;Summary!$A$1,#N/A,BB119*MGtoAF)</f>
        <v>5123.1509333333343</v>
      </c>
      <c r="BE119" s="535">
        <f>Sheet1!BG117+Sheet1!BH117+Sheet1!BI117-BM119</f>
        <v>1.01</v>
      </c>
      <c r="BF119" s="535">
        <f t="shared" si="319"/>
        <v>1.0112070510905289</v>
      </c>
      <c r="BG119" s="535">
        <f>IF(Sheet1!EP117="FM",BM119,0)</f>
        <v>0</v>
      </c>
      <c r="BH119" s="535">
        <f t="shared" si="320"/>
        <v>0</v>
      </c>
      <c r="BI119" s="535">
        <f>IF(Sheet1!EP117="OTHER",BM119,0)</f>
        <v>0</v>
      </c>
      <c r="BJ119" s="535">
        <f t="shared" si="321"/>
        <v>0</v>
      </c>
      <c r="BK119" s="535">
        <f t="shared" si="322"/>
        <v>1.01</v>
      </c>
      <c r="BL119" s="535">
        <f t="shared" si="323"/>
        <v>1.0112070510905289</v>
      </c>
      <c r="BM119" s="535">
        <f>IF(OR(Sheet1!EP117="FM", Sheet1!EP117="OTHER"),SUM(Sheet1!BG117:'Sheet1'!BI117),0)</f>
        <v>0</v>
      </c>
      <c r="BN119" s="521">
        <f>IF(AND($B119&gt;=$FV119,$B119&lt;=$FW119),MAX(BF119,Sheet1!EI117,0),MAX(BF119-(7/36)*$K119,0))</f>
        <v>0</v>
      </c>
      <c r="BO119" s="535">
        <f t="shared" si="324"/>
        <v>11.557681837798359</v>
      </c>
      <c r="BP119" s="521">
        <f t="shared" si="325"/>
        <v>1.0112070510905289</v>
      </c>
      <c r="BQ119" s="521">
        <f>IF(AND($O119&gt;0,Sheet1!EM117=1),(1-($O119-Sheet1!$L117)/$O119)*BL119,0)</f>
        <v>0</v>
      </c>
      <c r="BR119" s="521">
        <f>IF(AND(Sheet1!$L117=0,Sheet1!$L116=0, Calculation!BK119&lt;Sheet1!$EI117-0.1,Sheet1!$EI117=Sheet1!$EI116,Sheet1!$EI117=Sheet1!$EI118),BL119-BQ119,BL119-BQ119)</f>
        <v>1.0112070510905289</v>
      </c>
      <c r="BS119" s="1035" t="str">
        <f t="shared" si="290"/>
        <v/>
      </c>
      <c r="BT119" s="1035">
        <f t="shared" si="291"/>
        <v>12.568888888888889</v>
      </c>
      <c r="BU119" s="535">
        <f t="shared" si="326"/>
        <v>715.95068512960984</v>
      </c>
      <c r="BV119" s="535"/>
      <c r="BW119" s="535">
        <f ca="1">IF(B119&gt;Summary!$A$1,#N/A,BU119*MGtoAF)</f>
        <v>2196.5367019776431</v>
      </c>
      <c r="BX119" s="535">
        <f>Sheet1!BC117+Sheet1!BD117+Sheet1!BE117+Sheet1!BF117-CG119-CH119</f>
        <v>3.11</v>
      </c>
      <c r="BY119" s="535">
        <f t="shared" si="327"/>
        <v>3.1137167612787571</v>
      </c>
      <c r="BZ119" s="535">
        <f>IF(Sheet1!EQ117="FM",CH119,0)</f>
        <v>0</v>
      </c>
      <c r="CA119" s="535">
        <f t="shared" si="328"/>
        <v>0</v>
      </c>
      <c r="CB119" s="535">
        <f>IF(Sheet1!EQ117="OTHER",CH119,0)</f>
        <v>0</v>
      </c>
      <c r="CC119" s="535">
        <f t="shared" si="329"/>
        <v>0</v>
      </c>
      <c r="CD119" s="535">
        <f t="shared" si="330"/>
        <v>0</v>
      </c>
      <c r="CE119" s="535">
        <f t="shared" si="331"/>
        <v>3.11</v>
      </c>
      <c r="CF119" s="535">
        <f t="shared" si="332"/>
        <v>3.1137167612787571</v>
      </c>
      <c r="CG119" s="535">
        <f>IF(Sheet1!EQ117="CWA",SUM(Sheet1!BC117:'Sheet1'!BF117),0)</f>
        <v>0</v>
      </c>
      <c r="CH119" s="535">
        <f>IF(OR(Sheet1!EQ117="FM", Sheet1!EQ117="OTHER"),SUM(Sheet1!BC117:'Sheet1'!BF117),0)</f>
        <v>0</v>
      </c>
      <c r="CI119" s="521">
        <f>IF(AND($B119&gt;=$FV119,$B119&lt;=$FW119),MAX(CF119,Sheet1!EJ117,0),MAX(CF119-(7/36)*$K119,0))</f>
        <v>0</v>
      </c>
      <c r="CJ119" s="535">
        <f t="shared" si="333"/>
        <v>9.4551721276101315</v>
      </c>
      <c r="CK119" s="521">
        <f t="shared" si="334"/>
        <v>3.1137167612787571</v>
      </c>
      <c r="CL119" s="521">
        <f>IF(AND($O119&gt;0,Sheet1!EN117=1),(1-($O119-Sheet1!$L117)/$O119)*CF119,0)</f>
        <v>0</v>
      </c>
      <c r="CM119" s="521">
        <f>IF(AND(Sheet1!$L117=0,Sheet1!$L116=0, Calculation!CE119&lt;Sheet1!EJ117-0.1,Sheet1!EJ117=Sheet1!EJ116,Sheet1!EJ117=Sheet1!EJ118),CF119-CL119,CF119-CL119)</f>
        <v>3.1137167612787571</v>
      </c>
      <c r="CN119" s="1040" t="str">
        <f t="shared" si="292"/>
        <v/>
      </c>
      <c r="CO119" s="1035">
        <f t="shared" si="293"/>
        <v>12.568888888888889</v>
      </c>
      <c r="CP119" s="535">
        <f t="shared" si="335"/>
        <v>583.5483566710559</v>
      </c>
      <c r="CQ119" s="535"/>
      <c r="CR119" s="535">
        <f ca="1">IF(B119&gt;Summary!$A$1,#N/A,CP119*MGtoAF)</f>
        <v>1790.3263582667996</v>
      </c>
      <c r="CS119" s="535">
        <f>Sheet1!BK117+Sheet1!BL117+Sheet1!BM117-Sheet1!ER117-DA119</f>
        <v>6.4499999999999993</v>
      </c>
      <c r="CT119" s="535">
        <f t="shared" si="336"/>
        <v>6.4577083955781287</v>
      </c>
      <c r="CU119" s="535">
        <f>IF(Sheet1!ER117="FM",DA119,0)</f>
        <v>0</v>
      </c>
      <c r="CV119" s="535">
        <f t="shared" si="337"/>
        <v>0</v>
      </c>
      <c r="CW119" s="535">
        <f>IF(Sheet1!ER117="OTHER",DA119,0)</f>
        <v>0</v>
      </c>
      <c r="CX119" s="535">
        <f t="shared" si="338"/>
        <v>0</v>
      </c>
      <c r="CY119" s="535">
        <f t="shared" si="339"/>
        <v>6.4499999999999993</v>
      </c>
      <c r="CZ119" s="535">
        <f t="shared" si="340"/>
        <v>6.4577083955781287</v>
      </c>
      <c r="DA119" s="535">
        <f>IF(OR(Sheet1!ER117="FM", Sheet1!ER117="OTHER"),SUM(Sheet1!BK117:'Sheet1'!BM117),0)</f>
        <v>0</v>
      </c>
      <c r="DB119" s="1011">
        <f>IF(AND($B119&gt;=$FV119,$B119&lt;=$FW119),MAX($CT119,Sheet1!EK117,0),MAX($CT119-(7/36)*$K119,0))</f>
        <v>0</v>
      </c>
      <c r="DC119" s="1012">
        <f t="shared" si="341"/>
        <v>6.1111804933107603</v>
      </c>
      <c r="DD119" s="1011">
        <f t="shared" si="342"/>
        <v>6.4577083955781287</v>
      </c>
      <c r="DE119" s="521">
        <f>IF(AND($O119&gt;0,Sheet1!EO117=1),(1-($O119-Sheet1!$L117)/$O119)*CZ119,0)</f>
        <v>0</v>
      </c>
      <c r="DF119" s="521">
        <f>IF(AND(Sheet1!$L117=0,Sheet1!$L116=0, Calculation!CY119&lt;Sheet1!$EK117-0.1,Sheet1!$EK117=Sheet1!$EK116,Sheet1!$EK117=Sheet1!$EK118),CZ119-DE119,CZ119-DE119)</f>
        <v>6.4577083955781287</v>
      </c>
      <c r="DG119" s="1040">
        <f t="shared" si="294"/>
        <v>12.568888888888889</v>
      </c>
      <c r="DH119" s="649">
        <f t="shared" si="343"/>
        <v>10.57</v>
      </c>
      <c r="DI119" s="535">
        <f t="shared" si="344"/>
        <v>375.78026543859494</v>
      </c>
      <c r="DJ119" s="649">
        <f t="shared" si="345"/>
        <v>10.582632207947414</v>
      </c>
      <c r="DK119" s="535">
        <f ca="1">IF(B119&gt;Summary!$A$1,#N/A,DI119*MGtoAF)</f>
        <v>1152.8938543656093</v>
      </c>
      <c r="DL119" s="649">
        <f t="shared" si="346"/>
        <v>10.569999999999999</v>
      </c>
      <c r="DM119" s="535">
        <f t="shared" si="347"/>
        <v>33.47</v>
      </c>
      <c r="DN119" s="535">
        <f>Sheet1!AB117-DM119</f>
        <v>3.9999999999999147E-2</v>
      </c>
      <c r="DO119" s="743">
        <f t="shared" si="348"/>
        <v>1.1951000896324813E-3</v>
      </c>
      <c r="DP119" s="535">
        <f>(VLOOKUP(Sheet1!DC117,hhdcap_wcm,4)-(((VLOOKUP(Sheet1!DC117,hhdcap_wcm,3)-Sheet1!DC117)/(VLOOKUP(Sheet1!DC117,hhdcap_wcm,3)-VLOOKUP(Sheet1!DC117,hhdcap_wcm,1)))*(VLOOKUP(Sheet1!DC117,hhdcap_wcm,4)-VLOOKUP(Sheet1!DC117,hhdcap_wcm,2))))</f>
        <v>31577.000000080014</v>
      </c>
      <c r="DQ119" s="535">
        <f t="shared" si="349"/>
        <v>461.39999999952488</v>
      </c>
      <c r="DR119" s="535">
        <f t="shared" si="350"/>
        <v>232.67776096799034</v>
      </c>
      <c r="DS119" s="535">
        <f>Sheet1!EA117*AFtoMG</f>
        <v>0</v>
      </c>
      <c r="DT119" s="535">
        <f>Sheet1!EB117*AFtoMG</f>
        <v>0</v>
      </c>
      <c r="DU119" s="535">
        <f>Sheet1!EC117*AFtoMG</f>
        <v>0</v>
      </c>
      <c r="DV119" s="535">
        <f>Sheet1!ED117*AFtoMG</f>
        <v>0</v>
      </c>
      <c r="DW119" s="535">
        <f t="shared" si="351"/>
        <v>0</v>
      </c>
      <c r="DX119" s="535">
        <f t="shared" si="352"/>
        <v>0</v>
      </c>
      <c r="DY119" s="535">
        <f t="shared" si="353"/>
        <v>3345.1459739059278</v>
      </c>
      <c r="DZ119" s="535">
        <f t="shared" si="354"/>
        <v>10262.907847943387</v>
      </c>
      <c r="EA119" s="535"/>
      <c r="EB119" s="521">
        <f>IF(OR(B119&lt;FV119,B119&gt;FW119),(MIN(BF119+BY119+CT119+MAX(Sheet1!AA117+AQ119-73,0),K119)),0)</f>
        <v>10.582632207947414</v>
      </c>
      <c r="EC119" s="535"/>
      <c r="ED119" s="535">
        <f t="shared" si="355"/>
        <v>10.582632207947414</v>
      </c>
      <c r="EE119" s="535"/>
      <c r="EF119" s="535">
        <f>Sheet1!EH117+Sheet1!EI117+Sheet1!EJ117+Sheet1!EK117</f>
        <v>10.5</v>
      </c>
      <c r="EG119" s="1019">
        <f t="shared" si="295"/>
        <v>16.243500000000001</v>
      </c>
      <c r="EH119" s="521">
        <f t="shared" si="356"/>
        <v>0</v>
      </c>
      <c r="EI119" s="535">
        <f>IF(Sheet1!ET117=1,SUM('Calculations II'!AT119:BA119)+'Calculations II'!BC119+Sheet1!BV117+'Calculations II'!BE119+AP119,'Calculations II'!BK119)</f>
        <v>42.512579792052577</v>
      </c>
      <c r="EJ119" s="535">
        <f ca="1">EI119+'Calculations II'!D119+'Calculations II'!E119+'Calculations II'!O119</f>
        <v>50.997802081113058</v>
      </c>
      <c r="EK119" s="535"/>
      <c r="EL119" s="535"/>
      <c r="EM119" s="535">
        <f t="shared" si="357"/>
        <v>42843</v>
      </c>
      <c r="EN119" s="535">
        <f t="shared" si="358"/>
        <v>54.057367792052588</v>
      </c>
      <c r="EO119" s="535">
        <f t="shared" si="359"/>
        <v>83.626747974305346</v>
      </c>
      <c r="EP119" s="535">
        <v>0</v>
      </c>
      <c r="EQ119" s="535">
        <v>0</v>
      </c>
      <c r="ER119" s="535">
        <v>0</v>
      </c>
      <c r="ES119" s="521">
        <f t="shared" si="257"/>
        <v>-7.6994977351848553</v>
      </c>
      <c r="ET119" s="535">
        <f>-(VLOOKUP(Sheet1!BQ117,Lookup!$O$4:$Q$262,2)-VLOOKUP(Sheet1!BQ116,Lookup!$O$4:$Q$262,2))/1000000</f>
        <v>-8.6673217702417702</v>
      </c>
      <c r="EU119" s="535">
        <f>-(VLOOKUP(Sheet1!BR117,Lookup!$O$4:$Q$262,3)-VLOOKUP(Sheet1!BR116,Lookup!$O$4:$Q$262,3))/1000000</f>
        <v>0.96782403505691517</v>
      </c>
      <c r="EV119" s="535"/>
      <c r="EW119" s="535"/>
      <c r="EX119" s="535"/>
      <c r="EY119" s="535"/>
      <c r="EZ119" s="535"/>
      <c r="FA119" s="535"/>
      <c r="FB119" s="535"/>
      <c r="FC119" s="535"/>
      <c r="FD119" s="567" t="e">
        <f t="shared" si="360"/>
        <v>#N/A</v>
      </c>
      <c r="FE119" s="567" t="e">
        <f t="shared" si="361"/>
        <v>#N/A</v>
      </c>
      <c r="FF119" s="568" t="e">
        <f t="shared" si="362"/>
        <v>#N/A</v>
      </c>
      <c r="FG119" s="569" t="s">
        <v>656</v>
      </c>
      <c r="FH119" s="569" t="s">
        <v>656</v>
      </c>
      <c r="FI119" s="567" t="e">
        <v>#N/A</v>
      </c>
      <c r="FJ119" s="567" t="e">
        <v>#N/A</v>
      </c>
      <c r="FK119" s="535"/>
      <c r="FL119" s="1015">
        <v>0</v>
      </c>
      <c r="FM119" s="535"/>
      <c r="FN119" s="535"/>
      <c r="FO119" s="535">
        <f>O119+((Sheet1!CS117)*GPMtoMGD)</f>
        <v>61.28</v>
      </c>
      <c r="FP119" s="535">
        <f>IF(Sheet1!AA117+AQ119&lt;=Calculation!N119,AQ119,Calculation!N119-Sheet1!AA117)</f>
        <v>22.927367792052582</v>
      </c>
      <c r="FQ119" s="535">
        <f>(Sheet1!BP117+Sheet1!BO117)/694.4</f>
        <v>1.4097062211981568</v>
      </c>
      <c r="FR119" s="541"/>
      <c r="FS119" s="541"/>
      <c r="FT119" s="541"/>
      <c r="FU119" s="541"/>
      <c r="FV119" s="1109">
        <f t="shared" si="258"/>
        <v>42918</v>
      </c>
      <c r="FW119" s="1109">
        <f t="shared" si="259"/>
        <v>43027</v>
      </c>
      <c r="FX119" s="541"/>
      <c r="FY119" s="541">
        <f>Sheet1!DA117-Sheet1!CZ117-Sheet1!AE117</f>
        <v>435.19983999999999</v>
      </c>
      <c r="FZ119" s="535">
        <f t="shared" si="296"/>
        <v>0.27849621391579693</v>
      </c>
      <c r="GA119" s="535"/>
      <c r="GB119" s="535" t="str">
        <f t="shared" si="260"/>
        <v>n</v>
      </c>
      <c r="GC119" s="539">
        <f t="shared" si="261"/>
        <v>42782</v>
      </c>
      <c r="GD119" s="1109">
        <f t="shared" si="262"/>
        <v>42904</v>
      </c>
      <c r="GE119" s="535">
        <f t="shared" si="280"/>
        <v>6520</v>
      </c>
      <c r="GF119" s="1109">
        <f t="shared" si="263"/>
        <v>42909</v>
      </c>
      <c r="GG119" s="535">
        <f t="shared" si="308"/>
        <v>3260</v>
      </c>
      <c r="GH119" s="539">
        <f t="shared" si="264"/>
        <v>43040</v>
      </c>
      <c r="GJ119" s="521">
        <f t="shared" si="265"/>
        <v>0</v>
      </c>
      <c r="GK119" s="535" t="str">
        <f t="shared" si="363"/>
        <v/>
      </c>
      <c r="GL119" s="535">
        <f t="shared" si="266"/>
        <v>0</v>
      </c>
      <c r="GM119" s="535" t="str">
        <f t="shared" si="267"/>
        <v/>
      </c>
      <c r="GN119" s="535">
        <f>IF(GK119="P",Lookup!$M$12,IF(GK119="PP",Lookup!$M$13,IF(GK119="PPP",Lookup!$M$14,IF(GK119="T",Lookup!$M$15,IF(GK119="TP",Lookup!$M$16,IF(GK119="TPP",Lookup!$M$17,IF(GK119="TPPP",Lookup!$M$18,0)))))))*GJ119</f>
        <v>0</v>
      </c>
      <c r="GO119" s="535">
        <f t="shared" si="268"/>
        <v>0</v>
      </c>
      <c r="GP119" s="535">
        <f t="shared" si="364"/>
        <v>5123.1509333333343</v>
      </c>
      <c r="GQ119" s="535">
        <f t="shared" si="279"/>
        <v>1669.866666666667</v>
      </c>
      <c r="GR119" s="535"/>
      <c r="GS119" s="535">
        <f t="shared" si="269"/>
        <v>0</v>
      </c>
      <c r="GT119" s="535" t="str">
        <f t="shared" si="270"/>
        <v/>
      </c>
      <c r="GU119" s="535">
        <f>IF(GK119="P",Lookup!$N$12,IF(GK119="PP",Lookup!$N$13,IF(GK119="PPP",Lookup!$N$14,IF(GK119="T",Lookup!$N$15,IF(GK119="TP",Lookup!$N$16,IF(GK119="TPP",Lookup!$N$17,IF(GK119="TPPP",Lookup!$N$18,0)))))))*GJ119</f>
        <v>0</v>
      </c>
      <c r="GV119" s="535">
        <f t="shared" si="271"/>
        <v>0</v>
      </c>
      <c r="GW119" s="535">
        <f t="shared" si="365"/>
        <v>2196.5367019776431</v>
      </c>
      <c r="GX119" s="535">
        <f t="shared" si="276"/>
        <v>715.95068512960984</v>
      </c>
      <c r="GY119" s="535"/>
      <c r="GZ119" s="535">
        <f t="shared" si="272"/>
        <v>0</v>
      </c>
      <c r="HA119" s="535" t="str">
        <f t="shared" si="273"/>
        <v/>
      </c>
      <c r="HB119" s="535">
        <f>IF(GK119="P",Lookup!$N$12,IF(GK119="PP",Lookup!$N$13,IF(GK119="PPP",Lookup!$N$14,IF(GK119="T",Lookup!$N$15,IF(GK119="TP",Lookup!$N$16,IF(GK119="TPP",Lookup!$N$17,IF(GK119="TPPP",Lookup!$N$18,0)))))))*GJ119</f>
        <v>0</v>
      </c>
      <c r="HC119" s="521">
        <f t="shared" si="366"/>
        <v>0</v>
      </c>
      <c r="HD119" s="535">
        <f t="shared" si="367"/>
        <v>1790.3263582667996</v>
      </c>
      <c r="HE119" s="535">
        <f t="shared" si="277"/>
        <v>583.5483566710559</v>
      </c>
      <c r="HF119" s="535"/>
      <c r="HG119" s="535">
        <f t="shared" si="274"/>
        <v>0</v>
      </c>
      <c r="HH119" s="535" t="str">
        <f t="shared" si="275"/>
        <v/>
      </c>
      <c r="HI119" s="535">
        <f>IF(GK119="P",Lookup!$N$12,IF(GK119="PP",Lookup!$N$13,IF(GK119="PPP",Lookup!$N$14,IF(GK119="T",Lookup!$N$15,IF(GK119="TP",Lookup!$N$16,IF(GK119="TPP",Lookup!$N$17,IF(GK119="TPPP",Lookup!$N$18,0)))))))*GJ119</f>
        <v>0</v>
      </c>
      <c r="HJ119" s="521">
        <f t="shared" si="368"/>
        <v>0</v>
      </c>
      <c r="HK119" s="535">
        <f t="shared" si="369"/>
        <v>1152.8938543656093</v>
      </c>
      <c r="HL119" s="535">
        <f t="shared" si="278"/>
        <v>375.78026543859494</v>
      </c>
      <c r="HM119" s="535"/>
      <c r="HN119" s="541"/>
      <c r="HO119" s="541"/>
      <c r="HP119" s="541"/>
      <c r="HQ119" s="541">
        <f>IF(AND(B119&gt;=$FV$4,B119&lt;=$FW$4),MAX(110/1.02+$HQ$6+MIN(113/1.02,G119),IF($HV$6-(Sheet1!DA117-Sheet1!DB117)+MIN(113/1.02,G119)&lt;G119+FL119,$HV$6-(Sheet1!DA117-Sheet1!DB117)+MIN(113/1.02,G119),G119+FL119)),MIN(110/1.02+$HQ$6+113/1.02,G119))</f>
        <v>218.62745098039215</v>
      </c>
      <c r="HR119" s="541">
        <f t="shared" si="297"/>
        <v>223</v>
      </c>
      <c r="HS119" s="541">
        <f>HR119+(Sheet1!DA117-Sheet1!DB117)</f>
        <v>833</v>
      </c>
      <c r="HT119" s="541">
        <f t="shared" si="298"/>
        <v>78.448369999999997</v>
      </c>
      <c r="HU119" s="541">
        <f t="shared" si="299"/>
        <v>754.55163000000005</v>
      </c>
      <c r="HV119" s="541">
        <f t="shared" si="300"/>
        <v>0</v>
      </c>
      <c r="HW119" s="533" t="str">
        <f t="shared" si="301"/>
        <v/>
      </c>
      <c r="HX119" s="541">
        <f t="shared" si="302"/>
        <v>1111.372549019608</v>
      </c>
      <c r="HY119" s="541">
        <f>Sheet1!CZ117</f>
        <v>1330</v>
      </c>
      <c r="HZ119" s="541">
        <f t="shared" si="303"/>
        <v>0</v>
      </c>
      <c r="IA119" s="541">
        <f t="shared" si="304"/>
        <v>78.448369999999997</v>
      </c>
      <c r="IB119" s="541">
        <f t="shared" si="305"/>
        <v>1330</v>
      </c>
      <c r="IC119" s="1019" t="str">
        <f t="shared" si="306"/>
        <v/>
      </c>
      <c r="ID119" s="541">
        <f t="shared" si="307"/>
        <v>1251.5516299999999</v>
      </c>
      <c r="IE119" s="541">
        <f>Sheet1!DB117</f>
        <v>1250</v>
      </c>
      <c r="IF119" s="533">
        <f>Sheet1!DA117</f>
        <v>1860</v>
      </c>
      <c r="IH119" s="541">
        <f>IF(AND($B119&gt;=$GC119,$B119&lt;=$GH119,$DR119&lt;0)+N("only adjusted when pool is drawn down during storage season"),Sheet1!$DB117+$DR119+N("Palmer minus all storage release"),Sheet1!$DB117)</f>
        <v>1250</v>
      </c>
      <c r="II119" s="541">
        <f>IF(AND($B119&gt;=$GC119,$B119&lt;=$GH119,$DR119&lt;0)+N("only adjusted when pool is drawn down during storage season"),Sheet1!$DA117+$DR119+N("Auburn minus all storage release"),Sheet1!$DA117)</f>
        <v>1860</v>
      </c>
    </row>
    <row r="120" spans="1:243" x14ac:dyDescent="0.25">
      <c r="A120" s="553" t="s">
        <v>6</v>
      </c>
      <c r="B120" s="531">
        <v>42844</v>
      </c>
      <c r="C120" s="536">
        <v>0</v>
      </c>
      <c r="D120" s="506">
        <f t="shared" si="247"/>
        <v>300</v>
      </c>
      <c r="E120" s="506">
        <f t="shared" si="248"/>
        <v>250</v>
      </c>
      <c r="F120" s="506">
        <v>250</v>
      </c>
      <c r="G120" s="535">
        <f>DR120+Sheet1!CZ118</f>
        <v>1732.761976803931</v>
      </c>
      <c r="H120" s="1074">
        <f t="shared" si="370"/>
        <v>816.97683475199995</v>
      </c>
      <c r="I120" s="534">
        <f>IF(Sheet1!DA118&gt;=E120,(Sheet1!DA118-E120+P120)*CFStoMGD,0)</f>
        <v>1279.7992347519998</v>
      </c>
      <c r="J120" s="995">
        <f>IF(Sheet1!DB118&gt;=D120,(Sheet1!DB118-D120+P120)*CFStoMGD,0)</f>
        <v>816.97683475199995</v>
      </c>
      <c r="K120" s="818">
        <f t="shared" si="282"/>
        <v>64.64</v>
      </c>
      <c r="L120" s="535">
        <f>Sheet1!AA118+Sheet1!AB118-Sheet1!L118+(Sheet1!DA118-F120)*CFStoMGD-S120-T120-U120</f>
        <v>1215.1604</v>
      </c>
      <c r="M120" s="535">
        <f t="shared" si="309"/>
        <v>1142.4584886421824</v>
      </c>
      <c r="N120" s="824">
        <f>IF(Sheet1!DA118&gt;=F120,MIN(113*CFStoMGD,MIN(MAX(L120,0),MAX(M120,0))),0)</f>
        <v>73.043199999999999</v>
      </c>
      <c r="O120" s="538">
        <f>Sheet1!AA118+Sheet1!AB118</f>
        <v>60.69</v>
      </c>
      <c r="P120" s="538">
        <f t="shared" si="310"/>
        <v>93.887429999999995</v>
      </c>
      <c r="Q120" s="812">
        <f t="shared" si="283"/>
        <v>50.239999999999995</v>
      </c>
      <c r="R120" s="812">
        <f t="shared" si="249"/>
        <v>10.493606557377047</v>
      </c>
      <c r="S120" s="812">
        <f t="shared" si="250"/>
        <v>10.450000000000001</v>
      </c>
      <c r="T120" s="812">
        <f t="shared" si="251"/>
        <v>54.19</v>
      </c>
      <c r="U120" s="812">
        <f t="shared" si="284"/>
        <v>0</v>
      </c>
      <c r="V120" s="812"/>
      <c r="W120" s="812">
        <f t="shared" si="252"/>
        <v>54.146393442622951</v>
      </c>
      <c r="X120" s="812">
        <f t="shared" si="253"/>
        <v>64.64</v>
      </c>
      <c r="Y120" s="812" t="str">
        <f t="shared" si="254"/>
        <v>FALSE</v>
      </c>
      <c r="Z120" s="812">
        <f t="shared" si="255"/>
        <v>60.69</v>
      </c>
      <c r="AA120" s="812">
        <f t="shared" si="256"/>
        <v>60.69</v>
      </c>
      <c r="AB120" s="1059">
        <f t="shared" si="285"/>
        <v>77.721279999999993</v>
      </c>
      <c r="AC120" s="538">
        <f>Sheet1!Y118*MGDtoCFS</f>
        <v>42.960189999999997</v>
      </c>
      <c r="AD120" s="538">
        <f>Sheet1!Z118*MGDtoCFS</f>
        <v>51.839969999999994</v>
      </c>
      <c r="AE120" s="538">
        <f>Sheet1!AA118*MGDtoCFS</f>
        <v>41.768999999999998</v>
      </c>
      <c r="AF120" s="538">
        <f>Sheet1!AB118*MGDtoCFS</f>
        <v>52.118429999999996</v>
      </c>
      <c r="AG120" s="538">
        <f>Sheet1!L118*MGDtoCFS</f>
        <v>0</v>
      </c>
      <c r="AH120" s="521">
        <f t="shared" si="311"/>
        <v>0</v>
      </c>
      <c r="AI120" s="1059">
        <f t="shared" si="312"/>
        <v>0</v>
      </c>
      <c r="AJ120" s="535">
        <f t="shared" si="313"/>
        <v>54.146393442622951</v>
      </c>
      <c r="AK120" s="535">
        <f t="shared" si="314"/>
        <v>83.764470655737696</v>
      </c>
      <c r="AL120" s="535">
        <f>(VLOOKUP(Sheet1!DC118,hhdcap_wcm,4)-(((VLOOKUP(Sheet1!DC118,hhdcap_wcm,3)-Sheet1!DC118)/(VLOOKUP(Sheet1!DC118,hhdcap_wcm,3)-VLOOKUP(Sheet1!DC118,hhdcap_wcm,1)))*(VLOOKUP(Sheet1!DC118,hhdcap_wcm,4)-VLOOKUP(Sheet1!DC118,hhdcap_wcm,2))))</f>
        <v>31941.400000082209</v>
      </c>
      <c r="AM120" s="535">
        <f t="shared" si="315"/>
        <v>364.40000000219516</v>
      </c>
      <c r="AN120" s="1035">
        <f t="shared" si="316"/>
        <v>3399.2923673485507</v>
      </c>
      <c r="AO120" s="535">
        <f t="shared" si="317"/>
        <v>10429.028983025353</v>
      </c>
      <c r="AP120" s="535">
        <f>Sheet1!BA118+Sheet1!BB118+Sheet1!BN118+CD120</f>
        <v>23.1</v>
      </c>
      <c r="AQ120" s="535">
        <f>Sheet1!BN118+(DO120*Sheet1!BN118)</f>
        <v>23.196393442622949</v>
      </c>
      <c r="AR120" s="535">
        <f>Sheet1!BA118+CD120</f>
        <v>0</v>
      </c>
      <c r="AS120" s="535">
        <f>Sheet1!BA118+Sheet1!BB118+CD120</f>
        <v>0</v>
      </c>
      <c r="AT120" s="649">
        <f>0</f>
        <v>0</v>
      </c>
      <c r="AU120" s="535">
        <f>IF(EB120&lt;K120,0,MAX(Sheet1!AA118+AQ120-15/36*K120-N120,Sheet1!EH118,0))</f>
        <v>0</v>
      </c>
      <c r="AV120" s="535">
        <f>IF(OR(B120&gt;=GD120,B120&lt;GC120),0,15/36*K120-MAX(0,64.6-(137.6-(Sheet1!AA118+Sheet1!AB118))))</f>
        <v>26.933333333333334</v>
      </c>
      <c r="AW120" s="1029"/>
      <c r="AX120" s="649"/>
      <c r="AY120" s="649">
        <f t="shared" si="286"/>
        <v>0</v>
      </c>
      <c r="AZ120" s="649">
        <f t="shared" si="287"/>
        <v>0</v>
      </c>
      <c r="BA120" s="1059">
        <f t="shared" si="288"/>
        <v>0</v>
      </c>
      <c r="BB120" s="1019">
        <f t="shared" si="318"/>
        <v>1696.8000000000004</v>
      </c>
      <c r="BC120" s="1041">
        <f t="shared" si="289"/>
        <v>26.933333333333334</v>
      </c>
      <c r="BD120" s="1019">
        <f ca="1">IF(B120&gt;Summary!$A$1,#N/A,BB120*MGtoAF)</f>
        <v>5205.782400000001</v>
      </c>
      <c r="BE120" s="535">
        <f>Sheet1!BG118+Sheet1!BH118+Sheet1!BI118-BM120</f>
        <v>1.01</v>
      </c>
      <c r="BF120" s="535">
        <f t="shared" si="319"/>
        <v>1.014214605067064</v>
      </c>
      <c r="BG120" s="535">
        <f>IF(Sheet1!EP118="FM",BM120,0)</f>
        <v>0</v>
      </c>
      <c r="BH120" s="535">
        <f t="shared" si="320"/>
        <v>0</v>
      </c>
      <c r="BI120" s="535">
        <f>IF(Sheet1!EP118="OTHER",BM120,0)</f>
        <v>0</v>
      </c>
      <c r="BJ120" s="535">
        <f t="shared" si="321"/>
        <v>0</v>
      </c>
      <c r="BK120" s="535">
        <f t="shared" si="322"/>
        <v>1.01</v>
      </c>
      <c r="BL120" s="535">
        <f t="shared" si="323"/>
        <v>1.014214605067064</v>
      </c>
      <c r="BM120" s="535">
        <f>IF(OR(Sheet1!EP118="FM", Sheet1!EP118="OTHER"),SUM(Sheet1!BG118:'Sheet1'!BI118),0)</f>
        <v>0</v>
      </c>
      <c r="BN120" s="521">
        <f>IF(AND($B120&gt;=$FV120,$B120&lt;=$FW120),MAX(BF120,Sheet1!EI118,0),MAX(BF120-(7/36)*$K120,0))</f>
        <v>0</v>
      </c>
      <c r="BO120" s="535">
        <f t="shared" si="324"/>
        <v>11.554674283821825</v>
      </c>
      <c r="BP120" s="521">
        <f t="shared" si="325"/>
        <v>1.014214605067064</v>
      </c>
      <c r="BQ120" s="521">
        <f>IF(AND($O120&gt;0,Sheet1!EM118=1),(1-($O120-Sheet1!$L118)/$O120)*BL120,0)</f>
        <v>0</v>
      </c>
      <c r="BR120" s="521">
        <f>IF(AND(Sheet1!$L118=0,Sheet1!$L117=0, Calculation!BK120&lt;Sheet1!$EI118-0.1,Sheet1!$EI118=Sheet1!$EI117,Sheet1!$EI118=Sheet1!$EI119),BL120-BQ120,BL120-BQ120)</f>
        <v>1.014214605067064</v>
      </c>
      <c r="BS120" s="1035" t="str">
        <f t="shared" si="290"/>
        <v/>
      </c>
      <c r="BT120" s="1035">
        <f t="shared" si="291"/>
        <v>12.568888888888889</v>
      </c>
      <c r="BU120" s="535">
        <f t="shared" si="326"/>
        <v>727.50535941343162</v>
      </c>
      <c r="BV120" s="535"/>
      <c r="BW120" s="535">
        <f ca="1">IF(B120&gt;Summary!$A$1,#N/A,BU120*MGtoAF)</f>
        <v>2231.9864426804083</v>
      </c>
      <c r="BX120" s="535">
        <f>Sheet1!BC118+Sheet1!BD118+Sheet1!BE118+Sheet1!BF118-CG120-CH120</f>
        <v>2.99</v>
      </c>
      <c r="BY120" s="535">
        <f t="shared" si="327"/>
        <v>3.002476900149031</v>
      </c>
      <c r="BZ120" s="535">
        <f>IF(Sheet1!EQ118="FM",CH120,0)</f>
        <v>0</v>
      </c>
      <c r="CA120" s="535">
        <f t="shared" si="328"/>
        <v>0</v>
      </c>
      <c r="CB120" s="535">
        <f>IF(Sheet1!EQ118="OTHER",CH120,0)</f>
        <v>0</v>
      </c>
      <c r="CC120" s="535">
        <f t="shared" si="329"/>
        <v>0</v>
      </c>
      <c r="CD120" s="535">
        <f t="shared" si="330"/>
        <v>0</v>
      </c>
      <c r="CE120" s="535">
        <f t="shared" si="331"/>
        <v>2.99</v>
      </c>
      <c r="CF120" s="535">
        <f t="shared" si="332"/>
        <v>3.002476900149031</v>
      </c>
      <c r="CG120" s="535">
        <f>IF(Sheet1!EQ118="CWA",SUM(Sheet1!BC118:'Sheet1'!BF118),0)</f>
        <v>0</v>
      </c>
      <c r="CH120" s="535">
        <f>IF(OR(Sheet1!EQ118="FM", Sheet1!EQ118="OTHER"),SUM(Sheet1!BC118:'Sheet1'!BF118),0)</f>
        <v>0</v>
      </c>
      <c r="CI120" s="521">
        <f>IF(AND($B120&gt;=$FV120,$B120&lt;=$FW120),MAX(CF120,Sheet1!EJ118,0),MAX(CF120-(7/36)*$K120,0))</f>
        <v>0</v>
      </c>
      <c r="CJ120" s="535">
        <f t="shared" si="333"/>
        <v>9.5664119887398584</v>
      </c>
      <c r="CK120" s="521">
        <f t="shared" si="334"/>
        <v>3.002476900149031</v>
      </c>
      <c r="CL120" s="521">
        <f>IF(AND($O120&gt;0,Sheet1!EN118=1),(1-($O120-Sheet1!$L118)/$O120)*CF120,0)</f>
        <v>0</v>
      </c>
      <c r="CM120" s="521">
        <f>IF(AND(Sheet1!$L118=0,Sheet1!$L117=0, Calculation!CE120&lt;Sheet1!EJ118-0.1,Sheet1!EJ118=Sheet1!EJ117,Sheet1!EJ118=Sheet1!EJ119),CF120-CL120,CF120-CL120)</f>
        <v>3.002476900149031</v>
      </c>
      <c r="CN120" s="1040" t="str">
        <f t="shared" si="292"/>
        <v/>
      </c>
      <c r="CO120" s="1035">
        <f t="shared" si="293"/>
        <v>12.568888888888889</v>
      </c>
      <c r="CP120" s="535">
        <f t="shared" si="335"/>
        <v>593.1147686597958</v>
      </c>
      <c r="CQ120" s="535"/>
      <c r="CR120" s="535">
        <f ca="1">IF(B120&gt;Summary!$A$1,#N/A,CP120*MGtoAF)</f>
        <v>1819.6761102482535</v>
      </c>
      <c r="CS120" s="535">
        <f>Sheet1!BK118+Sheet1!BL118+Sheet1!BM118-Sheet1!ER118-DA120</f>
        <v>6.45</v>
      </c>
      <c r="CT120" s="535">
        <f t="shared" si="336"/>
        <v>6.4769150521609529</v>
      </c>
      <c r="CU120" s="535">
        <f>IF(Sheet1!ER118="FM",DA120,0)</f>
        <v>0</v>
      </c>
      <c r="CV120" s="535">
        <f t="shared" si="337"/>
        <v>0</v>
      </c>
      <c r="CW120" s="535">
        <f>IF(Sheet1!ER118="OTHER",DA120,0)</f>
        <v>0</v>
      </c>
      <c r="CX120" s="535">
        <f t="shared" si="338"/>
        <v>0</v>
      </c>
      <c r="CY120" s="535">
        <f t="shared" si="339"/>
        <v>6.45</v>
      </c>
      <c r="CZ120" s="535">
        <f t="shared" si="340"/>
        <v>6.4769150521609529</v>
      </c>
      <c r="DA120" s="535">
        <f>IF(OR(Sheet1!ER118="FM", Sheet1!ER118="OTHER"),SUM(Sheet1!BK118:'Sheet1'!BM118),0)</f>
        <v>0</v>
      </c>
      <c r="DB120" s="1011">
        <f>IF(AND($B120&gt;=$FV120,$B120&lt;=$FW120),MAX($CT120,Sheet1!EK118,0),MAX($CT120-(7/36)*$K120,0))</f>
        <v>0</v>
      </c>
      <c r="DC120" s="1012">
        <f t="shared" si="341"/>
        <v>6.0919738367279361</v>
      </c>
      <c r="DD120" s="1011">
        <f t="shared" si="342"/>
        <v>6.4769150521609529</v>
      </c>
      <c r="DE120" s="521">
        <f>IF(AND($O120&gt;0,Sheet1!EO118=1),(1-($O120-Sheet1!$L118)/$O120)*CZ120,0)</f>
        <v>0</v>
      </c>
      <c r="DF120" s="521">
        <f>IF(AND(Sheet1!$L118=0,Sheet1!$L117=0, Calculation!CY120&lt;Sheet1!$EK118-0.1,Sheet1!$EK118=Sheet1!$EK117,Sheet1!$EK118=Sheet1!$EK119),CZ120-DE120,CZ120-DE120)</f>
        <v>6.4769150521609529</v>
      </c>
      <c r="DG120" s="1040">
        <f t="shared" si="294"/>
        <v>12.568888888888889</v>
      </c>
      <c r="DH120" s="649">
        <f t="shared" si="343"/>
        <v>10.45</v>
      </c>
      <c r="DI120" s="535">
        <f t="shared" si="344"/>
        <v>381.8722392753229</v>
      </c>
      <c r="DJ120" s="649">
        <f t="shared" si="345"/>
        <v>10.493606557377047</v>
      </c>
      <c r="DK120" s="535">
        <f ca="1">IF(B120&gt;Summary!$A$1,#N/A,DI120*MGtoAF)</f>
        <v>1171.5840300966906</v>
      </c>
      <c r="DL120" s="649">
        <f t="shared" si="346"/>
        <v>10.450000000000001</v>
      </c>
      <c r="DM120" s="535">
        <f t="shared" si="347"/>
        <v>33.550000000000004</v>
      </c>
      <c r="DN120" s="535">
        <f>Sheet1!AB118-DM120</f>
        <v>0.13999999999999346</v>
      </c>
      <c r="DO120" s="743">
        <f t="shared" si="348"/>
        <v>4.1728763040236498E-3</v>
      </c>
      <c r="DP120" s="535">
        <f>(VLOOKUP(Sheet1!DC118,hhdcap_wcm,4)-(((VLOOKUP(Sheet1!DC118,hhdcap_wcm,3)-Sheet1!DC118)/(VLOOKUP(Sheet1!DC118,hhdcap_wcm,3)-VLOOKUP(Sheet1!DC118,hhdcap_wcm,1)))*(VLOOKUP(Sheet1!DC118,hhdcap_wcm,4)-VLOOKUP(Sheet1!DC118,hhdcap_wcm,2))))</f>
        <v>31941.400000082209</v>
      </c>
      <c r="DQ120" s="535">
        <f t="shared" si="349"/>
        <v>364.40000000219516</v>
      </c>
      <c r="DR120" s="535">
        <f t="shared" si="350"/>
        <v>183.76197680393096</v>
      </c>
      <c r="DS120" s="535">
        <f>Sheet1!EA118*AFtoMG</f>
        <v>0</v>
      </c>
      <c r="DT120" s="535">
        <f>Sheet1!EB118*AFtoMG</f>
        <v>0</v>
      </c>
      <c r="DU120" s="535">
        <f>Sheet1!EC118*AFtoMG</f>
        <v>0</v>
      </c>
      <c r="DV120" s="535">
        <f>Sheet1!ED118*AFtoMG</f>
        <v>0</v>
      </c>
      <c r="DW120" s="535">
        <f t="shared" si="351"/>
        <v>0</v>
      </c>
      <c r="DX120" s="535">
        <f t="shared" si="352"/>
        <v>0</v>
      </c>
      <c r="DY120" s="535">
        <f t="shared" si="353"/>
        <v>3399.2923673485507</v>
      </c>
      <c r="DZ120" s="535">
        <f t="shared" si="354"/>
        <v>10429.028983025353</v>
      </c>
      <c r="EA120" s="535"/>
      <c r="EB120" s="521">
        <f>IF(OR(B120&lt;FV120,B120&gt;FW120),(MIN(BF120+BY120+CT120+MAX(Sheet1!AA118+AQ120-73,0),K120)),0)</f>
        <v>10.493606557377047</v>
      </c>
      <c r="EC120" s="535"/>
      <c r="ED120" s="535">
        <f t="shared" si="355"/>
        <v>10.493606557377047</v>
      </c>
      <c r="EE120" s="535"/>
      <c r="EF120" s="535">
        <f>Sheet1!EH118+Sheet1!EI118+Sheet1!EJ118+Sheet1!EK118</f>
        <v>10.5</v>
      </c>
      <c r="EG120" s="1019">
        <f t="shared" si="295"/>
        <v>16.243500000000001</v>
      </c>
      <c r="EH120" s="521">
        <f t="shared" si="356"/>
        <v>0</v>
      </c>
      <c r="EI120" s="535">
        <f>IF(Sheet1!ET118=1,SUM('Calculations II'!AT120:BA120)+'Calculations II'!BC120+Sheet1!BV118+'Calculations II'!BE120+AP120,'Calculations II'!BK120)</f>
        <v>45.148771442622945</v>
      </c>
      <c r="EJ120" s="535">
        <f ca="1">EI120+'Calculations II'!D120+'Calculations II'!E120+'Calculations II'!O120</f>
        <v>50.222661992007453</v>
      </c>
      <c r="EK120" s="535"/>
      <c r="EL120" s="535"/>
      <c r="EM120" s="535">
        <f t="shared" si="357"/>
        <v>42844</v>
      </c>
      <c r="EN120" s="535">
        <f t="shared" si="358"/>
        <v>54.146393442622951</v>
      </c>
      <c r="EO120" s="535">
        <f t="shared" si="359"/>
        <v>83.764470655737696</v>
      </c>
      <c r="EP120" s="535">
        <v>0</v>
      </c>
      <c r="EQ120" s="535">
        <v>0</v>
      </c>
      <c r="ER120" s="535">
        <v>0</v>
      </c>
      <c r="ES120" s="521">
        <f t="shared" si="257"/>
        <v>-5.6558653174286206</v>
      </c>
      <c r="ET120" s="535">
        <f>-(VLOOKUP(Sheet1!BQ118,Lookup!$O$4:$Q$262,2)-VLOOKUP(Sheet1!BQ117,Lookup!$O$4:$Q$262,2))/1000000</f>
        <v>-6.899749527172772</v>
      </c>
      <c r="EU120" s="535">
        <f>-(VLOOKUP(Sheet1!BR118,Lookup!$O$4:$Q$262,3)-VLOOKUP(Sheet1!BR117,Lookup!$O$4:$Q$262,3))/1000000</f>
        <v>1.2438842097441516</v>
      </c>
      <c r="EV120" s="535"/>
      <c r="EW120" s="535"/>
      <c r="EX120" s="535"/>
      <c r="EY120" s="535"/>
      <c r="EZ120" s="535"/>
      <c r="FA120" s="535"/>
      <c r="FB120" s="535"/>
      <c r="FC120" s="535"/>
      <c r="FD120" s="567" t="e">
        <f t="shared" si="360"/>
        <v>#N/A</v>
      </c>
      <c r="FE120" s="567" t="e">
        <f t="shared" si="361"/>
        <v>#N/A</v>
      </c>
      <c r="FF120" s="568" t="e">
        <f t="shared" si="362"/>
        <v>#N/A</v>
      </c>
      <c r="FG120" s="569" t="s">
        <v>656</v>
      </c>
      <c r="FH120" s="569" t="s">
        <v>656</v>
      </c>
      <c r="FI120" s="567" t="e">
        <v>#N/A</v>
      </c>
      <c r="FJ120" s="567" t="e">
        <v>#N/A</v>
      </c>
      <c r="FK120" s="535"/>
      <c r="FL120" s="1015">
        <v>0</v>
      </c>
      <c r="FM120" s="535"/>
      <c r="FN120" s="535"/>
      <c r="FO120" s="535">
        <f>O120+((Sheet1!CS118)*GPMtoMGD)</f>
        <v>60.69</v>
      </c>
      <c r="FP120" s="535">
        <f>IF(Sheet1!AA118+AQ120&lt;=Calculation!N120,AQ120,Calculation!N120-Sheet1!AA118)</f>
        <v>23.196393442622949</v>
      </c>
      <c r="FQ120" s="535">
        <f>(Sheet1!BP118+Sheet1!BO118)/694.4</f>
        <v>1.3191244239631337</v>
      </c>
      <c r="FR120" s="541"/>
      <c r="FS120" s="541"/>
      <c r="FT120" s="541"/>
      <c r="FU120" s="541"/>
      <c r="FV120" s="1109">
        <f t="shared" si="258"/>
        <v>42918</v>
      </c>
      <c r="FW120" s="1109">
        <f t="shared" si="259"/>
        <v>43027</v>
      </c>
      <c r="FX120" s="541"/>
      <c r="FY120" s="541">
        <f>Sheet1!DA118-Sheet1!CZ118-Sheet1!AE118</f>
        <v>493.11257000000001</v>
      </c>
      <c r="FZ120" s="535">
        <f t="shared" si="296"/>
        <v>0.28458182751074856</v>
      </c>
      <c r="GA120" s="535"/>
      <c r="GB120" s="535" t="str">
        <f t="shared" si="260"/>
        <v>n</v>
      </c>
      <c r="GC120" s="539">
        <f t="shared" si="261"/>
        <v>42782</v>
      </c>
      <c r="GD120" s="1109">
        <f t="shared" si="262"/>
        <v>42904</v>
      </c>
      <c r="GE120" s="535">
        <f t="shared" si="280"/>
        <v>6520</v>
      </c>
      <c r="GF120" s="1109">
        <f t="shared" si="263"/>
        <v>42909</v>
      </c>
      <c r="GG120" s="535">
        <f t="shared" si="308"/>
        <v>3260</v>
      </c>
      <c r="GH120" s="539">
        <f t="shared" si="264"/>
        <v>43040</v>
      </c>
      <c r="GJ120" s="521">
        <f t="shared" si="265"/>
        <v>0</v>
      </c>
      <c r="GK120" s="535" t="str">
        <f t="shared" si="363"/>
        <v/>
      </c>
      <c r="GL120" s="535">
        <f t="shared" si="266"/>
        <v>0</v>
      </c>
      <c r="GM120" s="535" t="str">
        <f t="shared" si="267"/>
        <v/>
      </c>
      <c r="GN120" s="535">
        <f>IF(GK120="P",Lookup!$M$12,IF(GK120="PP",Lookup!$M$13,IF(GK120="PPP",Lookup!$M$14,IF(GK120="T",Lookup!$M$15,IF(GK120="TP",Lookup!$M$16,IF(GK120="TPP",Lookup!$M$17,IF(GK120="TPPP",Lookup!$M$18,0)))))))*GJ120</f>
        <v>0</v>
      </c>
      <c r="GO120" s="535">
        <f t="shared" si="268"/>
        <v>0</v>
      </c>
      <c r="GP120" s="535">
        <f t="shared" si="364"/>
        <v>5205.782400000001</v>
      </c>
      <c r="GQ120" s="535">
        <f t="shared" si="279"/>
        <v>1696.8000000000004</v>
      </c>
      <c r="GR120" s="535"/>
      <c r="GS120" s="535">
        <f t="shared" si="269"/>
        <v>0</v>
      </c>
      <c r="GT120" s="535" t="str">
        <f t="shared" si="270"/>
        <v/>
      </c>
      <c r="GU120" s="535">
        <f>IF(GK120="P",Lookup!$N$12,IF(GK120="PP",Lookup!$N$13,IF(GK120="PPP",Lookup!$N$14,IF(GK120="T",Lookup!$N$15,IF(GK120="TP",Lookup!$N$16,IF(GK120="TPP",Lookup!$N$17,IF(GK120="TPPP",Lookup!$N$18,0)))))))*GJ120</f>
        <v>0</v>
      </c>
      <c r="GV120" s="535">
        <f t="shared" si="271"/>
        <v>0</v>
      </c>
      <c r="GW120" s="535">
        <f t="shared" si="365"/>
        <v>2231.9864426804083</v>
      </c>
      <c r="GX120" s="535">
        <f t="shared" si="276"/>
        <v>727.50535941343162</v>
      </c>
      <c r="GY120" s="535"/>
      <c r="GZ120" s="535">
        <f t="shared" si="272"/>
        <v>0</v>
      </c>
      <c r="HA120" s="535" t="str">
        <f t="shared" si="273"/>
        <v/>
      </c>
      <c r="HB120" s="535">
        <f>IF(GK120="P",Lookup!$N$12,IF(GK120="PP",Lookup!$N$13,IF(GK120="PPP",Lookup!$N$14,IF(GK120="T",Lookup!$N$15,IF(GK120="TP",Lookup!$N$16,IF(GK120="TPP",Lookup!$N$17,IF(GK120="TPPP",Lookup!$N$18,0)))))))*GJ120</f>
        <v>0</v>
      </c>
      <c r="HC120" s="521">
        <f t="shared" si="366"/>
        <v>0</v>
      </c>
      <c r="HD120" s="535">
        <f t="shared" si="367"/>
        <v>1819.6761102482535</v>
      </c>
      <c r="HE120" s="535">
        <f t="shared" si="277"/>
        <v>593.1147686597958</v>
      </c>
      <c r="HF120" s="535"/>
      <c r="HG120" s="535">
        <f t="shared" si="274"/>
        <v>0</v>
      </c>
      <c r="HH120" s="535" t="str">
        <f t="shared" si="275"/>
        <v/>
      </c>
      <c r="HI120" s="535">
        <f>IF(GK120="P",Lookup!$N$12,IF(GK120="PP",Lookup!$N$13,IF(GK120="PPP",Lookup!$N$14,IF(GK120="T",Lookup!$N$15,IF(GK120="TP",Lookup!$N$16,IF(GK120="TPP",Lookup!$N$17,IF(GK120="TPPP",Lookup!$N$18,0)))))))*GJ120</f>
        <v>0</v>
      </c>
      <c r="HJ120" s="521">
        <f t="shared" si="368"/>
        <v>0</v>
      </c>
      <c r="HK120" s="535">
        <f t="shared" si="369"/>
        <v>1171.5840300966906</v>
      </c>
      <c r="HL120" s="535">
        <f t="shared" si="278"/>
        <v>381.8722392753229</v>
      </c>
      <c r="HM120" s="535"/>
      <c r="HN120" s="541"/>
      <c r="HO120" s="541"/>
      <c r="HP120" s="541"/>
      <c r="HQ120" s="541">
        <f>IF(AND(B120&gt;=$FV$4,B120&lt;=$FW$4),MAX(110/1.02+$HQ$6+MIN(113/1.02,G120),IF($HV$6-(Sheet1!DA118-Sheet1!DB118)+MIN(113/1.02,G120)&lt;G120+FL120,$HV$6-(Sheet1!DA118-Sheet1!DB118)+MIN(113/1.02,G120),G120+FL120)),MIN(110/1.02+$HQ$6+113/1.02,G120))</f>
        <v>218.62745098039215</v>
      </c>
      <c r="HR120" s="541">
        <f t="shared" si="297"/>
        <v>223</v>
      </c>
      <c r="HS120" s="541">
        <f>HR120+(Sheet1!DA118-Sheet1!DB118)</f>
        <v>889</v>
      </c>
      <c r="HT120" s="541">
        <f t="shared" si="298"/>
        <v>77.721279999999993</v>
      </c>
      <c r="HU120" s="541">
        <f t="shared" si="299"/>
        <v>811.27872000000002</v>
      </c>
      <c r="HV120" s="541">
        <f t="shared" si="300"/>
        <v>0</v>
      </c>
      <c r="HW120" s="533" t="str">
        <f t="shared" si="301"/>
        <v/>
      </c>
      <c r="HX120" s="541">
        <f t="shared" si="302"/>
        <v>1330.372549019608</v>
      </c>
      <c r="HY120" s="541">
        <f>Sheet1!CZ118</f>
        <v>1549</v>
      </c>
      <c r="HZ120" s="541">
        <f t="shared" si="303"/>
        <v>0</v>
      </c>
      <c r="IA120" s="541">
        <f t="shared" si="304"/>
        <v>77.721279999999993</v>
      </c>
      <c r="IB120" s="541">
        <f t="shared" si="305"/>
        <v>1549</v>
      </c>
      <c r="IC120" s="1019" t="str">
        <f t="shared" si="306"/>
        <v/>
      </c>
      <c r="ID120" s="541">
        <f t="shared" si="307"/>
        <v>1471.27872</v>
      </c>
      <c r="IE120" s="541">
        <f>Sheet1!DB118</f>
        <v>1470</v>
      </c>
      <c r="IF120" s="533">
        <f>Sheet1!DA118</f>
        <v>2136</v>
      </c>
      <c r="IH120" s="541">
        <f>IF(AND($B120&gt;=$GC120,$B120&lt;=$GH120,$DR120&lt;0)+N("only adjusted when pool is drawn down during storage season"),Sheet1!$DB118+$DR120+N("Palmer minus all storage release"),Sheet1!$DB118)</f>
        <v>1470</v>
      </c>
      <c r="II120" s="541">
        <f>IF(AND($B120&gt;=$GC120,$B120&lt;=$GH120,$DR120&lt;0)+N("only adjusted when pool is drawn down during storage season"),Sheet1!$DA118+$DR120+N("Auburn minus all storage release"),Sheet1!$DA118)</f>
        <v>2136</v>
      </c>
    </row>
    <row r="121" spans="1:243" x14ac:dyDescent="0.25">
      <c r="A121" s="553" t="s">
        <v>7</v>
      </c>
      <c r="B121" s="531">
        <v>42845</v>
      </c>
      <c r="C121" s="536">
        <v>0</v>
      </c>
      <c r="D121" s="506">
        <f t="shared" si="247"/>
        <v>300</v>
      </c>
      <c r="E121" s="506">
        <f t="shared" si="248"/>
        <v>250</v>
      </c>
      <c r="F121" s="506">
        <v>250</v>
      </c>
      <c r="G121" s="535">
        <f>DR121+Sheet1!CZ119</f>
        <v>1720.4573877959215</v>
      </c>
      <c r="H121" s="1074">
        <f t="shared" si="370"/>
        <v>814.95099775999995</v>
      </c>
      <c r="I121" s="534">
        <f>IF(Sheet1!DA119&gt;=E121,(Sheet1!DA119-E121+P121)*CFStoMGD,0)</f>
        <v>1321.0821977599999</v>
      </c>
      <c r="J121" s="995">
        <f>IF(Sheet1!DB119&gt;=D121,(Sheet1!DB119-D121+P121)*CFStoMGD,0)</f>
        <v>814.95099775999995</v>
      </c>
      <c r="K121" s="818">
        <f t="shared" si="282"/>
        <v>64.64</v>
      </c>
      <c r="L121" s="535">
        <f>Sheet1!AA119+Sheet1!AB119-Sheet1!L119+(Sheet1!DA119-F121)*CFStoMGD-S121-T121-U121</f>
        <v>1256.4431999999999</v>
      </c>
      <c r="M121" s="535">
        <f t="shared" si="309"/>
        <v>1134.3457285807094</v>
      </c>
      <c r="N121" s="824">
        <f>IF(Sheet1!DA119&gt;=F121,MIN(113*CFStoMGD,MIN(MAX(L121,0),MAX(M121,0))),0)</f>
        <v>73.043199999999999</v>
      </c>
      <c r="O121" s="538">
        <f>Sheet1!AA119+Sheet1!AB119</f>
        <v>52.2</v>
      </c>
      <c r="P121" s="538">
        <f t="shared" si="310"/>
        <v>80.753399999999999</v>
      </c>
      <c r="Q121" s="812">
        <f t="shared" si="283"/>
        <v>41.71</v>
      </c>
      <c r="R121" s="812">
        <f t="shared" si="249"/>
        <v>10.454627201198953</v>
      </c>
      <c r="S121" s="812">
        <f t="shared" si="250"/>
        <v>10.49</v>
      </c>
      <c r="T121" s="812">
        <f t="shared" si="251"/>
        <v>54.15</v>
      </c>
      <c r="U121" s="812">
        <f t="shared" si="284"/>
        <v>0</v>
      </c>
      <c r="V121" s="812"/>
      <c r="W121" s="812">
        <f t="shared" si="252"/>
        <v>54.185372798801048</v>
      </c>
      <c r="X121" s="812">
        <f t="shared" si="253"/>
        <v>64.64</v>
      </c>
      <c r="Y121" s="812" t="str">
        <f t="shared" si="254"/>
        <v>FALSE</v>
      </c>
      <c r="Z121" s="812">
        <f t="shared" si="255"/>
        <v>52.2</v>
      </c>
      <c r="AA121" s="812">
        <f t="shared" si="256"/>
        <v>52.2</v>
      </c>
      <c r="AB121" s="1059">
        <f t="shared" si="285"/>
        <v>64.525369999999995</v>
      </c>
      <c r="AC121" s="538">
        <f>Sheet1!Y119*MGDtoCFS</f>
        <v>41.768999999999998</v>
      </c>
      <c r="AD121" s="538">
        <f>Sheet1!Z119*MGDtoCFS</f>
        <v>52.118429999999996</v>
      </c>
      <c r="AE121" s="538">
        <f>Sheet1!AA119*MGDtoCFS</f>
        <v>39.603200000000001</v>
      </c>
      <c r="AF121" s="538">
        <f>Sheet1!AB119*MGDtoCFS</f>
        <v>41.150199999999998</v>
      </c>
      <c r="AG121" s="538">
        <f>Sheet1!L119*MGDtoCFS</f>
        <v>0</v>
      </c>
      <c r="AH121" s="521">
        <f t="shared" si="311"/>
        <v>0</v>
      </c>
      <c r="AI121" s="1059">
        <f t="shared" si="312"/>
        <v>0</v>
      </c>
      <c r="AJ121" s="535">
        <f t="shared" si="313"/>
        <v>54.185372798801048</v>
      </c>
      <c r="AK121" s="535">
        <f t="shared" si="314"/>
        <v>83.824771719745215</v>
      </c>
      <c r="AL121" s="535">
        <f>(VLOOKUP(Sheet1!DC119,hhdcap_wcm,4)-(((VLOOKUP(Sheet1!DC119,hhdcap_wcm,3)-Sheet1!DC119)/(VLOOKUP(Sheet1!DC119,hhdcap_wcm,3)-VLOOKUP(Sheet1!DC119,hhdcap_wcm,1)))*(VLOOKUP(Sheet1!DC119,hhdcap_wcm,4)-VLOOKUP(Sheet1!DC119,hhdcap_wcm,2))))</f>
        <v>32281.400000081521</v>
      </c>
      <c r="AM121" s="535">
        <f t="shared" si="315"/>
        <v>339.99999999931242</v>
      </c>
      <c r="AN121" s="1035">
        <f t="shared" si="316"/>
        <v>3453.4777401473521</v>
      </c>
      <c r="AO121" s="535">
        <f t="shared" si="317"/>
        <v>10595.269706772076</v>
      </c>
      <c r="AP121" s="535">
        <f>Sheet1!BA119+Sheet1!BB119+Sheet1!BN119+CD121</f>
        <v>16.2</v>
      </c>
      <c r="AQ121" s="535">
        <f>Sheet1!BN119+(DO121*Sheet1!BN119)</f>
        <v>16.145372798801052</v>
      </c>
      <c r="AR121" s="535">
        <f>Sheet1!BA119+CD121</f>
        <v>0</v>
      </c>
      <c r="AS121" s="535">
        <f>Sheet1!BA119+Sheet1!BB119+CD121</f>
        <v>0</v>
      </c>
      <c r="AT121" s="649">
        <f>0</f>
        <v>0</v>
      </c>
      <c r="AU121" s="535">
        <f>IF(EB121&lt;K121,0,MAX(Sheet1!AA119+AQ121-15/36*K121-N121,Sheet1!EH119,0))</f>
        <v>0</v>
      </c>
      <c r="AV121" s="535">
        <f>IF(OR(B121&gt;=GD121,B121&lt;GC121),0,15/36*K121-MAX(0,64.6-(137.6-(Sheet1!AA119+Sheet1!AB119))))</f>
        <v>26.933333333333334</v>
      </c>
      <c r="AW121" s="1029"/>
      <c r="AX121" s="649"/>
      <c r="AY121" s="649">
        <f t="shared" si="286"/>
        <v>0</v>
      </c>
      <c r="AZ121" s="649">
        <f t="shared" si="287"/>
        <v>0</v>
      </c>
      <c r="BA121" s="1059">
        <f t="shared" si="288"/>
        <v>0</v>
      </c>
      <c r="BB121" s="1019">
        <f t="shared" si="318"/>
        <v>1723.7333333333338</v>
      </c>
      <c r="BC121" s="1041">
        <f t="shared" si="289"/>
        <v>26.933333333333334</v>
      </c>
      <c r="BD121" s="1019">
        <f ca="1">IF(B121&gt;Summary!$A$1,#N/A,BB121*MGtoAF)</f>
        <v>5288.4138666666686</v>
      </c>
      <c r="BE121" s="535">
        <f>Sheet1!BG119+Sheet1!BH119+Sheet1!BI119-BM121</f>
        <v>1.01</v>
      </c>
      <c r="BF121" s="535">
        <f t="shared" si="319"/>
        <v>1.0065942300487076</v>
      </c>
      <c r="BG121" s="535">
        <f>IF(Sheet1!EP119="FM",BM121,0)</f>
        <v>0</v>
      </c>
      <c r="BH121" s="535">
        <f t="shared" si="320"/>
        <v>0</v>
      </c>
      <c r="BI121" s="535">
        <f>IF(Sheet1!EP119="OTHER",BM121,0)</f>
        <v>0</v>
      </c>
      <c r="BJ121" s="535">
        <f t="shared" si="321"/>
        <v>0</v>
      </c>
      <c r="BK121" s="535">
        <f t="shared" si="322"/>
        <v>1.01</v>
      </c>
      <c r="BL121" s="535">
        <f t="shared" si="323"/>
        <v>1.0065942300487076</v>
      </c>
      <c r="BM121" s="535">
        <f>IF(OR(Sheet1!EP119="FM", Sheet1!EP119="OTHER"),SUM(Sheet1!BG119:'Sheet1'!BI119),0)</f>
        <v>0</v>
      </c>
      <c r="BN121" s="521">
        <f>IF(AND($B121&gt;=$FV121,$B121&lt;=$FW121),MAX(BF121,Sheet1!EI119,0),MAX(BF121-(7/36)*$K121,0))</f>
        <v>0</v>
      </c>
      <c r="BO121" s="535">
        <f t="shared" si="324"/>
        <v>11.562294658840182</v>
      </c>
      <c r="BP121" s="521">
        <f t="shared" si="325"/>
        <v>1.0065942300487076</v>
      </c>
      <c r="BQ121" s="521">
        <f>IF(AND($O121&gt;0,Sheet1!EM119=1),(1-($O121-Sheet1!$L119)/$O121)*BL121,0)</f>
        <v>0</v>
      </c>
      <c r="BR121" s="521">
        <f>IF(AND(Sheet1!$L119=0,Sheet1!$L118=0, Calculation!BK121&lt;Sheet1!$EI119-0.1,Sheet1!$EI119=Sheet1!$EI118,Sheet1!$EI119=Sheet1!$EI120),BL121-BQ121,BL121-BQ121)</f>
        <v>1.0065942300487076</v>
      </c>
      <c r="BS121" s="1035" t="str">
        <f t="shared" si="290"/>
        <v/>
      </c>
      <c r="BT121" s="1035">
        <f t="shared" si="291"/>
        <v>12.568888888888889</v>
      </c>
      <c r="BU121" s="535">
        <f t="shared" si="326"/>
        <v>739.06765407227181</v>
      </c>
      <c r="BV121" s="535"/>
      <c r="BW121" s="535">
        <f ca="1">IF(B121&gt;Summary!$A$1,#N/A,BU121*MGtoAF)</f>
        <v>2267.4595626937298</v>
      </c>
      <c r="BX121" s="535">
        <f>Sheet1!BC119+Sheet1!BD119+Sheet1!BE119+Sheet1!BF119-CG121-CH121</f>
        <v>3</v>
      </c>
      <c r="BY121" s="535">
        <f t="shared" si="327"/>
        <v>2.9898838516298243</v>
      </c>
      <c r="BZ121" s="535">
        <f>IF(Sheet1!EQ119="FM",CH121,0)</f>
        <v>0</v>
      </c>
      <c r="CA121" s="535">
        <f t="shared" si="328"/>
        <v>0</v>
      </c>
      <c r="CB121" s="535">
        <f>IF(Sheet1!EQ119="OTHER",CH121,0)</f>
        <v>0</v>
      </c>
      <c r="CC121" s="535">
        <f t="shared" si="329"/>
        <v>0</v>
      </c>
      <c r="CD121" s="535">
        <f t="shared" si="330"/>
        <v>0</v>
      </c>
      <c r="CE121" s="535">
        <f t="shared" si="331"/>
        <v>3</v>
      </c>
      <c r="CF121" s="535">
        <f t="shared" si="332"/>
        <v>2.9898838516298243</v>
      </c>
      <c r="CG121" s="535">
        <f>IF(Sheet1!EQ119="CWA",SUM(Sheet1!BC119:'Sheet1'!BF119),0)</f>
        <v>0</v>
      </c>
      <c r="CH121" s="535">
        <f>IF(OR(Sheet1!EQ119="FM", Sheet1!EQ119="OTHER"),SUM(Sheet1!BC119:'Sheet1'!BF119),0)</f>
        <v>0</v>
      </c>
      <c r="CI121" s="521">
        <f>IF(AND($B121&gt;=$FV121,$B121&lt;=$FW121),MAX(CF121,Sheet1!EJ119,0),MAX(CF121-(7/36)*$K121,0))</f>
        <v>0</v>
      </c>
      <c r="CJ121" s="535">
        <f t="shared" si="333"/>
        <v>9.5790050372590656</v>
      </c>
      <c r="CK121" s="521">
        <f t="shared" si="334"/>
        <v>2.9898838516298243</v>
      </c>
      <c r="CL121" s="521">
        <f>IF(AND($O121&gt;0,Sheet1!EN119=1),(1-($O121-Sheet1!$L119)/$O121)*CF121,0)</f>
        <v>0</v>
      </c>
      <c r="CM121" s="521">
        <f>IF(AND(Sheet1!$L119=0,Sheet1!$L118=0, Calculation!CE121&lt;Sheet1!EJ119-0.1,Sheet1!EJ119=Sheet1!EJ118,Sheet1!EJ119=Sheet1!EJ120),CF121-CL121,CF121-CL121)</f>
        <v>2.9898838516298243</v>
      </c>
      <c r="CN121" s="1040" t="str">
        <f t="shared" si="292"/>
        <v/>
      </c>
      <c r="CO121" s="1035">
        <f t="shared" si="293"/>
        <v>12.568888888888889</v>
      </c>
      <c r="CP121" s="535">
        <f t="shared" si="335"/>
        <v>602.69377369705489</v>
      </c>
      <c r="CQ121" s="535"/>
      <c r="CR121" s="535">
        <f ca="1">IF(B121&gt;Summary!$A$1,#N/A,CP121*MGtoAF)</f>
        <v>1849.0644977025645</v>
      </c>
      <c r="CS121" s="535">
        <f>Sheet1!BK119+Sheet1!BL119+Sheet1!BM119-Sheet1!ER119-DA121</f>
        <v>6.48</v>
      </c>
      <c r="CT121" s="535">
        <f t="shared" si="336"/>
        <v>6.4581491195204208</v>
      </c>
      <c r="CU121" s="535">
        <f>IF(Sheet1!ER119="FM",DA121,0)</f>
        <v>0</v>
      </c>
      <c r="CV121" s="535">
        <f t="shared" si="337"/>
        <v>0</v>
      </c>
      <c r="CW121" s="535">
        <f>IF(Sheet1!ER119="OTHER",DA121,0)</f>
        <v>0</v>
      </c>
      <c r="CX121" s="535">
        <f t="shared" si="338"/>
        <v>0</v>
      </c>
      <c r="CY121" s="535">
        <f t="shared" si="339"/>
        <v>6.48</v>
      </c>
      <c r="CZ121" s="535">
        <f t="shared" si="340"/>
        <v>6.4581491195204208</v>
      </c>
      <c r="DA121" s="535">
        <f>IF(OR(Sheet1!ER119="FM", Sheet1!ER119="OTHER"),SUM(Sheet1!BK119:'Sheet1'!BM119),0)</f>
        <v>0</v>
      </c>
      <c r="DB121" s="1011">
        <f>IF(AND($B121&gt;=$FV121,$B121&lt;=$FW121),MAX($CT121,Sheet1!EK119,0),MAX($CT121-(7/36)*$K121,0))</f>
        <v>0</v>
      </c>
      <c r="DC121" s="1012">
        <f t="shared" si="341"/>
        <v>6.1107397693684682</v>
      </c>
      <c r="DD121" s="1011">
        <f t="shared" si="342"/>
        <v>6.4581491195204208</v>
      </c>
      <c r="DE121" s="521">
        <f>IF(AND($O121&gt;0,Sheet1!EO119=1),(1-($O121-Sheet1!$L119)/$O121)*CZ121,0)</f>
        <v>0</v>
      </c>
      <c r="DF121" s="521">
        <f>IF(AND(Sheet1!$L119=0,Sheet1!$L118=0, Calculation!CY121&lt;Sheet1!$EK119-0.1,Sheet1!$EK119=Sheet1!$EK118,Sheet1!$EK119=Sheet1!$EK120),CZ121-DE121,CZ121-DE121)</f>
        <v>6.4581491195204208</v>
      </c>
      <c r="DG121" s="1040">
        <f t="shared" si="294"/>
        <v>12.568888888888889</v>
      </c>
      <c r="DH121" s="649">
        <f t="shared" si="343"/>
        <v>10.49</v>
      </c>
      <c r="DI121" s="535">
        <f t="shared" si="344"/>
        <v>387.98297904469138</v>
      </c>
      <c r="DJ121" s="649">
        <f t="shared" si="345"/>
        <v>10.454627201198953</v>
      </c>
      <c r="DK121" s="535">
        <f ca="1">IF(B121&gt;Summary!$A$1,#N/A,DI121*MGtoAF)</f>
        <v>1190.3317797091131</v>
      </c>
      <c r="DL121" s="649">
        <f t="shared" si="346"/>
        <v>10.49</v>
      </c>
      <c r="DM121" s="535">
        <f t="shared" si="347"/>
        <v>26.689999999999998</v>
      </c>
      <c r="DN121" s="535">
        <f>Sheet1!AB119-DM121</f>
        <v>-8.9999999999996305E-2</v>
      </c>
      <c r="DO121" s="743">
        <f t="shared" si="348"/>
        <v>-3.3720494567252273E-3</v>
      </c>
      <c r="DP121" s="535">
        <f>(VLOOKUP(Sheet1!DC119,hhdcap_wcm,4)-(((VLOOKUP(Sheet1!DC119,hhdcap_wcm,3)-Sheet1!DC119)/(VLOOKUP(Sheet1!DC119,hhdcap_wcm,3)-VLOOKUP(Sheet1!DC119,hhdcap_wcm,1)))*(VLOOKUP(Sheet1!DC119,hhdcap_wcm,4)-VLOOKUP(Sheet1!DC119,hhdcap_wcm,2))))</f>
        <v>32281.400000081521</v>
      </c>
      <c r="DQ121" s="535">
        <f t="shared" si="349"/>
        <v>339.99999999931242</v>
      </c>
      <c r="DR121" s="535">
        <f t="shared" si="350"/>
        <v>171.45738779592153</v>
      </c>
      <c r="DS121" s="535">
        <f>Sheet1!EA119*AFtoMG</f>
        <v>0</v>
      </c>
      <c r="DT121" s="535">
        <f>Sheet1!EB119*AFtoMG</f>
        <v>0</v>
      </c>
      <c r="DU121" s="535">
        <f>Sheet1!EC119*AFtoMG</f>
        <v>0</v>
      </c>
      <c r="DV121" s="535">
        <f>Sheet1!ED119*AFtoMG</f>
        <v>0</v>
      </c>
      <c r="DW121" s="535">
        <f t="shared" si="351"/>
        <v>0</v>
      </c>
      <c r="DX121" s="535">
        <f t="shared" si="352"/>
        <v>0</v>
      </c>
      <c r="DY121" s="535">
        <f t="shared" si="353"/>
        <v>3453.4777401473521</v>
      </c>
      <c r="DZ121" s="535">
        <f t="shared" si="354"/>
        <v>10595.269706772076</v>
      </c>
      <c r="EA121" s="535"/>
      <c r="EB121" s="521">
        <f>IF(OR(B121&lt;FV121,B121&gt;FW121),(MIN(BF121+BY121+CT121+MAX(Sheet1!AA119+AQ121-73,0),K121)),0)</f>
        <v>10.454627201198953</v>
      </c>
      <c r="EC121" s="535"/>
      <c r="ED121" s="535">
        <f t="shared" si="355"/>
        <v>10.454627201198953</v>
      </c>
      <c r="EE121" s="535"/>
      <c r="EF121" s="535">
        <f>Sheet1!EH119+Sheet1!EI119+Sheet1!EJ119+Sheet1!EK119</f>
        <v>10.5</v>
      </c>
      <c r="EG121" s="1019">
        <f t="shared" si="295"/>
        <v>16.243500000000001</v>
      </c>
      <c r="EH121" s="521">
        <f t="shared" si="356"/>
        <v>0</v>
      </c>
      <c r="EI121" s="535">
        <f>IF(Sheet1!ET119=1,SUM('Calculations II'!AT121:BA121)+'Calculations II'!BC121+Sheet1!BV119+'Calculations II'!BE121+AP121,'Calculations II'!BK121)</f>
        <v>45.490874798801052</v>
      </c>
      <c r="EJ121" s="535">
        <f ca="1">EI121+'Calculations II'!D121+'Calculations II'!E121+'Calculations II'!O121</f>
        <v>44.305563110865144</v>
      </c>
      <c r="EK121" s="535"/>
      <c r="EL121" s="535"/>
      <c r="EM121" s="535">
        <f t="shared" si="357"/>
        <v>42845</v>
      </c>
      <c r="EN121" s="535">
        <f t="shared" si="358"/>
        <v>54.185372798801048</v>
      </c>
      <c r="EO121" s="535">
        <f t="shared" si="359"/>
        <v>83.824771719745215</v>
      </c>
      <c r="EP121" s="535">
        <v>0</v>
      </c>
      <c r="EQ121" s="535">
        <v>0</v>
      </c>
      <c r="ER121" s="535">
        <v>0</v>
      </c>
      <c r="ES121" s="521">
        <f t="shared" si="257"/>
        <v>-0.41457045340565218</v>
      </c>
      <c r="ET121" s="535">
        <f>-(VLOOKUP(Sheet1!BQ119,Lookup!$O$4:$Q$262,2)-VLOOKUP(Sheet1!BQ118,Lookup!$O$4:$Q$262,2))/1000000</f>
        <v>0</v>
      </c>
      <c r="EU121" s="535">
        <f>-(VLOOKUP(Sheet1!BR119,Lookup!$O$4:$Q$262,3)-VLOOKUP(Sheet1!BR118,Lookup!$O$4:$Q$262,3))/1000000</f>
        <v>-0.41457045340565218</v>
      </c>
      <c r="EV121" s="535"/>
      <c r="EW121" s="535"/>
      <c r="EX121" s="535"/>
      <c r="EY121" s="535"/>
      <c r="EZ121" s="535"/>
      <c r="FA121" s="535"/>
      <c r="FB121" s="535"/>
      <c r="FC121" s="535"/>
      <c r="FD121" s="567" t="e">
        <f t="shared" si="360"/>
        <v>#N/A</v>
      </c>
      <c r="FE121" s="567" t="e">
        <f t="shared" si="361"/>
        <v>#N/A</v>
      </c>
      <c r="FF121" s="568" t="e">
        <f t="shared" si="362"/>
        <v>#N/A</v>
      </c>
      <c r="FG121" s="569" t="s">
        <v>656</v>
      </c>
      <c r="FH121" s="569" t="s">
        <v>656</v>
      </c>
      <c r="FI121" s="567" t="e">
        <v>#N/A</v>
      </c>
      <c r="FJ121" s="567" t="e">
        <v>#N/A</v>
      </c>
      <c r="FK121" s="535"/>
      <c r="FL121" s="1015">
        <v>0</v>
      </c>
      <c r="FM121" s="535"/>
      <c r="FN121" s="535"/>
      <c r="FO121" s="535">
        <f>O121+((Sheet1!CS119)*GPMtoMGD)</f>
        <v>56.031840000000003</v>
      </c>
      <c r="FP121" s="535">
        <f>IF(Sheet1!AA119+AQ121&lt;=Calculation!N121,AQ121,Calculation!N121-Sheet1!AA119)</f>
        <v>16.145372798801052</v>
      </c>
      <c r="FQ121" s="535">
        <f>(Sheet1!BP119+Sheet1!BO119)/694.4</f>
        <v>1.5430587557603688</v>
      </c>
      <c r="FR121" s="541"/>
      <c r="FS121" s="541"/>
      <c r="FT121" s="541"/>
      <c r="FU121" s="541"/>
      <c r="FV121" s="1109">
        <f t="shared" si="258"/>
        <v>42918</v>
      </c>
      <c r="FW121" s="1109">
        <f t="shared" si="259"/>
        <v>43027</v>
      </c>
      <c r="FX121" s="541"/>
      <c r="FY121" s="541">
        <f>Sheet1!DA119-Sheet1!CZ119-Sheet1!AE119</f>
        <v>583.24659999999994</v>
      </c>
      <c r="FZ121" s="535">
        <f t="shared" si="296"/>
        <v>0.3390067107370775</v>
      </c>
      <c r="GA121" s="535"/>
      <c r="GB121" s="535" t="str">
        <f t="shared" si="260"/>
        <v>n</v>
      </c>
      <c r="GC121" s="539">
        <f t="shared" si="261"/>
        <v>42782</v>
      </c>
      <c r="GD121" s="1109">
        <f t="shared" si="262"/>
        <v>42904</v>
      </c>
      <c r="GE121" s="535">
        <f t="shared" si="280"/>
        <v>6520</v>
      </c>
      <c r="GF121" s="1109">
        <f t="shared" si="263"/>
        <v>42909</v>
      </c>
      <c r="GG121" s="535">
        <f t="shared" si="308"/>
        <v>3260</v>
      </c>
      <c r="GH121" s="539">
        <f t="shared" si="264"/>
        <v>43040</v>
      </c>
      <c r="GJ121" s="521">
        <f t="shared" si="265"/>
        <v>0</v>
      </c>
      <c r="GK121" s="535" t="str">
        <f t="shared" si="363"/>
        <v/>
      </c>
      <c r="GL121" s="535">
        <f t="shared" si="266"/>
        <v>0</v>
      </c>
      <c r="GM121" s="535" t="str">
        <f t="shared" si="267"/>
        <v/>
      </c>
      <c r="GN121" s="535">
        <f>IF(GK121="P",Lookup!$M$12,IF(GK121="PP",Lookup!$M$13,IF(GK121="PPP",Lookup!$M$14,IF(GK121="T",Lookup!$M$15,IF(GK121="TP",Lookup!$M$16,IF(GK121="TPP",Lookup!$M$17,IF(GK121="TPPP",Lookup!$M$18,0)))))))*GJ121</f>
        <v>0</v>
      </c>
      <c r="GO121" s="535">
        <f t="shared" si="268"/>
        <v>0</v>
      </c>
      <c r="GP121" s="535">
        <f t="shared" si="364"/>
        <v>5288.4138666666686</v>
      </c>
      <c r="GQ121" s="535">
        <f t="shared" si="279"/>
        <v>1723.7333333333338</v>
      </c>
      <c r="GR121" s="535"/>
      <c r="GS121" s="535">
        <f t="shared" si="269"/>
        <v>0</v>
      </c>
      <c r="GT121" s="535" t="str">
        <f t="shared" si="270"/>
        <v/>
      </c>
      <c r="GU121" s="535">
        <f>IF(GK121="P",Lookup!$N$12,IF(GK121="PP",Lookup!$N$13,IF(GK121="PPP",Lookup!$N$14,IF(GK121="T",Lookup!$N$15,IF(GK121="TP",Lookup!$N$16,IF(GK121="TPP",Lookup!$N$17,IF(GK121="TPPP",Lookup!$N$18,0)))))))*GJ121</f>
        <v>0</v>
      </c>
      <c r="GV121" s="535">
        <f t="shared" si="271"/>
        <v>0</v>
      </c>
      <c r="GW121" s="535">
        <f t="shared" si="365"/>
        <v>2267.4595626937298</v>
      </c>
      <c r="GX121" s="535">
        <f t="shared" si="276"/>
        <v>739.06765407227181</v>
      </c>
      <c r="GY121" s="535"/>
      <c r="GZ121" s="535">
        <f t="shared" si="272"/>
        <v>0</v>
      </c>
      <c r="HA121" s="535" t="str">
        <f t="shared" si="273"/>
        <v/>
      </c>
      <c r="HB121" s="535">
        <f>IF(GK121="P",Lookup!$N$12,IF(GK121="PP",Lookup!$N$13,IF(GK121="PPP",Lookup!$N$14,IF(GK121="T",Lookup!$N$15,IF(GK121="TP",Lookup!$N$16,IF(GK121="TPP",Lookup!$N$17,IF(GK121="TPPP",Lookup!$N$18,0)))))))*GJ121</f>
        <v>0</v>
      </c>
      <c r="HC121" s="521">
        <f t="shared" si="366"/>
        <v>0</v>
      </c>
      <c r="HD121" s="535">
        <f t="shared" si="367"/>
        <v>1849.0644977025645</v>
      </c>
      <c r="HE121" s="535">
        <f t="shared" si="277"/>
        <v>602.69377369705489</v>
      </c>
      <c r="HF121" s="535"/>
      <c r="HG121" s="535">
        <f t="shared" si="274"/>
        <v>0</v>
      </c>
      <c r="HH121" s="535" t="str">
        <f t="shared" si="275"/>
        <v/>
      </c>
      <c r="HI121" s="535">
        <f>IF(GK121="P",Lookup!$N$12,IF(GK121="PP",Lookup!$N$13,IF(GK121="PPP",Lookup!$N$14,IF(GK121="T",Lookup!$N$15,IF(GK121="TP",Lookup!$N$16,IF(GK121="TPP",Lookup!$N$17,IF(GK121="TPPP",Lookup!$N$18,0)))))))*GJ121</f>
        <v>0</v>
      </c>
      <c r="HJ121" s="521">
        <f t="shared" si="368"/>
        <v>0</v>
      </c>
      <c r="HK121" s="535">
        <f t="shared" si="369"/>
        <v>1190.3317797091131</v>
      </c>
      <c r="HL121" s="535">
        <f t="shared" si="278"/>
        <v>387.98297904469138</v>
      </c>
      <c r="HM121" s="535"/>
      <c r="HN121" s="541"/>
      <c r="HO121" s="541"/>
      <c r="HP121" s="541"/>
      <c r="HQ121" s="541">
        <f>IF(AND(B121&gt;=$FV$4,B121&lt;=$FW$4),MAX(110/1.02+$HQ$6+MIN(113/1.02,G121),IF($HV$6-(Sheet1!DA119-Sheet1!DB119)+MIN(113/1.02,G121)&lt;G121+FL121,$HV$6-(Sheet1!DA119-Sheet1!DB119)+MIN(113/1.02,G121),G121+FL121)),MIN(110/1.02+$HQ$6+113/1.02,G121))</f>
        <v>218.62745098039215</v>
      </c>
      <c r="HR121" s="541">
        <f t="shared" si="297"/>
        <v>223</v>
      </c>
      <c r="HS121" s="541">
        <f>HR121+(Sheet1!DA119-Sheet1!DB119)</f>
        <v>956</v>
      </c>
      <c r="HT121" s="541">
        <f t="shared" si="298"/>
        <v>64.525369999999995</v>
      </c>
      <c r="HU121" s="541">
        <f t="shared" si="299"/>
        <v>891.47463000000005</v>
      </c>
      <c r="HV121" s="541">
        <f t="shared" si="300"/>
        <v>0</v>
      </c>
      <c r="HW121" s="533" t="str">
        <f t="shared" si="301"/>
        <v/>
      </c>
      <c r="HX121" s="541">
        <f t="shared" si="302"/>
        <v>1330.372549019608</v>
      </c>
      <c r="HY121" s="541">
        <f>Sheet1!CZ119</f>
        <v>1549</v>
      </c>
      <c r="HZ121" s="541">
        <f t="shared" si="303"/>
        <v>0</v>
      </c>
      <c r="IA121" s="541">
        <f t="shared" si="304"/>
        <v>64.525369999999995</v>
      </c>
      <c r="IB121" s="541">
        <f t="shared" si="305"/>
        <v>1549</v>
      </c>
      <c r="IC121" s="1019" t="str">
        <f t="shared" si="306"/>
        <v/>
      </c>
      <c r="ID121" s="541">
        <f t="shared" si="307"/>
        <v>1484.4746299999999</v>
      </c>
      <c r="IE121" s="541">
        <f>Sheet1!DB119</f>
        <v>1480</v>
      </c>
      <c r="IF121" s="533">
        <f>Sheet1!DA119</f>
        <v>2213</v>
      </c>
      <c r="IH121" s="541">
        <f>IF(AND($B121&gt;=$GC121,$B121&lt;=$GH121,$DR121&lt;0)+N("only adjusted when pool is drawn down during storage season"),Sheet1!$DB119+$DR121+N("Palmer minus all storage release"),Sheet1!$DB119)</f>
        <v>1480</v>
      </c>
      <c r="II121" s="541">
        <f>IF(AND($B121&gt;=$GC121,$B121&lt;=$GH121,$DR121&lt;0)+N("only adjusted when pool is drawn down during storage season"),Sheet1!$DA119+$DR121+N("Auburn minus all storage release"),Sheet1!$DA119)</f>
        <v>2213</v>
      </c>
    </row>
    <row r="122" spans="1:243" x14ac:dyDescent="0.25">
      <c r="A122" s="553" t="s">
        <v>8</v>
      </c>
      <c r="B122" s="531">
        <v>42846</v>
      </c>
      <c r="C122" s="536">
        <v>0</v>
      </c>
      <c r="D122" s="506">
        <f t="shared" si="247"/>
        <v>300</v>
      </c>
      <c r="E122" s="506">
        <f t="shared" si="248"/>
        <v>250</v>
      </c>
      <c r="F122" s="506">
        <v>250</v>
      </c>
      <c r="G122" s="535">
        <f>DR122+Sheet1!CZ120</f>
        <v>2058.4720121035375</v>
      </c>
      <c r="H122" s="1074">
        <f t="shared" si="370"/>
        <v>980.4250474879999</v>
      </c>
      <c r="I122" s="534">
        <f>IF(Sheet1!DA120&gt;=E122,(Sheet1!DA120-E122+P122)*CFStoMGD,0)</f>
        <v>1452.2970474879999</v>
      </c>
      <c r="J122" s="995">
        <f>IF(Sheet1!DB120&gt;=D122,(Sheet1!DB120-D122+P122)*CFStoMGD,0)</f>
        <v>980.4250474879999</v>
      </c>
      <c r="K122" s="818">
        <f t="shared" si="282"/>
        <v>64.64</v>
      </c>
      <c r="L122" s="535">
        <f>Sheet1!AA120+Sheet1!AB120-Sheet1!L120+(Sheet1!DA120-F122)*CFStoMGD-S122-T122-U122</f>
        <v>1387.6579999999999</v>
      </c>
      <c r="M122" s="535">
        <f t="shared" si="309"/>
        <v>1357.2082347962012</v>
      </c>
      <c r="N122" s="824">
        <f>IF(Sheet1!DA120&gt;=F122,MIN(113*CFStoMGD,MIN(MAX(L122,0),MAX(M122,0))),0)</f>
        <v>73.043199999999999</v>
      </c>
      <c r="O122" s="538">
        <f>Sheet1!AA120+Sheet1!AB120</f>
        <v>49.61</v>
      </c>
      <c r="P122" s="538">
        <f t="shared" si="310"/>
        <v>76.746669999999995</v>
      </c>
      <c r="Q122" s="812">
        <f t="shared" si="283"/>
        <v>38.81</v>
      </c>
      <c r="R122" s="812">
        <f t="shared" si="249"/>
        <v>10.7865</v>
      </c>
      <c r="S122" s="812">
        <f t="shared" si="250"/>
        <v>10.8</v>
      </c>
      <c r="T122" s="812">
        <f t="shared" si="251"/>
        <v>53.84</v>
      </c>
      <c r="U122" s="812">
        <f t="shared" si="284"/>
        <v>0</v>
      </c>
      <c r="V122" s="812"/>
      <c r="W122" s="812">
        <f t="shared" si="252"/>
        <v>53.853499999999997</v>
      </c>
      <c r="X122" s="812">
        <f t="shared" si="253"/>
        <v>64.64</v>
      </c>
      <c r="Y122" s="812" t="str">
        <f t="shared" si="254"/>
        <v>FALSE</v>
      </c>
      <c r="Z122" s="812">
        <f t="shared" si="255"/>
        <v>49.61</v>
      </c>
      <c r="AA122" s="812">
        <f t="shared" si="256"/>
        <v>49.61</v>
      </c>
      <c r="AB122" s="1059">
        <f t="shared" si="285"/>
        <v>60.039070000000002</v>
      </c>
      <c r="AC122" s="538">
        <f>Sheet1!Y120*MGDtoCFS</f>
        <v>39.603200000000001</v>
      </c>
      <c r="AD122" s="538">
        <f>Sheet1!Z120*MGDtoCFS</f>
        <v>41.150199999999998</v>
      </c>
      <c r="AE122" s="538">
        <f>Sheet1!AA120*MGDtoCFS</f>
        <v>39.665079999999996</v>
      </c>
      <c r="AF122" s="538">
        <f>Sheet1!AB120*MGDtoCFS</f>
        <v>37.081589999999998</v>
      </c>
      <c r="AG122" s="538">
        <f>Sheet1!L120*MGDtoCFS</f>
        <v>0</v>
      </c>
      <c r="AH122" s="521">
        <f t="shared" si="311"/>
        <v>0</v>
      </c>
      <c r="AI122" s="1059">
        <f t="shared" si="312"/>
        <v>0</v>
      </c>
      <c r="AJ122" s="535">
        <f t="shared" si="313"/>
        <v>53.853499999999997</v>
      </c>
      <c r="AK122" s="535">
        <f t="shared" si="314"/>
        <v>83.311364499999996</v>
      </c>
      <c r="AL122" s="535">
        <f>(VLOOKUP(Sheet1!DC120,hhdcap_wcm,4)-(((VLOOKUP(Sheet1!DC120,hhdcap_wcm,3)-Sheet1!DC120)/(VLOOKUP(Sheet1!DC120,hhdcap_wcm,3)-VLOOKUP(Sheet1!DC120,hhdcap_wcm,1)))*(VLOOKUP(Sheet1!DC120,hhdcap_wcm,4)-VLOOKUP(Sheet1!DC120,hhdcap_wcm,2))))</f>
        <v>32694.800000082836</v>
      </c>
      <c r="AM122" s="535">
        <f t="shared" si="315"/>
        <v>413.40000000131477</v>
      </c>
      <c r="AN122" s="1035">
        <f t="shared" si="316"/>
        <v>3507.3312401473522</v>
      </c>
      <c r="AO122" s="535">
        <f t="shared" si="317"/>
        <v>10760.492244772076</v>
      </c>
      <c r="AP122" s="535">
        <f>Sheet1!BA120+Sheet1!BB120+Sheet1!BN120+CD122</f>
        <v>13.2</v>
      </c>
      <c r="AQ122" s="535">
        <f>Sheet1!BN120+(DO122*Sheet1!BN120)</f>
        <v>13.183499999999999</v>
      </c>
      <c r="AR122" s="535">
        <f>Sheet1!BA120+CD122</f>
        <v>0</v>
      </c>
      <c r="AS122" s="535">
        <f>Sheet1!BA120+Sheet1!BB120+CD122</f>
        <v>0</v>
      </c>
      <c r="AT122" s="649">
        <f>0</f>
        <v>0</v>
      </c>
      <c r="AU122" s="535">
        <f>IF(EB122&lt;K122,0,MAX(Sheet1!AA120+AQ122-15/36*K122-N122,Sheet1!EH120,0))</f>
        <v>0</v>
      </c>
      <c r="AV122" s="535">
        <f>IF(OR(B122&gt;=GD122,B122&lt;GC122),0,15/36*K122-MAX(0,64.6-(137.6-(Sheet1!AA120+Sheet1!AB120))))</f>
        <v>26.933333333333334</v>
      </c>
      <c r="AW122" s="1029"/>
      <c r="AX122" s="649"/>
      <c r="AY122" s="649">
        <f t="shared" si="286"/>
        <v>0</v>
      </c>
      <c r="AZ122" s="649">
        <f t="shared" si="287"/>
        <v>0</v>
      </c>
      <c r="BA122" s="1059">
        <f t="shared" si="288"/>
        <v>0</v>
      </c>
      <c r="BB122" s="1019">
        <f t="shared" si="318"/>
        <v>1750.6666666666672</v>
      </c>
      <c r="BC122" s="1041">
        <f t="shared" si="289"/>
        <v>26.933333333333334</v>
      </c>
      <c r="BD122" s="1019">
        <f ca="1">IF(B122&gt;Summary!$A$1,#N/A,BB122*MGtoAF)</f>
        <v>5371.0453333333353</v>
      </c>
      <c r="BE122" s="535">
        <f>Sheet1!BG120+Sheet1!BH120+Sheet1!BI120-BM122</f>
        <v>1.01</v>
      </c>
      <c r="BF122" s="535">
        <f t="shared" si="319"/>
        <v>1.0087375000000001</v>
      </c>
      <c r="BG122" s="535">
        <f>IF(Sheet1!EP120="FM",BM122,0)</f>
        <v>0</v>
      </c>
      <c r="BH122" s="535">
        <f t="shared" si="320"/>
        <v>0</v>
      </c>
      <c r="BI122" s="535">
        <f>IF(Sheet1!EP120="OTHER",BM122,0)</f>
        <v>0</v>
      </c>
      <c r="BJ122" s="535">
        <f t="shared" si="321"/>
        <v>0</v>
      </c>
      <c r="BK122" s="535">
        <f t="shared" si="322"/>
        <v>1.01</v>
      </c>
      <c r="BL122" s="535">
        <f t="shared" si="323"/>
        <v>1.0087375000000001</v>
      </c>
      <c r="BM122" s="535">
        <f>IF(OR(Sheet1!EP120="FM", Sheet1!EP120="OTHER"),SUM(Sheet1!BG120:'Sheet1'!BI120),0)</f>
        <v>0</v>
      </c>
      <c r="BN122" s="521">
        <f>IF(AND($B122&gt;=$FV122,$B122&lt;=$FW122),MAX(BF122,Sheet1!EI120,0),MAX(BF122-(7/36)*$K122,0))</f>
        <v>0</v>
      </c>
      <c r="BO122" s="535">
        <f t="shared" si="324"/>
        <v>11.560151388888888</v>
      </c>
      <c r="BP122" s="521">
        <f t="shared" si="325"/>
        <v>1.0087375000000001</v>
      </c>
      <c r="BQ122" s="521">
        <f>IF(AND($O122&gt;0,Sheet1!EM120=1),(1-($O122-Sheet1!$L120)/$O122)*BL122,0)</f>
        <v>0</v>
      </c>
      <c r="BR122" s="521">
        <f>IF(AND(Sheet1!$L120=0,Sheet1!$L119=0, Calculation!BK122&lt;Sheet1!$EI120-0.1,Sheet1!$EI120=Sheet1!$EI119,Sheet1!$EI120=Sheet1!$EI121),BL122-BQ122,BL122-BQ122)</f>
        <v>1.0087375000000001</v>
      </c>
      <c r="BS122" s="1035" t="str">
        <f t="shared" si="290"/>
        <v/>
      </c>
      <c r="BT122" s="1035">
        <f t="shared" si="291"/>
        <v>12.568888888888889</v>
      </c>
      <c r="BU122" s="535">
        <f t="shared" si="326"/>
        <v>750.62780546116073</v>
      </c>
      <c r="BV122" s="535"/>
      <c r="BW122" s="535">
        <f ca="1">IF(B122&gt;Summary!$A$1,#N/A,BU122*MGtoAF)</f>
        <v>2302.9261071548412</v>
      </c>
      <c r="BX122" s="535">
        <f>Sheet1!BC120+Sheet1!BD120+Sheet1!BE120+Sheet1!BF120-CG122-CH122</f>
        <v>3.31</v>
      </c>
      <c r="BY122" s="535">
        <f t="shared" si="327"/>
        <v>3.3058624999999999</v>
      </c>
      <c r="BZ122" s="535">
        <f>IF(Sheet1!EQ120="FM",CH122,0)</f>
        <v>0</v>
      </c>
      <c r="CA122" s="535">
        <f t="shared" si="328"/>
        <v>0</v>
      </c>
      <c r="CB122" s="535">
        <f>IF(Sheet1!EQ120="OTHER",CH122,0)</f>
        <v>0</v>
      </c>
      <c r="CC122" s="535">
        <f t="shared" si="329"/>
        <v>0</v>
      </c>
      <c r="CD122" s="535">
        <f t="shared" si="330"/>
        <v>0</v>
      </c>
      <c r="CE122" s="535">
        <f t="shared" si="331"/>
        <v>3.31</v>
      </c>
      <c r="CF122" s="535">
        <f t="shared" si="332"/>
        <v>3.3058624999999999</v>
      </c>
      <c r="CG122" s="535">
        <f>IF(Sheet1!EQ120="CWA",SUM(Sheet1!BC120:'Sheet1'!BF120),0)</f>
        <v>0</v>
      </c>
      <c r="CH122" s="535">
        <f>IF(OR(Sheet1!EQ120="FM", Sheet1!EQ120="OTHER"),SUM(Sheet1!BC120:'Sheet1'!BF120),0)</f>
        <v>0</v>
      </c>
      <c r="CI122" s="521">
        <f>IF(AND($B122&gt;=$FV122,$B122&lt;=$FW122),MAX(CF122,Sheet1!EJ120,0),MAX(CF122-(7/36)*$K122,0))</f>
        <v>0</v>
      </c>
      <c r="CJ122" s="535">
        <f t="shared" si="333"/>
        <v>9.2630263888888891</v>
      </c>
      <c r="CK122" s="521">
        <f t="shared" si="334"/>
        <v>3.3058624999999999</v>
      </c>
      <c r="CL122" s="521">
        <f>IF(AND($O122&gt;0,Sheet1!EN120=1),(1-($O122-Sheet1!$L120)/$O122)*CF122,0)</f>
        <v>0</v>
      </c>
      <c r="CM122" s="521">
        <f>IF(AND(Sheet1!$L120=0,Sheet1!$L119=0, Calculation!CE122&lt;Sheet1!EJ120-0.1,Sheet1!EJ120=Sheet1!EJ119,Sheet1!EJ120=Sheet1!EJ121),CF122-CL122,CF122-CL122)</f>
        <v>3.3058624999999999</v>
      </c>
      <c r="CN122" s="1040" t="str">
        <f t="shared" si="292"/>
        <v/>
      </c>
      <c r="CO122" s="1035">
        <f t="shared" si="293"/>
        <v>12.568888888888889</v>
      </c>
      <c r="CP122" s="535">
        <f t="shared" si="335"/>
        <v>611.95680008594377</v>
      </c>
      <c r="CQ122" s="535"/>
      <c r="CR122" s="535">
        <f ca="1">IF(B122&gt;Summary!$A$1,#N/A,CP122*MGtoAF)</f>
        <v>1877.4834626636755</v>
      </c>
      <c r="CS122" s="535">
        <f>Sheet1!BK120+Sheet1!BL120+Sheet1!BM120-Sheet1!ER120-DA122</f>
        <v>6.48</v>
      </c>
      <c r="CT122" s="535">
        <f t="shared" si="336"/>
        <v>6.4718999999999998</v>
      </c>
      <c r="CU122" s="535">
        <f>IF(Sheet1!ER120="FM",DA122,0)</f>
        <v>0</v>
      </c>
      <c r="CV122" s="535">
        <f t="shared" si="337"/>
        <v>0</v>
      </c>
      <c r="CW122" s="535">
        <f>IF(Sheet1!ER120="OTHER",DA122,0)</f>
        <v>0</v>
      </c>
      <c r="CX122" s="535">
        <f t="shared" si="338"/>
        <v>0</v>
      </c>
      <c r="CY122" s="535">
        <f t="shared" si="339"/>
        <v>6.48</v>
      </c>
      <c r="CZ122" s="535">
        <f t="shared" si="340"/>
        <v>6.4718999999999998</v>
      </c>
      <c r="DA122" s="535">
        <f>IF(OR(Sheet1!ER120="FM", Sheet1!ER120="OTHER"),SUM(Sheet1!BK120:'Sheet1'!BM120),0)</f>
        <v>0</v>
      </c>
      <c r="DB122" s="1011">
        <f>IF(AND($B122&gt;=$FV122,$B122&lt;=$FW122),MAX($CT122,Sheet1!EK120,0),MAX($CT122-(7/36)*$K122,0))</f>
        <v>0</v>
      </c>
      <c r="DC122" s="1012">
        <f t="shared" si="341"/>
        <v>6.0969888888888892</v>
      </c>
      <c r="DD122" s="1011">
        <f t="shared" si="342"/>
        <v>6.4718999999999998</v>
      </c>
      <c r="DE122" s="521">
        <f>IF(AND($O122&gt;0,Sheet1!EO120=1),(1-($O122-Sheet1!$L120)/$O122)*CZ122,0)</f>
        <v>0</v>
      </c>
      <c r="DF122" s="521">
        <f>IF(AND(Sheet1!$L120=0,Sheet1!$L119=0, Calculation!CY122&lt;Sheet1!$EK120-0.1,Sheet1!$EK120=Sheet1!$EK119,Sheet1!$EK120=Sheet1!$EK121),CZ122-DE122,CZ122-DE122)</f>
        <v>6.4718999999999998</v>
      </c>
      <c r="DG122" s="1040">
        <f t="shared" si="294"/>
        <v>12.568888888888889</v>
      </c>
      <c r="DH122" s="649">
        <f t="shared" si="343"/>
        <v>10.8</v>
      </c>
      <c r="DI122" s="535">
        <f t="shared" si="344"/>
        <v>394.07996793358029</v>
      </c>
      <c r="DJ122" s="649">
        <f t="shared" si="345"/>
        <v>10.7865</v>
      </c>
      <c r="DK122" s="535">
        <f ca="1">IF(B122&gt;Summary!$A$1,#N/A,DI122*MGtoAF)</f>
        <v>1209.0373416202244</v>
      </c>
      <c r="DL122" s="649">
        <f t="shared" si="346"/>
        <v>10.8</v>
      </c>
      <c r="DM122" s="535">
        <f t="shared" si="347"/>
        <v>24</v>
      </c>
      <c r="DN122" s="535">
        <f>Sheet1!AB120-DM122</f>
        <v>-3.0000000000001137E-2</v>
      </c>
      <c r="DO122" s="743">
        <f t="shared" si="348"/>
        <v>-1.2500000000000473E-3</v>
      </c>
      <c r="DP122" s="535">
        <f>(VLOOKUP(Sheet1!DC120,hhdcap_wcm,4)-(((VLOOKUP(Sheet1!DC120,hhdcap_wcm,3)-Sheet1!DC120)/(VLOOKUP(Sheet1!DC120,hhdcap_wcm,3)-VLOOKUP(Sheet1!DC120,hhdcap_wcm,1)))*(VLOOKUP(Sheet1!DC120,hhdcap_wcm,4)-VLOOKUP(Sheet1!DC120,hhdcap_wcm,2))))</f>
        <v>32694.800000082836</v>
      </c>
      <c r="DQ122" s="535">
        <f t="shared" si="349"/>
        <v>413.40000000131477</v>
      </c>
      <c r="DR122" s="535">
        <f t="shared" si="350"/>
        <v>208.47201210353742</v>
      </c>
      <c r="DS122" s="535">
        <f>Sheet1!EA120*AFtoMG</f>
        <v>0</v>
      </c>
      <c r="DT122" s="535">
        <f>Sheet1!EB120*AFtoMG</f>
        <v>0</v>
      </c>
      <c r="DU122" s="535">
        <f>Sheet1!EC120*AFtoMG</f>
        <v>0</v>
      </c>
      <c r="DV122" s="535">
        <f>Sheet1!ED120*AFtoMG</f>
        <v>0</v>
      </c>
      <c r="DW122" s="535">
        <f t="shared" si="351"/>
        <v>0</v>
      </c>
      <c r="DX122" s="535">
        <f t="shared" si="352"/>
        <v>0</v>
      </c>
      <c r="DY122" s="535">
        <f t="shared" si="353"/>
        <v>3507.3312401473522</v>
      </c>
      <c r="DZ122" s="535">
        <f t="shared" si="354"/>
        <v>10760.492244772076</v>
      </c>
      <c r="EA122" s="535"/>
      <c r="EB122" s="521">
        <f>IF(OR(B122&lt;FV122,B122&gt;FW122),(MIN(BF122+BY122+CT122+MAX(Sheet1!AA120+AQ122-73,0),K122)),0)</f>
        <v>10.7865</v>
      </c>
      <c r="EC122" s="535"/>
      <c r="ED122" s="535">
        <f t="shared" si="355"/>
        <v>10.7865</v>
      </c>
      <c r="EE122" s="535"/>
      <c r="EF122" s="535">
        <f>Sheet1!EH120+Sheet1!EI120+Sheet1!EJ120+Sheet1!EK120</f>
        <v>11</v>
      </c>
      <c r="EG122" s="1019">
        <f t="shared" si="295"/>
        <v>17.016999999999999</v>
      </c>
      <c r="EH122" s="521">
        <f t="shared" si="356"/>
        <v>0</v>
      </c>
      <c r="EI122" s="535">
        <f>IF(Sheet1!ET120=1,SUM('Calculations II'!AT122:BA122)+'Calculations II'!BC122+Sheet1!BV120+'Calculations II'!BE122+AP122,'Calculations II'!BK122)</f>
        <v>55.025074000000004</v>
      </c>
      <c r="EJ122" s="535">
        <f ca="1">EI122+'Calculations II'!D122+'Calculations II'!E122+'Calculations II'!O122</f>
        <v>44.82437351535166</v>
      </c>
      <c r="EK122" s="535"/>
      <c r="EL122" s="535"/>
      <c r="EM122" s="535">
        <f t="shared" si="357"/>
        <v>42846</v>
      </c>
      <c r="EN122" s="535">
        <f t="shared" si="358"/>
        <v>53.853499999999997</v>
      </c>
      <c r="EO122" s="535">
        <f t="shared" si="359"/>
        <v>83.311364499999996</v>
      </c>
      <c r="EP122" s="535">
        <v>0</v>
      </c>
      <c r="EQ122" s="535">
        <v>0</v>
      </c>
      <c r="ER122" s="535">
        <v>0</v>
      </c>
      <c r="ES122" s="521">
        <f t="shared" si="257"/>
        <v>10.605664701970655</v>
      </c>
      <c r="ET122" s="535">
        <f>-(VLOOKUP(Sheet1!BQ120,Lookup!$O$4:$Q$262,2)-VLOOKUP(Sheet1!BQ119,Lookup!$O$4:$Q$262,2))/1000000</f>
        <v>-3.7325170444737115</v>
      </c>
      <c r="EU122" s="535">
        <f>-(VLOOKUP(Sheet1!BR120,Lookup!$O$4:$Q$262,3)-VLOOKUP(Sheet1!BR119,Lookup!$O$4:$Q$262,3))/1000000</f>
        <v>14.338181746444366</v>
      </c>
      <c r="EV122" s="535"/>
      <c r="EW122" s="535"/>
      <c r="EX122" s="535"/>
      <c r="EY122" s="535"/>
      <c r="EZ122" s="535"/>
      <c r="FA122" s="535"/>
      <c r="FB122" s="535"/>
      <c r="FC122" s="535"/>
      <c r="FD122" s="567" t="e">
        <f t="shared" si="360"/>
        <v>#N/A</v>
      </c>
      <c r="FE122" s="567" t="e">
        <f t="shared" si="361"/>
        <v>#N/A</v>
      </c>
      <c r="FF122" s="568" t="e">
        <f t="shared" si="362"/>
        <v>#N/A</v>
      </c>
      <c r="FG122" s="569" t="s">
        <v>656</v>
      </c>
      <c r="FH122" s="569" t="s">
        <v>656</v>
      </c>
      <c r="FI122" s="567" t="e">
        <v>#N/A</v>
      </c>
      <c r="FJ122" s="567" t="e">
        <v>#N/A</v>
      </c>
      <c r="FK122" s="535"/>
      <c r="FL122" s="1015">
        <v>0</v>
      </c>
      <c r="FM122" s="535"/>
      <c r="FN122" s="535"/>
      <c r="FO122" s="535">
        <f>O122+((Sheet1!CS120)*GPMtoMGD)</f>
        <v>54.782192000000002</v>
      </c>
      <c r="FP122" s="535">
        <f>IF(Sheet1!AA120+AQ122&lt;=Calculation!N122,AQ122,Calculation!N122-Sheet1!AA120)</f>
        <v>13.183499999999999</v>
      </c>
      <c r="FQ122" s="535">
        <f>(Sheet1!BP120+Sheet1!BO120)/694.4</f>
        <v>1.1913882488479262</v>
      </c>
      <c r="FR122" s="541"/>
      <c r="FS122" s="541"/>
      <c r="FT122" s="541"/>
      <c r="FU122" s="541"/>
      <c r="FV122" s="1109">
        <f t="shared" si="258"/>
        <v>42918</v>
      </c>
      <c r="FW122" s="1109">
        <f t="shared" si="259"/>
        <v>43027</v>
      </c>
      <c r="FX122" s="541"/>
      <c r="FY122" s="541">
        <f>Sheet1!DA120-Sheet1!CZ120-Sheet1!AE120</f>
        <v>493.25333000000001</v>
      </c>
      <c r="FZ122" s="535">
        <f t="shared" si="296"/>
        <v>0.23962110103986697</v>
      </c>
      <c r="GA122" s="535"/>
      <c r="GB122" s="535" t="str">
        <f t="shared" si="260"/>
        <v>n</v>
      </c>
      <c r="GC122" s="539">
        <f t="shared" si="261"/>
        <v>42782</v>
      </c>
      <c r="GD122" s="1109">
        <f t="shared" si="262"/>
        <v>42904</v>
      </c>
      <c r="GE122" s="535">
        <f t="shared" si="280"/>
        <v>6520</v>
      </c>
      <c r="GF122" s="1109">
        <f t="shared" si="263"/>
        <v>42909</v>
      </c>
      <c r="GG122" s="535">
        <f t="shared" si="308"/>
        <v>3260</v>
      </c>
      <c r="GH122" s="539">
        <f t="shared" si="264"/>
        <v>43040</v>
      </c>
      <c r="GJ122" s="521">
        <f t="shared" si="265"/>
        <v>0</v>
      </c>
      <c r="GK122" s="535" t="str">
        <f t="shared" si="363"/>
        <v/>
      </c>
      <c r="GL122" s="535">
        <f t="shared" si="266"/>
        <v>0</v>
      </c>
      <c r="GM122" s="535" t="str">
        <f t="shared" si="267"/>
        <v/>
      </c>
      <c r="GN122" s="535">
        <f>IF(GK122="P",Lookup!$M$12,IF(GK122="PP",Lookup!$M$13,IF(GK122="PPP",Lookup!$M$14,IF(GK122="T",Lookup!$M$15,IF(GK122="TP",Lookup!$M$16,IF(GK122="TPP",Lookup!$M$17,IF(GK122="TPPP",Lookup!$M$18,0)))))))*GJ122</f>
        <v>0</v>
      </c>
      <c r="GO122" s="535">
        <f t="shared" si="268"/>
        <v>0</v>
      </c>
      <c r="GP122" s="535">
        <f t="shared" si="364"/>
        <v>5371.0453333333353</v>
      </c>
      <c r="GQ122" s="535">
        <f t="shared" si="279"/>
        <v>1750.6666666666672</v>
      </c>
      <c r="GR122" s="535"/>
      <c r="GS122" s="535">
        <f t="shared" si="269"/>
        <v>0</v>
      </c>
      <c r="GT122" s="535" t="str">
        <f t="shared" si="270"/>
        <v/>
      </c>
      <c r="GU122" s="535">
        <f>IF(GK122="P",Lookup!$N$12,IF(GK122="PP",Lookup!$N$13,IF(GK122="PPP",Lookup!$N$14,IF(GK122="T",Lookup!$N$15,IF(GK122="TP",Lookup!$N$16,IF(GK122="TPP",Lookup!$N$17,IF(GK122="TPPP",Lookup!$N$18,0)))))))*GJ122</f>
        <v>0</v>
      </c>
      <c r="GV122" s="535">
        <f t="shared" si="271"/>
        <v>0</v>
      </c>
      <c r="GW122" s="535">
        <f t="shared" si="365"/>
        <v>2302.9261071548412</v>
      </c>
      <c r="GX122" s="535">
        <f t="shared" si="276"/>
        <v>750.62780546116073</v>
      </c>
      <c r="GY122" s="535"/>
      <c r="GZ122" s="535">
        <f t="shared" si="272"/>
        <v>0</v>
      </c>
      <c r="HA122" s="535" t="str">
        <f t="shared" si="273"/>
        <v/>
      </c>
      <c r="HB122" s="535">
        <f>IF(GK122="P",Lookup!$N$12,IF(GK122="PP",Lookup!$N$13,IF(GK122="PPP",Lookup!$N$14,IF(GK122="T",Lookup!$N$15,IF(GK122="TP",Lookup!$N$16,IF(GK122="TPP",Lookup!$N$17,IF(GK122="TPPP",Lookup!$N$18,0)))))))*GJ122</f>
        <v>0</v>
      </c>
      <c r="HC122" s="521">
        <f t="shared" si="366"/>
        <v>0</v>
      </c>
      <c r="HD122" s="535">
        <f t="shared" si="367"/>
        <v>1877.4834626636755</v>
      </c>
      <c r="HE122" s="535">
        <f t="shared" si="277"/>
        <v>611.95680008594377</v>
      </c>
      <c r="HF122" s="535"/>
      <c r="HG122" s="535">
        <f t="shared" si="274"/>
        <v>0</v>
      </c>
      <c r="HH122" s="535" t="str">
        <f t="shared" si="275"/>
        <v/>
      </c>
      <c r="HI122" s="535">
        <f>IF(GK122="P",Lookup!$N$12,IF(GK122="PP",Lookup!$N$13,IF(GK122="PPP",Lookup!$N$14,IF(GK122="T",Lookup!$N$15,IF(GK122="TP",Lookup!$N$16,IF(GK122="TPP",Lookup!$N$17,IF(GK122="TPPP",Lookup!$N$18,0)))))))*GJ122</f>
        <v>0</v>
      </c>
      <c r="HJ122" s="521">
        <f t="shared" si="368"/>
        <v>0</v>
      </c>
      <c r="HK122" s="535">
        <f t="shared" si="369"/>
        <v>1209.0373416202244</v>
      </c>
      <c r="HL122" s="535">
        <f t="shared" si="278"/>
        <v>394.07996793358029</v>
      </c>
      <c r="HM122" s="535"/>
      <c r="HN122" s="541"/>
      <c r="HO122" s="541"/>
      <c r="HP122" s="541"/>
      <c r="HQ122" s="541">
        <f>IF(AND(B122&gt;=$FV$4,B122&lt;=$FW$4),MAX(110/1.02+$HQ$6+MIN(113/1.02,G122),IF($HV$6-(Sheet1!DA120-Sheet1!DB120)+MIN(113/1.02,G122)&lt;G122+FL122,$HV$6-(Sheet1!DA120-Sheet1!DB120)+MIN(113/1.02,G122),G122+FL122)),MIN(110/1.02+$HQ$6+113/1.02,G122))</f>
        <v>218.62745098039215</v>
      </c>
      <c r="HR122" s="541">
        <f t="shared" si="297"/>
        <v>223</v>
      </c>
      <c r="HS122" s="541">
        <f>HR122+(Sheet1!DA120-Sheet1!DB120)</f>
        <v>903</v>
      </c>
      <c r="HT122" s="541">
        <f t="shared" si="298"/>
        <v>60.039070000000002</v>
      </c>
      <c r="HU122" s="541">
        <f t="shared" si="299"/>
        <v>842.96092999999996</v>
      </c>
      <c r="HV122" s="541">
        <f t="shared" si="300"/>
        <v>0</v>
      </c>
      <c r="HW122" s="533" t="str">
        <f t="shared" si="301"/>
        <v/>
      </c>
      <c r="HX122" s="541">
        <f t="shared" si="302"/>
        <v>1631.372549019608</v>
      </c>
      <c r="HY122" s="541">
        <f>Sheet1!CZ120</f>
        <v>1850</v>
      </c>
      <c r="HZ122" s="541">
        <f t="shared" si="303"/>
        <v>0</v>
      </c>
      <c r="IA122" s="541">
        <f t="shared" si="304"/>
        <v>60.039070000000002</v>
      </c>
      <c r="IB122" s="541">
        <f t="shared" si="305"/>
        <v>1850</v>
      </c>
      <c r="IC122" s="1019" t="str">
        <f t="shared" si="306"/>
        <v/>
      </c>
      <c r="ID122" s="541">
        <f t="shared" si="307"/>
        <v>1789.96093</v>
      </c>
      <c r="IE122" s="541">
        <f>Sheet1!DB120</f>
        <v>1740</v>
      </c>
      <c r="IF122" s="533">
        <f>Sheet1!DA120</f>
        <v>2420</v>
      </c>
      <c r="IH122" s="541">
        <f>IF(AND($B122&gt;=$GC122,$B122&lt;=$GH122,$DR122&lt;0)+N("only adjusted when pool is drawn down during storage season"),Sheet1!$DB120+$DR122+N("Palmer minus all storage release"),Sheet1!$DB120)</f>
        <v>1740</v>
      </c>
      <c r="II122" s="541">
        <f>IF(AND($B122&gt;=$GC122,$B122&lt;=$GH122,$DR122&lt;0)+N("only adjusted when pool is drawn down during storage season"),Sheet1!$DA120+$DR122+N("Auburn minus all storage release"),Sheet1!$DA120)</f>
        <v>2420</v>
      </c>
    </row>
    <row r="123" spans="1:243" x14ac:dyDescent="0.25">
      <c r="A123" s="553" t="s">
        <v>9</v>
      </c>
      <c r="B123" s="531">
        <v>42847</v>
      </c>
      <c r="C123" s="536">
        <v>0</v>
      </c>
      <c r="D123" s="506">
        <f t="shared" si="247"/>
        <v>300</v>
      </c>
      <c r="E123" s="506">
        <f t="shared" si="248"/>
        <v>250</v>
      </c>
      <c r="F123" s="506">
        <v>250</v>
      </c>
      <c r="G123" s="535">
        <f>DR123+Sheet1!CZ121</f>
        <v>2014.5990922849778</v>
      </c>
      <c r="H123" s="1074">
        <f t="shared" si="370"/>
        <v>980.50504595199993</v>
      </c>
      <c r="I123" s="534">
        <f>IF(Sheet1!DA121&gt;=E123,(Sheet1!DA121-E123+P123)*CFStoMGD,0)</f>
        <v>1536.4090459519998</v>
      </c>
      <c r="J123" s="995">
        <f>IF(Sheet1!DB121&gt;=D123,(Sheet1!DB121-D123+P123)*CFStoMGD,0)</f>
        <v>980.50504595199993</v>
      </c>
      <c r="K123" s="818">
        <f t="shared" si="282"/>
        <v>64.64</v>
      </c>
      <c r="L123" s="535">
        <f>Sheet1!AA121+Sheet1!AB121-Sheet1!L121+(Sheet1!DA121-F123)*CFStoMGD-S123-T123-U123</f>
        <v>1471.77</v>
      </c>
      <c r="M123" s="535">
        <f t="shared" si="309"/>
        <v>1328.2815903180699</v>
      </c>
      <c r="N123" s="824">
        <f>IF(Sheet1!DA121&gt;=F123,MIN(113*CFStoMGD,MIN(MAX(L123,0),MAX(M123,0))),0)</f>
        <v>73.043199999999999</v>
      </c>
      <c r="O123" s="538">
        <f>Sheet1!AA121+Sheet1!AB121</f>
        <v>49.69</v>
      </c>
      <c r="P123" s="538">
        <f t="shared" si="310"/>
        <v>76.870429999999999</v>
      </c>
      <c r="Q123" s="812">
        <f t="shared" si="283"/>
        <v>38.699999999999996</v>
      </c>
      <c r="R123" s="812">
        <f t="shared" si="249"/>
        <v>10.962627646326277</v>
      </c>
      <c r="S123" s="812">
        <f t="shared" si="250"/>
        <v>10.99</v>
      </c>
      <c r="T123" s="812">
        <f t="shared" si="251"/>
        <v>53.65</v>
      </c>
      <c r="U123" s="812">
        <f t="shared" si="284"/>
        <v>0</v>
      </c>
      <c r="V123" s="812"/>
      <c r="W123" s="812">
        <f t="shared" si="252"/>
        <v>53.677372353673725</v>
      </c>
      <c r="X123" s="812">
        <f t="shared" si="253"/>
        <v>64.64</v>
      </c>
      <c r="Y123" s="812" t="str">
        <f t="shared" si="254"/>
        <v>FALSE</v>
      </c>
      <c r="Z123" s="812">
        <f t="shared" si="255"/>
        <v>49.69</v>
      </c>
      <c r="AA123" s="812">
        <f t="shared" si="256"/>
        <v>49.69</v>
      </c>
      <c r="AB123" s="1059">
        <f t="shared" si="285"/>
        <v>59.868899999999989</v>
      </c>
      <c r="AC123" s="538">
        <f>Sheet1!Y121*MGDtoCFS</f>
        <v>39.665079999999996</v>
      </c>
      <c r="AD123" s="538">
        <f>Sheet1!Z121*MGDtoCFS</f>
        <v>37.081589999999998</v>
      </c>
      <c r="AE123" s="538">
        <f>Sheet1!AA121*MGDtoCFS</f>
        <v>39.696019999999997</v>
      </c>
      <c r="AF123" s="538">
        <f>Sheet1!AB121*MGDtoCFS</f>
        <v>37.174410000000002</v>
      </c>
      <c r="AG123" s="538">
        <f>Sheet1!L121*MGDtoCFS</f>
        <v>0</v>
      </c>
      <c r="AH123" s="521">
        <f t="shared" si="311"/>
        <v>0</v>
      </c>
      <c r="AI123" s="1059">
        <f t="shared" si="312"/>
        <v>0</v>
      </c>
      <c r="AJ123" s="535">
        <f t="shared" si="313"/>
        <v>53.677372353673725</v>
      </c>
      <c r="AK123" s="535">
        <f t="shared" si="314"/>
        <v>83.038895031133251</v>
      </c>
      <c r="AL123" s="535">
        <f>(VLOOKUP(Sheet1!DC121,hhdcap_wcm,4)-(((VLOOKUP(Sheet1!DC121,hhdcap_wcm,3)-Sheet1!DC121)/(VLOOKUP(Sheet1!DC121,hhdcap_wcm,3)-VLOOKUP(Sheet1!DC121,hhdcap_wcm,1)))*(VLOOKUP(Sheet1!DC121,hhdcap_wcm,4)-VLOOKUP(Sheet1!DC121,hhdcap_wcm,2))))</f>
        <v>33021.200000083947</v>
      </c>
      <c r="AM123" s="535">
        <f t="shared" si="315"/>
        <v>326.40000000111104</v>
      </c>
      <c r="AN123" s="1035">
        <f t="shared" si="316"/>
        <v>3561.0086125010262</v>
      </c>
      <c r="AO123" s="535">
        <f t="shared" si="317"/>
        <v>10925.174423153148</v>
      </c>
      <c r="AP123" s="535">
        <f>Sheet1!BA121+Sheet1!BB121+Sheet1!BN121+CD123</f>
        <v>13.1</v>
      </c>
      <c r="AQ123" s="535">
        <f>Sheet1!BN121+(DO123*Sheet1!BN121)</f>
        <v>13.067372353673724</v>
      </c>
      <c r="AR123" s="535">
        <f>Sheet1!BA121+CD123</f>
        <v>0</v>
      </c>
      <c r="AS123" s="535">
        <f>Sheet1!BA121+Sheet1!BB121+CD123</f>
        <v>0</v>
      </c>
      <c r="AT123" s="649">
        <f>0</f>
        <v>0</v>
      </c>
      <c r="AU123" s="535">
        <f>IF(EB123&lt;K123,0,MAX(Sheet1!AA121+AQ123-15/36*K123-N123,Sheet1!EH121,0))</f>
        <v>0</v>
      </c>
      <c r="AV123" s="535">
        <f>IF(OR(B123&gt;=GD123,B123&lt;GC123),0,15/36*K123-MAX(0,64.6-(137.6-(Sheet1!AA121+Sheet1!AB121))))</f>
        <v>26.933333333333334</v>
      </c>
      <c r="AW123" s="1029"/>
      <c r="AX123" s="649"/>
      <c r="AY123" s="649">
        <f t="shared" si="286"/>
        <v>0</v>
      </c>
      <c r="AZ123" s="649">
        <f t="shared" si="287"/>
        <v>0</v>
      </c>
      <c r="BA123" s="1059">
        <f t="shared" si="288"/>
        <v>0</v>
      </c>
      <c r="BB123" s="1019">
        <f t="shared" si="318"/>
        <v>1777.6000000000006</v>
      </c>
      <c r="BC123" s="1041">
        <f t="shared" si="289"/>
        <v>26.933333333333334</v>
      </c>
      <c r="BD123" s="1019">
        <f ca="1">IF(B123&gt;Summary!$A$1,#N/A,BB123*MGtoAF)</f>
        <v>5453.676800000002</v>
      </c>
      <c r="BE123" s="535">
        <f>Sheet1!BG121+Sheet1!BH121+Sheet1!BI121-BM123</f>
        <v>1</v>
      </c>
      <c r="BF123" s="535">
        <f t="shared" si="319"/>
        <v>0.9975093399750935</v>
      </c>
      <c r="BG123" s="535">
        <f>IF(Sheet1!EP121="FM",BM123,0)</f>
        <v>0</v>
      </c>
      <c r="BH123" s="535">
        <f t="shared" si="320"/>
        <v>0</v>
      </c>
      <c r="BI123" s="535">
        <f>IF(Sheet1!EP121="OTHER",BM123,0)</f>
        <v>0</v>
      </c>
      <c r="BJ123" s="535">
        <f t="shared" si="321"/>
        <v>0</v>
      </c>
      <c r="BK123" s="535">
        <f t="shared" si="322"/>
        <v>1</v>
      </c>
      <c r="BL123" s="535">
        <f t="shared" si="323"/>
        <v>0.9975093399750935</v>
      </c>
      <c r="BM123" s="535">
        <f>IF(OR(Sheet1!EP121="FM", Sheet1!EP121="OTHER"),SUM(Sheet1!BG121:'Sheet1'!BI121),0)</f>
        <v>0</v>
      </c>
      <c r="BN123" s="521">
        <f>IF(AND($B123&gt;=$FV123,$B123&lt;=$FW123),MAX(BF123,Sheet1!EI121,0),MAX(BF123-(7/36)*$K123,0))</f>
        <v>0</v>
      </c>
      <c r="BO123" s="535">
        <f t="shared" si="324"/>
        <v>11.571379548913795</v>
      </c>
      <c r="BP123" s="521">
        <f t="shared" si="325"/>
        <v>0.9975093399750935</v>
      </c>
      <c r="BQ123" s="521">
        <f>IF(AND($O123&gt;0,Sheet1!EM121=1),(1-($O123-Sheet1!$L121)/$O123)*BL123,0)</f>
        <v>0</v>
      </c>
      <c r="BR123" s="521">
        <f>IF(AND(Sheet1!$L121=0,Sheet1!$L120=0, Calculation!BK123&lt;Sheet1!$EI121-0.1,Sheet1!$EI121=Sheet1!$EI120,Sheet1!$EI121=Sheet1!$EI122),BL123-BQ123,BL123-BQ123)</f>
        <v>0.9975093399750935</v>
      </c>
      <c r="BS123" s="1035" t="str">
        <f t="shared" si="290"/>
        <v/>
      </c>
      <c r="BT123" s="1035">
        <f t="shared" si="291"/>
        <v>12.568888888888889</v>
      </c>
      <c r="BU123" s="535">
        <f t="shared" si="326"/>
        <v>762.19918501007453</v>
      </c>
      <c r="BV123" s="535"/>
      <c r="BW123" s="535">
        <f ca="1">IF(B123&gt;Summary!$A$1,#N/A,BU123*MGtoAF)</f>
        <v>2338.4270996109085</v>
      </c>
      <c r="BX123" s="535">
        <f>Sheet1!BC121+Sheet1!BD121+Sheet1!BE121+Sheet1!BF121-CG123-CH123</f>
        <v>3.51</v>
      </c>
      <c r="BY123" s="535">
        <f t="shared" si="327"/>
        <v>3.5012577833125778</v>
      </c>
      <c r="BZ123" s="535">
        <f>IF(Sheet1!EQ121="FM",CH123,0)</f>
        <v>0</v>
      </c>
      <c r="CA123" s="535">
        <f t="shared" si="328"/>
        <v>0</v>
      </c>
      <c r="CB123" s="535">
        <f>IF(Sheet1!EQ121="OTHER",CH123,0)</f>
        <v>0</v>
      </c>
      <c r="CC123" s="535">
        <f t="shared" si="329"/>
        <v>0</v>
      </c>
      <c r="CD123" s="535">
        <f t="shared" si="330"/>
        <v>0</v>
      </c>
      <c r="CE123" s="535">
        <f t="shared" si="331"/>
        <v>3.51</v>
      </c>
      <c r="CF123" s="535">
        <f t="shared" si="332"/>
        <v>3.5012577833125778</v>
      </c>
      <c r="CG123" s="535">
        <f>IF(Sheet1!EQ121="CWA",SUM(Sheet1!BC121:'Sheet1'!BF121),0)</f>
        <v>0</v>
      </c>
      <c r="CH123" s="535">
        <f>IF(OR(Sheet1!EQ121="FM", Sheet1!EQ121="OTHER"),SUM(Sheet1!BC121:'Sheet1'!BF121),0)</f>
        <v>0</v>
      </c>
      <c r="CI123" s="521">
        <f>IF(AND($B123&gt;=$FV123,$B123&lt;=$FW123),MAX(CF123,Sheet1!EJ121,0),MAX(CF123-(7/36)*$K123,0))</f>
        <v>0</v>
      </c>
      <c r="CJ123" s="535">
        <f t="shared" si="333"/>
        <v>9.0676311055763108</v>
      </c>
      <c r="CK123" s="521">
        <f t="shared" si="334"/>
        <v>3.5012577833125778</v>
      </c>
      <c r="CL123" s="521">
        <f>IF(AND($O123&gt;0,Sheet1!EN121=1),(1-($O123-Sheet1!$L121)/$O123)*CF123,0)</f>
        <v>0</v>
      </c>
      <c r="CM123" s="521">
        <f>IF(AND(Sheet1!$L121=0,Sheet1!$L120=0, Calculation!CE123&lt;Sheet1!EJ121-0.1,Sheet1!EJ121=Sheet1!EJ120,Sheet1!EJ121=Sheet1!EJ122),CF123-CL123,CF123-CL123)</f>
        <v>3.5012577833125778</v>
      </c>
      <c r="CN123" s="1040" t="str">
        <f t="shared" si="292"/>
        <v/>
      </c>
      <c r="CO123" s="1035">
        <f t="shared" si="293"/>
        <v>12.568888888888889</v>
      </c>
      <c r="CP123" s="535">
        <f t="shared" si="335"/>
        <v>621.02443119152008</v>
      </c>
      <c r="CQ123" s="535"/>
      <c r="CR123" s="535">
        <f ca="1">IF(B123&gt;Summary!$A$1,#N/A,CP123*MGtoAF)</f>
        <v>1905.3029548955838</v>
      </c>
      <c r="CS123" s="535">
        <f>Sheet1!BK121+Sheet1!BL121+Sheet1!BM121-Sheet1!ER121-DA123</f>
        <v>6.48</v>
      </c>
      <c r="CT123" s="535">
        <f t="shared" si="336"/>
        <v>6.4638605230386057</v>
      </c>
      <c r="CU123" s="535">
        <f>IF(Sheet1!ER121="FM",DA123,0)</f>
        <v>0</v>
      </c>
      <c r="CV123" s="535">
        <f t="shared" si="337"/>
        <v>0</v>
      </c>
      <c r="CW123" s="535">
        <f>IF(Sheet1!ER121="OTHER",DA123,0)</f>
        <v>0</v>
      </c>
      <c r="CX123" s="535">
        <f t="shared" si="338"/>
        <v>0</v>
      </c>
      <c r="CY123" s="535">
        <f t="shared" si="339"/>
        <v>6.48</v>
      </c>
      <c r="CZ123" s="535">
        <f t="shared" si="340"/>
        <v>6.4638605230386057</v>
      </c>
      <c r="DA123" s="535">
        <f>IF(OR(Sheet1!ER121="FM", Sheet1!ER121="OTHER"),SUM(Sheet1!BK121:'Sheet1'!BM121),0)</f>
        <v>0</v>
      </c>
      <c r="DB123" s="1011">
        <f>IF(AND($B123&gt;=$FV123,$B123&lt;=$FW123),MAX($CT123,Sheet1!EK121,0),MAX($CT123-(7/36)*$K123,0))</f>
        <v>0</v>
      </c>
      <c r="DC123" s="1012">
        <f t="shared" si="341"/>
        <v>6.1050283658502833</v>
      </c>
      <c r="DD123" s="1011">
        <f t="shared" si="342"/>
        <v>6.4638605230386057</v>
      </c>
      <c r="DE123" s="521">
        <f>IF(AND($O123&gt;0,Sheet1!EO121=1),(1-($O123-Sheet1!$L121)/$O123)*CZ123,0)</f>
        <v>0</v>
      </c>
      <c r="DF123" s="521">
        <f>IF(AND(Sheet1!$L121=0,Sheet1!$L120=0, Calculation!CY123&lt;Sheet1!$EK121-0.1,Sheet1!$EK121=Sheet1!$EK120,Sheet1!$EK121=Sheet1!$EK122),CZ123-DE123,CZ123-DE123)</f>
        <v>6.4638605230386057</v>
      </c>
      <c r="DG123" s="1040">
        <f t="shared" si="294"/>
        <v>12.568888888888889</v>
      </c>
      <c r="DH123" s="649">
        <f t="shared" si="343"/>
        <v>10.99</v>
      </c>
      <c r="DI123" s="535">
        <f t="shared" si="344"/>
        <v>400.18499629943057</v>
      </c>
      <c r="DJ123" s="649">
        <f t="shared" si="345"/>
        <v>10.962627646326277</v>
      </c>
      <c r="DK123" s="535">
        <f ca="1">IF(B123&gt;Summary!$A$1,#N/A,DI123*MGtoAF)</f>
        <v>1227.767568646653</v>
      </c>
      <c r="DL123" s="649">
        <f t="shared" si="346"/>
        <v>10.99</v>
      </c>
      <c r="DM123" s="535">
        <f t="shared" si="347"/>
        <v>24.09</v>
      </c>
      <c r="DN123" s="535">
        <f>Sheet1!AB121-DM123</f>
        <v>-5.9999999999998721E-2</v>
      </c>
      <c r="DO123" s="743">
        <f t="shared" si="348"/>
        <v>-2.4906600249065473E-3</v>
      </c>
      <c r="DP123" s="535">
        <f>(VLOOKUP(Sheet1!DC121,hhdcap_wcm,4)-(((VLOOKUP(Sheet1!DC121,hhdcap_wcm,3)-Sheet1!DC121)/(VLOOKUP(Sheet1!DC121,hhdcap_wcm,3)-VLOOKUP(Sheet1!DC121,hhdcap_wcm,1)))*(VLOOKUP(Sheet1!DC121,hhdcap_wcm,4)-VLOOKUP(Sheet1!DC121,hhdcap_wcm,2))))</f>
        <v>33021.200000083947</v>
      </c>
      <c r="DQ123" s="535">
        <f t="shared" si="349"/>
        <v>326.40000000111104</v>
      </c>
      <c r="DR123" s="535">
        <f t="shared" si="350"/>
        <v>164.59909228497781</v>
      </c>
      <c r="DS123" s="535">
        <f>Sheet1!EA121*AFtoMG</f>
        <v>0</v>
      </c>
      <c r="DT123" s="535">
        <f>Sheet1!EB121*AFtoMG</f>
        <v>0</v>
      </c>
      <c r="DU123" s="535">
        <f>Sheet1!EC121*AFtoMG</f>
        <v>0</v>
      </c>
      <c r="DV123" s="535">
        <f>Sheet1!ED121*AFtoMG</f>
        <v>0</v>
      </c>
      <c r="DW123" s="535">
        <f t="shared" si="351"/>
        <v>0</v>
      </c>
      <c r="DX123" s="535">
        <f t="shared" si="352"/>
        <v>0</v>
      </c>
      <c r="DY123" s="535">
        <f t="shared" si="353"/>
        <v>3561.0086125010262</v>
      </c>
      <c r="DZ123" s="535">
        <f t="shared" si="354"/>
        <v>10925.174423153148</v>
      </c>
      <c r="EA123" s="535"/>
      <c r="EB123" s="521">
        <f>IF(OR(B123&lt;FV123,B123&gt;FW123),(MIN(BF123+BY123+CT123+MAX(Sheet1!AA121+AQ123-73,0),K123)),0)</f>
        <v>10.962627646326277</v>
      </c>
      <c r="EC123" s="535"/>
      <c r="ED123" s="535">
        <f t="shared" si="355"/>
        <v>10.962627646326277</v>
      </c>
      <c r="EE123" s="535"/>
      <c r="EF123" s="535">
        <f>Sheet1!EH121+Sheet1!EI121+Sheet1!EJ121+Sheet1!EK121</f>
        <v>11</v>
      </c>
      <c r="EG123" s="1019">
        <f t="shared" si="295"/>
        <v>17.016999999999999</v>
      </c>
      <c r="EH123" s="521">
        <f t="shared" si="356"/>
        <v>0</v>
      </c>
      <c r="EI123" s="535">
        <f>IF(Sheet1!ET121=1,SUM('Calculations II'!AT123:BA123)+'Calculations II'!BC123+Sheet1!BV121+'Calculations II'!BE123+AP123,'Calculations II'!BK123)</f>
        <v>41.970846353673721</v>
      </c>
      <c r="EJ123" s="535">
        <f ca="1">EI123+'Calculations II'!D123+'Calculations II'!E123+'Calculations II'!O123</f>
        <v>46.280612046641295</v>
      </c>
      <c r="EK123" s="535"/>
      <c r="EL123" s="535"/>
      <c r="EM123" s="535">
        <f t="shared" si="357"/>
        <v>42847</v>
      </c>
      <c r="EN123" s="535">
        <f t="shared" si="358"/>
        <v>53.677372353673725</v>
      </c>
      <c r="EO123" s="535">
        <f t="shared" si="359"/>
        <v>83.038895031133251</v>
      </c>
      <c r="EP123" s="535">
        <v>0</v>
      </c>
      <c r="EQ123" s="535">
        <v>0</v>
      </c>
      <c r="ER123" s="535">
        <v>0</v>
      </c>
      <c r="ES123" s="521">
        <f t="shared" si="257"/>
        <v>-2.0812028875089816</v>
      </c>
      <c r="ET123" s="535">
        <f>-(VLOOKUP(Sheet1!BQ121,Lookup!$O$4:$Q$262,2)-VLOOKUP(Sheet1!BQ120,Lookup!$O$4:$Q$262,2))/1000000</f>
        <v>-2.9062966032268291</v>
      </c>
      <c r="EU123" s="535">
        <f>-(VLOOKUP(Sheet1!BR121,Lookup!$O$4:$Q$262,3)-VLOOKUP(Sheet1!BR120,Lookup!$O$4:$Q$262,3))/1000000</f>
        <v>0.82509371571784751</v>
      </c>
      <c r="EV123" s="535"/>
      <c r="EW123" s="535"/>
      <c r="EX123" s="535"/>
      <c r="EY123" s="535"/>
      <c r="EZ123" s="535"/>
      <c r="FA123" s="535"/>
      <c r="FB123" s="535"/>
      <c r="FC123" s="535"/>
      <c r="FD123" s="567" t="e">
        <f t="shared" si="360"/>
        <v>#N/A</v>
      </c>
      <c r="FE123" s="567" t="e">
        <f t="shared" si="361"/>
        <v>#N/A</v>
      </c>
      <c r="FF123" s="568" t="e">
        <f t="shared" si="362"/>
        <v>#N/A</v>
      </c>
      <c r="FG123" s="569" t="s">
        <v>656</v>
      </c>
      <c r="FH123" s="569" t="s">
        <v>656</v>
      </c>
      <c r="FI123" s="567" t="e">
        <v>#N/A</v>
      </c>
      <c r="FJ123" s="567" t="e">
        <v>#N/A</v>
      </c>
      <c r="FK123" s="535"/>
      <c r="FL123" s="1015">
        <v>0</v>
      </c>
      <c r="FM123" s="535"/>
      <c r="FN123" s="535"/>
      <c r="FO123" s="535">
        <f>O123+((Sheet1!CS121)*GPMtoMGD)</f>
        <v>54.819279999999999</v>
      </c>
      <c r="FP123" s="535">
        <f>IF(Sheet1!AA121+AQ123&lt;=Calculation!N123,AQ123,Calculation!N123-Sheet1!AA121)</f>
        <v>13.067372353673724</v>
      </c>
      <c r="FQ123" s="535">
        <f>(Sheet1!BP121+Sheet1!BO121)/694.4</f>
        <v>1.4976958525345623</v>
      </c>
      <c r="FR123" s="541"/>
      <c r="FS123" s="541"/>
      <c r="FT123" s="541"/>
      <c r="FU123" s="541"/>
      <c r="FV123" s="1109">
        <f t="shared" si="258"/>
        <v>42918</v>
      </c>
      <c r="FW123" s="1109">
        <f t="shared" si="259"/>
        <v>43027</v>
      </c>
      <c r="FX123" s="541"/>
      <c r="FY123" s="541">
        <f>Sheet1!DA121-Sheet1!CZ121-Sheet1!AE121</f>
        <v>623.12957000000006</v>
      </c>
      <c r="FZ123" s="535">
        <f t="shared" si="296"/>
        <v>0.30930698439521309</v>
      </c>
      <c r="GA123" s="535"/>
      <c r="GB123" s="535" t="str">
        <f t="shared" si="260"/>
        <v>n</v>
      </c>
      <c r="GC123" s="539">
        <f t="shared" si="261"/>
        <v>42782</v>
      </c>
      <c r="GD123" s="1109">
        <f t="shared" si="262"/>
        <v>42904</v>
      </c>
      <c r="GE123" s="535">
        <f t="shared" si="280"/>
        <v>6520</v>
      </c>
      <c r="GF123" s="1109">
        <f t="shared" si="263"/>
        <v>42909</v>
      </c>
      <c r="GG123" s="535">
        <f t="shared" si="308"/>
        <v>3260</v>
      </c>
      <c r="GH123" s="539">
        <f t="shared" si="264"/>
        <v>43040</v>
      </c>
      <c r="GJ123" s="521">
        <f t="shared" si="265"/>
        <v>0</v>
      </c>
      <c r="GK123" s="535" t="str">
        <f t="shared" si="363"/>
        <v/>
      </c>
      <c r="GL123" s="535">
        <f t="shared" si="266"/>
        <v>0</v>
      </c>
      <c r="GM123" s="535" t="str">
        <f t="shared" si="267"/>
        <v/>
      </c>
      <c r="GN123" s="535">
        <f>IF(GK123="P",Lookup!$M$12,IF(GK123="PP",Lookup!$M$13,IF(GK123="PPP",Lookup!$M$14,IF(GK123="T",Lookup!$M$15,IF(GK123="TP",Lookup!$M$16,IF(GK123="TPP",Lookup!$M$17,IF(GK123="TPPP",Lookup!$M$18,0)))))))*GJ123</f>
        <v>0</v>
      </c>
      <c r="GO123" s="535">
        <f t="shared" si="268"/>
        <v>0</v>
      </c>
      <c r="GP123" s="535">
        <f t="shared" si="364"/>
        <v>5453.676800000002</v>
      </c>
      <c r="GQ123" s="535">
        <f t="shared" si="279"/>
        <v>1777.6000000000006</v>
      </c>
      <c r="GR123" s="535"/>
      <c r="GS123" s="535">
        <f t="shared" si="269"/>
        <v>0</v>
      </c>
      <c r="GT123" s="535" t="str">
        <f t="shared" si="270"/>
        <v/>
      </c>
      <c r="GU123" s="535">
        <f>IF(GK123="P",Lookup!$N$12,IF(GK123="PP",Lookup!$N$13,IF(GK123="PPP",Lookup!$N$14,IF(GK123="T",Lookup!$N$15,IF(GK123="TP",Lookup!$N$16,IF(GK123="TPP",Lookup!$N$17,IF(GK123="TPPP",Lookup!$N$18,0)))))))*GJ123</f>
        <v>0</v>
      </c>
      <c r="GV123" s="535">
        <f t="shared" si="271"/>
        <v>0</v>
      </c>
      <c r="GW123" s="535">
        <f t="shared" si="365"/>
        <v>2338.4270996109085</v>
      </c>
      <c r="GX123" s="535">
        <f t="shared" si="276"/>
        <v>762.19918501007453</v>
      </c>
      <c r="GY123" s="535"/>
      <c r="GZ123" s="535">
        <f t="shared" si="272"/>
        <v>0</v>
      </c>
      <c r="HA123" s="535" t="str">
        <f t="shared" si="273"/>
        <v/>
      </c>
      <c r="HB123" s="535">
        <f>IF(GK123="P",Lookup!$N$12,IF(GK123="PP",Lookup!$N$13,IF(GK123="PPP",Lookup!$N$14,IF(GK123="T",Lookup!$N$15,IF(GK123="TP",Lookup!$N$16,IF(GK123="TPP",Lookup!$N$17,IF(GK123="TPPP",Lookup!$N$18,0)))))))*GJ123</f>
        <v>0</v>
      </c>
      <c r="HC123" s="521">
        <f t="shared" si="366"/>
        <v>0</v>
      </c>
      <c r="HD123" s="535">
        <f t="shared" si="367"/>
        <v>1905.3029548955838</v>
      </c>
      <c r="HE123" s="535">
        <f t="shared" si="277"/>
        <v>621.02443119152008</v>
      </c>
      <c r="HF123" s="535"/>
      <c r="HG123" s="535">
        <f t="shared" si="274"/>
        <v>0</v>
      </c>
      <c r="HH123" s="535" t="str">
        <f t="shared" si="275"/>
        <v/>
      </c>
      <c r="HI123" s="535">
        <f>IF(GK123="P",Lookup!$N$12,IF(GK123="PP",Lookup!$N$13,IF(GK123="PPP",Lookup!$N$14,IF(GK123="T",Lookup!$N$15,IF(GK123="TP",Lookup!$N$16,IF(GK123="TPP",Lookup!$N$17,IF(GK123="TPPP",Lookup!$N$18,0)))))))*GJ123</f>
        <v>0</v>
      </c>
      <c r="HJ123" s="521">
        <f t="shared" si="368"/>
        <v>0</v>
      </c>
      <c r="HK123" s="535">
        <f t="shared" si="369"/>
        <v>1227.767568646653</v>
      </c>
      <c r="HL123" s="535">
        <f t="shared" si="278"/>
        <v>400.18499629943057</v>
      </c>
      <c r="HM123" s="535"/>
      <c r="HN123" s="541"/>
      <c r="HO123" s="541"/>
      <c r="HP123" s="541"/>
      <c r="HQ123" s="541">
        <f>IF(AND(B123&gt;=$FV$4,B123&lt;=$FW$4),MAX(110/1.02+$HQ$6+MIN(113/1.02,G123),IF($HV$6-(Sheet1!DA121-Sheet1!DB121)+MIN(113/1.02,G123)&lt;G123+FL123,$HV$6-(Sheet1!DA121-Sheet1!DB121)+MIN(113/1.02,G123),G123+FL123)),MIN(110/1.02+$HQ$6+113/1.02,G123))</f>
        <v>218.62745098039215</v>
      </c>
      <c r="HR123" s="541">
        <f t="shared" si="297"/>
        <v>223</v>
      </c>
      <c r="HS123" s="541">
        <f>HR123+(Sheet1!DA121-Sheet1!DB121)</f>
        <v>1033</v>
      </c>
      <c r="HT123" s="541">
        <f t="shared" si="298"/>
        <v>59.868899999999989</v>
      </c>
      <c r="HU123" s="541">
        <f t="shared" si="299"/>
        <v>973.13110000000006</v>
      </c>
      <c r="HV123" s="541">
        <f t="shared" si="300"/>
        <v>0</v>
      </c>
      <c r="HW123" s="533" t="str">
        <f t="shared" si="301"/>
        <v/>
      </c>
      <c r="HX123" s="541">
        <f t="shared" si="302"/>
        <v>1631.372549019608</v>
      </c>
      <c r="HY123" s="541">
        <f>Sheet1!CZ121</f>
        <v>1850</v>
      </c>
      <c r="HZ123" s="541">
        <f t="shared" si="303"/>
        <v>0</v>
      </c>
      <c r="IA123" s="541">
        <f t="shared" si="304"/>
        <v>59.868899999999989</v>
      </c>
      <c r="IB123" s="541">
        <f t="shared" si="305"/>
        <v>1850</v>
      </c>
      <c r="IC123" s="1019" t="str">
        <f t="shared" si="306"/>
        <v/>
      </c>
      <c r="ID123" s="541">
        <f t="shared" si="307"/>
        <v>1790.1311000000001</v>
      </c>
      <c r="IE123" s="541">
        <f>Sheet1!DB121</f>
        <v>1740</v>
      </c>
      <c r="IF123" s="533">
        <f>Sheet1!DA121</f>
        <v>2550</v>
      </c>
      <c r="IH123" s="541">
        <f>IF(AND($B123&gt;=$GC123,$B123&lt;=$GH123,$DR123&lt;0)+N("only adjusted when pool is drawn down during storage season"),Sheet1!$DB121+$DR123+N("Palmer minus all storage release"),Sheet1!$DB121)</f>
        <v>1740</v>
      </c>
      <c r="II123" s="541">
        <f>IF(AND($B123&gt;=$GC123,$B123&lt;=$GH123,$DR123&lt;0)+N("only adjusted when pool is drawn down during storage season"),Sheet1!$DA121+$DR123+N("Auburn minus all storage release"),Sheet1!$DA121)</f>
        <v>2550</v>
      </c>
    </row>
    <row r="124" spans="1:243" x14ac:dyDescent="0.25">
      <c r="A124" s="553" t="s">
        <v>3</v>
      </c>
      <c r="B124" s="531">
        <v>42848</v>
      </c>
      <c r="C124" s="536">
        <v>0</v>
      </c>
      <c r="D124" s="506">
        <f t="shared" si="247"/>
        <v>300</v>
      </c>
      <c r="E124" s="506">
        <f t="shared" si="248"/>
        <v>250</v>
      </c>
      <c r="F124" s="506">
        <v>250</v>
      </c>
      <c r="G124" s="535">
        <f>DR124+Sheet1!CZ122</f>
        <v>2091.6797781146388</v>
      </c>
      <c r="H124" s="1074">
        <f t="shared" si="370"/>
        <v>993.4430457599999</v>
      </c>
      <c r="I124" s="534">
        <f>IF(Sheet1!DA122&gt;=E124,(Sheet1!DA122-E124+P124)*CFStoMGD,0)</f>
        <v>1562.27504576</v>
      </c>
      <c r="J124" s="995">
        <f>IF(Sheet1!DB122&gt;=D124,(Sheet1!DB122-D124+P124)*CFStoMGD,0)</f>
        <v>993.4430457599999</v>
      </c>
      <c r="K124" s="818">
        <f t="shared" si="282"/>
        <v>64.64</v>
      </c>
      <c r="L124" s="535">
        <f>Sheet1!AA122+Sheet1!AB122-Sheet1!L122+(Sheet1!DA122-F124)*CFStoMGD-S124-T124-U124</f>
        <v>1497.636</v>
      </c>
      <c r="M124" s="535">
        <f t="shared" si="309"/>
        <v>1379.1030447447686</v>
      </c>
      <c r="N124" s="824">
        <f>IF(Sheet1!DA122&gt;=F124,MIN(113*CFStoMGD,MIN(MAX(L124,0),MAX(M124,0))),0)</f>
        <v>73.043199999999999</v>
      </c>
      <c r="O124" s="538">
        <f>Sheet1!AA122+Sheet1!AB122</f>
        <v>49.7</v>
      </c>
      <c r="P124" s="538">
        <f t="shared" si="310"/>
        <v>76.885899999999992</v>
      </c>
      <c r="Q124" s="812">
        <f t="shared" si="283"/>
        <v>38.700000000000003</v>
      </c>
      <c r="R124" s="812">
        <f t="shared" si="249"/>
        <v>10.954356846473029</v>
      </c>
      <c r="S124" s="812">
        <f t="shared" si="250"/>
        <v>11</v>
      </c>
      <c r="T124" s="812">
        <f t="shared" si="251"/>
        <v>53.64</v>
      </c>
      <c r="U124" s="812">
        <f t="shared" si="284"/>
        <v>0</v>
      </c>
      <c r="V124" s="812"/>
      <c r="W124" s="812">
        <f t="shared" si="252"/>
        <v>53.685643153526968</v>
      </c>
      <c r="X124" s="812">
        <f t="shared" si="253"/>
        <v>64.64</v>
      </c>
      <c r="Y124" s="812" t="str">
        <f t="shared" si="254"/>
        <v>FALSE</v>
      </c>
      <c r="Z124" s="812">
        <f t="shared" si="255"/>
        <v>49.7</v>
      </c>
      <c r="AA124" s="812">
        <f t="shared" si="256"/>
        <v>49.7</v>
      </c>
      <c r="AB124" s="1059">
        <f t="shared" si="285"/>
        <v>59.868900000000004</v>
      </c>
      <c r="AC124" s="538">
        <f>Sheet1!Y122*MGDtoCFS</f>
        <v>39.696019999999997</v>
      </c>
      <c r="AD124" s="538">
        <f>Sheet1!Z122*MGDtoCFS</f>
        <v>37.019709999999996</v>
      </c>
      <c r="AE124" s="538">
        <f>Sheet1!AA122*MGDtoCFS</f>
        <v>39.757899999999999</v>
      </c>
      <c r="AF124" s="538">
        <f>Sheet1!AB122*MGDtoCFS</f>
        <v>37.128</v>
      </c>
      <c r="AG124" s="538">
        <f>Sheet1!L122*MGDtoCFS</f>
        <v>0</v>
      </c>
      <c r="AH124" s="521">
        <f t="shared" si="311"/>
        <v>0</v>
      </c>
      <c r="AI124" s="1059">
        <f t="shared" si="312"/>
        <v>0</v>
      </c>
      <c r="AJ124" s="535">
        <f t="shared" si="313"/>
        <v>53.685643153526968</v>
      </c>
      <c r="AK124" s="535">
        <f t="shared" si="314"/>
        <v>83.051689958506216</v>
      </c>
      <c r="AL124" s="535">
        <f>(VLOOKUP(Sheet1!DC122,hhdcap_wcm,4)-(((VLOOKUP(Sheet1!DC122,hhdcap_wcm,3)-Sheet1!DC122)/(VLOOKUP(Sheet1!DC122,hhdcap_wcm,3)-VLOOKUP(Sheet1!DC122,hhdcap_wcm,1)))*(VLOOKUP(Sheet1!DC122,hhdcap_wcm,4)-VLOOKUP(Sheet1!DC122,hhdcap_wcm,2))))</f>
        <v>33506.400000085276</v>
      </c>
      <c r="AM124" s="535">
        <f t="shared" si="315"/>
        <v>485.20000000132859</v>
      </c>
      <c r="AN124" s="1035">
        <f t="shared" si="316"/>
        <v>3614.6942556545528</v>
      </c>
      <c r="AO124" s="535">
        <f t="shared" si="317"/>
        <v>11089.881976348168</v>
      </c>
      <c r="AP124" s="535">
        <f>Sheet1!BA122+Sheet1!BB122+Sheet1!BN122+CD124</f>
        <v>13.1</v>
      </c>
      <c r="AQ124" s="535">
        <f>Sheet1!BN122+(DO124*Sheet1!BN122)</f>
        <v>13.045643153526969</v>
      </c>
      <c r="AR124" s="535">
        <f>Sheet1!BA122+CD124</f>
        <v>0</v>
      </c>
      <c r="AS124" s="535">
        <f>Sheet1!BA122+Sheet1!BB122+CD124</f>
        <v>0</v>
      </c>
      <c r="AT124" s="649">
        <f>0</f>
        <v>0</v>
      </c>
      <c r="AU124" s="535">
        <f>IF(EB124&lt;K124,0,MAX(Sheet1!AA122+AQ124-15/36*K124-N124,Sheet1!EH122,0))</f>
        <v>0</v>
      </c>
      <c r="AV124" s="535">
        <f>IF(OR(B124&gt;=GD124,B124&lt;GC124),0,15/36*K124-MAX(0,64.6-(137.6-(Sheet1!AA122+Sheet1!AB122))))</f>
        <v>26.933333333333334</v>
      </c>
      <c r="AW124" s="1029"/>
      <c r="AX124" s="649"/>
      <c r="AY124" s="649">
        <f t="shared" si="286"/>
        <v>0</v>
      </c>
      <c r="AZ124" s="649">
        <f t="shared" si="287"/>
        <v>0</v>
      </c>
      <c r="BA124" s="1059">
        <f t="shared" si="288"/>
        <v>0</v>
      </c>
      <c r="BB124" s="1019">
        <f t="shared" si="318"/>
        <v>1804.533333333334</v>
      </c>
      <c r="BC124" s="1041">
        <f t="shared" si="289"/>
        <v>26.933333333333334</v>
      </c>
      <c r="BD124" s="1019">
        <f ca="1">IF(B124&gt;Summary!$A$1,#N/A,BB124*MGtoAF)</f>
        <v>5536.3082666666687</v>
      </c>
      <c r="BE124" s="535">
        <f>Sheet1!BG122+Sheet1!BH122+Sheet1!BI122-BM124</f>
        <v>1.01</v>
      </c>
      <c r="BF124" s="535">
        <f t="shared" si="319"/>
        <v>1.0058091286307054</v>
      </c>
      <c r="BG124" s="535">
        <f>IF(Sheet1!EP122="FM",BM124,0)</f>
        <v>0</v>
      </c>
      <c r="BH124" s="535">
        <f t="shared" si="320"/>
        <v>0</v>
      </c>
      <c r="BI124" s="535">
        <f>IF(Sheet1!EP122="OTHER",BM124,0)</f>
        <v>0</v>
      </c>
      <c r="BJ124" s="535">
        <f t="shared" si="321"/>
        <v>0</v>
      </c>
      <c r="BK124" s="535">
        <f t="shared" si="322"/>
        <v>1.01</v>
      </c>
      <c r="BL124" s="535">
        <f t="shared" si="323"/>
        <v>1.0058091286307054</v>
      </c>
      <c r="BM124" s="535">
        <f>IF(OR(Sheet1!EP122="FM", Sheet1!EP122="OTHER"),SUM(Sheet1!BG122:'Sheet1'!BI122),0)</f>
        <v>0</v>
      </c>
      <c r="BN124" s="521">
        <f>IF(AND($B124&gt;=$FV124,$B124&lt;=$FW124),MAX(BF124,Sheet1!EI122,0),MAX(BF124-(7/36)*$K124,0))</f>
        <v>0</v>
      </c>
      <c r="BO124" s="535">
        <f t="shared" si="324"/>
        <v>11.563079760258184</v>
      </c>
      <c r="BP124" s="521">
        <f t="shared" si="325"/>
        <v>1.0058091286307054</v>
      </c>
      <c r="BQ124" s="521">
        <f>IF(AND($O124&gt;0,Sheet1!EM122=1),(1-($O124-Sheet1!$L122)/$O124)*BL124,0)</f>
        <v>0</v>
      </c>
      <c r="BR124" s="521">
        <f>IF(AND(Sheet1!$L122=0,Sheet1!$L121=0, Calculation!BK124&lt;Sheet1!$EI122-0.1,Sheet1!$EI122=Sheet1!$EI121,Sheet1!$EI122=Sheet1!$EI123),BL124-BQ124,BL124-BQ124)</f>
        <v>1.0058091286307054</v>
      </c>
      <c r="BS124" s="1035" t="str">
        <f t="shared" si="290"/>
        <v/>
      </c>
      <c r="BT124" s="1035">
        <f t="shared" si="291"/>
        <v>12.568888888888889</v>
      </c>
      <c r="BU124" s="535">
        <f t="shared" si="326"/>
        <v>773.76226477033276</v>
      </c>
      <c r="BV124" s="535"/>
      <c r="BW124" s="535">
        <f ca="1">IF(B124&gt;Summary!$A$1,#N/A,BU124*MGtoAF)</f>
        <v>2373.9026283153808</v>
      </c>
      <c r="BX124" s="535">
        <f>Sheet1!BC122+Sheet1!BD122+Sheet1!BE122+Sheet1!BF122-CG124-CH124</f>
        <v>3.51</v>
      </c>
      <c r="BY124" s="535">
        <f t="shared" si="327"/>
        <v>3.4954356846473025</v>
      </c>
      <c r="BZ124" s="535">
        <f>IF(Sheet1!EQ122="FM",CH124,0)</f>
        <v>0</v>
      </c>
      <c r="CA124" s="535">
        <f t="shared" si="328"/>
        <v>0</v>
      </c>
      <c r="CB124" s="535">
        <f>IF(Sheet1!EQ122="OTHER",CH124,0)</f>
        <v>0</v>
      </c>
      <c r="CC124" s="535">
        <f t="shared" si="329"/>
        <v>0</v>
      </c>
      <c r="CD124" s="535">
        <f t="shared" si="330"/>
        <v>0</v>
      </c>
      <c r="CE124" s="535">
        <f t="shared" si="331"/>
        <v>3.51</v>
      </c>
      <c r="CF124" s="535">
        <f t="shared" si="332"/>
        <v>3.4954356846473025</v>
      </c>
      <c r="CG124" s="535">
        <f>IF(Sheet1!EQ122="CWA",SUM(Sheet1!BC122:'Sheet1'!BF122),0)</f>
        <v>0</v>
      </c>
      <c r="CH124" s="535">
        <f>IF(OR(Sheet1!EQ122="FM", Sheet1!EQ122="OTHER"),SUM(Sheet1!BC122:'Sheet1'!BF122),0)</f>
        <v>0</v>
      </c>
      <c r="CI124" s="521">
        <f>IF(AND($B124&gt;=$FV124,$B124&lt;=$FW124),MAX(CF124,Sheet1!EJ122,0),MAX(CF124-(7/36)*$K124,0))</f>
        <v>0</v>
      </c>
      <c r="CJ124" s="535">
        <f t="shared" si="333"/>
        <v>9.0734532042415861</v>
      </c>
      <c r="CK124" s="521">
        <f t="shared" si="334"/>
        <v>3.4954356846473025</v>
      </c>
      <c r="CL124" s="521">
        <f>IF(AND($O124&gt;0,Sheet1!EN122=1),(1-($O124-Sheet1!$L122)/$O124)*CF124,0)</f>
        <v>0</v>
      </c>
      <c r="CM124" s="521">
        <f>IF(AND(Sheet1!$L122=0,Sheet1!$L121=0, Calculation!CE124&lt;Sheet1!EJ122-0.1,Sheet1!EJ122=Sheet1!EJ121,Sheet1!EJ122=Sheet1!EJ123),CF124-CL124,CF124-CL124)</f>
        <v>3.4954356846473025</v>
      </c>
      <c r="CN124" s="1040" t="str">
        <f t="shared" si="292"/>
        <v/>
      </c>
      <c r="CO124" s="1035">
        <f t="shared" si="293"/>
        <v>12.568888888888889</v>
      </c>
      <c r="CP124" s="535">
        <f t="shared" si="335"/>
        <v>630.09788439576164</v>
      </c>
      <c r="CQ124" s="535"/>
      <c r="CR124" s="535">
        <f ca="1">IF(B124&gt;Summary!$A$1,#N/A,CP124*MGtoAF)</f>
        <v>1933.1403093261968</v>
      </c>
      <c r="CS124" s="535">
        <f>Sheet1!BK122+Sheet1!BL122+Sheet1!BM122-Sheet1!ER122-DA124</f>
        <v>6.48</v>
      </c>
      <c r="CT124" s="535">
        <f t="shared" si="336"/>
        <v>6.4531120331950209</v>
      </c>
      <c r="CU124" s="535">
        <f>IF(Sheet1!ER122="FM",DA124,0)</f>
        <v>0</v>
      </c>
      <c r="CV124" s="535">
        <f t="shared" si="337"/>
        <v>0</v>
      </c>
      <c r="CW124" s="535">
        <f>IF(Sheet1!ER122="OTHER",DA124,0)</f>
        <v>0</v>
      </c>
      <c r="CX124" s="535">
        <f t="shared" si="338"/>
        <v>0</v>
      </c>
      <c r="CY124" s="535">
        <f t="shared" si="339"/>
        <v>6.48</v>
      </c>
      <c r="CZ124" s="535">
        <f t="shared" si="340"/>
        <v>6.4531120331950209</v>
      </c>
      <c r="DA124" s="535">
        <f>IF(OR(Sheet1!ER122="FM", Sheet1!ER122="OTHER"),SUM(Sheet1!BK122:'Sheet1'!BM122),0)</f>
        <v>0</v>
      </c>
      <c r="DB124" s="1011">
        <f>IF(AND($B124&gt;=$FV124,$B124&lt;=$FW124),MAX($CT124,Sheet1!EK122,0),MAX($CT124-(7/36)*$K124,0))</f>
        <v>0</v>
      </c>
      <c r="DC124" s="1012">
        <f t="shared" si="341"/>
        <v>6.1157768556938681</v>
      </c>
      <c r="DD124" s="1011">
        <f t="shared" si="342"/>
        <v>6.4531120331950209</v>
      </c>
      <c r="DE124" s="521">
        <f>IF(AND($O124&gt;0,Sheet1!EO122=1),(1-($O124-Sheet1!$L122)/$O124)*CZ124,0)</f>
        <v>0</v>
      </c>
      <c r="DF124" s="521">
        <f>IF(AND(Sheet1!$L122=0,Sheet1!$L121=0, Calculation!CY124&lt;Sheet1!$EK122-0.1,Sheet1!$EK122=Sheet1!$EK121,Sheet1!$EK122=Sheet1!$EK123),CZ124-DE124,CZ124-DE124)</f>
        <v>6.4531120331950209</v>
      </c>
      <c r="DG124" s="1040">
        <f t="shared" si="294"/>
        <v>12.568888888888889</v>
      </c>
      <c r="DH124" s="649">
        <f t="shared" si="343"/>
        <v>11</v>
      </c>
      <c r="DI124" s="535">
        <f t="shared" si="344"/>
        <v>406.30077315512443</v>
      </c>
      <c r="DJ124" s="649">
        <f t="shared" si="345"/>
        <v>10.954356846473029</v>
      </c>
      <c r="DK124" s="535">
        <f ca="1">IF(B124&gt;Summary!$A$1,#N/A,DI124*MGtoAF)</f>
        <v>1246.5307720399219</v>
      </c>
      <c r="DL124" s="649">
        <f t="shared" si="346"/>
        <v>11</v>
      </c>
      <c r="DM124" s="535">
        <f t="shared" si="347"/>
        <v>24.1</v>
      </c>
      <c r="DN124" s="535">
        <f>Sheet1!AB122-DM124</f>
        <v>-0.10000000000000142</v>
      </c>
      <c r="DO124" s="743">
        <f t="shared" si="348"/>
        <v>-4.1493775933610548E-3</v>
      </c>
      <c r="DP124" s="535">
        <f>(VLOOKUP(Sheet1!DC122,hhdcap_wcm,4)-(((VLOOKUP(Sheet1!DC122,hhdcap_wcm,3)-Sheet1!DC122)/(VLOOKUP(Sheet1!DC122,hhdcap_wcm,3)-VLOOKUP(Sheet1!DC122,hhdcap_wcm,1)))*(VLOOKUP(Sheet1!DC122,hhdcap_wcm,4)-VLOOKUP(Sheet1!DC122,hhdcap_wcm,2))))</f>
        <v>33506.400000085276</v>
      </c>
      <c r="DQ124" s="535">
        <f t="shared" si="349"/>
        <v>485.20000000132859</v>
      </c>
      <c r="DR124" s="535">
        <f t="shared" si="350"/>
        <v>244.67977811463868</v>
      </c>
      <c r="DS124" s="535">
        <f>Sheet1!EA122*AFtoMG</f>
        <v>0</v>
      </c>
      <c r="DT124" s="535">
        <f>Sheet1!EB122*AFtoMG</f>
        <v>0</v>
      </c>
      <c r="DU124" s="535">
        <f>Sheet1!EC122*AFtoMG</f>
        <v>0</v>
      </c>
      <c r="DV124" s="535">
        <f>Sheet1!ED122*AFtoMG</f>
        <v>0</v>
      </c>
      <c r="DW124" s="535">
        <f t="shared" si="351"/>
        <v>0</v>
      </c>
      <c r="DX124" s="535">
        <f t="shared" si="352"/>
        <v>0</v>
      </c>
      <c r="DY124" s="535">
        <f t="shared" si="353"/>
        <v>3614.6942556545528</v>
      </c>
      <c r="DZ124" s="535">
        <f t="shared" si="354"/>
        <v>11089.881976348168</v>
      </c>
      <c r="EA124" s="535"/>
      <c r="EB124" s="521">
        <f>IF(OR(B124&lt;FV124,B124&gt;FW124),(MIN(BF124+BY124+CT124+MAX(Sheet1!AA122+AQ124-73,0),K124)),0)</f>
        <v>10.954356846473029</v>
      </c>
      <c r="EC124" s="535"/>
      <c r="ED124" s="535">
        <f t="shared" si="355"/>
        <v>10.954356846473029</v>
      </c>
      <c r="EE124" s="535"/>
      <c r="EF124" s="535">
        <f>Sheet1!EH122+Sheet1!EI122+Sheet1!EJ122+Sheet1!EK122</f>
        <v>11</v>
      </c>
      <c r="EG124" s="1019">
        <f t="shared" si="295"/>
        <v>17.016999999999999</v>
      </c>
      <c r="EH124" s="521">
        <f t="shared" si="356"/>
        <v>0</v>
      </c>
      <c r="EI124" s="535">
        <f>IF(Sheet1!ET122=1,SUM('Calculations II'!AT124:BA124)+'Calculations II'!BC124+Sheet1!BV122+'Calculations II'!BE124+AP124,'Calculations II'!BK124)</f>
        <v>45.920065153526963</v>
      </c>
      <c r="EJ124" s="535">
        <f ca="1">EI124+'Calculations II'!D124+'Calculations II'!E124+'Calculations II'!O124</f>
        <v>43.459327290999255</v>
      </c>
      <c r="EK124" s="535"/>
      <c r="EL124" s="535"/>
      <c r="EM124" s="535">
        <f t="shared" si="357"/>
        <v>42848</v>
      </c>
      <c r="EN124" s="535">
        <f t="shared" si="358"/>
        <v>53.685643153526968</v>
      </c>
      <c r="EO124" s="535">
        <f t="shared" si="359"/>
        <v>83.051689958506216</v>
      </c>
      <c r="EP124" s="535">
        <v>0</v>
      </c>
      <c r="EQ124" s="535">
        <v>0</v>
      </c>
      <c r="ER124" s="535">
        <v>0</v>
      </c>
      <c r="ES124" s="521">
        <f t="shared" si="257"/>
        <v>2.0742840879021753</v>
      </c>
      <c r="ET124" s="535">
        <f>-(VLOOKUP(Sheet1!BQ122,Lookup!$O$4:$Q$262,2)-VLOOKUP(Sheet1!BQ121,Lookup!$O$4:$Q$262,2))/1000000</f>
        <v>1.7994691081800349</v>
      </c>
      <c r="EU124" s="535">
        <f>-(VLOOKUP(Sheet1!BR122,Lookup!$O$4:$Q$262,3)-VLOOKUP(Sheet1!BR121,Lookup!$O$4:$Q$262,3))/1000000</f>
        <v>0.27481497972214036</v>
      </c>
      <c r="EV124" s="535"/>
      <c r="EW124" s="535"/>
      <c r="EX124" s="535"/>
      <c r="EY124" s="535"/>
      <c r="EZ124" s="535"/>
      <c r="FA124" s="535"/>
      <c r="FB124" s="535"/>
      <c r="FC124" s="535"/>
      <c r="FD124" s="567" t="e">
        <f t="shared" si="360"/>
        <v>#N/A</v>
      </c>
      <c r="FE124" s="567" t="e">
        <f t="shared" si="361"/>
        <v>#N/A</v>
      </c>
      <c r="FF124" s="568" t="e">
        <f t="shared" si="362"/>
        <v>#N/A</v>
      </c>
      <c r="FG124" s="569" t="s">
        <v>656</v>
      </c>
      <c r="FH124" s="569" t="s">
        <v>656</v>
      </c>
      <c r="FI124" s="567" t="e">
        <v>#N/A</v>
      </c>
      <c r="FJ124" s="567" t="e">
        <v>#N/A</v>
      </c>
      <c r="FK124" s="535"/>
      <c r="FL124" s="1015">
        <v>0</v>
      </c>
      <c r="FM124" s="535"/>
      <c r="FN124" s="535"/>
      <c r="FO124" s="535">
        <f>O124+((Sheet1!CS122)*GPMtoMGD)</f>
        <v>54.823376000000003</v>
      </c>
      <c r="FP124" s="535">
        <f>IF(Sheet1!AA122+AQ124&lt;=Calculation!N124,AQ124,Calculation!N124-Sheet1!AA122)</f>
        <v>13.045643153526969</v>
      </c>
      <c r="FQ124" s="535">
        <f>(Sheet1!BP122+Sheet1!BO122)/694.4</f>
        <v>1.817972350230415</v>
      </c>
      <c r="FR124" s="541"/>
      <c r="FS124" s="541"/>
      <c r="FT124" s="541"/>
      <c r="FU124" s="541"/>
      <c r="FV124" s="1109">
        <f t="shared" si="258"/>
        <v>42918</v>
      </c>
      <c r="FW124" s="1109">
        <f t="shared" si="259"/>
        <v>43027</v>
      </c>
      <c r="FX124" s="541"/>
      <c r="FY124" s="541">
        <f>Sheet1!DA122-Sheet1!CZ122-Sheet1!AE122</f>
        <v>666.11410000000001</v>
      </c>
      <c r="FZ124" s="535">
        <f t="shared" si="296"/>
        <v>0.31845892806804782</v>
      </c>
      <c r="GA124" s="535"/>
      <c r="GB124" s="535" t="str">
        <f t="shared" si="260"/>
        <v>n</v>
      </c>
      <c r="GC124" s="539">
        <f t="shared" si="261"/>
        <v>42782</v>
      </c>
      <c r="GD124" s="1109">
        <f t="shared" si="262"/>
        <v>42904</v>
      </c>
      <c r="GE124" s="535">
        <f t="shared" si="280"/>
        <v>6520</v>
      </c>
      <c r="GF124" s="1109">
        <f t="shared" si="263"/>
        <v>42909</v>
      </c>
      <c r="GG124" s="535">
        <f t="shared" si="308"/>
        <v>3260</v>
      </c>
      <c r="GH124" s="539">
        <f t="shared" si="264"/>
        <v>43040</v>
      </c>
      <c r="GJ124" s="521">
        <f t="shared" si="265"/>
        <v>0</v>
      </c>
      <c r="GK124" s="535" t="str">
        <f t="shared" si="363"/>
        <v/>
      </c>
      <c r="GL124" s="535">
        <f t="shared" si="266"/>
        <v>0</v>
      </c>
      <c r="GM124" s="535" t="str">
        <f t="shared" si="267"/>
        <v/>
      </c>
      <c r="GN124" s="535">
        <f>IF(GK124="P",Lookup!$M$12,IF(GK124="PP",Lookup!$M$13,IF(GK124="PPP",Lookup!$M$14,IF(GK124="T",Lookup!$M$15,IF(GK124="TP",Lookup!$M$16,IF(GK124="TPP",Lookup!$M$17,IF(GK124="TPPP",Lookup!$M$18,0)))))))*GJ124</f>
        <v>0</v>
      </c>
      <c r="GO124" s="535">
        <f t="shared" si="268"/>
        <v>0</v>
      </c>
      <c r="GP124" s="535">
        <f t="shared" si="364"/>
        <v>5536.3082666666687</v>
      </c>
      <c r="GQ124" s="535">
        <f t="shared" si="279"/>
        <v>1804.533333333334</v>
      </c>
      <c r="GR124" s="535"/>
      <c r="GS124" s="535">
        <f t="shared" si="269"/>
        <v>0</v>
      </c>
      <c r="GT124" s="535" t="str">
        <f t="shared" si="270"/>
        <v/>
      </c>
      <c r="GU124" s="535">
        <f>IF(GK124="P",Lookup!$N$12,IF(GK124="PP",Lookup!$N$13,IF(GK124="PPP",Lookup!$N$14,IF(GK124="T",Lookup!$N$15,IF(GK124="TP",Lookup!$N$16,IF(GK124="TPP",Lookup!$N$17,IF(GK124="TPPP",Lookup!$N$18,0)))))))*GJ124</f>
        <v>0</v>
      </c>
      <c r="GV124" s="535">
        <f t="shared" si="271"/>
        <v>0</v>
      </c>
      <c r="GW124" s="535">
        <f t="shared" si="365"/>
        <v>2373.9026283153808</v>
      </c>
      <c r="GX124" s="535">
        <f t="shared" si="276"/>
        <v>773.76226477033276</v>
      </c>
      <c r="GY124" s="535"/>
      <c r="GZ124" s="535">
        <f t="shared" si="272"/>
        <v>0</v>
      </c>
      <c r="HA124" s="535" t="str">
        <f t="shared" si="273"/>
        <v/>
      </c>
      <c r="HB124" s="535">
        <f>IF(GK124="P",Lookup!$N$12,IF(GK124="PP",Lookup!$N$13,IF(GK124="PPP",Lookup!$N$14,IF(GK124="T",Lookup!$N$15,IF(GK124="TP",Lookup!$N$16,IF(GK124="TPP",Lookup!$N$17,IF(GK124="TPPP",Lookup!$N$18,0)))))))*GJ124</f>
        <v>0</v>
      </c>
      <c r="HC124" s="521">
        <f t="shared" si="366"/>
        <v>0</v>
      </c>
      <c r="HD124" s="535">
        <f t="shared" si="367"/>
        <v>1933.1403093261968</v>
      </c>
      <c r="HE124" s="535">
        <f t="shared" si="277"/>
        <v>630.09788439576164</v>
      </c>
      <c r="HF124" s="535"/>
      <c r="HG124" s="535">
        <f t="shared" si="274"/>
        <v>0</v>
      </c>
      <c r="HH124" s="535" t="str">
        <f t="shared" si="275"/>
        <v/>
      </c>
      <c r="HI124" s="535">
        <f>IF(GK124="P",Lookup!$N$12,IF(GK124="PP",Lookup!$N$13,IF(GK124="PPP",Lookup!$N$14,IF(GK124="T",Lookup!$N$15,IF(GK124="TP",Lookup!$N$16,IF(GK124="TPP",Lookup!$N$17,IF(GK124="TPPP",Lookup!$N$18,0)))))))*GJ124</f>
        <v>0</v>
      </c>
      <c r="HJ124" s="521">
        <f t="shared" si="368"/>
        <v>0</v>
      </c>
      <c r="HK124" s="535">
        <f t="shared" si="369"/>
        <v>1246.5307720399219</v>
      </c>
      <c r="HL124" s="535">
        <f t="shared" si="278"/>
        <v>406.30077315512443</v>
      </c>
      <c r="HM124" s="535"/>
      <c r="HN124" s="541"/>
      <c r="HO124" s="541"/>
      <c r="HP124" s="541"/>
      <c r="HQ124" s="541">
        <f>IF(AND(B124&gt;=$FV$4,B124&lt;=$FW$4),MAX(110/1.02+$HQ$6+MIN(113/1.02,G124),IF($HV$6-(Sheet1!DA122-Sheet1!DB122)+MIN(113/1.02,G124)&lt;G124+FL124,$HV$6-(Sheet1!DA122-Sheet1!DB122)+MIN(113/1.02,G124),G124+FL124)),MIN(110/1.02+$HQ$6+113/1.02,G124))</f>
        <v>218.62745098039215</v>
      </c>
      <c r="HR124" s="541">
        <f t="shared" si="297"/>
        <v>223</v>
      </c>
      <c r="HS124" s="541">
        <f>HR124+(Sheet1!DA122-Sheet1!DB122)</f>
        <v>1053</v>
      </c>
      <c r="HT124" s="541">
        <f t="shared" si="298"/>
        <v>59.868900000000004</v>
      </c>
      <c r="HU124" s="541">
        <f t="shared" si="299"/>
        <v>993.13109999999995</v>
      </c>
      <c r="HV124" s="541">
        <f t="shared" si="300"/>
        <v>0</v>
      </c>
      <c r="HW124" s="533" t="str">
        <f t="shared" si="301"/>
        <v/>
      </c>
      <c r="HX124" s="541">
        <f t="shared" si="302"/>
        <v>1628.372549019608</v>
      </c>
      <c r="HY124" s="541">
        <f>Sheet1!CZ122</f>
        <v>1847</v>
      </c>
      <c r="HZ124" s="541">
        <f t="shared" si="303"/>
        <v>0</v>
      </c>
      <c r="IA124" s="541">
        <f t="shared" si="304"/>
        <v>59.868900000000004</v>
      </c>
      <c r="IB124" s="541">
        <f t="shared" si="305"/>
        <v>1847</v>
      </c>
      <c r="IC124" s="1019" t="str">
        <f t="shared" si="306"/>
        <v/>
      </c>
      <c r="ID124" s="541">
        <f t="shared" si="307"/>
        <v>1787.1311000000001</v>
      </c>
      <c r="IE124" s="541">
        <f>Sheet1!DB122</f>
        <v>1760</v>
      </c>
      <c r="IF124" s="533">
        <f>Sheet1!DA122</f>
        <v>2590</v>
      </c>
      <c r="IH124" s="541">
        <f>IF(AND($B124&gt;=$GC124,$B124&lt;=$GH124,$DR124&lt;0)+N("only adjusted when pool is drawn down during storage season"),Sheet1!$DB122+$DR124+N("Palmer minus all storage release"),Sheet1!$DB122)</f>
        <v>1760</v>
      </c>
      <c r="II124" s="541">
        <f>IF(AND($B124&gt;=$GC124,$B124&lt;=$GH124,$DR124&lt;0)+N("only adjusted when pool is drawn down during storage season"),Sheet1!$DA122+$DR124+N("Auburn minus all storage release"),Sheet1!$DA122)</f>
        <v>2590</v>
      </c>
    </row>
    <row r="125" spans="1:243" x14ac:dyDescent="0.25">
      <c r="A125" s="553" t="s">
        <v>4</v>
      </c>
      <c r="B125" s="531">
        <v>42849</v>
      </c>
      <c r="C125" s="536">
        <v>0</v>
      </c>
      <c r="D125" s="506">
        <f t="shared" si="247"/>
        <v>300</v>
      </c>
      <c r="E125" s="506">
        <f t="shared" si="248"/>
        <v>250</v>
      </c>
      <c r="F125" s="506">
        <v>250</v>
      </c>
      <c r="G125" s="535">
        <f>DR125+Sheet1!CZ123</f>
        <v>2150.3328290475765</v>
      </c>
      <c r="H125" s="1074">
        <f t="shared" si="370"/>
        <v>1052.7890232959999</v>
      </c>
      <c r="I125" s="534">
        <f>IF(Sheet1!DA123&gt;=E125,(Sheet1!DA123-E125+P125)*CFStoMGD,0)</f>
        <v>1615.1570232959998</v>
      </c>
      <c r="J125" s="995">
        <f>IF(Sheet1!DB123&gt;=D125,(Sheet1!DB123-D125+P125)*CFStoMGD,0)</f>
        <v>1052.7890232959999</v>
      </c>
      <c r="K125" s="818">
        <f t="shared" si="282"/>
        <v>64.64</v>
      </c>
      <c r="L125" s="535">
        <f>Sheet1!AA123+Sheet1!AB123-Sheet1!L123+(Sheet1!DA123-F125)*CFStoMGD-S125-T125-U125</f>
        <v>1550.518</v>
      </c>
      <c r="M125" s="535">
        <f t="shared" si="309"/>
        <v>1417.7746435102806</v>
      </c>
      <c r="N125" s="824">
        <f>IF(Sheet1!DA123&gt;=F125,MIN(113*CFStoMGD,MIN(MAX(L125,0),MAX(M125,0))),0)</f>
        <v>73.043199999999999</v>
      </c>
      <c r="O125" s="538">
        <f>Sheet1!AA123+Sheet1!AB123</f>
        <v>50.870000000000005</v>
      </c>
      <c r="P125" s="538">
        <f t="shared" si="310"/>
        <v>78.695889999999991</v>
      </c>
      <c r="Q125" s="812">
        <f t="shared" si="283"/>
        <v>40.080000000000005</v>
      </c>
      <c r="R125" s="812">
        <f t="shared" si="249"/>
        <v>10.739003544702639</v>
      </c>
      <c r="S125" s="812">
        <f t="shared" si="250"/>
        <v>10.790000000000001</v>
      </c>
      <c r="T125" s="812">
        <f t="shared" si="251"/>
        <v>53.85</v>
      </c>
      <c r="U125" s="812">
        <f t="shared" si="284"/>
        <v>0</v>
      </c>
      <c r="V125" s="812"/>
      <c r="W125" s="812">
        <f t="shared" si="252"/>
        <v>53.90099645529736</v>
      </c>
      <c r="X125" s="812">
        <f t="shared" si="253"/>
        <v>64.64</v>
      </c>
      <c r="Y125" s="812" t="str">
        <f t="shared" si="254"/>
        <v>FALSE</v>
      </c>
      <c r="Z125" s="812">
        <f t="shared" si="255"/>
        <v>50.870000000000005</v>
      </c>
      <c r="AA125" s="812">
        <f t="shared" si="256"/>
        <v>50.870000000000005</v>
      </c>
      <c r="AB125" s="1059">
        <f t="shared" si="285"/>
        <v>62.003760000000007</v>
      </c>
      <c r="AC125" s="538">
        <f>Sheet1!Y123*MGDtoCFS</f>
        <v>39.757899999999999</v>
      </c>
      <c r="AD125" s="538">
        <f>Sheet1!Z123*MGDtoCFS</f>
        <v>37.128</v>
      </c>
      <c r="AE125" s="538">
        <f>Sheet1!AA123*MGDtoCFS</f>
        <v>39.603200000000001</v>
      </c>
      <c r="AF125" s="538">
        <f>Sheet1!AB123*MGDtoCFS</f>
        <v>39.092689999999997</v>
      </c>
      <c r="AG125" s="538">
        <f>Sheet1!L123*MGDtoCFS</f>
        <v>0</v>
      </c>
      <c r="AH125" s="521">
        <f t="shared" si="311"/>
        <v>0</v>
      </c>
      <c r="AI125" s="1059">
        <f t="shared" si="312"/>
        <v>0</v>
      </c>
      <c r="AJ125" s="535">
        <f t="shared" si="313"/>
        <v>53.90099645529736</v>
      </c>
      <c r="AK125" s="535">
        <f t="shared" si="314"/>
        <v>83.384841516345006</v>
      </c>
      <c r="AL125" s="535">
        <f>(VLOOKUP(Sheet1!DC123,hhdcap_wcm,4)-(((VLOOKUP(Sheet1!DC123,hhdcap_wcm,3)-Sheet1!DC123)/(VLOOKUP(Sheet1!DC123,hhdcap_wcm,3)-VLOOKUP(Sheet1!DC123,hhdcap_wcm,1)))*(VLOOKUP(Sheet1!DC123,hhdcap_wcm,4)-VLOOKUP(Sheet1!DC123,hhdcap_wcm,2))))</f>
        <v>33864.00000008662</v>
      </c>
      <c r="AM125" s="535">
        <f t="shared" si="315"/>
        <v>357.6000000013446</v>
      </c>
      <c r="AN125" s="1035">
        <f t="shared" si="316"/>
        <v>3668.5952521098502</v>
      </c>
      <c r="AO125" s="535">
        <f t="shared" si="317"/>
        <v>11255.25023347302</v>
      </c>
      <c r="AP125" s="535">
        <f>Sheet1!BA123+Sheet1!BB123+Sheet1!BN123+CD125</f>
        <v>14.6</v>
      </c>
      <c r="AQ125" s="535">
        <f>Sheet1!BN123+(DO125*Sheet1!BN123)</f>
        <v>14.530996455297361</v>
      </c>
      <c r="AR125" s="535">
        <f>Sheet1!BA123+CD125</f>
        <v>0</v>
      </c>
      <c r="AS125" s="535">
        <f>Sheet1!BA123+Sheet1!BB123+CD125</f>
        <v>0</v>
      </c>
      <c r="AT125" s="649">
        <f>0</f>
        <v>0</v>
      </c>
      <c r="AU125" s="535">
        <f>IF(EB125&lt;K125,0,MAX(Sheet1!AA123+AQ125-15/36*K125-N125,Sheet1!EH123,0))</f>
        <v>0</v>
      </c>
      <c r="AV125" s="535">
        <f>IF(OR(B125&gt;=GD125,B125&lt;GC125),0,15/36*K125-MAX(0,64.6-(137.6-(Sheet1!AA123+Sheet1!AB123))))</f>
        <v>26.933333333333334</v>
      </c>
      <c r="AW125" s="1029"/>
      <c r="AX125" s="649"/>
      <c r="AY125" s="649">
        <f t="shared" si="286"/>
        <v>0</v>
      </c>
      <c r="AZ125" s="649">
        <f t="shared" si="287"/>
        <v>0</v>
      </c>
      <c r="BA125" s="1059">
        <f t="shared" si="288"/>
        <v>0</v>
      </c>
      <c r="BB125" s="1019">
        <f t="shared" si="318"/>
        <v>1831.4666666666674</v>
      </c>
      <c r="BC125" s="1041">
        <f t="shared" si="289"/>
        <v>26.933333333333334</v>
      </c>
      <c r="BD125" s="1019">
        <f ca="1">IF(B125&gt;Summary!$A$1,#N/A,BB125*MGtoAF)</f>
        <v>5618.9397333333354</v>
      </c>
      <c r="BE125" s="535">
        <f>Sheet1!BG123+Sheet1!BH123+Sheet1!BI123-BM125</f>
        <v>1</v>
      </c>
      <c r="BF125" s="535">
        <f t="shared" si="319"/>
        <v>0.99527372981488771</v>
      </c>
      <c r="BG125" s="535">
        <f>IF(Sheet1!EP123="FM",BM125,0)</f>
        <v>0</v>
      </c>
      <c r="BH125" s="535">
        <f t="shared" si="320"/>
        <v>0</v>
      </c>
      <c r="BI125" s="535">
        <f>IF(Sheet1!EP123="OTHER",BM125,0)</f>
        <v>0</v>
      </c>
      <c r="BJ125" s="535">
        <f t="shared" si="321"/>
        <v>0</v>
      </c>
      <c r="BK125" s="535">
        <f t="shared" si="322"/>
        <v>1</v>
      </c>
      <c r="BL125" s="535">
        <f t="shared" si="323"/>
        <v>0.99527372981488771</v>
      </c>
      <c r="BM125" s="535">
        <f>IF(OR(Sheet1!EP123="FM", Sheet1!EP123="OTHER"),SUM(Sheet1!BG123:'Sheet1'!BI123),0)</f>
        <v>0</v>
      </c>
      <c r="BN125" s="521">
        <f>IF(AND($B125&gt;=$FV125,$B125&lt;=$FW125),MAX(BF125,Sheet1!EI123,0),MAX(BF125-(7/36)*$K125,0))</f>
        <v>0</v>
      </c>
      <c r="BO125" s="535">
        <f t="shared" si="324"/>
        <v>11.573615159074002</v>
      </c>
      <c r="BP125" s="521">
        <f t="shared" si="325"/>
        <v>0.99527372981488771</v>
      </c>
      <c r="BQ125" s="521">
        <f>IF(AND($O125&gt;0,Sheet1!EM123=1),(1-($O125-Sheet1!$L123)/$O125)*BL125,0)</f>
        <v>0</v>
      </c>
      <c r="BR125" s="521">
        <f>IF(AND(Sheet1!$L123=0,Sheet1!$L122=0, Calculation!BK125&lt;Sheet1!$EI123-0.1,Sheet1!$EI123=Sheet1!$EI122,Sheet1!$EI123=Sheet1!$EI124),BL125-BQ125,BL125-BQ125)</f>
        <v>0.99527372981488771</v>
      </c>
      <c r="BS125" s="1035" t="str">
        <f t="shared" si="290"/>
        <v/>
      </c>
      <c r="BT125" s="1035">
        <f t="shared" si="291"/>
        <v>12.568888888888889</v>
      </c>
      <c r="BU125" s="535">
        <f t="shared" si="326"/>
        <v>785.33587992940681</v>
      </c>
      <c r="BV125" s="535"/>
      <c r="BW125" s="535">
        <f ca="1">IF(B125&gt;Summary!$A$1,#N/A,BU125*MGtoAF)</f>
        <v>2409.4104796234201</v>
      </c>
      <c r="BX125" s="535">
        <f>Sheet1!BC123+Sheet1!BD123+Sheet1!BE123+Sheet1!BF123-CG125-CH125</f>
        <v>3.31</v>
      </c>
      <c r="BY125" s="535">
        <f t="shared" si="327"/>
        <v>3.2943560456872785</v>
      </c>
      <c r="BZ125" s="535">
        <f>IF(Sheet1!EQ123="FM",CH125,0)</f>
        <v>0</v>
      </c>
      <c r="CA125" s="535">
        <f t="shared" si="328"/>
        <v>0</v>
      </c>
      <c r="CB125" s="535">
        <f>IF(Sheet1!EQ123="OTHER",CH125,0)</f>
        <v>0</v>
      </c>
      <c r="CC125" s="535">
        <f t="shared" si="329"/>
        <v>0</v>
      </c>
      <c r="CD125" s="535">
        <f t="shared" si="330"/>
        <v>0</v>
      </c>
      <c r="CE125" s="535">
        <f t="shared" si="331"/>
        <v>3.31</v>
      </c>
      <c r="CF125" s="535">
        <f t="shared" si="332"/>
        <v>3.2943560456872785</v>
      </c>
      <c r="CG125" s="535">
        <f>IF(Sheet1!EQ123="CWA",SUM(Sheet1!BC123:'Sheet1'!BF123),0)</f>
        <v>0</v>
      </c>
      <c r="CH125" s="535">
        <f>IF(OR(Sheet1!EQ123="FM", Sheet1!EQ123="OTHER"),SUM(Sheet1!BC123:'Sheet1'!BF123),0)</f>
        <v>0</v>
      </c>
      <c r="CI125" s="521">
        <f>IF(AND($B125&gt;=$FV125,$B125&lt;=$FW125),MAX(CF125,Sheet1!EJ123,0),MAX(CF125-(7/36)*$K125,0))</f>
        <v>0</v>
      </c>
      <c r="CJ125" s="535">
        <f t="shared" si="333"/>
        <v>9.2745328432016105</v>
      </c>
      <c r="CK125" s="521">
        <f t="shared" si="334"/>
        <v>3.2943560456872785</v>
      </c>
      <c r="CL125" s="521">
        <f>IF(AND($O125&gt;0,Sheet1!EN123=1),(1-($O125-Sheet1!$L123)/$O125)*CF125,0)</f>
        <v>0</v>
      </c>
      <c r="CM125" s="521">
        <f>IF(AND(Sheet1!$L123=0,Sheet1!$L122=0, Calculation!CE125&lt;Sheet1!EJ123-0.1,Sheet1!EJ123=Sheet1!EJ122,Sheet1!EJ123=Sheet1!EJ124),CF125-CL125,CF125-CL125)</f>
        <v>3.2943560456872785</v>
      </c>
      <c r="CN125" s="1040" t="str">
        <f t="shared" si="292"/>
        <v/>
      </c>
      <c r="CO125" s="1035">
        <f t="shared" si="293"/>
        <v>12.568888888888889</v>
      </c>
      <c r="CP125" s="535">
        <f t="shared" si="335"/>
        <v>639.37241723896329</v>
      </c>
      <c r="CQ125" s="535"/>
      <c r="CR125" s="535">
        <f ca="1">IF(B125&gt;Summary!$A$1,#N/A,CP125*MGtoAF)</f>
        <v>1961.5945760891395</v>
      </c>
      <c r="CS125" s="535">
        <f>Sheet1!BK123+Sheet1!BL123+Sheet1!BM123-Sheet1!ER123-DA125</f>
        <v>6.48</v>
      </c>
      <c r="CT125" s="535">
        <f t="shared" si="336"/>
        <v>6.4493737692004727</v>
      </c>
      <c r="CU125" s="535">
        <f>IF(Sheet1!ER123="FM",DA125,0)</f>
        <v>0</v>
      </c>
      <c r="CV125" s="535">
        <f t="shared" si="337"/>
        <v>0</v>
      </c>
      <c r="CW125" s="535">
        <f>IF(Sheet1!ER123="OTHER",DA125,0)</f>
        <v>0</v>
      </c>
      <c r="CX125" s="535">
        <f t="shared" si="338"/>
        <v>0</v>
      </c>
      <c r="CY125" s="535">
        <f t="shared" si="339"/>
        <v>6.48</v>
      </c>
      <c r="CZ125" s="535">
        <f t="shared" si="340"/>
        <v>6.4493737692004727</v>
      </c>
      <c r="DA125" s="535">
        <f>IF(OR(Sheet1!ER123="FM", Sheet1!ER123="OTHER"),SUM(Sheet1!BK123:'Sheet1'!BM123),0)</f>
        <v>0</v>
      </c>
      <c r="DB125" s="1011">
        <f>IF(AND($B125&gt;=$FV125,$B125&lt;=$FW125),MAX($CT125,Sheet1!EK123,0),MAX($CT125-(7/36)*$K125,0))</f>
        <v>0</v>
      </c>
      <c r="DC125" s="1012">
        <f t="shared" si="341"/>
        <v>6.1195151196884163</v>
      </c>
      <c r="DD125" s="1011">
        <f t="shared" si="342"/>
        <v>6.4493737692004727</v>
      </c>
      <c r="DE125" s="521">
        <f>IF(AND($O125&gt;0,Sheet1!EO123=1),(1-($O125-Sheet1!$L123)/$O125)*CZ125,0)</f>
        <v>0</v>
      </c>
      <c r="DF125" s="521">
        <f>IF(AND(Sheet1!$L123=0,Sheet1!$L122=0, Calculation!CY125&lt;Sheet1!$EK123-0.1,Sheet1!$EK123=Sheet1!$EK122,Sheet1!$EK123=Sheet1!$EK124),CZ125-DE125,CZ125-DE125)</f>
        <v>6.4493737692004727</v>
      </c>
      <c r="DG125" s="1040">
        <f t="shared" si="294"/>
        <v>12.568888888888889</v>
      </c>
      <c r="DH125" s="649">
        <f t="shared" si="343"/>
        <v>10.790000000000001</v>
      </c>
      <c r="DI125" s="535">
        <f t="shared" si="344"/>
        <v>412.42028827481283</v>
      </c>
      <c r="DJ125" s="649">
        <f t="shared" si="345"/>
        <v>10.739003544702639</v>
      </c>
      <c r="DK125" s="535">
        <f ca="1">IF(B125&gt;Summary!$A$1,#N/A,DI125*MGtoAF)</f>
        <v>1265.3054444271258</v>
      </c>
      <c r="DL125" s="649">
        <f t="shared" si="346"/>
        <v>10.790000000000001</v>
      </c>
      <c r="DM125" s="535">
        <f t="shared" si="347"/>
        <v>25.39</v>
      </c>
      <c r="DN125" s="535">
        <f>Sheet1!AB123-DM125</f>
        <v>-0.12000000000000099</v>
      </c>
      <c r="DO125" s="743">
        <f t="shared" si="348"/>
        <v>-4.7262701851122878E-3</v>
      </c>
      <c r="DP125" s="535">
        <f>(VLOOKUP(Sheet1!DC123,hhdcap_wcm,4)-(((VLOOKUP(Sheet1!DC123,hhdcap_wcm,3)-Sheet1!DC123)/(VLOOKUP(Sheet1!DC123,hhdcap_wcm,3)-VLOOKUP(Sheet1!DC123,hhdcap_wcm,1)))*(VLOOKUP(Sheet1!DC123,hhdcap_wcm,4)-VLOOKUP(Sheet1!DC123,hhdcap_wcm,2))))</f>
        <v>33864.00000008662</v>
      </c>
      <c r="DQ125" s="535">
        <f t="shared" si="349"/>
        <v>357.6000000013446</v>
      </c>
      <c r="DR125" s="535">
        <f t="shared" si="350"/>
        <v>180.33282904757667</v>
      </c>
      <c r="DS125" s="535">
        <f>Sheet1!EA123*AFtoMG</f>
        <v>0</v>
      </c>
      <c r="DT125" s="535">
        <f>Sheet1!EB123*AFtoMG</f>
        <v>0</v>
      </c>
      <c r="DU125" s="535">
        <f>Sheet1!EC123*AFtoMG</f>
        <v>0</v>
      </c>
      <c r="DV125" s="535">
        <f>Sheet1!ED123*AFtoMG</f>
        <v>0</v>
      </c>
      <c r="DW125" s="535">
        <f t="shared" si="351"/>
        <v>0</v>
      </c>
      <c r="DX125" s="535">
        <f t="shared" si="352"/>
        <v>0</v>
      </c>
      <c r="DY125" s="535">
        <f t="shared" si="353"/>
        <v>3668.5952521098502</v>
      </c>
      <c r="DZ125" s="535">
        <f t="shared" si="354"/>
        <v>11255.25023347302</v>
      </c>
      <c r="EA125" s="535"/>
      <c r="EB125" s="521">
        <f>IF(OR(B125&lt;FV125,B125&gt;FW125),(MIN(BF125+BY125+CT125+MAX(Sheet1!AA123+AQ125-73,0),K125)),0)</f>
        <v>10.739003544702639</v>
      </c>
      <c r="EC125" s="535"/>
      <c r="ED125" s="535">
        <f t="shared" si="355"/>
        <v>10.739003544702639</v>
      </c>
      <c r="EE125" s="535"/>
      <c r="EF125" s="535">
        <f>Sheet1!EH123+Sheet1!EI123+Sheet1!EJ123+Sheet1!EK123</f>
        <v>10.5</v>
      </c>
      <c r="EG125" s="1019">
        <f t="shared" si="295"/>
        <v>16.243500000000001</v>
      </c>
      <c r="EH125" s="521">
        <f t="shared" si="356"/>
        <v>0</v>
      </c>
      <c r="EI125" s="535">
        <f>IF(Sheet1!ET123=1,SUM('Calculations II'!AT125:BA125)+'Calculations II'!BC125+Sheet1!BV123+'Calculations II'!BE125+AP125,'Calculations II'!BK125)</f>
        <v>51.017996455297364</v>
      </c>
      <c r="EJ125" s="535">
        <f ca="1">EI125+'Calculations II'!D125+'Calculations II'!E125+'Calculations II'!O125</f>
        <v>43.555027484682725</v>
      </c>
      <c r="EK125" s="535"/>
      <c r="EL125" s="535"/>
      <c r="EM125" s="535">
        <f t="shared" si="357"/>
        <v>42849</v>
      </c>
      <c r="EN125" s="535">
        <f t="shared" si="358"/>
        <v>53.90099645529736</v>
      </c>
      <c r="EO125" s="535">
        <f t="shared" si="359"/>
        <v>83.384841516345006</v>
      </c>
      <c r="EP125" s="535">
        <v>0</v>
      </c>
      <c r="EQ125" s="535">
        <v>0</v>
      </c>
      <c r="ER125" s="535">
        <v>0</v>
      </c>
      <c r="ES125" s="521">
        <f t="shared" si="257"/>
        <v>4.9642282628638119</v>
      </c>
      <c r="ET125" s="535">
        <f>-(VLOOKUP(Sheet1!BQ123,Lookup!$O$4:$Q$262,2)-VLOOKUP(Sheet1!BQ122,Lookup!$O$4:$Q$262,2))/1000000</f>
        <v>0.83015905209634455</v>
      </c>
      <c r="EU125" s="535">
        <f>-(VLOOKUP(Sheet1!BR123,Lookup!$O$4:$Q$262,3)-VLOOKUP(Sheet1!BR122,Lookup!$O$4:$Q$262,3))/1000000</f>
        <v>4.1340692107674677</v>
      </c>
      <c r="EV125" s="535"/>
      <c r="EW125" s="535"/>
      <c r="EX125" s="535"/>
      <c r="EY125" s="535"/>
      <c r="EZ125" s="535"/>
      <c r="FA125" s="535"/>
      <c r="FB125" s="535"/>
      <c r="FC125" s="535"/>
      <c r="FD125" s="567" t="e">
        <f t="shared" si="360"/>
        <v>#N/A</v>
      </c>
      <c r="FE125" s="567" t="e">
        <f t="shared" si="361"/>
        <v>#N/A</v>
      </c>
      <c r="FF125" s="568" t="e">
        <f t="shared" si="362"/>
        <v>#N/A</v>
      </c>
      <c r="FG125" s="569" t="s">
        <v>656</v>
      </c>
      <c r="FH125" s="569" t="s">
        <v>656</v>
      </c>
      <c r="FI125" s="567" t="e">
        <v>#N/A</v>
      </c>
      <c r="FJ125" s="567" t="e">
        <v>#N/A</v>
      </c>
      <c r="FK125" s="535"/>
      <c r="FL125" s="1015">
        <v>0</v>
      </c>
      <c r="FM125" s="535"/>
      <c r="FN125" s="535"/>
      <c r="FO125" s="535">
        <f>O125+((Sheet1!CS123)*GPMtoMGD)</f>
        <v>55.989344000000003</v>
      </c>
      <c r="FP125" s="535">
        <f>IF(Sheet1!AA123+AQ125&lt;=Calculation!N125,AQ125,Calculation!N125-Sheet1!AA123)</f>
        <v>14.530996455297361</v>
      </c>
      <c r="FQ125" s="535">
        <f>(Sheet1!BP123+Sheet1!BO123)/694.4</f>
        <v>1.4923675115207373</v>
      </c>
      <c r="FR125" s="541"/>
      <c r="FS125" s="541"/>
      <c r="FT125" s="541"/>
      <c r="FU125" s="541"/>
      <c r="FV125" s="1109">
        <f t="shared" si="258"/>
        <v>42918</v>
      </c>
      <c r="FW125" s="1109">
        <f t="shared" si="259"/>
        <v>43027</v>
      </c>
      <c r="FX125" s="541"/>
      <c r="FY125" s="541">
        <f>Sheet1!DA123-Sheet1!CZ123-Sheet1!AE123</f>
        <v>621.30411000000004</v>
      </c>
      <c r="FZ125" s="535">
        <f t="shared" si="296"/>
        <v>0.2889339276260724</v>
      </c>
      <c r="GA125" s="535"/>
      <c r="GB125" s="535" t="str">
        <f t="shared" si="260"/>
        <v>n</v>
      </c>
      <c r="GC125" s="539">
        <f t="shared" si="261"/>
        <v>42782</v>
      </c>
      <c r="GD125" s="1109">
        <f t="shared" si="262"/>
        <v>42904</v>
      </c>
      <c r="GE125" s="535">
        <f t="shared" si="280"/>
        <v>6520</v>
      </c>
      <c r="GF125" s="1109">
        <f t="shared" si="263"/>
        <v>42909</v>
      </c>
      <c r="GG125" s="535">
        <f t="shared" si="308"/>
        <v>3260</v>
      </c>
      <c r="GH125" s="539">
        <f t="shared" si="264"/>
        <v>43040</v>
      </c>
      <c r="GJ125" s="521">
        <f t="shared" si="265"/>
        <v>0</v>
      </c>
      <c r="GK125" s="535" t="str">
        <f t="shared" si="363"/>
        <v/>
      </c>
      <c r="GL125" s="535">
        <f t="shared" si="266"/>
        <v>0</v>
      </c>
      <c r="GM125" s="535" t="str">
        <f t="shared" si="267"/>
        <v/>
      </c>
      <c r="GN125" s="535">
        <f>IF(GK125="P",Lookup!$M$12,IF(GK125="PP",Lookup!$M$13,IF(GK125="PPP",Lookup!$M$14,IF(GK125="T",Lookup!$M$15,IF(GK125="TP",Lookup!$M$16,IF(GK125="TPP",Lookup!$M$17,IF(GK125="TPPP",Lookup!$M$18,0)))))))*GJ125</f>
        <v>0</v>
      </c>
      <c r="GO125" s="535">
        <f t="shared" si="268"/>
        <v>0</v>
      </c>
      <c r="GP125" s="535">
        <f t="shared" si="364"/>
        <v>5618.9397333333354</v>
      </c>
      <c r="GQ125" s="535">
        <f t="shared" si="279"/>
        <v>1831.4666666666674</v>
      </c>
      <c r="GR125" s="535"/>
      <c r="GS125" s="535">
        <f t="shared" si="269"/>
        <v>0</v>
      </c>
      <c r="GT125" s="535" t="str">
        <f t="shared" si="270"/>
        <v/>
      </c>
      <c r="GU125" s="535">
        <f>IF(GK125="P",Lookup!$N$12,IF(GK125="PP",Lookup!$N$13,IF(GK125="PPP",Lookup!$N$14,IF(GK125="T",Lookup!$N$15,IF(GK125="TP",Lookup!$N$16,IF(GK125="TPP",Lookup!$N$17,IF(GK125="TPPP",Lookup!$N$18,0)))))))*GJ125</f>
        <v>0</v>
      </c>
      <c r="GV125" s="535">
        <f t="shared" si="271"/>
        <v>0</v>
      </c>
      <c r="GW125" s="535">
        <f t="shared" si="365"/>
        <v>2409.4104796234201</v>
      </c>
      <c r="GX125" s="535">
        <f t="shared" si="276"/>
        <v>785.33587992940681</v>
      </c>
      <c r="GY125" s="535"/>
      <c r="GZ125" s="535">
        <f t="shared" si="272"/>
        <v>0</v>
      </c>
      <c r="HA125" s="535" t="str">
        <f t="shared" si="273"/>
        <v/>
      </c>
      <c r="HB125" s="535">
        <f>IF(GK125="P",Lookup!$N$12,IF(GK125="PP",Lookup!$N$13,IF(GK125="PPP",Lookup!$N$14,IF(GK125="T",Lookup!$N$15,IF(GK125="TP",Lookup!$N$16,IF(GK125="TPP",Lookup!$N$17,IF(GK125="TPPP",Lookup!$N$18,0)))))))*GJ125</f>
        <v>0</v>
      </c>
      <c r="HC125" s="521">
        <f t="shared" si="366"/>
        <v>0</v>
      </c>
      <c r="HD125" s="535">
        <f t="shared" si="367"/>
        <v>1961.5945760891395</v>
      </c>
      <c r="HE125" s="535">
        <f t="shared" si="277"/>
        <v>639.37241723896329</v>
      </c>
      <c r="HF125" s="535"/>
      <c r="HG125" s="535">
        <f t="shared" si="274"/>
        <v>0</v>
      </c>
      <c r="HH125" s="535" t="str">
        <f t="shared" si="275"/>
        <v/>
      </c>
      <c r="HI125" s="535">
        <f>IF(GK125="P",Lookup!$N$12,IF(GK125="PP",Lookup!$N$13,IF(GK125="PPP",Lookup!$N$14,IF(GK125="T",Lookup!$N$15,IF(GK125="TP",Lookup!$N$16,IF(GK125="TPP",Lookup!$N$17,IF(GK125="TPPP",Lookup!$N$18,0)))))))*GJ125</f>
        <v>0</v>
      </c>
      <c r="HJ125" s="521">
        <f t="shared" si="368"/>
        <v>0</v>
      </c>
      <c r="HK125" s="535">
        <f t="shared" si="369"/>
        <v>1265.3054444271258</v>
      </c>
      <c r="HL125" s="535">
        <f t="shared" si="278"/>
        <v>412.42028827481283</v>
      </c>
      <c r="HM125" s="535"/>
      <c r="HN125" s="541"/>
      <c r="HO125" s="541"/>
      <c r="HP125" s="541"/>
      <c r="HQ125" s="541">
        <f>IF(AND(B125&gt;=$FV$4,B125&lt;=$FW$4),MAX(110/1.02+$HQ$6+MIN(113/1.02,G125),IF($HV$6-(Sheet1!DA123-Sheet1!DB123)+MIN(113/1.02,G125)&lt;G125+FL125,$HV$6-(Sheet1!DA123-Sheet1!DB123)+MIN(113/1.02,G125),G125+FL125)),MIN(110/1.02+$HQ$6+113/1.02,G125))</f>
        <v>218.62745098039215</v>
      </c>
      <c r="HR125" s="541">
        <f t="shared" si="297"/>
        <v>223</v>
      </c>
      <c r="HS125" s="541">
        <f>HR125+(Sheet1!DA123-Sheet1!DB123)</f>
        <v>1043</v>
      </c>
      <c r="HT125" s="541">
        <f t="shared" si="298"/>
        <v>62.003760000000007</v>
      </c>
      <c r="HU125" s="541">
        <f t="shared" si="299"/>
        <v>980.99623999999994</v>
      </c>
      <c r="HV125" s="541">
        <f t="shared" si="300"/>
        <v>0</v>
      </c>
      <c r="HW125" s="533" t="str">
        <f t="shared" si="301"/>
        <v/>
      </c>
      <c r="HX125" s="541">
        <f t="shared" si="302"/>
        <v>1751.372549019608</v>
      </c>
      <c r="HY125" s="541">
        <f>Sheet1!CZ123</f>
        <v>1970</v>
      </c>
      <c r="HZ125" s="541">
        <f t="shared" si="303"/>
        <v>0</v>
      </c>
      <c r="IA125" s="541">
        <f t="shared" si="304"/>
        <v>62.003760000000007</v>
      </c>
      <c r="IB125" s="541">
        <f t="shared" si="305"/>
        <v>1970</v>
      </c>
      <c r="IC125" s="1019" t="str">
        <f t="shared" si="306"/>
        <v/>
      </c>
      <c r="ID125" s="541">
        <f t="shared" si="307"/>
        <v>1907.9962399999999</v>
      </c>
      <c r="IE125" s="541">
        <f>Sheet1!DB123</f>
        <v>1850</v>
      </c>
      <c r="IF125" s="533">
        <f>Sheet1!DA123</f>
        <v>2670</v>
      </c>
      <c r="IH125" s="541">
        <f>IF(AND($B125&gt;=$GC125,$B125&lt;=$GH125,$DR125&lt;0)+N("only adjusted when pool is drawn down during storage season"),Sheet1!$DB123+$DR125+N("Palmer minus all storage release"),Sheet1!$DB123)</f>
        <v>1850</v>
      </c>
      <c r="II125" s="541">
        <f>IF(AND($B125&gt;=$GC125,$B125&lt;=$GH125,$DR125&lt;0)+N("only adjusted when pool is drawn down during storage season"),Sheet1!$DA123+$DR125+N("Auburn minus all storage release"),Sheet1!$DA123)</f>
        <v>2670</v>
      </c>
    </row>
    <row r="126" spans="1:243" x14ac:dyDescent="0.25">
      <c r="A126" s="553" t="s">
        <v>5</v>
      </c>
      <c r="B126" s="531">
        <v>42850</v>
      </c>
      <c r="C126" s="536">
        <v>0</v>
      </c>
      <c r="D126" s="506">
        <f t="shared" si="247"/>
        <v>300</v>
      </c>
      <c r="E126" s="506">
        <f t="shared" si="248"/>
        <v>250</v>
      </c>
      <c r="F126" s="506">
        <v>250</v>
      </c>
      <c r="G126" s="535">
        <f>DR126+Sheet1!CZ124</f>
        <v>2111.9263741800737</v>
      </c>
      <c r="H126" s="1074">
        <f t="shared" si="370"/>
        <v>1105.161010624</v>
      </c>
      <c r="I126" s="534">
        <f>IF(Sheet1!DA124&gt;=E126,(Sheet1!DA124-E126+P126)*CFStoMGD,0)</f>
        <v>1628.7450106240001</v>
      </c>
      <c r="J126" s="995">
        <f>IF(Sheet1!DB124&gt;=D126,(Sheet1!DB124-D126+P126)*CFStoMGD,0)</f>
        <v>1105.161010624</v>
      </c>
      <c r="K126" s="818">
        <f t="shared" si="282"/>
        <v>64.64</v>
      </c>
      <c r="L126" s="535">
        <f>Sheet1!AA124+Sheet1!AB124-Sheet1!L124+(Sheet1!DA124-F126)*CFStoMGD-S126-T126-U126</f>
        <v>1564.1059999999998</v>
      </c>
      <c r="M126" s="535">
        <f t="shared" si="309"/>
        <v>1392.4521924353996</v>
      </c>
      <c r="N126" s="824">
        <f>IF(Sheet1!DA124&gt;=F126,MIN(113*CFStoMGD,MIN(MAX(L126,0),MAX(M126,0))),0)</f>
        <v>73.043199999999999</v>
      </c>
      <c r="O126" s="538">
        <f>Sheet1!AA124+Sheet1!AB124</f>
        <v>51.53</v>
      </c>
      <c r="P126" s="538">
        <f t="shared" si="310"/>
        <v>79.716909999999999</v>
      </c>
      <c r="Q126" s="812">
        <f t="shared" si="283"/>
        <v>41.07</v>
      </c>
      <c r="R126" s="812">
        <f t="shared" si="249"/>
        <v>10.447912172573188</v>
      </c>
      <c r="S126" s="812">
        <f t="shared" si="250"/>
        <v>10.46</v>
      </c>
      <c r="T126" s="812">
        <f t="shared" si="251"/>
        <v>54.18</v>
      </c>
      <c r="U126" s="812">
        <f t="shared" si="284"/>
        <v>0</v>
      </c>
      <c r="V126" s="812"/>
      <c r="W126" s="812">
        <f t="shared" si="252"/>
        <v>54.192087827426811</v>
      </c>
      <c r="X126" s="812">
        <f t="shared" si="253"/>
        <v>64.64</v>
      </c>
      <c r="Y126" s="812" t="str">
        <f t="shared" si="254"/>
        <v>FALSE</v>
      </c>
      <c r="Z126" s="812">
        <f t="shared" si="255"/>
        <v>51.53</v>
      </c>
      <c r="AA126" s="812">
        <f t="shared" si="256"/>
        <v>51.53</v>
      </c>
      <c r="AB126" s="1059">
        <f t="shared" si="285"/>
        <v>63.535289999999996</v>
      </c>
      <c r="AC126" s="538">
        <f>Sheet1!Y124*MGDtoCFS</f>
        <v>39.603200000000001</v>
      </c>
      <c r="AD126" s="538">
        <f>Sheet1!Z124*MGDtoCFS</f>
        <v>39.092689999999997</v>
      </c>
      <c r="AE126" s="538">
        <f>Sheet1!AA124*MGDtoCFS</f>
        <v>39.603200000000001</v>
      </c>
      <c r="AF126" s="538">
        <f>Sheet1!AB124*MGDtoCFS</f>
        <v>40.113709999999998</v>
      </c>
      <c r="AG126" s="538">
        <f>Sheet1!L124*MGDtoCFS</f>
        <v>0</v>
      </c>
      <c r="AH126" s="521">
        <f t="shared" si="311"/>
        <v>0</v>
      </c>
      <c r="AI126" s="1059">
        <f t="shared" si="312"/>
        <v>0</v>
      </c>
      <c r="AJ126" s="535">
        <f t="shared" si="313"/>
        <v>54.192087827426811</v>
      </c>
      <c r="AK126" s="535">
        <f t="shared" si="314"/>
        <v>83.835159869029269</v>
      </c>
      <c r="AL126" s="535">
        <f>(VLOOKUP(Sheet1!DC124,hhdcap_wcm,4)-(((VLOOKUP(Sheet1!DC124,hhdcap_wcm,3)-Sheet1!DC124)/(VLOOKUP(Sheet1!DC124,hhdcap_wcm,3)-VLOOKUP(Sheet1!DC124,hhdcap_wcm,1)))*(VLOOKUP(Sheet1!DC124,hhdcap_wcm,4)-VLOOKUP(Sheet1!DC124,hhdcap_wcm,2))))</f>
        <v>33986.800000085706</v>
      </c>
      <c r="AM126" s="535">
        <f t="shared" si="315"/>
        <v>122.79999999908614</v>
      </c>
      <c r="AN126" s="1035">
        <f t="shared" si="316"/>
        <v>3722.787339937277</v>
      </c>
      <c r="AO126" s="535">
        <f t="shared" si="317"/>
        <v>11421.511558927567</v>
      </c>
      <c r="AP126" s="535">
        <f>Sheet1!BA124+Sheet1!BB124+Sheet1!BN124+CD126</f>
        <v>15.5</v>
      </c>
      <c r="AQ126" s="535">
        <f>Sheet1!BN124+(DO126*Sheet1!BN124)</f>
        <v>15.48208782742681</v>
      </c>
      <c r="AR126" s="535">
        <f>Sheet1!BA124+CD126</f>
        <v>0</v>
      </c>
      <c r="AS126" s="535">
        <f>Sheet1!BA124+Sheet1!BB124+CD126</f>
        <v>0</v>
      </c>
      <c r="AT126" s="649">
        <f>0</f>
        <v>0</v>
      </c>
      <c r="AU126" s="535">
        <f>IF(EB126&lt;K126,0,MAX(Sheet1!AA124+AQ126-15/36*K126-N126,Sheet1!EH124,0))</f>
        <v>0</v>
      </c>
      <c r="AV126" s="535">
        <f>IF(OR(B126&gt;=GD126,B126&lt;GC126),0,15/36*K126-MAX(0,64.6-(137.6-(Sheet1!AA124+Sheet1!AB124))))</f>
        <v>26.933333333333334</v>
      </c>
      <c r="AW126" s="1029"/>
      <c r="AX126" s="649"/>
      <c r="AY126" s="649">
        <f t="shared" si="286"/>
        <v>0</v>
      </c>
      <c r="AZ126" s="649">
        <f t="shared" si="287"/>
        <v>0</v>
      </c>
      <c r="BA126" s="1059">
        <f t="shared" si="288"/>
        <v>0</v>
      </c>
      <c r="BB126" s="1019">
        <f t="shared" si="318"/>
        <v>1858.4000000000008</v>
      </c>
      <c r="BC126" s="1041">
        <f t="shared" si="289"/>
        <v>26.933333333333334</v>
      </c>
      <c r="BD126" s="1019">
        <f ca="1">IF(B126&gt;Summary!$A$1,#N/A,BB126*MGtoAF)</f>
        <v>5701.5712000000021</v>
      </c>
      <c r="BE126" s="535">
        <f>Sheet1!BG124+Sheet1!BH124+Sheet1!BI124-BM126</f>
        <v>1</v>
      </c>
      <c r="BF126" s="535">
        <f t="shared" si="319"/>
        <v>0.99884437596302</v>
      </c>
      <c r="BG126" s="535">
        <f>IF(Sheet1!EP124="FM",BM126,0)</f>
        <v>0</v>
      </c>
      <c r="BH126" s="535">
        <f t="shared" si="320"/>
        <v>0</v>
      </c>
      <c r="BI126" s="535">
        <f>IF(Sheet1!EP124="OTHER",BM126,0)</f>
        <v>0</v>
      </c>
      <c r="BJ126" s="535">
        <f t="shared" si="321"/>
        <v>0</v>
      </c>
      <c r="BK126" s="535">
        <f t="shared" si="322"/>
        <v>1</v>
      </c>
      <c r="BL126" s="535">
        <f t="shared" si="323"/>
        <v>0.99884437596302</v>
      </c>
      <c r="BM126" s="535">
        <f>IF(OR(Sheet1!EP124="FM", Sheet1!EP124="OTHER"),SUM(Sheet1!BG124:'Sheet1'!BI124),0)</f>
        <v>0</v>
      </c>
      <c r="BN126" s="521">
        <f>IF(AND($B126&gt;=$FV126,$B126&lt;=$FW126),MAX(BF126,Sheet1!EI124,0),MAX(BF126-(7/36)*$K126,0))</f>
        <v>0</v>
      </c>
      <c r="BO126" s="535">
        <f t="shared" si="324"/>
        <v>11.570044512925868</v>
      </c>
      <c r="BP126" s="521">
        <f t="shared" si="325"/>
        <v>0.99884437596302</v>
      </c>
      <c r="BQ126" s="521">
        <f>IF(AND($O126&gt;0,Sheet1!EM124=1),(1-($O126-Sheet1!$L124)/$O126)*BL126,0)</f>
        <v>0</v>
      </c>
      <c r="BR126" s="521">
        <f>IF(AND(Sheet1!$L124=0,Sheet1!$L123=0, Calculation!BK126&lt;Sheet1!$EI124-0.1,Sheet1!$EI124=Sheet1!$EI123,Sheet1!$EI124=Sheet1!$EI125),BL126-BQ126,BL126-BQ126)</f>
        <v>0.99884437596302</v>
      </c>
      <c r="BS126" s="1035" t="str">
        <f t="shared" si="290"/>
        <v/>
      </c>
      <c r="BT126" s="1035">
        <f t="shared" si="291"/>
        <v>12.568888888888889</v>
      </c>
      <c r="BU126" s="535">
        <f t="shared" si="326"/>
        <v>796.90592444233266</v>
      </c>
      <c r="BV126" s="535"/>
      <c r="BW126" s="535">
        <f ca="1">IF(B126&gt;Summary!$A$1,#N/A,BU126*MGtoAF)</f>
        <v>2444.9073761890768</v>
      </c>
      <c r="BX126" s="535">
        <f>Sheet1!BC124+Sheet1!BD124+Sheet1!BE124+Sheet1!BF124-CG126-CH126</f>
        <v>2.9699999999999998</v>
      </c>
      <c r="BY126" s="535">
        <f t="shared" si="327"/>
        <v>2.9665677966101689</v>
      </c>
      <c r="BZ126" s="535">
        <f>IF(Sheet1!EQ124="FM",CH126,0)</f>
        <v>0</v>
      </c>
      <c r="CA126" s="535">
        <f t="shared" si="328"/>
        <v>0</v>
      </c>
      <c r="CB126" s="535">
        <f>IF(Sheet1!EQ124="OTHER",CH126,0)</f>
        <v>0</v>
      </c>
      <c r="CC126" s="535">
        <f t="shared" si="329"/>
        <v>0</v>
      </c>
      <c r="CD126" s="535">
        <f t="shared" si="330"/>
        <v>0</v>
      </c>
      <c r="CE126" s="535">
        <f t="shared" si="331"/>
        <v>2.9699999999999998</v>
      </c>
      <c r="CF126" s="535">
        <f t="shared" si="332"/>
        <v>2.9665677966101689</v>
      </c>
      <c r="CG126" s="535">
        <f>IF(Sheet1!EQ124="CWA",SUM(Sheet1!BC124:'Sheet1'!BF124),0)</f>
        <v>0</v>
      </c>
      <c r="CH126" s="535">
        <f>IF(OR(Sheet1!EQ124="FM", Sheet1!EQ124="OTHER"),SUM(Sheet1!BC124:'Sheet1'!BF124),0)</f>
        <v>0</v>
      </c>
      <c r="CI126" s="521">
        <f>IF(AND($B126&gt;=$FV126,$B126&lt;=$FW126),MAX(CF126,Sheet1!EJ124,0),MAX(CF126-(7/36)*$K126,0))</f>
        <v>0</v>
      </c>
      <c r="CJ126" s="535">
        <f t="shared" si="333"/>
        <v>9.6023210922787197</v>
      </c>
      <c r="CK126" s="521">
        <f t="shared" si="334"/>
        <v>2.9665677966101689</v>
      </c>
      <c r="CL126" s="521">
        <f>IF(AND($O126&gt;0,Sheet1!EN124=1),(1-($O126-Sheet1!$L124)/$O126)*CF126,0)</f>
        <v>0</v>
      </c>
      <c r="CM126" s="521">
        <f>IF(AND(Sheet1!$L124=0,Sheet1!$L123=0, Calculation!CE126&lt;Sheet1!EJ124-0.1,Sheet1!EJ124=Sheet1!EJ123,Sheet1!EJ124=Sheet1!EJ125),CF126-CL126,CF126-CL126)</f>
        <v>2.9665677966101689</v>
      </c>
      <c r="CN126" s="1040" t="str">
        <f t="shared" si="292"/>
        <v/>
      </c>
      <c r="CO126" s="1035">
        <f t="shared" si="293"/>
        <v>12.568888888888889</v>
      </c>
      <c r="CP126" s="535">
        <f t="shared" si="335"/>
        <v>648.97473833124207</v>
      </c>
      <c r="CQ126" s="535"/>
      <c r="CR126" s="535">
        <f ca="1">IF(B126&gt;Summary!$A$1,#N/A,CP126*MGtoAF)</f>
        <v>1991.0544972002508</v>
      </c>
      <c r="CS126" s="535">
        <f>Sheet1!BK124+Sheet1!BL124+Sheet1!BM124-Sheet1!ER124-DA126</f>
        <v>6.49</v>
      </c>
      <c r="CT126" s="535">
        <f t="shared" si="336"/>
        <v>6.4824999999999999</v>
      </c>
      <c r="CU126" s="535">
        <f>IF(Sheet1!ER124="FM",DA126,0)</f>
        <v>0</v>
      </c>
      <c r="CV126" s="535">
        <f t="shared" si="337"/>
        <v>0</v>
      </c>
      <c r="CW126" s="535">
        <f>IF(Sheet1!ER124="OTHER",DA126,0)</f>
        <v>0</v>
      </c>
      <c r="CX126" s="535">
        <f t="shared" si="338"/>
        <v>0</v>
      </c>
      <c r="CY126" s="535">
        <f t="shared" si="339"/>
        <v>6.49</v>
      </c>
      <c r="CZ126" s="535">
        <f t="shared" si="340"/>
        <v>6.4824999999999999</v>
      </c>
      <c r="DA126" s="535">
        <f>IF(OR(Sheet1!ER124="FM", Sheet1!ER124="OTHER"),SUM(Sheet1!BK124:'Sheet1'!BM124),0)</f>
        <v>0</v>
      </c>
      <c r="DB126" s="1011">
        <f>IF(AND($B126&gt;=$FV126,$B126&lt;=$FW126),MAX($CT126,Sheet1!EK124,0),MAX($CT126-(7/36)*$K126,0))</f>
        <v>0</v>
      </c>
      <c r="DC126" s="1012">
        <f t="shared" si="341"/>
        <v>6.0863888888888891</v>
      </c>
      <c r="DD126" s="1011">
        <f t="shared" si="342"/>
        <v>6.4824999999999999</v>
      </c>
      <c r="DE126" s="521">
        <f>IF(AND($O126&gt;0,Sheet1!EO124=1),(1-($O126-Sheet1!$L124)/$O126)*CZ126,0)</f>
        <v>0</v>
      </c>
      <c r="DF126" s="521">
        <f>IF(AND(Sheet1!$L124=0,Sheet1!$L123=0, Calculation!CY126&lt;Sheet1!$EK124-0.1,Sheet1!$EK124=Sheet1!$EK123,Sheet1!$EK124=Sheet1!$EK125),CZ126-DE126,CZ126-DE126)</f>
        <v>6.4824999999999999</v>
      </c>
      <c r="DG126" s="1040">
        <f t="shared" si="294"/>
        <v>12.568888888888889</v>
      </c>
      <c r="DH126" s="649">
        <f t="shared" si="343"/>
        <v>10.46</v>
      </c>
      <c r="DI126" s="535">
        <f t="shared" si="344"/>
        <v>418.50667716370174</v>
      </c>
      <c r="DJ126" s="649">
        <f t="shared" si="345"/>
        <v>10.447912172573188</v>
      </c>
      <c r="DK126" s="535">
        <f ca="1">IF(B126&gt;Summary!$A$1,#N/A,DI126*MGtoAF)</f>
        <v>1283.978485538237</v>
      </c>
      <c r="DL126" s="649">
        <f t="shared" si="346"/>
        <v>10.46</v>
      </c>
      <c r="DM126" s="535">
        <f t="shared" si="347"/>
        <v>25.96</v>
      </c>
      <c r="DN126" s="535">
        <f>Sheet1!AB124-DM126</f>
        <v>-3.0000000000001137E-2</v>
      </c>
      <c r="DO126" s="743">
        <f t="shared" si="348"/>
        <v>-1.1556240369800129E-3</v>
      </c>
      <c r="DP126" s="535">
        <f>(VLOOKUP(Sheet1!DC124,hhdcap_wcm,4)-(((VLOOKUP(Sheet1!DC124,hhdcap_wcm,3)-Sheet1!DC124)/(VLOOKUP(Sheet1!DC124,hhdcap_wcm,3)-VLOOKUP(Sheet1!DC124,hhdcap_wcm,1)))*(VLOOKUP(Sheet1!DC124,hhdcap_wcm,4)-VLOOKUP(Sheet1!DC124,hhdcap_wcm,2))))</f>
        <v>33986.800000085706</v>
      </c>
      <c r="DQ126" s="535">
        <f t="shared" si="349"/>
        <v>122.79999999908614</v>
      </c>
      <c r="DR126" s="535">
        <f t="shared" si="350"/>
        <v>61.926374180073687</v>
      </c>
      <c r="DS126" s="535">
        <f>Sheet1!EA124*AFtoMG</f>
        <v>0</v>
      </c>
      <c r="DT126" s="535">
        <f>Sheet1!EB124*AFtoMG</f>
        <v>0</v>
      </c>
      <c r="DU126" s="535">
        <f>Sheet1!EC124*AFtoMG</f>
        <v>0</v>
      </c>
      <c r="DV126" s="535">
        <f>Sheet1!ED124*AFtoMG</f>
        <v>0</v>
      </c>
      <c r="DW126" s="535">
        <f t="shared" si="351"/>
        <v>0</v>
      </c>
      <c r="DX126" s="535">
        <f t="shared" si="352"/>
        <v>0</v>
      </c>
      <c r="DY126" s="535">
        <f t="shared" si="353"/>
        <v>3722.787339937277</v>
      </c>
      <c r="DZ126" s="535">
        <f t="shared" si="354"/>
        <v>11421.511558927567</v>
      </c>
      <c r="EA126" s="535"/>
      <c r="EB126" s="521">
        <f>IF(OR(B126&lt;FV126,B126&gt;FW126),(MIN(BF126+BY126+CT126+MAX(Sheet1!AA124+AQ126-73,0),K126)),0)</f>
        <v>10.447912172573188</v>
      </c>
      <c r="EC126" s="535"/>
      <c r="ED126" s="535">
        <f t="shared" si="355"/>
        <v>10.447912172573188</v>
      </c>
      <c r="EE126" s="535"/>
      <c r="EF126" s="535">
        <f>Sheet1!EH124+Sheet1!EI124+Sheet1!EJ124+Sheet1!EK124</f>
        <v>10.5</v>
      </c>
      <c r="EG126" s="1019">
        <f t="shared" si="295"/>
        <v>16.243500000000001</v>
      </c>
      <c r="EH126" s="521">
        <f t="shared" si="356"/>
        <v>0</v>
      </c>
      <c r="EI126" s="535">
        <f>IF(Sheet1!ET124=1,SUM('Calculations II'!AT126:BA126)+'Calculations II'!BC126+Sheet1!BV124+'Calculations II'!BE126+AP126,'Calculations II'!BK126)</f>
        <v>42.692759827426812</v>
      </c>
      <c r="EJ126" s="535">
        <f ca="1">EI126+'Calculations II'!D126+'Calculations II'!E126+'Calculations II'!O126</f>
        <v>47.248739849085965</v>
      </c>
      <c r="EK126" s="535"/>
      <c r="EL126" s="535"/>
      <c r="EM126" s="535">
        <f t="shared" si="357"/>
        <v>42850</v>
      </c>
      <c r="EN126" s="535">
        <f t="shared" si="358"/>
        <v>54.192087827426811</v>
      </c>
      <c r="EO126" s="535">
        <f t="shared" si="359"/>
        <v>83.835159869029269</v>
      </c>
      <c r="EP126" s="535">
        <v>0</v>
      </c>
      <c r="EQ126" s="535">
        <v>0</v>
      </c>
      <c r="ER126" s="535">
        <v>0</v>
      </c>
      <c r="ES126" s="521">
        <f t="shared" si="257"/>
        <v>-3.4605175859358424</v>
      </c>
      <c r="ET126" s="535">
        <f>-(VLOOKUP(Sheet1!BQ124,Lookup!$O$4:$Q$262,2)-VLOOKUP(Sheet1!BQ123,Lookup!$O$4:$Q$262,2))/1000000</f>
        <v>-3.4605175859358424</v>
      </c>
      <c r="EU126" s="535">
        <f>-(VLOOKUP(Sheet1!BR124,Lookup!$O$4:$Q$262,3)-VLOOKUP(Sheet1!BR123,Lookup!$O$4:$Q$262,3))/1000000</f>
        <v>0</v>
      </c>
      <c r="EV126" s="535"/>
      <c r="EW126" s="535"/>
      <c r="EX126" s="535"/>
      <c r="EY126" s="535"/>
      <c r="EZ126" s="535"/>
      <c r="FA126" s="535"/>
      <c r="FB126" s="535"/>
      <c r="FC126" s="535"/>
      <c r="FD126" s="567" t="e">
        <f t="shared" si="360"/>
        <v>#N/A</v>
      </c>
      <c r="FE126" s="567" t="e">
        <f t="shared" si="361"/>
        <v>#N/A</v>
      </c>
      <c r="FF126" s="568" t="e">
        <f t="shared" si="362"/>
        <v>#N/A</v>
      </c>
      <c r="FG126" s="569" t="s">
        <v>656</v>
      </c>
      <c r="FH126" s="569" t="s">
        <v>656</v>
      </c>
      <c r="FI126" s="567" t="e">
        <v>#N/A</v>
      </c>
      <c r="FJ126" s="567" t="e">
        <v>#N/A</v>
      </c>
      <c r="FK126" s="535"/>
      <c r="FL126" s="1015">
        <v>0</v>
      </c>
      <c r="FM126" s="535"/>
      <c r="FN126" s="535"/>
      <c r="FO126" s="535">
        <f>O126+((Sheet1!CS124)*GPMtoMGD)</f>
        <v>56.633360000000003</v>
      </c>
      <c r="FP126" s="535">
        <f>IF(Sheet1!AA124+AQ126&lt;=Calculation!N126,AQ126,Calculation!N126-Sheet1!AA124)</f>
        <v>15.48208782742681</v>
      </c>
      <c r="FQ126" s="535">
        <f>(Sheet1!BP124+Sheet1!BO124)/694.4</f>
        <v>1.6378168202764978</v>
      </c>
      <c r="FR126" s="541"/>
      <c r="FS126" s="541"/>
      <c r="FT126" s="541"/>
      <c r="FU126" s="541"/>
      <c r="FV126" s="1109">
        <f t="shared" si="258"/>
        <v>42918</v>
      </c>
      <c r="FW126" s="1109">
        <f t="shared" si="259"/>
        <v>43027</v>
      </c>
      <c r="FX126" s="541"/>
      <c r="FY126" s="541">
        <f>Sheet1!DA124-Sheet1!CZ124-Sheet1!AE124</f>
        <v>560.28309000000002</v>
      </c>
      <c r="FZ126" s="535">
        <f t="shared" si="296"/>
        <v>0.26529480234249275</v>
      </c>
      <c r="GA126" s="535"/>
      <c r="GB126" s="535" t="str">
        <f t="shared" si="260"/>
        <v>n</v>
      </c>
      <c r="GC126" s="539">
        <f t="shared" si="261"/>
        <v>42782</v>
      </c>
      <c r="GD126" s="1109">
        <f t="shared" si="262"/>
        <v>42904</v>
      </c>
      <c r="GE126" s="535">
        <f t="shared" si="280"/>
        <v>6520</v>
      </c>
      <c r="GF126" s="1109">
        <f t="shared" si="263"/>
        <v>42909</v>
      </c>
      <c r="GG126" s="535">
        <f t="shared" si="308"/>
        <v>3260</v>
      </c>
      <c r="GH126" s="539">
        <f t="shared" si="264"/>
        <v>43040</v>
      </c>
      <c r="GJ126" s="521">
        <f t="shared" si="265"/>
        <v>0</v>
      </c>
      <c r="GK126" s="535" t="str">
        <f t="shared" si="363"/>
        <v/>
      </c>
      <c r="GL126" s="535">
        <f t="shared" si="266"/>
        <v>0</v>
      </c>
      <c r="GM126" s="535" t="str">
        <f t="shared" si="267"/>
        <v/>
      </c>
      <c r="GN126" s="535">
        <f>IF(GK126="P",Lookup!$M$12,IF(GK126="PP",Lookup!$M$13,IF(GK126="PPP",Lookup!$M$14,IF(GK126="T",Lookup!$M$15,IF(GK126="TP",Lookup!$M$16,IF(GK126="TPP",Lookup!$M$17,IF(GK126="TPPP",Lookup!$M$18,0)))))))*GJ126</f>
        <v>0</v>
      </c>
      <c r="GO126" s="535">
        <f t="shared" si="268"/>
        <v>0</v>
      </c>
      <c r="GP126" s="535">
        <f t="shared" si="364"/>
        <v>5701.5712000000021</v>
      </c>
      <c r="GQ126" s="535">
        <f t="shared" si="279"/>
        <v>1858.4000000000008</v>
      </c>
      <c r="GR126" s="535"/>
      <c r="GS126" s="535">
        <f t="shared" si="269"/>
        <v>0</v>
      </c>
      <c r="GT126" s="535" t="str">
        <f t="shared" si="270"/>
        <v/>
      </c>
      <c r="GU126" s="535">
        <f>IF(GK126="P",Lookup!$N$12,IF(GK126="PP",Lookup!$N$13,IF(GK126="PPP",Lookup!$N$14,IF(GK126="T",Lookup!$N$15,IF(GK126="TP",Lookup!$N$16,IF(GK126="TPP",Lookup!$N$17,IF(GK126="TPPP",Lookup!$N$18,0)))))))*GJ126</f>
        <v>0</v>
      </c>
      <c r="GV126" s="535">
        <f t="shared" si="271"/>
        <v>0</v>
      </c>
      <c r="GW126" s="535">
        <f t="shared" si="365"/>
        <v>2444.9073761890768</v>
      </c>
      <c r="GX126" s="535">
        <f t="shared" si="276"/>
        <v>796.90592444233266</v>
      </c>
      <c r="GY126" s="535"/>
      <c r="GZ126" s="535">
        <f t="shared" si="272"/>
        <v>0</v>
      </c>
      <c r="HA126" s="535" t="str">
        <f t="shared" si="273"/>
        <v/>
      </c>
      <c r="HB126" s="535">
        <f>IF(GK126="P",Lookup!$N$12,IF(GK126="PP",Lookup!$N$13,IF(GK126="PPP",Lookup!$N$14,IF(GK126="T",Lookup!$N$15,IF(GK126="TP",Lookup!$N$16,IF(GK126="TPP",Lookup!$N$17,IF(GK126="TPPP",Lookup!$N$18,0)))))))*GJ126</f>
        <v>0</v>
      </c>
      <c r="HC126" s="521">
        <f t="shared" si="366"/>
        <v>0</v>
      </c>
      <c r="HD126" s="535">
        <f t="shared" si="367"/>
        <v>1991.0544972002508</v>
      </c>
      <c r="HE126" s="535">
        <f t="shared" si="277"/>
        <v>648.97473833124207</v>
      </c>
      <c r="HF126" s="535"/>
      <c r="HG126" s="535">
        <f t="shared" si="274"/>
        <v>0</v>
      </c>
      <c r="HH126" s="535" t="str">
        <f t="shared" si="275"/>
        <v/>
      </c>
      <c r="HI126" s="535">
        <f>IF(GK126="P",Lookup!$N$12,IF(GK126="PP",Lookup!$N$13,IF(GK126="PPP",Lookup!$N$14,IF(GK126="T",Lookup!$N$15,IF(GK126="TP",Lookup!$N$16,IF(GK126="TPP",Lookup!$N$17,IF(GK126="TPPP",Lookup!$N$18,0)))))))*GJ126</f>
        <v>0</v>
      </c>
      <c r="HJ126" s="521">
        <f t="shared" si="368"/>
        <v>0</v>
      </c>
      <c r="HK126" s="535">
        <f t="shared" si="369"/>
        <v>1283.978485538237</v>
      </c>
      <c r="HL126" s="535">
        <f t="shared" si="278"/>
        <v>418.50667716370174</v>
      </c>
      <c r="HM126" s="535"/>
      <c r="HN126" s="541"/>
      <c r="HO126" s="541"/>
      <c r="HP126" s="541"/>
      <c r="HQ126" s="541">
        <f>IF(AND(B126&gt;=$FV$4,B126&lt;=$FW$4),MAX(110/1.02+$HQ$6+MIN(113/1.02,G126),IF($HV$6-(Sheet1!DA124-Sheet1!DB124)+MIN(113/1.02,G126)&lt;G126+FL126,$HV$6-(Sheet1!DA124-Sheet1!DB124)+MIN(113/1.02,G126),G126+FL126)),MIN(110/1.02+$HQ$6+113/1.02,G126))</f>
        <v>218.62745098039215</v>
      </c>
      <c r="HR126" s="541">
        <f t="shared" si="297"/>
        <v>223</v>
      </c>
      <c r="HS126" s="541">
        <f>HR126+(Sheet1!DA124-Sheet1!DB124)</f>
        <v>983</v>
      </c>
      <c r="HT126" s="541">
        <f t="shared" si="298"/>
        <v>63.535289999999996</v>
      </c>
      <c r="HU126" s="541">
        <f t="shared" si="299"/>
        <v>919.46470999999997</v>
      </c>
      <c r="HV126" s="541">
        <f t="shared" si="300"/>
        <v>0</v>
      </c>
      <c r="HW126" s="533" t="str">
        <f t="shared" si="301"/>
        <v/>
      </c>
      <c r="HX126" s="541">
        <f t="shared" si="302"/>
        <v>1831.372549019608</v>
      </c>
      <c r="HY126" s="541">
        <f>Sheet1!CZ124</f>
        <v>2050</v>
      </c>
      <c r="HZ126" s="541">
        <f t="shared" si="303"/>
        <v>0</v>
      </c>
      <c r="IA126" s="541">
        <f t="shared" si="304"/>
        <v>63.535289999999996</v>
      </c>
      <c r="IB126" s="541">
        <f t="shared" si="305"/>
        <v>2050</v>
      </c>
      <c r="IC126" s="1019" t="str">
        <f t="shared" si="306"/>
        <v/>
      </c>
      <c r="ID126" s="541">
        <f t="shared" si="307"/>
        <v>1986.46471</v>
      </c>
      <c r="IE126" s="541">
        <f>Sheet1!DB124</f>
        <v>1930</v>
      </c>
      <c r="IF126" s="533">
        <f>Sheet1!DA124</f>
        <v>2690</v>
      </c>
      <c r="IH126" s="541">
        <f>IF(AND($B126&gt;=$GC126,$B126&lt;=$GH126,$DR126&lt;0)+N("only adjusted when pool is drawn down during storage season"),Sheet1!$DB124+$DR126+N("Palmer minus all storage release"),Sheet1!$DB124)</f>
        <v>1930</v>
      </c>
      <c r="II126" s="541">
        <f>IF(AND($B126&gt;=$GC126,$B126&lt;=$GH126,$DR126&lt;0)+N("only adjusted when pool is drawn down during storage season"),Sheet1!$DA124+$DR126+N("Auburn minus all storage release"),Sheet1!$DA124)</f>
        <v>2690</v>
      </c>
    </row>
    <row r="127" spans="1:243" x14ac:dyDescent="0.25">
      <c r="A127" s="553" t="s">
        <v>6</v>
      </c>
      <c r="B127" s="531">
        <v>42851</v>
      </c>
      <c r="C127" s="536">
        <v>0</v>
      </c>
      <c r="D127" s="506">
        <f t="shared" si="247"/>
        <v>300</v>
      </c>
      <c r="E127" s="506">
        <f t="shared" si="248"/>
        <v>250</v>
      </c>
      <c r="F127" s="506">
        <v>250</v>
      </c>
      <c r="G127" s="535">
        <f>DR127+Sheet1!CZ125</f>
        <v>2117.9576399397029</v>
      </c>
      <c r="H127" s="1074">
        <f t="shared" si="370"/>
        <v>1058.7430330879999</v>
      </c>
      <c r="I127" s="534">
        <f>IF(Sheet1!DA125&gt;=E127,(Sheet1!DA125-E127+P127)*CFStoMGD,0)</f>
        <v>1562.935033088</v>
      </c>
      <c r="J127" s="995">
        <f>IF(Sheet1!DB125&gt;=D127,(Sheet1!DB125-D127+P127)*CFStoMGD,0)</f>
        <v>1058.7430330879999</v>
      </c>
      <c r="K127" s="818">
        <f t="shared" si="282"/>
        <v>64.64</v>
      </c>
      <c r="L127" s="535">
        <f>Sheet1!AA125+Sheet1!AB125-Sheet1!L125+(Sheet1!DA125-F127)*CFStoMGD-S127-T127-U127</f>
        <v>1498.2959999999998</v>
      </c>
      <c r="M127" s="535">
        <f t="shared" si="309"/>
        <v>1396.4287748261645</v>
      </c>
      <c r="N127" s="824">
        <f>IF(Sheet1!DA125&gt;=F127,MIN(113*CFStoMGD,MIN(MAX(L127,0),MAX(M127,0))),0)</f>
        <v>73.043199999999999</v>
      </c>
      <c r="O127" s="538">
        <f>Sheet1!AA125+Sheet1!AB125</f>
        <v>50.36</v>
      </c>
      <c r="P127" s="538">
        <f t="shared" si="310"/>
        <v>77.90692</v>
      </c>
      <c r="Q127" s="812">
        <f t="shared" si="283"/>
        <v>39.96</v>
      </c>
      <c r="R127" s="812">
        <f t="shared" si="249"/>
        <v>10.374858984689766</v>
      </c>
      <c r="S127" s="812">
        <f t="shared" si="250"/>
        <v>10.4</v>
      </c>
      <c r="T127" s="812">
        <f t="shared" si="251"/>
        <v>54.24</v>
      </c>
      <c r="U127" s="812">
        <f t="shared" si="284"/>
        <v>0</v>
      </c>
      <c r="V127" s="812"/>
      <c r="W127" s="812">
        <f t="shared" si="252"/>
        <v>54.265141015310235</v>
      </c>
      <c r="X127" s="812">
        <f t="shared" si="253"/>
        <v>64.64</v>
      </c>
      <c r="Y127" s="812" t="str">
        <f t="shared" si="254"/>
        <v>FALSE</v>
      </c>
      <c r="Z127" s="812">
        <f t="shared" si="255"/>
        <v>50.36</v>
      </c>
      <c r="AA127" s="812">
        <f t="shared" si="256"/>
        <v>50.36</v>
      </c>
      <c r="AB127" s="1059">
        <f t="shared" si="285"/>
        <v>61.81812</v>
      </c>
      <c r="AC127" s="538">
        <f>Sheet1!Y125*MGDtoCFS</f>
        <v>39.603200000000001</v>
      </c>
      <c r="AD127" s="538">
        <f>Sheet1!Z125*MGDtoCFS</f>
        <v>40.113709999999998</v>
      </c>
      <c r="AE127" s="538">
        <f>Sheet1!AA125*MGDtoCFS</f>
        <v>39.603200000000001</v>
      </c>
      <c r="AF127" s="538">
        <f>Sheet1!AB125*MGDtoCFS</f>
        <v>38.303719999999998</v>
      </c>
      <c r="AG127" s="538">
        <f>Sheet1!L125*MGDtoCFS</f>
        <v>0</v>
      </c>
      <c r="AH127" s="521">
        <f t="shared" si="311"/>
        <v>0</v>
      </c>
      <c r="AI127" s="1059">
        <f t="shared" si="312"/>
        <v>0</v>
      </c>
      <c r="AJ127" s="535">
        <f t="shared" si="313"/>
        <v>54.265141015310235</v>
      </c>
      <c r="AK127" s="535">
        <f t="shared" si="314"/>
        <v>83.948173150684923</v>
      </c>
      <c r="AL127" s="535">
        <f>(VLOOKUP(Sheet1!DC125,hhdcap_wcm,4)-(((VLOOKUP(Sheet1!DC125,hhdcap_wcm,3)-Sheet1!DC125)/(VLOOKUP(Sheet1!DC125,hhdcap_wcm,3)-VLOOKUP(Sheet1!DC125,hhdcap_wcm,1)))*(VLOOKUP(Sheet1!DC125,hhdcap_wcm,4)-VLOOKUP(Sheet1!DC125,hhdcap_wcm,2))))</f>
        <v>34280.200000086137</v>
      </c>
      <c r="AM127" s="535">
        <f t="shared" si="315"/>
        <v>293.40000000043074</v>
      </c>
      <c r="AN127" s="1035">
        <f t="shared" si="316"/>
        <v>3777.0524809525878</v>
      </c>
      <c r="AO127" s="535">
        <f t="shared" si="317"/>
        <v>11587.99701156254</v>
      </c>
      <c r="AP127" s="535">
        <f>Sheet1!BA125+Sheet1!BB125+Sheet1!BN125+CD127</f>
        <v>14.42</v>
      </c>
      <c r="AQ127" s="535">
        <f>Sheet1!BN125+(DO127*Sheet1!BN125)</f>
        <v>14.385141015310234</v>
      </c>
      <c r="AR127" s="535">
        <f>Sheet1!BA125+CD127</f>
        <v>0</v>
      </c>
      <c r="AS127" s="535">
        <f>Sheet1!BA125+Sheet1!BB125+CD127</f>
        <v>0</v>
      </c>
      <c r="AT127" s="649">
        <f>0</f>
        <v>0</v>
      </c>
      <c r="AU127" s="535">
        <f>IF(EB127&lt;K127,0,MAX(Sheet1!AA125+AQ127-15/36*K127-N127,Sheet1!EH125,0))</f>
        <v>0</v>
      </c>
      <c r="AV127" s="535">
        <f>IF(OR(B127&gt;=GD127,B127&lt;GC127),0,15/36*K127-MAX(0,64.6-(137.6-(Sheet1!AA125+Sheet1!AB125))))</f>
        <v>26.933333333333334</v>
      </c>
      <c r="AW127" s="1029"/>
      <c r="AX127" s="649"/>
      <c r="AY127" s="649">
        <f t="shared" si="286"/>
        <v>0</v>
      </c>
      <c r="AZ127" s="649">
        <f t="shared" si="287"/>
        <v>0</v>
      </c>
      <c r="BA127" s="1059">
        <f t="shared" si="288"/>
        <v>0</v>
      </c>
      <c r="BB127" s="1019">
        <f t="shared" si="318"/>
        <v>1885.3333333333342</v>
      </c>
      <c r="BC127" s="1041">
        <f t="shared" si="289"/>
        <v>26.933333333333334</v>
      </c>
      <c r="BD127" s="1019">
        <f ca="1">IF(B127&gt;Summary!$A$1,#N/A,BB127*MGtoAF)</f>
        <v>5784.2026666666698</v>
      </c>
      <c r="BE127" s="535">
        <f>Sheet1!BG125+Sheet1!BH125+Sheet1!BI125-BM127</f>
        <v>1.01</v>
      </c>
      <c r="BF127" s="535">
        <f t="shared" si="319"/>
        <v>1.0075584206285255</v>
      </c>
      <c r="BG127" s="535">
        <f>IF(Sheet1!EP125="FM",BM127,0)</f>
        <v>0</v>
      </c>
      <c r="BH127" s="535">
        <f t="shared" si="320"/>
        <v>0</v>
      </c>
      <c r="BI127" s="535">
        <f>IF(Sheet1!EP125="OTHER",BM127,0)</f>
        <v>0</v>
      </c>
      <c r="BJ127" s="535">
        <f t="shared" si="321"/>
        <v>0</v>
      </c>
      <c r="BK127" s="535">
        <f t="shared" si="322"/>
        <v>1.01</v>
      </c>
      <c r="BL127" s="535">
        <f t="shared" si="323"/>
        <v>1.0075584206285255</v>
      </c>
      <c r="BM127" s="535">
        <f>IF(OR(Sheet1!EP125="FM", Sheet1!EP125="OTHER"),SUM(Sheet1!BG125:'Sheet1'!BI125),0)</f>
        <v>0</v>
      </c>
      <c r="BN127" s="521">
        <f>IF(AND($B127&gt;=$FV127,$B127&lt;=$FW127),MAX(BF127,Sheet1!EI125,0),MAX(BF127-(7/36)*$K127,0))</f>
        <v>0</v>
      </c>
      <c r="BO127" s="535">
        <f t="shared" si="324"/>
        <v>11.561330468260364</v>
      </c>
      <c r="BP127" s="521">
        <f t="shared" si="325"/>
        <v>1.0075584206285255</v>
      </c>
      <c r="BQ127" s="521">
        <f>IF(AND($O127&gt;0,Sheet1!EM125=1),(1-($O127-Sheet1!$L125)/$O127)*BL127,0)</f>
        <v>0</v>
      </c>
      <c r="BR127" s="521">
        <f>IF(AND(Sheet1!$L125=0,Sheet1!$L124=0, Calculation!BK127&lt;Sheet1!$EI125-0.1,Sheet1!$EI125=Sheet1!$EI124,Sheet1!$EI125=Sheet1!$EI126),BL127-BQ127,BL127-BQ127)</f>
        <v>1.0075584206285255</v>
      </c>
      <c r="BS127" s="1035" t="str">
        <f t="shared" si="290"/>
        <v/>
      </c>
      <c r="BT127" s="1035">
        <f t="shared" si="291"/>
        <v>12.568888888888889</v>
      </c>
      <c r="BU127" s="535">
        <f t="shared" si="326"/>
        <v>808.46725491059306</v>
      </c>
      <c r="BV127" s="535"/>
      <c r="BW127" s="535">
        <f ca="1">IF(B127&gt;Summary!$A$1,#N/A,BU127*MGtoAF)</f>
        <v>2480.3775380656994</v>
      </c>
      <c r="BX127" s="535">
        <f>Sheet1!BC125+Sheet1!BD125+Sheet1!BE125+Sheet1!BF125-CG127-CH127</f>
        <v>3.01</v>
      </c>
      <c r="BY127" s="535">
        <f t="shared" si="327"/>
        <v>3.0027236099919419</v>
      </c>
      <c r="BZ127" s="535">
        <f>IF(Sheet1!EQ125="FM",CH127,0)</f>
        <v>0</v>
      </c>
      <c r="CA127" s="535">
        <f t="shared" si="328"/>
        <v>0</v>
      </c>
      <c r="CB127" s="535">
        <f>IF(Sheet1!EQ125="OTHER",CH127,0)</f>
        <v>0</v>
      </c>
      <c r="CC127" s="535">
        <f t="shared" si="329"/>
        <v>0</v>
      </c>
      <c r="CD127" s="535">
        <f t="shared" si="330"/>
        <v>0</v>
      </c>
      <c r="CE127" s="535">
        <f t="shared" si="331"/>
        <v>3.01</v>
      </c>
      <c r="CF127" s="535">
        <f t="shared" si="332"/>
        <v>3.0027236099919419</v>
      </c>
      <c r="CG127" s="535">
        <f>IF(Sheet1!EQ125="CWA",SUM(Sheet1!BC125:'Sheet1'!BF125),0)</f>
        <v>0</v>
      </c>
      <c r="CH127" s="535">
        <f>IF(OR(Sheet1!EQ125="FM", Sheet1!EQ125="OTHER"),SUM(Sheet1!BC125:'Sheet1'!BF125),0)</f>
        <v>0</v>
      </c>
      <c r="CI127" s="521">
        <f>IF(AND($B127&gt;=$FV127,$B127&lt;=$FW127),MAX(CF127,Sheet1!EJ125,0),MAX(CF127-(7/36)*$K127,0))</f>
        <v>0</v>
      </c>
      <c r="CJ127" s="535">
        <f t="shared" si="333"/>
        <v>9.5661652788969462</v>
      </c>
      <c r="CK127" s="521">
        <f t="shared" si="334"/>
        <v>3.0027236099919419</v>
      </c>
      <c r="CL127" s="521">
        <f>IF(AND($O127&gt;0,Sheet1!EN125=1),(1-($O127-Sheet1!$L125)/$O127)*CF127,0)</f>
        <v>0</v>
      </c>
      <c r="CM127" s="521">
        <f>IF(AND(Sheet1!$L125=0,Sheet1!$L124=0, Calculation!CE127&lt;Sheet1!EJ125-0.1,Sheet1!EJ125=Sheet1!EJ124,Sheet1!EJ125=Sheet1!EJ126),CF127-CL127,CF127-CL127)</f>
        <v>3.0027236099919419</v>
      </c>
      <c r="CN127" s="1040" t="str">
        <f t="shared" si="292"/>
        <v/>
      </c>
      <c r="CO127" s="1035">
        <f t="shared" si="293"/>
        <v>12.568888888888889</v>
      </c>
      <c r="CP127" s="535">
        <f t="shared" si="335"/>
        <v>658.54090361013903</v>
      </c>
      <c r="CQ127" s="535"/>
      <c r="CR127" s="535">
        <f ca="1">IF(B127&gt;Summary!$A$1,#N/A,CP127*MGtoAF)</f>
        <v>2020.4034922759065</v>
      </c>
      <c r="CS127" s="535">
        <f>Sheet1!BK125+Sheet1!BL125+Sheet1!BM125-Sheet1!ER125-DA127</f>
        <v>6.38</v>
      </c>
      <c r="CT127" s="535">
        <f t="shared" si="336"/>
        <v>6.3645769540692996</v>
      </c>
      <c r="CU127" s="535">
        <f>IF(Sheet1!ER125="FM",DA127,0)</f>
        <v>0</v>
      </c>
      <c r="CV127" s="535">
        <f t="shared" si="337"/>
        <v>0</v>
      </c>
      <c r="CW127" s="535">
        <f>IF(Sheet1!ER125="OTHER",DA127,0)</f>
        <v>0</v>
      </c>
      <c r="CX127" s="535">
        <f t="shared" si="338"/>
        <v>0</v>
      </c>
      <c r="CY127" s="535">
        <f t="shared" si="339"/>
        <v>6.38</v>
      </c>
      <c r="CZ127" s="535">
        <f t="shared" si="340"/>
        <v>6.3645769540692996</v>
      </c>
      <c r="DA127" s="535">
        <f>IF(OR(Sheet1!ER125="FM", Sheet1!ER125="OTHER"),SUM(Sheet1!BK125:'Sheet1'!BM125),0)</f>
        <v>0</v>
      </c>
      <c r="DB127" s="1011">
        <f>IF(AND($B127&gt;=$FV127,$B127&lt;=$FW127),MAX($CT127,Sheet1!EK125,0),MAX($CT127-(7/36)*$K127,0))</f>
        <v>0</v>
      </c>
      <c r="DC127" s="1012">
        <f t="shared" si="341"/>
        <v>6.2043119348195894</v>
      </c>
      <c r="DD127" s="1011">
        <f t="shared" si="342"/>
        <v>6.3645769540692996</v>
      </c>
      <c r="DE127" s="521">
        <f>IF(AND($O127&gt;0,Sheet1!EO125=1),(1-($O127-Sheet1!$L125)/$O127)*CZ127,0)</f>
        <v>0</v>
      </c>
      <c r="DF127" s="521">
        <f>IF(AND(Sheet1!$L125=0,Sheet1!$L124=0, Calculation!CY127&lt;Sheet1!$EK125-0.1,Sheet1!$EK125=Sheet1!$EK124,Sheet1!$EK125=Sheet1!$EK126),CZ127-DE127,CZ127-DE127)</f>
        <v>6.3645769540692996</v>
      </c>
      <c r="DG127" s="1040">
        <f t="shared" si="294"/>
        <v>12.568888888888889</v>
      </c>
      <c r="DH127" s="649">
        <f t="shared" si="343"/>
        <v>10.399999999999999</v>
      </c>
      <c r="DI127" s="535">
        <f t="shared" si="344"/>
        <v>424.71098909852134</v>
      </c>
      <c r="DJ127" s="649">
        <f t="shared" si="345"/>
        <v>10.374858984689766</v>
      </c>
      <c r="DK127" s="535">
        <f ca="1">IF(B127&gt;Summary!$A$1,#N/A,DI127*MGtoAF)</f>
        <v>1303.0133145542634</v>
      </c>
      <c r="DL127" s="649">
        <f t="shared" si="346"/>
        <v>10.4</v>
      </c>
      <c r="DM127" s="535">
        <f t="shared" si="347"/>
        <v>24.82</v>
      </c>
      <c r="DN127" s="535">
        <f>Sheet1!AB125-DM127</f>
        <v>-5.9999999999998721E-2</v>
      </c>
      <c r="DO127" s="743">
        <f t="shared" si="348"/>
        <v>-2.4174053182916488E-3</v>
      </c>
      <c r="DP127" s="535">
        <f>(VLOOKUP(Sheet1!DC125,hhdcap_wcm,4)-(((VLOOKUP(Sheet1!DC125,hhdcap_wcm,3)-Sheet1!DC125)/(VLOOKUP(Sheet1!DC125,hhdcap_wcm,3)-VLOOKUP(Sheet1!DC125,hhdcap_wcm,1)))*(VLOOKUP(Sheet1!DC125,hhdcap_wcm,4)-VLOOKUP(Sheet1!DC125,hhdcap_wcm,2))))</f>
        <v>34280.200000086137</v>
      </c>
      <c r="DQ127" s="535">
        <f t="shared" si="349"/>
        <v>293.40000000043074</v>
      </c>
      <c r="DR127" s="535">
        <f t="shared" si="350"/>
        <v>147.95763993970283</v>
      </c>
      <c r="DS127" s="535">
        <f>Sheet1!EA125*AFtoMG</f>
        <v>0</v>
      </c>
      <c r="DT127" s="535">
        <f>Sheet1!EB125*AFtoMG</f>
        <v>0</v>
      </c>
      <c r="DU127" s="535">
        <f>Sheet1!EC125*AFtoMG</f>
        <v>0</v>
      </c>
      <c r="DV127" s="535">
        <f>Sheet1!ED125*AFtoMG</f>
        <v>0</v>
      </c>
      <c r="DW127" s="535">
        <f t="shared" si="351"/>
        <v>0</v>
      </c>
      <c r="DX127" s="535">
        <f t="shared" si="352"/>
        <v>0</v>
      </c>
      <c r="DY127" s="535">
        <f t="shared" si="353"/>
        <v>3777.0524809525878</v>
      </c>
      <c r="DZ127" s="535">
        <f t="shared" si="354"/>
        <v>11587.99701156254</v>
      </c>
      <c r="EA127" s="535"/>
      <c r="EB127" s="521">
        <f>IF(OR(B127&lt;FV127,B127&gt;FW127),(MIN(BF127+BY127+CT127+MAX(Sheet1!AA125+AQ127-73,0),K127)),0)</f>
        <v>10.374858984689766</v>
      </c>
      <c r="EC127" s="535"/>
      <c r="ED127" s="535">
        <f t="shared" si="355"/>
        <v>10.374858984689766</v>
      </c>
      <c r="EE127" s="535"/>
      <c r="EF127" s="535">
        <f>Sheet1!EH125+Sheet1!EI125+Sheet1!EJ125+Sheet1!EK125</f>
        <v>10.5</v>
      </c>
      <c r="EG127" s="1019">
        <f t="shared" si="295"/>
        <v>16.243500000000001</v>
      </c>
      <c r="EH127" s="521">
        <f t="shared" si="356"/>
        <v>0</v>
      </c>
      <c r="EI127" s="535">
        <f>IF(Sheet1!ET125=1,SUM('Calculations II'!AT127:BA127)+'Calculations II'!BC127+Sheet1!BV125+'Calculations II'!BE127+AP127,'Calculations II'!BK127)</f>
        <v>44.973837015310231</v>
      </c>
      <c r="EJ127" s="535">
        <f ca="1">EI127+'Calculations II'!D127+'Calculations II'!E127+'Calculations II'!O127</f>
        <v>44.69487558591868</v>
      </c>
      <c r="EK127" s="535"/>
      <c r="EL127" s="535"/>
      <c r="EM127" s="535">
        <f t="shared" si="357"/>
        <v>42851</v>
      </c>
      <c r="EN127" s="535">
        <f t="shared" si="358"/>
        <v>54.265141015310235</v>
      </c>
      <c r="EO127" s="535">
        <f t="shared" si="359"/>
        <v>83.948173150684923</v>
      </c>
      <c r="EP127" s="535">
        <v>0</v>
      </c>
      <c r="EQ127" s="535">
        <v>0</v>
      </c>
      <c r="ER127" s="535">
        <v>0</v>
      </c>
      <c r="ES127" s="521">
        <f t="shared" si="257"/>
        <v>-0.41499923724650023</v>
      </c>
      <c r="ET127" s="535">
        <f>-(VLOOKUP(Sheet1!BQ125,Lookup!$O$4:$Q$262,2)-VLOOKUP(Sheet1!BQ124,Lookup!$O$4:$Q$262,2))/1000000</f>
        <v>-0.55405445446514334</v>
      </c>
      <c r="EU127" s="535">
        <f>-(VLOOKUP(Sheet1!BR125,Lookup!$O$4:$Q$262,3)-VLOOKUP(Sheet1!BR124,Lookup!$O$4:$Q$262,3))/1000000</f>
        <v>0.13905521721864308</v>
      </c>
      <c r="EV127" s="535"/>
      <c r="EW127" s="535"/>
      <c r="EX127" s="535"/>
      <c r="EY127" s="535"/>
      <c r="EZ127" s="535"/>
      <c r="FA127" s="535"/>
      <c r="FB127" s="535"/>
      <c r="FC127" s="535"/>
      <c r="FD127" s="567" t="e">
        <f t="shared" si="360"/>
        <v>#N/A</v>
      </c>
      <c r="FE127" s="567" t="e">
        <f t="shared" si="361"/>
        <v>#N/A</v>
      </c>
      <c r="FF127" s="568" t="e">
        <f t="shared" si="362"/>
        <v>#N/A</v>
      </c>
      <c r="FG127" s="569" t="s">
        <v>656</v>
      </c>
      <c r="FH127" s="569" t="s">
        <v>656</v>
      </c>
      <c r="FI127" s="567" t="e">
        <v>#N/A</v>
      </c>
      <c r="FJ127" s="567" t="e">
        <v>#N/A</v>
      </c>
      <c r="FK127" s="535"/>
      <c r="FL127" s="1015">
        <v>0</v>
      </c>
      <c r="FM127" s="535"/>
      <c r="FN127" s="535"/>
      <c r="FO127" s="535">
        <f>O127+((Sheet1!CS125)*GPMtoMGD)</f>
        <v>55.452559999999998</v>
      </c>
      <c r="FP127" s="535">
        <f>IF(Sheet1!AA125+AQ127&lt;=Calculation!N127,AQ127,Calculation!N127-Sheet1!AA125)</f>
        <v>14.385141015310234</v>
      </c>
      <c r="FQ127" s="535">
        <f>(Sheet1!BP125+Sheet1!BO125)/694.4</f>
        <v>1.4128744239631337</v>
      </c>
      <c r="FR127" s="541"/>
      <c r="FS127" s="541"/>
      <c r="FT127" s="541"/>
      <c r="FU127" s="541"/>
      <c r="FV127" s="1109">
        <f t="shared" si="258"/>
        <v>42918</v>
      </c>
      <c r="FW127" s="1109">
        <f t="shared" si="259"/>
        <v>43027</v>
      </c>
      <c r="FX127" s="541"/>
      <c r="FY127" s="541">
        <f>Sheet1!DA125-Sheet1!CZ125-Sheet1!AE125</f>
        <v>542.09307999999999</v>
      </c>
      <c r="FZ127" s="535">
        <f t="shared" si="296"/>
        <v>0.2559508602898371</v>
      </c>
      <c r="GA127" s="535"/>
      <c r="GB127" s="535" t="str">
        <f t="shared" si="260"/>
        <v>n</v>
      </c>
      <c r="GC127" s="539">
        <f t="shared" si="261"/>
        <v>42782</v>
      </c>
      <c r="GD127" s="1109">
        <f t="shared" si="262"/>
        <v>42904</v>
      </c>
      <c r="GE127" s="535">
        <f t="shared" si="280"/>
        <v>6520</v>
      </c>
      <c r="GF127" s="1109">
        <f t="shared" si="263"/>
        <v>42909</v>
      </c>
      <c r="GG127" s="535">
        <f t="shared" si="308"/>
        <v>3260</v>
      </c>
      <c r="GH127" s="539">
        <f t="shared" si="264"/>
        <v>43040</v>
      </c>
      <c r="GJ127" s="521">
        <f t="shared" si="265"/>
        <v>0</v>
      </c>
      <c r="GK127" s="535" t="str">
        <f t="shared" si="363"/>
        <v/>
      </c>
      <c r="GL127" s="535">
        <f t="shared" si="266"/>
        <v>0</v>
      </c>
      <c r="GM127" s="535" t="str">
        <f t="shared" si="267"/>
        <v/>
      </c>
      <c r="GN127" s="535">
        <f>IF(GK127="P",Lookup!$M$12,IF(GK127="PP",Lookup!$M$13,IF(GK127="PPP",Lookup!$M$14,IF(GK127="T",Lookup!$M$15,IF(GK127="TP",Lookup!$M$16,IF(GK127="TPP",Lookup!$M$17,IF(GK127="TPPP",Lookup!$M$18,0)))))))*GJ127</f>
        <v>0</v>
      </c>
      <c r="GO127" s="535">
        <f t="shared" si="268"/>
        <v>0</v>
      </c>
      <c r="GP127" s="535">
        <f t="shared" si="364"/>
        <v>5784.2026666666698</v>
      </c>
      <c r="GQ127" s="535">
        <f t="shared" si="279"/>
        <v>1885.3333333333342</v>
      </c>
      <c r="GR127" s="535"/>
      <c r="GS127" s="535">
        <f t="shared" si="269"/>
        <v>0</v>
      </c>
      <c r="GT127" s="535" t="str">
        <f t="shared" si="270"/>
        <v/>
      </c>
      <c r="GU127" s="535">
        <f>IF(GK127="P",Lookup!$N$12,IF(GK127="PP",Lookup!$N$13,IF(GK127="PPP",Lookup!$N$14,IF(GK127="T",Lookup!$N$15,IF(GK127="TP",Lookup!$N$16,IF(GK127="TPP",Lookup!$N$17,IF(GK127="TPPP",Lookup!$N$18,0)))))))*GJ127</f>
        <v>0</v>
      </c>
      <c r="GV127" s="535">
        <f t="shared" si="271"/>
        <v>0</v>
      </c>
      <c r="GW127" s="535">
        <f t="shared" si="365"/>
        <v>2480.3775380656994</v>
      </c>
      <c r="GX127" s="535">
        <f t="shared" si="276"/>
        <v>808.46725491059306</v>
      </c>
      <c r="GY127" s="535"/>
      <c r="GZ127" s="535">
        <f t="shared" si="272"/>
        <v>0</v>
      </c>
      <c r="HA127" s="535" t="str">
        <f t="shared" si="273"/>
        <v/>
      </c>
      <c r="HB127" s="535">
        <f>IF(GK127="P",Lookup!$N$12,IF(GK127="PP",Lookup!$N$13,IF(GK127="PPP",Lookup!$N$14,IF(GK127="T",Lookup!$N$15,IF(GK127="TP",Lookup!$N$16,IF(GK127="TPP",Lookup!$N$17,IF(GK127="TPPP",Lookup!$N$18,0)))))))*GJ127</f>
        <v>0</v>
      </c>
      <c r="HC127" s="521">
        <f t="shared" si="366"/>
        <v>0</v>
      </c>
      <c r="HD127" s="535">
        <f t="shared" si="367"/>
        <v>2020.4034922759065</v>
      </c>
      <c r="HE127" s="535">
        <f t="shared" si="277"/>
        <v>658.54090361013903</v>
      </c>
      <c r="HF127" s="535"/>
      <c r="HG127" s="535">
        <f t="shared" si="274"/>
        <v>0</v>
      </c>
      <c r="HH127" s="535" t="str">
        <f t="shared" si="275"/>
        <v/>
      </c>
      <c r="HI127" s="535">
        <f>IF(GK127="P",Lookup!$N$12,IF(GK127="PP",Lookup!$N$13,IF(GK127="PPP",Lookup!$N$14,IF(GK127="T",Lookup!$N$15,IF(GK127="TP",Lookup!$N$16,IF(GK127="TPP",Lookup!$N$17,IF(GK127="TPPP",Lookup!$N$18,0)))))))*GJ127</f>
        <v>0</v>
      </c>
      <c r="HJ127" s="521">
        <f t="shared" si="368"/>
        <v>0</v>
      </c>
      <c r="HK127" s="535">
        <f t="shared" si="369"/>
        <v>1303.0133145542634</v>
      </c>
      <c r="HL127" s="535">
        <f t="shared" si="278"/>
        <v>424.71098909852134</v>
      </c>
      <c r="HM127" s="535"/>
      <c r="HN127" s="541"/>
      <c r="HO127" s="541"/>
      <c r="HP127" s="541"/>
      <c r="HQ127" s="541">
        <f>IF(AND(B127&gt;=$FV$4,B127&lt;=$FW$4),MAX(110/1.02+$HQ$6+MIN(113/1.02,G127),IF($HV$6-(Sheet1!DA125-Sheet1!DB125)+MIN(113/1.02,G127)&lt;G127+FL127,$HV$6-(Sheet1!DA125-Sheet1!DB125)+MIN(113/1.02,G127),G127+FL127)),MIN(110/1.02+$HQ$6+113/1.02,G127))</f>
        <v>218.62745098039215</v>
      </c>
      <c r="HR127" s="541">
        <f t="shared" si="297"/>
        <v>223</v>
      </c>
      <c r="HS127" s="541">
        <f>HR127+(Sheet1!DA125-Sheet1!DB125)</f>
        <v>953</v>
      </c>
      <c r="HT127" s="541">
        <f t="shared" si="298"/>
        <v>61.81812</v>
      </c>
      <c r="HU127" s="541">
        <f t="shared" si="299"/>
        <v>891.18187999999998</v>
      </c>
      <c r="HV127" s="541">
        <f t="shared" si="300"/>
        <v>0</v>
      </c>
      <c r="HW127" s="533" t="str">
        <f t="shared" si="301"/>
        <v/>
      </c>
      <c r="HX127" s="541">
        <f t="shared" si="302"/>
        <v>1751.372549019608</v>
      </c>
      <c r="HY127" s="541">
        <f>Sheet1!CZ125</f>
        <v>1970</v>
      </c>
      <c r="HZ127" s="541">
        <f t="shared" si="303"/>
        <v>0</v>
      </c>
      <c r="IA127" s="541">
        <f t="shared" si="304"/>
        <v>61.81812</v>
      </c>
      <c r="IB127" s="541">
        <f t="shared" si="305"/>
        <v>1970</v>
      </c>
      <c r="IC127" s="1019" t="str">
        <f t="shared" si="306"/>
        <v/>
      </c>
      <c r="ID127" s="541">
        <f t="shared" si="307"/>
        <v>1908.1818800000001</v>
      </c>
      <c r="IE127" s="541">
        <f>Sheet1!DB125</f>
        <v>1860</v>
      </c>
      <c r="IF127" s="533">
        <f>Sheet1!DA125</f>
        <v>2590</v>
      </c>
      <c r="IH127" s="541">
        <f>IF(AND($B127&gt;=$GC127,$B127&lt;=$GH127,$DR127&lt;0)+N("only adjusted when pool is drawn down during storage season"),Sheet1!$DB125+$DR127+N("Palmer minus all storage release"),Sheet1!$DB125)</f>
        <v>1860</v>
      </c>
      <c r="II127" s="541">
        <f>IF(AND($B127&gt;=$GC127,$B127&lt;=$GH127,$DR127&lt;0)+N("only adjusted when pool is drawn down during storage season"),Sheet1!$DA125+$DR127+N("Auburn minus all storage release"),Sheet1!$DA125)</f>
        <v>2590</v>
      </c>
    </row>
    <row r="128" spans="1:243" x14ac:dyDescent="0.25">
      <c r="A128" s="553" t="s">
        <v>7</v>
      </c>
      <c r="B128" s="531">
        <v>42852</v>
      </c>
      <c r="C128" s="536">
        <v>0</v>
      </c>
      <c r="D128" s="506">
        <f t="shared" si="247"/>
        <v>300</v>
      </c>
      <c r="E128" s="506">
        <f t="shared" si="248"/>
        <v>250</v>
      </c>
      <c r="F128" s="506">
        <v>250</v>
      </c>
      <c r="G128" s="535">
        <f>DR128+Sheet1!CZ126</f>
        <v>2234.0443772073972</v>
      </c>
      <c r="H128" s="1074">
        <f t="shared" si="370"/>
        <v>1051.1190553599999</v>
      </c>
      <c r="I128" s="534">
        <f>IF(Sheet1!DA126&gt;=E128,(Sheet1!DA126-E128+P128)*CFStoMGD,0)</f>
        <v>1542.3830553599998</v>
      </c>
      <c r="J128" s="995">
        <f>IF(Sheet1!DB126&gt;=D128,(Sheet1!DB126-D128+P128)*CFStoMGD,0)</f>
        <v>1051.1190553599999</v>
      </c>
      <c r="K128" s="818">
        <f t="shared" si="282"/>
        <v>64.64</v>
      </c>
      <c r="L128" s="535">
        <f>Sheet1!AA126+Sheet1!AB126-Sheet1!L126+(Sheet1!DA126-F128)*CFStoMGD-S128-T128-U128</f>
        <v>1477.7439999999999</v>
      </c>
      <c r="M128" s="535">
        <f t="shared" si="309"/>
        <v>1472.9680111353989</v>
      </c>
      <c r="N128" s="824">
        <f>IF(Sheet1!DA126&gt;=F128,MIN(113*CFStoMGD,MIN(MAX(L128,0),MAX(M128,0))),0)</f>
        <v>73.043199999999999</v>
      </c>
      <c r="O128" s="538">
        <f>Sheet1!AA126+Sheet1!AB126</f>
        <v>49.2</v>
      </c>
      <c r="P128" s="538">
        <f t="shared" si="310"/>
        <v>76.112400000000008</v>
      </c>
      <c r="Q128" s="812">
        <f t="shared" si="283"/>
        <v>38.71</v>
      </c>
      <c r="R128" s="812">
        <f t="shared" si="249"/>
        <v>10.450147741663152</v>
      </c>
      <c r="S128" s="812">
        <f t="shared" si="250"/>
        <v>10.49</v>
      </c>
      <c r="T128" s="812">
        <f t="shared" si="251"/>
        <v>54.15</v>
      </c>
      <c r="U128" s="812">
        <f t="shared" si="284"/>
        <v>0</v>
      </c>
      <c r="V128" s="812"/>
      <c r="W128" s="812">
        <f t="shared" si="252"/>
        <v>54.189852258336849</v>
      </c>
      <c r="X128" s="812">
        <f t="shared" si="253"/>
        <v>64.64</v>
      </c>
      <c r="Y128" s="812" t="str">
        <f t="shared" si="254"/>
        <v>FALSE</v>
      </c>
      <c r="Z128" s="812">
        <f t="shared" si="255"/>
        <v>49.2</v>
      </c>
      <c r="AA128" s="812">
        <f t="shared" si="256"/>
        <v>49.2</v>
      </c>
      <c r="AB128" s="1059">
        <f t="shared" si="285"/>
        <v>59.884369999999997</v>
      </c>
      <c r="AC128" s="538">
        <f>Sheet1!Y126*MGDtoCFS</f>
        <v>39.603200000000001</v>
      </c>
      <c r="AD128" s="538">
        <f>Sheet1!Z126*MGDtoCFS</f>
        <v>38.210899999999995</v>
      </c>
      <c r="AE128" s="538">
        <f>Sheet1!AA126*MGDtoCFS</f>
        <v>39.603200000000001</v>
      </c>
      <c r="AF128" s="538">
        <f>Sheet1!AB126*MGDtoCFS</f>
        <v>36.5092</v>
      </c>
      <c r="AG128" s="538">
        <f>Sheet1!L126*MGDtoCFS</f>
        <v>0</v>
      </c>
      <c r="AH128" s="521">
        <f t="shared" si="311"/>
        <v>0</v>
      </c>
      <c r="AI128" s="1059">
        <f t="shared" si="312"/>
        <v>0</v>
      </c>
      <c r="AJ128" s="535">
        <f t="shared" si="313"/>
        <v>54.189852258336849</v>
      </c>
      <c r="AK128" s="535">
        <f t="shared" si="314"/>
        <v>83.831701443647106</v>
      </c>
      <c r="AL128" s="535">
        <f>(VLOOKUP(Sheet1!DC126,hhdcap_wcm,4)-(((VLOOKUP(Sheet1!DC126,hhdcap_wcm,3)-Sheet1!DC126)/(VLOOKUP(Sheet1!DC126,hhdcap_wcm,3)-VLOOKUP(Sheet1!DC126,hhdcap_wcm,1)))*(VLOOKUP(Sheet1!DC126,hhdcap_wcm,4)-VLOOKUP(Sheet1!DC126,hhdcap_wcm,2))))</f>
        <v>34803.800000088406</v>
      </c>
      <c r="AM128" s="535">
        <f t="shared" si="315"/>
        <v>523.60000000226864</v>
      </c>
      <c r="AN128" s="1035">
        <f t="shared" si="316"/>
        <v>3831.2423332109247</v>
      </c>
      <c r="AO128" s="535">
        <f t="shared" si="317"/>
        <v>11754.251478291117</v>
      </c>
      <c r="AP128" s="535">
        <f>Sheet1!BA126+Sheet1!BB126+Sheet1!BN126+CD128</f>
        <v>13.2</v>
      </c>
      <c r="AQ128" s="535">
        <f>Sheet1!BN126+(DO128*Sheet1!BN126)</f>
        <v>13.149852258336852</v>
      </c>
      <c r="AR128" s="535">
        <f>Sheet1!BA126+CD128</f>
        <v>0</v>
      </c>
      <c r="AS128" s="535">
        <f>Sheet1!BA126+Sheet1!BB126+CD128</f>
        <v>0</v>
      </c>
      <c r="AT128" s="649">
        <f>0</f>
        <v>0</v>
      </c>
      <c r="AU128" s="535">
        <f>IF(EB128&lt;K128,0,MAX(Sheet1!AA126+AQ128-15/36*K128-N128,Sheet1!EH126,0))</f>
        <v>0</v>
      </c>
      <c r="AV128" s="535">
        <f>IF(OR(B128&gt;=GD128,B128&lt;GC128),0,15/36*K128-MAX(0,64.6-(137.6-(Sheet1!AA126+Sheet1!AB126))))</f>
        <v>26.933333333333334</v>
      </c>
      <c r="AW128" s="1029"/>
      <c r="AX128" s="649"/>
      <c r="AY128" s="649">
        <f t="shared" si="286"/>
        <v>0</v>
      </c>
      <c r="AZ128" s="649">
        <f t="shared" si="287"/>
        <v>0</v>
      </c>
      <c r="BA128" s="1059">
        <f t="shared" si="288"/>
        <v>0</v>
      </c>
      <c r="BB128" s="1019">
        <f t="shared" si="318"/>
        <v>1912.2666666666676</v>
      </c>
      <c r="BC128" s="1041">
        <f t="shared" si="289"/>
        <v>26.933333333333334</v>
      </c>
      <c r="BD128" s="1019">
        <f ca="1">IF(B128&gt;Summary!$A$1,#N/A,BB128*MGtoAF)</f>
        <v>5866.8341333333365</v>
      </c>
      <c r="BE128" s="535">
        <f>Sheet1!BG126+Sheet1!BH126+Sheet1!BI126-BM128</f>
        <v>1.01</v>
      </c>
      <c r="BF128" s="535">
        <f t="shared" si="319"/>
        <v>1.0061629379485015</v>
      </c>
      <c r="BG128" s="535">
        <f>IF(Sheet1!EP126="FM",BM128,0)</f>
        <v>0</v>
      </c>
      <c r="BH128" s="535">
        <f t="shared" si="320"/>
        <v>0</v>
      </c>
      <c r="BI128" s="535">
        <f>IF(Sheet1!EP126="OTHER",BM128,0)</f>
        <v>0</v>
      </c>
      <c r="BJ128" s="535">
        <f t="shared" si="321"/>
        <v>0</v>
      </c>
      <c r="BK128" s="535">
        <f t="shared" si="322"/>
        <v>1.01</v>
      </c>
      <c r="BL128" s="535">
        <f t="shared" si="323"/>
        <v>1.0061629379485015</v>
      </c>
      <c r="BM128" s="535">
        <f>IF(OR(Sheet1!EP126="FM", Sheet1!EP126="OTHER"),SUM(Sheet1!BG126:'Sheet1'!BI126),0)</f>
        <v>0</v>
      </c>
      <c r="BN128" s="521">
        <f>IF(AND($B128&gt;=$FV128,$B128&lt;=$FW128),MAX(BF128,Sheet1!EI126,0),MAX(BF128-(7/36)*$K128,0))</f>
        <v>0</v>
      </c>
      <c r="BO128" s="535">
        <f t="shared" si="324"/>
        <v>11.562725950940388</v>
      </c>
      <c r="BP128" s="521">
        <f t="shared" si="325"/>
        <v>1.0061629379485015</v>
      </c>
      <c r="BQ128" s="521">
        <f>IF(AND($O128&gt;0,Sheet1!EM126=1),(1-($O128-Sheet1!$L126)/$O128)*BL128,0)</f>
        <v>0</v>
      </c>
      <c r="BR128" s="521">
        <f>IF(AND(Sheet1!$L126=0,Sheet1!$L125=0, Calculation!BK128&lt;Sheet1!$EI126-0.1,Sheet1!$EI126=Sheet1!$EI125,Sheet1!$EI126=Sheet1!$EI127),BL128-BQ128,BL128-BQ128)</f>
        <v>1.0061629379485015</v>
      </c>
      <c r="BS128" s="1035" t="str">
        <f t="shared" si="290"/>
        <v/>
      </c>
      <c r="BT128" s="1035">
        <f t="shared" si="291"/>
        <v>12.568888888888889</v>
      </c>
      <c r="BU128" s="535">
        <f t="shared" si="326"/>
        <v>820.02998086153343</v>
      </c>
      <c r="BV128" s="535"/>
      <c r="BW128" s="535">
        <f ca="1">IF(B128&gt;Summary!$A$1,#N/A,BU128*MGtoAF)</f>
        <v>2515.8519812831846</v>
      </c>
      <c r="BX128" s="535">
        <f>Sheet1!BC126+Sheet1!BD126+Sheet1!BE126+Sheet1!BF126-CG128-CH128</f>
        <v>3</v>
      </c>
      <c r="BY128" s="535">
        <f t="shared" si="327"/>
        <v>2.9886027859856483</v>
      </c>
      <c r="BZ128" s="535">
        <f>IF(Sheet1!EQ126="FM",CH128,0)</f>
        <v>0</v>
      </c>
      <c r="CA128" s="535">
        <f t="shared" si="328"/>
        <v>0</v>
      </c>
      <c r="CB128" s="535">
        <f>IF(Sheet1!EQ126="OTHER",CH128,0)</f>
        <v>0</v>
      </c>
      <c r="CC128" s="535">
        <f t="shared" si="329"/>
        <v>0</v>
      </c>
      <c r="CD128" s="535">
        <f t="shared" si="330"/>
        <v>0</v>
      </c>
      <c r="CE128" s="535">
        <f t="shared" si="331"/>
        <v>3</v>
      </c>
      <c r="CF128" s="535">
        <f t="shared" si="332"/>
        <v>2.9886027859856483</v>
      </c>
      <c r="CG128" s="535">
        <f>IF(Sheet1!EQ126="CWA",SUM(Sheet1!BC126:'Sheet1'!BF126),0)</f>
        <v>0</v>
      </c>
      <c r="CH128" s="535">
        <f>IF(OR(Sheet1!EQ126="FM", Sheet1!EQ126="OTHER"),SUM(Sheet1!BC126:'Sheet1'!BF126),0)</f>
        <v>0</v>
      </c>
      <c r="CI128" s="521">
        <f>IF(AND($B128&gt;=$FV128,$B128&lt;=$FW128),MAX(CF128,Sheet1!EJ126,0),MAX(CF128-(7/36)*$K128,0))</f>
        <v>0</v>
      </c>
      <c r="CJ128" s="535">
        <f t="shared" si="333"/>
        <v>9.5802861029032407</v>
      </c>
      <c r="CK128" s="521">
        <f t="shared" si="334"/>
        <v>2.9886027859856483</v>
      </c>
      <c r="CL128" s="521">
        <f>IF(AND($O128&gt;0,Sheet1!EN126=1),(1-($O128-Sheet1!$L126)/$O128)*CF128,0)</f>
        <v>0</v>
      </c>
      <c r="CM128" s="521">
        <f>IF(AND(Sheet1!$L126=0,Sheet1!$L125=0, Calculation!CE128&lt;Sheet1!EJ126-0.1,Sheet1!EJ126=Sheet1!EJ125,Sheet1!EJ126=Sheet1!EJ127),CF128-CL128,CF128-CL128)</f>
        <v>2.9886027859856483</v>
      </c>
      <c r="CN128" s="1040" t="str">
        <f t="shared" si="292"/>
        <v/>
      </c>
      <c r="CO128" s="1035">
        <f t="shared" si="293"/>
        <v>12.568888888888889</v>
      </c>
      <c r="CP128" s="535">
        <f t="shared" si="335"/>
        <v>668.12118971304221</v>
      </c>
      <c r="CQ128" s="535"/>
      <c r="CR128" s="535">
        <f ca="1">IF(B128&gt;Summary!$A$1,#N/A,CP128*MGtoAF)</f>
        <v>2049.7958100396136</v>
      </c>
      <c r="CS128" s="535">
        <f>Sheet1!BK126+Sheet1!BL126+Sheet1!BM126-Sheet1!ER126-DA128</f>
        <v>6.48</v>
      </c>
      <c r="CT128" s="535">
        <f t="shared" si="336"/>
        <v>6.4553820177290007</v>
      </c>
      <c r="CU128" s="535">
        <f>IF(Sheet1!ER126="FM",DA128,0)</f>
        <v>0</v>
      </c>
      <c r="CV128" s="535">
        <f t="shared" si="337"/>
        <v>0</v>
      </c>
      <c r="CW128" s="535">
        <f>IF(Sheet1!ER126="OTHER",DA128,0)</f>
        <v>0</v>
      </c>
      <c r="CX128" s="535">
        <f t="shared" si="338"/>
        <v>0</v>
      </c>
      <c r="CY128" s="535">
        <f t="shared" si="339"/>
        <v>6.48</v>
      </c>
      <c r="CZ128" s="535">
        <f t="shared" si="340"/>
        <v>6.4553820177290007</v>
      </c>
      <c r="DA128" s="535">
        <f>IF(OR(Sheet1!ER126="FM", Sheet1!ER126="OTHER"),SUM(Sheet1!BK126:'Sheet1'!BM126),0)</f>
        <v>0</v>
      </c>
      <c r="DB128" s="1011">
        <f>IF(AND($B128&gt;=$FV128,$B128&lt;=$FW128),MAX($CT128,Sheet1!EK126,0),MAX($CT128-(7/36)*$K128,0))</f>
        <v>0</v>
      </c>
      <c r="DC128" s="1012">
        <f t="shared" si="341"/>
        <v>6.1135068711598883</v>
      </c>
      <c r="DD128" s="1011">
        <f t="shared" si="342"/>
        <v>6.4553820177290007</v>
      </c>
      <c r="DE128" s="521">
        <f>IF(AND($O128&gt;0,Sheet1!EO126=1),(1-($O128-Sheet1!$L126)/$O128)*CZ128,0)</f>
        <v>0</v>
      </c>
      <c r="DF128" s="521">
        <f>IF(AND(Sheet1!$L126=0,Sheet1!$L125=0, Calculation!CY128&lt;Sheet1!$EK126-0.1,Sheet1!$EK126=Sheet1!$EK125,Sheet1!$EK126=Sheet1!$EK127),CZ128-DE128,CZ128-DE128)</f>
        <v>6.4553820177290007</v>
      </c>
      <c r="DG128" s="1040">
        <f t="shared" si="294"/>
        <v>12.568888888888889</v>
      </c>
      <c r="DH128" s="649">
        <f t="shared" si="343"/>
        <v>10.49</v>
      </c>
      <c r="DI128" s="535">
        <f t="shared" si="344"/>
        <v>430.82449596968121</v>
      </c>
      <c r="DJ128" s="649">
        <f t="shared" si="345"/>
        <v>10.450147741663152</v>
      </c>
      <c r="DK128" s="535">
        <f ca="1">IF(B128&gt;Summary!$A$1,#N/A,DI128*MGtoAF)</f>
        <v>1321.769553634982</v>
      </c>
      <c r="DL128" s="649">
        <f t="shared" si="346"/>
        <v>10.49</v>
      </c>
      <c r="DM128" s="535">
        <f t="shared" si="347"/>
        <v>23.689999999999998</v>
      </c>
      <c r="DN128" s="535">
        <f>Sheet1!AB126-DM128</f>
        <v>-8.9999999999996305E-2</v>
      </c>
      <c r="DO128" s="743">
        <f t="shared" si="348"/>
        <v>-3.7990713381171933E-3</v>
      </c>
      <c r="DP128" s="535">
        <f>(VLOOKUP(Sheet1!DC126,hhdcap_wcm,4)-(((VLOOKUP(Sheet1!DC126,hhdcap_wcm,3)-Sheet1!DC126)/(VLOOKUP(Sheet1!DC126,hhdcap_wcm,3)-VLOOKUP(Sheet1!DC126,hhdcap_wcm,1)))*(VLOOKUP(Sheet1!DC126,hhdcap_wcm,4)-VLOOKUP(Sheet1!DC126,hhdcap_wcm,2))))</f>
        <v>34803.800000088406</v>
      </c>
      <c r="DQ128" s="535">
        <f t="shared" si="349"/>
        <v>523.60000000226864</v>
      </c>
      <c r="DR128" s="535">
        <f t="shared" si="350"/>
        <v>264.04437720739719</v>
      </c>
      <c r="DS128" s="535">
        <f>Sheet1!EA126*AFtoMG</f>
        <v>0</v>
      </c>
      <c r="DT128" s="535">
        <f>Sheet1!EB126*AFtoMG</f>
        <v>0</v>
      </c>
      <c r="DU128" s="535">
        <f>Sheet1!EC126*AFtoMG</f>
        <v>0</v>
      </c>
      <c r="DV128" s="535">
        <f>Sheet1!ED126*AFtoMG</f>
        <v>0</v>
      </c>
      <c r="DW128" s="535">
        <f t="shared" si="351"/>
        <v>0</v>
      </c>
      <c r="DX128" s="535">
        <f t="shared" si="352"/>
        <v>0</v>
      </c>
      <c r="DY128" s="535">
        <f t="shared" si="353"/>
        <v>3831.2423332109247</v>
      </c>
      <c r="DZ128" s="535">
        <f t="shared" si="354"/>
        <v>11754.251478291117</v>
      </c>
      <c r="EA128" s="535"/>
      <c r="EB128" s="521">
        <f>IF(OR(B128&lt;FV128,B128&gt;FW128),(MIN(BF128+BY128+CT128+MAX(Sheet1!AA126+AQ128-73,0),K128)),0)</f>
        <v>10.450147741663152</v>
      </c>
      <c r="EC128" s="535"/>
      <c r="ED128" s="535">
        <f t="shared" si="355"/>
        <v>10.450147741663152</v>
      </c>
      <c r="EE128" s="535"/>
      <c r="EF128" s="535">
        <f>Sheet1!EH126+Sheet1!EI126+Sheet1!EJ126+Sheet1!EK126</f>
        <v>10.5</v>
      </c>
      <c r="EG128" s="1019">
        <f t="shared" si="295"/>
        <v>16.243500000000001</v>
      </c>
      <c r="EH128" s="521">
        <f t="shared" si="356"/>
        <v>0</v>
      </c>
      <c r="EI128" s="535">
        <f>IF(Sheet1!ET126=1,SUM('Calculations II'!AT128:BA128)+'Calculations II'!BC128+Sheet1!BV126+'Calculations II'!BE128+AP128,'Calculations II'!BK128)</f>
        <v>42.634464258336848</v>
      </c>
      <c r="EJ128" s="535">
        <f ca="1">EI128+'Calculations II'!D128+'Calculations II'!E128+'Calculations II'!O128</f>
        <v>43.331601379990914</v>
      </c>
      <c r="EK128" s="535"/>
      <c r="EL128" s="535"/>
      <c r="EM128" s="535">
        <f t="shared" si="357"/>
        <v>42852</v>
      </c>
      <c r="EN128" s="535">
        <f t="shared" si="358"/>
        <v>54.189852258336849</v>
      </c>
      <c r="EO128" s="535">
        <f t="shared" si="359"/>
        <v>83.831701443647106</v>
      </c>
      <c r="EP128" s="535">
        <v>0</v>
      </c>
      <c r="EQ128" s="535">
        <v>0</v>
      </c>
      <c r="ER128" s="535">
        <v>0</v>
      </c>
      <c r="ES128" s="521">
        <f t="shared" si="257"/>
        <v>-0.7965592568008053</v>
      </c>
      <c r="ET128" s="535">
        <f>-(VLOOKUP(Sheet1!BQ126,Lookup!$O$4:$Q$262,2)-VLOOKUP(Sheet1!BQ125,Lookup!$O$4:$Q$262,2))/1000000</f>
        <v>-0.83127396138395371</v>
      </c>
      <c r="EU128" s="535">
        <f>-(VLOOKUP(Sheet1!BR126,Lookup!$O$4:$Q$262,3)-VLOOKUP(Sheet1!BR125,Lookup!$O$4:$Q$262,3))/1000000</f>
        <v>3.4714704583148369E-2</v>
      </c>
      <c r="EV128" s="535"/>
      <c r="EW128" s="535"/>
      <c r="EX128" s="535"/>
      <c r="EY128" s="535"/>
      <c r="EZ128" s="535"/>
      <c r="FA128" s="535"/>
      <c r="FB128" s="535"/>
      <c r="FC128" s="535"/>
      <c r="FD128" s="567" t="e">
        <f t="shared" si="360"/>
        <v>#N/A</v>
      </c>
      <c r="FE128" s="567" t="e">
        <f t="shared" si="361"/>
        <v>#N/A</v>
      </c>
      <c r="FF128" s="568" t="e">
        <f t="shared" si="362"/>
        <v>#N/A</v>
      </c>
      <c r="FG128" s="569" t="s">
        <v>656</v>
      </c>
      <c r="FH128" s="569" t="s">
        <v>656</v>
      </c>
      <c r="FI128" s="567" t="e">
        <v>#N/A</v>
      </c>
      <c r="FJ128" s="567" t="e">
        <v>#N/A</v>
      </c>
      <c r="FK128" s="535"/>
      <c r="FL128" s="1015">
        <v>0</v>
      </c>
      <c r="FM128" s="535"/>
      <c r="FN128" s="535"/>
      <c r="FO128" s="535">
        <f>O128+((Sheet1!CS126)*GPMtoMGD)</f>
        <v>54.281472000000001</v>
      </c>
      <c r="FP128" s="535">
        <f>IF(Sheet1!AA126+AQ128&lt;=Calculation!N128,AQ128,Calculation!N128-Sheet1!AA126)</f>
        <v>13.149852258336852</v>
      </c>
      <c r="FQ128" s="535">
        <f>(Sheet1!BP126+Sheet1!BO126)/694.4</f>
        <v>1.4795506912442398</v>
      </c>
      <c r="FR128" s="541"/>
      <c r="FS128" s="541"/>
      <c r="FT128" s="541"/>
      <c r="FU128" s="541"/>
      <c r="FV128" s="1109">
        <f t="shared" si="258"/>
        <v>42918</v>
      </c>
      <c r="FW128" s="1109">
        <f t="shared" si="259"/>
        <v>43027</v>
      </c>
      <c r="FX128" s="541"/>
      <c r="FY128" s="541">
        <f>Sheet1!DA126-Sheet1!CZ126-Sheet1!AE126</f>
        <v>513.88760000000002</v>
      </c>
      <c r="FZ128" s="535">
        <f t="shared" si="296"/>
        <v>0.23002569028748229</v>
      </c>
      <c r="GA128" s="535"/>
      <c r="GB128" s="535" t="str">
        <f t="shared" si="260"/>
        <v>n</v>
      </c>
      <c r="GC128" s="539">
        <f t="shared" si="261"/>
        <v>42782</v>
      </c>
      <c r="GD128" s="1109">
        <f t="shared" si="262"/>
        <v>42904</v>
      </c>
      <c r="GE128" s="535">
        <f t="shared" si="280"/>
        <v>6520</v>
      </c>
      <c r="GF128" s="1109">
        <f t="shared" si="263"/>
        <v>42909</v>
      </c>
      <c r="GG128" s="535">
        <f t="shared" si="308"/>
        <v>3260</v>
      </c>
      <c r="GH128" s="539">
        <f t="shared" si="264"/>
        <v>43040</v>
      </c>
      <c r="GJ128" s="521">
        <f t="shared" si="265"/>
        <v>0</v>
      </c>
      <c r="GK128" s="535" t="str">
        <f t="shared" si="363"/>
        <v/>
      </c>
      <c r="GL128" s="535">
        <f t="shared" si="266"/>
        <v>0</v>
      </c>
      <c r="GM128" s="535" t="str">
        <f t="shared" si="267"/>
        <v/>
      </c>
      <c r="GN128" s="535">
        <f>IF(GK128="P",Lookup!$M$12,IF(GK128="PP",Lookup!$M$13,IF(GK128="PPP",Lookup!$M$14,IF(GK128="T",Lookup!$M$15,IF(GK128="TP",Lookup!$M$16,IF(GK128="TPP",Lookup!$M$17,IF(GK128="TPPP",Lookup!$M$18,0)))))))*GJ128</f>
        <v>0</v>
      </c>
      <c r="GO128" s="535">
        <f t="shared" si="268"/>
        <v>0</v>
      </c>
      <c r="GP128" s="535">
        <f t="shared" si="364"/>
        <v>5866.8341333333365</v>
      </c>
      <c r="GQ128" s="535">
        <f t="shared" si="279"/>
        <v>1912.2666666666676</v>
      </c>
      <c r="GR128" s="535"/>
      <c r="GS128" s="535">
        <f t="shared" si="269"/>
        <v>0</v>
      </c>
      <c r="GT128" s="535" t="str">
        <f t="shared" si="270"/>
        <v/>
      </c>
      <c r="GU128" s="535">
        <f>IF(GK128="P",Lookup!$N$12,IF(GK128="PP",Lookup!$N$13,IF(GK128="PPP",Lookup!$N$14,IF(GK128="T",Lookup!$N$15,IF(GK128="TP",Lookup!$N$16,IF(GK128="TPP",Lookup!$N$17,IF(GK128="TPPP",Lookup!$N$18,0)))))))*GJ128</f>
        <v>0</v>
      </c>
      <c r="GV128" s="535">
        <f t="shared" si="271"/>
        <v>0</v>
      </c>
      <c r="GW128" s="535">
        <f t="shared" si="365"/>
        <v>2515.8519812831846</v>
      </c>
      <c r="GX128" s="535">
        <f t="shared" si="276"/>
        <v>820.02998086153343</v>
      </c>
      <c r="GY128" s="535"/>
      <c r="GZ128" s="535">
        <f t="shared" si="272"/>
        <v>0</v>
      </c>
      <c r="HA128" s="535" t="str">
        <f t="shared" si="273"/>
        <v/>
      </c>
      <c r="HB128" s="535">
        <f>IF(GK128="P",Lookup!$N$12,IF(GK128="PP",Lookup!$N$13,IF(GK128="PPP",Lookup!$N$14,IF(GK128="T",Lookup!$N$15,IF(GK128="TP",Lookup!$N$16,IF(GK128="TPP",Lookup!$N$17,IF(GK128="TPPP",Lookup!$N$18,0)))))))*GJ128</f>
        <v>0</v>
      </c>
      <c r="HC128" s="521">
        <f t="shared" si="366"/>
        <v>0</v>
      </c>
      <c r="HD128" s="535">
        <f t="shared" si="367"/>
        <v>2049.7958100396136</v>
      </c>
      <c r="HE128" s="535">
        <f t="shared" si="277"/>
        <v>668.12118971304221</v>
      </c>
      <c r="HF128" s="535"/>
      <c r="HG128" s="535">
        <f t="shared" si="274"/>
        <v>0</v>
      </c>
      <c r="HH128" s="535" t="str">
        <f t="shared" si="275"/>
        <v/>
      </c>
      <c r="HI128" s="535">
        <f>IF(GK128="P",Lookup!$N$12,IF(GK128="PP",Lookup!$N$13,IF(GK128="PPP",Lookup!$N$14,IF(GK128="T",Lookup!$N$15,IF(GK128="TP",Lookup!$N$16,IF(GK128="TPP",Lookup!$N$17,IF(GK128="TPPP",Lookup!$N$18,0)))))))*GJ128</f>
        <v>0</v>
      </c>
      <c r="HJ128" s="521">
        <f t="shared" si="368"/>
        <v>0</v>
      </c>
      <c r="HK128" s="535">
        <f t="shared" si="369"/>
        <v>1321.769553634982</v>
      </c>
      <c r="HL128" s="535">
        <f t="shared" si="278"/>
        <v>430.82449596968121</v>
      </c>
      <c r="HM128" s="535"/>
      <c r="HN128" s="541"/>
      <c r="HO128" s="541"/>
      <c r="HP128" s="541"/>
      <c r="HQ128" s="541">
        <f>IF(AND(B128&gt;=$FV$4,B128&lt;=$FW$4),MAX(110/1.02+$HQ$6+MIN(113/1.02,G128),IF($HV$6-(Sheet1!DA126-Sheet1!DB126)+MIN(113/1.02,G128)&lt;G128+FL128,$HV$6-(Sheet1!DA126-Sheet1!DB126)+MIN(113/1.02,G128),G128+FL128)),MIN(110/1.02+$HQ$6+113/1.02,G128))</f>
        <v>218.62745098039215</v>
      </c>
      <c r="HR128" s="541">
        <f t="shared" si="297"/>
        <v>223</v>
      </c>
      <c r="HS128" s="541">
        <f>HR128+(Sheet1!DA126-Sheet1!DB126)</f>
        <v>933</v>
      </c>
      <c r="HT128" s="541">
        <f t="shared" si="298"/>
        <v>59.884369999999997</v>
      </c>
      <c r="HU128" s="541">
        <f t="shared" si="299"/>
        <v>873.11563000000001</v>
      </c>
      <c r="HV128" s="541">
        <f t="shared" si="300"/>
        <v>0</v>
      </c>
      <c r="HW128" s="533" t="str">
        <f t="shared" si="301"/>
        <v/>
      </c>
      <c r="HX128" s="541">
        <f t="shared" si="302"/>
        <v>1751.372549019608</v>
      </c>
      <c r="HY128" s="541">
        <f>Sheet1!CZ126</f>
        <v>1970</v>
      </c>
      <c r="HZ128" s="541">
        <f t="shared" si="303"/>
        <v>0</v>
      </c>
      <c r="IA128" s="541">
        <f t="shared" si="304"/>
        <v>59.884369999999997</v>
      </c>
      <c r="IB128" s="541">
        <f t="shared" si="305"/>
        <v>1970</v>
      </c>
      <c r="IC128" s="1019" t="str">
        <f t="shared" si="306"/>
        <v/>
      </c>
      <c r="ID128" s="541">
        <f t="shared" si="307"/>
        <v>1910.11563</v>
      </c>
      <c r="IE128" s="541">
        <f>Sheet1!DB126</f>
        <v>1850</v>
      </c>
      <c r="IF128" s="533">
        <f>Sheet1!DA126</f>
        <v>2560</v>
      </c>
      <c r="IH128" s="541">
        <f>IF(AND($B128&gt;=$GC128,$B128&lt;=$GH128,$DR128&lt;0)+N("only adjusted when pool is drawn down during storage season"),Sheet1!$DB126+$DR128+N("Palmer minus all storage release"),Sheet1!$DB126)</f>
        <v>1850</v>
      </c>
      <c r="II128" s="541">
        <f>IF(AND($B128&gt;=$GC128,$B128&lt;=$GH128,$DR128&lt;0)+N("only adjusted when pool is drawn down during storage season"),Sheet1!$DA126+$DR128+N("Auburn minus all storage release"),Sheet1!$DA126)</f>
        <v>2560</v>
      </c>
    </row>
    <row r="129" spans="1:243" x14ac:dyDescent="0.25">
      <c r="A129" s="553" t="s">
        <v>8</v>
      </c>
      <c r="B129" s="531">
        <v>42853</v>
      </c>
      <c r="C129" s="536">
        <v>0</v>
      </c>
      <c r="D129" s="506">
        <f t="shared" si="247"/>
        <v>300</v>
      </c>
      <c r="E129" s="506">
        <f t="shared" si="248"/>
        <v>250</v>
      </c>
      <c r="F129" s="506">
        <v>250</v>
      </c>
      <c r="G129" s="535">
        <f>DR129+Sheet1!CZ127</f>
        <v>1964.1502773577593</v>
      </c>
      <c r="H129" s="1074">
        <f t="shared" si="370"/>
        <v>934.16706687999988</v>
      </c>
      <c r="I129" s="534">
        <f>IF(Sheet1!DA127&gt;=E129,(Sheet1!DA127-E129+P129)*CFStoMGD,0)</f>
        <v>1393.11106688</v>
      </c>
      <c r="J129" s="995">
        <f>IF(Sheet1!DB127&gt;=D129,(Sheet1!DB127-D129+P129)*CFStoMGD,0)</f>
        <v>934.16706687999988</v>
      </c>
      <c r="K129" s="818">
        <f t="shared" si="282"/>
        <v>64.64</v>
      </c>
      <c r="L129" s="535">
        <f>Sheet1!AA127+Sheet1!AB127-Sheet1!L127+(Sheet1!DA127-F129)*CFStoMGD-S129-T129-U129</f>
        <v>1328.4719999999998</v>
      </c>
      <c r="M129" s="535">
        <f t="shared" si="309"/>
        <v>1295.0192740697366</v>
      </c>
      <c r="N129" s="824">
        <f>IF(Sheet1!DA127&gt;=F129,MIN(113*CFStoMGD,MIN(MAX(L129,0),MAX(M129,0))),0)</f>
        <v>73.043199999999999</v>
      </c>
      <c r="O129" s="538">
        <f>Sheet1!AA127+Sheet1!AB127</f>
        <v>48.6</v>
      </c>
      <c r="P129" s="538">
        <f t="shared" si="310"/>
        <v>75.184200000000004</v>
      </c>
      <c r="Q129" s="812">
        <f t="shared" si="283"/>
        <v>38.11</v>
      </c>
      <c r="R129" s="812">
        <f t="shared" si="249"/>
        <v>10.449112169770464</v>
      </c>
      <c r="S129" s="812">
        <f t="shared" si="250"/>
        <v>10.49</v>
      </c>
      <c r="T129" s="812">
        <f t="shared" si="251"/>
        <v>54.15</v>
      </c>
      <c r="U129" s="812">
        <f t="shared" si="284"/>
        <v>0</v>
      </c>
      <c r="V129" s="812"/>
      <c r="W129" s="812">
        <f t="shared" si="252"/>
        <v>54.190887830229535</v>
      </c>
      <c r="X129" s="812">
        <f t="shared" si="253"/>
        <v>64.64</v>
      </c>
      <c r="Y129" s="812" t="str">
        <f t="shared" si="254"/>
        <v>FALSE</v>
      </c>
      <c r="Z129" s="812">
        <f t="shared" si="255"/>
        <v>48.6</v>
      </c>
      <c r="AA129" s="812">
        <f t="shared" si="256"/>
        <v>48.6</v>
      </c>
      <c r="AB129" s="1059">
        <f t="shared" si="285"/>
        <v>58.956169999999993</v>
      </c>
      <c r="AC129" s="538">
        <f>Sheet1!Y127*MGDtoCFS</f>
        <v>39.603200000000001</v>
      </c>
      <c r="AD129" s="538">
        <f>Sheet1!Z127*MGDtoCFS</f>
        <v>36.5092</v>
      </c>
      <c r="AE129" s="538">
        <f>Sheet1!AA127*MGDtoCFS</f>
        <v>39.603200000000001</v>
      </c>
      <c r="AF129" s="538">
        <f>Sheet1!AB127*MGDtoCFS</f>
        <v>35.580999999999996</v>
      </c>
      <c r="AG129" s="538">
        <f>Sheet1!L127*MGDtoCFS</f>
        <v>0</v>
      </c>
      <c r="AH129" s="521">
        <f t="shared" si="311"/>
        <v>0</v>
      </c>
      <c r="AI129" s="1059">
        <f t="shared" si="312"/>
        <v>0</v>
      </c>
      <c r="AJ129" s="535">
        <f t="shared" si="313"/>
        <v>54.190887830229535</v>
      </c>
      <c r="AK129" s="535">
        <f t="shared" si="314"/>
        <v>83.833303473365092</v>
      </c>
      <c r="AL129" s="535">
        <f>(VLOOKUP(Sheet1!DC127,hhdcap_wcm,4)-(((VLOOKUP(Sheet1!DC127,hhdcap_wcm,3)-Sheet1!DC127)/(VLOOKUP(Sheet1!DC127,hhdcap_wcm,3)-VLOOKUP(Sheet1!DC127,hhdcap_wcm,1)))*(VLOOKUP(Sheet1!DC127,hhdcap_wcm,4)-VLOOKUP(Sheet1!DC127,hhdcap_wcm,2))))</f>
        <v>35188.800000088842</v>
      </c>
      <c r="AM129" s="535">
        <f t="shared" si="315"/>
        <v>385.00000000043656</v>
      </c>
      <c r="AN129" s="1035">
        <f t="shared" si="316"/>
        <v>3885.433221041154</v>
      </c>
      <c r="AO129" s="535">
        <f t="shared" si="317"/>
        <v>11920.509122154261</v>
      </c>
      <c r="AP129" s="535">
        <f>Sheet1!BA127+Sheet1!BB127+Sheet1!BN127+CD129</f>
        <v>12.6</v>
      </c>
      <c r="AQ129" s="535">
        <f>Sheet1!BN127+(DO129*Sheet1!BN127)</f>
        <v>12.550887830229536</v>
      </c>
      <c r="AR129" s="535">
        <f>Sheet1!BA127+CD129</f>
        <v>0</v>
      </c>
      <c r="AS129" s="535">
        <f>Sheet1!BA127+Sheet1!BB127+CD129</f>
        <v>0</v>
      </c>
      <c r="AT129" s="649">
        <f>0</f>
        <v>0</v>
      </c>
      <c r="AU129" s="535">
        <f>IF(EB129&lt;K129,0,MAX(Sheet1!AA127+AQ129-15/36*K129-N129,Sheet1!EH127,0))</f>
        <v>0</v>
      </c>
      <c r="AV129" s="535">
        <f>IF(OR(B129&gt;=GD129,B129&lt;GC129),0,15/36*K129-MAX(0,64.6-(137.6-(Sheet1!AA127+Sheet1!AB127))))</f>
        <v>26.933333333333334</v>
      </c>
      <c r="AW129" s="1029"/>
      <c r="AX129" s="649"/>
      <c r="AY129" s="649">
        <f t="shared" si="286"/>
        <v>0</v>
      </c>
      <c r="AZ129" s="649">
        <f t="shared" si="287"/>
        <v>0</v>
      </c>
      <c r="BA129" s="1059">
        <f t="shared" si="288"/>
        <v>0</v>
      </c>
      <c r="BB129" s="1019">
        <f t="shared" si="318"/>
        <v>1939.200000000001</v>
      </c>
      <c r="BC129" s="1041">
        <f t="shared" si="289"/>
        <v>26.933333333333334</v>
      </c>
      <c r="BD129" s="1019">
        <f ca="1">IF(B129&gt;Summary!$A$1,#N/A,BB129*MGtoAF)</f>
        <v>5949.4656000000032</v>
      </c>
      <c r="BE129" s="535">
        <f>Sheet1!BG127+Sheet1!BH127+Sheet1!BI127-BM129</f>
        <v>1.01</v>
      </c>
      <c r="BF129" s="535">
        <f t="shared" si="319"/>
        <v>1.0060632308358597</v>
      </c>
      <c r="BG129" s="535">
        <f>IF(Sheet1!EP127="FM",BM129,0)</f>
        <v>0</v>
      </c>
      <c r="BH129" s="535">
        <f t="shared" si="320"/>
        <v>0</v>
      </c>
      <c r="BI129" s="535">
        <f>IF(Sheet1!EP127="OTHER",BM129,0)</f>
        <v>0</v>
      </c>
      <c r="BJ129" s="535">
        <f t="shared" si="321"/>
        <v>0</v>
      </c>
      <c r="BK129" s="535">
        <f t="shared" si="322"/>
        <v>1.01</v>
      </c>
      <c r="BL129" s="535">
        <f t="shared" si="323"/>
        <v>1.0060632308358597</v>
      </c>
      <c r="BM129" s="535">
        <f>IF(OR(Sheet1!EP127="FM", Sheet1!EP127="OTHER"),SUM(Sheet1!BG127:'Sheet1'!BI127),0)</f>
        <v>0</v>
      </c>
      <c r="BN129" s="521">
        <f>IF(AND($B129&gt;=$FV129,$B129&lt;=$FW129),MAX(BF129,Sheet1!EI127,0),MAX(BF129-(7/36)*$K129,0))</f>
        <v>0</v>
      </c>
      <c r="BO129" s="535">
        <f t="shared" si="324"/>
        <v>11.562825658053029</v>
      </c>
      <c r="BP129" s="521">
        <f t="shared" si="325"/>
        <v>1.0060632308358597</v>
      </c>
      <c r="BQ129" s="521">
        <f>IF(AND($O129&gt;0,Sheet1!EM127=1),(1-($O129-Sheet1!$L127)/$O129)*BL129,0)</f>
        <v>0</v>
      </c>
      <c r="BR129" s="521">
        <f>IF(AND(Sheet1!$L127=0,Sheet1!$L126=0, Calculation!BK129&lt;Sheet1!$EI127-0.1,Sheet1!$EI127=Sheet1!$EI126,Sheet1!$EI127=Sheet1!$EI128),BL129-BQ129,BL129-BQ129)</f>
        <v>1.0060632308358597</v>
      </c>
      <c r="BS129" s="1035" t="str">
        <f t="shared" si="290"/>
        <v/>
      </c>
      <c r="BT129" s="1035">
        <f t="shared" si="291"/>
        <v>12.568888888888889</v>
      </c>
      <c r="BU129" s="535">
        <f t="shared" si="326"/>
        <v>831.59280651958647</v>
      </c>
      <c r="BV129" s="535"/>
      <c r="BW129" s="535">
        <f ca="1">IF(B129&gt;Summary!$A$1,#N/A,BU129*MGtoAF)</f>
        <v>2551.3267304020915</v>
      </c>
      <c r="BX129" s="535">
        <f>Sheet1!BC127+Sheet1!BD127+Sheet1!BE127+Sheet1!BF127-CG129-CH129</f>
        <v>3</v>
      </c>
      <c r="BY129" s="535">
        <f t="shared" si="327"/>
        <v>2.9883066262451279</v>
      </c>
      <c r="BZ129" s="535">
        <f>IF(Sheet1!EQ127="FM",CH129,0)</f>
        <v>0</v>
      </c>
      <c r="CA129" s="535">
        <f t="shared" si="328"/>
        <v>0</v>
      </c>
      <c r="CB129" s="535">
        <f>IF(Sheet1!EQ127="OTHER",CH129,0)</f>
        <v>0</v>
      </c>
      <c r="CC129" s="535">
        <f t="shared" si="329"/>
        <v>0</v>
      </c>
      <c r="CD129" s="535">
        <f t="shared" si="330"/>
        <v>0</v>
      </c>
      <c r="CE129" s="535">
        <f t="shared" si="331"/>
        <v>3</v>
      </c>
      <c r="CF129" s="535">
        <f t="shared" si="332"/>
        <v>2.9883066262451279</v>
      </c>
      <c r="CG129" s="535">
        <f>IF(Sheet1!EQ127="CWA",SUM(Sheet1!BC127:'Sheet1'!BF127),0)</f>
        <v>0</v>
      </c>
      <c r="CH129" s="535">
        <f>IF(OR(Sheet1!EQ127="FM", Sheet1!EQ127="OTHER"),SUM(Sheet1!BC127:'Sheet1'!BF127),0)</f>
        <v>0</v>
      </c>
      <c r="CI129" s="521">
        <f>IF(AND($B129&gt;=$FV129,$B129&lt;=$FW129),MAX(CF129,Sheet1!EJ127,0),MAX(CF129-(7/36)*$K129,0))</f>
        <v>0</v>
      </c>
      <c r="CJ129" s="535">
        <f t="shared" si="333"/>
        <v>9.5805822626437607</v>
      </c>
      <c r="CK129" s="521">
        <f t="shared" si="334"/>
        <v>2.9883066262451279</v>
      </c>
      <c r="CL129" s="521">
        <f>IF(AND($O129&gt;0,Sheet1!EN127=1),(1-($O129-Sheet1!$L127)/$O129)*CF129,0)</f>
        <v>0</v>
      </c>
      <c r="CM129" s="521">
        <f>IF(AND(Sheet1!$L127=0,Sheet1!$L126=0, Calculation!CE129&lt;Sheet1!EJ127-0.1,Sheet1!EJ127=Sheet1!EJ126,Sheet1!EJ127=Sheet1!EJ128),CF129-CL129,CF129-CL129)</f>
        <v>2.9883066262451279</v>
      </c>
      <c r="CN129" s="1040" t="str">
        <f t="shared" si="292"/>
        <v/>
      </c>
      <c r="CO129" s="1035">
        <f t="shared" si="293"/>
        <v>12.568888888888889</v>
      </c>
      <c r="CP129" s="535">
        <f t="shared" si="335"/>
        <v>677.70177197568603</v>
      </c>
      <c r="CQ129" s="535"/>
      <c r="CR129" s="535">
        <f ca="1">IF(B129&gt;Summary!$A$1,#N/A,CP129*MGtoAF)</f>
        <v>2079.1890364214046</v>
      </c>
      <c r="CS129" s="535">
        <f>Sheet1!BK127+Sheet1!BL127+Sheet1!BM127-Sheet1!ER127-DA129</f>
        <v>6.48</v>
      </c>
      <c r="CT129" s="535">
        <f t="shared" si="336"/>
        <v>6.4547423126894765</v>
      </c>
      <c r="CU129" s="535">
        <f>IF(Sheet1!ER127="FM",DA129,0)</f>
        <v>0</v>
      </c>
      <c r="CV129" s="535">
        <f t="shared" si="337"/>
        <v>0</v>
      </c>
      <c r="CW129" s="535">
        <f>IF(Sheet1!ER127="OTHER",DA129,0)</f>
        <v>0</v>
      </c>
      <c r="CX129" s="535">
        <f t="shared" si="338"/>
        <v>0</v>
      </c>
      <c r="CY129" s="535">
        <f t="shared" si="339"/>
        <v>6.48</v>
      </c>
      <c r="CZ129" s="535">
        <f t="shared" si="340"/>
        <v>6.4547423126894765</v>
      </c>
      <c r="DA129" s="535">
        <f>IF(OR(Sheet1!ER127="FM", Sheet1!ER127="OTHER"),SUM(Sheet1!BK127:'Sheet1'!BM127),0)</f>
        <v>0</v>
      </c>
      <c r="DB129" s="1011">
        <f>IF(AND($B129&gt;=$FV129,$B129&lt;=$FW129),MAX($CT129,Sheet1!EK127,0),MAX($CT129-(7/36)*$K129,0))</f>
        <v>0</v>
      </c>
      <c r="DC129" s="1012">
        <f t="shared" si="341"/>
        <v>6.1141465761994125</v>
      </c>
      <c r="DD129" s="1011">
        <f t="shared" si="342"/>
        <v>6.4547423126894765</v>
      </c>
      <c r="DE129" s="521">
        <f>IF(AND($O129&gt;0,Sheet1!EO127=1),(1-($O129-Sheet1!$L127)/$O129)*CZ129,0)</f>
        <v>0</v>
      </c>
      <c r="DF129" s="521">
        <f>IF(AND(Sheet1!$L127=0,Sheet1!$L126=0, Calculation!CY129&lt;Sheet1!$EK127-0.1,Sheet1!$EK127=Sheet1!$EK126,Sheet1!$EK127=Sheet1!$EK128),CZ129-DE129,CZ129-DE129)</f>
        <v>6.4547423126894765</v>
      </c>
      <c r="DG129" s="1040">
        <f t="shared" si="294"/>
        <v>12.568888888888889</v>
      </c>
      <c r="DH129" s="649">
        <f t="shared" si="343"/>
        <v>10.49</v>
      </c>
      <c r="DI129" s="535">
        <f t="shared" si="344"/>
        <v>436.93864254588061</v>
      </c>
      <c r="DJ129" s="649">
        <f t="shared" si="345"/>
        <v>10.449112169770464</v>
      </c>
      <c r="DK129" s="535">
        <f ca="1">IF(B129&gt;Summary!$A$1,#N/A,DI129*MGtoAF)</f>
        <v>1340.5277553307617</v>
      </c>
      <c r="DL129" s="649">
        <f t="shared" si="346"/>
        <v>10.49</v>
      </c>
      <c r="DM129" s="535">
        <f t="shared" si="347"/>
        <v>23.09</v>
      </c>
      <c r="DN129" s="535">
        <f>Sheet1!AB127-DM129</f>
        <v>-8.9999999999999858E-2</v>
      </c>
      <c r="DO129" s="743">
        <f t="shared" si="348"/>
        <v>-3.8977912516240734E-3</v>
      </c>
      <c r="DP129" s="535">
        <f>(VLOOKUP(Sheet1!DC127,hhdcap_wcm,4)-(((VLOOKUP(Sheet1!DC127,hhdcap_wcm,3)-Sheet1!DC127)/(VLOOKUP(Sheet1!DC127,hhdcap_wcm,3)-VLOOKUP(Sheet1!DC127,hhdcap_wcm,1)))*(VLOOKUP(Sheet1!DC127,hhdcap_wcm,4)-VLOOKUP(Sheet1!DC127,hhdcap_wcm,2))))</f>
        <v>35188.800000088842</v>
      </c>
      <c r="DQ129" s="535">
        <f t="shared" si="349"/>
        <v>385.00000000043656</v>
      </c>
      <c r="DR129" s="535">
        <f t="shared" si="350"/>
        <v>194.15027735775919</v>
      </c>
      <c r="DS129" s="535">
        <f>Sheet1!EA127*AFtoMG</f>
        <v>0</v>
      </c>
      <c r="DT129" s="535">
        <f>Sheet1!EB127*AFtoMG</f>
        <v>0</v>
      </c>
      <c r="DU129" s="535">
        <f>Sheet1!EC127*AFtoMG</f>
        <v>0</v>
      </c>
      <c r="DV129" s="535">
        <f>Sheet1!ED127*AFtoMG</f>
        <v>0</v>
      </c>
      <c r="DW129" s="535">
        <f t="shared" si="351"/>
        <v>0</v>
      </c>
      <c r="DX129" s="535">
        <f t="shared" si="352"/>
        <v>0</v>
      </c>
      <c r="DY129" s="535">
        <f t="shared" si="353"/>
        <v>3885.433221041154</v>
      </c>
      <c r="DZ129" s="535">
        <f t="shared" si="354"/>
        <v>11920.509122154261</v>
      </c>
      <c r="EA129" s="535"/>
      <c r="EB129" s="521">
        <f>IF(OR(B129&lt;FV129,B129&gt;FW129),(MIN(BF129+BY129+CT129+MAX(Sheet1!AA127+AQ129-73,0),K129)),0)</f>
        <v>10.449112169770464</v>
      </c>
      <c r="EC129" s="535"/>
      <c r="ED129" s="535">
        <f t="shared" si="355"/>
        <v>10.449112169770464</v>
      </c>
      <c r="EE129" s="535"/>
      <c r="EF129" s="535">
        <f>Sheet1!EH127+Sheet1!EI127+Sheet1!EJ127+Sheet1!EK127</f>
        <v>11</v>
      </c>
      <c r="EG129" s="1019">
        <f t="shared" si="295"/>
        <v>17.016999999999999</v>
      </c>
      <c r="EH129" s="521">
        <f t="shared" si="356"/>
        <v>0</v>
      </c>
      <c r="EI129" s="535">
        <f>IF(Sheet1!ET127=1,SUM('Calculations II'!AT129:BA129)+'Calculations II'!BC129+Sheet1!BV127+'Calculations II'!BE129+AP129,'Calculations II'!BK129)</f>
        <v>42.929313830229539</v>
      </c>
      <c r="EJ129" s="535">
        <f ca="1">EI129+'Calculations II'!D129+'Calculations II'!E129+'Calculations II'!O129</f>
        <v>43.793574738022542</v>
      </c>
      <c r="EK129" s="535"/>
      <c r="EL129" s="535"/>
      <c r="EM129" s="535">
        <f t="shared" si="357"/>
        <v>42853</v>
      </c>
      <c r="EN129" s="535">
        <f t="shared" si="358"/>
        <v>54.190887830229535</v>
      </c>
      <c r="EO129" s="535">
        <f t="shared" si="359"/>
        <v>83.833303473365092</v>
      </c>
      <c r="EP129" s="535">
        <v>0</v>
      </c>
      <c r="EQ129" s="535">
        <v>0</v>
      </c>
      <c r="ER129" s="535">
        <v>0</v>
      </c>
      <c r="ES129" s="521">
        <f t="shared" si="257"/>
        <v>-0.17328279934063451</v>
      </c>
      <c r="ET129" s="535">
        <f>-(VLOOKUP(Sheet1!BQ127,Lookup!$O$4:$Q$262,2)-VLOOKUP(Sheet1!BQ126,Lookup!$O$4:$Q$262,2))/1000000</f>
        <v>-0.13856809475748613</v>
      </c>
      <c r="EU129" s="535">
        <f>-(VLOOKUP(Sheet1!BR127,Lookup!$O$4:$Q$262,3)-VLOOKUP(Sheet1!BR126,Lookup!$O$4:$Q$262,3))/1000000</f>
        <v>-3.4714704583148369E-2</v>
      </c>
      <c r="EV129" s="535"/>
      <c r="EW129" s="535"/>
      <c r="EX129" s="535"/>
      <c r="EY129" s="535"/>
      <c r="EZ129" s="535"/>
      <c r="FA129" s="535"/>
      <c r="FB129" s="535"/>
      <c r="FC129" s="535"/>
      <c r="FD129" s="567" t="e">
        <f t="shared" si="360"/>
        <v>#N/A</v>
      </c>
      <c r="FE129" s="567" t="e">
        <f t="shared" si="361"/>
        <v>#N/A</v>
      </c>
      <c r="FF129" s="568" t="e">
        <f t="shared" si="362"/>
        <v>#N/A</v>
      </c>
      <c r="FG129" s="569" t="s">
        <v>656</v>
      </c>
      <c r="FH129" s="569" t="s">
        <v>656</v>
      </c>
      <c r="FI129" s="567" t="e">
        <v>#N/A</v>
      </c>
      <c r="FJ129" s="567" t="e">
        <v>#N/A</v>
      </c>
      <c r="FK129" s="535"/>
      <c r="FL129" s="1015">
        <v>0</v>
      </c>
      <c r="FM129" s="535"/>
      <c r="FN129" s="535"/>
      <c r="FO129" s="535">
        <f>O129+((Sheet1!CS127)*GPMtoMGD)</f>
        <v>53.665344000000005</v>
      </c>
      <c r="FP129" s="535">
        <f>IF(Sheet1!AA127+AQ129&lt;=Calculation!N129,AQ129,Calculation!N129-Sheet1!AA127)</f>
        <v>12.550887830229536</v>
      </c>
      <c r="FQ129" s="535">
        <f>(Sheet1!BP127+Sheet1!BO127)/694.4</f>
        <v>1.4670218894009217</v>
      </c>
      <c r="FR129" s="541"/>
      <c r="FS129" s="541"/>
      <c r="FT129" s="541"/>
      <c r="FU129" s="541"/>
      <c r="FV129" s="1109">
        <f t="shared" si="258"/>
        <v>42918</v>
      </c>
      <c r="FW129" s="1109">
        <f t="shared" si="259"/>
        <v>43027</v>
      </c>
      <c r="FX129" s="541"/>
      <c r="FY129" s="541">
        <f>Sheet1!DA127-Sheet1!CZ127-Sheet1!AE127</f>
        <v>484.81579999999997</v>
      </c>
      <c r="FZ129" s="535">
        <f t="shared" si="296"/>
        <v>0.24683233538127766</v>
      </c>
      <c r="GA129" s="535"/>
      <c r="GB129" s="535" t="str">
        <f t="shared" si="260"/>
        <v>n</v>
      </c>
      <c r="GC129" s="539">
        <f t="shared" si="261"/>
        <v>42782</v>
      </c>
      <c r="GD129" s="1109">
        <f t="shared" si="262"/>
        <v>42904</v>
      </c>
      <c r="GE129" s="535">
        <f t="shared" si="280"/>
        <v>6520</v>
      </c>
      <c r="GF129" s="1109">
        <f t="shared" si="263"/>
        <v>42909</v>
      </c>
      <c r="GG129" s="535">
        <f t="shared" si="308"/>
        <v>3260</v>
      </c>
      <c r="GH129" s="539">
        <f t="shared" si="264"/>
        <v>43040</v>
      </c>
      <c r="GJ129" s="521">
        <f t="shared" si="265"/>
        <v>0</v>
      </c>
      <c r="GK129" s="535" t="str">
        <f t="shared" si="363"/>
        <v/>
      </c>
      <c r="GL129" s="535">
        <f t="shared" si="266"/>
        <v>0</v>
      </c>
      <c r="GM129" s="535" t="str">
        <f t="shared" si="267"/>
        <v/>
      </c>
      <c r="GN129" s="535">
        <f>IF(GK129="P",Lookup!$M$12,IF(GK129="PP",Lookup!$M$13,IF(GK129="PPP",Lookup!$M$14,IF(GK129="T",Lookup!$M$15,IF(GK129="TP",Lookup!$M$16,IF(GK129="TPP",Lookup!$M$17,IF(GK129="TPPP",Lookup!$M$18,0)))))))*GJ129</f>
        <v>0</v>
      </c>
      <c r="GO129" s="535">
        <f t="shared" si="268"/>
        <v>0</v>
      </c>
      <c r="GP129" s="535">
        <f t="shared" si="364"/>
        <v>5949.4656000000032</v>
      </c>
      <c r="GQ129" s="535">
        <f t="shared" si="279"/>
        <v>1939.200000000001</v>
      </c>
      <c r="GR129" s="535"/>
      <c r="GS129" s="535">
        <f t="shared" si="269"/>
        <v>0</v>
      </c>
      <c r="GT129" s="535" t="str">
        <f t="shared" si="270"/>
        <v/>
      </c>
      <c r="GU129" s="535">
        <f>IF(GK129="P",Lookup!$N$12,IF(GK129="PP",Lookup!$N$13,IF(GK129="PPP",Lookup!$N$14,IF(GK129="T",Lookup!$N$15,IF(GK129="TP",Lookup!$N$16,IF(GK129="TPP",Lookup!$N$17,IF(GK129="TPPP",Lookup!$N$18,0)))))))*GJ129</f>
        <v>0</v>
      </c>
      <c r="GV129" s="535">
        <f t="shared" si="271"/>
        <v>0</v>
      </c>
      <c r="GW129" s="535">
        <f t="shared" si="365"/>
        <v>2551.3267304020915</v>
      </c>
      <c r="GX129" s="535">
        <f t="shared" si="276"/>
        <v>831.59280651958647</v>
      </c>
      <c r="GY129" s="535"/>
      <c r="GZ129" s="535">
        <f t="shared" si="272"/>
        <v>0</v>
      </c>
      <c r="HA129" s="535" t="str">
        <f t="shared" si="273"/>
        <v/>
      </c>
      <c r="HB129" s="535">
        <f>IF(GK129="P",Lookup!$N$12,IF(GK129="PP",Lookup!$N$13,IF(GK129="PPP",Lookup!$N$14,IF(GK129="T",Lookup!$N$15,IF(GK129="TP",Lookup!$N$16,IF(GK129="TPP",Lookup!$N$17,IF(GK129="TPPP",Lookup!$N$18,0)))))))*GJ129</f>
        <v>0</v>
      </c>
      <c r="HC129" s="521">
        <f t="shared" si="366"/>
        <v>0</v>
      </c>
      <c r="HD129" s="535">
        <f t="shared" si="367"/>
        <v>2079.1890364214046</v>
      </c>
      <c r="HE129" s="535">
        <f t="shared" si="277"/>
        <v>677.70177197568603</v>
      </c>
      <c r="HF129" s="535"/>
      <c r="HG129" s="535">
        <f t="shared" si="274"/>
        <v>0</v>
      </c>
      <c r="HH129" s="535" t="str">
        <f t="shared" si="275"/>
        <v/>
      </c>
      <c r="HI129" s="535">
        <f>IF(GK129="P",Lookup!$N$12,IF(GK129="PP",Lookup!$N$13,IF(GK129="PPP",Lookup!$N$14,IF(GK129="T",Lookup!$N$15,IF(GK129="TP",Lookup!$N$16,IF(GK129="TPP",Lookup!$N$17,IF(GK129="TPPP",Lookup!$N$18,0)))))))*GJ129</f>
        <v>0</v>
      </c>
      <c r="HJ129" s="521">
        <f t="shared" si="368"/>
        <v>0</v>
      </c>
      <c r="HK129" s="535">
        <f t="shared" si="369"/>
        <v>1340.5277553307617</v>
      </c>
      <c r="HL129" s="535">
        <f t="shared" si="278"/>
        <v>436.93864254588061</v>
      </c>
      <c r="HM129" s="535"/>
      <c r="HN129" s="541"/>
      <c r="HO129" s="541"/>
      <c r="HP129" s="541"/>
      <c r="HQ129" s="541">
        <f>IF(AND(B129&gt;=$FV$4,B129&lt;=$FW$4),MAX(110/1.02+$HQ$6+MIN(113/1.02,G129),IF($HV$6-(Sheet1!DA127-Sheet1!DB127)+MIN(113/1.02,G129)&lt;G129+FL129,$HV$6-(Sheet1!DA127-Sheet1!DB127)+MIN(113/1.02,G129),G129+FL129)),MIN(110/1.02+$HQ$6+113/1.02,G129))</f>
        <v>218.62745098039215</v>
      </c>
      <c r="HR129" s="541">
        <f t="shared" si="297"/>
        <v>223</v>
      </c>
      <c r="HS129" s="541">
        <f>HR129+(Sheet1!DA127-Sheet1!DB127)</f>
        <v>883</v>
      </c>
      <c r="HT129" s="541">
        <f t="shared" si="298"/>
        <v>58.956169999999993</v>
      </c>
      <c r="HU129" s="541">
        <f t="shared" si="299"/>
        <v>824.04382999999996</v>
      </c>
      <c r="HV129" s="541">
        <f t="shared" si="300"/>
        <v>0</v>
      </c>
      <c r="HW129" s="533" t="str">
        <f t="shared" si="301"/>
        <v/>
      </c>
      <c r="HX129" s="541">
        <f t="shared" si="302"/>
        <v>1551.372549019608</v>
      </c>
      <c r="HY129" s="541">
        <f>Sheet1!CZ127</f>
        <v>1770</v>
      </c>
      <c r="HZ129" s="541">
        <f t="shared" si="303"/>
        <v>0</v>
      </c>
      <c r="IA129" s="541">
        <f t="shared" si="304"/>
        <v>58.956169999999993</v>
      </c>
      <c r="IB129" s="541">
        <f t="shared" si="305"/>
        <v>1770</v>
      </c>
      <c r="IC129" s="1019" t="str">
        <f t="shared" si="306"/>
        <v/>
      </c>
      <c r="ID129" s="541">
        <f t="shared" si="307"/>
        <v>1711.0438300000001</v>
      </c>
      <c r="IE129" s="541">
        <f>Sheet1!DB127</f>
        <v>1670</v>
      </c>
      <c r="IF129" s="533">
        <f>Sheet1!DA127</f>
        <v>2330</v>
      </c>
      <c r="IH129" s="541">
        <f>IF(AND($B129&gt;=$GC129,$B129&lt;=$GH129,$DR129&lt;0)+N("only adjusted when pool is drawn down during storage season"),Sheet1!$DB127+$DR129+N("Palmer minus all storage release"),Sheet1!$DB127)</f>
        <v>1670</v>
      </c>
      <c r="II129" s="541">
        <f>IF(AND($B129&gt;=$GC129,$B129&lt;=$GH129,$DR129&lt;0)+N("only adjusted when pool is drawn down during storage season"),Sheet1!$DA127+$DR129+N("Auburn minus all storage release"),Sheet1!$DA127)</f>
        <v>2330</v>
      </c>
    </row>
    <row r="130" spans="1:243" x14ac:dyDescent="0.25">
      <c r="A130" s="553" t="s">
        <v>9</v>
      </c>
      <c r="B130" s="531">
        <v>42854</v>
      </c>
      <c r="C130" s="536">
        <v>0</v>
      </c>
      <c r="D130" s="506">
        <f t="shared" si="247"/>
        <v>300</v>
      </c>
      <c r="E130" s="506">
        <f t="shared" si="248"/>
        <v>250</v>
      </c>
      <c r="F130" s="506">
        <v>250</v>
      </c>
      <c r="G130" s="535">
        <f>DR130+Sheet1!CZ128</f>
        <v>1828.0937972768518</v>
      </c>
      <c r="H130" s="1074">
        <f t="shared" si="370"/>
        <v>939.82108243199991</v>
      </c>
      <c r="I130" s="534">
        <f>IF(Sheet1!DA128&gt;=E130,(Sheet1!DA128-E130+P130)*CFStoMGD,0)</f>
        <v>1379.3730824319998</v>
      </c>
      <c r="J130" s="995">
        <f>IF(Sheet1!DB128&gt;=D130,(Sheet1!DB128-D130+P130)*CFStoMGD,0)</f>
        <v>939.82108243199991</v>
      </c>
      <c r="K130" s="818">
        <f t="shared" si="282"/>
        <v>64.64</v>
      </c>
      <c r="L130" s="535">
        <f>Sheet1!AA128+Sheet1!AB128-Sheet1!L128+(Sheet1!DA128-F130)*CFStoMGD-S130-T130-U130</f>
        <v>1314.7339999999999</v>
      </c>
      <c r="M130" s="535">
        <f t="shared" si="309"/>
        <v>1205.3134271709521</v>
      </c>
      <c r="N130" s="824">
        <f>IF(Sheet1!DA128&gt;=F130,MIN(113*CFStoMGD,MIN(MAX(L130,0),MAX(M130,0))),0)</f>
        <v>73.043199999999999</v>
      </c>
      <c r="O130" s="538">
        <f>Sheet1!AA128+Sheet1!AB128</f>
        <v>47.790000000000006</v>
      </c>
      <c r="P130" s="538">
        <f t="shared" si="310"/>
        <v>73.931129999999996</v>
      </c>
      <c r="Q130" s="812">
        <f t="shared" si="283"/>
        <v>37.300000000000004</v>
      </c>
      <c r="R130" s="812">
        <f t="shared" si="249"/>
        <v>10.442938537460748</v>
      </c>
      <c r="S130" s="812">
        <f t="shared" si="250"/>
        <v>10.49</v>
      </c>
      <c r="T130" s="812">
        <f t="shared" si="251"/>
        <v>54.15</v>
      </c>
      <c r="U130" s="812">
        <f t="shared" si="284"/>
        <v>0</v>
      </c>
      <c r="V130" s="812"/>
      <c r="W130" s="812">
        <f t="shared" si="252"/>
        <v>54.197061462539253</v>
      </c>
      <c r="X130" s="812">
        <f t="shared" si="253"/>
        <v>64.64</v>
      </c>
      <c r="Y130" s="812" t="str">
        <f t="shared" si="254"/>
        <v>FALSE</v>
      </c>
      <c r="Z130" s="812">
        <f t="shared" si="255"/>
        <v>47.790000000000006</v>
      </c>
      <c r="AA130" s="812">
        <f t="shared" si="256"/>
        <v>47.790000000000006</v>
      </c>
      <c r="AB130" s="1059">
        <f t="shared" si="285"/>
        <v>57.703100000000006</v>
      </c>
      <c r="AC130" s="538">
        <f>Sheet1!Y128*MGDtoCFS</f>
        <v>39.603200000000001</v>
      </c>
      <c r="AD130" s="538">
        <f>Sheet1!Z128*MGDtoCFS</f>
        <v>35.580999999999996</v>
      </c>
      <c r="AE130" s="538">
        <f>Sheet1!AA128*MGDtoCFS</f>
        <v>39.603200000000001</v>
      </c>
      <c r="AF130" s="538">
        <f>Sheet1!AB128*MGDtoCFS</f>
        <v>34.327930000000002</v>
      </c>
      <c r="AG130" s="538">
        <f>Sheet1!L128*MGDtoCFS</f>
        <v>0</v>
      </c>
      <c r="AH130" s="521">
        <f t="shared" si="311"/>
        <v>0</v>
      </c>
      <c r="AI130" s="1059">
        <f t="shared" si="312"/>
        <v>0</v>
      </c>
      <c r="AJ130" s="535">
        <f t="shared" si="313"/>
        <v>54.197061462539253</v>
      </c>
      <c r="AK130" s="535">
        <f t="shared" si="314"/>
        <v>83.842854082548214</v>
      </c>
      <c r="AL130" s="535">
        <f>(VLOOKUP(Sheet1!DC128,hhdcap_wcm,4)-(((VLOOKUP(Sheet1!DC128,hhdcap_wcm,3)-Sheet1!DC128)/(VLOOKUP(Sheet1!DC128,hhdcap_wcm,3)-VLOOKUP(Sheet1!DC128,hhdcap_wcm,1)))*(VLOOKUP(Sheet1!DC128,hhdcap_wcm,4)-VLOOKUP(Sheet1!DC128,hhdcap_wcm,2))))</f>
        <v>35304.000000088839</v>
      </c>
      <c r="AM130" s="535">
        <f t="shared" si="315"/>
        <v>115.19999999999709</v>
      </c>
      <c r="AN130" s="1035">
        <f t="shared" si="316"/>
        <v>3939.6302825036933</v>
      </c>
      <c r="AO130" s="535">
        <f t="shared" si="317"/>
        <v>12086.785706721332</v>
      </c>
      <c r="AP130" s="535">
        <f>Sheet1!BA128+Sheet1!BB128+Sheet1!BN128+CD130</f>
        <v>11.8</v>
      </c>
      <c r="AQ130" s="535">
        <f>Sheet1!BN128+(DO130*Sheet1!BN128)</f>
        <v>11.747061462539257</v>
      </c>
      <c r="AR130" s="535">
        <f>Sheet1!BA128+CD130</f>
        <v>0</v>
      </c>
      <c r="AS130" s="535">
        <f>Sheet1!BA128+Sheet1!BB128+CD130</f>
        <v>0</v>
      </c>
      <c r="AT130" s="649">
        <f>0</f>
        <v>0</v>
      </c>
      <c r="AU130" s="535">
        <f>IF(EB130&lt;K130,0,MAX(Sheet1!AA128+AQ130-15/36*K130-N130,Sheet1!EH128,0))</f>
        <v>0</v>
      </c>
      <c r="AV130" s="535">
        <f>IF(OR(B130&gt;=GD130,B130&lt;GC130),0,15/36*K130-MAX(0,64.6-(137.6-(Sheet1!AA128+Sheet1!AB128))))</f>
        <v>26.933333333333334</v>
      </c>
      <c r="AW130" s="1029"/>
      <c r="AX130" s="649"/>
      <c r="AY130" s="649">
        <f t="shared" si="286"/>
        <v>0</v>
      </c>
      <c r="AZ130" s="649">
        <f t="shared" si="287"/>
        <v>0</v>
      </c>
      <c r="BA130" s="1059">
        <f t="shared" si="288"/>
        <v>0</v>
      </c>
      <c r="BB130" s="1019">
        <f t="shared" si="318"/>
        <v>1966.1333333333343</v>
      </c>
      <c r="BC130" s="1041">
        <f t="shared" si="289"/>
        <v>26.933333333333334</v>
      </c>
      <c r="BD130" s="1019">
        <f ca="1">IF(B130&gt;Summary!$A$1,#N/A,BB130*MGtoAF)</f>
        <v>6032.0970666666699</v>
      </c>
      <c r="BE130" s="535">
        <f>Sheet1!BG128+Sheet1!BH128+Sheet1!BI128-BM130</f>
        <v>1.01</v>
      </c>
      <c r="BF130" s="535">
        <f t="shared" si="319"/>
        <v>1.005468820098699</v>
      </c>
      <c r="BG130" s="535">
        <f>IF(Sheet1!EP128="FM",BM130,0)</f>
        <v>0</v>
      </c>
      <c r="BH130" s="535">
        <f t="shared" si="320"/>
        <v>0</v>
      </c>
      <c r="BI130" s="535">
        <f>IF(Sheet1!EP128="OTHER",BM130,0)</f>
        <v>0</v>
      </c>
      <c r="BJ130" s="535">
        <f t="shared" si="321"/>
        <v>0</v>
      </c>
      <c r="BK130" s="535">
        <f t="shared" si="322"/>
        <v>1.01</v>
      </c>
      <c r="BL130" s="535">
        <f t="shared" si="323"/>
        <v>1.005468820098699</v>
      </c>
      <c r="BM130" s="535">
        <f>IF(OR(Sheet1!EP128="FM", Sheet1!EP128="OTHER"),SUM(Sheet1!BG128:'Sheet1'!BI128),0)</f>
        <v>0</v>
      </c>
      <c r="BN130" s="521">
        <f>IF(AND($B130&gt;=$FV130,$B130&lt;=$FW130),MAX(BF130,Sheet1!EI128,0),MAX(BF130-(7/36)*$K130,0))</f>
        <v>0</v>
      </c>
      <c r="BO130" s="535">
        <f t="shared" si="324"/>
        <v>11.56342006879019</v>
      </c>
      <c r="BP130" s="521">
        <f t="shared" si="325"/>
        <v>1.005468820098699</v>
      </c>
      <c r="BQ130" s="521">
        <f>IF(AND($O130&gt;0,Sheet1!EM128=1),(1-($O130-Sheet1!$L128)/$O130)*BL130,0)</f>
        <v>0</v>
      </c>
      <c r="BR130" s="521">
        <f>IF(AND(Sheet1!$L128=0,Sheet1!$L127=0, Calculation!BK130&lt;Sheet1!$EI128-0.1,Sheet1!$EI128=Sheet1!$EI127,Sheet1!$EI128=Sheet1!$EI129),BL130-BQ130,BL130-BQ130)</f>
        <v>1.005468820098699</v>
      </c>
      <c r="BS130" s="1035" t="str">
        <f t="shared" si="290"/>
        <v/>
      </c>
      <c r="BT130" s="1035">
        <f t="shared" si="291"/>
        <v>12.568888888888889</v>
      </c>
      <c r="BU130" s="535">
        <f t="shared" si="326"/>
        <v>843.15622658837663</v>
      </c>
      <c r="BV130" s="535"/>
      <c r="BW130" s="535">
        <f ca="1">IF(B130&gt;Summary!$A$1,#N/A,BU130*MGtoAF)</f>
        <v>2586.8033031731397</v>
      </c>
      <c r="BX130" s="535">
        <f>Sheet1!BC128+Sheet1!BD128+Sheet1!BE128+Sheet1!BF128-CG130-CH130</f>
        <v>3</v>
      </c>
      <c r="BY130" s="535">
        <f t="shared" si="327"/>
        <v>2.9865410497981162</v>
      </c>
      <c r="BZ130" s="535">
        <f>IF(Sheet1!EQ128="FM",CH130,0)</f>
        <v>0</v>
      </c>
      <c r="CA130" s="535">
        <f t="shared" si="328"/>
        <v>0</v>
      </c>
      <c r="CB130" s="535">
        <f>IF(Sheet1!EQ128="OTHER",CH130,0)</f>
        <v>0</v>
      </c>
      <c r="CC130" s="535">
        <f t="shared" si="329"/>
        <v>0</v>
      </c>
      <c r="CD130" s="535">
        <f t="shared" si="330"/>
        <v>0</v>
      </c>
      <c r="CE130" s="535">
        <f t="shared" si="331"/>
        <v>3</v>
      </c>
      <c r="CF130" s="535">
        <f t="shared" si="332"/>
        <v>2.9865410497981162</v>
      </c>
      <c r="CG130" s="535">
        <f>IF(Sheet1!EQ128="CWA",SUM(Sheet1!BC128:'Sheet1'!BF128),0)</f>
        <v>0</v>
      </c>
      <c r="CH130" s="535">
        <f>IF(OR(Sheet1!EQ128="FM", Sheet1!EQ128="OTHER"),SUM(Sheet1!BC128:'Sheet1'!BF128),0)</f>
        <v>0</v>
      </c>
      <c r="CI130" s="521">
        <f>IF(AND($B130&gt;=$FV130,$B130&lt;=$FW130),MAX(CF130,Sheet1!EJ128,0),MAX(CF130-(7/36)*$K130,0))</f>
        <v>0</v>
      </c>
      <c r="CJ130" s="535">
        <f t="shared" si="333"/>
        <v>9.5823478390907724</v>
      </c>
      <c r="CK130" s="521">
        <f t="shared" si="334"/>
        <v>2.9865410497981162</v>
      </c>
      <c r="CL130" s="521">
        <f>IF(AND($O130&gt;0,Sheet1!EN128=1),(1-($O130-Sheet1!$L128)/$O130)*CF130,0)</f>
        <v>0</v>
      </c>
      <c r="CM130" s="521">
        <f>IF(AND(Sheet1!$L128=0,Sheet1!$L127=0, Calculation!CE130&lt;Sheet1!EJ128-0.1,Sheet1!EJ128=Sheet1!EJ127,Sheet1!EJ128=Sheet1!EJ129),CF130-CL130,CF130-CL130)</f>
        <v>2.9865410497981162</v>
      </c>
      <c r="CN130" s="1040" t="str">
        <f t="shared" si="292"/>
        <v/>
      </c>
      <c r="CO130" s="1035">
        <f t="shared" si="293"/>
        <v>12.568888888888889</v>
      </c>
      <c r="CP130" s="535">
        <f t="shared" si="335"/>
        <v>687.28411981477677</v>
      </c>
      <c r="CQ130" s="535"/>
      <c r="CR130" s="535">
        <f ca="1">IF(B130&gt;Summary!$A$1,#N/A,CP130*MGtoAF)</f>
        <v>2108.5876795917352</v>
      </c>
      <c r="CS130" s="535">
        <f>Sheet1!BK128+Sheet1!BL128+Sheet1!BM128-Sheet1!ER128-DA130</f>
        <v>6.48</v>
      </c>
      <c r="CT130" s="535">
        <f t="shared" si="336"/>
        <v>6.4509286675639315</v>
      </c>
      <c r="CU130" s="535">
        <f>IF(Sheet1!ER128="FM",DA130,0)</f>
        <v>0</v>
      </c>
      <c r="CV130" s="535">
        <f t="shared" si="337"/>
        <v>0</v>
      </c>
      <c r="CW130" s="535">
        <f>IF(Sheet1!ER128="OTHER",DA130,0)</f>
        <v>0</v>
      </c>
      <c r="CX130" s="535">
        <f t="shared" si="338"/>
        <v>0</v>
      </c>
      <c r="CY130" s="535">
        <f t="shared" si="339"/>
        <v>6.48</v>
      </c>
      <c r="CZ130" s="535">
        <f t="shared" si="340"/>
        <v>6.4509286675639315</v>
      </c>
      <c r="DA130" s="535">
        <f>IF(OR(Sheet1!ER128="FM", Sheet1!ER128="OTHER"),SUM(Sheet1!BK128:'Sheet1'!BM128),0)</f>
        <v>0</v>
      </c>
      <c r="DB130" s="1011">
        <f>IF(AND($B130&gt;=$FV130,$B130&lt;=$FW130),MAX($CT130,Sheet1!EK128,0),MAX($CT130-(7/36)*$K130,0))</f>
        <v>0</v>
      </c>
      <c r="DC130" s="1012">
        <f t="shared" si="341"/>
        <v>6.1179602213249575</v>
      </c>
      <c r="DD130" s="1011">
        <f t="shared" si="342"/>
        <v>6.4509286675639315</v>
      </c>
      <c r="DE130" s="521">
        <f>IF(AND($O130&gt;0,Sheet1!EO128=1),(1-($O130-Sheet1!$L128)/$O130)*CZ130,0)</f>
        <v>0</v>
      </c>
      <c r="DF130" s="521">
        <f>IF(AND(Sheet1!$L128=0,Sheet1!$L127=0, Calculation!CY130&lt;Sheet1!$EK128-0.1,Sheet1!$EK128=Sheet1!$EK127,Sheet1!$EK128=Sheet1!$EK129),CZ130-DE130,CZ130-DE130)</f>
        <v>6.4509286675639315</v>
      </c>
      <c r="DG130" s="1040">
        <f t="shared" si="294"/>
        <v>12.568888888888889</v>
      </c>
      <c r="DH130" s="649">
        <f t="shared" si="343"/>
        <v>10.49</v>
      </c>
      <c r="DI130" s="535">
        <f t="shared" si="344"/>
        <v>443.05660276720556</v>
      </c>
      <c r="DJ130" s="649">
        <f t="shared" si="345"/>
        <v>10.442938537460748</v>
      </c>
      <c r="DK130" s="535">
        <f ca="1">IF(B130&gt;Summary!$A$1,#N/A,DI130*MGtoAF)</f>
        <v>1359.2976572897867</v>
      </c>
      <c r="DL130" s="649">
        <f t="shared" si="346"/>
        <v>10.49</v>
      </c>
      <c r="DM130" s="535">
        <f t="shared" si="347"/>
        <v>22.29</v>
      </c>
      <c r="DN130" s="535">
        <f>Sheet1!AB128-DM130</f>
        <v>-9.9999999999997868E-2</v>
      </c>
      <c r="DO130" s="743">
        <f t="shared" si="348"/>
        <v>-4.486316733961322E-3</v>
      </c>
      <c r="DP130" s="535">
        <f>(VLOOKUP(Sheet1!DC128,hhdcap_wcm,4)-(((VLOOKUP(Sheet1!DC128,hhdcap_wcm,3)-Sheet1!DC128)/(VLOOKUP(Sheet1!DC128,hhdcap_wcm,3)-VLOOKUP(Sheet1!DC128,hhdcap_wcm,1)))*(VLOOKUP(Sheet1!DC128,hhdcap_wcm,4)-VLOOKUP(Sheet1!DC128,hhdcap_wcm,2))))</f>
        <v>35304.000000088839</v>
      </c>
      <c r="DQ130" s="535">
        <f t="shared" si="349"/>
        <v>115.19999999999709</v>
      </c>
      <c r="DR130" s="535">
        <f t="shared" si="350"/>
        <v>58.093797276851774</v>
      </c>
      <c r="DS130" s="535">
        <f>Sheet1!EA128*AFtoMG</f>
        <v>0</v>
      </c>
      <c r="DT130" s="535">
        <f>Sheet1!EB128*AFtoMG</f>
        <v>0</v>
      </c>
      <c r="DU130" s="535">
        <f>Sheet1!EC128*AFtoMG</f>
        <v>0</v>
      </c>
      <c r="DV130" s="535">
        <f>Sheet1!ED128*AFtoMG</f>
        <v>0</v>
      </c>
      <c r="DW130" s="535">
        <f t="shared" si="351"/>
        <v>0</v>
      </c>
      <c r="DX130" s="535">
        <f t="shared" si="352"/>
        <v>0</v>
      </c>
      <c r="DY130" s="535">
        <f t="shared" si="353"/>
        <v>3939.6302825036933</v>
      </c>
      <c r="DZ130" s="535">
        <f t="shared" si="354"/>
        <v>12086.785706721332</v>
      </c>
      <c r="EA130" s="535"/>
      <c r="EB130" s="521">
        <f>IF(OR(B130&lt;FV130,B130&gt;FW130),(MIN(BF130+BY130+CT130+MAX(Sheet1!AA128+AQ130-73,0),K130)),0)</f>
        <v>10.442938537460748</v>
      </c>
      <c r="EC130" s="535"/>
      <c r="ED130" s="535">
        <f t="shared" si="355"/>
        <v>10.442938537460746</v>
      </c>
      <c r="EE130" s="535"/>
      <c r="EF130" s="535">
        <f>Sheet1!EH128+Sheet1!EI128+Sheet1!EJ128+Sheet1!EK128</f>
        <v>11</v>
      </c>
      <c r="EG130" s="1019">
        <f t="shared" si="295"/>
        <v>17.016999999999999</v>
      </c>
      <c r="EH130" s="521">
        <f t="shared" si="356"/>
        <v>0</v>
      </c>
      <c r="EI130" s="535">
        <f>IF(Sheet1!ET128=1,SUM('Calculations II'!AT130:BA130)+'Calculations II'!BC130+Sheet1!BV128+'Calculations II'!BE130+AP130,'Calculations II'!BK130)</f>
        <v>45.493475462539259</v>
      </c>
      <c r="EJ130" s="535">
        <f ca="1">EI130+'Calculations II'!D130+'Calculations II'!E130+'Calculations II'!O130</f>
        <v>41.703867418172962</v>
      </c>
      <c r="EK130" s="535"/>
      <c r="EL130" s="535"/>
      <c r="EM130" s="535">
        <f t="shared" si="357"/>
        <v>42854</v>
      </c>
      <c r="EN130" s="535">
        <f t="shared" si="358"/>
        <v>54.197061462539253</v>
      </c>
      <c r="EO130" s="535">
        <f t="shared" si="359"/>
        <v>83.842854082548214</v>
      </c>
      <c r="EP130" s="535">
        <v>0</v>
      </c>
      <c r="EQ130" s="535">
        <v>0</v>
      </c>
      <c r="ER130" s="535">
        <v>0</v>
      </c>
      <c r="ES130" s="521">
        <f t="shared" si="257"/>
        <v>3.4622796755347403</v>
      </c>
      <c r="ET130" s="535">
        <f>-(VLOOKUP(Sheet1!BQ128,Lookup!$O$4:$Q$262,2)-VLOOKUP(Sheet1!BQ127,Lookup!$O$4:$Q$262,2))/1000000</f>
        <v>3.4622796755347403</v>
      </c>
      <c r="EU130" s="535">
        <f>-(VLOOKUP(Sheet1!BR128,Lookup!$O$4:$Q$262,3)-VLOOKUP(Sheet1!BR127,Lookup!$O$4:$Q$262,3))/1000000</f>
        <v>0</v>
      </c>
      <c r="EV130" s="535"/>
      <c r="EW130" s="535"/>
      <c r="EX130" s="535"/>
      <c r="EY130" s="535"/>
      <c r="EZ130" s="535"/>
      <c r="FA130" s="535"/>
      <c r="FB130" s="535"/>
      <c r="FC130" s="535"/>
      <c r="FD130" s="567" t="e">
        <f t="shared" si="360"/>
        <v>#N/A</v>
      </c>
      <c r="FE130" s="567" t="e">
        <f t="shared" si="361"/>
        <v>#N/A</v>
      </c>
      <c r="FF130" s="568" t="e">
        <f t="shared" si="362"/>
        <v>#N/A</v>
      </c>
      <c r="FG130" s="569" t="s">
        <v>656</v>
      </c>
      <c r="FH130" s="569" t="s">
        <v>656</v>
      </c>
      <c r="FI130" s="567" t="e">
        <v>#N/A</v>
      </c>
      <c r="FJ130" s="567" t="e">
        <v>#N/A</v>
      </c>
      <c r="FK130" s="535"/>
      <c r="FL130" s="1015">
        <v>0</v>
      </c>
      <c r="FM130" s="535"/>
      <c r="FN130" s="535"/>
      <c r="FO130" s="535">
        <f>O130+((Sheet1!CS128)*GPMtoMGD)</f>
        <v>52.846704000000003</v>
      </c>
      <c r="FP130" s="535">
        <f>IF(Sheet1!AA128+AQ130&lt;=Calculation!N130,AQ130,Calculation!N130-Sheet1!AA128)</f>
        <v>11.747061462539257</v>
      </c>
      <c r="FQ130" s="535">
        <f>(Sheet1!BP128+Sheet1!BO128)/694.4</f>
        <v>1.4923675115207373</v>
      </c>
      <c r="FR130" s="541"/>
      <c r="FS130" s="541"/>
      <c r="FT130" s="541"/>
      <c r="FU130" s="541"/>
      <c r="FV130" s="1109">
        <f t="shared" si="258"/>
        <v>42918</v>
      </c>
      <c r="FW130" s="1109">
        <f t="shared" si="259"/>
        <v>43027</v>
      </c>
      <c r="FX130" s="541"/>
      <c r="FY130" s="541">
        <f>Sheet1!DA128-Sheet1!CZ128-Sheet1!AE128</f>
        <v>466.06887</v>
      </c>
      <c r="FZ130" s="535">
        <f t="shared" si="296"/>
        <v>0.2549480068770329</v>
      </c>
      <c r="GA130" s="535"/>
      <c r="GB130" s="535" t="str">
        <f t="shared" si="260"/>
        <v>n</v>
      </c>
      <c r="GC130" s="539">
        <f t="shared" si="261"/>
        <v>42782</v>
      </c>
      <c r="GD130" s="1109">
        <f t="shared" si="262"/>
        <v>42904</v>
      </c>
      <c r="GE130" s="535">
        <f t="shared" si="280"/>
        <v>6520</v>
      </c>
      <c r="GF130" s="1109">
        <f t="shared" si="263"/>
        <v>42909</v>
      </c>
      <c r="GG130" s="535">
        <f t="shared" si="308"/>
        <v>3260</v>
      </c>
      <c r="GH130" s="539">
        <f t="shared" si="264"/>
        <v>43040</v>
      </c>
      <c r="GJ130" s="521">
        <f t="shared" si="265"/>
        <v>0</v>
      </c>
      <c r="GK130" s="535" t="str">
        <f t="shared" si="363"/>
        <v/>
      </c>
      <c r="GL130" s="535">
        <f t="shared" si="266"/>
        <v>0</v>
      </c>
      <c r="GM130" s="535" t="str">
        <f t="shared" si="267"/>
        <v/>
      </c>
      <c r="GN130" s="535">
        <f>IF(GK130="P",Lookup!$M$12,IF(GK130="PP",Lookup!$M$13,IF(GK130="PPP",Lookup!$M$14,IF(GK130="T",Lookup!$M$15,IF(GK130="TP",Lookup!$M$16,IF(GK130="TPP",Lookup!$M$17,IF(GK130="TPPP",Lookup!$M$18,0)))))))*GJ130</f>
        <v>0</v>
      </c>
      <c r="GO130" s="535">
        <f t="shared" si="268"/>
        <v>0</v>
      </c>
      <c r="GP130" s="535">
        <f t="shared" si="364"/>
        <v>6032.0970666666699</v>
      </c>
      <c r="GQ130" s="535">
        <f t="shared" si="279"/>
        <v>1966.1333333333343</v>
      </c>
      <c r="GR130" s="535"/>
      <c r="GS130" s="535">
        <f t="shared" si="269"/>
        <v>0</v>
      </c>
      <c r="GT130" s="535" t="str">
        <f t="shared" si="270"/>
        <v/>
      </c>
      <c r="GU130" s="535">
        <f>IF(GK130="P",Lookup!$N$12,IF(GK130="PP",Lookup!$N$13,IF(GK130="PPP",Lookup!$N$14,IF(GK130="T",Lookup!$N$15,IF(GK130="TP",Lookup!$N$16,IF(GK130="TPP",Lookup!$N$17,IF(GK130="TPPP",Lookup!$N$18,0)))))))*GJ130</f>
        <v>0</v>
      </c>
      <c r="GV130" s="535">
        <f t="shared" si="271"/>
        <v>0</v>
      </c>
      <c r="GW130" s="535">
        <f t="shared" si="365"/>
        <v>2586.8033031731397</v>
      </c>
      <c r="GX130" s="535">
        <f t="shared" si="276"/>
        <v>843.15622658837663</v>
      </c>
      <c r="GY130" s="535"/>
      <c r="GZ130" s="535">
        <f t="shared" si="272"/>
        <v>0</v>
      </c>
      <c r="HA130" s="535" t="str">
        <f t="shared" si="273"/>
        <v/>
      </c>
      <c r="HB130" s="535">
        <f>IF(GK130="P",Lookup!$N$12,IF(GK130="PP",Lookup!$N$13,IF(GK130="PPP",Lookup!$N$14,IF(GK130="T",Lookup!$N$15,IF(GK130="TP",Lookup!$N$16,IF(GK130="TPP",Lookup!$N$17,IF(GK130="TPPP",Lookup!$N$18,0)))))))*GJ130</f>
        <v>0</v>
      </c>
      <c r="HC130" s="521">
        <f t="shared" si="366"/>
        <v>0</v>
      </c>
      <c r="HD130" s="535">
        <f t="shared" si="367"/>
        <v>2108.5876795917352</v>
      </c>
      <c r="HE130" s="535">
        <f t="shared" si="277"/>
        <v>687.28411981477677</v>
      </c>
      <c r="HF130" s="535"/>
      <c r="HG130" s="535">
        <f t="shared" si="274"/>
        <v>0</v>
      </c>
      <c r="HH130" s="535" t="str">
        <f t="shared" si="275"/>
        <v/>
      </c>
      <c r="HI130" s="535">
        <f>IF(GK130="P",Lookup!$N$12,IF(GK130="PP",Lookup!$N$13,IF(GK130="PPP",Lookup!$N$14,IF(GK130="T",Lookup!$N$15,IF(GK130="TP",Lookup!$N$16,IF(GK130="TPP",Lookup!$N$17,IF(GK130="TPPP",Lookup!$N$18,0)))))))*GJ130</f>
        <v>0</v>
      </c>
      <c r="HJ130" s="521">
        <f t="shared" si="368"/>
        <v>0</v>
      </c>
      <c r="HK130" s="535">
        <f t="shared" si="369"/>
        <v>1359.2976572897867</v>
      </c>
      <c r="HL130" s="535">
        <f t="shared" si="278"/>
        <v>443.05660276720556</v>
      </c>
      <c r="HM130" s="535"/>
      <c r="HN130" s="541"/>
      <c r="HO130" s="541"/>
      <c r="HP130" s="541"/>
      <c r="HQ130" s="541">
        <f>IF(AND(B130&gt;=$FV$4,B130&lt;=$FW$4),MAX(110/1.02+$HQ$6+MIN(113/1.02,G130),IF($HV$6-(Sheet1!DA128-Sheet1!DB128)+MIN(113/1.02,G130)&lt;G130+FL130,$HV$6-(Sheet1!DA128-Sheet1!DB128)+MIN(113/1.02,G130),G130+FL130)),MIN(110/1.02+$HQ$6+113/1.02,G130))</f>
        <v>218.62745098039215</v>
      </c>
      <c r="HR130" s="541">
        <f t="shared" si="297"/>
        <v>223</v>
      </c>
      <c r="HS130" s="541">
        <f>HR130+(Sheet1!DA128-Sheet1!DB128)</f>
        <v>853</v>
      </c>
      <c r="HT130" s="541">
        <f t="shared" si="298"/>
        <v>57.703100000000006</v>
      </c>
      <c r="HU130" s="541">
        <f t="shared" si="299"/>
        <v>795.29690000000005</v>
      </c>
      <c r="HV130" s="541">
        <f t="shared" si="300"/>
        <v>0</v>
      </c>
      <c r="HW130" s="533" t="str">
        <f t="shared" si="301"/>
        <v/>
      </c>
      <c r="HX130" s="541">
        <f t="shared" si="302"/>
        <v>1551.372549019608</v>
      </c>
      <c r="HY130" s="541">
        <f>Sheet1!CZ128</f>
        <v>1770</v>
      </c>
      <c r="HZ130" s="541">
        <f t="shared" si="303"/>
        <v>0</v>
      </c>
      <c r="IA130" s="541">
        <f t="shared" si="304"/>
        <v>57.703100000000006</v>
      </c>
      <c r="IB130" s="541">
        <f t="shared" si="305"/>
        <v>1770</v>
      </c>
      <c r="IC130" s="1019" t="str">
        <f t="shared" si="306"/>
        <v/>
      </c>
      <c r="ID130" s="541">
        <f t="shared" si="307"/>
        <v>1712.2969000000001</v>
      </c>
      <c r="IE130" s="541">
        <f>Sheet1!DB128</f>
        <v>1680</v>
      </c>
      <c r="IF130" s="533">
        <f>Sheet1!DA128</f>
        <v>2310</v>
      </c>
      <c r="IH130" s="541">
        <f>IF(AND($B130&gt;=$GC130,$B130&lt;=$GH130,$DR130&lt;0)+N("only adjusted when pool is drawn down during storage season"),Sheet1!$DB128+$DR130+N("Palmer minus all storage release"),Sheet1!$DB128)</f>
        <v>1680</v>
      </c>
      <c r="II130" s="541">
        <f>IF(AND($B130&gt;=$GC130,$B130&lt;=$GH130,$DR130&lt;0)+N("only adjusted when pool is drawn down during storage season"),Sheet1!$DA128+$DR130+N("Auburn minus all storage release"),Sheet1!$DA128)</f>
        <v>2310</v>
      </c>
    </row>
    <row r="131" spans="1:243" x14ac:dyDescent="0.25">
      <c r="A131" s="553" t="s">
        <v>3</v>
      </c>
      <c r="B131" s="531">
        <v>42855</v>
      </c>
      <c r="C131" s="536">
        <v>0</v>
      </c>
      <c r="D131" s="506">
        <f t="shared" si="247"/>
        <v>300</v>
      </c>
      <c r="E131" s="506">
        <f t="shared" si="248"/>
        <v>250</v>
      </c>
      <c r="F131" s="506">
        <v>250</v>
      </c>
      <c r="G131" s="535">
        <f>DR131+Sheet1!CZ129</f>
        <v>1871.6641452346025</v>
      </c>
      <c r="H131" s="1074">
        <f t="shared" si="370"/>
        <v>941.83104384000001</v>
      </c>
      <c r="I131" s="534">
        <f>IF(Sheet1!DA129&gt;=E131,(Sheet1!DA129-E131+P131)*CFStoMGD,0)</f>
        <v>1368.4550438399999</v>
      </c>
      <c r="J131" s="995">
        <f>IF(Sheet1!DB129&gt;=D131,(Sheet1!DB129-D131+P131)*CFStoMGD,0)</f>
        <v>941.83104384000001</v>
      </c>
      <c r="K131" s="818">
        <f t="shared" si="282"/>
        <v>64.64</v>
      </c>
      <c r="L131" s="535">
        <f>Sheet1!AA129+Sheet1!AB129-Sheet1!L129+(Sheet1!DA129-F131)*CFStoMGD-S131-T131-U131</f>
        <v>1303.8159999999998</v>
      </c>
      <c r="M131" s="535">
        <f t="shared" si="309"/>
        <v>1234.04057754924</v>
      </c>
      <c r="N131" s="824">
        <f>IF(Sheet1!DA129&gt;=F131,MIN(113*CFStoMGD,MIN(MAX(L131,0),MAX(M131,0))),0)</f>
        <v>73.043199999999999</v>
      </c>
      <c r="O131" s="538">
        <f>Sheet1!AA129+Sheet1!AB129</f>
        <v>49.8</v>
      </c>
      <c r="P131" s="538">
        <f t="shared" si="310"/>
        <v>77.040599999999998</v>
      </c>
      <c r="Q131" s="812">
        <f t="shared" si="283"/>
        <v>39.32</v>
      </c>
      <c r="R131" s="812">
        <f t="shared" si="249"/>
        <v>10.445469522240526</v>
      </c>
      <c r="S131" s="812">
        <f t="shared" si="250"/>
        <v>10.479999999999999</v>
      </c>
      <c r="T131" s="812">
        <f t="shared" si="251"/>
        <v>54.160000000000004</v>
      </c>
      <c r="U131" s="812">
        <f t="shared" si="284"/>
        <v>0</v>
      </c>
      <c r="V131" s="812"/>
      <c r="W131" s="812">
        <f t="shared" si="252"/>
        <v>54.194530477759471</v>
      </c>
      <c r="X131" s="812">
        <f t="shared" si="253"/>
        <v>64.64</v>
      </c>
      <c r="Y131" s="812" t="str">
        <f t="shared" si="254"/>
        <v>FALSE</v>
      </c>
      <c r="Z131" s="812">
        <f t="shared" si="255"/>
        <v>49.8</v>
      </c>
      <c r="AA131" s="812">
        <f t="shared" si="256"/>
        <v>49.8</v>
      </c>
      <c r="AB131" s="1059">
        <f t="shared" si="285"/>
        <v>60.828039999999994</v>
      </c>
      <c r="AC131" s="538">
        <f>Sheet1!Y129*MGDtoCFS</f>
        <v>39.603200000000001</v>
      </c>
      <c r="AD131" s="538">
        <f>Sheet1!Z129*MGDtoCFS</f>
        <v>34.188699999999997</v>
      </c>
      <c r="AE131" s="538">
        <f>Sheet1!AA129*MGDtoCFS</f>
        <v>39.603200000000001</v>
      </c>
      <c r="AF131" s="538">
        <f>Sheet1!AB129*MGDtoCFS</f>
        <v>37.437399999999997</v>
      </c>
      <c r="AG131" s="538">
        <f>Sheet1!L129*MGDtoCFS</f>
        <v>0</v>
      </c>
      <c r="AH131" s="521">
        <f t="shared" si="311"/>
        <v>0</v>
      </c>
      <c r="AI131" s="1059">
        <f t="shared" si="312"/>
        <v>0</v>
      </c>
      <c r="AJ131" s="535">
        <f t="shared" si="313"/>
        <v>54.194530477759471</v>
      </c>
      <c r="AK131" s="535">
        <f t="shared" si="314"/>
        <v>83.838938649093905</v>
      </c>
      <c r="AL131" s="535">
        <f>(VLOOKUP(Sheet1!DC129,hhdcap_wcm,4)-(((VLOOKUP(Sheet1!DC129,hhdcap_wcm,3)-Sheet1!DC129)/(VLOOKUP(Sheet1!DC129,hhdcap_wcm,3)-VLOOKUP(Sheet1!DC129,hhdcap_wcm,1)))*(VLOOKUP(Sheet1!DC129,hhdcap_wcm,4)-VLOOKUP(Sheet1!DC129,hhdcap_wcm,2))))</f>
        <v>35505.600000089056</v>
      </c>
      <c r="AM131" s="535">
        <f t="shared" si="315"/>
        <v>201.60000000021682</v>
      </c>
      <c r="AN131" s="1035">
        <f t="shared" si="316"/>
        <v>3993.8248129814529</v>
      </c>
      <c r="AO131" s="535">
        <f t="shared" si="317"/>
        <v>12253.054526227097</v>
      </c>
      <c r="AP131" s="535">
        <f>Sheet1!BA129+Sheet1!BB129+Sheet1!BN129+CD131</f>
        <v>13.8</v>
      </c>
      <c r="AQ131" s="535">
        <f>Sheet1!BN129+(DO131*Sheet1!BN129)</f>
        <v>13.754530477759472</v>
      </c>
      <c r="AR131" s="535">
        <f>Sheet1!BA129+CD131</f>
        <v>0</v>
      </c>
      <c r="AS131" s="535">
        <f>Sheet1!BA129+Sheet1!BB129+CD131</f>
        <v>0</v>
      </c>
      <c r="AT131" s="649">
        <f>0</f>
        <v>0</v>
      </c>
      <c r="AU131" s="535">
        <f>IF(EB131&lt;K131,0,MAX(Sheet1!AA129+AQ131-15/36*K131-N131,Sheet1!EH129,0))</f>
        <v>0</v>
      </c>
      <c r="AV131" s="535">
        <f>IF(OR(B131&gt;=GD131,B131&lt;GC131),0,15/36*K131-MAX(0,64.6-(137.6-(Sheet1!AA129+Sheet1!AB129))))</f>
        <v>26.933333333333334</v>
      </c>
      <c r="AW131" s="1029"/>
      <c r="AX131" s="649"/>
      <c r="AY131" s="649">
        <f t="shared" si="286"/>
        <v>0</v>
      </c>
      <c r="AZ131" s="649">
        <f t="shared" si="287"/>
        <v>0</v>
      </c>
      <c r="BA131" s="1059">
        <f t="shared" si="288"/>
        <v>0</v>
      </c>
      <c r="BB131" s="1019">
        <f t="shared" si="318"/>
        <v>1993.0666666666677</v>
      </c>
      <c r="BC131" s="1041">
        <f t="shared" si="289"/>
        <v>26.933333333333334</v>
      </c>
      <c r="BD131" s="1019">
        <f ca="1">IF(B131&gt;Summary!$A$1,#N/A,BB131*MGtoAF)</f>
        <v>6114.7285333333366</v>
      </c>
      <c r="BE131" s="535">
        <f>Sheet1!BG129+Sheet1!BH129+Sheet1!BI129-BM131</f>
        <v>1.01</v>
      </c>
      <c r="BF131" s="535">
        <f t="shared" si="319"/>
        <v>1.0066721581548599</v>
      </c>
      <c r="BG131" s="535">
        <f>IF(Sheet1!EP129="FM",BM131,0)</f>
        <v>0</v>
      </c>
      <c r="BH131" s="535">
        <f t="shared" si="320"/>
        <v>0</v>
      </c>
      <c r="BI131" s="535">
        <f>IF(Sheet1!EP129="OTHER",BM131,0)</f>
        <v>0</v>
      </c>
      <c r="BJ131" s="535">
        <f t="shared" si="321"/>
        <v>0</v>
      </c>
      <c r="BK131" s="535">
        <f t="shared" si="322"/>
        <v>1.01</v>
      </c>
      <c r="BL131" s="535">
        <f t="shared" si="323"/>
        <v>1.0066721581548599</v>
      </c>
      <c r="BM131" s="535">
        <f>IF(OR(Sheet1!EP129="FM", Sheet1!EP129="OTHER"),SUM(Sheet1!BG129:'Sheet1'!BI129),0)</f>
        <v>0</v>
      </c>
      <c r="BN131" s="521">
        <f>IF(AND($B131&gt;=$FV131,$B131&lt;=$FW131),MAX(BF131,Sheet1!EI129,0),MAX(BF131-(7/36)*$K131,0))</f>
        <v>0</v>
      </c>
      <c r="BO131" s="535">
        <f t="shared" si="324"/>
        <v>11.562216730734029</v>
      </c>
      <c r="BP131" s="521">
        <f t="shared" si="325"/>
        <v>1.0066721581548599</v>
      </c>
      <c r="BQ131" s="521">
        <f>IF(AND($O131&gt;0,Sheet1!EM129=1),(1-($O131-Sheet1!$L129)/$O131)*BL131,0)</f>
        <v>0</v>
      </c>
      <c r="BR131" s="521">
        <f>IF(AND(Sheet1!$L129=0,Sheet1!$L128=0, Calculation!BK131&lt;Sheet1!$EI129-0.1,Sheet1!$EI129=Sheet1!$EI128,Sheet1!$EI129=Sheet1!$EI130),BL131-BQ131,BL131-BQ131)</f>
        <v>1.0066721581548599</v>
      </c>
      <c r="BS131" s="1035" t="str">
        <f t="shared" si="290"/>
        <v/>
      </c>
      <c r="BT131" s="1035">
        <f t="shared" si="291"/>
        <v>12.568888888888889</v>
      </c>
      <c r="BU131" s="535">
        <f t="shared" si="326"/>
        <v>854.71844331911063</v>
      </c>
      <c r="BV131" s="535"/>
      <c r="BW131" s="535">
        <f ca="1">IF(B131&gt;Summary!$A$1,#N/A,BU131*MGtoAF)</f>
        <v>2622.2761841030315</v>
      </c>
      <c r="BX131" s="535">
        <f>Sheet1!BC129+Sheet1!BD129+Sheet1!BE129+Sheet1!BF129-CG131-CH131</f>
        <v>3</v>
      </c>
      <c r="BY131" s="535">
        <f t="shared" si="327"/>
        <v>2.990115321252059</v>
      </c>
      <c r="BZ131" s="535">
        <f>IF(Sheet1!EQ129="FM",CH131,0)</f>
        <v>0</v>
      </c>
      <c r="CA131" s="535">
        <f t="shared" si="328"/>
        <v>0</v>
      </c>
      <c r="CB131" s="535">
        <f>IF(Sheet1!EQ129="OTHER",CH131,0)</f>
        <v>0</v>
      </c>
      <c r="CC131" s="535">
        <f t="shared" si="329"/>
        <v>0</v>
      </c>
      <c r="CD131" s="535">
        <f t="shared" si="330"/>
        <v>0</v>
      </c>
      <c r="CE131" s="535">
        <f t="shared" si="331"/>
        <v>3</v>
      </c>
      <c r="CF131" s="535">
        <f t="shared" si="332"/>
        <v>2.990115321252059</v>
      </c>
      <c r="CG131" s="535">
        <f>IF(Sheet1!EQ129="CWA",SUM(Sheet1!BC129:'Sheet1'!BF129),0)</f>
        <v>0</v>
      </c>
      <c r="CH131" s="535">
        <f>IF(OR(Sheet1!EQ129="FM", Sheet1!EQ129="OTHER"),SUM(Sheet1!BC129:'Sheet1'!BF129),0)</f>
        <v>0</v>
      </c>
      <c r="CI131" s="521">
        <f>IF(AND($B131&gt;=$FV131,$B131&lt;=$FW131),MAX(CF131,Sheet1!EJ129,0),MAX(CF131-(7/36)*$K131,0))</f>
        <v>0</v>
      </c>
      <c r="CJ131" s="535">
        <f t="shared" si="333"/>
        <v>9.57877356763683</v>
      </c>
      <c r="CK131" s="521">
        <f t="shared" si="334"/>
        <v>2.990115321252059</v>
      </c>
      <c r="CL131" s="521">
        <f>IF(AND($O131&gt;0,Sheet1!EN129=1),(1-($O131-Sheet1!$L129)/$O131)*CF131,0)</f>
        <v>0</v>
      </c>
      <c r="CM131" s="521">
        <f>IF(AND(Sheet1!$L129=0,Sheet1!$L128=0, Calculation!CE131&lt;Sheet1!EJ129-0.1,Sheet1!EJ129=Sheet1!EJ128,Sheet1!EJ129=Sheet1!EJ130),CF131-CL131,CF131-CL131)</f>
        <v>2.990115321252059</v>
      </c>
      <c r="CN131" s="1040" t="str">
        <f t="shared" si="292"/>
        <v/>
      </c>
      <c r="CO131" s="1035">
        <f t="shared" si="293"/>
        <v>12.568888888888889</v>
      </c>
      <c r="CP131" s="535">
        <f t="shared" si="335"/>
        <v>696.86289338241363</v>
      </c>
      <c r="CQ131" s="535"/>
      <c r="CR131" s="535">
        <f ca="1">IF(B131&gt;Summary!$A$1,#N/A,CP131*MGtoAF)</f>
        <v>2137.9753568972451</v>
      </c>
      <c r="CS131" s="535">
        <f>Sheet1!BK129+Sheet1!BL129+Sheet1!BM129-Sheet1!ER129-DA131</f>
        <v>6.47</v>
      </c>
      <c r="CT131" s="535">
        <f t="shared" si="336"/>
        <v>6.4486820428336076</v>
      </c>
      <c r="CU131" s="535">
        <f>IF(Sheet1!ER129="FM",DA131,0)</f>
        <v>0</v>
      </c>
      <c r="CV131" s="535">
        <f t="shared" si="337"/>
        <v>0</v>
      </c>
      <c r="CW131" s="535">
        <f>IF(Sheet1!ER129="OTHER",DA131,0)</f>
        <v>0</v>
      </c>
      <c r="CX131" s="535">
        <f t="shared" si="338"/>
        <v>0</v>
      </c>
      <c r="CY131" s="535">
        <f t="shared" si="339"/>
        <v>6.47</v>
      </c>
      <c r="CZ131" s="535">
        <f t="shared" si="340"/>
        <v>6.4486820428336076</v>
      </c>
      <c r="DA131" s="535">
        <f>IF(OR(Sheet1!ER129="FM", Sheet1!ER129="OTHER"),SUM(Sheet1!BK129:'Sheet1'!BM129),0)</f>
        <v>0</v>
      </c>
      <c r="DB131" s="1011">
        <f>IF(AND($B131&gt;=$FV131,$B131&lt;=$FW131),MAX($CT131,Sheet1!EK129,0),MAX($CT131-(7/36)*$K131,0))</f>
        <v>0</v>
      </c>
      <c r="DC131" s="1012">
        <f t="shared" si="341"/>
        <v>6.1202068460552814</v>
      </c>
      <c r="DD131" s="1011">
        <f t="shared" si="342"/>
        <v>6.4486820428336076</v>
      </c>
      <c r="DE131" s="521">
        <f>IF(AND($O131&gt;0,Sheet1!EO129=1),(1-($O131-Sheet1!$L129)/$O131)*CZ131,0)</f>
        <v>0</v>
      </c>
      <c r="DF131" s="521">
        <f>IF(AND(Sheet1!$L129=0,Sheet1!$L128=0, Calculation!CY131&lt;Sheet1!$EK129-0.1,Sheet1!$EK129=Sheet1!$EK128,Sheet1!$EK129=Sheet1!$EK130),CZ131-DE131,CZ131-DE131)</f>
        <v>6.4486820428336076</v>
      </c>
      <c r="DG131" s="1040">
        <f t="shared" si="294"/>
        <v>12.568888888888889</v>
      </c>
      <c r="DH131" s="649">
        <f t="shared" si="343"/>
        <v>10.48</v>
      </c>
      <c r="DI131" s="535">
        <f t="shared" si="344"/>
        <v>449.17680961326084</v>
      </c>
      <c r="DJ131" s="649">
        <f t="shared" si="345"/>
        <v>10.445469522240526</v>
      </c>
      <c r="DK131" s="535">
        <f ca="1">IF(B131&gt;Summary!$A$1,#N/A,DI131*MGtoAF)</f>
        <v>1378.0744518934844</v>
      </c>
      <c r="DL131" s="649">
        <f t="shared" si="346"/>
        <v>10.479999999999999</v>
      </c>
      <c r="DM131" s="535">
        <f t="shared" si="347"/>
        <v>24.28</v>
      </c>
      <c r="DN131" s="535">
        <f>Sheet1!AB129-DM131</f>
        <v>-8.0000000000001847E-2</v>
      </c>
      <c r="DO131" s="743">
        <f t="shared" si="348"/>
        <v>-3.2948929159803066E-3</v>
      </c>
      <c r="DP131" s="535">
        <f>(VLOOKUP(Sheet1!DC129,hhdcap_wcm,4)-(((VLOOKUP(Sheet1!DC129,hhdcap_wcm,3)-Sheet1!DC129)/(VLOOKUP(Sheet1!DC129,hhdcap_wcm,3)-VLOOKUP(Sheet1!DC129,hhdcap_wcm,1)))*(VLOOKUP(Sheet1!DC129,hhdcap_wcm,4)-VLOOKUP(Sheet1!DC129,hhdcap_wcm,2))))</f>
        <v>35505.600000089056</v>
      </c>
      <c r="DQ131" s="535">
        <f t="shared" si="349"/>
        <v>201.60000000021682</v>
      </c>
      <c r="DR131" s="535">
        <f t="shared" si="350"/>
        <v>101.66414523460251</v>
      </c>
      <c r="DS131" s="535">
        <f>Sheet1!EA129*AFtoMG</f>
        <v>0</v>
      </c>
      <c r="DT131" s="535">
        <f>Sheet1!EB129*AFtoMG</f>
        <v>0</v>
      </c>
      <c r="DU131" s="535">
        <f>Sheet1!EC129*AFtoMG</f>
        <v>0</v>
      </c>
      <c r="DV131" s="535">
        <f>Sheet1!ED129*AFtoMG</f>
        <v>0</v>
      </c>
      <c r="DW131" s="535">
        <f t="shared" si="351"/>
        <v>0</v>
      </c>
      <c r="DX131" s="535">
        <f t="shared" si="352"/>
        <v>0</v>
      </c>
      <c r="DY131" s="535">
        <f t="shared" si="353"/>
        <v>3993.8248129814529</v>
      </c>
      <c r="DZ131" s="535">
        <f t="shared" si="354"/>
        <v>12253.054526227097</v>
      </c>
      <c r="EA131" s="535"/>
      <c r="EB131" s="521">
        <f>IF(OR(B131&lt;FV131,B131&gt;FW131),(MIN(BF131+BY131+CT131+MAX(Sheet1!AA129+AQ131-73,0),K131)),0)</f>
        <v>10.445469522240526</v>
      </c>
      <c r="EC131" s="535"/>
      <c r="ED131" s="535">
        <f t="shared" si="355"/>
        <v>10.445469522240526</v>
      </c>
      <c r="EE131" s="535"/>
      <c r="EF131" s="535">
        <f>Sheet1!EH129+Sheet1!EI129+Sheet1!EJ129+Sheet1!EK129</f>
        <v>11</v>
      </c>
      <c r="EG131" s="1019">
        <f t="shared" si="295"/>
        <v>17.016999999999999</v>
      </c>
      <c r="EH131" s="521">
        <f t="shared" si="356"/>
        <v>0</v>
      </c>
      <c r="EI131" s="535">
        <f>IF(Sheet1!ET129=1,SUM('Calculations II'!AT131:BA131)+'Calculations II'!BC131+Sheet1!BV129+'Calculations II'!BE131+AP131,'Calculations II'!BK131)</f>
        <v>44.24273447775947</v>
      </c>
      <c r="EJ131" s="535">
        <f ca="1">EI131+'Calculations II'!D131+'Calculations II'!E131+'Calculations II'!O131</f>
        <v>44.71330750803488</v>
      </c>
      <c r="EK131" s="535"/>
      <c r="EL131" s="535"/>
      <c r="EM131" s="535">
        <f t="shared" si="357"/>
        <v>42855</v>
      </c>
      <c r="EN131" s="535">
        <f t="shared" si="358"/>
        <v>54.194530477759471</v>
      </c>
      <c r="EO131" s="535">
        <f t="shared" si="359"/>
        <v>83.838938649093905</v>
      </c>
      <c r="EP131" s="535">
        <v>0</v>
      </c>
      <c r="EQ131" s="535">
        <v>0</v>
      </c>
      <c r="ER131" s="535">
        <v>0</v>
      </c>
      <c r="ES131" s="521">
        <f t="shared" si="257"/>
        <v>0</v>
      </c>
      <c r="ET131" s="535">
        <f>-(VLOOKUP(Sheet1!BQ129,Lookup!$O$4:$Q$262,2)-VLOOKUP(Sheet1!BQ128,Lookup!$O$4:$Q$262,2))/1000000</f>
        <v>0</v>
      </c>
      <c r="EU131" s="535">
        <f>-(VLOOKUP(Sheet1!BR129,Lookup!$O$4:$Q$262,3)-VLOOKUP(Sheet1!BR128,Lookup!$O$4:$Q$262,3))/1000000</f>
        <v>0</v>
      </c>
      <c r="EV131" s="535"/>
      <c r="EW131" s="535"/>
      <c r="EX131" s="535"/>
      <c r="EY131" s="535"/>
      <c r="EZ131" s="535"/>
      <c r="FA131" s="535"/>
      <c r="FB131" s="535"/>
      <c r="FC131" s="535"/>
      <c r="FD131" s="567" t="e">
        <f t="shared" si="360"/>
        <v>#N/A</v>
      </c>
      <c r="FE131" s="567" t="e">
        <f t="shared" si="361"/>
        <v>#N/A</v>
      </c>
      <c r="FF131" s="568" t="e">
        <f t="shared" si="362"/>
        <v>#N/A</v>
      </c>
      <c r="FG131" s="569" t="s">
        <v>656</v>
      </c>
      <c r="FH131" s="569" t="s">
        <v>656</v>
      </c>
      <c r="FI131" s="567" t="e">
        <v>#N/A</v>
      </c>
      <c r="FJ131" s="567" t="e">
        <v>#N/A</v>
      </c>
      <c r="FK131" s="535"/>
      <c r="FL131" s="1015">
        <v>0</v>
      </c>
      <c r="FM131" s="535"/>
      <c r="FN131" s="535"/>
      <c r="FO131" s="535">
        <f>O131+((Sheet1!CS129)*GPMtoMGD)</f>
        <v>54.855840000000001</v>
      </c>
      <c r="FP131" s="535">
        <f>IF(Sheet1!AA129+AQ131&lt;=Calculation!N131,AQ131,Calculation!N131-Sheet1!AA129)</f>
        <v>13.754530477759472</v>
      </c>
      <c r="FQ131" s="535">
        <f>(Sheet1!BP129+Sheet1!BO129)/694.4</f>
        <v>1.6565380184331797</v>
      </c>
      <c r="FR131" s="541"/>
      <c r="FS131" s="541"/>
      <c r="FT131" s="541"/>
      <c r="FU131" s="541"/>
      <c r="FV131" s="1109">
        <f t="shared" si="258"/>
        <v>42918</v>
      </c>
      <c r="FW131" s="1109">
        <f t="shared" si="259"/>
        <v>43027</v>
      </c>
      <c r="FX131" s="541"/>
      <c r="FY131" s="541">
        <f>Sheet1!DA129-Sheet1!CZ129-Sheet1!AE129</f>
        <v>442.95940000000002</v>
      </c>
      <c r="FZ131" s="535">
        <f t="shared" si="296"/>
        <v>0.23666607127555866</v>
      </c>
      <c r="GA131" s="535"/>
      <c r="GB131" s="535" t="str">
        <f t="shared" si="260"/>
        <v>n</v>
      </c>
      <c r="GC131" s="539">
        <f t="shared" si="261"/>
        <v>42782</v>
      </c>
      <c r="GD131" s="1109">
        <f t="shared" si="262"/>
        <v>42904</v>
      </c>
      <c r="GE131" s="535">
        <f t="shared" si="280"/>
        <v>6520</v>
      </c>
      <c r="GF131" s="1109">
        <f t="shared" si="263"/>
        <v>42909</v>
      </c>
      <c r="GG131" s="535">
        <f t="shared" si="308"/>
        <v>3260</v>
      </c>
      <c r="GH131" s="539">
        <f t="shared" si="264"/>
        <v>43040</v>
      </c>
      <c r="GJ131" s="521">
        <f t="shared" si="265"/>
        <v>0</v>
      </c>
      <c r="GK131" s="535" t="str">
        <f t="shared" si="363"/>
        <v/>
      </c>
      <c r="GL131" s="535">
        <f t="shared" si="266"/>
        <v>0</v>
      </c>
      <c r="GM131" s="535" t="str">
        <f t="shared" si="267"/>
        <v/>
      </c>
      <c r="GN131" s="535">
        <f>IF(GK131="P",Lookup!$M$12,IF(GK131="PP",Lookup!$M$13,IF(GK131="PPP",Lookup!$M$14,IF(GK131="T",Lookup!$M$15,IF(GK131="TP",Lookup!$M$16,IF(GK131="TPP",Lookup!$M$17,IF(GK131="TPPP",Lookup!$M$18,0)))))))*GJ131</f>
        <v>0</v>
      </c>
      <c r="GO131" s="535">
        <f t="shared" si="268"/>
        <v>0</v>
      </c>
      <c r="GP131" s="535">
        <f t="shared" si="364"/>
        <v>6114.7285333333366</v>
      </c>
      <c r="GQ131" s="535">
        <f t="shared" si="279"/>
        <v>1993.0666666666677</v>
      </c>
      <c r="GR131" s="535"/>
      <c r="GS131" s="535">
        <f t="shared" si="269"/>
        <v>0</v>
      </c>
      <c r="GT131" s="535" t="str">
        <f t="shared" si="270"/>
        <v/>
      </c>
      <c r="GU131" s="535">
        <f>IF(GK131="P",Lookup!$N$12,IF(GK131="PP",Lookup!$N$13,IF(GK131="PPP",Lookup!$N$14,IF(GK131="T",Lookup!$N$15,IF(GK131="TP",Lookup!$N$16,IF(GK131="TPP",Lookup!$N$17,IF(GK131="TPPP",Lookup!$N$18,0)))))))*GJ131</f>
        <v>0</v>
      </c>
      <c r="GV131" s="535">
        <f t="shared" si="271"/>
        <v>0</v>
      </c>
      <c r="GW131" s="535">
        <f t="shared" si="365"/>
        <v>2622.2761841030315</v>
      </c>
      <c r="GX131" s="535">
        <f t="shared" si="276"/>
        <v>854.71844331911063</v>
      </c>
      <c r="GY131" s="535"/>
      <c r="GZ131" s="535">
        <f t="shared" si="272"/>
        <v>0</v>
      </c>
      <c r="HA131" s="535" t="str">
        <f t="shared" si="273"/>
        <v/>
      </c>
      <c r="HB131" s="535">
        <f>IF(GK131="P",Lookup!$N$12,IF(GK131="PP",Lookup!$N$13,IF(GK131="PPP",Lookup!$N$14,IF(GK131="T",Lookup!$N$15,IF(GK131="TP",Lookup!$N$16,IF(GK131="TPP",Lookup!$N$17,IF(GK131="TPPP",Lookup!$N$18,0)))))))*GJ131</f>
        <v>0</v>
      </c>
      <c r="HC131" s="521">
        <f t="shared" si="366"/>
        <v>0</v>
      </c>
      <c r="HD131" s="535">
        <f t="shared" si="367"/>
        <v>2137.9753568972451</v>
      </c>
      <c r="HE131" s="535">
        <f t="shared" si="277"/>
        <v>696.86289338241363</v>
      </c>
      <c r="HF131" s="535"/>
      <c r="HG131" s="535">
        <f t="shared" si="274"/>
        <v>0</v>
      </c>
      <c r="HH131" s="535" t="str">
        <f t="shared" si="275"/>
        <v/>
      </c>
      <c r="HI131" s="535">
        <f>IF(GK131="P",Lookup!$N$12,IF(GK131="PP",Lookup!$N$13,IF(GK131="PPP",Lookup!$N$14,IF(GK131="T",Lookup!$N$15,IF(GK131="TP",Lookup!$N$16,IF(GK131="TPP",Lookup!$N$17,IF(GK131="TPPP",Lookup!$N$18,0)))))))*GJ131</f>
        <v>0</v>
      </c>
      <c r="HJ131" s="521">
        <f t="shared" si="368"/>
        <v>0</v>
      </c>
      <c r="HK131" s="535">
        <f t="shared" si="369"/>
        <v>1378.0744518934844</v>
      </c>
      <c r="HL131" s="535">
        <f t="shared" si="278"/>
        <v>449.17680961326084</v>
      </c>
      <c r="HM131" s="535"/>
      <c r="HN131" s="541"/>
      <c r="HO131" s="541"/>
      <c r="HP131" s="541"/>
      <c r="HQ131" s="541">
        <f>IF(AND(B131&gt;=$FV$4,B131&lt;=$FW$4),MAX(110/1.02+$HQ$6+MIN(113/1.02,G131),IF($HV$6-(Sheet1!DA129-Sheet1!DB129)+MIN(113/1.02,G131)&lt;G131+FL131,$HV$6-(Sheet1!DA129-Sheet1!DB129)+MIN(113/1.02,G131),G131+FL131)),MIN(110/1.02+$HQ$6+113/1.02,G131))</f>
        <v>218.62745098039215</v>
      </c>
      <c r="HR131" s="541">
        <f t="shared" si="297"/>
        <v>223</v>
      </c>
      <c r="HS131" s="541">
        <f>HR131+(Sheet1!DA129-Sheet1!DB129)</f>
        <v>833</v>
      </c>
      <c r="HT131" s="541">
        <f t="shared" si="298"/>
        <v>60.828039999999994</v>
      </c>
      <c r="HU131" s="541">
        <f t="shared" si="299"/>
        <v>772.17196000000001</v>
      </c>
      <c r="HV131" s="541">
        <f t="shared" si="300"/>
        <v>0</v>
      </c>
      <c r="HW131" s="533" t="str">
        <f t="shared" si="301"/>
        <v/>
      </c>
      <c r="HX131" s="541">
        <f t="shared" si="302"/>
        <v>1551.372549019608</v>
      </c>
      <c r="HY131" s="541">
        <f>Sheet1!CZ129</f>
        <v>1770</v>
      </c>
      <c r="HZ131" s="541">
        <f t="shared" si="303"/>
        <v>0</v>
      </c>
      <c r="IA131" s="541">
        <f t="shared" si="304"/>
        <v>60.828039999999994</v>
      </c>
      <c r="IB131" s="541">
        <f t="shared" si="305"/>
        <v>1770</v>
      </c>
      <c r="IC131" s="1019" t="str">
        <f t="shared" si="306"/>
        <v/>
      </c>
      <c r="ID131" s="541">
        <f t="shared" si="307"/>
        <v>1709.1719599999999</v>
      </c>
      <c r="IE131" s="541">
        <f>Sheet1!DB129</f>
        <v>1680</v>
      </c>
      <c r="IF131" s="533">
        <f>Sheet1!DA129</f>
        <v>2290</v>
      </c>
      <c r="IH131" s="541">
        <f>IF(AND($B131&gt;=$GC131,$B131&lt;=$GH131,$DR131&lt;0)+N("only adjusted when pool is drawn down during storage season"),Sheet1!$DB129+$DR131+N("Palmer minus all storage release"),Sheet1!$DB129)</f>
        <v>1680</v>
      </c>
      <c r="II131" s="541">
        <f>IF(AND($B131&gt;=$GC131,$B131&lt;=$GH131,$DR131&lt;0)+N("only adjusted when pool is drawn down during storage season"),Sheet1!$DA129+$DR131+N("Auburn minus all storage release"),Sheet1!$DA129)</f>
        <v>2290</v>
      </c>
    </row>
    <row r="132" spans="1:243" x14ac:dyDescent="0.25">
      <c r="A132" s="553" t="s">
        <v>4</v>
      </c>
      <c r="B132" s="531">
        <v>42856</v>
      </c>
      <c r="C132" s="536">
        <v>0</v>
      </c>
      <c r="D132" s="506">
        <f t="shared" si="247"/>
        <v>300</v>
      </c>
      <c r="E132" s="506">
        <f t="shared" si="248"/>
        <v>250</v>
      </c>
      <c r="F132" s="506">
        <v>250</v>
      </c>
      <c r="G132" s="535">
        <f>DR132+Sheet1!CZ130</f>
        <v>2135.5723651045396</v>
      </c>
      <c r="H132" s="1074">
        <f t="shared" si="370"/>
        <v>1013.6350303999999</v>
      </c>
      <c r="I132" s="534">
        <f>IF(Sheet1!DA130&gt;=E132,(Sheet1!DA130-E132+P132)*CFStoMGD,0)</f>
        <v>1440.2590304</v>
      </c>
      <c r="J132" s="995">
        <f>IF(Sheet1!DB130&gt;=D132,(Sheet1!DB130-D132+P132)*CFStoMGD,0)</f>
        <v>1013.6350303999999</v>
      </c>
      <c r="K132" s="818">
        <f t="shared" si="282"/>
        <v>64.64</v>
      </c>
      <c r="L132" s="535">
        <f>Sheet1!AA130+Sheet1!AB130-Sheet1!L130+(Sheet1!DA130-F132)*CFStoMGD-S132-T132-U132</f>
        <v>1375.6200000000001</v>
      </c>
      <c r="M132" s="535">
        <f t="shared" si="309"/>
        <v>1408.0426563396459</v>
      </c>
      <c r="N132" s="824">
        <f>IF(Sheet1!DA130&gt;=F132,MIN(113*CFStoMGD,MIN(MAX(L132,0),MAX(M132,0))),0)</f>
        <v>73.043199999999999</v>
      </c>
      <c r="O132" s="538">
        <f>Sheet1!AA130+Sheet1!AB130</f>
        <v>50.5</v>
      </c>
      <c r="P132" s="538">
        <f t="shared" si="310"/>
        <v>78.123500000000007</v>
      </c>
      <c r="Q132" s="812">
        <f t="shared" si="283"/>
        <v>39.68</v>
      </c>
      <c r="R132" s="812">
        <f t="shared" si="249"/>
        <v>10.76810551558753</v>
      </c>
      <c r="S132" s="812">
        <f t="shared" si="250"/>
        <v>10.82</v>
      </c>
      <c r="T132" s="812">
        <f t="shared" si="251"/>
        <v>53.82</v>
      </c>
      <c r="U132" s="812">
        <f t="shared" si="284"/>
        <v>0</v>
      </c>
      <c r="V132" s="812"/>
      <c r="W132" s="812">
        <f t="shared" si="252"/>
        <v>53.871894484412472</v>
      </c>
      <c r="X132" s="812">
        <f t="shared" si="253"/>
        <v>64.64</v>
      </c>
      <c r="Y132" s="812" t="str">
        <f t="shared" si="254"/>
        <v>FALSE</v>
      </c>
      <c r="Z132" s="812">
        <f t="shared" si="255"/>
        <v>50.5</v>
      </c>
      <c r="AA132" s="812">
        <f t="shared" si="256"/>
        <v>50.5</v>
      </c>
      <c r="AB132" s="1059">
        <f t="shared" si="285"/>
        <v>61.38496</v>
      </c>
      <c r="AC132" s="538">
        <f>Sheet1!Y130*MGDtoCFS</f>
        <v>39.603200000000001</v>
      </c>
      <c r="AD132" s="538">
        <f>Sheet1!Z130*MGDtoCFS</f>
        <v>37.437399999999997</v>
      </c>
      <c r="AE132" s="538">
        <f>Sheet1!AA130*MGDtoCFS</f>
        <v>39.603200000000001</v>
      </c>
      <c r="AF132" s="538">
        <f>Sheet1!AB130*MGDtoCFS</f>
        <v>38.520299999999999</v>
      </c>
      <c r="AG132" s="538">
        <f>Sheet1!L130*MGDtoCFS</f>
        <v>0</v>
      </c>
      <c r="AH132" s="521">
        <f t="shared" si="311"/>
        <v>0</v>
      </c>
      <c r="AI132" s="1059">
        <f t="shared" si="312"/>
        <v>0</v>
      </c>
      <c r="AJ132" s="535">
        <f t="shared" si="313"/>
        <v>53.871894484412472</v>
      </c>
      <c r="AK132" s="535">
        <f t="shared" si="314"/>
        <v>83.339820767386087</v>
      </c>
      <c r="AL132" s="535">
        <f>(VLOOKUP(Sheet1!DC130,hhdcap_wcm,4)-(((VLOOKUP(Sheet1!DC130,hhdcap_wcm,3)-Sheet1!DC130)/(VLOOKUP(Sheet1!DC130,hhdcap_wcm,3)-VLOOKUP(Sheet1!DC130,hhdcap_wcm,1)))*(VLOOKUP(Sheet1!DC130,hhdcap_wcm,4)-VLOOKUP(Sheet1!DC130,hhdcap_wcm,2))))</f>
        <v>36012.400000091358</v>
      </c>
      <c r="AM132" s="535">
        <f t="shared" si="315"/>
        <v>506.80000000230211</v>
      </c>
      <c r="AN132" s="1035">
        <f t="shared" si="316"/>
        <v>4047.696707465866</v>
      </c>
      <c r="AO132" s="535">
        <f t="shared" si="317"/>
        <v>12418.333498505277</v>
      </c>
      <c r="AP132" s="535">
        <f>Sheet1!BA130+Sheet1!BB130+Sheet1!BN130+CD132</f>
        <v>14.2</v>
      </c>
      <c r="AQ132" s="535">
        <f>Sheet1!BN130+(DO132*Sheet1!BN130)</f>
        <v>14.131894484412468</v>
      </c>
      <c r="AR132" s="535">
        <f>Sheet1!BA130+CD132</f>
        <v>0</v>
      </c>
      <c r="AS132" s="535">
        <f>Sheet1!BA130+Sheet1!BB130+CD132</f>
        <v>0</v>
      </c>
      <c r="AT132" s="649">
        <f>0</f>
        <v>0</v>
      </c>
      <c r="AU132" s="535">
        <f>IF(EB132&lt;K132,0,MAX(Sheet1!AA130+AQ132-15/36*K132-N132,Sheet1!EH130,0))</f>
        <v>0</v>
      </c>
      <c r="AV132" s="535">
        <f>IF(OR(B132&gt;=GD132,B132&lt;GC132),0,15/36*K132-MAX(0,64.6-(137.6-(Sheet1!AA130+Sheet1!AB130))))</f>
        <v>26.933333333333334</v>
      </c>
      <c r="AW132" s="1029"/>
      <c r="AX132" s="649"/>
      <c r="AY132" s="649">
        <f t="shared" si="286"/>
        <v>0</v>
      </c>
      <c r="AZ132" s="649">
        <f t="shared" si="287"/>
        <v>0</v>
      </c>
      <c r="BA132" s="1059">
        <f t="shared" si="288"/>
        <v>0</v>
      </c>
      <c r="BB132" s="1019">
        <f t="shared" si="318"/>
        <v>2020.0000000000011</v>
      </c>
      <c r="BC132" s="1041">
        <f t="shared" si="289"/>
        <v>26.933333333333334</v>
      </c>
      <c r="BD132" s="1019">
        <f ca="1">IF(B132&gt;Summary!$A$1,#N/A,BB132*MGtoAF)</f>
        <v>6197.3600000000033</v>
      </c>
      <c r="BE132" s="535">
        <f>Sheet1!BG130+Sheet1!BH130+Sheet1!BI130-BM132</f>
        <v>1.01</v>
      </c>
      <c r="BF132" s="535">
        <f t="shared" si="319"/>
        <v>1.0051558752997602</v>
      </c>
      <c r="BG132" s="535">
        <f>IF(Sheet1!EP130="FM",BM132,0)</f>
        <v>0</v>
      </c>
      <c r="BH132" s="535">
        <f t="shared" si="320"/>
        <v>0</v>
      </c>
      <c r="BI132" s="535">
        <f>IF(Sheet1!EP130="OTHER",BM132,0)</f>
        <v>0</v>
      </c>
      <c r="BJ132" s="535">
        <f t="shared" si="321"/>
        <v>0</v>
      </c>
      <c r="BK132" s="535">
        <f t="shared" si="322"/>
        <v>1.01</v>
      </c>
      <c r="BL132" s="535">
        <f t="shared" si="323"/>
        <v>1.0051558752997602</v>
      </c>
      <c r="BM132" s="535">
        <f>IF(OR(Sheet1!EP130="FM", Sheet1!EP130="OTHER"),SUM(Sheet1!BG130:'Sheet1'!BI130),0)</f>
        <v>0</v>
      </c>
      <c r="BN132" s="521">
        <f>IF(AND($B132&gt;=$FV132,$B132&lt;=$FW132),MAX(BF132,Sheet1!EI130,0),MAX(BF132-(7/36)*$K132,0))</f>
        <v>0</v>
      </c>
      <c r="BO132" s="535">
        <f t="shared" si="324"/>
        <v>11.563733013589129</v>
      </c>
      <c r="BP132" s="521">
        <f t="shared" si="325"/>
        <v>1.0051558752997602</v>
      </c>
      <c r="BQ132" s="521">
        <f>IF(AND($O132&gt;0,Sheet1!EM130=1),(1-($O132-Sheet1!$L130)/$O132)*BL132,0)</f>
        <v>0</v>
      </c>
      <c r="BR132" s="521">
        <f>IF(AND(Sheet1!$L130=0,Sheet1!$L129=0, Calculation!BK132&lt;Sheet1!$EI130-0.1,Sheet1!$EI130=Sheet1!$EI129,Sheet1!$EI130=Sheet1!$EI131),BL132-BQ132,BL132-BQ132)</f>
        <v>1.0051558752997602</v>
      </c>
      <c r="BS132" s="1035" t="str">
        <f t="shared" si="290"/>
        <v/>
      </c>
      <c r="BT132" s="1035">
        <f t="shared" si="291"/>
        <v>12.568888888888889</v>
      </c>
      <c r="BU132" s="535">
        <f t="shared" si="326"/>
        <v>866.28217633269981</v>
      </c>
      <c r="BV132" s="535"/>
      <c r="BW132" s="535">
        <f ca="1">IF(B132&gt;Summary!$A$1,#N/A,BU132*MGtoAF)</f>
        <v>2657.7537169887232</v>
      </c>
      <c r="BX132" s="535">
        <f>Sheet1!BC130+Sheet1!BD130+Sheet1!BE130+Sheet1!BF130-CG132-CH132</f>
        <v>3.3200000000000003</v>
      </c>
      <c r="BY132" s="535">
        <f t="shared" si="327"/>
        <v>3.3040767386091128</v>
      </c>
      <c r="BZ132" s="535">
        <f>IF(Sheet1!EQ130="FM",CH132,0)</f>
        <v>0</v>
      </c>
      <c r="CA132" s="535">
        <f t="shared" si="328"/>
        <v>0</v>
      </c>
      <c r="CB132" s="535">
        <f>IF(Sheet1!EQ130="OTHER",CH132,0)</f>
        <v>0</v>
      </c>
      <c r="CC132" s="535">
        <f t="shared" si="329"/>
        <v>0</v>
      </c>
      <c r="CD132" s="535">
        <f t="shared" si="330"/>
        <v>0</v>
      </c>
      <c r="CE132" s="535">
        <f t="shared" si="331"/>
        <v>3.3200000000000003</v>
      </c>
      <c r="CF132" s="535">
        <f t="shared" si="332"/>
        <v>3.3040767386091128</v>
      </c>
      <c r="CG132" s="535">
        <f>IF(Sheet1!EQ130="CWA",SUM(Sheet1!BC130:'Sheet1'!BF130),0)</f>
        <v>0</v>
      </c>
      <c r="CH132" s="535">
        <f>IF(OR(Sheet1!EQ130="FM", Sheet1!EQ130="OTHER"),SUM(Sheet1!BC130:'Sheet1'!BF130),0)</f>
        <v>0</v>
      </c>
      <c r="CI132" s="521">
        <f>IF(AND($B132&gt;=$FV132,$B132&lt;=$FW132),MAX(CF132,Sheet1!EJ130,0),MAX(CF132-(7/36)*$K132,0))</f>
        <v>0</v>
      </c>
      <c r="CJ132" s="535">
        <f t="shared" si="333"/>
        <v>9.2648121502797771</v>
      </c>
      <c r="CK132" s="521">
        <f t="shared" si="334"/>
        <v>3.3040767386091128</v>
      </c>
      <c r="CL132" s="521">
        <f>IF(AND($O132&gt;0,Sheet1!EN130=1),(1-($O132-Sheet1!$L130)/$O132)*CF132,0)</f>
        <v>0</v>
      </c>
      <c r="CM132" s="521">
        <f>IF(AND(Sheet1!$L130=0,Sheet1!$L129=0, Calculation!CE132&lt;Sheet1!EJ130-0.1,Sheet1!EJ130=Sheet1!EJ129,Sheet1!EJ130=Sheet1!EJ131),CF132-CL132,CF132-CL132)</f>
        <v>3.3040767386091128</v>
      </c>
      <c r="CN132" s="1040" t="str">
        <f t="shared" si="292"/>
        <v/>
      </c>
      <c r="CO132" s="1035">
        <f t="shared" si="293"/>
        <v>12.568888888888889</v>
      </c>
      <c r="CP132" s="535">
        <f t="shared" si="335"/>
        <v>706.12770553269343</v>
      </c>
      <c r="CQ132" s="535"/>
      <c r="CR132" s="535">
        <f ca="1">IF(B132&gt;Summary!$A$1,#N/A,CP132*MGtoAF)</f>
        <v>2166.3998005743033</v>
      </c>
      <c r="CS132" s="535">
        <f>Sheet1!BK130+Sheet1!BL130+Sheet1!BM130-Sheet1!ER130-DA132</f>
        <v>6.49</v>
      </c>
      <c r="CT132" s="535">
        <f t="shared" si="336"/>
        <v>6.4588729016786575</v>
      </c>
      <c r="CU132" s="535">
        <f>IF(Sheet1!ER130="FM",DA132,0)</f>
        <v>0</v>
      </c>
      <c r="CV132" s="535">
        <f t="shared" si="337"/>
        <v>0</v>
      </c>
      <c r="CW132" s="535">
        <f>IF(Sheet1!ER130="OTHER",DA132,0)</f>
        <v>0</v>
      </c>
      <c r="CX132" s="535">
        <f t="shared" si="338"/>
        <v>0</v>
      </c>
      <c r="CY132" s="535">
        <f t="shared" si="339"/>
        <v>6.49</v>
      </c>
      <c r="CZ132" s="535">
        <f t="shared" si="340"/>
        <v>6.4588729016786575</v>
      </c>
      <c r="DA132" s="535">
        <f>IF(OR(Sheet1!ER130="FM", Sheet1!ER130="OTHER"),SUM(Sheet1!BK130:'Sheet1'!BM130),0)</f>
        <v>0</v>
      </c>
      <c r="DB132" s="1011">
        <f>IF(AND($B132&gt;=$FV132,$B132&lt;=$FW132),MAX($CT132,Sheet1!EK130,0),MAX($CT132-(7/36)*$K132,0))</f>
        <v>0</v>
      </c>
      <c r="DC132" s="1012">
        <f t="shared" si="341"/>
        <v>6.1100159872102315</v>
      </c>
      <c r="DD132" s="1011">
        <f t="shared" si="342"/>
        <v>6.4588729016786575</v>
      </c>
      <c r="DE132" s="521">
        <f>IF(AND($O132&gt;0,Sheet1!EO130=1),(1-($O132-Sheet1!$L130)/$O132)*CZ132,0)</f>
        <v>0</v>
      </c>
      <c r="DF132" s="521">
        <f>IF(AND(Sheet1!$L130=0,Sheet1!$L129=0, Calculation!CY132&lt;Sheet1!$EK130-0.1,Sheet1!$EK130=Sheet1!$EK129,Sheet1!$EK130=Sheet1!$EK131),CZ132-DE132,CZ132-DE132)</f>
        <v>6.4588729016786575</v>
      </c>
      <c r="DG132" s="1040">
        <f t="shared" si="294"/>
        <v>12.568888888888889</v>
      </c>
      <c r="DH132" s="649">
        <f t="shared" si="343"/>
        <v>10.82</v>
      </c>
      <c r="DI132" s="535">
        <f t="shared" si="344"/>
        <v>455.28682560047105</v>
      </c>
      <c r="DJ132" s="649">
        <f t="shared" si="345"/>
        <v>10.76810551558753</v>
      </c>
      <c r="DK132" s="535">
        <f ca="1">IF(B132&gt;Summary!$A$1,#N/A,DI132*MGtoAF)</f>
        <v>1396.8199809422451</v>
      </c>
      <c r="DL132" s="649">
        <f t="shared" si="346"/>
        <v>10.82</v>
      </c>
      <c r="DM132" s="535">
        <f t="shared" si="347"/>
        <v>25.02</v>
      </c>
      <c r="DN132" s="535">
        <f>Sheet1!AB130-DM132</f>
        <v>-0.12000000000000099</v>
      </c>
      <c r="DO132" s="743">
        <f t="shared" si="348"/>
        <v>-4.7961630695444041E-3</v>
      </c>
      <c r="DP132" s="535">
        <f>(VLOOKUP(Sheet1!DC130,hhdcap_wcm,4)-(((VLOOKUP(Sheet1!DC130,hhdcap_wcm,3)-Sheet1!DC130)/(VLOOKUP(Sheet1!DC130,hhdcap_wcm,3)-VLOOKUP(Sheet1!DC130,hhdcap_wcm,1)))*(VLOOKUP(Sheet1!DC130,hhdcap_wcm,4)-VLOOKUP(Sheet1!DC130,hhdcap_wcm,2))))</f>
        <v>36012.400000091358</v>
      </c>
      <c r="DQ132" s="535">
        <f t="shared" si="349"/>
        <v>506.80000000230211</v>
      </c>
      <c r="DR132" s="535">
        <f t="shared" si="350"/>
        <v>255.57236510453961</v>
      </c>
      <c r="DS132" s="535">
        <f>Sheet1!EA130*AFtoMG</f>
        <v>0</v>
      </c>
      <c r="DT132" s="535">
        <f>Sheet1!EB130*AFtoMG</f>
        <v>0</v>
      </c>
      <c r="DU132" s="535">
        <f>Sheet1!EC130*AFtoMG</f>
        <v>0</v>
      </c>
      <c r="DV132" s="535">
        <f>Sheet1!ED130*AFtoMG</f>
        <v>0</v>
      </c>
      <c r="DW132" s="535">
        <f t="shared" si="351"/>
        <v>0</v>
      </c>
      <c r="DX132" s="535">
        <f t="shared" si="352"/>
        <v>0</v>
      </c>
      <c r="DY132" s="535">
        <f t="shared" si="353"/>
        <v>4047.696707465866</v>
      </c>
      <c r="DZ132" s="535">
        <f t="shared" si="354"/>
        <v>12418.333498505277</v>
      </c>
      <c r="EA132" s="535"/>
      <c r="EB132" s="521">
        <f>IF(OR(B132&lt;FV132,B132&gt;FW132),(MIN(BF132+BY132+CT132+MAX(Sheet1!AA130+AQ132-73,0),K132)),0)</f>
        <v>10.76810551558753</v>
      </c>
      <c r="EC132" s="535"/>
      <c r="ED132" s="535">
        <f t="shared" si="355"/>
        <v>10.76810551558753</v>
      </c>
      <c r="EE132" s="535"/>
      <c r="EF132" s="535">
        <f>Sheet1!EH130+Sheet1!EI130+Sheet1!EJ130+Sheet1!EK130</f>
        <v>11</v>
      </c>
      <c r="EG132" s="1019">
        <f t="shared" si="295"/>
        <v>17.016999999999999</v>
      </c>
      <c r="EH132" s="521">
        <f t="shared" si="356"/>
        <v>0</v>
      </c>
      <c r="EI132" s="535">
        <f>IF(Sheet1!ET130=1,SUM('Calculations II'!AT132:BA132)+'Calculations II'!BC132+Sheet1!BV130+'Calculations II'!BE132+AP132,'Calculations II'!BK132)</f>
        <v>45.214740484412467</v>
      </c>
      <c r="EJ132" s="535">
        <f ca="1">EI132+'Calculations II'!D132+'Calculations II'!E132+'Calculations II'!O132</f>
        <v>45.069801612967808</v>
      </c>
      <c r="EK132" s="535"/>
      <c r="EL132" s="535"/>
      <c r="EM132" s="535">
        <f t="shared" si="357"/>
        <v>42856</v>
      </c>
      <c r="EN132" s="535">
        <f t="shared" si="358"/>
        <v>53.871894484412472</v>
      </c>
      <c r="EO132" s="535">
        <f t="shared" si="359"/>
        <v>83.339820767386087</v>
      </c>
      <c r="EP132" s="535">
        <v>0</v>
      </c>
      <c r="EQ132" s="535">
        <v>0</v>
      </c>
      <c r="ER132" s="535">
        <v>0</v>
      </c>
      <c r="ES132" s="521">
        <f t="shared" si="257"/>
        <v>0.69197536891134082</v>
      </c>
      <c r="ET132" s="535">
        <f>-(VLOOKUP(Sheet1!BQ130,Lookup!$O$4:$Q$262,2)-VLOOKUP(Sheet1!BQ129,Lookup!$O$4:$Q$262,2))/1000000</f>
        <v>0.69197536891134082</v>
      </c>
      <c r="EU132" s="535">
        <f>-(VLOOKUP(Sheet1!BR130,Lookup!$O$4:$Q$262,3)-VLOOKUP(Sheet1!BR129,Lookup!$O$4:$Q$262,3))/1000000</f>
        <v>0</v>
      </c>
      <c r="EV132" s="535"/>
      <c r="EW132" s="535"/>
      <c r="EX132" s="535"/>
      <c r="EY132" s="535"/>
      <c r="EZ132" s="535"/>
      <c r="FA132" s="535"/>
      <c r="FB132" s="535"/>
      <c r="FC132" s="535"/>
      <c r="FD132" s="567" t="e">
        <f t="shared" si="360"/>
        <v>#N/A</v>
      </c>
      <c r="FE132" s="567" t="e">
        <f t="shared" si="361"/>
        <v>#N/A</v>
      </c>
      <c r="FF132" s="568" t="e">
        <f t="shared" si="362"/>
        <v>#N/A</v>
      </c>
      <c r="FG132" s="569" t="s">
        <v>656</v>
      </c>
      <c r="FH132" s="569" t="s">
        <v>656</v>
      </c>
      <c r="FI132" s="567" t="e">
        <v>#N/A</v>
      </c>
      <c r="FJ132" s="567" t="e">
        <v>#N/A</v>
      </c>
      <c r="FK132" s="535"/>
      <c r="FL132" s="1015">
        <v>0</v>
      </c>
      <c r="FM132" s="535"/>
      <c r="FN132" s="535"/>
      <c r="FO132" s="535">
        <f>O132+((Sheet1!CS130)*GPMtoMGD)</f>
        <v>55.545183999999999</v>
      </c>
      <c r="FP132" s="535">
        <f>IF(Sheet1!AA130+AQ132&lt;=Calculation!N132,AQ132,Calculation!N132-Sheet1!AA130)</f>
        <v>14.131894484412468</v>
      </c>
      <c r="FQ132" s="535">
        <f>(Sheet1!BP130+Sheet1!BO130)/694.4</f>
        <v>1.3339573732718895</v>
      </c>
      <c r="FR132" s="541"/>
      <c r="FS132" s="541"/>
      <c r="FT132" s="541"/>
      <c r="FU132" s="541"/>
      <c r="FV132" s="1109">
        <f t="shared" si="258"/>
        <v>42918</v>
      </c>
      <c r="FW132" s="1109">
        <f t="shared" si="259"/>
        <v>43027</v>
      </c>
      <c r="FX132" s="541"/>
      <c r="FY132" s="541">
        <f>Sheet1!DA130-Sheet1!CZ130-Sheet1!AE130</f>
        <v>441.87650000000002</v>
      </c>
      <c r="FZ132" s="535">
        <f t="shared" si="296"/>
        <v>0.20691244521623572</v>
      </c>
      <c r="GA132" s="535"/>
      <c r="GB132" s="535" t="str">
        <f t="shared" si="260"/>
        <v>n</v>
      </c>
      <c r="GC132" s="539">
        <f t="shared" si="261"/>
        <v>42782</v>
      </c>
      <c r="GD132" s="1109">
        <f t="shared" si="262"/>
        <v>42904</v>
      </c>
      <c r="GE132" s="535">
        <f t="shared" si="280"/>
        <v>6520</v>
      </c>
      <c r="GF132" s="1109">
        <f t="shared" si="263"/>
        <v>42909</v>
      </c>
      <c r="GG132" s="535">
        <f t="shared" si="308"/>
        <v>3260</v>
      </c>
      <c r="GH132" s="539">
        <f t="shared" si="264"/>
        <v>43040</v>
      </c>
      <c r="GJ132" s="521">
        <f t="shared" si="265"/>
        <v>0</v>
      </c>
      <c r="GK132" s="535" t="str">
        <f t="shared" si="363"/>
        <v/>
      </c>
      <c r="GL132" s="535">
        <f t="shared" si="266"/>
        <v>0</v>
      </c>
      <c r="GM132" s="535" t="str">
        <f t="shared" si="267"/>
        <v/>
      </c>
      <c r="GN132" s="535">
        <f>IF(GK132="P",Lookup!$M$12,IF(GK132="PP",Lookup!$M$13,IF(GK132="PPP",Lookup!$M$14,IF(GK132="T",Lookup!$M$15,IF(GK132="TP",Lookup!$M$16,IF(GK132="TPP",Lookup!$M$17,IF(GK132="TPPP",Lookup!$M$18,0)))))))*GJ132</f>
        <v>0</v>
      </c>
      <c r="GO132" s="535">
        <f t="shared" si="268"/>
        <v>0</v>
      </c>
      <c r="GP132" s="535">
        <f t="shared" si="364"/>
        <v>6197.3600000000033</v>
      </c>
      <c r="GQ132" s="535">
        <f t="shared" si="279"/>
        <v>2020.0000000000011</v>
      </c>
      <c r="GR132" s="535"/>
      <c r="GS132" s="535">
        <f t="shared" si="269"/>
        <v>0</v>
      </c>
      <c r="GT132" s="535" t="str">
        <f t="shared" si="270"/>
        <v/>
      </c>
      <c r="GU132" s="535">
        <f>IF(GK132="P",Lookup!$N$12,IF(GK132="PP",Lookup!$N$13,IF(GK132="PPP",Lookup!$N$14,IF(GK132="T",Lookup!$N$15,IF(GK132="TP",Lookup!$N$16,IF(GK132="TPP",Lookup!$N$17,IF(GK132="TPPP",Lookup!$N$18,0)))))))*GJ132</f>
        <v>0</v>
      </c>
      <c r="GV132" s="535">
        <f t="shared" si="271"/>
        <v>0</v>
      </c>
      <c r="GW132" s="535">
        <f t="shared" si="365"/>
        <v>2657.7537169887232</v>
      </c>
      <c r="GX132" s="535">
        <f t="shared" si="276"/>
        <v>866.28217633269981</v>
      </c>
      <c r="GY132" s="535"/>
      <c r="GZ132" s="535">
        <f t="shared" si="272"/>
        <v>0</v>
      </c>
      <c r="HA132" s="535" t="str">
        <f t="shared" si="273"/>
        <v/>
      </c>
      <c r="HB132" s="535">
        <f>IF(GK132="P",Lookup!$N$12,IF(GK132="PP",Lookup!$N$13,IF(GK132="PPP",Lookup!$N$14,IF(GK132="T",Lookup!$N$15,IF(GK132="TP",Lookup!$N$16,IF(GK132="TPP",Lookup!$N$17,IF(GK132="TPPP",Lookup!$N$18,0)))))))*GJ132</f>
        <v>0</v>
      </c>
      <c r="HC132" s="521">
        <f t="shared" si="366"/>
        <v>0</v>
      </c>
      <c r="HD132" s="535">
        <f t="shared" si="367"/>
        <v>2166.3998005743033</v>
      </c>
      <c r="HE132" s="535">
        <f t="shared" si="277"/>
        <v>706.12770553269343</v>
      </c>
      <c r="HF132" s="535"/>
      <c r="HG132" s="535">
        <f t="shared" si="274"/>
        <v>0</v>
      </c>
      <c r="HH132" s="535" t="str">
        <f t="shared" si="275"/>
        <v/>
      </c>
      <c r="HI132" s="535">
        <f>IF(GK132="P",Lookup!$N$12,IF(GK132="PP",Lookup!$N$13,IF(GK132="PPP",Lookup!$N$14,IF(GK132="T",Lookup!$N$15,IF(GK132="TP",Lookup!$N$16,IF(GK132="TPP",Lookup!$N$17,IF(GK132="TPPP",Lookup!$N$18,0)))))))*GJ132</f>
        <v>0</v>
      </c>
      <c r="HJ132" s="521">
        <f t="shared" si="368"/>
        <v>0</v>
      </c>
      <c r="HK132" s="535">
        <f t="shared" si="369"/>
        <v>1396.8199809422451</v>
      </c>
      <c r="HL132" s="535">
        <f t="shared" si="278"/>
        <v>455.28682560047105</v>
      </c>
      <c r="HM132" s="535"/>
      <c r="HN132" s="541"/>
      <c r="HO132" s="541"/>
      <c r="HP132" s="541"/>
      <c r="HQ132" s="541">
        <f>IF(AND(B132&gt;=$FV$4,B132&lt;=$FW$4),MAX(110/1.02+$HQ$6+MIN(113/1.02,G132),IF($HV$6-(Sheet1!DA130-Sheet1!DB130)+MIN(113/1.02,G132)&lt;G132+FL132,$HV$6-(Sheet1!DA130-Sheet1!DB130)+MIN(113/1.02,G132),G132+FL132)),MIN(110/1.02+$HQ$6+113/1.02,G132))</f>
        <v>218.62745098039215</v>
      </c>
      <c r="HR132" s="541">
        <f t="shared" si="297"/>
        <v>223</v>
      </c>
      <c r="HS132" s="541">
        <f>HR132+(Sheet1!DA130-Sheet1!DB130)</f>
        <v>833</v>
      </c>
      <c r="HT132" s="541">
        <f t="shared" si="298"/>
        <v>61.38496</v>
      </c>
      <c r="HU132" s="541">
        <f t="shared" si="299"/>
        <v>771.61504000000002</v>
      </c>
      <c r="HV132" s="541">
        <f t="shared" si="300"/>
        <v>0</v>
      </c>
      <c r="HW132" s="533" t="str">
        <f t="shared" si="301"/>
        <v/>
      </c>
      <c r="HX132" s="541">
        <f t="shared" si="302"/>
        <v>1661.372549019608</v>
      </c>
      <c r="HY132" s="541">
        <f>Sheet1!CZ130</f>
        <v>1880</v>
      </c>
      <c r="HZ132" s="541">
        <f t="shared" si="303"/>
        <v>0</v>
      </c>
      <c r="IA132" s="541">
        <f t="shared" si="304"/>
        <v>61.38496</v>
      </c>
      <c r="IB132" s="541">
        <f t="shared" si="305"/>
        <v>1880</v>
      </c>
      <c r="IC132" s="1019" t="str">
        <f t="shared" si="306"/>
        <v/>
      </c>
      <c r="ID132" s="541">
        <f t="shared" si="307"/>
        <v>1818.6150399999999</v>
      </c>
      <c r="IE132" s="541">
        <f>Sheet1!DB130</f>
        <v>1790</v>
      </c>
      <c r="IF132" s="533">
        <f>Sheet1!DA130</f>
        <v>2400</v>
      </c>
      <c r="IH132" s="541">
        <f>IF(AND($B132&gt;=$GC132,$B132&lt;=$GH132,$DR132&lt;0)+N("only adjusted when pool is drawn down during storage season"),Sheet1!$DB130+$DR132+N("Palmer minus all storage release"),Sheet1!$DB130)</f>
        <v>1790</v>
      </c>
      <c r="II132" s="541">
        <f>IF(AND($B132&gt;=$GC132,$B132&lt;=$GH132,$DR132&lt;0)+N("only adjusted when pool is drawn down during storage season"),Sheet1!$DA130+$DR132+N("Auburn minus all storage release"),Sheet1!$DA130)</f>
        <v>2400</v>
      </c>
    </row>
    <row r="133" spans="1:243" x14ac:dyDescent="0.25">
      <c r="A133" s="553" t="s">
        <v>5</v>
      </c>
      <c r="B133" s="531">
        <v>42857</v>
      </c>
      <c r="C133" s="536">
        <v>0</v>
      </c>
      <c r="D133" s="506">
        <f t="shared" si="247"/>
        <v>300</v>
      </c>
      <c r="E133" s="506">
        <f t="shared" si="248"/>
        <v>250</v>
      </c>
      <c r="F133" s="506">
        <v>250</v>
      </c>
      <c r="G133" s="535">
        <f>DR133+Sheet1!CZ131</f>
        <v>2002.0030257182486</v>
      </c>
      <c r="H133" s="1074">
        <f t="shared" si="370"/>
        <v>1008.7010010239999</v>
      </c>
      <c r="I133" s="534">
        <f>IF(Sheet1!DA131&gt;=E133,(Sheet1!DA131-E133+P133)*CFStoMGD,0)</f>
        <v>1443.7282010239999</v>
      </c>
      <c r="J133" s="995">
        <f>IF(Sheet1!DB131&gt;=D133,(Sheet1!DB131-D133+P133)*CFStoMGD,0)</f>
        <v>1008.7010010239999</v>
      </c>
      <c r="K133" s="818">
        <f t="shared" si="282"/>
        <v>64.64</v>
      </c>
      <c r="L133" s="535">
        <f>Sheet1!AA131+Sheet1!AB131-Sheet1!L131+(Sheet1!DA131-F133)*CFStoMGD-S133-T133-U133</f>
        <v>1379.0891999999999</v>
      </c>
      <c r="M133" s="535">
        <f t="shared" si="309"/>
        <v>1319.9766509407614</v>
      </c>
      <c r="N133" s="824">
        <f>IF(Sheet1!DA131&gt;=F133,MIN(113*CFStoMGD,MIN(MAX(L133,0),MAX(M133,0))),0)</f>
        <v>73.043199999999999</v>
      </c>
      <c r="O133" s="538">
        <f>Sheet1!AA131+Sheet1!AB131</f>
        <v>52.03</v>
      </c>
      <c r="P133" s="538">
        <f t="shared" si="310"/>
        <v>80.490409999999997</v>
      </c>
      <c r="Q133" s="812">
        <f t="shared" si="283"/>
        <v>41.03</v>
      </c>
      <c r="R133" s="812">
        <f t="shared" si="249"/>
        <v>10.970943396226415</v>
      </c>
      <c r="S133" s="812">
        <f t="shared" si="250"/>
        <v>11</v>
      </c>
      <c r="T133" s="812">
        <f t="shared" si="251"/>
        <v>53.64</v>
      </c>
      <c r="U133" s="812">
        <f t="shared" si="284"/>
        <v>0</v>
      </c>
      <c r="V133" s="812"/>
      <c r="W133" s="812">
        <f t="shared" si="252"/>
        <v>53.669056603773583</v>
      </c>
      <c r="X133" s="812">
        <f t="shared" si="253"/>
        <v>64.64</v>
      </c>
      <c r="Y133" s="812" t="str">
        <f t="shared" si="254"/>
        <v>FALSE</v>
      </c>
      <c r="Z133" s="812">
        <f t="shared" si="255"/>
        <v>52.03</v>
      </c>
      <c r="AA133" s="812">
        <f t="shared" si="256"/>
        <v>52.03</v>
      </c>
      <c r="AB133" s="1059">
        <f t="shared" si="285"/>
        <v>63.473410000000001</v>
      </c>
      <c r="AC133" s="538">
        <f>Sheet1!Y131*MGDtoCFS</f>
        <v>39.603200000000001</v>
      </c>
      <c r="AD133" s="538">
        <f>Sheet1!Z131*MGDtoCFS</f>
        <v>38.520299999999999</v>
      </c>
      <c r="AE133" s="538">
        <f>Sheet1!AA131*MGDtoCFS</f>
        <v>39.603200000000001</v>
      </c>
      <c r="AF133" s="538">
        <f>Sheet1!AB131*MGDtoCFS</f>
        <v>40.887209999999996</v>
      </c>
      <c r="AG133" s="538">
        <f>Sheet1!L131*MGDtoCFS</f>
        <v>0</v>
      </c>
      <c r="AH133" s="521">
        <f t="shared" si="311"/>
        <v>0</v>
      </c>
      <c r="AI133" s="1059">
        <f t="shared" si="312"/>
        <v>0</v>
      </c>
      <c r="AJ133" s="535">
        <f t="shared" si="313"/>
        <v>53.669056603773583</v>
      </c>
      <c r="AK133" s="535">
        <f t="shared" si="314"/>
        <v>83.026030566037733</v>
      </c>
      <c r="AL133" s="535">
        <f>(VLOOKUP(Sheet1!DC131,hhdcap_wcm,4)-(((VLOOKUP(Sheet1!DC131,hhdcap_wcm,3)-Sheet1!DC131)/(VLOOKUP(Sheet1!DC131,hhdcap_wcm,3)-VLOOKUP(Sheet1!DC131,hhdcap_wcm,1)))*(VLOOKUP(Sheet1!DC131,hhdcap_wcm,4)-VLOOKUP(Sheet1!DC131,hhdcap_wcm,2))))</f>
        <v>36246.400000090645</v>
      </c>
      <c r="AM133" s="535">
        <f t="shared" si="315"/>
        <v>233.99999999928696</v>
      </c>
      <c r="AN133" s="1035">
        <f t="shared" si="316"/>
        <v>4101.3657640696392</v>
      </c>
      <c r="AO133" s="535">
        <f t="shared" si="317"/>
        <v>12582.990164165654</v>
      </c>
      <c r="AP133" s="535">
        <f>Sheet1!BA131+Sheet1!BB131+Sheet1!BN131+CD133</f>
        <v>15.5</v>
      </c>
      <c r="AQ133" s="535">
        <f>Sheet1!BN131+(DO133*Sheet1!BN131)</f>
        <v>15.459056603773584</v>
      </c>
      <c r="AR133" s="535">
        <f>Sheet1!BA131+CD133</f>
        <v>0</v>
      </c>
      <c r="AS133" s="535">
        <f>Sheet1!BA131+Sheet1!BB131+CD133</f>
        <v>0</v>
      </c>
      <c r="AT133" s="649">
        <f>0</f>
        <v>0</v>
      </c>
      <c r="AU133" s="535">
        <f>IF(EB133&lt;K133,0,MAX(Sheet1!AA131+AQ133-15/36*K133-N133,Sheet1!EH131,0))</f>
        <v>0</v>
      </c>
      <c r="AV133" s="535">
        <f>IF(OR(B133&gt;=GD133,B133&lt;GC133),0,15/36*K133-MAX(0,64.6-(137.6-(Sheet1!AA131+Sheet1!AB131))))</f>
        <v>26.933333333333334</v>
      </c>
      <c r="AW133" s="1029"/>
      <c r="AX133" s="649"/>
      <c r="AY133" s="649">
        <f t="shared" si="286"/>
        <v>0</v>
      </c>
      <c r="AZ133" s="649">
        <f t="shared" si="287"/>
        <v>0</v>
      </c>
      <c r="BA133" s="1059">
        <f t="shared" si="288"/>
        <v>0</v>
      </c>
      <c r="BB133" s="1019">
        <f t="shared" si="318"/>
        <v>2046.9333333333345</v>
      </c>
      <c r="BC133" s="1041">
        <f t="shared" si="289"/>
        <v>26.933333333333334</v>
      </c>
      <c r="BD133" s="1019">
        <f ca="1">IF(B133&gt;Summary!$A$1,#N/A,BB133*MGtoAF)</f>
        <v>6279.99146666667</v>
      </c>
      <c r="BE133" s="535">
        <f>Sheet1!BG131+Sheet1!BH131+Sheet1!BI131-BM133</f>
        <v>1.01</v>
      </c>
      <c r="BF133" s="535">
        <f t="shared" si="319"/>
        <v>1.0073320754716981</v>
      </c>
      <c r="BG133" s="535">
        <f>IF(Sheet1!EP131="FM",BM133,0)</f>
        <v>0</v>
      </c>
      <c r="BH133" s="535">
        <f t="shared" si="320"/>
        <v>0</v>
      </c>
      <c r="BI133" s="535">
        <f>IF(Sheet1!EP131="OTHER",BM133,0)</f>
        <v>0</v>
      </c>
      <c r="BJ133" s="535">
        <f t="shared" si="321"/>
        <v>0</v>
      </c>
      <c r="BK133" s="535">
        <f t="shared" si="322"/>
        <v>1.01</v>
      </c>
      <c r="BL133" s="535">
        <f t="shared" si="323"/>
        <v>1.0073320754716981</v>
      </c>
      <c r="BM133" s="535">
        <f>IF(OR(Sheet1!EP131="FM", Sheet1!EP131="OTHER"),SUM(Sheet1!BG131:'Sheet1'!BI131),0)</f>
        <v>0</v>
      </c>
      <c r="BN133" s="521">
        <f>IF(AND($B133&gt;=$FV133,$B133&lt;=$FW133),MAX(BF133,Sheet1!EI131,0),MAX(BF133-(7/36)*$K133,0))</f>
        <v>0</v>
      </c>
      <c r="BO133" s="535">
        <f t="shared" si="324"/>
        <v>11.561556813417191</v>
      </c>
      <c r="BP133" s="521">
        <f t="shared" si="325"/>
        <v>1.0073320754716981</v>
      </c>
      <c r="BQ133" s="521">
        <f>IF(AND($O133&gt;0,Sheet1!EM131=1),(1-($O133-Sheet1!$L131)/$O133)*BL133,0)</f>
        <v>0</v>
      </c>
      <c r="BR133" s="521">
        <f>IF(AND(Sheet1!$L131=0,Sheet1!$L130=0, Calculation!BK133&lt;Sheet1!$EI131-0.1,Sheet1!$EI131=Sheet1!$EI130,Sheet1!$EI131=Sheet1!$EI132),BL133-BQ133,BL133-BQ133)</f>
        <v>1.0073320754716981</v>
      </c>
      <c r="BS133" s="1035" t="str">
        <f t="shared" si="290"/>
        <v/>
      </c>
      <c r="BT133" s="1035">
        <f t="shared" si="291"/>
        <v>12.568888888888889</v>
      </c>
      <c r="BU133" s="535">
        <f t="shared" si="326"/>
        <v>877.84373314611696</v>
      </c>
      <c r="BV133" s="535"/>
      <c r="BW133" s="535">
        <f ca="1">IF(B133&gt;Summary!$A$1,#N/A,BU133*MGtoAF)</f>
        <v>2693.224573292287</v>
      </c>
      <c r="BX133" s="535">
        <f>Sheet1!BC131+Sheet1!BD131+Sheet1!BE131+Sheet1!BF131-CG133-CH133</f>
        <v>3.5</v>
      </c>
      <c r="BY133" s="535">
        <f t="shared" si="327"/>
        <v>3.4907547169811322</v>
      </c>
      <c r="BZ133" s="535">
        <f>IF(Sheet1!EQ131="FM",CH133,0)</f>
        <v>0</v>
      </c>
      <c r="CA133" s="535">
        <f t="shared" si="328"/>
        <v>0</v>
      </c>
      <c r="CB133" s="535">
        <f>IF(Sheet1!EQ131="OTHER",CH133,0)</f>
        <v>0</v>
      </c>
      <c r="CC133" s="535">
        <f t="shared" si="329"/>
        <v>0</v>
      </c>
      <c r="CD133" s="535">
        <f t="shared" si="330"/>
        <v>0</v>
      </c>
      <c r="CE133" s="535">
        <f t="shared" si="331"/>
        <v>3.5</v>
      </c>
      <c r="CF133" s="535">
        <f t="shared" si="332"/>
        <v>3.4907547169811322</v>
      </c>
      <c r="CG133" s="535">
        <f>IF(Sheet1!EQ131="CWA",SUM(Sheet1!BC131:'Sheet1'!BF131),0)</f>
        <v>0</v>
      </c>
      <c r="CH133" s="535">
        <f>IF(OR(Sheet1!EQ131="FM", Sheet1!EQ131="OTHER"),SUM(Sheet1!BC131:'Sheet1'!BF131),0)</f>
        <v>0</v>
      </c>
      <c r="CI133" s="521">
        <f>IF(AND($B133&gt;=$FV133,$B133&lt;=$FW133),MAX(CF133,Sheet1!EJ131,0),MAX(CF133-(7/36)*$K133,0))</f>
        <v>0</v>
      </c>
      <c r="CJ133" s="535">
        <f t="shared" si="333"/>
        <v>9.078134171907756</v>
      </c>
      <c r="CK133" s="521">
        <f t="shared" si="334"/>
        <v>3.4907547169811322</v>
      </c>
      <c r="CL133" s="521">
        <f>IF(AND($O133&gt;0,Sheet1!EN131=1),(1-($O133-Sheet1!$L131)/$O133)*CF133,0)</f>
        <v>0</v>
      </c>
      <c r="CM133" s="521">
        <f>IF(AND(Sheet1!$L131=0,Sheet1!$L130=0, Calculation!CE133&lt;Sheet1!EJ131-0.1,Sheet1!EJ131=Sheet1!EJ130,Sheet1!EJ131=Sheet1!EJ132),CF133-CL133,CF133-CL133)</f>
        <v>3.4907547169811322</v>
      </c>
      <c r="CN133" s="1040" t="str">
        <f t="shared" si="292"/>
        <v/>
      </c>
      <c r="CO133" s="1035">
        <f t="shared" si="293"/>
        <v>12.568888888888889</v>
      </c>
      <c r="CP133" s="535">
        <f t="shared" si="335"/>
        <v>715.2058397046012</v>
      </c>
      <c r="CQ133" s="535"/>
      <c r="CR133" s="535">
        <f ca="1">IF(B133&gt;Summary!$A$1,#N/A,CP133*MGtoAF)</f>
        <v>2194.2515162137165</v>
      </c>
      <c r="CS133" s="535">
        <f>Sheet1!BK131+Sheet1!BL131+Sheet1!BM131-Sheet1!ER131-DA133</f>
        <v>6.49</v>
      </c>
      <c r="CT133" s="535">
        <f t="shared" si="336"/>
        <v>6.4728566037735851</v>
      </c>
      <c r="CU133" s="535">
        <f>IF(Sheet1!ER131="FM",DA133,0)</f>
        <v>0</v>
      </c>
      <c r="CV133" s="535">
        <f t="shared" si="337"/>
        <v>0</v>
      </c>
      <c r="CW133" s="535">
        <f>IF(Sheet1!ER131="OTHER",DA133,0)</f>
        <v>0</v>
      </c>
      <c r="CX133" s="535">
        <f t="shared" si="338"/>
        <v>0</v>
      </c>
      <c r="CY133" s="535">
        <f t="shared" si="339"/>
        <v>6.49</v>
      </c>
      <c r="CZ133" s="535">
        <f t="shared" si="340"/>
        <v>6.4728566037735851</v>
      </c>
      <c r="DA133" s="535">
        <f>IF(OR(Sheet1!ER131="FM", Sheet1!ER131="OTHER"),SUM(Sheet1!BK131:'Sheet1'!BM131),0)</f>
        <v>0</v>
      </c>
      <c r="DB133" s="1011">
        <f>IF(AND($B133&gt;=$FV133,$B133&lt;=$FW133),MAX($CT133,Sheet1!EK131,0),MAX($CT133-(7/36)*$K133,0))</f>
        <v>0</v>
      </c>
      <c r="DC133" s="1012">
        <f t="shared" si="341"/>
        <v>6.0960322851153039</v>
      </c>
      <c r="DD133" s="1011">
        <f t="shared" si="342"/>
        <v>6.4728566037735851</v>
      </c>
      <c r="DE133" s="521">
        <f>IF(AND($O133&gt;0,Sheet1!EO131=1),(1-($O133-Sheet1!$L131)/$O133)*CZ133,0)</f>
        <v>0</v>
      </c>
      <c r="DF133" s="521">
        <f>IF(AND(Sheet1!$L131=0,Sheet1!$L130=0, Calculation!CY133&lt;Sheet1!$EK131-0.1,Sheet1!$EK131=Sheet1!$EK130,Sheet1!$EK131=Sheet1!$EK132),CZ133-DE133,CZ133-DE133)</f>
        <v>6.4728566037735851</v>
      </c>
      <c r="DG133" s="1040">
        <f t="shared" si="294"/>
        <v>12.568888888888889</v>
      </c>
      <c r="DH133" s="649">
        <f t="shared" si="343"/>
        <v>11</v>
      </c>
      <c r="DI133" s="535">
        <f t="shared" si="344"/>
        <v>461.38285788558636</v>
      </c>
      <c r="DJ133" s="649">
        <f t="shared" si="345"/>
        <v>10.970943396226415</v>
      </c>
      <c r="DK133" s="535">
        <f ca="1">IF(B133&gt;Summary!$A$1,#N/A,DI133*MGtoAF)</f>
        <v>1415.5226079929789</v>
      </c>
      <c r="DL133" s="649">
        <f t="shared" si="346"/>
        <v>11</v>
      </c>
      <c r="DM133" s="535">
        <f t="shared" si="347"/>
        <v>26.5</v>
      </c>
      <c r="DN133" s="535">
        <f>Sheet1!AB131-DM133</f>
        <v>-7.0000000000000284E-2</v>
      </c>
      <c r="DO133" s="743">
        <f t="shared" si="348"/>
        <v>-2.6415094339622748E-3</v>
      </c>
      <c r="DP133" s="535">
        <f>(VLOOKUP(Sheet1!DC131,hhdcap_wcm,4)-(((VLOOKUP(Sheet1!DC131,hhdcap_wcm,3)-Sheet1!DC131)/(VLOOKUP(Sheet1!DC131,hhdcap_wcm,3)-VLOOKUP(Sheet1!DC131,hhdcap_wcm,1)))*(VLOOKUP(Sheet1!DC131,hhdcap_wcm,4)-VLOOKUP(Sheet1!DC131,hhdcap_wcm,2))))</f>
        <v>36246.400000090645</v>
      </c>
      <c r="DQ133" s="535">
        <f t="shared" si="349"/>
        <v>233.99999999928696</v>
      </c>
      <c r="DR133" s="535">
        <f t="shared" si="350"/>
        <v>118.00302571824858</v>
      </c>
      <c r="DS133" s="535">
        <f>Sheet1!EA131*AFtoMG</f>
        <v>0</v>
      </c>
      <c r="DT133" s="535">
        <f>Sheet1!EB131*AFtoMG</f>
        <v>0</v>
      </c>
      <c r="DU133" s="535">
        <f>Sheet1!EC131*AFtoMG</f>
        <v>0</v>
      </c>
      <c r="DV133" s="535">
        <f>Sheet1!ED131*AFtoMG</f>
        <v>0</v>
      </c>
      <c r="DW133" s="535">
        <f t="shared" si="351"/>
        <v>0</v>
      </c>
      <c r="DX133" s="535">
        <f t="shared" si="352"/>
        <v>0</v>
      </c>
      <c r="DY133" s="535">
        <f t="shared" si="353"/>
        <v>4101.3657640696392</v>
      </c>
      <c r="DZ133" s="535">
        <f t="shared" si="354"/>
        <v>12582.990164165654</v>
      </c>
      <c r="EA133" s="535"/>
      <c r="EB133" s="521">
        <f>IF(OR(B133&lt;FV133,B133&gt;FW133),(MIN(BF133+BY133+CT133+MAX(Sheet1!AA131+AQ133-73,0),K133)),0)</f>
        <v>10.970943396226415</v>
      </c>
      <c r="EC133" s="535"/>
      <c r="ED133" s="535">
        <f t="shared" si="355"/>
        <v>10.970943396226415</v>
      </c>
      <c r="EE133" s="535"/>
      <c r="EF133" s="535">
        <f>Sheet1!EH131+Sheet1!EI131+Sheet1!EJ131+Sheet1!EK131</f>
        <v>11</v>
      </c>
      <c r="EG133" s="1019">
        <f t="shared" si="295"/>
        <v>17.016999999999999</v>
      </c>
      <c r="EH133" s="521">
        <f t="shared" si="356"/>
        <v>0</v>
      </c>
      <c r="EI133" s="535">
        <f>IF(Sheet1!ET131=1,SUM('Calculations II'!AT133:BA133)+'Calculations II'!BC133+Sheet1!BV131+'Calculations II'!BE133+AP133,'Calculations II'!BK133)</f>
        <v>44.004422603773584</v>
      </c>
      <c r="EJ133" s="535">
        <f ca="1">EI133+'Calculations II'!D133+'Calculations II'!E133+'Calculations II'!O133</f>
        <v>43.886331124266334</v>
      </c>
      <c r="EK133" s="535"/>
      <c r="EL133" s="535"/>
      <c r="EM133" s="535">
        <f t="shared" si="357"/>
        <v>42857</v>
      </c>
      <c r="EN133" s="535">
        <f t="shared" si="358"/>
        <v>53.669056603773583</v>
      </c>
      <c r="EO133" s="535">
        <f t="shared" si="359"/>
        <v>83.026030566037733</v>
      </c>
      <c r="EP133" s="535">
        <v>0</v>
      </c>
      <c r="EQ133" s="535">
        <v>0</v>
      </c>
      <c r="ER133" s="535">
        <v>0</v>
      </c>
      <c r="ES133" s="521">
        <f t="shared" si="257"/>
        <v>-1.2456709813045561</v>
      </c>
      <c r="ET133" s="535">
        <f>-(VLOOKUP(Sheet1!BQ131,Lookup!$O$4:$Q$262,2)-VLOOKUP(Sheet1!BQ130,Lookup!$O$4:$Q$262,2))/1000000</f>
        <v>-1.2456709813045561</v>
      </c>
      <c r="EU133" s="535">
        <f>-(VLOOKUP(Sheet1!BR131,Lookup!$O$4:$Q$262,3)-VLOOKUP(Sheet1!BR130,Lookup!$O$4:$Q$262,3))/1000000</f>
        <v>0</v>
      </c>
      <c r="EV133" s="535"/>
      <c r="EW133" s="535"/>
      <c r="EX133" s="535"/>
      <c r="EY133" s="535"/>
      <c r="EZ133" s="535"/>
      <c r="FA133" s="535"/>
      <c r="FB133" s="535"/>
      <c r="FC133" s="535"/>
      <c r="FD133" s="567" t="e">
        <f t="shared" si="360"/>
        <v>#N/A</v>
      </c>
      <c r="FE133" s="567" t="e">
        <f t="shared" si="361"/>
        <v>#N/A</v>
      </c>
      <c r="FF133" s="568" t="e">
        <f t="shared" si="362"/>
        <v>#N/A</v>
      </c>
      <c r="FG133" s="569" t="s">
        <v>656</v>
      </c>
      <c r="FH133" s="569" t="s">
        <v>656</v>
      </c>
      <c r="FI133" s="567" t="e">
        <v>#N/A</v>
      </c>
      <c r="FJ133" s="567" t="e">
        <v>#N/A</v>
      </c>
      <c r="FK133" s="535"/>
      <c r="FL133" s="1015">
        <v>0</v>
      </c>
      <c r="FM133" s="535"/>
      <c r="FN133" s="535"/>
      <c r="FO133" s="535">
        <f>O133+((Sheet1!CS131)*GPMtoMGD)</f>
        <v>57.067840000000004</v>
      </c>
      <c r="FP133" s="535">
        <f>IF(Sheet1!AA131+AQ133&lt;=Calculation!N133,AQ133,Calculation!N133-Sheet1!AA131)</f>
        <v>15.459056603773584</v>
      </c>
      <c r="FQ133" s="535">
        <f>(Sheet1!BP131+Sheet1!BO131)/694.4</f>
        <v>1.6244239631336406</v>
      </c>
      <c r="FR133" s="541"/>
      <c r="FS133" s="541"/>
      <c r="FT133" s="541"/>
      <c r="FU133" s="541"/>
      <c r="FV133" s="1109">
        <f t="shared" si="258"/>
        <v>42918</v>
      </c>
      <c r="FW133" s="1109">
        <f t="shared" si="259"/>
        <v>43027</v>
      </c>
      <c r="FX133" s="541"/>
      <c r="FY133" s="541">
        <f>Sheet1!DA131-Sheet1!CZ131-Sheet1!AE131</f>
        <v>438.50959</v>
      </c>
      <c r="FZ133" s="535">
        <f t="shared" si="296"/>
        <v>0.21903542820205185</v>
      </c>
      <c r="GA133" s="535"/>
      <c r="GB133" s="535" t="str">
        <f t="shared" si="260"/>
        <v>n</v>
      </c>
      <c r="GC133" s="539">
        <f t="shared" si="261"/>
        <v>42782</v>
      </c>
      <c r="GD133" s="1109">
        <f t="shared" si="262"/>
        <v>42904</v>
      </c>
      <c r="GE133" s="535">
        <f t="shared" si="280"/>
        <v>6520</v>
      </c>
      <c r="GF133" s="1109">
        <f t="shared" si="263"/>
        <v>42909</v>
      </c>
      <c r="GG133" s="535">
        <f t="shared" si="308"/>
        <v>3260</v>
      </c>
      <c r="GH133" s="539">
        <f t="shared" si="264"/>
        <v>43040</v>
      </c>
      <c r="GJ133" s="521">
        <f t="shared" si="265"/>
        <v>0</v>
      </c>
      <c r="GK133" s="535" t="str">
        <f t="shared" si="363"/>
        <v/>
      </c>
      <c r="GL133" s="535">
        <f t="shared" si="266"/>
        <v>0</v>
      </c>
      <c r="GM133" s="535" t="str">
        <f t="shared" si="267"/>
        <v/>
      </c>
      <c r="GN133" s="535">
        <f>IF(GK133="P",Lookup!$M$12,IF(GK133="PP",Lookup!$M$13,IF(GK133="PPP",Lookup!$M$14,IF(GK133="T",Lookup!$M$15,IF(GK133="TP",Lookup!$M$16,IF(GK133="TPP",Lookup!$M$17,IF(GK133="TPPP",Lookup!$M$18,0)))))))*GJ133</f>
        <v>0</v>
      </c>
      <c r="GO133" s="535">
        <f t="shared" si="268"/>
        <v>0</v>
      </c>
      <c r="GP133" s="535">
        <f t="shared" si="364"/>
        <v>6279.99146666667</v>
      </c>
      <c r="GQ133" s="535">
        <f t="shared" si="279"/>
        <v>2046.9333333333345</v>
      </c>
      <c r="GR133" s="535"/>
      <c r="GS133" s="535">
        <f t="shared" si="269"/>
        <v>0</v>
      </c>
      <c r="GT133" s="535" t="str">
        <f t="shared" si="270"/>
        <v/>
      </c>
      <c r="GU133" s="535">
        <f>IF(GK133="P",Lookup!$N$12,IF(GK133="PP",Lookup!$N$13,IF(GK133="PPP",Lookup!$N$14,IF(GK133="T",Lookup!$N$15,IF(GK133="TP",Lookup!$N$16,IF(GK133="TPP",Lookup!$N$17,IF(GK133="TPPP",Lookup!$N$18,0)))))))*GJ133</f>
        <v>0</v>
      </c>
      <c r="GV133" s="535">
        <f t="shared" si="271"/>
        <v>0</v>
      </c>
      <c r="GW133" s="535">
        <f t="shared" si="365"/>
        <v>2693.224573292287</v>
      </c>
      <c r="GX133" s="535">
        <f t="shared" si="276"/>
        <v>877.84373314611696</v>
      </c>
      <c r="GY133" s="535"/>
      <c r="GZ133" s="535">
        <f t="shared" si="272"/>
        <v>0</v>
      </c>
      <c r="HA133" s="535" t="str">
        <f t="shared" si="273"/>
        <v/>
      </c>
      <c r="HB133" s="535">
        <f>IF(GK133="P",Lookup!$N$12,IF(GK133="PP",Lookup!$N$13,IF(GK133="PPP",Lookup!$N$14,IF(GK133="T",Lookup!$N$15,IF(GK133="TP",Lookup!$N$16,IF(GK133="TPP",Lookup!$N$17,IF(GK133="TPPP",Lookup!$N$18,0)))))))*GJ133</f>
        <v>0</v>
      </c>
      <c r="HC133" s="521">
        <f t="shared" si="366"/>
        <v>0</v>
      </c>
      <c r="HD133" s="535">
        <f t="shared" si="367"/>
        <v>2194.2515162137165</v>
      </c>
      <c r="HE133" s="535">
        <f t="shared" si="277"/>
        <v>715.2058397046012</v>
      </c>
      <c r="HF133" s="535"/>
      <c r="HG133" s="535">
        <f t="shared" si="274"/>
        <v>0</v>
      </c>
      <c r="HH133" s="535" t="str">
        <f t="shared" si="275"/>
        <v/>
      </c>
      <c r="HI133" s="535">
        <f>IF(GK133="P",Lookup!$N$12,IF(GK133="PP",Lookup!$N$13,IF(GK133="PPP",Lookup!$N$14,IF(GK133="T",Lookup!$N$15,IF(GK133="TP",Lookup!$N$16,IF(GK133="TPP",Lookup!$N$17,IF(GK133="TPPP",Lookup!$N$18,0)))))))*GJ133</f>
        <v>0</v>
      </c>
      <c r="HJ133" s="521">
        <f t="shared" si="368"/>
        <v>0</v>
      </c>
      <c r="HK133" s="535">
        <f t="shared" si="369"/>
        <v>1415.5226079929789</v>
      </c>
      <c r="HL133" s="535">
        <f t="shared" si="278"/>
        <v>461.38285788558636</v>
      </c>
      <c r="HM133" s="535"/>
      <c r="HN133" s="541"/>
      <c r="HO133" s="541"/>
      <c r="HP133" s="541"/>
      <c r="HQ133" s="541">
        <f>IF(AND(B133&gt;=$FV$4,B133&lt;=$FW$4),MAX(110/1.02+$HQ$6+MIN(113/1.02,G133),IF($HV$6-(Sheet1!DA131-Sheet1!DB131)+MIN(113/1.02,G133)&lt;G133+FL133,$HV$6-(Sheet1!DA131-Sheet1!DB131)+MIN(113/1.02,G133),G133+FL133)),MIN(110/1.02+$HQ$6+113/1.02,G133))</f>
        <v>218.62745098039215</v>
      </c>
      <c r="HR133" s="541">
        <f t="shared" si="297"/>
        <v>223</v>
      </c>
      <c r="HS133" s="541">
        <f>HR133+(Sheet1!DA131-Sheet1!DB131)</f>
        <v>846</v>
      </c>
      <c r="HT133" s="541">
        <f t="shared" si="298"/>
        <v>63.473410000000001</v>
      </c>
      <c r="HU133" s="541">
        <f t="shared" si="299"/>
        <v>782.52658999999994</v>
      </c>
      <c r="HV133" s="541">
        <f t="shared" si="300"/>
        <v>0</v>
      </c>
      <c r="HW133" s="533" t="str">
        <f t="shared" si="301"/>
        <v/>
      </c>
      <c r="HX133" s="541">
        <f t="shared" si="302"/>
        <v>1665.372549019608</v>
      </c>
      <c r="HY133" s="541">
        <f>Sheet1!CZ131</f>
        <v>1884</v>
      </c>
      <c r="HZ133" s="541">
        <f t="shared" si="303"/>
        <v>0</v>
      </c>
      <c r="IA133" s="541">
        <f t="shared" si="304"/>
        <v>63.473410000000001</v>
      </c>
      <c r="IB133" s="541">
        <f t="shared" si="305"/>
        <v>1884</v>
      </c>
      <c r="IC133" s="1019" t="str">
        <f t="shared" si="306"/>
        <v/>
      </c>
      <c r="ID133" s="541">
        <f t="shared" si="307"/>
        <v>1820.5265899999999</v>
      </c>
      <c r="IE133" s="541">
        <f>Sheet1!DB131</f>
        <v>1780</v>
      </c>
      <c r="IF133" s="533">
        <f>Sheet1!DA131</f>
        <v>2403</v>
      </c>
      <c r="IH133" s="541">
        <f>IF(AND($B133&gt;=$GC133,$B133&lt;=$GH133,$DR133&lt;0)+N("only adjusted when pool is drawn down during storage season"),Sheet1!$DB131+$DR133+N("Palmer minus all storage release"),Sheet1!$DB131)</f>
        <v>1780</v>
      </c>
      <c r="II133" s="541">
        <f>IF(AND($B133&gt;=$GC133,$B133&lt;=$GH133,$DR133&lt;0)+N("only adjusted when pool is drawn down during storage season"),Sheet1!$DA131+$DR133+N("Auburn minus all storage release"),Sheet1!$DA131)</f>
        <v>2403</v>
      </c>
    </row>
    <row r="134" spans="1:243" x14ac:dyDescent="0.25">
      <c r="A134" s="553" t="s">
        <v>6</v>
      </c>
      <c r="B134" s="531">
        <v>42858</v>
      </c>
      <c r="C134" s="536">
        <v>0</v>
      </c>
      <c r="D134" s="506">
        <f t="shared" si="247"/>
        <v>300</v>
      </c>
      <c r="E134" s="506">
        <f t="shared" si="248"/>
        <v>250</v>
      </c>
      <c r="F134" s="506">
        <v>250</v>
      </c>
      <c r="G134" s="535">
        <f>DR134+Sheet1!CZ132</f>
        <v>2122.4306606162854</v>
      </c>
      <c r="H134" s="1074">
        <f t="shared" si="370"/>
        <v>1041.6609887359998</v>
      </c>
      <c r="I134" s="534">
        <f>IF(Sheet1!DA132&gt;=E134,(Sheet1!DA132-E134+P134)*CFStoMGD,0)</f>
        <v>1478.6273887359998</v>
      </c>
      <c r="J134" s="995">
        <f>IF(Sheet1!DB132&gt;=D134,(Sheet1!DB132-D134+P134)*CFStoMGD,0)</f>
        <v>1041.6609887359998</v>
      </c>
      <c r="K134" s="818">
        <f t="shared" si="282"/>
        <v>64.64</v>
      </c>
      <c r="L134" s="535">
        <f>Sheet1!AA132+Sheet1!AB132-Sheet1!L132+(Sheet1!DA132-F134)*CFStoMGD-S134-T134-U134</f>
        <v>1413.9884</v>
      </c>
      <c r="M134" s="535">
        <f t="shared" si="309"/>
        <v>1399.3779626028143</v>
      </c>
      <c r="N134" s="824">
        <f>IF(Sheet1!DA132&gt;=F134,MIN(113*CFStoMGD,MIN(MAX(L134,0),MAX(M134,0))),0)</f>
        <v>73.043199999999999</v>
      </c>
      <c r="O134" s="538">
        <f>Sheet1!AA132+Sheet1!AB132</f>
        <v>52.67</v>
      </c>
      <c r="P134" s="538">
        <f t="shared" si="310"/>
        <v>81.480490000000003</v>
      </c>
      <c r="Q134" s="812">
        <f t="shared" si="283"/>
        <v>41.69</v>
      </c>
      <c r="R134" s="812">
        <f t="shared" si="249"/>
        <v>10.975930318754632</v>
      </c>
      <c r="S134" s="812">
        <f t="shared" si="250"/>
        <v>10.98</v>
      </c>
      <c r="T134" s="812">
        <f t="shared" si="251"/>
        <v>53.66</v>
      </c>
      <c r="U134" s="812">
        <f t="shared" si="284"/>
        <v>0</v>
      </c>
      <c r="V134" s="812"/>
      <c r="W134" s="812">
        <f t="shared" si="252"/>
        <v>53.664069681245365</v>
      </c>
      <c r="X134" s="812">
        <f t="shared" si="253"/>
        <v>64.64</v>
      </c>
      <c r="Y134" s="812" t="str">
        <f t="shared" si="254"/>
        <v>FALSE</v>
      </c>
      <c r="Z134" s="812">
        <f t="shared" si="255"/>
        <v>52.67</v>
      </c>
      <c r="AA134" s="812">
        <f t="shared" si="256"/>
        <v>52.67</v>
      </c>
      <c r="AB134" s="1059">
        <f t="shared" si="285"/>
        <v>64.494429999999994</v>
      </c>
      <c r="AC134" s="538">
        <f>Sheet1!Y132*MGDtoCFS</f>
        <v>39.603200000000001</v>
      </c>
      <c r="AD134" s="538">
        <f>Sheet1!Z132*MGDtoCFS</f>
        <v>40.887209999999996</v>
      </c>
      <c r="AE134" s="538">
        <f>Sheet1!AA132*MGDtoCFS</f>
        <v>39.757899999999999</v>
      </c>
      <c r="AF134" s="538">
        <f>Sheet1!AB132*MGDtoCFS</f>
        <v>41.722589999999997</v>
      </c>
      <c r="AG134" s="538">
        <f>Sheet1!L132*MGDtoCFS</f>
        <v>0</v>
      </c>
      <c r="AH134" s="521">
        <f t="shared" si="311"/>
        <v>0</v>
      </c>
      <c r="AI134" s="1059">
        <f t="shared" si="312"/>
        <v>0</v>
      </c>
      <c r="AJ134" s="535">
        <f t="shared" si="313"/>
        <v>53.664069681245365</v>
      </c>
      <c r="AK134" s="535">
        <f t="shared" si="314"/>
        <v>83.018315796886583</v>
      </c>
      <c r="AL134" s="535">
        <f>(VLOOKUP(Sheet1!DC132,hhdcap_wcm,4)-(((VLOOKUP(Sheet1!DC132,hhdcap_wcm,3)-Sheet1!DC132)/(VLOOKUP(Sheet1!DC132,hhdcap_wcm,3)-VLOOKUP(Sheet1!DC132,hhdcap_wcm,1)))*(VLOOKUP(Sheet1!DC132,hhdcap_wcm,4)-VLOOKUP(Sheet1!DC132,hhdcap_wcm,2))))</f>
        <v>36568.500000092739</v>
      </c>
      <c r="AM134" s="535">
        <f t="shared" si="315"/>
        <v>322.10000000209402</v>
      </c>
      <c r="AN134" s="1035">
        <f t="shared" si="316"/>
        <v>4155.0298337508839</v>
      </c>
      <c r="AO134" s="535">
        <f t="shared" si="317"/>
        <v>12747.631529947712</v>
      </c>
      <c r="AP134" s="535">
        <f>Sheet1!BA132+Sheet1!BB132+Sheet1!BN132+CD134</f>
        <v>16</v>
      </c>
      <c r="AQ134" s="535">
        <f>Sheet1!BN132+(DO134*Sheet1!BN132)</f>
        <v>15.994069681245366</v>
      </c>
      <c r="AR134" s="535">
        <f>Sheet1!BA132+CD134</f>
        <v>0</v>
      </c>
      <c r="AS134" s="535">
        <f>Sheet1!BA132+Sheet1!BB132+CD134</f>
        <v>0</v>
      </c>
      <c r="AT134" s="649">
        <f>0</f>
        <v>0</v>
      </c>
      <c r="AU134" s="535">
        <f>IF(EB134&lt;K134,0,MAX(Sheet1!AA132+AQ134-15/36*K134-N134,Sheet1!EH132,0))</f>
        <v>0</v>
      </c>
      <c r="AV134" s="535">
        <f>IF(OR(B134&gt;=GD134,B134&lt;GC134),0,15/36*K134-MAX(0,64.6-(137.6-(Sheet1!AA132+Sheet1!AB132))))</f>
        <v>26.933333333333334</v>
      </c>
      <c r="AW134" s="1029"/>
      <c r="AX134" s="649"/>
      <c r="AY134" s="649">
        <f t="shared" si="286"/>
        <v>0</v>
      </c>
      <c r="AZ134" s="649">
        <f t="shared" si="287"/>
        <v>0</v>
      </c>
      <c r="BA134" s="1059">
        <f t="shared" si="288"/>
        <v>0</v>
      </c>
      <c r="BB134" s="1019">
        <f t="shared" si="318"/>
        <v>2073.8666666666677</v>
      </c>
      <c r="BC134" s="1041">
        <f t="shared" si="289"/>
        <v>26.933333333333334</v>
      </c>
      <c r="BD134" s="1019">
        <f ca="1">IF(B134&gt;Summary!$A$1,#N/A,BB134*MGtoAF)</f>
        <v>6362.6229333333367</v>
      </c>
      <c r="BE134" s="535">
        <f>Sheet1!BG132+Sheet1!BH132+Sheet1!BI132-BM134</f>
        <v>1</v>
      </c>
      <c r="BF134" s="535">
        <f t="shared" si="319"/>
        <v>0.99962935507783535</v>
      </c>
      <c r="BG134" s="535">
        <f>IF(Sheet1!EP132="FM",BM134,0)</f>
        <v>0</v>
      </c>
      <c r="BH134" s="535">
        <f t="shared" si="320"/>
        <v>0</v>
      </c>
      <c r="BI134" s="535">
        <f>IF(Sheet1!EP132="OTHER",BM134,0)</f>
        <v>0</v>
      </c>
      <c r="BJ134" s="535">
        <f t="shared" si="321"/>
        <v>0</v>
      </c>
      <c r="BK134" s="535">
        <f t="shared" si="322"/>
        <v>1</v>
      </c>
      <c r="BL134" s="535">
        <f t="shared" si="323"/>
        <v>0.99962935507783535</v>
      </c>
      <c r="BM134" s="535">
        <f>IF(OR(Sheet1!EP132="FM", Sheet1!EP132="OTHER"),SUM(Sheet1!BG132:'Sheet1'!BI132),0)</f>
        <v>0</v>
      </c>
      <c r="BN134" s="521">
        <f>IF(AND($B134&gt;=$FV134,$B134&lt;=$FW134),MAX(BF134,Sheet1!EI132,0),MAX(BF134-(7/36)*$K134,0))</f>
        <v>0</v>
      </c>
      <c r="BO134" s="535">
        <f t="shared" si="324"/>
        <v>11.569259533811053</v>
      </c>
      <c r="BP134" s="521">
        <f t="shared" si="325"/>
        <v>0.99962935507783535</v>
      </c>
      <c r="BQ134" s="521">
        <f>IF(AND($O134&gt;0,Sheet1!EM132=1),(1-($O134-Sheet1!$L132)/$O134)*BL134,0)</f>
        <v>0</v>
      </c>
      <c r="BR134" s="521">
        <f>IF(AND(Sheet1!$L132=0,Sheet1!$L131=0, Calculation!BK134&lt;Sheet1!$EI132-0.1,Sheet1!$EI132=Sheet1!$EI131,Sheet1!$EI132=Sheet1!$EI133),BL134-BQ134,BL134-BQ134)</f>
        <v>0.99962935507783535</v>
      </c>
      <c r="BS134" s="1035" t="str">
        <f t="shared" si="290"/>
        <v/>
      </c>
      <c r="BT134" s="1035">
        <f t="shared" si="291"/>
        <v>12.568888888888889</v>
      </c>
      <c r="BU134" s="535">
        <f t="shared" si="326"/>
        <v>889.41299267992804</v>
      </c>
      <c r="BV134" s="535"/>
      <c r="BW134" s="535">
        <f ca="1">IF(B134&gt;Summary!$A$1,#N/A,BU134*MGtoAF)</f>
        <v>2728.7190615420191</v>
      </c>
      <c r="BX134" s="535">
        <f>Sheet1!BC132+Sheet1!BD132+Sheet1!BE132+Sheet1!BF132-CG134-CH134</f>
        <v>3.5</v>
      </c>
      <c r="BY134" s="535">
        <f t="shared" si="327"/>
        <v>3.4987027427724238</v>
      </c>
      <c r="BZ134" s="535">
        <f>IF(Sheet1!EQ132="FM",CH134,0)</f>
        <v>0</v>
      </c>
      <c r="CA134" s="535">
        <f t="shared" si="328"/>
        <v>0</v>
      </c>
      <c r="CB134" s="535">
        <f>IF(Sheet1!EQ132="OTHER",CH134,0)</f>
        <v>0</v>
      </c>
      <c r="CC134" s="535">
        <f t="shared" si="329"/>
        <v>0</v>
      </c>
      <c r="CD134" s="535">
        <f t="shared" si="330"/>
        <v>0</v>
      </c>
      <c r="CE134" s="535">
        <f t="shared" si="331"/>
        <v>3.5</v>
      </c>
      <c r="CF134" s="535">
        <f t="shared" si="332"/>
        <v>3.4987027427724238</v>
      </c>
      <c r="CG134" s="535">
        <f>IF(Sheet1!EQ132="CWA",SUM(Sheet1!BC132:'Sheet1'!BF132),0)</f>
        <v>0</v>
      </c>
      <c r="CH134" s="535">
        <f>IF(OR(Sheet1!EQ132="FM", Sheet1!EQ132="OTHER"),SUM(Sheet1!BC132:'Sheet1'!BF132),0)</f>
        <v>0</v>
      </c>
      <c r="CI134" s="521">
        <f>IF(AND($B134&gt;=$FV134,$B134&lt;=$FW134),MAX(CF134,Sheet1!EJ132,0),MAX(CF134-(7/36)*$K134,0))</f>
        <v>0</v>
      </c>
      <c r="CJ134" s="535">
        <f t="shared" si="333"/>
        <v>9.0701861461164661</v>
      </c>
      <c r="CK134" s="521">
        <f t="shared" si="334"/>
        <v>3.4987027427724238</v>
      </c>
      <c r="CL134" s="521">
        <f>IF(AND($O134&gt;0,Sheet1!EN132=1),(1-($O134-Sheet1!$L132)/$O134)*CF134,0)</f>
        <v>0</v>
      </c>
      <c r="CM134" s="521">
        <f>IF(AND(Sheet1!$L132=0,Sheet1!$L131=0, Calculation!CE134&lt;Sheet1!EJ132-0.1,Sheet1!EJ132=Sheet1!EJ131,Sheet1!EJ132=Sheet1!EJ133),CF134-CL134,CF134-CL134)</f>
        <v>3.4987027427724238</v>
      </c>
      <c r="CN134" s="1040" t="str">
        <f t="shared" si="292"/>
        <v/>
      </c>
      <c r="CO134" s="1035">
        <f t="shared" si="293"/>
        <v>12.568888888888889</v>
      </c>
      <c r="CP134" s="535">
        <f t="shared" si="335"/>
        <v>724.2760258507177</v>
      </c>
      <c r="CQ134" s="535"/>
      <c r="CR134" s="535">
        <f ca="1">IF(B134&gt;Summary!$A$1,#N/A,CP134*MGtoAF)</f>
        <v>2222.0788473100019</v>
      </c>
      <c r="CS134" s="535">
        <f>Sheet1!BK132+Sheet1!BL132+Sheet1!BM132-Sheet1!ER132-DA134</f>
        <v>6.48</v>
      </c>
      <c r="CT134" s="535">
        <f t="shared" si="336"/>
        <v>6.4775982209043734</v>
      </c>
      <c r="CU134" s="535">
        <f>IF(Sheet1!ER132="FM",DA134,0)</f>
        <v>0</v>
      </c>
      <c r="CV134" s="535">
        <f t="shared" si="337"/>
        <v>0</v>
      </c>
      <c r="CW134" s="535">
        <f>IF(Sheet1!ER132="OTHER",DA134,0)</f>
        <v>0</v>
      </c>
      <c r="CX134" s="535">
        <f t="shared" si="338"/>
        <v>0</v>
      </c>
      <c r="CY134" s="535">
        <f t="shared" si="339"/>
        <v>6.48</v>
      </c>
      <c r="CZ134" s="535">
        <f t="shared" si="340"/>
        <v>6.4775982209043734</v>
      </c>
      <c r="DA134" s="535">
        <f>IF(OR(Sheet1!ER132="FM", Sheet1!ER132="OTHER"),SUM(Sheet1!BK132:'Sheet1'!BM132),0)</f>
        <v>0</v>
      </c>
      <c r="DB134" s="1011">
        <f>IF(AND($B134&gt;=$FV134,$B134&lt;=$FW134),MAX($CT134,Sheet1!EK132,0),MAX($CT134-(7/36)*$K134,0))</f>
        <v>0</v>
      </c>
      <c r="DC134" s="1012">
        <f t="shared" si="341"/>
        <v>6.0912906679845156</v>
      </c>
      <c r="DD134" s="1011">
        <f t="shared" si="342"/>
        <v>6.4775982209043734</v>
      </c>
      <c r="DE134" s="521">
        <f>IF(AND($O134&gt;0,Sheet1!EO132=1),(1-($O134-Sheet1!$L132)/$O134)*CZ134,0)</f>
        <v>0</v>
      </c>
      <c r="DF134" s="521">
        <f>IF(AND(Sheet1!$L132=0,Sheet1!$L131=0, Calculation!CY134&lt;Sheet1!$EK132-0.1,Sheet1!$EK132=Sheet1!$EK131,Sheet1!$EK132=Sheet1!$EK133),CZ134-DE134,CZ134-DE134)</f>
        <v>6.4775982209043734</v>
      </c>
      <c r="DG134" s="1040">
        <f t="shared" si="294"/>
        <v>12.568888888888889</v>
      </c>
      <c r="DH134" s="649">
        <f t="shared" si="343"/>
        <v>10.98</v>
      </c>
      <c r="DI134" s="535">
        <f t="shared" si="344"/>
        <v>467.4741485535709</v>
      </c>
      <c r="DJ134" s="649">
        <f t="shared" si="345"/>
        <v>10.975930318754632</v>
      </c>
      <c r="DK134" s="535">
        <f ca="1">IF(B134&gt;Summary!$A$1,#N/A,DI134*MGtoAF)</f>
        <v>1434.2106877623555</v>
      </c>
      <c r="DL134" s="649">
        <f t="shared" si="346"/>
        <v>10.98</v>
      </c>
      <c r="DM134" s="535">
        <f t="shared" si="347"/>
        <v>26.98</v>
      </c>
      <c r="DN134" s="535">
        <f>Sheet1!AB132-DM134</f>
        <v>-1.0000000000001563E-2</v>
      </c>
      <c r="DO134" s="743">
        <f t="shared" si="348"/>
        <v>-3.7064492216462428E-4</v>
      </c>
      <c r="DP134" s="535">
        <f>(VLOOKUP(Sheet1!DC132,hhdcap_wcm,4)-(((VLOOKUP(Sheet1!DC132,hhdcap_wcm,3)-Sheet1!DC132)/(VLOOKUP(Sheet1!DC132,hhdcap_wcm,3)-VLOOKUP(Sheet1!DC132,hhdcap_wcm,1)))*(VLOOKUP(Sheet1!DC132,hhdcap_wcm,4)-VLOOKUP(Sheet1!DC132,hhdcap_wcm,2))))</f>
        <v>36568.500000092739</v>
      </c>
      <c r="DQ134" s="535">
        <f t="shared" si="349"/>
        <v>322.10000000209402</v>
      </c>
      <c r="DR134" s="535">
        <f t="shared" si="350"/>
        <v>162.43066061628542</v>
      </c>
      <c r="DS134" s="535">
        <f>Sheet1!EA132*AFtoMG</f>
        <v>0</v>
      </c>
      <c r="DT134" s="535">
        <f>Sheet1!EB132*AFtoMG</f>
        <v>0</v>
      </c>
      <c r="DU134" s="535">
        <f>Sheet1!EC132*AFtoMG</f>
        <v>0</v>
      </c>
      <c r="DV134" s="535">
        <f>Sheet1!ED132*AFtoMG</f>
        <v>0</v>
      </c>
      <c r="DW134" s="535">
        <f t="shared" si="351"/>
        <v>0</v>
      </c>
      <c r="DX134" s="535">
        <f t="shared" si="352"/>
        <v>0</v>
      </c>
      <c r="DY134" s="535">
        <f t="shared" si="353"/>
        <v>4155.0298337508839</v>
      </c>
      <c r="DZ134" s="535">
        <f t="shared" si="354"/>
        <v>12747.631529947712</v>
      </c>
      <c r="EA134" s="535"/>
      <c r="EB134" s="521">
        <f>IF(OR(B134&lt;FV134,B134&gt;FW134),(MIN(BF134+BY134+CT134+MAX(Sheet1!AA132+AQ134-73,0),K134)),0)</f>
        <v>10.975930318754632</v>
      </c>
      <c r="EC134" s="535"/>
      <c r="ED134" s="535">
        <f t="shared" si="355"/>
        <v>10.975930318754632</v>
      </c>
      <c r="EE134" s="535"/>
      <c r="EF134" s="535">
        <f>Sheet1!EH132+Sheet1!EI132+Sheet1!EJ132+Sheet1!EK132</f>
        <v>11</v>
      </c>
      <c r="EG134" s="1019">
        <f t="shared" si="295"/>
        <v>17.016999999999999</v>
      </c>
      <c r="EH134" s="521">
        <f t="shared" si="356"/>
        <v>0</v>
      </c>
      <c r="EI134" s="535">
        <f>IF(Sheet1!ET132=1,SUM('Calculations II'!AT134:BA134)+'Calculations II'!BC134+Sheet1!BV132+'Calculations II'!BE134+AP134,'Calculations II'!BK134)</f>
        <v>45.170913681245366</v>
      </c>
      <c r="EJ134" s="535">
        <f ca="1">EI134+'Calculations II'!D134+'Calculations II'!E134+'Calculations II'!O134</f>
        <v>46.419242402400734</v>
      </c>
      <c r="EK134" s="535"/>
      <c r="EL134" s="535"/>
      <c r="EM134" s="535">
        <f t="shared" si="357"/>
        <v>42858</v>
      </c>
      <c r="EN134" s="535">
        <f t="shared" si="358"/>
        <v>53.664069681245365</v>
      </c>
      <c r="EO134" s="535">
        <f t="shared" si="359"/>
        <v>83.018315796886583</v>
      </c>
      <c r="EP134" s="535">
        <v>0</v>
      </c>
      <c r="EQ134" s="535">
        <v>0</v>
      </c>
      <c r="ER134" s="535">
        <v>0</v>
      </c>
      <c r="ES134" s="521">
        <f t="shared" si="257"/>
        <v>-1.246189960871011</v>
      </c>
      <c r="ET134" s="535">
        <f>-(VLOOKUP(Sheet1!BQ132,Lookup!$O$4:$Q$262,2)-VLOOKUP(Sheet1!BQ131,Lookup!$O$4:$Q$262,2))/1000000</f>
        <v>-1.246189960871011</v>
      </c>
      <c r="EU134" s="535">
        <f>-(VLOOKUP(Sheet1!BR132,Lookup!$O$4:$Q$262,3)-VLOOKUP(Sheet1!BR131,Lookup!$O$4:$Q$262,3))/1000000</f>
        <v>0</v>
      </c>
      <c r="EV134" s="535"/>
      <c r="EW134" s="535"/>
      <c r="EX134" s="535"/>
      <c r="EY134" s="535"/>
      <c r="EZ134" s="535"/>
      <c r="FA134" s="535"/>
      <c r="FB134" s="535"/>
      <c r="FC134" s="535"/>
      <c r="FD134" s="567" t="e">
        <f t="shared" si="360"/>
        <v>#N/A</v>
      </c>
      <c r="FE134" s="567" t="e">
        <f t="shared" si="361"/>
        <v>#N/A</v>
      </c>
      <c r="FF134" s="568" t="e">
        <f t="shared" si="362"/>
        <v>#N/A</v>
      </c>
      <c r="FG134" s="569" t="s">
        <v>656</v>
      </c>
      <c r="FH134" s="569" t="s">
        <v>656</v>
      </c>
      <c r="FI134" s="567" t="e">
        <v>#N/A</v>
      </c>
      <c r="FJ134" s="567" t="e">
        <v>#N/A</v>
      </c>
      <c r="FK134" s="535"/>
      <c r="FL134" s="1015">
        <v>0</v>
      </c>
      <c r="FM134" s="535"/>
      <c r="FN134" s="535"/>
      <c r="FO134" s="535">
        <f>O134+((Sheet1!CS132)*GPMtoMGD)</f>
        <v>57.704239999999999</v>
      </c>
      <c r="FP134" s="535">
        <f>IF(Sheet1!AA132+AQ134&lt;=Calculation!N134,AQ134,Calculation!N134-Sheet1!AA132)</f>
        <v>15.994069681245366</v>
      </c>
      <c r="FQ134" s="535">
        <f>(Sheet1!BP132+Sheet1!BO132)/694.4</f>
        <v>1.5476670506912444</v>
      </c>
      <c r="FR134" s="541"/>
      <c r="FS134" s="541"/>
      <c r="FT134" s="541"/>
      <c r="FU134" s="541"/>
      <c r="FV134" s="1109">
        <f t="shared" si="258"/>
        <v>42918</v>
      </c>
      <c r="FW134" s="1109">
        <f t="shared" si="259"/>
        <v>43027</v>
      </c>
      <c r="FX134" s="541"/>
      <c r="FY134" s="541">
        <f>Sheet1!DA132-Sheet1!CZ132-Sheet1!AE132</f>
        <v>414.51950999999997</v>
      </c>
      <c r="FZ134" s="535">
        <f t="shared" si="296"/>
        <v>0.19530414712329724</v>
      </c>
      <c r="GA134" s="535"/>
      <c r="GB134" s="535" t="str">
        <f t="shared" si="260"/>
        <v>n</v>
      </c>
      <c r="GC134" s="539">
        <f t="shared" si="261"/>
        <v>42782</v>
      </c>
      <c r="GD134" s="1109">
        <f t="shared" si="262"/>
        <v>42904</v>
      </c>
      <c r="GE134" s="535">
        <f t="shared" si="280"/>
        <v>6520</v>
      </c>
      <c r="GF134" s="1109">
        <f t="shared" si="263"/>
        <v>42909</v>
      </c>
      <c r="GG134" s="535">
        <f t="shared" si="308"/>
        <v>3260</v>
      </c>
      <c r="GH134" s="539">
        <f t="shared" si="264"/>
        <v>43040</v>
      </c>
      <c r="GJ134" s="521">
        <f t="shared" si="265"/>
        <v>0</v>
      </c>
      <c r="GK134" s="535" t="str">
        <f t="shared" si="363"/>
        <v/>
      </c>
      <c r="GL134" s="535">
        <f t="shared" si="266"/>
        <v>0</v>
      </c>
      <c r="GM134" s="535" t="str">
        <f t="shared" si="267"/>
        <v/>
      </c>
      <c r="GN134" s="535">
        <f>IF(GK134="P",Lookup!$M$12,IF(GK134="PP",Lookup!$M$13,IF(GK134="PPP",Lookup!$M$14,IF(GK134="T",Lookup!$M$15,IF(GK134="TP",Lookup!$M$16,IF(GK134="TPP",Lookup!$M$17,IF(GK134="TPPP",Lookup!$M$18,0)))))))*GJ134</f>
        <v>0</v>
      </c>
      <c r="GO134" s="535">
        <f t="shared" si="268"/>
        <v>0</v>
      </c>
      <c r="GP134" s="535">
        <f t="shared" si="364"/>
        <v>6362.6229333333367</v>
      </c>
      <c r="GQ134" s="535">
        <f t="shared" si="279"/>
        <v>2073.8666666666677</v>
      </c>
      <c r="GR134" s="535"/>
      <c r="GS134" s="535">
        <f t="shared" si="269"/>
        <v>0</v>
      </c>
      <c r="GT134" s="535" t="str">
        <f t="shared" si="270"/>
        <v/>
      </c>
      <c r="GU134" s="535">
        <f>IF(GK134="P",Lookup!$N$12,IF(GK134="PP",Lookup!$N$13,IF(GK134="PPP",Lookup!$N$14,IF(GK134="T",Lookup!$N$15,IF(GK134="TP",Lookup!$N$16,IF(GK134="TPP",Lookup!$N$17,IF(GK134="TPPP",Lookup!$N$18,0)))))))*GJ134</f>
        <v>0</v>
      </c>
      <c r="GV134" s="535">
        <f t="shared" si="271"/>
        <v>0</v>
      </c>
      <c r="GW134" s="535">
        <f t="shared" si="365"/>
        <v>2728.7190615420191</v>
      </c>
      <c r="GX134" s="535">
        <f t="shared" si="276"/>
        <v>889.41299267992804</v>
      </c>
      <c r="GY134" s="535"/>
      <c r="GZ134" s="535">
        <f t="shared" si="272"/>
        <v>0</v>
      </c>
      <c r="HA134" s="535" t="str">
        <f t="shared" si="273"/>
        <v/>
      </c>
      <c r="HB134" s="535">
        <f>IF(GK134="P",Lookup!$N$12,IF(GK134="PP",Lookup!$N$13,IF(GK134="PPP",Lookup!$N$14,IF(GK134="T",Lookup!$N$15,IF(GK134="TP",Lookup!$N$16,IF(GK134="TPP",Lookup!$N$17,IF(GK134="TPPP",Lookup!$N$18,0)))))))*GJ134</f>
        <v>0</v>
      </c>
      <c r="HC134" s="521">
        <f t="shared" si="366"/>
        <v>0</v>
      </c>
      <c r="HD134" s="535">
        <f t="shared" si="367"/>
        <v>2222.0788473100019</v>
      </c>
      <c r="HE134" s="535">
        <f t="shared" si="277"/>
        <v>724.2760258507177</v>
      </c>
      <c r="HF134" s="535"/>
      <c r="HG134" s="535">
        <f t="shared" si="274"/>
        <v>0</v>
      </c>
      <c r="HH134" s="535" t="str">
        <f t="shared" si="275"/>
        <v/>
      </c>
      <c r="HI134" s="535">
        <f>IF(GK134="P",Lookup!$N$12,IF(GK134="PP",Lookup!$N$13,IF(GK134="PPP",Lookup!$N$14,IF(GK134="T",Lookup!$N$15,IF(GK134="TP",Lookup!$N$16,IF(GK134="TPP",Lookup!$N$17,IF(GK134="TPPP",Lookup!$N$18,0)))))))*GJ134</f>
        <v>0</v>
      </c>
      <c r="HJ134" s="521">
        <f t="shared" si="368"/>
        <v>0</v>
      </c>
      <c r="HK134" s="535">
        <f t="shared" si="369"/>
        <v>1434.2106877623555</v>
      </c>
      <c r="HL134" s="535">
        <f t="shared" si="278"/>
        <v>467.4741485535709</v>
      </c>
      <c r="HM134" s="535"/>
      <c r="HN134" s="541"/>
      <c r="HO134" s="541"/>
      <c r="HP134" s="541"/>
      <c r="HQ134" s="541">
        <f>IF(AND(B134&gt;=$FV$4,B134&lt;=$FW$4),MAX(110/1.02+$HQ$6+MIN(113/1.02,G134),IF($HV$6-(Sheet1!DA132-Sheet1!DB132)+MIN(113/1.02,G134)&lt;G134+FL134,$HV$6-(Sheet1!DA132-Sheet1!DB132)+MIN(113/1.02,G134),G134+FL134)),MIN(110/1.02+$HQ$6+113/1.02,G134))</f>
        <v>218.62745098039215</v>
      </c>
      <c r="HR134" s="541">
        <f t="shared" si="297"/>
        <v>223</v>
      </c>
      <c r="HS134" s="541">
        <f>HR134+(Sheet1!DA132-Sheet1!DB132)</f>
        <v>849</v>
      </c>
      <c r="HT134" s="541">
        <f t="shared" si="298"/>
        <v>64.494429999999994</v>
      </c>
      <c r="HU134" s="541">
        <f t="shared" si="299"/>
        <v>784.50557000000003</v>
      </c>
      <c r="HV134" s="541">
        <f t="shared" si="300"/>
        <v>0</v>
      </c>
      <c r="HW134" s="533" t="str">
        <f t="shared" si="301"/>
        <v/>
      </c>
      <c r="HX134" s="541">
        <f t="shared" si="302"/>
        <v>1741.372549019608</v>
      </c>
      <c r="HY134" s="541">
        <f>Sheet1!CZ132</f>
        <v>1960</v>
      </c>
      <c r="HZ134" s="541">
        <f t="shared" si="303"/>
        <v>0</v>
      </c>
      <c r="IA134" s="541">
        <f t="shared" si="304"/>
        <v>64.494429999999994</v>
      </c>
      <c r="IB134" s="541">
        <f t="shared" si="305"/>
        <v>1960</v>
      </c>
      <c r="IC134" s="1019" t="str">
        <f t="shared" si="306"/>
        <v/>
      </c>
      <c r="ID134" s="541">
        <f t="shared" si="307"/>
        <v>1895.50557</v>
      </c>
      <c r="IE134" s="541">
        <f>Sheet1!DB132</f>
        <v>1830</v>
      </c>
      <c r="IF134" s="533">
        <f>Sheet1!DA132</f>
        <v>2456</v>
      </c>
      <c r="IH134" s="541">
        <f>IF(AND($B134&gt;=$GC134,$B134&lt;=$GH134,$DR134&lt;0)+N("only adjusted when pool is drawn down during storage season"),Sheet1!$DB132+$DR134+N("Palmer minus all storage release"),Sheet1!$DB132)</f>
        <v>1830</v>
      </c>
      <c r="II134" s="541">
        <f>IF(AND($B134&gt;=$GC134,$B134&lt;=$GH134,$DR134&lt;0)+N("only adjusted when pool is drawn down during storage season"),Sheet1!$DA132+$DR134+N("Auburn minus all storage release"),Sheet1!$DA132)</f>
        <v>2456</v>
      </c>
    </row>
    <row r="135" spans="1:243" x14ac:dyDescent="0.25">
      <c r="A135" s="553" t="s">
        <v>7</v>
      </c>
      <c r="B135" s="531">
        <v>42859</v>
      </c>
      <c r="C135" s="536">
        <v>0</v>
      </c>
      <c r="D135" s="506">
        <f t="shared" si="247"/>
        <v>300</v>
      </c>
      <c r="E135" s="506">
        <f t="shared" si="248"/>
        <v>250</v>
      </c>
      <c r="F135" s="506">
        <v>250</v>
      </c>
      <c r="G135" s="535">
        <f>DR135+Sheet1!CZ133</f>
        <v>3677.6490166430945</v>
      </c>
      <c r="H135" s="1074">
        <f t="shared" si="370"/>
        <v>1603.8589920000002</v>
      </c>
      <c r="I135" s="534">
        <f>IF(Sheet1!DA133&gt;=E135,(Sheet1!DA133-E135+P135)*CFStoMGD,0)</f>
        <v>2190.7901919999999</v>
      </c>
      <c r="J135" s="995">
        <f>IF(Sheet1!DB133&gt;=D135,(Sheet1!DB133-D135+P135)*CFStoMGD,0)</f>
        <v>1603.8589920000002</v>
      </c>
      <c r="K135" s="818">
        <f t="shared" si="282"/>
        <v>64.64</v>
      </c>
      <c r="L135" s="535">
        <f>Sheet1!AA133+Sheet1!AB133-Sheet1!L133+(Sheet1!DA133-F135)*CFStoMGD-S135-T135-U135</f>
        <v>2126.1511999999998</v>
      </c>
      <c r="M135" s="535">
        <f t="shared" si="309"/>
        <v>2424.7769708452583</v>
      </c>
      <c r="N135" s="824">
        <f>IF(Sheet1!DA133&gt;=F135,MIN(113*CFStoMGD,MIN(MAX(L135,0),MAX(M135,0))),0)</f>
        <v>73.043199999999999</v>
      </c>
      <c r="O135" s="538">
        <f>Sheet1!AA133+Sheet1!AB133</f>
        <v>52.5</v>
      </c>
      <c r="P135" s="538">
        <f t="shared" si="310"/>
        <v>81.217500000000001</v>
      </c>
      <c r="Q135" s="812">
        <f t="shared" si="283"/>
        <v>41.49</v>
      </c>
      <c r="R135" s="812">
        <f t="shared" si="249"/>
        <v>10.96516105146242</v>
      </c>
      <c r="S135" s="812">
        <f t="shared" si="250"/>
        <v>11.01</v>
      </c>
      <c r="T135" s="812">
        <f t="shared" si="251"/>
        <v>53.63</v>
      </c>
      <c r="U135" s="812">
        <f t="shared" si="284"/>
        <v>0</v>
      </c>
      <c r="V135" s="812"/>
      <c r="W135" s="812">
        <f t="shared" si="252"/>
        <v>53.674838948537584</v>
      </c>
      <c r="X135" s="812">
        <f t="shared" si="253"/>
        <v>64.64</v>
      </c>
      <c r="Y135" s="812" t="str">
        <f t="shared" si="254"/>
        <v>FALSE</v>
      </c>
      <c r="Z135" s="812">
        <f t="shared" si="255"/>
        <v>52.5</v>
      </c>
      <c r="AA135" s="812">
        <f t="shared" si="256"/>
        <v>52.5</v>
      </c>
      <c r="AB135" s="1059">
        <f t="shared" si="285"/>
        <v>64.185029999999998</v>
      </c>
      <c r="AC135" s="538">
        <f>Sheet1!Y133*MGDtoCFS</f>
        <v>39.757899999999999</v>
      </c>
      <c r="AD135" s="538">
        <f>Sheet1!Z133*MGDtoCFS</f>
        <v>41.722589999999997</v>
      </c>
      <c r="AE135" s="538">
        <f>Sheet1!AA133*MGDtoCFS</f>
        <v>39.603200000000001</v>
      </c>
      <c r="AF135" s="538">
        <f>Sheet1!AB133*MGDtoCFS</f>
        <v>41.614299999999993</v>
      </c>
      <c r="AG135" s="538">
        <f>Sheet1!L133*MGDtoCFS</f>
        <v>0</v>
      </c>
      <c r="AH135" s="521">
        <f t="shared" si="311"/>
        <v>0</v>
      </c>
      <c r="AI135" s="1059">
        <f t="shared" si="312"/>
        <v>0</v>
      </c>
      <c r="AJ135" s="535">
        <f t="shared" si="313"/>
        <v>53.674838948537584</v>
      </c>
      <c r="AK135" s="535">
        <f t="shared" si="314"/>
        <v>83.034975853387635</v>
      </c>
      <c r="AL135" s="535">
        <f>(VLOOKUP(Sheet1!DC133,hhdcap_wcm,4)-(((VLOOKUP(Sheet1!DC133,hhdcap_wcm,3)-Sheet1!DC133)/(VLOOKUP(Sheet1!DC133,hhdcap_wcm,3)-VLOOKUP(Sheet1!DC133,hhdcap_wcm,1)))*(VLOOKUP(Sheet1!DC133,hhdcap_wcm,4)-VLOOKUP(Sheet1!DC133,hhdcap_wcm,2))))</f>
        <v>37979.700000095996</v>
      </c>
      <c r="AM135" s="535">
        <f t="shared" si="315"/>
        <v>1411.2000000032567</v>
      </c>
      <c r="AN135" s="1035">
        <f t="shared" si="316"/>
        <v>4208.7046726994222</v>
      </c>
      <c r="AO135" s="535">
        <f t="shared" si="317"/>
        <v>12912.305935841827</v>
      </c>
      <c r="AP135" s="535">
        <f>Sheet1!BA133+Sheet1!BB133+Sheet1!BN133+CD135</f>
        <v>16</v>
      </c>
      <c r="AQ135" s="535">
        <f>Sheet1!BN133+(DO135*Sheet1!BN133)</f>
        <v>15.934838948537578</v>
      </c>
      <c r="AR135" s="535">
        <f>Sheet1!BA133+CD135</f>
        <v>0</v>
      </c>
      <c r="AS135" s="535">
        <f>Sheet1!BA133+Sheet1!BB133+CD135</f>
        <v>0</v>
      </c>
      <c r="AT135" s="649">
        <f>0</f>
        <v>0</v>
      </c>
      <c r="AU135" s="535">
        <f>IF(EB135&lt;K135,0,MAX(Sheet1!AA133+AQ135-15/36*K135-N135,Sheet1!EH133,0))</f>
        <v>0</v>
      </c>
      <c r="AV135" s="535">
        <f>IF(OR(B135&gt;=GD135,B135&lt;GC135),0,15/36*K135-MAX(0,64.6-(137.6-(Sheet1!AA133+Sheet1!AB133))))</f>
        <v>26.933333333333334</v>
      </c>
      <c r="AW135" s="1029"/>
      <c r="AX135" s="649"/>
      <c r="AY135" s="649">
        <f t="shared" si="286"/>
        <v>0</v>
      </c>
      <c r="AZ135" s="649">
        <f t="shared" si="287"/>
        <v>0</v>
      </c>
      <c r="BA135" s="1059">
        <f t="shared" si="288"/>
        <v>0</v>
      </c>
      <c r="BB135" s="1019">
        <f t="shared" si="318"/>
        <v>2100.8000000000011</v>
      </c>
      <c r="BC135" s="1041">
        <f t="shared" si="289"/>
        <v>26.933333333333334</v>
      </c>
      <c r="BD135" s="1019">
        <f ca="1">IF(B135&gt;Summary!$A$1,#N/A,BB135*MGtoAF)</f>
        <v>6445.2544000000034</v>
      </c>
      <c r="BE135" s="535">
        <f>Sheet1!BG133+Sheet1!BH133+Sheet1!BI133-BM135</f>
        <v>1</v>
      </c>
      <c r="BF135" s="535">
        <f t="shared" si="319"/>
        <v>0.99592743428359864</v>
      </c>
      <c r="BG135" s="535">
        <f>IF(Sheet1!EP133="FM",BM135,0)</f>
        <v>0</v>
      </c>
      <c r="BH135" s="535">
        <f t="shared" si="320"/>
        <v>0</v>
      </c>
      <c r="BI135" s="535">
        <f>IF(Sheet1!EP133="OTHER",BM135,0)</f>
        <v>0</v>
      </c>
      <c r="BJ135" s="535">
        <f t="shared" si="321"/>
        <v>0</v>
      </c>
      <c r="BK135" s="535">
        <f t="shared" si="322"/>
        <v>1</v>
      </c>
      <c r="BL135" s="535">
        <f t="shared" si="323"/>
        <v>0.99592743428359864</v>
      </c>
      <c r="BM135" s="535">
        <f>IF(OR(Sheet1!EP133="FM", Sheet1!EP133="OTHER"),SUM(Sheet1!BG133:'Sheet1'!BI133),0)</f>
        <v>0</v>
      </c>
      <c r="BN135" s="521">
        <f>IF(AND($B135&gt;=$FV135,$B135&lt;=$FW135),MAX(BF135,Sheet1!EI133,0),MAX(BF135-(7/36)*$K135,0))</f>
        <v>0</v>
      </c>
      <c r="BO135" s="535">
        <f t="shared" si="324"/>
        <v>11.57296145460529</v>
      </c>
      <c r="BP135" s="521">
        <f t="shared" si="325"/>
        <v>0.99592743428359864</v>
      </c>
      <c r="BQ135" s="521">
        <f>IF(AND($O135&gt;0,Sheet1!EM133=1),(1-($O135-Sheet1!$L133)/$O135)*BL135,0)</f>
        <v>0</v>
      </c>
      <c r="BR135" s="521">
        <f>IF(AND(Sheet1!$L133=0,Sheet1!$L132=0, Calculation!BK135&lt;Sheet1!$EI133-0.1,Sheet1!$EI133=Sheet1!$EI132,Sheet1!$EI133=Sheet1!$EI134),BL135-BQ135,BL135-BQ135)</f>
        <v>0.99592743428359864</v>
      </c>
      <c r="BS135" s="1035" t="str">
        <f t="shared" si="290"/>
        <v/>
      </c>
      <c r="BT135" s="1035">
        <f t="shared" si="291"/>
        <v>12.568888888888889</v>
      </c>
      <c r="BU135" s="535">
        <f t="shared" si="326"/>
        <v>900.98595413453336</v>
      </c>
      <c r="BV135" s="535"/>
      <c r="BW135" s="535">
        <f ca="1">IF(B135&gt;Summary!$A$1,#N/A,BU135*MGtoAF)</f>
        <v>2764.2249072847485</v>
      </c>
      <c r="BX135" s="535">
        <f>Sheet1!BC133+Sheet1!BD133+Sheet1!BE133+Sheet1!BF133-CG135-CH135</f>
        <v>3.5</v>
      </c>
      <c r="BY135" s="535">
        <f t="shared" si="327"/>
        <v>3.4857460199925954</v>
      </c>
      <c r="BZ135" s="535">
        <f>IF(Sheet1!EQ133="FM",CH135,0)</f>
        <v>0</v>
      </c>
      <c r="CA135" s="535">
        <f t="shared" si="328"/>
        <v>0</v>
      </c>
      <c r="CB135" s="535">
        <f>IF(Sheet1!EQ133="OTHER",CH135,0)</f>
        <v>0</v>
      </c>
      <c r="CC135" s="535">
        <f t="shared" si="329"/>
        <v>0</v>
      </c>
      <c r="CD135" s="535">
        <f t="shared" si="330"/>
        <v>0</v>
      </c>
      <c r="CE135" s="535">
        <f t="shared" si="331"/>
        <v>3.5</v>
      </c>
      <c r="CF135" s="535">
        <f t="shared" si="332"/>
        <v>3.4857460199925954</v>
      </c>
      <c r="CG135" s="535">
        <f>IF(Sheet1!EQ133="CWA",SUM(Sheet1!BC133:'Sheet1'!BF133),0)</f>
        <v>0</v>
      </c>
      <c r="CH135" s="535">
        <f>IF(OR(Sheet1!EQ133="FM", Sheet1!EQ133="OTHER"),SUM(Sheet1!BC133:'Sheet1'!BF133),0)</f>
        <v>0</v>
      </c>
      <c r="CI135" s="521">
        <f>IF(AND($B135&gt;=$FV135,$B135&lt;=$FW135),MAX(CF135,Sheet1!EJ133,0),MAX(CF135-(7/36)*$K135,0))</f>
        <v>0</v>
      </c>
      <c r="CJ135" s="535">
        <f t="shared" si="333"/>
        <v>9.0831428688962941</v>
      </c>
      <c r="CK135" s="521">
        <f t="shared" si="334"/>
        <v>3.4857460199925954</v>
      </c>
      <c r="CL135" s="521">
        <f>IF(AND($O135&gt;0,Sheet1!EN133=1),(1-($O135-Sheet1!$L133)/$O135)*CF135,0)</f>
        <v>0</v>
      </c>
      <c r="CM135" s="521">
        <f>IF(AND(Sheet1!$L133=0,Sheet1!$L132=0, Calculation!CE135&lt;Sheet1!EJ133-0.1,Sheet1!EJ133=Sheet1!EJ132,Sheet1!EJ133=Sheet1!EJ134),CF135-CL135,CF135-CL135)</f>
        <v>3.4857460199925954</v>
      </c>
      <c r="CN135" s="1040" t="str">
        <f t="shared" si="292"/>
        <v/>
      </c>
      <c r="CO135" s="1035">
        <f t="shared" si="293"/>
        <v>12.568888888888889</v>
      </c>
      <c r="CP135" s="535">
        <f t="shared" si="335"/>
        <v>733.35916871961399</v>
      </c>
      <c r="CQ135" s="535"/>
      <c r="CR135" s="535">
        <f ca="1">IF(B135&gt;Summary!$A$1,#N/A,CP135*MGtoAF)</f>
        <v>2249.9459296317759</v>
      </c>
      <c r="CS135" s="535">
        <f>Sheet1!BK133+Sheet1!BL133+Sheet1!BM133-Sheet1!ER133-DA135</f>
        <v>6.51</v>
      </c>
      <c r="CT135" s="535">
        <f t="shared" si="336"/>
        <v>6.4834875971862269</v>
      </c>
      <c r="CU135" s="535">
        <f>IF(Sheet1!ER133="FM",DA135,0)</f>
        <v>0</v>
      </c>
      <c r="CV135" s="535">
        <f t="shared" si="337"/>
        <v>0</v>
      </c>
      <c r="CW135" s="535">
        <f>IF(Sheet1!ER133="OTHER",DA135,0)</f>
        <v>0</v>
      </c>
      <c r="CX135" s="535">
        <f t="shared" si="338"/>
        <v>0</v>
      </c>
      <c r="CY135" s="535">
        <f t="shared" si="339"/>
        <v>6.51</v>
      </c>
      <c r="CZ135" s="535">
        <f t="shared" si="340"/>
        <v>6.4834875971862269</v>
      </c>
      <c r="DA135" s="535">
        <f>IF(OR(Sheet1!ER133="FM", Sheet1!ER133="OTHER"),SUM(Sheet1!BK133:'Sheet1'!BM133),0)</f>
        <v>0</v>
      </c>
      <c r="DB135" s="1011">
        <f>IF(AND($B135&gt;=$FV135,$B135&lt;=$FW135),MAX($CT135,Sheet1!EK133,0),MAX($CT135-(7/36)*$K135,0))</f>
        <v>0</v>
      </c>
      <c r="DC135" s="1012">
        <f t="shared" si="341"/>
        <v>6.0854012917026621</v>
      </c>
      <c r="DD135" s="1011">
        <f t="shared" si="342"/>
        <v>6.4834875971862269</v>
      </c>
      <c r="DE135" s="521">
        <f>IF(AND($O135&gt;0,Sheet1!EO133=1),(1-($O135-Sheet1!$L133)/$O135)*CZ135,0)</f>
        <v>0</v>
      </c>
      <c r="DF135" s="521">
        <f>IF(AND(Sheet1!$L133=0,Sheet1!$L132=0, Calculation!CY135&lt;Sheet1!$EK133-0.1,Sheet1!$EK133=Sheet1!$EK132,Sheet1!$EK133=Sheet1!$EK134),CZ135-DE135,CZ135-DE135)</f>
        <v>6.4834875971862269</v>
      </c>
      <c r="DG135" s="1040">
        <f t="shared" si="294"/>
        <v>12.568888888888889</v>
      </c>
      <c r="DH135" s="649">
        <f t="shared" si="343"/>
        <v>11.01</v>
      </c>
      <c r="DI135" s="535">
        <f t="shared" si="344"/>
        <v>473.55954984527358</v>
      </c>
      <c r="DJ135" s="649">
        <f t="shared" si="345"/>
        <v>10.96516105146242</v>
      </c>
      <c r="DK135" s="535">
        <f ca="1">IF(B135&gt;Summary!$A$1,#N/A,DI135*MGtoAF)</f>
        <v>1452.8806989252994</v>
      </c>
      <c r="DL135" s="649">
        <f t="shared" si="346"/>
        <v>11.01</v>
      </c>
      <c r="DM135" s="535">
        <f t="shared" si="347"/>
        <v>27.009999999999998</v>
      </c>
      <c r="DN135" s="535">
        <f>Sheet1!AB133-DM135</f>
        <v>-0.10999999999999943</v>
      </c>
      <c r="DO135" s="743">
        <f t="shared" si="348"/>
        <v>-4.0725657164013118E-3</v>
      </c>
      <c r="DP135" s="535">
        <f>(VLOOKUP(Sheet1!DC133,hhdcap_wcm,4)-(((VLOOKUP(Sheet1!DC133,hhdcap_wcm,3)-Sheet1!DC133)/(VLOOKUP(Sheet1!DC133,hhdcap_wcm,3)-VLOOKUP(Sheet1!DC133,hhdcap_wcm,1)))*(VLOOKUP(Sheet1!DC133,hhdcap_wcm,4)-VLOOKUP(Sheet1!DC133,hhdcap_wcm,2))))</f>
        <v>37979.700000095996</v>
      </c>
      <c r="DQ135" s="535">
        <f t="shared" si="349"/>
        <v>1411.2000000032567</v>
      </c>
      <c r="DR135" s="535">
        <f t="shared" si="350"/>
        <v>711.64901664309457</v>
      </c>
      <c r="DS135" s="535">
        <f>Sheet1!EA133*AFtoMG</f>
        <v>0</v>
      </c>
      <c r="DT135" s="535">
        <f>Sheet1!EB133*AFtoMG</f>
        <v>0</v>
      </c>
      <c r="DU135" s="535">
        <f>Sheet1!EC133*AFtoMG</f>
        <v>0</v>
      </c>
      <c r="DV135" s="535">
        <f>Sheet1!ED133*AFtoMG</f>
        <v>0</v>
      </c>
      <c r="DW135" s="535">
        <f t="shared" si="351"/>
        <v>0</v>
      </c>
      <c r="DX135" s="535">
        <f t="shared" si="352"/>
        <v>0</v>
      </c>
      <c r="DY135" s="535">
        <f t="shared" si="353"/>
        <v>4208.7046726994222</v>
      </c>
      <c r="DZ135" s="535">
        <f t="shared" si="354"/>
        <v>12912.305935841827</v>
      </c>
      <c r="EA135" s="535"/>
      <c r="EB135" s="521">
        <f>IF(OR(B135&lt;FV135,B135&gt;FW135),(MIN(BF135+BY135+CT135+MAX(Sheet1!AA133+AQ135-73,0),K135)),0)</f>
        <v>10.96516105146242</v>
      </c>
      <c r="EC135" s="535"/>
      <c r="ED135" s="535">
        <f t="shared" si="355"/>
        <v>10.96516105146242</v>
      </c>
      <c r="EE135" s="535"/>
      <c r="EF135" s="535">
        <f>Sheet1!EH133+Sheet1!EI133+Sheet1!EJ133+Sheet1!EK133</f>
        <v>11</v>
      </c>
      <c r="EG135" s="1019">
        <f t="shared" si="295"/>
        <v>17.016999999999999</v>
      </c>
      <c r="EH135" s="521">
        <f t="shared" si="356"/>
        <v>0</v>
      </c>
      <c r="EI135" s="535">
        <f>IF(Sheet1!ET133=1,SUM('Calculations II'!AT135:BA135)+'Calculations II'!BC135+Sheet1!BV133+'Calculations II'!BE135+AP135,'Calculations II'!BK135)</f>
        <v>46.677578948537573</v>
      </c>
      <c r="EJ135" s="535">
        <f ca="1">EI135+'Calculations II'!D135+'Calculations II'!E135+'Calculations II'!O135</f>
        <v>43.405183332097536</v>
      </c>
      <c r="EK135" s="535"/>
      <c r="EL135" s="535"/>
      <c r="EM135" s="535">
        <f t="shared" si="357"/>
        <v>42859</v>
      </c>
      <c r="EN135" s="535">
        <f t="shared" si="358"/>
        <v>53.674838948537584</v>
      </c>
      <c r="EO135" s="535">
        <f t="shared" si="359"/>
        <v>83.034975853387635</v>
      </c>
      <c r="EP135" s="535">
        <v>0</v>
      </c>
      <c r="EQ135" s="535">
        <v>0</v>
      </c>
      <c r="ER135" s="535">
        <v>0</v>
      </c>
      <c r="ES135" s="521">
        <f t="shared" si="257"/>
        <v>0.69239183399553228</v>
      </c>
      <c r="ET135" s="535">
        <f>-(VLOOKUP(Sheet1!BQ133,Lookup!$O$4:$Q$262,2)-VLOOKUP(Sheet1!BQ132,Lookup!$O$4:$Q$262,2))/1000000</f>
        <v>0.69239183399553228</v>
      </c>
      <c r="EU135" s="535">
        <f>-(VLOOKUP(Sheet1!BR133,Lookup!$O$4:$Q$262,3)-VLOOKUP(Sheet1!BR132,Lookup!$O$4:$Q$262,3))/1000000</f>
        <v>0</v>
      </c>
      <c r="EV135" s="535"/>
      <c r="EW135" s="535"/>
      <c r="EX135" s="535"/>
      <c r="EY135" s="535"/>
      <c r="EZ135" s="535"/>
      <c r="FA135" s="535"/>
      <c r="FB135" s="535"/>
      <c r="FC135" s="535"/>
      <c r="FD135" s="567" t="e">
        <f t="shared" si="360"/>
        <v>#N/A</v>
      </c>
      <c r="FE135" s="567" t="e">
        <f t="shared" si="361"/>
        <v>#N/A</v>
      </c>
      <c r="FF135" s="568" t="e">
        <f t="shared" si="362"/>
        <v>#N/A</v>
      </c>
      <c r="FG135" s="569" t="s">
        <v>656</v>
      </c>
      <c r="FH135" s="569" t="s">
        <v>656</v>
      </c>
      <c r="FI135" s="567" t="e">
        <v>#N/A</v>
      </c>
      <c r="FJ135" s="567" t="e">
        <v>#N/A</v>
      </c>
      <c r="FK135" s="535"/>
      <c r="FL135" s="1015">
        <v>0</v>
      </c>
      <c r="FM135" s="535"/>
      <c r="FN135" s="535"/>
      <c r="FO135" s="535">
        <f>O135+((Sheet1!CS133)*GPMtoMGD)</f>
        <v>57.534528000000002</v>
      </c>
      <c r="FP135" s="535">
        <f>IF(Sheet1!AA133+AQ135&lt;=Calculation!N135,AQ135,Calculation!N135-Sheet1!AA133)</f>
        <v>15.934838948537578</v>
      </c>
      <c r="FQ135" s="535">
        <f>(Sheet1!BP133+Sheet1!BO133)/694.4</f>
        <v>1.598070276497696</v>
      </c>
      <c r="FR135" s="541"/>
      <c r="FS135" s="541"/>
      <c r="FT135" s="541"/>
      <c r="FU135" s="541"/>
      <c r="FV135" s="1109">
        <f t="shared" si="258"/>
        <v>42918</v>
      </c>
      <c r="FW135" s="1109">
        <f t="shared" si="259"/>
        <v>43027</v>
      </c>
      <c r="FX135" s="541"/>
      <c r="FY135" s="541">
        <f>Sheet1!DA133-Sheet1!CZ133-Sheet1!AE133</f>
        <v>510.78250000000003</v>
      </c>
      <c r="FZ135" s="535">
        <f t="shared" si="296"/>
        <v>0.13888832177526148</v>
      </c>
      <c r="GA135" s="535"/>
      <c r="GB135" s="535" t="str">
        <f t="shared" si="260"/>
        <v>n</v>
      </c>
      <c r="GC135" s="539">
        <f t="shared" si="261"/>
        <v>42782</v>
      </c>
      <c r="GD135" s="1109">
        <f t="shared" si="262"/>
        <v>42904</v>
      </c>
      <c r="GE135" s="535">
        <f t="shared" si="280"/>
        <v>6520</v>
      </c>
      <c r="GF135" s="1109">
        <f t="shared" si="263"/>
        <v>42909</v>
      </c>
      <c r="GG135" s="535">
        <f t="shared" si="308"/>
        <v>3260</v>
      </c>
      <c r="GH135" s="539">
        <f t="shared" si="264"/>
        <v>43040</v>
      </c>
      <c r="GJ135" s="521">
        <f t="shared" si="265"/>
        <v>0</v>
      </c>
      <c r="GK135" s="535" t="str">
        <f t="shared" si="363"/>
        <v/>
      </c>
      <c r="GL135" s="535">
        <f t="shared" si="266"/>
        <v>0</v>
      </c>
      <c r="GM135" s="535" t="str">
        <f t="shared" si="267"/>
        <v/>
      </c>
      <c r="GN135" s="535">
        <f>IF(GK135="P",Lookup!$M$12,IF(GK135="PP",Lookup!$M$13,IF(GK135="PPP",Lookup!$M$14,IF(GK135="T",Lookup!$M$15,IF(GK135="TP",Lookup!$M$16,IF(GK135="TPP",Lookup!$M$17,IF(GK135="TPPP",Lookup!$M$18,0)))))))*GJ135</f>
        <v>0</v>
      </c>
      <c r="GO135" s="535">
        <f t="shared" si="268"/>
        <v>0</v>
      </c>
      <c r="GP135" s="535">
        <f t="shared" si="364"/>
        <v>6445.2544000000034</v>
      </c>
      <c r="GQ135" s="535">
        <f t="shared" si="279"/>
        <v>2100.8000000000011</v>
      </c>
      <c r="GR135" s="535"/>
      <c r="GS135" s="535">
        <f t="shared" si="269"/>
        <v>0</v>
      </c>
      <c r="GT135" s="535" t="str">
        <f t="shared" si="270"/>
        <v/>
      </c>
      <c r="GU135" s="535">
        <f>IF(GK135="P",Lookup!$N$12,IF(GK135="PP",Lookup!$N$13,IF(GK135="PPP",Lookup!$N$14,IF(GK135="T",Lookup!$N$15,IF(GK135="TP",Lookup!$N$16,IF(GK135="TPP",Lookup!$N$17,IF(GK135="TPPP",Lookup!$N$18,0)))))))*GJ135</f>
        <v>0</v>
      </c>
      <c r="GV135" s="535">
        <f t="shared" si="271"/>
        <v>0</v>
      </c>
      <c r="GW135" s="535">
        <f t="shared" si="365"/>
        <v>2764.2249072847485</v>
      </c>
      <c r="GX135" s="535">
        <f t="shared" si="276"/>
        <v>900.98595413453336</v>
      </c>
      <c r="GY135" s="535"/>
      <c r="GZ135" s="535">
        <f t="shared" si="272"/>
        <v>0</v>
      </c>
      <c r="HA135" s="535" t="str">
        <f t="shared" si="273"/>
        <v/>
      </c>
      <c r="HB135" s="535">
        <f>IF(GK135="P",Lookup!$N$12,IF(GK135="PP",Lookup!$N$13,IF(GK135="PPP",Lookup!$N$14,IF(GK135="T",Lookup!$N$15,IF(GK135="TP",Lookup!$N$16,IF(GK135="TPP",Lookup!$N$17,IF(GK135="TPPP",Lookup!$N$18,0)))))))*GJ135</f>
        <v>0</v>
      </c>
      <c r="HC135" s="521">
        <f t="shared" si="366"/>
        <v>0</v>
      </c>
      <c r="HD135" s="535">
        <f t="shared" si="367"/>
        <v>2249.9459296317759</v>
      </c>
      <c r="HE135" s="535">
        <f t="shared" si="277"/>
        <v>733.35916871961399</v>
      </c>
      <c r="HF135" s="535"/>
      <c r="HG135" s="535">
        <f t="shared" si="274"/>
        <v>0</v>
      </c>
      <c r="HH135" s="535" t="str">
        <f t="shared" si="275"/>
        <v/>
      </c>
      <c r="HI135" s="535">
        <f>IF(GK135="P",Lookup!$N$12,IF(GK135="PP",Lookup!$N$13,IF(GK135="PPP",Lookup!$N$14,IF(GK135="T",Lookup!$N$15,IF(GK135="TP",Lookup!$N$16,IF(GK135="TPP",Lookup!$N$17,IF(GK135="TPPP",Lookup!$N$18,0)))))))*GJ135</f>
        <v>0</v>
      </c>
      <c r="HJ135" s="521">
        <f t="shared" si="368"/>
        <v>0</v>
      </c>
      <c r="HK135" s="535">
        <f t="shared" si="369"/>
        <v>1452.8806989252994</v>
      </c>
      <c r="HL135" s="535">
        <f t="shared" si="278"/>
        <v>473.55954984527358</v>
      </c>
      <c r="HM135" s="535"/>
      <c r="HN135" s="541"/>
      <c r="HO135" s="541"/>
      <c r="HP135" s="541"/>
      <c r="HQ135" s="541">
        <f>IF(AND(B135&gt;=$FV$4,B135&lt;=$FW$4),MAX(110/1.02+$HQ$6+MIN(113/1.02,G135),IF($HV$6-(Sheet1!DA133-Sheet1!DB133)+MIN(113/1.02,G135)&lt;G135+FL135,$HV$6-(Sheet1!DA133-Sheet1!DB133)+MIN(113/1.02,G135),G135+FL135)),MIN(110/1.02+$HQ$6+113/1.02,G135))</f>
        <v>218.62745098039215</v>
      </c>
      <c r="HR135" s="541">
        <f t="shared" si="297"/>
        <v>223</v>
      </c>
      <c r="HS135" s="541">
        <f>HR135+(Sheet1!DA133-Sheet1!DB133)</f>
        <v>1081</v>
      </c>
      <c r="HT135" s="541">
        <f t="shared" si="298"/>
        <v>64.185029999999998</v>
      </c>
      <c r="HU135" s="541">
        <f t="shared" si="299"/>
        <v>1016.81497</v>
      </c>
      <c r="HV135" s="541">
        <f t="shared" si="300"/>
        <v>0</v>
      </c>
      <c r="HW135" s="533" t="str">
        <f t="shared" si="301"/>
        <v/>
      </c>
      <c r="HX135" s="541">
        <f t="shared" si="302"/>
        <v>2747.372549019608</v>
      </c>
      <c r="HY135" s="541">
        <f>Sheet1!CZ133</f>
        <v>2966</v>
      </c>
      <c r="HZ135" s="541">
        <f t="shared" si="303"/>
        <v>0</v>
      </c>
      <c r="IA135" s="541">
        <f t="shared" si="304"/>
        <v>64.185029999999998</v>
      </c>
      <c r="IB135" s="541">
        <f t="shared" si="305"/>
        <v>2966</v>
      </c>
      <c r="IC135" s="1019" t="str">
        <f t="shared" si="306"/>
        <v/>
      </c>
      <c r="ID135" s="541">
        <f t="shared" si="307"/>
        <v>2901.8149699999999</v>
      </c>
      <c r="IE135" s="541">
        <f>Sheet1!DB133</f>
        <v>2700</v>
      </c>
      <c r="IF135" s="533">
        <f>Sheet1!DA133</f>
        <v>3558</v>
      </c>
      <c r="IH135" s="541">
        <f>IF(AND($B135&gt;=$GC135,$B135&lt;=$GH135,$DR135&lt;0)+N("only adjusted when pool is drawn down during storage season"),Sheet1!$DB133+$DR135+N("Palmer minus all storage release"),Sheet1!$DB133)</f>
        <v>2700</v>
      </c>
      <c r="II135" s="541">
        <f>IF(AND($B135&gt;=$GC135,$B135&lt;=$GH135,$DR135&lt;0)+N("only adjusted when pool is drawn down during storage season"),Sheet1!$DA133+$DR135+N("Auburn minus all storage release"),Sheet1!$DA133)</f>
        <v>3558</v>
      </c>
    </row>
    <row r="136" spans="1:243" x14ac:dyDescent="0.25">
      <c r="A136" s="553" t="s">
        <v>8</v>
      </c>
      <c r="B136" s="531">
        <v>42860</v>
      </c>
      <c r="C136" s="536">
        <v>0</v>
      </c>
      <c r="D136" s="506">
        <f t="shared" ref="D136:D199" si="371">IF(AND(B136&gt;=DATE($A$1,7,15),B136&lt;=DATE($A$1,9,15)),200,300)</f>
        <v>300</v>
      </c>
      <c r="E136" s="506">
        <f t="shared" ref="E136:E199" si="372">IF(AND(B136&gt;=DATE($A$1,7,15),B136&lt;=DATE($A$1,9,15)),400,250)</f>
        <v>250</v>
      </c>
      <c r="F136" s="506">
        <v>250</v>
      </c>
      <c r="G136" s="535">
        <f>DR136+Sheet1!CZ134</f>
        <v>4805.4563792262652</v>
      </c>
      <c r="H136" s="1074">
        <f t="shared" si="370"/>
        <v>1759.0349912319998</v>
      </c>
      <c r="I136" s="534">
        <f>IF(Sheet1!DA134&gt;=E136,(Sheet1!DA134-E136+P136)*CFStoMGD,0)</f>
        <v>2651.066991232</v>
      </c>
      <c r="J136" s="995">
        <f>IF(Sheet1!DB134&gt;=D136,(Sheet1!DB134-D136+P136)*CFStoMGD,0)</f>
        <v>1759.0349912319998</v>
      </c>
      <c r="K136" s="818">
        <f t="shared" si="282"/>
        <v>64.64</v>
      </c>
      <c r="L136" s="535">
        <f>Sheet1!AA134+Sheet1!AB134-Sheet1!L134+(Sheet1!DA134-F136)*CFStoMGD-S136-T136-U136</f>
        <v>2586.4279999999999</v>
      </c>
      <c r="M136" s="535">
        <f t="shared" si="309"/>
        <v>3168.3719436024953</v>
      </c>
      <c r="N136" s="824">
        <f>IF(Sheet1!DA134&gt;=F136,MIN(113*CFStoMGD,MIN(MAX(L136,0),MAX(M136,0))),0)</f>
        <v>73.043199999999999</v>
      </c>
      <c r="O136" s="538">
        <f>Sheet1!AA134+Sheet1!AB134</f>
        <v>52.54</v>
      </c>
      <c r="P136" s="538">
        <f t="shared" si="310"/>
        <v>81.279379999999989</v>
      </c>
      <c r="Q136" s="812">
        <f t="shared" si="283"/>
        <v>40.89</v>
      </c>
      <c r="R136" s="812">
        <f t="shared" si="249"/>
        <v>11.585397412199629</v>
      </c>
      <c r="S136" s="812">
        <f t="shared" si="250"/>
        <v>11.65</v>
      </c>
      <c r="T136" s="812">
        <f t="shared" si="251"/>
        <v>52.99</v>
      </c>
      <c r="U136" s="812">
        <f t="shared" si="284"/>
        <v>0</v>
      </c>
      <c r="V136" s="812"/>
      <c r="W136" s="812">
        <f t="shared" si="252"/>
        <v>53.054602587800375</v>
      </c>
      <c r="X136" s="812">
        <f t="shared" si="253"/>
        <v>64.64</v>
      </c>
      <c r="Y136" s="812" t="str">
        <f t="shared" si="254"/>
        <v>FALSE</v>
      </c>
      <c r="Z136" s="812">
        <f t="shared" si="255"/>
        <v>52.54</v>
      </c>
      <c r="AA136" s="812">
        <f t="shared" si="256"/>
        <v>52.54</v>
      </c>
      <c r="AB136" s="1059">
        <f t="shared" si="285"/>
        <v>63.256830000000001</v>
      </c>
      <c r="AC136" s="538">
        <f>Sheet1!Y134*MGDtoCFS</f>
        <v>39.603200000000001</v>
      </c>
      <c r="AD136" s="538">
        <f>Sheet1!Z134*MGDtoCFS</f>
        <v>41.614299999999993</v>
      </c>
      <c r="AE136" s="538">
        <f>Sheet1!AA134*MGDtoCFS</f>
        <v>39.665079999999996</v>
      </c>
      <c r="AF136" s="538">
        <f>Sheet1!AB134*MGDtoCFS</f>
        <v>41.614299999999993</v>
      </c>
      <c r="AG136" s="538">
        <f>Sheet1!L134*MGDtoCFS</f>
        <v>0</v>
      </c>
      <c r="AH136" s="521">
        <f t="shared" si="311"/>
        <v>0</v>
      </c>
      <c r="AI136" s="1059">
        <f t="shared" si="312"/>
        <v>0</v>
      </c>
      <c r="AJ136" s="535">
        <f t="shared" si="313"/>
        <v>53.054602587800375</v>
      </c>
      <c r="AK136" s="535">
        <f t="shared" si="314"/>
        <v>82.075470203327171</v>
      </c>
      <c r="AL136" s="535">
        <f>(VLOOKUP(Sheet1!DC134,hhdcap_wcm,4)-(((VLOOKUP(Sheet1!DC134,hhdcap_wcm,3)-Sheet1!DC134)/(VLOOKUP(Sheet1!DC134,hhdcap_wcm,3)-VLOOKUP(Sheet1!DC134,hhdcap_wcm,1)))*(VLOOKUP(Sheet1!DC134,hhdcap_wcm,4)-VLOOKUP(Sheet1!DC134,hhdcap_wcm,2))))</f>
        <v>41084.000000101682</v>
      </c>
      <c r="AM136" s="535">
        <f t="shared" si="315"/>
        <v>3104.3000000056854</v>
      </c>
      <c r="AN136" s="1035">
        <f t="shared" si="316"/>
        <v>4261.7592752872224</v>
      </c>
      <c r="AO136" s="535">
        <f t="shared" si="317"/>
        <v>13075.077456581199</v>
      </c>
      <c r="AP136" s="535">
        <f>Sheet1!BA134+Sheet1!BB134+Sheet1!BN134+CD136</f>
        <v>15.4</v>
      </c>
      <c r="AQ136" s="535">
        <f>Sheet1!BN134+(DO136*Sheet1!BN134)</f>
        <v>15.314602587800369</v>
      </c>
      <c r="AR136" s="535">
        <f>Sheet1!BA134+CD136</f>
        <v>0</v>
      </c>
      <c r="AS136" s="535">
        <f>Sheet1!BA134+Sheet1!BB134+CD136</f>
        <v>0</v>
      </c>
      <c r="AT136" s="649">
        <f>0</f>
        <v>0</v>
      </c>
      <c r="AU136" s="535">
        <f>IF(EB136&lt;K136,0,MAX(Sheet1!AA134+AQ136-15/36*K136-N136,Sheet1!EH134,0))</f>
        <v>0</v>
      </c>
      <c r="AV136" s="535">
        <f>IF(OR(B136&gt;=GD136,B136&lt;GC136),0,15/36*K136-MAX(0,64.6-(137.6-(Sheet1!AA134+Sheet1!AB134))))</f>
        <v>26.933333333333334</v>
      </c>
      <c r="AW136" s="1029"/>
      <c r="AX136" s="649"/>
      <c r="AY136" s="649">
        <f t="shared" si="286"/>
        <v>0</v>
      </c>
      <c r="AZ136" s="649">
        <f t="shared" si="287"/>
        <v>0</v>
      </c>
      <c r="BA136" s="1059">
        <f t="shared" si="288"/>
        <v>0</v>
      </c>
      <c r="BB136" s="1019">
        <f t="shared" si="318"/>
        <v>2127.7333333333345</v>
      </c>
      <c r="BC136" s="1041">
        <f t="shared" si="289"/>
        <v>26.933333333333334</v>
      </c>
      <c r="BD136" s="1019">
        <f ca="1">IF(B136&gt;Summary!$A$1,#N/A,BB136*MGtoAF)</f>
        <v>6527.8858666666702</v>
      </c>
      <c r="BE136" s="535">
        <f>Sheet1!BG134+Sheet1!BH134+Sheet1!BI134-BM136</f>
        <v>1</v>
      </c>
      <c r="BF136" s="535">
        <f t="shared" si="319"/>
        <v>0.99445471349353043</v>
      </c>
      <c r="BG136" s="535">
        <f>IF(Sheet1!EP134="FM",BM136,0)</f>
        <v>0</v>
      </c>
      <c r="BH136" s="535">
        <f t="shared" si="320"/>
        <v>0</v>
      </c>
      <c r="BI136" s="535">
        <f>IF(Sheet1!EP134="OTHER",BM136,0)</f>
        <v>0</v>
      </c>
      <c r="BJ136" s="535">
        <f t="shared" si="321"/>
        <v>0</v>
      </c>
      <c r="BK136" s="535">
        <f t="shared" si="322"/>
        <v>1</v>
      </c>
      <c r="BL136" s="535">
        <f t="shared" si="323"/>
        <v>0.99445471349353043</v>
      </c>
      <c r="BM136" s="535">
        <f>IF(OR(Sheet1!EP134="FM", Sheet1!EP134="OTHER"),SUM(Sheet1!BG134:'Sheet1'!BI134),0)</f>
        <v>0</v>
      </c>
      <c r="BN136" s="521">
        <f>IF(AND($B136&gt;=$FV136,$B136&lt;=$FW136),MAX(BF136,Sheet1!EI134,0),MAX(BF136-(7/36)*$K136,0))</f>
        <v>0</v>
      </c>
      <c r="BO136" s="535">
        <f t="shared" si="324"/>
        <v>11.574434175395359</v>
      </c>
      <c r="BP136" s="521">
        <f t="shared" si="325"/>
        <v>0.99445471349353043</v>
      </c>
      <c r="BQ136" s="521">
        <f>IF(AND($O136&gt;0,Sheet1!EM134=1),(1-($O136-Sheet1!$L134)/$O136)*BL136,0)</f>
        <v>0</v>
      </c>
      <c r="BR136" s="521">
        <f>IF(AND(Sheet1!$L134=0,Sheet1!$L133=0, Calculation!BK136&lt;Sheet1!$EI134-0.1,Sheet1!$EI134=Sheet1!$EI133,Sheet1!$EI134=Sheet1!$EI135),BL136-BQ136,BL136-BQ136)</f>
        <v>0.99445471349353043</v>
      </c>
      <c r="BS136" s="1035" t="str">
        <f t="shared" si="290"/>
        <v/>
      </c>
      <c r="BT136" s="1035">
        <f t="shared" si="291"/>
        <v>12.568888888888889</v>
      </c>
      <c r="BU136" s="535">
        <f t="shared" si="326"/>
        <v>912.56038830992873</v>
      </c>
      <c r="BV136" s="535"/>
      <c r="BW136" s="535">
        <f ca="1">IF(B136&gt;Summary!$A$1,#N/A,BU136*MGtoAF)</f>
        <v>2799.7352713348614</v>
      </c>
      <c r="BX136" s="535">
        <f>Sheet1!BC134+Sheet1!BD134+Sheet1!BE134+Sheet1!BF134-CG136-CH136</f>
        <v>4.17</v>
      </c>
      <c r="BY136" s="535">
        <f t="shared" si="327"/>
        <v>4.1468761552680222</v>
      </c>
      <c r="BZ136" s="535">
        <f>IF(Sheet1!EQ134="FM",CH136,0)</f>
        <v>0</v>
      </c>
      <c r="CA136" s="535">
        <f t="shared" si="328"/>
        <v>0</v>
      </c>
      <c r="CB136" s="535">
        <f>IF(Sheet1!EQ134="OTHER",CH136,0)</f>
        <v>0</v>
      </c>
      <c r="CC136" s="535">
        <f t="shared" si="329"/>
        <v>0</v>
      </c>
      <c r="CD136" s="535">
        <f t="shared" si="330"/>
        <v>0</v>
      </c>
      <c r="CE136" s="535">
        <f t="shared" si="331"/>
        <v>4.17</v>
      </c>
      <c r="CF136" s="535">
        <f t="shared" si="332"/>
        <v>4.1468761552680222</v>
      </c>
      <c r="CG136" s="535">
        <f>IF(Sheet1!EQ134="CWA",SUM(Sheet1!BC134:'Sheet1'!BF134),0)</f>
        <v>0</v>
      </c>
      <c r="CH136" s="535">
        <f>IF(OR(Sheet1!EQ134="FM", Sheet1!EQ134="OTHER"),SUM(Sheet1!BC134:'Sheet1'!BF134),0)</f>
        <v>0</v>
      </c>
      <c r="CI136" s="521">
        <f>IF(AND($B136&gt;=$FV136,$B136&lt;=$FW136),MAX(CF136,Sheet1!EJ134,0),MAX(CF136-(7/36)*$K136,0))</f>
        <v>0</v>
      </c>
      <c r="CJ136" s="535">
        <f t="shared" si="333"/>
        <v>8.4220127336208677</v>
      </c>
      <c r="CK136" s="521">
        <f t="shared" si="334"/>
        <v>4.1468761552680222</v>
      </c>
      <c r="CL136" s="521">
        <f>IF(AND($O136&gt;0,Sheet1!EN134=1),(1-($O136-Sheet1!$L134)/$O136)*CF136,0)</f>
        <v>0</v>
      </c>
      <c r="CM136" s="521">
        <f>IF(AND(Sheet1!$L134=0,Sheet1!$L133=0, Calculation!CE136&lt;Sheet1!EJ134-0.1,Sheet1!EJ134=Sheet1!EJ133,Sheet1!EJ134=Sheet1!EJ135),CF136-CL136,CF136-CL136)</f>
        <v>4.1468761552680222</v>
      </c>
      <c r="CN136" s="1040" t="str">
        <f t="shared" si="292"/>
        <v/>
      </c>
      <c r="CO136" s="1035">
        <f t="shared" si="293"/>
        <v>12.568888888888889</v>
      </c>
      <c r="CP136" s="535">
        <f t="shared" si="335"/>
        <v>741.78118145323481</v>
      </c>
      <c r="CQ136" s="535"/>
      <c r="CR136" s="535">
        <f ca="1">IF(B136&gt;Summary!$A$1,#N/A,CP136*MGtoAF)</f>
        <v>2275.7846646985245</v>
      </c>
      <c r="CS136" s="535">
        <f>Sheet1!BK134+Sheet1!BL134+Sheet1!BM134-Sheet1!ER134-DA136</f>
        <v>6.48</v>
      </c>
      <c r="CT136" s="535">
        <f t="shared" si="336"/>
        <v>6.4440665434380779</v>
      </c>
      <c r="CU136" s="535">
        <f>IF(Sheet1!ER134="FM",DA136,0)</f>
        <v>0</v>
      </c>
      <c r="CV136" s="535">
        <f t="shared" si="337"/>
        <v>0</v>
      </c>
      <c r="CW136" s="535">
        <f>IF(Sheet1!ER134="OTHER",DA136,0)</f>
        <v>0</v>
      </c>
      <c r="CX136" s="535">
        <f t="shared" si="338"/>
        <v>0</v>
      </c>
      <c r="CY136" s="535">
        <f t="shared" si="339"/>
        <v>6.48</v>
      </c>
      <c r="CZ136" s="535">
        <f t="shared" si="340"/>
        <v>6.4440665434380779</v>
      </c>
      <c r="DA136" s="535">
        <f>IF(OR(Sheet1!ER134="FM", Sheet1!ER134="OTHER"),SUM(Sheet1!BK134:'Sheet1'!BM134),0)</f>
        <v>0</v>
      </c>
      <c r="DB136" s="1011">
        <f>IF(AND($B136&gt;=$FV136,$B136&lt;=$FW136),MAX($CT136,Sheet1!EK134,0),MAX($CT136-(7/36)*$K136,0))</f>
        <v>0</v>
      </c>
      <c r="DC136" s="1012">
        <f t="shared" si="341"/>
        <v>6.1248223454508111</v>
      </c>
      <c r="DD136" s="1011">
        <f t="shared" si="342"/>
        <v>6.4440665434380779</v>
      </c>
      <c r="DE136" s="521">
        <f>IF(AND($O136&gt;0,Sheet1!EO134=1),(1-($O136-Sheet1!$L134)/$O136)*CZ136,0)</f>
        <v>0</v>
      </c>
      <c r="DF136" s="521">
        <f>IF(AND(Sheet1!$L134=0,Sheet1!$L133=0, Calculation!CY136&lt;Sheet1!$EK134-0.1,Sheet1!$EK134=Sheet1!$EK133,Sheet1!$EK134=Sheet1!$EK135),CZ136-DE136,CZ136-DE136)</f>
        <v>6.4440665434380779</v>
      </c>
      <c r="DG136" s="1040">
        <f t="shared" si="294"/>
        <v>12.568888888888889</v>
      </c>
      <c r="DH136" s="649">
        <f t="shared" si="343"/>
        <v>11.65</v>
      </c>
      <c r="DI136" s="535">
        <f t="shared" si="344"/>
        <v>479.68437219072439</v>
      </c>
      <c r="DJ136" s="649">
        <f t="shared" si="345"/>
        <v>11.585397412199629</v>
      </c>
      <c r="DK136" s="535">
        <f ca="1">IF(B136&gt;Summary!$A$1,#N/A,DI136*MGtoAF)</f>
        <v>1471.6716538811424</v>
      </c>
      <c r="DL136" s="649">
        <f t="shared" si="346"/>
        <v>11.65</v>
      </c>
      <c r="DM136" s="535">
        <f t="shared" si="347"/>
        <v>27.05</v>
      </c>
      <c r="DN136" s="535">
        <f>Sheet1!AB134-DM136</f>
        <v>-0.15000000000000213</v>
      </c>
      <c r="DO136" s="743">
        <f t="shared" si="348"/>
        <v>-5.5452865064695798E-3</v>
      </c>
      <c r="DP136" s="535">
        <f>(VLOOKUP(Sheet1!DC134,hhdcap_wcm,4)-(((VLOOKUP(Sheet1!DC134,hhdcap_wcm,3)-Sheet1!DC134)/(VLOOKUP(Sheet1!DC134,hhdcap_wcm,3)-VLOOKUP(Sheet1!DC134,hhdcap_wcm,1)))*(VLOOKUP(Sheet1!DC134,hhdcap_wcm,4)-VLOOKUP(Sheet1!DC134,hhdcap_wcm,2))))</f>
        <v>41084.000000101682</v>
      </c>
      <c r="DQ136" s="535">
        <f t="shared" si="349"/>
        <v>3104.3000000056854</v>
      </c>
      <c r="DR136" s="535">
        <f t="shared" si="350"/>
        <v>1565.4563792262657</v>
      </c>
      <c r="DS136" s="535">
        <f>Sheet1!EA134*AFtoMG</f>
        <v>0</v>
      </c>
      <c r="DT136" s="535">
        <f>Sheet1!EB134*AFtoMG</f>
        <v>0</v>
      </c>
      <c r="DU136" s="535">
        <f>Sheet1!EC134*AFtoMG</f>
        <v>0</v>
      </c>
      <c r="DV136" s="535">
        <f>Sheet1!ED134*AFtoMG</f>
        <v>0</v>
      </c>
      <c r="DW136" s="535">
        <f t="shared" si="351"/>
        <v>0</v>
      </c>
      <c r="DX136" s="535">
        <f t="shared" si="352"/>
        <v>0</v>
      </c>
      <c r="DY136" s="535">
        <f t="shared" si="353"/>
        <v>4261.7592752872224</v>
      </c>
      <c r="DZ136" s="535">
        <f t="shared" si="354"/>
        <v>13075.077456581199</v>
      </c>
      <c r="EA136" s="535"/>
      <c r="EB136" s="521">
        <f>IF(OR(B136&lt;FV136,B136&gt;FW136),(MIN(BF136+BY136+CT136+MAX(Sheet1!AA134+AQ136-73,0),K136)),0)</f>
        <v>11.585397412199629</v>
      </c>
      <c r="EC136" s="535"/>
      <c r="ED136" s="535">
        <f t="shared" si="355"/>
        <v>11.585397412199629</v>
      </c>
      <c r="EE136" s="535"/>
      <c r="EF136" s="535">
        <f>Sheet1!EH134+Sheet1!EI134+Sheet1!EJ134+Sheet1!EK134</f>
        <v>12</v>
      </c>
      <c r="EG136" s="1019">
        <f t="shared" si="295"/>
        <v>18.564</v>
      </c>
      <c r="EH136" s="521">
        <f t="shared" si="356"/>
        <v>0</v>
      </c>
      <c r="EI136" s="535">
        <f>IF(Sheet1!ET134=1,SUM('Calculations II'!AT136:BA136)+'Calculations II'!BC136+Sheet1!BV134+'Calculations II'!BE136+AP136,'Calculations II'!BK136)</f>
        <v>41.016742587800366</v>
      </c>
      <c r="EJ136" s="535">
        <f ca="1">EI136+'Calculations II'!D136+'Calculations II'!E136+'Calculations II'!O136</f>
        <v>46.928865047403363</v>
      </c>
      <c r="EK136" s="535"/>
      <c r="EL136" s="535"/>
      <c r="EM136" s="535">
        <f t="shared" si="357"/>
        <v>42860</v>
      </c>
      <c r="EN136" s="535">
        <f t="shared" si="358"/>
        <v>53.054602587800375</v>
      </c>
      <c r="EO136" s="535">
        <f t="shared" si="359"/>
        <v>82.075470203327171</v>
      </c>
      <c r="EP136" s="535">
        <v>0</v>
      </c>
      <c r="EQ136" s="535">
        <v>0</v>
      </c>
      <c r="ER136" s="535">
        <v>0</v>
      </c>
      <c r="ES136" s="521">
        <f t="shared" si="257"/>
        <v>-3.5808927876491214</v>
      </c>
      <c r="ET136" s="535">
        <f>-(VLOOKUP(Sheet1!BQ134,Lookup!$O$4:$Q$262,2)-VLOOKUP(Sheet1!BQ133,Lookup!$O$4:$Q$262,2))/1000000</f>
        <v>0.69223164033699036</v>
      </c>
      <c r="EU136" s="535">
        <f>-(VLOOKUP(Sheet1!BR134,Lookup!$O$4:$Q$262,3)-VLOOKUP(Sheet1!BR133,Lookup!$O$4:$Q$262,3))/1000000</f>
        <v>-4.2731244279861116</v>
      </c>
      <c r="EV136" s="535"/>
      <c r="EW136" s="535"/>
      <c r="EX136" s="535"/>
      <c r="EY136" s="535"/>
      <c r="EZ136" s="535"/>
      <c r="FA136" s="535"/>
      <c r="FB136" s="535"/>
      <c r="FC136" s="535"/>
      <c r="FD136" s="567" t="e">
        <f t="shared" si="360"/>
        <v>#N/A</v>
      </c>
      <c r="FE136" s="567" t="e">
        <f t="shared" si="361"/>
        <v>#N/A</v>
      </c>
      <c r="FF136" s="568" t="e">
        <f t="shared" si="362"/>
        <v>#N/A</v>
      </c>
      <c r="FG136" s="569" t="s">
        <v>656</v>
      </c>
      <c r="FH136" s="569" t="s">
        <v>656</v>
      </c>
      <c r="FI136" s="567" t="e">
        <v>#N/A</v>
      </c>
      <c r="FJ136" s="567" t="e">
        <v>#N/A</v>
      </c>
      <c r="FK136" s="535"/>
      <c r="FL136" s="1015">
        <v>0</v>
      </c>
      <c r="FM136" s="535"/>
      <c r="FN136" s="535"/>
      <c r="FO136" s="535">
        <f>O136+((Sheet1!CS134)*GPMtoMGD)</f>
        <v>57.663376</v>
      </c>
      <c r="FP136" s="535">
        <f>IF(Sheet1!AA134+AQ136&lt;=Calculation!N136,AQ136,Calculation!N136-Sheet1!AA134)</f>
        <v>15.314602587800369</v>
      </c>
      <c r="FQ136" s="535">
        <f>(Sheet1!BP134+Sheet1!BO134)/694.4</f>
        <v>1.4668778801843319</v>
      </c>
      <c r="FR136" s="541"/>
      <c r="FS136" s="541"/>
      <c r="FT136" s="541"/>
      <c r="FU136" s="541"/>
      <c r="FV136" s="1109">
        <f t="shared" si="258"/>
        <v>42918</v>
      </c>
      <c r="FW136" s="1109">
        <f t="shared" si="259"/>
        <v>43027</v>
      </c>
      <c r="FX136" s="541"/>
      <c r="FY136" s="541">
        <f>Sheet1!DA134-Sheet1!CZ134-Sheet1!AE134</f>
        <v>948.72062000000005</v>
      </c>
      <c r="FZ136" s="535">
        <f t="shared" si="296"/>
        <v>0.19742570634940509</v>
      </c>
      <c r="GA136" s="535"/>
      <c r="GB136" s="535" t="str">
        <f t="shared" si="260"/>
        <v>n</v>
      </c>
      <c r="GC136" s="539">
        <f t="shared" si="261"/>
        <v>42782</v>
      </c>
      <c r="GD136" s="1109">
        <f t="shared" si="262"/>
        <v>42904</v>
      </c>
      <c r="GE136" s="535">
        <f t="shared" si="280"/>
        <v>6520</v>
      </c>
      <c r="GF136" s="1109">
        <f t="shared" si="263"/>
        <v>42909</v>
      </c>
      <c r="GG136" s="535">
        <f t="shared" si="308"/>
        <v>3260</v>
      </c>
      <c r="GH136" s="539">
        <f t="shared" si="264"/>
        <v>43040</v>
      </c>
      <c r="GJ136" s="521">
        <f t="shared" si="265"/>
        <v>0</v>
      </c>
      <c r="GK136" s="535" t="str">
        <f t="shared" si="363"/>
        <v/>
      </c>
      <c r="GL136" s="535">
        <f t="shared" si="266"/>
        <v>0</v>
      </c>
      <c r="GM136" s="535" t="str">
        <f t="shared" si="267"/>
        <v/>
      </c>
      <c r="GN136" s="535">
        <f>IF(GK136="P",Lookup!$M$12,IF(GK136="PP",Lookup!$M$13,IF(GK136="PPP",Lookup!$M$14,IF(GK136="T",Lookup!$M$15,IF(GK136="TP",Lookup!$M$16,IF(GK136="TPP",Lookup!$M$17,IF(GK136="TPPP",Lookup!$M$18,0)))))))*GJ136</f>
        <v>0</v>
      </c>
      <c r="GO136" s="535">
        <f t="shared" si="268"/>
        <v>0</v>
      </c>
      <c r="GP136" s="535">
        <f t="shared" si="364"/>
        <v>6527.8858666666702</v>
      </c>
      <c r="GQ136" s="535">
        <f t="shared" si="279"/>
        <v>2127.7333333333345</v>
      </c>
      <c r="GR136" s="535"/>
      <c r="GS136" s="535">
        <f t="shared" si="269"/>
        <v>0</v>
      </c>
      <c r="GT136" s="535" t="str">
        <f t="shared" si="270"/>
        <v/>
      </c>
      <c r="GU136" s="535">
        <f>IF(GK136="P",Lookup!$N$12,IF(GK136="PP",Lookup!$N$13,IF(GK136="PPP",Lookup!$N$14,IF(GK136="T",Lookup!$N$15,IF(GK136="TP",Lookup!$N$16,IF(GK136="TPP",Lookup!$N$17,IF(GK136="TPPP",Lookup!$N$18,0)))))))*GJ136</f>
        <v>0</v>
      </c>
      <c r="GV136" s="535">
        <f t="shared" si="271"/>
        <v>0</v>
      </c>
      <c r="GW136" s="535">
        <f t="shared" si="365"/>
        <v>2799.7352713348614</v>
      </c>
      <c r="GX136" s="535">
        <f t="shared" si="276"/>
        <v>912.56038830992873</v>
      </c>
      <c r="GY136" s="535"/>
      <c r="GZ136" s="535">
        <f t="shared" si="272"/>
        <v>0</v>
      </c>
      <c r="HA136" s="535" t="str">
        <f t="shared" si="273"/>
        <v/>
      </c>
      <c r="HB136" s="535">
        <f>IF(GK136="P",Lookup!$N$12,IF(GK136="PP",Lookup!$N$13,IF(GK136="PPP",Lookup!$N$14,IF(GK136="T",Lookup!$N$15,IF(GK136="TP",Lookup!$N$16,IF(GK136="TPP",Lookup!$N$17,IF(GK136="TPPP",Lookup!$N$18,0)))))))*GJ136</f>
        <v>0</v>
      </c>
      <c r="HC136" s="521">
        <f t="shared" si="366"/>
        <v>0</v>
      </c>
      <c r="HD136" s="535">
        <f t="shared" si="367"/>
        <v>2275.7846646985245</v>
      </c>
      <c r="HE136" s="535">
        <f t="shared" si="277"/>
        <v>741.78118145323481</v>
      </c>
      <c r="HF136" s="535"/>
      <c r="HG136" s="535">
        <f t="shared" si="274"/>
        <v>0</v>
      </c>
      <c r="HH136" s="535" t="str">
        <f t="shared" si="275"/>
        <v/>
      </c>
      <c r="HI136" s="535">
        <f>IF(GK136="P",Lookup!$N$12,IF(GK136="PP",Lookup!$N$13,IF(GK136="PPP",Lookup!$N$14,IF(GK136="T",Lookup!$N$15,IF(GK136="TP",Lookup!$N$16,IF(GK136="TPP",Lookup!$N$17,IF(GK136="TPPP",Lookup!$N$18,0)))))))*GJ136</f>
        <v>0</v>
      </c>
      <c r="HJ136" s="521">
        <f t="shared" si="368"/>
        <v>0</v>
      </c>
      <c r="HK136" s="535">
        <f t="shared" si="369"/>
        <v>1471.6716538811424</v>
      </c>
      <c r="HL136" s="535">
        <f t="shared" si="278"/>
        <v>479.68437219072439</v>
      </c>
      <c r="HM136" s="535"/>
      <c r="HN136" s="541"/>
      <c r="HO136" s="541"/>
      <c r="HP136" s="541"/>
      <c r="HQ136" s="541">
        <f>IF(AND(B136&gt;=$FV$4,B136&lt;=$FW$4),MAX(110/1.02+$HQ$6+MIN(113/1.02,G136),IF($HV$6-(Sheet1!DA134-Sheet1!DB134)+MIN(113/1.02,G136)&lt;G136+FL136,$HV$6-(Sheet1!DA134-Sheet1!DB134)+MIN(113/1.02,G136),G136+FL136)),MIN(110/1.02+$HQ$6+113/1.02,G136))</f>
        <v>218.62745098039215</v>
      </c>
      <c r="HR136" s="541">
        <f t="shared" si="297"/>
        <v>223</v>
      </c>
      <c r="HS136" s="541">
        <f>HR136+(Sheet1!DA134-Sheet1!DB134)</f>
        <v>1553</v>
      </c>
      <c r="HT136" s="541">
        <f t="shared" si="298"/>
        <v>63.256830000000001</v>
      </c>
      <c r="HU136" s="541">
        <f t="shared" si="299"/>
        <v>1489.74317</v>
      </c>
      <c r="HV136" s="541">
        <f t="shared" si="300"/>
        <v>0</v>
      </c>
      <c r="HW136" s="533" t="str">
        <f t="shared" si="301"/>
        <v/>
      </c>
      <c r="HX136" s="541">
        <f t="shared" si="302"/>
        <v>3021.372549019608</v>
      </c>
      <c r="HY136" s="541">
        <f>Sheet1!CZ134</f>
        <v>3240</v>
      </c>
      <c r="HZ136" s="541">
        <f t="shared" si="303"/>
        <v>0</v>
      </c>
      <c r="IA136" s="541">
        <f t="shared" si="304"/>
        <v>63.256830000000001</v>
      </c>
      <c r="IB136" s="541">
        <f t="shared" si="305"/>
        <v>3240</v>
      </c>
      <c r="IC136" s="1019" t="str">
        <f t="shared" si="306"/>
        <v/>
      </c>
      <c r="ID136" s="541">
        <f t="shared" si="307"/>
        <v>3176.7431700000002</v>
      </c>
      <c r="IE136" s="541">
        <f>Sheet1!DB134</f>
        <v>2940</v>
      </c>
      <c r="IF136" s="533">
        <f>Sheet1!DA134</f>
        <v>4270</v>
      </c>
      <c r="IH136" s="541">
        <f>IF(AND($B136&gt;=$GC136,$B136&lt;=$GH136,$DR136&lt;0)+N("only adjusted when pool is drawn down during storage season"),Sheet1!$DB134+$DR136+N("Palmer minus all storage release"),Sheet1!$DB134)</f>
        <v>2940</v>
      </c>
      <c r="II136" s="541">
        <f>IF(AND($B136&gt;=$GC136,$B136&lt;=$GH136,$DR136&lt;0)+N("only adjusted when pool is drawn down during storage season"),Sheet1!$DA134+$DR136+N("Auburn minus all storage release"),Sheet1!$DA134)</f>
        <v>4270</v>
      </c>
    </row>
    <row r="137" spans="1:243" x14ac:dyDescent="0.25">
      <c r="A137" s="553" t="s">
        <v>9</v>
      </c>
      <c r="B137" s="531">
        <v>42861</v>
      </c>
      <c r="C137" s="536">
        <v>0</v>
      </c>
      <c r="D137" s="506">
        <f t="shared" si="371"/>
        <v>300</v>
      </c>
      <c r="E137" s="506">
        <f t="shared" si="372"/>
        <v>250</v>
      </c>
      <c r="F137" s="506">
        <v>250</v>
      </c>
      <c r="G137" s="535">
        <f>DR137+Sheet1!CZ135</f>
        <v>3551.8507312165602</v>
      </c>
      <c r="H137" s="1074">
        <f t="shared" si="370"/>
        <v>1772.6829774079999</v>
      </c>
      <c r="I137" s="534">
        <f>IF(Sheet1!DA135&gt;=E137,(Sheet1!DA135-E137+P137)*CFStoMGD,0)</f>
        <v>2548.362977408</v>
      </c>
      <c r="J137" s="995">
        <f>IF(Sheet1!DB135&gt;=D137,(Sheet1!DB135-D137+P137)*CFStoMGD,0)</f>
        <v>1772.6829774079999</v>
      </c>
      <c r="K137" s="818">
        <f t="shared" si="282"/>
        <v>64.64</v>
      </c>
      <c r="L137" s="535">
        <f>Sheet1!AA135+Sheet1!AB135-Sheet1!L135+(Sheet1!DA135-F137)*CFStoMGD-S137-T137-U137</f>
        <v>2483.7240000000002</v>
      </c>
      <c r="M137" s="535">
        <f t="shared" si="309"/>
        <v>2341.8346389115522</v>
      </c>
      <c r="N137" s="824">
        <f>IF(Sheet1!DA135&gt;=F137,MIN(113*CFStoMGD,MIN(MAX(L137,0),MAX(M137,0))),0)</f>
        <v>73.043199999999999</v>
      </c>
      <c r="O137" s="538">
        <f>Sheet1!AA135+Sheet1!AB135</f>
        <v>53.260000000000005</v>
      </c>
      <c r="P137" s="538">
        <f t="shared" si="310"/>
        <v>82.393219999999999</v>
      </c>
      <c r="Q137" s="812">
        <f t="shared" si="283"/>
        <v>41.28</v>
      </c>
      <c r="R137" s="812">
        <f t="shared" ref="R137:R200" si="373">IF(AND(B137&gt;=GF137,B137&lt;=GH137),MAX(EB137,EF137),EB137)</f>
        <v>11.945375722543353</v>
      </c>
      <c r="S137" s="812">
        <f t="shared" ref="S137:S200" si="374">IF(OR(B137&lt;GC137,B137&gt;GH137),MIN(O137,K137),IF(AND(B137&gt;=FV137,B137&lt;=FW137),0,IF(AND(B137&gt;=GC137,B137&lt;=GD137),DL137,IF(AND(B137&gt;GD137,B137&lt;FV137),MIN(K137,O137),0))))</f>
        <v>11.98</v>
      </c>
      <c r="T137" s="812">
        <f t="shared" ref="T137:T200" si="375">IF(OR(B137&lt;GC137,B137&gt;GD137),0, K137-DL137)</f>
        <v>52.66</v>
      </c>
      <c r="U137" s="812">
        <f t="shared" si="284"/>
        <v>0</v>
      </c>
      <c r="V137" s="812"/>
      <c r="W137" s="812">
        <f t="shared" ref="W137:W200" si="376">MAX(K137-DJ137,0)</f>
        <v>52.694624277456647</v>
      </c>
      <c r="X137" s="812">
        <f t="shared" ref="X137:X200" si="377">S137+T137</f>
        <v>64.64</v>
      </c>
      <c r="Y137" s="812" t="str">
        <f t="shared" ref="Y137:Y200" si="378">IF(OR(O137&gt;K137,AND(B137&gt;=GC137,B137&lt;=GD137),), "FALSE","")</f>
        <v>FALSE</v>
      </c>
      <c r="Z137" s="812">
        <f t="shared" ref="Z137:Z200" si="379">O137</f>
        <v>53.260000000000005</v>
      </c>
      <c r="AA137" s="812">
        <f t="shared" ref="AA137:AA200" si="380">Q137+S137+U137</f>
        <v>53.260000000000005</v>
      </c>
      <c r="AB137" s="1059">
        <f t="shared" si="285"/>
        <v>63.86016</v>
      </c>
      <c r="AC137" s="538">
        <f>Sheet1!Y135*MGDtoCFS</f>
        <v>39.665079999999996</v>
      </c>
      <c r="AD137" s="538">
        <f>Sheet1!Z135*MGDtoCFS</f>
        <v>41.614299999999993</v>
      </c>
      <c r="AE137" s="538">
        <f>Sheet1!AA135*MGDtoCFS</f>
        <v>39.696019999999997</v>
      </c>
      <c r="AF137" s="538">
        <f>Sheet1!AB135*MGDtoCFS</f>
        <v>42.697200000000002</v>
      </c>
      <c r="AG137" s="538">
        <f>Sheet1!L135*MGDtoCFS</f>
        <v>0</v>
      </c>
      <c r="AH137" s="521">
        <f t="shared" si="311"/>
        <v>0</v>
      </c>
      <c r="AI137" s="1059">
        <f t="shared" si="312"/>
        <v>0</v>
      </c>
      <c r="AJ137" s="535">
        <f t="shared" si="313"/>
        <v>52.694624277456647</v>
      </c>
      <c r="AK137" s="535">
        <f t="shared" si="314"/>
        <v>81.518583757225429</v>
      </c>
      <c r="AL137" s="535">
        <f>(VLOOKUP(Sheet1!DC135,hhdcap_wcm,4)-(((VLOOKUP(Sheet1!DC135,hhdcap_wcm,3)-Sheet1!DC135)/(VLOOKUP(Sheet1!DC135,hhdcap_wcm,3)-VLOOKUP(Sheet1!DC135,hhdcap_wcm,1)))*(VLOOKUP(Sheet1!DC135,hhdcap_wcm,4)-VLOOKUP(Sheet1!DC135,hhdcap_wcm,2))))</f>
        <v>41702.40000010412</v>
      </c>
      <c r="AM137" s="535">
        <f t="shared" si="315"/>
        <v>618.4000000024389</v>
      </c>
      <c r="AN137" s="1035">
        <f t="shared" si="316"/>
        <v>4314.453899564679</v>
      </c>
      <c r="AO137" s="535">
        <f t="shared" si="317"/>
        <v>13236.744563864435</v>
      </c>
      <c r="AP137" s="535">
        <f>Sheet1!BA135+Sheet1!BB135+Sheet1!BN135+CD137</f>
        <v>15.7</v>
      </c>
      <c r="AQ137" s="535">
        <f>Sheet1!BN135+(DO137*Sheet1!BN135)</f>
        <v>15.654624277456648</v>
      </c>
      <c r="AR137" s="535">
        <f>Sheet1!BA135+CD137</f>
        <v>0</v>
      </c>
      <c r="AS137" s="535">
        <f>Sheet1!BA135+Sheet1!BB135+CD137</f>
        <v>0</v>
      </c>
      <c r="AT137" s="649">
        <f>0</f>
        <v>0</v>
      </c>
      <c r="AU137" s="535">
        <f>IF(EB137&lt;K137,0,MAX(Sheet1!AA135+AQ137-15/36*K137-N137,Sheet1!EH135,0))</f>
        <v>0</v>
      </c>
      <c r="AV137" s="535">
        <f>IF(OR(B137&gt;=GD137,B137&lt;GC137),0,15/36*K137-MAX(0,64.6-(137.6-(Sheet1!AA135+Sheet1!AB135))))</f>
        <v>26.933333333333334</v>
      </c>
      <c r="AW137" s="1029"/>
      <c r="AX137" s="649"/>
      <c r="AY137" s="649">
        <f t="shared" si="286"/>
        <v>0</v>
      </c>
      <c r="AZ137" s="649">
        <f t="shared" si="287"/>
        <v>0</v>
      </c>
      <c r="BA137" s="1059">
        <f t="shared" si="288"/>
        <v>0</v>
      </c>
      <c r="BB137" s="1019">
        <f t="shared" si="318"/>
        <v>2154.6666666666679</v>
      </c>
      <c r="BC137" s="1041">
        <f t="shared" si="289"/>
        <v>26.933333333333334</v>
      </c>
      <c r="BD137" s="1019">
        <f ca="1">IF(B137&gt;Summary!$A$1,#N/A,BB137*MGtoAF)</f>
        <v>6610.5173333333369</v>
      </c>
      <c r="BE137" s="535">
        <f>Sheet1!BG135+Sheet1!BH135+Sheet1!BI135-BM137</f>
        <v>1.01</v>
      </c>
      <c r="BF137" s="535">
        <f t="shared" si="319"/>
        <v>1.0070809248554915</v>
      </c>
      <c r="BG137" s="535">
        <f>IF(Sheet1!EP135="FM",BM137,0)</f>
        <v>0</v>
      </c>
      <c r="BH137" s="535">
        <f t="shared" si="320"/>
        <v>0</v>
      </c>
      <c r="BI137" s="535">
        <f>IF(Sheet1!EP135="OTHER",BM137,0)</f>
        <v>0</v>
      </c>
      <c r="BJ137" s="535">
        <f t="shared" si="321"/>
        <v>0</v>
      </c>
      <c r="BK137" s="535">
        <f t="shared" si="322"/>
        <v>1.01</v>
      </c>
      <c r="BL137" s="535">
        <f t="shared" si="323"/>
        <v>1.0070809248554915</v>
      </c>
      <c r="BM137" s="535">
        <f>IF(OR(Sheet1!EP135="FM", Sheet1!EP135="OTHER"),SUM(Sheet1!BG135:'Sheet1'!BI135),0)</f>
        <v>0</v>
      </c>
      <c r="BN137" s="521">
        <f>IF(AND($B137&gt;=$FV137,$B137&lt;=$FW137),MAX(BF137,Sheet1!EI135,0),MAX(BF137-(7/36)*$K137,0))</f>
        <v>0</v>
      </c>
      <c r="BO137" s="535">
        <f t="shared" si="324"/>
        <v>11.561807964033397</v>
      </c>
      <c r="BP137" s="521">
        <f t="shared" si="325"/>
        <v>1.0070809248554915</v>
      </c>
      <c r="BQ137" s="521">
        <f>IF(AND($O137&gt;0,Sheet1!EM135=1),(1-($O137-Sheet1!$L135)/$O137)*BL137,0)</f>
        <v>0</v>
      </c>
      <c r="BR137" s="521">
        <f>IF(AND(Sheet1!$L135=0,Sheet1!$L134=0, Calculation!BK137&lt;Sheet1!$EI135-0.1,Sheet1!$EI135=Sheet1!$EI134,Sheet1!$EI135=Sheet1!$EI136),BL137-BQ137,BL137-BQ137)</f>
        <v>1.0070809248554915</v>
      </c>
      <c r="BS137" s="1035" t="str">
        <f t="shared" si="290"/>
        <v/>
      </c>
      <c r="BT137" s="1035">
        <f t="shared" si="291"/>
        <v>12.568888888888889</v>
      </c>
      <c r="BU137" s="535">
        <f t="shared" si="326"/>
        <v>924.12219627396212</v>
      </c>
      <c r="BV137" s="535"/>
      <c r="BW137" s="535">
        <f ca="1">IF(B137&gt;Summary!$A$1,#N/A,BU137*MGtoAF)</f>
        <v>2835.2068981685156</v>
      </c>
      <c r="BX137" s="535">
        <f>Sheet1!BC135+Sheet1!BD135+Sheet1!BE135+Sheet1!BF135-CG137-CH137</f>
        <v>4.49</v>
      </c>
      <c r="BY137" s="535">
        <f t="shared" si="327"/>
        <v>4.4770231213872833</v>
      </c>
      <c r="BZ137" s="535">
        <f>IF(Sheet1!EQ135="FM",CH137,0)</f>
        <v>0</v>
      </c>
      <c r="CA137" s="535">
        <f t="shared" si="328"/>
        <v>0</v>
      </c>
      <c r="CB137" s="535">
        <f>IF(Sheet1!EQ135="OTHER",CH137,0)</f>
        <v>0</v>
      </c>
      <c r="CC137" s="535">
        <f t="shared" si="329"/>
        <v>0</v>
      </c>
      <c r="CD137" s="535">
        <f t="shared" si="330"/>
        <v>0</v>
      </c>
      <c r="CE137" s="535">
        <f t="shared" si="331"/>
        <v>4.49</v>
      </c>
      <c r="CF137" s="535">
        <f t="shared" si="332"/>
        <v>4.4770231213872833</v>
      </c>
      <c r="CG137" s="535">
        <f>IF(Sheet1!EQ135="CWA",SUM(Sheet1!BC135:'Sheet1'!BF135),0)</f>
        <v>0</v>
      </c>
      <c r="CH137" s="535">
        <f>IF(OR(Sheet1!EQ135="FM", Sheet1!EQ135="OTHER"),SUM(Sheet1!BC135:'Sheet1'!BF135),0)</f>
        <v>0</v>
      </c>
      <c r="CI137" s="521">
        <f>IF(AND($B137&gt;=$FV137,$B137&lt;=$FW137),MAX(CF137,Sheet1!EJ135,0),MAX(CF137-(7/36)*$K137,0))</f>
        <v>0</v>
      </c>
      <c r="CJ137" s="535">
        <f t="shared" si="333"/>
        <v>8.0918657675016057</v>
      </c>
      <c r="CK137" s="521">
        <f t="shared" si="334"/>
        <v>4.4770231213872833</v>
      </c>
      <c r="CL137" s="521">
        <f>IF(AND($O137&gt;0,Sheet1!EN135=1),(1-($O137-Sheet1!$L135)/$O137)*CF137,0)</f>
        <v>0</v>
      </c>
      <c r="CM137" s="521">
        <f>IF(AND(Sheet1!$L135=0,Sheet1!$L134=0, Calculation!CE137&lt;Sheet1!EJ135-0.1,Sheet1!EJ135=Sheet1!EJ134,Sheet1!EJ135=Sheet1!EJ136),CF137-CL137,CF137-CL137)</f>
        <v>4.4770231213872833</v>
      </c>
      <c r="CN137" s="1040" t="str">
        <f t="shared" si="292"/>
        <v/>
      </c>
      <c r="CO137" s="1035">
        <f t="shared" si="293"/>
        <v>12.568888888888889</v>
      </c>
      <c r="CP137" s="535">
        <f t="shared" si="335"/>
        <v>749.87304722073645</v>
      </c>
      <c r="CQ137" s="535"/>
      <c r="CR137" s="535">
        <f ca="1">IF(B137&gt;Summary!$A$1,#N/A,CP137*MGtoAF)</f>
        <v>2300.6105088732193</v>
      </c>
      <c r="CS137" s="535">
        <f>Sheet1!BK135+Sheet1!BL135+Sheet1!BM135-Sheet1!ER135-DA137</f>
        <v>6.48</v>
      </c>
      <c r="CT137" s="535">
        <f t="shared" si="336"/>
        <v>6.4612716763005791</v>
      </c>
      <c r="CU137" s="535">
        <f>IF(Sheet1!ER135="FM",DA137,0)</f>
        <v>0</v>
      </c>
      <c r="CV137" s="535">
        <f t="shared" si="337"/>
        <v>0</v>
      </c>
      <c r="CW137" s="535">
        <f>IF(Sheet1!ER135="OTHER",DA137,0)</f>
        <v>0</v>
      </c>
      <c r="CX137" s="535">
        <f t="shared" si="338"/>
        <v>0</v>
      </c>
      <c r="CY137" s="535">
        <f t="shared" si="339"/>
        <v>6.48</v>
      </c>
      <c r="CZ137" s="535">
        <f t="shared" si="340"/>
        <v>6.4612716763005791</v>
      </c>
      <c r="DA137" s="535">
        <f>IF(OR(Sheet1!ER135="FM", Sheet1!ER135="OTHER"),SUM(Sheet1!BK135:'Sheet1'!BM135),0)</f>
        <v>0</v>
      </c>
      <c r="DB137" s="1011">
        <f>IF(AND($B137&gt;=$FV137,$B137&lt;=$FW137),MAX($CT137,Sheet1!EK135,0),MAX($CT137-(7/36)*$K137,0))</f>
        <v>0</v>
      </c>
      <c r="DC137" s="1012">
        <f t="shared" si="341"/>
        <v>6.1076172125883099</v>
      </c>
      <c r="DD137" s="1011">
        <f t="shared" si="342"/>
        <v>6.4612716763005791</v>
      </c>
      <c r="DE137" s="521">
        <f>IF(AND($O137&gt;0,Sheet1!EO135=1),(1-($O137-Sheet1!$L135)/$O137)*CZ137,0)</f>
        <v>0</v>
      </c>
      <c r="DF137" s="521">
        <f>IF(AND(Sheet1!$L135=0,Sheet1!$L134=0, Calculation!CY137&lt;Sheet1!$EK135-0.1,Sheet1!$EK135=Sheet1!$EK134,Sheet1!$EK135=Sheet1!$EK136),CZ137-DE137,CZ137-DE137)</f>
        <v>6.4612716763005791</v>
      </c>
      <c r="DG137" s="1040">
        <f t="shared" si="294"/>
        <v>12.568888888888889</v>
      </c>
      <c r="DH137" s="649">
        <f t="shared" si="343"/>
        <v>11.98</v>
      </c>
      <c r="DI137" s="535">
        <f t="shared" si="344"/>
        <v>485.7919894033127</v>
      </c>
      <c r="DJ137" s="649">
        <f t="shared" si="345"/>
        <v>11.945375722543353</v>
      </c>
      <c r="DK137" s="535">
        <f ca="1">IF(B137&gt;Summary!$A$1,#N/A,DI137*MGtoAF)</f>
        <v>1490.4098234893634</v>
      </c>
      <c r="DL137" s="649">
        <f t="shared" si="346"/>
        <v>11.98</v>
      </c>
      <c r="DM137" s="535">
        <f t="shared" si="347"/>
        <v>27.68</v>
      </c>
      <c r="DN137" s="535">
        <f>Sheet1!AB135-DM137</f>
        <v>-7.9999999999998295E-2</v>
      </c>
      <c r="DO137" s="743">
        <f t="shared" si="348"/>
        <v>-2.8901734104045626E-3</v>
      </c>
      <c r="DP137" s="535">
        <f>(VLOOKUP(Sheet1!DC135,hhdcap_wcm,4)-(((VLOOKUP(Sheet1!DC135,hhdcap_wcm,3)-Sheet1!DC135)/(VLOOKUP(Sheet1!DC135,hhdcap_wcm,3)-VLOOKUP(Sheet1!DC135,hhdcap_wcm,1)))*(VLOOKUP(Sheet1!DC135,hhdcap_wcm,4)-VLOOKUP(Sheet1!DC135,hhdcap_wcm,2))))</f>
        <v>41702.40000010412</v>
      </c>
      <c r="DQ137" s="535">
        <f t="shared" si="349"/>
        <v>618.4000000024389</v>
      </c>
      <c r="DR137" s="535">
        <f t="shared" si="350"/>
        <v>311.85073121656018</v>
      </c>
      <c r="DS137" s="535">
        <f>Sheet1!EA135*AFtoMG</f>
        <v>0</v>
      </c>
      <c r="DT137" s="535">
        <f>Sheet1!EB135*AFtoMG</f>
        <v>0</v>
      </c>
      <c r="DU137" s="535">
        <f>Sheet1!EC135*AFtoMG</f>
        <v>0</v>
      </c>
      <c r="DV137" s="535">
        <f>Sheet1!ED135*AFtoMG</f>
        <v>0</v>
      </c>
      <c r="DW137" s="535">
        <f t="shared" si="351"/>
        <v>0</v>
      </c>
      <c r="DX137" s="535">
        <f t="shared" si="352"/>
        <v>0</v>
      </c>
      <c r="DY137" s="535">
        <f t="shared" si="353"/>
        <v>4314.453899564679</v>
      </c>
      <c r="DZ137" s="535">
        <f t="shared" si="354"/>
        <v>13236.744563864435</v>
      </c>
      <c r="EA137" s="535"/>
      <c r="EB137" s="521">
        <f>IF(OR(B137&lt;FV137,B137&gt;FW137),(MIN(BF137+BY137+CT137+MAX(Sheet1!AA135+AQ137-73,0),K137)),0)</f>
        <v>11.945375722543353</v>
      </c>
      <c r="EC137" s="535"/>
      <c r="ED137" s="535">
        <f t="shared" si="355"/>
        <v>11.945375722543353</v>
      </c>
      <c r="EE137" s="535"/>
      <c r="EF137" s="535">
        <f>Sheet1!EH135+Sheet1!EI135+Sheet1!EJ135+Sheet1!EK135</f>
        <v>12</v>
      </c>
      <c r="EG137" s="1019">
        <f t="shared" si="295"/>
        <v>18.564</v>
      </c>
      <c r="EH137" s="521">
        <f t="shared" si="356"/>
        <v>0</v>
      </c>
      <c r="EI137" s="535">
        <f>IF(Sheet1!ET135=1,SUM('Calculations II'!AT137:BA137)+'Calculations II'!BC137+Sheet1!BV135+'Calculations II'!BE137+AP137,'Calculations II'!BK137)</f>
        <v>44.042746277456644</v>
      </c>
      <c r="EJ137" s="535">
        <f ca="1">EI137+'Calculations II'!D137+'Calculations II'!E137+'Calculations II'!O137</f>
        <v>46.82253583642234</v>
      </c>
      <c r="EK137" s="535"/>
      <c r="EL137" s="535"/>
      <c r="EM137" s="535">
        <f t="shared" si="357"/>
        <v>42861</v>
      </c>
      <c r="EN137" s="535">
        <f t="shared" si="358"/>
        <v>52.694624277456647</v>
      </c>
      <c r="EO137" s="535">
        <f t="shared" si="359"/>
        <v>81.518583757225429</v>
      </c>
      <c r="EP137" s="535">
        <v>0</v>
      </c>
      <c r="EQ137" s="535">
        <v>0</v>
      </c>
      <c r="ER137" s="535">
        <v>0</v>
      </c>
      <c r="ES137" s="521">
        <f t="shared" ref="ES137:ES200" si="381">ET137+EU137</f>
        <v>-2.1849099377589511</v>
      </c>
      <c r="ET137" s="535">
        <f>-(VLOOKUP(Sheet1!BQ135,Lookup!$O$4:$Q$262,2)-VLOOKUP(Sheet1!BQ134,Lookup!$O$4:$Q$262,2))/1000000</f>
        <v>3.0439165850498004</v>
      </c>
      <c r="EU137" s="535">
        <f>-(VLOOKUP(Sheet1!BR135,Lookup!$O$4:$Q$262,3)-VLOOKUP(Sheet1!BR134,Lookup!$O$4:$Q$262,3))/1000000</f>
        <v>-5.2288265228087516</v>
      </c>
      <c r="EV137" s="535"/>
      <c r="EW137" s="535"/>
      <c r="EX137" s="535"/>
      <c r="EY137" s="535"/>
      <c r="EZ137" s="535"/>
      <c r="FA137" s="535"/>
      <c r="FB137" s="535"/>
      <c r="FC137" s="535"/>
      <c r="FD137" s="567" t="e">
        <f t="shared" si="360"/>
        <v>#N/A</v>
      </c>
      <c r="FE137" s="567" t="e">
        <f t="shared" si="361"/>
        <v>#N/A</v>
      </c>
      <c r="FF137" s="568" t="e">
        <f t="shared" si="362"/>
        <v>#N/A</v>
      </c>
      <c r="FG137" s="569" t="s">
        <v>656</v>
      </c>
      <c r="FH137" s="569" t="s">
        <v>656</v>
      </c>
      <c r="FI137" s="567" t="e">
        <v>#N/A</v>
      </c>
      <c r="FJ137" s="567" t="e">
        <v>#N/A</v>
      </c>
      <c r="FK137" s="535"/>
      <c r="FL137" s="1015">
        <v>0</v>
      </c>
      <c r="FM137" s="535"/>
      <c r="FN137" s="535"/>
      <c r="FO137" s="535">
        <f>O137+((Sheet1!CS135)*GPMtoMGD)</f>
        <v>58.290064000000008</v>
      </c>
      <c r="FP137" s="535">
        <f>IF(Sheet1!AA135+AQ137&lt;=Calculation!N137,AQ137,Calculation!N137-Sheet1!AA135)</f>
        <v>15.654624277456648</v>
      </c>
      <c r="FQ137" s="535">
        <f>(Sheet1!BP135+Sheet1!BO135)/694.4</f>
        <v>1.6347926267281108</v>
      </c>
      <c r="FR137" s="541"/>
      <c r="FS137" s="541"/>
      <c r="FT137" s="541"/>
      <c r="FU137" s="541"/>
      <c r="FV137" s="1109">
        <f t="shared" ref="FV137:FV200" si="382">$FV$4</f>
        <v>42918</v>
      </c>
      <c r="FW137" s="1109">
        <f t="shared" ref="FW137:FW200" si="383">$FW$4</f>
        <v>43027</v>
      </c>
      <c r="FX137" s="541"/>
      <c r="FY137" s="541">
        <f>Sheet1!DA135-Sheet1!CZ135-Sheet1!AE135</f>
        <v>787.60677999999996</v>
      </c>
      <c r="FZ137" s="535">
        <f t="shared" si="296"/>
        <v>0.2217454616202954</v>
      </c>
      <c r="GA137" s="535"/>
      <c r="GB137" s="535" t="str">
        <f t="shared" ref="GB137:GB200" si="384">$GB$4</f>
        <v>n</v>
      </c>
      <c r="GC137" s="539">
        <f t="shared" ref="GC137:GC200" si="385">$GC$4</f>
        <v>42782</v>
      </c>
      <c r="GD137" s="1109">
        <f t="shared" ref="GD137:GD200" si="386">$GD$4</f>
        <v>42904</v>
      </c>
      <c r="GE137" s="535">
        <f t="shared" si="280"/>
        <v>6520</v>
      </c>
      <c r="GF137" s="1109">
        <f t="shared" ref="GF137:GF200" si="387">$GF$4</f>
        <v>42909</v>
      </c>
      <c r="GG137" s="535">
        <f t="shared" si="308"/>
        <v>3260</v>
      </c>
      <c r="GH137" s="539">
        <f t="shared" ref="GH137:GH200" si="388">$GH$4</f>
        <v>43040</v>
      </c>
      <c r="GJ137" s="521">
        <f t="shared" ref="GJ137:GJ200" si="389">IF(AND(B137&gt;=GD137,B137&lt;GF137),AFtoMG*(20000-AO136),GL137+GZ137+GS137+HG137)</f>
        <v>0</v>
      </c>
      <c r="GK137" s="535" t="str">
        <f t="shared" si="363"/>
        <v/>
      </c>
      <c r="GL137" s="535">
        <f t="shared" ref="GL137:GL200" si="390">IF(GP137&gt;=8333.3,AV137,0)</f>
        <v>0</v>
      </c>
      <c r="GM137" s="535" t="str">
        <f t="shared" ref="GM137:GM200" si="391">IF(AND(GP137&lt;8333.3,GJ137&gt;0),"T","")</f>
        <v/>
      </c>
      <c r="GN137" s="535">
        <f>IF(GK137="P",Lookup!$M$12,IF(GK137="PP",Lookup!$M$13,IF(GK137="PPP",Lookup!$M$14,IF(GK137="T",Lookup!$M$15,IF(GK137="TP",Lookup!$M$16,IF(GK137="TPP",Lookup!$M$17,IF(GK137="TPPP",Lookup!$M$18,0)))))))*GJ137</f>
        <v>0</v>
      </c>
      <c r="GO137" s="535">
        <f t="shared" ref="GO137:GO200" si="392">IF(GM137="T", MIN(GN137, 2716.2-$GQ137),0)</f>
        <v>0</v>
      </c>
      <c r="GP137" s="535">
        <f t="shared" si="364"/>
        <v>6610.5173333333369</v>
      </c>
      <c r="GQ137" s="535">
        <f t="shared" si="279"/>
        <v>2154.6666666666679</v>
      </c>
      <c r="GR137" s="535"/>
      <c r="GS137" s="535">
        <f t="shared" ref="GS137:GS200" si="393">IF(GW137&gt;=3888.8,BO137,0)</f>
        <v>0</v>
      </c>
      <c r="GT137" s="535" t="str">
        <f t="shared" ref="GT137:GT200" si="394">IF(AND(GW137&lt;3888.8,GJ137&gt;0),"P","")</f>
        <v/>
      </c>
      <c r="GU137" s="535">
        <f>IF(GK137="P",Lookup!$N$12,IF(GK137="PP",Lookup!$N$13,IF(GK137="PPP",Lookup!$N$14,IF(GK137="T",Lookup!$N$15,IF(GK137="TP",Lookup!$N$16,IF(GK137="TPP",Lookup!$N$17,IF(GK137="TPPP",Lookup!$N$18,0)))))))*GJ137</f>
        <v>0</v>
      </c>
      <c r="GV137" s="535">
        <f t="shared" ref="GV137:GV200" si="395">IF(GT137="P",MIN(GU137,7/36*GE137-GX137),0)</f>
        <v>0</v>
      </c>
      <c r="GW137" s="535">
        <f t="shared" si="365"/>
        <v>2835.2068981685156</v>
      </c>
      <c r="GX137" s="535">
        <f t="shared" si="276"/>
        <v>924.12219627396212</v>
      </c>
      <c r="GY137" s="535"/>
      <c r="GZ137" s="535">
        <f t="shared" ref="GZ137:GZ200" si="396">IF(HD137&gt;=3888.8,CJ137,0)</f>
        <v>0</v>
      </c>
      <c r="HA137" s="535" t="str">
        <f t="shared" ref="HA137:HA200" si="397">IF(AND(HD137&lt;3888.8,GJ137&gt;0),"P","")</f>
        <v/>
      </c>
      <c r="HB137" s="535">
        <f>IF(GK137="P",Lookup!$N$12,IF(GK137="PP",Lookup!$N$13,IF(GK137="PPP",Lookup!$N$14,IF(GK137="T",Lookup!$N$15,IF(GK137="TP",Lookup!$N$16,IF(GK137="TPP",Lookup!$N$17,IF(GK137="TPPP",Lookup!$N$18,0)))))))*GJ137</f>
        <v>0</v>
      </c>
      <c r="HC137" s="521">
        <f t="shared" si="366"/>
        <v>0</v>
      </c>
      <c r="HD137" s="535">
        <f t="shared" si="367"/>
        <v>2300.6105088732193</v>
      </c>
      <c r="HE137" s="535">
        <f t="shared" si="277"/>
        <v>749.87304722073645</v>
      </c>
      <c r="HF137" s="535"/>
      <c r="HG137" s="535">
        <f t="shared" ref="HG137:HG200" si="398">IF(HK137&gt;=3888.8,DC137,0)</f>
        <v>0</v>
      </c>
      <c r="HH137" s="535" t="str">
        <f t="shared" ref="HH137:HH200" si="399">IF(AND(HK137&lt;3888.8,GJ137&gt;0),"P","")</f>
        <v/>
      </c>
      <c r="HI137" s="535">
        <f>IF(GK137="P",Lookup!$N$12,IF(GK137="PP",Lookup!$N$13,IF(GK137="PPP",Lookup!$N$14,IF(GK137="T",Lookup!$N$15,IF(GK137="TP",Lookup!$N$16,IF(GK137="TPP",Lookup!$N$17,IF(GK137="TPPP",Lookup!$N$18,0)))))))*GJ137</f>
        <v>0</v>
      </c>
      <c r="HJ137" s="521">
        <f t="shared" si="368"/>
        <v>0</v>
      </c>
      <c r="HK137" s="535">
        <f t="shared" si="369"/>
        <v>1490.4098234893634</v>
      </c>
      <c r="HL137" s="535">
        <f t="shared" si="278"/>
        <v>485.7919894033127</v>
      </c>
      <c r="HM137" s="535"/>
      <c r="HN137" s="541"/>
      <c r="HO137" s="541"/>
      <c r="HP137" s="541"/>
      <c r="HQ137" s="541">
        <f>IF(AND(B137&gt;=$FV$4,B137&lt;=$FW$4),MAX(110/1.02+$HQ$6+MIN(113/1.02,G137),IF($HV$6-(Sheet1!DA135-Sheet1!DB135)+MIN(113/1.02,G137)&lt;G137+FL137,$HV$6-(Sheet1!DA135-Sheet1!DB135)+MIN(113/1.02,G137),G137+FL137)),MIN(110/1.02+$HQ$6+113/1.02,G137))</f>
        <v>218.62745098039215</v>
      </c>
      <c r="HR137" s="541">
        <f t="shared" si="297"/>
        <v>223</v>
      </c>
      <c r="HS137" s="541">
        <f>HR137+(Sheet1!DA135-Sheet1!DB135)</f>
        <v>1373</v>
      </c>
      <c r="HT137" s="541">
        <f t="shared" si="298"/>
        <v>63.86016</v>
      </c>
      <c r="HU137" s="541">
        <f t="shared" si="299"/>
        <v>1309.13984</v>
      </c>
      <c r="HV137" s="541">
        <f t="shared" si="300"/>
        <v>0</v>
      </c>
      <c r="HW137" s="533" t="str">
        <f t="shared" si="301"/>
        <v/>
      </c>
      <c r="HX137" s="541">
        <f t="shared" si="302"/>
        <v>3021.372549019608</v>
      </c>
      <c r="HY137" s="541">
        <f>Sheet1!CZ135</f>
        <v>3240</v>
      </c>
      <c r="HZ137" s="541">
        <f t="shared" si="303"/>
        <v>0</v>
      </c>
      <c r="IA137" s="541">
        <f t="shared" si="304"/>
        <v>63.86016</v>
      </c>
      <c r="IB137" s="541">
        <f t="shared" si="305"/>
        <v>3240</v>
      </c>
      <c r="IC137" s="1019" t="str">
        <f t="shared" si="306"/>
        <v/>
      </c>
      <c r="ID137" s="541">
        <f t="shared" si="307"/>
        <v>3176.1398399999998</v>
      </c>
      <c r="IE137" s="541">
        <f>Sheet1!DB135</f>
        <v>2960</v>
      </c>
      <c r="IF137" s="533">
        <f>Sheet1!DA135</f>
        <v>4110</v>
      </c>
      <c r="IH137" s="541">
        <f>IF(AND($B137&gt;=$GC137,$B137&lt;=$GH137,$DR137&lt;0)+N("only adjusted when pool is drawn down during storage season"),Sheet1!$DB135+$DR137+N("Palmer minus all storage release"),Sheet1!$DB135)</f>
        <v>2960</v>
      </c>
      <c r="II137" s="541">
        <f>IF(AND($B137&gt;=$GC137,$B137&lt;=$GH137,$DR137&lt;0)+N("only adjusted when pool is drawn down during storage season"),Sheet1!$DA135+$DR137+N("Auburn minus all storage release"),Sheet1!$DA135)</f>
        <v>4110</v>
      </c>
    </row>
    <row r="138" spans="1:243" x14ac:dyDescent="0.25">
      <c r="A138" s="553" t="s">
        <v>3</v>
      </c>
      <c r="B138" s="531">
        <v>42862</v>
      </c>
      <c r="C138" s="536">
        <v>0</v>
      </c>
      <c r="D138" s="506">
        <f t="shared" si="371"/>
        <v>300</v>
      </c>
      <c r="E138" s="506">
        <f t="shared" si="372"/>
        <v>250</v>
      </c>
      <c r="F138" s="506">
        <v>250</v>
      </c>
      <c r="G138" s="535">
        <f>DR138+Sheet1!CZ136</f>
        <v>2436.4094805828936</v>
      </c>
      <c r="H138" s="1074">
        <f t="shared" si="370"/>
        <v>1255.8920147767824</v>
      </c>
      <c r="I138" s="534">
        <f>IF(Sheet1!DA136&gt;=E138,(Sheet1!DA136-E138+P138)*CFStoMGD,0)</f>
        <v>2466.9809265279996</v>
      </c>
      <c r="J138" s="995">
        <f>IF(Sheet1!DB136&gt;=D138,(Sheet1!DB136-D138+P138)*CFStoMGD,0)</f>
        <v>1749.4769265279999</v>
      </c>
      <c r="K138" s="818">
        <f t="shared" si="282"/>
        <v>64.64</v>
      </c>
      <c r="L138" s="535">
        <f>Sheet1!AA136+Sheet1!AB136-Sheet1!L136+(Sheet1!DA136-F138)*CFStoMGD-S138-T138-U138</f>
        <v>2391.4020000000014</v>
      </c>
      <c r="M138" s="535">
        <f t="shared" si="309"/>
        <v>1606.3929900137582</v>
      </c>
      <c r="N138" s="824">
        <f>IF(Sheet1!DA136&gt;=F138,MIN(113*CFStoMGD,MIN(MAX(L138,0),MAX(M138,0))),0)</f>
        <v>73.043199999999999</v>
      </c>
      <c r="O138" s="538">
        <f>Sheet1!AA136+Sheet1!AB136</f>
        <v>55.91</v>
      </c>
      <c r="P138" s="538">
        <f t="shared" si="310"/>
        <v>86.492770000000007</v>
      </c>
      <c r="Q138" s="812">
        <f t="shared" si="283"/>
        <v>43.94</v>
      </c>
      <c r="R138" s="812">
        <f t="shared" si="373"/>
        <v>11.946351662825158</v>
      </c>
      <c r="S138" s="812">
        <f t="shared" si="374"/>
        <v>11.97</v>
      </c>
      <c r="T138" s="812">
        <f t="shared" si="375"/>
        <v>52.67</v>
      </c>
      <c r="U138" s="812">
        <f t="shared" si="284"/>
        <v>0</v>
      </c>
      <c r="V138" s="812"/>
      <c r="W138" s="812">
        <f t="shared" si="376"/>
        <v>52.693648337174842</v>
      </c>
      <c r="X138" s="812">
        <f t="shared" si="377"/>
        <v>64.64</v>
      </c>
      <c r="Y138" s="812" t="str">
        <f t="shared" si="378"/>
        <v>FALSE</v>
      </c>
      <c r="Z138" s="812">
        <f t="shared" si="379"/>
        <v>55.91</v>
      </c>
      <c r="AA138" s="812">
        <f t="shared" si="380"/>
        <v>55.91</v>
      </c>
      <c r="AB138" s="1059">
        <f t="shared" si="285"/>
        <v>67.975179999999995</v>
      </c>
      <c r="AC138" s="538">
        <f>Sheet1!Y136*MGDtoCFS</f>
        <v>39.696019999999997</v>
      </c>
      <c r="AD138" s="538">
        <f>Sheet1!Z136*MGDtoCFS</f>
        <v>42.697200000000002</v>
      </c>
      <c r="AE138" s="538">
        <f>Sheet1!AA136*MGDtoCFS</f>
        <v>39.603200000000001</v>
      </c>
      <c r="AF138" s="538">
        <f>Sheet1!AB136*MGDtoCFS</f>
        <v>46.889569999999999</v>
      </c>
      <c r="AG138" s="538">
        <f>Sheet1!L136*MGDtoCFS</f>
        <v>16.924179999997975</v>
      </c>
      <c r="AH138" s="521">
        <f t="shared" si="311"/>
        <v>0</v>
      </c>
      <c r="AI138" s="1059">
        <f t="shared" si="312"/>
        <v>0</v>
      </c>
      <c r="AJ138" s="535">
        <f t="shared" si="313"/>
        <v>52.693648337174842</v>
      </c>
      <c r="AK138" s="535">
        <f t="shared" si="314"/>
        <v>81.517073977609471</v>
      </c>
      <c r="AL138" s="535">
        <f>(VLOOKUP(Sheet1!DC136,hhdcap_wcm,4)-(((VLOOKUP(Sheet1!DC136,hhdcap_wcm,3)-Sheet1!DC136)/(VLOOKUP(Sheet1!DC136,hhdcap_wcm,3)-VLOOKUP(Sheet1!DC136,hhdcap_wcm,1)))*(VLOOKUP(Sheet1!DC136,hhdcap_wcm,4)-VLOOKUP(Sheet1!DC136,hhdcap_wcm,2))))</f>
        <v>40188.200000099998</v>
      </c>
      <c r="AM138" s="535">
        <f t="shared" si="315"/>
        <v>-1514.2000000041226</v>
      </c>
      <c r="AN138" s="1035">
        <f t="shared" si="316"/>
        <v>4367.1475479018536</v>
      </c>
      <c r="AO138" s="535">
        <f t="shared" si="317"/>
        <v>13398.408676962887</v>
      </c>
      <c r="AP138" s="535">
        <f>Sheet1!BA136+Sheet1!BB136+Sheet1!BN136+CD138</f>
        <v>18.399999999999999</v>
      </c>
      <c r="AQ138" s="535">
        <f>Sheet1!BN136+(DO138*Sheet1!BN136)</f>
        <v>18.363648337174844</v>
      </c>
      <c r="AR138" s="535">
        <f>Sheet1!BA136+CD138</f>
        <v>0</v>
      </c>
      <c r="AS138" s="535">
        <f>Sheet1!BA136+Sheet1!BB136+CD138</f>
        <v>0</v>
      </c>
      <c r="AT138" s="649">
        <f>0</f>
        <v>0</v>
      </c>
      <c r="AU138" s="535">
        <f>IF(EB138&lt;K138,0,MAX(Sheet1!AA136+AQ138-15/36*K138-N138,Sheet1!EH136,0))</f>
        <v>0</v>
      </c>
      <c r="AV138" s="535">
        <f>IF(OR(B138&gt;=GD138,B138&lt;GC138),0,15/36*K138-MAX(0,64.6-(137.6-(Sheet1!AA136+Sheet1!AB136))))</f>
        <v>26.933333333333334</v>
      </c>
      <c r="AW138" s="1029"/>
      <c r="AX138" s="649"/>
      <c r="AY138" s="649">
        <f t="shared" si="286"/>
        <v>0</v>
      </c>
      <c r="AZ138" s="649">
        <f t="shared" si="287"/>
        <v>0</v>
      </c>
      <c r="BA138" s="1059">
        <f t="shared" si="288"/>
        <v>0</v>
      </c>
      <c r="BB138" s="1019">
        <f t="shared" si="318"/>
        <v>2181.6000000000013</v>
      </c>
      <c r="BC138" s="1041">
        <f t="shared" si="289"/>
        <v>26.933333333333334</v>
      </c>
      <c r="BD138" s="1019">
        <f ca="1">IF(B138&gt;Summary!$A$1,#N/A,BB138*MGtoAF)</f>
        <v>6693.1488000000045</v>
      </c>
      <c r="BE138" s="535">
        <f>Sheet1!BG136+Sheet1!BH136+Sheet1!BI136-BM138</f>
        <v>1</v>
      </c>
      <c r="BF138" s="535">
        <f t="shared" si="319"/>
        <v>0.99802436615080681</v>
      </c>
      <c r="BG138" s="535">
        <f>IF(Sheet1!EP136="FM",BM138,0)</f>
        <v>0</v>
      </c>
      <c r="BH138" s="535">
        <f t="shared" si="320"/>
        <v>0</v>
      </c>
      <c r="BI138" s="535">
        <f>IF(Sheet1!EP136="OTHER",BM138,0)</f>
        <v>0</v>
      </c>
      <c r="BJ138" s="535">
        <f t="shared" si="321"/>
        <v>0</v>
      </c>
      <c r="BK138" s="535">
        <f t="shared" si="322"/>
        <v>1</v>
      </c>
      <c r="BL138" s="535">
        <f t="shared" si="323"/>
        <v>0.99802436615080681</v>
      </c>
      <c r="BM138" s="535">
        <f>IF(OR(Sheet1!EP136="FM", Sheet1!EP136="OTHER"),SUM(Sheet1!BG136:'Sheet1'!BI136),0)</f>
        <v>0</v>
      </c>
      <c r="BN138" s="521">
        <f>IF(AND($B138&gt;=$FV138,$B138&lt;=$FW138),MAX(BF138,Sheet1!EI136,0),MAX(BF138-(7/36)*$K138,0))</f>
        <v>0</v>
      </c>
      <c r="BO138" s="535">
        <f t="shared" si="324"/>
        <v>11.570864522738082</v>
      </c>
      <c r="BP138" s="521">
        <f t="shared" si="325"/>
        <v>0.99802436615080681</v>
      </c>
      <c r="BQ138" s="521">
        <f>IF(AND($O138&gt;0,Sheet1!EM136=1),(1-($O138-Sheet1!$L136)/$O138)*BL138,0)</f>
        <v>0</v>
      </c>
      <c r="BR138" s="521">
        <f>IF(AND(Sheet1!$L136=0,Sheet1!$L135=0, Calculation!BK138&lt;Sheet1!$EI136-0.1,Sheet1!$EI136=Sheet1!$EI135,Sheet1!$EI136=Sheet1!$EI137),BL138-BQ138,BL138-BQ138)</f>
        <v>0.99802436615080681</v>
      </c>
      <c r="BS138" s="1035" t="str">
        <f t="shared" si="290"/>
        <v/>
      </c>
      <c r="BT138" s="1035">
        <f t="shared" si="291"/>
        <v>12.568888888888889</v>
      </c>
      <c r="BU138" s="535">
        <f t="shared" si="326"/>
        <v>935.69306079670025</v>
      </c>
      <c r="BV138" s="535"/>
      <c r="BW138" s="535">
        <f ca="1">IF(B138&gt;Summary!$A$1,#N/A,BU138*MGtoAF)</f>
        <v>2870.7063105242764</v>
      </c>
      <c r="BX138" s="535">
        <f>Sheet1!BC136+Sheet1!BD136+Sheet1!BE136+Sheet1!BF136-CG138-CH138</f>
        <v>4.49</v>
      </c>
      <c r="BY138" s="535">
        <f t="shared" si="327"/>
        <v>4.4811294040171221</v>
      </c>
      <c r="BZ138" s="535">
        <f>IF(Sheet1!EQ136="FM",CH138,0)</f>
        <v>0</v>
      </c>
      <c r="CA138" s="535">
        <f t="shared" si="328"/>
        <v>0</v>
      </c>
      <c r="CB138" s="535">
        <f>IF(Sheet1!EQ136="OTHER",CH138,0)</f>
        <v>0</v>
      </c>
      <c r="CC138" s="535">
        <f t="shared" si="329"/>
        <v>0</v>
      </c>
      <c r="CD138" s="535">
        <f t="shared" si="330"/>
        <v>0</v>
      </c>
      <c r="CE138" s="535">
        <f t="shared" si="331"/>
        <v>4.49</v>
      </c>
      <c r="CF138" s="535">
        <f t="shared" si="332"/>
        <v>4.4811294040171221</v>
      </c>
      <c r="CG138" s="535">
        <f>IF(Sheet1!EQ136="CWA",SUM(Sheet1!BC136:'Sheet1'!BF136),0)</f>
        <v>0</v>
      </c>
      <c r="CH138" s="535">
        <f>IF(OR(Sheet1!EQ136="FM", Sheet1!EQ136="OTHER"),SUM(Sheet1!BC136:'Sheet1'!BF136),0)</f>
        <v>0</v>
      </c>
      <c r="CI138" s="521">
        <f>IF(AND($B138&gt;=$FV138,$B138&lt;=$FW138),MAX(CF138,Sheet1!EJ136,0),MAX(CF138-(7/36)*$K138,0))</f>
        <v>0</v>
      </c>
      <c r="CJ138" s="535">
        <f t="shared" si="333"/>
        <v>8.0877594848717678</v>
      </c>
      <c r="CK138" s="521">
        <f t="shared" si="334"/>
        <v>4.4811294040171221</v>
      </c>
      <c r="CL138" s="521">
        <f>IF(AND($O138&gt;0,Sheet1!EN136=1),(1-($O138-Sheet1!$L136)/$O138)*CF138,0)</f>
        <v>0</v>
      </c>
      <c r="CM138" s="521">
        <f>IF(AND(Sheet1!$L136=0,Sheet1!$L135=0, Calculation!CE138&lt;Sheet1!EJ136-0.1,Sheet1!EJ136=Sheet1!EJ135,Sheet1!EJ136=Sheet1!EJ137),CF138-CL138,CF138-CL138)</f>
        <v>4.4811294040171221</v>
      </c>
      <c r="CN138" s="1040" t="str">
        <f t="shared" si="292"/>
        <v/>
      </c>
      <c r="CO138" s="1035">
        <f t="shared" si="293"/>
        <v>12.568888888888889</v>
      </c>
      <c r="CP138" s="535">
        <f t="shared" si="335"/>
        <v>757.96080670560821</v>
      </c>
      <c r="CQ138" s="535"/>
      <c r="CR138" s="535">
        <f ca="1">IF(B138&gt;Summary!$A$1,#N/A,CP138*MGtoAF)</f>
        <v>2325.4237549728059</v>
      </c>
      <c r="CS138" s="535">
        <f>Sheet1!BK136+Sheet1!BL136+Sheet1!BM136-Sheet1!ER136-DA138</f>
        <v>6.48</v>
      </c>
      <c r="CT138" s="535">
        <f t="shared" si="336"/>
        <v>6.4671978926572287</v>
      </c>
      <c r="CU138" s="535">
        <f>IF(Sheet1!ER136="FM",DA138,0)</f>
        <v>0</v>
      </c>
      <c r="CV138" s="535">
        <f t="shared" si="337"/>
        <v>0</v>
      </c>
      <c r="CW138" s="535">
        <f>IF(Sheet1!ER136="OTHER",DA138,0)</f>
        <v>0</v>
      </c>
      <c r="CX138" s="535">
        <f t="shared" si="338"/>
        <v>0</v>
      </c>
      <c r="CY138" s="535">
        <f t="shared" si="339"/>
        <v>6.48</v>
      </c>
      <c r="CZ138" s="535">
        <f t="shared" si="340"/>
        <v>6.4671978926572287</v>
      </c>
      <c r="DA138" s="535">
        <f>IF(OR(Sheet1!ER136="FM", Sheet1!ER136="OTHER"),SUM(Sheet1!BK136:'Sheet1'!BM136),0)</f>
        <v>0</v>
      </c>
      <c r="DB138" s="1011">
        <f>IF(AND($B138&gt;=$FV138,$B138&lt;=$FW138),MAX($CT138,Sheet1!EK136,0),MAX($CT138-(7/36)*$K138,0))</f>
        <v>0</v>
      </c>
      <c r="DC138" s="1012">
        <f t="shared" si="341"/>
        <v>6.1016909962316603</v>
      </c>
      <c r="DD138" s="1011">
        <f t="shared" si="342"/>
        <v>6.4671978926572287</v>
      </c>
      <c r="DE138" s="521">
        <f>IF(AND($O138&gt;0,Sheet1!EO136=1),(1-($O138-Sheet1!$L136)/$O138)*CZ138,0)</f>
        <v>0</v>
      </c>
      <c r="DF138" s="521">
        <f>IF(AND(Sheet1!$L136=0,Sheet1!$L135=0, Calculation!CY138&lt;Sheet1!$EK136-0.1,Sheet1!$EK136=Sheet1!$EK135,Sheet1!$EK136=Sheet1!$EK137),CZ138-DE138,CZ138-DE138)</f>
        <v>6.4671978926572287</v>
      </c>
      <c r="DG138" s="1040">
        <f t="shared" si="294"/>
        <v>12.568888888888889</v>
      </c>
      <c r="DH138" s="649">
        <f t="shared" si="343"/>
        <v>11.97</v>
      </c>
      <c r="DI138" s="535">
        <f t="shared" si="344"/>
        <v>491.89368039954434</v>
      </c>
      <c r="DJ138" s="649">
        <f t="shared" si="345"/>
        <v>11.946351662825158</v>
      </c>
      <c r="DK138" s="535">
        <f ca="1">IF(B138&gt;Summary!$A$1,#N/A,DI138*MGtoAF)</f>
        <v>1509.129811465802</v>
      </c>
      <c r="DL138" s="649">
        <f t="shared" si="346"/>
        <v>11.97</v>
      </c>
      <c r="DM138" s="535">
        <f t="shared" si="347"/>
        <v>30.369999999999997</v>
      </c>
      <c r="DN138" s="535">
        <f>Sheet1!AB136-DM138</f>
        <v>-5.9999999999998721E-2</v>
      </c>
      <c r="DO138" s="743">
        <f t="shared" si="348"/>
        <v>-1.975633849193241E-3</v>
      </c>
      <c r="DP138" s="535">
        <f>(VLOOKUP(Sheet1!DC136,hhdcap_wcm,4)-(((VLOOKUP(Sheet1!DC136,hhdcap_wcm,3)-Sheet1!DC136)/(VLOOKUP(Sheet1!DC136,hhdcap_wcm,3)-VLOOKUP(Sheet1!DC136,hhdcap_wcm,1)))*(VLOOKUP(Sheet1!DC136,hhdcap_wcm,4)-VLOOKUP(Sheet1!DC136,hhdcap_wcm,2))))</f>
        <v>40188.200000099998</v>
      </c>
      <c r="DQ138" s="535">
        <f t="shared" si="349"/>
        <v>-1514.2000000041226</v>
      </c>
      <c r="DR138" s="535">
        <f t="shared" si="350"/>
        <v>-763.59051941710663</v>
      </c>
      <c r="DS138" s="535">
        <f>Sheet1!EA136*AFtoMG</f>
        <v>0</v>
      </c>
      <c r="DT138" s="535">
        <f>Sheet1!EB136*AFtoMG</f>
        <v>0</v>
      </c>
      <c r="DU138" s="535">
        <f>Sheet1!EC136*AFtoMG</f>
        <v>0</v>
      </c>
      <c r="DV138" s="535">
        <f>Sheet1!ED136*AFtoMG</f>
        <v>0</v>
      </c>
      <c r="DW138" s="535">
        <f t="shared" si="351"/>
        <v>0</v>
      </c>
      <c r="DX138" s="535">
        <f t="shared" si="352"/>
        <v>0</v>
      </c>
      <c r="DY138" s="535">
        <f t="shared" si="353"/>
        <v>4367.1475479018536</v>
      </c>
      <c r="DZ138" s="535">
        <f t="shared" si="354"/>
        <v>13398.408676962887</v>
      </c>
      <c r="EA138" s="535"/>
      <c r="EB138" s="521">
        <f>IF(OR(B138&lt;FV138,B138&gt;FW138),(MIN(BF138+BY138+CT138+MAX(Sheet1!AA136+AQ138-73,0),K138)),0)</f>
        <v>11.946351662825158</v>
      </c>
      <c r="EC138" s="535"/>
      <c r="ED138" s="535">
        <f t="shared" si="355"/>
        <v>11.946351662825158</v>
      </c>
      <c r="EE138" s="535"/>
      <c r="EF138" s="535">
        <f>Sheet1!EH136+Sheet1!EI136+Sheet1!EJ136+Sheet1!EK136</f>
        <v>12</v>
      </c>
      <c r="EG138" s="1019">
        <f t="shared" si="295"/>
        <v>18.564</v>
      </c>
      <c r="EH138" s="521">
        <f t="shared" si="356"/>
        <v>0</v>
      </c>
      <c r="EI138" s="535">
        <f>IF(Sheet1!ET136=1,SUM('Calculations II'!AT138:BA138)+'Calculations II'!BC138+Sheet1!BV136+'Calculations II'!BE138+AP138,'Calculations II'!BK138)</f>
        <v>46.269108337174842</v>
      </c>
      <c r="EJ138" s="535">
        <f ca="1">EI138+'Calculations II'!D138+'Calculations II'!E138+'Calculations II'!O138</f>
        <v>49.949035256654341</v>
      </c>
      <c r="EK138" s="535"/>
      <c r="EL138" s="535"/>
      <c r="EM138" s="535">
        <f t="shared" si="357"/>
        <v>42862</v>
      </c>
      <c r="EN138" s="535">
        <f t="shared" si="358"/>
        <v>52.693648337174842</v>
      </c>
      <c r="EO138" s="535">
        <f t="shared" si="359"/>
        <v>81.517073977609471</v>
      </c>
      <c r="EP138" s="535">
        <v>0</v>
      </c>
      <c r="EQ138" s="535">
        <v>0</v>
      </c>
      <c r="ER138" s="535">
        <v>0</v>
      </c>
      <c r="ES138" s="521">
        <f t="shared" si="381"/>
        <v>-2.7486404350435527</v>
      </c>
      <c r="ET138" s="535">
        <f>-(VLOOKUP(Sheet1!BQ136,Lookup!$O$4:$Q$262,2)-VLOOKUP(Sheet1!BQ135,Lookup!$O$4:$Q$262,2))/1000000</f>
        <v>3.8695932316009105</v>
      </c>
      <c r="EU138" s="535">
        <f>-(VLOOKUP(Sheet1!BR136,Lookup!$O$4:$Q$262,3)-VLOOKUP(Sheet1!BR135,Lookup!$O$4:$Q$262,3))/1000000</f>
        <v>-6.6182336666444632</v>
      </c>
      <c r="EV138" s="535"/>
      <c r="EW138" s="535"/>
      <c r="EX138" s="535"/>
      <c r="EY138" s="535"/>
      <c r="EZ138" s="535"/>
      <c r="FA138" s="535"/>
      <c r="FB138" s="535"/>
      <c r="FC138" s="535"/>
      <c r="FD138" s="567" t="e">
        <f t="shared" si="360"/>
        <v>#N/A</v>
      </c>
      <c r="FE138" s="567" t="e">
        <f t="shared" si="361"/>
        <v>#N/A</v>
      </c>
      <c r="FF138" s="568" t="e">
        <f t="shared" si="362"/>
        <v>#N/A</v>
      </c>
      <c r="FG138" s="569" t="s">
        <v>656</v>
      </c>
      <c r="FH138" s="569" t="s">
        <v>656</v>
      </c>
      <c r="FI138" s="567" t="e">
        <v>#N/A</v>
      </c>
      <c r="FJ138" s="567" t="e">
        <v>#N/A</v>
      </c>
      <c r="FK138" s="535"/>
      <c r="FL138" s="1015">
        <v>0</v>
      </c>
      <c r="FM138" s="535"/>
      <c r="FN138" s="535"/>
      <c r="FO138" s="535">
        <f>O138+((Sheet1!CS136)*GPMtoMGD)</f>
        <v>60.92624</v>
      </c>
      <c r="FP138" s="535">
        <f>IF(Sheet1!AA136+AQ138&lt;=Calculation!N138,AQ138,Calculation!N138-Sheet1!AA136)</f>
        <v>18.363648337174844</v>
      </c>
      <c r="FQ138" s="535">
        <f>(Sheet1!BP136+Sheet1!BO136)/694.4</f>
        <v>1.8542626728110598</v>
      </c>
      <c r="FR138" s="541"/>
      <c r="FS138" s="541"/>
      <c r="FT138" s="541"/>
      <c r="FU138" s="541"/>
      <c r="FV138" s="1109">
        <f t="shared" si="382"/>
        <v>42918</v>
      </c>
      <c r="FW138" s="1109">
        <f t="shared" si="383"/>
        <v>43027</v>
      </c>
      <c r="FX138" s="541"/>
      <c r="FY138" s="541">
        <f>Sheet1!DA136-Sheet1!CZ136-Sheet1!AE136</f>
        <v>710.43140999999798</v>
      </c>
      <c r="FZ138" s="535">
        <f t="shared" si="296"/>
        <v>0.29158949497685926</v>
      </c>
      <c r="GA138" s="535"/>
      <c r="GB138" s="535" t="str">
        <f t="shared" si="384"/>
        <v>n</v>
      </c>
      <c r="GC138" s="539">
        <f t="shared" si="385"/>
        <v>42782</v>
      </c>
      <c r="GD138" s="1109">
        <f t="shared" si="386"/>
        <v>42904</v>
      </c>
      <c r="GE138" s="535">
        <f t="shared" si="280"/>
        <v>6520</v>
      </c>
      <c r="GF138" s="1109">
        <f t="shared" si="387"/>
        <v>42909</v>
      </c>
      <c r="GG138" s="535">
        <f t="shared" si="308"/>
        <v>3260</v>
      </c>
      <c r="GH138" s="539">
        <f t="shared" si="388"/>
        <v>43040</v>
      </c>
      <c r="GJ138" s="521">
        <f t="shared" si="389"/>
        <v>0</v>
      </c>
      <c r="GK138" s="535" t="str">
        <f t="shared" si="363"/>
        <v/>
      </c>
      <c r="GL138" s="535">
        <f t="shared" si="390"/>
        <v>0</v>
      </c>
      <c r="GM138" s="535" t="str">
        <f t="shared" si="391"/>
        <v/>
      </c>
      <c r="GN138" s="535">
        <f>IF(GK138="P",Lookup!$M$12,IF(GK138="PP",Lookup!$M$13,IF(GK138="PPP",Lookup!$M$14,IF(GK138="T",Lookup!$M$15,IF(GK138="TP",Lookup!$M$16,IF(GK138="TPP",Lookup!$M$17,IF(GK138="TPPP",Lookup!$M$18,0)))))))*GJ138</f>
        <v>0</v>
      </c>
      <c r="GO138" s="535">
        <f t="shared" si="392"/>
        <v>0</v>
      </c>
      <c r="GP138" s="535">
        <f t="shared" si="364"/>
        <v>6693.1488000000045</v>
      </c>
      <c r="GQ138" s="535">
        <f t="shared" si="279"/>
        <v>2181.6000000000013</v>
      </c>
      <c r="GR138" s="535"/>
      <c r="GS138" s="535">
        <f t="shared" si="393"/>
        <v>0</v>
      </c>
      <c r="GT138" s="535" t="str">
        <f t="shared" si="394"/>
        <v/>
      </c>
      <c r="GU138" s="535">
        <f>IF(GK138="P",Lookup!$N$12,IF(GK138="PP",Lookup!$N$13,IF(GK138="PPP",Lookup!$N$14,IF(GK138="T",Lookup!$N$15,IF(GK138="TP",Lookup!$N$16,IF(GK138="TPP",Lookup!$N$17,IF(GK138="TPPP",Lookup!$N$18,0)))))))*GJ138</f>
        <v>0</v>
      </c>
      <c r="GV138" s="535">
        <f t="shared" si="395"/>
        <v>0</v>
      </c>
      <c r="GW138" s="535">
        <f t="shared" si="365"/>
        <v>2870.7063105242764</v>
      </c>
      <c r="GX138" s="535">
        <f t="shared" ref="GX138:GX187" si="400">(IF(AND(GB138="Y",B138=GD138),1267.5,(IF(AND(B138&lt;GF138,B138&gt;=GC138),MIN(BU137+BO138-BN138,7/36*GE138),IF(B138=GF138,7/36*GG138,IF(AND(B138&gt;GF138,B138&lt;GH138),MIN(BU137+BO138-BN138,7/36*GG138),IF(B138&gt;=GH138,0,0)))))))+DT138</f>
        <v>935.69306079670025</v>
      </c>
      <c r="GY138" s="535"/>
      <c r="GZ138" s="535">
        <f t="shared" si="396"/>
        <v>0</v>
      </c>
      <c r="HA138" s="535" t="str">
        <f t="shared" si="397"/>
        <v/>
      </c>
      <c r="HB138" s="535">
        <f>IF(GK138="P",Lookup!$N$12,IF(GK138="PP",Lookup!$N$13,IF(GK138="PPP",Lookup!$N$14,IF(GK138="T",Lookup!$N$15,IF(GK138="TP",Lookup!$N$16,IF(GK138="TPP",Lookup!$N$17,IF(GK138="TPPP",Lookup!$N$18,0)))))))*GJ138</f>
        <v>0</v>
      </c>
      <c r="HC138" s="521">
        <f t="shared" si="366"/>
        <v>0</v>
      </c>
      <c r="HD138" s="535">
        <f t="shared" si="367"/>
        <v>2325.4237549728059</v>
      </c>
      <c r="HE138" s="535">
        <f t="shared" ref="HE138:HE201" si="401">(IF(AND(GB138="Y",B138=GD138),1267.5,IF(AND(B138&lt;GF138,B138&gt;=GC138),MIN(CP137+CJ138-CI138,7/36*GE138),IF(B138=GF138,7/36*GG138,IF(AND(B138&gt;GF138,B138&lt;GH138),MIN(CP137+CJ138-CI138,7/36*GG138),IF(B138&gt;=GH138,0,0))))))+DU138</f>
        <v>757.96080670560821</v>
      </c>
      <c r="HF138" s="535"/>
      <c r="HG138" s="535">
        <f t="shared" si="398"/>
        <v>0</v>
      </c>
      <c r="HH138" s="535" t="str">
        <f t="shared" si="399"/>
        <v/>
      </c>
      <c r="HI138" s="535">
        <f>IF(GK138="P",Lookup!$N$12,IF(GK138="PP",Lookup!$N$13,IF(GK138="PPP",Lookup!$N$14,IF(GK138="T",Lookup!$N$15,IF(GK138="TP",Lookup!$N$16,IF(GK138="TPP",Lookup!$N$17,IF(GK138="TPPP",Lookup!$N$18,0)))))))*GJ138</f>
        <v>0</v>
      </c>
      <c r="HJ138" s="521">
        <f t="shared" si="368"/>
        <v>0</v>
      </c>
      <c r="HK138" s="535">
        <f t="shared" si="369"/>
        <v>1509.129811465802</v>
      </c>
      <c r="HL138" s="535">
        <f t="shared" ref="HL138:HL201" si="402">(IF(AND(GB138="Y",B138=GD138),1267.5,(IF(AND(B138&lt;GF138,B138&gt;=GC138),MIN(DI137+DC138-DB138,7/36*GE138),IF(B138=GF138,7/36*GG138,IF(AND(B138&gt;GF138,B138&lt;GH138),MIN(DI137+DC138-DB138,7/36*GG138),IF(B138&gt;=GH138,0,0)))))))+DV138</f>
        <v>491.89368039954434</v>
      </c>
      <c r="HM138" s="535"/>
      <c r="HN138" s="541"/>
      <c r="HO138" s="541"/>
      <c r="HP138" s="541"/>
      <c r="HQ138" s="541">
        <f>IF(AND(B138&gt;=$FV$4,B138&lt;=$FW$4),MAX(110/1.02+$HQ$6+MIN(113/1.02,G138),IF($HV$6-(Sheet1!DA136-Sheet1!DB136)+MIN(113/1.02,G138)&lt;G138+FL138,$HV$6-(Sheet1!DA136-Sheet1!DB136)+MIN(113/1.02,G138),G138+FL138)),MIN(110/1.02+$HQ$6+113/1.02,G138))</f>
        <v>218.62745098039215</v>
      </c>
      <c r="HR138" s="541">
        <f t="shared" si="297"/>
        <v>223</v>
      </c>
      <c r="HS138" s="541">
        <f>HR138+(Sheet1!DA136-Sheet1!DB136)</f>
        <v>1283</v>
      </c>
      <c r="HT138" s="541">
        <f t="shared" si="298"/>
        <v>67.975179999999995</v>
      </c>
      <c r="HU138" s="541">
        <f t="shared" si="299"/>
        <v>1215.0248200000001</v>
      </c>
      <c r="HV138" s="541">
        <f t="shared" si="300"/>
        <v>0</v>
      </c>
      <c r="HW138" s="533" t="str">
        <f t="shared" si="301"/>
        <v/>
      </c>
      <c r="HX138" s="541">
        <f t="shared" si="302"/>
        <v>2981.372549019608</v>
      </c>
      <c r="HY138" s="541">
        <f>Sheet1!CZ136</f>
        <v>3200</v>
      </c>
      <c r="HZ138" s="541">
        <f t="shared" si="303"/>
        <v>0</v>
      </c>
      <c r="IA138" s="541">
        <f t="shared" si="304"/>
        <v>67.975179999999995</v>
      </c>
      <c r="IB138" s="541">
        <f t="shared" si="305"/>
        <v>3200</v>
      </c>
      <c r="IC138" s="1019" t="str">
        <f t="shared" si="306"/>
        <v/>
      </c>
      <c r="ID138" s="541">
        <f t="shared" si="307"/>
        <v>3132.0248200000001</v>
      </c>
      <c r="IE138" s="541">
        <f>Sheet1!DB136</f>
        <v>2920</v>
      </c>
      <c r="IF138" s="533">
        <f>Sheet1!DA136</f>
        <v>3980</v>
      </c>
      <c r="IH138" s="541">
        <f>IF(AND($B138&gt;=$GC138,$B138&lt;=$GH138,$DR138&lt;0)+N("only adjusted when pool is drawn down during storage season"),Sheet1!$DB136+$DR138+N("Palmer minus all storage release"),Sheet1!$DB136)</f>
        <v>2156.4094805828936</v>
      </c>
      <c r="II138" s="541">
        <f>IF(AND($B138&gt;=$GC138,$B138&lt;=$GH138,$DR138&lt;0)+N("only adjusted when pool is drawn down during storage season"),Sheet1!$DA136+$DR138+N("Auburn minus all storage release"),Sheet1!$DA136)</f>
        <v>3216.4094805828936</v>
      </c>
    </row>
    <row r="139" spans="1:243" x14ac:dyDescent="0.25">
      <c r="A139" s="553" t="s">
        <v>4</v>
      </c>
      <c r="B139" s="531">
        <v>42863</v>
      </c>
      <c r="C139" s="536">
        <v>0</v>
      </c>
      <c r="D139" s="506">
        <f t="shared" si="371"/>
        <v>300</v>
      </c>
      <c r="E139" s="506">
        <f t="shared" si="372"/>
        <v>250</v>
      </c>
      <c r="F139" s="506">
        <v>250</v>
      </c>
      <c r="G139" s="535">
        <f>DR139+Sheet1!CZ137</f>
        <v>2502.5869894087946</v>
      </c>
      <c r="H139" s="1074">
        <f t="shared" si="370"/>
        <v>637.45706854584478</v>
      </c>
      <c r="I139" s="534">
        <f>IF(Sheet1!DA137&gt;=E139,(Sheet1!DA137-E139+P139)*CFStoMGD,0)</f>
        <v>1663.560838592</v>
      </c>
      <c r="J139" s="995">
        <f>IF(Sheet1!DB137&gt;=D139,(Sheet1!DB137-D139+P139)*CFStoMGD,0)</f>
        <v>1094.7288385919999</v>
      </c>
      <c r="K139" s="818">
        <f t="shared" si="282"/>
        <v>64.64</v>
      </c>
      <c r="L139" s="535">
        <f>Sheet1!AA137+Sheet1!AB137-Sheet1!L137+(Sheet1!DA137-F139)*CFStoMGD-S139-T139-U139</f>
        <v>1576.4620000000007</v>
      </c>
      <c r="M139" s="535">
        <f t="shared" si="309"/>
        <v>1650.0256745529218</v>
      </c>
      <c r="N139" s="824">
        <f>IF(Sheet1!DA137&gt;=F139,MIN(113*CFStoMGD,MIN(MAX(L139,0),MAX(M139,0))),0)</f>
        <v>73.043199999999999</v>
      </c>
      <c r="O139" s="538">
        <f>Sheet1!AA137+Sheet1!AB137</f>
        <v>60.49</v>
      </c>
      <c r="P139" s="538">
        <f t="shared" si="310"/>
        <v>93.578029999999998</v>
      </c>
      <c r="Q139" s="812">
        <f t="shared" si="283"/>
        <v>48.53</v>
      </c>
      <c r="R139" s="812">
        <f t="shared" si="373"/>
        <v>11.936052631578949</v>
      </c>
      <c r="S139" s="812">
        <f t="shared" si="374"/>
        <v>11.96</v>
      </c>
      <c r="T139" s="812">
        <f t="shared" si="375"/>
        <v>52.68</v>
      </c>
      <c r="U139" s="812">
        <f t="shared" si="284"/>
        <v>0</v>
      </c>
      <c r="V139" s="812"/>
      <c r="W139" s="812">
        <f t="shared" si="376"/>
        <v>52.703947368421055</v>
      </c>
      <c r="X139" s="812">
        <f t="shared" si="377"/>
        <v>64.64</v>
      </c>
      <c r="Y139" s="812" t="str">
        <f t="shared" si="378"/>
        <v>FALSE</v>
      </c>
      <c r="Z139" s="812">
        <f t="shared" si="379"/>
        <v>60.49</v>
      </c>
      <c r="AA139" s="812">
        <f t="shared" si="380"/>
        <v>60.49</v>
      </c>
      <c r="AB139" s="1059">
        <f t="shared" si="285"/>
        <v>75.075909999999993</v>
      </c>
      <c r="AC139" s="538">
        <f>Sheet1!Y137*MGDtoCFS</f>
        <v>39.603200000000001</v>
      </c>
      <c r="AD139" s="538">
        <f>Sheet1!Z137*MGDtoCFS</f>
        <v>46.889569999999999</v>
      </c>
      <c r="AE139" s="538">
        <f>Sheet1!AA137*MGDtoCFS</f>
        <v>39.603200000000001</v>
      </c>
      <c r="AF139" s="538">
        <f>Sheet1!AB137*MGDtoCFS</f>
        <v>53.974829999999997</v>
      </c>
      <c r="AG139" s="538">
        <f>Sheet1!L137*MGDtoCFS</f>
        <v>34.745619999998645</v>
      </c>
      <c r="AH139" s="521">
        <f t="shared" si="311"/>
        <v>0</v>
      </c>
      <c r="AI139" s="1059">
        <f t="shared" si="312"/>
        <v>0</v>
      </c>
      <c r="AJ139" s="535">
        <f t="shared" si="313"/>
        <v>52.703947368421055</v>
      </c>
      <c r="AK139" s="535">
        <f t="shared" si="314"/>
        <v>81.533006578947365</v>
      </c>
      <c r="AL139" s="535">
        <f>(VLOOKUP(Sheet1!DC137,hhdcap_wcm,4)-(((VLOOKUP(Sheet1!DC137,hhdcap_wcm,3)-Sheet1!DC137)/(VLOOKUP(Sheet1!DC137,hhdcap_wcm,3)-VLOOKUP(Sheet1!DC137,hhdcap_wcm,1)))*(VLOOKUP(Sheet1!DC137,hhdcap_wcm,4)-VLOOKUP(Sheet1!DC137,hhdcap_wcm,2))))</f>
        <v>38785.400000097638</v>
      </c>
      <c r="AM139" s="535">
        <f t="shared" si="315"/>
        <v>-1402.8000000023603</v>
      </c>
      <c r="AN139" s="1035">
        <f t="shared" si="316"/>
        <v>4419.8514952702753</v>
      </c>
      <c r="AO139" s="535">
        <f t="shared" si="317"/>
        <v>13560.104387489206</v>
      </c>
      <c r="AP139" s="535">
        <f>Sheet1!BA137+Sheet1!BB137+Sheet1!BN137+CD139</f>
        <v>23</v>
      </c>
      <c r="AQ139" s="535">
        <f>Sheet1!BN137+(DO139*Sheet1!BN137)</f>
        <v>22.953947368421051</v>
      </c>
      <c r="AR139" s="535">
        <f>Sheet1!BA137+CD139</f>
        <v>0</v>
      </c>
      <c r="AS139" s="535">
        <f>Sheet1!BA137+Sheet1!BB137+CD139</f>
        <v>0</v>
      </c>
      <c r="AT139" s="649">
        <f>0</f>
        <v>0</v>
      </c>
      <c r="AU139" s="535">
        <f>IF(EB139&lt;K139,0,MAX(Sheet1!AA137+AQ139-15/36*K139-N139,Sheet1!EH137,0))</f>
        <v>0</v>
      </c>
      <c r="AV139" s="535">
        <f>IF(OR(B139&gt;=GD139,B139&lt;GC139),0,15/36*K139-MAX(0,64.6-(137.6-(Sheet1!AA137+Sheet1!AB137))))</f>
        <v>26.933333333333334</v>
      </c>
      <c r="AW139" s="1029"/>
      <c r="AX139" s="649"/>
      <c r="AY139" s="649">
        <f t="shared" si="286"/>
        <v>0</v>
      </c>
      <c r="AZ139" s="649">
        <f t="shared" si="287"/>
        <v>0</v>
      </c>
      <c r="BA139" s="1059">
        <f t="shared" si="288"/>
        <v>0</v>
      </c>
      <c r="BB139" s="1019">
        <f t="shared" si="318"/>
        <v>2208.5333333333347</v>
      </c>
      <c r="BC139" s="1041">
        <f t="shared" si="289"/>
        <v>26.933333333333334</v>
      </c>
      <c r="BD139" s="1019">
        <f ca="1">IF(B139&gt;Summary!$A$1,#N/A,BB139*MGtoAF)</f>
        <v>6775.7802666666712</v>
      </c>
      <c r="BE139" s="535">
        <f>Sheet1!BG137+Sheet1!BH137+Sheet1!BI137-BM139</f>
        <v>1.02</v>
      </c>
      <c r="BF139" s="535">
        <f t="shared" si="319"/>
        <v>1.0179576659038903</v>
      </c>
      <c r="BG139" s="535">
        <f>IF(Sheet1!EP137="FM",BM139,0)</f>
        <v>0</v>
      </c>
      <c r="BH139" s="535">
        <f t="shared" si="320"/>
        <v>0</v>
      </c>
      <c r="BI139" s="535">
        <f>IF(Sheet1!EP137="OTHER",BM139,0)</f>
        <v>0</v>
      </c>
      <c r="BJ139" s="535">
        <f t="shared" si="321"/>
        <v>0</v>
      </c>
      <c r="BK139" s="535">
        <f t="shared" si="322"/>
        <v>1.02</v>
      </c>
      <c r="BL139" s="535">
        <f t="shared" si="323"/>
        <v>1.0179576659038903</v>
      </c>
      <c r="BM139" s="535">
        <f>IF(OR(Sheet1!EP137="FM", Sheet1!EP137="OTHER"),SUM(Sheet1!BG137:'Sheet1'!BI137),0)</f>
        <v>0</v>
      </c>
      <c r="BN139" s="521">
        <f>IF(AND($B139&gt;=$FV139,$B139&lt;=$FW139),MAX(BF139,Sheet1!EI137,0),MAX(BF139-(7/36)*$K139,0))</f>
        <v>0</v>
      </c>
      <c r="BO139" s="535">
        <f t="shared" si="324"/>
        <v>11.550931222985</v>
      </c>
      <c r="BP139" s="521">
        <f t="shared" si="325"/>
        <v>1.0179576659038903</v>
      </c>
      <c r="BQ139" s="521">
        <f>IF(AND($O139&gt;0,Sheet1!EM137=1),(1-($O139-Sheet1!$L137)/$O139)*BL139,0)</f>
        <v>0</v>
      </c>
      <c r="BR139" s="521">
        <f>IF(AND(Sheet1!$L137=0,Sheet1!$L136=0, Calculation!BK139&lt;Sheet1!$EI137-0.1,Sheet1!$EI137=Sheet1!$EI136,Sheet1!$EI137=Sheet1!$EI138),BL139-BQ139,BL139-BQ139)</f>
        <v>1.0179576659038903</v>
      </c>
      <c r="BS139" s="1035" t="str">
        <f t="shared" si="290"/>
        <v/>
      </c>
      <c r="BT139" s="1035">
        <f t="shared" si="291"/>
        <v>12.568888888888889</v>
      </c>
      <c r="BU139" s="535">
        <f t="shared" si="326"/>
        <v>947.24399201968527</v>
      </c>
      <c r="BV139" s="535"/>
      <c r="BW139" s="535">
        <f ca="1">IF(B139&gt;Summary!$A$1,#N/A,BU139*MGtoAF)</f>
        <v>2906.1445675163945</v>
      </c>
      <c r="BX139" s="535">
        <f>Sheet1!BC137+Sheet1!BD137+Sheet1!BE137+Sheet1!BF137-CG139-CH139</f>
        <v>4.49</v>
      </c>
      <c r="BY139" s="535">
        <f t="shared" si="327"/>
        <v>4.4810097254004582</v>
      </c>
      <c r="BZ139" s="535">
        <f>IF(Sheet1!EQ137="FM",CH139,0)</f>
        <v>0</v>
      </c>
      <c r="CA139" s="535">
        <f t="shared" si="328"/>
        <v>0</v>
      </c>
      <c r="CB139" s="535">
        <f>IF(Sheet1!EQ137="OTHER",CH139,0)</f>
        <v>0</v>
      </c>
      <c r="CC139" s="535">
        <f t="shared" si="329"/>
        <v>0</v>
      </c>
      <c r="CD139" s="535">
        <f t="shared" si="330"/>
        <v>0</v>
      </c>
      <c r="CE139" s="535">
        <f t="shared" si="331"/>
        <v>4.49</v>
      </c>
      <c r="CF139" s="535">
        <f t="shared" si="332"/>
        <v>4.4810097254004582</v>
      </c>
      <c r="CG139" s="535">
        <f>IF(Sheet1!EQ137="CWA",SUM(Sheet1!BC137:'Sheet1'!BF137),0)</f>
        <v>0</v>
      </c>
      <c r="CH139" s="535">
        <f>IF(OR(Sheet1!EQ137="FM", Sheet1!EQ137="OTHER"),SUM(Sheet1!BC137:'Sheet1'!BF137),0)</f>
        <v>0</v>
      </c>
      <c r="CI139" s="521">
        <f>IF(AND($B139&gt;=$FV139,$B139&lt;=$FW139),MAX(CF139,Sheet1!EJ137,0),MAX(CF139-(7/36)*$K139,0))</f>
        <v>0</v>
      </c>
      <c r="CJ139" s="535">
        <f t="shared" si="333"/>
        <v>8.0878791634884308</v>
      </c>
      <c r="CK139" s="521">
        <f t="shared" si="334"/>
        <v>4.4810097254004582</v>
      </c>
      <c r="CL139" s="521">
        <f>IF(AND($O139&gt;0,Sheet1!EN137=1),(1-($O139-Sheet1!$L137)/$O139)*CF139,0)</f>
        <v>0</v>
      </c>
      <c r="CM139" s="521">
        <f>IF(AND(Sheet1!$L137=0,Sheet1!$L136=0, Calculation!CE139&lt;Sheet1!EJ137-0.1,Sheet1!EJ137=Sheet1!EJ136,Sheet1!EJ137=Sheet1!EJ138),CF139-CL139,CF139-CL139)</f>
        <v>4.4810097254004582</v>
      </c>
      <c r="CN139" s="1040" t="str">
        <f t="shared" si="292"/>
        <v/>
      </c>
      <c r="CO139" s="1035">
        <f t="shared" si="293"/>
        <v>12.568888888888889</v>
      </c>
      <c r="CP139" s="535">
        <f t="shared" si="335"/>
        <v>766.04868586909663</v>
      </c>
      <c r="CQ139" s="535"/>
      <c r="CR139" s="535">
        <f ca="1">IF(B139&gt;Summary!$A$1,#N/A,CP139*MGtoAF)</f>
        <v>2350.2373682463885</v>
      </c>
      <c r="CS139" s="535">
        <f>Sheet1!BK137+Sheet1!BL137+Sheet1!BM137-Sheet1!ER137-DA139</f>
        <v>6.45</v>
      </c>
      <c r="CT139" s="535">
        <f t="shared" si="336"/>
        <v>6.4370852402745999</v>
      </c>
      <c r="CU139" s="535">
        <f>IF(Sheet1!ER137="FM",DA139,0)</f>
        <v>0</v>
      </c>
      <c r="CV139" s="535">
        <f t="shared" si="337"/>
        <v>0</v>
      </c>
      <c r="CW139" s="535">
        <f>IF(Sheet1!ER137="OTHER",DA139,0)</f>
        <v>0</v>
      </c>
      <c r="CX139" s="535">
        <f t="shared" si="338"/>
        <v>0</v>
      </c>
      <c r="CY139" s="535">
        <f t="shared" si="339"/>
        <v>6.45</v>
      </c>
      <c r="CZ139" s="535">
        <f t="shared" si="340"/>
        <v>6.4370852402745999</v>
      </c>
      <c r="DA139" s="535">
        <f>IF(OR(Sheet1!ER137="FM", Sheet1!ER137="OTHER"),SUM(Sheet1!BK137:'Sheet1'!BM137),0)</f>
        <v>0</v>
      </c>
      <c r="DB139" s="1011">
        <f>IF(AND($B139&gt;=$FV139,$B139&lt;=$FW139),MAX($CT139,Sheet1!EK137,0),MAX($CT139-(7/36)*$K139,0))</f>
        <v>0</v>
      </c>
      <c r="DC139" s="1012">
        <f t="shared" si="341"/>
        <v>6.1318036486142891</v>
      </c>
      <c r="DD139" s="1011">
        <f t="shared" si="342"/>
        <v>6.4370852402745999</v>
      </c>
      <c r="DE139" s="521">
        <f>IF(AND($O139&gt;0,Sheet1!EO137=1),(1-($O139-Sheet1!$L137)/$O139)*CZ139,0)</f>
        <v>0</v>
      </c>
      <c r="DF139" s="521">
        <f>IF(AND(Sheet1!$L137=0,Sheet1!$L136=0, Calculation!CY139&lt;Sheet1!$EK137-0.1,Sheet1!$EK137=Sheet1!$EK136,Sheet1!$EK137=Sheet1!$EK138),CZ139-DE139,CZ139-DE139)</f>
        <v>6.4370852402745999</v>
      </c>
      <c r="DG139" s="1040">
        <f t="shared" si="294"/>
        <v>12.568888888888889</v>
      </c>
      <c r="DH139" s="649">
        <f t="shared" si="343"/>
        <v>11.96</v>
      </c>
      <c r="DI139" s="535">
        <f t="shared" si="344"/>
        <v>498.0254840481586</v>
      </c>
      <c r="DJ139" s="649">
        <f t="shared" si="345"/>
        <v>11.936052631578949</v>
      </c>
      <c r="DK139" s="535">
        <f ca="1">IF(B139&gt;Summary!$A$1,#N/A,DI139*MGtoAF)</f>
        <v>1527.9421850597507</v>
      </c>
      <c r="DL139" s="649">
        <f t="shared" si="346"/>
        <v>11.96</v>
      </c>
      <c r="DM139" s="535">
        <f t="shared" si="347"/>
        <v>34.96</v>
      </c>
      <c r="DN139" s="535">
        <f>Sheet1!AB137-DM139</f>
        <v>-7.0000000000000284E-2</v>
      </c>
      <c r="DO139" s="743">
        <f t="shared" si="348"/>
        <v>-2.0022883295194587E-3</v>
      </c>
      <c r="DP139" s="535">
        <f>(VLOOKUP(Sheet1!DC137,hhdcap_wcm,4)-(((VLOOKUP(Sheet1!DC137,hhdcap_wcm,3)-Sheet1!DC137)/(VLOOKUP(Sheet1!DC137,hhdcap_wcm,3)-VLOOKUP(Sheet1!DC137,hhdcap_wcm,1)))*(VLOOKUP(Sheet1!DC137,hhdcap_wcm,4)-VLOOKUP(Sheet1!DC137,hhdcap_wcm,2))))</f>
        <v>38785.400000097638</v>
      </c>
      <c r="DQ139" s="535">
        <f t="shared" si="349"/>
        <v>-1402.8000000023603</v>
      </c>
      <c r="DR139" s="535">
        <f t="shared" si="350"/>
        <v>-707.41301059120531</v>
      </c>
      <c r="DS139" s="535">
        <f>Sheet1!EA137*AFtoMG</f>
        <v>0</v>
      </c>
      <c r="DT139" s="535">
        <f>Sheet1!EB137*AFtoMG</f>
        <v>0</v>
      </c>
      <c r="DU139" s="535">
        <f>Sheet1!EC137*AFtoMG</f>
        <v>0</v>
      </c>
      <c r="DV139" s="535">
        <f>Sheet1!ED137*AFtoMG</f>
        <v>0</v>
      </c>
      <c r="DW139" s="535">
        <f t="shared" si="351"/>
        <v>0</v>
      </c>
      <c r="DX139" s="535">
        <f t="shared" si="352"/>
        <v>0</v>
      </c>
      <c r="DY139" s="535">
        <f t="shared" si="353"/>
        <v>4419.8514952702753</v>
      </c>
      <c r="DZ139" s="535">
        <f t="shared" si="354"/>
        <v>13560.104387489206</v>
      </c>
      <c r="EA139" s="535"/>
      <c r="EB139" s="521">
        <f>IF(OR(B139&lt;FV139,B139&gt;FW139),(MIN(BF139+BY139+CT139+MAX(Sheet1!AA137+AQ139-73,0),K139)),0)</f>
        <v>11.936052631578949</v>
      </c>
      <c r="EC139" s="535"/>
      <c r="ED139" s="535">
        <f t="shared" si="355"/>
        <v>11.936052631578949</v>
      </c>
      <c r="EE139" s="535"/>
      <c r="EF139" s="535">
        <f>Sheet1!EH137+Sheet1!EI137+Sheet1!EJ137+Sheet1!EK137</f>
        <v>12</v>
      </c>
      <c r="EG139" s="1019">
        <f t="shared" si="295"/>
        <v>18.564</v>
      </c>
      <c r="EH139" s="521">
        <f t="shared" si="356"/>
        <v>0</v>
      </c>
      <c r="EI139" s="535">
        <f>IF(Sheet1!ET137=1,SUM('Calculations II'!AT139:BA139)+'Calculations II'!BC139+Sheet1!BV137+'Calculations II'!BE139+AP139,'Calculations II'!BK139)</f>
        <v>46.93542736842106</v>
      </c>
      <c r="EJ139" s="535">
        <f ca="1">EI139+'Calculations II'!D139+'Calculations II'!E139+'Calculations II'!O139</f>
        <v>53.995220952831225</v>
      </c>
      <c r="EK139" s="535"/>
      <c r="EL139" s="535"/>
      <c r="EM139" s="535">
        <f t="shared" si="357"/>
        <v>42863</v>
      </c>
      <c r="EN139" s="535">
        <f t="shared" si="358"/>
        <v>52.703947368421055</v>
      </c>
      <c r="EO139" s="535">
        <f t="shared" si="359"/>
        <v>81.533006578947365</v>
      </c>
      <c r="EP139" s="535">
        <v>0</v>
      </c>
      <c r="EQ139" s="535">
        <v>0</v>
      </c>
      <c r="ER139" s="535">
        <v>0</v>
      </c>
      <c r="ES139" s="521">
        <f t="shared" si="381"/>
        <v>-7.1849090505222417</v>
      </c>
      <c r="ET139" s="535">
        <f>-(VLOOKUP(Sheet1!BQ137,Lookup!$O$4:$Q$262,2)-VLOOKUP(Sheet1!BQ136,Lookup!$O$4:$Q$262,2))/1000000</f>
        <v>-4.5611202393233699</v>
      </c>
      <c r="EU139" s="535">
        <f>-(VLOOKUP(Sheet1!BR137,Lookup!$O$4:$Q$262,3)-VLOOKUP(Sheet1!BR136,Lookup!$O$4:$Q$262,3))/1000000</f>
        <v>-2.6237888111988714</v>
      </c>
      <c r="EV139" s="535"/>
      <c r="EW139" s="535"/>
      <c r="EX139" s="535"/>
      <c r="EY139" s="535"/>
      <c r="EZ139" s="535"/>
      <c r="FA139" s="535"/>
      <c r="FB139" s="535"/>
      <c r="FC139" s="535"/>
      <c r="FD139" s="567" t="e">
        <f t="shared" si="360"/>
        <v>#N/A</v>
      </c>
      <c r="FE139" s="567" t="e">
        <f t="shared" si="361"/>
        <v>#N/A</v>
      </c>
      <c r="FF139" s="568" t="e">
        <f t="shared" si="362"/>
        <v>#N/A</v>
      </c>
      <c r="FG139" s="569" t="s">
        <v>656</v>
      </c>
      <c r="FH139" s="569" t="s">
        <v>656</v>
      </c>
      <c r="FI139" s="567" t="e">
        <v>#N/A</v>
      </c>
      <c r="FJ139" s="567" t="e">
        <v>#N/A</v>
      </c>
      <c r="FK139" s="535"/>
      <c r="FL139" s="1015">
        <v>0</v>
      </c>
      <c r="FM139" s="535"/>
      <c r="FN139" s="535"/>
      <c r="FO139" s="535">
        <f>O139+((Sheet1!CS137)*GPMtoMGD)</f>
        <v>65.500336000000004</v>
      </c>
      <c r="FP139" s="535">
        <f>IF(Sheet1!AA137+AQ139&lt;=Calculation!N139,AQ139,Calculation!N139-Sheet1!AA137)</f>
        <v>22.953947368421051</v>
      </c>
      <c r="FQ139" s="535">
        <f>(Sheet1!BP137+Sheet1!BO137)/694.4</f>
        <v>1.5923099078341014</v>
      </c>
      <c r="FR139" s="541"/>
      <c r="FS139" s="541"/>
      <c r="FT139" s="541"/>
      <c r="FU139" s="541"/>
      <c r="FV139" s="1109">
        <f t="shared" si="382"/>
        <v>42918</v>
      </c>
      <c r="FW139" s="1109">
        <f t="shared" si="383"/>
        <v>43027</v>
      </c>
      <c r="FX139" s="541"/>
      <c r="FY139" s="541">
        <f>Sheet1!DA137-Sheet1!CZ137-Sheet1!AE137</f>
        <v>-538.83241000000135</v>
      </c>
      <c r="FZ139" s="535">
        <f t="shared" si="296"/>
        <v>-0.21531016195656555</v>
      </c>
      <c r="GA139" s="535"/>
      <c r="GB139" s="535" t="str">
        <f t="shared" si="384"/>
        <v>n</v>
      </c>
      <c r="GC139" s="539">
        <f t="shared" si="385"/>
        <v>42782</v>
      </c>
      <c r="GD139" s="1109">
        <f t="shared" si="386"/>
        <v>42904</v>
      </c>
      <c r="GE139" s="535">
        <f t="shared" si="280"/>
        <v>6520</v>
      </c>
      <c r="GF139" s="1109">
        <f t="shared" si="387"/>
        <v>42909</v>
      </c>
      <c r="GG139" s="535">
        <f t="shared" si="308"/>
        <v>3260</v>
      </c>
      <c r="GH139" s="539">
        <f t="shared" si="388"/>
        <v>43040</v>
      </c>
      <c r="GJ139" s="521">
        <f t="shared" si="389"/>
        <v>0</v>
      </c>
      <c r="GK139" s="535" t="str">
        <f t="shared" si="363"/>
        <v/>
      </c>
      <c r="GL139" s="535">
        <f t="shared" si="390"/>
        <v>0</v>
      </c>
      <c r="GM139" s="535" t="str">
        <f t="shared" si="391"/>
        <v/>
      </c>
      <c r="GN139" s="535">
        <f>IF(GK139="P",Lookup!$M$12,IF(GK139="PP",Lookup!$M$13,IF(GK139="PPP",Lookup!$M$14,IF(GK139="T",Lookup!$M$15,IF(GK139="TP",Lookup!$M$16,IF(GK139="TPP",Lookup!$M$17,IF(GK139="TPPP",Lookup!$M$18,0)))))))*GJ139</f>
        <v>0</v>
      </c>
      <c r="GO139" s="535">
        <f t="shared" si="392"/>
        <v>0</v>
      </c>
      <c r="GP139" s="535">
        <f t="shared" si="364"/>
        <v>6775.7802666666712</v>
      </c>
      <c r="GQ139" s="535">
        <f t="shared" ref="GQ139:GQ160" si="403">(IF(AND(GB138="Y",B139=GD139),1392.1,(IF(AND(B139&lt;GF139,B139&gt;=GC139),MIN(BB138+AV139-AU139,15/36*GE139),IF(B139=GF139,15/36*GG139,IF(AND(B139&gt;GF139,B139&lt;GH139),MIN(BB138+AV139-AU139,15/36*GG139),IF(B139&gt;=GH139,0,0)))))))+DS139</f>
        <v>2208.5333333333347</v>
      </c>
      <c r="GR139" s="535"/>
      <c r="GS139" s="535">
        <f t="shared" si="393"/>
        <v>0</v>
      </c>
      <c r="GT139" s="535" t="str">
        <f t="shared" si="394"/>
        <v/>
      </c>
      <c r="GU139" s="535">
        <f>IF(GK139="P",Lookup!$N$12,IF(GK139="PP",Lookup!$N$13,IF(GK139="PPP",Lookup!$N$14,IF(GK139="T",Lookup!$N$15,IF(GK139="TP",Lookup!$N$16,IF(GK139="TPP",Lookup!$N$17,IF(GK139="TPPP",Lookup!$N$18,0)))))))*GJ139</f>
        <v>0</v>
      </c>
      <c r="GV139" s="535">
        <f t="shared" si="395"/>
        <v>0</v>
      </c>
      <c r="GW139" s="535">
        <f t="shared" si="365"/>
        <v>2906.1445675163945</v>
      </c>
      <c r="GX139" s="535">
        <f t="shared" si="400"/>
        <v>947.24399201968527</v>
      </c>
      <c r="GY139" s="535"/>
      <c r="GZ139" s="535">
        <f t="shared" si="396"/>
        <v>0</v>
      </c>
      <c r="HA139" s="535" t="str">
        <f t="shared" si="397"/>
        <v/>
      </c>
      <c r="HB139" s="535">
        <f>IF(GK139="P",Lookup!$N$12,IF(GK139="PP",Lookup!$N$13,IF(GK139="PPP",Lookup!$N$14,IF(GK139="T",Lookup!$N$15,IF(GK139="TP",Lookup!$N$16,IF(GK139="TPP",Lookup!$N$17,IF(GK139="TPPP",Lookup!$N$18,0)))))))*GJ139</f>
        <v>0</v>
      </c>
      <c r="HC139" s="521">
        <f t="shared" si="366"/>
        <v>0</v>
      </c>
      <c r="HD139" s="535">
        <f t="shared" si="367"/>
        <v>2350.2373682463885</v>
      </c>
      <c r="HE139" s="535">
        <f t="shared" si="401"/>
        <v>766.04868586909663</v>
      </c>
      <c r="HF139" s="535"/>
      <c r="HG139" s="535">
        <f t="shared" si="398"/>
        <v>0</v>
      </c>
      <c r="HH139" s="535" t="str">
        <f t="shared" si="399"/>
        <v/>
      </c>
      <c r="HI139" s="535">
        <f>IF(GK139="P",Lookup!$N$12,IF(GK139="PP",Lookup!$N$13,IF(GK139="PPP",Lookup!$N$14,IF(GK139="T",Lookup!$N$15,IF(GK139="TP",Lookup!$N$16,IF(GK139="TPP",Lookup!$N$17,IF(GK139="TPPP",Lookup!$N$18,0)))))))*GJ139</f>
        <v>0</v>
      </c>
      <c r="HJ139" s="521">
        <f t="shared" si="368"/>
        <v>0</v>
      </c>
      <c r="HK139" s="535">
        <f t="shared" si="369"/>
        <v>1527.9421850597507</v>
      </c>
      <c r="HL139" s="535">
        <f t="shared" si="402"/>
        <v>498.0254840481586</v>
      </c>
      <c r="HM139" s="535"/>
      <c r="HN139" s="541"/>
      <c r="HO139" s="541"/>
      <c r="HP139" s="541"/>
      <c r="HQ139" s="541">
        <f>IF(AND(B139&gt;=$FV$4,B139&lt;=$FW$4),MAX(110/1.02+$HQ$6+MIN(113/1.02,G139),IF($HV$6-(Sheet1!DA137-Sheet1!DB137)+MIN(113/1.02,G139)&lt;G139+FL139,$HV$6-(Sheet1!DA137-Sheet1!DB137)+MIN(113/1.02,G139),G139+FL139)),MIN(110/1.02+$HQ$6+113/1.02,G139))</f>
        <v>218.62745098039215</v>
      </c>
      <c r="HR139" s="541">
        <f t="shared" si="297"/>
        <v>223</v>
      </c>
      <c r="HS139" s="541">
        <f>HR139+(Sheet1!DA137-Sheet1!DB137)</f>
        <v>1053</v>
      </c>
      <c r="HT139" s="541">
        <f t="shared" si="298"/>
        <v>75.075909999999993</v>
      </c>
      <c r="HU139" s="541">
        <f t="shared" si="299"/>
        <v>977.92408999999998</v>
      </c>
      <c r="HV139" s="541">
        <f t="shared" si="300"/>
        <v>0</v>
      </c>
      <c r="HW139" s="533" t="str">
        <f t="shared" si="301"/>
        <v/>
      </c>
      <c r="HX139" s="541">
        <f t="shared" si="302"/>
        <v>2991.372549019608</v>
      </c>
      <c r="HY139" s="541">
        <f>Sheet1!CZ137</f>
        <v>3210</v>
      </c>
      <c r="HZ139" s="541">
        <f t="shared" si="303"/>
        <v>0</v>
      </c>
      <c r="IA139" s="541">
        <f t="shared" si="304"/>
        <v>75.075909999999993</v>
      </c>
      <c r="IB139" s="541">
        <f t="shared" si="305"/>
        <v>3210</v>
      </c>
      <c r="IC139" s="1019" t="str">
        <f t="shared" si="306"/>
        <v/>
      </c>
      <c r="ID139" s="541">
        <f t="shared" si="307"/>
        <v>3134.92409</v>
      </c>
      <c r="IE139" s="541">
        <f>Sheet1!DB137</f>
        <v>1900</v>
      </c>
      <c r="IF139" s="533">
        <f>Sheet1!DA137</f>
        <v>2730</v>
      </c>
      <c r="IH139" s="541">
        <f>IF(AND($B139&gt;=$GC139,$B139&lt;=$GH139,$DR139&lt;0)+N("only adjusted when pool is drawn down during storage season"),Sheet1!$DB137+$DR139+N("Palmer minus all storage release"),Sheet1!$DB137)</f>
        <v>1192.5869894087946</v>
      </c>
      <c r="II139" s="541">
        <f>IF(AND($B139&gt;=$GC139,$B139&lt;=$GH139,$DR139&lt;0)+N("only adjusted when pool is drawn down during storage season"),Sheet1!$DA137+$DR139+N("Auburn minus all storage release"),Sheet1!$DA137)</f>
        <v>2022.5869894087946</v>
      </c>
    </row>
    <row r="140" spans="1:243" x14ac:dyDescent="0.25">
      <c r="A140" s="553" t="s">
        <v>5</v>
      </c>
      <c r="B140" s="531">
        <v>42864</v>
      </c>
      <c r="C140" s="536">
        <v>0</v>
      </c>
      <c r="D140" s="506">
        <f t="shared" si="371"/>
        <v>300</v>
      </c>
      <c r="E140" s="506">
        <f t="shared" si="372"/>
        <v>250</v>
      </c>
      <c r="F140" s="506">
        <v>250</v>
      </c>
      <c r="G140" s="535">
        <f>DR140+Sheet1!CZ138</f>
        <v>1501.6238023196031</v>
      </c>
      <c r="H140" s="1074">
        <f t="shared" si="370"/>
        <v>802.51263433139138</v>
      </c>
      <c r="I140" s="534">
        <f>IF(Sheet1!DA138&gt;=E140,(Sheet1!DA138-E140+P140)*CFStoMGD,0)</f>
        <v>1363.8310085119999</v>
      </c>
      <c r="J140" s="995">
        <f>IF(Sheet1!DB138&gt;=D140,(Sheet1!DB138-D140+P140)*CFStoMGD,0)</f>
        <v>891.95900851199997</v>
      </c>
      <c r="K140" s="818">
        <f t="shared" si="282"/>
        <v>64.64</v>
      </c>
      <c r="L140" s="535">
        <f>Sheet1!AA138+Sheet1!AB138-Sheet1!L138+(Sheet1!DA138-F140)*CFStoMGD-S140-T140-U140</f>
        <v>1257.2619999999997</v>
      </c>
      <c r="M140" s="535">
        <f t="shared" si="309"/>
        <v>990.06261833577935</v>
      </c>
      <c r="N140" s="824">
        <f>IF(Sheet1!DA138&gt;=F140,MIN(113*CFStoMGD,MIN(MAX(L140,0),MAX(M140,0))),0)</f>
        <v>73.043199999999999</v>
      </c>
      <c r="O140" s="538">
        <f>Sheet1!AA138+Sheet1!AB138</f>
        <v>51.64</v>
      </c>
      <c r="P140" s="538">
        <f t="shared" si="310"/>
        <v>79.887079999999997</v>
      </c>
      <c r="Q140" s="812">
        <f t="shared" si="283"/>
        <v>40.44</v>
      </c>
      <c r="R140" s="812">
        <f t="shared" si="373"/>
        <v>11.191384615384614</v>
      </c>
      <c r="S140" s="812">
        <f t="shared" si="374"/>
        <v>11.2</v>
      </c>
      <c r="T140" s="812">
        <f t="shared" si="375"/>
        <v>53.44</v>
      </c>
      <c r="U140" s="812">
        <f t="shared" si="284"/>
        <v>0</v>
      </c>
      <c r="V140" s="812"/>
      <c r="W140" s="812">
        <f t="shared" si="376"/>
        <v>53.448615384615387</v>
      </c>
      <c r="X140" s="812">
        <f t="shared" si="377"/>
        <v>64.64</v>
      </c>
      <c r="Y140" s="812" t="str">
        <f t="shared" si="378"/>
        <v>FALSE</v>
      </c>
      <c r="Z140" s="812">
        <f t="shared" si="379"/>
        <v>51.64</v>
      </c>
      <c r="AA140" s="812">
        <f t="shared" si="380"/>
        <v>51.64</v>
      </c>
      <c r="AB140" s="1059">
        <f t="shared" si="285"/>
        <v>62.560679999999991</v>
      </c>
      <c r="AC140" s="538">
        <f>Sheet1!Y138*MGDtoCFS</f>
        <v>39.603200000000001</v>
      </c>
      <c r="AD140" s="538">
        <f>Sheet1!Z138*MGDtoCFS</f>
        <v>53.974829999999997</v>
      </c>
      <c r="AE140" s="538">
        <f>Sheet1!AA138*MGDtoCFS</f>
        <v>39.696019999999997</v>
      </c>
      <c r="AF140" s="538">
        <f>Sheet1!AB138*MGDtoCFS</f>
        <v>40.19106</v>
      </c>
      <c r="AG140" s="538">
        <f>Sheet1!L138*MGDtoCFS</f>
        <v>64.865710000000448</v>
      </c>
      <c r="AH140" s="521">
        <f t="shared" si="311"/>
        <v>0</v>
      </c>
      <c r="AI140" s="1059">
        <f t="shared" si="312"/>
        <v>0</v>
      </c>
      <c r="AJ140" s="535">
        <f t="shared" si="313"/>
        <v>53.448615384615387</v>
      </c>
      <c r="AK140" s="535">
        <f t="shared" si="314"/>
        <v>82.685007999999996</v>
      </c>
      <c r="AL140" s="535">
        <f>(VLOOKUP(Sheet1!DC138,hhdcap_wcm,4)-(((VLOOKUP(Sheet1!DC138,hhdcap_wcm,3)-Sheet1!DC138)/(VLOOKUP(Sheet1!DC138,hhdcap_wcm,3)-VLOOKUP(Sheet1!DC138,hhdcap_wcm,1)))*(VLOOKUP(Sheet1!DC138,hhdcap_wcm,4)-VLOOKUP(Sheet1!DC138,hhdcap_wcm,2))))</f>
        <v>38511.000000097411</v>
      </c>
      <c r="AM140" s="535">
        <f t="shared" si="315"/>
        <v>-274.40000000022701</v>
      </c>
      <c r="AN140" s="1035">
        <f t="shared" si="316"/>
        <v>4473.3001106548909</v>
      </c>
      <c r="AO140" s="535">
        <f t="shared" si="317"/>
        <v>13724.084739489206</v>
      </c>
      <c r="AP140" s="535">
        <f>Sheet1!BA138+Sheet1!BB138+Sheet1!BN138+CD140</f>
        <v>14.8</v>
      </c>
      <c r="AQ140" s="535">
        <f>Sheet1!BN138+(DO140*Sheet1!BN138)</f>
        <v>14.788615384615385</v>
      </c>
      <c r="AR140" s="535">
        <f>Sheet1!BA138+CD140</f>
        <v>0</v>
      </c>
      <c r="AS140" s="535">
        <f>Sheet1!BA138+Sheet1!BB138+CD140</f>
        <v>0</v>
      </c>
      <c r="AT140" s="649">
        <f>0</f>
        <v>0</v>
      </c>
      <c r="AU140" s="535">
        <f>IF(EB140&lt;K140,0,MAX(Sheet1!AA138+AQ140-15/36*K140-N140,Sheet1!EH138,0))</f>
        <v>0</v>
      </c>
      <c r="AV140" s="535">
        <f>IF(OR(B140&gt;=GD140,B140&lt;GC140),0,15/36*K140-MAX(0,64.6-(137.6-(Sheet1!AA138+Sheet1!AB138))))</f>
        <v>26.933333333333334</v>
      </c>
      <c r="AW140" s="1029"/>
      <c r="AX140" s="649"/>
      <c r="AY140" s="649">
        <f t="shared" si="286"/>
        <v>0</v>
      </c>
      <c r="AZ140" s="649">
        <f t="shared" si="287"/>
        <v>0</v>
      </c>
      <c r="BA140" s="1059">
        <f t="shared" si="288"/>
        <v>0</v>
      </c>
      <c r="BB140" s="1019">
        <f t="shared" si="318"/>
        <v>2235.4666666666681</v>
      </c>
      <c r="BC140" s="1041">
        <f t="shared" si="289"/>
        <v>26.933333333333334</v>
      </c>
      <c r="BD140" s="1019">
        <f ca="1">IF(B140&gt;Summary!$A$1,#N/A,BB140*MGtoAF)</f>
        <v>6858.4117333333379</v>
      </c>
      <c r="BE140" s="535">
        <f>Sheet1!BG138+Sheet1!BH138+Sheet1!BI138-BM140</f>
        <v>1.01</v>
      </c>
      <c r="BF140" s="535">
        <f t="shared" si="319"/>
        <v>1.009223076923077</v>
      </c>
      <c r="BG140" s="535">
        <f>IF(Sheet1!EP138="FM",BM140,0)</f>
        <v>0</v>
      </c>
      <c r="BH140" s="535">
        <f t="shared" si="320"/>
        <v>0</v>
      </c>
      <c r="BI140" s="535">
        <f>IF(Sheet1!EP138="OTHER",BM140,0)</f>
        <v>0</v>
      </c>
      <c r="BJ140" s="535">
        <f t="shared" si="321"/>
        <v>0</v>
      </c>
      <c r="BK140" s="535">
        <f t="shared" si="322"/>
        <v>1.01</v>
      </c>
      <c r="BL140" s="535">
        <f t="shared" si="323"/>
        <v>1.009223076923077</v>
      </c>
      <c r="BM140" s="535">
        <f>IF(OR(Sheet1!EP138="FM", Sheet1!EP138="OTHER"),SUM(Sheet1!BG138:'Sheet1'!BI138),0)</f>
        <v>0</v>
      </c>
      <c r="BN140" s="521">
        <f>IF(AND($B140&gt;=$FV140,$B140&lt;=$FW140),MAX(BF140,Sheet1!EI138,0),MAX(BF140-(7/36)*$K140,0))</f>
        <v>0</v>
      </c>
      <c r="BO140" s="535">
        <f t="shared" si="324"/>
        <v>11.559665811965813</v>
      </c>
      <c r="BP140" s="521">
        <f t="shared" si="325"/>
        <v>1.009223076923077</v>
      </c>
      <c r="BQ140" s="521">
        <f>IF(AND($O140&gt;0,Sheet1!EM138=1),(1-($O140-Sheet1!$L138)/$O140)*BL140,0)</f>
        <v>0</v>
      </c>
      <c r="BR140" s="521">
        <f>IF(AND(Sheet1!$L138=0,Sheet1!$L137=0, Calculation!BK140&lt;Sheet1!$EI138-0.1,Sheet1!$EI138=Sheet1!$EI137,Sheet1!$EI138=Sheet1!$EI139),BL140-BQ140,BL140-BQ140)</f>
        <v>1.009223076923077</v>
      </c>
      <c r="BS140" s="1035" t="str">
        <f t="shared" si="290"/>
        <v/>
      </c>
      <c r="BT140" s="1035">
        <f t="shared" si="291"/>
        <v>12.568888888888889</v>
      </c>
      <c r="BU140" s="535">
        <f t="shared" si="326"/>
        <v>958.80365783165109</v>
      </c>
      <c r="BV140" s="535"/>
      <c r="BW140" s="535">
        <f ca="1">IF(B140&gt;Summary!$A$1,#N/A,BU140*MGtoAF)</f>
        <v>2941.6096222275055</v>
      </c>
      <c r="BX140" s="535">
        <f>Sheet1!BC138+Sheet1!BD138+Sheet1!BE138+Sheet1!BF138-CG140-CH140</f>
        <v>3.76</v>
      </c>
      <c r="BY140" s="535">
        <f t="shared" si="327"/>
        <v>3.757107692307692</v>
      </c>
      <c r="BZ140" s="535">
        <f>IF(Sheet1!EQ138="FM",CH140,0)</f>
        <v>0</v>
      </c>
      <c r="CA140" s="535">
        <f t="shared" si="328"/>
        <v>0</v>
      </c>
      <c r="CB140" s="535">
        <f>IF(Sheet1!EQ138="OTHER",CH140,0)</f>
        <v>0</v>
      </c>
      <c r="CC140" s="535">
        <f t="shared" si="329"/>
        <v>0</v>
      </c>
      <c r="CD140" s="535">
        <f t="shared" si="330"/>
        <v>0</v>
      </c>
      <c r="CE140" s="535">
        <f t="shared" si="331"/>
        <v>3.76</v>
      </c>
      <c r="CF140" s="535">
        <f t="shared" si="332"/>
        <v>3.757107692307692</v>
      </c>
      <c r="CG140" s="535">
        <f>IF(Sheet1!EQ138="CWA",SUM(Sheet1!BC138:'Sheet1'!BF138),0)</f>
        <v>0</v>
      </c>
      <c r="CH140" s="535">
        <f>IF(OR(Sheet1!EQ138="FM", Sheet1!EQ138="OTHER"),SUM(Sheet1!BC138:'Sheet1'!BF138),0)</f>
        <v>0</v>
      </c>
      <c r="CI140" s="521">
        <f>IF(AND($B140&gt;=$FV140,$B140&lt;=$FW140),MAX(CF140,Sheet1!EJ138,0),MAX(CF140-(7/36)*$K140,0))</f>
        <v>0</v>
      </c>
      <c r="CJ140" s="535">
        <f t="shared" si="333"/>
        <v>8.8117811965811974</v>
      </c>
      <c r="CK140" s="521">
        <f t="shared" si="334"/>
        <v>3.757107692307692</v>
      </c>
      <c r="CL140" s="521">
        <f>IF(AND($O140&gt;0,Sheet1!EN138=1),(1-($O140-Sheet1!$L138)/$O140)*CF140,0)</f>
        <v>0</v>
      </c>
      <c r="CM140" s="521">
        <f>IF(AND(Sheet1!$L138=0,Sheet1!$L137=0, Calculation!CE140&lt;Sheet1!EJ138-0.1,Sheet1!EJ138=Sheet1!EJ137,Sheet1!EJ138=Sheet1!EJ139),CF140-CL140,CF140-CL140)</f>
        <v>3.757107692307692</v>
      </c>
      <c r="CN140" s="1040" t="str">
        <f t="shared" si="292"/>
        <v/>
      </c>
      <c r="CO140" s="1035">
        <f t="shared" si="293"/>
        <v>12.568888888888889</v>
      </c>
      <c r="CP140" s="535">
        <f t="shared" si="335"/>
        <v>774.86046706567788</v>
      </c>
      <c r="CQ140" s="535"/>
      <c r="CR140" s="535">
        <f ca="1">IF(B140&gt;Summary!$A$1,#N/A,CP140*MGtoAF)</f>
        <v>2377.2719129574998</v>
      </c>
      <c r="CS140" s="535">
        <f>Sheet1!BK138+Sheet1!BL138+Sheet1!BM138-Sheet1!ER138-DA140</f>
        <v>6.43</v>
      </c>
      <c r="CT140" s="535">
        <f t="shared" si="336"/>
        <v>6.4250538461538458</v>
      </c>
      <c r="CU140" s="535">
        <f>IF(Sheet1!ER138="FM",DA140,0)</f>
        <v>0</v>
      </c>
      <c r="CV140" s="535">
        <f t="shared" si="337"/>
        <v>0</v>
      </c>
      <c r="CW140" s="535">
        <f>IF(Sheet1!ER138="OTHER",DA140,0)</f>
        <v>0</v>
      </c>
      <c r="CX140" s="535">
        <f t="shared" si="338"/>
        <v>0</v>
      </c>
      <c r="CY140" s="535">
        <f t="shared" si="339"/>
        <v>6.43</v>
      </c>
      <c r="CZ140" s="535">
        <f t="shared" si="340"/>
        <v>6.4250538461538458</v>
      </c>
      <c r="DA140" s="535">
        <f>IF(OR(Sheet1!ER138="FM", Sheet1!ER138="OTHER"),SUM(Sheet1!BK138:'Sheet1'!BM138),0)</f>
        <v>0</v>
      </c>
      <c r="DB140" s="1011">
        <f>IF(AND($B140&gt;=$FV140,$B140&lt;=$FW140),MAX($CT140,Sheet1!EK138,0),MAX($CT140-(7/36)*$K140,0))</f>
        <v>0</v>
      </c>
      <c r="DC140" s="1012">
        <f t="shared" si="341"/>
        <v>6.1438350427350432</v>
      </c>
      <c r="DD140" s="1011">
        <f t="shared" si="342"/>
        <v>6.4250538461538458</v>
      </c>
      <c r="DE140" s="521">
        <f>IF(AND($O140&gt;0,Sheet1!EO138=1),(1-($O140-Sheet1!$L138)/$O140)*CZ140,0)</f>
        <v>0</v>
      </c>
      <c r="DF140" s="521">
        <f>IF(AND(Sheet1!$L138=0,Sheet1!$L137=0, Calculation!CY140&lt;Sheet1!$EK138-0.1,Sheet1!$EK138=Sheet1!$EK137,Sheet1!$EK138=Sheet1!$EK139),CZ140-DE140,CZ140-DE140)</f>
        <v>6.4250538461538458</v>
      </c>
      <c r="DG140" s="1040">
        <f t="shared" si="294"/>
        <v>12.568888888888889</v>
      </c>
      <c r="DH140" s="649">
        <f t="shared" si="343"/>
        <v>11.2</v>
      </c>
      <c r="DI140" s="535">
        <f t="shared" si="344"/>
        <v>504.16931909089362</v>
      </c>
      <c r="DJ140" s="649">
        <f t="shared" si="345"/>
        <v>11.191384615384614</v>
      </c>
      <c r="DK140" s="535">
        <f ca="1">IF(B140&gt;Summary!$A$1,#N/A,DI140*MGtoAF)</f>
        <v>1546.7914709708616</v>
      </c>
      <c r="DL140" s="649">
        <f t="shared" si="346"/>
        <v>11.2</v>
      </c>
      <c r="DM140" s="535">
        <f t="shared" si="347"/>
        <v>26</v>
      </c>
      <c r="DN140" s="535">
        <f>Sheet1!AB138-DM140</f>
        <v>-1.9999999999999574E-2</v>
      </c>
      <c r="DO140" s="743">
        <f t="shared" si="348"/>
        <v>-7.6923076923075286E-4</v>
      </c>
      <c r="DP140" s="535">
        <f>(VLOOKUP(Sheet1!DC138,hhdcap_wcm,4)-(((VLOOKUP(Sheet1!DC138,hhdcap_wcm,3)-Sheet1!DC138)/(VLOOKUP(Sheet1!DC138,hhdcap_wcm,3)-VLOOKUP(Sheet1!DC138,hhdcap_wcm,1)))*(VLOOKUP(Sheet1!DC138,hhdcap_wcm,4)-VLOOKUP(Sheet1!DC138,hhdcap_wcm,2))))</f>
        <v>38511.000000097411</v>
      </c>
      <c r="DQ140" s="535">
        <f t="shared" si="349"/>
        <v>-274.40000000022701</v>
      </c>
      <c r="DR140" s="535">
        <f t="shared" si="350"/>
        <v>-138.37619768039687</v>
      </c>
      <c r="DS140" s="535">
        <f>Sheet1!EA138*AFtoMG</f>
        <v>0</v>
      </c>
      <c r="DT140" s="535">
        <f>Sheet1!EB138*AFtoMG</f>
        <v>0</v>
      </c>
      <c r="DU140" s="535">
        <f>Sheet1!EC138*AFtoMG</f>
        <v>0</v>
      </c>
      <c r="DV140" s="535">
        <f>Sheet1!ED138*AFtoMG</f>
        <v>0</v>
      </c>
      <c r="DW140" s="535">
        <f t="shared" si="351"/>
        <v>0</v>
      </c>
      <c r="DX140" s="535">
        <f t="shared" si="352"/>
        <v>0</v>
      </c>
      <c r="DY140" s="535">
        <f t="shared" si="353"/>
        <v>4473.3001106548909</v>
      </c>
      <c r="DZ140" s="535">
        <f t="shared" si="354"/>
        <v>13724.084739489206</v>
      </c>
      <c r="EA140" s="535"/>
      <c r="EB140" s="521">
        <f>IF(OR(B140&lt;FV140,B140&gt;FW140),(MIN(BF140+BY140+CT140+MAX(Sheet1!AA138+AQ140-73,0),K140)),0)</f>
        <v>11.191384615384614</v>
      </c>
      <c r="EC140" s="535"/>
      <c r="ED140" s="535">
        <f t="shared" si="355"/>
        <v>11.191384615384615</v>
      </c>
      <c r="EE140" s="535"/>
      <c r="EF140" s="535">
        <f>Sheet1!EH138+Sheet1!EI138+Sheet1!EJ138+Sheet1!EK138</f>
        <v>12</v>
      </c>
      <c r="EG140" s="1019">
        <f t="shared" si="295"/>
        <v>18.564</v>
      </c>
      <c r="EH140" s="521">
        <f t="shared" si="356"/>
        <v>0</v>
      </c>
      <c r="EI140" s="535">
        <f>IF(Sheet1!ET138=1,SUM('Calculations II'!AT140:BA140)+'Calculations II'!BC140+Sheet1!BV138+'Calculations II'!BE140+AP140,'Calculations II'!BK140)</f>
        <v>45.909725384615385</v>
      </c>
      <c r="EJ140" s="535">
        <f ca="1">EI140+'Calculations II'!D140+'Calculations II'!E140+'Calculations II'!O140</f>
        <v>49.890268818424573</v>
      </c>
      <c r="EK140" s="535"/>
      <c r="EL140" s="535"/>
      <c r="EM140" s="535">
        <f t="shared" si="357"/>
        <v>42864</v>
      </c>
      <c r="EN140" s="535">
        <f t="shared" si="358"/>
        <v>53.448615384615387</v>
      </c>
      <c r="EO140" s="535">
        <f t="shared" si="359"/>
        <v>82.685007999999996</v>
      </c>
      <c r="EP140" s="535">
        <v>0</v>
      </c>
      <c r="EQ140" s="535">
        <v>0</v>
      </c>
      <c r="ER140" s="535">
        <v>0</v>
      </c>
      <c r="ES140" s="521">
        <f t="shared" si="381"/>
        <v>-3.1793210558313056</v>
      </c>
      <c r="ET140" s="535">
        <f>-(VLOOKUP(Sheet1!BQ138,Lookup!$O$4:$Q$262,2)-VLOOKUP(Sheet1!BQ137,Lookup!$O$4:$Q$262,2))/1000000</f>
        <v>0.69152700772245979</v>
      </c>
      <c r="EU140" s="535">
        <f>-(VLOOKUP(Sheet1!BR138,Lookup!$O$4:$Q$262,3)-VLOOKUP(Sheet1!BR137,Lookup!$O$4:$Q$262,3))/1000000</f>
        <v>-3.8708480635537654</v>
      </c>
      <c r="EV140" s="535"/>
      <c r="EW140" s="535"/>
      <c r="EX140" s="535"/>
      <c r="EY140" s="535"/>
      <c r="EZ140" s="535"/>
      <c r="FA140" s="535"/>
      <c r="FB140" s="535"/>
      <c r="FC140" s="535"/>
      <c r="FD140" s="567" t="e">
        <f t="shared" si="360"/>
        <v>#N/A</v>
      </c>
      <c r="FE140" s="567" t="e">
        <f t="shared" si="361"/>
        <v>#N/A</v>
      </c>
      <c r="FF140" s="568" t="e">
        <f t="shared" si="362"/>
        <v>#N/A</v>
      </c>
      <c r="FG140" s="569" t="s">
        <v>656</v>
      </c>
      <c r="FH140" s="569" t="s">
        <v>656</v>
      </c>
      <c r="FI140" s="567" t="e">
        <v>#N/A</v>
      </c>
      <c r="FJ140" s="567" t="e">
        <v>#N/A</v>
      </c>
      <c r="FK140" s="535"/>
      <c r="FL140" s="1015">
        <v>0</v>
      </c>
      <c r="FM140" s="535"/>
      <c r="FN140" s="535"/>
      <c r="FO140" s="535">
        <f>O140+((Sheet1!CS138)*GPMtoMGD)</f>
        <v>60.178048000000004</v>
      </c>
      <c r="FP140" s="535">
        <f>IF(Sheet1!AA138+AQ140&lt;=Calculation!N140,AQ140,Calculation!N140-Sheet1!AA138)</f>
        <v>14.788615384615385</v>
      </c>
      <c r="FQ140" s="535">
        <f>(Sheet1!BP138+Sheet1!BO138)/694.4</f>
        <v>1.6406970046082949</v>
      </c>
      <c r="FR140" s="541"/>
      <c r="FS140" s="541"/>
      <c r="FT140" s="541"/>
      <c r="FU140" s="541"/>
      <c r="FV140" s="1109">
        <f t="shared" si="382"/>
        <v>42918</v>
      </c>
      <c r="FW140" s="1109">
        <f t="shared" si="383"/>
        <v>43027</v>
      </c>
      <c r="FX140" s="541"/>
      <c r="FY140" s="541">
        <f>Sheet1!DA138-Sheet1!CZ138-Sheet1!AE138</f>
        <v>624.97863000000041</v>
      </c>
      <c r="FZ140" s="535">
        <f t="shared" si="296"/>
        <v>0.4162018669620029</v>
      </c>
      <c r="GA140" s="535"/>
      <c r="GB140" s="535" t="str">
        <f t="shared" si="384"/>
        <v>n</v>
      </c>
      <c r="GC140" s="539">
        <f t="shared" si="385"/>
        <v>42782</v>
      </c>
      <c r="GD140" s="1109">
        <f t="shared" si="386"/>
        <v>42904</v>
      </c>
      <c r="GE140" s="535">
        <f t="shared" ref="GE140:GE203" si="404">$GE$4</f>
        <v>6520</v>
      </c>
      <c r="GF140" s="1109">
        <f t="shared" si="387"/>
        <v>42909</v>
      </c>
      <c r="GG140" s="535">
        <f t="shared" si="308"/>
        <v>3260</v>
      </c>
      <c r="GH140" s="539">
        <f t="shared" si="388"/>
        <v>43040</v>
      </c>
      <c r="GJ140" s="521">
        <f t="shared" si="389"/>
        <v>0</v>
      </c>
      <c r="GK140" s="535" t="str">
        <f t="shared" si="363"/>
        <v/>
      </c>
      <c r="GL140" s="535">
        <f t="shared" si="390"/>
        <v>0</v>
      </c>
      <c r="GM140" s="535" t="str">
        <f t="shared" si="391"/>
        <v/>
      </c>
      <c r="GN140" s="535">
        <f>IF(GK140="P",Lookup!$M$12,IF(GK140="PP",Lookup!$M$13,IF(GK140="PPP",Lookup!$M$14,IF(GK140="T",Lookup!$M$15,IF(GK140="TP",Lookup!$M$16,IF(GK140="TPP",Lookup!$M$17,IF(GK140="TPPP",Lookup!$M$18,0)))))))*GJ140</f>
        <v>0</v>
      </c>
      <c r="GO140" s="535">
        <f t="shared" si="392"/>
        <v>0</v>
      </c>
      <c r="GP140" s="535">
        <f t="shared" si="364"/>
        <v>6858.4117333333379</v>
      </c>
      <c r="GQ140" s="535">
        <f t="shared" si="403"/>
        <v>2235.4666666666681</v>
      </c>
      <c r="GR140" s="535"/>
      <c r="GS140" s="535">
        <f t="shared" si="393"/>
        <v>0</v>
      </c>
      <c r="GT140" s="535" t="str">
        <f t="shared" si="394"/>
        <v/>
      </c>
      <c r="GU140" s="535">
        <f>IF(GK140="P",Lookup!$N$12,IF(GK140="PP",Lookup!$N$13,IF(GK140="PPP",Lookup!$N$14,IF(GK140="T",Lookup!$N$15,IF(GK140="TP",Lookup!$N$16,IF(GK140="TPP",Lookup!$N$17,IF(GK140="TPPP",Lookup!$N$18,0)))))))*GJ140</f>
        <v>0</v>
      </c>
      <c r="GV140" s="535">
        <f t="shared" si="395"/>
        <v>0</v>
      </c>
      <c r="GW140" s="535">
        <f t="shared" si="365"/>
        <v>2941.6096222275055</v>
      </c>
      <c r="GX140" s="535">
        <f t="shared" si="400"/>
        <v>958.80365783165109</v>
      </c>
      <c r="GY140" s="535"/>
      <c r="GZ140" s="535">
        <f t="shared" si="396"/>
        <v>0</v>
      </c>
      <c r="HA140" s="535" t="str">
        <f t="shared" si="397"/>
        <v/>
      </c>
      <c r="HB140" s="535">
        <f>IF(GK140="P",Lookup!$N$12,IF(GK140="PP",Lookup!$N$13,IF(GK140="PPP",Lookup!$N$14,IF(GK140="T",Lookup!$N$15,IF(GK140="TP",Lookup!$N$16,IF(GK140="TPP",Lookup!$N$17,IF(GK140="TPPP",Lookup!$N$18,0)))))))*GJ140</f>
        <v>0</v>
      </c>
      <c r="HC140" s="521">
        <f t="shared" si="366"/>
        <v>0</v>
      </c>
      <c r="HD140" s="535">
        <f t="shared" si="367"/>
        <v>2377.2719129574998</v>
      </c>
      <c r="HE140" s="535">
        <f t="shared" si="401"/>
        <v>774.86046706567788</v>
      </c>
      <c r="HF140" s="535"/>
      <c r="HG140" s="535">
        <f t="shared" si="398"/>
        <v>0</v>
      </c>
      <c r="HH140" s="535" t="str">
        <f t="shared" si="399"/>
        <v/>
      </c>
      <c r="HI140" s="535">
        <f>IF(GK140="P",Lookup!$N$12,IF(GK140="PP",Lookup!$N$13,IF(GK140="PPP",Lookup!$N$14,IF(GK140="T",Lookup!$N$15,IF(GK140="TP",Lookup!$N$16,IF(GK140="TPP",Lookup!$N$17,IF(GK140="TPPP",Lookup!$N$18,0)))))))*GJ140</f>
        <v>0</v>
      </c>
      <c r="HJ140" s="521">
        <f t="shared" si="368"/>
        <v>0</v>
      </c>
      <c r="HK140" s="535">
        <f t="shared" si="369"/>
        <v>1546.7914709708616</v>
      </c>
      <c r="HL140" s="535">
        <f t="shared" si="402"/>
        <v>504.16931909089362</v>
      </c>
      <c r="HM140" s="535"/>
      <c r="HN140" s="541"/>
      <c r="HO140" s="541"/>
      <c r="HP140" s="541"/>
      <c r="HQ140" s="541">
        <f>IF(AND(B140&gt;=$FV$4,B140&lt;=$FW$4),MAX(110/1.02+$HQ$6+MIN(113/1.02,G140),IF($HV$6-(Sheet1!DA138-Sheet1!DB138)+MIN(113/1.02,G140)&lt;G140+FL140,$HV$6-(Sheet1!DA138-Sheet1!DB138)+MIN(113/1.02,G140),G140+FL140)),MIN(110/1.02+$HQ$6+113/1.02,G140))</f>
        <v>218.62745098039215</v>
      </c>
      <c r="HR140" s="541">
        <f t="shared" si="297"/>
        <v>223</v>
      </c>
      <c r="HS140" s="541">
        <f>HR140+(Sheet1!DA138-Sheet1!DB138)</f>
        <v>903</v>
      </c>
      <c r="HT140" s="541">
        <f t="shared" si="298"/>
        <v>62.560679999999991</v>
      </c>
      <c r="HU140" s="541">
        <f t="shared" si="299"/>
        <v>840.43931999999995</v>
      </c>
      <c r="HV140" s="541">
        <f t="shared" si="300"/>
        <v>0</v>
      </c>
      <c r="HW140" s="533" t="str">
        <f t="shared" si="301"/>
        <v/>
      </c>
      <c r="HX140" s="541">
        <f t="shared" si="302"/>
        <v>1421.372549019608</v>
      </c>
      <c r="HY140" s="541">
        <f>Sheet1!CZ138</f>
        <v>1640</v>
      </c>
      <c r="HZ140" s="541">
        <f t="shared" si="303"/>
        <v>0</v>
      </c>
      <c r="IA140" s="541">
        <f t="shared" si="304"/>
        <v>62.560679999999991</v>
      </c>
      <c r="IB140" s="541">
        <f t="shared" si="305"/>
        <v>1640</v>
      </c>
      <c r="IC140" s="1019" t="str">
        <f t="shared" si="306"/>
        <v/>
      </c>
      <c r="ID140" s="541">
        <f t="shared" si="307"/>
        <v>1577.43932</v>
      </c>
      <c r="IE140" s="541">
        <f>Sheet1!DB138</f>
        <v>1600</v>
      </c>
      <c r="IF140" s="533">
        <f>Sheet1!DA138</f>
        <v>2280</v>
      </c>
      <c r="IH140" s="541">
        <f>IF(AND($B140&gt;=$GC140,$B140&lt;=$GH140,$DR140&lt;0)+N("only adjusted when pool is drawn down during storage season"),Sheet1!$DB138+$DR140+N("Palmer minus all storage release"),Sheet1!$DB138)</f>
        <v>1461.6238023196031</v>
      </c>
      <c r="II140" s="541">
        <f>IF(AND($B140&gt;=$GC140,$B140&lt;=$GH140,$DR140&lt;0)+N("only adjusted when pool is drawn down during storage season"),Sheet1!$DA138+$DR140+N("Auburn minus all storage release"),Sheet1!$DA138)</f>
        <v>2141.6238023196033</v>
      </c>
    </row>
    <row r="141" spans="1:243" x14ac:dyDescent="0.25">
      <c r="A141" s="553" t="s">
        <v>6</v>
      </c>
      <c r="B141" s="531">
        <v>42865</v>
      </c>
      <c r="C141" s="536">
        <v>0</v>
      </c>
      <c r="D141" s="506">
        <f t="shared" si="371"/>
        <v>300</v>
      </c>
      <c r="E141" s="506">
        <f t="shared" si="372"/>
        <v>250</v>
      </c>
      <c r="F141" s="506">
        <v>250</v>
      </c>
      <c r="G141" s="535">
        <f>DR141+Sheet1!CZ139</f>
        <v>1673.5199193142871</v>
      </c>
      <c r="H141" s="1074">
        <f t="shared" ref="H141:H197" si="405">MIN(IF($II141&gt;=$E141,($II141-$E141+$P141)*CFStoMGD,0),IF($IH141&gt;=$D141,($IH141-$D141+$P141)*CFStoMGD,0))</f>
        <v>799.62304384000004</v>
      </c>
      <c r="I141" s="534">
        <f>IF(Sheet1!DA139&gt;=E141,(Sheet1!DA139-E141+P141)*CFStoMGD,0)</f>
        <v>1226.2470438400001</v>
      </c>
      <c r="J141" s="995">
        <f>IF(Sheet1!DB139&gt;=D141,(Sheet1!DB139-D141+P141)*CFStoMGD,0)</f>
        <v>799.62304384000004</v>
      </c>
      <c r="K141" s="818">
        <f t="shared" ref="K141:K204" si="406">MAX(MIN(H141:J141,100*CFStoMGD),0)</f>
        <v>64.64</v>
      </c>
      <c r="L141" s="535">
        <f>Sheet1!AA139+Sheet1!AB139-Sheet1!L139+(Sheet1!DA139-F141)*CFStoMGD-S141-T141-U141</f>
        <v>1120.3179999999991</v>
      </c>
      <c r="M141" s="535">
        <f t="shared" si="309"/>
        <v>1103.3985413616504</v>
      </c>
      <c r="N141" s="824">
        <f>IF(Sheet1!DA139&gt;=F141,MIN(113*CFStoMGD,MIN(MAX(L141,0),MAX(M141,0))),0)</f>
        <v>73.043199999999999</v>
      </c>
      <c r="O141" s="538">
        <f>Sheet1!AA139+Sheet1!AB139</f>
        <v>49.8</v>
      </c>
      <c r="P141" s="538">
        <f t="shared" si="310"/>
        <v>77.040599999999998</v>
      </c>
      <c r="Q141" s="812">
        <f t="shared" ref="Q141:Q204" si="407">IF(OR(Y141="FALSE",AND(B141&gt;=FV141,B141&lt;=FW141)),MIN(O141-S141-U141,N141),0)</f>
        <v>37.729999999999997</v>
      </c>
      <c r="R141" s="812">
        <f t="shared" si="373"/>
        <v>11.95599178644764</v>
      </c>
      <c r="S141" s="812">
        <f t="shared" si="374"/>
        <v>12.07</v>
      </c>
      <c r="T141" s="812">
        <f t="shared" si="375"/>
        <v>52.57</v>
      </c>
      <c r="U141" s="812">
        <f t="shared" ref="U141:U198" si="408">IF(AND(B141&gt;=FV141,B141&lt;=FW141),ED141,0)</f>
        <v>0</v>
      </c>
      <c r="V141" s="812"/>
      <c r="W141" s="812">
        <f t="shared" si="376"/>
        <v>52.68400821355236</v>
      </c>
      <c r="X141" s="812">
        <f t="shared" si="377"/>
        <v>64.64</v>
      </c>
      <c r="Y141" s="812" t="str">
        <f t="shared" si="378"/>
        <v>FALSE</v>
      </c>
      <c r="Z141" s="812">
        <f t="shared" si="379"/>
        <v>49.8</v>
      </c>
      <c r="AA141" s="812">
        <f t="shared" si="380"/>
        <v>49.8</v>
      </c>
      <c r="AB141" s="1059">
        <f t="shared" ref="AB141:AB204" si="409">Q141*MGDtoCFS</f>
        <v>58.368309999999994</v>
      </c>
      <c r="AC141" s="538">
        <f>Sheet1!Y139*MGDtoCFS</f>
        <v>39.696019999999997</v>
      </c>
      <c r="AD141" s="538">
        <f>Sheet1!Z139*MGDtoCFS</f>
        <v>43.377879999999998</v>
      </c>
      <c r="AE141" s="538">
        <f>Sheet1!AA139*MGDtoCFS</f>
        <v>39.726959999999998</v>
      </c>
      <c r="AF141" s="538">
        <f>Sheet1!AB139*MGDtoCFS</f>
        <v>37.313639999999999</v>
      </c>
      <c r="AG141" s="538">
        <f>Sheet1!L139*MGDtoCFS</f>
        <v>63.875630000001351</v>
      </c>
      <c r="AH141" s="521">
        <f t="shared" si="311"/>
        <v>0</v>
      </c>
      <c r="AI141" s="1059">
        <f t="shared" si="312"/>
        <v>0</v>
      </c>
      <c r="AJ141" s="535">
        <f t="shared" si="313"/>
        <v>52.68400821355236</v>
      </c>
      <c r="AK141" s="535">
        <f t="shared" si="314"/>
        <v>81.502160706365501</v>
      </c>
      <c r="AL141" s="535">
        <f>(VLOOKUP(Sheet1!DC139,hhdcap_wcm,4)-(((VLOOKUP(Sheet1!DC139,hhdcap_wcm,3)-Sheet1!DC139)/(VLOOKUP(Sheet1!DC139,hhdcap_wcm,3)-VLOOKUP(Sheet1!DC139,hhdcap_wcm,1)))*(VLOOKUP(Sheet1!DC139,hhdcap_wcm,4)-VLOOKUP(Sheet1!DC139,hhdcap_wcm,2))))</f>
        <v>38795.600000097642</v>
      </c>
      <c r="AM141" s="535">
        <f t="shared" si="315"/>
        <v>284.60000000023138</v>
      </c>
      <c r="AN141" s="1035">
        <f t="shared" si="316"/>
        <v>4525.9841188684431</v>
      </c>
      <c r="AO141" s="535">
        <f t="shared" si="317"/>
        <v>13885.719276688384</v>
      </c>
      <c r="AP141" s="535">
        <f>Sheet1!BA139+Sheet1!BB139+Sheet1!BN139+CD141</f>
        <v>12.28</v>
      </c>
      <c r="AQ141" s="535">
        <f>Sheet1!BN139+(DO141*Sheet1!BN139)</f>
        <v>12.164008213552361</v>
      </c>
      <c r="AR141" s="535">
        <f>Sheet1!BA139+CD141</f>
        <v>0</v>
      </c>
      <c r="AS141" s="535">
        <f>Sheet1!BA139+Sheet1!BB139+CD141</f>
        <v>0</v>
      </c>
      <c r="AT141" s="649">
        <f>0</f>
        <v>0</v>
      </c>
      <c r="AU141" s="535">
        <f>IF(EB141&lt;K141,0,MAX(Sheet1!AA139+AQ141-15/36*K141-N141,Sheet1!EH139,0))</f>
        <v>0</v>
      </c>
      <c r="AV141" s="535">
        <f>IF(OR(B141&gt;=GD141,B141&lt;GC141),0,15/36*K141-MAX(0,64.6-(137.6-(Sheet1!AA139+Sheet1!AB139))))</f>
        <v>26.933333333333334</v>
      </c>
      <c r="AW141" s="1029"/>
      <c r="AX141" s="649"/>
      <c r="AY141" s="649">
        <f t="shared" ref="AY141:AY204" si="410">AY140+BA141*MGtoAF</f>
        <v>0</v>
      </c>
      <c r="AZ141" s="649">
        <f t="shared" ref="AZ141:AZ204" si="411">BA141*1.547</f>
        <v>0</v>
      </c>
      <c r="BA141" s="1059">
        <f t="shared" ref="BA141:BA204" si="412">HV141/1.547</f>
        <v>0</v>
      </c>
      <c r="BB141" s="1019">
        <f t="shared" si="318"/>
        <v>2262.4000000000015</v>
      </c>
      <c r="BC141" s="1041">
        <f t="shared" ref="BC141:BC204" si="413">K141*(15/36)</f>
        <v>26.933333333333334</v>
      </c>
      <c r="BD141" s="1019">
        <f ca="1">IF(B141&gt;Summary!$A$1,#N/A,BB141*MGtoAF)</f>
        <v>6941.0432000000046</v>
      </c>
      <c r="BE141" s="535">
        <f>Sheet1!BG139+Sheet1!BH139+Sheet1!BI139-BM141</f>
        <v>1.01</v>
      </c>
      <c r="BF141" s="535">
        <f t="shared" si="319"/>
        <v>1.0004599589322383</v>
      </c>
      <c r="BG141" s="535">
        <f>IF(Sheet1!EP139="FM",BM141,0)</f>
        <v>0</v>
      </c>
      <c r="BH141" s="535">
        <f t="shared" si="320"/>
        <v>0</v>
      </c>
      <c r="BI141" s="535">
        <f>IF(Sheet1!EP139="OTHER",BM141,0)</f>
        <v>0</v>
      </c>
      <c r="BJ141" s="535">
        <f t="shared" si="321"/>
        <v>0</v>
      </c>
      <c r="BK141" s="535">
        <f t="shared" si="322"/>
        <v>1.01</v>
      </c>
      <c r="BL141" s="535">
        <f t="shared" si="323"/>
        <v>1.0004599589322383</v>
      </c>
      <c r="BM141" s="535">
        <f>IF(OR(Sheet1!EP139="FM", Sheet1!EP139="OTHER"),SUM(Sheet1!BG139:'Sheet1'!BI139),0)</f>
        <v>0</v>
      </c>
      <c r="BN141" s="521">
        <f>IF(AND($B141&gt;=$FV141,$B141&lt;=$FW141),MAX(BF141,Sheet1!EI139,0),MAX(BF141-(7/36)*$K141,0))</f>
        <v>0</v>
      </c>
      <c r="BO141" s="535">
        <f t="shared" si="324"/>
        <v>11.568428929956651</v>
      </c>
      <c r="BP141" s="521">
        <f t="shared" si="325"/>
        <v>1.0004599589322383</v>
      </c>
      <c r="BQ141" s="521">
        <f>IF(AND($O141&gt;0,Sheet1!EM139=1),(1-($O141-Sheet1!$L139)/$O141)*BL141,0)</f>
        <v>0</v>
      </c>
      <c r="BR141" s="521">
        <f>IF(AND(Sheet1!$L139=0,Sheet1!$L138=0, Calculation!BK141&lt;Sheet1!$EI139-0.1,Sheet1!$EI139=Sheet1!$EI138,Sheet1!$EI139=Sheet1!$EI140),BL141-BQ141,BL141-BQ141)</f>
        <v>1.0004599589322383</v>
      </c>
      <c r="BS141" s="1035" t="str">
        <f t="shared" ref="BS141:BS204" si="414">IF(AND(B141&lt;=FV141,BR141&gt;BT141),BR141-BT141,"")</f>
        <v/>
      </c>
      <c r="BT141" s="1035">
        <f t="shared" ref="BT141:BT204" si="415">(7/36)*K141</f>
        <v>12.568888888888889</v>
      </c>
      <c r="BU141" s="535">
        <f t="shared" si="326"/>
        <v>970.37208676160776</v>
      </c>
      <c r="BV141" s="535"/>
      <c r="BW141" s="535">
        <f ca="1">IF(B141&gt;Summary!$A$1,#N/A,BU141*MGtoAF)</f>
        <v>2977.1015621846127</v>
      </c>
      <c r="BX141" s="535">
        <f>Sheet1!BC139+Sheet1!BD139+Sheet1!BE139+Sheet1!BF139-CG141-CH141</f>
        <v>4.5</v>
      </c>
      <c r="BY141" s="535">
        <f t="shared" si="327"/>
        <v>4.4574948665297738</v>
      </c>
      <c r="BZ141" s="535">
        <f>IF(Sheet1!EQ139="FM",CH141,0)</f>
        <v>0</v>
      </c>
      <c r="CA141" s="535">
        <f t="shared" si="328"/>
        <v>0</v>
      </c>
      <c r="CB141" s="535">
        <f>IF(Sheet1!EQ139="OTHER",CH141,0)</f>
        <v>0</v>
      </c>
      <c r="CC141" s="535">
        <f t="shared" si="329"/>
        <v>0</v>
      </c>
      <c r="CD141" s="535">
        <f t="shared" si="330"/>
        <v>0</v>
      </c>
      <c r="CE141" s="535">
        <f t="shared" si="331"/>
        <v>4.5</v>
      </c>
      <c r="CF141" s="535">
        <f t="shared" si="332"/>
        <v>4.4574948665297738</v>
      </c>
      <c r="CG141" s="535">
        <f>IF(Sheet1!EQ139="CWA",SUM(Sheet1!BC139:'Sheet1'!BF139),0)</f>
        <v>0</v>
      </c>
      <c r="CH141" s="535">
        <f>IF(OR(Sheet1!EQ139="FM", Sheet1!EQ139="OTHER"),SUM(Sheet1!BC139:'Sheet1'!BF139),0)</f>
        <v>0</v>
      </c>
      <c r="CI141" s="521">
        <f>IF(AND($B141&gt;=$FV141,$B141&lt;=$FW141),MAX(CF141,Sheet1!EJ139,0),MAX(CF141-(7/36)*$K141,0))</f>
        <v>0</v>
      </c>
      <c r="CJ141" s="535">
        <f t="shared" si="333"/>
        <v>8.1113940223591143</v>
      </c>
      <c r="CK141" s="521">
        <f t="shared" si="334"/>
        <v>4.4574948665297738</v>
      </c>
      <c r="CL141" s="521">
        <f>IF(AND($O141&gt;0,Sheet1!EN139=1),(1-($O141-Sheet1!$L139)/$O141)*CF141,0)</f>
        <v>0</v>
      </c>
      <c r="CM141" s="521">
        <f>IF(AND(Sheet1!$L139=0,Sheet1!$L138=0, Calculation!CE141&lt;Sheet1!EJ139-0.1,Sheet1!EJ139=Sheet1!EJ138,Sheet1!EJ139=Sheet1!EJ140),CF141-CL141,CF141-CL141)</f>
        <v>4.4574948665297738</v>
      </c>
      <c r="CN141" s="1040" t="str">
        <f t="shared" ref="CN141:CN204" si="416">IF(AND(B141&lt;=FV141,CM141&gt;CO141),CM141-CO141,"")</f>
        <v/>
      </c>
      <c r="CO141" s="1035">
        <f t="shared" ref="CO141:CO204" si="417">(7/36)*K141</f>
        <v>12.568888888888889</v>
      </c>
      <c r="CP141" s="535">
        <f t="shared" si="335"/>
        <v>782.97186108803703</v>
      </c>
      <c r="CQ141" s="535"/>
      <c r="CR141" s="535">
        <f ca="1">IF(B141&gt;Summary!$A$1,#N/A,CP141*MGtoAF)</f>
        <v>2402.1576698180975</v>
      </c>
      <c r="CS141" s="535">
        <f>Sheet1!BK139+Sheet1!BL139+Sheet1!BM139-Sheet1!ER139-DA141</f>
        <v>6.5600000000000005</v>
      </c>
      <c r="CT141" s="535">
        <f t="shared" si="336"/>
        <v>6.498036960985627</v>
      </c>
      <c r="CU141" s="535">
        <f>IF(Sheet1!ER139="FM",DA141,0)</f>
        <v>0</v>
      </c>
      <c r="CV141" s="535">
        <f t="shared" si="337"/>
        <v>0</v>
      </c>
      <c r="CW141" s="535">
        <f>IF(Sheet1!ER139="OTHER",DA141,0)</f>
        <v>0</v>
      </c>
      <c r="CX141" s="535">
        <f t="shared" si="338"/>
        <v>0</v>
      </c>
      <c r="CY141" s="535">
        <f t="shared" si="339"/>
        <v>6.5600000000000005</v>
      </c>
      <c r="CZ141" s="535">
        <f t="shared" si="340"/>
        <v>6.498036960985627</v>
      </c>
      <c r="DA141" s="535">
        <f>IF(OR(Sheet1!ER139="FM", Sheet1!ER139="OTHER"),SUM(Sheet1!BK139:'Sheet1'!BM139),0)</f>
        <v>0</v>
      </c>
      <c r="DB141" s="1011">
        <f>IF(AND($B141&gt;=$FV141,$B141&lt;=$FW141),MAX($CT141,Sheet1!EK139,0),MAX($CT141-(7/36)*$K141,0))</f>
        <v>0</v>
      </c>
      <c r="DC141" s="1012">
        <f t="shared" si="341"/>
        <v>6.070851927903262</v>
      </c>
      <c r="DD141" s="1011">
        <f t="shared" si="342"/>
        <v>6.498036960985627</v>
      </c>
      <c r="DE141" s="521">
        <f>IF(AND($O141&gt;0,Sheet1!EO139=1),(1-($O141-Sheet1!$L139)/$O141)*CZ141,0)</f>
        <v>0</v>
      </c>
      <c r="DF141" s="521">
        <f>IF(AND(Sheet1!$L139=0,Sheet1!$L138=0, Calculation!CY141&lt;Sheet1!$EK139-0.1,Sheet1!$EK139=Sheet1!$EK138,Sheet1!$EK139=Sheet1!$EK140),CZ141-DE141,CZ141-DE141)</f>
        <v>6.498036960985627</v>
      </c>
      <c r="DG141" s="1040">
        <f t="shared" ref="DG141:DG204" si="418">(7/36)*K141</f>
        <v>12.568888888888889</v>
      </c>
      <c r="DH141" s="649">
        <f t="shared" si="343"/>
        <v>12.07</v>
      </c>
      <c r="DI141" s="535">
        <f t="shared" si="344"/>
        <v>510.2401710187969</v>
      </c>
      <c r="DJ141" s="649">
        <f t="shared" si="345"/>
        <v>11.95599178644764</v>
      </c>
      <c r="DK141" s="535">
        <f ca="1">IF(B141&gt;Summary!$A$1,#N/A,DI141*MGtoAF)</f>
        <v>1565.4168446856688</v>
      </c>
      <c r="DL141" s="649">
        <f t="shared" si="346"/>
        <v>12.07</v>
      </c>
      <c r="DM141" s="535">
        <f t="shared" si="347"/>
        <v>24.35</v>
      </c>
      <c r="DN141" s="535">
        <f>Sheet1!AB139-DM141</f>
        <v>-0.23000000000000043</v>
      </c>
      <c r="DO141" s="743">
        <f t="shared" si="348"/>
        <v>-9.445585215605767E-3</v>
      </c>
      <c r="DP141" s="535">
        <f>(VLOOKUP(Sheet1!DC139,hhdcap_wcm,4)-(((VLOOKUP(Sheet1!DC139,hhdcap_wcm,3)-Sheet1!DC139)/(VLOOKUP(Sheet1!DC139,hhdcap_wcm,3)-VLOOKUP(Sheet1!DC139,hhdcap_wcm,1)))*(VLOOKUP(Sheet1!DC139,hhdcap_wcm,4)-VLOOKUP(Sheet1!DC139,hhdcap_wcm,2))))</f>
        <v>38795.600000097642</v>
      </c>
      <c r="DQ141" s="535">
        <f t="shared" si="349"/>
        <v>284.60000000023138</v>
      </c>
      <c r="DR141" s="535">
        <f t="shared" si="350"/>
        <v>143.51991931428711</v>
      </c>
      <c r="DS141" s="535">
        <f>Sheet1!EA139*AFtoMG</f>
        <v>0</v>
      </c>
      <c r="DT141" s="535">
        <f>Sheet1!EB139*AFtoMG</f>
        <v>0</v>
      </c>
      <c r="DU141" s="535">
        <f>Sheet1!EC139*AFtoMG</f>
        <v>0</v>
      </c>
      <c r="DV141" s="535">
        <f>Sheet1!ED139*AFtoMG</f>
        <v>0</v>
      </c>
      <c r="DW141" s="535">
        <f t="shared" si="351"/>
        <v>0</v>
      </c>
      <c r="DX141" s="535">
        <f t="shared" si="352"/>
        <v>0</v>
      </c>
      <c r="DY141" s="535">
        <f t="shared" si="353"/>
        <v>4525.9841188684431</v>
      </c>
      <c r="DZ141" s="535">
        <f t="shared" si="354"/>
        <v>13885.719276688384</v>
      </c>
      <c r="EA141" s="535"/>
      <c r="EB141" s="521">
        <f>IF(OR(B141&lt;FV141,B141&gt;FW141),(MIN(BF141+BY141+CT141+MAX(Sheet1!AA139+AQ141-73,0),K141)),0)</f>
        <v>11.95599178644764</v>
      </c>
      <c r="EC141" s="535"/>
      <c r="ED141" s="535">
        <f t="shared" si="355"/>
        <v>11.95599178644764</v>
      </c>
      <c r="EE141" s="535"/>
      <c r="EF141" s="535">
        <f>Sheet1!EH139+Sheet1!EI139+Sheet1!EJ139+Sheet1!EK139</f>
        <v>12</v>
      </c>
      <c r="EG141" s="1019">
        <f t="shared" ref="EG141:EG204" si="419">EF141*1.547</f>
        <v>18.564</v>
      </c>
      <c r="EH141" s="521">
        <f t="shared" si="356"/>
        <v>0</v>
      </c>
      <c r="EI141" s="535">
        <f>IF(Sheet1!ET139=1,SUM('Calculations II'!AT141:BA141)+'Calculations II'!BC141+Sheet1!BV139+'Calculations II'!BE141+AP141,'Calculations II'!BK141)</f>
        <v>47.989002213552354</v>
      </c>
      <c r="EJ141" s="535">
        <f ca="1">EI141+'Calculations II'!D141+'Calculations II'!E141+'Calculations II'!O141</f>
        <v>46.651233395225432</v>
      </c>
      <c r="EK141" s="535"/>
      <c r="EL141" s="535"/>
      <c r="EM141" s="535">
        <f t="shared" si="357"/>
        <v>42865</v>
      </c>
      <c r="EN141" s="535">
        <f t="shared" si="358"/>
        <v>52.68400821355236</v>
      </c>
      <c r="EO141" s="535">
        <f t="shared" si="359"/>
        <v>81.502160706365501</v>
      </c>
      <c r="EP141" s="535">
        <v>0</v>
      </c>
      <c r="EQ141" s="535">
        <v>0</v>
      </c>
      <c r="ER141" s="535">
        <v>0</v>
      </c>
      <c r="ES141" s="521">
        <f t="shared" si="381"/>
        <v>1.2446525628850909</v>
      </c>
      <c r="ET141" s="535">
        <f>-(VLOOKUP(Sheet1!BQ139,Lookup!$O$4:$Q$262,2)-VLOOKUP(Sheet1!BQ138,Lookup!$O$4:$Q$262,2))/1000000</f>
        <v>0.69136691382892435</v>
      </c>
      <c r="EU141" s="535">
        <f>-(VLOOKUP(Sheet1!BR139,Lookup!$O$4:$Q$262,3)-VLOOKUP(Sheet1!BR138,Lookup!$O$4:$Q$262,3))/1000000</f>
        <v>0.5532856490561664</v>
      </c>
      <c r="EV141" s="535"/>
      <c r="EW141" s="535"/>
      <c r="EX141" s="535"/>
      <c r="EY141" s="535"/>
      <c r="EZ141" s="535"/>
      <c r="FA141" s="535"/>
      <c r="FB141" s="535"/>
      <c r="FC141" s="535"/>
      <c r="FD141" s="567" t="e">
        <f t="shared" si="360"/>
        <v>#N/A</v>
      </c>
      <c r="FE141" s="567" t="e">
        <f t="shared" si="361"/>
        <v>#N/A</v>
      </c>
      <c r="FF141" s="568" t="e">
        <f t="shared" si="362"/>
        <v>#N/A</v>
      </c>
      <c r="FG141" s="569" t="s">
        <v>656</v>
      </c>
      <c r="FH141" s="569" t="s">
        <v>656</v>
      </c>
      <c r="FI141" s="567" t="e">
        <v>#N/A</v>
      </c>
      <c r="FJ141" s="567" t="e">
        <v>#N/A</v>
      </c>
      <c r="FK141" s="535"/>
      <c r="FL141" s="1015">
        <v>0</v>
      </c>
      <c r="FM141" s="535"/>
      <c r="FN141" s="535"/>
      <c r="FO141" s="535">
        <f>O141+((Sheet1!CS139)*GPMtoMGD)</f>
        <v>58.137167999999996</v>
      </c>
      <c r="FP141" s="535">
        <f>IF(Sheet1!AA139+AQ141&lt;=Calculation!N141,AQ141,Calculation!N141-Sheet1!AA139)</f>
        <v>12.164008213552361</v>
      </c>
      <c r="FQ141" s="535">
        <f>(Sheet1!BP139+Sheet1!BO139)/694.4</f>
        <v>1.4755184331797233</v>
      </c>
      <c r="FR141" s="541"/>
      <c r="FS141" s="541"/>
      <c r="FT141" s="541"/>
      <c r="FU141" s="541"/>
      <c r="FV141" s="1109">
        <f t="shared" si="382"/>
        <v>42918</v>
      </c>
      <c r="FW141" s="1109">
        <f t="shared" si="383"/>
        <v>43027</v>
      </c>
      <c r="FX141" s="541"/>
      <c r="FY141" s="541">
        <f>Sheet1!DA139-Sheet1!CZ139-Sheet1!AE139</f>
        <v>526.83503000000132</v>
      </c>
      <c r="FZ141" s="535">
        <f t="shared" ref="FZ141:FZ204" si="420">FY141/G141</f>
        <v>0.31480654871193181</v>
      </c>
      <c r="GA141" s="535"/>
      <c r="GB141" s="535" t="str">
        <f t="shared" si="384"/>
        <v>n</v>
      </c>
      <c r="GC141" s="539">
        <f t="shared" si="385"/>
        <v>42782</v>
      </c>
      <c r="GD141" s="1109">
        <f t="shared" si="386"/>
        <v>42904</v>
      </c>
      <c r="GE141" s="535">
        <f t="shared" si="404"/>
        <v>6520</v>
      </c>
      <c r="GF141" s="1109">
        <f t="shared" si="387"/>
        <v>42909</v>
      </c>
      <c r="GG141" s="535">
        <f t="shared" si="308"/>
        <v>3260</v>
      </c>
      <c r="GH141" s="539">
        <f t="shared" si="388"/>
        <v>43040</v>
      </c>
      <c r="GJ141" s="521">
        <f t="shared" si="389"/>
        <v>0</v>
      </c>
      <c r="GK141" s="535" t="str">
        <f t="shared" si="363"/>
        <v/>
      </c>
      <c r="GL141" s="535">
        <f t="shared" si="390"/>
        <v>0</v>
      </c>
      <c r="GM141" s="535" t="str">
        <f t="shared" si="391"/>
        <v/>
      </c>
      <c r="GN141" s="535">
        <f>IF(GK141="P",Lookup!$M$12,IF(GK141="PP",Lookup!$M$13,IF(GK141="PPP",Lookup!$M$14,IF(GK141="T",Lookup!$M$15,IF(GK141="TP",Lookup!$M$16,IF(GK141="TPP",Lookup!$M$17,IF(GK141="TPPP",Lookup!$M$18,0)))))))*GJ141</f>
        <v>0</v>
      </c>
      <c r="GO141" s="535">
        <f t="shared" si="392"/>
        <v>0</v>
      </c>
      <c r="GP141" s="535">
        <f t="shared" si="364"/>
        <v>6941.0432000000046</v>
      </c>
      <c r="GQ141" s="535">
        <f t="shared" si="403"/>
        <v>2262.4000000000015</v>
      </c>
      <c r="GR141" s="535"/>
      <c r="GS141" s="535">
        <f t="shared" si="393"/>
        <v>0</v>
      </c>
      <c r="GT141" s="535" t="str">
        <f t="shared" si="394"/>
        <v/>
      </c>
      <c r="GU141" s="535">
        <f>IF(GK141="P",Lookup!$N$12,IF(GK141="PP",Lookup!$N$13,IF(GK141="PPP",Lookup!$N$14,IF(GK141="T",Lookup!$N$15,IF(GK141="TP",Lookup!$N$16,IF(GK141="TPP",Lookup!$N$17,IF(GK141="TPPP",Lookup!$N$18,0)))))))*GJ141</f>
        <v>0</v>
      </c>
      <c r="GV141" s="535">
        <f t="shared" si="395"/>
        <v>0</v>
      </c>
      <c r="GW141" s="535">
        <f t="shared" si="365"/>
        <v>2977.1015621846127</v>
      </c>
      <c r="GX141" s="535">
        <f t="shared" si="400"/>
        <v>970.37208676160776</v>
      </c>
      <c r="GY141" s="535"/>
      <c r="GZ141" s="535">
        <f t="shared" si="396"/>
        <v>0</v>
      </c>
      <c r="HA141" s="535" t="str">
        <f t="shared" si="397"/>
        <v/>
      </c>
      <c r="HB141" s="535">
        <f>IF(GK141="P",Lookup!$N$12,IF(GK141="PP",Lookup!$N$13,IF(GK141="PPP",Lookup!$N$14,IF(GK141="T",Lookup!$N$15,IF(GK141="TP",Lookup!$N$16,IF(GK141="TPP",Lookup!$N$17,IF(GK141="TPPP",Lookup!$N$18,0)))))))*GJ141</f>
        <v>0</v>
      </c>
      <c r="HC141" s="521">
        <f t="shared" si="366"/>
        <v>0</v>
      </c>
      <c r="HD141" s="535">
        <f t="shared" si="367"/>
        <v>2402.1576698180975</v>
      </c>
      <c r="HE141" s="535">
        <f t="shared" si="401"/>
        <v>782.97186108803703</v>
      </c>
      <c r="HF141" s="535"/>
      <c r="HG141" s="535">
        <f t="shared" si="398"/>
        <v>0</v>
      </c>
      <c r="HH141" s="535" t="str">
        <f t="shared" si="399"/>
        <v/>
      </c>
      <c r="HI141" s="535">
        <f>IF(GK141="P",Lookup!$N$12,IF(GK141="PP",Lookup!$N$13,IF(GK141="PPP",Lookup!$N$14,IF(GK141="T",Lookup!$N$15,IF(GK141="TP",Lookup!$N$16,IF(GK141="TPP",Lookup!$N$17,IF(GK141="TPPP",Lookup!$N$18,0)))))))*GJ141</f>
        <v>0</v>
      </c>
      <c r="HJ141" s="521">
        <f t="shared" si="368"/>
        <v>0</v>
      </c>
      <c r="HK141" s="535">
        <f t="shared" si="369"/>
        <v>1565.4168446856688</v>
      </c>
      <c r="HL141" s="535">
        <f t="shared" si="402"/>
        <v>510.2401710187969</v>
      </c>
      <c r="HM141" s="535"/>
      <c r="HN141" s="541"/>
      <c r="HO141" s="541"/>
      <c r="HP141" s="541"/>
      <c r="HQ141" s="541">
        <f>IF(AND(B141&gt;=$FV$4,B141&lt;=$FW$4),MAX(110/1.02+$HQ$6+MIN(113/1.02,G141),IF($HV$6-(Sheet1!DA139-Sheet1!DB139)+MIN(113/1.02,G141)&lt;G141+FL141,$HV$6-(Sheet1!DA139-Sheet1!DB139)+MIN(113/1.02,G141),G141+FL141)),MIN(110/1.02+$HQ$6+113/1.02,G141))</f>
        <v>218.62745098039215</v>
      </c>
      <c r="HR141" s="541">
        <f t="shared" ref="HR141:HR204" si="421">HQ141*1.02</f>
        <v>223</v>
      </c>
      <c r="HS141" s="541">
        <f>HR141+(Sheet1!DA139-Sheet1!DB139)</f>
        <v>833</v>
      </c>
      <c r="HT141" s="541">
        <f t="shared" ref="HT141:HT204" si="422">AB141</f>
        <v>58.368309999999994</v>
      </c>
      <c r="HU141" s="541">
        <f t="shared" ref="HU141:HU204" si="423">HS141-HT141</f>
        <v>774.63169000000005</v>
      </c>
      <c r="HV141" s="541">
        <f t="shared" ref="HV141:HV204" si="424">MAX($HV$6-HU141,0)</f>
        <v>0</v>
      </c>
      <c r="HW141" s="533" t="str">
        <f t="shared" ref="HW141:HW204" si="425">IF(IB141-HQ141&lt;0,HQ141-IB141,"")</f>
        <v/>
      </c>
      <c r="HX141" s="541">
        <f t="shared" ref="HX141:HX204" si="426">IF(IB141-HQ141&gt;0,IB141-HQ141,"")</f>
        <v>1311.372549019608</v>
      </c>
      <c r="HY141" s="541">
        <f>Sheet1!CZ139</f>
        <v>1530</v>
      </c>
      <c r="HZ141" s="541">
        <f t="shared" ref="HZ141:HZ204" si="427">AI141</f>
        <v>0</v>
      </c>
      <c r="IA141" s="541">
        <f t="shared" ref="IA141:IA204" si="428">AB141</f>
        <v>58.368309999999994</v>
      </c>
      <c r="IB141" s="541">
        <f t="shared" ref="IB141:IB204" si="429">HY141-HZ141</f>
        <v>1530</v>
      </c>
      <c r="IC141" s="1019" t="str">
        <f t="shared" ref="IC141:IC204" si="430">IF(IB141-HQ141&lt;0,"YES","")</f>
        <v/>
      </c>
      <c r="ID141" s="541">
        <f t="shared" ref="ID141:ID204" si="431">HY141-HZ141-IA141</f>
        <v>1471.6316899999999</v>
      </c>
      <c r="IE141" s="541">
        <f>Sheet1!DB139</f>
        <v>1460</v>
      </c>
      <c r="IF141" s="533">
        <f>Sheet1!DA139</f>
        <v>2070</v>
      </c>
      <c r="IH141" s="541">
        <f>IF(AND($B141&gt;=$GC141,$B141&lt;=$GH141,$DR141&lt;0)+N("only adjusted when pool is drawn down during storage season"),Sheet1!$DB139+$DR141+N("Palmer minus all storage release"),Sheet1!$DB139)</f>
        <v>1460</v>
      </c>
      <c r="II141" s="541">
        <f>IF(AND($B141&gt;=$GC141,$B141&lt;=$GH141,$DR141&lt;0)+N("only adjusted when pool is drawn down during storage season"),Sheet1!$DA139+$DR141+N("Auburn minus all storage release"),Sheet1!$DA139)</f>
        <v>2070</v>
      </c>
    </row>
    <row r="142" spans="1:243" x14ac:dyDescent="0.25">
      <c r="A142" s="553" t="s">
        <v>7</v>
      </c>
      <c r="B142" s="531">
        <v>42866</v>
      </c>
      <c r="C142" s="536">
        <v>0</v>
      </c>
      <c r="D142" s="506">
        <f t="shared" si="371"/>
        <v>300</v>
      </c>
      <c r="E142" s="506">
        <f t="shared" si="372"/>
        <v>250</v>
      </c>
      <c r="F142" s="506">
        <v>250</v>
      </c>
      <c r="G142" s="535">
        <f>DR142+Sheet1!CZ140</f>
        <v>2207.5289964697417</v>
      </c>
      <c r="H142" s="1074">
        <f t="shared" si="405"/>
        <v>1023.2689695359999</v>
      </c>
      <c r="I142" s="534">
        <f>IF(Sheet1!DA140&gt;=E142,(Sheet1!DA140-E142+P142)*CFStoMGD,0)</f>
        <v>1469.2849695359998</v>
      </c>
      <c r="J142" s="995">
        <f>IF(Sheet1!DB140&gt;=D142,(Sheet1!DB140-D142+P142)*CFStoMGD,0)</f>
        <v>1023.2689695359999</v>
      </c>
      <c r="K142" s="818">
        <f t="shared" si="406"/>
        <v>64.64</v>
      </c>
      <c r="L142" s="535">
        <f>Sheet1!AA140+Sheet1!AB140-Sheet1!L140+(Sheet1!DA140-F142)*CFStoMGD-S142-T142-U142</f>
        <v>1388.3559999999991</v>
      </c>
      <c r="M142" s="535">
        <f t="shared" si="309"/>
        <v>1455.4856781844019</v>
      </c>
      <c r="N142" s="824">
        <f>IF(Sheet1!DA140&gt;=F142,MIN(113*CFStoMGD,MIN(MAX(L142,0),MAX(M142,0))),0)</f>
        <v>73.043199999999999</v>
      </c>
      <c r="O142" s="538">
        <f>Sheet1!AA140+Sheet1!AB140</f>
        <v>53.67</v>
      </c>
      <c r="P142" s="538">
        <f t="shared" si="310"/>
        <v>83.02749</v>
      </c>
      <c r="Q142" s="812">
        <f t="shared" si="407"/>
        <v>41.99</v>
      </c>
      <c r="R142" s="812">
        <f t="shared" si="373"/>
        <v>11.650883190883192</v>
      </c>
      <c r="S142" s="812">
        <f t="shared" si="374"/>
        <v>11.68</v>
      </c>
      <c r="T142" s="812">
        <f t="shared" si="375"/>
        <v>52.96</v>
      </c>
      <c r="U142" s="812">
        <f t="shared" si="408"/>
        <v>0</v>
      </c>
      <c r="V142" s="812"/>
      <c r="W142" s="812">
        <f t="shared" si="376"/>
        <v>52.989116809116808</v>
      </c>
      <c r="X142" s="812">
        <f t="shared" si="377"/>
        <v>64.64</v>
      </c>
      <c r="Y142" s="812" t="str">
        <f t="shared" si="378"/>
        <v>FALSE</v>
      </c>
      <c r="Z142" s="812">
        <f t="shared" si="379"/>
        <v>53.67</v>
      </c>
      <c r="AA142" s="812">
        <f t="shared" si="380"/>
        <v>53.67</v>
      </c>
      <c r="AB142" s="1059">
        <f t="shared" si="409"/>
        <v>64.958529999999996</v>
      </c>
      <c r="AC142" s="538">
        <f>Sheet1!Y140*MGDtoCFS</f>
        <v>39.726959999999998</v>
      </c>
      <c r="AD142" s="538">
        <f>Sheet1!Z140*MGDtoCFS</f>
        <v>43.23865</v>
      </c>
      <c r="AE142" s="538">
        <f>Sheet1!AA140*MGDtoCFS</f>
        <v>39.696019999999997</v>
      </c>
      <c r="AF142" s="538">
        <f>Sheet1!AB140*MGDtoCFS</f>
        <v>43.331470000000003</v>
      </c>
      <c r="AG142" s="538">
        <f>Sheet1!L140*MGDtoCFS</f>
        <v>25.20063000000135</v>
      </c>
      <c r="AH142" s="521">
        <f t="shared" si="311"/>
        <v>0</v>
      </c>
      <c r="AI142" s="1059">
        <f t="shared" si="312"/>
        <v>0</v>
      </c>
      <c r="AJ142" s="535">
        <f t="shared" si="313"/>
        <v>52.989116809116808</v>
      </c>
      <c r="AK142" s="535">
        <f t="shared" si="314"/>
        <v>81.974163703703695</v>
      </c>
      <c r="AL142" s="535">
        <f>(VLOOKUP(Sheet1!DC140,hhdcap_wcm,4)-(((VLOOKUP(Sheet1!DC140,hhdcap_wcm,3)-Sheet1!DC140)/(VLOOKUP(Sheet1!DC140,hhdcap_wcm,3)-VLOOKUP(Sheet1!DC140,hhdcap_wcm,1)))*(VLOOKUP(Sheet1!DC140,hhdcap_wcm,4)-VLOOKUP(Sheet1!DC140,hhdcap_wcm,2))))</f>
        <v>39385.60000009714</v>
      </c>
      <c r="AM142" s="535">
        <f t="shared" si="315"/>
        <v>589.99999999949796</v>
      </c>
      <c r="AN142" s="1035">
        <f t="shared" si="316"/>
        <v>4578.9732356775603</v>
      </c>
      <c r="AO142" s="535">
        <f t="shared" si="317"/>
        <v>14048.289887058756</v>
      </c>
      <c r="AP142" s="535">
        <f>Sheet1!BA140+Sheet1!BB140+Sheet1!BN140+CD142</f>
        <v>16.399999999999999</v>
      </c>
      <c r="AQ142" s="535">
        <f>Sheet1!BN140+(DO142*Sheet1!BN140)</f>
        <v>16.359116809116809</v>
      </c>
      <c r="AR142" s="535">
        <f>Sheet1!BA140+CD142</f>
        <v>0</v>
      </c>
      <c r="AS142" s="535">
        <f>Sheet1!BA140+Sheet1!BB140+CD142</f>
        <v>0</v>
      </c>
      <c r="AT142" s="649">
        <f>0</f>
        <v>0</v>
      </c>
      <c r="AU142" s="535">
        <f>IF(EB142&lt;K142,0,MAX(Sheet1!AA140+AQ142-15/36*K142-N142,Sheet1!EH140,0))</f>
        <v>0</v>
      </c>
      <c r="AV142" s="535">
        <f>IF(OR(B142&gt;=GD142,B142&lt;GC142),0,15/36*K142-MAX(0,64.6-(137.6-(Sheet1!AA140+Sheet1!AB140))))</f>
        <v>26.933333333333334</v>
      </c>
      <c r="AW142" s="1029"/>
      <c r="AX142" s="649"/>
      <c r="AY142" s="649">
        <f t="shared" si="410"/>
        <v>0</v>
      </c>
      <c r="AZ142" s="649">
        <f t="shared" si="411"/>
        <v>0</v>
      </c>
      <c r="BA142" s="1059">
        <f t="shared" si="412"/>
        <v>0</v>
      </c>
      <c r="BB142" s="1019">
        <f t="shared" si="318"/>
        <v>2289.3333333333348</v>
      </c>
      <c r="BC142" s="1041">
        <f t="shared" si="413"/>
        <v>26.933333333333334</v>
      </c>
      <c r="BD142" s="1019">
        <f ca="1">IF(B142&gt;Summary!$A$1,#N/A,BB142*MGtoAF)</f>
        <v>7023.6746666666713</v>
      </c>
      <c r="BE142" s="535">
        <f>Sheet1!BG140+Sheet1!BH140+Sheet1!BI140-BM142</f>
        <v>1.01</v>
      </c>
      <c r="BF142" s="535">
        <f t="shared" si="319"/>
        <v>1.0074821937321938</v>
      </c>
      <c r="BG142" s="535">
        <f>IF(Sheet1!EP140="FM",BM142,0)</f>
        <v>0</v>
      </c>
      <c r="BH142" s="535">
        <f t="shared" si="320"/>
        <v>0</v>
      </c>
      <c r="BI142" s="535">
        <f>IF(Sheet1!EP140="OTHER",BM142,0)</f>
        <v>0</v>
      </c>
      <c r="BJ142" s="535">
        <f t="shared" si="321"/>
        <v>0</v>
      </c>
      <c r="BK142" s="535">
        <f t="shared" si="322"/>
        <v>1.01</v>
      </c>
      <c r="BL142" s="535">
        <f t="shared" si="323"/>
        <v>1.0074821937321938</v>
      </c>
      <c r="BM142" s="535">
        <f>IF(OR(Sheet1!EP140="FM", Sheet1!EP140="OTHER"),SUM(Sheet1!BG140:'Sheet1'!BI140),0)</f>
        <v>0</v>
      </c>
      <c r="BN142" s="521">
        <f>IF(AND($B142&gt;=$FV142,$B142&lt;=$FW142),MAX(BF142,Sheet1!EI140,0),MAX(BF142-(7/36)*$K142,0))</f>
        <v>0</v>
      </c>
      <c r="BO142" s="535">
        <f t="shared" si="324"/>
        <v>11.561406695156695</v>
      </c>
      <c r="BP142" s="521">
        <f t="shared" si="325"/>
        <v>1.0074821937321938</v>
      </c>
      <c r="BQ142" s="521">
        <f>IF(AND($O142&gt;0,Sheet1!EM140=1),(1-($O142-Sheet1!$L140)/$O142)*BL142,0)</f>
        <v>0</v>
      </c>
      <c r="BR142" s="521">
        <f>IF(AND(Sheet1!$L140=0,Sheet1!$L139=0, Calculation!BK142&lt;Sheet1!$EI140-0.1,Sheet1!$EI140=Sheet1!$EI139,Sheet1!$EI140=Sheet1!$EI141),BL142-BQ142,BL142-BQ142)</f>
        <v>1.0074821937321938</v>
      </c>
      <c r="BS142" s="1035" t="str">
        <f t="shared" si="414"/>
        <v/>
      </c>
      <c r="BT142" s="1035">
        <f t="shared" si="415"/>
        <v>12.568888888888889</v>
      </c>
      <c r="BU142" s="535">
        <f t="shared" si="326"/>
        <v>981.9334934567645</v>
      </c>
      <c r="BV142" s="535"/>
      <c r="BW142" s="535">
        <f ca="1">IF(B142&gt;Summary!$A$1,#N/A,BU142*MGtoAF)</f>
        <v>3012.5719579253537</v>
      </c>
      <c r="BX142" s="535">
        <f>Sheet1!BC140+Sheet1!BD140+Sheet1!BE140+Sheet1!BF140-CG142-CH142</f>
        <v>4.5</v>
      </c>
      <c r="BY142" s="535">
        <f t="shared" si="327"/>
        <v>4.488782051282052</v>
      </c>
      <c r="BZ142" s="535">
        <f>IF(Sheet1!EQ140="FM",CH142,0)</f>
        <v>0</v>
      </c>
      <c r="CA142" s="535">
        <f t="shared" si="328"/>
        <v>0</v>
      </c>
      <c r="CB142" s="535">
        <f>IF(Sheet1!EQ140="OTHER",CH142,0)</f>
        <v>0</v>
      </c>
      <c r="CC142" s="535">
        <f t="shared" si="329"/>
        <v>0</v>
      </c>
      <c r="CD142" s="535">
        <f t="shared" si="330"/>
        <v>0</v>
      </c>
      <c r="CE142" s="535">
        <f t="shared" si="331"/>
        <v>4.5</v>
      </c>
      <c r="CF142" s="535">
        <f t="shared" si="332"/>
        <v>4.488782051282052</v>
      </c>
      <c r="CG142" s="535">
        <f>IF(Sheet1!EQ140="CWA",SUM(Sheet1!BC140:'Sheet1'!BF140),0)</f>
        <v>0</v>
      </c>
      <c r="CH142" s="535">
        <f>IF(OR(Sheet1!EQ140="FM", Sheet1!EQ140="OTHER"),SUM(Sheet1!BC140:'Sheet1'!BF140),0)</f>
        <v>0</v>
      </c>
      <c r="CI142" s="521">
        <f>IF(AND($B142&gt;=$FV142,$B142&lt;=$FW142),MAX(CF142,Sheet1!EJ140,0),MAX(CF142-(7/36)*$K142,0))</f>
        <v>0</v>
      </c>
      <c r="CJ142" s="535">
        <f t="shared" si="333"/>
        <v>8.0801068376068379</v>
      </c>
      <c r="CK142" s="521">
        <f t="shared" si="334"/>
        <v>4.488782051282052</v>
      </c>
      <c r="CL142" s="521">
        <f>IF(AND($O142&gt;0,Sheet1!EN140=1),(1-($O142-Sheet1!$L140)/$O142)*CF142,0)</f>
        <v>0</v>
      </c>
      <c r="CM142" s="521">
        <f>IF(AND(Sheet1!$L140=0,Sheet1!$L139=0, Calculation!CE142&lt;Sheet1!EJ140-0.1,Sheet1!EJ140=Sheet1!EJ139,Sheet1!EJ140=Sheet1!EJ141),CF142-CL142,CF142-CL142)</f>
        <v>4.488782051282052</v>
      </c>
      <c r="CN142" s="1040" t="str">
        <f t="shared" si="416"/>
        <v/>
      </c>
      <c r="CO142" s="1035">
        <f t="shared" si="417"/>
        <v>12.568888888888889</v>
      </c>
      <c r="CP142" s="535">
        <f t="shared" si="335"/>
        <v>791.05196792564391</v>
      </c>
      <c r="CQ142" s="535"/>
      <c r="CR142" s="535">
        <f ca="1">IF(B142&gt;Summary!$A$1,#N/A,CP142*MGtoAF)</f>
        <v>2426.9474375958757</v>
      </c>
      <c r="CS142" s="535">
        <f>Sheet1!BK140+Sheet1!BL140+Sheet1!BM140-Sheet1!ER140-DA142</f>
        <v>6.17</v>
      </c>
      <c r="CT142" s="535">
        <f t="shared" si="336"/>
        <v>6.1546189458689469</v>
      </c>
      <c r="CU142" s="535">
        <f>IF(Sheet1!ER140="FM",DA142,0)</f>
        <v>0</v>
      </c>
      <c r="CV142" s="535">
        <f t="shared" si="337"/>
        <v>0</v>
      </c>
      <c r="CW142" s="535">
        <f>IF(Sheet1!ER140="OTHER",DA142,0)</f>
        <v>0</v>
      </c>
      <c r="CX142" s="535">
        <f t="shared" si="338"/>
        <v>0</v>
      </c>
      <c r="CY142" s="535">
        <f t="shared" si="339"/>
        <v>6.17</v>
      </c>
      <c r="CZ142" s="535">
        <f t="shared" si="340"/>
        <v>6.1546189458689469</v>
      </c>
      <c r="DA142" s="535">
        <f>IF(OR(Sheet1!ER140="FM", Sheet1!ER140="OTHER"),SUM(Sheet1!BK140:'Sheet1'!BM140),0)</f>
        <v>0</v>
      </c>
      <c r="DB142" s="1011">
        <f>IF(AND($B142&gt;=$FV142,$B142&lt;=$FW142),MAX($CT142,Sheet1!EK140,0),MAX($CT142-(7/36)*$K142,0))</f>
        <v>0</v>
      </c>
      <c r="DC142" s="1012">
        <f t="shared" si="341"/>
        <v>6.4142699430199421</v>
      </c>
      <c r="DD142" s="1011">
        <f t="shared" si="342"/>
        <v>6.1546189458689469</v>
      </c>
      <c r="DE142" s="521">
        <f>IF(AND($O142&gt;0,Sheet1!EO140=1),(1-($O142-Sheet1!$L140)/$O142)*CZ142,0)</f>
        <v>0</v>
      </c>
      <c r="DF142" s="521">
        <f>IF(AND(Sheet1!$L140=0,Sheet1!$L139=0, Calculation!CY142&lt;Sheet1!$EK140-0.1,Sheet1!$EK140=Sheet1!$EK139,Sheet1!$EK140=Sheet1!$EK141),CZ142-DE142,CZ142-DE142)</f>
        <v>6.1546189458689469</v>
      </c>
      <c r="DG142" s="1040">
        <f t="shared" si="418"/>
        <v>12.568888888888889</v>
      </c>
      <c r="DH142" s="649">
        <f t="shared" si="343"/>
        <v>11.68</v>
      </c>
      <c r="DI142" s="535">
        <f t="shared" si="344"/>
        <v>516.65444096181682</v>
      </c>
      <c r="DJ142" s="649">
        <f t="shared" si="345"/>
        <v>11.650883190883192</v>
      </c>
      <c r="DK142" s="535">
        <f ca="1">IF(B142&gt;Summary!$A$1,#N/A,DI142*MGtoAF)</f>
        <v>1585.0958248708541</v>
      </c>
      <c r="DL142" s="649">
        <f t="shared" si="346"/>
        <v>11.68</v>
      </c>
      <c r="DM142" s="535">
        <f t="shared" si="347"/>
        <v>28.08</v>
      </c>
      <c r="DN142" s="535">
        <f>Sheet1!AB140-DM142</f>
        <v>-6.9999999999996732E-2</v>
      </c>
      <c r="DO142" s="743">
        <f t="shared" si="348"/>
        <v>-2.4928774928773766E-3</v>
      </c>
      <c r="DP142" s="535">
        <f>(VLOOKUP(Sheet1!DC140,hhdcap_wcm,4)-(((VLOOKUP(Sheet1!DC140,hhdcap_wcm,3)-Sheet1!DC140)/(VLOOKUP(Sheet1!DC140,hhdcap_wcm,3)-VLOOKUP(Sheet1!DC140,hhdcap_wcm,1)))*(VLOOKUP(Sheet1!DC140,hhdcap_wcm,4)-VLOOKUP(Sheet1!DC140,hhdcap_wcm,2))))</f>
        <v>39385.60000009714</v>
      </c>
      <c r="DQ142" s="535">
        <f t="shared" si="349"/>
        <v>589.99999999949796</v>
      </c>
      <c r="DR142" s="535">
        <f t="shared" si="350"/>
        <v>297.52899646974174</v>
      </c>
      <c r="DS142" s="535">
        <f>Sheet1!EA140*AFtoMG</f>
        <v>0</v>
      </c>
      <c r="DT142" s="535">
        <f>Sheet1!EB140*AFtoMG</f>
        <v>0</v>
      </c>
      <c r="DU142" s="535">
        <f>Sheet1!EC140*AFtoMG</f>
        <v>0</v>
      </c>
      <c r="DV142" s="535">
        <f>Sheet1!ED140*AFtoMG</f>
        <v>0</v>
      </c>
      <c r="DW142" s="535">
        <f t="shared" si="351"/>
        <v>0</v>
      </c>
      <c r="DX142" s="535">
        <f t="shared" si="352"/>
        <v>0</v>
      </c>
      <c r="DY142" s="535">
        <f t="shared" si="353"/>
        <v>4578.9732356775603</v>
      </c>
      <c r="DZ142" s="535">
        <f t="shared" si="354"/>
        <v>14048.289887058756</v>
      </c>
      <c r="EA142" s="535"/>
      <c r="EB142" s="521">
        <f>IF(OR(B142&lt;FV142,B142&gt;FW142),(MIN(BF142+BY142+CT142+MAX(Sheet1!AA140+AQ142-73,0),K142)),0)</f>
        <v>11.650883190883192</v>
      </c>
      <c r="EC142" s="535"/>
      <c r="ED142" s="535">
        <f t="shared" si="355"/>
        <v>11.650883190883192</v>
      </c>
      <c r="EE142" s="535"/>
      <c r="EF142" s="535">
        <f>Sheet1!EH140+Sheet1!EI140+Sheet1!EJ140+Sheet1!EK140</f>
        <v>12</v>
      </c>
      <c r="EG142" s="1019">
        <f t="shared" si="419"/>
        <v>18.564</v>
      </c>
      <c r="EH142" s="521">
        <f t="shared" si="356"/>
        <v>0</v>
      </c>
      <c r="EI142" s="535">
        <f>IF(Sheet1!ET140=1,SUM('Calculations II'!AT142:BA142)+'Calculations II'!BC142+Sheet1!BV140+'Calculations II'!BE142+AP142,'Calculations II'!BK142)</f>
        <v>46.627706809116816</v>
      </c>
      <c r="EJ142" s="535">
        <f ca="1">EI142+'Calculations II'!D142+'Calculations II'!E142+'Calculations II'!O142</f>
        <v>46.609740324780624</v>
      </c>
      <c r="EK142" s="535"/>
      <c r="EL142" s="535"/>
      <c r="EM142" s="535">
        <f t="shared" si="357"/>
        <v>42866</v>
      </c>
      <c r="EN142" s="535">
        <f t="shared" si="358"/>
        <v>52.989116809116808</v>
      </c>
      <c r="EO142" s="535">
        <f t="shared" si="359"/>
        <v>81.974163703703695</v>
      </c>
      <c r="EP142" s="535">
        <v>0</v>
      </c>
      <c r="EQ142" s="535">
        <v>0</v>
      </c>
      <c r="ER142" s="535">
        <v>0</v>
      </c>
      <c r="ES142" s="521">
        <f t="shared" si="381"/>
        <v>-0.41483936104257779</v>
      </c>
      <c r="ET142" s="535">
        <f>-(VLOOKUP(Sheet1!BQ140,Lookup!$O$4:$Q$262,2)-VLOOKUP(Sheet1!BQ139,Lookup!$O$4:$Q$262,2))/1000000</f>
        <v>-0.27652755544674767</v>
      </c>
      <c r="EU142" s="535">
        <f>-(VLOOKUP(Sheet1!BR140,Lookup!$O$4:$Q$262,3)-VLOOKUP(Sheet1!BR139,Lookup!$O$4:$Q$262,3))/1000000</f>
        <v>-0.13831180559583009</v>
      </c>
      <c r="EV142" s="535"/>
      <c r="EW142" s="535"/>
      <c r="EX142" s="535"/>
      <c r="EY142" s="535"/>
      <c r="EZ142" s="535"/>
      <c r="FA142" s="535"/>
      <c r="FB142" s="535"/>
      <c r="FC142" s="535"/>
      <c r="FD142" s="567" t="e">
        <f t="shared" si="360"/>
        <v>#N/A</v>
      </c>
      <c r="FE142" s="567" t="e">
        <f t="shared" si="361"/>
        <v>#N/A</v>
      </c>
      <c r="FF142" s="568" t="e">
        <f t="shared" si="362"/>
        <v>#N/A</v>
      </c>
      <c r="FG142" s="569" t="s">
        <v>656</v>
      </c>
      <c r="FH142" s="569" t="s">
        <v>656</v>
      </c>
      <c r="FI142" s="567" t="e">
        <v>#N/A</v>
      </c>
      <c r="FJ142" s="567" t="e">
        <v>#N/A</v>
      </c>
      <c r="FK142" s="535"/>
      <c r="FL142" s="1015">
        <v>0</v>
      </c>
      <c r="FM142" s="535"/>
      <c r="FN142" s="535"/>
      <c r="FO142" s="535">
        <f>O142+((Sheet1!CS140)*GPMtoMGD)</f>
        <v>58.664208000000002</v>
      </c>
      <c r="FP142" s="535">
        <f>IF(Sheet1!AA140+AQ142&lt;=Calculation!N142,AQ142,Calculation!N142-Sheet1!AA140)</f>
        <v>16.359116809116809</v>
      </c>
      <c r="FQ142" s="535">
        <f>(Sheet1!BP140+Sheet1!BO140)/694.4</f>
        <v>1.6202476958525345</v>
      </c>
      <c r="FR142" s="541"/>
      <c r="FS142" s="541"/>
      <c r="FT142" s="541"/>
      <c r="FU142" s="541"/>
      <c r="FV142" s="1109">
        <f t="shared" si="382"/>
        <v>42918</v>
      </c>
      <c r="FW142" s="1109">
        <f t="shared" si="383"/>
        <v>43027</v>
      </c>
      <c r="FX142" s="541"/>
      <c r="FY142" s="541">
        <f>Sheet1!DA140-Sheet1!CZ140-Sheet1!AE140</f>
        <v>472.17314000000135</v>
      </c>
      <c r="FZ142" s="535">
        <f t="shared" si="420"/>
        <v>0.21389215759117816</v>
      </c>
      <c r="GA142" s="535"/>
      <c r="GB142" s="535" t="str">
        <f t="shared" si="384"/>
        <v>n</v>
      </c>
      <c r="GC142" s="539">
        <f t="shared" si="385"/>
        <v>42782</v>
      </c>
      <c r="GD142" s="1109">
        <f t="shared" si="386"/>
        <v>42904</v>
      </c>
      <c r="GE142" s="535">
        <f t="shared" si="404"/>
        <v>6520</v>
      </c>
      <c r="GF142" s="1109">
        <f t="shared" si="387"/>
        <v>42909</v>
      </c>
      <c r="GG142" s="535">
        <f t="shared" si="308"/>
        <v>3260</v>
      </c>
      <c r="GH142" s="539">
        <f t="shared" si="388"/>
        <v>43040</v>
      </c>
      <c r="GJ142" s="521">
        <f t="shared" si="389"/>
        <v>0</v>
      </c>
      <c r="GK142" s="535" t="str">
        <f t="shared" si="363"/>
        <v/>
      </c>
      <c r="GL142" s="535">
        <f t="shared" si="390"/>
        <v>0</v>
      </c>
      <c r="GM142" s="535" t="str">
        <f t="shared" si="391"/>
        <v/>
      </c>
      <c r="GN142" s="535">
        <f>IF(GK142="P",Lookup!$M$12,IF(GK142="PP",Lookup!$M$13,IF(GK142="PPP",Lookup!$M$14,IF(GK142="T",Lookup!$M$15,IF(GK142="TP",Lookup!$M$16,IF(GK142="TPP",Lookup!$M$17,IF(GK142="TPPP",Lookup!$M$18,0)))))))*GJ142</f>
        <v>0</v>
      </c>
      <c r="GO142" s="535">
        <f t="shared" si="392"/>
        <v>0</v>
      </c>
      <c r="GP142" s="535">
        <f t="shared" si="364"/>
        <v>7023.6746666666713</v>
      </c>
      <c r="GQ142" s="535">
        <f t="shared" si="403"/>
        <v>2289.3333333333348</v>
      </c>
      <c r="GR142" s="535"/>
      <c r="GS142" s="535">
        <f t="shared" si="393"/>
        <v>0</v>
      </c>
      <c r="GT142" s="535" t="str">
        <f t="shared" si="394"/>
        <v/>
      </c>
      <c r="GU142" s="535">
        <f>IF(GK142="P",Lookup!$N$12,IF(GK142="PP",Lookup!$N$13,IF(GK142="PPP",Lookup!$N$14,IF(GK142="T",Lookup!$N$15,IF(GK142="TP",Lookup!$N$16,IF(GK142="TPP",Lookup!$N$17,IF(GK142="TPPP",Lookup!$N$18,0)))))))*GJ142</f>
        <v>0</v>
      </c>
      <c r="GV142" s="535">
        <f t="shared" si="395"/>
        <v>0</v>
      </c>
      <c r="GW142" s="535">
        <f t="shared" si="365"/>
        <v>3012.5719579253537</v>
      </c>
      <c r="GX142" s="535">
        <f t="shared" si="400"/>
        <v>981.9334934567645</v>
      </c>
      <c r="GY142" s="535"/>
      <c r="GZ142" s="535">
        <f t="shared" si="396"/>
        <v>0</v>
      </c>
      <c r="HA142" s="535" t="str">
        <f t="shared" si="397"/>
        <v/>
      </c>
      <c r="HB142" s="535">
        <f>IF(GK142="P",Lookup!$N$12,IF(GK142="PP",Lookup!$N$13,IF(GK142="PPP",Lookup!$N$14,IF(GK142="T",Lookup!$N$15,IF(GK142="TP",Lookup!$N$16,IF(GK142="TPP",Lookup!$N$17,IF(GK142="TPPP",Lookup!$N$18,0)))))))*GJ142</f>
        <v>0</v>
      </c>
      <c r="HC142" s="521">
        <f t="shared" si="366"/>
        <v>0</v>
      </c>
      <c r="HD142" s="535">
        <f t="shared" si="367"/>
        <v>2426.9474375958757</v>
      </c>
      <c r="HE142" s="535">
        <f t="shared" si="401"/>
        <v>791.05196792564391</v>
      </c>
      <c r="HF142" s="535"/>
      <c r="HG142" s="535">
        <f t="shared" si="398"/>
        <v>0</v>
      </c>
      <c r="HH142" s="535" t="str">
        <f t="shared" si="399"/>
        <v/>
      </c>
      <c r="HI142" s="535">
        <f>IF(GK142="P",Lookup!$N$12,IF(GK142="PP",Lookup!$N$13,IF(GK142="PPP",Lookup!$N$14,IF(GK142="T",Lookup!$N$15,IF(GK142="TP",Lookup!$N$16,IF(GK142="TPP",Lookup!$N$17,IF(GK142="TPPP",Lookup!$N$18,0)))))))*GJ142</f>
        <v>0</v>
      </c>
      <c r="HJ142" s="521">
        <f t="shared" si="368"/>
        <v>0</v>
      </c>
      <c r="HK142" s="535">
        <f t="shared" si="369"/>
        <v>1585.0958248708541</v>
      </c>
      <c r="HL142" s="535">
        <f t="shared" si="402"/>
        <v>516.65444096181682</v>
      </c>
      <c r="HM142" s="535"/>
      <c r="HN142" s="541"/>
      <c r="HO142" s="541"/>
      <c r="HP142" s="541"/>
      <c r="HQ142" s="541">
        <f>IF(AND(B142&gt;=$FV$4,B142&lt;=$FW$4),MAX(110/1.02+$HQ$6+MIN(113/1.02,G142),IF($HV$6-(Sheet1!DA140-Sheet1!DB140)+MIN(113/1.02,G142)&lt;G142+FL142,$HV$6-(Sheet1!DA140-Sheet1!DB140)+MIN(113/1.02,G142),G142+FL142)),MIN(110/1.02+$HQ$6+113/1.02,G142))</f>
        <v>218.62745098039215</v>
      </c>
      <c r="HR142" s="541">
        <f t="shared" si="421"/>
        <v>223</v>
      </c>
      <c r="HS142" s="541">
        <f>HR142+(Sheet1!DA140-Sheet1!DB140)</f>
        <v>863</v>
      </c>
      <c r="HT142" s="541">
        <f t="shared" si="422"/>
        <v>64.958529999999996</v>
      </c>
      <c r="HU142" s="541">
        <f t="shared" si="423"/>
        <v>798.04147</v>
      </c>
      <c r="HV142" s="541">
        <f t="shared" si="424"/>
        <v>0</v>
      </c>
      <c r="HW142" s="533" t="str">
        <f t="shared" si="425"/>
        <v/>
      </c>
      <c r="HX142" s="541">
        <f t="shared" si="426"/>
        <v>1691.372549019608</v>
      </c>
      <c r="HY142" s="541">
        <f>Sheet1!CZ140</f>
        <v>1910</v>
      </c>
      <c r="HZ142" s="541">
        <f t="shared" si="427"/>
        <v>0</v>
      </c>
      <c r="IA142" s="541">
        <f t="shared" si="428"/>
        <v>64.958529999999996</v>
      </c>
      <c r="IB142" s="541">
        <f t="shared" si="429"/>
        <v>1910</v>
      </c>
      <c r="IC142" s="1019" t="str">
        <f t="shared" si="430"/>
        <v/>
      </c>
      <c r="ID142" s="541">
        <f t="shared" si="431"/>
        <v>1845.0414700000001</v>
      </c>
      <c r="IE142" s="541">
        <f>Sheet1!DB140</f>
        <v>1800</v>
      </c>
      <c r="IF142" s="533">
        <f>Sheet1!DA140</f>
        <v>2440</v>
      </c>
      <c r="IH142" s="541">
        <f>IF(AND($B142&gt;=$GC142,$B142&lt;=$GH142,$DR142&lt;0)+N("only adjusted when pool is drawn down during storage season"),Sheet1!$DB140+$DR142+N("Palmer minus all storage release"),Sheet1!$DB140)</f>
        <v>1800</v>
      </c>
      <c r="II142" s="541">
        <f>IF(AND($B142&gt;=$GC142,$B142&lt;=$GH142,$DR142&lt;0)+N("only adjusted when pool is drawn down during storage season"),Sheet1!$DA140+$DR142+N("Auburn minus all storage release"),Sheet1!$DA140)</f>
        <v>2440</v>
      </c>
    </row>
    <row r="143" spans="1:243" x14ac:dyDescent="0.25">
      <c r="A143" s="553" t="s">
        <v>8</v>
      </c>
      <c r="B143" s="531">
        <v>42867</v>
      </c>
      <c r="C143" s="536">
        <v>0</v>
      </c>
      <c r="D143" s="506">
        <f t="shared" si="371"/>
        <v>300</v>
      </c>
      <c r="E143" s="506">
        <f t="shared" si="372"/>
        <v>250</v>
      </c>
      <c r="F143" s="506">
        <v>250</v>
      </c>
      <c r="G143" s="535">
        <f>DR143+Sheet1!CZ141</f>
        <v>1807.1608673743606</v>
      </c>
      <c r="H143" s="1074">
        <f t="shared" si="405"/>
        <v>816.46096876799993</v>
      </c>
      <c r="I143" s="534">
        <f>IF(Sheet1!DA141&gt;=E143,(Sheet1!DA141-E143+P143)*CFStoMGD,0)</f>
        <v>1288.332968768</v>
      </c>
      <c r="J143" s="995">
        <f>IF(Sheet1!DB141&gt;=D143,(Sheet1!DB141-D143+P143)*CFStoMGD,0)</f>
        <v>816.46096876799993</v>
      </c>
      <c r="K143" s="818">
        <f t="shared" si="406"/>
        <v>64.64</v>
      </c>
      <c r="L143" s="535">
        <f>Sheet1!AA141+Sheet1!AB141-Sheet1!L141+(Sheet1!DA141-F143)*CFStoMGD-S143-T143-U143</f>
        <v>1215.8740000000003</v>
      </c>
      <c r="M143" s="535">
        <f t="shared" si="309"/>
        <v>1191.5117603642025</v>
      </c>
      <c r="N143" s="824">
        <f>IF(Sheet1!DA141&gt;=F143,MIN(113*CFStoMGD,MIN(MAX(L143,0),MAX(M143,0))),0)</f>
        <v>73.043199999999999</v>
      </c>
      <c r="O143" s="538">
        <f>Sheet1!AA141+Sheet1!AB141</f>
        <v>53.71</v>
      </c>
      <c r="P143" s="538">
        <f t="shared" si="310"/>
        <v>83.089370000000002</v>
      </c>
      <c r="Q143" s="812">
        <f t="shared" si="407"/>
        <v>41.7</v>
      </c>
      <c r="R143" s="812">
        <f t="shared" si="373"/>
        <v>11.967274991106368</v>
      </c>
      <c r="S143" s="812">
        <f t="shared" si="374"/>
        <v>12.01</v>
      </c>
      <c r="T143" s="812">
        <f t="shared" si="375"/>
        <v>52.63</v>
      </c>
      <c r="U143" s="812">
        <f t="shared" si="408"/>
        <v>0</v>
      </c>
      <c r="V143" s="812"/>
      <c r="W143" s="812">
        <f t="shared" si="376"/>
        <v>52.672725008893636</v>
      </c>
      <c r="X143" s="812">
        <f t="shared" si="377"/>
        <v>64.64</v>
      </c>
      <c r="Y143" s="812" t="str">
        <f t="shared" si="378"/>
        <v>FALSE</v>
      </c>
      <c r="Z143" s="812">
        <f t="shared" si="379"/>
        <v>53.71</v>
      </c>
      <c r="AA143" s="812">
        <f t="shared" si="380"/>
        <v>53.71</v>
      </c>
      <c r="AB143" s="1059">
        <f t="shared" si="409"/>
        <v>64.509900000000002</v>
      </c>
      <c r="AC143" s="538">
        <f>Sheet1!Y141*MGDtoCFS</f>
        <v>39.696019999999997</v>
      </c>
      <c r="AD143" s="538">
        <f>Sheet1!Z141*MGDtoCFS</f>
        <v>43.161299999999997</v>
      </c>
      <c r="AE143" s="538">
        <f>Sheet1!AA141*MGDtoCFS</f>
        <v>39.757899999999999</v>
      </c>
      <c r="AF143" s="538">
        <f>Sheet1!AB141*MGDtoCFS</f>
        <v>43.331470000000003</v>
      </c>
      <c r="AG143" s="538">
        <f>Sheet1!L141*MGDtoCFS</f>
        <v>12.097539999999549</v>
      </c>
      <c r="AH143" s="521">
        <f t="shared" si="311"/>
        <v>0</v>
      </c>
      <c r="AI143" s="1059">
        <f t="shared" si="312"/>
        <v>0</v>
      </c>
      <c r="AJ143" s="535">
        <f t="shared" si="313"/>
        <v>52.672725008893636</v>
      </c>
      <c r="AK143" s="535">
        <f t="shared" si="314"/>
        <v>81.484705588758445</v>
      </c>
      <c r="AL143" s="535">
        <f>(VLOOKUP(Sheet1!DC141,hhdcap_wcm,4)-(((VLOOKUP(Sheet1!DC141,hhdcap_wcm,3)-Sheet1!DC141)/(VLOOKUP(Sheet1!DC141,hhdcap_wcm,3)-VLOOKUP(Sheet1!DC141,hhdcap_wcm,1)))*(VLOOKUP(Sheet1!DC141,hhdcap_wcm,4)-VLOOKUP(Sheet1!DC141,hhdcap_wcm,2))))</f>
        <v>39796.400000100497</v>
      </c>
      <c r="AM143" s="535">
        <f t="shared" si="315"/>
        <v>410.80000000335713</v>
      </c>
      <c r="AN143" s="1035">
        <f t="shared" si="316"/>
        <v>4631.6459606864546</v>
      </c>
      <c r="AO143" s="535">
        <f t="shared" si="317"/>
        <v>14209.889807386044</v>
      </c>
      <c r="AP143" s="535">
        <f>Sheet1!BA141+Sheet1!BB141+Sheet1!BN141+CD143</f>
        <v>16.100000000000001</v>
      </c>
      <c r="AQ143" s="535">
        <f>Sheet1!BN141+(DO143*Sheet1!BN141)</f>
        <v>16.042725008893633</v>
      </c>
      <c r="AR143" s="535">
        <f>Sheet1!BA141+CD143</f>
        <v>0</v>
      </c>
      <c r="AS143" s="535">
        <f>Sheet1!BA141+Sheet1!BB141+CD143</f>
        <v>0</v>
      </c>
      <c r="AT143" s="649">
        <f>0</f>
        <v>0</v>
      </c>
      <c r="AU143" s="535">
        <f>IF(EB143&lt;K143,0,MAX(Sheet1!AA141+AQ143-15/36*K143-N143,Sheet1!EH141,0))</f>
        <v>0</v>
      </c>
      <c r="AV143" s="535">
        <f>IF(OR(B143&gt;=GD143,B143&lt;GC143),0,15/36*K143-MAX(0,64.6-(137.6-(Sheet1!AA141+Sheet1!AB141))))</f>
        <v>26.933333333333334</v>
      </c>
      <c r="AW143" s="1029"/>
      <c r="AX143" s="649"/>
      <c r="AY143" s="649">
        <f t="shared" si="410"/>
        <v>0</v>
      </c>
      <c r="AZ143" s="649">
        <f t="shared" si="411"/>
        <v>0</v>
      </c>
      <c r="BA143" s="1059">
        <f t="shared" si="412"/>
        <v>0</v>
      </c>
      <c r="BB143" s="1019">
        <f t="shared" si="318"/>
        <v>2316.2666666666682</v>
      </c>
      <c r="BC143" s="1041">
        <f t="shared" si="413"/>
        <v>26.933333333333334</v>
      </c>
      <c r="BD143" s="1019">
        <f ca="1">IF(B143&gt;Summary!$A$1,#N/A,BB143*MGtoAF)</f>
        <v>7106.306133333338</v>
      </c>
      <c r="BE143" s="535">
        <f>Sheet1!BG141+Sheet1!BH141+Sheet1!BI141-BM143</f>
        <v>1.01</v>
      </c>
      <c r="BF143" s="535">
        <f t="shared" si="319"/>
        <v>1.006406972607613</v>
      </c>
      <c r="BG143" s="535">
        <f>IF(Sheet1!EP141="FM",BM143,0)</f>
        <v>0</v>
      </c>
      <c r="BH143" s="535">
        <f t="shared" si="320"/>
        <v>0</v>
      </c>
      <c r="BI143" s="535">
        <f>IF(Sheet1!EP141="OTHER",BM143,0)</f>
        <v>0</v>
      </c>
      <c r="BJ143" s="535">
        <f t="shared" si="321"/>
        <v>0</v>
      </c>
      <c r="BK143" s="535">
        <f t="shared" si="322"/>
        <v>1.01</v>
      </c>
      <c r="BL143" s="535">
        <f t="shared" si="323"/>
        <v>1.006406972607613</v>
      </c>
      <c r="BM143" s="535">
        <f>IF(OR(Sheet1!EP141="FM", Sheet1!EP141="OTHER"),SUM(Sheet1!BG141:'Sheet1'!BI141),0)</f>
        <v>0</v>
      </c>
      <c r="BN143" s="521">
        <f>IF(AND($B143&gt;=$FV143,$B143&lt;=$FW143),MAX(BF143,Sheet1!EI141,0),MAX(BF143-(7/36)*$K143,0))</f>
        <v>0</v>
      </c>
      <c r="BO143" s="535">
        <f t="shared" si="324"/>
        <v>11.562481916281277</v>
      </c>
      <c r="BP143" s="521">
        <f t="shared" si="325"/>
        <v>1.006406972607613</v>
      </c>
      <c r="BQ143" s="521">
        <f>IF(AND($O143&gt;0,Sheet1!EM141=1),(1-($O143-Sheet1!$L141)/$O143)*BL143,0)</f>
        <v>0</v>
      </c>
      <c r="BR143" s="521">
        <f>IF(AND(Sheet1!$L141=0,Sheet1!$L140=0, Calculation!BK143&lt;Sheet1!$EI141-0.1,Sheet1!$EI141=Sheet1!$EI140,Sheet1!$EI141=Sheet1!$EI142),BL143-BQ143,BL143-BQ143)</f>
        <v>1.006406972607613</v>
      </c>
      <c r="BS143" s="1035" t="str">
        <f t="shared" si="414"/>
        <v/>
      </c>
      <c r="BT143" s="1035">
        <f t="shared" si="415"/>
        <v>12.568888888888889</v>
      </c>
      <c r="BU143" s="535">
        <f t="shared" si="326"/>
        <v>993.49597537304578</v>
      </c>
      <c r="BV143" s="535"/>
      <c r="BW143" s="535">
        <f ca="1">IF(B143&gt;Summary!$A$1,#N/A,BU143*MGtoAF)</f>
        <v>3048.0456524445044</v>
      </c>
      <c r="BX143" s="535">
        <f>Sheet1!BC141+Sheet1!BD141+Sheet1!BE141+Sheet1!BF141-CG143-CH143</f>
        <v>4.49</v>
      </c>
      <c r="BY143" s="535">
        <f t="shared" si="327"/>
        <v>4.4740270366417647</v>
      </c>
      <c r="BZ143" s="535">
        <f>IF(Sheet1!EQ141="FM",CH143,0)</f>
        <v>0</v>
      </c>
      <c r="CA143" s="535">
        <f t="shared" si="328"/>
        <v>0</v>
      </c>
      <c r="CB143" s="535">
        <f>IF(Sheet1!EQ141="OTHER",CH143,0)</f>
        <v>0</v>
      </c>
      <c r="CC143" s="535">
        <f t="shared" si="329"/>
        <v>0</v>
      </c>
      <c r="CD143" s="535">
        <f t="shared" si="330"/>
        <v>0</v>
      </c>
      <c r="CE143" s="535">
        <f t="shared" si="331"/>
        <v>4.49</v>
      </c>
      <c r="CF143" s="535">
        <f t="shared" si="332"/>
        <v>4.4740270366417647</v>
      </c>
      <c r="CG143" s="535">
        <f>IF(Sheet1!EQ141="CWA",SUM(Sheet1!BC141:'Sheet1'!BF141),0)</f>
        <v>0</v>
      </c>
      <c r="CH143" s="535">
        <f>IF(OR(Sheet1!EQ141="FM", Sheet1!EQ141="OTHER"),SUM(Sheet1!BC141:'Sheet1'!BF141),0)</f>
        <v>0</v>
      </c>
      <c r="CI143" s="521">
        <f>IF(AND($B143&gt;=$FV143,$B143&lt;=$FW143),MAX(CF143,Sheet1!EJ141,0),MAX(CF143-(7/36)*$K143,0))</f>
        <v>0</v>
      </c>
      <c r="CJ143" s="535">
        <f t="shared" si="333"/>
        <v>8.0948618522471243</v>
      </c>
      <c r="CK143" s="521">
        <f t="shared" si="334"/>
        <v>4.4740270366417647</v>
      </c>
      <c r="CL143" s="521">
        <f>IF(AND($O143&gt;0,Sheet1!EN141=1),(1-($O143-Sheet1!$L141)/$O143)*CF143,0)</f>
        <v>0</v>
      </c>
      <c r="CM143" s="521">
        <f>IF(AND(Sheet1!$L141=0,Sheet1!$L140=0, Calculation!CE143&lt;Sheet1!EJ141-0.1,Sheet1!EJ141=Sheet1!EJ140,Sheet1!EJ141=Sheet1!EJ142),CF143-CL143,CF143-CL143)</f>
        <v>4.4740270366417647</v>
      </c>
      <c r="CN143" s="1040" t="str">
        <f t="shared" si="416"/>
        <v/>
      </c>
      <c r="CO143" s="1035">
        <f t="shared" si="417"/>
        <v>12.568888888888889</v>
      </c>
      <c r="CP143" s="535">
        <f t="shared" si="335"/>
        <v>799.14682977789107</v>
      </c>
      <c r="CQ143" s="535"/>
      <c r="CR143" s="535">
        <f ca="1">IF(B143&gt;Summary!$A$1,#N/A,CP143*MGtoAF)</f>
        <v>2451.7824737585697</v>
      </c>
      <c r="CS143" s="535">
        <f>Sheet1!BK141+Sheet1!BL141+Sheet1!BM141-Sheet1!ER141-DA143</f>
        <v>6.51</v>
      </c>
      <c r="CT143" s="535">
        <f t="shared" si="336"/>
        <v>6.4868409818569903</v>
      </c>
      <c r="CU143" s="535">
        <f>IF(Sheet1!ER141="FM",DA143,0)</f>
        <v>0</v>
      </c>
      <c r="CV143" s="535">
        <f t="shared" si="337"/>
        <v>0</v>
      </c>
      <c r="CW143" s="535">
        <f>IF(Sheet1!ER141="OTHER",DA143,0)</f>
        <v>0</v>
      </c>
      <c r="CX143" s="535">
        <f t="shared" si="338"/>
        <v>0</v>
      </c>
      <c r="CY143" s="535">
        <f t="shared" si="339"/>
        <v>6.51</v>
      </c>
      <c r="CZ143" s="535">
        <f t="shared" si="340"/>
        <v>6.4868409818569903</v>
      </c>
      <c r="DA143" s="535">
        <f>IF(OR(Sheet1!ER141="FM", Sheet1!ER141="OTHER"),SUM(Sheet1!BK141:'Sheet1'!BM141),0)</f>
        <v>0</v>
      </c>
      <c r="DB143" s="1011">
        <f>IF(AND($B143&gt;=$FV143,$B143&lt;=$FW143),MAX($CT143,Sheet1!EK141,0),MAX($CT143-(7/36)*$K143,0))</f>
        <v>0</v>
      </c>
      <c r="DC143" s="1012">
        <f t="shared" si="341"/>
        <v>6.0820479070318987</v>
      </c>
      <c r="DD143" s="1011">
        <f t="shared" si="342"/>
        <v>6.4868409818569903</v>
      </c>
      <c r="DE143" s="521">
        <f>IF(AND($O143&gt;0,Sheet1!EO141=1),(1-($O143-Sheet1!$L141)/$O143)*CZ143,0)</f>
        <v>0</v>
      </c>
      <c r="DF143" s="521">
        <f>IF(AND(Sheet1!$L141=0,Sheet1!$L140=0, Calculation!CY143&lt;Sheet1!$EK141-0.1,Sheet1!$EK141=Sheet1!$EK140,Sheet1!$EK141=Sheet1!$EK142),CZ143-DE143,CZ143-DE143)</f>
        <v>6.4868409818569903</v>
      </c>
      <c r="DG143" s="1040">
        <f t="shared" si="418"/>
        <v>12.568888888888889</v>
      </c>
      <c r="DH143" s="649">
        <f t="shared" si="343"/>
        <v>12.01</v>
      </c>
      <c r="DI143" s="535">
        <f t="shared" si="344"/>
        <v>522.73648886884871</v>
      </c>
      <c r="DJ143" s="649">
        <f t="shared" si="345"/>
        <v>11.967274991106368</v>
      </c>
      <c r="DK143" s="535">
        <f ca="1">IF(B143&gt;Summary!$A$1,#N/A,DI143*MGtoAF)</f>
        <v>1603.7555478496279</v>
      </c>
      <c r="DL143" s="649">
        <f t="shared" si="346"/>
        <v>12.01</v>
      </c>
      <c r="DM143" s="535">
        <f t="shared" si="347"/>
        <v>28.11</v>
      </c>
      <c r="DN143" s="535">
        <f>Sheet1!AB141-DM143</f>
        <v>-9.9999999999997868E-2</v>
      </c>
      <c r="DO143" s="743">
        <f t="shared" si="348"/>
        <v>-3.5574528637494795E-3</v>
      </c>
      <c r="DP143" s="535">
        <f>(VLOOKUP(Sheet1!DC141,hhdcap_wcm,4)-(((VLOOKUP(Sheet1!DC141,hhdcap_wcm,3)-Sheet1!DC141)/(VLOOKUP(Sheet1!DC141,hhdcap_wcm,3)-VLOOKUP(Sheet1!DC141,hhdcap_wcm,1)))*(VLOOKUP(Sheet1!DC141,hhdcap_wcm,4)-VLOOKUP(Sheet1!DC141,hhdcap_wcm,2))))</f>
        <v>39796.400000100497</v>
      </c>
      <c r="DQ143" s="535">
        <f t="shared" si="349"/>
        <v>410.80000000335713</v>
      </c>
      <c r="DR143" s="535">
        <f t="shared" si="350"/>
        <v>207.16086737436061</v>
      </c>
      <c r="DS143" s="535">
        <f>Sheet1!EA141*AFtoMG</f>
        <v>0</v>
      </c>
      <c r="DT143" s="535">
        <f>Sheet1!EB141*AFtoMG</f>
        <v>0</v>
      </c>
      <c r="DU143" s="535">
        <f>Sheet1!EC141*AFtoMG</f>
        <v>0</v>
      </c>
      <c r="DV143" s="535">
        <f>Sheet1!ED141*AFtoMG</f>
        <v>0</v>
      </c>
      <c r="DW143" s="535">
        <f t="shared" si="351"/>
        <v>0</v>
      </c>
      <c r="DX143" s="535">
        <f t="shared" si="352"/>
        <v>0</v>
      </c>
      <c r="DY143" s="535">
        <f t="shared" si="353"/>
        <v>4631.6459606864546</v>
      </c>
      <c r="DZ143" s="535">
        <f t="shared" si="354"/>
        <v>14209.889807386044</v>
      </c>
      <c r="EA143" s="535"/>
      <c r="EB143" s="521">
        <f>IF(OR(B143&lt;FV143,B143&gt;FW143),(MIN(BF143+BY143+CT143+MAX(Sheet1!AA141+AQ143-73,0),K143)),0)</f>
        <v>11.967274991106368</v>
      </c>
      <c r="EC143" s="535"/>
      <c r="ED143" s="535">
        <f t="shared" si="355"/>
        <v>11.967274991106368</v>
      </c>
      <c r="EE143" s="535"/>
      <c r="EF143" s="535">
        <f>Sheet1!EH141+Sheet1!EI141+Sheet1!EJ141+Sheet1!EK141</f>
        <v>12</v>
      </c>
      <c r="EG143" s="1019">
        <f t="shared" si="419"/>
        <v>18.564</v>
      </c>
      <c r="EH143" s="521">
        <f t="shared" si="356"/>
        <v>0</v>
      </c>
      <c r="EI143" s="535">
        <f>IF(Sheet1!ET141=1,SUM('Calculations II'!AT143:BA143)+'Calculations II'!BC143+Sheet1!BV141+'Calculations II'!BE143+AP143,'Calculations II'!BK143)</f>
        <v>45.735521008893627</v>
      </c>
      <c r="EJ143" s="535">
        <f ca="1">EI143+'Calculations II'!D143+'Calculations II'!E143+'Calculations II'!O143</f>
        <v>46.052385469825403</v>
      </c>
      <c r="EK143" s="535"/>
      <c r="EL143" s="535"/>
      <c r="EM143" s="535">
        <f t="shared" si="357"/>
        <v>42867</v>
      </c>
      <c r="EN143" s="535">
        <f t="shared" si="358"/>
        <v>52.672725008893636</v>
      </c>
      <c r="EO143" s="535">
        <f t="shared" si="359"/>
        <v>81.484705588758445</v>
      </c>
      <c r="EP143" s="535">
        <v>0</v>
      </c>
      <c r="EQ143" s="535">
        <v>0</v>
      </c>
      <c r="ER143" s="535">
        <v>0</v>
      </c>
      <c r="ES143" s="521">
        <f t="shared" si="381"/>
        <v>-1.3830860453085938</v>
      </c>
      <c r="ET143" s="535">
        <f>-(VLOOKUP(Sheet1!BQ141,Lookup!$O$4:$Q$262,2)-VLOOKUP(Sheet1!BQ140,Lookup!$O$4:$Q$262,2))/1000000</f>
        <v>-0.69143094916932657</v>
      </c>
      <c r="EU143" s="535">
        <f>-(VLOOKUP(Sheet1!BR141,Lookup!$O$4:$Q$262,3)-VLOOKUP(Sheet1!BR140,Lookup!$O$4:$Q$262,3))/1000000</f>
        <v>-0.69165509613926712</v>
      </c>
      <c r="EV143" s="535"/>
      <c r="EW143" s="535"/>
      <c r="EX143" s="535"/>
      <c r="EY143" s="535"/>
      <c r="EZ143" s="535"/>
      <c r="FA143" s="535"/>
      <c r="FB143" s="535"/>
      <c r="FC143" s="535"/>
      <c r="FD143" s="567" t="e">
        <f t="shared" si="360"/>
        <v>#N/A</v>
      </c>
      <c r="FE143" s="567" t="e">
        <f t="shared" si="361"/>
        <v>#N/A</v>
      </c>
      <c r="FF143" s="568" t="e">
        <f t="shared" si="362"/>
        <v>#N/A</v>
      </c>
      <c r="FG143" s="569" t="s">
        <v>656</v>
      </c>
      <c r="FH143" s="569" t="s">
        <v>656</v>
      </c>
      <c r="FI143" s="567" t="e">
        <v>#N/A</v>
      </c>
      <c r="FJ143" s="567" t="e">
        <v>#N/A</v>
      </c>
      <c r="FK143" s="535"/>
      <c r="FL143" s="1015">
        <v>0</v>
      </c>
      <c r="FM143" s="535"/>
      <c r="FN143" s="535"/>
      <c r="FO143" s="535">
        <f>O143+((Sheet1!CS141)*GPMtoMGD)</f>
        <v>58.760080000000002</v>
      </c>
      <c r="FP143" s="535">
        <f>IF(Sheet1!AA141+AQ143&lt;=Calculation!N143,AQ143,Calculation!N143-Sheet1!AA141)</f>
        <v>16.042725008893633</v>
      </c>
      <c r="FQ143" s="535">
        <f>(Sheet1!BP141+Sheet1!BO141)/694.4</f>
        <v>1.5125288018433181</v>
      </c>
      <c r="FR143" s="541"/>
      <c r="FS143" s="541"/>
      <c r="FT143" s="541"/>
      <c r="FU143" s="541"/>
      <c r="FV143" s="1109">
        <f t="shared" si="382"/>
        <v>42918</v>
      </c>
      <c r="FW143" s="1109">
        <f t="shared" si="383"/>
        <v>43027</v>
      </c>
      <c r="FX143" s="541"/>
      <c r="FY143" s="541">
        <f>Sheet1!DA141-Sheet1!CZ141-Sheet1!AE141</f>
        <v>489.00816999999955</v>
      </c>
      <c r="FZ143" s="535">
        <f t="shared" si="420"/>
        <v>0.27059470954043163</v>
      </c>
      <c r="GA143" s="535"/>
      <c r="GB143" s="535" t="str">
        <f t="shared" si="384"/>
        <v>n</v>
      </c>
      <c r="GC143" s="539">
        <f t="shared" si="385"/>
        <v>42782</v>
      </c>
      <c r="GD143" s="1109">
        <f t="shared" si="386"/>
        <v>42904</v>
      </c>
      <c r="GE143" s="535">
        <f t="shared" si="404"/>
        <v>6520</v>
      </c>
      <c r="GF143" s="1109">
        <f t="shared" si="387"/>
        <v>42909</v>
      </c>
      <c r="GG143" s="535">
        <f t="shared" si="308"/>
        <v>3260</v>
      </c>
      <c r="GH143" s="539">
        <f t="shared" si="388"/>
        <v>43040</v>
      </c>
      <c r="GJ143" s="521">
        <f t="shared" si="389"/>
        <v>0</v>
      </c>
      <c r="GK143" s="535" t="str">
        <f t="shared" si="363"/>
        <v/>
      </c>
      <c r="GL143" s="535">
        <f t="shared" si="390"/>
        <v>0</v>
      </c>
      <c r="GM143" s="535" t="str">
        <f t="shared" si="391"/>
        <v/>
      </c>
      <c r="GN143" s="535">
        <f>IF(GK143="P",Lookup!$M$12,IF(GK143="PP",Lookup!$M$13,IF(GK143="PPP",Lookup!$M$14,IF(GK143="T",Lookup!$M$15,IF(GK143="TP",Lookup!$M$16,IF(GK143="TPP",Lookup!$M$17,IF(GK143="TPPP",Lookup!$M$18,0)))))))*GJ143</f>
        <v>0</v>
      </c>
      <c r="GO143" s="535">
        <f t="shared" si="392"/>
        <v>0</v>
      </c>
      <c r="GP143" s="535">
        <f t="shared" si="364"/>
        <v>7106.306133333338</v>
      </c>
      <c r="GQ143" s="535">
        <f t="shared" si="403"/>
        <v>2316.2666666666682</v>
      </c>
      <c r="GR143" s="535"/>
      <c r="GS143" s="535">
        <f t="shared" si="393"/>
        <v>0</v>
      </c>
      <c r="GT143" s="535" t="str">
        <f t="shared" si="394"/>
        <v/>
      </c>
      <c r="GU143" s="535">
        <f>IF(GK143="P",Lookup!$N$12,IF(GK143="PP",Lookup!$N$13,IF(GK143="PPP",Lookup!$N$14,IF(GK143="T",Lookup!$N$15,IF(GK143="TP",Lookup!$N$16,IF(GK143="TPP",Lookup!$N$17,IF(GK143="TPPP",Lookup!$N$18,0)))))))*GJ143</f>
        <v>0</v>
      </c>
      <c r="GV143" s="535">
        <f t="shared" si="395"/>
        <v>0</v>
      </c>
      <c r="GW143" s="535">
        <f t="shared" si="365"/>
        <v>3048.0456524445044</v>
      </c>
      <c r="GX143" s="535">
        <f t="shared" si="400"/>
        <v>993.49597537304578</v>
      </c>
      <c r="GY143" s="535"/>
      <c r="GZ143" s="535">
        <f t="shared" si="396"/>
        <v>0</v>
      </c>
      <c r="HA143" s="535" t="str">
        <f t="shared" si="397"/>
        <v/>
      </c>
      <c r="HB143" s="535">
        <f>IF(GK143="P",Lookup!$N$12,IF(GK143="PP",Lookup!$N$13,IF(GK143="PPP",Lookup!$N$14,IF(GK143="T",Lookup!$N$15,IF(GK143="TP",Lookup!$N$16,IF(GK143="TPP",Lookup!$N$17,IF(GK143="TPPP",Lookup!$N$18,0)))))))*GJ143</f>
        <v>0</v>
      </c>
      <c r="HC143" s="521">
        <f t="shared" si="366"/>
        <v>0</v>
      </c>
      <c r="HD143" s="535">
        <f t="shared" si="367"/>
        <v>2451.7824737585697</v>
      </c>
      <c r="HE143" s="535">
        <f t="shared" si="401"/>
        <v>799.14682977789107</v>
      </c>
      <c r="HF143" s="535"/>
      <c r="HG143" s="535">
        <f t="shared" si="398"/>
        <v>0</v>
      </c>
      <c r="HH143" s="535" t="str">
        <f t="shared" si="399"/>
        <v/>
      </c>
      <c r="HI143" s="535">
        <f>IF(GK143="P",Lookup!$N$12,IF(GK143="PP",Lookup!$N$13,IF(GK143="PPP",Lookup!$N$14,IF(GK143="T",Lookup!$N$15,IF(GK143="TP",Lookup!$N$16,IF(GK143="TPP",Lookup!$N$17,IF(GK143="TPPP",Lookup!$N$18,0)))))))*GJ143</f>
        <v>0</v>
      </c>
      <c r="HJ143" s="521">
        <f t="shared" si="368"/>
        <v>0</v>
      </c>
      <c r="HK143" s="535">
        <f t="shared" si="369"/>
        <v>1603.7555478496279</v>
      </c>
      <c r="HL143" s="535">
        <f t="shared" si="402"/>
        <v>522.73648886884871</v>
      </c>
      <c r="HM143" s="535"/>
      <c r="HN143" s="541"/>
      <c r="HO143" s="541"/>
      <c r="HP143" s="541"/>
      <c r="HQ143" s="541">
        <f>IF(AND(B143&gt;=$FV$4,B143&lt;=$FW$4),MAX(110/1.02+$HQ$6+MIN(113/1.02,G143),IF($HV$6-(Sheet1!DA141-Sheet1!DB141)+MIN(113/1.02,G143)&lt;G143+FL143,$HV$6-(Sheet1!DA141-Sheet1!DB141)+MIN(113/1.02,G143),G143+FL143)),MIN(110/1.02+$HQ$6+113/1.02,G143))</f>
        <v>218.62745098039215</v>
      </c>
      <c r="HR143" s="541">
        <f t="shared" si="421"/>
        <v>223</v>
      </c>
      <c r="HS143" s="541">
        <f>HR143+(Sheet1!DA141-Sheet1!DB141)</f>
        <v>903</v>
      </c>
      <c r="HT143" s="541">
        <f t="shared" si="422"/>
        <v>64.509900000000002</v>
      </c>
      <c r="HU143" s="541">
        <f t="shared" si="423"/>
        <v>838.49009999999998</v>
      </c>
      <c r="HV143" s="541">
        <f t="shared" si="424"/>
        <v>0</v>
      </c>
      <c r="HW143" s="533" t="str">
        <f t="shared" si="425"/>
        <v/>
      </c>
      <c r="HX143" s="541">
        <f t="shared" si="426"/>
        <v>1381.372549019608</v>
      </c>
      <c r="HY143" s="541">
        <f>Sheet1!CZ141</f>
        <v>1600</v>
      </c>
      <c r="HZ143" s="541">
        <f t="shared" si="427"/>
        <v>0</v>
      </c>
      <c r="IA143" s="541">
        <f t="shared" si="428"/>
        <v>64.509900000000002</v>
      </c>
      <c r="IB143" s="541">
        <f t="shared" si="429"/>
        <v>1600</v>
      </c>
      <c r="IC143" s="1019" t="str">
        <f t="shared" si="430"/>
        <v/>
      </c>
      <c r="ID143" s="541">
        <f t="shared" si="431"/>
        <v>1535.4901</v>
      </c>
      <c r="IE143" s="541">
        <f>Sheet1!DB141</f>
        <v>1480</v>
      </c>
      <c r="IF143" s="533">
        <f>Sheet1!DA141</f>
        <v>2160</v>
      </c>
      <c r="IH143" s="541">
        <f>IF(AND($B143&gt;=$GC143,$B143&lt;=$GH143,$DR143&lt;0)+N("only adjusted when pool is drawn down during storage season"),Sheet1!$DB141+$DR143+N("Palmer minus all storage release"),Sheet1!$DB141)</f>
        <v>1480</v>
      </c>
      <c r="II143" s="541">
        <f>IF(AND($B143&gt;=$GC143,$B143&lt;=$GH143,$DR143&lt;0)+N("only adjusted when pool is drawn down during storage season"),Sheet1!$DA141+$DR143+N("Auburn minus all storage release"),Sheet1!$DA141)</f>
        <v>2160</v>
      </c>
    </row>
    <row r="144" spans="1:243" x14ac:dyDescent="0.25">
      <c r="A144" s="553" t="s">
        <v>9</v>
      </c>
      <c r="B144" s="531">
        <v>42868</v>
      </c>
      <c r="C144" s="536">
        <v>0</v>
      </c>
      <c r="D144" s="506">
        <f t="shared" si="371"/>
        <v>300</v>
      </c>
      <c r="E144" s="506">
        <f t="shared" si="372"/>
        <v>250</v>
      </c>
      <c r="F144" s="506">
        <v>250</v>
      </c>
      <c r="G144" s="535">
        <f>DR144+Sheet1!CZ142</f>
        <v>1761.2203731715933</v>
      </c>
      <c r="H144" s="1074">
        <f t="shared" si="405"/>
        <v>822.92496876799987</v>
      </c>
      <c r="I144" s="534">
        <f>IF(Sheet1!DA142&gt;=E144,(Sheet1!DA142-E144+P144)*CFStoMGD,0)</f>
        <v>1256.0129687679998</v>
      </c>
      <c r="J144" s="995">
        <f>IF(Sheet1!DB142&gt;=D144,(Sheet1!DB142-D144+P144)*CFStoMGD,0)</f>
        <v>822.92496876799987</v>
      </c>
      <c r="K144" s="818">
        <f t="shared" si="406"/>
        <v>64.64</v>
      </c>
      <c r="L144" s="535">
        <f>Sheet1!AA142+Sheet1!AB142-Sheet1!L142+(Sheet1!DA142-F144)*CFStoMGD-S144-T144-U144</f>
        <v>1191.3739999999998</v>
      </c>
      <c r="M144" s="535">
        <f t="shared" si="309"/>
        <v>1161.2219062024803</v>
      </c>
      <c r="N144" s="824">
        <f>IF(Sheet1!DA142&gt;=F144,MIN(113*CFStoMGD,MIN(MAX(L144,0),MAX(M144,0))),0)</f>
        <v>73.043199999999999</v>
      </c>
      <c r="O144" s="538">
        <f>Sheet1!AA142+Sheet1!AB142</f>
        <v>53.71</v>
      </c>
      <c r="P144" s="538">
        <f t="shared" si="310"/>
        <v>83.089370000000002</v>
      </c>
      <c r="Q144" s="812">
        <f t="shared" si="407"/>
        <v>41.730000000000004</v>
      </c>
      <c r="R144" s="812">
        <f t="shared" si="373"/>
        <v>11.950135327635328</v>
      </c>
      <c r="S144" s="812">
        <f t="shared" si="374"/>
        <v>11.98</v>
      </c>
      <c r="T144" s="812">
        <f t="shared" si="375"/>
        <v>52.66</v>
      </c>
      <c r="U144" s="812">
        <f t="shared" si="408"/>
        <v>0</v>
      </c>
      <c r="V144" s="812"/>
      <c r="W144" s="812">
        <f t="shared" si="376"/>
        <v>52.689864672364671</v>
      </c>
      <c r="X144" s="812">
        <f t="shared" si="377"/>
        <v>64.64</v>
      </c>
      <c r="Y144" s="812" t="str">
        <f t="shared" si="378"/>
        <v>FALSE</v>
      </c>
      <c r="Z144" s="812">
        <f t="shared" si="379"/>
        <v>53.71</v>
      </c>
      <c r="AA144" s="812">
        <f t="shared" si="380"/>
        <v>53.710000000000008</v>
      </c>
      <c r="AB144" s="1059">
        <f t="shared" si="409"/>
        <v>64.556309999999996</v>
      </c>
      <c r="AC144" s="538">
        <f>Sheet1!Y142*MGDtoCFS</f>
        <v>39.757899999999999</v>
      </c>
      <c r="AD144" s="538">
        <f>Sheet1!Z142*MGDtoCFS</f>
        <v>43.161299999999997</v>
      </c>
      <c r="AE144" s="538">
        <f>Sheet1!AA142*MGDtoCFS</f>
        <v>39.757899999999999</v>
      </c>
      <c r="AF144" s="538">
        <f>Sheet1!AB142*MGDtoCFS</f>
        <v>43.331470000000003</v>
      </c>
      <c r="AG144" s="538">
        <f>Sheet1!L142*MGDtoCFS</f>
        <v>0</v>
      </c>
      <c r="AH144" s="521">
        <f t="shared" si="311"/>
        <v>0</v>
      </c>
      <c r="AI144" s="1059">
        <f t="shared" si="312"/>
        <v>0</v>
      </c>
      <c r="AJ144" s="535">
        <f t="shared" si="313"/>
        <v>52.689864672364671</v>
      </c>
      <c r="AK144" s="535">
        <f t="shared" si="314"/>
        <v>81.511220648148139</v>
      </c>
      <c r="AL144" s="535">
        <f>(VLOOKUP(Sheet1!DC142,hhdcap_wcm,4)-(((VLOOKUP(Sheet1!DC142,hhdcap_wcm,3)-Sheet1!DC142)/(VLOOKUP(Sheet1!DC142,hhdcap_wcm,3)-VLOOKUP(Sheet1!DC142,hhdcap_wcm,1)))*(VLOOKUP(Sheet1!DC142,hhdcap_wcm,4)-VLOOKUP(Sheet1!DC142,hhdcap_wcm,2))))</f>
        <v>40116.100000099766</v>
      </c>
      <c r="AM144" s="535">
        <f t="shared" si="315"/>
        <v>319.69999999926949</v>
      </c>
      <c r="AN144" s="1035">
        <f t="shared" si="316"/>
        <v>4684.3358253588194</v>
      </c>
      <c r="AO144" s="535">
        <f t="shared" si="317"/>
        <v>14371.542312200858</v>
      </c>
      <c r="AP144" s="535">
        <f>Sheet1!BA142+Sheet1!BB142+Sheet1!BN142+CD144</f>
        <v>16.100000000000001</v>
      </c>
      <c r="AQ144" s="535">
        <f>Sheet1!BN142+(DO144*Sheet1!BN142)</f>
        <v>16.059864672364675</v>
      </c>
      <c r="AR144" s="535">
        <f>Sheet1!BA142+CD144</f>
        <v>0</v>
      </c>
      <c r="AS144" s="535">
        <f>Sheet1!BA142+Sheet1!BB142+CD144</f>
        <v>0</v>
      </c>
      <c r="AT144" s="649">
        <f>0</f>
        <v>0</v>
      </c>
      <c r="AU144" s="535">
        <f>IF(EB144&lt;K144,0,MAX(Sheet1!AA142+AQ144-15/36*K144-N144,Sheet1!EH142,0))</f>
        <v>0</v>
      </c>
      <c r="AV144" s="535">
        <f>IF(OR(B144&gt;=GD144,B144&lt;GC144),0,15/36*K144-MAX(0,64.6-(137.6-(Sheet1!AA142+Sheet1!AB142))))</f>
        <v>26.933333333333334</v>
      </c>
      <c r="AW144" s="1029"/>
      <c r="AX144" s="649"/>
      <c r="AY144" s="649">
        <f t="shared" si="410"/>
        <v>0</v>
      </c>
      <c r="AZ144" s="649">
        <f t="shared" si="411"/>
        <v>0</v>
      </c>
      <c r="BA144" s="1059">
        <f t="shared" si="412"/>
        <v>0</v>
      </c>
      <c r="BB144" s="1019">
        <f t="shared" si="318"/>
        <v>2343.2000000000016</v>
      </c>
      <c r="BC144" s="1041">
        <f t="shared" si="413"/>
        <v>26.933333333333334</v>
      </c>
      <c r="BD144" s="1019">
        <f ca="1">IF(B144&gt;Summary!$A$1,#N/A,BB144*MGtoAF)</f>
        <v>7188.9376000000047</v>
      </c>
      <c r="BE144" s="535">
        <f>Sheet1!BG142+Sheet1!BH142+Sheet1!BI142-BM144</f>
        <v>1.01</v>
      </c>
      <c r="BF144" s="535">
        <f t="shared" si="319"/>
        <v>1.0074821937321938</v>
      </c>
      <c r="BG144" s="535">
        <f>IF(Sheet1!EP142="FM",BM144,0)</f>
        <v>0</v>
      </c>
      <c r="BH144" s="535">
        <f t="shared" si="320"/>
        <v>0</v>
      </c>
      <c r="BI144" s="535">
        <f>IF(Sheet1!EP142="OTHER",BM144,0)</f>
        <v>0</v>
      </c>
      <c r="BJ144" s="535">
        <f t="shared" si="321"/>
        <v>0</v>
      </c>
      <c r="BK144" s="535">
        <f t="shared" si="322"/>
        <v>1.01</v>
      </c>
      <c r="BL144" s="535">
        <f t="shared" si="323"/>
        <v>1.0074821937321938</v>
      </c>
      <c r="BM144" s="535">
        <f>IF(OR(Sheet1!EP142="FM", Sheet1!EP142="OTHER"),SUM(Sheet1!BG142:'Sheet1'!BI142),0)</f>
        <v>0</v>
      </c>
      <c r="BN144" s="521">
        <f>IF(AND($B144&gt;=$FV144,$B144&lt;=$FW144),MAX(BF144,Sheet1!EI142,0),MAX(BF144-(7/36)*$K144,0))</f>
        <v>0</v>
      </c>
      <c r="BO144" s="535">
        <f t="shared" si="324"/>
        <v>11.561406695156695</v>
      </c>
      <c r="BP144" s="521">
        <f t="shared" si="325"/>
        <v>1.0074821937321938</v>
      </c>
      <c r="BQ144" s="521">
        <f>IF(AND($O144&gt;0,Sheet1!EM142=1),(1-($O144-Sheet1!$L142)/$O144)*BL144,0)</f>
        <v>0</v>
      </c>
      <c r="BR144" s="521">
        <f>IF(AND(Sheet1!$L142=0,Sheet1!$L141=0, Calculation!BK144&lt;Sheet1!$EI142-0.1,Sheet1!$EI142=Sheet1!$EI141,Sheet1!$EI142=Sheet1!$EI143),BL144-BQ144,BL144-BQ144)</f>
        <v>1.0074821937321938</v>
      </c>
      <c r="BS144" s="1035" t="str">
        <f t="shared" si="414"/>
        <v/>
      </c>
      <c r="BT144" s="1035">
        <f t="shared" si="415"/>
        <v>12.568888888888889</v>
      </c>
      <c r="BU144" s="535">
        <f t="shared" si="326"/>
        <v>1005.0573820682025</v>
      </c>
      <c r="BV144" s="535"/>
      <c r="BW144" s="535">
        <f ca="1">IF(B144&gt;Summary!$A$1,#N/A,BU144*MGtoAF)</f>
        <v>3083.5160481852454</v>
      </c>
      <c r="BX144" s="535">
        <f>Sheet1!BC142+Sheet1!BD142+Sheet1!BE142+Sheet1!BF142-CG144-CH144</f>
        <v>4.49</v>
      </c>
      <c r="BY144" s="535">
        <f t="shared" si="327"/>
        <v>4.4788069800569801</v>
      </c>
      <c r="BZ144" s="535">
        <f>IF(Sheet1!EQ142="FM",CH144,0)</f>
        <v>0</v>
      </c>
      <c r="CA144" s="535">
        <f t="shared" si="328"/>
        <v>0</v>
      </c>
      <c r="CB144" s="535">
        <f>IF(Sheet1!EQ142="OTHER",CH144,0)</f>
        <v>0</v>
      </c>
      <c r="CC144" s="535">
        <f t="shared" si="329"/>
        <v>0</v>
      </c>
      <c r="CD144" s="535">
        <f t="shared" si="330"/>
        <v>0</v>
      </c>
      <c r="CE144" s="535">
        <f t="shared" si="331"/>
        <v>4.49</v>
      </c>
      <c r="CF144" s="535">
        <f t="shared" si="332"/>
        <v>4.4788069800569801</v>
      </c>
      <c r="CG144" s="535">
        <f>IF(Sheet1!EQ142="CWA",SUM(Sheet1!BC142:'Sheet1'!BF142),0)</f>
        <v>0</v>
      </c>
      <c r="CH144" s="535">
        <f>IF(OR(Sheet1!EQ142="FM", Sheet1!EQ142="OTHER"),SUM(Sheet1!BC142:'Sheet1'!BF142),0)</f>
        <v>0</v>
      </c>
      <c r="CI144" s="521">
        <f>IF(AND($B144&gt;=$FV144,$B144&lt;=$FW144),MAX(CF144,Sheet1!EJ142,0),MAX(CF144-(7/36)*$K144,0))</f>
        <v>0</v>
      </c>
      <c r="CJ144" s="535">
        <f t="shared" si="333"/>
        <v>8.0900819088319089</v>
      </c>
      <c r="CK144" s="521">
        <f t="shared" si="334"/>
        <v>4.4788069800569801</v>
      </c>
      <c r="CL144" s="521">
        <f>IF(AND($O144&gt;0,Sheet1!EN142=1),(1-($O144-Sheet1!$L142)/$O144)*CF144,0)</f>
        <v>0</v>
      </c>
      <c r="CM144" s="521">
        <f>IF(AND(Sheet1!$L142=0,Sheet1!$L141=0, Calculation!CE144&lt;Sheet1!EJ142-0.1,Sheet1!EJ142=Sheet1!EJ141,Sheet1!EJ142=Sheet1!EJ143),CF144-CL144,CF144-CL144)</f>
        <v>4.4788069800569801</v>
      </c>
      <c r="CN144" s="1040" t="str">
        <f t="shared" si="416"/>
        <v/>
      </c>
      <c r="CO144" s="1035">
        <f t="shared" si="417"/>
        <v>12.568888888888889</v>
      </c>
      <c r="CP144" s="535">
        <f t="shared" si="335"/>
        <v>807.23691168672303</v>
      </c>
      <c r="CQ144" s="535"/>
      <c r="CR144" s="535">
        <f ca="1">IF(B144&gt;Summary!$A$1,#N/A,CP144*MGtoAF)</f>
        <v>2476.6028450548665</v>
      </c>
      <c r="CS144" s="535">
        <f>Sheet1!BK142+Sheet1!BL142+Sheet1!BM142-Sheet1!ER142-DA144</f>
        <v>6.48</v>
      </c>
      <c r="CT144" s="535">
        <f t="shared" si="336"/>
        <v>6.4638461538461538</v>
      </c>
      <c r="CU144" s="535">
        <f>IF(Sheet1!ER142="FM",DA144,0)</f>
        <v>0</v>
      </c>
      <c r="CV144" s="535">
        <f t="shared" si="337"/>
        <v>0</v>
      </c>
      <c r="CW144" s="535">
        <f>IF(Sheet1!ER142="OTHER",DA144,0)</f>
        <v>0</v>
      </c>
      <c r="CX144" s="535">
        <f t="shared" si="338"/>
        <v>0</v>
      </c>
      <c r="CY144" s="535">
        <f t="shared" si="339"/>
        <v>6.48</v>
      </c>
      <c r="CZ144" s="535">
        <f t="shared" si="340"/>
        <v>6.4638461538461538</v>
      </c>
      <c r="DA144" s="535">
        <f>IF(OR(Sheet1!ER142="FM", Sheet1!ER142="OTHER"),SUM(Sheet1!BK142:'Sheet1'!BM142),0)</f>
        <v>0</v>
      </c>
      <c r="DB144" s="1011">
        <f>IF(AND($B144&gt;=$FV144,$B144&lt;=$FW144),MAX($CT144,Sheet1!EK142,0),MAX($CT144-(7/36)*$K144,0))</f>
        <v>0</v>
      </c>
      <c r="DC144" s="1012">
        <f t="shared" si="341"/>
        <v>6.1050427350427352</v>
      </c>
      <c r="DD144" s="1011">
        <f t="shared" si="342"/>
        <v>6.4638461538461538</v>
      </c>
      <c r="DE144" s="521">
        <f>IF(AND($O144&gt;0,Sheet1!EO142=1),(1-($O144-Sheet1!$L142)/$O144)*CZ144,0)</f>
        <v>0</v>
      </c>
      <c r="DF144" s="521">
        <f>IF(AND(Sheet1!$L142=0,Sheet1!$L141=0, Calculation!CY144&lt;Sheet1!$EK142-0.1,Sheet1!$EK142=Sheet1!$EK141,Sheet1!$EK142=Sheet1!$EK143),CZ144-DE144,CZ144-DE144)</f>
        <v>6.4638461538461538</v>
      </c>
      <c r="DG144" s="1040">
        <f t="shared" si="418"/>
        <v>12.568888888888889</v>
      </c>
      <c r="DH144" s="649">
        <f t="shared" si="343"/>
        <v>11.98</v>
      </c>
      <c r="DI144" s="535">
        <f t="shared" si="344"/>
        <v>528.84153160389144</v>
      </c>
      <c r="DJ144" s="649">
        <f t="shared" si="345"/>
        <v>11.950135327635328</v>
      </c>
      <c r="DK144" s="535">
        <f ca="1">IF(B144&gt;Summary!$A$1,#N/A,DI144*MGtoAF)</f>
        <v>1622.4858189607389</v>
      </c>
      <c r="DL144" s="649">
        <f t="shared" si="346"/>
        <v>11.98</v>
      </c>
      <c r="DM144" s="535">
        <f t="shared" si="347"/>
        <v>28.080000000000002</v>
      </c>
      <c r="DN144" s="535">
        <f>Sheet1!AB142-DM144</f>
        <v>-7.0000000000000284E-2</v>
      </c>
      <c r="DO144" s="743">
        <f t="shared" si="348"/>
        <v>-2.4928774928775028E-3</v>
      </c>
      <c r="DP144" s="535">
        <f>(VLOOKUP(Sheet1!DC142,hhdcap_wcm,4)-(((VLOOKUP(Sheet1!DC142,hhdcap_wcm,3)-Sheet1!DC142)/(VLOOKUP(Sheet1!DC142,hhdcap_wcm,3)-VLOOKUP(Sheet1!DC142,hhdcap_wcm,1)))*(VLOOKUP(Sheet1!DC142,hhdcap_wcm,4)-VLOOKUP(Sheet1!DC142,hhdcap_wcm,2))))</f>
        <v>40116.100000099766</v>
      </c>
      <c r="DQ144" s="535">
        <f t="shared" si="349"/>
        <v>319.69999999926949</v>
      </c>
      <c r="DR144" s="535">
        <f t="shared" si="350"/>
        <v>161.22037317159328</v>
      </c>
      <c r="DS144" s="535">
        <f>Sheet1!EA142*AFtoMG</f>
        <v>0</v>
      </c>
      <c r="DT144" s="535">
        <f>Sheet1!EB142*AFtoMG</f>
        <v>0</v>
      </c>
      <c r="DU144" s="535">
        <f>Sheet1!EC142*AFtoMG</f>
        <v>0</v>
      </c>
      <c r="DV144" s="535">
        <f>Sheet1!ED142*AFtoMG</f>
        <v>0</v>
      </c>
      <c r="DW144" s="535">
        <f t="shared" si="351"/>
        <v>0</v>
      </c>
      <c r="DX144" s="535">
        <f t="shared" si="352"/>
        <v>0</v>
      </c>
      <c r="DY144" s="535">
        <f t="shared" si="353"/>
        <v>4684.3358253588194</v>
      </c>
      <c r="DZ144" s="535">
        <f t="shared" si="354"/>
        <v>14371.542312200858</v>
      </c>
      <c r="EA144" s="535"/>
      <c r="EB144" s="521">
        <f>IF(OR(B144&lt;FV144,B144&gt;FW144),(MIN(BF144+BY144+CT144+MAX(Sheet1!AA142+AQ144-73,0),K144)),0)</f>
        <v>11.950135327635328</v>
      </c>
      <c r="EC144" s="535"/>
      <c r="ED144" s="535">
        <f t="shared" si="355"/>
        <v>11.950135327635328</v>
      </c>
      <c r="EE144" s="535"/>
      <c r="EF144" s="535">
        <f>Sheet1!EH142+Sheet1!EI142+Sheet1!EJ142+Sheet1!EK142</f>
        <v>12</v>
      </c>
      <c r="EG144" s="1019">
        <f t="shared" si="419"/>
        <v>18.564</v>
      </c>
      <c r="EH144" s="521">
        <f t="shared" si="356"/>
        <v>0</v>
      </c>
      <c r="EI144" s="535">
        <f>IF(Sheet1!ET142=1,SUM('Calculations II'!AT144:BA144)+'Calculations II'!BC144+Sheet1!BV142+'Calculations II'!BE144+AP144,'Calculations II'!BK144)</f>
        <v>45.016406672364681</v>
      </c>
      <c r="EJ144" s="535">
        <f ca="1">EI144+'Calculations II'!D144+'Calculations II'!E144+'Calculations II'!O144</f>
        <v>48.478649634200934</v>
      </c>
      <c r="EK144" s="535"/>
      <c r="EL144" s="535"/>
      <c r="EM144" s="535">
        <f t="shared" si="357"/>
        <v>42868</v>
      </c>
      <c r="EN144" s="535">
        <f t="shared" si="358"/>
        <v>52.689864672364671</v>
      </c>
      <c r="EO144" s="535">
        <f t="shared" si="359"/>
        <v>81.511220648148139</v>
      </c>
      <c r="EP144" s="535">
        <v>0</v>
      </c>
      <c r="EQ144" s="535">
        <v>0</v>
      </c>
      <c r="ER144" s="535">
        <v>0</v>
      </c>
      <c r="ES144" s="521">
        <f t="shared" si="381"/>
        <v>-2.21360376300367</v>
      </c>
      <c r="ET144" s="535">
        <f>-(VLOOKUP(Sheet1!BQ142,Lookup!$O$4:$Q$262,2)-VLOOKUP(Sheet1!BQ141,Lookup!$O$4:$Q$262,2))/1000000</f>
        <v>-1.1066225370262788</v>
      </c>
      <c r="EU144" s="535">
        <f>-(VLOOKUP(Sheet1!BR142,Lookup!$O$4:$Q$262,3)-VLOOKUP(Sheet1!BR141,Lookup!$O$4:$Q$262,3))/1000000</f>
        <v>-1.106981225977391</v>
      </c>
      <c r="EV144" s="535"/>
      <c r="EW144" s="535"/>
      <c r="EX144" s="535"/>
      <c r="EY144" s="535"/>
      <c r="EZ144" s="535"/>
      <c r="FA144" s="535"/>
      <c r="FB144" s="535"/>
      <c r="FC144" s="535"/>
      <c r="FD144" s="567" t="e">
        <f t="shared" si="360"/>
        <v>#N/A</v>
      </c>
      <c r="FE144" s="567" t="e">
        <f t="shared" si="361"/>
        <v>#N/A</v>
      </c>
      <c r="FF144" s="568" t="e">
        <f t="shared" si="362"/>
        <v>#N/A</v>
      </c>
      <c r="FG144" s="569" t="s">
        <v>656</v>
      </c>
      <c r="FH144" s="569" t="s">
        <v>656</v>
      </c>
      <c r="FI144" s="567" t="e">
        <v>#N/A</v>
      </c>
      <c r="FJ144" s="567" t="e">
        <v>#N/A</v>
      </c>
      <c r="FK144" s="535"/>
      <c r="FL144" s="1015">
        <v>0</v>
      </c>
      <c r="FM144" s="535"/>
      <c r="FN144" s="535"/>
      <c r="FO144" s="535">
        <f>O144+((Sheet1!CS142)*GPMtoMGD)</f>
        <v>58.778655999999998</v>
      </c>
      <c r="FP144" s="535">
        <f>IF(Sheet1!AA142+AQ144&lt;=Calculation!N144,AQ144,Calculation!N144-Sheet1!AA142)</f>
        <v>16.059864672364675</v>
      </c>
      <c r="FQ144" s="535">
        <f>(Sheet1!BP142+Sheet1!BO142)/694.4</f>
        <v>1.6913882488479264</v>
      </c>
      <c r="FR144" s="541"/>
      <c r="FS144" s="541"/>
      <c r="FT144" s="541"/>
      <c r="FU144" s="541"/>
      <c r="FV144" s="1109">
        <f t="shared" si="382"/>
        <v>42918</v>
      </c>
      <c r="FW144" s="1109">
        <f t="shared" si="383"/>
        <v>43027</v>
      </c>
      <c r="FX144" s="541"/>
      <c r="FY144" s="541">
        <f>Sheet1!DA142-Sheet1!CZ142-Sheet1!AE142</f>
        <v>426.91062999999997</v>
      </c>
      <c r="FZ144" s="535">
        <f t="shared" si="420"/>
        <v>0.24239478290341504</v>
      </c>
      <c r="GA144" s="535"/>
      <c r="GB144" s="535" t="str">
        <f t="shared" si="384"/>
        <v>n</v>
      </c>
      <c r="GC144" s="539">
        <f t="shared" si="385"/>
        <v>42782</v>
      </c>
      <c r="GD144" s="1109">
        <f t="shared" si="386"/>
        <v>42904</v>
      </c>
      <c r="GE144" s="535">
        <f t="shared" si="404"/>
        <v>6520</v>
      </c>
      <c r="GF144" s="1109">
        <f t="shared" si="387"/>
        <v>42909</v>
      </c>
      <c r="GG144" s="535">
        <f t="shared" si="308"/>
        <v>3260</v>
      </c>
      <c r="GH144" s="539">
        <f t="shared" si="388"/>
        <v>43040</v>
      </c>
      <c r="GJ144" s="521">
        <f t="shared" si="389"/>
        <v>0</v>
      </c>
      <c r="GK144" s="535" t="str">
        <f t="shared" si="363"/>
        <v/>
      </c>
      <c r="GL144" s="535">
        <f t="shared" si="390"/>
        <v>0</v>
      </c>
      <c r="GM144" s="535" t="str">
        <f t="shared" si="391"/>
        <v/>
      </c>
      <c r="GN144" s="535">
        <f>IF(GK144="P",Lookup!$M$12,IF(GK144="PP",Lookup!$M$13,IF(GK144="PPP",Lookup!$M$14,IF(GK144="T",Lookup!$M$15,IF(GK144="TP",Lookup!$M$16,IF(GK144="TPP",Lookup!$M$17,IF(GK144="TPPP",Lookup!$M$18,0)))))))*GJ144</f>
        <v>0</v>
      </c>
      <c r="GO144" s="535">
        <f t="shared" si="392"/>
        <v>0</v>
      </c>
      <c r="GP144" s="535">
        <f t="shared" si="364"/>
        <v>7188.9376000000047</v>
      </c>
      <c r="GQ144" s="535">
        <f t="shared" si="403"/>
        <v>2343.2000000000016</v>
      </c>
      <c r="GR144" s="535"/>
      <c r="GS144" s="535">
        <f t="shared" si="393"/>
        <v>0</v>
      </c>
      <c r="GT144" s="535" t="str">
        <f t="shared" si="394"/>
        <v/>
      </c>
      <c r="GU144" s="535">
        <f>IF(GK144="P",Lookup!$N$12,IF(GK144="PP",Lookup!$N$13,IF(GK144="PPP",Lookup!$N$14,IF(GK144="T",Lookup!$N$15,IF(GK144="TP",Lookup!$N$16,IF(GK144="TPP",Lookup!$N$17,IF(GK144="TPPP",Lookup!$N$18,0)))))))*GJ144</f>
        <v>0</v>
      </c>
      <c r="GV144" s="535">
        <f t="shared" si="395"/>
        <v>0</v>
      </c>
      <c r="GW144" s="535">
        <f t="shared" si="365"/>
        <v>3083.5160481852454</v>
      </c>
      <c r="GX144" s="535">
        <f t="shared" si="400"/>
        <v>1005.0573820682025</v>
      </c>
      <c r="GY144" s="535"/>
      <c r="GZ144" s="535">
        <f t="shared" si="396"/>
        <v>0</v>
      </c>
      <c r="HA144" s="535" t="str">
        <f t="shared" si="397"/>
        <v/>
      </c>
      <c r="HB144" s="535">
        <f>IF(GK144="P",Lookup!$N$12,IF(GK144="PP",Lookup!$N$13,IF(GK144="PPP",Lookup!$N$14,IF(GK144="T",Lookup!$N$15,IF(GK144="TP",Lookup!$N$16,IF(GK144="TPP",Lookup!$N$17,IF(GK144="TPPP",Lookup!$N$18,0)))))))*GJ144</f>
        <v>0</v>
      </c>
      <c r="HC144" s="521">
        <f t="shared" si="366"/>
        <v>0</v>
      </c>
      <c r="HD144" s="535">
        <f t="shared" si="367"/>
        <v>2476.6028450548665</v>
      </c>
      <c r="HE144" s="535">
        <f t="shared" si="401"/>
        <v>807.23691168672303</v>
      </c>
      <c r="HF144" s="535"/>
      <c r="HG144" s="535">
        <f t="shared" si="398"/>
        <v>0</v>
      </c>
      <c r="HH144" s="535" t="str">
        <f t="shared" si="399"/>
        <v/>
      </c>
      <c r="HI144" s="535">
        <f>IF(GK144="P",Lookup!$N$12,IF(GK144="PP",Lookup!$N$13,IF(GK144="PPP",Lookup!$N$14,IF(GK144="T",Lookup!$N$15,IF(GK144="TP",Lookup!$N$16,IF(GK144="TPP",Lookup!$N$17,IF(GK144="TPPP",Lookup!$N$18,0)))))))*GJ144</f>
        <v>0</v>
      </c>
      <c r="HJ144" s="521">
        <f t="shared" si="368"/>
        <v>0</v>
      </c>
      <c r="HK144" s="535">
        <f t="shared" si="369"/>
        <v>1622.4858189607389</v>
      </c>
      <c r="HL144" s="535">
        <f t="shared" si="402"/>
        <v>528.84153160389144</v>
      </c>
      <c r="HM144" s="535"/>
      <c r="HN144" s="541"/>
      <c r="HO144" s="541"/>
      <c r="HP144" s="541"/>
      <c r="HQ144" s="541">
        <f>IF(AND(B144&gt;=$FV$4,B144&lt;=$FW$4),MAX(110/1.02+$HQ$6+MIN(113/1.02,G144),IF($HV$6-(Sheet1!DA142-Sheet1!DB142)+MIN(113/1.02,G144)&lt;G144+FL144,$HV$6-(Sheet1!DA142-Sheet1!DB142)+MIN(113/1.02,G144),G144+FL144)),MIN(110/1.02+$HQ$6+113/1.02,G144))</f>
        <v>218.62745098039215</v>
      </c>
      <c r="HR144" s="541">
        <f t="shared" si="421"/>
        <v>223</v>
      </c>
      <c r="HS144" s="541">
        <f>HR144+(Sheet1!DA142-Sheet1!DB142)</f>
        <v>843</v>
      </c>
      <c r="HT144" s="541">
        <f t="shared" si="422"/>
        <v>64.556309999999996</v>
      </c>
      <c r="HU144" s="541">
        <f t="shared" si="423"/>
        <v>778.44369000000006</v>
      </c>
      <c r="HV144" s="541">
        <f t="shared" si="424"/>
        <v>0</v>
      </c>
      <c r="HW144" s="533" t="str">
        <f t="shared" si="425"/>
        <v/>
      </c>
      <c r="HX144" s="541">
        <f t="shared" si="426"/>
        <v>1381.372549019608</v>
      </c>
      <c r="HY144" s="541">
        <f>Sheet1!CZ142</f>
        <v>1600</v>
      </c>
      <c r="HZ144" s="541">
        <f t="shared" si="427"/>
        <v>0</v>
      </c>
      <c r="IA144" s="541">
        <f t="shared" si="428"/>
        <v>64.556309999999996</v>
      </c>
      <c r="IB144" s="541">
        <f t="shared" si="429"/>
        <v>1600</v>
      </c>
      <c r="IC144" s="1019" t="str">
        <f t="shared" si="430"/>
        <v/>
      </c>
      <c r="ID144" s="541">
        <f t="shared" si="431"/>
        <v>1535.4436900000001</v>
      </c>
      <c r="IE144" s="541">
        <f>Sheet1!DB142</f>
        <v>1490</v>
      </c>
      <c r="IF144" s="533">
        <f>Sheet1!DA142</f>
        <v>2110</v>
      </c>
      <c r="IH144" s="541">
        <f>IF(AND($B144&gt;=$GC144,$B144&lt;=$GH144,$DR144&lt;0)+N("only adjusted when pool is drawn down during storage season"),Sheet1!$DB142+$DR144+N("Palmer minus all storage release"),Sheet1!$DB142)</f>
        <v>1490</v>
      </c>
      <c r="II144" s="541">
        <f>IF(AND($B144&gt;=$GC144,$B144&lt;=$GH144,$DR144&lt;0)+N("only adjusted when pool is drawn down during storage season"),Sheet1!$DA142+$DR144+N("Auburn minus all storage release"),Sheet1!$DA142)</f>
        <v>2110</v>
      </c>
    </row>
    <row r="145" spans="1:243" x14ac:dyDescent="0.25">
      <c r="A145" s="553" t="s">
        <v>3</v>
      </c>
      <c r="B145" s="531">
        <v>42869</v>
      </c>
      <c r="C145" s="536">
        <v>0</v>
      </c>
      <c r="D145" s="506">
        <f t="shared" si="371"/>
        <v>300</v>
      </c>
      <c r="E145" s="506">
        <f t="shared" si="372"/>
        <v>250</v>
      </c>
      <c r="F145" s="506">
        <v>250</v>
      </c>
      <c r="G145" s="535">
        <f>DR145+Sheet1!CZ143</f>
        <v>1532.4760463943512</v>
      </c>
      <c r="H145" s="1074">
        <f t="shared" si="405"/>
        <v>772.41349283730858</v>
      </c>
      <c r="I145" s="534">
        <f>IF(Sheet1!DA143&gt;=E145,(Sheet1!DA143-E145+P145)*CFStoMGD,0)</f>
        <v>1255.6129764479999</v>
      </c>
      <c r="J145" s="995">
        <f>IF(Sheet1!DB143&gt;=D145,(Sheet1!DB143-D145+P145)*CFStoMGD,0)</f>
        <v>816.06097644799991</v>
      </c>
      <c r="K145" s="818">
        <f t="shared" si="406"/>
        <v>64.64</v>
      </c>
      <c r="L145" s="535">
        <f>Sheet1!AA143+Sheet1!AB143-Sheet1!L143+(Sheet1!DA143-F145)*CFStoMGD-S145-T145-U145</f>
        <v>1190.9739999999997</v>
      </c>
      <c r="M145" s="535">
        <f t="shared" si="309"/>
        <v>1010.4043667170948</v>
      </c>
      <c r="N145" s="824">
        <f>IF(Sheet1!DA143&gt;=F145,MIN(113*CFStoMGD,MIN(MAX(L145,0),MAX(M145,0))),0)</f>
        <v>73.043199999999999</v>
      </c>
      <c r="O145" s="538">
        <f>Sheet1!AA143+Sheet1!AB143</f>
        <v>53.31</v>
      </c>
      <c r="P145" s="538">
        <f t="shared" si="310"/>
        <v>82.470570000000009</v>
      </c>
      <c r="Q145" s="812">
        <f t="shared" si="407"/>
        <v>41.33</v>
      </c>
      <c r="R145" s="812">
        <f t="shared" si="373"/>
        <v>11.950135327635328</v>
      </c>
      <c r="S145" s="812">
        <f t="shared" si="374"/>
        <v>11.98</v>
      </c>
      <c r="T145" s="812">
        <f t="shared" si="375"/>
        <v>52.66</v>
      </c>
      <c r="U145" s="812">
        <f t="shared" si="408"/>
        <v>0</v>
      </c>
      <c r="V145" s="812"/>
      <c r="W145" s="812">
        <f t="shared" si="376"/>
        <v>52.689864672364671</v>
      </c>
      <c r="X145" s="812">
        <f t="shared" si="377"/>
        <v>64.64</v>
      </c>
      <c r="Y145" s="812" t="str">
        <f t="shared" si="378"/>
        <v>FALSE</v>
      </c>
      <c r="Z145" s="812">
        <f t="shared" si="379"/>
        <v>53.31</v>
      </c>
      <c r="AA145" s="812">
        <f t="shared" si="380"/>
        <v>53.31</v>
      </c>
      <c r="AB145" s="1059">
        <f t="shared" si="409"/>
        <v>63.937509999999996</v>
      </c>
      <c r="AC145" s="538">
        <f>Sheet1!Y143*MGDtoCFS</f>
        <v>39.757899999999999</v>
      </c>
      <c r="AD145" s="538">
        <f>Sheet1!Z143*MGDtoCFS</f>
        <v>43.161299999999997</v>
      </c>
      <c r="AE145" s="538">
        <f>Sheet1!AA143*MGDtoCFS</f>
        <v>39.139099999999999</v>
      </c>
      <c r="AF145" s="538">
        <f>Sheet1!AB143*MGDtoCFS</f>
        <v>43.331470000000003</v>
      </c>
      <c r="AG145" s="538">
        <f>Sheet1!L143*MGDtoCFS</f>
        <v>0</v>
      </c>
      <c r="AH145" s="521">
        <f t="shared" si="311"/>
        <v>0</v>
      </c>
      <c r="AI145" s="1059">
        <f t="shared" si="312"/>
        <v>0</v>
      </c>
      <c r="AJ145" s="535">
        <f t="shared" si="313"/>
        <v>52.689864672364671</v>
      </c>
      <c r="AK145" s="535">
        <f t="shared" si="314"/>
        <v>81.511220648148139</v>
      </c>
      <c r="AL145" s="535">
        <f>(VLOOKUP(Sheet1!DC143,hhdcap_wcm,4)-(((VLOOKUP(Sheet1!DC143,hhdcap_wcm,3)-Sheet1!DC143)/(VLOOKUP(Sheet1!DC143,hhdcap_wcm,3)-VLOOKUP(Sheet1!DC143,hhdcap_wcm,1)))*(VLOOKUP(Sheet1!DC143,hhdcap_wcm,4)-VLOOKUP(Sheet1!DC143,hhdcap_wcm,2))))</f>
        <v>39982.200000099765</v>
      </c>
      <c r="AM145" s="535">
        <f t="shared" si="315"/>
        <v>-133.90000000000146</v>
      </c>
      <c r="AN145" s="1035">
        <f t="shared" si="316"/>
        <v>4737.0256900311833</v>
      </c>
      <c r="AO145" s="535">
        <f t="shared" si="317"/>
        <v>14533.19481701567</v>
      </c>
      <c r="AP145" s="535">
        <f>Sheet1!BA143+Sheet1!BB143+Sheet1!BN143+CD145</f>
        <v>16.100000000000001</v>
      </c>
      <c r="AQ145" s="535">
        <f>Sheet1!BN143+(DO145*Sheet1!BN143)</f>
        <v>16.059864672364675</v>
      </c>
      <c r="AR145" s="535">
        <f>Sheet1!BA143+CD145</f>
        <v>0</v>
      </c>
      <c r="AS145" s="535">
        <f>Sheet1!BA143+Sheet1!BB143+CD145</f>
        <v>0</v>
      </c>
      <c r="AT145" s="649">
        <f>0</f>
        <v>0</v>
      </c>
      <c r="AU145" s="535">
        <f>IF(EB145&lt;K145,0,MAX(Sheet1!AA143+AQ145-15/36*K145-N145,Sheet1!EH143,0))</f>
        <v>0</v>
      </c>
      <c r="AV145" s="535">
        <f>IF(OR(B145&gt;=GD145,B145&lt;GC145),0,15/36*K145-MAX(0,64.6-(137.6-(Sheet1!AA143+Sheet1!AB143))))</f>
        <v>26.933333333333334</v>
      </c>
      <c r="AW145" s="1029"/>
      <c r="AX145" s="649"/>
      <c r="AY145" s="649">
        <f t="shared" si="410"/>
        <v>0</v>
      </c>
      <c r="AZ145" s="649">
        <f t="shared" si="411"/>
        <v>0</v>
      </c>
      <c r="BA145" s="1059">
        <f t="shared" si="412"/>
        <v>0</v>
      </c>
      <c r="BB145" s="1019">
        <f t="shared" si="318"/>
        <v>2370.133333333335</v>
      </c>
      <c r="BC145" s="1041">
        <f t="shared" si="413"/>
        <v>26.933333333333334</v>
      </c>
      <c r="BD145" s="1019">
        <f ca="1">IF(B145&gt;Summary!$A$1,#N/A,BB145*MGtoAF)</f>
        <v>7271.5690666666724</v>
      </c>
      <c r="BE145" s="535">
        <f>Sheet1!BG143+Sheet1!BH143+Sheet1!BI143-BM145</f>
        <v>1.01</v>
      </c>
      <c r="BF145" s="535">
        <f t="shared" si="319"/>
        <v>1.0074821937321938</v>
      </c>
      <c r="BG145" s="535">
        <f>IF(Sheet1!EP143="FM",BM145,0)</f>
        <v>0</v>
      </c>
      <c r="BH145" s="535">
        <f t="shared" si="320"/>
        <v>0</v>
      </c>
      <c r="BI145" s="535">
        <f>IF(Sheet1!EP143="OTHER",BM145,0)</f>
        <v>0</v>
      </c>
      <c r="BJ145" s="535">
        <f t="shared" si="321"/>
        <v>0</v>
      </c>
      <c r="BK145" s="535">
        <f t="shared" si="322"/>
        <v>1.01</v>
      </c>
      <c r="BL145" s="535">
        <f t="shared" si="323"/>
        <v>1.0074821937321938</v>
      </c>
      <c r="BM145" s="535">
        <f>IF(OR(Sheet1!EP143="FM", Sheet1!EP143="OTHER"),SUM(Sheet1!BG143:'Sheet1'!BI143),0)</f>
        <v>0</v>
      </c>
      <c r="BN145" s="521">
        <f>IF(AND($B145&gt;=$FV145,$B145&lt;=$FW145),MAX(BF145,Sheet1!EI143,0),MAX(BF145-(7/36)*$K145,0))</f>
        <v>0</v>
      </c>
      <c r="BO145" s="535">
        <f t="shared" si="324"/>
        <v>11.561406695156695</v>
      </c>
      <c r="BP145" s="521">
        <f t="shared" si="325"/>
        <v>1.0074821937321938</v>
      </c>
      <c r="BQ145" s="521">
        <f>IF(AND($O145&gt;0,Sheet1!EM143=1),(1-($O145-Sheet1!$L143)/$O145)*BL145,0)</f>
        <v>0</v>
      </c>
      <c r="BR145" s="521">
        <f>IF(AND(Sheet1!$L143=0,Sheet1!$L142=0, Calculation!BK145&lt;Sheet1!$EI143-0.1,Sheet1!$EI143=Sheet1!$EI142,Sheet1!$EI143=Sheet1!$EI144),BL145-BQ145,BL145-BQ145)</f>
        <v>1.0074821937321938</v>
      </c>
      <c r="BS145" s="1035" t="str">
        <f t="shared" si="414"/>
        <v/>
      </c>
      <c r="BT145" s="1035">
        <f t="shared" si="415"/>
        <v>12.568888888888889</v>
      </c>
      <c r="BU145" s="535">
        <f t="shared" si="326"/>
        <v>1016.6187887633592</v>
      </c>
      <c r="BV145" s="535"/>
      <c r="BW145" s="535">
        <f ca="1">IF(B145&gt;Summary!$A$1,#N/A,BU145*MGtoAF)</f>
        <v>3118.9864439259864</v>
      </c>
      <c r="BX145" s="535">
        <f>Sheet1!BC143+Sheet1!BD143+Sheet1!BE143+Sheet1!BF143-CG145-CH145</f>
        <v>4.49</v>
      </c>
      <c r="BY145" s="535">
        <f t="shared" si="327"/>
        <v>4.4788069800569801</v>
      </c>
      <c r="BZ145" s="535">
        <f>IF(Sheet1!EQ143="FM",CH145,0)</f>
        <v>0</v>
      </c>
      <c r="CA145" s="535">
        <f t="shared" si="328"/>
        <v>0</v>
      </c>
      <c r="CB145" s="535">
        <f>IF(Sheet1!EQ143="OTHER",CH145,0)</f>
        <v>0</v>
      </c>
      <c r="CC145" s="535">
        <f t="shared" si="329"/>
        <v>0</v>
      </c>
      <c r="CD145" s="535">
        <f t="shared" si="330"/>
        <v>0</v>
      </c>
      <c r="CE145" s="535">
        <f t="shared" si="331"/>
        <v>4.49</v>
      </c>
      <c r="CF145" s="535">
        <f t="shared" si="332"/>
        <v>4.4788069800569801</v>
      </c>
      <c r="CG145" s="535">
        <f>IF(Sheet1!EQ143="CWA",SUM(Sheet1!BC143:'Sheet1'!BF143),0)</f>
        <v>0</v>
      </c>
      <c r="CH145" s="535">
        <f>IF(OR(Sheet1!EQ143="FM", Sheet1!EQ143="OTHER"),SUM(Sheet1!BC143:'Sheet1'!BF143),0)</f>
        <v>0</v>
      </c>
      <c r="CI145" s="521">
        <f>IF(AND($B145&gt;=$FV145,$B145&lt;=$FW145),MAX(CF145,Sheet1!EJ143,0),MAX(CF145-(7/36)*$K145,0))</f>
        <v>0</v>
      </c>
      <c r="CJ145" s="535">
        <f t="shared" si="333"/>
        <v>8.0900819088319089</v>
      </c>
      <c r="CK145" s="521">
        <f t="shared" si="334"/>
        <v>4.4788069800569801</v>
      </c>
      <c r="CL145" s="521">
        <f>IF(AND($O145&gt;0,Sheet1!EN143=1),(1-($O145-Sheet1!$L143)/$O145)*CF145,0)</f>
        <v>0</v>
      </c>
      <c r="CM145" s="521">
        <f>IF(AND(Sheet1!$L143=0,Sheet1!$L142=0, Calculation!CE145&lt;Sheet1!EJ143-0.1,Sheet1!EJ143=Sheet1!EJ142,Sheet1!EJ143=Sheet1!EJ144),CF145-CL145,CF145-CL145)</f>
        <v>4.4788069800569801</v>
      </c>
      <c r="CN145" s="1040" t="str">
        <f t="shared" si="416"/>
        <v/>
      </c>
      <c r="CO145" s="1035">
        <f t="shared" si="417"/>
        <v>12.568888888888889</v>
      </c>
      <c r="CP145" s="535">
        <f t="shared" si="335"/>
        <v>815.326993595555</v>
      </c>
      <c r="CQ145" s="535"/>
      <c r="CR145" s="535">
        <f ca="1">IF(B145&gt;Summary!$A$1,#N/A,CP145*MGtoAF)</f>
        <v>2501.4232163511629</v>
      </c>
      <c r="CS145" s="535">
        <f>Sheet1!BK143+Sheet1!BL143+Sheet1!BM143-Sheet1!ER143-DA145</f>
        <v>6.48</v>
      </c>
      <c r="CT145" s="535">
        <f t="shared" si="336"/>
        <v>6.4638461538461538</v>
      </c>
      <c r="CU145" s="535">
        <f>IF(Sheet1!ER143="FM",DA145,0)</f>
        <v>0</v>
      </c>
      <c r="CV145" s="535">
        <f t="shared" si="337"/>
        <v>0</v>
      </c>
      <c r="CW145" s="535">
        <f>IF(Sheet1!ER143="OTHER",DA145,0)</f>
        <v>0</v>
      </c>
      <c r="CX145" s="535">
        <f t="shared" si="338"/>
        <v>0</v>
      </c>
      <c r="CY145" s="535">
        <f t="shared" si="339"/>
        <v>6.48</v>
      </c>
      <c r="CZ145" s="535">
        <f t="shared" si="340"/>
        <v>6.4638461538461538</v>
      </c>
      <c r="DA145" s="535">
        <f>IF(OR(Sheet1!ER143="FM", Sheet1!ER143="OTHER"),SUM(Sheet1!BK143:'Sheet1'!BM143),0)</f>
        <v>0</v>
      </c>
      <c r="DB145" s="1011">
        <f>IF(AND($B145&gt;=$FV145,$B145&lt;=$FW145),MAX($CT145,Sheet1!EK143,0),MAX($CT145-(7/36)*$K145,0))</f>
        <v>0</v>
      </c>
      <c r="DC145" s="1012">
        <f t="shared" si="341"/>
        <v>6.1050427350427352</v>
      </c>
      <c r="DD145" s="1011">
        <f t="shared" si="342"/>
        <v>6.4638461538461538</v>
      </c>
      <c r="DE145" s="521">
        <f>IF(AND($O145&gt;0,Sheet1!EO143=1),(1-($O145-Sheet1!$L143)/$O145)*CZ145,0)</f>
        <v>0</v>
      </c>
      <c r="DF145" s="521">
        <f>IF(AND(Sheet1!$L143=0,Sheet1!$L142=0, Calculation!CY145&lt;Sheet1!$EK143-0.1,Sheet1!$EK143=Sheet1!$EK142,Sheet1!$EK143=Sheet1!$EK144),CZ145-DE145,CZ145-DE145)</f>
        <v>6.4638461538461538</v>
      </c>
      <c r="DG145" s="1040">
        <f t="shared" si="418"/>
        <v>12.568888888888889</v>
      </c>
      <c r="DH145" s="649">
        <f t="shared" si="343"/>
        <v>11.98</v>
      </c>
      <c r="DI145" s="535">
        <f t="shared" si="344"/>
        <v>534.94657433893417</v>
      </c>
      <c r="DJ145" s="649">
        <f t="shared" si="345"/>
        <v>11.950135327635328</v>
      </c>
      <c r="DK145" s="535">
        <f ca="1">IF(B145&gt;Summary!$A$1,#N/A,DI145*MGtoAF)</f>
        <v>1641.21609007185</v>
      </c>
      <c r="DL145" s="649">
        <f t="shared" si="346"/>
        <v>11.98</v>
      </c>
      <c r="DM145" s="535">
        <f t="shared" si="347"/>
        <v>28.080000000000002</v>
      </c>
      <c r="DN145" s="535">
        <f>Sheet1!AB143-DM145</f>
        <v>-7.0000000000000284E-2</v>
      </c>
      <c r="DO145" s="743">
        <f t="shared" si="348"/>
        <v>-2.4928774928775028E-3</v>
      </c>
      <c r="DP145" s="535">
        <f>(VLOOKUP(Sheet1!DC143,hhdcap_wcm,4)-(((VLOOKUP(Sheet1!DC143,hhdcap_wcm,3)-Sheet1!DC143)/(VLOOKUP(Sheet1!DC143,hhdcap_wcm,3)-VLOOKUP(Sheet1!DC143,hhdcap_wcm,1)))*(VLOOKUP(Sheet1!DC143,hhdcap_wcm,4)-VLOOKUP(Sheet1!DC143,hhdcap_wcm,2))))</f>
        <v>39982.200000099765</v>
      </c>
      <c r="DQ145" s="535">
        <f t="shared" si="349"/>
        <v>-133.90000000000146</v>
      </c>
      <c r="DR145" s="535">
        <f t="shared" si="350"/>
        <v>-67.523953605648728</v>
      </c>
      <c r="DS145" s="535">
        <f>Sheet1!EA143*AFtoMG</f>
        <v>0</v>
      </c>
      <c r="DT145" s="535">
        <f>Sheet1!EB143*AFtoMG</f>
        <v>0</v>
      </c>
      <c r="DU145" s="535">
        <f>Sheet1!EC143*AFtoMG</f>
        <v>0</v>
      </c>
      <c r="DV145" s="535">
        <f>Sheet1!ED143*AFtoMG</f>
        <v>0</v>
      </c>
      <c r="DW145" s="535">
        <f t="shared" si="351"/>
        <v>0</v>
      </c>
      <c r="DX145" s="535">
        <f t="shared" si="352"/>
        <v>0</v>
      </c>
      <c r="DY145" s="535">
        <f t="shared" si="353"/>
        <v>4737.0256900311833</v>
      </c>
      <c r="DZ145" s="535">
        <f t="shared" si="354"/>
        <v>14533.19481701567</v>
      </c>
      <c r="EA145" s="535"/>
      <c r="EB145" s="521">
        <f>IF(OR(B145&lt;FV145,B145&gt;FW145),(MIN(BF145+BY145+CT145+MAX(Sheet1!AA143+AQ145-73,0),K145)),0)</f>
        <v>11.950135327635328</v>
      </c>
      <c r="EC145" s="535"/>
      <c r="ED145" s="535">
        <f t="shared" si="355"/>
        <v>11.950135327635328</v>
      </c>
      <c r="EE145" s="535"/>
      <c r="EF145" s="535">
        <f>Sheet1!EH143+Sheet1!EI143+Sheet1!EJ143+Sheet1!EK143</f>
        <v>12</v>
      </c>
      <c r="EG145" s="1019">
        <f t="shared" si="419"/>
        <v>18.564</v>
      </c>
      <c r="EH145" s="521">
        <f t="shared" si="356"/>
        <v>0</v>
      </c>
      <c r="EI145" s="535">
        <f>IF(Sheet1!ET143=1,SUM('Calculations II'!AT145:BA145)+'Calculations II'!BC145+Sheet1!BV143+'Calculations II'!BE145+AP145,'Calculations II'!BK145)</f>
        <v>45.027562672364674</v>
      </c>
      <c r="EJ145" s="535">
        <f ca="1">EI145+'Calculations II'!D145+'Calculations II'!E145+'Calculations II'!O145</f>
        <v>47.514503799316884</v>
      </c>
      <c r="EK145" s="535"/>
      <c r="EL145" s="535"/>
      <c r="EM145" s="535">
        <f t="shared" si="357"/>
        <v>42869</v>
      </c>
      <c r="EN145" s="535">
        <f t="shared" si="358"/>
        <v>52.689864672364671</v>
      </c>
      <c r="EO145" s="535">
        <f t="shared" si="359"/>
        <v>81.511220648148139</v>
      </c>
      <c r="EP145" s="535">
        <v>0</v>
      </c>
      <c r="EQ145" s="535">
        <v>0</v>
      </c>
      <c r="ER145" s="535">
        <v>0</v>
      </c>
      <c r="ES145" s="521">
        <f t="shared" si="381"/>
        <v>-1.6607408970634154</v>
      </c>
      <c r="ET145" s="535">
        <f>-(VLOOKUP(Sheet1!BQ143,Lookup!$O$4:$Q$262,2)-VLOOKUP(Sheet1!BQ142,Lookup!$O$4:$Q$262,2))/1000000</f>
        <v>-0.83023591844844069</v>
      </c>
      <c r="EU145" s="535">
        <f>-(VLOOKUP(Sheet1!BR143,Lookup!$O$4:$Q$262,3)-VLOOKUP(Sheet1!BR142,Lookup!$O$4:$Q$262,3))/1000000</f>
        <v>-0.83050497861497474</v>
      </c>
      <c r="EV145" s="535"/>
      <c r="EW145" s="535"/>
      <c r="EX145" s="535"/>
      <c r="EY145" s="535"/>
      <c r="EZ145" s="535"/>
      <c r="FA145" s="535"/>
      <c r="FB145" s="535"/>
      <c r="FC145" s="535"/>
      <c r="FD145" s="567" t="e">
        <f t="shared" si="360"/>
        <v>#N/A</v>
      </c>
      <c r="FE145" s="567" t="e">
        <f t="shared" si="361"/>
        <v>#N/A</v>
      </c>
      <c r="FF145" s="568" t="e">
        <f t="shared" si="362"/>
        <v>#N/A</v>
      </c>
      <c r="FG145" s="569" t="s">
        <v>656</v>
      </c>
      <c r="FH145" s="569" t="s">
        <v>656</v>
      </c>
      <c r="FI145" s="567" t="e">
        <v>#N/A</v>
      </c>
      <c r="FJ145" s="567" t="e">
        <v>#N/A</v>
      </c>
      <c r="FK145" s="535"/>
      <c r="FL145" s="1015">
        <v>0</v>
      </c>
      <c r="FM145" s="535"/>
      <c r="FN145" s="535"/>
      <c r="FO145" s="535">
        <f>O145+((Sheet1!CS143)*GPMtoMGD)</f>
        <v>58.392480000000006</v>
      </c>
      <c r="FP145" s="535">
        <f>IF(Sheet1!AA143+AQ145&lt;=Calculation!N145,AQ145,Calculation!N145-Sheet1!AA143)</f>
        <v>16.059864672364675</v>
      </c>
      <c r="FQ145" s="535">
        <f>(Sheet1!BP143+Sheet1!BO143)/694.4</f>
        <v>1.6559619815668205</v>
      </c>
      <c r="FR145" s="541"/>
      <c r="FS145" s="541"/>
      <c r="FT145" s="541"/>
      <c r="FU145" s="541"/>
      <c r="FV145" s="1109">
        <f t="shared" si="382"/>
        <v>42918</v>
      </c>
      <c r="FW145" s="1109">
        <f t="shared" si="383"/>
        <v>43027</v>
      </c>
      <c r="FX145" s="541"/>
      <c r="FY145" s="541">
        <f>Sheet1!DA143-Sheet1!CZ143-Sheet1!AE143</f>
        <v>427.52942999999999</v>
      </c>
      <c r="FZ145" s="535">
        <f t="shared" si="420"/>
        <v>0.27897951880285643</v>
      </c>
      <c r="GA145" s="535"/>
      <c r="GB145" s="535" t="str">
        <f t="shared" si="384"/>
        <v>n</v>
      </c>
      <c r="GC145" s="539">
        <f t="shared" si="385"/>
        <v>42782</v>
      </c>
      <c r="GD145" s="1109">
        <f t="shared" si="386"/>
        <v>42904</v>
      </c>
      <c r="GE145" s="535">
        <f t="shared" si="404"/>
        <v>6520</v>
      </c>
      <c r="GF145" s="1109">
        <f t="shared" si="387"/>
        <v>42909</v>
      </c>
      <c r="GG145" s="535">
        <f t="shared" si="308"/>
        <v>3260</v>
      </c>
      <c r="GH145" s="539">
        <f t="shared" si="388"/>
        <v>43040</v>
      </c>
      <c r="GJ145" s="521">
        <f t="shared" si="389"/>
        <v>0</v>
      </c>
      <c r="GK145" s="535" t="str">
        <f t="shared" si="363"/>
        <v/>
      </c>
      <c r="GL145" s="535">
        <f t="shared" si="390"/>
        <v>0</v>
      </c>
      <c r="GM145" s="535" t="str">
        <f t="shared" si="391"/>
        <v/>
      </c>
      <c r="GN145" s="535">
        <f>IF(GK145="P",Lookup!$M$12,IF(GK145="PP",Lookup!$M$13,IF(GK145="PPP",Lookup!$M$14,IF(GK145="T",Lookup!$M$15,IF(GK145="TP",Lookup!$M$16,IF(GK145="TPP",Lookup!$M$17,IF(GK145="TPPP",Lookup!$M$18,0)))))))*GJ145</f>
        <v>0</v>
      </c>
      <c r="GO145" s="535">
        <f t="shared" si="392"/>
        <v>0</v>
      </c>
      <c r="GP145" s="535">
        <f t="shared" si="364"/>
        <v>7271.5690666666724</v>
      </c>
      <c r="GQ145" s="535">
        <f t="shared" si="403"/>
        <v>2370.133333333335</v>
      </c>
      <c r="GR145" s="535"/>
      <c r="GS145" s="535">
        <f t="shared" si="393"/>
        <v>0</v>
      </c>
      <c r="GT145" s="535" t="str">
        <f t="shared" si="394"/>
        <v/>
      </c>
      <c r="GU145" s="535">
        <f>IF(GK145="P",Lookup!$N$12,IF(GK145="PP",Lookup!$N$13,IF(GK145="PPP",Lookup!$N$14,IF(GK145="T",Lookup!$N$15,IF(GK145="TP",Lookup!$N$16,IF(GK145="TPP",Lookup!$N$17,IF(GK145="TPPP",Lookup!$N$18,0)))))))*GJ145</f>
        <v>0</v>
      </c>
      <c r="GV145" s="535">
        <f t="shared" si="395"/>
        <v>0</v>
      </c>
      <c r="GW145" s="535">
        <f t="shared" si="365"/>
        <v>3118.9864439259864</v>
      </c>
      <c r="GX145" s="535">
        <f t="shared" si="400"/>
        <v>1016.6187887633592</v>
      </c>
      <c r="GY145" s="535"/>
      <c r="GZ145" s="535">
        <f t="shared" si="396"/>
        <v>0</v>
      </c>
      <c r="HA145" s="535" t="str">
        <f t="shared" si="397"/>
        <v/>
      </c>
      <c r="HB145" s="535">
        <f>IF(GK145="P",Lookup!$N$12,IF(GK145="PP",Lookup!$N$13,IF(GK145="PPP",Lookup!$N$14,IF(GK145="T",Lookup!$N$15,IF(GK145="TP",Lookup!$N$16,IF(GK145="TPP",Lookup!$N$17,IF(GK145="TPPP",Lookup!$N$18,0)))))))*GJ145</f>
        <v>0</v>
      </c>
      <c r="HC145" s="521">
        <f t="shared" si="366"/>
        <v>0</v>
      </c>
      <c r="HD145" s="535">
        <f t="shared" si="367"/>
        <v>2501.4232163511629</v>
      </c>
      <c r="HE145" s="535">
        <f t="shared" si="401"/>
        <v>815.326993595555</v>
      </c>
      <c r="HF145" s="535"/>
      <c r="HG145" s="535">
        <f t="shared" si="398"/>
        <v>0</v>
      </c>
      <c r="HH145" s="535" t="str">
        <f t="shared" si="399"/>
        <v/>
      </c>
      <c r="HI145" s="535">
        <f>IF(GK145="P",Lookup!$N$12,IF(GK145="PP",Lookup!$N$13,IF(GK145="PPP",Lookup!$N$14,IF(GK145="T",Lookup!$N$15,IF(GK145="TP",Lookup!$N$16,IF(GK145="TPP",Lookup!$N$17,IF(GK145="TPPP",Lookup!$N$18,0)))))))*GJ145</f>
        <v>0</v>
      </c>
      <c r="HJ145" s="521">
        <f t="shared" si="368"/>
        <v>0</v>
      </c>
      <c r="HK145" s="535">
        <f t="shared" si="369"/>
        <v>1641.21609007185</v>
      </c>
      <c r="HL145" s="535">
        <f t="shared" si="402"/>
        <v>534.94657433893417</v>
      </c>
      <c r="HM145" s="535"/>
      <c r="HN145" s="541"/>
      <c r="HO145" s="541"/>
      <c r="HP145" s="541"/>
      <c r="HQ145" s="541">
        <f>IF(AND(B145&gt;=$FV$4,B145&lt;=$FW$4),MAX(110/1.02+$HQ$6+MIN(113/1.02,G145),IF($HV$6-(Sheet1!DA143-Sheet1!DB143)+MIN(113/1.02,G145)&lt;G145+FL145,$HV$6-(Sheet1!DA143-Sheet1!DB143)+MIN(113/1.02,G145),G145+FL145)),MIN(110/1.02+$HQ$6+113/1.02,G145))</f>
        <v>218.62745098039215</v>
      </c>
      <c r="HR145" s="541">
        <f t="shared" si="421"/>
        <v>223</v>
      </c>
      <c r="HS145" s="541">
        <f>HR145+(Sheet1!DA143-Sheet1!DB143)</f>
        <v>853</v>
      </c>
      <c r="HT145" s="541">
        <f t="shared" si="422"/>
        <v>63.937509999999996</v>
      </c>
      <c r="HU145" s="541">
        <f t="shared" si="423"/>
        <v>789.06249000000003</v>
      </c>
      <c r="HV145" s="541">
        <f t="shared" si="424"/>
        <v>0</v>
      </c>
      <c r="HW145" s="533" t="str">
        <f t="shared" si="425"/>
        <v/>
      </c>
      <c r="HX145" s="541">
        <f t="shared" si="426"/>
        <v>1381.372549019608</v>
      </c>
      <c r="HY145" s="541">
        <f>Sheet1!CZ143</f>
        <v>1600</v>
      </c>
      <c r="HZ145" s="541">
        <f t="shared" si="427"/>
        <v>0</v>
      </c>
      <c r="IA145" s="541">
        <f t="shared" si="428"/>
        <v>63.937509999999996</v>
      </c>
      <c r="IB145" s="541">
        <f t="shared" si="429"/>
        <v>1600</v>
      </c>
      <c r="IC145" s="1019" t="str">
        <f t="shared" si="430"/>
        <v/>
      </c>
      <c r="ID145" s="541">
        <f t="shared" si="431"/>
        <v>1536.06249</v>
      </c>
      <c r="IE145" s="541">
        <f>Sheet1!DB143</f>
        <v>1480</v>
      </c>
      <c r="IF145" s="533">
        <f>Sheet1!DA143</f>
        <v>2110</v>
      </c>
      <c r="IH145" s="541">
        <f>IF(AND($B145&gt;=$GC145,$B145&lt;=$GH145,$DR145&lt;0)+N("only adjusted when pool is drawn down during storage season"),Sheet1!$DB143+$DR145+N("Palmer minus all storage release"),Sheet1!$DB143)</f>
        <v>1412.4760463943512</v>
      </c>
      <c r="II145" s="541">
        <f>IF(AND($B145&gt;=$GC145,$B145&lt;=$GH145,$DR145&lt;0)+N("only adjusted when pool is drawn down during storage season"),Sheet1!$DA143+$DR145+N("Auburn minus all storage release"),Sheet1!$DA143)</f>
        <v>2042.4760463943512</v>
      </c>
    </row>
    <row r="146" spans="1:243" x14ac:dyDescent="0.25">
      <c r="A146" s="553" t="s">
        <v>4</v>
      </c>
      <c r="B146" s="531">
        <v>42870</v>
      </c>
      <c r="C146" s="536">
        <v>0</v>
      </c>
      <c r="D146" s="506">
        <f t="shared" si="371"/>
        <v>300</v>
      </c>
      <c r="E146" s="506">
        <f t="shared" si="372"/>
        <v>250</v>
      </c>
      <c r="F146" s="506">
        <v>250</v>
      </c>
      <c r="G146" s="535">
        <f>DR146+Sheet1!CZ144</f>
        <v>1215.8058497226446</v>
      </c>
      <c r="H146" s="1074">
        <f t="shared" si="405"/>
        <v>606.10547290871739</v>
      </c>
      <c r="I146" s="534">
        <f>IF(Sheet1!DA144&gt;=E146,(Sheet1!DA144-E146+P146)*CFStoMGD,0)</f>
        <v>1086.506171648</v>
      </c>
      <c r="J146" s="995">
        <f>IF(Sheet1!DB144&gt;=D146,(Sheet1!DB144-D146+P146)*CFStoMGD,0)</f>
        <v>609.46297164799989</v>
      </c>
      <c r="K146" s="818">
        <f t="shared" si="406"/>
        <v>64.64</v>
      </c>
      <c r="L146" s="535">
        <f>Sheet1!AA144+Sheet1!AB144-Sheet1!L144+(Sheet1!DA144-F146)*CFStoMGD-S146-T146-U146</f>
        <v>1021.8672</v>
      </c>
      <c r="M146" s="535">
        <f t="shared" si="309"/>
        <v>801.61483928593179</v>
      </c>
      <c r="N146" s="824">
        <f>IF(Sheet1!DA144&gt;=F146,MIN(113*CFStoMGD,MIN(MAX(L146,0),MAX(M146,0))),0)</f>
        <v>73.043199999999999</v>
      </c>
      <c r="O146" s="538">
        <f>Sheet1!AA144+Sheet1!AB144</f>
        <v>53.56</v>
      </c>
      <c r="P146" s="538">
        <f t="shared" si="310"/>
        <v>82.857319999999987</v>
      </c>
      <c r="Q146" s="812">
        <f t="shared" si="407"/>
        <v>42.010000000000005</v>
      </c>
      <c r="R146" s="812">
        <f t="shared" si="373"/>
        <v>11.529338103756711</v>
      </c>
      <c r="S146" s="812">
        <f t="shared" si="374"/>
        <v>11.549999999999999</v>
      </c>
      <c r="T146" s="812">
        <f t="shared" si="375"/>
        <v>53.09</v>
      </c>
      <c r="U146" s="812">
        <f t="shared" si="408"/>
        <v>0</v>
      </c>
      <c r="V146" s="812"/>
      <c r="W146" s="812">
        <f t="shared" si="376"/>
        <v>53.110661896243286</v>
      </c>
      <c r="X146" s="812">
        <f t="shared" si="377"/>
        <v>64.64</v>
      </c>
      <c r="Y146" s="812" t="str">
        <f t="shared" si="378"/>
        <v>FALSE</v>
      </c>
      <c r="Z146" s="812">
        <f t="shared" si="379"/>
        <v>53.56</v>
      </c>
      <c r="AA146" s="812">
        <f t="shared" si="380"/>
        <v>53.56</v>
      </c>
      <c r="AB146" s="1059">
        <f t="shared" si="409"/>
        <v>64.989470000000011</v>
      </c>
      <c r="AC146" s="538">
        <f>Sheet1!Y144*MGDtoCFS</f>
        <v>39.139099999999999</v>
      </c>
      <c r="AD146" s="538">
        <f>Sheet1!Z144*MGDtoCFS</f>
        <v>43.161299999999997</v>
      </c>
      <c r="AE146" s="538">
        <f>Sheet1!AA144*MGDtoCFS</f>
        <v>39.696019999999997</v>
      </c>
      <c r="AF146" s="538">
        <f>Sheet1!AB144*MGDtoCFS</f>
        <v>43.161299999999997</v>
      </c>
      <c r="AG146" s="538">
        <f>Sheet1!L144*MGDtoCFS</f>
        <v>0</v>
      </c>
      <c r="AH146" s="521">
        <f t="shared" si="311"/>
        <v>0</v>
      </c>
      <c r="AI146" s="1059">
        <f t="shared" si="312"/>
        <v>0</v>
      </c>
      <c r="AJ146" s="535">
        <f t="shared" si="313"/>
        <v>53.110661896243286</v>
      </c>
      <c r="AK146" s="535">
        <f t="shared" si="314"/>
        <v>82.162193953488355</v>
      </c>
      <c r="AL146" s="535">
        <f>(VLOOKUP(Sheet1!DC144,hhdcap_wcm,4)-(((VLOOKUP(Sheet1!DC144,hhdcap_wcm,3)-Sheet1!DC144)/(VLOOKUP(Sheet1!DC144,hhdcap_wcm,3)-VLOOKUP(Sheet1!DC144,hhdcap_wcm,1)))*(VLOOKUP(Sheet1!DC144,hhdcap_wcm,4)-VLOOKUP(Sheet1!DC144,hhdcap_wcm,2))))</f>
        <v>39971.900000099769</v>
      </c>
      <c r="AM146" s="535">
        <f t="shared" si="315"/>
        <v>-10.299999999995634</v>
      </c>
      <c r="AN146" s="1035">
        <f t="shared" si="316"/>
        <v>4790.1363519274273</v>
      </c>
      <c r="AO146" s="535">
        <f t="shared" si="317"/>
        <v>14696.138327713348</v>
      </c>
      <c r="AP146" s="535">
        <f>Sheet1!BA144+Sheet1!BB144+Sheet1!BN144+CD146</f>
        <v>16.399999999999999</v>
      </c>
      <c r="AQ146" s="535">
        <f>Sheet1!BN144+(DO146*Sheet1!BN144)</f>
        <v>16.370661896243291</v>
      </c>
      <c r="AR146" s="535">
        <f>Sheet1!BA144+CD146</f>
        <v>0</v>
      </c>
      <c r="AS146" s="535">
        <f>Sheet1!BA144+Sheet1!BB144+CD146</f>
        <v>0</v>
      </c>
      <c r="AT146" s="649">
        <f>0</f>
        <v>0</v>
      </c>
      <c r="AU146" s="535">
        <f>IF(EB146&lt;K146,0,MAX(Sheet1!AA144+AQ146-15/36*K146-N146,Sheet1!EH144,0))</f>
        <v>0</v>
      </c>
      <c r="AV146" s="535">
        <f>IF(OR(B146&gt;=GD146,B146&lt;GC146),0,15/36*K146-MAX(0,64.6-(137.6-(Sheet1!AA144+Sheet1!AB144))))</f>
        <v>26.933333333333334</v>
      </c>
      <c r="AW146" s="1029"/>
      <c r="AX146" s="649"/>
      <c r="AY146" s="649">
        <f t="shared" si="410"/>
        <v>0</v>
      </c>
      <c r="AZ146" s="649">
        <f t="shared" si="411"/>
        <v>0</v>
      </c>
      <c r="BA146" s="1059">
        <f t="shared" si="412"/>
        <v>0</v>
      </c>
      <c r="BB146" s="1019">
        <f t="shared" si="318"/>
        <v>2397.0666666666684</v>
      </c>
      <c r="BC146" s="1041">
        <f t="shared" si="413"/>
        <v>26.933333333333334</v>
      </c>
      <c r="BD146" s="1019">
        <f ca="1">IF(B146&gt;Summary!$A$1,#N/A,BB146*MGtoAF)</f>
        <v>7354.2005333333391</v>
      </c>
      <c r="BE146" s="535">
        <f>Sheet1!BG144+Sheet1!BH144+Sheet1!BI144-BM146</f>
        <v>1.01</v>
      </c>
      <c r="BF146" s="535">
        <f t="shared" si="319"/>
        <v>1.0081932021466906</v>
      </c>
      <c r="BG146" s="535">
        <f>IF(Sheet1!EP144="FM",BM146,0)</f>
        <v>0</v>
      </c>
      <c r="BH146" s="535">
        <f t="shared" si="320"/>
        <v>0</v>
      </c>
      <c r="BI146" s="535">
        <f>IF(Sheet1!EP144="OTHER",BM146,0)</f>
        <v>0</v>
      </c>
      <c r="BJ146" s="535">
        <f t="shared" si="321"/>
        <v>0</v>
      </c>
      <c r="BK146" s="535">
        <f t="shared" si="322"/>
        <v>1.01</v>
      </c>
      <c r="BL146" s="535">
        <f t="shared" si="323"/>
        <v>1.0081932021466906</v>
      </c>
      <c r="BM146" s="535">
        <f>IF(OR(Sheet1!EP144="FM", Sheet1!EP144="OTHER"),SUM(Sheet1!BG144:'Sheet1'!BI144),0)</f>
        <v>0</v>
      </c>
      <c r="BN146" s="521">
        <f>IF(AND($B146&gt;=$FV146,$B146&lt;=$FW146),MAX(BF146,Sheet1!EI144,0),MAX(BF146-(7/36)*$K146,0))</f>
        <v>0</v>
      </c>
      <c r="BO146" s="535">
        <f t="shared" si="324"/>
        <v>11.560695686742198</v>
      </c>
      <c r="BP146" s="521">
        <f t="shared" si="325"/>
        <v>1.0081932021466906</v>
      </c>
      <c r="BQ146" s="521">
        <f>IF(AND($O146&gt;0,Sheet1!EM144=1),(1-($O146-Sheet1!$L144)/$O146)*BL146,0)</f>
        <v>0</v>
      </c>
      <c r="BR146" s="521">
        <f>IF(AND(Sheet1!$L144=0,Sheet1!$L143=0, Calculation!BK146&lt;Sheet1!$EI144-0.1,Sheet1!$EI144=Sheet1!$EI143,Sheet1!$EI144=Sheet1!$EI145),BL146-BQ146,BL146-BQ146)</f>
        <v>1.0081932021466906</v>
      </c>
      <c r="BS146" s="1035" t="str">
        <f t="shared" si="414"/>
        <v/>
      </c>
      <c r="BT146" s="1035">
        <f t="shared" si="415"/>
        <v>12.568888888888889</v>
      </c>
      <c r="BU146" s="535">
        <f t="shared" si="326"/>
        <v>1028.1794844501014</v>
      </c>
      <c r="BV146" s="535"/>
      <c r="BW146" s="535">
        <f ca="1">IF(B146&gt;Summary!$A$1,#N/A,BU146*MGtoAF)</f>
        <v>3154.4546582929111</v>
      </c>
      <c r="BX146" s="535">
        <f>Sheet1!BC144+Sheet1!BD144+Sheet1!BE144+Sheet1!BF144-CG146-CH146</f>
        <v>4.07</v>
      </c>
      <c r="BY146" s="535">
        <f t="shared" si="327"/>
        <v>4.0627191413237931</v>
      </c>
      <c r="BZ146" s="535">
        <f>IF(Sheet1!EQ144="FM",CH146,0)</f>
        <v>0</v>
      </c>
      <c r="CA146" s="535">
        <f t="shared" si="328"/>
        <v>0</v>
      </c>
      <c r="CB146" s="535">
        <f>IF(Sheet1!EQ144="OTHER",CH146,0)</f>
        <v>0</v>
      </c>
      <c r="CC146" s="535">
        <f t="shared" si="329"/>
        <v>0</v>
      </c>
      <c r="CD146" s="535">
        <f t="shared" si="330"/>
        <v>0</v>
      </c>
      <c r="CE146" s="535">
        <f t="shared" si="331"/>
        <v>4.07</v>
      </c>
      <c r="CF146" s="535">
        <f t="shared" si="332"/>
        <v>4.0627191413237931</v>
      </c>
      <c r="CG146" s="535">
        <f>IF(Sheet1!EQ144="CWA",SUM(Sheet1!BC144:'Sheet1'!BF144),0)</f>
        <v>0</v>
      </c>
      <c r="CH146" s="535">
        <f>IF(OR(Sheet1!EQ144="FM", Sheet1!EQ144="OTHER"),SUM(Sheet1!BC144:'Sheet1'!BF144),0)</f>
        <v>0</v>
      </c>
      <c r="CI146" s="521">
        <f>IF(AND($B146&gt;=$FV146,$B146&lt;=$FW146),MAX(CF146,Sheet1!EJ144,0),MAX(CF146-(7/36)*$K146,0))</f>
        <v>0</v>
      </c>
      <c r="CJ146" s="535">
        <f t="shared" si="333"/>
        <v>8.5061697475650959</v>
      </c>
      <c r="CK146" s="521">
        <f t="shared" si="334"/>
        <v>4.0627191413237931</v>
      </c>
      <c r="CL146" s="521">
        <f>IF(AND($O146&gt;0,Sheet1!EN144=1),(1-($O146-Sheet1!$L144)/$O146)*CF146,0)</f>
        <v>0</v>
      </c>
      <c r="CM146" s="521">
        <f>IF(AND(Sheet1!$L144=0,Sheet1!$L143=0, Calculation!CE146&lt;Sheet1!EJ144-0.1,Sheet1!EJ144=Sheet1!EJ143,Sheet1!EJ144=Sheet1!EJ145),CF146-CL146,CF146-CL146)</f>
        <v>4.0627191413237931</v>
      </c>
      <c r="CN146" s="1040" t="str">
        <f t="shared" si="416"/>
        <v/>
      </c>
      <c r="CO146" s="1035">
        <f t="shared" si="417"/>
        <v>12.568888888888889</v>
      </c>
      <c r="CP146" s="535">
        <f t="shared" si="335"/>
        <v>823.83316334312008</v>
      </c>
      <c r="CQ146" s="535"/>
      <c r="CR146" s="535">
        <f ca="1">IF(B146&gt;Summary!$A$1,#N/A,CP146*MGtoAF)</f>
        <v>2527.5201451366925</v>
      </c>
      <c r="CS146" s="535">
        <f>Sheet1!BK144+Sheet1!BL144+Sheet1!BM144-Sheet1!ER144-DA146</f>
        <v>6.47</v>
      </c>
      <c r="CT146" s="535">
        <f t="shared" si="336"/>
        <v>6.4584257602862261</v>
      </c>
      <c r="CU146" s="535">
        <f>IF(Sheet1!ER144="FM",DA146,0)</f>
        <v>0</v>
      </c>
      <c r="CV146" s="535">
        <f t="shared" si="337"/>
        <v>0</v>
      </c>
      <c r="CW146" s="535">
        <f>IF(Sheet1!ER144="OTHER",DA146,0)</f>
        <v>0</v>
      </c>
      <c r="CX146" s="535">
        <f t="shared" si="338"/>
        <v>0</v>
      </c>
      <c r="CY146" s="535">
        <f t="shared" si="339"/>
        <v>6.47</v>
      </c>
      <c r="CZ146" s="535">
        <f t="shared" si="340"/>
        <v>6.4584257602862261</v>
      </c>
      <c r="DA146" s="535">
        <f>IF(OR(Sheet1!ER144="FM", Sheet1!ER144="OTHER"),SUM(Sheet1!BK144:'Sheet1'!BM144),0)</f>
        <v>0</v>
      </c>
      <c r="DB146" s="1011">
        <f>IF(AND($B146&gt;=$FV146,$B146&lt;=$FW146),MAX($CT146,Sheet1!EK144,0),MAX($CT146-(7/36)*$K146,0))</f>
        <v>0</v>
      </c>
      <c r="DC146" s="1012">
        <f t="shared" si="341"/>
        <v>6.1104631286026629</v>
      </c>
      <c r="DD146" s="1011">
        <f t="shared" si="342"/>
        <v>6.4584257602862261</v>
      </c>
      <c r="DE146" s="521">
        <f>IF(AND($O146&gt;0,Sheet1!EO144=1),(1-($O146-Sheet1!$L144)/$O146)*CZ146,0)</f>
        <v>0</v>
      </c>
      <c r="DF146" s="521">
        <f>IF(AND(Sheet1!$L144=0,Sheet1!$L143=0, Calculation!CY146&lt;Sheet1!$EK144-0.1,Sheet1!$EK144=Sheet1!$EK143,Sheet1!$EK144=Sheet1!$EK145),CZ146-DE146,CZ146-DE146)</f>
        <v>6.4584257602862261</v>
      </c>
      <c r="DG146" s="1040">
        <f t="shared" si="418"/>
        <v>12.568888888888889</v>
      </c>
      <c r="DH146" s="649">
        <f t="shared" si="343"/>
        <v>11.55</v>
      </c>
      <c r="DI146" s="535">
        <f t="shared" si="344"/>
        <v>541.05703746753682</v>
      </c>
      <c r="DJ146" s="649">
        <f t="shared" si="345"/>
        <v>11.529338103756711</v>
      </c>
      <c r="DK146" s="535">
        <f ca="1">IF(B146&gt;Summary!$A$1,#N/A,DI146*MGtoAF)</f>
        <v>1659.9629909504031</v>
      </c>
      <c r="DL146" s="649">
        <f t="shared" si="346"/>
        <v>11.549999999999999</v>
      </c>
      <c r="DM146" s="535">
        <f t="shared" si="347"/>
        <v>27.949999999999996</v>
      </c>
      <c r="DN146" s="535">
        <f>Sheet1!AB144-DM146</f>
        <v>-4.9999999999997158E-2</v>
      </c>
      <c r="DO146" s="743">
        <f t="shared" si="348"/>
        <v>-1.7889087656528502E-3</v>
      </c>
      <c r="DP146" s="535">
        <f>(VLOOKUP(Sheet1!DC144,hhdcap_wcm,4)-(((VLOOKUP(Sheet1!DC144,hhdcap_wcm,3)-Sheet1!DC144)/(VLOOKUP(Sheet1!DC144,hhdcap_wcm,3)-VLOOKUP(Sheet1!DC144,hhdcap_wcm,1)))*(VLOOKUP(Sheet1!DC144,hhdcap_wcm,4)-VLOOKUP(Sheet1!DC144,hhdcap_wcm,2))))</f>
        <v>39971.900000099769</v>
      </c>
      <c r="DQ146" s="535">
        <f t="shared" si="349"/>
        <v>-10.299999999995634</v>
      </c>
      <c r="DR146" s="535">
        <f t="shared" si="350"/>
        <v>-5.1941502773553365</v>
      </c>
      <c r="DS146" s="535">
        <f>Sheet1!EA144*AFtoMG</f>
        <v>0</v>
      </c>
      <c r="DT146" s="535">
        <f>Sheet1!EB144*AFtoMG</f>
        <v>0</v>
      </c>
      <c r="DU146" s="535">
        <f>Sheet1!EC144*AFtoMG</f>
        <v>0</v>
      </c>
      <c r="DV146" s="535">
        <f>Sheet1!ED144*AFtoMG</f>
        <v>0</v>
      </c>
      <c r="DW146" s="535">
        <f t="shared" si="351"/>
        <v>0</v>
      </c>
      <c r="DX146" s="535">
        <f t="shared" si="352"/>
        <v>0</v>
      </c>
      <c r="DY146" s="535">
        <f t="shared" si="353"/>
        <v>4790.1363519274273</v>
      </c>
      <c r="DZ146" s="535">
        <f t="shared" si="354"/>
        <v>14696.138327713348</v>
      </c>
      <c r="EA146" s="535"/>
      <c r="EB146" s="521">
        <f>IF(OR(B146&lt;FV146,B146&gt;FW146),(MIN(BF146+BY146+CT146+MAX(Sheet1!AA144+AQ146-73,0),K146)),0)</f>
        <v>11.529338103756711</v>
      </c>
      <c r="EC146" s="535"/>
      <c r="ED146" s="535">
        <f t="shared" si="355"/>
        <v>11.529338103756711</v>
      </c>
      <c r="EE146" s="535"/>
      <c r="EF146" s="535">
        <f>Sheet1!EH144+Sheet1!EI144+Sheet1!EJ144+Sheet1!EK144</f>
        <v>11.5</v>
      </c>
      <c r="EG146" s="1019">
        <f t="shared" si="419"/>
        <v>17.790499999999998</v>
      </c>
      <c r="EH146" s="521">
        <f t="shared" si="356"/>
        <v>0</v>
      </c>
      <c r="EI146" s="535">
        <f>IF(Sheet1!ET144=1,SUM('Calculations II'!AT146:BA146)+'Calculations II'!BC146+Sheet1!BV144+'Calculations II'!BE146+AP146,'Calculations II'!BK146)</f>
        <v>49.812291896243288</v>
      </c>
      <c r="EJ146" s="535">
        <f ca="1">EI146+'Calculations II'!D146+'Calculations II'!E146+'Calculations II'!O146</f>
        <v>44.475171852141393</v>
      </c>
      <c r="EK146" s="535"/>
      <c r="EL146" s="535"/>
      <c r="EM146" s="535">
        <f t="shared" si="357"/>
        <v>42870</v>
      </c>
      <c r="EN146" s="535">
        <f t="shared" si="358"/>
        <v>53.110661896243286</v>
      </c>
      <c r="EO146" s="535">
        <f t="shared" si="359"/>
        <v>82.162193953488355</v>
      </c>
      <c r="EP146" s="535">
        <v>0</v>
      </c>
      <c r="EQ146" s="535">
        <v>0</v>
      </c>
      <c r="ER146" s="535">
        <v>0</v>
      </c>
      <c r="ES146" s="521">
        <f t="shared" si="381"/>
        <v>2.4909383863264098</v>
      </c>
      <c r="ET146" s="535">
        <f>-(VLOOKUP(Sheet1!BQ144,Lookup!$O$4:$Q$262,2)-VLOOKUP(Sheet1!BQ143,Lookup!$O$4:$Q$262,2))/1000000</f>
        <v>1.2452674050218537</v>
      </c>
      <c r="EU146" s="535">
        <f>-(VLOOKUP(Sheet1!BR144,Lookup!$O$4:$Q$262,3)-VLOOKUP(Sheet1!BR143,Lookup!$O$4:$Q$262,3))/1000000</f>
        <v>1.2456709813045561</v>
      </c>
      <c r="EV146" s="535"/>
      <c r="EW146" s="535"/>
      <c r="EX146" s="535"/>
      <c r="EY146" s="535"/>
      <c r="EZ146" s="535"/>
      <c r="FA146" s="535"/>
      <c r="FB146" s="535"/>
      <c r="FC146" s="535"/>
      <c r="FD146" s="567" t="e">
        <f t="shared" si="360"/>
        <v>#N/A</v>
      </c>
      <c r="FE146" s="567" t="e">
        <f t="shared" si="361"/>
        <v>#N/A</v>
      </c>
      <c r="FF146" s="568" t="e">
        <f t="shared" si="362"/>
        <v>#N/A</v>
      </c>
      <c r="FG146" s="569" t="s">
        <v>656</v>
      </c>
      <c r="FH146" s="569" t="s">
        <v>656</v>
      </c>
      <c r="FI146" s="567" t="e">
        <v>#N/A</v>
      </c>
      <c r="FJ146" s="567" t="e">
        <v>#N/A</v>
      </c>
      <c r="FK146" s="535"/>
      <c r="FL146" s="1015">
        <v>0</v>
      </c>
      <c r="FM146" s="535"/>
      <c r="FN146" s="535"/>
      <c r="FO146" s="535">
        <f>O146+((Sheet1!CS144)*GPMtoMGD)</f>
        <v>58.665807999999998</v>
      </c>
      <c r="FP146" s="535">
        <f>IF(Sheet1!AA144+AQ146&lt;=Calculation!N146,AQ146,Calculation!N146-Sheet1!AA144)</f>
        <v>16.370661896243291</v>
      </c>
      <c r="FQ146" s="535">
        <f>(Sheet1!BP144+Sheet1!BO144)/694.4</f>
        <v>1.5132488479262673</v>
      </c>
      <c r="FR146" s="541"/>
      <c r="FS146" s="541"/>
      <c r="FT146" s="541"/>
      <c r="FU146" s="541"/>
      <c r="FV146" s="1109">
        <f t="shared" si="382"/>
        <v>42918</v>
      </c>
      <c r="FW146" s="1109">
        <f t="shared" si="383"/>
        <v>43027</v>
      </c>
      <c r="FX146" s="541"/>
      <c r="FY146" s="541">
        <f>Sheet1!DA144-Sheet1!CZ144-Sheet1!AE144</f>
        <v>544.14268000000004</v>
      </c>
      <c r="FZ146" s="535">
        <f t="shared" si="420"/>
        <v>0.44755721493208184</v>
      </c>
      <c r="GA146" s="535"/>
      <c r="GB146" s="535" t="str">
        <f t="shared" si="384"/>
        <v>n</v>
      </c>
      <c r="GC146" s="539">
        <f t="shared" si="385"/>
        <v>42782</v>
      </c>
      <c r="GD146" s="1109">
        <f t="shared" si="386"/>
        <v>42904</v>
      </c>
      <c r="GE146" s="535">
        <f t="shared" si="404"/>
        <v>6520</v>
      </c>
      <c r="GF146" s="1109">
        <f t="shared" si="387"/>
        <v>42909</v>
      </c>
      <c r="GG146" s="535">
        <f t="shared" ref="GG146:GG209" si="432">GG145</f>
        <v>3260</v>
      </c>
      <c r="GH146" s="539">
        <f t="shared" si="388"/>
        <v>43040</v>
      </c>
      <c r="GJ146" s="521">
        <f t="shared" si="389"/>
        <v>0</v>
      </c>
      <c r="GK146" s="535" t="str">
        <f t="shared" si="363"/>
        <v/>
      </c>
      <c r="GL146" s="535">
        <f t="shared" si="390"/>
        <v>0</v>
      </c>
      <c r="GM146" s="535" t="str">
        <f t="shared" si="391"/>
        <v/>
      </c>
      <c r="GN146" s="535">
        <f>IF(GK146="P",Lookup!$M$12,IF(GK146="PP",Lookup!$M$13,IF(GK146="PPP",Lookup!$M$14,IF(GK146="T",Lookup!$M$15,IF(GK146="TP",Lookup!$M$16,IF(GK146="TPP",Lookup!$M$17,IF(GK146="TPPP",Lookup!$M$18,0)))))))*GJ146</f>
        <v>0</v>
      </c>
      <c r="GO146" s="535">
        <f t="shared" si="392"/>
        <v>0</v>
      </c>
      <c r="GP146" s="535">
        <f t="shared" si="364"/>
        <v>7354.2005333333391</v>
      </c>
      <c r="GQ146" s="535">
        <f t="shared" si="403"/>
        <v>2397.0666666666684</v>
      </c>
      <c r="GR146" s="535"/>
      <c r="GS146" s="535">
        <f t="shared" si="393"/>
        <v>0</v>
      </c>
      <c r="GT146" s="535" t="str">
        <f t="shared" si="394"/>
        <v/>
      </c>
      <c r="GU146" s="535">
        <f>IF(GK146="P",Lookup!$N$12,IF(GK146="PP",Lookup!$N$13,IF(GK146="PPP",Lookup!$N$14,IF(GK146="T",Lookup!$N$15,IF(GK146="TP",Lookup!$N$16,IF(GK146="TPP",Lookup!$N$17,IF(GK146="TPPP",Lookup!$N$18,0)))))))*GJ146</f>
        <v>0</v>
      </c>
      <c r="GV146" s="535">
        <f t="shared" si="395"/>
        <v>0</v>
      </c>
      <c r="GW146" s="535">
        <f t="shared" si="365"/>
        <v>3154.4546582929111</v>
      </c>
      <c r="GX146" s="535">
        <f t="shared" si="400"/>
        <v>1028.1794844501014</v>
      </c>
      <c r="GY146" s="535"/>
      <c r="GZ146" s="535">
        <f t="shared" si="396"/>
        <v>0</v>
      </c>
      <c r="HA146" s="535" t="str">
        <f t="shared" si="397"/>
        <v/>
      </c>
      <c r="HB146" s="535">
        <f>IF(GK146="P",Lookup!$N$12,IF(GK146="PP",Lookup!$N$13,IF(GK146="PPP",Lookup!$N$14,IF(GK146="T",Lookup!$N$15,IF(GK146="TP",Lookup!$N$16,IF(GK146="TPP",Lookup!$N$17,IF(GK146="TPPP",Lookup!$N$18,0)))))))*GJ146</f>
        <v>0</v>
      </c>
      <c r="HC146" s="521">
        <f t="shared" si="366"/>
        <v>0</v>
      </c>
      <c r="HD146" s="535">
        <f t="shared" si="367"/>
        <v>2527.5201451366925</v>
      </c>
      <c r="HE146" s="535">
        <f t="shared" si="401"/>
        <v>823.83316334312008</v>
      </c>
      <c r="HF146" s="535"/>
      <c r="HG146" s="535">
        <f t="shared" si="398"/>
        <v>0</v>
      </c>
      <c r="HH146" s="535" t="str">
        <f t="shared" si="399"/>
        <v/>
      </c>
      <c r="HI146" s="535">
        <f>IF(GK146="P",Lookup!$N$12,IF(GK146="PP",Lookup!$N$13,IF(GK146="PPP",Lookup!$N$14,IF(GK146="T",Lookup!$N$15,IF(GK146="TP",Lookup!$N$16,IF(GK146="TPP",Lookup!$N$17,IF(GK146="TPPP",Lookup!$N$18,0)))))))*GJ146</f>
        <v>0</v>
      </c>
      <c r="HJ146" s="521">
        <f t="shared" si="368"/>
        <v>0</v>
      </c>
      <c r="HK146" s="535">
        <f t="shared" si="369"/>
        <v>1659.9629909504031</v>
      </c>
      <c r="HL146" s="535">
        <f t="shared" si="402"/>
        <v>541.05703746753682</v>
      </c>
      <c r="HM146" s="535"/>
      <c r="HN146" s="541"/>
      <c r="HO146" s="541"/>
      <c r="HP146" s="541"/>
      <c r="HQ146" s="541">
        <f>IF(AND(B146&gt;=$FV$4,B146&lt;=$FW$4),MAX(110/1.02+$HQ$6+MIN(113/1.02,G146),IF($HV$6-(Sheet1!DA144-Sheet1!DB144)+MIN(113/1.02,G146)&lt;G146+FL146,$HV$6-(Sheet1!DA144-Sheet1!DB144)+MIN(113/1.02,G146),G146+FL146)),MIN(110/1.02+$HQ$6+113/1.02,G146))</f>
        <v>218.62745098039215</v>
      </c>
      <c r="HR146" s="541">
        <f t="shared" si="421"/>
        <v>223</v>
      </c>
      <c r="HS146" s="541">
        <f>HR146+(Sheet1!DA144-Sheet1!DB144)</f>
        <v>911</v>
      </c>
      <c r="HT146" s="541">
        <f t="shared" si="422"/>
        <v>64.989470000000011</v>
      </c>
      <c r="HU146" s="541">
        <f t="shared" si="423"/>
        <v>846.01053000000002</v>
      </c>
      <c r="HV146" s="541">
        <f t="shared" si="424"/>
        <v>0</v>
      </c>
      <c r="HW146" s="533" t="str">
        <f t="shared" si="425"/>
        <v/>
      </c>
      <c r="HX146" s="541">
        <f t="shared" si="426"/>
        <v>1002.3725490196078</v>
      </c>
      <c r="HY146" s="541">
        <f>Sheet1!CZ144</f>
        <v>1221</v>
      </c>
      <c r="HZ146" s="541">
        <f t="shared" si="427"/>
        <v>0</v>
      </c>
      <c r="IA146" s="541">
        <f t="shared" si="428"/>
        <v>64.989470000000011</v>
      </c>
      <c r="IB146" s="541">
        <f t="shared" si="429"/>
        <v>1221</v>
      </c>
      <c r="IC146" s="1019" t="str">
        <f t="shared" si="430"/>
        <v/>
      </c>
      <c r="ID146" s="541">
        <f t="shared" si="431"/>
        <v>1156.01053</v>
      </c>
      <c r="IE146" s="541">
        <f>Sheet1!DB144</f>
        <v>1160</v>
      </c>
      <c r="IF146" s="533">
        <f>Sheet1!DA144</f>
        <v>1848</v>
      </c>
      <c r="IH146" s="541">
        <f>IF(AND($B146&gt;=$GC146,$B146&lt;=$GH146,$DR146&lt;0)+N("only adjusted when pool is drawn down during storage season"),Sheet1!$DB144+$DR146+N("Palmer minus all storage release"),Sheet1!$DB144)</f>
        <v>1154.8058497226446</v>
      </c>
      <c r="II146" s="541">
        <f>IF(AND($B146&gt;=$GC146,$B146&lt;=$GH146,$DR146&lt;0)+N("only adjusted when pool is drawn down during storage season"),Sheet1!$DA144+$DR146+N("Auburn minus all storage release"),Sheet1!$DA144)</f>
        <v>1842.8058497226446</v>
      </c>
    </row>
    <row r="147" spans="1:243" x14ac:dyDescent="0.25">
      <c r="A147" s="553" t="s">
        <v>5</v>
      </c>
      <c r="B147" s="531">
        <v>42871</v>
      </c>
      <c r="C147" s="536">
        <v>0</v>
      </c>
      <c r="D147" s="506">
        <f t="shared" si="371"/>
        <v>300</v>
      </c>
      <c r="E147" s="506">
        <f t="shared" si="372"/>
        <v>250</v>
      </c>
      <c r="F147" s="506">
        <v>250</v>
      </c>
      <c r="G147" s="535">
        <f>DR147+Sheet1!CZ145</f>
        <v>1938.3918305610964</v>
      </c>
      <c r="H147" s="1074">
        <f t="shared" si="405"/>
        <v>797.04896915200004</v>
      </c>
      <c r="I147" s="534">
        <f>IF(Sheet1!DA145&gt;=E147,(Sheet1!DA145-E147+P147)*CFStoMGD,0)</f>
        <v>1316.7545691519999</v>
      </c>
      <c r="J147" s="995">
        <f>IF(Sheet1!DB145&gt;=D147,(Sheet1!DB145-D147+P147)*CFStoMGD,0)</f>
        <v>797.04896915200004</v>
      </c>
      <c r="K147" s="818">
        <f t="shared" si="406"/>
        <v>64.64</v>
      </c>
      <c r="L147" s="535">
        <f>Sheet1!AA145+Sheet1!AB145-Sheet1!L145+(Sheet1!DA145-F147)*CFStoMGD-S147-T147-U147</f>
        <v>1252.1155999999999</v>
      </c>
      <c r="M147" s="535">
        <f t="shared" si="309"/>
        <v>1278.0360088601867</v>
      </c>
      <c r="N147" s="824">
        <f>IF(Sheet1!DA145&gt;=F147,MIN(113*CFStoMGD,MIN(MAX(L147,0),MAX(M147,0))),0)</f>
        <v>73.043199999999999</v>
      </c>
      <c r="O147" s="538">
        <f>Sheet1!AA145+Sheet1!AB145</f>
        <v>53.69</v>
      </c>
      <c r="P147" s="538">
        <f t="shared" si="310"/>
        <v>83.058429999999987</v>
      </c>
      <c r="Q147" s="812">
        <f t="shared" si="407"/>
        <v>42.23</v>
      </c>
      <c r="R147" s="812">
        <f t="shared" si="373"/>
        <v>11.394886363636363</v>
      </c>
      <c r="S147" s="812">
        <f t="shared" si="374"/>
        <v>11.46</v>
      </c>
      <c r="T147" s="812">
        <f t="shared" si="375"/>
        <v>53.18</v>
      </c>
      <c r="U147" s="812">
        <f t="shared" si="408"/>
        <v>0</v>
      </c>
      <c r="V147" s="812"/>
      <c r="W147" s="812">
        <f t="shared" si="376"/>
        <v>53.245113636363641</v>
      </c>
      <c r="X147" s="812">
        <f t="shared" si="377"/>
        <v>64.64</v>
      </c>
      <c r="Y147" s="812" t="str">
        <f t="shared" si="378"/>
        <v>FALSE</v>
      </c>
      <c r="Z147" s="812">
        <f t="shared" si="379"/>
        <v>53.69</v>
      </c>
      <c r="AA147" s="812">
        <f t="shared" si="380"/>
        <v>53.69</v>
      </c>
      <c r="AB147" s="1059">
        <f t="shared" si="409"/>
        <v>65.329809999999995</v>
      </c>
      <c r="AC147" s="538">
        <f>Sheet1!Y145*MGDtoCFS</f>
        <v>39.696019999999997</v>
      </c>
      <c r="AD147" s="538">
        <f>Sheet1!Z145*MGDtoCFS</f>
        <v>43.161299999999997</v>
      </c>
      <c r="AE147" s="538">
        <f>Sheet1!AA145*MGDtoCFS</f>
        <v>39.742429999999999</v>
      </c>
      <c r="AF147" s="538">
        <f>Sheet1!AB145*MGDtoCFS</f>
        <v>43.315999999999995</v>
      </c>
      <c r="AG147" s="538">
        <f>Sheet1!L145*MGDtoCFS</f>
        <v>0</v>
      </c>
      <c r="AH147" s="521">
        <f t="shared" si="311"/>
        <v>0</v>
      </c>
      <c r="AI147" s="1059">
        <f t="shared" si="312"/>
        <v>0</v>
      </c>
      <c r="AJ147" s="535">
        <f t="shared" si="313"/>
        <v>53.245113636363641</v>
      </c>
      <c r="AK147" s="535">
        <f t="shared" si="314"/>
        <v>82.370190795454548</v>
      </c>
      <c r="AL147" s="535">
        <f>(VLOOKUP(Sheet1!DC145,hhdcap_wcm,4)-(((VLOOKUP(Sheet1!DC145,hhdcap_wcm,3)-Sheet1!DC145)/(VLOOKUP(Sheet1!DC145,hhdcap_wcm,3)-VLOOKUP(Sheet1!DC145,hhdcap_wcm,1)))*(VLOOKUP(Sheet1!DC145,hhdcap_wcm,4)-VLOOKUP(Sheet1!DC145,hhdcap_wcm,2))))</f>
        <v>40926.500000102424</v>
      </c>
      <c r="AM147" s="535">
        <f t="shared" si="315"/>
        <v>954.60000000265427</v>
      </c>
      <c r="AN147" s="1035">
        <f t="shared" si="316"/>
        <v>4843.3814655637907</v>
      </c>
      <c r="AO147" s="535">
        <f t="shared" si="317"/>
        <v>14859.49433634971</v>
      </c>
      <c r="AP147" s="535">
        <f>Sheet1!BA145+Sheet1!BB145+Sheet1!BN145+CD147</f>
        <v>16.7</v>
      </c>
      <c r="AQ147" s="535">
        <f>Sheet1!BN145+(DO147*Sheet1!BN145)</f>
        <v>16.605113636363637</v>
      </c>
      <c r="AR147" s="535">
        <f>Sheet1!BA145+CD147</f>
        <v>0</v>
      </c>
      <c r="AS147" s="535">
        <f>Sheet1!BA145+Sheet1!BB145+CD147</f>
        <v>0</v>
      </c>
      <c r="AT147" s="649">
        <f>0</f>
        <v>0</v>
      </c>
      <c r="AU147" s="535">
        <f>IF(EB147&lt;K147,0,MAX(Sheet1!AA145+AQ147-15/36*K147-N147,Sheet1!EH145,0))</f>
        <v>0</v>
      </c>
      <c r="AV147" s="535">
        <f>IF(OR(B147&gt;=GD147,B147&lt;GC147),0,15/36*K147-MAX(0,64.6-(137.6-(Sheet1!AA145+Sheet1!AB145))))</f>
        <v>26.933333333333334</v>
      </c>
      <c r="AW147" s="1029"/>
      <c r="AX147" s="649"/>
      <c r="AY147" s="649">
        <f t="shared" si="410"/>
        <v>0</v>
      </c>
      <c r="AZ147" s="649">
        <f t="shared" si="411"/>
        <v>0</v>
      </c>
      <c r="BA147" s="1059">
        <f t="shared" si="412"/>
        <v>0</v>
      </c>
      <c r="BB147" s="1019">
        <f t="shared" si="318"/>
        <v>2424.0000000000018</v>
      </c>
      <c r="BC147" s="1041">
        <f t="shared" si="413"/>
        <v>26.933333333333334</v>
      </c>
      <c r="BD147" s="1019">
        <f ca="1">IF(B147&gt;Summary!$A$1,#N/A,BB147*MGtoAF)</f>
        <v>7436.8320000000058</v>
      </c>
      <c r="BE147" s="535">
        <f>Sheet1!BG145+Sheet1!BH145+Sheet1!BI145-BM147</f>
        <v>1</v>
      </c>
      <c r="BF147" s="535">
        <f t="shared" si="319"/>
        <v>0.99431818181818177</v>
      </c>
      <c r="BG147" s="535">
        <f>IF(Sheet1!EP145="FM",BM147,0)</f>
        <v>0</v>
      </c>
      <c r="BH147" s="535">
        <f t="shared" si="320"/>
        <v>0</v>
      </c>
      <c r="BI147" s="535">
        <f>IF(Sheet1!EP145="OTHER",BM147,0)</f>
        <v>0</v>
      </c>
      <c r="BJ147" s="535">
        <f t="shared" si="321"/>
        <v>0</v>
      </c>
      <c r="BK147" s="535">
        <f t="shared" si="322"/>
        <v>1</v>
      </c>
      <c r="BL147" s="535">
        <f t="shared" si="323"/>
        <v>0.99431818181818177</v>
      </c>
      <c r="BM147" s="535">
        <f>IF(OR(Sheet1!EP145="FM", Sheet1!EP145="OTHER"),SUM(Sheet1!BG145:'Sheet1'!BI145),0)</f>
        <v>0</v>
      </c>
      <c r="BN147" s="521">
        <f>IF(AND($B147&gt;=$FV147,$B147&lt;=$FW147),MAX(BF147,Sheet1!EI145,0),MAX(BF147-(7/36)*$K147,0))</f>
        <v>0</v>
      </c>
      <c r="BO147" s="535">
        <f t="shared" si="324"/>
        <v>11.574570707070707</v>
      </c>
      <c r="BP147" s="521">
        <f t="shared" si="325"/>
        <v>0.99431818181818177</v>
      </c>
      <c r="BQ147" s="521">
        <f>IF(AND($O147&gt;0,Sheet1!EM145=1),(1-($O147-Sheet1!$L145)/$O147)*BL147,0)</f>
        <v>0</v>
      </c>
      <c r="BR147" s="521">
        <f>IF(AND(Sheet1!$L145=0,Sheet1!$L144=0, Calculation!BK147&lt;Sheet1!$EI145-0.1,Sheet1!$EI145=Sheet1!$EI144,Sheet1!$EI145=Sheet1!$EI146),BL147-BQ147,BL147-BQ147)</f>
        <v>0.99431818181818177</v>
      </c>
      <c r="BS147" s="1035" t="str">
        <f t="shared" si="414"/>
        <v/>
      </c>
      <c r="BT147" s="1035">
        <f t="shared" si="415"/>
        <v>12.568888888888889</v>
      </c>
      <c r="BU147" s="535">
        <f t="shared" si="326"/>
        <v>1039.7540551571722</v>
      </c>
      <c r="BV147" s="535"/>
      <c r="BW147" s="535">
        <f ca="1">IF(B147&gt;Summary!$A$1,#N/A,BU147*MGtoAF)</f>
        <v>3189.9654412222044</v>
      </c>
      <c r="BX147" s="535">
        <f>Sheet1!BC145+Sheet1!BD145+Sheet1!BE145+Sheet1!BF145-CG147-CH147</f>
        <v>3.9800000000000004</v>
      </c>
      <c r="BY147" s="535">
        <f t="shared" si="327"/>
        <v>3.9573863636363642</v>
      </c>
      <c r="BZ147" s="535">
        <f>IF(Sheet1!EQ145="FM",CH147,0)</f>
        <v>0</v>
      </c>
      <c r="CA147" s="535">
        <f t="shared" si="328"/>
        <v>0</v>
      </c>
      <c r="CB147" s="535">
        <f>IF(Sheet1!EQ145="OTHER",CH147,0)</f>
        <v>0</v>
      </c>
      <c r="CC147" s="535">
        <f t="shared" si="329"/>
        <v>0</v>
      </c>
      <c r="CD147" s="535">
        <f t="shared" si="330"/>
        <v>0</v>
      </c>
      <c r="CE147" s="535">
        <f t="shared" si="331"/>
        <v>3.9800000000000004</v>
      </c>
      <c r="CF147" s="535">
        <f t="shared" si="332"/>
        <v>3.9573863636363642</v>
      </c>
      <c r="CG147" s="535">
        <f>IF(Sheet1!EQ145="CWA",SUM(Sheet1!BC145:'Sheet1'!BF145),0)</f>
        <v>0</v>
      </c>
      <c r="CH147" s="535">
        <f>IF(OR(Sheet1!EQ145="FM", Sheet1!EQ145="OTHER"),SUM(Sheet1!BC145:'Sheet1'!BF145),0)</f>
        <v>0</v>
      </c>
      <c r="CI147" s="521">
        <f>IF(AND($B147&gt;=$FV147,$B147&lt;=$FW147),MAX(CF147,Sheet1!EJ145,0),MAX(CF147-(7/36)*$K147,0))</f>
        <v>0</v>
      </c>
      <c r="CJ147" s="535">
        <f t="shared" si="333"/>
        <v>8.6115025252525257</v>
      </c>
      <c r="CK147" s="521">
        <f t="shared" si="334"/>
        <v>3.9573863636363642</v>
      </c>
      <c r="CL147" s="521">
        <f>IF(AND($O147&gt;0,Sheet1!EN145=1),(1-($O147-Sheet1!$L145)/$O147)*CF147,0)</f>
        <v>0</v>
      </c>
      <c r="CM147" s="521">
        <f>IF(AND(Sheet1!$L145=0,Sheet1!$L144=0, Calculation!CE147&lt;Sheet1!EJ145-0.1,Sheet1!EJ145=Sheet1!EJ144,Sheet1!EJ145=Sheet1!EJ146),CF147-CL147,CF147-CL147)</f>
        <v>3.9573863636363642</v>
      </c>
      <c r="CN147" s="1040" t="str">
        <f t="shared" si="416"/>
        <v/>
      </c>
      <c r="CO147" s="1035">
        <f t="shared" si="417"/>
        <v>12.568888888888889</v>
      </c>
      <c r="CP147" s="535">
        <f t="shared" si="335"/>
        <v>832.44466586837257</v>
      </c>
      <c r="CQ147" s="535"/>
      <c r="CR147" s="535">
        <f ca="1">IF(B147&gt;Summary!$A$1,#N/A,CP147*MGtoAF)</f>
        <v>2553.9402348841672</v>
      </c>
      <c r="CS147" s="535">
        <f>Sheet1!BK145+Sheet1!BL145+Sheet1!BM145-Sheet1!ER145-DA147</f>
        <v>6.48</v>
      </c>
      <c r="CT147" s="535">
        <f t="shared" si="336"/>
        <v>6.4431818181818183</v>
      </c>
      <c r="CU147" s="535">
        <f>IF(Sheet1!ER145="FM",DA147,0)</f>
        <v>0</v>
      </c>
      <c r="CV147" s="535">
        <f t="shared" si="337"/>
        <v>0</v>
      </c>
      <c r="CW147" s="535">
        <f>IF(Sheet1!ER145="OTHER",DA147,0)</f>
        <v>0</v>
      </c>
      <c r="CX147" s="535">
        <f t="shared" si="338"/>
        <v>0</v>
      </c>
      <c r="CY147" s="535">
        <f t="shared" si="339"/>
        <v>6.48</v>
      </c>
      <c r="CZ147" s="535">
        <f t="shared" si="340"/>
        <v>6.4431818181818183</v>
      </c>
      <c r="DA147" s="535">
        <f>IF(OR(Sheet1!ER145="FM", Sheet1!ER145="OTHER"),SUM(Sheet1!BK145:'Sheet1'!BM145),0)</f>
        <v>0</v>
      </c>
      <c r="DB147" s="1011">
        <f>IF(AND($B147&gt;=$FV147,$B147&lt;=$FW147),MAX($CT147,Sheet1!EK145,0),MAX($CT147-(7/36)*$K147,0))</f>
        <v>0</v>
      </c>
      <c r="DC147" s="1012">
        <f t="shared" si="341"/>
        <v>6.1257070707070707</v>
      </c>
      <c r="DD147" s="1011">
        <f t="shared" si="342"/>
        <v>6.4431818181818183</v>
      </c>
      <c r="DE147" s="521">
        <f>IF(AND($O147&gt;0,Sheet1!EO145=1),(1-($O147-Sheet1!$L145)/$O147)*CZ147,0)</f>
        <v>0</v>
      </c>
      <c r="DF147" s="521">
        <f>IF(AND(Sheet1!$L145=0,Sheet1!$L144=0, Calculation!CY147&lt;Sheet1!$EK145-0.1,Sheet1!$EK145=Sheet1!$EK144,Sheet1!$EK145=Sheet1!$EK146),CZ147-DE147,CZ147-DE147)</f>
        <v>6.4431818181818183</v>
      </c>
      <c r="DG147" s="1040">
        <f t="shared" si="418"/>
        <v>12.568888888888889</v>
      </c>
      <c r="DH147" s="649">
        <f t="shared" si="343"/>
        <v>11.46</v>
      </c>
      <c r="DI147" s="535">
        <f t="shared" si="344"/>
        <v>547.18274453824392</v>
      </c>
      <c r="DJ147" s="649">
        <f t="shared" si="345"/>
        <v>11.394886363636363</v>
      </c>
      <c r="DK147" s="535">
        <f ca="1">IF(B147&gt;Summary!$A$1,#N/A,DI147*MGtoAF)</f>
        <v>1678.7566602433324</v>
      </c>
      <c r="DL147" s="649">
        <f t="shared" si="346"/>
        <v>11.46</v>
      </c>
      <c r="DM147" s="535">
        <f t="shared" si="347"/>
        <v>28.16</v>
      </c>
      <c r="DN147" s="535">
        <f>Sheet1!AB145-DM147</f>
        <v>-0.16000000000000014</v>
      </c>
      <c r="DO147" s="743">
        <f t="shared" si="348"/>
        <v>-5.6818181818181872E-3</v>
      </c>
      <c r="DP147" s="535">
        <f>(VLOOKUP(Sheet1!DC145,hhdcap_wcm,4)-(((VLOOKUP(Sheet1!DC145,hhdcap_wcm,3)-Sheet1!DC145)/(VLOOKUP(Sheet1!DC145,hhdcap_wcm,3)-VLOOKUP(Sheet1!DC145,hhdcap_wcm,1)))*(VLOOKUP(Sheet1!DC145,hhdcap_wcm,4)-VLOOKUP(Sheet1!DC145,hhdcap_wcm,2))))</f>
        <v>40926.500000102424</v>
      </c>
      <c r="DQ147" s="535">
        <f t="shared" si="349"/>
        <v>954.60000000265427</v>
      </c>
      <c r="DR147" s="535">
        <f t="shared" si="350"/>
        <v>481.39183056109641</v>
      </c>
      <c r="DS147" s="535">
        <f>Sheet1!EA145*AFtoMG</f>
        <v>0</v>
      </c>
      <c r="DT147" s="535">
        <f>Sheet1!EB145*AFtoMG</f>
        <v>0</v>
      </c>
      <c r="DU147" s="535">
        <f>Sheet1!EC145*AFtoMG</f>
        <v>0</v>
      </c>
      <c r="DV147" s="535">
        <f>Sheet1!ED145*AFtoMG</f>
        <v>0</v>
      </c>
      <c r="DW147" s="535">
        <f t="shared" si="351"/>
        <v>0</v>
      </c>
      <c r="DX147" s="535">
        <f t="shared" si="352"/>
        <v>0</v>
      </c>
      <c r="DY147" s="535">
        <f t="shared" si="353"/>
        <v>4843.3814655637907</v>
      </c>
      <c r="DZ147" s="535">
        <f t="shared" si="354"/>
        <v>14859.49433634971</v>
      </c>
      <c r="EA147" s="535"/>
      <c r="EB147" s="521">
        <f>IF(OR(B147&lt;FV147,B147&gt;FW147),(MIN(BF147+BY147+CT147+MAX(Sheet1!AA145+AQ147-73,0),K147)),0)</f>
        <v>11.394886363636363</v>
      </c>
      <c r="EC147" s="535"/>
      <c r="ED147" s="535">
        <f t="shared" si="355"/>
        <v>11.394886363636363</v>
      </c>
      <c r="EE147" s="535"/>
      <c r="EF147" s="535">
        <f>Sheet1!EH145+Sheet1!EI145+Sheet1!EJ145+Sheet1!EK145</f>
        <v>11.5</v>
      </c>
      <c r="EG147" s="1019">
        <f t="shared" si="419"/>
        <v>17.790499999999998</v>
      </c>
      <c r="EH147" s="521">
        <f t="shared" si="356"/>
        <v>0</v>
      </c>
      <c r="EI147" s="535">
        <f>IF(Sheet1!ET145=1,SUM('Calculations II'!AT147:BA147)+'Calculations II'!BC147+Sheet1!BV145+'Calculations II'!BE147+AP147,'Calculations II'!BK147)</f>
        <v>42.823533636363635</v>
      </c>
      <c r="EJ147" s="535">
        <f ca="1">EI147+'Calculations II'!D147+'Calculations II'!E147+'Calculations II'!O147</f>
        <v>49.413981157695154</v>
      </c>
      <c r="EK147" s="535"/>
      <c r="EL147" s="535"/>
      <c r="EM147" s="535">
        <f t="shared" si="357"/>
        <v>42871</v>
      </c>
      <c r="EN147" s="535">
        <f t="shared" si="358"/>
        <v>53.245113636363641</v>
      </c>
      <c r="EO147" s="535">
        <f t="shared" si="359"/>
        <v>82.370190795454548</v>
      </c>
      <c r="EP147" s="535">
        <v>0</v>
      </c>
      <c r="EQ147" s="535">
        <v>0</v>
      </c>
      <c r="ER147" s="535">
        <v>0</v>
      </c>
      <c r="ES147" s="521">
        <f t="shared" si="381"/>
        <v>-4.567537216268275</v>
      </c>
      <c r="ET147" s="535">
        <f>-(VLOOKUP(Sheet1!BQ145,Lookup!$O$4:$Q$262,2)-VLOOKUP(Sheet1!BQ144,Lookup!$O$4:$Q$262,2))/1000000</f>
        <v>-2.2141674572712966</v>
      </c>
      <c r="EU147" s="535">
        <f>-(VLOOKUP(Sheet1!BR145,Lookup!$O$4:$Q$262,3)-VLOOKUP(Sheet1!BR144,Lookup!$O$4:$Q$262,3))/1000000</f>
        <v>-2.3533697589969784</v>
      </c>
      <c r="EV147" s="535"/>
      <c r="EW147" s="535"/>
      <c r="EX147" s="535"/>
      <c r="EY147" s="535"/>
      <c r="EZ147" s="535"/>
      <c r="FA147" s="535"/>
      <c r="FB147" s="535"/>
      <c r="FC147" s="535"/>
      <c r="FD147" s="567" t="e">
        <f t="shared" si="360"/>
        <v>#N/A</v>
      </c>
      <c r="FE147" s="567" t="e">
        <f t="shared" si="361"/>
        <v>#N/A</v>
      </c>
      <c r="FF147" s="568" t="e">
        <f t="shared" si="362"/>
        <v>#N/A</v>
      </c>
      <c r="FG147" s="569" t="s">
        <v>656</v>
      </c>
      <c r="FH147" s="569" t="s">
        <v>656</v>
      </c>
      <c r="FI147" s="567" t="e">
        <v>#N/A</v>
      </c>
      <c r="FJ147" s="567" t="e">
        <v>#N/A</v>
      </c>
      <c r="FK147" s="535"/>
      <c r="FL147" s="1015">
        <v>0</v>
      </c>
      <c r="FM147" s="535"/>
      <c r="FN147" s="535"/>
      <c r="FO147" s="535">
        <f>O147+((Sheet1!CS145)*GPMtoMGD)</f>
        <v>58.803728</v>
      </c>
      <c r="FP147" s="535">
        <f>IF(Sheet1!AA145+AQ147&lt;=Calculation!N147,AQ147,Calculation!N147-Sheet1!AA145)</f>
        <v>16.605113636363637</v>
      </c>
      <c r="FQ147" s="535">
        <f>(Sheet1!BP145+Sheet1!BO145)/694.4</f>
        <v>1.3964573732718895</v>
      </c>
      <c r="FR147" s="541"/>
      <c r="FS147" s="541"/>
      <c r="FT147" s="541"/>
      <c r="FU147" s="541"/>
      <c r="FV147" s="1109">
        <f t="shared" si="382"/>
        <v>42918</v>
      </c>
      <c r="FW147" s="1109">
        <f t="shared" si="383"/>
        <v>43027</v>
      </c>
      <c r="FX147" s="541"/>
      <c r="FY147" s="541">
        <f>Sheet1!DA145-Sheet1!CZ145-Sheet1!AE145</f>
        <v>663.94156999999996</v>
      </c>
      <c r="FZ147" s="535">
        <f t="shared" si="420"/>
        <v>0.34252185731086793</v>
      </c>
      <c r="GA147" s="535"/>
      <c r="GB147" s="535" t="str">
        <f t="shared" si="384"/>
        <v>n</v>
      </c>
      <c r="GC147" s="539">
        <f t="shared" si="385"/>
        <v>42782</v>
      </c>
      <c r="GD147" s="1109">
        <f t="shared" si="386"/>
        <v>42904</v>
      </c>
      <c r="GE147" s="535">
        <f t="shared" si="404"/>
        <v>6520</v>
      </c>
      <c r="GF147" s="1109">
        <f t="shared" si="387"/>
        <v>42909</v>
      </c>
      <c r="GG147" s="535">
        <f t="shared" si="432"/>
        <v>3260</v>
      </c>
      <c r="GH147" s="539">
        <f t="shared" si="388"/>
        <v>43040</v>
      </c>
      <c r="GJ147" s="521">
        <f t="shared" si="389"/>
        <v>0</v>
      </c>
      <c r="GK147" s="535" t="str">
        <f t="shared" si="363"/>
        <v/>
      </c>
      <c r="GL147" s="535">
        <f t="shared" si="390"/>
        <v>0</v>
      </c>
      <c r="GM147" s="535" t="str">
        <f t="shared" si="391"/>
        <v/>
      </c>
      <c r="GN147" s="535">
        <f>IF(GK147="P",Lookup!$M$12,IF(GK147="PP",Lookup!$M$13,IF(GK147="PPP",Lookup!$M$14,IF(GK147="T",Lookup!$M$15,IF(GK147="TP",Lookup!$M$16,IF(GK147="TPP",Lookup!$M$17,IF(GK147="TPPP",Lookup!$M$18,0)))))))*GJ147</f>
        <v>0</v>
      </c>
      <c r="GO147" s="535">
        <f t="shared" si="392"/>
        <v>0</v>
      </c>
      <c r="GP147" s="535">
        <f t="shared" si="364"/>
        <v>7436.8320000000058</v>
      </c>
      <c r="GQ147" s="535">
        <f t="shared" si="403"/>
        <v>2424.0000000000018</v>
      </c>
      <c r="GR147" s="535"/>
      <c r="GS147" s="535">
        <f t="shared" si="393"/>
        <v>0</v>
      </c>
      <c r="GT147" s="535" t="str">
        <f t="shared" si="394"/>
        <v/>
      </c>
      <c r="GU147" s="535">
        <f>IF(GK147="P",Lookup!$N$12,IF(GK147="PP",Lookup!$N$13,IF(GK147="PPP",Lookup!$N$14,IF(GK147="T",Lookup!$N$15,IF(GK147="TP",Lookup!$N$16,IF(GK147="TPP",Lookup!$N$17,IF(GK147="TPPP",Lookup!$N$18,0)))))))*GJ147</f>
        <v>0</v>
      </c>
      <c r="GV147" s="535">
        <f t="shared" si="395"/>
        <v>0</v>
      </c>
      <c r="GW147" s="535">
        <f t="shared" si="365"/>
        <v>3189.9654412222044</v>
      </c>
      <c r="GX147" s="535">
        <f t="shared" si="400"/>
        <v>1039.7540551571722</v>
      </c>
      <c r="GY147" s="535"/>
      <c r="GZ147" s="535">
        <f t="shared" si="396"/>
        <v>0</v>
      </c>
      <c r="HA147" s="535" t="str">
        <f t="shared" si="397"/>
        <v/>
      </c>
      <c r="HB147" s="535">
        <f>IF(GK147="P",Lookup!$N$12,IF(GK147="PP",Lookup!$N$13,IF(GK147="PPP",Lookup!$N$14,IF(GK147="T",Lookup!$N$15,IF(GK147="TP",Lookup!$N$16,IF(GK147="TPP",Lookup!$N$17,IF(GK147="TPPP",Lookup!$N$18,0)))))))*GJ147</f>
        <v>0</v>
      </c>
      <c r="HC147" s="521">
        <f t="shared" si="366"/>
        <v>0</v>
      </c>
      <c r="HD147" s="535">
        <f t="shared" si="367"/>
        <v>2553.9402348841672</v>
      </c>
      <c r="HE147" s="535">
        <f t="shared" si="401"/>
        <v>832.44466586837257</v>
      </c>
      <c r="HF147" s="535"/>
      <c r="HG147" s="535">
        <f t="shared" si="398"/>
        <v>0</v>
      </c>
      <c r="HH147" s="535" t="str">
        <f t="shared" si="399"/>
        <v/>
      </c>
      <c r="HI147" s="535">
        <f>IF(GK147="P",Lookup!$N$12,IF(GK147="PP",Lookup!$N$13,IF(GK147="PPP",Lookup!$N$14,IF(GK147="T",Lookup!$N$15,IF(GK147="TP",Lookup!$N$16,IF(GK147="TPP",Lookup!$N$17,IF(GK147="TPPP",Lookup!$N$18,0)))))))*GJ147</f>
        <v>0</v>
      </c>
      <c r="HJ147" s="521">
        <f t="shared" si="368"/>
        <v>0</v>
      </c>
      <c r="HK147" s="535">
        <f t="shared" si="369"/>
        <v>1678.7566602433324</v>
      </c>
      <c r="HL147" s="535">
        <f t="shared" si="402"/>
        <v>547.18274453824392</v>
      </c>
      <c r="HM147" s="535"/>
      <c r="HN147" s="541"/>
      <c r="HO147" s="541"/>
      <c r="HP147" s="541"/>
      <c r="HQ147" s="541">
        <f>IF(AND(B147&gt;=$FV$4,B147&lt;=$FW$4),MAX(110/1.02+$HQ$6+MIN(113/1.02,G147),IF($HV$6-(Sheet1!DA145-Sheet1!DB145)+MIN(113/1.02,G147)&lt;G147+FL147,$HV$6-(Sheet1!DA145-Sheet1!DB145)+MIN(113/1.02,G147),G147+FL147)),MIN(110/1.02+$HQ$6+113/1.02,G147))</f>
        <v>218.62745098039215</v>
      </c>
      <c r="HR147" s="541">
        <f t="shared" si="421"/>
        <v>223</v>
      </c>
      <c r="HS147" s="541">
        <f>HR147+(Sheet1!DA145-Sheet1!DB145)</f>
        <v>977</v>
      </c>
      <c r="HT147" s="541">
        <f t="shared" si="422"/>
        <v>65.329809999999995</v>
      </c>
      <c r="HU147" s="541">
        <f t="shared" si="423"/>
        <v>911.67019000000005</v>
      </c>
      <c r="HV147" s="541">
        <f t="shared" si="424"/>
        <v>0</v>
      </c>
      <c r="HW147" s="533" t="str">
        <f t="shared" si="425"/>
        <v/>
      </c>
      <c r="HX147" s="541">
        <f t="shared" si="426"/>
        <v>1238.372549019608</v>
      </c>
      <c r="HY147" s="541">
        <f>Sheet1!CZ145</f>
        <v>1457</v>
      </c>
      <c r="HZ147" s="541">
        <f t="shared" si="427"/>
        <v>0</v>
      </c>
      <c r="IA147" s="541">
        <f t="shared" si="428"/>
        <v>65.329809999999995</v>
      </c>
      <c r="IB147" s="541">
        <f t="shared" si="429"/>
        <v>1457</v>
      </c>
      <c r="IC147" s="1019" t="str">
        <f t="shared" si="430"/>
        <v/>
      </c>
      <c r="ID147" s="541">
        <f t="shared" si="431"/>
        <v>1391.67019</v>
      </c>
      <c r="IE147" s="541">
        <f>Sheet1!DB145</f>
        <v>1450</v>
      </c>
      <c r="IF147" s="533">
        <f>Sheet1!DA145</f>
        <v>2204</v>
      </c>
      <c r="IH147" s="541">
        <f>IF(AND($B147&gt;=$GC147,$B147&lt;=$GH147,$DR147&lt;0)+N("only adjusted when pool is drawn down during storage season"),Sheet1!$DB145+$DR147+N("Palmer minus all storage release"),Sheet1!$DB145)</f>
        <v>1450</v>
      </c>
      <c r="II147" s="541">
        <f>IF(AND($B147&gt;=$GC147,$B147&lt;=$GH147,$DR147&lt;0)+N("only adjusted when pool is drawn down during storage season"),Sheet1!$DA145+$DR147+N("Auburn minus all storage release"),Sheet1!$DA145)</f>
        <v>2204</v>
      </c>
    </row>
    <row r="148" spans="1:243" x14ac:dyDescent="0.25">
      <c r="A148" s="553" t="s">
        <v>6</v>
      </c>
      <c r="B148" s="531">
        <v>42872</v>
      </c>
      <c r="C148" s="536">
        <v>0</v>
      </c>
      <c r="D148" s="506">
        <f t="shared" si="371"/>
        <v>300</v>
      </c>
      <c r="E148" s="506">
        <f t="shared" si="372"/>
        <v>250</v>
      </c>
      <c r="F148" s="506">
        <v>250</v>
      </c>
      <c r="G148" s="535">
        <f>DR148+Sheet1!CZ146</f>
        <v>1987.2571860826702</v>
      </c>
      <c r="H148" s="1074">
        <f t="shared" si="405"/>
        <v>779.06694207999999</v>
      </c>
      <c r="I148" s="534">
        <f>IF(Sheet1!DA146&gt;=E148,(Sheet1!DA146-E148+P148)*CFStoMGD,0)</f>
        <v>1329.1533420799999</v>
      </c>
      <c r="J148" s="995">
        <f>IF(Sheet1!DB146&gt;=D148,(Sheet1!DB146-D148+P148)*CFStoMGD,0)</f>
        <v>779.06694207999999</v>
      </c>
      <c r="K148" s="818">
        <f t="shared" si="406"/>
        <v>64.64</v>
      </c>
      <c r="L148" s="535">
        <f>Sheet1!AA146+Sheet1!AB146-Sheet1!L146+(Sheet1!DA146-F148)*CFStoMGD-S148-T148-U148</f>
        <v>1264.5143999999998</v>
      </c>
      <c r="M148" s="535">
        <f t="shared" si="309"/>
        <v>1310.2543059855147</v>
      </c>
      <c r="N148" s="824">
        <f>IF(Sheet1!DA146&gt;=F148,MIN(113*CFStoMGD,MIN(MAX(L148,0),MAX(M148,0))),0)</f>
        <v>73.043199999999999</v>
      </c>
      <c r="O148" s="538">
        <f>Sheet1!AA146+Sheet1!AB146</f>
        <v>55.1</v>
      </c>
      <c r="P148" s="538">
        <f t="shared" si="310"/>
        <v>85.239699999999999</v>
      </c>
      <c r="Q148" s="812">
        <f t="shared" si="407"/>
        <v>43.61</v>
      </c>
      <c r="R148" s="812">
        <f t="shared" si="373"/>
        <v>11.435820141461774</v>
      </c>
      <c r="S148" s="812">
        <f t="shared" si="374"/>
        <v>11.49</v>
      </c>
      <c r="T148" s="812">
        <f t="shared" si="375"/>
        <v>53.15</v>
      </c>
      <c r="U148" s="812">
        <f t="shared" si="408"/>
        <v>0</v>
      </c>
      <c r="V148" s="812"/>
      <c r="W148" s="812">
        <f t="shared" si="376"/>
        <v>53.204179858538225</v>
      </c>
      <c r="X148" s="812">
        <f t="shared" si="377"/>
        <v>64.64</v>
      </c>
      <c r="Y148" s="812" t="str">
        <f t="shared" si="378"/>
        <v>FALSE</v>
      </c>
      <c r="Z148" s="812">
        <f t="shared" si="379"/>
        <v>55.1</v>
      </c>
      <c r="AA148" s="812">
        <f t="shared" si="380"/>
        <v>55.1</v>
      </c>
      <c r="AB148" s="1059">
        <f t="shared" si="409"/>
        <v>67.464669999999998</v>
      </c>
      <c r="AC148" s="538">
        <f>Sheet1!Y146*MGDtoCFS</f>
        <v>39.742429999999999</v>
      </c>
      <c r="AD148" s="538">
        <f>Sheet1!Z146*MGDtoCFS</f>
        <v>43.315999999999995</v>
      </c>
      <c r="AE148" s="538">
        <f>Sheet1!AA146*MGDtoCFS</f>
        <v>39.525849999999998</v>
      </c>
      <c r="AF148" s="538">
        <f>Sheet1!AB146*MGDtoCFS</f>
        <v>45.713850000000001</v>
      </c>
      <c r="AG148" s="538">
        <f>Sheet1!L146*MGDtoCFS</f>
        <v>0</v>
      </c>
      <c r="AH148" s="521">
        <f t="shared" si="311"/>
        <v>0</v>
      </c>
      <c r="AI148" s="1059">
        <f t="shared" si="312"/>
        <v>0</v>
      </c>
      <c r="AJ148" s="535">
        <f t="shared" si="313"/>
        <v>53.204179858538225</v>
      </c>
      <c r="AK148" s="535">
        <f t="shared" si="314"/>
        <v>82.30686624115863</v>
      </c>
      <c r="AL148" s="535">
        <f>(VLOOKUP(Sheet1!DC146,hhdcap_wcm,4)-(((VLOOKUP(Sheet1!DC146,hhdcap_wcm,3)-Sheet1!DC146)/(VLOOKUP(Sheet1!DC146,hhdcap_wcm,3)-VLOOKUP(Sheet1!DC146,hhdcap_wcm,1)))*(VLOOKUP(Sheet1!DC146,hhdcap_wcm,4)-VLOOKUP(Sheet1!DC146,hhdcap_wcm,2))))</f>
        <v>41978.000000104359</v>
      </c>
      <c r="AM148" s="535">
        <f t="shared" si="315"/>
        <v>1051.5000000019354</v>
      </c>
      <c r="AN148" s="1035">
        <f t="shared" si="316"/>
        <v>4896.5856454223285</v>
      </c>
      <c r="AO148" s="535">
        <f t="shared" si="317"/>
        <v>15022.724760155705</v>
      </c>
      <c r="AP148" s="535">
        <f>Sheet1!BA146+Sheet1!BB146+Sheet1!BN146+CD148</f>
        <v>18.2</v>
      </c>
      <c r="AQ148" s="535">
        <f>Sheet1!BN146+(DO148*Sheet1!BN146)</f>
        <v>18.114179858538229</v>
      </c>
      <c r="AR148" s="535">
        <f>Sheet1!BA146+CD148</f>
        <v>0</v>
      </c>
      <c r="AS148" s="535">
        <f>Sheet1!BA146+Sheet1!BB146+CD148</f>
        <v>0</v>
      </c>
      <c r="AT148" s="649">
        <f>0</f>
        <v>0</v>
      </c>
      <c r="AU148" s="535">
        <f>IF(EB148&lt;K148,0,MAX(Sheet1!AA146+AQ148-15/36*K148-N148,Sheet1!EH146,0))</f>
        <v>0</v>
      </c>
      <c r="AV148" s="535">
        <f>IF(OR(B148&gt;=GD148,B148&lt;GC148),0,15/36*K148-MAX(0,64.6-(137.6-(Sheet1!AA146+Sheet1!AB146))))</f>
        <v>26.933333333333334</v>
      </c>
      <c r="AW148" s="1029"/>
      <c r="AX148" s="649"/>
      <c r="AY148" s="649">
        <f t="shared" si="410"/>
        <v>0</v>
      </c>
      <c r="AZ148" s="649">
        <f t="shared" si="411"/>
        <v>0</v>
      </c>
      <c r="BA148" s="1059">
        <f t="shared" si="412"/>
        <v>0</v>
      </c>
      <c r="BB148" s="1019">
        <f t="shared" si="318"/>
        <v>2450.9333333333352</v>
      </c>
      <c r="BC148" s="1041">
        <f t="shared" si="413"/>
        <v>26.933333333333334</v>
      </c>
      <c r="BD148" s="1019">
        <f ca="1">IF(B148&gt;Summary!$A$1,#N/A,BB148*MGtoAF)</f>
        <v>7519.4634666666725</v>
      </c>
      <c r="BE148" s="535">
        <f>Sheet1!BG146+Sheet1!BH146+Sheet1!BI146-BM148</f>
        <v>1.01</v>
      </c>
      <c r="BF148" s="535">
        <f t="shared" si="319"/>
        <v>1.0052374536881106</v>
      </c>
      <c r="BG148" s="535">
        <f>IF(Sheet1!EP146="FM",BM148,0)</f>
        <v>0</v>
      </c>
      <c r="BH148" s="535">
        <f t="shared" si="320"/>
        <v>0</v>
      </c>
      <c r="BI148" s="535">
        <f>IF(Sheet1!EP146="OTHER",BM148,0)</f>
        <v>0</v>
      </c>
      <c r="BJ148" s="535">
        <f t="shared" si="321"/>
        <v>0</v>
      </c>
      <c r="BK148" s="535">
        <f t="shared" si="322"/>
        <v>1.01</v>
      </c>
      <c r="BL148" s="535">
        <f t="shared" si="323"/>
        <v>1.0052374536881106</v>
      </c>
      <c r="BM148" s="535">
        <f>IF(OR(Sheet1!EP146="FM", Sheet1!EP146="OTHER"),SUM(Sheet1!BG146:'Sheet1'!BI146),0)</f>
        <v>0</v>
      </c>
      <c r="BN148" s="521">
        <f>IF(AND($B148&gt;=$FV148,$B148&lt;=$FW148),MAX(BF148,Sheet1!EI146,0),MAX(BF148-(7/36)*$K148,0))</f>
        <v>0</v>
      </c>
      <c r="BO148" s="535">
        <f t="shared" si="324"/>
        <v>11.563651435200779</v>
      </c>
      <c r="BP148" s="521">
        <f t="shared" si="325"/>
        <v>1.0052374536881106</v>
      </c>
      <c r="BQ148" s="521">
        <f>IF(AND($O148&gt;0,Sheet1!EM146=1),(1-($O148-Sheet1!$L146)/$O148)*BL148,0)</f>
        <v>0</v>
      </c>
      <c r="BR148" s="521">
        <f>IF(AND(Sheet1!$L146=0,Sheet1!$L145=0, Calculation!BK148&lt;Sheet1!$EI146-0.1,Sheet1!$EI146=Sheet1!$EI145,Sheet1!$EI146=Sheet1!$EI147),BL148-BQ148,BL148-BQ148)</f>
        <v>1.0052374536881106</v>
      </c>
      <c r="BS148" s="1035" t="str">
        <f t="shared" si="414"/>
        <v/>
      </c>
      <c r="BT148" s="1035">
        <f t="shared" si="415"/>
        <v>12.568888888888889</v>
      </c>
      <c r="BU148" s="535">
        <f t="shared" si="326"/>
        <v>1051.317706592373</v>
      </c>
      <c r="BV148" s="535"/>
      <c r="BW148" s="535">
        <f ca="1">IF(B148&gt;Summary!$A$1,#N/A,BU148*MGtoAF)</f>
        <v>3225.4427238254007</v>
      </c>
      <c r="BX148" s="535">
        <f>Sheet1!BC146+Sheet1!BD146+Sheet1!BE146+Sheet1!BF146-CG148-CH148</f>
        <v>3.99</v>
      </c>
      <c r="BY148" s="535">
        <f t="shared" si="327"/>
        <v>3.9711855843718431</v>
      </c>
      <c r="BZ148" s="535">
        <f>IF(Sheet1!EQ146="FM",CH148,0)</f>
        <v>0</v>
      </c>
      <c r="CA148" s="535">
        <f t="shared" si="328"/>
        <v>0</v>
      </c>
      <c r="CB148" s="535">
        <f>IF(Sheet1!EQ146="OTHER",CH148,0)</f>
        <v>0</v>
      </c>
      <c r="CC148" s="535">
        <f t="shared" si="329"/>
        <v>0</v>
      </c>
      <c r="CD148" s="535">
        <f t="shared" si="330"/>
        <v>0</v>
      </c>
      <c r="CE148" s="535">
        <f t="shared" si="331"/>
        <v>3.99</v>
      </c>
      <c r="CF148" s="535">
        <f t="shared" si="332"/>
        <v>3.9711855843718431</v>
      </c>
      <c r="CG148" s="535">
        <f>IF(Sheet1!EQ146="CWA",SUM(Sheet1!BC146:'Sheet1'!BF146),0)</f>
        <v>0</v>
      </c>
      <c r="CH148" s="535">
        <f>IF(OR(Sheet1!EQ146="FM", Sheet1!EQ146="OTHER"),SUM(Sheet1!BC146:'Sheet1'!BF146),0)</f>
        <v>0</v>
      </c>
      <c r="CI148" s="521">
        <f>IF(AND($B148&gt;=$FV148,$B148&lt;=$FW148),MAX(CF148,Sheet1!EJ146,0),MAX(CF148-(7/36)*$K148,0))</f>
        <v>0</v>
      </c>
      <c r="CJ148" s="535">
        <f t="shared" si="333"/>
        <v>8.5977033045170455</v>
      </c>
      <c r="CK148" s="521">
        <f t="shared" si="334"/>
        <v>3.9711855843718431</v>
      </c>
      <c r="CL148" s="521">
        <f>IF(AND($O148&gt;0,Sheet1!EN146=1),(1-($O148-Sheet1!$L146)/$O148)*CF148,0)</f>
        <v>0</v>
      </c>
      <c r="CM148" s="521">
        <f>IF(AND(Sheet1!$L146=0,Sheet1!$L145=0, Calculation!CE148&lt;Sheet1!EJ146-0.1,Sheet1!EJ146=Sheet1!EJ145,Sheet1!EJ146=Sheet1!EJ147),CF148-CL148,CF148-CL148)</f>
        <v>3.9711855843718431</v>
      </c>
      <c r="CN148" s="1040" t="str">
        <f t="shared" si="416"/>
        <v/>
      </c>
      <c r="CO148" s="1035">
        <f t="shared" si="417"/>
        <v>12.568888888888889</v>
      </c>
      <c r="CP148" s="535">
        <f t="shared" si="335"/>
        <v>841.04236917288961</v>
      </c>
      <c r="CQ148" s="535"/>
      <c r="CR148" s="535">
        <f ca="1">IF(B148&gt;Summary!$A$1,#N/A,CP148*MGtoAF)</f>
        <v>2580.3179886224252</v>
      </c>
      <c r="CS148" s="535">
        <f>Sheet1!BK146+Sheet1!BL146+Sheet1!BM146-Sheet1!ER146-DA148</f>
        <v>6.49</v>
      </c>
      <c r="CT148" s="535">
        <f t="shared" si="336"/>
        <v>6.4593971034018196</v>
      </c>
      <c r="CU148" s="535">
        <f>IF(Sheet1!ER146="FM",DA148,0)</f>
        <v>0</v>
      </c>
      <c r="CV148" s="535">
        <f t="shared" si="337"/>
        <v>0</v>
      </c>
      <c r="CW148" s="535">
        <f>IF(Sheet1!ER146="OTHER",DA148,0)</f>
        <v>0</v>
      </c>
      <c r="CX148" s="535">
        <f t="shared" si="338"/>
        <v>0</v>
      </c>
      <c r="CY148" s="535">
        <f t="shared" si="339"/>
        <v>6.49</v>
      </c>
      <c r="CZ148" s="535">
        <f t="shared" si="340"/>
        <v>6.4593971034018196</v>
      </c>
      <c r="DA148" s="535">
        <f>IF(OR(Sheet1!ER146="FM", Sheet1!ER146="OTHER"),SUM(Sheet1!BK146:'Sheet1'!BM146),0)</f>
        <v>0</v>
      </c>
      <c r="DB148" s="1011">
        <f>IF(AND($B148&gt;=$FV148,$B148&lt;=$FW148),MAX($CT148,Sheet1!EK146,0),MAX($CT148-(7/36)*$K148,0))</f>
        <v>0</v>
      </c>
      <c r="DC148" s="1012">
        <f t="shared" si="341"/>
        <v>6.1094917854870694</v>
      </c>
      <c r="DD148" s="1011">
        <f t="shared" si="342"/>
        <v>6.4593971034018196</v>
      </c>
      <c r="DE148" s="521">
        <f>IF(AND($O148&gt;0,Sheet1!EO146=1),(1-($O148-Sheet1!$L146)/$O148)*CZ148,0)</f>
        <v>0</v>
      </c>
      <c r="DF148" s="521">
        <f>IF(AND(Sheet1!$L146=0,Sheet1!$L145=0, Calculation!CY148&lt;Sheet1!$EK146-0.1,Sheet1!$EK146=Sheet1!$EK145,Sheet1!$EK146=Sheet1!$EK147),CZ148-DE148,CZ148-DE148)</f>
        <v>6.4593971034018196</v>
      </c>
      <c r="DG148" s="1040">
        <f t="shared" si="418"/>
        <v>12.568888888888889</v>
      </c>
      <c r="DH148" s="649">
        <f t="shared" si="343"/>
        <v>11.49</v>
      </c>
      <c r="DI148" s="535">
        <f t="shared" si="344"/>
        <v>553.292236323731</v>
      </c>
      <c r="DJ148" s="649">
        <f t="shared" si="345"/>
        <v>11.435820141461774</v>
      </c>
      <c r="DK148" s="535">
        <f ca="1">IF(B148&gt;Summary!$A$1,#N/A,DI148*MGtoAF)</f>
        <v>1697.5005810412067</v>
      </c>
      <c r="DL148" s="649">
        <f t="shared" si="346"/>
        <v>11.49</v>
      </c>
      <c r="DM148" s="535">
        <f t="shared" si="347"/>
        <v>29.689999999999998</v>
      </c>
      <c r="DN148" s="535">
        <f>Sheet1!AB146-DM148</f>
        <v>-0.13999999999999702</v>
      </c>
      <c r="DO148" s="743">
        <f t="shared" si="348"/>
        <v>-4.7153923880093309E-3</v>
      </c>
      <c r="DP148" s="535">
        <f>(VLOOKUP(Sheet1!DC146,hhdcap_wcm,4)-(((VLOOKUP(Sheet1!DC146,hhdcap_wcm,3)-Sheet1!DC146)/(VLOOKUP(Sheet1!DC146,hhdcap_wcm,3)-VLOOKUP(Sheet1!DC146,hhdcap_wcm,1)))*(VLOOKUP(Sheet1!DC146,hhdcap_wcm,4)-VLOOKUP(Sheet1!DC146,hhdcap_wcm,2))))</f>
        <v>41978.000000104359</v>
      </c>
      <c r="DQ148" s="535">
        <f t="shared" si="349"/>
        <v>1051.5000000019354</v>
      </c>
      <c r="DR148" s="535">
        <f t="shared" si="350"/>
        <v>530.25718608267027</v>
      </c>
      <c r="DS148" s="535">
        <f>Sheet1!EA146*AFtoMG</f>
        <v>0</v>
      </c>
      <c r="DT148" s="535">
        <f>Sheet1!EB146*AFtoMG</f>
        <v>0</v>
      </c>
      <c r="DU148" s="535">
        <f>Sheet1!EC146*AFtoMG</f>
        <v>0</v>
      </c>
      <c r="DV148" s="535">
        <f>Sheet1!ED146*AFtoMG</f>
        <v>0</v>
      </c>
      <c r="DW148" s="535">
        <f t="shared" si="351"/>
        <v>0</v>
      </c>
      <c r="DX148" s="535">
        <f t="shared" si="352"/>
        <v>0</v>
      </c>
      <c r="DY148" s="535">
        <f t="shared" si="353"/>
        <v>4896.5856454223285</v>
      </c>
      <c r="DZ148" s="535">
        <f t="shared" si="354"/>
        <v>15022.724760155705</v>
      </c>
      <c r="EA148" s="535"/>
      <c r="EB148" s="521">
        <f>IF(OR(B148&lt;FV148,B148&gt;FW148),(MIN(BF148+BY148+CT148+MAX(Sheet1!AA146+AQ148-73,0),K148)),0)</f>
        <v>11.435820141461774</v>
      </c>
      <c r="EC148" s="535"/>
      <c r="ED148" s="535">
        <f t="shared" si="355"/>
        <v>11.435820141461774</v>
      </c>
      <c r="EE148" s="535"/>
      <c r="EF148" s="535">
        <f>Sheet1!EH146+Sheet1!EI146+Sheet1!EJ146+Sheet1!EK146</f>
        <v>11.5</v>
      </c>
      <c r="EG148" s="1019">
        <f t="shared" si="419"/>
        <v>17.790499999999998</v>
      </c>
      <c r="EH148" s="521">
        <f t="shared" si="356"/>
        <v>0</v>
      </c>
      <c r="EI148" s="535">
        <f>IF(Sheet1!ET146=1,SUM('Calculations II'!AT148:BA148)+'Calculations II'!BC148+Sheet1!BV146+'Calculations II'!BE148+AP148,'Calculations II'!BK148)</f>
        <v>47.177871858538225</v>
      </c>
      <c r="EJ148" s="535">
        <f ca="1">EI148+'Calculations II'!D148+'Calculations II'!E148+'Calculations II'!O148</f>
        <v>48.956082675547414</v>
      </c>
      <c r="EK148" s="535"/>
      <c r="EL148" s="535"/>
      <c r="EM148" s="535">
        <f t="shared" si="357"/>
        <v>42872</v>
      </c>
      <c r="EN148" s="535">
        <f t="shared" si="358"/>
        <v>53.204179858538225</v>
      </c>
      <c r="EO148" s="535">
        <f t="shared" si="359"/>
        <v>82.30686624115863</v>
      </c>
      <c r="EP148" s="535">
        <v>0</v>
      </c>
      <c r="EQ148" s="535">
        <v>0</v>
      </c>
      <c r="ER148" s="535">
        <v>0</v>
      </c>
      <c r="ES148" s="521">
        <f t="shared" si="381"/>
        <v>-1.9387868684666754</v>
      </c>
      <c r="ET148" s="535">
        <f>-(VLOOKUP(Sheet1!BQ146,Lookup!$O$4:$Q$262,2)-VLOOKUP(Sheet1!BQ145,Lookup!$O$4:$Q$262,2))/1000000</f>
        <v>-0.96921400285137815</v>
      </c>
      <c r="EU148" s="535">
        <f>-(VLOOKUP(Sheet1!BR146,Lookup!$O$4:$Q$262,3)-VLOOKUP(Sheet1!BR145,Lookup!$O$4:$Q$262,3))/1000000</f>
        <v>-0.9695728656152971</v>
      </c>
      <c r="EV148" s="535"/>
      <c r="EW148" s="535"/>
      <c r="EX148" s="535"/>
      <c r="EY148" s="535"/>
      <c r="EZ148" s="535"/>
      <c r="FA148" s="535"/>
      <c r="FB148" s="535"/>
      <c r="FC148" s="535"/>
      <c r="FD148" s="567" t="e">
        <f t="shared" si="360"/>
        <v>#N/A</v>
      </c>
      <c r="FE148" s="567" t="e">
        <f t="shared" si="361"/>
        <v>#N/A</v>
      </c>
      <c r="FF148" s="568" t="e">
        <f t="shared" si="362"/>
        <v>#N/A</v>
      </c>
      <c r="FG148" s="569" t="s">
        <v>656</v>
      </c>
      <c r="FH148" s="569" t="s">
        <v>656</v>
      </c>
      <c r="FI148" s="567" t="e">
        <v>#N/A</v>
      </c>
      <c r="FJ148" s="567" t="e">
        <v>#N/A</v>
      </c>
      <c r="FK148" s="535"/>
      <c r="FL148" s="1015">
        <v>0</v>
      </c>
      <c r="FM148" s="535"/>
      <c r="FN148" s="535"/>
      <c r="FO148" s="535">
        <f>O148+((Sheet1!CS146)*GPMtoMGD)</f>
        <v>60.200768000000004</v>
      </c>
      <c r="FP148" s="535">
        <f>IF(Sheet1!AA146+AQ148&lt;=Calculation!N148,AQ148,Calculation!N148-Sheet1!AA146)</f>
        <v>18.114179858538229</v>
      </c>
      <c r="FQ148" s="535">
        <f>(Sheet1!BP146+Sheet1!BO146)/694.4</f>
        <v>1.7219182027649771</v>
      </c>
      <c r="FR148" s="541"/>
      <c r="FS148" s="541"/>
      <c r="FT148" s="541"/>
      <c r="FU148" s="541"/>
      <c r="FV148" s="1109">
        <f t="shared" si="382"/>
        <v>42918</v>
      </c>
      <c r="FW148" s="1109">
        <f t="shared" si="383"/>
        <v>43027</v>
      </c>
      <c r="FX148" s="541"/>
      <c r="FY148" s="541">
        <f>Sheet1!DA146-Sheet1!CZ146-Sheet1!AE146</f>
        <v>678.76030000000003</v>
      </c>
      <c r="FZ148" s="535">
        <f t="shared" si="420"/>
        <v>0.34155634446993188</v>
      </c>
      <c r="GA148" s="535"/>
      <c r="GB148" s="535" t="str">
        <f t="shared" si="384"/>
        <v>n</v>
      </c>
      <c r="GC148" s="539">
        <f t="shared" si="385"/>
        <v>42782</v>
      </c>
      <c r="GD148" s="1109">
        <f t="shared" si="386"/>
        <v>42904</v>
      </c>
      <c r="GE148" s="535">
        <f t="shared" si="404"/>
        <v>6520</v>
      </c>
      <c r="GF148" s="1109">
        <f t="shared" si="387"/>
        <v>42909</v>
      </c>
      <c r="GG148" s="535">
        <f t="shared" si="432"/>
        <v>3260</v>
      </c>
      <c r="GH148" s="539">
        <f t="shared" si="388"/>
        <v>43040</v>
      </c>
      <c r="GJ148" s="521">
        <f t="shared" si="389"/>
        <v>0</v>
      </c>
      <c r="GK148" s="535" t="str">
        <f t="shared" si="363"/>
        <v/>
      </c>
      <c r="GL148" s="535">
        <f t="shared" si="390"/>
        <v>0</v>
      </c>
      <c r="GM148" s="535" t="str">
        <f t="shared" si="391"/>
        <v/>
      </c>
      <c r="GN148" s="535">
        <f>IF(GK148="P",Lookup!$M$12,IF(GK148="PP",Lookup!$M$13,IF(GK148="PPP",Lookup!$M$14,IF(GK148="T",Lookup!$M$15,IF(GK148="TP",Lookup!$M$16,IF(GK148="TPP",Lookup!$M$17,IF(GK148="TPPP",Lookup!$M$18,0)))))))*GJ148</f>
        <v>0</v>
      </c>
      <c r="GO148" s="535">
        <f t="shared" si="392"/>
        <v>0</v>
      </c>
      <c r="GP148" s="535">
        <f t="shared" si="364"/>
        <v>7519.4634666666725</v>
      </c>
      <c r="GQ148" s="535">
        <f t="shared" si="403"/>
        <v>2450.9333333333352</v>
      </c>
      <c r="GR148" s="535"/>
      <c r="GS148" s="535">
        <f t="shared" si="393"/>
        <v>0</v>
      </c>
      <c r="GT148" s="535" t="str">
        <f t="shared" si="394"/>
        <v/>
      </c>
      <c r="GU148" s="535">
        <f>IF(GK148="P",Lookup!$N$12,IF(GK148="PP",Lookup!$N$13,IF(GK148="PPP",Lookup!$N$14,IF(GK148="T",Lookup!$N$15,IF(GK148="TP",Lookup!$N$16,IF(GK148="TPP",Lookup!$N$17,IF(GK148="TPPP",Lookup!$N$18,0)))))))*GJ148</f>
        <v>0</v>
      </c>
      <c r="GV148" s="535">
        <f t="shared" si="395"/>
        <v>0</v>
      </c>
      <c r="GW148" s="535">
        <f t="shared" si="365"/>
        <v>3225.4427238254007</v>
      </c>
      <c r="GX148" s="535">
        <f t="shared" si="400"/>
        <v>1051.317706592373</v>
      </c>
      <c r="GY148" s="535"/>
      <c r="GZ148" s="535">
        <f t="shared" si="396"/>
        <v>0</v>
      </c>
      <c r="HA148" s="535" t="str">
        <f t="shared" si="397"/>
        <v/>
      </c>
      <c r="HB148" s="535">
        <f>IF(GK148="P",Lookup!$N$12,IF(GK148="PP",Lookup!$N$13,IF(GK148="PPP",Lookup!$N$14,IF(GK148="T",Lookup!$N$15,IF(GK148="TP",Lookup!$N$16,IF(GK148="TPP",Lookup!$N$17,IF(GK148="TPPP",Lookup!$N$18,0)))))))*GJ148</f>
        <v>0</v>
      </c>
      <c r="HC148" s="521">
        <f t="shared" si="366"/>
        <v>0</v>
      </c>
      <c r="HD148" s="535">
        <f t="shared" si="367"/>
        <v>2580.3179886224252</v>
      </c>
      <c r="HE148" s="535">
        <f t="shared" si="401"/>
        <v>841.04236917288961</v>
      </c>
      <c r="HF148" s="535"/>
      <c r="HG148" s="535">
        <f t="shared" si="398"/>
        <v>0</v>
      </c>
      <c r="HH148" s="535" t="str">
        <f t="shared" si="399"/>
        <v/>
      </c>
      <c r="HI148" s="535">
        <f>IF(GK148="P",Lookup!$N$12,IF(GK148="PP",Lookup!$N$13,IF(GK148="PPP",Lookup!$N$14,IF(GK148="T",Lookup!$N$15,IF(GK148="TP",Lookup!$N$16,IF(GK148="TPP",Lookup!$N$17,IF(GK148="TPPP",Lookup!$N$18,0)))))))*GJ148</f>
        <v>0</v>
      </c>
      <c r="HJ148" s="521">
        <f t="shared" si="368"/>
        <v>0</v>
      </c>
      <c r="HK148" s="535">
        <f t="shared" si="369"/>
        <v>1697.5005810412067</v>
      </c>
      <c r="HL148" s="535">
        <f t="shared" si="402"/>
        <v>553.292236323731</v>
      </c>
      <c r="HM148" s="535"/>
      <c r="HN148" s="541"/>
      <c r="HO148" s="541"/>
      <c r="HP148" s="541"/>
      <c r="HQ148" s="541">
        <f>IF(AND(B148&gt;=$FV$4,B148&lt;=$FW$4),MAX(110/1.02+$HQ$6+MIN(113/1.02,G148),IF($HV$6-(Sheet1!DA146-Sheet1!DB146)+MIN(113/1.02,G148)&lt;G148+FL148,$HV$6-(Sheet1!DA146-Sheet1!DB146)+MIN(113/1.02,G148),G148+FL148)),MIN(110/1.02+$HQ$6+113/1.02,G148))</f>
        <v>218.62745098039215</v>
      </c>
      <c r="HR148" s="541">
        <f t="shared" si="421"/>
        <v>223</v>
      </c>
      <c r="HS148" s="541">
        <f>HR148+(Sheet1!DA146-Sheet1!DB146)</f>
        <v>1024</v>
      </c>
      <c r="HT148" s="541">
        <f t="shared" si="422"/>
        <v>67.464669999999998</v>
      </c>
      <c r="HU148" s="541">
        <f t="shared" si="423"/>
        <v>956.53533000000004</v>
      </c>
      <c r="HV148" s="541">
        <f t="shared" si="424"/>
        <v>0</v>
      </c>
      <c r="HW148" s="533" t="str">
        <f t="shared" si="425"/>
        <v/>
      </c>
      <c r="HX148" s="541">
        <f t="shared" si="426"/>
        <v>1238.372549019608</v>
      </c>
      <c r="HY148" s="541">
        <f>Sheet1!CZ146</f>
        <v>1457</v>
      </c>
      <c r="HZ148" s="541">
        <f t="shared" si="427"/>
        <v>0</v>
      </c>
      <c r="IA148" s="541">
        <f t="shared" si="428"/>
        <v>67.464669999999998</v>
      </c>
      <c r="IB148" s="541">
        <f t="shared" si="429"/>
        <v>1457</v>
      </c>
      <c r="IC148" s="1019" t="str">
        <f t="shared" si="430"/>
        <v/>
      </c>
      <c r="ID148" s="541">
        <f t="shared" si="431"/>
        <v>1389.5353299999999</v>
      </c>
      <c r="IE148" s="541">
        <f>Sheet1!DB146</f>
        <v>1420</v>
      </c>
      <c r="IF148" s="533">
        <f>Sheet1!DA146</f>
        <v>2221</v>
      </c>
      <c r="IH148" s="541">
        <f>IF(AND($B148&gt;=$GC148,$B148&lt;=$GH148,$DR148&lt;0)+N("only adjusted when pool is drawn down during storage season"),Sheet1!$DB146+$DR148+N("Palmer minus all storage release"),Sheet1!$DB146)</f>
        <v>1420</v>
      </c>
      <c r="II148" s="541">
        <f>IF(AND($B148&gt;=$GC148,$B148&lt;=$GH148,$DR148&lt;0)+N("only adjusted when pool is drawn down during storage season"),Sheet1!$DA146+$DR148+N("Auburn minus all storage release"),Sheet1!$DA146)</f>
        <v>2221</v>
      </c>
    </row>
    <row r="149" spans="1:243" x14ac:dyDescent="0.25">
      <c r="A149" s="553" t="s">
        <v>7</v>
      </c>
      <c r="B149" s="531">
        <v>42873</v>
      </c>
      <c r="C149" s="536">
        <v>0</v>
      </c>
      <c r="D149" s="506">
        <f t="shared" si="371"/>
        <v>300</v>
      </c>
      <c r="E149" s="506">
        <f t="shared" si="372"/>
        <v>250</v>
      </c>
      <c r="F149" s="506">
        <v>250</v>
      </c>
      <c r="G149" s="535">
        <f>DR149+Sheet1!CZ147</f>
        <v>1940.2244074643058</v>
      </c>
      <c r="H149" s="1074">
        <f t="shared" si="405"/>
        <v>839.67289542399999</v>
      </c>
      <c r="I149" s="534">
        <f>IF(Sheet1!DA147&gt;=E149,(Sheet1!DA147-E149+P149)*CFStoMGD,0)</f>
        <v>1303.7880954239999</v>
      </c>
      <c r="J149" s="995">
        <f>IF(Sheet1!DB147&gt;=D149,(Sheet1!DB147-D149+P149)*CFStoMGD,0)</f>
        <v>839.67289542399999</v>
      </c>
      <c r="K149" s="818">
        <f t="shared" si="406"/>
        <v>64.64</v>
      </c>
      <c r="L149" s="535">
        <f>Sheet1!AA147+Sheet1!AB147-Sheet1!L147+(Sheet1!DA147-F149)*CFStoMGD-S149-T149-U149</f>
        <v>1239.1491999999998</v>
      </c>
      <c r="M149" s="535">
        <f t="shared" si="309"/>
        <v>1279.2442781246259</v>
      </c>
      <c r="N149" s="824">
        <f>IF(Sheet1!DA147&gt;=F149,MIN(113*CFStoMGD,MIN(MAX(L149,0),MAX(M149,0))),0)</f>
        <v>73.043199999999999</v>
      </c>
      <c r="O149" s="538">
        <f>Sheet1!AA147+Sheet1!AB147</f>
        <v>57.53</v>
      </c>
      <c r="P149" s="538">
        <f t="shared" si="310"/>
        <v>88.998909999999995</v>
      </c>
      <c r="Q149" s="812">
        <f t="shared" si="407"/>
        <v>46.05</v>
      </c>
      <c r="R149" s="812">
        <f t="shared" si="373"/>
        <v>11.426321695760599</v>
      </c>
      <c r="S149" s="812">
        <f t="shared" si="374"/>
        <v>11.48</v>
      </c>
      <c r="T149" s="812">
        <f t="shared" si="375"/>
        <v>53.16</v>
      </c>
      <c r="U149" s="812">
        <f t="shared" si="408"/>
        <v>0</v>
      </c>
      <c r="V149" s="812"/>
      <c r="W149" s="812">
        <f t="shared" si="376"/>
        <v>53.213678304239401</v>
      </c>
      <c r="X149" s="812">
        <f t="shared" si="377"/>
        <v>64.64</v>
      </c>
      <c r="Y149" s="812" t="str">
        <f t="shared" si="378"/>
        <v>FALSE</v>
      </c>
      <c r="Z149" s="812">
        <f t="shared" si="379"/>
        <v>57.53</v>
      </c>
      <c r="AA149" s="812">
        <f t="shared" si="380"/>
        <v>57.53</v>
      </c>
      <c r="AB149" s="1059">
        <f t="shared" si="409"/>
        <v>71.239349999999988</v>
      </c>
      <c r="AC149" s="538">
        <f>Sheet1!Y147*MGDtoCFS</f>
        <v>39.525849999999998</v>
      </c>
      <c r="AD149" s="538">
        <f>Sheet1!Z147*MGDtoCFS</f>
        <v>45.404449999999997</v>
      </c>
      <c r="AE149" s="538">
        <f>Sheet1!AA147*MGDtoCFS</f>
        <v>39.603200000000001</v>
      </c>
      <c r="AF149" s="538">
        <f>Sheet1!AB147*MGDtoCFS</f>
        <v>49.395709999999994</v>
      </c>
      <c r="AG149" s="538">
        <f>Sheet1!L147*MGDtoCFS</f>
        <v>0</v>
      </c>
      <c r="AH149" s="521">
        <f t="shared" si="311"/>
        <v>0</v>
      </c>
      <c r="AI149" s="1059">
        <f t="shared" si="312"/>
        <v>0</v>
      </c>
      <c r="AJ149" s="535">
        <f t="shared" si="313"/>
        <v>53.213678304239401</v>
      </c>
      <c r="AK149" s="535">
        <f t="shared" si="314"/>
        <v>82.321560336658351</v>
      </c>
      <c r="AL149" s="535">
        <f>(VLOOKUP(Sheet1!DC147,hhdcap_wcm,4)-(((VLOOKUP(Sheet1!DC147,hhdcap_wcm,3)-Sheet1!DC147)/(VLOOKUP(Sheet1!DC147,hhdcap_wcm,3)-VLOOKUP(Sheet1!DC147,hhdcap_wcm,1)))*(VLOOKUP(Sheet1!DC147,hhdcap_wcm,4)-VLOOKUP(Sheet1!DC147,hhdcap_wcm,2))))</f>
        <v>42741.900000106078</v>
      </c>
      <c r="AM149" s="535">
        <f t="shared" si="315"/>
        <v>763.90000000171858</v>
      </c>
      <c r="AN149" s="1035">
        <f t="shared" si="316"/>
        <v>4949.7993237265691</v>
      </c>
      <c r="AO149" s="535">
        <f t="shared" si="317"/>
        <v>15185.984325193114</v>
      </c>
      <c r="AP149" s="535">
        <f>Sheet1!BA147+Sheet1!BB147+Sheet1!BN147+CD149</f>
        <v>20.6</v>
      </c>
      <c r="AQ149" s="535">
        <f>Sheet1!BN147+(DO149*Sheet1!BN147)</f>
        <v>20.503678304239404</v>
      </c>
      <c r="AR149" s="535">
        <f>Sheet1!BA147+CD149</f>
        <v>0</v>
      </c>
      <c r="AS149" s="535">
        <f>Sheet1!BA147+Sheet1!BB147+CD149</f>
        <v>0</v>
      </c>
      <c r="AT149" s="649">
        <f>0</f>
        <v>0</v>
      </c>
      <c r="AU149" s="535">
        <f>IF(EB149&lt;K149,0,MAX(Sheet1!AA147+AQ149-15/36*K149-N149,Sheet1!EH147,0))</f>
        <v>0</v>
      </c>
      <c r="AV149" s="535">
        <f>IF(OR(B149&gt;=GD149,B149&lt;GC149),0,15/36*K149-MAX(0,64.6-(137.6-(Sheet1!AA147+Sheet1!AB147))))</f>
        <v>26.933333333333334</v>
      </c>
      <c r="AW149" s="1029"/>
      <c r="AX149" s="649"/>
      <c r="AY149" s="649">
        <f t="shared" si="410"/>
        <v>0</v>
      </c>
      <c r="AZ149" s="649">
        <f t="shared" si="411"/>
        <v>0</v>
      </c>
      <c r="BA149" s="1059">
        <f t="shared" si="412"/>
        <v>0</v>
      </c>
      <c r="BB149" s="1019">
        <f t="shared" si="318"/>
        <v>2477.8666666666686</v>
      </c>
      <c r="BC149" s="1041">
        <f t="shared" si="413"/>
        <v>26.933333333333334</v>
      </c>
      <c r="BD149" s="1019">
        <f ca="1">IF(B149&gt;Summary!$A$1,#N/A,BB149*MGtoAF)</f>
        <v>7602.0949333333392</v>
      </c>
      <c r="BE149" s="535">
        <f>Sheet1!BG147+Sheet1!BH147+Sheet1!BI147-BM149</f>
        <v>1.01</v>
      </c>
      <c r="BF149" s="535">
        <f t="shared" si="319"/>
        <v>1.0052774314214465</v>
      </c>
      <c r="BG149" s="535">
        <f>IF(Sheet1!EP147="FM",BM149,0)</f>
        <v>0</v>
      </c>
      <c r="BH149" s="535">
        <f t="shared" si="320"/>
        <v>0</v>
      </c>
      <c r="BI149" s="535">
        <f>IF(Sheet1!EP147="OTHER",BM149,0)</f>
        <v>0</v>
      </c>
      <c r="BJ149" s="535">
        <f t="shared" si="321"/>
        <v>0</v>
      </c>
      <c r="BK149" s="535">
        <f t="shared" si="322"/>
        <v>1.01</v>
      </c>
      <c r="BL149" s="535">
        <f t="shared" si="323"/>
        <v>1.0052774314214465</v>
      </c>
      <c r="BM149" s="535">
        <f>IF(OR(Sheet1!EP147="FM", Sheet1!EP147="OTHER"),SUM(Sheet1!BG147:'Sheet1'!BI147),0)</f>
        <v>0</v>
      </c>
      <c r="BN149" s="521">
        <f>IF(AND($B149&gt;=$FV149,$B149&lt;=$FW149),MAX(BF149,Sheet1!EI147,0),MAX(BF149-(7/36)*$K149,0))</f>
        <v>0</v>
      </c>
      <c r="BO149" s="535">
        <f t="shared" si="324"/>
        <v>11.563611457467442</v>
      </c>
      <c r="BP149" s="521">
        <f t="shared" si="325"/>
        <v>1.0052774314214465</v>
      </c>
      <c r="BQ149" s="521">
        <f>IF(AND($O149&gt;0,Sheet1!EM147=1),(1-($O149-Sheet1!$L147)/$O149)*BL149,0)</f>
        <v>0</v>
      </c>
      <c r="BR149" s="521">
        <f>IF(AND(Sheet1!$L147=0,Sheet1!$L146=0, Calculation!BK149&lt;Sheet1!$EI147-0.1,Sheet1!$EI147=Sheet1!$EI146,Sheet1!$EI147=Sheet1!$EI148),BL149-BQ149,BL149-BQ149)</f>
        <v>1.0052774314214465</v>
      </c>
      <c r="BS149" s="1035" t="str">
        <f t="shared" si="414"/>
        <v/>
      </c>
      <c r="BT149" s="1035">
        <f t="shared" si="415"/>
        <v>12.568888888888889</v>
      </c>
      <c r="BU149" s="535">
        <f t="shared" si="326"/>
        <v>1062.8813180498405</v>
      </c>
      <c r="BV149" s="535"/>
      <c r="BW149" s="535">
        <f ca="1">IF(B149&gt;Summary!$A$1,#N/A,BU149*MGtoAF)</f>
        <v>3260.9198837769109</v>
      </c>
      <c r="BX149" s="535">
        <f>Sheet1!BC147+Sheet1!BD147+Sheet1!BE147+Sheet1!BF147-CG149-CH149</f>
        <v>3.99</v>
      </c>
      <c r="BY149" s="535">
        <f t="shared" si="327"/>
        <v>3.9713435162094766</v>
      </c>
      <c r="BZ149" s="535">
        <f>IF(Sheet1!EQ147="FM",CH149,0)</f>
        <v>0</v>
      </c>
      <c r="CA149" s="535">
        <f t="shared" si="328"/>
        <v>0</v>
      </c>
      <c r="CB149" s="535">
        <f>IF(Sheet1!EQ147="OTHER",CH149,0)</f>
        <v>0</v>
      </c>
      <c r="CC149" s="535">
        <f t="shared" si="329"/>
        <v>0</v>
      </c>
      <c r="CD149" s="535">
        <f t="shared" si="330"/>
        <v>0</v>
      </c>
      <c r="CE149" s="535">
        <f t="shared" si="331"/>
        <v>3.99</v>
      </c>
      <c r="CF149" s="535">
        <f t="shared" si="332"/>
        <v>3.9713435162094766</v>
      </c>
      <c r="CG149" s="535">
        <f>IF(Sheet1!EQ147="CWA",SUM(Sheet1!BC147:'Sheet1'!BF147),0)</f>
        <v>0</v>
      </c>
      <c r="CH149" s="535">
        <f>IF(OR(Sheet1!EQ147="FM", Sheet1!EQ147="OTHER"),SUM(Sheet1!BC147:'Sheet1'!BF147),0)</f>
        <v>0</v>
      </c>
      <c r="CI149" s="521">
        <f>IF(AND($B149&gt;=$FV149,$B149&lt;=$FW149),MAX(CF149,Sheet1!EJ147,0),MAX(CF149-(7/36)*$K149,0))</f>
        <v>0</v>
      </c>
      <c r="CJ149" s="535">
        <f t="shared" si="333"/>
        <v>8.5975453726794129</v>
      </c>
      <c r="CK149" s="521">
        <f t="shared" si="334"/>
        <v>3.9713435162094766</v>
      </c>
      <c r="CL149" s="521">
        <f>IF(AND($O149&gt;0,Sheet1!EN147=1),(1-($O149-Sheet1!$L147)/$O149)*CF149,0)</f>
        <v>0</v>
      </c>
      <c r="CM149" s="521">
        <f>IF(AND(Sheet1!$L147=0,Sheet1!$L146=0, Calculation!CE149&lt;Sheet1!EJ147-0.1,Sheet1!EJ147=Sheet1!EJ146,Sheet1!EJ147=Sheet1!EJ148),CF149-CL149,CF149-CL149)</f>
        <v>3.9713435162094766</v>
      </c>
      <c r="CN149" s="1040" t="str">
        <f t="shared" si="416"/>
        <v/>
      </c>
      <c r="CO149" s="1035">
        <f t="shared" si="417"/>
        <v>12.568888888888889</v>
      </c>
      <c r="CP149" s="535">
        <f t="shared" si="335"/>
        <v>849.63991454556901</v>
      </c>
      <c r="CQ149" s="535"/>
      <c r="CR149" s="535">
        <f ca="1">IF(B149&gt;Summary!$A$1,#N/A,CP149*MGtoAF)</f>
        <v>2606.6952578258056</v>
      </c>
      <c r="CS149" s="535">
        <f>Sheet1!BK147+Sheet1!BL147+Sheet1!BM147-Sheet1!ER147-DA149</f>
        <v>6.48</v>
      </c>
      <c r="CT149" s="535">
        <f t="shared" si="336"/>
        <v>6.4497007481296764</v>
      </c>
      <c r="CU149" s="535">
        <f>IF(Sheet1!ER147="FM",DA149,0)</f>
        <v>0</v>
      </c>
      <c r="CV149" s="535">
        <f t="shared" si="337"/>
        <v>0</v>
      </c>
      <c r="CW149" s="535">
        <f>IF(Sheet1!ER147="OTHER",DA149,0)</f>
        <v>0</v>
      </c>
      <c r="CX149" s="535">
        <f t="shared" si="338"/>
        <v>0</v>
      </c>
      <c r="CY149" s="535">
        <f t="shared" si="339"/>
        <v>6.48</v>
      </c>
      <c r="CZ149" s="535">
        <f t="shared" si="340"/>
        <v>6.4497007481296764</v>
      </c>
      <c r="DA149" s="535">
        <f>IF(OR(Sheet1!ER147="FM", Sheet1!ER147="OTHER"),SUM(Sheet1!BK147:'Sheet1'!BM147),0)</f>
        <v>0</v>
      </c>
      <c r="DB149" s="1011">
        <f>IF(AND($B149&gt;=$FV149,$B149&lt;=$FW149),MAX($CT149,Sheet1!EK147,0),MAX($CT149-(7/36)*$K149,0))</f>
        <v>0</v>
      </c>
      <c r="DC149" s="1012">
        <f t="shared" si="341"/>
        <v>6.1191881407592126</v>
      </c>
      <c r="DD149" s="1011">
        <f t="shared" si="342"/>
        <v>6.4497007481296764</v>
      </c>
      <c r="DE149" s="521">
        <f>IF(AND($O149&gt;0,Sheet1!EO147=1),(1-($O149-Sheet1!$L147)/$O149)*CZ149,0)</f>
        <v>0</v>
      </c>
      <c r="DF149" s="521">
        <f>IF(AND(Sheet1!$L147=0,Sheet1!$L146=0, Calculation!CY149&lt;Sheet1!$EK147-0.1,Sheet1!$EK147=Sheet1!$EK146,Sheet1!$EK147=Sheet1!$EK148),CZ149-DE149,CZ149-DE149)</f>
        <v>6.4497007481296764</v>
      </c>
      <c r="DG149" s="1040">
        <f t="shared" si="418"/>
        <v>12.568888888888889</v>
      </c>
      <c r="DH149" s="649">
        <f t="shared" si="343"/>
        <v>11.48</v>
      </c>
      <c r="DI149" s="535">
        <f t="shared" si="344"/>
        <v>559.41142446449021</v>
      </c>
      <c r="DJ149" s="649">
        <f t="shared" si="345"/>
        <v>11.426321695760599</v>
      </c>
      <c r="DK149" s="535">
        <f ca="1">IF(B149&gt;Summary!$A$1,#N/A,DI149*MGtoAF)</f>
        <v>1716.2742502570561</v>
      </c>
      <c r="DL149" s="649">
        <f t="shared" si="346"/>
        <v>11.48</v>
      </c>
      <c r="DM149" s="535">
        <f t="shared" si="347"/>
        <v>32.08</v>
      </c>
      <c r="DN149" s="535">
        <f>Sheet1!AB147-DM149</f>
        <v>-0.14999999999999858</v>
      </c>
      <c r="DO149" s="743">
        <f t="shared" si="348"/>
        <v>-4.6758104738154173E-3</v>
      </c>
      <c r="DP149" s="535">
        <f>(VLOOKUP(Sheet1!DC147,hhdcap_wcm,4)-(((VLOOKUP(Sheet1!DC147,hhdcap_wcm,3)-Sheet1!DC147)/(VLOOKUP(Sheet1!DC147,hhdcap_wcm,3)-VLOOKUP(Sheet1!DC147,hhdcap_wcm,1)))*(VLOOKUP(Sheet1!DC147,hhdcap_wcm,4)-VLOOKUP(Sheet1!DC147,hhdcap_wcm,2))))</f>
        <v>42741.900000106078</v>
      </c>
      <c r="DQ149" s="535">
        <f t="shared" si="349"/>
        <v>763.90000000171858</v>
      </c>
      <c r="DR149" s="535">
        <f t="shared" si="350"/>
        <v>385.22440746430584</v>
      </c>
      <c r="DS149" s="535">
        <f>Sheet1!EA147*AFtoMG</f>
        <v>0</v>
      </c>
      <c r="DT149" s="535">
        <f>Sheet1!EB147*AFtoMG</f>
        <v>0</v>
      </c>
      <c r="DU149" s="535">
        <f>Sheet1!EC147*AFtoMG</f>
        <v>0</v>
      </c>
      <c r="DV149" s="535">
        <f>Sheet1!ED147*AFtoMG</f>
        <v>0</v>
      </c>
      <c r="DW149" s="535">
        <f t="shared" si="351"/>
        <v>0</v>
      </c>
      <c r="DX149" s="535">
        <f t="shared" si="352"/>
        <v>0</v>
      </c>
      <c r="DY149" s="535">
        <f t="shared" si="353"/>
        <v>4949.7993237265691</v>
      </c>
      <c r="DZ149" s="535">
        <f t="shared" si="354"/>
        <v>15185.984325193114</v>
      </c>
      <c r="EA149" s="535"/>
      <c r="EB149" s="521">
        <f>IF(OR(B149&lt;FV149,B149&gt;FW149),(MIN(BF149+BY149+CT149+MAX(Sheet1!AA147+AQ149-73,0),K149)),0)</f>
        <v>11.426321695760599</v>
      </c>
      <c r="EC149" s="535"/>
      <c r="ED149" s="535">
        <f t="shared" si="355"/>
        <v>11.426321695760599</v>
      </c>
      <c r="EE149" s="535"/>
      <c r="EF149" s="535">
        <f>Sheet1!EH147+Sheet1!EI147+Sheet1!EJ147+Sheet1!EK147</f>
        <v>11.5</v>
      </c>
      <c r="EG149" s="1019">
        <f t="shared" si="419"/>
        <v>17.790499999999998</v>
      </c>
      <c r="EH149" s="521">
        <f t="shared" si="356"/>
        <v>0</v>
      </c>
      <c r="EI149" s="535">
        <f>IF(Sheet1!ET147=1,SUM('Calculations II'!AT149:BA149)+'Calculations II'!BC149+Sheet1!BV147+'Calculations II'!BE149+AP149,'Calculations II'!BK149)</f>
        <v>47.202490304239404</v>
      </c>
      <c r="EJ149" s="535">
        <f ca="1">EI149+'Calculations II'!D149+'Calculations II'!E149+'Calculations II'!O149</f>
        <v>49.560074069423528</v>
      </c>
      <c r="EK149" s="535"/>
      <c r="EL149" s="535"/>
      <c r="EM149" s="535">
        <f t="shared" si="357"/>
        <v>42873</v>
      </c>
      <c r="EN149" s="535">
        <f t="shared" si="358"/>
        <v>53.213678304239401</v>
      </c>
      <c r="EO149" s="535">
        <f t="shared" si="359"/>
        <v>82.321560336658351</v>
      </c>
      <c r="EP149" s="535">
        <v>0</v>
      </c>
      <c r="EQ149" s="535">
        <v>0</v>
      </c>
      <c r="ER149" s="535">
        <v>0</v>
      </c>
      <c r="ES149" s="521">
        <f t="shared" si="381"/>
        <v>-3.7409540329258855</v>
      </c>
      <c r="ET149" s="535">
        <f>-(VLOOKUP(Sheet1!BQ147,Lookup!$O$4:$Q$262,2)-VLOOKUP(Sheet1!BQ146,Lookup!$O$4:$Q$262,2))/1000000</f>
        <v>-1.662240280886311</v>
      </c>
      <c r="EU149" s="535">
        <f>-(VLOOKUP(Sheet1!BR147,Lookup!$O$4:$Q$262,3)-VLOOKUP(Sheet1!BR146,Lookup!$O$4:$Q$262,3))/1000000</f>
        <v>-2.0787137520395742</v>
      </c>
      <c r="EV149" s="535"/>
      <c r="EW149" s="535"/>
      <c r="EX149" s="535"/>
      <c r="EY149" s="535"/>
      <c r="EZ149" s="535"/>
      <c r="FA149" s="535"/>
      <c r="FB149" s="535"/>
      <c r="FC149" s="535"/>
      <c r="FD149" s="567" t="e">
        <f t="shared" si="360"/>
        <v>#N/A</v>
      </c>
      <c r="FE149" s="567" t="e">
        <f t="shared" si="361"/>
        <v>#N/A</v>
      </c>
      <c r="FF149" s="568" t="e">
        <f t="shared" si="362"/>
        <v>#N/A</v>
      </c>
      <c r="FG149" s="569" t="s">
        <v>656</v>
      </c>
      <c r="FH149" s="569" t="s">
        <v>656</v>
      </c>
      <c r="FI149" s="567" t="e">
        <v>#N/A</v>
      </c>
      <c r="FJ149" s="567" t="e">
        <v>#N/A</v>
      </c>
      <c r="FK149" s="535"/>
      <c r="FL149" s="1015">
        <v>0</v>
      </c>
      <c r="FM149" s="535"/>
      <c r="FN149" s="535"/>
      <c r="FO149" s="535">
        <f>O149+((Sheet1!CS147)*GPMtoMGD)</f>
        <v>62.615648</v>
      </c>
      <c r="FP149" s="535">
        <f>IF(Sheet1!AA147+AQ149&lt;=Calculation!N149,AQ149,Calculation!N149-Sheet1!AA147)</f>
        <v>20.503678304239404</v>
      </c>
      <c r="FQ149" s="535">
        <f>(Sheet1!BP147+Sheet1!BO147)/694.4</f>
        <v>0.99164746543778803</v>
      </c>
      <c r="FR149" s="541"/>
      <c r="FS149" s="541"/>
      <c r="FT149" s="541"/>
      <c r="FU149" s="541"/>
      <c r="FV149" s="1109">
        <f t="shared" si="382"/>
        <v>42918</v>
      </c>
      <c r="FW149" s="1109">
        <f t="shared" si="383"/>
        <v>43027</v>
      </c>
      <c r="FX149" s="541"/>
      <c r="FY149" s="541">
        <f>Sheet1!DA147-Sheet1!CZ147-Sheet1!AE147</f>
        <v>534.00108999999998</v>
      </c>
      <c r="FZ149" s="535">
        <f t="shared" si="420"/>
        <v>0.27522645728278933</v>
      </c>
      <c r="GA149" s="535"/>
      <c r="GB149" s="535" t="str">
        <f t="shared" si="384"/>
        <v>n</v>
      </c>
      <c r="GC149" s="539">
        <f t="shared" si="385"/>
        <v>42782</v>
      </c>
      <c r="GD149" s="1109">
        <f t="shared" si="386"/>
        <v>42904</v>
      </c>
      <c r="GE149" s="535">
        <f t="shared" si="404"/>
        <v>6520</v>
      </c>
      <c r="GF149" s="1109">
        <f t="shared" si="387"/>
        <v>42909</v>
      </c>
      <c r="GG149" s="535">
        <f t="shared" si="432"/>
        <v>3260</v>
      </c>
      <c r="GH149" s="539">
        <f t="shared" si="388"/>
        <v>43040</v>
      </c>
      <c r="GJ149" s="521">
        <f t="shared" si="389"/>
        <v>0</v>
      </c>
      <c r="GK149" s="535" t="str">
        <f t="shared" si="363"/>
        <v/>
      </c>
      <c r="GL149" s="535">
        <f t="shared" si="390"/>
        <v>0</v>
      </c>
      <c r="GM149" s="535" t="str">
        <f t="shared" si="391"/>
        <v/>
      </c>
      <c r="GN149" s="535">
        <f>IF(GK149="P",Lookup!$M$12,IF(GK149="PP",Lookup!$M$13,IF(GK149="PPP",Lookup!$M$14,IF(GK149="T",Lookup!$M$15,IF(GK149="TP",Lookup!$M$16,IF(GK149="TPP",Lookup!$M$17,IF(GK149="TPPP",Lookup!$M$18,0)))))))*GJ149</f>
        <v>0</v>
      </c>
      <c r="GO149" s="535">
        <f t="shared" si="392"/>
        <v>0</v>
      </c>
      <c r="GP149" s="535">
        <f t="shared" si="364"/>
        <v>7602.0949333333392</v>
      </c>
      <c r="GQ149" s="535">
        <f t="shared" si="403"/>
        <v>2477.8666666666686</v>
      </c>
      <c r="GR149" s="535"/>
      <c r="GS149" s="535">
        <f t="shared" si="393"/>
        <v>0</v>
      </c>
      <c r="GT149" s="535" t="str">
        <f t="shared" si="394"/>
        <v/>
      </c>
      <c r="GU149" s="535">
        <f>IF(GK149="P",Lookup!$N$12,IF(GK149="PP",Lookup!$N$13,IF(GK149="PPP",Lookup!$N$14,IF(GK149="T",Lookup!$N$15,IF(GK149="TP",Lookup!$N$16,IF(GK149="TPP",Lookup!$N$17,IF(GK149="TPPP",Lookup!$N$18,0)))))))*GJ149</f>
        <v>0</v>
      </c>
      <c r="GV149" s="535">
        <f t="shared" si="395"/>
        <v>0</v>
      </c>
      <c r="GW149" s="535">
        <f t="shared" si="365"/>
        <v>3260.9198837769109</v>
      </c>
      <c r="GX149" s="535">
        <f t="shared" si="400"/>
        <v>1062.8813180498405</v>
      </c>
      <c r="GY149" s="535"/>
      <c r="GZ149" s="535">
        <f t="shared" si="396"/>
        <v>0</v>
      </c>
      <c r="HA149" s="535" t="str">
        <f t="shared" si="397"/>
        <v/>
      </c>
      <c r="HB149" s="535">
        <f>IF(GK149="P",Lookup!$N$12,IF(GK149="PP",Lookup!$N$13,IF(GK149="PPP",Lookup!$N$14,IF(GK149="T",Lookup!$N$15,IF(GK149="TP",Lookup!$N$16,IF(GK149="TPP",Lookup!$N$17,IF(GK149="TPPP",Lookup!$N$18,0)))))))*GJ149</f>
        <v>0</v>
      </c>
      <c r="HC149" s="521">
        <f t="shared" si="366"/>
        <v>0</v>
      </c>
      <c r="HD149" s="535">
        <f t="shared" si="367"/>
        <v>2606.6952578258056</v>
      </c>
      <c r="HE149" s="535">
        <f t="shared" si="401"/>
        <v>849.63991454556901</v>
      </c>
      <c r="HF149" s="535"/>
      <c r="HG149" s="535">
        <f t="shared" si="398"/>
        <v>0</v>
      </c>
      <c r="HH149" s="535" t="str">
        <f t="shared" si="399"/>
        <v/>
      </c>
      <c r="HI149" s="535">
        <f>IF(GK149="P",Lookup!$N$12,IF(GK149="PP",Lookup!$N$13,IF(GK149="PPP",Lookup!$N$14,IF(GK149="T",Lookup!$N$15,IF(GK149="TP",Lookup!$N$16,IF(GK149="TPP",Lookup!$N$17,IF(GK149="TPPP",Lookup!$N$18,0)))))))*GJ149</f>
        <v>0</v>
      </c>
      <c r="HJ149" s="521">
        <f t="shared" si="368"/>
        <v>0</v>
      </c>
      <c r="HK149" s="535">
        <f t="shared" si="369"/>
        <v>1716.2742502570561</v>
      </c>
      <c r="HL149" s="535">
        <f t="shared" si="402"/>
        <v>559.41142446449021</v>
      </c>
      <c r="HM149" s="535"/>
      <c r="HN149" s="541"/>
      <c r="HO149" s="541"/>
      <c r="HP149" s="541"/>
      <c r="HQ149" s="541">
        <f>IF(AND(B149&gt;=$FV$4,B149&lt;=$FW$4),MAX(110/1.02+$HQ$6+MIN(113/1.02,G149),IF($HV$6-(Sheet1!DA147-Sheet1!DB147)+MIN(113/1.02,G149)&lt;G149+FL149,$HV$6-(Sheet1!DA147-Sheet1!DB147)+MIN(113/1.02,G149),G149+FL149)),MIN(110/1.02+$HQ$6+113/1.02,G149))</f>
        <v>218.62745098039215</v>
      </c>
      <c r="HR149" s="541">
        <f t="shared" si="421"/>
        <v>223</v>
      </c>
      <c r="HS149" s="541">
        <f>HR149+(Sheet1!DA147-Sheet1!DB147)</f>
        <v>891</v>
      </c>
      <c r="HT149" s="541">
        <f t="shared" si="422"/>
        <v>71.239349999999988</v>
      </c>
      <c r="HU149" s="541">
        <f t="shared" si="423"/>
        <v>819.76065000000006</v>
      </c>
      <c r="HV149" s="541">
        <f t="shared" si="424"/>
        <v>0</v>
      </c>
      <c r="HW149" s="533" t="str">
        <f t="shared" si="425"/>
        <v/>
      </c>
      <c r="HX149" s="541">
        <f t="shared" si="426"/>
        <v>1336.372549019608</v>
      </c>
      <c r="HY149" s="541">
        <f>Sheet1!CZ147</f>
        <v>1555</v>
      </c>
      <c r="HZ149" s="541">
        <f t="shared" si="427"/>
        <v>0</v>
      </c>
      <c r="IA149" s="541">
        <f t="shared" si="428"/>
        <v>71.239349999999988</v>
      </c>
      <c r="IB149" s="541">
        <f t="shared" si="429"/>
        <v>1555</v>
      </c>
      <c r="IC149" s="1019" t="str">
        <f t="shared" si="430"/>
        <v/>
      </c>
      <c r="ID149" s="541">
        <f t="shared" si="431"/>
        <v>1483.7606499999999</v>
      </c>
      <c r="IE149" s="541">
        <f>Sheet1!DB147</f>
        <v>1510</v>
      </c>
      <c r="IF149" s="533">
        <f>Sheet1!DA147</f>
        <v>2178</v>
      </c>
      <c r="IH149" s="541">
        <f>IF(AND($B149&gt;=$GC149,$B149&lt;=$GH149,$DR149&lt;0)+N("only adjusted when pool is drawn down during storage season"),Sheet1!$DB147+$DR149+N("Palmer minus all storage release"),Sheet1!$DB147)</f>
        <v>1510</v>
      </c>
      <c r="II149" s="541">
        <f>IF(AND($B149&gt;=$GC149,$B149&lt;=$GH149,$DR149&lt;0)+N("only adjusted when pool is drawn down during storage season"),Sheet1!$DA147+$DR149+N("Auburn minus all storage release"),Sheet1!$DA147)</f>
        <v>2178</v>
      </c>
    </row>
    <row r="150" spans="1:243" x14ac:dyDescent="0.25">
      <c r="A150" s="553" t="s">
        <v>8</v>
      </c>
      <c r="B150" s="531">
        <v>42874</v>
      </c>
      <c r="C150" s="536">
        <v>0</v>
      </c>
      <c r="D150" s="506">
        <f t="shared" si="371"/>
        <v>300</v>
      </c>
      <c r="E150" s="506">
        <f t="shared" si="372"/>
        <v>250</v>
      </c>
      <c r="F150" s="506">
        <v>250</v>
      </c>
      <c r="G150" s="535">
        <f>DR150+Sheet1!CZ148</f>
        <v>1853.6056480083114</v>
      </c>
      <c r="H150" s="1074">
        <f t="shared" si="405"/>
        <v>841.286988544</v>
      </c>
      <c r="I150" s="534">
        <f>IF(Sheet1!DA148&gt;=E150,(Sheet1!DA148-E150+P150)*CFStoMGD,0)</f>
        <v>1293.766988544</v>
      </c>
      <c r="J150" s="995">
        <f>IF(Sheet1!DB148&gt;=D150,(Sheet1!DB148-D150+P150)*CFStoMGD,0)</f>
        <v>841.286988544</v>
      </c>
      <c r="K150" s="818">
        <f t="shared" si="406"/>
        <v>64.64</v>
      </c>
      <c r="L150" s="535">
        <f>Sheet1!AA148+Sheet1!AB148-Sheet1!L148+(Sheet1!DA148-F150)*CFStoMGD-S150-T150-U150</f>
        <v>1229.1279999999999</v>
      </c>
      <c r="M150" s="535">
        <f t="shared" si="309"/>
        <v>1222.1341046900241</v>
      </c>
      <c r="N150" s="824">
        <f>IF(Sheet1!DA148&gt;=F150,MIN(113*CFStoMGD,MIN(MAX(L150,0),MAX(M150,0))),0)</f>
        <v>73.043199999999999</v>
      </c>
      <c r="O150" s="538">
        <f>Sheet1!AA148+Sheet1!AB148</f>
        <v>52.680000000000007</v>
      </c>
      <c r="P150" s="538">
        <f t="shared" si="310"/>
        <v>81.495959999999997</v>
      </c>
      <c r="Q150" s="812">
        <f t="shared" si="407"/>
        <v>40.52000000000001</v>
      </c>
      <c r="R150" s="812">
        <f t="shared" si="373"/>
        <v>12.092842415316643</v>
      </c>
      <c r="S150" s="812">
        <f t="shared" si="374"/>
        <v>12.16</v>
      </c>
      <c r="T150" s="812">
        <f t="shared" si="375"/>
        <v>52.480000000000004</v>
      </c>
      <c r="U150" s="812">
        <f t="shared" si="408"/>
        <v>0</v>
      </c>
      <c r="V150" s="812"/>
      <c r="W150" s="812">
        <f t="shared" si="376"/>
        <v>52.547157584683362</v>
      </c>
      <c r="X150" s="812">
        <f t="shared" si="377"/>
        <v>64.64</v>
      </c>
      <c r="Y150" s="812" t="str">
        <f t="shared" si="378"/>
        <v>FALSE</v>
      </c>
      <c r="Z150" s="812">
        <f t="shared" si="379"/>
        <v>52.680000000000007</v>
      </c>
      <c r="AA150" s="812">
        <f t="shared" si="380"/>
        <v>52.680000000000007</v>
      </c>
      <c r="AB150" s="1059">
        <f t="shared" si="409"/>
        <v>62.684440000000016</v>
      </c>
      <c r="AC150" s="538">
        <f>Sheet1!Y148*MGDtoCFS</f>
        <v>39.603200000000001</v>
      </c>
      <c r="AD150" s="538">
        <f>Sheet1!Z148*MGDtoCFS</f>
        <v>49.395709999999994</v>
      </c>
      <c r="AE150" s="538">
        <f>Sheet1!AA148*MGDtoCFS</f>
        <v>39.711489999999998</v>
      </c>
      <c r="AF150" s="538">
        <f>Sheet1!AB148*MGDtoCFS</f>
        <v>41.784469999999999</v>
      </c>
      <c r="AG150" s="538">
        <f>Sheet1!L148*MGDtoCFS</f>
        <v>0</v>
      </c>
      <c r="AH150" s="521">
        <f t="shared" si="311"/>
        <v>0</v>
      </c>
      <c r="AI150" s="1059">
        <f t="shared" si="312"/>
        <v>0</v>
      </c>
      <c r="AJ150" s="535">
        <f t="shared" si="313"/>
        <v>52.547157584683362</v>
      </c>
      <c r="AK150" s="535">
        <f t="shared" si="314"/>
        <v>81.29045278350516</v>
      </c>
      <c r="AL150" s="535">
        <f>(VLOOKUP(Sheet1!DC148,hhdcap_wcm,4)-(((VLOOKUP(Sheet1!DC148,hhdcap_wcm,3)-Sheet1!DC148)/(VLOOKUP(Sheet1!DC148,hhdcap_wcm,3)-VLOOKUP(Sheet1!DC148,hhdcap_wcm,1)))*(VLOOKUP(Sheet1!DC148,hhdcap_wcm,4)-VLOOKUP(Sheet1!DC148,hhdcap_wcm,2))))</f>
        <v>43244.800000106559</v>
      </c>
      <c r="AM150" s="535">
        <f t="shared" si="315"/>
        <v>502.90000000048167</v>
      </c>
      <c r="AN150" s="1035">
        <f t="shared" si="316"/>
        <v>5002.3464813112514</v>
      </c>
      <c r="AO150" s="535">
        <f t="shared" si="317"/>
        <v>15347.19900466292</v>
      </c>
      <c r="AP150" s="535">
        <f>Sheet1!BA148+Sheet1!BB148+Sheet1!BN148+CD150</f>
        <v>15</v>
      </c>
      <c r="AQ150" s="535">
        <f>Sheet1!BN148+(DO150*Sheet1!BN148)</f>
        <v>14.917157584683359</v>
      </c>
      <c r="AR150" s="535">
        <f>Sheet1!BA148+CD150</f>
        <v>0</v>
      </c>
      <c r="AS150" s="535">
        <f>Sheet1!BA148+Sheet1!BB148+CD150</f>
        <v>0</v>
      </c>
      <c r="AT150" s="649">
        <f>0</f>
        <v>0</v>
      </c>
      <c r="AU150" s="535">
        <f>IF(EB150&lt;K150,0,MAX(Sheet1!AA148+AQ150-15/36*K150-N150,Sheet1!EH148,0))</f>
        <v>0</v>
      </c>
      <c r="AV150" s="535">
        <f>IF(OR(B150&gt;=GD150,B150&lt;GC150),0,15/36*K150-MAX(0,64.6-(137.6-(Sheet1!AA148+Sheet1!AB148))))</f>
        <v>26.933333333333334</v>
      </c>
      <c r="AW150" s="1029"/>
      <c r="AX150" s="649"/>
      <c r="AY150" s="649">
        <f t="shared" si="410"/>
        <v>0</v>
      </c>
      <c r="AZ150" s="649">
        <f t="shared" si="411"/>
        <v>0</v>
      </c>
      <c r="BA150" s="1059">
        <f t="shared" si="412"/>
        <v>0</v>
      </c>
      <c r="BB150" s="1019">
        <f t="shared" si="318"/>
        <v>2504.800000000002</v>
      </c>
      <c r="BC150" s="1041">
        <f t="shared" si="413"/>
        <v>26.933333333333334</v>
      </c>
      <c r="BD150" s="1019">
        <f ca="1">IF(B150&gt;Summary!$A$1,#N/A,BB150*MGtoAF)</f>
        <v>7684.7264000000059</v>
      </c>
      <c r="BE150" s="535">
        <f>Sheet1!BG148+Sheet1!BH148+Sheet1!BI148-BM150</f>
        <v>1.02</v>
      </c>
      <c r="BF150" s="535">
        <f t="shared" si="319"/>
        <v>1.0143667157584684</v>
      </c>
      <c r="BG150" s="535">
        <f>IF(Sheet1!EP148="FM",BM150,0)</f>
        <v>0</v>
      </c>
      <c r="BH150" s="535">
        <f t="shared" si="320"/>
        <v>0</v>
      </c>
      <c r="BI150" s="535">
        <f>IF(Sheet1!EP148="OTHER",BM150,0)</f>
        <v>0</v>
      </c>
      <c r="BJ150" s="535">
        <f t="shared" si="321"/>
        <v>0</v>
      </c>
      <c r="BK150" s="535">
        <f t="shared" si="322"/>
        <v>1.02</v>
      </c>
      <c r="BL150" s="535">
        <f t="shared" si="323"/>
        <v>1.0143667157584684</v>
      </c>
      <c r="BM150" s="535">
        <f>IF(OR(Sheet1!EP148="FM", Sheet1!EP148="OTHER"),SUM(Sheet1!BG148:'Sheet1'!BI148),0)</f>
        <v>0</v>
      </c>
      <c r="BN150" s="521">
        <f>IF(AND($B150&gt;=$FV150,$B150&lt;=$FW150),MAX(BF150,Sheet1!EI148,0),MAX(BF150-(7/36)*$K150,0))</f>
        <v>0</v>
      </c>
      <c r="BO150" s="535">
        <f t="shared" si="324"/>
        <v>11.554522173130421</v>
      </c>
      <c r="BP150" s="521">
        <f t="shared" si="325"/>
        <v>1.0143667157584684</v>
      </c>
      <c r="BQ150" s="521">
        <f>IF(AND($O150&gt;0,Sheet1!EM148=1),(1-($O150-Sheet1!$L148)/$O150)*BL150,0)</f>
        <v>0</v>
      </c>
      <c r="BR150" s="521">
        <f>IF(AND(Sheet1!$L148=0,Sheet1!$L147=0, Calculation!BK150&lt;Sheet1!$EI148-0.1,Sheet1!$EI148=Sheet1!$EI147,Sheet1!$EI148=Sheet1!$EI149),BL150-BQ150,BL150-BQ150)</f>
        <v>1.0143667157584684</v>
      </c>
      <c r="BS150" s="1035" t="str">
        <f t="shared" si="414"/>
        <v/>
      </c>
      <c r="BT150" s="1035">
        <f t="shared" si="415"/>
        <v>12.568888888888889</v>
      </c>
      <c r="BU150" s="535">
        <f t="shared" si="326"/>
        <v>1074.4358402229709</v>
      </c>
      <c r="BV150" s="535"/>
      <c r="BW150" s="535">
        <f ca="1">IF(B150&gt;Summary!$A$1,#N/A,BU150*MGtoAF)</f>
        <v>3296.3691578040748</v>
      </c>
      <c r="BX150" s="535">
        <f>Sheet1!BC148+Sheet1!BD148+Sheet1!BE148+Sheet1!BF148-CG150-CH150</f>
        <v>4.3</v>
      </c>
      <c r="BY150" s="535">
        <f t="shared" si="327"/>
        <v>4.2762518409425629</v>
      </c>
      <c r="BZ150" s="535">
        <f>IF(Sheet1!EQ148="FM",CH150,0)</f>
        <v>0</v>
      </c>
      <c r="CA150" s="535">
        <f t="shared" si="328"/>
        <v>0</v>
      </c>
      <c r="CB150" s="535">
        <f>IF(Sheet1!EQ148="OTHER",CH150,0)</f>
        <v>0</v>
      </c>
      <c r="CC150" s="535">
        <f t="shared" si="329"/>
        <v>0</v>
      </c>
      <c r="CD150" s="535">
        <f t="shared" si="330"/>
        <v>0</v>
      </c>
      <c r="CE150" s="535">
        <f t="shared" si="331"/>
        <v>4.3</v>
      </c>
      <c r="CF150" s="535">
        <f t="shared" si="332"/>
        <v>4.2762518409425629</v>
      </c>
      <c r="CG150" s="535">
        <f>IF(Sheet1!EQ148="CWA",SUM(Sheet1!BC148:'Sheet1'!BF148),0)</f>
        <v>0</v>
      </c>
      <c r="CH150" s="535">
        <f>IF(OR(Sheet1!EQ148="FM", Sheet1!EQ148="OTHER"),SUM(Sheet1!BC148:'Sheet1'!BF148),0)</f>
        <v>0</v>
      </c>
      <c r="CI150" s="521">
        <f>IF(AND($B150&gt;=$FV150,$B150&lt;=$FW150),MAX(CF150,Sheet1!EJ148,0),MAX(CF150-(7/36)*$K150,0))</f>
        <v>0</v>
      </c>
      <c r="CJ150" s="535">
        <f t="shared" si="333"/>
        <v>8.2926370479463252</v>
      </c>
      <c r="CK150" s="521">
        <f t="shared" si="334"/>
        <v>4.2762518409425629</v>
      </c>
      <c r="CL150" s="521">
        <f>IF(AND($O150&gt;0,Sheet1!EN148=1),(1-($O150-Sheet1!$L148)/$O150)*CF150,0)</f>
        <v>0</v>
      </c>
      <c r="CM150" s="521">
        <f>IF(AND(Sheet1!$L148=0,Sheet1!$L147=0, Calculation!CE150&lt;Sheet1!EJ148-0.1,Sheet1!EJ148=Sheet1!EJ147,Sheet1!EJ148=Sheet1!EJ149),CF150-CL150,CF150-CL150)</f>
        <v>4.2762518409425629</v>
      </c>
      <c r="CN150" s="1040" t="str">
        <f t="shared" si="416"/>
        <v/>
      </c>
      <c r="CO150" s="1035">
        <f t="shared" si="417"/>
        <v>12.568888888888889</v>
      </c>
      <c r="CP150" s="535">
        <f t="shared" si="335"/>
        <v>857.93255159351531</v>
      </c>
      <c r="CQ150" s="535"/>
      <c r="CR150" s="535">
        <f ca="1">IF(B150&gt;Summary!$A$1,#N/A,CP150*MGtoAF)</f>
        <v>2632.1370682889051</v>
      </c>
      <c r="CS150" s="535">
        <f>Sheet1!BK148+Sheet1!BL148+Sheet1!BM148-Sheet1!ER148-DA150</f>
        <v>6.84</v>
      </c>
      <c r="CT150" s="535">
        <f t="shared" si="336"/>
        <v>6.8022238586156112</v>
      </c>
      <c r="CU150" s="535">
        <f>IF(Sheet1!ER148="FM",DA150,0)</f>
        <v>0</v>
      </c>
      <c r="CV150" s="535">
        <f t="shared" si="337"/>
        <v>0</v>
      </c>
      <c r="CW150" s="535">
        <f>IF(Sheet1!ER148="OTHER",DA150,0)</f>
        <v>0</v>
      </c>
      <c r="CX150" s="535">
        <f t="shared" si="338"/>
        <v>0</v>
      </c>
      <c r="CY150" s="535">
        <f t="shared" si="339"/>
        <v>6.84</v>
      </c>
      <c r="CZ150" s="535">
        <f t="shared" si="340"/>
        <v>6.8022238586156112</v>
      </c>
      <c r="DA150" s="535">
        <f>IF(OR(Sheet1!ER148="FM", Sheet1!ER148="OTHER"),SUM(Sheet1!BK148:'Sheet1'!BM148),0)</f>
        <v>0</v>
      </c>
      <c r="DB150" s="1011">
        <f>IF(AND($B150&gt;=$FV150,$B150&lt;=$FW150),MAX($CT150,Sheet1!EK148,0),MAX($CT150-(7/36)*$K150,0))</f>
        <v>0</v>
      </c>
      <c r="DC150" s="1012">
        <f t="shared" si="341"/>
        <v>5.7666650302732778</v>
      </c>
      <c r="DD150" s="1011">
        <f t="shared" si="342"/>
        <v>6.8022238586156112</v>
      </c>
      <c r="DE150" s="521">
        <f>IF(AND($O150&gt;0,Sheet1!EO148=1),(1-($O150-Sheet1!$L148)/$O150)*CZ150,0)</f>
        <v>0</v>
      </c>
      <c r="DF150" s="521">
        <f>IF(AND(Sheet1!$L148=0,Sheet1!$L147=0, Calculation!CY150&lt;Sheet1!$EK148-0.1,Sheet1!$EK148=Sheet1!$EK147,Sheet1!$EK148=Sheet1!$EK149),CZ150-DE150,CZ150-DE150)</f>
        <v>6.8022238586156112</v>
      </c>
      <c r="DG150" s="1040">
        <f t="shared" si="418"/>
        <v>12.568888888888889</v>
      </c>
      <c r="DH150" s="649">
        <f t="shared" si="343"/>
        <v>12.16</v>
      </c>
      <c r="DI150" s="535">
        <f t="shared" si="344"/>
        <v>565.17808949476353</v>
      </c>
      <c r="DJ150" s="649">
        <f t="shared" si="345"/>
        <v>12.092842415316643</v>
      </c>
      <c r="DK150" s="535">
        <f ca="1">IF(B150&gt;Summary!$A$1,#N/A,DI150*MGtoAF)</f>
        <v>1733.9663785699345</v>
      </c>
      <c r="DL150" s="649">
        <f t="shared" si="346"/>
        <v>12.16</v>
      </c>
      <c r="DM150" s="535">
        <f t="shared" si="347"/>
        <v>27.16</v>
      </c>
      <c r="DN150" s="535">
        <f>Sheet1!AB148-DM150</f>
        <v>-0.14999999999999858</v>
      </c>
      <c r="DO150" s="743">
        <f t="shared" si="348"/>
        <v>-5.5228276877760888E-3</v>
      </c>
      <c r="DP150" s="535">
        <f>(VLOOKUP(Sheet1!DC148,hhdcap_wcm,4)-(((VLOOKUP(Sheet1!DC148,hhdcap_wcm,3)-Sheet1!DC148)/(VLOOKUP(Sheet1!DC148,hhdcap_wcm,3)-VLOOKUP(Sheet1!DC148,hhdcap_wcm,1)))*(VLOOKUP(Sheet1!DC148,hhdcap_wcm,4)-VLOOKUP(Sheet1!DC148,hhdcap_wcm,2))))</f>
        <v>43244.800000106559</v>
      </c>
      <c r="DQ150" s="535">
        <f t="shared" si="349"/>
        <v>502.90000000048167</v>
      </c>
      <c r="DR150" s="535">
        <f t="shared" si="350"/>
        <v>253.60564800831145</v>
      </c>
      <c r="DS150" s="535">
        <f>Sheet1!EA148*AFtoMG</f>
        <v>0</v>
      </c>
      <c r="DT150" s="535">
        <f>Sheet1!EB148*AFtoMG</f>
        <v>0</v>
      </c>
      <c r="DU150" s="535">
        <f>Sheet1!EC148*AFtoMG</f>
        <v>0</v>
      </c>
      <c r="DV150" s="535">
        <f>Sheet1!ED148*AFtoMG</f>
        <v>0</v>
      </c>
      <c r="DW150" s="535">
        <f t="shared" si="351"/>
        <v>0</v>
      </c>
      <c r="DX150" s="535">
        <f t="shared" si="352"/>
        <v>0</v>
      </c>
      <c r="DY150" s="535">
        <f t="shared" si="353"/>
        <v>5002.3464813112514</v>
      </c>
      <c r="DZ150" s="535">
        <f t="shared" si="354"/>
        <v>15347.19900466292</v>
      </c>
      <c r="EA150" s="535"/>
      <c r="EB150" s="521">
        <f>IF(OR(B150&lt;FV150,B150&gt;FW150),(MIN(BF150+BY150+CT150+MAX(Sheet1!AA148+AQ150-73,0),K150)),0)</f>
        <v>12.092842415316643</v>
      </c>
      <c r="EC150" s="535"/>
      <c r="ED150" s="535">
        <f t="shared" si="355"/>
        <v>12.092842415316643</v>
      </c>
      <c r="EE150" s="535"/>
      <c r="EF150" s="535">
        <f>Sheet1!EH148+Sheet1!EI148+Sheet1!EJ148+Sheet1!EK148</f>
        <v>12.5</v>
      </c>
      <c r="EG150" s="1019">
        <f t="shared" si="419"/>
        <v>19.337499999999999</v>
      </c>
      <c r="EH150" s="521">
        <f t="shared" si="356"/>
        <v>0</v>
      </c>
      <c r="EI150" s="535">
        <f>IF(Sheet1!ET148=1,SUM('Calculations II'!AT150:BA150)+'Calculations II'!BC150+Sheet1!BV148+'Calculations II'!BE150+AP150,'Calculations II'!BK150)</f>
        <v>47.851621584683365</v>
      </c>
      <c r="EJ150" s="535">
        <f ca="1">EI150+'Calculations II'!D150+'Calculations II'!E150+'Calculations II'!O150</f>
        <v>46.110906857946105</v>
      </c>
      <c r="EK150" s="535"/>
      <c r="EL150" s="535"/>
      <c r="EM150" s="535">
        <f t="shared" si="357"/>
        <v>42874</v>
      </c>
      <c r="EN150" s="535">
        <f t="shared" si="358"/>
        <v>52.547157584683362</v>
      </c>
      <c r="EO150" s="535">
        <f t="shared" si="359"/>
        <v>81.29045278350516</v>
      </c>
      <c r="EP150" s="535">
        <v>0</v>
      </c>
      <c r="EQ150" s="535">
        <v>0</v>
      </c>
      <c r="ER150" s="535">
        <v>0</v>
      </c>
      <c r="ES150" s="521">
        <f t="shared" si="381"/>
        <v>2.0786368360266723</v>
      </c>
      <c r="ET150" s="535">
        <f>-(VLOOKUP(Sheet1!BQ148,Lookup!$O$4:$Q$262,2)-VLOOKUP(Sheet1!BQ147,Lookup!$O$4:$Q$262,2))/1000000</f>
        <v>0.83123550382090361</v>
      </c>
      <c r="EU150" s="535">
        <f>-(VLOOKUP(Sheet1!BR148,Lookup!$O$4:$Q$262,3)-VLOOKUP(Sheet1!BR147,Lookup!$O$4:$Q$262,3))/1000000</f>
        <v>1.2474013322057687</v>
      </c>
      <c r="EV150" s="535"/>
      <c r="EW150" s="535"/>
      <c r="EX150" s="535"/>
      <c r="EY150" s="535"/>
      <c r="EZ150" s="535"/>
      <c r="FA150" s="535"/>
      <c r="FB150" s="535"/>
      <c r="FC150" s="535"/>
      <c r="FD150" s="567" t="e">
        <f t="shared" si="360"/>
        <v>#N/A</v>
      </c>
      <c r="FE150" s="567" t="e">
        <f t="shared" si="361"/>
        <v>#N/A</v>
      </c>
      <c r="FF150" s="568" t="e">
        <f t="shared" si="362"/>
        <v>#N/A</v>
      </c>
      <c r="FG150" s="569" t="s">
        <v>656</v>
      </c>
      <c r="FH150" s="569" t="s">
        <v>656</v>
      </c>
      <c r="FI150" s="567" t="e">
        <v>#N/A</v>
      </c>
      <c r="FJ150" s="567" t="e">
        <v>#N/A</v>
      </c>
      <c r="FK150" s="535"/>
      <c r="FL150" s="1015">
        <v>0</v>
      </c>
      <c r="FM150" s="535"/>
      <c r="FN150" s="535"/>
      <c r="FO150" s="535">
        <f>O150+((Sheet1!CS148)*GPMtoMGD)</f>
        <v>57.764784000000006</v>
      </c>
      <c r="FP150" s="535">
        <f>IF(Sheet1!AA148+AQ150&lt;=Calculation!N150,AQ150,Calculation!N150-Sheet1!AA148)</f>
        <v>14.917157584683359</v>
      </c>
      <c r="FQ150" s="535">
        <f>(Sheet1!BP148+Sheet1!BO148)/694.4</f>
        <v>2.2692972350230414</v>
      </c>
      <c r="FR150" s="541"/>
      <c r="FS150" s="541"/>
      <c r="FT150" s="541"/>
      <c r="FU150" s="541"/>
      <c r="FV150" s="1109">
        <f t="shared" si="382"/>
        <v>42918</v>
      </c>
      <c r="FW150" s="1109">
        <f t="shared" si="383"/>
        <v>43027</v>
      </c>
      <c r="FX150" s="541"/>
      <c r="FY150" s="541">
        <f>Sheet1!DA148-Sheet1!CZ148-Sheet1!AE148</f>
        <v>488.50403999999997</v>
      </c>
      <c r="FZ150" s="535">
        <f t="shared" si="420"/>
        <v>0.26354259360662541</v>
      </c>
      <c r="GA150" s="535"/>
      <c r="GB150" s="535" t="str">
        <f t="shared" si="384"/>
        <v>n</v>
      </c>
      <c r="GC150" s="539">
        <f t="shared" si="385"/>
        <v>42782</v>
      </c>
      <c r="GD150" s="1109">
        <f t="shared" si="386"/>
        <v>42904</v>
      </c>
      <c r="GE150" s="535">
        <f t="shared" si="404"/>
        <v>6520</v>
      </c>
      <c r="GF150" s="1109">
        <f t="shared" si="387"/>
        <v>42909</v>
      </c>
      <c r="GG150" s="535">
        <f t="shared" si="432"/>
        <v>3260</v>
      </c>
      <c r="GH150" s="539">
        <f t="shared" si="388"/>
        <v>43040</v>
      </c>
      <c r="GJ150" s="521">
        <f t="shared" si="389"/>
        <v>0</v>
      </c>
      <c r="GK150" s="535" t="str">
        <f t="shared" si="363"/>
        <v/>
      </c>
      <c r="GL150" s="535">
        <f t="shared" si="390"/>
        <v>0</v>
      </c>
      <c r="GM150" s="535" t="str">
        <f t="shared" si="391"/>
        <v/>
      </c>
      <c r="GN150" s="535">
        <f>IF(GK150="P",Lookup!$M$12,IF(GK150="PP",Lookup!$M$13,IF(GK150="PPP",Lookup!$M$14,IF(GK150="T",Lookup!$M$15,IF(GK150="TP",Lookup!$M$16,IF(GK150="TPP",Lookup!$M$17,IF(GK150="TPPP",Lookup!$M$18,0)))))))*GJ150</f>
        <v>0</v>
      </c>
      <c r="GO150" s="535">
        <f t="shared" si="392"/>
        <v>0</v>
      </c>
      <c r="GP150" s="535">
        <f t="shared" si="364"/>
        <v>7684.7264000000059</v>
      </c>
      <c r="GQ150" s="535">
        <f t="shared" si="403"/>
        <v>2504.800000000002</v>
      </c>
      <c r="GR150" s="535"/>
      <c r="GS150" s="535">
        <f t="shared" si="393"/>
        <v>0</v>
      </c>
      <c r="GT150" s="535" t="str">
        <f t="shared" si="394"/>
        <v/>
      </c>
      <c r="GU150" s="535">
        <f>IF(GK150="P",Lookup!$N$12,IF(GK150="PP",Lookup!$N$13,IF(GK150="PPP",Lookup!$N$14,IF(GK150="T",Lookup!$N$15,IF(GK150="TP",Lookup!$N$16,IF(GK150="TPP",Lookup!$N$17,IF(GK150="TPPP",Lookup!$N$18,0)))))))*GJ150</f>
        <v>0</v>
      </c>
      <c r="GV150" s="535">
        <f t="shared" si="395"/>
        <v>0</v>
      </c>
      <c r="GW150" s="535">
        <f t="shared" si="365"/>
        <v>3296.3691578040748</v>
      </c>
      <c r="GX150" s="535">
        <f t="shared" si="400"/>
        <v>1074.4358402229709</v>
      </c>
      <c r="GY150" s="535"/>
      <c r="GZ150" s="535">
        <f t="shared" si="396"/>
        <v>0</v>
      </c>
      <c r="HA150" s="535" t="str">
        <f t="shared" si="397"/>
        <v/>
      </c>
      <c r="HB150" s="535">
        <f>IF(GK150="P",Lookup!$N$12,IF(GK150="PP",Lookup!$N$13,IF(GK150="PPP",Lookup!$N$14,IF(GK150="T",Lookup!$N$15,IF(GK150="TP",Lookup!$N$16,IF(GK150="TPP",Lookup!$N$17,IF(GK150="TPPP",Lookup!$N$18,0)))))))*GJ150</f>
        <v>0</v>
      </c>
      <c r="HC150" s="521">
        <f t="shared" si="366"/>
        <v>0</v>
      </c>
      <c r="HD150" s="535">
        <f t="shared" si="367"/>
        <v>2632.1370682889051</v>
      </c>
      <c r="HE150" s="535">
        <f t="shared" si="401"/>
        <v>857.93255159351531</v>
      </c>
      <c r="HF150" s="535"/>
      <c r="HG150" s="535">
        <f t="shared" si="398"/>
        <v>0</v>
      </c>
      <c r="HH150" s="535" t="str">
        <f t="shared" si="399"/>
        <v/>
      </c>
      <c r="HI150" s="535">
        <f>IF(GK150="P",Lookup!$N$12,IF(GK150="PP",Lookup!$N$13,IF(GK150="PPP",Lookup!$N$14,IF(GK150="T",Lookup!$N$15,IF(GK150="TP",Lookup!$N$16,IF(GK150="TPP",Lookup!$N$17,IF(GK150="TPPP",Lookup!$N$18,0)))))))*GJ150</f>
        <v>0</v>
      </c>
      <c r="HJ150" s="521">
        <f t="shared" si="368"/>
        <v>0</v>
      </c>
      <c r="HK150" s="535">
        <f t="shared" si="369"/>
        <v>1733.9663785699345</v>
      </c>
      <c r="HL150" s="535">
        <f t="shared" si="402"/>
        <v>565.17808949476353</v>
      </c>
      <c r="HM150" s="535"/>
      <c r="HN150" s="541"/>
      <c r="HO150" s="541"/>
      <c r="HP150" s="541"/>
      <c r="HQ150" s="541">
        <f>IF(AND(B150&gt;=$FV$4,B150&lt;=$FW$4),MAX(110/1.02+$HQ$6+MIN(113/1.02,G150),IF($HV$6-(Sheet1!DA148-Sheet1!DB148)+MIN(113/1.02,G150)&lt;G150+FL150,$HV$6-(Sheet1!DA148-Sheet1!DB148)+MIN(113/1.02,G150),G150+FL150)),MIN(110/1.02+$HQ$6+113/1.02,G150))</f>
        <v>218.62745098039215</v>
      </c>
      <c r="HR150" s="541">
        <f t="shared" si="421"/>
        <v>223</v>
      </c>
      <c r="HS150" s="541">
        <f>HR150+(Sheet1!DA148-Sheet1!DB148)</f>
        <v>873</v>
      </c>
      <c r="HT150" s="541">
        <f t="shared" si="422"/>
        <v>62.684440000000016</v>
      </c>
      <c r="HU150" s="541">
        <f t="shared" si="423"/>
        <v>810.31556</v>
      </c>
      <c r="HV150" s="541">
        <f t="shared" si="424"/>
        <v>0</v>
      </c>
      <c r="HW150" s="533" t="str">
        <f t="shared" si="425"/>
        <v/>
      </c>
      <c r="HX150" s="541">
        <f t="shared" si="426"/>
        <v>1381.372549019608</v>
      </c>
      <c r="HY150" s="541">
        <f>Sheet1!CZ148</f>
        <v>1600</v>
      </c>
      <c r="HZ150" s="541">
        <f t="shared" si="427"/>
        <v>0</v>
      </c>
      <c r="IA150" s="541">
        <f t="shared" si="428"/>
        <v>62.684440000000016</v>
      </c>
      <c r="IB150" s="541">
        <f t="shared" si="429"/>
        <v>1600</v>
      </c>
      <c r="IC150" s="1019" t="str">
        <f t="shared" si="430"/>
        <v/>
      </c>
      <c r="ID150" s="541">
        <f t="shared" si="431"/>
        <v>1537.31556</v>
      </c>
      <c r="IE150" s="541">
        <f>Sheet1!DB148</f>
        <v>1520</v>
      </c>
      <c r="IF150" s="533">
        <f>Sheet1!DA148</f>
        <v>2170</v>
      </c>
      <c r="IH150" s="541">
        <f>IF(AND($B150&gt;=$GC150,$B150&lt;=$GH150,$DR150&lt;0)+N("only adjusted when pool is drawn down during storage season"),Sheet1!$DB148+$DR150+N("Palmer minus all storage release"),Sheet1!$DB148)</f>
        <v>1520</v>
      </c>
      <c r="II150" s="541">
        <f>IF(AND($B150&gt;=$GC150,$B150&lt;=$GH150,$DR150&lt;0)+N("only adjusted when pool is drawn down during storage season"),Sheet1!$DA148+$DR150+N("Auburn minus all storage release"),Sheet1!$DA148)</f>
        <v>2170</v>
      </c>
    </row>
    <row r="151" spans="1:243" x14ac:dyDescent="0.25">
      <c r="A151" s="553" t="s">
        <v>9</v>
      </c>
      <c r="B151" s="531">
        <v>42875</v>
      </c>
      <c r="C151" s="536">
        <v>0</v>
      </c>
      <c r="D151" s="506">
        <f t="shared" si="371"/>
        <v>300</v>
      </c>
      <c r="E151" s="506">
        <f t="shared" si="372"/>
        <v>250</v>
      </c>
      <c r="F151" s="506">
        <v>250</v>
      </c>
      <c r="G151" s="535">
        <f>DR151+Sheet1!CZ149</f>
        <v>1929.9041855782834</v>
      </c>
      <c r="H151" s="1074">
        <f t="shared" si="405"/>
        <v>835.752970688</v>
      </c>
      <c r="I151" s="534">
        <f>IF(Sheet1!DA149&gt;=E151,(Sheet1!DA149-E151+P151)*CFStoMGD,0)</f>
        <v>1255.9129706880001</v>
      </c>
      <c r="J151" s="995">
        <f>IF(Sheet1!DB149&gt;=D151,(Sheet1!DB149-D151+P151)*CFStoMGD,0)</f>
        <v>835.752970688</v>
      </c>
      <c r="K151" s="818">
        <f t="shared" si="406"/>
        <v>64.64</v>
      </c>
      <c r="L151" s="535">
        <f>Sheet1!AA149+Sheet1!AB149-Sheet1!L149+(Sheet1!DA149-F151)*CFStoMGD-S151-T151-U151</f>
        <v>1191.2739999999999</v>
      </c>
      <c r="M151" s="535">
        <f t="shared" si="309"/>
        <v>1272.4398668689585</v>
      </c>
      <c r="N151" s="824">
        <f>IF(Sheet1!DA149&gt;=F151,MIN(113*CFStoMGD,MIN(MAX(L151,0),MAX(M151,0))),0)</f>
        <v>73.043199999999999</v>
      </c>
      <c r="O151" s="538">
        <f>Sheet1!AA149+Sheet1!AB149</f>
        <v>53.61</v>
      </c>
      <c r="P151" s="538">
        <f t="shared" si="310"/>
        <v>82.934669999999997</v>
      </c>
      <c r="Q151" s="812">
        <f t="shared" si="407"/>
        <v>40.82</v>
      </c>
      <c r="R151" s="812">
        <f t="shared" si="373"/>
        <v>12.721701673193309</v>
      </c>
      <c r="S151" s="812">
        <f t="shared" si="374"/>
        <v>12.79</v>
      </c>
      <c r="T151" s="812">
        <f t="shared" si="375"/>
        <v>51.85</v>
      </c>
      <c r="U151" s="812">
        <f t="shared" si="408"/>
        <v>0</v>
      </c>
      <c r="V151" s="812"/>
      <c r="W151" s="812">
        <f t="shared" si="376"/>
        <v>51.918298326806692</v>
      </c>
      <c r="X151" s="812">
        <f t="shared" si="377"/>
        <v>64.64</v>
      </c>
      <c r="Y151" s="812" t="str">
        <f t="shared" si="378"/>
        <v>FALSE</v>
      </c>
      <c r="Z151" s="812">
        <f t="shared" si="379"/>
        <v>53.61</v>
      </c>
      <c r="AA151" s="812">
        <f t="shared" si="380"/>
        <v>53.61</v>
      </c>
      <c r="AB151" s="1059">
        <f t="shared" si="409"/>
        <v>63.148539999999997</v>
      </c>
      <c r="AC151" s="538">
        <f>Sheet1!Y149*MGDtoCFS</f>
        <v>39.711489999999998</v>
      </c>
      <c r="AD151" s="538">
        <f>Sheet1!Z149*MGDtoCFS</f>
        <v>41.614299999999993</v>
      </c>
      <c r="AE151" s="538">
        <f>Sheet1!AA149*MGDtoCFS</f>
        <v>39.711489999999998</v>
      </c>
      <c r="AF151" s="538">
        <f>Sheet1!AB149*MGDtoCFS</f>
        <v>43.223179999999999</v>
      </c>
      <c r="AG151" s="538">
        <f>Sheet1!L149*MGDtoCFS</f>
        <v>0</v>
      </c>
      <c r="AH151" s="521">
        <f>AU151+BN151+CI151+DB151</f>
        <v>0</v>
      </c>
      <c r="AI151" s="1059">
        <f t="shared" si="312"/>
        <v>0</v>
      </c>
      <c r="AJ151" s="535">
        <f t="shared" si="313"/>
        <v>51.918298326806692</v>
      </c>
      <c r="AK151" s="535">
        <f t="shared" si="314"/>
        <v>80.317607511569946</v>
      </c>
      <c r="AL151" s="535">
        <f>(VLOOKUP(Sheet1!DC149,hhdcap_wcm,4)-(((VLOOKUP(Sheet1!DC149,hhdcap_wcm,3)-Sheet1!DC149)/(VLOOKUP(Sheet1!DC149,hhdcap_wcm,3)-VLOOKUP(Sheet1!DC149,hhdcap_wcm,1)))*(VLOOKUP(Sheet1!DC149,hhdcap_wcm,4)-VLOOKUP(Sheet1!DC149,hhdcap_wcm,2))))</f>
        <v>43899.000000108295</v>
      </c>
      <c r="AM151" s="535">
        <f t="shared" si="315"/>
        <v>654.20000000173604</v>
      </c>
      <c r="AN151" s="1035">
        <f t="shared" si="316"/>
        <v>5054.2647796380579</v>
      </c>
      <c r="AO151" s="535">
        <f t="shared" si="317"/>
        <v>15506.484343929562</v>
      </c>
      <c r="AP151" s="535">
        <f>Sheet1!BA149+Sheet1!BB149+Sheet1!BN149+CD151</f>
        <v>15.3</v>
      </c>
      <c r="AQ151" s="535">
        <f>Sheet1!BN149+(DO151*Sheet1!BN149)</f>
        <v>15.218298326806694</v>
      </c>
      <c r="AR151" s="535">
        <f>Sheet1!BA149+CD151</f>
        <v>0</v>
      </c>
      <c r="AS151" s="535">
        <f>Sheet1!BA149+Sheet1!BB149+CD151</f>
        <v>0</v>
      </c>
      <c r="AT151" s="649">
        <f>0</f>
        <v>0</v>
      </c>
      <c r="AU151" s="535">
        <f>IF(EB151&lt;K151,0,MAX(Sheet1!AA149+AQ151-15/36*K151-N151,Sheet1!EH149,0))</f>
        <v>0</v>
      </c>
      <c r="AV151" s="535">
        <f>IF(OR(B151&gt;=GD151,B151&lt;GC151),0,15/36*K151-MAX(0,64.6-(137.6-(Sheet1!AA149+Sheet1!AB149))))</f>
        <v>26.933333333333334</v>
      </c>
      <c r="AW151" s="1029"/>
      <c r="AX151" s="649"/>
      <c r="AY151" s="649">
        <f t="shared" si="410"/>
        <v>0</v>
      </c>
      <c r="AZ151" s="649">
        <f t="shared" si="411"/>
        <v>0</v>
      </c>
      <c r="BA151" s="1059">
        <f t="shared" si="412"/>
        <v>0</v>
      </c>
      <c r="BB151" s="1019">
        <f t="shared" si="318"/>
        <v>2531.7333333333354</v>
      </c>
      <c r="BC151" s="1041">
        <f t="shared" si="413"/>
        <v>26.933333333333334</v>
      </c>
      <c r="BD151" s="1019">
        <f ca="1">IF(B151&gt;Summary!$A$1,#N/A,BB151*MGtoAF)</f>
        <v>7767.3578666666735</v>
      </c>
      <c r="BE151" s="535">
        <f>Sheet1!BG149+Sheet1!BH149+Sheet1!BI149-BM151</f>
        <v>1.02</v>
      </c>
      <c r="BF151" s="535">
        <f t="shared" si="319"/>
        <v>1.0145532217871129</v>
      </c>
      <c r="BG151" s="535">
        <f>IF(Sheet1!EP149="FM",BM151,0)</f>
        <v>0</v>
      </c>
      <c r="BH151" s="535">
        <f t="shared" si="320"/>
        <v>0</v>
      </c>
      <c r="BI151" s="535">
        <f>IF(Sheet1!EP149="OTHER",BM151,0)</f>
        <v>0</v>
      </c>
      <c r="BJ151" s="535">
        <f t="shared" si="321"/>
        <v>0</v>
      </c>
      <c r="BK151" s="535">
        <f t="shared" si="322"/>
        <v>1.02</v>
      </c>
      <c r="BL151" s="535">
        <f t="shared" si="323"/>
        <v>1.0145532217871129</v>
      </c>
      <c r="BM151" s="535">
        <f>IF(OR(Sheet1!EP149="FM", Sheet1!EP149="OTHER"),SUM(Sheet1!BG149:'Sheet1'!BI149),0)</f>
        <v>0</v>
      </c>
      <c r="BN151" s="521">
        <f>IF(AND($B151&gt;=$FV151,$B151&lt;=$FW151),MAX(BF151,Sheet1!EI149,0),MAX(BF151-(7/36)*$K151,0))</f>
        <v>0</v>
      </c>
      <c r="BO151" s="535">
        <f t="shared" si="324"/>
        <v>11.554335667101777</v>
      </c>
      <c r="BP151" s="521">
        <f t="shared" si="325"/>
        <v>1.0145532217871129</v>
      </c>
      <c r="BQ151" s="521">
        <f>IF(AND($O151&gt;0,Sheet1!EM149=1),(1-($O151-Sheet1!$L149)/$O151)*BL151,0)</f>
        <v>0</v>
      </c>
      <c r="BR151" s="521">
        <f>IF(AND(Sheet1!$L149=0,Sheet1!$L148=0, Calculation!BK151&lt;Sheet1!$EI149-0.1,Sheet1!$EI149=Sheet1!$EI148,Sheet1!$EI149=Sheet1!$EI150),BL151-BQ151,BL151-BQ151)</f>
        <v>1.0145532217871129</v>
      </c>
      <c r="BS151" s="1035" t="str">
        <f t="shared" si="414"/>
        <v/>
      </c>
      <c r="BT151" s="1035">
        <f t="shared" si="415"/>
        <v>12.568888888888889</v>
      </c>
      <c r="BU151" s="535">
        <f t="shared" si="326"/>
        <v>1085.9901758900726</v>
      </c>
      <c r="BV151" s="535"/>
      <c r="BW151" s="535">
        <f ca="1">IF(B151&gt;Summary!$A$1,#N/A,BU151*MGtoAF)</f>
        <v>3331.8178596307425</v>
      </c>
      <c r="BX151" s="535">
        <f>Sheet1!BC149+Sheet1!BD149+Sheet1!BE149+Sheet1!BF149-CG151-CH151</f>
        <v>4.8</v>
      </c>
      <c r="BY151" s="535">
        <f t="shared" si="327"/>
        <v>4.7743681025275899</v>
      </c>
      <c r="BZ151" s="535">
        <f>IF(Sheet1!EQ149="FM",CH151,0)</f>
        <v>0</v>
      </c>
      <c r="CA151" s="535">
        <f t="shared" si="328"/>
        <v>0</v>
      </c>
      <c r="CB151" s="535">
        <f>IF(Sheet1!EQ149="OTHER",CH151,0)</f>
        <v>0</v>
      </c>
      <c r="CC151" s="535">
        <f t="shared" si="329"/>
        <v>0</v>
      </c>
      <c r="CD151" s="535">
        <f t="shared" si="330"/>
        <v>0</v>
      </c>
      <c r="CE151" s="535">
        <f t="shared" si="331"/>
        <v>4.8</v>
      </c>
      <c r="CF151" s="535">
        <f t="shared" si="332"/>
        <v>4.7743681025275899</v>
      </c>
      <c r="CG151" s="535">
        <f>IF(Sheet1!EQ149="CWA",SUM(Sheet1!BC149:'Sheet1'!BF149),0)</f>
        <v>0</v>
      </c>
      <c r="CH151" s="535">
        <f>IF(OR(Sheet1!EQ149="FM", Sheet1!EQ149="OTHER"),SUM(Sheet1!BC149:'Sheet1'!BF149),0)</f>
        <v>0</v>
      </c>
      <c r="CI151" s="521">
        <f>IF(AND($B151&gt;=$FV151,$B151&lt;=$FW151),MAX(CF151,Sheet1!EJ149,0),MAX(CF151-(7/36)*$K151,0))</f>
        <v>0</v>
      </c>
      <c r="CJ151" s="535">
        <f t="shared" si="333"/>
        <v>7.7945207863612991</v>
      </c>
      <c r="CK151" s="521">
        <f t="shared" si="334"/>
        <v>4.7743681025275899</v>
      </c>
      <c r="CL151" s="521">
        <f>IF(AND($O151&gt;0,Sheet1!EN149=1),(1-($O151-Sheet1!$L149)/$O151)*CF151,0)</f>
        <v>0</v>
      </c>
      <c r="CM151" s="521">
        <f>IF(AND(Sheet1!$L149=0,Sheet1!$L148=0, Calculation!CE151&lt;Sheet1!EJ149-0.1,Sheet1!EJ149=Sheet1!EJ148,Sheet1!EJ149=Sheet1!EJ150),CF151-CL151,CF151-CL151)</f>
        <v>4.7743681025275899</v>
      </c>
      <c r="CN151" s="1040" t="str">
        <f t="shared" si="416"/>
        <v/>
      </c>
      <c r="CO151" s="1035">
        <f t="shared" si="417"/>
        <v>12.568888888888889</v>
      </c>
      <c r="CP151" s="535">
        <f t="shared" si="335"/>
        <v>865.72707237987663</v>
      </c>
      <c r="CQ151" s="535"/>
      <c r="CR151" s="535">
        <f ca="1">IF(B151&gt;Summary!$A$1,#N/A,CP151*MGtoAF)</f>
        <v>2656.0506580614615</v>
      </c>
      <c r="CS151" s="535">
        <f>Sheet1!BK149+Sheet1!BL149+Sheet1!BM149-Sheet1!ER149-DA151</f>
        <v>6.97</v>
      </c>
      <c r="CT151" s="535">
        <f t="shared" si="336"/>
        <v>6.9327803488786044</v>
      </c>
      <c r="CU151" s="535">
        <f>IF(Sheet1!ER149="FM",DA151,0)</f>
        <v>0</v>
      </c>
      <c r="CV151" s="535">
        <f t="shared" si="337"/>
        <v>0</v>
      </c>
      <c r="CW151" s="535">
        <f>IF(Sheet1!ER149="OTHER",DA151,0)</f>
        <v>0</v>
      </c>
      <c r="CX151" s="535">
        <f t="shared" si="338"/>
        <v>0</v>
      </c>
      <c r="CY151" s="535">
        <f t="shared" si="339"/>
        <v>6.97</v>
      </c>
      <c r="CZ151" s="535">
        <f t="shared" si="340"/>
        <v>6.9327803488786044</v>
      </c>
      <c r="DA151" s="535">
        <f>IF(OR(Sheet1!ER149="FM", Sheet1!ER149="OTHER"),SUM(Sheet1!BK149:'Sheet1'!BM149),0)</f>
        <v>0</v>
      </c>
      <c r="DB151" s="1011">
        <f>IF(AND($B151&gt;=$FV151,$B151&lt;=$FW151),MAX($CT151,Sheet1!EK149,0),MAX($CT151-(7/36)*$K151,0))</f>
        <v>0</v>
      </c>
      <c r="DC151" s="1012">
        <f t="shared" si="341"/>
        <v>5.6361085400102846</v>
      </c>
      <c r="DD151" s="1011">
        <f t="shared" si="342"/>
        <v>6.9327803488786044</v>
      </c>
      <c r="DE151" s="521">
        <f>IF(AND($O151&gt;0,Sheet1!EO149=1),(1-($O151-Sheet1!$L149)/$O151)*CZ151,0)</f>
        <v>0</v>
      </c>
      <c r="DF151" s="521">
        <f>IF(AND(Sheet1!$L149=0,Sheet1!$L148=0, Calculation!CY151&lt;Sheet1!$EK149-0.1,Sheet1!$EK149=Sheet1!$EK148,Sheet1!$EK149=Sheet1!$EK150),CZ151-DE151,CZ151-DE151)</f>
        <v>6.9327803488786044</v>
      </c>
      <c r="DG151" s="1040">
        <f t="shared" si="418"/>
        <v>12.568888888888889</v>
      </c>
      <c r="DH151" s="649">
        <f t="shared" si="343"/>
        <v>12.79</v>
      </c>
      <c r="DI151" s="535">
        <f t="shared" si="344"/>
        <v>570.81419803477377</v>
      </c>
      <c r="DJ151" s="649">
        <f t="shared" si="345"/>
        <v>12.721701673193309</v>
      </c>
      <c r="DK151" s="535">
        <f ca="1">IF(B151&gt;Summary!$A$1,#N/A,DI151*MGtoAF)</f>
        <v>1751.2579595706859</v>
      </c>
      <c r="DL151" s="649">
        <f t="shared" si="346"/>
        <v>12.79</v>
      </c>
      <c r="DM151" s="535">
        <f t="shared" si="347"/>
        <v>28.09</v>
      </c>
      <c r="DN151" s="535">
        <f>Sheet1!AB149-DM151</f>
        <v>-0.14999999999999858</v>
      </c>
      <c r="DO151" s="743">
        <f t="shared" si="348"/>
        <v>-5.3399786400853888E-3</v>
      </c>
      <c r="DP151" s="535">
        <f>(VLOOKUP(Sheet1!DC149,hhdcap_wcm,4)-(((VLOOKUP(Sheet1!DC149,hhdcap_wcm,3)-Sheet1!DC149)/(VLOOKUP(Sheet1!DC149,hhdcap_wcm,3)-VLOOKUP(Sheet1!DC149,hhdcap_wcm,1)))*(VLOOKUP(Sheet1!DC149,hhdcap_wcm,4)-VLOOKUP(Sheet1!DC149,hhdcap_wcm,2))))</f>
        <v>43899.000000108295</v>
      </c>
      <c r="DQ151" s="535">
        <f t="shared" si="349"/>
        <v>654.20000000173604</v>
      </c>
      <c r="DR151" s="535">
        <f t="shared" si="350"/>
        <v>329.90418557828337</v>
      </c>
      <c r="DS151" s="535">
        <f>Sheet1!EA149*AFtoMG</f>
        <v>0</v>
      </c>
      <c r="DT151" s="535">
        <f>Sheet1!EB149*AFtoMG</f>
        <v>0</v>
      </c>
      <c r="DU151" s="535">
        <f>Sheet1!EC149*AFtoMG</f>
        <v>0</v>
      </c>
      <c r="DV151" s="535">
        <f>Sheet1!ED149*AFtoMG</f>
        <v>0</v>
      </c>
      <c r="DW151" s="535">
        <f t="shared" si="351"/>
        <v>0</v>
      </c>
      <c r="DX151" s="535">
        <f t="shared" si="352"/>
        <v>0</v>
      </c>
      <c r="DY151" s="535">
        <f t="shared" si="353"/>
        <v>5054.2647796380579</v>
      </c>
      <c r="DZ151" s="535">
        <f t="shared" si="354"/>
        <v>15506.484343929562</v>
      </c>
      <c r="EA151" s="535"/>
      <c r="EB151" s="521">
        <f>IF(OR(B151&lt;FV151,B151&gt;FW151),(MIN(BF151+BY151+CT151+MAX(Sheet1!AA149+AQ151-73,0),K151)),0)</f>
        <v>12.721701673193309</v>
      </c>
      <c r="EC151" s="535"/>
      <c r="ED151" s="535">
        <f t="shared" si="355"/>
        <v>12.721701673193309</v>
      </c>
      <c r="EE151" s="535"/>
      <c r="EF151" s="535">
        <f>Sheet1!EH149+Sheet1!EI149+Sheet1!EJ149+Sheet1!EK149</f>
        <v>13</v>
      </c>
      <c r="EG151" s="1019">
        <f t="shared" si="419"/>
        <v>20.111000000000001</v>
      </c>
      <c r="EH151" s="521">
        <f t="shared" si="356"/>
        <v>0</v>
      </c>
      <c r="EI151" s="535">
        <f>IF(Sheet1!ET149=1,SUM('Calculations II'!AT151:BA151)+'Calculations II'!BC151+Sheet1!BV149+'Calculations II'!BE151+AP151,'Calculations II'!BK151)</f>
        <v>47.355098326806697</v>
      </c>
      <c r="EJ151" s="535">
        <f ca="1">EI151+'Calculations II'!D151+'Calculations II'!E151+'Calculations II'!O151</f>
        <v>46.309426591928926</v>
      </c>
      <c r="EK151" s="535"/>
      <c r="EL151" s="535"/>
      <c r="EM151" s="535">
        <f t="shared" si="357"/>
        <v>42875</v>
      </c>
      <c r="EN151" s="535">
        <f t="shared" si="358"/>
        <v>51.918298326806692</v>
      </c>
      <c r="EO151" s="535">
        <f t="shared" si="359"/>
        <v>80.317607511569946</v>
      </c>
      <c r="EP151" s="535">
        <v>0</v>
      </c>
      <c r="EQ151" s="535">
        <v>0</v>
      </c>
      <c r="ER151" s="535">
        <v>0</v>
      </c>
      <c r="ES151" s="521">
        <f t="shared" si="381"/>
        <v>1.8008468332068472</v>
      </c>
      <c r="ET151" s="535">
        <f>-(VLOOKUP(Sheet1!BQ149,Lookup!$O$4:$Q$262,2)-VLOOKUP(Sheet1!BQ148,Lookup!$O$4:$Q$262,2))/1000000</f>
        <v>0.83100477706540743</v>
      </c>
      <c r="EU151" s="535">
        <f>-(VLOOKUP(Sheet1!BR149,Lookup!$O$4:$Q$262,3)-VLOOKUP(Sheet1!BR148,Lookup!$O$4:$Q$262,3))/1000000</f>
        <v>0.96984205614143981</v>
      </c>
      <c r="EV151" s="535"/>
      <c r="EW151" s="535"/>
      <c r="EX151" s="535"/>
      <c r="EY151" s="535"/>
      <c r="EZ151" s="535"/>
      <c r="FA151" s="535"/>
      <c r="FB151" s="535"/>
      <c r="FC151" s="535"/>
      <c r="FD151" s="567" t="e">
        <f t="shared" si="360"/>
        <v>#N/A</v>
      </c>
      <c r="FE151" s="567" t="e">
        <f t="shared" si="361"/>
        <v>#N/A</v>
      </c>
      <c r="FF151" s="568" t="e">
        <f t="shared" si="362"/>
        <v>#N/A</v>
      </c>
      <c r="FG151" s="569" t="s">
        <v>656</v>
      </c>
      <c r="FH151" s="569" t="s">
        <v>656</v>
      </c>
      <c r="FI151" s="567" t="e">
        <v>#N/A</v>
      </c>
      <c r="FJ151" s="567" t="e">
        <v>#N/A</v>
      </c>
      <c r="FK151" s="535"/>
      <c r="FL151" s="1015">
        <v>0</v>
      </c>
      <c r="FM151" s="535"/>
      <c r="FN151" s="535"/>
      <c r="FO151" s="535">
        <f>O151+((Sheet1!CS149)*GPMtoMGD)</f>
        <v>58.676352000000001</v>
      </c>
      <c r="FP151" s="535">
        <f>IF(Sheet1!AA149+AQ151&lt;=Calculation!N151,AQ151,Calculation!N151-Sheet1!AA149)</f>
        <v>15.218298326806694</v>
      </c>
      <c r="FQ151" s="535">
        <f>(Sheet1!BP149+Sheet1!BO149)/694.4</f>
        <v>1.9645737327188941</v>
      </c>
      <c r="FR151" s="541"/>
      <c r="FS151" s="541"/>
      <c r="FT151" s="541"/>
      <c r="FU151" s="541"/>
      <c r="FV151" s="1109">
        <f t="shared" si="382"/>
        <v>42918</v>
      </c>
      <c r="FW151" s="1109">
        <f t="shared" si="383"/>
        <v>43027</v>
      </c>
      <c r="FX151" s="541"/>
      <c r="FY151" s="541">
        <f>Sheet1!DA149-Sheet1!CZ149-Sheet1!AE149</f>
        <v>427.06533000000002</v>
      </c>
      <c r="FZ151" s="535">
        <f t="shared" si="420"/>
        <v>0.22128835886846507</v>
      </c>
      <c r="GA151" s="535"/>
      <c r="GB151" s="535" t="str">
        <f t="shared" si="384"/>
        <v>n</v>
      </c>
      <c r="GC151" s="539">
        <f t="shared" si="385"/>
        <v>42782</v>
      </c>
      <c r="GD151" s="1109">
        <f t="shared" si="386"/>
        <v>42904</v>
      </c>
      <c r="GE151" s="535">
        <f t="shared" si="404"/>
        <v>6520</v>
      </c>
      <c r="GF151" s="1109">
        <f t="shared" si="387"/>
        <v>42909</v>
      </c>
      <c r="GG151" s="535">
        <f t="shared" si="432"/>
        <v>3260</v>
      </c>
      <c r="GH151" s="539">
        <f t="shared" si="388"/>
        <v>43040</v>
      </c>
      <c r="GJ151" s="521">
        <f t="shared" si="389"/>
        <v>0</v>
      </c>
      <c r="GK151" s="535" t="str">
        <f t="shared" si="363"/>
        <v/>
      </c>
      <c r="GL151" s="535">
        <f t="shared" si="390"/>
        <v>0</v>
      </c>
      <c r="GM151" s="535" t="str">
        <f t="shared" si="391"/>
        <v/>
      </c>
      <c r="GN151" s="535">
        <f>IF(GK151="P",Lookup!$M$12,IF(GK151="PP",Lookup!$M$13,IF(GK151="PPP",Lookup!$M$14,IF(GK151="T",Lookup!$M$15,IF(GK151="TP",Lookup!$M$16,IF(GK151="TPP",Lookup!$M$17,IF(GK151="TPPP",Lookup!$M$18,0)))))))*GJ151</f>
        <v>0</v>
      </c>
      <c r="GO151" s="535">
        <f t="shared" si="392"/>
        <v>0</v>
      </c>
      <c r="GP151" s="535">
        <f t="shared" si="364"/>
        <v>7767.3578666666735</v>
      </c>
      <c r="GQ151" s="535">
        <f t="shared" si="403"/>
        <v>2531.7333333333354</v>
      </c>
      <c r="GR151" s="535"/>
      <c r="GS151" s="535">
        <f t="shared" si="393"/>
        <v>0</v>
      </c>
      <c r="GT151" s="535" t="str">
        <f t="shared" si="394"/>
        <v/>
      </c>
      <c r="GU151" s="535">
        <f>IF(GK151="P",Lookup!$N$12,IF(GK151="PP",Lookup!$N$13,IF(GK151="PPP",Lookup!$N$14,IF(GK151="T",Lookup!$N$15,IF(GK151="TP",Lookup!$N$16,IF(GK151="TPP",Lookup!$N$17,IF(GK151="TPPP",Lookup!$N$18,0)))))))*GJ151</f>
        <v>0</v>
      </c>
      <c r="GV151" s="535">
        <f t="shared" si="395"/>
        <v>0</v>
      </c>
      <c r="GW151" s="535">
        <f t="shared" si="365"/>
        <v>3331.8178596307425</v>
      </c>
      <c r="GX151" s="535">
        <f t="shared" si="400"/>
        <v>1085.9901758900726</v>
      </c>
      <c r="GY151" s="535"/>
      <c r="GZ151" s="535">
        <f t="shared" si="396"/>
        <v>0</v>
      </c>
      <c r="HA151" s="535" t="str">
        <f t="shared" si="397"/>
        <v/>
      </c>
      <c r="HB151" s="535">
        <f>IF(GK151="P",Lookup!$N$12,IF(GK151="PP",Lookup!$N$13,IF(GK151="PPP",Lookup!$N$14,IF(GK151="T",Lookup!$N$15,IF(GK151="TP",Lookup!$N$16,IF(GK151="TPP",Lookup!$N$17,IF(GK151="TPPP",Lookup!$N$18,0)))))))*GJ151</f>
        <v>0</v>
      </c>
      <c r="HC151" s="521">
        <f t="shared" si="366"/>
        <v>0</v>
      </c>
      <c r="HD151" s="535">
        <f t="shared" si="367"/>
        <v>2656.0506580614615</v>
      </c>
      <c r="HE151" s="535">
        <f t="shared" si="401"/>
        <v>865.72707237987663</v>
      </c>
      <c r="HF151" s="535"/>
      <c r="HG151" s="535">
        <f t="shared" si="398"/>
        <v>0</v>
      </c>
      <c r="HH151" s="535" t="str">
        <f t="shared" si="399"/>
        <v/>
      </c>
      <c r="HI151" s="535">
        <f>IF(GK151="P",Lookup!$N$12,IF(GK151="PP",Lookup!$N$13,IF(GK151="PPP",Lookup!$N$14,IF(GK151="T",Lookup!$N$15,IF(GK151="TP",Lookup!$N$16,IF(GK151="TPP",Lookup!$N$17,IF(GK151="TPPP",Lookup!$N$18,0)))))))*GJ151</f>
        <v>0</v>
      </c>
      <c r="HJ151" s="521">
        <f t="shared" si="368"/>
        <v>0</v>
      </c>
      <c r="HK151" s="535">
        <f t="shared" si="369"/>
        <v>1751.2579595706859</v>
      </c>
      <c r="HL151" s="535">
        <f t="shared" si="402"/>
        <v>570.81419803477377</v>
      </c>
      <c r="HM151" s="535"/>
      <c r="HN151" s="541"/>
      <c r="HO151" s="541"/>
      <c r="HP151" s="541"/>
      <c r="HQ151" s="541">
        <f>IF(AND(B151&gt;=$FV$4,B151&lt;=$FW$4),MAX(110/1.02+$HQ$6+MIN(113/1.02,G151),IF($HV$6-(Sheet1!DA149-Sheet1!DB149)+MIN(113/1.02,G151)&lt;G151+FL151,$HV$6-(Sheet1!DA149-Sheet1!DB149)+MIN(113/1.02,G151),G151+FL151)),MIN(110/1.02+$HQ$6+113/1.02,G151))</f>
        <v>218.62745098039215</v>
      </c>
      <c r="HR151" s="541">
        <f t="shared" si="421"/>
        <v>223</v>
      </c>
      <c r="HS151" s="541">
        <f>HR151+(Sheet1!DA149-Sheet1!DB149)</f>
        <v>823</v>
      </c>
      <c r="HT151" s="541">
        <f t="shared" si="422"/>
        <v>63.148539999999997</v>
      </c>
      <c r="HU151" s="541">
        <f t="shared" si="423"/>
        <v>759.85145999999997</v>
      </c>
      <c r="HV151" s="541">
        <f t="shared" si="424"/>
        <v>0</v>
      </c>
      <c r="HW151" s="533" t="str">
        <f t="shared" si="425"/>
        <v/>
      </c>
      <c r="HX151" s="541">
        <f t="shared" si="426"/>
        <v>1381.372549019608</v>
      </c>
      <c r="HY151" s="541">
        <f>Sheet1!CZ149</f>
        <v>1600</v>
      </c>
      <c r="HZ151" s="541">
        <f t="shared" si="427"/>
        <v>0</v>
      </c>
      <c r="IA151" s="541">
        <f t="shared" si="428"/>
        <v>63.148539999999997</v>
      </c>
      <c r="IB151" s="541">
        <f t="shared" si="429"/>
        <v>1600</v>
      </c>
      <c r="IC151" s="1019" t="str">
        <f t="shared" si="430"/>
        <v/>
      </c>
      <c r="ID151" s="541">
        <f t="shared" si="431"/>
        <v>1536.8514600000001</v>
      </c>
      <c r="IE151" s="541">
        <f>Sheet1!DB149</f>
        <v>1510</v>
      </c>
      <c r="IF151" s="533">
        <f>Sheet1!DA149</f>
        <v>2110</v>
      </c>
      <c r="IH151" s="541">
        <f>IF(AND($B151&gt;=$GC151,$B151&lt;=$GH151,$DR151&lt;0)+N("only adjusted when pool is drawn down during storage season"),Sheet1!$DB149+$DR151+N("Palmer minus all storage release"),Sheet1!$DB149)</f>
        <v>1510</v>
      </c>
      <c r="II151" s="541">
        <f>IF(AND($B151&gt;=$GC151,$B151&lt;=$GH151,$DR151&lt;0)+N("only adjusted when pool is drawn down during storage season"),Sheet1!$DA149+$DR151+N("Auburn minus all storage release"),Sheet1!$DA149)</f>
        <v>2110</v>
      </c>
    </row>
    <row r="152" spans="1:243" x14ac:dyDescent="0.25">
      <c r="A152" s="553" t="s">
        <v>3</v>
      </c>
      <c r="B152" s="531">
        <v>42876</v>
      </c>
      <c r="C152" s="536">
        <v>0</v>
      </c>
      <c r="D152" s="506">
        <f t="shared" si="371"/>
        <v>300</v>
      </c>
      <c r="E152" s="506">
        <f t="shared" si="372"/>
        <v>250</v>
      </c>
      <c r="F152" s="506">
        <v>250</v>
      </c>
      <c r="G152" s="535">
        <f>DR152+Sheet1!CZ150</f>
        <v>2024.9268784673413</v>
      </c>
      <c r="H152" s="1074">
        <f t="shared" si="405"/>
        <v>838.40291980799998</v>
      </c>
      <c r="I152" s="534">
        <f>IF(Sheet1!DA150&gt;=E152,(Sheet1!DA150-E152+P152)*CFStoMGD,0)</f>
        <v>1245.6349198079999</v>
      </c>
      <c r="J152" s="995">
        <f>IF(Sheet1!DB150&gt;=D152,(Sheet1!DB150-D152+P152)*CFStoMGD,0)</f>
        <v>838.40291980799998</v>
      </c>
      <c r="K152" s="818">
        <f t="shared" si="406"/>
        <v>64.64</v>
      </c>
      <c r="L152" s="535">
        <f>Sheet1!AA150+Sheet1!AB150-Sheet1!L150+(Sheet1!DA150-F152)*CFStoMGD-S152-T152-U152</f>
        <v>1180.9959999999999</v>
      </c>
      <c r="M152" s="535">
        <f t="shared" si="309"/>
        <v>1335.0909889261152</v>
      </c>
      <c r="N152" s="824">
        <f>IF(Sheet1!DA150&gt;=F152,MIN(113*CFStoMGD,MIN(MAX(L152,0),MAX(M152,0))),0)</f>
        <v>73.043199999999999</v>
      </c>
      <c r="O152" s="538">
        <f>Sheet1!AA150+Sheet1!AB150</f>
        <v>56.26</v>
      </c>
      <c r="P152" s="538">
        <f t="shared" si="310"/>
        <v>87.034219999999991</v>
      </c>
      <c r="Q152" s="812">
        <f t="shared" si="407"/>
        <v>43.349999999999994</v>
      </c>
      <c r="R152" s="812">
        <f t="shared" si="373"/>
        <v>12.87636926082709</v>
      </c>
      <c r="S152" s="812">
        <f t="shared" si="374"/>
        <v>12.91</v>
      </c>
      <c r="T152" s="812">
        <f t="shared" si="375"/>
        <v>51.730000000000004</v>
      </c>
      <c r="U152" s="812">
        <f t="shared" si="408"/>
        <v>0</v>
      </c>
      <c r="V152" s="812"/>
      <c r="W152" s="812">
        <f t="shared" si="376"/>
        <v>51.76363073917291</v>
      </c>
      <c r="X152" s="812">
        <f t="shared" si="377"/>
        <v>64.64</v>
      </c>
      <c r="Y152" s="812" t="str">
        <f t="shared" si="378"/>
        <v>FALSE</v>
      </c>
      <c r="Z152" s="812">
        <f t="shared" si="379"/>
        <v>56.26</v>
      </c>
      <c r="AA152" s="812">
        <f t="shared" si="380"/>
        <v>56.259999999999991</v>
      </c>
      <c r="AB152" s="1059">
        <f t="shared" si="409"/>
        <v>67.062449999999984</v>
      </c>
      <c r="AC152" s="538">
        <f>Sheet1!Y150*MGDtoCFS</f>
        <v>39.711489999999998</v>
      </c>
      <c r="AD152" s="538">
        <f>Sheet1!Z150*MGDtoCFS</f>
        <v>43.161299999999997</v>
      </c>
      <c r="AE152" s="538">
        <f>Sheet1!AA150*MGDtoCFS</f>
        <v>39.649609999999996</v>
      </c>
      <c r="AF152" s="538">
        <f>Sheet1!AB150*MGDtoCFS</f>
        <v>47.384609999999995</v>
      </c>
      <c r="AG152" s="538">
        <f>Sheet1!L150*MGDtoCFS</f>
        <v>0</v>
      </c>
      <c r="AH152" s="521">
        <f t="shared" si="311"/>
        <v>0</v>
      </c>
      <c r="AI152" s="1059">
        <f t="shared" si="312"/>
        <v>0</v>
      </c>
      <c r="AJ152" s="535">
        <f t="shared" si="313"/>
        <v>51.76363073917291</v>
      </c>
      <c r="AK152" s="535">
        <f t="shared" si="314"/>
        <v>80.078336753500494</v>
      </c>
      <c r="AL152" s="535">
        <f>(VLOOKUP(Sheet1!DC150,hhdcap_wcm,4)-(((VLOOKUP(Sheet1!DC150,hhdcap_wcm,3)-Sheet1!DC150)/(VLOOKUP(Sheet1!DC150,hhdcap_wcm,3)-VLOOKUP(Sheet1!DC150,hhdcap_wcm,1)))*(VLOOKUP(Sheet1!DC150,hhdcap_wcm,4)-VLOOKUP(Sheet1!DC150,hhdcap_wcm,2))))</f>
        <v>44721.800000109033</v>
      </c>
      <c r="AM152" s="535">
        <f t="shared" si="315"/>
        <v>822.80000000073778</v>
      </c>
      <c r="AN152" s="1035">
        <f t="shared" si="316"/>
        <v>5106.028410377231</v>
      </c>
      <c r="AO152" s="535">
        <f t="shared" si="317"/>
        <v>15665.295163037345</v>
      </c>
      <c r="AP152" s="535">
        <f>Sheet1!BA150+Sheet1!BB150+Sheet1!BN150+CD152</f>
        <v>17.8</v>
      </c>
      <c r="AQ152" s="535">
        <f>Sheet1!BN150+(DO152*Sheet1!BN150)</f>
        <v>17.753630739172909</v>
      </c>
      <c r="AR152" s="535">
        <f>Sheet1!BA150+CD152</f>
        <v>0</v>
      </c>
      <c r="AS152" s="535">
        <f>Sheet1!BA150+Sheet1!BB150+CD152</f>
        <v>0</v>
      </c>
      <c r="AT152" s="649">
        <f>0</f>
        <v>0</v>
      </c>
      <c r="AU152" s="535">
        <f>IF(EB152&lt;K152,0,MAX(Sheet1!AA150+AQ152-15/36*K152-N152,Sheet1!EH150,0))</f>
        <v>0</v>
      </c>
      <c r="AV152" s="535">
        <f>IF(OR(B152&gt;=GD152,B152&lt;GC152),0,15/36*K152-MAX(0,64.6-(137.6-(Sheet1!AA150+Sheet1!AB150))))</f>
        <v>26.933333333333334</v>
      </c>
      <c r="AW152" s="1029"/>
      <c r="AX152" s="649"/>
      <c r="AY152" s="649">
        <f t="shared" si="410"/>
        <v>0</v>
      </c>
      <c r="AZ152" s="649">
        <f t="shared" si="411"/>
        <v>0</v>
      </c>
      <c r="BA152" s="1059">
        <f t="shared" si="412"/>
        <v>0</v>
      </c>
      <c r="BB152" s="1019">
        <f t="shared" si="318"/>
        <v>2558.6666666666688</v>
      </c>
      <c r="BC152" s="1041">
        <f t="shared" si="413"/>
        <v>26.933333333333334</v>
      </c>
      <c r="BD152" s="1019">
        <f ca="1">IF(B152&gt;Summary!$A$1,#N/A,BB152*MGtoAF)</f>
        <v>7849.9893333333403</v>
      </c>
      <c r="BE152" s="535">
        <f>Sheet1!BG150+Sheet1!BH150+Sheet1!BI150-BM152</f>
        <v>1.01</v>
      </c>
      <c r="BF152" s="535">
        <f t="shared" si="319"/>
        <v>1.0073689352002604</v>
      </c>
      <c r="BG152" s="535">
        <f>IF(Sheet1!EP150="FM",BM152,0)</f>
        <v>0</v>
      </c>
      <c r="BH152" s="535">
        <f t="shared" si="320"/>
        <v>0</v>
      </c>
      <c r="BI152" s="535">
        <f>IF(Sheet1!EP150="OTHER",BM152,0)</f>
        <v>0</v>
      </c>
      <c r="BJ152" s="535">
        <f t="shared" si="321"/>
        <v>0</v>
      </c>
      <c r="BK152" s="535">
        <f t="shared" si="322"/>
        <v>1.01</v>
      </c>
      <c r="BL152" s="535">
        <f t="shared" si="323"/>
        <v>1.0073689352002604</v>
      </c>
      <c r="BM152" s="535">
        <f>IF(OR(Sheet1!EP150="FM", Sheet1!EP150="OTHER"),SUM(Sheet1!BG150:'Sheet1'!BI150),0)</f>
        <v>0</v>
      </c>
      <c r="BN152" s="521">
        <f>IF(AND($B152&gt;=$FV152,$B152&lt;=$FW152),MAX(BF152,Sheet1!EI150,0),MAX(BF152-(7/36)*$K152,0))</f>
        <v>0</v>
      </c>
      <c r="BO152" s="535">
        <f t="shared" si="324"/>
        <v>11.561519953688629</v>
      </c>
      <c r="BP152" s="521">
        <f t="shared" si="325"/>
        <v>1.0073689352002604</v>
      </c>
      <c r="BQ152" s="521">
        <f>IF(AND($O152&gt;0,Sheet1!EM150=1),(1-($O152-Sheet1!$L150)/$O152)*BL152,0)</f>
        <v>0</v>
      </c>
      <c r="BR152" s="521">
        <f>IF(AND(Sheet1!$L150=0,Sheet1!$L149=0, Calculation!BK152&lt;Sheet1!$EI150-0.1,Sheet1!$EI150=Sheet1!$EI149,Sheet1!$EI150=Sheet1!$EI151),BL152-BQ152,BL152-BQ152)</f>
        <v>1.0073689352002604</v>
      </c>
      <c r="BS152" s="1035" t="str">
        <f t="shared" si="414"/>
        <v/>
      </c>
      <c r="BT152" s="1035">
        <f t="shared" si="415"/>
        <v>12.568888888888889</v>
      </c>
      <c r="BU152" s="535">
        <f t="shared" si="326"/>
        <v>1097.5516958437613</v>
      </c>
      <c r="BV152" s="535"/>
      <c r="BW152" s="535">
        <f ca="1">IF(B152&gt;Summary!$A$1,#N/A,BU152*MGtoAF)</f>
        <v>3367.2886028486596</v>
      </c>
      <c r="BX152" s="535">
        <f>Sheet1!BC150+Sheet1!BD150+Sheet1!BE150+Sheet1!BF150-CG152-CH152</f>
        <v>5.01</v>
      </c>
      <c r="BY152" s="535">
        <f t="shared" si="327"/>
        <v>4.9969488765874299</v>
      </c>
      <c r="BZ152" s="535">
        <f>IF(Sheet1!EQ150="FM",CH152,0)</f>
        <v>0</v>
      </c>
      <c r="CA152" s="535">
        <f t="shared" si="328"/>
        <v>0</v>
      </c>
      <c r="CB152" s="535">
        <f>IF(Sheet1!EQ150="OTHER",CH152,0)</f>
        <v>0</v>
      </c>
      <c r="CC152" s="535">
        <f t="shared" si="329"/>
        <v>0</v>
      </c>
      <c r="CD152" s="535">
        <f t="shared" si="330"/>
        <v>0</v>
      </c>
      <c r="CE152" s="535">
        <f t="shared" si="331"/>
        <v>5.01</v>
      </c>
      <c r="CF152" s="535">
        <f t="shared" si="332"/>
        <v>4.9969488765874299</v>
      </c>
      <c r="CG152" s="535">
        <f>IF(Sheet1!EQ150="CWA",SUM(Sheet1!BC150:'Sheet1'!BF150),0)</f>
        <v>0</v>
      </c>
      <c r="CH152" s="535">
        <f>IF(OR(Sheet1!EQ150="FM", Sheet1!EQ150="OTHER"),SUM(Sheet1!BC150:'Sheet1'!BF150),0)</f>
        <v>0</v>
      </c>
      <c r="CI152" s="521">
        <f>IF(AND($B152&gt;=$FV152,$B152&lt;=$FW152),MAX(CF152,Sheet1!EJ150,0),MAX(CF152-(7/36)*$K152,0))</f>
        <v>0</v>
      </c>
      <c r="CJ152" s="535">
        <f t="shared" si="333"/>
        <v>7.5719400123014591</v>
      </c>
      <c r="CK152" s="521">
        <f t="shared" si="334"/>
        <v>4.9969488765874299</v>
      </c>
      <c r="CL152" s="521">
        <f>IF(AND($O152&gt;0,Sheet1!EN150=1),(1-($O152-Sheet1!$L150)/$O152)*CF152,0)</f>
        <v>0</v>
      </c>
      <c r="CM152" s="521">
        <f>IF(AND(Sheet1!$L150=0,Sheet1!$L149=0, Calculation!CE152&lt;Sheet1!EJ150-0.1,Sheet1!EJ150=Sheet1!EJ149,Sheet1!EJ150=Sheet1!EJ151),CF152-CL152,CF152-CL152)</f>
        <v>4.9969488765874299</v>
      </c>
      <c r="CN152" s="1040" t="str">
        <f t="shared" si="416"/>
        <v/>
      </c>
      <c r="CO152" s="1035">
        <f t="shared" si="417"/>
        <v>12.568888888888889</v>
      </c>
      <c r="CP152" s="535">
        <f t="shared" si="335"/>
        <v>873.29901239217804</v>
      </c>
      <c r="CQ152" s="535"/>
      <c r="CR152" s="535">
        <f ca="1">IF(B152&gt;Summary!$A$1,#N/A,CP152*MGtoAF)</f>
        <v>2679.2813700192023</v>
      </c>
      <c r="CS152" s="535">
        <f>Sheet1!BK150+Sheet1!BL150+Sheet1!BM150-Sheet1!ER150-DA152</f>
        <v>6.8900000000000006</v>
      </c>
      <c r="CT152" s="535">
        <f t="shared" si="336"/>
        <v>6.8720514490394011</v>
      </c>
      <c r="CU152" s="535">
        <f>IF(Sheet1!ER150="FM",DA152,0)</f>
        <v>0</v>
      </c>
      <c r="CV152" s="535">
        <f t="shared" si="337"/>
        <v>0</v>
      </c>
      <c r="CW152" s="535">
        <f>IF(Sheet1!ER150="OTHER",DA152,0)</f>
        <v>0</v>
      </c>
      <c r="CX152" s="535">
        <f t="shared" si="338"/>
        <v>0</v>
      </c>
      <c r="CY152" s="535">
        <f t="shared" si="339"/>
        <v>6.8900000000000006</v>
      </c>
      <c r="CZ152" s="535">
        <f t="shared" si="340"/>
        <v>6.8720514490394011</v>
      </c>
      <c r="DA152" s="535">
        <f>IF(OR(Sheet1!ER150="FM", Sheet1!ER150="OTHER"),SUM(Sheet1!BK150:'Sheet1'!BM150),0)</f>
        <v>0</v>
      </c>
      <c r="DB152" s="1011">
        <f>IF(AND($B152&gt;=$FV152,$B152&lt;=$FW152),MAX($CT152,Sheet1!EK150,0),MAX($CT152-(7/36)*$K152,0))</f>
        <v>0</v>
      </c>
      <c r="DC152" s="1012">
        <f t="shared" si="341"/>
        <v>5.6968374398494879</v>
      </c>
      <c r="DD152" s="1011">
        <f t="shared" si="342"/>
        <v>6.8720514490394011</v>
      </c>
      <c r="DE152" s="521">
        <f>IF(AND($O152&gt;0,Sheet1!EO150=1),(1-($O152-Sheet1!$L150)/$O152)*CZ152,0)</f>
        <v>0</v>
      </c>
      <c r="DF152" s="521">
        <f>IF(AND(Sheet1!$L150=0,Sheet1!$L149=0, Calculation!CY152&lt;Sheet1!$EK150-0.1,Sheet1!$EK150=Sheet1!$EK149,Sheet1!$EK150=Sheet1!$EK151),CZ152-DE152,CZ152-DE152)</f>
        <v>6.8720514490394011</v>
      </c>
      <c r="DG152" s="1040">
        <f t="shared" si="418"/>
        <v>12.568888888888889</v>
      </c>
      <c r="DH152" s="649">
        <f t="shared" si="343"/>
        <v>12.91</v>
      </c>
      <c r="DI152" s="535">
        <f t="shared" si="344"/>
        <v>576.51103547462321</v>
      </c>
      <c r="DJ152" s="649">
        <f t="shared" si="345"/>
        <v>12.87636926082709</v>
      </c>
      <c r="DK152" s="535">
        <f ca="1">IF(B152&gt;Summary!$A$1,#N/A,DI152*MGtoAF)</f>
        <v>1768.735856836144</v>
      </c>
      <c r="DL152" s="649">
        <f t="shared" si="346"/>
        <v>12.91</v>
      </c>
      <c r="DM152" s="535">
        <f t="shared" si="347"/>
        <v>30.71</v>
      </c>
      <c r="DN152" s="535">
        <f>Sheet1!AB150-DM152</f>
        <v>-8.0000000000001847E-2</v>
      </c>
      <c r="DO152" s="743">
        <f t="shared" si="348"/>
        <v>-2.6050146532074843E-3</v>
      </c>
      <c r="DP152" s="535">
        <f>(VLOOKUP(Sheet1!DC150,hhdcap_wcm,4)-(((VLOOKUP(Sheet1!DC150,hhdcap_wcm,3)-Sheet1!DC150)/(VLOOKUP(Sheet1!DC150,hhdcap_wcm,3)-VLOOKUP(Sheet1!DC150,hhdcap_wcm,1)))*(VLOOKUP(Sheet1!DC150,hhdcap_wcm,4)-VLOOKUP(Sheet1!DC150,hhdcap_wcm,2))))</f>
        <v>44721.800000109033</v>
      </c>
      <c r="DQ152" s="535">
        <f t="shared" si="349"/>
        <v>822.80000000073778</v>
      </c>
      <c r="DR152" s="535">
        <f t="shared" si="350"/>
        <v>414.92687846734123</v>
      </c>
      <c r="DS152" s="535">
        <f>Sheet1!EA150*AFtoMG</f>
        <v>0</v>
      </c>
      <c r="DT152" s="535">
        <f>Sheet1!EB150*AFtoMG</f>
        <v>0</v>
      </c>
      <c r="DU152" s="535">
        <f>Sheet1!EC150*AFtoMG</f>
        <v>0</v>
      </c>
      <c r="DV152" s="535">
        <f>Sheet1!ED150*AFtoMG</f>
        <v>0</v>
      </c>
      <c r="DW152" s="535">
        <f t="shared" si="351"/>
        <v>0</v>
      </c>
      <c r="DX152" s="535">
        <f t="shared" si="352"/>
        <v>0</v>
      </c>
      <c r="DY152" s="535">
        <f t="shared" si="353"/>
        <v>5106.028410377231</v>
      </c>
      <c r="DZ152" s="535">
        <f t="shared" si="354"/>
        <v>15665.295163037345</v>
      </c>
      <c r="EA152" s="535"/>
      <c r="EB152" s="521">
        <f>IF(OR(B152&lt;FV152,B152&gt;FW152),(MIN(BF152+BY152+CT152+MAX(Sheet1!AA150+AQ152-73,0),K152)),0)</f>
        <v>12.87636926082709</v>
      </c>
      <c r="EC152" s="535"/>
      <c r="ED152" s="535">
        <f t="shared" si="355"/>
        <v>12.876369260827092</v>
      </c>
      <c r="EE152" s="535"/>
      <c r="EF152" s="535">
        <f>Sheet1!EH150+Sheet1!EI150+Sheet1!EJ150+Sheet1!EK150</f>
        <v>13</v>
      </c>
      <c r="EG152" s="1019">
        <f t="shared" si="419"/>
        <v>20.111000000000001</v>
      </c>
      <c r="EH152" s="521">
        <f t="shared" si="356"/>
        <v>0</v>
      </c>
      <c r="EI152" s="535">
        <f>IF(Sheet1!ET150=1,SUM('Calculations II'!AT152:BA152)+'Calculations II'!BC152+Sheet1!BV150+'Calculations II'!BE152+AP152,'Calculations II'!BK152)</f>
        <v>51.716604739172908</v>
      </c>
      <c r="EJ152" s="535">
        <f ca="1">EI152+'Calculations II'!D152+'Calculations II'!E152+'Calculations II'!O152</f>
        <v>49.429176361455305</v>
      </c>
      <c r="EK152" s="535"/>
      <c r="EL152" s="535"/>
      <c r="EM152" s="535">
        <f t="shared" si="357"/>
        <v>42876</v>
      </c>
      <c r="EN152" s="535">
        <f t="shared" si="358"/>
        <v>51.76363073917291</v>
      </c>
      <c r="EO152" s="535">
        <f t="shared" si="359"/>
        <v>80.078336753500494</v>
      </c>
      <c r="EP152" s="535">
        <v>0</v>
      </c>
      <c r="EQ152" s="535">
        <v>0</v>
      </c>
      <c r="ER152" s="535">
        <v>0</v>
      </c>
      <c r="ES152" s="521">
        <f t="shared" si="381"/>
        <v>2.9078534953691997</v>
      </c>
      <c r="ET152" s="535">
        <f>-(VLOOKUP(Sheet1!BQ150,Lookup!$O$4:$Q$262,2)-VLOOKUP(Sheet1!BQ149,Lookup!$O$4:$Q$262,2))/1000000</f>
        <v>1.5229096152445936</v>
      </c>
      <c r="EU152" s="535">
        <f>-(VLOOKUP(Sheet1!BR150,Lookup!$O$4:$Q$262,3)-VLOOKUP(Sheet1!BR149,Lookup!$O$4:$Q$262,3))/1000000</f>
        <v>1.3849438801246061</v>
      </c>
      <c r="EV152" s="535"/>
      <c r="EW152" s="535"/>
      <c r="EX152" s="535"/>
      <c r="EY152" s="535"/>
      <c r="EZ152" s="535"/>
      <c r="FA152" s="535"/>
      <c r="FB152" s="535"/>
      <c r="FC152" s="535"/>
      <c r="FD152" s="567" t="e">
        <f t="shared" si="360"/>
        <v>#N/A</v>
      </c>
      <c r="FE152" s="567" t="e">
        <f t="shared" si="361"/>
        <v>#N/A</v>
      </c>
      <c r="FF152" s="568" t="e">
        <f t="shared" si="362"/>
        <v>#N/A</v>
      </c>
      <c r="FG152" s="569" t="s">
        <v>656</v>
      </c>
      <c r="FH152" s="569" t="s">
        <v>656</v>
      </c>
      <c r="FI152" s="567" t="e">
        <v>#N/A</v>
      </c>
      <c r="FJ152" s="567" t="e">
        <v>#N/A</v>
      </c>
      <c r="FK152" s="535"/>
      <c r="FL152" s="1015">
        <v>0</v>
      </c>
      <c r="FM152" s="535"/>
      <c r="FN152" s="535"/>
      <c r="FO152" s="535">
        <f>O152+((Sheet1!CS150)*GPMtoMGD)</f>
        <v>61.322463999999997</v>
      </c>
      <c r="FP152" s="535">
        <f>IF(Sheet1!AA150+AQ152&lt;=Calculation!N152,AQ152,Calculation!N152-Sheet1!AA150)</f>
        <v>17.753630739172909</v>
      </c>
      <c r="FQ152" s="535">
        <f>(Sheet1!BP150+Sheet1!BO150)/694.4</f>
        <v>1.9923675115207373</v>
      </c>
      <c r="FR152" s="541"/>
      <c r="FS152" s="541"/>
      <c r="FT152" s="541"/>
      <c r="FU152" s="541"/>
      <c r="FV152" s="1109">
        <f t="shared" si="382"/>
        <v>42918</v>
      </c>
      <c r="FW152" s="1109">
        <f t="shared" si="383"/>
        <v>43027</v>
      </c>
      <c r="FX152" s="541"/>
      <c r="FY152" s="541">
        <f>Sheet1!DA150-Sheet1!CZ150-Sheet1!AE150</f>
        <v>392.96578</v>
      </c>
      <c r="FZ152" s="535">
        <f t="shared" si="420"/>
        <v>0.19406418284962179</v>
      </c>
      <c r="GA152" s="535"/>
      <c r="GB152" s="535" t="str">
        <f t="shared" si="384"/>
        <v>n</v>
      </c>
      <c r="GC152" s="539">
        <f t="shared" si="385"/>
        <v>42782</v>
      </c>
      <c r="GD152" s="1109">
        <f t="shared" si="386"/>
        <v>42904</v>
      </c>
      <c r="GE152" s="535">
        <f t="shared" si="404"/>
        <v>6520</v>
      </c>
      <c r="GF152" s="1109">
        <f t="shared" si="387"/>
        <v>42909</v>
      </c>
      <c r="GG152" s="535">
        <f t="shared" si="432"/>
        <v>3260</v>
      </c>
      <c r="GH152" s="539">
        <f t="shared" si="388"/>
        <v>43040</v>
      </c>
      <c r="GJ152" s="521">
        <f t="shared" si="389"/>
        <v>0</v>
      </c>
      <c r="GK152" s="535" t="str">
        <f t="shared" si="363"/>
        <v/>
      </c>
      <c r="GL152" s="535">
        <f t="shared" si="390"/>
        <v>0</v>
      </c>
      <c r="GM152" s="535" t="str">
        <f t="shared" si="391"/>
        <v/>
      </c>
      <c r="GN152" s="535">
        <f>IF(GK152="P",Lookup!$M$12,IF(GK152="PP",Lookup!$M$13,IF(GK152="PPP",Lookup!$M$14,IF(GK152="T",Lookup!$M$15,IF(GK152="TP",Lookup!$M$16,IF(GK152="TPP",Lookup!$M$17,IF(GK152="TPPP",Lookup!$M$18,0)))))))*GJ152</f>
        <v>0</v>
      </c>
      <c r="GO152" s="535">
        <f t="shared" si="392"/>
        <v>0</v>
      </c>
      <c r="GP152" s="535">
        <f t="shared" si="364"/>
        <v>7849.9893333333403</v>
      </c>
      <c r="GQ152" s="535">
        <f t="shared" si="403"/>
        <v>2558.6666666666688</v>
      </c>
      <c r="GR152" s="535"/>
      <c r="GS152" s="535">
        <f t="shared" si="393"/>
        <v>0</v>
      </c>
      <c r="GT152" s="535" t="str">
        <f t="shared" si="394"/>
        <v/>
      </c>
      <c r="GU152" s="535">
        <f>IF(GK152="P",Lookup!$N$12,IF(GK152="PP",Lookup!$N$13,IF(GK152="PPP",Lookup!$N$14,IF(GK152="T",Lookup!$N$15,IF(GK152="TP",Lookup!$N$16,IF(GK152="TPP",Lookup!$N$17,IF(GK152="TPPP",Lookup!$N$18,0)))))))*GJ152</f>
        <v>0</v>
      </c>
      <c r="GV152" s="535">
        <f t="shared" si="395"/>
        <v>0</v>
      </c>
      <c r="GW152" s="535">
        <f t="shared" si="365"/>
        <v>3367.2886028486596</v>
      </c>
      <c r="GX152" s="535">
        <f t="shared" si="400"/>
        <v>1097.5516958437613</v>
      </c>
      <c r="GY152" s="535"/>
      <c r="GZ152" s="535">
        <f t="shared" si="396"/>
        <v>0</v>
      </c>
      <c r="HA152" s="535" t="str">
        <f t="shared" si="397"/>
        <v/>
      </c>
      <c r="HB152" s="535">
        <f>IF(GK152="P",Lookup!$N$12,IF(GK152="PP",Lookup!$N$13,IF(GK152="PPP",Lookup!$N$14,IF(GK152="T",Lookup!$N$15,IF(GK152="TP",Lookup!$N$16,IF(GK152="TPP",Lookup!$N$17,IF(GK152="TPPP",Lookup!$N$18,0)))))))*GJ152</f>
        <v>0</v>
      </c>
      <c r="HC152" s="521">
        <f t="shared" si="366"/>
        <v>0</v>
      </c>
      <c r="HD152" s="535">
        <f t="shared" si="367"/>
        <v>2679.2813700192023</v>
      </c>
      <c r="HE152" s="535">
        <f t="shared" si="401"/>
        <v>873.29901239217804</v>
      </c>
      <c r="HF152" s="535"/>
      <c r="HG152" s="535">
        <f t="shared" si="398"/>
        <v>0</v>
      </c>
      <c r="HH152" s="535" t="str">
        <f t="shared" si="399"/>
        <v/>
      </c>
      <c r="HI152" s="535">
        <f>IF(GK152="P",Lookup!$N$12,IF(GK152="PP",Lookup!$N$13,IF(GK152="PPP",Lookup!$N$14,IF(GK152="T",Lookup!$N$15,IF(GK152="TP",Lookup!$N$16,IF(GK152="TPP",Lookup!$N$17,IF(GK152="TPPP",Lookup!$N$18,0)))))))*GJ152</f>
        <v>0</v>
      </c>
      <c r="HJ152" s="521">
        <f t="shared" si="368"/>
        <v>0</v>
      </c>
      <c r="HK152" s="535">
        <f t="shared" si="369"/>
        <v>1768.735856836144</v>
      </c>
      <c r="HL152" s="535">
        <f t="shared" si="402"/>
        <v>576.51103547462321</v>
      </c>
      <c r="HM152" s="535"/>
      <c r="HN152" s="541"/>
      <c r="HO152" s="541"/>
      <c r="HP152" s="541"/>
      <c r="HQ152" s="541">
        <f>IF(AND(B152&gt;=$FV$4,B152&lt;=$FW$4),MAX(110/1.02+$HQ$6+MIN(113/1.02,G152),IF($HV$6-(Sheet1!DA150-Sheet1!DB150)+MIN(113/1.02,G152)&lt;G152+FL152,$HV$6-(Sheet1!DA150-Sheet1!DB150)+MIN(113/1.02,G152),G152+FL152)),MIN(110/1.02+$HQ$6+113/1.02,G152))</f>
        <v>218.62745098039215</v>
      </c>
      <c r="HR152" s="541">
        <f t="shared" si="421"/>
        <v>223</v>
      </c>
      <c r="HS152" s="541">
        <f>HR152+(Sheet1!DA150-Sheet1!DB150)</f>
        <v>803</v>
      </c>
      <c r="HT152" s="541">
        <f t="shared" si="422"/>
        <v>67.062449999999984</v>
      </c>
      <c r="HU152" s="541">
        <f t="shared" si="423"/>
        <v>735.93754999999999</v>
      </c>
      <c r="HV152" s="541">
        <f t="shared" si="424"/>
        <v>0</v>
      </c>
      <c r="HW152" s="533" t="str">
        <f t="shared" si="425"/>
        <v/>
      </c>
      <c r="HX152" s="541">
        <f t="shared" si="426"/>
        <v>1391.372549019608</v>
      </c>
      <c r="HY152" s="541">
        <f>Sheet1!CZ150</f>
        <v>1610</v>
      </c>
      <c r="HZ152" s="541">
        <f t="shared" si="427"/>
        <v>0</v>
      </c>
      <c r="IA152" s="541">
        <f t="shared" si="428"/>
        <v>67.062449999999984</v>
      </c>
      <c r="IB152" s="541">
        <f t="shared" si="429"/>
        <v>1610</v>
      </c>
      <c r="IC152" s="1019" t="str">
        <f t="shared" si="430"/>
        <v/>
      </c>
      <c r="ID152" s="541">
        <f t="shared" si="431"/>
        <v>1542.9375500000001</v>
      </c>
      <c r="IE152" s="541">
        <f>Sheet1!DB150</f>
        <v>1510</v>
      </c>
      <c r="IF152" s="533">
        <f>Sheet1!DA150</f>
        <v>2090</v>
      </c>
      <c r="IH152" s="541">
        <f>IF(AND($B152&gt;=$GC152,$B152&lt;=$GH152,$DR152&lt;0)+N("only adjusted when pool is drawn down during storage season"),Sheet1!$DB150+$DR152+N("Palmer minus all storage release"),Sheet1!$DB150)</f>
        <v>1510</v>
      </c>
      <c r="II152" s="541">
        <f>IF(AND($B152&gt;=$GC152,$B152&lt;=$GH152,$DR152&lt;0)+N("only adjusted when pool is drawn down during storage season"),Sheet1!$DA150+$DR152+N("Auburn minus all storage release"),Sheet1!$DA150)</f>
        <v>2090</v>
      </c>
    </row>
    <row r="153" spans="1:243" x14ac:dyDescent="0.25">
      <c r="A153" s="553" t="s">
        <v>4</v>
      </c>
      <c r="B153" s="531">
        <v>42877</v>
      </c>
      <c r="C153" s="536">
        <v>0</v>
      </c>
      <c r="D153" s="506">
        <f t="shared" si="371"/>
        <v>300</v>
      </c>
      <c r="E153" s="506">
        <f t="shared" si="372"/>
        <v>250</v>
      </c>
      <c r="F153" s="506">
        <v>250</v>
      </c>
      <c r="G153" s="535">
        <f>DR153+Sheet1!CZ151</f>
        <v>2462.2793746857037</v>
      </c>
      <c r="H153" s="1074">
        <f t="shared" si="405"/>
        <v>1055.574845696</v>
      </c>
      <c r="I153" s="534">
        <f>IF(Sheet1!DA151&gt;=E153,(Sheet1!DA151-E153+P153)*CFStoMGD,0)</f>
        <v>1436.9508456959998</v>
      </c>
      <c r="J153" s="995">
        <f>IF(Sheet1!DB151&gt;=D153,(Sheet1!DB151-D153+P153)*CFStoMGD,0)</f>
        <v>1055.574845696</v>
      </c>
      <c r="K153" s="818">
        <f t="shared" si="406"/>
        <v>64.64</v>
      </c>
      <c r="L153" s="535">
        <f>Sheet1!AA151+Sheet1!AB151-Sheet1!L151+(Sheet1!DA151-F153)*CFStoMGD-S153-T153-U153</f>
        <v>1372.3119999999999</v>
      </c>
      <c r="M153" s="535">
        <f t="shared" si="309"/>
        <v>1623.4497355527758</v>
      </c>
      <c r="N153" s="824">
        <f>IF(Sheet1!DA151&gt;=F153,MIN(113*CFStoMGD,MIN(MAX(L153,0),MAX(M153,0))),0)</f>
        <v>73.043199999999999</v>
      </c>
      <c r="O153" s="538">
        <f>Sheet1!AA151+Sheet1!AB151</f>
        <v>60.120000000000005</v>
      </c>
      <c r="P153" s="538">
        <f t="shared" si="310"/>
        <v>93.00564</v>
      </c>
      <c r="Q153" s="812">
        <f t="shared" si="407"/>
        <v>47.56</v>
      </c>
      <c r="R153" s="812">
        <f t="shared" si="373"/>
        <v>12.509267166762839</v>
      </c>
      <c r="S153" s="812">
        <f t="shared" si="374"/>
        <v>12.559999999999999</v>
      </c>
      <c r="T153" s="812">
        <f t="shared" si="375"/>
        <v>52.08</v>
      </c>
      <c r="U153" s="812">
        <f t="shared" si="408"/>
        <v>0</v>
      </c>
      <c r="V153" s="812"/>
      <c r="W153" s="812">
        <f t="shared" si="376"/>
        <v>52.130732833237161</v>
      </c>
      <c r="X153" s="812">
        <f t="shared" si="377"/>
        <v>64.64</v>
      </c>
      <c r="Y153" s="812" t="str">
        <f t="shared" si="378"/>
        <v>FALSE</v>
      </c>
      <c r="Z153" s="812">
        <f t="shared" si="379"/>
        <v>60.120000000000005</v>
      </c>
      <c r="AA153" s="812">
        <f t="shared" si="380"/>
        <v>60.120000000000005</v>
      </c>
      <c r="AB153" s="1059">
        <f t="shared" si="409"/>
        <v>73.575320000000005</v>
      </c>
      <c r="AC153" s="538">
        <f>Sheet1!Y151*MGDtoCFS</f>
        <v>39.649609999999996</v>
      </c>
      <c r="AD153" s="538">
        <f>Sheet1!Z151*MGDtoCFS</f>
        <v>47.183499999999995</v>
      </c>
      <c r="AE153" s="538">
        <f>Sheet1!AA151*MGDtoCFS</f>
        <v>39.603200000000001</v>
      </c>
      <c r="AF153" s="538">
        <f>Sheet1!AB151*MGDtoCFS</f>
        <v>53.402440000000006</v>
      </c>
      <c r="AG153" s="538">
        <f>Sheet1!L151*MGDtoCFS</f>
        <v>0</v>
      </c>
      <c r="AH153" s="521">
        <f t="shared" si="311"/>
        <v>0</v>
      </c>
      <c r="AI153" s="1059">
        <f t="shared" si="312"/>
        <v>0</v>
      </c>
      <c r="AJ153" s="535">
        <f t="shared" si="313"/>
        <v>52.130732833237161</v>
      </c>
      <c r="AK153" s="535">
        <f t="shared" si="314"/>
        <v>80.64624369301788</v>
      </c>
      <c r="AL153" s="535">
        <f>(VLOOKUP(Sheet1!DC151,hhdcap_wcm,4)-(((VLOOKUP(Sheet1!DC151,hhdcap_wcm,3)-Sheet1!DC151)/(VLOOKUP(Sheet1!DC151,hhdcap_wcm,3)-VLOOKUP(Sheet1!DC151,hhdcap_wcm,1)))*(VLOOKUP(Sheet1!DC151,hhdcap_wcm,4)-VLOOKUP(Sheet1!DC151,hhdcap_wcm,2))))</f>
        <v>45638.500000110784</v>
      </c>
      <c r="AM153" s="535">
        <f t="shared" si="315"/>
        <v>916.7000000017506</v>
      </c>
      <c r="AN153" s="1035">
        <f t="shared" si="316"/>
        <v>5158.1591432104688</v>
      </c>
      <c r="AO153" s="535">
        <f t="shared" si="317"/>
        <v>15825.232251369718</v>
      </c>
      <c r="AP153" s="535">
        <f>Sheet1!BA151+Sheet1!BB151+Sheet1!BN151+CD153</f>
        <v>22.1</v>
      </c>
      <c r="AQ153" s="535">
        <f>Sheet1!BN151+(DO153*Sheet1!BN151)</f>
        <v>22.010732833237167</v>
      </c>
      <c r="AR153" s="535">
        <f>Sheet1!BA151+CD153</f>
        <v>0</v>
      </c>
      <c r="AS153" s="535">
        <f>Sheet1!BA151+Sheet1!BB151+CD153</f>
        <v>0</v>
      </c>
      <c r="AT153" s="649">
        <f>0</f>
        <v>0</v>
      </c>
      <c r="AU153" s="535">
        <f>IF(EB153&lt;K153,0,MAX(Sheet1!AA151+AQ153-15/36*K153-N153,Sheet1!EH151,0))</f>
        <v>0</v>
      </c>
      <c r="AV153" s="535">
        <f>IF(OR(B153&gt;=GD153,B153&lt;GC153),0,15/36*K153-MAX(0,64.6-(137.6-(Sheet1!AA151+Sheet1!AB151))))</f>
        <v>26.933333333333334</v>
      </c>
      <c r="AW153" s="1029"/>
      <c r="AX153" s="649"/>
      <c r="AY153" s="649">
        <f t="shared" si="410"/>
        <v>0</v>
      </c>
      <c r="AZ153" s="649">
        <f t="shared" si="411"/>
        <v>0</v>
      </c>
      <c r="BA153" s="1059">
        <f t="shared" si="412"/>
        <v>0</v>
      </c>
      <c r="BB153" s="1019">
        <f t="shared" si="318"/>
        <v>2585.6000000000022</v>
      </c>
      <c r="BC153" s="1041">
        <f t="shared" si="413"/>
        <v>26.933333333333334</v>
      </c>
      <c r="BD153" s="1019">
        <f ca="1">IF(B153&gt;Summary!$A$1,#N/A,BB153*MGtoAF)</f>
        <v>7932.620800000007</v>
      </c>
      <c r="BE153" s="535">
        <f>Sheet1!BG151+Sheet1!BH151+Sheet1!BI151-BM153</f>
        <v>1</v>
      </c>
      <c r="BF153" s="535">
        <f t="shared" si="319"/>
        <v>0.99596076168493963</v>
      </c>
      <c r="BG153" s="535">
        <f>IF(Sheet1!EP151="FM",BM153,0)</f>
        <v>0</v>
      </c>
      <c r="BH153" s="535">
        <f t="shared" si="320"/>
        <v>0</v>
      </c>
      <c r="BI153" s="535">
        <f>IF(Sheet1!EP151="OTHER",BM153,0)</f>
        <v>0</v>
      </c>
      <c r="BJ153" s="535">
        <f t="shared" si="321"/>
        <v>0</v>
      </c>
      <c r="BK153" s="535">
        <f t="shared" si="322"/>
        <v>1</v>
      </c>
      <c r="BL153" s="535">
        <f t="shared" si="323"/>
        <v>0.99596076168493963</v>
      </c>
      <c r="BM153" s="535">
        <f>IF(OR(Sheet1!EP151="FM", Sheet1!EP151="OTHER"),SUM(Sheet1!BG151:'Sheet1'!BI151),0)</f>
        <v>0</v>
      </c>
      <c r="BN153" s="521">
        <f>IF(AND($B153&gt;=$FV153,$B153&lt;=$FW153),MAX(BF153,Sheet1!EI151,0),MAX(BF153-(7/36)*$K153,0))</f>
        <v>0</v>
      </c>
      <c r="BO153" s="535">
        <f t="shared" si="324"/>
        <v>11.57292812720395</v>
      </c>
      <c r="BP153" s="521">
        <f t="shared" si="325"/>
        <v>0.99596076168493963</v>
      </c>
      <c r="BQ153" s="521">
        <f>IF(AND($O153&gt;0,Sheet1!EM151=1),(1-($O153-Sheet1!$L151)/$O153)*BL153,0)</f>
        <v>0</v>
      </c>
      <c r="BR153" s="521">
        <f>IF(AND(Sheet1!$L151=0,Sheet1!$L150=0, Calculation!BK153&lt;Sheet1!$EI151-0.1,Sheet1!$EI151=Sheet1!$EI150,Sheet1!$EI151=Sheet1!$EI152),BL153-BQ153,BL153-BQ153)</f>
        <v>0.99596076168493963</v>
      </c>
      <c r="BS153" s="1035" t="str">
        <f t="shared" si="414"/>
        <v/>
      </c>
      <c r="BT153" s="1035">
        <f t="shared" si="415"/>
        <v>12.568888888888889</v>
      </c>
      <c r="BU153" s="535">
        <f t="shared" si="326"/>
        <v>1109.1246239709653</v>
      </c>
      <c r="BV153" s="535"/>
      <c r="BW153" s="535">
        <f ca="1">IF(B153&gt;Summary!$A$1,#N/A,BU153*MGtoAF)</f>
        <v>3402.7943463429219</v>
      </c>
      <c r="BX153" s="535">
        <f>Sheet1!BC151+Sheet1!BD151+Sheet1!BE151+Sheet1!BF151-CG153-CH153</f>
        <v>4.68</v>
      </c>
      <c r="BY153" s="535">
        <f t="shared" si="327"/>
        <v>4.661096364685517</v>
      </c>
      <c r="BZ153" s="535">
        <f>IF(Sheet1!EQ151="FM",CH153,0)</f>
        <v>0</v>
      </c>
      <c r="CA153" s="535">
        <f t="shared" si="328"/>
        <v>0</v>
      </c>
      <c r="CB153" s="535">
        <f>IF(Sheet1!EQ151="OTHER",CH153,0)</f>
        <v>0</v>
      </c>
      <c r="CC153" s="535">
        <f t="shared" si="329"/>
        <v>0</v>
      </c>
      <c r="CD153" s="535">
        <f t="shared" si="330"/>
        <v>0</v>
      </c>
      <c r="CE153" s="535">
        <f t="shared" si="331"/>
        <v>4.68</v>
      </c>
      <c r="CF153" s="535">
        <f t="shared" si="332"/>
        <v>4.661096364685517</v>
      </c>
      <c r="CG153" s="535">
        <f>IF(Sheet1!EQ151="CWA",SUM(Sheet1!BC151:'Sheet1'!BF151),0)</f>
        <v>0</v>
      </c>
      <c r="CH153" s="535">
        <f>IF(OR(Sheet1!EQ151="FM", Sheet1!EQ151="OTHER"),SUM(Sheet1!BC151:'Sheet1'!BF151),0)</f>
        <v>0</v>
      </c>
      <c r="CI153" s="521">
        <f>IF(AND($B153&gt;=$FV153,$B153&lt;=$FW153),MAX(CF153,Sheet1!EJ151,0),MAX(CF153-(7/36)*$K153,0))</f>
        <v>0</v>
      </c>
      <c r="CJ153" s="535">
        <f t="shared" si="333"/>
        <v>7.907792524203372</v>
      </c>
      <c r="CK153" s="521">
        <f t="shared" si="334"/>
        <v>4.661096364685517</v>
      </c>
      <c r="CL153" s="521">
        <f>IF(AND($O153&gt;0,Sheet1!EN151=1),(1-($O153-Sheet1!$L151)/$O153)*CF153,0)</f>
        <v>0</v>
      </c>
      <c r="CM153" s="521">
        <f>IF(AND(Sheet1!$L151=0,Sheet1!$L150=0, Calculation!CE153&lt;Sheet1!EJ151-0.1,Sheet1!EJ151=Sheet1!EJ150,Sheet1!EJ151=Sheet1!EJ152),CF153-CL153,CF153-CL153)</f>
        <v>4.661096364685517</v>
      </c>
      <c r="CN153" s="1040" t="str">
        <f t="shared" si="416"/>
        <v/>
      </c>
      <c r="CO153" s="1035">
        <f t="shared" si="417"/>
        <v>12.568888888888889</v>
      </c>
      <c r="CP153" s="535">
        <f t="shared" si="335"/>
        <v>881.20680491638143</v>
      </c>
      <c r="CQ153" s="535"/>
      <c r="CR153" s="535">
        <f ca="1">IF(B153&gt;Summary!$A$1,#N/A,CP153*MGtoAF)</f>
        <v>2703.5424774834582</v>
      </c>
      <c r="CS153" s="535">
        <f>Sheet1!BK151+Sheet1!BL151+Sheet1!BM151-Sheet1!ER151-DA153</f>
        <v>6.879999999999999</v>
      </c>
      <c r="CT153" s="535">
        <f t="shared" si="336"/>
        <v>6.8522100403923831</v>
      </c>
      <c r="CU153" s="535">
        <f>IF(Sheet1!ER151="FM",DA153,0)</f>
        <v>0</v>
      </c>
      <c r="CV153" s="535">
        <f t="shared" si="337"/>
        <v>0</v>
      </c>
      <c r="CW153" s="535">
        <f>IF(Sheet1!ER151="OTHER",DA153,0)</f>
        <v>0</v>
      </c>
      <c r="CX153" s="535">
        <f t="shared" si="338"/>
        <v>0</v>
      </c>
      <c r="CY153" s="535">
        <f t="shared" si="339"/>
        <v>6.879999999999999</v>
      </c>
      <c r="CZ153" s="535">
        <f t="shared" si="340"/>
        <v>6.8522100403923831</v>
      </c>
      <c r="DA153" s="535">
        <f>IF(OR(Sheet1!ER151="FM", Sheet1!ER151="OTHER"),SUM(Sheet1!BK151:'Sheet1'!BM151),0)</f>
        <v>0</v>
      </c>
      <c r="DB153" s="1011">
        <f>IF(AND($B153&gt;=$FV153,$B153&lt;=$FW153),MAX($CT153,Sheet1!EK151,0),MAX($CT153-(7/36)*$K153,0))</f>
        <v>0</v>
      </c>
      <c r="DC153" s="1012">
        <f t="shared" si="341"/>
        <v>5.7166788484965059</v>
      </c>
      <c r="DD153" s="1011">
        <f t="shared" si="342"/>
        <v>6.8522100403923831</v>
      </c>
      <c r="DE153" s="521">
        <f>IF(AND($O153&gt;0,Sheet1!EO151=1),(1-($O153-Sheet1!$L151)/$O153)*CZ153,0)</f>
        <v>0</v>
      </c>
      <c r="DF153" s="521">
        <f>IF(AND(Sheet1!$L151=0,Sheet1!$L150=0, Calculation!CY153&lt;Sheet1!$EK151-0.1,Sheet1!$EK151=Sheet1!$EK150,Sheet1!$EK151=Sheet1!$EK152),CZ153-DE153,CZ153-DE153)</f>
        <v>6.8522100403923831</v>
      </c>
      <c r="DG153" s="1040">
        <f t="shared" si="418"/>
        <v>12.568888888888889</v>
      </c>
      <c r="DH153" s="649">
        <f t="shared" si="343"/>
        <v>12.559999999999999</v>
      </c>
      <c r="DI153" s="535">
        <f t="shared" si="344"/>
        <v>582.2277143231197</v>
      </c>
      <c r="DJ153" s="649">
        <f t="shared" si="345"/>
        <v>12.509267166762839</v>
      </c>
      <c r="DK153" s="535">
        <f ca="1">IF(B153&gt;Summary!$A$1,#N/A,DI153*MGtoAF)</f>
        <v>1786.2746275433312</v>
      </c>
      <c r="DL153" s="649">
        <f t="shared" si="346"/>
        <v>12.559999999999999</v>
      </c>
      <c r="DM153" s="535">
        <f t="shared" si="347"/>
        <v>34.659999999999997</v>
      </c>
      <c r="DN153" s="535">
        <f>Sheet1!AB151-DM153</f>
        <v>-0.13999999999999346</v>
      </c>
      <c r="DO153" s="743">
        <f t="shared" si="348"/>
        <v>-4.0392383150604002E-3</v>
      </c>
      <c r="DP153" s="535">
        <f>(VLOOKUP(Sheet1!DC151,hhdcap_wcm,4)-(((VLOOKUP(Sheet1!DC151,hhdcap_wcm,3)-Sheet1!DC151)/(VLOOKUP(Sheet1!DC151,hhdcap_wcm,3)-VLOOKUP(Sheet1!DC151,hhdcap_wcm,1)))*(VLOOKUP(Sheet1!DC151,hhdcap_wcm,4)-VLOOKUP(Sheet1!DC151,hhdcap_wcm,2))))</f>
        <v>45638.500000110784</v>
      </c>
      <c r="DQ153" s="535">
        <f t="shared" si="349"/>
        <v>916.7000000017506</v>
      </c>
      <c r="DR153" s="535">
        <f t="shared" si="350"/>
        <v>462.27937468570371</v>
      </c>
      <c r="DS153" s="535">
        <f>Sheet1!EA151*AFtoMG</f>
        <v>0</v>
      </c>
      <c r="DT153" s="535">
        <f>Sheet1!EB151*AFtoMG</f>
        <v>0</v>
      </c>
      <c r="DU153" s="535">
        <f>Sheet1!EC151*AFtoMG</f>
        <v>0</v>
      </c>
      <c r="DV153" s="535">
        <f>Sheet1!ED151*AFtoMG</f>
        <v>0</v>
      </c>
      <c r="DW153" s="535">
        <f t="shared" si="351"/>
        <v>0</v>
      </c>
      <c r="DX153" s="535">
        <f t="shared" si="352"/>
        <v>0</v>
      </c>
      <c r="DY153" s="535">
        <f t="shared" si="353"/>
        <v>5158.1591432104688</v>
      </c>
      <c r="DZ153" s="535">
        <f t="shared" si="354"/>
        <v>15825.232251369718</v>
      </c>
      <c r="EA153" s="535"/>
      <c r="EB153" s="521">
        <f>IF(OR(B153&lt;FV153,B153&gt;FW153),(MIN(BF153+BY153+CT153+MAX(Sheet1!AA151+AQ153-73,0),K153)),0)</f>
        <v>12.509267166762839</v>
      </c>
      <c r="EC153" s="535"/>
      <c r="ED153" s="535">
        <f t="shared" si="355"/>
        <v>12.509267166762839</v>
      </c>
      <c r="EE153" s="535"/>
      <c r="EF153" s="535">
        <f>Sheet1!EH151+Sheet1!EI151+Sheet1!EJ151+Sheet1!EK151</f>
        <v>12.5</v>
      </c>
      <c r="EG153" s="1019">
        <f t="shared" si="419"/>
        <v>19.337499999999999</v>
      </c>
      <c r="EH153" s="521">
        <f t="shared" si="356"/>
        <v>0</v>
      </c>
      <c r="EI153" s="535">
        <f>IF(Sheet1!ET151=1,SUM('Calculations II'!AT153:BA153)+'Calculations II'!BC153+Sheet1!BV151+'Calculations II'!BE153+AP153,'Calculations II'!BK153)</f>
        <v>53.124120833237171</v>
      </c>
      <c r="EJ153" s="535">
        <f ca="1">EI153+'Calculations II'!D153+'Calculations II'!E153+'Calculations II'!O153</f>
        <v>51.429124589630526</v>
      </c>
      <c r="EK153" s="535"/>
      <c r="EL153" s="535"/>
      <c r="EM153" s="535">
        <f t="shared" si="357"/>
        <v>42877</v>
      </c>
      <c r="EN153" s="535">
        <f t="shared" si="358"/>
        <v>52.130732833237161</v>
      </c>
      <c r="EO153" s="535">
        <f t="shared" si="359"/>
        <v>80.64624369301788</v>
      </c>
      <c r="EP153" s="535">
        <v>0</v>
      </c>
      <c r="EQ153" s="535">
        <v>0</v>
      </c>
      <c r="ER153" s="535">
        <v>0</v>
      </c>
      <c r="ES153" s="521">
        <f t="shared" si="381"/>
        <v>0.55372124456098293</v>
      </c>
      <c r="ET153" s="535">
        <f>-(VLOOKUP(Sheet1!BQ151,Lookup!$O$4:$Q$262,2)-VLOOKUP(Sheet1!BQ150,Lookup!$O$4:$Q$262,2))/1000000</f>
        <v>0.27680936622175945</v>
      </c>
      <c r="EU153" s="535">
        <f>-(VLOOKUP(Sheet1!BR151,Lookup!$O$4:$Q$262,3)-VLOOKUP(Sheet1!BR150,Lookup!$O$4:$Q$262,3))/1000000</f>
        <v>0.27691187833922354</v>
      </c>
      <c r="EV153" s="535"/>
      <c r="EW153" s="535"/>
      <c r="EX153" s="535"/>
      <c r="EY153" s="535"/>
      <c r="EZ153" s="535"/>
      <c r="FA153" s="535"/>
      <c r="FB153" s="535"/>
      <c r="FC153" s="535"/>
      <c r="FD153" s="567" t="e">
        <f t="shared" si="360"/>
        <v>#N/A</v>
      </c>
      <c r="FE153" s="567" t="e">
        <f t="shared" si="361"/>
        <v>#N/A</v>
      </c>
      <c r="FF153" s="568" t="e">
        <f t="shared" si="362"/>
        <v>#N/A</v>
      </c>
      <c r="FG153" s="569" t="s">
        <v>656</v>
      </c>
      <c r="FH153" s="569" t="s">
        <v>656</v>
      </c>
      <c r="FI153" s="567" t="e">
        <v>#N/A</v>
      </c>
      <c r="FJ153" s="567" t="e">
        <v>#N/A</v>
      </c>
      <c r="FK153" s="535"/>
      <c r="FL153" s="1015">
        <v>0</v>
      </c>
      <c r="FM153" s="535"/>
      <c r="FN153" s="535"/>
      <c r="FO153" s="535">
        <f>O153+((Sheet1!CS151)*GPMtoMGD)</f>
        <v>65.175984</v>
      </c>
      <c r="FP153" s="535">
        <f>IF(Sheet1!AA151+AQ153&lt;=Calculation!N153,AQ153,Calculation!N153-Sheet1!AA151)</f>
        <v>22.010732833237167</v>
      </c>
      <c r="FQ153" s="535">
        <f>(Sheet1!BP151+Sheet1!BO151)/694.4</f>
        <v>1.5636520737327193</v>
      </c>
      <c r="FR153" s="541"/>
      <c r="FS153" s="541"/>
      <c r="FT153" s="541"/>
      <c r="FU153" s="541"/>
      <c r="FV153" s="1109">
        <f t="shared" si="382"/>
        <v>42918</v>
      </c>
      <c r="FW153" s="1109">
        <f t="shared" si="383"/>
        <v>43027</v>
      </c>
      <c r="FX153" s="541"/>
      <c r="FY153" s="541">
        <f>Sheet1!DA151-Sheet1!CZ151-Sheet1!AE151</f>
        <v>286.99436000000003</v>
      </c>
      <c r="FZ153" s="535">
        <f t="shared" si="420"/>
        <v>0.11655637575107954</v>
      </c>
      <c r="GA153" s="535"/>
      <c r="GB153" s="535" t="str">
        <f t="shared" si="384"/>
        <v>n</v>
      </c>
      <c r="GC153" s="539">
        <f t="shared" si="385"/>
        <v>42782</v>
      </c>
      <c r="GD153" s="1109">
        <f t="shared" si="386"/>
        <v>42904</v>
      </c>
      <c r="GE153" s="535">
        <f t="shared" si="404"/>
        <v>6520</v>
      </c>
      <c r="GF153" s="1109">
        <f t="shared" si="387"/>
        <v>42909</v>
      </c>
      <c r="GG153" s="535">
        <f t="shared" si="432"/>
        <v>3260</v>
      </c>
      <c r="GH153" s="539">
        <f t="shared" si="388"/>
        <v>43040</v>
      </c>
      <c r="GJ153" s="521">
        <f t="shared" si="389"/>
        <v>0</v>
      </c>
      <c r="GK153" s="535" t="str">
        <f t="shared" si="363"/>
        <v/>
      </c>
      <c r="GL153" s="535">
        <f t="shared" si="390"/>
        <v>0</v>
      </c>
      <c r="GM153" s="535" t="str">
        <f t="shared" si="391"/>
        <v/>
      </c>
      <c r="GN153" s="535">
        <f>IF(GK153="P",Lookup!$M$12,IF(GK153="PP",Lookup!$M$13,IF(GK153="PPP",Lookup!$M$14,IF(GK153="T",Lookup!$M$15,IF(GK153="TP",Lookup!$M$16,IF(GK153="TPP",Lookup!$M$17,IF(GK153="TPPP",Lookup!$M$18,0)))))))*GJ153</f>
        <v>0</v>
      </c>
      <c r="GO153" s="535">
        <f t="shared" si="392"/>
        <v>0</v>
      </c>
      <c r="GP153" s="535">
        <f t="shared" si="364"/>
        <v>7932.620800000007</v>
      </c>
      <c r="GQ153" s="535">
        <f t="shared" si="403"/>
        <v>2585.6000000000022</v>
      </c>
      <c r="GR153" s="535"/>
      <c r="GS153" s="535">
        <f t="shared" si="393"/>
        <v>0</v>
      </c>
      <c r="GT153" s="535" t="str">
        <f t="shared" si="394"/>
        <v/>
      </c>
      <c r="GU153" s="535">
        <f>IF(GK153="P",Lookup!$N$12,IF(GK153="PP",Lookup!$N$13,IF(GK153="PPP",Lookup!$N$14,IF(GK153="T",Lookup!$N$15,IF(GK153="TP",Lookup!$N$16,IF(GK153="TPP",Lookup!$N$17,IF(GK153="TPPP",Lookup!$N$18,0)))))))*GJ153</f>
        <v>0</v>
      </c>
      <c r="GV153" s="535">
        <f t="shared" si="395"/>
        <v>0</v>
      </c>
      <c r="GW153" s="535">
        <f t="shared" si="365"/>
        <v>3402.7943463429219</v>
      </c>
      <c r="GX153" s="535">
        <f t="shared" si="400"/>
        <v>1109.1246239709653</v>
      </c>
      <c r="GY153" s="535"/>
      <c r="GZ153" s="535">
        <f t="shared" si="396"/>
        <v>0</v>
      </c>
      <c r="HA153" s="535" t="str">
        <f t="shared" si="397"/>
        <v/>
      </c>
      <c r="HB153" s="535">
        <f>IF(GK153="P",Lookup!$N$12,IF(GK153="PP",Lookup!$N$13,IF(GK153="PPP",Lookup!$N$14,IF(GK153="T",Lookup!$N$15,IF(GK153="TP",Lookup!$N$16,IF(GK153="TPP",Lookup!$N$17,IF(GK153="TPPP",Lookup!$N$18,0)))))))*GJ153</f>
        <v>0</v>
      </c>
      <c r="HC153" s="521">
        <f t="shared" si="366"/>
        <v>0</v>
      </c>
      <c r="HD153" s="535">
        <f t="shared" si="367"/>
        <v>2703.5424774834582</v>
      </c>
      <c r="HE153" s="535">
        <f t="shared" si="401"/>
        <v>881.20680491638143</v>
      </c>
      <c r="HF153" s="535"/>
      <c r="HG153" s="535">
        <f t="shared" si="398"/>
        <v>0</v>
      </c>
      <c r="HH153" s="535" t="str">
        <f t="shared" si="399"/>
        <v/>
      </c>
      <c r="HI153" s="535">
        <f>IF(GK153="P",Lookup!$N$12,IF(GK153="PP",Lookup!$N$13,IF(GK153="PPP",Lookup!$N$14,IF(GK153="T",Lookup!$N$15,IF(GK153="TP",Lookup!$N$16,IF(GK153="TPP",Lookup!$N$17,IF(GK153="TPPP",Lookup!$N$18,0)))))))*GJ153</f>
        <v>0</v>
      </c>
      <c r="HJ153" s="521">
        <f t="shared" si="368"/>
        <v>0</v>
      </c>
      <c r="HK153" s="535">
        <f t="shared" si="369"/>
        <v>1786.2746275433312</v>
      </c>
      <c r="HL153" s="535">
        <f t="shared" si="402"/>
        <v>582.2277143231197</v>
      </c>
      <c r="HM153" s="535"/>
      <c r="HN153" s="541"/>
      <c r="HO153" s="541"/>
      <c r="HP153" s="541"/>
      <c r="HQ153" s="541">
        <f>IF(AND(B153&gt;=$FV$4,B153&lt;=$FW$4),MAX(110/1.02+$HQ$6+MIN(113/1.02,G153),IF($HV$6-(Sheet1!DA151-Sheet1!DB151)+MIN(113/1.02,G153)&lt;G153+FL153,$HV$6-(Sheet1!DA151-Sheet1!DB151)+MIN(113/1.02,G153),G153+FL153)),MIN(110/1.02+$HQ$6+113/1.02,G153))</f>
        <v>218.62745098039215</v>
      </c>
      <c r="HR153" s="541">
        <f t="shared" si="421"/>
        <v>223</v>
      </c>
      <c r="HS153" s="541">
        <f>HR153+(Sheet1!DA151-Sheet1!DB151)</f>
        <v>763</v>
      </c>
      <c r="HT153" s="541">
        <f t="shared" si="422"/>
        <v>73.575320000000005</v>
      </c>
      <c r="HU153" s="541">
        <f t="shared" si="423"/>
        <v>689.42467999999997</v>
      </c>
      <c r="HV153" s="541">
        <f t="shared" si="424"/>
        <v>0</v>
      </c>
      <c r="HW153" s="533" t="str">
        <f t="shared" si="425"/>
        <v/>
      </c>
      <c r="HX153" s="541">
        <f t="shared" si="426"/>
        <v>1781.372549019608</v>
      </c>
      <c r="HY153" s="541">
        <f>Sheet1!CZ151</f>
        <v>2000</v>
      </c>
      <c r="HZ153" s="541">
        <f t="shared" si="427"/>
        <v>0</v>
      </c>
      <c r="IA153" s="541">
        <f t="shared" si="428"/>
        <v>73.575320000000005</v>
      </c>
      <c r="IB153" s="541">
        <f t="shared" si="429"/>
        <v>2000</v>
      </c>
      <c r="IC153" s="1019" t="str">
        <f t="shared" si="430"/>
        <v/>
      </c>
      <c r="ID153" s="541">
        <f t="shared" si="431"/>
        <v>1926.4246800000001</v>
      </c>
      <c r="IE153" s="541">
        <f>Sheet1!DB151</f>
        <v>1840</v>
      </c>
      <c r="IF153" s="533">
        <f>Sheet1!DA151</f>
        <v>2380</v>
      </c>
      <c r="IH153" s="541">
        <f>IF(AND($B153&gt;=$GC153,$B153&lt;=$GH153,$DR153&lt;0)+N("only adjusted when pool is drawn down during storage season"),Sheet1!$DB151+$DR153+N("Palmer minus all storage release"),Sheet1!$DB151)</f>
        <v>1840</v>
      </c>
      <c r="II153" s="541">
        <f>IF(AND($B153&gt;=$GC153,$B153&lt;=$GH153,$DR153&lt;0)+N("only adjusted when pool is drawn down during storage season"),Sheet1!$DA151+$DR153+N("Auburn minus all storage release"),Sheet1!$DA151)</f>
        <v>2380</v>
      </c>
    </row>
    <row r="154" spans="1:243" x14ac:dyDescent="0.25">
      <c r="A154" s="553" t="s">
        <v>5</v>
      </c>
      <c r="B154" s="531">
        <v>42878</v>
      </c>
      <c r="C154" s="536">
        <v>0</v>
      </c>
      <c r="D154" s="506">
        <f t="shared" si="371"/>
        <v>300</v>
      </c>
      <c r="E154" s="506">
        <f t="shared" si="372"/>
        <v>250</v>
      </c>
      <c r="F154" s="506">
        <v>250</v>
      </c>
      <c r="G154" s="535">
        <f>DR154+Sheet1!CZ152</f>
        <v>2616.036308624577</v>
      </c>
      <c r="H154" s="1074">
        <f t="shared" si="405"/>
        <v>1218.4548211199999</v>
      </c>
      <c r="I154" s="534">
        <f>IF(Sheet1!DA152&gt;=E154,(Sheet1!DA152-E154+P154)*CFStoMGD,0)</f>
        <v>1625.6868211199999</v>
      </c>
      <c r="J154" s="995">
        <f>IF(Sheet1!DB152&gt;=D154,(Sheet1!DB152-D154+P154)*CFStoMGD,0)</f>
        <v>1218.4548211199999</v>
      </c>
      <c r="K154" s="818">
        <f t="shared" si="406"/>
        <v>64.64</v>
      </c>
      <c r="L154" s="535">
        <f>Sheet1!AA152+Sheet1!AB152-Sheet1!L152+(Sheet1!DA152-F154)*CFStoMGD-S154-T154-U154</f>
        <v>1561.048</v>
      </c>
      <c r="M154" s="535">
        <f t="shared" si="309"/>
        <v>1724.8259872928252</v>
      </c>
      <c r="N154" s="824">
        <f>IF(Sheet1!DA152&gt;=F154,MIN(113*CFStoMGD,MIN(MAX(L154,0),MAX(M154,0))),0)</f>
        <v>73.043199999999999</v>
      </c>
      <c r="O154" s="538">
        <f>Sheet1!AA152+Sheet1!AB152</f>
        <v>61.400000000000006</v>
      </c>
      <c r="P154" s="538">
        <f t="shared" si="310"/>
        <v>94.985800000000012</v>
      </c>
      <c r="Q154" s="812">
        <f t="shared" si="407"/>
        <v>48.910000000000004</v>
      </c>
      <c r="R154" s="812">
        <f t="shared" si="373"/>
        <v>12.458591785414921</v>
      </c>
      <c r="S154" s="812">
        <f t="shared" si="374"/>
        <v>12.49</v>
      </c>
      <c r="T154" s="812">
        <f t="shared" si="375"/>
        <v>52.15</v>
      </c>
      <c r="U154" s="812">
        <f t="shared" si="408"/>
        <v>0</v>
      </c>
      <c r="V154" s="812"/>
      <c r="W154" s="812">
        <f t="shared" si="376"/>
        <v>52.181408214585076</v>
      </c>
      <c r="X154" s="812">
        <f t="shared" si="377"/>
        <v>64.64</v>
      </c>
      <c r="Y154" s="812" t="str">
        <f t="shared" si="378"/>
        <v>FALSE</v>
      </c>
      <c r="Z154" s="812">
        <f t="shared" si="379"/>
        <v>61.400000000000006</v>
      </c>
      <c r="AA154" s="812">
        <f t="shared" si="380"/>
        <v>61.400000000000006</v>
      </c>
      <c r="AB154" s="1059">
        <f t="shared" si="409"/>
        <v>75.66377</v>
      </c>
      <c r="AC154" s="538">
        <f>Sheet1!Y152*MGDtoCFS</f>
        <v>39.603200000000001</v>
      </c>
      <c r="AD154" s="538">
        <f>Sheet1!Z152*MGDtoCFS</f>
        <v>53.402440000000006</v>
      </c>
      <c r="AE154" s="538">
        <f>Sheet1!AA152*MGDtoCFS</f>
        <v>39.757899999999999</v>
      </c>
      <c r="AF154" s="538">
        <f>Sheet1!AB152*MGDtoCFS</f>
        <v>55.227900000000005</v>
      </c>
      <c r="AG154" s="538">
        <f>Sheet1!L152*MGDtoCFS</f>
        <v>0</v>
      </c>
      <c r="AH154" s="521">
        <f t="shared" si="311"/>
        <v>0</v>
      </c>
      <c r="AI154" s="1059">
        <f t="shared" si="312"/>
        <v>0</v>
      </c>
      <c r="AJ154" s="535">
        <f t="shared" si="313"/>
        <v>52.181408214585076</v>
      </c>
      <c r="AK154" s="535">
        <f t="shared" si="314"/>
        <v>80.724638507963107</v>
      </c>
      <c r="AL154" s="535">
        <f>(VLOOKUP(Sheet1!DC152,hhdcap_wcm,4)-(((VLOOKUP(Sheet1!DC152,hhdcap_wcm,3)-Sheet1!DC152)/(VLOOKUP(Sheet1!DC152,hhdcap_wcm,3)-VLOOKUP(Sheet1!DC152,hhdcap_wcm,1)))*(VLOOKUP(Sheet1!DC152,hhdcap_wcm,4)-VLOOKUP(Sheet1!DC152,hhdcap_wcm,2))))</f>
        <v>46265.20000011332</v>
      </c>
      <c r="AM154" s="535">
        <f t="shared" si="315"/>
        <v>626.7000000025364</v>
      </c>
      <c r="AN154" s="1035">
        <f t="shared" si="316"/>
        <v>5210.3405514250544</v>
      </c>
      <c r="AO154" s="535">
        <f t="shared" si="317"/>
        <v>15985.324811772067</v>
      </c>
      <c r="AP154" s="535">
        <f>Sheet1!BA152+Sheet1!BB152+Sheet1!BN152+CD154</f>
        <v>23.3</v>
      </c>
      <c r="AQ154" s="535">
        <f>Sheet1!BN152+(DO154*Sheet1!BN152)</f>
        <v>23.241408214585082</v>
      </c>
      <c r="AR154" s="535">
        <f>Sheet1!BA152+CD154</f>
        <v>0</v>
      </c>
      <c r="AS154" s="535">
        <f>Sheet1!BA152+Sheet1!BB152+CD154</f>
        <v>0</v>
      </c>
      <c r="AT154" s="649">
        <f>0</f>
        <v>0</v>
      </c>
      <c r="AU154" s="535">
        <f>IF(EB154&lt;K154,0,MAX(Sheet1!AA152+AQ154-15/36*K154-N154,Sheet1!EH152,0))</f>
        <v>0</v>
      </c>
      <c r="AV154" s="535">
        <f>IF(OR(B154&gt;=GD154,B154&lt;GC154),0,15/36*K154-MAX(0,64.6-(137.6-(Sheet1!AA152+Sheet1!AB152))))</f>
        <v>26.933333333333334</v>
      </c>
      <c r="AW154" s="1029"/>
      <c r="AX154" s="649"/>
      <c r="AY154" s="649">
        <f t="shared" si="410"/>
        <v>0</v>
      </c>
      <c r="AZ154" s="649">
        <f t="shared" si="411"/>
        <v>0</v>
      </c>
      <c r="BA154" s="1059">
        <f t="shared" si="412"/>
        <v>0</v>
      </c>
      <c r="BB154" s="1019">
        <f t="shared" si="318"/>
        <v>2612.5333333333356</v>
      </c>
      <c r="BC154" s="1041">
        <f t="shared" si="413"/>
        <v>26.933333333333334</v>
      </c>
      <c r="BD154" s="1019">
        <f ca="1">IF(B154&gt;Summary!$A$1,#N/A,BB154*MGtoAF)</f>
        <v>8015.2522666666737</v>
      </c>
      <c r="BE154" s="535">
        <f>Sheet1!BG152+Sheet1!BH152+Sheet1!BI152-BM154</f>
        <v>1</v>
      </c>
      <c r="BF154" s="535">
        <f t="shared" si="319"/>
        <v>0.99748533109807214</v>
      </c>
      <c r="BG154" s="535">
        <f>IF(Sheet1!EP152="FM",BM154,0)</f>
        <v>0</v>
      </c>
      <c r="BH154" s="535">
        <f t="shared" si="320"/>
        <v>0</v>
      </c>
      <c r="BI154" s="535">
        <f>IF(Sheet1!EP152="OTHER",BM154,0)</f>
        <v>0</v>
      </c>
      <c r="BJ154" s="535">
        <f t="shared" si="321"/>
        <v>0</v>
      </c>
      <c r="BK154" s="535">
        <f t="shared" si="322"/>
        <v>1</v>
      </c>
      <c r="BL154" s="535">
        <f t="shared" si="323"/>
        <v>0.99748533109807214</v>
      </c>
      <c r="BM154" s="535">
        <f>IF(OR(Sheet1!EP152="FM", Sheet1!EP152="OTHER"),SUM(Sheet1!BG152:'Sheet1'!BI152),0)</f>
        <v>0</v>
      </c>
      <c r="BN154" s="521">
        <f>IF(AND($B154&gt;=$FV154,$B154&lt;=$FW154),MAX(BF154,Sheet1!EI152,0),MAX(BF154-(7/36)*$K154,0))</f>
        <v>0</v>
      </c>
      <c r="BO154" s="535">
        <f t="shared" si="324"/>
        <v>11.571403557790816</v>
      </c>
      <c r="BP154" s="521">
        <f t="shared" si="325"/>
        <v>0.99748533109807214</v>
      </c>
      <c r="BQ154" s="521">
        <f>IF(AND($O154&gt;0,Sheet1!EM152=1),(1-($O154-Sheet1!$L152)/$O154)*BL154,0)</f>
        <v>0</v>
      </c>
      <c r="BR154" s="521">
        <f>IF(AND(Sheet1!$L152=0,Sheet1!$L151=0, Calculation!BK154&lt;Sheet1!$EI152-0.1,Sheet1!$EI152=Sheet1!$EI151,Sheet1!$EI152=Sheet1!$EI153),BL154-BQ154,BL154-BQ154)</f>
        <v>0.99748533109807214</v>
      </c>
      <c r="BS154" s="1035" t="str">
        <f t="shared" si="414"/>
        <v/>
      </c>
      <c r="BT154" s="1035">
        <f t="shared" si="415"/>
        <v>12.568888888888889</v>
      </c>
      <c r="BU154" s="535">
        <f t="shared" si="326"/>
        <v>1120.6960275287561</v>
      </c>
      <c r="BV154" s="535"/>
      <c r="BW154" s="535">
        <f ca="1">IF(B154&gt;Summary!$A$1,#N/A,BU154*MGtoAF)</f>
        <v>3438.2954124582238</v>
      </c>
      <c r="BX154" s="535">
        <f>Sheet1!BC152+Sheet1!BD152+Sheet1!BE152+Sheet1!BF152-CG154-CH154</f>
        <v>4.5</v>
      </c>
      <c r="BY154" s="535">
        <f t="shared" si="327"/>
        <v>4.4886839899413244</v>
      </c>
      <c r="BZ154" s="535">
        <f>IF(Sheet1!EQ152="FM",CH154,0)</f>
        <v>0</v>
      </c>
      <c r="CA154" s="535">
        <f t="shared" si="328"/>
        <v>0</v>
      </c>
      <c r="CB154" s="535">
        <f>IF(Sheet1!EQ152="OTHER",CH154,0)</f>
        <v>0</v>
      </c>
      <c r="CC154" s="535">
        <f t="shared" si="329"/>
        <v>0</v>
      </c>
      <c r="CD154" s="535">
        <f t="shared" si="330"/>
        <v>0</v>
      </c>
      <c r="CE154" s="535">
        <f t="shared" si="331"/>
        <v>4.5</v>
      </c>
      <c r="CF154" s="535">
        <f t="shared" si="332"/>
        <v>4.4886839899413244</v>
      </c>
      <c r="CG154" s="535">
        <f>IF(Sheet1!EQ152="CWA",SUM(Sheet1!BC152:'Sheet1'!BF152),0)</f>
        <v>0</v>
      </c>
      <c r="CH154" s="535">
        <f>IF(OR(Sheet1!EQ152="FM", Sheet1!EQ152="OTHER"),SUM(Sheet1!BC152:'Sheet1'!BF152),0)</f>
        <v>0</v>
      </c>
      <c r="CI154" s="521">
        <f>IF(AND($B154&gt;=$FV154,$B154&lt;=$FW154),MAX(CF154,Sheet1!EJ152,0),MAX(CF154-(7/36)*$K154,0))</f>
        <v>0</v>
      </c>
      <c r="CJ154" s="535">
        <f t="shared" si="333"/>
        <v>8.0802048989475637</v>
      </c>
      <c r="CK154" s="521">
        <f t="shared" si="334"/>
        <v>4.4886839899413244</v>
      </c>
      <c r="CL154" s="521">
        <f>IF(AND($O154&gt;0,Sheet1!EN152=1),(1-($O154-Sheet1!$L152)/$O154)*CF154,0)</f>
        <v>0</v>
      </c>
      <c r="CM154" s="521">
        <f>IF(AND(Sheet1!$L152=0,Sheet1!$L151=0, Calculation!CE154&lt;Sheet1!EJ152-0.1,Sheet1!EJ152=Sheet1!EJ151,Sheet1!EJ152=Sheet1!EJ153),CF154-CL154,CF154-CL154)</f>
        <v>4.4886839899413244</v>
      </c>
      <c r="CN154" s="1040" t="str">
        <f t="shared" si="416"/>
        <v/>
      </c>
      <c r="CO154" s="1035">
        <f t="shared" si="417"/>
        <v>12.568888888888889</v>
      </c>
      <c r="CP154" s="535">
        <f t="shared" si="335"/>
        <v>889.28700981532904</v>
      </c>
      <c r="CQ154" s="535"/>
      <c r="CR154" s="535">
        <f ca="1">IF(B154&gt;Summary!$A$1,#N/A,CP154*MGtoAF)</f>
        <v>2728.3325461134295</v>
      </c>
      <c r="CS154" s="535">
        <f>Sheet1!BK152+Sheet1!BL152+Sheet1!BM152-Sheet1!ER152-DA154</f>
        <v>6.99</v>
      </c>
      <c r="CT154" s="535">
        <f t="shared" si="336"/>
        <v>6.9724224643755246</v>
      </c>
      <c r="CU154" s="535">
        <f>IF(Sheet1!ER152="FM",DA154,0)</f>
        <v>0</v>
      </c>
      <c r="CV154" s="535">
        <f t="shared" si="337"/>
        <v>0</v>
      </c>
      <c r="CW154" s="535">
        <f>IF(Sheet1!ER152="OTHER",DA154,0)</f>
        <v>0</v>
      </c>
      <c r="CX154" s="535">
        <f t="shared" si="338"/>
        <v>0</v>
      </c>
      <c r="CY154" s="535">
        <f t="shared" si="339"/>
        <v>6.99</v>
      </c>
      <c r="CZ154" s="535">
        <f t="shared" si="340"/>
        <v>6.9724224643755246</v>
      </c>
      <c r="DA154" s="535">
        <f>IF(OR(Sheet1!ER152="FM", Sheet1!ER152="OTHER"),SUM(Sheet1!BK152:'Sheet1'!BM152),0)</f>
        <v>0</v>
      </c>
      <c r="DB154" s="1011">
        <f>IF(AND($B154&gt;=$FV154,$B154&lt;=$FW154),MAX($CT154,Sheet1!EK152,0),MAX($CT154-(7/36)*$K154,0))</f>
        <v>0</v>
      </c>
      <c r="DC154" s="1012">
        <f t="shared" si="341"/>
        <v>5.5964664245133644</v>
      </c>
      <c r="DD154" s="1011">
        <f t="shared" si="342"/>
        <v>6.9724224643755246</v>
      </c>
      <c r="DE154" s="521">
        <f>IF(AND($O154&gt;0,Sheet1!EO152=1),(1-($O154-Sheet1!$L152)/$O154)*CZ154,0)</f>
        <v>0</v>
      </c>
      <c r="DF154" s="521">
        <f>IF(AND(Sheet1!$L152=0,Sheet1!$L151=0, Calculation!CY154&lt;Sheet1!$EK152-0.1,Sheet1!$EK152=Sheet1!$EK151,Sheet1!$EK152=Sheet1!$EK153),CZ154-DE154,CZ154-DE154)</f>
        <v>6.9724224643755246</v>
      </c>
      <c r="DG154" s="1040">
        <f t="shared" si="418"/>
        <v>12.568888888888889</v>
      </c>
      <c r="DH154" s="649">
        <f t="shared" si="343"/>
        <v>12.49</v>
      </c>
      <c r="DI154" s="535">
        <f t="shared" si="344"/>
        <v>587.82418074763302</v>
      </c>
      <c r="DJ154" s="649">
        <f t="shared" si="345"/>
        <v>12.458591785414921</v>
      </c>
      <c r="DK154" s="535">
        <f ca="1">IF(B154&gt;Summary!$A$1,#N/A,DI154*MGtoAF)</f>
        <v>1803.4445865337382</v>
      </c>
      <c r="DL154" s="649">
        <f t="shared" si="346"/>
        <v>12.49</v>
      </c>
      <c r="DM154" s="535">
        <f t="shared" si="347"/>
        <v>35.79</v>
      </c>
      <c r="DN154" s="535">
        <f>Sheet1!AB152-DM154</f>
        <v>-8.9999999999996305E-2</v>
      </c>
      <c r="DO154" s="743">
        <f t="shared" si="348"/>
        <v>-2.5146689019278096E-3</v>
      </c>
      <c r="DP154" s="535">
        <f>(VLOOKUP(Sheet1!DC152,hhdcap_wcm,4)-(((VLOOKUP(Sheet1!DC152,hhdcap_wcm,3)-Sheet1!DC152)/(VLOOKUP(Sheet1!DC152,hhdcap_wcm,3)-VLOOKUP(Sheet1!DC152,hhdcap_wcm,1)))*(VLOOKUP(Sheet1!DC152,hhdcap_wcm,4)-VLOOKUP(Sheet1!DC152,hhdcap_wcm,2))))</f>
        <v>46265.20000011332</v>
      </c>
      <c r="DQ154" s="535">
        <f t="shared" si="349"/>
        <v>626.7000000025364</v>
      </c>
      <c r="DR154" s="535">
        <f t="shared" si="350"/>
        <v>316.03630862457709</v>
      </c>
      <c r="DS154" s="535">
        <f>Sheet1!EA152*AFtoMG</f>
        <v>0</v>
      </c>
      <c r="DT154" s="535">
        <f>Sheet1!EB152*AFtoMG</f>
        <v>0</v>
      </c>
      <c r="DU154" s="535">
        <f>Sheet1!EC152*AFtoMG</f>
        <v>0</v>
      </c>
      <c r="DV154" s="535">
        <f>Sheet1!ED152*AFtoMG</f>
        <v>0</v>
      </c>
      <c r="DW154" s="535">
        <f t="shared" si="351"/>
        <v>0</v>
      </c>
      <c r="DX154" s="535">
        <f t="shared" si="352"/>
        <v>0</v>
      </c>
      <c r="DY154" s="535">
        <f t="shared" si="353"/>
        <v>5210.3405514250544</v>
      </c>
      <c r="DZ154" s="535">
        <f t="shared" si="354"/>
        <v>15985.324811772067</v>
      </c>
      <c r="EA154" s="535"/>
      <c r="EB154" s="521">
        <f>IF(OR(B154&lt;FV154,B154&gt;FW154),(MIN(BF154+BY154+CT154+MAX(Sheet1!AA152+AQ154-73,0),K154)),0)</f>
        <v>12.458591785414921</v>
      </c>
      <c r="EC154" s="535"/>
      <c r="ED154" s="535">
        <f t="shared" si="355"/>
        <v>12.458591785414921</v>
      </c>
      <c r="EE154" s="535"/>
      <c r="EF154" s="535">
        <f>Sheet1!EH152+Sheet1!EI152+Sheet1!EJ152+Sheet1!EK152</f>
        <v>12.5</v>
      </c>
      <c r="EG154" s="1019">
        <f t="shared" si="419"/>
        <v>19.337499999999999</v>
      </c>
      <c r="EH154" s="521">
        <f t="shared" si="356"/>
        <v>0</v>
      </c>
      <c r="EI154" s="535">
        <f>IF(Sheet1!ET152=1,SUM('Calculations II'!AT154:BA154)+'Calculations II'!BC154+Sheet1!BV152+'Calculations II'!BE154+AP154,'Calculations II'!BK154)</f>
        <v>52.569946214585073</v>
      </c>
      <c r="EJ154" s="535">
        <f ca="1">EI154+'Calculations II'!D154+'Calculations II'!E154+'Calculations II'!O154</f>
        <v>54.689040966323645</v>
      </c>
      <c r="EK154" s="535"/>
      <c r="EL154" s="535"/>
      <c r="EM154" s="535">
        <f t="shared" si="357"/>
        <v>42878</v>
      </c>
      <c r="EN154" s="535">
        <f t="shared" si="358"/>
        <v>52.181408214585076</v>
      </c>
      <c r="EO154" s="535">
        <f t="shared" si="359"/>
        <v>80.724638507963107</v>
      </c>
      <c r="EP154" s="535">
        <v>0</v>
      </c>
      <c r="EQ154" s="535">
        <v>0</v>
      </c>
      <c r="ER154" s="535">
        <v>0</v>
      </c>
      <c r="ES154" s="521">
        <f t="shared" si="381"/>
        <v>-1.5228327329300977</v>
      </c>
      <c r="ET154" s="535">
        <f>-(VLOOKUP(Sheet1!BQ152,Lookup!$O$4:$Q$262,2)-VLOOKUP(Sheet1!BQ151,Lookup!$O$4:$Q$262,2))/1000000</f>
        <v>-0.83050497861497474</v>
      </c>
      <c r="EU154" s="535">
        <f>-(VLOOKUP(Sheet1!BR152,Lookup!$O$4:$Q$262,3)-VLOOKUP(Sheet1!BR151,Lookup!$O$4:$Q$262,3))/1000000</f>
        <v>-0.69232775431512295</v>
      </c>
      <c r="EV154" s="535"/>
      <c r="EW154" s="535"/>
      <c r="EX154" s="535"/>
      <c r="EY154" s="535"/>
      <c r="EZ154" s="535"/>
      <c r="FA154" s="535"/>
      <c r="FB154" s="535"/>
      <c r="FC154" s="535"/>
      <c r="FD154" s="567" t="e">
        <f t="shared" si="360"/>
        <v>#N/A</v>
      </c>
      <c r="FE154" s="567" t="e">
        <f t="shared" si="361"/>
        <v>#N/A</v>
      </c>
      <c r="FF154" s="568" t="e">
        <f t="shared" si="362"/>
        <v>#N/A</v>
      </c>
      <c r="FG154" s="569" t="s">
        <v>656</v>
      </c>
      <c r="FH154" s="569" t="s">
        <v>656</v>
      </c>
      <c r="FI154" s="567" t="e">
        <v>#N/A</v>
      </c>
      <c r="FJ154" s="567" t="e">
        <v>#N/A</v>
      </c>
      <c r="FK154" s="535"/>
      <c r="FL154" s="1015">
        <v>0</v>
      </c>
      <c r="FM154" s="535"/>
      <c r="FN154" s="535"/>
      <c r="FO154" s="535">
        <f>O154+((Sheet1!CS152)*GPMtoMGD)</f>
        <v>66.444175999999999</v>
      </c>
      <c r="FP154" s="535">
        <f>IF(Sheet1!AA152+AQ154&lt;=Calculation!N154,AQ154,Calculation!N154-Sheet1!AA152)</f>
        <v>23.241408214585082</v>
      </c>
      <c r="FQ154" s="535">
        <f>(Sheet1!BP152+Sheet1!BO152)/694.4</f>
        <v>2.4495967741935485</v>
      </c>
      <c r="FR154" s="541"/>
      <c r="FS154" s="541"/>
      <c r="FT154" s="541"/>
      <c r="FU154" s="541"/>
      <c r="FV154" s="1109">
        <f t="shared" si="382"/>
        <v>42918</v>
      </c>
      <c r="FW154" s="1109">
        <f t="shared" si="383"/>
        <v>43027</v>
      </c>
      <c r="FX154" s="541"/>
      <c r="FY154" s="541">
        <f>Sheet1!DA152-Sheet1!CZ152-Sheet1!AE152</f>
        <v>275.01420000000002</v>
      </c>
      <c r="FZ154" s="535">
        <f t="shared" si="420"/>
        <v>0.10512629319911586</v>
      </c>
      <c r="GA154" s="535"/>
      <c r="GB154" s="535" t="str">
        <f t="shared" si="384"/>
        <v>n</v>
      </c>
      <c r="GC154" s="539">
        <f t="shared" si="385"/>
        <v>42782</v>
      </c>
      <c r="GD154" s="1109">
        <f t="shared" si="386"/>
        <v>42904</v>
      </c>
      <c r="GE154" s="535">
        <f t="shared" si="404"/>
        <v>6520</v>
      </c>
      <c r="GF154" s="1109">
        <f t="shared" si="387"/>
        <v>42909</v>
      </c>
      <c r="GG154" s="535">
        <f t="shared" si="432"/>
        <v>3260</v>
      </c>
      <c r="GH154" s="539">
        <f t="shared" si="388"/>
        <v>43040</v>
      </c>
      <c r="GJ154" s="521">
        <f t="shared" si="389"/>
        <v>0</v>
      </c>
      <c r="GK154" s="535" t="str">
        <f t="shared" si="363"/>
        <v/>
      </c>
      <c r="GL154" s="535">
        <f t="shared" si="390"/>
        <v>0</v>
      </c>
      <c r="GM154" s="535" t="str">
        <f t="shared" si="391"/>
        <v/>
      </c>
      <c r="GN154" s="535">
        <f>IF(GK154="P",Lookup!$M$12,IF(GK154="PP",Lookup!$M$13,IF(GK154="PPP",Lookup!$M$14,IF(GK154="T",Lookup!$M$15,IF(GK154="TP",Lookup!$M$16,IF(GK154="TPP",Lookup!$M$17,IF(GK154="TPPP",Lookup!$M$18,0)))))))*GJ154</f>
        <v>0</v>
      </c>
      <c r="GO154" s="535">
        <f t="shared" si="392"/>
        <v>0</v>
      </c>
      <c r="GP154" s="535">
        <f t="shared" si="364"/>
        <v>8015.2522666666737</v>
      </c>
      <c r="GQ154" s="535">
        <f t="shared" si="403"/>
        <v>2612.5333333333356</v>
      </c>
      <c r="GR154" s="535"/>
      <c r="GS154" s="535">
        <f t="shared" si="393"/>
        <v>0</v>
      </c>
      <c r="GT154" s="535" t="str">
        <f t="shared" si="394"/>
        <v/>
      </c>
      <c r="GU154" s="535">
        <f>IF(GK154="P",Lookup!$N$12,IF(GK154="PP",Lookup!$N$13,IF(GK154="PPP",Lookup!$N$14,IF(GK154="T",Lookup!$N$15,IF(GK154="TP",Lookup!$N$16,IF(GK154="TPP",Lookup!$N$17,IF(GK154="TPPP",Lookup!$N$18,0)))))))*GJ154</f>
        <v>0</v>
      </c>
      <c r="GV154" s="535">
        <f t="shared" si="395"/>
        <v>0</v>
      </c>
      <c r="GW154" s="535">
        <f t="shared" si="365"/>
        <v>3438.2954124582238</v>
      </c>
      <c r="GX154" s="535">
        <f t="shared" si="400"/>
        <v>1120.6960275287561</v>
      </c>
      <c r="GY154" s="535"/>
      <c r="GZ154" s="535">
        <f t="shared" si="396"/>
        <v>0</v>
      </c>
      <c r="HA154" s="535" t="str">
        <f t="shared" si="397"/>
        <v/>
      </c>
      <c r="HB154" s="535">
        <f>IF(GK154="P",Lookup!$N$12,IF(GK154="PP",Lookup!$N$13,IF(GK154="PPP",Lookup!$N$14,IF(GK154="T",Lookup!$N$15,IF(GK154="TP",Lookup!$N$16,IF(GK154="TPP",Lookup!$N$17,IF(GK154="TPPP",Lookup!$N$18,0)))))))*GJ154</f>
        <v>0</v>
      </c>
      <c r="HC154" s="521">
        <f t="shared" si="366"/>
        <v>0</v>
      </c>
      <c r="HD154" s="535">
        <f t="shared" si="367"/>
        <v>2728.3325461134295</v>
      </c>
      <c r="HE154" s="535">
        <f t="shared" si="401"/>
        <v>889.28700981532904</v>
      </c>
      <c r="HF154" s="535"/>
      <c r="HG154" s="535">
        <f t="shared" si="398"/>
        <v>0</v>
      </c>
      <c r="HH154" s="535" t="str">
        <f t="shared" si="399"/>
        <v/>
      </c>
      <c r="HI154" s="535">
        <f>IF(GK154="P",Lookup!$N$12,IF(GK154="PP",Lookup!$N$13,IF(GK154="PPP",Lookup!$N$14,IF(GK154="T",Lookup!$N$15,IF(GK154="TP",Lookup!$N$16,IF(GK154="TPP",Lookup!$N$17,IF(GK154="TPPP",Lookup!$N$18,0)))))))*GJ154</f>
        <v>0</v>
      </c>
      <c r="HJ154" s="521">
        <f t="shared" si="368"/>
        <v>0</v>
      </c>
      <c r="HK154" s="535">
        <f t="shared" si="369"/>
        <v>1803.4445865337382</v>
      </c>
      <c r="HL154" s="535">
        <f t="shared" si="402"/>
        <v>587.82418074763302</v>
      </c>
      <c r="HM154" s="535"/>
      <c r="HN154" s="541"/>
      <c r="HO154" s="541"/>
      <c r="HP154" s="541"/>
      <c r="HQ154" s="541">
        <f>IF(AND(B154&gt;=$FV$4,B154&lt;=$FW$4),MAX(110/1.02+$HQ$6+MIN(113/1.02,G154),IF($HV$6-(Sheet1!DA152-Sheet1!DB152)+MIN(113/1.02,G154)&lt;G154+FL154,$HV$6-(Sheet1!DA152-Sheet1!DB152)+MIN(113/1.02,G154),G154+FL154)),MIN(110/1.02+$HQ$6+113/1.02,G154))</f>
        <v>218.62745098039215</v>
      </c>
      <c r="HR154" s="541">
        <f t="shared" si="421"/>
        <v>223</v>
      </c>
      <c r="HS154" s="541">
        <f>HR154+(Sheet1!DA152-Sheet1!DB152)</f>
        <v>803</v>
      </c>
      <c r="HT154" s="541">
        <f t="shared" si="422"/>
        <v>75.66377</v>
      </c>
      <c r="HU154" s="541">
        <f t="shared" si="423"/>
        <v>727.33623</v>
      </c>
      <c r="HV154" s="541">
        <f t="shared" si="424"/>
        <v>0</v>
      </c>
      <c r="HW154" s="533" t="str">
        <f t="shared" si="425"/>
        <v/>
      </c>
      <c r="HX154" s="541">
        <f t="shared" si="426"/>
        <v>2081.372549019608</v>
      </c>
      <c r="HY154" s="541">
        <f>Sheet1!CZ152</f>
        <v>2300</v>
      </c>
      <c r="HZ154" s="541">
        <f t="shared" si="427"/>
        <v>0</v>
      </c>
      <c r="IA154" s="541">
        <f t="shared" si="428"/>
        <v>75.66377</v>
      </c>
      <c r="IB154" s="541">
        <f t="shared" si="429"/>
        <v>2300</v>
      </c>
      <c r="IC154" s="1019" t="str">
        <f t="shared" si="430"/>
        <v/>
      </c>
      <c r="ID154" s="541">
        <f t="shared" si="431"/>
        <v>2224.3362299999999</v>
      </c>
      <c r="IE154" s="541">
        <f>Sheet1!DB152</f>
        <v>2090</v>
      </c>
      <c r="IF154" s="533">
        <f>Sheet1!DA152</f>
        <v>2670</v>
      </c>
      <c r="IH154" s="541">
        <f>IF(AND($B154&gt;=$GC154,$B154&lt;=$GH154,$DR154&lt;0)+N("only adjusted when pool is drawn down during storage season"),Sheet1!$DB152+$DR154+N("Palmer minus all storage release"),Sheet1!$DB152)</f>
        <v>2090</v>
      </c>
      <c r="II154" s="541">
        <f>IF(AND($B154&gt;=$GC154,$B154&lt;=$GH154,$DR154&lt;0)+N("only adjusted when pool is drawn down during storage season"),Sheet1!$DA152+$DR154+N("Auburn minus all storage release"),Sheet1!$DA152)</f>
        <v>2670</v>
      </c>
    </row>
    <row r="155" spans="1:243" x14ac:dyDescent="0.25">
      <c r="A155" s="553" t="s">
        <v>6</v>
      </c>
      <c r="B155" s="531">
        <v>42879</v>
      </c>
      <c r="C155" s="536">
        <v>0</v>
      </c>
      <c r="D155" s="506">
        <f t="shared" si="371"/>
        <v>300</v>
      </c>
      <c r="E155" s="506">
        <f t="shared" si="372"/>
        <v>250</v>
      </c>
      <c r="F155" s="506">
        <v>250</v>
      </c>
      <c r="G155" s="535">
        <f>DR155+Sheet1!CZ153</f>
        <v>2405.7992939986038</v>
      </c>
      <c r="H155" s="1074">
        <f t="shared" si="405"/>
        <v>1217.50483936</v>
      </c>
      <c r="I155" s="534">
        <f>IF(Sheet1!DA153&gt;=E155,(Sheet1!DA153-E155+P155)*CFStoMGD,0)</f>
        <v>1624.73683936</v>
      </c>
      <c r="J155" s="995">
        <f>IF(Sheet1!DB153&gt;=D155,(Sheet1!DB153-D155+P155)*CFStoMGD,0)</f>
        <v>1217.50483936</v>
      </c>
      <c r="K155" s="818">
        <f t="shared" si="406"/>
        <v>64.64</v>
      </c>
      <c r="L155" s="535">
        <f>Sheet1!AA153+Sheet1!AB153-Sheet1!L153+(Sheet1!DA153-F155)*CFStoMGD-S155-T155-U155</f>
        <v>1560.098</v>
      </c>
      <c r="M155" s="535">
        <f t="shared" si="309"/>
        <v>1586.2108369135115</v>
      </c>
      <c r="N155" s="824">
        <f>IF(Sheet1!DA153&gt;=F155,MIN(113*CFStoMGD,MIN(MAX(L155,0),MAX(M155,0))),0)</f>
        <v>73.043199999999999</v>
      </c>
      <c r="O155" s="538">
        <f>Sheet1!AA153+Sheet1!AB153</f>
        <v>60.45</v>
      </c>
      <c r="P155" s="538">
        <f t="shared" si="310"/>
        <v>93.516149999999996</v>
      </c>
      <c r="Q155" s="812">
        <f t="shared" si="407"/>
        <v>48.52</v>
      </c>
      <c r="R155" s="812">
        <f t="shared" si="373"/>
        <v>11.909454649827783</v>
      </c>
      <c r="S155" s="812">
        <f t="shared" si="374"/>
        <v>11.93</v>
      </c>
      <c r="T155" s="812">
        <f t="shared" si="375"/>
        <v>52.71</v>
      </c>
      <c r="U155" s="812">
        <f t="shared" si="408"/>
        <v>0</v>
      </c>
      <c r="V155" s="812"/>
      <c r="W155" s="812">
        <f t="shared" si="376"/>
        <v>52.730545350172221</v>
      </c>
      <c r="X155" s="812">
        <f t="shared" si="377"/>
        <v>64.64</v>
      </c>
      <c r="Y155" s="812" t="str">
        <f t="shared" si="378"/>
        <v>FALSE</v>
      </c>
      <c r="Z155" s="812">
        <f t="shared" si="379"/>
        <v>60.45</v>
      </c>
      <c r="AA155" s="812">
        <f t="shared" si="380"/>
        <v>60.45</v>
      </c>
      <c r="AB155" s="1059">
        <f t="shared" si="409"/>
        <v>75.06044</v>
      </c>
      <c r="AC155" s="538">
        <f>Sheet1!Y153*MGDtoCFS</f>
        <v>39.757899999999999</v>
      </c>
      <c r="AD155" s="538">
        <f>Sheet1!Z153*MGDtoCFS</f>
        <v>55.227900000000005</v>
      </c>
      <c r="AE155" s="538">
        <f>Sheet1!AA153*MGDtoCFS</f>
        <v>39.711489999999998</v>
      </c>
      <c r="AF155" s="538">
        <f>Sheet1!AB153*MGDtoCFS</f>
        <v>53.804659999999998</v>
      </c>
      <c r="AG155" s="538">
        <f>Sheet1!L153*MGDtoCFS</f>
        <v>0</v>
      </c>
      <c r="AH155" s="521">
        <f t="shared" si="311"/>
        <v>0</v>
      </c>
      <c r="AI155" s="1059">
        <f t="shared" si="312"/>
        <v>0</v>
      </c>
      <c r="AJ155" s="535">
        <f t="shared" si="313"/>
        <v>52.730545350172221</v>
      </c>
      <c r="AK155" s="535">
        <f t="shared" si="314"/>
        <v>81.574153656716419</v>
      </c>
      <c r="AL155" s="535">
        <f>(VLOOKUP(Sheet1!DC153,hhdcap_wcm,4)-(((VLOOKUP(Sheet1!DC153,hhdcap_wcm,3)-Sheet1!DC153)/(VLOOKUP(Sheet1!DC153,hhdcap_wcm,3)-VLOOKUP(Sheet1!DC153,hhdcap_wcm,1)))*(VLOOKUP(Sheet1!DC153,hhdcap_wcm,4)-VLOOKUP(Sheet1!DC153,hhdcap_wcm,2))))</f>
        <v>46475.000000112552</v>
      </c>
      <c r="AM155" s="535">
        <f t="shared" si="315"/>
        <v>209.79999999923166</v>
      </c>
      <c r="AN155" s="1035">
        <f t="shared" si="316"/>
        <v>5263.0710967752266</v>
      </c>
      <c r="AO155" s="535">
        <f t="shared" si="317"/>
        <v>16147.102124906396</v>
      </c>
      <c r="AP155" s="535">
        <f>Sheet1!BA153+Sheet1!BB153+Sheet1!BN153+CD155</f>
        <v>22.91</v>
      </c>
      <c r="AQ155" s="535">
        <f>Sheet1!BN153+(DO155*Sheet1!BN153)</f>
        <v>22.870545350172215</v>
      </c>
      <c r="AR155" s="535">
        <f>Sheet1!BA153+CD155</f>
        <v>0</v>
      </c>
      <c r="AS155" s="535">
        <f>Sheet1!BA153+Sheet1!BB153+CD155</f>
        <v>0</v>
      </c>
      <c r="AT155" s="649">
        <f>0</f>
        <v>0</v>
      </c>
      <c r="AU155" s="535">
        <f>IF(EB155&lt;K155,0,MAX(Sheet1!AA153+AQ155-15/36*K155-N155,Sheet1!EH153,0))</f>
        <v>0</v>
      </c>
      <c r="AV155" s="535">
        <f>IF(OR(B155&gt;=GD155,B155&lt;GC155),0,15/36*K155-MAX(0,64.6-(137.6-(Sheet1!AA153+Sheet1!AB153))))</f>
        <v>26.933333333333334</v>
      </c>
      <c r="AW155" s="1029"/>
      <c r="AX155" s="649"/>
      <c r="AY155" s="649">
        <f t="shared" si="410"/>
        <v>0</v>
      </c>
      <c r="AZ155" s="649">
        <f t="shared" si="411"/>
        <v>0</v>
      </c>
      <c r="BA155" s="1059">
        <f t="shared" si="412"/>
        <v>0</v>
      </c>
      <c r="BB155" s="1019">
        <f t="shared" si="318"/>
        <v>2639.466666666669</v>
      </c>
      <c r="BC155" s="1041">
        <f t="shared" si="413"/>
        <v>26.933333333333334</v>
      </c>
      <c r="BD155" s="1019">
        <f ca="1">IF(B155&gt;Summary!$A$1,#N/A,BB155*MGtoAF)</f>
        <v>8097.8837333333404</v>
      </c>
      <c r="BE155" s="535">
        <f>Sheet1!BG153+Sheet1!BH153+Sheet1!BI153-BM155</f>
        <v>1</v>
      </c>
      <c r="BF155" s="535">
        <f t="shared" si="319"/>
        <v>0.99827784156142363</v>
      </c>
      <c r="BG155" s="535">
        <f>IF(Sheet1!EP153="FM",BM155,0)</f>
        <v>0</v>
      </c>
      <c r="BH155" s="535">
        <f t="shared" si="320"/>
        <v>0</v>
      </c>
      <c r="BI155" s="535">
        <f>IF(Sheet1!EP153="OTHER",BM155,0)</f>
        <v>0</v>
      </c>
      <c r="BJ155" s="535">
        <f t="shared" si="321"/>
        <v>0</v>
      </c>
      <c r="BK155" s="535">
        <f t="shared" si="322"/>
        <v>1</v>
      </c>
      <c r="BL155" s="535">
        <f t="shared" si="323"/>
        <v>0.99827784156142363</v>
      </c>
      <c r="BM155" s="535">
        <f>IF(OR(Sheet1!EP153="FM", Sheet1!EP153="OTHER"),SUM(Sheet1!BG153:'Sheet1'!BI153),0)</f>
        <v>0</v>
      </c>
      <c r="BN155" s="521">
        <f>IF(AND($B155&gt;=$FV155,$B155&lt;=$FW155),MAX(BF155,Sheet1!EI153,0),MAX(BF155-(7/36)*$K155,0))</f>
        <v>0</v>
      </c>
      <c r="BO155" s="535">
        <f t="shared" si="324"/>
        <v>11.570611047327466</v>
      </c>
      <c r="BP155" s="521">
        <f t="shared" si="325"/>
        <v>0.99827784156142363</v>
      </c>
      <c r="BQ155" s="521">
        <f>IF(AND($O155&gt;0,Sheet1!EM153=1),(1-($O155-Sheet1!$L153)/$O155)*BL155,0)</f>
        <v>0</v>
      </c>
      <c r="BR155" s="521">
        <f>IF(AND(Sheet1!$L153=0,Sheet1!$L152=0, Calculation!BK155&lt;Sheet1!$EI153-0.1,Sheet1!$EI153=Sheet1!$EI152,Sheet1!$EI153=Sheet1!$EI154),BL155-BQ155,BL155-BQ155)</f>
        <v>0.99827784156142363</v>
      </c>
      <c r="BS155" s="1035" t="str">
        <f t="shared" si="414"/>
        <v/>
      </c>
      <c r="BT155" s="1035">
        <f t="shared" si="415"/>
        <v>12.568888888888889</v>
      </c>
      <c r="BU155" s="535">
        <f t="shared" si="326"/>
        <v>1132.2666385760836</v>
      </c>
      <c r="BV155" s="535"/>
      <c r="BW155" s="535">
        <f ca="1">IF(B155&gt;Summary!$A$1,#N/A,BU155*MGtoAF)</f>
        <v>3473.7940471514244</v>
      </c>
      <c r="BX155" s="535">
        <f>Sheet1!BC153+Sheet1!BD153+Sheet1!BE153+Sheet1!BF153-CG155-CH155</f>
        <v>3.84</v>
      </c>
      <c r="BY155" s="535">
        <f t="shared" si="327"/>
        <v>3.8333869115958663</v>
      </c>
      <c r="BZ155" s="535">
        <f>IF(Sheet1!EQ153="FM",CH155,0)</f>
        <v>0</v>
      </c>
      <c r="CA155" s="535">
        <f t="shared" si="328"/>
        <v>0</v>
      </c>
      <c r="CB155" s="535">
        <f>IF(Sheet1!EQ153="OTHER",CH155,0)</f>
        <v>0</v>
      </c>
      <c r="CC155" s="535">
        <f t="shared" si="329"/>
        <v>0</v>
      </c>
      <c r="CD155" s="535">
        <f t="shared" si="330"/>
        <v>0</v>
      </c>
      <c r="CE155" s="535">
        <f t="shared" si="331"/>
        <v>3.84</v>
      </c>
      <c r="CF155" s="535">
        <f t="shared" si="332"/>
        <v>3.8333869115958663</v>
      </c>
      <c r="CG155" s="535">
        <f>IF(Sheet1!EQ153="CWA",SUM(Sheet1!BC153:'Sheet1'!BF153),0)</f>
        <v>0</v>
      </c>
      <c r="CH155" s="535">
        <f>IF(OR(Sheet1!EQ153="FM", Sheet1!EQ153="OTHER"),SUM(Sheet1!BC153:'Sheet1'!BF153),0)</f>
        <v>0</v>
      </c>
      <c r="CI155" s="521">
        <f>IF(AND($B155&gt;=$FV155,$B155&lt;=$FW155),MAX(CF155,Sheet1!EJ153,0),MAX(CF155-(7/36)*$K155,0))</f>
        <v>0</v>
      </c>
      <c r="CJ155" s="535">
        <f t="shared" si="333"/>
        <v>8.7355019772930227</v>
      </c>
      <c r="CK155" s="521">
        <f t="shared" si="334"/>
        <v>3.8333869115958663</v>
      </c>
      <c r="CL155" s="521">
        <f>IF(AND($O155&gt;0,Sheet1!EN153=1),(1-($O155-Sheet1!$L153)/$O155)*CF155,0)</f>
        <v>0</v>
      </c>
      <c r="CM155" s="521">
        <f>IF(AND(Sheet1!$L153=0,Sheet1!$L152=0, Calculation!CE155&lt;Sheet1!EJ153-0.1,Sheet1!EJ153=Sheet1!EJ152,Sheet1!EJ153=Sheet1!EJ154),CF155-CL155,CF155-CL155)</f>
        <v>3.8333869115958663</v>
      </c>
      <c r="CN155" s="1040" t="str">
        <f t="shared" si="416"/>
        <v/>
      </c>
      <c r="CO155" s="1035">
        <f t="shared" si="417"/>
        <v>12.568888888888889</v>
      </c>
      <c r="CP155" s="535">
        <f t="shared" si="335"/>
        <v>898.02251179262203</v>
      </c>
      <c r="CQ155" s="535"/>
      <c r="CR155" s="535">
        <f ca="1">IF(B155&gt;Summary!$A$1,#N/A,CP155*MGtoAF)</f>
        <v>2755.1330661797642</v>
      </c>
      <c r="CS155" s="535">
        <f>Sheet1!BK153+Sheet1!BL153+Sheet1!BM153-Sheet1!ER153-DA155</f>
        <v>7.09</v>
      </c>
      <c r="CT155" s="535">
        <f t="shared" si="336"/>
        <v>7.0777898966704935</v>
      </c>
      <c r="CU155" s="535">
        <f>IF(Sheet1!ER153="FM",DA155,0)</f>
        <v>0</v>
      </c>
      <c r="CV155" s="535">
        <f t="shared" si="337"/>
        <v>0</v>
      </c>
      <c r="CW155" s="535">
        <f>IF(Sheet1!ER153="OTHER",DA155,0)</f>
        <v>0</v>
      </c>
      <c r="CX155" s="535">
        <f t="shared" si="338"/>
        <v>0</v>
      </c>
      <c r="CY155" s="535">
        <f t="shared" si="339"/>
        <v>7.09</v>
      </c>
      <c r="CZ155" s="535">
        <f t="shared" si="340"/>
        <v>7.0777898966704935</v>
      </c>
      <c r="DA155" s="535">
        <f>IF(OR(Sheet1!ER153="FM", Sheet1!ER153="OTHER"),SUM(Sheet1!BK153:'Sheet1'!BM153),0)</f>
        <v>0</v>
      </c>
      <c r="DB155" s="1011">
        <f>IF(AND($B155&gt;=$FV155,$B155&lt;=$FW155),MAX($CT155,Sheet1!EK153,0),MAX($CT155-(7/36)*$K155,0))</f>
        <v>0</v>
      </c>
      <c r="DC155" s="1012">
        <f t="shared" si="341"/>
        <v>5.4910989922183955</v>
      </c>
      <c r="DD155" s="1011">
        <f t="shared" si="342"/>
        <v>7.0777898966704935</v>
      </c>
      <c r="DE155" s="521">
        <f>IF(AND($O155&gt;0,Sheet1!EO153=1),(1-($O155-Sheet1!$L153)/$O155)*CZ155,0)</f>
        <v>0</v>
      </c>
      <c r="DF155" s="521">
        <f>IF(AND(Sheet1!$L153=0,Sheet1!$L152=0, Calculation!CY155&lt;Sheet1!$EK153-0.1,Sheet1!$EK153=Sheet1!$EK152,Sheet1!$EK153=Sheet1!$EK154),CZ155-DE155,CZ155-DE155)</f>
        <v>7.0777898966704935</v>
      </c>
      <c r="DG155" s="1040">
        <f t="shared" si="418"/>
        <v>12.568888888888889</v>
      </c>
      <c r="DH155" s="649">
        <f t="shared" si="343"/>
        <v>11.93</v>
      </c>
      <c r="DI155" s="535">
        <f t="shared" si="344"/>
        <v>593.31527973985146</v>
      </c>
      <c r="DJ155" s="649">
        <f t="shared" si="345"/>
        <v>11.909454649827783</v>
      </c>
      <c r="DK155" s="535">
        <f ca="1">IF(B155&gt;Summary!$A$1,#N/A,DI155*MGtoAF)</f>
        <v>1820.2912782418643</v>
      </c>
      <c r="DL155" s="649">
        <f t="shared" si="346"/>
        <v>11.93</v>
      </c>
      <c r="DM155" s="535">
        <f t="shared" si="347"/>
        <v>34.840000000000003</v>
      </c>
      <c r="DN155" s="535">
        <f>Sheet1!AB153-DM155</f>
        <v>-6.0000000000002274E-2</v>
      </c>
      <c r="DO155" s="743">
        <f t="shared" si="348"/>
        <v>-1.722158438576414E-3</v>
      </c>
      <c r="DP155" s="535">
        <f>(VLOOKUP(Sheet1!DC153,hhdcap_wcm,4)-(((VLOOKUP(Sheet1!DC153,hhdcap_wcm,3)-Sheet1!DC153)/(VLOOKUP(Sheet1!DC153,hhdcap_wcm,3)-VLOOKUP(Sheet1!DC153,hhdcap_wcm,1)))*(VLOOKUP(Sheet1!DC153,hhdcap_wcm,4)-VLOOKUP(Sheet1!DC153,hhdcap_wcm,2))))</f>
        <v>46475.000000112552</v>
      </c>
      <c r="DQ155" s="535">
        <f t="shared" si="349"/>
        <v>209.79999999923166</v>
      </c>
      <c r="DR155" s="535">
        <f t="shared" si="350"/>
        <v>105.79929399860394</v>
      </c>
      <c r="DS155" s="535">
        <f>Sheet1!EA153*AFtoMG</f>
        <v>0</v>
      </c>
      <c r="DT155" s="535">
        <f>Sheet1!EB153*AFtoMG</f>
        <v>0</v>
      </c>
      <c r="DU155" s="535">
        <f>Sheet1!EC153*AFtoMG</f>
        <v>0</v>
      </c>
      <c r="DV155" s="535">
        <f>Sheet1!ED153*AFtoMG</f>
        <v>0</v>
      </c>
      <c r="DW155" s="535">
        <f t="shared" si="351"/>
        <v>0</v>
      </c>
      <c r="DX155" s="535">
        <f t="shared" si="352"/>
        <v>0</v>
      </c>
      <c r="DY155" s="535">
        <f t="shared" si="353"/>
        <v>5263.0710967752266</v>
      </c>
      <c r="DZ155" s="535">
        <f t="shared" si="354"/>
        <v>16147.102124906396</v>
      </c>
      <c r="EA155" s="535"/>
      <c r="EB155" s="521">
        <f>IF(OR(B155&lt;FV155,B155&gt;FW155),(MIN(BF155+BY155+CT155+MAX(Sheet1!AA153+AQ155-73,0),K155)),0)</f>
        <v>11.909454649827783</v>
      </c>
      <c r="EC155" s="535"/>
      <c r="ED155" s="535">
        <f t="shared" si="355"/>
        <v>11.909454649827783</v>
      </c>
      <c r="EE155" s="535"/>
      <c r="EF155" s="535">
        <f>Sheet1!EH153+Sheet1!EI153+Sheet1!EJ153+Sheet1!EK153</f>
        <v>11.5</v>
      </c>
      <c r="EG155" s="1019">
        <f t="shared" si="419"/>
        <v>17.790499999999998</v>
      </c>
      <c r="EH155" s="521">
        <f t="shared" si="356"/>
        <v>0</v>
      </c>
      <c r="EI155" s="535">
        <f>IF(Sheet1!ET153=1,SUM('Calculations II'!AT155:BA155)+'Calculations II'!BC155+Sheet1!BV153+'Calculations II'!BE155+AP155,'Calculations II'!BK155)</f>
        <v>55.174589350172219</v>
      </c>
      <c r="EJ155" s="535">
        <f ca="1">EI155+'Calculations II'!D155+'Calculations II'!E155+'Calculations II'!O155</f>
        <v>52.803967397992942</v>
      </c>
      <c r="EK155" s="535"/>
      <c r="EL155" s="535"/>
      <c r="EM155" s="535">
        <f t="shared" si="357"/>
        <v>42879</v>
      </c>
      <c r="EN155" s="535">
        <f t="shared" si="358"/>
        <v>52.730545350172221</v>
      </c>
      <c r="EO155" s="535">
        <f t="shared" si="359"/>
        <v>81.574153656716419</v>
      </c>
      <c r="EP155" s="535">
        <v>0</v>
      </c>
      <c r="EQ155" s="535">
        <v>0</v>
      </c>
      <c r="ER155" s="535">
        <v>0</v>
      </c>
      <c r="ES155" s="521">
        <f t="shared" si="381"/>
        <v>1.5228327329300977</v>
      </c>
      <c r="ET155" s="535">
        <f>-(VLOOKUP(Sheet1!BQ153,Lookup!$O$4:$Q$262,2)-VLOOKUP(Sheet1!BQ152,Lookup!$O$4:$Q$262,2))/1000000</f>
        <v>0.83050497861497474</v>
      </c>
      <c r="EU155" s="535">
        <f>-(VLOOKUP(Sheet1!BR153,Lookup!$O$4:$Q$262,3)-VLOOKUP(Sheet1!BR152,Lookup!$O$4:$Q$262,3))/1000000</f>
        <v>0.69232775431512295</v>
      </c>
      <c r="EV155" s="535"/>
      <c r="EW155" s="535"/>
      <c r="EX155" s="535"/>
      <c r="EY155" s="535"/>
      <c r="EZ155" s="535"/>
      <c r="FA155" s="535"/>
      <c r="FB155" s="535"/>
      <c r="FC155" s="535"/>
      <c r="FD155" s="567" t="e">
        <f t="shared" si="360"/>
        <v>#N/A</v>
      </c>
      <c r="FE155" s="567" t="e">
        <f t="shared" si="361"/>
        <v>#N/A</v>
      </c>
      <c r="FF155" s="568" t="e">
        <f t="shared" si="362"/>
        <v>#N/A</v>
      </c>
      <c r="FG155" s="569" t="s">
        <v>656</v>
      </c>
      <c r="FH155" s="569" t="s">
        <v>656</v>
      </c>
      <c r="FI155" s="567" t="e">
        <v>#N/A</v>
      </c>
      <c r="FJ155" s="567" t="e">
        <v>#N/A</v>
      </c>
      <c r="FK155" s="535"/>
      <c r="FL155" s="1015">
        <v>0</v>
      </c>
      <c r="FM155" s="535"/>
      <c r="FN155" s="535"/>
      <c r="FO155" s="535">
        <f>O155+((Sheet1!CS153)*GPMtoMGD)</f>
        <v>65.474016000000006</v>
      </c>
      <c r="FP155" s="535">
        <f>IF(Sheet1!AA153+AQ155&lt;=Calculation!N155,AQ155,Calculation!N155-Sheet1!AA153)</f>
        <v>22.870545350172215</v>
      </c>
      <c r="FQ155" s="535">
        <f>(Sheet1!BP153+Sheet1!BO153)/694.4</f>
        <v>2.1918202764976957</v>
      </c>
      <c r="FR155" s="541"/>
      <c r="FS155" s="541"/>
      <c r="FT155" s="541"/>
      <c r="FU155" s="541"/>
      <c r="FV155" s="1109">
        <f t="shared" si="382"/>
        <v>42918</v>
      </c>
      <c r="FW155" s="1109">
        <f t="shared" si="383"/>
        <v>43027</v>
      </c>
      <c r="FX155" s="541"/>
      <c r="FY155" s="541">
        <f>Sheet1!DA153-Sheet1!CZ153-Sheet1!AE153</f>
        <v>276.48385000000002</v>
      </c>
      <c r="FZ155" s="535">
        <f t="shared" si="420"/>
        <v>0.11492390520260934</v>
      </c>
      <c r="GA155" s="535"/>
      <c r="GB155" s="535" t="str">
        <f t="shared" si="384"/>
        <v>n</v>
      </c>
      <c r="GC155" s="539">
        <f t="shared" si="385"/>
        <v>42782</v>
      </c>
      <c r="GD155" s="1109">
        <f t="shared" si="386"/>
        <v>42904</v>
      </c>
      <c r="GE155" s="535">
        <f t="shared" si="404"/>
        <v>6520</v>
      </c>
      <c r="GF155" s="1109">
        <f t="shared" si="387"/>
        <v>42909</v>
      </c>
      <c r="GG155" s="535">
        <f t="shared" si="432"/>
        <v>3260</v>
      </c>
      <c r="GH155" s="539">
        <f t="shared" si="388"/>
        <v>43040</v>
      </c>
      <c r="GJ155" s="521">
        <f t="shared" si="389"/>
        <v>0</v>
      </c>
      <c r="GK155" s="535" t="str">
        <f t="shared" si="363"/>
        <v/>
      </c>
      <c r="GL155" s="535">
        <f t="shared" si="390"/>
        <v>0</v>
      </c>
      <c r="GM155" s="535" t="str">
        <f t="shared" si="391"/>
        <v/>
      </c>
      <c r="GN155" s="535">
        <f>IF(GK155="P",Lookup!$M$12,IF(GK155="PP",Lookup!$M$13,IF(GK155="PPP",Lookup!$M$14,IF(GK155="T",Lookup!$M$15,IF(GK155="TP",Lookup!$M$16,IF(GK155="TPP",Lookup!$M$17,IF(GK155="TPPP",Lookup!$M$18,0)))))))*GJ155</f>
        <v>0</v>
      </c>
      <c r="GO155" s="535">
        <f t="shared" si="392"/>
        <v>0</v>
      </c>
      <c r="GP155" s="535">
        <f t="shared" si="364"/>
        <v>8097.8837333333404</v>
      </c>
      <c r="GQ155" s="535">
        <f t="shared" si="403"/>
        <v>2639.466666666669</v>
      </c>
      <c r="GR155" s="535"/>
      <c r="GS155" s="535">
        <f t="shared" si="393"/>
        <v>0</v>
      </c>
      <c r="GT155" s="535" t="str">
        <f t="shared" si="394"/>
        <v/>
      </c>
      <c r="GU155" s="535">
        <f>IF(GK155="P",Lookup!$N$12,IF(GK155="PP",Lookup!$N$13,IF(GK155="PPP",Lookup!$N$14,IF(GK155="T",Lookup!$N$15,IF(GK155="TP",Lookup!$N$16,IF(GK155="TPP",Lookup!$N$17,IF(GK155="TPPP",Lookup!$N$18,0)))))))*GJ155</f>
        <v>0</v>
      </c>
      <c r="GV155" s="535">
        <f t="shared" si="395"/>
        <v>0</v>
      </c>
      <c r="GW155" s="535">
        <f t="shared" si="365"/>
        <v>3473.7940471514244</v>
      </c>
      <c r="GX155" s="535">
        <f t="shared" si="400"/>
        <v>1132.2666385760836</v>
      </c>
      <c r="GY155" s="535"/>
      <c r="GZ155" s="535">
        <f t="shared" si="396"/>
        <v>0</v>
      </c>
      <c r="HA155" s="535" t="str">
        <f t="shared" si="397"/>
        <v/>
      </c>
      <c r="HB155" s="535">
        <f>IF(GK155="P",Lookup!$N$12,IF(GK155="PP",Lookup!$N$13,IF(GK155="PPP",Lookup!$N$14,IF(GK155="T",Lookup!$N$15,IF(GK155="TP",Lookup!$N$16,IF(GK155="TPP",Lookup!$N$17,IF(GK155="TPPP",Lookup!$N$18,0)))))))*GJ155</f>
        <v>0</v>
      </c>
      <c r="HC155" s="521">
        <f t="shared" si="366"/>
        <v>0</v>
      </c>
      <c r="HD155" s="535">
        <f t="shared" si="367"/>
        <v>2755.1330661797642</v>
      </c>
      <c r="HE155" s="535">
        <f t="shared" si="401"/>
        <v>898.02251179262203</v>
      </c>
      <c r="HF155" s="535"/>
      <c r="HG155" s="535">
        <f t="shared" si="398"/>
        <v>0</v>
      </c>
      <c r="HH155" s="535" t="str">
        <f t="shared" si="399"/>
        <v/>
      </c>
      <c r="HI155" s="535">
        <f>IF(GK155="P",Lookup!$N$12,IF(GK155="PP",Lookup!$N$13,IF(GK155="PPP",Lookup!$N$14,IF(GK155="T",Lookup!$N$15,IF(GK155="TP",Lookup!$N$16,IF(GK155="TPP",Lookup!$N$17,IF(GK155="TPPP",Lookup!$N$18,0)))))))*GJ155</f>
        <v>0</v>
      </c>
      <c r="HJ155" s="521">
        <f t="shared" si="368"/>
        <v>0</v>
      </c>
      <c r="HK155" s="535">
        <f t="shared" si="369"/>
        <v>1820.2912782418643</v>
      </c>
      <c r="HL155" s="535">
        <f t="shared" si="402"/>
        <v>593.31527973985146</v>
      </c>
      <c r="HM155" s="535"/>
      <c r="HN155" s="541"/>
      <c r="HO155" s="541"/>
      <c r="HP155" s="541"/>
      <c r="HQ155" s="541">
        <f>IF(AND(B155&gt;=$FV$4,B155&lt;=$FW$4),MAX(110/1.02+$HQ$6+MIN(113/1.02,G155),IF($HV$6-(Sheet1!DA153-Sheet1!DB153)+MIN(113/1.02,G155)&lt;G155+FL155,$HV$6-(Sheet1!DA153-Sheet1!DB153)+MIN(113/1.02,G155),G155+FL155)),MIN(110/1.02+$HQ$6+113/1.02,G155))</f>
        <v>218.62745098039215</v>
      </c>
      <c r="HR155" s="541">
        <f t="shared" si="421"/>
        <v>223</v>
      </c>
      <c r="HS155" s="541">
        <f>HR155+(Sheet1!DA153-Sheet1!DB153)</f>
        <v>803</v>
      </c>
      <c r="HT155" s="541">
        <f t="shared" si="422"/>
        <v>75.06044</v>
      </c>
      <c r="HU155" s="541">
        <f t="shared" si="423"/>
        <v>727.93956000000003</v>
      </c>
      <c r="HV155" s="541">
        <f t="shared" si="424"/>
        <v>0</v>
      </c>
      <c r="HW155" s="533" t="str">
        <f t="shared" si="425"/>
        <v/>
      </c>
      <c r="HX155" s="541">
        <f t="shared" si="426"/>
        <v>2081.372549019608</v>
      </c>
      <c r="HY155" s="541">
        <f>Sheet1!CZ153</f>
        <v>2300</v>
      </c>
      <c r="HZ155" s="541">
        <f t="shared" si="427"/>
        <v>0</v>
      </c>
      <c r="IA155" s="541">
        <f t="shared" si="428"/>
        <v>75.06044</v>
      </c>
      <c r="IB155" s="541">
        <f t="shared" si="429"/>
        <v>2300</v>
      </c>
      <c r="IC155" s="1019" t="str">
        <f t="shared" si="430"/>
        <v/>
      </c>
      <c r="ID155" s="541">
        <f t="shared" si="431"/>
        <v>2224.9395599999998</v>
      </c>
      <c r="IE155" s="541">
        <f>Sheet1!DB153</f>
        <v>2090</v>
      </c>
      <c r="IF155" s="533">
        <f>Sheet1!DA153</f>
        <v>2670</v>
      </c>
      <c r="IH155" s="541">
        <f>IF(AND($B155&gt;=$GC155,$B155&lt;=$GH155,$DR155&lt;0)+N("only adjusted when pool is drawn down during storage season"),Sheet1!$DB153+$DR155+N("Palmer minus all storage release"),Sheet1!$DB153)</f>
        <v>2090</v>
      </c>
      <c r="II155" s="541">
        <f>IF(AND($B155&gt;=$GC155,$B155&lt;=$GH155,$DR155&lt;0)+N("only adjusted when pool is drawn down during storage season"),Sheet1!$DA153+$DR155+N("Auburn minus all storage release"),Sheet1!$DA153)</f>
        <v>2670</v>
      </c>
    </row>
    <row r="156" spans="1:243" x14ac:dyDescent="0.25">
      <c r="A156" s="553" t="s">
        <v>7</v>
      </c>
      <c r="B156" s="531">
        <v>42880</v>
      </c>
      <c r="C156" s="536">
        <v>0</v>
      </c>
      <c r="D156" s="506">
        <f t="shared" si="371"/>
        <v>300</v>
      </c>
      <c r="E156" s="506">
        <f t="shared" si="372"/>
        <v>250</v>
      </c>
      <c r="F156" s="506">
        <v>250</v>
      </c>
      <c r="G156" s="535">
        <f>DR156+Sheet1!CZ154</f>
        <v>1506.3388804845017</v>
      </c>
      <c r="H156" s="1074">
        <f t="shared" si="405"/>
        <v>755.91017304918194</v>
      </c>
      <c r="I156" s="534">
        <f>IF(Sheet1!DA154&gt;=E156,(Sheet1!DA154-E156+P156)*CFStoMGD,0)</f>
        <v>1256.004720704</v>
      </c>
      <c r="J156" s="995">
        <f>IF(Sheet1!DB154&gt;=D156,(Sheet1!DB154-D156+P156)*CFStoMGD,0)</f>
        <v>874.62872070399999</v>
      </c>
      <c r="K156" s="818">
        <f t="shared" si="406"/>
        <v>64.64</v>
      </c>
      <c r="L156" s="535">
        <f>Sheet1!AA154+Sheet1!AB154-Sheet1!L154+(Sheet1!DA154-F156)*CFStoMGD-S156-T156-U156</f>
        <v>1191.366</v>
      </c>
      <c r="M156" s="535">
        <f t="shared" si="309"/>
        <v>993.17140139208561</v>
      </c>
      <c r="N156" s="824">
        <f>IF(Sheet1!DA154&gt;=F156,MIN(113*CFStoMGD,MIN(MAX(L156,0),MAX(M156,0))),0)</f>
        <v>73.043199999999999</v>
      </c>
      <c r="O156" s="538">
        <f>Sheet1!AA154+Sheet1!AB154</f>
        <v>66.63</v>
      </c>
      <c r="P156" s="538">
        <f t="shared" si="310"/>
        <v>103.07660999999999</v>
      </c>
      <c r="Q156" s="812">
        <f t="shared" si="407"/>
        <v>55.089999999999996</v>
      </c>
      <c r="R156" s="812">
        <f t="shared" si="373"/>
        <v>11.556912554958476</v>
      </c>
      <c r="S156" s="812">
        <f t="shared" si="374"/>
        <v>11.540000000000001</v>
      </c>
      <c r="T156" s="812">
        <f t="shared" si="375"/>
        <v>53.1</v>
      </c>
      <c r="U156" s="812">
        <f t="shared" si="408"/>
        <v>0</v>
      </c>
      <c r="V156" s="812"/>
      <c r="W156" s="812">
        <f t="shared" si="376"/>
        <v>53.083087445041528</v>
      </c>
      <c r="X156" s="812">
        <f t="shared" si="377"/>
        <v>64.64</v>
      </c>
      <c r="Y156" s="812" t="str">
        <f t="shared" si="378"/>
        <v>FALSE</v>
      </c>
      <c r="Z156" s="812">
        <f t="shared" si="379"/>
        <v>66.63</v>
      </c>
      <c r="AA156" s="812">
        <f t="shared" si="380"/>
        <v>66.63</v>
      </c>
      <c r="AB156" s="1059">
        <f t="shared" si="409"/>
        <v>85.224229999999991</v>
      </c>
      <c r="AC156" s="538">
        <f>Sheet1!Y154*MGDtoCFS</f>
        <v>39.711489999999998</v>
      </c>
      <c r="AD156" s="538">
        <f>Sheet1!Z154*MGDtoCFS</f>
        <v>53.680900000000001</v>
      </c>
      <c r="AE156" s="538">
        <f>Sheet1!AA154*MGDtoCFS</f>
        <v>39.649609999999996</v>
      </c>
      <c r="AF156" s="538">
        <f>Sheet1!AB154*MGDtoCFS</f>
        <v>63.427</v>
      </c>
      <c r="AG156" s="538">
        <f>Sheet1!L154*MGDtoCFS</f>
        <v>0</v>
      </c>
      <c r="AH156" s="521">
        <f t="shared" si="311"/>
        <v>0</v>
      </c>
      <c r="AI156" s="1059">
        <f t="shared" si="312"/>
        <v>0</v>
      </c>
      <c r="AJ156" s="535">
        <f t="shared" si="313"/>
        <v>53.083087445041528</v>
      </c>
      <c r="AK156" s="535">
        <f t="shared" si="314"/>
        <v>82.119536277479241</v>
      </c>
      <c r="AL156" s="535">
        <f>(VLOOKUP(Sheet1!DC154,hhdcap_wcm,4)-(((VLOOKUP(Sheet1!DC154,hhdcap_wcm,3)-Sheet1!DC154)/(VLOOKUP(Sheet1!DC154,hhdcap_wcm,3)-VLOOKUP(Sheet1!DC154,hhdcap_wcm,1)))*(VLOOKUP(Sheet1!DC154,hhdcap_wcm,4)-VLOOKUP(Sheet1!DC154,hhdcap_wcm,2))))</f>
        <v>46110.800000113319</v>
      </c>
      <c r="AM156" s="535">
        <f t="shared" si="315"/>
        <v>-364.19999999923311</v>
      </c>
      <c r="AN156" s="1035">
        <f t="shared" si="316"/>
        <v>5316.1541842202678</v>
      </c>
      <c r="AO156" s="535">
        <f t="shared" si="317"/>
        <v>16309.961037187782</v>
      </c>
      <c r="AP156" s="535">
        <f>Sheet1!BA154+Sheet1!BB154+Sheet1!BN154+CD156</f>
        <v>29.4</v>
      </c>
      <c r="AQ156" s="535">
        <f>Sheet1!BN154+(DO156*Sheet1!BN154)</f>
        <v>29.443087445041524</v>
      </c>
      <c r="AR156" s="535">
        <f>Sheet1!BA154+CD156</f>
        <v>0</v>
      </c>
      <c r="AS156" s="535">
        <f>Sheet1!BA154+Sheet1!BB154+CD156</f>
        <v>0</v>
      </c>
      <c r="AT156" s="649">
        <f>0</f>
        <v>0</v>
      </c>
      <c r="AU156" s="535">
        <f>IF(EB156&lt;K156,0,MAX(Sheet1!AA154+AQ156-15/36*K156-N156,Sheet1!EH154,0))</f>
        <v>0</v>
      </c>
      <c r="AV156" s="535">
        <f>IF(OR(B156&gt;=GD156,B156&lt;GC156),0,15/36*K156-MAX(0,64.6-(137.6-(Sheet1!AA154+Sheet1!AB154))))</f>
        <v>26.933333333333334</v>
      </c>
      <c r="AW156" s="1029"/>
      <c r="AX156" s="649"/>
      <c r="AY156" s="649">
        <f t="shared" si="410"/>
        <v>0</v>
      </c>
      <c r="AZ156" s="649">
        <f t="shared" si="411"/>
        <v>0</v>
      </c>
      <c r="BA156" s="1059">
        <f t="shared" si="412"/>
        <v>0</v>
      </c>
      <c r="BB156" s="1019">
        <f t="shared" si="318"/>
        <v>2666.4000000000024</v>
      </c>
      <c r="BC156" s="1041">
        <f t="shared" si="413"/>
        <v>26.933333333333334</v>
      </c>
      <c r="BD156" s="1019">
        <f ca="1">IF(B156&gt;Summary!$A$1,#N/A,BB156*MGtoAF)</f>
        <v>8180.5152000000071</v>
      </c>
      <c r="BE156" s="535">
        <f>Sheet1!BG154+Sheet1!BH154+Sheet1!BI154-BM156</f>
        <v>1.01</v>
      </c>
      <c r="BF156" s="535">
        <f t="shared" si="319"/>
        <v>1.0114802149487054</v>
      </c>
      <c r="BG156" s="535">
        <f>IF(Sheet1!EP154="FM",BM156,0)</f>
        <v>0</v>
      </c>
      <c r="BH156" s="535">
        <f t="shared" si="320"/>
        <v>0</v>
      </c>
      <c r="BI156" s="535">
        <f>IF(Sheet1!EP154="OTHER",BM156,0)</f>
        <v>0</v>
      </c>
      <c r="BJ156" s="535">
        <f t="shared" si="321"/>
        <v>0</v>
      </c>
      <c r="BK156" s="535">
        <f t="shared" si="322"/>
        <v>1.01</v>
      </c>
      <c r="BL156" s="535">
        <f t="shared" si="323"/>
        <v>1.0114802149487054</v>
      </c>
      <c r="BM156" s="535">
        <f>IF(OR(Sheet1!EP154="FM", Sheet1!EP154="OTHER"),SUM(Sheet1!BG154:'Sheet1'!BI154),0)</f>
        <v>0</v>
      </c>
      <c r="BN156" s="521">
        <f>IF(AND($B156&gt;=$FV156,$B156&lt;=$FW156),MAX(BF156,Sheet1!EI154,0),MAX(BF156-(7/36)*$K156,0))</f>
        <v>0</v>
      </c>
      <c r="BO156" s="535">
        <f t="shared" si="324"/>
        <v>11.557408673940184</v>
      </c>
      <c r="BP156" s="521">
        <f t="shared" si="325"/>
        <v>1.0114802149487054</v>
      </c>
      <c r="BQ156" s="521">
        <f>IF(AND($O156&gt;0,Sheet1!EM154=1),(1-($O156-Sheet1!$L154)/$O156)*BL156,0)</f>
        <v>0</v>
      </c>
      <c r="BR156" s="521">
        <f>IF(AND(Sheet1!$L154=0,Sheet1!$L153=0, Calculation!BK156&lt;Sheet1!$EI154-0.1,Sheet1!$EI154=Sheet1!$EI153,Sheet1!$EI154=Sheet1!$EI155),BL156-BQ156,BL156-BQ156)</f>
        <v>1.0114802149487054</v>
      </c>
      <c r="BS156" s="1035" t="str">
        <f t="shared" si="414"/>
        <v/>
      </c>
      <c r="BT156" s="1035">
        <f t="shared" si="415"/>
        <v>12.568888888888889</v>
      </c>
      <c r="BU156" s="535">
        <f t="shared" si="326"/>
        <v>1143.8240472500238</v>
      </c>
      <c r="BV156" s="535"/>
      <c r="BW156" s="535">
        <f ca="1">IF(B156&gt;Summary!$A$1,#N/A,BU156*MGtoAF)</f>
        <v>3509.252176963073</v>
      </c>
      <c r="BX156" s="535">
        <f>Sheet1!BC154+Sheet1!BD154+Sheet1!BE154+Sheet1!BF154-CG156-CH156</f>
        <v>3.49</v>
      </c>
      <c r="BY156" s="535">
        <f t="shared" si="327"/>
        <v>3.4951148021494873</v>
      </c>
      <c r="BZ156" s="535">
        <f>IF(Sheet1!EQ154="FM",CH156,0)</f>
        <v>0</v>
      </c>
      <c r="CA156" s="535">
        <f t="shared" si="328"/>
        <v>0</v>
      </c>
      <c r="CB156" s="535">
        <f>IF(Sheet1!EQ154="OTHER",CH156,0)</f>
        <v>0</v>
      </c>
      <c r="CC156" s="535">
        <f t="shared" si="329"/>
        <v>0</v>
      </c>
      <c r="CD156" s="535">
        <f t="shared" si="330"/>
        <v>0</v>
      </c>
      <c r="CE156" s="535">
        <f t="shared" si="331"/>
        <v>3.49</v>
      </c>
      <c r="CF156" s="535">
        <f t="shared" si="332"/>
        <v>3.4951148021494873</v>
      </c>
      <c r="CG156" s="535">
        <f>IF(Sheet1!EQ154="CWA",SUM(Sheet1!BC154:'Sheet1'!BF154),0)</f>
        <v>0</v>
      </c>
      <c r="CH156" s="535">
        <f>IF(OR(Sheet1!EQ154="FM", Sheet1!EQ154="OTHER"),SUM(Sheet1!BC154:'Sheet1'!BF154),0)</f>
        <v>0</v>
      </c>
      <c r="CI156" s="521">
        <f>IF(AND($B156&gt;=$FV156,$B156&lt;=$FW156),MAX(CF156,Sheet1!EJ154,0),MAX(CF156-(7/36)*$K156,0))</f>
        <v>0</v>
      </c>
      <c r="CJ156" s="535">
        <f t="shared" si="333"/>
        <v>9.0737740867394017</v>
      </c>
      <c r="CK156" s="521">
        <f t="shared" si="334"/>
        <v>3.4951148021494873</v>
      </c>
      <c r="CL156" s="521">
        <f>IF(AND($O156&gt;0,Sheet1!EN154=1),(1-($O156-Sheet1!$L154)/$O156)*CF156,0)</f>
        <v>0</v>
      </c>
      <c r="CM156" s="521">
        <f>IF(AND(Sheet1!$L154=0,Sheet1!$L153=0, Calculation!CE156&lt;Sheet1!EJ154-0.1,Sheet1!EJ154=Sheet1!EJ153,Sheet1!EJ154=Sheet1!EJ155),CF156-CL156,CF156-CL156)</f>
        <v>3.4951148021494873</v>
      </c>
      <c r="CN156" s="1040" t="str">
        <f t="shared" si="416"/>
        <v/>
      </c>
      <c r="CO156" s="1035">
        <f t="shared" si="417"/>
        <v>12.568888888888889</v>
      </c>
      <c r="CP156" s="535">
        <f t="shared" si="335"/>
        <v>907.0962858793614</v>
      </c>
      <c r="CQ156" s="535"/>
      <c r="CR156" s="535">
        <f ca="1">IF(B156&gt;Summary!$A$1,#N/A,CP156*MGtoAF)</f>
        <v>2782.9714050778807</v>
      </c>
      <c r="CS156" s="535">
        <f>Sheet1!BK154+Sheet1!BL154+Sheet1!BM154-Sheet1!ER154-DA156</f>
        <v>7.04</v>
      </c>
      <c r="CT156" s="535">
        <f t="shared" si="336"/>
        <v>7.050317537860284</v>
      </c>
      <c r="CU156" s="535">
        <f>IF(Sheet1!ER154="FM",DA156,0)</f>
        <v>0</v>
      </c>
      <c r="CV156" s="535">
        <f t="shared" si="337"/>
        <v>0</v>
      </c>
      <c r="CW156" s="535">
        <f>IF(Sheet1!ER154="OTHER",DA156,0)</f>
        <v>0</v>
      </c>
      <c r="CX156" s="535">
        <f t="shared" si="338"/>
        <v>0</v>
      </c>
      <c r="CY156" s="535">
        <f t="shared" si="339"/>
        <v>7.04</v>
      </c>
      <c r="CZ156" s="535">
        <f t="shared" si="340"/>
        <v>7.050317537860284</v>
      </c>
      <c r="DA156" s="535">
        <f>IF(OR(Sheet1!ER154="FM", Sheet1!ER154="OTHER"),SUM(Sheet1!BK154:'Sheet1'!BM154),0)</f>
        <v>0</v>
      </c>
      <c r="DB156" s="1011">
        <f>IF(AND($B156&gt;=$FV156,$B156&lt;=$FW156),MAX($CT156,Sheet1!EK154,0),MAX($CT156-(7/36)*$K156,0))</f>
        <v>0</v>
      </c>
      <c r="DC156" s="1012">
        <f t="shared" si="341"/>
        <v>5.518571351028605</v>
      </c>
      <c r="DD156" s="1011">
        <f t="shared" si="342"/>
        <v>7.050317537860284</v>
      </c>
      <c r="DE156" s="521">
        <f>IF(AND($O156&gt;0,Sheet1!EO154=1),(1-($O156-Sheet1!$L154)/$O156)*CZ156,0)</f>
        <v>0</v>
      </c>
      <c r="DF156" s="521">
        <f>IF(AND(Sheet1!$L154=0,Sheet1!$L153=0, Calculation!CY156&lt;Sheet1!$EK154-0.1,Sheet1!$EK154=Sheet1!$EK153,Sheet1!$EK154=Sheet1!$EK155),CZ156-DE156,CZ156-DE156)</f>
        <v>7.050317537860284</v>
      </c>
      <c r="DG156" s="1040">
        <f t="shared" si="418"/>
        <v>12.568888888888889</v>
      </c>
      <c r="DH156" s="649">
        <f t="shared" si="343"/>
        <v>11.54</v>
      </c>
      <c r="DI156" s="535">
        <f t="shared" si="344"/>
        <v>598.8338510908801</v>
      </c>
      <c r="DJ156" s="649">
        <f t="shared" si="345"/>
        <v>11.556912554958476</v>
      </c>
      <c r="DK156" s="535">
        <f ca="1">IF(B156&gt;Summary!$A$1,#N/A,DI156*MGtoAF)</f>
        <v>1837.2222551468201</v>
      </c>
      <c r="DL156" s="649">
        <f t="shared" si="346"/>
        <v>11.540000000000001</v>
      </c>
      <c r="DM156" s="535">
        <f t="shared" si="347"/>
        <v>40.94</v>
      </c>
      <c r="DN156" s="535">
        <f>Sheet1!AB154-DM156</f>
        <v>6.0000000000002274E-2</v>
      </c>
      <c r="DO156" s="743">
        <f t="shared" si="348"/>
        <v>1.4655593551539394E-3</v>
      </c>
      <c r="DP156" s="535">
        <f>(VLOOKUP(Sheet1!DC154,hhdcap_wcm,4)-(((VLOOKUP(Sheet1!DC154,hhdcap_wcm,3)-Sheet1!DC154)/(VLOOKUP(Sheet1!DC154,hhdcap_wcm,3)-VLOOKUP(Sheet1!DC154,hhdcap_wcm,1)))*(VLOOKUP(Sheet1!DC154,hhdcap_wcm,4)-VLOOKUP(Sheet1!DC154,hhdcap_wcm,2))))</f>
        <v>46110.800000113319</v>
      </c>
      <c r="DQ156" s="535">
        <f t="shared" si="349"/>
        <v>-364.19999999923311</v>
      </c>
      <c r="DR156" s="535">
        <f t="shared" si="350"/>
        <v>-183.66111951549826</v>
      </c>
      <c r="DS156" s="535">
        <f>Sheet1!EA154*AFtoMG</f>
        <v>0</v>
      </c>
      <c r="DT156" s="535">
        <f>Sheet1!EB154*AFtoMG</f>
        <v>0</v>
      </c>
      <c r="DU156" s="535">
        <f>Sheet1!EC154*AFtoMG</f>
        <v>0</v>
      </c>
      <c r="DV156" s="535">
        <f>Sheet1!ED154*AFtoMG</f>
        <v>0</v>
      </c>
      <c r="DW156" s="535">
        <f t="shared" si="351"/>
        <v>0</v>
      </c>
      <c r="DX156" s="535">
        <f t="shared" si="352"/>
        <v>0</v>
      </c>
      <c r="DY156" s="535">
        <f t="shared" si="353"/>
        <v>5316.1541842202678</v>
      </c>
      <c r="DZ156" s="535">
        <f t="shared" si="354"/>
        <v>16309.961037187782</v>
      </c>
      <c r="EA156" s="535"/>
      <c r="EB156" s="521">
        <f>IF(OR(B156&lt;FV156,B156&gt;FW156),(MIN(BF156+BY156+CT156+MAX(Sheet1!AA154+AQ156-73,0),K156)),0)</f>
        <v>11.556912554958476</v>
      </c>
      <c r="EC156" s="535"/>
      <c r="ED156" s="535">
        <f t="shared" si="355"/>
        <v>11.556912554958476</v>
      </c>
      <c r="EE156" s="535"/>
      <c r="EF156" s="535">
        <f>Sheet1!EH154+Sheet1!EI154+Sheet1!EJ154+Sheet1!EK154</f>
        <v>11.5</v>
      </c>
      <c r="EG156" s="1019">
        <f t="shared" si="419"/>
        <v>17.790499999999998</v>
      </c>
      <c r="EH156" s="521">
        <f t="shared" si="356"/>
        <v>0</v>
      </c>
      <c r="EI156" s="535">
        <f>IF(Sheet1!ET154=1,SUM('Calculations II'!AT156:BA156)+'Calculations II'!BC156+Sheet1!BV154+'Calculations II'!BE156+AP156,'Calculations II'!BK156)</f>
        <v>55.59632344504152</v>
      </c>
      <c r="EJ156" s="535">
        <f ca="1">EI156+'Calculations II'!D156+'Calculations II'!E156+'Calculations II'!O156</f>
        <v>59.775585538017786</v>
      </c>
      <c r="EK156" s="535"/>
      <c r="EL156" s="535"/>
      <c r="EM156" s="535">
        <f t="shared" si="357"/>
        <v>42880</v>
      </c>
      <c r="EN156" s="535">
        <f t="shared" si="358"/>
        <v>53.083087445041528</v>
      </c>
      <c r="EO156" s="535">
        <f t="shared" si="359"/>
        <v>82.119536277479241</v>
      </c>
      <c r="EP156" s="535">
        <v>0</v>
      </c>
      <c r="EQ156" s="535">
        <v>0</v>
      </c>
      <c r="ER156" s="535">
        <v>0</v>
      </c>
      <c r="ES156" s="521">
        <f t="shared" si="381"/>
        <v>-3.7385891510788611</v>
      </c>
      <c r="ET156" s="535">
        <f>-(VLOOKUP(Sheet1!BQ154,Lookup!$O$4:$Q$262,2)-VLOOKUP(Sheet1!BQ153,Lookup!$O$4:$Q$262,2))/1000000</f>
        <v>-1.9382037563073971</v>
      </c>
      <c r="EU156" s="535">
        <f>-(VLOOKUP(Sheet1!BR154,Lookup!$O$4:$Q$262,3)-VLOOKUP(Sheet1!BR153,Lookup!$O$4:$Q$262,3))/1000000</f>
        <v>-1.8003853947714641</v>
      </c>
      <c r="EV156" s="535"/>
      <c r="EW156" s="535"/>
      <c r="EX156" s="535"/>
      <c r="EY156" s="535"/>
      <c r="EZ156" s="535"/>
      <c r="FA156" s="535"/>
      <c r="FB156" s="535"/>
      <c r="FC156" s="535"/>
      <c r="FD156" s="567" t="e">
        <f t="shared" si="360"/>
        <v>#N/A</v>
      </c>
      <c r="FE156" s="567" t="e">
        <f t="shared" si="361"/>
        <v>#N/A</v>
      </c>
      <c r="FF156" s="568" t="e">
        <f t="shared" si="362"/>
        <v>#N/A</v>
      </c>
      <c r="FG156" s="569" t="s">
        <v>656</v>
      </c>
      <c r="FH156" s="569" t="s">
        <v>656</v>
      </c>
      <c r="FI156" s="567" t="e">
        <v>#N/A</v>
      </c>
      <c r="FJ156" s="567" t="e">
        <v>#N/A</v>
      </c>
      <c r="FK156" s="535"/>
      <c r="FL156" s="1015">
        <v>0</v>
      </c>
      <c r="FM156" s="535"/>
      <c r="FN156" s="535"/>
      <c r="FO156" s="535">
        <f>O156+((Sheet1!CS154)*GPMtoMGD)</f>
        <v>70.871808000000001</v>
      </c>
      <c r="FP156" s="535">
        <f>IF(Sheet1!AA154+AQ156&lt;=Calculation!N156,AQ156,Calculation!N156-Sheet1!AA154)</f>
        <v>29.443087445041524</v>
      </c>
      <c r="FQ156" s="535">
        <f>(Sheet1!BP154+Sheet1!BO154)/694.4</f>
        <v>2.3205645161290325</v>
      </c>
      <c r="FR156" s="541"/>
      <c r="FS156" s="541"/>
      <c r="FT156" s="541"/>
      <c r="FU156" s="541"/>
      <c r="FV156" s="1109">
        <f t="shared" si="382"/>
        <v>42918</v>
      </c>
      <c r="FW156" s="1109">
        <f t="shared" si="383"/>
        <v>43027</v>
      </c>
      <c r="FX156" s="541"/>
      <c r="FY156" s="541">
        <f>Sheet1!DA154-Sheet1!CZ154-Sheet1!AE154</f>
        <v>296.92339000000004</v>
      </c>
      <c r="FZ156" s="535">
        <f t="shared" si="420"/>
        <v>0.19711593045018996</v>
      </c>
      <c r="GA156" s="535"/>
      <c r="GB156" s="535" t="str">
        <f t="shared" si="384"/>
        <v>n</v>
      </c>
      <c r="GC156" s="539">
        <f t="shared" si="385"/>
        <v>42782</v>
      </c>
      <c r="GD156" s="1109">
        <f t="shared" si="386"/>
        <v>42904</v>
      </c>
      <c r="GE156" s="535">
        <f t="shared" si="404"/>
        <v>6520</v>
      </c>
      <c r="GF156" s="1109">
        <f t="shared" si="387"/>
        <v>42909</v>
      </c>
      <c r="GG156" s="535">
        <f t="shared" si="432"/>
        <v>3260</v>
      </c>
      <c r="GH156" s="539">
        <f t="shared" si="388"/>
        <v>43040</v>
      </c>
      <c r="GJ156" s="521">
        <f t="shared" si="389"/>
        <v>0</v>
      </c>
      <c r="GK156" s="535" t="str">
        <f t="shared" si="363"/>
        <v/>
      </c>
      <c r="GL156" s="535">
        <f t="shared" si="390"/>
        <v>0</v>
      </c>
      <c r="GM156" s="535" t="str">
        <f t="shared" si="391"/>
        <v/>
      </c>
      <c r="GN156" s="535">
        <f>IF(GK156="P",Lookup!$M$12,IF(GK156="PP",Lookup!$M$13,IF(GK156="PPP",Lookup!$M$14,IF(GK156="T",Lookup!$M$15,IF(GK156="TP",Lookup!$M$16,IF(GK156="TPP",Lookup!$M$17,IF(GK156="TPPP",Lookup!$M$18,0)))))))*GJ156</f>
        <v>0</v>
      </c>
      <c r="GO156" s="535">
        <f t="shared" si="392"/>
        <v>0</v>
      </c>
      <c r="GP156" s="535">
        <f t="shared" si="364"/>
        <v>8180.5152000000071</v>
      </c>
      <c r="GQ156" s="535">
        <f t="shared" si="403"/>
        <v>2666.4000000000024</v>
      </c>
      <c r="GR156" s="535"/>
      <c r="GS156" s="535">
        <f t="shared" si="393"/>
        <v>0</v>
      </c>
      <c r="GT156" s="535" t="str">
        <f t="shared" si="394"/>
        <v/>
      </c>
      <c r="GU156" s="535">
        <f>IF(GK156="P",Lookup!$N$12,IF(GK156="PP",Lookup!$N$13,IF(GK156="PPP",Lookup!$N$14,IF(GK156="T",Lookup!$N$15,IF(GK156="TP",Lookup!$N$16,IF(GK156="TPP",Lookup!$N$17,IF(GK156="TPPP",Lookup!$N$18,0)))))))*GJ156</f>
        <v>0</v>
      </c>
      <c r="GV156" s="535">
        <f t="shared" si="395"/>
        <v>0</v>
      </c>
      <c r="GW156" s="535">
        <f t="shared" si="365"/>
        <v>3509.252176963073</v>
      </c>
      <c r="GX156" s="535">
        <f t="shared" si="400"/>
        <v>1143.8240472500238</v>
      </c>
      <c r="GY156" s="535"/>
      <c r="GZ156" s="535">
        <f t="shared" si="396"/>
        <v>0</v>
      </c>
      <c r="HA156" s="535" t="str">
        <f t="shared" si="397"/>
        <v/>
      </c>
      <c r="HB156" s="535">
        <f>IF(GK156="P",Lookup!$N$12,IF(GK156="PP",Lookup!$N$13,IF(GK156="PPP",Lookup!$N$14,IF(GK156="T",Lookup!$N$15,IF(GK156="TP",Lookup!$N$16,IF(GK156="TPP",Lookup!$N$17,IF(GK156="TPPP",Lookup!$N$18,0)))))))*GJ156</f>
        <v>0</v>
      </c>
      <c r="HC156" s="521">
        <f t="shared" si="366"/>
        <v>0</v>
      </c>
      <c r="HD156" s="535">
        <f t="shared" si="367"/>
        <v>2782.9714050778807</v>
      </c>
      <c r="HE156" s="535">
        <f t="shared" si="401"/>
        <v>907.0962858793614</v>
      </c>
      <c r="HF156" s="535"/>
      <c r="HG156" s="535">
        <f t="shared" si="398"/>
        <v>0</v>
      </c>
      <c r="HH156" s="535" t="str">
        <f t="shared" si="399"/>
        <v/>
      </c>
      <c r="HI156" s="535">
        <f>IF(GK156="P",Lookup!$N$12,IF(GK156="PP",Lookup!$N$13,IF(GK156="PPP",Lookup!$N$14,IF(GK156="T",Lookup!$N$15,IF(GK156="TP",Lookup!$N$16,IF(GK156="TPP",Lookup!$N$17,IF(GK156="TPPP",Lookup!$N$18,0)))))))*GJ156</f>
        <v>0</v>
      </c>
      <c r="HJ156" s="521">
        <f t="shared" si="368"/>
        <v>0</v>
      </c>
      <c r="HK156" s="535">
        <f t="shared" si="369"/>
        <v>1837.2222551468201</v>
      </c>
      <c r="HL156" s="535">
        <f t="shared" si="402"/>
        <v>598.8338510908801</v>
      </c>
      <c r="HM156" s="535"/>
      <c r="HN156" s="541"/>
      <c r="HO156" s="541"/>
      <c r="HP156" s="541"/>
      <c r="HQ156" s="541">
        <f>IF(AND(B156&gt;=$FV$4,B156&lt;=$FW$4),MAX(110/1.02+$HQ$6+MIN(113/1.02,G156),IF($HV$6-(Sheet1!DA154-Sheet1!DB154)+MIN(113/1.02,G156)&lt;G156+FL156,$HV$6-(Sheet1!DA154-Sheet1!DB154)+MIN(113/1.02,G156),G156+FL156)),MIN(110/1.02+$HQ$6+113/1.02,G156))</f>
        <v>218.62745098039215</v>
      </c>
      <c r="HR156" s="541">
        <f t="shared" si="421"/>
        <v>223</v>
      </c>
      <c r="HS156" s="541">
        <f>HR156+(Sheet1!DA154-Sheet1!DB154)</f>
        <v>763</v>
      </c>
      <c r="HT156" s="541">
        <f t="shared" si="422"/>
        <v>85.224229999999991</v>
      </c>
      <c r="HU156" s="541">
        <f t="shared" si="423"/>
        <v>677.77576999999997</v>
      </c>
      <c r="HV156" s="541">
        <f t="shared" si="424"/>
        <v>0</v>
      </c>
      <c r="HW156" s="533" t="str">
        <f t="shared" si="425"/>
        <v/>
      </c>
      <c r="HX156" s="541">
        <f t="shared" si="426"/>
        <v>1471.372549019608</v>
      </c>
      <c r="HY156" s="541">
        <f>Sheet1!CZ154</f>
        <v>1690</v>
      </c>
      <c r="HZ156" s="541">
        <f t="shared" si="427"/>
        <v>0</v>
      </c>
      <c r="IA156" s="541">
        <f t="shared" si="428"/>
        <v>85.224229999999991</v>
      </c>
      <c r="IB156" s="541">
        <f t="shared" si="429"/>
        <v>1690</v>
      </c>
      <c r="IC156" s="1019" t="str">
        <f t="shared" si="430"/>
        <v/>
      </c>
      <c r="ID156" s="541">
        <f t="shared" si="431"/>
        <v>1604.77577</v>
      </c>
      <c r="IE156" s="541">
        <f>Sheet1!DB154</f>
        <v>1550</v>
      </c>
      <c r="IF156" s="533">
        <f>Sheet1!DA154</f>
        <v>2090</v>
      </c>
      <c r="IH156" s="541">
        <f>IF(AND($B156&gt;=$GC156,$B156&lt;=$GH156,$DR156&lt;0)+N("only adjusted when pool is drawn down during storage season"),Sheet1!$DB154+$DR156+N("Palmer minus all storage release"),Sheet1!$DB154)</f>
        <v>1366.3388804845017</v>
      </c>
      <c r="II156" s="541">
        <f>IF(AND($B156&gt;=$GC156,$B156&lt;=$GH156,$DR156&lt;0)+N("only adjusted when pool is drawn down during storage season"),Sheet1!$DA154+$DR156+N("Auburn minus all storage release"),Sheet1!$DA154)</f>
        <v>1906.3388804845017</v>
      </c>
    </row>
    <row r="157" spans="1:243" x14ac:dyDescent="0.25">
      <c r="A157" s="553" t="s">
        <v>8</v>
      </c>
      <c r="B157" s="531">
        <v>42881</v>
      </c>
      <c r="C157" s="536">
        <v>0</v>
      </c>
      <c r="D157" s="506">
        <f t="shared" si="371"/>
        <v>300</v>
      </c>
      <c r="E157" s="506">
        <f t="shared" si="372"/>
        <v>250</v>
      </c>
      <c r="F157" s="506">
        <v>250</v>
      </c>
      <c r="G157" s="535">
        <f>DR157+Sheet1!CZ155</f>
        <v>1362.2642460917816</v>
      </c>
      <c r="H157" s="1074">
        <f t="shared" si="405"/>
        <v>629.01672031999999</v>
      </c>
      <c r="I157" s="534">
        <f>IF(Sheet1!DA155&gt;=E157,(Sheet1!DA155-E157+P157)*CFStoMGD,0)</f>
        <v>971.60872031999997</v>
      </c>
      <c r="J157" s="995">
        <f>IF(Sheet1!DB155&gt;=D157,(Sheet1!DB155-D157+P157)*CFStoMGD,0)</f>
        <v>629.01672031999999</v>
      </c>
      <c r="K157" s="818">
        <f t="shared" si="406"/>
        <v>64.64</v>
      </c>
      <c r="L157" s="535">
        <f>Sheet1!AA155+Sheet1!AB155-Sheet1!L155+(Sheet1!DA155-F157)*CFStoMGD-S157-T157-U157</f>
        <v>906.9699999999998</v>
      </c>
      <c r="M157" s="535">
        <f t="shared" si="309"/>
        <v>898.17896084720223</v>
      </c>
      <c r="N157" s="824">
        <f>IF(Sheet1!DA155&gt;=F157,MIN(113*CFStoMGD,MIN(MAX(L157,0),MAX(M157,0))),0)</f>
        <v>73.043199999999999</v>
      </c>
      <c r="O157" s="538">
        <f>Sheet1!AA155+Sheet1!AB155</f>
        <v>66.650000000000006</v>
      </c>
      <c r="P157" s="538">
        <f t="shared" si="310"/>
        <v>103.10755</v>
      </c>
      <c r="Q157" s="812">
        <f t="shared" si="407"/>
        <v>54.460000000000008</v>
      </c>
      <c r="R157" s="812">
        <f t="shared" si="373"/>
        <v>12.241748474396394</v>
      </c>
      <c r="S157" s="812">
        <f t="shared" si="374"/>
        <v>12.19</v>
      </c>
      <c r="T157" s="812">
        <f t="shared" si="375"/>
        <v>52.45</v>
      </c>
      <c r="U157" s="812">
        <f t="shared" si="408"/>
        <v>0</v>
      </c>
      <c r="V157" s="812"/>
      <c r="W157" s="812">
        <f t="shared" si="376"/>
        <v>52.398251525603605</v>
      </c>
      <c r="X157" s="812">
        <f t="shared" si="377"/>
        <v>64.64</v>
      </c>
      <c r="Y157" s="812" t="str">
        <f t="shared" si="378"/>
        <v>FALSE</v>
      </c>
      <c r="Z157" s="812">
        <f t="shared" si="379"/>
        <v>66.650000000000006</v>
      </c>
      <c r="AA157" s="812">
        <f t="shared" si="380"/>
        <v>66.650000000000006</v>
      </c>
      <c r="AB157" s="1059">
        <f t="shared" si="409"/>
        <v>84.249620000000007</v>
      </c>
      <c r="AC157" s="538">
        <f>Sheet1!Y155*MGDtoCFS</f>
        <v>39.649609999999996</v>
      </c>
      <c r="AD157" s="538">
        <f>Sheet1!Z155*MGDtoCFS</f>
        <v>63.427</v>
      </c>
      <c r="AE157" s="538">
        <f>Sheet1!AA155*MGDtoCFS</f>
        <v>44.553599999999996</v>
      </c>
      <c r="AF157" s="538">
        <f>Sheet1!AB155*MGDtoCFS</f>
        <v>58.55395</v>
      </c>
      <c r="AG157" s="538">
        <f>Sheet1!L155*MGDtoCFS</f>
        <v>0</v>
      </c>
      <c r="AH157" s="521">
        <f t="shared" si="311"/>
        <v>0</v>
      </c>
      <c r="AI157" s="1059">
        <f t="shared" si="312"/>
        <v>0</v>
      </c>
      <c r="AJ157" s="535">
        <f t="shared" si="313"/>
        <v>52.398251525603605</v>
      </c>
      <c r="AK157" s="535">
        <f t="shared" si="314"/>
        <v>81.060095110108776</v>
      </c>
      <c r="AL157" s="535">
        <f>(VLOOKUP(Sheet1!DC155,hhdcap_wcm,4)-(((VLOOKUP(Sheet1!DC155,hhdcap_wcm,3)-Sheet1!DC155)/(VLOOKUP(Sheet1!DC155,hhdcap_wcm,3)-VLOOKUP(Sheet1!DC155,hhdcap_wcm,1)))*(VLOOKUP(Sheet1!DC155,hhdcap_wcm,4)-VLOOKUP(Sheet1!DC155,hhdcap_wcm,2))))</f>
        <v>46254.100000113322</v>
      </c>
      <c r="AM157" s="535">
        <f t="shared" si="315"/>
        <v>143.30000000000291</v>
      </c>
      <c r="AN157" s="1035">
        <f t="shared" si="316"/>
        <v>5368.5524357458708</v>
      </c>
      <c r="AO157" s="535">
        <f t="shared" si="317"/>
        <v>16470.718872868332</v>
      </c>
      <c r="AP157" s="535">
        <f>Sheet1!BA155+Sheet1!BB155+Sheet1!BN155+CD157</f>
        <v>25.5</v>
      </c>
      <c r="AQ157" s="535">
        <f>Sheet1!BN155+(DO157*Sheet1!BN155)</f>
        <v>25.60825152560361</v>
      </c>
      <c r="AR157" s="535">
        <f>Sheet1!BA155+CD157</f>
        <v>0</v>
      </c>
      <c r="AS157" s="535">
        <f>Sheet1!BA155+Sheet1!BB155+CD157</f>
        <v>0</v>
      </c>
      <c r="AT157" s="649">
        <f>0</f>
        <v>0</v>
      </c>
      <c r="AU157" s="535">
        <f>IF(EB157&lt;K157,0,MAX(Sheet1!AA155+AQ157-15/36*K157-N157,Sheet1!EH155,0))</f>
        <v>0</v>
      </c>
      <c r="AV157" s="535">
        <f>IF(OR(B157&gt;=GD157,B157&lt;GC157),0,15/36*K157-MAX(0,64.6-(137.6-(Sheet1!AA155+Sheet1!AB155))))</f>
        <v>26.933333333333334</v>
      </c>
      <c r="AW157" s="1029"/>
      <c r="AX157" s="649"/>
      <c r="AY157" s="649">
        <f t="shared" si="410"/>
        <v>0</v>
      </c>
      <c r="AZ157" s="649">
        <f t="shared" si="411"/>
        <v>0</v>
      </c>
      <c r="BA157" s="1059">
        <f t="shared" si="412"/>
        <v>0</v>
      </c>
      <c r="BB157" s="1019">
        <f t="shared" si="318"/>
        <v>2693.3333333333358</v>
      </c>
      <c r="BC157" s="1041">
        <f t="shared" si="413"/>
        <v>26.933333333333334</v>
      </c>
      <c r="BD157" s="1019">
        <f ca="1">IF(B157&gt;Summary!$A$1,#N/A,BB157*MGtoAF)</f>
        <v>8263.1466666666747</v>
      </c>
      <c r="BE157" s="535">
        <f>Sheet1!BG155+Sheet1!BH155+Sheet1!BI155-BM157</f>
        <v>1.02</v>
      </c>
      <c r="BF157" s="535">
        <f t="shared" si="319"/>
        <v>1.0243300610241444</v>
      </c>
      <c r="BG157" s="535">
        <f>IF(Sheet1!EP155="FM",BM157,0)</f>
        <v>0</v>
      </c>
      <c r="BH157" s="535">
        <f t="shared" si="320"/>
        <v>0</v>
      </c>
      <c r="BI157" s="535">
        <f>IF(Sheet1!EP155="OTHER",BM157,0)</f>
        <v>0</v>
      </c>
      <c r="BJ157" s="535">
        <f t="shared" si="321"/>
        <v>0</v>
      </c>
      <c r="BK157" s="535">
        <f t="shared" si="322"/>
        <v>1.02</v>
      </c>
      <c r="BL157" s="535">
        <f t="shared" si="323"/>
        <v>1.0243300610241444</v>
      </c>
      <c r="BM157" s="535">
        <f>IF(OR(Sheet1!EP155="FM", Sheet1!EP155="OTHER"),SUM(Sheet1!BG155:'Sheet1'!BI155),0)</f>
        <v>0</v>
      </c>
      <c r="BN157" s="521">
        <f>IF(AND($B157&gt;=$FV157,$B157&lt;=$FW157),MAX(BF157,Sheet1!EI155,0),MAX(BF157-(7/36)*$K157,0))</f>
        <v>0</v>
      </c>
      <c r="BO157" s="535">
        <f t="shared" si="324"/>
        <v>11.544558827864744</v>
      </c>
      <c r="BP157" s="521">
        <f t="shared" si="325"/>
        <v>1.0243300610241444</v>
      </c>
      <c r="BQ157" s="521">
        <f>IF(AND($O157&gt;0,Sheet1!EM155=1),(1-($O157-Sheet1!$L155)/$O157)*BL157,0)</f>
        <v>0</v>
      </c>
      <c r="BR157" s="521">
        <f>IF(AND(Sheet1!$L155=0,Sheet1!$L154=0, Calculation!BK157&lt;Sheet1!$EI155-0.1,Sheet1!$EI155=Sheet1!$EI154,Sheet1!$EI155=Sheet1!$EI156),BL157-BQ157,BL157-BQ157)</f>
        <v>1.0243300610241444</v>
      </c>
      <c r="BS157" s="1035" t="str">
        <f t="shared" si="414"/>
        <v/>
      </c>
      <c r="BT157" s="1035">
        <f t="shared" si="415"/>
        <v>12.568888888888889</v>
      </c>
      <c r="BU157" s="535">
        <f t="shared" si="326"/>
        <v>1155.3686060778884</v>
      </c>
      <c r="BV157" s="535"/>
      <c r="BW157" s="535">
        <f ca="1">IF(B157&gt;Summary!$A$1,#N/A,BU157*MGtoAF)</f>
        <v>3544.6708834469619</v>
      </c>
      <c r="BX157" s="535">
        <f>Sheet1!BC155+Sheet1!BD155+Sheet1!BE155+Sheet1!BF155-CG157-CH157</f>
        <v>3.8200000000000003</v>
      </c>
      <c r="BY157" s="535">
        <f t="shared" si="327"/>
        <v>3.8362165030512081</v>
      </c>
      <c r="BZ157" s="535">
        <f>IF(Sheet1!EQ155="FM",CH157,0)</f>
        <v>0</v>
      </c>
      <c r="CA157" s="535">
        <f t="shared" si="328"/>
        <v>0</v>
      </c>
      <c r="CB157" s="535">
        <f>IF(Sheet1!EQ155="OTHER",CH157,0)</f>
        <v>0</v>
      </c>
      <c r="CC157" s="535">
        <f t="shared" si="329"/>
        <v>0</v>
      </c>
      <c r="CD157" s="535">
        <f t="shared" si="330"/>
        <v>0</v>
      </c>
      <c r="CE157" s="535">
        <f t="shared" si="331"/>
        <v>3.8200000000000003</v>
      </c>
      <c r="CF157" s="535">
        <f t="shared" si="332"/>
        <v>3.8362165030512081</v>
      </c>
      <c r="CG157" s="535">
        <f>IF(Sheet1!EQ155="CWA",SUM(Sheet1!BC155:'Sheet1'!BF155),0)</f>
        <v>0</v>
      </c>
      <c r="CH157" s="535">
        <f>IF(OR(Sheet1!EQ155="FM", Sheet1!EQ155="OTHER"),SUM(Sheet1!BC155:'Sheet1'!BF155),0)</f>
        <v>0</v>
      </c>
      <c r="CI157" s="521">
        <f>IF(AND($B157&gt;=$FV157,$B157&lt;=$FW157),MAX(CF157,Sheet1!EJ155,0),MAX(CF157-(7/36)*$K157,0))</f>
        <v>0</v>
      </c>
      <c r="CJ157" s="535">
        <f t="shared" si="333"/>
        <v>8.7326723858376809</v>
      </c>
      <c r="CK157" s="521">
        <f t="shared" si="334"/>
        <v>3.8362165030512081</v>
      </c>
      <c r="CL157" s="521">
        <f>IF(AND($O157&gt;0,Sheet1!EN155=1),(1-($O157-Sheet1!$L155)/$O157)*CF157,0)</f>
        <v>0</v>
      </c>
      <c r="CM157" s="521">
        <f>IF(AND(Sheet1!$L155=0,Sheet1!$L154=0, Calculation!CE157&lt;Sheet1!EJ155-0.1,Sheet1!EJ155=Sheet1!EJ154,Sheet1!EJ155=Sheet1!EJ156),CF157-CL157,CF157-CL157)</f>
        <v>3.8362165030512081</v>
      </c>
      <c r="CN157" s="1040" t="str">
        <f t="shared" si="416"/>
        <v/>
      </c>
      <c r="CO157" s="1035">
        <f t="shared" si="417"/>
        <v>12.568888888888889</v>
      </c>
      <c r="CP157" s="535">
        <f t="shared" si="335"/>
        <v>915.82895826519905</v>
      </c>
      <c r="CQ157" s="535"/>
      <c r="CR157" s="535">
        <f ca="1">IF(B157&gt;Summary!$A$1,#N/A,CP157*MGtoAF)</f>
        <v>2809.7632439576309</v>
      </c>
      <c r="CS157" s="535">
        <f>Sheet1!BK155+Sheet1!BL155+Sheet1!BM155-Sheet1!ER155-DA157</f>
        <v>7.35</v>
      </c>
      <c r="CT157" s="535">
        <f t="shared" si="336"/>
        <v>7.3812019103210407</v>
      </c>
      <c r="CU157" s="535">
        <f>IF(Sheet1!ER155="FM",DA157,0)</f>
        <v>0</v>
      </c>
      <c r="CV157" s="535">
        <f t="shared" si="337"/>
        <v>0</v>
      </c>
      <c r="CW157" s="535">
        <f>IF(Sheet1!ER155="OTHER",DA157,0)</f>
        <v>0</v>
      </c>
      <c r="CX157" s="535">
        <f t="shared" si="338"/>
        <v>0</v>
      </c>
      <c r="CY157" s="535">
        <f t="shared" si="339"/>
        <v>7.35</v>
      </c>
      <c r="CZ157" s="535">
        <f t="shared" si="340"/>
        <v>7.3812019103210407</v>
      </c>
      <c r="DA157" s="535">
        <f>IF(OR(Sheet1!ER155="FM", Sheet1!ER155="OTHER"),SUM(Sheet1!BK155:'Sheet1'!BM155),0)</f>
        <v>0</v>
      </c>
      <c r="DB157" s="1011">
        <f>IF(AND($B157&gt;=$FV157,$B157&lt;=$FW157),MAX($CT157,Sheet1!EK155,0),MAX($CT157-(7/36)*$K157,0))</f>
        <v>0</v>
      </c>
      <c r="DC157" s="1012">
        <f t="shared" si="341"/>
        <v>5.1876869785678483</v>
      </c>
      <c r="DD157" s="1011">
        <f t="shared" si="342"/>
        <v>7.3812019103210407</v>
      </c>
      <c r="DE157" s="521">
        <f>IF(AND($O157&gt;0,Sheet1!EO155=1),(1-($O157-Sheet1!$L155)/$O157)*CZ157,0)</f>
        <v>0</v>
      </c>
      <c r="DF157" s="521">
        <f>IF(AND(Sheet1!$L155=0,Sheet1!$L154=0, Calculation!CY157&lt;Sheet1!$EK155-0.1,Sheet1!$EK155=Sheet1!$EK154,Sheet1!$EK155=Sheet1!$EK156),CZ157-DE157,CZ157-DE157)</f>
        <v>7.3812019103210407</v>
      </c>
      <c r="DG157" s="1040">
        <f t="shared" si="418"/>
        <v>12.568888888888889</v>
      </c>
      <c r="DH157" s="649">
        <f t="shared" si="343"/>
        <v>12.19</v>
      </c>
      <c r="DI157" s="535">
        <f t="shared" si="344"/>
        <v>604.02153806944796</v>
      </c>
      <c r="DJ157" s="649">
        <f t="shared" si="345"/>
        <v>12.241748474396394</v>
      </c>
      <c r="DK157" s="535">
        <f ca="1">IF(B157&gt;Summary!$A$1,#N/A,DI157*MGtoAF)</f>
        <v>1853.1380787970663</v>
      </c>
      <c r="DL157" s="649">
        <f t="shared" si="346"/>
        <v>12.19</v>
      </c>
      <c r="DM157" s="535">
        <f t="shared" si="347"/>
        <v>37.69</v>
      </c>
      <c r="DN157" s="535">
        <f>Sheet1!AB155-DM157</f>
        <v>0.16000000000000369</v>
      </c>
      <c r="DO157" s="743">
        <f t="shared" si="348"/>
        <v>4.2451578668082704E-3</v>
      </c>
      <c r="DP157" s="535">
        <f>(VLOOKUP(Sheet1!DC155,hhdcap_wcm,4)-(((VLOOKUP(Sheet1!DC155,hhdcap_wcm,3)-Sheet1!DC155)/(VLOOKUP(Sheet1!DC155,hhdcap_wcm,3)-VLOOKUP(Sheet1!DC155,hhdcap_wcm,1)))*(VLOOKUP(Sheet1!DC155,hhdcap_wcm,4)-VLOOKUP(Sheet1!DC155,hhdcap_wcm,2))))</f>
        <v>46254.100000113322</v>
      </c>
      <c r="DQ157" s="535">
        <f t="shared" si="349"/>
        <v>143.30000000000291</v>
      </c>
      <c r="DR157" s="535">
        <f t="shared" si="350"/>
        <v>72.264246091781587</v>
      </c>
      <c r="DS157" s="535">
        <f>Sheet1!EA155*AFtoMG</f>
        <v>0</v>
      </c>
      <c r="DT157" s="535">
        <f>Sheet1!EB155*AFtoMG</f>
        <v>0</v>
      </c>
      <c r="DU157" s="535">
        <f>Sheet1!EC155*AFtoMG</f>
        <v>0</v>
      </c>
      <c r="DV157" s="535">
        <f>Sheet1!ED155*AFtoMG</f>
        <v>0</v>
      </c>
      <c r="DW157" s="535">
        <f t="shared" si="351"/>
        <v>0</v>
      </c>
      <c r="DX157" s="535">
        <f t="shared" si="352"/>
        <v>0</v>
      </c>
      <c r="DY157" s="535">
        <f t="shared" si="353"/>
        <v>5368.5524357458708</v>
      </c>
      <c r="DZ157" s="535">
        <f t="shared" si="354"/>
        <v>16470.718872868332</v>
      </c>
      <c r="EA157" s="535"/>
      <c r="EB157" s="521">
        <f>IF(OR(B157&lt;FV157,B157&gt;FW157),(MIN(BF157+BY157+CT157+MAX(Sheet1!AA155+AQ157-73,0),K157)),0)</f>
        <v>12.241748474396394</v>
      </c>
      <c r="EC157" s="535"/>
      <c r="ED157" s="535">
        <f t="shared" si="355"/>
        <v>12.241748474396394</v>
      </c>
      <c r="EE157" s="535"/>
      <c r="EF157" s="535">
        <f>Sheet1!EH155+Sheet1!EI155+Sheet1!EJ155+Sheet1!EK155</f>
        <v>13.5</v>
      </c>
      <c r="EG157" s="1019">
        <f t="shared" si="419"/>
        <v>20.884499999999999</v>
      </c>
      <c r="EH157" s="521">
        <f t="shared" si="356"/>
        <v>0</v>
      </c>
      <c r="EI157" s="535">
        <f>IF(Sheet1!ET155=1,SUM('Calculations II'!AT157:BA157)+'Calculations II'!BC157+Sheet1!BV155+'Calculations II'!BE157+AP157,'Calculations II'!BK157)</f>
        <v>60.304491525603609</v>
      </c>
      <c r="EJ157" s="535">
        <f ca="1">EI157+'Calculations II'!D157+'Calculations II'!E157+'Calculations II'!O157</f>
        <v>57.331887761849536</v>
      </c>
      <c r="EK157" s="535"/>
      <c r="EL157" s="535"/>
      <c r="EM157" s="535">
        <f t="shared" si="357"/>
        <v>42881</v>
      </c>
      <c r="EN157" s="535">
        <f t="shared" si="358"/>
        <v>52.398251525603605</v>
      </c>
      <c r="EO157" s="535">
        <f t="shared" si="359"/>
        <v>81.060095110108776</v>
      </c>
      <c r="EP157" s="535">
        <v>0</v>
      </c>
      <c r="EQ157" s="535">
        <v>0</v>
      </c>
      <c r="ER157" s="535">
        <v>0</v>
      </c>
      <c r="ES157" s="521">
        <f t="shared" si="381"/>
        <v>1.1079807412926517</v>
      </c>
      <c r="ET157" s="535">
        <f>-(VLOOKUP(Sheet1!BQ155,Lookup!$O$4:$Q$262,2)-VLOOKUP(Sheet1!BQ154,Lookup!$O$4:$Q$262,2))/1000000</f>
        <v>0.55390065081694351</v>
      </c>
      <c r="EU157" s="535">
        <f>-(VLOOKUP(Sheet1!BR155,Lookup!$O$4:$Q$262,3)-VLOOKUP(Sheet1!BR154,Lookup!$O$4:$Q$262,3))/1000000</f>
        <v>0.55408009047570828</v>
      </c>
      <c r="EV157" s="535"/>
      <c r="EW157" s="535"/>
      <c r="EX157" s="535"/>
      <c r="EY157" s="535"/>
      <c r="EZ157" s="535"/>
      <c r="FA157" s="535"/>
      <c r="FB157" s="535"/>
      <c r="FC157" s="535"/>
      <c r="FD157" s="567" t="e">
        <f t="shared" si="360"/>
        <v>#N/A</v>
      </c>
      <c r="FE157" s="567" t="e">
        <f t="shared" si="361"/>
        <v>#N/A</v>
      </c>
      <c r="FF157" s="568" t="e">
        <f t="shared" si="362"/>
        <v>#N/A</v>
      </c>
      <c r="FG157" s="569" t="s">
        <v>656</v>
      </c>
      <c r="FH157" s="569" t="s">
        <v>656</v>
      </c>
      <c r="FI157" s="567" t="e">
        <v>#N/A</v>
      </c>
      <c r="FJ157" s="567" t="e">
        <v>#N/A</v>
      </c>
      <c r="FK157" s="535"/>
      <c r="FL157" s="1015">
        <v>0</v>
      </c>
      <c r="FM157" s="535"/>
      <c r="FN157" s="535"/>
      <c r="FO157" s="535">
        <f>O157+((Sheet1!CS155)*GPMtoMGD)</f>
        <v>71.739823999999999</v>
      </c>
      <c r="FP157" s="535">
        <f>IF(Sheet1!AA155+AQ157&lt;=Calculation!N157,AQ157,Calculation!N157-Sheet1!AA155)</f>
        <v>25.60825152560361</v>
      </c>
      <c r="FQ157" s="535">
        <f>(Sheet1!BP155+Sheet1!BO155)/694.4</f>
        <v>2.3677995391705071</v>
      </c>
      <c r="FR157" s="541"/>
      <c r="FS157" s="541"/>
      <c r="FT157" s="541"/>
      <c r="FU157" s="541"/>
      <c r="FV157" s="1109">
        <f t="shared" si="382"/>
        <v>42918</v>
      </c>
      <c r="FW157" s="1109">
        <f t="shared" si="383"/>
        <v>43027</v>
      </c>
      <c r="FX157" s="541"/>
      <c r="FY157" s="541">
        <f>Sheet1!DA155-Sheet1!CZ155-Sheet1!AE155</f>
        <v>256.89245</v>
      </c>
      <c r="FZ157" s="535">
        <f t="shared" si="420"/>
        <v>0.18857754707796393</v>
      </c>
      <c r="GA157" s="535"/>
      <c r="GB157" s="535" t="str">
        <f t="shared" si="384"/>
        <v>n</v>
      </c>
      <c r="GC157" s="539">
        <f t="shared" si="385"/>
        <v>42782</v>
      </c>
      <c r="GD157" s="1109">
        <f t="shared" si="386"/>
        <v>42904</v>
      </c>
      <c r="GE157" s="535">
        <f t="shared" si="404"/>
        <v>6520</v>
      </c>
      <c r="GF157" s="1109">
        <f t="shared" si="387"/>
        <v>42909</v>
      </c>
      <c r="GG157" s="535">
        <f t="shared" si="432"/>
        <v>3260</v>
      </c>
      <c r="GH157" s="539">
        <f t="shared" si="388"/>
        <v>43040</v>
      </c>
      <c r="GJ157" s="521">
        <f t="shared" si="389"/>
        <v>0</v>
      </c>
      <c r="GK157" s="535" t="str">
        <f t="shared" si="363"/>
        <v/>
      </c>
      <c r="GL157" s="535">
        <f t="shared" si="390"/>
        <v>0</v>
      </c>
      <c r="GM157" s="535" t="str">
        <f t="shared" si="391"/>
        <v/>
      </c>
      <c r="GN157" s="535">
        <f>IF(GK157="P",Lookup!$M$12,IF(GK157="PP",Lookup!$M$13,IF(GK157="PPP",Lookup!$M$14,IF(GK157="T",Lookup!$M$15,IF(GK157="TP",Lookup!$M$16,IF(GK157="TPP",Lookup!$M$17,IF(GK157="TPPP",Lookup!$M$18,0)))))))*GJ157</f>
        <v>0</v>
      </c>
      <c r="GO157" s="535">
        <f t="shared" si="392"/>
        <v>0</v>
      </c>
      <c r="GP157" s="535">
        <f t="shared" si="364"/>
        <v>8263.1466666666747</v>
      </c>
      <c r="GQ157" s="535">
        <f t="shared" si="403"/>
        <v>2693.3333333333358</v>
      </c>
      <c r="GR157" s="535"/>
      <c r="GS157" s="535">
        <f t="shared" si="393"/>
        <v>0</v>
      </c>
      <c r="GT157" s="535" t="str">
        <f t="shared" si="394"/>
        <v/>
      </c>
      <c r="GU157" s="535">
        <f>IF(GK157="P",Lookup!$N$12,IF(GK157="PP",Lookup!$N$13,IF(GK157="PPP",Lookup!$N$14,IF(GK157="T",Lookup!$N$15,IF(GK157="TP",Lookup!$N$16,IF(GK157="TPP",Lookup!$N$17,IF(GK157="TPPP",Lookup!$N$18,0)))))))*GJ157</f>
        <v>0</v>
      </c>
      <c r="GV157" s="535">
        <f t="shared" si="395"/>
        <v>0</v>
      </c>
      <c r="GW157" s="535">
        <f t="shared" si="365"/>
        <v>3544.6708834469619</v>
      </c>
      <c r="GX157" s="535">
        <f t="shared" si="400"/>
        <v>1155.3686060778884</v>
      </c>
      <c r="GY157" s="535"/>
      <c r="GZ157" s="535">
        <f t="shared" si="396"/>
        <v>0</v>
      </c>
      <c r="HA157" s="535" t="str">
        <f t="shared" si="397"/>
        <v/>
      </c>
      <c r="HB157" s="535">
        <f>IF(GK157="P",Lookup!$N$12,IF(GK157="PP",Lookup!$N$13,IF(GK157="PPP",Lookup!$N$14,IF(GK157="T",Lookup!$N$15,IF(GK157="TP",Lookup!$N$16,IF(GK157="TPP",Lookup!$N$17,IF(GK157="TPPP",Lookup!$N$18,0)))))))*GJ157</f>
        <v>0</v>
      </c>
      <c r="HC157" s="521">
        <f t="shared" si="366"/>
        <v>0</v>
      </c>
      <c r="HD157" s="535">
        <f t="shared" si="367"/>
        <v>2809.7632439576309</v>
      </c>
      <c r="HE157" s="535">
        <f t="shared" si="401"/>
        <v>915.82895826519905</v>
      </c>
      <c r="HF157" s="535"/>
      <c r="HG157" s="535">
        <f t="shared" si="398"/>
        <v>0</v>
      </c>
      <c r="HH157" s="535" t="str">
        <f t="shared" si="399"/>
        <v/>
      </c>
      <c r="HI157" s="535">
        <f>IF(GK157="P",Lookup!$N$12,IF(GK157="PP",Lookup!$N$13,IF(GK157="PPP",Lookup!$N$14,IF(GK157="T",Lookup!$N$15,IF(GK157="TP",Lookup!$N$16,IF(GK157="TPP",Lookup!$N$17,IF(GK157="TPPP",Lookup!$N$18,0)))))))*GJ157</f>
        <v>0</v>
      </c>
      <c r="HJ157" s="521">
        <f t="shared" si="368"/>
        <v>0</v>
      </c>
      <c r="HK157" s="535">
        <f t="shared" si="369"/>
        <v>1853.1380787970663</v>
      </c>
      <c r="HL157" s="535">
        <f t="shared" si="402"/>
        <v>604.02153806944796</v>
      </c>
      <c r="HM157" s="535"/>
      <c r="HN157" s="541"/>
      <c r="HO157" s="541"/>
      <c r="HP157" s="541"/>
      <c r="HQ157" s="541">
        <f>IF(AND(B157&gt;=$FV$4,B157&lt;=$FW$4),MAX(110/1.02+$HQ$6+MIN(113/1.02,G157),IF($HV$6-(Sheet1!DA155-Sheet1!DB155)+MIN(113/1.02,G157)&lt;G157+FL157,$HV$6-(Sheet1!DA155-Sheet1!DB155)+MIN(113/1.02,G157),G157+FL157)),MIN(110/1.02+$HQ$6+113/1.02,G157))</f>
        <v>218.62745098039215</v>
      </c>
      <c r="HR157" s="541">
        <f t="shared" si="421"/>
        <v>223</v>
      </c>
      <c r="HS157" s="541">
        <f>HR157+(Sheet1!DA155-Sheet1!DB155)</f>
        <v>703</v>
      </c>
      <c r="HT157" s="541">
        <f t="shared" si="422"/>
        <v>84.249620000000007</v>
      </c>
      <c r="HU157" s="541">
        <f t="shared" si="423"/>
        <v>618.75037999999995</v>
      </c>
      <c r="HV157" s="541">
        <f t="shared" si="424"/>
        <v>0</v>
      </c>
      <c r="HW157" s="533" t="str">
        <f t="shared" si="425"/>
        <v/>
      </c>
      <c r="HX157" s="541">
        <f t="shared" si="426"/>
        <v>1071.372549019608</v>
      </c>
      <c r="HY157" s="541">
        <f>Sheet1!CZ155</f>
        <v>1290</v>
      </c>
      <c r="HZ157" s="541">
        <f t="shared" si="427"/>
        <v>0</v>
      </c>
      <c r="IA157" s="541">
        <f t="shared" si="428"/>
        <v>84.249620000000007</v>
      </c>
      <c r="IB157" s="541">
        <f t="shared" si="429"/>
        <v>1290</v>
      </c>
      <c r="IC157" s="1019" t="str">
        <f t="shared" si="430"/>
        <v/>
      </c>
      <c r="ID157" s="541">
        <f t="shared" si="431"/>
        <v>1205.75038</v>
      </c>
      <c r="IE157" s="541">
        <f>Sheet1!DB155</f>
        <v>1170</v>
      </c>
      <c r="IF157" s="533">
        <f>Sheet1!DA155</f>
        <v>1650</v>
      </c>
      <c r="IH157" s="541">
        <f>IF(AND($B157&gt;=$GC157,$B157&lt;=$GH157,$DR157&lt;0)+N("only adjusted when pool is drawn down during storage season"),Sheet1!$DB155+$DR157+N("Palmer minus all storage release"),Sheet1!$DB155)</f>
        <v>1170</v>
      </c>
      <c r="II157" s="541">
        <f>IF(AND($B157&gt;=$GC157,$B157&lt;=$GH157,$DR157&lt;0)+N("only adjusted when pool is drawn down during storage season"),Sheet1!$DA155+$DR157+N("Auburn minus all storage release"),Sheet1!$DA155)</f>
        <v>1650</v>
      </c>
    </row>
    <row r="158" spans="1:243" ht="13.5" customHeight="1" x14ac:dyDescent="0.25">
      <c r="A158" s="553" t="s">
        <v>9</v>
      </c>
      <c r="B158" s="531">
        <v>42882</v>
      </c>
      <c r="C158" s="536">
        <v>0</v>
      </c>
      <c r="D158" s="506">
        <f t="shared" si="371"/>
        <v>300</v>
      </c>
      <c r="E158" s="506">
        <f t="shared" si="372"/>
        <v>250</v>
      </c>
      <c r="F158" s="506">
        <v>250</v>
      </c>
      <c r="G158" s="535">
        <f>DR158+Sheet1!CZ156</f>
        <v>1512.8441754914159</v>
      </c>
      <c r="H158" s="1074">
        <f t="shared" si="405"/>
        <v>630.2366968959999</v>
      </c>
      <c r="I158" s="534">
        <f>IF(Sheet1!DA156&gt;=E158,(Sheet1!DA156-E158+P158)*CFStoMGD,0)</f>
        <v>940.50869689599995</v>
      </c>
      <c r="J158" s="995">
        <f>IF(Sheet1!DB156&gt;=D158,(Sheet1!DB156-D158+P158)*CFStoMGD,0)</f>
        <v>630.2366968959999</v>
      </c>
      <c r="K158" s="818">
        <f t="shared" si="406"/>
        <v>64.64</v>
      </c>
      <c r="L158" s="535">
        <f>Sheet1!AA156+Sheet1!AB156-Sheet1!L156+(Sheet1!DA156-F158)*CFStoMGD-S158-T158-U158</f>
        <v>875.87</v>
      </c>
      <c r="M158" s="535">
        <f t="shared" si="309"/>
        <v>997.46052453840423</v>
      </c>
      <c r="N158" s="824">
        <f>IF(Sheet1!DA156&gt;=F158,MIN(113*CFStoMGD,MIN(MAX(L158,0),MAX(M158,0))),0)</f>
        <v>73.043199999999999</v>
      </c>
      <c r="O158" s="538">
        <f>Sheet1!AA156+Sheet1!AB156</f>
        <v>67.87</v>
      </c>
      <c r="P158" s="538">
        <f t="shared" si="310"/>
        <v>104.99489</v>
      </c>
      <c r="Q158" s="812">
        <f t="shared" si="407"/>
        <v>54.460000000000008</v>
      </c>
      <c r="R158" s="812">
        <f t="shared" si="373"/>
        <v>13.406366838255217</v>
      </c>
      <c r="S158" s="812">
        <f t="shared" si="374"/>
        <v>13.41</v>
      </c>
      <c r="T158" s="812">
        <f t="shared" si="375"/>
        <v>51.230000000000004</v>
      </c>
      <c r="U158" s="812">
        <f t="shared" si="408"/>
        <v>0</v>
      </c>
      <c r="V158" s="812"/>
      <c r="W158" s="812">
        <f t="shared" si="376"/>
        <v>51.233633161744784</v>
      </c>
      <c r="X158" s="812">
        <f t="shared" si="377"/>
        <v>64.64</v>
      </c>
      <c r="Y158" s="812" t="str">
        <f t="shared" si="378"/>
        <v>FALSE</v>
      </c>
      <c r="Z158" s="812">
        <f t="shared" si="379"/>
        <v>67.87</v>
      </c>
      <c r="AA158" s="812">
        <f t="shared" si="380"/>
        <v>67.87</v>
      </c>
      <c r="AB158" s="1059">
        <f t="shared" si="409"/>
        <v>84.249620000000007</v>
      </c>
      <c r="AC158" s="538">
        <f>Sheet1!Y156*MGDtoCFS</f>
        <v>44.553599999999996</v>
      </c>
      <c r="AD158" s="538">
        <f>Sheet1!Z156*MGDtoCFS</f>
        <v>58.55395</v>
      </c>
      <c r="AE158" s="538">
        <f>Sheet1!AA156*MGDtoCFS</f>
        <v>47.910589999999999</v>
      </c>
      <c r="AF158" s="538">
        <f>Sheet1!AB156*MGDtoCFS</f>
        <v>57.084299999999992</v>
      </c>
      <c r="AG158" s="538">
        <f>Sheet1!L156*MGDtoCFS</f>
        <v>0</v>
      </c>
      <c r="AH158" s="521">
        <f t="shared" si="311"/>
        <v>0</v>
      </c>
      <c r="AI158" s="1059">
        <f t="shared" si="312"/>
        <v>0</v>
      </c>
      <c r="AJ158" s="535">
        <f t="shared" si="313"/>
        <v>51.233633161744784</v>
      </c>
      <c r="AK158" s="535">
        <f t="shared" si="314"/>
        <v>79.258430501219181</v>
      </c>
      <c r="AL158" s="535">
        <f>(VLOOKUP(Sheet1!DC156,hhdcap_wcm,4)-(((VLOOKUP(Sheet1!DC156,hhdcap_wcm,3)-Sheet1!DC156)/(VLOOKUP(Sheet1!DC156,hhdcap_wcm,3)-VLOOKUP(Sheet1!DC156,hhdcap_wcm,1)))*(VLOOKUP(Sheet1!DC156,hhdcap_wcm,4)-VLOOKUP(Sheet1!DC156,hhdcap_wcm,2))))</f>
        <v>46696.000000112799</v>
      </c>
      <c r="AM158" s="535">
        <f t="shared" si="315"/>
        <v>441.89999999947759</v>
      </c>
      <c r="AN158" s="1035">
        <f t="shared" si="316"/>
        <v>5443.1194022409472</v>
      </c>
      <c r="AO158" s="535">
        <f t="shared" si="317"/>
        <v>16699.490326075225</v>
      </c>
      <c r="AP158" s="535">
        <f>Sheet1!BA156+Sheet1!BB156+Sheet1!BN156+CD158</f>
        <v>23.5</v>
      </c>
      <c r="AQ158" s="535">
        <f>Sheet1!BN156+(DO158*Sheet1!BN156)</f>
        <v>23.493633161744786</v>
      </c>
      <c r="AR158" s="535">
        <f>Sheet1!BA156+CD158</f>
        <v>0</v>
      </c>
      <c r="AS158" s="535">
        <f>Sheet1!BA156+Sheet1!BB156+CD158</f>
        <v>0</v>
      </c>
      <c r="AT158" s="649">
        <f>0</f>
        <v>0</v>
      </c>
      <c r="AU158" s="535">
        <f>IF(EB158&lt;K158,0,MAX(Sheet1!AA156+AQ158-15/36*K158-N158,Sheet1!EH156,0))</f>
        <v>0</v>
      </c>
      <c r="AV158" s="535">
        <f>IF(OR(B158&gt;=GD158,B158&lt;GC158),0,15/36*K158-MAX(0,64.6-(137.6-(Sheet1!AA156+Sheet1!AB156))))</f>
        <v>26.933333333333334</v>
      </c>
      <c r="AW158" s="1029"/>
      <c r="AX158" s="649"/>
      <c r="AY158" s="649">
        <f t="shared" si="410"/>
        <v>0</v>
      </c>
      <c r="AZ158" s="649">
        <f t="shared" si="411"/>
        <v>0</v>
      </c>
      <c r="BA158" s="1059">
        <f t="shared" si="412"/>
        <v>0</v>
      </c>
      <c r="BB158" s="1019">
        <f t="shared" si="318"/>
        <v>2716.666666666667</v>
      </c>
      <c r="BC158" s="1041">
        <f t="shared" si="413"/>
        <v>26.933333333333334</v>
      </c>
      <c r="BD158" s="1019">
        <f ca="1">IF(B158&gt;Summary!$A$1,#N/A,BB158*MGtoAF)</f>
        <v>8334.7333333333336</v>
      </c>
      <c r="BE158" s="535">
        <f>Sheet1!BG156+Sheet1!BH156+Sheet1!BI156-BM158</f>
        <v>1.27</v>
      </c>
      <c r="BF158" s="535">
        <f t="shared" si="319"/>
        <v>1.2696559198049311</v>
      </c>
      <c r="BG158" s="535">
        <f>IF(Sheet1!EP156="FM",BM158,0)</f>
        <v>0</v>
      </c>
      <c r="BH158" s="535">
        <f t="shared" si="320"/>
        <v>0</v>
      </c>
      <c r="BI158" s="535">
        <f>IF(Sheet1!EP156="OTHER",BM158,0)</f>
        <v>0</v>
      </c>
      <c r="BJ158" s="535">
        <f t="shared" si="321"/>
        <v>0</v>
      </c>
      <c r="BK158" s="535">
        <f t="shared" si="322"/>
        <v>1.27</v>
      </c>
      <c r="BL158" s="535">
        <f t="shared" si="323"/>
        <v>1.2696559198049311</v>
      </c>
      <c r="BM158" s="535">
        <f>IF(OR(Sheet1!EP156="FM", Sheet1!EP156="OTHER"),SUM(Sheet1!BG156:'Sheet1'!BI156),0)</f>
        <v>0</v>
      </c>
      <c r="BN158" s="521">
        <f>IF(AND($B158&gt;=$FV158,$B158&lt;=$FW158),MAX(BF158,Sheet1!EI156,0),MAX(BF158-(7/36)*$K158,0))</f>
        <v>0</v>
      </c>
      <c r="BO158" s="535">
        <f t="shared" si="324"/>
        <v>11.299232969083958</v>
      </c>
      <c r="BP158" s="521">
        <f t="shared" si="325"/>
        <v>1.2696559198049311</v>
      </c>
      <c r="BQ158" s="521">
        <f>IF(AND($O158&gt;0,Sheet1!EM156=1),(1-($O158-Sheet1!$L156)/$O158)*BL158,0)</f>
        <v>0</v>
      </c>
      <c r="BR158" s="521">
        <f>IF(AND(Sheet1!$L156=0,Sheet1!$L155=0, Calculation!BK158&lt;Sheet1!$EI156-0.1,Sheet1!$EI156=Sheet1!$EI155,Sheet1!$EI156=Sheet1!$EI157),BL158-BQ158,BL158-BQ158)</f>
        <v>1.2696559198049311</v>
      </c>
      <c r="BS158" s="1035" t="str">
        <f t="shared" si="414"/>
        <v/>
      </c>
      <c r="BT158" s="1035">
        <f t="shared" si="415"/>
        <v>12.568888888888889</v>
      </c>
      <c r="BU158" s="535">
        <f t="shared" si="326"/>
        <v>1175.6456168247503</v>
      </c>
      <c r="BV158" s="535"/>
      <c r="BW158" s="535">
        <f ca="1">IF(B158&gt;Summary!$A$1,#N/A,BU158*MGtoAF)</f>
        <v>3606.8807524183339</v>
      </c>
      <c r="BX158" s="535">
        <f>Sheet1!BC156+Sheet1!BD156+Sheet1!BE156+Sheet1!BF156-CG158-CH158</f>
        <v>4.62</v>
      </c>
      <c r="BY158" s="535">
        <f t="shared" si="327"/>
        <v>4.6187483066919537</v>
      </c>
      <c r="BZ158" s="535">
        <f>IF(Sheet1!EQ156="FM",CH158,0)</f>
        <v>0</v>
      </c>
      <c r="CA158" s="535">
        <f t="shared" si="328"/>
        <v>0</v>
      </c>
      <c r="CB158" s="535">
        <f>IF(Sheet1!EQ156="OTHER",CH158,0)</f>
        <v>0</v>
      </c>
      <c r="CC158" s="535">
        <f t="shared" si="329"/>
        <v>0</v>
      </c>
      <c r="CD158" s="535">
        <f t="shared" si="330"/>
        <v>0</v>
      </c>
      <c r="CE158" s="535">
        <f t="shared" si="331"/>
        <v>4.62</v>
      </c>
      <c r="CF158" s="535">
        <f t="shared" si="332"/>
        <v>4.6187483066919537</v>
      </c>
      <c r="CG158" s="535">
        <f>IF(Sheet1!EQ156="CWA",SUM(Sheet1!BC156:'Sheet1'!BF156),0)</f>
        <v>0</v>
      </c>
      <c r="CH158" s="535">
        <f>IF(OR(Sheet1!EQ156="FM", Sheet1!EQ156="OTHER"),SUM(Sheet1!BC156:'Sheet1'!BF156),0)</f>
        <v>0</v>
      </c>
      <c r="CI158" s="521">
        <f>IF(AND($B158&gt;=$FV158,$B158&lt;=$FW158),MAX(CF158,Sheet1!EJ156,0),MAX(CF158-(7/36)*$K158,0))</f>
        <v>0</v>
      </c>
      <c r="CJ158" s="535">
        <f t="shared" si="333"/>
        <v>7.9501405821969353</v>
      </c>
      <c r="CK158" s="521">
        <f t="shared" si="334"/>
        <v>4.6187483066919537</v>
      </c>
      <c r="CL158" s="521">
        <f>IF(AND($O158&gt;0,Sheet1!EN156=1),(1-($O158-Sheet1!$L156)/$O158)*CF158,0)</f>
        <v>0</v>
      </c>
      <c r="CM158" s="521">
        <f>IF(AND(Sheet1!$L156=0,Sheet1!$L155=0, Calculation!CE158&lt;Sheet1!EJ156-0.1,Sheet1!EJ156=Sheet1!EJ155,Sheet1!EJ156=Sheet1!EJ157),CF158-CL158,CF158-CL158)</f>
        <v>4.6187483066919537</v>
      </c>
      <c r="CN158" s="1040" t="str">
        <f t="shared" si="416"/>
        <v/>
      </c>
      <c r="CO158" s="1035">
        <f t="shared" si="417"/>
        <v>12.568888888888889</v>
      </c>
      <c r="CP158" s="535">
        <f t="shared" si="335"/>
        <v>932.75687662517373</v>
      </c>
      <c r="CQ158" s="535"/>
      <c r="CR158" s="535">
        <f ca="1">IF(B158&gt;Summary!$A$1,#N/A,CP158*MGtoAF)</f>
        <v>2861.698097486033</v>
      </c>
      <c r="CS158" s="535">
        <f>Sheet1!BK156+Sheet1!BL156+Sheet1!BM156-Sheet1!ER156-DA158</f>
        <v>7.52</v>
      </c>
      <c r="CT158" s="535">
        <f t="shared" si="336"/>
        <v>7.5179626117583309</v>
      </c>
      <c r="CU158" s="535">
        <f>IF(Sheet1!ER156="FM",DA158,0)</f>
        <v>0</v>
      </c>
      <c r="CV158" s="535">
        <f t="shared" si="337"/>
        <v>0</v>
      </c>
      <c r="CW158" s="535">
        <f>IF(Sheet1!ER156="OTHER",DA158,0)</f>
        <v>0</v>
      </c>
      <c r="CX158" s="535">
        <f t="shared" si="338"/>
        <v>0</v>
      </c>
      <c r="CY158" s="535">
        <f t="shared" si="339"/>
        <v>7.52</v>
      </c>
      <c r="CZ158" s="535">
        <f t="shared" si="340"/>
        <v>7.5179626117583309</v>
      </c>
      <c r="DA158" s="535">
        <f>IF(OR(Sheet1!ER156="FM", Sheet1!ER156="OTHER"),SUM(Sheet1!BK156:'Sheet1'!BM156),0)</f>
        <v>0</v>
      </c>
      <c r="DB158" s="1011">
        <f>IF(AND($B158&gt;=$FV158,$B158&lt;=$FW158),MAX($CT158,Sheet1!EK156,0),MAX($CT158-(7/36)*$K158,0))</f>
        <v>0</v>
      </c>
      <c r="DC158" s="1012">
        <f t="shared" si="341"/>
        <v>5.0509262771305581</v>
      </c>
      <c r="DD158" s="1011">
        <f t="shared" si="342"/>
        <v>7.5179626117583309</v>
      </c>
      <c r="DE158" s="521">
        <f>IF(AND($O158&gt;0,Sheet1!EO156=1),(1-($O158-Sheet1!$L156)/$O158)*CZ158,0)</f>
        <v>0</v>
      </c>
      <c r="DF158" s="521">
        <f>IF(AND(Sheet1!$L156=0,Sheet1!$L155=0, Calculation!CY158&lt;Sheet1!$EK156-0.1,Sheet1!$EK156=Sheet1!$EK155,Sheet1!$EK156=Sheet1!$EK157),CZ158-DE158,CZ158-DE158)</f>
        <v>7.5179626117583309</v>
      </c>
      <c r="DG158" s="1040">
        <f t="shared" si="418"/>
        <v>12.568888888888889</v>
      </c>
      <c r="DH158" s="649">
        <f t="shared" si="343"/>
        <v>13.41</v>
      </c>
      <c r="DI158" s="535">
        <f t="shared" si="344"/>
        <v>618.05024212435626</v>
      </c>
      <c r="DJ158" s="649">
        <f t="shared" si="345"/>
        <v>13.406366838255217</v>
      </c>
      <c r="DK158" s="535">
        <f ca="1">IF(B158&gt;Summary!$A$1,#N/A,DI158*MGtoAF)</f>
        <v>1896.178142837525</v>
      </c>
      <c r="DL158" s="649">
        <f t="shared" si="346"/>
        <v>13.41</v>
      </c>
      <c r="DM158" s="535">
        <f t="shared" si="347"/>
        <v>36.909999999999997</v>
      </c>
      <c r="DN158" s="535">
        <f>Sheet1!AB156-DM158</f>
        <v>-9.9999999999980105E-3</v>
      </c>
      <c r="DO158" s="743">
        <f t="shared" si="348"/>
        <v>-2.7092928745592012E-4</v>
      </c>
      <c r="DP158" s="535">
        <f>(VLOOKUP(Sheet1!DC156,hhdcap_wcm,4)-(((VLOOKUP(Sheet1!DC156,hhdcap_wcm,3)-Sheet1!DC156)/(VLOOKUP(Sheet1!DC156,hhdcap_wcm,3)-VLOOKUP(Sheet1!DC156,hhdcap_wcm,1)))*(VLOOKUP(Sheet1!DC156,hhdcap_wcm,4)-VLOOKUP(Sheet1!DC156,hhdcap_wcm,2))))</f>
        <v>46696.000000112799</v>
      </c>
      <c r="DQ158" s="535">
        <f t="shared" si="349"/>
        <v>441.89999999947759</v>
      </c>
      <c r="DR158" s="535">
        <f t="shared" si="350"/>
        <v>222.8441754914158</v>
      </c>
      <c r="DS158" s="535">
        <f>Sheet1!EA156*AFtoMG</f>
        <v>0</v>
      </c>
      <c r="DT158" s="535">
        <f>Sheet1!EB156*AFtoMG</f>
        <v>0</v>
      </c>
      <c r="DU158" s="535">
        <f>Sheet1!EC156*AFtoMG</f>
        <v>0</v>
      </c>
      <c r="DV158" s="535">
        <f>Sheet1!ED156*AFtoMG</f>
        <v>0</v>
      </c>
      <c r="DW158" s="535">
        <f t="shared" si="351"/>
        <v>0</v>
      </c>
      <c r="DX158" s="535">
        <f t="shared" si="352"/>
        <v>0</v>
      </c>
      <c r="DY158" s="535">
        <f t="shared" si="353"/>
        <v>5443.1194022409472</v>
      </c>
      <c r="DZ158" s="535">
        <f t="shared" si="354"/>
        <v>16699.490326075225</v>
      </c>
      <c r="EA158" s="535"/>
      <c r="EB158" s="521">
        <f>IF(OR(B158&lt;FV158,B158&gt;FW158),(MIN(BF158+BY158+CT158+MAX(Sheet1!AA156+AQ158-73,0),K158)),0)</f>
        <v>13.406366838255217</v>
      </c>
      <c r="EC158" s="535"/>
      <c r="ED158" s="535">
        <f t="shared" si="355"/>
        <v>13.406366838255215</v>
      </c>
      <c r="EE158" s="535"/>
      <c r="EF158" s="535">
        <f>Sheet1!EH156+Sheet1!EI156+Sheet1!EJ156+Sheet1!EK156</f>
        <v>14</v>
      </c>
      <c r="EG158" s="1019">
        <f t="shared" si="419"/>
        <v>21.657999999999998</v>
      </c>
      <c r="EH158" s="521">
        <f t="shared" si="356"/>
        <v>0</v>
      </c>
      <c r="EI158" s="535">
        <f>IF(Sheet1!ET156=1,SUM('Calculations II'!AT158:BA158)+'Calculations II'!BC158+Sheet1!BV156+'Calculations II'!BE158+AP158,'Calculations II'!BK158)</f>
        <v>59.258337161744791</v>
      </c>
      <c r="EJ158" s="535">
        <f ca="1">EI158+'Calculations II'!D158+'Calculations II'!E158+'Calculations II'!O158</f>
        <v>59.976172244361692</v>
      </c>
      <c r="EK158" s="535"/>
      <c r="EL158" s="535"/>
      <c r="EM158" s="535">
        <f t="shared" si="357"/>
        <v>42882</v>
      </c>
      <c r="EN158" s="535">
        <f t="shared" si="358"/>
        <v>51.233633161744784</v>
      </c>
      <c r="EO158" s="535">
        <f t="shared" si="359"/>
        <v>79.258430501219181</v>
      </c>
      <c r="EP158" s="535">
        <v>0</v>
      </c>
      <c r="EQ158" s="535">
        <v>0</v>
      </c>
      <c r="ER158" s="535">
        <v>0</v>
      </c>
      <c r="ES158" s="521">
        <f t="shared" si="381"/>
        <v>0</v>
      </c>
      <c r="ET158" s="535">
        <f>-(VLOOKUP(Sheet1!BQ156,Lookup!$O$4:$Q$262,2)-VLOOKUP(Sheet1!BQ155,Lookup!$O$4:$Q$262,2))/1000000</f>
        <v>0</v>
      </c>
      <c r="EU158" s="535">
        <f>-(VLOOKUP(Sheet1!BR156,Lookup!$O$4:$Q$262,3)-VLOOKUP(Sheet1!BR155,Lookup!$O$4:$Q$262,3))/1000000</f>
        <v>0</v>
      </c>
      <c r="EV158" s="535"/>
      <c r="EW158" s="535"/>
      <c r="EX158" s="535"/>
      <c r="EY158" s="535"/>
      <c r="EZ158" s="535"/>
      <c r="FA158" s="535"/>
      <c r="FB158" s="535"/>
      <c r="FC158" s="535"/>
      <c r="FD158" s="567" t="e">
        <f t="shared" si="360"/>
        <v>#N/A</v>
      </c>
      <c r="FE158" s="567" t="e">
        <f t="shared" si="361"/>
        <v>#N/A</v>
      </c>
      <c r="FF158" s="568" t="e">
        <f t="shared" si="362"/>
        <v>#N/A</v>
      </c>
      <c r="FG158" s="569" t="s">
        <v>656</v>
      </c>
      <c r="FH158" s="569" t="s">
        <v>656</v>
      </c>
      <c r="FI158" s="567" t="e">
        <v>#N/A</v>
      </c>
      <c r="FJ158" s="567" t="e">
        <v>#N/A</v>
      </c>
      <c r="FK158" s="535"/>
      <c r="FL158" s="1015">
        <v>0</v>
      </c>
      <c r="FM158" s="535"/>
      <c r="FN158" s="535"/>
      <c r="FO158" s="535">
        <f>O158+((Sheet1!CS156)*GPMtoMGD)</f>
        <v>72.940672000000006</v>
      </c>
      <c r="FP158" s="535">
        <f>IF(Sheet1!AA156+AQ158&lt;=Calculation!N158,AQ158,Calculation!N158-Sheet1!AA156)</f>
        <v>23.493633161744786</v>
      </c>
      <c r="FQ158" s="535">
        <f>(Sheet1!BP156+Sheet1!BO156)/694.4</f>
        <v>2.4847350230414751</v>
      </c>
      <c r="FR158" s="541"/>
      <c r="FS158" s="541"/>
      <c r="FT158" s="541"/>
      <c r="FU158" s="541"/>
      <c r="FV158" s="1109">
        <f t="shared" si="382"/>
        <v>42918</v>
      </c>
      <c r="FW158" s="1109">
        <f t="shared" si="383"/>
        <v>43027</v>
      </c>
      <c r="FX158" s="541"/>
      <c r="FY158" s="541">
        <f>Sheet1!DA156-Sheet1!CZ156-Sheet1!AE156</f>
        <v>205.00511</v>
      </c>
      <c r="FZ158" s="535">
        <f t="shared" si="420"/>
        <v>0.13550973280735168</v>
      </c>
      <c r="GA158" s="535"/>
      <c r="GB158" s="535" t="str">
        <f t="shared" si="384"/>
        <v>n</v>
      </c>
      <c r="GC158" s="539">
        <f t="shared" si="385"/>
        <v>42782</v>
      </c>
      <c r="GD158" s="1109">
        <f t="shared" si="386"/>
        <v>42904</v>
      </c>
      <c r="GE158" s="535">
        <f t="shared" si="404"/>
        <v>6520</v>
      </c>
      <c r="GF158" s="1109">
        <f t="shared" si="387"/>
        <v>42909</v>
      </c>
      <c r="GG158" s="535">
        <f t="shared" si="432"/>
        <v>3260</v>
      </c>
      <c r="GH158" s="539">
        <f t="shared" si="388"/>
        <v>43040</v>
      </c>
      <c r="GJ158" s="521">
        <f t="shared" si="389"/>
        <v>26.933333333333334</v>
      </c>
      <c r="GK158" s="535" t="str">
        <f t="shared" si="363"/>
        <v>PPP</v>
      </c>
      <c r="GL158" s="535">
        <f t="shared" si="390"/>
        <v>26.933333333333334</v>
      </c>
      <c r="GM158" s="535" t="str">
        <f t="shared" si="391"/>
        <v/>
      </c>
      <c r="GN158" s="535">
        <f>IF(GK158="P",Lookup!$M$12,IF(GK158="PP",Lookup!$M$13,IF(GK158="PPP",Lookup!$M$14,IF(GK158="T",Lookup!$M$15,IF(GK158="TP",Lookup!$M$16,IF(GK158="TPP",Lookup!$M$17,IF(GK158="TPPP",Lookup!$M$18,0)))))))*GJ158</f>
        <v>0</v>
      </c>
      <c r="GO158" s="535">
        <f t="shared" si="392"/>
        <v>0</v>
      </c>
      <c r="GP158" s="535">
        <f t="shared" si="364"/>
        <v>8334.7333333333336</v>
      </c>
      <c r="GQ158" s="535">
        <f t="shared" si="403"/>
        <v>2716.666666666667</v>
      </c>
      <c r="GR158" s="535"/>
      <c r="GS158" s="535">
        <f t="shared" si="393"/>
        <v>0</v>
      </c>
      <c r="GT158" s="535" t="str">
        <f t="shared" si="394"/>
        <v>P</v>
      </c>
      <c r="GU158" s="535">
        <f>IF(GK158="P",Lookup!$N$12,IF(GK158="PP",Lookup!$N$13,IF(GK158="PPP",Lookup!$N$14,IF(GK158="T",Lookup!$N$15,IF(GK158="TP",Lookup!$N$16,IF(GK158="TPP",Lookup!$N$17,IF(GK158="TPPP",Lookup!$N$18,0)))))))*GJ158</f>
        <v>8.9777777777777779</v>
      </c>
      <c r="GV158" s="535">
        <f t="shared" si="395"/>
        <v>8.9777777777777779</v>
      </c>
      <c r="GW158" s="535">
        <f t="shared" si="365"/>
        <v>3579.3369301961116</v>
      </c>
      <c r="GX158" s="535">
        <f t="shared" si="400"/>
        <v>1166.6678390469724</v>
      </c>
      <c r="GY158" s="535"/>
      <c r="GZ158" s="535">
        <f t="shared" si="396"/>
        <v>0</v>
      </c>
      <c r="HA158" s="535" t="str">
        <f t="shared" si="397"/>
        <v>P</v>
      </c>
      <c r="HB158" s="535">
        <f>IF(GK158="P",Lookup!$N$12,IF(GK158="PP",Lookup!$N$13,IF(GK158="PPP",Lookup!$N$14,IF(GK158="T",Lookup!$N$15,IF(GK158="TP",Lookup!$N$16,IF(GK158="TPP",Lookup!$N$17,IF(GK158="TPPP",Lookup!$N$18,0)))))))*GJ158</f>
        <v>8.9777777777777779</v>
      </c>
      <c r="HC158" s="521">
        <f t="shared" si="366"/>
        <v>8.9777777777777779</v>
      </c>
      <c r="HD158" s="535">
        <f t="shared" si="367"/>
        <v>2834.1542752638111</v>
      </c>
      <c r="HE158" s="535">
        <f t="shared" si="401"/>
        <v>923.77909884739597</v>
      </c>
      <c r="HF158" s="535"/>
      <c r="HG158" s="535">
        <f t="shared" si="398"/>
        <v>0</v>
      </c>
      <c r="HH158" s="535" t="str">
        <f t="shared" si="399"/>
        <v>P</v>
      </c>
      <c r="HI158" s="535">
        <f>IF(GK158="P",Lookup!$N$12,IF(GK158="PP",Lookup!$N$13,IF(GK158="PPP",Lookup!$N$14,IF(GK158="T",Lookup!$N$15,IF(GK158="TP",Lookup!$N$16,IF(GK158="TPP",Lookup!$N$17,IF(GK158="TPPP",Lookup!$N$18,0)))))))*GJ158</f>
        <v>8.9777777777777779</v>
      </c>
      <c r="HJ158" s="521">
        <f t="shared" si="368"/>
        <v>8.9777777777777779</v>
      </c>
      <c r="HK158" s="535">
        <f t="shared" si="369"/>
        <v>1868.6343206153028</v>
      </c>
      <c r="HL158" s="535">
        <f t="shared" si="402"/>
        <v>609.0724643465785</v>
      </c>
      <c r="HM158" s="535"/>
      <c r="HN158" s="541"/>
      <c r="HO158" s="541"/>
      <c r="HP158" s="541"/>
      <c r="HQ158" s="541">
        <f>IF(AND(B158&gt;=$FV$4,B158&lt;=$FW$4),MAX(110/1.02+$HQ$6+MIN(113/1.02,G158),IF($HV$6-(Sheet1!DA156-Sheet1!DB156)+MIN(113/1.02,G158)&lt;G158+FL158,$HV$6-(Sheet1!DA156-Sheet1!DB156)+MIN(113/1.02,G158),G158+FL158)),MIN(110/1.02+$HQ$6+113/1.02,G158))</f>
        <v>218.62745098039215</v>
      </c>
      <c r="HR158" s="541">
        <f t="shared" si="421"/>
        <v>223</v>
      </c>
      <c r="HS158" s="541">
        <f>HR158+(Sheet1!DA156-Sheet1!DB156)</f>
        <v>653</v>
      </c>
      <c r="HT158" s="541">
        <f t="shared" si="422"/>
        <v>84.249620000000007</v>
      </c>
      <c r="HU158" s="541">
        <f t="shared" si="423"/>
        <v>568.75037999999995</v>
      </c>
      <c r="HV158" s="541">
        <f t="shared" si="424"/>
        <v>0</v>
      </c>
      <c r="HW158" s="533" t="str">
        <f t="shared" si="425"/>
        <v/>
      </c>
      <c r="HX158" s="541">
        <f t="shared" si="426"/>
        <v>1071.372549019608</v>
      </c>
      <c r="HY158" s="541">
        <f>Sheet1!CZ156</f>
        <v>1290</v>
      </c>
      <c r="HZ158" s="541">
        <f t="shared" si="427"/>
        <v>0</v>
      </c>
      <c r="IA158" s="541">
        <f t="shared" si="428"/>
        <v>84.249620000000007</v>
      </c>
      <c r="IB158" s="541">
        <f t="shared" si="429"/>
        <v>1290</v>
      </c>
      <c r="IC158" s="1019" t="str">
        <f t="shared" si="430"/>
        <v/>
      </c>
      <c r="ID158" s="541">
        <f t="shared" si="431"/>
        <v>1205.75038</v>
      </c>
      <c r="IE158" s="541">
        <f>Sheet1!DB156</f>
        <v>1170</v>
      </c>
      <c r="IF158" s="533">
        <f>Sheet1!DA156</f>
        <v>1600</v>
      </c>
      <c r="IH158" s="541">
        <f>IF(AND($B158&gt;=$GC158,$B158&lt;=$GH158,$DR158&lt;0)+N("only adjusted when pool is drawn down during storage season"),Sheet1!$DB156+$DR158+N("Palmer minus all storage release"),Sheet1!$DB156)</f>
        <v>1170</v>
      </c>
      <c r="II158" s="541">
        <f>IF(AND($B158&gt;=$GC158,$B158&lt;=$GH158,$DR158&lt;0)+N("only adjusted when pool is drawn down during storage season"),Sheet1!$DA156+$DR158+N("Auburn minus all storage release"),Sheet1!$DA156)</f>
        <v>1600</v>
      </c>
    </row>
    <row r="159" spans="1:243" x14ac:dyDescent="0.25">
      <c r="A159" s="553" t="s">
        <v>3</v>
      </c>
      <c r="B159" s="531">
        <v>42883</v>
      </c>
      <c r="C159" s="536">
        <v>0</v>
      </c>
      <c r="D159" s="506">
        <f t="shared" si="371"/>
        <v>300</v>
      </c>
      <c r="E159" s="506">
        <f t="shared" si="372"/>
        <v>250</v>
      </c>
      <c r="F159" s="506">
        <v>250</v>
      </c>
      <c r="G159" s="535">
        <f>DR159+Sheet1!CZ157</f>
        <v>1602.0675743835407</v>
      </c>
      <c r="H159" s="1074">
        <f t="shared" si="405"/>
        <v>630.29669574399998</v>
      </c>
      <c r="I159" s="534">
        <f>IF(Sheet1!DA157&gt;=E159,(Sheet1!DA157-E159+P159)*CFStoMGD,0)</f>
        <v>927.64069574400003</v>
      </c>
      <c r="J159" s="995">
        <f>IF(Sheet1!DB157&gt;=D159,(Sheet1!DB157-D159+P159)*CFStoMGD,0)</f>
        <v>630.29669574399998</v>
      </c>
      <c r="K159" s="818">
        <f t="shared" si="406"/>
        <v>64.64</v>
      </c>
      <c r="L159" s="535">
        <f>Sheet1!AA157+Sheet1!AB157-Sheet1!L157+(Sheet1!DA157-F159)*CFStoMGD-S159-T159-U159</f>
        <v>863.00200000000007</v>
      </c>
      <c r="M159" s="535">
        <f t="shared" si="309"/>
        <v>1056.2880096831511</v>
      </c>
      <c r="N159" s="824">
        <f>IF(Sheet1!DA157&gt;=F159,MIN(113*CFStoMGD,MIN(MAX(L159,0),MAX(M159,0))),0)</f>
        <v>73.043199999999999</v>
      </c>
      <c r="O159" s="538">
        <f>Sheet1!AA157+Sheet1!AB157</f>
        <v>67.930000000000007</v>
      </c>
      <c r="P159" s="538">
        <f t="shared" si="310"/>
        <v>105.08771</v>
      </c>
      <c r="Q159" s="812">
        <f t="shared" si="407"/>
        <v>53.920000000000009</v>
      </c>
      <c r="R159" s="812">
        <f t="shared" si="373"/>
        <v>13.972247372675827</v>
      </c>
      <c r="S159" s="812">
        <f t="shared" si="374"/>
        <v>14.01</v>
      </c>
      <c r="T159" s="812">
        <f t="shared" si="375"/>
        <v>50.63</v>
      </c>
      <c r="U159" s="812">
        <f t="shared" si="408"/>
        <v>0</v>
      </c>
      <c r="V159" s="812"/>
      <c r="W159" s="812">
        <f t="shared" si="376"/>
        <v>50.667752627324177</v>
      </c>
      <c r="X159" s="812">
        <f t="shared" si="377"/>
        <v>64.64</v>
      </c>
      <c r="Y159" s="812" t="str">
        <f t="shared" si="378"/>
        <v>FALSE</v>
      </c>
      <c r="Z159" s="812">
        <f t="shared" si="379"/>
        <v>67.930000000000007</v>
      </c>
      <c r="AA159" s="812">
        <f t="shared" si="380"/>
        <v>67.930000000000007</v>
      </c>
      <c r="AB159" s="1059">
        <f t="shared" si="409"/>
        <v>83.414240000000007</v>
      </c>
      <c r="AC159" s="538">
        <f>Sheet1!Y157*MGDtoCFS</f>
        <v>47.910589999999999</v>
      </c>
      <c r="AD159" s="538">
        <f>Sheet1!Z157*MGDtoCFS</f>
        <v>57.084299999999992</v>
      </c>
      <c r="AE159" s="538">
        <f>Sheet1!AA157*MGDtoCFS</f>
        <v>47.833240000000004</v>
      </c>
      <c r="AF159" s="538">
        <f>Sheet1!AB157*MGDtoCFS</f>
        <v>57.254469999999998</v>
      </c>
      <c r="AG159" s="538">
        <f>Sheet1!L157*MGDtoCFS</f>
        <v>0</v>
      </c>
      <c r="AH159" s="521">
        <f t="shared" si="311"/>
        <v>0</v>
      </c>
      <c r="AI159" s="1059">
        <f t="shared" si="312"/>
        <v>0</v>
      </c>
      <c r="AJ159" s="535">
        <f t="shared" si="313"/>
        <v>50.667752627324177</v>
      </c>
      <c r="AK159" s="535">
        <f t="shared" si="314"/>
        <v>78.383013314470503</v>
      </c>
      <c r="AL159" s="535">
        <f>(VLOOKUP(Sheet1!DC157,hhdcap_wcm,4)-(((VLOOKUP(Sheet1!DC157,hhdcap_wcm,3)-Sheet1!DC157)/(VLOOKUP(Sheet1!DC157,hhdcap_wcm,3)-VLOOKUP(Sheet1!DC157,hhdcap_wcm,1)))*(VLOOKUP(Sheet1!DC157,hhdcap_wcm,4)-VLOOKUP(Sheet1!DC157,hhdcap_wcm,2))))</f>
        <v>47295.00000011536</v>
      </c>
      <c r="AM159" s="535">
        <f t="shared" si="315"/>
        <v>599.00000000256114</v>
      </c>
      <c r="AN159" s="1035">
        <f t="shared" si="316"/>
        <v>5493.7871548682715</v>
      </c>
      <c r="AO159" s="535">
        <f t="shared" si="317"/>
        <v>16854.938991135856</v>
      </c>
      <c r="AP159" s="535">
        <f>Sheet1!BA157+Sheet1!BB157+Sheet1!BN157+CD159</f>
        <v>23.1</v>
      </c>
      <c r="AQ159" s="535">
        <f>Sheet1!BN157+(DO159*Sheet1!BN157)</f>
        <v>23.037752627324171</v>
      </c>
      <c r="AR159" s="535">
        <f>Sheet1!BA157+CD159</f>
        <v>0</v>
      </c>
      <c r="AS159" s="535">
        <f>Sheet1!BA157+Sheet1!BB157+CD159</f>
        <v>0</v>
      </c>
      <c r="AT159" s="649">
        <f>0</f>
        <v>0</v>
      </c>
      <c r="AU159" s="535">
        <f>IF(EB159&lt;K159,0,MAX(Sheet1!AA157+AQ159-15/36*K159-N159,Sheet1!EH157,0))</f>
        <v>0</v>
      </c>
      <c r="AV159" s="535">
        <f>IF(OR(B159&gt;=GD159,B159&lt;GC159),0,15/36*K159-MAX(0,64.6-(137.6-(Sheet1!AA157+Sheet1!AB157))))</f>
        <v>26.933333333333334</v>
      </c>
      <c r="AW159" s="1029"/>
      <c r="AX159" s="649"/>
      <c r="AY159" s="649">
        <f t="shared" si="410"/>
        <v>0</v>
      </c>
      <c r="AZ159" s="649">
        <f t="shared" si="411"/>
        <v>0</v>
      </c>
      <c r="BA159" s="1059">
        <f t="shared" si="412"/>
        <v>0</v>
      </c>
      <c r="BB159" s="1019">
        <f t="shared" si="318"/>
        <v>2716.666666666667</v>
      </c>
      <c r="BC159" s="1041">
        <f t="shared" si="413"/>
        <v>26.933333333333334</v>
      </c>
      <c r="BD159" s="1019">
        <f ca="1">IF(B159&gt;Summary!$A$1,#N/A,BB159*MGtoAF)</f>
        <v>8334.7333333333336</v>
      </c>
      <c r="BE159" s="535">
        <f>Sheet1!BG157+Sheet1!BH157+Sheet1!BI157-BM159</f>
        <v>1.51</v>
      </c>
      <c r="BF159" s="535">
        <f t="shared" si="319"/>
        <v>1.5059310158986796</v>
      </c>
      <c r="BG159" s="535">
        <f>IF(Sheet1!EP157="FM",BM159,0)</f>
        <v>0</v>
      </c>
      <c r="BH159" s="535">
        <f t="shared" si="320"/>
        <v>0</v>
      </c>
      <c r="BI159" s="535">
        <f>IF(Sheet1!EP157="OTHER",BM159,0)</f>
        <v>0</v>
      </c>
      <c r="BJ159" s="535">
        <f t="shared" si="321"/>
        <v>0</v>
      </c>
      <c r="BK159" s="535">
        <f t="shared" si="322"/>
        <v>1.51</v>
      </c>
      <c r="BL159" s="535">
        <f t="shared" si="323"/>
        <v>1.5059310158986796</v>
      </c>
      <c r="BM159" s="535">
        <f>IF(OR(Sheet1!EP157="FM", Sheet1!EP157="OTHER"),SUM(Sheet1!BG157:'Sheet1'!BI157),0)</f>
        <v>0</v>
      </c>
      <c r="BN159" s="521">
        <f>IF(AND($B159&gt;=$FV159,$B159&lt;=$FW159),MAX(BF159,Sheet1!EI157,0),MAX(BF159-(7/36)*$K159,0))</f>
        <v>0</v>
      </c>
      <c r="BO159" s="535">
        <f t="shared" si="324"/>
        <v>11.062957872990209</v>
      </c>
      <c r="BP159" s="521">
        <f t="shared" si="325"/>
        <v>1.5059310158986796</v>
      </c>
      <c r="BQ159" s="521">
        <f>IF(AND($O159&gt;0,Sheet1!EM157=1),(1-($O159-Sheet1!$L157)/$O159)*BL159,0)</f>
        <v>0</v>
      </c>
      <c r="BR159" s="521">
        <f>IF(AND(Sheet1!$L157=0,Sheet1!$L156=0, Calculation!BK159&lt;Sheet1!$EI157-0.1,Sheet1!$EI157=Sheet1!$EI156,Sheet1!$EI157=Sheet1!$EI158),BL159-BQ159,BL159-BQ159)</f>
        <v>1.5059310158986796</v>
      </c>
      <c r="BS159" s="1035" t="str">
        <f t="shared" si="414"/>
        <v/>
      </c>
      <c r="BT159" s="1035">
        <f t="shared" si="415"/>
        <v>12.568888888888889</v>
      </c>
      <c r="BU159" s="535">
        <f t="shared" si="326"/>
        <v>1195.6863524755183</v>
      </c>
      <c r="BV159" s="535"/>
      <c r="BW159" s="535">
        <f ca="1">IF(B159&gt;Summary!$A$1,#N/A,BU159*MGtoAF)</f>
        <v>3668.3657293948904</v>
      </c>
      <c r="BX159" s="535">
        <f>Sheet1!BC157+Sheet1!BD157+Sheet1!BE157+Sheet1!BF157-CG159-CH159</f>
        <v>5</v>
      </c>
      <c r="BY159" s="535">
        <f t="shared" si="327"/>
        <v>4.9865265427108598</v>
      </c>
      <c r="BZ159" s="535">
        <f>IF(Sheet1!EQ157="FM",CH159,0)</f>
        <v>0</v>
      </c>
      <c r="CA159" s="535">
        <f t="shared" si="328"/>
        <v>0</v>
      </c>
      <c r="CB159" s="535">
        <f>IF(Sheet1!EQ157="OTHER",CH159,0)</f>
        <v>0</v>
      </c>
      <c r="CC159" s="535">
        <f t="shared" si="329"/>
        <v>0</v>
      </c>
      <c r="CD159" s="535">
        <f t="shared" si="330"/>
        <v>0</v>
      </c>
      <c r="CE159" s="535">
        <f t="shared" si="331"/>
        <v>5</v>
      </c>
      <c r="CF159" s="535">
        <f t="shared" si="332"/>
        <v>4.9865265427108598</v>
      </c>
      <c r="CG159" s="535">
        <f>IF(Sheet1!EQ157="CWA",SUM(Sheet1!BC157:'Sheet1'!BF157),0)</f>
        <v>0</v>
      </c>
      <c r="CH159" s="535">
        <f>IF(OR(Sheet1!EQ157="FM", Sheet1!EQ157="OTHER"),SUM(Sheet1!BC157:'Sheet1'!BF157),0)</f>
        <v>0</v>
      </c>
      <c r="CI159" s="521">
        <f>IF(AND($B159&gt;=$FV159,$B159&lt;=$FW159),MAX(CF159,Sheet1!EJ157,0),MAX(CF159-(7/36)*$K159,0))</f>
        <v>0</v>
      </c>
      <c r="CJ159" s="535">
        <f t="shared" si="333"/>
        <v>7.5823623461780292</v>
      </c>
      <c r="CK159" s="521">
        <f t="shared" si="334"/>
        <v>4.9865265427108598</v>
      </c>
      <c r="CL159" s="521">
        <f>IF(AND($O159&gt;0,Sheet1!EN157=1),(1-($O159-Sheet1!$L157)/$O159)*CF159,0)</f>
        <v>0</v>
      </c>
      <c r="CM159" s="521">
        <f>IF(AND(Sheet1!$L157=0,Sheet1!$L156=0, Calculation!CE159&lt;Sheet1!EJ157-0.1,Sheet1!EJ157=Sheet1!EJ156,Sheet1!EJ157=Sheet1!EJ158),CF159-CL159,CF159-CL159)</f>
        <v>4.9865265427108598</v>
      </c>
      <c r="CN159" s="1040" t="str">
        <f t="shared" si="416"/>
        <v/>
      </c>
      <c r="CO159" s="1035">
        <f t="shared" si="417"/>
        <v>12.568888888888889</v>
      </c>
      <c r="CP159" s="535">
        <f t="shared" si="335"/>
        <v>949.31701674912949</v>
      </c>
      <c r="CQ159" s="535"/>
      <c r="CR159" s="535">
        <f ca="1">IF(B159&gt;Summary!$A$1,#N/A,CP159*MGtoAF)</f>
        <v>2912.5046073863296</v>
      </c>
      <c r="CS159" s="535">
        <f>Sheet1!BK157+Sheet1!BL157+Sheet1!BM157-Sheet1!ER157-DA159</f>
        <v>7.5</v>
      </c>
      <c r="CT159" s="535">
        <f t="shared" si="336"/>
        <v>7.4797898140662893</v>
      </c>
      <c r="CU159" s="535">
        <f>IF(Sheet1!ER157="FM",DA159,0)</f>
        <v>0</v>
      </c>
      <c r="CV159" s="535">
        <f t="shared" si="337"/>
        <v>0</v>
      </c>
      <c r="CW159" s="535">
        <f>IF(Sheet1!ER157="OTHER",DA159,0)</f>
        <v>0</v>
      </c>
      <c r="CX159" s="535">
        <f t="shared" si="338"/>
        <v>0</v>
      </c>
      <c r="CY159" s="535">
        <f t="shared" si="339"/>
        <v>7.5</v>
      </c>
      <c r="CZ159" s="535">
        <f t="shared" si="340"/>
        <v>7.4797898140662893</v>
      </c>
      <c r="DA159" s="535">
        <f>IF(OR(Sheet1!ER157="FM", Sheet1!ER157="OTHER"),SUM(Sheet1!BK157:'Sheet1'!BM157),0)</f>
        <v>0</v>
      </c>
      <c r="DB159" s="1011">
        <f>IF(AND($B159&gt;=$FV159,$B159&lt;=$FW159),MAX($CT159,Sheet1!EK157,0),MAX($CT159-(7/36)*$K159,0))</f>
        <v>0</v>
      </c>
      <c r="DC159" s="1012">
        <f t="shared" si="341"/>
        <v>5.0890990748225997</v>
      </c>
      <c r="DD159" s="1011">
        <f t="shared" si="342"/>
        <v>7.4797898140662893</v>
      </c>
      <c r="DE159" s="521">
        <f>IF(AND($O159&gt;0,Sheet1!EO157=1),(1-($O159-Sheet1!$L157)/$O159)*CZ159,0)</f>
        <v>0</v>
      </c>
      <c r="DF159" s="521">
        <f>IF(AND(Sheet1!$L157=0,Sheet1!$L156=0, Calculation!CY159&lt;Sheet1!$EK157-0.1,Sheet1!$EK157=Sheet1!$EK156,Sheet1!$EK157=Sheet1!$EK158),CZ159-DE159,CZ159-DE159)</f>
        <v>7.4797898140662893</v>
      </c>
      <c r="DG159" s="1040">
        <f t="shared" si="418"/>
        <v>12.568888888888889</v>
      </c>
      <c r="DH159" s="649">
        <f t="shared" si="343"/>
        <v>14.01</v>
      </c>
      <c r="DI159" s="535">
        <f t="shared" si="344"/>
        <v>632.11711897695659</v>
      </c>
      <c r="DJ159" s="649">
        <f t="shared" si="345"/>
        <v>13.972247372675827</v>
      </c>
      <c r="DK159" s="535">
        <f ca="1">IF(B159&gt;Summary!$A$1,#N/A,DI159*MGtoAF)</f>
        <v>1939.3353210213029</v>
      </c>
      <c r="DL159" s="649">
        <f t="shared" si="346"/>
        <v>14.01</v>
      </c>
      <c r="DM159" s="535">
        <f t="shared" si="347"/>
        <v>37.11</v>
      </c>
      <c r="DN159" s="535">
        <f>Sheet1!AB157-DM159</f>
        <v>-0.10000000000000142</v>
      </c>
      <c r="DO159" s="743">
        <f t="shared" si="348"/>
        <v>-2.6946914578281169E-3</v>
      </c>
      <c r="DP159" s="535">
        <f>(VLOOKUP(Sheet1!DC157,hhdcap_wcm,4)-(((VLOOKUP(Sheet1!DC157,hhdcap_wcm,3)-Sheet1!DC157)/(VLOOKUP(Sheet1!DC157,hhdcap_wcm,3)-VLOOKUP(Sheet1!DC157,hhdcap_wcm,1)))*(VLOOKUP(Sheet1!DC157,hhdcap_wcm,4)-VLOOKUP(Sheet1!DC157,hhdcap_wcm,2))))</f>
        <v>47295.00000011536</v>
      </c>
      <c r="DQ159" s="535">
        <f t="shared" si="349"/>
        <v>599.00000000256114</v>
      </c>
      <c r="DR159" s="535">
        <f t="shared" si="350"/>
        <v>302.0675743835406</v>
      </c>
      <c r="DS159" s="535">
        <f>Sheet1!EA157*AFtoMG</f>
        <v>0</v>
      </c>
      <c r="DT159" s="535">
        <f>Sheet1!EB157*AFtoMG</f>
        <v>0</v>
      </c>
      <c r="DU159" s="535">
        <f>Sheet1!EC157*AFtoMG</f>
        <v>0</v>
      </c>
      <c r="DV159" s="535">
        <f>Sheet1!ED157*AFtoMG</f>
        <v>0</v>
      </c>
      <c r="DW159" s="535">
        <f t="shared" si="351"/>
        <v>0</v>
      </c>
      <c r="DX159" s="535">
        <f t="shared" si="352"/>
        <v>0</v>
      </c>
      <c r="DY159" s="535">
        <f t="shared" si="353"/>
        <v>5493.7871548682715</v>
      </c>
      <c r="DZ159" s="535">
        <f t="shared" si="354"/>
        <v>16854.938991135856</v>
      </c>
      <c r="EA159" s="535"/>
      <c r="EB159" s="521">
        <f>IF(OR(B159&lt;FV159,B159&gt;FW159),(MIN(BF159+BY159+CT159+MAX(Sheet1!AA157+AQ159-73,0),K159)),0)</f>
        <v>13.972247372675827</v>
      </c>
      <c r="EC159" s="535"/>
      <c r="ED159" s="535">
        <f t="shared" si="355"/>
        <v>13.972247372675827</v>
      </c>
      <c r="EE159" s="535"/>
      <c r="EF159" s="535">
        <f>Sheet1!EH157+Sheet1!EI157+Sheet1!EJ157+Sheet1!EK157</f>
        <v>14</v>
      </c>
      <c r="EG159" s="1019">
        <f t="shared" si="419"/>
        <v>21.657999999999998</v>
      </c>
      <c r="EH159" s="521">
        <f t="shared" si="356"/>
        <v>0</v>
      </c>
      <c r="EI159" s="535">
        <f>IF(Sheet1!ET157=1,SUM('Calculations II'!AT159:BA159)+'Calculations II'!BC159+Sheet1!BV157+'Calculations II'!BE159+AP159,'Calculations II'!BK159)</f>
        <v>59.230296627324165</v>
      </c>
      <c r="EJ159" s="535">
        <f ca="1">EI159+'Calculations II'!D159+'Calculations II'!E159+'Calculations II'!O159</f>
        <v>60.123321423204175</v>
      </c>
      <c r="EK159" s="535"/>
      <c r="EL159" s="535"/>
      <c r="EM159" s="535">
        <f t="shared" si="357"/>
        <v>42883</v>
      </c>
      <c r="EN159" s="535">
        <f t="shared" si="358"/>
        <v>50.667752627324177</v>
      </c>
      <c r="EO159" s="535">
        <f t="shared" si="359"/>
        <v>78.383013314470503</v>
      </c>
      <c r="EP159" s="535">
        <v>0</v>
      </c>
      <c r="EQ159" s="535">
        <v>0</v>
      </c>
      <c r="ER159" s="535">
        <v>0</v>
      </c>
      <c r="ES159" s="521">
        <f t="shared" si="381"/>
        <v>0</v>
      </c>
      <c r="ET159" s="535">
        <f>-(VLOOKUP(Sheet1!BQ157,Lookup!$O$4:$Q$262,2)-VLOOKUP(Sheet1!BQ156,Lookup!$O$4:$Q$262,2))/1000000</f>
        <v>0</v>
      </c>
      <c r="EU159" s="535">
        <f>-(VLOOKUP(Sheet1!BR157,Lookup!$O$4:$Q$262,3)-VLOOKUP(Sheet1!BR156,Lookup!$O$4:$Q$262,3))/1000000</f>
        <v>0</v>
      </c>
      <c r="EV159" s="535"/>
      <c r="EW159" s="535"/>
      <c r="EX159" s="535"/>
      <c r="EY159" s="535"/>
      <c r="EZ159" s="535"/>
      <c r="FA159" s="535"/>
      <c r="FB159" s="535"/>
      <c r="FC159" s="535"/>
      <c r="FD159" s="567" t="e">
        <f t="shared" si="360"/>
        <v>#N/A</v>
      </c>
      <c r="FE159" s="567" t="e">
        <f t="shared" si="361"/>
        <v>#N/A</v>
      </c>
      <c r="FF159" s="568" t="e">
        <f t="shared" si="362"/>
        <v>#N/A</v>
      </c>
      <c r="FG159" s="569" t="s">
        <v>656</v>
      </c>
      <c r="FH159" s="569" t="s">
        <v>656</v>
      </c>
      <c r="FI159" s="567" t="e">
        <v>#N/A</v>
      </c>
      <c r="FJ159" s="567" t="e">
        <v>#N/A</v>
      </c>
      <c r="FK159" s="535"/>
      <c r="FL159" s="1015">
        <v>0</v>
      </c>
      <c r="FM159" s="535"/>
      <c r="FN159" s="535"/>
      <c r="FO159" s="535">
        <f>O159+((Sheet1!CS157)*GPMtoMGD)</f>
        <v>72.982528000000002</v>
      </c>
      <c r="FP159" s="535">
        <f>IF(Sheet1!AA157+AQ159&lt;=Calculation!N159,AQ159,Calculation!N159-Sheet1!AA157)</f>
        <v>23.037752627324171</v>
      </c>
      <c r="FQ159" s="535">
        <f>(Sheet1!BP157+Sheet1!BO157)/694.4</f>
        <v>2.8292050691244244</v>
      </c>
      <c r="FR159" s="541"/>
      <c r="FS159" s="541"/>
      <c r="FT159" s="541"/>
      <c r="FU159" s="541"/>
      <c r="FV159" s="1109">
        <f t="shared" si="382"/>
        <v>42918</v>
      </c>
      <c r="FW159" s="1109">
        <f t="shared" si="383"/>
        <v>43027</v>
      </c>
      <c r="FX159" s="541"/>
      <c r="FY159" s="541">
        <f>Sheet1!DA157-Sheet1!CZ157-Sheet1!AE157</f>
        <v>174.91228999999998</v>
      </c>
      <c r="FZ159" s="535">
        <f t="shared" si="420"/>
        <v>0.10917909631078106</v>
      </c>
      <c r="GA159" s="535"/>
      <c r="GB159" s="535" t="str">
        <f t="shared" si="384"/>
        <v>n</v>
      </c>
      <c r="GC159" s="539">
        <f t="shared" si="385"/>
        <v>42782</v>
      </c>
      <c r="GD159" s="1109">
        <f t="shared" si="386"/>
        <v>42904</v>
      </c>
      <c r="GE159" s="535">
        <f t="shared" si="404"/>
        <v>6520</v>
      </c>
      <c r="GF159" s="1109">
        <f t="shared" si="387"/>
        <v>42909</v>
      </c>
      <c r="GG159" s="535">
        <f t="shared" si="432"/>
        <v>3260</v>
      </c>
      <c r="GH159" s="539">
        <f t="shared" si="388"/>
        <v>43040</v>
      </c>
      <c r="GJ159" s="521">
        <f t="shared" si="389"/>
        <v>26.933333333333334</v>
      </c>
      <c r="GK159" s="535" t="str">
        <f t="shared" si="363"/>
        <v>PPP</v>
      </c>
      <c r="GL159" s="535">
        <f t="shared" si="390"/>
        <v>26.933333333333334</v>
      </c>
      <c r="GM159" s="535" t="str">
        <f t="shared" si="391"/>
        <v/>
      </c>
      <c r="GN159" s="535">
        <f>IF(GK159="P",Lookup!$M$12,IF(GK159="PP",Lookup!$M$13,IF(GK159="PPP",Lookup!$M$14,IF(GK159="T",Lookup!$M$15,IF(GK159="TP",Lookup!$M$16,IF(GK159="TPP",Lookup!$M$17,IF(GK159="TPPP",Lookup!$M$18,0)))))))*GJ159</f>
        <v>0</v>
      </c>
      <c r="GO159" s="535">
        <f t="shared" si="392"/>
        <v>0</v>
      </c>
      <c r="GP159" s="535">
        <f t="shared" si="364"/>
        <v>8334.7333333333336</v>
      </c>
      <c r="GQ159" s="535">
        <f t="shared" si="403"/>
        <v>2716.666666666667</v>
      </c>
      <c r="GR159" s="535"/>
      <c r="GS159" s="535">
        <f t="shared" si="393"/>
        <v>0</v>
      </c>
      <c r="GT159" s="535" t="str">
        <f t="shared" si="394"/>
        <v>P</v>
      </c>
      <c r="GU159" s="535">
        <f>IF(GK159="P",Lookup!$N$12,IF(GK159="PP",Lookup!$N$13,IF(GK159="PPP",Lookup!$N$14,IF(GK159="T",Lookup!$N$15,IF(GK159="TP",Lookup!$N$16,IF(GK159="TPP",Lookup!$N$17,IF(GK159="TPPP",Lookup!$N$18,0)))))))*GJ159</f>
        <v>8.9777777777777779</v>
      </c>
      <c r="GV159" s="535">
        <f t="shared" si="395"/>
        <v>8.9777777777777779</v>
      </c>
      <c r="GW159" s="535">
        <f t="shared" si="365"/>
        <v>3640.8219071726676</v>
      </c>
      <c r="GX159" s="535">
        <f t="shared" si="400"/>
        <v>1186.7085746977405</v>
      </c>
      <c r="GY159" s="535"/>
      <c r="GZ159" s="535">
        <f t="shared" si="396"/>
        <v>0</v>
      </c>
      <c r="HA159" s="535" t="str">
        <f t="shared" si="397"/>
        <v>P</v>
      </c>
      <c r="HB159" s="535">
        <f>IF(GK159="P",Lookup!$N$12,IF(GK159="PP",Lookup!$N$13,IF(GK159="PPP",Lookup!$N$14,IF(GK159="T",Lookup!$N$15,IF(GK159="TP",Lookup!$N$16,IF(GK159="TPP",Lookup!$N$17,IF(GK159="TPPP",Lookup!$N$18,0)))))))*GJ159</f>
        <v>8.9777777777777779</v>
      </c>
      <c r="HC159" s="521">
        <f t="shared" si="366"/>
        <v>8.9777777777777779</v>
      </c>
      <c r="HD159" s="535">
        <f t="shared" si="367"/>
        <v>2884.9607851641072</v>
      </c>
      <c r="HE159" s="535">
        <f t="shared" si="401"/>
        <v>940.33923897135173</v>
      </c>
      <c r="HF159" s="535"/>
      <c r="HG159" s="535">
        <f t="shared" si="398"/>
        <v>0</v>
      </c>
      <c r="HH159" s="535" t="str">
        <f t="shared" si="399"/>
        <v>P</v>
      </c>
      <c r="HI159" s="535">
        <f>IF(GK159="P",Lookup!$N$12,IF(GK159="PP",Lookup!$N$13,IF(GK159="PPP",Lookup!$N$14,IF(GK159="T",Lookup!$N$15,IF(GK159="TP",Lookup!$N$16,IF(GK159="TPP",Lookup!$N$17,IF(GK159="TPPP",Lookup!$N$18,0)))))))*GJ159</f>
        <v>8.9777777777777779</v>
      </c>
      <c r="HJ159" s="521">
        <f t="shared" si="368"/>
        <v>8.9777777777777779</v>
      </c>
      <c r="HK159" s="535">
        <f t="shared" si="369"/>
        <v>1911.7914987990807</v>
      </c>
      <c r="HL159" s="535">
        <f t="shared" si="402"/>
        <v>623.13934119917883</v>
      </c>
      <c r="HM159" s="535"/>
      <c r="HN159" s="541"/>
      <c r="HO159" s="541"/>
      <c r="HP159" s="541"/>
      <c r="HQ159" s="541">
        <f>IF(AND(B159&gt;=$FV$4,B159&lt;=$FW$4),MAX(110/1.02+$HQ$6+MIN(113/1.02,G159),IF($HV$6-(Sheet1!DA157-Sheet1!DB157)+MIN(113/1.02,G159)&lt;G159+FL159,$HV$6-(Sheet1!DA157-Sheet1!DB157)+MIN(113/1.02,G159),G159+FL159)),MIN(110/1.02+$HQ$6+113/1.02,G159))</f>
        <v>218.62745098039215</v>
      </c>
      <c r="HR159" s="541">
        <f t="shared" si="421"/>
        <v>223</v>
      </c>
      <c r="HS159" s="541">
        <f>HR159+(Sheet1!DA157-Sheet1!DB157)</f>
        <v>633</v>
      </c>
      <c r="HT159" s="541">
        <f t="shared" si="422"/>
        <v>83.414240000000007</v>
      </c>
      <c r="HU159" s="541">
        <f t="shared" si="423"/>
        <v>549.58575999999994</v>
      </c>
      <c r="HV159" s="541">
        <f t="shared" si="424"/>
        <v>0</v>
      </c>
      <c r="HW159" s="533" t="str">
        <f t="shared" si="425"/>
        <v/>
      </c>
      <c r="HX159" s="541">
        <f t="shared" si="426"/>
        <v>1081.372549019608</v>
      </c>
      <c r="HY159" s="541">
        <f>Sheet1!CZ157</f>
        <v>1300</v>
      </c>
      <c r="HZ159" s="541">
        <f t="shared" si="427"/>
        <v>0</v>
      </c>
      <c r="IA159" s="541">
        <f t="shared" si="428"/>
        <v>83.414240000000007</v>
      </c>
      <c r="IB159" s="541">
        <f t="shared" si="429"/>
        <v>1300</v>
      </c>
      <c r="IC159" s="1019" t="str">
        <f t="shared" si="430"/>
        <v/>
      </c>
      <c r="ID159" s="541">
        <f t="shared" si="431"/>
        <v>1216.5857599999999</v>
      </c>
      <c r="IE159" s="541">
        <f>Sheet1!DB157</f>
        <v>1170</v>
      </c>
      <c r="IF159" s="533">
        <f>Sheet1!DA157</f>
        <v>1580</v>
      </c>
      <c r="IH159" s="541">
        <f>IF(AND($B159&gt;=$GC159,$B159&lt;=$GH159,$DR159&lt;0)+N("only adjusted when pool is drawn down during storage season"),Sheet1!$DB157+$DR159+N("Palmer minus all storage release"),Sheet1!$DB157)</f>
        <v>1170</v>
      </c>
      <c r="II159" s="541">
        <f>IF(AND($B159&gt;=$GC159,$B159&lt;=$GH159,$DR159&lt;0)+N("only adjusted when pool is drawn down during storage season"),Sheet1!$DA157+$DR159+N("Auburn minus all storage release"),Sheet1!$DA157)</f>
        <v>1580</v>
      </c>
    </row>
    <row r="160" spans="1:243" x14ac:dyDescent="0.25">
      <c r="A160" s="553" t="s">
        <v>4</v>
      </c>
      <c r="B160" s="531">
        <v>42884</v>
      </c>
      <c r="C160" s="536">
        <v>0</v>
      </c>
      <c r="D160" s="506">
        <f t="shared" si="371"/>
        <v>300</v>
      </c>
      <c r="E160" s="506">
        <f t="shared" si="372"/>
        <v>250</v>
      </c>
      <c r="F160" s="506">
        <v>250</v>
      </c>
      <c r="G160" s="535">
        <f>DR160+Sheet1!CZ158</f>
        <v>1687.4004034290097</v>
      </c>
      <c r="H160" s="1074">
        <f t="shared" si="405"/>
        <v>630.31669535999993</v>
      </c>
      <c r="I160" s="534">
        <f>IF(Sheet1!DA158&gt;=E160,(Sheet1!DA158-E160+P160)*CFStoMGD,0)</f>
        <v>919.90389535999986</v>
      </c>
      <c r="J160" s="995">
        <f>IF(Sheet1!DB158&gt;=D160,(Sheet1!DB158-D160+P160)*CFStoMGD,0)</f>
        <v>630.31669535999993</v>
      </c>
      <c r="K160" s="818">
        <f t="shared" si="406"/>
        <v>64.64</v>
      </c>
      <c r="L160" s="535">
        <f>Sheet1!AA158+Sheet1!AB158-Sheet1!L158+(Sheet1!DA158-F160)*CFStoMGD-S160-T160-U160</f>
        <v>855.26520000000005</v>
      </c>
      <c r="M160" s="535">
        <f t="shared" si="309"/>
        <v>1112.5503331920422</v>
      </c>
      <c r="N160" s="824">
        <f>IF(Sheet1!DA158&gt;=F160,MIN(113*CFStoMGD,MIN(MAX(L160,0),MAX(M160,0))),0)</f>
        <v>73.043199999999999</v>
      </c>
      <c r="O160" s="538">
        <f>Sheet1!AA158+Sheet1!AB158</f>
        <v>67.95</v>
      </c>
      <c r="P160" s="538">
        <f t="shared" si="310"/>
        <v>105.11865</v>
      </c>
      <c r="Q160" s="812">
        <f t="shared" si="407"/>
        <v>54</v>
      </c>
      <c r="R160" s="812">
        <f t="shared" si="373"/>
        <v>13.904817813765183</v>
      </c>
      <c r="S160" s="812">
        <f t="shared" si="374"/>
        <v>13.95</v>
      </c>
      <c r="T160" s="812">
        <f>IF(OR(B160&lt;GC160,B160&gt;GD160),0, K160-DL160)</f>
        <v>50.69</v>
      </c>
      <c r="U160" s="812">
        <f t="shared" si="408"/>
        <v>0</v>
      </c>
      <c r="V160" s="812"/>
      <c r="W160" s="812">
        <f t="shared" si="376"/>
        <v>50.735182186234816</v>
      </c>
      <c r="X160" s="812">
        <f t="shared" si="377"/>
        <v>64.64</v>
      </c>
      <c r="Y160" s="812" t="str">
        <f t="shared" si="378"/>
        <v>FALSE</v>
      </c>
      <c r="Z160" s="812">
        <f t="shared" si="379"/>
        <v>67.95</v>
      </c>
      <c r="AA160" s="812">
        <f t="shared" si="380"/>
        <v>67.95</v>
      </c>
      <c r="AB160" s="1059">
        <f t="shared" si="409"/>
        <v>83.537999999999997</v>
      </c>
      <c r="AC160" s="538">
        <f>Sheet1!Y158*MGDtoCFS</f>
        <v>47.833240000000004</v>
      </c>
      <c r="AD160" s="538">
        <f>Sheet1!Z158*MGDtoCFS</f>
        <v>56.929599999999994</v>
      </c>
      <c r="AE160" s="538">
        <f>Sheet1!AA158*MGDtoCFS</f>
        <v>47.987939999999995</v>
      </c>
      <c r="AF160" s="538">
        <f>Sheet1!AB158*MGDtoCFS</f>
        <v>57.130710000000001</v>
      </c>
      <c r="AG160" s="538">
        <f>Sheet1!L158*MGDtoCFS</f>
        <v>0</v>
      </c>
      <c r="AH160" s="521">
        <f t="shared" si="311"/>
        <v>0</v>
      </c>
      <c r="AI160" s="1059">
        <f t="shared" si="312"/>
        <v>0</v>
      </c>
      <c r="AJ160" s="535">
        <f t="shared" si="313"/>
        <v>50.735182186234816</v>
      </c>
      <c r="AK160" s="535">
        <f t="shared" si="314"/>
        <v>78.487326842105261</v>
      </c>
      <c r="AL160" s="535">
        <f>(VLOOKUP(Sheet1!DC158,hhdcap_wcm,4)-(((VLOOKUP(Sheet1!DC158,hhdcap_wcm,3)-Sheet1!DC158)/(VLOOKUP(Sheet1!DC158,hhdcap_wcm,3)-VLOOKUP(Sheet1!DC158,hhdcap_wcm,1)))*(VLOOKUP(Sheet1!DC158,hhdcap_wcm,4)-VLOOKUP(Sheet1!DC158,hhdcap_wcm,2))))</f>
        <v>48053.300000115087</v>
      </c>
      <c r="AM160" s="535">
        <f t="shared" si="315"/>
        <v>758.29999999972642</v>
      </c>
      <c r="AN160" s="1035">
        <f t="shared" si="316"/>
        <v>5544.5223370545064</v>
      </c>
      <c r="AO160" s="535">
        <f t="shared" si="317"/>
        <v>17010.594530083225</v>
      </c>
      <c r="AP160" s="535">
        <f>Sheet1!BA158+Sheet1!BB158+Sheet1!BN158+CD160</f>
        <v>23.1</v>
      </c>
      <c r="AQ160" s="535">
        <f>Sheet1!BN158+(DO160*Sheet1!BN158)</f>
        <v>23.025182186234822</v>
      </c>
      <c r="AR160" s="535">
        <f>Sheet1!BA158+CD160</f>
        <v>0</v>
      </c>
      <c r="AS160" s="535">
        <f>Sheet1!BA158+Sheet1!BB158+CD160</f>
        <v>0</v>
      </c>
      <c r="AT160" s="649">
        <f>0</f>
        <v>0</v>
      </c>
      <c r="AU160" s="535">
        <f>IF(EB160&lt;K160,0,MAX(Sheet1!AA158+AQ160-15/36*K160-N160,Sheet1!EH158,0))</f>
        <v>0</v>
      </c>
      <c r="AV160" s="535">
        <f>IF(OR(B160&gt;=GD160,B160&lt;GC160),0,15/36*K160-MAX(0,64.6-(137.6-(Sheet1!AA158+Sheet1!AB158))))</f>
        <v>26.933333333333334</v>
      </c>
      <c r="AW160" s="1029"/>
      <c r="AX160" s="649"/>
      <c r="AY160" s="649">
        <f t="shared" si="410"/>
        <v>0</v>
      </c>
      <c r="AZ160" s="649">
        <f t="shared" si="411"/>
        <v>0</v>
      </c>
      <c r="BA160" s="1059">
        <f t="shared" si="412"/>
        <v>0</v>
      </c>
      <c r="BB160" s="1019">
        <f t="shared" si="318"/>
        <v>2716.666666666667</v>
      </c>
      <c r="BC160" s="1041">
        <f t="shared" si="413"/>
        <v>26.933333333333334</v>
      </c>
      <c r="BD160" s="1019">
        <f ca="1">IF(B160&gt;Summary!$A$1,#N/A,BB160*MGtoAF)</f>
        <v>8334.7333333333336</v>
      </c>
      <c r="BE160" s="535">
        <f>Sheet1!BG158+Sheet1!BH158+Sheet1!BI158-BM160</f>
        <v>1.51</v>
      </c>
      <c r="BF160" s="535">
        <f t="shared" si="319"/>
        <v>1.5051093117408909</v>
      </c>
      <c r="BG160" s="535">
        <f>IF(Sheet1!EP158="FM",BM160,0)</f>
        <v>0</v>
      </c>
      <c r="BH160" s="535">
        <f t="shared" si="320"/>
        <v>0</v>
      </c>
      <c r="BI160" s="535">
        <f>IF(Sheet1!EP158="OTHER",BM160,0)</f>
        <v>0</v>
      </c>
      <c r="BJ160" s="535">
        <f t="shared" si="321"/>
        <v>0</v>
      </c>
      <c r="BK160" s="535">
        <f t="shared" si="322"/>
        <v>1.51</v>
      </c>
      <c r="BL160" s="535">
        <f t="shared" si="323"/>
        <v>1.5051093117408909</v>
      </c>
      <c r="BM160" s="535">
        <f>IF(OR(Sheet1!EP158="FM", Sheet1!EP158="OTHER"),SUM(Sheet1!BG158:'Sheet1'!BI158),0)</f>
        <v>0</v>
      </c>
      <c r="BN160" s="521">
        <f>IF(AND($B160&gt;=$FV160,$B160&lt;=$FW160),MAX(BF160,Sheet1!EI158,0),MAX(BF160-(7/36)*$K160,0))</f>
        <v>0</v>
      </c>
      <c r="BO160" s="535">
        <f t="shared" si="324"/>
        <v>11.063779577147997</v>
      </c>
      <c r="BP160" s="521">
        <f t="shared" si="325"/>
        <v>1.5051093117408909</v>
      </c>
      <c r="BQ160" s="521">
        <f>IF(AND($O160&gt;0,Sheet1!EM158=1),(1-($O160-Sheet1!$L158)/$O160)*BL160,0)</f>
        <v>0</v>
      </c>
      <c r="BR160" s="521">
        <f>IF(AND(Sheet1!$L158=0,Sheet1!$L157=0, Calculation!BK160&lt;Sheet1!$EI158-0.1,Sheet1!$EI158=Sheet1!$EI157,Sheet1!$EI158=Sheet1!$EI159),BL160-BQ160,BL160-BQ160)</f>
        <v>1.5051093117408909</v>
      </c>
      <c r="BS160" s="1035" t="str">
        <f t="shared" si="414"/>
        <v/>
      </c>
      <c r="BT160" s="1035">
        <f t="shared" si="415"/>
        <v>12.568888888888889</v>
      </c>
      <c r="BU160" s="535">
        <f t="shared" si="326"/>
        <v>1215.7279098304441</v>
      </c>
      <c r="BV160" s="535"/>
      <c r="BW160" s="535">
        <f ca="1">IF(B160&gt;Summary!$A$1,#N/A,BU160*MGtoAF)</f>
        <v>3729.8532273598025</v>
      </c>
      <c r="BX160" s="535">
        <f>Sheet1!BC158+Sheet1!BD158+Sheet1!BE158+Sheet1!BF158-CG160-CH160</f>
        <v>5</v>
      </c>
      <c r="BY160" s="535">
        <f t="shared" si="327"/>
        <v>4.9838056680161946</v>
      </c>
      <c r="BZ160" s="535">
        <f>IF(Sheet1!EQ158="FM",CH160,0)</f>
        <v>0</v>
      </c>
      <c r="CA160" s="535">
        <f t="shared" si="328"/>
        <v>0</v>
      </c>
      <c r="CB160" s="535">
        <f>IF(Sheet1!EQ158="OTHER",CH160,0)</f>
        <v>0</v>
      </c>
      <c r="CC160" s="535">
        <f t="shared" si="329"/>
        <v>0</v>
      </c>
      <c r="CD160" s="535">
        <f t="shared" si="330"/>
        <v>0</v>
      </c>
      <c r="CE160" s="535">
        <f t="shared" si="331"/>
        <v>5</v>
      </c>
      <c r="CF160" s="535">
        <f t="shared" si="332"/>
        <v>4.9838056680161946</v>
      </c>
      <c r="CG160" s="535">
        <f>IF(Sheet1!EQ158="CWA",SUM(Sheet1!BC158:'Sheet1'!BF158),0)</f>
        <v>0</v>
      </c>
      <c r="CH160" s="535">
        <f>IF(OR(Sheet1!EQ158="FM", Sheet1!EQ158="OTHER"),SUM(Sheet1!BC158:'Sheet1'!BF158),0)</f>
        <v>0</v>
      </c>
      <c r="CI160" s="521">
        <f>IF(AND($B160&gt;=$FV160,$B160&lt;=$FW160),MAX(CF160,Sheet1!EJ158,0),MAX(CF160-(7/36)*$K160,0))</f>
        <v>0</v>
      </c>
      <c r="CJ160" s="535">
        <f t="shared" si="333"/>
        <v>7.5850832208726944</v>
      </c>
      <c r="CK160" s="521">
        <f t="shared" si="334"/>
        <v>4.9838056680161946</v>
      </c>
      <c r="CL160" s="521">
        <f>IF(AND($O160&gt;0,Sheet1!EN158=1),(1-($O160-Sheet1!$L158)/$O160)*CF160,0)</f>
        <v>0</v>
      </c>
      <c r="CM160" s="521">
        <f>IF(AND(Sheet1!$L158=0,Sheet1!$L157=0, Calculation!CE160&lt;Sheet1!EJ158-0.1,Sheet1!EJ158=Sheet1!EJ157,Sheet1!EJ158=Sheet1!EJ159),CF160-CL160,CF160-CL160)</f>
        <v>4.9838056680161946</v>
      </c>
      <c r="CN160" s="1040" t="str">
        <f t="shared" si="416"/>
        <v/>
      </c>
      <c r="CO160" s="1035">
        <f t="shared" si="417"/>
        <v>12.568888888888889</v>
      </c>
      <c r="CP160" s="535">
        <f t="shared" si="335"/>
        <v>965.87987774777991</v>
      </c>
      <c r="CQ160" s="535"/>
      <c r="CR160" s="535">
        <f ca="1">IF(B160&gt;Summary!$A$1,#N/A,CP160*MGtoAF)</f>
        <v>2963.319464930189</v>
      </c>
      <c r="CS160" s="535">
        <f>Sheet1!BK158+Sheet1!BL158+Sheet1!BM158-Sheet1!ER158-DA160</f>
        <v>7.4399999999999995</v>
      </c>
      <c r="CT160" s="535">
        <f t="shared" si="336"/>
        <v>7.4159028340080972</v>
      </c>
      <c r="CU160" s="535">
        <f>IF(Sheet1!ER158="FM",DA160,0)</f>
        <v>0</v>
      </c>
      <c r="CV160" s="535">
        <f t="shared" si="337"/>
        <v>0</v>
      </c>
      <c r="CW160" s="535">
        <f>IF(Sheet1!ER158="OTHER",DA160,0)</f>
        <v>0</v>
      </c>
      <c r="CX160" s="535">
        <f t="shared" si="338"/>
        <v>0</v>
      </c>
      <c r="CY160" s="535">
        <f t="shared" si="339"/>
        <v>7.4399999999999995</v>
      </c>
      <c r="CZ160" s="535">
        <f t="shared" si="340"/>
        <v>7.4159028340080972</v>
      </c>
      <c r="DA160" s="535">
        <f>IF(OR(Sheet1!ER158="FM", Sheet1!ER158="OTHER"),SUM(Sheet1!BK158:'Sheet1'!BM158),0)</f>
        <v>0</v>
      </c>
      <c r="DB160" s="1011">
        <f>IF(AND($B160&gt;=$FV160,$B160&lt;=$FW160),MAX($CT160,Sheet1!EK158,0),MAX($CT160-(7/36)*$K160,0))</f>
        <v>0</v>
      </c>
      <c r="DC160" s="1012">
        <f t="shared" si="341"/>
        <v>5.1529860548807918</v>
      </c>
      <c r="DD160" s="1011">
        <f t="shared" si="342"/>
        <v>7.4159028340080972</v>
      </c>
      <c r="DE160" s="521">
        <f>IF(AND($O160&gt;0,Sheet1!EO158=1),(1-($O160-Sheet1!$L158)/$O160)*CZ160,0)</f>
        <v>0</v>
      </c>
      <c r="DF160" s="521">
        <f>IF(AND(Sheet1!$L158=0,Sheet1!$L157=0, Calculation!CY160&lt;Sheet1!$EK158-0.1,Sheet1!$EK158=Sheet1!$EK157,Sheet1!$EK158=Sheet1!$EK159),CZ160-DE160,CZ160-DE160)</f>
        <v>7.4159028340080972</v>
      </c>
      <c r="DG160" s="1040">
        <f t="shared" si="418"/>
        <v>12.568888888888889</v>
      </c>
      <c r="DH160" s="649">
        <f t="shared" si="343"/>
        <v>13.95</v>
      </c>
      <c r="DI160" s="535">
        <f t="shared" si="344"/>
        <v>646.24788280961513</v>
      </c>
      <c r="DJ160" s="649">
        <f t="shared" si="345"/>
        <v>13.904817813765183</v>
      </c>
      <c r="DK160" s="535">
        <f ca="1">IF(B160&gt;Summary!$A$1,#N/A,DI160*MGtoAF)</f>
        <v>1982.6885044598994</v>
      </c>
      <c r="DL160" s="649">
        <f t="shared" si="346"/>
        <v>13.95</v>
      </c>
      <c r="DM160" s="535">
        <f t="shared" si="347"/>
        <v>37.049999999999997</v>
      </c>
      <c r="DN160" s="535">
        <f>Sheet1!AB158-DM160</f>
        <v>-0.11999999999999744</v>
      </c>
      <c r="DO160" s="743">
        <f t="shared" si="348"/>
        <v>-3.2388663967610649E-3</v>
      </c>
      <c r="DP160" s="535">
        <f>(VLOOKUP(Sheet1!DC158,hhdcap_wcm,4)-(((VLOOKUP(Sheet1!DC158,hhdcap_wcm,3)-Sheet1!DC158)/(VLOOKUP(Sheet1!DC158,hhdcap_wcm,3)-VLOOKUP(Sheet1!DC158,hhdcap_wcm,1)))*(VLOOKUP(Sheet1!DC158,hhdcap_wcm,4)-VLOOKUP(Sheet1!DC158,hhdcap_wcm,2))))</f>
        <v>48053.300000115087</v>
      </c>
      <c r="DQ160" s="535">
        <f t="shared" si="349"/>
        <v>758.29999999972642</v>
      </c>
      <c r="DR160" s="535">
        <f t="shared" si="350"/>
        <v>382.40040342900977</v>
      </c>
      <c r="DS160" s="535">
        <f>Sheet1!EA158*AFtoMG</f>
        <v>0</v>
      </c>
      <c r="DT160" s="535">
        <f>Sheet1!EB158*AFtoMG</f>
        <v>0</v>
      </c>
      <c r="DU160" s="535">
        <f>Sheet1!EC158*AFtoMG</f>
        <v>0</v>
      </c>
      <c r="DV160" s="535">
        <f>Sheet1!ED158*AFtoMG</f>
        <v>0</v>
      </c>
      <c r="DW160" s="535">
        <f t="shared" si="351"/>
        <v>0</v>
      </c>
      <c r="DX160" s="535">
        <f t="shared" si="352"/>
        <v>0</v>
      </c>
      <c r="DY160" s="535">
        <f t="shared" si="353"/>
        <v>5544.5223370545064</v>
      </c>
      <c r="DZ160" s="535">
        <f t="shared" si="354"/>
        <v>17010.594530083225</v>
      </c>
      <c r="EA160" s="535"/>
      <c r="EB160" s="521">
        <f>IF(OR(B160&lt;FV160,B160&gt;FW160),(MIN(BF160+BY160+CT160+MAX(Sheet1!AA158+AQ160-73,0),K160)),0)</f>
        <v>13.904817813765183</v>
      </c>
      <c r="EC160" s="535"/>
      <c r="ED160" s="535">
        <f t="shared" si="355"/>
        <v>13.904817813765185</v>
      </c>
      <c r="EE160" s="535"/>
      <c r="EF160" s="535">
        <f>Sheet1!EH158+Sheet1!EI158+Sheet1!EJ158+Sheet1!EK158</f>
        <v>14</v>
      </c>
      <c r="EG160" s="1019">
        <f t="shared" si="419"/>
        <v>21.657999999999998</v>
      </c>
      <c r="EH160" s="521">
        <f t="shared" si="356"/>
        <v>0</v>
      </c>
      <c r="EI160" s="535">
        <f>IF(Sheet1!ET158=1,SUM('Calculations II'!AT160:BA160)+'Calculations II'!BC160+Sheet1!BV158+'Calculations II'!BE160+AP160,'Calculations II'!BK160)</f>
        <v>59.625542186234817</v>
      </c>
      <c r="EJ160" s="535">
        <f ca="1">EI160+'Calculations II'!D160+'Calculations II'!E160+'Calculations II'!O160</f>
        <v>59.203922802567085</v>
      </c>
      <c r="EK160" s="535"/>
      <c r="EL160" s="535"/>
      <c r="EM160" s="535">
        <f t="shared" si="357"/>
        <v>42884</v>
      </c>
      <c r="EN160" s="535">
        <f t="shared" si="358"/>
        <v>50.735182186234816</v>
      </c>
      <c r="EO160" s="535">
        <f t="shared" si="359"/>
        <v>78.487326842105261</v>
      </c>
      <c r="EP160" s="535">
        <v>0</v>
      </c>
      <c r="EQ160" s="535">
        <v>0</v>
      </c>
      <c r="ER160" s="535">
        <v>0</v>
      </c>
      <c r="ES160" s="521">
        <f t="shared" si="381"/>
        <v>0.83085098139840741</v>
      </c>
      <c r="ET160" s="535">
        <f>-(VLOOKUP(Sheet1!BQ158,Lookup!$O$4:$Q$262,2)-VLOOKUP(Sheet1!BQ157,Lookup!$O$4:$Q$262,2))/1000000</f>
        <v>0.41535820625881853</v>
      </c>
      <c r="EU160" s="535">
        <f>-(VLOOKUP(Sheet1!BR158,Lookup!$O$4:$Q$262,3)-VLOOKUP(Sheet1!BR157,Lookup!$O$4:$Q$262,3))/1000000</f>
        <v>0.41549277513958888</v>
      </c>
      <c r="EV160" s="535"/>
      <c r="EW160" s="535"/>
      <c r="EX160" s="535"/>
      <c r="EY160" s="535"/>
      <c r="EZ160" s="535"/>
      <c r="FA160" s="535"/>
      <c r="FB160" s="535"/>
      <c r="FC160" s="535"/>
      <c r="FD160" s="567" t="e">
        <f t="shared" si="360"/>
        <v>#N/A</v>
      </c>
      <c r="FE160" s="567" t="e">
        <f t="shared" si="361"/>
        <v>#N/A</v>
      </c>
      <c r="FF160" s="568" t="e">
        <f t="shared" si="362"/>
        <v>#N/A</v>
      </c>
      <c r="FG160" s="569" t="s">
        <v>656</v>
      </c>
      <c r="FH160" s="569" t="s">
        <v>656</v>
      </c>
      <c r="FI160" s="567" t="e">
        <v>#N/A</v>
      </c>
      <c r="FJ160" s="567" t="e">
        <v>#N/A</v>
      </c>
      <c r="FK160" s="535"/>
      <c r="FL160" s="1015">
        <v>0</v>
      </c>
      <c r="FM160" s="535"/>
      <c r="FN160" s="535"/>
      <c r="FO160" s="535">
        <f>O160+((Sheet1!CS158)*GPMtoMGD)</f>
        <v>72.983519999999999</v>
      </c>
      <c r="FP160" s="535">
        <f>IF(Sheet1!AA158+AQ160&lt;=Calculation!N160,AQ160,Calculation!N160-Sheet1!AA158)</f>
        <v>23.025182186234822</v>
      </c>
      <c r="FQ160" s="535">
        <f>(Sheet1!BP158+Sheet1!BO158)/694.4</f>
        <v>3.0090725806451615</v>
      </c>
      <c r="FR160" s="541"/>
      <c r="FS160" s="541"/>
      <c r="FT160" s="541"/>
      <c r="FU160" s="541"/>
      <c r="FV160" s="1109">
        <f t="shared" si="382"/>
        <v>42918</v>
      </c>
      <c r="FW160" s="1109">
        <f t="shared" si="383"/>
        <v>43027</v>
      </c>
      <c r="FX160" s="541"/>
      <c r="FY160" s="541">
        <f>Sheet1!DA158-Sheet1!CZ158-Sheet1!AE158</f>
        <v>157.88135</v>
      </c>
      <c r="FZ160" s="535">
        <f t="shared" si="420"/>
        <v>9.3564840733216165E-2</v>
      </c>
      <c r="GA160" s="535"/>
      <c r="GB160" s="535" t="str">
        <f t="shared" si="384"/>
        <v>n</v>
      </c>
      <c r="GC160" s="539">
        <f t="shared" si="385"/>
        <v>42782</v>
      </c>
      <c r="GD160" s="1109">
        <f t="shared" si="386"/>
        <v>42904</v>
      </c>
      <c r="GE160" s="535">
        <f t="shared" si="404"/>
        <v>6520</v>
      </c>
      <c r="GF160" s="1109">
        <f t="shared" si="387"/>
        <v>42909</v>
      </c>
      <c r="GG160" s="535">
        <f t="shared" si="432"/>
        <v>3260</v>
      </c>
      <c r="GH160" s="539">
        <f t="shared" si="388"/>
        <v>43040</v>
      </c>
      <c r="GJ160" s="521">
        <f t="shared" si="389"/>
        <v>26.933333333333334</v>
      </c>
      <c r="GK160" s="535" t="str">
        <f t="shared" si="363"/>
        <v>PPP</v>
      </c>
      <c r="GL160" s="535">
        <f t="shared" si="390"/>
        <v>26.933333333333334</v>
      </c>
      <c r="GM160" s="535" t="str">
        <f t="shared" si="391"/>
        <v/>
      </c>
      <c r="GN160" s="535">
        <f>IF(GK160="P",Lookup!$M$12,IF(GK160="PP",Lookup!$M$13,IF(GK160="PPP",Lookup!$M$14,IF(GK160="T",Lookup!$M$15,IF(GK160="TP",Lookup!$M$16,IF(GK160="TPP",Lookup!$M$17,IF(GK160="TPPP",Lookup!$M$18,0)))))))*GJ160</f>
        <v>0</v>
      </c>
      <c r="GO160" s="535">
        <f t="shared" si="392"/>
        <v>0</v>
      </c>
      <c r="GP160" s="535">
        <f t="shared" si="364"/>
        <v>8334.7333333333336</v>
      </c>
      <c r="GQ160" s="535">
        <f t="shared" si="403"/>
        <v>2716.666666666667</v>
      </c>
      <c r="GR160" s="535"/>
      <c r="GS160" s="535">
        <f t="shared" si="393"/>
        <v>0</v>
      </c>
      <c r="GT160" s="535" t="str">
        <f t="shared" si="394"/>
        <v>P</v>
      </c>
      <c r="GU160" s="535">
        <f>IF(GK160="P",Lookup!$N$12,IF(GK160="PP",Lookup!$N$13,IF(GK160="PPP",Lookup!$N$14,IF(GK160="T",Lookup!$N$15,IF(GK160="TP",Lookup!$N$16,IF(GK160="TPP",Lookup!$N$17,IF(GK160="TPPP",Lookup!$N$18,0)))))))*GJ160</f>
        <v>8.9777777777777779</v>
      </c>
      <c r="GV160" s="535">
        <f t="shared" si="395"/>
        <v>8.9777777777777779</v>
      </c>
      <c r="GW160" s="535">
        <f t="shared" si="365"/>
        <v>3702.3094051375801</v>
      </c>
      <c r="GX160" s="535">
        <f t="shared" si="400"/>
        <v>1206.7501320526662</v>
      </c>
      <c r="GY160" s="535"/>
      <c r="GZ160" s="535">
        <f t="shared" si="396"/>
        <v>0</v>
      </c>
      <c r="HA160" s="535" t="str">
        <f t="shared" si="397"/>
        <v>P</v>
      </c>
      <c r="HB160" s="535">
        <f>IF(GK160="P",Lookup!$N$12,IF(GK160="PP",Lookup!$N$13,IF(GK160="PPP",Lookup!$N$14,IF(GK160="T",Lookup!$N$15,IF(GK160="TP",Lookup!$N$16,IF(GK160="TPP",Lookup!$N$17,IF(GK160="TPPP",Lookup!$N$18,0)))))))*GJ160</f>
        <v>8.9777777777777779</v>
      </c>
      <c r="HC160" s="521">
        <f t="shared" si="366"/>
        <v>8.9777777777777779</v>
      </c>
      <c r="HD160" s="535">
        <f t="shared" si="367"/>
        <v>2935.7756427079667</v>
      </c>
      <c r="HE160" s="535">
        <f t="shared" si="401"/>
        <v>956.90209997000215</v>
      </c>
      <c r="HF160" s="535"/>
      <c r="HG160" s="535">
        <f t="shared" si="398"/>
        <v>0</v>
      </c>
      <c r="HH160" s="535" t="str">
        <f t="shared" si="399"/>
        <v>P</v>
      </c>
      <c r="HI160" s="535">
        <f>IF(GK160="P",Lookup!$N$12,IF(GK160="PP",Lookup!$N$13,IF(GK160="PPP",Lookup!$N$14,IF(GK160="T",Lookup!$N$15,IF(GK160="TP",Lookup!$N$16,IF(GK160="TPP",Lookup!$N$17,IF(GK160="TPPP",Lookup!$N$18,0)))))))*GJ160</f>
        <v>8.9777777777777779</v>
      </c>
      <c r="HJ160" s="521">
        <f t="shared" si="368"/>
        <v>8.9777777777777779</v>
      </c>
      <c r="HK160" s="535">
        <f t="shared" si="369"/>
        <v>1955.1446822376772</v>
      </c>
      <c r="HL160" s="535">
        <f t="shared" si="402"/>
        <v>637.27010503183737</v>
      </c>
      <c r="HM160" s="535"/>
      <c r="HN160" s="541"/>
      <c r="HO160" s="541"/>
      <c r="HP160" s="541"/>
      <c r="HQ160" s="541">
        <f>IF(AND(B160&gt;=$FV$4,B160&lt;=$FW$4),MAX(110/1.02+$HQ$6+MIN(113/1.02,G160),IF($HV$6-(Sheet1!DA158-Sheet1!DB158)+MIN(113/1.02,G160)&lt;G160+FL160,$HV$6-(Sheet1!DA158-Sheet1!DB158)+MIN(113/1.02,G160),G160+FL160)),MIN(110/1.02+$HQ$6+113/1.02,G160))</f>
        <v>218.62745098039215</v>
      </c>
      <c r="HR160" s="541">
        <f t="shared" si="421"/>
        <v>223</v>
      </c>
      <c r="HS160" s="541">
        <f>HR160+(Sheet1!DA158-Sheet1!DB158)</f>
        <v>621</v>
      </c>
      <c r="HT160" s="541">
        <f t="shared" si="422"/>
        <v>83.537999999999997</v>
      </c>
      <c r="HU160" s="541">
        <f t="shared" si="423"/>
        <v>537.46199999999999</v>
      </c>
      <c r="HV160" s="541">
        <f t="shared" si="424"/>
        <v>0</v>
      </c>
      <c r="HW160" s="533" t="str">
        <f t="shared" si="425"/>
        <v/>
      </c>
      <c r="HX160" s="541">
        <f t="shared" si="426"/>
        <v>1086.372549019608</v>
      </c>
      <c r="HY160" s="541">
        <f>Sheet1!CZ158</f>
        <v>1305</v>
      </c>
      <c r="HZ160" s="541">
        <f t="shared" si="427"/>
        <v>0</v>
      </c>
      <c r="IA160" s="541">
        <f t="shared" si="428"/>
        <v>83.537999999999997</v>
      </c>
      <c r="IB160" s="541">
        <f t="shared" si="429"/>
        <v>1305</v>
      </c>
      <c r="IC160" s="1019" t="str">
        <f t="shared" si="430"/>
        <v/>
      </c>
      <c r="ID160" s="541">
        <f t="shared" si="431"/>
        <v>1221.462</v>
      </c>
      <c r="IE160" s="541">
        <f>Sheet1!DB158</f>
        <v>1170</v>
      </c>
      <c r="IF160" s="533">
        <f>Sheet1!DA158</f>
        <v>1568</v>
      </c>
      <c r="IH160" s="541">
        <f>IF(AND($B160&gt;=$GC160,$B160&lt;=$GH160,$DR160&lt;0)+N("only adjusted when pool is drawn down during storage season"),Sheet1!$DB158+$DR160+N("Palmer minus all storage release"),Sheet1!$DB158)</f>
        <v>1170</v>
      </c>
      <c r="II160" s="541">
        <f>IF(AND($B160&gt;=$GC160,$B160&lt;=$GH160,$DR160&lt;0)+N("only adjusted when pool is drawn down during storage season"),Sheet1!$DA158+$DR160+N("Auburn minus all storage release"),Sheet1!$DA158)</f>
        <v>1568</v>
      </c>
    </row>
    <row r="161" spans="1:243" x14ac:dyDescent="0.25">
      <c r="A161" s="553" t="s">
        <v>5</v>
      </c>
      <c r="B161" s="531">
        <v>42885</v>
      </c>
      <c r="C161" s="536">
        <v>0</v>
      </c>
      <c r="D161" s="506">
        <f t="shared" si="371"/>
        <v>300</v>
      </c>
      <c r="E161" s="506">
        <f t="shared" si="372"/>
        <v>250</v>
      </c>
      <c r="F161" s="506">
        <v>250</v>
      </c>
      <c r="G161" s="535">
        <f>DR161+Sheet1!CZ159</f>
        <v>1755.1119515898069</v>
      </c>
      <c r="H161" s="1074">
        <f t="shared" si="405"/>
        <v>751.64272396799993</v>
      </c>
      <c r="I161" s="534">
        <f>IF(Sheet1!DA159&gt;=E161,(Sheet1!DA159-E161+P161)*CFStoMGD,0)</f>
        <v>1027.6555239679999</v>
      </c>
      <c r="J161" s="995">
        <f>IF(Sheet1!DB159&gt;=D161,(Sheet1!DB159-D161+P161)*CFStoMGD,0)</f>
        <v>751.64272396799993</v>
      </c>
      <c r="K161" s="818">
        <f t="shared" si="406"/>
        <v>64.64</v>
      </c>
      <c r="L161" s="535">
        <f>Sheet1!AA159+Sheet1!AB159-Sheet1!L159+(Sheet1!DA159-F161)*CFStoMGD-S161-T161-U161</f>
        <v>963.01679999999999</v>
      </c>
      <c r="M161" s="535">
        <f t="shared" si="309"/>
        <v>1157.1944528178042</v>
      </c>
      <c r="N161" s="824">
        <f>IF(Sheet1!DA159&gt;=F161,MIN(113*CFStoMGD,MIN(MAX(L161,0),MAX(M161,0))),0)</f>
        <v>73.043199999999999</v>
      </c>
      <c r="O161" s="538">
        <f>Sheet1!AA159+Sheet1!AB159</f>
        <v>66.460000000000008</v>
      </c>
      <c r="P161" s="538">
        <f t="shared" si="310"/>
        <v>102.81362</v>
      </c>
      <c r="Q161" s="812">
        <f t="shared" si="407"/>
        <v>52.740000000000009</v>
      </c>
      <c r="R161" s="812">
        <f t="shared" si="373"/>
        <v>13.669927007299272</v>
      </c>
      <c r="S161" s="812">
        <f t="shared" si="374"/>
        <v>13.72</v>
      </c>
      <c r="T161" s="812">
        <f t="shared" si="375"/>
        <v>50.92</v>
      </c>
      <c r="U161" s="812">
        <f t="shared" si="408"/>
        <v>0</v>
      </c>
      <c r="V161" s="812"/>
      <c r="W161" s="812">
        <f t="shared" si="376"/>
        <v>50.970072992700729</v>
      </c>
      <c r="X161" s="812">
        <f t="shared" si="377"/>
        <v>64.64</v>
      </c>
      <c r="Y161" s="812" t="str">
        <f t="shared" si="378"/>
        <v>FALSE</v>
      </c>
      <c r="Z161" s="812">
        <f t="shared" si="379"/>
        <v>66.460000000000008</v>
      </c>
      <c r="AA161" s="812">
        <f t="shared" si="380"/>
        <v>66.460000000000008</v>
      </c>
      <c r="AB161" s="1059">
        <f t="shared" si="409"/>
        <v>81.588780000000014</v>
      </c>
      <c r="AC161" s="538">
        <f>Sheet1!Y159*MGDtoCFS</f>
        <v>47.987939999999995</v>
      </c>
      <c r="AD161" s="538">
        <f>Sheet1!Z159*MGDtoCFS</f>
        <v>57.130710000000001</v>
      </c>
      <c r="AE161" s="538">
        <f>Sheet1!AA159*MGDtoCFS</f>
        <v>47.910589999999999</v>
      </c>
      <c r="AF161" s="538">
        <f>Sheet1!AB159*MGDtoCFS</f>
        <v>54.903030000000001</v>
      </c>
      <c r="AG161" s="538">
        <f>Sheet1!L159*MGDtoCFS</f>
        <v>0</v>
      </c>
      <c r="AH161" s="521">
        <f t="shared" si="311"/>
        <v>0</v>
      </c>
      <c r="AI161" s="1059">
        <f t="shared" si="312"/>
        <v>0</v>
      </c>
      <c r="AJ161" s="535">
        <f t="shared" si="313"/>
        <v>50.970072992700729</v>
      </c>
      <c r="AK161" s="535">
        <f t="shared" si="314"/>
        <v>78.850702919708027</v>
      </c>
      <c r="AL161" s="535">
        <f>(VLOOKUP(Sheet1!DC159,hhdcap_wcm,4)-(((VLOOKUP(Sheet1!DC159,hhdcap_wcm,3)-Sheet1!DC159)/(VLOOKUP(Sheet1!DC159,hhdcap_wcm,3)-VLOOKUP(Sheet1!DC159,hhdcap_wcm,1)))*(VLOOKUP(Sheet1!DC159,hhdcap_wcm,4)-VLOOKUP(Sheet1!DC159,hhdcap_wcm,2))))</f>
        <v>48581.000000117674</v>
      </c>
      <c r="AM161" s="535">
        <f t="shared" si="315"/>
        <v>527.70000000258733</v>
      </c>
      <c r="AN161" s="1035">
        <f t="shared" si="316"/>
        <v>5595.4924100472072</v>
      </c>
      <c r="AO161" s="535">
        <f t="shared" si="317"/>
        <v>17166.970714024832</v>
      </c>
      <c r="AP161" s="535">
        <f>Sheet1!BA159+Sheet1!BB159+Sheet1!BN159+CD161</f>
        <v>21.9</v>
      </c>
      <c r="AQ161" s="535">
        <f>Sheet1!BN159+(DO161*Sheet1!BN159)</f>
        <v>21.82007299270073</v>
      </c>
      <c r="AR161" s="535">
        <f>Sheet1!BA159+CD161</f>
        <v>0</v>
      </c>
      <c r="AS161" s="535">
        <f>Sheet1!BA159+Sheet1!BB159+CD161</f>
        <v>0</v>
      </c>
      <c r="AT161" s="649">
        <f>0</f>
        <v>0</v>
      </c>
      <c r="AU161" s="535">
        <f>IF(EB161&lt;K161,0,MAX(Sheet1!AA159+AQ161-15/36*K161-N161,Sheet1!EH159,0))</f>
        <v>0</v>
      </c>
      <c r="AV161" s="535">
        <f>IF(OR(B161&gt;=GD161,B161&lt;GC161),0,15/36*K161-MAX(0,64.6-(137.6-(Sheet1!AA159+Sheet1!AB159))))</f>
        <v>26.933333333333334</v>
      </c>
      <c r="AW161" s="1029"/>
      <c r="AX161" s="649"/>
      <c r="AY161" s="649">
        <f t="shared" si="410"/>
        <v>0</v>
      </c>
      <c r="AZ161" s="649">
        <f t="shared" si="411"/>
        <v>0</v>
      </c>
      <c r="BA161" s="1059">
        <f t="shared" si="412"/>
        <v>0</v>
      </c>
      <c r="BB161" s="1019">
        <f t="shared" si="318"/>
        <v>2716.666666666667</v>
      </c>
      <c r="BC161" s="1041">
        <f t="shared" si="413"/>
        <v>26.933333333333334</v>
      </c>
      <c r="BD161" s="1019">
        <f ca="1">IF(B161&gt;Summary!$A$1,#N/A,BB161*MGtoAF)</f>
        <v>8334.7333333333336</v>
      </c>
      <c r="BE161" s="535">
        <f>Sheet1!BG159+Sheet1!BH159+Sheet1!BI159-BM161</f>
        <v>1.51</v>
      </c>
      <c r="BF161" s="535">
        <f t="shared" si="319"/>
        <v>1.5044890510948907</v>
      </c>
      <c r="BG161" s="535">
        <f>IF(Sheet1!EP159="FM",BM161,0)</f>
        <v>0</v>
      </c>
      <c r="BH161" s="535">
        <f t="shared" si="320"/>
        <v>0</v>
      </c>
      <c r="BI161" s="535">
        <f>IF(Sheet1!EP159="OTHER",BM161,0)</f>
        <v>0</v>
      </c>
      <c r="BJ161" s="535">
        <f t="shared" si="321"/>
        <v>0</v>
      </c>
      <c r="BK161" s="535">
        <f t="shared" si="322"/>
        <v>1.51</v>
      </c>
      <c r="BL161" s="535">
        <f t="shared" si="323"/>
        <v>1.5044890510948907</v>
      </c>
      <c r="BM161" s="535">
        <f>IF(OR(Sheet1!EP159="FM", Sheet1!EP159="OTHER"),SUM(Sheet1!BG159:'Sheet1'!BI159),0)</f>
        <v>0</v>
      </c>
      <c r="BN161" s="521">
        <f>IF(AND($B161&gt;=$FV161,$B161&lt;=$FW161),MAX(BF161,Sheet1!EI159,0),MAX(BF161-(7/36)*$K161,0))</f>
        <v>0</v>
      </c>
      <c r="BO161" s="535">
        <f t="shared" si="324"/>
        <v>11.064399837793998</v>
      </c>
      <c r="BP161" s="521">
        <f t="shared" si="325"/>
        <v>1.5044890510948907</v>
      </c>
      <c r="BQ161" s="521">
        <f>IF(AND($O161&gt;0,Sheet1!EM159=1),(1-($O161-Sheet1!$L159)/$O161)*BL161,0)</f>
        <v>0</v>
      </c>
      <c r="BR161" s="521">
        <f>IF(AND(Sheet1!$L159=0,Sheet1!$L158=0, Calculation!BK161&lt;Sheet1!$EI159-0.1,Sheet1!$EI159=Sheet1!$EI158,Sheet1!$EI159=Sheet1!$EI160),BL161-BQ161,BL161-BQ161)</f>
        <v>1.5044890510948907</v>
      </c>
      <c r="BS161" s="1035" t="str">
        <f t="shared" si="414"/>
        <v/>
      </c>
      <c r="BT161" s="1035">
        <f t="shared" si="415"/>
        <v>12.568888888888889</v>
      </c>
      <c r="BU161" s="535">
        <f t="shared" si="326"/>
        <v>1235.7700874460161</v>
      </c>
      <c r="BV161" s="535"/>
      <c r="BW161" s="535">
        <f ca="1">IF(B161&gt;Summary!$A$1,#N/A,BU161*MGtoAF)</f>
        <v>3791.3426282843775</v>
      </c>
      <c r="BX161" s="535">
        <f>Sheet1!BC159+Sheet1!BD159+Sheet1!BE159+Sheet1!BF159-CG161-CH161</f>
        <v>4.67</v>
      </c>
      <c r="BY161" s="535">
        <f t="shared" si="327"/>
        <v>4.6529562043795627</v>
      </c>
      <c r="BZ161" s="535">
        <f>IF(Sheet1!EQ159="FM",CH161,0)</f>
        <v>0</v>
      </c>
      <c r="CA161" s="535">
        <f t="shared" si="328"/>
        <v>0</v>
      </c>
      <c r="CB161" s="535">
        <f>IF(Sheet1!EQ159="OTHER",CH161,0)</f>
        <v>0</v>
      </c>
      <c r="CC161" s="535">
        <f t="shared" si="329"/>
        <v>0</v>
      </c>
      <c r="CD161" s="535">
        <f t="shared" si="330"/>
        <v>0</v>
      </c>
      <c r="CE161" s="535">
        <f t="shared" si="331"/>
        <v>4.67</v>
      </c>
      <c r="CF161" s="535">
        <f t="shared" si="332"/>
        <v>4.6529562043795627</v>
      </c>
      <c r="CG161" s="535">
        <f>IF(Sheet1!EQ159="CWA",SUM(Sheet1!BC159:'Sheet1'!BF159),0)</f>
        <v>0</v>
      </c>
      <c r="CH161" s="535">
        <f>IF(OR(Sheet1!EQ159="FM", Sheet1!EQ159="OTHER"),SUM(Sheet1!BC159:'Sheet1'!BF159),0)</f>
        <v>0</v>
      </c>
      <c r="CI161" s="521">
        <f>IF(AND($B161&gt;=$FV161,$B161&lt;=$FW161),MAX(CF161,Sheet1!EJ159,0),MAX(CF161-(7/36)*$K161,0))</f>
        <v>0</v>
      </c>
      <c r="CJ161" s="535">
        <f t="shared" si="333"/>
        <v>7.9159326845093263</v>
      </c>
      <c r="CK161" s="521">
        <f t="shared" si="334"/>
        <v>4.6529562043795627</v>
      </c>
      <c r="CL161" s="521">
        <f>IF(AND($O161&gt;0,Sheet1!EN159=1),(1-($O161-Sheet1!$L159)/$O161)*CF161,0)</f>
        <v>0</v>
      </c>
      <c r="CM161" s="521">
        <f>IF(AND(Sheet1!$L159=0,Sheet1!$L158=0, Calculation!CE161&lt;Sheet1!EJ159-0.1,Sheet1!EJ159=Sheet1!EJ158,Sheet1!EJ159=Sheet1!EJ160),CF161-CL161,CF161-CL161)</f>
        <v>4.6529562043795627</v>
      </c>
      <c r="CN161" s="1040" t="str">
        <f t="shared" si="416"/>
        <v/>
      </c>
      <c r="CO161" s="1035">
        <f t="shared" si="417"/>
        <v>12.568888888888889</v>
      </c>
      <c r="CP161" s="535">
        <f t="shared" si="335"/>
        <v>982.77358821006703</v>
      </c>
      <c r="CQ161" s="535"/>
      <c r="CR161" s="535">
        <f ca="1">IF(B161&gt;Summary!$A$1,#N/A,CP161*MGtoAF)</f>
        <v>3015.1493686284857</v>
      </c>
      <c r="CS161" s="535">
        <f>Sheet1!BK159+Sheet1!BL159+Sheet1!BM159-Sheet1!ER159-DA161</f>
        <v>7.54</v>
      </c>
      <c r="CT161" s="535">
        <f t="shared" si="336"/>
        <v>7.5124817518248186</v>
      </c>
      <c r="CU161" s="535">
        <f>IF(Sheet1!ER159="FM",DA161,0)</f>
        <v>0</v>
      </c>
      <c r="CV161" s="535">
        <f t="shared" si="337"/>
        <v>0</v>
      </c>
      <c r="CW161" s="535">
        <f>IF(Sheet1!ER159="OTHER",DA161,0)</f>
        <v>0</v>
      </c>
      <c r="CX161" s="535">
        <f t="shared" si="338"/>
        <v>0</v>
      </c>
      <c r="CY161" s="535">
        <f t="shared" si="339"/>
        <v>7.54</v>
      </c>
      <c r="CZ161" s="535">
        <f t="shared" si="340"/>
        <v>7.5124817518248186</v>
      </c>
      <c r="DA161" s="535">
        <f>IF(OR(Sheet1!ER159="FM", Sheet1!ER159="OTHER"),SUM(Sheet1!BK159:'Sheet1'!BM159),0)</f>
        <v>0</v>
      </c>
      <c r="DB161" s="1011">
        <f>IF(AND($B161&gt;=$FV161,$B161&lt;=$FW161),MAX($CT161,Sheet1!EK159,0),MAX($CT161-(7/36)*$K161,0))</f>
        <v>0</v>
      </c>
      <c r="DC161" s="1012">
        <f t="shared" si="341"/>
        <v>5.0564071370640704</v>
      </c>
      <c r="DD161" s="1011">
        <f t="shared" si="342"/>
        <v>7.5124817518248186</v>
      </c>
      <c r="DE161" s="521">
        <f>IF(AND($O161&gt;0,Sheet1!EO159=1),(1-($O161-Sheet1!$L159)/$O161)*CZ161,0)</f>
        <v>0</v>
      </c>
      <c r="DF161" s="521">
        <f>IF(AND(Sheet1!$L159=0,Sheet1!$L158=0, Calculation!CY161&lt;Sheet1!$EK159-0.1,Sheet1!$EK159=Sheet1!$EK158,Sheet1!$EK159=Sheet1!$EK160),CZ161-DE161,CZ161-DE161)</f>
        <v>7.5124817518248186</v>
      </c>
      <c r="DG161" s="1040">
        <f t="shared" si="418"/>
        <v>12.568888888888889</v>
      </c>
      <c r="DH161" s="649">
        <f t="shared" si="343"/>
        <v>13.719999999999999</v>
      </c>
      <c r="DI161" s="535">
        <f t="shared" si="344"/>
        <v>660.28206772445697</v>
      </c>
      <c r="DJ161" s="649">
        <f t="shared" si="345"/>
        <v>13.669927007299272</v>
      </c>
      <c r="DK161" s="535">
        <f ca="1">IF(B161&gt;Summary!$A$1,#N/A,DI161*MGtoAF)</f>
        <v>2025.7453837786341</v>
      </c>
      <c r="DL161" s="649">
        <f t="shared" si="346"/>
        <v>13.72</v>
      </c>
      <c r="DM161" s="535">
        <f t="shared" si="347"/>
        <v>35.619999999999997</v>
      </c>
      <c r="DN161" s="535">
        <f>Sheet1!AB159-DM161</f>
        <v>-0.12999999999999545</v>
      </c>
      <c r="DO161" s="743">
        <f t="shared" si="348"/>
        <v>-3.6496350364962232E-3</v>
      </c>
      <c r="DP161" s="535">
        <f>(VLOOKUP(Sheet1!DC159,hhdcap_wcm,4)-(((VLOOKUP(Sheet1!DC159,hhdcap_wcm,3)-Sheet1!DC159)/(VLOOKUP(Sheet1!DC159,hhdcap_wcm,3)-VLOOKUP(Sheet1!DC159,hhdcap_wcm,1)))*(VLOOKUP(Sheet1!DC159,hhdcap_wcm,4)-VLOOKUP(Sheet1!DC159,hhdcap_wcm,2))))</f>
        <v>48581.000000117674</v>
      </c>
      <c r="DQ161" s="535">
        <f t="shared" si="349"/>
        <v>527.70000000258733</v>
      </c>
      <c r="DR161" s="535">
        <f t="shared" si="350"/>
        <v>266.11195158980701</v>
      </c>
      <c r="DS161" s="535">
        <f>Sheet1!EA159*AFtoMG</f>
        <v>0</v>
      </c>
      <c r="DT161" s="535">
        <f>Sheet1!EB159*AFtoMG</f>
        <v>0</v>
      </c>
      <c r="DU161" s="535">
        <f>Sheet1!EC159*AFtoMG</f>
        <v>0</v>
      </c>
      <c r="DV161" s="535">
        <f>Sheet1!ED159*AFtoMG</f>
        <v>0</v>
      </c>
      <c r="DW161" s="535">
        <f t="shared" si="351"/>
        <v>0</v>
      </c>
      <c r="DX161" s="535">
        <f t="shared" si="352"/>
        <v>0</v>
      </c>
      <c r="DY161" s="535">
        <f t="shared" si="353"/>
        <v>5595.4924100472072</v>
      </c>
      <c r="DZ161" s="535">
        <f t="shared" si="354"/>
        <v>17166.970714024832</v>
      </c>
      <c r="EA161" s="535"/>
      <c r="EB161" s="521">
        <f>IF(OR(B161&lt;FV161,B161&gt;FW161),(MIN(BF161+BY161+CT161+MAX(Sheet1!AA159+AQ161-73,0),K161)),0)</f>
        <v>13.669927007299272</v>
      </c>
      <c r="EC161" s="535"/>
      <c r="ED161" s="535">
        <f t="shared" si="355"/>
        <v>13.669927007299272</v>
      </c>
      <c r="EE161" s="535"/>
      <c r="EF161" s="535">
        <f>Sheet1!EH159+Sheet1!EI159+Sheet1!EJ159+Sheet1!EK159</f>
        <v>13.5</v>
      </c>
      <c r="EG161" s="1019">
        <f t="shared" si="419"/>
        <v>20.884499999999999</v>
      </c>
      <c r="EH161" s="521">
        <f t="shared" si="356"/>
        <v>0</v>
      </c>
      <c r="EI161" s="535">
        <f>IF(Sheet1!ET159=1,SUM('Calculations II'!AT161:BA161)+'Calculations II'!BC161+Sheet1!BV159+'Calculations II'!BE161+AP161,'Calculations II'!BK161)</f>
        <v>53.811848992700732</v>
      </c>
      <c r="EJ161" s="535">
        <f ca="1">EI161+'Calculations II'!D161+'Calculations II'!E161+'Calculations II'!O161</f>
        <v>58.395319721891561</v>
      </c>
      <c r="EK161" s="535"/>
      <c r="EL161" s="535"/>
      <c r="EM161" s="535">
        <f t="shared" si="357"/>
        <v>42885</v>
      </c>
      <c r="EN161" s="535">
        <f t="shared" si="358"/>
        <v>50.970072992700729</v>
      </c>
      <c r="EO161" s="535">
        <f t="shared" si="359"/>
        <v>78.850702919708027</v>
      </c>
      <c r="EP161" s="535">
        <v>0</v>
      </c>
      <c r="EQ161" s="535">
        <v>0</v>
      </c>
      <c r="ER161" s="535">
        <v>0</v>
      </c>
      <c r="ES161" s="521">
        <f t="shared" si="381"/>
        <v>-3.8782915131565892</v>
      </c>
      <c r="ET161" s="535">
        <f>-(VLOOKUP(Sheet1!BQ159,Lookup!$O$4:$Q$262,2)-VLOOKUP(Sheet1!BQ158,Lookup!$O$4:$Q$262,2))/1000000</f>
        <v>-1.9388317226910592</v>
      </c>
      <c r="EU161" s="535">
        <f>-(VLOOKUP(Sheet1!BR159,Lookup!$O$4:$Q$262,3)-VLOOKUP(Sheet1!BR158,Lookup!$O$4:$Q$262,3))/1000000</f>
        <v>-1.93945979046553</v>
      </c>
      <c r="EV161" s="535"/>
      <c r="EW161" s="535"/>
      <c r="EX161" s="535"/>
      <c r="EY161" s="535"/>
      <c r="EZ161" s="535"/>
      <c r="FA161" s="535"/>
      <c r="FB161" s="535"/>
      <c r="FC161" s="535"/>
      <c r="FD161" s="567" t="e">
        <f t="shared" si="360"/>
        <v>#N/A</v>
      </c>
      <c r="FE161" s="567" t="e">
        <f t="shared" si="361"/>
        <v>#N/A</v>
      </c>
      <c r="FF161" s="568" t="e">
        <f t="shared" si="362"/>
        <v>#N/A</v>
      </c>
      <c r="FG161" s="569" t="s">
        <v>656</v>
      </c>
      <c r="FH161" s="569" t="s">
        <v>656</v>
      </c>
      <c r="FI161" s="567" t="e">
        <v>#N/A</v>
      </c>
      <c r="FJ161" s="567" t="e">
        <v>#N/A</v>
      </c>
      <c r="FK161" s="535"/>
      <c r="FL161" s="1015">
        <v>0</v>
      </c>
      <c r="FM161" s="535"/>
      <c r="FN161" s="535"/>
      <c r="FO161" s="535">
        <f>O161+((Sheet1!CS159)*GPMtoMGD)</f>
        <v>71.479552000000012</v>
      </c>
      <c r="FP161" s="535">
        <f>IF(Sheet1!AA159+AQ161&lt;=Calculation!N161,AQ161,Calculation!N161-Sheet1!AA159)</f>
        <v>21.82007299270073</v>
      </c>
      <c r="FQ161" s="535">
        <f>(Sheet1!BP159+Sheet1!BO159)/694.4</f>
        <v>2.5668202764976962</v>
      </c>
      <c r="FR161" s="541"/>
      <c r="FS161" s="541"/>
      <c r="FT161" s="541"/>
      <c r="FU161" s="541"/>
      <c r="FV161" s="1109">
        <f t="shared" si="382"/>
        <v>42918</v>
      </c>
      <c r="FW161" s="1109">
        <f t="shared" si="383"/>
        <v>43027</v>
      </c>
      <c r="FX161" s="541"/>
      <c r="FY161" s="541">
        <f>Sheet1!DA159-Sheet1!CZ159-Sheet1!AE159</f>
        <v>145.18637999999999</v>
      </c>
      <c r="FZ161" s="535">
        <f t="shared" si="420"/>
        <v>8.2722005207980023E-2</v>
      </c>
      <c r="GA161" s="535"/>
      <c r="GB161" s="535" t="str">
        <f t="shared" si="384"/>
        <v>n</v>
      </c>
      <c r="GC161" s="539">
        <f t="shared" si="385"/>
        <v>42782</v>
      </c>
      <c r="GD161" s="1109">
        <f t="shared" si="386"/>
        <v>42904</v>
      </c>
      <c r="GE161" s="535">
        <f t="shared" si="404"/>
        <v>6520</v>
      </c>
      <c r="GF161" s="1109">
        <f t="shared" si="387"/>
        <v>42909</v>
      </c>
      <c r="GG161" s="535">
        <f t="shared" si="432"/>
        <v>3260</v>
      </c>
      <c r="GH161" s="539">
        <f t="shared" si="388"/>
        <v>43040</v>
      </c>
      <c r="GJ161" s="521">
        <f t="shared" si="389"/>
        <v>26.933333333333334</v>
      </c>
      <c r="GK161" s="535" t="str">
        <f t="shared" si="363"/>
        <v>PPP</v>
      </c>
      <c r="GL161" s="535">
        <f t="shared" si="390"/>
        <v>26.933333333333334</v>
      </c>
      <c r="GM161" s="535" t="str">
        <f t="shared" si="391"/>
        <v/>
      </c>
      <c r="GN161" s="535">
        <f>IF(GK161="P",Lookup!$M$12,IF(GK161="PP",Lookup!$M$13,IF(GK161="PPP",Lookup!$M$14,IF(GK161="T",Lookup!$M$15,IF(GK161="TP",Lookup!$M$16,IF(GK161="TPP",Lookup!$M$17,IF(GK161="TPPP",Lookup!$M$18,0)))))))*GJ161</f>
        <v>0</v>
      </c>
      <c r="GO161" s="535">
        <f t="shared" si="392"/>
        <v>0</v>
      </c>
      <c r="GP161" s="535">
        <f t="shared" si="364"/>
        <v>8334.7333333333336</v>
      </c>
      <c r="GQ161" s="535">
        <f>(IF(AND(GB160="Y",B161=GD161),1392.1,(IF(AND(B161&lt;GF161,B161&gt;=GC161),MIN(BB160+AV161-AU161,15/36*GE161),IF(B161=GF161,15/36*GG161,IF(AND(B161&gt;GF161,B161&lt;GH161),MIN(BB160+AV161-AU161,15/36*GG161),IF(B161&gt;=GH161,0,0)))))))+DS161</f>
        <v>2716.666666666667</v>
      </c>
      <c r="GR161" s="535"/>
      <c r="GS161" s="535">
        <f t="shared" si="393"/>
        <v>0</v>
      </c>
      <c r="GT161" s="535" t="str">
        <f t="shared" si="394"/>
        <v>P</v>
      </c>
      <c r="GU161" s="535">
        <f>IF(GK161="P",Lookup!$N$12,IF(GK161="PP",Lookup!$N$13,IF(GK161="PPP",Lookup!$N$14,IF(GK161="T",Lookup!$N$15,IF(GK161="TP",Lookup!$N$16,IF(GK161="TPP",Lookup!$N$17,IF(GK161="TPPP",Lookup!$N$18,0)))))))*GJ161</f>
        <v>8.9777777777777779</v>
      </c>
      <c r="GV161" s="535">
        <f t="shared" si="395"/>
        <v>8.9777777777777779</v>
      </c>
      <c r="GW161" s="535">
        <f t="shared" si="365"/>
        <v>3763.7988060621551</v>
      </c>
      <c r="GX161" s="535">
        <f t="shared" si="400"/>
        <v>1226.7923096682382</v>
      </c>
      <c r="GY161" s="535"/>
      <c r="GZ161" s="535">
        <f t="shared" si="396"/>
        <v>0</v>
      </c>
      <c r="HA161" s="535" t="str">
        <f t="shared" si="397"/>
        <v>P</v>
      </c>
      <c r="HB161" s="535">
        <f>IF(GK161="P",Lookup!$N$12,IF(GK161="PP",Lookup!$N$13,IF(GK161="PPP",Lookup!$N$14,IF(GK161="T",Lookup!$N$15,IF(GK161="TP",Lookup!$N$16,IF(GK161="TPP",Lookup!$N$17,IF(GK161="TPPP",Lookup!$N$18,0)))))))*GJ161</f>
        <v>8.9777777777777779</v>
      </c>
      <c r="HC161" s="521">
        <f t="shared" si="366"/>
        <v>8.9777777777777779</v>
      </c>
      <c r="HD161" s="535">
        <f t="shared" si="367"/>
        <v>2987.6055464062633</v>
      </c>
      <c r="HE161" s="535">
        <f t="shared" si="401"/>
        <v>973.79581043228927</v>
      </c>
      <c r="HF161" s="535"/>
      <c r="HG161" s="535">
        <f t="shared" si="398"/>
        <v>0</v>
      </c>
      <c r="HH161" s="535" t="str">
        <f t="shared" si="399"/>
        <v>P</v>
      </c>
      <c r="HI161" s="535">
        <f>IF(GK161="P",Lookup!$N$12,IF(GK161="PP",Lookup!$N$13,IF(GK161="PPP",Lookup!$N$14,IF(GK161="T",Lookup!$N$15,IF(GK161="TP",Lookup!$N$16,IF(GK161="TPP",Lookup!$N$17,IF(GK161="TPPP",Lookup!$N$18,0)))))))*GJ161</f>
        <v>8.9777777777777779</v>
      </c>
      <c r="HJ161" s="521">
        <f t="shared" si="368"/>
        <v>8.9777777777777779</v>
      </c>
      <c r="HK161" s="535">
        <f t="shared" si="369"/>
        <v>1998.2015615564119</v>
      </c>
      <c r="HL161" s="535">
        <f t="shared" si="402"/>
        <v>651.30428994667921</v>
      </c>
      <c r="HM161" s="535"/>
      <c r="HN161" s="541"/>
      <c r="HO161" s="541"/>
      <c r="HP161" s="541"/>
      <c r="HQ161" s="541">
        <f>IF(AND(B161&gt;=$FV$4,B161&lt;=$FW$4),MAX(110/1.02+$HQ$6+MIN(113/1.02,G161),IF($HV$6-(Sheet1!DA159-Sheet1!DB159)+MIN(113/1.02,G161)&lt;G161+FL161,$HV$6-(Sheet1!DA159-Sheet1!DB159)+MIN(113/1.02,G161),G161+FL161)),MIN(110/1.02+$HQ$6+113/1.02,G161))</f>
        <v>218.62745098039215</v>
      </c>
      <c r="HR161" s="541">
        <f t="shared" si="421"/>
        <v>223</v>
      </c>
      <c r="HS161" s="541">
        <f>HR161+(Sheet1!DA159-Sheet1!DB159)</f>
        <v>600</v>
      </c>
      <c r="HT161" s="541">
        <f t="shared" si="422"/>
        <v>81.588780000000014</v>
      </c>
      <c r="HU161" s="541">
        <f t="shared" si="423"/>
        <v>518.41121999999996</v>
      </c>
      <c r="HV161" s="541">
        <f t="shared" si="424"/>
        <v>0</v>
      </c>
      <c r="HW161" s="533" t="str">
        <f t="shared" si="425"/>
        <v/>
      </c>
      <c r="HX161" s="541">
        <f t="shared" si="426"/>
        <v>1270.372549019608</v>
      </c>
      <c r="HY161" s="541">
        <f>Sheet1!CZ159</f>
        <v>1489</v>
      </c>
      <c r="HZ161" s="541">
        <f t="shared" si="427"/>
        <v>0</v>
      </c>
      <c r="IA161" s="541">
        <f t="shared" si="428"/>
        <v>81.588780000000014</v>
      </c>
      <c r="IB161" s="541">
        <f t="shared" si="429"/>
        <v>1489</v>
      </c>
      <c r="IC161" s="1019" t="str">
        <f t="shared" si="430"/>
        <v/>
      </c>
      <c r="ID161" s="541">
        <f t="shared" si="431"/>
        <v>1407.41122</v>
      </c>
      <c r="IE161" s="541">
        <f>Sheet1!DB159</f>
        <v>1360</v>
      </c>
      <c r="IF161" s="533">
        <f>Sheet1!DA159</f>
        <v>1737</v>
      </c>
      <c r="IH161" s="541">
        <f>IF(AND($B161&gt;=$GC161,$B161&lt;=$GH161,$DR161&lt;0)+N("only adjusted when pool is drawn down during storage season"),Sheet1!$DB159+$DR161+N("Palmer minus all storage release"),Sheet1!$DB159)</f>
        <v>1360</v>
      </c>
      <c r="II161" s="541">
        <f>IF(AND($B161&gt;=$GC161,$B161&lt;=$GH161,$DR161&lt;0)+N("only adjusted when pool is drawn down during storage season"),Sheet1!$DA159+$DR161+N("Auburn minus all storage release"),Sheet1!$DA159)</f>
        <v>1737</v>
      </c>
    </row>
    <row r="162" spans="1:243" x14ac:dyDescent="0.25">
      <c r="A162" s="553" t="s">
        <v>6</v>
      </c>
      <c r="B162" s="531">
        <v>42886</v>
      </c>
      <c r="C162" s="536">
        <v>0</v>
      </c>
      <c r="D162" s="506">
        <f t="shared" si="371"/>
        <v>300</v>
      </c>
      <c r="E162" s="506">
        <f t="shared" si="372"/>
        <v>250</v>
      </c>
      <c r="F162" s="506">
        <v>250</v>
      </c>
      <c r="G162" s="535">
        <f>DR162+Sheet1!CZ160</f>
        <v>1389.7937468482119</v>
      </c>
      <c r="H162" s="1074">
        <f t="shared" si="405"/>
        <v>671.58477177599991</v>
      </c>
      <c r="I162" s="534">
        <f>IF(Sheet1!DA160&gt;=E162,(Sheet1!DA160-E162+P162)*CFStoMGD,0)</f>
        <v>974.74637177599993</v>
      </c>
      <c r="J162" s="995">
        <f>IF(Sheet1!DB160&gt;=D162,(Sheet1!DB160-D162+P162)*CFStoMGD,0)</f>
        <v>671.58477177599991</v>
      </c>
      <c r="K162" s="818">
        <f t="shared" si="406"/>
        <v>64.64</v>
      </c>
      <c r="L162" s="535">
        <f>Sheet1!AA160+Sheet1!AB160-Sheet1!L160+(Sheet1!DA160-F162)*CFStoMGD-S162-T162-U162</f>
        <v>910.10760000000005</v>
      </c>
      <c r="M162" s="535">
        <f t="shared" si="309"/>
        <v>916.32993152193785</v>
      </c>
      <c r="N162" s="824">
        <f>IF(Sheet1!DA160&gt;=F162,MIN(113*CFStoMGD,MIN(MAX(L162,0),MAX(M162,0))),0)</f>
        <v>73.043199999999999</v>
      </c>
      <c r="O162" s="538">
        <f>Sheet1!AA160+Sheet1!AB160</f>
        <v>63.97</v>
      </c>
      <c r="P162" s="538">
        <f t="shared" si="310"/>
        <v>98.961590000000001</v>
      </c>
      <c r="Q162" s="812">
        <f t="shared" si="407"/>
        <v>50.16</v>
      </c>
      <c r="R162" s="812">
        <f t="shared" si="373"/>
        <v>13.764119601328904</v>
      </c>
      <c r="S162" s="812">
        <f t="shared" si="374"/>
        <v>13.81</v>
      </c>
      <c r="T162" s="812">
        <f t="shared" si="375"/>
        <v>50.83</v>
      </c>
      <c r="U162" s="812">
        <f t="shared" si="408"/>
        <v>0</v>
      </c>
      <c r="V162" s="812"/>
      <c r="W162" s="812">
        <f t="shared" si="376"/>
        <v>50.8758803986711</v>
      </c>
      <c r="X162" s="812">
        <f t="shared" si="377"/>
        <v>64.64</v>
      </c>
      <c r="Y162" s="812" t="str">
        <f t="shared" si="378"/>
        <v>FALSE</v>
      </c>
      <c r="Z162" s="812">
        <f t="shared" si="379"/>
        <v>63.97</v>
      </c>
      <c r="AA162" s="812">
        <f t="shared" si="380"/>
        <v>63.97</v>
      </c>
      <c r="AB162" s="1059">
        <f t="shared" si="409"/>
        <v>77.597519999999989</v>
      </c>
      <c r="AC162" s="538">
        <f>Sheet1!Y160*MGDtoCFS</f>
        <v>47.910589999999999</v>
      </c>
      <c r="AD162" s="538">
        <f>Sheet1!Z160*MGDtoCFS</f>
        <v>54.903030000000001</v>
      </c>
      <c r="AE162" s="538">
        <f>Sheet1!AA160*MGDtoCFS</f>
        <v>47.910589999999999</v>
      </c>
      <c r="AF162" s="538">
        <f>Sheet1!AB160*MGDtoCFS</f>
        <v>51.050999999999995</v>
      </c>
      <c r="AG162" s="538">
        <f>Sheet1!L160*MGDtoCFS</f>
        <v>0</v>
      </c>
      <c r="AH162" s="521">
        <f t="shared" si="311"/>
        <v>0</v>
      </c>
      <c r="AI162" s="1059">
        <f t="shared" si="312"/>
        <v>0</v>
      </c>
      <c r="AJ162" s="535">
        <f t="shared" si="313"/>
        <v>50.8758803986711</v>
      </c>
      <c r="AK162" s="535">
        <f t="shared" si="314"/>
        <v>78.704986976744195</v>
      </c>
      <c r="AL162" s="535">
        <f>(VLOOKUP(Sheet1!DC160,hhdcap_wcm,4)-(((VLOOKUP(Sheet1!DC160,hhdcap_wcm,3)-Sheet1!DC160)/(VLOOKUP(Sheet1!DC160,hhdcap_wcm,3)-VLOOKUP(Sheet1!DC160,hhdcap_wcm,1)))*(VLOOKUP(Sheet1!DC160,hhdcap_wcm,4)-VLOOKUP(Sheet1!DC160,hhdcap_wcm,2))))</f>
        <v>48626.200000117678</v>
      </c>
      <c r="AM162" s="535">
        <f t="shared" si="315"/>
        <v>45.200000000004366</v>
      </c>
      <c r="AN162" s="1035">
        <f t="shared" si="316"/>
        <v>5646.3682904458774</v>
      </c>
      <c r="AO162" s="535">
        <f t="shared" si="317"/>
        <v>17323.057915087953</v>
      </c>
      <c r="AP162" s="535">
        <f>Sheet1!BA160+Sheet1!BB160+Sheet1!BN160+CD162</f>
        <v>19.3</v>
      </c>
      <c r="AQ162" s="535">
        <f>Sheet1!BN160+(DO162*Sheet1!BN160)</f>
        <v>19.235880398671096</v>
      </c>
      <c r="AR162" s="535">
        <f>Sheet1!BA160+CD162</f>
        <v>0</v>
      </c>
      <c r="AS162" s="535">
        <f>Sheet1!BA160+Sheet1!BB160+CD162</f>
        <v>0</v>
      </c>
      <c r="AT162" s="649">
        <f>0</f>
        <v>0</v>
      </c>
      <c r="AU162" s="535">
        <f>IF(EB162&lt;K162,0,MAX(Sheet1!AA160+AQ162-15/36*K162-N162,Sheet1!EH160,0))</f>
        <v>0</v>
      </c>
      <c r="AV162" s="535">
        <f>IF(OR(B162&gt;=GD162,B162&lt;GC162),0,15/36*K162-MAX(0,64.6-(137.6-(Sheet1!AA160+Sheet1!AB160))))</f>
        <v>26.933333333333334</v>
      </c>
      <c r="AW162" s="1029"/>
      <c r="AX162" s="649"/>
      <c r="AY162" s="649">
        <f t="shared" si="410"/>
        <v>0</v>
      </c>
      <c r="AZ162" s="649">
        <f t="shared" si="411"/>
        <v>0</v>
      </c>
      <c r="BA162" s="1059">
        <f t="shared" si="412"/>
        <v>0</v>
      </c>
      <c r="BB162" s="1019">
        <f t="shared" si="318"/>
        <v>2716.666666666667</v>
      </c>
      <c r="BC162" s="1041">
        <f t="shared" si="413"/>
        <v>26.933333333333334</v>
      </c>
      <c r="BD162" s="1019">
        <f ca="1">IF(B162&gt;Summary!$A$1,#N/A,BB162*MGtoAF)</f>
        <v>8334.7333333333336</v>
      </c>
      <c r="BE162" s="535">
        <f>Sheet1!BG160+Sheet1!BH160+Sheet1!BI160-BM162</f>
        <v>1.51</v>
      </c>
      <c r="BF162" s="535">
        <f t="shared" si="319"/>
        <v>1.5049833887043189</v>
      </c>
      <c r="BG162" s="535">
        <f>IF(Sheet1!EP160="FM",BM162,0)</f>
        <v>0</v>
      </c>
      <c r="BH162" s="535">
        <f t="shared" si="320"/>
        <v>0</v>
      </c>
      <c r="BI162" s="535">
        <f>IF(Sheet1!EP160="OTHER",BM162,0)</f>
        <v>0</v>
      </c>
      <c r="BJ162" s="535">
        <f t="shared" si="321"/>
        <v>0</v>
      </c>
      <c r="BK162" s="535">
        <f t="shared" si="322"/>
        <v>1.51</v>
      </c>
      <c r="BL162" s="535">
        <f t="shared" si="323"/>
        <v>1.5049833887043189</v>
      </c>
      <c r="BM162" s="535">
        <f>IF(OR(Sheet1!EP160="FM", Sheet1!EP160="OTHER"),SUM(Sheet1!BG160:'Sheet1'!BI160),0)</f>
        <v>0</v>
      </c>
      <c r="BN162" s="521">
        <f>IF(AND($B162&gt;=$FV162,$B162&lt;=$FW162),MAX(BF162,Sheet1!EI160,0),MAX(BF162-(7/36)*$K162,0))</f>
        <v>0</v>
      </c>
      <c r="BO162" s="535">
        <f t="shared" si="324"/>
        <v>11.063905500184569</v>
      </c>
      <c r="BP162" s="521">
        <f t="shared" si="325"/>
        <v>1.5049833887043189</v>
      </c>
      <c r="BQ162" s="521">
        <f>IF(AND($O162&gt;0,Sheet1!EM160=1),(1-($O162-Sheet1!$L160)/$O162)*BL162,0)</f>
        <v>0</v>
      </c>
      <c r="BR162" s="521">
        <f>IF(AND(Sheet1!$L160=0,Sheet1!$L159=0, Calculation!BK162&lt;Sheet1!$EI160-0.1,Sheet1!$EI160=Sheet1!$EI159,Sheet1!$EI160=Sheet1!$EI161),BL162-BQ162,BL162-BQ162)</f>
        <v>1.5049833887043189</v>
      </c>
      <c r="BS162" s="1035" t="str">
        <f t="shared" si="414"/>
        <v/>
      </c>
      <c r="BT162" s="1035">
        <f t="shared" si="415"/>
        <v>12.568888888888889</v>
      </c>
      <c r="BU162" s="535">
        <f>GV162+GX162</f>
        <v>1255.8117707239785</v>
      </c>
      <c r="BV162" s="535"/>
      <c r="BW162" s="535">
        <f ca="1">IF(B162&gt;Summary!$A$1,#N/A,BU162*MGtoAF)</f>
        <v>3852.8305125811662</v>
      </c>
      <c r="BX162" s="535">
        <f>Sheet1!BC160+Sheet1!BD160+Sheet1!BE160+Sheet1!BF160-CG162-CH162</f>
        <v>4.5</v>
      </c>
      <c r="BY162" s="535">
        <f t="shared" si="327"/>
        <v>4.485049833887043</v>
      </c>
      <c r="BZ162" s="535">
        <f>IF(Sheet1!EQ160="FM",CH162,0)</f>
        <v>0</v>
      </c>
      <c r="CA162" s="535">
        <f t="shared" si="328"/>
        <v>0</v>
      </c>
      <c r="CB162" s="535">
        <f>IF(Sheet1!EQ160="OTHER",CH162,0)</f>
        <v>0</v>
      </c>
      <c r="CC162" s="535">
        <f t="shared" si="329"/>
        <v>0</v>
      </c>
      <c r="CD162" s="535">
        <f t="shared" si="330"/>
        <v>0</v>
      </c>
      <c r="CE162" s="535">
        <f t="shared" si="331"/>
        <v>4.5</v>
      </c>
      <c r="CF162" s="535">
        <f t="shared" si="332"/>
        <v>4.485049833887043</v>
      </c>
      <c r="CG162" s="535">
        <f>IF(Sheet1!EQ160="CWA",SUM(Sheet1!BC160:'Sheet1'!BF160),0)</f>
        <v>0</v>
      </c>
      <c r="CH162" s="535">
        <f>IF(OR(Sheet1!EQ160="FM", Sheet1!EQ160="OTHER"),SUM(Sheet1!BC160:'Sheet1'!BF160),0)</f>
        <v>0</v>
      </c>
      <c r="CI162" s="521">
        <f>IF(AND($B162&gt;=$FV162,$B162&lt;=$FW162),MAX(CF162,Sheet1!EJ160,0),MAX(CF162-(7/36)*$K162,0))</f>
        <v>0</v>
      </c>
      <c r="CJ162" s="535">
        <f t="shared" si="333"/>
        <v>8.083839055001846</v>
      </c>
      <c r="CK162" s="521">
        <f t="shared" si="334"/>
        <v>4.485049833887043</v>
      </c>
      <c r="CL162" s="521">
        <f>IF(AND($O162&gt;0,Sheet1!EN160=1),(1-($O162-Sheet1!$L160)/$O162)*CF162,0)</f>
        <v>0</v>
      </c>
      <c r="CM162" s="521">
        <f>IF(AND(Sheet1!$L160=0,Sheet1!$L159=0, Calculation!CE162&lt;Sheet1!EJ160-0.1,Sheet1!EJ160=Sheet1!EJ159,Sheet1!EJ160=Sheet1!EJ161),CF162-CL162,CF162-CL162)</f>
        <v>4.485049833887043</v>
      </c>
      <c r="CN162" s="1040" t="str">
        <f t="shared" si="416"/>
        <v/>
      </c>
      <c r="CO162" s="1035">
        <f t="shared" si="417"/>
        <v>12.568888888888889</v>
      </c>
      <c r="CP162" s="535">
        <f t="shared" si="335"/>
        <v>999.83520504284661</v>
      </c>
      <c r="CQ162" s="535"/>
      <c r="CR162" s="535">
        <f ca="1">IF(B162&gt;Summary!$A$1,#N/A,CP162*MGtoAF)</f>
        <v>3067.4944090714534</v>
      </c>
      <c r="CS162" s="535">
        <f>Sheet1!BK160+Sheet1!BL160+Sheet1!BM160-Sheet1!ER160-DA162</f>
        <v>7.8</v>
      </c>
      <c r="CT162" s="535">
        <f t="shared" si="336"/>
        <v>7.7740863787375414</v>
      </c>
      <c r="CU162" s="535">
        <f>IF(Sheet1!ER160="FM",DA162,0)</f>
        <v>0</v>
      </c>
      <c r="CV162" s="535">
        <f t="shared" si="337"/>
        <v>0</v>
      </c>
      <c r="CW162" s="535">
        <f>IF(Sheet1!ER160="OTHER",DA162,0)</f>
        <v>0</v>
      </c>
      <c r="CX162" s="535">
        <f t="shared" si="338"/>
        <v>0</v>
      </c>
      <c r="CY162" s="535">
        <f t="shared" si="339"/>
        <v>7.8</v>
      </c>
      <c r="CZ162" s="535">
        <f t="shared" si="340"/>
        <v>7.7740863787375414</v>
      </c>
      <c r="DA162" s="535">
        <f>IF(OR(Sheet1!ER160="FM", Sheet1!ER160="OTHER"),SUM(Sheet1!BK160:'Sheet1'!BM160),0)</f>
        <v>0</v>
      </c>
      <c r="DB162" s="1011">
        <f>IF(AND($B162&gt;=$FV162,$B162&lt;=$FW162),MAX($CT162,Sheet1!EK160,0),MAX($CT162-(7/36)*$K162,0))</f>
        <v>0</v>
      </c>
      <c r="DC162" s="1012">
        <f t="shared" si="341"/>
        <v>4.7948025101513476</v>
      </c>
      <c r="DD162" s="1011">
        <f t="shared" si="342"/>
        <v>7.7740863787375414</v>
      </c>
      <c r="DE162" s="521">
        <f>IF(AND($O162&gt;0,Sheet1!EO160=1),(1-($O162-Sheet1!$L160)/$O162)*CZ162,0)</f>
        <v>0</v>
      </c>
      <c r="DF162" s="521">
        <f>IF(AND(Sheet1!$L160=0,Sheet1!$L159=0, Calculation!CY162&lt;Sheet1!$EK160-0.1,Sheet1!$EK160=Sheet1!$EK159,Sheet1!$EK160=Sheet1!$EK161),CZ162-DE162,CZ162-DE162)</f>
        <v>7.7740863787375414</v>
      </c>
      <c r="DG162" s="1040">
        <f t="shared" si="418"/>
        <v>12.568888888888889</v>
      </c>
      <c r="DH162" s="649">
        <f t="shared" si="343"/>
        <v>13.809999999999999</v>
      </c>
      <c r="DI162" s="535">
        <f t="shared" si="344"/>
        <v>674.05464801238611</v>
      </c>
      <c r="DJ162" s="649">
        <f t="shared" si="345"/>
        <v>13.764119601328904</v>
      </c>
      <c r="DK162" s="535">
        <f ca="1">IF(B162&gt;Summary!$A$1,#N/A,DI162*MGtoAF)</f>
        <v>2067.9996601020007</v>
      </c>
      <c r="DL162" s="649">
        <f t="shared" si="346"/>
        <v>13.81</v>
      </c>
      <c r="DM162" s="535">
        <f t="shared" si="347"/>
        <v>33.11</v>
      </c>
      <c r="DN162" s="535">
        <f>Sheet1!AB160-DM162</f>
        <v>-0.10999999999999943</v>
      </c>
      <c r="DO162" s="743">
        <f t="shared" si="348"/>
        <v>-3.3222591362126073E-3</v>
      </c>
      <c r="DP162" s="535">
        <f>(VLOOKUP(Sheet1!DC160,hhdcap_wcm,4)-(((VLOOKUP(Sheet1!DC160,hhdcap_wcm,3)-Sheet1!DC160)/(VLOOKUP(Sheet1!DC160,hhdcap_wcm,3)-VLOOKUP(Sheet1!DC160,hhdcap_wcm,1)))*(VLOOKUP(Sheet1!DC160,hhdcap_wcm,4)-VLOOKUP(Sheet1!DC160,hhdcap_wcm,2))))</f>
        <v>48626.200000117678</v>
      </c>
      <c r="DQ162" s="535">
        <f t="shared" si="349"/>
        <v>45.200000000004366</v>
      </c>
      <c r="DR162" s="535">
        <f t="shared" si="350"/>
        <v>22.793746848211981</v>
      </c>
      <c r="DS162" s="535">
        <f>Sheet1!EA160*AFtoMG</f>
        <v>0</v>
      </c>
      <c r="DT162" s="535">
        <f>Sheet1!EB160*AFtoMG</f>
        <v>0</v>
      </c>
      <c r="DU162" s="535">
        <f>Sheet1!EC160*AFtoMG</f>
        <v>0</v>
      </c>
      <c r="DV162" s="535">
        <f>Sheet1!ED160*AFtoMG</f>
        <v>0</v>
      </c>
      <c r="DW162" s="535">
        <f t="shared" si="351"/>
        <v>0</v>
      </c>
      <c r="DX162" s="535">
        <f t="shared" si="352"/>
        <v>0</v>
      </c>
      <c r="DY162" s="535">
        <f t="shared" si="353"/>
        <v>5646.3682904458774</v>
      </c>
      <c r="DZ162" s="535">
        <f t="shared" si="354"/>
        <v>17323.057915087953</v>
      </c>
      <c r="EA162" s="535"/>
      <c r="EB162" s="521">
        <f>IF(OR(B162&lt;FV162,B162&gt;FW162),(MIN(BF162+BY162+CT162+MAX(Sheet1!AA160+AQ162-73,0),K162)),0)</f>
        <v>13.764119601328904</v>
      </c>
      <c r="EC162" s="535"/>
      <c r="ED162" s="535">
        <f t="shared" si="355"/>
        <v>13.764119601328904</v>
      </c>
      <c r="EE162" s="535"/>
      <c r="EF162" s="535">
        <f>Sheet1!EH160+Sheet1!EI160+Sheet1!EJ160+Sheet1!EK160</f>
        <v>13.5</v>
      </c>
      <c r="EG162" s="1019">
        <f t="shared" si="419"/>
        <v>20.884499999999999</v>
      </c>
      <c r="EH162" s="521">
        <f t="shared" si="356"/>
        <v>0</v>
      </c>
      <c r="EI162" s="535">
        <f>IF(Sheet1!ET160=1,SUM('Calculations II'!AT162:BA162)+'Calculations II'!BC162+Sheet1!BV160+'Calculations II'!BE162+AP162,'Calculations II'!BK162)</f>
        <v>59.619408398671098</v>
      </c>
      <c r="EJ162" s="535">
        <f ca="1">EI162+'Calculations II'!D162+'Calculations II'!E162+'Calculations II'!O162</f>
        <v>55.130187618594569</v>
      </c>
      <c r="EK162" s="535"/>
      <c r="EL162" s="535"/>
      <c r="EM162" s="535">
        <f t="shared" si="357"/>
        <v>42886</v>
      </c>
      <c r="EN162" s="535">
        <f t="shared" si="358"/>
        <v>50.8758803986711</v>
      </c>
      <c r="EO162" s="535">
        <f t="shared" si="359"/>
        <v>78.704986976744195</v>
      </c>
      <c r="EP162" s="535">
        <v>0</v>
      </c>
      <c r="EQ162" s="535">
        <v>0</v>
      </c>
      <c r="ER162" s="535">
        <v>0</v>
      </c>
      <c r="ES162" s="521">
        <f t="shared" si="381"/>
        <v>4.1552162086142932</v>
      </c>
      <c r="ET162" s="535">
        <f>-(VLOOKUP(Sheet1!BQ160,Lookup!$O$4:$Q$262,2)-VLOOKUP(Sheet1!BQ159,Lookup!$O$4:$Q$262,2))/1000000</f>
        <v>2.0772716433077192</v>
      </c>
      <c r="EU162" s="535">
        <f>-(VLOOKUP(Sheet1!BR160,Lookup!$O$4:$Q$262,3)-VLOOKUP(Sheet1!BR159,Lookup!$O$4:$Q$262,3))/1000000</f>
        <v>2.077944565306574</v>
      </c>
      <c r="EV162" s="535"/>
      <c r="EW162" s="535"/>
      <c r="EX162" s="535"/>
      <c r="EY162" s="535"/>
      <c r="EZ162" s="535"/>
      <c r="FA162" s="535"/>
      <c r="FB162" s="535"/>
      <c r="FC162" s="535"/>
      <c r="FD162" s="567" t="e">
        <f t="shared" si="360"/>
        <v>#N/A</v>
      </c>
      <c r="FE162" s="567" t="e">
        <f t="shared" si="361"/>
        <v>#N/A</v>
      </c>
      <c r="FF162" s="568" t="e">
        <f t="shared" si="362"/>
        <v>#N/A</v>
      </c>
      <c r="FG162" s="569" t="s">
        <v>656</v>
      </c>
      <c r="FH162" s="569" t="s">
        <v>656</v>
      </c>
      <c r="FI162" s="567" t="e">
        <v>#N/A</v>
      </c>
      <c r="FJ162" s="567" t="e">
        <v>#N/A</v>
      </c>
      <c r="FK162" s="535"/>
      <c r="FL162" s="1015">
        <v>0</v>
      </c>
      <c r="FM162" s="535"/>
      <c r="FN162" s="535"/>
      <c r="FO162" s="535">
        <f>O162+((Sheet1!CS160)*GPMtoMGD)</f>
        <v>68.962192000000002</v>
      </c>
      <c r="FP162" s="535">
        <f>IF(Sheet1!AA160+AQ162&lt;=Calculation!N162,AQ162,Calculation!N162-Sheet1!AA160)</f>
        <v>19.235880398671096</v>
      </c>
      <c r="FQ162" s="535">
        <f>(Sheet1!BP160+Sheet1!BO160)/694.4</f>
        <v>1.9647177419354838</v>
      </c>
      <c r="FR162" s="541"/>
      <c r="FS162" s="541"/>
      <c r="FT162" s="541"/>
      <c r="FU162" s="541"/>
      <c r="FV162" s="1109">
        <f t="shared" si="382"/>
        <v>42918</v>
      </c>
      <c r="FW162" s="1109">
        <f t="shared" si="383"/>
        <v>43027</v>
      </c>
      <c r="FX162" s="541"/>
      <c r="FY162" s="541">
        <f>Sheet1!DA160-Sheet1!CZ160-Sheet1!AE160</f>
        <v>193.03841</v>
      </c>
      <c r="FZ162" s="535">
        <f t="shared" si="420"/>
        <v>0.13889716401284322</v>
      </c>
      <c r="GA162" s="535"/>
      <c r="GB162" s="535" t="str">
        <f t="shared" si="384"/>
        <v>n</v>
      </c>
      <c r="GC162" s="539">
        <f t="shared" si="385"/>
        <v>42782</v>
      </c>
      <c r="GD162" s="1109">
        <f t="shared" si="386"/>
        <v>42904</v>
      </c>
      <c r="GE162" s="535">
        <f t="shared" si="404"/>
        <v>6520</v>
      </c>
      <c r="GF162" s="1109">
        <f t="shared" si="387"/>
        <v>42909</v>
      </c>
      <c r="GG162" s="535">
        <f t="shared" si="432"/>
        <v>3260</v>
      </c>
      <c r="GH162" s="539">
        <f t="shared" si="388"/>
        <v>43040</v>
      </c>
      <c r="GJ162" s="521">
        <f t="shared" si="389"/>
        <v>26.933333333333334</v>
      </c>
      <c r="GK162" s="535" t="str">
        <f t="shared" si="363"/>
        <v>PPP</v>
      </c>
      <c r="GL162" s="535">
        <f t="shared" si="390"/>
        <v>26.933333333333334</v>
      </c>
      <c r="GM162" s="535" t="str">
        <f t="shared" si="391"/>
        <v/>
      </c>
      <c r="GN162" s="535">
        <f>IF(GK162="P",Lookup!$M$12,IF(GK162="PP",Lookup!$M$13,IF(GK162="PPP",Lookup!$M$14,IF(GK162="T",Lookup!$M$15,IF(GK162="TP",Lookup!$M$16,IF(GK162="TPP",Lookup!$M$17,IF(GK162="TPPP",Lookup!$M$18,0)))))))*GJ162</f>
        <v>0</v>
      </c>
      <c r="GO162" s="535">
        <f t="shared" si="392"/>
        <v>0</v>
      </c>
      <c r="GP162" s="535">
        <f t="shared" si="364"/>
        <v>8334.7333333333336</v>
      </c>
      <c r="GQ162" s="535">
        <f t="shared" ref="GQ162:GQ186" si="433">(IF(AND(GB161="Y",B162=GD162),1392.1,(IF(AND(B162&lt;GF162,B162&gt;=GC162),MIN(BB161+AV162-AU162,15/36*GE162),IF(B162=GF162,15/36*GG162,IF(AND(B162&gt;GF162,B162&lt;GH162),MIN(BB161+AV162-AU162,15/36*GG162),IF(B162&gt;=GH162,0,0)))))))+DS162</f>
        <v>2716.666666666667</v>
      </c>
      <c r="GR162" s="535"/>
      <c r="GS162" s="535">
        <f t="shared" si="393"/>
        <v>0</v>
      </c>
      <c r="GT162" s="535" t="str">
        <f t="shared" si="394"/>
        <v>P</v>
      </c>
      <c r="GU162" s="535">
        <f>IF(GK162="P",Lookup!$N$12,IF(GK162="PP",Lookup!$N$13,IF(GK162="PPP",Lookup!$N$14,IF(GK162="T",Lookup!$N$15,IF(GK162="TP",Lookup!$N$16,IF(GK162="TPP",Lookup!$N$17,IF(GK162="TPPP",Lookup!$N$18,0)))))))*GJ162</f>
        <v>8.9777777777777779</v>
      </c>
      <c r="GV162" s="535">
        <f t="shared" si="395"/>
        <v>8.9777777777777779</v>
      </c>
      <c r="GW162" s="535">
        <f t="shared" si="365"/>
        <v>3825.2866903589438</v>
      </c>
      <c r="GX162" s="535">
        <f t="shared" si="400"/>
        <v>1246.8339929462006</v>
      </c>
      <c r="GY162" s="535"/>
      <c r="GZ162" s="535">
        <f t="shared" si="396"/>
        <v>0</v>
      </c>
      <c r="HA162" s="535" t="str">
        <f t="shared" si="397"/>
        <v>P</v>
      </c>
      <c r="HB162" s="535">
        <f>IF(GK162="P",Lookup!$N$12,IF(GK162="PP",Lookup!$N$13,IF(GK162="PPP",Lookup!$N$14,IF(GK162="T",Lookup!$N$15,IF(GK162="TP",Lookup!$N$16,IF(GK162="TPP",Lookup!$N$17,IF(GK162="TPPP",Lookup!$N$18,0)))))))*GJ162</f>
        <v>8.9777777777777779</v>
      </c>
      <c r="HC162" s="521">
        <f t="shared" si="366"/>
        <v>8.9777777777777779</v>
      </c>
      <c r="HD162" s="535">
        <f t="shared" si="367"/>
        <v>3039.9505868492315</v>
      </c>
      <c r="HE162" s="535">
        <f t="shared" si="401"/>
        <v>990.85742726506885</v>
      </c>
      <c r="HF162" s="535"/>
      <c r="HG162" s="535">
        <f t="shared" si="398"/>
        <v>0</v>
      </c>
      <c r="HH162" s="535" t="str">
        <f t="shared" si="399"/>
        <v>P</v>
      </c>
      <c r="HI162" s="535">
        <f>IF(GK162="P",Lookup!$N$12,IF(GK162="PP",Lookup!$N$13,IF(GK162="PPP",Lookup!$N$14,IF(GK162="T",Lookup!$N$15,IF(GK162="TP",Lookup!$N$16,IF(GK162="TPP",Lookup!$N$17,IF(GK162="TPPP",Lookup!$N$18,0)))))))*GJ162</f>
        <v>8.9777777777777779</v>
      </c>
      <c r="HJ162" s="521">
        <f t="shared" si="368"/>
        <v>8.9777777777777779</v>
      </c>
      <c r="HK162" s="535">
        <f t="shared" si="369"/>
        <v>2040.4558378797785</v>
      </c>
      <c r="HL162" s="535">
        <f t="shared" si="402"/>
        <v>665.07687023460835</v>
      </c>
      <c r="HM162" s="535"/>
      <c r="HN162" s="541"/>
      <c r="HO162" s="541"/>
      <c r="HP162" s="541"/>
      <c r="HQ162" s="541">
        <f>IF(AND(B162&gt;=$FV$4,B162&lt;=$FW$4),MAX(110/1.02+$HQ$6+MIN(113/1.02,G162),IF($HV$6-(Sheet1!DA160-Sheet1!DB160)+MIN(113/1.02,G162)&lt;G162+FL162,$HV$6-(Sheet1!DA160-Sheet1!DB160)+MIN(113/1.02,G162),G162+FL162)),MIN(110/1.02+$HQ$6+113/1.02,G162))</f>
        <v>218.62745098039215</v>
      </c>
      <c r="HR162" s="541">
        <f t="shared" si="421"/>
        <v>223</v>
      </c>
      <c r="HS162" s="541">
        <f>HR162+(Sheet1!DA160-Sheet1!DB160)</f>
        <v>642</v>
      </c>
      <c r="HT162" s="541">
        <f t="shared" si="422"/>
        <v>77.597519999999989</v>
      </c>
      <c r="HU162" s="541">
        <f t="shared" si="423"/>
        <v>564.40247999999997</v>
      </c>
      <c r="HV162" s="541">
        <f t="shared" si="424"/>
        <v>0</v>
      </c>
      <c r="HW162" s="533" t="str">
        <f t="shared" si="425"/>
        <v/>
      </c>
      <c r="HX162" s="541">
        <f t="shared" si="426"/>
        <v>1148.372549019608</v>
      </c>
      <c r="HY162" s="541">
        <f>Sheet1!CZ160</f>
        <v>1367</v>
      </c>
      <c r="HZ162" s="541">
        <f t="shared" si="427"/>
        <v>0</v>
      </c>
      <c r="IA162" s="541">
        <f t="shared" si="428"/>
        <v>77.597519999999989</v>
      </c>
      <c r="IB162" s="541">
        <f t="shared" si="429"/>
        <v>1367</v>
      </c>
      <c r="IC162" s="1019" t="str">
        <f t="shared" si="430"/>
        <v/>
      </c>
      <c r="ID162" s="541">
        <f t="shared" si="431"/>
        <v>1289.40248</v>
      </c>
      <c r="IE162" s="541">
        <f>Sheet1!DB160</f>
        <v>1240</v>
      </c>
      <c r="IF162" s="533">
        <f>Sheet1!DA160</f>
        <v>1659</v>
      </c>
      <c r="IH162" s="541">
        <f>IF(AND($B162&gt;=$GC162,$B162&lt;=$GH162,$DR162&lt;0)+N("only adjusted when pool is drawn down during storage season"),Sheet1!$DB160+$DR162+N("Palmer minus all storage release"),Sheet1!$DB160)</f>
        <v>1240</v>
      </c>
      <c r="II162" s="541">
        <f>IF(AND($B162&gt;=$GC162,$B162&lt;=$GH162,$DR162&lt;0)+N("only adjusted when pool is drawn down during storage season"),Sheet1!$DA160+$DR162+N("Auburn minus all storage release"),Sheet1!$DA160)</f>
        <v>1659</v>
      </c>
    </row>
    <row r="163" spans="1:243" x14ac:dyDescent="0.25">
      <c r="A163" s="553" t="s">
        <v>7</v>
      </c>
      <c r="B163" s="531">
        <v>42887</v>
      </c>
      <c r="C163" s="536">
        <v>0</v>
      </c>
      <c r="D163" s="506">
        <f t="shared" si="371"/>
        <v>300</v>
      </c>
      <c r="E163" s="506">
        <f t="shared" si="372"/>
        <v>250</v>
      </c>
      <c r="F163" s="506">
        <v>250</v>
      </c>
      <c r="G163" s="535">
        <f>DR163+Sheet1!CZ161</f>
        <v>1302.5874936964167</v>
      </c>
      <c r="H163" s="1074">
        <f t="shared" si="405"/>
        <v>603.26071839999997</v>
      </c>
      <c r="I163" s="534">
        <f>IF(Sheet1!DA161&gt;=E163,(Sheet1!DA161-E163+P163)*CFStoMGD,0)</f>
        <v>943.26711839999996</v>
      </c>
      <c r="J163" s="995">
        <f>IF(Sheet1!DB161&gt;=D163,(Sheet1!DB161-D163+P163)*CFStoMGD,0)</f>
        <v>603.26071839999997</v>
      </c>
      <c r="K163" s="818">
        <f t="shared" si="406"/>
        <v>64.64</v>
      </c>
      <c r="L163" s="535">
        <f>Sheet1!AA161+Sheet1!AB161-Sheet1!L161+(Sheet1!DA161-F163)*CFStoMGD-S163-T163-U163</f>
        <v>878.62839999999994</v>
      </c>
      <c r="M163" s="535">
        <f t="shared" si="309"/>
        <v>858.83240704387106</v>
      </c>
      <c r="N163" s="824">
        <f>IF(Sheet1!DA161&gt;=F163,MIN(113*CFStoMGD,MIN(MAX(L163,0),MAX(M163,0))),0)</f>
        <v>73.043199999999999</v>
      </c>
      <c r="O163" s="538">
        <f>Sheet1!AA161+Sheet1!AB161</f>
        <v>66.75</v>
      </c>
      <c r="P163" s="538">
        <f t="shared" si="310"/>
        <v>103.26224999999999</v>
      </c>
      <c r="Q163" s="812">
        <f t="shared" si="407"/>
        <v>53.24</v>
      </c>
      <c r="R163" s="812">
        <f t="shared" si="373"/>
        <v>13.468615984405458</v>
      </c>
      <c r="S163" s="812">
        <f t="shared" si="374"/>
        <v>13.51</v>
      </c>
      <c r="T163" s="812">
        <f t="shared" si="375"/>
        <v>51.13</v>
      </c>
      <c r="U163" s="812">
        <f t="shared" si="408"/>
        <v>0</v>
      </c>
      <c r="V163" s="812"/>
      <c r="W163" s="812">
        <f t="shared" si="376"/>
        <v>51.171384015594541</v>
      </c>
      <c r="X163" s="812">
        <f t="shared" si="377"/>
        <v>64.64</v>
      </c>
      <c r="Y163" s="812" t="str">
        <f t="shared" si="378"/>
        <v>FALSE</v>
      </c>
      <c r="Z163" s="812">
        <f t="shared" si="379"/>
        <v>66.75</v>
      </c>
      <c r="AA163" s="812">
        <f t="shared" si="380"/>
        <v>66.75</v>
      </c>
      <c r="AB163" s="1059">
        <f t="shared" si="409"/>
        <v>82.362279999999998</v>
      </c>
      <c r="AC163" s="538">
        <f>Sheet1!Y161*MGDtoCFS</f>
        <v>47.910589999999999</v>
      </c>
      <c r="AD163" s="538">
        <f>Sheet1!Z161*MGDtoCFS</f>
        <v>50.757069999999999</v>
      </c>
      <c r="AE163" s="538">
        <f>Sheet1!AA161*MGDtoCFS</f>
        <v>47.879649999999998</v>
      </c>
      <c r="AF163" s="538">
        <f>Sheet1!AB161*MGDtoCFS</f>
        <v>55.382599999999996</v>
      </c>
      <c r="AG163" s="538">
        <f>Sheet1!L161*MGDtoCFS</f>
        <v>0</v>
      </c>
      <c r="AH163" s="521">
        <f t="shared" si="311"/>
        <v>0</v>
      </c>
      <c r="AI163" s="1059">
        <f t="shared" si="312"/>
        <v>0</v>
      </c>
      <c r="AJ163" s="535">
        <f t="shared" si="313"/>
        <v>51.171384015594541</v>
      </c>
      <c r="AK163" s="535">
        <f t="shared" si="314"/>
        <v>79.162131072124751</v>
      </c>
      <c r="AL163" s="535">
        <f>(VLOOKUP(Sheet1!DC161,hhdcap_wcm,4)-(((VLOOKUP(Sheet1!DC161,hhdcap_wcm,3)-Sheet1!DC161)/(VLOOKUP(Sheet1!DC161,hhdcap_wcm,3)-VLOOKUP(Sheet1!DC161,hhdcap_wcm,1)))*(VLOOKUP(Sheet1!DC161,hhdcap_wcm,4)-VLOOKUP(Sheet1!DC161,hhdcap_wcm,2))))</f>
        <v>48716.600000117673</v>
      </c>
      <c r="AM163" s="535">
        <f t="shared" si="315"/>
        <v>90.399999999994179</v>
      </c>
      <c r="AN163" s="1035">
        <f>(IF(AND(B163&gt;=GC163,B163&lt;GF163),MIN(BB163+BU163+CP163+DI163,GE163),IF(B163=GF163,GG163,IF(AND(B163&gt;GF163,B163&lt;GH163),BB163+BU163+CP163+DI163,IF(B163&gt;=GH163,0,0)))))</f>
        <v>5689.4643893960847</v>
      </c>
      <c r="AO163" s="535">
        <f t="shared" si="317"/>
        <v>17455.276746667187</v>
      </c>
      <c r="AP163" s="535">
        <f>Sheet1!BA161+Sheet1!BB161+Sheet1!BN161+CD163</f>
        <v>22.4</v>
      </c>
      <c r="AQ163" s="535">
        <f>Sheet1!BN161+(DO163*Sheet1!BN161)</f>
        <v>22.331384015594541</v>
      </c>
      <c r="AR163" s="535">
        <f>Sheet1!BA161+CD163</f>
        <v>0</v>
      </c>
      <c r="AS163" s="535">
        <f>Sheet1!BA161+Sheet1!BB161+CD163</f>
        <v>0</v>
      </c>
      <c r="AT163" s="649">
        <f>0</f>
        <v>0</v>
      </c>
      <c r="AU163" s="535">
        <f>IF(EB163&lt;K163,0,MAX(Sheet1!AA161+AQ163-15/36*K163-N163,Sheet1!EH161,0))</f>
        <v>0</v>
      </c>
      <c r="AV163" s="535">
        <f>IF(OR(B163&gt;=GD163,B163&lt;GC163),0,15/36*K163-MAX(0,64.6-(137.6-(Sheet1!AA161+Sheet1!AB161))))</f>
        <v>26.933333333333334</v>
      </c>
      <c r="AW163" s="1029"/>
      <c r="AX163" s="649"/>
      <c r="AY163" s="649">
        <f t="shared" si="410"/>
        <v>0</v>
      </c>
      <c r="AZ163" s="649">
        <f t="shared" si="411"/>
        <v>0</v>
      </c>
      <c r="BA163" s="1059">
        <f t="shared" si="412"/>
        <v>0</v>
      </c>
      <c r="BB163" s="1019">
        <f t="shared" si="318"/>
        <v>2716.666666666667</v>
      </c>
      <c r="BC163" s="1041">
        <f t="shared" si="413"/>
        <v>26.933333333333334</v>
      </c>
      <c r="BD163" s="1019">
        <f ca="1">IF(B163&gt;Summary!$A$1,#N/A,BB163*MGtoAF)</f>
        <v>8334.7333333333336</v>
      </c>
      <c r="BE163" s="535">
        <f>Sheet1!BG161+Sheet1!BH161+Sheet1!BI161-BM163</f>
        <v>1.51</v>
      </c>
      <c r="BF163" s="535">
        <f t="shared" si="319"/>
        <v>1.5053745474798106</v>
      </c>
      <c r="BG163" s="535">
        <f>IF(Sheet1!EP161="FM",BM163,0)</f>
        <v>0</v>
      </c>
      <c r="BH163" s="535">
        <f t="shared" si="320"/>
        <v>0</v>
      </c>
      <c r="BI163" s="535">
        <f>IF(Sheet1!EP161="OTHER",BM163,0)</f>
        <v>0</v>
      </c>
      <c r="BJ163" s="535">
        <f t="shared" si="321"/>
        <v>0</v>
      </c>
      <c r="BK163" s="535">
        <f t="shared" si="322"/>
        <v>1.51</v>
      </c>
      <c r="BL163" s="535">
        <f t="shared" si="323"/>
        <v>1.5053745474798106</v>
      </c>
      <c r="BM163" s="535">
        <f>IF(OR(Sheet1!EP161="FM", Sheet1!EP161="OTHER"),SUM(Sheet1!BG161:'Sheet1'!BI161),0)</f>
        <v>0</v>
      </c>
      <c r="BN163" s="521">
        <f>IF(AND($B163&gt;=$FV163,$B163&lt;=$FW163),MAX(BF163,Sheet1!EI161,0),MAX(BF163-(7/36)*$K163,0))</f>
        <v>0</v>
      </c>
      <c r="BO163" s="535">
        <f t="shared" si="324"/>
        <v>11.063514341409078</v>
      </c>
      <c r="BP163" s="521">
        <f t="shared" si="325"/>
        <v>1.5053745474798106</v>
      </c>
      <c r="BQ163" s="521">
        <f>IF(AND($O163&gt;0,Sheet1!EM161=1),(1-($O163-Sheet1!$L161)/$O163)*BL163,0)</f>
        <v>0</v>
      </c>
      <c r="BR163" s="521">
        <f>IF(AND(Sheet1!$L161=0,Sheet1!$L160=0, Calculation!BK163&lt;Sheet1!$EI161-0.1,Sheet1!$EI161=Sheet1!$EI160,Sheet1!$EI161=Sheet1!$EI162),BL163-BQ163,BL163-BQ163)</f>
        <v>1.5053745474798106</v>
      </c>
      <c r="BS163" s="1035" t="str">
        <f t="shared" si="414"/>
        <v/>
      </c>
      <c r="BT163" s="1035">
        <f t="shared" si="415"/>
        <v>12.568888888888889</v>
      </c>
      <c r="BU163" s="535">
        <f t="shared" si="326"/>
        <v>1267.7777777777778</v>
      </c>
      <c r="BV163" s="535"/>
      <c r="BW163" s="535">
        <f ca="1">IF(B163&gt;Summary!$A$1,#N/A,BU163*MGtoAF)</f>
        <v>3889.5422222222223</v>
      </c>
      <c r="BX163" s="535">
        <f>Sheet1!BC161+Sheet1!BD161+Sheet1!BE161+Sheet1!BF161-CG163-CH163</f>
        <v>4.49</v>
      </c>
      <c r="BY163" s="535">
        <f t="shared" si="327"/>
        <v>4.4762461709830133</v>
      </c>
      <c r="BZ163" s="535">
        <f>IF(Sheet1!EQ161="FM",CH163,0)</f>
        <v>0</v>
      </c>
      <c r="CA163" s="535">
        <f t="shared" si="328"/>
        <v>0</v>
      </c>
      <c r="CB163" s="535">
        <f>IF(Sheet1!EQ161="OTHER",CH163,0)</f>
        <v>0</v>
      </c>
      <c r="CC163" s="535">
        <f t="shared" si="329"/>
        <v>0</v>
      </c>
      <c r="CD163" s="535">
        <f t="shared" si="330"/>
        <v>0</v>
      </c>
      <c r="CE163" s="535">
        <f t="shared" si="331"/>
        <v>4.49</v>
      </c>
      <c r="CF163" s="535">
        <f t="shared" si="332"/>
        <v>4.4762461709830133</v>
      </c>
      <c r="CG163" s="535">
        <f>IF(Sheet1!EQ161="CWA",SUM(Sheet1!BC161:'Sheet1'!BF161),0)</f>
        <v>0</v>
      </c>
      <c r="CH163" s="535">
        <f>IF(OR(Sheet1!EQ161="FM", Sheet1!EQ161="OTHER"),SUM(Sheet1!BC161:'Sheet1'!BF161),0)</f>
        <v>0</v>
      </c>
      <c r="CI163" s="521">
        <f>IF(AND($B163&gt;=$FV163,$B163&lt;=$FW163),MAX(CF163,Sheet1!EJ161,0),MAX(CF163-(7/36)*$K163,0))</f>
        <v>0</v>
      </c>
      <c r="CJ163" s="535">
        <f t="shared" si="333"/>
        <v>8.0926427179058749</v>
      </c>
      <c r="CK163" s="521">
        <f t="shared" si="334"/>
        <v>4.4762461709830133</v>
      </c>
      <c r="CL163" s="521">
        <f>IF(AND($O163&gt;0,Sheet1!EN161=1),(1-($O163-Sheet1!$L161)/$O163)*CF163,0)</f>
        <v>0</v>
      </c>
      <c r="CM163" s="521">
        <f>IF(AND(Sheet1!$L161=0,Sheet1!$L160=0, Calculation!CE163&lt;Sheet1!EJ161-0.1,Sheet1!EJ161=Sheet1!EJ160,Sheet1!EJ161=Sheet1!EJ162),CF163-CL163,CF163-CL163)</f>
        <v>4.4762461709830133</v>
      </c>
      <c r="CN163" s="1040" t="str">
        <f t="shared" si="416"/>
        <v/>
      </c>
      <c r="CO163" s="1035">
        <f t="shared" si="417"/>
        <v>12.568888888888889</v>
      </c>
      <c r="CP163" s="535">
        <f t="shared" si="335"/>
        <v>1016.9056255385302</v>
      </c>
      <c r="CQ163" s="535"/>
      <c r="CR163" s="535">
        <f ca="1">IF(B163&gt;Summary!$A$1,#N/A,CP163*MGtoAF)</f>
        <v>3119.8664591522106</v>
      </c>
      <c r="CS163" s="535">
        <f>Sheet1!BK161+Sheet1!BL161+Sheet1!BM161-Sheet1!ER161-DA163</f>
        <v>7.51</v>
      </c>
      <c r="CT163" s="535">
        <f t="shared" si="336"/>
        <v>7.4869952659426344</v>
      </c>
      <c r="CU163" s="535">
        <f>IF(Sheet1!ER161="FM",DA163,0)</f>
        <v>0</v>
      </c>
      <c r="CV163" s="535">
        <f t="shared" si="337"/>
        <v>0</v>
      </c>
      <c r="CW163" s="535">
        <f>IF(Sheet1!ER161="OTHER",DA163,0)</f>
        <v>0</v>
      </c>
      <c r="CX163" s="535">
        <f t="shared" si="338"/>
        <v>0</v>
      </c>
      <c r="CY163" s="535">
        <f t="shared" si="339"/>
        <v>7.51</v>
      </c>
      <c r="CZ163" s="535">
        <f t="shared" si="340"/>
        <v>7.4869952659426344</v>
      </c>
      <c r="DA163" s="535">
        <f>IF(OR(Sheet1!ER161="FM", Sheet1!ER161="OTHER"),SUM(Sheet1!BK161:'Sheet1'!BM161),0)</f>
        <v>0</v>
      </c>
      <c r="DB163" s="1011">
        <f>IF(AND($B163&gt;=$FV163,$B163&lt;=$FW163),MAX($CT163,Sheet1!EK161,0),MAX($CT163-(7/36)*$K163,0))</f>
        <v>0</v>
      </c>
      <c r="DC163" s="1012">
        <f t="shared" si="341"/>
        <v>5.0818936229462546</v>
      </c>
      <c r="DD163" s="1011">
        <f t="shared" si="342"/>
        <v>7.4869952659426344</v>
      </c>
      <c r="DE163" s="521">
        <f>IF(AND($O163&gt;0,Sheet1!EO161=1),(1-($O163-Sheet1!$L161)/$O163)*CZ163,0)</f>
        <v>0</v>
      </c>
      <c r="DF163" s="521">
        <f>IF(AND(Sheet1!$L161=0,Sheet1!$L160=0, Calculation!CY163&lt;Sheet1!$EK161-0.1,Sheet1!$EK161=Sheet1!$EK160,Sheet1!$EK161=Sheet1!$EK162),CZ163-DE163,CZ163-DE163)</f>
        <v>7.4869952659426344</v>
      </c>
      <c r="DG163" s="1040">
        <f t="shared" si="418"/>
        <v>12.568888888888889</v>
      </c>
      <c r="DH163" s="649">
        <f t="shared" si="343"/>
        <v>13.51</v>
      </c>
      <c r="DI163" s="535">
        <f t="shared" si="344"/>
        <v>688.11431941311014</v>
      </c>
      <c r="DJ163" s="649">
        <f t="shared" si="345"/>
        <v>13.468615984405458</v>
      </c>
      <c r="DK163" s="535">
        <f ca="1">IF(B163&gt;Summary!$A$1,#N/A,DI163*MGtoAF)</f>
        <v>2111.134731959422</v>
      </c>
      <c r="DL163" s="649">
        <f t="shared" si="346"/>
        <v>13.51</v>
      </c>
      <c r="DM163" s="535">
        <f t="shared" si="347"/>
        <v>35.909999999999997</v>
      </c>
      <c r="DN163" s="535">
        <f>Sheet1!AB161-DM163</f>
        <v>-0.10999999999999943</v>
      </c>
      <c r="DO163" s="743">
        <f t="shared" si="348"/>
        <v>-3.0632135895293637E-3</v>
      </c>
      <c r="DP163" s="535">
        <f>(VLOOKUP(Sheet1!DC161,hhdcap_wcm,4)-(((VLOOKUP(Sheet1!DC161,hhdcap_wcm,3)-Sheet1!DC161)/(VLOOKUP(Sheet1!DC161,hhdcap_wcm,3)-VLOOKUP(Sheet1!DC161,hhdcap_wcm,1)))*(VLOOKUP(Sheet1!DC161,hhdcap_wcm,4)-VLOOKUP(Sheet1!DC161,hhdcap_wcm,2))))</f>
        <v>48716.600000117673</v>
      </c>
      <c r="DQ163" s="535">
        <f t="shared" si="349"/>
        <v>90.399999999994179</v>
      </c>
      <c r="DR163" s="535">
        <f t="shared" si="350"/>
        <v>45.587493696416622</v>
      </c>
      <c r="DS163" s="535">
        <f>Sheet1!EA161*AFtoMG</f>
        <v>0</v>
      </c>
      <c r="DT163" s="535">
        <f>Sheet1!EB161*AFtoMG</f>
        <v>0</v>
      </c>
      <c r="DU163" s="535">
        <f>Sheet1!EC161*AFtoMG</f>
        <v>0</v>
      </c>
      <c r="DV163" s="535">
        <f>Sheet1!ED161*AFtoMG</f>
        <v>0</v>
      </c>
      <c r="DW163" s="535">
        <f t="shared" si="351"/>
        <v>0</v>
      </c>
      <c r="DX163" s="535">
        <f t="shared" si="352"/>
        <v>0</v>
      </c>
      <c r="DY163" s="535">
        <f t="shared" si="353"/>
        <v>5689.4643893960847</v>
      </c>
      <c r="DZ163" s="535">
        <f t="shared" si="354"/>
        <v>17455.276746667187</v>
      </c>
      <c r="EA163" s="535"/>
      <c r="EB163" s="521">
        <f>IF(OR(B163&lt;FV163,B163&gt;FW163),(MIN(BF163+BY163+CT163+MAX(Sheet1!AA161+AQ163-73,0),K163)),0)</f>
        <v>13.468615984405458</v>
      </c>
      <c r="EC163" s="535"/>
      <c r="ED163" s="535">
        <f t="shared" si="355"/>
        <v>13.46861598440546</v>
      </c>
      <c r="EE163" s="535"/>
      <c r="EF163" s="535">
        <f>Sheet1!EH161+Sheet1!EI161+Sheet1!EJ161+Sheet1!EK161</f>
        <v>13.5</v>
      </c>
      <c r="EG163" s="1019">
        <f t="shared" si="419"/>
        <v>20.884499999999999</v>
      </c>
      <c r="EH163" s="521">
        <f t="shared" si="356"/>
        <v>0</v>
      </c>
      <c r="EI163" s="535">
        <f>IF(Sheet1!ET161=1,SUM('Calculations II'!AT163:BA163)+'Calculations II'!BC163+Sheet1!BV161+'Calculations II'!BE163+AP163,'Calculations II'!BK163)</f>
        <v>54.120720015594543</v>
      </c>
      <c r="EJ163" s="535">
        <f ca="1">EI163+'Calculations II'!D163+'Calculations II'!E163+'Calculations II'!O163</f>
        <v>56.955589706666473</v>
      </c>
      <c r="EK163" s="535"/>
      <c r="EL163" s="535"/>
      <c r="EM163" s="535">
        <f t="shared" si="357"/>
        <v>42887</v>
      </c>
      <c r="EN163" s="535">
        <f t="shared" si="358"/>
        <v>51.171384015594541</v>
      </c>
      <c r="EO163" s="535">
        <f t="shared" si="359"/>
        <v>79.162131072124751</v>
      </c>
      <c r="EP163" s="535">
        <v>0</v>
      </c>
      <c r="EQ163" s="535">
        <v>0</v>
      </c>
      <c r="ER163" s="535">
        <v>0</v>
      </c>
      <c r="ES163" s="521">
        <f t="shared" si="381"/>
        <v>-4.1552162086142932</v>
      </c>
      <c r="ET163" s="535">
        <f>-(VLOOKUP(Sheet1!BQ161,Lookup!$O$4:$Q$262,2)-VLOOKUP(Sheet1!BQ160,Lookup!$O$4:$Q$262,2))/1000000</f>
        <v>-2.0772716433077192</v>
      </c>
      <c r="EU163" s="535">
        <f>-(VLOOKUP(Sheet1!BR161,Lookup!$O$4:$Q$262,3)-VLOOKUP(Sheet1!BR160,Lookup!$O$4:$Q$262,3))/1000000</f>
        <v>-2.077944565306574</v>
      </c>
      <c r="EV163" s="535"/>
      <c r="EW163" s="535"/>
      <c r="EX163" s="535"/>
      <c r="EY163" s="535"/>
      <c r="EZ163" s="535"/>
      <c r="FA163" s="535"/>
      <c r="FB163" s="535"/>
      <c r="FC163" s="535"/>
      <c r="FD163" s="567" t="e">
        <f t="shared" si="360"/>
        <v>#N/A</v>
      </c>
      <c r="FE163" s="567" t="e">
        <f t="shared" si="361"/>
        <v>#N/A</v>
      </c>
      <c r="FF163" s="568" t="e">
        <f t="shared" si="362"/>
        <v>#N/A</v>
      </c>
      <c r="FG163" s="569" t="s">
        <v>656</v>
      </c>
      <c r="FH163" s="569" t="s">
        <v>656</v>
      </c>
      <c r="FI163" s="567" t="e">
        <v>#N/A</v>
      </c>
      <c r="FJ163" s="567" t="e">
        <v>#N/A</v>
      </c>
      <c r="FK163" s="535"/>
      <c r="FL163" s="1015">
        <v>0</v>
      </c>
      <c r="FM163" s="535"/>
      <c r="FN163" s="535"/>
      <c r="FO163" s="535">
        <f>O163+((Sheet1!CS161)*GPMtoMGD)</f>
        <v>71.703744</v>
      </c>
      <c r="FP163" s="535">
        <f>IF(Sheet1!AA161+AQ163&lt;=Calculation!N163,AQ163,Calculation!N163-Sheet1!AA161)</f>
        <v>22.331384015594541</v>
      </c>
      <c r="FQ163" s="535">
        <f>(Sheet1!BP161+Sheet1!BO161)/694.4</f>
        <v>1.9923675115207373</v>
      </c>
      <c r="FR163" s="541"/>
      <c r="FS163" s="541"/>
      <c r="FT163" s="541"/>
      <c r="FU163" s="541"/>
      <c r="FV163" s="1109">
        <f t="shared" si="382"/>
        <v>42918</v>
      </c>
      <c r="FW163" s="1109">
        <f t="shared" si="383"/>
        <v>43027</v>
      </c>
      <c r="FX163" s="541"/>
      <c r="FY163" s="541">
        <f>Sheet1!DA161-Sheet1!CZ161-Sheet1!AE161</f>
        <v>245.73775000000001</v>
      </c>
      <c r="FZ163" s="535">
        <f t="shared" si="420"/>
        <v>0.18865354626018854</v>
      </c>
      <c r="GA163" s="535"/>
      <c r="GB163" s="535" t="str">
        <f t="shared" si="384"/>
        <v>n</v>
      </c>
      <c r="GC163" s="539">
        <f t="shared" si="385"/>
        <v>42782</v>
      </c>
      <c r="GD163" s="1109">
        <f t="shared" si="386"/>
        <v>42904</v>
      </c>
      <c r="GE163" s="535">
        <f t="shared" si="404"/>
        <v>6520</v>
      </c>
      <c r="GF163" s="1109">
        <f t="shared" si="387"/>
        <v>42909</v>
      </c>
      <c r="GG163" s="535">
        <f t="shared" si="432"/>
        <v>3260</v>
      </c>
      <c r="GH163" s="539">
        <f t="shared" si="388"/>
        <v>43040</v>
      </c>
      <c r="GJ163" s="521">
        <f t="shared" si="389"/>
        <v>26.933333333333334</v>
      </c>
      <c r="GK163" s="535" t="str">
        <f t="shared" si="363"/>
        <v>PPP</v>
      </c>
      <c r="GL163" s="535">
        <f t="shared" si="390"/>
        <v>26.933333333333334</v>
      </c>
      <c r="GM163" s="535" t="str">
        <f t="shared" si="391"/>
        <v/>
      </c>
      <c r="GN163" s="535">
        <f>IF(GK163="P",Lookup!$M$12,IF(GK163="PP",Lookup!$M$13,IF(GK163="PPP",Lookup!$M$14,IF(GK163="T",Lookup!$M$15,IF(GK163="TP",Lookup!$M$16,IF(GK163="TPP",Lookup!$M$17,IF(GK163="TPPP",Lookup!$M$18,0)))))))*GJ163</f>
        <v>0</v>
      </c>
      <c r="GO163" s="535">
        <f t="shared" si="392"/>
        <v>0</v>
      </c>
      <c r="GP163" s="535">
        <f t="shared" si="364"/>
        <v>8334.7333333333336</v>
      </c>
      <c r="GQ163" s="535">
        <f t="shared" si="433"/>
        <v>2716.666666666667</v>
      </c>
      <c r="GR163" s="535"/>
      <c r="GS163" s="535">
        <f t="shared" si="393"/>
        <v>0</v>
      </c>
      <c r="GT163" s="535" t="str">
        <f t="shared" si="394"/>
        <v>P</v>
      </c>
      <c r="GU163" s="535">
        <f>IF(GK163="P",Lookup!$N$12,IF(GK163="PP",Lookup!$N$13,IF(GK163="PPP",Lookup!$N$14,IF(GK163="T",Lookup!$N$15,IF(GK163="TP",Lookup!$N$16,IF(GK163="TPP",Lookup!$N$17,IF(GK163="TPPP",Lookup!$N$18,0)))))))*GJ163</f>
        <v>8.9777777777777779</v>
      </c>
      <c r="GV163" s="535">
        <f t="shared" si="395"/>
        <v>0.90249271239031259</v>
      </c>
      <c r="GW163" s="535">
        <f t="shared" si="365"/>
        <v>3886.773374580609</v>
      </c>
      <c r="GX163" s="535">
        <f t="shared" si="400"/>
        <v>1266.8752850653875</v>
      </c>
      <c r="GY163" s="535"/>
      <c r="GZ163" s="535">
        <f t="shared" si="396"/>
        <v>0</v>
      </c>
      <c r="HA163" s="535" t="str">
        <f t="shared" si="397"/>
        <v>P</v>
      </c>
      <c r="HB163" s="535">
        <f>IF(GK163="P",Lookup!$N$12,IF(GK163="PP",Lookup!$N$13,IF(GK163="PPP",Lookup!$N$14,IF(GK163="T",Lookup!$N$15,IF(GK163="TP",Lookup!$N$16,IF(GK163="TPP",Lookup!$N$17,IF(GK163="TPPP",Lookup!$N$18,0)))))))*GJ163</f>
        <v>8.9777777777777779</v>
      </c>
      <c r="HC163" s="521">
        <f t="shared" si="366"/>
        <v>8.9777777777777779</v>
      </c>
      <c r="HD163" s="535">
        <f t="shared" si="367"/>
        <v>3092.3226369299887</v>
      </c>
      <c r="HE163" s="535">
        <f t="shared" si="401"/>
        <v>1007.9278477607525</v>
      </c>
      <c r="HF163" s="535"/>
      <c r="HG163" s="535">
        <f t="shared" si="398"/>
        <v>0</v>
      </c>
      <c r="HH163" s="535" t="str">
        <f t="shared" si="399"/>
        <v>P</v>
      </c>
      <c r="HI163" s="535">
        <f>IF(GK163="P",Lookup!$N$12,IF(GK163="PP",Lookup!$N$13,IF(GK163="PPP",Lookup!$N$14,IF(GK163="T",Lookup!$N$15,IF(GK163="TP",Lookup!$N$16,IF(GK163="TPP",Lookup!$N$17,IF(GK163="TPPP",Lookup!$N$18,0)))))))*GJ163</f>
        <v>8.9777777777777779</v>
      </c>
      <c r="HJ163" s="521">
        <f t="shared" si="368"/>
        <v>8.9777777777777779</v>
      </c>
      <c r="HK163" s="535">
        <f t="shared" si="369"/>
        <v>2083.5909097371996</v>
      </c>
      <c r="HL163" s="535">
        <f t="shared" si="402"/>
        <v>679.13654163533238</v>
      </c>
      <c r="HM163" s="535"/>
      <c r="HN163" s="541"/>
      <c r="HO163" s="541"/>
      <c r="HP163" s="541"/>
      <c r="HQ163" s="541">
        <f>IF(AND(B163&gt;=$FV$4,B163&lt;=$FW$4),MAX(110/1.02+$HQ$6+MIN(113/1.02,G163),IF($HV$6-(Sheet1!DA161-Sheet1!DB161)+MIN(113/1.02,G163)&lt;G163+FL163,$HV$6-(Sheet1!DA161-Sheet1!DB161)+MIN(113/1.02,G163),G163+FL163)),MIN(110/1.02+$HQ$6+113/1.02,G163))</f>
        <v>218.62745098039215</v>
      </c>
      <c r="HR163" s="541">
        <f t="shared" si="421"/>
        <v>223</v>
      </c>
      <c r="HS163" s="541">
        <f>HR163+(Sheet1!DA161-Sheet1!DB161)</f>
        <v>699</v>
      </c>
      <c r="HT163" s="541">
        <f t="shared" si="422"/>
        <v>82.362279999999998</v>
      </c>
      <c r="HU163" s="541">
        <f t="shared" si="423"/>
        <v>616.63771999999994</v>
      </c>
      <c r="HV163" s="541">
        <f t="shared" si="424"/>
        <v>0</v>
      </c>
      <c r="HW163" s="533" t="str">
        <f t="shared" si="425"/>
        <v/>
      </c>
      <c r="HX163" s="541">
        <f t="shared" si="426"/>
        <v>1038.372549019608</v>
      </c>
      <c r="HY163" s="541">
        <f>Sheet1!CZ161</f>
        <v>1257</v>
      </c>
      <c r="HZ163" s="541">
        <f t="shared" si="427"/>
        <v>0</v>
      </c>
      <c r="IA163" s="541">
        <f t="shared" si="428"/>
        <v>82.362279999999998</v>
      </c>
      <c r="IB163" s="541">
        <f t="shared" si="429"/>
        <v>1257</v>
      </c>
      <c r="IC163" s="1019" t="str">
        <f t="shared" si="430"/>
        <v/>
      </c>
      <c r="ID163" s="541">
        <f t="shared" si="431"/>
        <v>1174.6377199999999</v>
      </c>
      <c r="IE163" s="541">
        <f>Sheet1!DB161</f>
        <v>1130</v>
      </c>
      <c r="IF163" s="533">
        <f>Sheet1!DA161</f>
        <v>1606</v>
      </c>
      <c r="IH163" s="541">
        <f>IF(AND($B163&gt;=$GC163,$B163&lt;=$GH163,$DR163&lt;0)+N("only adjusted when pool is drawn down during storage season"),Sheet1!$DB161+$DR163+N("Palmer minus all storage release"),Sheet1!$DB161)</f>
        <v>1130</v>
      </c>
      <c r="II163" s="541">
        <f>IF(AND($B163&gt;=$GC163,$B163&lt;=$GH163,$DR163&lt;0)+N("only adjusted when pool is drawn down during storage season"),Sheet1!$DA161+$DR163+N("Auburn minus all storage release"),Sheet1!$DA161)</f>
        <v>1606</v>
      </c>
    </row>
    <row r="164" spans="1:243" x14ac:dyDescent="0.25">
      <c r="A164" s="553" t="s">
        <v>8</v>
      </c>
      <c r="B164" s="531">
        <v>42888</v>
      </c>
      <c r="C164" s="536">
        <v>0</v>
      </c>
      <c r="D164" s="506">
        <f t="shared" si="371"/>
        <v>300</v>
      </c>
      <c r="E164" s="506">
        <f t="shared" si="372"/>
        <v>250</v>
      </c>
      <c r="F164" s="506">
        <v>250</v>
      </c>
      <c r="G164" s="535">
        <f>DR164+Sheet1!CZ162</f>
        <v>1137.7660110944321</v>
      </c>
      <c r="H164" s="1074">
        <f t="shared" si="405"/>
        <v>466.49467596799997</v>
      </c>
      <c r="I164" s="534">
        <f>IF(Sheet1!DA162&gt;=E164,(Sheet1!DA162-E164+P164)*CFStoMGD,0)</f>
        <v>779.99867596799993</v>
      </c>
      <c r="J164" s="995">
        <f>IF(Sheet1!DB162&gt;=D164,(Sheet1!DB162-D164+P164)*CFStoMGD,0)</f>
        <v>466.49467596799997</v>
      </c>
      <c r="K164" s="818">
        <f t="shared" si="406"/>
        <v>64.64</v>
      </c>
      <c r="L164" s="535">
        <f>Sheet1!AA162+Sheet1!AB162-Sheet1!L162+(Sheet1!DA162-F164)*CFStoMGD-S164-T164-U164</f>
        <v>715.36</v>
      </c>
      <c r="M164" s="535">
        <f t="shared" si="309"/>
        <v>750.16098856286976</v>
      </c>
      <c r="N164" s="824">
        <f>IF(Sheet1!DA162&gt;=F164,MIN(113*CFStoMGD,MIN(MAX(L164,0),MAX(M164,0))),0)</f>
        <v>73.043199999999999</v>
      </c>
      <c r="O164" s="538">
        <f>Sheet1!AA162+Sheet1!AB162</f>
        <v>68.959999999999994</v>
      </c>
      <c r="P164" s="538">
        <f t="shared" si="310"/>
        <v>106.68111999999999</v>
      </c>
      <c r="Q164" s="812">
        <f t="shared" si="407"/>
        <v>55.069999999999993</v>
      </c>
      <c r="R164" s="812">
        <f t="shared" si="373"/>
        <v>13.882687549355094</v>
      </c>
      <c r="S164" s="812">
        <f t="shared" si="374"/>
        <v>13.89</v>
      </c>
      <c r="T164" s="812">
        <f t="shared" si="375"/>
        <v>50.75</v>
      </c>
      <c r="U164" s="812">
        <f t="shared" si="408"/>
        <v>0</v>
      </c>
      <c r="V164" s="812"/>
      <c r="W164" s="812">
        <f t="shared" si="376"/>
        <v>50.757312450644903</v>
      </c>
      <c r="X164" s="812">
        <f t="shared" si="377"/>
        <v>64.64</v>
      </c>
      <c r="Y164" s="812" t="str">
        <f t="shared" si="378"/>
        <v>FALSE</v>
      </c>
      <c r="Z164" s="812">
        <f t="shared" si="379"/>
        <v>68.959999999999994</v>
      </c>
      <c r="AA164" s="812">
        <f t="shared" si="380"/>
        <v>68.959999999999994</v>
      </c>
      <c r="AB164" s="1059">
        <f t="shared" si="409"/>
        <v>85.19328999999999</v>
      </c>
      <c r="AC164" s="538">
        <f>Sheet1!Y162*MGDtoCFS</f>
        <v>47.879649999999998</v>
      </c>
      <c r="AD164" s="538">
        <f>Sheet1!Z162*MGDtoCFS</f>
        <v>55.119610000000002</v>
      </c>
      <c r="AE164" s="538">
        <f>Sheet1!AA162*MGDtoCFS</f>
        <v>47.941529999999993</v>
      </c>
      <c r="AF164" s="538">
        <f>Sheet1!AB162*MGDtoCFS</f>
        <v>58.739589999999993</v>
      </c>
      <c r="AG164" s="538">
        <f>Sheet1!L162*MGDtoCFS</f>
        <v>0</v>
      </c>
      <c r="AH164" s="521">
        <f t="shared" si="311"/>
        <v>0</v>
      </c>
      <c r="AI164" s="1059">
        <f t="shared" si="312"/>
        <v>0</v>
      </c>
      <c r="AJ164" s="535">
        <f t="shared" si="313"/>
        <v>50.757312450644903</v>
      </c>
      <c r="AK164" s="535">
        <f t="shared" si="314"/>
        <v>78.521562361147659</v>
      </c>
      <c r="AL164" s="535">
        <f>(VLOOKUP(Sheet1!DC162,hhdcap_wcm,4)-(((VLOOKUP(Sheet1!DC162,hhdcap_wcm,3)-Sheet1!DC162)/(VLOOKUP(Sheet1!DC162,hhdcap_wcm,3)-VLOOKUP(Sheet1!DC162,hhdcap_wcm,1)))*(VLOOKUP(Sheet1!DC162,hhdcap_wcm,4)-VLOOKUP(Sheet1!DC162,hhdcap_wcm,2))))</f>
        <v>48930.300000117932</v>
      </c>
      <c r="AM164" s="535">
        <f t="shared" si="315"/>
        <v>213.70000000025902</v>
      </c>
      <c r="AN164" s="1035">
        <f t="shared" si="316"/>
        <v>5740.22170184673</v>
      </c>
      <c r="AO164" s="535">
        <f t="shared" si="317"/>
        <v>17611.000181265768</v>
      </c>
      <c r="AP164" s="535">
        <f>Sheet1!BA162+Sheet1!BB162+Sheet1!BN162+CD164</f>
        <v>24.1</v>
      </c>
      <c r="AQ164" s="535">
        <f>Sheet1!BN162+(DO164*Sheet1!BN162)</f>
        <v>24.087312450644905</v>
      </c>
      <c r="AR164" s="535">
        <f>Sheet1!BA162+CD164</f>
        <v>0</v>
      </c>
      <c r="AS164" s="535">
        <f>Sheet1!BA162+Sheet1!BB162+CD164</f>
        <v>0</v>
      </c>
      <c r="AT164" s="649">
        <f>0</f>
        <v>0</v>
      </c>
      <c r="AU164" s="535">
        <f>IF(EB164&lt;K164,0,MAX(Sheet1!AA162+AQ164-15/36*K164-N164,Sheet1!EH162,0))</f>
        <v>0</v>
      </c>
      <c r="AV164" s="535">
        <f>IF(OR(B164&gt;=GD164,B164&lt;GC164),0,15/36*K164-MAX(0,64.6-(137.6-(Sheet1!AA162+Sheet1!AB162))))</f>
        <v>26.933333333333334</v>
      </c>
      <c r="AW164" s="1029"/>
      <c r="AX164" s="649"/>
      <c r="AY164" s="649">
        <f t="shared" si="410"/>
        <v>0</v>
      </c>
      <c r="AZ164" s="649">
        <f t="shared" si="411"/>
        <v>0</v>
      </c>
      <c r="BA164" s="1059">
        <f t="shared" si="412"/>
        <v>0</v>
      </c>
      <c r="BB164" s="1019">
        <f t="shared" si="318"/>
        <v>2716.666666666667</v>
      </c>
      <c r="BC164" s="1041">
        <f t="shared" si="413"/>
        <v>26.933333333333334</v>
      </c>
      <c r="BD164" s="1019">
        <f ca="1">IF(B164&gt;Summary!$A$1,#N/A,BB164*MGtoAF)</f>
        <v>8334.7333333333336</v>
      </c>
      <c r="BE164" s="535">
        <f>Sheet1!BG162+Sheet1!BH162+Sheet1!BI162-BM164</f>
        <v>1.51</v>
      </c>
      <c r="BF164" s="535">
        <f t="shared" si="319"/>
        <v>1.5092050539615687</v>
      </c>
      <c r="BG164" s="535">
        <f>IF(Sheet1!EP162="FM",BM164,0)</f>
        <v>0</v>
      </c>
      <c r="BH164" s="535">
        <f t="shared" si="320"/>
        <v>0</v>
      </c>
      <c r="BI164" s="535">
        <f>IF(Sheet1!EP162="OTHER",BM164,0)</f>
        <v>0</v>
      </c>
      <c r="BJ164" s="535">
        <f t="shared" si="321"/>
        <v>0</v>
      </c>
      <c r="BK164" s="535">
        <f t="shared" si="322"/>
        <v>1.51</v>
      </c>
      <c r="BL164" s="535">
        <f t="shared" si="323"/>
        <v>1.5092050539615687</v>
      </c>
      <c r="BM164" s="535">
        <f>IF(OR(Sheet1!EP162="FM", Sheet1!EP162="OTHER"),SUM(Sheet1!BG162:'Sheet1'!BI162),0)</f>
        <v>0</v>
      </c>
      <c r="BN164" s="521">
        <f>IF(AND($B164&gt;=$FV164,$B164&lt;=$FW164),MAX(BF164,Sheet1!EI162,0),MAX(BF164-(7/36)*$K164,0))</f>
        <v>0</v>
      </c>
      <c r="BO164" s="535">
        <f t="shared" si="324"/>
        <v>11.05968383492732</v>
      </c>
      <c r="BP164" s="521">
        <f t="shared" si="325"/>
        <v>1.5092050539615687</v>
      </c>
      <c r="BQ164" s="521">
        <f>IF(AND($O164&gt;0,Sheet1!EM162=1),(1-($O164-Sheet1!$L162)/$O164)*BL164,0)</f>
        <v>0</v>
      </c>
      <c r="BR164" s="521">
        <f>IF(AND(Sheet1!$L162=0,Sheet1!$L161=0, Calculation!BK164&lt;Sheet1!$EI162-0.1,Sheet1!$EI162=Sheet1!$EI161,Sheet1!$EI162=Sheet1!$EI163),BL164-BQ164,BL164-BQ164)</f>
        <v>1.5092050539615687</v>
      </c>
      <c r="BS164" s="1035" t="str">
        <f t="shared" si="414"/>
        <v/>
      </c>
      <c r="BT164" s="1035">
        <f t="shared" si="415"/>
        <v>12.568888888888889</v>
      </c>
      <c r="BU164" s="535">
        <f t="shared" si="326"/>
        <v>1267.7777777777778</v>
      </c>
      <c r="BV164" s="535"/>
      <c r="BW164" s="535">
        <f ca="1">IF(B164&gt;Summary!$A$1,#N/A,BU164*MGtoAF)</f>
        <v>3889.5422222222223</v>
      </c>
      <c r="BX164" s="535">
        <f>Sheet1!BC162+Sheet1!BD162+Sheet1!BE162+Sheet1!BF162-CG164-CH164</f>
        <v>4.49</v>
      </c>
      <c r="BY164" s="535">
        <f t="shared" si="327"/>
        <v>4.4876362200579099</v>
      </c>
      <c r="BZ164" s="535">
        <f>IF(Sheet1!EQ162="FM",CH164,0)</f>
        <v>0</v>
      </c>
      <c r="CA164" s="535">
        <f t="shared" si="328"/>
        <v>0</v>
      </c>
      <c r="CB164" s="535">
        <f>IF(Sheet1!EQ162="OTHER",CH164,0)</f>
        <v>0</v>
      </c>
      <c r="CC164" s="535">
        <f t="shared" si="329"/>
        <v>0</v>
      </c>
      <c r="CD164" s="535">
        <f t="shared" si="330"/>
        <v>0</v>
      </c>
      <c r="CE164" s="535">
        <f t="shared" si="331"/>
        <v>4.49</v>
      </c>
      <c r="CF164" s="535">
        <f t="shared" si="332"/>
        <v>4.4876362200579099</v>
      </c>
      <c r="CG164" s="535">
        <f>IF(Sheet1!EQ162="CWA",SUM(Sheet1!BC162:'Sheet1'!BF162),0)</f>
        <v>0</v>
      </c>
      <c r="CH164" s="535">
        <f>IF(OR(Sheet1!EQ162="FM", Sheet1!EQ162="OTHER"),SUM(Sheet1!BC162:'Sheet1'!BF162),0)</f>
        <v>0</v>
      </c>
      <c r="CI164" s="521">
        <f>IF(AND($B164&gt;=$FV164,$B164&lt;=$FW164),MAX(CF164,Sheet1!EJ162,0),MAX(CF164-(7/36)*$K164,0))</f>
        <v>0</v>
      </c>
      <c r="CJ164" s="535">
        <f t="shared" si="333"/>
        <v>8.0812526688309791</v>
      </c>
      <c r="CK164" s="521">
        <f t="shared" si="334"/>
        <v>4.4876362200579099</v>
      </c>
      <c r="CL164" s="521">
        <f>IF(AND($O164&gt;0,Sheet1!EN162=1),(1-($O164-Sheet1!$L162)/$O164)*CF164,0)</f>
        <v>0</v>
      </c>
      <c r="CM164" s="521">
        <f>IF(AND(Sheet1!$L162=0,Sheet1!$L161=0, Calculation!CE164&lt;Sheet1!EJ162-0.1,Sheet1!EJ162=Sheet1!EJ161,Sheet1!EJ162=Sheet1!EJ163),CF164-CL164,CF164-CL164)</f>
        <v>4.4876362200579099</v>
      </c>
      <c r="CN164" s="1040" t="str">
        <f t="shared" si="416"/>
        <v/>
      </c>
      <c r="CO164" s="1035">
        <f t="shared" si="417"/>
        <v>12.568888888888889</v>
      </c>
      <c r="CP164" s="535">
        <f t="shared" si="335"/>
        <v>1043.9833867914915</v>
      </c>
      <c r="CQ164" s="535"/>
      <c r="CR164" s="535">
        <f ca="1">IF(B164&gt;Summary!$A$1,#N/A,CP164*MGtoAF)</f>
        <v>3202.9410306762961</v>
      </c>
      <c r="CS164" s="535">
        <f>Sheet1!BK162+Sheet1!BL162+Sheet1!BM162-Sheet1!ER162-DA164</f>
        <v>7.8900000000000006</v>
      </c>
      <c r="CT164" s="535">
        <f t="shared" si="336"/>
        <v>7.8858462753356147</v>
      </c>
      <c r="CU164" s="535">
        <f>IF(Sheet1!ER162="FM",DA164,0)</f>
        <v>0</v>
      </c>
      <c r="CV164" s="535">
        <f t="shared" si="337"/>
        <v>0</v>
      </c>
      <c r="CW164" s="535">
        <f>IF(Sheet1!ER162="OTHER",DA164,0)</f>
        <v>0</v>
      </c>
      <c r="CX164" s="535">
        <f t="shared" si="338"/>
        <v>0</v>
      </c>
      <c r="CY164" s="535">
        <f t="shared" si="339"/>
        <v>7.8900000000000006</v>
      </c>
      <c r="CZ164" s="535">
        <f t="shared" si="340"/>
        <v>7.8858462753356147</v>
      </c>
      <c r="DA164" s="535">
        <f>IF(OR(Sheet1!ER162="FM", Sheet1!ER162="OTHER"),SUM(Sheet1!BK162:'Sheet1'!BM162),0)</f>
        <v>0</v>
      </c>
      <c r="DB164" s="1011">
        <f>IF(AND($B164&gt;=$FV164,$B164&lt;=$FW164),MAX($CT164,Sheet1!EK162,0),MAX($CT164-(7/36)*$K164,0))</f>
        <v>0</v>
      </c>
      <c r="DC164" s="1012">
        <f t="shared" si="341"/>
        <v>4.6830426135532743</v>
      </c>
      <c r="DD164" s="1011">
        <f t="shared" si="342"/>
        <v>7.8858462753356147</v>
      </c>
      <c r="DE164" s="521">
        <f>IF(AND($O164&gt;0,Sheet1!EO162=1),(1-($O164-Sheet1!$L162)/$O164)*CZ164,0)</f>
        <v>0</v>
      </c>
      <c r="DF164" s="521">
        <f>IF(AND(Sheet1!$L162=0,Sheet1!$L161=0, Calculation!CY164&lt;Sheet1!$EK162-0.1,Sheet1!$EK162=Sheet1!$EK161,Sheet1!$EK162=Sheet1!$EK163),CZ164-DE164,CZ164-DE164)</f>
        <v>7.8858462753356147</v>
      </c>
      <c r="DG164" s="1040">
        <f t="shared" si="418"/>
        <v>12.568888888888889</v>
      </c>
      <c r="DH164" s="649">
        <f t="shared" si="343"/>
        <v>13.89</v>
      </c>
      <c r="DI164" s="535">
        <f t="shared" si="344"/>
        <v>711.79387061079376</v>
      </c>
      <c r="DJ164" s="649">
        <f t="shared" si="345"/>
        <v>13.882687549355094</v>
      </c>
      <c r="DK164" s="535">
        <f ca="1">IF(B164&gt;Summary!$A$1,#N/A,DI164*MGtoAF)</f>
        <v>2183.7835950339154</v>
      </c>
      <c r="DL164" s="649">
        <f>CY164+CE164+BK164</f>
        <v>13.89</v>
      </c>
      <c r="DM164" s="535">
        <f t="shared" si="347"/>
        <v>37.99</v>
      </c>
      <c r="DN164" s="535">
        <f>Sheet1!AB162-DM164</f>
        <v>-2.0000000000003126E-2</v>
      </c>
      <c r="DO164" s="743">
        <f t="shared" si="348"/>
        <v>-5.2645433008694723E-4</v>
      </c>
      <c r="DP164" s="535">
        <f>(VLOOKUP(Sheet1!DC162,hhdcap_wcm,4)-(((VLOOKUP(Sheet1!DC162,hhdcap_wcm,3)-Sheet1!DC162)/(VLOOKUP(Sheet1!DC162,hhdcap_wcm,3)-VLOOKUP(Sheet1!DC162,hhdcap_wcm,1)))*(VLOOKUP(Sheet1!DC162,hhdcap_wcm,4)-VLOOKUP(Sheet1!DC162,hhdcap_wcm,2))))</f>
        <v>48930.300000117932</v>
      </c>
      <c r="DQ164" s="535">
        <f t="shared" si="349"/>
        <v>213.70000000025902</v>
      </c>
      <c r="DR164" s="535">
        <f t="shared" si="350"/>
        <v>107.76601109443217</v>
      </c>
      <c r="DS164" s="535">
        <f>Sheet1!EA162*AFtoMG</f>
        <v>0</v>
      </c>
      <c r="DT164" s="535">
        <f>Sheet1!EB162*AFtoMG</f>
        <v>0</v>
      </c>
      <c r="DU164" s="535">
        <f>Sheet1!EC162*AFtoMG</f>
        <v>0</v>
      </c>
      <c r="DV164" s="535">
        <f>Sheet1!ED162*AFtoMG</f>
        <v>0</v>
      </c>
      <c r="DW164" s="535">
        <f t="shared" si="351"/>
        <v>0</v>
      </c>
      <c r="DX164" s="535">
        <f t="shared" si="352"/>
        <v>0</v>
      </c>
      <c r="DY164" s="535">
        <f t="shared" si="353"/>
        <v>5740.22170184673</v>
      </c>
      <c r="DZ164" s="535">
        <f t="shared" si="354"/>
        <v>17611.000181265768</v>
      </c>
      <c r="EA164" s="535"/>
      <c r="EB164" s="521">
        <f>IF(OR(B164&lt;FV164,B164&gt;FW164),(MIN(BF164+BY164+CT164+MAX(Sheet1!AA162+AQ164-73,0),K164)),0)</f>
        <v>13.882687549355094</v>
      </c>
      <c r="EC164" s="535"/>
      <c r="ED164" s="535">
        <f t="shared" si="355"/>
        <v>13.882687549355094</v>
      </c>
      <c r="EE164" s="535"/>
      <c r="EF164" s="535">
        <f>Sheet1!EH162+Sheet1!EI162+Sheet1!EJ162+Sheet1!EK162</f>
        <v>14</v>
      </c>
      <c r="EG164" s="1019">
        <f t="shared" si="419"/>
        <v>21.657999999999998</v>
      </c>
      <c r="EH164" s="521">
        <f t="shared" si="356"/>
        <v>0</v>
      </c>
      <c r="EI164" s="535">
        <f>IF(Sheet1!ET162=1,SUM('Calculations II'!AT164:BA164)+'Calculations II'!BC164+Sheet1!BV162+'Calculations II'!BE164+AP164,'Calculations II'!BK164)</f>
        <v>55.523550450644905</v>
      </c>
      <c r="EJ164" s="535">
        <f ca="1">EI164+'Calculations II'!D164+'Calculations II'!E164+'Calculations II'!O164</f>
        <v>59.878232980946173</v>
      </c>
      <c r="EK164" s="535"/>
      <c r="EL164" s="535"/>
      <c r="EM164" s="535">
        <f t="shared" si="357"/>
        <v>42888</v>
      </c>
      <c r="EN164" s="535">
        <f t="shared" si="358"/>
        <v>50.757312450644903</v>
      </c>
      <c r="EO164" s="535">
        <f t="shared" si="359"/>
        <v>78.521562361147659</v>
      </c>
      <c r="EP164" s="535">
        <v>0</v>
      </c>
      <c r="EQ164" s="535">
        <v>0</v>
      </c>
      <c r="ER164" s="535">
        <v>0</v>
      </c>
      <c r="ES164" s="521">
        <f t="shared" si="381"/>
        <v>-4.2967328628609476</v>
      </c>
      <c r="ET164" s="535">
        <f>-(VLOOKUP(Sheet1!BQ162,Lookup!$O$4:$Q$262,2)-VLOOKUP(Sheet1!BQ161,Lookup!$O$4:$Q$262,2))/1000000</f>
        <v>-2.2173459560374877</v>
      </c>
      <c r="EU164" s="535">
        <f>-(VLOOKUP(Sheet1!BR162,Lookup!$O$4:$Q$262,3)-VLOOKUP(Sheet1!BR161,Lookup!$O$4:$Q$262,3))/1000000</f>
        <v>-2.0793869068234598</v>
      </c>
      <c r="EV164" s="535"/>
      <c r="EW164" s="535"/>
      <c r="EX164" s="535"/>
      <c r="EY164" s="535">
        <f t="shared" ref="EY164:EY190" si="434">DR164+(DJ164*1.547)</f>
        <v>129.2425287332845</v>
      </c>
      <c r="EZ164" s="535">
        <f t="shared" ref="EZ164:EZ190" si="435">EY164/1.547</f>
        <v>83.543974617507757</v>
      </c>
      <c r="FA164" s="535"/>
      <c r="FB164" s="535"/>
      <c r="FC164" s="535"/>
      <c r="FD164" s="567" t="e">
        <f t="shared" si="360"/>
        <v>#N/A</v>
      </c>
      <c r="FE164" s="567" t="e">
        <f t="shared" si="361"/>
        <v>#N/A</v>
      </c>
      <c r="FF164" s="568" t="e">
        <f t="shared" si="362"/>
        <v>#N/A</v>
      </c>
      <c r="FG164" s="569" t="s">
        <v>656</v>
      </c>
      <c r="FH164" s="569" t="s">
        <v>656</v>
      </c>
      <c r="FI164" s="567" t="e">
        <v>#N/A</v>
      </c>
      <c r="FJ164" s="567" t="e">
        <v>#N/A</v>
      </c>
      <c r="FK164" s="535">
        <v>25000</v>
      </c>
      <c r="FL164" s="1015">
        <v>0</v>
      </c>
      <c r="FM164" s="535"/>
      <c r="FN164" s="535"/>
      <c r="FO164" s="535">
        <f>O164+((Sheet1!CS162)*GPMtoMGD)</f>
        <v>73.893727999999996</v>
      </c>
      <c r="FP164" s="535">
        <f>IF(Sheet1!AA162+AQ164&lt;=Calculation!N164,AQ164,Calculation!N164-Sheet1!AA162)</f>
        <v>24.087312450644905</v>
      </c>
      <c r="FQ164" s="535">
        <f>(Sheet1!BP162+Sheet1!BO162)/694.4</f>
        <v>2.6664746543778803</v>
      </c>
      <c r="FR164" s="541"/>
      <c r="FS164" s="541"/>
      <c r="FT164" s="541"/>
      <c r="FU164" s="541"/>
      <c r="FV164" s="1109">
        <f t="shared" si="382"/>
        <v>42918</v>
      </c>
      <c r="FW164" s="1109">
        <f t="shared" si="383"/>
        <v>43027</v>
      </c>
      <c r="FX164" s="541"/>
      <c r="FY164" s="541">
        <f>Sheet1!DA162-Sheet1!CZ162-Sheet1!AE162</f>
        <v>213.31888000000004</v>
      </c>
      <c r="FZ164" s="535">
        <f t="shared" si="420"/>
        <v>0.18748923585334193</v>
      </c>
      <c r="GA164" s="535"/>
      <c r="GB164" s="535" t="str">
        <f t="shared" si="384"/>
        <v>n</v>
      </c>
      <c r="GC164" s="539">
        <f t="shared" si="385"/>
        <v>42782</v>
      </c>
      <c r="GD164" s="1109">
        <f t="shared" si="386"/>
        <v>42904</v>
      </c>
      <c r="GE164" s="535">
        <f t="shared" si="404"/>
        <v>6520</v>
      </c>
      <c r="GF164" s="1109">
        <f t="shared" si="387"/>
        <v>42909</v>
      </c>
      <c r="GG164" s="535">
        <f t="shared" si="432"/>
        <v>3260</v>
      </c>
      <c r="GH164" s="539">
        <f t="shared" si="388"/>
        <v>43040</v>
      </c>
      <c r="GJ164" s="521">
        <f t="shared" si="389"/>
        <v>37.99301716826065</v>
      </c>
      <c r="GK164" s="535" t="str">
        <f t="shared" si="363"/>
        <v>PP</v>
      </c>
      <c r="GL164" s="535">
        <f t="shared" si="390"/>
        <v>26.933333333333334</v>
      </c>
      <c r="GM164" s="535" t="str">
        <f t="shared" si="391"/>
        <v/>
      </c>
      <c r="GN164" s="535">
        <f>IF(GK164="P",Lookup!$M$12,IF(GK164="PP",Lookup!$M$13,IF(GK164="PPP",Lookup!$M$14,IF(GK164="T",Lookup!$M$15,IF(GK164="TP",Lookup!$M$16,IF(GK164="TPP",Lookup!$M$17,IF(GK164="TPPP",Lookup!$M$18,0)))))))*GJ164</f>
        <v>0</v>
      </c>
      <c r="GO164" s="535">
        <f t="shared" si="392"/>
        <v>0</v>
      </c>
      <c r="GP164" s="535">
        <f t="shared" si="364"/>
        <v>8334.7333333333336</v>
      </c>
      <c r="GQ164" s="535">
        <f t="shared" si="433"/>
        <v>2716.666666666667</v>
      </c>
      <c r="GR164" s="535"/>
      <c r="GS164" s="535">
        <f t="shared" si="393"/>
        <v>11.05968383492732</v>
      </c>
      <c r="GT164" s="535" t="str">
        <f t="shared" si="394"/>
        <v/>
      </c>
      <c r="GU164" s="535">
        <f>IF(GK164="P",Lookup!$N$12,IF(GK164="PP",Lookup!$N$13,IF(GK164="PPP",Lookup!$N$14,IF(GK164="T",Lookup!$N$15,IF(GK164="TP",Lookup!$N$16,IF(GK164="TPP",Lookup!$N$17,IF(GK164="TPPP",Lookup!$N$18,0)))))))*GJ164</f>
        <v>18.996508584130325</v>
      </c>
      <c r="GV164" s="535">
        <f t="shared" si="395"/>
        <v>0</v>
      </c>
      <c r="GW164" s="535">
        <f t="shared" si="365"/>
        <v>3889.5422222222223</v>
      </c>
      <c r="GX164" s="535">
        <f t="shared" si="400"/>
        <v>1267.7777777777778</v>
      </c>
      <c r="GY164" s="535"/>
      <c r="GZ164" s="535">
        <f t="shared" si="396"/>
        <v>0</v>
      </c>
      <c r="HA164" s="535" t="str">
        <f t="shared" si="397"/>
        <v>P</v>
      </c>
      <c r="HB164" s="535">
        <f>IF(GK164="P",Lookup!$N$12,IF(GK164="PP",Lookup!$N$13,IF(GK164="PPP",Lookup!$N$14,IF(GK164="T",Lookup!$N$15,IF(GK164="TP",Lookup!$N$16,IF(GK164="TPP",Lookup!$N$17,IF(GK164="TPPP",Lookup!$N$18,0)))))))*GJ164</f>
        <v>18.996508584130325</v>
      </c>
      <c r="HC164" s="521">
        <f t="shared" si="366"/>
        <v>18.996508584130325</v>
      </c>
      <c r="HD164" s="535">
        <f t="shared" si="367"/>
        <v>3144.659742340184</v>
      </c>
      <c r="HE164" s="535">
        <f t="shared" si="401"/>
        <v>1024.9868782073611</v>
      </c>
      <c r="HF164" s="535"/>
      <c r="HG164" s="535">
        <f t="shared" si="398"/>
        <v>0</v>
      </c>
      <c r="HH164" s="535" t="str">
        <f t="shared" si="399"/>
        <v>P</v>
      </c>
      <c r="HI164" s="535">
        <f>IF(GK164="P",Lookup!$N$12,IF(GK164="PP",Lookup!$N$13,IF(GK164="PPP",Lookup!$N$14,IF(GK164="T",Lookup!$N$15,IF(GK164="TP",Lookup!$N$16,IF(GK164="TPP",Lookup!$N$17,IF(GK164="TPPP",Lookup!$N$18,0)))))))*GJ164</f>
        <v>18.996508584130325</v>
      </c>
      <c r="HJ164" s="521">
        <f t="shared" si="368"/>
        <v>18.996508584130325</v>
      </c>
      <c r="HK164" s="535">
        <f t="shared" si="369"/>
        <v>2125.5023066978033</v>
      </c>
      <c r="HL164" s="535">
        <f t="shared" si="402"/>
        <v>692.79736202666345</v>
      </c>
      <c r="HM164" s="535"/>
      <c r="HN164" s="541"/>
      <c r="HO164" s="541"/>
      <c r="HP164" s="541"/>
      <c r="HQ164" s="541">
        <f>IF(AND(B164&gt;=$FV$4,B164&lt;=$FW$4),MAX(110/1.02+$HQ$6+MIN(113/1.02,G164),IF($HV$6-(Sheet1!DA162-Sheet1!DB162)+MIN(113/1.02,G164)&lt;G164+FL164,$HV$6-(Sheet1!DA162-Sheet1!DB162)+MIN(113/1.02,G164),G164+FL164)),MIN(110/1.02+$HQ$6+113/1.02,G164))</f>
        <v>218.62745098039215</v>
      </c>
      <c r="HR164" s="541">
        <f t="shared" si="421"/>
        <v>223</v>
      </c>
      <c r="HS164" s="541">
        <f>HR164+(Sheet1!DA162-Sheet1!DB162)</f>
        <v>658</v>
      </c>
      <c r="HT164" s="541">
        <f t="shared" si="422"/>
        <v>85.19328999999999</v>
      </c>
      <c r="HU164" s="541">
        <f t="shared" si="423"/>
        <v>572.80671000000007</v>
      </c>
      <c r="HV164" s="541">
        <f t="shared" si="424"/>
        <v>0</v>
      </c>
      <c r="HW164" s="533" t="str">
        <f t="shared" si="425"/>
        <v/>
      </c>
      <c r="HX164" s="541">
        <f t="shared" si="426"/>
        <v>811.37254901960785</v>
      </c>
      <c r="HY164" s="541">
        <f>Sheet1!CZ162</f>
        <v>1030</v>
      </c>
      <c r="HZ164" s="541">
        <f t="shared" si="427"/>
        <v>0</v>
      </c>
      <c r="IA164" s="541">
        <f t="shared" si="428"/>
        <v>85.19328999999999</v>
      </c>
      <c r="IB164" s="541">
        <f t="shared" si="429"/>
        <v>1030</v>
      </c>
      <c r="IC164" s="1019" t="str">
        <f t="shared" si="430"/>
        <v/>
      </c>
      <c r="ID164" s="541">
        <f t="shared" si="431"/>
        <v>944.80671000000007</v>
      </c>
      <c r="IE164" s="541">
        <f>Sheet1!DB162</f>
        <v>915</v>
      </c>
      <c r="IF164" s="533">
        <f>Sheet1!DA162</f>
        <v>1350</v>
      </c>
      <c r="IH164" s="541">
        <f>IF(AND($B164&gt;=$GC164,$B164&lt;=$GH164,$DR164&lt;0)+N("only adjusted when pool is drawn down during storage season"),Sheet1!$DB162+$DR164+N("Palmer minus all storage release"),Sheet1!$DB162)</f>
        <v>915</v>
      </c>
      <c r="II164" s="541">
        <f>IF(AND($B164&gt;=$GC164,$B164&lt;=$GH164,$DR164&lt;0)+N("only adjusted when pool is drawn down during storage season"),Sheet1!$DA162+$DR164+N("Auburn minus all storage release"),Sheet1!$DA162)</f>
        <v>1350</v>
      </c>
    </row>
    <row r="165" spans="1:243" x14ac:dyDescent="0.25">
      <c r="A165" s="553" t="s">
        <v>9</v>
      </c>
      <c r="B165" s="531">
        <v>42889</v>
      </c>
      <c r="C165" s="536">
        <v>0</v>
      </c>
      <c r="D165" s="506">
        <f t="shared" si="371"/>
        <v>300</v>
      </c>
      <c r="E165" s="506">
        <f t="shared" si="372"/>
        <v>250</v>
      </c>
      <c r="F165" s="506">
        <v>250</v>
      </c>
      <c r="G165" s="535">
        <f>DR165+Sheet1!CZ163</f>
        <v>1137.7660110944321</v>
      </c>
      <c r="H165" s="1074">
        <f t="shared" si="405"/>
        <v>461.53477120000002</v>
      </c>
      <c r="I165" s="534">
        <f>IF(Sheet1!DA163&gt;=E165,(Sheet1!DA163-E165+P165)*CFStoMGD,0)</f>
        <v>729.79077119999999</v>
      </c>
      <c r="J165" s="995">
        <f>IF(Sheet1!DB163&gt;=D165,(Sheet1!DB163-D165+P165)*CFStoMGD,0)</f>
        <v>461.53477120000002</v>
      </c>
      <c r="K165" s="818">
        <f t="shared" si="406"/>
        <v>64.64</v>
      </c>
      <c r="L165" s="535">
        <f>Sheet1!AA163+Sheet1!AB163-Sheet1!L163+(Sheet1!DA163-F165)*CFStoMGD-S165-T165-U165</f>
        <v>665.15200000000004</v>
      </c>
      <c r="M165" s="535">
        <f t="shared" si="309"/>
        <v>750.16098856286976</v>
      </c>
      <c r="N165" s="824">
        <f>IF(Sheet1!DA163&gt;=F165,MIN(113*CFStoMGD,MIN(MAX(L165,0),MAX(M165,0))),0)</f>
        <v>73.043199999999999</v>
      </c>
      <c r="O165" s="538">
        <f>Sheet1!AA163+Sheet1!AB163</f>
        <v>64</v>
      </c>
      <c r="P165" s="538">
        <f t="shared" si="310"/>
        <v>99.007999999999996</v>
      </c>
      <c r="Q165" s="812">
        <f t="shared" si="407"/>
        <v>49.519999999999996</v>
      </c>
      <c r="R165" s="812">
        <f t="shared" si="373"/>
        <v>14.358173076923077</v>
      </c>
      <c r="S165" s="812">
        <f t="shared" si="374"/>
        <v>14.48</v>
      </c>
      <c r="T165" s="812">
        <f t="shared" si="375"/>
        <v>50.16</v>
      </c>
      <c r="U165" s="812">
        <f t="shared" si="408"/>
        <v>0</v>
      </c>
      <c r="V165" s="812"/>
      <c r="W165" s="812">
        <f t="shared" si="376"/>
        <v>50.28182692307692</v>
      </c>
      <c r="X165" s="812">
        <f t="shared" si="377"/>
        <v>64.64</v>
      </c>
      <c r="Y165" s="812" t="str">
        <f t="shared" si="378"/>
        <v>FALSE</v>
      </c>
      <c r="Z165" s="812">
        <f t="shared" si="379"/>
        <v>64</v>
      </c>
      <c r="AA165" s="812">
        <f t="shared" si="380"/>
        <v>64</v>
      </c>
      <c r="AB165" s="1059">
        <f t="shared" si="409"/>
        <v>76.607439999999997</v>
      </c>
      <c r="AC165" s="538">
        <f>Sheet1!Y163*MGDtoCFS</f>
        <v>47.941529999999993</v>
      </c>
      <c r="AD165" s="538">
        <f>Sheet1!Z163*MGDtoCFS</f>
        <v>58.739589999999993</v>
      </c>
      <c r="AE165" s="538">
        <f>Sheet1!AA163*MGDtoCFS</f>
        <v>47.957000000000001</v>
      </c>
      <c r="AF165" s="538">
        <f>Sheet1!AB163*MGDtoCFS</f>
        <v>51.050999999999995</v>
      </c>
      <c r="AG165" s="538">
        <f>Sheet1!L163*MGDtoCFS</f>
        <v>0</v>
      </c>
      <c r="AH165" s="521">
        <f t="shared" si="311"/>
        <v>0</v>
      </c>
      <c r="AI165" s="1059">
        <f t="shared" si="312"/>
        <v>0</v>
      </c>
      <c r="AJ165" s="535">
        <f t="shared" si="313"/>
        <v>50.28182692307692</v>
      </c>
      <c r="AK165" s="535">
        <f t="shared" si="314"/>
        <v>77.785986249999993</v>
      </c>
      <c r="AL165" s="535">
        <f>(VLOOKUP(Sheet1!DC163,hhdcap_wcm,4)-(((VLOOKUP(Sheet1!DC163,hhdcap_wcm,3)-Sheet1!DC163)/(VLOOKUP(Sheet1!DC163,hhdcap_wcm,3)-VLOOKUP(Sheet1!DC163,hhdcap_wcm,1)))*(VLOOKUP(Sheet1!DC163,hhdcap_wcm,4)-VLOOKUP(Sheet1!DC163,hhdcap_wcm,2))))</f>
        <v>49144.000000118191</v>
      </c>
      <c r="AM165" s="535">
        <f t="shared" si="315"/>
        <v>213.70000000025902</v>
      </c>
      <c r="AN165" s="1035">
        <f t="shared" si="316"/>
        <v>5790.5035287698065</v>
      </c>
      <c r="AO165" s="535">
        <f t="shared" si="317"/>
        <v>17765.264826265768</v>
      </c>
      <c r="AP165" s="535">
        <f>Sheet1!BA163+Sheet1!BB163+Sheet1!BN163+CD165</f>
        <v>18.8</v>
      </c>
      <c r="AQ165" s="535">
        <f>Sheet1!BN163+(DO165*Sheet1!BN163)</f>
        <v>18.641826923076923</v>
      </c>
      <c r="AR165" s="535">
        <f>Sheet1!BA163+CD165</f>
        <v>0</v>
      </c>
      <c r="AS165" s="535">
        <f>Sheet1!BA163+Sheet1!BB163+CD165</f>
        <v>0</v>
      </c>
      <c r="AT165" s="649">
        <f>0</f>
        <v>0</v>
      </c>
      <c r="AU165" s="535">
        <f>IF(EB165&lt;K165,0,MAX(Sheet1!AA163+AQ165-15/36*K165-N165,Sheet1!EH163,0))</f>
        <v>0</v>
      </c>
      <c r="AV165" s="535">
        <f>IF(OR(B165&gt;=GD165,B165&lt;GC165),0,15/36*K165-MAX(0,64.6-(137.6-(Sheet1!AA163+Sheet1!AB163))))</f>
        <v>26.933333333333334</v>
      </c>
      <c r="AW165" s="1029"/>
      <c r="AX165" s="649"/>
      <c r="AY165" s="649">
        <f t="shared" si="410"/>
        <v>0</v>
      </c>
      <c r="AZ165" s="649">
        <f t="shared" si="411"/>
        <v>0</v>
      </c>
      <c r="BA165" s="1059">
        <f t="shared" si="412"/>
        <v>0</v>
      </c>
      <c r="BB165" s="1019">
        <f t="shared" si="318"/>
        <v>2716.666666666667</v>
      </c>
      <c r="BC165" s="1041">
        <f t="shared" si="413"/>
        <v>26.933333333333334</v>
      </c>
      <c r="BD165" s="1019">
        <f ca="1">IF(B165&gt;Summary!$A$1,#N/A,BB165*MGtoAF)</f>
        <v>8334.7333333333336</v>
      </c>
      <c r="BE165" s="535">
        <f>Sheet1!BG163+Sheet1!BH163+Sheet1!BI163-BM165</f>
        <v>1.55</v>
      </c>
      <c r="BF165" s="535">
        <f t="shared" si="319"/>
        <v>1.5369591346153846</v>
      </c>
      <c r="BG165" s="535">
        <f>IF(Sheet1!EP163="FM",BM165,0)</f>
        <v>0</v>
      </c>
      <c r="BH165" s="535">
        <f t="shared" si="320"/>
        <v>0</v>
      </c>
      <c r="BI165" s="535">
        <f>IF(Sheet1!EP163="OTHER",BM165,0)</f>
        <v>0</v>
      </c>
      <c r="BJ165" s="535">
        <f t="shared" si="321"/>
        <v>0</v>
      </c>
      <c r="BK165" s="535">
        <f t="shared" si="322"/>
        <v>1.55</v>
      </c>
      <c r="BL165" s="535">
        <f t="shared" si="323"/>
        <v>1.5369591346153846</v>
      </c>
      <c r="BM165" s="535">
        <f>IF(OR(Sheet1!EP163="FM", Sheet1!EP163="OTHER"),SUM(Sheet1!BG163:'Sheet1'!BI163),0)</f>
        <v>0</v>
      </c>
      <c r="BN165" s="521">
        <f>IF(AND($B165&gt;=$FV165,$B165&lt;=$FW165),MAX(BF165,Sheet1!EI163,0),MAX(BF165-(7/36)*$K165,0))</f>
        <v>0</v>
      </c>
      <c r="BO165" s="535">
        <f t="shared" si="324"/>
        <v>11.031929754273504</v>
      </c>
      <c r="BP165" s="521">
        <f t="shared" si="325"/>
        <v>1.5369591346153846</v>
      </c>
      <c r="BQ165" s="521">
        <f>IF(AND($O165&gt;0,Sheet1!EM163=1),(1-($O165-Sheet1!$L163)/$O165)*BL165,0)</f>
        <v>0</v>
      </c>
      <c r="BR165" s="521">
        <f>IF(AND(Sheet1!$L163=0,Sheet1!$L162=0, Calculation!BK165&lt;Sheet1!$EI163-0.1,Sheet1!$EI163=Sheet1!$EI162,Sheet1!$EI163=Sheet1!$EI164),BL165-BQ165,BL165-BQ165)</f>
        <v>1.5369591346153846</v>
      </c>
      <c r="BS165" s="1035" t="str">
        <f t="shared" si="414"/>
        <v/>
      </c>
      <c r="BT165" s="1035">
        <f t="shared" si="415"/>
        <v>12.568888888888889</v>
      </c>
      <c r="BU165" s="535">
        <f t="shared" si="326"/>
        <v>1267.7777777777778</v>
      </c>
      <c r="BV165" s="535"/>
      <c r="BW165" s="535">
        <f ca="1">IF(B165&gt;Summary!$A$1,#N/A,BU165*MGtoAF)</f>
        <v>3889.5422222222223</v>
      </c>
      <c r="BX165" s="535">
        <f>Sheet1!BC163+Sheet1!BD163+Sheet1!BE163+Sheet1!BF163-CG165-CH165</f>
        <v>4.79</v>
      </c>
      <c r="BY165" s="535">
        <f t="shared" si="327"/>
        <v>4.7496995192307692</v>
      </c>
      <c r="BZ165" s="535">
        <f>IF(Sheet1!EQ163="FM",CH165,0)</f>
        <v>0</v>
      </c>
      <c r="CA165" s="535">
        <f t="shared" si="328"/>
        <v>0</v>
      </c>
      <c r="CB165" s="535">
        <f>IF(Sheet1!EQ163="OTHER",CH165,0)</f>
        <v>0</v>
      </c>
      <c r="CC165" s="535">
        <f t="shared" si="329"/>
        <v>0</v>
      </c>
      <c r="CD165" s="535">
        <f t="shared" si="330"/>
        <v>0</v>
      </c>
      <c r="CE165" s="535">
        <f t="shared" si="331"/>
        <v>4.79</v>
      </c>
      <c r="CF165" s="535">
        <f t="shared" si="332"/>
        <v>4.7496995192307692</v>
      </c>
      <c r="CG165" s="535">
        <f>IF(Sheet1!EQ163="CWA",SUM(Sheet1!BC163:'Sheet1'!BF163),0)</f>
        <v>0</v>
      </c>
      <c r="CH165" s="535">
        <f>IF(OR(Sheet1!EQ163="FM", Sheet1!EQ163="OTHER"),SUM(Sheet1!BC163:'Sheet1'!BF163),0)</f>
        <v>0</v>
      </c>
      <c r="CI165" s="521">
        <f>IF(AND($B165&gt;=$FV165,$B165&lt;=$FW165),MAX(CF165,Sheet1!EJ163,0),MAX(CF165-(7/36)*$K165,0))</f>
        <v>0</v>
      </c>
      <c r="CJ165" s="535">
        <f t="shared" si="333"/>
        <v>7.8191893696581198</v>
      </c>
      <c r="CK165" s="521">
        <f t="shared" si="334"/>
        <v>4.7496995192307692</v>
      </c>
      <c r="CL165" s="521">
        <f>IF(AND($O165&gt;0,Sheet1!EN163=1),(1-($O165-Sheet1!$L163)/$O165)*CF165,0)</f>
        <v>0</v>
      </c>
      <c r="CM165" s="521">
        <f>IF(AND(Sheet1!$L163=0,Sheet1!$L162=0, Calculation!CE165&lt;Sheet1!EJ163-0.1,Sheet1!EJ163=Sheet1!EJ162,Sheet1!EJ163=Sheet1!EJ164),CF165-CL165,CF165-CL165)</f>
        <v>4.7496995192307692</v>
      </c>
      <c r="CN165" s="1040" t="str">
        <f t="shared" si="416"/>
        <v/>
      </c>
      <c r="CO165" s="1035">
        <f t="shared" si="417"/>
        <v>12.568888888888889</v>
      </c>
      <c r="CP165" s="535">
        <f t="shared" si="335"/>
        <v>1070.7852077049529</v>
      </c>
      <c r="CQ165" s="535"/>
      <c r="CR165" s="535">
        <f ca="1">IF(B165&gt;Summary!$A$1,#N/A,CP165*MGtoAF)</f>
        <v>3285.1690172387957</v>
      </c>
      <c r="CS165" s="535">
        <f>Sheet1!BK163+Sheet1!BL163+Sheet1!BM163-Sheet1!ER163-DA165</f>
        <v>8.14</v>
      </c>
      <c r="CT165" s="535">
        <f t="shared" si="336"/>
        <v>8.0715144230769234</v>
      </c>
      <c r="CU165" s="535">
        <f>IF(Sheet1!ER163="FM",DA165,0)</f>
        <v>0</v>
      </c>
      <c r="CV165" s="535">
        <f t="shared" si="337"/>
        <v>0</v>
      </c>
      <c r="CW165" s="535">
        <f>IF(Sheet1!ER163="OTHER",DA165,0)</f>
        <v>0</v>
      </c>
      <c r="CX165" s="535">
        <f t="shared" si="338"/>
        <v>0</v>
      </c>
      <c r="CY165" s="535">
        <f t="shared" si="339"/>
        <v>8.14</v>
      </c>
      <c r="CZ165" s="535">
        <f t="shared" si="340"/>
        <v>8.0715144230769234</v>
      </c>
      <c r="DA165" s="535">
        <f>IF(OR(Sheet1!ER163="FM", Sheet1!ER163="OTHER"),SUM(Sheet1!BK163:'Sheet1'!BM163),0)</f>
        <v>0</v>
      </c>
      <c r="DB165" s="1011">
        <f>IF(AND($B165&gt;=$FV165,$B165&lt;=$FW165),MAX($CT165,Sheet1!EK163,0),MAX($CT165-(7/36)*$K165,0))</f>
        <v>0</v>
      </c>
      <c r="DC165" s="1012">
        <f t="shared" si="341"/>
        <v>4.4973744658119656</v>
      </c>
      <c r="DD165" s="1011">
        <f t="shared" si="342"/>
        <v>8.0715144230769234</v>
      </c>
      <c r="DE165" s="521">
        <f>IF(AND($O165&gt;0,Sheet1!EO163=1),(1-($O165-Sheet1!$L163)/$O165)*CZ165,0)</f>
        <v>0</v>
      </c>
      <c r="DF165" s="521">
        <f>IF(AND(Sheet1!$L163=0,Sheet1!$L162=0, Calculation!CY165&lt;Sheet1!$EK163-0.1,Sheet1!$EK163=Sheet1!$EK162,Sheet1!$EK163=Sheet1!$EK164),CZ165-DE165,CZ165-DE165)</f>
        <v>8.0715144230769234</v>
      </c>
      <c r="DG165" s="1040">
        <f t="shared" si="418"/>
        <v>12.568888888888889</v>
      </c>
      <c r="DH165" s="649">
        <f t="shared" si="343"/>
        <v>14.48</v>
      </c>
      <c r="DI165" s="535">
        <f t="shared" si="344"/>
        <v>735.27387662040917</v>
      </c>
      <c r="DJ165" s="649">
        <f t="shared" si="345"/>
        <v>14.358173076923077</v>
      </c>
      <c r="DK165" s="535">
        <f ca="1">IF(B165&gt;Summary!$A$1,#N/A,DI165*MGtoAF)</f>
        <v>2255.8202534714155</v>
      </c>
      <c r="DL165" s="649">
        <f t="shared" si="346"/>
        <v>14.48</v>
      </c>
      <c r="DM165" s="535">
        <f t="shared" si="347"/>
        <v>33.28</v>
      </c>
      <c r="DN165" s="535">
        <f>Sheet1!AB163-DM165</f>
        <v>-0.28000000000000114</v>
      </c>
      <c r="DO165" s="743">
        <f t="shared" si="348"/>
        <v>-8.4134615384615728E-3</v>
      </c>
      <c r="DP165" s="535">
        <f>(VLOOKUP(Sheet1!DC163,hhdcap_wcm,4)-(((VLOOKUP(Sheet1!DC163,hhdcap_wcm,3)-Sheet1!DC163)/(VLOOKUP(Sheet1!DC163,hhdcap_wcm,3)-VLOOKUP(Sheet1!DC163,hhdcap_wcm,1)))*(VLOOKUP(Sheet1!DC163,hhdcap_wcm,4)-VLOOKUP(Sheet1!DC163,hhdcap_wcm,2))))</f>
        <v>49144.000000118191</v>
      </c>
      <c r="DQ165" s="535">
        <f t="shared" si="349"/>
        <v>213.70000000025902</v>
      </c>
      <c r="DR165" s="535">
        <f t="shared" si="350"/>
        <v>107.76601109443217</v>
      </c>
      <c r="DS165" s="535">
        <f>Sheet1!EA163*AFtoMG</f>
        <v>0</v>
      </c>
      <c r="DT165" s="535">
        <f>Sheet1!EB163*AFtoMG</f>
        <v>0</v>
      </c>
      <c r="DU165" s="535">
        <f>Sheet1!EC163*AFtoMG</f>
        <v>0</v>
      </c>
      <c r="DV165" s="535">
        <f>Sheet1!ED163*AFtoMG</f>
        <v>0</v>
      </c>
      <c r="DW165" s="535">
        <f t="shared" si="351"/>
        <v>0</v>
      </c>
      <c r="DX165" s="535">
        <f t="shared" si="352"/>
        <v>0</v>
      </c>
      <c r="DY165" s="535">
        <f t="shared" si="353"/>
        <v>5790.5035287698065</v>
      </c>
      <c r="DZ165" s="535">
        <f t="shared" si="354"/>
        <v>17765.264826265768</v>
      </c>
      <c r="EA165" s="535"/>
      <c r="EB165" s="521">
        <f>IF(OR(B165&lt;FV165,B165&gt;FW165),(MIN(BF165+BY165+CT165+MAX(Sheet1!AA163+AQ165-73,0),K165)),0)</f>
        <v>14.358173076923077</v>
      </c>
      <c r="EC165" s="535"/>
      <c r="ED165" s="535">
        <f t="shared" si="355"/>
        <v>14.358173076923077</v>
      </c>
      <c r="EE165" s="535"/>
      <c r="EF165" s="535">
        <f>Sheet1!EH163+Sheet1!EI163+Sheet1!EJ163+Sheet1!EK163</f>
        <v>14.5</v>
      </c>
      <c r="EG165" s="1019">
        <f t="shared" si="419"/>
        <v>22.4315</v>
      </c>
      <c r="EH165" s="521">
        <f t="shared" si="356"/>
        <v>0</v>
      </c>
      <c r="EI165" s="535">
        <f>IF(Sheet1!ET163=1,SUM('Calculations II'!AT165:BA165)+'Calculations II'!BC165+Sheet1!BV163+'Calculations II'!BE165+AP165,'Calculations II'!BK165)</f>
        <v>55.643054923076932</v>
      </c>
      <c r="EJ165" s="535">
        <f ca="1">EI165+'Calculations II'!D165+'Calculations II'!E165+'Calculations II'!O165</f>
        <v>53.896860315676491</v>
      </c>
      <c r="EK165" s="535"/>
      <c r="EL165" s="535"/>
      <c r="EM165" s="535">
        <f t="shared" si="357"/>
        <v>42889</v>
      </c>
      <c r="EN165" s="535">
        <f t="shared" si="358"/>
        <v>50.28182692307692</v>
      </c>
      <c r="EO165" s="535">
        <f t="shared" si="359"/>
        <v>77.785986249999993</v>
      </c>
      <c r="EP165" s="535">
        <v>0</v>
      </c>
      <c r="EQ165" s="535">
        <v>0</v>
      </c>
      <c r="ER165" s="535">
        <v>0</v>
      </c>
      <c r="ES165" s="521">
        <f t="shared" si="381"/>
        <v>1.5249863130076751</v>
      </c>
      <c r="ET165" s="535">
        <f>-(VLOOKUP(Sheet1!BQ163,Lookup!$O$4:$Q$262,2)-VLOOKUP(Sheet1!BQ162,Lookup!$O$4:$Q$262,2))/1000000</f>
        <v>0.83169705310631548</v>
      </c>
      <c r="EU165" s="535">
        <f>-(VLOOKUP(Sheet1!BR163,Lookup!$O$4:$Q$262,3)-VLOOKUP(Sheet1!BR162,Lookup!$O$4:$Q$262,3))/1000000</f>
        <v>0.6932892599013597</v>
      </c>
      <c r="EV165" s="535"/>
      <c r="EW165" s="535"/>
      <c r="EX165" s="535"/>
      <c r="EY165" s="535">
        <f t="shared" si="434"/>
        <v>129.97810484443218</v>
      </c>
      <c r="EZ165" s="535">
        <f t="shared" si="435"/>
        <v>84.019460145075755</v>
      </c>
      <c r="FA165" s="535"/>
      <c r="FB165" s="535"/>
      <c r="FC165" s="535"/>
      <c r="FD165" s="567" t="e">
        <f t="shared" si="360"/>
        <v>#N/A</v>
      </c>
      <c r="FE165" s="567" t="e">
        <f t="shared" si="361"/>
        <v>#N/A</v>
      </c>
      <c r="FF165" s="568" t="e">
        <f t="shared" si="362"/>
        <v>#N/A</v>
      </c>
      <c r="FG165" s="569" t="s">
        <v>656</v>
      </c>
      <c r="FH165" s="569" t="s">
        <v>656</v>
      </c>
      <c r="FI165" s="567" t="e">
        <v>#N/A</v>
      </c>
      <c r="FJ165" s="567" t="e">
        <v>#N/A</v>
      </c>
      <c r="FK165" s="535">
        <v>24950</v>
      </c>
      <c r="FL165" s="1015">
        <v>0</v>
      </c>
      <c r="FM165" s="535"/>
      <c r="FN165" s="535"/>
      <c r="FO165" s="535">
        <f>O165+((Sheet1!CS163)*GPMtoMGD)</f>
        <v>68.918608000000006</v>
      </c>
      <c r="FP165" s="535">
        <f>IF(Sheet1!AA163+AQ165&lt;=Calculation!N165,AQ165,Calculation!N165-Sheet1!AA163)</f>
        <v>18.641826923076923</v>
      </c>
      <c r="FQ165" s="535">
        <f>(Sheet1!BP163+Sheet1!BO163)/694.4</f>
        <v>2.3241647465437789</v>
      </c>
      <c r="FR165" s="541"/>
      <c r="FS165" s="541"/>
      <c r="FT165" s="541"/>
      <c r="FU165" s="541"/>
      <c r="FV165" s="1109">
        <f t="shared" si="382"/>
        <v>42918</v>
      </c>
      <c r="FW165" s="1109">
        <f t="shared" si="383"/>
        <v>43027</v>
      </c>
      <c r="FX165" s="541"/>
      <c r="FY165" s="541">
        <f>Sheet1!DA163-Sheet1!CZ163-Sheet1!AE163</f>
        <v>150.99200000000002</v>
      </c>
      <c r="FZ165" s="535">
        <f t="shared" si="420"/>
        <v>0.13270918495337966</v>
      </c>
      <c r="GA165" s="535"/>
      <c r="GB165" s="535" t="str">
        <f t="shared" si="384"/>
        <v>n</v>
      </c>
      <c r="GC165" s="539">
        <f t="shared" si="385"/>
        <v>42782</v>
      </c>
      <c r="GD165" s="1109">
        <f t="shared" si="386"/>
        <v>42904</v>
      </c>
      <c r="GE165" s="535">
        <f t="shared" si="404"/>
        <v>6520</v>
      </c>
      <c r="GF165" s="1109">
        <f t="shared" si="387"/>
        <v>42909</v>
      </c>
      <c r="GG165" s="535">
        <f t="shared" si="432"/>
        <v>3260</v>
      </c>
      <c r="GH165" s="539">
        <f t="shared" si="388"/>
        <v>43040</v>
      </c>
      <c r="GJ165" s="521">
        <f t="shared" si="389"/>
        <v>37.965263087606836</v>
      </c>
      <c r="GK165" s="535" t="str">
        <f t="shared" si="363"/>
        <v>PP</v>
      </c>
      <c r="GL165" s="535">
        <f t="shared" si="390"/>
        <v>26.933333333333334</v>
      </c>
      <c r="GM165" s="535" t="str">
        <f t="shared" si="391"/>
        <v/>
      </c>
      <c r="GN165" s="535">
        <f>IF(GK165="P",Lookup!$M$12,IF(GK165="PP",Lookup!$M$13,IF(GK165="PPP",Lookup!$M$14,IF(GK165="T",Lookup!$M$15,IF(GK165="TP",Lookup!$M$16,IF(GK165="TPP",Lookup!$M$17,IF(GK165="TPPP",Lookup!$M$18,0)))))))*GJ165</f>
        <v>0</v>
      </c>
      <c r="GO165" s="535">
        <f t="shared" si="392"/>
        <v>0</v>
      </c>
      <c r="GP165" s="535">
        <f t="shared" si="364"/>
        <v>8334.7333333333336</v>
      </c>
      <c r="GQ165" s="535">
        <f t="shared" si="433"/>
        <v>2716.666666666667</v>
      </c>
      <c r="GR165" s="535"/>
      <c r="GS165" s="535">
        <f t="shared" si="393"/>
        <v>11.031929754273504</v>
      </c>
      <c r="GT165" s="535" t="str">
        <f t="shared" si="394"/>
        <v/>
      </c>
      <c r="GU165" s="535">
        <f>IF(GK165="P",Lookup!$N$12,IF(GK165="PP",Lookup!$N$13,IF(GK165="PPP",Lookup!$N$14,IF(GK165="T",Lookup!$N$15,IF(GK165="TP",Lookup!$N$16,IF(GK165="TPP",Lookup!$N$17,IF(GK165="TPPP",Lookup!$N$18,0)))))))*GJ165</f>
        <v>18.982631543803418</v>
      </c>
      <c r="GV165" s="535">
        <f t="shared" si="395"/>
        <v>0</v>
      </c>
      <c r="GW165" s="535">
        <f t="shared" si="365"/>
        <v>3889.5422222222223</v>
      </c>
      <c r="GX165" s="535">
        <f t="shared" si="400"/>
        <v>1267.7777777777778</v>
      </c>
      <c r="GY165" s="535"/>
      <c r="GZ165" s="535">
        <f t="shared" si="396"/>
        <v>0</v>
      </c>
      <c r="HA165" s="535" t="str">
        <f t="shared" si="397"/>
        <v>P</v>
      </c>
      <c r="HB165" s="535">
        <f>IF(GK165="P",Lookup!$N$12,IF(GK165="PP",Lookup!$N$13,IF(GK165="PPP",Lookup!$N$14,IF(GK165="T",Lookup!$N$15,IF(GK165="TP",Lookup!$N$16,IF(GK165="TPP",Lookup!$N$17,IF(GK165="TPPP",Lookup!$N$18,0)))))))*GJ165</f>
        <v>18.982631543803418</v>
      </c>
      <c r="HC165" s="521">
        <f t="shared" si="366"/>
        <v>18.982631543803418</v>
      </c>
      <c r="HD165" s="535">
        <f t="shared" si="367"/>
        <v>3226.9303036624069</v>
      </c>
      <c r="HE165" s="535">
        <f t="shared" si="401"/>
        <v>1051.8025761611495</v>
      </c>
      <c r="HF165" s="535"/>
      <c r="HG165" s="535">
        <f t="shared" si="398"/>
        <v>0</v>
      </c>
      <c r="HH165" s="535" t="str">
        <f t="shared" si="399"/>
        <v>P</v>
      </c>
      <c r="HI165" s="535">
        <f>IF(GK165="P",Lookup!$N$12,IF(GK165="PP",Lookup!$N$13,IF(GK165="PPP",Lookup!$N$14,IF(GK165="T",Lookup!$N$15,IF(GK165="TP",Lookup!$N$16,IF(GK165="TPP",Lookup!$N$17,IF(GK165="TPPP",Lookup!$N$18,0)))))))*GJ165</f>
        <v>18.982631543803418</v>
      </c>
      <c r="HJ165" s="521">
        <f t="shared" si="368"/>
        <v>18.982631543803418</v>
      </c>
      <c r="HK165" s="535">
        <f t="shared" si="369"/>
        <v>2197.5815398950263</v>
      </c>
      <c r="HL165" s="535">
        <f t="shared" si="402"/>
        <v>716.29124507660572</v>
      </c>
      <c r="HM165" s="535"/>
      <c r="HN165" s="541"/>
      <c r="HO165" s="541"/>
      <c r="HP165" s="541"/>
      <c r="HQ165" s="541">
        <f>IF(AND(B165&gt;=$FV$4,B165&lt;=$FW$4),MAX(110/1.02+$HQ$6+MIN(113/1.02,G165),IF($HV$6-(Sheet1!DA163-Sheet1!DB163)+MIN(113/1.02,G165)&lt;G165+FL165,$HV$6-(Sheet1!DA163-Sheet1!DB163)+MIN(113/1.02,G165),G165+FL165)),MIN(110/1.02+$HQ$6+113/1.02,G165))</f>
        <v>218.62745098039215</v>
      </c>
      <c r="HR165" s="541">
        <f t="shared" si="421"/>
        <v>223</v>
      </c>
      <c r="HS165" s="541">
        <f>HR165+(Sheet1!DA163-Sheet1!DB163)</f>
        <v>588</v>
      </c>
      <c r="HT165" s="541">
        <f t="shared" si="422"/>
        <v>76.607439999999997</v>
      </c>
      <c r="HU165" s="541">
        <f t="shared" si="423"/>
        <v>511.39256</v>
      </c>
      <c r="HV165" s="541">
        <f t="shared" si="424"/>
        <v>0</v>
      </c>
      <c r="HW165" s="533" t="str">
        <f t="shared" si="425"/>
        <v/>
      </c>
      <c r="HX165" s="541">
        <f t="shared" si="426"/>
        <v>811.37254901960785</v>
      </c>
      <c r="HY165" s="541">
        <f>Sheet1!CZ163</f>
        <v>1030</v>
      </c>
      <c r="HZ165" s="541">
        <f t="shared" si="427"/>
        <v>0</v>
      </c>
      <c r="IA165" s="541">
        <f t="shared" si="428"/>
        <v>76.607439999999997</v>
      </c>
      <c r="IB165" s="541">
        <f t="shared" si="429"/>
        <v>1030</v>
      </c>
      <c r="IC165" s="1019" t="str">
        <f t="shared" si="430"/>
        <v/>
      </c>
      <c r="ID165" s="541">
        <f t="shared" si="431"/>
        <v>953.39256</v>
      </c>
      <c r="IE165" s="541">
        <f>Sheet1!DB163</f>
        <v>915</v>
      </c>
      <c r="IF165" s="533">
        <f>Sheet1!DA163</f>
        <v>1280</v>
      </c>
      <c r="IH165" s="541">
        <f>IF(AND($B165&gt;=$GC165,$B165&lt;=$GH165,$DR165&lt;0)+N("only adjusted when pool is drawn down during storage season"),Sheet1!$DB163+$DR165+N("Palmer minus all storage release"),Sheet1!$DB163)</f>
        <v>915</v>
      </c>
      <c r="II165" s="541">
        <f>IF(AND($B165&gt;=$GC165,$B165&lt;=$GH165,$DR165&lt;0)+N("only adjusted when pool is drawn down during storage season"),Sheet1!$DA163+$DR165+N("Auburn minus all storage release"),Sheet1!$DA163)</f>
        <v>1280</v>
      </c>
    </row>
    <row r="166" spans="1:243" x14ac:dyDescent="0.25">
      <c r="A166" s="553" t="s">
        <v>3</v>
      </c>
      <c r="B166" s="531">
        <v>42890</v>
      </c>
      <c r="C166" s="536">
        <v>0</v>
      </c>
      <c r="D166" s="506">
        <f t="shared" si="371"/>
        <v>300</v>
      </c>
      <c r="E166" s="506">
        <f t="shared" si="372"/>
        <v>250</v>
      </c>
      <c r="F166" s="506">
        <v>250</v>
      </c>
      <c r="G166" s="535">
        <f>DR166+Sheet1!CZ164</f>
        <v>1035.6984367120504</v>
      </c>
      <c r="H166" s="1074">
        <f t="shared" si="405"/>
        <v>458.74276275199998</v>
      </c>
      <c r="I166" s="534">
        <f>IF(Sheet1!DA164&gt;=E166,(Sheet1!DA164-E166+P166)*CFStoMGD,0)</f>
        <v>717.30276275199992</v>
      </c>
      <c r="J166" s="995">
        <f>IF(Sheet1!DB164&gt;=D166,(Sheet1!DB164-D166+P166)*CFStoMGD,0)</f>
        <v>458.74276275199998</v>
      </c>
      <c r="K166" s="818">
        <f t="shared" si="406"/>
        <v>64.64</v>
      </c>
      <c r="L166" s="535">
        <f>Sheet1!AA164+Sheet1!AB164-Sheet1!L164+(Sheet1!DA164-F166)*CFStoMGD-S166-T166-U166</f>
        <v>652.66399999999987</v>
      </c>
      <c r="M166" s="535">
        <f t="shared" si="309"/>
        <v>682.86497888048279</v>
      </c>
      <c r="N166" s="824">
        <f>IF(Sheet1!DA164&gt;=F166,MIN(113*CFStoMGD,MIN(MAX(L166,0),MAX(M166,0))),0)</f>
        <v>73.043199999999999</v>
      </c>
      <c r="O166" s="538">
        <f>Sheet1!AA164+Sheet1!AB164</f>
        <v>64.44</v>
      </c>
      <c r="P166" s="538">
        <f t="shared" si="310"/>
        <v>99.688680000000005</v>
      </c>
      <c r="Q166" s="812">
        <f t="shared" si="407"/>
        <v>49.94</v>
      </c>
      <c r="R166" s="812">
        <f t="shared" si="373"/>
        <v>14.456845238095237</v>
      </c>
      <c r="S166" s="812">
        <f t="shared" si="374"/>
        <v>14.5</v>
      </c>
      <c r="T166" s="812">
        <f t="shared" si="375"/>
        <v>50.14</v>
      </c>
      <c r="U166" s="812">
        <f t="shared" si="408"/>
        <v>0</v>
      </c>
      <c r="V166" s="812"/>
      <c r="W166" s="812">
        <f t="shared" si="376"/>
        <v>50.18315476190476</v>
      </c>
      <c r="X166" s="812">
        <f t="shared" si="377"/>
        <v>64.64</v>
      </c>
      <c r="Y166" s="812" t="str">
        <f t="shared" si="378"/>
        <v>FALSE</v>
      </c>
      <c r="Z166" s="812">
        <f t="shared" si="379"/>
        <v>64.44</v>
      </c>
      <c r="AA166" s="812">
        <f t="shared" si="380"/>
        <v>64.44</v>
      </c>
      <c r="AB166" s="1059">
        <f t="shared" si="409"/>
        <v>77.257179999999991</v>
      </c>
      <c r="AC166" s="538">
        <f>Sheet1!Y164*MGDtoCFS</f>
        <v>47.957000000000001</v>
      </c>
      <c r="AD166" s="538">
        <f>Sheet1!Z164*MGDtoCFS</f>
        <v>50.896299999999997</v>
      </c>
      <c r="AE166" s="538">
        <f>Sheet1!AA164*MGDtoCFS</f>
        <v>47.864179999999998</v>
      </c>
      <c r="AF166" s="538">
        <f>Sheet1!AB164*MGDtoCFS</f>
        <v>51.8245</v>
      </c>
      <c r="AG166" s="538">
        <f>Sheet1!L164*MGDtoCFS</f>
        <v>0</v>
      </c>
      <c r="AH166" s="521">
        <f t="shared" si="311"/>
        <v>0</v>
      </c>
      <c r="AI166" s="1059">
        <f t="shared" si="312"/>
        <v>0</v>
      </c>
      <c r="AJ166" s="535">
        <f t="shared" si="313"/>
        <v>50.18315476190476</v>
      </c>
      <c r="AK166" s="535">
        <f t="shared" si="314"/>
        <v>77.633340416666655</v>
      </c>
      <c r="AL166" s="535">
        <f>(VLOOKUP(Sheet1!DC164,hhdcap_wcm,4)-(((VLOOKUP(Sheet1!DC164,hhdcap_wcm,3)-Sheet1!DC164)/(VLOOKUP(Sheet1!DC164,hhdcap_wcm,3)-VLOOKUP(Sheet1!DC164,hhdcap_wcm,1)))*(VLOOKUP(Sheet1!DC164,hhdcap_wcm,4)-VLOOKUP(Sheet1!DC164,hhdcap_wcm,2))))</f>
        <v>49155.300000118186</v>
      </c>
      <c r="AM166" s="535">
        <f t="shared" si="315"/>
        <v>11.299999999995634</v>
      </c>
      <c r="AN166" s="1035">
        <f t="shared" si="316"/>
        <v>5840.6866835317123</v>
      </c>
      <c r="AO166" s="535">
        <f t="shared" si="317"/>
        <v>17919.226745075295</v>
      </c>
      <c r="AP166" s="535">
        <f>Sheet1!BA164+Sheet1!BB164+Sheet1!BN164+CD166</f>
        <v>19.100000000000001</v>
      </c>
      <c r="AQ166" s="535">
        <f>Sheet1!BN164+(DO166*Sheet1!BN164)</f>
        <v>19.043154761904763</v>
      </c>
      <c r="AR166" s="535">
        <f>Sheet1!BA164+CD166</f>
        <v>0</v>
      </c>
      <c r="AS166" s="535">
        <f>Sheet1!BA164+Sheet1!BB164+CD166</f>
        <v>0</v>
      </c>
      <c r="AT166" s="649">
        <f>0</f>
        <v>0</v>
      </c>
      <c r="AU166" s="535">
        <f>IF(EB166&lt;K166,0,MAX(Sheet1!AA164+AQ166-15/36*K166-N166,Sheet1!EH164,0))</f>
        <v>0</v>
      </c>
      <c r="AV166" s="535">
        <f>IF(OR(B166&gt;=GD166,B166&lt;GC166),0,15/36*K166-MAX(0,64.6-(137.6-(Sheet1!AA164+Sheet1!AB164))))</f>
        <v>26.933333333333334</v>
      </c>
      <c r="AW166" s="1029"/>
      <c r="AX166" s="649"/>
      <c r="AY166" s="649">
        <f t="shared" si="410"/>
        <v>0</v>
      </c>
      <c r="AZ166" s="649">
        <f t="shared" si="411"/>
        <v>0</v>
      </c>
      <c r="BA166" s="1059">
        <f t="shared" si="412"/>
        <v>0</v>
      </c>
      <c r="BB166" s="1019">
        <f t="shared" si="318"/>
        <v>2716.666666666667</v>
      </c>
      <c r="BC166" s="1041">
        <f t="shared" si="413"/>
        <v>26.933333333333334</v>
      </c>
      <c r="BD166" s="1019">
        <f ca="1">IF(B166&gt;Summary!$A$1,#N/A,BB166*MGtoAF)</f>
        <v>8334.7333333333336</v>
      </c>
      <c r="BE166" s="535">
        <f>Sheet1!BG164+Sheet1!BH164+Sheet1!BI164-BM166</f>
        <v>1.51</v>
      </c>
      <c r="BF166" s="535">
        <f t="shared" si="319"/>
        <v>1.5055059523809524</v>
      </c>
      <c r="BG166" s="535">
        <f>IF(Sheet1!EP164="FM",BM166,0)</f>
        <v>0</v>
      </c>
      <c r="BH166" s="535">
        <f t="shared" si="320"/>
        <v>0</v>
      </c>
      <c r="BI166" s="535">
        <f>IF(Sheet1!EP164="OTHER",BM166,0)</f>
        <v>0</v>
      </c>
      <c r="BJ166" s="535">
        <f t="shared" si="321"/>
        <v>0</v>
      </c>
      <c r="BK166" s="535">
        <f t="shared" si="322"/>
        <v>1.51</v>
      </c>
      <c r="BL166" s="535">
        <f t="shared" si="323"/>
        <v>1.5055059523809524</v>
      </c>
      <c r="BM166" s="535">
        <f>IF(OR(Sheet1!EP164="FM", Sheet1!EP164="OTHER"),SUM(Sheet1!BG164:'Sheet1'!BI164),0)</f>
        <v>0</v>
      </c>
      <c r="BN166" s="521">
        <f>IF(AND($B166&gt;=$FV166,$B166&lt;=$FW166),MAX(BF166,Sheet1!EI164,0),MAX(BF166-(7/36)*$K166,0))</f>
        <v>0</v>
      </c>
      <c r="BO166" s="535">
        <f t="shared" si="324"/>
        <v>11.063382936507937</v>
      </c>
      <c r="BP166" s="521">
        <f t="shared" si="325"/>
        <v>1.5055059523809524</v>
      </c>
      <c r="BQ166" s="521">
        <f>IF(AND($O166&gt;0,Sheet1!EM164=1),(1-($O166-Sheet1!$L164)/$O166)*BL166,0)</f>
        <v>0</v>
      </c>
      <c r="BR166" s="521">
        <f>IF(AND(Sheet1!$L164=0,Sheet1!$L163=0, Calculation!BK166&lt;Sheet1!$EI164-0.1,Sheet1!$EI164=Sheet1!$EI163,Sheet1!$EI164=Sheet1!$EI165),BL166-BQ166,BL166-BQ166)</f>
        <v>1.5055059523809524</v>
      </c>
      <c r="BS166" s="1035" t="str">
        <f t="shared" si="414"/>
        <v/>
      </c>
      <c r="BT166" s="1035">
        <f t="shared" si="415"/>
        <v>12.568888888888889</v>
      </c>
      <c r="BU166" s="535">
        <f t="shared" si="326"/>
        <v>1267.7777777777778</v>
      </c>
      <c r="BV166" s="535"/>
      <c r="BW166" s="535">
        <f ca="1">IF(B166&gt;Summary!$A$1,#N/A,BU166*MGtoAF)</f>
        <v>3889.5422222222223</v>
      </c>
      <c r="BX166" s="535">
        <f>Sheet1!BC164+Sheet1!BD164+Sheet1!BE164+Sheet1!BF164-CG166-CH166</f>
        <v>5</v>
      </c>
      <c r="BY166" s="535">
        <f t="shared" si="327"/>
        <v>4.9851190476190474</v>
      </c>
      <c r="BZ166" s="535">
        <f>IF(Sheet1!EQ164="FM",CH166,0)</f>
        <v>0</v>
      </c>
      <c r="CA166" s="535">
        <f t="shared" si="328"/>
        <v>0</v>
      </c>
      <c r="CB166" s="535">
        <f>IF(Sheet1!EQ164="OTHER",CH166,0)</f>
        <v>0</v>
      </c>
      <c r="CC166" s="535">
        <f t="shared" si="329"/>
        <v>0</v>
      </c>
      <c r="CD166" s="535">
        <f t="shared" si="330"/>
        <v>0</v>
      </c>
      <c r="CE166" s="535">
        <f t="shared" si="331"/>
        <v>5</v>
      </c>
      <c r="CF166" s="535">
        <f t="shared" si="332"/>
        <v>4.9851190476190474</v>
      </c>
      <c r="CG166" s="535">
        <f>IF(Sheet1!EQ164="CWA",SUM(Sheet1!BC164:'Sheet1'!BF164),0)</f>
        <v>0</v>
      </c>
      <c r="CH166" s="535">
        <f>IF(OR(Sheet1!EQ164="FM", Sheet1!EQ164="OTHER"),SUM(Sheet1!BC164:'Sheet1'!BF164),0)</f>
        <v>0</v>
      </c>
      <c r="CI166" s="521">
        <f>IF(AND($B166&gt;=$FV166,$B166&lt;=$FW166),MAX(CF166,Sheet1!EJ164,0),MAX(CF166-(7/36)*$K166,0))</f>
        <v>0</v>
      </c>
      <c r="CJ166" s="535">
        <f t="shared" si="333"/>
        <v>7.5837698412698415</v>
      </c>
      <c r="CK166" s="521">
        <f t="shared" si="334"/>
        <v>4.9851190476190474</v>
      </c>
      <c r="CL166" s="521">
        <f>IF(AND($O166&gt;0,Sheet1!EN164=1),(1-($O166-Sheet1!$L164)/$O166)*CF166,0)</f>
        <v>0</v>
      </c>
      <c r="CM166" s="521">
        <f>IF(AND(Sheet1!$L164=0,Sheet1!$L163=0, Calculation!CE166&lt;Sheet1!EJ164-0.1,Sheet1!EJ164=Sheet1!EJ163,Sheet1!EJ164=Sheet1!EJ165),CF166-CL166,CF166-CL166)</f>
        <v>4.9851190476190474</v>
      </c>
      <c r="CN166" s="1040" t="str">
        <f t="shared" si="416"/>
        <v/>
      </c>
      <c r="CO166" s="1035">
        <f t="shared" si="417"/>
        <v>12.568888888888889</v>
      </c>
      <c r="CP166" s="535">
        <f t="shared" si="335"/>
        <v>1097.3673356811435</v>
      </c>
      <c r="CQ166" s="535"/>
      <c r="CR166" s="535">
        <f ca="1">IF(B166&gt;Summary!$A$1,#N/A,CP166*MGtoAF)</f>
        <v>3366.7229858697483</v>
      </c>
      <c r="CS166" s="535">
        <f>Sheet1!BK164+Sheet1!BL164+Sheet1!BM164-Sheet1!ER164-DA166</f>
        <v>7.99</v>
      </c>
      <c r="CT166" s="535">
        <f t="shared" si="336"/>
        <v>7.9662202380952376</v>
      </c>
      <c r="CU166" s="535">
        <f>IF(Sheet1!ER164="FM",DA166,0)</f>
        <v>0</v>
      </c>
      <c r="CV166" s="535">
        <f t="shared" si="337"/>
        <v>0</v>
      </c>
      <c r="CW166" s="535">
        <f>IF(Sheet1!ER164="OTHER",DA166,0)</f>
        <v>0</v>
      </c>
      <c r="CX166" s="535">
        <f t="shared" si="338"/>
        <v>0</v>
      </c>
      <c r="CY166" s="535">
        <f t="shared" si="339"/>
        <v>7.99</v>
      </c>
      <c r="CZ166" s="535">
        <f t="shared" si="340"/>
        <v>7.9662202380952376</v>
      </c>
      <c r="DA166" s="535">
        <f>IF(OR(Sheet1!ER164="FM", Sheet1!ER164="OTHER"),SUM(Sheet1!BK164:'Sheet1'!BM164),0)</f>
        <v>0</v>
      </c>
      <c r="DB166" s="1011">
        <f>IF(AND($B166&gt;=$FV166,$B166&lt;=$FW166),MAX($CT166,Sheet1!EK164,0),MAX($CT166-(7/36)*$K166,0))</f>
        <v>0</v>
      </c>
      <c r="DC166" s="1012">
        <f t="shared" si="341"/>
        <v>4.6026686507936514</v>
      </c>
      <c r="DD166" s="1011">
        <f t="shared" si="342"/>
        <v>7.9662202380952376</v>
      </c>
      <c r="DE166" s="521">
        <f>IF(AND($O166&gt;0,Sheet1!EO164=1),(1-($O166-Sheet1!$L164)/$O166)*CZ166,0)</f>
        <v>0</v>
      </c>
      <c r="DF166" s="521">
        <f>IF(AND(Sheet1!$L164=0,Sheet1!$L163=0, Calculation!CY166&lt;Sheet1!$EK164-0.1,Sheet1!$EK164=Sheet1!$EK163,Sheet1!$EK164=Sheet1!$EK165),CZ166-DE166,CZ166-DE166)</f>
        <v>7.9662202380952376</v>
      </c>
      <c r="DG166" s="1040">
        <f t="shared" si="418"/>
        <v>12.568888888888889</v>
      </c>
      <c r="DH166" s="649">
        <f t="shared" si="343"/>
        <v>14.5</v>
      </c>
      <c r="DI166" s="535">
        <f t="shared" si="344"/>
        <v>758.87490340612351</v>
      </c>
      <c r="DJ166" s="649">
        <f t="shared" si="345"/>
        <v>14.456845238095237</v>
      </c>
      <c r="DK166" s="535">
        <f ca="1">IF(B166&gt;Summary!$A$1,#N/A,DI166*MGtoAF)</f>
        <v>2328.2282036499869</v>
      </c>
      <c r="DL166" s="649">
        <f t="shared" si="346"/>
        <v>14.5</v>
      </c>
      <c r="DM166" s="535">
        <f t="shared" si="347"/>
        <v>33.6</v>
      </c>
      <c r="DN166" s="535">
        <f>Sheet1!AB164-DM166</f>
        <v>-0.10000000000000142</v>
      </c>
      <c r="DO166" s="743">
        <f t="shared" si="348"/>
        <v>-2.9761904761905185E-3</v>
      </c>
      <c r="DP166" s="535">
        <f>(VLOOKUP(Sheet1!DC164,hhdcap_wcm,4)-(((VLOOKUP(Sheet1!DC164,hhdcap_wcm,3)-Sheet1!DC164)/(VLOOKUP(Sheet1!DC164,hhdcap_wcm,3)-VLOOKUP(Sheet1!DC164,hhdcap_wcm,1)))*(VLOOKUP(Sheet1!DC164,hhdcap_wcm,4)-VLOOKUP(Sheet1!DC164,hhdcap_wcm,2))))</f>
        <v>49155.300000118186</v>
      </c>
      <c r="DQ166" s="535">
        <f t="shared" si="349"/>
        <v>11.299999999995634</v>
      </c>
      <c r="DR166" s="535">
        <f t="shared" si="350"/>
        <v>5.6984367120502437</v>
      </c>
      <c r="DS166" s="535">
        <f>Sheet1!EA164*AFtoMG</f>
        <v>0</v>
      </c>
      <c r="DT166" s="535">
        <f>Sheet1!EB164*AFtoMG</f>
        <v>0</v>
      </c>
      <c r="DU166" s="535">
        <f>Sheet1!EC164*AFtoMG</f>
        <v>0</v>
      </c>
      <c r="DV166" s="535">
        <f>Sheet1!ED164*AFtoMG</f>
        <v>0</v>
      </c>
      <c r="DW166" s="535">
        <f t="shared" si="351"/>
        <v>0</v>
      </c>
      <c r="DX166" s="535">
        <f t="shared" si="352"/>
        <v>0</v>
      </c>
      <c r="DY166" s="535">
        <f t="shared" si="353"/>
        <v>5840.6866835317123</v>
      </c>
      <c r="DZ166" s="535">
        <f t="shared" si="354"/>
        <v>17919.226745075295</v>
      </c>
      <c r="EA166" s="535"/>
      <c r="EB166" s="521">
        <f>IF(OR(B166&lt;FV166,B166&gt;FW166),(MIN(BF166+BY166+CT166+MAX(Sheet1!AA164+AQ166-73,0),K166)),0)</f>
        <v>14.456845238095237</v>
      </c>
      <c r="EC166" s="535"/>
      <c r="ED166" s="535">
        <f t="shared" si="355"/>
        <v>14.456845238095237</v>
      </c>
      <c r="EE166" s="535"/>
      <c r="EF166" s="535">
        <f>Sheet1!EH164+Sheet1!EI164+Sheet1!EJ164+Sheet1!EK164</f>
        <v>14.5</v>
      </c>
      <c r="EG166" s="1019">
        <f t="shared" si="419"/>
        <v>22.4315</v>
      </c>
      <c r="EH166" s="521">
        <f t="shared" si="356"/>
        <v>0</v>
      </c>
      <c r="EI166" s="535">
        <f>IF(Sheet1!ET164=1,SUM('Calculations II'!AT166:BA166)+'Calculations II'!BC166+Sheet1!BV164+'Calculations II'!BE166+AP166,'Calculations II'!BK166)</f>
        <v>58.475902761904763</v>
      </c>
      <c r="EJ166" s="535">
        <f ca="1">EI166+'Calculations II'!D166+'Calculations II'!E166+'Calculations II'!O166</f>
        <v>55.463858766455573</v>
      </c>
      <c r="EK166" s="535"/>
      <c r="EL166" s="535"/>
      <c r="EM166" s="535">
        <f t="shared" si="357"/>
        <v>42890</v>
      </c>
      <c r="EN166" s="535">
        <f t="shared" si="358"/>
        <v>50.18315476190476</v>
      </c>
      <c r="EO166" s="535">
        <f t="shared" si="359"/>
        <v>77.633340416666655</v>
      </c>
      <c r="EP166" s="535">
        <v>0</v>
      </c>
      <c r="EQ166" s="535">
        <v>0</v>
      </c>
      <c r="ER166" s="535">
        <v>0</v>
      </c>
      <c r="ES166" s="521">
        <f t="shared" si="381"/>
        <v>3.6030205156712309</v>
      </c>
      <c r="ET166" s="535">
        <f>-(VLOOKUP(Sheet1!BQ164,Lookup!$O$4:$Q$262,2)-VLOOKUP(Sheet1!BQ163,Lookup!$O$4:$Q$262,2))/1000000</f>
        <v>1.8012185843288675</v>
      </c>
      <c r="EU166" s="535">
        <f>-(VLOOKUP(Sheet1!BR164,Lookup!$O$4:$Q$262,3)-VLOOKUP(Sheet1!BR163,Lookup!$O$4:$Q$262,3))/1000000</f>
        <v>1.8018019313423634</v>
      </c>
      <c r="EV166" s="535"/>
      <c r="EW166" s="535"/>
      <c r="EX166" s="535"/>
      <c r="EY166" s="535">
        <f t="shared" si="434"/>
        <v>28.063176295383577</v>
      </c>
      <c r="EZ166" s="535">
        <f t="shared" si="435"/>
        <v>18.140385452736638</v>
      </c>
      <c r="FA166" s="535"/>
      <c r="FB166" s="535"/>
      <c r="FC166" s="535"/>
      <c r="FD166" s="567" t="e">
        <f t="shared" si="360"/>
        <v>#N/A</v>
      </c>
      <c r="FE166" s="567" t="e">
        <f t="shared" si="361"/>
        <v>#N/A</v>
      </c>
      <c r="FF166" s="568" t="e">
        <f t="shared" si="362"/>
        <v>#N/A</v>
      </c>
      <c r="FG166" s="569" t="s">
        <v>656</v>
      </c>
      <c r="FH166" s="569" t="s">
        <v>656</v>
      </c>
      <c r="FI166" s="567" t="e">
        <v>#N/A</v>
      </c>
      <c r="FJ166" s="567" t="e">
        <v>#N/A</v>
      </c>
      <c r="FK166" s="535">
        <v>24900</v>
      </c>
      <c r="FL166" s="1015">
        <v>0</v>
      </c>
      <c r="FM166" s="535"/>
      <c r="FN166" s="535"/>
      <c r="FO166" s="535">
        <f>O166+((Sheet1!CS164)*GPMtoMGD)</f>
        <v>69.338448</v>
      </c>
      <c r="FP166" s="535">
        <f>IF(Sheet1!AA164+AQ166&lt;=Calculation!N166,AQ166,Calculation!N166-Sheet1!AA164)</f>
        <v>19.043154761904763</v>
      </c>
      <c r="FQ166" s="535">
        <f>(Sheet1!BP164+Sheet1!BO164)/694.4</f>
        <v>3.3761520737327193</v>
      </c>
      <c r="FR166" s="541"/>
      <c r="FS166" s="541"/>
      <c r="FT166" s="541"/>
      <c r="FU166" s="541"/>
      <c r="FV166" s="1109">
        <f t="shared" si="382"/>
        <v>42918</v>
      </c>
      <c r="FW166" s="1109">
        <f t="shared" si="383"/>
        <v>43027</v>
      </c>
      <c r="FX166" s="541"/>
      <c r="FY166" s="541">
        <f>Sheet1!DA164-Sheet1!CZ164-Sheet1!AE164</f>
        <v>130.31132000000002</v>
      </c>
      <c r="FZ166" s="535">
        <f t="shared" si="420"/>
        <v>0.1258197515617471</v>
      </c>
      <c r="GA166" s="535"/>
      <c r="GB166" s="535" t="str">
        <f t="shared" si="384"/>
        <v>n</v>
      </c>
      <c r="GC166" s="539">
        <f t="shared" si="385"/>
        <v>42782</v>
      </c>
      <c r="GD166" s="1109">
        <f t="shared" si="386"/>
        <v>42904</v>
      </c>
      <c r="GE166" s="535">
        <f t="shared" si="404"/>
        <v>6520</v>
      </c>
      <c r="GF166" s="1109">
        <f t="shared" si="387"/>
        <v>42909</v>
      </c>
      <c r="GG166" s="535">
        <f t="shared" si="432"/>
        <v>3260</v>
      </c>
      <c r="GH166" s="539">
        <f t="shared" si="388"/>
        <v>43040</v>
      </c>
      <c r="GJ166" s="521">
        <f t="shared" si="389"/>
        <v>37.996716269841272</v>
      </c>
      <c r="GK166" s="535" t="str">
        <f t="shared" si="363"/>
        <v>PP</v>
      </c>
      <c r="GL166" s="535">
        <f t="shared" si="390"/>
        <v>26.933333333333334</v>
      </c>
      <c r="GM166" s="535" t="str">
        <f t="shared" si="391"/>
        <v/>
      </c>
      <c r="GN166" s="535">
        <f>IF(GK166="P",Lookup!$M$12,IF(GK166="PP",Lookup!$M$13,IF(GK166="PPP",Lookup!$M$14,IF(GK166="T",Lookup!$M$15,IF(GK166="TP",Lookup!$M$16,IF(GK166="TPP",Lookup!$M$17,IF(GK166="TPPP",Lookup!$M$18,0)))))))*GJ166</f>
        <v>0</v>
      </c>
      <c r="GO166" s="535">
        <f t="shared" si="392"/>
        <v>0</v>
      </c>
      <c r="GP166" s="535">
        <f t="shared" si="364"/>
        <v>8334.7333333333336</v>
      </c>
      <c r="GQ166" s="535">
        <f t="shared" si="433"/>
        <v>2716.666666666667</v>
      </c>
      <c r="GR166" s="535"/>
      <c r="GS166" s="535">
        <f t="shared" si="393"/>
        <v>11.063382936507937</v>
      </c>
      <c r="GT166" s="535" t="str">
        <f t="shared" si="394"/>
        <v/>
      </c>
      <c r="GU166" s="535">
        <f>IF(GK166="P",Lookup!$N$12,IF(GK166="PP",Lookup!$N$13,IF(GK166="PPP",Lookup!$N$14,IF(GK166="T",Lookup!$N$15,IF(GK166="TP",Lookup!$N$16,IF(GK166="TPP",Lookup!$N$17,IF(GK166="TPPP",Lookup!$N$18,0)))))))*GJ166</f>
        <v>18.998358134920636</v>
      </c>
      <c r="GV166" s="535">
        <f t="shared" si="395"/>
        <v>0</v>
      </c>
      <c r="GW166" s="535">
        <f t="shared" si="365"/>
        <v>3889.5422222222223</v>
      </c>
      <c r="GX166" s="535">
        <f t="shared" si="400"/>
        <v>1267.7777777777778</v>
      </c>
      <c r="GY166" s="535"/>
      <c r="GZ166" s="535">
        <f t="shared" si="396"/>
        <v>0</v>
      </c>
      <c r="HA166" s="535" t="str">
        <f t="shared" si="397"/>
        <v>P</v>
      </c>
      <c r="HB166" s="535">
        <f>IF(GK166="P",Lookup!$N$12,IF(GK166="PP",Lookup!$N$13,IF(GK166="PPP",Lookup!$N$14,IF(GK166="T",Lookup!$N$15,IF(GK166="TP",Lookup!$N$16,IF(GK166="TPP",Lookup!$N$17,IF(GK166="TPPP",Lookup!$N$18,0)))))))*GJ166</f>
        <v>18.998358134920636</v>
      </c>
      <c r="HC166" s="521">
        <f t="shared" si="366"/>
        <v>18.998358134920636</v>
      </c>
      <c r="HD166" s="535">
        <f t="shared" si="367"/>
        <v>3308.4360231118117</v>
      </c>
      <c r="HE166" s="535">
        <f t="shared" si="401"/>
        <v>1078.3689775462228</v>
      </c>
      <c r="HF166" s="535"/>
      <c r="HG166" s="535">
        <f t="shared" si="398"/>
        <v>0</v>
      </c>
      <c r="HH166" s="535" t="str">
        <f t="shared" si="399"/>
        <v>P</v>
      </c>
      <c r="HI166" s="535">
        <f>IF(GK166="P",Lookup!$N$12,IF(GK166="PP",Lookup!$N$13,IF(GK166="PPP",Lookup!$N$14,IF(GK166="T",Lookup!$N$15,IF(GK166="TP",Lookup!$N$16,IF(GK166="TPP",Lookup!$N$17,IF(GK166="TPPP",Lookup!$N$18,0)))))))*GJ166</f>
        <v>18.998358134920636</v>
      </c>
      <c r="HJ166" s="521">
        <f t="shared" si="368"/>
        <v>18.998358134920636</v>
      </c>
      <c r="HK166" s="535">
        <f t="shared" si="369"/>
        <v>2269.9412408920502</v>
      </c>
      <c r="HL166" s="535">
        <f t="shared" si="402"/>
        <v>739.87654527120287</v>
      </c>
      <c r="HM166" s="535"/>
      <c r="HN166" s="541"/>
      <c r="HO166" s="541"/>
      <c r="HP166" s="541"/>
      <c r="HQ166" s="541">
        <f>IF(AND(B166&gt;=$FV$4,B166&lt;=$FW$4),MAX(110/1.02+$HQ$6+MIN(113/1.02,G166),IF($HV$6-(Sheet1!DA164-Sheet1!DB164)+MIN(113/1.02,G166)&lt;G166+FL166,$HV$6-(Sheet1!DA164-Sheet1!DB164)+MIN(113/1.02,G166),G166+FL166)),MIN(110/1.02+$HQ$6+113/1.02,G166))</f>
        <v>218.62745098039215</v>
      </c>
      <c r="HR166" s="541">
        <f t="shared" si="421"/>
        <v>223</v>
      </c>
      <c r="HS166" s="541">
        <f>HR166+(Sheet1!DA164-Sheet1!DB164)</f>
        <v>573</v>
      </c>
      <c r="HT166" s="541">
        <f t="shared" si="422"/>
        <v>77.257179999999991</v>
      </c>
      <c r="HU166" s="541">
        <f t="shared" si="423"/>
        <v>495.74281999999999</v>
      </c>
      <c r="HV166" s="541">
        <f t="shared" si="424"/>
        <v>0</v>
      </c>
      <c r="HW166" s="533" t="str">
        <f t="shared" si="425"/>
        <v/>
      </c>
      <c r="HX166" s="541">
        <f t="shared" si="426"/>
        <v>811.37254901960785</v>
      </c>
      <c r="HY166" s="541">
        <f>Sheet1!CZ164</f>
        <v>1030</v>
      </c>
      <c r="HZ166" s="541">
        <f t="shared" si="427"/>
        <v>0</v>
      </c>
      <c r="IA166" s="541">
        <f t="shared" si="428"/>
        <v>77.257179999999991</v>
      </c>
      <c r="IB166" s="541">
        <f t="shared" si="429"/>
        <v>1030</v>
      </c>
      <c r="IC166" s="1019" t="str">
        <f t="shared" si="430"/>
        <v/>
      </c>
      <c r="ID166" s="541">
        <f t="shared" si="431"/>
        <v>952.74282000000005</v>
      </c>
      <c r="IE166" s="541">
        <f>Sheet1!DB164</f>
        <v>910</v>
      </c>
      <c r="IF166" s="533">
        <f>Sheet1!DA164</f>
        <v>1260</v>
      </c>
      <c r="IH166" s="541">
        <f>IF(AND($B166&gt;=$GC166,$B166&lt;=$GH166,$DR166&lt;0)+N("only adjusted when pool is drawn down during storage season"),Sheet1!$DB164+$DR166+N("Palmer minus all storage release"),Sheet1!$DB164)</f>
        <v>910</v>
      </c>
      <c r="II166" s="541">
        <f>IF(AND($B166&gt;=$GC166,$B166&lt;=$GH166,$DR166&lt;0)+N("only adjusted when pool is drawn down during storage season"),Sheet1!$DA164+$DR166+N("Auburn minus all storage release"),Sheet1!$DA164)</f>
        <v>1260</v>
      </c>
    </row>
    <row r="167" spans="1:243" x14ac:dyDescent="0.25">
      <c r="A167" s="553" t="s">
        <v>4</v>
      </c>
      <c r="B167" s="531">
        <v>42891</v>
      </c>
      <c r="C167" s="536">
        <v>0</v>
      </c>
      <c r="D167" s="506">
        <f t="shared" si="371"/>
        <v>300</v>
      </c>
      <c r="E167" s="506">
        <f t="shared" si="372"/>
        <v>250</v>
      </c>
      <c r="F167" s="506">
        <v>250</v>
      </c>
      <c r="G167" s="535">
        <f>DR167+Sheet1!CZ165</f>
        <v>847.06152294437823</v>
      </c>
      <c r="H167" s="1074">
        <f t="shared" si="405"/>
        <v>351.05448971124611</v>
      </c>
      <c r="I167" s="534">
        <f>IF(Sheet1!DA165&gt;=E167,(Sheet1!DA165-E167+P167)*CFStoMGD,0)</f>
        <v>654.82272128</v>
      </c>
      <c r="J167" s="995">
        <f>IF(Sheet1!DB165&gt;=D167,(Sheet1!DB165-D167+P167)*CFStoMGD,0)</f>
        <v>372.99232128</v>
      </c>
      <c r="K167" s="818">
        <f t="shared" si="406"/>
        <v>64.64</v>
      </c>
      <c r="L167" s="535">
        <f>Sheet1!AA165+Sheet1!AB165-Sheet1!L165+(Sheet1!DA165-F167)*CFStoMGD-S167-T167-U167</f>
        <v>590.18399999999997</v>
      </c>
      <c r="M167" s="535">
        <f t="shared" si="309"/>
        <v>558.49137979987108</v>
      </c>
      <c r="N167" s="824">
        <f>IF(Sheet1!DA165&gt;=F167,MIN(113*CFStoMGD,MIN(MAX(L167,0),MAX(M167,0))),0)</f>
        <v>73.043199999999999</v>
      </c>
      <c r="O167" s="538">
        <f>Sheet1!AA165+Sheet1!AB165</f>
        <v>66.599999999999994</v>
      </c>
      <c r="P167" s="538">
        <f t="shared" si="310"/>
        <v>103.03020000000001</v>
      </c>
      <c r="Q167" s="812">
        <f t="shared" si="407"/>
        <v>52.47</v>
      </c>
      <c r="R167" s="812">
        <f t="shared" si="373"/>
        <v>14.079158593966234</v>
      </c>
      <c r="S167" s="812">
        <f t="shared" si="374"/>
        <v>14.129999999999999</v>
      </c>
      <c r="T167" s="812">
        <f t="shared" si="375"/>
        <v>50.510000000000005</v>
      </c>
      <c r="U167" s="812">
        <f t="shared" si="408"/>
        <v>0</v>
      </c>
      <c r="V167" s="812"/>
      <c r="W167" s="812">
        <f t="shared" si="376"/>
        <v>50.560841406033767</v>
      </c>
      <c r="X167" s="812">
        <f t="shared" si="377"/>
        <v>64.64</v>
      </c>
      <c r="Y167" s="812" t="str">
        <f t="shared" si="378"/>
        <v>FALSE</v>
      </c>
      <c r="Z167" s="812">
        <f t="shared" si="379"/>
        <v>66.599999999999994</v>
      </c>
      <c r="AA167" s="812">
        <f t="shared" si="380"/>
        <v>66.599999999999994</v>
      </c>
      <c r="AB167" s="1059">
        <f t="shared" si="409"/>
        <v>81.171089999999992</v>
      </c>
      <c r="AC167" s="538">
        <f>Sheet1!Y165*MGDtoCFS</f>
        <v>47.864179999999998</v>
      </c>
      <c r="AD167" s="538">
        <f>Sheet1!Z165*MGDtoCFS</f>
        <v>51.669799999999995</v>
      </c>
      <c r="AE167" s="538">
        <f>Sheet1!AA165*MGDtoCFS</f>
        <v>47.338200000000001</v>
      </c>
      <c r="AF167" s="538">
        <f>Sheet1!AB165*MGDtoCFS</f>
        <v>55.692</v>
      </c>
      <c r="AG167" s="538">
        <f>Sheet1!L165*MGDtoCFS</f>
        <v>0</v>
      </c>
      <c r="AH167" s="521">
        <f t="shared" si="311"/>
        <v>0</v>
      </c>
      <c r="AI167" s="1059">
        <f t="shared" si="312"/>
        <v>0</v>
      </c>
      <c r="AJ167" s="535">
        <f t="shared" si="313"/>
        <v>50.560841406033767</v>
      </c>
      <c r="AK167" s="535">
        <f t="shared" si="314"/>
        <v>78.217621655134238</v>
      </c>
      <c r="AL167" s="535">
        <f>(VLOOKUP(Sheet1!DC165,hhdcap_wcm,4)-(((VLOOKUP(Sheet1!DC165,hhdcap_wcm,3)-Sheet1!DC165)/(VLOOKUP(Sheet1!DC165,hhdcap_wcm,3)-VLOOKUP(Sheet1!DC165,hhdcap_wcm,1)))*(VLOOKUP(Sheet1!DC165,hhdcap_wcm,4)-VLOOKUP(Sheet1!DC165,hhdcap_wcm,2))))</f>
        <v>49088.000000116888</v>
      </c>
      <c r="AM167" s="535">
        <f t="shared" si="315"/>
        <v>-67.300000001298031</v>
      </c>
      <c r="AN167" s="1035">
        <f t="shared" si="316"/>
        <v>5891.2475249377449</v>
      </c>
      <c r="AO167" s="535">
        <f t="shared" si="317"/>
        <v>18074.347406509001</v>
      </c>
      <c r="AP167" s="535">
        <f>Sheet1!BA165+Sheet1!BB165+Sheet1!BN165+CD167</f>
        <v>22</v>
      </c>
      <c r="AQ167" s="535">
        <f>Sheet1!BN165+(DO167*Sheet1!BN165)</f>
        <v>21.92084140603377</v>
      </c>
      <c r="AR167" s="535">
        <f>Sheet1!BA165+CD167</f>
        <v>0</v>
      </c>
      <c r="AS167" s="535">
        <f>Sheet1!BA165+Sheet1!BB165+CD167</f>
        <v>0</v>
      </c>
      <c r="AT167" s="649">
        <f>0</f>
        <v>0</v>
      </c>
      <c r="AU167" s="535">
        <f>IF(EB167&lt;K167,0,MAX(Sheet1!AA165+AQ167-15/36*K167-N167,Sheet1!EH165,0))</f>
        <v>0</v>
      </c>
      <c r="AV167" s="535">
        <f>IF(OR(B167&gt;=GD167,B167&lt;GC167),0,15/36*K167-MAX(0,64.6-(137.6-(Sheet1!AA165+Sheet1!AB165))))</f>
        <v>26.933333333333334</v>
      </c>
      <c r="AW167" s="1029"/>
      <c r="AX167" s="649"/>
      <c r="AY167" s="649">
        <f t="shared" si="410"/>
        <v>0</v>
      </c>
      <c r="AZ167" s="649">
        <f t="shared" si="411"/>
        <v>0</v>
      </c>
      <c r="BA167" s="1059">
        <f t="shared" si="412"/>
        <v>0</v>
      </c>
      <c r="BB167" s="1019">
        <f t="shared" si="318"/>
        <v>2716.666666666667</v>
      </c>
      <c r="BC167" s="1041">
        <f t="shared" si="413"/>
        <v>26.933333333333334</v>
      </c>
      <c r="BD167" s="1019">
        <f ca="1">IF(B167&gt;Summary!$A$1,#N/A,BB167*MGtoAF)</f>
        <v>8334.7333333333336</v>
      </c>
      <c r="BE167" s="535">
        <f>Sheet1!BG165+Sheet1!BH165+Sheet1!BI165-BM167</f>
        <v>1.51</v>
      </c>
      <c r="BF167" s="535">
        <f t="shared" si="319"/>
        <v>1.5045668419595906</v>
      </c>
      <c r="BG167" s="535">
        <f>IF(Sheet1!EP165="FM",BM167,0)</f>
        <v>0</v>
      </c>
      <c r="BH167" s="535">
        <f t="shared" si="320"/>
        <v>0</v>
      </c>
      <c r="BI167" s="535">
        <f>IF(Sheet1!EP165="OTHER",BM167,0)</f>
        <v>0</v>
      </c>
      <c r="BJ167" s="535">
        <f t="shared" si="321"/>
        <v>0</v>
      </c>
      <c r="BK167" s="535">
        <f t="shared" si="322"/>
        <v>1.51</v>
      </c>
      <c r="BL167" s="535">
        <f t="shared" si="323"/>
        <v>1.5045668419595906</v>
      </c>
      <c r="BM167" s="535">
        <f>IF(OR(Sheet1!EP165="FM", Sheet1!EP165="OTHER"),SUM(Sheet1!BG165:'Sheet1'!BI165),0)</f>
        <v>0</v>
      </c>
      <c r="BN167" s="521">
        <f>IF(AND($B167&gt;=$FV167,$B167&lt;=$FW167),MAX(BF167,Sheet1!EI165,0),MAX(BF167-(7/36)*$K167,0))</f>
        <v>0</v>
      </c>
      <c r="BO167" s="535">
        <f t="shared" si="324"/>
        <v>11.064322046929298</v>
      </c>
      <c r="BP167" s="521">
        <f t="shared" si="325"/>
        <v>1.5045668419595906</v>
      </c>
      <c r="BQ167" s="521">
        <f>IF(AND($O167&gt;0,Sheet1!EM165=1),(1-($O167-Sheet1!$L165)/$O167)*BL167,0)</f>
        <v>0</v>
      </c>
      <c r="BR167" s="521">
        <f>IF(AND(Sheet1!$L165=0,Sheet1!$L164=0, Calculation!BK167&lt;Sheet1!$EI165-0.1,Sheet1!$EI165=Sheet1!$EI164,Sheet1!$EI165=Sheet1!$EI166),BL167-BQ167,BL167-BQ167)</f>
        <v>1.5045668419595906</v>
      </c>
      <c r="BS167" s="1035" t="str">
        <f t="shared" si="414"/>
        <v/>
      </c>
      <c r="BT167" s="1035">
        <f t="shared" si="415"/>
        <v>12.568888888888889</v>
      </c>
      <c r="BU167" s="535">
        <f t="shared" si="326"/>
        <v>1267.7777777777778</v>
      </c>
      <c r="BV167" s="535"/>
      <c r="BW167" s="535">
        <f ca="1">IF(B167&gt;Summary!$A$1,#N/A,BU167*MGtoAF)</f>
        <v>3889.5422222222223</v>
      </c>
      <c r="BX167" s="535">
        <f>Sheet1!BC165+Sheet1!BD165+Sheet1!BE165+Sheet1!BF165-CG167-CH167</f>
        <v>4.68</v>
      </c>
      <c r="BY167" s="535">
        <f t="shared" si="327"/>
        <v>4.6631608081926377</v>
      </c>
      <c r="BZ167" s="535">
        <f>IF(Sheet1!EQ165="FM",CH167,0)</f>
        <v>0</v>
      </c>
      <c r="CA167" s="535">
        <f t="shared" si="328"/>
        <v>0</v>
      </c>
      <c r="CB167" s="535">
        <f>IF(Sheet1!EQ165="OTHER",CH167,0)</f>
        <v>0</v>
      </c>
      <c r="CC167" s="535">
        <f t="shared" si="329"/>
        <v>0</v>
      </c>
      <c r="CD167" s="535">
        <f t="shared" si="330"/>
        <v>0</v>
      </c>
      <c r="CE167" s="535">
        <f t="shared" si="331"/>
        <v>4.68</v>
      </c>
      <c r="CF167" s="535">
        <f t="shared" si="332"/>
        <v>4.6631608081926377</v>
      </c>
      <c r="CG167" s="535">
        <f>IF(Sheet1!EQ165="CWA",SUM(Sheet1!BC165:'Sheet1'!BF165),0)</f>
        <v>0</v>
      </c>
      <c r="CH167" s="535">
        <f>IF(OR(Sheet1!EQ165="FM", Sheet1!EQ165="OTHER"),SUM(Sheet1!BC165:'Sheet1'!BF165),0)</f>
        <v>0</v>
      </c>
      <c r="CI167" s="521">
        <f>IF(AND($B167&gt;=$FV167,$B167&lt;=$FW167),MAX(CF167,Sheet1!EJ165,0),MAX(CF167-(7/36)*$K167,0))</f>
        <v>0</v>
      </c>
      <c r="CJ167" s="535">
        <f t="shared" si="333"/>
        <v>7.9057280806962513</v>
      </c>
      <c r="CK167" s="521">
        <f t="shared" si="334"/>
        <v>4.6631608081926377</v>
      </c>
      <c r="CL167" s="521">
        <f>IF(AND($O167&gt;0,Sheet1!EN165=1),(1-($O167-Sheet1!$L165)/$O167)*CF167,0)</f>
        <v>0</v>
      </c>
      <c r="CM167" s="521">
        <f>IF(AND(Sheet1!$L165=0,Sheet1!$L164=0, Calculation!CE167&lt;Sheet1!EJ165-0.1,Sheet1!EJ165=Sheet1!EJ164,Sheet1!EJ165=Sheet1!EJ166),CF167-CL167,CF167-CL167)</f>
        <v>4.6631608081926377</v>
      </c>
      <c r="CN167" s="1040" t="str">
        <f t="shared" si="416"/>
        <v/>
      </c>
      <c r="CO167" s="1035">
        <f t="shared" si="417"/>
        <v>12.568888888888889</v>
      </c>
      <c r="CP167" s="535">
        <f t="shared" si="335"/>
        <v>1124.271891451971</v>
      </c>
      <c r="CQ167" s="535"/>
      <c r="CR167" s="535">
        <f ca="1">IF(B167&gt;Summary!$A$1,#N/A,CP167*MGtoAF)</f>
        <v>3449.2661629746472</v>
      </c>
      <c r="CS167" s="535">
        <f>Sheet1!BK165+Sheet1!BL165+Sheet1!BM165-Sheet1!ER165-DA167</f>
        <v>7.9399999999999995</v>
      </c>
      <c r="CT167" s="535">
        <f t="shared" si="336"/>
        <v>7.9114309438140058</v>
      </c>
      <c r="CU167" s="535">
        <f>IF(Sheet1!ER165="FM",DA167,0)</f>
        <v>0</v>
      </c>
      <c r="CV167" s="535">
        <f t="shared" si="337"/>
        <v>0</v>
      </c>
      <c r="CW167" s="535">
        <f>IF(Sheet1!ER165="OTHER",DA167,0)</f>
        <v>0</v>
      </c>
      <c r="CX167" s="535">
        <f t="shared" si="338"/>
        <v>0</v>
      </c>
      <c r="CY167" s="535">
        <f t="shared" si="339"/>
        <v>7.9399999999999995</v>
      </c>
      <c r="CZ167" s="535">
        <f t="shared" si="340"/>
        <v>7.9114309438140058</v>
      </c>
      <c r="DA167" s="535">
        <f>IF(OR(Sheet1!ER165="FM", Sheet1!ER165="OTHER"),SUM(Sheet1!BK165:'Sheet1'!BM165),0)</f>
        <v>0</v>
      </c>
      <c r="DB167" s="1011">
        <f>IF(AND($B167&gt;=$FV167,$B167&lt;=$FW167),MAX($CT167,Sheet1!EK165,0),MAX($CT167-(7/36)*$K167,0))</f>
        <v>0</v>
      </c>
      <c r="DC167" s="1012">
        <f t="shared" si="341"/>
        <v>4.6574579450748832</v>
      </c>
      <c r="DD167" s="1011">
        <f t="shared" si="342"/>
        <v>7.9114309438140058</v>
      </c>
      <c r="DE167" s="521">
        <f>IF(AND($O167&gt;0,Sheet1!EO165=1),(1-($O167-Sheet1!$L165)/$O167)*CZ167,0)</f>
        <v>0</v>
      </c>
      <c r="DF167" s="521">
        <f>IF(AND(Sheet1!$L165=0,Sheet1!$L164=0, Calculation!CY167&lt;Sheet1!$EK165-0.1,Sheet1!$EK165=Sheet1!$EK164,Sheet1!$EK165=Sheet1!$EK166),CZ167-DE167,CZ167-DE167)</f>
        <v>7.9114309438140058</v>
      </c>
      <c r="DG167" s="1040">
        <f t="shared" si="418"/>
        <v>12.568888888888889</v>
      </c>
      <c r="DH167" s="649">
        <f t="shared" si="343"/>
        <v>14.129999999999999</v>
      </c>
      <c r="DI167" s="535">
        <f t="shared" si="344"/>
        <v>782.53118904132964</v>
      </c>
      <c r="DJ167" s="649">
        <f t="shared" si="345"/>
        <v>14.079158593966234</v>
      </c>
      <c r="DK167" s="535">
        <f ca="1">IF(B167&gt;Summary!$A$1,#N/A,DI167*MGtoAF)</f>
        <v>2400.8056879787996</v>
      </c>
      <c r="DL167" s="649">
        <f t="shared" si="346"/>
        <v>14.129999999999999</v>
      </c>
      <c r="DM167" s="535">
        <f t="shared" si="347"/>
        <v>36.129999999999995</v>
      </c>
      <c r="DN167" s="535">
        <f>Sheet1!AB165-DM167</f>
        <v>-0.12999999999999545</v>
      </c>
      <c r="DO167" s="743">
        <f t="shared" si="348"/>
        <v>-3.5981179075559224E-3</v>
      </c>
      <c r="DP167" s="535">
        <f>(VLOOKUP(Sheet1!DC165,hhdcap_wcm,4)-(((VLOOKUP(Sheet1!DC165,hhdcap_wcm,3)-Sheet1!DC165)/(VLOOKUP(Sheet1!DC165,hhdcap_wcm,3)-VLOOKUP(Sheet1!DC165,hhdcap_wcm,1)))*(VLOOKUP(Sheet1!DC165,hhdcap_wcm,4)-VLOOKUP(Sheet1!DC165,hhdcap_wcm,2))))</f>
        <v>49088.000000116888</v>
      </c>
      <c r="DQ167" s="535">
        <f t="shared" si="349"/>
        <v>-67.300000001298031</v>
      </c>
      <c r="DR167" s="535">
        <f t="shared" si="350"/>
        <v>-33.938477055621796</v>
      </c>
      <c r="DS167" s="535">
        <f>Sheet1!EA165*AFtoMG</f>
        <v>0</v>
      </c>
      <c r="DT167" s="535">
        <f>Sheet1!EB165*AFtoMG</f>
        <v>0</v>
      </c>
      <c r="DU167" s="535">
        <f>Sheet1!EC165*AFtoMG</f>
        <v>0</v>
      </c>
      <c r="DV167" s="535">
        <f>Sheet1!ED165*AFtoMG</f>
        <v>0</v>
      </c>
      <c r="DW167" s="535">
        <f t="shared" si="351"/>
        <v>0</v>
      </c>
      <c r="DX167" s="535">
        <f t="shared" si="352"/>
        <v>0</v>
      </c>
      <c r="DY167" s="535">
        <f t="shared" si="353"/>
        <v>5891.2475249377449</v>
      </c>
      <c r="DZ167" s="535">
        <f t="shared" si="354"/>
        <v>18074.347406509001</v>
      </c>
      <c r="EA167" s="535"/>
      <c r="EB167" s="521">
        <f>IF(OR(B167&lt;FV167,B167&gt;FW167),(MIN(BF167+BY167+CT167+MAX(Sheet1!AA165+AQ167-73,0),K167)),0)</f>
        <v>14.079158593966234</v>
      </c>
      <c r="EC167" s="535"/>
      <c r="ED167" s="535">
        <f t="shared" si="355"/>
        <v>14.079158593966234</v>
      </c>
      <c r="EE167" s="535"/>
      <c r="EF167" s="535">
        <f>Sheet1!EH165+Sheet1!EI165+Sheet1!EJ165+Sheet1!EK165</f>
        <v>14</v>
      </c>
      <c r="EG167" s="1019">
        <f t="shared" si="419"/>
        <v>21.657999999999998</v>
      </c>
      <c r="EH167" s="521">
        <f t="shared" si="356"/>
        <v>0</v>
      </c>
      <c r="EI167" s="535">
        <f>IF(Sheet1!ET165=1,SUM('Calculations II'!AT167:BA167)+'Calculations II'!BC167+Sheet1!BV165+'Calculations II'!BE167+AP167,'Calculations II'!BK167)</f>
        <v>62.643597406033763</v>
      </c>
      <c r="EJ167" s="535">
        <f ca="1">EI167+'Calculations II'!D167+'Calculations II'!E167+'Calculations II'!O167</f>
        <v>57.584846456294514</v>
      </c>
      <c r="EK167" s="535"/>
      <c r="EL167" s="535"/>
      <c r="EM167" s="535">
        <f t="shared" si="357"/>
        <v>42891</v>
      </c>
      <c r="EN167" s="535">
        <f t="shared" si="358"/>
        <v>50.560841406033767</v>
      </c>
      <c r="EO167" s="535">
        <f t="shared" si="359"/>
        <v>78.217621655134238</v>
      </c>
      <c r="EP167" s="535">
        <v>0</v>
      </c>
      <c r="EQ167" s="535">
        <v>0</v>
      </c>
      <c r="ER167" s="535">
        <v>0</v>
      </c>
      <c r="ES167" s="521">
        <f t="shared" si="381"/>
        <v>4.9852213036460284</v>
      </c>
      <c r="ET167" s="535">
        <f>-(VLOOKUP(Sheet1!BQ165,Lookup!$O$4:$Q$262,2)-VLOOKUP(Sheet1!BQ164,Lookup!$O$4:$Q$262,2))/1000000</f>
        <v>2.4922069405249991</v>
      </c>
      <c r="EU167" s="535">
        <f>-(VLOOKUP(Sheet1!BR165,Lookup!$O$4:$Q$262,3)-VLOOKUP(Sheet1!BR164,Lookup!$O$4:$Q$262,3))/1000000</f>
        <v>2.4930143631210289</v>
      </c>
      <c r="EV167" s="535"/>
      <c r="EW167" s="535"/>
      <c r="EX167" s="535"/>
      <c r="EY167" s="535">
        <f t="shared" si="434"/>
        <v>-12.158018710756032</v>
      </c>
      <c r="EZ167" s="535">
        <f t="shared" si="435"/>
        <v>-7.8590941892411328</v>
      </c>
      <c r="FA167" s="535"/>
      <c r="FB167" s="535"/>
      <c r="FC167" s="535"/>
      <c r="FD167" s="567" t="e">
        <f t="shared" si="360"/>
        <v>#N/A</v>
      </c>
      <c r="FE167" s="567" t="e">
        <f t="shared" si="361"/>
        <v>#N/A</v>
      </c>
      <c r="FF167" s="568" t="e">
        <f t="shared" si="362"/>
        <v>#N/A</v>
      </c>
      <c r="FG167" s="569" t="s">
        <v>656</v>
      </c>
      <c r="FH167" s="569" t="s">
        <v>656</v>
      </c>
      <c r="FI167" s="567" t="e">
        <v>#N/A</v>
      </c>
      <c r="FJ167" s="567" t="e">
        <v>#N/A</v>
      </c>
      <c r="FK167" s="535">
        <v>24850</v>
      </c>
      <c r="FL167" s="1015">
        <v>0</v>
      </c>
      <c r="FM167" s="535"/>
      <c r="FN167" s="535"/>
      <c r="FO167" s="535">
        <f>O167+((Sheet1!CS165)*GPMtoMGD)</f>
        <v>71.478144</v>
      </c>
      <c r="FP167" s="535">
        <f>IF(Sheet1!AA165+AQ167&lt;=Calculation!N167,AQ167,Calculation!N167-Sheet1!AA165)</f>
        <v>21.92084140603377</v>
      </c>
      <c r="FQ167" s="535">
        <f>(Sheet1!BP165+Sheet1!BO165)/694.4</f>
        <v>2.7472638248847927</v>
      </c>
      <c r="FR167" s="541"/>
      <c r="FS167" s="541"/>
      <c r="FT167" s="541"/>
      <c r="FU167" s="541"/>
      <c r="FV167" s="1109">
        <f t="shared" si="382"/>
        <v>42918</v>
      </c>
      <c r="FW167" s="1109">
        <f t="shared" si="383"/>
        <v>43027</v>
      </c>
      <c r="FX167" s="541"/>
      <c r="FY167" s="541">
        <f>Sheet1!DA165-Sheet1!CZ165-Sheet1!AE165</f>
        <v>175.96980000000002</v>
      </c>
      <c r="FZ167" s="535">
        <f t="shared" si="420"/>
        <v>0.20774146296756649</v>
      </c>
      <c r="GA167" s="535"/>
      <c r="GB167" s="535" t="str">
        <f t="shared" si="384"/>
        <v>n</v>
      </c>
      <c r="GC167" s="539">
        <f t="shared" si="385"/>
        <v>42782</v>
      </c>
      <c r="GD167" s="1109">
        <f t="shared" si="386"/>
        <v>42904</v>
      </c>
      <c r="GE167" s="535">
        <f t="shared" si="404"/>
        <v>6520</v>
      </c>
      <c r="GF167" s="1109">
        <f t="shared" si="387"/>
        <v>42909</v>
      </c>
      <c r="GG167" s="535">
        <f t="shared" si="432"/>
        <v>3260</v>
      </c>
      <c r="GH167" s="539">
        <f t="shared" si="388"/>
        <v>43040</v>
      </c>
      <c r="GJ167" s="521">
        <f t="shared" si="389"/>
        <v>37.997655380262628</v>
      </c>
      <c r="GK167" s="535" t="str">
        <f t="shared" si="363"/>
        <v>PP</v>
      </c>
      <c r="GL167" s="535">
        <f t="shared" si="390"/>
        <v>26.933333333333334</v>
      </c>
      <c r="GM167" s="535" t="str">
        <f t="shared" si="391"/>
        <v/>
      </c>
      <c r="GN167" s="535">
        <f>IF(GK167="P",Lookup!$M$12,IF(GK167="PP",Lookup!$M$13,IF(GK167="PPP",Lookup!$M$14,IF(GK167="T",Lookup!$M$15,IF(GK167="TP",Lookup!$M$16,IF(GK167="TPP",Lookup!$M$17,IF(GK167="TPPP",Lookup!$M$18,0)))))))*GJ167</f>
        <v>0</v>
      </c>
      <c r="GO167" s="535">
        <f t="shared" si="392"/>
        <v>0</v>
      </c>
      <c r="GP167" s="535">
        <f t="shared" si="364"/>
        <v>8334.7333333333336</v>
      </c>
      <c r="GQ167" s="535">
        <f t="shared" si="433"/>
        <v>2716.666666666667</v>
      </c>
      <c r="GR167" s="535"/>
      <c r="GS167" s="535">
        <f t="shared" si="393"/>
        <v>11.064322046929298</v>
      </c>
      <c r="GT167" s="535" t="str">
        <f t="shared" si="394"/>
        <v/>
      </c>
      <c r="GU167" s="535">
        <f>IF(GK167="P",Lookup!$N$12,IF(GK167="PP",Lookup!$N$13,IF(GK167="PPP",Lookup!$N$14,IF(GK167="T",Lookup!$N$15,IF(GK167="TP",Lookup!$N$16,IF(GK167="TPP",Lookup!$N$17,IF(GK167="TPPP",Lookup!$N$18,0)))))))*GJ167</f>
        <v>18.998827690131314</v>
      </c>
      <c r="GV167" s="535">
        <f t="shared" si="395"/>
        <v>0</v>
      </c>
      <c r="GW167" s="535">
        <f t="shared" si="365"/>
        <v>3889.5422222222223</v>
      </c>
      <c r="GX167" s="535">
        <f t="shared" si="400"/>
        <v>1267.7777777777778</v>
      </c>
      <c r="GY167" s="535"/>
      <c r="GZ167" s="535">
        <f t="shared" si="396"/>
        <v>0</v>
      </c>
      <c r="HA167" s="535" t="str">
        <f t="shared" si="397"/>
        <v>P</v>
      </c>
      <c r="HB167" s="535">
        <f>IF(GK167="P",Lookup!$N$12,IF(GK167="PP",Lookup!$N$13,IF(GK167="PPP",Lookup!$N$14,IF(GK167="T",Lookup!$N$15,IF(GK167="TP",Lookup!$N$16,IF(GK167="TPP",Lookup!$N$17,IF(GK167="TPPP",Lookup!$N$18,0)))))))*GJ167</f>
        <v>18.998827690131314</v>
      </c>
      <c r="HC167" s="521">
        <f t="shared" si="366"/>
        <v>18.998827690131314</v>
      </c>
      <c r="HD167" s="535">
        <f t="shared" si="367"/>
        <v>3390.9777596213244</v>
      </c>
      <c r="HE167" s="535">
        <f t="shared" si="401"/>
        <v>1105.2730637618397</v>
      </c>
      <c r="HF167" s="535"/>
      <c r="HG167" s="535">
        <f t="shared" si="398"/>
        <v>0</v>
      </c>
      <c r="HH167" s="535" t="str">
        <f t="shared" si="399"/>
        <v>P</v>
      </c>
      <c r="HI167" s="535">
        <f>IF(GK167="P",Lookup!$N$12,IF(GK167="PP",Lookup!$N$13,IF(GK167="PPP",Lookup!$N$14,IF(GK167="T",Lookup!$N$15,IF(GK167="TP",Lookup!$N$16,IF(GK167="TPP",Lookup!$N$17,IF(GK167="TPPP",Lookup!$N$18,0)))))))*GJ167</f>
        <v>18.998827690131314</v>
      </c>
      <c r="HJ167" s="521">
        <f t="shared" si="368"/>
        <v>18.998827690131314</v>
      </c>
      <c r="HK167" s="535">
        <f t="shared" si="369"/>
        <v>2342.5172846254763</v>
      </c>
      <c r="HL167" s="535">
        <f t="shared" si="402"/>
        <v>763.53236135119835</v>
      </c>
      <c r="HM167" s="535"/>
      <c r="HN167" s="541"/>
      <c r="HO167" s="541"/>
      <c r="HP167" s="541"/>
      <c r="HQ167" s="541">
        <f>IF(AND(B167&gt;=$FV$4,B167&lt;=$FW$4),MAX(110/1.02+$HQ$6+MIN(113/1.02,G167),IF($HV$6-(Sheet1!DA165-Sheet1!DB165)+MIN(113/1.02,G167)&lt;G167+FL167,$HV$6-(Sheet1!DA165-Sheet1!DB165)+MIN(113/1.02,G167),G167+FL167)),MIN(110/1.02+$HQ$6+113/1.02,G167))</f>
        <v>218.62745098039215</v>
      </c>
      <c r="HR167" s="541">
        <f t="shared" si="421"/>
        <v>223</v>
      </c>
      <c r="HS167" s="541">
        <f>HR167+(Sheet1!DA165-Sheet1!DB165)</f>
        <v>609</v>
      </c>
      <c r="HT167" s="541">
        <f t="shared" si="422"/>
        <v>81.171089999999992</v>
      </c>
      <c r="HU167" s="541">
        <f t="shared" si="423"/>
        <v>527.82890999999995</v>
      </c>
      <c r="HV167" s="541">
        <f t="shared" si="424"/>
        <v>0</v>
      </c>
      <c r="HW167" s="533" t="str">
        <f t="shared" si="425"/>
        <v/>
      </c>
      <c r="HX167" s="541">
        <f t="shared" si="426"/>
        <v>662.37254901960785</v>
      </c>
      <c r="HY167" s="541">
        <f>Sheet1!CZ165</f>
        <v>881</v>
      </c>
      <c r="HZ167" s="541">
        <f t="shared" si="427"/>
        <v>0</v>
      </c>
      <c r="IA167" s="541">
        <f t="shared" si="428"/>
        <v>81.171089999999992</v>
      </c>
      <c r="IB167" s="541">
        <f t="shared" si="429"/>
        <v>881</v>
      </c>
      <c r="IC167" s="1019" t="str">
        <f t="shared" si="430"/>
        <v/>
      </c>
      <c r="ID167" s="541">
        <f t="shared" si="431"/>
        <v>799.82890999999995</v>
      </c>
      <c r="IE167" s="541">
        <f>Sheet1!DB165</f>
        <v>774</v>
      </c>
      <c r="IF167" s="533">
        <f>Sheet1!DA165</f>
        <v>1160</v>
      </c>
      <c r="IH167" s="541">
        <f>IF(AND($B167&gt;=$GC167,$B167&lt;=$GH167,$DR167&lt;0)+N("only adjusted when pool is drawn down during storage season"),Sheet1!$DB165+$DR167+N("Palmer minus all storage release"),Sheet1!$DB165)</f>
        <v>740.06152294437823</v>
      </c>
      <c r="II167" s="541">
        <f>IF(AND($B167&gt;=$GC167,$B167&lt;=$GH167,$DR167&lt;0)+N("only adjusted when pool is drawn down during storage season"),Sheet1!$DA165+$DR167+N("Auburn minus all storage release"),Sheet1!$DA165)</f>
        <v>1126.0615229443781</v>
      </c>
    </row>
    <row r="168" spans="1:243" x14ac:dyDescent="0.25">
      <c r="A168" s="553" t="s">
        <v>5</v>
      </c>
      <c r="B168" s="531">
        <v>42892</v>
      </c>
      <c r="C168" s="536">
        <v>0</v>
      </c>
      <c r="D168" s="506">
        <f t="shared" si="371"/>
        <v>300</v>
      </c>
      <c r="E168" s="506">
        <f t="shared" si="372"/>
        <v>250</v>
      </c>
      <c r="F168" s="506">
        <v>250</v>
      </c>
      <c r="G168" s="535">
        <f>DR168+Sheet1!CZ166</f>
        <v>820.29601613716659</v>
      </c>
      <c r="H168" s="1074">
        <f t="shared" si="405"/>
        <v>341.84741183999995</v>
      </c>
      <c r="I168" s="534">
        <f>IF(Sheet1!DA166&gt;=E168,(Sheet1!DA166-E168+P168)*CFStoMGD,0)</f>
        <v>608.81061183999998</v>
      </c>
      <c r="J168" s="995">
        <f>IF(Sheet1!DB166&gt;=D168,(Sheet1!DB166-D168+P168)*CFStoMGD,0)</f>
        <v>341.84741183999995</v>
      </c>
      <c r="K168" s="818">
        <f t="shared" si="406"/>
        <v>64.64</v>
      </c>
      <c r="L168" s="535">
        <f>Sheet1!AA166+Sheet1!AB166-Sheet1!L166+(Sheet1!DA166-F168)*CFStoMGD-S168-T168-U168</f>
        <v>544.17199999999991</v>
      </c>
      <c r="M168" s="535">
        <f t="shared" si="309"/>
        <v>540.84413172768575</v>
      </c>
      <c r="N168" s="824">
        <f>IF(Sheet1!DA166&gt;=F168,MIN(113*CFStoMGD,MIN(MAX(L168,0),MAX(M168,0))),0)</f>
        <v>73.043199999999999</v>
      </c>
      <c r="O168" s="538">
        <f>Sheet1!AA166+Sheet1!AB166</f>
        <v>72.3</v>
      </c>
      <c r="P168" s="538">
        <f t="shared" si="310"/>
        <v>111.84809999999999</v>
      </c>
      <c r="Q168" s="812">
        <f t="shared" si="407"/>
        <v>58.28</v>
      </c>
      <c r="R168" s="812">
        <f t="shared" si="373"/>
        <v>14.081222707423581</v>
      </c>
      <c r="S168" s="812">
        <f t="shared" si="374"/>
        <v>14.02</v>
      </c>
      <c r="T168" s="812">
        <f t="shared" si="375"/>
        <v>50.620000000000005</v>
      </c>
      <c r="U168" s="812">
        <f t="shared" si="408"/>
        <v>0</v>
      </c>
      <c r="V168" s="812"/>
      <c r="W168" s="812">
        <f t="shared" si="376"/>
        <v>50.558777292576423</v>
      </c>
      <c r="X168" s="812">
        <f t="shared" si="377"/>
        <v>64.64</v>
      </c>
      <c r="Y168" s="812" t="str">
        <f t="shared" si="378"/>
        <v>FALSE</v>
      </c>
      <c r="Z168" s="812">
        <f t="shared" si="379"/>
        <v>72.3</v>
      </c>
      <c r="AA168" s="812">
        <f t="shared" si="380"/>
        <v>72.3</v>
      </c>
      <c r="AB168" s="1059">
        <f t="shared" si="409"/>
        <v>90.15916</v>
      </c>
      <c r="AC168" s="538">
        <f>Sheet1!Y166*MGDtoCFS</f>
        <v>47.338200000000001</v>
      </c>
      <c r="AD168" s="538">
        <f>Sheet1!Z166*MGDtoCFS</f>
        <v>54.299700000000001</v>
      </c>
      <c r="AE168" s="538">
        <f>Sheet1!AA166*MGDtoCFS</f>
        <v>47.802299999999995</v>
      </c>
      <c r="AF168" s="538">
        <f>Sheet1!AB166*MGDtoCFS</f>
        <v>64.0458</v>
      </c>
      <c r="AG168" s="538">
        <f>Sheet1!L166*MGDtoCFS</f>
        <v>0</v>
      </c>
      <c r="AH168" s="521">
        <f t="shared" si="311"/>
        <v>0</v>
      </c>
      <c r="AI168" s="1059">
        <f t="shared" si="312"/>
        <v>0</v>
      </c>
      <c r="AJ168" s="535">
        <f t="shared" si="313"/>
        <v>50.558777292576423</v>
      </c>
      <c r="AK168" s="535">
        <f t="shared" si="314"/>
        <v>78.214428471615719</v>
      </c>
      <c r="AL168" s="535">
        <f>(VLOOKUP(Sheet1!DC166,hhdcap_wcm,4)-(((VLOOKUP(Sheet1!DC166,hhdcap_wcm,3)-Sheet1!DC166)/(VLOOKUP(Sheet1!DC166,hhdcap_wcm,3)-VLOOKUP(Sheet1!DC166,hhdcap_wcm,1)))*(VLOOKUP(Sheet1!DC166,hhdcap_wcm,4)-VLOOKUP(Sheet1!DC166,hhdcap_wcm,2))))</f>
        <v>49110.40000011689</v>
      </c>
      <c r="AM168" s="535">
        <f t="shared" si="315"/>
        <v>22.400000000001455</v>
      </c>
      <c r="AN168" s="1035">
        <f>(IF(AND(B168&gt;=GC168,B168&lt;GF168),MIN(BB168+BU168+CP168+DI168,GE168),IF(B168=GF168,GG168,IF(AND(B168&gt;GF168,B168&lt;GH168),BB168+BU168+CP168+DI168,IF(B168&gt;=GH168,0,0)))))</f>
        <v>5941.8063022303222</v>
      </c>
      <c r="AO168" s="535">
        <f t="shared" si="317"/>
        <v>18229.461735242628</v>
      </c>
      <c r="AP168" s="535">
        <f>Sheet1!BA166+Sheet1!BB166+Sheet1!BN166+CD168</f>
        <v>27.2</v>
      </c>
      <c r="AQ168" s="535">
        <f>Sheet1!BN166+(DO168*Sheet1!BN166)</f>
        <v>27.318777292576417</v>
      </c>
      <c r="AR168" s="535">
        <f>Sheet1!BA166+CD168</f>
        <v>0</v>
      </c>
      <c r="AS168" s="535">
        <f>Sheet1!BA166+Sheet1!BB166+CD168</f>
        <v>0</v>
      </c>
      <c r="AT168" s="649">
        <f>0</f>
        <v>0</v>
      </c>
      <c r="AU168" s="535">
        <f>IF(EB168&lt;K168,0,MAX(Sheet1!AA166+AQ168-15/36*K168-N168,Sheet1!EH166,0))</f>
        <v>0</v>
      </c>
      <c r="AV168" s="535">
        <f>IF(OR(B168&gt;=GD168,B168&lt;GC168),0,15/36*K168-MAX(0,64.6-(137.6-(Sheet1!AA166+Sheet1!AB166))))</f>
        <v>26.933333333333334</v>
      </c>
      <c r="AW168" s="1029"/>
      <c r="AX168" s="649"/>
      <c r="AY168" s="649">
        <f t="shared" si="410"/>
        <v>0</v>
      </c>
      <c r="AZ168" s="649">
        <f t="shared" si="411"/>
        <v>0</v>
      </c>
      <c r="BA168" s="1059">
        <f t="shared" si="412"/>
        <v>0</v>
      </c>
      <c r="BB168" s="1019">
        <f t="shared" si="318"/>
        <v>2716.666666666667</v>
      </c>
      <c r="BC168" s="1041">
        <f t="shared" si="413"/>
        <v>26.933333333333334</v>
      </c>
      <c r="BD168" s="1019">
        <f ca="1">IF(B168&gt;Summary!$A$1,#N/A,BB168*MGtoAF)</f>
        <v>8334.7333333333336</v>
      </c>
      <c r="BE168" s="535">
        <f>Sheet1!BG166+Sheet1!BH166+Sheet1!BI166-BM168</f>
        <v>1.51</v>
      </c>
      <c r="BF168" s="535">
        <f t="shared" si="319"/>
        <v>1.5165938864628821</v>
      </c>
      <c r="BG168" s="535">
        <f>IF(Sheet1!EP166="FM",BM168,0)</f>
        <v>0</v>
      </c>
      <c r="BH168" s="535">
        <f t="shared" si="320"/>
        <v>0</v>
      </c>
      <c r="BI168" s="535">
        <f>IF(Sheet1!EP166="OTHER",BM168,0)</f>
        <v>0</v>
      </c>
      <c r="BJ168" s="535">
        <f t="shared" si="321"/>
        <v>0</v>
      </c>
      <c r="BK168" s="535">
        <f t="shared" si="322"/>
        <v>1.51</v>
      </c>
      <c r="BL168" s="535">
        <f t="shared" si="323"/>
        <v>1.5165938864628821</v>
      </c>
      <c r="BM168" s="535">
        <f>IF(OR(Sheet1!EP166="FM", Sheet1!EP166="OTHER"),SUM(Sheet1!BG166:'Sheet1'!BI166),0)</f>
        <v>0</v>
      </c>
      <c r="BN168" s="521">
        <f>IF(AND($B168&gt;=$FV168,$B168&lt;=$FW168),MAX(BF168,Sheet1!EI166,0),MAX(BF168-(7/36)*$K168,0))</f>
        <v>0</v>
      </c>
      <c r="BO168" s="535">
        <f t="shared" si="324"/>
        <v>11.052295002426007</v>
      </c>
      <c r="BP168" s="521">
        <f t="shared" si="325"/>
        <v>1.5165938864628821</v>
      </c>
      <c r="BQ168" s="521">
        <f>IF(AND($O168&gt;0,Sheet1!EM166=1),(1-($O168-Sheet1!$L166)/$O168)*BL168,0)</f>
        <v>0</v>
      </c>
      <c r="BR168" s="521">
        <f>IF(AND(Sheet1!$L166=0,Sheet1!$L165=0, Calculation!BK168&lt;Sheet1!$EI166-0.1,Sheet1!$EI166=Sheet1!$EI165,Sheet1!$EI166=Sheet1!$EI167),BL168-BQ168,BL168-BQ168)</f>
        <v>1.5165938864628821</v>
      </c>
      <c r="BS168" s="1035" t="str">
        <f t="shared" si="414"/>
        <v/>
      </c>
      <c r="BT168" s="1035">
        <f t="shared" si="415"/>
        <v>12.568888888888889</v>
      </c>
      <c r="BU168" s="535">
        <f t="shared" si="326"/>
        <v>1267.7777777777778</v>
      </c>
      <c r="BV168" s="535"/>
      <c r="BW168" s="535">
        <f ca="1">IF(B168&gt;Summary!$A$1,#N/A,BU168*MGtoAF)</f>
        <v>3889.5422222222223</v>
      </c>
      <c r="BX168" s="535">
        <f>Sheet1!BC166+Sheet1!BD166+Sheet1!BE166+Sheet1!BF166-CG168-CH168</f>
        <v>4.5</v>
      </c>
      <c r="BY168" s="535">
        <f t="shared" si="327"/>
        <v>4.5196506550218336</v>
      </c>
      <c r="BZ168" s="535">
        <f>IF(Sheet1!EQ166="FM",CH168,0)</f>
        <v>0</v>
      </c>
      <c r="CA168" s="535">
        <f t="shared" si="328"/>
        <v>0</v>
      </c>
      <c r="CB168" s="535">
        <f>IF(Sheet1!EQ166="OTHER",CH168,0)</f>
        <v>0</v>
      </c>
      <c r="CC168" s="535">
        <f t="shared" si="329"/>
        <v>0</v>
      </c>
      <c r="CD168" s="535">
        <f t="shared" si="330"/>
        <v>0</v>
      </c>
      <c r="CE168" s="535">
        <f t="shared" si="331"/>
        <v>4.5</v>
      </c>
      <c r="CF168" s="535">
        <f t="shared" si="332"/>
        <v>4.5196506550218336</v>
      </c>
      <c r="CG168" s="535">
        <f>IF(Sheet1!EQ166="CWA",SUM(Sheet1!BC166:'Sheet1'!BF166),0)</f>
        <v>0</v>
      </c>
      <c r="CH168" s="535">
        <f>IF(OR(Sheet1!EQ166="FM", Sheet1!EQ166="OTHER"),SUM(Sheet1!BC166:'Sheet1'!BF166),0)</f>
        <v>0</v>
      </c>
      <c r="CI168" s="521">
        <f>IF(AND($B168&gt;=$FV168,$B168&lt;=$FW168),MAX(CF168,Sheet1!EJ166,0),MAX(CF168-(7/36)*$K168,0))</f>
        <v>0</v>
      </c>
      <c r="CJ168" s="535">
        <f t="shared" si="333"/>
        <v>8.0492382338670545</v>
      </c>
      <c r="CK168" s="521">
        <f t="shared" si="334"/>
        <v>4.5196506550218336</v>
      </c>
      <c r="CL168" s="521">
        <f>IF(AND($O168&gt;0,Sheet1!EN166=1),(1-($O168-Sheet1!$L166)/$O168)*CF168,0)</f>
        <v>0</v>
      </c>
      <c r="CM168" s="521">
        <f>IF(AND(Sheet1!$L166=0,Sheet1!$L165=0, Calculation!CE168&lt;Sheet1!EJ166-0.1,Sheet1!EJ166=Sheet1!EJ165,Sheet1!EJ166=Sheet1!EJ167),CF168-CL168,CF168-CL168)</f>
        <v>4.5196506550218336</v>
      </c>
      <c r="CN168" s="1040" t="str">
        <f t="shared" si="416"/>
        <v/>
      </c>
      <c r="CO168" s="1035">
        <f t="shared" si="417"/>
        <v>12.568888888888889</v>
      </c>
      <c r="CP168" s="535">
        <f t="shared" si="335"/>
        <v>1151.3139438537178</v>
      </c>
      <c r="CQ168" s="535"/>
      <c r="CR168" s="535">
        <f ca="1">IF(B168&gt;Summary!$A$1,#N/A,CP168*MGtoAF)</f>
        <v>3532.2311797432062</v>
      </c>
      <c r="CS168" s="535">
        <f>Sheet1!BK166+Sheet1!BL166+Sheet1!BM166-Sheet1!ER166-DA168</f>
        <v>8.01</v>
      </c>
      <c r="CT168" s="535">
        <f t="shared" si="336"/>
        <v>8.0449781659388648</v>
      </c>
      <c r="CU168" s="535">
        <f>IF(Sheet1!ER166="FM",DA168,0)</f>
        <v>0</v>
      </c>
      <c r="CV168" s="535">
        <f t="shared" si="337"/>
        <v>0</v>
      </c>
      <c r="CW168" s="535">
        <f>IF(Sheet1!ER166="OTHER",DA168,0)</f>
        <v>0</v>
      </c>
      <c r="CX168" s="535">
        <f t="shared" si="338"/>
        <v>0</v>
      </c>
      <c r="CY168" s="535">
        <f t="shared" si="339"/>
        <v>8.01</v>
      </c>
      <c r="CZ168" s="535">
        <f t="shared" si="340"/>
        <v>8.0449781659388648</v>
      </c>
      <c r="DA168" s="535">
        <f>IF(OR(Sheet1!ER166="FM", Sheet1!ER166="OTHER"),SUM(Sheet1!BK166:'Sheet1'!BM166),0)</f>
        <v>0</v>
      </c>
      <c r="DB168" s="1011">
        <f>IF(AND($B168&gt;=$FV168,$B168&lt;=$FW168),MAX($CT168,Sheet1!EK166,0),MAX($CT168-(7/36)*$K168,0))</f>
        <v>0</v>
      </c>
      <c r="DC168" s="1012">
        <f t="shared" si="341"/>
        <v>4.5239107229500242</v>
      </c>
      <c r="DD168" s="1011">
        <f t="shared" si="342"/>
        <v>8.0449781659388648</v>
      </c>
      <c r="DE168" s="521">
        <f>IF(AND($O168&gt;0,Sheet1!EO166=1),(1-($O168-Sheet1!$L166)/$O168)*CZ168,0)</f>
        <v>0</v>
      </c>
      <c r="DF168" s="521">
        <f>IF(AND(Sheet1!$L166=0,Sheet1!$L165=0, Calculation!CY168&lt;Sheet1!$EK166-0.1,Sheet1!$EK166=Sheet1!$EK165,Sheet1!$EK166=Sheet1!$EK167),CZ168-DE168,CZ168-DE168)</f>
        <v>8.0449781659388648</v>
      </c>
      <c r="DG168" s="1040">
        <f t="shared" si="418"/>
        <v>12.568888888888889</v>
      </c>
      <c r="DH168" s="649">
        <f t="shared" si="343"/>
        <v>14.02</v>
      </c>
      <c r="DI168" s="535">
        <f t="shared" si="344"/>
        <v>806.04791393215942</v>
      </c>
      <c r="DJ168" s="649">
        <f t="shared" si="345"/>
        <v>14.081222707423581</v>
      </c>
      <c r="DK168" s="535">
        <f ca="1">IF(B168&gt;Summary!$A$1,#N/A,DI168*MGtoAF)</f>
        <v>2472.954999943865</v>
      </c>
      <c r="DL168" s="649">
        <f t="shared" si="346"/>
        <v>14.02</v>
      </c>
      <c r="DM168" s="535">
        <f t="shared" si="347"/>
        <v>41.22</v>
      </c>
      <c r="DN168" s="535">
        <f>Sheet1!AB166-DM168</f>
        <v>0.17999999999999972</v>
      </c>
      <c r="DO168" s="743">
        <f t="shared" si="348"/>
        <v>4.3668122270742286E-3</v>
      </c>
      <c r="DP168" s="535">
        <f>(VLOOKUP(Sheet1!DC166,hhdcap_wcm,4)-(((VLOOKUP(Sheet1!DC166,hhdcap_wcm,3)-Sheet1!DC166)/(VLOOKUP(Sheet1!DC166,hhdcap_wcm,3)-VLOOKUP(Sheet1!DC166,hhdcap_wcm,1)))*(VLOOKUP(Sheet1!DC166,hhdcap_wcm,4)-VLOOKUP(Sheet1!DC166,hhdcap_wcm,2))))</f>
        <v>49110.40000011689</v>
      </c>
      <c r="DQ168" s="535">
        <f t="shared" si="349"/>
        <v>22.400000000001455</v>
      </c>
      <c r="DR168" s="535">
        <f t="shared" si="350"/>
        <v>11.296016137166642</v>
      </c>
      <c r="DS168" s="535">
        <f>Sheet1!EA166*AFtoMG</f>
        <v>0</v>
      </c>
      <c r="DT168" s="535">
        <f>Sheet1!EB166*AFtoMG</f>
        <v>0</v>
      </c>
      <c r="DU168" s="535">
        <f>Sheet1!EC166*AFtoMG</f>
        <v>0</v>
      </c>
      <c r="DV168" s="535">
        <f>Sheet1!ED166*AFtoMG</f>
        <v>0</v>
      </c>
      <c r="DW168" s="535">
        <f t="shared" si="351"/>
        <v>0</v>
      </c>
      <c r="DX168" s="535">
        <f t="shared" si="352"/>
        <v>0</v>
      </c>
      <c r="DY168" s="535">
        <f t="shared" si="353"/>
        <v>5941.8063022303222</v>
      </c>
      <c r="DZ168" s="535">
        <f t="shared" si="354"/>
        <v>18229.461735242628</v>
      </c>
      <c r="EA168" s="535"/>
      <c r="EB168" s="521">
        <f>IF(OR(B168&lt;FV168,B168&gt;FW168),(MIN(BF168+BY168+CT168+MAX(Sheet1!AA166+AQ168-73,0),K168)),0)</f>
        <v>14.081222707423581</v>
      </c>
      <c r="EC168" s="535"/>
      <c r="ED168" s="535">
        <f t="shared" si="355"/>
        <v>14.081222707423581</v>
      </c>
      <c r="EE168" s="535"/>
      <c r="EF168" s="535">
        <f>Sheet1!EH166+Sheet1!EI166+Sheet1!EJ166+Sheet1!EK166</f>
        <v>14</v>
      </c>
      <c r="EG168" s="1019">
        <f t="shared" si="419"/>
        <v>21.657999999999998</v>
      </c>
      <c r="EH168" s="521">
        <f t="shared" si="356"/>
        <v>0</v>
      </c>
      <c r="EI168" s="535">
        <f>IF(Sheet1!ET166=1,SUM('Calculations II'!AT168:BA168)+'Calculations II'!BC168+Sheet1!BV166+'Calculations II'!BE168+AP168,'Calculations II'!BK168)</f>
        <v>63.098389292576414</v>
      </c>
      <c r="EJ168" s="535">
        <f ca="1">EI168+'Calculations II'!D168+'Calculations II'!E168+'Calculations II'!O168</f>
        <v>62.989142484158371</v>
      </c>
      <c r="EK168" s="535"/>
      <c r="EL168" s="535"/>
      <c r="EM168" s="535">
        <f t="shared" si="357"/>
        <v>42892</v>
      </c>
      <c r="EN168" s="535">
        <f t="shared" si="358"/>
        <v>50.558777292576423</v>
      </c>
      <c r="EO168" s="535">
        <f t="shared" si="359"/>
        <v>78.214428471615719</v>
      </c>
      <c r="EP168" s="535">
        <v>0</v>
      </c>
      <c r="EQ168" s="535">
        <v>0</v>
      </c>
      <c r="ER168" s="535">
        <v>0</v>
      </c>
      <c r="ES168" s="521">
        <f t="shared" si="381"/>
        <v>0</v>
      </c>
      <c r="ET168" s="535">
        <f>-(VLOOKUP(Sheet1!BQ166,Lookup!$O$4:$Q$262,2)-VLOOKUP(Sheet1!BQ165,Lookup!$O$4:$Q$262,2))/1000000</f>
        <v>0</v>
      </c>
      <c r="EU168" s="535">
        <f>-(VLOOKUP(Sheet1!BR166,Lookup!$O$4:$Q$262,3)-VLOOKUP(Sheet1!BR165,Lookup!$O$4:$Q$262,3))/1000000</f>
        <v>0</v>
      </c>
      <c r="EV168" s="535"/>
      <c r="EW168" s="535"/>
      <c r="EX168" s="535"/>
      <c r="EY168" s="535">
        <f t="shared" si="434"/>
        <v>33.079667665550922</v>
      </c>
      <c r="EZ168" s="535">
        <f t="shared" si="435"/>
        <v>21.383107734680621</v>
      </c>
      <c r="FA168" s="535"/>
      <c r="FB168" s="535"/>
      <c r="FC168" s="535"/>
      <c r="FD168" s="567" t="e">
        <f t="shared" si="360"/>
        <v>#N/A</v>
      </c>
      <c r="FE168" s="567" t="e">
        <f t="shared" si="361"/>
        <v>#N/A</v>
      </c>
      <c r="FF168" s="568" t="e">
        <f t="shared" si="362"/>
        <v>#N/A</v>
      </c>
      <c r="FG168" s="569" t="s">
        <v>656</v>
      </c>
      <c r="FH168" s="569" t="s">
        <v>656</v>
      </c>
      <c r="FI168" s="567" t="e">
        <v>#N/A</v>
      </c>
      <c r="FJ168" s="567" t="e">
        <v>#N/A</v>
      </c>
      <c r="FK168" s="535">
        <v>24800</v>
      </c>
      <c r="FL168" s="1015">
        <v>0</v>
      </c>
      <c r="FM168" s="535"/>
      <c r="FN168" s="535"/>
      <c r="FO168" s="535">
        <f>O168+((Sheet1!CS166)*GPMtoMGD)</f>
        <v>77.16216</v>
      </c>
      <c r="FP168" s="535">
        <f>IF(Sheet1!AA166+AQ168&lt;=Calculation!N168,AQ168,Calculation!N168-Sheet1!AA166)</f>
        <v>27.318777292576417</v>
      </c>
      <c r="FQ168" s="535">
        <f>(Sheet1!BP166+Sheet1!BO166)/694.4</f>
        <v>3.3165322580645165</v>
      </c>
      <c r="FR168" s="541"/>
      <c r="FS168" s="541"/>
      <c r="FT168" s="541"/>
      <c r="FU168" s="541"/>
      <c r="FV168" s="1109">
        <f t="shared" si="382"/>
        <v>42918</v>
      </c>
      <c r="FW168" s="1109">
        <f t="shared" si="383"/>
        <v>43027</v>
      </c>
      <c r="FX168" s="541"/>
      <c r="FY168" s="541">
        <f>Sheet1!DA166-Sheet1!CZ166-Sheet1!AE166</f>
        <v>159.15190000000001</v>
      </c>
      <c r="FZ168" s="535">
        <f t="shared" si="420"/>
        <v>0.19401764347150904</v>
      </c>
      <c r="GA168" s="535"/>
      <c r="GB168" s="535" t="str">
        <f t="shared" si="384"/>
        <v>n</v>
      </c>
      <c r="GC168" s="539">
        <f t="shared" si="385"/>
        <v>42782</v>
      </c>
      <c r="GD168" s="1109">
        <f t="shared" si="386"/>
        <v>42904</v>
      </c>
      <c r="GE168" s="535">
        <f t="shared" si="404"/>
        <v>6520</v>
      </c>
      <c r="GF168" s="1109">
        <f t="shared" si="387"/>
        <v>42909</v>
      </c>
      <c r="GG168" s="535">
        <f t="shared" si="432"/>
        <v>3260</v>
      </c>
      <c r="GH168" s="539">
        <f t="shared" si="388"/>
        <v>43040</v>
      </c>
      <c r="GJ168" s="521">
        <f t="shared" si="389"/>
        <v>37.985628335759344</v>
      </c>
      <c r="GK168" s="535" t="str">
        <f t="shared" si="363"/>
        <v>PP</v>
      </c>
      <c r="GL168" s="535">
        <f t="shared" si="390"/>
        <v>26.933333333333334</v>
      </c>
      <c r="GM168" s="535" t="str">
        <f t="shared" si="391"/>
        <v/>
      </c>
      <c r="GN168" s="535">
        <f>IF(GK168="P",Lookup!$M$12,IF(GK168="PP",Lookup!$M$13,IF(GK168="PPP",Lookup!$M$14,IF(GK168="T",Lookup!$M$15,IF(GK168="TP",Lookup!$M$16,IF(GK168="TPP",Lookup!$M$17,IF(GK168="TPPP",Lookup!$M$18,0)))))))*GJ168</f>
        <v>0</v>
      </c>
      <c r="GO168" s="535">
        <f t="shared" si="392"/>
        <v>0</v>
      </c>
      <c r="GP168" s="535">
        <f t="shared" si="364"/>
        <v>8334.7333333333336</v>
      </c>
      <c r="GQ168" s="535">
        <f t="shared" si="433"/>
        <v>2716.666666666667</v>
      </c>
      <c r="GR168" s="535"/>
      <c r="GS168" s="535">
        <f t="shared" si="393"/>
        <v>11.052295002426007</v>
      </c>
      <c r="GT168" s="535" t="str">
        <f t="shared" si="394"/>
        <v/>
      </c>
      <c r="GU168" s="535">
        <f>IF(GK168="P",Lookup!$N$12,IF(GK168="PP",Lookup!$N$13,IF(GK168="PPP",Lookup!$N$14,IF(GK168="T",Lookup!$N$15,IF(GK168="TP",Lookup!$N$16,IF(GK168="TPP",Lookup!$N$17,IF(GK168="TPPP",Lookup!$N$18,0)))))))*GJ168</f>
        <v>18.992814167879672</v>
      </c>
      <c r="GV168" s="535">
        <f t="shared" si="395"/>
        <v>0</v>
      </c>
      <c r="GW168" s="535">
        <f t="shared" si="365"/>
        <v>3889.5422222222223</v>
      </c>
      <c r="GX168" s="535">
        <f t="shared" si="400"/>
        <v>1267.7777777777778</v>
      </c>
      <c r="GY168" s="535"/>
      <c r="GZ168" s="535">
        <f t="shared" si="396"/>
        <v>0</v>
      </c>
      <c r="HA168" s="535" t="str">
        <f t="shared" si="397"/>
        <v>P</v>
      </c>
      <c r="HB168" s="535">
        <f>IF(GK168="P",Lookup!$N$12,IF(GK168="PP",Lookup!$N$13,IF(GK168="PPP",Lookup!$N$14,IF(GK168="T",Lookup!$N$15,IF(GK168="TP",Lookup!$N$16,IF(GK168="TPP",Lookup!$N$17,IF(GK168="TPPP",Lookup!$N$18,0)))))))*GJ168</f>
        <v>18.992814167879672</v>
      </c>
      <c r="HC168" s="521">
        <f t="shared" si="366"/>
        <v>18.992814167879672</v>
      </c>
      <c r="HD168" s="535">
        <f t="shared" si="367"/>
        <v>3473.9612258761513</v>
      </c>
      <c r="HE168" s="535">
        <f t="shared" si="401"/>
        <v>1132.3211296858381</v>
      </c>
      <c r="HF168" s="535"/>
      <c r="HG168" s="535">
        <f t="shared" si="398"/>
        <v>0</v>
      </c>
      <c r="HH168" s="535" t="str">
        <f t="shared" si="399"/>
        <v>P</v>
      </c>
      <c r="HI168" s="535">
        <f>IF(GK168="P",Lookup!$N$12,IF(GK168="PP",Lookup!$N$13,IF(GK168="PPP",Lookup!$N$14,IF(GK168="T",Lookup!$N$15,IF(GK168="TP",Lookup!$N$16,IF(GK168="TPP",Lookup!$N$17,IF(GK168="TPPP",Lookup!$N$18,0)))))))*GJ168</f>
        <v>18.992814167879672</v>
      </c>
      <c r="HJ168" s="521">
        <f t="shared" si="368"/>
        <v>18.992814167879672</v>
      </c>
      <c r="HK168" s="535">
        <f t="shared" si="369"/>
        <v>2414.6850460768101</v>
      </c>
      <c r="HL168" s="535">
        <f t="shared" si="402"/>
        <v>787.0550997642797</v>
      </c>
      <c r="HM168" s="535"/>
      <c r="HN168" s="541"/>
      <c r="HO168" s="541"/>
      <c r="HP168" s="541"/>
      <c r="HQ168" s="541">
        <f>IF(AND(B168&gt;=$FV$4,B168&lt;=$FW$4),MAX(110/1.02+$HQ$6+MIN(113/1.02,G168),IF($HV$6-(Sheet1!DA166-Sheet1!DB166)+MIN(113/1.02,G168)&lt;G168+FL168,$HV$6-(Sheet1!DA166-Sheet1!DB166)+MIN(113/1.02,G168),G168+FL168)),MIN(110/1.02+$HQ$6+113/1.02,G168))</f>
        <v>218.62745098039215</v>
      </c>
      <c r="HR168" s="541">
        <f t="shared" si="421"/>
        <v>223</v>
      </c>
      <c r="HS168" s="541">
        <f>HR168+(Sheet1!DA166-Sheet1!DB166)</f>
        <v>586</v>
      </c>
      <c r="HT168" s="541">
        <f t="shared" si="422"/>
        <v>90.15916</v>
      </c>
      <c r="HU168" s="541">
        <f t="shared" si="423"/>
        <v>495.84084000000001</v>
      </c>
      <c r="HV168" s="541">
        <f t="shared" si="424"/>
        <v>0</v>
      </c>
      <c r="HW168" s="541" t="str">
        <f t="shared" si="425"/>
        <v/>
      </c>
      <c r="HX168" s="541">
        <f t="shared" si="426"/>
        <v>590.37254901960785</v>
      </c>
      <c r="HY168" s="541">
        <f>Sheet1!CZ166</f>
        <v>809</v>
      </c>
      <c r="HZ168" s="541">
        <f t="shared" si="427"/>
        <v>0</v>
      </c>
      <c r="IA168" s="541">
        <f t="shared" si="428"/>
        <v>90.15916</v>
      </c>
      <c r="IB168" s="541">
        <f t="shared" si="429"/>
        <v>809</v>
      </c>
      <c r="IC168" s="1019" t="str">
        <f t="shared" si="430"/>
        <v/>
      </c>
      <c r="ID168" s="541">
        <f t="shared" si="431"/>
        <v>718.84083999999996</v>
      </c>
      <c r="IE168" s="541">
        <f>Sheet1!DB166</f>
        <v>717</v>
      </c>
      <c r="IF168" s="533">
        <f>Sheet1!DA166</f>
        <v>1080</v>
      </c>
      <c r="IH168" s="541">
        <f>IF(AND($B168&gt;=$GC168,$B168&lt;=$GH168,$DR168&lt;0)+N("only adjusted when pool is drawn down during storage season"),Sheet1!$DB166+$DR168+N("Palmer minus all storage release"),Sheet1!$DB166)</f>
        <v>717</v>
      </c>
      <c r="II168" s="541">
        <f>IF(AND($B168&gt;=$GC168,$B168&lt;=$GH168,$DR168&lt;0)+N("only adjusted when pool is drawn down during storage season"),Sheet1!$DA166+$DR168+N("Auburn minus all storage release"),Sheet1!$DA166)</f>
        <v>1080</v>
      </c>
    </row>
    <row r="169" spans="1:243" x14ac:dyDescent="0.25">
      <c r="A169" s="553" t="s">
        <v>6</v>
      </c>
      <c r="B169" s="531">
        <v>42893</v>
      </c>
      <c r="C169" s="536">
        <v>0</v>
      </c>
      <c r="D169" s="506">
        <f t="shared" si="371"/>
        <v>300</v>
      </c>
      <c r="E169" s="506">
        <f t="shared" si="372"/>
        <v>250</v>
      </c>
      <c r="F169" s="506">
        <v>250</v>
      </c>
      <c r="G169" s="535">
        <f>DR169+Sheet1!CZ167</f>
        <v>925.35199193141489</v>
      </c>
      <c r="H169" s="1074">
        <f t="shared" si="405"/>
        <v>425.39054076846656</v>
      </c>
      <c r="I169" s="534">
        <f>IF(Sheet1!DA167&gt;=E169,(Sheet1!DA167-E169+P169)*CFStoMGD,0)</f>
        <v>569.95661318400005</v>
      </c>
      <c r="J169" s="995">
        <f>IF(Sheet1!DB167&gt;=D169,(Sheet1!DB167-D169+P169)*CFStoMGD,0)</f>
        <v>429.04141318400002</v>
      </c>
      <c r="K169" s="818">
        <f t="shared" si="406"/>
        <v>64.64</v>
      </c>
      <c r="L169" s="535">
        <f>Sheet1!AA167+Sheet1!AB167-Sheet1!L167+(Sheet1!DA167-F169)*CFStoMGD-S169-T169-U169</f>
        <v>505.31799999999998</v>
      </c>
      <c r="M169" s="535">
        <f t="shared" si="309"/>
        <v>610.11047813615596</v>
      </c>
      <c r="N169" s="824">
        <f>IF(Sheet1!DA167&gt;=F169,MIN(113*CFStoMGD,MIN(MAX(L169,0),MAX(M169,0))),0)</f>
        <v>73.043199999999999</v>
      </c>
      <c r="O169" s="538">
        <f>Sheet1!AA167+Sheet1!AB167</f>
        <v>72.22999999999999</v>
      </c>
      <c r="P169" s="538">
        <f t="shared" si="310"/>
        <v>111.73980999999999</v>
      </c>
      <c r="Q169" s="812">
        <f t="shared" si="407"/>
        <v>61.709999999999987</v>
      </c>
      <c r="R169" s="812">
        <f t="shared" si="373"/>
        <v>10.548142023346301</v>
      </c>
      <c r="S169" s="812">
        <f t="shared" si="374"/>
        <v>10.520000000000001</v>
      </c>
      <c r="T169" s="812">
        <f t="shared" si="375"/>
        <v>54.12</v>
      </c>
      <c r="U169" s="812">
        <f t="shared" si="408"/>
        <v>0</v>
      </c>
      <c r="V169" s="812"/>
      <c r="W169" s="812">
        <f t="shared" si="376"/>
        <v>54.091857976653699</v>
      </c>
      <c r="X169" s="812">
        <f t="shared" si="377"/>
        <v>64.64</v>
      </c>
      <c r="Y169" s="812" t="str">
        <f t="shared" si="378"/>
        <v>FALSE</v>
      </c>
      <c r="Z169" s="812">
        <f t="shared" si="379"/>
        <v>72.22999999999999</v>
      </c>
      <c r="AA169" s="812">
        <f t="shared" si="380"/>
        <v>72.22999999999999</v>
      </c>
      <c r="AB169" s="1059">
        <f t="shared" si="409"/>
        <v>95.465369999999979</v>
      </c>
      <c r="AC169" s="538">
        <f>Sheet1!Y167*MGDtoCFS</f>
        <v>47.802299999999995</v>
      </c>
      <c r="AD169" s="538">
        <f>Sheet1!Z167*MGDtoCFS</f>
        <v>63.720929999999996</v>
      </c>
      <c r="AE169" s="538">
        <f>Sheet1!AA167*MGDtoCFS</f>
        <v>47.957000000000001</v>
      </c>
      <c r="AF169" s="538">
        <f>Sheet1!AB167*MGDtoCFS</f>
        <v>63.782809999999991</v>
      </c>
      <c r="AG169" s="538">
        <f>Sheet1!L167*MGDtoCFS</f>
        <v>0</v>
      </c>
      <c r="AH169" s="521">
        <f>AU169+BN169+CI169+DB169</f>
        <v>0</v>
      </c>
      <c r="AI169" s="1059">
        <f t="shared" si="312"/>
        <v>0</v>
      </c>
      <c r="AJ169" s="535">
        <f t="shared" si="313"/>
        <v>54.091857976653699</v>
      </c>
      <c r="AK169" s="535">
        <f t="shared" si="314"/>
        <v>83.680104289883275</v>
      </c>
      <c r="AL169" s="535">
        <f>(VLOOKUP(Sheet1!DC167,hhdcap_wcm,4)-(((VLOOKUP(Sheet1!DC167,hhdcap_wcm,3)-Sheet1!DC167)/(VLOOKUP(Sheet1!DC167,hhdcap_wcm,3)-VLOOKUP(Sheet1!DC167,hhdcap_wcm,1)))*(VLOOKUP(Sheet1!DC167,hhdcap_wcm,4)-VLOOKUP(Sheet1!DC167,hhdcap_wcm,2))))</f>
        <v>49099.200000116885</v>
      </c>
      <c r="AM169" s="535">
        <f t="shared" si="315"/>
        <v>-11.200000000004366</v>
      </c>
      <c r="AN169" s="1035">
        <f t="shared" si="316"/>
        <v>5995.8981602069762</v>
      </c>
      <c r="AO169" s="535">
        <f t="shared" si="317"/>
        <v>18395.415555515003</v>
      </c>
      <c r="AP169" s="535">
        <f>Sheet1!BA167+Sheet1!BB167+Sheet1!BN167+CD169</f>
        <v>30.6</v>
      </c>
      <c r="AQ169" s="535">
        <f>Sheet1!BN167+(DO169*Sheet1!BN167)</f>
        <v>30.681857976653692</v>
      </c>
      <c r="AR169" s="535">
        <f>Sheet1!BA167+CD169</f>
        <v>0</v>
      </c>
      <c r="AS169" s="535">
        <f>Sheet1!BA167+Sheet1!BB167+CD169</f>
        <v>0</v>
      </c>
      <c r="AT169" s="649">
        <f>0</f>
        <v>0</v>
      </c>
      <c r="AU169" s="535">
        <f>IF(EB169&lt;K169,0,MAX(Sheet1!AA167+AQ169-15/36*K169-N169,Sheet1!EH167,0))</f>
        <v>0</v>
      </c>
      <c r="AV169" s="535">
        <f>IF(OR(B169&gt;=GD169,B169&lt;GC169),0,15/36*K169-MAX(0,64.6-(137.6-(Sheet1!AA167+Sheet1!AB167))))</f>
        <v>26.933333333333334</v>
      </c>
      <c r="AW169" s="1029"/>
      <c r="AX169" s="649"/>
      <c r="AY169" s="649">
        <f t="shared" si="410"/>
        <v>0</v>
      </c>
      <c r="AZ169" s="649">
        <f t="shared" si="411"/>
        <v>0</v>
      </c>
      <c r="BA169" s="1059">
        <f t="shared" si="412"/>
        <v>0</v>
      </c>
      <c r="BB169" s="1019">
        <f t="shared" si="318"/>
        <v>2716.666666666667</v>
      </c>
      <c r="BC169" s="1041">
        <f t="shared" si="413"/>
        <v>26.933333333333334</v>
      </c>
      <c r="BD169" s="1019">
        <f ca="1">IF(B169&gt;Summary!$A$1,#N/A,BB169*MGtoAF)</f>
        <v>8334.7333333333336</v>
      </c>
      <c r="BE169" s="535">
        <f>Sheet1!BG167+Sheet1!BH167+Sheet1!BI167-BM169</f>
        <v>1.51</v>
      </c>
      <c r="BF169" s="535">
        <f t="shared" si="319"/>
        <v>1.5140393968871593</v>
      </c>
      <c r="BG169" s="535">
        <f>IF(Sheet1!EP167="FM",BM169,0)</f>
        <v>0</v>
      </c>
      <c r="BH169" s="535">
        <f t="shared" si="320"/>
        <v>0</v>
      </c>
      <c r="BI169" s="535">
        <f>IF(Sheet1!EP167="OTHER",BM169,0)</f>
        <v>0</v>
      </c>
      <c r="BJ169" s="535">
        <f t="shared" si="321"/>
        <v>0</v>
      </c>
      <c r="BK169" s="535">
        <f t="shared" si="322"/>
        <v>1.51</v>
      </c>
      <c r="BL169" s="535">
        <f t="shared" si="323"/>
        <v>1.5140393968871593</v>
      </c>
      <c r="BM169" s="535">
        <f>IF(OR(Sheet1!EP167="FM", Sheet1!EP167="OTHER"),SUM(Sheet1!BG167:'Sheet1'!BI167),0)</f>
        <v>0</v>
      </c>
      <c r="BN169" s="521">
        <f>IF(AND($B169&gt;=$FV169,$B169&lt;=$FW169),MAX(BF169,Sheet1!EI167,0),MAX(BF169-(7/36)*$K169,0))</f>
        <v>0</v>
      </c>
      <c r="BO169" s="535">
        <f t="shared" si="324"/>
        <v>11.054849492001729</v>
      </c>
      <c r="BP169" s="521">
        <f t="shared" si="325"/>
        <v>1.5140393968871593</v>
      </c>
      <c r="BQ169" s="521">
        <f>IF(AND($O169&gt;0,Sheet1!EM167=1),(1-($O169-Sheet1!$L167)/$O169)*BL169,0)</f>
        <v>0</v>
      </c>
      <c r="BR169" s="521">
        <f>IF(AND(Sheet1!$L167=0,Sheet1!$L166=0, Calculation!BK169&lt;Sheet1!$EI167-0.1,Sheet1!$EI167=Sheet1!$EI166,Sheet1!$EI167=Sheet1!$EI168),BL169-BQ169,BL169-BQ169)</f>
        <v>1.5140393968871593</v>
      </c>
      <c r="BS169" s="1035" t="str">
        <f t="shared" si="414"/>
        <v/>
      </c>
      <c r="BT169" s="1035">
        <f t="shared" si="415"/>
        <v>12.568888888888889</v>
      </c>
      <c r="BU169" s="535">
        <f t="shared" si="326"/>
        <v>1267.7777777777778</v>
      </c>
      <c r="BV169" s="535"/>
      <c r="BW169" s="535">
        <f ca="1">IF(B169&gt;Summary!$A$1,#N/A,BU169*MGtoAF)</f>
        <v>3889.5422222222223</v>
      </c>
      <c r="BX169" s="535">
        <f>Sheet1!BC167+Sheet1!BD167+Sheet1!BE167+Sheet1!BF167-CG169-CH169</f>
        <v>2.8500000000000005</v>
      </c>
      <c r="BY169" s="535">
        <f t="shared" si="327"/>
        <v>2.8576240272373541</v>
      </c>
      <c r="BZ169" s="535">
        <f>IF(Sheet1!EQ167="FM",CH169,0)</f>
        <v>0</v>
      </c>
      <c r="CA169" s="535">
        <f t="shared" si="328"/>
        <v>0</v>
      </c>
      <c r="CB169" s="535">
        <f>IF(Sheet1!EQ167="OTHER",CH169,0)</f>
        <v>0</v>
      </c>
      <c r="CC169" s="535">
        <f t="shared" si="329"/>
        <v>0</v>
      </c>
      <c r="CD169" s="535">
        <f t="shared" si="330"/>
        <v>0</v>
      </c>
      <c r="CE169" s="535">
        <f t="shared" si="331"/>
        <v>2.8500000000000005</v>
      </c>
      <c r="CF169" s="535">
        <f t="shared" si="332"/>
        <v>2.8576240272373541</v>
      </c>
      <c r="CG169" s="535">
        <f>IF(Sheet1!EQ167="CWA",SUM(Sheet1!BC167:'Sheet1'!BF167),0)</f>
        <v>0</v>
      </c>
      <c r="CH169" s="535">
        <f>IF(OR(Sheet1!EQ167="FM", Sheet1!EQ167="OTHER"),SUM(Sheet1!BC167:'Sheet1'!BF167),0)</f>
        <v>0</v>
      </c>
      <c r="CI169" s="521">
        <f>IF(AND($B169&gt;=$FV169,$B169&lt;=$FW169),MAX(CF169,Sheet1!EJ167,0),MAX(CF169-(7/36)*$K169,0))</f>
        <v>0</v>
      </c>
      <c r="CJ169" s="535">
        <f t="shared" si="333"/>
        <v>9.7112648616515358</v>
      </c>
      <c r="CK169" s="521">
        <f t="shared" si="334"/>
        <v>2.8576240272373541</v>
      </c>
      <c r="CL169" s="521">
        <f>IF(AND($O169&gt;0,Sheet1!EN167=1),(1-($O169-Sheet1!$L167)/$O169)*CF169,0)</f>
        <v>0</v>
      </c>
      <c r="CM169" s="521">
        <f>IF(AND(Sheet1!$L167=0,Sheet1!$L166=0, Calculation!CE169&lt;Sheet1!EJ167-0.1,Sheet1!EJ167=Sheet1!EJ166,Sheet1!EJ167=Sheet1!EJ168),CF169-CL169,CF169-CL169)</f>
        <v>2.8576240272373541</v>
      </c>
      <c r="CN169" s="1040" t="str">
        <f t="shared" si="416"/>
        <v/>
      </c>
      <c r="CO169" s="1035">
        <f t="shared" si="417"/>
        <v>12.568888888888889</v>
      </c>
      <c r="CP169" s="535">
        <f t="shared" si="335"/>
        <v>1180.0193001280368</v>
      </c>
      <c r="CQ169" s="535"/>
      <c r="CR169" s="535">
        <f ca="1">IF(B169&gt;Summary!$A$1,#N/A,CP169*MGtoAF)</f>
        <v>3620.2992127928169</v>
      </c>
      <c r="CS169" s="535">
        <f>Sheet1!BK167+Sheet1!BL167+Sheet1!BM167-Sheet1!ER167-DA169</f>
        <v>6.16</v>
      </c>
      <c r="CT169" s="535">
        <f t="shared" si="336"/>
        <v>6.176478599221789</v>
      </c>
      <c r="CU169" s="535">
        <f>IF(Sheet1!ER167="FM",DA169,0)</f>
        <v>0</v>
      </c>
      <c r="CV169" s="535">
        <f t="shared" si="337"/>
        <v>0</v>
      </c>
      <c r="CW169" s="535">
        <f>IF(Sheet1!ER167="OTHER",DA169,0)</f>
        <v>0</v>
      </c>
      <c r="CX169" s="535">
        <f t="shared" si="338"/>
        <v>0</v>
      </c>
      <c r="CY169" s="535">
        <f t="shared" si="339"/>
        <v>6.16</v>
      </c>
      <c r="CZ169" s="535">
        <f t="shared" si="340"/>
        <v>6.176478599221789</v>
      </c>
      <c r="DA169" s="535">
        <f>IF(OR(Sheet1!ER167="FM", Sheet1!ER167="OTHER"),SUM(Sheet1!BK167:'Sheet1'!BM167),0)</f>
        <v>0</v>
      </c>
      <c r="DB169" s="1011">
        <f>IF(AND($B169&gt;=$FV169,$B169&lt;=$FW169),MAX($CT169,Sheet1!EK167,0),MAX($CT169-(7/36)*$K169,0))</f>
        <v>0</v>
      </c>
      <c r="DC169" s="1012">
        <f t="shared" si="341"/>
        <v>6.3924102896671</v>
      </c>
      <c r="DD169" s="1011">
        <f t="shared" si="342"/>
        <v>6.176478599221789</v>
      </c>
      <c r="DE169" s="521">
        <f>IF(AND($O169&gt;0,Sheet1!EO167=1),(1-($O169-Sheet1!$L167)/$O169)*CZ169,0)</f>
        <v>0</v>
      </c>
      <c r="DF169" s="521">
        <f>IF(AND(Sheet1!$L167=0,Sheet1!$L166=0, Calculation!CY169&lt;Sheet1!$EK167-0.1,Sheet1!$EK167=Sheet1!$EK166,Sheet1!$EK167=Sheet1!$EK168),CZ169-DE169,CZ169-DE169)</f>
        <v>6.176478599221789</v>
      </c>
      <c r="DG169" s="1040">
        <f t="shared" si="418"/>
        <v>12.568888888888889</v>
      </c>
      <c r="DH169" s="649">
        <f t="shared" si="343"/>
        <v>10.52</v>
      </c>
      <c r="DI169" s="535">
        <f t="shared" si="344"/>
        <v>831.43441563449403</v>
      </c>
      <c r="DJ169" s="649">
        <f t="shared" si="345"/>
        <v>10.548142023346301</v>
      </c>
      <c r="DK169" s="535">
        <f ca="1">IF(B169&gt;Summary!$A$1,#N/A,DI169*MGtoAF)</f>
        <v>2550.8407871666277</v>
      </c>
      <c r="DL169" s="649">
        <f t="shared" si="346"/>
        <v>10.520000000000001</v>
      </c>
      <c r="DM169" s="535">
        <f t="shared" si="347"/>
        <v>41.120000000000005</v>
      </c>
      <c r="DN169" s="535">
        <f>Sheet1!AB167-DM169</f>
        <v>0.10999999999999233</v>
      </c>
      <c r="DO169" s="743">
        <f t="shared" si="348"/>
        <v>2.6750972762644046E-3</v>
      </c>
      <c r="DP169" s="535">
        <f>(VLOOKUP(Sheet1!DC167,hhdcap_wcm,4)-(((VLOOKUP(Sheet1!DC167,hhdcap_wcm,3)-Sheet1!DC167)/(VLOOKUP(Sheet1!DC167,hhdcap_wcm,3)-VLOOKUP(Sheet1!DC167,hhdcap_wcm,1)))*(VLOOKUP(Sheet1!DC167,hhdcap_wcm,4)-VLOOKUP(Sheet1!DC167,hhdcap_wcm,2))))</f>
        <v>49099.200000116885</v>
      </c>
      <c r="DQ169" s="535">
        <f t="shared" si="349"/>
        <v>-11.200000000004366</v>
      </c>
      <c r="DR169" s="535">
        <f t="shared" si="350"/>
        <v>-5.6480080685851561</v>
      </c>
      <c r="DS169" s="535">
        <f>Sheet1!EA167*AFtoMG</f>
        <v>0</v>
      </c>
      <c r="DT169" s="535">
        <f>Sheet1!EB167*AFtoMG</f>
        <v>0</v>
      </c>
      <c r="DU169" s="535">
        <f>Sheet1!EC167*AFtoMG</f>
        <v>0</v>
      </c>
      <c r="DV169" s="535">
        <f>Sheet1!ED167*AFtoMG</f>
        <v>0</v>
      </c>
      <c r="DW169" s="535">
        <f t="shared" si="351"/>
        <v>0</v>
      </c>
      <c r="DX169" s="535">
        <f t="shared" si="352"/>
        <v>0</v>
      </c>
      <c r="DY169" s="535">
        <f t="shared" si="353"/>
        <v>5995.8981602069762</v>
      </c>
      <c r="DZ169" s="535">
        <f t="shared" si="354"/>
        <v>18395.415555515003</v>
      </c>
      <c r="EA169" s="535"/>
      <c r="EB169" s="521">
        <f>IF(OR(B169&lt;FV169,B169&gt;FW169),(MIN(BF169+BY169+CT169+MAX(Sheet1!AA167+AQ169-73,0),K169)),0)</f>
        <v>10.548142023346301</v>
      </c>
      <c r="EC169" s="535"/>
      <c r="ED169" s="535">
        <f t="shared" si="355"/>
        <v>10.548142023346301</v>
      </c>
      <c r="EE169" s="535"/>
      <c r="EF169" s="535">
        <f>Sheet1!EH167+Sheet1!EI167+Sheet1!EJ167+Sheet1!EK167</f>
        <v>14</v>
      </c>
      <c r="EG169" s="1019">
        <f t="shared" si="419"/>
        <v>21.657999999999998</v>
      </c>
      <c r="EH169" s="521">
        <f t="shared" si="356"/>
        <v>0</v>
      </c>
      <c r="EI169" s="535">
        <f>IF(Sheet1!ET167=1,SUM('Calculations II'!AT169:BA169)+'Calculations II'!BC169+Sheet1!BV167+'Calculations II'!BE169+AP169,'Calculations II'!BK169)</f>
        <v>60.682283976653686</v>
      </c>
      <c r="EJ169" s="535">
        <f ca="1">EI169+'Calculations II'!D169+'Calculations II'!E169+'Calculations II'!O169</f>
        <v>67.707048628697251</v>
      </c>
      <c r="EK169" s="535"/>
      <c r="EL169" s="535"/>
      <c r="EM169" s="535">
        <f t="shared" si="357"/>
        <v>42893</v>
      </c>
      <c r="EN169" s="535">
        <f t="shared" si="358"/>
        <v>54.091857976653699</v>
      </c>
      <c r="EO169" s="535">
        <f t="shared" si="359"/>
        <v>83.680104289883275</v>
      </c>
      <c r="EP169" s="535">
        <v>0</v>
      </c>
      <c r="EQ169" s="535">
        <v>0</v>
      </c>
      <c r="ER169" s="535">
        <v>0</v>
      </c>
      <c r="ES169" s="521">
        <f t="shared" si="381"/>
        <v>-5.677920764447558</v>
      </c>
      <c r="ET169" s="535">
        <f>-(VLOOKUP(Sheet1!BQ167,Lookup!$O$4:$Q$262,2)-VLOOKUP(Sheet1!BQ166,Lookup!$O$4:$Q$262,2))/1000000</f>
        <v>-2.9077766219226939</v>
      </c>
      <c r="EU169" s="535">
        <f>-(VLOOKUP(Sheet1!BR167,Lookup!$O$4:$Q$262,3)-VLOOKUP(Sheet1!BR166,Lookup!$O$4:$Q$262,3))/1000000</f>
        <v>-2.7701441425248645</v>
      </c>
      <c r="EV169" s="535"/>
      <c r="EW169" s="535"/>
      <c r="EX169" s="535"/>
      <c r="EY169" s="535">
        <f t="shared" si="434"/>
        <v>10.669967641531571</v>
      </c>
      <c r="EZ169" s="535">
        <f t="shared" si="435"/>
        <v>6.8971995097165939</v>
      </c>
      <c r="FA169" s="535"/>
      <c r="FB169" s="535"/>
      <c r="FC169" s="535"/>
      <c r="FD169" s="567" t="e">
        <f t="shared" si="360"/>
        <v>#N/A</v>
      </c>
      <c r="FE169" s="567" t="e">
        <f t="shared" si="361"/>
        <v>#N/A</v>
      </c>
      <c r="FF169" s="568" t="e">
        <f t="shared" si="362"/>
        <v>#N/A</v>
      </c>
      <c r="FG169" s="569" t="s">
        <v>656</v>
      </c>
      <c r="FH169" s="569" t="s">
        <v>656</v>
      </c>
      <c r="FI169" s="567" t="e">
        <v>#N/A</v>
      </c>
      <c r="FJ169" s="567" t="e">
        <v>#N/A</v>
      </c>
      <c r="FK169" s="535">
        <v>24750</v>
      </c>
      <c r="FL169" s="1015">
        <v>0</v>
      </c>
      <c r="FM169" s="535"/>
      <c r="FN169" s="535"/>
      <c r="FO169" s="535">
        <f>O169+((Sheet1!CS167)*GPMtoMGD)</f>
        <v>77.075743999999986</v>
      </c>
      <c r="FP169" s="535">
        <f>IF(Sheet1!AA167+AQ169&lt;=Calculation!N169,AQ169,Calculation!N169-Sheet1!AA167)</f>
        <v>30.681857976653692</v>
      </c>
      <c r="FQ169" s="535">
        <f>(Sheet1!BP167+Sheet1!BO167)/694.4</f>
        <v>2.2334389400921659</v>
      </c>
      <c r="FR169" s="541"/>
      <c r="FS169" s="541"/>
      <c r="FT169" s="541"/>
      <c r="FU169" s="541"/>
      <c r="FV169" s="1109">
        <f t="shared" si="382"/>
        <v>42918</v>
      </c>
      <c r="FW169" s="1109">
        <f t="shared" si="383"/>
        <v>43027</v>
      </c>
      <c r="FX169" s="541"/>
      <c r="FY169" s="541">
        <f>Sheet1!DA167-Sheet1!CZ167-Sheet1!AE167</f>
        <v>-22.739809999999977</v>
      </c>
      <c r="FZ169" s="535">
        <f t="shared" si="420"/>
        <v>-2.4574227103069123E-2</v>
      </c>
      <c r="GA169" s="535"/>
      <c r="GB169" s="535" t="str">
        <f t="shared" si="384"/>
        <v>n</v>
      </c>
      <c r="GC169" s="539">
        <f t="shared" si="385"/>
        <v>42782</v>
      </c>
      <c r="GD169" s="1109">
        <f t="shared" si="386"/>
        <v>42904</v>
      </c>
      <c r="GE169" s="535">
        <f t="shared" si="404"/>
        <v>6520</v>
      </c>
      <c r="GF169" s="1109">
        <f t="shared" si="387"/>
        <v>42909</v>
      </c>
      <c r="GG169" s="535">
        <f t="shared" si="432"/>
        <v>3260</v>
      </c>
      <c r="GH169" s="539">
        <f t="shared" si="388"/>
        <v>43040</v>
      </c>
      <c r="GJ169" s="521">
        <f t="shared" si="389"/>
        <v>37.988182825335059</v>
      </c>
      <c r="GK169" s="535" t="str">
        <f t="shared" si="363"/>
        <v>PP</v>
      </c>
      <c r="GL169" s="535">
        <f t="shared" si="390"/>
        <v>26.933333333333334</v>
      </c>
      <c r="GM169" s="535" t="str">
        <f t="shared" si="391"/>
        <v/>
      </c>
      <c r="GN169" s="535">
        <f>IF(GK169="P",Lookup!$M$12,IF(GK169="PP",Lookup!$M$13,IF(GK169="PPP",Lookup!$M$14,IF(GK169="T",Lookup!$M$15,IF(GK169="TP",Lookup!$M$16,IF(GK169="TPP",Lookup!$M$17,IF(GK169="TPPP",Lookup!$M$18,0)))))))*GJ169</f>
        <v>0</v>
      </c>
      <c r="GO169" s="535">
        <f t="shared" si="392"/>
        <v>0</v>
      </c>
      <c r="GP169" s="535">
        <f t="shared" si="364"/>
        <v>8334.7333333333336</v>
      </c>
      <c r="GQ169" s="535">
        <f t="shared" si="433"/>
        <v>2716.666666666667</v>
      </c>
      <c r="GR169" s="535"/>
      <c r="GS169" s="535">
        <f t="shared" si="393"/>
        <v>11.054849492001729</v>
      </c>
      <c r="GT169" s="535" t="str">
        <f t="shared" si="394"/>
        <v/>
      </c>
      <c r="GU169" s="535">
        <f>IF(GK169="P",Lookup!$N$12,IF(GK169="PP",Lookup!$N$13,IF(GK169="PPP",Lookup!$N$14,IF(GK169="T",Lookup!$N$15,IF(GK169="TP",Lookup!$N$16,IF(GK169="TPP",Lookup!$N$17,IF(GK169="TPPP",Lookup!$N$18,0)))))))*GJ169</f>
        <v>18.99409141266753</v>
      </c>
      <c r="GV169" s="535">
        <f t="shared" si="395"/>
        <v>0</v>
      </c>
      <c r="GW169" s="535">
        <f t="shared" si="365"/>
        <v>3889.5422222222223</v>
      </c>
      <c r="GX169" s="535">
        <f t="shared" si="400"/>
        <v>1267.7777777777778</v>
      </c>
      <c r="GY169" s="535"/>
      <c r="GZ169" s="535">
        <f t="shared" si="396"/>
        <v>0</v>
      </c>
      <c r="HA169" s="535" t="str">
        <f t="shared" si="397"/>
        <v>P</v>
      </c>
      <c r="HB169" s="535">
        <f>IF(GK169="P",Lookup!$N$12,IF(GK169="PP",Lookup!$N$13,IF(GK169="PPP",Lookup!$N$14,IF(GK169="T",Lookup!$N$15,IF(GK169="TP",Lookup!$N$16,IF(GK169="TPP",Lookup!$N$17,IF(GK169="TPPP",Lookup!$N$18,0)))))))*GJ169</f>
        <v>18.99409141266753</v>
      </c>
      <c r="HC169" s="521">
        <f t="shared" si="366"/>
        <v>18.99409141266753</v>
      </c>
      <c r="HD169" s="535">
        <f t="shared" si="367"/>
        <v>3562.0253403387528</v>
      </c>
      <c r="HE169" s="535">
        <f t="shared" si="401"/>
        <v>1161.0252087153692</v>
      </c>
      <c r="HF169" s="535"/>
      <c r="HG169" s="535">
        <f t="shared" si="398"/>
        <v>0</v>
      </c>
      <c r="HH169" s="535" t="str">
        <f t="shared" si="399"/>
        <v>P</v>
      </c>
      <c r="HI169" s="535">
        <f>IF(GK169="P",Lookup!$N$12,IF(GK169="PP",Lookup!$N$13,IF(GK169="PPP",Lookup!$N$14,IF(GK169="T",Lookup!$N$15,IF(GK169="TP",Lookup!$N$16,IF(GK169="TPP",Lookup!$N$17,IF(GK169="TPPP",Lookup!$N$18,0)))))))*GJ169</f>
        <v>18.99409141266753</v>
      </c>
      <c r="HJ169" s="521">
        <f t="shared" si="368"/>
        <v>18.99409141266753</v>
      </c>
      <c r="HK169" s="535">
        <f t="shared" si="369"/>
        <v>2492.5669147125636</v>
      </c>
      <c r="HL169" s="535">
        <f t="shared" si="402"/>
        <v>812.44032422182647</v>
      </c>
      <c r="HM169" s="535"/>
      <c r="HN169" s="541"/>
      <c r="HO169" s="541"/>
      <c r="HP169" s="541"/>
      <c r="HQ169" s="541">
        <f>IF(AND(B169&gt;=$FV$4,B169&lt;=$FW$4),MAX(110/1.02+$HQ$6+MIN(113/1.02,G169),IF($HV$6-(Sheet1!DA167-Sheet1!DB167)+MIN(113/1.02,G169)&lt;G169+FL169,$HV$6-(Sheet1!DA167-Sheet1!DB167)+MIN(113/1.02,G169),G169+FL169)),MIN(110/1.02+$HQ$6+113/1.02,G169))</f>
        <v>218.62745098039215</v>
      </c>
      <c r="HR169" s="541">
        <f t="shared" si="421"/>
        <v>223</v>
      </c>
      <c r="HS169" s="541">
        <f>HR169+(Sheet1!DA167-Sheet1!DB167)</f>
        <v>391</v>
      </c>
      <c r="HT169" s="541">
        <f t="shared" si="422"/>
        <v>95.465369999999979</v>
      </c>
      <c r="HU169" s="541">
        <f t="shared" si="423"/>
        <v>295.53462999999999</v>
      </c>
      <c r="HV169" s="541">
        <f t="shared" si="424"/>
        <v>0</v>
      </c>
      <c r="HW169" s="533" t="str">
        <f t="shared" si="425"/>
        <v/>
      </c>
      <c r="HX169" s="541">
        <f t="shared" si="426"/>
        <v>712.37254901960785</v>
      </c>
      <c r="HY169" s="541">
        <f>Sheet1!CZ167</f>
        <v>931</v>
      </c>
      <c r="HZ169" s="541">
        <f t="shared" si="427"/>
        <v>0</v>
      </c>
      <c r="IA169" s="541">
        <f t="shared" si="428"/>
        <v>95.465369999999979</v>
      </c>
      <c r="IB169" s="541">
        <f t="shared" si="429"/>
        <v>931</v>
      </c>
      <c r="IC169" s="1019" t="str">
        <f t="shared" si="430"/>
        <v/>
      </c>
      <c r="ID169" s="541">
        <f t="shared" si="431"/>
        <v>835.53462999999999</v>
      </c>
      <c r="IE169" s="541">
        <f>Sheet1!DB167</f>
        <v>852</v>
      </c>
      <c r="IF169" s="533">
        <f>Sheet1!DA167</f>
        <v>1020</v>
      </c>
      <c r="IH169" s="541">
        <f>IF(AND($B169&gt;=$GC169,$B169&lt;=$GH169,$DR169&lt;0)+N("only adjusted when pool is drawn down during storage season"),Sheet1!$DB167+$DR169+N("Palmer minus all storage release"),Sheet1!$DB167)</f>
        <v>846.35199193141489</v>
      </c>
      <c r="II169" s="541">
        <f>IF(AND($B169&gt;=$GC169,$B169&lt;=$GH169,$DR169&lt;0)+N("only adjusted when pool is drawn down during storage season"),Sheet1!$DA167+$DR169+N("Auburn minus all storage release"),Sheet1!$DA167)</f>
        <v>1014.3519919314149</v>
      </c>
    </row>
    <row r="170" spans="1:243" x14ac:dyDescent="0.25">
      <c r="A170" s="553" t="s">
        <v>7</v>
      </c>
      <c r="B170" s="531">
        <v>42894</v>
      </c>
      <c r="C170" s="536">
        <v>0</v>
      </c>
      <c r="D170" s="506">
        <f t="shared" si="371"/>
        <v>300</v>
      </c>
      <c r="E170" s="506">
        <f t="shared" si="372"/>
        <v>250</v>
      </c>
      <c r="F170" s="506">
        <v>250</v>
      </c>
      <c r="G170" s="535">
        <f>DR170+Sheet1!CZ168</f>
        <v>1068.2904689870404</v>
      </c>
      <c r="H170" s="1074">
        <f t="shared" si="405"/>
        <v>499.96671590399995</v>
      </c>
      <c r="I170" s="534">
        <f>IF(Sheet1!DA168&gt;=E170,(Sheet1!DA168-E170+P170)*CFStoMGD,0)</f>
        <v>700.35071590399991</v>
      </c>
      <c r="J170" s="995">
        <f>IF(Sheet1!DB168&gt;=D170,(Sheet1!DB168-D170+P170)*CFStoMGD,0)</f>
        <v>499.96671590399995</v>
      </c>
      <c r="K170" s="818">
        <f t="shared" si="406"/>
        <v>64.64</v>
      </c>
      <c r="L170" s="535">
        <f>Sheet1!AA168+Sheet1!AB168-Sheet1!L168+(Sheet1!DA168-F170)*CFStoMGD-S170-T170-U170</f>
        <v>635.71199999999999</v>
      </c>
      <c r="M170" s="535">
        <f t="shared" si="309"/>
        <v>704.35381833628742</v>
      </c>
      <c r="N170" s="824">
        <f>IF(Sheet1!DA168&gt;=F170,MIN(113*CFStoMGD,MIN(MAX(L170,0),MAX(M170,0))),0)</f>
        <v>73.043199999999999</v>
      </c>
      <c r="O170" s="538">
        <f>Sheet1!AA168+Sheet1!AB168</f>
        <v>66.88</v>
      </c>
      <c r="P170" s="538">
        <f t="shared" si="310"/>
        <v>103.46335999999999</v>
      </c>
      <c r="Q170" s="812">
        <f t="shared" si="407"/>
        <v>53.319999999999993</v>
      </c>
      <c r="R170" s="812">
        <f t="shared" si="373"/>
        <v>13.624553346401569</v>
      </c>
      <c r="S170" s="812">
        <f t="shared" si="374"/>
        <v>13.56</v>
      </c>
      <c r="T170" s="812">
        <f t="shared" si="375"/>
        <v>51.08</v>
      </c>
      <c r="U170" s="812">
        <f t="shared" si="408"/>
        <v>0</v>
      </c>
      <c r="V170" s="812"/>
      <c r="W170" s="812">
        <f t="shared" si="376"/>
        <v>51.015446653598431</v>
      </c>
      <c r="X170" s="812">
        <f t="shared" si="377"/>
        <v>64.64</v>
      </c>
      <c r="Y170" s="812" t="str">
        <f t="shared" si="378"/>
        <v>FALSE</v>
      </c>
      <c r="Z170" s="812">
        <f t="shared" si="379"/>
        <v>66.88</v>
      </c>
      <c r="AA170" s="812">
        <f t="shared" si="380"/>
        <v>66.88</v>
      </c>
      <c r="AB170" s="1059">
        <f t="shared" si="409"/>
        <v>82.486039999999988</v>
      </c>
      <c r="AC170" s="538">
        <f>Sheet1!Y168*MGDtoCFS</f>
        <v>47.957000000000001</v>
      </c>
      <c r="AD170" s="538">
        <f>Sheet1!Z168*MGDtoCFS</f>
        <v>63.782809999999991</v>
      </c>
      <c r="AE170" s="538">
        <f>Sheet1!AA168*MGDtoCFS</f>
        <v>47.957000000000001</v>
      </c>
      <c r="AF170" s="538">
        <f>Sheet1!AB168*MGDtoCFS</f>
        <v>55.506360000000001</v>
      </c>
      <c r="AG170" s="538">
        <f>Sheet1!L168*MGDtoCFS</f>
        <v>0</v>
      </c>
      <c r="AH170" s="521">
        <f t="shared" si="311"/>
        <v>0</v>
      </c>
      <c r="AI170" s="1059">
        <f t="shared" si="312"/>
        <v>0</v>
      </c>
      <c r="AJ170" s="535">
        <f t="shared" si="313"/>
        <v>51.015446653598431</v>
      </c>
      <c r="AK170" s="535">
        <f t="shared" si="314"/>
        <v>78.920895973116771</v>
      </c>
      <c r="AL170" s="535">
        <f>(VLOOKUP(Sheet1!DC168,hhdcap_wcm,4)-(((VLOOKUP(Sheet1!DC168,hhdcap_wcm,3)-Sheet1!DC168)/(VLOOKUP(Sheet1!DC168,hhdcap_wcm,3)-VLOOKUP(Sheet1!DC168,hhdcap_wcm,1)))*(VLOOKUP(Sheet1!DC168,hhdcap_wcm,4)-VLOOKUP(Sheet1!DC168,hhdcap_wcm,2))))</f>
        <v>49155.300000118186</v>
      </c>
      <c r="AM170" s="535">
        <f t="shared" si="315"/>
        <v>56.100000001300941</v>
      </c>
      <c r="AN170" s="1035">
        <f t="shared" si="316"/>
        <v>6046.913606860574</v>
      </c>
      <c r="AO170" s="535">
        <f t="shared" si="317"/>
        <v>18551.930945848242</v>
      </c>
      <c r="AP170" s="535">
        <f>Sheet1!BA168+Sheet1!BB168+Sheet1!BN168+CD170</f>
        <v>22.15</v>
      </c>
      <c r="AQ170" s="535">
        <f>Sheet1!BN168+(DO170*Sheet1!BN168)</f>
        <v>22.255446653598433</v>
      </c>
      <c r="AR170" s="535">
        <f>Sheet1!BA168+CD170</f>
        <v>0</v>
      </c>
      <c r="AS170" s="535">
        <f>Sheet1!BA168+Sheet1!BB168+CD170</f>
        <v>0</v>
      </c>
      <c r="AT170" s="649">
        <f>0</f>
        <v>0</v>
      </c>
      <c r="AU170" s="535">
        <f>IF(EB170&lt;K170,0,MAX(Sheet1!AA168+AQ170-15/36*K170-N170,Sheet1!EH168,0))</f>
        <v>0</v>
      </c>
      <c r="AV170" s="535">
        <f>IF(OR(B170&gt;=GD170,B170&lt;GC170),0,15/36*K170-MAX(0,64.6-(137.6-(Sheet1!AA168+Sheet1!AB168))))</f>
        <v>26.933333333333334</v>
      </c>
      <c r="AW170" s="1029"/>
      <c r="AX170" s="649"/>
      <c r="AY170" s="649">
        <f t="shared" si="410"/>
        <v>0</v>
      </c>
      <c r="AZ170" s="649">
        <f t="shared" si="411"/>
        <v>0</v>
      </c>
      <c r="BA170" s="1059">
        <f t="shared" si="412"/>
        <v>0</v>
      </c>
      <c r="BB170" s="1019">
        <f t="shared" si="318"/>
        <v>2716.666666666667</v>
      </c>
      <c r="BC170" s="1041">
        <f t="shared" si="413"/>
        <v>26.933333333333334</v>
      </c>
      <c r="BD170" s="1019">
        <f ca="1">IF(B170&gt;Summary!$A$1,#N/A,BB170*MGtoAF)</f>
        <v>8334.7333333333336</v>
      </c>
      <c r="BE170" s="535">
        <f>Sheet1!BG168+Sheet1!BH168+Sheet1!BI168-BM170</f>
        <v>1.35</v>
      </c>
      <c r="BF170" s="535">
        <f t="shared" si="319"/>
        <v>1.3564267712125457</v>
      </c>
      <c r="BG170" s="535">
        <f>IF(Sheet1!EP168="FM",BM170,0)</f>
        <v>0</v>
      </c>
      <c r="BH170" s="535">
        <f t="shared" si="320"/>
        <v>0</v>
      </c>
      <c r="BI170" s="535">
        <f>IF(Sheet1!EP168="OTHER",BM170,0)</f>
        <v>0</v>
      </c>
      <c r="BJ170" s="535">
        <f t="shared" si="321"/>
        <v>0</v>
      </c>
      <c r="BK170" s="535">
        <f t="shared" si="322"/>
        <v>1.35</v>
      </c>
      <c r="BL170" s="535">
        <f t="shared" si="323"/>
        <v>1.3564267712125457</v>
      </c>
      <c r="BM170" s="535">
        <f>IF(OR(Sheet1!EP168="FM", Sheet1!EP168="OTHER"),SUM(Sheet1!BG168:'Sheet1'!BI168),0)</f>
        <v>0</v>
      </c>
      <c r="BN170" s="521">
        <f>IF(AND($B170&gt;=$FV170,$B170&lt;=$FW170),MAX(BF170,Sheet1!EI168,0),MAX(BF170-(7/36)*$K170,0))</f>
        <v>0</v>
      </c>
      <c r="BO170" s="535">
        <f t="shared" si="324"/>
        <v>11.212462117676344</v>
      </c>
      <c r="BP170" s="521">
        <f t="shared" si="325"/>
        <v>1.3564267712125457</v>
      </c>
      <c r="BQ170" s="521">
        <f>IF(AND($O170&gt;0,Sheet1!EM168=1),(1-($O170-Sheet1!$L168)/$O170)*BL170,0)</f>
        <v>0</v>
      </c>
      <c r="BR170" s="521">
        <f>IF(AND(Sheet1!$L168=0,Sheet1!$L167=0, Calculation!BK170&lt;Sheet1!$EI168-0.1,Sheet1!$EI168=Sheet1!$EI167,Sheet1!$EI168=Sheet1!$EI169),BL170-BQ170,BL170-BQ170)</f>
        <v>1.3564267712125457</v>
      </c>
      <c r="BS170" s="1035" t="str">
        <f t="shared" si="414"/>
        <v/>
      </c>
      <c r="BT170" s="1035">
        <f t="shared" si="415"/>
        <v>12.568888888888889</v>
      </c>
      <c r="BU170" s="535">
        <f t="shared" si="326"/>
        <v>1267.7777777777778</v>
      </c>
      <c r="BV170" s="535"/>
      <c r="BW170" s="535">
        <f ca="1">IF(B170&gt;Summary!$A$1,#N/A,BU170*MGtoAF)</f>
        <v>3889.5422222222223</v>
      </c>
      <c r="BX170" s="535">
        <f>Sheet1!BC168+Sheet1!BD168+Sheet1!BE168+Sheet1!BF168-CG170-CH170</f>
        <v>4.22</v>
      </c>
      <c r="BY170" s="535">
        <f t="shared" si="327"/>
        <v>4.2400896107532899</v>
      </c>
      <c r="BZ170" s="535">
        <f>IF(Sheet1!EQ168="FM",CH170,0)</f>
        <v>0</v>
      </c>
      <c r="CA170" s="535">
        <f t="shared" si="328"/>
        <v>0</v>
      </c>
      <c r="CB170" s="535">
        <f>IF(Sheet1!EQ168="OTHER",CH170,0)</f>
        <v>0</v>
      </c>
      <c r="CC170" s="535">
        <f t="shared" si="329"/>
        <v>0</v>
      </c>
      <c r="CD170" s="535">
        <f t="shared" si="330"/>
        <v>0</v>
      </c>
      <c r="CE170" s="535">
        <f t="shared" si="331"/>
        <v>4.22</v>
      </c>
      <c r="CF170" s="535">
        <f t="shared" si="332"/>
        <v>4.2400896107532899</v>
      </c>
      <c r="CG170" s="535">
        <f>IF(Sheet1!EQ168="CWA",SUM(Sheet1!BC168:'Sheet1'!BF168),0)</f>
        <v>0</v>
      </c>
      <c r="CH170" s="535">
        <f>IF(OR(Sheet1!EQ168="FM", Sheet1!EQ168="OTHER"),SUM(Sheet1!BC168:'Sheet1'!BF168),0)</f>
        <v>0</v>
      </c>
      <c r="CI170" s="521">
        <f>IF(AND($B170&gt;=$FV170,$B170&lt;=$FW170),MAX(CF170,Sheet1!EJ168,0),MAX(CF170-(7/36)*$K170,0))</f>
        <v>0</v>
      </c>
      <c r="CJ170" s="535">
        <f t="shared" si="333"/>
        <v>8.3287992781355982</v>
      </c>
      <c r="CK170" s="521">
        <f t="shared" si="334"/>
        <v>4.2400896107532899</v>
      </c>
      <c r="CL170" s="521">
        <f>IF(AND($O170&gt;0,Sheet1!EN168=1),(1-($O170-Sheet1!$L168)/$O170)*CF170,0)</f>
        <v>0</v>
      </c>
      <c r="CM170" s="521">
        <f>IF(AND(Sheet1!$L168=0,Sheet1!$L167=0, Calculation!CE170&lt;Sheet1!EJ168-0.1,Sheet1!EJ168=Sheet1!EJ167,Sheet1!EJ168=Sheet1!EJ169),CF170-CL170,CF170-CL170)</f>
        <v>4.2400896107532899</v>
      </c>
      <c r="CN170" s="1040" t="str">
        <f t="shared" si="416"/>
        <v/>
      </c>
      <c r="CO170" s="1035">
        <f t="shared" si="417"/>
        <v>12.568888888888889</v>
      </c>
      <c r="CP170" s="535">
        <f t="shared" si="335"/>
        <v>1207.4209971316773</v>
      </c>
      <c r="CQ170" s="535"/>
      <c r="CR170" s="535">
        <f ca="1">IF(B170&gt;Summary!$A$1,#N/A,CP170*MGtoAF)</f>
        <v>3704.3676191999857</v>
      </c>
      <c r="CS170" s="535">
        <f>Sheet1!BK168+Sheet1!BL168+Sheet1!BM168-Sheet1!ER168-DA170</f>
        <v>7.99</v>
      </c>
      <c r="CT170" s="535">
        <f t="shared" si="336"/>
        <v>8.0280369644357332</v>
      </c>
      <c r="CU170" s="535">
        <f>IF(Sheet1!ER168="FM",DA170,0)</f>
        <v>0</v>
      </c>
      <c r="CV170" s="535">
        <f t="shared" si="337"/>
        <v>0</v>
      </c>
      <c r="CW170" s="535">
        <f>IF(Sheet1!ER168="OTHER",DA170,0)</f>
        <v>0</v>
      </c>
      <c r="CX170" s="535">
        <f t="shared" si="338"/>
        <v>0</v>
      </c>
      <c r="CY170" s="535">
        <f t="shared" si="339"/>
        <v>7.99</v>
      </c>
      <c r="CZ170" s="535">
        <f t="shared" si="340"/>
        <v>8.0280369644357332</v>
      </c>
      <c r="DA170" s="535">
        <f>IF(OR(Sheet1!ER168="FM", Sheet1!ER168="OTHER"),SUM(Sheet1!BK168:'Sheet1'!BM168),0)</f>
        <v>0</v>
      </c>
      <c r="DB170" s="1011">
        <f>IF(AND($B170&gt;=$FV170,$B170&lt;=$FW170),MAX($CT170,Sheet1!EK168,0),MAX($CT170-(7/36)*$K170,0))</f>
        <v>0</v>
      </c>
      <c r="DC170" s="1012">
        <f t="shared" si="341"/>
        <v>4.5408519244531558</v>
      </c>
      <c r="DD170" s="1011">
        <f t="shared" si="342"/>
        <v>8.0280369644357332</v>
      </c>
      <c r="DE170" s="521">
        <f>IF(AND($O170&gt;0,Sheet1!EO168=1),(1-($O170-Sheet1!$L168)/$O170)*CZ170,0)</f>
        <v>0</v>
      </c>
      <c r="DF170" s="521">
        <f>IF(AND(Sheet1!$L168=0,Sheet1!$L167=0, Calculation!CY170&lt;Sheet1!$EK168-0.1,Sheet1!$EK168=Sheet1!$EK167,Sheet1!$EK168=Sheet1!$EK169),CZ170-DE170,CZ170-DE170)</f>
        <v>8.0280369644357332</v>
      </c>
      <c r="DG170" s="1040">
        <f t="shared" si="418"/>
        <v>12.568888888888889</v>
      </c>
      <c r="DH170" s="649">
        <f t="shared" si="343"/>
        <v>13.56</v>
      </c>
      <c r="DI170" s="535">
        <f t="shared" si="344"/>
        <v>855.04816528445201</v>
      </c>
      <c r="DJ170" s="649">
        <f t="shared" si="345"/>
        <v>13.624553346401569</v>
      </c>
      <c r="DK170" s="535">
        <f ca="1">IF(B170&gt;Summary!$A$1,#N/A,DI170*MGtoAF)</f>
        <v>2623.2877710926987</v>
      </c>
      <c r="DL170" s="649">
        <f t="shared" si="346"/>
        <v>13.56</v>
      </c>
      <c r="DM170" s="535">
        <f t="shared" si="347"/>
        <v>35.71</v>
      </c>
      <c r="DN170" s="535">
        <f>Sheet1!AB168-DM170</f>
        <v>0.17000000000000171</v>
      </c>
      <c r="DO170" s="743">
        <f t="shared" si="348"/>
        <v>4.7605712685522741E-3</v>
      </c>
      <c r="DP170" s="535">
        <f>(VLOOKUP(Sheet1!DC168,hhdcap_wcm,4)-(((VLOOKUP(Sheet1!DC168,hhdcap_wcm,3)-Sheet1!DC168)/(VLOOKUP(Sheet1!DC168,hhdcap_wcm,3)-VLOOKUP(Sheet1!DC168,hhdcap_wcm,1)))*(VLOOKUP(Sheet1!DC168,hhdcap_wcm,4)-VLOOKUP(Sheet1!DC168,hhdcap_wcm,2))))</f>
        <v>49155.300000118186</v>
      </c>
      <c r="DQ170" s="535">
        <f t="shared" si="349"/>
        <v>56.100000001300941</v>
      </c>
      <c r="DR170" s="535">
        <f t="shared" si="350"/>
        <v>28.29046898704031</v>
      </c>
      <c r="DS170" s="535">
        <f>Sheet1!EA168*AFtoMG</f>
        <v>0</v>
      </c>
      <c r="DT170" s="535">
        <f>Sheet1!EB168*AFtoMG</f>
        <v>0</v>
      </c>
      <c r="DU170" s="535">
        <f>Sheet1!EC168*AFtoMG</f>
        <v>0</v>
      </c>
      <c r="DV170" s="535">
        <f>Sheet1!ED168*AFtoMG</f>
        <v>0</v>
      </c>
      <c r="DW170" s="535">
        <f t="shared" si="351"/>
        <v>0</v>
      </c>
      <c r="DX170" s="535">
        <f t="shared" si="352"/>
        <v>0</v>
      </c>
      <c r="DY170" s="535">
        <f t="shared" si="353"/>
        <v>6046.913606860574</v>
      </c>
      <c r="DZ170" s="535">
        <f t="shared" si="354"/>
        <v>18551.930945848242</v>
      </c>
      <c r="EA170" s="535"/>
      <c r="EB170" s="521">
        <f>IF(OR(B170&lt;FV170,B170&gt;FW170),(MIN(BF170+BY170+CT170+MAX(Sheet1!AA168+AQ170-73,0),K170)),0)</f>
        <v>13.624553346401569</v>
      </c>
      <c r="EC170" s="535"/>
      <c r="ED170" s="535">
        <f t="shared" si="355"/>
        <v>13.624553346401569</v>
      </c>
      <c r="EE170" s="535"/>
      <c r="EF170" s="535">
        <f>Sheet1!EH168+Sheet1!EI168+Sheet1!EJ168+Sheet1!EK168</f>
        <v>14</v>
      </c>
      <c r="EG170" s="1019">
        <f t="shared" si="419"/>
        <v>21.657999999999998</v>
      </c>
      <c r="EH170" s="521">
        <f t="shared" si="356"/>
        <v>0</v>
      </c>
      <c r="EI170" s="535">
        <f>IF(Sheet1!ET168=1,SUM('Calculations II'!AT170:BA170)+'Calculations II'!BC170+Sheet1!BV168+'Calculations II'!BE170+AP170,'Calculations II'!BK170)</f>
        <v>56.113752653598439</v>
      </c>
      <c r="EJ170" s="535">
        <f ca="1">EI170+'Calculations II'!D170+'Calculations II'!E170+'Calculations II'!O170</f>
        <v>55.076688229914694</v>
      </c>
      <c r="EK170" s="535"/>
      <c r="EL170" s="535"/>
      <c r="EM170" s="535">
        <f t="shared" si="357"/>
        <v>42894</v>
      </c>
      <c r="EN170" s="535">
        <f t="shared" si="358"/>
        <v>51.015446653598431</v>
      </c>
      <c r="EO170" s="535">
        <f t="shared" si="359"/>
        <v>78.920895973116771</v>
      </c>
      <c r="EP170" s="535">
        <v>0</v>
      </c>
      <c r="EQ170" s="535">
        <v>0</v>
      </c>
      <c r="ER170" s="535">
        <v>0</v>
      </c>
      <c r="ES170" s="521">
        <f t="shared" si="381"/>
        <v>-1.5242875142320207</v>
      </c>
      <c r="ET170" s="535">
        <f>-(VLOOKUP(Sheet1!BQ168,Lookup!$O$4:$Q$262,2)-VLOOKUP(Sheet1!BQ167,Lookup!$O$4:$Q$262,2))/1000000</f>
        <v>-0.69274432507631922</v>
      </c>
      <c r="EU170" s="535">
        <f>-(VLOOKUP(Sheet1!BR168,Lookup!$O$4:$Q$262,3)-VLOOKUP(Sheet1!BR167,Lookup!$O$4:$Q$262,3))/1000000</f>
        <v>-0.83154318915570158</v>
      </c>
      <c r="EV170" s="535"/>
      <c r="EW170" s="535"/>
      <c r="EX170" s="535"/>
      <c r="EY170" s="535">
        <f t="shared" si="434"/>
        <v>49.367653013923537</v>
      </c>
      <c r="EZ170" s="535">
        <f t="shared" si="435"/>
        <v>31.911863615981602</v>
      </c>
      <c r="FA170" s="535"/>
      <c r="FB170" s="535"/>
      <c r="FC170" s="535"/>
      <c r="FD170" s="567" t="e">
        <f t="shared" si="360"/>
        <v>#N/A</v>
      </c>
      <c r="FE170" s="567" t="e">
        <f t="shared" si="361"/>
        <v>#N/A</v>
      </c>
      <c r="FF170" s="568" t="e">
        <f t="shared" si="362"/>
        <v>#N/A</v>
      </c>
      <c r="FG170" s="569" t="s">
        <v>656</v>
      </c>
      <c r="FH170" s="569" t="s">
        <v>656</v>
      </c>
      <c r="FI170" s="567" t="e">
        <v>#N/A</v>
      </c>
      <c r="FJ170" s="567" t="e">
        <v>#N/A</v>
      </c>
      <c r="FK170" s="535">
        <v>24700</v>
      </c>
      <c r="FL170" s="1015">
        <v>0</v>
      </c>
      <c r="FM170" s="535"/>
      <c r="FN170" s="535"/>
      <c r="FO170" s="535">
        <f>O170+((Sheet1!CS168)*GPMtoMGD)</f>
        <v>71.700543999999994</v>
      </c>
      <c r="FP170" s="535">
        <f>IF(Sheet1!AA168+AQ170&lt;=Calculation!N170,AQ170,Calculation!N170-Sheet1!AA168)</f>
        <v>22.255446653598433</v>
      </c>
      <c r="FQ170" s="535">
        <f>(Sheet1!BP168+Sheet1!BO168)/694.4</f>
        <v>2.726238479262673</v>
      </c>
      <c r="FR170" s="541"/>
      <c r="FS170" s="541"/>
      <c r="FT170" s="541"/>
      <c r="FU170" s="541"/>
      <c r="FV170" s="1109">
        <f t="shared" si="382"/>
        <v>42918</v>
      </c>
      <c r="FW170" s="1109">
        <f t="shared" si="383"/>
        <v>43027</v>
      </c>
      <c r="FX170" s="541"/>
      <c r="FY170" s="541">
        <f>Sheet1!DA168-Sheet1!CZ168-Sheet1!AE168</f>
        <v>86.536640000000006</v>
      </c>
      <c r="FZ170" s="535">
        <f t="shared" si="420"/>
        <v>8.1004785226675827E-2</v>
      </c>
      <c r="GA170" s="535"/>
      <c r="GB170" s="535" t="str">
        <f t="shared" si="384"/>
        <v>n</v>
      </c>
      <c r="GC170" s="539">
        <f t="shared" si="385"/>
        <v>42782</v>
      </c>
      <c r="GD170" s="1109">
        <f t="shared" si="386"/>
        <v>42904</v>
      </c>
      <c r="GE170" s="535">
        <f t="shared" si="404"/>
        <v>6520</v>
      </c>
      <c r="GF170" s="1109">
        <f t="shared" si="387"/>
        <v>42909</v>
      </c>
      <c r="GG170" s="535">
        <f t="shared" si="432"/>
        <v>3260</v>
      </c>
      <c r="GH170" s="539">
        <f t="shared" si="388"/>
        <v>43040</v>
      </c>
      <c r="GJ170" s="521">
        <f t="shared" si="389"/>
        <v>38.145795451009676</v>
      </c>
      <c r="GK170" s="535" t="str">
        <f t="shared" si="363"/>
        <v>PP</v>
      </c>
      <c r="GL170" s="535">
        <f t="shared" si="390"/>
        <v>26.933333333333334</v>
      </c>
      <c r="GM170" s="535" t="str">
        <f t="shared" si="391"/>
        <v/>
      </c>
      <c r="GN170" s="535">
        <f>IF(GK170="P",Lookup!$M$12,IF(GK170="PP",Lookup!$M$13,IF(GK170="PPP",Lookup!$M$14,IF(GK170="T",Lookup!$M$15,IF(GK170="TP",Lookup!$M$16,IF(GK170="TPP",Lookup!$M$17,IF(GK170="TPPP",Lookup!$M$18,0)))))))*GJ170</f>
        <v>0</v>
      </c>
      <c r="GO170" s="535">
        <f t="shared" si="392"/>
        <v>0</v>
      </c>
      <c r="GP170" s="535">
        <f t="shared" si="364"/>
        <v>8334.7333333333336</v>
      </c>
      <c r="GQ170" s="535">
        <f t="shared" si="433"/>
        <v>2716.666666666667</v>
      </c>
      <c r="GR170" s="535"/>
      <c r="GS170" s="535">
        <f t="shared" si="393"/>
        <v>11.212462117676344</v>
      </c>
      <c r="GT170" s="535" t="str">
        <f t="shared" si="394"/>
        <v/>
      </c>
      <c r="GU170" s="535">
        <f>IF(GK170="P",Lookup!$N$12,IF(GK170="PP",Lookup!$N$13,IF(GK170="PPP",Lookup!$N$14,IF(GK170="T",Lookup!$N$15,IF(GK170="TP",Lookup!$N$16,IF(GK170="TPP",Lookup!$N$17,IF(GK170="TPPP",Lookup!$N$18,0)))))))*GJ170</f>
        <v>19.072897725504838</v>
      </c>
      <c r="GV170" s="535">
        <f t="shared" si="395"/>
        <v>0</v>
      </c>
      <c r="GW170" s="535">
        <f t="shared" si="365"/>
        <v>3889.5422222222223</v>
      </c>
      <c r="GX170" s="535">
        <f t="shared" si="400"/>
        <v>1267.7777777777778</v>
      </c>
      <c r="GY170" s="535"/>
      <c r="GZ170" s="535">
        <f t="shared" si="396"/>
        <v>0</v>
      </c>
      <c r="HA170" s="535" t="str">
        <f t="shared" si="397"/>
        <v>P</v>
      </c>
      <c r="HB170" s="535">
        <f>IF(GK170="P",Lookup!$N$12,IF(GK170="PP",Lookup!$N$13,IF(GK170="PPP",Lookup!$N$14,IF(GK170="T",Lookup!$N$15,IF(GK170="TP",Lookup!$N$16,IF(GK170="TPP",Lookup!$N$17,IF(GK170="TPPP",Lookup!$N$18,0)))))))*GJ170</f>
        <v>19.072897725504838</v>
      </c>
      <c r="HC170" s="521">
        <f t="shared" si="366"/>
        <v>19.072897725504838</v>
      </c>
      <c r="HD170" s="535">
        <f t="shared" si="367"/>
        <v>3645.8519689781369</v>
      </c>
      <c r="HE170" s="535">
        <f t="shared" si="401"/>
        <v>1188.3480994061724</v>
      </c>
      <c r="HF170" s="535"/>
      <c r="HG170" s="535">
        <f t="shared" si="398"/>
        <v>0</v>
      </c>
      <c r="HH170" s="535" t="str">
        <f t="shared" si="399"/>
        <v>P</v>
      </c>
      <c r="HI170" s="535">
        <f>IF(GK170="P",Lookup!$N$12,IF(GK170="PP",Lookup!$N$13,IF(GK170="PPP",Lookup!$N$14,IF(GK170="T",Lookup!$N$15,IF(GK170="TP",Lookup!$N$16,IF(GK170="TPP",Lookup!$N$17,IF(GK170="TPPP",Lookup!$N$18,0)))))))*GJ170</f>
        <v>19.072897725504838</v>
      </c>
      <c r="HJ170" s="521">
        <f t="shared" si="368"/>
        <v>19.072897725504838</v>
      </c>
      <c r="HK170" s="535">
        <f t="shared" si="369"/>
        <v>2564.7721208708499</v>
      </c>
      <c r="HL170" s="535">
        <f t="shared" si="402"/>
        <v>835.97526755894717</v>
      </c>
      <c r="HM170" s="535"/>
      <c r="HN170" s="541"/>
      <c r="HO170" s="541"/>
      <c r="HP170" s="541"/>
      <c r="HQ170" s="541">
        <f>IF(AND(B170&gt;=$FV$4,B170&lt;=$FW$4),MAX(110/1.02+$HQ$6+MIN(113/1.02,G170),IF($HV$6-(Sheet1!DA168-Sheet1!DB168)+MIN(113/1.02,G170)&lt;G170+FL170,$HV$6-(Sheet1!DA168-Sheet1!DB168)+MIN(113/1.02,G170),G170+FL170)),MIN(110/1.02+$HQ$6+113/1.02,G170))</f>
        <v>218.62745098039215</v>
      </c>
      <c r="HR170" s="541">
        <f t="shared" si="421"/>
        <v>223</v>
      </c>
      <c r="HS170" s="541">
        <f>HR170+(Sheet1!DA168-Sheet1!DB168)</f>
        <v>483</v>
      </c>
      <c r="HT170" s="541">
        <f t="shared" si="422"/>
        <v>82.486039999999988</v>
      </c>
      <c r="HU170" s="541">
        <f t="shared" si="423"/>
        <v>400.51396</v>
      </c>
      <c r="HV170" s="541">
        <f t="shared" si="424"/>
        <v>0</v>
      </c>
      <c r="HW170" s="541" t="str">
        <f t="shared" si="425"/>
        <v/>
      </c>
      <c r="HX170" s="541">
        <f t="shared" si="426"/>
        <v>821.37254901960785</v>
      </c>
      <c r="HY170" s="541">
        <f>Sheet1!CZ168</f>
        <v>1040</v>
      </c>
      <c r="HZ170" s="541">
        <f t="shared" si="427"/>
        <v>0</v>
      </c>
      <c r="IA170" s="541">
        <f t="shared" si="428"/>
        <v>82.486039999999988</v>
      </c>
      <c r="IB170" s="541">
        <f t="shared" si="429"/>
        <v>1040</v>
      </c>
      <c r="IC170" s="1019" t="str">
        <f t="shared" si="430"/>
        <v/>
      </c>
      <c r="ID170" s="541">
        <f t="shared" si="431"/>
        <v>957.51396</v>
      </c>
      <c r="IE170" s="541">
        <f>Sheet1!DB168</f>
        <v>970</v>
      </c>
      <c r="IF170" s="533">
        <f>Sheet1!DA168</f>
        <v>1230</v>
      </c>
      <c r="IH170" s="541">
        <f>IF(AND($B170&gt;=$GC170,$B170&lt;=$GH170,$DR170&lt;0)+N("only adjusted when pool is drawn down during storage season"),Sheet1!$DB168+$DR170+N("Palmer minus all storage release"),Sheet1!$DB168)</f>
        <v>970</v>
      </c>
      <c r="II170" s="541">
        <f>IF(AND($B170&gt;=$GC170,$B170&lt;=$GH170,$DR170&lt;0)+N("only adjusted when pool is drawn down during storage season"),Sheet1!$DA168+$DR170+N("Auburn minus all storage release"),Sheet1!$DA168)</f>
        <v>1230</v>
      </c>
    </row>
    <row r="171" spans="1:243" x14ac:dyDescent="0.25">
      <c r="A171" s="553" t="s">
        <v>8</v>
      </c>
      <c r="B171" s="531">
        <v>42895</v>
      </c>
      <c r="C171" s="536">
        <v>0</v>
      </c>
      <c r="D171" s="506">
        <f t="shared" si="371"/>
        <v>300</v>
      </c>
      <c r="E171" s="506">
        <f t="shared" si="372"/>
        <v>250</v>
      </c>
      <c r="F171" s="506">
        <v>250</v>
      </c>
      <c r="G171" s="535">
        <f>DR171+Sheet1!CZ169</f>
        <v>929.65355521883987</v>
      </c>
      <c r="H171" s="1074">
        <f t="shared" si="405"/>
        <v>422.62682737345807</v>
      </c>
      <c r="I171" s="534">
        <f>IF(Sheet1!DA169&gt;=E171,(Sheet1!DA169-E171+P171)*CFStoMGD,0)</f>
        <v>697.57076928000004</v>
      </c>
      <c r="J171" s="995">
        <f>IF(Sheet1!DB169&gt;=D171,(Sheet1!DB169-D171+P171)*CFStoMGD,0)</f>
        <v>429.96116927999998</v>
      </c>
      <c r="K171" s="818">
        <f t="shared" si="406"/>
        <v>64.64</v>
      </c>
      <c r="L171" s="535">
        <f>Sheet1!AA169+Sheet1!AB169-Sheet1!L169+(Sheet1!DA169-F171)*CFStoMGD-S171-T171-U171</f>
        <v>632.93200000000002</v>
      </c>
      <c r="M171" s="535">
        <f t="shared" ref="M171:M234" si="436">1.02*CFStoMGD*G171</f>
        <v>612.94661925532728</v>
      </c>
      <c r="N171" s="824">
        <f>IF(Sheet1!DA169&gt;=F171,MIN(113*CFStoMGD,MIN(MAX(L171,0),MAX(M171,0))),0)</f>
        <v>73.043199999999999</v>
      </c>
      <c r="O171" s="538">
        <f>Sheet1!AA169+Sheet1!AB169</f>
        <v>64.099999999999994</v>
      </c>
      <c r="P171" s="538">
        <f t="shared" ref="P171:P234" si="437">AE171+AF171</f>
        <v>99.162700000000001</v>
      </c>
      <c r="Q171" s="812">
        <f t="shared" si="407"/>
        <v>51.670999999999992</v>
      </c>
      <c r="R171" s="812">
        <f t="shared" si="373"/>
        <v>12.647173291524487</v>
      </c>
      <c r="S171" s="812">
        <f t="shared" si="374"/>
        <v>12.428999999999998</v>
      </c>
      <c r="T171" s="812">
        <f t="shared" si="375"/>
        <v>52.210999999999999</v>
      </c>
      <c r="U171" s="812">
        <f t="shared" si="408"/>
        <v>0</v>
      </c>
      <c r="V171" s="812"/>
      <c r="W171" s="812">
        <f t="shared" si="376"/>
        <v>51.992826708475512</v>
      </c>
      <c r="X171" s="812">
        <f t="shared" si="377"/>
        <v>64.64</v>
      </c>
      <c r="Y171" s="812" t="str">
        <f t="shared" si="378"/>
        <v>FALSE</v>
      </c>
      <c r="Z171" s="812">
        <f t="shared" si="379"/>
        <v>64.099999999999994</v>
      </c>
      <c r="AA171" s="812">
        <f t="shared" si="380"/>
        <v>64.099999999999994</v>
      </c>
      <c r="AB171" s="1059">
        <f t="shared" si="409"/>
        <v>79.93503699999998</v>
      </c>
      <c r="AC171" s="538">
        <f>Sheet1!Y169*MGDtoCFS</f>
        <v>47.957000000000001</v>
      </c>
      <c r="AD171" s="538">
        <f>Sheet1!Z169*MGDtoCFS</f>
        <v>55.506360000000001</v>
      </c>
      <c r="AE171" s="538">
        <f>Sheet1!AA169*MGDtoCFS</f>
        <v>47.957000000000001</v>
      </c>
      <c r="AF171" s="538">
        <f>Sheet1!AB169*MGDtoCFS</f>
        <v>51.2057</v>
      </c>
      <c r="AG171" s="538">
        <f>Sheet1!L169*MGDtoCFS</f>
        <v>0</v>
      </c>
      <c r="AH171" s="521">
        <f t="shared" ref="AH171:AH234" si="438">AU171+BN171+CI171+DB171</f>
        <v>0</v>
      </c>
      <c r="AI171" s="1059">
        <f t="shared" ref="AI171:AI234" si="439">AH171*MGDtoCFS</f>
        <v>0</v>
      </c>
      <c r="AJ171" s="535">
        <f t="shared" ref="AJ171:AJ234" si="440">IF(B171&gt;=GC171,IF(B171&lt;=GD171,K171-EB171,0),0)</f>
        <v>51.992826708475512</v>
      </c>
      <c r="AK171" s="535">
        <f t="shared" ref="AK171:AK234" si="441">AJ171*MGDtoCFS</f>
        <v>80.432902918011607</v>
      </c>
      <c r="AL171" s="535">
        <f>(VLOOKUP(Sheet1!DC169,hhdcap_wcm,4)-(((VLOOKUP(Sheet1!DC169,hhdcap_wcm,3)-Sheet1!DC169)/(VLOOKUP(Sheet1!DC169,hhdcap_wcm,3)-VLOOKUP(Sheet1!DC169,hhdcap_wcm,1)))*(VLOOKUP(Sheet1!DC169,hhdcap_wcm,4)-VLOOKUP(Sheet1!DC169,hhdcap_wcm,2))))</f>
        <v>49132.800000117146</v>
      </c>
      <c r="AM171" s="535">
        <f t="shared" ref="AM171:AM234" si="442">AL171-AL170</f>
        <v>-22.500000001040462</v>
      </c>
      <c r="AN171" s="1035">
        <f t="shared" ref="AN171:AN234" si="443">(IF(AND(B171&gt;=GC171,B171&lt;GF171),MIN(BB171+BU171+CP171+DI171,GE171),IF(B171=GF171,GG171,IF(AND(B171&gt;GF171,B171&lt;GH171),BB171+BU171+CP171+DI171,IF(B171&gt;=GH171,0,0)))))</f>
        <v>6098.90643356905</v>
      </c>
      <c r="AO171" s="535">
        <f t="shared" ref="AO171:AO234" si="444">AN171*MGtoAF</f>
        <v>18711.444938189845</v>
      </c>
      <c r="AP171" s="535">
        <f>Sheet1!BA169+Sheet1!BB169+Sheet1!BN169+CD171</f>
        <v>20.100000000000001</v>
      </c>
      <c r="AQ171" s="535">
        <f>Sheet1!BN169+(DO171*Sheet1!BN169)</f>
        <v>20.45282670847552</v>
      </c>
      <c r="AR171" s="535">
        <f>Sheet1!BA169+CD171</f>
        <v>0</v>
      </c>
      <c r="AS171" s="535">
        <f>Sheet1!BA169+Sheet1!BB169+CD171</f>
        <v>0</v>
      </c>
      <c r="AT171" s="649">
        <f>0</f>
        <v>0</v>
      </c>
      <c r="AU171" s="535">
        <f>IF(EB171&lt;K171,0,MAX(Sheet1!AA169+AQ171-15/36*K171-N171,Sheet1!EH169,0))</f>
        <v>0</v>
      </c>
      <c r="AV171" s="535">
        <f>IF(OR(B171&gt;=GD171,B171&lt;GC171),0,15/36*K171-MAX(0,64.6-(137.6-(Sheet1!AA169+Sheet1!AB169))))</f>
        <v>26.933333333333334</v>
      </c>
      <c r="AW171" s="1029"/>
      <c r="AX171" s="649"/>
      <c r="AY171" s="649">
        <f t="shared" si="410"/>
        <v>0</v>
      </c>
      <c r="AZ171" s="649">
        <f t="shared" si="411"/>
        <v>0</v>
      </c>
      <c r="BA171" s="1059">
        <f t="shared" si="412"/>
        <v>0</v>
      </c>
      <c r="BB171" s="1019">
        <f t="shared" ref="BB171:BB234" si="445">GO171+GQ171</f>
        <v>2716.666666666667</v>
      </c>
      <c r="BC171" s="1041">
        <f t="shared" si="413"/>
        <v>26.933333333333334</v>
      </c>
      <c r="BD171" s="1019">
        <f ca="1">IF(B171&gt;Summary!$A$1,#N/A,BB171*MGtoAF)</f>
        <v>8334.7333333333336</v>
      </c>
      <c r="BE171" s="535">
        <f>Sheet1!BG169+Sheet1!BH169+Sheet1!BI169-BM171</f>
        <v>1.52</v>
      </c>
      <c r="BF171" s="535">
        <f t="shared" ref="BF171:BF234" si="446">BE171+(DO171*BE171)</f>
        <v>1.5466814227304868</v>
      </c>
      <c r="BG171" s="535">
        <f>IF(Sheet1!EP169="FM",BM171,0)</f>
        <v>0</v>
      </c>
      <c r="BH171" s="535">
        <f t="shared" ref="BH171:BH234" si="447">BG171+(DO171*BG171)</f>
        <v>0</v>
      </c>
      <c r="BI171" s="535">
        <f>IF(Sheet1!EP169="OTHER",BM171,0)</f>
        <v>0</v>
      </c>
      <c r="BJ171" s="535">
        <f t="shared" ref="BJ171:BJ234" si="448">BI171+(DO171*BI171)</f>
        <v>0</v>
      </c>
      <c r="BK171" s="535">
        <f t="shared" ref="BK171:BK234" si="449">MAX(BE171,BG171,BI171)</f>
        <v>1.52</v>
      </c>
      <c r="BL171" s="535">
        <f t="shared" ref="BL171:BL234" si="450">MAX(BF171,BH171,BJ171)</f>
        <v>1.5466814227304868</v>
      </c>
      <c r="BM171" s="535">
        <f>IF(OR(Sheet1!EP169="FM", Sheet1!EP169="OTHER"),SUM(Sheet1!BG169:'Sheet1'!BI169),0)</f>
        <v>0</v>
      </c>
      <c r="BN171" s="521">
        <f>IF(AND($B171&gt;=$FV171,$B171&lt;=$FW171),MAX(BF171,Sheet1!EI169,0),MAX(BF171-(7/36)*$K171,0))</f>
        <v>0</v>
      </c>
      <c r="BO171" s="535">
        <f t="shared" ref="BO171:BO176" si="451">IF(B171&gt;=GC171,IF(B171&lt;=GD171,(7/36)*K171-BF171,0),0)</f>
        <v>11.022207466158402</v>
      </c>
      <c r="BP171" s="521">
        <f t="shared" ref="BP171:BP234" si="452">MAX(BL171-BN171,0)</f>
        <v>1.5466814227304868</v>
      </c>
      <c r="BQ171" s="521">
        <f>IF(AND($O171&gt;0,Sheet1!EM169=1),(1-($O171-Sheet1!$L169)/$O171)*BL171,0)</f>
        <v>0</v>
      </c>
      <c r="BR171" s="521">
        <f>IF(AND(Sheet1!$L169=0,Sheet1!$L168=0, Calculation!BK171&lt;Sheet1!$EI169-0.1,Sheet1!$EI169=Sheet1!$EI168,Sheet1!$EI169=Sheet1!$EI170),BL171-BQ171,BL171-BQ171)</f>
        <v>1.5466814227304868</v>
      </c>
      <c r="BS171" s="1035" t="str">
        <f t="shared" si="414"/>
        <v/>
      </c>
      <c r="BT171" s="1035">
        <f t="shared" si="415"/>
        <v>12.568888888888889</v>
      </c>
      <c r="BU171" s="535">
        <f t="shared" ref="BU171:BU234" si="453">GV171+GX171</f>
        <v>1267.7777777777778</v>
      </c>
      <c r="BV171" s="535"/>
      <c r="BW171" s="535">
        <f ca="1">IF(B171&gt;Summary!$A$1,#N/A,BU171*MGtoAF)</f>
        <v>3889.5422222222223</v>
      </c>
      <c r="BX171" s="535">
        <f>Sheet1!BC169+Sheet1!BD169+Sheet1!BE169+Sheet1!BF169-CG171-CH171</f>
        <v>2.7890000000000001</v>
      </c>
      <c r="BY171" s="535">
        <f t="shared" ref="BY171:BY234" si="454">BX171+(DO171*BX171)</f>
        <v>2.8379568999969265</v>
      </c>
      <c r="BZ171" s="535">
        <f>IF(Sheet1!EQ169="FM",CH171,0)</f>
        <v>0</v>
      </c>
      <c r="CA171" s="535">
        <f t="shared" ref="CA171:CA234" si="455">BZ171+(DO171*BZ171)</f>
        <v>0</v>
      </c>
      <c r="CB171" s="535">
        <f>IF(Sheet1!EQ169="OTHER",CH171,0)</f>
        <v>0</v>
      </c>
      <c r="CC171" s="535">
        <f t="shared" ref="CC171:CC234" si="456">CB171+(DO171*CB171)</f>
        <v>0</v>
      </c>
      <c r="CD171" s="535">
        <f t="shared" ref="CD171:CD234" si="457">CG171</f>
        <v>0</v>
      </c>
      <c r="CE171" s="535">
        <f t="shared" ref="CE171:CE234" si="458">MAX(BX171,BZ171,CB171)</f>
        <v>2.7890000000000001</v>
      </c>
      <c r="CF171" s="535">
        <f t="shared" ref="CF171:CF234" si="459">MAX(BY171,CA171, CC171)</f>
        <v>2.8379568999969265</v>
      </c>
      <c r="CG171" s="535">
        <f>IF(Sheet1!EQ169="CWA",SUM(Sheet1!BC169:'Sheet1'!BF169),0)</f>
        <v>0</v>
      </c>
      <c r="CH171" s="535">
        <f>IF(OR(Sheet1!EQ169="FM", Sheet1!EQ169="OTHER"),SUM(Sheet1!BC169:'Sheet1'!BF169),0)</f>
        <v>0</v>
      </c>
      <c r="CI171" s="521">
        <f>IF(AND($B171&gt;=$FV171,$B171&lt;=$FW171),MAX(CF171,Sheet1!EJ169,0),MAX(CF171-(7/36)*$K171,0))</f>
        <v>0</v>
      </c>
      <c r="CJ171" s="535">
        <f t="shared" ref="CJ171:CJ177" si="460">IF(B171&gt;=GC171,IF(B171&lt;=GD171,(7/36)*K171-BY171,0),0)</f>
        <v>9.7309319888919621</v>
      </c>
      <c r="CK171" s="521">
        <f t="shared" ref="CK171:CK234" si="461">MAX(CF171-CI171,0)</f>
        <v>2.8379568999969265</v>
      </c>
      <c r="CL171" s="521">
        <f>IF(AND($O171&gt;0,Sheet1!EN169=1),(1-($O171-Sheet1!$L169)/$O171)*CF171,0)</f>
        <v>0</v>
      </c>
      <c r="CM171" s="521">
        <f>IF(AND(Sheet1!$L169=0,Sheet1!$L168=0, Calculation!CE171&lt;Sheet1!EJ169-0.1,Sheet1!EJ169=Sheet1!EJ168,Sheet1!EJ169=Sheet1!EJ170),CF171-CL171,CF171-CL171)</f>
        <v>2.8379568999969265</v>
      </c>
      <c r="CN171" s="1040" t="str">
        <f t="shared" si="416"/>
        <v/>
      </c>
      <c r="CO171" s="1035">
        <f t="shared" si="417"/>
        <v>12.568888888888889</v>
      </c>
      <c r="CP171" s="535">
        <f t="shared" ref="CP171:CP234" si="462">HC171+HE171</f>
        <v>1236.1296995203152</v>
      </c>
      <c r="CQ171" s="535"/>
      <c r="CR171" s="535">
        <f ca="1">IF(B171&gt;Summary!$A$1,#N/A,CP171*MGtoAF)</f>
        <v>3792.4459181283269</v>
      </c>
      <c r="CS171" s="535">
        <f>Sheet1!BK169+Sheet1!BL169+Sheet1!BM169-Sheet1!ER169-DA171</f>
        <v>8.1199999999999992</v>
      </c>
      <c r="CT171" s="535">
        <f t="shared" ref="CT171:CT234" si="463">CS171+(DO171*CS171)</f>
        <v>8.2625349687970733</v>
      </c>
      <c r="CU171" s="535">
        <f>IF(Sheet1!ER169="FM",DA171,0)</f>
        <v>0</v>
      </c>
      <c r="CV171" s="535">
        <f t="shared" ref="CV171:CV234" si="464">CU171+(DO171*CU171)</f>
        <v>0</v>
      </c>
      <c r="CW171" s="535">
        <f>IF(Sheet1!ER169="OTHER",DA171,0)</f>
        <v>0</v>
      </c>
      <c r="CX171" s="535">
        <f t="shared" ref="CX171:CX234" si="465">CW171+(DO171*CW171)</f>
        <v>0</v>
      </c>
      <c r="CY171" s="535">
        <f t="shared" ref="CY171:CY234" si="466">MAX(CS171,CU171)</f>
        <v>8.1199999999999992</v>
      </c>
      <c r="CZ171" s="535">
        <f t="shared" ref="CZ171:CZ234" si="467">MAX(CT171,CV171)</f>
        <v>8.2625349687970733</v>
      </c>
      <c r="DA171" s="535">
        <f>IF(OR(Sheet1!ER169="FM", Sheet1!ER169="OTHER"),SUM(Sheet1!BK169:'Sheet1'!BM169),0)</f>
        <v>0</v>
      </c>
      <c r="DB171" s="1011">
        <f>IF(AND($B171&gt;=$FV171,$B171&lt;=$FW171),MAX($CT171,Sheet1!EK169,0),MAX($CT171-(7/36)*$K171,0))</f>
        <v>0</v>
      </c>
      <c r="DC171" s="1012">
        <f t="shared" ref="DC171:DC176" si="468">IF(B171&gt;=GC171,IF(B171&lt;=GD171,(7/36)*K171-CT171,0),0)</f>
        <v>4.3063539200918157</v>
      </c>
      <c r="DD171" s="1011">
        <f t="shared" ref="DD171:DD234" si="469">MAX(CZ171-DB171,0)</f>
        <v>8.2625349687970733</v>
      </c>
      <c r="DE171" s="521">
        <f>IF(AND($O171&gt;0,Sheet1!EO169=1),(1-($O171-Sheet1!$L169)/$O171)*CZ171,0)</f>
        <v>0</v>
      </c>
      <c r="DF171" s="521">
        <f>IF(AND(Sheet1!$L169=0,Sheet1!$L168=0, Calculation!CY171&lt;Sheet1!$EK169-0.1,Sheet1!$EK169=Sheet1!$EK168,Sheet1!$EK169=Sheet1!$EK170),CZ171-DE171,CZ171-DE171)</f>
        <v>8.2625349687970733</v>
      </c>
      <c r="DG171" s="1040">
        <f t="shared" si="418"/>
        <v>12.568888888888889</v>
      </c>
      <c r="DH171" s="649">
        <f t="shared" ref="DH171:DH234" si="470">BK171+CE171+CY171</f>
        <v>12.428999999999998</v>
      </c>
      <c r="DI171" s="535">
        <f t="shared" ref="DI171:DI234" si="471">HJ171+HL171</f>
        <v>878.33228960428971</v>
      </c>
      <c r="DJ171" s="649">
        <f t="shared" ref="DJ171:DJ234" si="472">BL171+CF171+CZ171</f>
        <v>12.647173291524487</v>
      </c>
      <c r="DK171" s="535">
        <f ca="1">IF(B171&gt;Summary!$A$1,#N/A,DI171*MGtoAF)</f>
        <v>2694.7234645059607</v>
      </c>
      <c r="DL171" s="649">
        <f t="shared" ref="DL171:DL234" si="473">CY171+CE171+BK171</f>
        <v>12.428999999999998</v>
      </c>
      <c r="DM171" s="535">
        <f t="shared" ref="DM171:DM234" si="474">DL171+AP171</f>
        <v>32.528999999999996</v>
      </c>
      <c r="DN171" s="535">
        <f>Sheet1!AB169-DM171</f>
        <v>0.57100000000000506</v>
      </c>
      <c r="DO171" s="743">
        <f t="shared" ref="DO171:DO234" si="475">IF(DM171=0,0,DN171/DM171)</f>
        <v>1.7553567585846634E-2</v>
      </c>
      <c r="DP171" s="535">
        <f>(VLOOKUP(Sheet1!DC169,hhdcap_wcm,4)-(((VLOOKUP(Sheet1!DC169,hhdcap_wcm,3)-Sheet1!DC169)/(VLOOKUP(Sheet1!DC169,hhdcap_wcm,3)-VLOOKUP(Sheet1!DC169,hhdcap_wcm,1)))*(VLOOKUP(Sheet1!DC169,hhdcap_wcm,4)-VLOOKUP(Sheet1!DC169,hhdcap_wcm,2))))</f>
        <v>49132.800000117146</v>
      </c>
      <c r="DQ171" s="535">
        <f t="shared" ref="DQ171:DQ234" si="476">DP171-DP170</f>
        <v>-22.500000001040462</v>
      </c>
      <c r="DR171" s="535">
        <f t="shared" ref="DR171:DR234" si="477">DQ171*AFtoCFS</f>
        <v>-11.346444781160089</v>
      </c>
      <c r="DS171" s="535">
        <f>Sheet1!EA169*AFtoMG</f>
        <v>0</v>
      </c>
      <c r="DT171" s="535">
        <f>Sheet1!EB169*AFtoMG</f>
        <v>0</v>
      </c>
      <c r="DU171" s="535">
        <f>Sheet1!EC169*AFtoMG</f>
        <v>0</v>
      </c>
      <c r="DV171" s="535">
        <f>Sheet1!ED169*AFtoMG</f>
        <v>0</v>
      </c>
      <c r="DW171" s="535">
        <f t="shared" ref="DW171:DW234" si="478">SUM(DS171:DV171)</f>
        <v>0</v>
      </c>
      <c r="DX171" s="535">
        <f t="shared" ref="DX171:DX234" si="479">DW171*MGtoAF</f>
        <v>0</v>
      </c>
      <c r="DY171" s="535">
        <f t="shared" ref="DY171:DY234" si="480">AN171</f>
        <v>6098.90643356905</v>
      </c>
      <c r="DZ171" s="535">
        <f t="shared" ref="DZ171:DZ234" si="481">DY171*MGtoAF</f>
        <v>18711.444938189845</v>
      </c>
      <c r="EA171" s="535"/>
      <c r="EB171" s="521">
        <f>IF(OR(B171&lt;FV171,B171&gt;FW171),(MIN(BF171+BY171+CT171+MAX(Sheet1!AA169+AQ171-73,0),K171)),0)</f>
        <v>12.647173291524487</v>
      </c>
      <c r="EC171" s="535"/>
      <c r="ED171" s="535">
        <f t="shared" ref="ED171:ED234" si="482">CT171+BF171+BY171</f>
        <v>12.647173291524487</v>
      </c>
      <c r="EE171" s="535"/>
      <c r="EF171" s="535">
        <f>Sheet1!EH169+Sheet1!EI169+Sheet1!EJ169+Sheet1!EK169</f>
        <v>14</v>
      </c>
      <c r="EG171" s="1019">
        <f t="shared" si="419"/>
        <v>21.657999999999998</v>
      </c>
      <c r="EH171" s="521">
        <f t="shared" ref="EH171:EH234" si="483">EB171-BP171-CK171-DD171</f>
        <v>0</v>
      </c>
      <c r="EI171" s="535">
        <f>IF(Sheet1!ET169=1,SUM('Calculations II'!AT171:BA171)+'Calculations II'!BC171+Sheet1!BV169+'Calculations II'!BE171+AP171,'Calculations II'!BK171)</f>
        <v>53.425558708475513</v>
      </c>
      <c r="EJ171" s="535">
        <f ca="1">EI171+'Calculations II'!D171+'Calculations II'!E171+'Calculations II'!O171</f>
        <v>55.433913899168331</v>
      </c>
      <c r="EK171" s="535"/>
      <c r="EL171" s="535"/>
      <c r="EM171" s="535">
        <f t="shared" ref="EM171:EM234" si="484">B171</f>
        <v>42895</v>
      </c>
      <c r="EN171" s="535">
        <f t="shared" ref="EN171:EN234" si="485">AJ171-AH171</f>
        <v>51.992826708475512</v>
      </c>
      <c r="EO171" s="535">
        <f t="shared" ref="EO171:EO234" si="486">AK171-AI171</f>
        <v>80.432902918011607</v>
      </c>
      <c r="EP171" s="535">
        <v>0</v>
      </c>
      <c r="EQ171" s="535">
        <v>0</v>
      </c>
      <c r="ER171" s="535">
        <v>0</v>
      </c>
      <c r="ES171" s="521">
        <f t="shared" si="381"/>
        <v>-2.7723876496474409</v>
      </c>
      <c r="ET171" s="535">
        <f>-(VLOOKUP(Sheet1!BQ169,Lookup!$O$4:$Q$262,2)-VLOOKUP(Sheet1!BQ168,Lookup!$O$4:$Q$262,2))/1000000</f>
        <v>-1.3859694269632548</v>
      </c>
      <c r="EU171" s="535">
        <f>-(VLOOKUP(Sheet1!BR169,Lookup!$O$4:$Q$262,3)-VLOOKUP(Sheet1!BR168,Lookup!$O$4:$Q$262,3))/1000000</f>
        <v>-1.3864182226841859</v>
      </c>
      <c r="EV171" s="535"/>
      <c r="EW171" s="535"/>
      <c r="EX171" s="535"/>
      <c r="EY171" s="535">
        <f t="shared" si="434"/>
        <v>8.2187323008282913</v>
      </c>
      <c r="EZ171" s="535">
        <f t="shared" si="435"/>
        <v>5.3126905629142156</v>
      </c>
      <c r="FA171" s="535"/>
      <c r="FB171" s="535"/>
      <c r="FC171" s="535"/>
      <c r="FD171" s="567" t="e">
        <f t="shared" ref="FD171:FD192" si="487">VLOOKUP(FJ170,hhdelev_wcm,4) -(((VLOOKUP(FJ170,hhdelev_wcm,3)-FJ170)/(VLOOKUP(FJ170,hhdelev_wcm,3)-VLOOKUP(FJ170,hhdelev_wcm,1)))*(VLOOKUP(FJ170,hhdelev_wcm,4)-VLOOKUP(FJ170,hhdelev_wcm,2)))</f>
        <v>#N/A</v>
      </c>
      <c r="FE171" s="567" t="e">
        <f t="shared" ref="FE171:FE234" si="488">MAX((FE170-FI171*1.983),0)</f>
        <v>#N/A</v>
      </c>
      <c r="FF171" s="568" t="e">
        <f t="shared" ref="FF171:FF234" si="489">IF(DP171-AO171-FE171-1220&lt;0,0,DP171-AO171-FE171-1220)</f>
        <v>#N/A</v>
      </c>
      <c r="FG171" s="569" t="s">
        <v>656</v>
      </c>
      <c r="FH171" s="569" t="s">
        <v>656</v>
      </c>
      <c r="FI171" s="567" t="e">
        <v>#N/A</v>
      </c>
      <c r="FJ171" s="567" t="e">
        <v>#N/A</v>
      </c>
      <c r="FK171" s="535">
        <v>24650</v>
      </c>
      <c r="FL171" s="1015">
        <v>0</v>
      </c>
      <c r="FM171" s="535"/>
      <c r="FN171" s="535"/>
      <c r="FO171" s="535">
        <f>O171+((Sheet1!CS169)*GPMtoMGD)</f>
        <v>68.908159999999995</v>
      </c>
      <c r="FP171" s="535">
        <f>IF(Sheet1!AA169+AQ171&lt;=Calculation!N171,AQ171,Calculation!N171-Sheet1!AA169)</f>
        <v>20.45282670847552</v>
      </c>
      <c r="FQ171" s="535">
        <f>(Sheet1!BP169+Sheet1!BO169)/694.4</f>
        <v>1.9638536866359448</v>
      </c>
      <c r="FR171" s="541"/>
      <c r="FS171" s="541"/>
      <c r="FT171" s="541"/>
      <c r="FU171" s="541"/>
      <c r="FV171" s="1109">
        <f t="shared" si="382"/>
        <v>42918</v>
      </c>
      <c r="FW171" s="1109">
        <f t="shared" si="383"/>
        <v>43027</v>
      </c>
      <c r="FX171" s="541"/>
      <c r="FY171" s="541">
        <f>Sheet1!DA169-Sheet1!CZ169-Sheet1!AE169</f>
        <v>189.83730000000003</v>
      </c>
      <c r="FZ171" s="535">
        <f t="shared" si="420"/>
        <v>0.20420219869466583</v>
      </c>
      <c r="GA171" s="535"/>
      <c r="GB171" s="535" t="str">
        <f t="shared" si="384"/>
        <v>n</v>
      </c>
      <c r="GC171" s="539">
        <f t="shared" si="385"/>
        <v>42782</v>
      </c>
      <c r="GD171" s="1109">
        <f t="shared" si="386"/>
        <v>42904</v>
      </c>
      <c r="GE171" s="535">
        <f t="shared" si="404"/>
        <v>6520</v>
      </c>
      <c r="GF171" s="1109">
        <f t="shared" si="387"/>
        <v>42909</v>
      </c>
      <c r="GG171" s="535">
        <f t="shared" si="432"/>
        <v>3260</v>
      </c>
      <c r="GH171" s="539">
        <f t="shared" si="388"/>
        <v>43040</v>
      </c>
      <c r="GJ171" s="521">
        <f t="shared" si="389"/>
        <v>37.955540799491736</v>
      </c>
      <c r="GK171" s="535" t="str">
        <f t="shared" ref="GK171:GK234" si="490">CONCATENATE(GM171,HA171,GT171,HH171)</f>
        <v>PP</v>
      </c>
      <c r="GL171" s="535">
        <f t="shared" si="390"/>
        <v>26.933333333333334</v>
      </c>
      <c r="GM171" s="535" t="str">
        <f t="shared" si="391"/>
        <v/>
      </c>
      <c r="GN171" s="535">
        <f>IF(GK171="P",Lookup!$M$12,IF(GK171="PP",Lookup!$M$13,IF(GK171="PPP",Lookup!$M$14,IF(GK171="T",Lookup!$M$15,IF(GK171="TP",Lookup!$M$16,IF(GK171="TPP",Lookup!$M$17,IF(GK171="TPPP",Lookup!$M$18,0)))))))*GJ171</f>
        <v>0</v>
      </c>
      <c r="GO171" s="535">
        <f t="shared" si="392"/>
        <v>0</v>
      </c>
      <c r="GP171" s="535">
        <f t="shared" ref="GP171:GP234" si="491">GQ171*MGtoAF</f>
        <v>8334.7333333333336</v>
      </c>
      <c r="GQ171" s="535">
        <f t="shared" si="433"/>
        <v>2716.666666666667</v>
      </c>
      <c r="GR171" s="535"/>
      <c r="GS171" s="535">
        <f t="shared" si="393"/>
        <v>11.022207466158402</v>
      </c>
      <c r="GT171" s="535" t="str">
        <f t="shared" si="394"/>
        <v/>
      </c>
      <c r="GU171" s="535">
        <f>IF(GK171="P",Lookup!$N$12,IF(GK171="PP",Lookup!$N$13,IF(GK171="PPP",Lookup!$N$14,IF(GK171="T",Lookup!$N$15,IF(GK171="TP",Lookup!$N$16,IF(GK171="TPP",Lookup!$N$17,IF(GK171="TPPP",Lookup!$N$18,0)))))))*GJ171</f>
        <v>18.977770399745868</v>
      </c>
      <c r="GV171" s="535">
        <f t="shared" si="395"/>
        <v>0</v>
      </c>
      <c r="GW171" s="535">
        <f t="shared" ref="GW171:GW234" si="492">GX171*MGtoAF</f>
        <v>3889.5422222222223</v>
      </c>
      <c r="GX171" s="535">
        <f t="shared" si="400"/>
        <v>1267.7777777777778</v>
      </c>
      <c r="GY171" s="535"/>
      <c r="GZ171" s="535">
        <f t="shared" si="396"/>
        <v>0</v>
      </c>
      <c r="HA171" s="535" t="str">
        <f t="shared" si="397"/>
        <v>P</v>
      </c>
      <c r="HB171" s="535">
        <f>IF(GK171="P",Lookup!$N$12,IF(GK171="PP",Lookup!$N$13,IF(GK171="PPP",Lookup!$N$14,IF(GK171="T",Lookup!$N$15,IF(GK171="TP",Lookup!$N$16,IF(GK171="TPP",Lookup!$N$17,IF(GK171="TPPP",Lookup!$N$18,0)))))))*GJ171</f>
        <v>18.977770399745868</v>
      </c>
      <c r="HC171" s="521">
        <f t="shared" ref="HC171:HC234" si="493">IF(HA171="P",MIN(HB171,7/36*GE171-HE171),0)</f>
        <v>18.977770399745868</v>
      </c>
      <c r="HD171" s="535">
        <f t="shared" ref="HD171:HD234" si="494">HE171*MGtoAF</f>
        <v>3734.2221185419066</v>
      </c>
      <c r="HE171" s="535">
        <f t="shared" si="401"/>
        <v>1217.1519291205693</v>
      </c>
      <c r="HF171" s="535"/>
      <c r="HG171" s="535">
        <f t="shared" si="398"/>
        <v>0</v>
      </c>
      <c r="HH171" s="535" t="str">
        <f t="shared" si="399"/>
        <v>P</v>
      </c>
      <c r="HI171" s="535">
        <f>IF(GK171="P",Lookup!$N$12,IF(GK171="PP",Lookup!$N$13,IF(GK171="PPP",Lookup!$N$14,IF(GK171="T",Lookup!$N$15,IF(GK171="TP",Lookup!$N$16,IF(GK171="TPP",Lookup!$N$17,IF(GK171="TPPP",Lookup!$N$18,0)))))))*GJ171</f>
        <v>18.977770399745868</v>
      </c>
      <c r="HJ171" s="521">
        <f t="shared" ref="HJ171:HJ234" si="495">IF(HH171="P",MIN(HI171,7/36*GE171-HL171),0)</f>
        <v>18.977770399745868</v>
      </c>
      <c r="HK171" s="535">
        <f t="shared" ref="HK171:HK234" si="496">HL171*MGtoAF</f>
        <v>2636.4996649195405</v>
      </c>
      <c r="HL171" s="535">
        <f t="shared" si="402"/>
        <v>859.35451920454386</v>
      </c>
      <c r="HM171" s="535"/>
      <c r="HN171" s="541"/>
      <c r="HO171" s="541"/>
      <c r="HP171" s="541"/>
      <c r="HQ171" s="541">
        <f>IF(AND(B171&gt;=$FV$4,B171&lt;=$FW$4),MAX(110/1.02+$HQ$6+MIN(113/1.02,G171),IF($HV$6-(Sheet1!DA169-Sheet1!DB169)+MIN(113/1.02,G171)&lt;G171+FL171,$HV$6-(Sheet1!DA169-Sheet1!DB169)+MIN(113/1.02,G171),G171+FL171)),MIN(110/1.02+$HQ$6+113/1.02,G171))</f>
        <v>218.62745098039215</v>
      </c>
      <c r="HR171" s="541">
        <f t="shared" si="421"/>
        <v>223</v>
      </c>
      <c r="HS171" s="541">
        <f>HR171+(Sheet1!DA169-Sheet1!DB169)</f>
        <v>587</v>
      </c>
      <c r="HT171" s="541">
        <f t="shared" si="422"/>
        <v>79.93503699999998</v>
      </c>
      <c r="HU171" s="541">
        <f t="shared" si="423"/>
        <v>507.06496300000003</v>
      </c>
      <c r="HV171" s="541">
        <f t="shared" si="424"/>
        <v>0</v>
      </c>
      <c r="HW171" s="541" t="str">
        <f t="shared" si="425"/>
        <v/>
      </c>
      <c r="HX171" s="541">
        <f t="shared" si="426"/>
        <v>722.37254901960785</v>
      </c>
      <c r="HY171" s="541">
        <f>Sheet1!CZ169</f>
        <v>941</v>
      </c>
      <c r="HZ171" s="541">
        <f t="shared" si="427"/>
        <v>0</v>
      </c>
      <c r="IA171" s="541">
        <f t="shared" si="428"/>
        <v>79.93503699999998</v>
      </c>
      <c r="IB171" s="541">
        <f t="shared" si="429"/>
        <v>941</v>
      </c>
      <c r="IC171" s="1019" t="str">
        <f t="shared" si="430"/>
        <v/>
      </c>
      <c r="ID171" s="541">
        <f t="shared" si="431"/>
        <v>861.06496300000003</v>
      </c>
      <c r="IE171" s="541">
        <f>Sheet1!DB169</f>
        <v>866</v>
      </c>
      <c r="IF171" s="533">
        <f>Sheet1!DA169</f>
        <v>1230</v>
      </c>
      <c r="IH171" s="541">
        <f>IF(AND($B171&gt;=$GC171,$B171&lt;=$GH171,$DR171&lt;0)+N("only adjusted when pool is drawn down during storage season"),Sheet1!$DB169+$DR171+N("Palmer minus all storage release"),Sheet1!$DB169)</f>
        <v>854.65355521883987</v>
      </c>
      <c r="II171" s="541">
        <f>IF(AND($B171&gt;=$GC171,$B171&lt;=$GH171,$DR171&lt;0)+N("only adjusted when pool is drawn down during storage season"),Sheet1!$DA169+$DR171+N("Auburn minus all storage release"),Sheet1!$DA169)</f>
        <v>1218.65355521884</v>
      </c>
    </row>
    <row r="172" spans="1:243" x14ac:dyDescent="0.25">
      <c r="A172" s="553" t="s">
        <v>9</v>
      </c>
      <c r="B172" s="531">
        <v>42896</v>
      </c>
      <c r="C172" s="536">
        <v>0</v>
      </c>
      <c r="D172" s="506">
        <f t="shared" si="371"/>
        <v>300</v>
      </c>
      <c r="E172" s="506">
        <f t="shared" si="372"/>
        <v>250</v>
      </c>
      <c r="F172" s="506">
        <v>250</v>
      </c>
      <c r="G172" s="535">
        <f>DR172+Sheet1!CZ170</f>
        <v>861.67574382288603</v>
      </c>
      <c r="H172" s="1074">
        <f t="shared" si="405"/>
        <v>387.26764112711351</v>
      </c>
      <c r="I172" s="534">
        <f>IF(Sheet1!DA170&gt;=E172,(Sheet1!DA170-E172+P172)*CFStoMGD,0)</f>
        <v>674.4788403199999</v>
      </c>
      <c r="J172" s="995">
        <f>IF(Sheet1!DB170&gt;=D172,(Sheet1!DB170-D172+P172)*CFStoMGD,0)</f>
        <v>438.54284031999998</v>
      </c>
      <c r="K172" s="818">
        <f t="shared" si="406"/>
        <v>64.64</v>
      </c>
      <c r="L172" s="535">
        <f>Sheet1!AA170+Sheet1!AB170-Sheet1!L170+(Sheet1!DA170-F172)*CFStoMGD-S172-T172-U172</f>
        <v>609.8399999999998</v>
      </c>
      <c r="M172" s="535">
        <f t="shared" si="436"/>
        <v>568.12694482325583</v>
      </c>
      <c r="N172" s="824">
        <f>IF(Sheet1!DA170&gt;=F172,MIN(113*CFStoMGD,MIN(MAX(L172,0),MAX(M172,0))),0)</f>
        <v>73.043199999999999</v>
      </c>
      <c r="O172" s="538">
        <f>Sheet1!AA170+Sheet1!AB170</f>
        <v>60.4</v>
      </c>
      <c r="P172" s="538">
        <f t="shared" si="437"/>
        <v>93.438799999999986</v>
      </c>
      <c r="Q172" s="812">
        <f t="shared" si="407"/>
        <v>47.33</v>
      </c>
      <c r="R172" s="812">
        <f t="shared" si="373"/>
        <v>13.038954869358669</v>
      </c>
      <c r="S172" s="812">
        <f t="shared" si="374"/>
        <v>13.07</v>
      </c>
      <c r="T172" s="812">
        <f t="shared" si="375"/>
        <v>51.57</v>
      </c>
      <c r="U172" s="812">
        <f t="shared" si="408"/>
        <v>0</v>
      </c>
      <c r="V172" s="812"/>
      <c r="W172" s="812">
        <f t="shared" si="376"/>
        <v>51.601045130641332</v>
      </c>
      <c r="X172" s="812">
        <f t="shared" si="377"/>
        <v>64.64</v>
      </c>
      <c r="Y172" s="812" t="str">
        <f t="shared" si="378"/>
        <v>FALSE</v>
      </c>
      <c r="Z172" s="812">
        <f t="shared" si="379"/>
        <v>60.4</v>
      </c>
      <c r="AA172" s="812">
        <f t="shared" si="380"/>
        <v>60.4</v>
      </c>
      <c r="AB172" s="1059">
        <f t="shared" si="409"/>
        <v>73.21951</v>
      </c>
      <c r="AC172" s="538">
        <f>Sheet1!Y170*MGDtoCFS</f>
        <v>47.957000000000001</v>
      </c>
      <c r="AD172" s="538">
        <f>Sheet1!Z170*MGDtoCFS</f>
        <v>52.133900000000004</v>
      </c>
      <c r="AE172" s="538">
        <f>Sheet1!AA170*MGDtoCFS</f>
        <v>47.957000000000001</v>
      </c>
      <c r="AF172" s="538">
        <f>Sheet1!AB170*MGDtoCFS</f>
        <v>45.481799999999993</v>
      </c>
      <c r="AG172" s="538">
        <f>Sheet1!L170*MGDtoCFS</f>
        <v>0</v>
      </c>
      <c r="AH172" s="521">
        <f t="shared" si="438"/>
        <v>0</v>
      </c>
      <c r="AI172" s="1059">
        <f t="shared" si="439"/>
        <v>0</v>
      </c>
      <c r="AJ172" s="535">
        <f t="shared" si="440"/>
        <v>51.601045130641332</v>
      </c>
      <c r="AK172" s="535">
        <f t="shared" si="441"/>
        <v>79.826816817102141</v>
      </c>
      <c r="AL172" s="535">
        <f>(VLOOKUP(Sheet1!DC170,hhdcap_wcm,4)-(((VLOOKUP(Sheet1!DC170,hhdcap_wcm,3)-Sheet1!DC170)/(VLOOKUP(Sheet1!DC170,hhdcap_wcm,3)-VLOOKUP(Sheet1!DC170,hhdcap_wcm,1)))*(VLOOKUP(Sheet1!DC170,hhdcap_wcm,4)-VLOOKUP(Sheet1!DC170,hhdcap_wcm,2))))</f>
        <v>48975.500000117929</v>
      </c>
      <c r="AM172" s="535">
        <f t="shared" si="442"/>
        <v>-157.29999999921711</v>
      </c>
      <c r="AN172" s="1035">
        <f t="shared" si="443"/>
        <v>6150.5074786996911</v>
      </c>
      <c r="AO172" s="535">
        <f t="shared" si="444"/>
        <v>18869.756944650653</v>
      </c>
      <c r="AP172" s="535">
        <f>Sheet1!BA170+Sheet1!BB170+Sheet1!BN170+CD172</f>
        <v>16.399999999999999</v>
      </c>
      <c r="AQ172" s="535">
        <f>Sheet1!BN170+(DO172*Sheet1!BN170)</f>
        <v>16.36104513064133</v>
      </c>
      <c r="AR172" s="535">
        <f>Sheet1!BA170+CD172</f>
        <v>0</v>
      </c>
      <c r="AS172" s="535">
        <f>Sheet1!BA170+Sheet1!BB170+CD172</f>
        <v>0</v>
      </c>
      <c r="AT172" s="649">
        <f>0</f>
        <v>0</v>
      </c>
      <c r="AU172" s="535">
        <f>BA172+Sheet1!EH170</f>
        <v>0</v>
      </c>
      <c r="AV172" s="535">
        <f>IF(OR(B172&gt;=GD172,B172&lt;GC172),0,15/36*K172-MAX(0,64.6-(137.6-(Sheet1!AA170+Sheet1!AB170))))</f>
        <v>26.933333333333334</v>
      </c>
      <c r="AW172" s="1029"/>
      <c r="AX172" s="649"/>
      <c r="AY172" s="649">
        <f t="shared" si="410"/>
        <v>0</v>
      </c>
      <c r="AZ172" s="649">
        <f t="shared" si="411"/>
        <v>0</v>
      </c>
      <c r="BA172" s="1059">
        <f t="shared" si="412"/>
        <v>0</v>
      </c>
      <c r="BB172" s="1019">
        <f t="shared" si="445"/>
        <v>2716.666666666667</v>
      </c>
      <c r="BC172" s="1041">
        <f t="shared" si="413"/>
        <v>26.933333333333334</v>
      </c>
      <c r="BD172" s="1019">
        <f ca="1">IF(B172&gt;Summary!$A$1,#N/A,BB172*MGtoAF)</f>
        <v>8334.7333333333336</v>
      </c>
      <c r="BE172" s="535">
        <f>Sheet1!BG170+Sheet1!BH170+Sheet1!BI170-BM172</f>
        <v>1.51</v>
      </c>
      <c r="BF172" s="535">
        <f t="shared" si="446"/>
        <v>1.5064133016627079</v>
      </c>
      <c r="BG172" s="535">
        <f>IF(Sheet1!EP170="FM",BM172,0)</f>
        <v>0</v>
      </c>
      <c r="BH172" s="535">
        <f t="shared" si="447"/>
        <v>0</v>
      </c>
      <c r="BI172" s="535">
        <f>IF(Sheet1!EP170="OTHER",BM172,0)</f>
        <v>0</v>
      </c>
      <c r="BJ172" s="535">
        <f t="shared" si="448"/>
        <v>0</v>
      </c>
      <c r="BK172" s="535">
        <f t="shared" si="449"/>
        <v>1.51</v>
      </c>
      <c r="BL172" s="535">
        <f t="shared" si="450"/>
        <v>1.5064133016627079</v>
      </c>
      <c r="BM172" s="535">
        <f>IF(OR(Sheet1!EP170="FM", Sheet1!EP170="OTHER"),SUM(Sheet1!BG170:'Sheet1'!BI170),0)</f>
        <v>0</v>
      </c>
      <c r="BN172" s="521">
        <f>IF(AND($B172&gt;=$FV172,$B172&lt;=$FW172),MAX(BF172,Sheet1!EI170,0),MAX(BF172-(7/36)*$K172,0))</f>
        <v>0</v>
      </c>
      <c r="BO172" s="535">
        <f t="shared" si="451"/>
        <v>11.062475587226182</v>
      </c>
      <c r="BP172" s="521">
        <f t="shared" si="452"/>
        <v>1.5064133016627079</v>
      </c>
      <c r="BQ172" s="521">
        <f>IF(AND($O172&gt;0,Sheet1!EM170=1),(1-($O172-Sheet1!$L170)/$O172)*BL172,0)</f>
        <v>0</v>
      </c>
      <c r="BR172" s="521">
        <f>IF(AND(Sheet1!$L170=0,Sheet1!$L169=0, Calculation!BK172&lt;Sheet1!$EI170-0.1,Sheet1!$EI170=Sheet1!$EI169,Sheet1!$EI170=Sheet1!$EI171),BL172-BQ172,BL172-BQ172)</f>
        <v>1.5064133016627079</v>
      </c>
      <c r="BS172" s="1035" t="str">
        <f t="shared" si="414"/>
        <v/>
      </c>
      <c r="BT172" s="1035">
        <f t="shared" si="415"/>
        <v>12.568888888888889</v>
      </c>
      <c r="BU172" s="535">
        <f t="shared" si="453"/>
        <v>1267.7777777777778</v>
      </c>
      <c r="BV172" s="535"/>
      <c r="BW172" s="535">
        <f ca="1">IF(B172&gt;Summary!$A$1,#N/A,BU172*MGtoAF)</f>
        <v>3889.5422222222223</v>
      </c>
      <c r="BX172" s="535">
        <f>Sheet1!BC170+Sheet1!BD170+Sheet1!BE170+Sheet1!BF170-CG172-CH172</f>
        <v>3.51</v>
      </c>
      <c r="BY172" s="535">
        <f t="shared" si="454"/>
        <v>3.5016627078384794</v>
      </c>
      <c r="BZ172" s="535">
        <f>IF(Sheet1!EQ170="FM",CH172,0)</f>
        <v>0</v>
      </c>
      <c r="CA172" s="535">
        <f t="shared" si="455"/>
        <v>0</v>
      </c>
      <c r="CB172" s="535">
        <f>IF(Sheet1!EQ170="OTHER",CH172,0)</f>
        <v>0</v>
      </c>
      <c r="CC172" s="535">
        <f t="shared" si="456"/>
        <v>0</v>
      </c>
      <c r="CD172" s="535">
        <f t="shared" si="457"/>
        <v>0</v>
      </c>
      <c r="CE172" s="535">
        <f t="shared" si="458"/>
        <v>3.51</v>
      </c>
      <c r="CF172" s="535">
        <f t="shared" si="459"/>
        <v>3.5016627078384794</v>
      </c>
      <c r="CG172" s="535">
        <f>IF(Sheet1!EQ170="CWA",SUM(Sheet1!BC170:'Sheet1'!BF170),0)</f>
        <v>0</v>
      </c>
      <c r="CH172" s="535">
        <f>IF(OR(Sheet1!EQ170="FM", Sheet1!EQ170="OTHER"),SUM(Sheet1!BC170:'Sheet1'!BF170),0)</f>
        <v>0</v>
      </c>
      <c r="CI172" s="521">
        <f>IF(AND($B172&gt;=$FV172,$B172&lt;=$FW172),MAX(CF172,Sheet1!EJ170,0),MAX(CF172-(7/36)*$K172,0))</f>
        <v>0</v>
      </c>
      <c r="CJ172" s="535">
        <f t="shared" si="460"/>
        <v>9.06722618105041</v>
      </c>
      <c r="CK172" s="521">
        <f t="shared" si="461"/>
        <v>3.5016627078384794</v>
      </c>
      <c r="CL172" s="521">
        <f>IF(AND($O172&gt;0,Sheet1!EN170=1),(1-($O172-Sheet1!$L170)/$O172)*CF172,0)</f>
        <v>0</v>
      </c>
      <c r="CM172" s="521">
        <f>IF(AND(Sheet1!$L170=0,Sheet1!$L169=0, Calculation!CE172&lt;Sheet1!EJ170-0.1,Sheet1!EJ170=Sheet1!EJ169,Sheet1!EJ170=Sheet1!EJ171),CF172-CL172,CF172-CL172)</f>
        <v>3.5016627078384794</v>
      </c>
      <c r="CN172" s="1040" t="str">
        <f t="shared" si="416"/>
        <v/>
      </c>
      <c r="CO172" s="1035">
        <f t="shared" si="417"/>
        <v>12.568888888888889</v>
      </c>
      <c r="CP172" s="535">
        <f t="shared" si="462"/>
        <v>1264.1948301616453</v>
      </c>
      <c r="CQ172" s="535"/>
      <c r="CR172" s="535">
        <f ca="1">IF(B172&gt;Summary!$A$1,#N/A,CP172*MGtoAF)</f>
        <v>3878.549738935928</v>
      </c>
      <c r="CS172" s="535">
        <f>Sheet1!BK170+Sheet1!BL170+Sheet1!BM170-Sheet1!ER170-DA172</f>
        <v>8.0500000000000007</v>
      </c>
      <c r="CT172" s="535">
        <f t="shared" si="463"/>
        <v>8.0308788598574825</v>
      </c>
      <c r="CU172" s="535">
        <f>IF(Sheet1!ER170="FM",DA172,0)</f>
        <v>0</v>
      </c>
      <c r="CV172" s="535">
        <f t="shared" si="464"/>
        <v>0</v>
      </c>
      <c r="CW172" s="535">
        <f>IF(Sheet1!ER170="OTHER",DA172,0)</f>
        <v>0</v>
      </c>
      <c r="CX172" s="535">
        <f t="shared" si="465"/>
        <v>0</v>
      </c>
      <c r="CY172" s="535">
        <f t="shared" si="466"/>
        <v>8.0500000000000007</v>
      </c>
      <c r="CZ172" s="535">
        <f t="shared" si="467"/>
        <v>8.0308788598574825</v>
      </c>
      <c r="DA172" s="535">
        <f>IF(OR(Sheet1!ER170="FM", Sheet1!ER170="OTHER"),SUM(Sheet1!BK170:'Sheet1'!BM170),0)</f>
        <v>0</v>
      </c>
      <c r="DB172" s="1011">
        <f>IF(AND($B172&gt;=$FV172,$B172&lt;=$FW172),MAX($CT172,Sheet1!EK170,0),MAX($CT172-(7/36)*$K172,0))</f>
        <v>0</v>
      </c>
      <c r="DC172" s="1012">
        <f t="shared" si="468"/>
        <v>4.5380100290314065</v>
      </c>
      <c r="DD172" s="1011">
        <f t="shared" si="469"/>
        <v>8.0308788598574825</v>
      </c>
      <c r="DE172" s="521">
        <f>IF(AND($O172&gt;0,Sheet1!EO170=1),(1-($O172-Sheet1!$L170)/$O172)*CZ172,0)</f>
        <v>0</v>
      </c>
      <c r="DF172" s="521">
        <f>IF(AND(Sheet1!$L170=0,Sheet1!$L169=0, Calculation!CY172&lt;Sheet1!$EK170-0.1,Sheet1!$EK170=Sheet1!$EK169,Sheet1!$EK170=Sheet1!$EK171),CZ172-DE172,CZ172-DE172)</f>
        <v>8.0308788598574825</v>
      </c>
      <c r="DG172" s="1040">
        <f t="shared" si="418"/>
        <v>12.568888888888889</v>
      </c>
      <c r="DH172" s="649">
        <f t="shared" si="470"/>
        <v>13.07</v>
      </c>
      <c r="DI172" s="535">
        <f t="shared" si="471"/>
        <v>901.86820409360087</v>
      </c>
      <c r="DJ172" s="649">
        <f t="shared" si="472"/>
        <v>13.038954869358669</v>
      </c>
      <c r="DK172" s="535">
        <f ca="1">IF(B172&gt;Summary!$A$1,#N/A,DI172*MGtoAF)</f>
        <v>2766.9316501591675</v>
      </c>
      <c r="DL172" s="649">
        <f t="shared" si="473"/>
        <v>13.07</v>
      </c>
      <c r="DM172" s="535">
        <f t="shared" si="474"/>
        <v>29.47</v>
      </c>
      <c r="DN172" s="535">
        <f>Sheet1!AB170-DM172</f>
        <v>-7.0000000000000284E-2</v>
      </c>
      <c r="DO172" s="743">
        <f t="shared" si="475"/>
        <v>-2.3752969121140239E-3</v>
      </c>
      <c r="DP172" s="535">
        <f>(VLOOKUP(Sheet1!DC170,hhdcap_wcm,4)-(((VLOOKUP(Sheet1!DC170,hhdcap_wcm,3)-Sheet1!DC170)/(VLOOKUP(Sheet1!DC170,hhdcap_wcm,3)-VLOOKUP(Sheet1!DC170,hhdcap_wcm,1)))*(VLOOKUP(Sheet1!DC170,hhdcap_wcm,4)-VLOOKUP(Sheet1!DC170,hhdcap_wcm,2))))</f>
        <v>48975.500000117929</v>
      </c>
      <c r="DQ172" s="535">
        <f t="shared" si="476"/>
        <v>-157.29999999921711</v>
      </c>
      <c r="DR172" s="535">
        <f t="shared" si="477"/>
        <v>-79.324256177114009</v>
      </c>
      <c r="DS172" s="535">
        <f>Sheet1!EA170*AFtoMG</f>
        <v>0</v>
      </c>
      <c r="DT172" s="535">
        <f>Sheet1!EB170*AFtoMG</f>
        <v>0</v>
      </c>
      <c r="DU172" s="535">
        <f>Sheet1!EC170*AFtoMG</f>
        <v>0</v>
      </c>
      <c r="DV172" s="535">
        <f>Sheet1!ED170*AFtoMG</f>
        <v>0</v>
      </c>
      <c r="DW172" s="535">
        <f t="shared" si="478"/>
        <v>0</v>
      </c>
      <c r="DX172" s="535">
        <f t="shared" si="479"/>
        <v>0</v>
      </c>
      <c r="DY172" s="535">
        <f t="shared" si="480"/>
        <v>6150.5074786996911</v>
      </c>
      <c r="DZ172" s="535">
        <f t="shared" si="481"/>
        <v>18869.756944650653</v>
      </c>
      <c r="EA172" s="535"/>
      <c r="EB172" s="521">
        <f>IF(OR(B172&lt;FV172,B172&gt;FW172),(MIN(BF172+BY172+CT172+MAX(Sheet1!AA170+AQ172-73,0),K172)),0)</f>
        <v>13.038954869358669</v>
      </c>
      <c r="EC172" s="535"/>
      <c r="ED172" s="535">
        <f t="shared" si="482"/>
        <v>13.038954869358669</v>
      </c>
      <c r="EE172" s="535"/>
      <c r="EF172" s="535">
        <f>Sheet1!EH170+Sheet1!EI170+Sheet1!EJ170+Sheet1!EK170</f>
        <v>14.5</v>
      </c>
      <c r="EG172" s="1019">
        <f t="shared" si="419"/>
        <v>22.4315</v>
      </c>
      <c r="EH172" s="521">
        <f t="shared" si="483"/>
        <v>0</v>
      </c>
      <c r="EI172" s="535">
        <f>IF(Sheet1!ET170=1,SUM('Calculations II'!AT172:BA172)+'Calculations II'!BC172+Sheet1!BV170+'Calculations II'!BE172+AP172,'Calculations II'!BK172)</f>
        <v>50.867181130641335</v>
      </c>
      <c r="EJ172" s="535">
        <f ca="1">EI172+'Calculations II'!D172+'Calculations II'!E172+'Calculations II'!O172</f>
        <v>55.358577374689482</v>
      </c>
      <c r="EK172" s="535"/>
      <c r="EL172" s="535"/>
      <c r="EM172" s="535">
        <f t="shared" si="484"/>
        <v>42896</v>
      </c>
      <c r="EN172" s="535">
        <f t="shared" si="485"/>
        <v>51.601045130641332</v>
      </c>
      <c r="EO172" s="535">
        <f t="shared" si="486"/>
        <v>79.826816817102141</v>
      </c>
      <c r="EP172" s="535">
        <v>0</v>
      </c>
      <c r="EQ172" s="535">
        <v>0</v>
      </c>
      <c r="ER172" s="535">
        <v>0</v>
      </c>
      <c r="ES172" s="521">
        <f t="shared" si="381"/>
        <v>-1.1093141212661268</v>
      </c>
      <c r="ET172" s="535">
        <f>-(VLOOKUP(Sheet1!BQ170,Lookup!$O$4:$Q$262,2)-VLOOKUP(Sheet1!BQ169,Lookup!$O$4:$Q$262,2))/1000000</f>
        <v>-0.55456728700447833</v>
      </c>
      <c r="EU172" s="535">
        <f>-(VLOOKUP(Sheet1!BR170,Lookup!$O$4:$Q$262,3)-VLOOKUP(Sheet1!BR169,Lookup!$O$4:$Q$262,3))/1000000</f>
        <v>-0.55474683426164839</v>
      </c>
      <c r="EV172" s="535"/>
      <c r="EW172" s="535"/>
      <c r="EX172" s="535"/>
      <c r="EY172" s="535">
        <f>DR172+(DJ172*1.547)</f>
        <v>-59.152992994216149</v>
      </c>
      <c r="EZ172" s="535">
        <f t="shared" si="435"/>
        <v>-38.237228826254785</v>
      </c>
      <c r="FA172" s="535"/>
      <c r="FB172" s="535"/>
      <c r="FC172" s="535"/>
      <c r="FD172" s="567" t="e">
        <f t="shared" si="487"/>
        <v>#N/A</v>
      </c>
      <c r="FE172" s="567" t="e">
        <f t="shared" si="488"/>
        <v>#N/A</v>
      </c>
      <c r="FF172" s="568" t="e">
        <f t="shared" si="489"/>
        <v>#N/A</v>
      </c>
      <c r="FG172" s="569" t="s">
        <v>656</v>
      </c>
      <c r="FH172" s="569" t="s">
        <v>656</v>
      </c>
      <c r="FI172" s="567" t="e">
        <v>#N/A</v>
      </c>
      <c r="FJ172" s="567" t="e">
        <v>#N/A</v>
      </c>
      <c r="FK172" s="535">
        <v>24600</v>
      </c>
      <c r="FL172" s="1015">
        <v>0</v>
      </c>
      <c r="FM172" s="535"/>
      <c r="FN172" s="535"/>
      <c r="FO172" s="535">
        <f>O172+((Sheet1!CS170)*GPMtoMGD)</f>
        <v>65.196063999999993</v>
      </c>
      <c r="FP172" s="535">
        <f>IF(Sheet1!AA170+AQ172&lt;=Calculation!N172,AQ172,Calculation!N172-Sheet1!AA170)</f>
        <v>16.36104513064133</v>
      </c>
      <c r="FQ172" s="535">
        <f>(Sheet1!BP170+Sheet1!BO170)/694.4</f>
        <v>2.1143433179723505</v>
      </c>
      <c r="FR172" s="541"/>
      <c r="FS172" s="541"/>
      <c r="FT172" s="541"/>
      <c r="FU172" s="541"/>
      <c r="FV172" s="1109">
        <f t="shared" si="382"/>
        <v>42918</v>
      </c>
      <c r="FW172" s="1109">
        <f t="shared" si="383"/>
        <v>43027</v>
      </c>
      <c r="FX172" s="541"/>
      <c r="FY172" s="541">
        <f>Sheet1!DA170-Sheet1!CZ170-Sheet1!AE170</f>
        <v>165.56119999999999</v>
      </c>
      <c r="FZ172" s="535">
        <f t="shared" si="420"/>
        <v>0.19213863357169123</v>
      </c>
      <c r="GA172" s="535"/>
      <c r="GB172" s="535" t="str">
        <f t="shared" si="384"/>
        <v>n</v>
      </c>
      <c r="GC172" s="539">
        <f t="shared" si="385"/>
        <v>42782</v>
      </c>
      <c r="GD172" s="1109">
        <f t="shared" si="386"/>
        <v>42904</v>
      </c>
      <c r="GE172" s="535">
        <f t="shared" si="404"/>
        <v>6520</v>
      </c>
      <c r="GF172" s="1109">
        <f t="shared" si="387"/>
        <v>42909</v>
      </c>
      <c r="GG172" s="535">
        <f t="shared" si="432"/>
        <v>3260</v>
      </c>
      <c r="GH172" s="539">
        <f t="shared" si="388"/>
        <v>43040</v>
      </c>
      <c r="GJ172" s="521">
        <f t="shared" si="389"/>
        <v>37.995808920559512</v>
      </c>
      <c r="GK172" s="535" t="str">
        <f t="shared" si="490"/>
        <v>PP</v>
      </c>
      <c r="GL172" s="535">
        <f t="shared" si="390"/>
        <v>26.933333333333334</v>
      </c>
      <c r="GM172" s="535" t="str">
        <f t="shared" si="391"/>
        <v/>
      </c>
      <c r="GN172" s="535">
        <f>IF(GK172="P",Lookup!$M$12,IF(GK172="PP",Lookup!$M$13,IF(GK172="PPP",Lookup!$M$14,IF(GK172="T",Lookup!$M$15,IF(GK172="TP",Lookup!$M$16,IF(GK172="TPP",Lookup!$M$17,IF(GK172="TPPP",Lookup!$M$18,0)))))))*GJ172</f>
        <v>0</v>
      </c>
      <c r="GO172" s="535">
        <f t="shared" si="392"/>
        <v>0</v>
      </c>
      <c r="GP172" s="535">
        <f>GQ172*MGtoAF</f>
        <v>8334.7333333333336</v>
      </c>
      <c r="GQ172" s="535">
        <f t="shared" si="433"/>
        <v>2716.666666666667</v>
      </c>
      <c r="GR172" s="535"/>
      <c r="GS172" s="535">
        <f t="shared" si="393"/>
        <v>11.062475587226182</v>
      </c>
      <c r="GT172" s="535" t="str">
        <f t="shared" si="394"/>
        <v/>
      </c>
      <c r="GU172" s="535">
        <f>IF(GK172="P",Lookup!$N$12,IF(GK172="PP",Lookup!$N$13,IF(GK172="PPP",Lookup!$N$14,IF(GK172="T",Lookup!$N$15,IF(GK172="TP",Lookup!$N$16,IF(GK172="TPP",Lookup!$N$17,IF(GK172="TPPP",Lookup!$N$18,0)))))))*GJ172</f>
        <v>18.997904460279756</v>
      </c>
      <c r="GV172" s="535">
        <f t="shared" si="395"/>
        <v>0</v>
      </c>
      <c r="GW172" s="535">
        <f t="shared" si="492"/>
        <v>3889.5422222222223</v>
      </c>
      <c r="GX172" s="535">
        <f t="shared" si="400"/>
        <v>1267.7777777777778</v>
      </c>
      <c r="GY172" s="535"/>
      <c r="GZ172" s="535">
        <f t="shared" si="396"/>
        <v>0</v>
      </c>
      <c r="HA172" s="535" t="str">
        <f t="shared" si="397"/>
        <v>P</v>
      </c>
      <c r="HB172" s="535">
        <f>IF(GK172="P",Lookup!$N$12,IF(GK172="PP",Lookup!$N$13,IF(GK172="PPP",Lookup!$N$14,IF(GK172="T",Lookup!$N$15,IF(GK172="TP",Lookup!$N$16,IF(GK172="TPP",Lookup!$N$17,IF(GK172="TPPP",Lookup!$N$18,0)))))))*GJ172</f>
        <v>18.997904460279756</v>
      </c>
      <c r="HC172" s="521">
        <f t="shared" si="493"/>
        <v>18.997904460279756</v>
      </c>
      <c r="HD172" s="535">
        <f t="shared" si="494"/>
        <v>3820.26416805179</v>
      </c>
      <c r="HE172" s="535">
        <f t="shared" si="401"/>
        <v>1245.1969257013657</v>
      </c>
      <c r="HF172" s="535"/>
      <c r="HG172" s="535">
        <f t="shared" si="398"/>
        <v>0</v>
      </c>
      <c r="HH172" s="535" t="str">
        <f t="shared" si="399"/>
        <v>P</v>
      </c>
      <c r="HI172" s="535">
        <f>IF(GK172="P",Lookup!$N$12,IF(GK172="PP",Lookup!$N$13,IF(GK172="PPP",Lookup!$N$14,IF(GK172="T",Lookup!$N$15,IF(GK172="TP",Lookup!$N$16,IF(GK172="TPP",Lookup!$N$17,IF(GK172="TPPP",Lookup!$N$18,0)))))))*GJ172</f>
        <v>18.997904460279756</v>
      </c>
      <c r="HJ172" s="521">
        <f t="shared" si="495"/>
        <v>18.997904460279756</v>
      </c>
      <c r="HK172" s="535">
        <f t="shared" si="496"/>
        <v>2708.646079275029</v>
      </c>
      <c r="HL172" s="535">
        <f t="shared" si="402"/>
        <v>882.87029963332111</v>
      </c>
      <c r="HM172" s="535"/>
      <c r="HN172" s="541"/>
      <c r="HO172" s="541"/>
      <c r="HP172" s="541"/>
      <c r="HQ172" s="541">
        <f>IF(AND(B172&gt;=$FV$4,B172&lt;=$FW$4),MAX(110/1.02+$HQ$6+MIN(113/1.02,G172),IF($HV$6-(Sheet1!DA170-Sheet1!DB170)+MIN(113/1.02,G172)&lt;G172+FL172,$HV$6-(Sheet1!DA170-Sheet1!DB170)+MIN(113/1.02,G172),G172+FL172)),MIN(110/1.02+$HQ$6+113/1.02,G172))</f>
        <v>218.62745098039215</v>
      </c>
      <c r="HR172" s="541">
        <f t="shared" si="421"/>
        <v>223</v>
      </c>
      <c r="HS172" s="541">
        <f>HR172+(Sheet1!DA170-Sheet1!DB170)</f>
        <v>538</v>
      </c>
      <c r="HT172" s="541">
        <f t="shared" si="422"/>
        <v>73.21951</v>
      </c>
      <c r="HU172" s="541">
        <f t="shared" si="423"/>
        <v>464.78048999999999</v>
      </c>
      <c r="HV172" s="541">
        <f t="shared" si="424"/>
        <v>0</v>
      </c>
      <c r="HW172" s="541" t="str">
        <f t="shared" si="425"/>
        <v/>
      </c>
      <c r="HX172" s="541">
        <f t="shared" si="426"/>
        <v>722.37254901960785</v>
      </c>
      <c r="HY172" s="541">
        <f>Sheet1!CZ170</f>
        <v>941</v>
      </c>
      <c r="HZ172" s="541">
        <f t="shared" si="427"/>
        <v>0</v>
      </c>
      <c r="IA172" s="541">
        <f t="shared" si="428"/>
        <v>73.21951</v>
      </c>
      <c r="IB172" s="541">
        <f t="shared" si="429"/>
        <v>941</v>
      </c>
      <c r="IC172" s="1019" t="str">
        <f t="shared" si="430"/>
        <v/>
      </c>
      <c r="ID172" s="541">
        <f t="shared" si="431"/>
        <v>867.78048999999999</v>
      </c>
      <c r="IE172" s="541">
        <f>Sheet1!DB170</f>
        <v>885</v>
      </c>
      <c r="IF172" s="533">
        <f>Sheet1!DA170</f>
        <v>1200</v>
      </c>
      <c r="IH172" s="541">
        <f>IF(AND($B172&gt;=$GC172,$B172&lt;=$GH172,$DR172&lt;0)+N("only adjusted when pool is drawn down during storage season"),Sheet1!$DB170+$DR172+N("Palmer minus all storage release"),Sheet1!$DB170)</f>
        <v>805.67574382288603</v>
      </c>
      <c r="II172" s="541">
        <f>IF(AND($B172&gt;=$GC172,$B172&lt;=$GH172,$DR172&lt;0)+N("only adjusted when pool is drawn down during storage season"),Sheet1!$DA170+$DR172+N("Auburn minus all storage release"),Sheet1!$DA170)</f>
        <v>1120.675743822886</v>
      </c>
    </row>
    <row r="173" spans="1:243" x14ac:dyDescent="0.25">
      <c r="A173" s="553" t="s">
        <v>3</v>
      </c>
      <c r="B173" s="531">
        <v>42897</v>
      </c>
      <c r="C173" s="536">
        <v>0</v>
      </c>
      <c r="D173" s="506">
        <f t="shared" si="371"/>
        <v>300</v>
      </c>
      <c r="E173" s="506">
        <f t="shared" si="372"/>
        <v>250</v>
      </c>
      <c r="F173" s="506">
        <v>250</v>
      </c>
      <c r="G173" s="535">
        <f>DR173+Sheet1!CZ171</f>
        <v>640.97175995913165</v>
      </c>
      <c r="H173" s="1074">
        <f t="shared" si="405"/>
        <v>246.54378595758268</v>
      </c>
      <c r="I173" s="534">
        <f>IF(Sheet1!DA171&gt;=E173,(Sheet1!DA171-E173+P173)*CFStoMGD,0)</f>
        <v>530.33164032000002</v>
      </c>
      <c r="J173" s="995">
        <f>IF(Sheet1!DB171&gt;=D173,(Sheet1!DB171-D173+P173)*CFStoMGD,0)</f>
        <v>290.51724031999998</v>
      </c>
      <c r="K173" s="818">
        <f t="shared" si="406"/>
        <v>64.64</v>
      </c>
      <c r="L173" s="535">
        <f>Sheet1!AA171+Sheet1!AB171-Sheet1!L171+(Sheet1!DA171-F173)*CFStoMGD-S173-T173-U173</f>
        <v>465.69280000000003</v>
      </c>
      <c r="M173" s="535">
        <f t="shared" si="436"/>
        <v>422.61062855033435</v>
      </c>
      <c r="N173" s="824">
        <f>IF(Sheet1!DA171&gt;=F173,MIN(113*CFStoMGD,MIN(MAX(L173,0),MAX(M173,0))),0)</f>
        <v>73.043199999999999</v>
      </c>
      <c r="O173" s="538">
        <f>Sheet1!AA171+Sheet1!AB171</f>
        <v>60.4</v>
      </c>
      <c r="P173" s="538">
        <f t="shared" si="437"/>
        <v>93.438799999999986</v>
      </c>
      <c r="Q173" s="812">
        <f t="shared" si="407"/>
        <v>47.158000000000001</v>
      </c>
      <c r="R173" s="812">
        <f t="shared" si="373"/>
        <v>13.498190139380071</v>
      </c>
      <c r="S173" s="812">
        <f t="shared" si="374"/>
        <v>13.241999999999999</v>
      </c>
      <c r="T173" s="812">
        <f t="shared" si="375"/>
        <v>51.398000000000003</v>
      </c>
      <c r="U173" s="812">
        <f t="shared" si="408"/>
        <v>0</v>
      </c>
      <c r="V173" s="812"/>
      <c r="W173" s="812">
        <f t="shared" si="376"/>
        <v>51.141809860619929</v>
      </c>
      <c r="X173" s="812">
        <f t="shared" si="377"/>
        <v>64.64</v>
      </c>
      <c r="Y173" s="812" t="str">
        <f t="shared" si="378"/>
        <v>FALSE</v>
      </c>
      <c r="Z173" s="812">
        <f t="shared" si="379"/>
        <v>60.4</v>
      </c>
      <c r="AA173" s="812">
        <f t="shared" si="380"/>
        <v>60.4</v>
      </c>
      <c r="AB173" s="1059">
        <f t="shared" si="409"/>
        <v>72.953425999999993</v>
      </c>
      <c r="AC173" s="538">
        <f>Sheet1!Y171*MGDtoCFS</f>
        <v>47.957000000000001</v>
      </c>
      <c r="AD173" s="538">
        <f>Sheet1!Z171*MGDtoCFS</f>
        <v>47.415549999999996</v>
      </c>
      <c r="AE173" s="538">
        <f>Sheet1!AA171*MGDtoCFS</f>
        <v>47.957000000000001</v>
      </c>
      <c r="AF173" s="538">
        <f>Sheet1!AB171*MGDtoCFS</f>
        <v>45.481799999999993</v>
      </c>
      <c r="AG173" s="538">
        <f>Sheet1!L171*MGDtoCFS</f>
        <v>0</v>
      </c>
      <c r="AH173" s="521">
        <f t="shared" si="438"/>
        <v>0</v>
      </c>
      <c r="AI173" s="1059">
        <f t="shared" si="439"/>
        <v>0</v>
      </c>
      <c r="AJ173" s="535">
        <f t="shared" si="440"/>
        <v>51.141809860619929</v>
      </c>
      <c r="AK173" s="535">
        <f t="shared" si="441"/>
        <v>79.116379854379034</v>
      </c>
      <c r="AL173" s="535">
        <f>(VLOOKUP(Sheet1!DC171,hhdcap_wcm,4)-(((VLOOKUP(Sheet1!DC171,hhdcap_wcm,3)-Sheet1!DC171)/(VLOOKUP(Sheet1!DC171,hhdcap_wcm,3)-VLOOKUP(Sheet1!DC171,hhdcap_wcm,1)))*(VLOOKUP(Sheet1!DC171,hhdcap_wcm,4)-VLOOKUP(Sheet1!DC171,hhdcap_wcm,2))))</f>
        <v>48840.600000116887</v>
      </c>
      <c r="AM173" s="535">
        <f t="shared" si="442"/>
        <v>-134.90000000104192</v>
      </c>
      <c r="AN173" s="1035">
        <f t="shared" si="443"/>
        <v>6205.2322361764436</v>
      </c>
      <c r="AO173" s="535">
        <f t="shared" si="444"/>
        <v>19037.652500589331</v>
      </c>
      <c r="AP173" s="535">
        <f>Sheet1!BA171+Sheet1!BB171+Sheet1!BN171+CD173</f>
        <v>15.6</v>
      </c>
      <c r="AQ173" s="535">
        <f>Sheet1!BN171+(DO173*Sheet1!BN171)</f>
        <v>15.901809860619929</v>
      </c>
      <c r="AR173" s="535">
        <f>Sheet1!BA171+CD173</f>
        <v>0</v>
      </c>
      <c r="AS173" s="535">
        <f>Sheet1!BA171+Sheet1!BB171+CD173</f>
        <v>0</v>
      </c>
      <c r="AT173" s="649">
        <f>0</f>
        <v>0</v>
      </c>
      <c r="AU173" s="535">
        <f>BA173+Sheet1!EH171</f>
        <v>0</v>
      </c>
      <c r="AV173" s="535">
        <f>IF(OR(B173&gt;=GD173,B173&lt;GC173),0,15/36*K173-MAX(0,64.6-(137.6-(Sheet1!AA171+Sheet1!AB171))))</f>
        <v>26.933333333333334</v>
      </c>
      <c r="AW173" s="1029"/>
      <c r="AX173" s="649"/>
      <c r="AY173" s="649">
        <f t="shared" si="410"/>
        <v>0</v>
      </c>
      <c r="AZ173" s="649">
        <f t="shared" si="411"/>
        <v>0</v>
      </c>
      <c r="BA173" s="1059">
        <f t="shared" si="412"/>
        <v>0</v>
      </c>
      <c r="BB173" s="1019">
        <f t="shared" si="445"/>
        <v>2716.666666666667</v>
      </c>
      <c r="BC173" s="1041">
        <f t="shared" si="413"/>
        <v>26.933333333333334</v>
      </c>
      <c r="BD173" s="1019">
        <f ca="1">IF(B173&gt;Summary!$A$1,#N/A,BB173*MGtoAF)</f>
        <v>8334.7333333333336</v>
      </c>
      <c r="BE173" s="535">
        <f>Sheet1!BG171+Sheet1!BH171+Sheet1!BI171-BM173</f>
        <v>1.51</v>
      </c>
      <c r="BF173" s="535">
        <f t="shared" si="446"/>
        <v>1.5392136467651343</v>
      </c>
      <c r="BG173" s="535">
        <f>IF(Sheet1!EP171="FM",BM173,0)</f>
        <v>0</v>
      </c>
      <c r="BH173" s="535">
        <f t="shared" si="447"/>
        <v>0</v>
      </c>
      <c r="BI173" s="535">
        <f>IF(Sheet1!EP171="OTHER",BM173,0)</f>
        <v>0</v>
      </c>
      <c r="BJ173" s="535">
        <f t="shared" si="448"/>
        <v>0</v>
      </c>
      <c r="BK173" s="535">
        <f t="shared" si="449"/>
        <v>1.51</v>
      </c>
      <c r="BL173" s="535">
        <f t="shared" si="450"/>
        <v>1.5392136467651343</v>
      </c>
      <c r="BM173" s="535">
        <f>IF(OR(Sheet1!EP171="FM", Sheet1!EP171="OTHER"),SUM(Sheet1!BG171:'Sheet1'!BI171),0)</f>
        <v>0</v>
      </c>
      <c r="BN173" s="521">
        <f>IF(AND($B173&gt;=$FV173,$B173&lt;=$FW173),MAX(BF173,Sheet1!EI171,0),MAX(BF173-(7/36)*$K173,0))</f>
        <v>0</v>
      </c>
      <c r="BO173" s="535">
        <f t="shared" si="451"/>
        <v>11.029675242123755</v>
      </c>
      <c r="BP173" s="521">
        <f t="shared" si="452"/>
        <v>1.5392136467651343</v>
      </c>
      <c r="BQ173" s="521">
        <f>IF(AND($O173&gt;0,Sheet1!EM171=1),(1-($O173-Sheet1!$L171)/$O173)*BL173,0)</f>
        <v>0</v>
      </c>
      <c r="BR173" s="521">
        <f>IF(AND(Sheet1!$L171=0,Sheet1!$L170=0, Calculation!BK173&lt;Sheet1!$EI171-0.1,Sheet1!$EI171=Sheet1!$EI170,Sheet1!$EI171=Sheet1!$EI172),BL173-BQ173,BL173-BQ173)</f>
        <v>1.5392136467651343</v>
      </c>
      <c r="BS173" s="1035" t="str">
        <f t="shared" si="414"/>
        <v/>
      </c>
      <c r="BT173" s="1035">
        <f t="shared" si="415"/>
        <v>12.568888888888889</v>
      </c>
      <c r="BU173" s="535">
        <f t="shared" si="453"/>
        <v>1267.7777777777778</v>
      </c>
      <c r="BV173" s="535"/>
      <c r="BW173" s="535">
        <f ca="1">IF(B173&gt;Summary!$A$1,#N/A,BU173*MGtoAF)</f>
        <v>3889.5422222222223</v>
      </c>
      <c r="BX173" s="535">
        <f>Sheet1!BC171+Sheet1!BD171+Sheet1!BE171+Sheet1!BF171-CG173-CH173</f>
        <v>3.5019999999999998</v>
      </c>
      <c r="BY173" s="535">
        <f t="shared" si="454"/>
        <v>3.5697524443519866</v>
      </c>
      <c r="BZ173" s="535">
        <f>IF(Sheet1!EQ171="FM",CH173,0)</f>
        <v>0</v>
      </c>
      <c r="CA173" s="535">
        <f t="shared" si="455"/>
        <v>0</v>
      </c>
      <c r="CB173" s="535">
        <f>IF(Sheet1!EQ171="OTHER",CH173,0)</f>
        <v>0</v>
      </c>
      <c r="CC173" s="535">
        <f t="shared" si="456"/>
        <v>0</v>
      </c>
      <c r="CD173" s="535">
        <f t="shared" si="457"/>
        <v>0</v>
      </c>
      <c r="CE173" s="535">
        <f t="shared" si="458"/>
        <v>3.5019999999999998</v>
      </c>
      <c r="CF173" s="535">
        <f t="shared" si="459"/>
        <v>3.5697524443519866</v>
      </c>
      <c r="CG173" s="535">
        <f>IF(Sheet1!EQ171="CWA",SUM(Sheet1!BC171:'Sheet1'!BF171),0)</f>
        <v>0</v>
      </c>
      <c r="CH173" s="535">
        <f>IF(OR(Sheet1!EQ171="FM", Sheet1!EQ171="OTHER"),SUM(Sheet1!BC171:'Sheet1'!BF171),0)</f>
        <v>0</v>
      </c>
      <c r="CI173" s="521">
        <f>IF(AND($B173&gt;=$FV173,$B173&lt;=$FW173),MAX(CF173,Sheet1!EJ171,0),MAX(CF173-(7/36)*$K173,0))</f>
        <v>0</v>
      </c>
      <c r="CJ173" s="535">
        <f t="shared" si="460"/>
        <v>8.9991364445369015</v>
      </c>
      <c r="CK173" s="521">
        <f t="shared" si="461"/>
        <v>3.5697524443519866</v>
      </c>
      <c r="CL173" s="521">
        <f>IF(AND($O173&gt;0,Sheet1!EN171=1),(1-($O173-Sheet1!$L171)/$O173)*CF173,0)</f>
        <v>0</v>
      </c>
      <c r="CM173" s="521">
        <f>IF(AND(Sheet1!$L171=0,Sheet1!$L170=0, Calculation!CE173&lt;Sheet1!EJ171-0.1,Sheet1!EJ171=Sheet1!EJ170,Sheet1!EJ171=Sheet1!EJ172),CF173-CL173,CF173-CL173)</f>
        <v>3.5697524443519866</v>
      </c>
      <c r="CN173" s="1040" t="str">
        <f t="shared" si="416"/>
        <v/>
      </c>
      <c r="CO173" s="1035">
        <f t="shared" si="417"/>
        <v>12.568888888888889</v>
      </c>
      <c r="CP173" s="535">
        <f t="shared" si="462"/>
        <v>1267.7777777777778</v>
      </c>
      <c r="CQ173" s="535"/>
      <c r="CR173" s="535">
        <f ca="1">IF(B173&gt;Summary!$A$1,#N/A,CP173*MGtoAF)</f>
        <v>3889.5422222222223</v>
      </c>
      <c r="CS173" s="535">
        <f>Sheet1!BK171+Sheet1!BL171+Sheet1!BM171-Sheet1!ER171-DA173</f>
        <v>8.23</v>
      </c>
      <c r="CT173" s="535">
        <f t="shared" si="463"/>
        <v>8.3892240482629497</v>
      </c>
      <c r="CU173" s="535">
        <f>IF(Sheet1!ER171="FM",DA173,0)</f>
        <v>0</v>
      </c>
      <c r="CV173" s="535">
        <f t="shared" si="464"/>
        <v>0</v>
      </c>
      <c r="CW173" s="535">
        <f>IF(Sheet1!ER171="OTHER",DA173,0)</f>
        <v>0</v>
      </c>
      <c r="CX173" s="535">
        <f t="shared" si="465"/>
        <v>0</v>
      </c>
      <c r="CY173" s="535">
        <f t="shared" si="466"/>
        <v>8.23</v>
      </c>
      <c r="CZ173" s="535">
        <f t="shared" si="467"/>
        <v>8.3892240482629497</v>
      </c>
      <c r="DA173" s="535">
        <f>IF(OR(Sheet1!ER171="FM", Sheet1!ER171="OTHER"),SUM(Sheet1!BK171:'Sheet1'!BM171),0)</f>
        <v>0</v>
      </c>
      <c r="DB173" s="1011">
        <f>IF(AND($B173&gt;=$FV173,$B173&lt;=$FW173),MAX($CT173,Sheet1!EK171,0),MAX($CT173-(7/36)*$K173,0))</f>
        <v>0</v>
      </c>
      <c r="DC173" s="1012">
        <f t="shared" si="468"/>
        <v>4.1796648406259393</v>
      </c>
      <c r="DD173" s="1011">
        <f t="shared" si="469"/>
        <v>8.3892240482629497</v>
      </c>
      <c r="DE173" s="521">
        <f>IF(AND($O173&gt;0,Sheet1!EO171=1),(1-($O173-Sheet1!$L171)/$O173)*CZ173,0)</f>
        <v>0</v>
      </c>
      <c r="DF173" s="521">
        <f>IF(AND(Sheet1!$L171=0,Sheet1!$L170=0, Calculation!CY173&lt;Sheet1!$EK171-0.1,Sheet1!$EK171=Sheet1!$EK170,Sheet1!$EK171=Sheet1!$EK172),CZ173-DE173,CZ173-DE173)</f>
        <v>8.3892240482629497</v>
      </c>
      <c r="DG173" s="1040">
        <f t="shared" si="418"/>
        <v>12.568888888888889</v>
      </c>
      <c r="DH173" s="649">
        <f t="shared" si="470"/>
        <v>13.242000000000001</v>
      </c>
      <c r="DI173" s="535">
        <f t="shared" si="471"/>
        <v>953.01001395422077</v>
      </c>
      <c r="DJ173" s="649">
        <f t="shared" si="472"/>
        <v>13.498190139380071</v>
      </c>
      <c r="DK173" s="535">
        <f ca="1">IF(B173&gt;Summary!$A$1,#N/A,DI173*MGtoAF)</f>
        <v>2923.8347228115495</v>
      </c>
      <c r="DL173" s="649">
        <f t="shared" si="473"/>
        <v>13.241999999999999</v>
      </c>
      <c r="DM173" s="535">
        <f t="shared" si="474"/>
        <v>28.841999999999999</v>
      </c>
      <c r="DN173" s="535">
        <f>Sheet1!AB171-DM173</f>
        <v>0.55799999999999983</v>
      </c>
      <c r="DO173" s="743">
        <f t="shared" si="475"/>
        <v>1.9346785937174947E-2</v>
      </c>
      <c r="DP173" s="535">
        <f>(VLOOKUP(Sheet1!DC171,hhdcap_wcm,4)-(((VLOOKUP(Sheet1!DC171,hhdcap_wcm,3)-Sheet1!DC171)/(VLOOKUP(Sheet1!DC171,hhdcap_wcm,3)-VLOOKUP(Sheet1!DC171,hhdcap_wcm,1)))*(VLOOKUP(Sheet1!DC171,hhdcap_wcm,4)-VLOOKUP(Sheet1!DC171,hhdcap_wcm,2))))</f>
        <v>48840.600000116887</v>
      </c>
      <c r="DQ173" s="535">
        <f t="shared" si="476"/>
        <v>-134.90000000104192</v>
      </c>
      <c r="DR173" s="535">
        <f t="shared" si="477"/>
        <v>-68.028240040868326</v>
      </c>
      <c r="DS173" s="535">
        <f>Sheet1!EA171*AFtoMG</f>
        <v>0</v>
      </c>
      <c r="DT173" s="535">
        <f>Sheet1!EB171*AFtoMG</f>
        <v>0</v>
      </c>
      <c r="DU173" s="535">
        <f>Sheet1!EC171*AFtoMG</f>
        <v>0</v>
      </c>
      <c r="DV173" s="535">
        <f>Sheet1!ED171*AFtoMG</f>
        <v>0</v>
      </c>
      <c r="DW173" s="535">
        <f t="shared" si="478"/>
        <v>0</v>
      </c>
      <c r="DX173" s="535">
        <f t="shared" si="479"/>
        <v>0</v>
      </c>
      <c r="DY173" s="535">
        <f t="shared" si="480"/>
        <v>6205.2322361764436</v>
      </c>
      <c r="DZ173" s="535">
        <f t="shared" si="481"/>
        <v>19037.652500589331</v>
      </c>
      <c r="EA173" s="535"/>
      <c r="EB173" s="521">
        <f>IF(OR(B173&lt;FV173,B173&gt;FW173),(MIN(BF173+BY173+CT173+MAX(Sheet1!AA171+AQ173-73,0),K173)),0)</f>
        <v>13.498190139380071</v>
      </c>
      <c r="EC173" s="535"/>
      <c r="ED173" s="535">
        <f t="shared" si="482"/>
        <v>13.498190139380071</v>
      </c>
      <c r="EE173" s="535"/>
      <c r="EF173" s="535">
        <f>Sheet1!EH171+Sheet1!EI171+Sheet1!EJ171+Sheet1!EK171</f>
        <v>14.5</v>
      </c>
      <c r="EG173" s="1019">
        <f t="shared" si="419"/>
        <v>22.4315</v>
      </c>
      <c r="EH173" s="521">
        <f t="shared" si="483"/>
        <v>0</v>
      </c>
      <c r="EI173" s="535">
        <f>IF(Sheet1!ET171=1,SUM('Calculations II'!AT173:BA173)+'Calculations II'!BC173+Sheet1!BV171+'Calculations II'!BE173+AP173,'Calculations II'!BK173)</f>
        <v>58.666759860619933</v>
      </c>
      <c r="EJ173" s="535">
        <f ca="1">EI173+'Calculations II'!D173+'Calculations II'!E173+'Calculations II'!O173</f>
        <v>51.178580766741014</v>
      </c>
      <c r="EK173" s="535"/>
      <c r="EL173" s="535"/>
      <c r="EM173" s="535">
        <f t="shared" si="484"/>
        <v>42897</v>
      </c>
      <c r="EN173" s="535">
        <f t="shared" si="485"/>
        <v>51.141809860619929</v>
      </c>
      <c r="EO173" s="535">
        <f t="shared" si="486"/>
        <v>79.116379854379034</v>
      </c>
      <c r="EP173" s="535">
        <v>0</v>
      </c>
      <c r="EQ173" s="535">
        <v>0</v>
      </c>
      <c r="ER173" s="535">
        <v>0</v>
      </c>
      <c r="ES173" s="521">
        <f t="shared" si="381"/>
        <v>7.2068745705946906</v>
      </c>
      <c r="ET173" s="535">
        <f>-(VLOOKUP(Sheet1!BQ171,Lookup!$O$4:$Q$262,2)-VLOOKUP(Sheet1!BQ170,Lookup!$O$4:$Q$262,2))/1000000</f>
        <v>3.6028539046593493</v>
      </c>
      <c r="EU173" s="535">
        <f>-(VLOOKUP(Sheet1!BR171,Lookup!$O$4:$Q$262,3)-VLOOKUP(Sheet1!BR170,Lookup!$O$4:$Q$262,3))/1000000</f>
        <v>3.6040206659353413</v>
      </c>
      <c r="EV173" s="535"/>
      <c r="EW173" s="535"/>
      <c r="EX173" s="535"/>
      <c r="EY173" s="535">
        <f t="shared" si="434"/>
        <v>-47.146539895247358</v>
      </c>
      <c r="EZ173" s="535">
        <f t="shared" si="435"/>
        <v>-30.476108529571661</v>
      </c>
      <c r="FA173" s="535"/>
      <c r="FB173" s="535"/>
      <c r="FC173" s="535"/>
      <c r="FD173" s="567" t="e">
        <f t="shared" si="487"/>
        <v>#N/A</v>
      </c>
      <c r="FE173" s="567" t="e">
        <f t="shared" si="488"/>
        <v>#N/A</v>
      </c>
      <c r="FF173" s="568" t="e">
        <f t="shared" si="489"/>
        <v>#N/A</v>
      </c>
      <c r="FG173" s="569" t="s">
        <v>656</v>
      </c>
      <c r="FH173" s="569" t="s">
        <v>656</v>
      </c>
      <c r="FI173" s="567" t="e">
        <v>#N/A</v>
      </c>
      <c r="FJ173" s="567" t="e">
        <v>#N/A</v>
      </c>
      <c r="FK173" s="535">
        <v>24550</v>
      </c>
      <c r="FL173" s="1015">
        <v>0</v>
      </c>
      <c r="FM173" s="535"/>
      <c r="FN173" s="535"/>
      <c r="FO173" s="535">
        <f>O173+((Sheet1!CS171)*GPMtoMGD)</f>
        <v>65.187280000000001</v>
      </c>
      <c r="FP173" s="535">
        <f>IF(Sheet1!AA171+AQ173&lt;=Calculation!N173,AQ173,Calculation!N173-Sheet1!AA171)</f>
        <v>15.901809860619929</v>
      </c>
      <c r="FQ173" s="535">
        <f>(Sheet1!BP171+Sheet1!BO171)/694.4</f>
        <v>2.7091013824884795</v>
      </c>
      <c r="FR173" s="541"/>
      <c r="FS173" s="541"/>
      <c r="FT173" s="541"/>
      <c r="FU173" s="541"/>
      <c r="FV173" s="1109">
        <f t="shared" si="382"/>
        <v>42918</v>
      </c>
      <c r="FW173" s="1109">
        <f t="shared" si="383"/>
        <v>43027</v>
      </c>
      <c r="FX173" s="541"/>
      <c r="FY173" s="541">
        <f>Sheet1!DA171-Sheet1!CZ171-Sheet1!AE171</f>
        <v>174.56119999999999</v>
      </c>
      <c r="FZ173" s="535">
        <f t="shared" si="420"/>
        <v>0.2723383632550832</v>
      </c>
      <c r="GA173" s="535"/>
      <c r="GB173" s="535" t="str">
        <f t="shared" si="384"/>
        <v>n</v>
      </c>
      <c r="GC173" s="539">
        <f t="shared" si="385"/>
        <v>42782</v>
      </c>
      <c r="GD173" s="1109">
        <f t="shared" si="386"/>
        <v>42904</v>
      </c>
      <c r="GE173" s="535">
        <f t="shared" si="404"/>
        <v>6520</v>
      </c>
      <c r="GF173" s="1109">
        <f t="shared" si="387"/>
        <v>42909</v>
      </c>
      <c r="GG173" s="535">
        <f t="shared" si="432"/>
        <v>3260</v>
      </c>
      <c r="GH173" s="539">
        <f t="shared" si="388"/>
        <v>43040</v>
      </c>
      <c r="GJ173" s="521">
        <f t="shared" si="389"/>
        <v>46.962145019993997</v>
      </c>
      <c r="GK173" s="535" t="str">
        <f t="shared" si="490"/>
        <v>P</v>
      </c>
      <c r="GL173" s="535">
        <f t="shared" si="390"/>
        <v>26.933333333333334</v>
      </c>
      <c r="GM173" s="535" t="str">
        <f t="shared" si="391"/>
        <v/>
      </c>
      <c r="GN173" s="535">
        <f>IF(GK173="P",Lookup!$M$12,IF(GK173="PP",Lookup!$M$13,IF(GK173="PPP",Lookup!$M$14,IF(GK173="T",Lookup!$M$15,IF(GK173="TP",Lookup!$M$16,IF(GK173="TPP",Lookup!$M$17,IF(GK173="TPPP",Lookup!$M$18,0)))))))*GJ173</f>
        <v>0</v>
      </c>
      <c r="GO173" s="535">
        <f t="shared" si="392"/>
        <v>0</v>
      </c>
      <c r="GP173" s="535">
        <f t="shared" si="491"/>
        <v>8334.7333333333336</v>
      </c>
      <c r="GQ173" s="535">
        <f t="shared" si="433"/>
        <v>2716.666666666667</v>
      </c>
      <c r="GR173" s="535"/>
      <c r="GS173" s="535">
        <f t="shared" si="393"/>
        <v>11.029675242123755</v>
      </c>
      <c r="GT173" s="535" t="str">
        <f t="shared" si="394"/>
        <v/>
      </c>
      <c r="GU173" s="535">
        <f>IF(GK173="P",Lookup!$N$12,IF(GK173="PP",Lookup!$N$13,IF(GK173="PPP",Lookup!$N$14,IF(GK173="T",Lookup!$N$15,IF(GK173="TP",Lookup!$N$16,IF(GK173="TPP",Lookup!$N$17,IF(GK173="TPPP",Lookup!$N$18,0)))))))*GJ173</f>
        <v>46.962145019993997</v>
      </c>
      <c r="GV173" s="535">
        <f t="shared" si="395"/>
        <v>0</v>
      </c>
      <c r="GW173" s="535">
        <f t="shared" si="492"/>
        <v>3889.5422222222223</v>
      </c>
      <c r="GX173" s="535">
        <f t="shared" si="400"/>
        <v>1267.7777777777778</v>
      </c>
      <c r="GY173" s="535"/>
      <c r="GZ173" s="535">
        <f t="shared" si="396"/>
        <v>8.9991364445369015</v>
      </c>
      <c r="HA173" s="535" t="str">
        <f t="shared" si="397"/>
        <v/>
      </c>
      <c r="HB173" s="535">
        <f>IF(GK173="P",Lookup!$N$12,IF(GK173="PP",Lookup!$N$13,IF(GK173="PPP",Lookup!$N$14,IF(GK173="T",Lookup!$N$15,IF(GK173="TP",Lookup!$N$16,IF(GK173="TPP",Lookup!$N$17,IF(GK173="TPPP",Lookup!$N$18,0)))))))*GJ173</f>
        <v>46.962145019993997</v>
      </c>
      <c r="HC173" s="521">
        <f t="shared" si="493"/>
        <v>0</v>
      </c>
      <c r="HD173" s="535">
        <f t="shared" si="494"/>
        <v>3889.5422222222223</v>
      </c>
      <c r="HE173" s="535">
        <f t="shared" si="401"/>
        <v>1267.7777777777778</v>
      </c>
      <c r="HF173" s="535"/>
      <c r="HG173" s="535">
        <f t="shared" si="398"/>
        <v>0</v>
      </c>
      <c r="HH173" s="535" t="str">
        <f t="shared" si="399"/>
        <v>P</v>
      </c>
      <c r="HI173" s="535">
        <f>IF(GK173="P",Lookup!$N$12,IF(GK173="PP",Lookup!$N$13,IF(GK173="PPP",Lookup!$N$14,IF(GK173="T",Lookup!$N$15,IF(GK173="TP",Lookup!$N$16,IF(GK173="TPP",Lookup!$N$17,IF(GK173="TPPP",Lookup!$N$18,0)))))))*GJ173</f>
        <v>46.962145019993997</v>
      </c>
      <c r="HJ173" s="521">
        <f t="shared" si="495"/>
        <v>46.962145019993997</v>
      </c>
      <c r="HK173" s="535">
        <f t="shared" si="496"/>
        <v>2779.7548618902078</v>
      </c>
      <c r="HL173" s="535">
        <f t="shared" si="402"/>
        <v>906.04786893422681</v>
      </c>
      <c r="HM173" s="535"/>
      <c r="HN173" s="541"/>
      <c r="HO173" s="541"/>
      <c r="HP173" s="541"/>
      <c r="HQ173" s="541">
        <f>IF(AND(B173&gt;=$FV$4,B173&lt;=$FW$4),MAX(110/1.02+$HQ$6+MIN(113/1.02,G173),IF($HV$6-(Sheet1!DA171-Sheet1!DB171)+MIN(113/1.02,G173)&lt;G173+FL173,$HV$6-(Sheet1!DA171-Sheet1!DB171)+MIN(113/1.02,G173),G173+FL173)),MIN(110/1.02+$HQ$6+113/1.02,G173))</f>
        <v>218.62745098039215</v>
      </c>
      <c r="HR173" s="541">
        <f t="shared" si="421"/>
        <v>223</v>
      </c>
      <c r="HS173" s="541">
        <f>HR173+(Sheet1!DA171-Sheet1!DB171)</f>
        <v>544</v>
      </c>
      <c r="HT173" s="541">
        <f t="shared" si="422"/>
        <v>72.953425999999993</v>
      </c>
      <c r="HU173" s="541">
        <f t="shared" si="423"/>
        <v>471.04657400000002</v>
      </c>
      <c r="HV173" s="541">
        <f t="shared" si="424"/>
        <v>0</v>
      </c>
      <c r="HW173" s="541" t="str">
        <f t="shared" si="425"/>
        <v/>
      </c>
      <c r="HX173" s="541">
        <f t="shared" si="426"/>
        <v>490.37254901960785</v>
      </c>
      <c r="HY173" s="541">
        <f>Sheet1!CZ171</f>
        <v>709</v>
      </c>
      <c r="HZ173" s="541">
        <f t="shared" si="427"/>
        <v>0</v>
      </c>
      <c r="IA173" s="541">
        <f t="shared" si="428"/>
        <v>72.953425999999993</v>
      </c>
      <c r="IB173" s="541">
        <f t="shared" si="429"/>
        <v>709</v>
      </c>
      <c r="IC173" s="1019" t="str">
        <f t="shared" si="430"/>
        <v/>
      </c>
      <c r="ID173" s="541">
        <f t="shared" si="431"/>
        <v>636.04657399999996</v>
      </c>
      <c r="IE173" s="541">
        <f>Sheet1!DB171</f>
        <v>656</v>
      </c>
      <c r="IF173" s="533">
        <f>Sheet1!DA171</f>
        <v>977</v>
      </c>
      <c r="IH173" s="541">
        <f>IF(AND($B173&gt;=$GC173,$B173&lt;=$GH173,$DR173&lt;0)+N("only adjusted when pool is drawn down during storage season"),Sheet1!$DB171+$DR173+N("Palmer minus all storage release"),Sheet1!$DB171)</f>
        <v>587.97175995913165</v>
      </c>
      <c r="II173" s="541">
        <f>IF(AND($B173&gt;=$GC173,$B173&lt;=$GH173,$DR173&lt;0)+N("only adjusted when pool is drawn down during storage season"),Sheet1!$DA171+$DR173+N("Auburn minus all storage release"),Sheet1!$DA171)</f>
        <v>908.97175995913165</v>
      </c>
    </row>
    <row r="174" spans="1:243" x14ac:dyDescent="0.25">
      <c r="A174" s="553" t="s">
        <v>4</v>
      </c>
      <c r="B174" s="531">
        <v>42898</v>
      </c>
      <c r="C174" s="536">
        <v>0</v>
      </c>
      <c r="D174" s="506">
        <f t="shared" si="371"/>
        <v>300</v>
      </c>
      <c r="E174" s="506">
        <f t="shared" si="372"/>
        <v>250</v>
      </c>
      <c r="F174" s="506">
        <v>250</v>
      </c>
      <c r="G174" s="535">
        <f>DR174+Sheet1!CZ172</f>
        <v>653.23449319266001</v>
      </c>
      <c r="H174" s="1074">
        <f t="shared" si="405"/>
        <v>221.84395641599997</v>
      </c>
      <c r="I174" s="534">
        <f>IF(Sheet1!DA172&gt;=E174,(Sheet1!DA172-E174+P174)*CFStoMGD,0)</f>
        <v>469.415156416</v>
      </c>
      <c r="J174" s="995">
        <f>IF(Sheet1!DB172&gt;=D174,(Sheet1!DB172-D174+P174)*CFStoMGD,0)</f>
        <v>221.84395641599997</v>
      </c>
      <c r="K174" s="818">
        <f t="shared" si="406"/>
        <v>64.64</v>
      </c>
      <c r="L174" s="535">
        <f>Sheet1!AA172+Sheet1!AB172-Sheet1!L172+(Sheet1!DA172-F174)*CFStoMGD-S174-T174-U174</f>
        <v>404.77639999999997</v>
      </c>
      <c r="M174" s="535">
        <f t="shared" si="436"/>
        <v>430.69579192773017</v>
      </c>
      <c r="N174" s="824">
        <f>IF(Sheet1!DA172&gt;=F174,MIN(113*CFStoMGD,MIN(MAX(L174,0),MAX(M174,0))),0)</f>
        <v>73.043199999999999</v>
      </c>
      <c r="O174" s="538">
        <f>Sheet1!AA172+Sheet1!AB172</f>
        <v>64.77</v>
      </c>
      <c r="P174" s="538">
        <f t="shared" si="437"/>
        <v>100.19918999999999</v>
      </c>
      <c r="Q174" s="812">
        <f t="shared" si="407"/>
        <v>51.129999999999995</v>
      </c>
      <c r="R174" s="812">
        <f t="shared" si="373"/>
        <v>13.828194361127773</v>
      </c>
      <c r="S174" s="812">
        <f t="shared" si="374"/>
        <v>13.64</v>
      </c>
      <c r="T174" s="812">
        <f t="shared" si="375"/>
        <v>51</v>
      </c>
      <c r="U174" s="812">
        <f t="shared" si="408"/>
        <v>0</v>
      </c>
      <c r="V174" s="812"/>
      <c r="W174" s="812">
        <f t="shared" si="376"/>
        <v>50.811805638872229</v>
      </c>
      <c r="X174" s="812">
        <f t="shared" si="377"/>
        <v>64.64</v>
      </c>
      <c r="Y174" s="812" t="str">
        <f t="shared" si="378"/>
        <v>FALSE</v>
      </c>
      <c r="Z174" s="812">
        <f t="shared" si="379"/>
        <v>64.77</v>
      </c>
      <c r="AA174" s="812">
        <f t="shared" si="380"/>
        <v>64.77</v>
      </c>
      <c r="AB174" s="1059">
        <f t="shared" si="409"/>
        <v>79.098109999999991</v>
      </c>
      <c r="AC174" s="538">
        <f>Sheet1!Y172*MGDtoCFS</f>
        <v>47.957000000000001</v>
      </c>
      <c r="AD174" s="538">
        <f>Sheet1!Z172*MGDtoCFS</f>
        <v>46.177950000000003</v>
      </c>
      <c r="AE174" s="538">
        <f>Sheet1!AA172*MGDtoCFS</f>
        <v>47.910589999999999</v>
      </c>
      <c r="AF174" s="538">
        <f>Sheet1!AB172*MGDtoCFS</f>
        <v>52.288599999999995</v>
      </c>
      <c r="AG174" s="538">
        <f>Sheet1!L172*MGDtoCFS</f>
        <v>0</v>
      </c>
      <c r="AH174" s="521">
        <f t="shared" si="438"/>
        <v>0</v>
      </c>
      <c r="AI174" s="1059">
        <f t="shared" si="439"/>
        <v>0</v>
      </c>
      <c r="AJ174" s="535">
        <f t="shared" si="440"/>
        <v>50.811805638872229</v>
      </c>
      <c r="AK174" s="535">
        <f t="shared" si="441"/>
        <v>78.605863323335342</v>
      </c>
      <c r="AL174" s="535">
        <f>(VLOOKUP(Sheet1!DC172,hhdcap_wcm,4)-(((VLOOKUP(Sheet1!DC172,hhdcap_wcm,3)-Sheet1!DC172)/(VLOOKUP(Sheet1!DC172,hhdcap_wcm,3)-VLOOKUP(Sheet1!DC172,hhdcap_wcm,1)))*(VLOOKUP(Sheet1!DC172,hhdcap_wcm,4)-VLOOKUP(Sheet1!DC172,hhdcap_wcm,2))))</f>
        <v>48930.300000117932</v>
      </c>
      <c r="AM174" s="535">
        <f t="shared" si="442"/>
        <v>89.700000001044828</v>
      </c>
      <c r="AN174" s="1035">
        <f>(IF(AND(B174&gt;=GC174,B174&lt;GF174),MIN(BB174+BU174+CP174+DI174,GE174),IF(B174=GF174,GG174,IF(AND(B174&gt;GF174,B174&lt;GH174),BB174+BU174+CP174+DI174,IF(B174&gt;=GH174,0,0)))))</f>
        <v>6256.0440418153157</v>
      </c>
      <c r="AO174" s="535">
        <f t="shared" si="444"/>
        <v>19193.543120289389</v>
      </c>
      <c r="AP174" s="535">
        <f>Sheet1!BA172+Sheet1!BB172+Sheet1!BN172+CD174</f>
        <v>19.7</v>
      </c>
      <c r="AQ174" s="535">
        <f>Sheet1!BN172+(DO174*Sheet1!BN172)</f>
        <v>19.971805638872222</v>
      </c>
      <c r="AR174" s="535">
        <f>Sheet1!BA172+CD174</f>
        <v>0</v>
      </c>
      <c r="AS174" s="535">
        <f>Sheet1!BA172+Sheet1!BB172+CD174</f>
        <v>0</v>
      </c>
      <c r="AT174" s="649">
        <f>0</f>
        <v>0</v>
      </c>
      <c r="AU174" s="974">
        <f>BA174+Sheet1!EH172</f>
        <v>0</v>
      </c>
      <c r="AV174" s="535">
        <f>IF(OR(B174&gt;=GD174,B174&lt;GC174),0,15/36*K174-MAX(0,64.6-(137.6-(Sheet1!AA172+Sheet1!AB172))))</f>
        <v>26.933333333333334</v>
      </c>
      <c r="AW174" s="1029"/>
      <c r="AX174" s="649"/>
      <c r="AY174" s="649">
        <f t="shared" si="410"/>
        <v>0</v>
      </c>
      <c r="AZ174" s="649">
        <f t="shared" si="411"/>
        <v>0</v>
      </c>
      <c r="BA174" s="1059">
        <f t="shared" si="412"/>
        <v>0</v>
      </c>
      <c r="BB174" s="1019">
        <f t="shared" si="445"/>
        <v>2716.666666666667</v>
      </c>
      <c r="BC174" s="1041">
        <f t="shared" si="413"/>
        <v>26.933333333333334</v>
      </c>
      <c r="BD174" s="1019">
        <f ca="1">IF(B174&gt;Summary!$A$1,#N/A,BB174*MGtoAF)</f>
        <v>8334.7333333333336</v>
      </c>
      <c r="BE174" s="535">
        <f>Sheet1!BG172+Sheet1!BH172+Sheet1!BI172-BM174</f>
        <v>1.87</v>
      </c>
      <c r="BF174" s="535">
        <f t="shared" si="446"/>
        <v>1.8958008398320334</v>
      </c>
      <c r="BG174" s="535">
        <f>IF(Sheet1!EP172="FM",BM174,0)</f>
        <v>0</v>
      </c>
      <c r="BH174" s="535">
        <f t="shared" si="447"/>
        <v>0</v>
      </c>
      <c r="BI174" s="535">
        <f>IF(Sheet1!EP172="OTHER",BM174,0)</f>
        <v>0</v>
      </c>
      <c r="BJ174" s="535">
        <f t="shared" si="448"/>
        <v>0</v>
      </c>
      <c r="BK174" s="535">
        <f t="shared" si="449"/>
        <v>1.87</v>
      </c>
      <c r="BL174" s="535">
        <f t="shared" si="450"/>
        <v>1.8958008398320334</v>
      </c>
      <c r="BM174" s="535">
        <f>IF(OR(Sheet1!EP172="FM", Sheet1!EP172="OTHER"),SUM(Sheet1!BG172:'Sheet1'!BI172),0)</f>
        <v>0</v>
      </c>
      <c r="BN174" s="521">
        <f>IF(AND($B174&gt;=$FV174,$B174&lt;=$FW174),MAX(BF174,Sheet1!EI172,0),MAX(BF174-(7/36)*$K174,0))</f>
        <v>0</v>
      </c>
      <c r="BO174" s="535">
        <f t="shared" si="451"/>
        <v>10.673088049056856</v>
      </c>
      <c r="BP174" s="521">
        <f t="shared" si="452"/>
        <v>1.8958008398320334</v>
      </c>
      <c r="BQ174" s="521">
        <f>IF(AND($O174&gt;0,Sheet1!EM172=1),(1-($O174-Sheet1!$L172)/$O174)*BL174,0)</f>
        <v>0</v>
      </c>
      <c r="BR174" s="521">
        <f>IF(AND(Sheet1!$L172=0,Sheet1!$L171=0, Calculation!BK174&lt;Sheet1!$EI172-0.1,Sheet1!$EI172=Sheet1!$EI171,Sheet1!$EI172=Sheet1!$EI173),BL174-BQ174,BL174-BQ174)</f>
        <v>1.8958008398320334</v>
      </c>
      <c r="BS174" s="1035" t="str">
        <f t="shared" si="414"/>
        <v/>
      </c>
      <c r="BT174" s="1035">
        <f t="shared" si="415"/>
        <v>12.568888888888889</v>
      </c>
      <c r="BU174" s="535">
        <f t="shared" si="453"/>
        <v>1267.7777777777778</v>
      </c>
      <c r="BV174" s="535"/>
      <c r="BW174" s="535">
        <f ca="1">IF(B174&gt;Summary!$A$1,#N/A,BU174*MGtoAF)</f>
        <v>3889.5422222222223</v>
      </c>
      <c r="BX174" s="535">
        <f>Sheet1!BC172+Sheet1!BD172+Sheet1!BE172+Sheet1!BF172-CG174-CH174</f>
        <v>3.49</v>
      </c>
      <c r="BY174" s="535">
        <f t="shared" si="454"/>
        <v>3.5381523695260944</v>
      </c>
      <c r="BZ174" s="535">
        <f>IF(Sheet1!EQ172="FM",CH174,0)</f>
        <v>0</v>
      </c>
      <c r="CA174" s="535">
        <f t="shared" si="455"/>
        <v>0</v>
      </c>
      <c r="CB174" s="535">
        <f>IF(Sheet1!EQ172="OTHER",CH174,0)</f>
        <v>0</v>
      </c>
      <c r="CC174" s="535">
        <f t="shared" si="456"/>
        <v>0</v>
      </c>
      <c r="CD174" s="535">
        <f t="shared" si="457"/>
        <v>0</v>
      </c>
      <c r="CE174" s="535">
        <f t="shared" si="458"/>
        <v>3.49</v>
      </c>
      <c r="CF174" s="535">
        <f t="shared" si="459"/>
        <v>3.5381523695260944</v>
      </c>
      <c r="CG174" s="535">
        <f>IF(Sheet1!EQ172="CWA",SUM(Sheet1!BC172:'Sheet1'!BF172),0)</f>
        <v>0</v>
      </c>
      <c r="CH174" s="535">
        <f>IF(OR(Sheet1!EQ172="FM", Sheet1!EQ172="OTHER"),SUM(Sheet1!BC172:'Sheet1'!BF172),0)</f>
        <v>0</v>
      </c>
      <c r="CI174" s="521">
        <f>IF(AND($B174&gt;=$FV174,$B174&lt;=$FW174),MAX(CF174,Sheet1!EJ172,0),MAX(CF174-(7/36)*$K174,0))</f>
        <v>0</v>
      </c>
      <c r="CJ174" s="535">
        <f t="shared" si="460"/>
        <v>9.0307365193627938</v>
      </c>
      <c r="CK174" s="521">
        <f t="shared" si="461"/>
        <v>3.5381523695260944</v>
      </c>
      <c r="CL174" s="521">
        <f>IF(AND($O174&gt;0,Sheet1!EN172=1),(1-($O174-Sheet1!$L172)/$O174)*CF174,0)</f>
        <v>0</v>
      </c>
      <c r="CM174" s="521">
        <f>IF(AND(Sheet1!$L172=0,Sheet1!$L171=0, Calculation!CE174&lt;Sheet1!EJ172-0.1,Sheet1!EJ172=Sheet1!EJ171,Sheet1!EJ172=Sheet1!EJ173),CF174-CL174,CF174-CL174)</f>
        <v>3.5381523695260944</v>
      </c>
      <c r="CN174" s="1040" t="str">
        <f t="shared" si="416"/>
        <v/>
      </c>
      <c r="CO174" s="1035">
        <f t="shared" si="417"/>
        <v>12.568888888888889</v>
      </c>
      <c r="CP174" s="535">
        <f t="shared" si="462"/>
        <v>1267.7777777777778</v>
      </c>
      <c r="CQ174" s="535"/>
      <c r="CR174" s="535">
        <f ca="1">IF(B174&gt;Summary!$A$1,#N/A,CP174*MGtoAF)</f>
        <v>3889.5422222222223</v>
      </c>
      <c r="CS174" s="535">
        <f>Sheet1!BK172+Sheet1!BL172+Sheet1!BM172-Sheet1!ER172-DA174</f>
        <v>8.2800000000000011</v>
      </c>
      <c r="CT174" s="535">
        <f t="shared" si="463"/>
        <v>8.3942411517696449</v>
      </c>
      <c r="CU174" s="535">
        <f>IF(Sheet1!ER172="FM",DA174,0)</f>
        <v>0</v>
      </c>
      <c r="CV174" s="535">
        <f t="shared" si="464"/>
        <v>0</v>
      </c>
      <c r="CW174" s="535">
        <f>IF(Sheet1!ER172="OTHER",DA174,0)</f>
        <v>0</v>
      </c>
      <c r="CX174" s="535">
        <f t="shared" si="465"/>
        <v>0</v>
      </c>
      <c r="CY174" s="535">
        <f t="shared" si="466"/>
        <v>8.2800000000000011</v>
      </c>
      <c r="CZ174" s="535">
        <f t="shared" si="467"/>
        <v>8.3942411517696449</v>
      </c>
      <c r="DA174" s="535">
        <f>IF(OR(Sheet1!ER172="FM", Sheet1!ER172="OTHER"),SUM(Sheet1!BK172:'Sheet1'!BM172),0)</f>
        <v>0</v>
      </c>
      <c r="DB174" s="1011">
        <f>IF(AND($B174&gt;=$FV174,$B174&lt;=$FW174),MAX($CT174,Sheet1!EK172,0),MAX($CT174-(7/36)*$K174,0))</f>
        <v>0</v>
      </c>
      <c r="DC174" s="1012">
        <f t="shared" si="468"/>
        <v>4.1746477371192441</v>
      </c>
      <c r="DD174" s="1011">
        <f t="shared" si="469"/>
        <v>8.3942411517696449</v>
      </c>
      <c r="DE174" s="521">
        <f>IF(AND($O174&gt;0,Sheet1!EO172=1),(1-($O174-Sheet1!$L172)/$O174)*CZ174,0)</f>
        <v>0</v>
      </c>
      <c r="DF174" s="521">
        <f>IF(AND(Sheet1!$L172=0,Sheet1!$L171=0, Calculation!CY174&lt;Sheet1!$EK172-0.1,Sheet1!$EK172=Sheet1!$EK171,Sheet1!$EK172=Sheet1!$EK173),CZ174-DE174,CZ174-DE174)</f>
        <v>8.3942411517696449</v>
      </c>
      <c r="DG174" s="1040">
        <f t="shared" si="418"/>
        <v>12.568888888888889</v>
      </c>
      <c r="DH174" s="649">
        <f t="shared" si="470"/>
        <v>13.64</v>
      </c>
      <c r="DI174" s="535">
        <f t="shared" si="471"/>
        <v>1003.821819593093</v>
      </c>
      <c r="DJ174" s="649">
        <f t="shared" si="472"/>
        <v>13.828194361127773</v>
      </c>
      <c r="DK174" s="535">
        <f ca="1">IF(B174&gt;Summary!$A$1,#N/A,DI174*MGtoAF)</f>
        <v>3079.7253425116091</v>
      </c>
      <c r="DL174" s="649">
        <f t="shared" si="473"/>
        <v>13.64</v>
      </c>
      <c r="DM174" s="535">
        <f t="shared" si="474"/>
        <v>33.340000000000003</v>
      </c>
      <c r="DN174" s="535">
        <f>Sheet1!AB172-DM174</f>
        <v>0.45999999999999375</v>
      </c>
      <c r="DO174" s="743">
        <f t="shared" si="475"/>
        <v>1.3797240551889432E-2</v>
      </c>
      <c r="DP174" s="535">
        <f>(VLOOKUP(Sheet1!DC172,hhdcap_wcm,4)-(((VLOOKUP(Sheet1!DC172,hhdcap_wcm,3)-Sheet1!DC172)/(VLOOKUP(Sheet1!DC172,hhdcap_wcm,3)-VLOOKUP(Sheet1!DC172,hhdcap_wcm,1)))*(VLOOKUP(Sheet1!DC172,hhdcap_wcm,4)-VLOOKUP(Sheet1!DC172,hhdcap_wcm,2))))</f>
        <v>48930.300000117932</v>
      </c>
      <c r="DQ174" s="535">
        <f t="shared" si="476"/>
        <v>89.700000001044828</v>
      </c>
      <c r="DR174" s="535">
        <f t="shared" si="477"/>
        <v>45.234493192660018</v>
      </c>
      <c r="DS174" s="535">
        <f>Sheet1!EA172*AFtoMG</f>
        <v>0</v>
      </c>
      <c r="DT174" s="535">
        <f>Sheet1!EB172*AFtoMG</f>
        <v>0</v>
      </c>
      <c r="DU174" s="535">
        <f>Sheet1!EC172*AFtoMG</f>
        <v>0</v>
      </c>
      <c r="DV174" s="535">
        <f>Sheet1!ED172*AFtoMG</f>
        <v>0</v>
      </c>
      <c r="DW174" s="535">
        <f t="shared" si="478"/>
        <v>0</v>
      </c>
      <c r="DX174" s="535">
        <f t="shared" si="479"/>
        <v>0</v>
      </c>
      <c r="DY174" s="535">
        <f t="shared" si="480"/>
        <v>6256.0440418153157</v>
      </c>
      <c r="DZ174" s="535">
        <f t="shared" si="481"/>
        <v>19193.543120289389</v>
      </c>
      <c r="EA174" s="535"/>
      <c r="EB174" s="521">
        <f>IF(OR(B174&lt;FV174,B174&gt;FW174),(MIN(BF174+BY174+CT174+MAX(Sheet1!AA172+AQ174-73,0),K174)),0)</f>
        <v>13.828194361127773</v>
      </c>
      <c r="EC174" s="535"/>
      <c r="ED174" s="535">
        <f t="shared" si="482"/>
        <v>13.828194361127771</v>
      </c>
      <c r="EE174" s="535"/>
      <c r="EF174" s="535">
        <f>Sheet1!EH172+Sheet1!EI172+Sheet1!EJ172+Sheet1!EK172</f>
        <v>14.5</v>
      </c>
      <c r="EG174" s="1019">
        <f t="shared" si="419"/>
        <v>22.4315</v>
      </c>
      <c r="EH174" s="521">
        <f t="shared" si="483"/>
        <v>0</v>
      </c>
      <c r="EI174" s="535">
        <f>IF(Sheet1!ET172=1,SUM('Calculations II'!AT174:BA174)+'Calculations II'!BC174+Sheet1!BV172+'Calculations II'!BE174+AP174,'Calculations II'!BK174)</f>
        <v>57.721955638872217</v>
      </c>
      <c r="EJ174" s="535">
        <f ca="1">EI174+'Calculations II'!D174+'Calculations II'!E174+'Calculations II'!O174</f>
        <v>54.999612790033254</v>
      </c>
      <c r="EK174" s="535"/>
      <c r="EL174" s="535"/>
      <c r="EM174" s="535">
        <f t="shared" si="484"/>
        <v>42898</v>
      </c>
      <c r="EN174" s="535">
        <f t="shared" si="485"/>
        <v>50.811805638872229</v>
      </c>
      <c r="EO174" s="535">
        <f t="shared" si="486"/>
        <v>78.605863323335342</v>
      </c>
      <c r="EP174" s="535">
        <v>0</v>
      </c>
      <c r="EQ174" s="535">
        <v>0</v>
      </c>
      <c r="ER174" s="535">
        <v>0</v>
      </c>
      <c r="ES174" s="521">
        <f t="shared" si="381"/>
        <v>2.2157051567692312</v>
      </c>
      <c r="ET174" s="535">
        <f>-(VLOOKUP(Sheet1!BQ172,Lookup!$O$4:$Q$262,2)-VLOOKUP(Sheet1!BQ171,Lookup!$O$4:$Q$262,2))/1000000</f>
        <v>1.2461322911539339</v>
      </c>
      <c r="EU174" s="535">
        <f>-(VLOOKUP(Sheet1!BR172,Lookup!$O$4:$Q$262,3)-VLOOKUP(Sheet1!BR171,Lookup!$O$4:$Q$262,3))/1000000</f>
        <v>0.9695728656152971</v>
      </c>
      <c r="EV174" s="535"/>
      <c r="EW174" s="535"/>
      <c r="EX174" s="535"/>
      <c r="EY174" s="535">
        <f t="shared" si="434"/>
        <v>66.626709869324685</v>
      </c>
      <c r="EZ174" s="535">
        <f t="shared" si="435"/>
        <v>43.068332171509169</v>
      </c>
      <c r="FA174" s="535"/>
      <c r="FB174" s="535"/>
      <c r="FC174" s="535"/>
      <c r="FD174" s="567" t="e">
        <f t="shared" si="487"/>
        <v>#N/A</v>
      </c>
      <c r="FE174" s="567" t="e">
        <f t="shared" si="488"/>
        <v>#N/A</v>
      </c>
      <c r="FF174" s="568" t="e">
        <f t="shared" si="489"/>
        <v>#N/A</v>
      </c>
      <c r="FG174" s="569" t="s">
        <v>656</v>
      </c>
      <c r="FH174" s="569" t="s">
        <v>656</v>
      </c>
      <c r="FI174" s="567" t="e">
        <v>#N/A</v>
      </c>
      <c r="FJ174" s="567" t="e">
        <v>#N/A</v>
      </c>
      <c r="FK174" s="535">
        <v>24500</v>
      </c>
      <c r="FL174" s="1015">
        <v>0</v>
      </c>
      <c r="FM174" s="535"/>
      <c r="FN174" s="535"/>
      <c r="FO174" s="535">
        <f>O174+((Sheet1!CS172)*GPMtoMGD)</f>
        <v>69.575711999999996</v>
      </c>
      <c r="FP174" s="535">
        <f>IF(Sheet1!AA172+AQ174&lt;=Calculation!N174,AQ174,Calculation!N174-Sheet1!AA172)</f>
        <v>19.971805638872222</v>
      </c>
      <c r="FQ174" s="535">
        <f>(Sheet1!BP172+Sheet1!BO172)/694.4</f>
        <v>2.9442684331797238</v>
      </c>
      <c r="FR174" s="541"/>
      <c r="FS174" s="541"/>
      <c r="FT174" s="541"/>
      <c r="FU174" s="541"/>
      <c r="FV174" s="1109">
        <f t="shared" si="382"/>
        <v>42918</v>
      </c>
      <c r="FW174" s="1109">
        <f t="shared" si="383"/>
        <v>43027</v>
      </c>
      <c r="FX174" s="541"/>
      <c r="FY174" s="541">
        <f>Sheet1!DA172-Sheet1!CZ172-Sheet1!AE172</f>
        <v>167.80081000000001</v>
      </c>
      <c r="FZ174" s="535">
        <f t="shared" si="420"/>
        <v>0.25687683634077496</v>
      </c>
      <c r="GA174" s="535"/>
      <c r="GB174" s="535" t="str">
        <f t="shared" si="384"/>
        <v>n</v>
      </c>
      <c r="GC174" s="539">
        <f t="shared" si="385"/>
        <v>42782</v>
      </c>
      <c r="GD174" s="1109">
        <f t="shared" si="386"/>
        <v>42904</v>
      </c>
      <c r="GE174" s="535">
        <f t="shared" si="404"/>
        <v>6520</v>
      </c>
      <c r="GF174" s="1109">
        <f t="shared" si="387"/>
        <v>42909</v>
      </c>
      <c r="GG174" s="535">
        <f t="shared" si="432"/>
        <v>3260</v>
      </c>
      <c r="GH174" s="539">
        <f t="shared" si="388"/>
        <v>43040</v>
      </c>
      <c r="GJ174" s="521">
        <f t="shared" si="389"/>
        <v>46.637157901752985</v>
      </c>
      <c r="GK174" s="535" t="str">
        <f t="shared" si="490"/>
        <v>P</v>
      </c>
      <c r="GL174" s="535">
        <f t="shared" si="390"/>
        <v>26.933333333333334</v>
      </c>
      <c r="GM174" s="535" t="str">
        <f t="shared" si="391"/>
        <v/>
      </c>
      <c r="GN174" s="535">
        <f>IF(GK174="P",Lookup!$M$12,IF(GK174="PP",Lookup!$M$13,IF(GK174="PPP",Lookup!$M$14,IF(GK174="T",Lookup!$M$15,IF(GK174="TP",Lookup!$M$16,IF(GK174="TPP",Lookup!$M$17,IF(GK174="TPPP",Lookup!$M$18,0)))))))*GJ174</f>
        <v>0</v>
      </c>
      <c r="GO174" s="535">
        <f t="shared" si="392"/>
        <v>0</v>
      </c>
      <c r="GP174" s="535">
        <f t="shared" si="491"/>
        <v>8334.7333333333336</v>
      </c>
      <c r="GQ174" s="535">
        <f t="shared" si="433"/>
        <v>2716.666666666667</v>
      </c>
      <c r="GR174" s="535"/>
      <c r="GS174" s="535">
        <f t="shared" si="393"/>
        <v>10.673088049056856</v>
      </c>
      <c r="GT174" s="535" t="str">
        <f t="shared" si="394"/>
        <v/>
      </c>
      <c r="GU174" s="535">
        <f>IF(GK174="P",Lookup!$N$12,IF(GK174="PP",Lookup!$N$13,IF(GK174="PPP",Lookup!$N$14,IF(GK174="T",Lookup!$N$15,IF(GK174="TP",Lookup!$N$16,IF(GK174="TPP",Lookup!$N$17,IF(GK174="TPPP",Lookup!$N$18,0)))))))*GJ174</f>
        <v>46.637157901752985</v>
      </c>
      <c r="GV174" s="535">
        <f t="shared" si="395"/>
        <v>0</v>
      </c>
      <c r="GW174" s="535">
        <f t="shared" si="492"/>
        <v>3889.5422222222223</v>
      </c>
      <c r="GX174" s="535">
        <f t="shared" si="400"/>
        <v>1267.7777777777778</v>
      </c>
      <c r="GY174" s="535"/>
      <c r="GZ174" s="535">
        <f t="shared" si="396"/>
        <v>9.0307365193627938</v>
      </c>
      <c r="HA174" s="535" t="str">
        <f t="shared" si="397"/>
        <v/>
      </c>
      <c r="HB174" s="535">
        <f>IF(GK174="P",Lookup!$N$12,IF(GK174="PP",Lookup!$N$13,IF(GK174="PPP",Lookup!$N$14,IF(GK174="T",Lookup!$N$15,IF(GK174="TP",Lookup!$N$16,IF(GK174="TPP",Lookup!$N$17,IF(GK174="TPPP",Lookup!$N$18,0)))))))*GJ174</f>
        <v>46.637157901752985</v>
      </c>
      <c r="HC174" s="521">
        <f t="shared" si="493"/>
        <v>0</v>
      </c>
      <c r="HD174" s="535">
        <f t="shared" si="494"/>
        <v>3889.5422222222223</v>
      </c>
      <c r="HE174" s="535">
        <f t="shared" si="401"/>
        <v>1267.7777777777778</v>
      </c>
      <c r="HF174" s="535"/>
      <c r="HG174" s="535">
        <f t="shared" si="398"/>
        <v>0</v>
      </c>
      <c r="HH174" s="535" t="str">
        <f t="shared" si="399"/>
        <v>P</v>
      </c>
      <c r="HI174" s="535">
        <f>IF(GK174="P",Lookup!$N$12,IF(GK174="PP",Lookup!$N$13,IF(GK174="PPP",Lookup!$N$14,IF(GK174="T",Lookup!$N$15,IF(GK174="TP",Lookup!$N$16,IF(GK174="TPP",Lookup!$N$17,IF(GK174="TPPP",Lookup!$N$18,0)))))))*GJ174</f>
        <v>46.637157901752985</v>
      </c>
      <c r="HJ174" s="521">
        <f t="shared" si="495"/>
        <v>46.637157901752985</v>
      </c>
      <c r="HK174" s="535">
        <f t="shared" si="496"/>
        <v>2936.6425420690312</v>
      </c>
      <c r="HL174" s="535">
        <f t="shared" si="402"/>
        <v>957.18466169134001</v>
      </c>
      <c r="HM174" s="535"/>
      <c r="HN174" s="541"/>
      <c r="HO174" s="541"/>
      <c r="HP174" s="541"/>
      <c r="HQ174" s="541">
        <f>IF(AND(B174&gt;=$FV$4,B174&lt;=$FW$4),MAX(110/1.02+$HQ$6+MIN(113/1.02,G174),IF($HV$6-(Sheet1!DA172-Sheet1!DB172)+MIN(113/1.02,G174)&lt;G174+FL174,$HV$6-(Sheet1!DA172-Sheet1!DB172)+MIN(113/1.02,G174),G174+FL174)),MIN(110/1.02+$HQ$6+113/1.02,G174))</f>
        <v>218.62745098039215</v>
      </c>
      <c r="HR174" s="541">
        <f t="shared" si="421"/>
        <v>223</v>
      </c>
      <c r="HS174" s="541">
        <f>HR174+(Sheet1!DA172-Sheet1!DB172)</f>
        <v>556</v>
      </c>
      <c r="HT174" s="541">
        <f t="shared" si="422"/>
        <v>79.098109999999991</v>
      </c>
      <c r="HU174" s="541">
        <f t="shared" si="423"/>
        <v>476.90188999999998</v>
      </c>
      <c r="HV174" s="541">
        <f t="shared" si="424"/>
        <v>0</v>
      </c>
      <c r="HW174" s="541" t="str">
        <f t="shared" si="425"/>
        <v/>
      </c>
      <c r="HX174" s="541">
        <f t="shared" si="426"/>
        <v>389.37254901960785</v>
      </c>
      <c r="HY174" s="541">
        <f>Sheet1!CZ172</f>
        <v>608</v>
      </c>
      <c r="HZ174" s="541">
        <f t="shared" si="427"/>
        <v>0</v>
      </c>
      <c r="IA174" s="541">
        <f t="shared" si="428"/>
        <v>79.098109999999991</v>
      </c>
      <c r="IB174" s="541">
        <f t="shared" si="429"/>
        <v>608</v>
      </c>
      <c r="IC174" s="1019" t="str">
        <f t="shared" si="430"/>
        <v/>
      </c>
      <c r="ID174" s="541">
        <f t="shared" si="431"/>
        <v>528.90188999999998</v>
      </c>
      <c r="IE174" s="541">
        <f>Sheet1!DB172</f>
        <v>543</v>
      </c>
      <c r="IF174" s="533">
        <f>Sheet1!DA172</f>
        <v>876</v>
      </c>
      <c r="IH174" s="541">
        <f>IF(AND($B174&gt;=$GC174,$B174&lt;=$GH174,$DR174&lt;0)+N("only adjusted when pool is drawn down during storage season"),Sheet1!$DB172+$DR174+N("Palmer minus all storage release"),Sheet1!$DB172)</f>
        <v>543</v>
      </c>
      <c r="II174" s="541">
        <f>IF(AND($B174&gt;=$GC174,$B174&lt;=$GH174,$DR174&lt;0)+N("only adjusted when pool is drawn down during storage season"),Sheet1!$DA172+$DR174+N("Auburn minus all storage release"),Sheet1!$DA172)</f>
        <v>876</v>
      </c>
    </row>
    <row r="175" spans="1:243" x14ac:dyDescent="0.25">
      <c r="A175" s="553" t="s">
        <v>5</v>
      </c>
      <c r="B175" s="531">
        <v>42899</v>
      </c>
      <c r="C175" s="536">
        <v>0</v>
      </c>
      <c r="D175" s="506">
        <f t="shared" si="371"/>
        <v>300</v>
      </c>
      <c r="E175" s="506">
        <f t="shared" si="372"/>
        <v>250</v>
      </c>
      <c r="F175" s="506">
        <v>250</v>
      </c>
      <c r="G175" s="535">
        <f>DR175+Sheet1!CZ173</f>
        <v>664.93393847652737</v>
      </c>
      <c r="H175" s="1074">
        <f t="shared" si="405"/>
        <v>221.53831264000002</v>
      </c>
      <c r="I175" s="534">
        <f>IF(Sheet1!DA173&gt;=E175,(Sheet1!DA173-E175+P175)*CFStoMGD,0)</f>
        <v>425.15431264</v>
      </c>
      <c r="J175" s="995">
        <f>IF(Sheet1!DB173&gt;=D175,(Sheet1!DB173-D175+P175)*CFStoMGD,0)</f>
        <v>221.53831264000002</v>
      </c>
      <c r="K175" s="818">
        <f t="shared" si="406"/>
        <v>64.64</v>
      </c>
      <c r="L175" s="535">
        <f>Sheet1!AA173+Sheet1!AB173-Sheet1!L173+(Sheet1!DA173-F175)*CFStoMGD-S175-T175-U175</f>
        <v>360.51560000000001</v>
      </c>
      <c r="M175" s="535">
        <f t="shared" si="436"/>
        <v>438.40956378785188</v>
      </c>
      <c r="N175" s="824">
        <f>IF(Sheet1!DA173&gt;=F175,MIN(113*CFStoMGD,MIN(MAX(L175,0),MAX(M175,0))),0)</f>
        <v>73.043199999999999</v>
      </c>
      <c r="O175" s="538">
        <f>Sheet1!AA173+Sheet1!AB173</f>
        <v>67.05</v>
      </c>
      <c r="P175" s="538">
        <f t="shared" si="437"/>
        <v>103.72635</v>
      </c>
      <c r="Q175" s="812">
        <f t="shared" si="407"/>
        <v>53.33</v>
      </c>
      <c r="R175" s="812">
        <f t="shared" si="373"/>
        <v>13.796391982182627</v>
      </c>
      <c r="S175" s="812">
        <f t="shared" si="374"/>
        <v>13.719999999999999</v>
      </c>
      <c r="T175" s="812">
        <f t="shared" si="375"/>
        <v>50.92</v>
      </c>
      <c r="U175" s="812">
        <f t="shared" si="408"/>
        <v>0</v>
      </c>
      <c r="V175" s="812"/>
      <c r="W175" s="812">
        <f t="shared" si="376"/>
        <v>50.843608017817374</v>
      </c>
      <c r="X175" s="812">
        <f t="shared" si="377"/>
        <v>64.64</v>
      </c>
      <c r="Y175" s="812" t="str">
        <f t="shared" si="378"/>
        <v>FALSE</v>
      </c>
      <c r="Z175" s="812">
        <f t="shared" si="379"/>
        <v>67.05</v>
      </c>
      <c r="AA175" s="812">
        <f t="shared" si="380"/>
        <v>67.05</v>
      </c>
      <c r="AB175" s="1059">
        <f t="shared" si="409"/>
        <v>82.501509999999996</v>
      </c>
      <c r="AC175" s="538">
        <f>Sheet1!Y173*MGDtoCFS</f>
        <v>47.910589999999999</v>
      </c>
      <c r="AD175" s="538">
        <f>Sheet1!Z173*MGDtoCFS</f>
        <v>53.216799999999992</v>
      </c>
      <c r="AE175" s="538">
        <f>Sheet1!AA173*MGDtoCFS</f>
        <v>47.848709999999997</v>
      </c>
      <c r="AF175" s="538">
        <f>Sheet1!AB173*MGDtoCFS</f>
        <v>55.877639999999992</v>
      </c>
      <c r="AG175" s="538">
        <f>Sheet1!L173*MGDtoCFS</f>
        <v>0</v>
      </c>
      <c r="AH175" s="521">
        <f t="shared" si="438"/>
        <v>0</v>
      </c>
      <c r="AI175" s="1059">
        <f t="shared" si="439"/>
        <v>0</v>
      </c>
      <c r="AJ175" s="535">
        <f t="shared" si="440"/>
        <v>50.843608017817374</v>
      </c>
      <c r="AK175" s="535">
        <f t="shared" si="441"/>
        <v>78.655061603563468</v>
      </c>
      <c r="AL175" s="535">
        <f>(VLOOKUP(Sheet1!DC173,hhdcap_wcm,4)-(((VLOOKUP(Sheet1!DC173,hhdcap_wcm,3)-Sheet1!DC173)/(VLOOKUP(Sheet1!DC173,hhdcap_wcm,3)-VLOOKUP(Sheet1!DC173,hhdcap_wcm,1)))*(VLOOKUP(Sheet1!DC173,hhdcap_wcm,4)-VLOOKUP(Sheet1!DC173,hhdcap_wcm,2))))</f>
        <v>49043.200000116885</v>
      </c>
      <c r="AM175" s="535">
        <f t="shared" si="442"/>
        <v>112.89999999895372</v>
      </c>
      <c r="AN175" s="1035">
        <f t="shared" si="443"/>
        <v>6306.8876498331329</v>
      </c>
      <c r="AO175" s="535">
        <f t="shared" si="444"/>
        <v>19349.531309688053</v>
      </c>
      <c r="AP175" s="535">
        <f>Sheet1!BA173+Sheet1!BB173+Sheet1!BN173+CD175</f>
        <v>22.2</v>
      </c>
      <c r="AQ175" s="535">
        <f>Sheet1!BN173+(DO175*Sheet1!BN173)</f>
        <v>22.323608017817367</v>
      </c>
      <c r="AR175" s="535">
        <f>Sheet1!BA173+CD175</f>
        <v>0</v>
      </c>
      <c r="AS175" s="535">
        <f>Sheet1!BA173+Sheet1!BB173+CD175</f>
        <v>0</v>
      </c>
      <c r="AT175" s="649">
        <f>0</f>
        <v>0</v>
      </c>
      <c r="AU175" s="974">
        <f>BA175+Sheet1!EH173</f>
        <v>0</v>
      </c>
      <c r="AV175" s="535">
        <f>IF(OR(B175&gt;=GD175,B175&lt;GC175),0,15/36*K175-MAX(0,64.6-(137.6-(Sheet1!AA173+Sheet1!AB173))))</f>
        <v>26.933333333333334</v>
      </c>
      <c r="AW175" s="1029"/>
      <c r="AX175" s="649"/>
      <c r="AY175" s="649">
        <f t="shared" si="410"/>
        <v>0</v>
      </c>
      <c r="AZ175" s="649">
        <f t="shared" si="411"/>
        <v>0</v>
      </c>
      <c r="BA175" s="1059">
        <f t="shared" si="412"/>
        <v>0</v>
      </c>
      <c r="BB175" s="1019">
        <f t="shared" si="445"/>
        <v>2716.666666666667</v>
      </c>
      <c r="BC175" s="1041">
        <f t="shared" si="413"/>
        <v>26.933333333333334</v>
      </c>
      <c r="BD175" s="1019">
        <f ca="1">IF(B175&gt;Summary!$A$1,#N/A,BB175*MGtoAF)</f>
        <v>8334.7333333333336</v>
      </c>
      <c r="BE175" s="535">
        <f>Sheet1!BG173+Sheet1!BH173+Sheet1!BI173-BM175</f>
        <v>2.02</v>
      </c>
      <c r="BF175" s="535">
        <f t="shared" si="446"/>
        <v>2.0312472160356347</v>
      </c>
      <c r="BG175" s="535">
        <f>IF(Sheet1!EP173="FM",BM175,0)</f>
        <v>0</v>
      </c>
      <c r="BH175" s="535">
        <f t="shared" si="447"/>
        <v>0</v>
      </c>
      <c r="BI175" s="535">
        <f>IF(Sheet1!EP173="OTHER",BM175,0)</f>
        <v>0</v>
      </c>
      <c r="BJ175" s="535">
        <f t="shared" si="448"/>
        <v>0</v>
      </c>
      <c r="BK175" s="535">
        <f t="shared" si="449"/>
        <v>2.02</v>
      </c>
      <c r="BL175" s="535">
        <f t="shared" si="450"/>
        <v>2.0312472160356347</v>
      </c>
      <c r="BM175" s="535">
        <f>IF(OR(Sheet1!EP173="FM", Sheet1!EP173="OTHER"),SUM(Sheet1!BG173:'Sheet1'!BI173),0)</f>
        <v>0</v>
      </c>
      <c r="BN175" s="521">
        <f>IF(AND($B175&gt;=$FV175,$B175&lt;=$FW175),MAX(BF175,Sheet1!EI173,0),MAX(BF175-(7/36)*$K175,0))</f>
        <v>0</v>
      </c>
      <c r="BO175" s="535">
        <f t="shared" si="451"/>
        <v>10.537641672853255</v>
      </c>
      <c r="BP175" s="521">
        <f t="shared" si="452"/>
        <v>2.0312472160356347</v>
      </c>
      <c r="BQ175" s="521">
        <f>IF(AND($O175&gt;0,Sheet1!EM173=1),(1-($O175-Sheet1!$L173)/$O175)*BL175,0)</f>
        <v>0</v>
      </c>
      <c r="BR175" s="521">
        <f>IF(AND(Sheet1!$L173=0,Sheet1!$L172=0, Calculation!BK175&lt;Sheet1!$EI173-0.1,Sheet1!$EI173=Sheet1!$EI172,Sheet1!$EI173=Sheet1!$EI174),BL175-BQ175,BL175-BQ175)</f>
        <v>2.0312472160356347</v>
      </c>
      <c r="BS175" s="1035" t="str">
        <f t="shared" si="414"/>
        <v/>
      </c>
      <c r="BT175" s="1035">
        <f t="shared" si="415"/>
        <v>12.568888888888889</v>
      </c>
      <c r="BU175" s="535">
        <f t="shared" si="453"/>
        <v>1267.7777777777778</v>
      </c>
      <c r="BV175" s="535"/>
      <c r="BW175" s="535">
        <f ca="1">IF(B175&gt;Summary!$A$1,#N/A,BU175*MGtoAF)</f>
        <v>3889.5422222222223</v>
      </c>
      <c r="BX175" s="535">
        <f>Sheet1!BC173+Sheet1!BD173+Sheet1!BE173+Sheet1!BF173-CG175-CH175</f>
        <v>3.5</v>
      </c>
      <c r="BY175" s="535">
        <f t="shared" si="454"/>
        <v>3.5194877505567925</v>
      </c>
      <c r="BZ175" s="535">
        <f>IF(Sheet1!EQ173="FM",CH175,0)</f>
        <v>0</v>
      </c>
      <c r="CA175" s="535">
        <f t="shared" si="455"/>
        <v>0</v>
      </c>
      <c r="CB175" s="535">
        <f>IF(Sheet1!EQ173="OTHER",CH175,0)</f>
        <v>0</v>
      </c>
      <c r="CC175" s="535">
        <f t="shared" si="456"/>
        <v>0</v>
      </c>
      <c r="CD175" s="535">
        <f t="shared" si="457"/>
        <v>0</v>
      </c>
      <c r="CE175" s="535">
        <f t="shared" si="458"/>
        <v>3.5</v>
      </c>
      <c r="CF175" s="535">
        <f t="shared" si="459"/>
        <v>3.5194877505567925</v>
      </c>
      <c r="CG175" s="535">
        <f>IF(Sheet1!EQ173="CWA",SUM(Sheet1!BC173:'Sheet1'!BF173),0)</f>
        <v>0</v>
      </c>
      <c r="CH175" s="535">
        <f>IF(OR(Sheet1!EQ173="FM", Sheet1!EQ173="OTHER"),SUM(Sheet1!BC173:'Sheet1'!BF173),0)</f>
        <v>0</v>
      </c>
      <c r="CI175" s="521">
        <f>IF(AND($B175&gt;=$FV175,$B175&lt;=$FW175),MAX(CF175,Sheet1!EJ173,0),MAX(CF175-(7/36)*$K175,0))</f>
        <v>0</v>
      </c>
      <c r="CJ175" s="535">
        <f t="shared" si="460"/>
        <v>9.0494011383320974</v>
      </c>
      <c r="CK175" s="521">
        <f t="shared" si="461"/>
        <v>3.5194877505567925</v>
      </c>
      <c r="CL175" s="521">
        <f>IF(AND($O175&gt;0,Sheet1!EN173=1),(1-($O175-Sheet1!$L173)/$O175)*CF175,0)</f>
        <v>0</v>
      </c>
      <c r="CM175" s="521">
        <f>IF(AND(Sheet1!$L173=0,Sheet1!$L172=0, Calculation!CE175&lt;Sheet1!EJ173-0.1,Sheet1!EJ173=Sheet1!EJ172,Sheet1!EJ173=Sheet1!EJ174),CF175-CL175,CF175-CL175)</f>
        <v>3.5194877505567925</v>
      </c>
      <c r="CN175" s="1040" t="str">
        <f t="shared" si="416"/>
        <v/>
      </c>
      <c r="CO175" s="1035">
        <f t="shared" si="417"/>
        <v>12.568888888888889</v>
      </c>
      <c r="CP175" s="535">
        <f t="shared" si="462"/>
        <v>1267.7777777777778</v>
      </c>
      <c r="CQ175" s="535"/>
      <c r="CR175" s="535">
        <f ca="1">IF(B175&gt;Summary!$A$1,#N/A,CP175*MGtoAF)</f>
        <v>3889.5422222222223</v>
      </c>
      <c r="CS175" s="535">
        <f>Sheet1!BK173+Sheet1!BL173+Sheet1!BM173-Sheet1!ER173-DA175</f>
        <v>8.1999999999999993</v>
      </c>
      <c r="CT175" s="535">
        <f t="shared" si="463"/>
        <v>8.2456570155901989</v>
      </c>
      <c r="CU175" s="535">
        <f>IF(Sheet1!ER173="FM",DA175,0)</f>
        <v>0</v>
      </c>
      <c r="CV175" s="535">
        <f t="shared" si="464"/>
        <v>0</v>
      </c>
      <c r="CW175" s="535">
        <f>IF(Sheet1!ER173="OTHER",DA175,0)</f>
        <v>0</v>
      </c>
      <c r="CX175" s="535">
        <f t="shared" si="465"/>
        <v>0</v>
      </c>
      <c r="CY175" s="535">
        <f t="shared" si="466"/>
        <v>8.1999999999999993</v>
      </c>
      <c r="CZ175" s="535">
        <f t="shared" si="467"/>
        <v>8.2456570155901989</v>
      </c>
      <c r="DA175" s="535">
        <f>IF(OR(Sheet1!ER173="FM", Sheet1!ER173="OTHER"),SUM(Sheet1!BK173:'Sheet1'!BM173),0)</f>
        <v>0</v>
      </c>
      <c r="DB175" s="1011">
        <f>IF(AND($B175&gt;=$FV175,$B175&lt;=$FW175),MAX($CT175,Sheet1!EK173,0),MAX($CT175-(7/36)*$K175,0))</f>
        <v>0</v>
      </c>
      <c r="DC175" s="1012">
        <f t="shared" si="468"/>
        <v>4.3232318732986901</v>
      </c>
      <c r="DD175" s="1011">
        <f t="shared" si="469"/>
        <v>8.2456570155901989</v>
      </c>
      <c r="DE175" s="521">
        <f>IF(AND($O175&gt;0,Sheet1!EO173=1),(1-($O175-Sheet1!$L173)/$O175)*CZ175,0)</f>
        <v>0</v>
      </c>
      <c r="DF175" s="521">
        <f>IF(AND(Sheet1!$L173=0,Sheet1!$L172=0, Calculation!CY175&lt;Sheet1!$EK173-0.1,Sheet1!$EK173=Sheet1!$EK172,Sheet1!$EK173=Sheet1!$EK174),CZ175-DE175,CZ175-DE175)</f>
        <v>8.2456570155901989</v>
      </c>
      <c r="DG175" s="1040">
        <f t="shared" si="418"/>
        <v>12.568888888888889</v>
      </c>
      <c r="DH175" s="649">
        <f t="shared" si="470"/>
        <v>13.719999999999999</v>
      </c>
      <c r="DI175" s="535">
        <f t="shared" si="471"/>
        <v>1054.6654276109105</v>
      </c>
      <c r="DJ175" s="649">
        <f t="shared" si="472"/>
        <v>13.796391982182627</v>
      </c>
      <c r="DK175" s="535">
        <f ca="1">IF(B175&gt;Summary!$A$1,#N/A,DI175*MGtoAF)</f>
        <v>3235.7135319102736</v>
      </c>
      <c r="DL175" s="649">
        <f t="shared" si="473"/>
        <v>13.719999999999999</v>
      </c>
      <c r="DM175" s="535">
        <f t="shared" si="474"/>
        <v>35.92</v>
      </c>
      <c r="DN175" s="535">
        <f>Sheet1!AB173-DM175</f>
        <v>0.19999999999999574</v>
      </c>
      <c r="DO175" s="743">
        <f t="shared" si="475"/>
        <v>5.5679287305121306E-3</v>
      </c>
      <c r="DP175" s="535">
        <f>(VLOOKUP(Sheet1!DC173,hhdcap_wcm,4)-(((VLOOKUP(Sheet1!DC173,hhdcap_wcm,3)-Sheet1!DC173)/(VLOOKUP(Sheet1!DC173,hhdcap_wcm,3)-VLOOKUP(Sheet1!DC173,hhdcap_wcm,1)))*(VLOOKUP(Sheet1!DC173,hhdcap_wcm,4)-VLOOKUP(Sheet1!DC173,hhdcap_wcm,2))))</f>
        <v>49043.200000116885</v>
      </c>
      <c r="DQ175" s="535">
        <f t="shared" si="476"/>
        <v>112.89999999895372</v>
      </c>
      <c r="DR175" s="535">
        <f t="shared" si="477"/>
        <v>56.933938476527331</v>
      </c>
      <c r="DS175" s="535">
        <f>Sheet1!EA173*AFtoMG</f>
        <v>0</v>
      </c>
      <c r="DT175" s="535">
        <f>Sheet1!EB173*AFtoMG</f>
        <v>0</v>
      </c>
      <c r="DU175" s="535">
        <f>Sheet1!EC173*AFtoMG</f>
        <v>0</v>
      </c>
      <c r="DV175" s="535">
        <f>Sheet1!ED173*AFtoMG</f>
        <v>0</v>
      </c>
      <c r="DW175" s="535">
        <f t="shared" si="478"/>
        <v>0</v>
      </c>
      <c r="DX175" s="535">
        <f t="shared" si="479"/>
        <v>0</v>
      </c>
      <c r="DY175" s="535">
        <f t="shared" si="480"/>
        <v>6306.8876498331329</v>
      </c>
      <c r="DZ175" s="535">
        <f t="shared" si="481"/>
        <v>19349.531309688053</v>
      </c>
      <c r="EA175" s="535"/>
      <c r="EB175" s="521">
        <f>IF(OR(B175&lt;FV175,B175&gt;FW175),(MIN(BF175+BY175+CT175+MAX(Sheet1!AA173+AQ175-73,0),K175)),0)</f>
        <v>13.796391982182627</v>
      </c>
      <c r="EC175" s="535"/>
      <c r="ED175" s="535">
        <f t="shared" si="482"/>
        <v>13.796391982182627</v>
      </c>
      <c r="EE175" s="535"/>
      <c r="EF175" s="535">
        <f>Sheet1!EH173+Sheet1!EI173+Sheet1!EJ173+Sheet1!EK173</f>
        <v>14.5</v>
      </c>
      <c r="EG175" s="1019">
        <f t="shared" si="419"/>
        <v>22.4315</v>
      </c>
      <c r="EH175" s="521">
        <f t="shared" si="483"/>
        <v>0</v>
      </c>
      <c r="EI175" s="535">
        <f>IF(Sheet1!ET173=1,SUM('Calculations II'!AT175:BA175)+'Calculations II'!BC175+Sheet1!BV173+'Calculations II'!BE175+AP175,'Calculations II'!BK175)</f>
        <v>58.934906017817369</v>
      </c>
      <c r="EJ175" s="535">
        <f ca="1">EI175+'Calculations II'!D175+'Calculations II'!E175+'Calculations II'!O175</f>
        <v>56.748994649090207</v>
      </c>
      <c r="EK175" s="535"/>
      <c r="EL175" s="535"/>
      <c r="EM175" s="535">
        <f t="shared" si="484"/>
        <v>42899</v>
      </c>
      <c r="EN175" s="535">
        <f t="shared" si="485"/>
        <v>50.843608017817374</v>
      </c>
      <c r="EO175" s="535">
        <f t="shared" si="486"/>
        <v>78.655061603563468</v>
      </c>
      <c r="EP175" s="535">
        <v>0</v>
      </c>
      <c r="EQ175" s="535">
        <v>0</v>
      </c>
      <c r="ER175" s="535">
        <v>0</v>
      </c>
      <c r="ES175" s="521">
        <f t="shared" si="381"/>
        <v>0.83074845686575771</v>
      </c>
      <c r="ET175" s="535">
        <f>-(VLOOKUP(Sheet1!BQ173,Lookup!$O$4:$Q$262,2)-VLOOKUP(Sheet1!BQ172,Lookup!$O$4:$Q$262,2))/1000000</f>
        <v>0.2768478060488142</v>
      </c>
      <c r="EU175" s="535">
        <f>-(VLOOKUP(Sheet1!BR173,Lookup!$O$4:$Q$262,3)-VLOOKUP(Sheet1!BR172,Lookup!$O$4:$Q$262,3))/1000000</f>
        <v>0.55390065081694351</v>
      </c>
      <c r="EV175" s="535"/>
      <c r="EW175" s="535"/>
      <c r="EX175" s="535"/>
      <c r="EY175" s="535">
        <f t="shared" si="434"/>
        <v>78.276956872963851</v>
      </c>
      <c r="EZ175" s="535">
        <f t="shared" si="435"/>
        <v>50.599196427255237</v>
      </c>
      <c r="FA175" s="535"/>
      <c r="FB175" s="535"/>
      <c r="FC175" s="535"/>
      <c r="FD175" s="567" t="e">
        <f t="shared" si="487"/>
        <v>#N/A</v>
      </c>
      <c r="FE175" s="567" t="e">
        <f t="shared" si="488"/>
        <v>#N/A</v>
      </c>
      <c r="FF175" s="568" t="e">
        <f t="shared" si="489"/>
        <v>#N/A</v>
      </c>
      <c r="FG175" s="569" t="s">
        <v>656</v>
      </c>
      <c r="FH175" s="569" t="s">
        <v>656</v>
      </c>
      <c r="FI175" s="567" t="e">
        <v>#N/A</v>
      </c>
      <c r="FJ175" s="567" t="e">
        <v>#N/A</v>
      </c>
      <c r="FK175" s="535">
        <v>24450</v>
      </c>
      <c r="FL175" s="1015">
        <v>0</v>
      </c>
      <c r="FM175" s="535"/>
      <c r="FN175" s="535"/>
      <c r="FO175" s="535">
        <f>O175+((Sheet1!CS173)*GPMtoMGD)</f>
        <v>71.851392000000004</v>
      </c>
      <c r="FP175" s="535">
        <f>IF(Sheet1!AA173+AQ175&lt;=Calculation!N175,AQ175,Calculation!N175-Sheet1!AA173)</f>
        <v>22.323608017817367</v>
      </c>
      <c r="FQ175" s="535">
        <f>(Sheet1!BP173+Sheet1!BO173)/694.4</f>
        <v>2.5799251152073732</v>
      </c>
      <c r="FR175" s="541"/>
      <c r="FS175" s="541"/>
      <c r="FT175" s="541"/>
      <c r="FU175" s="541"/>
      <c r="FV175" s="1109">
        <f t="shared" si="382"/>
        <v>42918</v>
      </c>
      <c r="FW175" s="1109">
        <f t="shared" si="383"/>
        <v>43027</v>
      </c>
      <c r="FX175" s="541"/>
      <c r="FY175" s="541">
        <f>Sheet1!DA173-Sheet1!CZ173-Sheet1!AE173</f>
        <v>92.273650000000004</v>
      </c>
      <c r="FZ175" s="535">
        <f t="shared" si="420"/>
        <v>0.13877115403586415</v>
      </c>
      <c r="GA175" s="535"/>
      <c r="GB175" s="535" t="str">
        <f t="shared" si="384"/>
        <v>n</v>
      </c>
      <c r="GC175" s="539">
        <f t="shared" si="385"/>
        <v>42782</v>
      </c>
      <c r="GD175" s="1109">
        <f t="shared" si="386"/>
        <v>42904</v>
      </c>
      <c r="GE175" s="535">
        <f t="shared" si="404"/>
        <v>6520</v>
      </c>
      <c r="GF175" s="1109">
        <f t="shared" si="387"/>
        <v>42909</v>
      </c>
      <c r="GG175" s="535">
        <f t="shared" si="432"/>
        <v>3260</v>
      </c>
      <c r="GH175" s="539">
        <f t="shared" si="388"/>
        <v>43040</v>
      </c>
      <c r="GJ175" s="521">
        <f t="shared" si="389"/>
        <v>46.520376144518686</v>
      </c>
      <c r="GK175" s="535" t="str">
        <f t="shared" si="490"/>
        <v>P</v>
      </c>
      <c r="GL175" s="535">
        <f t="shared" si="390"/>
        <v>26.933333333333334</v>
      </c>
      <c r="GM175" s="535" t="str">
        <f t="shared" si="391"/>
        <v/>
      </c>
      <c r="GN175" s="535">
        <f>IF(GK175="P",Lookup!$M$12,IF(GK175="PP",Lookup!$M$13,IF(GK175="PPP",Lookup!$M$14,IF(GK175="T",Lookup!$M$15,IF(GK175="TP",Lookup!$M$16,IF(GK175="TPP",Lookup!$M$17,IF(GK175="TPPP",Lookup!$M$18,0)))))))*GJ175</f>
        <v>0</v>
      </c>
      <c r="GO175" s="535">
        <f t="shared" si="392"/>
        <v>0</v>
      </c>
      <c r="GP175" s="535">
        <f t="shared" si="491"/>
        <v>8334.7333333333336</v>
      </c>
      <c r="GQ175" s="535">
        <f t="shared" si="433"/>
        <v>2716.666666666667</v>
      </c>
      <c r="GR175" s="535"/>
      <c r="GS175" s="535">
        <f t="shared" si="393"/>
        <v>10.537641672853255</v>
      </c>
      <c r="GT175" s="535" t="str">
        <f t="shared" si="394"/>
        <v/>
      </c>
      <c r="GU175" s="535">
        <f>IF(GK175="P",Lookup!$N$12,IF(GK175="PP",Lookup!$N$13,IF(GK175="PPP",Lookup!$N$14,IF(GK175="T",Lookup!$N$15,IF(GK175="TP",Lookup!$N$16,IF(GK175="TPP",Lookup!$N$17,IF(GK175="TPPP",Lookup!$N$18,0)))))))*GJ175</f>
        <v>46.520376144518686</v>
      </c>
      <c r="GV175" s="535">
        <f t="shared" si="395"/>
        <v>0</v>
      </c>
      <c r="GW175" s="535">
        <f t="shared" si="492"/>
        <v>3889.5422222222223</v>
      </c>
      <c r="GX175" s="535">
        <f t="shared" si="400"/>
        <v>1267.7777777777778</v>
      </c>
      <c r="GY175" s="535"/>
      <c r="GZ175" s="535">
        <f t="shared" si="396"/>
        <v>9.0494011383320974</v>
      </c>
      <c r="HA175" s="535" t="str">
        <f t="shared" si="397"/>
        <v/>
      </c>
      <c r="HB175" s="535">
        <f>IF(GK175="P",Lookup!$N$12,IF(GK175="PP",Lookup!$N$13,IF(GK175="PPP",Lookup!$N$14,IF(GK175="T",Lookup!$N$15,IF(GK175="TP",Lookup!$N$16,IF(GK175="TPP",Lookup!$N$17,IF(GK175="TPPP",Lookup!$N$18,0)))))))*GJ175</f>
        <v>46.520376144518686</v>
      </c>
      <c r="HC175" s="521">
        <f t="shared" si="493"/>
        <v>0</v>
      </c>
      <c r="HD175" s="535">
        <f t="shared" si="494"/>
        <v>3889.5422222222223</v>
      </c>
      <c r="HE175" s="535">
        <f t="shared" si="401"/>
        <v>1267.7777777777778</v>
      </c>
      <c r="HF175" s="535"/>
      <c r="HG175" s="535">
        <f t="shared" si="398"/>
        <v>0</v>
      </c>
      <c r="HH175" s="535" t="str">
        <f t="shared" si="399"/>
        <v>P</v>
      </c>
      <c r="HI175" s="535">
        <f>IF(GK175="P",Lookup!$N$12,IF(GK175="PP",Lookup!$N$13,IF(GK175="PPP",Lookup!$N$14,IF(GK175="T",Lookup!$N$15,IF(GK175="TP",Lookup!$N$16,IF(GK175="TPP",Lookup!$N$17,IF(GK175="TPPP",Lookup!$N$18,0)))))))*GJ175</f>
        <v>46.520376144518686</v>
      </c>
      <c r="HJ175" s="521">
        <f t="shared" si="495"/>
        <v>46.520376144518686</v>
      </c>
      <c r="HK175" s="535">
        <f t="shared" si="496"/>
        <v>3092.9890178988899</v>
      </c>
      <c r="HL175" s="535">
        <f t="shared" si="402"/>
        <v>1008.1450514663917</v>
      </c>
      <c r="HM175" s="535"/>
      <c r="HN175" s="541"/>
      <c r="HO175" s="541"/>
      <c r="HP175" s="541"/>
      <c r="HQ175" s="541">
        <f>IF(AND(B175&gt;=$FV$4,B175&lt;=$FW$4),MAX(110/1.02+$HQ$6+MIN(113/1.02,G175),IF($HV$6-(Sheet1!DA173-Sheet1!DB173)+MIN(113/1.02,G175)&lt;G175+FL175,$HV$6-(Sheet1!DA173-Sheet1!DB173)+MIN(113/1.02,G175),G175+FL175)),MIN(110/1.02+$HQ$6+113/1.02,G175))</f>
        <v>218.62745098039215</v>
      </c>
      <c r="HR175" s="541">
        <f t="shared" si="421"/>
        <v>223</v>
      </c>
      <c r="HS175" s="541">
        <f>HR175+(Sheet1!DA173-Sheet1!DB173)</f>
        <v>488</v>
      </c>
      <c r="HT175" s="541">
        <f t="shared" si="422"/>
        <v>82.501509999999996</v>
      </c>
      <c r="HU175" s="541">
        <f t="shared" si="423"/>
        <v>405.49849</v>
      </c>
      <c r="HV175" s="541">
        <f t="shared" si="424"/>
        <v>0</v>
      </c>
      <c r="HW175" s="541" t="str">
        <f t="shared" si="425"/>
        <v/>
      </c>
      <c r="HX175" s="541">
        <f t="shared" si="426"/>
        <v>389.37254901960785</v>
      </c>
      <c r="HY175" s="541">
        <f>Sheet1!CZ173</f>
        <v>608</v>
      </c>
      <c r="HZ175" s="541">
        <f t="shared" si="427"/>
        <v>0</v>
      </c>
      <c r="IA175" s="541">
        <f t="shared" si="428"/>
        <v>82.501509999999996</v>
      </c>
      <c r="IB175" s="541">
        <f t="shared" si="429"/>
        <v>608</v>
      </c>
      <c r="IC175" s="1019" t="str">
        <f t="shared" si="430"/>
        <v/>
      </c>
      <c r="ID175" s="541">
        <f t="shared" si="431"/>
        <v>525.49848999999995</v>
      </c>
      <c r="IE175" s="541">
        <f>Sheet1!DB173</f>
        <v>539</v>
      </c>
      <c r="IF175" s="533">
        <f>Sheet1!DA173</f>
        <v>804</v>
      </c>
      <c r="IH175" s="541">
        <f>IF(AND($B175&gt;=$GC175,$B175&lt;=$GH175,$DR175&lt;0)+N("only adjusted when pool is drawn down during storage season"),Sheet1!$DB173+$DR175+N("Palmer minus all storage release"),Sheet1!$DB173)</f>
        <v>539</v>
      </c>
      <c r="II175" s="541">
        <f>IF(AND($B175&gt;=$GC175,$B175&lt;=$GH175,$DR175&lt;0)+N("only adjusted when pool is drawn down during storage season"),Sheet1!$DA173+$DR175+N("Auburn minus all storage release"),Sheet1!$DA173)</f>
        <v>804</v>
      </c>
    </row>
    <row r="176" spans="1:243" x14ac:dyDescent="0.25">
      <c r="A176" s="553" t="s">
        <v>6</v>
      </c>
      <c r="B176" s="531">
        <v>42900</v>
      </c>
      <c r="C176" s="536">
        <v>0</v>
      </c>
      <c r="D176" s="506">
        <f t="shared" si="371"/>
        <v>300</v>
      </c>
      <c r="E176" s="506">
        <f t="shared" si="372"/>
        <v>250</v>
      </c>
      <c r="F176" s="506">
        <v>250</v>
      </c>
      <c r="G176" s="535">
        <f>DR176+Sheet1!CZ174</f>
        <v>630.59203227433329</v>
      </c>
      <c r="H176" s="1074">
        <f t="shared" si="405"/>
        <v>223.52827443200002</v>
      </c>
      <c r="I176" s="534">
        <f>IF(Sheet1!DA174&gt;=E176,(Sheet1!DA174-E176+P176)*CFStoMGD,0)</f>
        <v>423.26587443199998</v>
      </c>
      <c r="J176" s="995">
        <f>IF(Sheet1!DB174&gt;=D176,(Sheet1!DB174-D176+P176)*CFStoMGD,0)</f>
        <v>223.52827443200002</v>
      </c>
      <c r="K176" s="818">
        <f t="shared" si="406"/>
        <v>64.64</v>
      </c>
      <c r="L176" s="535">
        <f>Sheet1!AA174+Sheet1!AB174-Sheet1!L174+(Sheet1!DA174-F176)*CFStoMGD-S176-T176-U176</f>
        <v>358.62720000000002</v>
      </c>
      <c r="M176" s="535">
        <f t="shared" si="436"/>
        <v>415.76698345537164</v>
      </c>
      <c r="N176" s="824">
        <f>IF(Sheet1!DA174&gt;=F176,MIN(113*CFStoMGD,MIN(MAX(L176,0),MAX(M176,0))),0)</f>
        <v>73.043199999999999</v>
      </c>
      <c r="O176" s="538">
        <f>Sheet1!AA174+Sheet1!AB174</f>
        <v>69.039999999999992</v>
      </c>
      <c r="P176" s="538">
        <f t="shared" si="437"/>
        <v>106.80488</v>
      </c>
      <c r="Q176" s="812">
        <f t="shared" si="407"/>
        <v>55.509999999999991</v>
      </c>
      <c r="R176" s="812">
        <f t="shared" si="373"/>
        <v>13.554969680991299</v>
      </c>
      <c r="S176" s="812">
        <f t="shared" si="374"/>
        <v>13.53</v>
      </c>
      <c r="T176" s="812">
        <f t="shared" si="375"/>
        <v>51.11</v>
      </c>
      <c r="U176" s="812">
        <f t="shared" si="408"/>
        <v>0</v>
      </c>
      <c r="V176" s="812"/>
      <c r="W176" s="812">
        <f t="shared" si="376"/>
        <v>51.085030319008702</v>
      </c>
      <c r="X176" s="812">
        <f t="shared" si="377"/>
        <v>64.64</v>
      </c>
      <c r="Y176" s="812" t="str">
        <f t="shared" si="378"/>
        <v>FALSE</v>
      </c>
      <c r="Z176" s="812">
        <f t="shared" si="379"/>
        <v>69.039999999999992</v>
      </c>
      <c r="AA176" s="812">
        <f t="shared" si="380"/>
        <v>69.039999999999992</v>
      </c>
      <c r="AB176" s="1059">
        <f t="shared" si="409"/>
        <v>85.873969999999986</v>
      </c>
      <c r="AC176" s="538">
        <f>Sheet1!Y174*MGDtoCFS</f>
        <v>47.848709999999997</v>
      </c>
      <c r="AD176" s="538">
        <f>Sheet1!Z174*MGDtoCFS</f>
        <v>57.238999999999997</v>
      </c>
      <c r="AE176" s="538">
        <f>Sheet1!AA174*MGDtoCFS</f>
        <v>48.018879999999996</v>
      </c>
      <c r="AF176" s="538">
        <f>Sheet1!AB174*MGDtoCFS</f>
        <v>58.785999999999994</v>
      </c>
      <c r="AG176" s="538">
        <f>Sheet1!L174*MGDtoCFS</f>
        <v>0</v>
      </c>
      <c r="AH176" s="521">
        <f t="shared" si="438"/>
        <v>0</v>
      </c>
      <c r="AI176" s="1059">
        <f t="shared" si="439"/>
        <v>0</v>
      </c>
      <c r="AJ176" s="535">
        <f t="shared" si="440"/>
        <v>51.085030319008702</v>
      </c>
      <c r="AK176" s="535">
        <f t="shared" si="441"/>
        <v>79.028541903506465</v>
      </c>
      <c r="AL176" s="535">
        <f>(VLOOKUP(Sheet1!DC174,hhdcap_wcm,4)-(((VLOOKUP(Sheet1!DC174,hhdcap_wcm,3)-Sheet1!DC174)/(VLOOKUP(Sheet1!DC174,hhdcap_wcm,3)-VLOOKUP(Sheet1!DC174,hhdcap_wcm,1)))*(VLOOKUP(Sheet1!DC174,hhdcap_wcm,4)-VLOOKUP(Sheet1!DC174,hhdcap_wcm,2))))</f>
        <v>49088.000000116888</v>
      </c>
      <c r="AM176" s="535">
        <f t="shared" si="442"/>
        <v>44.80000000000291</v>
      </c>
      <c r="AN176" s="1035">
        <f t="shared" si="443"/>
        <v>6357.9726801521419</v>
      </c>
      <c r="AO176" s="535">
        <f t="shared" si="444"/>
        <v>19506.26018270677</v>
      </c>
      <c r="AP176" s="535">
        <f>Sheet1!BA174+Sheet1!BB174+Sheet1!BN174+CD176</f>
        <v>24.4</v>
      </c>
      <c r="AQ176" s="535">
        <f>Sheet1!BN174+(DO176*Sheet1!BN174)</f>
        <v>24.445030319008698</v>
      </c>
      <c r="AR176" s="535">
        <f>Sheet1!BA174+CD176</f>
        <v>0</v>
      </c>
      <c r="AS176" s="535">
        <f>Sheet1!BA174+Sheet1!BB174+CD176</f>
        <v>0</v>
      </c>
      <c r="AT176" s="649">
        <f>0</f>
        <v>0</v>
      </c>
      <c r="AU176" s="974">
        <f>BA176+Sheet1!EH174</f>
        <v>0</v>
      </c>
      <c r="AV176" s="535">
        <f>IF(OR(B176&gt;=GD176,B176&lt;GC176),0,15/36*K176-MAX(0,64.6-(137.6-(Sheet1!AA174+Sheet1!AB174))))</f>
        <v>26.933333333333334</v>
      </c>
      <c r="AW176" s="1029"/>
      <c r="AX176" s="649"/>
      <c r="AY176" s="649">
        <f t="shared" si="410"/>
        <v>0</v>
      </c>
      <c r="AZ176" s="649">
        <f t="shared" si="411"/>
        <v>0</v>
      </c>
      <c r="BA176" s="1059">
        <f t="shared" si="412"/>
        <v>0</v>
      </c>
      <c r="BB176" s="1019">
        <f t="shared" si="445"/>
        <v>2716.666666666667</v>
      </c>
      <c r="BC176" s="1041">
        <f t="shared" si="413"/>
        <v>26.933333333333334</v>
      </c>
      <c r="BD176" s="1019">
        <f ca="1">IF(B176&gt;Summary!$A$1,#N/A,BB176*MGtoAF)</f>
        <v>8334.7333333333336</v>
      </c>
      <c r="BE176" s="535">
        <f>Sheet1!BG174+Sheet1!BH174+Sheet1!BI174-BM176</f>
        <v>2.02</v>
      </c>
      <c r="BF176" s="535">
        <f t="shared" si="446"/>
        <v>2.0237279198523597</v>
      </c>
      <c r="BG176" s="535">
        <f>IF(Sheet1!EP174="FM",BM176,0)</f>
        <v>0</v>
      </c>
      <c r="BH176" s="535">
        <f t="shared" si="447"/>
        <v>0</v>
      </c>
      <c r="BI176" s="535">
        <f>IF(Sheet1!EP174="OTHER",BM176,0)</f>
        <v>0</v>
      </c>
      <c r="BJ176" s="535">
        <f t="shared" si="448"/>
        <v>0</v>
      </c>
      <c r="BK176" s="535">
        <f t="shared" si="449"/>
        <v>2.02</v>
      </c>
      <c r="BL176" s="535">
        <f t="shared" si="450"/>
        <v>2.0237279198523597</v>
      </c>
      <c r="BM176" s="535">
        <f>IF(OR(Sheet1!EP174="FM", Sheet1!EP174="OTHER"),SUM(Sheet1!BG174:'Sheet1'!BI174),0)</f>
        <v>0</v>
      </c>
      <c r="BN176" s="521">
        <f>IF(AND($B176&gt;=$FV176,$B176&lt;=$FW176),MAX(BF176,Sheet1!EI174,0),MAX(BF176-(7/36)*$K176,0))</f>
        <v>0</v>
      </c>
      <c r="BO176" s="535">
        <f t="shared" si="451"/>
        <v>10.54516096903653</v>
      </c>
      <c r="BP176" s="521">
        <f t="shared" si="452"/>
        <v>2.0237279198523597</v>
      </c>
      <c r="BQ176" s="521">
        <f>IF(AND($O176&gt;0,Sheet1!EM174=1),(1-($O176-Sheet1!$L174)/$O176)*BL176,0)</f>
        <v>0</v>
      </c>
      <c r="BR176" s="521">
        <f>IF(AND(Sheet1!$L174=0,Sheet1!$L173=0, Calculation!BK176&lt;Sheet1!$EI174-0.1,Sheet1!$EI174=Sheet1!$EI173,Sheet1!$EI174=Sheet1!$EI175),BL176-BQ176,BL176-BQ176)</f>
        <v>2.0237279198523597</v>
      </c>
      <c r="BS176" s="1035" t="str">
        <f t="shared" si="414"/>
        <v/>
      </c>
      <c r="BT176" s="1035">
        <f t="shared" si="415"/>
        <v>12.568888888888889</v>
      </c>
      <c r="BU176" s="535">
        <f t="shared" si="453"/>
        <v>1267.7777777777778</v>
      </c>
      <c r="BV176" s="535"/>
      <c r="BW176" s="535">
        <f ca="1">IF(B176&gt;Summary!$A$1,#N/A,BU176*MGtoAF)</f>
        <v>3889.5422222222223</v>
      </c>
      <c r="BX176" s="535">
        <f>Sheet1!BC174+Sheet1!BD174+Sheet1!BE174+Sheet1!BF174-CG176-CH176</f>
        <v>3.4899999999999998</v>
      </c>
      <c r="BY176" s="535">
        <f t="shared" si="454"/>
        <v>3.4964408120221457</v>
      </c>
      <c r="BZ176" s="535">
        <f>IF(Sheet1!EQ174="FM",CH176,0)</f>
        <v>0</v>
      </c>
      <c r="CA176" s="535">
        <f t="shared" si="455"/>
        <v>0</v>
      </c>
      <c r="CB176" s="535">
        <f>IF(Sheet1!EQ174="OTHER",CH176,0)</f>
        <v>0</v>
      </c>
      <c r="CC176" s="535">
        <f t="shared" si="456"/>
        <v>0</v>
      </c>
      <c r="CD176" s="535">
        <f t="shared" si="457"/>
        <v>0</v>
      </c>
      <c r="CE176" s="535">
        <f t="shared" si="458"/>
        <v>3.4899999999999998</v>
      </c>
      <c r="CF176" s="535">
        <f t="shared" si="459"/>
        <v>3.4964408120221457</v>
      </c>
      <c r="CG176" s="535">
        <f>IF(Sheet1!EQ174="CWA",SUM(Sheet1!BC174:'Sheet1'!BF174),0)</f>
        <v>0</v>
      </c>
      <c r="CH176" s="535">
        <f>IF(OR(Sheet1!EQ174="FM", Sheet1!EQ174="OTHER"),SUM(Sheet1!BC174:'Sheet1'!BF174),0)</f>
        <v>0</v>
      </c>
      <c r="CI176" s="521">
        <f>IF(AND($B176&gt;=$FV176,$B176&lt;=$FW176),MAX(CF176,Sheet1!EJ174,0),MAX(CF176-(7/36)*$K176,0))</f>
        <v>0</v>
      </c>
      <c r="CJ176" s="535">
        <f t="shared" si="460"/>
        <v>9.0724480768667437</v>
      </c>
      <c r="CK176" s="521">
        <f t="shared" si="461"/>
        <v>3.4964408120221457</v>
      </c>
      <c r="CL176" s="521">
        <f>IF(AND($O176&gt;0,Sheet1!EN174=1),(1-($O176-Sheet1!$L174)/$O176)*CF176,0)</f>
        <v>0</v>
      </c>
      <c r="CM176" s="521">
        <f>IF(AND(Sheet1!$L174=0,Sheet1!$L173=0, Calculation!CE176&lt;Sheet1!EJ174-0.1,Sheet1!EJ174=Sheet1!EJ173,Sheet1!EJ174=Sheet1!EJ175),CF176-CL176,CF176-CL176)</f>
        <v>3.4964408120221457</v>
      </c>
      <c r="CN176" s="1040" t="str">
        <f t="shared" si="416"/>
        <v/>
      </c>
      <c r="CO176" s="1035">
        <f t="shared" si="417"/>
        <v>12.568888888888889</v>
      </c>
      <c r="CP176" s="535">
        <f t="shared" si="462"/>
        <v>1267.7777777777778</v>
      </c>
      <c r="CQ176" s="535"/>
      <c r="CR176" s="535">
        <f ca="1">IF(B176&gt;Summary!$A$1,#N/A,CP176*MGtoAF)</f>
        <v>3889.5422222222223</v>
      </c>
      <c r="CS176" s="535">
        <f>Sheet1!BK174+Sheet1!BL174+Sheet1!BM174-Sheet1!ER174-DA176</f>
        <v>8.02</v>
      </c>
      <c r="CT176" s="535">
        <f t="shared" si="463"/>
        <v>8.0348009491167929</v>
      </c>
      <c r="CU176" s="535">
        <f>IF(Sheet1!ER174="FM",DA176,0)</f>
        <v>0</v>
      </c>
      <c r="CV176" s="535">
        <f t="shared" si="464"/>
        <v>0</v>
      </c>
      <c r="CW176" s="535">
        <f>IF(Sheet1!ER174="OTHER",DA176,0)</f>
        <v>0</v>
      </c>
      <c r="CX176" s="535">
        <f t="shared" si="465"/>
        <v>0</v>
      </c>
      <c r="CY176" s="535">
        <f t="shared" si="466"/>
        <v>8.02</v>
      </c>
      <c r="CZ176" s="535">
        <f t="shared" si="467"/>
        <v>8.0348009491167929</v>
      </c>
      <c r="DA176" s="535">
        <f>IF(OR(Sheet1!ER174="FM", Sheet1!ER174="OTHER"),SUM(Sheet1!BK174:'Sheet1'!BM174),0)</f>
        <v>0</v>
      </c>
      <c r="DB176" s="1011">
        <f>IF(AND($B176&gt;=$FV176,$B176&lt;=$FW176),MAX($CT176,Sheet1!EK174,0),MAX($CT176-(7/36)*$K176,0))</f>
        <v>0</v>
      </c>
      <c r="DC176" s="1012">
        <f t="shared" si="468"/>
        <v>4.5340879397720961</v>
      </c>
      <c r="DD176" s="1011">
        <f t="shared" si="469"/>
        <v>8.0348009491167929</v>
      </c>
      <c r="DE176" s="521">
        <f>IF(AND($O176&gt;0,Sheet1!EO174=1),(1-($O176-Sheet1!$L174)/$O176)*CZ176,0)</f>
        <v>0</v>
      </c>
      <c r="DF176" s="521">
        <f>IF(AND(Sheet1!$L174=0,Sheet1!$L173=0, Calculation!CY176&lt;Sheet1!$EK174-0.1,Sheet1!$EK174=Sheet1!$EK173,Sheet1!$EK174=Sheet1!$EK175),CZ176-DE176,CZ176-DE176)</f>
        <v>8.0348009491167929</v>
      </c>
      <c r="DG176" s="1040">
        <f t="shared" si="418"/>
        <v>12.568888888888889</v>
      </c>
      <c r="DH176" s="649">
        <f t="shared" si="470"/>
        <v>13.53</v>
      </c>
      <c r="DI176" s="535">
        <f t="shared" si="471"/>
        <v>1105.7504579299191</v>
      </c>
      <c r="DJ176" s="649">
        <f t="shared" si="472"/>
        <v>13.554969680991299</v>
      </c>
      <c r="DK176" s="535">
        <f ca="1">IF(B176&gt;Summary!$A$1,#N/A,DI176*MGtoAF)</f>
        <v>3392.4424049289919</v>
      </c>
      <c r="DL176" s="649">
        <f t="shared" si="473"/>
        <v>13.53</v>
      </c>
      <c r="DM176" s="535">
        <f t="shared" si="474"/>
        <v>37.93</v>
      </c>
      <c r="DN176" s="535">
        <f>Sheet1!AB174-DM176</f>
        <v>7.0000000000000284E-2</v>
      </c>
      <c r="DO176" s="743">
        <f t="shared" si="475"/>
        <v>1.845504877405755E-3</v>
      </c>
      <c r="DP176" s="535">
        <f>(VLOOKUP(Sheet1!DC174,hhdcap_wcm,4)-(((VLOOKUP(Sheet1!DC174,hhdcap_wcm,3)-Sheet1!DC174)/(VLOOKUP(Sheet1!DC174,hhdcap_wcm,3)-VLOOKUP(Sheet1!DC174,hhdcap_wcm,1)))*(VLOOKUP(Sheet1!DC174,hhdcap_wcm,4)-VLOOKUP(Sheet1!DC174,hhdcap_wcm,2))))</f>
        <v>49088.000000116888</v>
      </c>
      <c r="DQ176" s="535">
        <f t="shared" si="476"/>
        <v>44.80000000000291</v>
      </c>
      <c r="DR176" s="535">
        <f t="shared" si="477"/>
        <v>22.592032274333285</v>
      </c>
      <c r="DS176" s="535">
        <f>Sheet1!EA174*AFtoMG</f>
        <v>0</v>
      </c>
      <c r="DT176" s="535">
        <f>Sheet1!EB174*AFtoMG</f>
        <v>0</v>
      </c>
      <c r="DU176" s="535">
        <f>Sheet1!EC174*AFtoMG</f>
        <v>0</v>
      </c>
      <c r="DV176" s="535">
        <f>Sheet1!ED174*AFtoMG</f>
        <v>0</v>
      </c>
      <c r="DW176" s="535">
        <f t="shared" si="478"/>
        <v>0</v>
      </c>
      <c r="DX176" s="535">
        <f t="shared" si="479"/>
        <v>0</v>
      </c>
      <c r="DY176" s="535">
        <f t="shared" si="480"/>
        <v>6357.9726801521419</v>
      </c>
      <c r="DZ176" s="535">
        <f t="shared" si="481"/>
        <v>19506.26018270677</v>
      </c>
      <c r="EA176" s="535"/>
      <c r="EB176" s="521">
        <f>IF(OR(B176&lt;FV176,B176&gt;FW176),(MIN(BF176+BY176+CT176+MAX(Sheet1!AA174+AQ176-73,0),K176)),0)</f>
        <v>13.554969680991299</v>
      </c>
      <c r="EC176" s="535"/>
      <c r="ED176" s="535">
        <f t="shared" si="482"/>
        <v>13.554969680991297</v>
      </c>
      <c r="EE176" s="535"/>
      <c r="EF176" s="535">
        <f>Sheet1!EH174+Sheet1!EI174+Sheet1!EJ174+Sheet1!EK174</f>
        <v>14.5</v>
      </c>
      <c r="EG176" s="1019">
        <f t="shared" si="419"/>
        <v>22.4315</v>
      </c>
      <c r="EH176" s="521">
        <f t="shared" si="483"/>
        <v>0</v>
      </c>
      <c r="EI176" s="535">
        <f>IF(Sheet1!ET174=1,SUM('Calculations II'!AT176:BA176)+'Calculations II'!BC176+Sheet1!BV174+'Calculations II'!BE176+AP176,'Calculations II'!BK176)</f>
        <v>58.560858319008702</v>
      </c>
      <c r="EJ176" s="535">
        <f ca="1">EI176+'Calculations II'!D176+'Calculations II'!E176+'Calculations II'!O176</f>
        <v>60.398108796375851</v>
      </c>
      <c r="EK176" s="535"/>
      <c r="EL176" s="535"/>
      <c r="EM176" s="535">
        <f t="shared" si="484"/>
        <v>42900</v>
      </c>
      <c r="EN176" s="535">
        <f t="shared" si="485"/>
        <v>51.085030319008702</v>
      </c>
      <c r="EO176" s="535">
        <f t="shared" si="486"/>
        <v>79.028541903506465</v>
      </c>
      <c r="EP176" s="535">
        <v>0</v>
      </c>
      <c r="EQ176" s="535">
        <v>0</v>
      </c>
      <c r="ER176" s="535">
        <v>0</v>
      </c>
      <c r="ES176" s="521">
        <f t="shared" si="381"/>
        <v>-1.3845594020421133</v>
      </c>
      <c r="ET176" s="535">
        <f>-(VLOOKUP(Sheet1!BQ174,Lookup!$O$4:$Q$262,2)-VLOOKUP(Sheet1!BQ173,Lookup!$O$4:$Q$262,2))/1000000</f>
        <v>-0.69216756804658097</v>
      </c>
      <c r="EU176" s="535">
        <f>-(VLOOKUP(Sheet1!BR174,Lookup!$O$4:$Q$262,3)-VLOOKUP(Sheet1!BR173,Lookup!$O$4:$Q$262,3))/1000000</f>
        <v>-0.69239183399553228</v>
      </c>
      <c r="EV176" s="535"/>
      <c r="EW176" s="535"/>
      <c r="EX176" s="535"/>
      <c r="EY176" s="535">
        <f t="shared" si="434"/>
        <v>43.561570370826821</v>
      </c>
      <c r="EZ176" s="535">
        <f t="shared" si="435"/>
        <v>28.158739735505382</v>
      </c>
      <c r="FA176" s="535"/>
      <c r="FB176" s="535"/>
      <c r="FC176" s="535"/>
      <c r="FD176" s="567" t="e">
        <f t="shared" si="487"/>
        <v>#N/A</v>
      </c>
      <c r="FE176" s="567" t="e">
        <f t="shared" si="488"/>
        <v>#N/A</v>
      </c>
      <c r="FF176" s="568" t="e">
        <f t="shared" si="489"/>
        <v>#N/A</v>
      </c>
      <c r="FG176" s="569" t="s">
        <v>656</v>
      </c>
      <c r="FH176" s="569" t="s">
        <v>656</v>
      </c>
      <c r="FI176" s="567" t="e">
        <v>#N/A</v>
      </c>
      <c r="FJ176" s="567" t="e">
        <v>#N/A</v>
      </c>
      <c r="FK176" s="535">
        <v>24400</v>
      </c>
      <c r="FL176" s="1015">
        <v>0</v>
      </c>
      <c r="FM176" s="535"/>
      <c r="FN176" s="535"/>
      <c r="FO176" s="535">
        <f>O176+((Sheet1!CS174)*GPMtoMGD)</f>
        <v>73.786671999999996</v>
      </c>
      <c r="FP176" s="535">
        <f>IF(Sheet1!AA174+AQ176&lt;=Calculation!N176,AQ176,Calculation!N176-Sheet1!AA174)</f>
        <v>24.445030319008698</v>
      </c>
      <c r="FQ176" s="535">
        <f>(Sheet1!BP174+Sheet1!BO174)/694.4</f>
        <v>2.7664170506912442</v>
      </c>
      <c r="FR176" s="541"/>
      <c r="FS176" s="541"/>
      <c r="FT176" s="541"/>
      <c r="FU176" s="541"/>
      <c r="FV176" s="1109">
        <f t="shared" si="382"/>
        <v>42918</v>
      </c>
      <c r="FW176" s="1109">
        <f t="shared" si="383"/>
        <v>43027</v>
      </c>
      <c r="FX176" s="541"/>
      <c r="FY176" s="541">
        <f>Sheet1!DA174-Sheet1!CZ174-Sheet1!AE174</f>
        <v>83.195120000000017</v>
      </c>
      <c r="FZ176" s="535">
        <f t="shared" si="420"/>
        <v>0.13193176529672157</v>
      </c>
      <c r="GA176" s="535"/>
      <c r="GB176" s="535" t="str">
        <f t="shared" si="384"/>
        <v>n</v>
      </c>
      <c r="GC176" s="539">
        <f t="shared" si="385"/>
        <v>42782</v>
      </c>
      <c r="GD176" s="1109">
        <f t="shared" si="386"/>
        <v>42904</v>
      </c>
      <c r="GE176" s="535">
        <f t="shared" si="404"/>
        <v>6520</v>
      </c>
      <c r="GF176" s="1109">
        <f t="shared" si="387"/>
        <v>42909</v>
      </c>
      <c r="GG176" s="535">
        <f t="shared" si="432"/>
        <v>3260</v>
      </c>
      <c r="GH176" s="539">
        <f t="shared" si="388"/>
        <v>43040</v>
      </c>
      <c r="GJ176" s="521">
        <f t="shared" si="389"/>
        <v>46.550942379236609</v>
      </c>
      <c r="GK176" s="535" t="str">
        <f t="shared" si="490"/>
        <v>P</v>
      </c>
      <c r="GL176" s="535">
        <f t="shared" si="390"/>
        <v>26.933333333333334</v>
      </c>
      <c r="GM176" s="535" t="str">
        <f t="shared" si="391"/>
        <v/>
      </c>
      <c r="GN176" s="535">
        <f>IF(GK176="P",Lookup!$M$12,IF(GK176="PP",Lookup!$M$13,IF(GK176="PPP",Lookup!$M$14,IF(GK176="T",Lookup!$M$15,IF(GK176="TP",Lookup!$M$16,IF(GK176="TPP",Lookup!$M$17,IF(GK176="TPPP",Lookup!$M$18,0)))))))*GJ176</f>
        <v>0</v>
      </c>
      <c r="GO176" s="535">
        <f t="shared" si="392"/>
        <v>0</v>
      </c>
      <c r="GP176" s="535">
        <f t="shared" si="491"/>
        <v>8334.7333333333336</v>
      </c>
      <c r="GQ176" s="535">
        <f t="shared" si="433"/>
        <v>2716.666666666667</v>
      </c>
      <c r="GR176" s="535"/>
      <c r="GS176" s="535">
        <f t="shared" si="393"/>
        <v>10.54516096903653</v>
      </c>
      <c r="GT176" s="535" t="str">
        <f t="shared" si="394"/>
        <v/>
      </c>
      <c r="GU176" s="535">
        <f>IF(GK176="P",Lookup!$N$12,IF(GK176="PP",Lookup!$N$13,IF(GK176="PPP",Lookup!$N$14,IF(GK176="T",Lookup!$N$15,IF(GK176="TP",Lookup!$N$16,IF(GK176="TPP",Lookup!$N$17,IF(GK176="TPPP",Lookup!$N$18,0)))))))*GJ176</f>
        <v>46.550942379236609</v>
      </c>
      <c r="GV176" s="535">
        <f t="shared" si="395"/>
        <v>0</v>
      </c>
      <c r="GW176" s="535">
        <f t="shared" si="492"/>
        <v>3889.5422222222223</v>
      </c>
      <c r="GX176" s="535">
        <f t="shared" si="400"/>
        <v>1267.7777777777778</v>
      </c>
      <c r="GY176" s="535"/>
      <c r="GZ176" s="535">
        <f t="shared" si="396"/>
        <v>9.0724480768667437</v>
      </c>
      <c r="HA176" s="535" t="str">
        <f t="shared" si="397"/>
        <v/>
      </c>
      <c r="HB176" s="535">
        <f>IF(GK176="P",Lookup!$N$12,IF(GK176="PP",Lookup!$N$13,IF(GK176="PPP",Lookup!$N$14,IF(GK176="T",Lookup!$N$15,IF(GK176="TP",Lookup!$N$16,IF(GK176="TPP",Lookup!$N$17,IF(GK176="TPPP",Lookup!$N$18,0)))))))*GJ176</f>
        <v>46.550942379236609</v>
      </c>
      <c r="HC176" s="521">
        <f t="shared" si="493"/>
        <v>0</v>
      </c>
      <c r="HD176" s="535">
        <f t="shared" si="494"/>
        <v>3889.5422222222223</v>
      </c>
      <c r="HE176" s="535">
        <f t="shared" si="401"/>
        <v>1267.7777777777778</v>
      </c>
      <c r="HF176" s="535"/>
      <c r="HG176" s="535">
        <f t="shared" si="398"/>
        <v>0</v>
      </c>
      <c r="HH176" s="535" t="str">
        <f t="shared" si="399"/>
        <v>P</v>
      </c>
      <c r="HI176" s="535">
        <f>IF(GK176="P",Lookup!$N$12,IF(GK176="PP",Lookup!$N$13,IF(GK176="PPP",Lookup!$N$14,IF(GK176="T",Lookup!$N$15,IF(GK176="TP",Lookup!$N$16,IF(GK176="TPP",Lookup!$N$17,IF(GK176="TPPP",Lookup!$N$18,0)))))))*GJ176</f>
        <v>46.550942379236609</v>
      </c>
      <c r="HJ176" s="521">
        <f t="shared" si="495"/>
        <v>46.550942379236609</v>
      </c>
      <c r="HK176" s="535">
        <f t="shared" si="496"/>
        <v>3249.6241137094939</v>
      </c>
      <c r="HL176" s="535">
        <f t="shared" si="402"/>
        <v>1059.1995155506825</v>
      </c>
      <c r="HM176" s="535"/>
      <c r="HN176" s="541"/>
      <c r="HO176" s="541"/>
      <c r="HP176" s="541"/>
      <c r="HQ176" s="541">
        <f>IF(AND(B176&gt;=$FV$4,B176&lt;=$FW$4),MAX(110/1.02+$HQ$6+MIN(113/1.02,G176),IF($HV$6-(Sheet1!DA174-Sheet1!DB174)+MIN(113/1.02,G176)&lt;G176+FL176,$HV$6-(Sheet1!DA174-Sheet1!DB174)+MIN(113/1.02,G176),G176+FL176)),MIN(110/1.02+$HQ$6+113/1.02,G176))</f>
        <v>218.62745098039215</v>
      </c>
      <c r="HR176" s="541">
        <f t="shared" si="421"/>
        <v>223</v>
      </c>
      <c r="HS176" s="541">
        <f>HR176+(Sheet1!DA174-Sheet1!DB174)</f>
        <v>482</v>
      </c>
      <c r="HT176" s="541">
        <f t="shared" si="422"/>
        <v>85.873969999999986</v>
      </c>
      <c r="HU176" s="541">
        <f t="shared" si="423"/>
        <v>396.12603000000001</v>
      </c>
      <c r="HV176" s="541">
        <f t="shared" si="424"/>
        <v>0</v>
      </c>
      <c r="HW176" s="541" t="str">
        <f t="shared" si="425"/>
        <v/>
      </c>
      <c r="HX176" s="541">
        <f t="shared" si="426"/>
        <v>389.37254901960785</v>
      </c>
      <c r="HY176" s="541">
        <f>Sheet1!CZ174</f>
        <v>608</v>
      </c>
      <c r="HZ176" s="541">
        <f t="shared" si="427"/>
        <v>0</v>
      </c>
      <c r="IA176" s="541">
        <f t="shared" si="428"/>
        <v>85.873969999999986</v>
      </c>
      <c r="IB176" s="541">
        <f t="shared" si="429"/>
        <v>608</v>
      </c>
      <c r="IC176" s="1019" t="str">
        <f t="shared" si="430"/>
        <v/>
      </c>
      <c r="ID176" s="541">
        <f t="shared" si="431"/>
        <v>522.12603000000001</v>
      </c>
      <c r="IE176" s="541">
        <f>Sheet1!DB174</f>
        <v>539</v>
      </c>
      <c r="IF176" s="533">
        <f>Sheet1!DA174</f>
        <v>798</v>
      </c>
      <c r="IH176" s="541">
        <f>IF(AND($B176&gt;=$GC176,$B176&lt;=$GH176,$DR176&lt;0)+N("only adjusted when pool is drawn down during storage season"),Sheet1!$DB174+$DR176+N("Palmer minus all storage release"),Sheet1!$DB174)</f>
        <v>539</v>
      </c>
      <c r="II176" s="541">
        <f>IF(AND($B176&gt;=$GC176,$B176&lt;=$GH176,$DR176&lt;0)+N("only adjusted when pool is drawn down during storage season"),Sheet1!$DA174+$DR176+N("Auburn minus all storage release"),Sheet1!$DA174)</f>
        <v>798</v>
      </c>
    </row>
    <row r="177" spans="1:243" x14ac:dyDescent="0.25">
      <c r="A177" s="553" t="s">
        <v>7</v>
      </c>
      <c r="B177" s="531">
        <v>42901</v>
      </c>
      <c r="C177" s="536">
        <v>0</v>
      </c>
      <c r="D177" s="506">
        <f t="shared" si="371"/>
        <v>300</v>
      </c>
      <c r="E177" s="506">
        <f t="shared" si="372"/>
        <v>250</v>
      </c>
      <c r="F177" s="506">
        <v>250</v>
      </c>
      <c r="G177" s="535">
        <f>DR177+Sheet1!CZ175</f>
        <v>855.4664649532757</v>
      </c>
      <c r="H177" s="1074">
        <f t="shared" si="405"/>
        <v>332.70063852799996</v>
      </c>
      <c r="I177" s="534">
        <f>IF(Sheet1!DA175&gt;=E177,(Sheet1!DA175-E177+P177)*CFStoMGD,0)</f>
        <v>496.88623852799998</v>
      </c>
      <c r="J177" s="995">
        <f>IF(Sheet1!DB175&gt;=D177,(Sheet1!DB175-D177+P177)*CFStoMGD,0)</f>
        <v>332.70063852799996</v>
      </c>
      <c r="K177" s="818">
        <f t="shared" si="406"/>
        <v>64.64</v>
      </c>
      <c r="L177" s="535">
        <f>Sheet1!AA175+Sheet1!AB175-Sheet1!L175+(Sheet1!DA175-F177)*CFStoMGD-S177-T177-U177</f>
        <v>432.24760000000003</v>
      </c>
      <c r="M177" s="535">
        <f t="shared" si="436"/>
        <v>564.03299340471335</v>
      </c>
      <c r="N177" s="824">
        <f>IF(Sheet1!DA175&gt;=F177,MIN(113*CFStoMGD,MIN(MAX(L177,0),MAX(M177,0))),0)</f>
        <v>73.043199999999999</v>
      </c>
      <c r="O177" s="538">
        <f>Sheet1!AA175+Sheet1!AB175</f>
        <v>70.91</v>
      </c>
      <c r="P177" s="538">
        <f t="shared" si="437"/>
        <v>109.69776999999999</v>
      </c>
      <c r="Q177" s="812">
        <f t="shared" si="407"/>
        <v>57.379999999999995</v>
      </c>
      <c r="R177" s="812">
        <f t="shared" si="373"/>
        <v>13.503490080822925</v>
      </c>
      <c r="S177" s="812">
        <f t="shared" si="374"/>
        <v>13.53</v>
      </c>
      <c r="T177" s="812">
        <f t="shared" si="375"/>
        <v>51.11</v>
      </c>
      <c r="U177" s="812">
        <f t="shared" si="408"/>
        <v>0</v>
      </c>
      <c r="V177" s="812"/>
      <c r="W177" s="812">
        <f t="shared" si="376"/>
        <v>51.136509919177072</v>
      </c>
      <c r="X177" s="812">
        <f t="shared" si="377"/>
        <v>64.64</v>
      </c>
      <c r="Y177" s="812" t="str">
        <f t="shared" si="378"/>
        <v>FALSE</v>
      </c>
      <c r="Z177" s="812">
        <f t="shared" si="379"/>
        <v>70.91</v>
      </c>
      <c r="AA177" s="812">
        <f t="shared" si="380"/>
        <v>70.91</v>
      </c>
      <c r="AB177" s="1059">
        <f t="shared" si="409"/>
        <v>88.766859999999994</v>
      </c>
      <c r="AC177" s="538">
        <f>Sheet1!Y175*MGDtoCFS</f>
        <v>48.018879999999996</v>
      </c>
      <c r="AD177" s="538">
        <f>Sheet1!Z175*MGDtoCFS</f>
        <v>58.631299999999996</v>
      </c>
      <c r="AE177" s="538">
        <f>Sheet1!AA175*MGDtoCFS</f>
        <v>46.657519999999998</v>
      </c>
      <c r="AF177" s="538">
        <f>Sheet1!AB175*MGDtoCFS</f>
        <v>63.04025</v>
      </c>
      <c r="AG177" s="538">
        <f>Sheet1!L175*MGDtoCFS</f>
        <v>0</v>
      </c>
      <c r="AH177" s="521">
        <f t="shared" si="438"/>
        <v>0</v>
      </c>
      <c r="AI177" s="1059">
        <f t="shared" si="439"/>
        <v>0</v>
      </c>
      <c r="AJ177" s="535">
        <f t="shared" si="440"/>
        <v>51.136509919177072</v>
      </c>
      <c r="AK177" s="535">
        <f t="shared" si="441"/>
        <v>79.108180844966924</v>
      </c>
      <c r="AL177" s="535">
        <f>(VLOOKUP(Sheet1!DC175,hhdcap_wcm,4)-(((VLOOKUP(Sheet1!DC175,hhdcap_wcm,3)-Sheet1!DC175)/(VLOOKUP(Sheet1!DC175,hhdcap_wcm,3)-VLOOKUP(Sheet1!DC175,hhdcap_wcm,1)))*(VLOOKUP(Sheet1!DC175,hhdcap_wcm,4)-VLOOKUP(Sheet1!DC175,hhdcap_wcm,2))))</f>
        <v>49336.800000119234</v>
      </c>
      <c r="AM177" s="535">
        <f t="shared" si="442"/>
        <v>248.80000000234577</v>
      </c>
      <c r="AN177" s="1035">
        <f t="shared" si="443"/>
        <v>6409.1091900713191</v>
      </c>
      <c r="AO177" s="535">
        <f t="shared" si="444"/>
        <v>19663.146995138806</v>
      </c>
      <c r="AP177" s="535">
        <f>Sheet1!BA175+Sheet1!BB175+Sheet1!BN175+CD177</f>
        <v>27.3</v>
      </c>
      <c r="AQ177" s="535">
        <f>Sheet1!BN175+(DO177*Sheet1!BN175)</f>
        <v>27.246509919177079</v>
      </c>
      <c r="AR177" s="535">
        <f>Sheet1!BA175+CD177</f>
        <v>0</v>
      </c>
      <c r="AS177" s="535">
        <f>Sheet1!BA175+Sheet1!BB175+CD177</f>
        <v>0</v>
      </c>
      <c r="AT177" s="649">
        <f>0</f>
        <v>0</v>
      </c>
      <c r="AU177" s="974">
        <f>BA177+Sheet1!EH175</f>
        <v>0</v>
      </c>
      <c r="AV177" s="535">
        <f>IF(OR(B177&gt;=GD177,B177&lt;GC177),0,15/36*K177-MAX(0,64.6-(137.6-(Sheet1!AA175+Sheet1!AB175))))</f>
        <v>26.933333333333334</v>
      </c>
      <c r="AW177" s="1029"/>
      <c r="AX177" s="649"/>
      <c r="AY177" s="649">
        <f t="shared" si="410"/>
        <v>0</v>
      </c>
      <c r="AZ177" s="649">
        <f t="shared" si="411"/>
        <v>0</v>
      </c>
      <c r="BA177" s="1059">
        <f t="shared" si="412"/>
        <v>0</v>
      </c>
      <c r="BB177" s="1019">
        <f t="shared" si="445"/>
        <v>2716.666666666667</v>
      </c>
      <c r="BC177" s="1041">
        <f t="shared" si="413"/>
        <v>26.933333333333334</v>
      </c>
      <c r="BD177" s="1019">
        <f ca="1">IF(B177&gt;Summary!$A$1,#N/A,BB177*MGtoAF)</f>
        <v>8334.7333333333336</v>
      </c>
      <c r="BE177" s="535">
        <f>Sheet1!BG175+Sheet1!BH175+Sheet1!BI175-BM177</f>
        <v>2.02</v>
      </c>
      <c r="BF177" s="535">
        <f t="shared" si="446"/>
        <v>2.0160421258878278</v>
      </c>
      <c r="BG177" s="535">
        <f>IF(Sheet1!EP175="FM",BM177,0)</f>
        <v>0</v>
      </c>
      <c r="BH177" s="535">
        <f t="shared" si="447"/>
        <v>0</v>
      </c>
      <c r="BI177" s="535">
        <f>IF(Sheet1!EP175="OTHER",BM177,0)</f>
        <v>0</v>
      </c>
      <c r="BJ177" s="535">
        <f t="shared" si="448"/>
        <v>0</v>
      </c>
      <c r="BK177" s="535">
        <f t="shared" si="449"/>
        <v>2.02</v>
      </c>
      <c r="BL177" s="535">
        <f t="shared" si="450"/>
        <v>2.0160421258878278</v>
      </c>
      <c r="BM177" s="535">
        <f>IF(OR(Sheet1!EP175="FM", Sheet1!EP175="OTHER"),SUM(Sheet1!BG175:'Sheet1'!BI175),0)</f>
        <v>0</v>
      </c>
      <c r="BN177" s="521">
        <f>IF(AND($B177&gt;=$FV177,$B177&lt;=$FW177),MAX(BF177,Sheet1!EI175,0),MAX(BF177-(7/36)*$K177,0))</f>
        <v>0</v>
      </c>
      <c r="BO177" s="535">
        <f t="shared" ref="BO177:BO234" si="497">IF(B177&gt;=GC177,IF(B177&lt;=GD177,(7/36)*K177-BF177,0),0)</f>
        <v>10.55284676300106</v>
      </c>
      <c r="BP177" s="521">
        <f t="shared" si="452"/>
        <v>2.0160421258878278</v>
      </c>
      <c r="BQ177" s="521">
        <f>IF(AND($O177&gt;0,Sheet1!EM175=1),(1-($O177-Sheet1!$L175)/$O177)*BL177,0)</f>
        <v>0</v>
      </c>
      <c r="BR177" s="521">
        <f>IF(AND(Sheet1!$L175=0,Sheet1!$L174=0, Calculation!BK177&lt;Sheet1!$EI175-0.1,Sheet1!$EI175=Sheet1!$EI174,Sheet1!$EI175=Sheet1!$EI176),BL177-BQ177,BL177-BQ177)</f>
        <v>2.0160421258878278</v>
      </c>
      <c r="BS177" s="1035" t="str">
        <f t="shared" si="414"/>
        <v/>
      </c>
      <c r="BT177" s="1035">
        <f t="shared" si="415"/>
        <v>12.568888888888889</v>
      </c>
      <c r="BU177" s="535">
        <f t="shared" si="453"/>
        <v>1267.7777777777778</v>
      </c>
      <c r="BV177" s="535"/>
      <c r="BW177" s="535">
        <f ca="1">IF(B177&gt;Summary!$A$1,#N/A,BU177*MGtoAF)</f>
        <v>3889.5422222222223</v>
      </c>
      <c r="BX177" s="535">
        <f>Sheet1!BC175+Sheet1!BD175+Sheet1!BE175+Sheet1!BF175-CG177-CH177</f>
        <v>3.49</v>
      </c>
      <c r="BY177" s="535">
        <f t="shared" si="454"/>
        <v>3.4831618907665938</v>
      </c>
      <c r="BZ177" s="535">
        <f>IF(Sheet1!EQ175="FM",CH177,0)</f>
        <v>0</v>
      </c>
      <c r="CA177" s="535">
        <f t="shared" si="455"/>
        <v>0</v>
      </c>
      <c r="CB177" s="535">
        <f>IF(Sheet1!EQ175="OTHER",CH177,0)</f>
        <v>0</v>
      </c>
      <c r="CC177" s="535">
        <f t="shared" si="456"/>
        <v>0</v>
      </c>
      <c r="CD177" s="535">
        <f t="shared" si="457"/>
        <v>0</v>
      </c>
      <c r="CE177" s="535">
        <f t="shared" si="458"/>
        <v>3.49</v>
      </c>
      <c r="CF177" s="535">
        <f t="shared" si="459"/>
        <v>3.4831618907665938</v>
      </c>
      <c r="CG177" s="535">
        <f>IF(Sheet1!EQ175="CWA",SUM(Sheet1!BC175:'Sheet1'!BF175),0)</f>
        <v>0</v>
      </c>
      <c r="CH177" s="535">
        <f>IF(OR(Sheet1!EQ175="FM", Sheet1!EQ175="OTHER"),SUM(Sheet1!BC175:'Sheet1'!BF175),0)</f>
        <v>0</v>
      </c>
      <c r="CI177" s="521">
        <f>IF(AND($B177&gt;=$FV177,$B177&lt;=$FW177),MAX(CF177,Sheet1!EJ175,0),MAX(CF177-(7/36)*$K177,0))</f>
        <v>0</v>
      </c>
      <c r="CJ177" s="535">
        <f t="shared" si="460"/>
        <v>9.0857269981222952</v>
      </c>
      <c r="CK177" s="521">
        <f t="shared" si="461"/>
        <v>3.4831618907665938</v>
      </c>
      <c r="CL177" s="521">
        <f>IF(AND($O177&gt;0,Sheet1!EN175=1),(1-($O177-Sheet1!$L175)/$O177)*CF177,0)</f>
        <v>0</v>
      </c>
      <c r="CM177" s="521">
        <f>IF(AND(Sheet1!$L175=0,Sheet1!$L174=0, Calculation!CE177&lt;Sheet1!EJ175-0.1,Sheet1!EJ175=Sheet1!EJ174,Sheet1!EJ175=Sheet1!EJ176),CF177-CL177,CF177-CL177)</f>
        <v>3.4831618907665938</v>
      </c>
      <c r="CN177" s="1040" t="str">
        <f t="shared" si="416"/>
        <v/>
      </c>
      <c r="CO177" s="1035">
        <f t="shared" si="417"/>
        <v>12.568888888888889</v>
      </c>
      <c r="CP177" s="535">
        <f t="shared" si="462"/>
        <v>1267.7777777777778</v>
      </c>
      <c r="CQ177" s="535"/>
      <c r="CR177" s="535">
        <f ca="1">IF(B177&gt;Summary!$A$1,#N/A,CP177*MGtoAF)</f>
        <v>3889.5422222222223</v>
      </c>
      <c r="CS177" s="535">
        <f>Sheet1!BK175+Sheet1!BL175+Sheet1!BM175-Sheet1!ER175-DA177</f>
        <v>8.02</v>
      </c>
      <c r="CT177" s="535">
        <f t="shared" si="463"/>
        <v>8.0042860641685039</v>
      </c>
      <c r="CU177" s="535">
        <f>IF(Sheet1!ER175="FM",DA177,0)</f>
        <v>0</v>
      </c>
      <c r="CV177" s="535">
        <f t="shared" si="464"/>
        <v>0</v>
      </c>
      <c r="CW177" s="535">
        <f>IF(Sheet1!ER175="OTHER",DA177,0)</f>
        <v>0</v>
      </c>
      <c r="CX177" s="535">
        <f t="shared" si="465"/>
        <v>0</v>
      </c>
      <c r="CY177" s="535">
        <f t="shared" si="466"/>
        <v>8.02</v>
      </c>
      <c r="CZ177" s="535">
        <f t="shared" si="467"/>
        <v>8.0042860641685039</v>
      </c>
      <c r="DA177" s="535">
        <f>IF(OR(Sheet1!ER175="FM", Sheet1!ER175="OTHER"),SUM(Sheet1!BK175:'Sheet1'!BM175),0)</f>
        <v>0</v>
      </c>
      <c r="DB177" s="1011">
        <f>IF(AND($B177&gt;=$FV177,$B177&lt;=$FW177),MAX($CT177,Sheet1!EK175,0),MAX($CT177-(7/36)*$K177,0))</f>
        <v>0</v>
      </c>
      <c r="DC177" s="1012">
        <f t="shared" ref="DC177:DC234" si="498">IF(B177&gt;=GC177,IF(B177&lt;=GD177,(7/36)*K177-CT177,0),0)</f>
        <v>4.5646028247203851</v>
      </c>
      <c r="DD177" s="1011">
        <f t="shared" si="469"/>
        <v>8.0042860641685039</v>
      </c>
      <c r="DE177" s="521">
        <f>IF(AND($O177&gt;0,Sheet1!EO175=1),(1-($O177-Sheet1!$L175)/$O177)*CZ177,0)</f>
        <v>0</v>
      </c>
      <c r="DF177" s="521">
        <f>IF(AND(Sheet1!$L175=0,Sheet1!$L174=0, Calculation!CY177&lt;Sheet1!$EK175-0.1,Sheet1!$EK175=Sheet1!$EK174,Sheet1!$EK175=Sheet1!$EK176),CZ177-DE177,CZ177-DE177)</f>
        <v>8.0042860641685039</v>
      </c>
      <c r="DG177" s="1040">
        <f t="shared" si="418"/>
        <v>12.568888888888889</v>
      </c>
      <c r="DH177" s="649">
        <f t="shared" si="470"/>
        <v>13.53</v>
      </c>
      <c r="DI177" s="535">
        <f t="shared" si="471"/>
        <v>1156.8869678490962</v>
      </c>
      <c r="DJ177" s="649">
        <f t="shared" si="472"/>
        <v>13.503490080822925</v>
      </c>
      <c r="DK177" s="535">
        <f ca="1">IF(B177&gt;Summary!$A$1,#N/A,DI177*MGtoAF)</f>
        <v>3549.3292173610271</v>
      </c>
      <c r="DL177" s="649">
        <f t="shared" si="473"/>
        <v>13.53</v>
      </c>
      <c r="DM177" s="535">
        <f t="shared" si="474"/>
        <v>40.83</v>
      </c>
      <c r="DN177" s="535">
        <f>Sheet1!AB175-DM177</f>
        <v>-7.9999999999998295E-2</v>
      </c>
      <c r="DO177" s="743">
        <f t="shared" si="475"/>
        <v>-1.9593436198872961E-3</v>
      </c>
      <c r="DP177" s="535">
        <f>(VLOOKUP(Sheet1!DC175,hhdcap_wcm,4)-(((VLOOKUP(Sheet1!DC175,hhdcap_wcm,3)-Sheet1!DC175)/(VLOOKUP(Sheet1!DC175,hhdcap_wcm,3)-VLOOKUP(Sheet1!DC175,hhdcap_wcm,1)))*(VLOOKUP(Sheet1!DC175,hhdcap_wcm,4)-VLOOKUP(Sheet1!DC175,hhdcap_wcm,2))))</f>
        <v>49336.800000119234</v>
      </c>
      <c r="DQ177" s="535">
        <f t="shared" si="476"/>
        <v>248.80000000234577</v>
      </c>
      <c r="DR177" s="535">
        <f t="shared" si="477"/>
        <v>125.4664649532757</v>
      </c>
      <c r="DS177" s="535">
        <f>Sheet1!EA175*AFtoMG</f>
        <v>0</v>
      </c>
      <c r="DT177" s="535">
        <f>Sheet1!EB175*AFtoMG</f>
        <v>0</v>
      </c>
      <c r="DU177" s="535">
        <f>Sheet1!EC175*AFtoMG</f>
        <v>0</v>
      </c>
      <c r="DV177" s="535">
        <f>Sheet1!ED175*AFtoMG</f>
        <v>0</v>
      </c>
      <c r="DW177" s="535">
        <f t="shared" si="478"/>
        <v>0</v>
      </c>
      <c r="DX177" s="535">
        <f t="shared" si="479"/>
        <v>0</v>
      </c>
      <c r="DY177" s="535">
        <f t="shared" si="480"/>
        <v>6409.1091900713191</v>
      </c>
      <c r="DZ177" s="535">
        <f t="shared" si="481"/>
        <v>19663.146995138806</v>
      </c>
      <c r="EA177" s="535"/>
      <c r="EB177" s="521">
        <f>IF(OR(B177&lt;FV177,B177&gt;FW177),(MIN(BF177+BY177+CT177+MAX(Sheet1!AA175+AQ177-73,0),K177)),0)</f>
        <v>13.503490080822925</v>
      </c>
      <c r="EC177" s="535"/>
      <c r="ED177" s="535">
        <f t="shared" si="482"/>
        <v>13.503490080822926</v>
      </c>
      <c r="EE177" s="535"/>
      <c r="EF177" s="535">
        <f>Sheet1!EH175+Sheet1!EI175+Sheet1!EJ175+Sheet1!EK175</f>
        <v>14.5</v>
      </c>
      <c r="EG177" s="1019">
        <f t="shared" si="419"/>
        <v>22.4315</v>
      </c>
      <c r="EH177" s="521">
        <f t="shared" si="483"/>
        <v>0</v>
      </c>
      <c r="EI177" s="535">
        <f>IF(Sheet1!ET175=1,SUM('Calculations II'!AT177:BA177)+'Calculations II'!BC177+Sheet1!BV175+'Calculations II'!BE177+AP177,'Calculations II'!BK177)</f>
        <v>51.072985919177079</v>
      </c>
      <c r="EJ177" s="535">
        <f ca="1">EI177+'Calculations II'!D177+'Calculations II'!E177+'Calculations II'!O177</f>
        <v>59.590842780992539</v>
      </c>
      <c r="EK177" s="535"/>
      <c r="EL177" s="535"/>
      <c r="EM177" s="535">
        <f t="shared" si="484"/>
        <v>42901</v>
      </c>
      <c r="EN177" s="535">
        <f t="shared" si="485"/>
        <v>51.136509919177072</v>
      </c>
      <c r="EO177" s="535">
        <f t="shared" si="486"/>
        <v>79.108180844966924</v>
      </c>
      <c r="EP177" s="535">
        <v>0</v>
      </c>
      <c r="EQ177" s="535">
        <v>0</v>
      </c>
      <c r="ER177" s="535">
        <v>0</v>
      </c>
      <c r="ES177" s="521">
        <f t="shared" si="381"/>
        <v>-9.1461293752533006</v>
      </c>
      <c r="ET177" s="535">
        <f>-(VLOOKUP(Sheet1!BQ175,Lookup!$O$4:$Q$262,2)-VLOOKUP(Sheet1!BQ174,Lookup!$O$4:$Q$262,2))/1000000</f>
        <v>-4.5723242856479844</v>
      </c>
      <c r="EU177" s="535">
        <f>-(VLOOKUP(Sheet1!BR175,Lookup!$O$4:$Q$262,3)-VLOOKUP(Sheet1!BR174,Lookup!$O$4:$Q$262,3))/1000000</f>
        <v>-4.5738050896053162</v>
      </c>
      <c r="EV177" s="535"/>
      <c r="EW177" s="535"/>
      <c r="EX177" s="535"/>
      <c r="EY177" s="535">
        <f t="shared" si="434"/>
        <v>146.35636410830875</v>
      </c>
      <c r="EZ177" s="535">
        <f t="shared" si="435"/>
        <v>94.606570205758729</v>
      </c>
      <c r="FA177" s="535"/>
      <c r="FB177" s="535"/>
      <c r="FC177" s="535"/>
      <c r="FD177" s="567" t="e">
        <f t="shared" si="487"/>
        <v>#N/A</v>
      </c>
      <c r="FE177" s="567" t="e">
        <f t="shared" si="488"/>
        <v>#N/A</v>
      </c>
      <c r="FF177" s="568" t="e">
        <f t="shared" si="489"/>
        <v>#N/A</v>
      </c>
      <c r="FG177" s="569" t="s">
        <v>656</v>
      </c>
      <c r="FH177" s="569" t="s">
        <v>656</v>
      </c>
      <c r="FI177" s="567" t="e">
        <v>#N/A</v>
      </c>
      <c r="FJ177" s="567" t="e">
        <v>#N/A</v>
      </c>
      <c r="FK177" s="535">
        <v>24350</v>
      </c>
      <c r="FL177" s="1015">
        <v>0</v>
      </c>
      <c r="FM177" s="535"/>
      <c r="FN177" s="535"/>
      <c r="FO177" s="535">
        <f>O177+((Sheet1!CS175)*GPMtoMGD)</f>
        <v>73.178287999999995</v>
      </c>
      <c r="FP177" s="535">
        <f>IF(Sheet1!AA175+AQ177&lt;=Calculation!N177,AQ177,Calculation!N177-Sheet1!AA175)</f>
        <v>27.246509919177079</v>
      </c>
      <c r="FQ177" s="535">
        <f>(Sheet1!BP175+Sheet1!BO175)/694.4</f>
        <v>2.028225806451613</v>
      </c>
      <c r="FR177" s="541"/>
      <c r="FS177" s="541"/>
      <c r="FT177" s="541"/>
      <c r="FU177" s="541"/>
      <c r="FV177" s="1109">
        <f t="shared" si="382"/>
        <v>42918</v>
      </c>
      <c r="FW177" s="1109">
        <f t="shared" si="383"/>
        <v>43027</v>
      </c>
      <c r="FX177" s="541"/>
      <c r="FY177" s="541">
        <f>Sheet1!DA175-Sheet1!CZ175-Sheet1!AE175</f>
        <v>69.302230000000009</v>
      </c>
      <c r="FZ177" s="535">
        <f t="shared" si="420"/>
        <v>8.1011042325060859E-2</v>
      </c>
      <c r="GA177" s="535"/>
      <c r="GB177" s="535" t="str">
        <f t="shared" si="384"/>
        <v>n</v>
      </c>
      <c r="GC177" s="539">
        <f t="shared" si="385"/>
        <v>42782</v>
      </c>
      <c r="GD177" s="1109">
        <f t="shared" si="386"/>
        <v>42904</v>
      </c>
      <c r="GE177" s="535">
        <f t="shared" si="404"/>
        <v>6520</v>
      </c>
      <c r="GF177" s="1109">
        <f t="shared" si="387"/>
        <v>42909</v>
      </c>
      <c r="GG177" s="535">
        <f t="shared" si="432"/>
        <v>3260</v>
      </c>
      <c r="GH177" s="539">
        <f t="shared" si="388"/>
        <v>43040</v>
      </c>
      <c r="GJ177" s="521">
        <f t="shared" si="389"/>
        <v>46.571907094456691</v>
      </c>
      <c r="GK177" s="535" t="str">
        <f t="shared" si="490"/>
        <v>P</v>
      </c>
      <c r="GL177" s="535">
        <f t="shared" si="390"/>
        <v>26.933333333333334</v>
      </c>
      <c r="GM177" s="535" t="str">
        <f t="shared" si="391"/>
        <v/>
      </c>
      <c r="GN177" s="535">
        <f>IF(GK177="P",Lookup!$M$12,IF(GK177="PP",Lookup!$M$13,IF(GK177="PPP",Lookup!$M$14,IF(GK177="T",Lookup!$M$15,IF(GK177="TP",Lookup!$M$16,IF(GK177="TPP",Lookup!$M$17,IF(GK177="TPPP",Lookup!$M$18,0)))))))*GJ177</f>
        <v>0</v>
      </c>
      <c r="GO177" s="535">
        <f t="shared" si="392"/>
        <v>0</v>
      </c>
      <c r="GP177" s="535">
        <f t="shared" si="491"/>
        <v>8334.7333333333336</v>
      </c>
      <c r="GQ177" s="535">
        <f t="shared" si="433"/>
        <v>2716.666666666667</v>
      </c>
      <c r="GR177" s="535"/>
      <c r="GS177" s="535">
        <f t="shared" si="393"/>
        <v>10.55284676300106</v>
      </c>
      <c r="GT177" s="535" t="str">
        <f t="shared" si="394"/>
        <v/>
      </c>
      <c r="GU177" s="535">
        <f>IF(GK177="P",Lookup!$N$12,IF(GK177="PP",Lookup!$N$13,IF(GK177="PPP",Lookup!$N$14,IF(GK177="T",Lookup!$N$15,IF(GK177="TP",Lookup!$N$16,IF(GK177="TPP",Lookup!$N$17,IF(GK177="TPPP",Lookup!$N$18,0)))))))*GJ177</f>
        <v>46.571907094456691</v>
      </c>
      <c r="GV177" s="535">
        <f t="shared" si="395"/>
        <v>0</v>
      </c>
      <c r="GW177" s="535">
        <f t="shared" si="492"/>
        <v>3889.5422222222223</v>
      </c>
      <c r="GX177" s="535">
        <f t="shared" si="400"/>
        <v>1267.7777777777778</v>
      </c>
      <c r="GY177" s="535"/>
      <c r="GZ177" s="535">
        <f t="shared" si="396"/>
        <v>9.0857269981222952</v>
      </c>
      <c r="HA177" s="535" t="str">
        <f t="shared" si="397"/>
        <v/>
      </c>
      <c r="HB177" s="535">
        <f>IF(GK177="P",Lookup!$N$12,IF(GK177="PP",Lookup!$N$13,IF(GK177="PPP",Lookup!$N$14,IF(GK177="T",Lookup!$N$15,IF(GK177="TP",Lookup!$N$16,IF(GK177="TPP",Lookup!$N$17,IF(GK177="TPPP",Lookup!$N$18,0)))))))*GJ177</f>
        <v>46.571907094456691</v>
      </c>
      <c r="HC177" s="521">
        <f t="shared" si="493"/>
        <v>0</v>
      </c>
      <c r="HD177" s="535">
        <f t="shared" si="494"/>
        <v>3889.5422222222223</v>
      </c>
      <c r="HE177" s="535">
        <f t="shared" si="401"/>
        <v>1267.7777777777778</v>
      </c>
      <c r="HF177" s="535"/>
      <c r="HG177" s="535">
        <f t="shared" si="398"/>
        <v>0</v>
      </c>
      <c r="HH177" s="535" t="str">
        <f t="shared" si="399"/>
        <v>P</v>
      </c>
      <c r="HI177" s="535">
        <f>IF(GK177="P",Lookup!$N$12,IF(GK177="PP",Lookup!$N$13,IF(GK177="PPP",Lookup!$N$14,IF(GK177="T",Lookup!$N$15,IF(GK177="TP",Lookup!$N$16,IF(GK177="TPP",Lookup!$N$17,IF(GK177="TPPP",Lookup!$N$18,0)))))))*GJ177</f>
        <v>46.571907094456691</v>
      </c>
      <c r="HJ177" s="521">
        <f t="shared" si="495"/>
        <v>46.571907094456691</v>
      </c>
      <c r="HK177" s="535">
        <f t="shared" si="496"/>
        <v>3406.4466063952341</v>
      </c>
      <c r="HL177" s="535">
        <f t="shared" si="402"/>
        <v>1110.3150607546395</v>
      </c>
      <c r="HM177" s="535"/>
      <c r="HN177" s="541"/>
      <c r="HO177" s="541"/>
      <c r="HP177" s="541"/>
      <c r="HQ177" s="541">
        <f>IF(AND(B177&gt;=$FV$4,B177&lt;=$FW$4),MAX(110/1.02+$HQ$6+MIN(113/1.02,G177),IF($HV$6-(Sheet1!DA175-Sheet1!DB175)+MIN(113/1.02,G177)&lt;G177+FL177,$HV$6-(Sheet1!DA175-Sheet1!DB175)+MIN(113/1.02,G177),G177+FL177)),MIN(110/1.02+$HQ$6+113/1.02,G177))</f>
        <v>218.62745098039215</v>
      </c>
      <c r="HR177" s="541">
        <f t="shared" si="421"/>
        <v>223</v>
      </c>
      <c r="HS177" s="541">
        <f>HR177+(Sheet1!DA175-Sheet1!DB175)</f>
        <v>427</v>
      </c>
      <c r="HT177" s="541">
        <f t="shared" si="422"/>
        <v>88.766859999999994</v>
      </c>
      <c r="HU177" s="541">
        <f t="shared" si="423"/>
        <v>338.23313999999999</v>
      </c>
      <c r="HV177" s="541">
        <f t="shared" si="424"/>
        <v>0</v>
      </c>
      <c r="HW177" s="541" t="str">
        <f t="shared" si="425"/>
        <v/>
      </c>
      <c r="HX177" s="541">
        <f t="shared" si="426"/>
        <v>511.37254901960785</v>
      </c>
      <c r="HY177" s="541">
        <f>Sheet1!CZ175</f>
        <v>730</v>
      </c>
      <c r="HZ177" s="541">
        <f t="shared" si="427"/>
        <v>0</v>
      </c>
      <c r="IA177" s="541">
        <f t="shared" si="428"/>
        <v>88.766859999999994</v>
      </c>
      <c r="IB177" s="541">
        <f t="shared" si="429"/>
        <v>730</v>
      </c>
      <c r="IC177" s="1019" t="str">
        <f t="shared" si="430"/>
        <v/>
      </c>
      <c r="ID177" s="541">
        <f t="shared" si="431"/>
        <v>641.23314000000005</v>
      </c>
      <c r="IE177" s="541">
        <f>Sheet1!DB175</f>
        <v>705</v>
      </c>
      <c r="IF177" s="533">
        <f>Sheet1!DA175</f>
        <v>909</v>
      </c>
      <c r="IH177" s="541">
        <f>IF(AND($B177&gt;=$GC177,$B177&lt;=$GH177,$DR177&lt;0)+N("only adjusted when pool is drawn down during storage season"),Sheet1!$DB175+$DR177+N("Palmer minus all storage release"),Sheet1!$DB175)</f>
        <v>705</v>
      </c>
      <c r="II177" s="541">
        <f>IF(AND($B177&gt;=$GC177,$B177&lt;=$GH177,$DR177&lt;0)+N("only adjusted when pool is drawn down during storage season"),Sheet1!$DA175+$DR177+N("Auburn minus all storage release"),Sheet1!$DA175)</f>
        <v>909</v>
      </c>
    </row>
    <row r="178" spans="1:243" x14ac:dyDescent="0.25">
      <c r="A178" s="553" t="s">
        <v>8</v>
      </c>
      <c r="B178" s="531">
        <v>42902</v>
      </c>
      <c r="C178" s="536">
        <v>0</v>
      </c>
      <c r="D178" s="506">
        <f t="shared" si="371"/>
        <v>300</v>
      </c>
      <c r="E178" s="506">
        <f t="shared" si="372"/>
        <v>250</v>
      </c>
      <c r="F178" s="506">
        <v>250</v>
      </c>
      <c r="G178" s="535">
        <f>DR178+Sheet1!CZ176</f>
        <v>1516.9389813416624</v>
      </c>
      <c r="H178" s="1074">
        <f t="shared" si="405"/>
        <v>685.82274662399993</v>
      </c>
      <c r="I178" s="534">
        <f>IF(Sheet1!DA176&gt;=E178,(Sheet1!DA176-E178+P178)*CFStoMGD,0)</f>
        <v>950.84674662399993</v>
      </c>
      <c r="J178" s="995">
        <f>IF(Sheet1!DB176&gt;=D178,(Sheet1!DB176-D178+P178)*CFStoMGD,0)</f>
        <v>685.82274662399993</v>
      </c>
      <c r="K178" s="818">
        <f t="shared" si="406"/>
        <v>64.64</v>
      </c>
      <c r="L178" s="535">
        <f>Sheet1!AA176+Sheet1!AB176-Sheet1!L176+(Sheet1!DA176-F178)*CFStoMGD-S178-T178-U178</f>
        <v>886.20799999999997</v>
      </c>
      <c r="M178" s="535">
        <f t="shared" si="436"/>
        <v>1000.1603446900356</v>
      </c>
      <c r="N178" s="824">
        <f>IF(Sheet1!DA176&gt;=F178,MIN(113*CFStoMGD,MIN(MAX(L178,0),MAX(M178,0))),0)</f>
        <v>73.043199999999999</v>
      </c>
      <c r="O178" s="538">
        <f>Sheet1!AA176+Sheet1!AB176</f>
        <v>65.28</v>
      </c>
      <c r="P178" s="538">
        <f t="shared" si="437"/>
        <v>100.98815999999999</v>
      </c>
      <c r="Q178" s="812">
        <f t="shared" si="407"/>
        <v>51.03</v>
      </c>
      <c r="R178" s="812">
        <f t="shared" si="373"/>
        <v>14.228888888888887</v>
      </c>
      <c r="S178" s="812">
        <f t="shared" si="374"/>
        <v>14.25</v>
      </c>
      <c r="T178" s="812">
        <f t="shared" si="375"/>
        <v>50.39</v>
      </c>
      <c r="U178" s="812">
        <f t="shared" si="408"/>
        <v>0</v>
      </c>
      <c r="V178" s="812"/>
      <c r="W178" s="812">
        <f t="shared" si="376"/>
        <v>50.411111111111111</v>
      </c>
      <c r="X178" s="812">
        <f t="shared" si="377"/>
        <v>64.64</v>
      </c>
      <c r="Y178" s="812" t="str">
        <f t="shared" si="378"/>
        <v>FALSE</v>
      </c>
      <c r="Z178" s="812">
        <f t="shared" si="379"/>
        <v>65.28</v>
      </c>
      <c r="AA178" s="812">
        <f t="shared" si="380"/>
        <v>65.28</v>
      </c>
      <c r="AB178" s="1059">
        <f t="shared" si="409"/>
        <v>78.94341</v>
      </c>
      <c r="AC178" s="538">
        <f>Sheet1!Y176*MGDtoCFS</f>
        <v>46.657519999999998</v>
      </c>
      <c r="AD178" s="538">
        <f>Sheet1!Z176*MGDtoCFS</f>
        <v>62.962900000000005</v>
      </c>
      <c r="AE178" s="538">
        <f>Sheet1!AA176*MGDtoCFS</f>
        <v>28.000700000000002</v>
      </c>
      <c r="AF178" s="538">
        <f>Sheet1!AB176*MGDtoCFS</f>
        <v>72.987459999999999</v>
      </c>
      <c r="AG178" s="538">
        <f>Sheet1!L176*MGDtoCFS</f>
        <v>0</v>
      </c>
      <c r="AH178" s="521">
        <f t="shared" si="438"/>
        <v>0</v>
      </c>
      <c r="AI178" s="1059">
        <f t="shared" si="439"/>
        <v>0</v>
      </c>
      <c r="AJ178" s="535">
        <f t="shared" si="440"/>
        <v>50.411111111111111</v>
      </c>
      <c r="AK178" s="535">
        <f t="shared" si="441"/>
        <v>77.985988888888883</v>
      </c>
      <c r="AL178" s="535">
        <f>(VLOOKUP(Sheet1!DC176,hhdcap_wcm,4)-(((VLOOKUP(Sheet1!DC176,hhdcap_wcm,3)-Sheet1!DC176)/(VLOOKUP(Sheet1!DC176,hhdcap_wcm,3)-VLOOKUP(Sheet1!DC176,hhdcap_wcm,1)))*(VLOOKUP(Sheet1!DC176,hhdcap_wcm,4)-VLOOKUP(Sheet1!DC176,hhdcap_wcm,2))))</f>
        <v>49905.800000119751</v>
      </c>
      <c r="AM178" s="535">
        <f t="shared" si="442"/>
        <v>569.00000000051659</v>
      </c>
      <c r="AN178" s="1035">
        <f t="shared" si="443"/>
        <v>6459.5203011824306</v>
      </c>
      <c r="AO178" s="535">
        <f t="shared" si="444"/>
        <v>19817.808284027698</v>
      </c>
      <c r="AP178" s="535">
        <f>Sheet1!BA176+Sheet1!BB176+Sheet1!BN176+CD178</f>
        <v>33</v>
      </c>
      <c r="AQ178" s="535">
        <f>Sheet1!BN176+(DO178*Sheet1!BN176)</f>
        <v>32.951111111111111</v>
      </c>
      <c r="AR178" s="535">
        <f>Sheet1!BA176+CD178</f>
        <v>0</v>
      </c>
      <c r="AS178" s="535">
        <f>Sheet1!BA176+Sheet1!BB176+CD178</f>
        <v>0</v>
      </c>
      <c r="AT178" s="649">
        <f>0</f>
        <v>0</v>
      </c>
      <c r="AU178" s="974">
        <f>BA178+Sheet1!EH176</f>
        <v>0</v>
      </c>
      <c r="AV178" s="535">
        <f>IF(OR(B178&gt;=GD178,B178&lt;GC178),0,15/36*K178-MAX(0,64.6-(137.6-(Sheet1!AA176+Sheet1!AB176))))</f>
        <v>26.933333333333334</v>
      </c>
      <c r="AW178" s="1029"/>
      <c r="AX178" s="649"/>
      <c r="AY178" s="649">
        <f t="shared" si="410"/>
        <v>0</v>
      </c>
      <c r="AZ178" s="649">
        <f t="shared" si="411"/>
        <v>0</v>
      </c>
      <c r="BA178" s="1059">
        <f t="shared" si="412"/>
        <v>0</v>
      </c>
      <c r="BB178" s="1019">
        <f t="shared" si="445"/>
        <v>2716.666666666667</v>
      </c>
      <c r="BC178" s="1041">
        <f t="shared" si="413"/>
        <v>26.933333333333334</v>
      </c>
      <c r="BD178" s="1019">
        <f ca="1">IF(B178&gt;Summary!$A$1,#N/A,BB178*MGtoAF)</f>
        <v>8334.7333333333336</v>
      </c>
      <c r="BE178" s="535">
        <f>Sheet1!BG176+Sheet1!BH176+Sheet1!BI176-BM178</f>
        <v>2.0099999999999998</v>
      </c>
      <c r="BF178" s="535">
        <f t="shared" si="446"/>
        <v>2.007022222222222</v>
      </c>
      <c r="BG178" s="535">
        <f>IF(Sheet1!EP176="FM",BM178,0)</f>
        <v>0</v>
      </c>
      <c r="BH178" s="535">
        <f t="shared" si="447"/>
        <v>0</v>
      </c>
      <c r="BI178" s="535">
        <f>IF(Sheet1!EP176="OTHER",BM178,0)</f>
        <v>0</v>
      </c>
      <c r="BJ178" s="535">
        <f t="shared" si="448"/>
        <v>0</v>
      </c>
      <c r="BK178" s="535">
        <f t="shared" si="449"/>
        <v>2.0099999999999998</v>
      </c>
      <c r="BL178" s="535">
        <f t="shared" si="450"/>
        <v>2.007022222222222</v>
      </c>
      <c r="BM178" s="535">
        <f>IF(OR(Sheet1!EP176="FM", Sheet1!EP176="OTHER"),SUM(Sheet1!BG176:'Sheet1'!BI176),0)</f>
        <v>0</v>
      </c>
      <c r="BN178" s="521">
        <f>IF(AND($B178&gt;=$FV178,$B178&lt;=$FW178),MAX(BF178,Sheet1!EI176,0),MAX(BF178-(7/36)*$K178,0))</f>
        <v>0</v>
      </c>
      <c r="BO178" s="535">
        <f t="shared" si="497"/>
        <v>10.561866666666667</v>
      </c>
      <c r="BP178" s="521">
        <f t="shared" si="452"/>
        <v>2.007022222222222</v>
      </c>
      <c r="BQ178" s="521">
        <f>IF(AND($O178&gt;0,Sheet1!EM176=1),(1-($O178-Sheet1!$L176)/$O178)*BL178,0)</f>
        <v>0</v>
      </c>
      <c r="BR178" s="521">
        <f>IF(AND(Sheet1!$L176=0,Sheet1!$L175=0, Calculation!BK178&lt;Sheet1!$EI176-0.1,Sheet1!$EI176=Sheet1!$EI175,Sheet1!$EI176=Sheet1!$EI177),BL178-BQ178,BL178-BQ178)</f>
        <v>2.007022222222222</v>
      </c>
      <c r="BS178" s="1035" t="str">
        <f t="shared" si="414"/>
        <v/>
      </c>
      <c r="BT178" s="1035">
        <f t="shared" si="415"/>
        <v>12.568888888888889</v>
      </c>
      <c r="BU178" s="535">
        <f t="shared" si="453"/>
        <v>1267.7777777777778</v>
      </c>
      <c r="BV178" s="535"/>
      <c r="BW178" s="535">
        <f ca="1">IF(B178&gt;Summary!$A$1,#N/A,BU178*MGtoAF)</f>
        <v>3889.5422222222223</v>
      </c>
      <c r="BX178" s="535">
        <f>Sheet1!BC176+Sheet1!BD176+Sheet1!BE176+Sheet1!BF176-CG178-CH178</f>
        <v>3.73</v>
      </c>
      <c r="BY178" s="535">
        <f t="shared" si="454"/>
        <v>3.7244740740740738</v>
      </c>
      <c r="BZ178" s="535">
        <f>IF(Sheet1!EQ176="FM",CH178,0)</f>
        <v>0</v>
      </c>
      <c r="CA178" s="535">
        <f t="shared" si="455"/>
        <v>0</v>
      </c>
      <c r="CB178" s="535">
        <f>IF(Sheet1!EQ176="OTHER",CH178,0)</f>
        <v>0</v>
      </c>
      <c r="CC178" s="535">
        <f t="shared" si="456"/>
        <v>0</v>
      </c>
      <c r="CD178" s="535">
        <f t="shared" si="457"/>
        <v>0</v>
      </c>
      <c r="CE178" s="535">
        <f t="shared" si="458"/>
        <v>3.73</v>
      </c>
      <c r="CF178" s="535">
        <f t="shared" si="459"/>
        <v>3.7244740740740738</v>
      </c>
      <c r="CG178" s="535">
        <f>IF(Sheet1!EQ176="CWA",SUM(Sheet1!BC176:'Sheet1'!BF176),0)</f>
        <v>0</v>
      </c>
      <c r="CH178" s="535">
        <f>IF(OR(Sheet1!EQ176="FM", Sheet1!EQ176="OTHER"),SUM(Sheet1!BC176:'Sheet1'!BF176),0)</f>
        <v>0</v>
      </c>
      <c r="CI178" s="521">
        <f>IF(AND($B178&gt;=$FV178,$B178&lt;=$FW178),MAX(CF178,Sheet1!EJ176,0),MAX(CF178-(7/36)*$K178,0))</f>
        <v>0</v>
      </c>
      <c r="CJ178" s="535">
        <f t="shared" ref="CJ178:CJ234" si="499">IF(B178&gt;=GC178,IF(B178&lt;=GD178,(7/36)*K178-BY178,0),0)</f>
        <v>8.8444148148148152</v>
      </c>
      <c r="CK178" s="521">
        <f t="shared" si="461"/>
        <v>3.7244740740740738</v>
      </c>
      <c r="CL178" s="521">
        <f>IF(AND($O178&gt;0,Sheet1!EN176=1),(1-($O178-Sheet1!$L176)/$O178)*CF178,0)</f>
        <v>0</v>
      </c>
      <c r="CM178" s="521">
        <f>IF(AND(Sheet1!$L176=0,Sheet1!$L175=0, Calculation!CE178&lt;Sheet1!EJ176-0.1,Sheet1!EJ176=Sheet1!EJ175,Sheet1!EJ176=Sheet1!EJ177),CF178-CL178,CF178-CL178)</f>
        <v>3.7244740740740738</v>
      </c>
      <c r="CN178" s="1040" t="str">
        <f t="shared" si="416"/>
        <v/>
      </c>
      <c r="CO178" s="1035">
        <f t="shared" si="417"/>
        <v>12.568888888888889</v>
      </c>
      <c r="CP178" s="535">
        <f t="shared" si="462"/>
        <v>1267.7777777777778</v>
      </c>
      <c r="CQ178" s="535"/>
      <c r="CR178" s="535">
        <f ca="1">IF(B178&gt;Summary!$A$1,#N/A,CP178*MGtoAF)</f>
        <v>3889.5422222222223</v>
      </c>
      <c r="CS178" s="535">
        <f>Sheet1!BK176+Sheet1!BL176+Sheet1!BM176-Sheet1!ER176-DA178</f>
        <v>8.51</v>
      </c>
      <c r="CT178" s="535">
        <f t="shared" si="463"/>
        <v>8.4973925925925915</v>
      </c>
      <c r="CU178" s="535">
        <f>IF(Sheet1!ER176="FM",DA178,0)</f>
        <v>0</v>
      </c>
      <c r="CV178" s="535">
        <f t="shared" si="464"/>
        <v>0</v>
      </c>
      <c r="CW178" s="535">
        <f>IF(Sheet1!ER176="OTHER",DA178,0)</f>
        <v>0</v>
      </c>
      <c r="CX178" s="535">
        <f t="shared" si="465"/>
        <v>0</v>
      </c>
      <c r="CY178" s="535">
        <f t="shared" si="466"/>
        <v>8.51</v>
      </c>
      <c r="CZ178" s="535">
        <f t="shared" si="467"/>
        <v>8.4973925925925915</v>
      </c>
      <c r="DA178" s="535">
        <f>IF(OR(Sheet1!ER176="FM", Sheet1!ER176="OTHER"),SUM(Sheet1!BK176:'Sheet1'!BM176),0)</f>
        <v>0</v>
      </c>
      <c r="DB178" s="1011">
        <f>IF(AND($B178&gt;=$FV178,$B178&lt;=$FW178),MAX($CT178,Sheet1!EK176,0),MAX($CT178-(7/36)*$K178,0))</f>
        <v>0</v>
      </c>
      <c r="DC178" s="1012">
        <f t="shared" si="498"/>
        <v>4.0714962962962975</v>
      </c>
      <c r="DD178" s="1011">
        <f t="shared" si="469"/>
        <v>8.4973925925925915</v>
      </c>
      <c r="DE178" s="521">
        <f>IF(AND($O178&gt;0,Sheet1!EO176=1),(1-($O178-Sheet1!$L176)/$O178)*CZ178,0)</f>
        <v>0</v>
      </c>
      <c r="DF178" s="521">
        <f>IF(AND(Sheet1!$L176=0,Sheet1!$L175=0, Calculation!CY178&lt;Sheet1!$EK176-0.1,Sheet1!$EK176=Sheet1!$EK175,Sheet1!$EK176=Sheet1!$EK177),CZ178-DE178,CZ178-DE178)</f>
        <v>8.4973925925925915</v>
      </c>
      <c r="DG178" s="1040">
        <f t="shared" si="418"/>
        <v>12.568888888888889</v>
      </c>
      <c r="DH178" s="649">
        <f t="shared" si="470"/>
        <v>14.25</v>
      </c>
      <c r="DI178" s="535">
        <f t="shared" si="471"/>
        <v>1207.2980789602075</v>
      </c>
      <c r="DJ178" s="649">
        <f t="shared" si="472"/>
        <v>14.228888888888887</v>
      </c>
      <c r="DK178" s="535">
        <f ca="1">IF(B178&gt;Summary!$A$1,#N/A,DI178*MGtoAF)</f>
        <v>3703.9905062499165</v>
      </c>
      <c r="DL178" s="649">
        <f t="shared" si="473"/>
        <v>14.25</v>
      </c>
      <c r="DM178" s="535">
        <f t="shared" si="474"/>
        <v>47.25</v>
      </c>
      <c r="DN178" s="535">
        <f>Sheet1!AB176-DM178</f>
        <v>-7.0000000000000284E-2</v>
      </c>
      <c r="DO178" s="743">
        <f t="shared" si="475"/>
        <v>-1.4814814814814875E-3</v>
      </c>
      <c r="DP178" s="535">
        <f>(VLOOKUP(Sheet1!DC176,hhdcap_wcm,4)-(((VLOOKUP(Sheet1!DC176,hhdcap_wcm,3)-Sheet1!DC176)/(VLOOKUP(Sheet1!DC176,hhdcap_wcm,3)-VLOOKUP(Sheet1!DC176,hhdcap_wcm,1)))*(VLOOKUP(Sheet1!DC176,hhdcap_wcm,4)-VLOOKUP(Sheet1!DC176,hhdcap_wcm,2))))</f>
        <v>49905.800000119751</v>
      </c>
      <c r="DQ178" s="535">
        <f t="shared" si="476"/>
        <v>569.00000000051659</v>
      </c>
      <c r="DR178" s="535">
        <f t="shared" si="477"/>
        <v>286.93898134166238</v>
      </c>
      <c r="DS178" s="535">
        <f>Sheet1!EA176*AFtoMG</f>
        <v>0</v>
      </c>
      <c r="DT178" s="535">
        <f>Sheet1!EB176*AFtoMG</f>
        <v>0</v>
      </c>
      <c r="DU178" s="535">
        <f>Sheet1!EC176*AFtoMG</f>
        <v>0</v>
      </c>
      <c r="DV178" s="535">
        <f>Sheet1!ED176*AFtoMG</f>
        <v>0</v>
      </c>
      <c r="DW178" s="535">
        <f t="shared" si="478"/>
        <v>0</v>
      </c>
      <c r="DX178" s="535">
        <f t="shared" si="479"/>
        <v>0</v>
      </c>
      <c r="DY178" s="535">
        <f t="shared" si="480"/>
        <v>6459.5203011824306</v>
      </c>
      <c r="DZ178" s="535">
        <f t="shared" si="481"/>
        <v>19817.808284027698</v>
      </c>
      <c r="EA178" s="535"/>
      <c r="EB178" s="521">
        <f>IF(OR(B178&lt;FV178,B178&gt;FW178),(MIN(BF178+BY178+CT178+MAX(Sheet1!AA176+AQ178-73,0),K178)),0)</f>
        <v>14.228888888888887</v>
      </c>
      <c r="EC178" s="535"/>
      <c r="ED178" s="535">
        <f t="shared" si="482"/>
        <v>14.228888888888887</v>
      </c>
      <c r="EE178" s="535"/>
      <c r="EF178" s="535">
        <f>Sheet1!EH176+Sheet1!EI176+Sheet1!EJ176+Sheet1!EK176</f>
        <v>14.5</v>
      </c>
      <c r="EG178" s="1019">
        <f t="shared" si="419"/>
        <v>22.4315</v>
      </c>
      <c r="EH178" s="521">
        <f t="shared" si="483"/>
        <v>0</v>
      </c>
      <c r="EI178" s="535">
        <f>IF(Sheet1!ET176=1,SUM('Calculations II'!AT178:BA178)+'Calculations II'!BC178+Sheet1!BV176+'Calculations II'!BE178+AP178,'Calculations II'!BK178)</f>
        <v>54.532337111111104</v>
      </c>
      <c r="EJ178" s="535">
        <f ca="1">EI178+'Calculations II'!D178+'Calculations II'!E178+'Calculations II'!O178</f>
        <v>53.354015433486715</v>
      </c>
      <c r="EK178" s="535"/>
      <c r="EL178" s="535"/>
      <c r="EM178" s="535">
        <f t="shared" si="484"/>
        <v>42902</v>
      </c>
      <c r="EN178" s="535">
        <f t="shared" si="485"/>
        <v>50.411111111111111</v>
      </c>
      <c r="EO178" s="535">
        <f t="shared" si="486"/>
        <v>77.985988888888883</v>
      </c>
      <c r="EP178" s="535">
        <v>0</v>
      </c>
      <c r="EQ178" s="535">
        <v>0</v>
      </c>
      <c r="ER178" s="535">
        <v>0</v>
      </c>
      <c r="ES178" s="521">
        <f t="shared" si="381"/>
        <v>1.6639711833771691</v>
      </c>
      <c r="ET178" s="535">
        <f>-(VLOOKUP(Sheet1!BQ176,Lookup!$O$4:$Q$262,2)-VLOOKUP(Sheet1!BQ175,Lookup!$O$4:$Q$262,2))/1000000</f>
        <v>0.8318509312457032</v>
      </c>
      <c r="EU178" s="535">
        <f>-(VLOOKUP(Sheet1!BR176,Lookup!$O$4:$Q$262,3)-VLOOKUP(Sheet1!BR175,Lookup!$O$4:$Q$262,3))/1000000</f>
        <v>0.83212025213146579</v>
      </c>
      <c r="EV178" s="535"/>
      <c r="EW178" s="535"/>
      <c r="EX178" s="535"/>
      <c r="EY178" s="535">
        <f t="shared" si="434"/>
        <v>308.95107245277347</v>
      </c>
      <c r="EZ178" s="535">
        <f t="shared" si="435"/>
        <v>199.70980766177988</v>
      </c>
      <c r="FA178" s="535"/>
      <c r="FB178" s="535"/>
      <c r="FC178" s="535"/>
      <c r="FD178" s="567" t="e">
        <f t="shared" si="487"/>
        <v>#N/A</v>
      </c>
      <c r="FE178" s="567" t="e">
        <f t="shared" si="488"/>
        <v>#N/A</v>
      </c>
      <c r="FF178" s="568" t="e">
        <f t="shared" si="489"/>
        <v>#N/A</v>
      </c>
      <c r="FG178" s="569" t="s">
        <v>656</v>
      </c>
      <c r="FH178" s="569" t="s">
        <v>656</v>
      </c>
      <c r="FI178" s="567" t="e">
        <v>#N/A</v>
      </c>
      <c r="FJ178" s="567" t="e">
        <v>#N/A</v>
      </c>
      <c r="FK178" s="535">
        <v>24300</v>
      </c>
      <c r="FL178" s="1015">
        <v>0</v>
      </c>
      <c r="FM178" s="535"/>
      <c r="FN178" s="535"/>
      <c r="FO178" s="535">
        <f>O178+((Sheet1!CS176)*GPMtoMGD)</f>
        <v>65.28</v>
      </c>
      <c r="FP178" s="535">
        <f>IF(Sheet1!AA176+AQ178&lt;=Calculation!N178,AQ178,Calculation!N178-Sheet1!AA176)</f>
        <v>32.951111111111111</v>
      </c>
      <c r="FQ178" s="535">
        <f>(Sheet1!BP176+Sheet1!BO176)/694.4</f>
        <v>2.398185483870968</v>
      </c>
      <c r="FR178" s="541"/>
      <c r="FS178" s="541"/>
      <c r="FT178" s="541"/>
      <c r="FU178" s="541"/>
      <c r="FV178" s="1109">
        <f t="shared" si="382"/>
        <v>42918</v>
      </c>
      <c r="FW178" s="1109">
        <f t="shared" si="383"/>
        <v>43027</v>
      </c>
      <c r="FX178" s="541"/>
      <c r="FY178" s="541">
        <f>Sheet1!DA176-Sheet1!CZ176-Sheet1!AE176</f>
        <v>289.01184000000001</v>
      </c>
      <c r="FZ178" s="535">
        <f t="shared" si="420"/>
        <v>0.19052304908426995</v>
      </c>
      <c r="GA178" s="535"/>
      <c r="GB178" s="535" t="str">
        <f t="shared" si="384"/>
        <v>n</v>
      </c>
      <c r="GC178" s="539">
        <f t="shared" si="385"/>
        <v>42782</v>
      </c>
      <c r="GD178" s="1109">
        <f t="shared" si="386"/>
        <v>42904</v>
      </c>
      <c r="GE178" s="535">
        <f t="shared" si="404"/>
        <v>6520</v>
      </c>
      <c r="GF178" s="1109">
        <f t="shared" si="387"/>
        <v>42909</v>
      </c>
      <c r="GG178" s="535">
        <f t="shared" si="432"/>
        <v>3260</v>
      </c>
      <c r="GH178" s="539">
        <f t="shared" si="388"/>
        <v>43040</v>
      </c>
      <c r="GJ178" s="521">
        <f t="shared" si="389"/>
        <v>46.339614814814816</v>
      </c>
      <c r="GK178" s="535" t="str">
        <f>CONCATENATE(GM178,HA178,GT178,HH178)</f>
        <v>P</v>
      </c>
      <c r="GL178" s="535">
        <f>IF(GP178&gt;=8333.3,AV178,0)</f>
        <v>26.933333333333334</v>
      </c>
      <c r="GM178" s="535" t="str">
        <f>IF(AND(GP178&lt;8333.3,GJ178&gt;0),"T","")</f>
        <v/>
      </c>
      <c r="GN178" s="535">
        <f>IF(GK178="P",Lookup!$M$12,IF(GK178="PP",Lookup!$M$13,IF(GK178="PPP",Lookup!$M$14,IF(GK178="T",Lookup!$M$15,IF(GK178="TP",Lookup!$M$16,IF(GK178="TPP",Lookup!$M$17,IF(GK178="TPPP",Lookup!$M$18,0)))))))*GJ178</f>
        <v>0</v>
      </c>
      <c r="GO178" s="535">
        <f>IF(GM178="T", MIN(GN178, 2716.2-$GQ178),0)</f>
        <v>0</v>
      </c>
      <c r="GP178" s="535">
        <f>GQ178*MGtoAF</f>
        <v>8334.7333333333336</v>
      </c>
      <c r="GQ178" s="535">
        <f t="shared" si="433"/>
        <v>2716.666666666667</v>
      </c>
      <c r="GR178" s="535"/>
      <c r="GS178" s="535">
        <f>IF(GW178&gt;=3888.8,BO178,0)</f>
        <v>10.561866666666667</v>
      </c>
      <c r="GT178" s="535" t="str">
        <f>IF(AND(GW178&lt;3888.8,GJ178&gt;0),"P","")</f>
        <v/>
      </c>
      <c r="GU178" s="535">
        <f>IF(GK178="P",Lookup!$N$12,IF(GK178="PP",Lookup!$N$13,IF(GK178="PPP",Lookup!$N$14,IF(GK178="T",Lookup!$N$15,IF(GK178="TP",Lookup!$N$16,IF(GK178="TPP",Lookup!$N$17,IF(GK178="TPPP",Lookup!$N$18,0)))))))*GJ178</f>
        <v>46.339614814814816</v>
      </c>
      <c r="GV178" s="535">
        <f>IF(GT178="P",MIN(GU178,7/36*GE178-GX178),0)</f>
        <v>0</v>
      </c>
      <c r="GW178" s="535">
        <f>GX178*MGtoAF</f>
        <v>3889.5422222222223</v>
      </c>
      <c r="GX178" s="535">
        <f t="shared" si="400"/>
        <v>1267.7777777777778</v>
      </c>
      <c r="GY178" s="535"/>
      <c r="GZ178" s="535">
        <f>IF(HD178&gt;=3888.8,CJ178,0)</f>
        <v>8.8444148148148152</v>
      </c>
      <c r="HA178" s="535" t="str">
        <f>IF(AND(HD178&lt;3888.8,GJ178&gt;0),"P","")</f>
        <v/>
      </c>
      <c r="HB178" s="535">
        <f>IF(GK178="P",Lookup!$N$12,IF(GK178="PP",Lookup!$N$13,IF(GK178="PPP",Lookup!$N$14,IF(GK178="T",Lookup!$N$15,IF(GK178="TP",Lookup!$N$16,IF(GK178="TPP",Lookup!$N$17,IF(GK178="TPPP",Lookup!$N$18,0)))))))*GJ178</f>
        <v>46.339614814814816</v>
      </c>
      <c r="HC178" s="521">
        <f>IF(HA178="P",MIN(HB178,7/36*GE178-HE178),0)</f>
        <v>0</v>
      </c>
      <c r="HD178" s="535">
        <f>HE178*MGtoAF</f>
        <v>3889.5422222222223</v>
      </c>
      <c r="HE178" s="535">
        <f t="shared" si="401"/>
        <v>1267.7777777777778</v>
      </c>
      <c r="HF178" s="535"/>
      <c r="HG178" s="535">
        <f>IF(HK178&gt;=3888.8,DC178,0)</f>
        <v>0</v>
      </c>
      <c r="HH178" s="535" t="str">
        <f>IF(AND(HK178&lt;3888.8,GJ178&gt;0),"P","")</f>
        <v>P</v>
      </c>
      <c r="HI178" s="535">
        <f>IF(GK178="P",Lookup!$N$12,IF(GK178="PP",Lookup!$N$13,IF(GK178="PPP",Lookup!$N$14,IF(GK178="T",Lookup!$N$15,IF(GK178="TP",Lookup!$N$16,IF(GK178="TPP",Lookup!$N$17,IF(GK178="TPPP",Lookup!$N$18,0)))))))*GJ178</f>
        <v>46.339614814814816</v>
      </c>
      <c r="HJ178" s="521">
        <f>IF(HH178="P",MIN(HI178,7/36*GE178-HL178),0)</f>
        <v>46.339614814814816</v>
      </c>
      <c r="HK178" s="535">
        <f>HL178*MGtoAF</f>
        <v>3561.8205679980642</v>
      </c>
      <c r="HL178" s="535">
        <f t="shared" si="402"/>
        <v>1160.9584641453926</v>
      </c>
      <c r="HM178" s="535"/>
      <c r="HN178" s="541"/>
      <c r="HO178" s="541"/>
      <c r="HP178" s="541"/>
      <c r="HQ178" s="541">
        <f>IF(AND(B178&gt;=$FV$4,B178&lt;=$FW$4),MAX(110/1.02+$HQ$6+MIN(113/1.02,G178),IF($HV$6-(Sheet1!DA176-Sheet1!DB176)+MIN(113/1.02,G178)&lt;G178+FL178,$HV$6-(Sheet1!DA176-Sheet1!DB176)+MIN(113/1.02,G178),G178+FL178)),MIN(110/1.02+$HQ$6+113/1.02,G178))</f>
        <v>218.62745098039215</v>
      </c>
      <c r="HR178" s="541">
        <f t="shared" si="421"/>
        <v>223</v>
      </c>
      <c r="HS178" s="541">
        <f>HR178+(Sheet1!DA176-Sheet1!DB176)</f>
        <v>583</v>
      </c>
      <c r="HT178" s="541">
        <f t="shared" si="422"/>
        <v>78.94341</v>
      </c>
      <c r="HU178" s="541">
        <f t="shared" si="423"/>
        <v>504.05659000000003</v>
      </c>
      <c r="HV178" s="541">
        <f t="shared" si="424"/>
        <v>0</v>
      </c>
      <c r="HW178" s="541" t="str">
        <f t="shared" si="425"/>
        <v/>
      </c>
      <c r="HX178" s="541">
        <f t="shared" si="426"/>
        <v>1011.3725490196078</v>
      </c>
      <c r="HY178" s="541">
        <f>Sheet1!CZ176</f>
        <v>1230</v>
      </c>
      <c r="HZ178" s="541">
        <f t="shared" si="427"/>
        <v>0</v>
      </c>
      <c r="IA178" s="541">
        <f t="shared" si="428"/>
        <v>78.94341</v>
      </c>
      <c r="IB178" s="541">
        <f t="shared" si="429"/>
        <v>1230</v>
      </c>
      <c r="IC178" s="1019" t="str">
        <f t="shared" si="430"/>
        <v/>
      </c>
      <c r="ID178" s="541">
        <f t="shared" si="431"/>
        <v>1151.0565899999999</v>
      </c>
      <c r="IE178" s="541">
        <f>Sheet1!DB176</f>
        <v>1260</v>
      </c>
      <c r="IF178" s="533">
        <f>Sheet1!DA176</f>
        <v>1620</v>
      </c>
      <c r="IH178" s="541">
        <f>IF(AND($B178&gt;=$GC178,$B178&lt;=$GH178,$DR178&lt;0)+N("only adjusted when pool is drawn down during storage season"),Sheet1!$DB176+$DR178+N("Palmer minus all storage release"),Sheet1!$DB176)</f>
        <v>1260</v>
      </c>
      <c r="II178" s="541">
        <f>IF(AND($B178&gt;=$GC178,$B178&lt;=$GH178,$DR178&lt;0)+N("only adjusted when pool is drawn down during storage season"),Sheet1!$DA176+$DR178+N("Auburn minus all storage release"),Sheet1!$DA176)</f>
        <v>1620</v>
      </c>
    </row>
    <row r="179" spans="1:243" x14ac:dyDescent="0.25">
      <c r="A179" s="553" t="s">
        <v>9</v>
      </c>
      <c r="B179" s="531">
        <v>42903</v>
      </c>
      <c r="C179" s="536">
        <v>0</v>
      </c>
      <c r="D179" s="506">
        <f t="shared" si="371"/>
        <v>300</v>
      </c>
      <c r="E179" s="506">
        <f t="shared" si="372"/>
        <v>250</v>
      </c>
      <c r="F179" s="506">
        <v>250</v>
      </c>
      <c r="G179" s="535">
        <f>DR179+Sheet1!CZ177</f>
        <v>1252.9954614220908</v>
      </c>
      <c r="H179" s="1074">
        <f t="shared" si="405"/>
        <v>655.74270361599997</v>
      </c>
      <c r="I179" s="534">
        <f>IF(Sheet1!DA177&gt;=E179,(Sheet1!DA177-E179+P179)*CFStoMGD,0)</f>
        <v>914.30270361599992</v>
      </c>
      <c r="J179" s="995">
        <f>IF(Sheet1!DB177&gt;=D179,(Sheet1!DB177-D179+P179)*CFStoMGD,0)</f>
        <v>655.74270361599997</v>
      </c>
      <c r="K179" s="818">
        <f t="shared" si="406"/>
        <v>64.64</v>
      </c>
      <c r="L179" s="535">
        <f>Sheet1!AA177+Sheet1!AB177-Sheet1!L177+(Sheet1!DA177-F179)*CFStoMGD-S179-T179-U179</f>
        <v>849.66399999999999</v>
      </c>
      <c r="M179" s="535">
        <f t="shared" si="436"/>
        <v>826.13499158850425</v>
      </c>
      <c r="N179" s="824">
        <f>IF(Sheet1!DA177&gt;=F179,MIN(113*CFStoMGD,MIN(MAX(L179,0),MAX(M179,0))),0)</f>
        <v>73.043199999999999</v>
      </c>
      <c r="O179" s="538">
        <f>Sheet1!AA177+Sheet1!AB177</f>
        <v>67.52</v>
      </c>
      <c r="P179" s="538">
        <f t="shared" si="437"/>
        <v>104.45344</v>
      </c>
      <c r="Q179" s="812">
        <f t="shared" si="407"/>
        <v>52.66</v>
      </c>
      <c r="R179" s="812">
        <f t="shared" si="373"/>
        <v>14.814635848233756</v>
      </c>
      <c r="S179" s="812">
        <f t="shared" si="374"/>
        <v>14.86</v>
      </c>
      <c r="T179" s="812">
        <f t="shared" si="375"/>
        <v>49.78</v>
      </c>
      <c r="U179" s="812">
        <f t="shared" si="408"/>
        <v>0</v>
      </c>
      <c r="V179" s="812"/>
      <c r="W179" s="812">
        <f t="shared" si="376"/>
        <v>49.825364151766244</v>
      </c>
      <c r="X179" s="812">
        <f t="shared" si="377"/>
        <v>64.64</v>
      </c>
      <c r="Y179" s="812" t="str">
        <f t="shared" si="378"/>
        <v>FALSE</v>
      </c>
      <c r="Z179" s="812">
        <f t="shared" si="379"/>
        <v>67.52</v>
      </c>
      <c r="AA179" s="812">
        <f t="shared" si="380"/>
        <v>67.52</v>
      </c>
      <c r="AB179" s="1059">
        <f t="shared" si="409"/>
        <v>81.465019999999996</v>
      </c>
      <c r="AC179" s="538">
        <f>Sheet1!Y177*MGDtoCFS</f>
        <v>28.000700000000002</v>
      </c>
      <c r="AD179" s="538">
        <f>Sheet1!Z177*MGDtoCFS</f>
        <v>72.832759999999993</v>
      </c>
      <c r="AE179" s="538">
        <f>Sheet1!AA177*MGDtoCFS</f>
        <v>33.724600000000002</v>
      </c>
      <c r="AF179" s="538">
        <f>Sheet1!AB177*MGDtoCFS</f>
        <v>70.728839999999991</v>
      </c>
      <c r="AG179" s="538">
        <f>Sheet1!L177*MGDtoCFS</f>
        <v>0</v>
      </c>
      <c r="AH179" s="521">
        <f t="shared" si="438"/>
        <v>0</v>
      </c>
      <c r="AI179" s="1059">
        <f t="shared" si="439"/>
        <v>0</v>
      </c>
      <c r="AJ179" s="535">
        <f t="shared" si="440"/>
        <v>49.825364151766244</v>
      </c>
      <c r="AK179" s="535">
        <f t="shared" si="441"/>
        <v>77.079838342782381</v>
      </c>
      <c r="AL179" s="535">
        <f>(VLOOKUP(Sheet1!DC177,hhdcap_wcm,4)-(((VLOOKUP(Sheet1!DC177,hhdcap_wcm,3)-Sheet1!DC177)/(VLOOKUP(Sheet1!DC177,hhdcap_wcm,3)-VLOOKUP(Sheet1!DC177,hhdcap_wcm,1)))*(VLOOKUP(Sheet1!DC177,hhdcap_wcm,4)-VLOOKUP(Sheet1!DC177,hhdcap_wcm,2))))</f>
        <v>49951.400000119756</v>
      </c>
      <c r="AM179" s="535">
        <f t="shared" si="442"/>
        <v>45.600000000005821</v>
      </c>
      <c r="AN179" s="1035">
        <f t="shared" si="443"/>
        <v>6509.3456653341964</v>
      </c>
      <c r="AO179" s="535">
        <f t="shared" si="444"/>
        <v>19970.672501245313</v>
      </c>
      <c r="AP179" s="535">
        <f>Sheet1!BA177+Sheet1!BB177+Sheet1!BN177+CD179</f>
        <v>31</v>
      </c>
      <c r="AQ179" s="535">
        <f>Sheet1!BN177+(DO179*Sheet1!BN177)</f>
        <v>30.905364151766246</v>
      </c>
      <c r="AR179" s="535">
        <f>Sheet1!BA177+CD179</f>
        <v>0</v>
      </c>
      <c r="AS179" s="535">
        <f>Sheet1!BA177+Sheet1!BB177+CD179</f>
        <v>0</v>
      </c>
      <c r="AT179" s="649">
        <f>0</f>
        <v>0</v>
      </c>
      <c r="AU179" s="974">
        <f>BA179+Sheet1!EH177</f>
        <v>0</v>
      </c>
      <c r="AV179" s="535">
        <f>IF(OR(B179&gt;=GD179,B179&lt;GC179),0,15/36*K179-MAX(0,64.6-(137.6-(Sheet1!AA177+Sheet1!AB177))))</f>
        <v>26.933333333333334</v>
      </c>
      <c r="AW179" s="1029"/>
      <c r="AX179" s="649"/>
      <c r="AY179" s="649">
        <f t="shared" si="410"/>
        <v>0</v>
      </c>
      <c r="AZ179" s="649">
        <f t="shared" si="411"/>
        <v>0</v>
      </c>
      <c r="BA179" s="1059">
        <f t="shared" si="412"/>
        <v>0</v>
      </c>
      <c r="BB179" s="1019">
        <f t="shared" si="445"/>
        <v>2716.666666666667</v>
      </c>
      <c r="BC179" s="1041">
        <f t="shared" si="413"/>
        <v>26.933333333333334</v>
      </c>
      <c r="BD179" s="1019">
        <f ca="1">IF(B179&gt;(Summary!$A$1-1),#N/A,BB179*MGtoAF)</f>
        <v>8334.7333333333336</v>
      </c>
      <c r="BE179" s="535">
        <f>Sheet1!BG177+Sheet1!BH177+Sheet1!BI177-BM179</f>
        <v>2.02</v>
      </c>
      <c r="BF179" s="535">
        <f t="shared" si="446"/>
        <v>2.0138334060183167</v>
      </c>
      <c r="BG179" s="535">
        <f>IF(Sheet1!EP177="FM",BM179,0)</f>
        <v>0</v>
      </c>
      <c r="BH179" s="535">
        <f t="shared" si="447"/>
        <v>0</v>
      </c>
      <c r="BI179" s="535">
        <f>IF(Sheet1!EP177="OTHER",BM179,0)</f>
        <v>0</v>
      </c>
      <c r="BJ179" s="535">
        <f t="shared" si="448"/>
        <v>0</v>
      </c>
      <c r="BK179" s="535">
        <f t="shared" si="449"/>
        <v>2.02</v>
      </c>
      <c r="BL179" s="535">
        <f t="shared" si="450"/>
        <v>2.0138334060183167</v>
      </c>
      <c r="BM179" s="535">
        <f>IF(OR(Sheet1!EP177="FM", Sheet1!EP177="OTHER"),SUM(Sheet1!BG177:'Sheet1'!BI177),0)</f>
        <v>0</v>
      </c>
      <c r="BN179" s="521">
        <f>IF(AND($B179&gt;=$FV179,$B179&lt;=$FW179),MAX(BF179,Sheet1!EI177,0),MAX(BF179-(7/36)*$K179,0))</f>
        <v>0</v>
      </c>
      <c r="BO179" s="535">
        <f t="shared" si="497"/>
        <v>10.555055482870571</v>
      </c>
      <c r="BP179" s="521">
        <f t="shared" si="452"/>
        <v>2.0138334060183167</v>
      </c>
      <c r="BQ179" s="521">
        <f>IF(AND($O179&gt;0,Sheet1!EM177=1),(1-($O179-Sheet1!$L177)/$O179)*BL179,0)</f>
        <v>0</v>
      </c>
      <c r="BR179" s="521">
        <f>IF(AND(Sheet1!$L177=0,Sheet1!$L176=0, Calculation!BK179&lt;Sheet1!$EI177-0.1,Sheet1!$EI177=Sheet1!$EI176,Sheet1!$EI177=Sheet1!$EI178),BL179-BQ179,BL179-BQ179)</f>
        <v>2.0138334060183167</v>
      </c>
      <c r="BS179" s="1035" t="str">
        <f t="shared" si="414"/>
        <v/>
      </c>
      <c r="BT179" s="1035">
        <f t="shared" si="415"/>
        <v>12.568888888888889</v>
      </c>
      <c r="BU179" s="535">
        <f t="shared" si="453"/>
        <v>1267.7777777777778</v>
      </c>
      <c r="BV179" s="535"/>
      <c r="BW179" s="535">
        <f ca="1">IF(B179&gt;(Summary!$A$1-1),#N/A,BU179*MGtoAF)</f>
        <v>3889.5422222222223</v>
      </c>
      <c r="BX179" s="535">
        <f>Sheet1!BC177+Sheet1!BD177+Sheet1!BE177+Sheet1!BF177-CG179-CH179</f>
        <v>4.3099999999999996</v>
      </c>
      <c r="BY179" s="535">
        <f t="shared" si="454"/>
        <v>4.2968425643262096</v>
      </c>
      <c r="BZ179" s="535">
        <f>IF(Sheet1!EQ177="FM",CH179,0)</f>
        <v>0</v>
      </c>
      <c r="CA179" s="535">
        <f t="shared" si="455"/>
        <v>0</v>
      </c>
      <c r="CB179" s="535">
        <f>IF(Sheet1!EQ177="OTHER",CH179,0)</f>
        <v>0</v>
      </c>
      <c r="CC179" s="535">
        <f t="shared" si="456"/>
        <v>0</v>
      </c>
      <c r="CD179" s="535">
        <f t="shared" si="457"/>
        <v>0</v>
      </c>
      <c r="CE179" s="535">
        <f t="shared" si="458"/>
        <v>4.3099999999999996</v>
      </c>
      <c r="CF179" s="535">
        <f t="shared" si="459"/>
        <v>4.2968425643262096</v>
      </c>
      <c r="CG179" s="535">
        <f>IF(Sheet1!EQ177="CWA",SUM(Sheet1!BC177:'Sheet1'!BF177),0)</f>
        <v>0</v>
      </c>
      <c r="CH179" s="535">
        <f>IF(OR(Sheet1!EQ177="FM", Sheet1!EQ177="OTHER"),SUM(Sheet1!BC177:'Sheet1'!BF177),0)</f>
        <v>0</v>
      </c>
      <c r="CI179" s="521">
        <f>IF(AND($B179&gt;=$FV179,$B179&lt;=$FW179),MAX(CF179,Sheet1!EJ177,0),MAX(CF179-(7/36)*$K179,0))</f>
        <v>0</v>
      </c>
      <c r="CJ179" s="535">
        <f t="shared" si="499"/>
        <v>8.2720463245626803</v>
      </c>
      <c r="CK179" s="521">
        <f t="shared" si="461"/>
        <v>4.2968425643262096</v>
      </c>
      <c r="CL179" s="521">
        <f>IF(AND($O179&gt;0,Sheet1!EN177=1),(1-($O179-Sheet1!$L177)/$O179)*CF179,0)</f>
        <v>0</v>
      </c>
      <c r="CM179" s="521">
        <f>IF(AND(Sheet1!$L177=0,Sheet1!$L176=0, Calculation!CE179&lt;Sheet1!EJ177-0.1,Sheet1!EJ177=Sheet1!EJ176,Sheet1!EJ177=Sheet1!EJ178),CF179-CL179,CF179-CL179)</f>
        <v>4.2968425643262096</v>
      </c>
      <c r="CN179" s="1040" t="str">
        <f t="shared" si="416"/>
        <v/>
      </c>
      <c r="CO179" s="1035">
        <f t="shared" si="417"/>
        <v>12.568888888888889</v>
      </c>
      <c r="CP179" s="535">
        <f t="shared" si="462"/>
        <v>1267.7777777777778</v>
      </c>
      <c r="CQ179" s="535"/>
      <c r="CR179" s="535">
        <f ca="1">IF(B179&gt;(Summary!$A$1-1),#N/A,CP179*MGtoAF)</f>
        <v>3889.5422222222223</v>
      </c>
      <c r="CS179" s="535">
        <f>Sheet1!BK177+Sheet1!BL177+Sheet1!BM177-Sheet1!ER177-DA179</f>
        <v>8.5300000000000011</v>
      </c>
      <c r="CT179" s="535">
        <f t="shared" si="463"/>
        <v>8.5039598778892298</v>
      </c>
      <c r="CU179" s="535">
        <f>IF(Sheet1!ER177="FM",DA179,0)</f>
        <v>0</v>
      </c>
      <c r="CV179" s="535">
        <f t="shared" si="464"/>
        <v>0</v>
      </c>
      <c r="CW179" s="535">
        <f>IF(Sheet1!ER177="OTHER",DA179,0)</f>
        <v>0</v>
      </c>
      <c r="CX179" s="535">
        <f t="shared" si="465"/>
        <v>0</v>
      </c>
      <c r="CY179" s="535">
        <f t="shared" si="466"/>
        <v>8.5300000000000011</v>
      </c>
      <c r="CZ179" s="535">
        <f t="shared" si="467"/>
        <v>8.5039598778892298</v>
      </c>
      <c r="DA179" s="535">
        <f>IF(OR(Sheet1!ER177="FM", Sheet1!ER177="OTHER"),SUM(Sheet1!BK177:'Sheet1'!BM177),0)</f>
        <v>0</v>
      </c>
      <c r="DB179" s="1011">
        <f>IF(AND($B179&gt;=$FV179,$B179&lt;=$FW179),MAX($CT179,Sheet1!EK177,0),MAX($CT179-(7/36)*$K179,0))</f>
        <v>0</v>
      </c>
      <c r="DC179" s="1012">
        <f t="shared" si="498"/>
        <v>4.0649290109996592</v>
      </c>
      <c r="DD179" s="1011">
        <f t="shared" si="469"/>
        <v>8.5039598778892298</v>
      </c>
      <c r="DE179" s="521">
        <f>IF(AND($O179&gt;0,Sheet1!EO177=1),(1-($O179-Sheet1!$L177)/$O179)*CZ179,0)</f>
        <v>0</v>
      </c>
      <c r="DF179" s="521">
        <f>IF(AND(Sheet1!$L177=0,Sheet1!$L176=0, Calculation!CY179&lt;Sheet1!$EK177-0.1,Sheet1!$EK177=Sheet1!$EK176,Sheet1!$EK177=Sheet1!$EK178),CZ179-DE179,CZ179-DE179)</f>
        <v>8.5039598778892298</v>
      </c>
      <c r="DG179" s="1040">
        <f t="shared" si="418"/>
        <v>12.568888888888889</v>
      </c>
      <c r="DH179" s="649">
        <f t="shared" si="470"/>
        <v>14.860000000000001</v>
      </c>
      <c r="DI179" s="535">
        <f t="shared" si="471"/>
        <v>1257.1234431119735</v>
      </c>
      <c r="DJ179" s="649">
        <f t="shared" si="472"/>
        <v>14.814635848233756</v>
      </c>
      <c r="DK179" s="535">
        <f ca="1">IF(B179&gt;(Summary!$A$1-1),#N/A,DI179*MGtoAF)</f>
        <v>3856.8547234675348</v>
      </c>
      <c r="DL179" s="649">
        <f t="shared" si="473"/>
        <v>14.86</v>
      </c>
      <c r="DM179" s="535">
        <f t="shared" si="474"/>
        <v>45.86</v>
      </c>
      <c r="DN179" s="535">
        <f>Sheet1!AB177-DM179</f>
        <v>-0.14000000000000057</v>
      </c>
      <c r="DO179" s="743">
        <f t="shared" si="475"/>
        <v>-3.0527692978630739E-3</v>
      </c>
      <c r="DP179" s="535">
        <f>(VLOOKUP(Sheet1!DC177,hhdcap_wcm,4)-(((VLOOKUP(Sheet1!DC177,hhdcap_wcm,3)-Sheet1!DC177)/(VLOOKUP(Sheet1!DC177,hhdcap_wcm,3)-VLOOKUP(Sheet1!DC177,hhdcap_wcm,1)))*(VLOOKUP(Sheet1!DC177,hhdcap_wcm,4)-VLOOKUP(Sheet1!DC177,hhdcap_wcm,2))))</f>
        <v>49951.400000119756</v>
      </c>
      <c r="DQ179" s="535">
        <f t="shared" si="476"/>
        <v>45.600000000005821</v>
      </c>
      <c r="DR179" s="535">
        <f t="shared" si="477"/>
        <v>22.995461422090678</v>
      </c>
      <c r="DS179" s="535">
        <f>Sheet1!EA177*AFtoMG</f>
        <v>0</v>
      </c>
      <c r="DT179" s="535">
        <f>Sheet1!EB177*AFtoMG</f>
        <v>0</v>
      </c>
      <c r="DU179" s="535">
        <f>Sheet1!EC177*AFtoMG</f>
        <v>0</v>
      </c>
      <c r="DV179" s="535">
        <f>Sheet1!ED177*AFtoMG</f>
        <v>0</v>
      </c>
      <c r="DW179" s="535">
        <f t="shared" si="478"/>
        <v>0</v>
      </c>
      <c r="DX179" s="535">
        <f t="shared" si="479"/>
        <v>0</v>
      </c>
      <c r="DY179" s="535">
        <f t="shared" si="480"/>
        <v>6509.3456653341964</v>
      </c>
      <c r="DZ179" s="535">
        <f t="shared" si="481"/>
        <v>19970.672501245313</v>
      </c>
      <c r="EA179" s="535"/>
      <c r="EB179" s="521">
        <f>IF(OR(B179&lt;FV179,B179&gt;FW179),(MIN(BF179+BY179+CT179+MAX(Sheet1!AA177+AQ179-73,0),K179)),0)</f>
        <v>14.814635848233756</v>
      </c>
      <c r="EC179" s="535"/>
      <c r="ED179" s="535">
        <f t="shared" si="482"/>
        <v>14.814635848233756</v>
      </c>
      <c r="EE179" s="535"/>
      <c r="EF179" s="535">
        <f>Sheet1!EH177+Sheet1!EI177+Sheet1!EJ177+Sheet1!EK177</f>
        <v>15</v>
      </c>
      <c r="EG179" s="1019">
        <f t="shared" si="419"/>
        <v>23.204999999999998</v>
      </c>
      <c r="EH179" s="521">
        <f t="shared" si="483"/>
        <v>0</v>
      </c>
      <c r="EI179" s="535">
        <f>IF(Sheet1!ET177=1,SUM('Calculations II'!AT179:BA179)+'Calculations II'!BC179+Sheet1!BV177+'Calculations II'!BE179+AP179,'Calculations II'!BK179)</f>
        <v>52.862414151766245</v>
      </c>
      <c r="EJ179" s="535">
        <f ca="1">EI179+'Calculations II'!D179+'Calculations II'!E179+'Calculations II'!O179</f>
        <v>51.999649523042351</v>
      </c>
      <c r="EK179" s="535"/>
      <c r="EL179" s="535"/>
      <c r="EM179" s="535">
        <f t="shared" si="484"/>
        <v>42903</v>
      </c>
      <c r="EN179" s="535">
        <f t="shared" si="485"/>
        <v>49.825364151766244</v>
      </c>
      <c r="EO179" s="535">
        <f t="shared" si="486"/>
        <v>77.079838342782381</v>
      </c>
      <c r="EP179" s="535">
        <v>0</v>
      </c>
      <c r="EQ179" s="535">
        <v>0</v>
      </c>
      <c r="ER179" s="535">
        <v>0</v>
      </c>
      <c r="ES179" s="521">
        <f t="shared" si="381"/>
        <v>1.3862899923793488</v>
      </c>
      <c r="ET179" s="535">
        <f>-(VLOOKUP(Sheet1!BQ177,Lookup!$O$4:$Q$262,2)-VLOOKUP(Sheet1!BQ176,Lookup!$O$4:$Q$262,2))/1000000</f>
        <v>0.69303279337969426</v>
      </c>
      <c r="EU179" s="535">
        <f>-(VLOOKUP(Sheet1!BR177,Lookup!$O$4:$Q$262,3)-VLOOKUP(Sheet1!BR176,Lookup!$O$4:$Q$262,3))/1000000</f>
        <v>0.69325719899965454</v>
      </c>
      <c r="EV179" s="535"/>
      <c r="EW179" s="535"/>
      <c r="EX179" s="535"/>
      <c r="EY179" s="535">
        <f t="shared" si="434"/>
        <v>45.913703079308299</v>
      </c>
      <c r="EZ179" s="535">
        <f t="shared" si="435"/>
        <v>29.679187510865095</v>
      </c>
      <c r="FA179" s="535"/>
      <c r="FB179" s="535"/>
      <c r="FC179" s="535"/>
      <c r="FD179" s="567" t="e">
        <f t="shared" si="487"/>
        <v>#N/A</v>
      </c>
      <c r="FE179" s="567" t="e">
        <f t="shared" si="488"/>
        <v>#N/A</v>
      </c>
      <c r="FF179" s="568" t="e">
        <f t="shared" si="489"/>
        <v>#N/A</v>
      </c>
      <c r="FG179" s="569" t="s">
        <v>656</v>
      </c>
      <c r="FH179" s="569" t="s">
        <v>656</v>
      </c>
      <c r="FI179" s="567" t="e">
        <v>#N/A</v>
      </c>
      <c r="FJ179" s="567" t="e">
        <v>#N/A</v>
      </c>
      <c r="FK179" s="535">
        <v>24250</v>
      </c>
      <c r="FL179" s="1015">
        <v>0</v>
      </c>
      <c r="FM179" s="535"/>
      <c r="FN179" s="535"/>
      <c r="FO179" s="535">
        <f>O179+((Sheet1!CS177)*GPMtoMGD)</f>
        <v>67.52</v>
      </c>
      <c r="FP179" s="535">
        <f>IF(Sheet1!AA177+AQ179&lt;=Calculation!N179,AQ179,Calculation!N179-Sheet1!AA177)</f>
        <v>30.905364151766246</v>
      </c>
      <c r="FQ179" s="535">
        <f>(Sheet1!BP177+Sheet1!BO177)/694.4</f>
        <v>2.0303859447004609</v>
      </c>
      <c r="FR179" s="541"/>
      <c r="FS179" s="541"/>
      <c r="FT179" s="541"/>
      <c r="FU179" s="541"/>
      <c r="FV179" s="1109">
        <f t="shared" si="382"/>
        <v>42918</v>
      </c>
      <c r="FW179" s="1109">
        <f t="shared" si="383"/>
        <v>43027</v>
      </c>
      <c r="FX179" s="541"/>
      <c r="FY179" s="541">
        <f>Sheet1!DA177-Sheet1!CZ177-Sheet1!AE177</f>
        <v>225.54656</v>
      </c>
      <c r="FZ179" s="535">
        <f t="shared" si="420"/>
        <v>0.1800058874467233</v>
      </c>
      <c r="GA179" s="535"/>
      <c r="GB179" s="535" t="str">
        <f t="shared" si="384"/>
        <v>n</v>
      </c>
      <c r="GC179" s="539">
        <f t="shared" si="385"/>
        <v>42782</v>
      </c>
      <c r="GD179" s="1109">
        <f t="shared" si="386"/>
        <v>42904</v>
      </c>
      <c r="GE179" s="535">
        <f t="shared" si="404"/>
        <v>6520</v>
      </c>
      <c r="GF179" s="1109">
        <f t="shared" si="387"/>
        <v>42909</v>
      </c>
      <c r="GG179" s="535">
        <f t="shared" si="432"/>
        <v>3260</v>
      </c>
      <c r="GH179" s="539">
        <f t="shared" si="388"/>
        <v>43040</v>
      </c>
      <c r="GJ179" s="521">
        <f t="shared" si="389"/>
        <v>45.760435140766589</v>
      </c>
      <c r="GK179" s="535" t="str">
        <f>CONCATENATE(GM179,HA179,GT179,HH179)</f>
        <v>P</v>
      </c>
      <c r="GL179" s="535">
        <f>IF(GP179&gt;=8333.3,AV179,0)</f>
        <v>26.933333333333334</v>
      </c>
      <c r="GM179" s="535" t="str">
        <f>IF(AND(GP179&lt;8333.3,GJ179&gt;0),"T","")</f>
        <v/>
      </c>
      <c r="GN179" s="535">
        <f>IF(GK179="P",Lookup!$M$12,IF(GK179="PP",Lookup!$M$13,IF(GK179="PPP",Lookup!$M$14,IF(GK179="T",Lookup!$M$15,IF(GK179="TP",Lookup!$M$16,IF(GK179="TPP",Lookup!$M$17,IF(GK179="TPPP",Lookup!$M$18,0)))))))*GJ179</f>
        <v>0</v>
      </c>
      <c r="GO179" s="535">
        <f>IF(GM179="T", MIN(GN179, 2716.2-$GQ179),0)</f>
        <v>0</v>
      </c>
      <c r="GP179" s="535">
        <f>GQ179*MGtoAF</f>
        <v>8334.7333333333336</v>
      </c>
      <c r="GQ179" s="535">
        <f t="shared" si="433"/>
        <v>2716.666666666667</v>
      </c>
      <c r="GR179" s="535"/>
      <c r="GS179" s="535">
        <f>IF(GW179&gt;=3888.8,BO179,0)</f>
        <v>10.555055482870571</v>
      </c>
      <c r="GT179" s="535" t="str">
        <f>IF(AND(GW179&lt;3888.8,GJ179&gt;0),"P","")</f>
        <v/>
      </c>
      <c r="GU179" s="535">
        <f>IF(GK179="P",Lookup!$N$12,IF(GK179="PP",Lookup!$N$13,IF(GK179="PPP",Lookup!$N$14,IF(GK179="T",Lookup!$N$15,IF(GK179="TP",Lookup!$N$16,IF(GK179="TPP",Lookup!$N$17,IF(GK179="TPPP",Lookup!$N$18,0)))))))*GJ179</f>
        <v>45.760435140766589</v>
      </c>
      <c r="GV179" s="535">
        <f>IF(GT179="P",MIN(GU179,7/36*GE179-GX179),0)</f>
        <v>0</v>
      </c>
      <c r="GW179" s="535">
        <f>GX179*MGtoAF</f>
        <v>3889.5422222222223</v>
      </c>
      <c r="GX179" s="535">
        <f t="shared" si="400"/>
        <v>1267.7777777777778</v>
      </c>
      <c r="GY179" s="535"/>
      <c r="GZ179" s="535">
        <f>IF(HD179&gt;=3888.8,CJ179,0)</f>
        <v>8.2720463245626803</v>
      </c>
      <c r="HA179" s="535" t="str">
        <f>IF(AND(HD179&lt;3888.8,GJ179&gt;0),"P","")</f>
        <v/>
      </c>
      <c r="HB179" s="535">
        <f>IF(GK179="P",Lookup!$N$12,IF(GK179="PP",Lookup!$N$13,IF(GK179="PPP",Lookup!$N$14,IF(GK179="T",Lookup!$N$15,IF(GK179="TP",Lookup!$N$16,IF(GK179="TPP",Lookup!$N$17,IF(GK179="TPPP",Lookup!$N$18,0)))))))*GJ179</f>
        <v>45.760435140766589</v>
      </c>
      <c r="HC179" s="521">
        <f>IF(HA179="P",MIN(HB179,7/36*GE179-HE179),0)</f>
        <v>0</v>
      </c>
      <c r="HD179" s="535">
        <f>HE179*MGtoAF</f>
        <v>3889.5422222222223</v>
      </c>
      <c r="HE179" s="535">
        <f t="shared" si="401"/>
        <v>1267.7777777777778</v>
      </c>
      <c r="HF179" s="535"/>
      <c r="HG179" s="535">
        <f>IF(HK179&gt;=3888.8,DC179,0)</f>
        <v>0</v>
      </c>
      <c r="HH179" s="535" t="str">
        <f>IF(AND(HK179&lt;3888.8,GJ179&gt;0),"P","")</f>
        <v>P</v>
      </c>
      <c r="HI179" s="535">
        <f>IF(GK179="P",Lookup!$N$12,IF(GK179="PP",Lookup!$N$13,IF(GK179="PPP",Lookup!$N$14,IF(GK179="T",Lookup!$N$15,IF(GK179="TP",Lookup!$N$16,IF(GK179="TPP",Lookup!$N$17,IF(GK179="TPPP",Lookup!$N$18,0)))))))*GJ179</f>
        <v>45.760435140766589</v>
      </c>
      <c r="HJ179" s="521">
        <f>IF(HH179="P",MIN(HI179,7/36*GE179-HL179),0)</f>
        <v>45.760435140766589</v>
      </c>
      <c r="HK179" s="535">
        <f>HL179*MGtoAF</f>
        <v>3716.461708455663</v>
      </c>
      <c r="HL179" s="535">
        <f t="shared" si="402"/>
        <v>1211.363007971207</v>
      </c>
      <c r="HM179" s="535"/>
      <c r="HN179" s="541"/>
      <c r="HO179" s="541"/>
      <c r="HP179" s="541"/>
      <c r="HQ179" s="541">
        <f>IF(AND(B179&gt;=$FV$4,B179&lt;=$FW$4),MAX(110/1.02+$HQ$6+MIN(113/1.02,G179),IF($HV$6-(Sheet1!DA177-Sheet1!DB177)+MIN(113/1.02,G179)&lt;G179+FL179,$HV$6-(Sheet1!DA177-Sheet1!DB177)+MIN(113/1.02,G179),G179+FL179)),MIN(110/1.02+$HQ$6+113/1.02,G179))</f>
        <v>218.62745098039215</v>
      </c>
      <c r="HR179" s="541">
        <f t="shared" si="421"/>
        <v>223</v>
      </c>
      <c r="HS179" s="541">
        <f>HR179+(Sheet1!DA177-Sheet1!DB177)</f>
        <v>573</v>
      </c>
      <c r="HT179" s="541">
        <f t="shared" si="422"/>
        <v>81.465019999999996</v>
      </c>
      <c r="HU179" s="541">
        <f t="shared" si="423"/>
        <v>491.53498000000002</v>
      </c>
      <c r="HV179" s="541">
        <f t="shared" si="424"/>
        <v>0</v>
      </c>
      <c r="HW179" s="541" t="str">
        <f t="shared" si="425"/>
        <v/>
      </c>
      <c r="HX179" s="541">
        <f t="shared" si="426"/>
        <v>1011.3725490196078</v>
      </c>
      <c r="HY179" s="541">
        <f>Sheet1!CZ177</f>
        <v>1230</v>
      </c>
      <c r="HZ179" s="541">
        <f t="shared" si="427"/>
        <v>0</v>
      </c>
      <c r="IA179" s="541">
        <f t="shared" si="428"/>
        <v>81.465019999999996</v>
      </c>
      <c r="IB179" s="541">
        <f t="shared" si="429"/>
        <v>1230</v>
      </c>
      <c r="IC179" s="1019" t="str">
        <f t="shared" si="430"/>
        <v/>
      </c>
      <c r="ID179" s="541">
        <f t="shared" si="431"/>
        <v>1148.5349799999999</v>
      </c>
      <c r="IE179" s="541">
        <f>Sheet1!DB177</f>
        <v>1210</v>
      </c>
      <c r="IF179" s="533">
        <f>Sheet1!DA177</f>
        <v>1560</v>
      </c>
      <c r="IH179" s="541">
        <f>IF(AND($B179&gt;=$GC179,$B179&lt;=$GH179,$DR179&lt;0)+N("only adjusted when pool is drawn down during storage season"),Sheet1!$DB177+$DR179+N("Palmer minus all storage release"),Sheet1!$DB177)</f>
        <v>1210</v>
      </c>
      <c r="II179" s="541">
        <f>IF(AND($B179&gt;=$GC179,$B179&lt;=$GH179,$DR179&lt;0)+N("only adjusted when pool is drawn down during storage season"),Sheet1!$DA177+$DR179+N("Auburn minus all storage release"),Sheet1!$DA177)</f>
        <v>1560</v>
      </c>
    </row>
    <row r="180" spans="1:243" x14ac:dyDescent="0.25">
      <c r="A180" s="553" t="s">
        <v>3</v>
      </c>
      <c r="B180" s="531">
        <v>42904</v>
      </c>
      <c r="C180" s="536">
        <v>0</v>
      </c>
      <c r="D180" s="506">
        <f t="shared" si="371"/>
        <v>300</v>
      </c>
      <c r="E180" s="506">
        <f t="shared" si="372"/>
        <v>250</v>
      </c>
      <c r="F180" s="506">
        <v>250</v>
      </c>
      <c r="G180" s="535">
        <f>DR180+Sheet1!CZ178</f>
        <v>1115.0226928895613</v>
      </c>
      <c r="H180" s="1074">
        <f t="shared" si="405"/>
        <v>570.66745466781242</v>
      </c>
      <c r="I180" s="534">
        <f>IF(Sheet1!DA178&gt;=E180,(Sheet1!DA178-E180+P180)*CFStoMGD,0)</f>
        <v>910.01278598399995</v>
      </c>
      <c r="J180" s="995">
        <f>IF(Sheet1!DB178&gt;=D180,(Sheet1!DB178-D180+P180)*CFStoMGD,0)</f>
        <v>644.98878598399995</v>
      </c>
      <c r="K180" s="818">
        <f t="shared" si="406"/>
        <v>64.64</v>
      </c>
      <c r="L180" s="535">
        <f>Sheet1!AA178+Sheet1!AB178-Sheet1!L178+(Sheet1!DA178-F180)*CFStoMGD-S180-T180-U180</f>
        <v>845.37400000000002</v>
      </c>
      <c r="M180" s="535">
        <f t="shared" si="436"/>
        <v>735.16568205748877</v>
      </c>
      <c r="N180" s="824">
        <f>IF(Sheet1!DA178&gt;=F180,MIN(113*CFStoMGD,MIN(MAX(L180,0),MAX(M180,0))),0)</f>
        <v>73.043199999999999</v>
      </c>
      <c r="O180" s="538">
        <f>Sheet1!AA178+Sheet1!AB178</f>
        <v>63.23</v>
      </c>
      <c r="P180" s="538">
        <f t="shared" si="437"/>
        <v>97.81680999999999</v>
      </c>
      <c r="Q180" s="812">
        <f t="shared" si="407"/>
        <v>48.069999999999993</v>
      </c>
      <c r="R180" s="812">
        <f t="shared" si="373"/>
        <v>15.006821800367423</v>
      </c>
      <c r="S180" s="812">
        <f t="shared" si="374"/>
        <v>15.16</v>
      </c>
      <c r="T180" s="812">
        <f t="shared" si="375"/>
        <v>49.480000000000004</v>
      </c>
      <c r="U180" s="812">
        <f t="shared" si="408"/>
        <v>0</v>
      </c>
      <c r="V180" s="812"/>
      <c r="W180" s="812">
        <f t="shared" si="376"/>
        <v>49.633178199632582</v>
      </c>
      <c r="X180" s="812">
        <f t="shared" si="377"/>
        <v>64.64</v>
      </c>
      <c r="Y180" s="812" t="str">
        <f t="shared" si="378"/>
        <v>FALSE</v>
      </c>
      <c r="Z180" s="812">
        <f t="shared" si="379"/>
        <v>63.23</v>
      </c>
      <c r="AA180" s="812">
        <f t="shared" si="380"/>
        <v>63.22999999999999</v>
      </c>
      <c r="AB180" s="1059">
        <f t="shared" si="409"/>
        <v>74.364289999999983</v>
      </c>
      <c r="AC180" s="538">
        <f>Sheet1!Y178*MGDtoCFS</f>
        <v>33.724600000000002</v>
      </c>
      <c r="AD180" s="538">
        <f>Sheet1!Z178*MGDtoCFS</f>
        <v>70.728839999999991</v>
      </c>
      <c r="AE180" s="538">
        <f>Sheet1!AA178*MGDtoCFS</f>
        <v>47.802299999999995</v>
      </c>
      <c r="AF180" s="538">
        <f>Sheet1!AB178*MGDtoCFS</f>
        <v>50.014509999999994</v>
      </c>
      <c r="AG180" s="538">
        <f>Sheet1!L178*MGDtoCFS</f>
        <v>0</v>
      </c>
      <c r="AH180" s="521">
        <f t="shared" si="438"/>
        <v>0</v>
      </c>
      <c r="AI180" s="1059">
        <f t="shared" si="439"/>
        <v>0</v>
      </c>
      <c r="AJ180" s="535">
        <f t="shared" si="440"/>
        <v>49.633178199632582</v>
      </c>
      <c r="AK180" s="535">
        <f t="shared" si="441"/>
        <v>76.782526674831601</v>
      </c>
      <c r="AL180" s="535">
        <f>(VLOOKUP(Sheet1!DC178,hhdcap_wcm,4)-(((VLOOKUP(Sheet1!DC178,hhdcap_wcm,3)-Sheet1!DC178)/(VLOOKUP(Sheet1!DC178,hhdcap_wcm,3)-VLOOKUP(Sheet1!DC178,hhdcap_wcm,1)))*(VLOOKUP(Sheet1!DC178,hhdcap_wcm,4)-VLOOKUP(Sheet1!DC178,hhdcap_wcm,2))))</f>
        <v>49723.400000119756</v>
      </c>
      <c r="AM180" s="535">
        <f t="shared" si="442"/>
        <v>-228</v>
      </c>
      <c r="AN180" s="1035">
        <f t="shared" si="443"/>
        <v>6520</v>
      </c>
      <c r="AO180" s="535">
        <f t="shared" si="444"/>
        <v>20003.36</v>
      </c>
      <c r="AP180" s="535">
        <f>Sheet1!BA178+Sheet1!BB178+Sheet1!BN178+CD180</f>
        <v>17.5</v>
      </c>
      <c r="AQ180" s="535">
        <f>Sheet1!BN178+(DO180*Sheet1!BN178)</f>
        <v>17.323178199632579</v>
      </c>
      <c r="AR180" s="535">
        <f>Sheet1!BA178+CD180</f>
        <v>0</v>
      </c>
      <c r="AS180" s="535">
        <f>Sheet1!BA178+Sheet1!BB178+CD180</f>
        <v>0</v>
      </c>
      <c r="AT180" s="649">
        <f>0</f>
        <v>0</v>
      </c>
      <c r="AU180" s="974">
        <f>BA180+Sheet1!EH178</f>
        <v>0</v>
      </c>
      <c r="AV180" s="535">
        <f>IF(OR(B180&gt;=GD180,B180&lt;GC180),0,15/36*K180-MAX(0,64.6-(137.6-(Sheet1!AA178+Sheet1!AB178))))</f>
        <v>0</v>
      </c>
      <c r="AW180" s="1029"/>
      <c r="AX180" s="649"/>
      <c r="AY180" s="649">
        <f t="shared" si="410"/>
        <v>0</v>
      </c>
      <c r="AZ180" s="649">
        <f t="shared" si="411"/>
        <v>0</v>
      </c>
      <c r="BA180" s="1059">
        <f t="shared" si="412"/>
        <v>0</v>
      </c>
      <c r="BB180" s="1019">
        <f t="shared" si="445"/>
        <v>2716.666666666667</v>
      </c>
      <c r="BC180" s="1041">
        <f t="shared" si="413"/>
        <v>26.933333333333334</v>
      </c>
      <c r="BD180" s="1019">
        <f ca="1">IF(B180&gt;(Summary!$A$1-1),#N/A,BB180*MGtoAF)</f>
        <v>8334.7333333333336</v>
      </c>
      <c r="BE180" s="535">
        <f>Sheet1!BG178+Sheet1!BH178+Sheet1!BI178-BM180</f>
        <v>2.02</v>
      </c>
      <c r="BF180" s="535">
        <f t="shared" si="446"/>
        <v>1.9995897121861606</v>
      </c>
      <c r="BG180" s="535">
        <f>IF(Sheet1!EP178="FM",BM180,0)</f>
        <v>0</v>
      </c>
      <c r="BH180" s="535">
        <f t="shared" si="447"/>
        <v>0</v>
      </c>
      <c r="BI180" s="535">
        <f>IF(Sheet1!EP178="OTHER",BM180,0)</f>
        <v>0</v>
      </c>
      <c r="BJ180" s="535">
        <f t="shared" si="448"/>
        <v>0</v>
      </c>
      <c r="BK180" s="535">
        <f t="shared" si="449"/>
        <v>2.02</v>
      </c>
      <c r="BL180" s="535">
        <f t="shared" si="450"/>
        <v>1.9995897121861606</v>
      </c>
      <c r="BM180" s="535">
        <f>IF(OR(Sheet1!EP178="FM", Sheet1!EP178="OTHER"),SUM(Sheet1!BG178:'Sheet1'!BI178),0)</f>
        <v>0</v>
      </c>
      <c r="BN180" s="521">
        <f>IF(AND($B180&gt;=$FV180,$B180&lt;=$FW180),MAX(BF180,Sheet1!EI178,0),MAX(BF180-(7/36)*$K180,0))</f>
        <v>0</v>
      </c>
      <c r="BO180" s="535">
        <f t="shared" si="497"/>
        <v>10.569299176702728</v>
      </c>
      <c r="BP180" s="521">
        <f t="shared" si="452"/>
        <v>1.9995897121861606</v>
      </c>
      <c r="BQ180" s="521">
        <f>IF(AND($O180&gt;0,Sheet1!EM178=1),(1-($O180-Sheet1!$L178)/$O180)*BL180,0)</f>
        <v>0</v>
      </c>
      <c r="BR180" s="521">
        <f>IF(AND(Sheet1!$L178=0,Sheet1!$L177=0, Calculation!BK180&lt;Sheet1!$EI178-0.1,Sheet1!$EI178=Sheet1!$EI177,Sheet1!$EI178=Sheet1!$EI179),BL180-BQ180,BL180-BQ180)</f>
        <v>1.9995897121861606</v>
      </c>
      <c r="BS180" s="1035" t="str">
        <f t="shared" si="414"/>
        <v/>
      </c>
      <c r="BT180" s="1035">
        <f t="shared" si="415"/>
        <v>12.568888888888889</v>
      </c>
      <c r="BU180" s="535">
        <f t="shared" si="453"/>
        <v>1267.7777777777778</v>
      </c>
      <c r="BV180" s="535"/>
      <c r="BW180" s="535">
        <f ca="1">IF(B180&gt;(Summary!$A$1-1),#N/A,BU180*MGtoAF)</f>
        <v>3889.5422222222223</v>
      </c>
      <c r="BX180" s="535">
        <f>Sheet1!BC178+Sheet1!BD178+Sheet1!BE178+Sheet1!BF178-CG180-CH180</f>
        <v>4.49</v>
      </c>
      <c r="BY180" s="535">
        <f t="shared" si="454"/>
        <v>4.4446325780771589</v>
      </c>
      <c r="BZ180" s="535">
        <f>IF(Sheet1!EQ178="FM",CH180,0)</f>
        <v>0</v>
      </c>
      <c r="CA180" s="535">
        <f t="shared" si="455"/>
        <v>0</v>
      </c>
      <c r="CB180" s="535">
        <f>IF(Sheet1!EQ178="OTHER",CH180,0)</f>
        <v>0</v>
      </c>
      <c r="CC180" s="535">
        <f t="shared" si="456"/>
        <v>0</v>
      </c>
      <c r="CD180" s="535">
        <f t="shared" si="457"/>
        <v>0</v>
      </c>
      <c r="CE180" s="535">
        <f t="shared" si="458"/>
        <v>4.49</v>
      </c>
      <c r="CF180" s="535">
        <f t="shared" si="459"/>
        <v>4.4446325780771589</v>
      </c>
      <c r="CG180" s="535">
        <f>IF(Sheet1!EQ178="CWA",SUM(Sheet1!BC178:'Sheet1'!BF178),0)</f>
        <v>0</v>
      </c>
      <c r="CH180" s="535">
        <f>IF(OR(Sheet1!EQ178="FM", Sheet1!EQ178="OTHER"),SUM(Sheet1!BC178:'Sheet1'!BF178),0)</f>
        <v>0</v>
      </c>
      <c r="CI180" s="521">
        <f>IF(AND($B180&gt;=$FV180,$B180&lt;=$FW180),MAX(CF180,Sheet1!EJ178,0),MAX(CF180-(7/36)*$K180,0))</f>
        <v>0</v>
      </c>
      <c r="CJ180" s="535">
        <f t="shared" si="499"/>
        <v>8.1242563108117309</v>
      </c>
      <c r="CK180" s="521">
        <f t="shared" si="461"/>
        <v>4.4446325780771589</v>
      </c>
      <c r="CL180" s="521">
        <f>IF(AND($O180&gt;0,Sheet1!EN178=1),(1-($O180-Sheet1!$L178)/$O180)*CF180,0)</f>
        <v>0</v>
      </c>
      <c r="CM180" s="521">
        <f>IF(AND(Sheet1!$L178=0,Sheet1!$L177=0, Calculation!CE180&lt;Sheet1!EJ178-0.1,Sheet1!EJ178=Sheet1!EJ177,Sheet1!EJ178=Sheet1!EJ179),CF180-CL180,CF180-CL180)</f>
        <v>4.4446325780771589</v>
      </c>
      <c r="CN180" s="1040" t="str">
        <f t="shared" si="416"/>
        <v/>
      </c>
      <c r="CO180" s="1035">
        <f t="shared" si="417"/>
        <v>12.568888888888889</v>
      </c>
      <c r="CP180" s="535">
        <f t="shared" si="462"/>
        <v>1267.7777777777778</v>
      </c>
      <c r="CQ180" s="535"/>
      <c r="CR180" s="535">
        <f ca="1">IF(B180&gt;(Summary!$A$1-1),#N/A,CP180*MGtoAF)</f>
        <v>3889.5422222222223</v>
      </c>
      <c r="CS180" s="535">
        <f>Sheet1!BK178+Sheet1!BL178+Sheet1!BM178-Sheet1!ER178-DA180</f>
        <v>8.65</v>
      </c>
      <c r="CT180" s="535">
        <f t="shared" si="463"/>
        <v>8.5625995101041035</v>
      </c>
      <c r="CU180" s="535">
        <f>IF(Sheet1!ER178="FM",DA180,0)</f>
        <v>0</v>
      </c>
      <c r="CV180" s="535">
        <f t="shared" si="464"/>
        <v>0</v>
      </c>
      <c r="CW180" s="535">
        <f>IF(Sheet1!ER178="OTHER",DA180,0)</f>
        <v>0</v>
      </c>
      <c r="CX180" s="535">
        <f t="shared" si="465"/>
        <v>0</v>
      </c>
      <c r="CY180" s="535">
        <f t="shared" si="466"/>
        <v>8.65</v>
      </c>
      <c r="CZ180" s="535">
        <f t="shared" si="467"/>
        <v>8.5625995101041035</v>
      </c>
      <c r="DA180" s="535">
        <f>IF(OR(Sheet1!ER178="FM", Sheet1!ER178="OTHER"),SUM(Sheet1!BK178:'Sheet1'!BM178),0)</f>
        <v>0</v>
      </c>
      <c r="DB180" s="1011">
        <f>IF(AND($B180&gt;=$FV180,$B180&lt;=$FW180),MAX($CT180,Sheet1!EK178,0),MAX($CT180-(7/36)*$K180,0))</f>
        <v>0</v>
      </c>
      <c r="DC180" s="1012">
        <f t="shared" si="498"/>
        <v>4.0062893787847855</v>
      </c>
      <c r="DD180" s="1011">
        <f t="shared" si="469"/>
        <v>8.5625995101041035</v>
      </c>
      <c r="DE180" s="521">
        <f>IF(AND($O180&gt;0,Sheet1!EO178=1),(1-($O180-Sheet1!$L178)/$O180)*CZ180,0)</f>
        <v>0</v>
      </c>
      <c r="DF180" s="521">
        <f>IF(AND(Sheet1!$L178=0,Sheet1!$L177=0, Calculation!CY180&lt;Sheet1!$EK178-0.1,Sheet1!$EK178=Sheet1!$EK177,Sheet1!$EK178=Sheet1!$EK179),CZ180-DE180,CZ180-DE180)</f>
        <v>8.5625995101041035</v>
      </c>
      <c r="DG180" s="1040">
        <f t="shared" si="418"/>
        <v>12.568888888888889</v>
      </c>
      <c r="DH180" s="649">
        <f t="shared" si="470"/>
        <v>15.16</v>
      </c>
      <c r="DI180" s="535">
        <f t="shared" si="471"/>
        <v>1267.7777777777778</v>
      </c>
      <c r="DJ180" s="649">
        <f t="shared" si="472"/>
        <v>15.006821800367423</v>
      </c>
      <c r="DK180" s="535">
        <f ca="1">IF(B180&gt;(Summary!$A$1-1),#N/A,DI180*MGtoAF)</f>
        <v>3889.5422222222223</v>
      </c>
      <c r="DL180" s="649">
        <f t="shared" si="473"/>
        <v>15.16</v>
      </c>
      <c r="DM180" s="535">
        <f t="shared" si="474"/>
        <v>32.659999999999997</v>
      </c>
      <c r="DN180" s="535">
        <f>Sheet1!AB178-DM180</f>
        <v>-0.32999999999999829</v>
      </c>
      <c r="DO180" s="743">
        <f t="shared" si="475"/>
        <v>-1.0104102878138345E-2</v>
      </c>
      <c r="DP180" s="535">
        <f>(VLOOKUP(Sheet1!DC178,hhdcap_wcm,4)-(((VLOOKUP(Sheet1!DC178,hhdcap_wcm,3)-Sheet1!DC178)/(VLOOKUP(Sheet1!DC178,hhdcap_wcm,3)-VLOOKUP(Sheet1!DC178,hhdcap_wcm,1)))*(VLOOKUP(Sheet1!DC178,hhdcap_wcm,4)-VLOOKUP(Sheet1!DC178,hhdcap_wcm,2))))</f>
        <v>49723.400000119756</v>
      </c>
      <c r="DQ180" s="535">
        <f t="shared" si="476"/>
        <v>-228</v>
      </c>
      <c r="DR180" s="535">
        <f t="shared" si="477"/>
        <v>-114.97730711043872</v>
      </c>
      <c r="DS180" s="535">
        <f>Sheet1!EA178*AFtoMG</f>
        <v>0</v>
      </c>
      <c r="DT180" s="535">
        <f>Sheet1!EB178*AFtoMG</f>
        <v>0</v>
      </c>
      <c r="DU180" s="535">
        <f>Sheet1!EC178*AFtoMG</f>
        <v>0</v>
      </c>
      <c r="DV180" s="535">
        <f>Sheet1!ED178*AFtoMG</f>
        <v>0</v>
      </c>
      <c r="DW180" s="535">
        <f t="shared" si="478"/>
        <v>0</v>
      </c>
      <c r="DX180" s="535">
        <f t="shared" si="479"/>
        <v>0</v>
      </c>
      <c r="DY180" s="535">
        <f t="shared" si="480"/>
        <v>6520</v>
      </c>
      <c r="DZ180" s="535">
        <f t="shared" si="481"/>
        <v>20003.36</v>
      </c>
      <c r="EA180" s="535"/>
      <c r="EB180" s="521">
        <f>IF(OR(B180&lt;FV180,B180&gt;FW180),(MIN(BF180+BY180+CT180+MAX(Sheet1!AA178+AQ180-73,0),K180)),0)</f>
        <v>15.006821800367423</v>
      </c>
      <c r="EC180" s="535"/>
      <c r="ED180" s="535">
        <f t="shared" si="482"/>
        <v>15.006821800367423</v>
      </c>
      <c r="EE180" s="535"/>
      <c r="EF180" s="535">
        <f>Sheet1!EH178+Sheet1!EI178+Sheet1!EJ178+Sheet1!EK178</f>
        <v>15</v>
      </c>
      <c r="EG180" s="1019">
        <f t="shared" si="419"/>
        <v>23.204999999999998</v>
      </c>
      <c r="EH180" s="521">
        <f t="shared" si="483"/>
        <v>0</v>
      </c>
      <c r="EI180" s="535">
        <f>IF(Sheet1!ET178=1,SUM('Calculations II'!AT180:BA180)+'Calculations II'!BC180+Sheet1!BV178+'Calculations II'!BE180+AP180,'Calculations II'!BK180)</f>
        <v>56.956934199632578</v>
      </c>
      <c r="EJ180" s="535">
        <f ca="1">EI180+'Calculations II'!D180+'Calculations II'!E180+'Calculations II'!O180</f>
        <v>47.345146557743924</v>
      </c>
      <c r="EK180" s="535"/>
      <c r="EL180" s="535"/>
      <c r="EM180" s="535">
        <f t="shared" si="484"/>
        <v>42904</v>
      </c>
      <c r="EN180" s="535">
        <f t="shared" si="485"/>
        <v>49.633178199632582</v>
      </c>
      <c r="EO180" s="535">
        <f t="shared" si="486"/>
        <v>76.782526674831601</v>
      </c>
      <c r="EP180" s="535">
        <v>0</v>
      </c>
      <c r="EQ180" s="535">
        <v>0</v>
      </c>
      <c r="ER180" s="535">
        <v>0</v>
      </c>
      <c r="ES180" s="521">
        <f t="shared" si="381"/>
        <v>8.8646666421289293</v>
      </c>
      <c r="ET180" s="535">
        <f>-(VLOOKUP(Sheet1!BQ178,Lookup!$O$4:$Q$262,2)-VLOOKUP(Sheet1!BQ177,Lookup!$O$4:$Q$262,2))/1000000</f>
        <v>4.4316155293222108</v>
      </c>
      <c r="EU180" s="535">
        <f>-(VLOOKUP(Sheet1!BR178,Lookup!$O$4:$Q$262,3)-VLOOKUP(Sheet1!BR177,Lookup!$O$4:$Q$262,3))/1000000</f>
        <v>4.4330511128067185</v>
      </c>
      <c r="EV180" s="535"/>
      <c r="EW180" s="535"/>
      <c r="EX180" s="535"/>
      <c r="EY180" s="535">
        <f t="shared" si="434"/>
        <v>-91.761753785270315</v>
      </c>
      <c r="EZ180" s="535">
        <f t="shared" si="435"/>
        <v>-59.315936512779778</v>
      </c>
      <c r="FA180" s="535"/>
      <c r="FB180" s="535"/>
      <c r="FC180" s="535"/>
      <c r="FD180" s="567" t="e">
        <f t="shared" si="487"/>
        <v>#N/A</v>
      </c>
      <c r="FE180" s="567" t="e">
        <f t="shared" si="488"/>
        <v>#N/A</v>
      </c>
      <c r="FF180" s="568" t="e">
        <f t="shared" si="489"/>
        <v>#N/A</v>
      </c>
      <c r="FG180" s="569" t="s">
        <v>656</v>
      </c>
      <c r="FH180" s="569" t="s">
        <v>656</v>
      </c>
      <c r="FI180" s="567" t="e">
        <v>#N/A</v>
      </c>
      <c r="FJ180" s="567" t="e">
        <v>#N/A</v>
      </c>
      <c r="FK180" s="535">
        <v>24200</v>
      </c>
      <c r="FL180" s="1015">
        <v>0</v>
      </c>
      <c r="FM180" s="535"/>
      <c r="FN180" s="535"/>
      <c r="FO180" s="535">
        <f>O180+((Sheet1!CS178)*GPMtoMGD)</f>
        <v>63.23</v>
      </c>
      <c r="FP180" s="535">
        <f>IF(Sheet1!AA178+AQ180&lt;=Calculation!N180,AQ180,Calculation!N180-Sheet1!AA178)</f>
        <v>17.323178199632579</v>
      </c>
      <c r="FQ180" s="535">
        <f>(Sheet1!BP178+Sheet1!BO178)/694.4</f>
        <v>2.2947868663594471</v>
      </c>
      <c r="FR180" s="541"/>
      <c r="FS180" s="541"/>
      <c r="FT180" s="541"/>
      <c r="FU180" s="541"/>
      <c r="FV180" s="1109">
        <f t="shared" si="382"/>
        <v>42918</v>
      </c>
      <c r="FW180" s="1109">
        <f t="shared" si="383"/>
        <v>43027</v>
      </c>
      <c r="FX180" s="541"/>
      <c r="FY180" s="541">
        <f>Sheet1!DA178-Sheet1!CZ178-Sheet1!AE178</f>
        <v>232.18319000000002</v>
      </c>
      <c r="FZ180" s="535">
        <f t="shared" si="420"/>
        <v>0.20823180683282907</v>
      </c>
      <c r="GA180" s="535"/>
      <c r="GB180" s="535" t="str">
        <f t="shared" si="384"/>
        <v>n</v>
      </c>
      <c r="GC180" s="539">
        <f t="shared" si="385"/>
        <v>42782</v>
      </c>
      <c r="GD180" s="1109">
        <f t="shared" si="386"/>
        <v>42904</v>
      </c>
      <c r="GE180" s="535">
        <f t="shared" si="404"/>
        <v>6520</v>
      </c>
      <c r="GF180" s="1109">
        <f t="shared" si="387"/>
        <v>42909</v>
      </c>
      <c r="GG180" s="535">
        <f t="shared" si="432"/>
        <v>3260</v>
      </c>
      <c r="GH180" s="539">
        <f t="shared" si="388"/>
        <v>43040</v>
      </c>
      <c r="GJ180" s="521">
        <f t="shared" si="389"/>
        <v>9.560764594027809</v>
      </c>
      <c r="GK180" s="535" t="str">
        <f>CONCATENATE(GM180,HA180,GT180,HH180)</f>
        <v>P</v>
      </c>
      <c r="GL180" s="535">
        <f>IF(GP180&gt;=8333.3,AV180,0)</f>
        <v>0</v>
      </c>
      <c r="GM180" s="535" t="str">
        <f>IF(AND(GP180&lt;8333.3,GJ180&gt;0),"T","")</f>
        <v/>
      </c>
      <c r="GN180" s="535">
        <f>IF(GK180="P",Lookup!$M$12,IF(GK180="PP",Lookup!$M$13,IF(GK180="PPP",Lookup!$M$14,IF(GK180="T",Lookup!$M$15,IF(GK180="TP",Lookup!$M$16,IF(GK180="TPP",Lookup!$M$17,IF(GK180="TPPP",Lookup!$M$18,0)))))))*GJ180</f>
        <v>0</v>
      </c>
      <c r="GO180" s="535">
        <f>IF(GM180="T", MIN(GN180, 2716.2-$GQ180),0)</f>
        <v>0</v>
      </c>
      <c r="GP180" s="535">
        <f>GQ180*MGtoAF</f>
        <v>8334.7333333333336</v>
      </c>
      <c r="GQ180" s="535">
        <f t="shared" si="433"/>
        <v>2716.666666666667</v>
      </c>
      <c r="GR180" s="535"/>
      <c r="GS180" s="535">
        <f>IF(GW180&gt;=3888.8,BO180,0)</f>
        <v>10.569299176702728</v>
      </c>
      <c r="GT180" s="535" t="str">
        <f>IF(AND(GW180&lt;3888.8,GJ180&gt;0),"P","")</f>
        <v/>
      </c>
      <c r="GU180" s="535">
        <f>IF(GK180="P",Lookup!$N$12,IF(GK180="PP",Lookup!$N$13,IF(GK180="PPP",Lookup!$N$14,IF(GK180="T",Lookup!$N$15,IF(GK180="TP",Lookup!$N$16,IF(GK180="TPP",Lookup!$N$17,IF(GK180="TPPP",Lookup!$N$18,0)))))))*GJ180</f>
        <v>9.560764594027809</v>
      </c>
      <c r="GV180" s="535">
        <f>IF(GT180="P",MIN(GU180,7/36*GE180-GX180),0)</f>
        <v>0</v>
      </c>
      <c r="GW180" s="535">
        <f>GX180*MGtoAF</f>
        <v>3889.5422222222223</v>
      </c>
      <c r="GX180" s="535">
        <f t="shared" si="400"/>
        <v>1267.7777777777778</v>
      </c>
      <c r="GY180" s="535"/>
      <c r="GZ180" s="535">
        <f>IF(HD180&gt;=3888.8,CJ180,0)</f>
        <v>8.1242563108117309</v>
      </c>
      <c r="HA180" s="535" t="str">
        <f>IF(AND(HD180&lt;3888.8,GJ180&gt;0),"P","")</f>
        <v/>
      </c>
      <c r="HB180" s="535">
        <f>IF(GK180="P",Lookup!$N$12,IF(GK180="PP",Lookup!$N$13,IF(GK180="PPP",Lookup!$N$14,IF(GK180="T",Lookup!$N$15,IF(GK180="TP",Lookup!$N$16,IF(GK180="TPP",Lookup!$N$17,IF(GK180="TPPP",Lookup!$N$18,0)))))))*GJ180</f>
        <v>9.560764594027809</v>
      </c>
      <c r="HC180" s="521">
        <f>IF(HA180="P",MIN(HB180,7/36*GE180-HE180),0)</f>
        <v>0</v>
      </c>
      <c r="HD180" s="535">
        <f>HE180*MGtoAF</f>
        <v>3889.5422222222223</v>
      </c>
      <c r="HE180" s="535">
        <f t="shared" si="401"/>
        <v>1267.7777777777778</v>
      </c>
      <c r="HF180" s="535"/>
      <c r="HG180" s="535">
        <f>IF(HK180&gt;=3888.8,DC180,0)</f>
        <v>0</v>
      </c>
      <c r="HH180" s="535" t="str">
        <f>IF(AND(HK180&lt;3888.8,GJ180&gt;0),"P","")</f>
        <v>P</v>
      </c>
      <c r="HI180" s="535">
        <f>IF(GK180="P",Lookup!$N$12,IF(GK180="PP",Lookup!$N$13,IF(GK180="PPP",Lookup!$N$14,IF(GK180="T",Lookup!$N$15,IF(GK180="TP",Lookup!$N$16,IF(GK180="TPP",Lookup!$N$17,IF(GK180="TPPP",Lookup!$N$18,0)))))))*GJ180</f>
        <v>9.560764594027809</v>
      </c>
      <c r="HJ180" s="521">
        <f>IF(HH180="P",MIN(HI180,7/36*GE180-HL180),0)</f>
        <v>6.6480452870196132</v>
      </c>
      <c r="HK180" s="535">
        <f>HL180*MGtoAF</f>
        <v>3869.1460192816462</v>
      </c>
      <c r="HL180" s="535">
        <f t="shared" si="402"/>
        <v>1261.1297324907582</v>
      </c>
      <c r="HM180" s="535"/>
      <c r="HN180" s="541"/>
      <c r="HO180" s="541"/>
      <c r="HP180" s="541"/>
      <c r="HQ180" s="541">
        <f>IF(AND(B180&gt;=$FV$4,B180&lt;=$FW$4),MAX(110/1.02+$HQ$6+MIN(113/1.02,G180),IF($HV$6-(Sheet1!DA178-Sheet1!DB178)+MIN(113/1.02,G180)&lt;G180+FL180,$HV$6-(Sheet1!DA178-Sheet1!DB178)+MIN(113/1.02,G180),G180+FL180)),MIN(110/1.02+$HQ$6+113/1.02,G180))</f>
        <v>218.62745098039215</v>
      </c>
      <c r="HR180" s="541">
        <f t="shared" si="421"/>
        <v>223</v>
      </c>
      <c r="HS180" s="541">
        <f>HR180+(Sheet1!DA178-Sheet1!DB178)</f>
        <v>583</v>
      </c>
      <c r="HT180" s="541">
        <f t="shared" si="422"/>
        <v>74.364289999999983</v>
      </c>
      <c r="HU180" s="541">
        <f t="shared" si="423"/>
        <v>508.63571000000002</v>
      </c>
      <c r="HV180" s="541">
        <f t="shared" si="424"/>
        <v>0</v>
      </c>
      <c r="HW180" s="541" t="str">
        <f t="shared" si="425"/>
        <v/>
      </c>
      <c r="HX180" s="541">
        <f t="shared" si="426"/>
        <v>1011.3725490196078</v>
      </c>
      <c r="HY180" s="541">
        <f>Sheet1!CZ178</f>
        <v>1230</v>
      </c>
      <c r="HZ180" s="541">
        <f t="shared" si="427"/>
        <v>0</v>
      </c>
      <c r="IA180" s="541">
        <f t="shared" si="428"/>
        <v>74.364289999999983</v>
      </c>
      <c r="IB180" s="541">
        <f t="shared" si="429"/>
        <v>1230</v>
      </c>
      <c r="IC180" s="1019" t="str">
        <f t="shared" si="430"/>
        <v/>
      </c>
      <c r="ID180" s="541">
        <f t="shared" si="431"/>
        <v>1155.63571</v>
      </c>
      <c r="IE180" s="541">
        <f>Sheet1!DB178</f>
        <v>1200</v>
      </c>
      <c r="IF180" s="533">
        <f>Sheet1!DA178</f>
        <v>1560</v>
      </c>
      <c r="IH180" s="541">
        <f>IF(AND($B180&gt;=$GC180,$B180&lt;=$GH180,$DR180&lt;0)+N("only adjusted when pool is drawn down during storage season"),Sheet1!$DB178+$DR180+N("Palmer minus all storage release"),Sheet1!$DB178)</f>
        <v>1085.0226928895613</v>
      </c>
      <c r="II180" s="541">
        <f>IF(AND($B180&gt;=$GC180,$B180&lt;=$GH180,$DR180&lt;0)+N("only adjusted when pool is drawn down during storage season"),Sheet1!$DA178+$DR180+N("Auburn minus all storage release"),Sheet1!$DA178)</f>
        <v>1445.0226928895613</v>
      </c>
    </row>
    <row r="181" spans="1:243" x14ac:dyDescent="0.25">
      <c r="A181" s="553" t="s">
        <v>4</v>
      </c>
      <c r="B181" s="531">
        <v>42905</v>
      </c>
      <c r="C181" s="536">
        <v>0</v>
      </c>
      <c r="D181" s="506">
        <f t="shared" si="371"/>
        <v>300</v>
      </c>
      <c r="E181" s="506">
        <f t="shared" si="372"/>
        <v>250</v>
      </c>
      <c r="F181" s="506">
        <v>250</v>
      </c>
      <c r="G181" s="535">
        <f>DR181+Sheet1!CZ179</f>
        <v>860.28038325755983</v>
      </c>
      <c r="H181" s="1074">
        <f t="shared" si="405"/>
        <v>397.22905906568667</v>
      </c>
      <c r="I181" s="534">
        <f>IF(Sheet1!DA179&gt;=E181,(Sheet1!DA179-E181+P181)*CFStoMGD,0)</f>
        <v>749.33581932799996</v>
      </c>
      <c r="J181" s="995">
        <f>IF(Sheet1!DB179&gt;=D181,(Sheet1!DB179-D181+P181)*CFStoMGD,0)</f>
        <v>482.37261932799998</v>
      </c>
      <c r="K181" s="818">
        <f t="shared" si="406"/>
        <v>64.64</v>
      </c>
      <c r="L181" s="535">
        <f>Sheet1!AA179+Sheet1!AB179-Sheet1!L179+(Sheet1!DA179-F181)*CFStoMGD-S181-T181-U181</f>
        <v>684.69719999999995</v>
      </c>
      <c r="M181" s="535">
        <f t="shared" si="436"/>
        <v>567.20694453244039</v>
      </c>
      <c r="N181" s="824">
        <f>IF(Sheet1!DA179&gt;=F181,MIN(113*CFStoMGD,MIN(MAX(L181,0),MAX(M181,0))),0)</f>
        <v>73.043199999999999</v>
      </c>
      <c r="O181" s="538">
        <f>Sheet1!AA179+Sheet1!AB179</f>
        <v>71.91</v>
      </c>
      <c r="P181" s="538">
        <f t="shared" si="437"/>
        <v>111.24476999999999</v>
      </c>
      <c r="Q181" s="812">
        <f t="shared" si="407"/>
        <v>7.269999999999996</v>
      </c>
      <c r="R181" s="812">
        <f t="shared" si="373"/>
        <v>14.999411764705881</v>
      </c>
      <c r="S181" s="812">
        <f t="shared" si="374"/>
        <v>64.64</v>
      </c>
      <c r="T181" s="812">
        <f t="shared" si="375"/>
        <v>0</v>
      </c>
      <c r="U181" s="812">
        <f t="shared" si="408"/>
        <v>0</v>
      </c>
      <c r="V181" s="812"/>
      <c r="W181" s="812">
        <f t="shared" si="376"/>
        <v>49.640588235294118</v>
      </c>
      <c r="X181" s="812">
        <f t="shared" si="377"/>
        <v>64.64</v>
      </c>
      <c r="Y181" s="812" t="str">
        <f t="shared" si="378"/>
        <v>FALSE</v>
      </c>
      <c r="Z181" s="812">
        <f t="shared" si="379"/>
        <v>71.91</v>
      </c>
      <c r="AA181" s="812">
        <f t="shared" si="380"/>
        <v>71.91</v>
      </c>
      <c r="AB181" s="1059">
        <f t="shared" si="409"/>
        <v>11.246689999999994</v>
      </c>
      <c r="AC181" s="538">
        <f>Sheet1!Y179*MGDtoCFS</f>
        <v>47.802299999999995</v>
      </c>
      <c r="AD181" s="538">
        <f>Sheet1!Z179*MGDtoCFS</f>
        <v>49.890749999999997</v>
      </c>
      <c r="AE181" s="538">
        <f>Sheet1!AA179*MGDtoCFS</f>
        <v>47.028799999999997</v>
      </c>
      <c r="AF181" s="538">
        <f>Sheet1!AB179*MGDtoCFS</f>
        <v>64.215969999999999</v>
      </c>
      <c r="AG181" s="538">
        <f>Sheet1!L179*MGDtoCFS</f>
        <v>0</v>
      </c>
      <c r="AH181" s="521">
        <f t="shared" si="438"/>
        <v>0</v>
      </c>
      <c r="AI181" s="1059">
        <f t="shared" si="439"/>
        <v>0</v>
      </c>
      <c r="AJ181" s="535">
        <f t="shared" si="440"/>
        <v>0</v>
      </c>
      <c r="AK181" s="535">
        <f t="shared" si="441"/>
        <v>0</v>
      </c>
      <c r="AL181" s="535">
        <f>(VLOOKUP(Sheet1!DC179,hhdcap_wcm,4)-(((VLOOKUP(Sheet1!DC179,hhdcap_wcm,3)-Sheet1!DC179)/(VLOOKUP(Sheet1!DC179,hhdcap_wcm,3)-VLOOKUP(Sheet1!DC179,hhdcap_wcm,1)))*(VLOOKUP(Sheet1!DC179,hhdcap_wcm,4)-VLOOKUP(Sheet1!DC179,hhdcap_wcm,2))))</f>
        <v>49462.200000119497</v>
      </c>
      <c r="AM181" s="535">
        <f t="shared" si="442"/>
        <v>-261.20000000025902</v>
      </c>
      <c r="AN181" s="1035">
        <f t="shared" si="443"/>
        <v>6520</v>
      </c>
      <c r="AO181" s="535">
        <f t="shared" si="444"/>
        <v>20003.36</v>
      </c>
      <c r="AP181" s="535">
        <f>Sheet1!BA179+Sheet1!BB179+Sheet1!BN179+CD181</f>
        <v>26.6</v>
      </c>
      <c r="AQ181" s="535">
        <f>Sheet1!BN179+(DO181*Sheet1!BN179)</f>
        <v>26.510588235294119</v>
      </c>
      <c r="AR181" s="535">
        <f>Sheet1!BA179+CD181</f>
        <v>0</v>
      </c>
      <c r="AS181" s="535">
        <f>Sheet1!BA179+Sheet1!BB179+CD181</f>
        <v>0</v>
      </c>
      <c r="AT181" s="649">
        <f>0</f>
        <v>0</v>
      </c>
      <c r="AU181" s="974">
        <f>BA181+Sheet1!EH179</f>
        <v>0</v>
      </c>
      <c r="AV181" s="535">
        <f>IF(OR(B181&gt;=GD181,B181&lt;GC181),0,15/36*K181-MAX(0,64.6-(137.6-(Sheet1!AA179+Sheet1!AB179))))</f>
        <v>0</v>
      </c>
      <c r="AW181" s="1029"/>
      <c r="AX181" s="649"/>
      <c r="AY181" s="649">
        <f t="shared" si="410"/>
        <v>0</v>
      </c>
      <c r="AZ181" s="649">
        <f t="shared" si="411"/>
        <v>0</v>
      </c>
      <c r="BA181" s="1059">
        <f t="shared" si="412"/>
        <v>0</v>
      </c>
      <c r="BB181" s="1019">
        <f t="shared" si="445"/>
        <v>2716.666666666667</v>
      </c>
      <c r="BC181" s="1041">
        <f t="shared" si="413"/>
        <v>26.933333333333334</v>
      </c>
      <c r="BD181" s="1019">
        <f ca="1">IF(B181&gt;(Summary!$A$1-1),#N/A,BB181*MGtoAF)</f>
        <v>8334.7333333333336</v>
      </c>
      <c r="BE181" s="535">
        <f>Sheet1!BG179+Sheet1!BH179+Sheet1!BI179-BM181</f>
        <v>2.02</v>
      </c>
      <c r="BF181" s="535">
        <f t="shared" si="446"/>
        <v>2.0132100840336133</v>
      </c>
      <c r="BG181" s="535">
        <f>IF(Sheet1!EP179="FM",BM181,0)</f>
        <v>0</v>
      </c>
      <c r="BH181" s="535">
        <f t="shared" si="447"/>
        <v>0</v>
      </c>
      <c r="BI181" s="535">
        <f>IF(Sheet1!EP179="OTHER",BM181,0)</f>
        <v>0</v>
      </c>
      <c r="BJ181" s="535">
        <f t="shared" si="448"/>
        <v>0</v>
      </c>
      <c r="BK181" s="535">
        <f t="shared" si="449"/>
        <v>2.02</v>
      </c>
      <c r="BL181" s="535">
        <f t="shared" si="450"/>
        <v>2.0132100840336133</v>
      </c>
      <c r="BM181" s="535">
        <f>IF(OR(Sheet1!EP179="FM", Sheet1!EP179="OTHER"),SUM(Sheet1!BG179:'Sheet1'!BI179),0)</f>
        <v>0</v>
      </c>
      <c r="BN181" s="521">
        <f>IF(AND($B181&gt;=$FV181,$B181&lt;=$FW181),MAX(BF181,Sheet1!EI179,0),MAX(BF181-(7/36)*$K181,0))</f>
        <v>0</v>
      </c>
      <c r="BO181" s="535">
        <f t="shared" si="497"/>
        <v>0</v>
      </c>
      <c r="BP181" s="521">
        <f t="shared" si="452"/>
        <v>2.0132100840336133</v>
      </c>
      <c r="BQ181" s="521">
        <f>IF(AND($O181&gt;0,Sheet1!EM179=1),(1-($O181-Sheet1!$L179)/$O181)*BL181,0)</f>
        <v>0</v>
      </c>
      <c r="BR181" s="521">
        <f>IF(AND(Sheet1!$L179=0,Sheet1!$L178=0, Calculation!BK181&lt;Sheet1!$EI179-0.1,Sheet1!$EI179=Sheet1!$EI178,Sheet1!$EI179=Sheet1!$EI180),BL181-BQ181,BL181-BQ181)</f>
        <v>2.0132100840336133</v>
      </c>
      <c r="BS181" s="1035" t="str">
        <f t="shared" si="414"/>
        <v/>
      </c>
      <c r="BT181" s="1035">
        <f t="shared" si="415"/>
        <v>12.568888888888889</v>
      </c>
      <c r="BU181" s="535">
        <f t="shared" si="453"/>
        <v>1267.7777777777778</v>
      </c>
      <c r="BV181" s="535"/>
      <c r="BW181" s="535">
        <f ca="1">IF(B181&gt;(Summary!$A$1-1),#N/A,BU181*MGtoAF)</f>
        <v>3889.5422222222223</v>
      </c>
      <c r="BX181" s="535">
        <f>Sheet1!BC179+Sheet1!BD179+Sheet1!BE179+Sheet1!BF179-CG181-CH181</f>
        <v>4.49</v>
      </c>
      <c r="BY181" s="535">
        <f t="shared" si="454"/>
        <v>4.4749075630252104</v>
      </c>
      <c r="BZ181" s="535">
        <f>IF(Sheet1!EQ179="FM",CH181,0)</f>
        <v>0</v>
      </c>
      <c r="CA181" s="535">
        <f t="shared" si="455"/>
        <v>0</v>
      </c>
      <c r="CB181" s="535">
        <f>IF(Sheet1!EQ179="OTHER",CH181,0)</f>
        <v>0</v>
      </c>
      <c r="CC181" s="535">
        <f t="shared" si="456"/>
        <v>0</v>
      </c>
      <c r="CD181" s="535">
        <f t="shared" si="457"/>
        <v>0</v>
      </c>
      <c r="CE181" s="535">
        <f t="shared" si="458"/>
        <v>4.49</v>
      </c>
      <c r="CF181" s="535">
        <f t="shared" si="459"/>
        <v>4.4749075630252104</v>
      </c>
      <c r="CG181" s="535">
        <f>IF(Sheet1!EQ179="CWA",SUM(Sheet1!BC179:'Sheet1'!BF179),0)</f>
        <v>0</v>
      </c>
      <c r="CH181" s="535">
        <f>IF(OR(Sheet1!EQ179="FM", Sheet1!EQ179="OTHER"),SUM(Sheet1!BC179:'Sheet1'!BF179),0)</f>
        <v>0</v>
      </c>
      <c r="CI181" s="521">
        <f>IF(AND($B181&gt;=$FV181,$B181&lt;=$FW181),MAX(CF181,Sheet1!EJ179,0),MAX(CF181-(7/36)*$K181,0))</f>
        <v>0</v>
      </c>
      <c r="CJ181" s="535">
        <f t="shared" si="499"/>
        <v>0</v>
      </c>
      <c r="CK181" s="521">
        <f t="shared" si="461"/>
        <v>4.4749075630252104</v>
      </c>
      <c r="CL181" s="521">
        <f>IF(AND($O181&gt;0,Sheet1!EN179=1),(1-($O181-Sheet1!$L179)/$O181)*CF181,0)</f>
        <v>0</v>
      </c>
      <c r="CM181" s="521">
        <f>IF(AND(Sheet1!$L179=0,Sheet1!$L178=0, Calculation!CE181&lt;Sheet1!EJ179-0.1,Sheet1!EJ179=Sheet1!EJ178,Sheet1!EJ179=Sheet1!EJ180),CF181-CL181,CF181-CL181)</f>
        <v>4.4749075630252104</v>
      </c>
      <c r="CN181" s="1040" t="str">
        <f t="shared" si="416"/>
        <v/>
      </c>
      <c r="CO181" s="1035">
        <f t="shared" si="417"/>
        <v>12.568888888888889</v>
      </c>
      <c r="CP181" s="535">
        <f t="shared" si="462"/>
        <v>1267.7777777777778</v>
      </c>
      <c r="CQ181" s="535"/>
      <c r="CR181" s="535">
        <f ca="1">IF(B181&gt;(Summary!$A$1-1),#N/A,CP181*MGtoAF)</f>
        <v>3889.5422222222223</v>
      </c>
      <c r="CS181" s="535">
        <f>Sheet1!BK179+Sheet1!BL179+Sheet1!BM179-Sheet1!ER179-DA181</f>
        <v>8.5399999999999991</v>
      </c>
      <c r="CT181" s="535">
        <f t="shared" si="463"/>
        <v>8.5112941176470578</v>
      </c>
      <c r="CU181" s="535">
        <f>IF(Sheet1!ER179="FM",DA181,0)</f>
        <v>0</v>
      </c>
      <c r="CV181" s="535">
        <f t="shared" si="464"/>
        <v>0</v>
      </c>
      <c r="CW181" s="535">
        <f>IF(Sheet1!ER179="OTHER",DA181,0)</f>
        <v>0</v>
      </c>
      <c r="CX181" s="535">
        <f t="shared" si="465"/>
        <v>0</v>
      </c>
      <c r="CY181" s="535">
        <f t="shared" si="466"/>
        <v>8.5399999999999991</v>
      </c>
      <c r="CZ181" s="535">
        <f t="shared" si="467"/>
        <v>8.5112941176470578</v>
      </c>
      <c r="DA181" s="535">
        <f>IF(OR(Sheet1!ER179="FM", Sheet1!ER179="OTHER"),SUM(Sheet1!BK179:'Sheet1'!BM179),0)</f>
        <v>0</v>
      </c>
      <c r="DB181" s="1011">
        <f>IF(AND($B181&gt;=$FV181,$B181&lt;=$FW181),MAX($CT181,Sheet1!EK179,0),MAX($CT181-(7/36)*$K181,0))</f>
        <v>0</v>
      </c>
      <c r="DC181" s="1012">
        <f t="shared" si="498"/>
        <v>0</v>
      </c>
      <c r="DD181" s="1011">
        <f t="shared" si="469"/>
        <v>8.5112941176470578</v>
      </c>
      <c r="DE181" s="521">
        <f>IF(AND($O181&gt;0,Sheet1!EO179=1),(1-($O181-Sheet1!$L179)/$O181)*CZ181,0)</f>
        <v>0</v>
      </c>
      <c r="DF181" s="521">
        <f>IF(AND(Sheet1!$L179=0,Sheet1!$L178=0, Calculation!CY181&lt;Sheet1!$EK179-0.1,Sheet1!$EK179=Sheet1!$EK178,Sheet1!$EK179=Sheet1!$EK180),CZ181-DE181,CZ181-DE181)</f>
        <v>8.5112941176470578</v>
      </c>
      <c r="DG181" s="1040">
        <f t="shared" si="418"/>
        <v>12.568888888888889</v>
      </c>
      <c r="DH181" s="649">
        <f t="shared" si="470"/>
        <v>15.049999999999999</v>
      </c>
      <c r="DI181" s="535">
        <f t="shared" si="471"/>
        <v>1267.7777777777778</v>
      </c>
      <c r="DJ181" s="649">
        <f t="shared" si="472"/>
        <v>14.999411764705881</v>
      </c>
      <c r="DK181" s="535">
        <f ca="1">IF(B181&gt;(Summary!$A$1-1),#N/A,DI181*MGtoAF)</f>
        <v>3889.5422222222223</v>
      </c>
      <c r="DL181" s="649">
        <f t="shared" si="473"/>
        <v>15.049999999999999</v>
      </c>
      <c r="DM181" s="535">
        <f t="shared" si="474"/>
        <v>41.65</v>
      </c>
      <c r="DN181" s="535">
        <f>Sheet1!AB179-DM181</f>
        <v>-0.14000000000000057</v>
      </c>
      <c r="DO181" s="743">
        <f t="shared" si="475"/>
        <v>-3.3613445378151397E-3</v>
      </c>
      <c r="DP181" s="535">
        <f>(VLOOKUP(Sheet1!DC179,hhdcap_wcm,4)-(((VLOOKUP(Sheet1!DC179,hhdcap_wcm,3)-Sheet1!DC179)/(VLOOKUP(Sheet1!DC179,hhdcap_wcm,3)-VLOOKUP(Sheet1!DC179,hhdcap_wcm,1)))*(VLOOKUP(Sheet1!DC179,hhdcap_wcm,4)-VLOOKUP(Sheet1!DC179,hhdcap_wcm,2))))</f>
        <v>49462.200000119497</v>
      </c>
      <c r="DQ181" s="535">
        <f t="shared" si="476"/>
        <v>-261.20000000025902</v>
      </c>
      <c r="DR181" s="535">
        <f t="shared" si="477"/>
        <v>-131.71961674244022</v>
      </c>
      <c r="DS181" s="535">
        <f>Sheet1!EA179*AFtoMG</f>
        <v>0</v>
      </c>
      <c r="DT181" s="535">
        <f>Sheet1!EB179*AFtoMG</f>
        <v>0</v>
      </c>
      <c r="DU181" s="535">
        <f>Sheet1!EC179*AFtoMG</f>
        <v>0</v>
      </c>
      <c r="DV181" s="535">
        <f>Sheet1!ED179*AFtoMG</f>
        <v>0</v>
      </c>
      <c r="DW181" s="535">
        <f t="shared" si="478"/>
        <v>0</v>
      </c>
      <c r="DX181" s="535">
        <f t="shared" si="479"/>
        <v>0</v>
      </c>
      <c r="DY181" s="535">
        <f t="shared" si="480"/>
        <v>6520</v>
      </c>
      <c r="DZ181" s="535">
        <f t="shared" si="481"/>
        <v>20003.36</v>
      </c>
      <c r="EA181" s="535"/>
      <c r="EB181" s="521">
        <f>IF(OR(B181&lt;FV181,B181&gt;FW181),(MIN(BF181+BY181+CT181+MAX(Sheet1!AA179+AQ181-73,0),K181)),0)</f>
        <v>14.999411764705881</v>
      </c>
      <c r="EC181" s="535"/>
      <c r="ED181" s="535">
        <f t="shared" si="482"/>
        <v>14.999411764705881</v>
      </c>
      <c r="EE181" s="535"/>
      <c r="EF181" s="535">
        <f>Sheet1!EH179+Sheet1!EI179+Sheet1!EJ179+Sheet1!EK179</f>
        <v>15</v>
      </c>
      <c r="EG181" s="1019">
        <f t="shared" si="419"/>
        <v>23.204999999999998</v>
      </c>
      <c r="EH181" s="521">
        <f t="shared" si="483"/>
        <v>0</v>
      </c>
      <c r="EI181" s="535">
        <f>IF(Sheet1!ET179=1,SUM('Calculations II'!AT181:BA181)+'Calculations II'!BC181+Sheet1!BV179+'Calculations II'!BE181+AP181,'Calculations II'!BK181)</f>
        <v>58.575630235294113</v>
      </c>
      <c r="EJ181" s="535">
        <f ca="1">EI181+'Calculations II'!D181+'Calculations II'!E181+'Calculations II'!O181</f>
        <v>56.105702402729939</v>
      </c>
      <c r="EK181" s="535"/>
      <c r="EL181" s="535"/>
      <c r="EM181" s="535">
        <f t="shared" si="484"/>
        <v>42905</v>
      </c>
      <c r="EN181" s="535">
        <f t="shared" si="485"/>
        <v>0</v>
      </c>
      <c r="EO181" s="535">
        <f t="shared" si="486"/>
        <v>0</v>
      </c>
      <c r="EP181" s="535">
        <v>0</v>
      </c>
      <c r="EQ181" s="535">
        <v>0</v>
      </c>
      <c r="ER181" s="535">
        <v>0</v>
      </c>
      <c r="ES181" s="521">
        <f t="shared" si="381"/>
        <v>1.6606640236169286</v>
      </c>
      <c r="ET181" s="535">
        <f>-(VLOOKUP(Sheet1!BQ179,Lookup!$O$4:$Q$262,2)-VLOOKUP(Sheet1!BQ178,Lookup!$O$4:$Q$262,2))/1000000</f>
        <v>0.83019748482899736</v>
      </c>
      <c r="EU181" s="535">
        <f>-(VLOOKUP(Sheet1!BR179,Lookup!$O$4:$Q$262,3)-VLOOKUP(Sheet1!BR178,Lookup!$O$4:$Q$262,3))/1000000</f>
        <v>0.8304665387879312</v>
      </c>
      <c r="EV181" s="535"/>
      <c r="EW181" s="535"/>
      <c r="EX181" s="535"/>
      <c r="EY181" s="535">
        <f t="shared" si="434"/>
        <v>-108.51552674244023</v>
      </c>
      <c r="EZ181" s="535">
        <f t="shared" si="435"/>
        <v>-70.145783285352451</v>
      </c>
      <c r="FA181" s="535"/>
      <c r="FB181" s="535"/>
      <c r="FC181" s="535"/>
      <c r="FD181" s="567" t="e">
        <f t="shared" si="487"/>
        <v>#N/A</v>
      </c>
      <c r="FE181" s="567" t="e">
        <f t="shared" si="488"/>
        <v>#N/A</v>
      </c>
      <c r="FF181" s="568" t="e">
        <f t="shared" si="489"/>
        <v>#N/A</v>
      </c>
      <c r="FG181" s="569" t="s">
        <v>656</v>
      </c>
      <c r="FH181" s="569" t="s">
        <v>656</v>
      </c>
      <c r="FI181" s="567" t="e">
        <v>#N/A</v>
      </c>
      <c r="FJ181" s="567" t="e">
        <v>#N/A</v>
      </c>
      <c r="FK181" s="535">
        <v>24150</v>
      </c>
      <c r="FL181" s="1015">
        <v>0</v>
      </c>
      <c r="FM181" s="535"/>
      <c r="FN181" s="535"/>
      <c r="FO181" s="535">
        <f>O181+((Sheet1!CS179)*GPMtoMGD)</f>
        <v>71.91</v>
      </c>
      <c r="FP181" s="535">
        <f>IF(Sheet1!AA179+AQ181&lt;=Calculation!N181,AQ181,Calculation!N181-Sheet1!AA179)</f>
        <v>26.510588235294119</v>
      </c>
      <c r="FQ181" s="535">
        <f>(Sheet1!BP179+Sheet1!BO179)/694.4</f>
        <v>2.6509216589861753</v>
      </c>
      <c r="FR181" s="541"/>
      <c r="FS181" s="541"/>
      <c r="FT181" s="541"/>
      <c r="FU181" s="541"/>
      <c r="FV181" s="1109">
        <f t="shared" si="382"/>
        <v>42918</v>
      </c>
      <c r="FW181" s="1109">
        <f t="shared" si="383"/>
        <v>43027</v>
      </c>
      <c r="FX181" s="541"/>
      <c r="FY181" s="541">
        <f>Sheet1!DA179-Sheet1!CZ179-Sheet1!AE179</f>
        <v>194.75523000000001</v>
      </c>
      <c r="FZ181" s="535">
        <f t="shared" si="420"/>
        <v>0.22638576188676399</v>
      </c>
      <c r="GA181" s="535"/>
      <c r="GB181" s="535" t="str">
        <f t="shared" si="384"/>
        <v>n</v>
      </c>
      <c r="GC181" s="539">
        <f t="shared" si="385"/>
        <v>42782</v>
      </c>
      <c r="GD181" s="1109">
        <f t="shared" si="386"/>
        <v>42904</v>
      </c>
      <c r="GE181" s="535">
        <f t="shared" si="404"/>
        <v>6520</v>
      </c>
      <c r="GF181" s="1109">
        <f t="shared" si="387"/>
        <v>42909</v>
      </c>
      <c r="GG181" s="535">
        <f t="shared" si="432"/>
        <v>3260</v>
      </c>
      <c r="GH181" s="539">
        <f t="shared" si="388"/>
        <v>43040</v>
      </c>
      <c r="GJ181" s="521">
        <f t="shared" si="389"/>
        <v>-1.0953600000001897</v>
      </c>
      <c r="GK181" s="535" t="str">
        <f t="shared" si="490"/>
        <v/>
      </c>
      <c r="GL181" s="535">
        <f t="shared" si="390"/>
        <v>0</v>
      </c>
      <c r="GM181" s="535" t="str">
        <f t="shared" si="391"/>
        <v/>
      </c>
      <c r="GN181" s="535">
        <f>IF(GK181="P",Lookup!$M$12,IF(GK181="PP",Lookup!$M$13,IF(GK181="PPP",Lookup!$M$14,IF(GK181="T",Lookup!$M$15,IF(GK181="TP",Lookup!$M$16,IF(GK181="TPP",Lookup!$M$17,IF(GK181="TPPP",Lookup!$M$18,0)))))))*GJ181</f>
        <v>0</v>
      </c>
      <c r="GO181" s="535">
        <f t="shared" si="392"/>
        <v>0</v>
      </c>
      <c r="GP181" s="535">
        <f t="shared" si="491"/>
        <v>8334.7333333333336</v>
      </c>
      <c r="GQ181" s="535">
        <f t="shared" si="433"/>
        <v>2716.666666666667</v>
      </c>
      <c r="GR181" s="535"/>
      <c r="GS181" s="535">
        <f t="shared" si="393"/>
        <v>0</v>
      </c>
      <c r="GT181" s="535" t="str">
        <f t="shared" si="394"/>
        <v/>
      </c>
      <c r="GU181" s="535">
        <f>IF(GK181="P",Lookup!$N$12,IF(GK181="PP",Lookup!$N$13,IF(GK181="PPP",Lookup!$N$14,IF(GK181="T",Lookup!$N$15,IF(GK181="TP",Lookup!$N$16,IF(GK181="TPP",Lookup!$N$17,IF(GK181="TPPP",Lookup!$N$18,0)))))))*GJ181</f>
        <v>0</v>
      </c>
      <c r="GV181" s="535">
        <f t="shared" si="395"/>
        <v>0</v>
      </c>
      <c r="GW181" s="535">
        <f t="shared" si="492"/>
        <v>3889.5422222222223</v>
      </c>
      <c r="GX181" s="535">
        <f t="shared" si="400"/>
        <v>1267.7777777777778</v>
      </c>
      <c r="GY181" s="535"/>
      <c r="GZ181" s="535">
        <f t="shared" si="396"/>
        <v>0</v>
      </c>
      <c r="HA181" s="535" t="str">
        <f t="shared" si="397"/>
        <v/>
      </c>
      <c r="HB181" s="535">
        <f>IF(GK181="P",Lookup!$N$12,IF(GK181="PP",Lookup!$N$13,IF(GK181="PPP",Lookup!$N$14,IF(GK181="T",Lookup!$N$15,IF(GK181="TP",Lookup!$N$16,IF(GK181="TPP",Lookup!$N$17,IF(GK181="TPPP",Lookup!$N$18,0)))))))*GJ181</f>
        <v>0</v>
      </c>
      <c r="HC181" s="521">
        <f t="shared" si="493"/>
        <v>0</v>
      </c>
      <c r="HD181" s="535">
        <f t="shared" si="494"/>
        <v>3889.5422222222223</v>
      </c>
      <c r="HE181" s="535">
        <f t="shared" si="401"/>
        <v>1267.7777777777778</v>
      </c>
      <c r="HF181" s="535"/>
      <c r="HG181" s="535">
        <f t="shared" si="398"/>
        <v>0</v>
      </c>
      <c r="HH181" s="535" t="str">
        <f t="shared" si="399"/>
        <v/>
      </c>
      <c r="HI181" s="535">
        <f>IF(GK181="P",Lookup!$N$12,IF(GK181="PP",Lookup!$N$13,IF(GK181="PPP",Lookup!$N$14,IF(GK181="T",Lookup!$N$15,IF(GK181="TP",Lookup!$N$16,IF(GK181="TPP",Lookup!$N$17,IF(GK181="TPPP",Lookup!$N$18,0)))))))*GJ181</f>
        <v>0</v>
      </c>
      <c r="HJ181" s="521">
        <f t="shared" si="495"/>
        <v>0</v>
      </c>
      <c r="HK181" s="535">
        <f t="shared" si="496"/>
        <v>3889.5422222222223</v>
      </c>
      <c r="HL181" s="535">
        <f t="shared" si="402"/>
        <v>1267.7777777777778</v>
      </c>
      <c r="HM181" s="535"/>
      <c r="HN181" s="541"/>
      <c r="HO181" s="541"/>
      <c r="HP181" s="541"/>
      <c r="HQ181" s="541">
        <f>IF(AND(B181&gt;=$FV$4,B181&lt;=$FW$4),MAX(110/1.02+$HQ$6+MIN(113/1.02,G181),IF($HV$6-(Sheet1!DA179-Sheet1!DB179)+MIN(113/1.02,G181)&lt;G181+FL181,$HV$6-(Sheet1!DA179-Sheet1!DB179)+MIN(113/1.02,G181),G181+FL181)),MIN(110/1.02+$HQ$6+113/1.02,G181))</f>
        <v>218.62745098039215</v>
      </c>
      <c r="HR181" s="541">
        <f t="shared" si="421"/>
        <v>223</v>
      </c>
      <c r="HS181" s="541">
        <f>HR181+(Sheet1!DA179-Sheet1!DB179)</f>
        <v>586</v>
      </c>
      <c r="HT181" s="541">
        <f t="shared" si="422"/>
        <v>11.246689999999994</v>
      </c>
      <c r="HU181" s="541">
        <f t="shared" si="423"/>
        <v>574.75331000000006</v>
      </c>
      <c r="HV181" s="541">
        <f t="shared" si="424"/>
        <v>0</v>
      </c>
      <c r="HW181" s="541" t="str">
        <f t="shared" si="425"/>
        <v/>
      </c>
      <c r="HX181" s="541">
        <f t="shared" si="426"/>
        <v>773.37254901960785</v>
      </c>
      <c r="HY181" s="541">
        <f>Sheet1!CZ179</f>
        <v>992</v>
      </c>
      <c r="HZ181" s="541">
        <f t="shared" si="427"/>
        <v>0</v>
      </c>
      <c r="IA181" s="541">
        <f t="shared" si="428"/>
        <v>11.246689999999994</v>
      </c>
      <c r="IB181" s="541">
        <f t="shared" si="429"/>
        <v>992</v>
      </c>
      <c r="IC181" s="1019" t="str">
        <f t="shared" si="430"/>
        <v/>
      </c>
      <c r="ID181" s="541">
        <f t="shared" si="431"/>
        <v>980.75331000000006</v>
      </c>
      <c r="IE181" s="541">
        <f>Sheet1!DB179</f>
        <v>935</v>
      </c>
      <c r="IF181" s="533">
        <f>Sheet1!DA179</f>
        <v>1298</v>
      </c>
      <c r="IH181" s="541">
        <f>IF(AND($B181&gt;=$GC181,$B181&lt;=$GH181,$DR181&lt;0)+N("only adjusted when pool is drawn down during storage season"),Sheet1!$DB179+$DR181+N("Palmer minus all storage release"),Sheet1!$DB179)</f>
        <v>803.28038325755983</v>
      </c>
      <c r="II181" s="541">
        <f>IF(AND($B181&gt;=$GC181,$B181&lt;=$GH181,$DR181&lt;0)+N("only adjusted when pool is drawn down during storage season"),Sheet1!$DA179+$DR181+N("Auburn minus all storage release"),Sheet1!$DA179)</f>
        <v>1166.2803832575598</v>
      </c>
    </row>
    <row r="182" spans="1:243" x14ac:dyDescent="0.25">
      <c r="A182" s="553" t="s">
        <v>5</v>
      </c>
      <c r="B182" s="531">
        <v>42906</v>
      </c>
      <c r="C182" s="536">
        <v>0</v>
      </c>
      <c r="D182" s="506">
        <f t="shared" si="371"/>
        <v>300</v>
      </c>
      <c r="E182" s="506">
        <f t="shared" si="372"/>
        <v>250</v>
      </c>
      <c r="F182" s="506">
        <v>250</v>
      </c>
      <c r="G182" s="535">
        <f>DR182+Sheet1!CZ180</f>
        <v>844.26021180017119</v>
      </c>
      <c r="H182" s="1074">
        <f t="shared" si="405"/>
        <v>398.90675053963059</v>
      </c>
      <c r="I182" s="534">
        <f>IF(Sheet1!DA180&gt;=E182,(Sheet1!DA180-E182+P182)*CFStoMGD,0)</f>
        <v>663.76254963200006</v>
      </c>
      <c r="J182" s="995">
        <f>IF(Sheet1!DB180&gt;=D182,(Sheet1!DB180-D182+P182)*CFStoMGD,0)</f>
        <v>432.35134963199994</v>
      </c>
      <c r="K182" s="818">
        <f t="shared" si="406"/>
        <v>64.64</v>
      </c>
      <c r="L182" s="535">
        <f>Sheet1!AA180+Sheet1!AB180-Sheet1!L180+(Sheet1!DA180-F182)*CFStoMGD-S182-T182-U182</f>
        <v>599.12399999999991</v>
      </c>
      <c r="M182" s="535">
        <f t="shared" si="436"/>
        <v>556.64439692578333</v>
      </c>
      <c r="N182" s="824">
        <f>IF(Sheet1!DA180&gt;=F182,MIN(113*CFStoMGD,MIN(MAX(L182,0),MAX(M182,0))),0)</f>
        <v>73.043199999999999</v>
      </c>
      <c r="O182" s="538">
        <f>Sheet1!AA180+Sheet1!AB180</f>
        <v>75.539999999999992</v>
      </c>
      <c r="P182" s="538">
        <f t="shared" si="437"/>
        <v>116.86037999999999</v>
      </c>
      <c r="Q182" s="812">
        <f t="shared" si="407"/>
        <v>10.899999999999991</v>
      </c>
      <c r="R182" s="812">
        <f t="shared" si="373"/>
        <v>14.782450592885379</v>
      </c>
      <c r="S182" s="812">
        <f t="shared" si="374"/>
        <v>64.64</v>
      </c>
      <c r="T182" s="812">
        <f t="shared" si="375"/>
        <v>0</v>
      </c>
      <c r="U182" s="812">
        <f t="shared" si="408"/>
        <v>0</v>
      </c>
      <c r="V182" s="812"/>
      <c r="W182" s="812">
        <f t="shared" si="376"/>
        <v>49.857549407114618</v>
      </c>
      <c r="X182" s="812">
        <f t="shared" si="377"/>
        <v>64.64</v>
      </c>
      <c r="Y182" s="812" t="str">
        <f t="shared" si="378"/>
        <v>FALSE</v>
      </c>
      <c r="Z182" s="812">
        <f t="shared" si="379"/>
        <v>75.539999999999992</v>
      </c>
      <c r="AA182" s="812">
        <f t="shared" si="380"/>
        <v>75.539999999999992</v>
      </c>
      <c r="AB182" s="1059">
        <f t="shared" si="409"/>
        <v>16.862299999999987</v>
      </c>
      <c r="AC182" s="538">
        <f>Sheet1!Y180*MGDtoCFS</f>
        <v>47.028799999999997</v>
      </c>
      <c r="AD182" s="538">
        <f>Sheet1!Z180*MGDtoCFS</f>
        <v>64.215969999999999</v>
      </c>
      <c r="AE182" s="538">
        <f>Sheet1!AA180*MGDtoCFS</f>
        <v>38.674999999999997</v>
      </c>
      <c r="AF182" s="538">
        <f>Sheet1!AB180*MGDtoCFS</f>
        <v>78.185379999999995</v>
      </c>
      <c r="AG182" s="538">
        <f>Sheet1!L180*MGDtoCFS</f>
        <v>0</v>
      </c>
      <c r="AH182" s="521">
        <f t="shared" si="438"/>
        <v>0</v>
      </c>
      <c r="AI182" s="1059">
        <f t="shared" si="439"/>
        <v>0</v>
      </c>
      <c r="AJ182" s="535">
        <f t="shared" si="440"/>
        <v>0</v>
      </c>
      <c r="AK182" s="535">
        <f t="shared" si="441"/>
        <v>0</v>
      </c>
      <c r="AL182" s="535">
        <f>(VLOOKUP(Sheet1!DC180,hhdcap_wcm,4)-(((VLOOKUP(Sheet1!DC180,hhdcap_wcm,3)-Sheet1!DC180)/(VLOOKUP(Sheet1!DC180,hhdcap_wcm,3)-VLOOKUP(Sheet1!DC180,hhdcap_wcm,1)))*(VLOOKUP(Sheet1!DC180,hhdcap_wcm,4)-VLOOKUP(Sheet1!DC180,hhdcap_wcm,2))))</f>
        <v>49359.600000119237</v>
      </c>
      <c r="AM182" s="535">
        <f t="shared" si="442"/>
        <v>-102.60000000026048</v>
      </c>
      <c r="AN182" s="1035">
        <f t="shared" si="443"/>
        <v>6520</v>
      </c>
      <c r="AO182" s="535">
        <f t="shared" si="444"/>
        <v>20003.36</v>
      </c>
      <c r="AP182" s="535">
        <f>Sheet1!BA180+Sheet1!BB180+Sheet1!BN180+CD182</f>
        <v>35.799999999999997</v>
      </c>
      <c r="AQ182" s="535">
        <f>Sheet1!BN180+(DO182*Sheet1!BN180)</f>
        <v>35.757549407114624</v>
      </c>
      <c r="AR182" s="535">
        <f>Sheet1!BA180+CD182</f>
        <v>0</v>
      </c>
      <c r="AS182" s="535">
        <f>Sheet1!BA180+Sheet1!BB180+CD182</f>
        <v>0</v>
      </c>
      <c r="AT182" s="649">
        <f>0</f>
        <v>0</v>
      </c>
      <c r="AU182" s="974">
        <f>BA182+Sheet1!EH180</f>
        <v>0</v>
      </c>
      <c r="AV182" s="535">
        <f>IF(OR(B182&gt;=GD182,B182&lt;GC182),0,15/36*K182-MAX(0,64.6-(137.6-(Sheet1!AA180+Sheet1!AB180))))</f>
        <v>0</v>
      </c>
      <c r="AW182" s="1029"/>
      <c r="AX182" s="649"/>
      <c r="AY182" s="649">
        <f t="shared" si="410"/>
        <v>0</v>
      </c>
      <c r="AZ182" s="649">
        <f t="shared" si="411"/>
        <v>0</v>
      </c>
      <c r="BA182" s="1059">
        <f t="shared" si="412"/>
        <v>0</v>
      </c>
      <c r="BB182" s="1019">
        <f t="shared" si="445"/>
        <v>2716.666666666667</v>
      </c>
      <c r="BC182" s="1041">
        <f t="shared" si="413"/>
        <v>26.933333333333334</v>
      </c>
      <c r="BD182" s="1019">
        <f ca="1">IF(B182&gt;(Summary!$A$1-1),#N/A,BB182*MGtoAF)</f>
        <v>8334.7333333333336</v>
      </c>
      <c r="BE182" s="535">
        <f>Sheet1!BG180+Sheet1!BH180+Sheet1!BI180-BM182</f>
        <v>2.0099999999999998</v>
      </c>
      <c r="BF182" s="535">
        <f t="shared" si="446"/>
        <v>2.0076166007905138</v>
      </c>
      <c r="BG182" s="535">
        <f>IF(Sheet1!EP180="FM",BM182,0)</f>
        <v>0</v>
      </c>
      <c r="BH182" s="535">
        <f t="shared" si="447"/>
        <v>0</v>
      </c>
      <c r="BI182" s="535">
        <f>IF(Sheet1!EP180="OTHER",BM182,0)</f>
        <v>0</v>
      </c>
      <c r="BJ182" s="535">
        <f t="shared" si="448"/>
        <v>0</v>
      </c>
      <c r="BK182" s="535">
        <f t="shared" si="449"/>
        <v>2.0099999999999998</v>
      </c>
      <c r="BL182" s="535">
        <f t="shared" si="450"/>
        <v>2.0076166007905138</v>
      </c>
      <c r="BM182" s="535">
        <f>IF(OR(Sheet1!EP180="FM", Sheet1!EP180="OTHER"),SUM(Sheet1!BG180:'Sheet1'!BI180),0)</f>
        <v>0</v>
      </c>
      <c r="BN182" s="521">
        <f>IF(AND($B182&gt;=$FV182,$B182&lt;=$FW182),MAX(BF182,Sheet1!EI180,0),MAX(BF182-(7/36)*$K182,0))</f>
        <v>0</v>
      </c>
      <c r="BO182" s="535">
        <f t="shared" si="497"/>
        <v>0</v>
      </c>
      <c r="BP182" s="521">
        <f t="shared" si="452"/>
        <v>2.0076166007905138</v>
      </c>
      <c r="BQ182" s="521">
        <f>IF(AND($O182&gt;0,Sheet1!EM180=1),(1-($O182-Sheet1!$L180)/$O182)*BL182,0)</f>
        <v>0</v>
      </c>
      <c r="BR182" s="521">
        <f>IF(AND(Sheet1!$L180=0,Sheet1!$L179=0, Calculation!BK182&lt;Sheet1!$EI180-0.1,Sheet1!$EI180=Sheet1!$EI179,Sheet1!$EI180=Sheet1!$EI181),BL182-BQ182,BL182-BQ182)</f>
        <v>2.0076166007905138</v>
      </c>
      <c r="BS182" s="1035" t="str">
        <f t="shared" si="414"/>
        <v/>
      </c>
      <c r="BT182" s="1035">
        <f t="shared" si="415"/>
        <v>12.568888888888889</v>
      </c>
      <c r="BU182" s="535">
        <f t="shared" si="453"/>
        <v>1267.7777777777778</v>
      </c>
      <c r="BV182" s="535"/>
      <c r="BW182" s="535">
        <f ca="1">IF(B182&gt;(Summary!$A$1-1),#N/A,BU182*MGtoAF)</f>
        <v>3889.5422222222223</v>
      </c>
      <c r="BX182" s="535">
        <f>Sheet1!BC180+Sheet1!BD180+Sheet1!BE180+Sheet1!BF180-CG182-CH182</f>
        <v>4.26</v>
      </c>
      <c r="BY182" s="535">
        <f t="shared" si="454"/>
        <v>4.2549486166007906</v>
      </c>
      <c r="BZ182" s="535">
        <f>IF(Sheet1!EQ180="FM",CH182,0)</f>
        <v>0</v>
      </c>
      <c r="CA182" s="535">
        <f t="shared" si="455"/>
        <v>0</v>
      </c>
      <c r="CB182" s="535">
        <f>IF(Sheet1!EQ180="OTHER",CH182,0)</f>
        <v>0</v>
      </c>
      <c r="CC182" s="535">
        <f t="shared" si="456"/>
        <v>0</v>
      </c>
      <c r="CD182" s="535">
        <f t="shared" si="457"/>
        <v>0</v>
      </c>
      <c r="CE182" s="535">
        <f t="shared" si="458"/>
        <v>4.26</v>
      </c>
      <c r="CF182" s="535">
        <f t="shared" si="459"/>
        <v>4.2549486166007906</v>
      </c>
      <c r="CG182" s="535">
        <f>IF(Sheet1!EQ180="CWA",SUM(Sheet1!BC180:'Sheet1'!BF180),0)</f>
        <v>0</v>
      </c>
      <c r="CH182" s="535">
        <f>IF(OR(Sheet1!EQ180="FM", Sheet1!EQ180="OTHER"),SUM(Sheet1!BC180:'Sheet1'!BF180),0)</f>
        <v>0</v>
      </c>
      <c r="CI182" s="521">
        <f>IF(AND($B182&gt;=$FV182,$B182&lt;=$FW182),MAX(CF182,Sheet1!EJ180,0),MAX(CF182-(7/36)*$K182,0))</f>
        <v>0</v>
      </c>
      <c r="CJ182" s="535">
        <f t="shared" si="499"/>
        <v>0</v>
      </c>
      <c r="CK182" s="521">
        <f t="shared" si="461"/>
        <v>4.2549486166007906</v>
      </c>
      <c r="CL182" s="521">
        <f>IF(AND($O182&gt;0,Sheet1!EN180=1),(1-($O182-Sheet1!$L180)/$O182)*CF182,0)</f>
        <v>0</v>
      </c>
      <c r="CM182" s="521">
        <f>IF(AND(Sheet1!$L180=0,Sheet1!$L179=0, Calculation!CE182&lt;Sheet1!EJ180-0.1,Sheet1!EJ180=Sheet1!EJ179,Sheet1!EJ180=Sheet1!EJ181),CF182-CL182,CF182-CL182)</f>
        <v>4.2549486166007906</v>
      </c>
      <c r="CN182" s="1040" t="str">
        <f t="shared" si="416"/>
        <v/>
      </c>
      <c r="CO182" s="1035">
        <f t="shared" si="417"/>
        <v>12.568888888888889</v>
      </c>
      <c r="CP182" s="535">
        <f t="shared" si="462"/>
        <v>1267.7777777777778</v>
      </c>
      <c r="CQ182" s="535"/>
      <c r="CR182" s="535">
        <f ca="1">IF(B182&gt;(Summary!$A$1-1),#N/A,CP182*MGtoAF)</f>
        <v>3889.5422222222223</v>
      </c>
      <c r="CS182" s="535">
        <f>Sheet1!BK180+Sheet1!BL180+Sheet1!BM180-Sheet1!ER180-DA182</f>
        <v>8.5300000000000011</v>
      </c>
      <c r="CT182" s="535">
        <f t="shared" si="463"/>
        <v>8.5198853754940735</v>
      </c>
      <c r="CU182" s="535">
        <f>IF(Sheet1!ER180="FM",DA182,0)</f>
        <v>0</v>
      </c>
      <c r="CV182" s="535">
        <f t="shared" si="464"/>
        <v>0</v>
      </c>
      <c r="CW182" s="535">
        <f>IF(Sheet1!ER180="OTHER",DA182,0)</f>
        <v>0</v>
      </c>
      <c r="CX182" s="535">
        <f t="shared" si="465"/>
        <v>0</v>
      </c>
      <c r="CY182" s="535">
        <f t="shared" si="466"/>
        <v>8.5300000000000011</v>
      </c>
      <c r="CZ182" s="535">
        <f t="shared" si="467"/>
        <v>8.5198853754940735</v>
      </c>
      <c r="DA182" s="535">
        <f>IF(OR(Sheet1!ER180="FM", Sheet1!ER180="OTHER"),SUM(Sheet1!BK180:'Sheet1'!BM180),0)</f>
        <v>0</v>
      </c>
      <c r="DB182" s="1011">
        <f>IF(AND($B182&gt;=$FV182,$B182&lt;=$FW182),MAX($CT182,Sheet1!EK180,0),MAX($CT182-(7/36)*$K182,0))</f>
        <v>0</v>
      </c>
      <c r="DC182" s="1012">
        <f t="shared" si="498"/>
        <v>0</v>
      </c>
      <c r="DD182" s="1011">
        <f t="shared" si="469"/>
        <v>8.5198853754940735</v>
      </c>
      <c r="DE182" s="521">
        <f>IF(AND($O182&gt;0,Sheet1!EO180=1),(1-($O182-Sheet1!$L180)/$O182)*CZ182,0)</f>
        <v>0</v>
      </c>
      <c r="DF182" s="521">
        <f>IF(AND(Sheet1!$L180=0,Sheet1!$L179=0, Calculation!CY182&lt;Sheet1!$EK180-0.1,Sheet1!$EK180=Sheet1!$EK179,Sheet1!$EK180=Sheet1!$EK181),CZ182-DE182,CZ182-DE182)</f>
        <v>8.5198853754940735</v>
      </c>
      <c r="DG182" s="1040">
        <f t="shared" si="418"/>
        <v>12.568888888888889</v>
      </c>
      <c r="DH182" s="649">
        <f t="shared" si="470"/>
        <v>14.8</v>
      </c>
      <c r="DI182" s="535">
        <f t="shared" si="471"/>
        <v>1267.7777777777778</v>
      </c>
      <c r="DJ182" s="649">
        <f t="shared" si="472"/>
        <v>14.782450592885379</v>
      </c>
      <c r="DK182" s="535">
        <f ca="1">IF(B182&gt;(Summary!$A$1-1),#N/A,DI182*MGtoAF)</f>
        <v>3889.5422222222223</v>
      </c>
      <c r="DL182" s="649">
        <f t="shared" si="473"/>
        <v>14.8</v>
      </c>
      <c r="DM182" s="535">
        <f t="shared" si="474"/>
        <v>50.599999999999994</v>
      </c>
      <c r="DN182" s="535">
        <f>Sheet1!AB180-DM182</f>
        <v>-5.9999999999995168E-2</v>
      </c>
      <c r="DO182" s="743">
        <f t="shared" si="475"/>
        <v>-1.185770750988047E-3</v>
      </c>
      <c r="DP182" s="535">
        <f>(VLOOKUP(Sheet1!DC180,hhdcap_wcm,4)-(((VLOOKUP(Sheet1!DC180,hhdcap_wcm,3)-Sheet1!DC180)/(VLOOKUP(Sheet1!DC180,hhdcap_wcm,3)-VLOOKUP(Sheet1!DC180,hhdcap_wcm,1)))*(VLOOKUP(Sheet1!DC180,hhdcap_wcm,4)-VLOOKUP(Sheet1!DC180,hhdcap_wcm,2))))</f>
        <v>49359.600000119237</v>
      </c>
      <c r="DQ182" s="535">
        <f t="shared" si="476"/>
        <v>-102.60000000026048</v>
      </c>
      <c r="DR182" s="535">
        <f t="shared" si="477"/>
        <v>-51.73978819982878</v>
      </c>
      <c r="DS182" s="535">
        <f>Sheet1!EA180*AFtoMG</f>
        <v>0</v>
      </c>
      <c r="DT182" s="535">
        <f>Sheet1!EB180*AFtoMG</f>
        <v>0</v>
      </c>
      <c r="DU182" s="535">
        <f>Sheet1!EC180*AFtoMG</f>
        <v>0</v>
      </c>
      <c r="DV182" s="535">
        <f>Sheet1!ED180*AFtoMG</f>
        <v>0</v>
      </c>
      <c r="DW182" s="535">
        <f t="shared" si="478"/>
        <v>0</v>
      </c>
      <c r="DX182" s="535">
        <f t="shared" si="479"/>
        <v>0</v>
      </c>
      <c r="DY182" s="535">
        <f t="shared" si="480"/>
        <v>6520</v>
      </c>
      <c r="DZ182" s="535">
        <f t="shared" si="481"/>
        <v>20003.36</v>
      </c>
      <c r="EA182" s="535"/>
      <c r="EB182" s="521">
        <f>IF(OR(B182&lt;FV182,B182&gt;FW182),(MIN(BF182+BY182+CT182+MAX(Sheet1!AA180+AQ182-73,0),K182)),0)</f>
        <v>14.782450592885379</v>
      </c>
      <c r="EC182" s="535"/>
      <c r="ED182" s="535">
        <f t="shared" si="482"/>
        <v>14.782450592885377</v>
      </c>
      <c r="EE182" s="535"/>
      <c r="EF182" s="535">
        <f>Sheet1!EH180+Sheet1!EI180+Sheet1!EJ180+Sheet1!EK180</f>
        <v>14.5</v>
      </c>
      <c r="EG182" s="1019">
        <f t="shared" si="419"/>
        <v>22.4315</v>
      </c>
      <c r="EH182" s="521">
        <f t="shared" si="483"/>
        <v>0</v>
      </c>
      <c r="EI182" s="535">
        <f>IF(Sheet1!ET180=1,SUM('Calculations II'!AT182:BA182)+'Calculations II'!BC182+Sheet1!BV180+'Calculations II'!BE182+AP182,'Calculations II'!BK182)</f>
        <v>57.88127340711462</v>
      </c>
      <c r="EJ182" s="535">
        <f ca="1">EI182+'Calculations II'!D182+'Calculations II'!E182+'Calculations II'!O182</f>
        <v>64.365606350277019</v>
      </c>
      <c r="EK182" s="535"/>
      <c r="EL182" s="535"/>
      <c r="EM182" s="535">
        <f t="shared" si="484"/>
        <v>42906</v>
      </c>
      <c r="EN182" s="535">
        <f t="shared" si="485"/>
        <v>0</v>
      </c>
      <c r="EO182" s="535">
        <f t="shared" si="486"/>
        <v>0</v>
      </c>
      <c r="EP182" s="535">
        <v>0</v>
      </c>
      <c r="EQ182" s="535">
        <v>0</v>
      </c>
      <c r="ER182" s="535">
        <v>0</v>
      </c>
      <c r="ES182" s="521">
        <f t="shared" si="381"/>
        <v>-4.1525249551508914</v>
      </c>
      <c r="ET182" s="535">
        <f>-(VLOOKUP(Sheet1!BQ180,Lookup!$O$4:$Q$262,2)-VLOOKUP(Sheet1!BQ179,Lookup!$O$4:$Q$262,2))/1000000</f>
        <v>-2.0759261252090262</v>
      </c>
      <c r="EU182" s="535">
        <f>-(VLOOKUP(Sheet1!BR180,Lookup!$O$4:$Q$262,3)-VLOOKUP(Sheet1!BR179,Lookup!$O$4:$Q$262,3))/1000000</f>
        <v>-2.0765988299418652</v>
      </c>
      <c r="EV182" s="535"/>
      <c r="EW182" s="535"/>
      <c r="EX182" s="535"/>
      <c r="EY182" s="535">
        <f t="shared" si="434"/>
        <v>-28.871337132635102</v>
      </c>
      <c r="EZ182" s="535">
        <f t="shared" si="435"/>
        <v>-18.662790648115774</v>
      </c>
      <c r="FA182" s="535"/>
      <c r="FB182" s="535"/>
      <c r="FC182" s="535"/>
      <c r="FD182" s="567" t="e">
        <f t="shared" si="487"/>
        <v>#N/A</v>
      </c>
      <c r="FE182" s="567" t="e">
        <f t="shared" si="488"/>
        <v>#N/A</v>
      </c>
      <c r="FF182" s="568" t="e">
        <f t="shared" si="489"/>
        <v>#N/A</v>
      </c>
      <c r="FG182" s="569" t="s">
        <v>656</v>
      </c>
      <c r="FH182" s="569" t="s">
        <v>656</v>
      </c>
      <c r="FI182" s="567" t="e">
        <v>#N/A</v>
      </c>
      <c r="FJ182" s="567" t="e">
        <v>#N/A</v>
      </c>
      <c r="FK182" s="535">
        <v>24100</v>
      </c>
      <c r="FL182" s="1015">
        <v>0</v>
      </c>
      <c r="FM182" s="535"/>
      <c r="FN182" s="535"/>
      <c r="FO182" s="535">
        <f>O182+((Sheet1!CS180)*GPMtoMGD)</f>
        <v>75.539999999999992</v>
      </c>
      <c r="FP182" s="535">
        <f>IF(Sheet1!AA180+AQ182&lt;=Calculation!N182,AQ182,Calculation!N182-Sheet1!AA180)</f>
        <v>35.757549407114624</v>
      </c>
      <c r="FQ182" s="535">
        <f>(Sheet1!BP180+Sheet1!BO180)/694.4</f>
        <v>2.7992511520737331</v>
      </c>
      <c r="FR182" s="541"/>
      <c r="FS182" s="541"/>
      <c r="FT182" s="541"/>
      <c r="FU182" s="541"/>
      <c r="FV182" s="1109">
        <f t="shared" si="382"/>
        <v>42918</v>
      </c>
      <c r="FW182" s="1109">
        <f t="shared" si="383"/>
        <v>43027</v>
      </c>
      <c r="FX182" s="541"/>
      <c r="FY182" s="541">
        <f>Sheet1!DA180-Sheet1!CZ180-Sheet1!AE180</f>
        <v>147.13962000000004</v>
      </c>
      <c r="FZ182" s="535">
        <f t="shared" si="420"/>
        <v>0.17428231005493205</v>
      </c>
      <c r="GA182" s="535"/>
      <c r="GB182" s="535" t="str">
        <f t="shared" si="384"/>
        <v>n</v>
      </c>
      <c r="GC182" s="539">
        <f t="shared" si="385"/>
        <v>42782</v>
      </c>
      <c r="GD182" s="1109">
        <f t="shared" si="386"/>
        <v>42904</v>
      </c>
      <c r="GE182" s="535">
        <f t="shared" si="404"/>
        <v>6520</v>
      </c>
      <c r="GF182" s="1109">
        <f t="shared" si="387"/>
        <v>42909</v>
      </c>
      <c r="GG182" s="535">
        <f t="shared" si="432"/>
        <v>3260</v>
      </c>
      <c r="GH182" s="539">
        <f t="shared" si="388"/>
        <v>43040</v>
      </c>
      <c r="GJ182" s="521">
        <f t="shared" si="389"/>
        <v>-1.0953600000001897</v>
      </c>
      <c r="GK182" s="535" t="str">
        <f t="shared" si="490"/>
        <v/>
      </c>
      <c r="GL182" s="535">
        <f t="shared" si="390"/>
        <v>0</v>
      </c>
      <c r="GM182" s="535" t="str">
        <f t="shared" si="391"/>
        <v/>
      </c>
      <c r="GN182" s="535">
        <f>IF(GK182="P",Lookup!$M$12,IF(GK182="PP",Lookup!$M$13,IF(GK182="PPP",Lookup!$M$14,IF(GK182="T",Lookup!$M$15,IF(GK182="TP",Lookup!$M$16,IF(GK182="TPP",Lookup!$M$17,IF(GK182="TPPP",Lookup!$M$18,0)))))))*GJ182</f>
        <v>0</v>
      </c>
      <c r="GO182" s="535">
        <f t="shared" si="392"/>
        <v>0</v>
      </c>
      <c r="GP182" s="535">
        <f t="shared" si="491"/>
        <v>8334.7333333333336</v>
      </c>
      <c r="GQ182" s="535">
        <f t="shared" si="433"/>
        <v>2716.666666666667</v>
      </c>
      <c r="GR182" s="535"/>
      <c r="GS182" s="535">
        <f t="shared" si="393"/>
        <v>0</v>
      </c>
      <c r="GT182" s="535" t="str">
        <f t="shared" si="394"/>
        <v/>
      </c>
      <c r="GU182" s="535">
        <f>IF(GK182="P",Lookup!$N$12,IF(GK182="PP",Lookup!$N$13,IF(GK182="PPP",Lookup!$N$14,IF(GK182="T",Lookup!$N$15,IF(GK182="TP",Lookup!$N$16,IF(GK182="TPP",Lookup!$N$17,IF(GK182="TPPP",Lookup!$N$18,0)))))))*GJ182</f>
        <v>0</v>
      </c>
      <c r="GV182" s="535">
        <f t="shared" si="395"/>
        <v>0</v>
      </c>
      <c r="GW182" s="535">
        <f t="shared" si="492"/>
        <v>3889.5422222222223</v>
      </c>
      <c r="GX182" s="535">
        <f t="shared" si="400"/>
        <v>1267.7777777777778</v>
      </c>
      <c r="GY182" s="535"/>
      <c r="GZ182" s="535">
        <f t="shared" si="396"/>
        <v>0</v>
      </c>
      <c r="HA182" s="535" t="str">
        <f t="shared" si="397"/>
        <v/>
      </c>
      <c r="HB182" s="535">
        <f>IF(GK182="P",Lookup!$N$12,IF(GK182="PP",Lookup!$N$13,IF(GK182="PPP",Lookup!$N$14,IF(GK182="T",Lookup!$N$15,IF(GK182="TP",Lookup!$N$16,IF(GK182="TPP",Lookup!$N$17,IF(GK182="TPPP",Lookup!$N$18,0)))))))*GJ182</f>
        <v>0</v>
      </c>
      <c r="HC182" s="521">
        <f t="shared" si="493"/>
        <v>0</v>
      </c>
      <c r="HD182" s="535">
        <f t="shared" si="494"/>
        <v>3889.5422222222223</v>
      </c>
      <c r="HE182" s="535">
        <f t="shared" si="401"/>
        <v>1267.7777777777778</v>
      </c>
      <c r="HF182" s="535"/>
      <c r="HG182" s="535">
        <f t="shared" si="398"/>
        <v>0</v>
      </c>
      <c r="HH182" s="535" t="str">
        <f t="shared" si="399"/>
        <v/>
      </c>
      <c r="HI182" s="535">
        <f>IF(GK182="P",Lookup!$N$12,IF(GK182="PP",Lookup!$N$13,IF(GK182="PPP",Lookup!$N$14,IF(GK182="T",Lookup!$N$15,IF(GK182="TP",Lookup!$N$16,IF(GK182="TPP",Lookup!$N$17,IF(GK182="TPPP",Lookup!$N$18,0)))))))*GJ182</f>
        <v>0</v>
      </c>
      <c r="HJ182" s="521">
        <f t="shared" si="495"/>
        <v>0</v>
      </c>
      <c r="HK182" s="535">
        <f t="shared" si="496"/>
        <v>3889.5422222222223</v>
      </c>
      <c r="HL182" s="535">
        <f t="shared" si="402"/>
        <v>1267.7777777777778</v>
      </c>
      <c r="HM182" s="535"/>
      <c r="HN182" s="541"/>
      <c r="HO182" s="541"/>
      <c r="HP182" s="541"/>
      <c r="HQ182" s="541">
        <f>IF(AND(B182&gt;=$FV$4,B182&lt;=$FW$4),MAX(110/1.02+$HQ$6+MIN(113/1.02,G182),IF($HV$6-(Sheet1!DA180-Sheet1!DB180)+MIN(113/1.02,G182)&lt;G182+FL182,$HV$6-(Sheet1!DA180-Sheet1!DB180)+MIN(113/1.02,G182),G182+FL182)),MIN(110/1.02+$HQ$6+113/1.02,G182))</f>
        <v>218.62745098039215</v>
      </c>
      <c r="HR182" s="541">
        <f t="shared" si="421"/>
        <v>223</v>
      </c>
      <c r="HS182" s="541">
        <f>HR182+(Sheet1!DA180-Sheet1!DB180)</f>
        <v>531</v>
      </c>
      <c r="HT182" s="541">
        <f t="shared" si="422"/>
        <v>16.862299999999987</v>
      </c>
      <c r="HU182" s="541">
        <f t="shared" si="423"/>
        <v>514.1377</v>
      </c>
      <c r="HV182" s="541">
        <f t="shared" si="424"/>
        <v>0</v>
      </c>
      <c r="HW182" s="541" t="str">
        <f t="shared" si="425"/>
        <v/>
      </c>
      <c r="HX182" s="541">
        <f t="shared" si="426"/>
        <v>677.37254901960785</v>
      </c>
      <c r="HY182" s="541">
        <f>Sheet1!CZ180</f>
        <v>896</v>
      </c>
      <c r="HZ182" s="541">
        <f t="shared" si="427"/>
        <v>0</v>
      </c>
      <c r="IA182" s="541">
        <f t="shared" si="428"/>
        <v>16.862299999999987</v>
      </c>
      <c r="IB182" s="541">
        <f t="shared" si="429"/>
        <v>896</v>
      </c>
      <c r="IC182" s="1019" t="str">
        <f t="shared" si="430"/>
        <v/>
      </c>
      <c r="ID182" s="541">
        <f t="shared" si="431"/>
        <v>879.1377</v>
      </c>
      <c r="IE182" s="541">
        <f>Sheet1!DB180</f>
        <v>852</v>
      </c>
      <c r="IF182" s="533">
        <f>Sheet1!DA180</f>
        <v>1160</v>
      </c>
      <c r="IH182" s="541">
        <f>IF(AND($B182&gt;=$GC182,$B182&lt;=$GH182,$DR182&lt;0)+N("only adjusted when pool is drawn down during storage season"),Sheet1!$DB180+$DR182+N("Palmer minus all storage release"),Sheet1!$DB180)</f>
        <v>800.26021180017119</v>
      </c>
      <c r="II182" s="541">
        <f>IF(AND($B182&gt;=$GC182,$B182&lt;=$GH182,$DR182&lt;0)+N("only adjusted when pool is drawn down during storage season"),Sheet1!$DA180+$DR182+N("Auburn minus all storage release"),Sheet1!$DA180)</f>
        <v>1108.2602118001712</v>
      </c>
    </row>
    <row r="183" spans="1:243" x14ac:dyDescent="0.25">
      <c r="A183" s="553" t="s">
        <v>6</v>
      </c>
      <c r="B183" s="531">
        <v>42907</v>
      </c>
      <c r="C183" s="536">
        <v>0</v>
      </c>
      <c r="D183" s="506">
        <f t="shared" si="371"/>
        <v>300</v>
      </c>
      <c r="E183" s="506">
        <f t="shared" si="372"/>
        <v>250</v>
      </c>
      <c r="F183" s="506">
        <v>250</v>
      </c>
      <c r="G183" s="535">
        <f>DR183+Sheet1!CZ181</f>
        <v>744.0090771558223</v>
      </c>
      <c r="H183" s="1074">
        <f t="shared" si="405"/>
        <v>315.29881825752352</v>
      </c>
      <c r="I183" s="534">
        <f>IF(Sheet1!DA181&gt;=E183,(Sheet1!DA181-E183+P183)*CFStoMGD,0)</f>
        <v>566.74255078399995</v>
      </c>
      <c r="J183" s="995">
        <f>IF(Sheet1!DB181&gt;=D183,(Sheet1!DB181-D183+P183)*CFStoMGD,0)</f>
        <v>345.02735078399996</v>
      </c>
      <c r="K183" s="818">
        <f t="shared" si="406"/>
        <v>64.64</v>
      </c>
      <c r="L183" s="535">
        <f>Sheet1!AA181+Sheet1!AB181-Sheet1!L181+(Sheet1!DA181-F183)*CFStoMGD-S183-T183-U183</f>
        <v>502.10399999999993</v>
      </c>
      <c r="M183" s="535">
        <f t="shared" si="436"/>
        <v>490.54601682299403</v>
      </c>
      <c r="N183" s="824">
        <f>IF(Sheet1!DA181&gt;=F183,MIN(113*CFStoMGD,MIN(MAX(L183,0),MAX(M183,0))),0)</f>
        <v>73.043199999999999</v>
      </c>
      <c r="O183" s="538">
        <f>Sheet1!AA181+Sheet1!AB181</f>
        <v>75.48</v>
      </c>
      <c r="P183" s="538">
        <f t="shared" si="437"/>
        <v>116.76756</v>
      </c>
      <c r="Q183" s="812">
        <f t="shared" si="407"/>
        <v>10.840000000000003</v>
      </c>
      <c r="R183" s="812">
        <f t="shared" si="373"/>
        <v>14.046449693137436</v>
      </c>
      <c r="S183" s="812">
        <f t="shared" si="374"/>
        <v>64.64</v>
      </c>
      <c r="T183" s="812">
        <f t="shared" si="375"/>
        <v>0</v>
      </c>
      <c r="U183" s="812">
        <f t="shared" si="408"/>
        <v>0</v>
      </c>
      <c r="V183" s="812"/>
      <c r="W183" s="812">
        <f t="shared" si="376"/>
        <v>50.593550306862568</v>
      </c>
      <c r="X183" s="812">
        <f t="shared" si="377"/>
        <v>64.64</v>
      </c>
      <c r="Y183" s="812" t="str">
        <f t="shared" si="378"/>
        <v>FALSE</v>
      </c>
      <c r="Z183" s="812">
        <f t="shared" si="379"/>
        <v>75.48</v>
      </c>
      <c r="AA183" s="812">
        <f t="shared" si="380"/>
        <v>75.48</v>
      </c>
      <c r="AB183" s="1059">
        <f t="shared" si="409"/>
        <v>16.769480000000005</v>
      </c>
      <c r="AC183" s="538">
        <f>Sheet1!Y181*MGDtoCFS</f>
        <v>38.674999999999997</v>
      </c>
      <c r="AD183" s="538">
        <f>Sheet1!Z181*MGDtoCFS</f>
        <v>78.185379999999995</v>
      </c>
      <c r="AE183" s="538">
        <f>Sheet1!AA181*MGDtoCFS</f>
        <v>33.724600000000002</v>
      </c>
      <c r="AF183" s="538">
        <f>Sheet1!AB181*MGDtoCFS</f>
        <v>83.042959999999994</v>
      </c>
      <c r="AG183" s="538">
        <f>Sheet1!L181*MGDtoCFS</f>
        <v>0</v>
      </c>
      <c r="AH183" s="521">
        <f t="shared" si="438"/>
        <v>0</v>
      </c>
      <c r="AI183" s="1059">
        <f t="shared" si="439"/>
        <v>0</v>
      </c>
      <c r="AJ183" s="535">
        <f t="shared" si="440"/>
        <v>0</v>
      </c>
      <c r="AK183" s="535">
        <f t="shared" si="441"/>
        <v>0</v>
      </c>
      <c r="AL183" s="535">
        <f>(VLOOKUP(Sheet1!DC181,hhdcap_wcm,4)-(((VLOOKUP(Sheet1!DC181,hhdcap_wcm,3)-Sheet1!DC181)/(VLOOKUP(Sheet1!DC181,hhdcap_wcm,3)-VLOOKUP(Sheet1!DC181,hhdcap_wcm,1)))*(VLOOKUP(Sheet1!DC181,hhdcap_wcm,4)-VLOOKUP(Sheet1!DC181,hhdcap_wcm,2))))</f>
        <v>49268.400000119233</v>
      </c>
      <c r="AM183" s="535">
        <f t="shared" si="442"/>
        <v>-91.200000000004366</v>
      </c>
      <c r="AN183" s="1035">
        <f t="shared" si="443"/>
        <v>6520</v>
      </c>
      <c r="AO183" s="535">
        <f t="shared" si="444"/>
        <v>20003.36</v>
      </c>
      <c r="AP183" s="535">
        <f>Sheet1!BA181+Sheet1!BB181+Sheet1!BN181+CD183</f>
        <v>39.700000000000003</v>
      </c>
      <c r="AQ183" s="535">
        <f>Sheet1!BN181+(DO183*Sheet1!BN181)</f>
        <v>39.63355030686256</v>
      </c>
      <c r="AR183" s="535">
        <f>Sheet1!BA181+CD183</f>
        <v>0</v>
      </c>
      <c r="AS183" s="535">
        <f>Sheet1!BA181+Sheet1!BB181+CD183</f>
        <v>0</v>
      </c>
      <c r="AT183" s="649">
        <f>0</f>
        <v>0</v>
      </c>
      <c r="AU183" s="974">
        <f>BA183+Sheet1!EH181</f>
        <v>0</v>
      </c>
      <c r="AV183" s="535">
        <f>IF(OR(B183&gt;=GD183,B183&lt;GC183),0,15/36*K183-MAX(0,64.6-(137.6-(Sheet1!AA181+Sheet1!AB181))))</f>
        <v>0</v>
      </c>
      <c r="AW183" s="1029"/>
      <c r="AX183" s="649"/>
      <c r="AY183" s="649">
        <f t="shared" si="410"/>
        <v>0</v>
      </c>
      <c r="AZ183" s="649">
        <f t="shared" si="411"/>
        <v>0</v>
      </c>
      <c r="BA183" s="1059">
        <f t="shared" si="412"/>
        <v>0</v>
      </c>
      <c r="BB183" s="1019">
        <f t="shared" si="445"/>
        <v>2716.666666666667</v>
      </c>
      <c r="BC183" s="1041">
        <f t="shared" si="413"/>
        <v>26.933333333333334</v>
      </c>
      <c r="BD183" s="1019">
        <f ca="1">IF(B183&gt;(Summary!$A$1-1),#N/A,BB183*MGtoAF)</f>
        <v>8334.7333333333336</v>
      </c>
      <c r="BE183" s="535">
        <f>Sheet1!BG181+Sheet1!BH181+Sheet1!BI181-BM183</f>
        <v>1.56</v>
      </c>
      <c r="BF183" s="535">
        <f t="shared" si="446"/>
        <v>1.557388878556816</v>
      </c>
      <c r="BG183" s="535">
        <f>IF(Sheet1!EP181="FM",BM183,0)</f>
        <v>0</v>
      </c>
      <c r="BH183" s="535">
        <f t="shared" si="447"/>
        <v>0</v>
      </c>
      <c r="BI183" s="535">
        <f>IF(Sheet1!EP181="OTHER",BM183,0)</f>
        <v>0</v>
      </c>
      <c r="BJ183" s="535">
        <f t="shared" si="448"/>
        <v>0</v>
      </c>
      <c r="BK183" s="535">
        <f t="shared" si="449"/>
        <v>1.56</v>
      </c>
      <c r="BL183" s="535">
        <f t="shared" si="450"/>
        <v>1.557388878556816</v>
      </c>
      <c r="BM183" s="535">
        <f>IF(OR(Sheet1!EP181="FM", Sheet1!EP181="OTHER"),SUM(Sheet1!BG181:'Sheet1'!BI181),0)</f>
        <v>0</v>
      </c>
      <c r="BN183" s="521">
        <f>IF(AND($B183&gt;=$FV183,$B183&lt;=$FW183),MAX(BF183,Sheet1!EI181,0),MAX(BF183-(7/36)*$K183,0))</f>
        <v>0</v>
      </c>
      <c r="BO183" s="535">
        <f t="shared" si="497"/>
        <v>0</v>
      </c>
      <c r="BP183" s="521">
        <f t="shared" si="452"/>
        <v>1.557388878556816</v>
      </c>
      <c r="BQ183" s="521">
        <f>IF(AND($O183&gt;0,Sheet1!EM181=1),(1-($O183-Sheet1!$L181)/$O183)*BL183,0)</f>
        <v>0</v>
      </c>
      <c r="BR183" s="521">
        <f>IF(AND(Sheet1!$L181=0,Sheet1!$L180=0, Calculation!BK183&lt;Sheet1!$EI181-0.1,Sheet1!$EI181=Sheet1!$EI180,Sheet1!$EI181=Sheet1!$EI182),BL183-BQ183,BL183-BQ183)</f>
        <v>1.557388878556816</v>
      </c>
      <c r="BS183" s="1035" t="str">
        <f t="shared" si="414"/>
        <v/>
      </c>
      <c r="BT183" s="1035">
        <f t="shared" si="415"/>
        <v>12.568888888888889</v>
      </c>
      <c r="BU183" s="535">
        <f t="shared" si="453"/>
        <v>1267.7777777777778</v>
      </c>
      <c r="BV183" s="535"/>
      <c r="BW183" s="535">
        <f ca="1">IF(B183&gt;(Summary!$A$1-1),#N/A,BU183*MGtoAF)</f>
        <v>3889.5422222222223</v>
      </c>
      <c r="BX183" s="535">
        <f>Sheet1!BC181+Sheet1!BD181+Sheet1!BE181+Sheet1!BF181-CG183-CH183</f>
        <v>4</v>
      </c>
      <c r="BY183" s="535">
        <f t="shared" si="454"/>
        <v>3.9933048168123486</v>
      </c>
      <c r="BZ183" s="535">
        <f>IF(Sheet1!EQ181="FM",CH183,0)</f>
        <v>0</v>
      </c>
      <c r="CA183" s="535">
        <f t="shared" si="455"/>
        <v>0</v>
      </c>
      <c r="CB183" s="535">
        <f>IF(Sheet1!EQ181="OTHER",CH183,0)</f>
        <v>0</v>
      </c>
      <c r="CC183" s="535">
        <f t="shared" si="456"/>
        <v>0</v>
      </c>
      <c r="CD183" s="535">
        <f t="shared" si="457"/>
        <v>0</v>
      </c>
      <c r="CE183" s="535">
        <f t="shared" si="458"/>
        <v>4</v>
      </c>
      <c r="CF183" s="535">
        <f t="shared" si="459"/>
        <v>3.9933048168123486</v>
      </c>
      <c r="CG183" s="535">
        <f>IF(Sheet1!EQ181="CWA",SUM(Sheet1!BC181:'Sheet1'!BF181),0)</f>
        <v>0</v>
      </c>
      <c r="CH183" s="535">
        <f>IF(OR(Sheet1!EQ181="FM", Sheet1!EQ181="OTHER"),SUM(Sheet1!BC181:'Sheet1'!BF181),0)</f>
        <v>0</v>
      </c>
      <c r="CI183" s="521">
        <f>IF(AND($B183&gt;=$FV183,$B183&lt;=$FW183),MAX(CF183,Sheet1!EJ181,0),MAX(CF183-(7/36)*$K183,0))</f>
        <v>0</v>
      </c>
      <c r="CJ183" s="535">
        <f t="shared" si="499"/>
        <v>0</v>
      </c>
      <c r="CK183" s="521">
        <f t="shared" si="461"/>
        <v>3.9933048168123486</v>
      </c>
      <c r="CL183" s="521">
        <f>IF(AND($O183&gt;0,Sheet1!EN181=1),(1-($O183-Sheet1!$L181)/$O183)*CF183,0)</f>
        <v>0</v>
      </c>
      <c r="CM183" s="521">
        <f>IF(AND(Sheet1!$L181=0,Sheet1!$L180=0, Calculation!CE183&lt;Sheet1!EJ181-0.1,Sheet1!EJ181=Sheet1!EJ180,Sheet1!EJ181=Sheet1!EJ182),CF183-CL183,CF183-CL183)</f>
        <v>3.9933048168123486</v>
      </c>
      <c r="CN183" s="1040" t="str">
        <f t="shared" si="416"/>
        <v/>
      </c>
      <c r="CO183" s="1035">
        <f t="shared" si="417"/>
        <v>12.568888888888889</v>
      </c>
      <c r="CP183" s="535">
        <f t="shared" si="462"/>
        <v>1267.7777777777778</v>
      </c>
      <c r="CQ183" s="535"/>
      <c r="CR183" s="535">
        <f ca="1">IF(B183&gt;(Summary!$A$1-1),#N/A,CP183*MGtoAF)</f>
        <v>3889.5422222222223</v>
      </c>
      <c r="CS183" s="535">
        <f>Sheet1!BK181+Sheet1!BL181+Sheet1!BM181-Sheet1!ER181-DA183</f>
        <v>8.51</v>
      </c>
      <c r="CT183" s="535">
        <f t="shared" si="463"/>
        <v>8.4957559977682724</v>
      </c>
      <c r="CU183" s="535">
        <f>IF(Sheet1!ER181="FM",DA183,0)</f>
        <v>0</v>
      </c>
      <c r="CV183" s="535">
        <f t="shared" si="464"/>
        <v>0</v>
      </c>
      <c r="CW183" s="535">
        <f>IF(Sheet1!ER181="OTHER",DA183,0)</f>
        <v>0</v>
      </c>
      <c r="CX183" s="535">
        <f t="shared" si="465"/>
        <v>0</v>
      </c>
      <c r="CY183" s="535">
        <f t="shared" si="466"/>
        <v>8.51</v>
      </c>
      <c r="CZ183" s="535">
        <f t="shared" si="467"/>
        <v>8.4957559977682724</v>
      </c>
      <c r="DA183" s="535">
        <f>IF(OR(Sheet1!ER181="FM", Sheet1!ER181="OTHER"),SUM(Sheet1!BK181:'Sheet1'!BM181),0)</f>
        <v>0</v>
      </c>
      <c r="DB183" s="1011">
        <f>IF(AND($B183&gt;=$FV183,$B183&lt;=$FW183),MAX($CT183,Sheet1!EK181,0),MAX($CT183-(7/36)*$K183,0))</f>
        <v>0</v>
      </c>
      <c r="DC183" s="1012">
        <f t="shared" si="498"/>
        <v>0</v>
      </c>
      <c r="DD183" s="1011">
        <f t="shared" si="469"/>
        <v>8.4957559977682724</v>
      </c>
      <c r="DE183" s="521">
        <f>IF(AND($O183&gt;0,Sheet1!EO181=1),(1-($O183-Sheet1!$L181)/$O183)*CZ183,0)</f>
        <v>0</v>
      </c>
      <c r="DF183" s="521">
        <f>IF(AND(Sheet1!$L181=0,Sheet1!$L180=0, Calculation!CY183&lt;Sheet1!$EK181-0.1,Sheet1!$EK181=Sheet1!$EK180,Sheet1!$EK181=Sheet1!$EK182),CZ183-DE183,CZ183-DE183)</f>
        <v>8.4957559977682724</v>
      </c>
      <c r="DG183" s="1040">
        <f t="shared" si="418"/>
        <v>12.568888888888889</v>
      </c>
      <c r="DH183" s="649">
        <f t="shared" si="470"/>
        <v>14.07</v>
      </c>
      <c r="DI183" s="535">
        <f t="shared" si="471"/>
        <v>1267.7777777777778</v>
      </c>
      <c r="DJ183" s="649">
        <f t="shared" si="472"/>
        <v>14.046449693137436</v>
      </c>
      <c r="DK183" s="535">
        <f ca="1">IF(B183&gt;(Summary!$A$1-1),#N/A,DI183*MGtoAF)</f>
        <v>3889.5422222222223</v>
      </c>
      <c r="DL183" s="649">
        <f t="shared" si="473"/>
        <v>14.07</v>
      </c>
      <c r="DM183" s="535">
        <f t="shared" si="474"/>
        <v>53.77</v>
      </c>
      <c r="DN183" s="535">
        <f>Sheet1!AB181-DM183</f>
        <v>-9.0000000000003411E-2</v>
      </c>
      <c r="DO183" s="743">
        <f t="shared" si="475"/>
        <v>-1.67379579691284E-3</v>
      </c>
      <c r="DP183" s="535">
        <f>(VLOOKUP(Sheet1!DC181,hhdcap_wcm,4)-(((VLOOKUP(Sheet1!DC181,hhdcap_wcm,3)-Sheet1!DC181)/(VLOOKUP(Sheet1!DC181,hhdcap_wcm,3)-VLOOKUP(Sheet1!DC181,hhdcap_wcm,1)))*(VLOOKUP(Sheet1!DC181,hhdcap_wcm,4)-VLOOKUP(Sheet1!DC181,hhdcap_wcm,2))))</f>
        <v>49268.400000119233</v>
      </c>
      <c r="DQ183" s="535">
        <f t="shared" si="476"/>
        <v>-91.200000000004366</v>
      </c>
      <c r="DR183" s="535">
        <f t="shared" si="477"/>
        <v>-45.990922844177689</v>
      </c>
      <c r="DS183" s="535">
        <f>Sheet1!EA181*AFtoMG</f>
        <v>0</v>
      </c>
      <c r="DT183" s="535">
        <f>Sheet1!EB181*AFtoMG</f>
        <v>0</v>
      </c>
      <c r="DU183" s="535">
        <f>Sheet1!EC181*AFtoMG</f>
        <v>0</v>
      </c>
      <c r="DV183" s="535">
        <f>Sheet1!ED181*AFtoMG</f>
        <v>0</v>
      </c>
      <c r="DW183" s="535">
        <f t="shared" si="478"/>
        <v>0</v>
      </c>
      <c r="DX183" s="535">
        <f t="shared" si="479"/>
        <v>0</v>
      </c>
      <c r="DY183" s="535">
        <f t="shared" si="480"/>
        <v>6520</v>
      </c>
      <c r="DZ183" s="535">
        <f t="shared" si="481"/>
        <v>20003.36</v>
      </c>
      <c r="EA183" s="535"/>
      <c r="EB183" s="521">
        <f>IF(OR(B183&lt;FV183,B183&gt;FW183),(MIN(BF183+BY183+CT183+MAX(Sheet1!AA181+AQ183-73,0),K183)),0)</f>
        <v>14.046449693137436</v>
      </c>
      <c r="EC183" s="535"/>
      <c r="ED183" s="535">
        <f t="shared" si="482"/>
        <v>14.046449693137436</v>
      </c>
      <c r="EE183" s="535"/>
      <c r="EF183" s="535">
        <f>Sheet1!EH181+Sheet1!EI181+Sheet1!EJ181+Sheet1!EK181</f>
        <v>14.5</v>
      </c>
      <c r="EG183" s="1019">
        <f t="shared" si="419"/>
        <v>22.4315</v>
      </c>
      <c r="EH183" s="521">
        <f t="shared" si="483"/>
        <v>0</v>
      </c>
      <c r="EI183" s="535">
        <f>IF(Sheet1!ET181=1,SUM('Calculations II'!AT183:BA183)+'Calculations II'!BC183+Sheet1!BV181+'Calculations II'!BE183+AP183,'Calculations II'!BK183)</f>
        <v>67.866894306862548</v>
      </c>
      <c r="EJ183" s="535">
        <f ca="1">EI183+'Calculations II'!D183+'Calculations II'!E183+'Calculations II'!O183</f>
        <v>61.350048081872522</v>
      </c>
      <c r="EK183" s="535"/>
      <c r="EL183" s="535"/>
      <c r="EM183" s="535">
        <f t="shared" si="484"/>
        <v>42907</v>
      </c>
      <c r="EN183" s="535">
        <f t="shared" si="485"/>
        <v>0</v>
      </c>
      <c r="EO183" s="535">
        <f t="shared" si="486"/>
        <v>0</v>
      </c>
      <c r="EP183" s="535">
        <v>0</v>
      </c>
      <c r="EQ183" s="535">
        <v>0</v>
      </c>
      <c r="ER183" s="535">
        <v>0</v>
      </c>
      <c r="ES183" s="521">
        <f t="shared" si="381"/>
        <v>5.2593780761578346</v>
      </c>
      <c r="ET183" s="535">
        <f>-(VLOOKUP(Sheet1!BQ181,Lookup!$O$4:$Q$262,2)-VLOOKUP(Sheet1!BQ180,Lookup!$O$4:$Q$262,2))/1000000</f>
        <v>2.6292630114055129</v>
      </c>
      <c r="EU183" s="535">
        <f>-(VLOOKUP(Sheet1!BR181,Lookup!$O$4:$Q$262,3)-VLOOKUP(Sheet1!BR180,Lookup!$O$4:$Q$262,3))/1000000</f>
        <v>2.6301150647523217</v>
      </c>
      <c r="EV183" s="535"/>
      <c r="EW183" s="535"/>
      <c r="EX183" s="535"/>
      <c r="EY183" s="535">
        <f t="shared" si="434"/>
        <v>-24.261065168894078</v>
      </c>
      <c r="EZ183" s="535">
        <f t="shared" si="435"/>
        <v>-15.68265363212287</v>
      </c>
      <c r="FA183" s="535"/>
      <c r="FB183" s="535"/>
      <c r="FC183" s="535"/>
      <c r="FD183" s="567" t="e">
        <f t="shared" si="487"/>
        <v>#N/A</v>
      </c>
      <c r="FE183" s="567" t="e">
        <f t="shared" si="488"/>
        <v>#N/A</v>
      </c>
      <c r="FF183" s="568" t="e">
        <f t="shared" si="489"/>
        <v>#N/A</v>
      </c>
      <c r="FG183" s="569" t="s">
        <v>656</v>
      </c>
      <c r="FH183" s="569" t="s">
        <v>656</v>
      </c>
      <c r="FI183" s="567" t="e">
        <v>#N/A</v>
      </c>
      <c r="FJ183" s="567" t="e">
        <v>#N/A</v>
      </c>
      <c r="FK183" s="535">
        <v>24050</v>
      </c>
      <c r="FL183" s="1015">
        <v>0</v>
      </c>
      <c r="FM183" s="535"/>
      <c r="FN183" s="535"/>
      <c r="FO183" s="535">
        <f>O183+((Sheet1!CS181)*GPMtoMGD)</f>
        <v>75.48</v>
      </c>
      <c r="FP183" s="535">
        <f>IF(Sheet1!AA181+AQ183&lt;=Calculation!N183,AQ183,Calculation!N183-Sheet1!AA181)</f>
        <v>39.63355030686256</v>
      </c>
      <c r="FQ183" s="535">
        <f>(Sheet1!BP181+Sheet1!BO181)/694.4</f>
        <v>2.96918202764977</v>
      </c>
      <c r="FR183" s="541"/>
      <c r="FS183" s="541"/>
      <c r="FT183" s="541"/>
      <c r="FU183" s="541"/>
      <c r="FV183" s="1109">
        <f t="shared" si="382"/>
        <v>42918</v>
      </c>
      <c r="FW183" s="1109">
        <f t="shared" si="383"/>
        <v>43027</v>
      </c>
      <c r="FX183" s="541"/>
      <c r="FY183" s="541">
        <f>Sheet1!DA181-Sheet1!CZ181-Sheet1!AE181</f>
        <v>103.23244</v>
      </c>
      <c r="FZ183" s="535">
        <f t="shared" si="420"/>
        <v>0.13875158673417556</v>
      </c>
      <c r="GA183" s="535"/>
      <c r="GB183" s="535" t="str">
        <f t="shared" si="384"/>
        <v>n</v>
      </c>
      <c r="GC183" s="539">
        <f t="shared" si="385"/>
        <v>42782</v>
      </c>
      <c r="GD183" s="1109">
        <f t="shared" si="386"/>
        <v>42904</v>
      </c>
      <c r="GE183" s="535">
        <f t="shared" si="404"/>
        <v>6520</v>
      </c>
      <c r="GF183" s="1109">
        <f t="shared" si="387"/>
        <v>42909</v>
      </c>
      <c r="GG183" s="535">
        <f t="shared" si="432"/>
        <v>3260</v>
      </c>
      <c r="GH183" s="539">
        <f t="shared" si="388"/>
        <v>43040</v>
      </c>
      <c r="GJ183" s="521">
        <f t="shared" si="389"/>
        <v>-1.0953600000001897</v>
      </c>
      <c r="GK183" s="535" t="str">
        <f t="shared" si="490"/>
        <v/>
      </c>
      <c r="GL183" s="535">
        <f t="shared" si="390"/>
        <v>0</v>
      </c>
      <c r="GM183" s="535" t="str">
        <f t="shared" si="391"/>
        <v/>
      </c>
      <c r="GN183" s="535">
        <f>IF(GK183="P",Lookup!$M$12,IF(GK183="PP",Lookup!$M$13,IF(GK183="PPP",Lookup!$M$14,IF(GK183="T",Lookup!$M$15,IF(GK183="TP",Lookup!$M$16,IF(GK183="TPP",Lookup!$M$17,IF(GK183="TPPP",Lookup!$M$18,0)))))))*GJ183</f>
        <v>0</v>
      </c>
      <c r="GO183" s="535">
        <f t="shared" si="392"/>
        <v>0</v>
      </c>
      <c r="GP183" s="535">
        <f t="shared" si="491"/>
        <v>8334.7333333333336</v>
      </c>
      <c r="GQ183" s="535">
        <f t="shared" si="433"/>
        <v>2716.666666666667</v>
      </c>
      <c r="GR183" s="535"/>
      <c r="GS183" s="535">
        <f t="shared" si="393"/>
        <v>0</v>
      </c>
      <c r="GT183" s="535" t="str">
        <f t="shared" si="394"/>
        <v/>
      </c>
      <c r="GU183" s="535">
        <f>IF(GK183="P",Lookup!$N$12,IF(GK183="PP",Lookup!$N$13,IF(GK183="PPP",Lookup!$N$14,IF(GK183="T",Lookup!$N$15,IF(GK183="TP",Lookup!$N$16,IF(GK183="TPP",Lookup!$N$17,IF(GK183="TPPP",Lookup!$N$18,0)))))))*GJ183</f>
        <v>0</v>
      </c>
      <c r="GV183" s="535">
        <f t="shared" si="395"/>
        <v>0</v>
      </c>
      <c r="GW183" s="535">
        <f t="shared" si="492"/>
        <v>3889.5422222222223</v>
      </c>
      <c r="GX183" s="535">
        <f t="shared" si="400"/>
        <v>1267.7777777777778</v>
      </c>
      <c r="GY183" s="535"/>
      <c r="GZ183" s="535">
        <f t="shared" si="396"/>
        <v>0</v>
      </c>
      <c r="HA183" s="535" t="str">
        <f t="shared" si="397"/>
        <v/>
      </c>
      <c r="HB183" s="535">
        <f>IF(GK183="P",Lookup!$N$12,IF(GK183="PP",Lookup!$N$13,IF(GK183="PPP",Lookup!$N$14,IF(GK183="T",Lookup!$N$15,IF(GK183="TP",Lookup!$N$16,IF(GK183="TPP",Lookup!$N$17,IF(GK183="TPPP",Lookup!$N$18,0)))))))*GJ183</f>
        <v>0</v>
      </c>
      <c r="HC183" s="521">
        <f t="shared" si="493"/>
        <v>0</v>
      </c>
      <c r="HD183" s="535">
        <f t="shared" si="494"/>
        <v>3889.5422222222223</v>
      </c>
      <c r="HE183" s="535">
        <f t="shared" si="401"/>
        <v>1267.7777777777778</v>
      </c>
      <c r="HF183" s="535"/>
      <c r="HG183" s="535">
        <f t="shared" si="398"/>
        <v>0</v>
      </c>
      <c r="HH183" s="535" t="str">
        <f t="shared" si="399"/>
        <v/>
      </c>
      <c r="HI183" s="535">
        <f>IF(GK183="P",Lookup!$N$12,IF(GK183="PP",Lookup!$N$13,IF(GK183="PPP",Lookup!$N$14,IF(GK183="T",Lookup!$N$15,IF(GK183="TP",Lookup!$N$16,IF(GK183="TPP",Lookup!$N$17,IF(GK183="TPPP",Lookup!$N$18,0)))))))*GJ183</f>
        <v>0</v>
      </c>
      <c r="HJ183" s="521">
        <f t="shared" si="495"/>
        <v>0</v>
      </c>
      <c r="HK183" s="535">
        <f t="shared" si="496"/>
        <v>3889.5422222222223</v>
      </c>
      <c r="HL183" s="535">
        <f t="shared" si="402"/>
        <v>1267.7777777777778</v>
      </c>
      <c r="HM183" s="535"/>
      <c r="HN183" s="541"/>
      <c r="HO183" s="541"/>
      <c r="HP183" s="541"/>
      <c r="HQ183" s="541">
        <f>IF(AND(B183&gt;=$FV$4,B183&lt;=$FW$4),MAX(110/1.02+$HQ$6+MIN(113/1.02,G183),IF($HV$6-(Sheet1!DA181-Sheet1!DB181)+MIN(113/1.02,G183)&lt;G183+FL183,$HV$6-(Sheet1!DA181-Sheet1!DB181)+MIN(113/1.02,G183),G183+FL183)),MIN(110/1.02+$HQ$6+113/1.02,G183))</f>
        <v>218.62745098039215</v>
      </c>
      <c r="HR183" s="541">
        <f t="shared" si="421"/>
        <v>223</v>
      </c>
      <c r="HS183" s="541">
        <f>HR183+(Sheet1!DA181-Sheet1!DB181)</f>
        <v>516</v>
      </c>
      <c r="HT183" s="541">
        <f t="shared" si="422"/>
        <v>16.769480000000005</v>
      </c>
      <c r="HU183" s="541">
        <f t="shared" si="423"/>
        <v>499.23052000000001</v>
      </c>
      <c r="HV183" s="541">
        <f t="shared" si="424"/>
        <v>0</v>
      </c>
      <c r="HW183" s="541" t="str">
        <f t="shared" si="425"/>
        <v/>
      </c>
      <c r="HX183" s="541">
        <f t="shared" si="426"/>
        <v>571.37254901960785</v>
      </c>
      <c r="HY183" s="541">
        <f>Sheet1!CZ181</f>
        <v>790</v>
      </c>
      <c r="HZ183" s="541">
        <f t="shared" si="427"/>
        <v>0</v>
      </c>
      <c r="IA183" s="541">
        <f t="shared" si="428"/>
        <v>16.769480000000005</v>
      </c>
      <c r="IB183" s="541">
        <f t="shared" si="429"/>
        <v>790</v>
      </c>
      <c r="IC183" s="1019" t="str">
        <f t="shared" si="430"/>
        <v/>
      </c>
      <c r="ID183" s="541">
        <f t="shared" si="431"/>
        <v>773.23051999999996</v>
      </c>
      <c r="IE183" s="541">
        <f>Sheet1!DB181</f>
        <v>717</v>
      </c>
      <c r="IF183" s="533">
        <f>Sheet1!DA181</f>
        <v>1010</v>
      </c>
      <c r="IH183" s="541">
        <f>IF(AND($B183&gt;=$GC183,$B183&lt;=$GH183,$DR183&lt;0)+N("only adjusted when pool is drawn down during storage season"),Sheet1!$DB181+$DR183+N("Palmer minus all storage release"),Sheet1!$DB181)</f>
        <v>671.0090771558223</v>
      </c>
      <c r="II183" s="541">
        <f>IF(AND($B183&gt;=$GC183,$B183&lt;=$GH183,$DR183&lt;0)+N("only adjusted when pool is drawn down during storage season"),Sheet1!$DA181+$DR183+N("Auburn minus all storage release"),Sheet1!$DA181)</f>
        <v>964.0090771558223</v>
      </c>
    </row>
    <row r="184" spans="1:243" x14ac:dyDescent="0.25">
      <c r="A184" s="553" t="s">
        <v>7</v>
      </c>
      <c r="B184" s="531">
        <v>42908</v>
      </c>
      <c r="C184" s="536">
        <v>0</v>
      </c>
      <c r="D184" s="506">
        <f t="shared" si="371"/>
        <v>300</v>
      </c>
      <c r="E184" s="506">
        <f t="shared" si="372"/>
        <v>250</v>
      </c>
      <c r="F184" s="506">
        <v>250</v>
      </c>
      <c r="G184" s="535">
        <f>DR184+Sheet1!CZ182</f>
        <v>664.251134644481</v>
      </c>
      <c r="H184" s="1074">
        <f t="shared" si="405"/>
        <v>258.87665497019253</v>
      </c>
      <c r="I184" s="534">
        <f>IF(Sheet1!DA182&gt;=E184,(Sheet1!DA182-E184+P184)*CFStoMGD,0)</f>
        <v>513.39592153599995</v>
      </c>
      <c r="J184" s="995">
        <f>IF(Sheet1!DB182&gt;=D184,(Sheet1!DB182-D184+P184)*CFStoMGD,0)</f>
        <v>262.592721536</v>
      </c>
      <c r="K184" s="818">
        <f t="shared" si="406"/>
        <v>64.64</v>
      </c>
      <c r="L184" s="535">
        <f>Sheet1!AA182+Sheet1!AB182-Sheet1!L182+(Sheet1!DA182-F184)*CFStoMGD-S184-T184-U184</f>
        <v>448.75760000000002</v>
      </c>
      <c r="M184" s="535">
        <f t="shared" si="436"/>
        <v>437.95937210287639</v>
      </c>
      <c r="N184" s="824">
        <f>IF(Sheet1!DA182&gt;=F184,MIN(113*CFStoMGD,MIN(MAX(L184,0),MAX(M184,0))),0)</f>
        <v>73.043199999999999</v>
      </c>
      <c r="O184" s="538">
        <f>Sheet1!AA182+Sheet1!AB182</f>
        <v>87.42</v>
      </c>
      <c r="P184" s="538">
        <f t="shared" si="437"/>
        <v>135.23874000000001</v>
      </c>
      <c r="Q184" s="812">
        <f t="shared" si="407"/>
        <v>22.78</v>
      </c>
      <c r="R184" s="812">
        <f t="shared" si="373"/>
        <v>14.509781780394871</v>
      </c>
      <c r="S184" s="812">
        <f t="shared" si="374"/>
        <v>64.64</v>
      </c>
      <c r="T184" s="812">
        <f t="shared" si="375"/>
        <v>0</v>
      </c>
      <c r="U184" s="812">
        <f t="shared" si="408"/>
        <v>0</v>
      </c>
      <c r="V184" s="812"/>
      <c r="W184" s="812">
        <f t="shared" si="376"/>
        <v>50.130218219605126</v>
      </c>
      <c r="X184" s="812">
        <f t="shared" si="377"/>
        <v>64.64</v>
      </c>
      <c r="Y184" s="812" t="str">
        <f t="shared" si="378"/>
        <v>FALSE</v>
      </c>
      <c r="Z184" s="812">
        <f t="shared" si="379"/>
        <v>87.42</v>
      </c>
      <c r="AA184" s="812">
        <f t="shared" si="380"/>
        <v>87.42</v>
      </c>
      <c r="AB184" s="1059">
        <f t="shared" si="409"/>
        <v>35.240659999999998</v>
      </c>
      <c r="AC184" s="538">
        <f>Sheet1!Y182*MGDtoCFS</f>
        <v>33.724600000000002</v>
      </c>
      <c r="AD184" s="538">
        <f>Sheet1!Z182*MGDtoCFS</f>
        <v>83.042959999999994</v>
      </c>
      <c r="AE184" s="538">
        <f>Sheet1!AA182*MGDtoCFS</f>
        <v>46.1006</v>
      </c>
      <c r="AF184" s="538">
        <f>Sheet1!AB182*MGDtoCFS</f>
        <v>89.138139999999993</v>
      </c>
      <c r="AG184" s="538">
        <f>Sheet1!L182*MGDtoCFS</f>
        <v>0</v>
      </c>
      <c r="AH184" s="521">
        <f t="shared" si="438"/>
        <v>0</v>
      </c>
      <c r="AI184" s="1059">
        <f t="shared" si="439"/>
        <v>0</v>
      </c>
      <c r="AJ184" s="535">
        <f t="shared" si="440"/>
        <v>0</v>
      </c>
      <c r="AK184" s="535">
        <f t="shared" si="441"/>
        <v>0</v>
      </c>
      <c r="AL184" s="535">
        <f>(VLOOKUP(Sheet1!DC182,hhdcap_wcm,4)-(((VLOOKUP(Sheet1!DC182,hhdcap_wcm,3)-Sheet1!DC182)/(VLOOKUP(Sheet1!DC182,hhdcap_wcm,3)-VLOOKUP(Sheet1!DC182,hhdcap_wcm,1)))*(VLOOKUP(Sheet1!DC182,hhdcap_wcm,4)-VLOOKUP(Sheet1!DC182,hhdcap_wcm,2))))</f>
        <v>49257.000000119238</v>
      </c>
      <c r="AM184" s="535">
        <f t="shared" si="442"/>
        <v>-11.399999999994179</v>
      </c>
      <c r="AN184" s="1035">
        <f t="shared" si="443"/>
        <v>6520</v>
      </c>
      <c r="AO184" s="535">
        <f t="shared" si="444"/>
        <v>20003.36</v>
      </c>
      <c r="AP184" s="535">
        <f>Sheet1!BA182+Sheet1!BB182+Sheet1!BN182+CD184</f>
        <v>43.2</v>
      </c>
      <c r="AQ184" s="535">
        <f>Sheet1!BN182+(DO184*Sheet1!BN182)</f>
        <v>43.110218219605123</v>
      </c>
      <c r="AR184" s="535">
        <f>Sheet1!BA182+CD184</f>
        <v>0</v>
      </c>
      <c r="AS184" s="535">
        <f>Sheet1!BA182+Sheet1!BB182+CD184</f>
        <v>0</v>
      </c>
      <c r="AT184" s="649">
        <f>0</f>
        <v>0</v>
      </c>
      <c r="AU184" s="974">
        <f>BA184+Sheet1!EH182</f>
        <v>0</v>
      </c>
      <c r="AV184" s="535">
        <f>IF(OR(B184&gt;=GD184,B184&lt;GC184),0,15/36*K184-MAX(0,64.6-(137.6-(Sheet1!AA182+Sheet1!AB182))))</f>
        <v>0</v>
      </c>
      <c r="AW184" s="1029"/>
      <c r="AX184" s="649"/>
      <c r="AY184" s="649">
        <f t="shared" si="410"/>
        <v>0</v>
      </c>
      <c r="AZ184" s="649">
        <f t="shared" si="411"/>
        <v>0</v>
      </c>
      <c r="BA184" s="1059">
        <f t="shared" si="412"/>
        <v>0</v>
      </c>
      <c r="BB184" s="1019">
        <f t="shared" si="445"/>
        <v>2716.666666666667</v>
      </c>
      <c r="BC184" s="1041">
        <f t="shared" si="413"/>
        <v>26.933333333333334</v>
      </c>
      <c r="BD184" s="1019">
        <f ca="1">IF(B184&gt;(Summary!$A$1-1),#N/A,BB184*MGtoAF)</f>
        <v>8334.7333333333336</v>
      </c>
      <c r="BE184" s="535">
        <f>Sheet1!BG182+Sheet1!BH182+Sheet1!BI182-BM184</f>
        <v>2.02</v>
      </c>
      <c r="BF184" s="535">
        <f t="shared" si="446"/>
        <v>2.0158018704537581</v>
      </c>
      <c r="BG184" s="535">
        <f>IF(Sheet1!EP182="FM",BM184,0)</f>
        <v>0</v>
      </c>
      <c r="BH184" s="535">
        <f t="shared" si="447"/>
        <v>0</v>
      </c>
      <c r="BI184" s="535">
        <f>IF(Sheet1!EP182="OTHER",BM184,0)</f>
        <v>0</v>
      </c>
      <c r="BJ184" s="535">
        <f t="shared" si="448"/>
        <v>0</v>
      </c>
      <c r="BK184" s="535">
        <f t="shared" si="449"/>
        <v>2.02</v>
      </c>
      <c r="BL184" s="535">
        <f t="shared" si="450"/>
        <v>2.0158018704537581</v>
      </c>
      <c r="BM184" s="535">
        <f>IF(OR(Sheet1!EP182="FM", Sheet1!EP182="OTHER"),SUM(Sheet1!BG182:'Sheet1'!BI182),0)</f>
        <v>0</v>
      </c>
      <c r="BN184" s="521">
        <f>IF(AND($B184&gt;=$FV184,$B184&lt;=$FW184),MAX(BF184,Sheet1!EI182,0),MAX(BF184-(7/36)*$K184,0))</f>
        <v>0</v>
      </c>
      <c r="BO184" s="535">
        <f t="shared" si="497"/>
        <v>0</v>
      </c>
      <c r="BP184" s="521">
        <f t="shared" si="452"/>
        <v>2.0158018704537581</v>
      </c>
      <c r="BQ184" s="521">
        <f>IF(AND($O184&gt;0,Sheet1!EM182=1),(1-($O184-Sheet1!$L182)/$O184)*BL184,0)</f>
        <v>0</v>
      </c>
      <c r="BR184" s="521">
        <f>IF(AND(Sheet1!$L182=0,Sheet1!$L181=0, Calculation!BK184&lt;Sheet1!$EI182-0.1,Sheet1!$EI182=Sheet1!$EI181,Sheet1!$EI182=Sheet1!$EI183),BL184-BQ184,BL184-BQ184)</f>
        <v>2.0158018704537581</v>
      </c>
      <c r="BS184" s="1035" t="str">
        <f t="shared" si="414"/>
        <v/>
      </c>
      <c r="BT184" s="1035">
        <f t="shared" si="415"/>
        <v>12.568888888888889</v>
      </c>
      <c r="BU184" s="535">
        <f t="shared" si="453"/>
        <v>1267.7777777777778</v>
      </c>
      <c r="BV184" s="535"/>
      <c r="BW184" s="535">
        <f ca="1">IF(B184&gt;(Summary!$A$1-1),#N/A,BU184*MGtoAF)</f>
        <v>3889.5422222222223</v>
      </c>
      <c r="BX184" s="535">
        <f>Sheet1!BC182+Sheet1!BD182+Sheet1!BE182+Sheet1!BF182-CG184-CH184</f>
        <v>4</v>
      </c>
      <c r="BY184" s="535">
        <f t="shared" si="454"/>
        <v>3.9916868721856593</v>
      </c>
      <c r="BZ184" s="535">
        <f>IF(Sheet1!EQ182="FM",CH184,0)</f>
        <v>0</v>
      </c>
      <c r="CA184" s="535">
        <f t="shared" si="455"/>
        <v>0</v>
      </c>
      <c r="CB184" s="535">
        <f>IF(Sheet1!EQ182="OTHER",CH184,0)</f>
        <v>0</v>
      </c>
      <c r="CC184" s="535">
        <f t="shared" si="456"/>
        <v>0</v>
      </c>
      <c r="CD184" s="535">
        <f t="shared" si="457"/>
        <v>0</v>
      </c>
      <c r="CE184" s="535">
        <f t="shared" si="458"/>
        <v>4</v>
      </c>
      <c r="CF184" s="535">
        <f t="shared" si="459"/>
        <v>3.9916868721856593</v>
      </c>
      <c r="CG184" s="535">
        <f>IF(Sheet1!EQ182="CWA",SUM(Sheet1!BC182:'Sheet1'!BF182),0)</f>
        <v>0</v>
      </c>
      <c r="CH184" s="535">
        <f>IF(OR(Sheet1!EQ182="FM", Sheet1!EQ182="OTHER"),SUM(Sheet1!BC182:'Sheet1'!BF182),0)</f>
        <v>0</v>
      </c>
      <c r="CI184" s="521">
        <f>IF(AND($B184&gt;=$FV184,$B184&lt;=$FW184),MAX(CF184,Sheet1!EJ182,0),MAX(CF184-(7/36)*$K184,0))</f>
        <v>0</v>
      </c>
      <c r="CJ184" s="535">
        <f t="shared" si="499"/>
        <v>0</v>
      </c>
      <c r="CK184" s="521">
        <f t="shared" si="461"/>
        <v>3.9916868721856593</v>
      </c>
      <c r="CL184" s="521">
        <f>IF(AND($O184&gt;0,Sheet1!EN182=1),(1-($O184-Sheet1!$L182)/$O184)*CF184,0)</f>
        <v>0</v>
      </c>
      <c r="CM184" s="521">
        <f>IF(AND(Sheet1!$L182=0,Sheet1!$L181=0, Calculation!CE184&lt;Sheet1!EJ182-0.1,Sheet1!EJ182=Sheet1!EJ181,Sheet1!EJ182=Sheet1!EJ183),CF184-CL184,CF184-CL184)</f>
        <v>3.9916868721856593</v>
      </c>
      <c r="CN184" s="1040" t="str">
        <f t="shared" si="416"/>
        <v/>
      </c>
      <c r="CO184" s="1035">
        <f t="shared" si="417"/>
        <v>12.568888888888889</v>
      </c>
      <c r="CP184" s="535">
        <f t="shared" si="462"/>
        <v>1267.7777777777778</v>
      </c>
      <c r="CQ184" s="535"/>
      <c r="CR184" s="535">
        <f ca="1">IF(B184&gt;(Summary!$A$1-1),#N/A,CP184*MGtoAF)</f>
        <v>3889.5422222222223</v>
      </c>
      <c r="CS184" s="535">
        <f>Sheet1!BK182+Sheet1!BL182+Sheet1!BM182-Sheet1!ER182-DA184</f>
        <v>8.52</v>
      </c>
      <c r="CT184" s="535">
        <f t="shared" si="463"/>
        <v>8.5022930377554538</v>
      </c>
      <c r="CU184" s="535">
        <f>IF(Sheet1!ER182="FM",DA184,0)</f>
        <v>0</v>
      </c>
      <c r="CV184" s="535">
        <f t="shared" si="464"/>
        <v>0</v>
      </c>
      <c r="CW184" s="535">
        <f>IF(Sheet1!ER182="OTHER",DA184,0)</f>
        <v>0</v>
      </c>
      <c r="CX184" s="535">
        <f t="shared" si="465"/>
        <v>0</v>
      </c>
      <c r="CY184" s="535">
        <f t="shared" si="466"/>
        <v>8.52</v>
      </c>
      <c r="CZ184" s="535">
        <f t="shared" si="467"/>
        <v>8.5022930377554538</v>
      </c>
      <c r="DA184" s="535">
        <f>IF(OR(Sheet1!ER182="FM", Sheet1!ER182="OTHER"),SUM(Sheet1!BK182:'Sheet1'!BM182),0)</f>
        <v>0</v>
      </c>
      <c r="DB184" s="1011">
        <f>IF(AND($B184&gt;=$FV184,$B184&lt;=$FW184),MAX($CT184,Sheet1!EK182,0),MAX($CT184-(7/36)*$K184,0))</f>
        <v>0</v>
      </c>
      <c r="DC184" s="1012">
        <f t="shared" si="498"/>
        <v>0</v>
      </c>
      <c r="DD184" s="1011">
        <f t="shared" si="469"/>
        <v>8.5022930377554538</v>
      </c>
      <c r="DE184" s="521">
        <f>IF(AND($O184&gt;0,Sheet1!EO182=1),(1-($O184-Sheet1!$L182)/$O184)*CZ184,0)</f>
        <v>0</v>
      </c>
      <c r="DF184" s="521">
        <f>IF(AND(Sheet1!$L182=0,Sheet1!$L181=0, Calculation!CY184&lt;Sheet1!$EK182-0.1,Sheet1!$EK182=Sheet1!$EK181,Sheet1!$EK182=Sheet1!$EK183),CZ184-DE184,CZ184-DE184)</f>
        <v>8.5022930377554538</v>
      </c>
      <c r="DG184" s="1040">
        <f t="shared" si="418"/>
        <v>12.568888888888889</v>
      </c>
      <c r="DH184" s="649">
        <f t="shared" si="470"/>
        <v>14.54</v>
      </c>
      <c r="DI184" s="535">
        <f t="shared" si="471"/>
        <v>1267.7777777777778</v>
      </c>
      <c r="DJ184" s="649">
        <f t="shared" si="472"/>
        <v>14.509781780394871</v>
      </c>
      <c r="DK184" s="535">
        <f ca="1">IF(B184&gt;(Summary!$A$1-1),#N/A,DI184*MGtoAF)</f>
        <v>3889.5422222222223</v>
      </c>
      <c r="DL184" s="649">
        <f t="shared" si="473"/>
        <v>14.54</v>
      </c>
      <c r="DM184" s="535">
        <f t="shared" si="474"/>
        <v>57.74</v>
      </c>
      <c r="DN184" s="535">
        <f>Sheet1!AB182-DM184</f>
        <v>-0.12000000000000455</v>
      </c>
      <c r="DO184" s="743">
        <f t="shared" si="475"/>
        <v>-2.0782819535851149E-3</v>
      </c>
      <c r="DP184" s="535">
        <f>(VLOOKUP(Sheet1!DC182,hhdcap_wcm,4)-(((VLOOKUP(Sheet1!DC182,hhdcap_wcm,3)-Sheet1!DC182)/(VLOOKUP(Sheet1!DC182,hhdcap_wcm,3)-VLOOKUP(Sheet1!DC182,hhdcap_wcm,1)))*(VLOOKUP(Sheet1!DC182,hhdcap_wcm,4)-VLOOKUP(Sheet1!DC182,hhdcap_wcm,2))))</f>
        <v>49257.000000119238</v>
      </c>
      <c r="DQ184" s="535">
        <f t="shared" si="476"/>
        <v>-11.399999999994179</v>
      </c>
      <c r="DR184" s="535">
        <f t="shared" si="477"/>
        <v>-5.7488653555190004</v>
      </c>
      <c r="DS184" s="535">
        <f>Sheet1!EA182*AFtoMG</f>
        <v>0</v>
      </c>
      <c r="DT184" s="535">
        <f>Sheet1!EB182*AFtoMG</f>
        <v>0</v>
      </c>
      <c r="DU184" s="535">
        <f>Sheet1!EC182*AFtoMG</f>
        <v>0</v>
      </c>
      <c r="DV184" s="535">
        <f>Sheet1!ED182*AFtoMG</f>
        <v>0</v>
      </c>
      <c r="DW184" s="535">
        <f t="shared" si="478"/>
        <v>0</v>
      </c>
      <c r="DX184" s="535">
        <f t="shared" si="479"/>
        <v>0</v>
      </c>
      <c r="DY184" s="535">
        <f t="shared" si="480"/>
        <v>6520</v>
      </c>
      <c r="DZ184" s="535">
        <f t="shared" si="481"/>
        <v>20003.36</v>
      </c>
      <c r="EA184" s="535"/>
      <c r="EB184" s="521">
        <f>IF(OR(B184&lt;FV184,B184&gt;FW184),(MIN(BF184+BY184+CT184+MAX(Sheet1!AA182+AQ184-73,0),K184)),0)</f>
        <v>14.509781780394871</v>
      </c>
      <c r="EC184" s="535"/>
      <c r="ED184" s="535">
        <f t="shared" si="482"/>
        <v>14.509781780394871</v>
      </c>
      <c r="EE184" s="535"/>
      <c r="EF184" s="535">
        <f>Sheet1!EH182+Sheet1!EI182+Sheet1!EJ182+Sheet1!EK182</f>
        <v>14.5</v>
      </c>
      <c r="EG184" s="1019">
        <f t="shared" si="419"/>
        <v>22.4315</v>
      </c>
      <c r="EH184" s="521">
        <f t="shared" si="483"/>
        <v>0</v>
      </c>
      <c r="EI184" s="535">
        <f>IF(Sheet1!ET182=1,SUM('Calculations II'!AT184:BA184)+'Calculations II'!BC184+Sheet1!BV182+'Calculations II'!BE184+AP184,'Calculations II'!BK184)</f>
        <v>67.179560219605122</v>
      </c>
      <c r="EJ184" s="535">
        <f ca="1">EI184+'Calculations II'!D184+'Calculations II'!E184+'Calculations II'!O184</f>
        <v>73.552623945716562</v>
      </c>
      <c r="EK184" s="535"/>
      <c r="EL184" s="535"/>
      <c r="EM184" s="535">
        <f t="shared" si="484"/>
        <v>42908</v>
      </c>
      <c r="EN184" s="535">
        <f t="shared" si="485"/>
        <v>0</v>
      </c>
      <c r="EO184" s="535">
        <f t="shared" si="486"/>
        <v>0</v>
      </c>
      <c r="EP184" s="535">
        <v>0</v>
      </c>
      <c r="EQ184" s="535">
        <v>0</v>
      </c>
      <c r="ER184" s="535">
        <v>0</v>
      </c>
      <c r="ES184" s="521">
        <f t="shared" si="381"/>
        <v>-6.3672050173494776</v>
      </c>
      <c r="ET184" s="535">
        <f>-(VLOOKUP(Sheet1!BQ182,Lookup!$O$4:$Q$262,2)-VLOOKUP(Sheet1!BQ181,Lookup!$O$4:$Q$262,2))/1000000</f>
        <v>-3.1830867683795541</v>
      </c>
      <c r="EU184" s="535">
        <f>-(VLOOKUP(Sheet1!BR182,Lookup!$O$4:$Q$262,3)-VLOOKUP(Sheet1!BR181,Lookup!$O$4:$Q$262,3))/1000000</f>
        <v>-3.1841182489699236</v>
      </c>
      <c r="EV184" s="535"/>
      <c r="EW184" s="535"/>
      <c r="EX184" s="535"/>
      <c r="EY184" s="535">
        <f t="shared" si="434"/>
        <v>16.697767058751865</v>
      </c>
      <c r="EZ184" s="535">
        <f t="shared" si="435"/>
        <v>10.793643864739408</v>
      </c>
      <c r="FA184" s="535"/>
      <c r="FB184" s="535"/>
      <c r="FC184" s="535"/>
      <c r="FD184" s="567" t="e">
        <f t="shared" si="487"/>
        <v>#N/A</v>
      </c>
      <c r="FE184" s="567" t="e">
        <f t="shared" si="488"/>
        <v>#N/A</v>
      </c>
      <c r="FF184" s="568" t="e">
        <f t="shared" si="489"/>
        <v>#N/A</v>
      </c>
      <c r="FG184" s="569" t="s">
        <v>656</v>
      </c>
      <c r="FH184" s="569" t="s">
        <v>656</v>
      </c>
      <c r="FI184" s="567" t="e">
        <v>#N/A</v>
      </c>
      <c r="FJ184" s="567" t="e">
        <v>#N/A</v>
      </c>
      <c r="FK184" s="535">
        <v>24000</v>
      </c>
      <c r="FL184" s="1015">
        <v>0</v>
      </c>
      <c r="FM184" s="535"/>
      <c r="FN184" s="535"/>
      <c r="FO184" s="535">
        <f>O184+((Sheet1!CS182)*GPMtoMGD)</f>
        <v>87.42</v>
      </c>
      <c r="FP184" s="535">
        <f>IF(Sheet1!AA182+AQ184&lt;=Calculation!N184,AQ184,Calculation!N184-Sheet1!AA182)</f>
        <v>43.110218219605123</v>
      </c>
      <c r="FQ184" s="535">
        <f>(Sheet1!BP182+Sheet1!BO182)/694.4</f>
        <v>2.9311635944700463</v>
      </c>
      <c r="FR184" s="541"/>
      <c r="FS184" s="541"/>
      <c r="FT184" s="541"/>
      <c r="FU184" s="541"/>
      <c r="FV184" s="1109">
        <f t="shared" si="382"/>
        <v>42918</v>
      </c>
      <c r="FW184" s="1109">
        <f t="shared" si="383"/>
        <v>43027</v>
      </c>
      <c r="FX184" s="541"/>
      <c r="FY184" s="541">
        <f>Sheet1!DA182-Sheet1!CZ182-Sheet1!AE182</f>
        <v>103.76125999999999</v>
      </c>
      <c r="FZ184" s="535">
        <f t="shared" si="420"/>
        <v>0.15620787769603867</v>
      </c>
      <c r="GA184" s="535"/>
      <c r="GB184" s="535" t="str">
        <f t="shared" si="384"/>
        <v>n</v>
      </c>
      <c r="GC184" s="539">
        <f t="shared" si="385"/>
        <v>42782</v>
      </c>
      <c r="GD184" s="1109">
        <f t="shared" si="386"/>
        <v>42904</v>
      </c>
      <c r="GE184" s="535">
        <f t="shared" si="404"/>
        <v>6520</v>
      </c>
      <c r="GF184" s="1109">
        <f t="shared" si="387"/>
        <v>42909</v>
      </c>
      <c r="GG184" s="535">
        <f t="shared" si="432"/>
        <v>3260</v>
      </c>
      <c r="GH184" s="539">
        <f t="shared" si="388"/>
        <v>43040</v>
      </c>
      <c r="GJ184" s="521">
        <f t="shared" si="389"/>
        <v>-1.0953600000001897</v>
      </c>
      <c r="GK184" s="535" t="str">
        <f t="shared" si="490"/>
        <v/>
      </c>
      <c r="GL184" s="535">
        <f t="shared" si="390"/>
        <v>0</v>
      </c>
      <c r="GM184" s="535" t="str">
        <f t="shared" si="391"/>
        <v/>
      </c>
      <c r="GN184" s="535">
        <f>IF(GK184="P",Lookup!$M$12,IF(GK184="PP",Lookup!$M$13,IF(GK184="PPP",Lookup!$M$14,IF(GK184="T",Lookup!$M$15,IF(GK184="TP",Lookup!$M$16,IF(GK184="TPP",Lookup!$M$17,IF(GK184="TPPP",Lookup!$M$18,0)))))))*GJ184</f>
        <v>0</v>
      </c>
      <c r="GO184" s="535">
        <f t="shared" si="392"/>
        <v>0</v>
      </c>
      <c r="GP184" s="535">
        <f t="shared" si="491"/>
        <v>8334.7333333333336</v>
      </c>
      <c r="GQ184" s="535">
        <f t="shared" si="433"/>
        <v>2716.666666666667</v>
      </c>
      <c r="GR184" s="535"/>
      <c r="GS184" s="535">
        <f t="shared" si="393"/>
        <v>0</v>
      </c>
      <c r="GT184" s="535" t="str">
        <f t="shared" si="394"/>
        <v/>
      </c>
      <c r="GU184" s="535">
        <f>IF(GK184="P",Lookup!$N$12,IF(GK184="PP",Lookup!$N$13,IF(GK184="PPP",Lookup!$N$14,IF(GK184="T",Lookup!$N$15,IF(GK184="TP",Lookup!$N$16,IF(GK184="TPP",Lookup!$N$17,IF(GK184="TPPP",Lookup!$N$18,0)))))))*GJ184</f>
        <v>0</v>
      </c>
      <c r="GV184" s="535">
        <f t="shared" si="395"/>
        <v>0</v>
      </c>
      <c r="GW184" s="535">
        <f t="shared" si="492"/>
        <v>3889.5422222222223</v>
      </c>
      <c r="GX184" s="535">
        <f t="shared" si="400"/>
        <v>1267.7777777777778</v>
      </c>
      <c r="GY184" s="535"/>
      <c r="GZ184" s="535">
        <f t="shared" si="396"/>
        <v>0</v>
      </c>
      <c r="HA184" s="535" t="str">
        <f t="shared" si="397"/>
        <v/>
      </c>
      <c r="HB184" s="535">
        <f>IF(GK184="P",Lookup!$N$12,IF(GK184="PP",Lookup!$N$13,IF(GK184="PPP",Lookup!$N$14,IF(GK184="T",Lookup!$N$15,IF(GK184="TP",Lookup!$N$16,IF(GK184="TPP",Lookup!$N$17,IF(GK184="TPPP",Lookup!$N$18,0)))))))*GJ184</f>
        <v>0</v>
      </c>
      <c r="HC184" s="521">
        <f t="shared" si="493"/>
        <v>0</v>
      </c>
      <c r="HD184" s="535">
        <f t="shared" si="494"/>
        <v>3889.5422222222223</v>
      </c>
      <c r="HE184" s="535">
        <f t="shared" si="401"/>
        <v>1267.7777777777778</v>
      </c>
      <c r="HF184" s="535"/>
      <c r="HG184" s="535">
        <f t="shared" si="398"/>
        <v>0</v>
      </c>
      <c r="HH184" s="535" t="str">
        <f t="shared" si="399"/>
        <v/>
      </c>
      <c r="HI184" s="535">
        <f>IF(GK184="P",Lookup!$N$12,IF(GK184="PP",Lookup!$N$13,IF(GK184="PPP",Lookup!$N$14,IF(GK184="T",Lookup!$N$15,IF(GK184="TP",Lookup!$N$16,IF(GK184="TPP",Lookup!$N$17,IF(GK184="TPPP",Lookup!$N$18,0)))))))*GJ184</f>
        <v>0</v>
      </c>
      <c r="HJ184" s="521">
        <f t="shared" si="495"/>
        <v>0</v>
      </c>
      <c r="HK184" s="535">
        <f t="shared" si="496"/>
        <v>3889.5422222222223</v>
      </c>
      <c r="HL184" s="535">
        <f t="shared" si="402"/>
        <v>1267.7777777777778</v>
      </c>
      <c r="HM184" s="535"/>
      <c r="HN184" s="541"/>
      <c r="HO184" s="541"/>
      <c r="HP184" s="541"/>
      <c r="HQ184" s="541">
        <f>IF(AND(B184&gt;=$FV$4,B184&lt;=$FW$4),MAX(110/1.02+$HQ$6+MIN(113/1.02,G184),IF($HV$6-(Sheet1!DA182-Sheet1!DB182)+MIN(113/1.02,G184)&lt;G184+FL184,$HV$6-(Sheet1!DA182-Sheet1!DB182)+MIN(113/1.02,G184),G184+FL184)),MIN(110/1.02+$HQ$6+113/1.02,G184))</f>
        <v>218.62745098039215</v>
      </c>
      <c r="HR184" s="541">
        <f t="shared" si="421"/>
        <v>223</v>
      </c>
      <c r="HS184" s="541">
        <f>HR184+(Sheet1!DA182-Sheet1!DB182)</f>
        <v>561</v>
      </c>
      <c r="HT184" s="541">
        <f t="shared" si="422"/>
        <v>35.240659999999998</v>
      </c>
      <c r="HU184" s="541">
        <f t="shared" si="423"/>
        <v>525.75933999999995</v>
      </c>
      <c r="HV184" s="541">
        <f t="shared" si="424"/>
        <v>0</v>
      </c>
      <c r="HW184" s="541" t="str">
        <f t="shared" si="425"/>
        <v/>
      </c>
      <c r="HX184" s="541">
        <f t="shared" si="426"/>
        <v>451.37254901960785</v>
      </c>
      <c r="HY184" s="541">
        <f>Sheet1!CZ182</f>
        <v>670</v>
      </c>
      <c r="HZ184" s="541">
        <f t="shared" si="427"/>
        <v>0</v>
      </c>
      <c r="IA184" s="541">
        <f t="shared" si="428"/>
        <v>35.240659999999998</v>
      </c>
      <c r="IB184" s="541">
        <f t="shared" si="429"/>
        <v>670</v>
      </c>
      <c r="IC184" s="1019" t="str">
        <f t="shared" si="430"/>
        <v/>
      </c>
      <c r="ID184" s="541">
        <f t="shared" si="431"/>
        <v>634.75933999999995</v>
      </c>
      <c r="IE184" s="541">
        <f>Sheet1!DB182</f>
        <v>571</v>
      </c>
      <c r="IF184" s="533">
        <f>Sheet1!DA182</f>
        <v>909</v>
      </c>
      <c r="IH184" s="541">
        <f>IF(AND($B184&gt;=$GC184,$B184&lt;=$GH184,$DR184&lt;0)+N("only adjusted when pool is drawn down during storage season"),Sheet1!$DB182+$DR184+N("Palmer minus all storage release"),Sheet1!$DB182)</f>
        <v>565.251134644481</v>
      </c>
      <c r="II184" s="541">
        <f>IF(AND($B184&gt;=$GC184,$B184&lt;=$GH184,$DR184&lt;0)+N("only adjusted when pool is drawn down during storage season"),Sheet1!$DA182+$DR184+N("Auburn minus all storage release"),Sheet1!$DA182)</f>
        <v>903.251134644481</v>
      </c>
    </row>
    <row r="185" spans="1:243" x14ac:dyDescent="0.25">
      <c r="A185" s="553" t="s">
        <v>8</v>
      </c>
      <c r="B185" s="531">
        <v>42909</v>
      </c>
      <c r="C185" s="536">
        <v>0</v>
      </c>
      <c r="D185" s="506">
        <f t="shared" si="371"/>
        <v>300</v>
      </c>
      <c r="E185" s="506">
        <f t="shared" si="372"/>
        <v>250</v>
      </c>
      <c r="F185" s="506">
        <v>250</v>
      </c>
      <c r="G185" s="535">
        <f>DR185+Sheet1!CZ183</f>
        <v>671.748865355519</v>
      </c>
      <c r="H185" s="1074">
        <f t="shared" si="405"/>
        <v>266.51264627199998</v>
      </c>
      <c r="I185" s="534">
        <f>IF(Sheet1!DA183&gt;=E185,(Sheet1!DA183-E185+P185)*CFStoMGD,0)</f>
        <v>453.96864627199994</v>
      </c>
      <c r="J185" s="995">
        <f>IF(Sheet1!DB183&gt;=D185,(Sheet1!DB183-D185+P185)*CFStoMGD,0)</f>
        <v>266.51264627199998</v>
      </c>
      <c r="K185" s="818">
        <f t="shared" si="406"/>
        <v>64.64</v>
      </c>
      <c r="L185" s="535">
        <f>Sheet1!AA183+Sheet1!AB183-Sheet1!L183+(Sheet1!DA183-F185)*CFStoMGD-S185-T185-U185</f>
        <v>389.33040000000005</v>
      </c>
      <c r="M185" s="535">
        <f t="shared" si="436"/>
        <v>442.90283589712362</v>
      </c>
      <c r="N185" s="824">
        <f>IF(Sheet1!DA183&gt;=F185,MIN(113*CFStoMGD,MIN(MAX(L185,0),MAX(M185,0))),0)</f>
        <v>73.043199999999999</v>
      </c>
      <c r="O185" s="538">
        <f>Sheet1!AA183+Sheet1!AB183</f>
        <v>91.34</v>
      </c>
      <c r="P185" s="538">
        <f t="shared" si="437"/>
        <v>141.30297999999999</v>
      </c>
      <c r="Q185" s="812">
        <f t="shared" si="407"/>
        <v>26.700000000000003</v>
      </c>
      <c r="R185" s="812">
        <f t="shared" si="373"/>
        <v>18.339999999999996</v>
      </c>
      <c r="S185" s="812">
        <f t="shared" si="374"/>
        <v>64.64</v>
      </c>
      <c r="T185" s="812">
        <f t="shared" si="375"/>
        <v>0</v>
      </c>
      <c r="U185" s="812">
        <f t="shared" si="408"/>
        <v>0</v>
      </c>
      <c r="V185" s="812"/>
      <c r="W185" s="812">
        <f t="shared" si="376"/>
        <v>47.985652097595228</v>
      </c>
      <c r="X185" s="812">
        <f t="shared" si="377"/>
        <v>64.64</v>
      </c>
      <c r="Y185" s="812" t="str">
        <f t="shared" si="378"/>
        <v>FALSE</v>
      </c>
      <c r="Z185" s="812">
        <f t="shared" si="379"/>
        <v>91.34</v>
      </c>
      <c r="AA185" s="812">
        <f t="shared" si="380"/>
        <v>91.34</v>
      </c>
      <c r="AB185" s="1059">
        <f t="shared" si="409"/>
        <v>41.304900000000004</v>
      </c>
      <c r="AC185" s="538">
        <f>Sheet1!Y183*MGDtoCFS</f>
        <v>46.1006</v>
      </c>
      <c r="AD185" s="538">
        <f>Sheet1!Z183*MGDtoCFS</f>
        <v>89.138139999999993</v>
      </c>
      <c r="AE185" s="538">
        <f>Sheet1!AA183*MGDtoCFS</f>
        <v>52.721759999999996</v>
      </c>
      <c r="AF185" s="538">
        <f>Sheet1!AB183*MGDtoCFS</f>
        <v>88.581219999999988</v>
      </c>
      <c r="AG185" s="538">
        <f>Sheet1!L183*MGDtoCFS</f>
        <v>0</v>
      </c>
      <c r="AH185" s="521">
        <f t="shared" si="438"/>
        <v>0</v>
      </c>
      <c r="AI185" s="1059">
        <f t="shared" si="439"/>
        <v>0</v>
      </c>
      <c r="AJ185" s="535">
        <f t="shared" si="440"/>
        <v>0</v>
      </c>
      <c r="AK185" s="535">
        <f t="shared" si="441"/>
        <v>0</v>
      </c>
      <c r="AL185" s="535">
        <f>(VLOOKUP(Sheet1!DC183,hhdcap_wcm,4)-(((VLOOKUP(Sheet1!DC183,hhdcap_wcm,3)-Sheet1!DC183)/(VLOOKUP(Sheet1!DC183,hhdcap_wcm,3)-VLOOKUP(Sheet1!DC183,hhdcap_wcm,1)))*(VLOOKUP(Sheet1!DC183,hhdcap_wcm,4)-VLOOKUP(Sheet1!DC183,hhdcap_wcm,2))))</f>
        <v>49268.400000119233</v>
      </c>
      <c r="AM185" s="535">
        <f t="shared" si="442"/>
        <v>11.399999999994179</v>
      </c>
      <c r="AN185" s="1035">
        <f t="shared" si="443"/>
        <v>3260</v>
      </c>
      <c r="AO185" s="535">
        <f t="shared" si="444"/>
        <v>10001.68</v>
      </c>
      <c r="AP185" s="535">
        <f>Sheet1!BA183+Sheet1!BB183+Sheet1!BN183+CD185</f>
        <v>40.4</v>
      </c>
      <c r="AQ185" s="535">
        <f>Sheet1!BN183+(DO185*Sheet1!BN183)</f>
        <v>40.605652097595225</v>
      </c>
      <c r="AR185" s="535">
        <f>Sheet1!BA183+CD185</f>
        <v>0</v>
      </c>
      <c r="AS185" s="535">
        <f>Sheet1!BA183+Sheet1!BB183+CD185</f>
        <v>0</v>
      </c>
      <c r="AT185" s="649">
        <f>0</f>
        <v>0</v>
      </c>
      <c r="AU185" s="974">
        <f>BA185+Sheet1!EH183</f>
        <v>0</v>
      </c>
      <c r="AV185" s="535">
        <f>IF(OR(B185&gt;=GD185,B185&lt;GC185),0,15/36*K185-MAX(0,64.6-(137.6-(Sheet1!AA183+Sheet1!AB183))))</f>
        <v>0</v>
      </c>
      <c r="AW185" s="1029"/>
      <c r="AX185" s="649"/>
      <c r="AY185" s="649">
        <f t="shared" si="410"/>
        <v>0</v>
      </c>
      <c r="AZ185" s="649">
        <f t="shared" si="411"/>
        <v>0</v>
      </c>
      <c r="BA185" s="1059">
        <f t="shared" si="412"/>
        <v>0</v>
      </c>
      <c r="BB185" s="1019">
        <f t="shared" si="445"/>
        <v>1358.3333333333335</v>
      </c>
      <c r="BC185" s="1041">
        <f t="shared" si="413"/>
        <v>26.933333333333334</v>
      </c>
      <c r="BD185" s="1019">
        <f ca="1">IF(B185&gt;(Summary!$A$1-1),#N/A,BB185*MGtoAF)</f>
        <v>4167.3666666666668</v>
      </c>
      <c r="BE185" s="535">
        <f>Sheet1!BG183+Sheet1!BH183+Sheet1!BI183-BM185</f>
        <v>2.02</v>
      </c>
      <c r="BF185" s="535">
        <f t="shared" si="446"/>
        <v>2.0302826048797611</v>
      </c>
      <c r="BG185" s="535">
        <f>IF(Sheet1!EP183="FM",BM185,0)</f>
        <v>0</v>
      </c>
      <c r="BH185" s="535">
        <f t="shared" si="447"/>
        <v>0</v>
      </c>
      <c r="BI185" s="535">
        <f>IF(Sheet1!EP183="OTHER",BM185,0)</f>
        <v>0</v>
      </c>
      <c r="BJ185" s="535">
        <f t="shared" si="448"/>
        <v>0</v>
      </c>
      <c r="BK185" s="535">
        <f t="shared" si="449"/>
        <v>2.02</v>
      </c>
      <c r="BL185" s="535">
        <f t="shared" si="450"/>
        <v>2.0302826048797611</v>
      </c>
      <c r="BM185" s="535">
        <f>IF(OR(Sheet1!EP183="FM", Sheet1!EP183="OTHER"),SUM(Sheet1!BG183:'Sheet1'!BI183),0)</f>
        <v>0</v>
      </c>
      <c r="BN185" s="521">
        <f>IF(AND($B185&gt;=$FV185,$B185&lt;=$FW185),MAX(BF185,Sheet1!EI183,0),MAX(BF185-(7/36)*$K185,0))</f>
        <v>0</v>
      </c>
      <c r="BO185" s="535">
        <f t="shared" si="497"/>
        <v>0</v>
      </c>
      <c r="BP185" s="521">
        <f t="shared" si="452"/>
        <v>2.0302826048797611</v>
      </c>
      <c r="BQ185" s="521">
        <f>IF(AND($O185&gt;0,Sheet1!EM183=1),(1-($O185-Sheet1!$L183)/$O185)*BL185,0)</f>
        <v>0</v>
      </c>
      <c r="BR185" s="521">
        <f>IF(AND(Sheet1!$L183=0,Sheet1!$L182=0, Calculation!BK185&lt;Sheet1!$EI183-0.1,Sheet1!$EI183=Sheet1!$EI182,Sheet1!$EI183=Sheet1!$EI184),BL185-BQ185,BL185-BQ185)</f>
        <v>2.0302826048797611</v>
      </c>
      <c r="BS185" s="1035" t="str">
        <f t="shared" si="414"/>
        <v/>
      </c>
      <c r="BT185" s="1035">
        <f t="shared" si="415"/>
        <v>12.568888888888889</v>
      </c>
      <c r="BU185" s="535">
        <f t="shared" si="453"/>
        <v>633.88888888888891</v>
      </c>
      <c r="BV185" s="535"/>
      <c r="BW185" s="535">
        <f ca="1">IF(B185&gt;(Summary!$A$1-1),#N/A,BU185*MGtoAF)</f>
        <v>1944.7711111111112</v>
      </c>
      <c r="BX185" s="535">
        <f>Sheet1!BC183+Sheet1!BD183+Sheet1!BE183+Sheet1!BF183-CG185-CH185</f>
        <v>5.37</v>
      </c>
      <c r="BY185" s="535">
        <f t="shared" si="454"/>
        <v>5.3973354397051079</v>
      </c>
      <c r="BZ185" s="535">
        <f>IF(Sheet1!EQ183="FM",CH185,0)</f>
        <v>0</v>
      </c>
      <c r="CA185" s="535">
        <f t="shared" si="455"/>
        <v>0</v>
      </c>
      <c r="CB185" s="535">
        <f>IF(Sheet1!EQ183="OTHER",CH185,0)</f>
        <v>0</v>
      </c>
      <c r="CC185" s="535">
        <f t="shared" si="456"/>
        <v>0</v>
      </c>
      <c r="CD185" s="535">
        <f t="shared" si="457"/>
        <v>0</v>
      </c>
      <c r="CE185" s="535">
        <f t="shared" si="458"/>
        <v>5.37</v>
      </c>
      <c r="CF185" s="535">
        <f t="shared" si="459"/>
        <v>5.3973354397051079</v>
      </c>
      <c r="CG185" s="535">
        <f>IF(Sheet1!EQ183="CWA",SUM(Sheet1!BC183:'Sheet1'!BF183),0)</f>
        <v>0</v>
      </c>
      <c r="CH185" s="535">
        <f>IF(OR(Sheet1!EQ183="FM", Sheet1!EQ183="OTHER"),SUM(Sheet1!BC183:'Sheet1'!BF183),0)</f>
        <v>0</v>
      </c>
      <c r="CI185" s="521">
        <f>IF(AND($B185&gt;=$FV185,$B185&lt;=$FW185),MAX(CF185,Sheet1!EJ183,0),MAX(CF185-(7/36)*$K185,0))</f>
        <v>0</v>
      </c>
      <c r="CJ185" s="535">
        <f t="shared" si="499"/>
        <v>0</v>
      </c>
      <c r="CK185" s="521">
        <f t="shared" si="461"/>
        <v>5.3973354397051079</v>
      </c>
      <c r="CL185" s="521">
        <f>IF(AND($O185&gt;0,Sheet1!EN183=1),(1-($O185-Sheet1!$L183)/$O185)*CF185,0)</f>
        <v>0</v>
      </c>
      <c r="CM185" s="521">
        <f>IF(AND(Sheet1!$L183=0,Sheet1!$L182=0, Calculation!CE185&lt;Sheet1!EJ183-0.1,Sheet1!EJ183=Sheet1!EJ182,Sheet1!EJ183=Sheet1!EJ184),CF185-CL185,CF185-CL185)</f>
        <v>5.3973354397051079</v>
      </c>
      <c r="CN185" s="1040" t="str">
        <f t="shared" si="416"/>
        <v/>
      </c>
      <c r="CO185" s="1035">
        <f t="shared" si="417"/>
        <v>12.568888888888889</v>
      </c>
      <c r="CP185" s="535">
        <f t="shared" si="462"/>
        <v>633.88888888888891</v>
      </c>
      <c r="CQ185" s="535"/>
      <c r="CR185" s="535">
        <f ca="1">IF(B185&gt;(Summary!$A$1-1),#N/A,CP185*MGtoAF)</f>
        <v>1944.7711111111112</v>
      </c>
      <c r="CS185" s="535">
        <f>Sheet1!BK183+Sheet1!BL183+Sheet1!BM183-Sheet1!ER183-DA185</f>
        <v>9.18</v>
      </c>
      <c r="CT185" s="535">
        <f t="shared" si="463"/>
        <v>9.2267298578199046</v>
      </c>
      <c r="CU185" s="535">
        <f>IF(Sheet1!ER183="FM",DA185,0)</f>
        <v>0</v>
      </c>
      <c r="CV185" s="535">
        <f t="shared" si="464"/>
        <v>0</v>
      </c>
      <c r="CW185" s="535">
        <f>IF(Sheet1!ER183="OTHER",DA185,0)</f>
        <v>0</v>
      </c>
      <c r="CX185" s="535">
        <f t="shared" si="465"/>
        <v>0</v>
      </c>
      <c r="CY185" s="535">
        <f t="shared" si="466"/>
        <v>9.18</v>
      </c>
      <c r="CZ185" s="535">
        <f t="shared" si="467"/>
        <v>9.2267298578199046</v>
      </c>
      <c r="DA185" s="535">
        <f>IF(OR(Sheet1!ER183="FM", Sheet1!ER183="OTHER"),SUM(Sheet1!BK183:'Sheet1'!BM183),0)</f>
        <v>0</v>
      </c>
      <c r="DB185" s="1011">
        <f>IF(AND($B185&gt;=$FV185,$B185&lt;=$FW185),MAX($CT185,Sheet1!EK183,0),MAX($CT185-(7/36)*$K185,0))</f>
        <v>0</v>
      </c>
      <c r="DC185" s="1012">
        <f t="shared" si="498"/>
        <v>0</v>
      </c>
      <c r="DD185" s="1011">
        <f t="shared" si="469"/>
        <v>9.2267298578199046</v>
      </c>
      <c r="DE185" s="521">
        <f>IF(AND($O185&gt;0,Sheet1!EO183=1),(1-($O185-Sheet1!$L183)/$O185)*CZ185,0)</f>
        <v>0</v>
      </c>
      <c r="DF185" s="521">
        <f>IF(AND(Sheet1!$L183=0,Sheet1!$L182=0, Calculation!CY185&lt;Sheet1!$EK183-0.1,Sheet1!$EK183=Sheet1!$EK182,Sheet1!$EK183=Sheet1!$EK184),CZ185-DE185,CZ185-DE185)</f>
        <v>9.2267298578199046</v>
      </c>
      <c r="DG185" s="1040">
        <f t="shared" si="418"/>
        <v>12.568888888888889</v>
      </c>
      <c r="DH185" s="649">
        <f t="shared" si="470"/>
        <v>16.57</v>
      </c>
      <c r="DI185" s="535">
        <f t="shared" si="471"/>
        <v>633.88888888888891</v>
      </c>
      <c r="DJ185" s="649">
        <f t="shared" si="472"/>
        <v>16.654347902404773</v>
      </c>
      <c r="DK185" s="535">
        <f ca="1">IF(B185&gt;(Summary!$A$1-1),#N/A,DI185*MGtoAF)</f>
        <v>1944.7711111111112</v>
      </c>
      <c r="DL185" s="649">
        <f t="shared" si="473"/>
        <v>16.57</v>
      </c>
      <c r="DM185" s="535">
        <f t="shared" si="474"/>
        <v>56.97</v>
      </c>
      <c r="DN185" s="535">
        <f>Sheet1!AB183-DM185</f>
        <v>0.28999999999999915</v>
      </c>
      <c r="DO185" s="743">
        <f t="shared" si="475"/>
        <v>5.0903984553273508E-3</v>
      </c>
      <c r="DP185" s="535">
        <f>(VLOOKUP(Sheet1!DC183,hhdcap_wcm,4)-(((VLOOKUP(Sheet1!DC183,hhdcap_wcm,3)-Sheet1!DC183)/(VLOOKUP(Sheet1!DC183,hhdcap_wcm,3)-VLOOKUP(Sheet1!DC183,hhdcap_wcm,1)))*(VLOOKUP(Sheet1!DC183,hhdcap_wcm,4)-VLOOKUP(Sheet1!DC183,hhdcap_wcm,2))))</f>
        <v>49268.400000119233</v>
      </c>
      <c r="DQ185" s="535">
        <f t="shared" si="476"/>
        <v>11.399999999994179</v>
      </c>
      <c r="DR185" s="535">
        <f t="shared" si="477"/>
        <v>5.7488653555190004</v>
      </c>
      <c r="DS185" s="535">
        <f>Sheet1!EA183*AFtoMG</f>
        <v>0</v>
      </c>
      <c r="DT185" s="535">
        <f>Sheet1!EB183*AFtoMG</f>
        <v>0</v>
      </c>
      <c r="DU185" s="535">
        <f>Sheet1!EC183*AFtoMG</f>
        <v>0</v>
      </c>
      <c r="DV185" s="535">
        <f>Sheet1!ED183*AFtoMG</f>
        <v>0</v>
      </c>
      <c r="DW185" s="535">
        <f t="shared" si="478"/>
        <v>0</v>
      </c>
      <c r="DX185" s="535">
        <f t="shared" si="479"/>
        <v>0</v>
      </c>
      <c r="DY185" s="535">
        <f t="shared" si="480"/>
        <v>3260</v>
      </c>
      <c r="DZ185" s="535">
        <f t="shared" si="481"/>
        <v>10001.68</v>
      </c>
      <c r="EA185" s="535"/>
      <c r="EB185" s="521">
        <f>IF(OR(B185&lt;FV185,B185&gt;FW185),(MIN(BF185+BY185+CT185+MAX(Sheet1!AA183+AQ185-73,0),K185)),0)</f>
        <v>18.339999999999996</v>
      </c>
      <c r="EC185" s="535"/>
      <c r="ED185" s="535">
        <f t="shared" si="482"/>
        <v>16.654347902404773</v>
      </c>
      <c r="EE185" s="535"/>
      <c r="EF185" s="535">
        <f>Sheet1!EH183+Sheet1!EI183+Sheet1!EJ183+Sheet1!EK183</f>
        <v>18</v>
      </c>
      <c r="EG185" s="1019">
        <f t="shared" si="419"/>
        <v>27.846</v>
      </c>
      <c r="EH185" s="521">
        <f t="shared" si="483"/>
        <v>1.6856520975952218</v>
      </c>
      <c r="EI185" s="535">
        <f>IF(Sheet1!ET183=1,SUM('Calculations II'!AT185:BA185)+'Calculations II'!BC185+Sheet1!BV183+'Calculations II'!BE185+AP185,'Calculations II'!BK185)</f>
        <v>68.72174009759523</v>
      </c>
      <c r="EJ185" s="535">
        <f ca="1">EI185+'Calculations II'!D185+'Calculations II'!E185+'Calculations II'!O185</f>
        <v>74.993501631369014</v>
      </c>
      <c r="EK185" s="535"/>
      <c r="EL185" s="535"/>
      <c r="EM185" s="535">
        <f t="shared" si="484"/>
        <v>42909</v>
      </c>
      <c r="EN185" s="535">
        <f t="shared" si="485"/>
        <v>0</v>
      </c>
      <c r="EO185" s="535">
        <f t="shared" si="486"/>
        <v>0</v>
      </c>
      <c r="EP185" s="535">
        <v>0</v>
      </c>
      <c r="EQ185" s="535">
        <v>0</v>
      </c>
      <c r="ER185" s="535">
        <v>0</v>
      </c>
      <c r="ES185" s="521">
        <f t="shared" si="381"/>
        <v>-6.5126044976220498</v>
      </c>
      <c r="ET185" s="535">
        <f>-(VLOOKUP(Sheet1!BQ183,Lookup!$O$4:$Q$262,2)-VLOOKUP(Sheet1!BQ182,Lookup!$O$4:$Q$262,2))/1000000</f>
        <v>-3.3250959253478349</v>
      </c>
      <c r="EU185" s="535">
        <f>-(VLOOKUP(Sheet1!BR183,Lookup!$O$4:$Q$262,3)-VLOOKUP(Sheet1!BR182,Lookup!$O$4:$Q$262,3))/1000000</f>
        <v>-3.1875085722742154</v>
      </c>
      <c r="EV185" s="535"/>
      <c r="EW185" s="535"/>
      <c r="EX185" s="535"/>
      <c r="EY185" s="535">
        <f t="shared" si="434"/>
        <v>31.513141560539182</v>
      </c>
      <c r="EZ185" s="535">
        <f t="shared" si="435"/>
        <v>20.370485818060235</v>
      </c>
      <c r="FA185" s="535"/>
      <c r="FB185" s="535"/>
      <c r="FC185" s="535"/>
      <c r="FD185" s="567" t="e">
        <f t="shared" si="487"/>
        <v>#N/A</v>
      </c>
      <c r="FE185" s="567" t="e">
        <f t="shared" si="488"/>
        <v>#N/A</v>
      </c>
      <c r="FF185" s="568" t="e">
        <f t="shared" si="489"/>
        <v>#N/A</v>
      </c>
      <c r="FG185" s="569" t="s">
        <v>656</v>
      </c>
      <c r="FH185" s="569" t="s">
        <v>656</v>
      </c>
      <c r="FI185" s="567" t="e">
        <v>#N/A</v>
      </c>
      <c r="FJ185" s="567" t="e">
        <v>#N/A</v>
      </c>
      <c r="FK185" s="535">
        <v>23950</v>
      </c>
      <c r="FL185" s="1015">
        <v>0</v>
      </c>
      <c r="FM185" s="535"/>
      <c r="FN185" s="535"/>
      <c r="FO185" s="535">
        <f>O185+((Sheet1!CS183)*GPMtoMGD)</f>
        <v>91.34</v>
      </c>
      <c r="FP185" s="535">
        <f>IF(Sheet1!AA183+AQ185&lt;=Calculation!N185,AQ185,Calculation!N185-Sheet1!AA183)</f>
        <v>38.963200000000001</v>
      </c>
      <c r="FQ185" s="535">
        <f>(Sheet1!BP183+Sheet1!BO183)/694.4</f>
        <v>3.616359447004609</v>
      </c>
      <c r="FR185" s="541"/>
      <c r="FS185" s="541"/>
      <c r="FT185" s="541"/>
      <c r="FU185" s="541"/>
      <c r="FV185" s="1109">
        <f t="shared" si="382"/>
        <v>42918</v>
      </c>
      <c r="FW185" s="1109">
        <f t="shared" si="383"/>
        <v>43027</v>
      </c>
      <c r="FX185" s="541"/>
      <c r="FY185" s="541">
        <f>Sheet1!DA183-Sheet1!CZ183-Sheet1!AE183</f>
        <v>3.6970200000000091</v>
      </c>
      <c r="FZ185" s="535">
        <f t="shared" si="420"/>
        <v>5.5035746104958195E-3</v>
      </c>
      <c r="GA185" s="535"/>
      <c r="GB185" s="535" t="str">
        <f t="shared" si="384"/>
        <v>n</v>
      </c>
      <c r="GC185" s="539">
        <f t="shared" si="385"/>
        <v>42782</v>
      </c>
      <c r="GD185" s="1109">
        <f t="shared" si="386"/>
        <v>42904</v>
      </c>
      <c r="GE185" s="535">
        <f t="shared" si="404"/>
        <v>6520</v>
      </c>
      <c r="GF185" s="1109">
        <f t="shared" si="387"/>
        <v>42909</v>
      </c>
      <c r="GG185" s="535">
        <f t="shared" si="432"/>
        <v>3260</v>
      </c>
      <c r="GH185" s="539">
        <f t="shared" si="388"/>
        <v>43040</v>
      </c>
      <c r="GJ185" s="521">
        <f t="shared" si="389"/>
        <v>0</v>
      </c>
      <c r="GK185" s="535" t="str">
        <f t="shared" si="490"/>
        <v/>
      </c>
      <c r="GL185" s="535">
        <f t="shared" si="390"/>
        <v>0</v>
      </c>
      <c r="GM185" s="535" t="str">
        <f t="shared" si="391"/>
        <v/>
      </c>
      <c r="GN185" s="535">
        <f>IF(GK185="P",Lookup!$M$12,IF(GK185="PP",Lookup!$M$13,IF(GK185="PPP",Lookup!$M$14,IF(GK185="T",Lookup!$M$15,IF(GK185="TP",Lookup!$M$16,IF(GK185="TPP",Lookup!$M$17,IF(GK185="TPPP",Lookup!$M$18,0)))))))*GJ185</f>
        <v>0</v>
      </c>
      <c r="GO185" s="535">
        <f t="shared" si="392"/>
        <v>0</v>
      </c>
      <c r="GP185" s="535">
        <f t="shared" si="491"/>
        <v>4167.3666666666668</v>
      </c>
      <c r="GQ185" s="535">
        <f t="shared" si="433"/>
        <v>1358.3333333333335</v>
      </c>
      <c r="GR185" s="535"/>
      <c r="GS185" s="535">
        <f t="shared" si="393"/>
        <v>0</v>
      </c>
      <c r="GT185" s="535" t="str">
        <f t="shared" si="394"/>
        <v/>
      </c>
      <c r="GU185" s="535">
        <f>IF(GK185="P",Lookup!$N$12,IF(GK185="PP",Lookup!$N$13,IF(GK185="PPP",Lookup!$N$14,IF(GK185="T",Lookup!$N$15,IF(GK185="TP",Lookup!$N$16,IF(GK185="TPP",Lookup!$N$17,IF(GK185="TPPP",Lookup!$N$18,0)))))))*GJ185</f>
        <v>0</v>
      </c>
      <c r="GV185" s="535">
        <f t="shared" si="395"/>
        <v>0</v>
      </c>
      <c r="GW185" s="535">
        <f t="shared" si="492"/>
        <v>1944.7711111111112</v>
      </c>
      <c r="GX185" s="535">
        <f t="shared" si="400"/>
        <v>633.88888888888891</v>
      </c>
      <c r="GY185" s="535"/>
      <c r="GZ185" s="535">
        <f t="shared" si="396"/>
        <v>0</v>
      </c>
      <c r="HA185" s="535" t="str">
        <f t="shared" si="397"/>
        <v/>
      </c>
      <c r="HB185" s="535">
        <f>IF(GK185="P",Lookup!$N$12,IF(GK185="PP",Lookup!$N$13,IF(GK185="PPP",Lookup!$N$14,IF(GK185="T",Lookup!$N$15,IF(GK185="TP",Lookup!$N$16,IF(GK185="TPP",Lookup!$N$17,IF(GK185="TPPP",Lookup!$N$18,0)))))))*GJ185</f>
        <v>0</v>
      </c>
      <c r="HC185" s="521">
        <f t="shared" si="493"/>
        <v>0</v>
      </c>
      <c r="HD185" s="535">
        <f t="shared" si="494"/>
        <v>1944.7711111111112</v>
      </c>
      <c r="HE185" s="535">
        <f t="shared" si="401"/>
        <v>633.88888888888891</v>
      </c>
      <c r="HF185" s="535"/>
      <c r="HG185" s="535">
        <f t="shared" si="398"/>
        <v>0</v>
      </c>
      <c r="HH185" s="535" t="str">
        <f t="shared" si="399"/>
        <v/>
      </c>
      <c r="HI185" s="535">
        <f>IF(GK185="P",Lookup!$N$12,IF(GK185="PP",Lookup!$N$13,IF(GK185="PPP",Lookup!$N$14,IF(GK185="T",Lookup!$N$15,IF(GK185="TP",Lookup!$N$16,IF(GK185="TPP",Lookup!$N$17,IF(GK185="TPPP",Lookup!$N$18,0)))))))*GJ185</f>
        <v>0</v>
      </c>
      <c r="HJ185" s="521">
        <f t="shared" si="495"/>
        <v>0</v>
      </c>
      <c r="HK185" s="535">
        <f t="shared" si="496"/>
        <v>1944.7711111111112</v>
      </c>
      <c r="HL185" s="535">
        <f t="shared" si="402"/>
        <v>633.88888888888891</v>
      </c>
      <c r="HM185" s="535"/>
      <c r="HN185" s="541"/>
      <c r="HO185" s="541"/>
      <c r="HP185" s="541"/>
      <c r="HQ185" s="541">
        <f>IF(AND(B185&gt;=$FV$4,B185&lt;=$FW$4),MAX(110/1.02+$HQ$6+MIN(113/1.02,G185),IF($HV$6-(Sheet1!DA183-Sheet1!DB183)+MIN(113/1.02,G185)&lt;G185+FL185,$HV$6-(Sheet1!DA183-Sheet1!DB183)+MIN(113/1.02,G185),G185+FL185)),MIN(110/1.02+$HQ$6+113/1.02,G185))</f>
        <v>218.62745098039215</v>
      </c>
      <c r="HR185" s="541">
        <f t="shared" si="421"/>
        <v>223</v>
      </c>
      <c r="HS185" s="541">
        <f>HR185+(Sheet1!DA183-Sheet1!DB183)</f>
        <v>463</v>
      </c>
      <c r="HT185" s="541">
        <f t="shared" si="422"/>
        <v>41.304900000000004</v>
      </c>
      <c r="HU185" s="541">
        <f t="shared" si="423"/>
        <v>421.69510000000002</v>
      </c>
      <c r="HV185" s="541">
        <f t="shared" si="424"/>
        <v>0</v>
      </c>
      <c r="HW185" s="541" t="str">
        <f t="shared" si="425"/>
        <v/>
      </c>
      <c r="HX185" s="541">
        <f t="shared" si="426"/>
        <v>447.37254901960785</v>
      </c>
      <c r="HY185" s="541">
        <f>Sheet1!CZ183</f>
        <v>666</v>
      </c>
      <c r="HZ185" s="541">
        <f t="shared" si="427"/>
        <v>0</v>
      </c>
      <c r="IA185" s="541">
        <f t="shared" si="428"/>
        <v>41.304900000000004</v>
      </c>
      <c r="IB185" s="541">
        <f t="shared" si="429"/>
        <v>666</v>
      </c>
      <c r="IC185" s="1019" t="str">
        <f t="shared" si="430"/>
        <v/>
      </c>
      <c r="ID185" s="541">
        <f t="shared" si="431"/>
        <v>624.69510000000002</v>
      </c>
      <c r="IE185" s="541">
        <f>Sheet1!DB183</f>
        <v>571</v>
      </c>
      <c r="IF185" s="533">
        <f>Sheet1!DA183</f>
        <v>811</v>
      </c>
      <c r="IH185" s="541">
        <f>IF(AND($B185&gt;=$GC185,$B185&lt;=$GH185,$DR185&lt;0)+N("only adjusted when pool is drawn down during storage season"),Sheet1!$DB183+$DR185+N("Palmer minus all storage release"),Sheet1!$DB183)</f>
        <v>571</v>
      </c>
      <c r="II185" s="541">
        <f>IF(AND($B185&gt;=$GC185,$B185&lt;=$GH185,$DR185&lt;0)+N("only adjusted when pool is drawn down during storage season"),Sheet1!$DA183+$DR185+N("Auburn minus all storage release"),Sheet1!$DA183)</f>
        <v>811</v>
      </c>
    </row>
    <row r="186" spans="1:243" x14ac:dyDescent="0.25">
      <c r="A186" s="553" t="s">
        <v>9</v>
      </c>
      <c r="B186" s="531">
        <v>42910</v>
      </c>
      <c r="C186" s="536">
        <v>0</v>
      </c>
      <c r="D186" s="506">
        <f t="shared" si="371"/>
        <v>300</v>
      </c>
      <c r="E186" s="506">
        <f t="shared" si="372"/>
        <v>250</v>
      </c>
      <c r="F186" s="506">
        <v>250</v>
      </c>
      <c r="G186" s="535">
        <f>DR186+Sheet1!CZ184</f>
        <v>630.06051437163649</v>
      </c>
      <c r="H186" s="1074">
        <f t="shared" si="405"/>
        <v>238.06146298582581</v>
      </c>
      <c r="I186" s="534">
        <f>IF(Sheet1!DA184&gt;=E186,(Sheet1!DA184-E186+P186)*CFStoMGD,0)</f>
        <v>448.74874649600002</v>
      </c>
      <c r="J186" s="995">
        <f>IF(Sheet1!DB184&gt;=D186,(Sheet1!DB184-D186+P186)*CFStoMGD,0)</f>
        <v>263.87834649600001</v>
      </c>
      <c r="K186" s="818">
        <f t="shared" si="406"/>
        <v>64.64</v>
      </c>
      <c r="L186" s="535">
        <f>Sheet1!AA184+Sheet1!AB184-Sheet1!L184+(Sheet1!DA184-F186)*CFStoMGD-S186-T186-U186</f>
        <v>384.11040000000003</v>
      </c>
      <c r="M186" s="535">
        <f t="shared" si="436"/>
        <v>415.41653881962236</v>
      </c>
      <c r="N186" s="824">
        <f>IF(Sheet1!DA184&gt;=F186,MIN(113*CFStoMGD,MIN(MAX(L186,0),MAX(M186,0))),0)</f>
        <v>73.043199999999999</v>
      </c>
      <c r="O186" s="538">
        <f>Sheet1!AA184+Sheet1!AB184</f>
        <v>86.12</v>
      </c>
      <c r="P186" s="538">
        <f t="shared" si="437"/>
        <v>133.22764000000001</v>
      </c>
      <c r="Q186" s="812">
        <f t="shared" si="407"/>
        <v>21.480000000000004</v>
      </c>
      <c r="R186" s="812">
        <f t="shared" si="373"/>
        <v>18.26919888954987</v>
      </c>
      <c r="S186" s="812">
        <f t="shared" si="374"/>
        <v>64.64</v>
      </c>
      <c r="T186" s="812">
        <f t="shared" si="375"/>
        <v>0</v>
      </c>
      <c r="U186" s="812">
        <f t="shared" si="408"/>
        <v>0</v>
      </c>
      <c r="V186" s="812"/>
      <c r="W186" s="812">
        <f t="shared" si="376"/>
        <v>46.370801110450131</v>
      </c>
      <c r="X186" s="812">
        <f t="shared" si="377"/>
        <v>64.64</v>
      </c>
      <c r="Y186" s="812" t="str">
        <f t="shared" si="378"/>
        <v>FALSE</v>
      </c>
      <c r="Z186" s="812">
        <f t="shared" si="379"/>
        <v>86.12</v>
      </c>
      <c r="AA186" s="812">
        <f t="shared" si="380"/>
        <v>86.12</v>
      </c>
      <c r="AB186" s="1059">
        <f t="shared" si="409"/>
        <v>33.229560000000006</v>
      </c>
      <c r="AC186" s="538">
        <f>Sheet1!Y184*MGDtoCFS</f>
        <v>52.721759999999996</v>
      </c>
      <c r="AD186" s="538">
        <f>Sheet1!Z184*MGDtoCFS</f>
        <v>88.581219999999988</v>
      </c>
      <c r="AE186" s="538">
        <f>Sheet1!AA184*MGDtoCFS</f>
        <v>55.89311</v>
      </c>
      <c r="AF186" s="538">
        <f>Sheet1!AB184*MGDtoCFS</f>
        <v>77.334530000000001</v>
      </c>
      <c r="AG186" s="538">
        <f>Sheet1!L184*MGDtoCFS</f>
        <v>0</v>
      </c>
      <c r="AH186" s="521">
        <f t="shared" si="438"/>
        <v>0</v>
      </c>
      <c r="AI186" s="1059">
        <f t="shared" si="439"/>
        <v>0</v>
      </c>
      <c r="AJ186" s="535">
        <f t="shared" si="440"/>
        <v>0</v>
      </c>
      <c r="AK186" s="535">
        <f t="shared" si="441"/>
        <v>0</v>
      </c>
      <c r="AL186" s="535">
        <f>(VLOOKUP(Sheet1!DC184,hhdcap_wcm,4)-(((VLOOKUP(Sheet1!DC184,hhdcap_wcm,3)-Sheet1!DC184)/(VLOOKUP(Sheet1!DC184,hhdcap_wcm,3)-VLOOKUP(Sheet1!DC184,hhdcap_wcm,1)))*(VLOOKUP(Sheet1!DC184,hhdcap_wcm,4)-VLOOKUP(Sheet1!DC184,hhdcap_wcm,2))))</f>
        <v>49189.200000118188</v>
      </c>
      <c r="AM186" s="535">
        <f t="shared" si="442"/>
        <v>-79.200000001044828</v>
      </c>
      <c r="AN186" s="1035">
        <f t="shared" si="443"/>
        <v>3260</v>
      </c>
      <c r="AO186" s="535">
        <f t="shared" si="444"/>
        <v>10001.68</v>
      </c>
      <c r="AP186" s="535">
        <f>Sheet1!BA184+Sheet1!BB184+Sheet1!BN184+CD186</f>
        <v>32</v>
      </c>
      <c r="AQ186" s="535">
        <f>Sheet1!BN184+(DO186*Sheet1!BN184)</f>
        <v>31.720801110450129</v>
      </c>
      <c r="AR186" s="535">
        <f>Sheet1!BA184+CD186</f>
        <v>0</v>
      </c>
      <c r="AS186" s="535">
        <f>Sheet1!BA184+Sheet1!BB184+CD186</f>
        <v>0</v>
      </c>
      <c r="AT186" s="649">
        <f>0</f>
        <v>0</v>
      </c>
      <c r="AU186" s="974">
        <f>BA186+Sheet1!EH184</f>
        <v>0</v>
      </c>
      <c r="AV186" s="535">
        <f>IF(OR(B186&gt;=GD186,B186&lt;GC186),0,15/36*K186-MAX(0,64.6-(137.6-(Sheet1!AA184+Sheet1!AB184))))</f>
        <v>0</v>
      </c>
      <c r="AW186" s="1029"/>
      <c r="AX186" s="649"/>
      <c r="AY186" s="649">
        <f t="shared" si="410"/>
        <v>0</v>
      </c>
      <c r="AZ186" s="649">
        <f t="shared" si="411"/>
        <v>0</v>
      </c>
      <c r="BA186" s="1059">
        <f t="shared" si="412"/>
        <v>0</v>
      </c>
      <c r="BB186" s="1019">
        <f t="shared" si="445"/>
        <v>1358.3333333333335</v>
      </c>
      <c r="BC186" s="1041">
        <f t="shared" si="413"/>
        <v>26.933333333333334</v>
      </c>
      <c r="BD186" s="1019">
        <f ca="1">IF(B186&gt;(Summary!$A$1-1),#N/A,BB186*MGtoAF)</f>
        <v>4167.3666666666668</v>
      </c>
      <c r="BE186" s="535">
        <f>Sheet1!BG184+Sheet1!BH184+Sheet1!BI184-BM186</f>
        <v>2.02</v>
      </c>
      <c r="BF186" s="535">
        <f t="shared" si="446"/>
        <v>2.0023755700971644</v>
      </c>
      <c r="BG186" s="535">
        <f>IF(Sheet1!EP184="FM",BM186,0)</f>
        <v>0</v>
      </c>
      <c r="BH186" s="535">
        <f t="shared" si="447"/>
        <v>0</v>
      </c>
      <c r="BI186" s="535">
        <f>IF(Sheet1!EP184="OTHER",BM186,0)</f>
        <v>0</v>
      </c>
      <c r="BJ186" s="535">
        <f t="shared" si="448"/>
        <v>0</v>
      </c>
      <c r="BK186" s="535">
        <f t="shared" si="449"/>
        <v>2.02</v>
      </c>
      <c r="BL186" s="535">
        <f t="shared" si="450"/>
        <v>2.0023755700971644</v>
      </c>
      <c r="BM186" s="535">
        <f>IF(OR(Sheet1!EP184="FM", Sheet1!EP184="OTHER"),SUM(Sheet1!BG184:'Sheet1'!BI184),0)</f>
        <v>0</v>
      </c>
      <c r="BN186" s="521">
        <f>IF(AND($B186&gt;=$FV186,$B186&lt;=$FW186),MAX(BF186,Sheet1!EI184,0),MAX(BF186-(7/36)*$K186,0))</f>
        <v>0</v>
      </c>
      <c r="BO186" s="535">
        <f t="shared" si="497"/>
        <v>0</v>
      </c>
      <c r="BP186" s="521">
        <f t="shared" si="452"/>
        <v>2.0023755700971644</v>
      </c>
      <c r="BQ186" s="521">
        <f>IF(AND($O186&gt;0,Sheet1!EM184=1),(1-($O186-Sheet1!$L184)/$O186)*BL186,0)</f>
        <v>0</v>
      </c>
      <c r="BR186" s="521">
        <f>IF(AND(Sheet1!$L184=0,Sheet1!$L183=0, Calculation!BK186&lt;Sheet1!$EI184-0.1,Sheet1!$EI184=Sheet1!$EI183,Sheet1!$EI184=Sheet1!$EI185),BL186-BQ186,BL186-BQ186)</f>
        <v>2.0023755700971644</v>
      </c>
      <c r="BS186" s="1035" t="str">
        <f t="shared" si="414"/>
        <v/>
      </c>
      <c r="BT186" s="1035">
        <f t="shared" si="415"/>
        <v>12.568888888888889</v>
      </c>
      <c r="BU186" s="535">
        <f t="shared" si="453"/>
        <v>633.88888888888891</v>
      </c>
      <c r="BV186" s="535"/>
      <c r="BW186" s="535">
        <f ca="1">IF(B186&gt;(Summary!$A$1-1),#N/A,BU186*MGtoAF)</f>
        <v>1944.7711111111112</v>
      </c>
      <c r="BX186" s="535">
        <f>Sheet1!BC184+Sheet1!BD184+Sheet1!BE184+Sheet1!BF184-CG186-CH186</f>
        <v>6.91</v>
      </c>
      <c r="BY186" s="535">
        <f t="shared" si="454"/>
        <v>6.8497104897878254</v>
      </c>
      <c r="BZ186" s="535">
        <f>IF(Sheet1!EQ184="FM",CH186,0)</f>
        <v>0</v>
      </c>
      <c r="CA186" s="535">
        <f t="shared" si="455"/>
        <v>0</v>
      </c>
      <c r="CB186" s="535">
        <f>IF(Sheet1!EQ184="OTHER",CH186,0)</f>
        <v>0</v>
      </c>
      <c r="CC186" s="535">
        <f t="shared" si="456"/>
        <v>0</v>
      </c>
      <c r="CD186" s="535">
        <f t="shared" si="457"/>
        <v>0</v>
      </c>
      <c r="CE186" s="535">
        <f t="shared" si="458"/>
        <v>6.91</v>
      </c>
      <c r="CF186" s="535">
        <f t="shared" si="459"/>
        <v>6.8497104897878254</v>
      </c>
      <c r="CG186" s="535">
        <f>IF(Sheet1!EQ184="CWA",SUM(Sheet1!BC184:'Sheet1'!BF184),0)</f>
        <v>0</v>
      </c>
      <c r="CH186" s="535">
        <f>IF(OR(Sheet1!EQ184="FM", Sheet1!EQ184="OTHER"),SUM(Sheet1!BC184:'Sheet1'!BF184),0)</f>
        <v>0</v>
      </c>
      <c r="CI186" s="521">
        <f>IF(AND($B186&gt;=$FV186,$B186&lt;=$FW186),MAX(CF186,Sheet1!EJ184,0),MAX(CF186-(7/36)*$K186,0))</f>
        <v>0</v>
      </c>
      <c r="CJ186" s="535">
        <f t="shared" si="499"/>
        <v>0</v>
      </c>
      <c r="CK186" s="521">
        <f t="shared" si="461"/>
        <v>6.8497104897878254</v>
      </c>
      <c r="CL186" s="521">
        <f>IF(AND($O186&gt;0,Sheet1!EN184=1),(1-($O186-Sheet1!$L184)/$O186)*CF186,0)</f>
        <v>0</v>
      </c>
      <c r="CM186" s="521">
        <f>IF(AND(Sheet1!$L184=0,Sheet1!$L183=0, Calculation!CE186&lt;Sheet1!EJ184-0.1,Sheet1!EJ184=Sheet1!EJ183,Sheet1!EJ184=Sheet1!EJ185),CF186-CL186,CF186-CL186)</f>
        <v>6.8497104897878254</v>
      </c>
      <c r="CN186" s="1040" t="str">
        <f t="shared" si="416"/>
        <v/>
      </c>
      <c r="CO186" s="1035">
        <f t="shared" si="417"/>
        <v>12.568888888888889</v>
      </c>
      <c r="CP186" s="535">
        <f t="shared" si="462"/>
        <v>633.88888888888891</v>
      </c>
      <c r="CQ186" s="535"/>
      <c r="CR186" s="535">
        <f ca="1">IF(B186&gt;(Summary!$A$1-1),#N/A,CP186*MGtoAF)</f>
        <v>1944.7711111111112</v>
      </c>
      <c r="CS186" s="535">
        <f>Sheet1!BK184+Sheet1!BL184+Sheet1!BM184-Sheet1!ER184-DA186</f>
        <v>9.5</v>
      </c>
      <c r="CT186" s="535">
        <f t="shared" si="463"/>
        <v>9.4171128296648821</v>
      </c>
      <c r="CU186" s="535">
        <f>IF(Sheet1!ER184="FM",DA186,0)</f>
        <v>0</v>
      </c>
      <c r="CV186" s="535">
        <f t="shared" si="464"/>
        <v>0</v>
      </c>
      <c r="CW186" s="535">
        <f>IF(Sheet1!ER184="OTHER",DA186,0)</f>
        <v>0</v>
      </c>
      <c r="CX186" s="535">
        <f t="shared" si="465"/>
        <v>0</v>
      </c>
      <c r="CY186" s="535">
        <f t="shared" si="466"/>
        <v>9.5</v>
      </c>
      <c r="CZ186" s="535">
        <f t="shared" si="467"/>
        <v>9.4171128296648821</v>
      </c>
      <c r="DA186" s="535">
        <f>IF(OR(Sheet1!ER184="FM", Sheet1!ER184="OTHER"),SUM(Sheet1!BK184:'Sheet1'!BM184),0)</f>
        <v>0</v>
      </c>
      <c r="DB186" s="1011">
        <f>IF(AND($B186&gt;=$FV186,$B186&lt;=$FW186),MAX($CT186,Sheet1!EK184,0),MAX($CT186-(7/36)*$K186,0))</f>
        <v>0</v>
      </c>
      <c r="DC186" s="1012">
        <f t="shared" si="498"/>
        <v>0</v>
      </c>
      <c r="DD186" s="1011">
        <f t="shared" si="469"/>
        <v>9.4171128296648821</v>
      </c>
      <c r="DE186" s="521">
        <f>IF(AND($O186&gt;0,Sheet1!EO184=1),(1-($O186-Sheet1!$L184)/$O186)*CZ186,0)</f>
        <v>0</v>
      </c>
      <c r="DF186" s="521">
        <f>IF(AND(Sheet1!$L184=0,Sheet1!$L183=0, Calculation!CY186&lt;Sheet1!$EK184-0.1,Sheet1!$EK184=Sheet1!$EK183,Sheet1!$EK184=Sheet1!$EK185),CZ186-DE186,CZ186-DE186)</f>
        <v>9.4171128296648821</v>
      </c>
      <c r="DG186" s="1040">
        <f t="shared" si="418"/>
        <v>12.568888888888889</v>
      </c>
      <c r="DH186" s="649">
        <f t="shared" si="470"/>
        <v>18.43</v>
      </c>
      <c r="DI186" s="535">
        <f t="shared" si="471"/>
        <v>633.88888888888891</v>
      </c>
      <c r="DJ186" s="649">
        <f t="shared" si="472"/>
        <v>18.26919888954987</v>
      </c>
      <c r="DK186" s="535">
        <f ca="1">IF(B186&gt;(Summary!$A$1-1),#N/A,DI186*MGtoAF)</f>
        <v>1944.7711111111112</v>
      </c>
      <c r="DL186" s="649">
        <f t="shared" si="473"/>
        <v>18.43</v>
      </c>
      <c r="DM186" s="535">
        <f t="shared" si="474"/>
        <v>50.43</v>
      </c>
      <c r="DN186" s="535">
        <f>Sheet1!AB184-DM186</f>
        <v>-0.43999999999999773</v>
      </c>
      <c r="DO186" s="743">
        <f t="shared" si="475"/>
        <v>-8.7249652984334267E-3</v>
      </c>
      <c r="DP186" s="535">
        <f>(VLOOKUP(Sheet1!DC184,hhdcap_wcm,4)-(((VLOOKUP(Sheet1!DC184,hhdcap_wcm,3)-Sheet1!DC184)/(VLOOKUP(Sheet1!DC184,hhdcap_wcm,3)-VLOOKUP(Sheet1!DC184,hhdcap_wcm,1)))*(VLOOKUP(Sheet1!DC184,hhdcap_wcm,4)-VLOOKUP(Sheet1!DC184,hhdcap_wcm,2))))</f>
        <v>49189.200000118188</v>
      </c>
      <c r="DQ186" s="535">
        <f t="shared" si="476"/>
        <v>-79.200000001044828</v>
      </c>
      <c r="DR186" s="535">
        <f t="shared" si="477"/>
        <v>-39.939485628363499</v>
      </c>
      <c r="DS186" s="535">
        <f>Sheet1!EA184*AFtoMG</f>
        <v>0</v>
      </c>
      <c r="DT186" s="535">
        <f>Sheet1!EB184*AFtoMG</f>
        <v>0</v>
      </c>
      <c r="DU186" s="535">
        <f>Sheet1!EC184*AFtoMG</f>
        <v>0</v>
      </c>
      <c r="DV186" s="535">
        <f>Sheet1!ED184*AFtoMG</f>
        <v>0</v>
      </c>
      <c r="DW186" s="535">
        <f t="shared" si="478"/>
        <v>0</v>
      </c>
      <c r="DX186" s="535">
        <f t="shared" si="479"/>
        <v>0</v>
      </c>
      <c r="DY186" s="535">
        <f t="shared" si="480"/>
        <v>3260</v>
      </c>
      <c r="DZ186" s="535">
        <f t="shared" si="481"/>
        <v>10001.68</v>
      </c>
      <c r="EA186" s="535"/>
      <c r="EB186" s="521">
        <f>IF(OR(B186&lt;FV186,B186&gt;FW186),(MIN(BF186+BY186+CT186+MAX(Sheet1!AA184+AQ186-73,0),K186)),0)</f>
        <v>18.26919888954987</v>
      </c>
      <c r="EC186" s="535"/>
      <c r="ED186" s="535">
        <f t="shared" si="482"/>
        <v>18.269198889549873</v>
      </c>
      <c r="EE186" s="535"/>
      <c r="EF186" s="535">
        <f>Sheet1!EH184+Sheet1!EI184+Sheet1!EJ184+Sheet1!EK184</f>
        <v>18</v>
      </c>
      <c r="EG186" s="1019">
        <f t="shared" si="419"/>
        <v>27.846</v>
      </c>
      <c r="EH186" s="521">
        <f t="shared" si="483"/>
        <v>0</v>
      </c>
      <c r="EI186" s="535">
        <f>IF(Sheet1!ET184=1,SUM('Calculations II'!AT186:BA186)+'Calculations II'!BC186+Sheet1!BV184+'Calculations II'!BE186+AP186,'Calculations II'!BK186)</f>
        <v>70.483545110450123</v>
      </c>
      <c r="EJ186" s="535">
        <f ca="1">EI186+'Calculations II'!D186+'Calculations II'!E186+'Calculations II'!O186</f>
        <v>66.216174198230107</v>
      </c>
      <c r="EK186" s="535"/>
      <c r="EL186" s="535"/>
      <c r="EM186" s="535">
        <f t="shared" si="484"/>
        <v>42910</v>
      </c>
      <c r="EN186" s="535">
        <f t="shared" si="485"/>
        <v>0</v>
      </c>
      <c r="EO186" s="535">
        <f t="shared" si="486"/>
        <v>0</v>
      </c>
      <c r="EP186" s="535">
        <v>0</v>
      </c>
      <c r="EQ186" s="535">
        <v>0</v>
      </c>
      <c r="ER186" s="535">
        <v>0</v>
      </c>
      <c r="ES186" s="521">
        <f t="shared" si="381"/>
        <v>3.1878931833767146</v>
      </c>
      <c r="ET186" s="535">
        <f>-(VLOOKUP(Sheet1!BQ184,Lookup!$O$4:$Q$262,2)-VLOOKUP(Sheet1!BQ183,Lookup!$O$4:$Q$262,2))/1000000</f>
        <v>1.6630094587513171</v>
      </c>
      <c r="EU186" s="535">
        <f>-(VLOOKUP(Sheet1!BR184,Lookup!$O$4:$Q$262,3)-VLOOKUP(Sheet1!BR183,Lookup!$O$4:$Q$262,3))/1000000</f>
        <v>1.5248837246253975</v>
      </c>
      <c r="EV186" s="535"/>
      <c r="EW186" s="535"/>
      <c r="EX186" s="535"/>
      <c r="EY186" s="535">
        <f t="shared" si="434"/>
        <v>-11.677034946229853</v>
      </c>
      <c r="EZ186" s="535">
        <f t="shared" si="435"/>
        <v>-7.5481803143050117</v>
      </c>
      <c r="FA186" s="535"/>
      <c r="FB186" s="535"/>
      <c r="FC186" s="535"/>
      <c r="FD186" s="567" t="e">
        <f t="shared" si="487"/>
        <v>#N/A</v>
      </c>
      <c r="FE186" s="567" t="e">
        <f t="shared" si="488"/>
        <v>#N/A</v>
      </c>
      <c r="FF186" s="568" t="e">
        <f t="shared" si="489"/>
        <v>#N/A</v>
      </c>
      <c r="FG186" s="569" t="s">
        <v>656</v>
      </c>
      <c r="FH186" s="569" t="s">
        <v>656</v>
      </c>
      <c r="FI186" s="567" t="e">
        <v>#N/A</v>
      </c>
      <c r="FJ186" s="567" t="e">
        <v>#N/A</v>
      </c>
      <c r="FK186" s="535">
        <v>23900</v>
      </c>
      <c r="FL186" s="1015">
        <v>0</v>
      </c>
      <c r="FM186" s="535"/>
      <c r="FN186" s="535"/>
      <c r="FO186" s="535">
        <f>O186+((Sheet1!CS184)*GPMtoMGD)</f>
        <v>86.12</v>
      </c>
      <c r="FP186" s="535">
        <f>IF(Sheet1!AA184+AQ186&lt;=Calculation!N186,AQ186,Calculation!N186-Sheet1!AA184)</f>
        <v>31.720801110450129</v>
      </c>
      <c r="FQ186" s="535">
        <f>(Sheet1!BP184+Sheet1!BO184)/694.4</f>
        <v>3.45866935483871</v>
      </c>
      <c r="FR186" s="541"/>
      <c r="FS186" s="541"/>
      <c r="FT186" s="541"/>
      <c r="FU186" s="541"/>
      <c r="FV186" s="1109">
        <f t="shared" si="382"/>
        <v>42918</v>
      </c>
      <c r="FW186" s="1109">
        <f t="shared" si="383"/>
        <v>43027</v>
      </c>
      <c r="FX186" s="541"/>
      <c r="FY186" s="541">
        <f>Sheet1!DA184-Sheet1!CZ184-Sheet1!AE184</f>
        <v>7.7723599999999919</v>
      </c>
      <c r="FZ186" s="535">
        <f t="shared" si="420"/>
        <v>1.23358944461889E-2</v>
      </c>
      <c r="GA186" s="535"/>
      <c r="GB186" s="535" t="str">
        <f t="shared" si="384"/>
        <v>n</v>
      </c>
      <c r="GC186" s="539">
        <f t="shared" si="385"/>
        <v>42782</v>
      </c>
      <c r="GD186" s="1109">
        <f t="shared" si="386"/>
        <v>42904</v>
      </c>
      <c r="GE186" s="535">
        <f t="shared" si="404"/>
        <v>6520</v>
      </c>
      <c r="GF186" s="1109">
        <f t="shared" si="387"/>
        <v>42909</v>
      </c>
      <c r="GG186" s="535">
        <f t="shared" si="432"/>
        <v>3260</v>
      </c>
      <c r="GH186" s="539">
        <f t="shared" si="388"/>
        <v>43040</v>
      </c>
      <c r="GJ186" s="521">
        <f t="shared" si="389"/>
        <v>0</v>
      </c>
      <c r="GK186" s="535" t="str">
        <f t="shared" si="490"/>
        <v/>
      </c>
      <c r="GL186" s="535">
        <f t="shared" si="390"/>
        <v>0</v>
      </c>
      <c r="GM186" s="535" t="str">
        <f t="shared" si="391"/>
        <v/>
      </c>
      <c r="GN186" s="535">
        <f>IF(GK186="P",Lookup!$M$12,IF(GK186="PP",Lookup!$M$13,IF(GK186="PPP",Lookup!$M$14,IF(GK186="T",Lookup!$M$15,IF(GK186="TP",Lookup!$M$16,IF(GK186="TPP",Lookup!$M$17,IF(GK186="TPPP",Lookup!$M$18,0)))))))*GJ186</f>
        <v>0</v>
      </c>
      <c r="GO186" s="535">
        <f t="shared" si="392"/>
        <v>0</v>
      </c>
      <c r="GP186" s="535">
        <f t="shared" si="491"/>
        <v>4167.3666666666668</v>
      </c>
      <c r="GQ186" s="535">
        <f t="shared" si="433"/>
        <v>1358.3333333333335</v>
      </c>
      <c r="GR186" s="535"/>
      <c r="GS186" s="535">
        <f t="shared" si="393"/>
        <v>0</v>
      </c>
      <c r="GT186" s="535" t="str">
        <f t="shared" si="394"/>
        <v/>
      </c>
      <c r="GU186" s="535">
        <f>IF(GK186="P",Lookup!$N$12,IF(GK186="PP",Lookup!$N$13,IF(GK186="PPP",Lookup!$N$14,IF(GK186="T",Lookup!$N$15,IF(GK186="TP",Lookup!$N$16,IF(GK186="TPP",Lookup!$N$17,IF(GK186="TPPP",Lookup!$N$18,0)))))))*GJ186</f>
        <v>0</v>
      </c>
      <c r="GV186" s="535">
        <f t="shared" si="395"/>
        <v>0</v>
      </c>
      <c r="GW186" s="535">
        <f t="shared" si="492"/>
        <v>1944.7711111111112</v>
      </c>
      <c r="GX186" s="535">
        <f t="shared" si="400"/>
        <v>633.88888888888891</v>
      </c>
      <c r="GY186" s="535"/>
      <c r="GZ186" s="535">
        <f t="shared" si="396"/>
        <v>0</v>
      </c>
      <c r="HA186" s="535" t="str">
        <f t="shared" si="397"/>
        <v/>
      </c>
      <c r="HB186" s="535">
        <f>IF(GK186="P",Lookup!$N$12,IF(GK186="PP",Lookup!$N$13,IF(GK186="PPP",Lookup!$N$14,IF(GK186="T",Lookup!$N$15,IF(GK186="TP",Lookup!$N$16,IF(GK186="TPP",Lookup!$N$17,IF(GK186="TPPP",Lookup!$N$18,0)))))))*GJ186</f>
        <v>0</v>
      </c>
      <c r="HC186" s="521">
        <f t="shared" si="493"/>
        <v>0</v>
      </c>
      <c r="HD186" s="535">
        <f t="shared" si="494"/>
        <v>1944.7711111111112</v>
      </c>
      <c r="HE186" s="535">
        <f t="shared" si="401"/>
        <v>633.88888888888891</v>
      </c>
      <c r="HF186" s="535"/>
      <c r="HG186" s="535">
        <f t="shared" si="398"/>
        <v>0</v>
      </c>
      <c r="HH186" s="535" t="str">
        <f t="shared" si="399"/>
        <v/>
      </c>
      <c r="HI186" s="535">
        <f>IF(GK186="P",Lookup!$N$12,IF(GK186="PP",Lookup!$N$13,IF(GK186="PPP",Lookup!$N$14,IF(GK186="T",Lookup!$N$15,IF(GK186="TP",Lookup!$N$16,IF(GK186="TPP",Lookup!$N$17,IF(GK186="TPPP",Lookup!$N$18,0)))))))*GJ186</f>
        <v>0</v>
      </c>
      <c r="HJ186" s="521">
        <f t="shared" si="495"/>
        <v>0</v>
      </c>
      <c r="HK186" s="535">
        <f t="shared" si="496"/>
        <v>1944.7711111111112</v>
      </c>
      <c r="HL186" s="535">
        <f t="shared" si="402"/>
        <v>633.88888888888891</v>
      </c>
      <c r="HM186" s="535"/>
      <c r="HN186" s="541"/>
      <c r="HO186" s="541"/>
      <c r="HP186" s="541"/>
      <c r="HQ186" s="541">
        <f>IF(AND(B186&gt;=$FV$4,B186&lt;=$FW$4),MAX(110/1.02+$HQ$6+MIN(113/1.02,G186),IF($HV$6-(Sheet1!DA184-Sheet1!DB184)+MIN(113/1.02,G186)&lt;G186+FL186,$HV$6-(Sheet1!DA184-Sheet1!DB184)+MIN(113/1.02,G186),G186+FL186)),MIN(110/1.02+$HQ$6+113/1.02,G186))</f>
        <v>218.62745098039215</v>
      </c>
      <c r="HR186" s="541">
        <f t="shared" si="421"/>
        <v>223</v>
      </c>
      <c r="HS186" s="541">
        <f>HR186+(Sheet1!DA184-Sheet1!DB184)</f>
        <v>459</v>
      </c>
      <c r="HT186" s="541">
        <f t="shared" si="422"/>
        <v>33.229560000000006</v>
      </c>
      <c r="HU186" s="541">
        <f t="shared" si="423"/>
        <v>425.77044000000001</v>
      </c>
      <c r="HV186" s="541">
        <f t="shared" si="424"/>
        <v>0</v>
      </c>
      <c r="HW186" s="541" t="str">
        <f t="shared" si="425"/>
        <v/>
      </c>
      <c r="HX186" s="541">
        <f t="shared" si="426"/>
        <v>451.37254901960785</v>
      </c>
      <c r="HY186" s="541">
        <f>Sheet1!CZ184</f>
        <v>670</v>
      </c>
      <c r="HZ186" s="541">
        <f t="shared" si="427"/>
        <v>0</v>
      </c>
      <c r="IA186" s="541">
        <f t="shared" si="428"/>
        <v>33.229560000000006</v>
      </c>
      <c r="IB186" s="541">
        <f t="shared" si="429"/>
        <v>670</v>
      </c>
      <c r="IC186" s="1019" t="str">
        <f t="shared" si="430"/>
        <v/>
      </c>
      <c r="ID186" s="541">
        <f t="shared" si="431"/>
        <v>636.77044000000001</v>
      </c>
      <c r="IE186" s="541">
        <f>Sheet1!DB184</f>
        <v>575</v>
      </c>
      <c r="IF186" s="533">
        <f>Sheet1!DA184</f>
        <v>811</v>
      </c>
      <c r="IH186" s="541">
        <f>IF(AND($B186&gt;=$GC186,$B186&lt;=$GH186,$DR186&lt;0)+N("only adjusted when pool is drawn down during storage season"),Sheet1!$DB184+$DR186+N("Palmer minus all storage release"),Sheet1!$DB184)</f>
        <v>535.06051437163649</v>
      </c>
      <c r="II186" s="541">
        <f>IF(AND($B186&gt;=$GC186,$B186&lt;=$GH186,$DR186&lt;0)+N("only adjusted when pool is drawn down during storage season"),Sheet1!$DA184+$DR186+N("Auburn minus all storage release"),Sheet1!$DA184)</f>
        <v>771.06051437163649</v>
      </c>
    </row>
    <row r="187" spans="1:243" x14ac:dyDescent="0.25">
      <c r="A187" s="553" t="s">
        <v>3</v>
      </c>
      <c r="B187" s="531">
        <v>42911</v>
      </c>
      <c r="C187" s="536">
        <v>0</v>
      </c>
      <c r="D187" s="506">
        <f t="shared" si="371"/>
        <v>300</v>
      </c>
      <c r="E187" s="506">
        <f t="shared" si="372"/>
        <v>250</v>
      </c>
      <c r="F187" s="506">
        <v>250</v>
      </c>
      <c r="G187" s="535">
        <f>DR187+Sheet1!CZ185</f>
        <v>590.72617246530535</v>
      </c>
      <c r="H187" s="1074">
        <f t="shared" si="405"/>
        <v>213.22008351357334</v>
      </c>
      <c r="I187" s="534">
        <f>IF(Sheet1!DA185&gt;=E187,(Sheet1!DA185-E187+P187)*CFStoMGD,0)</f>
        <v>439.63708563199998</v>
      </c>
      <c r="J187" s="995">
        <f>IF(Sheet1!DB185&gt;=D187,(Sheet1!DB185-D187+P187)*CFStoMGD,0)</f>
        <v>264.46268563199999</v>
      </c>
      <c r="K187" s="818">
        <f t="shared" si="406"/>
        <v>64.64</v>
      </c>
      <c r="L187" s="535">
        <f>Sheet1!AA185+Sheet1!AB185-Sheet1!L185+(Sheet1!DA185-F187)*CFStoMGD-S187-T187-U187</f>
        <v>374.99879999999996</v>
      </c>
      <c r="M187" s="535">
        <f t="shared" si="436"/>
        <v>389.48230583920486</v>
      </c>
      <c r="N187" s="824">
        <f>IF(Sheet1!DA185&gt;=F187,MIN(113*CFStoMGD,MIN(MAX(L187,0),MAX(M187,0))),0)</f>
        <v>73.043199999999999</v>
      </c>
      <c r="O187" s="538">
        <f>Sheet1!AA185+Sheet1!AB185</f>
        <v>89.289999999999992</v>
      </c>
      <c r="P187" s="538">
        <f t="shared" si="437"/>
        <v>138.13162999999997</v>
      </c>
      <c r="Q187" s="812">
        <f t="shared" si="407"/>
        <v>24.649999999999991</v>
      </c>
      <c r="R187" s="812">
        <f t="shared" si="373"/>
        <v>18</v>
      </c>
      <c r="S187" s="812">
        <f t="shared" si="374"/>
        <v>64.64</v>
      </c>
      <c r="T187" s="812">
        <f t="shared" si="375"/>
        <v>0</v>
      </c>
      <c r="U187" s="812">
        <f t="shared" si="408"/>
        <v>0</v>
      </c>
      <c r="V187" s="812"/>
      <c r="W187" s="812">
        <f t="shared" si="376"/>
        <v>46.650471622701843</v>
      </c>
      <c r="X187" s="812">
        <f t="shared" si="377"/>
        <v>64.64</v>
      </c>
      <c r="Y187" s="812" t="str">
        <f t="shared" si="378"/>
        <v>FALSE</v>
      </c>
      <c r="Z187" s="812">
        <f t="shared" si="379"/>
        <v>89.289999999999992</v>
      </c>
      <c r="AA187" s="812">
        <f t="shared" si="380"/>
        <v>89.289999999999992</v>
      </c>
      <c r="AB187" s="1059">
        <f t="shared" si="409"/>
        <v>38.133549999999985</v>
      </c>
      <c r="AC187" s="538">
        <f>Sheet1!Y185*MGDtoCFS</f>
        <v>55.89311</v>
      </c>
      <c r="AD187" s="538">
        <f>Sheet1!Z185*MGDtoCFS</f>
        <v>77.10248</v>
      </c>
      <c r="AE187" s="538">
        <f>Sheet1!AA185*MGDtoCFS</f>
        <v>60.936329999999998</v>
      </c>
      <c r="AF187" s="538">
        <f>Sheet1!AB185*MGDtoCFS</f>
        <v>77.195299999999989</v>
      </c>
      <c r="AG187" s="538">
        <f>Sheet1!L185*MGDtoCFS</f>
        <v>0</v>
      </c>
      <c r="AH187" s="521">
        <f t="shared" si="438"/>
        <v>0</v>
      </c>
      <c r="AI187" s="1059">
        <f t="shared" si="439"/>
        <v>0</v>
      </c>
      <c r="AJ187" s="535">
        <f t="shared" si="440"/>
        <v>0</v>
      </c>
      <c r="AK187" s="535">
        <f t="shared" si="441"/>
        <v>0</v>
      </c>
      <c r="AL187" s="535">
        <f>(VLOOKUP(Sheet1!DC185,hhdcap_wcm,4)-(((VLOOKUP(Sheet1!DC185,hhdcap_wcm,3)-Sheet1!DC185)/(VLOOKUP(Sheet1!DC185,hhdcap_wcm,3)-VLOOKUP(Sheet1!DC185,hhdcap_wcm,1)))*(VLOOKUP(Sheet1!DC185,hhdcap_wcm,4)-VLOOKUP(Sheet1!DC185,hhdcap_wcm,2))))</f>
        <v>49032.000000116888</v>
      </c>
      <c r="AM187" s="535">
        <f t="shared" si="442"/>
        <v>-157.20000000129949</v>
      </c>
      <c r="AN187" s="1035">
        <f t="shared" si="443"/>
        <v>3260</v>
      </c>
      <c r="AO187" s="535">
        <f t="shared" si="444"/>
        <v>10001.68</v>
      </c>
      <c r="AP187" s="535">
        <f>Sheet1!BA185+Sheet1!BB185+Sheet1!BN185+CD187</f>
        <v>32</v>
      </c>
      <c r="AQ187" s="535">
        <f>Sheet1!BN185+(DO187*Sheet1!BN185)</f>
        <v>31.910471622701838</v>
      </c>
      <c r="AR187" s="535">
        <f>Sheet1!BA185+CD187</f>
        <v>0</v>
      </c>
      <c r="AS187" s="535">
        <f>Sheet1!BA185+Sheet1!BB185+CD187</f>
        <v>0</v>
      </c>
      <c r="AT187" s="649">
        <f>0</f>
        <v>0</v>
      </c>
      <c r="AU187" s="974">
        <f>BA187+Sheet1!EH185</f>
        <v>0</v>
      </c>
      <c r="AV187" s="535">
        <f>IF(OR(B187&gt;=GD187,B187&lt;GC187),0,15/36*K187-MAX(0,64.6-(137.6-(Sheet1!AA185+Sheet1!AB185))))</f>
        <v>0</v>
      </c>
      <c r="AW187" s="1029"/>
      <c r="AX187" s="649"/>
      <c r="AY187" s="649">
        <f t="shared" si="410"/>
        <v>0</v>
      </c>
      <c r="AZ187" s="649">
        <f t="shared" si="411"/>
        <v>0</v>
      </c>
      <c r="BA187" s="1059">
        <f t="shared" si="412"/>
        <v>0</v>
      </c>
      <c r="BB187" s="1019">
        <f t="shared" si="445"/>
        <v>1358.3333333333335</v>
      </c>
      <c r="BC187" s="1041">
        <f t="shared" si="413"/>
        <v>26.933333333333334</v>
      </c>
      <c r="BD187" s="1019">
        <f ca="1">IF(B187&gt;(Summary!$A$1-1),#N/A,BB187*MGtoAF)</f>
        <v>4167.3666666666668</v>
      </c>
      <c r="BE187" s="535">
        <f>Sheet1!BG185+Sheet1!BH185+Sheet1!BI185-BM187</f>
        <v>2.02</v>
      </c>
      <c r="BF187" s="535">
        <f t="shared" si="446"/>
        <v>2.0143485211830536</v>
      </c>
      <c r="BG187" s="535">
        <f>IF(Sheet1!EP185="FM",BM187,0)</f>
        <v>0</v>
      </c>
      <c r="BH187" s="535">
        <f t="shared" si="447"/>
        <v>0</v>
      </c>
      <c r="BI187" s="535">
        <f>IF(Sheet1!EP185="OTHER",BM187,0)</f>
        <v>0</v>
      </c>
      <c r="BJ187" s="535">
        <f t="shared" si="448"/>
        <v>0</v>
      </c>
      <c r="BK187" s="535">
        <f t="shared" si="449"/>
        <v>2.02</v>
      </c>
      <c r="BL187" s="535">
        <f t="shared" si="450"/>
        <v>2.0143485211830536</v>
      </c>
      <c r="BM187" s="535">
        <f>IF(OR(Sheet1!EP185="FM", Sheet1!EP185="OTHER"),SUM(Sheet1!BG185:'Sheet1'!BI185),0)</f>
        <v>0</v>
      </c>
      <c r="BN187" s="521">
        <f>IF(AND($B187&gt;=$FV187,$B187&lt;=$FW187),MAX(BF187,Sheet1!EI185,0),MAX(BF187-(7/36)*$K187,0))</f>
        <v>0</v>
      </c>
      <c r="BO187" s="535">
        <f t="shared" si="497"/>
        <v>0</v>
      </c>
      <c r="BP187" s="521">
        <f t="shared" si="452"/>
        <v>2.0143485211830536</v>
      </c>
      <c r="BQ187" s="521">
        <f>IF(AND($O187&gt;0,Sheet1!EM185=1),(1-($O187-Sheet1!$L185)/$O187)*BL187,0)</f>
        <v>0</v>
      </c>
      <c r="BR187" s="521">
        <f>IF(AND(Sheet1!$L185=0,Sheet1!$L184=0, Calculation!BK187&lt;Sheet1!$EI185-0.1,Sheet1!$EI185=Sheet1!$EI184,Sheet1!$EI185=Sheet1!$EI186),BL187-BQ187,BL187-BQ187)</f>
        <v>2.0143485211830536</v>
      </c>
      <c r="BS187" s="1035" t="str">
        <f t="shared" si="414"/>
        <v/>
      </c>
      <c r="BT187" s="1035">
        <f t="shared" si="415"/>
        <v>12.568888888888889</v>
      </c>
      <c r="BU187" s="535">
        <f t="shared" si="453"/>
        <v>633.88888888888891</v>
      </c>
      <c r="BV187" s="535"/>
      <c r="BW187" s="535">
        <f ca="1">IF(B187&gt;(Summary!$A$1-1),#N/A,BU187*MGtoAF)</f>
        <v>1944.7711111111112</v>
      </c>
      <c r="BX187" s="535">
        <f>Sheet1!BC185+Sheet1!BD185+Sheet1!BE185+Sheet1!BF185-CG187-CH187</f>
        <v>6.5</v>
      </c>
      <c r="BY187" s="535">
        <f t="shared" si="454"/>
        <v>6.481814548361311</v>
      </c>
      <c r="BZ187" s="535">
        <f>IF(Sheet1!EQ185="FM",CH187,0)</f>
        <v>0</v>
      </c>
      <c r="CA187" s="535">
        <f t="shared" si="455"/>
        <v>0</v>
      </c>
      <c r="CB187" s="535">
        <f>IF(Sheet1!EQ185="OTHER",CH187,0)</f>
        <v>0</v>
      </c>
      <c r="CC187" s="535">
        <f t="shared" si="456"/>
        <v>0</v>
      </c>
      <c r="CD187" s="535">
        <f t="shared" si="457"/>
        <v>0</v>
      </c>
      <c r="CE187" s="535">
        <f t="shared" si="458"/>
        <v>6.5</v>
      </c>
      <c r="CF187" s="535">
        <f t="shared" si="459"/>
        <v>6.481814548361311</v>
      </c>
      <c r="CG187" s="535">
        <f>IF(Sheet1!EQ185="CWA",SUM(Sheet1!BC185:'Sheet1'!BF185),0)</f>
        <v>0</v>
      </c>
      <c r="CH187" s="535">
        <f>IF(OR(Sheet1!EQ185="FM", Sheet1!EQ185="OTHER"),SUM(Sheet1!BC185:'Sheet1'!BF185),0)</f>
        <v>0</v>
      </c>
      <c r="CI187" s="521">
        <f>IF(AND($B187&gt;=$FV187,$B187&lt;=$FW187),MAX(CF187,Sheet1!EJ185,0),MAX(CF187-(7/36)*$K187,0))</f>
        <v>0</v>
      </c>
      <c r="CJ187" s="535">
        <f t="shared" si="499"/>
        <v>0</v>
      </c>
      <c r="CK187" s="521">
        <f t="shared" si="461"/>
        <v>6.481814548361311</v>
      </c>
      <c r="CL187" s="521">
        <f>IF(AND($O187&gt;0,Sheet1!EN185=1),(1-($O187-Sheet1!$L185)/$O187)*CF187,0)</f>
        <v>0</v>
      </c>
      <c r="CM187" s="521">
        <f>IF(AND(Sheet1!$L185=0,Sheet1!$L184=0, Calculation!CE187&lt;Sheet1!EJ185-0.1,Sheet1!EJ185=Sheet1!EJ184,Sheet1!EJ185=Sheet1!EJ186),CF187-CL187,CF187-CL187)</f>
        <v>6.481814548361311</v>
      </c>
      <c r="CN187" s="1040" t="str">
        <f t="shared" si="416"/>
        <v/>
      </c>
      <c r="CO187" s="1035">
        <f t="shared" si="417"/>
        <v>12.568888888888889</v>
      </c>
      <c r="CP187" s="535">
        <f t="shared" si="462"/>
        <v>633.88888888888891</v>
      </c>
      <c r="CQ187" s="535"/>
      <c r="CR187" s="535">
        <f ca="1">IF(B187&gt;(Summary!$A$1-1),#N/A,CP187*MGtoAF)</f>
        <v>1944.7711111111112</v>
      </c>
      <c r="CS187" s="535">
        <f>Sheet1!BK185+Sheet1!BL185+Sheet1!BM185-Sheet1!ER185-DA187</f>
        <v>9.52</v>
      </c>
      <c r="CT187" s="535">
        <f t="shared" si="463"/>
        <v>9.4933653077537965</v>
      </c>
      <c r="CU187" s="535">
        <f>IF(Sheet1!ER185="FM",DA187,0)</f>
        <v>0</v>
      </c>
      <c r="CV187" s="535">
        <f t="shared" si="464"/>
        <v>0</v>
      </c>
      <c r="CW187" s="535">
        <f>IF(Sheet1!ER185="OTHER",DA187,0)</f>
        <v>0</v>
      </c>
      <c r="CX187" s="535">
        <f t="shared" si="465"/>
        <v>0</v>
      </c>
      <c r="CY187" s="535">
        <f t="shared" si="466"/>
        <v>9.52</v>
      </c>
      <c r="CZ187" s="535">
        <f t="shared" si="467"/>
        <v>9.4933653077537965</v>
      </c>
      <c r="DA187" s="535">
        <f>IF(OR(Sheet1!ER185="FM", Sheet1!ER185="OTHER"),SUM(Sheet1!BK185:'Sheet1'!BM185),0)</f>
        <v>0</v>
      </c>
      <c r="DB187" s="1011">
        <f>IF(AND($B187&gt;=$FV187,$B187&lt;=$FW187),MAX($CT187,Sheet1!EK185,0),MAX($CT187-(7/36)*$K187,0))</f>
        <v>0</v>
      </c>
      <c r="DC187" s="1012">
        <f t="shared" si="498"/>
        <v>0</v>
      </c>
      <c r="DD187" s="1011">
        <f t="shared" si="469"/>
        <v>9.4933653077537965</v>
      </c>
      <c r="DE187" s="521">
        <f>IF(AND($O187&gt;0,Sheet1!EO185=1),(1-($O187-Sheet1!$L185)/$O187)*CZ187,0)</f>
        <v>0</v>
      </c>
      <c r="DF187" s="521">
        <f>IF(AND(Sheet1!$L185=0,Sheet1!$L184=0, Calculation!CY187&lt;Sheet1!$EK185-0.1,Sheet1!$EK185=Sheet1!$EK184,Sheet1!$EK185=Sheet1!$EK186),CZ187-DE187,CZ187-DE187)</f>
        <v>9.4933653077537965</v>
      </c>
      <c r="DG187" s="1040">
        <f t="shared" si="418"/>
        <v>12.568888888888889</v>
      </c>
      <c r="DH187" s="649">
        <f t="shared" si="470"/>
        <v>18.04</v>
      </c>
      <c r="DI187" s="535">
        <f t="shared" si="471"/>
        <v>633.88888888888891</v>
      </c>
      <c r="DJ187" s="649">
        <f t="shared" si="472"/>
        <v>17.989528377298161</v>
      </c>
      <c r="DK187" s="535">
        <f ca="1">IF(B187&gt;(Summary!$A$1-1),#N/A,DI187*MGtoAF)</f>
        <v>1944.7711111111112</v>
      </c>
      <c r="DL187" s="649">
        <f t="shared" si="473"/>
        <v>18.04</v>
      </c>
      <c r="DM187" s="535">
        <f t="shared" si="474"/>
        <v>50.04</v>
      </c>
      <c r="DN187" s="535">
        <f>Sheet1!AB185-DM187</f>
        <v>-0.14000000000000057</v>
      </c>
      <c r="DO187" s="743">
        <f t="shared" si="475"/>
        <v>-2.7977617905675573E-3</v>
      </c>
      <c r="DP187" s="535">
        <f>(VLOOKUP(Sheet1!DC185,hhdcap_wcm,4)-(((VLOOKUP(Sheet1!DC185,hhdcap_wcm,3)-Sheet1!DC185)/(VLOOKUP(Sheet1!DC185,hhdcap_wcm,3)-VLOOKUP(Sheet1!DC185,hhdcap_wcm,1)))*(VLOOKUP(Sheet1!DC185,hhdcap_wcm,4)-VLOOKUP(Sheet1!DC185,hhdcap_wcm,2))))</f>
        <v>49032.000000116888</v>
      </c>
      <c r="DQ187" s="535">
        <f t="shared" si="476"/>
        <v>-157.20000000129949</v>
      </c>
      <c r="DR187" s="535">
        <f t="shared" si="477"/>
        <v>-79.273827534694632</v>
      </c>
      <c r="DS187" s="535">
        <f>Sheet1!EA185*AFtoMG</f>
        <v>0</v>
      </c>
      <c r="DT187" s="535">
        <f>Sheet1!EB185*AFtoMG</f>
        <v>0</v>
      </c>
      <c r="DU187" s="535">
        <f>Sheet1!EC185*AFtoMG</f>
        <v>0</v>
      </c>
      <c r="DV187" s="535">
        <f>Sheet1!ED185*AFtoMG</f>
        <v>0</v>
      </c>
      <c r="DW187" s="535">
        <f t="shared" si="478"/>
        <v>0</v>
      </c>
      <c r="DX187" s="535">
        <f t="shared" si="479"/>
        <v>0</v>
      </c>
      <c r="DY187" s="535">
        <f t="shared" si="480"/>
        <v>3260</v>
      </c>
      <c r="DZ187" s="535">
        <f t="shared" si="481"/>
        <v>10001.68</v>
      </c>
      <c r="EA187" s="535"/>
      <c r="EB187" s="521">
        <f>IF(OR(B187&lt;FV187,B187&gt;FW187),(MIN(BF187+BY187+CT187+MAX(Sheet1!AA185+AQ187-73,0),K187)),0)</f>
        <v>17.989528377298161</v>
      </c>
      <c r="EC187" s="535"/>
      <c r="ED187" s="535">
        <f t="shared" si="482"/>
        <v>17.989528377298161</v>
      </c>
      <c r="EE187" s="535"/>
      <c r="EF187" s="535">
        <f>Sheet1!EH185+Sheet1!EI185+Sheet1!EJ185+Sheet1!EK185</f>
        <v>18</v>
      </c>
      <c r="EG187" s="1019">
        <f t="shared" si="419"/>
        <v>27.846</v>
      </c>
      <c r="EH187" s="521">
        <f t="shared" si="483"/>
        <v>0</v>
      </c>
      <c r="EI187" s="535">
        <f>IF(Sheet1!ET185=1,SUM('Calculations II'!AT187:BA187)+'Calculations II'!BC187+Sheet1!BV185+'Calculations II'!BE187+AP187,'Calculations II'!BK187)</f>
        <v>72.74784762270184</v>
      </c>
      <c r="EJ187" s="535">
        <f ca="1">EI187+'Calculations II'!D187+'Calculations II'!E187+'Calculations II'!O187</f>
        <v>73.165922107203812</v>
      </c>
      <c r="EK187" s="535"/>
      <c r="EL187" s="535"/>
      <c r="EM187" s="535">
        <f t="shared" si="484"/>
        <v>42911</v>
      </c>
      <c r="EN187" s="535">
        <f t="shared" si="485"/>
        <v>0</v>
      </c>
      <c r="EO187" s="535">
        <f t="shared" si="486"/>
        <v>0</v>
      </c>
      <c r="EP187" s="535">
        <v>0</v>
      </c>
      <c r="EQ187" s="535">
        <v>0</v>
      </c>
      <c r="ER187" s="535">
        <v>0</v>
      </c>
      <c r="ES187" s="521">
        <f t="shared" si="381"/>
        <v>1.1084422054452374</v>
      </c>
      <c r="ET187" s="535">
        <f>-(VLOOKUP(Sheet1!BQ185,Lookup!$O$4:$Q$262,2)-VLOOKUP(Sheet1!BQ184,Lookup!$O$4:$Q$262,2))/1000000</f>
        <v>0.55413136427043375</v>
      </c>
      <c r="EU187" s="535">
        <f>-(VLOOKUP(Sheet1!BR185,Lookup!$O$4:$Q$262,3)-VLOOKUP(Sheet1!BR184,Lookup!$O$4:$Q$262,3))/1000000</f>
        <v>0.55431084117480367</v>
      </c>
      <c r="EV187" s="535"/>
      <c r="EW187" s="535"/>
      <c r="EX187" s="535"/>
      <c r="EY187" s="535">
        <f t="shared" si="434"/>
        <v>-51.44402713501438</v>
      </c>
      <c r="EZ187" s="535">
        <f t="shared" si="435"/>
        <v>-33.254057617979562</v>
      </c>
      <c r="FA187" s="535"/>
      <c r="FB187" s="535"/>
      <c r="FC187" s="535"/>
      <c r="FD187" s="567" t="e">
        <f t="shared" si="487"/>
        <v>#N/A</v>
      </c>
      <c r="FE187" s="567" t="e">
        <f t="shared" si="488"/>
        <v>#N/A</v>
      </c>
      <c r="FF187" s="568" t="e">
        <f t="shared" si="489"/>
        <v>#N/A</v>
      </c>
      <c r="FG187" s="569" t="s">
        <v>656</v>
      </c>
      <c r="FH187" s="569" t="s">
        <v>656</v>
      </c>
      <c r="FI187" s="567" t="e">
        <v>#N/A</v>
      </c>
      <c r="FJ187" s="567" t="e">
        <v>#N/A</v>
      </c>
      <c r="FK187" s="535">
        <v>23850</v>
      </c>
      <c r="FL187" s="1015">
        <v>0</v>
      </c>
      <c r="FM187" s="535"/>
      <c r="FN187" s="535"/>
      <c r="FO187" s="535">
        <f>O187+((Sheet1!CS185)*GPMtoMGD)</f>
        <v>89.289999999999992</v>
      </c>
      <c r="FP187" s="535">
        <f>IF(Sheet1!AA185+AQ187&lt;=Calculation!N187,AQ187,Calculation!N187-Sheet1!AA185)</f>
        <v>31.910471622701838</v>
      </c>
      <c r="FQ187" s="535">
        <f>(Sheet1!BP185+Sheet1!BO185)/694.4</f>
        <v>3.9864631336405534</v>
      </c>
      <c r="FR187" s="541"/>
      <c r="FS187" s="541"/>
      <c r="FT187" s="541"/>
      <c r="FU187" s="541"/>
      <c r="FV187" s="1109">
        <f t="shared" si="382"/>
        <v>42918</v>
      </c>
      <c r="FW187" s="1109">
        <f t="shared" si="383"/>
        <v>43027</v>
      </c>
      <c r="FX187" s="541"/>
      <c r="FY187" s="541">
        <f>Sheet1!DA185-Sheet1!CZ185-Sheet1!AE185</f>
        <v>-16.131629999999973</v>
      </c>
      <c r="FZ187" s="535">
        <f t="shared" si="420"/>
        <v>-2.7308134888754092E-2</v>
      </c>
      <c r="GA187" s="535"/>
      <c r="GB187" s="535" t="str">
        <f t="shared" si="384"/>
        <v>n</v>
      </c>
      <c r="GC187" s="539">
        <f t="shared" si="385"/>
        <v>42782</v>
      </c>
      <c r="GD187" s="1109">
        <f t="shared" si="386"/>
        <v>42904</v>
      </c>
      <c r="GE187" s="535">
        <f t="shared" si="404"/>
        <v>6520</v>
      </c>
      <c r="GF187" s="1109">
        <f t="shared" si="387"/>
        <v>42909</v>
      </c>
      <c r="GG187" s="535">
        <f t="shared" si="432"/>
        <v>3260</v>
      </c>
      <c r="GH187" s="539">
        <f t="shared" si="388"/>
        <v>43040</v>
      </c>
      <c r="GJ187" s="521">
        <f t="shared" si="389"/>
        <v>0</v>
      </c>
      <c r="GK187" s="535" t="str">
        <f t="shared" si="490"/>
        <v/>
      </c>
      <c r="GL187" s="535">
        <f t="shared" si="390"/>
        <v>0</v>
      </c>
      <c r="GM187" s="535" t="str">
        <f t="shared" si="391"/>
        <v/>
      </c>
      <c r="GN187" s="535">
        <f>IF(GK187="P",Lookup!$M$12,IF(GK187="PP",Lookup!$M$13,IF(GK187="PPP",Lookup!$M$14,IF(GK187="T",Lookup!$M$15,IF(GK187="TP",Lookup!$M$16,IF(GK187="TPP",Lookup!$M$17,IF(GK187="TPPP",Lookup!$M$18,0)))))))*GJ187</f>
        <v>0</v>
      </c>
      <c r="GO187" s="535">
        <f t="shared" si="392"/>
        <v>0</v>
      </c>
      <c r="GP187" s="535">
        <f t="shared" si="491"/>
        <v>4167.3666666666668</v>
      </c>
      <c r="GQ187" s="974">
        <f t="shared" ref="GQ187:GQ233" si="500">(IF(AND(GB186="Y",B187=GD187),1392.1,(IF(AND(B187&lt;GF187,B187&gt;=GC187),MIN(BB186+AV187-AU187,15/36*GE187),IF(B187=GF187,15/36*GG187,IF(AND(B187&gt;GF187,B187&lt;GH187),(BB186+AV187-AU187),IF(B187&gt;=GH187,0,0)))))))+DS187</f>
        <v>1358.3333333333335</v>
      </c>
      <c r="GR187" s="535"/>
      <c r="GS187" s="535">
        <f t="shared" si="393"/>
        <v>0</v>
      </c>
      <c r="GT187" s="535" t="str">
        <f t="shared" si="394"/>
        <v/>
      </c>
      <c r="GU187" s="535">
        <f>IF(GK187="P",Lookup!$N$12,IF(GK187="PP",Lookup!$N$13,IF(GK187="PPP",Lookup!$N$14,IF(GK187="T",Lookup!$N$15,IF(GK187="TP",Lookup!$N$16,IF(GK187="TPP",Lookup!$N$17,IF(GK187="TPPP",Lookup!$N$18,0)))))))*GJ187</f>
        <v>0</v>
      </c>
      <c r="GV187" s="535">
        <f t="shared" si="395"/>
        <v>0</v>
      </c>
      <c r="GW187" s="535">
        <f t="shared" si="492"/>
        <v>1944.7711111111112</v>
      </c>
      <c r="GX187" s="535">
        <f t="shared" si="400"/>
        <v>633.88888888888891</v>
      </c>
      <c r="GY187" s="535"/>
      <c r="GZ187" s="535">
        <f t="shared" si="396"/>
        <v>0</v>
      </c>
      <c r="HA187" s="535" t="str">
        <f t="shared" si="397"/>
        <v/>
      </c>
      <c r="HB187" s="535">
        <f>IF(GK187="P",Lookup!$N$12,IF(GK187="PP",Lookup!$N$13,IF(GK187="PPP",Lookup!$N$14,IF(GK187="T",Lookup!$N$15,IF(GK187="TP",Lookup!$N$16,IF(GK187="TPP",Lookup!$N$17,IF(GK187="TPPP",Lookup!$N$18,0)))))))*GJ187</f>
        <v>0</v>
      </c>
      <c r="HC187" s="521">
        <f t="shared" si="493"/>
        <v>0</v>
      </c>
      <c r="HD187" s="535">
        <f t="shared" si="494"/>
        <v>1944.7711111111112</v>
      </c>
      <c r="HE187" s="535">
        <f t="shared" si="401"/>
        <v>633.88888888888891</v>
      </c>
      <c r="HF187" s="535"/>
      <c r="HG187" s="535">
        <f t="shared" si="398"/>
        <v>0</v>
      </c>
      <c r="HH187" s="535" t="str">
        <f t="shared" si="399"/>
        <v/>
      </c>
      <c r="HI187" s="535">
        <f>IF(GK187="P",Lookup!$N$12,IF(GK187="PP",Lookup!$N$13,IF(GK187="PPP",Lookup!$N$14,IF(GK187="T",Lookup!$N$15,IF(GK187="TP",Lookup!$N$16,IF(GK187="TPP",Lookup!$N$17,IF(GK187="TPPP",Lookup!$N$18,0)))))))*GJ187</f>
        <v>0</v>
      </c>
      <c r="HJ187" s="521">
        <f t="shared" si="495"/>
        <v>0</v>
      </c>
      <c r="HK187" s="535">
        <f t="shared" si="496"/>
        <v>1944.7711111111112</v>
      </c>
      <c r="HL187" s="535">
        <f t="shared" si="402"/>
        <v>633.88888888888891</v>
      </c>
      <c r="HM187" s="535"/>
      <c r="HN187" s="541"/>
      <c r="HO187" s="541"/>
      <c r="HP187" s="541"/>
      <c r="HQ187" s="541">
        <f>IF(AND(B187&gt;=$FV$4,B187&lt;=$FW$4),MAX(110/1.02+$HQ$6+MIN(113/1.02,G187),IF($HV$6-(Sheet1!DA185-Sheet1!DB185)+MIN(113/1.02,G187)&lt;G187+FL187,$HV$6-(Sheet1!DA185-Sheet1!DB185)+MIN(113/1.02,G187),G187+FL187)),MIN(110/1.02+$HQ$6+113/1.02,G187))</f>
        <v>218.62745098039215</v>
      </c>
      <c r="HR187" s="541">
        <f t="shared" si="421"/>
        <v>223</v>
      </c>
      <c r="HS187" s="541">
        <f>HR187+(Sheet1!DA185-Sheet1!DB185)</f>
        <v>444</v>
      </c>
      <c r="HT187" s="541">
        <f t="shared" si="422"/>
        <v>38.133549999999985</v>
      </c>
      <c r="HU187" s="541">
        <f t="shared" si="423"/>
        <v>405.86644999999999</v>
      </c>
      <c r="HV187" s="541">
        <f t="shared" si="424"/>
        <v>0</v>
      </c>
      <c r="HW187" s="541" t="str">
        <f t="shared" si="425"/>
        <v/>
      </c>
      <c r="HX187" s="541">
        <f t="shared" si="426"/>
        <v>451.37254901960785</v>
      </c>
      <c r="HY187" s="541">
        <f>Sheet1!CZ185</f>
        <v>670</v>
      </c>
      <c r="HZ187" s="541">
        <f t="shared" si="427"/>
        <v>0</v>
      </c>
      <c r="IA187" s="541">
        <f t="shared" si="428"/>
        <v>38.133549999999985</v>
      </c>
      <c r="IB187" s="541">
        <f t="shared" si="429"/>
        <v>670</v>
      </c>
      <c r="IC187" s="1019" t="str">
        <f t="shared" si="430"/>
        <v/>
      </c>
      <c r="ID187" s="541">
        <f t="shared" si="431"/>
        <v>631.86644999999999</v>
      </c>
      <c r="IE187" s="541">
        <f>Sheet1!DB185</f>
        <v>571</v>
      </c>
      <c r="IF187" s="533">
        <f>Sheet1!DA185</f>
        <v>792</v>
      </c>
      <c r="IH187" s="541">
        <f>IF(AND($B187&gt;=$GC187,$B187&lt;=$GH187,$DR187&lt;0)+N("only adjusted when pool is drawn down during storage season"),Sheet1!$DB185+$DR187+N("Palmer minus all storage release"),Sheet1!$DB185)</f>
        <v>491.72617246530535</v>
      </c>
      <c r="II187" s="541">
        <f>IF(AND($B187&gt;=$GC187,$B187&lt;=$GH187,$DR187&lt;0)+N("only adjusted when pool is drawn down during storage season"),Sheet1!$DA185+$DR187+N("Auburn minus all storage release"),Sheet1!$DA185)</f>
        <v>712.72617246530535</v>
      </c>
    </row>
    <row r="188" spans="1:243" x14ac:dyDescent="0.25">
      <c r="A188" s="553" t="s">
        <v>4</v>
      </c>
      <c r="B188" s="531">
        <v>42912</v>
      </c>
      <c r="C188" s="536">
        <v>0</v>
      </c>
      <c r="D188" s="506">
        <f t="shared" si="371"/>
        <v>300</v>
      </c>
      <c r="E188" s="506">
        <f t="shared" si="372"/>
        <v>250</v>
      </c>
      <c r="F188" s="506">
        <v>250</v>
      </c>
      <c r="G188" s="535">
        <f>DR188+Sheet1!CZ186</f>
        <v>475.07160867372744</v>
      </c>
      <c r="H188" s="1074">
        <f t="shared" si="405"/>
        <v>144.19857501469741</v>
      </c>
      <c r="I188" s="534">
        <f>IF(Sheet1!DA186&gt;=E188,(Sheet1!DA186-E188+P188)*CFStoMGD,0)</f>
        <v>406.59068716799999</v>
      </c>
      <c r="J188" s="995">
        <f>IF(Sheet1!DB186&gt;=D188,(Sheet1!DB186-D188+P188)*CFStoMGD,0)</f>
        <v>191.985887168</v>
      </c>
      <c r="K188" s="818">
        <f t="shared" si="406"/>
        <v>64.64</v>
      </c>
      <c r="L188" s="535">
        <f>Sheet1!AA186+Sheet1!AB186-Sheet1!L186+(Sheet1!DA186-F188)*CFStoMGD-S188-T188-U188</f>
        <v>341.95240000000001</v>
      </c>
      <c r="M188" s="535">
        <f t="shared" si="436"/>
        <v>313.22801360363138</v>
      </c>
      <c r="N188" s="824">
        <f>IF(Sheet1!DA186&gt;=F188,MIN(113*CFStoMGD,MIN(MAX(L188,0),MAX(M188,0))),0)</f>
        <v>73.043199999999999</v>
      </c>
      <c r="O188" s="538">
        <f>Sheet1!AA186+Sheet1!AB186</f>
        <v>89.210000000000008</v>
      </c>
      <c r="P188" s="538">
        <f t="shared" si="437"/>
        <v>138.00787</v>
      </c>
      <c r="Q188" s="812">
        <f t="shared" si="407"/>
        <v>24.570000000000007</v>
      </c>
      <c r="R188" s="812">
        <f t="shared" si="373"/>
        <v>17.71329712582909</v>
      </c>
      <c r="S188" s="812">
        <f t="shared" si="374"/>
        <v>64.64</v>
      </c>
      <c r="T188" s="812">
        <f t="shared" si="375"/>
        <v>0</v>
      </c>
      <c r="U188" s="812">
        <f t="shared" si="408"/>
        <v>0</v>
      </c>
      <c r="V188" s="812"/>
      <c r="W188" s="812">
        <f t="shared" si="376"/>
        <v>46.926702874170914</v>
      </c>
      <c r="X188" s="812">
        <f t="shared" si="377"/>
        <v>64.64</v>
      </c>
      <c r="Y188" s="812" t="str">
        <f t="shared" si="378"/>
        <v>FALSE</v>
      </c>
      <c r="Z188" s="812">
        <f t="shared" si="379"/>
        <v>89.210000000000008</v>
      </c>
      <c r="AA188" s="812">
        <f t="shared" si="380"/>
        <v>89.210000000000008</v>
      </c>
      <c r="AB188" s="1059">
        <f t="shared" si="409"/>
        <v>38.00979000000001</v>
      </c>
      <c r="AC188" s="538">
        <f>Sheet1!Y186*MGDtoCFS</f>
        <v>60.936329999999998</v>
      </c>
      <c r="AD188" s="538">
        <f>Sheet1!Z186*MGDtoCFS</f>
        <v>77.195299999999989</v>
      </c>
      <c r="AE188" s="538">
        <f>Sheet1!AA186*MGDtoCFS</f>
        <v>57.548400000000001</v>
      </c>
      <c r="AF188" s="538">
        <f>Sheet1!AB186*MGDtoCFS</f>
        <v>80.459469999999996</v>
      </c>
      <c r="AG188" s="538">
        <f>Sheet1!L186*MGDtoCFS</f>
        <v>0</v>
      </c>
      <c r="AH188" s="521">
        <f t="shared" si="438"/>
        <v>0</v>
      </c>
      <c r="AI188" s="1059">
        <f t="shared" si="439"/>
        <v>0</v>
      </c>
      <c r="AJ188" s="535">
        <f t="shared" si="440"/>
        <v>0</v>
      </c>
      <c r="AK188" s="535">
        <f t="shared" si="441"/>
        <v>0</v>
      </c>
      <c r="AL188" s="535">
        <f>(VLOOKUP(Sheet1!DC186,hhdcap_wcm,4)-(((VLOOKUP(Sheet1!DC186,hhdcap_wcm,3)-Sheet1!DC186)/(VLOOKUP(Sheet1!DC186,hhdcap_wcm,3)-VLOOKUP(Sheet1!DC186,hhdcap_wcm,1)))*(VLOOKUP(Sheet1!DC186,hhdcap_wcm,4)-VLOOKUP(Sheet1!DC186,hhdcap_wcm,2))))</f>
        <v>48885.40000011689</v>
      </c>
      <c r="AM188" s="535">
        <f t="shared" si="442"/>
        <v>-146.59999999999854</v>
      </c>
      <c r="AN188" s="1035">
        <f t="shared" si="443"/>
        <v>3260</v>
      </c>
      <c r="AO188" s="535">
        <f t="shared" si="444"/>
        <v>10001.68</v>
      </c>
      <c r="AP188" s="535">
        <f>Sheet1!BA186+Sheet1!BB186+Sheet1!BN186+CD188</f>
        <v>34.299999999999997</v>
      </c>
      <c r="AQ188" s="535">
        <f>Sheet1!BN186+(DO188*Sheet1!BN186)</f>
        <v>34.296702874170904</v>
      </c>
      <c r="AR188" s="535">
        <f>Sheet1!BA186+CD188</f>
        <v>0</v>
      </c>
      <c r="AS188" s="535">
        <f>Sheet1!BA186+Sheet1!BB186+CD188</f>
        <v>0</v>
      </c>
      <c r="AT188" s="649">
        <f>0</f>
        <v>0</v>
      </c>
      <c r="AU188" s="974">
        <f>BA188+Sheet1!EH186</f>
        <v>0</v>
      </c>
      <c r="AV188" s="535">
        <f>IF(OR(B188&gt;=GD188,B188&lt;GC188),0,15/36*K188-MAX(0,64.6-(137.6-(Sheet1!AA186+Sheet1!AB186))))</f>
        <v>0</v>
      </c>
      <c r="AW188" s="1029"/>
      <c r="AX188" s="649"/>
      <c r="AY188" s="649">
        <f t="shared" si="410"/>
        <v>0</v>
      </c>
      <c r="AZ188" s="649">
        <f t="shared" si="411"/>
        <v>0</v>
      </c>
      <c r="BA188" s="1059">
        <f t="shared" si="412"/>
        <v>0</v>
      </c>
      <c r="BB188" s="1019">
        <f t="shared" si="445"/>
        <v>1358.3333333333335</v>
      </c>
      <c r="BC188" s="1041">
        <f t="shared" si="413"/>
        <v>26.933333333333334</v>
      </c>
      <c r="BD188" s="1019">
        <f ca="1">IF(B188&gt;(Summary!$A$1-1),#N/A,BB188*MGtoAF)</f>
        <v>4167.3666666666668</v>
      </c>
      <c r="BE188" s="535">
        <f>Sheet1!BG186+Sheet1!BH186+Sheet1!BI186-BM188</f>
        <v>2.02</v>
      </c>
      <c r="BF188" s="535">
        <f t="shared" si="446"/>
        <v>2.0198058252427185</v>
      </c>
      <c r="BG188" s="535">
        <f>IF(Sheet1!EP186="FM",BM188,0)</f>
        <v>0</v>
      </c>
      <c r="BH188" s="535">
        <f t="shared" si="447"/>
        <v>0</v>
      </c>
      <c r="BI188" s="535">
        <f>IF(Sheet1!EP186="OTHER",BM188,0)</f>
        <v>0</v>
      </c>
      <c r="BJ188" s="535">
        <f t="shared" si="448"/>
        <v>0</v>
      </c>
      <c r="BK188" s="535">
        <f t="shared" si="449"/>
        <v>2.02</v>
      </c>
      <c r="BL188" s="535">
        <f t="shared" si="450"/>
        <v>2.0198058252427185</v>
      </c>
      <c r="BM188" s="535">
        <f>IF(OR(Sheet1!EP186="FM", Sheet1!EP186="OTHER"),SUM(Sheet1!BG186:'Sheet1'!BI186),0)</f>
        <v>0</v>
      </c>
      <c r="BN188" s="521">
        <f>IF(AND($B188&gt;=$FV188,$B188&lt;=$FW188),MAX(BF188,Sheet1!EI186,0),MAX(BF188-(7/36)*$K188,0))</f>
        <v>0</v>
      </c>
      <c r="BO188" s="535">
        <f t="shared" si="497"/>
        <v>0</v>
      </c>
      <c r="BP188" s="521">
        <f t="shared" si="452"/>
        <v>2.0198058252427185</v>
      </c>
      <c r="BQ188" s="521">
        <f>IF(AND($O188&gt;0,Sheet1!EM186=1),(1-($O188-Sheet1!$L186)/$O188)*BL188,0)</f>
        <v>0</v>
      </c>
      <c r="BR188" s="521">
        <f>IF(AND(Sheet1!$L186=0,Sheet1!$L185=0, Calculation!BK188&lt;Sheet1!$EI186-0.1,Sheet1!$EI186=Sheet1!$EI185,Sheet1!$EI186=Sheet1!$EI187),BL188-BQ188,BL188-BQ188)</f>
        <v>2.0198058252427185</v>
      </c>
      <c r="BS188" s="1035" t="str">
        <f t="shared" si="414"/>
        <v/>
      </c>
      <c r="BT188" s="1035">
        <f t="shared" si="415"/>
        <v>12.568888888888889</v>
      </c>
      <c r="BU188" s="535">
        <f t="shared" si="453"/>
        <v>633.88888888888891</v>
      </c>
      <c r="BV188" s="535"/>
      <c r="BW188" s="535">
        <f ca="1">IF(B188&gt;(Summary!$A$1-1),#N/A,BU188*MGtoAF)</f>
        <v>1944.7711111111112</v>
      </c>
      <c r="BX188" s="535">
        <f>Sheet1!BC186+Sheet1!BD186+Sheet1!BE186+Sheet1!BF186-CG188-CH188</f>
        <v>6.1850000000000005</v>
      </c>
      <c r="BY188" s="535">
        <f t="shared" si="454"/>
        <v>6.1844054599634726</v>
      </c>
      <c r="BZ188" s="535">
        <f>IF(Sheet1!EQ186="FM",CH188,0)</f>
        <v>0</v>
      </c>
      <c r="CA188" s="535">
        <f t="shared" si="455"/>
        <v>0</v>
      </c>
      <c r="CB188" s="535">
        <f>IF(Sheet1!EQ186="OTHER",CH188,0)</f>
        <v>0</v>
      </c>
      <c r="CC188" s="535">
        <f t="shared" si="456"/>
        <v>0</v>
      </c>
      <c r="CD188" s="535">
        <f t="shared" si="457"/>
        <v>0</v>
      </c>
      <c r="CE188" s="535">
        <f t="shared" si="458"/>
        <v>6.1850000000000005</v>
      </c>
      <c r="CF188" s="535">
        <f t="shared" si="459"/>
        <v>6.1844054599634726</v>
      </c>
      <c r="CG188" s="535">
        <f>IF(Sheet1!EQ186="CWA",SUM(Sheet1!BC186:'Sheet1'!BF186),0)</f>
        <v>0</v>
      </c>
      <c r="CH188" s="535">
        <f>IF(OR(Sheet1!EQ186="FM", Sheet1!EQ186="OTHER"),SUM(Sheet1!BC186:'Sheet1'!BF186),0)</f>
        <v>0</v>
      </c>
      <c r="CI188" s="521">
        <f>IF(AND($B188&gt;=$FV188,$B188&lt;=$FW188),MAX(CF188,Sheet1!EJ186,0),MAX(CF188-(7/36)*$K188,0))</f>
        <v>0</v>
      </c>
      <c r="CJ188" s="535">
        <f t="shared" si="499"/>
        <v>0</v>
      </c>
      <c r="CK188" s="521">
        <f t="shared" si="461"/>
        <v>6.1844054599634726</v>
      </c>
      <c r="CL188" s="521">
        <f>IF(AND($O188&gt;0,Sheet1!EN186=1),(1-($O188-Sheet1!$L186)/$O188)*CF188,0)</f>
        <v>0</v>
      </c>
      <c r="CM188" s="521">
        <f>IF(AND(Sheet1!$L186=0,Sheet1!$L185=0, Calculation!CE188&lt;Sheet1!EJ186-0.1,Sheet1!EJ186=Sheet1!EJ185,Sheet1!EJ186=Sheet1!EJ187),CF188-CL188,CF188-CL188)</f>
        <v>6.1844054599634726</v>
      </c>
      <c r="CN188" s="1040" t="str">
        <f t="shared" si="416"/>
        <v/>
      </c>
      <c r="CO188" s="1035">
        <f t="shared" si="417"/>
        <v>12.568888888888889</v>
      </c>
      <c r="CP188" s="535">
        <f t="shared" si="462"/>
        <v>633.88888888888891</v>
      </c>
      <c r="CQ188" s="535"/>
      <c r="CR188" s="535">
        <f ca="1">IF(B188&gt;(Summary!$A$1-1),#N/A,CP188*MGtoAF)</f>
        <v>1944.7711111111112</v>
      </c>
      <c r="CS188" s="535">
        <f>Sheet1!BK186+Sheet1!BL186+Sheet1!BM186-Sheet1!ER186-DA188</f>
        <v>9.5100000000000016</v>
      </c>
      <c r="CT188" s="535">
        <f t="shared" si="463"/>
        <v>9.5090858406228982</v>
      </c>
      <c r="CU188" s="535">
        <f>IF(Sheet1!ER186="FM",DA188,0)</f>
        <v>0</v>
      </c>
      <c r="CV188" s="535">
        <f t="shared" si="464"/>
        <v>0</v>
      </c>
      <c r="CW188" s="535">
        <f>IF(Sheet1!ER186="OTHER",DA188,0)</f>
        <v>0</v>
      </c>
      <c r="CX188" s="535">
        <f t="shared" si="465"/>
        <v>0</v>
      </c>
      <c r="CY188" s="535">
        <f t="shared" si="466"/>
        <v>9.5100000000000016</v>
      </c>
      <c r="CZ188" s="535">
        <f t="shared" si="467"/>
        <v>9.5090858406228982</v>
      </c>
      <c r="DA188" s="535">
        <f>IF(OR(Sheet1!ER186="FM", Sheet1!ER186="OTHER"),SUM(Sheet1!BK186:'Sheet1'!BM186),0)</f>
        <v>0</v>
      </c>
      <c r="DB188" s="1011">
        <f>IF(AND($B188&gt;=$FV188,$B188&lt;=$FW188),MAX($CT188,Sheet1!EK186,0),MAX($CT188-(7/36)*$K188,0))</f>
        <v>0</v>
      </c>
      <c r="DC188" s="1012">
        <f t="shared" si="498"/>
        <v>0</v>
      </c>
      <c r="DD188" s="1011">
        <f t="shared" si="469"/>
        <v>9.5090858406228982</v>
      </c>
      <c r="DE188" s="521">
        <f>IF(AND($O188&gt;0,Sheet1!EO186=1),(1-($O188-Sheet1!$L186)/$O188)*CZ188,0)</f>
        <v>0</v>
      </c>
      <c r="DF188" s="521">
        <f>IF(AND(Sheet1!$L186=0,Sheet1!$L185=0, Calculation!CY188&lt;Sheet1!$EK186-0.1,Sheet1!$EK186=Sheet1!$EK185,Sheet1!$EK186=Sheet1!$EK187),CZ188-DE188,CZ188-DE188)</f>
        <v>9.5090858406228982</v>
      </c>
      <c r="DG188" s="1040">
        <f t="shared" si="418"/>
        <v>12.568888888888889</v>
      </c>
      <c r="DH188" s="649">
        <f t="shared" si="470"/>
        <v>17.715000000000003</v>
      </c>
      <c r="DI188" s="535">
        <f t="shared" si="471"/>
        <v>633.88888888888891</v>
      </c>
      <c r="DJ188" s="649">
        <f t="shared" si="472"/>
        <v>17.71329712582909</v>
      </c>
      <c r="DK188" s="535">
        <f ca="1">IF(B188&gt;(Summary!$A$1-1),#N/A,DI188*MGtoAF)</f>
        <v>1944.7711111111112</v>
      </c>
      <c r="DL188" s="649">
        <f t="shared" si="473"/>
        <v>17.715000000000003</v>
      </c>
      <c r="DM188" s="535">
        <f t="shared" si="474"/>
        <v>52.015000000000001</v>
      </c>
      <c r="DN188" s="535">
        <f>Sheet1!AB186-DM188</f>
        <v>-5.000000000002558E-3</v>
      </c>
      <c r="DO188" s="743">
        <f t="shared" si="475"/>
        <v>-9.6126117466164719E-5</v>
      </c>
      <c r="DP188" s="535">
        <f>(VLOOKUP(Sheet1!DC186,hhdcap_wcm,4)-(((VLOOKUP(Sheet1!DC186,hhdcap_wcm,3)-Sheet1!DC186)/(VLOOKUP(Sheet1!DC186,hhdcap_wcm,3)-VLOOKUP(Sheet1!DC186,hhdcap_wcm,1)))*(VLOOKUP(Sheet1!DC186,hhdcap_wcm,4)-VLOOKUP(Sheet1!DC186,hhdcap_wcm,2))))</f>
        <v>48885.40000011689</v>
      </c>
      <c r="DQ188" s="535">
        <f t="shared" si="476"/>
        <v>-146.59999999999854</v>
      </c>
      <c r="DR188" s="535">
        <f t="shared" si="477"/>
        <v>-73.928391326272575</v>
      </c>
      <c r="DS188" s="535">
        <f>Sheet1!EA186*AFtoMG</f>
        <v>0</v>
      </c>
      <c r="DT188" s="535">
        <f>Sheet1!EB186*AFtoMG</f>
        <v>0</v>
      </c>
      <c r="DU188" s="535">
        <f>Sheet1!EC186*AFtoMG</f>
        <v>0</v>
      </c>
      <c r="DV188" s="535">
        <f>Sheet1!ED186*AFtoMG</f>
        <v>0</v>
      </c>
      <c r="DW188" s="535">
        <f t="shared" si="478"/>
        <v>0</v>
      </c>
      <c r="DX188" s="535">
        <f t="shared" si="479"/>
        <v>0</v>
      </c>
      <c r="DY188" s="535">
        <f t="shared" si="480"/>
        <v>3260</v>
      </c>
      <c r="DZ188" s="535">
        <f t="shared" si="481"/>
        <v>10001.68</v>
      </c>
      <c r="EA188" s="535"/>
      <c r="EB188" s="521">
        <f>IF(OR(B188&lt;FV188,B188&gt;FW188),(MIN(BF188+BY188+CT188+MAX(Sheet1!AA186+AQ188-73,0),K188)),0)</f>
        <v>17.71329712582909</v>
      </c>
      <c r="EC188" s="535"/>
      <c r="ED188" s="535">
        <f t="shared" si="482"/>
        <v>17.71329712582909</v>
      </c>
      <c r="EE188" s="535"/>
      <c r="EF188" s="535">
        <f>Sheet1!EH186+Sheet1!EI186+Sheet1!EJ186+Sheet1!EK186</f>
        <v>17.5</v>
      </c>
      <c r="EG188" s="1019">
        <f t="shared" si="419"/>
        <v>27.072499999999998</v>
      </c>
      <c r="EH188" s="521">
        <f t="shared" si="483"/>
        <v>0</v>
      </c>
      <c r="EI188" s="535">
        <f>IF(Sheet1!ET186=1,SUM('Calculations II'!AT188:BA188)+'Calculations II'!BC188+Sheet1!BV186+'Calculations II'!BE188+AP188,'Calculations II'!BK188)</f>
        <v>70.144374874170893</v>
      </c>
      <c r="EJ188" s="535">
        <f ca="1">EI188+'Calculations II'!D188+'Calculations II'!E188+'Calculations II'!O188</f>
        <v>70.734967371303313</v>
      </c>
      <c r="EK188" s="535"/>
      <c r="EL188" s="535"/>
      <c r="EM188" s="535">
        <f t="shared" si="484"/>
        <v>42912</v>
      </c>
      <c r="EN188" s="535">
        <f t="shared" si="485"/>
        <v>0</v>
      </c>
      <c r="EO188" s="535">
        <f t="shared" si="486"/>
        <v>0</v>
      </c>
      <c r="EP188" s="535">
        <v>0</v>
      </c>
      <c r="EQ188" s="535">
        <v>0</v>
      </c>
      <c r="ER188" s="535">
        <v>0</v>
      </c>
      <c r="ES188" s="521">
        <f t="shared" si="381"/>
        <v>-1.9399084723804407</v>
      </c>
      <c r="ET188" s="535">
        <f>-(VLOOKUP(Sheet1!BQ186,Lookup!$O$4:$Q$262,2)-VLOOKUP(Sheet1!BQ185,Lookup!$O$4:$Q$262,2))/1000000</f>
        <v>-0.96979718846725305</v>
      </c>
      <c r="EU188" s="535">
        <f>-(VLOOKUP(Sheet1!BR186,Lookup!$O$4:$Q$262,3)-VLOOKUP(Sheet1!BR185,Lookup!$O$4:$Q$262,3))/1000000</f>
        <v>-0.97011128391318768</v>
      </c>
      <c r="EV188" s="535"/>
      <c r="EW188" s="535"/>
      <c r="EX188" s="535"/>
      <c r="EY188" s="535">
        <f t="shared" si="434"/>
        <v>-46.525920672614973</v>
      </c>
      <c r="EZ188" s="535">
        <f t="shared" si="435"/>
        <v>-30.0749325614835</v>
      </c>
      <c r="FA188" s="535"/>
      <c r="FB188" s="535"/>
      <c r="FC188" s="535"/>
      <c r="FD188" s="567" t="e">
        <f t="shared" si="487"/>
        <v>#N/A</v>
      </c>
      <c r="FE188" s="567" t="e">
        <f t="shared" si="488"/>
        <v>#N/A</v>
      </c>
      <c r="FF188" s="568" t="e">
        <f t="shared" si="489"/>
        <v>#N/A</v>
      </c>
      <c r="FG188" s="569" t="s">
        <v>656</v>
      </c>
      <c r="FH188" s="569" t="s">
        <v>656</v>
      </c>
      <c r="FI188" s="567" t="e">
        <v>#N/A</v>
      </c>
      <c r="FJ188" s="567" t="e">
        <v>#N/A</v>
      </c>
      <c r="FK188" s="535">
        <v>23800</v>
      </c>
      <c r="FL188" s="1015">
        <v>0</v>
      </c>
      <c r="FM188" s="535"/>
      <c r="FN188" s="535"/>
      <c r="FO188" s="535">
        <f>O188+((Sheet1!CS186)*GPMtoMGD)</f>
        <v>89.210000000000008</v>
      </c>
      <c r="FP188" s="535">
        <f>IF(Sheet1!AA186+AQ188&lt;=Calculation!N188,AQ188,Calculation!N188-Sheet1!AA186)</f>
        <v>34.296702874170904</v>
      </c>
      <c r="FQ188" s="535">
        <f>(Sheet1!BP186+Sheet1!BO186)/694.4</f>
        <v>3.9632776497695854</v>
      </c>
      <c r="FR188" s="541"/>
      <c r="FS188" s="541"/>
      <c r="FT188" s="541"/>
      <c r="FU188" s="541"/>
      <c r="FV188" s="1109">
        <f t="shared" si="382"/>
        <v>42918</v>
      </c>
      <c r="FW188" s="1109">
        <f t="shared" si="383"/>
        <v>43027</v>
      </c>
      <c r="FX188" s="541"/>
      <c r="FY188" s="541">
        <f>Sheet1!DA186-Sheet1!CZ186-Sheet1!AE186</f>
        <v>53.992130000000003</v>
      </c>
      <c r="FZ188" s="535">
        <f t="shared" si="420"/>
        <v>0.11365050871116368</v>
      </c>
      <c r="GA188" s="535"/>
      <c r="GB188" s="535" t="str">
        <f t="shared" si="384"/>
        <v>n</v>
      </c>
      <c r="GC188" s="539">
        <f t="shared" si="385"/>
        <v>42782</v>
      </c>
      <c r="GD188" s="1109">
        <f t="shared" si="386"/>
        <v>42904</v>
      </c>
      <c r="GE188" s="535">
        <f t="shared" si="404"/>
        <v>6520</v>
      </c>
      <c r="GF188" s="1109">
        <f t="shared" si="387"/>
        <v>42909</v>
      </c>
      <c r="GG188" s="535">
        <f t="shared" si="432"/>
        <v>3260</v>
      </c>
      <c r="GH188" s="539">
        <f t="shared" si="388"/>
        <v>43040</v>
      </c>
      <c r="GJ188" s="521">
        <f t="shared" si="389"/>
        <v>0</v>
      </c>
      <c r="GK188" s="535" t="str">
        <f t="shared" si="490"/>
        <v/>
      </c>
      <c r="GL188" s="535">
        <f t="shared" si="390"/>
        <v>0</v>
      </c>
      <c r="GM188" s="535" t="str">
        <f t="shared" si="391"/>
        <v/>
      </c>
      <c r="GN188" s="535">
        <f>IF(GK188="P",Lookup!$M$12,IF(GK188="PP",Lookup!$M$13,IF(GK188="PPP",Lookup!$M$14,IF(GK188="T",Lookup!$M$15,IF(GK188="TP",Lookup!$M$16,IF(GK188="TPP",Lookup!$M$17,IF(GK188="TPPP",Lookup!$M$18,0)))))))*GJ188</f>
        <v>0</v>
      </c>
      <c r="GO188" s="535">
        <f t="shared" si="392"/>
        <v>0</v>
      </c>
      <c r="GP188" s="535">
        <f t="shared" si="491"/>
        <v>4167.3666666666668</v>
      </c>
      <c r="GQ188" s="974">
        <f t="shared" si="500"/>
        <v>1358.3333333333335</v>
      </c>
      <c r="GR188" s="535"/>
      <c r="GS188" s="535">
        <f t="shared" si="393"/>
        <v>0</v>
      </c>
      <c r="GT188" s="535" t="str">
        <f t="shared" si="394"/>
        <v/>
      </c>
      <c r="GU188" s="535">
        <f>IF(GK188="P",Lookup!$N$12,IF(GK188="PP",Lookup!$N$13,IF(GK188="PPP",Lookup!$N$14,IF(GK188="T",Lookup!$N$15,IF(GK188="TP",Lookup!$N$16,IF(GK188="TPP",Lookup!$N$17,IF(GK188="TPPP",Lookup!$N$18,0)))))))*GJ188</f>
        <v>0</v>
      </c>
      <c r="GV188" s="535">
        <f t="shared" si="395"/>
        <v>0</v>
      </c>
      <c r="GW188" s="535">
        <f t="shared" si="492"/>
        <v>1944.7711111111112</v>
      </c>
      <c r="GX188" s="974">
        <f t="shared" ref="GX188:GX233" si="501">(IF(AND(GB188="Y",B188=GD188),1267.5,(IF(AND(B188&lt;GF188,B188&gt;=GC188),MIN(BU187+BO188-BN188,7/36*GE188),IF(B188=GF188,7/36*GG188,IF(AND(B188&gt;GF188,B188&lt;GH188),(BU187+BO188-BN188),IF(B188&gt;=GH188,0,0)))))))+DT188</f>
        <v>633.88888888888891</v>
      </c>
      <c r="GY188" s="535"/>
      <c r="GZ188" s="535">
        <f t="shared" si="396"/>
        <v>0</v>
      </c>
      <c r="HA188" s="535" t="str">
        <f t="shared" si="397"/>
        <v/>
      </c>
      <c r="HB188" s="535">
        <f>IF(GK188="P",Lookup!$N$12,IF(GK188="PP",Lookup!$N$13,IF(GK188="PPP",Lookup!$N$14,IF(GK188="T",Lookup!$N$15,IF(GK188="TP",Lookup!$N$16,IF(GK188="TPP",Lookup!$N$17,IF(GK188="TPPP",Lookup!$N$18,0)))))))*GJ188</f>
        <v>0</v>
      </c>
      <c r="HC188" s="521">
        <f t="shared" si="493"/>
        <v>0</v>
      </c>
      <c r="HD188" s="535">
        <f t="shared" si="494"/>
        <v>1944.7711111111112</v>
      </c>
      <c r="HE188" s="535">
        <f t="shared" si="401"/>
        <v>633.88888888888891</v>
      </c>
      <c r="HF188" s="535"/>
      <c r="HG188" s="535">
        <f t="shared" si="398"/>
        <v>0</v>
      </c>
      <c r="HH188" s="535" t="str">
        <f t="shared" si="399"/>
        <v/>
      </c>
      <c r="HI188" s="535">
        <f>IF(GK188="P",Lookup!$N$12,IF(GK188="PP",Lookup!$N$13,IF(GK188="PPP",Lookup!$N$14,IF(GK188="T",Lookup!$N$15,IF(GK188="TP",Lookup!$N$16,IF(GK188="TPP",Lookup!$N$17,IF(GK188="TPPP",Lookup!$N$18,0)))))))*GJ188</f>
        <v>0</v>
      </c>
      <c r="HJ188" s="521">
        <f t="shared" si="495"/>
        <v>0</v>
      </c>
      <c r="HK188" s="535">
        <f t="shared" si="496"/>
        <v>1944.7711111111112</v>
      </c>
      <c r="HL188" s="535">
        <f t="shared" si="402"/>
        <v>633.88888888888891</v>
      </c>
      <c r="HM188" s="535"/>
      <c r="HN188" s="541"/>
      <c r="HO188" s="541"/>
      <c r="HP188" s="541"/>
      <c r="HQ188" s="541">
        <f>IF(AND(B188&gt;=$FV$4,B188&lt;=$FW$4),MAX(110/1.02+$HQ$6+MIN(113/1.02,G188),IF($HV$6-(Sheet1!DA186-Sheet1!DB186)+MIN(113/1.02,G188)&lt;G188+FL188,$HV$6-(Sheet1!DA186-Sheet1!DB186)+MIN(113/1.02,G188),G188+FL188)),MIN(110/1.02+$HQ$6+113/1.02,G188))</f>
        <v>218.62745098039215</v>
      </c>
      <c r="HR188" s="541">
        <f t="shared" si="421"/>
        <v>223</v>
      </c>
      <c r="HS188" s="541">
        <f>HR188+(Sheet1!DA186-Sheet1!DB186)</f>
        <v>505</v>
      </c>
      <c r="HT188" s="541">
        <f t="shared" si="422"/>
        <v>38.00979000000001</v>
      </c>
      <c r="HU188" s="541">
        <f t="shared" si="423"/>
        <v>466.99020999999999</v>
      </c>
      <c r="HV188" s="541">
        <f t="shared" si="424"/>
        <v>0</v>
      </c>
      <c r="HW188" s="541" t="str">
        <f t="shared" si="425"/>
        <v/>
      </c>
      <c r="HX188" s="541">
        <f t="shared" si="426"/>
        <v>330.37254901960785</v>
      </c>
      <c r="HY188" s="541">
        <f>Sheet1!CZ186</f>
        <v>549</v>
      </c>
      <c r="HZ188" s="541">
        <f t="shared" si="427"/>
        <v>0</v>
      </c>
      <c r="IA188" s="541">
        <f t="shared" si="428"/>
        <v>38.00979000000001</v>
      </c>
      <c r="IB188" s="541">
        <f t="shared" si="429"/>
        <v>549</v>
      </c>
      <c r="IC188" s="1019" t="str">
        <f t="shared" si="430"/>
        <v/>
      </c>
      <c r="ID188" s="541">
        <f t="shared" si="431"/>
        <v>510.99020999999999</v>
      </c>
      <c r="IE188" s="541">
        <f>Sheet1!DB186</f>
        <v>459</v>
      </c>
      <c r="IF188" s="533">
        <f>Sheet1!DA186</f>
        <v>741</v>
      </c>
      <c r="IH188" s="541">
        <f>IF(AND($B188&gt;=$GC188,$B188&lt;=$GH188,$DR188&lt;0)+N("only adjusted when pool is drawn down during storage season"),Sheet1!$DB186+$DR188+N("Palmer minus all storage release"),Sheet1!$DB186)</f>
        <v>385.07160867372744</v>
      </c>
      <c r="II188" s="541">
        <f>IF(AND($B188&gt;=$GC188,$B188&lt;=$GH188,$DR188&lt;0)+N("only adjusted when pool is drawn down during storage season"),Sheet1!$DA186+$DR188+N("Auburn minus all storage release"),Sheet1!$DA186)</f>
        <v>667.07160867372738</v>
      </c>
    </row>
    <row r="189" spans="1:243" x14ac:dyDescent="0.25">
      <c r="A189" s="553" t="s">
        <v>5</v>
      </c>
      <c r="B189" s="531">
        <v>42913</v>
      </c>
      <c r="C189" s="536">
        <v>0</v>
      </c>
      <c r="D189" s="506">
        <f t="shared" si="371"/>
        <v>300</v>
      </c>
      <c r="E189" s="506">
        <f t="shared" si="372"/>
        <v>250</v>
      </c>
      <c r="F189" s="506">
        <v>250</v>
      </c>
      <c r="G189" s="535">
        <f>DR189+Sheet1!CZ187</f>
        <v>482.70398386283335</v>
      </c>
      <c r="H189" s="1074">
        <f t="shared" si="405"/>
        <v>151.19981433693548</v>
      </c>
      <c r="I189" s="534">
        <f>IF(Sheet1!DA187&gt;=E189,(Sheet1!DA187-E189+P189)*CFStoMGD,0)</f>
        <v>327.85835916799999</v>
      </c>
      <c r="J189" s="995">
        <f>IF(Sheet1!DB187&gt;=D189,(Sheet1!DB187-D189+P189)*CFStoMGD,0)</f>
        <v>158.50155916799997</v>
      </c>
      <c r="K189" s="818">
        <f t="shared" si="406"/>
        <v>64.64</v>
      </c>
      <c r="L189" s="535">
        <f>Sheet1!AA187+Sheet1!AB187-Sheet1!L187+(Sheet1!DA187-F189)*CFStoMGD-S189-T189-U189</f>
        <v>263.21999999999997</v>
      </c>
      <c r="M189" s="535">
        <f t="shared" si="436"/>
        <v>318.26025227231418</v>
      </c>
      <c r="N189" s="824">
        <f>IF(Sheet1!DA187&gt;=F189,MIN(113*CFStoMGD,MIN(MAX(L189,0),MAX(M189,0))),0)</f>
        <v>73.043199999999999</v>
      </c>
      <c r="O189" s="538">
        <f>Sheet1!AA187+Sheet1!AB187</f>
        <v>85.46</v>
      </c>
      <c r="P189" s="538">
        <f t="shared" si="437"/>
        <v>132.20661999999999</v>
      </c>
      <c r="Q189" s="812">
        <f t="shared" si="407"/>
        <v>20.819999999999993</v>
      </c>
      <c r="R189" s="812">
        <f t="shared" si="373"/>
        <v>16.829544797687859</v>
      </c>
      <c r="S189" s="812">
        <f t="shared" si="374"/>
        <v>64.64</v>
      </c>
      <c r="T189" s="812">
        <f t="shared" si="375"/>
        <v>0</v>
      </c>
      <c r="U189" s="812">
        <f t="shared" si="408"/>
        <v>0</v>
      </c>
      <c r="V189" s="812"/>
      <c r="W189" s="812">
        <f t="shared" si="376"/>
        <v>47.810455202312141</v>
      </c>
      <c r="X189" s="812">
        <f t="shared" si="377"/>
        <v>64.64</v>
      </c>
      <c r="Y189" s="812" t="str">
        <f t="shared" si="378"/>
        <v>FALSE</v>
      </c>
      <c r="Z189" s="812">
        <f t="shared" si="379"/>
        <v>85.46</v>
      </c>
      <c r="AA189" s="812">
        <f t="shared" si="380"/>
        <v>85.46</v>
      </c>
      <c r="AB189" s="1059">
        <f t="shared" si="409"/>
        <v>32.208539999999985</v>
      </c>
      <c r="AC189" s="538">
        <f>Sheet1!Y187*MGDtoCFS</f>
        <v>57.548400000000001</v>
      </c>
      <c r="AD189" s="538">
        <f>Sheet1!Z187*MGDtoCFS</f>
        <v>80.196480000000008</v>
      </c>
      <c r="AE189" s="538">
        <f>Sheet1!AA187*MGDtoCFS</f>
        <v>46.7194</v>
      </c>
      <c r="AF189" s="538">
        <f>Sheet1!AB187*MGDtoCFS</f>
        <v>85.487219999999994</v>
      </c>
      <c r="AG189" s="538">
        <f>Sheet1!L187*MGDtoCFS</f>
        <v>0</v>
      </c>
      <c r="AH189" s="521">
        <f t="shared" si="438"/>
        <v>0</v>
      </c>
      <c r="AI189" s="1059">
        <f t="shared" si="439"/>
        <v>0</v>
      </c>
      <c r="AJ189" s="535">
        <f t="shared" si="440"/>
        <v>0</v>
      </c>
      <c r="AK189" s="535">
        <f t="shared" si="441"/>
        <v>0</v>
      </c>
      <c r="AL189" s="535">
        <f>(VLOOKUP(Sheet1!DC187,hhdcap_wcm,4)-(((VLOOKUP(Sheet1!DC187,hhdcap_wcm,3)-Sheet1!DC187)/(VLOOKUP(Sheet1!DC187,hhdcap_wcm,3)-VLOOKUP(Sheet1!DC187,hhdcap_wcm,1)))*(VLOOKUP(Sheet1!DC187,hhdcap_wcm,4)-VLOOKUP(Sheet1!DC187,hhdcap_wcm,2))))</f>
        <v>48863.000000116888</v>
      </c>
      <c r="AM189" s="535">
        <f t="shared" si="442"/>
        <v>-22.400000000001455</v>
      </c>
      <c r="AN189" s="1035">
        <f t="shared" si="443"/>
        <v>3260</v>
      </c>
      <c r="AO189" s="535">
        <f t="shared" si="444"/>
        <v>10001.68</v>
      </c>
      <c r="AP189" s="535">
        <f>Sheet1!BA187+Sheet1!BB187+Sheet1!BN187+CD189</f>
        <v>38.5</v>
      </c>
      <c r="AQ189" s="535">
        <f>Sheet1!BN187+(DO189*Sheet1!BN187)</f>
        <v>38.430455202312139</v>
      </c>
      <c r="AR189" s="535">
        <f>Sheet1!BA187+CD189</f>
        <v>0</v>
      </c>
      <c r="AS189" s="535">
        <f>Sheet1!BA187+Sheet1!BB187+CD189</f>
        <v>0</v>
      </c>
      <c r="AT189" s="649">
        <f>0</f>
        <v>0</v>
      </c>
      <c r="AU189" s="974">
        <f>BA189+Sheet1!EH187</f>
        <v>0</v>
      </c>
      <c r="AV189" s="535">
        <f>IF(OR(B189&gt;=GD189,B189&lt;GC189),0,15/36*K189-MAX(0,64.6-(137.6-(Sheet1!AA187+Sheet1!AB187))))</f>
        <v>0</v>
      </c>
      <c r="AW189" s="1029"/>
      <c r="AX189" s="649"/>
      <c r="AY189" s="649">
        <f t="shared" si="410"/>
        <v>0</v>
      </c>
      <c r="AZ189" s="649">
        <f t="shared" si="411"/>
        <v>0</v>
      </c>
      <c r="BA189" s="1059">
        <f t="shared" si="412"/>
        <v>0</v>
      </c>
      <c r="BB189" s="1019">
        <f t="shared" si="445"/>
        <v>1358.3333333333335</v>
      </c>
      <c r="BC189" s="1041">
        <f t="shared" si="413"/>
        <v>26.933333333333334</v>
      </c>
      <c r="BD189" s="1019">
        <f ca="1">IF(B189&gt;(Summary!$A$1-1),#N/A,BB189*MGtoAF)</f>
        <v>4167.3666666666668</v>
      </c>
      <c r="BE189" s="535">
        <f>Sheet1!BG187+Sheet1!BH187+Sheet1!BI187-BM189</f>
        <v>2.02</v>
      </c>
      <c r="BF189" s="535">
        <f t="shared" si="446"/>
        <v>2.0163511560693643</v>
      </c>
      <c r="BG189" s="535">
        <f>IF(Sheet1!EP187="FM",BM189,0)</f>
        <v>0</v>
      </c>
      <c r="BH189" s="535">
        <f t="shared" si="447"/>
        <v>0</v>
      </c>
      <c r="BI189" s="535">
        <f>IF(Sheet1!EP187="OTHER",BM189,0)</f>
        <v>0</v>
      </c>
      <c r="BJ189" s="535">
        <f t="shared" si="448"/>
        <v>0</v>
      </c>
      <c r="BK189" s="535">
        <f t="shared" si="449"/>
        <v>2.02</v>
      </c>
      <c r="BL189" s="535">
        <f t="shared" si="450"/>
        <v>2.0163511560693643</v>
      </c>
      <c r="BM189" s="535">
        <f>IF(OR(Sheet1!EP187="FM", Sheet1!EP187="OTHER"),SUM(Sheet1!BG187:'Sheet1'!BI187),0)</f>
        <v>0</v>
      </c>
      <c r="BN189" s="521">
        <f>IF(AND($B189&gt;=$FV189,$B189&lt;=$FW189),MAX(BF189,Sheet1!EI187,0),MAX(BF189-(7/36)*$K189,0))</f>
        <v>0</v>
      </c>
      <c r="BO189" s="535">
        <f t="shared" si="497"/>
        <v>0</v>
      </c>
      <c r="BP189" s="521">
        <f t="shared" si="452"/>
        <v>2.0163511560693643</v>
      </c>
      <c r="BQ189" s="521">
        <f>IF(AND($O189&gt;0,Sheet1!EM187=1),(1-($O189-Sheet1!$L187)/$O189)*BL189,0)</f>
        <v>0</v>
      </c>
      <c r="BR189" s="521">
        <f>IF(AND(Sheet1!$L187=0,Sheet1!$L186=0, Calculation!BK189&lt;Sheet1!$EI187-0.1,Sheet1!$EI187=Sheet1!$EI186,Sheet1!$EI187=Sheet1!$EI188),BL189-BQ189,BL189-BQ189)</f>
        <v>2.0163511560693643</v>
      </c>
      <c r="BS189" s="1035" t="str">
        <f t="shared" si="414"/>
        <v/>
      </c>
      <c r="BT189" s="1035">
        <f t="shared" si="415"/>
        <v>12.568888888888889</v>
      </c>
      <c r="BU189" s="535">
        <f t="shared" si="453"/>
        <v>633.88888888888891</v>
      </c>
      <c r="BV189" s="535"/>
      <c r="BW189" s="535">
        <f ca="1">IF(B189&gt;(Summary!$A$1-1),#N/A,BU189*MGtoAF)</f>
        <v>1944.7711111111112</v>
      </c>
      <c r="BX189" s="535">
        <f>Sheet1!BC187+Sheet1!BD187+Sheet1!BE187+Sheet1!BF187-CG189-CH189</f>
        <v>5.38</v>
      </c>
      <c r="BY189" s="535">
        <f t="shared" si="454"/>
        <v>5.3702817919075141</v>
      </c>
      <c r="BZ189" s="535">
        <f>IF(Sheet1!EQ187="FM",CH189,0)</f>
        <v>0</v>
      </c>
      <c r="CA189" s="535">
        <f t="shared" si="455"/>
        <v>0</v>
      </c>
      <c r="CB189" s="535">
        <f>IF(Sheet1!EQ187="OTHER",CH189,0)</f>
        <v>0</v>
      </c>
      <c r="CC189" s="535">
        <f t="shared" si="456"/>
        <v>0</v>
      </c>
      <c r="CD189" s="535">
        <f t="shared" si="457"/>
        <v>0</v>
      </c>
      <c r="CE189" s="535">
        <f t="shared" si="458"/>
        <v>5.38</v>
      </c>
      <c r="CF189" s="535">
        <f t="shared" si="459"/>
        <v>5.3702817919075141</v>
      </c>
      <c r="CG189" s="535">
        <f>IF(Sheet1!EQ187="CWA",SUM(Sheet1!BC187:'Sheet1'!BF187),0)</f>
        <v>0</v>
      </c>
      <c r="CH189" s="535">
        <f>IF(OR(Sheet1!EQ187="FM", Sheet1!EQ187="OTHER"),SUM(Sheet1!BC187:'Sheet1'!BF187),0)</f>
        <v>0</v>
      </c>
      <c r="CI189" s="521">
        <f>IF(AND($B189&gt;=$FV189,$B189&lt;=$FW189),MAX(CF189,Sheet1!EJ187,0),MAX(CF189-(7/36)*$K189,0))</f>
        <v>0</v>
      </c>
      <c r="CJ189" s="535">
        <f t="shared" si="499"/>
        <v>0</v>
      </c>
      <c r="CK189" s="521">
        <f t="shared" si="461"/>
        <v>5.3702817919075141</v>
      </c>
      <c r="CL189" s="521">
        <f>IF(AND($O189&gt;0,Sheet1!EN187=1),(1-($O189-Sheet1!$L187)/$O189)*CF189,0)</f>
        <v>0</v>
      </c>
      <c r="CM189" s="521">
        <f>IF(AND(Sheet1!$L187=0,Sheet1!$L186=0, Calculation!CE189&lt;Sheet1!EJ187-0.1,Sheet1!EJ187=Sheet1!EJ186,Sheet1!EJ187=Sheet1!EJ188),CF189-CL189,CF189-CL189)</f>
        <v>5.3702817919075141</v>
      </c>
      <c r="CN189" s="1040" t="str">
        <f t="shared" si="416"/>
        <v/>
      </c>
      <c r="CO189" s="1035">
        <f t="shared" si="417"/>
        <v>12.568888888888889</v>
      </c>
      <c r="CP189" s="535">
        <f t="shared" si="462"/>
        <v>633.88888888888891</v>
      </c>
      <c r="CQ189" s="535"/>
      <c r="CR189" s="535">
        <f ca="1">IF(B189&gt;(Summary!$A$1-1),#N/A,CP189*MGtoAF)</f>
        <v>1944.7711111111112</v>
      </c>
      <c r="CS189" s="535">
        <f>Sheet1!BK187+Sheet1!BL187+Sheet1!BM187-Sheet1!ER187-DA189</f>
        <v>9.4600000000000009</v>
      </c>
      <c r="CT189" s="535">
        <f t="shared" si="463"/>
        <v>9.442911849710983</v>
      </c>
      <c r="CU189" s="535">
        <f>IF(Sheet1!ER187="FM",DA189,0)</f>
        <v>0</v>
      </c>
      <c r="CV189" s="535">
        <f t="shared" si="464"/>
        <v>0</v>
      </c>
      <c r="CW189" s="535">
        <f>IF(Sheet1!ER187="OTHER",DA189,0)</f>
        <v>0</v>
      </c>
      <c r="CX189" s="535">
        <f t="shared" si="465"/>
        <v>0</v>
      </c>
      <c r="CY189" s="535">
        <f t="shared" si="466"/>
        <v>9.4600000000000009</v>
      </c>
      <c r="CZ189" s="535">
        <f t="shared" si="467"/>
        <v>9.442911849710983</v>
      </c>
      <c r="DA189" s="535">
        <f>IF(OR(Sheet1!ER187="FM", Sheet1!ER187="OTHER"),SUM(Sheet1!BK187:'Sheet1'!BM187),0)</f>
        <v>0</v>
      </c>
      <c r="DB189" s="1011">
        <f>IF(AND($B189&gt;=$FV189,$B189&lt;=$FW189),MAX($CT189,Sheet1!EK187,0),MAX($CT189-(7/36)*$K189,0))</f>
        <v>0</v>
      </c>
      <c r="DC189" s="1012">
        <f t="shared" si="498"/>
        <v>0</v>
      </c>
      <c r="DD189" s="1011">
        <f t="shared" si="469"/>
        <v>9.442911849710983</v>
      </c>
      <c r="DE189" s="521">
        <f>IF(AND($O189&gt;0,Sheet1!EO187=1),(1-($O189-Sheet1!$L187)/$O189)*CZ189,0)</f>
        <v>0</v>
      </c>
      <c r="DF189" s="521">
        <f>IF(AND(Sheet1!$L187=0,Sheet1!$L186=0, Calculation!CY189&lt;Sheet1!$EK187-0.1,Sheet1!$EK187=Sheet1!$EK186,Sheet1!$EK187=Sheet1!$EK188),CZ189-DE189,CZ189-DE189)</f>
        <v>9.442911849710983</v>
      </c>
      <c r="DG189" s="1040">
        <f t="shared" si="418"/>
        <v>12.568888888888889</v>
      </c>
      <c r="DH189" s="649">
        <f t="shared" si="470"/>
        <v>16.86</v>
      </c>
      <c r="DI189" s="535">
        <f t="shared" si="471"/>
        <v>633.88888888888891</v>
      </c>
      <c r="DJ189" s="649">
        <f t="shared" si="472"/>
        <v>16.829544797687859</v>
      </c>
      <c r="DK189" s="535">
        <f ca="1">IF(B189&gt;(Summary!$A$1-1),#N/A,DI189*MGtoAF)</f>
        <v>1944.7711111111112</v>
      </c>
      <c r="DL189" s="649">
        <f t="shared" si="473"/>
        <v>16.86</v>
      </c>
      <c r="DM189" s="535">
        <f t="shared" si="474"/>
        <v>55.36</v>
      </c>
      <c r="DN189" s="535">
        <f>Sheet1!AB187-DM189</f>
        <v>-0.10000000000000142</v>
      </c>
      <c r="DO189" s="743">
        <f t="shared" si="475"/>
        <v>-1.8063583815029159E-3</v>
      </c>
      <c r="DP189" s="535">
        <f>(VLOOKUP(Sheet1!DC187,hhdcap_wcm,4)-(((VLOOKUP(Sheet1!DC187,hhdcap_wcm,3)-Sheet1!DC187)/(VLOOKUP(Sheet1!DC187,hhdcap_wcm,3)-VLOOKUP(Sheet1!DC187,hhdcap_wcm,1)))*(VLOOKUP(Sheet1!DC187,hhdcap_wcm,4)-VLOOKUP(Sheet1!DC187,hhdcap_wcm,2))))</f>
        <v>48863.000000116888</v>
      </c>
      <c r="DQ189" s="535">
        <f t="shared" si="476"/>
        <v>-22.400000000001455</v>
      </c>
      <c r="DR189" s="535">
        <f t="shared" si="477"/>
        <v>-11.296016137166642</v>
      </c>
      <c r="DS189" s="535">
        <f>Sheet1!EA187*AFtoMG</f>
        <v>0</v>
      </c>
      <c r="DT189" s="535">
        <f>Sheet1!EB187*AFtoMG</f>
        <v>0</v>
      </c>
      <c r="DU189" s="535">
        <f>Sheet1!EC187*AFtoMG</f>
        <v>0</v>
      </c>
      <c r="DV189" s="535">
        <f>Sheet1!ED187*AFtoMG</f>
        <v>0</v>
      </c>
      <c r="DW189" s="535">
        <f t="shared" si="478"/>
        <v>0</v>
      </c>
      <c r="DX189" s="535">
        <f t="shared" si="479"/>
        <v>0</v>
      </c>
      <c r="DY189" s="535">
        <f t="shared" si="480"/>
        <v>3260</v>
      </c>
      <c r="DZ189" s="535">
        <f t="shared" si="481"/>
        <v>10001.68</v>
      </c>
      <c r="EA189" s="535"/>
      <c r="EB189" s="521">
        <f>IF(OR(B189&lt;FV189,B189&gt;FW189),(MIN(BF189+BY189+CT189+MAX(Sheet1!AA187+AQ189-73,0),K189)),0)</f>
        <v>16.829544797687859</v>
      </c>
      <c r="EC189" s="535"/>
      <c r="ED189" s="535">
        <f t="shared" si="482"/>
        <v>16.829544797687859</v>
      </c>
      <c r="EE189" s="535"/>
      <c r="EF189" s="535">
        <f>Sheet1!EH187+Sheet1!EI187+Sheet1!EJ187+Sheet1!EK187</f>
        <v>16.5</v>
      </c>
      <c r="EG189" s="1019">
        <f t="shared" si="419"/>
        <v>25.525499999999997</v>
      </c>
      <c r="EH189" s="521">
        <f t="shared" si="483"/>
        <v>0</v>
      </c>
      <c r="EI189" s="535">
        <f>IF(Sheet1!ET187=1,SUM('Calculations II'!AT189:BA189)+'Calculations II'!BC189+Sheet1!BV187+'Calculations II'!BE189+AP189,'Calculations II'!BK189)</f>
        <v>66.03024720231214</v>
      </c>
      <c r="EJ189" s="535">
        <f ca="1">EI189+'Calculations II'!D189+'Calculations II'!E189+'Calculations II'!O189</f>
        <v>69.84930315760343</v>
      </c>
      <c r="EK189" s="535"/>
      <c r="EL189" s="535"/>
      <c r="EM189" s="535">
        <f t="shared" si="484"/>
        <v>42913</v>
      </c>
      <c r="EN189" s="535">
        <f t="shared" si="485"/>
        <v>0</v>
      </c>
      <c r="EO189" s="535">
        <f t="shared" si="486"/>
        <v>0</v>
      </c>
      <c r="EP189" s="535">
        <v>0</v>
      </c>
      <c r="EQ189" s="535">
        <v>0</v>
      </c>
      <c r="ER189" s="535">
        <v>0</v>
      </c>
      <c r="ES189" s="521">
        <f t="shared" si="381"/>
        <v>-3.3270190606723391</v>
      </c>
      <c r="ET189" s="535">
        <f>-(VLOOKUP(Sheet1!BQ187,Lookup!$O$4:$Q$262,2)-VLOOKUP(Sheet1!BQ186,Lookup!$O$4:$Q$262,2))/1000000</f>
        <v>-1.6632402466960139</v>
      </c>
      <c r="EU189" s="535">
        <f>-(VLOOKUP(Sheet1!BR187,Lookup!$O$4:$Q$262,3)-VLOOKUP(Sheet1!BR186,Lookup!$O$4:$Q$262,3))/1000000</f>
        <v>-1.663778813976325</v>
      </c>
      <c r="EV189" s="535"/>
      <c r="EW189" s="535"/>
      <c r="EX189" s="535"/>
      <c r="EY189" s="535">
        <f t="shared" si="434"/>
        <v>14.739289664856475</v>
      </c>
      <c r="EZ189" s="535">
        <f t="shared" si="435"/>
        <v>9.5276597704308177</v>
      </c>
      <c r="FA189" s="535"/>
      <c r="FB189" s="535"/>
      <c r="FC189" s="535"/>
      <c r="FD189" s="567" t="e">
        <f t="shared" si="487"/>
        <v>#N/A</v>
      </c>
      <c r="FE189" s="567" t="e">
        <f t="shared" si="488"/>
        <v>#N/A</v>
      </c>
      <c r="FF189" s="568" t="e">
        <f t="shared" si="489"/>
        <v>#N/A</v>
      </c>
      <c r="FG189" s="569" t="s">
        <v>656</v>
      </c>
      <c r="FH189" s="569" t="s">
        <v>656</v>
      </c>
      <c r="FI189" s="567" t="e">
        <v>#N/A</v>
      </c>
      <c r="FJ189" s="567" t="e">
        <v>#N/A</v>
      </c>
      <c r="FK189" s="535">
        <v>23750</v>
      </c>
      <c r="FL189" s="1015">
        <v>0</v>
      </c>
      <c r="FM189" s="535"/>
      <c r="FN189" s="535"/>
      <c r="FO189" s="535">
        <f>O189+((Sheet1!CS187)*GPMtoMGD)</f>
        <v>85.46</v>
      </c>
      <c r="FP189" s="535">
        <f>IF(Sheet1!AA187+AQ189&lt;=Calculation!N189,AQ189,Calculation!N189-Sheet1!AA187)</f>
        <v>38.430455202312139</v>
      </c>
      <c r="FQ189" s="535">
        <f>(Sheet1!BP187+Sheet1!BO187)/694.4</f>
        <v>3.405241935483871</v>
      </c>
      <c r="FR189" s="541"/>
      <c r="FS189" s="541"/>
      <c r="FT189" s="541"/>
      <c r="FU189" s="541"/>
      <c r="FV189" s="1109">
        <f t="shared" si="382"/>
        <v>42918</v>
      </c>
      <c r="FW189" s="1109">
        <f t="shared" si="383"/>
        <v>43027</v>
      </c>
      <c r="FX189" s="541"/>
      <c r="FY189" s="541">
        <f>Sheet1!DA187-Sheet1!CZ187-Sheet1!AE187</f>
        <v>-1.2066199999999867</v>
      </c>
      <c r="FZ189" s="535">
        <f t="shared" si="420"/>
        <v>-2.499710050752064E-3</v>
      </c>
      <c r="GA189" s="535"/>
      <c r="GB189" s="535" t="str">
        <f t="shared" si="384"/>
        <v>n</v>
      </c>
      <c r="GC189" s="539">
        <f t="shared" si="385"/>
        <v>42782</v>
      </c>
      <c r="GD189" s="1109">
        <f t="shared" si="386"/>
        <v>42904</v>
      </c>
      <c r="GE189" s="535">
        <f t="shared" si="404"/>
        <v>6520</v>
      </c>
      <c r="GF189" s="1109">
        <f t="shared" si="387"/>
        <v>42909</v>
      </c>
      <c r="GG189" s="535">
        <f t="shared" si="432"/>
        <v>3260</v>
      </c>
      <c r="GH189" s="539">
        <f t="shared" si="388"/>
        <v>43040</v>
      </c>
      <c r="GJ189" s="521">
        <f t="shared" si="389"/>
        <v>0</v>
      </c>
      <c r="GK189" s="535" t="str">
        <f t="shared" si="490"/>
        <v/>
      </c>
      <c r="GL189" s="535">
        <f t="shared" si="390"/>
        <v>0</v>
      </c>
      <c r="GM189" s="535" t="str">
        <f t="shared" si="391"/>
        <v/>
      </c>
      <c r="GN189" s="535">
        <f>IF(GK189="P",Lookup!$M$12,IF(GK189="PP",Lookup!$M$13,IF(GK189="PPP",Lookup!$M$14,IF(GK189="T",Lookup!$M$15,IF(GK189="TP",Lookup!$M$16,IF(GK189="TPP",Lookup!$M$17,IF(GK189="TPPP",Lookup!$M$18,0)))))))*GJ189</f>
        <v>0</v>
      </c>
      <c r="GO189" s="535">
        <f t="shared" si="392"/>
        <v>0</v>
      </c>
      <c r="GP189" s="535">
        <f t="shared" si="491"/>
        <v>4167.3666666666668</v>
      </c>
      <c r="GQ189" s="974">
        <f t="shared" si="500"/>
        <v>1358.3333333333335</v>
      </c>
      <c r="GR189" s="535"/>
      <c r="GS189" s="535">
        <f t="shared" si="393"/>
        <v>0</v>
      </c>
      <c r="GT189" s="535" t="str">
        <f t="shared" si="394"/>
        <v/>
      </c>
      <c r="GU189" s="535">
        <f>IF(GK189="P",Lookup!$N$12,IF(GK189="PP",Lookup!$N$13,IF(GK189="PPP",Lookup!$N$14,IF(GK189="T",Lookup!$N$15,IF(GK189="TP",Lookup!$N$16,IF(GK189="TPP",Lookup!$N$17,IF(GK189="TPPP",Lookup!$N$18,0)))))))*GJ189</f>
        <v>0</v>
      </c>
      <c r="GV189" s="535">
        <f t="shared" si="395"/>
        <v>0</v>
      </c>
      <c r="GW189" s="535">
        <f t="shared" si="492"/>
        <v>1944.7711111111112</v>
      </c>
      <c r="GX189" s="974">
        <f t="shared" si="501"/>
        <v>633.88888888888891</v>
      </c>
      <c r="GY189" s="535"/>
      <c r="GZ189" s="535">
        <f t="shared" si="396"/>
        <v>0</v>
      </c>
      <c r="HA189" s="535" t="str">
        <f t="shared" si="397"/>
        <v/>
      </c>
      <c r="HB189" s="535">
        <f>IF(GK189="P",Lookup!$N$12,IF(GK189="PP",Lookup!$N$13,IF(GK189="PPP",Lookup!$N$14,IF(GK189="T",Lookup!$N$15,IF(GK189="TP",Lookup!$N$16,IF(GK189="TPP",Lookup!$N$17,IF(GK189="TPPP",Lookup!$N$18,0)))))))*GJ189</f>
        <v>0</v>
      </c>
      <c r="HC189" s="521">
        <f t="shared" si="493"/>
        <v>0</v>
      </c>
      <c r="HD189" s="535">
        <f t="shared" si="494"/>
        <v>1944.7711111111112</v>
      </c>
      <c r="HE189" s="535">
        <f t="shared" si="401"/>
        <v>633.88888888888891</v>
      </c>
      <c r="HF189" s="535"/>
      <c r="HG189" s="535">
        <f t="shared" si="398"/>
        <v>0</v>
      </c>
      <c r="HH189" s="535" t="str">
        <f t="shared" si="399"/>
        <v/>
      </c>
      <c r="HI189" s="535">
        <f>IF(GK189="P",Lookup!$N$12,IF(GK189="PP",Lookup!$N$13,IF(GK189="PPP",Lookup!$N$14,IF(GK189="T",Lookup!$N$15,IF(GK189="TP",Lookup!$N$16,IF(GK189="TPP",Lookup!$N$17,IF(GK189="TPPP",Lookup!$N$18,0)))))))*GJ189</f>
        <v>0</v>
      </c>
      <c r="HJ189" s="521">
        <f t="shared" si="495"/>
        <v>0</v>
      </c>
      <c r="HK189" s="535">
        <f t="shared" si="496"/>
        <v>1944.7711111111112</v>
      </c>
      <c r="HL189" s="535">
        <f t="shared" si="402"/>
        <v>633.88888888888891</v>
      </c>
      <c r="HM189" s="535"/>
      <c r="HN189" s="541"/>
      <c r="HO189" s="541"/>
      <c r="HP189" s="541"/>
      <c r="HQ189" s="541">
        <f>IF(AND(B189&gt;=$FV$4,B189&lt;=$FW$4),MAX(110/1.02+$HQ$6+MIN(113/1.02,G189),IF($HV$6-(Sheet1!DA187-Sheet1!DB187)+MIN(113/1.02,G189)&lt;G189+FL189,$HV$6-(Sheet1!DA187-Sheet1!DB187)+MIN(113/1.02,G189),G189+FL189)),MIN(110/1.02+$HQ$6+113/1.02,G189))</f>
        <v>218.62745098039215</v>
      </c>
      <c r="HR189" s="541">
        <f t="shared" si="421"/>
        <v>223</v>
      </c>
      <c r="HS189" s="541">
        <f>HR189+(Sheet1!DA187-Sheet1!DB187)</f>
        <v>435</v>
      </c>
      <c r="HT189" s="541">
        <f t="shared" si="422"/>
        <v>32.208539999999985</v>
      </c>
      <c r="HU189" s="541">
        <f t="shared" si="423"/>
        <v>402.79146000000003</v>
      </c>
      <c r="HV189" s="541">
        <f t="shared" si="424"/>
        <v>0</v>
      </c>
      <c r="HW189" s="533" t="str">
        <f t="shared" si="425"/>
        <v/>
      </c>
      <c r="HX189" s="541">
        <f t="shared" si="426"/>
        <v>275.37254901960785</v>
      </c>
      <c r="HY189" s="541">
        <f>Sheet1!CZ187</f>
        <v>494</v>
      </c>
      <c r="HZ189" s="541">
        <f t="shared" si="427"/>
        <v>0</v>
      </c>
      <c r="IA189" s="541">
        <f t="shared" si="428"/>
        <v>32.208539999999985</v>
      </c>
      <c r="IB189" s="541">
        <f t="shared" si="429"/>
        <v>494</v>
      </c>
      <c r="IC189" s="1019" t="str">
        <f t="shared" si="430"/>
        <v/>
      </c>
      <c r="ID189" s="541">
        <f t="shared" si="431"/>
        <v>461.79146000000003</v>
      </c>
      <c r="IE189" s="541">
        <f>Sheet1!DB187</f>
        <v>413</v>
      </c>
      <c r="IF189" s="533">
        <f>Sheet1!DA187</f>
        <v>625</v>
      </c>
      <c r="IH189" s="541">
        <f>IF(AND($B189&gt;=$GC189,$B189&lt;=$GH189,$DR189&lt;0)+N("only adjusted when pool is drawn down during storage season"),Sheet1!$DB187+$DR189+N("Palmer minus all storage release"),Sheet1!$DB187)</f>
        <v>401.70398386283335</v>
      </c>
      <c r="II189" s="541">
        <f>IF(AND($B189&gt;=$GC189,$B189&lt;=$GH189,$DR189&lt;0)+N("only adjusted when pool is drawn down during storage season"),Sheet1!$DA187+$DR189+N("Auburn minus all storage release"),Sheet1!$DA187)</f>
        <v>613.70398386283341</v>
      </c>
    </row>
    <row r="190" spans="1:243" x14ac:dyDescent="0.25">
      <c r="A190" s="553" t="s">
        <v>6</v>
      </c>
      <c r="B190" s="531">
        <v>42914</v>
      </c>
      <c r="C190" s="536">
        <v>0</v>
      </c>
      <c r="D190" s="506">
        <f t="shared" si="371"/>
        <v>300</v>
      </c>
      <c r="E190" s="506">
        <f t="shared" si="372"/>
        <v>250</v>
      </c>
      <c r="F190" s="506">
        <v>250</v>
      </c>
      <c r="G190" s="535">
        <f>DR190+Sheet1!CZ188</f>
        <v>488.35199193141852</v>
      </c>
      <c r="H190" s="1074">
        <f t="shared" si="405"/>
        <v>136.85560886446891</v>
      </c>
      <c r="I190" s="534">
        <f>IF(Sheet1!DA188&gt;=E190,(Sheet1!DA188-E190+P190)*CFStoMGD,0)</f>
        <v>313.74168128000002</v>
      </c>
      <c r="J190" s="995">
        <f>IF(Sheet1!DB188&gt;=D190,(Sheet1!DB188-D190+P190)*CFStoMGD,0)</f>
        <v>140.50648127999997</v>
      </c>
      <c r="K190" s="818">
        <f t="shared" si="406"/>
        <v>64.64</v>
      </c>
      <c r="L190" s="535">
        <f>Sheet1!AA188+Sheet1!AB188-Sheet1!L188+(Sheet1!DA188-F190)*CFStoMGD-S190-T190-U190</f>
        <v>249.10320000000002</v>
      </c>
      <c r="M190" s="535">
        <f t="shared" si="436"/>
        <v>321.98414213615831</v>
      </c>
      <c r="N190" s="824">
        <f>IF(Sheet1!DA188&gt;=F190,MIN(113*CFStoMGD,MIN(MAX(L190,0),MAX(M190,0))),0)</f>
        <v>73.043199999999999</v>
      </c>
      <c r="O190" s="538">
        <f>Sheet1!AA188+Sheet1!AB188</f>
        <v>79.099999999999994</v>
      </c>
      <c r="P190" s="538">
        <f t="shared" si="437"/>
        <v>122.36769999999999</v>
      </c>
      <c r="Q190" s="812">
        <f t="shared" si="407"/>
        <v>14.459999999999994</v>
      </c>
      <c r="R190" s="812">
        <f t="shared" si="373"/>
        <v>16.5</v>
      </c>
      <c r="S190" s="812">
        <f t="shared" si="374"/>
        <v>64.64</v>
      </c>
      <c r="T190" s="812">
        <f t="shared" si="375"/>
        <v>0</v>
      </c>
      <c r="U190" s="812">
        <f t="shared" si="408"/>
        <v>0</v>
      </c>
      <c r="V190" s="812"/>
      <c r="W190" s="812">
        <f t="shared" si="376"/>
        <v>48.213823589325727</v>
      </c>
      <c r="X190" s="812">
        <f t="shared" si="377"/>
        <v>64.64</v>
      </c>
      <c r="Y190" s="812" t="str">
        <f t="shared" si="378"/>
        <v>FALSE</v>
      </c>
      <c r="Z190" s="812">
        <f t="shared" si="379"/>
        <v>79.099999999999994</v>
      </c>
      <c r="AA190" s="812">
        <f t="shared" si="380"/>
        <v>79.099999999999994</v>
      </c>
      <c r="AB190" s="1059">
        <f t="shared" si="409"/>
        <v>22.369619999999991</v>
      </c>
      <c r="AC190" s="538">
        <f>Sheet1!Y188*MGDtoCFS</f>
        <v>46.7194</v>
      </c>
      <c r="AD190" s="538">
        <f>Sheet1!Z188*MGDtoCFS</f>
        <v>85.487219999999994</v>
      </c>
      <c r="AE190" s="538">
        <f>Sheet1!AA188*MGDtoCFS</f>
        <v>46.7194</v>
      </c>
      <c r="AF190" s="538">
        <f>Sheet1!AB188*MGDtoCFS</f>
        <v>75.648299999999992</v>
      </c>
      <c r="AG190" s="538">
        <f>Sheet1!L188*MGDtoCFS</f>
        <v>0</v>
      </c>
      <c r="AH190" s="521">
        <f t="shared" si="438"/>
        <v>0</v>
      </c>
      <c r="AI190" s="1059">
        <f t="shared" si="439"/>
        <v>0</v>
      </c>
      <c r="AJ190" s="535">
        <f t="shared" si="440"/>
        <v>0</v>
      </c>
      <c r="AK190" s="535">
        <f t="shared" si="441"/>
        <v>0</v>
      </c>
      <c r="AL190" s="535">
        <f>(VLOOKUP(Sheet1!DC188,hhdcap_wcm,4)-(((VLOOKUP(Sheet1!DC188,hhdcap_wcm,3)-Sheet1!DC188)/(VLOOKUP(Sheet1!DC188,hhdcap_wcm,3)-VLOOKUP(Sheet1!DC188,hhdcap_wcm,1)))*(VLOOKUP(Sheet1!DC188,hhdcap_wcm,4)-VLOOKUP(Sheet1!DC188,hhdcap_wcm,2))))</f>
        <v>48851.800000116891</v>
      </c>
      <c r="AM190" s="535">
        <f t="shared" si="442"/>
        <v>-11.19999999999709</v>
      </c>
      <c r="AN190" s="1035">
        <f t="shared" si="443"/>
        <v>3260</v>
      </c>
      <c r="AO190" s="535">
        <f t="shared" si="444"/>
        <v>10001.68</v>
      </c>
      <c r="AP190" s="535">
        <f>Sheet1!BA188+Sheet1!BB188+Sheet1!BN188+CD190</f>
        <v>32.6</v>
      </c>
      <c r="AQ190" s="535">
        <f>Sheet1!BN188+(DO190*Sheet1!BN188)</f>
        <v>32.473823589325725</v>
      </c>
      <c r="AR190" s="535">
        <f>Sheet1!BA188+CD190</f>
        <v>0</v>
      </c>
      <c r="AS190" s="535">
        <f>Sheet1!BA188+Sheet1!BB188+CD190</f>
        <v>0</v>
      </c>
      <c r="AT190" s="649">
        <f>0</f>
        <v>0</v>
      </c>
      <c r="AU190" s="974">
        <f>BA190+Sheet1!EH188</f>
        <v>0</v>
      </c>
      <c r="AV190" s="535">
        <f>IF(OR(B190&gt;=GD190,B190&lt;GC190),0,15/36*K190-MAX(0,64.6-(137.6-(Sheet1!AA188+Sheet1!AB188))))</f>
        <v>0</v>
      </c>
      <c r="AW190" s="1029"/>
      <c r="AX190" s="649"/>
      <c r="AY190" s="649">
        <f t="shared" si="410"/>
        <v>0</v>
      </c>
      <c r="AZ190" s="649">
        <f t="shared" si="411"/>
        <v>0</v>
      </c>
      <c r="BA190" s="1059">
        <f t="shared" si="412"/>
        <v>0</v>
      </c>
      <c r="BB190" s="1019">
        <f t="shared" si="445"/>
        <v>1358.3333333333335</v>
      </c>
      <c r="BC190" s="1041">
        <f t="shared" si="413"/>
        <v>26.933333333333334</v>
      </c>
      <c r="BD190" s="1019">
        <f ca="1">IF(B190&gt;(Summary!$A$1-1),#N/A,BB190*MGtoAF)</f>
        <v>4167.3666666666668</v>
      </c>
      <c r="BE190" s="535">
        <f>Sheet1!BG188+Sheet1!BH188+Sheet1!BI188-BM190</f>
        <v>2.02</v>
      </c>
      <c r="BF190" s="535">
        <f t="shared" si="446"/>
        <v>2.0121817070686494</v>
      </c>
      <c r="BG190" s="535">
        <f>IF(Sheet1!EP188="FM",BM190,0)</f>
        <v>0</v>
      </c>
      <c r="BH190" s="535">
        <f t="shared" si="447"/>
        <v>0</v>
      </c>
      <c r="BI190" s="535">
        <f>IF(Sheet1!EP188="OTHER",BM190,0)</f>
        <v>0</v>
      </c>
      <c r="BJ190" s="535">
        <f t="shared" si="448"/>
        <v>0</v>
      </c>
      <c r="BK190" s="535">
        <f t="shared" si="449"/>
        <v>2.02</v>
      </c>
      <c r="BL190" s="535">
        <f t="shared" si="450"/>
        <v>2.0121817070686494</v>
      </c>
      <c r="BM190" s="535">
        <f>IF(OR(Sheet1!EP188="FM", Sheet1!EP188="OTHER"),SUM(Sheet1!BG188:'Sheet1'!BI188),0)</f>
        <v>0</v>
      </c>
      <c r="BN190" s="521">
        <f>IF(AND($B190&gt;=$FV190,$B190&lt;=$FW190),MAX(BF190,Sheet1!EI188,0),MAX(BF190-(7/36)*$K190,0))</f>
        <v>0</v>
      </c>
      <c r="BO190" s="535">
        <f t="shared" si="497"/>
        <v>0</v>
      </c>
      <c r="BP190" s="521">
        <f t="shared" si="452"/>
        <v>2.0121817070686494</v>
      </c>
      <c r="BQ190" s="521">
        <f>IF(AND($O190&gt;0,Sheet1!EM188=1),(1-($O190-Sheet1!$L188)/$O190)*BL190,0)</f>
        <v>0</v>
      </c>
      <c r="BR190" s="521">
        <f>IF(AND(Sheet1!$L188=0,Sheet1!$L187=0, Calculation!BK190&lt;Sheet1!$EI188-0.1,Sheet1!$EI188=Sheet1!$EI187,Sheet1!$EI188=Sheet1!$EI189),BL190-BQ190,BL190-BQ190)</f>
        <v>2.0121817070686494</v>
      </c>
      <c r="BS190" s="1035" t="str">
        <f t="shared" si="414"/>
        <v/>
      </c>
      <c r="BT190" s="1035">
        <f t="shared" si="415"/>
        <v>12.568888888888889</v>
      </c>
      <c r="BU190" s="535">
        <f t="shared" si="453"/>
        <v>633.88888888888891</v>
      </c>
      <c r="BV190" s="535"/>
      <c r="BW190" s="535">
        <f ca="1">IF(B190&gt;(Summary!$A$1-1),#N/A,BU190*MGtoAF)</f>
        <v>1944.7711111111112</v>
      </c>
      <c r="BX190" s="535">
        <f>Sheet1!BC188+Sheet1!BD188+Sheet1!BE188+Sheet1!BF188-CG190-CH190</f>
        <v>4.9800000000000004</v>
      </c>
      <c r="BY190" s="535">
        <f t="shared" si="454"/>
        <v>4.9607251986147887</v>
      </c>
      <c r="BZ190" s="535">
        <f>IF(Sheet1!EQ188="FM",CH190,0)</f>
        <v>0</v>
      </c>
      <c r="CA190" s="535">
        <f t="shared" si="455"/>
        <v>0</v>
      </c>
      <c r="CB190" s="535">
        <f>IF(Sheet1!EQ188="OTHER",CH190,0)</f>
        <v>0</v>
      </c>
      <c r="CC190" s="535">
        <f t="shared" si="456"/>
        <v>0</v>
      </c>
      <c r="CD190" s="535">
        <f t="shared" si="457"/>
        <v>0</v>
      </c>
      <c r="CE190" s="535">
        <f t="shared" si="458"/>
        <v>4.9800000000000004</v>
      </c>
      <c r="CF190" s="535">
        <f t="shared" si="459"/>
        <v>4.9607251986147887</v>
      </c>
      <c r="CG190" s="535">
        <f>IF(Sheet1!EQ188="CWA",SUM(Sheet1!BC188:'Sheet1'!BF188),0)</f>
        <v>0</v>
      </c>
      <c r="CH190" s="535">
        <f>IF(OR(Sheet1!EQ188="FM", Sheet1!EQ188="OTHER"),SUM(Sheet1!BC188:'Sheet1'!BF188),0)</f>
        <v>0</v>
      </c>
      <c r="CI190" s="521">
        <f>IF(AND($B190&gt;=$FV190,$B190&lt;=$FW190),MAX(CF190,Sheet1!EJ188,0),MAX(CF190-(7/36)*$K190,0))</f>
        <v>0</v>
      </c>
      <c r="CJ190" s="535">
        <f t="shared" si="499"/>
        <v>0</v>
      </c>
      <c r="CK190" s="521">
        <f t="shared" si="461"/>
        <v>4.9607251986147887</v>
      </c>
      <c r="CL190" s="521">
        <f>IF(AND($O190&gt;0,Sheet1!EN188=1),(1-($O190-Sheet1!$L188)/$O190)*CF190,0)</f>
        <v>0</v>
      </c>
      <c r="CM190" s="521">
        <f>IF(AND(Sheet1!$L188=0,Sheet1!$L187=0, Calculation!CE190&lt;Sheet1!EJ188-0.1,Sheet1!EJ188=Sheet1!EJ187,Sheet1!EJ188=Sheet1!EJ189),CF190-CL190,CF190-CL190)</f>
        <v>4.9607251986147887</v>
      </c>
      <c r="CN190" s="1040" t="str">
        <f t="shared" si="416"/>
        <v/>
      </c>
      <c r="CO190" s="1035">
        <f t="shared" si="417"/>
        <v>12.568888888888889</v>
      </c>
      <c r="CP190" s="535">
        <f t="shared" si="462"/>
        <v>633.88888888888891</v>
      </c>
      <c r="CQ190" s="535"/>
      <c r="CR190" s="535">
        <f ca="1">IF(B190&gt;(Summary!$A$1-1),#N/A,CP190*MGtoAF)</f>
        <v>1944.7711111111112</v>
      </c>
      <c r="CS190" s="535">
        <f>Sheet1!BK188+Sheet1!BL188+Sheet1!BM188-Sheet1!ER188-DA190</f>
        <v>9.49</v>
      </c>
      <c r="CT190" s="535">
        <f t="shared" si="463"/>
        <v>9.453269504990832</v>
      </c>
      <c r="CU190" s="535">
        <f>IF(Sheet1!ER188="FM",DA190,0)</f>
        <v>0</v>
      </c>
      <c r="CV190" s="535">
        <f t="shared" si="464"/>
        <v>0</v>
      </c>
      <c r="CW190" s="535">
        <f>IF(Sheet1!ER188="OTHER",DA190,0)</f>
        <v>0</v>
      </c>
      <c r="CX190" s="535">
        <f t="shared" si="465"/>
        <v>0</v>
      </c>
      <c r="CY190" s="535">
        <f t="shared" si="466"/>
        <v>9.49</v>
      </c>
      <c r="CZ190" s="535">
        <f t="shared" si="467"/>
        <v>9.453269504990832</v>
      </c>
      <c r="DA190" s="535">
        <f>IF(OR(Sheet1!ER188="FM", Sheet1!ER188="OTHER"),SUM(Sheet1!BK188:'Sheet1'!BM188),0)</f>
        <v>0</v>
      </c>
      <c r="DB190" s="1011">
        <f>IF(AND($B190&gt;=$FV190,$B190&lt;=$FW190),MAX($CT190,Sheet1!EK188,0),MAX($CT190-(7/36)*$K190,0))</f>
        <v>0</v>
      </c>
      <c r="DC190" s="1012">
        <f t="shared" si="498"/>
        <v>0</v>
      </c>
      <c r="DD190" s="1011">
        <f t="shared" si="469"/>
        <v>9.453269504990832</v>
      </c>
      <c r="DE190" s="521">
        <f>IF(AND($O190&gt;0,Sheet1!EO188=1),(1-($O190-Sheet1!$L188)/$O190)*CZ190,0)</f>
        <v>0</v>
      </c>
      <c r="DF190" s="521">
        <f>IF(AND(Sheet1!$L188=0,Sheet1!$L187=0, Calculation!CY190&lt;Sheet1!$EK188-0.1,Sheet1!$EK188=Sheet1!$EK187,Sheet1!$EK188=Sheet1!$EK189),CZ190-DE190,CZ190-DE190)</f>
        <v>9.453269504990832</v>
      </c>
      <c r="DG190" s="1040">
        <f t="shared" si="418"/>
        <v>12.568888888888889</v>
      </c>
      <c r="DH190" s="649">
        <f t="shared" si="470"/>
        <v>16.490000000000002</v>
      </c>
      <c r="DI190" s="535">
        <f t="shared" si="471"/>
        <v>633.88888888888891</v>
      </c>
      <c r="DJ190" s="649">
        <f t="shared" si="472"/>
        <v>16.42617641067427</v>
      </c>
      <c r="DK190" s="535">
        <f ca="1">IF(B190&gt;(Summary!$A$1-1),#N/A,DI190*MGtoAF)</f>
        <v>1944.7711111111112</v>
      </c>
      <c r="DL190" s="649">
        <f t="shared" si="473"/>
        <v>16.490000000000002</v>
      </c>
      <c r="DM190" s="535">
        <f t="shared" si="474"/>
        <v>49.09</v>
      </c>
      <c r="DN190" s="535">
        <f>Sheet1!AB188-DM190</f>
        <v>-0.19000000000000483</v>
      </c>
      <c r="DO190" s="743">
        <f t="shared" si="475"/>
        <v>-3.8704420452231577E-3</v>
      </c>
      <c r="DP190" s="535">
        <f>(VLOOKUP(Sheet1!DC188,hhdcap_wcm,4)-(((VLOOKUP(Sheet1!DC188,hhdcap_wcm,3)-Sheet1!DC188)/(VLOOKUP(Sheet1!DC188,hhdcap_wcm,3)-VLOOKUP(Sheet1!DC188,hhdcap_wcm,1)))*(VLOOKUP(Sheet1!DC188,hhdcap_wcm,4)-VLOOKUP(Sheet1!DC188,hhdcap_wcm,2))))</f>
        <v>48851.800000116891</v>
      </c>
      <c r="DQ190" s="535">
        <f t="shared" si="476"/>
        <v>-11.19999999999709</v>
      </c>
      <c r="DR190" s="535">
        <f t="shared" si="477"/>
        <v>-5.6480080685814871</v>
      </c>
      <c r="DS190" s="535">
        <f>Sheet1!EA188*AFtoMG</f>
        <v>0</v>
      </c>
      <c r="DT190" s="535">
        <f>Sheet1!EB188*AFtoMG</f>
        <v>0</v>
      </c>
      <c r="DU190" s="535">
        <f>Sheet1!EC188*AFtoMG</f>
        <v>0</v>
      </c>
      <c r="DV190" s="535">
        <f>Sheet1!ED188*AFtoMG</f>
        <v>0</v>
      </c>
      <c r="DW190" s="535">
        <f t="shared" si="478"/>
        <v>0</v>
      </c>
      <c r="DX190" s="535">
        <f t="shared" si="479"/>
        <v>0</v>
      </c>
      <c r="DY190" s="535">
        <f t="shared" si="480"/>
        <v>3260</v>
      </c>
      <c r="DZ190" s="535">
        <f t="shared" si="481"/>
        <v>10001.68</v>
      </c>
      <c r="EA190" s="535"/>
      <c r="EB190" s="521">
        <f>IF(OR(B190&lt;FV190,B190&gt;FW190),(MIN(BF190+BY190+CT190+MAX(Sheet1!AA188+AQ190-73,0),K190)),0)</f>
        <v>16.42617641067427</v>
      </c>
      <c r="EC190" s="535"/>
      <c r="ED190" s="535">
        <f t="shared" si="482"/>
        <v>16.42617641067427</v>
      </c>
      <c r="EE190" s="535"/>
      <c r="EF190" s="535">
        <f>Sheet1!EH188+Sheet1!EI188+Sheet1!EJ188+Sheet1!EK188</f>
        <v>16.5</v>
      </c>
      <c r="EG190" s="1019">
        <f t="shared" si="419"/>
        <v>25.525499999999997</v>
      </c>
      <c r="EH190" s="521">
        <f t="shared" si="483"/>
        <v>0</v>
      </c>
      <c r="EI190" s="535">
        <f>IF(Sheet1!ET188=1,SUM('Calculations II'!AT190:BA190)+'Calculations II'!BC190+Sheet1!BV188+'Calculations II'!BE190+AP190,'Calculations II'!BK190)</f>
        <v>66.80283158932572</v>
      </c>
      <c r="EJ190" s="535">
        <f ca="1">EI190+'Calculations II'!D190+'Calculations II'!E190+'Calculations II'!O190</f>
        <v>61.587763440558213</v>
      </c>
      <c r="EK190" s="535"/>
      <c r="EL190" s="535"/>
      <c r="EM190" s="535">
        <f t="shared" si="484"/>
        <v>42914</v>
      </c>
      <c r="EN190" s="535">
        <f t="shared" si="485"/>
        <v>0</v>
      </c>
      <c r="EO190" s="535">
        <f t="shared" si="486"/>
        <v>0</v>
      </c>
      <c r="EP190" s="535">
        <v>0</v>
      </c>
      <c r="EQ190" s="535">
        <v>0</v>
      </c>
      <c r="ER190" s="535">
        <v>0</v>
      </c>
      <c r="ES190" s="521">
        <f t="shared" si="381"/>
        <v>3.8813427260600255</v>
      </c>
      <c r="ET190" s="535">
        <f>-(VLOOKUP(Sheet1!BQ188,Lookup!$O$4:$Q$262,2)-VLOOKUP(Sheet1!BQ187,Lookup!$O$4:$Q$262,2))/1000000</f>
        <v>1.9403572060253658</v>
      </c>
      <c r="EU190" s="535">
        <f>-(VLOOKUP(Sheet1!BR188,Lookup!$O$4:$Q$262,3)-VLOOKUP(Sheet1!BR187,Lookup!$O$4:$Q$262,3))/1000000</f>
        <v>1.9409855200346597</v>
      </c>
      <c r="EV190" s="535"/>
      <c r="EW190" s="535"/>
      <c r="EX190" s="535"/>
      <c r="EY190" s="535">
        <f t="shared" si="434"/>
        <v>19.763286838731609</v>
      </c>
      <c r="EZ190" s="535">
        <f t="shared" si="435"/>
        <v>12.775233897046936</v>
      </c>
      <c r="FA190" s="535"/>
      <c r="FB190" s="535"/>
      <c r="FC190" s="535"/>
      <c r="FD190" s="567" t="e">
        <f t="shared" si="487"/>
        <v>#N/A</v>
      </c>
      <c r="FE190" s="567" t="e">
        <f t="shared" si="488"/>
        <v>#N/A</v>
      </c>
      <c r="FF190" s="568" t="e">
        <f t="shared" si="489"/>
        <v>#N/A</v>
      </c>
      <c r="FG190" s="569" t="s">
        <v>656</v>
      </c>
      <c r="FH190" s="569" t="s">
        <v>656</v>
      </c>
      <c r="FI190" s="567" t="e">
        <v>#N/A</v>
      </c>
      <c r="FJ190" s="567" t="e">
        <v>#N/A</v>
      </c>
      <c r="FK190" s="535">
        <v>23700</v>
      </c>
      <c r="FL190" s="1015">
        <v>0</v>
      </c>
      <c r="FM190" s="535"/>
      <c r="FN190" s="535"/>
      <c r="FO190" s="535">
        <f>O190+((Sheet1!CS188)*GPMtoMGD)</f>
        <v>79.099999999999994</v>
      </c>
      <c r="FP190" s="535">
        <f>IF(Sheet1!AA188+AQ190&lt;=Calculation!N190,AQ190,Calculation!N190-Sheet1!AA188)</f>
        <v>32.473823589325725</v>
      </c>
      <c r="FQ190" s="535">
        <f>(Sheet1!BP188+Sheet1!BO188)/694.4</f>
        <v>3.1938364055299542</v>
      </c>
      <c r="FR190" s="541"/>
      <c r="FS190" s="541"/>
      <c r="FT190" s="541"/>
      <c r="FU190" s="541"/>
      <c r="FV190" s="1109">
        <f t="shared" si="382"/>
        <v>42918</v>
      </c>
      <c r="FW190" s="1109">
        <f t="shared" si="383"/>
        <v>43027</v>
      </c>
      <c r="FX190" s="541"/>
      <c r="FY190" s="541">
        <f>Sheet1!DA188-Sheet1!CZ188-Sheet1!AE188</f>
        <v>-3.367699999999985</v>
      </c>
      <c r="FZ190" s="535">
        <f t="shared" si="420"/>
        <v>-6.896050503819643E-3</v>
      </c>
      <c r="GA190" s="535"/>
      <c r="GB190" s="535" t="str">
        <f t="shared" si="384"/>
        <v>n</v>
      </c>
      <c r="GC190" s="539">
        <f t="shared" si="385"/>
        <v>42782</v>
      </c>
      <c r="GD190" s="1109">
        <f t="shared" si="386"/>
        <v>42904</v>
      </c>
      <c r="GE190" s="535">
        <f t="shared" si="404"/>
        <v>6520</v>
      </c>
      <c r="GF190" s="1109">
        <f t="shared" si="387"/>
        <v>42909</v>
      </c>
      <c r="GG190" s="535">
        <f t="shared" si="432"/>
        <v>3260</v>
      </c>
      <c r="GH190" s="539">
        <f t="shared" si="388"/>
        <v>43040</v>
      </c>
      <c r="GJ190" s="521">
        <f t="shared" si="389"/>
        <v>0</v>
      </c>
      <c r="GK190" s="535" t="str">
        <f t="shared" si="490"/>
        <v/>
      </c>
      <c r="GL190" s="535">
        <f t="shared" si="390"/>
        <v>0</v>
      </c>
      <c r="GM190" s="535" t="str">
        <f t="shared" si="391"/>
        <v/>
      </c>
      <c r="GN190" s="535">
        <f>IF(GK190="P",Lookup!$M$12,IF(GK190="PP",Lookup!$M$13,IF(GK190="PPP",Lookup!$M$14,IF(GK190="T",Lookup!$M$15,IF(GK190="TP",Lookup!$M$16,IF(GK190="TPP",Lookup!$M$17,IF(GK190="TPPP",Lookup!$M$18,0)))))))*GJ190</f>
        <v>0</v>
      </c>
      <c r="GO190" s="535">
        <f t="shared" si="392"/>
        <v>0</v>
      </c>
      <c r="GP190" s="535">
        <f t="shared" si="491"/>
        <v>4167.3666666666668</v>
      </c>
      <c r="GQ190" s="974">
        <f t="shared" si="500"/>
        <v>1358.3333333333335</v>
      </c>
      <c r="GR190" s="535"/>
      <c r="GS190" s="535">
        <f t="shared" si="393"/>
        <v>0</v>
      </c>
      <c r="GT190" s="535" t="str">
        <f t="shared" si="394"/>
        <v/>
      </c>
      <c r="GU190" s="535">
        <f>IF(GK190="P",Lookup!$N$12,IF(GK190="PP",Lookup!$N$13,IF(GK190="PPP",Lookup!$N$14,IF(GK190="T",Lookup!$N$15,IF(GK190="TP",Lookup!$N$16,IF(GK190="TPP",Lookup!$N$17,IF(GK190="TPPP",Lookup!$N$18,0)))))))*GJ190</f>
        <v>0</v>
      </c>
      <c r="GV190" s="535">
        <f t="shared" si="395"/>
        <v>0</v>
      </c>
      <c r="GW190" s="535">
        <f t="shared" si="492"/>
        <v>1944.7711111111112</v>
      </c>
      <c r="GX190" s="974">
        <f t="shared" si="501"/>
        <v>633.88888888888891</v>
      </c>
      <c r="GY190" s="535"/>
      <c r="GZ190" s="535">
        <f t="shared" si="396"/>
        <v>0</v>
      </c>
      <c r="HA190" s="535" t="str">
        <f t="shared" si="397"/>
        <v/>
      </c>
      <c r="HB190" s="535">
        <f>IF(GK190="P",Lookup!$N$12,IF(GK190="PP",Lookup!$N$13,IF(GK190="PPP",Lookup!$N$14,IF(GK190="T",Lookup!$N$15,IF(GK190="TP",Lookup!$N$16,IF(GK190="TPP",Lookup!$N$17,IF(GK190="TPPP",Lookup!$N$18,0)))))))*GJ190</f>
        <v>0</v>
      </c>
      <c r="HC190" s="521">
        <f t="shared" si="493"/>
        <v>0</v>
      </c>
      <c r="HD190" s="535">
        <f t="shared" si="494"/>
        <v>1944.7711111111112</v>
      </c>
      <c r="HE190" s="535">
        <f t="shared" si="401"/>
        <v>633.88888888888891</v>
      </c>
      <c r="HF190" s="535"/>
      <c r="HG190" s="535">
        <f t="shared" si="398"/>
        <v>0</v>
      </c>
      <c r="HH190" s="535" t="str">
        <f t="shared" si="399"/>
        <v/>
      </c>
      <c r="HI190" s="535">
        <f>IF(GK190="P",Lookup!$N$12,IF(GK190="PP",Lookup!$N$13,IF(GK190="PPP",Lookup!$N$14,IF(GK190="T",Lookup!$N$15,IF(GK190="TP",Lookup!$N$16,IF(GK190="TPP",Lookup!$N$17,IF(GK190="TPPP",Lookup!$N$18,0)))))))*GJ190</f>
        <v>0</v>
      </c>
      <c r="HJ190" s="521">
        <f t="shared" si="495"/>
        <v>0</v>
      </c>
      <c r="HK190" s="535">
        <f t="shared" si="496"/>
        <v>1944.7711111111112</v>
      </c>
      <c r="HL190" s="535">
        <f t="shared" si="402"/>
        <v>633.88888888888891</v>
      </c>
      <c r="HM190" s="535"/>
      <c r="HN190" s="541"/>
      <c r="HO190" s="541"/>
      <c r="HP190" s="541"/>
      <c r="HQ190" s="541">
        <f>IF(AND(B190&gt;=$FV$4,B190&lt;=$FW$4),MAX(110/1.02+$HQ$6+MIN(113/1.02,G190),IF($HV$6-(Sheet1!DA188-Sheet1!DB188)+MIN(113/1.02,G190)&lt;G190+FL190,$HV$6-(Sheet1!DA188-Sheet1!DB188)+MIN(113/1.02,G190),G190+FL190)),MIN(110/1.02+$HQ$6+113/1.02,G190))</f>
        <v>218.62745098039215</v>
      </c>
      <c r="HR190" s="541">
        <f t="shared" si="421"/>
        <v>223</v>
      </c>
      <c r="HS190" s="541">
        <f>HR190+(Sheet1!DA188-Sheet1!DB188)</f>
        <v>441</v>
      </c>
      <c r="HT190" s="541">
        <f t="shared" si="422"/>
        <v>22.369619999999991</v>
      </c>
      <c r="HU190" s="541">
        <f t="shared" si="423"/>
        <v>418.63038</v>
      </c>
      <c r="HV190" s="541">
        <f t="shared" si="424"/>
        <v>0</v>
      </c>
      <c r="HW190" s="533" t="str">
        <f t="shared" si="425"/>
        <v/>
      </c>
      <c r="HX190" s="541">
        <f t="shared" si="426"/>
        <v>275.37254901960785</v>
      </c>
      <c r="HY190" s="541">
        <f>Sheet1!CZ188</f>
        <v>494</v>
      </c>
      <c r="HZ190" s="541">
        <f t="shared" si="427"/>
        <v>0</v>
      </c>
      <c r="IA190" s="541">
        <f t="shared" si="428"/>
        <v>22.369619999999991</v>
      </c>
      <c r="IB190" s="541">
        <f t="shared" si="429"/>
        <v>494</v>
      </c>
      <c r="IC190" s="1019" t="str">
        <f t="shared" si="430"/>
        <v/>
      </c>
      <c r="ID190" s="541">
        <f t="shared" si="431"/>
        <v>471.63038</v>
      </c>
      <c r="IE190" s="541">
        <f>Sheet1!DB188</f>
        <v>395</v>
      </c>
      <c r="IF190" s="533">
        <f>Sheet1!DA188</f>
        <v>613</v>
      </c>
      <c r="IH190" s="541">
        <f>IF(AND($B190&gt;=$GC190,$B190&lt;=$GH190,$DR190&lt;0)+N("only adjusted when pool is drawn down during storage season"),Sheet1!$DB188+$DR190+N("Palmer minus all storage release"),Sheet1!$DB188)</f>
        <v>389.35199193141852</v>
      </c>
      <c r="II190" s="541">
        <f>IF(AND($B190&gt;=$GC190,$B190&lt;=$GH190,$DR190&lt;0)+N("only adjusted when pool is drawn down during storage season"),Sheet1!$DA188+$DR190+N("Auburn minus all storage release"),Sheet1!$DA188)</f>
        <v>607.35199193141852</v>
      </c>
    </row>
    <row r="191" spans="1:243" x14ac:dyDescent="0.25">
      <c r="A191" s="553" t="s">
        <v>7</v>
      </c>
      <c r="B191" s="531">
        <v>42915</v>
      </c>
      <c r="C191" s="536">
        <v>0</v>
      </c>
      <c r="D191" s="506">
        <f t="shared" si="371"/>
        <v>300</v>
      </c>
      <c r="E191" s="506">
        <f t="shared" si="372"/>
        <v>250</v>
      </c>
      <c r="F191" s="506">
        <v>250</v>
      </c>
      <c r="G191" s="535">
        <f>DR191+Sheet1!CZ189</f>
        <v>465.70953101401273</v>
      </c>
      <c r="H191" s="1074">
        <f t="shared" si="405"/>
        <v>128.84710657545781</v>
      </c>
      <c r="I191" s="534">
        <f>IF(Sheet1!DA189&gt;=E191,(Sheet1!DA189-E191+P191)*CFStoMGD,0)</f>
        <v>300.33086572799999</v>
      </c>
      <c r="J191" s="995">
        <f>IF(Sheet1!DB189&gt;=D191,(Sheet1!DB189-D191+P191)*CFStoMGD,0)</f>
        <v>147.134065728</v>
      </c>
      <c r="K191" s="818">
        <f t="shared" si="406"/>
        <v>64.64</v>
      </c>
      <c r="L191" s="535">
        <f>Sheet1!AA189+Sheet1!AB189-Sheet1!L189+(Sheet1!DA189-F191)*CFStoMGD-S191-T191-U191</f>
        <v>235.69240000000002</v>
      </c>
      <c r="M191" s="535">
        <f t="shared" si="436"/>
        <v>307.05533366440699</v>
      </c>
      <c r="N191" s="824">
        <f>IF(Sheet1!DA189&gt;=F191,MIN(113*CFStoMGD,MIN(MAX(L191,0),MAX(M191,0))),0)</f>
        <v>73.043199999999999</v>
      </c>
      <c r="O191" s="538">
        <f>Sheet1!AA189+Sheet1!AB189</f>
        <v>79.91</v>
      </c>
      <c r="P191" s="538">
        <f t="shared" si="437"/>
        <v>123.62076999999999</v>
      </c>
      <c r="Q191" s="812">
        <f t="shared" si="407"/>
        <v>15.269999999999996</v>
      </c>
      <c r="R191" s="812">
        <f t="shared" si="373"/>
        <v>16.5</v>
      </c>
      <c r="S191" s="812">
        <f t="shared" si="374"/>
        <v>64.64</v>
      </c>
      <c r="T191" s="812">
        <f t="shared" si="375"/>
        <v>0</v>
      </c>
      <c r="U191" s="812">
        <f t="shared" si="408"/>
        <v>0</v>
      </c>
      <c r="V191" s="812"/>
      <c r="W191" s="812">
        <f t="shared" si="376"/>
        <v>48.17617541049259</v>
      </c>
      <c r="X191" s="812">
        <f t="shared" si="377"/>
        <v>64.64</v>
      </c>
      <c r="Y191" s="812" t="str">
        <f t="shared" si="378"/>
        <v>FALSE</v>
      </c>
      <c r="Z191" s="812">
        <f t="shared" si="379"/>
        <v>79.91</v>
      </c>
      <c r="AA191" s="812">
        <f t="shared" si="380"/>
        <v>79.91</v>
      </c>
      <c r="AB191" s="1059">
        <f t="shared" si="409"/>
        <v>23.622689999999992</v>
      </c>
      <c r="AC191" s="538">
        <f>Sheet1!Y189*MGDtoCFS</f>
        <v>46.7194</v>
      </c>
      <c r="AD191" s="538">
        <f>Sheet1!Z189*MGDtoCFS</f>
        <v>75.648299999999992</v>
      </c>
      <c r="AE191" s="538">
        <f>Sheet1!AA189*MGDtoCFS</f>
        <v>46.7194</v>
      </c>
      <c r="AF191" s="538">
        <f>Sheet1!AB189*MGDtoCFS</f>
        <v>76.90137</v>
      </c>
      <c r="AG191" s="538">
        <f>Sheet1!L189*MGDtoCFS</f>
        <v>0</v>
      </c>
      <c r="AH191" s="521">
        <f t="shared" si="438"/>
        <v>0</v>
      </c>
      <c r="AI191" s="1059">
        <f t="shared" si="439"/>
        <v>0</v>
      </c>
      <c r="AJ191" s="535">
        <f t="shared" si="440"/>
        <v>0</v>
      </c>
      <c r="AK191" s="535">
        <f t="shared" si="441"/>
        <v>0</v>
      </c>
      <c r="AL191" s="535">
        <f>(VLOOKUP(Sheet1!DC189,hhdcap_wcm,4)-(((VLOOKUP(Sheet1!DC189,hhdcap_wcm,3)-Sheet1!DC189)/(VLOOKUP(Sheet1!DC189,hhdcap_wcm,3)-VLOOKUP(Sheet1!DC189,hhdcap_wcm,1)))*(VLOOKUP(Sheet1!DC189,hhdcap_wcm,4)-VLOOKUP(Sheet1!DC189,hhdcap_wcm,2))))</f>
        <v>48795.700000117678</v>
      </c>
      <c r="AM191" s="535">
        <f t="shared" si="442"/>
        <v>-56.099999999212741</v>
      </c>
      <c r="AN191" s="1035">
        <f t="shared" si="443"/>
        <v>3260</v>
      </c>
      <c r="AO191" s="535">
        <f t="shared" si="444"/>
        <v>10001.68</v>
      </c>
      <c r="AP191" s="535">
        <f>Sheet1!BA189+Sheet1!BB189+Sheet1!BN189+CD191</f>
        <v>33.4</v>
      </c>
      <c r="AQ191" s="535">
        <f>Sheet1!BN189+(DO191*Sheet1!BN189)</f>
        <v>33.24617541049259</v>
      </c>
      <c r="AR191" s="535">
        <f>Sheet1!BA189+CD191</f>
        <v>0</v>
      </c>
      <c r="AS191" s="535">
        <f>Sheet1!BA189+Sheet1!BB189+CD191</f>
        <v>0</v>
      </c>
      <c r="AT191" s="649">
        <f>0</f>
        <v>0</v>
      </c>
      <c r="AU191" s="974">
        <f>BA191+Sheet1!EH189</f>
        <v>0</v>
      </c>
      <c r="AV191" s="535">
        <f>IF(OR(B191&gt;=GD191,B191&lt;GC191),0,15/36*K191-MAX(0,64.6-(137.6-(Sheet1!AA189+Sheet1!AB189))))</f>
        <v>0</v>
      </c>
      <c r="AW191" s="1029"/>
      <c r="AX191" s="649"/>
      <c r="AY191" s="649">
        <f t="shared" si="410"/>
        <v>0</v>
      </c>
      <c r="AZ191" s="649">
        <f t="shared" si="411"/>
        <v>0</v>
      </c>
      <c r="BA191" s="1059">
        <f t="shared" si="412"/>
        <v>0</v>
      </c>
      <c r="BB191" s="1019">
        <f t="shared" si="445"/>
        <v>1358.3333333333335</v>
      </c>
      <c r="BC191" s="1041">
        <f t="shared" si="413"/>
        <v>26.933333333333334</v>
      </c>
      <c r="BD191" s="1019">
        <f ca="1">IF(B191&gt;(Summary!$A$1-1),#N/A,BB191*MGtoAF)</f>
        <v>4167.3666666666668</v>
      </c>
      <c r="BE191" s="535">
        <f>Sheet1!BG189+Sheet1!BH189+Sheet1!BI189-BM191</f>
        <v>2.02</v>
      </c>
      <c r="BF191" s="535">
        <f t="shared" si="446"/>
        <v>2.0106968362034441</v>
      </c>
      <c r="BG191" s="535">
        <f>IF(Sheet1!EP189="FM",BM191,0)</f>
        <v>0</v>
      </c>
      <c r="BH191" s="535">
        <f t="shared" si="447"/>
        <v>0</v>
      </c>
      <c r="BI191" s="535">
        <f>IF(Sheet1!EP189="OTHER",BM191,0)</f>
        <v>0</v>
      </c>
      <c r="BJ191" s="535">
        <f t="shared" si="448"/>
        <v>0</v>
      </c>
      <c r="BK191" s="535">
        <f t="shared" si="449"/>
        <v>2.02</v>
      </c>
      <c r="BL191" s="535">
        <f t="shared" si="450"/>
        <v>2.0106968362034441</v>
      </c>
      <c r="BM191" s="535">
        <f>IF(OR(Sheet1!EP189="FM", Sheet1!EP189="OTHER"),SUM(Sheet1!BG189:'Sheet1'!BI189),0)</f>
        <v>0</v>
      </c>
      <c r="BN191" s="521">
        <f>IF(AND($B191&gt;=$FV191,$B191&lt;=$FW191),MAX(BF191,Sheet1!EI189,0),MAX(BF191-(7/36)*$K191,0))</f>
        <v>0</v>
      </c>
      <c r="BO191" s="535">
        <f t="shared" si="497"/>
        <v>0</v>
      </c>
      <c r="BP191" s="521">
        <f t="shared" si="452"/>
        <v>2.0106968362034441</v>
      </c>
      <c r="BQ191" s="521">
        <f>IF(AND($O191&gt;0,Sheet1!EM189=1),(1-($O191-Sheet1!$L189)/$O191)*BL191,0)</f>
        <v>0</v>
      </c>
      <c r="BR191" s="521">
        <f>IF(AND(Sheet1!$L189=0,Sheet1!$L188=0, Calculation!BK191&lt;Sheet1!$EI189-0.1,Sheet1!$EI189=Sheet1!$EI188,Sheet1!$EI189=Sheet1!$EI190),BL191-BQ191,BL191-BQ191)</f>
        <v>2.0106968362034441</v>
      </c>
      <c r="BS191" s="1035" t="str">
        <f t="shared" si="414"/>
        <v/>
      </c>
      <c r="BT191" s="1035">
        <f t="shared" si="415"/>
        <v>12.568888888888889</v>
      </c>
      <c r="BU191" s="535">
        <f t="shared" si="453"/>
        <v>633.88888888888891</v>
      </c>
      <c r="BV191" s="535"/>
      <c r="BW191" s="535">
        <f ca="1">IF(B191&gt;(Summary!$A$1-1),#N/A,BU191*MGtoAF)</f>
        <v>1944.7711111111112</v>
      </c>
      <c r="BX191" s="535">
        <f>Sheet1!BC189+Sheet1!BD189+Sheet1!BE189+Sheet1!BF189-CG191-CH191</f>
        <v>4.9800000000000004</v>
      </c>
      <c r="BY191" s="535">
        <f t="shared" si="454"/>
        <v>4.9570644773728478</v>
      </c>
      <c r="BZ191" s="535">
        <f>IF(Sheet1!EQ189="FM",CH191,0)</f>
        <v>0</v>
      </c>
      <c r="CA191" s="535">
        <f t="shared" si="455"/>
        <v>0</v>
      </c>
      <c r="CB191" s="535">
        <f>IF(Sheet1!EQ189="OTHER",CH191,0)</f>
        <v>0</v>
      </c>
      <c r="CC191" s="535">
        <f t="shared" si="456"/>
        <v>0</v>
      </c>
      <c r="CD191" s="535">
        <f t="shared" si="457"/>
        <v>0</v>
      </c>
      <c r="CE191" s="535">
        <f t="shared" si="458"/>
        <v>4.9800000000000004</v>
      </c>
      <c r="CF191" s="535">
        <f t="shared" si="459"/>
        <v>4.9570644773728478</v>
      </c>
      <c r="CG191" s="535">
        <f>IF(Sheet1!EQ189="CWA",SUM(Sheet1!BC189:'Sheet1'!BF189),0)</f>
        <v>0</v>
      </c>
      <c r="CH191" s="535">
        <f>IF(OR(Sheet1!EQ189="FM", Sheet1!EQ189="OTHER"),SUM(Sheet1!BC189:'Sheet1'!BF189),0)</f>
        <v>0</v>
      </c>
      <c r="CI191" s="521">
        <f>IF(AND($B191&gt;=$FV191,$B191&lt;=$FW191),MAX(CF191,Sheet1!EJ189,0),MAX(CF191-(7/36)*$K191,0))</f>
        <v>0</v>
      </c>
      <c r="CJ191" s="535">
        <f t="shared" si="499"/>
        <v>0</v>
      </c>
      <c r="CK191" s="521">
        <f t="shared" si="461"/>
        <v>4.9570644773728478</v>
      </c>
      <c r="CL191" s="521">
        <f>IF(AND($O191&gt;0,Sheet1!EN189=1),(1-($O191-Sheet1!$L189)/$O191)*CF191,0)</f>
        <v>0</v>
      </c>
      <c r="CM191" s="521">
        <f>IF(AND(Sheet1!$L189=0,Sheet1!$L188=0, Calculation!CE191&lt;Sheet1!EJ189-0.1,Sheet1!EJ189=Sheet1!EJ188,Sheet1!EJ189=Sheet1!EJ190),CF191-CL191,CF191-CL191)</f>
        <v>4.9570644773728478</v>
      </c>
      <c r="CN191" s="1040" t="str">
        <f t="shared" si="416"/>
        <v/>
      </c>
      <c r="CO191" s="1035">
        <f t="shared" si="417"/>
        <v>12.568888888888889</v>
      </c>
      <c r="CP191" s="535">
        <f t="shared" si="462"/>
        <v>633.88888888888891</v>
      </c>
      <c r="CQ191" s="535"/>
      <c r="CR191" s="535">
        <f ca="1">IF(B191&gt;(Summary!$A$1-1),#N/A,CP191*MGtoAF)</f>
        <v>1944.7711111111112</v>
      </c>
      <c r="CS191" s="535">
        <f>Sheet1!BK189+Sheet1!BL189+Sheet1!BM189-Sheet1!ER189-DA191</f>
        <v>9.5399999999999991</v>
      </c>
      <c r="CT191" s="535">
        <f t="shared" si="463"/>
        <v>9.4960632759311174</v>
      </c>
      <c r="CU191" s="535">
        <f>IF(Sheet1!ER189="FM",DA191,0)</f>
        <v>0</v>
      </c>
      <c r="CV191" s="535">
        <f t="shared" si="464"/>
        <v>0</v>
      </c>
      <c r="CW191" s="535">
        <f>IF(Sheet1!ER189="OTHER",DA191,0)</f>
        <v>0</v>
      </c>
      <c r="CX191" s="535">
        <f t="shared" si="465"/>
        <v>0</v>
      </c>
      <c r="CY191" s="535">
        <f t="shared" si="466"/>
        <v>9.5399999999999991</v>
      </c>
      <c r="CZ191" s="535">
        <f t="shared" si="467"/>
        <v>9.4960632759311174</v>
      </c>
      <c r="DA191" s="535">
        <f>IF(OR(Sheet1!ER189="FM", Sheet1!ER189="OTHER"),SUM(Sheet1!BK189:'Sheet1'!BM189),0)</f>
        <v>0</v>
      </c>
      <c r="DB191" s="1011">
        <f>IF(AND($B191&gt;=$FV191,$B191&lt;=$FW191),MAX($CT191,Sheet1!EK189,0),MAX($CT191-(7/36)*$K191,0))</f>
        <v>0</v>
      </c>
      <c r="DC191" s="1012">
        <f t="shared" si="498"/>
        <v>0</v>
      </c>
      <c r="DD191" s="1011">
        <f t="shared" si="469"/>
        <v>9.4960632759311174</v>
      </c>
      <c r="DE191" s="521">
        <f>IF(AND($O191&gt;0,Sheet1!EO189=1),(1-($O191-Sheet1!$L189)/$O191)*CZ191,0)</f>
        <v>0</v>
      </c>
      <c r="DF191" s="521">
        <f>IF(AND(Sheet1!$L189=0,Sheet1!$L188=0, Calculation!CY191&lt;Sheet1!$EK189-0.1,Sheet1!$EK189=Sheet1!$EK188,Sheet1!$EK189=Sheet1!$EK190),CZ191-DE191,CZ191-DE191)</f>
        <v>9.4960632759311174</v>
      </c>
      <c r="DG191" s="1040">
        <f t="shared" si="418"/>
        <v>12.568888888888889</v>
      </c>
      <c r="DH191" s="649">
        <f t="shared" si="470"/>
        <v>16.54</v>
      </c>
      <c r="DI191" s="535">
        <f t="shared" si="471"/>
        <v>633.88888888888891</v>
      </c>
      <c r="DJ191" s="649">
        <f t="shared" si="472"/>
        <v>16.463824589507411</v>
      </c>
      <c r="DK191" s="535">
        <f ca="1">IF(B191&gt;(Summary!$A$1-1),#N/A,DI191*MGtoAF)</f>
        <v>1944.7711111111112</v>
      </c>
      <c r="DL191" s="649">
        <f t="shared" si="473"/>
        <v>16.54</v>
      </c>
      <c r="DM191" s="535">
        <f t="shared" si="474"/>
        <v>49.94</v>
      </c>
      <c r="DN191" s="535">
        <f>Sheet1!AB189-DM191</f>
        <v>-0.22999999999999687</v>
      </c>
      <c r="DO191" s="743">
        <f t="shared" si="475"/>
        <v>-4.6055266319582873E-3</v>
      </c>
      <c r="DP191" s="535">
        <f>(VLOOKUP(Sheet1!DC189,hhdcap_wcm,4)-(((VLOOKUP(Sheet1!DC189,hhdcap_wcm,3)-Sheet1!DC189)/(VLOOKUP(Sheet1!DC189,hhdcap_wcm,3)-VLOOKUP(Sheet1!DC189,hhdcap_wcm,1)))*(VLOOKUP(Sheet1!DC189,hhdcap_wcm,4)-VLOOKUP(Sheet1!DC189,hhdcap_wcm,2))))</f>
        <v>48795.700000117678</v>
      </c>
      <c r="DQ191" s="535">
        <f t="shared" si="476"/>
        <v>-56.099999999212741</v>
      </c>
      <c r="DR191" s="535">
        <f t="shared" si="477"/>
        <v>-28.290468985987257</v>
      </c>
      <c r="DS191" s="535">
        <f>Sheet1!EA189*AFtoMG</f>
        <v>0</v>
      </c>
      <c r="DT191" s="535">
        <f>Sheet1!EB189*AFtoMG</f>
        <v>0</v>
      </c>
      <c r="DU191" s="535">
        <f>Sheet1!EC189*AFtoMG</f>
        <v>0</v>
      </c>
      <c r="DV191" s="535">
        <f>Sheet1!ED189*AFtoMG</f>
        <v>0</v>
      </c>
      <c r="DW191" s="535">
        <f t="shared" si="478"/>
        <v>0</v>
      </c>
      <c r="DX191" s="535">
        <f t="shared" si="479"/>
        <v>0</v>
      </c>
      <c r="DY191" s="535">
        <f t="shared" si="480"/>
        <v>3260</v>
      </c>
      <c r="DZ191" s="535">
        <f t="shared" si="481"/>
        <v>10001.68</v>
      </c>
      <c r="EA191" s="535"/>
      <c r="EB191" s="521">
        <f>IF(OR(B191&lt;FV191,B191&gt;FW191),(MIN(BF191+BY191+CT191+MAX(Sheet1!AA189+AQ191-73,0),K191)),0)</f>
        <v>16.463824589507411</v>
      </c>
      <c r="EC191" s="535"/>
      <c r="ED191" s="535">
        <f t="shared" si="482"/>
        <v>16.463824589507411</v>
      </c>
      <c r="EE191" s="535"/>
      <c r="EF191" s="535">
        <f>Sheet1!EH189+Sheet1!EI189+Sheet1!EJ189+Sheet1!EK189</f>
        <v>16.5</v>
      </c>
      <c r="EG191" s="1019">
        <f t="shared" si="419"/>
        <v>25.525499999999997</v>
      </c>
      <c r="EH191" s="521">
        <f t="shared" si="483"/>
        <v>0</v>
      </c>
      <c r="EI191" s="535">
        <f>IF(Sheet1!ET189=1,SUM('Calculations II'!AT191:BA191)+'Calculations II'!BC191+Sheet1!BV189+'Calculations II'!BE191+AP191,'Calculations II'!BK191)</f>
        <v>65.674015410492586</v>
      </c>
      <c r="EJ191" s="535">
        <f ca="1">EI191+'Calculations II'!D191+'Calculations II'!E191+'Calculations II'!O191</f>
        <v>67.280330964418965</v>
      </c>
      <c r="EK191" s="535"/>
      <c r="EL191" s="535"/>
      <c r="EM191" s="535">
        <f t="shared" si="484"/>
        <v>42915</v>
      </c>
      <c r="EN191" s="535">
        <f t="shared" si="485"/>
        <v>0</v>
      </c>
      <c r="EO191" s="535">
        <f t="shared" si="486"/>
        <v>0</v>
      </c>
      <c r="EP191" s="535">
        <v>0</v>
      </c>
      <c r="EQ191" s="535">
        <v>0</v>
      </c>
      <c r="ER191" s="535">
        <v>0</v>
      </c>
      <c r="ES191" s="521">
        <f t="shared" si="381"/>
        <v>1.6626633096458652</v>
      </c>
      <c r="ET191" s="535">
        <f>-(VLOOKUP(Sheet1!BQ189,Lookup!$O$4:$Q$262,2)-VLOOKUP(Sheet1!BQ188,Lookup!$O$4:$Q$262,2))/1000000</f>
        <v>0.83119704714466258</v>
      </c>
      <c r="EU191" s="535">
        <f>-(VLOOKUP(Sheet1!BR189,Lookup!$O$4:$Q$262,3)-VLOOKUP(Sheet1!BR188,Lookup!$O$4:$Q$262,3))/1000000</f>
        <v>0.83146626250120248</v>
      </c>
      <c r="EV191" s="535"/>
      <c r="EW191" s="535"/>
      <c r="EX191" s="535"/>
      <c r="EY191" s="535">
        <f t="shared" ref="EY191:EY202" si="502">DR191-(DJ191*1.547)</f>
        <v>-53.760005625955216</v>
      </c>
      <c r="EZ191" s="535"/>
      <c r="FA191" s="535"/>
      <c r="FB191" s="535"/>
      <c r="FC191" s="535"/>
      <c r="FD191" s="567" t="e">
        <f t="shared" si="487"/>
        <v>#N/A</v>
      </c>
      <c r="FE191" s="567" t="e">
        <f t="shared" si="488"/>
        <v>#N/A</v>
      </c>
      <c r="FF191" s="568" t="e">
        <f t="shared" si="489"/>
        <v>#N/A</v>
      </c>
      <c r="FG191" s="569" t="s">
        <v>656</v>
      </c>
      <c r="FH191" s="569" t="s">
        <v>656</v>
      </c>
      <c r="FI191" s="567" t="e">
        <v>#N/A</v>
      </c>
      <c r="FJ191" s="567" t="e">
        <v>#N/A</v>
      </c>
      <c r="FK191" s="535">
        <v>23650</v>
      </c>
      <c r="FL191" s="1015">
        <v>0</v>
      </c>
      <c r="FM191" s="535"/>
      <c r="FN191" s="535"/>
      <c r="FO191" s="535">
        <f>O191+((Sheet1!CS189)*GPMtoMGD)</f>
        <v>79.91</v>
      </c>
      <c r="FP191" s="535">
        <f>IF(Sheet1!AA189+AQ191&lt;=Calculation!N191,AQ191,Calculation!N191-Sheet1!AA189)</f>
        <v>33.24617541049259</v>
      </c>
      <c r="FQ191" s="535">
        <f>(Sheet1!BP189+Sheet1!BO189)/694.4</f>
        <v>3.3503744239631339</v>
      </c>
      <c r="FR191" s="541"/>
      <c r="FS191" s="541"/>
      <c r="FT191" s="541"/>
      <c r="FU191" s="541"/>
      <c r="FV191" s="1109">
        <f t="shared" si="382"/>
        <v>42918</v>
      </c>
      <c r="FW191" s="1109">
        <f t="shared" si="383"/>
        <v>43027</v>
      </c>
      <c r="FX191" s="541"/>
      <c r="FY191" s="541">
        <f>Sheet1!DA189-Sheet1!CZ189-Sheet1!AE189</f>
        <v>-26.620769999999993</v>
      </c>
      <c r="FZ191" s="535">
        <f t="shared" si="420"/>
        <v>-5.7161746168340716E-2</v>
      </c>
      <c r="GA191" s="535"/>
      <c r="GB191" s="535" t="str">
        <f t="shared" si="384"/>
        <v>n</v>
      </c>
      <c r="GC191" s="539">
        <f t="shared" si="385"/>
        <v>42782</v>
      </c>
      <c r="GD191" s="1109">
        <f t="shared" si="386"/>
        <v>42904</v>
      </c>
      <c r="GE191" s="535">
        <f t="shared" si="404"/>
        <v>6520</v>
      </c>
      <c r="GF191" s="1109">
        <f t="shared" si="387"/>
        <v>42909</v>
      </c>
      <c r="GG191" s="535">
        <f t="shared" si="432"/>
        <v>3260</v>
      </c>
      <c r="GH191" s="539">
        <f t="shared" si="388"/>
        <v>43040</v>
      </c>
      <c r="GJ191" s="521">
        <f t="shared" si="389"/>
        <v>0</v>
      </c>
      <c r="GK191" s="535" t="str">
        <f t="shared" si="490"/>
        <v/>
      </c>
      <c r="GL191" s="535">
        <f t="shared" si="390"/>
        <v>0</v>
      </c>
      <c r="GM191" s="535" t="str">
        <f t="shared" si="391"/>
        <v/>
      </c>
      <c r="GN191" s="535">
        <f>IF(GK191="P",Lookup!$M$12,IF(GK191="PP",Lookup!$M$13,IF(GK191="PPP",Lookup!$M$14,IF(GK191="T",Lookup!$M$15,IF(GK191="TP",Lookup!$M$16,IF(GK191="TPP",Lookup!$M$17,IF(GK191="TPPP",Lookup!$M$18,0)))))))*GJ191</f>
        <v>0</v>
      </c>
      <c r="GO191" s="535">
        <f t="shared" si="392"/>
        <v>0</v>
      </c>
      <c r="GP191" s="535">
        <f t="shared" si="491"/>
        <v>4167.3666666666668</v>
      </c>
      <c r="GQ191" s="974">
        <f t="shared" si="500"/>
        <v>1358.3333333333335</v>
      </c>
      <c r="GR191" s="535"/>
      <c r="GS191" s="535">
        <f t="shared" si="393"/>
        <v>0</v>
      </c>
      <c r="GT191" s="535" t="str">
        <f t="shared" si="394"/>
        <v/>
      </c>
      <c r="GU191" s="535">
        <f>IF(GK191="P",Lookup!$N$12,IF(GK191="PP",Lookup!$N$13,IF(GK191="PPP",Lookup!$N$14,IF(GK191="T",Lookup!$N$15,IF(GK191="TP",Lookup!$N$16,IF(GK191="TPP",Lookup!$N$17,IF(GK191="TPPP",Lookup!$N$18,0)))))))*GJ191</f>
        <v>0</v>
      </c>
      <c r="GV191" s="535">
        <f t="shared" si="395"/>
        <v>0</v>
      </c>
      <c r="GW191" s="535">
        <f t="shared" si="492"/>
        <v>1944.7711111111112</v>
      </c>
      <c r="GX191" s="974">
        <f t="shared" si="501"/>
        <v>633.88888888888891</v>
      </c>
      <c r="GY191" s="535"/>
      <c r="GZ191" s="535">
        <f t="shared" si="396"/>
        <v>0</v>
      </c>
      <c r="HA191" s="535" t="str">
        <f t="shared" si="397"/>
        <v/>
      </c>
      <c r="HB191" s="535">
        <f>IF(GK191="P",Lookup!$N$12,IF(GK191="PP",Lookup!$N$13,IF(GK191="PPP",Lookup!$N$14,IF(GK191="T",Lookup!$N$15,IF(GK191="TP",Lookup!$N$16,IF(GK191="TPP",Lookup!$N$17,IF(GK191="TPPP",Lookup!$N$18,0)))))))*GJ191</f>
        <v>0</v>
      </c>
      <c r="HC191" s="521">
        <f t="shared" si="493"/>
        <v>0</v>
      </c>
      <c r="HD191" s="535">
        <f t="shared" si="494"/>
        <v>1944.7711111111112</v>
      </c>
      <c r="HE191" s="535">
        <f t="shared" si="401"/>
        <v>633.88888888888891</v>
      </c>
      <c r="HF191" s="535"/>
      <c r="HG191" s="535">
        <f t="shared" si="398"/>
        <v>0</v>
      </c>
      <c r="HH191" s="535" t="str">
        <f t="shared" si="399"/>
        <v/>
      </c>
      <c r="HI191" s="535">
        <f>IF(GK191="P",Lookup!$N$12,IF(GK191="PP",Lookup!$N$13,IF(GK191="PPP",Lookup!$N$14,IF(GK191="T",Lookup!$N$15,IF(GK191="TP",Lookup!$N$16,IF(GK191="TPP",Lookup!$N$17,IF(GK191="TPPP",Lookup!$N$18,0)))))))*GJ191</f>
        <v>0</v>
      </c>
      <c r="HJ191" s="521">
        <f t="shared" si="495"/>
        <v>0</v>
      </c>
      <c r="HK191" s="535">
        <f t="shared" si="496"/>
        <v>1944.7711111111112</v>
      </c>
      <c r="HL191" s="535">
        <f t="shared" si="402"/>
        <v>633.88888888888891</v>
      </c>
      <c r="HM191" s="535"/>
      <c r="HN191" s="541"/>
      <c r="HO191" s="541"/>
      <c r="HP191" s="541"/>
      <c r="HQ191" s="541">
        <f>IF(AND(B191&gt;=$FV$4,B191&lt;=$FW$4),MAX(110/1.02+$HQ$6+MIN(113/1.02,G191),IF($HV$6-(Sheet1!DA189-Sheet1!DB189)+MIN(113/1.02,G191)&lt;G191+FL191,$HV$6-(Sheet1!DA189-Sheet1!DB189)+MIN(113/1.02,G191),G191+FL191)),MIN(110/1.02+$HQ$6+113/1.02,G191))</f>
        <v>218.62745098039215</v>
      </c>
      <c r="HR191" s="541">
        <f t="shared" si="421"/>
        <v>223</v>
      </c>
      <c r="HS191" s="541">
        <f>HR191+(Sheet1!DA189-Sheet1!DB189)</f>
        <v>410</v>
      </c>
      <c r="HT191" s="541">
        <f t="shared" si="422"/>
        <v>23.622689999999992</v>
      </c>
      <c r="HU191" s="541">
        <f t="shared" si="423"/>
        <v>386.37731000000002</v>
      </c>
      <c r="HV191" s="541">
        <f t="shared" si="424"/>
        <v>0</v>
      </c>
      <c r="HW191" s="541" t="str">
        <f t="shared" si="425"/>
        <v/>
      </c>
      <c r="HX191" s="541">
        <f t="shared" si="426"/>
        <v>275.37254901960785</v>
      </c>
      <c r="HY191" s="541">
        <f>Sheet1!CZ189</f>
        <v>494</v>
      </c>
      <c r="HZ191" s="541">
        <f t="shared" si="427"/>
        <v>0</v>
      </c>
      <c r="IA191" s="541">
        <f t="shared" si="428"/>
        <v>23.622689999999992</v>
      </c>
      <c r="IB191" s="541">
        <f t="shared" si="429"/>
        <v>494</v>
      </c>
      <c r="IC191" s="1019" t="str">
        <f t="shared" si="430"/>
        <v/>
      </c>
      <c r="ID191" s="541">
        <f t="shared" si="431"/>
        <v>470.37731000000002</v>
      </c>
      <c r="IE191" s="541">
        <f>Sheet1!DB189</f>
        <v>404</v>
      </c>
      <c r="IF191" s="533">
        <f>Sheet1!DA189</f>
        <v>591</v>
      </c>
      <c r="IH191" s="541">
        <f>IF(AND($B191&gt;=$GC191,$B191&lt;=$GH191,$DR191&lt;0)+N("only adjusted when pool is drawn down during storage season"),Sheet1!$DB189+$DR191+N("Palmer minus all storage release"),Sheet1!$DB189)</f>
        <v>375.70953101401273</v>
      </c>
      <c r="II191" s="541">
        <f>IF(AND($B191&gt;=$GC191,$B191&lt;=$GH191,$DR191&lt;0)+N("only adjusted when pool is drawn down during storage season"),Sheet1!$DA189+$DR191+N("Auburn minus all storage release"),Sheet1!$DA189)</f>
        <v>562.70953101401278</v>
      </c>
    </row>
    <row r="192" spans="1:243" x14ac:dyDescent="0.25">
      <c r="A192" s="553" t="s">
        <v>8</v>
      </c>
      <c r="B192" s="531">
        <v>42916</v>
      </c>
      <c r="C192" s="536">
        <v>0</v>
      </c>
      <c r="D192" s="506">
        <f t="shared" si="371"/>
        <v>300</v>
      </c>
      <c r="E192" s="506">
        <f t="shared" si="372"/>
        <v>250</v>
      </c>
      <c r="F192" s="506">
        <v>250</v>
      </c>
      <c r="G192" s="535">
        <f>DR192+Sheet1!CZ190</f>
        <v>464.31719616742163</v>
      </c>
      <c r="H192" s="1074">
        <f t="shared" si="405"/>
        <v>118.84261550662133</v>
      </c>
      <c r="I192" s="534">
        <f>IF(Sheet1!DA190&gt;=E192,(Sheet1!DA190-E192+P192)*CFStoMGD,0)</f>
        <v>319.02157990399996</v>
      </c>
      <c r="J192" s="995">
        <f>IF(Sheet1!DB190&gt;=D192,(Sheet1!DB190-D192+P192)*CFStoMGD,0)</f>
        <v>159.360779904</v>
      </c>
      <c r="K192" s="818">
        <f t="shared" si="406"/>
        <v>64.64</v>
      </c>
      <c r="L192" s="535">
        <f>Sheet1!AA190+Sheet1!AB190-Sheet1!L190+(Sheet1!DA190-F192)*CFStoMGD-S192-T192-U192</f>
        <v>254.38319999999999</v>
      </c>
      <c r="M192" s="535">
        <f t="shared" si="436"/>
        <v>306.13732831467377</v>
      </c>
      <c r="N192" s="824">
        <f>IF(Sheet1!DA190&gt;=F192,MIN(113*CFStoMGD,MIN(MAX(L192,0),MAX(M192,0))),0)</f>
        <v>73.043199999999999</v>
      </c>
      <c r="O192" s="538">
        <f>Sheet1!AA190+Sheet1!AB190</f>
        <v>84.38</v>
      </c>
      <c r="P192" s="538">
        <f t="shared" si="437"/>
        <v>130.53585999999999</v>
      </c>
      <c r="Q192" s="812">
        <f t="shared" si="407"/>
        <v>19.739999999999995</v>
      </c>
      <c r="R192" s="812">
        <f t="shared" si="373"/>
        <v>18</v>
      </c>
      <c r="S192" s="812">
        <f t="shared" si="374"/>
        <v>64.64</v>
      </c>
      <c r="T192" s="812">
        <f t="shared" si="375"/>
        <v>0</v>
      </c>
      <c r="U192" s="812">
        <f t="shared" si="408"/>
        <v>0</v>
      </c>
      <c r="V192" s="812"/>
      <c r="W192" s="812">
        <f t="shared" si="376"/>
        <v>47.285234849880275</v>
      </c>
      <c r="X192" s="812">
        <f t="shared" si="377"/>
        <v>64.64</v>
      </c>
      <c r="Y192" s="812" t="str">
        <f t="shared" si="378"/>
        <v>FALSE</v>
      </c>
      <c r="Z192" s="812">
        <f t="shared" si="379"/>
        <v>84.38</v>
      </c>
      <c r="AA192" s="812">
        <f t="shared" si="380"/>
        <v>84.38</v>
      </c>
      <c r="AB192" s="1059">
        <f t="shared" si="409"/>
        <v>30.537779999999991</v>
      </c>
      <c r="AC192" s="538">
        <f>Sheet1!Y190*MGDtoCFS</f>
        <v>46.7194</v>
      </c>
      <c r="AD192" s="538">
        <f>Sheet1!Z190*MGDtoCFS</f>
        <v>76.90137</v>
      </c>
      <c r="AE192" s="538">
        <f>Sheet1!AA190*MGDtoCFS</f>
        <v>46.7194</v>
      </c>
      <c r="AF192" s="538">
        <f>Sheet1!AB190*MGDtoCFS</f>
        <v>83.816459999999992</v>
      </c>
      <c r="AG192" s="538">
        <f>Sheet1!L190*MGDtoCFS</f>
        <v>0</v>
      </c>
      <c r="AH192" s="521">
        <f>AU192+BN192+CI192+DB192</f>
        <v>0</v>
      </c>
      <c r="AI192" s="1059">
        <f>AH192*MGDtoCFS</f>
        <v>0</v>
      </c>
      <c r="AJ192" s="535">
        <f t="shared" si="440"/>
        <v>0</v>
      </c>
      <c r="AK192" s="535">
        <f t="shared" si="441"/>
        <v>0</v>
      </c>
      <c r="AL192" s="535">
        <f>(VLOOKUP(Sheet1!DC190,hhdcap_wcm,4)-(((VLOOKUP(Sheet1!DC190,hhdcap_wcm,3)-Sheet1!DC190)/(VLOOKUP(Sheet1!DC190,hhdcap_wcm,3)-VLOOKUP(Sheet1!DC190,hhdcap_wcm,1)))*(VLOOKUP(Sheet1!DC190,hhdcap_wcm,4)-VLOOKUP(Sheet1!DC190,hhdcap_wcm,2))))</f>
        <v>48671.400000117676</v>
      </c>
      <c r="AM192" s="535">
        <f t="shared" si="442"/>
        <v>-124.30000000000291</v>
      </c>
      <c r="AN192" s="1035">
        <f t="shared" si="443"/>
        <v>3260</v>
      </c>
      <c r="AO192" s="535">
        <f t="shared" si="444"/>
        <v>10001.68</v>
      </c>
      <c r="AP192" s="535">
        <f>Sheet1!BA190+Sheet1!BB190+Sheet1!BN190+CD192</f>
        <v>36.9</v>
      </c>
      <c r="AQ192" s="535">
        <f>Sheet1!BN190+(DO192*Sheet1!BN190)</f>
        <v>36.825234849880275</v>
      </c>
      <c r="AR192" s="535">
        <f>Sheet1!BA190+CD192</f>
        <v>0</v>
      </c>
      <c r="AS192" s="535">
        <f>Sheet1!BA190+Sheet1!BB190+CD192</f>
        <v>0</v>
      </c>
      <c r="AT192" s="649">
        <f>0</f>
        <v>0</v>
      </c>
      <c r="AU192" s="974">
        <f>BA192+Sheet1!EH190</f>
        <v>0</v>
      </c>
      <c r="AV192" s="535">
        <f>IF(OR(B192&gt;=GD192,B192&lt;GC192),0,15/36*K192-MAX(0,64.6-(137.6-(Sheet1!AA190+Sheet1!AB190))))</f>
        <v>0</v>
      </c>
      <c r="AW192" s="1029"/>
      <c r="AX192" s="649"/>
      <c r="AY192" s="649">
        <f t="shared" si="410"/>
        <v>0</v>
      </c>
      <c r="AZ192" s="649">
        <f t="shared" si="411"/>
        <v>0</v>
      </c>
      <c r="BA192" s="1059">
        <f t="shared" si="412"/>
        <v>0</v>
      </c>
      <c r="BB192" s="1019">
        <f t="shared" si="445"/>
        <v>1358.3333333333335</v>
      </c>
      <c r="BC192" s="1041">
        <f t="shared" si="413"/>
        <v>26.933333333333334</v>
      </c>
      <c r="BD192" s="1019">
        <f ca="1">IF(B192&gt;(Summary!$A$1-1),#N/A,BB192*MGtoAF)</f>
        <v>4167.3666666666668</v>
      </c>
      <c r="BE192" s="535">
        <f>Sheet1!BG190+Sheet1!BH190+Sheet1!BI190-BM192</f>
        <v>2.02</v>
      </c>
      <c r="BF192" s="535">
        <f t="shared" si="446"/>
        <v>2.0159071652237981</v>
      </c>
      <c r="BG192" s="535">
        <f>IF(Sheet1!EP190="FM",BM192,0)</f>
        <v>0</v>
      </c>
      <c r="BH192" s="535">
        <f t="shared" si="447"/>
        <v>0</v>
      </c>
      <c r="BI192" s="535">
        <f>IF(Sheet1!EP190="OTHER",BM192,0)</f>
        <v>0</v>
      </c>
      <c r="BJ192" s="535">
        <f t="shared" si="448"/>
        <v>0</v>
      </c>
      <c r="BK192" s="535">
        <f t="shared" si="449"/>
        <v>2.02</v>
      </c>
      <c r="BL192" s="535">
        <f t="shared" si="450"/>
        <v>2.0159071652237981</v>
      </c>
      <c r="BM192" s="535">
        <f>IF(OR(Sheet1!EP190="FM", Sheet1!EP190="OTHER"),SUM(Sheet1!BG190:'Sheet1'!BI190),0)</f>
        <v>0</v>
      </c>
      <c r="BN192" s="521">
        <f>IF(AND($B192&gt;=$FV192,$B192&lt;=$FW192),MAX(BF192,Sheet1!EI190,0),MAX(BF192-(7/36)*$K192,0))</f>
        <v>0</v>
      </c>
      <c r="BO192" s="535">
        <f t="shared" si="497"/>
        <v>0</v>
      </c>
      <c r="BP192" s="521">
        <f t="shared" si="452"/>
        <v>2.0159071652237981</v>
      </c>
      <c r="BQ192" s="521">
        <f>IF(AND($O192&gt;0,Sheet1!EM190=1),(1-($O192-Sheet1!$L190)/$O192)*BL192,0)</f>
        <v>0</v>
      </c>
      <c r="BR192" s="521">
        <f>IF(AND(Sheet1!$L190=0,Sheet1!$L189=0, Calculation!BK192&lt;Sheet1!$EI190-0.1,Sheet1!$EI190=Sheet1!$EI189,Sheet1!$EI190=Sheet1!$EI191),BL192-BQ192,BL192-BQ192)</f>
        <v>2.0159071652237981</v>
      </c>
      <c r="BS192" s="1035" t="str">
        <f t="shared" si="414"/>
        <v/>
      </c>
      <c r="BT192" s="1035">
        <f t="shared" si="415"/>
        <v>12.568888888888889</v>
      </c>
      <c r="BU192" s="535">
        <f t="shared" si="453"/>
        <v>633.88888888888891</v>
      </c>
      <c r="BV192" s="535"/>
      <c r="BW192" s="535">
        <f ca="1">IF(B192&gt;(Summary!$A$1-1),#N/A,BU192*MGtoAF)</f>
        <v>1944.7711111111112</v>
      </c>
      <c r="BX192" s="535">
        <f>Sheet1!BC190+Sheet1!BD190+Sheet1!BE190+Sheet1!BF190-CG192-CH192</f>
        <v>5.49</v>
      </c>
      <c r="BY192" s="535">
        <f t="shared" si="454"/>
        <v>5.4788764044943825</v>
      </c>
      <c r="BZ192" s="535">
        <f>IF(Sheet1!EQ190="FM",CH192,0)</f>
        <v>0</v>
      </c>
      <c r="CA192" s="535">
        <f t="shared" si="455"/>
        <v>0</v>
      </c>
      <c r="CB192" s="535">
        <f>IF(Sheet1!EQ190="OTHER",CH192,0)</f>
        <v>0</v>
      </c>
      <c r="CC192" s="535">
        <f t="shared" si="456"/>
        <v>0</v>
      </c>
      <c r="CD192" s="535">
        <f t="shared" si="457"/>
        <v>0</v>
      </c>
      <c r="CE192" s="535">
        <f t="shared" si="458"/>
        <v>5.49</v>
      </c>
      <c r="CF192" s="535">
        <f t="shared" si="459"/>
        <v>5.4788764044943825</v>
      </c>
      <c r="CG192" s="535">
        <f>IF(Sheet1!EQ190="CWA",SUM(Sheet1!BC190:'Sheet1'!BF190),0)</f>
        <v>0</v>
      </c>
      <c r="CH192" s="535">
        <f>IF(OR(Sheet1!EQ190="FM", Sheet1!EQ190="OTHER"),SUM(Sheet1!BC190:'Sheet1'!BF190),0)</f>
        <v>0</v>
      </c>
      <c r="CI192" s="521">
        <f>IF(AND($B192&gt;=$FV192,$B192&lt;=$FW192),MAX(CF192,Sheet1!EJ190,0),MAX(CF192-(7/36)*$K192,0))</f>
        <v>0</v>
      </c>
      <c r="CJ192" s="535">
        <f t="shared" si="499"/>
        <v>0</v>
      </c>
      <c r="CK192" s="521">
        <f t="shared" si="461"/>
        <v>5.4788764044943825</v>
      </c>
      <c r="CL192" s="521">
        <f>IF(AND($O192&gt;0,Sheet1!EN190=1),(1-($O192-Sheet1!$L190)/$O192)*CF192,0)</f>
        <v>0</v>
      </c>
      <c r="CM192" s="521">
        <f>IF(AND(Sheet1!$L190=0,Sheet1!$L189=0, Calculation!CE192&lt;Sheet1!EJ190-0.1,Sheet1!EJ190=Sheet1!EJ189,Sheet1!EJ190=Sheet1!EJ191),CF192-CL192,CF192-CL192)</f>
        <v>5.4788764044943825</v>
      </c>
      <c r="CN192" s="1040" t="str">
        <f t="shared" si="416"/>
        <v/>
      </c>
      <c r="CO192" s="1035">
        <f t="shared" si="417"/>
        <v>12.568888888888889</v>
      </c>
      <c r="CP192" s="535">
        <f t="shared" si="462"/>
        <v>633.88888888888891</v>
      </c>
      <c r="CQ192" s="535"/>
      <c r="CR192" s="535">
        <f ca="1">IF(B192&gt;(Summary!$A$1-1),#N/A,CP192*MGtoAF)</f>
        <v>1944.7711111111112</v>
      </c>
      <c r="CS192" s="535">
        <f>Sheet1!BK190+Sheet1!BL190+Sheet1!BM190-Sheet1!ER190-DA192</f>
        <v>9.879999999999999</v>
      </c>
      <c r="CT192" s="535">
        <f t="shared" si="463"/>
        <v>9.8599815804015467</v>
      </c>
      <c r="CU192" s="535">
        <f>IF(Sheet1!ER190="FM",DA192,0)</f>
        <v>0</v>
      </c>
      <c r="CV192" s="535">
        <f t="shared" si="464"/>
        <v>0</v>
      </c>
      <c r="CW192" s="535">
        <f>IF(Sheet1!ER190="OTHER",DA192,0)</f>
        <v>0</v>
      </c>
      <c r="CX192" s="535">
        <f t="shared" si="465"/>
        <v>0</v>
      </c>
      <c r="CY192" s="535">
        <f t="shared" si="466"/>
        <v>9.879999999999999</v>
      </c>
      <c r="CZ192" s="535">
        <f t="shared" si="467"/>
        <v>9.8599815804015467</v>
      </c>
      <c r="DA192" s="535">
        <f>IF(OR(Sheet1!ER190="FM", Sheet1!ER190="OTHER"),SUM(Sheet1!BK190:'Sheet1'!BM190),0)</f>
        <v>0</v>
      </c>
      <c r="DB192" s="1011">
        <f>IF(AND($B192&gt;=$FV192,$B192&lt;=$FW192),MAX($CT192,Sheet1!EK190,0),MAX($CT192-(7/36)*$K192,0))</f>
        <v>0</v>
      </c>
      <c r="DC192" s="1012">
        <f t="shared" si="498"/>
        <v>0</v>
      </c>
      <c r="DD192" s="1011">
        <f t="shared" si="469"/>
        <v>9.8599815804015467</v>
      </c>
      <c r="DE192" s="521">
        <f>IF(AND($O192&gt;0,Sheet1!EO190=1),(1-($O192-Sheet1!$L190)/$O192)*CZ192,0)</f>
        <v>0</v>
      </c>
      <c r="DF192" s="521">
        <f>IF(AND(Sheet1!$L190=0,Sheet1!$L189=0, Calculation!CY192&lt;Sheet1!$EK190-0.1,Sheet1!$EK190=Sheet1!$EK189,Sheet1!$EK190=Sheet1!$EK191),CZ192-DE192,CZ192-DE192)</f>
        <v>9.8599815804015467</v>
      </c>
      <c r="DG192" s="1040">
        <f t="shared" si="418"/>
        <v>12.568888888888889</v>
      </c>
      <c r="DH192" s="649">
        <f t="shared" si="470"/>
        <v>17.39</v>
      </c>
      <c r="DI192" s="535">
        <f t="shared" si="471"/>
        <v>633.88888888888891</v>
      </c>
      <c r="DJ192" s="649">
        <f t="shared" si="472"/>
        <v>17.354765150119725</v>
      </c>
      <c r="DK192" s="535">
        <f ca="1">IF(B192&gt;(Summary!$A$1-1),#N/A,DI192*MGtoAF)</f>
        <v>1944.7711111111112</v>
      </c>
      <c r="DL192" s="649">
        <f t="shared" si="473"/>
        <v>17.39</v>
      </c>
      <c r="DM192" s="535">
        <f t="shared" si="474"/>
        <v>54.29</v>
      </c>
      <c r="DN192" s="535">
        <f>Sheet1!AB190-DM192</f>
        <v>-0.10999999999999943</v>
      </c>
      <c r="DO192" s="743">
        <f t="shared" si="475"/>
        <v>-2.0261558298029E-3</v>
      </c>
      <c r="DP192" s="535">
        <f>(VLOOKUP(Sheet1!DC190,hhdcap_wcm,4)-(((VLOOKUP(Sheet1!DC190,hhdcap_wcm,3)-Sheet1!DC190)/(VLOOKUP(Sheet1!DC190,hhdcap_wcm,3)-VLOOKUP(Sheet1!DC190,hhdcap_wcm,1)))*(VLOOKUP(Sheet1!DC190,hhdcap_wcm,4)-VLOOKUP(Sheet1!DC190,hhdcap_wcm,2))))</f>
        <v>48671.400000117676</v>
      </c>
      <c r="DQ192" s="535">
        <f t="shared" si="476"/>
        <v>-124.30000000000291</v>
      </c>
      <c r="DR192" s="535">
        <f t="shared" si="477"/>
        <v>-62.682803832578365</v>
      </c>
      <c r="DS192" s="535">
        <f>Sheet1!EA190*AFtoMG</f>
        <v>0</v>
      </c>
      <c r="DT192" s="535">
        <f>Sheet1!EB190*AFtoMG</f>
        <v>0</v>
      </c>
      <c r="DU192" s="535">
        <f>Sheet1!EC190*AFtoMG</f>
        <v>0</v>
      </c>
      <c r="DV192" s="535">
        <f>Sheet1!ED190*AFtoMG</f>
        <v>0</v>
      </c>
      <c r="DW192" s="535">
        <f t="shared" si="478"/>
        <v>0</v>
      </c>
      <c r="DX192" s="535">
        <f t="shared" si="479"/>
        <v>0</v>
      </c>
      <c r="DY192" s="535">
        <f t="shared" si="480"/>
        <v>3260</v>
      </c>
      <c r="DZ192" s="535">
        <f t="shared" si="481"/>
        <v>10001.68</v>
      </c>
      <c r="EA192" s="535"/>
      <c r="EB192" s="521">
        <f>IF(OR(B192&lt;FV192,B192&gt;FW192),(MIN(BF192+BY192+CT192+MAX(Sheet1!AA190+AQ192-73,0),K192)),0)</f>
        <v>17.354765150119725</v>
      </c>
      <c r="EC192" s="535"/>
      <c r="ED192" s="535">
        <f t="shared" si="482"/>
        <v>17.354765150119725</v>
      </c>
      <c r="EE192" s="535"/>
      <c r="EF192" s="535">
        <f>Sheet1!EH190+Sheet1!EI190+Sheet1!EJ190+Sheet1!EK190</f>
        <v>18</v>
      </c>
      <c r="EG192" s="1019">
        <f t="shared" si="419"/>
        <v>27.846</v>
      </c>
      <c r="EH192" s="521">
        <f t="shared" si="483"/>
        <v>0</v>
      </c>
      <c r="EI192" s="535">
        <f>IF(Sheet1!ET190=1,SUM('Calculations II'!AT192:BA192)+'Calculations II'!BC192+Sheet1!BV190+'Calculations II'!BE192+AP192,'Calculations II'!BK192)</f>
        <v>73.995188849880279</v>
      </c>
      <c r="EJ192" s="535">
        <f ca="1">EI192+'Calculations II'!D192+'Calculations II'!E192+'Calculations II'!O192</f>
        <v>66.799249165653322</v>
      </c>
      <c r="EK192" s="535"/>
      <c r="EL192" s="535"/>
      <c r="EM192" s="535">
        <f t="shared" si="484"/>
        <v>42916</v>
      </c>
      <c r="EN192" s="535">
        <f t="shared" si="485"/>
        <v>0</v>
      </c>
      <c r="EO192" s="535">
        <f t="shared" si="486"/>
        <v>0</v>
      </c>
      <c r="EP192" s="535">
        <v>0</v>
      </c>
      <c r="EQ192" s="535">
        <v>0</v>
      </c>
      <c r="ER192" s="535">
        <v>0</v>
      </c>
      <c r="ES192" s="521">
        <f t="shared" si="381"/>
        <v>6.5076760314197726</v>
      </c>
      <c r="ET192" s="535">
        <f>-(VLOOKUP(Sheet1!BQ190,Lookup!$O$4:$Q$262,2)-VLOOKUP(Sheet1!BQ189,Lookup!$O$4:$Q$262,2))/1000000</f>
        <v>3.1841182489699236</v>
      </c>
      <c r="EU192" s="535">
        <f>-(VLOOKUP(Sheet1!BR190,Lookup!$O$4:$Q$262,3)-VLOOKUP(Sheet1!BR189,Lookup!$O$4:$Q$262,3))/1000000</f>
        <v>3.323557782449849</v>
      </c>
      <c r="EV192" s="535"/>
      <c r="EW192" s="535"/>
      <c r="EX192" s="535"/>
      <c r="EY192" s="535">
        <f t="shared" si="502"/>
        <v>-89.530625519813583</v>
      </c>
      <c r="EZ192" s="535"/>
      <c r="FA192" s="535"/>
      <c r="FB192" s="535"/>
      <c r="FC192" s="535"/>
      <c r="FD192" s="567" t="e">
        <f t="shared" si="487"/>
        <v>#N/A</v>
      </c>
      <c r="FE192" s="567" t="e">
        <f t="shared" si="488"/>
        <v>#N/A</v>
      </c>
      <c r="FF192" s="568" t="e">
        <f t="shared" si="489"/>
        <v>#N/A</v>
      </c>
      <c r="FG192" s="569" t="s">
        <v>656</v>
      </c>
      <c r="FH192" s="569" t="s">
        <v>656</v>
      </c>
      <c r="FI192" s="567" t="e">
        <v>#N/A</v>
      </c>
      <c r="FJ192" s="567" t="e">
        <v>#N/A</v>
      </c>
      <c r="FK192" s="535">
        <v>23600</v>
      </c>
      <c r="FL192" s="1015">
        <v>0</v>
      </c>
      <c r="FM192" s="535"/>
      <c r="FN192" s="535"/>
      <c r="FO192" s="535">
        <f>O192+((Sheet1!CS190)*GPMtoMGD)</f>
        <v>84.38</v>
      </c>
      <c r="FP192" s="535">
        <f>IF(Sheet1!AA190+AQ192&lt;=Calculation!N192,AQ192,Calculation!N192-Sheet1!AA190)</f>
        <v>36.825234849880275</v>
      </c>
      <c r="FQ192" s="535">
        <f>(Sheet1!BP190+Sheet1!BO190)/694.4</f>
        <v>3.8853686635944702</v>
      </c>
      <c r="FR192" s="541"/>
      <c r="FS192" s="541"/>
      <c r="FT192" s="541"/>
      <c r="FU192" s="541"/>
      <c r="FV192" s="1109">
        <f t="shared" si="382"/>
        <v>42918</v>
      </c>
      <c r="FW192" s="1109">
        <f t="shared" si="383"/>
        <v>43027</v>
      </c>
      <c r="FX192" s="541"/>
      <c r="FY192" s="541">
        <f>Sheet1!DA190-Sheet1!CZ190-Sheet1!AE190</f>
        <v>-44.535859999999985</v>
      </c>
      <c r="FZ192" s="535">
        <f t="shared" si="420"/>
        <v>-9.5916886920426325E-2</v>
      </c>
      <c r="GA192" s="535"/>
      <c r="GB192" s="535" t="str">
        <f t="shared" si="384"/>
        <v>n</v>
      </c>
      <c r="GC192" s="539">
        <f t="shared" si="385"/>
        <v>42782</v>
      </c>
      <c r="GD192" s="1109">
        <f t="shared" si="386"/>
        <v>42904</v>
      </c>
      <c r="GE192" s="535">
        <f t="shared" si="404"/>
        <v>6520</v>
      </c>
      <c r="GF192" s="1109">
        <f t="shared" si="387"/>
        <v>42909</v>
      </c>
      <c r="GG192" s="535">
        <f t="shared" si="432"/>
        <v>3260</v>
      </c>
      <c r="GH192" s="539">
        <f t="shared" si="388"/>
        <v>43040</v>
      </c>
      <c r="GJ192" s="521">
        <f t="shared" si="389"/>
        <v>0</v>
      </c>
      <c r="GK192" s="535" t="str">
        <f t="shared" si="490"/>
        <v/>
      </c>
      <c r="GL192" s="535">
        <f t="shared" si="390"/>
        <v>0</v>
      </c>
      <c r="GM192" s="535" t="str">
        <f t="shared" si="391"/>
        <v/>
      </c>
      <c r="GN192" s="535">
        <f>IF(GK192="P",Lookup!$M$12,IF(GK192="PP",Lookup!$M$13,IF(GK192="PPP",Lookup!$M$14,IF(GK192="T",Lookup!$M$15,IF(GK192="TP",Lookup!$M$16,IF(GK192="TPP",Lookup!$M$17,IF(GK192="TPPP",Lookup!$M$18,0)))))))*GJ192</f>
        <v>0</v>
      </c>
      <c r="GO192" s="535">
        <f t="shared" si="392"/>
        <v>0</v>
      </c>
      <c r="GP192" s="535">
        <f t="shared" si="491"/>
        <v>4167.3666666666668</v>
      </c>
      <c r="GQ192" s="974">
        <f t="shared" si="500"/>
        <v>1358.3333333333335</v>
      </c>
      <c r="GR192" s="535"/>
      <c r="GS192" s="535">
        <f t="shared" si="393"/>
        <v>0</v>
      </c>
      <c r="GT192" s="535" t="str">
        <f t="shared" si="394"/>
        <v/>
      </c>
      <c r="GU192" s="535">
        <f>IF(GK192="P",Lookup!$N$12,IF(GK192="PP",Lookup!$N$13,IF(GK192="PPP",Lookup!$N$14,IF(GK192="T",Lookup!$N$15,IF(GK192="TP",Lookup!$N$16,IF(GK192="TPP",Lookup!$N$17,IF(GK192="TPPP",Lookup!$N$18,0)))))))*GJ192</f>
        <v>0</v>
      </c>
      <c r="GV192" s="535">
        <f t="shared" si="395"/>
        <v>0</v>
      </c>
      <c r="GW192" s="535">
        <f t="shared" si="492"/>
        <v>1944.7711111111112</v>
      </c>
      <c r="GX192" s="974">
        <f t="shared" si="501"/>
        <v>633.88888888888891</v>
      </c>
      <c r="GY192" s="535"/>
      <c r="GZ192" s="535">
        <f t="shared" si="396"/>
        <v>0</v>
      </c>
      <c r="HA192" s="535" t="str">
        <f t="shared" si="397"/>
        <v/>
      </c>
      <c r="HB192" s="535">
        <f>IF(GK192="P",Lookup!$N$12,IF(GK192="PP",Lookup!$N$13,IF(GK192="PPP",Lookup!$N$14,IF(GK192="T",Lookup!$N$15,IF(GK192="TP",Lookup!$N$16,IF(GK192="TPP",Lookup!$N$17,IF(GK192="TPPP",Lookup!$N$18,0)))))))*GJ192</f>
        <v>0</v>
      </c>
      <c r="HC192" s="521">
        <f t="shared" si="493"/>
        <v>0</v>
      </c>
      <c r="HD192" s="535">
        <f t="shared" si="494"/>
        <v>1944.7711111111112</v>
      </c>
      <c r="HE192" s="535">
        <f t="shared" si="401"/>
        <v>633.88888888888891</v>
      </c>
      <c r="HF192" s="535"/>
      <c r="HG192" s="535">
        <f t="shared" si="398"/>
        <v>0</v>
      </c>
      <c r="HH192" s="535" t="str">
        <f t="shared" si="399"/>
        <v/>
      </c>
      <c r="HI192" s="535">
        <f>IF(GK192="P",Lookup!$N$12,IF(GK192="PP",Lookup!$N$13,IF(GK192="PPP",Lookup!$N$14,IF(GK192="T",Lookup!$N$15,IF(GK192="TP",Lookup!$N$16,IF(GK192="TPP",Lookup!$N$17,IF(GK192="TPPP",Lookup!$N$18,0)))))))*GJ192</f>
        <v>0</v>
      </c>
      <c r="HJ192" s="521">
        <f t="shared" si="495"/>
        <v>0</v>
      </c>
      <c r="HK192" s="535">
        <f t="shared" si="496"/>
        <v>1944.7711111111112</v>
      </c>
      <c r="HL192" s="535">
        <f t="shared" si="402"/>
        <v>633.88888888888891</v>
      </c>
      <c r="HM192" s="535"/>
      <c r="HN192" s="541"/>
      <c r="HO192" s="541"/>
      <c r="HP192" s="541"/>
      <c r="HQ192" s="541">
        <f>IF(AND(B192&gt;=$FV$4,B192&lt;=$FW$4),MAX(110/1.02+$HQ$6+MIN(113/1.02,G192),IF($HV$6-(Sheet1!DA190-Sheet1!DB190)+MIN(113/1.02,G192)&lt;G192+FL192,$HV$6-(Sheet1!DA190-Sheet1!DB190)+MIN(113/1.02,G192),G192+FL192)),MIN(110/1.02+$HQ$6+113/1.02,G192))</f>
        <v>218.62745098039215</v>
      </c>
      <c r="HR192" s="541">
        <f t="shared" si="421"/>
        <v>223</v>
      </c>
      <c r="HS192" s="541">
        <f>HR192+(Sheet1!DA190-Sheet1!DB190)</f>
        <v>420</v>
      </c>
      <c r="HT192" s="541">
        <f t="shared" si="422"/>
        <v>30.537779999999991</v>
      </c>
      <c r="HU192" s="541">
        <f t="shared" si="423"/>
        <v>389.46222</v>
      </c>
      <c r="HV192" s="541">
        <f t="shared" si="424"/>
        <v>0</v>
      </c>
      <c r="HW192" s="541" t="str">
        <f t="shared" si="425"/>
        <v/>
      </c>
      <c r="HX192" s="541">
        <f t="shared" si="426"/>
        <v>308.37254901960785</v>
      </c>
      <c r="HY192" s="541">
        <f>Sheet1!CZ190</f>
        <v>527</v>
      </c>
      <c r="HZ192" s="541">
        <f t="shared" si="427"/>
        <v>0</v>
      </c>
      <c r="IA192" s="541">
        <f t="shared" si="428"/>
        <v>30.537779999999991</v>
      </c>
      <c r="IB192" s="541">
        <f t="shared" si="429"/>
        <v>527</v>
      </c>
      <c r="IC192" s="1019" t="str">
        <f t="shared" si="430"/>
        <v/>
      </c>
      <c r="ID192" s="541">
        <f t="shared" si="431"/>
        <v>496.46222</v>
      </c>
      <c r="IE192" s="541">
        <f>Sheet1!DB190</f>
        <v>416</v>
      </c>
      <c r="IF192" s="533">
        <f>Sheet1!DA190</f>
        <v>613</v>
      </c>
      <c r="IH192" s="541">
        <f>IF(AND($B192&gt;=$GC192,$B192&lt;=$GH192,$DR192&lt;0)+N("only adjusted when pool is drawn down during storage season"),Sheet1!$DB190+$DR192+N("Palmer minus all storage release"),Sheet1!$DB190)</f>
        <v>353.31719616742163</v>
      </c>
      <c r="II192" s="541">
        <f>IF(AND($B192&gt;=$GC192,$B192&lt;=$GH192,$DR192&lt;0)+N("only adjusted when pool is drawn down during storage season"),Sheet1!$DA190+$DR192+N("Auburn minus all storage release"),Sheet1!$DA190)</f>
        <v>550.31719616742168</v>
      </c>
    </row>
    <row r="193" spans="1:243" x14ac:dyDescent="0.25">
      <c r="A193" s="553" t="s">
        <v>9</v>
      </c>
      <c r="B193" s="531">
        <v>42917</v>
      </c>
      <c r="C193" s="536">
        <v>0</v>
      </c>
      <c r="D193" s="506">
        <f t="shared" si="371"/>
        <v>300</v>
      </c>
      <c r="E193" s="506">
        <f t="shared" si="372"/>
        <v>250</v>
      </c>
      <c r="F193" s="506">
        <v>250</v>
      </c>
      <c r="G193" s="535">
        <f>DR193+Sheet1!CZ191</f>
        <v>421.93242561709707</v>
      </c>
      <c r="H193" s="1074">
        <f t="shared" si="405"/>
        <v>97.514220526891535</v>
      </c>
      <c r="I193" s="534">
        <f>IF(Sheet1!DA191&gt;=E193,(Sheet1!DA191-E193+P193)*CFStoMGD,0)</f>
        <v>319.27310060799999</v>
      </c>
      <c r="J193" s="995">
        <f>IF(Sheet1!DB191&gt;=D193,(Sheet1!DB191-D193+P193)*CFStoMGD,0)</f>
        <v>163.490700608</v>
      </c>
      <c r="K193" s="818">
        <f t="shared" si="406"/>
        <v>64.64</v>
      </c>
      <c r="L193" s="535">
        <f>Sheet1!AA191+Sheet1!AB191-Sheet1!L191+(Sheet1!DA191-F193)*CFStoMGD-S193-T193-U193</f>
        <v>254.63479999999998</v>
      </c>
      <c r="M193" s="535">
        <f t="shared" si="436"/>
        <v>278.1918623172694</v>
      </c>
      <c r="N193" s="824">
        <f>IF(Sheet1!DA191&gt;=F193,MIN(113*CFStoMGD,MIN(MAX(L193,0),MAX(M193,0))),0)</f>
        <v>73.043199999999999</v>
      </c>
      <c r="O193" s="538">
        <f>Sheet1!AA191+Sheet1!AB191</f>
        <v>88.51</v>
      </c>
      <c r="P193" s="538">
        <f t="shared" si="437"/>
        <v>136.92497</v>
      </c>
      <c r="Q193" s="812">
        <f t="shared" si="407"/>
        <v>23.870000000000005</v>
      </c>
      <c r="R193" s="812">
        <f t="shared" si="373"/>
        <v>18</v>
      </c>
      <c r="S193" s="812">
        <f t="shared" si="374"/>
        <v>64.64</v>
      </c>
      <c r="T193" s="812">
        <f t="shared" si="375"/>
        <v>0</v>
      </c>
      <c r="U193" s="812">
        <f t="shared" si="408"/>
        <v>0</v>
      </c>
      <c r="V193" s="812"/>
      <c r="W193" s="812">
        <f t="shared" si="376"/>
        <v>46.678526495726494</v>
      </c>
      <c r="X193" s="812">
        <f t="shared" si="377"/>
        <v>64.64</v>
      </c>
      <c r="Y193" s="812" t="str">
        <f t="shared" si="378"/>
        <v>FALSE</v>
      </c>
      <c r="Z193" s="812">
        <f t="shared" si="379"/>
        <v>88.51</v>
      </c>
      <c r="AA193" s="812">
        <f t="shared" si="380"/>
        <v>88.51</v>
      </c>
      <c r="AB193" s="1059">
        <f t="shared" si="409"/>
        <v>36.926890000000007</v>
      </c>
      <c r="AC193" s="538">
        <f>Sheet1!Y191*MGDtoCFS</f>
        <v>46.7194</v>
      </c>
      <c r="AD193" s="538">
        <f>Sheet1!Z191*MGDtoCFS</f>
        <v>83.816459999999992</v>
      </c>
      <c r="AE193" s="538">
        <f>Sheet1!AA191*MGDtoCFS</f>
        <v>46.7194</v>
      </c>
      <c r="AF193" s="538">
        <f>Sheet1!AB191*MGDtoCFS</f>
        <v>90.205569999999994</v>
      </c>
      <c r="AG193" s="538">
        <f>Sheet1!L191*MGDtoCFS</f>
        <v>0</v>
      </c>
      <c r="AH193" s="521">
        <f t="shared" si="438"/>
        <v>0</v>
      </c>
      <c r="AI193" s="1059">
        <f t="shared" si="439"/>
        <v>0</v>
      </c>
      <c r="AJ193" s="535">
        <f t="shared" si="440"/>
        <v>0</v>
      </c>
      <c r="AK193" s="535">
        <f t="shared" si="441"/>
        <v>0</v>
      </c>
      <c r="AL193" s="535">
        <f>(VLOOKUP(Sheet1!DC191,hhdcap_wcm,4)-(((VLOOKUP(Sheet1!DC191,hhdcap_wcm,3)-Sheet1!DC191)/(VLOOKUP(Sheet1!DC191,hhdcap_wcm,3)-VLOOKUP(Sheet1!DC191,hhdcap_wcm,1)))*(VLOOKUP(Sheet1!DC191,hhdcap_wcm,4)-VLOOKUP(Sheet1!DC191,hhdcap_wcm,2))))</f>
        <v>48469.000000116379</v>
      </c>
      <c r="AM193" s="535">
        <f t="shared" si="442"/>
        <v>-202.40000000129658</v>
      </c>
      <c r="AN193" s="1035">
        <f t="shared" si="443"/>
        <v>3260</v>
      </c>
      <c r="AO193" s="535">
        <f t="shared" si="444"/>
        <v>10001.68</v>
      </c>
      <c r="AP193" s="535">
        <f>Sheet1!BA191+Sheet1!BB191+Sheet1!BN191+CD193</f>
        <v>40.480000000000004</v>
      </c>
      <c r="AQ193" s="535">
        <f>Sheet1!BN191+(DO193*Sheet1!BN191)</f>
        <v>39.96976068376069</v>
      </c>
      <c r="AR193" s="535">
        <f>Sheet1!BA191+CD193</f>
        <v>0</v>
      </c>
      <c r="AS193" s="535">
        <f>Sheet1!BA191+Sheet1!BB191+CD193</f>
        <v>0.38</v>
      </c>
      <c r="AT193" s="649">
        <f>0</f>
        <v>0</v>
      </c>
      <c r="AU193" s="974">
        <f>BA193+Sheet1!EH191</f>
        <v>0</v>
      </c>
      <c r="AV193" s="535">
        <f>IF(OR(B193&gt;=GD193,B193&lt;GC193),0,15/36*K193-MAX(0,64.6-(137.6-(Sheet1!AA191+Sheet1!AB191))))</f>
        <v>0</v>
      </c>
      <c r="AW193" s="1029"/>
      <c r="AX193" s="649"/>
      <c r="AY193" s="649">
        <f t="shared" si="410"/>
        <v>0</v>
      </c>
      <c r="AZ193" s="649">
        <f t="shared" si="411"/>
        <v>0</v>
      </c>
      <c r="BA193" s="1059">
        <f t="shared" si="412"/>
        <v>0</v>
      </c>
      <c r="BB193" s="1019">
        <f t="shared" si="445"/>
        <v>1358.3333333333335</v>
      </c>
      <c r="BC193" s="1041">
        <f t="shared" si="413"/>
        <v>26.933333333333334</v>
      </c>
      <c r="BD193" s="1019">
        <f ca="1">IF(B193&gt;(Summary!$A$1-1),#N/A,BB193*MGtoAF)</f>
        <v>4167.3666666666668</v>
      </c>
      <c r="BE193" s="535">
        <f>Sheet1!BG191+Sheet1!BH191+Sheet1!BI191-BM193</f>
        <v>2.02</v>
      </c>
      <c r="BF193" s="535">
        <f t="shared" si="446"/>
        <v>2.0134393162393165</v>
      </c>
      <c r="BG193" s="535">
        <f>IF(Sheet1!EP191="FM",BM193,0)</f>
        <v>0</v>
      </c>
      <c r="BH193" s="535">
        <f t="shared" si="447"/>
        <v>0</v>
      </c>
      <c r="BI193" s="535">
        <f>IF(Sheet1!EP191="OTHER",BM193,0)</f>
        <v>0</v>
      </c>
      <c r="BJ193" s="535">
        <f t="shared" si="448"/>
        <v>0</v>
      </c>
      <c r="BK193" s="535">
        <f t="shared" si="449"/>
        <v>2.02</v>
      </c>
      <c r="BL193" s="535">
        <f t="shared" si="450"/>
        <v>2.0134393162393165</v>
      </c>
      <c r="BM193" s="535">
        <f>IF(OR(Sheet1!EP191="FM", Sheet1!EP191="OTHER"),SUM(Sheet1!BG191:'Sheet1'!BI191),0)</f>
        <v>0</v>
      </c>
      <c r="BN193" s="521">
        <f>IF(AND($B193&gt;=$FV193,$B193&lt;=$FW193),MAX(BF193,Sheet1!EI191,0),MAX(BF193-(7/36)*$K193,0))</f>
        <v>0</v>
      </c>
      <c r="BO193" s="535">
        <f t="shared" si="497"/>
        <v>0</v>
      </c>
      <c r="BP193" s="521">
        <f t="shared" si="452"/>
        <v>2.0134393162393165</v>
      </c>
      <c r="BQ193" s="521">
        <f>IF(AND($O193&gt;0,Sheet1!EM191=1),(1-($O193-Sheet1!$L191)/$O193)*BL193,0)</f>
        <v>0</v>
      </c>
      <c r="BR193" s="521">
        <f>IF(AND(Sheet1!$L191=0,Sheet1!$L190=0, Calculation!BK193&lt;Sheet1!$EI191-0.1,Sheet1!$EI191=Sheet1!$EI190,Sheet1!$EI191=Sheet1!$EI192),BL193-BQ193,BL193-BQ193)</f>
        <v>2.0134393162393165</v>
      </c>
      <c r="BS193" s="1035" t="str">
        <f t="shared" si="414"/>
        <v/>
      </c>
      <c r="BT193" s="1035">
        <f t="shared" si="415"/>
        <v>12.568888888888889</v>
      </c>
      <c r="BU193" s="535">
        <f t="shared" si="453"/>
        <v>633.88888888888891</v>
      </c>
      <c r="BV193" s="535"/>
      <c r="BW193" s="535">
        <f ca="1">IF(B193&gt;(Summary!$A$1-1),#N/A,BU193*MGtoAF)</f>
        <v>1944.7711111111112</v>
      </c>
      <c r="BX193" s="535">
        <f>Sheet1!BC191+Sheet1!BD191+Sheet1!BE191+Sheet1!BF191-CG193-CH193</f>
        <v>5.99</v>
      </c>
      <c r="BY193" s="535">
        <f t="shared" si="454"/>
        <v>5.9705452991452992</v>
      </c>
      <c r="BZ193" s="535">
        <f>IF(Sheet1!EQ191="FM",CH193,0)</f>
        <v>0</v>
      </c>
      <c r="CA193" s="535">
        <f t="shared" si="455"/>
        <v>0</v>
      </c>
      <c r="CB193" s="535">
        <f>IF(Sheet1!EQ191="OTHER",CH193,0)</f>
        <v>0</v>
      </c>
      <c r="CC193" s="535">
        <f t="shared" si="456"/>
        <v>0</v>
      </c>
      <c r="CD193" s="535">
        <f t="shared" si="457"/>
        <v>0</v>
      </c>
      <c r="CE193" s="535">
        <f t="shared" si="458"/>
        <v>5.99</v>
      </c>
      <c r="CF193" s="535">
        <f t="shared" si="459"/>
        <v>5.9705452991452992</v>
      </c>
      <c r="CG193" s="535">
        <f>IF(Sheet1!EQ191="CWA",SUM(Sheet1!BC191:'Sheet1'!BF191),0)</f>
        <v>0</v>
      </c>
      <c r="CH193" s="535">
        <f>IF(OR(Sheet1!EQ191="FM", Sheet1!EQ191="OTHER"),SUM(Sheet1!BC191:'Sheet1'!BF191),0)</f>
        <v>0</v>
      </c>
      <c r="CI193" s="521">
        <f>IF(AND($B193&gt;=$FV193,$B193&lt;=$FW193),MAX(CF193,Sheet1!EJ191,0),MAX(CF193-(7/36)*$K193,0))</f>
        <v>0</v>
      </c>
      <c r="CJ193" s="535">
        <f t="shared" si="499"/>
        <v>0</v>
      </c>
      <c r="CK193" s="521">
        <f t="shared" si="461"/>
        <v>5.9705452991452992</v>
      </c>
      <c r="CL193" s="521">
        <f>IF(AND($O193&gt;0,Sheet1!EN191=1),(1-($O193-Sheet1!$L191)/$O193)*CF193,0)</f>
        <v>0</v>
      </c>
      <c r="CM193" s="521">
        <f>IF(AND(Sheet1!$L191=0,Sheet1!$L190=0, Calculation!CE193&lt;Sheet1!EJ191-0.1,Sheet1!EJ191=Sheet1!EJ190,Sheet1!EJ191=Sheet1!EJ192),CF193-CL193,CF193-CL193)</f>
        <v>5.9705452991452992</v>
      </c>
      <c r="CN193" s="1040" t="str">
        <f t="shared" si="416"/>
        <v/>
      </c>
      <c r="CO193" s="1035">
        <f t="shared" si="417"/>
        <v>12.568888888888889</v>
      </c>
      <c r="CP193" s="535">
        <f t="shared" si="462"/>
        <v>633.88888888888891</v>
      </c>
      <c r="CQ193" s="535"/>
      <c r="CR193" s="535">
        <f ca="1">IF(B193&gt;(Summary!$A$1-1),#N/A,CP193*MGtoAF)</f>
        <v>1944.7711111111112</v>
      </c>
      <c r="CS193" s="535">
        <f>Sheet1!BK191+Sheet1!BL191+Sheet1!BM191-Sheet1!ER191-DA193</f>
        <v>10.010000000000002</v>
      </c>
      <c r="CT193" s="535">
        <f t="shared" si="463"/>
        <v>9.9774888888888906</v>
      </c>
      <c r="CU193" s="535">
        <f>IF(Sheet1!ER191="FM",DA193,0)</f>
        <v>0</v>
      </c>
      <c r="CV193" s="535">
        <f t="shared" si="464"/>
        <v>0</v>
      </c>
      <c r="CW193" s="535">
        <f>IF(Sheet1!ER191="OTHER",DA193,0)</f>
        <v>0</v>
      </c>
      <c r="CX193" s="535">
        <f t="shared" si="465"/>
        <v>0</v>
      </c>
      <c r="CY193" s="535">
        <f t="shared" si="466"/>
        <v>10.010000000000002</v>
      </c>
      <c r="CZ193" s="535">
        <f t="shared" si="467"/>
        <v>9.9774888888888906</v>
      </c>
      <c r="DA193" s="535">
        <f>IF(OR(Sheet1!ER191="FM", Sheet1!ER191="OTHER"),SUM(Sheet1!BK191:'Sheet1'!BM191),0)</f>
        <v>0</v>
      </c>
      <c r="DB193" s="1011">
        <f>IF(AND($B193&gt;=$FV193,$B193&lt;=$FW193),MAX($CT193,Sheet1!EK191,0),MAX($CT193-(7/36)*$K193,0))</f>
        <v>0</v>
      </c>
      <c r="DC193" s="1012">
        <f t="shared" si="498"/>
        <v>0</v>
      </c>
      <c r="DD193" s="1011">
        <f t="shared" si="469"/>
        <v>9.9774888888888906</v>
      </c>
      <c r="DE193" s="521">
        <f>IF(AND($O193&gt;0,Sheet1!EO191=1),(1-($O193-Sheet1!$L191)/$O193)*CZ193,0)</f>
        <v>0</v>
      </c>
      <c r="DF193" s="521">
        <f>IF(AND(Sheet1!$L191=0,Sheet1!$L190=0, Calculation!CY193&lt;Sheet1!$EK191-0.1,Sheet1!$EK191=Sheet1!$EK190,Sheet1!$EK191=Sheet1!$EK192),CZ193-DE193,CZ193-DE193)</f>
        <v>9.9774888888888906</v>
      </c>
      <c r="DG193" s="1040">
        <f t="shared" si="418"/>
        <v>12.568888888888889</v>
      </c>
      <c r="DH193" s="649">
        <f t="shared" si="470"/>
        <v>18.020000000000003</v>
      </c>
      <c r="DI193" s="535">
        <f t="shared" si="471"/>
        <v>633.88888888888891</v>
      </c>
      <c r="DJ193" s="649">
        <f t="shared" si="472"/>
        <v>17.961473504273506</v>
      </c>
      <c r="DK193" s="535">
        <f ca="1">IF(B193&gt;(Summary!$A$1-1),#N/A,DI193*MGtoAF)</f>
        <v>1944.7711111111112</v>
      </c>
      <c r="DL193" s="649">
        <f t="shared" si="473"/>
        <v>18.02</v>
      </c>
      <c r="DM193" s="535">
        <f t="shared" si="474"/>
        <v>58.5</v>
      </c>
      <c r="DN193" s="535">
        <f>Sheet1!AB191-DM193</f>
        <v>-0.18999999999999773</v>
      </c>
      <c r="DO193" s="743">
        <f t="shared" si="475"/>
        <v>-3.2478632478632088E-3</v>
      </c>
      <c r="DP193" s="535">
        <f>(VLOOKUP(Sheet1!DC191,hhdcap_wcm,4)-(((VLOOKUP(Sheet1!DC191,hhdcap_wcm,3)-Sheet1!DC191)/(VLOOKUP(Sheet1!DC191,hhdcap_wcm,3)-VLOOKUP(Sheet1!DC191,hhdcap_wcm,1)))*(VLOOKUP(Sheet1!DC191,hhdcap_wcm,4)-VLOOKUP(Sheet1!DC191,hhdcap_wcm,2))))</f>
        <v>48469.000000116379</v>
      </c>
      <c r="DQ193" s="535">
        <f t="shared" si="476"/>
        <v>-202.40000000129658</v>
      </c>
      <c r="DR193" s="535">
        <f t="shared" si="477"/>
        <v>-102.06757438290295</v>
      </c>
      <c r="DS193" s="535">
        <f>Sheet1!EA191*AFtoMG</f>
        <v>0</v>
      </c>
      <c r="DT193" s="535">
        <f>Sheet1!EB191*AFtoMG</f>
        <v>0</v>
      </c>
      <c r="DU193" s="535">
        <f>Sheet1!EC191*AFtoMG</f>
        <v>0</v>
      </c>
      <c r="DV193" s="535">
        <f>Sheet1!ED191*AFtoMG</f>
        <v>0</v>
      </c>
      <c r="DW193" s="535">
        <f t="shared" si="478"/>
        <v>0</v>
      </c>
      <c r="DX193" s="535">
        <f t="shared" si="479"/>
        <v>0</v>
      </c>
      <c r="DY193" s="535">
        <f t="shared" si="480"/>
        <v>3260</v>
      </c>
      <c r="DZ193" s="535">
        <f t="shared" si="481"/>
        <v>10001.68</v>
      </c>
      <c r="EA193" s="535"/>
      <c r="EB193" s="521">
        <f>IF(OR(B193&lt;FV193,B193&gt;FW193),(MIN(BF193+BY193+CT193+MAX(Sheet1!AA191+AQ193-73,0),K193)),0)</f>
        <v>17.961473504273506</v>
      </c>
      <c r="EC193" s="535"/>
      <c r="ED193" s="535">
        <f t="shared" si="482"/>
        <v>17.961473504273506</v>
      </c>
      <c r="EE193" s="535"/>
      <c r="EF193" s="535">
        <f>Sheet1!EH191+Sheet1!EI191+Sheet1!EJ191+Sheet1!EK191</f>
        <v>18</v>
      </c>
      <c r="EG193" s="1019">
        <f t="shared" si="419"/>
        <v>27.846</v>
      </c>
      <c r="EH193" s="521">
        <f t="shared" si="483"/>
        <v>0</v>
      </c>
      <c r="EI193" s="535">
        <f>IF(Sheet1!ET191=1,SUM('Calculations II'!AT193:BA193)+'Calculations II'!BC193+Sheet1!BV191+'Calculations II'!BE193+AP193,'Calculations II'!BK193)</f>
        <v>69.649038683760693</v>
      </c>
      <c r="EJ193" s="535">
        <f ca="1">EI193+'Calculations II'!D193+'Calculations II'!E193+'Calculations II'!O193</f>
        <v>70.338943618510868</v>
      </c>
      <c r="EK193" s="535"/>
      <c r="EL193" s="535"/>
      <c r="EM193" s="535">
        <f t="shared" si="484"/>
        <v>42917</v>
      </c>
      <c r="EN193" s="535">
        <f t="shared" si="485"/>
        <v>0</v>
      </c>
      <c r="EO193" s="535">
        <f t="shared" si="486"/>
        <v>0</v>
      </c>
      <c r="EP193" s="535">
        <v>0</v>
      </c>
      <c r="EQ193" s="535">
        <v>0</v>
      </c>
      <c r="ER193" s="535">
        <v>0</v>
      </c>
      <c r="ES193" s="521">
        <f t="shared" si="381"/>
        <v>-0.96879755254717925</v>
      </c>
      <c r="ET193" s="535">
        <f>-(VLOOKUP(Sheet1!BQ191,Lookup!$O$4:$Q$262,2)-VLOOKUP(Sheet1!BQ190,Lookup!$O$4:$Q$262,2))/1000000</f>
        <v>-0.41512756729653105</v>
      </c>
      <c r="EU193" s="535">
        <f>-(VLOOKUP(Sheet1!BR191,Lookup!$O$4:$Q$262,3)-VLOOKUP(Sheet1!BR190,Lookup!$O$4:$Q$262,3))/1000000</f>
        <v>-0.55366998525064814</v>
      </c>
      <c r="EV193" s="535"/>
      <c r="EW193" s="535"/>
      <c r="EX193" s="535"/>
      <c r="EY193" s="535">
        <f t="shared" si="502"/>
        <v>-129.85397389401408</v>
      </c>
      <c r="EZ193" s="535"/>
      <c r="FA193" s="535"/>
      <c r="FB193" s="535"/>
      <c r="FC193" s="535"/>
      <c r="FD193" s="567" t="e">
        <f>VLOOKUP(#REF!,hhdelev_wcm,4) -(((VLOOKUP(#REF!,hhdelev_wcm,3)-#REF!)/(VLOOKUP(#REF!,hhdelev_wcm,3)-VLOOKUP(#REF!,hhdelev_wcm,1)))*(VLOOKUP(#REF!,hhdelev_wcm,4)-VLOOKUP(#REF!,hhdelev_wcm,2)))</f>
        <v>#REF!</v>
      </c>
      <c r="FE193" s="567" t="e">
        <f t="shared" si="488"/>
        <v>#N/A</v>
      </c>
      <c r="FF193" s="568" t="e">
        <f t="shared" si="489"/>
        <v>#N/A</v>
      </c>
      <c r="FG193" s="569" t="s">
        <v>656</v>
      </c>
      <c r="FH193" s="569" t="s">
        <v>656</v>
      </c>
      <c r="FI193" s="567" t="e">
        <v>#N/A</v>
      </c>
      <c r="FJ193" s="725">
        <v>23500</v>
      </c>
      <c r="FK193" s="535"/>
      <c r="FL193" s="1015">
        <v>0</v>
      </c>
      <c r="FM193" s="535"/>
      <c r="FN193" s="535"/>
      <c r="FO193" s="535">
        <f>O193+((Sheet1!CS191)*GPMtoMGD)</f>
        <v>88.51</v>
      </c>
      <c r="FP193" s="535">
        <f>IF(Sheet1!AA191+AQ193&lt;=Calculation!N193,AQ193,Calculation!N193-Sheet1!AA191)</f>
        <v>39.96976068376069</v>
      </c>
      <c r="FQ193" s="535">
        <f>(Sheet1!BP191+Sheet1!BO191)/694.4</f>
        <v>3.4880472350230414</v>
      </c>
      <c r="FR193" s="541"/>
      <c r="FS193" s="541"/>
      <c r="FT193" s="541"/>
      <c r="FU193" s="541"/>
      <c r="FV193" s="1109">
        <f t="shared" si="382"/>
        <v>42918</v>
      </c>
      <c r="FW193" s="1109">
        <f t="shared" si="383"/>
        <v>43027</v>
      </c>
      <c r="FX193" s="541"/>
      <c r="FY193" s="541">
        <f>Sheet1!DA191-Sheet1!CZ191-Sheet1!AE191</f>
        <v>-53.924970000000002</v>
      </c>
      <c r="FZ193" s="535">
        <f t="shared" si="420"/>
        <v>-0.12780475433034583</v>
      </c>
      <c r="GA193" s="535"/>
      <c r="GB193" s="535" t="str">
        <f t="shared" si="384"/>
        <v>n</v>
      </c>
      <c r="GC193" s="539">
        <f t="shared" si="385"/>
        <v>42782</v>
      </c>
      <c r="GD193" s="1109">
        <f t="shared" si="386"/>
        <v>42904</v>
      </c>
      <c r="GE193" s="535">
        <f t="shared" si="404"/>
        <v>6520</v>
      </c>
      <c r="GF193" s="1109">
        <f t="shared" si="387"/>
        <v>42909</v>
      </c>
      <c r="GG193" s="535">
        <f t="shared" si="432"/>
        <v>3260</v>
      </c>
      <c r="GH193" s="539">
        <f t="shared" si="388"/>
        <v>43040</v>
      </c>
      <c r="GJ193" s="521">
        <f t="shared" si="389"/>
        <v>0</v>
      </c>
      <c r="GK193" s="535" t="str">
        <f t="shared" si="490"/>
        <v/>
      </c>
      <c r="GL193" s="535">
        <f t="shared" si="390"/>
        <v>0</v>
      </c>
      <c r="GM193" s="535" t="str">
        <f t="shared" si="391"/>
        <v/>
      </c>
      <c r="GN193" s="535">
        <f>IF(GK193="P",Lookup!$M$12,IF(GK193="PP",Lookup!$M$13,IF(GK193="PPP",Lookup!$M$14,IF(GK193="T",Lookup!$M$15,IF(GK193="TP",Lookup!$M$16,IF(GK193="TPP",Lookup!$M$17,IF(GK193="TPPP",Lookup!$M$18,0)))))))*GJ193</f>
        <v>0</v>
      </c>
      <c r="GO193" s="535">
        <f t="shared" si="392"/>
        <v>0</v>
      </c>
      <c r="GP193" s="535">
        <f t="shared" si="491"/>
        <v>4167.3666666666668</v>
      </c>
      <c r="GQ193" s="974">
        <f t="shared" si="500"/>
        <v>1358.3333333333335</v>
      </c>
      <c r="GR193" s="535"/>
      <c r="GS193" s="535">
        <f t="shared" si="393"/>
        <v>0</v>
      </c>
      <c r="GT193" s="535" t="str">
        <f t="shared" si="394"/>
        <v/>
      </c>
      <c r="GU193" s="535">
        <f>IF(GK193="P",Lookup!$N$12,IF(GK193="PP",Lookup!$N$13,IF(GK193="PPP",Lookup!$N$14,IF(GK193="T",Lookup!$N$15,IF(GK193="TP",Lookup!$N$16,IF(GK193="TPP",Lookup!$N$17,IF(GK193="TPPP",Lookup!$N$18,0)))))))*GJ193</f>
        <v>0</v>
      </c>
      <c r="GV193" s="535">
        <f t="shared" si="395"/>
        <v>0</v>
      </c>
      <c r="GW193" s="535">
        <f t="shared" si="492"/>
        <v>1944.7711111111112</v>
      </c>
      <c r="GX193" s="974">
        <f t="shared" si="501"/>
        <v>633.88888888888891</v>
      </c>
      <c r="GY193" s="535"/>
      <c r="GZ193" s="535">
        <f t="shared" si="396"/>
        <v>0</v>
      </c>
      <c r="HA193" s="535" t="str">
        <f t="shared" si="397"/>
        <v/>
      </c>
      <c r="HB193" s="535">
        <f>IF(GK193="P",Lookup!$N$12,IF(GK193="PP",Lookup!$N$13,IF(GK193="PPP",Lookup!$N$14,IF(GK193="T",Lookup!$N$15,IF(GK193="TP",Lookup!$N$16,IF(GK193="TPP",Lookup!$N$17,IF(GK193="TPPP",Lookup!$N$18,0)))))))*GJ193</f>
        <v>0</v>
      </c>
      <c r="HC193" s="521">
        <f t="shared" si="493"/>
        <v>0</v>
      </c>
      <c r="HD193" s="535">
        <f t="shared" si="494"/>
        <v>1944.7711111111112</v>
      </c>
      <c r="HE193" s="535">
        <f t="shared" si="401"/>
        <v>633.88888888888891</v>
      </c>
      <c r="HF193" s="535"/>
      <c r="HG193" s="535">
        <f t="shared" si="398"/>
        <v>0</v>
      </c>
      <c r="HH193" s="535" t="str">
        <f t="shared" si="399"/>
        <v/>
      </c>
      <c r="HI193" s="535">
        <f>IF(GK193="P",Lookup!$N$12,IF(GK193="PP",Lookup!$N$13,IF(GK193="PPP",Lookup!$N$14,IF(GK193="T",Lookup!$N$15,IF(GK193="TP",Lookup!$N$16,IF(GK193="TPP",Lookup!$N$17,IF(GK193="TPPP",Lookup!$N$18,0)))))))*GJ193</f>
        <v>0</v>
      </c>
      <c r="HJ193" s="521">
        <f t="shared" si="495"/>
        <v>0</v>
      </c>
      <c r="HK193" s="535">
        <f t="shared" si="496"/>
        <v>1944.7711111111112</v>
      </c>
      <c r="HL193" s="535">
        <f t="shared" si="402"/>
        <v>633.88888888888891</v>
      </c>
      <c r="HM193" s="535"/>
      <c r="HN193" s="541"/>
      <c r="HO193" s="541"/>
      <c r="HP193" s="541"/>
      <c r="HQ193" s="541">
        <f>IF(AND(B193&gt;=$FV$4,B193&lt;=$FW$4),MAX(110/1.02+$HQ$6+MIN(113/1.02,G193),IF($HV$6-(Sheet1!DA191-Sheet1!DB191)+MIN(113/1.02,G193)&lt;G193+FL193,$HV$6-(Sheet1!DA191-Sheet1!DB191)+MIN(113/1.02,G193),G193+FL193)),MIN(110/1.02+$HQ$6+113/1.02,G193))</f>
        <v>218.62745098039215</v>
      </c>
      <c r="HR193" s="541">
        <f t="shared" si="421"/>
        <v>223</v>
      </c>
      <c r="HS193" s="541">
        <f>HR193+(Sheet1!DA191-Sheet1!DB191)</f>
        <v>414</v>
      </c>
      <c r="HT193" s="541">
        <f t="shared" si="422"/>
        <v>36.926890000000007</v>
      </c>
      <c r="HU193" s="541">
        <f t="shared" si="423"/>
        <v>377.07310999999999</v>
      </c>
      <c r="HV193" s="541">
        <f t="shared" si="424"/>
        <v>0</v>
      </c>
      <c r="HW193" s="541" t="str">
        <f t="shared" si="425"/>
        <v/>
      </c>
      <c r="HX193" s="541">
        <f t="shared" si="426"/>
        <v>305.37254901960785</v>
      </c>
      <c r="HY193" s="541">
        <f>Sheet1!CZ191</f>
        <v>524</v>
      </c>
      <c r="HZ193" s="541">
        <f t="shared" si="427"/>
        <v>0</v>
      </c>
      <c r="IA193" s="541">
        <f t="shared" si="428"/>
        <v>36.926890000000007</v>
      </c>
      <c r="IB193" s="541">
        <f t="shared" si="429"/>
        <v>524</v>
      </c>
      <c r="IC193" s="1019" t="str">
        <f t="shared" si="430"/>
        <v/>
      </c>
      <c r="ID193" s="541">
        <f t="shared" si="431"/>
        <v>487.07310999999999</v>
      </c>
      <c r="IE193" s="541">
        <f>Sheet1!DB191</f>
        <v>416</v>
      </c>
      <c r="IF193" s="533">
        <f>Sheet1!DA191</f>
        <v>607</v>
      </c>
      <c r="IH193" s="541">
        <f>IF(AND($B193&gt;=$GC193,$B193&lt;=$GH193,$DR193&lt;0)+N("only adjusted when pool is drawn down during storage season"),Sheet1!$DB191+$DR193+N("Palmer minus all storage release"),Sheet1!$DB191)</f>
        <v>313.93242561709707</v>
      </c>
      <c r="II193" s="541">
        <f>IF(AND($B193&gt;=$GC193,$B193&lt;=$GH193,$DR193&lt;0)+N("only adjusted when pool is drawn down during storage season"),Sheet1!$DA191+$DR193+N("Auburn minus all storage release"),Sheet1!$DA191)</f>
        <v>504.93242561709707</v>
      </c>
    </row>
    <row r="194" spans="1:243" x14ac:dyDescent="0.25">
      <c r="A194" s="553" t="s">
        <v>3</v>
      </c>
      <c r="B194" s="531">
        <v>42918</v>
      </c>
      <c r="C194" s="536">
        <v>0</v>
      </c>
      <c r="D194" s="506">
        <f t="shared" si="371"/>
        <v>300</v>
      </c>
      <c r="E194" s="506">
        <f t="shared" si="372"/>
        <v>250</v>
      </c>
      <c r="F194" s="506">
        <v>250</v>
      </c>
      <c r="G194" s="535">
        <f>DR194+Sheet1!CZ192</f>
        <v>407.83711548198835</v>
      </c>
      <c r="H194" s="1074">
        <f t="shared" si="405"/>
        <v>0</v>
      </c>
      <c r="I194" s="534">
        <f>IF(Sheet1!DA192&gt;=E194,(Sheet1!DA192-E194+P194)*CFStoMGD,0)</f>
        <v>317.621070272</v>
      </c>
      <c r="J194" s="995">
        <f>IF(Sheet1!DB192&gt;=D194,(Sheet1!DB192-D194+P194)*CFStoMGD,0)</f>
        <v>163.13147027199997</v>
      </c>
      <c r="K194" s="818">
        <f t="shared" si="406"/>
        <v>0</v>
      </c>
      <c r="L194" s="535">
        <f>Sheet1!AA192+Sheet1!AB192-Sheet1!L192+(Sheet1!DA192-F194)*CFStoMGD-S194-T194-U194</f>
        <v>299.67677198599296</v>
      </c>
      <c r="M194" s="535">
        <f t="shared" si="436"/>
        <v>268.89842967650844</v>
      </c>
      <c r="N194" s="824">
        <f>IF(Sheet1!DA192&gt;=F194,MIN(113*CFStoMGD,MIN(MAX(L194,0),MAX(M194,0))),0)</f>
        <v>73.043199999999999</v>
      </c>
      <c r="O194" s="538">
        <f>Sheet1!AA192+Sheet1!AB192</f>
        <v>90.09</v>
      </c>
      <c r="P194" s="538">
        <f t="shared" si="437"/>
        <v>139.36922999999999</v>
      </c>
      <c r="Q194" s="812">
        <f t="shared" si="407"/>
        <v>72.143971985993005</v>
      </c>
      <c r="R194" s="812">
        <f t="shared" si="373"/>
        <v>18</v>
      </c>
      <c r="S194" s="812">
        <f t="shared" si="374"/>
        <v>0</v>
      </c>
      <c r="T194" s="812">
        <f t="shared" si="375"/>
        <v>0</v>
      </c>
      <c r="U194" s="812">
        <f t="shared" si="408"/>
        <v>17.946028014007005</v>
      </c>
      <c r="V194" s="812"/>
      <c r="W194" s="812">
        <f t="shared" si="376"/>
        <v>0</v>
      </c>
      <c r="X194" s="812">
        <f t="shared" si="377"/>
        <v>0</v>
      </c>
      <c r="Y194" s="812" t="str">
        <f t="shared" si="378"/>
        <v>FALSE</v>
      </c>
      <c r="Z194" s="812">
        <f t="shared" si="379"/>
        <v>90.09</v>
      </c>
      <c r="AA194" s="812">
        <f t="shared" si="380"/>
        <v>90.09</v>
      </c>
      <c r="AB194" s="1059">
        <f t="shared" si="409"/>
        <v>111.60672466233117</v>
      </c>
      <c r="AC194" s="538">
        <f>Sheet1!Y192*MGDtoCFS</f>
        <v>46.7194</v>
      </c>
      <c r="AD194" s="538">
        <f>Sheet1!Z192*MGDtoCFS</f>
        <v>90.205569999999994</v>
      </c>
      <c r="AE194" s="538">
        <f>Sheet1!AA192*MGDtoCFS</f>
        <v>46.7194</v>
      </c>
      <c r="AF194" s="538">
        <f>Sheet1!AB192*MGDtoCFS</f>
        <v>92.649829999999994</v>
      </c>
      <c r="AG194" s="538">
        <f>Sheet1!L192*MGDtoCFS</f>
        <v>0</v>
      </c>
      <c r="AH194" s="521">
        <f t="shared" si="438"/>
        <v>18.007318659329663</v>
      </c>
      <c r="AI194" s="1059">
        <f t="shared" si="439"/>
        <v>27.857321965982987</v>
      </c>
      <c r="AJ194" s="535">
        <f t="shared" si="440"/>
        <v>0</v>
      </c>
      <c r="AK194" s="535">
        <f t="shared" si="441"/>
        <v>0</v>
      </c>
      <c r="AL194" s="535">
        <f>(VLOOKUP(Sheet1!DC192,hhdcap_wcm,4)-(((VLOOKUP(Sheet1!DC192,hhdcap_wcm,3)-Sheet1!DC192)/(VLOOKUP(Sheet1!DC192,hhdcap_wcm,3)-VLOOKUP(Sheet1!DC192,hhdcap_wcm,1)))*(VLOOKUP(Sheet1!DC192,hhdcap_wcm,4)-VLOOKUP(Sheet1!DC192,hhdcap_wcm,2))))</f>
        <v>48232.700000117162</v>
      </c>
      <c r="AM194" s="535">
        <f t="shared" si="442"/>
        <v>-236.29999999921711</v>
      </c>
      <c r="AN194" s="1035">
        <f t="shared" si="443"/>
        <v>3241.9926813406701</v>
      </c>
      <c r="AO194" s="535">
        <f t="shared" si="444"/>
        <v>9946.4335463531752</v>
      </c>
      <c r="AP194" s="535">
        <f>Sheet1!BA192+Sheet1!BB192+Sheet1!BN192+CD194</f>
        <v>42</v>
      </c>
      <c r="AQ194" s="535">
        <f>Sheet1!BN192+(DO194*Sheet1!BN192)</f>
        <v>41.943971985992995</v>
      </c>
      <c r="AR194" s="535">
        <f>Sheet1!BA192+CD194</f>
        <v>0</v>
      </c>
      <c r="AS194" s="535">
        <f>Sheet1!BA192+Sheet1!BB192+CD194</f>
        <v>0</v>
      </c>
      <c r="AT194" s="649">
        <f>0</f>
        <v>0</v>
      </c>
      <c r="AU194" s="974">
        <f>BA194+Sheet1!EH192</f>
        <v>0</v>
      </c>
      <c r="AV194" s="535">
        <f>IF(OR(B194&gt;=GD194,B194&lt;GC194),0,15/36*K194-MAX(0,64.6-(137.6-(Sheet1!AA192+Sheet1!AB192))))</f>
        <v>0</v>
      </c>
      <c r="AW194" s="1029"/>
      <c r="AX194" s="649"/>
      <c r="AY194" s="649">
        <f t="shared" si="410"/>
        <v>0</v>
      </c>
      <c r="AZ194" s="649">
        <f t="shared" si="411"/>
        <v>0</v>
      </c>
      <c r="BA194" s="1059">
        <f t="shared" si="412"/>
        <v>0</v>
      </c>
      <c r="BB194" s="1019">
        <f t="shared" si="445"/>
        <v>1358.3333333333335</v>
      </c>
      <c r="BC194" s="1041">
        <f t="shared" si="413"/>
        <v>0</v>
      </c>
      <c r="BD194" s="1019">
        <f ca="1">IF(B194&gt;(Summary!$A$1-1),#N/A,BB194*MGtoAF)</f>
        <v>4167.3666666666668</v>
      </c>
      <c r="BE194" s="535">
        <f>Sheet1!BG192+Sheet1!BH192+Sheet1!BI192-BM194</f>
        <v>2.0099999999999998</v>
      </c>
      <c r="BF194" s="535">
        <f t="shared" si="446"/>
        <v>2.0073186593296648</v>
      </c>
      <c r="BG194" s="535">
        <f>IF(Sheet1!EP192="FM",BM194,0)</f>
        <v>0</v>
      </c>
      <c r="BH194" s="535">
        <f t="shared" si="447"/>
        <v>0</v>
      </c>
      <c r="BI194" s="535">
        <f>IF(Sheet1!EP192="OTHER",BM194,0)</f>
        <v>0</v>
      </c>
      <c r="BJ194" s="535">
        <f t="shared" si="448"/>
        <v>0</v>
      </c>
      <c r="BK194" s="535">
        <f t="shared" si="449"/>
        <v>2.0099999999999998</v>
      </c>
      <c r="BL194" s="535">
        <f t="shared" si="450"/>
        <v>2.0073186593296648</v>
      </c>
      <c r="BM194" s="535">
        <f>IF(OR(Sheet1!EP192="FM", Sheet1!EP192="OTHER"),SUM(Sheet1!BG192:'Sheet1'!BI192),0)</f>
        <v>0</v>
      </c>
      <c r="BN194" s="521">
        <f>IF(AND($B194&gt;=$FV194,$B194&lt;=$FW194),MAX(BF194,Sheet1!EI192,0),MAX(BF194-(7/36)*$K194,0))</f>
        <v>2.0073186593296648</v>
      </c>
      <c r="BO194" s="535">
        <f t="shared" si="497"/>
        <v>0</v>
      </c>
      <c r="BP194" s="521">
        <f t="shared" si="452"/>
        <v>0</v>
      </c>
      <c r="BQ194" s="521">
        <f>IF(AND($O194&gt;0,Sheet1!EM192=1),(1-($O194-Sheet1!$L192)/$O194)*BL194,0)</f>
        <v>0</v>
      </c>
      <c r="BR194" s="521">
        <f>IF(AND(Sheet1!$L192=0,Sheet1!$L191=0, Calculation!BK194&lt;Sheet1!$EI192-0.1,Sheet1!$EI192=Sheet1!$EI191,Sheet1!$EI192=Sheet1!$EI193),BL194-BQ194,BL194-BQ194)</f>
        <v>2.0073186593296648</v>
      </c>
      <c r="BS194" s="1035">
        <f t="shared" si="414"/>
        <v>2.0073186593296648</v>
      </c>
      <c r="BT194" s="1035">
        <f t="shared" si="415"/>
        <v>0</v>
      </c>
      <c r="BU194" s="535">
        <f t="shared" si="453"/>
        <v>631.8815702295592</v>
      </c>
      <c r="BV194" s="535"/>
      <c r="BW194" s="535">
        <f ca="1">IF(B194&gt;(Summary!$A$1-1),#N/A,BU194*MGtoAF)</f>
        <v>1938.6126574642876</v>
      </c>
      <c r="BX194" s="535">
        <f>Sheet1!BC192+Sheet1!BD192+Sheet1!BE192+Sheet1!BF192-CG194-CH194</f>
        <v>5.99</v>
      </c>
      <c r="BY194" s="535">
        <f t="shared" si="454"/>
        <v>5.9820093380023351</v>
      </c>
      <c r="BZ194" s="535">
        <f>IF(Sheet1!EQ192="FM",CH194,0)</f>
        <v>0</v>
      </c>
      <c r="CA194" s="535">
        <f t="shared" si="455"/>
        <v>0</v>
      </c>
      <c r="CB194" s="535">
        <f>IF(Sheet1!EQ192="OTHER",CH194,0)</f>
        <v>0</v>
      </c>
      <c r="CC194" s="535">
        <f t="shared" si="456"/>
        <v>0</v>
      </c>
      <c r="CD194" s="535">
        <f t="shared" si="457"/>
        <v>0</v>
      </c>
      <c r="CE194" s="535">
        <f t="shared" si="458"/>
        <v>5.99</v>
      </c>
      <c r="CF194" s="535">
        <f t="shared" si="459"/>
        <v>5.9820093380023351</v>
      </c>
      <c r="CG194" s="535">
        <f>IF(Sheet1!EQ192="CWA",SUM(Sheet1!BC192:'Sheet1'!BF192),0)</f>
        <v>0</v>
      </c>
      <c r="CH194" s="535">
        <f>IF(OR(Sheet1!EQ192="FM", Sheet1!EQ192="OTHER"),SUM(Sheet1!BC192:'Sheet1'!BF192),0)</f>
        <v>0</v>
      </c>
      <c r="CI194" s="521">
        <f>IF(AND($B194&gt;=$FV194,$B194&lt;=$FW194),MAX(CF194,Sheet1!EJ192,0),MAX(CF194-(7/36)*$K194,0))</f>
        <v>6</v>
      </c>
      <c r="CJ194" s="535">
        <f t="shared" si="499"/>
        <v>0</v>
      </c>
      <c r="CK194" s="521">
        <f t="shared" si="461"/>
        <v>0</v>
      </c>
      <c r="CL194" s="521">
        <f>IF(AND($O194&gt;0,Sheet1!EN192=1),(1-($O194-Sheet1!$L192)/$O194)*CF194,0)</f>
        <v>0</v>
      </c>
      <c r="CM194" s="521">
        <f>IF(AND(Sheet1!$L192=0,Sheet1!$L191=0, Calculation!CE194&lt;Sheet1!EJ192-0.1,Sheet1!EJ192=Sheet1!EJ191,Sheet1!EJ192=Sheet1!EJ193),CF194-CL194,CF194-CL194)</f>
        <v>5.9820093380023351</v>
      </c>
      <c r="CN194" s="1040">
        <f t="shared" si="416"/>
        <v>5.9820093380023351</v>
      </c>
      <c r="CO194" s="1035">
        <f t="shared" si="417"/>
        <v>0</v>
      </c>
      <c r="CP194" s="535">
        <f t="shared" si="462"/>
        <v>627.88888888888891</v>
      </c>
      <c r="CQ194" s="535"/>
      <c r="CR194" s="535">
        <f ca="1">IF(B194&gt;(Summary!$A$1-1),#N/A,CP194*MGtoAF)</f>
        <v>1926.3631111111113</v>
      </c>
      <c r="CS194" s="535">
        <f>Sheet1!BK192+Sheet1!BL192+Sheet1!BM192-Sheet1!ER192-DA194</f>
        <v>9.9699999999999989</v>
      </c>
      <c r="CT194" s="535">
        <f t="shared" si="463"/>
        <v>9.9567000166750042</v>
      </c>
      <c r="CU194" s="535">
        <f>IF(Sheet1!ER192="FM",DA194,0)</f>
        <v>0</v>
      </c>
      <c r="CV194" s="535">
        <f t="shared" si="464"/>
        <v>0</v>
      </c>
      <c r="CW194" s="535">
        <f>IF(Sheet1!ER192="OTHER",DA194,0)</f>
        <v>0</v>
      </c>
      <c r="CX194" s="535">
        <f t="shared" si="465"/>
        <v>0</v>
      </c>
      <c r="CY194" s="535">
        <f t="shared" si="466"/>
        <v>9.9699999999999989</v>
      </c>
      <c r="CZ194" s="535">
        <f t="shared" si="467"/>
        <v>9.9567000166750042</v>
      </c>
      <c r="DA194" s="535">
        <f>IF(OR(Sheet1!ER192="FM", Sheet1!ER192="OTHER"),SUM(Sheet1!BK192:'Sheet1'!BM192),0)</f>
        <v>0</v>
      </c>
      <c r="DB194" s="1011">
        <f>IF(AND($B194&gt;=$FV194,$B194&lt;=$FW194),MAX($CT194,Sheet1!EK192,0),MAX($CT194-(7/36)*$K194,0))</f>
        <v>10</v>
      </c>
      <c r="DC194" s="1012">
        <f t="shared" si="498"/>
        <v>0</v>
      </c>
      <c r="DD194" s="1011">
        <f t="shared" si="469"/>
        <v>0</v>
      </c>
      <c r="DE194" s="521">
        <f>IF(AND($O194&gt;0,Sheet1!EO192=1),(1-($O194-Sheet1!$L192)/$O194)*CZ194,0)</f>
        <v>0</v>
      </c>
      <c r="DF194" s="521">
        <f>IF(AND(Sheet1!$L192=0,Sheet1!$L191=0, Calculation!CY194&lt;Sheet1!$EK192-0.1,Sheet1!$EK192=Sheet1!$EK191,Sheet1!$EK192=Sheet1!$EK193),CZ194-DE194,CZ194-DE194)</f>
        <v>9.9567000166750042</v>
      </c>
      <c r="DG194" s="1040">
        <f t="shared" si="418"/>
        <v>0</v>
      </c>
      <c r="DH194" s="649">
        <f t="shared" si="470"/>
        <v>17.97</v>
      </c>
      <c r="DI194" s="535">
        <f t="shared" si="471"/>
        <v>623.88888888888891</v>
      </c>
      <c r="DJ194" s="649">
        <f t="shared" si="472"/>
        <v>17.946028014007005</v>
      </c>
      <c r="DK194" s="535">
        <f ca="1">IF(B194&gt;(Summary!$A$1-1),#N/A,DI194*MGtoAF)</f>
        <v>1914.0911111111113</v>
      </c>
      <c r="DL194" s="649">
        <f t="shared" si="473"/>
        <v>17.97</v>
      </c>
      <c r="DM194" s="535">
        <f t="shared" si="474"/>
        <v>59.97</v>
      </c>
      <c r="DN194" s="535">
        <f>Sheet1!AB192-DM194</f>
        <v>-7.9999999999998295E-2</v>
      </c>
      <c r="DO194" s="743">
        <f t="shared" si="475"/>
        <v>-1.3340003335000549E-3</v>
      </c>
      <c r="DP194" s="535">
        <f>(VLOOKUP(Sheet1!DC192,hhdcap_wcm,4)-(((VLOOKUP(Sheet1!DC192,hhdcap_wcm,3)-Sheet1!DC192)/(VLOOKUP(Sheet1!DC192,hhdcap_wcm,3)-VLOOKUP(Sheet1!DC192,hhdcap_wcm,1)))*(VLOOKUP(Sheet1!DC192,hhdcap_wcm,4)-VLOOKUP(Sheet1!DC192,hhdcap_wcm,2))))</f>
        <v>48232.700000117162</v>
      </c>
      <c r="DQ194" s="535">
        <f t="shared" si="476"/>
        <v>-236.29999999921711</v>
      </c>
      <c r="DR194" s="535">
        <f t="shared" si="477"/>
        <v>-119.16288451801164</v>
      </c>
      <c r="DS194" s="535">
        <f>Sheet1!EA192*AFtoMG</f>
        <v>0</v>
      </c>
      <c r="DT194" s="535">
        <f>Sheet1!EB192*AFtoMG</f>
        <v>0</v>
      </c>
      <c r="DU194" s="535">
        <f>Sheet1!EC192*AFtoMG</f>
        <v>0</v>
      </c>
      <c r="DV194" s="535">
        <f>Sheet1!ED192*AFtoMG</f>
        <v>0</v>
      </c>
      <c r="DW194" s="535">
        <f t="shared" si="478"/>
        <v>0</v>
      </c>
      <c r="DX194" s="535">
        <f t="shared" si="479"/>
        <v>0</v>
      </c>
      <c r="DY194" s="535">
        <f t="shared" si="480"/>
        <v>3241.9926813406701</v>
      </c>
      <c r="DZ194" s="535">
        <f t="shared" si="481"/>
        <v>9946.4335463531752</v>
      </c>
      <c r="EA194" s="535"/>
      <c r="EB194" s="521">
        <f>IF(OR(B194&lt;FV194,B194&gt;FW194),(MIN(BF194+BY194+CT194+MAX(Sheet1!AA192+AQ194-73,0),K194)),0)</f>
        <v>0</v>
      </c>
      <c r="EC194" s="535"/>
      <c r="ED194" s="535">
        <f t="shared" si="482"/>
        <v>17.946028014007005</v>
      </c>
      <c r="EE194" s="535"/>
      <c r="EF194" s="535">
        <f>Sheet1!EH192+Sheet1!EI192+Sheet1!EJ192+Sheet1!EK192</f>
        <v>18</v>
      </c>
      <c r="EG194" s="1019">
        <f t="shared" si="419"/>
        <v>27.846</v>
      </c>
      <c r="EH194" s="521">
        <f t="shared" si="483"/>
        <v>0</v>
      </c>
      <c r="EI194" s="535">
        <f>IF(Sheet1!ET192=1,SUM('Calculations II'!AT194:BA194)+'Calculations II'!BC194+Sheet1!BV192+'Calculations II'!BE194+AP194,'Calculations II'!BK194)</f>
        <v>71.770333985992991</v>
      </c>
      <c r="EJ194" s="535">
        <f ca="1">EI194+'Calculations II'!D194+'Calculations II'!E194+'Calculations II'!O194</f>
        <v>71.343858264697985</v>
      </c>
      <c r="EK194" s="535"/>
      <c r="EL194" s="535"/>
      <c r="EM194" s="535">
        <f t="shared" si="484"/>
        <v>42918</v>
      </c>
      <c r="EN194" s="535">
        <f t="shared" si="485"/>
        <v>-18.007318659329663</v>
      </c>
      <c r="EO194" s="535">
        <f t="shared" si="486"/>
        <v>-27.857321965982987</v>
      </c>
      <c r="EP194" s="535">
        <v>0</v>
      </c>
      <c r="EQ194" s="535">
        <v>0</v>
      </c>
      <c r="ER194" s="535">
        <v>0</v>
      </c>
      <c r="ES194" s="521">
        <f t="shared" si="381"/>
        <v>-0.83050498304897546</v>
      </c>
      <c r="ET194" s="535">
        <f>-(VLOOKUP(Sheet1!BQ192,Lookup!$O$4:$Q$262,2)-VLOOKUP(Sheet1!BQ191,Lookup!$O$4:$Q$262,2))/1000000</f>
        <v>-0.4151852210512087</v>
      </c>
      <c r="EU194" s="535">
        <f>-(VLOOKUP(Sheet1!BR192,Lookup!$O$4:$Q$262,3)-VLOOKUP(Sheet1!BR191,Lookup!$O$4:$Q$262,3))/1000000</f>
        <v>-0.41531976199776677</v>
      </c>
      <c r="EV194" s="535"/>
      <c r="EW194" s="535"/>
      <c r="EX194" s="535"/>
      <c r="EY194" s="535">
        <f t="shared" si="502"/>
        <v>-146.92538985568046</v>
      </c>
      <c r="EZ194" s="535"/>
      <c r="FA194" s="535"/>
      <c r="FB194" s="535"/>
      <c r="FC194" s="535"/>
      <c r="FD194" s="567" t="e">
        <f>VLOOKUP(#REF!,hhdelev_wcm,4) -(((VLOOKUP(#REF!,hhdelev_wcm,3)-#REF!)/(VLOOKUP(#REF!,hhdelev_wcm,3)-VLOOKUP(#REF!,hhdelev_wcm,1)))*(VLOOKUP(#REF!,hhdelev_wcm,4)-VLOOKUP(#REF!,hhdelev_wcm,2)))</f>
        <v>#REF!</v>
      </c>
      <c r="FE194" s="567" t="e">
        <f t="shared" si="488"/>
        <v>#N/A</v>
      </c>
      <c r="FF194" s="568" t="e">
        <f t="shared" si="489"/>
        <v>#N/A</v>
      </c>
      <c r="FG194" s="569" t="s">
        <v>656</v>
      </c>
      <c r="FH194" s="569" t="s">
        <v>656</v>
      </c>
      <c r="FI194" s="567" t="e">
        <v>#N/A</v>
      </c>
      <c r="FJ194" s="725">
        <v>23416</v>
      </c>
      <c r="FK194" s="535"/>
      <c r="FL194" s="1015">
        <f t="shared" ref="FL194:FL225" si="503">(FJ194-FJ195)/1.983</f>
        <v>42.360060514372158</v>
      </c>
      <c r="FM194" s="535"/>
      <c r="FN194" s="535"/>
      <c r="FO194" s="535">
        <f>O194+((Sheet1!CS192)*GPMtoMGD)</f>
        <v>90.09</v>
      </c>
      <c r="FP194" s="535">
        <f>IF(Sheet1!AA192+AQ194&lt;=Calculation!N194,AQ194,Calculation!N194-Sheet1!AA192)</f>
        <v>41.943971985992995</v>
      </c>
      <c r="FQ194" s="535">
        <f>(Sheet1!BP192+Sheet1!BO192)/694.4</f>
        <v>3.5792050691244244</v>
      </c>
      <c r="FR194" s="541"/>
      <c r="FS194" s="541"/>
      <c r="FT194" s="541"/>
      <c r="FU194" s="541"/>
      <c r="FV194" s="1109">
        <f t="shared" si="382"/>
        <v>42918</v>
      </c>
      <c r="FW194" s="1109">
        <f t="shared" si="383"/>
        <v>43027</v>
      </c>
      <c r="FX194" s="541"/>
      <c r="FY194" s="541">
        <f>Sheet1!DA192-Sheet1!CZ192-Sheet1!AE192</f>
        <v>-64.369229999999988</v>
      </c>
      <c r="FZ194" s="535">
        <f t="shared" si="420"/>
        <v>-0.15783073083951032</v>
      </c>
      <c r="GA194" s="535"/>
      <c r="GB194" s="535" t="str">
        <f t="shared" si="384"/>
        <v>n</v>
      </c>
      <c r="GC194" s="539">
        <f t="shared" si="385"/>
        <v>42782</v>
      </c>
      <c r="GD194" s="1109">
        <f t="shared" si="386"/>
        <v>42904</v>
      </c>
      <c r="GE194" s="535">
        <f t="shared" si="404"/>
        <v>6520</v>
      </c>
      <c r="GF194" s="1109">
        <f t="shared" si="387"/>
        <v>42909</v>
      </c>
      <c r="GG194" s="535">
        <f t="shared" si="432"/>
        <v>3260</v>
      </c>
      <c r="GH194" s="539">
        <f t="shared" si="388"/>
        <v>43040</v>
      </c>
      <c r="GJ194" s="521">
        <f t="shared" si="389"/>
        <v>0</v>
      </c>
      <c r="GK194" s="535" t="str">
        <f t="shared" si="490"/>
        <v/>
      </c>
      <c r="GL194" s="535">
        <f t="shared" si="390"/>
        <v>0</v>
      </c>
      <c r="GM194" s="535" t="str">
        <f t="shared" si="391"/>
        <v/>
      </c>
      <c r="GN194" s="535">
        <f>IF(GK194="P",Lookup!$M$12,IF(GK194="PP",Lookup!$M$13,IF(GK194="PPP",Lookup!$M$14,IF(GK194="T",Lookup!$M$15,IF(GK194="TP",Lookup!$M$16,IF(GK194="TPP",Lookup!$M$17,IF(GK194="TPPP",Lookup!$M$18,0)))))))*GJ194</f>
        <v>0</v>
      </c>
      <c r="GO194" s="535">
        <f t="shared" si="392"/>
        <v>0</v>
      </c>
      <c r="GP194" s="535">
        <f t="shared" si="491"/>
        <v>4167.3666666666668</v>
      </c>
      <c r="GQ194" s="974">
        <f t="shared" si="500"/>
        <v>1358.3333333333335</v>
      </c>
      <c r="GR194" s="535"/>
      <c r="GS194" s="535">
        <f t="shared" si="393"/>
        <v>0</v>
      </c>
      <c r="GT194" s="535" t="str">
        <f t="shared" si="394"/>
        <v/>
      </c>
      <c r="GU194" s="535">
        <f>IF(GK194="P",Lookup!$N$12,IF(GK194="PP",Lookup!$N$13,IF(GK194="PPP",Lookup!$N$14,IF(GK194="T",Lookup!$N$15,IF(GK194="TP",Lookup!$N$16,IF(GK194="TPP",Lookup!$N$17,IF(GK194="TPPP",Lookup!$N$18,0)))))))*GJ194</f>
        <v>0</v>
      </c>
      <c r="GV194" s="535">
        <f t="shared" si="395"/>
        <v>0</v>
      </c>
      <c r="GW194" s="535">
        <f t="shared" si="492"/>
        <v>1938.6126574642876</v>
      </c>
      <c r="GX194" s="974">
        <f t="shared" si="501"/>
        <v>631.8815702295592</v>
      </c>
      <c r="GY194" s="535"/>
      <c r="GZ194" s="535">
        <f t="shared" si="396"/>
        <v>0</v>
      </c>
      <c r="HA194" s="535" t="str">
        <f t="shared" si="397"/>
        <v/>
      </c>
      <c r="HB194" s="535">
        <f>IF(GK194="P",Lookup!$N$12,IF(GK194="PP",Lookup!$N$13,IF(GK194="PPP",Lookup!$N$14,IF(GK194="T",Lookup!$N$15,IF(GK194="TP",Lookup!$N$16,IF(GK194="TPP",Lookup!$N$17,IF(GK194="TPPP",Lookup!$N$18,0)))))))*GJ194</f>
        <v>0</v>
      </c>
      <c r="HC194" s="521">
        <f t="shared" si="493"/>
        <v>0</v>
      </c>
      <c r="HD194" s="535">
        <f t="shared" si="494"/>
        <v>1926.3631111111113</v>
      </c>
      <c r="HE194" s="535">
        <f t="shared" si="401"/>
        <v>627.88888888888891</v>
      </c>
      <c r="HF194" s="535"/>
      <c r="HG194" s="535">
        <f t="shared" si="398"/>
        <v>0</v>
      </c>
      <c r="HH194" s="535" t="str">
        <f t="shared" si="399"/>
        <v/>
      </c>
      <c r="HI194" s="535">
        <f>IF(GK194="P",Lookup!$N$12,IF(GK194="PP",Lookup!$N$13,IF(GK194="PPP",Lookup!$N$14,IF(GK194="T",Lookup!$N$15,IF(GK194="TP",Lookup!$N$16,IF(GK194="TPP",Lookup!$N$17,IF(GK194="TPPP",Lookup!$N$18,0)))))))*GJ194</f>
        <v>0</v>
      </c>
      <c r="HJ194" s="521">
        <f t="shared" si="495"/>
        <v>0</v>
      </c>
      <c r="HK194" s="535">
        <f t="shared" si="496"/>
        <v>1914.0911111111113</v>
      </c>
      <c r="HL194" s="535">
        <f t="shared" si="402"/>
        <v>623.88888888888891</v>
      </c>
      <c r="HM194" s="535"/>
      <c r="HN194" s="541"/>
      <c r="HO194" s="541"/>
      <c r="HP194" s="541"/>
      <c r="HQ194" s="541">
        <f>IF(AND(B194&gt;=$FV$4,B194&lt;=$FW$4),MAX(110/1.02+$HQ$6+MIN(113/1.02,G194),IF($HV$6-(Sheet1!DA192-Sheet1!DB192)+MIN(113/1.02,G194)&lt;G194+FL194,$HV$6-(Sheet1!DA192-Sheet1!DB192)+MIN(113/1.02,G194),G194+FL194)),MIN(110/1.02+$HQ$6+113/1.02,G194))</f>
        <v>218.62745098039215</v>
      </c>
      <c r="HR194" s="541">
        <f t="shared" si="421"/>
        <v>223</v>
      </c>
      <c r="HS194" s="541">
        <f>HR194+(Sheet1!DA192-Sheet1!DB192)</f>
        <v>412</v>
      </c>
      <c r="HT194" s="541">
        <f t="shared" si="422"/>
        <v>111.60672466233117</v>
      </c>
      <c r="HU194" s="541">
        <f t="shared" si="423"/>
        <v>300.3932753376688</v>
      </c>
      <c r="HV194" s="541">
        <f t="shared" si="424"/>
        <v>0</v>
      </c>
      <c r="HW194" s="541" t="str">
        <f t="shared" si="425"/>
        <v/>
      </c>
      <c r="HX194" s="541">
        <f t="shared" si="426"/>
        <v>280.51522705362487</v>
      </c>
      <c r="HY194" s="541">
        <f>Sheet1!CZ192</f>
        <v>527</v>
      </c>
      <c r="HZ194" s="541">
        <f t="shared" si="427"/>
        <v>27.857321965982987</v>
      </c>
      <c r="IA194" s="541">
        <f t="shared" si="428"/>
        <v>111.60672466233117</v>
      </c>
      <c r="IB194" s="541">
        <f t="shared" si="429"/>
        <v>499.14267803401702</v>
      </c>
      <c r="IC194" s="1019" t="str">
        <f t="shared" si="430"/>
        <v/>
      </c>
      <c r="ID194" s="541">
        <f t="shared" si="431"/>
        <v>387.53595337168588</v>
      </c>
      <c r="IE194" s="541">
        <f>Sheet1!DB192</f>
        <v>413</v>
      </c>
      <c r="IF194" s="533">
        <f>Sheet1!DA192</f>
        <v>602</v>
      </c>
      <c r="IH194" s="541">
        <f>IF(AND($B194&gt;=$GC194,$B194&lt;=$GH194,$DR194&lt;0)+N("only adjusted when pool is drawn down during storage season"),Sheet1!$DB192+$DR194+N("Palmer minus all storage release"),Sheet1!$DB192)</f>
        <v>293.83711548198835</v>
      </c>
      <c r="II194" s="541">
        <f>IF(AND($B194&gt;=$GC194,$B194&lt;=$GH194,$DR194&lt;0)+N("only adjusted when pool is drawn down during storage season"),Sheet1!$DA192+$DR194+N("Auburn minus all storage release"),Sheet1!$DA192)</f>
        <v>482.83711548198835</v>
      </c>
    </row>
    <row r="195" spans="1:243" x14ac:dyDescent="0.25">
      <c r="A195" s="553" t="s">
        <v>4</v>
      </c>
      <c r="B195" s="531">
        <v>42919</v>
      </c>
      <c r="C195" s="536">
        <v>0</v>
      </c>
      <c r="D195" s="506">
        <f t="shared" si="371"/>
        <v>300</v>
      </c>
      <c r="E195" s="506">
        <f t="shared" si="372"/>
        <v>250</v>
      </c>
      <c r="F195" s="506">
        <v>250</v>
      </c>
      <c r="G195" s="535">
        <f>DR195+Sheet1!CZ193</f>
        <v>337.33585476446183</v>
      </c>
      <c r="H195" s="1074">
        <f t="shared" si="405"/>
        <v>0</v>
      </c>
      <c r="I195" s="534">
        <f>IF(Sheet1!DA193&gt;=E195,(Sheet1!DA193-E195+P195)*CFStoMGD,0)</f>
        <v>299.31828659199999</v>
      </c>
      <c r="J195" s="995">
        <f>IF(Sheet1!DB193&gt;=D195,(Sheet1!DB193-D195+P195)*CFStoMGD,0)</f>
        <v>106.691086592</v>
      </c>
      <c r="K195" s="818">
        <f t="shared" si="406"/>
        <v>0</v>
      </c>
      <c r="L195" s="535">
        <f>Sheet1!AA193+Sheet1!AB193-Sheet1!L193+(Sheet1!DA193-F195)*CFStoMGD-S195-T195-U195</f>
        <v>281.35477203647417</v>
      </c>
      <c r="M195" s="535">
        <f t="shared" si="436"/>
        <v>222.41497445014309</v>
      </c>
      <c r="N195" s="824">
        <f>IF(Sheet1!DA193&gt;=F195,MIN(113*CFStoMGD,MIN(MAX(L195,0),MAX(M195,0))),0)</f>
        <v>73.043199999999999</v>
      </c>
      <c r="O195" s="538">
        <f>Sheet1!AA193+Sheet1!AB193</f>
        <v>89.24</v>
      </c>
      <c r="P195" s="538">
        <f t="shared" si="437"/>
        <v>138.05428000000001</v>
      </c>
      <c r="Q195" s="812">
        <f t="shared" si="407"/>
        <v>71.274772036474161</v>
      </c>
      <c r="R195" s="812">
        <f t="shared" si="373"/>
        <v>18</v>
      </c>
      <c r="S195" s="812">
        <f t="shared" si="374"/>
        <v>0</v>
      </c>
      <c r="T195" s="812">
        <f t="shared" si="375"/>
        <v>0</v>
      </c>
      <c r="U195" s="812">
        <f t="shared" si="408"/>
        <v>17.965227963525837</v>
      </c>
      <c r="V195" s="812"/>
      <c r="W195" s="812">
        <f t="shared" si="376"/>
        <v>0</v>
      </c>
      <c r="X195" s="812">
        <f t="shared" si="377"/>
        <v>0</v>
      </c>
      <c r="Y195" s="812" t="str">
        <f t="shared" si="378"/>
        <v>FALSE</v>
      </c>
      <c r="Z195" s="812">
        <f t="shared" si="379"/>
        <v>89.24</v>
      </c>
      <c r="AA195" s="812">
        <f t="shared" si="380"/>
        <v>89.24</v>
      </c>
      <c r="AB195" s="1059">
        <f t="shared" si="409"/>
        <v>110.26207234042552</v>
      </c>
      <c r="AC195" s="538">
        <f>Sheet1!Y193*MGDtoCFS</f>
        <v>46.7194</v>
      </c>
      <c r="AD195" s="538">
        <f>Sheet1!Z193*MGDtoCFS</f>
        <v>92.649829999999994</v>
      </c>
      <c r="AE195" s="538">
        <f>Sheet1!AA193*MGDtoCFS</f>
        <v>46.7194</v>
      </c>
      <c r="AF195" s="538">
        <f>Sheet1!AB193*MGDtoCFS</f>
        <v>91.334879999999998</v>
      </c>
      <c r="AG195" s="538">
        <f>Sheet1!L193*MGDtoCFS</f>
        <v>0</v>
      </c>
      <c r="AH195" s="521">
        <f t="shared" si="438"/>
        <v>18.003890577507597</v>
      </c>
      <c r="AI195" s="1059">
        <f t="shared" si="439"/>
        <v>27.852018723404253</v>
      </c>
      <c r="AJ195" s="535">
        <f t="shared" si="440"/>
        <v>0</v>
      </c>
      <c r="AK195" s="535">
        <f t="shared" si="441"/>
        <v>0</v>
      </c>
      <c r="AL195" s="535">
        <f>(VLOOKUP(Sheet1!DC193,hhdcap_wcm,4)-(((VLOOKUP(Sheet1!DC193,hhdcap_wcm,3)-Sheet1!DC193)/(VLOOKUP(Sheet1!DC193,hhdcap_wcm,3)-VLOOKUP(Sheet1!DC193,hhdcap_wcm,1)))*(VLOOKUP(Sheet1!DC193,hhdcap_wcm,4)-VLOOKUP(Sheet1!DC193,hhdcap_wcm,2))))</f>
        <v>48031.10000011509</v>
      </c>
      <c r="AM195" s="535">
        <f t="shared" si="442"/>
        <v>-201.60000000207219</v>
      </c>
      <c r="AN195" s="1035">
        <f t="shared" si="443"/>
        <v>3223.9887907631628</v>
      </c>
      <c r="AO195" s="535">
        <f t="shared" si="444"/>
        <v>9891.1976100613829</v>
      </c>
      <c r="AP195" s="535">
        <f>Sheet1!BA193+Sheet1!BB193+Sheet1!BN193+CD195</f>
        <v>41.2</v>
      </c>
      <c r="AQ195" s="535">
        <f>Sheet1!BN193+(DO195*Sheet1!BN193)</f>
        <v>41.074772036474165</v>
      </c>
      <c r="AR195" s="535">
        <f>Sheet1!BA193+CD195</f>
        <v>0</v>
      </c>
      <c r="AS195" s="535">
        <f>Sheet1!BA193+Sheet1!BB193+CD195</f>
        <v>0</v>
      </c>
      <c r="AT195" s="649">
        <f>0</f>
        <v>0</v>
      </c>
      <c r="AU195" s="974">
        <f>BA195+Sheet1!EH193</f>
        <v>0</v>
      </c>
      <c r="AV195" s="535">
        <f>IF(OR(B195&gt;=GD195,B195&lt;GC195),0,15/36*K195-MAX(0,64.6-(137.6-(Sheet1!AA193+Sheet1!AB193))))</f>
        <v>0</v>
      </c>
      <c r="AW195" s="1029"/>
      <c r="AX195" s="649"/>
      <c r="AY195" s="649">
        <f t="shared" si="410"/>
        <v>0</v>
      </c>
      <c r="AZ195" s="649">
        <f t="shared" si="411"/>
        <v>0</v>
      </c>
      <c r="BA195" s="1059">
        <f t="shared" si="412"/>
        <v>0</v>
      </c>
      <c r="BB195" s="1019">
        <f t="shared" si="445"/>
        <v>1358.3333333333335</v>
      </c>
      <c r="BC195" s="1041">
        <f t="shared" si="413"/>
        <v>0</v>
      </c>
      <c r="BD195" s="1019">
        <f ca="1">IF(B195&gt;(Summary!$A$1-1),#N/A,BB195*MGtoAF)</f>
        <v>4167.3666666666668</v>
      </c>
      <c r="BE195" s="535">
        <f>Sheet1!BG193+Sheet1!BH193+Sheet1!BI193-BM195</f>
        <v>2.0099999999999998</v>
      </c>
      <c r="BF195" s="535">
        <f t="shared" si="446"/>
        <v>2.0038905775075988</v>
      </c>
      <c r="BG195" s="535">
        <f>IF(Sheet1!EP193="FM",BM195,0)</f>
        <v>0</v>
      </c>
      <c r="BH195" s="535">
        <f t="shared" si="447"/>
        <v>0</v>
      </c>
      <c r="BI195" s="535">
        <f>IF(Sheet1!EP193="OTHER",BM195,0)</f>
        <v>0</v>
      </c>
      <c r="BJ195" s="535">
        <f t="shared" si="448"/>
        <v>0</v>
      </c>
      <c r="BK195" s="535">
        <f t="shared" si="449"/>
        <v>2.0099999999999998</v>
      </c>
      <c r="BL195" s="535">
        <f t="shared" si="450"/>
        <v>2.0038905775075988</v>
      </c>
      <c r="BM195" s="535">
        <f>IF(OR(Sheet1!EP193="FM", Sheet1!EP193="OTHER"),SUM(Sheet1!BG193:'Sheet1'!BI193),0)</f>
        <v>0</v>
      </c>
      <c r="BN195" s="521">
        <f>IF(AND($B195&gt;=$FV195,$B195&lt;=$FW195),MAX(BF195,Sheet1!EI193,0),MAX(BF195-(7/36)*$K195,0))</f>
        <v>2.0038905775075988</v>
      </c>
      <c r="BO195" s="535">
        <f t="shared" si="497"/>
        <v>0</v>
      </c>
      <c r="BP195" s="521">
        <f t="shared" si="452"/>
        <v>0</v>
      </c>
      <c r="BQ195" s="521">
        <f>IF(AND($O195&gt;0,Sheet1!EM193=1),(1-($O195-Sheet1!$L193)/$O195)*BL195,0)</f>
        <v>0</v>
      </c>
      <c r="BR195" s="521">
        <f>IF(AND(Sheet1!$L193=0,Sheet1!$L192=0, Calculation!BK195&lt;Sheet1!$EI193-0.1,Sheet1!$EI193=Sheet1!$EI192,Sheet1!$EI193=Sheet1!$EI194),BL195-BQ195,BL195-BQ195)</f>
        <v>2.0038905775075988</v>
      </c>
      <c r="BS195" s="1035" t="str">
        <f t="shared" si="414"/>
        <v/>
      </c>
      <c r="BT195" s="1035">
        <f t="shared" si="415"/>
        <v>0</v>
      </c>
      <c r="BU195" s="535">
        <f t="shared" si="453"/>
        <v>629.8776796520516</v>
      </c>
      <c r="BV195" s="535"/>
      <c r="BW195" s="535">
        <f ca="1">IF(B195&gt;(Summary!$A$1-1),#N/A,BU195*MGtoAF)</f>
        <v>1932.4647211724944</v>
      </c>
      <c r="BX195" s="535">
        <f>Sheet1!BC193+Sheet1!BD193+Sheet1!BE193+Sheet1!BF193-CG195-CH195</f>
        <v>5.99</v>
      </c>
      <c r="BY195" s="535">
        <f t="shared" si="454"/>
        <v>5.9717933130699095</v>
      </c>
      <c r="BZ195" s="535">
        <f>IF(Sheet1!EQ193="FM",CH195,0)</f>
        <v>0</v>
      </c>
      <c r="CA195" s="535">
        <f t="shared" si="455"/>
        <v>0</v>
      </c>
      <c r="CB195" s="535">
        <f>IF(Sheet1!EQ193="OTHER",CH195,0)</f>
        <v>0</v>
      </c>
      <c r="CC195" s="535">
        <f t="shared" si="456"/>
        <v>0</v>
      </c>
      <c r="CD195" s="535">
        <f t="shared" si="457"/>
        <v>0</v>
      </c>
      <c r="CE195" s="535">
        <f t="shared" si="458"/>
        <v>5.99</v>
      </c>
      <c r="CF195" s="535">
        <f t="shared" si="459"/>
        <v>5.9717933130699095</v>
      </c>
      <c r="CG195" s="535">
        <f>IF(Sheet1!EQ193="CWA",SUM(Sheet1!BC193:'Sheet1'!BF193),0)</f>
        <v>0</v>
      </c>
      <c r="CH195" s="535">
        <f>IF(OR(Sheet1!EQ193="FM", Sheet1!EQ193="OTHER"),SUM(Sheet1!BC193:'Sheet1'!BF193),0)</f>
        <v>0</v>
      </c>
      <c r="CI195" s="521">
        <f>IF(AND($B195&gt;=$FV195,$B195&lt;=$FW195),MAX(CF195,Sheet1!EJ193,0),MAX(CF195-(7/36)*$K195,0))</f>
        <v>6</v>
      </c>
      <c r="CJ195" s="535">
        <f t="shared" si="499"/>
        <v>0</v>
      </c>
      <c r="CK195" s="521">
        <f t="shared" si="461"/>
        <v>0</v>
      </c>
      <c r="CL195" s="521">
        <f>IF(AND($O195&gt;0,Sheet1!EN193=1),(1-($O195-Sheet1!$L193)/$O195)*CF195,0)</f>
        <v>0</v>
      </c>
      <c r="CM195" s="521">
        <f>IF(AND(Sheet1!$L193=0,Sheet1!$L192=0, Calculation!CE195&lt;Sheet1!EJ193-0.1,Sheet1!EJ193=Sheet1!EJ192,Sheet1!EJ193=Sheet1!EJ194),CF195-CL195,CF195-CL195)</f>
        <v>5.9717933130699095</v>
      </c>
      <c r="CN195" s="1040" t="str">
        <f t="shared" si="416"/>
        <v/>
      </c>
      <c r="CO195" s="1035">
        <f t="shared" si="417"/>
        <v>0</v>
      </c>
      <c r="CP195" s="535">
        <f t="shared" si="462"/>
        <v>621.88888888888891</v>
      </c>
      <c r="CQ195" s="535"/>
      <c r="CR195" s="535">
        <f ca="1">IF(B195&gt;(Summary!$A$1-1),#N/A,CP195*MGtoAF)</f>
        <v>1907.9551111111111</v>
      </c>
      <c r="CS195" s="535">
        <f>Sheet1!BK193+Sheet1!BL193+Sheet1!BM193-Sheet1!ER193-DA195</f>
        <v>10.02</v>
      </c>
      <c r="CT195" s="535">
        <f t="shared" si="463"/>
        <v>9.9895440729483287</v>
      </c>
      <c r="CU195" s="535">
        <f>IF(Sheet1!ER193="FM",DA195,0)</f>
        <v>0</v>
      </c>
      <c r="CV195" s="535">
        <f t="shared" si="464"/>
        <v>0</v>
      </c>
      <c r="CW195" s="535">
        <f>IF(Sheet1!ER193="OTHER",DA195,0)</f>
        <v>0</v>
      </c>
      <c r="CX195" s="535">
        <f t="shared" si="465"/>
        <v>0</v>
      </c>
      <c r="CY195" s="535">
        <f t="shared" si="466"/>
        <v>10.02</v>
      </c>
      <c r="CZ195" s="535">
        <f t="shared" si="467"/>
        <v>9.9895440729483287</v>
      </c>
      <c r="DA195" s="535">
        <f>IF(OR(Sheet1!ER193="FM", Sheet1!ER193="OTHER"),SUM(Sheet1!BK193:'Sheet1'!BM193),0)</f>
        <v>0</v>
      </c>
      <c r="DB195" s="1011">
        <f>IF(AND($B195&gt;=$FV195,$B195&lt;=$FW195),MAX($CT195,Sheet1!EK193,0),MAX($CT195-(7/36)*$K195,0))</f>
        <v>10</v>
      </c>
      <c r="DC195" s="1012">
        <f t="shared" si="498"/>
        <v>0</v>
      </c>
      <c r="DD195" s="1011">
        <f t="shared" si="469"/>
        <v>0</v>
      </c>
      <c r="DE195" s="521">
        <f>IF(AND($O195&gt;0,Sheet1!EO193=1),(1-($O195-Sheet1!$L193)/$O195)*CZ195,0)</f>
        <v>0</v>
      </c>
      <c r="DF195" s="521">
        <f>IF(AND(Sheet1!$L193=0,Sheet1!$L192=0, Calculation!CY195&lt;Sheet1!$EK193-0.1,Sheet1!$EK193=Sheet1!$EK192,Sheet1!$EK193=Sheet1!$EK194),CZ195-DE195,CZ195-DE195)</f>
        <v>9.9895440729483287</v>
      </c>
      <c r="DG195" s="1040">
        <f t="shared" si="418"/>
        <v>0</v>
      </c>
      <c r="DH195" s="649">
        <f t="shared" si="470"/>
        <v>18.02</v>
      </c>
      <c r="DI195" s="535">
        <f t="shared" si="471"/>
        <v>613.88888888888891</v>
      </c>
      <c r="DJ195" s="649">
        <f t="shared" si="472"/>
        <v>17.965227963525837</v>
      </c>
      <c r="DK195" s="535">
        <f ca="1">IF(B195&gt;(Summary!$A$1-1),#N/A,DI195*MGtoAF)</f>
        <v>1883.4111111111113</v>
      </c>
      <c r="DL195" s="649">
        <f t="shared" si="473"/>
        <v>18.019999999999996</v>
      </c>
      <c r="DM195" s="535">
        <f t="shared" si="474"/>
        <v>59.22</v>
      </c>
      <c r="DN195" s="535">
        <f>Sheet1!AB193-DM195</f>
        <v>-0.17999999999999972</v>
      </c>
      <c r="DO195" s="743">
        <f t="shared" si="475"/>
        <v>-3.0395136778115454E-3</v>
      </c>
      <c r="DP195" s="535">
        <f>(VLOOKUP(Sheet1!DC193,hhdcap_wcm,4)-(((VLOOKUP(Sheet1!DC193,hhdcap_wcm,3)-Sheet1!DC193)/(VLOOKUP(Sheet1!DC193,hhdcap_wcm,3)-VLOOKUP(Sheet1!DC193,hhdcap_wcm,1)))*(VLOOKUP(Sheet1!DC193,hhdcap_wcm,4)-VLOOKUP(Sheet1!DC193,hhdcap_wcm,2))))</f>
        <v>48031.10000011509</v>
      </c>
      <c r="DQ195" s="535">
        <f t="shared" si="476"/>
        <v>-201.60000000207219</v>
      </c>
      <c r="DR195" s="535">
        <f t="shared" si="477"/>
        <v>-101.66414523553816</v>
      </c>
      <c r="DS195" s="535">
        <f>Sheet1!EA193*AFtoMG</f>
        <v>0</v>
      </c>
      <c r="DT195" s="535">
        <f>Sheet1!EB193*AFtoMG</f>
        <v>0</v>
      </c>
      <c r="DU195" s="535">
        <f>Sheet1!EC193*AFtoMG</f>
        <v>0</v>
      </c>
      <c r="DV195" s="535">
        <f>Sheet1!ED193*AFtoMG</f>
        <v>0</v>
      </c>
      <c r="DW195" s="535">
        <f t="shared" si="478"/>
        <v>0</v>
      </c>
      <c r="DX195" s="535">
        <f t="shared" si="479"/>
        <v>0</v>
      </c>
      <c r="DY195" s="535">
        <f t="shared" si="480"/>
        <v>3223.9887907631628</v>
      </c>
      <c r="DZ195" s="535">
        <f t="shared" si="481"/>
        <v>9891.1976100613829</v>
      </c>
      <c r="EA195" s="535"/>
      <c r="EB195" s="521">
        <f>IF(OR(B195&lt;FV195,B195&gt;FW195),(MIN(BF195+BY195+CT195+MAX(Sheet1!AA193+AQ195-73,0),K195)),0)</f>
        <v>0</v>
      </c>
      <c r="EC195" s="535"/>
      <c r="ED195" s="535">
        <f t="shared" si="482"/>
        <v>17.965227963525837</v>
      </c>
      <c r="EE195" s="535"/>
      <c r="EF195" s="535">
        <f>Sheet1!EH193+Sheet1!EI193+Sheet1!EJ193+Sheet1!EK193</f>
        <v>18</v>
      </c>
      <c r="EG195" s="1019">
        <f t="shared" si="419"/>
        <v>27.846</v>
      </c>
      <c r="EH195" s="521">
        <f t="shared" si="483"/>
        <v>0</v>
      </c>
      <c r="EI195" s="535">
        <f>IF(Sheet1!ET193=1,SUM('Calculations II'!AT195:BA195)+'Calculations II'!BC195+Sheet1!BV193+'Calculations II'!BE195+AP195,'Calculations II'!BK195)</f>
        <v>65.200192036474164</v>
      </c>
      <c r="EJ195" s="535">
        <f ca="1">EI195+'Calculations II'!D195+'Calculations II'!E195+'Calculations II'!O195</f>
        <v>72.795230993591773</v>
      </c>
      <c r="EK195" s="535"/>
      <c r="EL195" s="535"/>
      <c r="EM195" s="535">
        <f t="shared" si="484"/>
        <v>42919</v>
      </c>
      <c r="EN195" s="535">
        <f t="shared" si="485"/>
        <v>-18.003890577507597</v>
      </c>
      <c r="EO195" s="535">
        <f t="shared" si="486"/>
        <v>-27.852018723404253</v>
      </c>
      <c r="EP195" s="535">
        <v>0</v>
      </c>
      <c r="EQ195" s="535">
        <v>0</v>
      </c>
      <c r="ER195" s="535">
        <v>0</v>
      </c>
      <c r="ES195" s="521">
        <f t="shared" si="381"/>
        <v>-6.5096369529996814</v>
      </c>
      <c r="ET195" s="535">
        <f>-(VLOOKUP(Sheet1!BQ193,Lookup!$O$4:$Q$262,2)-VLOOKUP(Sheet1!BQ192,Lookup!$O$4:$Q$262,2))/1000000</f>
        <v>-3.1850025077668467</v>
      </c>
      <c r="EU195" s="535">
        <f>-(VLOOKUP(Sheet1!BR193,Lookup!$O$4:$Q$262,3)-VLOOKUP(Sheet1!BR192,Lookup!$O$4:$Q$262,3))/1000000</f>
        <v>-3.3246344452328347</v>
      </c>
      <c r="EV195" s="535"/>
      <c r="EW195" s="535"/>
      <c r="EX195" s="535"/>
      <c r="EY195" s="535">
        <f t="shared" si="502"/>
        <v>-129.45635289511262</v>
      </c>
      <c r="EZ195" s="535"/>
      <c r="FA195" s="535"/>
      <c r="FB195" s="535"/>
      <c r="FC195" s="535"/>
      <c r="FD195" s="567">
        <f t="shared" ref="FD195:FD226" si="504">VLOOKUP(FJ193,hhdelev_wcm,4) -(((VLOOKUP(FJ193,hhdelev_wcm,3)-FJ193)/(VLOOKUP(FJ193,hhdelev_wcm,3)-VLOOKUP(FJ193,hhdelev_wcm,1)))*(VLOOKUP(FJ193,hhdelev_wcm,4)-VLOOKUP(FJ193,hhdelev_wcm,2)))</f>
        <v>1140.0999999999199</v>
      </c>
      <c r="FE195" s="567" t="e">
        <f t="shared" si="488"/>
        <v>#N/A</v>
      </c>
      <c r="FF195" s="568" t="e">
        <f t="shared" si="489"/>
        <v>#N/A</v>
      </c>
      <c r="FG195" s="569" t="s">
        <v>656</v>
      </c>
      <c r="FH195" s="569" t="s">
        <v>656</v>
      </c>
      <c r="FI195" s="567" t="e">
        <v>#N/A</v>
      </c>
      <c r="FJ195" s="725">
        <v>23332</v>
      </c>
      <c r="FK195" s="535"/>
      <c r="FL195" s="1015">
        <f t="shared" si="503"/>
        <v>42.360060514372158</v>
      </c>
      <c r="FM195" s="535"/>
      <c r="FN195" s="535"/>
      <c r="FO195" s="535">
        <f>O195+((Sheet1!CS193)*GPMtoMGD)</f>
        <v>89.24</v>
      </c>
      <c r="FP195" s="535">
        <f>IF(Sheet1!AA193+AQ195&lt;=Calculation!N195,AQ195,Calculation!N195-Sheet1!AA193)</f>
        <v>41.074772036474165</v>
      </c>
      <c r="FQ195" s="535">
        <f>(Sheet1!BP193+Sheet1!BO193)/694.4</f>
        <v>3.3097638248847931</v>
      </c>
      <c r="FR195" s="541"/>
      <c r="FS195" s="541"/>
      <c r="FT195" s="541"/>
      <c r="FU195" s="541"/>
      <c r="FV195" s="1109">
        <f t="shared" si="382"/>
        <v>42918</v>
      </c>
      <c r="FW195" s="1109">
        <f t="shared" si="383"/>
        <v>43027</v>
      </c>
      <c r="FX195" s="541"/>
      <c r="FY195" s="541">
        <f>Sheet1!DA193-Sheet1!CZ193-Sheet1!AE193</f>
        <v>-2.0542799999999772</v>
      </c>
      <c r="FZ195" s="535">
        <f t="shared" si="420"/>
        <v>-6.0897173276595164E-3</v>
      </c>
      <c r="GA195" s="535"/>
      <c r="GB195" s="535" t="str">
        <f t="shared" si="384"/>
        <v>n</v>
      </c>
      <c r="GC195" s="539">
        <f t="shared" si="385"/>
        <v>42782</v>
      </c>
      <c r="GD195" s="1109">
        <f t="shared" si="386"/>
        <v>42904</v>
      </c>
      <c r="GE195" s="535">
        <f t="shared" si="404"/>
        <v>6520</v>
      </c>
      <c r="GF195" s="1109">
        <f t="shared" si="387"/>
        <v>42909</v>
      </c>
      <c r="GG195" s="535">
        <f t="shared" si="432"/>
        <v>3260</v>
      </c>
      <c r="GH195" s="539">
        <f t="shared" si="388"/>
        <v>43040</v>
      </c>
      <c r="GJ195" s="521">
        <f t="shared" si="389"/>
        <v>0</v>
      </c>
      <c r="GK195" s="535" t="str">
        <f t="shared" si="490"/>
        <v/>
      </c>
      <c r="GL195" s="535">
        <f t="shared" si="390"/>
        <v>0</v>
      </c>
      <c r="GM195" s="535" t="str">
        <f t="shared" si="391"/>
        <v/>
      </c>
      <c r="GN195" s="535">
        <f>IF(GK195="P",Lookup!$M$12,IF(GK195="PP",Lookup!$M$13,IF(GK195="PPP",Lookup!$M$14,IF(GK195="T",Lookup!$M$15,IF(GK195="TP",Lookup!$M$16,IF(GK195="TPP",Lookup!$M$17,IF(GK195="TPPP",Lookup!$M$18,0)))))))*GJ195</f>
        <v>0</v>
      </c>
      <c r="GO195" s="535">
        <f t="shared" si="392"/>
        <v>0</v>
      </c>
      <c r="GP195" s="535">
        <f t="shared" si="491"/>
        <v>4167.3666666666668</v>
      </c>
      <c r="GQ195" s="974">
        <f t="shared" si="500"/>
        <v>1358.3333333333335</v>
      </c>
      <c r="GR195" s="535"/>
      <c r="GS195" s="535">
        <f t="shared" si="393"/>
        <v>0</v>
      </c>
      <c r="GT195" s="535" t="str">
        <f t="shared" si="394"/>
        <v/>
      </c>
      <c r="GU195" s="535">
        <f>IF(GK195="P",Lookup!$N$12,IF(GK195="PP",Lookup!$N$13,IF(GK195="PPP",Lookup!$N$14,IF(GK195="T",Lookup!$N$15,IF(GK195="TP",Lookup!$N$16,IF(GK195="TPP",Lookup!$N$17,IF(GK195="TPPP",Lookup!$N$18,0)))))))*GJ195</f>
        <v>0</v>
      </c>
      <c r="GV195" s="535">
        <f t="shared" si="395"/>
        <v>0</v>
      </c>
      <c r="GW195" s="535">
        <f t="shared" si="492"/>
        <v>1932.4647211724944</v>
      </c>
      <c r="GX195" s="974">
        <f t="shared" si="501"/>
        <v>629.8776796520516</v>
      </c>
      <c r="GY195" s="535"/>
      <c r="GZ195" s="535">
        <f t="shared" si="396"/>
        <v>0</v>
      </c>
      <c r="HA195" s="535" t="str">
        <f t="shared" si="397"/>
        <v/>
      </c>
      <c r="HB195" s="535">
        <f>IF(GK195="P",Lookup!$N$12,IF(GK195="PP",Lookup!$N$13,IF(GK195="PPP",Lookup!$N$14,IF(GK195="T",Lookup!$N$15,IF(GK195="TP",Lookup!$N$16,IF(GK195="TPP",Lookup!$N$17,IF(GK195="TPPP",Lookup!$N$18,0)))))))*GJ195</f>
        <v>0</v>
      </c>
      <c r="HC195" s="521">
        <f t="shared" si="493"/>
        <v>0</v>
      </c>
      <c r="HD195" s="535">
        <f t="shared" si="494"/>
        <v>1907.9551111111111</v>
      </c>
      <c r="HE195" s="535">
        <f t="shared" si="401"/>
        <v>621.88888888888891</v>
      </c>
      <c r="HF195" s="535"/>
      <c r="HG195" s="535">
        <f t="shared" si="398"/>
        <v>0</v>
      </c>
      <c r="HH195" s="535" t="str">
        <f t="shared" si="399"/>
        <v/>
      </c>
      <c r="HI195" s="535">
        <f>IF(GK195="P",Lookup!$N$12,IF(GK195="PP",Lookup!$N$13,IF(GK195="PPP",Lookup!$N$14,IF(GK195="T",Lookup!$N$15,IF(GK195="TP",Lookup!$N$16,IF(GK195="TPP",Lookup!$N$17,IF(GK195="TPPP",Lookup!$N$18,0)))))))*GJ195</f>
        <v>0</v>
      </c>
      <c r="HJ195" s="521">
        <f t="shared" si="495"/>
        <v>0</v>
      </c>
      <c r="HK195" s="535">
        <f t="shared" si="496"/>
        <v>1883.4111111111113</v>
      </c>
      <c r="HL195" s="535">
        <f t="shared" si="402"/>
        <v>613.88888888888891</v>
      </c>
      <c r="HM195" s="535"/>
      <c r="HN195" s="541"/>
      <c r="HO195" s="541"/>
      <c r="HP195" s="541"/>
      <c r="HQ195" s="541">
        <f>IF(AND(B195&gt;=$FV$4,B195&lt;=$FW$4),MAX(110/1.02+$HQ$6+MIN(113/1.02,G195),IF($HV$6-(Sheet1!DA193-Sheet1!DB193)+MIN(113/1.02,G195)&lt;G195+FL195,$HV$6-(Sheet1!DA193-Sheet1!DB193)+MIN(113/1.02,G195),G195+FL195)),MIN(110/1.02+$HQ$6+113/1.02,G195))</f>
        <v>218.62745098039215</v>
      </c>
      <c r="HR195" s="541">
        <f t="shared" si="421"/>
        <v>223</v>
      </c>
      <c r="HS195" s="541">
        <f>HR195+(Sheet1!DA193-Sheet1!DB193)</f>
        <v>471</v>
      </c>
      <c r="HT195" s="541">
        <f t="shared" si="422"/>
        <v>110.26207234042552</v>
      </c>
      <c r="HU195" s="541">
        <f t="shared" si="423"/>
        <v>360.7379276595745</v>
      </c>
      <c r="HV195" s="541">
        <f t="shared" si="424"/>
        <v>0</v>
      </c>
      <c r="HW195" s="541" t="str">
        <f t="shared" si="425"/>
        <v/>
      </c>
      <c r="HX195" s="541">
        <f t="shared" si="426"/>
        <v>192.52053029620362</v>
      </c>
      <c r="HY195" s="541">
        <f>Sheet1!CZ193</f>
        <v>439</v>
      </c>
      <c r="HZ195" s="541">
        <f t="shared" si="427"/>
        <v>27.852018723404253</v>
      </c>
      <c r="IA195" s="541">
        <f t="shared" si="428"/>
        <v>110.26207234042552</v>
      </c>
      <c r="IB195" s="541">
        <f t="shared" si="429"/>
        <v>411.14798127659577</v>
      </c>
      <c r="IC195" s="1019" t="str">
        <f t="shared" si="430"/>
        <v/>
      </c>
      <c r="ID195" s="541">
        <f t="shared" si="431"/>
        <v>300.88590893617027</v>
      </c>
      <c r="IE195" s="541">
        <f>Sheet1!DB193</f>
        <v>327</v>
      </c>
      <c r="IF195" s="533">
        <f>Sheet1!DA193</f>
        <v>575</v>
      </c>
      <c r="IH195" s="541">
        <f>IF(AND($B195&gt;=$GC195,$B195&lt;=$GH195,$DR195&lt;0)+N("only adjusted when pool is drawn down during storage season"),Sheet1!$DB193+$DR195+N("Palmer minus all storage release"),Sheet1!$DB193)</f>
        <v>225.33585476446183</v>
      </c>
      <c r="II195" s="541">
        <f>IF(AND($B195&gt;=$GC195,$B195&lt;=$GH195,$DR195&lt;0)+N("only adjusted when pool is drawn down during storage season"),Sheet1!$DA193+$DR195+N("Auburn minus all storage release"),Sheet1!$DA193)</f>
        <v>473.33585476446183</v>
      </c>
    </row>
    <row r="196" spans="1:243" x14ac:dyDescent="0.25">
      <c r="A196" s="553" t="s">
        <v>5</v>
      </c>
      <c r="B196" s="531">
        <v>42920</v>
      </c>
      <c r="C196" s="536">
        <v>0</v>
      </c>
      <c r="D196" s="506">
        <f t="shared" si="371"/>
        <v>300</v>
      </c>
      <c r="E196" s="506">
        <f t="shared" si="372"/>
        <v>250</v>
      </c>
      <c r="F196" s="506">
        <v>250</v>
      </c>
      <c r="G196" s="535">
        <f>DR196+Sheet1!CZ194</f>
        <v>376.92233988945031</v>
      </c>
      <c r="H196" s="1074">
        <f t="shared" si="405"/>
        <v>0</v>
      </c>
      <c r="I196" s="534">
        <f>IF(Sheet1!DA194&gt;=E196,(Sheet1!DA194-E196+P196)*CFStoMGD,0)</f>
        <v>259.757126336</v>
      </c>
      <c r="J196" s="995">
        <f>IF(Sheet1!DB194&gt;=D196,(Sheet1!DB194-D196+P196)*CFStoMGD,0)</f>
        <v>103.328326336</v>
      </c>
      <c r="K196" s="818">
        <f t="shared" si="406"/>
        <v>0</v>
      </c>
      <c r="L196" s="535">
        <f>Sheet1!AA194+Sheet1!AB194-Sheet1!L194+(Sheet1!DA194-F196)*CFStoMGD-S196-T196-U196</f>
        <v>241.78620441950193</v>
      </c>
      <c r="M196" s="535">
        <f t="shared" si="436"/>
        <v>248.51545251463151</v>
      </c>
      <c r="N196" s="824">
        <f>IF(Sheet1!DA194&gt;=F196,MIN(113*CFStoMGD,MIN(MAX(L196,0),MAX(M196,0))),0)</f>
        <v>73.043199999999999</v>
      </c>
      <c r="O196" s="538">
        <f>Sheet1!AA194+Sheet1!AB194</f>
        <v>87.17</v>
      </c>
      <c r="P196" s="538">
        <f t="shared" si="437"/>
        <v>134.85199</v>
      </c>
      <c r="Q196" s="812">
        <f t="shared" si="407"/>
        <v>69.197404419501936</v>
      </c>
      <c r="R196" s="812">
        <f t="shared" si="373"/>
        <v>18</v>
      </c>
      <c r="S196" s="812">
        <f t="shared" si="374"/>
        <v>0</v>
      </c>
      <c r="T196" s="812">
        <f t="shared" si="375"/>
        <v>0</v>
      </c>
      <c r="U196" s="812">
        <f t="shared" si="408"/>
        <v>17.972595580498073</v>
      </c>
      <c r="V196" s="812"/>
      <c r="W196" s="812">
        <f t="shared" si="376"/>
        <v>0</v>
      </c>
      <c r="X196" s="812">
        <f t="shared" si="377"/>
        <v>0</v>
      </c>
      <c r="Y196" s="812" t="str">
        <f t="shared" si="378"/>
        <v>FALSE</v>
      </c>
      <c r="Z196" s="812">
        <f t="shared" si="379"/>
        <v>87.17</v>
      </c>
      <c r="AA196" s="812">
        <f t="shared" si="380"/>
        <v>87.170000000000016</v>
      </c>
      <c r="AB196" s="1059">
        <f t="shared" si="409"/>
        <v>107.04838463696949</v>
      </c>
      <c r="AC196" s="538">
        <f>Sheet1!Y194*MGDtoCFS</f>
        <v>46.7194</v>
      </c>
      <c r="AD196" s="538">
        <f>Sheet1!Z194*MGDtoCFS</f>
        <v>91.334879999999998</v>
      </c>
      <c r="AE196" s="538">
        <f>Sheet1!AA194*MGDtoCFS</f>
        <v>46.874099999999999</v>
      </c>
      <c r="AF196" s="538">
        <f>Sheet1!AB194*MGDtoCFS</f>
        <v>87.977889999999988</v>
      </c>
      <c r="AG196" s="538">
        <f>Sheet1!L194*MGDtoCFS</f>
        <v>0</v>
      </c>
      <c r="AH196" s="521">
        <f t="shared" si="438"/>
        <v>18.014686075061384</v>
      </c>
      <c r="AI196" s="1059">
        <f t="shared" si="439"/>
        <v>27.868719358119961</v>
      </c>
      <c r="AJ196" s="535">
        <f t="shared" si="440"/>
        <v>0</v>
      </c>
      <c r="AK196" s="535">
        <f t="shared" si="441"/>
        <v>0</v>
      </c>
      <c r="AL196" s="535">
        <f>(VLOOKUP(Sheet1!DC194,hhdcap_wcm,4)-(((VLOOKUP(Sheet1!DC194,hhdcap_wcm,3)-Sheet1!DC194)/(VLOOKUP(Sheet1!DC194,hhdcap_wcm,3)-VLOOKUP(Sheet1!DC194,hhdcap_wcm,1)))*(VLOOKUP(Sheet1!DC194,hhdcap_wcm,4)-VLOOKUP(Sheet1!DC194,hhdcap_wcm,2))))</f>
        <v>47908.00000011587</v>
      </c>
      <c r="AM196" s="535">
        <f t="shared" si="442"/>
        <v>-123.09999999922002</v>
      </c>
      <c r="AN196" s="1035">
        <f t="shared" si="443"/>
        <v>3205.9741046881018</v>
      </c>
      <c r="AO196" s="535">
        <f t="shared" si="444"/>
        <v>9835.9285531830956</v>
      </c>
      <c r="AP196" s="535">
        <f>Sheet1!BA194+Sheet1!BB194+Sheet1!BN194+CD196</f>
        <v>39</v>
      </c>
      <c r="AQ196" s="535">
        <f>Sheet1!BN194+(DO196*Sheet1!BN194)</f>
        <v>38.897404419501932</v>
      </c>
      <c r="AR196" s="535">
        <f>Sheet1!BA194+CD196</f>
        <v>0</v>
      </c>
      <c r="AS196" s="535">
        <f>Sheet1!BA194+Sheet1!BB194+CD196</f>
        <v>0</v>
      </c>
      <c r="AT196" s="649">
        <f>0</f>
        <v>0</v>
      </c>
      <c r="AU196" s="974">
        <f>BA196+Sheet1!EH194</f>
        <v>0</v>
      </c>
      <c r="AV196" s="535">
        <f>IF(OR(B196&gt;=GD196,B196&lt;GC196),0,15/36*K196-MAX(0,64.6-(137.6-(Sheet1!AA194+Sheet1!AB194))))</f>
        <v>0</v>
      </c>
      <c r="AW196" s="1029"/>
      <c r="AX196" s="649"/>
      <c r="AY196" s="649">
        <f t="shared" si="410"/>
        <v>0</v>
      </c>
      <c r="AZ196" s="649">
        <f t="shared" si="411"/>
        <v>0</v>
      </c>
      <c r="BA196" s="1059">
        <f t="shared" si="412"/>
        <v>0</v>
      </c>
      <c r="BB196" s="1019">
        <f t="shared" si="445"/>
        <v>1358.3333333333335</v>
      </c>
      <c r="BC196" s="1041">
        <f t="shared" si="413"/>
        <v>0</v>
      </c>
      <c r="BD196" s="1019">
        <f ca="1">IF(B196&gt;(Summary!$A$1-1),#N/A,BB196*MGtoAF)</f>
        <v>4167.3666666666668</v>
      </c>
      <c r="BE196" s="535">
        <f>Sheet1!BG194+Sheet1!BH194+Sheet1!BI194-BM196</f>
        <v>2.02</v>
      </c>
      <c r="BF196" s="535">
        <f t="shared" si="446"/>
        <v>2.0146860750613822</v>
      </c>
      <c r="BG196" s="535">
        <f>IF(Sheet1!EP194="FM",BM196,0)</f>
        <v>0</v>
      </c>
      <c r="BH196" s="535">
        <f t="shared" si="447"/>
        <v>0</v>
      </c>
      <c r="BI196" s="535">
        <f>IF(Sheet1!EP194="OTHER",BM196,0)</f>
        <v>0</v>
      </c>
      <c r="BJ196" s="535">
        <f t="shared" si="448"/>
        <v>0</v>
      </c>
      <c r="BK196" s="535">
        <f t="shared" si="449"/>
        <v>2.02</v>
      </c>
      <c r="BL196" s="535">
        <f t="shared" si="450"/>
        <v>2.0146860750613822</v>
      </c>
      <c r="BM196" s="535">
        <f>IF(OR(Sheet1!EP194="FM", Sheet1!EP194="OTHER"),SUM(Sheet1!BG194:'Sheet1'!BI194),0)</f>
        <v>0</v>
      </c>
      <c r="BN196" s="521">
        <f>IF(AND($B196&gt;=$FV196,$B196&lt;=$FW196),MAX(BF196,Sheet1!EI194,0),MAX(BF196-(7/36)*$K196,0))</f>
        <v>2.0146860750613822</v>
      </c>
      <c r="BO196" s="535">
        <f t="shared" si="497"/>
        <v>0</v>
      </c>
      <c r="BP196" s="521">
        <f t="shared" si="452"/>
        <v>0</v>
      </c>
      <c r="BQ196" s="521">
        <f>IF(AND($O196&gt;0,Sheet1!EM194=1),(1-($O196-Sheet1!$L194)/$O196)*BL196,0)</f>
        <v>0</v>
      </c>
      <c r="BR196" s="521">
        <f>IF(AND(Sheet1!$L194=0,Sheet1!$L193=0, Calculation!BK196&lt;Sheet1!$EI194-0.1,Sheet1!$EI194=Sheet1!$EI193,Sheet1!$EI194=Sheet1!$EI195),BL196-BQ196,BL196-BQ196)</f>
        <v>2.0146860750613822</v>
      </c>
      <c r="BS196" s="1035" t="str">
        <f t="shared" si="414"/>
        <v/>
      </c>
      <c r="BT196" s="1035">
        <f t="shared" si="415"/>
        <v>0</v>
      </c>
      <c r="BU196" s="535">
        <f t="shared" si="453"/>
        <v>627.86299357699022</v>
      </c>
      <c r="BV196" s="535"/>
      <c r="BW196" s="535">
        <f ca="1">IF(B196&gt;(Summary!$A$1-1),#N/A,BU196*MGtoAF)</f>
        <v>1926.2836642942061</v>
      </c>
      <c r="BX196" s="535">
        <f>Sheet1!BC194+Sheet1!BD194+Sheet1!BE194+Sheet1!BF194-CG196-CH196</f>
        <v>5.99</v>
      </c>
      <c r="BY196" s="535">
        <f t="shared" si="454"/>
        <v>5.9742423710978612</v>
      </c>
      <c r="BZ196" s="535">
        <f>IF(Sheet1!EQ194="FM",CH196,0)</f>
        <v>0</v>
      </c>
      <c r="CA196" s="535">
        <f t="shared" si="455"/>
        <v>0</v>
      </c>
      <c r="CB196" s="535">
        <f>IF(Sheet1!EQ194="OTHER",CH196,0)</f>
        <v>0</v>
      </c>
      <c r="CC196" s="535">
        <f t="shared" si="456"/>
        <v>0</v>
      </c>
      <c r="CD196" s="535">
        <f t="shared" si="457"/>
        <v>0</v>
      </c>
      <c r="CE196" s="535">
        <f t="shared" si="458"/>
        <v>5.99</v>
      </c>
      <c r="CF196" s="535">
        <f t="shared" si="459"/>
        <v>5.9742423710978612</v>
      </c>
      <c r="CG196" s="535">
        <f>IF(Sheet1!EQ194="CWA",SUM(Sheet1!BC194:'Sheet1'!BF194),0)</f>
        <v>0</v>
      </c>
      <c r="CH196" s="535">
        <f>IF(OR(Sheet1!EQ194="FM", Sheet1!EQ194="OTHER"),SUM(Sheet1!BC194:'Sheet1'!BF194),0)</f>
        <v>0</v>
      </c>
      <c r="CI196" s="521">
        <f>IF(AND($B196&gt;=$FV196,$B196&lt;=$FW196),MAX(CF196,Sheet1!EJ194,0),MAX(CF196-(7/36)*$K196,0))</f>
        <v>6</v>
      </c>
      <c r="CJ196" s="535">
        <f t="shared" si="499"/>
        <v>0</v>
      </c>
      <c r="CK196" s="521">
        <f t="shared" si="461"/>
        <v>0</v>
      </c>
      <c r="CL196" s="521">
        <f>IF(AND($O196&gt;0,Sheet1!EN194=1),(1-($O196-Sheet1!$L194)/$O196)*CF196,0)</f>
        <v>0</v>
      </c>
      <c r="CM196" s="521">
        <f>IF(AND(Sheet1!$L194=0,Sheet1!$L193=0, Calculation!CE196&lt;Sheet1!EJ194-0.1,Sheet1!EJ194=Sheet1!EJ193,Sheet1!EJ194=Sheet1!EJ195),CF196-CL196,CF196-CL196)</f>
        <v>5.9742423710978612</v>
      </c>
      <c r="CN196" s="1040" t="str">
        <f t="shared" si="416"/>
        <v/>
      </c>
      <c r="CO196" s="1035">
        <f t="shared" si="417"/>
        <v>0</v>
      </c>
      <c r="CP196" s="535">
        <f t="shared" si="462"/>
        <v>615.88888888888891</v>
      </c>
      <c r="CQ196" s="535"/>
      <c r="CR196" s="535">
        <f ca="1">IF(B196&gt;(Summary!$A$1-1),#N/A,CP196*MGtoAF)</f>
        <v>1889.5471111111112</v>
      </c>
      <c r="CS196" s="535">
        <f>Sheet1!BK194+Sheet1!BL194+Sheet1!BM194-Sheet1!ER194-DA196</f>
        <v>10.01</v>
      </c>
      <c r="CT196" s="535">
        <f t="shared" si="463"/>
        <v>9.9836671343388286</v>
      </c>
      <c r="CU196" s="535">
        <f>IF(Sheet1!ER194="FM",DA196,0)</f>
        <v>0</v>
      </c>
      <c r="CV196" s="535">
        <f t="shared" si="464"/>
        <v>0</v>
      </c>
      <c r="CW196" s="535">
        <f>IF(Sheet1!ER194="OTHER",DA196,0)</f>
        <v>0</v>
      </c>
      <c r="CX196" s="535">
        <f t="shared" si="465"/>
        <v>0</v>
      </c>
      <c r="CY196" s="535">
        <f t="shared" si="466"/>
        <v>10.01</v>
      </c>
      <c r="CZ196" s="535">
        <f t="shared" si="467"/>
        <v>9.9836671343388286</v>
      </c>
      <c r="DA196" s="535">
        <f>IF(OR(Sheet1!ER194="FM", Sheet1!ER194="OTHER"),SUM(Sheet1!BK194:'Sheet1'!BM194),0)</f>
        <v>0</v>
      </c>
      <c r="DB196" s="1011">
        <f>IF(AND($B196&gt;=$FV196,$B196&lt;=$FW196),MAX($CT196,Sheet1!EK194,0),MAX($CT196-(7/36)*$K196,0))</f>
        <v>10</v>
      </c>
      <c r="DC196" s="1012">
        <f t="shared" si="498"/>
        <v>0</v>
      </c>
      <c r="DD196" s="1011">
        <f t="shared" si="469"/>
        <v>0</v>
      </c>
      <c r="DE196" s="521">
        <f>IF(AND($O196&gt;0,Sheet1!EO194=1),(1-($O196-Sheet1!$L194)/$O196)*CZ196,0)</f>
        <v>0</v>
      </c>
      <c r="DF196" s="521">
        <f>IF(AND(Sheet1!$L194=0,Sheet1!$L193=0, Calculation!CY196&lt;Sheet1!$EK194-0.1,Sheet1!$EK194=Sheet1!$EK193,Sheet1!$EK194=Sheet1!$EK195),CZ196-DE196,CZ196-DE196)</f>
        <v>9.9836671343388286</v>
      </c>
      <c r="DG196" s="1040">
        <f t="shared" si="418"/>
        <v>0</v>
      </c>
      <c r="DH196" s="649">
        <f t="shared" si="470"/>
        <v>18.02</v>
      </c>
      <c r="DI196" s="535">
        <f t="shared" si="471"/>
        <v>603.88888888888891</v>
      </c>
      <c r="DJ196" s="649">
        <f t="shared" si="472"/>
        <v>17.972595580498073</v>
      </c>
      <c r="DK196" s="535">
        <f ca="1">IF(B196&gt;(Summary!$A$1-1),#N/A,DI196*MGtoAF)</f>
        <v>1852.7311111111112</v>
      </c>
      <c r="DL196" s="649">
        <f t="shared" si="473"/>
        <v>18.02</v>
      </c>
      <c r="DM196" s="535">
        <f t="shared" si="474"/>
        <v>57.019999999999996</v>
      </c>
      <c r="DN196" s="535">
        <f>Sheet1!AB194-DM196</f>
        <v>-0.14999999999999858</v>
      </c>
      <c r="DO196" s="743">
        <f t="shared" si="475"/>
        <v>-2.6306559102069202E-3</v>
      </c>
      <c r="DP196" s="535">
        <f>(VLOOKUP(Sheet1!DC194,hhdcap_wcm,4)-(((VLOOKUP(Sheet1!DC194,hhdcap_wcm,3)-Sheet1!DC194)/(VLOOKUP(Sheet1!DC194,hhdcap_wcm,3)-VLOOKUP(Sheet1!DC194,hhdcap_wcm,1)))*(VLOOKUP(Sheet1!DC194,hhdcap_wcm,4)-VLOOKUP(Sheet1!DC194,hhdcap_wcm,2))))</f>
        <v>47908.00000011587</v>
      </c>
      <c r="DQ196" s="535">
        <f t="shared" si="476"/>
        <v>-123.09999999922002</v>
      </c>
      <c r="DR196" s="535">
        <f t="shared" si="477"/>
        <v>-62.077660110549672</v>
      </c>
      <c r="DS196" s="535">
        <f>Sheet1!EA194*AFtoMG</f>
        <v>0</v>
      </c>
      <c r="DT196" s="535">
        <f>Sheet1!EB194*AFtoMG</f>
        <v>0</v>
      </c>
      <c r="DU196" s="535">
        <f>Sheet1!EC194*AFtoMG</f>
        <v>0</v>
      </c>
      <c r="DV196" s="535">
        <f>Sheet1!ED194*AFtoMG</f>
        <v>0</v>
      </c>
      <c r="DW196" s="535">
        <f t="shared" si="478"/>
        <v>0</v>
      </c>
      <c r="DX196" s="535">
        <f t="shared" si="479"/>
        <v>0</v>
      </c>
      <c r="DY196" s="535">
        <f t="shared" si="480"/>
        <v>3205.9741046881018</v>
      </c>
      <c r="DZ196" s="535">
        <f t="shared" si="481"/>
        <v>9835.9285531830956</v>
      </c>
      <c r="EA196" s="535"/>
      <c r="EB196" s="521">
        <f>IF(OR(B196&lt;FV196,B196&gt;FW196),(MIN(BF196+BY196+CT196+MAX(Sheet1!AA194+AQ196-73,0),K196)),0)</f>
        <v>0</v>
      </c>
      <c r="EC196" s="535"/>
      <c r="ED196" s="535">
        <f t="shared" si="482"/>
        <v>17.972595580498073</v>
      </c>
      <c r="EE196" s="535"/>
      <c r="EF196" s="535">
        <f>Sheet1!EH194+Sheet1!EI194+Sheet1!EJ194+Sheet1!EK194</f>
        <v>18</v>
      </c>
      <c r="EG196" s="1019">
        <f t="shared" si="419"/>
        <v>27.846</v>
      </c>
      <c r="EH196" s="521">
        <f t="shared" si="483"/>
        <v>0</v>
      </c>
      <c r="EI196" s="535">
        <f>IF(Sheet1!ET194=1,SUM('Calculations II'!AT196:BA196)+'Calculations II'!BC196+Sheet1!BV194+'Calculations II'!BE196+AP196,'Calculations II'!BK196)</f>
        <v>69.972672419501933</v>
      </c>
      <c r="EJ196" s="535">
        <f ca="1">EI196+'Calculations II'!D196+'Calculations II'!E196+'Calculations II'!O196</f>
        <v>68.462296312308368</v>
      </c>
      <c r="EK196" s="535"/>
      <c r="EL196" s="535"/>
      <c r="EM196" s="535">
        <f t="shared" si="484"/>
        <v>42920</v>
      </c>
      <c r="EN196" s="535">
        <f t="shared" si="485"/>
        <v>-18.014686075061384</v>
      </c>
      <c r="EO196" s="535">
        <f t="shared" si="486"/>
        <v>-27.868719358119961</v>
      </c>
      <c r="EP196" s="535">
        <v>0</v>
      </c>
      <c r="EQ196" s="535">
        <v>0</v>
      </c>
      <c r="ER196" s="535">
        <v>0</v>
      </c>
      <c r="ES196" s="521">
        <f t="shared" si="381"/>
        <v>0.69287253025515749</v>
      </c>
      <c r="ET196" s="535">
        <f>-(VLOOKUP(Sheet1!BQ194,Lookup!$O$4:$Q$262,2)-VLOOKUP(Sheet1!BQ193,Lookup!$O$4:$Q$262,2))/1000000</f>
        <v>0.27709132006719334</v>
      </c>
      <c r="EU196" s="535">
        <f>-(VLOOKUP(Sheet1!BR194,Lookup!$O$4:$Q$262,3)-VLOOKUP(Sheet1!BR193,Lookup!$O$4:$Q$262,3))/1000000</f>
        <v>0.41578121018796416</v>
      </c>
      <c r="EV196" s="535"/>
      <c r="EW196" s="535"/>
      <c r="EX196" s="535"/>
      <c r="EY196" s="535">
        <f t="shared" si="502"/>
        <v>-89.881265473580186</v>
      </c>
      <c r="EZ196" s="535"/>
      <c r="FA196" s="535"/>
      <c r="FB196" s="535"/>
      <c r="FC196" s="535"/>
      <c r="FD196" s="567">
        <f t="shared" si="504"/>
        <v>1139.9878378377578</v>
      </c>
      <c r="FE196" s="567" t="e">
        <f t="shared" si="488"/>
        <v>#N/A</v>
      </c>
      <c r="FF196" s="568" t="e">
        <f t="shared" si="489"/>
        <v>#N/A</v>
      </c>
      <c r="FG196" s="569" t="s">
        <v>656</v>
      </c>
      <c r="FH196" s="569" t="s">
        <v>656</v>
      </c>
      <c r="FI196" s="567" t="e">
        <v>#N/A</v>
      </c>
      <c r="FJ196" s="725">
        <v>23248</v>
      </c>
      <c r="FK196" s="535"/>
      <c r="FL196" s="1015">
        <f t="shared" si="503"/>
        <v>42.360060514372158</v>
      </c>
      <c r="FM196" s="535"/>
      <c r="FN196" s="535"/>
      <c r="FO196" s="535">
        <f>O196+((Sheet1!CS194)*GPMtoMGD)</f>
        <v>87.17</v>
      </c>
      <c r="FP196" s="535">
        <f>IF(Sheet1!AA194+AQ196&lt;=Calculation!N196,AQ196,Calculation!N196-Sheet1!AA194)</f>
        <v>38.897404419501932</v>
      </c>
      <c r="FQ196" s="535">
        <f>(Sheet1!BP194+Sheet1!BO194)/694.4</f>
        <v>3.2942108294930876</v>
      </c>
      <c r="FR196" s="541"/>
      <c r="FS196" s="541"/>
      <c r="FT196" s="541"/>
      <c r="FU196" s="541"/>
      <c r="FV196" s="1109">
        <f t="shared" si="382"/>
        <v>42918</v>
      </c>
      <c r="FW196" s="1109">
        <f t="shared" si="383"/>
        <v>43027</v>
      </c>
      <c r="FX196" s="541"/>
      <c r="FY196" s="541">
        <f>Sheet1!DA194-Sheet1!CZ194-Sheet1!AE194</f>
        <v>-56.851990000000001</v>
      </c>
      <c r="FZ196" s="535">
        <f t="shared" si="420"/>
        <v>-0.15083210514047654</v>
      </c>
      <c r="GA196" s="535"/>
      <c r="GB196" s="535" t="str">
        <f t="shared" si="384"/>
        <v>n</v>
      </c>
      <c r="GC196" s="539">
        <f t="shared" si="385"/>
        <v>42782</v>
      </c>
      <c r="GD196" s="1109">
        <f t="shared" si="386"/>
        <v>42904</v>
      </c>
      <c r="GE196" s="535">
        <f t="shared" si="404"/>
        <v>6520</v>
      </c>
      <c r="GF196" s="1109">
        <f t="shared" si="387"/>
        <v>42909</v>
      </c>
      <c r="GG196" s="535">
        <f t="shared" si="432"/>
        <v>3260</v>
      </c>
      <c r="GH196" s="539">
        <f t="shared" si="388"/>
        <v>43040</v>
      </c>
      <c r="GJ196" s="521">
        <f t="shared" si="389"/>
        <v>0</v>
      </c>
      <c r="GK196" s="535" t="str">
        <f t="shared" si="490"/>
        <v/>
      </c>
      <c r="GL196" s="535">
        <f t="shared" si="390"/>
        <v>0</v>
      </c>
      <c r="GM196" s="535" t="str">
        <f t="shared" si="391"/>
        <v/>
      </c>
      <c r="GN196" s="535">
        <f>IF(GK196="P",Lookup!$M$12,IF(GK196="PP",Lookup!$M$13,IF(GK196="PPP",Lookup!$M$14,IF(GK196="T",Lookup!$M$15,IF(GK196="TP",Lookup!$M$16,IF(GK196="TPP",Lookup!$M$17,IF(GK196="TPPP",Lookup!$M$18,0)))))))*GJ196</f>
        <v>0</v>
      </c>
      <c r="GO196" s="535">
        <f t="shared" si="392"/>
        <v>0</v>
      </c>
      <c r="GP196" s="535">
        <f t="shared" si="491"/>
        <v>4167.3666666666668</v>
      </c>
      <c r="GQ196" s="974">
        <f t="shared" si="500"/>
        <v>1358.3333333333335</v>
      </c>
      <c r="GR196" s="535"/>
      <c r="GS196" s="535">
        <f t="shared" si="393"/>
        <v>0</v>
      </c>
      <c r="GT196" s="535" t="str">
        <f t="shared" si="394"/>
        <v/>
      </c>
      <c r="GU196" s="535">
        <f>IF(GK196="P",Lookup!$N$12,IF(GK196="PP",Lookup!$N$13,IF(GK196="PPP",Lookup!$N$14,IF(GK196="T",Lookup!$N$15,IF(GK196="TP",Lookup!$N$16,IF(GK196="TPP",Lookup!$N$17,IF(GK196="TPPP",Lookup!$N$18,0)))))))*GJ196</f>
        <v>0</v>
      </c>
      <c r="GV196" s="535">
        <f t="shared" si="395"/>
        <v>0</v>
      </c>
      <c r="GW196" s="535">
        <f t="shared" si="492"/>
        <v>1926.2836642942061</v>
      </c>
      <c r="GX196" s="974">
        <f t="shared" si="501"/>
        <v>627.86299357699022</v>
      </c>
      <c r="GY196" s="535"/>
      <c r="GZ196" s="535">
        <f t="shared" si="396"/>
        <v>0</v>
      </c>
      <c r="HA196" s="535" t="str">
        <f t="shared" si="397"/>
        <v/>
      </c>
      <c r="HB196" s="535">
        <f>IF(GK196="P",Lookup!$N$12,IF(GK196="PP",Lookup!$N$13,IF(GK196="PPP",Lookup!$N$14,IF(GK196="T",Lookup!$N$15,IF(GK196="TP",Lookup!$N$16,IF(GK196="TPP",Lookup!$N$17,IF(GK196="TPPP",Lookup!$N$18,0)))))))*GJ196</f>
        <v>0</v>
      </c>
      <c r="HC196" s="521">
        <f t="shared" si="493"/>
        <v>0</v>
      </c>
      <c r="HD196" s="535">
        <f t="shared" si="494"/>
        <v>1889.5471111111112</v>
      </c>
      <c r="HE196" s="535">
        <f t="shared" si="401"/>
        <v>615.88888888888891</v>
      </c>
      <c r="HF196" s="535"/>
      <c r="HG196" s="535">
        <f t="shared" si="398"/>
        <v>0</v>
      </c>
      <c r="HH196" s="535" t="str">
        <f t="shared" si="399"/>
        <v/>
      </c>
      <c r="HI196" s="535">
        <f>IF(GK196="P",Lookup!$N$12,IF(GK196="PP",Lookup!$N$13,IF(GK196="PPP",Lookup!$N$14,IF(GK196="T",Lookup!$N$15,IF(GK196="TP",Lookup!$N$16,IF(GK196="TPP",Lookup!$N$17,IF(GK196="TPPP",Lookup!$N$18,0)))))))*GJ196</f>
        <v>0</v>
      </c>
      <c r="HJ196" s="521">
        <f t="shared" si="495"/>
        <v>0</v>
      </c>
      <c r="HK196" s="535">
        <f t="shared" si="496"/>
        <v>1852.7311111111112</v>
      </c>
      <c r="HL196" s="535">
        <f t="shared" si="402"/>
        <v>603.88888888888891</v>
      </c>
      <c r="HM196" s="535"/>
      <c r="HN196" s="541"/>
      <c r="HO196" s="541"/>
      <c r="HP196" s="541"/>
      <c r="HQ196" s="541">
        <f>IF(AND(B196&gt;=$FV$4,B196&lt;=$FW$4),MAX(110/1.02+$HQ$6+MIN(113/1.02,G196),IF($HV$6-(Sheet1!DA194-Sheet1!DB194)+MIN(113/1.02,G196)&lt;G196+FL196,$HV$6-(Sheet1!DA194-Sheet1!DB194)+MIN(113/1.02,G196),G196+FL196)),MIN(110/1.02+$HQ$6+113/1.02,G196))</f>
        <v>218.62745098039215</v>
      </c>
      <c r="HR196" s="541">
        <f t="shared" si="421"/>
        <v>223</v>
      </c>
      <c r="HS196" s="541">
        <f>HR196+(Sheet1!DA194-Sheet1!DB194)</f>
        <v>415</v>
      </c>
      <c r="HT196" s="541">
        <f t="shared" si="422"/>
        <v>107.04838463696949</v>
      </c>
      <c r="HU196" s="541">
        <f t="shared" si="423"/>
        <v>307.9516153630305</v>
      </c>
      <c r="HV196" s="541">
        <f t="shared" si="424"/>
        <v>0</v>
      </c>
      <c r="HW196" s="541" t="str">
        <f t="shared" si="425"/>
        <v/>
      </c>
      <c r="HX196" s="541">
        <f t="shared" si="426"/>
        <v>192.50382966148788</v>
      </c>
      <c r="HY196" s="541">
        <f>Sheet1!CZ194</f>
        <v>439</v>
      </c>
      <c r="HZ196" s="541">
        <f t="shared" si="427"/>
        <v>27.868719358119961</v>
      </c>
      <c r="IA196" s="541">
        <f t="shared" si="428"/>
        <v>107.04838463696949</v>
      </c>
      <c r="IB196" s="541">
        <f t="shared" si="429"/>
        <v>411.13128064188004</v>
      </c>
      <c r="IC196" s="1019" t="str">
        <f t="shared" si="430"/>
        <v/>
      </c>
      <c r="ID196" s="541">
        <f t="shared" si="431"/>
        <v>304.08289600491054</v>
      </c>
      <c r="IE196" s="541">
        <f>Sheet1!DB194</f>
        <v>325</v>
      </c>
      <c r="IF196" s="533">
        <f>Sheet1!DA194</f>
        <v>517</v>
      </c>
      <c r="IH196" s="541">
        <f>IF(AND($B196&gt;=$GC196,$B196&lt;=$GH196,$DR196&lt;0)+N("only adjusted when pool is drawn down during storage season"),Sheet1!$DB194+$DR196+N("Palmer minus all storage release"),Sheet1!$DB194)</f>
        <v>262.92233988945031</v>
      </c>
      <c r="II196" s="541">
        <f>IF(AND($B196&gt;=$GC196,$B196&lt;=$GH196,$DR196&lt;0)+N("only adjusted when pool is drawn down during storage season"),Sheet1!$DA194+$DR196+N("Auburn minus all storage release"),Sheet1!$DA194)</f>
        <v>454.92233988945031</v>
      </c>
    </row>
    <row r="197" spans="1:243" x14ac:dyDescent="0.25">
      <c r="A197" s="553" t="s">
        <v>6</v>
      </c>
      <c r="B197" s="531">
        <v>42921</v>
      </c>
      <c r="C197" s="536">
        <v>0</v>
      </c>
      <c r="D197" s="506">
        <f t="shared" si="371"/>
        <v>300</v>
      </c>
      <c r="E197" s="506">
        <f t="shared" si="372"/>
        <v>250</v>
      </c>
      <c r="F197" s="506">
        <v>250</v>
      </c>
      <c r="G197" s="535">
        <f>DR197+Sheet1!CZ195</f>
        <v>358.7841654059506</v>
      </c>
      <c r="H197" s="1074">
        <f t="shared" si="405"/>
        <v>0</v>
      </c>
      <c r="I197" s="534">
        <f>IF(Sheet1!DA195&gt;=E197,(Sheet1!DA195-E197+P197)*CFStoMGD,0)</f>
        <v>247.51270079999998</v>
      </c>
      <c r="J197" s="995">
        <f>IF(Sheet1!DB195&gt;=D197,(Sheet1!DB195-D197+P197)*CFStoMGD,0)</f>
        <v>109.18310079999998</v>
      </c>
      <c r="K197" s="818">
        <f t="shared" si="406"/>
        <v>0</v>
      </c>
      <c r="L197" s="535">
        <f>Sheet1!AA195+Sheet1!AB195-Sheet1!L195+(Sheet1!DA195-F197)*CFStoMGD-S197-T197-U197</f>
        <v>229.56827603445365</v>
      </c>
      <c r="M197" s="535">
        <f t="shared" si="436"/>
        <v>236.55644620877462</v>
      </c>
      <c r="N197" s="824">
        <f>IF(Sheet1!DA195&gt;=F197,MIN(113*CFStoMGD,MIN(MAX(L197,0),MAX(M197,0))),0)</f>
        <v>73.043199999999999</v>
      </c>
      <c r="O197" s="538">
        <f>Sheet1!AA195+Sheet1!AB195</f>
        <v>88.5</v>
      </c>
      <c r="P197" s="538">
        <f t="shared" si="437"/>
        <v>136.90949999999998</v>
      </c>
      <c r="Q197" s="812">
        <f t="shared" si="407"/>
        <v>70.553876034453637</v>
      </c>
      <c r="R197" s="812">
        <f t="shared" si="373"/>
        <v>21.5</v>
      </c>
      <c r="S197" s="812">
        <f t="shared" si="374"/>
        <v>0</v>
      </c>
      <c r="T197" s="812">
        <f t="shared" si="375"/>
        <v>0</v>
      </c>
      <c r="U197" s="812">
        <f t="shared" si="408"/>
        <v>17.946123965546359</v>
      </c>
      <c r="V197" s="812"/>
      <c r="W197" s="812">
        <f t="shared" si="376"/>
        <v>0</v>
      </c>
      <c r="X197" s="812">
        <f t="shared" si="377"/>
        <v>0</v>
      </c>
      <c r="Y197" s="812" t="str">
        <f t="shared" si="378"/>
        <v>FALSE</v>
      </c>
      <c r="Z197" s="812">
        <f t="shared" si="379"/>
        <v>88.5</v>
      </c>
      <c r="AA197" s="812">
        <f t="shared" si="380"/>
        <v>88.5</v>
      </c>
      <c r="AB197" s="1059">
        <f t="shared" si="409"/>
        <v>109.14684622529977</v>
      </c>
      <c r="AC197" s="538">
        <f>Sheet1!Y195*MGDtoCFS</f>
        <v>46.874099999999999</v>
      </c>
      <c r="AD197" s="538">
        <f>Sheet1!Z195*MGDtoCFS</f>
        <v>87.977889999999988</v>
      </c>
      <c r="AE197" s="538">
        <f>Sheet1!AA195*MGDtoCFS</f>
        <v>45.636499999999998</v>
      </c>
      <c r="AF197" s="538">
        <f>Sheet1!AB195*MGDtoCFS</f>
        <v>91.272999999999996</v>
      </c>
      <c r="AG197" s="538">
        <f>Sheet1!L195*MGDtoCFS</f>
        <v>0</v>
      </c>
      <c r="AH197" s="521">
        <f t="shared" si="438"/>
        <v>21.512835669650396</v>
      </c>
      <c r="AI197" s="1059">
        <f t="shared" si="439"/>
        <v>33.280356780949162</v>
      </c>
      <c r="AJ197" s="535">
        <f t="shared" si="440"/>
        <v>0</v>
      </c>
      <c r="AK197" s="535">
        <f t="shared" si="441"/>
        <v>0</v>
      </c>
      <c r="AL197" s="535">
        <f>(VLOOKUP(Sheet1!DC195,hhdcap_wcm,4)-(((VLOOKUP(Sheet1!DC195,hhdcap_wcm,3)-Sheet1!DC195)/(VLOOKUP(Sheet1!DC195,hhdcap_wcm,3)-VLOOKUP(Sheet1!DC195,hhdcap_wcm,1)))*(VLOOKUP(Sheet1!DC195,hhdcap_wcm,4)-VLOOKUP(Sheet1!DC195,hhdcap_wcm,2))))</f>
        <v>47741.00000011587</v>
      </c>
      <c r="AM197" s="535">
        <f t="shared" si="442"/>
        <v>-167</v>
      </c>
      <c r="AN197" s="1035">
        <f t="shared" si="443"/>
        <v>3184.4612690184513</v>
      </c>
      <c r="AO197" s="535">
        <f t="shared" si="444"/>
        <v>9769.9271733486094</v>
      </c>
      <c r="AP197" s="535">
        <f>Sheet1!BA195+Sheet1!BB195+Sheet1!BN195+CD197</f>
        <v>41.2</v>
      </c>
      <c r="AQ197" s="535">
        <f>Sheet1!BN195+(DO197*Sheet1!BN195)</f>
        <v>41.053876034453637</v>
      </c>
      <c r="AR197" s="535">
        <f>Sheet1!BA195+CD197</f>
        <v>0</v>
      </c>
      <c r="AS197" s="535">
        <f>Sheet1!BA195+Sheet1!BB195+CD197</f>
        <v>0</v>
      </c>
      <c r="AT197" s="649">
        <f>0</f>
        <v>0</v>
      </c>
      <c r="AU197" s="974">
        <f>BA197+Sheet1!EH195</f>
        <v>3.5</v>
      </c>
      <c r="AV197" s="535">
        <f>IF(OR(B197&gt;=GD197,B197&lt;GC197),0,15/36*K197-MAX(0,64.6-(137.6-(Sheet1!AA195+Sheet1!AB195))))</f>
        <v>0</v>
      </c>
      <c r="AW197" s="1029"/>
      <c r="AX197" s="649"/>
      <c r="AY197" s="649">
        <f t="shared" si="410"/>
        <v>0</v>
      </c>
      <c r="AZ197" s="649">
        <f t="shared" si="411"/>
        <v>0</v>
      </c>
      <c r="BA197" s="1059">
        <f t="shared" si="412"/>
        <v>0</v>
      </c>
      <c r="BB197" s="1019">
        <f t="shared" si="445"/>
        <v>1354.8333333333335</v>
      </c>
      <c r="BC197" s="1041">
        <f t="shared" si="413"/>
        <v>0</v>
      </c>
      <c r="BD197" s="1019">
        <f ca="1">IF(B197&gt;(Summary!$A$1-1),#N/A,BB197*MGtoAF)</f>
        <v>4156.6286666666674</v>
      </c>
      <c r="BE197" s="535">
        <f>Sheet1!BG195+Sheet1!BH195+Sheet1!BI195-BM197</f>
        <v>2.02</v>
      </c>
      <c r="BF197" s="535">
        <f t="shared" si="446"/>
        <v>2.0128356696503968</v>
      </c>
      <c r="BG197" s="535">
        <f>IF(Sheet1!EP195="FM",BM197,0)</f>
        <v>0</v>
      </c>
      <c r="BH197" s="535">
        <f t="shared" si="447"/>
        <v>0</v>
      </c>
      <c r="BI197" s="535">
        <f>IF(Sheet1!EP195="OTHER",BM197,0)</f>
        <v>0</v>
      </c>
      <c r="BJ197" s="535">
        <f t="shared" si="448"/>
        <v>0</v>
      </c>
      <c r="BK197" s="535">
        <f t="shared" si="449"/>
        <v>2.02</v>
      </c>
      <c r="BL197" s="535">
        <f t="shared" si="450"/>
        <v>2.0128356696503968</v>
      </c>
      <c r="BM197" s="535">
        <f>IF(OR(Sheet1!EP195="FM", Sheet1!EP195="OTHER"),SUM(Sheet1!BG195:'Sheet1'!BI195),0)</f>
        <v>0</v>
      </c>
      <c r="BN197" s="521">
        <f>IF(AND($B197&gt;=$FV197,$B197&lt;=$FW197),MAX(BF197,Sheet1!EI195,0),MAX(BF197-(7/36)*$K197,0))</f>
        <v>2.0128356696503968</v>
      </c>
      <c r="BO197" s="535">
        <f t="shared" si="497"/>
        <v>0</v>
      </c>
      <c r="BP197" s="521">
        <f t="shared" si="452"/>
        <v>0</v>
      </c>
      <c r="BQ197" s="521">
        <f>IF(AND($O197&gt;0,Sheet1!EM195=1),(1-($O197-Sheet1!$L195)/$O197)*BL197,0)</f>
        <v>0</v>
      </c>
      <c r="BR197" s="521">
        <f>IF(AND(Sheet1!$L195=0,Sheet1!$L194=0, Calculation!BK197&lt;Sheet1!$EI195-0.1,Sheet1!$EI195=Sheet1!$EI194,Sheet1!$EI195=Sheet1!$EI196),BL197-BQ197,BL197-BQ197)</f>
        <v>2.0128356696503968</v>
      </c>
      <c r="BS197" s="1035" t="str">
        <f t="shared" si="414"/>
        <v/>
      </c>
      <c r="BT197" s="1035">
        <f t="shared" si="415"/>
        <v>0</v>
      </c>
      <c r="BU197" s="535">
        <f t="shared" si="453"/>
        <v>625.85015790733985</v>
      </c>
      <c r="BV197" s="535"/>
      <c r="BW197" s="535">
        <f ca="1">IF(B197&gt;(Summary!$A$1-1),#N/A,BU197*MGtoAF)</f>
        <v>1920.1082844597188</v>
      </c>
      <c r="BX197" s="535">
        <f>Sheet1!BC195+Sheet1!BD195+Sheet1!BE195+Sheet1!BF195-CG197-CH197</f>
        <v>6</v>
      </c>
      <c r="BY197" s="535">
        <f t="shared" si="454"/>
        <v>5.9787198108427626</v>
      </c>
      <c r="BZ197" s="535">
        <f>IF(Sheet1!EQ195="FM",CH197,0)</f>
        <v>0</v>
      </c>
      <c r="CA197" s="535">
        <f t="shared" si="455"/>
        <v>0</v>
      </c>
      <c r="CB197" s="535">
        <f>IF(Sheet1!EQ195="OTHER",CH197,0)</f>
        <v>0</v>
      </c>
      <c r="CC197" s="535">
        <f t="shared" si="456"/>
        <v>0</v>
      </c>
      <c r="CD197" s="535">
        <f t="shared" si="457"/>
        <v>0</v>
      </c>
      <c r="CE197" s="535">
        <f t="shared" si="458"/>
        <v>6</v>
      </c>
      <c r="CF197" s="535">
        <f t="shared" si="459"/>
        <v>5.9787198108427626</v>
      </c>
      <c r="CG197" s="535">
        <f>IF(Sheet1!EQ195="CWA",SUM(Sheet1!BC195:'Sheet1'!BF195),0)</f>
        <v>0</v>
      </c>
      <c r="CH197" s="535">
        <f>IF(OR(Sheet1!EQ195="FM", Sheet1!EQ195="OTHER"),SUM(Sheet1!BC195:'Sheet1'!BF195),0)</f>
        <v>0</v>
      </c>
      <c r="CI197" s="521">
        <f>IF(AND($B197&gt;=$FV197,$B197&lt;=$FW197),MAX(CF197,Sheet1!EJ195,0),MAX(CF197-(7/36)*$K197,0))</f>
        <v>6</v>
      </c>
      <c r="CJ197" s="535">
        <f t="shared" si="499"/>
        <v>0</v>
      </c>
      <c r="CK197" s="521">
        <f t="shared" si="461"/>
        <v>0</v>
      </c>
      <c r="CL197" s="521">
        <f>IF(AND($O197&gt;0,Sheet1!EN195=1),(1-($O197-Sheet1!$L195)/$O197)*CF197,0)</f>
        <v>0</v>
      </c>
      <c r="CM197" s="521">
        <f>IF(AND(Sheet1!$L195=0,Sheet1!$L194=0, Calculation!CE197&lt;Sheet1!EJ195-0.1,Sheet1!EJ195=Sheet1!EJ194,Sheet1!EJ195=Sheet1!EJ196),CF197-CL197,CF197-CL197)</f>
        <v>5.9787198108427626</v>
      </c>
      <c r="CN197" s="1040" t="str">
        <f t="shared" si="416"/>
        <v/>
      </c>
      <c r="CO197" s="1035">
        <f t="shared" si="417"/>
        <v>0</v>
      </c>
      <c r="CP197" s="535">
        <f t="shared" si="462"/>
        <v>609.88888888888891</v>
      </c>
      <c r="CQ197" s="535"/>
      <c r="CR197" s="535">
        <f ca="1">IF(B197&gt;(Summary!$A$1-1),#N/A,CP197*MGtoAF)</f>
        <v>1871.1391111111113</v>
      </c>
      <c r="CS197" s="535">
        <f>Sheet1!BK195+Sheet1!BL195+Sheet1!BM195-Sheet1!ER195-DA197</f>
        <v>9.99</v>
      </c>
      <c r="CT197" s="535">
        <f t="shared" si="463"/>
        <v>9.9545684850531995</v>
      </c>
      <c r="CU197" s="535">
        <f>IF(Sheet1!ER195="FM",DA197,0)</f>
        <v>0</v>
      </c>
      <c r="CV197" s="535">
        <f t="shared" si="464"/>
        <v>0</v>
      </c>
      <c r="CW197" s="535">
        <f>IF(Sheet1!ER195="OTHER",DA197,0)</f>
        <v>0</v>
      </c>
      <c r="CX197" s="535">
        <f t="shared" si="465"/>
        <v>0</v>
      </c>
      <c r="CY197" s="535">
        <f t="shared" si="466"/>
        <v>9.99</v>
      </c>
      <c r="CZ197" s="535">
        <f t="shared" si="467"/>
        <v>9.9545684850531995</v>
      </c>
      <c r="DA197" s="535">
        <f>IF(OR(Sheet1!ER195="FM", Sheet1!ER195="OTHER"),SUM(Sheet1!BK195:'Sheet1'!BM195),0)</f>
        <v>0</v>
      </c>
      <c r="DB197" s="1011">
        <f>IF(AND($B197&gt;=$FV197,$B197&lt;=$FW197),MAX($CT197,Sheet1!EK195,0),MAX($CT197-(7/36)*$K197,0))</f>
        <v>10</v>
      </c>
      <c r="DC197" s="1012">
        <f t="shared" si="498"/>
        <v>0</v>
      </c>
      <c r="DD197" s="1011">
        <f t="shared" si="469"/>
        <v>0</v>
      </c>
      <c r="DE197" s="521">
        <f>IF(AND($O197&gt;0,Sheet1!EO195=1),(1-($O197-Sheet1!$L195)/$O197)*CZ197,0)</f>
        <v>0</v>
      </c>
      <c r="DF197" s="521">
        <f>IF(AND(Sheet1!$L195=0,Sheet1!$L194=0, Calculation!CY197&lt;Sheet1!$EK195-0.1,Sheet1!$EK195=Sheet1!$EK194,Sheet1!$EK195=Sheet1!$EK196),CZ197-DE197,CZ197-DE197)</f>
        <v>9.9545684850531995</v>
      </c>
      <c r="DG197" s="1040">
        <f t="shared" si="418"/>
        <v>0</v>
      </c>
      <c r="DH197" s="649">
        <f t="shared" si="470"/>
        <v>18.009999999999998</v>
      </c>
      <c r="DI197" s="535">
        <f t="shared" si="471"/>
        <v>593.88888888888891</v>
      </c>
      <c r="DJ197" s="649">
        <f t="shared" si="472"/>
        <v>17.946123965546359</v>
      </c>
      <c r="DK197" s="535">
        <f ca="1">IF(B197&gt;(Summary!$A$1-1),#N/A,DI197*MGtoAF)</f>
        <v>1822.0511111111111</v>
      </c>
      <c r="DL197" s="649">
        <f t="shared" si="473"/>
        <v>18.010000000000002</v>
      </c>
      <c r="DM197" s="535">
        <f t="shared" si="474"/>
        <v>59.210000000000008</v>
      </c>
      <c r="DN197" s="535">
        <f>Sheet1!AB195-DM197</f>
        <v>-0.21000000000000796</v>
      </c>
      <c r="DO197" s="743">
        <f t="shared" si="475"/>
        <v>-3.5466981928729594E-3</v>
      </c>
      <c r="DP197" s="535">
        <f>(VLOOKUP(Sheet1!DC195,hhdcap_wcm,4)-(((VLOOKUP(Sheet1!DC195,hhdcap_wcm,3)-Sheet1!DC195)/(VLOOKUP(Sheet1!DC195,hhdcap_wcm,3)-VLOOKUP(Sheet1!DC195,hhdcap_wcm,1)))*(VLOOKUP(Sheet1!DC195,hhdcap_wcm,4)-VLOOKUP(Sheet1!DC195,hhdcap_wcm,2))))</f>
        <v>47741.00000011587</v>
      </c>
      <c r="DQ197" s="535">
        <f t="shared" si="476"/>
        <v>-167</v>
      </c>
      <c r="DR197" s="535">
        <f t="shared" si="477"/>
        <v>-84.215834594049412</v>
      </c>
      <c r="DS197" s="535">
        <f>Sheet1!EA195*AFtoMG</f>
        <v>0</v>
      </c>
      <c r="DT197" s="535">
        <f>Sheet1!EB195*AFtoMG</f>
        <v>0</v>
      </c>
      <c r="DU197" s="535">
        <f>Sheet1!EC195*AFtoMG</f>
        <v>0</v>
      </c>
      <c r="DV197" s="535">
        <f>Sheet1!ED195*AFtoMG</f>
        <v>0</v>
      </c>
      <c r="DW197" s="535">
        <f t="shared" si="478"/>
        <v>0</v>
      </c>
      <c r="DX197" s="535">
        <f t="shared" si="479"/>
        <v>0</v>
      </c>
      <c r="DY197" s="535">
        <f t="shared" si="480"/>
        <v>3184.4612690184513</v>
      </c>
      <c r="DZ197" s="535">
        <f t="shared" si="481"/>
        <v>9769.9271733486094</v>
      </c>
      <c r="EA197" s="535"/>
      <c r="EB197" s="521">
        <f>IF(OR(B197&lt;FV197,B197&gt;FW197),(MIN(BF197+BY197+CT197+MAX(Sheet1!AA195+AQ197-73,0),K197)),0)</f>
        <v>0</v>
      </c>
      <c r="EC197" s="535"/>
      <c r="ED197" s="535">
        <f t="shared" si="482"/>
        <v>17.946123965546359</v>
      </c>
      <c r="EE197" s="535"/>
      <c r="EF197" s="535">
        <f>Sheet1!EH195+Sheet1!EI195+Sheet1!EJ195+Sheet1!EK195</f>
        <v>21.5</v>
      </c>
      <c r="EG197" s="1019">
        <f t="shared" si="419"/>
        <v>33.2605</v>
      </c>
      <c r="EH197" s="521">
        <f t="shared" si="483"/>
        <v>0</v>
      </c>
      <c r="EI197" s="535">
        <f>IF(Sheet1!ET195=1,SUM('Calculations II'!AT197:BA197)+'Calculations II'!BC197+Sheet1!BV195+'Calculations II'!BE197+AP197,'Calculations II'!BK197)</f>
        <v>72.660006034453644</v>
      </c>
      <c r="EJ197" s="535">
        <f ca="1">EI197+'Calculations II'!D197+'Calculations II'!E197+'Calculations II'!O197</f>
        <v>72.707352577815826</v>
      </c>
      <c r="EK197" s="535"/>
      <c r="EL197" s="535"/>
      <c r="EM197" s="535">
        <f t="shared" si="484"/>
        <v>42921</v>
      </c>
      <c r="EN197" s="535">
        <f t="shared" si="485"/>
        <v>-21.512835669650396</v>
      </c>
      <c r="EO197" s="535">
        <f t="shared" si="486"/>
        <v>-33.280356780949162</v>
      </c>
      <c r="EP197" s="535">
        <v>0</v>
      </c>
      <c r="EQ197" s="535">
        <v>0</v>
      </c>
      <c r="ER197" s="535">
        <v>0</v>
      </c>
      <c r="ES197" s="521">
        <f t="shared" si="381"/>
        <v>1.3854950664713754</v>
      </c>
      <c r="ET197" s="535">
        <f>-(VLOOKUP(Sheet1!BQ195,Lookup!$O$4:$Q$262,2)-VLOOKUP(Sheet1!BQ194,Lookup!$O$4:$Q$262,2))/1000000</f>
        <v>0.55410572707746919</v>
      </c>
      <c r="EU197" s="535">
        <f>-(VLOOKUP(Sheet1!BR195,Lookup!$O$4:$Q$262,3)-VLOOKUP(Sheet1!BR194,Lookup!$O$4:$Q$262,3))/1000000</f>
        <v>0.83138933939390625</v>
      </c>
      <c r="EV197" s="535"/>
      <c r="EW197" s="535"/>
      <c r="EX197" s="535"/>
      <c r="EY197" s="535">
        <f t="shared" si="502"/>
        <v>-111.97848836874962</v>
      </c>
      <c r="EZ197" s="535"/>
      <c r="FA197" s="535"/>
      <c r="FB197" s="535"/>
      <c r="FC197" s="535"/>
      <c r="FD197" s="567">
        <f t="shared" si="504"/>
        <v>1139.8739726026597</v>
      </c>
      <c r="FE197" s="567" t="e">
        <f t="shared" si="488"/>
        <v>#N/A</v>
      </c>
      <c r="FF197" s="568" t="e">
        <f t="shared" si="489"/>
        <v>#N/A</v>
      </c>
      <c r="FG197" s="569" t="s">
        <v>656</v>
      </c>
      <c r="FH197" s="569" t="s">
        <v>656</v>
      </c>
      <c r="FI197" s="567" t="e">
        <v>#N/A</v>
      </c>
      <c r="FJ197" s="725">
        <v>23164</v>
      </c>
      <c r="FK197" s="535"/>
      <c r="FL197" s="1015">
        <f t="shared" si="503"/>
        <v>42.360060514372158</v>
      </c>
      <c r="FM197" s="535"/>
      <c r="FN197" s="535"/>
      <c r="FO197" s="535">
        <f>O197+((Sheet1!CS195)*GPMtoMGD)</f>
        <v>88.5</v>
      </c>
      <c r="FP197" s="535">
        <f>IF(Sheet1!AA195+AQ197&lt;=Calculation!N197,AQ197,Calculation!N197-Sheet1!AA195)</f>
        <v>41.053876034453637</v>
      </c>
      <c r="FQ197" s="535">
        <f>(Sheet1!BP195+Sheet1!BO195)/694.4</f>
        <v>4.5005760368663603</v>
      </c>
      <c r="FR197" s="541"/>
      <c r="FS197" s="541"/>
      <c r="FT197" s="541"/>
      <c r="FU197" s="541"/>
      <c r="FV197" s="1109">
        <f t="shared" si="382"/>
        <v>42918</v>
      </c>
      <c r="FW197" s="1109">
        <f t="shared" si="383"/>
        <v>43027</v>
      </c>
      <c r="FX197" s="541"/>
      <c r="FY197" s="541">
        <f>Sheet1!DA195-Sheet1!CZ195-Sheet1!AE195</f>
        <v>-83.90949999999998</v>
      </c>
      <c r="FZ197" s="535">
        <f t="shared" si="420"/>
        <v>-0.23387180397178225</v>
      </c>
      <c r="GA197" s="535"/>
      <c r="GB197" s="535" t="str">
        <f t="shared" si="384"/>
        <v>n</v>
      </c>
      <c r="GC197" s="539">
        <f t="shared" si="385"/>
        <v>42782</v>
      </c>
      <c r="GD197" s="1109">
        <f t="shared" si="386"/>
        <v>42904</v>
      </c>
      <c r="GE197" s="535">
        <f t="shared" si="404"/>
        <v>6520</v>
      </c>
      <c r="GF197" s="1109">
        <f t="shared" si="387"/>
        <v>42909</v>
      </c>
      <c r="GG197" s="535">
        <f t="shared" si="432"/>
        <v>3260</v>
      </c>
      <c r="GH197" s="539">
        <f t="shared" si="388"/>
        <v>43040</v>
      </c>
      <c r="GJ197" s="521">
        <f t="shared" si="389"/>
        <v>0</v>
      </c>
      <c r="GK197" s="535" t="str">
        <f t="shared" si="490"/>
        <v/>
      </c>
      <c r="GL197" s="535">
        <f t="shared" si="390"/>
        <v>0</v>
      </c>
      <c r="GM197" s="535" t="str">
        <f t="shared" si="391"/>
        <v/>
      </c>
      <c r="GN197" s="535">
        <f>IF(GK197="P",Lookup!$M$12,IF(GK197="PP",Lookup!$M$13,IF(GK197="PPP",Lookup!$M$14,IF(GK197="T",Lookup!$M$15,IF(GK197="TP",Lookup!$M$16,IF(GK197="TPP",Lookup!$M$17,IF(GK197="TPPP",Lookup!$M$18,0)))))))*GJ197</f>
        <v>0</v>
      </c>
      <c r="GO197" s="535">
        <f t="shared" si="392"/>
        <v>0</v>
      </c>
      <c r="GP197" s="535">
        <f t="shared" si="491"/>
        <v>4156.6286666666674</v>
      </c>
      <c r="GQ197" s="974">
        <f t="shared" si="500"/>
        <v>1354.8333333333335</v>
      </c>
      <c r="GR197" s="535"/>
      <c r="GS197" s="535">
        <f t="shared" si="393"/>
        <v>0</v>
      </c>
      <c r="GT197" s="535" t="str">
        <f t="shared" si="394"/>
        <v/>
      </c>
      <c r="GU197" s="535">
        <f>IF(GK197="P",Lookup!$N$12,IF(GK197="PP",Lookup!$N$13,IF(GK197="PPP",Lookup!$N$14,IF(GK197="T",Lookup!$N$15,IF(GK197="TP",Lookup!$N$16,IF(GK197="TPP",Lookup!$N$17,IF(GK197="TPPP",Lookup!$N$18,0)))))))*GJ197</f>
        <v>0</v>
      </c>
      <c r="GV197" s="535">
        <f t="shared" si="395"/>
        <v>0</v>
      </c>
      <c r="GW197" s="535">
        <f t="shared" si="492"/>
        <v>1920.1082844597188</v>
      </c>
      <c r="GX197" s="974">
        <f t="shared" si="501"/>
        <v>625.85015790733985</v>
      </c>
      <c r="GY197" s="535"/>
      <c r="GZ197" s="535">
        <f t="shared" si="396"/>
        <v>0</v>
      </c>
      <c r="HA197" s="535" t="str">
        <f t="shared" si="397"/>
        <v/>
      </c>
      <c r="HB197" s="535">
        <f>IF(GK197="P",Lookup!$N$12,IF(GK197="PP",Lookup!$N$13,IF(GK197="PPP",Lookup!$N$14,IF(GK197="T",Lookup!$N$15,IF(GK197="TP",Lookup!$N$16,IF(GK197="TPP",Lookup!$N$17,IF(GK197="TPPP",Lookup!$N$18,0)))))))*GJ197</f>
        <v>0</v>
      </c>
      <c r="HC197" s="521">
        <f t="shared" si="493"/>
        <v>0</v>
      </c>
      <c r="HD197" s="535">
        <f t="shared" si="494"/>
        <v>1871.1391111111113</v>
      </c>
      <c r="HE197" s="535">
        <f t="shared" si="401"/>
        <v>609.88888888888891</v>
      </c>
      <c r="HF197" s="535"/>
      <c r="HG197" s="535">
        <f t="shared" si="398"/>
        <v>0</v>
      </c>
      <c r="HH197" s="535" t="str">
        <f t="shared" si="399"/>
        <v/>
      </c>
      <c r="HI197" s="535">
        <f>IF(GK197="P",Lookup!$N$12,IF(GK197="PP",Lookup!$N$13,IF(GK197="PPP",Lookup!$N$14,IF(GK197="T",Lookup!$N$15,IF(GK197="TP",Lookup!$N$16,IF(GK197="TPP",Lookup!$N$17,IF(GK197="TPPP",Lookup!$N$18,0)))))))*GJ197</f>
        <v>0</v>
      </c>
      <c r="HJ197" s="521">
        <f t="shared" si="495"/>
        <v>0</v>
      </c>
      <c r="HK197" s="535">
        <f t="shared" si="496"/>
        <v>1822.0511111111111</v>
      </c>
      <c r="HL197" s="535">
        <f t="shared" si="402"/>
        <v>593.88888888888891</v>
      </c>
      <c r="HM197" s="535"/>
      <c r="HN197" s="541"/>
      <c r="HO197" s="541"/>
      <c r="HP197" s="541"/>
      <c r="HQ197" s="541">
        <f>IF(AND(B197&gt;=$FV$4,B197&lt;=$FW$4),MAX(110/1.02+$HQ$6+MIN(113/1.02,G197),IF($HV$6-(Sheet1!DA195-Sheet1!DB195)+MIN(113/1.02,G197)&lt;G197+FL197,$HV$6-(Sheet1!DA195-Sheet1!DB195)+MIN(113/1.02,G197),G197+FL197)),MIN(110/1.02+$HQ$6+113/1.02,G197))</f>
        <v>218.62745098039215</v>
      </c>
      <c r="HR197" s="541">
        <f t="shared" si="421"/>
        <v>223</v>
      </c>
      <c r="HS197" s="541">
        <f>HR197+(Sheet1!DA195-Sheet1!DB195)</f>
        <v>387</v>
      </c>
      <c r="HT197" s="541">
        <f t="shared" si="422"/>
        <v>109.14684622529977</v>
      </c>
      <c r="HU197" s="541">
        <f t="shared" si="423"/>
        <v>277.85315377470022</v>
      </c>
      <c r="HV197" s="541">
        <f t="shared" si="424"/>
        <v>0</v>
      </c>
      <c r="HW197" s="541" t="str">
        <f t="shared" si="425"/>
        <v/>
      </c>
      <c r="HX197" s="541">
        <f t="shared" si="426"/>
        <v>191.0921922386587</v>
      </c>
      <c r="HY197" s="541">
        <f>Sheet1!CZ195</f>
        <v>443</v>
      </c>
      <c r="HZ197" s="541">
        <f t="shared" si="427"/>
        <v>33.280356780949162</v>
      </c>
      <c r="IA197" s="541">
        <f t="shared" si="428"/>
        <v>109.14684622529977</v>
      </c>
      <c r="IB197" s="541">
        <f t="shared" si="429"/>
        <v>409.71964321905085</v>
      </c>
      <c r="IC197" s="1019" t="str">
        <f t="shared" si="430"/>
        <v/>
      </c>
      <c r="ID197" s="541">
        <f t="shared" si="431"/>
        <v>300.57279699375107</v>
      </c>
      <c r="IE197" s="541">
        <f>Sheet1!DB195</f>
        <v>332</v>
      </c>
      <c r="IF197" s="533">
        <f>Sheet1!DA195</f>
        <v>496</v>
      </c>
      <c r="IH197" s="541">
        <f>IF(AND($B197&gt;=$GC197,$B197&lt;=$GH197,$DR197&lt;0)+N("only adjusted when pool is drawn down during storage season"),Sheet1!$DB195+$DR197+N("Palmer minus all storage release"),Sheet1!$DB195)</f>
        <v>247.7841654059506</v>
      </c>
      <c r="II197" s="541">
        <f>IF(AND($B197&gt;=$GC197,$B197&lt;=$GH197,$DR197&lt;0)+N("only adjusted when pool is drawn down during storage season"),Sheet1!$DA195+$DR197+N("Auburn minus all storage release"),Sheet1!$DA195)</f>
        <v>411.7841654059506</v>
      </c>
    </row>
    <row r="198" spans="1:243" x14ac:dyDescent="0.25">
      <c r="A198" s="553" t="s">
        <v>7</v>
      </c>
      <c r="B198" s="531">
        <v>42922</v>
      </c>
      <c r="C198" s="536">
        <v>0</v>
      </c>
      <c r="D198" s="506">
        <f t="shared" si="371"/>
        <v>300</v>
      </c>
      <c r="E198" s="506">
        <f t="shared" si="372"/>
        <v>250</v>
      </c>
      <c r="F198" s="506">
        <v>250</v>
      </c>
      <c r="G198" s="535">
        <f>DR198+Sheet1!CZ196</f>
        <v>353.13615733724066</v>
      </c>
      <c r="H198" s="1074">
        <f t="shared" ref="H198:H205" si="505">MIN(IF($II198&gt;=$E198,($II198-$E198+$P198)*CFStoMGD,0),IF($IH198&gt;=$D198,($IH198-$D198+$P198)*CFStoMGD,0))</f>
        <v>0</v>
      </c>
      <c r="I198" s="534">
        <f>IF(Sheet1!DA196&gt;=E198,(Sheet1!DA196-E198+P198)*CFStoMGD,0)</f>
        <v>249.91265471999998</v>
      </c>
      <c r="J198" s="995">
        <f>IF(Sheet1!DB196&gt;=D198,(Sheet1!DB196-D198+P198)*CFStoMGD,0)</f>
        <v>108.35105471999999</v>
      </c>
      <c r="K198" s="818">
        <f t="shared" si="406"/>
        <v>0</v>
      </c>
      <c r="L198" s="535">
        <f>Sheet1!AA196+Sheet1!AB196-Sheet1!L196+(Sheet1!DA196-F198)*CFStoMGD-S198-T198-U198</f>
        <v>231.7005111111111</v>
      </c>
      <c r="M198" s="535">
        <f t="shared" si="436"/>
        <v>232.83255634484823</v>
      </c>
      <c r="N198" s="824">
        <f>IF(Sheet1!DA196&gt;=F198,MIN(113*CFStoMGD,MIN(MAX(L198,0),MAX(M198,0))),0)</f>
        <v>73.043199999999999</v>
      </c>
      <c r="O198" s="538">
        <f>Sheet1!AA196+Sheet1!AB196</f>
        <v>90.9</v>
      </c>
      <c r="P198" s="538">
        <f t="shared" si="437"/>
        <v>140.6223</v>
      </c>
      <c r="Q198" s="812">
        <f t="shared" si="407"/>
        <v>72.686111111111117</v>
      </c>
      <c r="R198" s="812">
        <f t="shared" si="373"/>
        <v>21.5</v>
      </c>
      <c r="S198" s="812">
        <f t="shared" si="374"/>
        <v>0</v>
      </c>
      <c r="T198" s="812">
        <f t="shared" si="375"/>
        <v>0</v>
      </c>
      <c r="U198" s="812">
        <f t="shared" si="408"/>
        <v>18.213888888888889</v>
      </c>
      <c r="V198" s="812"/>
      <c r="W198" s="812">
        <f t="shared" si="376"/>
        <v>0</v>
      </c>
      <c r="X198" s="812">
        <f t="shared" si="377"/>
        <v>0</v>
      </c>
      <c r="Y198" s="812" t="str">
        <f t="shared" si="378"/>
        <v>FALSE</v>
      </c>
      <c r="Z198" s="812">
        <f t="shared" si="379"/>
        <v>90.9</v>
      </c>
      <c r="AA198" s="812">
        <f t="shared" si="380"/>
        <v>90.9</v>
      </c>
      <c r="AB198" s="1059">
        <f t="shared" si="409"/>
        <v>112.44541388888889</v>
      </c>
      <c r="AC198" s="538">
        <f>Sheet1!Y196*MGDtoCFS</f>
        <v>45.636499999999998</v>
      </c>
      <c r="AD198" s="538">
        <f>Sheet1!Z196*MGDtoCFS</f>
        <v>91.272999999999996</v>
      </c>
      <c r="AE198" s="538">
        <f>Sheet1!AA196*MGDtoCFS</f>
        <v>42.851899999999993</v>
      </c>
      <c r="AF198" s="538">
        <f>Sheet1!AB196*MGDtoCFS</f>
        <v>97.770399999999995</v>
      </c>
      <c r="AG198" s="538">
        <f>Sheet1!L196*MGDtoCFS</f>
        <v>0</v>
      </c>
      <c r="AH198" s="521">
        <f t="shared" si="438"/>
        <v>21.75429292929293</v>
      </c>
      <c r="AI198" s="1059">
        <f t="shared" si="439"/>
        <v>33.653891161616158</v>
      </c>
      <c r="AJ198" s="535">
        <f t="shared" si="440"/>
        <v>0</v>
      </c>
      <c r="AK198" s="535">
        <f t="shared" si="441"/>
        <v>0</v>
      </c>
      <c r="AL198" s="535">
        <f>(VLOOKUP(Sheet1!DC196,hhdcap_wcm,4)-(((VLOOKUP(Sheet1!DC196,hhdcap_wcm,3)-Sheet1!DC196)/(VLOOKUP(Sheet1!DC196,hhdcap_wcm,3)-VLOOKUP(Sheet1!DC196,hhdcap_wcm,1)))*(VLOOKUP(Sheet1!DC196,hhdcap_wcm,4)-VLOOKUP(Sheet1!DC196,hhdcap_wcm,2))))</f>
        <v>47562.800000115618</v>
      </c>
      <c r="AM198" s="535">
        <f t="shared" si="442"/>
        <v>-178.20000000025175</v>
      </c>
      <c r="AN198" s="1035">
        <f t="shared" si="443"/>
        <v>3162.7069760891582</v>
      </c>
      <c r="AO198" s="535">
        <f t="shared" si="444"/>
        <v>9703.1850026415377</v>
      </c>
      <c r="AP198" s="535">
        <f>Sheet1!BA196+Sheet1!BB196+Sheet1!BN196+CD198</f>
        <v>45.1</v>
      </c>
      <c r="AQ198" s="535">
        <f>Sheet1!BN196+(DO198*Sheet1!BN196)</f>
        <v>44.986111111111114</v>
      </c>
      <c r="AR198" s="535">
        <f>Sheet1!BA196+CD198</f>
        <v>0</v>
      </c>
      <c r="AS198" s="535">
        <f>Sheet1!BA196+Sheet1!BB196+CD198</f>
        <v>0</v>
      </c>
      <c r="AT198" s="649">
        <f>0</f>
        <v>0</v>
      </c>
      <c r="AU198" s="974">
        <f>BA198+Sheet1!EH196</f>
        <v>3.5</v>
      </c>
      <c r="AV198" s="535">
        <f>IF(OR(B198&gt;=GD198,B198&lt;GC198),0,15/36*K198-MAX(0,64.6-(137.6-(Sheet1!AA196+Sheet1!AB196))))</f>
        <v>0</v>
      </c>
      <c r="AW198" s="1029"/>
      <c r="AX198" s="649"/>
      <c r="AY198" s="649">
        <f t="shared" si="410"/>
        <v>0</v>
      </c>
      <c r="AZ198" s="649">
        <f t="shared" si="411"/>
        <v>0</v>
      </c>
      <c r="BA198" s="1059">
        <f t="shared" si="412"/>
        <v>0</v>
      </c>
      <c r="BB198" s="1019">
        <f t="shared" si="445"/>
        <v>1351.3333333333335</v>
      </c>
      <c r="BC198" s="1041">
        <f t="shared" si="413"/>
        <v>0</v>
      </c>
      <c r="BD198" s="1019">
        <f ca="1">IF(B198&gt;(Summary!$A$1-1),#N/A,BB198*MGtoAF)</f>
        <v>4145.8906666666671</v>
      </c>
      <c r="BE198" s="535">
        <f>Sheet1!BG196+Sheet1!BH196+Sheet1!BI196-BM198</f>
        <v>2.2599999999999998</v>
      </c>
      <c r="BF198" s="535">
        <f t="shared" si="446"/>
        <v>2.2542929292929292</v>
      </c>
      <c r="BG198" s="535">
        <f>IF(Sheet1!EP196="FM",BM198,0)</f>
        <v>0</v>
      </c>
      <c r="BH198" s="535">
        <f t="shared" si="447"/>
        <v>0</v>
      </c>
      <c r="BI198" s="535">
        <f>IF(Sheet1!EP196="OTHER",BM198,0)</f>
        <v>0</v>
      </c>
      <c r="BJ198" s="535">
        <f t="shared" si="448"/>
        <v>0</v>
      </c>
      <c r="BK198" s="535">
        <f t="shared" si="449"/>
        <v>2.2599999999999998</v>
      </c>
      <c r="BL198" s="535">
        <f t="shared" si="450"/>
        <v>2.2542929292929292</v>
      </c>
      <c r="BM198" s="535">
        <f>IF(OR(Sheet1!EP196="FM", Sheet1!EP196="OTHER"),SUM(Sheet1!BG196:'Sheet1'!BI196),0)</f>
        <v>0</v>
      </c>
      <c r="BN198" s="521">
        <f>IF(AND($B198&gt;=$FV198,$B198&lt;=$FW198),MAX(BF198,Sheet1!EI196,0),MAX(BF198-(7/36)*$K198,0))</f>
        <v>2.2542929292929292</v>
      </c>
      <c r="BO198" s="535">
        <f t="shared" si="497"/>
        <v>0</v>
      </c>
      <c r="BP198" s="521">
        <f t="shared" si="452"/>
        <v>0</v>
      </c>
      <c r="BQ198" s="521">
        <f>IF(AND($O198&gt;0,Sheet1!EM196=1),(1-($O198-Sheet1!$L196)/$O198)*BL198,0)</f>
        <v>0</v>
      </c>
      <c r="BR198" s="521">
        <f>IF(AND(Sheet1!$L196=0,Sheet1!$L195=0, Calculation!BK198&lt;Sheet1!$EI196-0.1,Sheet1!$EI196=Sheet1!$EI195,Sheet1!$EI196=Sheet1!$EI197),BL198-BQ198,BL198-BQ198)</f>
        <v>2.2542929292929292</v>
      </c>
      <c r="BS198" s="1035" t="str">
        <f t="shared" si="414"/>
        <v/>
      </c>
      <c r="BT198" s="1035">
        <f t="shared" si="415"/>
        <v>0</v>
      </c>
      <c r="BU198" s="535">
        <f t="shared" si="453"/>
        <v>623.59586497804696</v>
      </c>
      <c r="BV198" s="535"/>
      <c r="BW198" s="535">
        <f ca="1">IF(B198&gt;(Summary!$A$1-1),#N/A,BU198*MGtoAF)</f>
        <v>1913.1921137526481</v>
      </c>
      <c r="BX198" s="535">
        <f>Sheet1!BC196+Sheet1!BD196+Sheet1!BE196+Sheet1!BF196-CG198-CH198</f>
        <v>5.99</v>
      </c>
      <c r="BY198" s="535">
        <f t="shared" si="454"/>
        <v>5.9748737373737377</v>
      </c>
      <c r="BZ198" s="535">
        <f>IF(Sheet1!EQ196="FM",CH198,0)</f>
        <v>0</v>
      </c>
      <c r="CA198" s="535">
        <f t="shared" si="455"/>
        <v>0</v>
      </c>
      <c r="CB198" s="535">
        <f>IF(Sheet1!EQ196="OTHER",CH198,0)</f>
        <v>0</v>
      </c>
      <c r="CC198" s="535">
        <f t="shared" si="456"/>
        <v>0</v>
      </c>
      <c r="CD198" s="535">
        <f t="shared" si="457"/>
        <v>0</v>
      </c>
      <c r="CE198" s="535">
        <f t="shared" si="458"/>
        <v>5.99</v>
      </c>
      <c r="CF198" s="535">
        <f t="shared" si="459"/>
        <v>5.9748737373737377</v>
      </c>
      <c r="CG198" s="535">
        <f>IF(Sheet1!EQ196="CWA",SUM(Sheet1!BC196:'Sheet1'!BF196),0)</f>
        <v>0</v>
      </c>
      <c r="CH198" s="535">
        <f>IF(OR(Sheet1!EQ196="FM", Sheet1!EQ196="OTHER"),SUM(Sheet1!BC196:'Sheet1'!BF196),0)</f>
        <v>0</v>
      </c>
      <c r="CI198" s="521">
        <f>IF(AND($B198&gt;=$FV198,$B198&lt;=$FW198),MAX(CF198,Sheet1!EJ196,0),MAX(CF198-(7/36)*$K198,0))</f>
        <v>6</v>
      </c>
      <c r="CJ198" s="535">
        <f t="shared" si="499"/>
        <v>0</v>
      </c>
      <c r="CK198" s="521">
        <f t="shared" si="461"/>
        <v>0</v>
      </c>
      <c r="CL198" s="521">
        <f>IF(AND($O198&gt;0,Sheet1!EN196=1),(1-($O198-Sheet1!$L196)/$O198)*CF198,0)</f>
        <v>0</v>
      </c>
      <c r="CM198" s="521">
        <f>IF(AND(Sheet1!$L196=0,Sheet1!$L195=0, Calculation!CE198&lt;Sheet1!EJ196-0.1,Sheet1!EJ196=Sheet1!EJ195,Sheet1!EJ196=Sheet1!EJ197),CF198-CL198,CF198-CL198)</f>
        <v>5.9748737373737377</v>
      </c>
      <c r="CN198" s="1040" t="str">
        <f t="shared" si="416"/>
        <v/>
      </c>
      <c r="CO198" s="1035">
        <f t="shared" si="417"/>
        <v>0</v>
      </c>
      <c r="CP198" s="535">
        <f t="shared" si="462"/>
        <v>603.88888888888891</v>
      </c>
      <c r="CQ198" s="535"/>
      <c r="CR198" s="535">
        <f ca="1">IF(B198&gt;(Summary!$A$1-1),#N/A,CP198*MGtoAF)</f>
        <v>1852.7311111111112</v>
      </c>
      <c r="CS198" s="535">
        <f>Sheet1!BK196+Sheet1!BL196+Sheet1!BM196-Sheet1!ER196-DA198</f>
        <v>10.01</v>
      </c>
      <c r="CT198" s="535">
        <f t="shared" si="463"/>
        <v>9.9847222222222225</v>
      </c>
      <c r="CU198" s="535">
        <f>IF(Sheet1!ER196="FM",DA198,0)</f>
        <v>0</v>
      </c>
      <c r="CV198" s="535">
        <f t="shared" si="464"/>
        <v>0</v>
      </c>
      <c r="CW198" s="535">
        <f>IF(Sheet1!ER196="OTHER",DA198,0)</f>
        <v>0</v>
      </c>
      <c r="CX198" s="535">
        <f t="shared" si="465"/>
        <v>0</v>
      </c>
      <c r="CY198" s="535">
        <f t="shared" si="466"/>
        <v>10.01</v>
      </c>
      <c r="CZ198" s="535">
        <f t="shared" si="467"/>
        <v>9.9847222222222225</v>
      </c>
      <c r="DA198" s="535">
        <f>IF(OR(Sheet1!ER196="FM", Sheet1!ER196="OTHER"),SUM(Sheet1!BK196:'Sheet1'!BM196),0)</f>
        <v>0</v>
      </c>
      <c r="DB198" s="1011">
        <f>IF(AND($B198&gt;=$FV198,$B198&lt;=$FW198),MAX($CT198,Sheet1!EK196,0),MAX($CT198-(7/36)*$K198,0))</f>
        <v>10</v>
      </c>
      <c r="DC198" s="1012">
        <f t="shared" si="498"/>
        <v>0</v>
      </c>
      <c r="DD198" s="1011">
        <f t="shared" si="469"/>
        <v>0</v>
      </c>
      <c r="DE198" s="521">
        <f>IF(AND($O198&gt;0,Sheet1!EO196=1),(1-($O198-Sheet1!$L196)/$O198)*CZ198,0)</f>
        <v>0</v>
      </c>
      <c r="DF198" s="521">
        <f>IF(AND(Sheet1!$L196=0,Sheet1!$L195=0, Calculation!CY198&lt;Sheet1!$EK196-0.1,Sheet1!$EK196=Sheet1!$EK195,Sheet1!$EK196=Sheet1!$EK197),CZ198-DE198,CZ198-DE198)</f>
        <v>9.9847222222222225</v>
      </c>
      <c r="DG198" s="1040">
        <f t="shared" si="418"/>
        <v>0</v>
      </c>
      <c r="DH198" s="649">
        <f t="shared" si="470"/>
        <v>18.259999999999998</v>
      </c>
      <c r="DI198" s="535">
        <f t="shared" si="471"/>
        <v>583.88888888888891</v>
      </c>
      <c r="DJ198" s="649">
        <f t="shared" si="472"/>
        <v>18.213888888888889</v>
      </c>
      <c r="DK198" s="535">
        <f ca="1">IF(B198&gt;(Summary!$A$1-1),#N/A,DI198*MGtoAF)</f>
        <v>1791.3711111111113</v>
      </c>
      <c r="DL198" s="649">
        <f t="shared" si="473"/>
        <v>18.259999999999998</v>
      </c>
      <c r="DM198" s="535">
        <f t="shared" si="474"/>
        <v>63.36</v>
      </c>
      <c r="DN198" s="535">
        <f>Sheet1!AB196-DM198</f>
        <v>-0.15999999999999659</v>
      </c>
      <c r="DO198" s="743">
        <f t="shared" si="475"/>
        <v>-2.5252525252524713E-3</v>
      </c>
      <c r="DP198" s="535">
        <f>(VLOOKUP(Sheet1!DC196,hhdcap_wcm,4)-(((VLOOKUP(Sheet1!DC196,hhdcap_wcm,3)-Sheet1!DC196)/(VLOOKUP(Sheet1!DC196,hhdcap_wcm,3)-VLOOKUP(Sheet1!DC196,hhdcap_wcm,1)))*(VLOOKUP(Sheet1!DC196,hhdcap_wcm,4)-VLOOKUP(Sheet1!DC196,hhdcap_wcm,2))))</f>
        <v>47562.800000115618</v>
      </c>
      <c r="DQ198" s="535">
        <f t="shared" si="476"/>
        <v>-178.20000000025175</v>
      </c>
      <c r="DR198" s="535">
        <f t="shared" si="477"/>
        <v>-89.863842662759311</v>
      </c>
      <c r="DS198" s="535">
        <f>Sheet1!EA196*AFtoMG</f>
        <v>0</v>
      </c>
      <c r="DT198" s="535">
        <f>Sheet1!EB196*AFtoMG</f>
        <v>0</v>
      </c>
      <c r="DU198" s="535">
        <f>Sheet1!EC196*AFtoMG</f>
        <v>0</v>
      </c>
      <c r="DV198" s="535">
        <f>Sheet1!ED196*AFtoMG</f>
        <v>0</v>
      </c>
      <c r="DW198" s="535">
        <f t="shared" si="478"/>
        <v>0</v>
      </c>
      <c r="DX198" s="535">
        <f t="shared" si="479"/>
        <v>0</v>
      </c>
      <c r="DY198" s="535">
        <f t="shared" si="480"/>
        <v>3162.7069760891582</v>
      </c>
      <c r="DZ198" s="535">
        <f t="shared" si="481"/>
        <v>9703.1850026415377</v>
      </c>
      <c r="EA198" s="535"/>
      <c r="EB198" s="521">
        <f>IF(OR(B198&lt;FV198,B198&gt;FW198),(MIN(BF198+BY198+CT198+MAX(Sheet1!AA196+AQ198-73,0),K198)),0)</f>
        <v>0</v>
      </c>
      <c r="EC198" s="535"/>
      <c r="ED198" s="535">
        <f t="shared" si="482"/>
        <v>18.213888888888889</v>
      </c>
      <c r="EE198" s="535"/>
      <c r="EF198" s="535">
        <f>Sheet1!EH196+Sheet1!EI196+Sheet1!EJ196+Sheet1!EK196</f>
        <v>21.5</v>
      </c>
      <c r="EG198" s="1019">
        <f t="shared" si="419"/>
        <v>33.2605</v>
      </c>
      <c r="EH198" s="521">
        <f t="shared" si="483"/>
        <v>0</v>
      </c>
      <c r="EI198" s="535">
        <f>IF(Sheet1!ET196=1,SUM('Calculations II'!AT198:BA198)+'Calculations II'!BC198+Sheet1!BV196+'Calculations II'!BE198+AP198,'Calculations II'!BK198)</f>
        <v>75.210781111111118</v>
      </c>
      <c r="EJ198" s="535">
        <f ca="1">EI198+'Calculations II'!D198+'Calculations II'!E198+'Calculations II'!O198</f>
        <v>73.611393104537967</v>
      </c>
      <c r="EK198" s="535"/>
      <c r="EL198" s="535"/>
      <c r="EM198" s="535">
        <f t="shared" si="484"/>
        <v>42922</v>
      </c>
      <c r="EN198" s="535">
        <f t="shared" si="485"/>
        <v>-21.75429292929293</v>
      </c>
      <c r="EO198" s="535">
        <f t="shared" si="486"/>
        <v>-33.653891161616158</v>
      </c>
      <c r="EP198" s="535">
        <v>0</v>
      </c>
      <c r="EQ198" s="535">
        <v>0</v>
      </c>
      <c r="ER198" s="535">
        <v>0</v>
      </c>
      <c r="ES198" s="521">
        <f t="shared" si="381"/>
        <v>1.6620864665965178</v>
      </c>
      <c r="ET198" s="535">
        <f>-(VLOOKUP(Sheet1!BQ196,Lookup!$O$4:$Q$262,2)-VLOOKUP(Sheet1!BQ195,Lookup!$O$4:$Q$262,2))/1000000</f>
        <v>0.96943828431932255</v>
      </c>
      <c r="EU198" s="535">
        <f>-(VLOOKUP(Sheet1!BR196,Lookup!$O$4:$Q$262,3)-VLOOKUP(Sheet1!BR195,Lookup!$O$4:$Q$262,3))/1000000</f>
        <v>0.69264818227719516</v>
      </c>
      <c r="EV198" s="535"/>
      <c r="EW198" s="535"/>
      <c r="EX198" s="535"/>
      <c r="EY198" s="535">
        <f t="shared" si="502"/>
        <v>-118.04072877387043</v>
      </c>
      <c r="EZ198" s="535"/>
      <c r="FA198" s="535"/>
      <c r="FB198" s="535"/>
      <c r="FC198" s="535"/>
      <c r="FD198" s="567">
        <f t="shared" si="504"/>
        <v>1139.7589041095093</v>
      </c>
      <c r="FE198" s="567" t="e">
        <f t="shared" si="488"/>
        <v>#N/A</v>
      </c>
      <c r="FF198" s="568" t="e">
        <f t="shared" si="489"/>
        <v>#N/A</v>
      </c>
      <c r="FG198" s="569" t="s">
        <v>656</v>
      </c>
      <c r="FH198" s="569" t="s">
        <v>656</v>
      </c>
      <c r="FI198" s="567" t="e">
        <v>#N/A</v>
      </c>
      <c r="FJ198" s="725">
        <v>23080</v>
      </c>
      <c r="FK198" s="535"/>
      <c r="FL198" s="1015">
        <f t="shared" si="503"/>
        <v>42.360060514372158</v>
      </c>
      <c r="FM198" s="535"/>
      <c r="FN198" s="535"/>
      <c r="FO198" s="535">
        <f>O198+((Sheet1!CS196)*GPMtoMGD)</f>
        <v>90.9</v>
      </c>
      <c r="FP198" s="535">
        <f>IF(Sheet1!AA196+AQ198&lt;=Calculation!N198,AQ198,Calculation!N198-Sheet1!AA196)</f>
        <v>44.986111111111114</v>
      </c>
      <c r="FQ198" s="535">
        <f>(Sheet1!BP196+Sheet1!BO196)/694.4</f>
        <v>3.7370391705069124</v>
      </c>
      <c r="FR198" s="541"/>
      <c r="FS198" s="541"/>
      <c r="FT198" s="541"/>
      <c r="FU198" s="541"/>
      <c r="FV198" s="1109">
        <f t="shared" si="382"/>
        <v>42918</v>
      </c>
      <c r="FW198" s="1109">
        <f t="shared" si="383"/>
        <v>43027</v>
      </c>
      <c r="FX198" s="541"/>
      <c r="FY198" s="541">
        <f>Sheet1!DA196-Sheet1!CZ196-Sheet1!AE196</f>
        <v>-87.622299999999996</v>
      </c>
      <c r="FZ198" s="535">
        <f t="shared" si="420"/>
        <v>-0.24812610711035682</v>
      </c>
      <c r="GA198" s="535"/>
      <c r="GB198" s="535" t="str">
        <f t="shared" si="384"/>
        <v>n</v>
      </c>
      <c r="GC198" s="539">
        <f t="shared" si="385"/>
        <v>42782</v>
      </c>
      <c r="GD198" s="1109">
        <f t="shared" si="386"/>
        <v>42904</v>
      </c>
      <c r="GE198" s="535">
        <f t="shared" si="404"/>
        <v>6520</v>
      </c>
      <c r="GF198" s="1109">
        <f t="shared" si="387"/>
        <v>42909</v>
      </c>
      <c r="GG198" s="535">
        <f t="shared" si="432"/>
        <v>3260</v>
      </c>
      <c r="GH198" s="539">
        <f t="shared" si="388"/>
        <v>43040</v>
      </c>
      <c r="GJ198" s="521">
        <f t="shared" si="389"/>
        <v>0</v>
      </c>
      <c r="GK198" s="535" t="str">
        <f t="shared" si="490"/>
        <v/>
      </c>
      <c r="GL198" s="535">
        <f t="shared" si="390"/>
        <v>0</v>
      </c>
      <c r="GM198" s="535" t="str">
        <f t="shared" si="391"/>
        <v/>
      </c>
      <c r="GN198" s="535">
        <f>IF(GK198="P",Lookup!$M$12,IF(GK198="PP",Lookup!$M$13,IF(GK198="PPP",Lookup!$M$14,IF(GK198="T",Lookup!$M$15,IF(GK198="TP",Lookup!$M$16,IF(GK198="TPP",Lookup!$M$17,IF(GK198="TPPP",Lookup!$M$18,0)))))))*GJ198</f>
        <v>0</v>
      </c>
      <c r="GO198" s="535">
        <f t="shared" si="392"/>
        <v>0</v>
      </c>
      <c r="GP198" s="535">
        <f t="shared" si="491"/>
        <v>4145.8906666666671</v>
      </c>
      <c r="GQ198" s="974">
        <f t="shared" si="500"/>
        <v>1351.3333333333335</v>
      </c>
      <c r="GR198" s="535"/>
      <c r="GS198" s="535">
        <f t="shared" si="393"/>
        <v>0</v>
      </c>
      <c r="GT198" s="535" t="str">
        <f t="shared" si="394"/>
        <v/>
      </c>
      <c r="GU198" s="535">
        <f>IF(GK198="P",Lookup!$N$12,IF(GK198="PP",Lookup!$N$13,IF(GK198="PPP",Lookup!$N$14,IF(GK198="T",Lookup!$N$15,IF(GK198="TP",Lookup!$N$16,IF(GK198="TPP",Lookup!$N$17,IF(GK198="TPPP",Lookup!$N$18,0)))))))*GJ198</f>
        <v>0</v>
      </c>
      <c r="GV198" s="535">
        <f t="shared" si="395"/>
        <v>0</v>
      </c>
      <c r="GW198" s="535">
        <f t="shared" si="492"/>
        <v>1913.1921137526481</v>
      </c>
      <c r="GX198" s="974">
        <f t="shared" si="501"/>
        <v>623.59586497804696</v>
      </c>
      <c r="GY198" s="535"/>
      <c r="GZ198" s="535">
        <f t="shared" si="396"/>
        <v>0</v>
      </c>
      <c r="HA198" s="535" t="str">
        <f t="shared" si="397"/>
        <v/>
      </c>
      <c r="HB198" s="535">
        <f>IF(GK198="P",Lookup!$N$12,IF(GK198="PP",Lookup!$N$13,IF(GK198="PPP",Lookup!$N$14,IF(GK198="T",Lookup!$N$15,IF(GK198="TP",Lookup!$N$16,IF(GK198="TPP",Lookup!$N$17,IF(GK198="TPPP",Lookup!$N$18,0)))))))*GJ198</f>
        <v>0</v>
      </c>
      <c r="HC198" s="521">
        <f t="shared" si="493"/>
        <v>0</v>
      </c>
      <c r="HD198" s="535">
        <f t="shared" si="494"/>
        <v>1852.7311111111112</v>
      </c>
      <c r="HE198" s="535">
        <f t="shared" si="401"/>
        <v>603.88888888888891</v>
      </c>
      <c r="HF198" s="535"/>
      <c r="HG198" s="535">
        <f t="shared" si="398"/>
        <v>0</v>
      </c>
      <c r="HH198" s="535" t="str">
        <f t="shared" si="399"/>
        <v/>
      </c>
      <c r="HI198" s="535">
        <f>IF(GK198="P",Lookup!$N$12,IF(GK198="PP",Lookup!$N$13,IF(GK198="PPP",Lookup!$N$14,IF(GK198="T",Lookup!$N$15,IF(GK198="TP",Lookup!$N$16,IF(GK198="TPP",Lookup!$N$17,IF(GK198="TPPP",Lookup!$N$18,0)))))))*GJ198</f>
        <v>0</v>
      </c>
      <c r="HJ198" s="521">
        <f t="shared" si="495"/>
        <v>0</v>
      </c>
      <c r="HK198" s="535">
        <f t="shared" si="496"/>
        <v>1791.3711111111113</v>
      </c>
      <c r="HL198" s="535">
        <f t="shared" si="402"/>
        <v>583.88888888888891</v>
      </c>
      <c r="HM198" s="535"/>
      <c r="HN198" s="541"/>
      <c r="HO198" s="541"/>
      <c r="HP198" s="541"/>
      <c r="HQ198" s="541">
        <f>IF(AND(B198&gt;=$FV$4,B198&lt;=$FW$4),MAX(110/1.02+$HQ$6+MIN(113/1.02,G198),IF($HV$6-(Sheet1!DA196-Sheet1!DB196)+MIN(113/1.02,G198)&lt;G198+FL198,$HV$6-(Sheet1!DA196-Sheet1!DB196)+MIN(113/1.02,G198),G198+FL198)),MIN(110/1.02+$HQ$6+113/1.02,G198))</f>
        <v>218.62745098039215</v>
      </c>
      <c r="HR198" s="541">
        <f t="shared" si="421"/>
        <v>223</v>
      </c>
      <c r="HS198" s="541">
        <f>HR198+(Sheet1!DA196-Sheet1!DB196)</f>
        <v>392</v>
      </c>
      <c r="HT198" s="541">
        <f t="shared" si="422"/>
        <v>112.44541388888889</v>
      </c>
      <c r="HU198" s="541">
        <f t="shared" si="423"/>
        <v>279.55458611111112</v>
      </c>
      <c r="HV198" s="541">
        <f t="shared" si="424"/>
        <v>0</v>
      </c>
      <c r="HW198" s="541" t="str">
        <f t="shared" si="425"/>
        <v/>
      </c>
      <c r="HX198" s="541">
        <f t="shared" si="426"/>
        <v>190.71865785799167</v>
      </c>
      <c r="HY198" s="541">
        <f>Sheet1!CZ196</f>
        <v>443</v>
      </c>
      <c r="HZ198" s="541">
        <f t="shared" si="427"/>
        <v>33.653891161616158</v>
      </c>
      <c r="IA198" s="541">
        <f t="shared" si="428"/>
        <v>112.44541388888889</v>
      </c>
      <c r="IB198" s="541">
        <f t="shared" si="429"/>
        <v>409.34610883838383</v>
      </c>
      <c r="IC198" s="1019" t="str">
        <f t="shared" si="430"/>
        <v/>
      </c>
      <c r="ID198" s="541">
        <f t="shared" si="431"/>
        <v>296.90069494949495</v>
      </c>
      <c r="IE198" s="541">
        <f>Sheet1!DB196</f>
        <v>327</v>
      </c>
      <c r="IF198" s="533">
        <f>Sheet1!DA196</f>
        <v>496</v>
      </c>
      <c r="IH198" s="541">
        <f>IF(AND($B198&gt;=$GC198,$B198&lt;=$GH198,$DR198&lt;0)+N("only adjusted when pool is drawn down during storage season"),Sheet1!$DB196+$DR198+N("Palmer minus all storage release"),Sheet1!$DB196)</f>
        <v>237.13615733724069</v>
      </c>
      <c r="II198" s="541">
        <f>IF(AND($B198&gt;=$GC198,$B198&lt;=$GH198,$DR198&lt;0)+N("only adjusted when pool is drawn down during storage season"),Sheet1!$DA196+$DR198+N("Auburn minus all storage release"),Sheet1!$DA196)</f>
        <v>406.13615733724066</v>
      </c>
    </row>
    <row r="199" spans="1:243" x14ac:dyDescent="0.25">
      <c r="A199" s="553" t="s">
        <v>8</v>
      </c>
      <c r="B199" s="531">
        <v>42923</v>
      </c>
      <c r="C199" s="536">
        <v>0</v>
      </c>
      <c r="D199" s="506">
        <f t="shared" si="371"/>
        <v>300</v>
      </c>
      <c r="E199" s="506">
        <f t="shared" si="372"/>
        <v>250</v>
      </c>
      <c r="F199" s="506">
        <v>250</v>
      </c>
      <c r="G199" s="535">
        <f>DR199+Sheet1!CZ197</f>
        <v>312.98487140630971</v>
      </c>
      <c r="H199" s="1074">
        <f t="shared" si="505"/>
        <v>0</v>
      </c>
      <c r="I199" s="534">
        <f>IF(Sheet1!DA197&gt;=E199,(Sheet1!DA197-E199+P199)*CFStoMGD,0)</f>
        <v>233.76418003199998</v>
      </c>
      <c r="J199" s="995">
        <f>IF(Sheet1!DB197&gt;=D199,(Sheet1!DB197-D199+P199)*CFStoMGD,0)</f>
        <v>0</v>
      </c>
      <c r="K199" s="818">
        <f t="shared" si="406"/>
        <v>0</v>
      </c>
      <c r="L199" s="535">
        <f>Sheet1!AA197+Sheet1!AB197-Sheet1!L197+(Sheet1!DA197-F199)*CFStoMGD-S199-T199-U199</f>
        <v>212.61864327839103</v>
      </c>
      <c r="M199" s="535">
        <f t="shared" si="436"/>
        <v>206.35968929457937</v>
      </c>
      <c r="N199" s="824">
        <f>IF(Sheet1!DA197&gt;=F199,MIN(113*CFStoMGD,MIN(MAX(L199,0),MAX(M199,0))),0)</f>
        <v>73.043199999999999</v>
      </c>
      <c r="O199" s="538">
        <f>Sheet1!AA197+Sheet1!AB197</f>
        <v>94.789999999999992</v>
      </c>
      <c r="P199" s="538">
        <f t="shared" si="437"/>
        <v>146.64013</v>
      </c>
      <c r="Q199" s="812">
        <f t="shared" si="407"/>
        <v>73.043199999999999</v>
      </c>
      <c r="R199" s="812">
        <f t="shared" si="373"/>
        <v>21.5</v>
      </c>
      <c r="S199" s="812">
        <f t="shared" si="374"/>
        <v>0</v>
      </c>
      <c r="T199" s="812">
        <f t="shared" si="375"/>
        <v>0</v>
      </c>
      <c r="U199" s="812">
        <f>IF(AND(B199&gt;=FV199,B199&lt;=FW199),ED199+Sheet1!EH197,0)</f>
        <v>21.147356721608954</v>
      </c>
      <c r="V199" s="812"/>
      <c r="W199" s="812">
        <f t="shared" si="376"/>
        <v>0</v>
      </c>
      <c r="X199" s="812">
        <f t="shared" si="377"/>
        <v>0</v>
      </c>
      <c r="Y199" s="812" t="str">
        <f t="shared" si="378"/>
        <v>FALSE</v>
      </c>
      <c r="Z199" s="812">
        <f t="shared" si="379"/>
        <v>94.789999999999992</v>
      </c>
      <c r="AA199" s="812">
        <f t="shared" si="380"/>
        <v>94.190556721608957</v>
      </c>
      <c r="AB199" s="1059">
        <f t="shared" si="409"/>
        <v>112.9978304</v>
      </c>
      <c r="AC199" s="538">
        <f>Sheet1!Y197*MGDtoCFS</f>
        <v>42.851899999999993</v>
      </c>
      <c r="AD199" s="538">
        <f>Sheet1!Z197*MGDtoCFS</f>
        <v>97.770399999999995</v>
      </c>
      <c r="AE199" s="538">
        <f>Sheet1!AA197*MGDtoCFS</f>
        <v>44.244199999999999</v>
      </c>
      <c r="AF199" s="538">
        <f>Sheet1!AB197*MGDtoCFS</f>
        <v>102.39592999999999</v>
      </c>
      <c r="AG199" s="538">
        <f>Sheet1!L197*MGDtoCFS</f>
        <v>0</v>
      </c>
      <c r="AH199" s="521">
        <f t="shared" si="438"/>
        <v>21.522286405564799</v>
      </c>
      <c r="AI199" s="1059">
        <f t="shared" si="439"/>
        <v>33.294977069408745</v>
      </c>
      <c r="AJ199" s="535">
        <f t="shared" si="440"/>
        <v>0</v>
      </c>
      <c r="AK199" s="535">
        <f t="shared" si="441"/>
        <v>0</v>
      </c>
      <c r="AL199" s="535">
        <f>(VLOOKUP(Sheet1!DC197,hhdcap_wcm,4)-(((VLOOKUP(Sheet1!DC197,hhdcap_wcm,3)-Sheet1!DC197)/(VLOOKUP(Sheet1!DC197,hhdcap_wcm,3)-VLOOKUP(Sheet1!DC197,hhdcap_wcm,1)))*(VLOOKUP(Sheet1!DC197,hhdcap_wcm,4)-VLOOKUP(Sheet1!DC197,hhdcap_wcm,2))))</f>
        <v>47384.30000011433</v>
      </c>
      <c r="AM199" s="535">
        <f t="shared" si="442"/>
        <v>-178.50000000128784</v>
      </c>
      <c r="AN199" s="1035">
        <f t="shared" si="443"/>
        <v>3141.1846896835932</v>
      </c>
      <c r="AO199" s="535">
        <f t="shared" si="444"/>
        <v>9637.154627949265</v>
      </c>
      <c r="AP199" s="535">
        <f>Sheet1!BA197+Sheet1!BB197+Sheet1!BN197+CD199</f>
        <v>47</v>
      </c>
      <c r="AQ199" s="535">
        <f>Sheet1!BN197+(DO199*Sheet1!BN197)</f>
        <v>47.042643278391047</v>
      </c>
      <c r="AR199" s="535">
        <f>Sheet1!BA197+CD199</f>
        <v>0</v>
      </c>
      <c r="AS199" s="535">
        <f>Sheet1!BA197+Sheet1!BB197+CD199</f>
        <v>0</v>
      </c>
      <c r="AT199" s="649">
        <v>0</v>
      </c>
      <c r="AU199" s="974">
        <f>BA199+Sheet1!EH197</f>
        <v>2</v>
      </c>
      <c r="AV199" s="535">
        <f>IF(OR(B199&gt;=GD199,B199&lt;GC199),0,15/36*K199-MAX(0,64.6-(137.6-(Sheet1!AA197+Sheet1!AB197))))</f>
        <v>0</v>
      </c>
      <c r="AW199" s="1029"/>
      <c r="AX199" s="649"/>
      <c r="AY199" s="649">
        <f t="shared" si="410"/>
        <v>0</v>
      </c>
      <c r="AZ199" s="649">
        <f t="shared" si="411"/>
        <v>0</v>
      </c>
      <c r="BA199" s="1059">
        <f t="shared" si="412"/>
        <v>0</v>
      </c>
      <c r="BB199" s="1019">
        <f t="shared" si="445"/>
        <v>1349.3333333333335</v>
      </c>
      <c r="BC199" s="1041">
        <f t="shared" si="413"/>
        <v>0</v>
      </c>
      <c r="BD199" s="1019">
        <f ca="1">IF(B199&gt;(Summary!$A$1-1),#N/A,BB199*MGtoAF)</f>
        <v>4139.7546666666676</v>
      </c>
      <c r="BE199" s="535">
        <f>Sheet1!BG197+Sheet1!BH197+Sheet1!BI197-BM199</f>
        <v>2.52</v>
      </c>
      <c r="BF199" s="535">
        <f t="shared" si="446"/>
        <v>2.5222864055647967</v>
      </c>
      <c r="BG199" s="535">
        <f>IF(Sheet1!EP197="FM",BM199,0)</f>
        <v>0</v>
      </c>
      <c r="BH199" s="535">
        <f t="shared" si="447"/>
        <v>0</v>
      </c>
      <c r="BI199" s="535">
        <f>IF(Sheet1!EP197="OTHER",BM199,0)</f>
        <v>0</v>
      </c>
      <c r="BJ199" s="535">
        <f t="shared" si="448"/>
        <v>0</v>
      </c>
      <c r="BK199" s="535">
        <f t="shared" si="449"/>
        <v>2.52</v>
      </c>
      <c r="BL199" s="535">
        <f t="shared" si="450"/>
        <v>2.5222864055647967</v>
      </c>
      <c r="BM199" s="535">
        <f>IF(OR(Sheet1!EP197="FM", Sheet1!EP197="OTHER"),SUM(Sheet1!BG197:'Sheet1'!BI197),0)</f>
        <v>0</v>
      </c>
      <c r="BN199" s="521">
        <f>IF(AND($B199&gt;=$FV199,$B199&lt;=$FW199),MAX(BF199,Sheet1!EI197,0),MAX(BF199-(7/36)*$K199,0))</f>
        <v>2.5222864055647967</v>
      </c>
      <c r="BO199" s="535">
        <f t="shared" si="497"/>
        <v>0</v>
      </c>
      <c r="BP199" s="521">
        <f t="shared" si="452"/>
        <v>0</v>
      </c>
      <c r="BQ199" s="521">
        <f>IF(AND($O199&gt;0,Sheet1!EM197=1),(1-($O199-Sheet1!$L197)/$O199)*BL199,0)</f>
        <v>0</v>
      </c>
      <c r="BR199" s="521">
        <f>IF(AND(Sheet1!$L197=0,Sheet1!$L196=0, Calculation!BK199&lt;Sheet1!$EI197-0.1,Sheet1!$EI197=Sheet1!$EI196,Sheet1!$EI197=Sheet1!$EI198),BL199-BQ199,BL199-BQ199)</f>
        <v>2.5222864055647967</v>
      </c>
      <c r="BS199" s="1035" t="str">
        <f t="shared" si="414"/>
        <v/>
      </c>
      <c r="BT199" s="1035">
        <f t="shared" si="415"/>
        <v>0</v>
      </c>
      <c r="BU199" s="535">
        <f t="shared" si="453"/>
        <v>621.07357857248212</v>
      </c>
      <c r="BV199" s="535"/>
      <c r="BW199" s="535">
        <f ca="1">IF(B199&gt;(Summary!$A$1-1),#N/A,BU199*MGtoAF)</f>
        <v>1905.4537390603753</v>
      </c>
      <c r="BX199" s="535">
        <f>Sheet1!BC197+Sheet1!BD197+Sheet1!BE197+Sheet1!BF197-CG199-CH199</f>
        <v>6.29</v>
      </c>
      <c r="BY199" s="535">
        <f t="shared" si="454"/>
        <v>6.2957069408740365</v>
      </c>
      <c r="BZ199" s="535">
        <f>IF(Sheet1!EQ197="FM",CH199,0)</f>
        <v>0</v>
      </c>
      <c r="CA199" s="535">
        <f t="shared" si="455"/>
        <v>0</v>
      </c>
      <c r="CB199" s="535">
        <f>IF(Sheet1!EQ197="OTHER",CH199,0)</f>
        <v>0</v>
      </c>
      <c r="CC199" s="535">
        <f t="shared" si="456"/>
        <v>0</v>
      </c>
      <c r="CD199" s="535">
        <f t="shared" si="457"/>
        <v>0</v>
      </c>
      <c r="CE199" s="535">
        <f t="shared" si="458"/>
        <v>6.29</v>
      </c>
      <c r="CF199" s="535">
        <f t="shared" si="459"/>
        <v>6.2957069408740365</v>
      </c>
      <c r="CG199" s="535">
        <f>IF(Sheet1!EQ197="CWA",SUM(Sheet1!BC197:'Sheet1'!BF197),0)</f>
        <v>0</v>
      </c>
      <c r="CH199" s="535">
        <f>IF(OR(Sheet1!EQ197="FM", Sheet1!EQ197="OTHER"),SUM(Sheet1!BC197:'Sheet1'!BF197),0)</f>
        <v>0</v>
      </c>
      <c r="CI199" s="521">
        <f>IF(AND($B199&gt;=$FV199,$B199&lt;=$FW199),MAX(CF199,Sheet1!EJ197,0),MAX(CF199-(7/36)*$K199,0))</f>
        <v>6.5</v>
      </c>
      <c r="CJ199" s="535">
        <f t="shared" si="499"/>
        <v>0</v>
      </c>
      <c r="CK199" s="521">
        <f t="shared" si="461"/>
        <v>0</v>
      </c>
      <c r="CL199" s="521">
        <f>IF(AND($O199&gt;0,Sheet1!EN197=1),(1-($O199-Sheet1!$L197)/$O199)*CF199,0)</f>
        <v>0</v>
      </c>
      <c r="CM199" s="521">
        <f>IF(AND(Sheet1!$L197=0,Sheet1!$L196=0, Calculation!CE199&lt;Sheet1!EJ197-0.1,Sheet1!EJ197=Sheet1!EJ196,Sheet1!EJ197=Sheet1!EJ198),CF199-CL199,CF199-CL199)</f>
        <v>6.2957069408740365</v>
      </c>
      <c r="CN199" s="1040" t="str">
        <f t="shared" si="416"/>
        <v/>
      </c>
      <c r="CO199" s="1035">
        <f t="shared" si="417"/>
        <v>0</v>
      </c>
      <c r="CP199" s="535">
        <f t="shared" si="462"/>
        <v>597.38888888888891</v>
      </c>
      <c r="CQ199" s="535"/>
      <c r="CR199" s="535">
        <f ca="1">IF(B199&gt;(Summary!$A$1-1),#N/A,CP199*MGtoAF)</f>
        <v>1832.7891111111112</v>
      </c>
      <c r="CS199" s="535">
        <f>Sheet1!BK197+Sheet1!BL197+Sheet1!BM197-Sheet1!ER197-DA199</f>
        <v>10.32</v>
      </c>
      <c r="CT199" s="535">
        <f t="shared" si="463"/>
        <v>10.32936337517012</v>
      </c>
      <c r="CU199" s="535">
        <f>IF(Sheet1!ER197="FM",DA199,0)</f>
        <v>0</v>
      </c>
      <c r="CV199" s="535">
        <f t="shared" si="464"/>
        <v>0</v>
      </c>
      <c r="CW199" s="535">
        <f>IF(Sheet1!ER197="OTHER",DA199,0)</f>
        <v>0</v>
      </c>
      <c r="CX199" s="535">
        <f t="shared" si="465"/>
        <v>0</v>
      </c>
      <c r="CY199" s="535">
        <f t="shared" si="466"/>
        <v>10.32</v>
      </c>
      <c r="CZ199" s="535">
        <f t="shared" si="467"/>
        <v>10.32936337517012</v>
      </c>
      <c r="DA199" s="535">
        <f>IF(OR(Sheet1!ER197="FM", Sheet1!ER197="OTHER"),SUM(Sheet1!BK197:'Sheet1'!BM197),0)</f>
        <v>0</v>
      </c>
      <c r="DB199" s="1011">
        <f>IF(AND($B199&gt;=$FV199,$B199&lt;=$FW199),MAX($CT199,Sheet1!EK197,0),MAX($CT199-(7/36)*$K199,0))</f>
        <v>10.5</v>
      </c>
      <c r="DC199" s="1012">
        <f t="shared" si="498"/>
        <v>0</v>
      </c>
      <c r="DD199" s="1011">
        <f t="shared" si="469"/>
        <v>0</v>
      </c>
      <c r="DE199" s="521">
        <f>IF(AND($O199&gt;0,Sheet1!EO197=1),(1-($O199-Sheet1!$L197)/$O199)*CZ199,0)</f>
        <v>0</v>
      </c>
      <c r="DF199" s="521">
        <f>IF(AND(Sheet1!$L197=0,Sheet1!$L196=0, Calculation!CY199&lt;Sheet1!$EK197-0.1,Sheet1!$EK197=Sheet1!$EK196,Sheet1!$EK197=Sheet1!$EK198),CZ199-DE199,CZ199-DE199)</f>
        <v>10.32936337517012</v>
      </c>
      <c r="DG199" s="1040">
        <f t="shared" si="418"/>
        <v>0</v>
      </c>
      <c r="DH199" s="649">
        <f t="shared" si="470"/>
        <v>19.130000000000003</v>
      </c>
      <c r="DI199" s="535">
        <f t="shared" si="471"/>
        <v>573.38888888888891</v>
      </c>
      <c r="DJ199" s="649">
        <f t="shared" si="472"/>
        <v>19.147356721608951</v>
      </c>
      <c r="DK199" s="535">
        <f ca="1">IF(B199&gt;(Summary!$A$1-1),#N/A,DI199*MGtoAF)</f>
        <v>1759.1571111111111</v>
      </c>
      <c r="DL199" s="649">
        <f t="shared" si="473"/>
        <v>19.13</v>
      </c>
      <c r="DM199" s="535">
        <f t="shared" si="474"/>
        <v>66.13</v>
      </c>
      <c r="DN199" s="535">
        <f>Sheet1!AB197-DM199</f>
        <v>6.0000000000002274E-2</v>
      </c>
      <c r="DO199" s="743">
        <f t="shared" si="475"/>
        <v>9.0730379555424589E-4</v>
      </c>
      <c r="DP199" s="535">
        <f>(VLOOKUP(Sheet1!DC197,hhdcap_wcm,4)-(((VLOOKUP(Sheet1!DC197,hhdcap_wcm,3)-Sheet1!DC197)/(VLOOKUP(Sheet1!DC197,hhdcap_wcm,3)-VLOOKUP(Sheet1!DC197,hhdcap_wcm,1)))*(VLOOKUP(Sheet1!DC197,hhdcap_wcm,4)-VLOOKUP(Sheet1!DC197,hhdcap_wcm,2))))</f>
        <v>47384.30000011433</v>
      </c>
      <c r="DQ199" s="535">
        <f t="shared" si="476"/>
        <v>-178.50000000128784</v>
      </c>
      <c r="DR199" s="535">
        <f t="shared" si="477"/>
        <v>-90.015128593690278</v>
      </c>
      <c r="DS199" s="535">
        <f>Sheet1!EA197*AFtoMG</f>
        <v>0</v>
      </c>
      <c r="DT199" s="535">
        <f>Sheet1!EB197*AFtoMG</f>
        <v>0</v>
      </c>
      <c r="DU199" s="535">
        <f>Sheet1!EC197*AFtoMG</f>
        <v>0</v>
      </c>
      <c r="DV199" s="535">
        <f>Sheet1!ED197*AFtoMG</f>
        <v>0</v>
      </c>
      <c r="DW199" s="535">
        <f t="shared" si="478"/>
        <v>0</v>
      </c>
      <c r="DX199" s="535">
        <f t="shared" si="479"/>
        <v>0</v>
      </c>
      <c r="DY199" s="535">
        <f t="shared" si="480"/>
        <v>3141.1846896835932</v>
      </c>
      <c r="DZ199" s="535">
        <f t="shared" si="481"/>
        <v>9637.154627949265</v>
      </c>
      <c r="EA199" s="535"/>
      <c r="EB199" s="521">
        <f>IF(OR(B199&lt;FV199,B199&gt;FW199),(MIN(BF199+BY199+CT199+MAX(Sheet1!AA197+AQ199-73,0),K199)),0)</f>
        <v>0</v>
      </c>
      <c r="EC199" s="535"/>
      <c r="ED199" s="535">
        <f t="shared" si="482"/>
        <v>19.147356721608954</v>
      </c>
      <c r="EE199" s="535"/>
      <c r="EF199" s="535">
        <f>Sheet1!EH197+Sheet1!EI197+Sheet1!EJ197+Sheet1!EK197</f>
        <v>21.5</v>
      </c>
      <c r="EG199" s="1019">
        <f t="shared" si="419"/>
        <v>33.2605</v>
      </c>
      <c r="EH199" s="521">
        <f t="shared" si="483"/>
        <v>0</v>
      </c>
      <c r="EI199" s="535">
        <f>IF(Sheet1!ET197=1,SUM('Calculations II'!AT199:BA199)+'Calculations II'!BC199+Sheet1!BV197+'Calculations II'!BE199+AP199,'Calculations II'!BK199)</f>
        <v>75.173123278391046</v>
      </c>
      <c r="EJ199" s="535">
        <f ca="1">EI199+'Calculations II'!D199+'Calculations II'!E199+'Calculations II'!O199</f>
        <v>76.058239027919896</v>
      </c>
      <c r="EK199" s="535"/>
      <c r="EL199" s="535"/>
      <c r="EM199" s="535">
        <f t="shared" si="484"/>
        <v>42923</v>
      </c>
      <c r="EN199" s="535">
        <f t="shared" si="485"/>
        <v>-21.522286405564799</v>
      </c>
      <c r="EO199" s="535">
        <f t="shared" si="486"/>
        <v>-33.294977069408745</v>
      </c>
      <c r="EP199" s="535">
        <v>0</v>
      </c>
      <c r="EQ199" s="535">
        <v>0</v>
      </c>
      <c r="ER199" s="535">
        <v>0</v>
      </c>
      <c r="ES199" s="521">
        <f t="shared" si="381"/>
        <v>-1.1080320103577783</v>
      </c>
      <c r="ET199" s="535">
        <f>-(VLOOKUP(Sheet1!BQ197,Lookup!$O$4:$Q$262,2)-VLOOKUP(Sheet1!BQ196,Lookup!$O$4:$Q$262,2))/1000000</f>
        <v>-0.55392628328030924</v>
      </c>
      <c r="EU199" s="535">
        <f>-(VLOOKUP(Sheet1!BR197,Lookup!$O$4:$Q$262,3)-VLOOKUP(Sheet1!BR196,Lookup!$O$4:$Q$262,3))/1000000</f>
        <v>-0.55410572707746919</v>
      </c>
      <c r="EV199" s="535"/>
      <c r="EW199" s="535"/>
      <c r="EX199" s="535"/>
      <c r="EY199" s="535">
        <f t="shared" si="502"/>
        <v>-119.63608944201933</v>
      </c>
      <c r="EZ199" s="535"/>
      <c r="FA199" s="535"/>
      <c r="FB199" s="535"/>
      <c r="FC199" s="535"/>
      <c r="FD199" s="567">
        <f t="shared" si="504"/>
        <v>1139.6438356163587</v>
      </c>
      <c r="FE199" s="567" t="e">
        <f t="shared" si="488"/>
        <v>#N/A</v>
      </c>
      <c r="FF199" s="568" t="e">
        <f t="shared" si="489"/>
        <v>#N/A</v>
      </c>
      <c r="FG199" s="569" t="s">
        <v>656</v>
      </c>
      <c r="FH199" s="569" t="s">
        <v>656</v>
      </c>
      <c r="FI199" s="567" t="e">
        <v>#N/A</v>
      </c>
      <c r="FJ199" s="725">
        <v>22996</v>
      </c>
      <c r="FK199" s="535"/>
      <c r="FL199" s="1015">
        <f t="shared" si="503"/>
        <v>42.360060514372158</v>
      </c>
      <c r="FM199" s="535"/>
      <c r="FN199" s="535"/>
      <c r="FO199" s="535">
        <f>O199+((Sheet1!CS197)*GPMtoMGD)</f>
        <v>94.789999999999992</v>
      </c>
      <c r="FP199" s="535">
        <f>IF(Sheet1!AA197+AQ199&lt;=Calculation!N199,AQ199,Calculation!N199-Sheet1!AA197)</f>
        <v>44.443199999999997</v>
      </c>
      <c r="FQ199" s="535">
        <f>(Sheet1!BP197+Sheet1!BO197)/694.4</f>
        <v>3.6520737327188941</v>
      </c>
      <c r="FR199" s="541"/>
      <c r="FS199" s="541"/>
      <c r="FT199" s="541"/>
      <c r="FU199" s="541"/>
      <c r="FV199" s="1109">
        <f t="shared" si="382"/>
        <v>42918</v>
      </c>
      <c r="FW199" s="1109">
        <f t="shared" si="383"/>
        <v>43027</v>
      </c>
      <c r="FX199" s="541"/>
      <c r="FY199" s="541">
        <f>Sheet1!DA197-Sheet1!CZ197-Sheet1!AE197</f>
        <v>-84.640129999999971</v>
      </c>
      <c r="FZ199" s="535">
        <f t="shared" si="420"/>
        <v>-0.27042882175005228</v>
      </c>
      <c r="GA199" s="535"/>
      <c r="GB199" s="535" t="str">
        <f t="shared" si="384"/>
        <v>n</v>
      </c>
      <c r="GC199" s="539">
        <f t="shared" si="385"/>
        <v>42782</v>
      </c>
      <c r="GD199" s="1109">
        <f t="shared" si="386"/>
        <v>42904</v>
      </c>
      <c r="GE199" s="535">
        <f t="shared" si="404"/>
        <v>6520</v>
      </c>
      <c r="GF199" s="1109">
        <f t="shared" si="387"/>
        <v>42909</v>
      </c>
      <c r="GG199" s="535">
        <f t="shared" si="432"/>
        <v>3260</v>
      </c>
      <c r="GH199" s="539">
        <f t="shared" si="388"/>
        <v>43040</v>
      </c>
      <c r="GJ199" s="521">
        <f t="shared" si="389"/>
        <v>0</v>
      </c>
      <c r="GK199" s="535" t="str">
        <f t="shared" si="490"/>
        <v/>
      </c>
      <c r="GL199" s="535">
        <f t="shared" si="390"/>
        <v>0</v>
      </c>
      <c r="GM199" s="535" t="str">
        <f t="shared" si="391"/>
        <v/>
      </c>
      <c r="GN199" s="535">
        <f>IF(GK199="P",Lookup!$M$12,IF(GK199="PP",Lookup!$M$13,IF(GK199="PPP",Lookup!$M$14,IF(GK199="T",Lookup!$M$15,IF(GK199="TP",Lookup!$M$16,IF(GK199="TPP",Lookup!$M$17,IF(GK199="TPPP",Lookup!$M$18,0)))))))*GJ199</f>
        <v>0</v>
      </c>
      <c r="GO199" s="535">
        <f t="shared" si="392"/>
        <v>0</v>
      </c>
      <c r="GP199" s="535">
        <f t="shared" si="491"/>
        <v>4139.7546666666676</v>
      </c>
      <c r="GQ199" s="974">
        <f t="shared" si="500"/>
        <v>1349.3333333333335</v>
      </c>
      <c r="GR199" s="535"/>
      <c r="GS199" s="535">
        <f t="shared" si="393"/>
        <v>0</v>
      </c>
      <c r="GT199" s="535" t="str">
        <f t="shared" si="394"/>
        <v/>
      </c>
      <c r="GU199" s="535">
        <f>IF(GK199="P",Lookup!$N$12,IF(GK199="PP",Lookup!$N$13,IF(GK199="PPP",Lookup!$N$14,IF(GK199="T",Lookup!$N$15,IF(GK199="TP",Lookup!$N$16,IF(GK199="TPP",Lookup!$N$17,IF(GK199="TPPP",Lookup!$N$18,0)))))))*GJ199</f>
        <v>0</v>
      </c>
      <c r="GV199" s="535">
        <f t="shared" si="395"/>
        <v>0</v>
      </c>
      <c r="GW199" s="535">
        <f t="shared" si="492"/>
        <v>1905.4537390603753</v>
      </c>
      <c r="GX199" s="974">
        <f t="shared" si="501"/>
        <v>621.07357857248212</v>
      </c>
      <c r="GY199" s="535"/>
      <c r="GZ199" s="535">
        <f t="shared" si="396"/>
        <v>0</v>
      </c>
      <c r="HA199" s="535" t="str">
        <f t="shared" si="397"/>
        <v/>
      </c>
      <c r="HB199" s="535">
        <f>IF(GK199="P",Lookup!$N$12,IF(GK199="PP",Lookup!$N$13,IF(GK199="PPP",Lookup!$N$14,IF(GK199="T",Lookup!$N$15,IF(GK199="TP",Lookup!$N$16,IF(GK199="TPP",Lookup!$N$17,IF(GK199="TPPP",Lookup!$N$18,0)))))))*GJ199</f>
        <v>0</v>
      </c>
      <c r="HC199" s="521">
        <f t="shared" si="493"/>
        <v>0</v>
      </c>
      <c r="HD199" s="535">
        <f t="shared" si="494"/>
        <v>1832.7891111111112</v>
      </c>
      <c r="HE199" s="535">
        <f t="shared" si="401"/>
        <v>597.38888888888891</v>
      </c>
      <c r="HF199" s="535"/>
      <c r="HG199" s="535">
        <f t="shared" si="398"/>
        <v>0</v>
      </c>
      <c r="HH199" s="535" t="str">
        <f t="shared" si="399"/>
        <v/>
      </c>
      <c r="HI199" s="535">
        <f>IF(GK199="P",Lookup!$N$12,IF(GK199="PP",Lookup!$N$13,IF(GK199="PPP",Lookup!$N$14,IF(GK199="T",Lookup!$N$15,IF(GK199="TP",Lookup!$N$16,IF(GK199="TPP",Lookup!$N$17,IF(GK199="TPPP",Lookup!$N$18,0)))))))*GJ199</f>
        <v>0</v>
      </c>
      <c r="HJ199" s="521">
        <f t="shared" si="495"/>
        <v>0</v>
      </c>
      <c r="HK199" s="535">
        <f t="shared" si="496"/>
        <v>1759.1571111111111</v>
      </c>
      <c r="HL199" s="535">
        <f t="shared" si="402"/>
        <v>573.38888888888891</v>
      </c>
      <c r="HM199" s="535"/>
      <c r="HN199" s="541"/>
      <c r="HO199" s="541"/>
      <c r="HP199" s="541"/>
      <c r="HQ199" s="541">
        <f>IF(AND(B199&gt;=$FV$4,B199&lt;=$FW$4),MAX(110/1.02+$HQ$6+MIN(113/1.02,G199),IF($HV$6-(Sheet1!DA197-Sheet1!DB197)+MIN(113/1.02,G199)&lt;G199+FL199,$HV$6-(Sheet1!DA197-Sheet1!DB197)+MIN(113/1.02,G199),G199+FL199)),MIN(110/1.02+$HQ$6+113/1.02,G199))</f>
        <v>218.62745098039215</v>
      </c>
      <c r="HR199" s="541">
        <f t="shared" si="421"/>
        <v>223</v>
      </c>
      <c r="HS199" s="541">
        <f>HR199+(Sheet1!DA197-Sheet1!DB197)</f>
        <v>428</v>
      </c>
      <c r="HT199" s="541">
        <f t="shared" si="422"/>
        <v>112.9978304</v>
      </c>
      <c r="HU199" s="541">
        <f t="shared" si="423"/>
        <v>315.0021696</v>
      </c>
      <c r="HV199" s="541">
        <f t="shared" si="424"/>
        <v>0</v>
      </c>
      <c r="HW199" s="541" t="str">
        <f t="shared" si="425"/>
        <v/>
      </c>
      <c r="HX199" s="541">
        <f t="shared" si="426"/>
        <v>151.07757195019911</v>
      </c>
      <c r="HY199" s="541">
        <f>Sheet1!CZ197</f>
        <v>403</v>
      </c>
      <c r="HZ199" s="541">
        <f t="shared" si="427"/>
        <v>33.294977069408745</v>
      </c>
      <c r="IA199" s="541">
        <f t="shared" si="428"/>
        <v>112.9978304</v>
      </c>
      <c r="IB199" s="541">
        <f t="shared" si="429"/>
        <v>369.70502293059127</v>
      </c>
      <c r="IC199" s="1019" t="str">
        <f t="shared" si="430"/>
        <v/>
      </c>
      <c r="ID199" s="541">
        <f t="shared" si="431"/>
        <v>256.70719253059127</v>
      </c>
      <c r="IE199" s="541">
        <f>Sheet1!DB197</f>
        <v>260</v>
      </c>
      <c r="IF199" s="533">
        <f>Sheet1!DA197</f>
        <v>465</v>
      </c>
      <c r="IH199" s="541">
        <f>IF(AND($B199&gt;=$GC199,$B199&lt;=$GH199,$DR199&lt;0)+N("only adjusted when pool is drawn down during storage season"),Sheet1!$DB197+$DR199+N("Palmer minus all storage release"),Sheet1!$DB197)</f>
        <v>169.98487140630971</v>
      </c>
      <c r="II199" s="541">
        <f>IF(AND($B199&gt;=$GC199,$B199&lt;=$GH199,$DR199&lt;0)+N("only adjusted when pool is drawn down during storage season"),Sheet1!$DA197+$DR199+N("Auburn minus all storage release"),Sheet1!$DA197)</f>
        <v>374.98487140630971</v>
      </c>
    </row>
    <row r="200" spans="1:243" x14ac:dyDescent="0.25">
      <c r="A200" s="553" t="s">
        <v>9</v>
      </c>
      <c r="B200" s="531">
        <v>42924</v>
      </c>
      <c r="C200" s="536">
        <v>0</v>
      </c>
      <c r="D200" s="506">
        <f t="shared" ref="D200:D263" si="506">IF(AND(B200&gt;=DATE($A$1,7,15),B200&lt;=DATE($A$1,9,15)),200,300)</f>
        <v>300</v>
      </c>
      <c r="E200" s="506">
        <f t="shared" ref="E200:E263" si="507">IF(AND(B200&gt;=DATE($A$1,7,15),B200&lt;=DATE($A$1,9,15)),400,250)</f>
        <v>250</v>
      </c>
      <c r="F200" s="506">
        <v>250</v>
      </c>
      <c r="G200" s="535">
        <f>DR200+Sheet1!CZ198</f>
        <v>329.7271810393496</v>
      </c>
      <c r="H200" s="1074">
        <f t="shared" si="505"/>
        <v>0</v>
      </c>
      <c r="I200" s="534">
        <f>IF(Sheet1!DA198&gt;=E200,(Sheet1!DA198-E200+P200)*CFStoMGD,0)</f>
        <v>214.27218195199995</v>
      </c>
      <c r="J200" s="995">
        <f>IF(Sheet1!DB198&gt;=D200,(Sheet1!DB198-D200+P200)*CFStoMGD,0)</f>
        <v>0</v>
      </c>
      <c r="K200" s="818">
        <f t="shared" si="406"/>
        <v>0</v>
      </c>
      <c r="L200" s="535">
        <f>Sheet1!AA198+Sheet1!AB198-Sheet1!L198+(Sheet1!DA198-F200)*CFStoMGD-S200-T200-U200</f>
        <v>193.01417228236011</v>
      </c>
      <c r="M200" s="535">
        <f t="shared" si="436"/>
        <v>217.39836282031231</v>
      </c>
      <c r="N200" s="824">
        <f>IF(Sheet1!DA198&gt;=F200,MIN(113*CFStoMGD,MIN(MAX(L200,0),MAX(M200,0))),0)</f>
        <v>73.043199999999999</v>
      </c>
      <c r="O200" s="538">
        <f>Sheet1!AA198+Sheet1!AB198</f>
        <v>94.69</v>
      </c>
      <c r="P200" s="538">
        <f t="shared" si="437"/>
        <v>146.48542999999998</v>
      </c>
      <c r="Q200" s="812">
        <f t="shared" si="407"/>
        <v>73.043199999999999</v>
      </c>
      <c r="R200" s="812">
        <f t="shared" si="373"/>
        <v>21.5</v>
      </c>
      <c r="S200" s="812">
        <f t="shared" si="374"/>
        <v>0</v>
      </c>
      <c r="T200" s="812">
        <f t="shared" si="375"/>
        <v>0</v>
      </c>
      <c r="U200" s="812">
        <f>IF(AND(B200&gt;=FV200,B200&lt;=FW200),ED200+Sheet1!EH198,0)</f>
        <v>21.259827717639883</v>
      </c>
      <c r="V200" s="812"/>
      <c r="W200" s="812">
        <f t="shared" si="376"/>
        <v>0</v>
      </c>
      <c r="X200" s="812">
        <f t="shared" si="377"/>
        <v>0</v>
      </c>
      <c r="Y200" s="812" t="str">
        <f t="shared" si="378"/>
        <v>FALSE</v>
      </c>
      <c r="Z200" s="812">
        <f t="shared" si="379"/>
        <v>94.69</v>
      </c>
      <c r="AA200" s="812">
        <f t="shared" si="380"/>
        <v>94.303027717639878</v>
      </c>
      <c r="AB200" s="1059">
        <f t="shared" si="409"/>
        <v>112.9978304</v>
      </c>
      <c r="AC200" s="538">
        <f>Sheet1!Y198*MGDtoCFS</f>
        <v>44.244199999999999</v>
      </c>
      <c r="AD200" s="538">
        <f>Sheet1!Z198*MGDtoCFS</f>
        <v>102.39592999999999</v>
      </c>
      <c r="AE200" s="538">
        <f>Sheet1!AA198*MGDtoCFS</f>
        <v>45.172399999999996</v>
      </c>
      <c r="AF200" s="538">
        <f>Sheet1!AB198*MGDtoCFS</f>
        <v>101.31302999999998</v>
      </c>
      <c r="AG200" s="538">
        <f>Sheet1!L198*MGDtoCFS</f>
        <v>0</v>
      </c>
      <c r="AH200" s="521">
        <f t="shared" si="438"/>
        <v>21.51615795090715</v>
      </c>
      <c r="AI200" s="1059">
        <f t="shared" si="439"/>
        <v>33.285496350053357</v>
      </c>
      <c r="AJ200" s="535">
        <f t="shared" si="440"/>
        <v>0</v>
      </c>
      <c r="AK200" s="535">
        <f t="shared" si="441"/>
        <v>0</v>
      </c>
      <c r="AL200" s="535">
        <f>(VLOOKUP(Sheet1!DC198,hhdcap_wcm,4)-(((VLOOKUP(Sheet1!DC198,hhdcap_wcm,3)-Sheet1!DC198)/(VLOOKUP(Sheet1!DC198,hhdcap_wcm,3)-VLOOKUP(Sheet1!DC198,hhdcap_wcm,1)))*(VLOOKUP(Sheet1!DC198,hhdcap_wcm,4)-VLOOKUP(Sheet1!DC198,hhdcap_wcm,2))))</f>
        <v>47239.00000011536</v>
      </c>
      <c r="AM200" s="535">
        <f t="shared" si="442"/>
        <v>-145.29999999896972</v>
      </c>
      <c r="AN200" s="1035">
        <f t="shared" si="443"/>
        <v>3119.6685317326865</v>
      </c>
      <c r="AO200" s="535">
        <f t="shared" si="444"/>
        <v>9571.1430553558821</v>
      </c>
      <c r="AP200" s="535">
        <f>Sheet1!BA198+Sheet1!BB198+Sheet1!BN198+CD200</f>
        <v>45.8</v>
      </c>
      <c r="AQ200" s="535">
        <f>Sheet1!BN198+(DO200*Sheet1!BN198)</f>
        <v>45.730172282360108</v>
      </c>
      <c r="AR200" s="535">
        <f>Sheet1!BA198+CD200</f>
        <v>0</v>
      </c>
      <c r="AS200" s="535">
        <f>Sheet1!BA198+Sheet1!BB198+CD200</f>
        <v>0</v>
      </c>
      <c r="AT200" s="649">
        <f>0</f>
        <v>0</v>
      </c>
      <c r="AU200" s="974">
        <f>BA200+Sheet1!EH198</f>
        <v>1.5</v>
      </c>
      <c r="AV200" s="535">
        <f>IF(OR(B200&gt;=GD200,B200&lt;GC200),0,15/36*K200-MAX(0,64.6-(137.6-(Sheet1!AA198+Sheet1!AB198))))</f>
        <v>0</v>
      </c>
      <c r="AW200" s="1029"/>
      <c r="AX200" s="649"/>
      <c r="AY200" s="649">
        <f t="shared" si="410"/>
        <v>0</v>
      </c>
      <c r="AZ200" s="649">
        <f t="shared" si="411"/>
        <v>0</v>
      </c>
      <c r="BA200" s="1059">
        <f t="shared" si="412"/>
        <v>0</v>
      </c>
      <c r="BB200" s="1019">
        <f t="shared" si="445"/>
        <v>1347.8333333333335</v>
      </c>
      <c r="BC200" s="1041">
        <f t="shared" si="413"/>
        <v>0</v>
      </c>
      <c r="BD200" s="1019">
        <f ca="1">IF(B200&gt;(Summary!$A$1-1),#N/A,BB200*MGtoAF)</f>
        <v>4135.1526666666668</v>
      </c>
      <c r="BE200" s="535">
        <f>Sheet1!BG198+Sheet1!BH198+Sheet1!BI198-BM200</f>
        <v>2.52</v>
      </c>
      <c r="BF200" s="535">
        <f t="shared" si="446"/>
        <v>2.5161579509071501</v>
      </c>
      <c r="BG200" s="535">
        <f>IF(Sheet1!EP198="FM",BM200,0)</f>
        <v>0</v>
      </c>
      <c r="BH200" s="535">
        <f t="shared" si="447"/>
        <v>0</v>
      </c>
      <c r="BI200" s="535">
        <f>IF(Sheet1!EP198="OTHER",BM200,0)</f>
        <v>0</v>
      </c>
      <c r="BJ200" s="535">
        <f t="shared" si="448"/>
        <v>0</v>
      </c>
      <c r="BK200" s="535">
        <f t="shared" si="449"/>
        <v>2.52</v>
      </c>
      <c r="BL200" s="535">
        <f t="shared" si="450"/>
        <v>2.5161579509071501</v>
      </c>
      <c r="BM200" s="535">
        <f>IF(OR(Sheet1!EP198="FM", Sheet1!EP198="OTHER"),SUM(Sheet1!BG198:'Sheet1'!BI198),0)</f>
        <v>0</v>
      </c>
      <c r="BN200" s="521">
        <f>IF(AND($B200&gt;=$FV200,$B200&lt;=$FW200),MAX(BF200,Sheet1!EI198,0),MAX(BF200-(7/36)*$K200,0))</f>
        <v>2.5161579509071501</v>
      </c>
      <c r="BO200" s="535">
        <f t="shared" si="497"/>
        <v>0</v>
      </c>
      <c r="BP200" s="521">
        <f t="shared" si="452"/>
        <v>0</v>
      </c>
      <c r="BQ200" s="521">
        <f>IF(AND($O200&gt;0,Sheet1!EM198=1),(1-($O200-Sheet1!$L198)/$O200)*BL200,0)</f>
        <v>0</v>
      </c>
      <c r="BR200" s="521">
        <f>IF(AND(Sheet1!$L198=0,Sheet1!$L197=0, Calculation!BK200&lt;Sheet1!$EI198-0.1,Sheet1!$EI198=Sheet1!$EI197,Sheet1!$EI198=Sheet1!$EI199),BL200-BQ200,BL200-BQ200)</f>
        <v>2.5161579509071501</v>
      </c>
      <c r="BS200" s="1035" t="str">
        <f t="shared" si="414"/>
        <v/>
      </c>
      <c r="BT200" s="1035">
        <f t="shared" si="415"/>
        <v>0</v>
      </c>
      <c r="BU200" s="535">
        <f t="shared" si="453"/>
        <v>618.55742062157492</v>
      </c>
      <c r="BV200" s="535"/>
      <c r="BW200" s="535">
        <f ca="1">IF(B200&gt;(Summary!$A$1-1),#N/A,BU200*MGtoAF)</f>
        <v>1897.7341664669918</v>
      </c>
      <c r="BX200" s="535">
        <f>Sheet1!BC198+Sheet1!BD198+Sheet1!BE198+Sheet1!BF198-CG200-CH200</f>
        <v>6.7900000000000009</v>
      </c>
      <c r="BY200" s="535">
        <f t="shared" si="454"/>
        <v>6.7796478121664885</v>
      </c>
      <c r="BZ200" s="535">
        <f>IF(Sheet1!EQ198="FM",CH200,0)</f>
        <v>0</v>
      </c>
      <c r="CA200" s="535">
        <f t="shared" si="455"/>
        <v>0</v>
      </c>
      <c r="CB200" s="535">
        <f>IF(Sheet1!EQ198="OTHER",CH200,0)</f>
        <v>0</v>
      </c>
      <c r="CC200" s="535">
        <f t="shared" si="456"/>
        <v>0</v>
      </c>
      <c r="CD200" s="535">
        <f t="shared" si="457"/>
        <v>0</v>
      </c>
      <c r="CE200" s="535">
        <f t="shared" si="458"/>
        <v>6.7900000000000009</v>
      </c>
      <c r="CF200" s="535">
        <f t="shared" si="459"/>
        <v>6.7796478121664885</v>
      </c>
      <c r="CG200" s="535">
        <f>IF(Sheet1!EQ198="CWA",SUM(Sheet1!BC198:'Sheet1'!BF198),0)</f>
        <v>0</v>
      </c>
      <c r="CH200" s="535">
        <f>IF(OR(Sheet1!EQ198="FM", Sheet1!EQ198="OTHER"),SUM(Sheet1!BC198:'Sheet1'!BF198),0)</f>
        <v>0</v>
      </c>
      <c r="CI200" s="521">
        <f>IF(AND($B200&gt;=$FV200,$B200&lt;=$FW200),MAX(CF200,Sheet1!EJ198,0),MAX(CF200-(7/36)*$K200,0))</f>
        <v>7</v>
      </c>
      <c r="CJ200" s="535">
        <f t="shared" si="499"/>
        <v>0</v>
      </c>
      <c r="CK200" s="521">
        <f t="shared" si="461"/>
        <v>0</v>
      </c>
      <c r="CL200" s="521">
        <f>IF(AND($O200&gt;0,Sheet1!EN198=1),(1-($O200-Sheet1!$L198)/$O200)*CF200,0)</f>
        <v>0</v>
      </c>
      <c r="CM200" s="521">
        <f>IF(AND(Sheet1!$L198=0,Sheet1!$L197=0, Calculation!CE200&lt;Sheet1!EJ198-0.1,Sheet1!EJ198=Sheet1!EJ197,Sheet1!EJ198=Sheet1!EJ199),CF200-CL200,CF200-CL200)</f>
        <v>6.7796478121664885</v>
      </c>
      <c r="CN200" s="1040" t="str">
        <f t="shared" si="416"/>
        <v/>
      </c>
      <c r="CO200" s="1035">
        <f t="shared" si="417"/>
        <v>0</v>
      </c>
      <c r="CP200" s="535">
        <f t="shared" si="462"/>
        <v>590.38888888888891</v>
      </c>
      <c r="CQ200" s="535"/>
      <c r="CR200" s="535">
        <f ca="1">IF(B200&gt;(Summary!$A$1-1),#N/A,CP200*MGtoAF)</f>
        <v>1811.3131111111113</v>
      </c>
      <c r="CS200" s="535">
        <f>Sheet1!BK198+Sheet1!BL198+Sheet1!BM198-Sheet1!ER198-DA200</f>
        <v>10.48</v>
      </c>
      <c r="CT200" s="535">
        <f t="shared" si="463"/>
        <v>10.464021954566244</v>
      </c>
      <c r="CU200" s="535">
        <f>IF(Sheet1!ER198="FM",DA200,0)</f>
        <v>0</v>
      </c>
      <c r="CV200" s="535">
        <f t="shared" si="464"/>
        <v>0</v>
      </c>
      <c r="CW200" s="535">
        <f>IF(Sheet1!ER198="OTHER",DA200,0)</f>
        <v>0</v>
      </c>
      <c r="CX200" s="535">
        <f t="shared" si="465"/>
        <v>0</v>
      </c>
      <c r="CY200" s="535">
        <f t="shared" si="466"/>
        <v>10.48</v>
      </c>
      <c r="CZ200" s="535">
        <f t="shared" si="467"/>
        <v>10.464021954566244</v>
      </c>
      <c r="DA200" s="535">
        <f>IF(OR(Sheet1!ER198="FM", Sheet1!ER198="OTHER"),SUM(Sheet1!BK198:'Sheet1'!BM198),0)</f>
        <v>0</v>
      </c>
      <c r="DB200" s="1011">
        <f>IF(AND($B200&gt;=$FV200,$B200&lt;=$FW200),MAX($CT200,Sheet1!EK198,0),MAX($CT200-(7/36)*$K200,0))</f>
        <v>10.5</v>
      </c>
      <c r="DC200" s="1012">
        <f t="shared" si="498"/>
        <v>0</v>
      </c>
      <c r="DD200" s="1011">
        <f t="shared" si="469"/>
        <v>0</v>
      </c>
      <c r="DE200" s="521">
        <f>IF(AND($O200&gt;0,Sheet1!EO198=1),(1-($O200-Sheet1!$L198)/$O200)*CZ200,0)</f>
        <v>0</v>
      </c>
      <c r="DF200" s="521">
        <f>IF(AND(Sheet1!$L198=0,Sheet1!$L197=0, Calculation!CY200&lt;Sheet1!$EK198-0.1,Sheet1!$EK198=Sheet1!$EK197,Sheet1!$EK198=Sheet1!$EK199),CZ200-DE200,CZ200-DE200)</f>
        <v>10.464021954566244</v>
      </c>
      <c r="DG200" s="1040">
        <f t="shared" si="418"/>
        <v>0</v>
      </c>
      <c r="DH200" s="649">
        <f t="shared" si="470"/>
        <v>19.79</v>
      </c>
      <c r="DI200" s="535">
        <f t="shared" si="471"/>
        <v>562.88888888888891</v>
      </c>
      <c r="DJ200" s="649">
        <f t="shared" si="472"/>
        <v>19.75982771763988</v>
      </c>
      <c r="DK200" s="535">
        <f ca="1">IF(B200&gt;(Summary!$A$1-1),#N/A,DI200*MGtoAF)</f>
        <v>1726.9431111111112</v>
      </c>
      <c r="DL200" s="649">
        <f t="shared" si="473"/>
        <v>19.790000000000003</v>
      </c>
      <c r="DM200" s="535">
        <f t="shared" si="474"/>
        <v>65.59</v>
      </c>
      <c r="DN200" s="535">
        <f>Sheet1!AB198-DM200</f>
        <v>-0.10000000000000853</v>
      </c>
      <c r="DO200" s="743">
        <f t="shared" si="475"/>
        <v>-1.5246226558927965E-3</v>
      </c>
      <c r="DP200" s="535">
        <f>(VLOOKUP(Sheet1!DC198,hhdcap_wcm,4)-(((VLOOKUP(Sheet1!DC198,hhdcap_wcm,3)-Sheet1!DC198)/(VLOOKUP(Sheet1!DC198,hhdcap_wcm,3)-VLOOKUP(Sheet1!DC198,hhdcap_wcm,1)))*(VLOOKUP(Sheet1!DC198,hhdcap_wcm,4)-VLOOKUP(Sheet1!DC198,hhdcap_wcm,2))))</f>
        <v>47239.00000011536</v>
      </c>
      <c r="DQ200" s="535">
        <f t="shared" si="476"/>
        <v>-145.29999999896972</v>
      </c>
      <c r="DR200" s="535">
        <f t="shared" si="477"/>
        <v>-73.272818960650383</v>
      </c>
      <c r="DS200" s="535">
        <f>Sheet1!EA198*AFtoMG</f>
        <v>0</v>
      </c>
      <c r="DT200" s="535">
        <f>Sheet1!EB198*AFtoMG</f>
        <v>0</v>
      </c>
      <c r="DU200" s="535">
        <f>Sheet1!EC198*AFtoMG</f>
        <v>0</v>
      </c>
      <c r="DV200" s="535">
        <f>Sheet1!ED198*AFtoMG</f>
        <v>0</v>
      </c>
      <c r="DW200" s="535">
        <f t="shared" si="478"/>
        <v>0</v>
      </c>
      <c r="DX200" s="535">
        <f t="shared" si="479"/>
        <v>0</v>
      </c>
      <c r="DY200" s="535">
        <f t="shared" si="480"/>
        <v>3119.6685317326865</v>
      </c>
      <c r="DZ200" s="535">
        <f t="shared" si="481"/>
        <v>9571.1430553558821</v>
      </c>
      <c r="EA200" s="535"/>
      <c r="EB200" s="521">
        <f>IF(OR(B200&lt;FV200,B200&gt;FW200),(MIN(BF200+BY200+CT200+MAX(Sheet1!AA198+AQ200-73,0),K200)),0)</f>
        <v>0</v>
      </c>
      <c r="EC200" s="535"/>
      <c r="ED200" s="535">
        <f t="shared" si="482"/>
        <v>19.759827717639883</v>
      </c>
      <c r="EE200" s="535"/>
      <c r="EF200" s="535">
        <f>Sheet1!EH198+Sheet1!EI198+Sheet1!EJ198+Sheet1!EK198</f>
        <v>21.5</v>
      </c>
      <c r="EG200" s="1019">
        <f t="shared" si="419"/>
        <v>33.2605</v>
      </c>
      <c r="EH200" s="521">
        <f t="shared" si="483"/>
        <v>0</v>
      </c>
      <c r="EI200" s="535">
        <f>IF(Sheet1!ET198=1,SUM('Calculations II'!AT200:BA200)+'Calculations II'!BC200+Sheet1!BV198+'Calculations II'!BE200+AP200,'Calculations II'!BK200)</f>
        <v>77.038088282360107</v>
      </c>
      <c r="EJ200" s="535">
        <f ca="1">EI200+'Calculations II'!D200+'Calculations II'!E200+'Calculations II'!O200</f>
        <v>74.454921726704711</v>
      </c>
      <c r="EK200" s="535"/>
      <c r="EL200" s="535"/>
      <c r="EM200" s="535">
        <f t="shared" si="484"/>
        <v>42924</v>
      </c>
      <c r="EN200" s="535">
        <f t="shared" si="485"/>
        <v>-21.51615795090715</v>
      </c>
      <c r="EO200" s="535">
        <f t="shared" si="486"/>
        <v>-33.285496350053357</v>
      </c>
      <c r="EP200" s="535">
        <v>0</v>
      </c>
      <c r="EQ200" s="535">
        <v>0</v>
      </c>
      <c r="ER200" s="535">
        <v>0</v>
      </c>
      <c r="ES200" s="521">
        <f t="shared" si="381"/>
        <v>0.83104323374164846</v>
      </c>
      <c r="ET200" s="535">
        <f>-(VLOOKUP(Sheet1!BQ198,Lookup!$O$4:$Q$262,2)-VLOOKUP(Sheet1!BQ197,Lookup!$O$4:$Q$262,2))/1000000</f>
        <v>0.41545432467094062</v>
      </c>
      <c r="EU200" s="535">
        <f>-(VLOOKUP(Sheet1!BR198,Lookup!$O$4:$Q$262,3)-VLOOKUP(Sheet1!BR197,Lookup!$O$4:$Q$262,3))/1000000</f>
        <v>0.41558890907070783</v>
      </c>
      <c r="EV200" s="535"/>
      <c r="EW200" s="535"/>
      <c r="EX200" s="535"/>
      <c r="EY200" s="535">
        <f t="shared" si="502"/>
        <v>-103.84127243983927</v>
      </c>
      <c r="EZ200" s="535"/>
      <c r="FA200" s="535"/>
      <c r="FB200" s="535"/>
      <c r="FC200" s="535"/>
      <c r="FD200" s="567">
        <f t="shared" si="504"/>
        <v>1139.5287671232081</v>
      </c>
      <c r="FE200" s="567" t="e">
        <f t="shared" si="488"/>
        <v>#N/A</v>
      </c>
      <c r="FF200" s="568" t="e">
        <f t="shared" si="489"/>
        <v>#N/A</v>
      </c>
      <c r="FG200" s="569" t="s">
        <v>656</v>
      </c>
      <c r="FH200" s="569" t="s">
        <v>656</v>
      </c>
      <c r="FI200" s="567" t="e">
        <v>#N/A</v>
      </c>
      <c r="FJ200" s="725">
        <v>22912</v>
      </c>
      <c r="FK200" s="535"/>
      <c r="FL200" s="1015">
        <f t="shared" si="503"/>
        <v>41.855774079677253</v>
      </c>
      <c r="FM200" s="535"/>
      <c r="FN200" s="535"/>
      <c r="FO200" s="535">
        <f>O200+((Sheet1!CS198)*GPMtoMGD)</f>
        <v>94.69</v>
      </c>
      <c r="FP200" s="535">
        <f>IF(Sheet1!AA198+AQ200&lt;=Calculation!N200,AQ200,Calculation!N200-Sheet1!AA198)</f>
        <v>43.843199999999996</v>
      </c>
      <c r="FQ200" s="535">
        <f>(Sheet1!BP198+Sheet1!BO198)/694.4</f>
        <v>3.8127880184331797</v>
      </c>
      <c r="FR200" s="541"/>
      <c r="FS200" s="541"/>
      <c r="FT200" s="541"/>
      <c r="FU200" s="541"/>
      <c r="FV200" s="1109">
        <f t="shared" si="382"/>
        <v>42918</v>
      </c>
      <c r="FW200" s="1109">
        <f t="shared" si="383"/>
        <v>43027</v>
      </c>
      <c r="FX200" s="541"/>
      <c r="FY200" s="541">
        <f>Sheet1!DA198-Sheet1!CZ198-Sheet1!AE198</f>
        <v>-114.48542999999998</v>
      </c>
      <c r="FZ200" s="535">
        <f t="shared" si="420"/>
        <v>-0.34721259448227687</v>
      </c>
      <c r="GA200" s="535"/>
      <c r="GB200" s="535" t="str">
        <f t="shared" si="384"/>
        <v>n</v>
      </c>
      <c r="GC200" s="539">
        <f t="shared" si="385"/>
        <v>42782</v>
      </c>
      <c r="GD200" s="1109">
        <f t="shared" si="386"/>
        <v>42904</v>
      </c>
      <c r="GE200" s="535">
        <f t="shared" si="404"/>
        <v>6520</v>
      </c>
      <c r="GF200" s="1109">
        <f t="shared" si="387"/>
        <v>42909</v>
      </c>
      <c r="GG200" s="535">
        <f t="shared" si="432"/>
        <v>3260</v>
      </c>
      <c r="GH200" s="539">
        <f t="shared" si="388"/>
        <v>43040</v>
      </c>
      <c r="GJ200" s="521">
        <f t="shared" si="389"/>
        <v>0</v>
      </c>
      <c r="GK200" s="535" t="str">
        <f t="shared" si="490"/>
        <v/>
      </c>
      <c r="GL200" s="535">
        <f t="shared" si="390"/>
        <v>0</v>
      </c>
      <c r="GM200" s="535" t="str">
        <f t="shared" si="391"/>
        <v/>
      </c>
      <c r="GN200" s="535">
        <f>IF(GK200="P",Lookup!$M$12,IF(GK200="PP",Lookup!$M$13,IF(GK200="PPP",Lookup!$M$14,IF(GK200="T",Lookup!$M$15,IF(GK200="TP",Lookup!$M$16,IF(GK200="TPP",Lookup!$M$17,IF(GK200="TPPP",Lookup!$M$18,0)))))))*GJ200</f>
        <v>0</v>
      </c>
      <c r="GO200" s="535">
        <f t="shared" si="392"/>
        <v>0</v>
      </c>
      <c r="GP200" s="535">
        <f t="shared" si="491"/>
        <v>4135.1526666666668</v>
      </c>
      <c r="GQ200" s="974">
        <f t="shared" si="500"/>
        <v>1347.8333333333335</v>
      </c>
      <c r="GR200" s="535"/>
      <c r="GS200" s="535">
        <f t="shared" si="393"/>
        <v>0</v>
      </c>
      <c r="GT200" s="535" t="str">
        <f t="shared" si="394"/>
        <v/>
      </c>
      <c r="GU200" s="535">
        <f>IF(GK200="P",Lookup!$N$12,IF(GK200="PP",Lookup!$N$13,IF(GK200="PPP",Lookup!$N$14,IF(GK200="T",Lookup!$N$15,IF(GK200="TP",Lookup!$N$16,IF(GK200="TPP",Lookup!$N$17,IF(GK200="TPPP",Lookup!$N$18,0)))))))*GJ200</f>
        <v>0</v>
      </c>
      <c r="GV200" s="535">
        <f t="shared" si="395"/>
        <v>0</v>
      </c>
      <c r="GW200" s="535">
        <f t="shared" si="492"/>
        <v>1897.7341664669918</v>
      </c>
      <c r="GX200" s="974">
        <f t="shared" si="501"/>
        <v>618.55742062157492</v>
      </c>
      <c r="GY200" s="535"/>
      <c r="GZ200" s="535">
        <f t="shared" si="396"/>
        <v>0</v>
      </c>
      <c r="HA200" s="535" t="str">
        <f t="shared" si="397"/>
        <v/>
      </c>
      <c r="HB200" s="535">
        <f>IF(GK200="P",Lookup!$N$12,IF(GK200="PP",Lookup!$N$13,IF(GK200="PPP",Lookup!$N$14,IF(GK200="T",Lookup!$N$15,IF(GK200="TP",Lookup!$N$16,IF(GK200="TPP",Lookup!$N$17,IF(GK200="TPPP",Lookup!$N$18,0)))))))*GJ200</f>
        <v>0</v>
      </c>
      <c r="HC200" s="521">
        <f t="shared" si="493"/>
        <v>0</v>
      </c>
      <c r="HD200" s="535">
        <f t="shared" si="494"/>
        <v>1811.3131111111113</v>
      </c>
      <c r="HE200" s="535">
        <f t="shared" si="401"/>
        <v>590.38888888888891</v>
      </c>
      <c r="HF200" s="535"/>
      <c r="HG200" s="535">
        <f t="shared" si="398"/>
        <v>0</v>
      </c>
      <c r="HH200" s="535" t="str">
        <f t="shared" si="399"/>
        <v/>
      </c>
      <c r="HI200" s="535">
        <f>IF(GK200="P",Lookup!$N$12,IF(GK200="PP",Lookup!$N$13,IF(GK200="PPP",Lookup!$N$14,IF(GK200="T",Lookup!$N$15,IF(GK200="TP",Lookup!$N$16,IF(GK200="TPP",Lookup!$N$17,IF(GK200="TPPP",Lookup!$N$18,0)))))))*GJ200</f>
        <v>0</v>
      </c>
      <c r="HJ200" s="521">
        <f t="shared" si="495"/>
        <v>0</v>
      </c>
      <c r="HK200" s="535">
        <f t="shared" si="496"/>
        <v>1726.9431111111112</v>
      </c>
      <c r="HL200" s="535">
        <f t="shared" si="402"/>
        <v>562.88888888888891</v>
      </c>
      <c r="HM200" s="535"/>
      <c r="HN200" s="541"/>
      <c r="HO200" s="541"/>
      <c r="HP200" s="541"/>
      <c r="HQ200" s="541">
        <f>IF(AND(B200&gt;=$FV$4,B200&lt;=$FW$4),MAX(110/1.02+$HQ$6+MIN(113/1.02,G200),IF($HV$6-(Sheet1!DA198-Sheet1!DB198)+MIN(113/1.02,G200)&lt;G200+FL200,$HV$6-(Sheet1!DA198-Sheet1!DB198)+MIN(113/1.02,G200),G200+FL200)),MIN(110/1.02+$HQ$6+113/1.02,G200))</f>
        <v>218.62745098039215</v>
      </c>
      <c r="HR200" s="541">
        <f t="shared" si="421"/>
        <v>223</v>
      </c>
      <c r="HS200" s="541">
        <f>HR200+(Sheet1!DA198-Sheet1!DB198)</f>
        <v>386</v>
      </c>
      <c r="HT200" s="541">
        <f t="shared" si="422"/>
        <v>112.9978304</v>
      </c>
      <c r="HU200" s="541">
        <f t="shared" si="423"/>
        <v>273.0021696</v>
      </c>
      <c r="HV200" s="541">
        <f t="shared" si="424"/>
        <v>0</v>
      </c>
      <c r="HW200" s="541" t="str">
        <f t="shared" si="425"/>
        <v/>
      </c>
      <c r="HX200" s="541">
        <f t="shared" si="426"/>
        <v>151.08705266955451</v>
      </c>
      <c r="HY200" s="541">
        <f>Sheet1!CZ198</f>
        <v>403</v>
      </c>
      <c r="HZ200" s="541">
        <f t="shared" si="427"/>
        <v>33.285496350053357</v>
      </c>
      <c r="IA200" s="541">
        <f t="shared" si="428"/>
        <v>112.9978304</v>
      </c>
      <c r="IB200" s="541">
        <f t="shared" si="429"/>
        <v>369.71450364994666</v>
      </c>
      <c r="IC200" s="1019" t="str">
        <f t="shared" si="430"/>
        <v/>
      </c>
      <c r="ID200" s="541">
        <f t="shared" si="431"/>
        <v>256.71667324994667</v>
      </c>
      <c r="IE200" s="541">
        <f>Sheet1!DB198</f>
        <v>272</v>
      </c>
      <c r="IF200" s="533">
        <f>Sheet1!DA198</f>
        <v>435</v>
      </c>
      <c r="IH200" s="541">
        <f>IF(AND($B200&gt;=$GC200,$B200&lt;=$GH200,$DR200&lt;0)+N("only adjusted when pool is drawn down during storage season"),Sheet1!$DB198+$DR200+N("Palmer minus all storage release"),Sheet1!$DB198)</f>
        <v>198.7271810393496</v>
      </c>
      <c r="II200" s="541">
        <f>IF(AND($B200&gt;=$GC200,$B200&lt;=$GH200,$DR200&lt;0)+N("only adjusted when pool is drawn down during storage season"),Sheet1!$DA198+$DR200+N("Auburn minus all storage release"),Sheet1!$DA198)</f>
        <v>361.7271810393496</v>
      </c>
    </row>
    <row r="201" spans="1:243" x14ac:dyDescent="0.25">
      <c r="A201" s="553" t="s">
        <v>3</v>
      </c>
      <c r="B201" s="531">
        <v>42925</v>
      </c>
      <c r="C201" s="536">
        <v>0</v>
      </c>
      <c r="D201" s="506">
        <f t="shared" si="506"/>
        <v>300</v>
      </c>
      <c r="E201" s="506">
        <f t="shared" si="507"/>
        <v>250</v>
      </c>
      <c r="F201" s="506">
        <v>250</v>
      </c>
      <c r="G201" s="535">
        <f>DR201+Sheet1!CZ199</f>
        <v>318.78416540582214</v>
      </c>
      <c r="H201" s="1074">
        <f t="shared" si="505"/>
        <v>0</v>
      </c>
      <c r="I201" s="534">
        <f>IF(Sheet1!DA199&gt;=E201,(Sheet1!DA199-E201+P201)*CFStoMGD,0)</f>
        <v>211.47017369599996</v>
      </c>
      <c r="J201" s="995">
        <f>IF(Sheet1!DB199&gt;=D201,(Sheet1!DB199-D201+P201)*CFStoMGD,0)</f>
        <v>0</v>
      </c>
      <c r="K201" s="818">
        <f t="shared" si="406"/>
        <v>0</v>
      </c>
      <c r="L201" s="535">
        <f>Sheet1!AA199+Sheet1!AB199-Sheet1!L199+(Sheet1!DA199-F201)*CFStoMGD-S201-T201-U201</f>
        <v>190.03108883826877</v>
      </c>
      <c r="M201" s="535">
        <f t="shared" si="436"/>
        <v>210.18332620868992</v>
      </c>
      <c r="N201" s="824">
        <f>IF(Sheet1!DA199&gt;=F201,MIN(113*CFStoMGD,MIN(MAX(L201,0),MAX(M201,0))),0)</f>
        <v>73.043199999999999</v>
      </c>
      <c r="O201" s="538">
        <f>Sheet1!AA199+Sheet1!AB199</f>
        <v>95.11999999999999</v>
      </c>
      <c r="P201" s="538">
        <f t="shared" si="437"/>
        <v>147.15063999999998</v>
      </c>
      <c r="Q201" s="812">
        <f t="shared" si="407"/>
        <v>73.043199999999999</v>
      </c>
      <c r="R201" s="812">
        <f t="shared" ref="R201:R264" si="508">IF(AND(B201&gt;=GF201,B201&lt;=GH201),MAX(EB201,EF201),EB201)</f>
        <v>21.5</v>
      </c>
      <c r="S201" s="812">
        <f t="shared" ref="S201:S264" si="509">IF(OR(B201&lt;GC201,B201&gt;GH201),MIN(O201,K201),IF(AND(B201&gt;=FV201,B201&lt;=FW201),0,IF(AND(B201&gt;=GC201,B201&lt;=GD201),DL201,IF(AND(B201&gt;GD201,B201&lt;FV201),MIN(K201,O201),0))))</f>
        <v>0</v>
      </c>
      <c r="T201" s="812">
        <f t="shared" ref="T201:T264" si="510">IF(OR(B201&lt;GC201,B201&gt;GD201),0, K201-DL201)</f>
        <v>0</v>
      </c>
      <c r="U201" s="812">
        <f>IF(AND(B201&gt;=FV201,B201&lt;=FW201),ED201+Sheet1!EH199,0)</f>
        <v>21.440911161731208</v>
      </c>
      <c r="V201" s="812"/>
      <c r="W201" s="812">
        <f t="shared" ref="W201:W264" si="511">MAX(K201-DJ201,0)</f>
        <v>0</v>
      </c>
      <c r="X201" s="812">
        <f t="shared" ref="X201:X264" si="512">S201+T201</f>
        <v>0</v>
      </c>
      <c r="Y201" s="812" t="str">
        <f t="shared" ref="Y201:Y264" si="513">IF(OR(O201&gt;K201,AND(B201&gt;=GC201,B201&lt;=GD201),), "FALSE","")</f>
        <v>FALSE</v>
      </c>
      <c r="Z201" s="812">
        <f t="shared" ref="Z201:Z264" si="514">O201</f>
        <v>95.11999999999999</v>
      </c>
      <c r="AA201" s="812">
        <f t="shared" ref="AA201:AA264" si="515">Q201+S201+U201</f>
        <v>94.484111161731207</v>
      </c>
      <c r="AB201" s="1059">
        <f t="shared" si="409"/>
        <v>112.9978304</v>
      </c>
      <c r="AC201" s="538">
        <f>Sheet1!Y199*MGDtoCFS</f>
        <v>45.172399999999996</v>
      </c>
      <c r="AD201" s="538">
        <f>Sheet1!Z199*MGDtoCFS</f>
        <v>101.31302999999998</v>
      </c>
      <c r="AE201" s="538">
        <f>Sheet1!AA199*MGDtoCFS</f>
        <v>45.327100000000002</v>
      </c>
      <c r="AF201" s="538">
        <f>Sheet1!AB199*MGDtoCFS</f>
        <v>101.82353999999998</v>
      </c>
      <c r="AG201" s="538">
        <f>Sheet1!L199*MGDtoCFS</f>
        <v>0</v>
      </c>
      <c r="AH201" s="521">
        <f t="shared" si="438"/>
        <v>21.518851936218681</v>
      </c>
      <c r="AI201" s="1059">
        <f t="shared" si="439"/>
        <v>33.289663945330297</v>
      </c>
      <c r="AJ201" s="535">
        <f t="shared" si="440"/>
        <v>0</v>
      </c>
      <c r="AK201" s="535">
        <f t="shared" si="441"/>
        <v>0</v>
      </c>
      <c r="AL201" s="535">
        <f>(VLOOKUP(Sheet1!DC199,hhdcap_wcm,4)-(((VLOOKUP(Sheet1!DC199,hhdcap_wcm,3)-Sheet1!DC199)/(VLOOKUP(Sheet1!DC199,hhdcap_wcm,3)-VLOOKUP(Sheet1!DC199,hhdcap_wcm,1)))*(VLOOKUP(Sheet1!DC199,hhdcap_wcm,4)-VLOOKUP(Sheet1!DC199,hhdcap_wcm,2))))</f>
        <v>47072.000000115106</v>
      </c>
      <c r="AM201" s="535">
        <f t="shared" si="442"/>
        <v>-167.00000000025466</v>
      </c>
      <c r="AN201" s="1035">
        <f t="shared" si="443"/>
        <v>3098.1496797964674</v>
      </c>
      <c r="AO201" s="535">
        <f t="shared" si="444"/>
        <v>9505.1232176155627</v>
      </c>
      <c r="AP201" s="535">
        <f>Sheet1!BA199+Sheet1!BB199+Sheet1!BN199+CD201</f>
        <v>45.9</v>
      </c>
      <c r="AQ201" s="535">
        <f>Sheet1!BN199+(DO201*Sheet1!BN199)</f>
        <v>45.879088838268792</v>
      </c>
      <c r="AR201" s="535">
        <f>Sheet1!BA199+CD201</f>
        <v>0</v>
      </c>
      <c r="AS201" s="535">
        <f>Sheet1!BA199+Sheet1!BB199+CD201</f>
        <v>0</v>
      </c>
      <c r="AT201" s="649">
        <f>0</f>
        <v>0</v>
      </c>
      <c r="AU201" s="974">
        <f>BA201+Sheet1!EH199</f>
        <v>1.5</v>
      </c>
      <c r="AV201" s="535">
        <f>IF(OR(B201&gt;=GD201,B201&lt;GC201),0,15/36*K201-MAX(0,64.6-(137.6-(Sheet1!AA199+Sheet1!AB199))))</f>
        <v>0</v>
      </c>
      <c r="AW201" s="1029"/>
      <c r="AX201" s="649"/>
      <c r="AY201" s="649">
        <f t="shared" si="410"/>
        <v>0</v>
      </c>
      <c r="AZ201" s="649">
        <f t="shared" si="411"/>
        <v>0</v>
      </c>
      <c r="BA201" s="1059">
        <f t="shared" si="412"/>
        <v>0</v>
      </c>
      <c r="BB201" s="1019">
        <f t="shared" si="445"/>
        <v>1346.3333333333335</v>
      </c>
      <c r="BC201" s="1041">
        <f t="shared" si="413"/>
        <v>0</v>
      </c>
      <c r="BD201" s="1019">
        <f ca="1">IF(B201&gt;(Summary!$A$1-1),#N/A,BB201*MGtoAF)</f>
        <v>4130.550666666667</v>
      </c>
      <c r="BE201" s="535">
        <f>Sheet1!BG199+Sheet1!BH199+Sheet1!BI199-BM201</f>
        <v>2.52</v>
      </c>
      <c r="BF201" s="535">
        <f t="shared" si="446"/>
        <v>2.5188519362186788</v>
      </c>
      <c r="BG201" s="535">
        <f>IF(Sheet1!EP199="FM",BM201,0)</f>
        <v>0</v>
      </c>
      <c r="BH201" s="535">
        <f t="shared" si="447"/>
        <v>0</v>
      </c>
      <c r="BI201" s="535">
        <f>IF(Sheet1!EP199="OTHER",BM201,0)</f>
        <v>0</v>
      </c>
      <c r="BJ201" s="535">
        <f t="shared" si="448"/>
        <v>0</v>
      </c>
      <c r="BK201" s="535">
        <f t="shared" si="449"/>
        <v>2.52</v>
      </c>
      <c r="BL201" s="535">
        <f t="shared" si="450"/>
        <v>2.5188519362186788</v>
      </c>
      <c r="BM201" s="535">
        <f>IF(OR(Sheet1!EP199="FM", Sheet1!EP199="OTHER"),SUM(Sheet1!BG199:'Sheet1'!BI199),0)</f>
        <v>0</v>
      </c>
      <c r="BN201" s="521">
        <f>IF(AND($B201&gt;=$FV201,$B201&lt;=$FW201),MAX(BF201,Sheet1!EI199,0),MAX(BF201-(7/36)*$K201,0))</f>
        <v>2.5188519362186788</v>
      </c>
      <c r="BO201" s="535">
        <f t="shared" si="497"/>
        <v>0</v>
      </c>
      <c r="BP201" s="521">
        <f t="shared" si="452"/>
        <v>0</v>
      </c>
      <c r="BQ201" s="521">
        <f>IF(AND($O201&gt;0,Sheet1!EM199=1),(1-($O201-Sheet1!$L199)/$O201)*BL201,0)</f>
        <v>0</v>
      </c>
      <c r="BR201" s="521">
        <f>IF(AND(Sheet1!$L199=0,Sheet1!$L198=0, Calculation!BK201&lt;Sheet1!$EI199-0.1,Sheet1!$EI199=Sheet1!$EI198,Sheet1!$EI199=Sheet1!$EI200),BL201-BQ201,BL201-BQ201)</f>
        <v>2.5188519362186788</v>
      </c>
      <c r="BS201" s="1035" t="str">
        <f t="shared" si="414"/>
        <v/>
      </c>
      <c r="BT201" s="1035">
        <f t="shared" si="415"/>
        <v>0</v>
      </c>
      <c r="BU201" s="535">
        <f t="shared" si="453"/>
        <v>616.03856868535627</v>
      </c>
      <c r="BV201" s="535"/>
      <c r="BW201" s="535">
        <f ca="1">IF(B201&gt;(Summary!$A$1-1),#N/A,BU201*MGtoAF)</f>
        <v>1890.006328726673</v>
      </c>
      <c r="BX201" s="535">
        <f>Sheet1!BC199+Sheet1!BD199+Sheet1!BE199+Sheet1!BF199-CG201-CH201</f>
        <v>6.98</v>
      </c>
      <c r="BY201" s="535">
        <f t="shared" si="454"/>
        <v>6.9768200455580871</v>
      </c>
      <c r="BZ201" s="535">
        <f>IF(Sheet1!EQ199="FM",CH201,0)</f>
        <v>0</v>
      </c>
      <c r="CA201" s="535">
        <f t="shared" si="455"/>
        <v>0</v>
      </c>
      <c r="CB201" s="535">
        <f>IF(Sheet1!EQ199="OTHER",CH201,0)</f>
        <v>0</v>
      </c>
      <c r="CC201" s="535">
        <f t="shared" si="456"/>
        <v>0</v>
      </c>
      <c r="CD201" s="535">
        <f t="shared" si="457"/>
        <v>0</v>
      </c>
      <c r="CE201" s="535">
        <f t="shared" si="458"/>
        <v>6.98</v>
      </c>
      <c r="CF201" s="535">
        <f t="shared" si="459"/>
        <v>6.9768200455580871</v>
      </c>
      <c r="CG201" s="535">
        <f>IF(Sheet1!EQ199="CWA",SUM(Sheet1!BC199:'Sheet1'!BF199),0)</f>
        <v>0</v>
      </c>
      <c r="CH201" s="535">
        <f>IF(OR(Sheet1!EQ199="FM", Sheet1!EQ199="OTHER"),SUM(Sheet1!BC199:'Sheet1'!BF199),0)</f>
        <v>0</v>
      </c>
      <c r="CI201" s="521">
        <f>IF(AND($B201&gt;=$FV201,$B201&lt;=$FW201),MAX(CF201,Sheet1!EJ199,0),MAX(CF201-(7/36)*$K201,0))</f>
        <v>7</v>
      </c>
      <c r="CJ201" s="535">
        <f t="shared" si="499"/>
        <v>0</v>
      </c>
      <c r="CK201" s="521">
        <f t="shared" si="461"/>
        <v>0</v>
      </c>
      <c r="CL201" s="521">
        <f>IF(AND($O201&gt;0,Sheet1!EN199=1),(1-($O201-Sheet1!$L199)/$O201)*CF201,0)</f>
        <v>0</v>
      </c>
      <c r="CM201" s="521">
        <f>IF(AND(Sheet1!$L199=0,Sheet1!$L198=0, Calculation!CE201&lt;Sheet1!EJ199-0.1,Sheet1!EJ199=Sheet1!EJ198,Sheet1!EJ199=Sheet1!EJ200),CF201-CL201,CF201-CL201)</f>
        <v>6.9768200455580871</v>
      </c>
      <c r="CN201" s="1040" t="str">
        <f t="shared" si="416"/>
        <v/>
      </c>
      <c r="CO201" s="1035">
        <f t="shared" si="417"/>
        <v>0</v>
      </c>
      <c r="CP201" s="535">
        <f t="shared" si="462"/>
        <v>583.38888888888891</v>
      </c>
      <c r="CQ201" s="535"/>
      <c r="CR201" s="535">
        <f ca="1">IF(B201&gt;(Summary!$A$1-1),#N/A,CP201*MGtoAF)</f>
        <v>1789.8371111111112</v>
      </c>
      <c r="CS201" s="535">
        <f>Sheet1!BK199+Sheet1!BL199+Sheet1!BM199-Sheet1!ER199-DA201</f>
        <v>10.45</v>
      </c>
      <c r="CT201" s="535">
        <f t="shared" si="463"/>
        <v>10.445239179954442</v>
      </c>
      <c r="CU201" s="535">
        <f>IF(Sheet1!ER199="FM",DA201,0)</f>
        <v>0</v>
      </c>
      <c r="CV201" s="535">
        <f t="shared" si="464"/>
        <v>0</v>
      </c>
      <c r="CW201" s="535">
        <f>IF(Sheet1!ER199="OTHER",DA201,0)</f>
        <v>0</v>
      </c>
      <c r="CX201" s="535">
        <f t="shared" si="465"/>
        <v>0</v>
      </c>
      <c r="CY201" s="535">
        <f t="shared" si="466"/>
        <v>10.45</v>
      </c>
      <c r="CZ201" s="535">
        <f t="shared" si="467"/>
        <v>10.445239179954442</v>
      </c>
      <c r="DA201" s="535">
        <f>IF(OR(Sheet1!ER199="FM", Sheet1!ER199="OTHER"),SUM(Sheet1!BK199:'Sheet1'!BM199),0)</f>
        <v>0</v>
      </c>
      <c r="DB201" s="1011">
        <f>IF(AND($B201&gt;=$FV201,$B201&lt;=$FW201),MAX($CT201,Sheet1!EK199,0),MAX($CT201-(7/36)*$K201,0))</f>
        <v>10.5</v>
      </c>
      <c r="DC201" s="1012">
        <f t="shared" si="498"/>
        <v>0</v>
      </c>
      <c r="DD201" s="1011">
        <f t="shared" si="469"/>
        <v>0</v>
      </c>
      <c r="DE201" s="521">
        <f>IF(AND($O201&gt;0,Sheet1!EO199=1),(1-($O201-Sheet1!$L199)/$O201)*CZ201,0)</f>
        <v>0</v>
      </c>
      <c r="DF201" s="521">
        <f>IF(AND(Sheet1!$L199=0,Sheet1!$L198=0, Calculation!CY201&lt;Sheet1!$EK199-0.1,Sheet1!$EK199=Sheet1!$EK198,Sheet1!$EK199=Sheet1!$EK200),CZ201-DE201,CZ201-DE201)</f>
        <v>10.445239179954442</v>
      </c>
      <c r="DG201" s="1040">
        <f t="shared" si="418"/>
        <v>0</v>
      </c>
      <c r="DH201" s="649">
        <f t="shared" si="470"/>
        <v>19.95</v>
      </c>
      <c r="DI201" s="535">
        <f t="shared" si="471"/>
        <v>552.38888888888891</v>
      </c>
      <c r="DJ201" s="649">
        <f t="shared" si="472"/>
        <v>19.940911161731208</v>
      </c>
      <c r="DK201" s="535">
        <f ca="1">IF(B201&gt;(Summary!$A$1-1),#N/A,DI201*MGtoAF)</f>
        <v>1694.7291111111113</v>
      </c>
      <c r="DL201" s="649">
        <f t="shared" si="473"/>
        <v>19.95</v>
      </c>
      <c r="DM201" s="535">
        <f t="shared" si="474"/>
        <v>65.849999999999994</v>
      </c>
      <c r="DN201" s="535">
        <f>Sheet1!AB199-DM201</f>
        <v>-3.0000000000001137E-2</v>
      </c>
      <c r="DO201" s="743">
        <f t="shared" si="475"/>
        <v>-4.5558086560366196E-4</v>
      </c>
      <c r="DP201" s="535">
        <f>(VLOOKUP(Sheet1!DC199,hhdcap_wcm,4)-(((VLOOKUP(Sheet1!DC199,hhdcap_wcm,3)-Sheet1!DC199)/(VLOOKUP(Sheet1!DC199,hhdcap_wcm,3)-VLOOKUP(Sheet1!DC199,hhdcap_wcm,1)))*(VLOOKUP(Sheet1!DC199,hhdcap_wcm,4)-VLOOKUP(Sheet1!DC199,hhdcap_wcm,2))))</f>
        <v>47072.000000115106</v>
      </c>
      <c r="DQ201" s="535">
        <f t="shared" si="476"/>
        <v>-167.00000000025466</v>
      </c>
      <c r="DR201" s="535">
        <f t="shared" si="477"/>
        <v>-84.215834594177835</v>
      </c>
      <c r="DS201" s="535">
        <f>Sheet1!EA199*AFtoMG</f>
        <v>0</v>
      </c>
      <c r="DT201" s="535">
        <f>Sheet1!EB199*AFtoMG</f>
        <v>0</v>
      </c>
      <c r="DU201" s="535">
        <f>Sheet1!EC199*AFtoMG</f>
        <v>0</v>
      </c>
      <c r="DV201" s="535">
        <f>Sheet1!ED199*AFtoMG</f>
        <v>0</v>
      </c>
      <c r="DW201" s="535">
        <f t="shared" si="478"/>
        <v>0</v>
      </c>
      <c r="DX201" s="535">
        <f t="shared" si="479"/>
        <v>0</v>
      </c>
      <c r="DY201" s="535">
        <f t="shared" si="480"/>
        <v>3098.1496797964674</v>
      </c>
      <c r="DZ201" s="535">
        <f t="shared" si="481"/>
        <v>9505.1232176155627</v>
      </c>
      <c r="EA201" s="535"/>
      <c r="EB201" s="521">
        <f>IF(OR(B201&lt;FV201,B201&gt;FW201),(MIN(BF201+BY201+CT201+MAX(Sheet1!AA199+AQ201-73,0),K201)),0)</f>
        <v>0</v>
      </c>
      <c r="EC201" s="535"/>
      <c r="ED201" s="535">
        <f t="shared" si="482"/>
        <v>19.940911161731208</v>
      </c>
      <c r="EE201" s="535"/>
      <c r="EF201" s="535">
        <f>Sheet1!EH199+Sheet1!EI199+Sheet1!EJ199+Sheet1!EK199</f>
        <v>21.5</v>
      </c>
      <c r="EG201" s="1019">
        <f t="shared" si="419"/>
        <v>33.2605</v>
      </c>
      <c r="EH201" s="521">
        <f t="shared" si="483"/>
        <v>0</v>
      </c>
      <c r="EI201" s="535">
        <f>IF(Sheet1!ET199=1,SUM('Calculations II'!AT201:BA201)+'Calculations II'!BC201+Sheet1!BV199+'Calculations II'!BE201+AP201,'Calculations II'!BK201)</f>
        <v>76.221058838268789</v>
      </c>
      <c r="EJ201" s="535">
        <f ca="1">EI201+'Calculations II'!D201+'Calculations II'!E201+'Calculations II'!O201</f>
        <v>75.892217394964547</v>
      </c>
      <c r="EK201" s="535"/>
      <c r="EL201" s="535"/>
      <c r="EM201" s="535">
        <f t="shared" si="484"/>
        <v>42925</v>
      </c>
      <c r="EN201" s="535">
        <f t="shared" si="485"/>
        <v>-21.518851936218681</v>
      </c>
      <c r="EO201" s="535">
        <f t="shared" si="486"/>
        <v>-33.289663945330297</v>
      </c>
      <c r="EP201" s="535">
        <v>0</v>
      </c>
      <c r="EQ201" s="535">
        <v>0</v>
      </c>
      <c r="ER201" s="535">
        <v>0</v>
      </c>
      <c r="ES201" s="521">
        <f t="shared" ref="ES201:ES264" si="516">ET201+EU201</f>
        <v>0.27698877661613003</v>
      </c>
      <c r="ET201" s="535">
        <f>-(VLOOKUP(Sheet1!BQ199,Lookup!$O$4:$Q$262,2)-VLOOKUP(Sheet1!BQ198,Lookup!$O$4:$Q$262,2))/1000000</f>
        <v>0.13847195860936864</v>
      </c>
      <c r="EU201" s="535">
        <f>-(VLOOKUP(Sheet1!BR199,Lookup!$O$4:$Q$262,3)-VLOOKUP(Sheet1!BR198,Lookup!$O$4:$Q$262,3))/1000000</f>
        <v>0.13851681800676138</v>
      </c>
      <c r="EV201" s="535"/>
      <c r="EW201" s="535"/>
      <c r="EX201" s="535"/>
      <c r="EY201" s="535">
        <f t="shared" si="502"/>
        <v>-115.06442416137601</v>
      </c>
      <c r="EZ201" s="535"/>
      <c r="FA201" s="535"/>
      <c r="FB201" s="535"/>
      <c r="FC201" s="535"/>
      <c r="FD201" s="567">
        <f t="shared" si="504"/>
        <v>1139.4136986300575</v>
      </c>
      <c r="FE201" s="567" t="e">
        <f t="shared" si="488"/>
        <v>#N/A</v>
      </c>
      <c r="FF201" s="568" t="e">
        <f t="shared" si="489"/>
        <v>#N/A</v>
      </c>
      <c r="FG201" s="569" t="s">
        <v>656</v>
      </c>
      <c r="FH201" s="569" t="s">
        <v>656</v>
      </c>
      <c r="FI201" s="567" t="e">
        <v>#N/A</v>
      </c>
      <c r="FJ201" s="725">
        <v>22829</v>
      </c>
      <c r="FK201" s="535"/>
      <c r="FL201" s="1015">
        <f t="shared" si="503"/>
        <v>42.360060514372158</v>
      </c>
      <c r="FM201" s="535"/>
      <c r="FN201" s="535"/>
      <c r="FO201" s="535">
        <f>O201+((Sheet1!CS199)*GPMtoMGD)</f>
        <v>95.11999999999999</v>
      </c>
      <c r="FP201" s="535">
        <f>IF(Sheet1!AA199+AQ201&lt;=Calculation!N201,AQ201,Calculation!N201-Sheet1!AA199)</f>
        <v>43.743200000000002</v>
      </c>
      <c r="FQ201" s="535">
        <f>(Sheet1!BP199+Sheet1!BO199)/694.4</f>
        <v>3.972206221198157</v>
      </c>
      <c r="FR201" s="541"/>
      <c r="FS201" s="541"/>
      <c r="FT201" s="541"/>
      <c r="FU201" s="541"/>
      <c r="FV201" s="1109">
        <f t="shared" ref="FV201:FV264" si="517">$FV$4</f>
        <v>42918</v>
      </c>
      <c r="FW201" s="1109">
        <f t="shared" ref="FW201:FW264" si="518">$FW$4</f>
        <v>43027</v>
      </c>
      <c r="FX201" s="541"/>
      <c r="FY201" s="541">
        <f>Sheet1!DA199-Sheet1!CZ199-Sheet1!AE199</f>
        <v>-120.15063999999998</v>
      </c>
      <c r="FZ201" s="535">
        <f t="shared" si="420"/>
        <v>-0.37690278576743136</v>
      </c>
      <c r="GA201" s="535"/>
      <c r="GB201" s="535" t="str">
        <f t="shared" ref="GB201:GB264" si="519">$GB$4</f>
        <v>n</v>
      </c>
      <c r="GC201" s="539">
        <f t="shared" ref="GC201:GC264" si="520">$GC$4</f>
        <v>42782</v>
      </c>
      <c r="GD201" s="1109">
        <f t="shared" ref="GD201:GD264" si="521">$GD$4</f>
        <v>42904</v>
      </c>
      <c r="GE201" s="535">
        <f t="shared" si="404"/>
        <v>6520</v>
      </c>
      <c r="GF201" s="1109">
        <f t="shared" ref="GF201:GF264" si="522">$GF$4</f>
        <v>42909</v>
      </c>
      <c r="GG201" s="535">
        <f t="shared" si="432"/>
        <v>3260</v>
      </c>
      <c r="GH201" s="539">
        <f t="shared" ref="GH201:GH264" si="523">$GH$4</f>
        <v>43040</v>
      </c>
      <c r="GJ201" s="521">
        <f t="shared" ref="GJ201:GJ264" si="524">IF(AND(B201&gt;=GD201,B201&lt;GF201),AFtoMG*(20000-AO200),GL201+GZ201+GS201+HG201)</f>
        <v>0</v>
      </c>
      <c r="GK201" s="535" t="str">
        <f t="shared" si="490"/>
        <v/>
      </c>
      <c r="GL201" s="535">
        <f t="shared" ref="GL201:GL264" si="525">IF(GP201&gt;=8333.3,AV201,0)</f>
        <v>0</v>
      </c>
      <c r="GM201" s="535" t="str">
        <f t="shared" ref="GM201:GM264" si="526">IF(AND(GP201&lt;8333.3,GJ201&gt;0),"T","")</f>
        <v/>
      </c>
      <c r="GN201" s="535">
        <f>IF(GK201="P",Lookup!$M$12,IF(GK201="PP",Lookup!$M$13,IF(GK201="PPP",Lookup!$M$14,IF(GK201="T",Lookup!$M$15,IF(GK201="TP",Lookup!$M$16,IF(GK201="TPP",Lookup!$M$17,IF(GK201="TPPP",Lookup!$M$18,0)))))))*GJ201</f>
        <v>0</v>
      </c>
      <c r="GO201" s="535">
        <f t="shared" ref="GO201:GO264" si="527">IF(GM201="T", MIN(GN201, 2716.2-$GQ201),0)</f>
        <v>0</v>
      </c>
      <c r="GP201" s="535">
        <f t="shared" si="491"/>
        <v>4130.550666666667</v>
      </c>
      <c r="GQ201" s="974">
        <f t="shared" si="500"/>
        <v>1346.3333333333335</v>
      </c>
      <c r="GR201" s="535"/>
      <c r="GS201" s="535">
        <f t="shared" ref="GS201:GS264" si="528">IF(GW201&gt;=3888.8,BO201,0)</f>
        <v>0</v>
      </c>
      <c r="GT201" s="535" t="str">
        <f t="shared" ref="GT201:GT264" si="529">IF(AND(GW201&lt;3888.8,GJ201&gt;0),"P","")</f>
        <v/>
      </c>
      <c r="GU201" s="535">
        <f>IF(GK201="P",Lookup!$N$12,IF(GK201="PP",Lookup!$N$13,IF(GK201="PPP",Lookup!$N$14,IF(GK201="T",Lookup!$N$15,IF(GK201="TP",Lookup!$N$16,IF(GK201="TPP",Lookup!$N$17,IF(GK201="TPPP",Lookup!$N$18,0)))))))*GJ201</f>
        <v>0</v>
      </c>
      <c r="GV201" s="535">
        <f t="shared" ref="GV201:GV264" si="530">IF(GT201="P",MIN(GU201,7/36*GE201-GX201),0)</f>
        <v>0</v>
      </c>
      <c r="GW201" s="535">
        <f t="shared" si="492"/>
        <v>1890.006328726673</v>
      </c>
      <c r="GX201" s="974">
        <f t="shared" si="501"/>
        <v>616.03856868535627</v>
      </c>
      <c r="GY201" s="535"/>
      <c r="GZ201" s="535">
        <f t="shared" ref="GZ201:GZ264" si="531">IF(HD201&gt;=3888.8,CJ201,0)</f>
        <v>0</v>
      </c>
      <c r="HA201" s="535" t="str">
        <f t="shared" ref="HA201:HA264" si="532">IF(AND(HD201&lt;3888.8,GJ201&gt;0),"P","")</f>
        <v/>
      </c>
      <c r="HB201" s="535">
        <f>IF(GK201="P",Lookup!$N$12,IF(GK201="PP",Lookup!$N$13,IF(GK201="PPP",Lookup!$N$14,IF(GK201="T",Lookup!$N$15,IF(GK201="TP",Lookup!$N$16,IF(GK201="TPP",Lookup!$N$17,IF(GK201="TPPP",Lookup!$N$18,0)))))))*GJ201</f>
        <v>0</v>
      </c>
      <c r="HC201" s="521">
        <f t="shared" si="493"/>
        <v>0</v>
      </c>
      <c r="HD201" s="535">
        <f t="shared" si="494"/>
        <v>1789.8371111111112</v>
      </c>
      <c r="HE201" s="535">
        <f t="shared" si="401"/>
        <v>583.38888888888891</v>
      </c>
      <c r="HF201" s="535"/>
      <c r="HG201" s="535">
        <f t="shared" ref="HG201:HG264" si="533">IF(HK201&gt;=3888.8,DC201,0)</f>
        <v>0</v>
      </c>
      <c r="HH201" s="535" t="str">
        <f t="shared" ref="HH201:HH264" si="534">IF(AND(HK201&lt;3888.8,GJ201&gt;0),"P","")</f>
        <v/>
      </c>
      <c r="HI201" s="535">
        <f>IF(GK201="P",Lookup!$N$12,IF(GK201="PP",Lookup!$N$13,IF(GK201="PPP",Lookup!$N$14,IF(GK201="T",Lookup!$N$15,IF(GK201="TP",Lookup!$N$16,IF(GK201="TPP",Lookup!$N$17,IF(GK201="TPPP",Lookup!$N$18,0)))))))*GJ201</f>
        <v>0</v>
      </c>
      <c r="HJ201" s="521">
        <f t="shared" si="495"/>
        <v>0</v>
      </c>
      <c r="HK201" s="535">
        <f t="shared" si="496"/>
        <v>1694.7291111111113</v>
      </c>
      <c r="HL201" s="535">
        <f t="shared" si="402"/>
        <v>552.38888888888891</v>
      </c>
      <c r="HM201" s="535"/>
      <c r="HN201" s="541"/>
      <c r="HO201" s="541"/>
      <c r="HP201" s="541"/>
      <c r="HQ201" s="541">
        <f>IF(AND(B201&gt;=$FV$4,B201&lt;=$FW$4),MAX(110/1.02+$HQ$6+MIN(113/1.02,G201),IF($HV$6-(Sheet1!DA199-Sheet1!DB199)+MIN(113/1.02,G201)&lt;G201+FL201,$HV$6-(Sheet1!DA199-Sheet1!DB199)+MIN(113/1.02,G201),G201+FL201)),MIN(110/1.02+$HQ$6+113/1.02,G201))</f>
        <v>218.62745098039215</v>
      </c>
      <c r="HR201" s="541">
        <f t="shared" si="421"/>
        <v>223</v>
      </c>
      <c r="HS201" s="541">
        <f>HR201+(Sheet1!DA199-Sheet1!DB199)</f>
        <v>384</v>
      </c>
      <c r="HT201" s="541">
        <f t="shared" si="422"/>
        <v>112.9978304</v>
      </c>
      <c r="HU201" s="541">
        <f t="shared" si="423"/>
        <v>271.0021696</v>
      </c>
      <c r="HV201" s="541">
        <f t="shared" si="424"/>
        <v>0</v>
      </c>
      <c r="HW201" s="541" t="str">
        <f t="shared" si="425"/>
        <v/>
      </c>
      <c r="HX201" s="541">
        <f t="shared" si="426"/>
        <v>151.08288507427756</v>
      </c>
      <c r="HY201" s="541">
        <f>Sheet1!CZ199</f>
        <v>403</v>
      </c>
      <c r="HZ201" s="541">
        <f t="shared" si="427"/>
        <v>33.289663945330297</v>
      </c>
      <c r="IA201" s="541">
        <f t="shared" si="428"/>
        <v>112.9978304</v>
      </c>
      <c r="IB201" s="541">
        <f t="shared" si="429"/>
        <v>369.71033605466971</v>
      </c>
      <c r="IC201" s="1019" t="str">
        <f t="shared" si="430"/>
        <v/>
      </c>
      <c r="ID201" s="541">
        <f t="shared" si="431"/>
        <v>256.71250565466971</v>
      </c>
      <c r="IE201" s="541">
        <f>Sheet1!DB199</f>
        <v>269</v>
      </c>
      <c r="IF201" s="533">
        <f>Sheet1!DA199</f>
        <v>430</v>
      </c>
      <c r="IH201" s="541">
        <f>IF(AND($B201&gt;=$GC201,$B201&lt;=$GH201,$DR201&lt;0)+N("only adjusted when pool is drawn down during storage season"),Sheet1!$DB199+$DR201+N("Palmer minus all storage release"),Sheet1!$DB199)</f>
        <v>184.78416540582216</v>
      </c>
      <c r="II201" s="541">
        <f>IF(AND($B201&gt;=$GC201,$B201&lt;=$GH201,$DR201&lt;0)+N("only adjusted when pool is drawn down during storage season"),Sheet1!$DA199+$DR201+N("Auburn minus all storage release"),Sheet1!$DA199)</f>
        <v>345.78416540582214</v>
      </c>
    </row>
    <row r="202" spans="1:243" x14ac:dyDescent="0.25">
      <c r="A202" s="553" t="s">
        <v>4</v>
      </c>
      <c r="B202" s="531">
        <v>42926</v>
      </c>
      <c r="C202" s="536">
        <v>0</v>
      </c>
      <c r="D202" s="506">
        <f t="shared" si="506"/>
        <v>300</v>
      </c>
      <c r="E202" s="506">
        <f t="shared" si="507"/>
        <v>250</v>
      </c>
      <c r="F202" s="506">
        <v>250</v>
      </c>
      <c r="G202" s="535">
        <f>DR202+Sheet1!CZ200</f>
        <v>298.093292989899</v>
      </c>
      <c r="H202" s="1074">
        <f t="shared" si="505"/>
        <v>0</v>
      </c>
      <c r="I202" s="534">
        <f>IF(Sheet1!DA200&gt;=E202,(Sheet1!DA200-E202+P202)*CFStoMGD,0)</f>
        <v>198.50217446399998</v>
      </c>
      <c r="J202" s="995">
        <f>IF(Sheet1!DB200&gt;=D202,(Sheet1!DB200-D202+P202)*CFStoMGD,0)</f>
        <v>0</v>
      </c>
      <c r="K202" s="818">
        <f t="shared" si="406"/>
        <v>0</v>
      </c>
      <c r="L202" s="535">
        <f>Sheet1!AA200+Sheet1!AB200-Sheet1!L200+(Sheet1!DA200-F202)*CFStoMGD-S202-T202-U202</f>
        <v>176.73301378579004</v>
      </c>
      <c r="M202" s="535">
        <f t="shared" si="436"/>
        <v>196.54125468044413</v>
      </c>
      <c r="N202" s="824">
        <f>IF(Sheet1!DA200&gt;=F202,MIN(113*CFStoMGD,MIN(MAX(L202,0),MAX(M202,0))),0)</f>
        <v>73.043199999999999</v>
      </c>
      <c r="O202" s="538">
        <f>Sheet1!AA200+Sheet1!AB200</f>
        <v>95.08</v>
      </c>
      <c r="P202" s="538">
        <f t="shared" si="437"/>
        <v>147.08875999999998</v>
      </c>
      <c r="Q202" s="812">
        <f t="shared" si="407"/>
        <v>73.043199999999999</v>
      </c>
      <c r="R202" s="812">
        <f t="shared" si="508"/>
        <v>21.5</v>
      </c>
      <c r="S202" s="812">
        <f t="shared" si="509"/>
        <v>0</v>
      </c>
      <c r="T202" s="812">
        <f t="shared" si="510"/>
        <v>0</v>
      </c>
      <c r="U202" s="812">
        <f>IF(AND(B202&gt;=FV202,B202&lt;=FW202),ED202+Sheet1!EH200,0)</f>
        <v>21.770986214209962</v>
      </c>
      <c r="V202" s="812"/>
      <c r="W202" s="812">
        <f t="shared" si="511"/>
        <v>0</v>
      </c>
      <c r="X202" s="812">
        <f t="shared" si="512"/>
        <v>0</v>
      </c>
      <c r="Y202" s="812" t="str">
        <f t="shared" si="513"/>
        <v>FALSE</v>
      </c>
      <c r="Z202" s="812">
        <f t="shared" si="514"/>
        <v>95.08</v>
      </c>
      <c r="AA202" s="812">
        <f t="shared" si="515"/>
        <v>94.814186214209968</v>
      </c>
      <c r="AB202" s="1059">
        <f t="shared" si="409"/>
        <v>112.9978304</v>
      </c>
      <c r="AC202" s="538">
        <f>Sheet1!Y200*MGDtoCFS</f>
        <v>45.327100000000002</v>
      </c>
      <c r="AD202" s="538">
        <f>Sheet1!Z200*MGDtoCFS</f>
        <v>101.82353999999998</v>
      </c>
      <c r="AE202" s="538">
        <f>Sheet1!AA200*MGDtoCFS</f>
        <v>45.172399999999996</v>
      </c>
      <c r="AF202" s="538">
        <f>Sheet1!AB200*MGDtoCFS</f>
        <v>101.91635999999998</v>
      </c>
      <c r="AG202" s="538">
        <f>Sheet1!L200*MGDtoCFS</f>
        <v>0</v>
      </c>
      <c r="AH202" s="521">
        <f t="shared" si="438"/>
        <v>21.853649447053474</v>
      </c>
      <c r="AI202" s="1059">
        <f t="shared" si="439"/>
        <v>33.807595694591726</v>
      </c>
      <c r="AJ202" s="535">
        <f t="shared" si="440"/>
        <v>0</v>
      </c>
      <c r="AK202" s="535">
        <f t="shared" si="441"/>
        <v>0</v>
      </c>
      <c r="AL202" s="535">
        <f>(VLOOKUP(Sheet1!DC200,hhdcap_wcm,4)-(((VLOOKUP(Sheet1!DC200,hhdcap_wcm,3)-Sheet1!DC200)/(VLOOKUP(Sheet1!DC200,hhdcap_wcm,3)-VLOOKUP(Sheet1!DC200,hhdcap_wcm,1)))*(VLOOKUP(Sheet1!DC200,hhdcap_wcm,4)-VLOOKUP(Sheet1!DC200,hhdcap_wcm,2))))</f>
        <v>46883.800000114075</v>
      </c>
      <c r="AM202" s="535">
        <f t="shared" si="442"/>
        <v>-188.20000000103028</v>
      </c>
      <c r="AN202" s="1035">
        <f t="shared" si="443"/>
        <v>3076.2960303494137</v>
      </c>
      <c r="AO202" s="535">
        <f t="shared" si="444"/>
        <v>9438.0762211120018</v>
      </c>
      <c r="AP202" s="535">
        <f>Sheet1!BA200+Sheet1!BB200+Sheet1!BN200+CD202</f>
        <v>46.2</v>
      </c>
      <c r="AQ202" s="535">
        <f>Sheet1!BN200+(DO202*Sheet1!BN200)</f>
        <v>46.109013785790026</v>
      </c>
      <c r="AR202" s="535">
        <f>Sheet1!BA200+CD202</f>
        <v>0</v>
      </c>
      <c r="AS202" s="535">
        <f>Sheet1!BA200+Sheet1!BB200+CD202</f>
        <v>0</v>
      </c>
      <c r="AT202" s="649">
        <f>0</f>
        <v>0</v>
      </c>
      <c r="AU202" s="974">
        <f>BA202+Sheet1!EH200</f>
        <v>2</v>
      </c>
      <c r="AV202" s="535">
        <f>IF(OR(B202&gt;=GD202,B202&lt;GC202),0,15/36*K202-MAX(0,64.6-(137.6-(Sheet1!AA200+Sheet1!AB200))))</f>
        <v>0</v>
      </c>
      <c r="AW202" s="1029"/>
      <c r="AX202" s="649"/>
      <c r="AY202" s="649">
        <f t="shared" si="410"/>
        <v>0</v>
      </c>
      <c r="AZ202" s="649">
        <f t="shared" si="411"/>
        <v>0</v>
      </c>
      <c r="BA202" s="1059">
        <f t="shared" si="412"/>
        <v>0</v>
      </c>
      <c r="BB202" s="1019">
        <f t="shared" si="445"/>
        <v>1344.3333333333335</v>
      </c>
      <c r="BC202" s="1041">
        <f t="shared" si="413"/>
        <v>0</v>
      </c>
      <c r="BD202" s="1019">
        <f ca="1">IF(B202&gt;(Summary!$A$1-1),#N/A,BB202*MGtoAF)</f>
        <v>4124.4146666666675</v>
      </c>
      <c r="BE202" s="535">
        <f>Sheet1!BG200+Sheet1!BH200+Sheet1!BI200-BM202</f>
        <v>2.52</v>
      </c>
      <c r="BF202" s="535">
        <f t="shared" si="446"/>
        <v>2.5150371155885467</v>
      </c>
      <c r="BG202" s="535">
        <f>IF(Sheet1!EP200="FM",BM202,0)</f>
        <v>0</v>
      </c>
      <c r="BH202" s="535">
        <f t="shared" si="447"/>
        <v>0</v>
      </c>
      <c r="BI202" s="535">
        <f>IF(Sheet1!EP200="OTHER",BM202,0)</f>
        <v>0</v>
      </c>
      <c r="BJ202" s="535">
        <f t="shared" si="448"/>
        <v>0</v>
      </c>
      <c r="BK202" s="535">
        <f t="shared" si="449"/>
        <v>2.52</v>
      </c>
      <c r="BL202" s="535">
        <f t="shared" si="450"/>
        <v>2.5150371155885467</v>
      </c>
      <c r="BM202" s="535">
        <f>IF(OR(Sheet1!EP200="FM", Sheet1!EP200="OTHER"),SUM(Sheet1!BG200:'Sheet1'!BI200),0)</f>
        <v>0</v>
      </c>
      <c r="BN202" s="521">
        <f>IF(AND($B202&gt;=$FV202,$B202&lt;=$FW202),MAX(BF202,Sheet1!EI200,0),MAX(BF202-(7/36)*$K202,0))</f>
        <v>2.5150371155885467</v>
      </c>
      <c r="BO202" s="535">
        <f t="shared" si="497"/>
        <v>0</v>
      </c>
      <c r="BP202" s="521">
        <f t="shared" si="452"/>
        <v>0</v>
      </c>
      <c r="BQ202" s="521">
        <f>IF(AND($O202&gt;0,Sheet1!EM200=1),(1-($O202-Sheet1!$L200)/$O202)*BL202,0)</f>
        <v>0</v>
      </c>
      <c r="BR202" s="521">
        <f>IF(AND(Sheet1!$L200=0,Sheet1!$L199=0, Calculation!BK202&lt;Sheet1!$EI200-0.1,Sheet1!$EI200=Sheet1!$EI199,Sheet1!$EI200=Sheet1!$EI201),BL202-BQ202,BL202-BQ202)</f>
        <v>2.5150371155885467</v>
      </c>
      <c r="BS202" s="1035" t="str">
        <f t="shared" si="414"/>
        <v/>
      </c>
      <c r="BT202" s="1035">
        <f t="shared" si="415"/>
        <v>0</v>
      </c>
      <c r="BU202" s="535">
        <f t="shared" si="453"/>
        <v>613.52353156976767</v>
      </c>
      <c r="BV202" s="535"/>
      <c r="BW202" s="535">
        <f ca="1">IF(B202&gt;(Summary!$A$1-1),#N/A,BU202*MGtoAF)</f>
        <v>1882.2901948560473</v>
      </c>
      <c r="BX202" s="535">
        <f>Sheet1!BC200+Sheet1!BD200+Sheet1!BE200+Sheet1!BF200-CG202-CH202</f>
        <v>6.43</v>
      </c>
      <c r="BY202" s="535">
        <f t="shared" si="454"/>
        <v>6.41733676715649</v>
      </c>
      <c r="BZ202" s="535">
        <f>IF(Sheet1!EQ200="FM",CH202,0)</f>
        <v>0</v>
      </c>
      <c r="CA202" s="535">
        <f t="shared" si="455"/>
        <v>0</v>
      </c>
      <c r="CB202" s="535">
        <f>IF(Sheet1!EQ200="OTHER",CH202,0)</f>
        <v>0</v>
      </c>
      <c r="CC202" s="535">
        <f t="shared" si="456"/>
        <v>0</v>
      </c>
      <c r="CD202" s="535">
        <f t="shared" si="457"/>
        <v>0</v>
      </c>
      <c r="CE202" s="535">
        <f t="shared" si="458"/>
        <v>6.43</v>
      </c>
      <c r="CF202" s="535">
        <f t="shared" si="459"/>
        <v>6.41733676715649</v>
      </c>
      <c r="CG202" s="535">
        <f>IF(Sheet1!EQ200="CWA",SUM(Sheet1!BC200:'Sheet1'!BF200),0)</f>
        <v>0</v>
      </c>
      <c r="CH202" s="535">
        <f>IF(OR(Sheet1!EQ200="FM", Sheet1!EQ200="OTHER"),SUM(Sheet1!BC200:'Sheet1'!BF200),0)</f>
        <v>0</v>
      </c>
      <c r="CI202" s="521">
        <f>IF(AND($B202&gt;=$FV202,$B202&lt;=$FW202),MAX(CF202,Sheet1!EJ200,0),MAX(CF202-(7/36)*$K202,0))</f>
        <v>6.5</v>
      </c>
      <c r="CJ202" s="535">
        <f t="shared" si="499"/>
        <v>0</v>
      </c>
      <c r="CK202" s="521">
        <f t="shared" si="461"/>
        <v>0</v>
      </c>
      <c r="CL202" s="521">
        <f>IF(AND($O202&gt;0,Sheet1!EN200=1),(1-($O202-Sheet1!$L200)/$O202)*CF202,0)</f>
        <v>0</v>
      </c>
      <c r="CM202" s="521">
        <f>IF(AND(Sheet1!$L200=0,Sheet1!$L199=0, Calculation!CE202&lt;Sheet1!EJ200-0.1,Sheet1!EJ200=Sheet1!EJ199,Sheet1!EJ200=Sheet1!EJ201),CF202-CL202,CF202-CL202)</f>
        <v>6.41733676715649</v>
      </c>
      <c r="CN202" s="1040" t="str">
        <f t="shared" si="416"/>
        <v/>
      </c>
      <c r="CO202" s="1035">
        <f t="shared" si="417"/>
        <v>0</v>
      </c>
      <c r="CP202" s="535">
        <f t="shared" si="462"/>
        <v>576.88888888888891</v>
      </c>
      <c r="CQ202" s="535"/>
      <c r="CR202" s="535">
        <f ca="1">IF(B202&gt;(Summary!$A$1-1),#N/A,CP202*MGtoAF)</f>
        <v>1769.8951111111112</v>
      </c>
      <c r="CS202" s="535">
        <f>Sheet1!BK200+Sheet1!BL200+Sheet1!BM200-Sheet1!ER200-DA202</f>
        <v>10.86</v>
      </c>
      <c r="CT202" s="535">
        <f t="shared" si="463"/>
        <v>10.838612331464928</v>
      </c>
      <c r="CU202" s="535">
        <f>IF(Sheet1!ER200="FM",DA202,0)</f>
        <v>0</v>
      </c>
      <c r="CV202" s="535">
        <f t="shared" si="464"/>
        <v>0</v>
      </c>
      <c r="CW202" s="535">
        <f>IF(Sheet1!ER200="OTHER",DA202,0)</f>
        <v>0</v>
      </c>
      <c r="CX202" s="535">
        <f t="shared" si="465"/>
        <v>0</v>
      </c>
      <c r="CY202" s="535">
        <f t="shared" si="466"/>
        <v>10.86</v>
      </c>
      <c r="CZ202" s="535">
        <f t="shared" si="467"/>
        <v>10.838612331464928</v>
      </c>
      <c r="DA202" s="535">
        <f>IF(OR(Sheet1!ER200="FM", Sheet1!ER200="OTHER"),SUM(Sheet1!BK200:'Sheet1'!BM200),0)</f>
        <v>0</v>
      </c>
      <c r="DB202" s="1011">
        <f>IF(AND($B202&gt;=$FV202,$B202&lt;=$FW202),MAX($CT202,Sheet1!EK200,0),MAX($CT202-(7/36)*$K202,0))</f>
        <v>10.838612331464928</v>
      </c>
      <c r="DC202" s="1012">
        <f t="shared" si="498"/>
        <v>0</v>
      </c>
      <c r="DD202" s="1011">
        <f t="shared" si="469"/>
        <v>0</v>
      </c>
      <c r="DE202" s="521">
        <f>IF(AND($O202&gt;0,Sheet1!EO200=1),(1-($O202-Sheet1!$L200)/$O202)*CZ202,0)</f>
        <v>0</v>
      </c>
      <c r="DF202" s="521">
        <f>IF(AND(Sheet1!$L200=0,Sheet1!$L199=0, Calculation!CY202&lt;Sheet1!$EK200-0.1,Sheet1!$EK200=Sheet1!$EK199,Sheet1!$EK200=Sheet1!$EK201),CZ202-DE202,CZ202-DE202)</f>
        <v>10.838612331464928</v>
      </c>
      <c r="DG202" s="1040">
        <f t="shared" si="418"/>
        <v>0</v>
      </c>
      <c r="DH202" s="649">
        <f t="shared" si="470"/>
        <v>19.809999999999999</v>
      </c>
      <c r="DI202" s="535">
        <f t="shared" si="471"/>
        <v>541.55027655742401</v>
      </c>
      <c r="DJ202" s="649">
        <f t="shared" si="472"/>
        <v>19.770986214209962</v>
      </c>
      <c r="DK202" s="535">
        <f ca="1">IF(B202&gt;(Summary!$A$1-1),#N/A,DI202*MGtoAF)</f>
        <v>1661.476248478177</v>
      </c>
      <c r="DL202" s="649">
        <f t="shared" si="473"/>
        <v>19.809999999999999</v>
      </c>
      <c r="DM202" s="535">
        <f t="shared" si="474"/>
        <v>66.010000000000005</v>
      </c>
      <c r="DN202" s="535">
        <f>Sheet1!AB200-DM202</f>
        <v>-0.13000000000000966</v>
      </c>
      <c r="DO202" s="743">
        <f t="shared" si="475"/>
        <v>-1.9693985759734836E-3</v>
      </c>
      <c r="DP202" s="535">
        <f>(VLOOKUP(Sheet1!DC200,hhdcap_wcm,4)-(((VLOOKUP(Sheet1!DC200,hhdcap_wcm,3)-Sheet1!DC200)/(VLOOKUP(Sheet1!DC200,hhdcap_wcm,3)-VLOOKUP(Sheet1!DC200,hhdcap_wcm,1)))*(VLOOKUP(Sheet1!DC200,hhdcap_wcm,4)-VLOOKUP(Sheet1!DC200,hhdcap_wcm,2))))</f>
        <v>46883.800000114075</v>
      </c>
      <c r="DQ202" s="535">
        <f t="shared" si="476"/>
        <v>-188.20000000103028</v>
      </c>
      <c r="DR202" s="535">
        <f t="shared" si="477"/>
        <v>-94.906707010100988</v>
      </c>
      <c r="DS202" s="535">
        <f>Sheet1!EA200*AFtoMG</f>
        <v>0</v>
      </c>
      <c r="DT202" s="535">
        <f>Sheet1!EB200*AFtoMG</f>
        <v>0</v>
      </c>
      <c r="DU202" s="535">
        <f>Sheet1!EC200*AFtoMG</f>
        <v>0</v>
      </c>
      <c r="DV202" s="535">
        <f>Sheet1!ED200*AFtoMG</f>
        <v>0</v>
      </c>
      <c r="DW202" s="535">
        <f t="shared" si="478"/>
        <v>0</v>
      </c>
      <c r="DX202" s="535">
        <f t="shared" si="479"/>
        <v>0</v>
      </c>
      <c r="DY202" s="535">
        <f t="shared" si="480"/>
        <v>3076.2960303494137</v>
      </c>
      <c r="DZ202" s="535">
        <f t="shared" si="481"/>
        <v>9438.0762211120018</v>
      </c>
      <c r="EA202" s="535"/>
      <c r="EB202" s="521">
        <f>IF(OR(B202&lt;FV202,B202&gt;FW202),(MIN(BF202+BY202+CT202+MAX(Sheet1!AA200+AQ202-73,0),K202)),0)</f>
        <v>0</v>
      </c>
      <c r="EC202" s="535"/>
      <c r="ED202" s="535">
        <f t="shared" si="482"/>
        <v>19.770986214209962</v>
      </c>
      <c r="EE202" s="535"/>
      <c r="EF202" s="535">
        <f>Sheet1!EH200+Sheet1!EI200+Sheet1!EJ200+Sheet1!EK200</f>
        <v>21.5</v>
      </c>
      <c r="EG202" s="1019">
        <f t="shared" si="419"/>
        <v>33.2605</v>
      </c>
      <c r="EH202" s="521">
        <f t="shared" si="483"/>
        <v>0</v>
      </c>
      <c r="EI202" s="535">
        <f>IF(Sheet1!ET200=1,SUM('Calculations II'!AT202:BA202)+'Calculations II'!BC202+Sheet1!BV200+'Calculations II'!BE202+AP202,'Calculations II'!BK202)</f>
        <v>73.099605785790033</v>
      </c>
      <c r="EJ202" s="535">
        <f ca="1">EI202+'Calculations II'!D202+'Calculations II'!E202+'Calculations II'!O202</f>
        <v>77.999426451353543</v>
      </c>
      <c r="EK202" s="535"/>
      <c r="EL202" s="535"/>
      <c r="EM202" s="535">
        <f t="shared" si="484"/>
        <v>42926</v>
      </c>
      <c r="EN202" s="535">
        <f t="shared" si="485"/>
        <v>-21.853649447053474</v>
      </c>
      <c r="EO202" s="535">
        <f t="shared" si="486"/>
        <v>-33.807595694591726</v>
      </c>
      <c r="EP202" s="535">
        <v>0</v>
      </c>
      <c r="EQ202" s="535">
        <v>0</v>
      </c>
      <c r="ER202" s="535">
        <v>0</v>
      </c>
      <c r="ES202" s="521">
        <f t="shared" si="516"/>
        <v>-3.047581533067893</v>
      </c>
      <c r="ET202" s="535">
        <f>-(VLOOKUP(Sheet1!BQ200,Lookup!$O$4:$Q$262,2)-VLOOKUP(Sheet1!BQ199,Lookup!$O$4:$Q$262,2))/1000000</f>
        <v>-1.5235440113967917</v>
      </c>
      <c r="EU202" s="535">
        <f>-(VLOOKUP(Sheet1!BR200,Lookup!$O$4:$Q$262,3)-VLOOKUP(Sheet1!BR199,Lookup!$O$4:$Q$262,3))/1000000</f>
        <v>-1.5240375216711015</v>
      </c>
      <c r="EV202" s="535"/>
      <c r="EW202" s="535"/>
      <c r="EX202" s="535"/>
      <c r="EY202" s="535">
        <f t="shared" si="502"/>
        <v>-125.4924226834838</v>
      </c>
      <c r="EZ202" s="535"/>
      <c r="FA202" s="535"/>
      <c r="FB202" s="535"/>
      <c r="FC202" s="535"/>
      <c r="FD202" s="567">
        <f t="shared" si="504"/>
        <v>1139.2999999999206</v>
      </c>
      <c r="FE202" s="567" t="e">
        <f t="shared" si="488"/>
        <v>#N/A</v>
      </c>
      <c r="FF202" s="568" t="e">
        <f t="shared" si="489"/>
        <v>#N/A</v>
      </c>
      <c r="FG202" s="569" t="s">
        <v>656</v>
      </c>
      <c r="FH202" s="569" t="s">
        <v>656</v>
      </c>
      <c r="FI202" s="567" t="e">
        <v>#N/A</v>
      </c>
      <c r="FJ202" s="725">
        <v>22745</v>
      </c>
      <c r="FK202" s="535"/>
      <c r="FL202" s="1015">
        <f t="shared" si="503"/>
        <v>42.360060514372158</v>
      </c>
      <c r="FM202" s="535"/>
      <c r="FN202" s="535"/>
      <c r="FO202" s="535">
        <f>O202+((Sheet1!CS200)*GPMtoMGD)</f>
        <v>95.08</v>
      </c>
      <c r="FP202" s="535">
        <f>IF(Sheet1!AA200+AQ202&lt;=Calculation!N202,AQ202,Calculation!N202-Sheet1!AA200)</f>
        <v>43.843199999999996</v>
      </c>
      <c r="FQ202" s="535">
        <f>(Sheet1!BP200+Sheet1!BO200)/694.4</f>
        <v>3.8919930875576036</v>
      </c>
      <c r="FR202" s="541"/>
      <c r="FS202" s="541"/>
      <c r="FT202" s="541"/>
      <c r="FU202" s="541"/>
      <c r="FV202" s="1109">
        <f t="shared" si="517"/>
        <v>42918</v>
      </c>
      <c r="FW202" s="1109">
        <f t="shared" si="518"/>
        <v>43027</v>
      </c>
      <c r="FX202" s="541"/>
      <c r="FY202" s="541">
        <f>Sheet1!DA200-Sheet1!CZ200-Sheet1!AE200</f>
        <v>-130.08875999999998</v>
      </c>
      <c r="FZ202" s="535">
        <f t="shared" si="420"/>
        <v>-0.43640284118840633</v>
      </c>
      <c r="GA202" s="535"/>
      <c r="GB202" s="535" t="str">
        <f t="shared" si="519"/>
        <v>n</v>
      </c>
      <c r="GC202" s="539">
        <f t="shared" si="520"/>
        <v>42782</v>
      </c>
      <c r="GD202" s="1109">
        <f t="shared" si="521"/>
        <v>42904</v>
      </c>
      <c r="GE202" s="535">
        <f t="shared" si="404"/>
        <v>6520</v>
      </c>
      <c r="GF202" s="1109">
        <f t="shared" si="522"/>
        <v>42909</v>
      </c>
      <c r="GG202" s="535">
        <f t="shared" si="432"/>
        <v>3260</v>
      </c>
      <c r="GH202" s="539">
        <f t="shared" si="523"/>
        <v>43040</v>
      </c>
      <c r="GJ202" s="521">
        <f t="shared" si="524"/>
        <v>0</v>
      </c>
      <c r="GK202" s="535" t="str">
        <f t="shared" si="490"/>
        <v/>
      </c>
      <c r="GL202" s="535">
        <f t="shared" si="525"/>
        <v>0</v>
      </c>
      <c r="GM202" s="535" t="str">
        <f t="shared" si="526"/>
        <v/>
      </c>
      <c r="GN202" s="535">
        <f>IF(GK202="P",Lookup!$M$12,IF(GK202="PP",Lookup!$M$13,IF(GK202="PPP",Lookup!$M$14,IF(GK202="T",Lookup!$M$15,IF(GK202="TP",Lookup!$M$16,IF(GK202="TPP",Lookup!$M$17,IF(GK202="TPPP",Lookup!$M$18,0)))))))*GJ202</f>
        <v>0</v>
      </c>
      <c r="GO202" s="535">
        <f t="shared" si="527"/>
        <v>0</v>
      </c>
      <c r="GP202" s="535">
        <f t="shared" si="491"/>
        <v>4124.4146666666675</v>
      </c>
      <c r="GQ202" s="974">
        <f t="shared" si="500"/>
        <v>1344.3333333333335</v>
      </c>
      <c r="GR202" s="535"/>
      <c r="GS202" s="535">
        <f t="shared" si="528"/>
        <v>0</v>
      </c>
      <c r="GT202" s="535" t="str">
        <f t="shared" si="529"/>
        <v/>
      </c>
      <c r="GU202" s="535">
        <f>IF(GK202="P",Lookup!$N$12,IF(GK202="PP",Lookup!$N$13,IF(GK202="PPP",Lookup!$N$14,IF(GK202="T",Lookup!$N$15,IF(GK202="TP",Lookup!$N$16,IF(GK202="TPP",Lookup!$N$17,IF(GK202="TPPP",Lookup!$N$18,0)))))))*GJ202</f>
        <v>0</v>
      </c>
      <c r="GV202" s="535">
        <f t="shared" si="530"/>
        <v>0</v>
      </c>
      <c r="GW202" s="535">
        <f t="shared" si="492"/>
        <v>1882.2901948560473</v>
      </c>
      <c r="GX202" s="974">
        <f t="shared" si="501"/>
        <v>613.52353156976767</v>
      </c>
      <c r="GY202" s="535"/>
      <c r="GZ202" s="535">
        <f t="shared" si="531"/>
        <v>0</v>
      </c>
      <c r="HA202" s="535" t="str">
        <f t="shared" si="532"/>
        <v/>
      </c>
      <c r="HB202" s="535">
        <f>IF(GK202="P",Lookup!$N$12,IF(GK202="PP",Lookup!$N$13,IF(GK202="PPP",Lookup!$N$14,IF(GK202="T",Lookup!$N$15,IF(GK202="TP",Lookup!$N$16,IF(GK202="TPP",Lookup!$N$17,IF(GK202="TPPP",Lookup!$N$18,0)))))))*GJ202</f>
        <v>0</v>
      </c>
      <c r="HC202" s="521">
        <f t="shared" si="493"/>
        <v>0</v>
      </c>
      <c r="HD202" s="535">
        <f t="shared" si="494"/>
        <v>1769.8951111111112</v>
      </c>
      <c r="HE202" s="535">
        <f t="shared" ref="HE202:HE265" si="535">(IF(AND(GB202="Y",B202=GD202),1267.5,IF(AND(B202&lt;GF202,B202&gt;=GC202),MIN(CP201+CJ202-CI202,7/36*GE202),IF(B202=GF202,7/36*GG202,IF(AND(B202&gt;GF202,B202&lt;GH202),MIN(CP201+CJ202-CI202,7/36*GG202),IF(B202&gt;=GH202,0,0))))))+DU202</f>
        <v>576.88888888888891</v>
      </c>
      <c r="HF202" s="535"/>
      <c r="HG202" s="535">
        <f t="shared" si="533"/>
        <v>0</v>
      </c>
      <c r="HH202" s="535" t="str">
        <f t="shared" si="534"/>
        <v/>
      </c>
      <c r="HI202" s="535">
        <f>IF(GK202="P",Lookup!$N$12,IF(GK202="PP",Lookup!$N$13,IF(GK202="PPP",Lookup!$N$14,IF(GK202="T",Lookup!$N$15,IF(GK202="TP",Lookup!$N$16,IF(GK202="TPP",Lookup!$N$17,IF(GK202="TPPP",Lookup!$N$18,0)))))))*GJ202</f>
        <v>0</v>
      </c>
      <c r="HJ202" s="521">
        <f t="shared" si="495"/>
        <v>0</v>
      </c>
      <c r="HK202" s="535">
        <f t="shared" si="496"/>
        <v>1661.476248478177</v>
      </c>
      <c r="HL202" s="535">
        <f t="shared" ref="HL202:HL265" si="536">(IF(AND(GB202="Y",B202=GD202),1267.5,(IF(AND(B202&lt;GF202,B202&gt;=GC202),MIN(DI201+DC202-DB202,7/36*GE202),IF(B202=GF202,7/36*GG202,IF(AND(B202&gt;GF202,B202&lt;GH202),MIN(DI201+DC202-DB202,7/36*GG202),IF(B202&gt;=GH202,0,0)))))))+DV202</f>
        <v>541.55027655742401</v>
      </c>
      <c r="HM202" s="535"/>
      <c r="HN202" s="541"/>
      <c r="HO202" s="541"/>
      <c r="HP202" s="541"/>
      <c r="HQ202" s="541">
        <f>IF(AND(B202&gt;=$FV$4,B202&lt;=$FW$4),MAX(110/1.02+$HQ$6+MIN(113/1.02,G202),IF($HV$6-(Sheet1!DA200-Sheet1!DB200)+MIN(113/1.02,G202)&lt;G202+FL202,$HV$6-(Sheet1!DA200-Sheet1!DB200)+MIN(113/1.02,G202),G202+FL202)),MIN(110/1.02+$HQ$6+113/1.02,G202))</f>
        <v>234.78431372549019</v>
      </c>
      <c r="HR202" s="541">
        <f t="shared" si="421"/>
        <v>239.48</v>
      </c>
      <c r="HS202" s="541">
        <f>HR202+(Sheet1!DA200-Sheet1!DB200)</f>
        <v>380.48</v>
      </c>
      <c r="HT202" s="541">
        <f t="shared" si="422"/>
        <v>112.9978304</v>
      </c>
      <c r="HU202" s="541">
        <f t="shared" si="423"/>
        <v>267.48216960000002</v>
      </c>
      <c r="HV202" s="541">
        <f t="shared" si="424"/>
        <v>0</v>
      </c>
      <c r="HW202" s="541" t="str">
        <f t="shared" si="425"/>
        <v/>
      </c>
      <c r="HX202" s="541">
        <f t="shared" si="426"/>
        <v>124.40809057991808</v>
      </c>
      <c r="HY202" s="541">
        <f>Sheet1!CZ200</f>
        <v>393</v>
      </c>
      <c r="HZ202" s="541">
        <f t="shared" si="427"/>
        <v>33.807595694591726</v>
      </c>
      <c r="IA202" s="541">
        <f t="shared" si="428"/>
        <v>112.9978304</v>
      </c>
      <c r="IB202" s="541">
        <f t="shared" si="429"/>
        <v>359.19240430540827</v>
      </c>
      <c r="IC202" s="1019" t="str">
        <f t="shared" si="430"/>
        <v/>
      </c>
      <c r="ID202" s="541">
        <f t="shared" si="431"/>
        <v>246.19457390540828</v>
      </c>
      <c r="IE202" s="541">
        <f>Sheet1!DB200</f>
        <v>269</v>
      </c>
      <c r="IF202" s="533">
        <f>Sheet1!DA200</f>
        <v>410</v>
      </c>
      <c r="IH202" s="541">
        <f>IF(AND($B202&gt;=$GC202,$B202&lt;=$GH202,$DR202&lt;0)+N("only adjusted when pool is drawn down during storage season"),Sheet1!$DB200+$DR202+N("Palmer minus all storage release"),Sheet1!$DB200)</f>
        <v>174.093292989899</v>
      </c>
      <c r="II202" s="541">
        <f>IF(AND($B202&gt;=$GC202,$B202&lt;=$GH202,$DR202&lt;0)+N("only adjusted when pool is drawn down during storage season"),Sheet1!$DA200+$DR202+N("Auburn minus all storage release"),Sheet1!$DA200)</f>
        <v>315.093292989899</v>
      </c>
    </row>
    <row r="203" spans="1:243" x14ac:dyDescent="0.25">
      <c r="A203" s="553" t="s">
        <v>5</v>
      </c>
      <c r="B203" s="531">
        <v>42927</v>
      </c>
      <c r="C203" s="536">
        <v>0</v>
      </c>
      <c r="D203" s="506">
        <f t="shared" si="506"/>
        <v>300</v>
      </c>
      <c r="E203" s="506">
        <f t="shared" si="507"/>
        <v>250</v>
      </c>
      <c r="F203" s="506">
        <v>250</v>
      </c>
      <c r="G203" s="535">
        <f>DR203+Sheet1!CZ201</f>
        <v>288.84215834529692</v>
      </c>
      <c r="H203" s="1074">
        <f t="shared" si="505"/>
        <v>0</v>
      </c>
      <c r="I203" s="534">
        <f>IF(Sheet1!DA201&gt;=E203,(Sheet1!DA201-E203+P203)*CFStoMGD,0)</f>
        <v>191.32460057599999</v>
      </c>
      <c r="J203" s="995">
        <f>IF(Sheet1!DB201&gt;=D203,(Sheet1!DB201-D203+P203)*CFStoMGD,0)</f>
        <v>0</v>
      </c>
      <c r="K203" s="818">
        <f t="shared" si="406"/>
        <v>0</v>
      </c>
      <c r="L203" s="535">
        <f>Sheet1!AA201+Sheet1!AB201-Sheet1!L201+(Sheet1!DA201-F203)*CFStoMGD-S203-T203-U203</f>
        <v>168.77915829972073</v>
      </c>
      <c r="M203" s="535">
        <f t="shared" si="436"/>
        <v>190.44172257748792</v>
      </c>
      <c r="N203" s="824">
        <f>IF(Sheet1!DA201&gt;=F203,MIN(113*CFStoMGD,MIN(MAX(L203,0),MAX(M203,0))),0)</f>
        <v>73.043199999999999</v>
      </c>
      <c r="O203" s="538">
        <f>Sheet1!AA201+Sheet1!AB201</f>
        <v>93.72</v>
      </c>
      <c r="P203" s="538">
        <f t="shared" si="437"/>
        <v>144.98484000000002</v>
      </c>
      <c r="Q203" s="812">
        <f t="shared" si="407"/>
        <v>71.172758299720755</v>
      </c>
      <c r="R203" s="812">
        <f t="shared" si="508"/>
        <v>21.5</v>
      </c>
      <c r="S203" s="812">
        <f t="shared" si="509"/>
        <v>0</v>
      </c>
      <c r="T203" s="812">
        <f t="shared" si="510"/>
        <v>0</v>
      </c>
      <c r="U203" s="812">
        <f>IF(AND(B203&gt;=FV203,B203&lt;=FW203),ED203+Sheet1!EH201,0)</f>
        <v>22.547241700279244</v>
      </c>
      <c r="V203" s="812"/>
      <c r="W203" s="812">
        <f t="shared" si="511"/>
        <v>0</v>
      </c>
      <c r="X203" s="812">
        <f t="shared" si="512"/>
        <v>0</v>
      </c>
      <c r="Y203" s="812" t="str">
        <f t="shared" si="513"/>
        <v>FALSE</v>
      </c>
      <c r="Z203" s="812">
        <f t="shared" si="514"/>
        <v>93.72</v>
      </c>
      <c r="AA203" s="812">
        <f t="shared" si="515"/>
        <v>93.72</v>
      </c>
      <c r="AB203" s="1059">
        <f t="shared" si="409"/>
        <v>110.104257089668</v>
      </c>
      <c r="AC203" s="538">
        <f>Sheet1!Y201*MGDtoCFS</f>
        <v>45.172399999999996</v>
      </c>
      <c r="AD203" s="538">
        <f>Sheet1!Z201*MGDtoCFS</f>
        <v>101.91635999999998</v>
      </c>
      <c r="AE203" s="538">
        <f>Sheet1!AA201*MGDtoCFS</f>
        <v>45.327100000000002</v>
      </c>
      <c r="AF203" s="538">
        <f>Sheet1!AB201*MGDtoCFS</f>
        <v>99.657740000000004</v>
      </c>
      <c r="AG203" s="538">
        <f>Sheet1!L201*MGDtoCFS</f>
        <v>0</v>
      </c>
      <c r="AH203" s="521">
        <f t="shared" si="438"/>
        <v>22.601244182438723</v>
      </c>
      <c r="AI203" s="1059">
        <f t="shared" si="439"/>
        <v>34.964124750232706</v>
      </c>
      <c r="AJ203" s="535">
        <f t="shared" si="440"/>
        <v>0</v>
      </c>
      <c r="AK203" s="535">
        <f t="shared" si="441"/>
        <v>0</v>
      </c>
      <c r="AL203" s="535">
        <f>(VLOOKUP(Sheet1!DC201,hhdcap_wcm,4)-(((VLOOKUP(Sheet1!DC201,hhdcap_wcm,3)-Sheet1!DC201)/(VLOOKUP(Sheet1!DC201,hhdcap_wcm,3)-VLOOKUP(Sheet1!DC201,hhdcap_wcm,1)))*(VLOOKUP(Sheet1!DC201,hhdcap_wcm,4)-VLOOKUP(Sheet1!DC201,hhdcap_wcm,2))))</f>
        <v>46707.000000112799</v>
      </c>
      <c r="AM203" s="535">
        <f t="shared" si="442"/>
        <v>-176.8000000012762</v>
      </c>
      <c r="AN203" s="1035">
        <f t="shared" si="443"/>
        <v>3053.6947861669751</v>
      </c>
      <c r="AO203" s="535">
        <f t="shared" si="444"/>
        <v>9368.7356039602801</v>
      </c>
      <c r="AP203" s="535">
        <f>Sheet1!BA201+Sheet1!BB201+Sheet1!BN201+CD203</f>
        <v>43.9</v>
      </c>
      <c r="AQ203" s="535">
        <f>Sheet1!BN201+(DO203*Sheet1!BN201)</f>
        <v>43.872758299720758</v>
      </c>
      <c r="AR203" s="535">
        <f>Sheet1!BA201+CD203</f>
        <v>0</v>
      </c>
      <c r="AS203" s="535">
        <f>Sheet1!BA201+Sheet1!BB201+CD203</f>
        <v>0</v>
      </c>
      <c r="AT203" s="649">
        <f>0</f>
        <v>0</v>
      </c>
      <c r="AU203" s="974">
        <f>BA203+Sheet1!EH201</f>
        <v>2</v>
      </c>
      <c r="AV203" s="535">
        <f>IF(OR(B203&gt;=GD203,B203&lt;GC203),0,15/36*K203-MAX(0,64.6-(137.6-(Sheet1!AA201+Sheet1!AB201))))</f>
        <v>0</v>
      </c>
      <c r="AW203" s="1029"/>
      <c r="AX203" s="649"/>
      <c r="AY203" s="649">
        <f t="shared" si="410"/>
        <v>0</v>
      </c>
      <c r="AZ203" s="649">
        <f t="shared" si="411"/>
        <v>0</v>
      </c>
      <c r="BA203" s="1059">
        <f t="shared" si="412"/>
        <v>0</v>
      </c>
      <c r="BB203" s="1019">
        <f t="shared" si="445"/>
        <v>1342.3333333333335</v>
      </c>
      <c r="BC203" s="1041">
        <f t="shared" si="413"/>
        <v>0</v>
      </c>
      <c r="BD203" s="1019">
        <f ca="1">IF(B203&gt;(Summary!$A$1-1),#N/A,BB203*MGtoAF)</f>
        <v>4118.278666666667</v>
      </c>
      <c r="BE203" s="535">
        <f>Sheet1!BG201+Sheet1!BH201+Sheet1!BI201-BM203</f>
        <v>2.52</v>
      </c>
      <c r="BF203" s="535">
        <f t="shared" si="446"/>
        <v>2.5184362395283899</v>
      </c>
      <c r="BG203" s="535">
        <f>IF(Sheet1!EP201="FM",BM203,0)</f>
        <v>0</v>
      </c>
      <c r="BH203" s="535">
        <f t="shared" si="447"/>
        <v>0</v>
      </c>
      <c r="BI203" s="535">
        <f>IF(Sheet1!EP201="OTHER",BM203,0)</f>
        <v>0</v>
      </c>
      <c r="BJ203" s="535">
        <f t="shared" si="448"/>
        <v>0</v>
      </c>
      <c r="BK203" s="535">
        <f t="shared" si="449"/>
        <v>2.52</v>
      </c>
      <c r="BL203" s="535">
        <f t="shared" si="450"/>
        <v>2.5184362395283899</v>
      </c>
      <c r="BM203" s="535">
        <f>IF(OR(Sheet1!EP201="FM", Sheet1!EP201="OTHER"),SUM(Sheet1!BG201:'Sheet1'!BI201),0)</f>
        <v>0</v>
      </c>
      <c r="BN203" s="521">
        <f>IF(AND($B203&gt;=$FV203,$B203&lt;=$FW203),MAX(BF203,Sheet1!EI201,0),MAX(BF203-(7/36)*$K203,0))</f>
        <v>2.5184362395283899</v>
      </c>
      <c r="BO203" s="535">
        <f t="shared" si="497"/>
        <v>0</v>
      </c>
      <c r="BP203" s="521">
        <f t="shared" si="452"/>
        <v>0</v>
      </c>
      <c r="BQ203" s="521">
        <f>IF(AND($O203&gt;0,Sheet1!EM201=1),(1-($O203-Sheet1!$L201)/$O203)*BL203,0)</f>
        <v>0</v>
      </c>
      <c r="BR203" s="521">
        <f>IF(AND(Sheet1!$L201=0,Sheet1!$L200=0, Calculation!BK203&lt;Sheet1!$EI201-0.1,Sheet1!$EI201=Sheet1!$EI200,Sheet1!$EI201=Sheet1!$EI202),BL203-BQ203,BL203-BQ203)</f>
        <v>2.5184362395283899</v>
      </c>
      <c r="BS203" s="1035" t="str">
        <f t="shared" si="414"/>
        <v/>
      </c>
      <c r="BT203" s="1035">
        <f t="shared" si="415"/>
        <v>0</v>
      </c>
      <c r="BU203" s="535">
        <f t="shared" si="453"/>
        <v>611.00509533023933</v>
      </c>
      <c r="BV203" s="535"/>
      <c r="BW203" s="535">
        <f ca="1">IF(B203&gt;(Summary!$A$1-1),#N/A,BU203*MGtoAF)</f>
        <v>1874.5636324731743</v>
      </c>
      <c r="BX203" s="535">
        <f>Sheet1!BC201+Sheet1!BD201+Sheet1!BE201+Sheet1!BF201-CG203-CH203</f>
        <v>6.45</v>
      </c>
      <c r="BY203" s="535">
        <f t="shared" si="454"/>
        <v>6.4459975178405227</v>
      </c>
      <c r="BZ203" s="535">
        <f>IF(Sheet1!EQ201="FM",CH203,0)</f>
        <v>0</v>
      </c>
      <c r="CA203" s="535">
        <f t="shared" si="455"/>
        <v>0</v>
      </c>
      <c r="CB203" s="535">
        <f>IF(Sheet1!EQ201="OTHER",CH203,0)</f>
        <v>0</v>
      </c>
      <c r="CC203" s="535">
        <f t="shared" si="456"/>
        <v>0</v>
      </c>
      <c r="CD203" s="535">
        <f t="shared" si="457"/>
        <v>0</v>
      </c>
      <c r="CE203" s="535">
        <f t="shared" si="458"/>
        <v>6.45</v>
      </c>
      <c r="CF203" s="535">
        <f t="shared" si="459"/>
        <v>6.4459975178405227</v>
      </c>
      <c r="CG203" s="535">
        <f>IF(Sheet1!EQ201="CWA",SUM(Sheet1!BC201:'Sheet1'!BF201),0)</f>
        <v>0</v>
      </c>
      <c r="CH203" s="535">
        <f>IF(OR(Sheet1!EQ201="FM", Sheet1!EQ201="OTHER"),SUM(Sheet1!BC201:'Sheet1'!BF201),0)</f>
        <v>0</v>
      </c>
      <c r="CI203" s="521">
        <f>IF(AND($B203&gt;=$FV203,$B203&lt;=$FW203),MAX(CF203,Sheet1!EJ201,0),MAX(CF203-(7/36)*$K203,0))</f>
        <v>6.5</v>
      </c>
      <c r="CJ203" s="535">
        <f t="shared" si="499"/>
        <v>0</v>
      </c>
      <c r="CK203" s="521">
        <f t="shared" si="461"/>
        <v>0</v>
      </c>
      <c r="CL203" s="521">
        <f>IF(AND($O203&gt;0,Sheet1!EN201=1),(1-($O203-Sheet1!$L201)/$O203)*CF203,0)</f>
        <v>0</v>
      </c>
      <c r="CM203" s="521">
        <f>IF(AND(Sheet1!$L201=0,Sheet1!$L200=0, Calculation!CE203&lt;Sheet1!EJ201-0.1,Sheet1!EJ201=Sheet1!EJ200,Sheet1!EJ201=Sheet1!EJ202),CF203-CL203,CF203-CL203)</f>
        <v>6.4459975178405227</v>
      </c>
      <c r="CN203" s="1040" t="str">
        <f t="shared" si="416"/>
        <v/>
      </c>
      <c r="CO203" s="1035">
        <f t="shared" si="417"/>
        <v>0</v>
      </c>
      <c r="CP203" s="535">
        <f t="shared" si="462"/>
        <v>570.38888888888891</v>
      </c>
      <c r="CQ203" s="535"/>
      <c r="CR203" s="535">
        <f ca="1">IF(B203&gt;(Summary!$A$1-1),#N/A,CP203*MGtoAF)</f>
        <v>1749.9531111111112</v>
      </c>
      <c r="CS203" s="535">
        <f>Sheet1!BK201+Sheet1!BL201+Sheet1!BM201-Sheet1!ER201-DA203</f>
        <v>11.59</v>
      </c>
      <c r="CT203" s="535">
        <f t="shared" si="463"/>
        <v>11.582807942910334</v>
      </c>
      <c r="CU203" s="535">
        <f>IF(Sheet1!ER201="FM",DA203,0)</f>
        <v>0</v>
      </c>
      <c r="CV203" s="535">
        <f t="shared" si="464"/>
        <v>0</v>
      </c>
      <c r="CW203" s="535">
        <f>IF(Sheet1!ER201="OTHER",DA203,0)</f>
        <v>0</v>
      </c>
      <c r="CX203" s="535">
        <f t="shared" si="465"/>
        <v>0</v>
      </c>
      <c r="CY203" s="535">
        <f t="shared" si="466"/>
        <v>11.59</v>
      </c>
      <c r="CZ203" s="535">
        <f t="shared" si="467"/>
        <v>11.582807942910334</v>
      </c>
      <c r="DA203" s="535">
        <f>IF(OR(Sheet1!ER201="FM", Sheet1!ER201="OTHER"),SUM(Sheet1!BK201:'Sheet1'!BM201),0)</f>
        <v>0</v>
      </c>
      <c r="DB203" s="1011">
        <f>IF(AND($B203&gt;=$FV203,$B203&lt;=$FW203),MAX($CT203,Sheet1!EK201,0),MAX($CT203-(7/36)*$K203,0))</f>
        <v>11.582807942910334</v>
      </c>
      <c r="DC203" s="1012">
        <f t="shared" si="498"/>
        <v>0</v>
      </c>
      <c r="DD203" s="1011">
        <f t="shared" si="469"/>
        <v>0</v>
      </c>
      <c r="DE203" s="521">
        <f>IF(AND($O203&gt;0,Sheet1!EO201=1),(1-($O203-Sheet1!$L201)/$O203)*CZ203,0)</f>
        <v>0</v>
      </c>
      <c r="DF203" s="521">
        <f>IF(AND(Sheet1!$L201=0,Sheet1!$L200=0, Calculation!CY203&lt;Sheet1!$EK201-0.1,Sheet1!$EK201=Sheet1!$EK200,Sheet1!$EK201=Sheet1!$EK202),CZ203-DE203,CZ203-DE203)</f>
        <v>11.582807942910334</v>
      </c>
      <c r="DG203" s="1040">
        <f t="shared" si="418"/>
        <v>0</v>
      </c>
      <c r="DH203" s="649">
        <f t="shared" si="470"/>
        <v>20.560000000000002</v>
      </c>
      <c r="DI203" s="535">
        <f t="shared" si="471"/>
        <v>529.96746861451368</v>
      </c>
      <c r="DJ203" s="649">
        <f t="shared" si="472"/>
        <v>20.547241700279244</v>
      </c>
      <c r="DK203" s="535">
        <f ca="1">IF(B203&gt;(Summary!$A$1-1),#N/A,DI203*MGtoAF)</f>
        <v>1625.940193709328</v>
      </c>
      <c r="DL203" s="649">
        <f t="shared" si="473"/>
        <v>20.56</v>
      </c>
      <c r="DM203" s="535">
        <f t="shared" si="474"/>
        <v>64.459999999999994</v>
      </c>
      <c r="DN203" s="535">
        <f>Sheet1!AB201-DM203</f>
        <v>-3.9999999999992042E-2</v>
      </c>
      <c r="DO203" s="743">
        <f t="shared" si="475"/>
        <v>-6.2053986968650394E-4</v>
      </c>
      <c r="DP203" s="535">
        <f>(VLOOKUP(Sheet1!DC201,hhdcap_wcm,4)-(((VLOOKUP(Sheet1!DC201,hhdcap_wcm,3)-Sheet1!DC201)/(VLOOKUP(Sheet1!DC201,hhdcap_wcm,3)-VLOOKUP(Sheet1!DC201,hhdcap_wcm,1)))*(VLOOKUP(Sheet1!DC201,hhdcap_wcm,4)-VLOOKUP(Sheet1!DC201,hhdcap_wcm,2))))</f>
        <v>46707.000000112799</v>
      </c>
      <c r="DQ203" s="535">
        <f t="shared" si="476"/>
        <v>-176.8000000012762</v>
      </c>
      <c r="DR203" s="535">
        <f t="shared" si="477"/>
        <v>-89.157841654703063</v>
      </c>
      <c r="DS203" s="535">
        <f>Sheet1!EA201*AFtoMG</f>
        <v>0</v>
      </c>
      <c r="DT203" s="535">
        <f>Sheet1!EB201*AFtoMG</f>
        <v>0</v>
      </c>
      <c r="DU203" s="535">
        <f>Sheet1!EC201*AFtoMG</f>
        <v>0</v>
      </c>
      <c r="DV203" s="535">
        <f>Sheet1!ED201*AFtoMG</f>
        <v>0</v>
      </c>
      <c r="DW203" s="535">
        <f t="shared" si="478"/>
        <v>0</v>
      </c>
      <c r="DX203" s="535">
        <f t="shared" si="479"/>
        <v>0</v>
      </c>
      <c r="DY203" s="535">
        <f t="shared" si="480"/>
        <v>3053.6947861669751</v>
      </c>
      <c r="DZ203" s="535">
        <f t="shared" si="481"/>
        <v>9368.7356039602801</v>
      </c>
      <c r="EA203" s="535"/>
      <c r="EB203" s="521">
        <f>IF(OR(B203&lt;FV203,B203&gt;FW203),(MIN(BF203+BY203+CT203+MAX(Sheet1!AA201+AQ203-73,0),K203)),0)</f>
        <v>0</v>
      </c>
      <c r="EC203" s="535"/>
      <c r="ED203" s="535">
        <f t="shared" si="482"/>
        <v>20.547241700279244</v>
      </c>
      <c r="EE203" s="535"/>
      <c r="EF203" s="535">
        <f>Sheet1!EH201+Sheet1!EI201+Sheet1!EJ201+Sheet1!EK201</f>
        <v>21.5</v>
      </c>
      <c r="EG203" s="1019">
        <f t="shared" si="419"/>
        <v>33.2605</v>
      </c>
      <c r="EH203" s="521">
        <f t="shared" si="483"/>
        <v>0</v>
      </c>
      <c r="EI203" s="535">
        <f>IF(Sheet1!ET201=1,SUM('Calculations II'!AT203:BA203)+'Calculations II'!BC203+Sheet1!BV201+'Calculations II'!BE203+AP203,'Calculations II'!BK203)</f>
        <v>74.261560299720756</v>
      </c>
      <c r="EJ203" s="535">
        <f ca="1">EI203+'Calculations II'!D203+'Calculations II'!E203+'Calculations II'!O203</f>
        <v>72.432881077461488</v>
      </c>
      <c r="EK203" s="535"/>
      <c r="EL203" s="535"/>
      <c r="EM203" s="535">
        <f t="shared" si="484"/>
        <v>42927</v>
      </c>
      <c r="EN203" s="535">
        <f t="shared" si="485"/>
        <v>-22.601244182438723</v>
      </c>
      <c r="EO203" s="535">
        <f t="shared" si="486"/>
        <v>-34.964124750232706</v>
      </c>
      <c r="EP203" s="535">
        <v>0</v>
      </c>
      <c r="EQ203" s="535">
        <v>0</v>
      </c>
      <c r="ER203" s="535">
        <v>0</v>
      </c>
      <c r="ES203" s="521">
        <f t="shared" si="516"/>
        <v>0</v>
      </c>
      <c r="ET203" s="535">
        <f>-(VLOOKUP(Sheet1!BQ201,Lookup!$O$4:$Q$262,2)-VLOOKUP(Sheet1!BQ200,Lookup!$O$4:$Q$262,2))/1000000</f>
        <v>0</v>
      </c>
      <c r="EU203" s="535">
        <f>-(VLOOKUP(Sheet1!BR201,Lookup!$O$4:$Q$262,3)-VLOOKUP(Sheet1!BR200,Lookup!$O$4:$Q$262,3))/1000000</f>
        <v>0</v>
      </c>
      <c r="EV203" s="535"/>
      <c r="EW203" s="535"/>
      <c r="EX203" s="535"/>
      <c r="EY203" s="535"/>
      <c r="EZ203" s="535"/>
      <c r="FA203" s="535"/>
      <c r="FB203" s="535"/>
      <c r="FC203" s="535"/>
      <c r="FD203" s="567">
        <f t="shared" si="504"/>
        <v>1139.1863013697837</v>
      </c>
      <c r="FE203" s="567" t="e">
        <f t="shared" si="488"/>
        <v>#N/A</v>
      </c>
      <c r="FF203" s="568" t="e">
        <f t="shared" si="489"/>
        <v>#N/A</v>
      </c>
      <c r="FG203" s="569" t="s">
        <v>656</v>
      </c>
      <c r="FH203" s="569" t="s">
        <v>656</v>
      </c>
      <c r="FI203" s="567" t="e">
        <v>#N/A</v>
      </c>
      <c r="FJ203" s="725">
        <v>22661</v>
      </c>
      <c r="FK203" s="535"/>
      <c r="FL203" s="1015">
        <f t="shared" si="503"/>
        <v>42.360060514372158</v>
      </c>
      <c r="FM203" s="535"/>
      <c r="FN203" s="535"/>
      <c r="FO203" s="535">
        <f>O203+((Sheet1!CS201)*GPMtoMGD)</f>
        <v>93.72</v>
      </c>
      <c r="FP203" s="535">
        <f>IF(Sheet1!AA201+AQ203&lt;=Calculation!N203,AQ203,Calculation!N203-Sheet1!AA201)</f>
        <v>43.743200000000002</v>
      </c>
      <c r="FQ203" s="535">
        <f>(Sheet1!BP201+Sheet1!BO201)/694.4</f>
        <v>3.9084101382488479</v>
      </c>
      <c r="FR203" s="541"/>
      <c r="FS203" s="541"/>
      <c r="FT203" s="541"/>
      <c r="FU203" s="541"/>
      <c r="FV203" s="1109">
        <f t="shared" si="517"/>
        <v>42918</v>
      </c>
      <c r="FW203" s="1109">
        <f t="shared" si="518"/>
        <v>43027</v>
      </c>
      <c r="FX203" s="541"/>
      <c r="FY203" s="541">
        <f>Sheet1!DA201-Sheet1!CZ201-Sheet1!AE201</f>
        <v>-121.98483999999999</v>
      </c>
      <c r="FZ203" s="535">
        <f t="shared" si="420"/>
        <v>-0.42232353025894848</v>
      </c>
      <c r="GA203" s="535"/>
      <c r="GB203" s="535" t="str">
        <f t="shared" si="519"/>
        <v>n</v>
      </c>
      <c r="GC203" s="539">
        <f t="shared" si="520"/>
        <v>42782</v>
      </c>
      <c r="GD203" s="1109">
        <f t="shared" si="521"/>
        <v>42904</v>
      </c>
      <c r="GE203" s="535">
        <f t="shared" si="404"/>
        <v>6520</v>
      </c>
      <c r="GF203" s="1109">
        <f t="shared" si="522"/>
        <v>42909</v>
      </c>
      <c r="GG203" s="535">
        <f t="shared" si="432"/>
        <v>3260</v>
      </c>
      <c r="GH203" s="539">
        <f t="shared" si="523"/>
        <v>43040</v>
      </c>
      <c r="GJ203" s="521">
        <f t="shared" si="524"/>
        <v>0</v>
      </c>
      <c r="GK203" s="535" t="str">
        <f t="shared" si="490"/>
        <v/>
      </c>
      <c r="GL203" s="535">
        <f t="shared" si="525"/>
        <v>0</v>
      </c>
      <c r="GM203" s="535" t="str">
        <f t="shared" si="526"/>
        <v/>
      </c>
      <c r="GN203" s="535">
        <f>IF(GK203="P",Lookup!$M$12,IF(GK203="PP",Lookup!$M$13,IF(GK203="PPP",Lookup!$M$14,IF(GK203="T",Lookup!$M$15,IF(GK203="TP",Lookup!$M$16,IF(GK203="TPP",Lookup!$M$17,IF(GK203="TPPP",Lookup!$M$18,0)))))))*GJ203</f>
        <v>0</v>
      </c>
      <c r="GO203" s="535">
        <f t="shared" si="527"/>
        <v>0</v>
      </c>
      <c r="GP203" s="535">
        <f t="shared" si="491"/>
        <v>4118.278666666667</v>
      </c>
      <c r="GQ203" s="974">
        <f t="shared" si="500"/>
        <v>1342.3333333333335</v>
      </c>
      <c r="GR203" s="535"/>
      <c r="GS203" s="535">
        <f t="shared" si="528"/>
        <v>0</v>
      </c>
      <c r="GT203" s="535" t="str">
        <f t="shared" si="529"/>
        <v/>
      </c>
      <c r="GU203" s="535">
        <f>IF(GK203="P",Lookup!$N$12,IF(GK203="PP",Lookup!$N$13,IF(GK203="PPP",Lookup!$N$14,IF(GK203="T",Lookup!$N$15,IF(GK203="TP",Lookup!$N$16,IF(GK203="TPP",Lookup!$N$17,IF(GK203="TPPP",Lookup!$N$18,0)))))))*GJ203</f>
        <v>0</v>
      </c>
      <c r="GV203" s="535">
        <f t="shared" si="530"/>
        <v>0</v>
      </c>
      <c r="GW203" s="535">
        <f t="shared" si="492"/>
        <v>1874.5636324731743</v>
      </c>
      <c r="GX203" s="974">
        <f t="shared" si="501"/>
        <v>611.00509533023933</v>
      </c>
      <c r="GY203" s="535"/>
      <c r="GZ203" s="535">
        <f t="shared" si="531"/>
        <v>0</v>
      </c>
      <c r="HA203" s="535" t="str">
        <f t="shared" si="532"/>
        <v/>
      </c>
      <c r="HB203" s="535">
        <f>IF(GK203="P",Lookup!$N$12,IF(GK203="PP",Lookup!$N$13,IF(GK203="PPP",Lookup!$N$14,IF(GK203="T",Lookup!$N$15,IF(GK203="TP",Lookup!$N$16,IF(GK203="TPP",Lookup!$N$17,IF(GK203="TPPP",Lookup!$N$18,0)))))))*GJ203</f>
        <v>0</v>
      </c>
      <c r="HC203" s="521">
        <f t="shared" si="493"/>
        <v>0</v>
      </c>
      <c r="HD203" s="535">
        <f t="shared" si="494"/>
        <v>1749.9531111111112</v>
      </c>
      <c r="HE203" s="535">
        <f t="shared" si="535"/>
        <v>570.38888888888891</v>
      </c>
      <c r="HF203" s="535"/>
      <c r="HG203" s="535">
        <f t="shared" si="533"/>
        <v>0</v>
      </c>
      <c r="HH203" s="535" t="str">
        <f t="shared" si="534"/>
        <v/>
      </c>
      <c r="HI203" s="535">
        <f>IF(GK203="P",Lookup!$N$12,IF(GK203="PP",Lookup!$N$13,IF(GK203="PPP",Lookup!$N$14,IF(GK203="T",Lookup!$N$15,IF(GK203="TP",Lookup!$N$16,IF(GK203="TPP",Lookup!$N$17,IF(GK203="TPPP",Lookup!$N$18,0)))))))*GJ203</f>
        <v>0</v>
      </c>
      <c r="HJ203" s="521">
        <f t="shared" si="495"/>
        <v>0</v>
      </c>
      <c r="HK203" s="535">
        <f t="shared" si="496"/>
        <v>1625.940193709328</v>
      </c>
      <c r="HL203" s="535">
        <f t="shared" si="536"/>
        <v>529.96746861451368</v>
      </c>
      <c r="HM203" s="535"/>
      <c r="HN203" s="541"/>
      <c r="HO203" s="541"/>
      <c r="HP203" s="541"/>
      <c r="HQ203" s="541">
        <f>IF(AND(B203&gt;=$FV$4,B203&lt;=$FW$4),MAX(110/1.02+$HQ$6+MIN(113/1.02,G203),IF($HV$6-(Sheet1!DA201-Sheet1!DB201)+MIN(113/1.02,G203)&lt;G203+FL203,$HV$6-(Sheet1!DA201-Sheet1!DB201)+MIN(113/1.02,G203),G203+FL203)),MIN(110/1.02+$HQ$6+113/1.02,G203))</f>
        <v>221.78431372549019</v>
      </c>
      <c r="HR203" s="541">
        <f t="shared" si="421"/>
        <v>226.22</v>
      </c>
      <c r="HS203" s="541">
        <f>HR203+(Sheet1!DA201-Sheet1!DB201)</f>
        <v>380.22</v>
      </c>
      <c r="HT203" s="541">
        <f t="shared" si="422"/>
        <v>110.104257089668</v>
      </c>
      <c r="HU203" s="541">
        <f t="shared" si="423"/>
        <v>270.11574291033202</v>
      </c>
      <c r="HV203" s="541">
        <f t="shared" si="424"/>
        <v>0</v>
      </c>
      <c r="HW203" s="541" t="str">
        <f t="shared" si="425"/>
        <v/>
      </c>
      <c r="HX203" s="541">
        <f t="shared" si="426"/>
        <v>121.25156152427709</v>
      </c>
      <c r="HY203" s="541">
        <f>Sheet1!CZ201</f>
        <v>378</v>
      </c>
      <c r="HZ203" s="541">
        <f t="shared" si="427"/>
        <v>34.964124750232706</v>
      </c>
      <c r="IA203" s="541">
        <f t="shared" si="428"/>
        <v>110.104257089668</v>
      </c>
      <c r="IB203" s="541">
        <f t="shared" si="429"/>
        <v>343.03587524976729</v>
      </c>
      <c r="IC203" s="1019" t="str">
        <f t="shared" si="430"/>
        <v/>
      </c>
      <c r="ID203" s="541">
        <f t="shared" si="431"/>
        <v>232.93161816009928</v>
      </c>
      <c r="IE203" s="541">
        <f>Sheet1!DB201</f>
        <v>247</v>
      </c>
      <c r="IF203" s="533">
        <f>Sheet1!DA201</f>
        <v>401</v>
      </c>
      <c r="IH203" s="541">
        <f>IF(AND($B203&gt;=$GC203,$B203&lt;=$GH203,$DR203&lt;0)+N("only adjusted when pool is drawn down during storage season"),Sheet1!$DB201+$DR203+N("Palmer minus all storage release"),Sheet1!$DB201)</f>
        <v>157.84215834529692</v>
      </c>
      <c r="II203" s="541">
        <f>IF(AND($B203&gt;=$GC203,$B203&lt;=$GH203,$DR203&lt;0)+N("only adjusted when pool is drawn down during storage season"),Sheet1!$DA201+$DR203+N("Auburn minus all storage release"),Sheet1!$DA201)</f>
        <v>311.84215834529692</v>
      </c>
    </row>
    <row r="204" spans="1:243" x14ac:dyDescent="0.25">
      <c r="A204" s="553" t="s">
        <v>6</v>
      </c>
      <c r="B204" s="531">
        <v>42928</v>
      </c>
      <c r="C204" s="536">
        <v>0</v>
      </c>
      <c r="D204" s="506">
        <f t="shared" si="506"/>
        <v>300</v>
      </c>
      <c r="E204" s="506">
        <f t="shared" si="507"/>
        <v>250</v>
      </c>
      <c r="F204" s="506">
        <v>250</v>
      </c>
      <c r="G204" s="535">
        <f>DR204+Sheet1!CZ202</f>
        <v>286.38275340380869</v>
      </c>
      <c r="H204" s="1074">
        <f t="shared" si="505"/>
        <v>0</v>
      </c>
      <c r="I204" s="534">
        <f>IF(Sheet1!DA202&gt;=E204,(Sheet1!DA202-E204+P204)*CFStoMGD,0)</f>
        <v>171.413373312</v>
      </c>
      <c r="J204" s="995">
        <f>IF(Sheet1!DB202&gt;=D204,(Sheet1!DB202-D204+P204)*CFStoMGD,0)</f>
        <v>0</v>
      </c>
      <c r="K204" s="818">
        <f t="shared" si="406"/>
        <v>0</v>
      </c>
      <c r="L204" s="535">
        <f>Sheet1!AA202+Sheet1!AB202-Sheet1!L202+(Sheet1!DA202-F204)*CFStoMGD-S204-T204-U204</f>
        <v>150.01287597087378</v>
      </c>
      <c r="M204" s="535">
        <f t="shared" si="436"/>
        <v>188.82016803622639</v>
      </c>
      <c r="N204" s="824">
        <f>IF(Sheet1!DA202&gt;=F204,MIN(113*CFStoMGD,MIN(MAX(L204,0),MAX(M204,0))),0)</f>
        <v>73.043199999999999</v>
      </c>
      <c r="O204" s="538">
        <f>Sheet1!AA202+Sheet1!AB202</f>
        <v>95.14</v>
      </c>
      <c r="P204" s="538">
        <f t="shared" si="437"/>
        <v>147.18158</v>
      </c>
      <c r="Q204" s="812">
        <f t="shared" si="407"/>
        <v>73.043199999999999</v>
      </c>
      <c r="R204" s="812">
        <f t="shared" si="508"/>
        <v>21.5</v>
      </c>
      <c r="S204" s="812">
        <f t="shared" si="509"/>
        <v>0</v>
      </c>
      <c r="T204" s="812">
        <f t="shared" si="510"/>
        <v>0</v>
      </c>
      <c r="U204" s="812">
        <f>IF(AND(B204&gt;=FV204,B204&lt;=FW204),ED204+Sheet1!EH202,0)</f>
        <v>21.402324029126209</v>
      </c>
      <c r="V204" s="812"/>
      <c r="W204" s="812">
        <f t="shared" si="511"/>
        <v>0</v>
      </c>
      <c r="X204" s="812">
        <f t="shared" si="512"/>
        <v>0</v>
      </c>
      <c r="Y204" s="812" t="str">
        <f t="shared" si="513"/>
        <v>FALSE</v>
      </c>
      <c r="Z204" s="812">
        <f t="shared" si="514"/>
        <v>95.14</v>
      </c>
      <c r="AA204" s="812">
        <f t="shared" si="515"/>
        <v>94.445524029126204</v>
      </c>
      <c r="AB204" s="1059">
        <f t="shared" si="409"/>
        <v>112.9978304</v>
      </c>
      <c r="AC204" s="538">
        <f>Sheet1!Y202*MGDtoCFS</f>
        <v>45.327100000000002</v>
      </c>
      <c r="AD204" s="538">
        <f>Sheet1!Z202*MGDtoCFS</f>
        <v>99.657740000000004</v>
      </c>
      <c r="AE204" s="538">
        <f>Sheet1!AA202*MGDtoCFS</f>
        <v>45.29616</v>
      </c>
      <c r="AF204" s="538">
        <f>Sheet1!AB202*MGDtoCFS</f>
        <v>101.88542</v>
      </c>
      <c r="AG204" s="538">
        <f>Sheet1!L202*MGDtoCFS</f>
        <v>0</v>
      </c>
      <c r="AH204" s="521">
        <f t="shared" si="438"/>
        <v>21.531771844660192</v>
      </c>
      <c r="AI204" s="1059">
        <f t="shared" si="439"/>
        <v>33.309651043689314</v>
      </c>
      <c r="AJ204" s="535">
        <f t="shared" si="440"/>
        <v>0</v>
      </c>
      <c r="AK204" s="535">
        <f t="shared" si="441"/>
        <v>0</v>
      </c>
      <c r="AL204" s="535">
        <f>(VLOOKUP(Sheet1!DC202,hhdcap_wcm,4)-(((VLOOKUP(Sheet1!DC202,hhdcap_wcm,3)-Sheet1!DC202)/(VLOOKUP(Sheet1!DC202,hhdcap_wcm,3)-VLOOKUP(Sheet1!DC202,hhdcap_wcm,1)))*(VLOOKUP(Sheet1!DC202,hhdcap_wcm,4)-VLOOKUP(Sheet1!DC202,hhdcap_wcm,2))))</f>
        <v>46563.000000112552</v>
      </c>
      <c r="AM204" s="535">
        <f t="shared" si="442"/>
        <v>-144.00000000024738</v>
      </c>
      <c r="AN204" s="1035">
        <f t="shared" si="443"/>
        <v>3032.1630143223151</v>
      </c>
      <c r="AO204" s="535">
        <f t="shared" si="444"/>
        <v>9302.6761279408638</v>
      </c>
      <c r="AP204" s="535">
        <f>Sheet1!BA202+Sheet1!BB202+Sheet1!BN202+CD204</f>
        <v>46.5</v>
      </c>
      <c r="AQ204" s="535">
        <f>Sheet1!BN202+(DO204*Sheet1!BN202)</f>
        <v>46.457675970873787</v>
      </c>
      <c r="AR204" s="535">
        <f>Sheet1!BA202+CD204</f>
        <v>0</v>
      </c>
      <c r="AS204" s="535">
        <f>Sheet1!BA202+Sheet1!BB202+CD204</f>
        <v>0</v>
      </c>
      <c r="AT204" s="649">
        <f>0</f>
        <v>0</v>
      </c>
      <c r="AU204" s="974">
        <f>BA204+Sheet1!EH202</f>
        <v>2</v>
      </c>
      <c r="AV204" s="535">
        <f>IF(OR(B204&gt;=GD204,B204&lt;GC204),0,15/36*K204-MAX(0,64.6-(137.6-(Sheet1!AA202+Sheet1!AB202))))</f>
        <v>0</v>
      </c>
      <c r="AW204" s="1029"/>
      <c r="AX204" s="649"/>
      <c r="AY204" s="649">
        <f t="shared" si="410"/>
        <v>0</v>
      </c>
      <c r="AZ204" s="649">
        <f t="shared" si="411"/>
        <v>0</v>
      </c>
      <c r="BA204" s="1059">
        <f t="shared" si="412"/>
        <v>0</v>
      </c>
      <c r="BB204" s="1019">
        <f t="shared" si="445"/>
        <v>1340.3333333333335</v>
      </c>
      <c r="BC204" s="1041">
        <f t="shared" si="413"/>
        <v>0</v>
      </c>
      <c r="BD204" s="1019">
        <f ca="1">IF(B204&gt;(Summary!$A$1-1),#N/A,BB204*MGtoAF)</f>
        <v>4112.1426666666675</v>
      </c>
      <c r="BE204" s="535">
        <f>Sheet1!BG202+Sheet1!BH202+Sheet1!BI202-BM204</f>
        <v>2.52</v>
      </c>
      <c r="BF204" s="535">
        <f t="shared" si="446"/>
        <v>2.5177063106796114</v>
      </c>
      <c r="BG204" s="535">
        <f>IF(Sheet1!EP202="FM",BM204,0)</f>
        <v>0</v>
      </c>
      <c r="BH204" s="535">
        <f t="shared" si="447"/>
        <v>0</v>
      </c>
      <c r="BI204" s="535">
        <f>IF(Sheet1!EP202="OTHER",BM204,0)</f>
        <v>0</v>
      </c>
      <c r="BJ204" s="535">
        <f t="shared" si="448"/>
        <v>0</v>
      </c>
      <c r="BK204" s="535">
        <f t="shared" si="449"/>
        <v>2.52</v>
      </c>
      <c r="BL204" s="535">
        <f t="shared" si="450"/>
        <v>2.5177063106796114</v>
      </c>
      <c r="BM204" s="535">
        <f>IF(OR(Sheet1!EP202="FM", Sheet1!EP202="OTHER"),SUM(Sheet1!BG202:'Sheet1'!BI202),0)</f>
        <v>0</v>
      </c>
      <c r="BN204" s="521">
        <f>IF(AND($B204&gt;=$FV204,$B204&lt;=$FW204),MAX(BF204,Sheet1!EI202,0),MAX(BF204-(7/36)*$K204,0))</f>
        <v>2.5177063106796114</v>
      </c>
      <c r="BO204" s="535">
        <f t="shared" si="497"/>
        <v>0</v>
      </c>
      <c r="BP204" s="521">
        <f t="shared" si="452"/>
        <v>0</v>
      </c>
      <c r="BQ204" s="521">
        <f>IF(AND($O204&gt;0,Sheet1!EM202=1),(1-($O204-Sheet1!$L202)/$O204)*BL204,0)</f>
        <v>0</v>
      </c>
      <c r="BR204" s="521">
        <f>IF(AND(Sheet1!$L202=0,Sheet1!$L201=0, Calculation!BK204&lt;Sheet1!$EI202-0.1,Sheet1!$EI202=Sheet1!$EI201,Sheet1!$EI202=Sheet1!$EI203),BL204-BQ204,BL204-BQ204)</f>
        <v>2.5177063106796114</v>
      </c>
      <c r="BS204" s="1035" t="str">
        <f t="shared" si="414"/>
        <v/>
      </c>
      <c r="BT204" s="1035">
        <f t="shared" si="415"/>
        <v>0</v>
      </c>
      <c r="BU204" s="535">
        <f t="shared" si="453"/>
        <v>608.48738901955971</v>
      </c>
      <c r="BV204" s="535"/>
      <c r="BW204" s="535">
        <f ca="1">IF(B204&gt;(Summary!$A$1-1),#N/A,BU204*MGtoAF)</f>
        <v>1866.8393095120093</v>
      </c>
      <c r="BX204" s="535">
        <f>Sheet1!BC202+Sheet1!BD202+Sheet1!BE202+Sheet1!BF202-CG204-CH204</f>
        <v>6.52</v>
      </c>
      <c r="BY204" s="535">
        <f t="shared" si="454"/>
        <v>6.514065533980582</v>
      </c>
      <c r="BZ204" s="535">
        <f>IF(Sheet1!EQ202="FM",CH204,0)</f>
        <v>0</v>
      </c>
      <c r="CA204" s="535">
        <f t="shared" si="455"/>
        <v>0</v>
      </c>
      <c r="CB204" s="535">
        <f>IF(Sheet1!EQ202="OTHER",CH204,0)</f>
        <v>0</v>
      </c>
      <c r="CC204" s="535">
        <f t="shared" si="456"/>
        <v>0</v>
      </c>
      <c r="CD204" s="535">
        <f t="shared" si="457"/>
        <v>0</v>
      </c>
      <c r="CE204" s="535">
        <f t="shared" si="458"/>
        <v>6.52</v>
      </c>
      <c r="CF204" s="535">
        <f t="shared" si="459"/>
        <v>6.514065533980582</v>
      </c>
      <c r="CG204" s="535">
        <f>IF(Sheet1!EQ202="CWA",SUM(Sheet1!BC202:'Sheet1'!BF202),0)</f>
        <v>0</v>
      </c>
      <c r="CH204" s="535">
        <f>IF(OR(Sheet1!EQ202="FM", Sheet1!EQ202="OTHER"),SUM(Sheet1!BC202:'Sheet1'!BF202),0)</f>
        <v>0</v>
      </c>
      <c r="CI204" s="521">
        <f>IF(AND($B204&gt;=$FV204,$B204&lt;=$FW204),MAX(CF204,Sheet1!EJ202,0),MAX(CF204-(7/36)*$K204,0))</f>
        <v>6.514065533980582</v>
      </c>
      <c r="CJ204" s="535">
        <f t="shared" si="499"/>
        <v>0</v>
      </c>
      <c r="CK204" s="521">
        <f t="shared" si="461"/>
        <v>0</v>
      </c>
      <c r="CL204" s="521">
        <f>IF(AND($O204&gt;0,Sheet1!EN202=1),(1-($O204-Sheet1!$L202)/$O204)*CF204,0)</f>
        <v>0</v>
      </c>
      <c r="CM204" s="521">
        <f>IF(AND(Sheet1!$L202=0,Sheet1!$L201=0, Calculation!CE204&lt;Sheet1!EJ202-0.1,Sheet1!EJ202=Sheet1!EJ201,Sheet1!EJ202=Sheet1!EJ203),CF204-CL204,CF204-CL204)</f>
        <v>6.514065533980582</v>
      </c>
      <c r="CN204" s="1040" t="str">
        <f t="shared" si="416"/>
        <v/>
      </c>
      <c r="CO204" s="1035">
        <f t="shared" si="417"/>
        <v>0</v>
      </c>
      <c r="CP204" s="535">
        <f t="shared" si="462"/>
        <v>563.87482335490836</v>
      </c>
      <c r="CQ204" s="535"/>
      <c r="CR204" s="535">
        <f ca="1">IF(B204&gt;(Summary!$A$1-1),#N/A,CP204*MGtoAF)</f>
        <v>1729.9679580528589</v>
      </c>
      <c r="CS204" s="535">
        <f>Sheet1!BK202+Sheet1!BL202+Sheet1!BM202-Sheet1!ER202-DA204</f>
        <v>10.379999999999999</v>
      </c>
      <c r="CT204" s="535">
        <f t="shared" si="463"/>
        <v>10.370552184466018</v>
      </c>
      <c r="CU204" s="535">
        <f>IF(Sheet1!ER202="FM",DA204,0)</f>
        <v>0</v>
      </c>
      <c r="CV204" s="535">
        <f t="shared" si="464"/>
        <v>0</v>
      </c>
      <c r="CW204" s="535">
        <f>IF(Sheet1!ER202="OTHER",DA204,0)</f>
        <v>0</v>
      </c>
      <c r="CX204" s="535">
        <f t="shared" si="465"/>
        <v>0</v>
      </c>
      <c r="CY204" s="535">
        <f t="shared" si="466"/>
        <v>10.379999999999999</v>
      </c>
      <c r="CZ204" s="535">
        <f t="shared" si="467"/>
        <v>10.370552184466018</v>
      </c>
      <c r="DA204" s="535">
        <f>IF(OR(Sheet1!ER202="FM", Sheet1!ER202="OTHER"),SUM(Sheet1!BK202:'Sheet1'!BM202),0)</f>
        <v>0</v>
      </c>
      <c r="DB204" s="1011">
        <f>IF(AND($B204&gt;=$FV204,$B204&lt;=$FW204),MAX($CT204,Sheet1!EK202,0),MAX($CT204-(7/36)*$K204,0))</f>
        <v>10.5</v>
      </c>
      <c r="DC204" s="1012">
        <f t="shared" si="498"/>
        <v>0</v>
      </c>
      <c r="DD204" s="1011">
        <f t="shared" si="469"/>
        <v>0</v>
      </c>
      <c r="DE204" s="521">
        <f>IF(AND($O204&gt;0,Sheet1!EO202=1),(1-($O204-Sheet1!$L202)/$O204)*CZ204,0)</f>
        <v>0</v>
      </c>
      <c r="DF204" s="521">
        <f>IF(AND(Sheet1!$L202=0,Sheet1!$L201=0, Calculation!CY204&lt;Sheet1!$EK202-0.1,Sheet1!$EK202=Sheet1!$EK201,Sheet1!$EK202=Sheet1!$EK203),CZ204-DE204,CZ204-DE204)</f>
        <v>10.370552184466018</v>
      </c>
      <c r="DG204" s="1040">
        <f t="shared" si="418"/>
        <v>0</v>
      </c>
      <c r="DH204" s="649">
        <f t="shared" si="470"/>
        <v>19.419999999999998</v>
      </c>
      <c r="DI204" s="535">
        <f t="shared" si="471"/>
        <v>519.46746861451368</v>
      </c>
      <c r="DJ204" s="649">
        <f t="shared" si="472"/>
        <v>19.402324029126213</v>
      </c>
      <c r="DK204" s="535">
        <f ca="1">IF(B204&gt;(Summary!$A$1-1),#N/A,DI204*MGtoAF)</f>
        <v>1593.7261937093281</v>
      </c>
      <c r="DL204" s="649">
        <f t="shared" si="473"/>
        <v>19.419999999999998</v>
      </c>
      <c r="DM204" s="535">
        <f t="shared" si="474"/>
        <v>65.92</v>
      </c>
      <c r="DN204" s="535">
        <f>Sheet1!AB202-DM204</f>
        <v>-6.0000000000002274E-2</v>
      </c>
      <c r="DO204" s="743">
        <f t="shared" si="475"/>
        <v>-9.1019417475731606E-4</v>
      </c>
      <c r="DP204" s="535">
        <f>(VLOOKUP(Sheet1!DC202,hhdcap_wcm,4)-(((VLOOKUP(Sheet1!DC202,hhdcap_wcm,3)-Sheet1!DC202)/(VLOOKUP(Sheet1!DC202,hhdcap_wcm,3)-VLOOKUP(Sheet1!DC202,hhdcap_wcm,1)))*(VLOOKUP(Sheet1!DC202,hhdcap_wcm,4)-VLOOKUP(Sheet1!DC202,hhdcap_wcm,2))))</f>
        <v>46563.000000112552</v>
      </c>
      <c r="DQ204" s="535">
        <f t="shared" si="476"/>
        <v>-144.00000000024738</v>
      </c>
      <c r="DR204" s="535">
        <f t="shared" si="477"/>
        <v>-72.617246596191308</v>
      </c>
      <c r="DS204" s="535">
        <f>Sheet1!EA202*AFtoMG</f>
        <v>0</v>
      </c>
      <c r="DT204" s="535">
        <f>Sheet1!EB202*AFtoMG</f>
        <v>0</v>
      </c>
      <c r="DU204" s="535">
        <f>Sheet1!EC202*AFtoMG</f>
        <v>0</v>
      </c>
      <c r="DV204" s="535">
        <f>Sheet1!ED202*AFtoMG</f>
        <v>0</v>
      </c>
      <c r="DW204" s="535">
        <f t="shared" si="478"/>
        <v>0</v>
      </c>
      <c r="DX204" s="535">
        <f t="shared" si="479"/>
        <v>0</v>
      </c>
      <c r="DY204" s="535">
        <f t="shared" si="480"/>
        <v>3032.1630143223151</v>
      </c>
      <c r="DZ204" s="535">
        <f t="shared" si="481"/>
        <v>9302.6761279408638</v>
      </c>
      <c r="EA204" s="535"/>
      <c r="EB204" s="521">
        <f>IF(OR(B204&lt;FV204,B204&gt;FW204),(MIN(BF204+BY204+CT204+MAX(Sheet1!AA202+AQ204-73,0),K204)),0)</f>
        <v>0</v>
      </c>
      <c r="EC204" s="535"/>
      <c r="ED204" s="535">
        <f t="shared" si="482"/>
        <v>19.402324029126209</v>
      </c>
      <c r="EE204" s="535"/>
      <c r="EF204" s="535">
        <f>Sheet1!EH202+Sheet1!EI202+Sheet1!EJ202+Sheet1!EK202</f>
        <v>21.5</v>
      </c>
      <c r="EG204" s="1019">
        <f t="shared" si="419"/>
        <v>33.2605</v>
      </c>
      <c r="EH204" s="521">
        <f t="shared" si="483"/>
        <v>0</v>
      </c>
      <c r="EI204" s="535">
        <f>IF(Sheet1!ET202=1,SUM('Calculations II'!AT204:BA204)+'Calculations II'!BC204+Sheet1!BV202+'Calculations II'!BE204+AP204,'Calculations II'!BK204)</f>
        <v>76.021735970873777</v>
      </c>
      <c r="EJ204" s="535">
        <f ca="1">EI204+'Calculations II'!D204+'Calculations II'!E204+'Calculations II'!O204</f>
        <v>81.413058799763547</v>
      </c>
      <c r="EK204" s="535"/>
      <c r="EL204" s="535"/>
      <c r="EM204" s="535">
        <f t="shared" si="484"/>
        <v>42928</v>
      </c>
      <c r="EN204" s="535">
        <f t="shared" si="485"/>
        <v>-21.531771844660192</v>
      </c>
      <c r="EO204" s="535">
        <f t="shared" si="486"/>
        <v>-33.309651043689314</v>
      </c>
      <c r="EP204" s="535">
        <v>0</v>
      </c>
      <c r="EQ204" s="535">
        <v>0</v>
      </c>
      <c r="ER204" s="535">
        <v>0</v>
      </c>
      <c r="ES204" s="521">
        <f t="shared" si="516"/>
        <v>-0.27712978117744252</v>
      </c>
      <c r="ET204" s="535">
        <f>-(VLOOKUP(Sheet1!BQ202,Lookup!$O$4:$Q$262,2)-VLOOKUP(Sheet1!BQ201,Lookup!$O$4:$Q$262,2))/1000000</f>
        <v>-0.13854245519972594</v>
      </c>
      <c r="EU204" s="535">
        <f>-(VLOOKUP(Sheet1!BR202,Lookup!$O$4:$Q$262,3)-VLOOKUP(Sheet1!BR201,Lookup!$O$4:$Q$262,3))/1000000</f>
        <v>-0.13858732597771659</v>
      </c>
      <c r="EV204" s="535"/>
      <c r="EW204" s="535"/>
      <c r="EX204" s="535"/>
      <c r="EY204" s="535"/>
      <c r="EZ204" s="535"/>
      <c r="FA204" s="535"/>
      <c r="FB204" s="535"/>
      <c r="FC204" s="535"/>
      <c r="FD204" s="567">
        <f t="shared" si="504"/>
        <v>1139.0712328766331</v>
      </c>
      <c r="FE204" s="567" t="e">
        <f t="shared" si="488"/>
        <v>#N/A</v>
      </c>
      <c r="FF204" s="568" t="e">
        <f t="shared" si="489"/>
        <v>#N/A</v>
      </c>
      <c r="FG204" s="569" t="s">
        <v>656</v>
      </c>
      <c r="FH204" s="569" t="s">
        <v>656</v>
      </c>
      <c r="FI204" s="567" t="e">
        <v>#N/A</v>
      </c>
      <c r="FJ204" s="725">
        <v>22577</v>
      </c>
      <c r="FK204" s="535"/>
      <c r="FL204" s="1015">
        <f t="shared" si="503"/>
        <v>42.360060514372158</v>
      </c>
      <c r="FM204" s="535"/>
      <c r="FN204" s="535"/>
      <c r="FO204" s="535">
        <f>O204+((Sheet1!CS202)*GPMtoMGD)</f>
        <v>95.14</v>
      </c>
      <c r="FP204" s="535">
        <f>IF(Sheet1!AA202+AQ204&lt;=Calculation!N204,AQ204,Calculation!N204-Sheet1!AA202)</f>
        <v>43.763199999999998</v>
      </c>
      <c r="FQ204" s="535">
        <f>(Sheet1!BP202+Sheet1!BO202)/694.4</f>
        <v>3.9962557603686637</v>
      </c>
      <c r="FR204" s="541"/>
      <c r="FS204" s="541"/>
      <c r="FT204" s="541"/>
      <c r="FU204" s="541"/>
      <c r="FV204" s="1109">
        <f t="shared" si="517"/>
        <v>42918</v>
      </c>
      <c r="FW204" s="1109">
        <f t="shared" si="518"/>
        <v>43027</v>
      </c>
      <c r="FX204" s="541"/>
      <c r="FY204" s="541">
        <f>Sheet1!DA202-Sheet1!CZ202-Sheet1!AE202</f>
        <v>-138.18158</v>
      </c>
      <c r="FZ204" s="535">
        <f t="shared" si="420"/>
        <v>-0.48250663965493629</v>
      </c>
      <c r="GA204" s="535"/>
      <c r="GB204" s="535" t="str">
        <f t="shared" si="519"/>
        <v>n</v>
      </c>
      <c r="GC204" s="539">
        <f t="shared" si="520"/>
        <v>42782</v>
      </c>
      <c r="GD204" s="1109">
        <f t="shared" si="521"/>
        <v>42904</v>
      </c>
      <c r="GE204" s="535">
        <f t="shared" ref="GE204:GE267" si="537">$GE$4</f>
        <v>6520</v>
      </c>
      <c r="GF204" s="1109">
        <f t="shared" si="522"/>
        <v>42909</v>
      </c>
      <c r="GG204" s="535">
        <f t="shared" si="432"/>
        <v>3260</v>
      </c>
      <c r="GH204" s="539">
        <f t="shared" si="523"/>
        <v>43040</v>
      </c>
      <c r="GJ204" s="521">
        <f t="shared" si="524"/>
        <v>0</v>
      </c>
      <c r="GK204" s="535" t="str">
        <f t="shared" si="490"/>
        <v/>
      </c>
      <c r="GL204" s="535">
        <f t="shared" si="525"/>
        <v>0</v>
      </c>
      <c r="GM204" s="535" t="str">
        <f t="shared" si="526"/>
        <v/>
      </c>
      <c r="GN204" s="535">
        <f>IF(GK204="P",Lookup!$M$12,IF(GK204="PP",Lookup!$M$13,IF(GK204="PPP",Lookup!$M$14,IF(GK204="T",Lookup!$M$15,IF(GK204="TP",Lookup!$M$16,IF(GK204="TPP",Lookup!$M$17,IF(GK204="TPPP",Lookup!$M$18,0)))))))*GJ204</f>
        <v>0</v>
      </c>
      <c r="GO204" s="535">
        <f t="shared" si="527"/>
        <v>0</v>
      </c>
      <c r="GP204" s="535">
        <f t="shared" si="491"/>
        <v>4112.1426666666675</v>
      </c>
      <c r="GQ204" s="974">
        <f t="shared" si="500"/>
        <v>1340.3333333333335</v>
      </c>
      <c r="GR204" s="535"/>
      <c r="GS204" s="535">
        <f t="shared" si="528"/>
        <v>0</v>
      </c>
      <c r="GT204" s="535" t="str">
        <f t="shared" si="529"/>
        <v/>
      </c>
      <c r="GU204" s="535">
        <f>IF(GK204="P",Lookup!$N$12,IF(GK204="PP",Lookup!$N$13,IF(GK204="PPP",Lookup!$N$14,IF(GK204="T",Lookup!$N$15,IF(GK204="TP",Lookup!$N$16,IF(GK204="TPP",Lookup!$N$17,IF(GK204="TPPP",Lookup!$N$18,0)))))))*GJ204</f>
        <v>0</v>
      </c>
      <c r="GV204" s="535">
        <f t="shared" si="530"/>
        <v>0</v>
      </c>
      <c r="GW204" s="535">
        <f t="shared" si="492"/>
        <v>1866.8393095120093</v>
      </c>
      <c r="GX204" s="974">
        <f t="shared" si="501"/>
        <v>608.48738901955971</v>
      </c>
      <c r="GY204" s="535"/>
      <c r="GZ204" s="535">
        <f t="shared" si="531"/>
        <v>0</v>
      </c>
      <c r="HA204" s="535" t="str">
        <f t="shared" si="532"/>
        <v/>
      </c>
      <c r="HB204" s="535">
        <f>IF(GK204="P",Lookup!$N$12,IF(GK204="PP",Lookup!$N$13,IF(GK204="PPP",Lookup!$N$14,IF(GK204="T",Lookup!$N$15,IF(GK204="TP",Lookup!$N$16,IF(GK204="TPP",Lookup!$N$17,IF(GK204="TPPP",Lookup!$N$18,0)))))))*GJ204</f>
        <v>0</v>
      </c>
      <c r="HC204" s="521">
        <f t="shared" si="493"/>
        <v>0</v>
      </c>
      <c r="HD204" s="535">
        <f t="shared" si="494"/>
        <v>1729.9679580528589</v>
      </c>
      <c r="HE204" s="535">
        <f t="shared" si="535"/>
        <v>563.87482335490836</v>
      </c>
      <c r="HF204" s="535"/>
      <c r="HG204" s="535">
        <f t="shared" si="533"/>
        <v>0</v>
      </c>
      <c r="HH204" s="535" t="str">
        <f t="shared" si="534"/>
        <v/>
      </c>
      <c r="HI204" s="535">
        <f>IF(GK204="P",Lookup!$N$12,IF(GK204="PP",Lookup!$N$13,IF(GK204="PPP",Lookup!$N$14,IF(GK204="T",Lookup!$N$15,IF(GK204="TP",Lookup!$N$16,IF(GK204="TPP",Lookup!$N$17,IF(GK204="TPPP",Lookup!$N$18,0)))))))*GJ204</f>
        <v>0</v>
      </c>
      <c r="HJ204" s="521">
        <f t="shared" si="495"/>
        <v>0</v>
      </c>
      <c r="HK204" s="535">
        <f t="shared" si="496"/>
        <v>1593.7261937093281</v>
      </c>
      <c r="HL204" s="535">
        <f t="shared" si="536"/>
        <v>519.46746861451368</v>
      </c>
      <c r="HM204" s="535"/>
      <c r="HN204" s="541"/>
      <c r="HO204" s="541"/>
      <c r="HP204" s="541"/>
      <c r="HQ204" s="541">
        <f>IF(AND(B204&gt;=$FV$4,B204&lt;=$FW$4),MAX(110/1.02+$HQ$6+MIN(113/1.02,G204),IF($HV$6-(Sheet1!DA202-Sheet1!DB202)+MIN(113/1.02,G204)&lt;G204+FL204,$HV$6-(Sheet1!DA202-Sheet1!DB202)+MIN(113/1.02,G204),G204+FL204)),MIN(110/1.02+$HQ$6+113/1.02,G204))</f>
        <v>242.78431372549019</v>
      </c>
      <c r="HR204" s="541">
        <f t="shared" si="421"/>
        <v>247.64000000000001</v>
      </c>
      <c r="HS204" s="541">
        <f>HR204+(Sheet1!DA202-Sheet1!DB202)</f>
        <v>380.64</v>
      </c>
      <c r="HT204" s="541">
        <f t="shared" si="422"/>
        <v>112.9978304</v>
      </c>
      <c r="HU204" s="541">
        <f t="shared" si="423"/>
        <v>267.64216959999999</v>
      </c>
      <c r="HV204" s="541">
        <f t="shared" si="424"/>
        <v>0</v>
      </c>
      <c r="HW204" s="541" t="str">
        <f t="shared" si="425"/>
        <v/>
      </c>
      <c r="HX204" s="541">
        <f t="shared" si="426"/>
        <v>82.906035230820493</v>
      </c>
      <c r="HY204" s="541">
        <f>Sheet1!CZ202</f>
        <v>359</v>
      </c>
      <c r="HZ204" s="541">
        <f t="shared" si="427"/>
        <v>33.309651043689314</v>
      </c>
      <c r="IA204" s="541">
        <f t="shared" si="428"/>
        <v>112.9978304</v>
      </c>
      <c r="IB204" s="541">
        <f t="shared" si="429"/>
        <v>325.69034895631069</v>
      </c>
      <c r="IC204" s="1019" t="str">
        <f t="shared" si="430"/>
        <v/>
      </c>
      <c r="ID204" s="541">
        <f t="shared" si="431"/>
        <v>212.69251855631069</v>
      </c>
      <c r="IE204" s="541">
        <f>Sheet1!DB202</f>
        <v>235</v>
      </c>
      <c r="IF204" s="533">
        <f>Sheet1!DA202</f>
        <v>368</v>
      </c>
      <c r="IH204" s="541">
        <f>IF(AND($B204&gt;=$GC204,$B204&lt;=$GH204,$DR204&lt;0)+N("only adjusted when pool is drawn down during storage season"),Sheet1!$DB202+$DR204+N("Palmer minus all storage release"),Sheet1!$DB202)</f>
        <v>162.38275340380869</v>
      </c>
      <c r="II204" s="541">
        <f>IF(AND($B204&gt;=$GC204,$B204&lt;=$GH204,$DR204&lt;0)+N("only adjusted when pool is drawn down during storage season"),Sheet1!$DA202+$DR204+N("Auburn minus all storage release"),Sheet1!$DA202)</f>
        <v>295.38275340380869</v>
      </c>
    </row>
    <row r="205" spans="1:243" x14ac:dyDescent="0.25">
      <c r="A205" s="553" t="s">
        <v>7</v>
      </c>
      <c r="B205" s="531">
        <v>42929</v>
      </c>
      <c r="C205" s="536">
        <v>0</v>
      </c>
      <c r="D205" s="506">
        <f t="shared" si="506"/>
        <v>300</v>
      </c>
      <c r="E205" s="506">
        <f t="shared" si="507"/>
        <v>250</v>
      </c>
      <c r="F205" s="506">
        <v>250</v>
      </c>
      <c r="G205" s="535">
        <f>DR205+Sheet1!CZ203</f>
        <v>281.33988905698436</v>
      </c>
      <c r="H205" s="1074">
        <f t="shared" si="505"/>
        <v>0</v>
      </c>
      <c r="I205" s="534">
        <f>IF(Sheet1!DA203&gt;=E205,(Sheet1!DA203-E205+P205)*CFStoMGD,0)</f>
        <v>168.071375424</v>
      </c>
      <c r="J205" s="995">
        <f>IF(Sheet1!DB203&gt;=D205,(Sheet1!DB203-D205+P205)*CFStoMGD,0)</f>
        <v>0</v>
      </c>
      <c r="K205" s="818">
        <f t="shared" ref="K205:K268" si="538">MAX(MIN(H205:J205,100*CFStoMGD),0)</f>
        <v>0</v>
      </c>
      <c r="L205" s="535">
        <f>Sheet1!AA203+Sheet1!AB203-Sheet1!L203+(Sheet1!DA203-F205)*CFStoMGD-S205-T205-U205</f>
        <v>146.6862578768183</v>
      </c>
      <c r="M205" s="535">
        <f t="shared" si="436"/>
        <v>185.4952663721634</v>
      </c>
      <c r="N205" s="824">
        <f>IF(Sheet1!DA203&gt;=F205,MIN(113*CFStoMGD,MIN(MAX(L205,0),MAX(M205,0))),0)</f>
        <v>73.043199999999999</v>
      </c>
      <c r="O205" s="538">
        <f>Sheet1!AA203+Sheet1!AB203</f>
        <v>95.03</v>
      </c>
      <c r="P205" s="538">
        <f t="shared" si="437"/>
        <v>147.01141000000001</v>
      </c>
      <c r="Q205" s="812">
        <f t="shared" ref="Q205:Q268" si="539">IF(OR(Y205="FALSE",AND(B205&gt;=FV205,B205&lt;=FW205)),MIN(O205-S205-U205,N205),0)</f>
        <v>73.043199999999999</v>
      </c>
      <c r="R205" s="812">
        <f t="shared" si="508"/>
        <v>21.5</v>
      </c>
      <c r="S205" s="812">
        <f t="shared" si="509"/>
        <v>0</v>
      </c>
      <c r="T205" s="812">
        <f t="shared" si="510"/>
        <v>0</v>
      </c>
      <c r="U205" s="812">
        <f>IF(AND(B205&gt;=FV205,B205&lt;=FW205),ED205+Sheet1!EH203,0)</f>
        <v>21.386942123181676</v>
      </c>
      <c r="V205" s="812"/>
      <c r="W205" s="812">
        <f t="shared" si="511"/>
        <v>0</v>
      </c>
      <c r="X205" s="812">
        <f t="shared" si="512"/>
        <v>0</v>
      </c>
      <c r="Y205" s="812" t="str">
        <f t="shared" si="513"/>
        <v>FALSE</v>
      </c>
      <c r="Z205" s="812">
        <f t="shared" si="514"/>
        <v>95.03</v>
      </c>
      <c r="AA205" s="812">
        <f t="shared" si="515"/>
        <v>94.430142123181668</v>
      </c>
      <c r="AB205" s="1059">
        <f t="shared" ref="AB205:AB268" si="540">Q205*MGDtoCFS</f>
        <v>112.9978304</v>
      </c>
      <c r="AC205" s="538">
        <f>Sheet1!Y203*MGDtoCFS</f>
        <v>45.29616</v>
      </c>
      <c r="AD205" s="538">
        <f>Sheet1!Z203*MGDtoCFS</f>
        <v>101.88542</v>
      </c>
      <c r="AE205" s="538">
        <f>Sheet1!AA203*MGDtoCFS</f>
        <v>47.214439999999996</v>
      </c>
      <c r="AF205" s="538">
        <f>Sheet1!AB203*MGDtoCFS</f>
        <v>99.796970000000002</v>
      </c>
      <c r="AG205" s="538">
        <f>Sheet1!L203*MGDtoCFS</f>
        <v>0</v>
      </c>
      <c r="AH205" s="521">
        <f t="shared" si="438"/>
        <v>21.515710306406685</v>
      </c>
      <c r="AI205" s="1059">
        <f t="shared" si="439"/>
        <v>33.284803844011144</v>
      </c>
      <c r="AJ205" s="535">
        <f t="shared" si="440"/>
        <v>0</v>
      </c>
      <c r="AK205" s="535">
        <f t="shared" si="441"/>
        <v>0</v>
      </c>
      <c r="AL205" s="535">
        <f>(VLOOKUP(Sheet1!DC203,hhdcap_wcm,4)-(((VLOOKUP(Sheet1!DC203,hhdcap_wcm,3)-Sheet1!DC203)/(VLOOKUP(Sheet1!DC203,hhdcap_wcm,3)-VLOOKUP(Sheet1!DC203,hhdcap_wcm,1)))*(VLOOKUP(Sheet1!DC203,hhdcap_wcm,4)-VLOOKUP(Sheet1!DC203,hhdcap_wcm,2))))</f>
        <v>46409.000000112552</v>
      </c>
      <c r="AM205" s="535">
        <f t="shared" si="442"/>
        <v>-154</v>
      </c>
      <c r="AN205" s="1035">
        <f t="shared" si="443"/>
        <v>3010.647304015908</v>
      </c>
      <c r="AO205" s="535">
        <f t="shared" si="444"/>
        <v>9236.6659287208058</v>
      </c>
      <c r="AP205" s="535">
        <f>Sheet1!BA203+Sheet1!BB203+Sheet1!BN203+CD205</f>
        <v>45.2</v>
      </c>
      <c r="AQ205" s="535">
        <f>Sheet1!BN203+(DO205*Sheet1!BN203)</f>
        <v>45.123057876818329</v>
      </c>
      <c r="AR205" s="535">
        <f>Sheet1!BA203+CD205</f>
        <v>0</v>
      </c>
      <c r="AS205" s="535">
        <f>Sheet1!BA203+Sheet1!BB203+CD205</f>
        <v>0</v>
      </c>
      <c r="AT205" s="649">
        <f>0</f>
        <v>0</v>
      </c>
      <c r="AU205" s="974">
        <f>BA205+Sheet1!EH203</f>
        <v>2</v>
      </c>
      <c r="AV205" s="535">
        <f>IF(OR(B205&gt;=GD205,B205&lt;GC205),0,15/36*K205-MAX(0,64.6-(137.6-(Sheet1!AA203+Sheet1!AB203))))</f>
        <v>0</v>
      </c>
      <c r="AW205" s="1029"/>
      <c r="AX205" s="649"/>
      <c r="AY205" s="649">
        <f t="shared" ref="AY205:AY268" si="541">AY204+BA205*MGtoAF</f>
        <v>0</v>
      </c>
      <c r="AZ205" s="649">
        <f t="shared" ref="AZ205:AZ268" si="542">BA205*1.547</f>
        <v>0</v>
      </c>
      <c r="BA205" s="1059">
        <f t="shared" ref="BA205:BA268" si="543">HV205/1.547</f>
        <v>0</v>
      </c>
      <c r="BB205" s="1019">
        <f t="shared" si="445"/>
        <v>1338.3333333333335</v>
      </c>
      <c r="BC205" s="1041">
        <f t="shared" ref="BC205:BC268" si="544">K205*(15/36)</f>
        <v>0</v>
      </c>
      <c r="BD205" s="1019">
        <f ca="1">IF(B205&gt;(Summary!$A$1-1),#N/A,BB205*MGtoAF)</f>
        <v>4106.0066666666671</v>
      </c>
      <c r="BE205" s="535">
        <f>Sheet1!BG203+Sheet1!BH203+Sheet1!BI203-BM205</f>
        <v>2.52</v>
      </c>
      <c r="BF205" s="535">
        <f t="shared" si="446"/>
        <v>2.5157103064066852</v>
      </c>
      <c r="BG205" s="535">
        <f>IF(Sheet1!EP203="FM",BM205,0)</f>
        <v>0</v>
      </c>
      <c r="BH205" s="535">
        <f t="shared" si="447"/>
        <v>0</v>
      </c>
      <c r="BI205" s="535">
        <f>IF(Sheet1!EP203="OTHER",BM205,0)</f>
        <v>0</v>
      </c>
      <c r="BJ205" s="535">
        <f t="shared" si="448"/>
        <v>0</v>
      </c>
      <c r="BK205" s="535">
        <f t="shared" si="449"/>
        <v>2.52</v>
      </c>
      <c r="BL205" s="535">
        <f t="shared" si="450"/>
        <v>2.5157103064066852</v>
      </c>
      <c r="BM205" s="535">
        <f>IF(OR(Sheet1!EP203="FM", Sheet1!EP203="OTHER"),SUM(Sheet1!BG203:'Sheet1'!BI203),0)</f>
        <v>0</v>
      </c>
      <c r="BN205" s="521">
        <f>IF(AND($B205&gt;=$FV205,$B205&lt;=$FW205),MAX(BF205,Sheet1!EI203,0),MAX(BF205-(7/36)*$K205,0))</f>
        <v>2.5157103064066852</v>
      </c>
      <c r="BO205" s="535">
        <f t="shared" si="497"/>
        <v>0</v>
      </c>
      <c r="BP205" s="521">
        <f t="shared" si="452"/>
        <v>0</v>
      </c>
      <c r="BQ205" s="521">
        <f>IF(AND($O205&gt;0,Sheet1!EM203=1),(1-($O205-Sheet1!$L203)/$O205)*BL205,0)</f>
        <v>0</v>
      </c>
      <c r="BR205" s="521">
        <f>IF(AND(Sheet1!$L203=0,Sheet1!$L202=0, Calculation!BK205&lt;Sheet1!$EI203-0.1,Sheet1!$EI203=Sheet1!$EI202,Sheet1!$EI203=Sheet1!$EI204),BL205-BQ205,BL205-BQ205)</f>
        <v>2.5157103064066852</v>
      </c>
      <c r="BS205" s="1035" t="str">
        <f t="shared" ref="BS205:BS268" si="545">IF(AND(B205&lt;=FV205,BR205&gt;BT205),BR205-BT205,"")</f>
        <v/>
      </c>
      <c r="BT205" s="1035">
        <f t="shared" ref="BT205:BT268" si="546">(7/36)*K205</f>
        <v>0</v>
      </c>
      <c r="BU205" s="535">
        <f t="shared" si="453"/>
        <v>605.97167871315298</v>
      </c>
      <c r="BV205" s="535"/>
      <c r="BW205" s="535">
        <f ca="1">IF(B205&gt;(Summary!$A$1-1),#N/A,BU205*MGtoAF)</f>
        <v>1859.1211102919533</v>
      </c>
      <c r="BX205" s="535">
        <f>Sheet1!BC203+Sheet1!BD203+Sheet1!BE203+Sheet1!BF203-CG205-CH205</f>
        <v>6.51</v>
      </c>
      <c r="BY205" s="535">
        <f t="shared" si="454"/>
        <v>6.498918291550603</v>
      </c>
      <c r="BZ205" s="535">
        <f>IF(Sheet1!EQ203="FM",CH205,0)</f>
        <v>0</v>
      </c>
      <c r="CA205" s="535">
        <f t="shared" si="455"/>
        <v>0</v>
      </c>
      <c r="CB205" s="535">
        <f>IF(Sheet1!EQ203="OTHER",CH205,0)</f>
        <v>0</v>
      </c>
      <c r="CC205" s="535">
        <f t="shared" si="456"/>
        <v>0</v>
      </c>
      <c r="CD205" s="535">
        <f t="shared" si="457"/>
        <v>0</v>
      </c>
      <c r="CE205" s="535">
        <f t="shared" si="458"/>
        <v>6.51</v>
      </c>
      <c r="CF205" s="535">
        <f t="shared" si="459"/>
        <v>6.498918291550603</v>
      </c>
      <c r="CG205" s="535">
        <f>IF(Sheet1!EQ203="CWA",SUM(Sheet1!BC203:'Sheet1'!BF203),0)</f>
        <v>0</v>
      </c>
      <c r="CH205" s="535">
        <f>IF(OR(Sheet1!EQ203="FM", Sheet1!EQ203="OTHER"),SUM(Sheet1!BC203:'Sheet1'!BF203),0)</f>
        <v>0</v>
      </c>
      <c r="CI205" s="521">
        <f>IF(AND($B205&gt;=$FV205,$B205&lt;=$FW205),MAX(CF205,Sheet1!EJ203,0),MAX(CF205-(7/36)*$K205,0))</f>
        <v>6.5</v>
      </c>
      <c r="CJ205" s="535">
        <f t="shared" si="499"/>
        <v>0</v>
      </c>
      <c r="CK205" s="521">
        <f t="shared" si="461"/>
        <v>0</v>
      </c>
      <c r="CL205" s="521">
        <f>IF(AND($O205&gt;0,Sheet1!EN203=1),(1-($O205-Sheet1!$L203)/$O205)*CF205,0)</f>
        <v>0</v>
      </c>
      <c r="CM205" s="521">
        <f>IF(AND(Sheet1!$L203=0,Sheet1!$L202=0, Calculation!CE205&lt;Sheet1!EJ203-0.1,Sheet1!EJ203=Sheet1!EJ202,Sheet1!EJ203=Sheet1!EJ204),CF205-CL205,CF205-CL205)</f>
        <v>6.498918291550603</v>
      </c>
      <c r="CN205" s="1040" t="str">
        <f t="shared" ref="CN205:CN268" si="547">IF(AND(B205&lt;=FV205,CM205&gt;CO205),CM205-CO205,"")</f>
        <v/>
      </c>
      <c r="CO205" s="1035">
        <f t="shared" ref="CO205:CO268" si="548">(7/36)*K205</f>
        <v>0</v>
      </c>
      <c r="CP205" s="535">
        <f t="shared" si="462"/>
        <v>557.37482335490836</v>
      </c>
      <c r="CQ205" s="535"/>
      <c r="CR205" s="535">
        <f ca="1">IF(B205&gt;(Summary!$A$1-1),#N/A,CP205*MGtoAF)</f>
        <v>1710.0259580528589</v>
      </c>
      <c r="CS205" s="535">
        <f>Sheet1!BK203+Sheet1!BL203+Sheet1!BM203-Sheet1!ER203-DA205</f>
        <v>10.39</v>
      </c>
      <c r="CT205" s="535">
        <f t="shared" si="463"/>
        <v>10.372313525224389</v>
      </c>
      <c r="CU205" s="535">
        <f>IF(Sheet1!ER203="FM",DA205,0)</f>
        <v>0</v>
      </c>
      <c r="CV205" s="535">
        <f t="shared" si="464"/>
        <v>0</v>
      </c>
      <c r="CW205" s="535">
        <f>IF(Sheet1!ER203="OTHER",DA205,0)</f>
        <v>0</v>
      </c>
      <c r="CX205" s="535">
        <f t="shared" si="465"/>
        <v>0</v>
      </c>
      <c r="CY205" s="535">
        <f t="shared" si="466"/>
        <v>10.39</v>
      </c>
      <c r="CZ205" s="535">
        <f t="shared" si="467"/>
        <v>10.372313525224389</v>
      </c>
      <c r="DA205" s="535">
        <f>IF(OR(Sheet1!ER203="FM", Sheet1!ER203="OTHER"),SUM(Sheet1!BK203:'Sheet1'!BM203),0)</f>
        <v>0</v>
      </c>
      <c r="DB205" s="1011">
        <f>IF(AND($B205&gt;=$FV205,$B205&lt;=$FW205),MAX($CT205,Sheet1!EK203,0),MAX($CT205-(7/36)*$K205,0))</f>
        <v>10.5</v>
      </c>
      <c r="DC205" s="1012">
        <f t="shared" si="498"/>
        <v>0</v>
      </c>
      <c r="DD205" s="1011">
        <f t="shared" si="469"/>
        <v>0</v>
      </c>
      <c r="DE205" s="521">
        <f>IF(AND($O205&gt;0,Sheet1!EO203=1),(1-($O205-Sheet1!$L203)/$O205)*CZ205,0)</f>
        <v>0</v>
      </c>
      <c r="DF205" s="521">
        <f>IF(AND(Sheet1!$L203=0,Sheet1!$L202=0, Calculation!CY205&lt;Sheet1!$EK203-0.1,Sheet1!$EK203=Sheet1!$EK202,Sheet1!$EK203=Sheet1!$EK204),CZ205-DE205,CZ205-DE205)</f>
        <v>10.372313525224389</v>
      </c>
      <c r="DG205" s="1040">
        <f t="shared" ref="DG205:DG268" si="549">(7/36)*K205</f>
        <v>0</v>
      </c>
      <c r="DH205" s="649">
        <f t="shared" si="470"/>
        <v>19.420000000000002</v>
      </c>
      <c r="DI205" s="535">
        <f t="shared" si="471"/>
        <v>508.96746861451368</v>
      </c>
      <c r="DJ205" s="649">
        <f t="shared" si="472"/>
        <v>19.386942123181676</v>
      </c>
      <c r="DK205" s="535">
        <f ca="1">IF(B205&gt;(Summary!$A$1-1),#N/A,DI205*MGtoAF)</f>
        <v>1561.5121937093279</v>
      </c>
      <c r="DL205" s="649">
        <f t="shared" si="473"/>
        <v>19.419999999999998</v>
      </c>
      <c r="DM205" s="535">
        <f t="shared" si="474"/>
        <v>64.62</v>
      </c>
      <c r="DN205" s="535">
        <f>Sheet1!AB203-DM205</f>
        <v>-0.10999999999999943</v>
      </c>
      <c r="DO205" s="743">
        <f t="shared" si="475"/>
        <v>-1.7022593624264845E-3</v>
      </c>
      <c r="DP205" s="535">
        <f>(VLOOKUP(Sheet1!DC203,hhdcap_wcm,4)-(((VLOOKUP(Sheet1!DC203,hhdcap_wcm,3)-Sheet1!DC203)/(VLOOKUP(Sheet1!DC203,hhdcap_wcm,3)-VLOOKUP(Sheet1!DC203,hhdcap_wcm,1)))*(VLOOKUP(Sheet1!DC203,hhdcap_wcm,4)-VLOOKUP(Sheet1!DC203,hhdcap_wcm,2))))</f>
        <v>46409.000000112552</v>
      </c>
      <c r="DQ205" s="535">
        <f t="shared" si="476"/>
        <v>-154</v>
      </c>
      <c r="DR205" s="535">
        <f t="shared" si="477"/>
        <v>-77.660110943015624</v>
      </c>
      <c r="DS205" s="535">
        <f>Sheet1!EA203*AFtoMG</f>
        <v>0</v>
      </c>
      <c r="DT205" s="535">
        <f>Sheet1!EB203*AFtoMG</f>
        <v>0</v>
      </c>
      <c r="DU205" s="535">
        <f>Sheet1!EC203*AFtoMG</f>
        <v>0</v>
      </c>
      <c r="DV205" s="535">
        <f>Sheet1!ED203*AFtoMG</f>
        <v>0</v>
      </c>
      <c r="DW205" s="535">
        <f t="shared" si="478"/>
        <v>0</v>
      </c>
      <c r="DX205" s="535">
        <f t="shared" si="479"/>
        <v>0</v>
      </c>
      <c r="DY205" s="535">
        <f t="shared" si="480"/>
        <v>3010.647304015908</v>
      </c>
      <c r="DZ205" s="535">
        <f t="shared" si="481"/>
        <v>9236.6659287208058</v>
      </c>
      <c r="EA205" s="535"/>
      <c r="EB205" s="521">
        <f>IF(OR(B205&lt;FV205,B205&gt;FW205),(MIN(BF205+BY205+CT205+MAX(Sheet1!AA203+AQ205-73,0),K205)),0)</f>
        <v>0</v>
      </c>
      <c r="EC205" s="535"/>
      <c r="ED205" s="535">
        <f t="shared" si="482"/>
        <v>19.386942123181676</v>
      </c>
      <c r="EE205" s="535"/>
      <c r="EF205" s="535">
        <f>Sheet1!EH203+Sheet1!EI203+Sheet1!EJ203+Sheet1!EK203</f>
        <v>21.5</v>
      </c>
      <c r="EG205" s="1019">
        <f t="shared" ref="EG205:EG268" si="550">EF205*1.547</f>
        <v>33.2605</v>
      </c>
      <c r="EH205" s="521">
        <f t="shared" si="483"/>
        <v>0</v>
      </c>
      <c r="EI205" s="535">
        <f>IF(Sheet1!ET203=1,SUM('Calculations II'!AT205:BA205)+'Calculations II'!BC205+Sheet1!BV203+'Calculations II'!BE205+AP205,'Calculations II'!BK205)</f>
        <v>76.600825876818334</v>
      </c>
      <c r="EJ205" s="535">
        <f ca="1">EI205+'Calculations II'!D205+'Calculations II'!E205+'Calculations II'!O205</f>
        <v>73.374048850880669</v>
      </c>
      <c r="EK205" s="535"/>
      <c r="EL205" s="535"/>
      <c r="EM205" s="535">
        <f t="shared" si="484"/>
        <v>42929</v>
      </c>
      <c r="EN205" s="535">
        <f t="shared" si="485"/>
        <v>-21.515710306406685</v>
      </c>
      <c r="EO205" s="535">
        <f t="shared" si="486"/>
        <v>-33.284803844011144</v>
      </c>
      <c r="EP205" s="535">
        <v>0</v>
      </c>
      <c r="EQ205" s="535">
        <v>0</v>
      </c>
      <c r="ER205" s="535">
        <v>0</v>
      </c>
      <c r="ES205" s="521">
        <f t="shared" si="516"/>
        <v>0.27712978117744252</v>
      </c>
      <c r="ET205" s="535">
        <f>-(VLOOKUP(Sheet1!BQ203,Lookup!$O$4:$Q$262,2)-VLOOKUP(Sheet1!BQ202,Lookup!$O$4:$Q$262,2))/1000000</f>
        <v>0.13854245519972594</v>
      </c>
      <c r="EU205" s="535">
        <f>-(VLOOKUP(Sheet1!BR203,Lookup!$O$4:$Q$262,3)-VLOOKUP(Sheet1!BR202,Lookup!$O$4:$Q$262,3))/1000000</f>
        <v>0.13858732597771659</v>
      </c>
      <c r="EV205" s="535"/>
      <c r="EW205" s="535"/>
      <c r="EX205" s="535"/>
      <c r="EY205" s="535"/>
      <c r="EZ205" s="535"/>
      <c r="FA205" s="535"/>
      <c r="FB205" s="535"/>
      <c r="FC205" s="535"/>
      <c r="FD205" s="567">
        <f t="shared" si="504"/>
        <v>1138.9555555554764</v>
      </c>
      <c r="FE205" s="567" t="e">
        <f t="shared" si="488"/>
        <v>#N/A</v>
      </c>
      <c r="FF205" s="568" t="e">
        <f t="shared" si="489"/>
        <v>#N/A</v>
      </c>
      <c r="FG205" s="569" t="s">
        <v>656</v>
      </c>
      <c r="FH205" s="569" t="s">
        <v>656</v>
      </c>
      <c r="FI205" s="567" t="e">
        <v>#N/A</v>
      </c>
      <c r="FJ205" s="725">
        <v>22493</v>
      </c>
      <c r="FK205" s="535"/>
      <c r="FL205" s="1015">
        <f t="shared" si="503"/>
        <v>42.360060514372158</v>
      </c>
      <c r="FM205" s="535"/>
      <c r="FN205" s="535"/>
      <c r="FO205" s="535">
        <f>O205+((Sheet1!CS203)*GPMtoMGD)</f>
        <v>95.03</v>
      </c>
      <c r="FP205" s="535">
        <f>IF(Sheet1!AA203+AQ205&lt;=Calculation!N205,AQ205,Calculation!N205-Sheet1!AA203)</f>
        <v>42.523200000000003</v>
      </c>
      <c r="FQ205" s="535">
        <f>(Sheet1!BP203+Sheet1!BO203)/694.4</f>
        <v>3.5529953917050698</v>
      </c>
      <c r="FR205" s="541"/>
      <c r="FS205" s="541"/>
      <c r="FT205" s="541"/>
      <c r="FU205" s="541"/>
      <c r="FV205" s="1109">
        <f t="shared" si="517"/>
        <v>42918</v>
      </c>
      <c r="FW205" s="1109">
        <f t="shared" si="518"/>
        <v>43027</v>
      </c>
      <c r="FX205" s="541"/>
      <c r="FY205" s="541">
        <f>Sheet1!DA203-Sheet1!CZ203-Sheet1!AE203</f>
        <v>-143.01140999999998</v>
      </c>
      <c r="FZ205" s="535">
        <f t="shared" ref="FZ205:FZ268" si="551">FY205/G205</f>
        <v>-0.50832255063210585</v>
      </c>
      <c r="GA205" s="535"/>
      <c r="GB205" s="535" t="str">
        <f t="shared" si="519"/>
        <v>n</v>
      </c>
      <c r="GC205" s="539">
        <f t="shared" si="520"/>
        <v>42782</v>
      </c>
      <c r="GD205" s="1109">
        <f t="shared" si="521"/>
        <v>42904</v>
      </c>
      <c r="GE205" s="535">
        <f t="shared" si="537"/>
        <v>6520</v>
      </c>
      <c r="GF205" s="1109">
        <f t="shared" si="522"/>
        <v>42909</v>
      </c>
      <c r="GG205" s="535">
        <f t="shared" si="432"/>
        <v>3260</v>
      </c>
      <c r="GH205" s="539">
        <f t="shared" si="523"/>
        <v>43040</v>
      </c>
      <c r="GJ205" s="521">
        <f t="shared" si="524"/>
        <v>0</v>
      </c>
      <c r="GK205" s="535" t="str">
        <f t="shared" si="490"/>
        <v/>
      </c>
      <c r="GL205" s="535">
        <f t="shared" si="525"/>
        <v>0</v>
      </c>
      <c r="GM205" s="535" t="str">
        <f t="shared" si="526"/>
        <v/>
      </c>
      <c r="GN205" s="535">
        <f>IF(GK205="P",Lookup!$M$12,IF(GK205="PP",Lookup!$M$13,IF(GK205="PPP",Lookup!$M$14,IF(GK205="T",Lookup!$M$15,IF(GK205="TP",Lookup!$M$16,IF(GK205="TPP",Lookup!$M$17,IF(GK205="TPPP",Lookup!$M$18,0)))))))*GJ205</f>
        <v>0</v>
      </c>
      <c r="GO205" s="535">
        <f t="shared" si="527"/>
        <v>0</v>
      </c>
      <c r="GP205" s="535">
        <f t="shared" si="491"/>
        <v>4106.0066666666671</v>
      </c>
      <c r="GQ205" s="974">
        <f t="shared" si="500"/>
        <v>1338.3333333333335</v>
      </c>
      <c r="GR205" s="535"/>
      <c r="GS205" s="535">
        <f t="shared" si="528"/>
        <v>0</v>
      </c>
      <c r="GT205" s="535" t="str">
        <f t="shared" si="529"/>
        <v/>
      </c>
      <c r="GU205" s="535">
        <f>IF(GK205="P",Lookup!$N$12,IF(GK205="PP",Lookup!$N$13,IF(GK205="PPP",Lookup!$N$14,IF(GK205="T",Lookup!$N$15,IF(GK205="TP",Lookup!$N$16,IF(GK205="TPP",Lookup!$N$17,IF(GK205="TPPP",Lookup!$N$18,0)))))))*GJ205</f>
        <v>0</v>
      </c>
      <c r="GV205" s="535">
        <f t="shared" si="530"/>
        <v>0</v>
      </c>
      <c r="GW205" s="535">
        <f t="shared" si="492"/>
        <v>1859.1211102919533</v>
      </c>
      <c r="GX205" s="974">
        <f t="shared" si="501"/>
        <v>605.97167871315298</v>
      </c>
      <c r="GY205" s="535"/>
      <c r="GZ205" s="535">
        <f t="shared" si="531"/>
        <v>0</v>
      </c>
      <c r="HA205" s="535" t="str">
        <f t="shared" si="532"/>
        <v/>
      </c>
      <c r="HB205" s="535">
        <f>IF(GK205="P",Lookup!$N$12,IF(GK205="PP",Lookup!$N$13,IF(GK205="PPP",Lookup!$N$14,IF(GK205="T",Lookup!$N$15,IF(GK205="TP",Lookup!$N$16,IF(GK205="TPP",Lookup!$N$17,IF(GK205="TPPP",Lookup!$N$18,0)))))))*GJ205</f>
        <v>0</v>
      </c>
      <c r="HC205" s="521">
        <f t="shared" si="493"/>
        <v>0</v>
      </c>
      <c r="HD205" s="535">
        <f t="shared" si="494"/>
        <v>1710.0259580528589</v>
      </c>
      <c r="HE205" s="535">
        <f t="shared" si="535"/>
        <v>557.37482335490836</v>
      </c>
      <c r="HF205" s="535"/>
      <c r="HG205" s="535">
        <f t="shared" si="533"/>
        <v>0</v>
      </c>
      <c r="HH205" s="535" t="str">
        <f t="shared" si="534"/>
        <v/>
      </c>
      <c r="HI205" s="535">
        <f>IF(GK205="P",Lookup!$N$12,IF(GK205="PP",Lookup!$N$13,IF(GK205="PPP",Lookup!$N$14,IF(GK205="T",Lookup!$N$15,IF(GK205="TP",Lookup!$N$16,IF(GK205="TPP",Lookup!$N$17,IF(GK205="TPPP",Lookup!$N$18,0)))))))*GJ205</f>
        <v>0</v>
      </c>
      <c r="HJ205" s="521">
        <f t="shared" si="495"/>
        <v>0</v>
      </c>
      <c r="HK205" s="535">
        <f t="shared" si="496"/>
        <v>1561.5121937093279</v>
      </c>
      <c r="HL205" s="535">
        <f t="shared" si="536"/>
        <v>508.96746861451368</v>
      </c>
      <c r="HM205" s="535"/>
      <c r="HN205" s="541"/>
      <c r="HO205" s="541"/>
      <c r="HP205" s="541"/>
      <c r="HQ205" s="541">
        <f>IF(AND(B205&gt;=$FV$4,B205&lt;=$FW$4),MAX(110/1.02+$HQ$6+MIN(113/1.02,G205),IF($HV$6-(Sheet1!DA203-Sheet1!DB203)+MIN(113/1.02,G205)&lt;G205+FL205,$HV$6-(Sheet1!DA203-Sheet1!DB203)+MIN(113/1.02,G205),G205+FL205)),MIN(110/1.02+$HQ$6+113/1.02,G205))</f>
        <v>227.78431372549019</v>
      </c>
      <c r="HR205" s="541">
        <f t="shared" ref="HR205:HR268" si="552">HQ205*1.02</f>
        <v>232.34</v>
      </c>
      <c r="HS205" s="541">
        <f>HR205+(Sheet1!DA203-Sheet1!DB203)</f>
        <v>380.34000000000003</v>
      </c>
      <c r="HT205" s="541">
        <f t="shared" ref="HT205:HT268" si="553">AB205</f>
        <v>112.9978304</v>
      </c>
      <c r="HU205" s="541">
        <f t="shared" ref="HU205:HU268" si="554">HS205-HT205</f>
        <v>267.34216960000003</v>
      </c>
      <c r="HV205" s="541">
        <f t="shared" ref="HV205:HV268" si="555">MAX($HV$6-HU205,0)</f>
        <v>0</v>
      </c>
      <c r="HW205" s="541" t="str">
        <f t="shared" ref="HW205:HW268" si="556">IF(IB205-HQ205&lt;0,HQ205-IB205,"")</f>
        <v/>
      </c>
      <c r="HX205" s="541">
        <f t="shared" ref="HX205:HX268" si="557">IF(IB205-HQ205&gt;0,IB205-HQ205,"")</f>
        <v>97.930882430498656</v>
      </c>
      <c r="HY205" s="541">
        <f>Sheet1!CZ203</f>
        <v>359</v>
      </c>
      <c r="HZ205" s="541">
        <f t="shared" ref="HZ205:HZ268" si="558">AI205</f>
        <v>33.284803844011144</v>
      </c>
      <c r="IA205" s="541">
        <f t="shared" ref="IA205:IA268" si="559">AB205</f>
        <v>112.9978304</v>
      </c>
      <c r="IB205" s="541">
        <f t="shared" ref="IB205:IB268" si="560">HY205-HZ205</f>
        <v>325.71519615598885</v>
      </c>
      <c r="IC205" s="1019" t="str">
        <f t="shared" ref="IC205:IC268" si="561">IF(IB205-HQ205&lt;0,"YES","")</f>
        <v/>
      </c>
      <c r="ID205" s="541">
        <f t="shared" ref="ID205:ID268" si="562">HY205-HZ205-IA205</f>
        <v>212.71736575598885</v>
      </c>
      <c r="IE205" s="541">
        <f>Sheet1!DB203</f>
        <v>215</v>
      </c>
      <c r="IF205" s="533">
        <f>Sheet1!DA203</f>
        <v>363</v>
      </c>
      <c r="IH205" s="541">
        <f>IF(AND($B205&gt;=$GC205,$B205&lt;=$GH205,$DR205&lt;0)+N("only adjusted when pool is drawn down during storage season"),Sheet1!$DB203+$DR205+N("Palmer minus all storage release"),Sheet1!$DB203)</f>
        <v>137.33988905698436</v>
      </c>
      <c r="II205" s="541">
        <f>IF(AND($B205&gt;=$GC205,$B205&lt;=$GH205,$DR205&lt;0)+N("only adjusted when pool is drawn down during storage season"),Sheet1!$DA203+$DR205+N("Auburn minus all storage release"),Sheet1!$DA203)</f>
        <v>285.33988905698436</v>
      </c>
    </row>
    <row r="206" spans="1:243" x14ac:dyDescent="0.25">
      <c r="A206" s="553" t="s">
        <v>8</v>
      </c>
      <c r="B206" s="531">
        <v>42930</v>
      </c>
      <c r="C206" s="536">
        <v>0</v>
      </c>
      <c r="D206" s="506">
        <f t="shared" si="506"/>
        <v>300</v>
      </c>
      <c r="E206" s="506">
        <f t="shared" si="507"/>
        <v>250</v>
      </c>
      <c r="F206" s="506">
        <v>250</v>
      </c>
      <c r="G206" s="535">
        <f>DR206+Sheet1!CZ204</f>
        <v>275.08119011637262</v>
      </c>
      <c r="H206" s="1074">
        <f t="shared" ref="H206:H269" si="563">MIN(IF($II206&gt;=$E206,($II206-$E206+$P206)*CFStoMGD,0),IF($IH206&gt;=$D206,($IH206-$D206+$P206)*CFStoMGD,0))</f>
        <v>0</v>
      </c>
      <c r="I206" s="534">
        <f>IF(Sheet1!DA204&gt;=E206,(Sheet1!DA204-E206+P206)*CFStoMGD,0)</f>
        <v>169.13135507199999</v>
      </c>
      <c r="J206" s="995">
        <f>IF(Sheet1!DB204&gt;=D206,(Sheet1!DB204-D206+P206)*CFStoMGD,0)</f>
        <v>0</v>
      </c>
      <c r="K206" s="818">
        <f t="shared" si="538"/>
        <v>0</v>
      </c>
      <c r="L206" s="535">
        <f>Sheet1!AA204+Sheet1!AB204-Sheet1!L204+(Sheet1!DA204-F206)*CFStoMGD-S206-T206-U206</f>
        <v>144.05218062076571</v>
      </c>
      <c r="M206" s="535">
        <f t="shared" si="436"/>
        <v>181.36873091704774</v>
      </c>
      <c r="N206" s="824">
        <f>IF(Sheet1!DA204&gt;=F206,MIN(113*CFStoMGD,MIN(MAX(L206,0),MAX(M206,0))),0)</f>
        <v>73.043199999999999</v>
      </c>
      <c r="O206" s="538">
        <f>Sheet1!AA204+Sheet1!AB204</f>
        <v>96.09</v>
      </c>
      <c r="P206" s="538">
        <f t="shared" si="437"/>
        <v>148.65123</v>
      </c>
      <c r="Q206" s="812">
        <f t="shared" si="539"/>
        <v>71.008980620765726</v>
      </c>
      <c r="R206" s="812">
        <f t="shared" si="508"/>
        <v>25.5</v>
      </c>
      <c r="S206" s="812">
        <f t="shared" si="509"/>
        <v>0</v>
      </c>
      <c r="T206" s="812">
        <f t="shared" si="510"/>
        <v>0</v>
      </c>
      <c r="U206" s="812">
        <f>IF(AND(B206&gt;=FV206,B206&lt;=FW206),ED206+Sheet1!EH204,0)</f>
        <v>25.081019379234284</v>
      </c>
      <c r="V206" s="812"/>
      <c r="W206" s="812">
        <f t="shared" si="511"/>
        <v>0</v>
      </c>
      <c r="X206" s="812">
        <f t="shared" si="512"/>
        <v>0</v>
      </c>
      <c r="Y206" s="812" t="str">
        <f t="shared" si="513"/>
        <v>FALSE</v>
      </c>
      <c r="Z206" s="812">
        <f t="shared" si="514"/>
        <v>96.09</v>
      </c>
      <c r="AA206" s="812">
        <f t="shared" si="515"/>
        <v>96.09</v>
      </c>
      <c r="AB206" s="1059">
        <f t="shared" si="540"/>
        <v>109.85089302032458</v>
      </c>
      <c r="AC206" s="538">
        <f>Sheet1!Y204*MGDtoCFS</f>
        <v>47.214439999999996</v>
      </c>
      <c r="AD206" s="538">
        <f>Sheet1!Z204*MGDtoCFS</f>
        <v>99.796970000000002</v>
      </c>
      <c r="AE206" s="538">
        <f>Sheet1!AA204*MGDtoCFS</f>
        <v>50.896299999999997</v>
      </c>
      <c r="AF206" s="538">
        <f>Sheet1!AB204*MGDtoCFS</f>
        <v>97.754929999999987</v>
      </c>
      <c r="AG206" s="538">
        <f>Sheet1!L204*MGDtoCFS</f>
        <v>0</v>
      </c>
      <c r="AH206" s="521">
        <f t="shared" si="438"/>
        <v>25.508882936820545</v>
      </c>
      <c r="AI206" s="1059">
        <f t="shared" si="439"/>
        <v>39.462241903261379</v>
      </c>
      <c r="AJ206" s="535">
        <f t="shared" si="440"/>
        <v>0</v>
      </c>
      <c r="AK206" s="535">
        <f t="shared" si="441"/>
        <v>0</v>
      </c>
      <c r="AL206" s="535">
        <f>(VLOOKUP(Sheet1!DC204,hhdcap_wcm,4)-(((VLOOKUP(Sheet1!DC204,hhdcap_wcm,3)-Sheet1!DC204)/(VLOOKUP(Sheet1!DC204,hhdcap_wcm,3)-VLOOKUP(Sheet1!DC204,hhdcap_wcm,1)))*(VLOOKUP(Sheet1!DC204,hhdcap_wcm,4)-VLOOKUP(Sheet1!DC204,hhdcap_wcm,2))))</f>
        <v>46276.300000113319</v>
      </c>
      <c r="AM206" s="535">
        <f t="shared" si="442"/>
        <v>-132.69999999923311</v>
      </c>
      <c r="AN206" s="1035">
        <f t="shared" si="443"/>
        <v>2985.1384210790875</v>
      </c>
      <c r="AO206" s="535">
        <f t="shared" si="444"/>
        <v>9158.4046758706409</v>
      </c>
      <c r="AP206" s="535">
        <f>Sheet1!BA204+Sheet1!BB204+Sheet1!BN204+CD206</f>
        <v>43.3</v>
      </c>
      <c r="AQ206" s="535">
        <f>Sheet1!BN204+(DO206*Sheet1!BN204)</f>
        <v>43.108980620765713</v>
      </c>
      <c r="AR206" s="535">
        <f>Sheet1!BA204+CD206</f>
        <v>0</v>
      </c>
      <c r="AS206" s="535">
        <f>Sheet1!BA204+Sheet1!BB204+CD206</f>
        <v>0</v>
      </c>
      <c r="AT206" s="649">
        <f>0</f>
        <v>0</v>
      </c>
      <c r="AU206" s="974">
        <f>BA206+Sheet1!EH204</f>
        <v>5</v>
      </c>
      <c r="AV206" s="535">
        <f>IF(OR(B206&gt;=GD206,B206&lt;GC206),0,15/36*K206-MAX(0,64.6-(137.6-(Sheet1!AA204+Sheet1!AB204))))</f>
        <v>0</v>
      </c>
      <c r="AW206" s="1029"/>
      <c r="AX206" s="649"/>
      <c r="AY206" s="649">
        <f t="shared" si="541"/>
        <v>0</v>
      </c>
      <c r="AZ206" s="649">
        <f t="shared" si="542"/>
        <v>0</v>
      </c>
      <c r="BA206" s="1059">
        <f t="shared" si="543"/>
        <v>0</v>
      </c>
      <c r="BB206" s="1019">
        <f t="shared" si="445"/>
        <v>1333.3333333333335</v>
      </c>
      <c r="BC206" s="1041">
        <f t="shared" si="544"/>
        <v>0</v>
      </c>
      <c r="BD206" s="1019">
        <f ca="1">IF(B206&gt;(Summary!$A$1-1),#N/A,BB206*MGtoAF)</f>
        <v>4090.6666666666674</v>
      </c>
      <c r="BE206" s="535">
        <f>Sheet1!BG204+Sheet1!BH204+Sheet1!BI204-BM206</f>
        <v>2.52</v>
      </c>
      <c r="BF206" s="535">
        <f t="shared" si="446"/>
        <v>2.508882936820545</v>
      </c>
      <c r="BG206" s="535">
        <f>IF(Sheet1!EP204="FM",BM206,0)</f>
        <v>0</v>
      </c>
      <c r="BH206" s="535">
        <f t="shared" si="447"/>
        <v>0</v>
      </c>
      <c r="BI206" s="535">
        <f>IF(Sheet1!EP204="OTHER",BM206,0)</f>
        <v>0</v>
      </c>
      <c r="BJ206" s="535">
        <f t="shared" si="448"/>
        <v>0</v>
      </c>
      <c r="BK206" s="535">
        <f t="shared" si="449"/>
        <v>2.52</v>
      </c>
      <c r="BL206" s="535">
        <f t="shared" si="450"/>
        <v>2.508882936820545</v>
      </c>
      <c r="BM206" s="535">
        <f>IF(OR(Sheet1!EP204="FM", Sheet1!EP204="OTHER"),SUM(Sheet1!BG204:'Sheet1'!BI204),0)</f>
        <v>0</v>
      </c>
      <c r="BN206" s="521">
        <f>IF(AND($B206&gt;=$FV206,$B206&lt;=$FW206),MAX(BF206,Sheet1!EI204,0),MAX(BF206-(7/36)*$K206,0))</f>
        <v>2.508882936820545</v>
      </c>
      <c r="BO206" s="535">
        <f t="shared" si="497"/>
        <v>0</v>
      </c>
      <c r="BP206" s="521">
        <f t="shared" si="452"/>
        <v>0</v>
      </c>
      <c r="BQ206" s="521">
        <f>IF(AND($O206&gt;0,Sheet1!EM204=1),(1-($O206-Sheet1!$L204)/$O206)*BL206,0)</f>
        <v>0</v>
      </c>
      <c r="BR206" s="521">
        <f>IF(AND(Sheet1!$L204=0,Sheet1!$L203=0, Calculation!BK206&lt;Sheet1!$EI204-0.1,Sheet1!$EI204=Sheet1!$EI203,Sheet1!$EI204=Sheet1!$EI205),BL206-BQ206,BL206-BQ206)</f>
        <v>2.508882936820545</v>
      </c>
      <c r="BS206" s="1035" t="str">
        <f t="shared" si="545"/>
        <v/>
      </c>
      <c r="BT206" s="1035">
        <f t="shared" si="546"/>
        <v>0</v>
      </c>
      <c r="BU206" s="535">
        <f t="shared" si="453"/>
        <v>603.46279577633243</v>
      </c>
      <c r="BV206" s="535"/>
      <c r="BW206" s="535">
        <f ca="1">IF(B206&gt;(Summary!$A$1-1),#N/A,BU206*MGtoAF)</f>
        <v>1851.423857441788</v>
      </c>
      <c r="BX206" s="535">
        <f>Sheet1!BC204+Sheet1!BD204+Sheet1!BE204+Sheet1!BF204-CG206-CH206</f>
        <v>6.81</v>
      </c>
      <c r="BY206" s="535">
        <f t="shared" si="454"/>
        <v>6.7799574602174246</v>
      </c>
      <c r="BZ206" s="535">
        <f>IF(Sheet1!EQ204="FM",CH206,0)</f>
        <v>0</v>
      </c>
      <c r="CA206" s="535">
        <f t="shared" si="455"/>
        <v>0</v>
      </c>
      <c r="CB206" s="535">
        <f>IF(Sheet1!EQ204="OTHER",CH206,0)</f>
        <v>0</v>
      </c>
      <c r="CC206" s="535">
        <f t="shared" si="456"/>
        <v>0</v>
      </c>
      <c r="CD206" s="535">
        <f t="shared" si="457"/>
        <v>0</v>
      </c>
      <c r="CE206" s="535">
        <f t="shared" si="458"/>
        <v>6.81</v>
      </c>
      <c r="CF206" s="535">
        <f t="shared" si="459"/>
        <v>6.7799574602174246</v>
      </c>
      <c r="CG206" s="535">
        <f>IF(Sheet1!EQ204="CWA",SUM(Sheet1!BC204:'Sheet1'!BF204),0)</f>
        <v>0</v>
      </c>
      <c r="CH206" s="535">
        <f>IF(OR(Sheet1!EQ204="FM", Sheet1!EQ204="OTHER"),SUM(Sheet1!BC204:'Sheet1'!BF204),0)</f>
        <v>0</v>
      </c>
      <c r="CI206" s="521">
        <f>IF(AND($B206&gt;=$FV206,$B206&lt;=$FW206),MAX(CF206,Sheet1!EJ204,0),MAX(CF206-(7/36)*$K206,0))</f>
        <v>7</v>
      </c>
      <c r="CJ206" s="535">
        <f t="shared" si="499"/>
        <v>0</v>
      </c>
      <c r="CK206" s="521">
        <f t="shared" si="461"/>
        <v>0</v>
      </c>
      <c r="CL206" s="521">
        <f>IF(AND($O206&gt;0,Sheet1!EN204=1),(1-($O206-Sheet1!$L204)/$O206)*CF206,0)</f>
        <v>0</v>
      </c>
      <c r="CM206" s="521">
        <f>IF(AND(Sheet1!$L204=0,Sheet1!$L203=0, Calculation!CE206&lt;Sheet1!EJ204-0.1,Sheet1!EJ204=Sheet1!EJ203,Sheet1!EJ204=Sheet1!EJ205),CF206-CL206,CF206-CL206)</f>
        <v>6.7799574602174246</v>
      </c>
      <c r="CN206" s="1040" t="str">
        <f t="shared" si="547"/>
        <v/>
      </c>
      <c r="CO206" s="1035">
        <f t="shared" si="548"/>
        <v>0</v>
      </c>
      <c r="CP206" s="535">
        <f t="shared" si="462"/>
        <v>550.37482335490836</v>
      </c>
      <c r="CQ206" s="535"/>
      <c r="CR206" s="535">
        <f ca="1">IF(B206&gt;(Summary!$A$1-1),#N/A,CP206*MGtoAF)</f>
        <v>1688.549958052859</v>
      </c>
      <c r="CS206" s="535">
        <f>Sheet1!BK204+Sheet1!BL204+Sheet1!BM204-Sheet1!ER204-DA206</f>
        <v>10.84</v>
      </c>
      <c r="CT206" s="535">
        <f t="shared" si="463"/>
        <v>10.792178982196313</v>
      </c>
      <c r="CU206" s="535">
        <f>IF(Sheet1!ER204="FM",DA206,0)</f>
        <v>0</v>
      </c>
      <c r="CV206" s="535">
        <f t="shared" si="464"/>
        <v>0</v>
      </c>
      <c r="CW206" s="535">
        <f>IF(Sheet1!ER204="OTHER",DA206,0)</f>
        <v>0</v>
      </c>
      <c r="CX206" s="535">
        <f t="shared" si="465"/>
        <v>0</v>
      </c>
      <c r="CY206" s="535">
        <f t="shared" si="466"/>
        <v>10.84</v>
      </c>
      <c r="CZ206" s="535">
        <f t="shared" si="467"/>
        <v>10.792178982196313</v>
      </c>
      <c r="DA206" s="535">
        <f>IF(OR(Sheet1!ER204="FM", Sheet1!ER204="OTHER"),SUM(Sheet1!BK204:'Sheet1'!BM204),0)</f>
        <v>0</v>
      </c>
      <c r="DB206" s="1011">
        <f>IF(AND($B206&gt;=$FV206,$B206&lt;=$FW206),MAX($CT206,Sheet1!EK204,0),MAX($CT206-(7/36)*$K206,0))</f>
        <v>11</v>
      </c>
      <c r="DC206" s="1012">
        <f t="shared" si="498"/>
        <v>0</v>
      </c>
      <c r="DD206" s="1011">
        <f t="shared" si="469"/>
        <v>0</v>
      </c>
      <c r="DE206" s="521">
        <f>IF(AND($O206&gt;0,Sheet1!EO204=1),(1-($O206-Sheet1!$L204)/$O206)*CZ206,0)</f>
        <v>0</v>
      </c>
      <c r="DF206" s="521">
        <f>IF(AND(Sheet1!$L204=0,Sheet1!$L203=0, Calculation!CY206&lt;Sheet1!$EK204-0.1,Sheet1!$EK204=Sheet1!$EK203,Sheet1!$EK204=Sheet1!$EK205),CZ206-DE206,CZ206-DE206)</f>
        <v>10.792178982196313</v>
      </c>
      <c r="DG206" s="1040">
        <f t="shared" si="549"/>
        <v>0</v>
      </c>
      <c r="DH206" s="649">
        <f t="shared" si="470"/>
        <v>20.170000000000002</v>
      </c>
      <c r="DI206" s="535">
        <f t="shared" si="471"/>
        <v>497.96746861451368</v>
      </c>
      <c r="DJ206" s="649">
        <f t="shared" si="472"/>
        <v>20.081019379234284</v>
      </c>
      <c r="DK206" s="535">
        <f ca="1">IF(B206&gt;(Summary!$A$1-1),#N/A,DI206*MGtoAF)</f>
        <v>1527.7641937093281</v>
      </c>
      <c r="DL206" s="649">
        <f t="shared" si="473"/>
        <v>20.169999999999998</v>
      </c>
      <c r="DM206" s="535">
        <f t="shared" si="474"/>
        <v>63.47</v>
      </c>
      <c r="DN206" s="535">
        <f>Sheet1!AB204-DM206</f>
        <v>-0.28000000000000114</v>
      </c>
      <c r="DO206" s="743">
        <f t="shared" si="475"/>
        <v>-4.4115330077202008E-3</v>
      </c>
      <c r="DP206" s="535">
        <f>(VLOOKUP(Sheet1!DC204,hhdcap_wcm,4)-(((VLOOKUP(Sheet1!DC204,hhdcap_wcm,3)-Sheet1!DC204)/(VLOOKUP(Sheet1!DC204,hhdcap_wcm,3)-VLOOKUP(Sheet1!DC204,hhdcap_wcm,1)))*(VLOOKUP(Sheet1!DC204,hhdcap_wcm,4)-VLOOKUP(Sheet1!DC204,hhdcap_wcm,2))))</f>
        <v>46276.300000113319</v>
      </c>
      <c r="DQ206" s="535">
        <f t="shared" si="476"/>
        <v>-132.69999999923311</v>
      </c>
      <c r="DR206" s="535">
        <f t="shared" si="477"/>
        <v>-66.918809883627375</v>
      </c>
      <c r="DS206" s="535">
        <f>Sheet1!EA204*AFtoMG</f>
        <v>0</v>
      </c>
      <c r="DT206" s="535">
        <f>Sheet1!EB204*AFtoMG</f>
        <v>0</v>
      </c>
      <c r="DU206" s="535">
        <f>Sheet1!EC204*AFtoMG</f>
        <v>0</v>
      </c>
      <c r="DV206" s="535">
        <f>Sheet1!ED204*AFtoMG</f>
        <v>0</v>
      </c>
      <c r="DW206" s="535">
        <f t="shared" si="478"/>
        <v>0</v>
      </c>
      <c r="DX206" s="535">
        <f t="shared" si="479"/>
        <v>0</v>
      </c>
      <c r="DY206" s="535">
        <f t="shared" si="480"/>
        <v>2985.1384210790875</v>
      </c>
      <c r="DZ206" s="535">
        <f t="shared" si="481"/>
        <v>9158.4046758706409</v>
      </c>
      <c r="EA206" s="535"/>
      <c r="EB206" s="521">
        <f>IF(OR(B206&lt;FV206,B206&gt;FW206),(MIN(BF206+BY206+CT206+MAX(Sheet1!AA204+AQ206-73,0),K206)),0)</f>
        <v>0</v>
      </c>
      <c r="EC206" s="535"/>
      <c r="ED206" s="535">
        <f t="shared" si="482"/>
        <v>20.081019379234284</v>
      </c>
      <c r="EE206" s="535"/>
      <c r="EF206" s="535">
        <f>Sheet1!EH204+Sheet1!EI204+Sheet1!EJ204+Sheet1!EK204</f>
        <v>25.5</v>
      </c>
      <c r="EG206" s="1019">
        <f t="shared" si="550"/>
        <v>39.448499999999996</v>
      </c>
      <c r="EH206" s="521">
        <f t="shared" si="483"/>
        <v>0</v>
      </c>
      <c r="EI206" s="535">
        <f>IF(Sheet1!ET204=1,SUM('Calculations II'!AT206:BA206)+'Calculations II'!BC206+Sheet1!BV204+'Calculations II'!BE206+AP206,'Calculations II'!BK206)</f>
        <v>77.414066620765709</v>
      </c>
      <c r="EJ206" s="535">
        <f ca="1">EI206+'Calculations II'!D206+'Calculations II'!E206+'Calculations II'!O206</f>
        <v>76.925181944650802</v>
      </c>
      <c r="EK206" s="535"/>
      <c r="EL206" s="535"/>
      <c r="EM206" s="535">
        <f t="shared" si="484"/>
        <v>42930</v>
      </c>
      <c r="EN206" s="535">
        <f t="shared" si="485"/>
        <v>-25.508882936820545</v>
      </c>
      <c r="EO206" s="535">
        <f t="shared" si="486"/>
        <v>-39.462241903261379</v>
      </c>
      <c r="EP206" s="535">
        <v>0</v>
      </c>
      <c r="EQ206" s="535">
        <v>0</v>
      </c>
      <c r="ER206" s="535">
        <v>0</v>
      </c>
      <c r="ES206" s="521">
        <f t="shared" si="516"/>
        <v>0.83131242426779495</v>
      </c>
      <c r="ET206" s="535">
        <f>-(VLOOKUP(Sheet1!BQ204,Lookup!$O$4:$Q$262,2)-VLOOKUP(Sheet1!BQ203,Lookup!$O$4:$Q$262,2))/1000000</f>
        <v>0.41558890907070783</v>
      </c>
      <c r="EU206" s="535">
        <f>-(VLOOKUP(Sheet1!BR204,Lookup!$O$4:$Q$262,3)-VLOOKUP(Sheet1!BR203,Lookup!$O$4:$Q$262,3))/1000000</f>
        <v>0.41572351519708706</v>
      </c>
      <c r="EV206" s="535"/>
      <c r="EW206" s="535"/>
      <c r="EX206" s="535"/>
      <c r="EY206" s="535"/>
      <c r="EZ206" s="535"/>
      <c r="FA206" s="535"/>
      <c r="FB206" s="535"/>
      <c r="FC206" s="535"/>
      <c r="FD206" s="567">
        <f t="shared" si="504"/>
        <v>1138.8388888888098</v>
      </c>
      <c r="FE206" s="567" t="e">
        <f t="shared" si="488"/>
        <v>#N/A</v>
      </c>
      <c r="FF206" s="568" t="e">
        <f t="shared" si="489"/>
        <v>#N/A</v>
      </c>
      <c r="FG206" s="569" t="s">
        <v>656</v>
      </c>
      <c r="FH206" s="569" t="s">
        <v>656</v>
      </c>
      <c r="FI206" s="567" t="e">
        <v>#N/A</v>
      </c>
      <c r="FJ206" s="725">
        <v>22409</v>
      </c>
      <c r="FK206" s="535"/>
      <c r="FL206" s="1015">
        <f t="shared" si="503"/>
        <v>42.360060514372158</v>
      </c>
      <c r="FM206" s="535"/>
      <c r="FN206" s="535"/>
      <c r="FO206" s="535">
        <f>O206+((Sheet1!CS204)*GPMtoMGD)</f>
        <v>96.09</v>
      </c>
      <c r="FP206" s="535">
        <f>IF(Sheet1!AA204+AQ206&lt;=Calculation!N206,AQ206,Calculation!N206-Sheet1!AA204)</f>
        <v>40.1432</v>
      </c>
      <c r="FQ206" s="535">
        <f>(Sheet1!BP204+Sheet1!BO204)/694.4</f>
        <v>3.6697868663594466</v>
      </c>
      <c r="FR206" s="541"/>
      <c r="FS206" s="541"/>
      <c r="FT206" s="541"/>
      <c r="FU206" s="541"/>
      <c r="FV206" s="1109">
        <f t="shared" si="517"/>
        <v>42918</v>
      </c>
      <c r="FW206" s="1109">
        <f t="shared" si="518"/>
        <v>43027</v>
      </c>
      <c r="FX206" s="541"/>
      <c r="FY206" s="541">
        <f>Sheet1!DA204-Sheet1!CZ204-Sheet1!AE204</f>
        <v>-127.65123</v>
      </c>
      <c r="FZ206" s="535">
        <f t="shared" si="551"/>
        <v>-0.46404928648882671</v>
      </c>
      <c r="GA206" s="535"/>
      <c r="GB206" s="535" t="str">
        <f t="shared" si="519"/>
        <v>n</v>
      </c>
      <c r="GC206" s="539">
        <f t="shared" si="520"/>
        <v>42782</v>
      </c>
      <c r="GD206" s="1109">
        <f t="shared" si="521"/>
        <v>42904</v>
      </c>
      <c r="GE206" s="535">
        <f t="shared" si="537"/>
        <v>6520</v>
      </c>
      <c r="GF206" s="1109">
        <f t="shared" si="522"/>
        <v>42909</v>
      </c>
      <c r="GG206" s="535">
        <f t="shared" si="432"/>
        <v>3260</v>
      </c>
      <c r="GH206" s="539">
        <f t="shared" si="523"/>
        <v>43040</v>
      </c>
      <c r="GJ206" s="521">
        <f t="shared" si="524"/>
        <v>0</v>
      </c>
      <c r="GK206" s="535" t="str">
        <f t="shared" si="490"/>
        <v/>
      </c>
      <c r="GL206" s="535">
        <f t="shared" si="525"/>
        <v>0</v>
      </c>
      <c r="GM206" s="535" t="str">
        <f t="shared" si="526"/>
        <v/>
      </c>
      <c r="GN206" s="535">
        <f>IF(GK206="P",Lookup!$M$12,IF(GK206="PP",Lookup!$M$13,IF(GK206="PPP",Lookup!$M$14,IF(GK206="T",Lookup!$M$15,IF(GK206="TP",Lookup!$M$16,IF(GK206="TPP",Lookup!$M$17,IF(GK206="TPPP",Lookup!$M$18,0)))))))*GJ206</f>
        <v>0</v>
      </c>
      <c r="GO206" s="535">
        <f t="shared" si="527"/>
        <v>0</v>
      </c>
      <c r="GP206" s="535">
        <f t="shared" si="491"/>
        <v>4090.6666666666674</v>
      </c>
      <c r="GQ206" s="974">
        <f t="shared" si="500"/>
        <v>1333.3333333333335</v>
      </c>
      <c r="GR206" s="535"/>
      <c r="GS206" s="535">
        <f t="shared" si="528"/>
        <v>0</v>
      </c>
      <c r="GT206" s="535" t="str">
        <f t="shared" si="529"/>
        <v/>
      </c>
      <c r="GU206" s="535">
        <f>IF(GK206="P",Lookup!$N$12,IF(GK206="PP",Lookup!$N$13,IF(GK206="PPP",Lookup!$N$14,IF(GK206="T",Lookup!$N$15,IF(GK206="TP",Lookup!$N$16,IF(GK206="TPP",Lookup!$N$17,IF(GK206="TPPP",Lookup!$N$18,0)))))))*GJ206</f>
        <v>0</v>
      </c>
      <c r="GV206" s="535">
        <f t="shared" si="530"/>
        <v>0</v>
      </c>
      <c r="GW206" s="535">
        <f t="shared" si="492"/>
        <v>1851.423857441788</v>
      </c>
      <c r="GX206" s="974">
        <f t="shared" si="501"/>
        <v>603.46279577633243</v>
      </c>
      <c r="GY206" s="535"/>
      <c r="GZ206" s="535">
        <f t="shared" si="531"/>
        <v>0</v>
      </c>
      <c r="HA206" s="535" t="str">
        <f t="shared" si="532"/>
        <v/>
      </c>
      <c r="HB206" s="535">
        <f>IF(GK206="P",Lookup!$N$12,IF(GK206="PP",Lookup!$N$13,IF(GK206="PPP",Lookup!$N$14,IF(GK206="T",Lookup!$N$15,IF(GK206="TP",Lookup!$N$16,IF(GK206="TPP",Lookup!$N$17,IF(GK206="TPPP",Lookup!$N$18,0)))))))*GJ206</f>
        <v>0</v>
      </c>
      <c r="HC206" s="521">
        <f t="shared" si="493"/>
        <v>0</v>
      </c>
      <c r="HD206" s="535">
        <f t="shared" si="494"/>
        <v>1688.549958052859</v>
      </c>
      <c r="HE206" s="535">
        <f t="shared" si="535"/>
        <v>550.37482335490836</v>
      </c>
      <c r="HF206" s="535"/>
      <c r="HG206" s="535">
        <f t="shared" si="533"/>
        <v>0</v>
      </c>
      <c r="HH206" s="535" t="str">
        <f t="shared" si="534"/>
        <v/>
      </c>
      <c r="HI206" s="535">
        <f>IF(GK206="P",Lookup!$N$12,IF(GK206="PP",Lookup!$N$13,IF(GK206="PPP",Lookup!$N$14,IF(GK206="T",Lookup!$N$15,IF(GK206="TP",Lookup!$N$16,IF(GK206="TPP",Lookup!$N$17,IF(GK206="TPPP",Lookup!$N$18,0)))))))*GJ206</f>
        <v>0</v>
      </c>
      <c r="HJ206" s="521">
        <f t="shared" si="495"/>
        <v>0</v>
      </c>
      <c r="HK206" s="535">
        <f t="shared" si="496"/>
        <v>1527.7641937093281</v>
      </c>
      <c r="HL206" s="535">
        <f t="shared" si="536"/>
        <v>497.96746861451368</v>
      </c>
      <c r="HM206" s="535"/>
      <c r="HN206" s="541"/>
      <c r="HO206" s="541"/>
      <c r="HP206" s="541"/>
      <c r="HQ206" s="541">
        <f>IF(AND(B206&gt;=$FV$4,B206&lt;=$FW$4),MAX(110/1.02+$HQ$6+MIN(113/1.02,G206),IF($HV$6-(Sheet1!DA204-Sheet1!DB204)+MIN(113/1.02,G206)&lt;G206+FL206,$HV$6-(Sheet1!DA204-Sheet1!DB204)+MIN(113/1.02,G206),G206+FL206)),MIN(110/1.02+$HQ$6+113/1.02,G206))</f>
        <v>225.78431372549019</v>
      </c>
      <c r="HR206" s="541">
        <f t="shared" si="552"/>
        <v>230.3</v>
      </c>
      <c r="HS206" s="541">
        <f>HR206+(Sheet1!DA204-Sheet1!DB204)</f>
        <v>380.3</v>
      </c>
      <c r="HT206" s="541">
        <f t="shared" si="553"/>
        <v>109.85089302032458</v>
      </c>
      <c r="HU206" s="541">
        <f t="shared" si="554"/>
        <v>270.44910697967543</v>
      </c>
      <c r="HV206" s="541">
        <f t="shared" si="555"/>
        <v>0</v>
      </c>
      <c r="HW206" s="541" t="str">
        <f t="shared" si="556"/>
        <v/>
      </c>
      <c r="HX206" s="541">
        <f t="shared" si="557"/>
        <v>76.753444371248435</v>
      </c>
      <c r="HY206" s="541">
        <f>Sheet1!CZ204</f>
        <v>342</v>
      </c>
      <c r="HZ206" s="541">
        <f t="shared" si="558"/>
        <v>39.462241903261379</v>
      </c>
      <c r="IA206" s="541">
        <f t="shared" si="559"/>
        <v>109.85089302032458</v>
      </c>
      <c r="IB206" s="541">
        <f t="shared" si="560"/>
        <v>302.53775809673863</v>
      </c>
      <c r="IC206" s="1019" t="str">
        <f t="shared" si="561"/>
        <v/>
      </c>
      <c r="ID206" s="541">
        <f t="shared" si="562"/>
        <v>192.68686507641405</v>
      </c>
      <c r="IE206" s="541">
        <f>Sheet1!DB204</f>
        <v>213</v>
      </c>
      <c r="IF206" s="533">
        <f>Sheet1!DA204</f>
        <v>363</v>
      </c>
      <c r="IH206" s="541">
        <f>IF(AND($B206&gt;=$GC206,$B206&lt;=$GH206,$DR206&lt;0)+N("only adjusted when pool is drawn down during storage season"),Sheet1!$DB204+$DR206+N("Palmer minus all storage release"),Sheet1!$DB204)</f>
        <v>146.08119011637262</v>
      </c>
      <c r="II206" s="541">
        <f>IF(AND($B206&gt;=$GC206,$B206&lt;=$GH206,$DR206&lt;0)+N("only adjusted when pool is drawn down during storage season"),Sheet1!$DA204+$DR206+N("Auburn minus all storage release"),Sheet1!$DA204)</f>
        <v>296.08119011637262</v>
      </c>
    </row>
    <row r="207" spans="1:243" x14ac:dyDescent="0.25">
      <c r="A207" s="553" t="s">
        <v>9</v>
      </c>
      <c r="B207" s="531">
        <v>42931</v>
      </c>
      <c r="C207" s="536">
        <v>0</v>
      </c>
      <c r="D207" s="506">
        <f t="shared" si="506"/>
        <v>200</v>
      </c>
      <c r="E207" s="506">
        <f t="shared" si="507"/>
        <v>400</v>
      </c>
      <c r="F207" s="506">
        <v>250</v>
      </c>
      <c r="G207" s="535">
        <f>DR207+Sheet1!CZ205</f>
        <v>264.13817448310567</v>
      </c>
      <c r="H207" s="1074">
        <f t="shared" si="563"/>
        <v>0</v>
      </c>
      <c r="I207" s="534">
        <f>IF(Sheet1!DA205&gt;=E207,(Sheet1!DA205-E207+P207)*CFStoMGD,0)</f>
        <v>0</v>
      </c>
      <c r="J207" s="995">
        <f>IF(Sheet1!DB205&gt;=D207,(Sheet1!DB205-D207+P207)*CFStoMGD,0)</f>
        <v>0</v>
      </c>
      <c r="K207" s="818">
        <f t="shared" si="538"/>
        <v>0</v>
      </c>
      <c r="L207" s="535">
        <f>Sheet1!AA205+Sheet1!AB205-Sheet1!L205+(Sheet1!DA205-F207)*CFStoMGD-S207-T207-U207</f>
        <v>127.88769189106016</v>
      </c>
      <c r="M207" s="535">
        <f t="shared" si="436"/>
        <v>174.1536943055971</v>
      </c>
      <c r="N207" s="824">
        <f>IF(Sheet1!DA205&gt;=F207,MIN(113*CFStoMGD,MIN(MAX(L207,0),MAX(M207,0))),0)</f>
        <v>73.043199999999999</v>
      </c>
      <c r="O207" s="538">
        <f>Sheet1!AA205+Sheet1!AB205</f>
        <v>97.740000000000009</v>
      </c>
      <c r="P207" s="538">
        <f t="shared" si="437"/>
        <v>151.20377999999999</v>
      </c>
      <c r="Q207" s="812">
        <f t="shared" si="539"/>
        <v>72.297291891060169</v>
      </c>
      <c r="R207" s="812">
        <f t="shared" si="508"/>
        <v>25.5</v>
      </c>
      <c r="S207" s="812">
        <f t="shared" si="509"/>
        <v>0</v>
      </c>
      <c r="T207" s="812">
        <f t="shared" si="510"/>
        <v>0</v>
      </c>
      <c r="U207" s="812">
        <f>IF(AND(B207&gt;=FV207,B207&lt;=FW207),ED207+Sheet1!EH205,0)</f>
        <v>25.44270810893984</v>
      </c>
      <c r="V207" s="812"/>
      <c r="W207" s="812">
        <f t="shared" si="511"/>
        <v>0</v>
      </c>
      <c r="X207" s="812">
        <f t="shared" si="512"/>
        <v>0</v>
      </c>
      <c r="Y207" s="812" t="str">
        <f t="shared" si="513"/>
        <v>FALSE</v>
      </c>
      <c r="Z207" s="812">
        <f t="shared" si="514"/>
        <v>97.740000000000009</v>
      </c>
      <c r="AA207" s="812">
        <f t="shared" si="515"/>
        <v>97.740000000000009</v>
      </c>
      <c r="AB207" s="1059">
        <f t="shared" si="540"/>
        <v>111.84391055547007</v>
      </c>
      <c r="AC207" s="538">
        <f>Sheet1!Y205*MGDtoCFS</f>
        <v>50.896299999999997</v>
      </c>
      <c r="AD207" s="538">
        <f>Sheet1!Z205*MGDtoCFS</f>
        <v>97.754929999999987</v>
      </c>
      <c r="AE207" s="538">
        <f>Sheet1!AA205*MGDtoCFS</f>
        <v>50.896299999999997</v>
      </c>
      <c r="AF207" s="538">
        <f>Sheet1!AB205*MGDtoCFS</f>
        <v>100.30748</v>
      </c>
      <c r="AG207" s="538">
        <f>Sheet1!L205*MGDtoCFS</f>
        <v>0</v>
      </c>
      <c r="AH207" s="521">
        <f>AU207+BN207+CI207+DB207</f>
        <v>25.514183720572397</v>
      </c>
      <c r="AI207" s="1059">
        <f t="shared" si="439"/>
        <v>39.470442215725498</v>
      </c>
      <c r="AJ207" s="535">
        <f t="shared" si="440"/>
        <v>0</v>
      </c>
      <c r="AK207" s="535">
        <f t="shared" si="441"/>
        <v>0</v>
      </c>
      <c r="AL207" s="535">
        <f>(VLOOKUP(Sheet1!DC205,hhdcap_wcm,4)-(((VLOOKUP(Sheet1!DC205,hhdcap_wcm,3)-Sheet1!DC205)/(VLOOKUP(Sheet1!DC205,hhdcap_wcm,3)-VLOOKUP(Sheet1!DC205,hhdcap_wcm,1)))*(VLOOKUP(Sheet1!DC205,hhdcap_wcm,4)-VLOOKUP(Sheet1!DC205,hhdcap_wcm,2))))</f>
        <v>46121.900000113317</v>
      </c>
      <c r="AM207" s="535">
        <f t="shared" si="442"/>
        <v>-154.40000000000146</v>
      </c>
      <c r="AN207" s="1035">
        <f t="shared" si="443"/>
        <v>2959.6242373585155</v>
      </c>
      <c r="AO207" s="535">
        <f t="shared" si="444"/>
        <v>9080.127160215925</v>
      </c>
      <c r="AP207" s="535">
        <f>Sheet1!BA205+Sheet1!BB205+Sheet1!BN205+CD207</f>
        <v>44.5</v>
      </c>
      <c r="AQ207" s="535">
        <f>Sheet1!BN205+(DO207*Sheet1!BN205)</f>
        <v>44.397291891060171</v>
      </c>
      <c r="AR207" s="535">
        <f>Sheet1!BA205+CD207</f>
        <v>0</v>
      </c>
      <c r="AS207" s="535">
        <f>Sheet1!BA205+Sheet1!BB205+CD207</f>
        <v>0</v>
      </c>
      <c r="AT207" s="649">
        <f>0</f>
        <v>0</v>
      </c>
      <c r="AU207" s="974">
        <f>BA207+Sheet1!EH205</f>
        <v>5</v>
      </c>
      <c r="AV207" s="535">
        <f>IF(OR(B207&gt;=GD207,B207&lt;GC207),0,15/36*K207-MAX(0,64.6-(137.6-(Sheet1!AA205+Sheet1!AB205))))</f>
        <v>0</v>
      </c>
      <c r="AW207" s="1029"/>
      <c r="AX207" s="649"/>
      <c r="AY207" s="649">
        <f t="shared" si="541"/>
        <v>0</v>
      </c>
      <c r="AZ207" s="649">
        <f t="shared" si="542"/>
        <v>0</v>
      </c>
      <c r="BA207" s="1059">
        <f>HV207/1.547</f>
        <v>0</v>
      </c>
      <c r="BB207" s="1019">
        <f t="shared" si="445"/>
        <v>1328.3333333333335</v>
      </c>
      <c r="BC207" s="1041">
        <f t="shared" si="544"/>
        <v>0</v>
      </c>
      <c r="BD207" s="1019">
        <f ca="1">IF(B207&gt;(Summary!$A$1-1),#N/A,BB207*MGtoAF)</f>
        <v>4075.3266666666673</v>
      </c>
      <c r="BE207" s="535">
        <f>Sheet1!BG205+Sheet1!BH205+Sheet1!BI205-BM207</f>
        <v>2.52</v>
      </c>
      <c r="BF207" s="535">
        <f t="shared" si="446"/>
        <v>2.514183720572396</v>
      </c>
      <c r="BG207" s="535">
        <f>IF(Sheet1!EP205="FM",BM207,0)</f>
        <v>0</v>
      </c>
      <c r="BH207" s="535">
        <f t="shared" si="447"/>
        <v>0</v>
      </c>
      <c r="BI207" s="535">
        <f>IF(Sheet1!EP205="OTHER",BM207,0)</f>
        <v>0</v>
      </c>
      <c r="BJ207" s="535">
        <f t="shared" si="448"/>
        <v>0</v>
      </c>
      <c r="BK207" s="535">
        <f t="shared" si="449"/>
        <v>2.52</v>
      </c>
      <c r="BL207" s="535">
        <f t="shared" si="450"/>
        <v>2.514183720572396</v>
      </c>
      <c r="BM207" s="535">
        <f>IF(OR(Sheet1!EP205="FM", Sheet1!EP205="OTHER"),SUM(Sheet1!BG205:'Sheet1'!BI205),0)</f>
        <v>0</v>
      </c>
      <c r="BN207" s="521">
        <f>IF(AND($B207&gt;=$FV207,$B207&lt;=$FW207),MAX(BF207,Sheet1!EI205,0),MAX(BF207-(7/36)*$K207,0))</f>
        <v>2.514183720572396</v>
      </c>
      <c r="BO207" s="535">
        <f t="shared" si="497"/>
        <v>0</v>
      </c>
      <c r="BP207" s="521">
        <f t="shared" si="452"/>
        <v>0</v>
      </c>
      <c r="BQ207" s="521">
        <f>IF(AND($O207&gt;0,Sheet1!EM205=1),(1-($O207-Sheet1!$L205)/$O207)*BL207,0)</f>
        <v>0</v>
      </c>
      <c r="BR207" s="521">
        <f>IF(AND(Sheet1!$L205=0,Sheet1!$L204=0, Calculation!BK207&lt;Sheet1!$EI205-0.1,Sheet1!$EI205=Sheet1!$EI204,Sheet1!$EI205=Sheet1!$EI206),BL207-BQ207,BL207-BQ207)</f>
        <v>2.514183720572396</v>
      </c>
      <c r="BS207" s="1035" t="str">
        <f t="shared" si="545"/>
        <v/>
      </c>
      <c r="BT207" s="1035">
        <f t="shared" si="546"/>
        <v>0</v>
      </c>
      <c r="BU207" s="535">
        <f t="shared" si="453"/>
        <v>600.94861205576001</v>
      </c>
      <c r="BV207" s="535"/>
      <c r="BW207" s="535">
        <f ca="1">IF(B207&gt;(Summary!$A$1-1),#N/A,BU207*MGtoAF)</f>
        <v>1843.7103417870717</v>
      </c>
      <c r="BX207" s="535">
        <f>Sheet1!BC205+Sheet1!BD205+Sheet1!BE205+Sheet1!BF205-CG207-CH207</f>
        <v>7.01</v>
      </c>
      <c r="BY207" s="535">
        <f t="shared" si="454"/>
        <v>6.9938205877827366</v>
      </c>
      <c r="BZ207" s="535">
        <f>IF(Sheet1!EQ205="FM",CH207,0)</f>
        <v>0</v>
      </c>
      <c r="CA207" s="535">
        <f t="shared" si="455"/>
        <v>0</v>
      </c>
      <c r="CB207" s="535">
        <f>IF(Sheet1!EQ205="OTHER",CH207,0)</f>
        <v>0</v>
      </c>
      <c r="CC207" s="535">
        <f t="shared" si="456"/>
        <v>0</v>
      </c>
      <c r="CD207" s="535">
        <f t="shared" si="457"/>
        <v>0</v>
      </c>
      <c r="CE207" s="535">
        <f t="shared" si="458"/>
        <v>7.01</v>
      </c>
      <c r="CF207" s="535">
        <f t="shared" si="459"/>
        <v>6.9938205877827366</v>
      </c>
      <c r="CG207" s="535">
        <f>IF(Sheet1!EQ205="CWA",SUM(Sheet1!BC205:'Sheet1'!BF205),0)</f>
        <v>0</v>
      </c>
      <c r="CH207" s="535">
        <f>IF(OR(Sheet1!EQ205="FM", Sheet1!EQ205="OTHER"),SUM(Sheet1!BC205:'Sheet1'!BF205),0)</f>
        <v>0</v>
      </c>
      <c r="CI207" s="521">
        <f>IF(AND($B207&gt;=$FV207,$B207&lt;=$FW207),MAX(CF207,Sheet1!EJ205,0),MAX(CF207-(7/36)*$K207,0))</f>
        <v>7</v>
      </c>
      <c r="CJ207" s="535">
        <f t="shared" si="499"/>
        <v>0</v>
      </c>
      <c r="CK207" s="521">
        <f t="shared" si="461"/>
        <v>0</v>
      </c>
      <c r="CL207" s="521">
        <f>IF(AND($O207&gt;0,Sheet1!EN205=1),(1-($O207-Sheet1!$L205)/$O207)*CF207,0)</f>
        <v>0</v>
      </c>
      <c r="CM207" s="521">
        <f>IF(AND(Sheet1!$L205=0,Sheet1!$L204=0, Calculation!CE207&lt;Sheet1!EJ205-0.1,Sheet1!EJ205=Sheet1!EJ204,Sheet1!EJ205=Sheet1!EJ206),CF207-CL207,CF207-CL207)</f>
        <v>6.9938205877827366</v>
      </c>
      <c r="CN207" s="1040" t="str">
        <f t="shared" si="547"/>
        <v/>
      </c>
      <c r="CO207" s="1035">
        <f t="shared" si="548"/>
        <v>0</v>
      </c>
      <c r="CP207" s="535">
        <f t="shared" si="462"/>
        <v>543.37482335490836</v>
      </c>
      <c r="CQ207" s="535"/>
      <c r="CR207" s="535">
        <f ca="1">IF(B207&gt;(Summary!$A$1-1),#N/A,CP207*MGtoAF)</f>
        <v>1667.0739580528589</v>
      </c>
      <c r="CS207" s="535">
        <f>Sheet1!BK205+Sheet1!BL205+Sheet1!BM205-Sheet1!ER205-DA207</f>
        <v>10.96</v>
      </c>
      <c r="CT207" s="535">
        <f t="shared" si="463"/>
        <v>10.934703800584707</v>
      </c>
      <c r="CU207" s="535">
        <f>IF(Sheet1!ER205="FM",DA207,0)</f>
        <v>0</v>
      </c>
      <c r="CV207" s="535">
        <f t="shared" si="464"/>
        <v>0</v>
      </c>
      <c r="CW207" s="535">
        <f>IF(Sheet1!ER205="OTHER",DA207,0)</f>
        <v>0</v>
      </c>
      <c r="CX207" s="535">
        <f t="shared" si="465"/>
        <v>0</v>
      </c>
      <c r="CY207" s="535">
        <f t="shared" si="466"/>
        <v>10.96</v>
      </c>
      <c r="CZ207" s="535">
        <f t="shared" si="467"/>
        <v>10.934703800584707</v>
      </c>
      <c r="DA207" s="535">
        <f>IF(OR(Sheet1!ER205="FM", Sheet1!ER205="OTHER"),SUM(Sheet1!BK205:'Sheet1'!BM205),0)</f>
        <v>0</v>
      </c>
      <c r="DB207" s="1011">
        <f>IF(AND($B207&gt;=$FV207,$B207&lt;=$FW207),MAX($CT207,Sheet1!EK205,0),MAX($CT207-(7/36)*$K207,0))</f>
        <v>11</v>
      </c>
      <c r="DC207" s="1012">
        <f t="shared" si="498"/>
        <v>0</v>
      </c>
      <c r="DD207" s="1011">
        <f t="shared" si="469"/>
        <v>0</v>
      </c>
      <c r="DE207" s="521">
        <f>IF(AND($O207&gt;0,Sheet1!EO205=1),(1-($O207-Sheet1!$L205)/$O207)*CZ207,0)</f>
        <v>0</v>
      </c>
      <c r="DF207" s="521">
        <f>IF(AND(Sheet1!$L205=0,Sheet1!$L204=0, Calculation!CY207&lt;Sheet1!$EK205-0.1,Sheet1!$EK205=Sheet1!$EK204,Sheet1!$EK205=Sheet1!$EK206),CZ207-DE207,CZ207-DE207)</f>
        <v>10.934703800584707</v>
      </c>
      <c r="DG207" s="1040">
        <f t="shared" si="549"/>
        <v>0</v>
      </c>
      <c r="DH207" s="649">
        <f t="shared" si="470"/>
        <v>20.490000000000002</v>
      </c>
      <c r="DI207" s="535">
        <f t="shared" si="471"/>
        <v>486.96746861451368</v>
      </c>
      <c r="DJ207" s="649">
        <f t="shared" si="472"/>
        <v>20.44270810893984</v>
      </c>
      <c r="DK207" s="535">
        <f ca="1">IF(B207&gt;(Summary!$A$1-1),#N/A,DI207*MGtoAF)</f>
        <v>1494.016193709328</v>
      </c>
      <c r="DL207" s="649">
        <f t="shared" si="473"/>
        <v>20.49</v>
      </c>
      <c r="DM207" s="535">
        <f t="shared" si="474"/>
        <v>64.989999999999995</v>
      </c>
      <c r="DN207" s="535">
        <f>Sheet1!AB205-DM207</f>
        <v>-0.14999999999999147</v>
      </c>
      <c r="DO207" s="743">
        <f t="shared" si="475"/>
        <v>-2.3080473919063161E-3</v>
      </c>
      <c r="DP207" s="535">
        <f>(VLOOKUP(Sheet1!DC205,hhdcap_wcm,4)-(((VLOOKUP(Sheet1!DC205,hhdcap_wcm,3)-Sheet1!DC205)/(VLOOKUP(Sheet1!DC205,hhdcap_wcm,3)-VLOOKUP(Sheet1!DC205,hhdcap_wcm,1)))*(VLOOKUP(Sheet1!DC205,hhdcap_wcm,4)-VLOOKUP(Sheet1!DC205,hhdcap_wcm,2))))</f>
        <v>46121.900000113317</v>
      </c>
      <c r="DQ207" s="535">
        <f t="shared" si="476"/>
        <v>-154.40000000000146</v>
      </c>
      <c r="DR207" s="535">
        <f t="shared" si="477"/>
        <v>-77.861825516894314</v>
      </c>
      <c r="DS207" s="535">
        <f>Sheet1!EA205*AFtoMG</f>
        <v>0</v>
      </c>
      <c r="DT207" s="535">
        <f>Sheet1!EB205*AFtoMG</f>
        <v>0</v>
      </c>
      <c r="DU207" s="535">
        <f>Sheet1!EC205*AFtoMG</f>
        <v>0</v>
      </c>
      <c r="DV207" s="535">
        <f>Sheet1!ED205*AFtoMG</f>
        <v>0</v>
      </c>
      <c r="DW207" s="535">
        <f t="shared" si="478"/>
        <v>0</v>
      </c>
      <c r="DX207" s="535">
        <f t="shared" si="479"/>
        <v>0</v>
      </c>
      <c r="DY207" s="535">
        <f t="shared" si="480"/>
        <v>2959.6242373585155</v>
      </c>
      <c r="DZ207" s="535">
        <f t="shared" si="481"/>
        <v>9080.127160215925</v>
      </c>
      <c r="EA207" s="535"/>
      <c r="EB207" s="521">
        <f>IF(OR(B207&lt;FV207,B207&gt;FW207),(MIN(BF207+BY207+CT207+MAX(Sheet1!AA205+AQ207-73,0),K207)),0)</f>
        <v>0</v>
      </c>
      <c r="EC207" s="535"/>
      <c r="ED207" s="535">
        <f t="shared" si="482"/>
        <v>20.44270810893984</v>
      </c>
      <c r="EE207" s="535"/>
      <c r="EF207" s="535">
        <f>Sheet1!EH205+Sheet1!EI205+Sheet1!EJ205+Sheet1!EK205</f>
        <v>25.5</v>
      </c>
      <c r="EG207" s="1019">
        <f t="shared" si="550"/>
        <v>39.448499999999996</v>
      </c>
      <c r="EH207" s="521">
        <f t="shared" si="483"/>
        <v>0</v>
      </c>
      <c r="EI207" s="535">
        <f>IF(Sheet1!ET205=1,SUM('Calculations II'!AT207:BA207)+'Calculations II'!BC207+Sheet1!BV205+'Calculations II'!BE207+AP207,'Calculations II'!BK207)</f>
        <v>75.63943589106016</v>
      </c>
      <c r="EJ207" s="535">
        <f ca="1">EI207+'Calculations II'!D207+'Calculations II'!E207+'Calculations II'!O207</f>
        <v>78.240975843213036</v>
      </c>
      <c r="EK207" s="535"/>
      <c r="EL207" s="535"/>
      <c r="EM207" s="535">
        <f t="shared" si="484"/>
        <v>42931</v>
      </c>
      <c r="EN207" s="535">
        <f t="shared" si="485"/>
        <v>-25.514183720572397</v>
      </c>
      <c r="EO207" s="535">
        <f t="shared" si="486"/>
        <v>-39.470442215725498</v>
      </c>
      <c r="EP207" s="535">
        <v>0</v>
      </c>
      <c r="EQ207" s="535">
        <v>0</v>
      </c>
      <c r="ER207" s="535">
        <v>0</v>
      </c>
      <c r="ES207" s="521">
        <f t="shared" si="516"/>
        <v>-2.4942834227956645</v>
      </c>
      <c r="ET207" s="535">
        <f>-(VLOOKUP(Sheet1!BQ205,Lookup!$O$4:$Q$262,2)-VLOOKUP(Sheet1!BQ204,Lookup!$O$4:$Q$262,2))/1000000</f>
        <v>-1.2469397882411666</v>
      </c>
      <c r="EU207" s="535">
        <f>-(VLOOKUP(Sheet1!BR205,Lookup!$O$4:$Q$262,3)-VLOOKUP(Sheet1!BR204,Lookup!$O$4:$Q$262,3))/1000000</f>
        <v>-1.2473436345544979</v>
      </c>
      <c r="EV207" s="535"/>
      <c r="EW207" s="535"/>
      <c r="EX207" s="535"/>
      <c r="EY207" s="535"/>
      <c r="EZ207" s="535"/>
      <c r="FA207" s="535"/>
      <c r="FB207" s="535"/>
      <c r="FC207" s="535"/>
      <c r="FD207" s="567">
        <f t="shared" si="504"/>
        <v>1138.7222222221433</v>
      </c>
      <c r="FE207" s="567" t="e">
        <f t="shared" si="488"/>
        <v>#N/A</v>
      </c>
      <c r="FF207" s="568" t="e">
        <f t="shared" si="489"/>
        <v>#N/A</v>
      </c>
      <c r="FG207" s="569" t="s">
        <v>656</v>
      </c>
      <c r="FH207" s="569" t="s">
        <v>656</v>
      </c>
      <c r="FI207" s="567" t="e">
        <v>#N/A</v>
      </c>
      <c r="FJ207" s="725">
        <v>22325</v>
      </c>
      <c r="FK207" s="535"/>
      <c r="FL207" s="1015">
        <f t="shared" si="503"/>
        <v>42.360060514372158</v>
      </c>
      <c r="FM207" s="535"/>
      <c r="FN207" s="535"/>
      <c r="FO207" s="535">
        <f>O207+((Sheet1!CS205)*GPMtoMGD)</f>
        <v>97.740000000000009</v>
      </c>
      <c r="FP207" s="535">
        <f>IF(Sheet1!AA205+AQ207&lt;=Calculation!N207,AQ207,Calculation!N207-Sheet1!AA205)</f>
        <v>40.1432</v>
      </c>
      <c r="FQ207" s="535">
        <f>(Sheet1!BP205+Sheet1!BO205)/694.4</f>
        <v>3.6196716589861753</v>
      </c>
      <c r="FR207" s="541"/>
      <c r="FS207" s="541"/>
      <c r="FT207" s="541"/>
      <c r="FU207" s="541"/>
      <c r="FV207" s="1109">
        <f t="shared" si="517"/>
        <v>42918</v>
      </c>
      <c r="FW207" s="1109">
        <f t="shared" si="518"/>
        <v>43027</v>
      </c>
      <c r="FX207" s="541"/>
      <c r="FY207" s="541">
        <f>Sheet1!DA205-Sheet1!CZ205-Sheet1!AE205</f>
        <v>-157.20377999999999</v>
      </c>
      <c r="FZ207" s="535">
        <f t="shared" si="551"/>
        <v>-0.59515736529804319</v>
      </c>
      <c r="GA207" s="535"/>
      <c r="GB207" s="535" t="str">
        <f t="shared" si="519"/>
        <v>n</v>
      </c>
      <c r="GC207" s="539">
        <f t="shared" si="520"/>
        <v>42782</v>
      </c>
      <c r="GD207" s="1109">
        <f t="shared" si="521"/>
        <v>42904</v>
      </c>
      <c r="GE207" s="535">
        <f t="shared" si="537"/>
        <v>6520</v>
      </c>
      <c r="GF207" s="1109">
        <f t="shared" si="522"/>
        <v>42909</v>
      </c>
      <c r="GG207" s="535">
        <f t="shared" si="432"/>
        <v>3260</v>
      </c>
      <c r="GH207" s="539">
        <f t="shared" si="523"/>
        <v>43040</v>
      </c>
      <c r="GJ207" s="521">
        <f t="shared" si="524"/>
        <v>0</v>
      </c>
      <c r="GK207" s="535" t="str">
        <f t="shared" si="490"/>
        <v/>
      </c>
      <c r="GL207" s="535">
        <f t="shared" si="525"/>
        <v>0</v>
      </c>
      <c r="GM207" s="535" t="str">
        <f t="shared" si="526"/>
        <v/>
      </c>
      <c r="GN207" s="535">
        <f>IF(GK207="P",Lookup!$M$12,IF(GK207="PP",Lookup!$M$13,IF(GK207="PPP",Lookup!$M$14,IF(GK207="T",Lookup!$M$15,IF(GK207="TP",Lookup!$M$16,IF(GK207="TPP",Lookup!$M$17,IF(GK207="TPPP",Lookup!$M$18,0)))))))*GJ207</f>
        <v>0</v>
      </c>
      <c r="GO207" s="535">
        <f t="shared" si="527"/>
        <v>0</v>
      </c>
      <c r="GP207" s="535">
        <f t="shared" si="491"/>
        <v>4075.3266666666673</v>
      </c>
      <c r="GQ207" s="974">
        <f t="shared" si="500"/>
        <v>1328.3333333333335</v>
      </c>
      <c r="GR207" s="535"/>
      <c r="GS207" s="535">
        <f t="shared" si="528"/>
        <v>0</v>
      </c>
      <c r="GT207" s="535" t="str">
        <f t="shared" si="529"/>
        <v/>
      </c>
      <c r="GU207" s="535">
        <f>IF(GK207="P",Lookup!$N$12,IF(GK207="PP",Lookup!$N$13,IF(GK207="PPP",Lookup!$N$14,IF(GK207="T",Lookup!$N$15,IF(GK207="TP",Lookup!$N$16,IF(GK207="TPP",Lookup!$N$17,IF(GK207="TPPP",Lookup!$N$18,0)))))))*GJ207</f>
        <v>0</v>
      </c>
      <c r="GV207" s="535">
        <f t="shared" si="530"/>
        <v>0</v>
      </c>
      <c r="GW207" s="535">
        <f t="shared" si="492"/>
        <v>1843.7103417870717</v>
      </c>
      <c r="GX207" s="974">
        <f t="shared" si="501"/>
        <v>600.94861205576001</v>
      </c>
      <c r="GY207" s="535"/>
      <c r="GZ207" s="535">
        <f t="shared" si="531"/>
        <v>0</v>
      </c>
      <c r="HA207" s="535" t="str">
        <f t="shared" si="532"/>
        <v/>
      </c>
      <c r="HB207" s="535">
        <f>IF(GK207="P",Lookup!$N$12,IF(GK207="PP",Lookup!$N$13,IF(GK207="PPP",Lookup!$N$14,IF(GK207="T",Lookup!$N$15,IF(GK207="TP",Lookup!$N$16,IF(GK207="TPP",Lookup!$N$17,IF(GK207="TPPP",Lookup!$N$18,0)))))))*GJ207</f>
        <v>0</v>
      </c>
      <c r="HC207" s="521">
        <f t="shared" si="493"/>
        <v>0</v>
      </c>
      <c r="HD207" s="535">
        <f t="shared" si="494"/>
        <v>1667.0739580528589</v>
      </c>
      <c r="HE207" s="535">
        <f t="shared" si="535"/>
        <v>543.37482335490836</v>
      </c>
      <c r="HF207" s="535"/>
      <c r="HG207" s="535">
        <f t="shared" si="533"/>
        <v>0</v>
      </c>
      <c r="HH207" s="535" t="str">
        <f t="shared" si="534"/>
        <v/>
      </c>
      <c r="HI207" s="535">
        <f>IF(GK207="P",Lookup!$N$12,IF(GK207="PP",Lookup!$N$13,IF(GK207="PPP",Lookup!$N$14,IF(GK207="T",Lookup!$N$15,IF(GK207="TP",Lookup!$N$16,IF(GK207="TPP",Lookup!$N$17,IF(GK207="TPPP",Lookup!$N$18,0)))))))*GJ207</f>
        <v>0</v>
      </c>
      <c r="HJ207" s="521">
        <f t="shared" si="495"/>
        <v>0</v>
      </c>
      <c r="HK207" s="535">
        <f t="shared" si="496"/>
        <v>1494.016193709328</v>
      </c>
      <c r="HL207" s="535">
        <f t="shared" si="536"/>
        <v>486.96746861451368</v>
      </c>
      <c r="HM207" s="535"/>
      <c r="HN207" s="541"/>
      <c r="HO207" s="541"/>
      <c r="HP207" s="541"/>
      <c r="HQ207" s="541">
        <f>IF(AND(B207&gt;=$FV$4,B207&lt;=$FW$4),MAX(110/1.02+$HQ$6+MIN(113/1.02,G207),IF($HV$6-(Sheet1!DA205-Sheet1!DB205)+MIN(113/1.02,G207)&lt;G207+FL207,$HV$6-(Sheet1!DA205-Sheet1!DB205)+MIN(113/1.02,G207),G207+FL207)),MIN(110/1.02+$HQ$6+113/1.02,G207))</f>
        <v>235.78431372549019</v>
      </c>
      <c r="HR207" s="541">
        <f t="shared" si="552"/>
        <v>240.5</v>
      </c>
      <c r="HS207" s="541">
        <f>HR207+(Sheet1!DA205-Sheet1!DB205)</f>
        <v>380.5</v>
      </c>
      <c r="HT207" s="541">
        <f t="shared" si="553"/>
        <v>111.84391055547007</v>
      </c>
      <c r="HU207" s="541">
        <f t="shared" si="554"/>
        <v>268.65608944452993</v>
      </c>
      <c r="HV207" s="541">
        <f t="shared" si="555"/>
        <v>0</v>
      </c>
      <c r="HW207" s="541" t="str">
        <f t="shared" si="556"/>
        <v/>
      </c>
      <c r="HX207" s="541">
        <f t="shared" si="557"/>
        <v>66.745244058784323</v>
      </c>
      <c r="HY207" s="541">
        <f>Sheet1!CZ205</f>
        <v>342</v>
      </c>
      <c r="HZ207" s="541">
        <f t="shared" si="558"/>
        <v>39.470442215725498</v>
      </c>
      <c r="IA207" s="541">
        <f t="shared" si="559"/>
        <v>111.84391055547007</v>
      </c>
      <c r="IB207" s="541">
        <f t="shared" si="560"/>
        <v>302.52955778427452</v>
      </c>
      <c r="IC207" s="1019" t="str">
        <f t="shared" si="561"/>
        <v/>
      </c>
      <c r="ID207" s="541">
        <f t="shared" si="562"/>
        <v>190.68564722880444</v>
      </c>
      <c r="IE207" s="541">
        <f>Sheet1!DB205</f>
        <v>196</v>
      </c>
      <c r="IF207" s="533">
        <f>Sheet1!DA205</f>
        <v>336</v>
      </c>
      <c r="IH207" s="541">
        <f>IF(AND($B207&gt;=$GC207,$B207&lt;=$GH207,$DR207&lt;0)+N("only adjusted when pool is drawn down during storage season"),Sheet1!$DB205+$DR207+N("Palmer minus all storage release"),Sheet1!$DB205)</f>
        <v>118.13817448310569</v>
      </c>
      <c r="II207" s="541">
        <f>IF(AND($B207&gt;=$GC207,$B207&lt;=$GH207,$DR207&lt;0)+N("only adjusted when pool is drawn down during storage season"),Sheet1!$DA205+$DR207+N("Auburn minus all storage release"),Sheet1!$DA205)</f>
        <v>258.13817448310567</v>
      </c>
    </row>
    <row r="208" spans="1:243" x14ac:dyDescent="0.25">
      <c r="A208" s="553" t="s">
        <v>3</v>
      </c>
      <c r="B208" s="531">
        <v>42932</v>
      </c>
      <c r="C208" s="536">
        <v>0</v>
      </c>
      <c r="D208" s="506">
        <f t="shared" si="506"/>
        <v>200</v>
      </c>
      <c r="E208" s="506">
        <f t="shared" si="507"/>
        <v>400</v>
      </c>
      <c r="F208" s="506">
        <v>250</v>
      </c>
      <c r="G208" s="535">
        <f>DR208+Sheet1!CZ206</f>
        <v>263.88603126511981</v>
      </c>
      <c r="H208" s="1074">
        <f t="shared" si="563"/>
        <v>0</v>
      </c>
      <c r="I208" s="534">
        <f>IF(Sheet1!DA206&gt;=E208,(Sheet1!DA206-E208+P208)*CFStoMGD,0)</f>
        <v>0</v>
      </c>
      <c r="J208" s="995">
        <f>IF(Sheet1!DB206&gt;=D208,(Sheet1!DB206-D208+P208)*CFStoMGD,0)</f>
        <v>0</v>
      </c>
      <c r="K208" s="818">
        <f t="shared" si="538"/>
        <v>0</v>
      </c>
      <c r="L208" s="535">
        <f>Sheet1!AA206+Sheet1!AB206-Sheet1!L206+(Sheet1!DA206-F208)*CFStoMGD-S208-T208-U208</f>
        <v>128.06811744132534</v>
      </c>
      <c r="M208" s="535">
        <f t="shared" si="436"/>
        <v>173.98744922196892</v>
      </c>
      <c r="N208" s="824">
        <f>IF(Sheet1!DA206&gt;=F208,MIN(113*CFStoMGD,MIN(MAX(L208,0),MAX(M208,0))),0)</f>
        <v>73.043199999999999</v>
      </c>
      <c r="O208" s="538">
        <f>Sheet1!AA206+Sheet1!AB206</f>
        <v>97.929999999999993</v>
      </c>
      <c r="P208" s="538">
        <f t="shared" si="437"/>
        <v>151.49770999999998</v>
      </c>
      <c r="Q208" s="812">
        <f t="shared" si="539"/>
        <v>72.477717441325353</v>
      </c>
      <c r="R208" s="812">
        <f t="shared" si="508"/>
        <v>25.5</v>
      </c>
      <c r="S208" s="812">
        <f t="shared" si="509"/>
        <v>0</v>
      </c>
      <c r="T208" s="812">
        <f t="shared" si="510"/>
        <v>0</v>
      </c>
      <c r="U208" s="812">
        <f>IF(AND(B208&gt;=FV208,B208&lt;=FW208),ED208+Sheet1!EH206,0)</f>
        <v>25.452282558674643</v>
      </c>
      <c r="V208" s="812"/>
      <c r="W208" s="812">
        <f t="shared" si="511"/>
        <v>0</v>
      </c>
      <c r="X208" s="812">
        <f t="shared" si="512"/>
        <v>0</v>
      </c>
      <c r="Y208" s="812" t="str">
        <f t="shared" si="513"/>
        <v>FALSE</v>
      </c>
      <c r="Z208" s="812">
        <f t="shared" si="514"/>
        <v>97.929999999999993</v>
      </c>
      <c r="AA208" s="812">
        <f t="shared" si="515"/>
        <v>97.929999999999993</v>
      </c>
      <c r="AB208" s="1059">
        <f t="shared" si="540"/>
        <v>112.12302888173032</v>
      </c>
      <c r="AC208" s="538">
        <f>Sheet1!Y206*MGDtoCFS</f>
        <v>50.896299999999997</v>
      </c>
      <c r="AD208" s="538">
        <f>Sheet1!Z206*MGDtoCFS</f>
        <v>100.30748</v>
      </c>
      <c r="AE208" s="538">
        <f>Sheet1!AA206*MGDtoCFS</f>
        <v>50.834419999999994</v>
      </c>
      <c r="AF208" s="538">
        <f>Sheet1!AB206*MGDtoCFS</f>
        <v>100.66328999999999</v>
      </c>
      <c r="AG208" s="538">
        <f>Sheet1!L206*MGDtoCFS</f>
        <v>0</v>
      </c>
      <c r="AH208" s="521">
        <f t="shared" si="438"/>
        <v>25.515361251725725</v>
      </c>
      <c r="AI208" s="1059">
        <f t="shared" si="439"/>
        <v>39.472263856419694</v>
      </c>
      <c r="AJ208" s="535">
        <f t="shared" si="440"/>
        <v>0</v>
      </c>
      <c r="AK208" s="535">
        <f t="shared" si="441"/>
        <v>0</v>
      </c>
      <c r="AL208" s="535">
        <f>(VLOOKUP(Sheet1!DC206,hhdcap_wcm,4)-(((VLOOKUP(Sheet1!DC206,hhdcap_wcm,3)-Sheet1!DC206)/(VLOOKUP(Sheet1!DC206,hhdcap_wcm,3)-VLOOKUP(Sheet1!DC206,hhdcap_wcm,1)))*(VLOOKUP(Sheet1!DC206,hhdcap_wcm,4)-VLOOKUP(Sheet1!DC206,hhdcap_wcm,2))))</f>
        <v>45967.00000011205</v>
      </c>
      <c r="AM208" s="535">
        <f t="shared" si="442"/>
        <v>-154.90000000126747</v>
      </c>
      <c r="AN208" s="1035">
        <f t="shared" si="443"/>
        <v>2934.1088761067895</v>
      </c>
      <c r="AO208" s="535">
        <f t="shared" si="444"/>
        <v>9001.8460318956295</v>
      </c>
      <c r="AP208" s="535">
        <f>Sheet1!BA206+Sheet1!BB206+Sheet1!BN206+CD208</f>
        <v>44.7</v>
      </c>
      <c r="AQ208" s="535">
        <f>Sheet1!BN206+(DO208*Sheet1!BN206)</f>
        <v>44.617717441325354</v>
      </c>
      <c r="AR208" s="535">
        <f>Sheet1!BA206+CD208</f>
        <v>0</v>
      </c>
      <c r="AS208" s="535">
        <f>Sheet1!BA206+Sheet1!BB206+CD208</f>
        <v>0</v>
      </c>
      <c r="AT208" s="649">
        <f>0</f>
        <v>0</v>
      </c>
      <c r="AU208" s="974">
        <f>BA208+Sheet1!EH206</f>
        <v>5</v>
      </c>
      <c r="AV208" s="535">
        <f>IF(OR(B208&gt;=GD208,B208&lt;GC208),0,15/36*K208-MAX(0,64.6-(137.6-(Sheet1!AA206+Sheet1!AB206))))</f>
        <v>0</v>
      </c>
      <c r="AW208" s="1029"/>
      <c r="AX208" s="649"/>
      <c r="AY208" s="649">
        <f t="shared" si="541"/>
        <v>0</v>
      </c>
      <c r="AZ208" s="649">
        <f t="shared" si="542"/>
        <v>0</v>
      </c>
      <c r="BA208" s="1059">
        <f t="shared" si="543"/>
        <v>0</v>
      </c>
      <c r="BB208" s="1019">
        <f t="shared" si="445"/>
        <v>1323.3333333333335</v>
      </c>
      <c r="BC208" s="1041">
        <f t="shared" si="544"/>
        <v>0</v>
      </c>
      <c r="BD208" s="1019">
        <f ca="1">IF(B208&gt;(Summary!$A$1-1),#N/A,BB208*MGtoAF)</f>
        <v>4059.9866666666671</v>
      </c>
      <c r="BE208" s="535">
        <f>Sheet1!BG206+Sheet1!BH206+Sheet1!BI206-BM208</f>
        <v>2.52</v>
      </c>
      <c r="BF208" s="535">
        <f t="shared" si="446"/>
        <v>2.5153612517257247</v>
      </c>
      <c r="BG208" s="535">
        <f>IF(Sheet1!EP206="FM",BM208,0)</f>
        <v>0</v>
      </c>
      <c r="BH208" s="535">
        <f t="shared" si="447"/>
        <v>0</v>
      </c>
      <c r="BI208" s="535">
        <f>IF(Sheet1!EP206="OTHER",BM208,0)</f>
        <v>0</v>
      </c>
      <c r="BJ208" s="535">
        <f t="shared" si="448"/>
        <v>0</v>
      </c>
      <c r="BK208" s="535">
        <f t="shared" si="449"/>
        <v>2.52</v>
      </c>
      <c r="BL208" s="535">
        <f t="shared" si="450"/>
        <v>2.5153612517257247</v>
      </c>
      <c r="BM208" s="535">
        <f>IF(OR(Sheet1!EP206="FM", Sheet1!EP206="OTHER"),SUM(Sheet1!BG206:'Sheet1'!BI206),0)</f>
        <v>0</v>
      </c>
      <c r="BN208" s="521">
        <f>IF(AND($B208&gt;=$FV208,$B208&lt;=$FW208),MAX(BF208,Sheet1!EI206,0),MAX(BF208-(7/36)*$K208,0))</f>
        <v>2.5153612517257247</v>
      </c>
      <c r="BO208" s="535">
        <f t="shared" si="497"/>
        <v>0</v>
      </c>
      <c r="BP208" s="521">
        <f t="shared" si="452"/>
        <v>0</v>
      </c>
      <c r="BQ208" s="521">
        <f>IF(AND($O208&gt;0,Sheet1!EM206=1),(1-($O208-Sheet1!$L206)/$O208)*BL208,0)</f>
        <v>0</v>
      </c>
      <c r="BR208" s="521">
        <f>IF(AND(Sheet1!$L206=0,Sheet1!$L205=0, Calculation!BK208&lt;Sheet1!$EI206-0.1,Sheet1!$EI206=Sheet1!$EI205,Sheet1!$EI206=Sheet1!$EI207),BL208-BQ208,BL208-BQ208)</f>
        <v>2.5153612517257247</v>
      </c>
      <c r="BS208" s="1035" t="str">
        <f t="shared" si="545"/>
        <v/>
      </c>
      <c r="BT208" s="1035">
        <f t="shared" si="546"/>
        <v>0</v>
      </c>
      <c r="BU208" s="535">
        <f t="shared" si="453"/>
        <v>598.43325080403429</v>
      </c>
      <c r="BV208" s="535"/>
      <c r="BW208" s="535">
        <f ca="1">IF(B208&gt;(Summary!$A$1-1),#N/A,BU208*MGtoAF)</f>
        <v>1835.9932134667772</v>
      </c>
      <c r="BX208" s="535">
        <f>Sheet1!BC206+Sheet1!BD206+Sheet1!BE206+Sheet1!BF206-CG208-CH208</f>
        <v>7.01</v>
      </c>
      <c r="BY208" s="535">
        <f t="shared" si="454"/>
        <v>6.9970961803957659</v>
      </c>
      <c r="BZ208" s="535">
        <f>IF(Sheet1!EQ206="FM",CH208,0)</f>
        <v>0</v>
      </c>
      <c r="CA208" s="535">
        <f t="shared" si="455"/>
        <v>0</v>
      </c>
      <c r="CB208" s="535">
        <f>IF(Sheet1!EQ206="OTHER",CH208,0)</f>
        <v>0</v>
      </c>
      <c r="CC208" s="535">
        <f t="shared" si="456"/>
        <v>0</v>
      </c>
      <c r="CD208" s="535">
        <f t="shared" si="457"/>
        <v>0</v>
      </c>
      <c r="CE208" s="535">
        <f t="shared" si="458"/>
        <v>7.01</v>
      </c>
      <c r="CF208" s="535">
        <f t="shared" si="459"/>
        <v>6.9970961803957659</v>
      </c>
      <c r="CG208" s="535">
        <f>IF(Sheet1!EQ206="CWA",SUM(Sheet1!BC206:'Sheet1'!BF206),0)</f>
        <v>0</v>
      </c>
      <c r="CH208" s="535">
        <f>IF(OR(Sheet1!EQ206="FM", Sheet1!EQ206="OTHER"),SUM(Sheet1!BC206:'Sheet1'!BF206),0)</f>
        <v>0</v>
      </c>
      <c r="CI208" s="521">
        <f>IF(AND($B208&gt;=$FV208,$B208&lt;=$FW208),MAX(CF208,Sheet1!EJ206,0),MAX(CF208-(7/36)*$K208,0))</f>
        <v>7</v>
      </c>
      <c r="CJ208" s="535">
        <f t="shared" si="499"/>
        <v>0</v>
      </c>
      <c r="CK208" s="521">
        <f t="shared" si="461"/>
        <v>0</v>
      </c>
      <c r="CL208" s="521">
        <f>IF(AND($O208&gt;0,Sheet1!EN206=1),(1-($O208-Sheet1!$L206)/$O208)*CF208,0)</f>
        <v>0</v>
      </c>
      <c r="CM208" s="521">
        <f>IF(AND(Sheet1!$L206=0,Sheet1!$L205=0, Calculation!CE208&lt;Sheet1!EJ206-0.1,Sheet1!EJ206=Sheet1!EJ205,Sheet1!EJ206=Sheet1!EJ207),CF208-CL208,CF208-CL208)</f>
        <v>6.9970961803957659</v>
      </c>
      <c r="CN208" s="1040" t="str">
        <f t="shared" si="547"/>
        <v/>
      </c>
      <c r="CO208" s="1035">
        <f t="shared" si="548"/>
        <v>0</v>
      </c>
      <c r="CP208" s="535">
        <f t="shared" si="462"/>
        <v>536.37482335490836</v>
      </c>
      <c r="CQ208" s="535"/>
      <c r="CR208" s="535">
        <f ca="1">IF(B208&gt;(Summary!$A$1-1),#N/A,CP208*MGtoAF)</f>
        <v>1645.597958052859</v>
      </c>
      <c r="CS208" s="535">
        <f>Sheet1!BK206+Sheet1!BL206+Sheet1!BM206-Sheet1!ER206-DA208</f>
        <v>10.96</v>
      </c>
      <c r="CT208" s="535">
        <f t="shared" si="463"/>
        <v>10.939825126553153</v>
      </c>
      <c r="CU208" s="535">
        <f>IF(Sheet1!ER206="FM",DA208,0)</f>
        <v>0</v>
      </c>
      <c r="CV208" s="535">
        <f t="shared" si="464"/>
        <v>0</v>
      </c>
      <c r="CW208" s="535">
        <f>IF(Sheet1!ER206="OTHER",DA208,0)</f>
        <v>0</v>
      </c>
      <c r="CX208" s="535">
        <f t="shared" si="465"/>
        <v>0</v>
      </c>
      <c r="CY208" s="535">
        <f t="shared" si="466"/>
        <v>10.96</v>
      </c>
      <c r="CZ208" s="535">
        <f t="shared" si="467"/>
        <v>10.939825126553153</v>
      </c>
      <c r="DA208" s="535">
        <f>IF(OR(Sheet1!ER206="FM", Sheet1!ER206="OTHER"),SUM(Sheet1!BK206:'Sheet1'!BM206),0)</f>
        <v>0</v>
      </c>
      <c r="DB208" s="1011">
        <f>IF(AND($B208&gt;=$FV208,$B208&lt;=$FW208),MAX($CT208,Sheet1!EK206,0),MAX($CT208-(7/36)*$K208,0))</f>
        <v>11</v>
      </c>
      <c r="DC208" s="1012">
        <f t="shared" si="498"/>
        <v>0</v>
      </c>
      <c r="DD208" s="1011">
        <f t="shared" si="469"/>
        <v>0</v>
      </c>
      <c r="DE208" s="521">
        <f>IF(AND($O208&gt;0,Sheet1!EO206=1),(1-($O208-Sheet1!$L206)/$O208)*CZ208,0)</f>
        <v>0</v>
      </c>
      <c r="DF208" s="521">
        <f>IF(AND(Sheet1!$L206=0,Sheet1!$L205=0, Calculation!CY208&lt;Sheet1!$EK206-0.1,Sheet1!$EK206=Sheet1!$EK205,Sheet1!$EK206=Sheet1!$EK207),CZ208-DE208,CZ208-DE208)</f>
        <v>10.939825126553153</v>
      </c>
      <c r="DG208" s="1040">
        <f t="shared" si="549"/>
        <v>0</v>
      </c>
      <c r="DH208" s="649">
        <f t="shared" si="470"/>
        <v>20.490000000000002</v>
      </c>
      <c r="DI208" s="535">
        <f t="shared" si="471"/>
        <v>475.96746861451368</v>
      </c>
      <c r="DJ208" s="649">
        <f t="shared" si="472"/>
        <v>20.452282558674643</v>
      </c>
      <c r="DK208" s="535">
        <f ca="1">IF(B208&gt;(Summary!$A$1-1),#N/A,DI208*MGtoAF)</f>
        <v>1460.268193709328</v>
      </c>
      <c r="DL208" s="649">
        <f t="shared" si="473"/>
        <v>20.49</v>
      </c>
      <c r="DM208" s="535">
        <f t="shared" si="474"/>
        <v>65.19</v>
      </c>
      <c r="DN208" s="535">
        <f>Sheet1!AB206-DM208</f>
        <v>-0.12000000000000455</v>
      </c>
      <c r="DO208" s="743">
        <f t="shared" si="475"/>
        <v>-1.8407731247124491E-3</v>
      </c>
      <c r="DP208" s="535">
        <f>(VLOOKUP(Sheet1!DC206,hhdcap_wcm,4)-(((VLOOKUP(Sheet1!DC206,hhdcap_wcm,3)-Sheet1!DC206)/(VLOOKUP(Sheet1!DC206,hhdcap_wcm,3)-VLOOKUP(Sheet1!DC206,hhdcap_wcm,1)))*(VLOOKUP(Sheet1!DC206,hhdcap_wcm,4)-VLOOKUP(Sheet1!DC206,hhdcap_wcm,2))))</f>
        <v>45967.00000011205</v>
      </c>
      <c r="DQ208" s="535">
        <f t="shared" si="476"/>
        <v>-154.90000000126747</v>
      </c>
      <c r="DR208" s="535">
        <f t="shared" si="477"/>
        <v>-78.113968734880203</v>
      </c>
      <c r="DS208" s="535">
        <f>Sheet1!EA206*AFtoMG</f>
        <v>0</v>
      </c>
      <c r="DT208" s="535">
        <f>Sheet1!EB206*AFtoMG</f>
        <v>0</v>
      </c>
      <c r="DU208" s="535">
        <f>Sheet1!EC206*AFtoMG</f>
        <v>0</v>
      </c>
      <c r="DV208" s="535">
        <f>Sheet1!ED206*AFtoMG</f>
        <v>0</v>
      </c>
      <c r="DW208" s="535">
        <f t="shared" si="478"/>
        <v>0</v>
      </c>
      <c r="DX208" s="535">
        <f t="shared" si="479"/>
        <v>0</v>
      </c>
      <c r="DY208" s="535">
        <f t="shared" si="480"/>
        <v>2934.1088761067895</v>
      </c>
      <c r="DZ208" s="535">
        <f t="shared" si="481"/>
        <v>9001.8460318956295</v>
      </c>
      <c r="EA208" s="535"/>
      <c r="EB208" s="521">
        <f>IF(OR(B208&lt;FV208,B208&gt;FW208),(MIN(BF208+BY208+CT208+MAX(Sheet1!AA206+AQ208-73,0),K208)),0)</f>
        <v>0</v>
      </c>
      <c r="EC208" s="535"/>
      <c r="ED208" s="535">
        <f t="shared" si="482"/>
        <v>20.452282558674643</v>
      </c>
      <c r="EE208" s="535"/>
      <c r="EF208" s="535">
        <f>Sheet1!EH206+Sheet1!EI206+Sheet1!EJ206+Sheet1!EK206</f>
        <v>25.5</v>
      </c>
      <c r="EG208" s="1019">
        <f t="shared" si="550"/>
        <v>39.448499999999996</v>
      </c>
      <c r="EH208" s="521">
        <f t="shared" si="483"/>
        <v>0</v>
      </c>
      <c r="EI208" s="535">
        <f>IF(Sheet1!ET206=1,SUM('Calculations II'!AT208:BA208)+'Calculations II'!BC208+Sheet1!BV206+'Calculations II'!BE208+AP208,'Calculations II'!BK208)</f>
        <v>76.863363441325362</v>
      </c>
      <c r="EJ208" s="535">
        <f ca="1">EI208+'Calculations II'!D208+'Calculations II'!E208+'Calculations II'!O208</f>
        <v>76.869032743443952</v>
      </c>
      <c r="EK208" s="535"/>
      <c r="EL208" s="535"/>
      <c r="EM208" s="535">
        <f t="shared" si="484"/>
        <v>42932</v>
      </c>
      <c r="EN208" s="535">
        <f t="shared" si="485"/>
        <v>-25.515361251725725</v>
      </c>
      <c r="EO208" s="535">
        <f t="shared" si="486"/>
        <v>-39.472263856419694</v>
      </c>
      <c r="EP208" s="535">
        <v>0</v>
      </c>
      <c r="EQ208" s="535">
        <v>0</v>
      </c>
      <c r="ER208" s="535">
        <v>0</v>
      </c>
      <c r="ES208" s="521">
        <f t="shared" si="516"/>
        <v>-1.3861617635525092</v>
      </c>
      <c r="ET208" s="535">
        <f>-(VLOOKUP(Sheet1!BQ206,Lookup!$O$4:$Q$262,2)-VLOOKUP(Sheet1!BQ205,Lookup!$O$4:$Q$262,2))/1000000</f>
        <v>-0.69296868413927404</v>
      </c>
      <c r="EU208" s="535">
        <f>-(VLOOKUP(Sheet1!BR206,Lookup!$O$4:$Q$262,3)-VLOOKUP(Sheet1!BR205,Lookup!$O$4:$Q$262,3))/1000000</f>
        <v>-0.69319307941323516</v>
      </c>
      <c r="EV208" s="535"/>
      <c r="EW208" s="535"/>
      <c r="EX208" s="535"/>
      <c r="EY208" s="535"/>
      <c r="EZ208" s="535"/>
      <c r="FA208" s="535"/>
      <c r="FB208" s="535"/>
      <c r="FC208" s="535"/>
      <c r="FD208" s="567">
        <f t="shared" si="504"/>
        <v>1138.6055555554767</v>
      </c>
      <c r="FE208" s="567" t="e">
        <f t="shared" si="488"/>
        <v>#N/A</v>
      </c>
      <c r="FF208" s="568" t="e">
        <f t="shared" si="489"/>
        <v>#N/A</v>
      </c>
      <c r="FG208" s="569" t="s">
        <v>656</v>
      </c>
      <c r="FH208" s="569" t="s">
        <v>656</v>
      </c>
      <c r="FI208" s="567" t="e">
        <v>#N/A</v>
      </c>
      <c r="FJ208" s="725">
        <v>22241</v>
      </c>
      <c r="FK208" s="535"/>
      <c r="FL208" s="1015">
        <f t="shared" si="503"/>
        <v>41.855774079677253</v>
      </c>
      <c r="FM208" s="535"/>
      <c r="FN208" s="535"/>
      <c r="FO208" s="535">
        <f>O208+((Sheet1!CS206)*GPMtoMGD)</f>
        <v>97.929999999999993</v>
      </c>
      <c r="FP208" s="535">
        <f>IF(Sheet1!AA206+AQ208&lt;=Calculation!N208,AQ208,Calculation!N208-Sheet1!AA206)</f>
        <v>40.183199999999999</v>
      </c>
      <c r="FQ208" s="535">
        <f>(Sheet1!BP206+Sheet1!BO206)/694.4</f>
        <v>4.3091877880184333</v>
      </c>
      <c r="FR208" s="541"/>
      <c r="FS208" s="541"/>
      <c r="FT208" s="541"/>
      <c r="FU208" s="541"/>
      <c r="FV208" s="1109">
        <f t="shared" si="517"/>
        <v>42918</v>
      </c>
      <c r="FW208" s="1109">
        <f t="shared" si="518"/>
        <v>43027</v>
      </c>
      <c r="FX208" s="541"/>
      <c r="FY208" s="541">
        <f>Sheet1!DA206-Sheet1!CZ206-Sheet1!AE206</f>
        <v>-157.49770999999998</v>
      </c>
      <c r="FZ208" s="535">
        <f t="shared" si="551"/>
        <v>-0.59683989048198582</v>
      </c>
      <c r="GA208" s="535"/>
      <c r="GB208" s="535" t="str">
        <f t="shared" si="519"/>
        <v>n</v>
      </c>
      <c r="GC208" s="539">
        <f t="shared" si="520"/>
        <v>42782</v>
      </c>
      <c r="GD208" s="1109">
        <f t="shared" si="521"/>
        <v>42904</v>
      </c>
      <c r="GE208" s="535">
        <f t="shared" si="537"/>
        <v>6520</v>
      </c>
      <c r="GF208" s="1109">
        <f t="shared" si="522"/>
        <v>42909</v>
      </c>
      <c r="GG208" s="535">
        <f t="shared" si="432"/>
        <v>3260</v>
      </c>
      <c r="GH208" s="539">
        <f t="shared" si="523"/>
        <v>43040</v>
      </c>
      <c r="GJ208" s="521">
        <f t="shared" si="524"/>
        <v>0</v>
      </c>
      <c r="GK208" s="535" t="str">
        <f t="shared" si="490"/>
        <v/>
      </c>
      <c r="GL208" s="535">
        <f t="shared" si="525"/>
        <v>0</v>
      </c>
      <c r="GM208" s="535" t="str">
        <f t="shared" si="526"/>
        <v/>
      </c>
      <c r="GN208" s="535">
        <f>IF(GK208="P",Lookup!$M$12,IF(GK208="PP",Lookup!$M$13,IF(GK208="PPP",Lookup!$M$14,IF(GK208="T",Lookup!$M$15,IF(GK208="TP",Lookup!$M$16,IF(GK208="TPP",Lookup!$M$17,IF(GK208="TPPP",Lookup!$M$18,0)))))))*GJ208</f>
        <v>0</v>
      </c>
      <c r="GO208" s="535">
        <f t="shared" si="527"/>
        <v>0</v>
      </c>
      <c r="GP208" s="535">
        <f t="shared" si="491"/>
        <v>4059.9866666666671</v>
      </c>
      <c r="GQ208" s="974">
        <f t="shared" si="500"/>
        <v>1323.3333333333335</v>
      </c>
      <c r="GR208" s="535"/>
      <c r="GS208" s="535">
        <f t="shared" si="528"/>
        <v>0</v>
      </c>
      <c r="GT208" s="535" t="str">
        <f t="shared" si="529"/>
        <v/>
      </c>
      <c r="GU208" s="535">
        <f>IF(GK208="P",Lookup!$N$12,IF(GK208="PP",Lookup!$N$13,IF(GK208="PPP",Lookup!$N$14,IF(GK208="T",Lookup!$N$15,IF(GK208="TP",Lookup!$N$16,IF(GK208="TPP",Lookup!$N$17,IF(GK208="TPPP",Lookup!$N$18,0)))))))*GJ208</f>
        <v>0</v>
      </c>
      <c r="GV208" s="535">
        <f t="shared" si="530"/>
        <v>0</v>
      </c>
      <c r="GW208" s="535">
        <f t="shared" si="492"/>
        <v>1835.9932134667772</v>
      </c>
      <c r="GX208" s="974">
        <f t="shared" si="501"/>
        <v>598.43325080403429</v>
      </c>
      <c r="GY208" s="535"/>
      <c r="GZ208" s="535">
        <f t="shared" si="531"/>
        <v>0</v>
      </c>
      <c r="HA208" s="535" t="str">
        <f t="shared" si="532"/>
        <v/>
      </c>
      <c r="HB208" s="535">
        <f>IF(GK208="P",Lookup!$N$12,IF(GK208="PP",Lookup!$N$13,IF(GK208="PPP",Lookup!$N$14,IF(GK208="T",Lookup!$N$15,IF(GK208="TP",Lookup!$N$16,IF(GK208="TPP",Lookup!$N$17,IF(GK208="TPPP",Lookup!$N$18,0)))))))*GJ208</f>
        <v>0</v>
      </c>
      <c r="HC208" s="521">
        <f t="shared" si="493"/>
        <v>0</v>
      </c>
      <c r="HD208" s="535">
        <f t="shared" si="494"/>
        <v>1645.597958052859</v>
      </c>
      <c r="HE208" s="535">
        <f t="shared" si="535"/>
        <v>536.37482335490836</v>
      </c>
      <c r="HF208" s="535"/>
      <c r="HG208" s="535">
        <f t="shared" si="533"/>
        <v>0</v>
      </c>
      <c r="HH208" s="535" t="str">
        <f t="shared" si="534"/>
        <v/>
      </c>
      <c r="HI208" s="535">
        <f>IF(GK208="P",Lookup!$N$12,IF(GK208="PP",Lookup!$N$13,IF(GK208="PPP",Lookup!$N$14,IF(GK208="T",Lookup!$N$15,IF(GK208="TP",Lookup!$N$16,IF(GK208="TPP",Lookup!$N$17,IF(GK208="TPPP",Lookup!$N$18,0)))))))*GJ208</f>
        <v>0</v>
      </c>
      <c r="HJ208" s="521">
        <f t="shared" si="495"/>
        <v>0</v>
      </c>
      <c r="HK208" s="535">
        <f t="shared" si="496"/>
        <v>1460.268193709328</v>
      </c>
      <c r="HL208" s="535">
        <f t="shared" si="536"/>
        <v>475.96746861451368</v>
      </c>
      <c r="HM208" s="535"/>
      <c r="HN208" s="541"/>
      <c r="HO208" s="541"/>
      <c r="HP208" s="541"/>
      <c r="HQ208" s="541">
        <f>IF(AND(B208&gt;=$FV$4,B208&lt;=$FW$4),MAX(110/1.02+$HQ$6+MIN(113/1.02,G208),IF($HV$6-(Sheet1!DA206-Sheet1!DB206)+MIN(113/1.02,G208)&lt;G208+FL208,$HV$6-(Sheet1!DA206-Sheet1!DB206)+MIN(113/1.02,G208),G208+FL208)),MIN(110/1.02+$HQ$6+113/1.02,G208))</f>
        <v>235.78431372549019</v>
      </c>
      <c r="HR208" s="541">
        <f t="shared" si="552"/>
        <v>240.5</v>
      </c>
      <c r="HS208" s="541">
        <f>HR208+(Sheet1!DA206-Sheet1!DB206)</f>
        <v>380.5</v>
      </c>
      <c r="HT208" s="541">
        <f t="shared" si="553"/>
        <v>112.12302888173032</v>
      </c>
      <c r="HU208" s="541">
        <f t="shared" si="554"/>
        <v>268.37697111826969</v>
      </c>
      <c r="HV208" s="541">
        <f t="shared" si="555"/>
        <v>0</v>
      </c>
      <c r="HW208" s="541" t="str">
        <f t="shared" si="556"/>
        <v/>
      </c>
      <c r="HX208" s="541">
        <f t="shared" si="557"/>
        <v>66.743422418090091</v>
      </c>
      <c r="HY208" s="541">
        <f>Sheet1!CZ206</f>
        <v>342</v>
      </c>
      <c r="HZ208" s="541">
        <f t="shared" si="558"/>
        <v>39.472263856419694</v>
      </c>
      <c r="IA208" s="541">
        <f t="shared" si="559"/>
        <v>112.12302888173032</v>
      </c>
      <c r="IB208" s="541">
        <f t="shared" si="560"/>
        <v>302.52773614358028</v>
      </c>
      <c r="IC208" s="1019" t="str">
        <f t="shared" si="561"/>
        <v/>
      </c>
      <c r="ID208" s="541">
        <f t="shared" si="562"/>
        <v>190.40470726184998</v>
      </c>
      <c r="IE208" s="541">
        <f>Sheet1!DB206</f>
        <v>196</v>
      </c>
      <c r="IF208" s="533">
        <f>Sheet1!DA206</f>
        <v>336</v>
      </c>
      <c r="IH208" s="541">
        <f>IF(AND($B208&gt;=$GC208,$B208&lt;=$GH208,$DR208&lt;0)+N("only adjusted when pool is drawn down during storage season"),Sheet1!$DB206+$DR208+N("Palmer minus all storage release"),Sheet1!$DB206)</f>
        <v>117.8860312651198</v>
      </c>
      <c r="II208" s="541">
        <f>IF(AND($B208&gt;=$GC208,$B208&lt;=$GH208,$DR208&lt;0)+N("only adjusted when pool is drawn down during storage season"),Sheet1!$DA206+$DR208+N("Auburn minus all storage release"),Sheet1!$DA206)</f>
        <v>257.88603126511981</v>
      </c>
    </row>
    <row r="209" spans="1:243" x14ac:dyDescent="0.25">
      <c r="A209" s="553" t="s">
        <v>4</v>
      </c>
      <c r="B209" s="531">
        <v>42933</v>
      </c>
      <c r="C209" s="536">
        <v>0</v>
      </c>
      <c r="D209" s="506">
        <f t="shared" si="506"/>
        <v>200</v>
      </c>
      <c r="E209" s="506">
        <f t="shared" si="507"/>
        <v>400</v>
      </c>
      <c r="F209" s="506">
        <v>250</v>
      </c>
      <c r="G209" s="535">
        <f>DR209+Sheet1!CZ207</f>
        <v>242.29702470952162</v>
      </c>
      <c r="H209" s="1074">
        <f t="shared" si="563"/>
        <v>0</v>
      </c>
      <c r="I209" s="534">
        <f>IF(Sheet1!DA207&gt;=E209,(Sheet1!DA207-E209+P209)*CFStoMGD,0)</f>
        <v>0</v>
      </c>
      <c r="J209" s="995">
        <f>IF(Sheet1!DB207&gt;=D209,(Sheet1!DB207-D209+P209)*CFStoMGD,0)</f>
        <v>0</v>
      </c>
      <c r="K209" s="818">
        <f t="shared" si="538"/>
        <v>0</v>
      </c>
      <c r="L209" s="535">
        <f>Sheet1!AA207+Sheet1!AB207-Sheet1!L207+(Sheet1!DA207-F209)*CFStoMGD-S209-T209-U209</f>
        <v>129.07699420049707</v>
      </c>
      <c r="M209" s="535">
        <f t="shared" si="436"/>
        <v>159.75321270767947</v>
      </c>
      <c r="N209" s="824">
        <f>IF(Sheet1!DA207&gt;=F209,MIN(113*CFStoMGD,MIN(MAX(L209,0),MAX(M209,0))),0)</f>
        <v>73.043199999999999</v>
      </c>
      <c r="O209" s="538">
        <f>Sheet1!AA207+Sheet1!AB207</f>
        <v>96.289999999999992</v>
      </c>
      <c r="P209" s="538">
        <f t="shared" si="437"/>
        <v>148.96062999999998</v>
      </c>
      <c r="Q209" s="812">
        <f t="shared" si="539"/>
        <v>70.900994200497081</v>
      </c>
      <c r="R209" s="812">
        <f t="shared" si="508"/>
        <v>25.5</v>
      </c>
      <c r="S209" s="812">
        <f t="shared" si="509"/>
        <v>0</v>
      </c>
      <c r="T209" s="812">
        <f t="shared" si="510"/>
        <v>0</v>
      </c>
      <c r="U209" s="812">
        <f>IF(AND(B209&gt;=FV209,B209&lt;=FW209),ED209+Sheet1!EH207,0)</f>
        <v>25.389005799502904</v>
      </c>
      <c r="V209" s="812"/>
      <c r="W209" s="812">
        <f t="shared" si="511"/>
        <v>0</v>
      </c>
      <c r="X209" s="812">
        <f t="shared" si="512"/>
        <v>0</v>
      </c>
      <c r="Y209" s="812" t="str">
        <f t="shared" si="513"/>
        <v>FALSE</v>
      </c>
      <c r="Z209" s="812">
        <f t="shared" si="514"/>
        <v>96.289999999999992</v>
      </c>
      <c r="AA209" s="812">
        <f t="shared" si="515"/>
        <v>96.289999999999992</v>
      </c>
      <c r="AB209" s="1059">
        <f t="shared" si="540"/>
        <v>109.68383802816898</v>
      </c>
      <c r="AC209" s="538">
        <f>Sheet1!Y207*MGDtoCFS</f>
        <v>50.834419999999994</v>
      </c>
      <c r="AD209" s="538">
        <f>Sheet1!Z207*MGDtoCFS</f>
        <v>100.66328999999999</v>
      </c>
      <c r="AE209" s="538">
        <f>Sheet1!AA207*MGDtoCFS</f>
        <v>55.877639999999992</v>
      </c>
      <c r="AF209" s="538">
        <f>Sheet1!AB207*MGDtoCFS</f>
        <v>93.082989999999995</v>
      </c>
      <c r="AG209" s="538">
        <f>Sheet1!L207*MGDtoCFS</f>
        <v>0</v>
      </c>
      <c r="AH209" s="521">
        <f t="shared" si="438"/>
        <v>25.51248384424192</v>
      </c>
      <c r="AI209" s="1059">
        <f t="shared" si="439"/>
        <v>39.467812507042247</v>
      </c>
      <c r="AJ209" s="535">
        <f t="shared" si="440"/>
        <v>0</v>
      </c>
      <c r="AK209" s="535">
        <f t="shared" si="441"/>
        <v>0</v>
      </c>
      <c r="AL209" s="535">
        <f>(VLOOKUP(Sheet1!DC207,hhdcap_wcm,4)-(((VLOOKUP(Sheet1!DC207,hhdcap_wcm,3)-Sheet1!DC207)/(VLOOKUP(Sheet1!DC207,hhdcap_wcm,3)-VLOOKUP(Sheet1!DC207,hhdcap_wcm,1)))*(VLOOKUP(Sheet1!DC207,hhdcap_wcm,4)-VLOOKUP(Sheet1!DC207,hhdcap_wcm,2))))</f>
        <v>45803.000000111031</v>
      </c>
      <c r="AM209" s="535">
        <f t="shared" si="442"/>
        <v>-164.00000000101863</v>
      </c>
      <c r="AN209" s="1035">
        <f t="shared" si="443"/>
        <v>2908.5963922625479</v>
      </c>
      <c r="AO209" s="535">
        <f t="shared" si="444"/>
        <v>8923.5737314614962</v>
      </c>
      <c r="AP209" s="535">
        <f>Sheet1!BA207+Sheet1!BB207+Sheet1!BN207+CD209</f>
        <v>39.9</v>
      </c>
      <c r="AQ209" s="535">
        <f>Sheet1!BN207+(DO209*Sheet1!BN207)</f>
        <v>39.780994200497105</v>
      </c>
      <c r="AR209" s="535">
        <f>Sheet1!BA207+CD209</f>
        <v>0</v>
      </c>
      <c r="AS209" s="535">
        <f>Sheet1!BA207+Sheet1!BB207+CD209</f>
        <v>0</v>
      </c>
      <c r="AT209" s="649">
        <f>0</f>
        <v>0</v>
      </c>
      <c r="AU209" s="974">
        <f>BA209+Sheet1!EH207</f>
        <v>5</v>
      </c>
      <c r="AV209" s="535">
        <f>IF(OR(B209&gt;=GD209,B209&lt;GC209),0,15/36*K209-MAX(0,64.6-(137.6-(Sheet1!AA207+Sheet1!AB207))))</f>
        <v>0</v>
      </c>
      <c r="AW209" s="1029"/>
      <c r="AX209" s="649"/>
      <c r="AY209" s="649">
        <f t="shared" si="541"/>
        <v>0</v>
      </c>
      <c r="AZ209" s="649">
        <f t="shared" si="542"/>
        <v>0</v>
      </c>
      <c r="BA209" s="1059">
        <f t="shared" si="543"/>
        <v>0</v>
      </c>
      <c r="BB209" s="1019">
        <f t="shared" si="445"/>
        <v>1318.3333333333335</v>
      </c>
      <c r="BC209" s="1041">
        <f t="shared" si="544"/>
        <v>0</v>
      </c>
      <c r="BD209" s="1019">
        <f ca="1">IF(B209&gt;(Summary!$A$1-1),#N/A,BB209*MGtoAF)</f>
        <v>4044.646666666667</v>
      </c>
      <c r="BE209" s="535">
        <f>Sheet1!BG207+Sheet1!BH207+Sheet1!BI207-BM209</f>
        <v>2.52</v>
      </c>
      <c r="BF209" s="535">
        <f t="shared" si="446"/>
        <v>2.5124838442419226</v>
      </c>
      <c r="BG209" s="535">
        <f>IF(Sheet1!EP207="FM",BM209,0)</f>
        <v>0</v>
      </c>
      <c r="BH209" s="535">
        <f t="shared" si="447"/>
        <v>0</v>
      </c>
      <c r="BI209" s="535">
        <f>IF(Sheet1!EP207="OTHER",BM209,0)</f>
        <v>0</v>
      </c>
      <c r="BJ209" s="535">
        <f t="shared" si="448"/>
        <v>0</v>
      </c>
      <c r="BK209" s="535">
        <f t="shared" si="449"/>
        <v>2.52</v>
      </c>
      <c r="BL209" s="535">
        <f t="shared" si="450"/>
        <v>2.5124838442419226</v>
      </c>
      <c r="BM209" s="535">
        <f>IF(OR(Sheet1!EP207="FM", Sheet1!EP207="OTHER"),SUM(Sheet1!BG207:'Sheet1'!BI207),0)</f>
        <v>0</v>
      </c>
      <c r="BN209" s="521">
        <f>IF(AND($B209&gt;=$FV209,$B209&lt;=$FW209),MAX(BF209,Sheet1!EI207,0),MAX(BF209-(7/36)*$K209,0))</f>
        <v>2.5124838442419226</v>
      </c>
      <c r="BO209" s="535">
        <f t="shared" si="497"/>
        <v>0</v>
      </c>
      <c r="BP209" s="521">
        <f t="shared" si="452"/>
        <v>0</v>
      </c>
      <c r="BQ209" s="521">
        <f>IF(AND($O209&gt;0,Sheet1!EM207=1),(1-($O209-Sheet1!$L207)/$O209)*BL209,0)</f>
        <v>0</v>
      </c>
      <c r="BR209" s="521">
        <f>IF(AND(Sheet1!$L207=0,Sheet1!$L206=0, Calculation!BK209&lt;Sheet1!$EI207-0.1,Sheet1!$EI207=Sheet1!$EI206,Sheet1!$EI207=Sheet1!$EI208),BL209-BQ209,BL209-BQ209)</f>
        <v>2.5124838442419226</v>
      </c>
      <c r="BS209" s="1035" t="str">
        <f t="shared" si="545"/>
        <v/>
      </c>
      <c r="BT209" s="1035">
        <f t="shared" si="546"/>
        <v>0</v>
      </c>
      <c r="BU209" s="535">
        <f t="shared" si="453"/>
        <v>595.92076695979233</v>
      </c>
      <c r="BV209" s="535"/>
      <c r="BW209" s="535">
        <f ca="1">IF(B209&gt;(Summary!$A$1-1),#N/A,BU209*MGtoAF)</f>
        <v>1828.2849130326429</v>
      </c>
      <c r="BX209" s="535">
        <f>Sheet1!BC207+Sheet1!BD207+Sheet1!BE207+Sheet1!BF207-CG209-CH209</f>
        <v>7.01</v>
      </c>
      <c r="BY209" s="535">
        <f t="shared" si="454"/>
        <v>6.9890919635459827</v>
      </c>
      <c r="BZ209" s="535">
        <f>IF(Sheet1!EQ207="FM",CH209,0)</f>
        <v>0</v>
      </c>
      <c r="CA209" s="535">
        <f t="shared" si="455"/>
        <v>0</v>
      </c>
      <c r="CB209" s="535">
        <f>IF(Sheet1!EQ207="OTHER",CH209,0)</f>
        <v>0</v>
      </c>
      <c r="CC209" s="535">
        <f t="shared" si="456"/>
        <v>0</v>
      </c>
      <c r="CD209" s="535">
        <f t="shared" si="457"/>
        <v>0</v>
      </c>
      <c r="CE209" s="535">
        <f t="shared" si="458"/>
        <v>7.01</v>
      </c>
      <c r="CF209" s="535">
        <f t="shared" si="459"/>
        <v>6.9890919635459827</v>
      </c>
      <c r="CG209" s="535">
        <f>IF(Sheet1!EQ207="CWA",SUM(Sheet1!BC207:'Sheet1'!BF207),0)</f>
        <v>0</v>
      </c>
      <c r="CH209" s="535">
        <f>IF(OR(Sheet1!EQ207="FM", Sheet1!EQ207="OTHER"),SUM(Sheet1!BC207:'Sheet1'!BF207),0)</f>
        <v>0</v>
      </c>
      <c r="CI209" s="521">
        <f>IF(AND($B209&gt;=$FV209,$B209&lt;=$FW209),MAX(CF209,Sheet1!EJ207,0),MAX(CF209-(7/36)*$K209,0))</f>
        <v>7</v>
      </c>
      <c r="CJ209" s="535">
        <f t="shared" si="499"/>
        <v>0</v>
      </c>
      <c r="CK209" s="521">
        <f t="shared" si="461"/>
        <v>0</v>
      </c>
      <c r="CL209" s="521">
        <f>IF(AND($O209&gt;0,Sheet1!EN207=1),(1-($O209-Sheet1!$L207)/$O209)*CF209,0)</f>
        <v>0</v>
      </c>
      <c r="CM209" s="521">
        <f>IF(AND(Sheet1!$L207=0,Sheet1!$L206=0, Calculation!CE209&lt;Sheet1!EJ207-0.1,Sheet1!EJ207=Sheet1!EJ206,Sheet1!EJ207=Sheet1!EJ208),CF209-CL209,CF209-CL209)</f>
        <v>6.9890919635459827</v>
      </c>
      <c r="CN209" s="1040" t="str">
        <f t="shared" si="547"/>
        <v/>
      </c>
      <c r="CO209" s="1035">
        <f t="shared" si="548"/>
        <v>0</v>
      </c>
      <c r="CP209" s="535">
        <f t="shared" si="462"/>
        <v>529.37482335490836</v>
      </c>
      <c r="CQ209" s="535"/>
      <c r="CR209" s="535">
        <f ca="1">IF(B209&gt;(Summary!$A$1-1),#N/A,CP209*MGtoAF)</f>
        <v>1624.1219580528589</v>
      </c>
      <c r="CS209" s="535">
        <f>Sheet1!BK207+Sheet1!BL207+Sheet1!BM207-Sheet1!ER207-DA209</f>
        <v>10.92</v>
      </c>
      <c r="CT209" s="535">
        <f t="shared" si="463"/>
        <v>10.887429991714997</v>
      </c>
      <c r="CU209" s="535">
        <f>IF(Sheet1!ER207="FM",DA209,0)</f>
        <v>0</v>
      </c>
      <c r="CV209" s="535">
        <f t="shared" si="464"/>
        <v>0</v>
      </c>
      <c r="CW209" s="535">
        <f>IF(Sheet1!ER207="OTHER",DA209,0)</f>
        <v>0</v>
      </c>
      <c r="CX209" s="535">
        <f t="shared" si="465"/>
        <v>0</v>
      </c>
      <c r="CY209" s="535">
        <f t="shared" si="466"/>
        <v>10.92</v>
      </c>
      <c r="CZ209" s="535">
        <f t="shared" si="467"/>
        <v>10.887429991714997</v>
      </c>
      <c r="DA209" s="535">
        <f>IF(OR(Sheet1!ER207="FM", Sheet1!ER207="OTHER"),SUM(Sheet1!BK207:'Sheet1'!BM207),0)</f>
        <v>0</v>
      </c>
      <c r="DB209" s="1011">
        <f>IF(AND($B209&gt;=$FV209,$B209&lt;=$FW209),MAX($CT209,Sheet1!EK207,0),MAX($CT209-(7/36)*$K209,0))</f>
        <v>11</v>
      </c>
      <c r="DC209" s="1012">
        <f t="shared" si="498"/>
        <v>0</v>
      </c>
      <c r="DD209" s="1011">
        <f t="shared" si="469"/>
        <v>0</v>
      </c>
      <c r="DE209" s="521">
        <f>IF(AND($O209&gt;0,Sheet1!EO207=1),(1-($O209-Sheet1!$L207)/$O209)*CZ209,0)</f>
        <v>0</v>
      </c>
      <c r="DF209" s="521">
        <f>IF(AND(Sheet1!$L207=0,Sheet1!$L206=0, Calculation!CY209&lt;Sheet1!$EK207-0.1,Sheet1!$EK207=Sheet1!$EK206,Sheet1!$EK207=Sheet1!$EK208),CZ209-DE209,CZ209-DE209)</f>
        <v>10.887429991714997</v>
      </c>
      <c r="DG209" s="1040">
        <f t="shared" si="549"/>
        <v>0</v>
      </c>
      <c r="DH209" s="649">
        <f t="shared" si="470"/>
        <v>20.45</v>
      </c>
      <c r="DI209" s="535">
        <f t="shared" si="471"/>
        <v>464.96746861451368</v>
      </c>
      <c r="DJ209" s="649">
        <f t="shared" si="472"/>
        <v>20.389005799502904</v>
      </c>
      <c r="DK209" s="535">
        <f ca="1">IF(B209&gt;(Summary!$A$1-1),#N/A,DI209*MGtoAF)</f>
        <v>1426.5201937093279</v>
      </c>
      <c r="DL209" s="649">
        <f t="shared" si="473"/>
        <v>20.45</v>
      </c>
      <c r="DM209" s="535">
        <f t="shared" si="474"/>
        <v>60.349999999999994</v>
      </c>
      <c r="DN209" s="535">
        <f>Sheet1!AB207-DM209</f>
        <v>-0.17999999999999261</v>
      </c>
      <c r="DO209" s="743">
        <f t="shared" si="475"/>
        <v>-2.9826014913006235E-3</v>
      </c>
      <c r="DP209" s="535">
        <f>(VLOOKUP(Sheet1!DC207,hhdcap_wcm,4)-(((VLOOKUP(Sheet1!DC207,hhdcap_wcm,3)-Sheet1!DC207)/(VLOOKUP(Sheet1!DC207,hhdcap_wcm,3)-VLOOKUP(Sheet1!DC207,hhdcap_wcm,1)))*(VLOOKUP(Sheet1!DC207,hhdcap_wcm,4)-VLOOKUP(Sheet1!DC207,hhdcap_wcm,2))))</f>
        <v>45803.000000111031</v>
      </c>
      <c r="DQ209" s="535">
        <f t="shared" si="476"/>
        <v>-164.00000000101863</v>
      </c>
      <c r="DR209" s="535">
        <f t="shared" si="477"/>
        <v>-82.702975290478378</v>
      </c>
      <c r="DS209" s="535">
        <f>Sheet1!EA207*AFtoMG</f>
        <v>0</v>
      </c>
      <c r="DT209" s="535">
        <f>Sheet1!EB207*AFtoMG</f>
        <v>0</v>
      </c>
      <c r="DU209" s="535">
        <f>Sheet1!EC207*AFtoMG</f>
        <v>0</v>
      </c>
      <c r="DV209" s="535">
        <f>Sheet1!ED207*AFtoMG</f>
        <v>0</v>
      </c>
      <c r="DW209" s="535">
        <f t="shared" si="478"/>
        <v>0</v>
      </c>
      <c r="DX209" s="535">
        <f t="shared" si="479"/>
        <v>0</v>
      </c>
      <c r="DY209" s="535">
        <f t="shared" si="480"/>
        <v>2908.5963922625479</v>
      </c>
      <c r="DZ209" s="535">
        <f t="shared" si="481"/>
        <v>8923.5737314614962</v>
      </c>
      <c r="EA209" s="535"/>
      <c r="EB209" s="521">
        <f>IF(OR(B209&lt;FV209,B209&gt;FW209),(MIN(BF209+BY209+CT209+MAX(Sheet1!AA207+AQ209-73,0),K209)),0)</f>
        <v>0</v>
      </c>
      <c r="EC209" s="535"/>
      <c r="ED209" s="535">
        <f t="shared" si="482"/>
        <v>20.389005799502904</v>
      </c>
      <c r="EE209" s="535"/>
      <c r="EF209" s="535">
        <f>Sheet1!EH207+Sheet1!EI207+Sheet1!EJ207+Sheet1!EK207</f>
        <v>25.5</v>
      </c>
      <c r="EG209" s="1019">
        <f t="shared" si="550"/>
        <v>39.448499999999996</v>
      </c>
      <c r="EH209" s="521">
        <f t="shared" si="483"/>
        <v>0</v>
      </c>
      <c r="EI209" s="535">
        <f>IF(Sheet1!ET207=1,SUM('Calculations II'!AT209:BA209)+'Calculations II'!BC209+Sheet1!BV207+'Calculations II'!BE209+AP209,'Calculations II'!BK209)</f>
        <v>77.235628200497104</v>
      </c>
      <c r="EJ209" s="535">
        <f ca="1">EI209+'Calculations II'!D209+'Calculations II'!E209+'Calculations II'!O209</f>
        <v>76.223130094425514</v>
      </c>
      <c r="EK209" s="535"/>
      <c r="EL209" s="535"/>
      <c r="EM209" s="535">
        <f t="shared" si="484"/>
        <v>42933</v>
      </c>
      <c r="EN209" s="535">
        <f t="shared" si="485"/>
        <v>-25.51248384424192</v>
      </c>
      <c r="EO209" s="535">
        <f t="shared" si="486"/>
        <v>-39.467812507042247</v>
      </c>
      <c r="EP209" s="535">
        <v>0</v>
      </c>
      <c r="EQ209" s="535">
        <v>0</v>
      </c>
      <c r="ER209" s="535">
        <v>0</v>
      </c>
      <c r="ES209" s="521">
        <f t="shared" si="516"/>
        <v>0.97036772974286234</v>
      </c>
      <c r="ET209" s="535">
        <f>-(VLOOKUP(Sheet1!BQ207,Lookup!$O$4:$Q$262,2)-VLOOKUP(Sheet1!BQ206,Lookup!$O$4:$Q$262,2))/1000000</f>
        <v>0.41580044273838401</v>
      </c>
      <c r="EU209" s="535">
        <f>-(VLOOKUP(Sheet1!BR207,Lookup!$O$4:$Q$262,3)-VLOOKUP(Sheet1!BR206,Lookup!$O$4:$Q$262,3))/1000000</f>
        <v>0.55456728700447833</v>
      </c>
      <c r="EV209" s="535"/>
      <c r="EW209" s="535"/>
      <c r="EX209" s="535"/>
      <c r="EY209" s="535"/>
      <c r="EZ209" s="535"/>
      <c r="FA209" s="535"/>
      <c r="FB209" s="535"/>
      <c r="FC209" s="535"/>
      <c r="FD209" s="567">
        <f t="shared" si="504"/>
        <v>1138.4888888888102</v>
      </c>
      <c r="FE209" s="567" t="e">
        <f t="shared" si="488"/>
        <v>#N/A</v>
      </c>
      <c r="FF209" s="568" t="e">
        <f t="shared" si="489"/>
        <v>#N/A</v>
      </c>
      <c r="FG209" s="569" t="s">
        <v>656</v>
      </c>
      <c r="FH209" s="569" t="s">
        <v>656</v>
      </c>
      <c r="FI209" s="567" t="e">
        <v>#N/A</v>
      </c>
      <c r="FJ209" s="725">
        <v>22158</v>
      </c>
      <c r="FK209" s="535"/>
      <c r="FL209" s="1015">
        <f t="shared" si="503"/>
        <v>42.360060514372158</v>
      </c>
      <c r="FM209" s="535"/>
      <c r="FN209" s="535"/>
      <c r="FO209" s="535">
        <f>O209+((Sheet1!CS207)*GPMtoMGD)</f>
        <v>96.289999999999992</v>
      </c>
      <c r="FP209" s="535">
        <f>IF(Sheet1!AA207+AQ209&lt;=Calculation!N209,AQ209,Calculation!N209-Sheet1!AA207)</f>
        <v>36.923200000000001</v>
      </c>
      <c r="FQ209" s="535">
        <f>(Sheet1!BP207+Sheet1!BO207)/694.4</f>
        <v>4.6156394009216593</v>
      </c>
      <c r="FR209" s="541"/>
      <c r="FS209" s="541"/>
      <c r="FT209" s="541"/>
      <c r="FU209" s="541"/>
      <c r="FV209" s="1109">
        <f t="shared" si="517"/>
        <v>42918</v>
      </c>
      <c r="FW209" s="1109">
        <f t="shared" si="518"/>
        <v>43027</v>
      </c>
      <c r="FX209" s="541"/>
      <c r="FY209" s="541">
        <f>Sheet1!DA207-Sheet1!CZ207-Sheet1!AE207</f>
        <v>-133.96062999999998</v>
      </c>
      <c r="FZ209" s="535">
        <f t="shared" si="551"/>
        <v>-0.55287773409763907</v>
      </c>
      <c r="GA209" s="535"/>
      <c r="GB209" s="535" t="str">
        <f t="shared" si="519"/>
        <v>n</v>
      </c>
      <c r="GC209" s="539">
        <f t="shared" si="520"/>
        <v>42782</v>
      </c>
      <c r="GD209" s="1109">
        <f t="shared" si="521"/>
        <v>42904</v>
      </c>
      <c r="GE209" s="535">
        <f t="shared" si="537"/>
        <v>6520</v>
      </c>
      <c r="GF209" s="1109">
        <f t="shared" si="522"/>
        <v>42909</v>
      </c>
      <c r="GG209" s="535">
        <f t="shared" si="432"/>
        <v>3260</v>
      </c>
      <c r="GH209" s="539">
        <f t="shared" si="523"/>
        <v>43040</v>
      </c>
      <c r="GJ209" s="521">
        <f t="shared" si="524"/>
        <v>0</v>
      </c>
      <c r="GK209" s="535" t="str">
        <f t="shared" si="490"/>
        <v/>
      </c>
      <c r="GL209" s="535">
        <f t="shared" si="525"/>
        <v>0</v>
      </c>
      <c r="GM209" s="535" t="str">
        <f t="shared" si="526"/>
        <v/>
      </c>
      <c r="GN209" s="535">
        <f>IF(GK209="P",Lookup!$M$12,IF(GK209="PP",Lookup!$M$13,IF(GK209="PPP",Lookup!$M$14,IF(GK209="T",Lookup!$M$15,IF(GK209="TP",Lookup!$M$16,IF(GK209="TPP",Lookup!$M$17,IF(GK209="TPPP",Lookup!$M$18,0)))))))*GJ209</f>
        <v>0</v>
      </c>
      <c r="GO209" s="535">
        <f t="shared" si="527"/>
        <v>0</v>
      </c>
      <c r="GP209" s="535">
        <f t="shared" si="491"/>
        <v>4044.646666666667</v>
      </c>
      <c r="GQ209" s="974">
        <f t="shared" si="500"/>
        <v>1318.3333333333335</v>
      </c>
      <c r="GR209" s="535"/>
      <c r="GS209" s="535">
        <f t="shared" si="528"/>
        <v>0</v>
      </c>
      <c r="GT209" s="535" t="str">
        <f t="shared" si="529"/>
        <v/>
      </c>
      <c r="GU209" s="535">
        <f>IF(GK209="P",Lookup!$N$12,IF(GK209="PP",Lookup!$N$13,IF(GK209="PPP",Lookup!$N$14,IF(GK209="T",Lookup!$N$15,IF(GK209="TP",Lookup!$N$16,IF(GK209="TPP",Lookup!$N$17,IF(GK209="TPPP",Lookup!$N$18,0)))))))*GJ209</f>
        <v>0</v>
      </c>
      <c r="GV209" s="535">
        <f t="shared" si="530"/>
        <v>0</v>
      </c>
      <c r="GW209" s="535">
        <f t="shared" si="492"/>
        <v>1828.2849130326429</v>
      </c>
      <c r="GX209" s="974">
        <f t="shared" si="501"/>
        <v>595.92076695979233</v>
      </c>
      <c r="GY209" s="535"/>
      <c r="GZ209" s="535">
        <f t="shared" si="531"/>
        <v>0</v>
      </c>
      <c r="HA209" s="535" t="str">
        <f t="shared" si="532"/>
        <v/>
      </c>
      <c r="HB209" s="535">
        <f>IF(GK209="P",Lookup!$N$12,IF(GK209="PP",Lookup!$N$13,IF(GK209="PPP",Lookup!$N$14,IF(GK209="T",Lookup!$N$15,IF(GK209="TP",Lookup!$N$16,IF(GK209="TPP",Lookup!$N$17,IF(GK209="TPPP",Lookup!$N$18,0)))))))*GJ209</f>
        <v>0</v>
      </c>
      <c r="HC209" s="521">
        <f t="shared" si="493"/>
        <v>0</v>
      </c>
      <c r="HD209" s="535">
        <f t="shared" si="494"/>
        <v>1624.1219580528589</v>
      </c>
      <c r="HE209" s="535">
        <f t="shared" si="535"/>
        <v>529.37482335490836</v>
      </c>
      <c r="HF209" s="535"/>
      <c r="HG209" s="535">
        <f t="shared" si="533"/>
        <v>0</v>
      </c>
      <c r="HH209" s="535" t="str">
        <f t="shared" si="534"/>
        <v/>
      </c>
      <c r="HI209" s="535">
        <f>IF(GK209="P",Lookup!$N$12,IF(GK209="PP",Lookup!$N$13,IF(GK209="PPP",Lookup!$N$14,IF(GK209="T",Lookup!$N$15,IF(GK209="TP",Lookup!$N$16,IF(GK209="TPP",Lookup!$N$17,IF(GK209="TPPP",Lookup!$N$18,0)))))))*GJ209</f>
        <v>0</v>
      </c>
      <c r="HJ209" s="521">
        <f t="shared" si="495"/>
        <v>0</v>
      </c>
      <c r="HK209" s="535">
        <f t="shared" si="496"/>
        <v>1426.5201937093279</v>
      </c>
      <c r="HL209" s="535">
        <f t="shared" si="536"/>
        <v>464.96746861451368</v>
      </c>
      <c r="HM209" s="535"/>
      <c r="HN209" s="541"/>
      <c r="HO209" s="541"/>
      <c r="HP209" s="541"/>
      <c r="HQ209" s="541">
        <f>IF(AND(B209&gt;=$FV$4,B209&lt;=$FW$4),MAX(110/1.02+$HQ$6+MIN(113/1.02,G209),IF($HV$6-(Sheet1!DA207-Sheet1!DB207)+MIN(113/1.02,G209)&lt;G209+FL209,$HV$6-(Sheet1!DA207-Sheet1!DB207)+MIN(113/1.02,G209),G209+FL209)),MIN(110/1.02+$HQ$6+113/1.02,G209))</f>
        <v>227.78431372549019</v>
      </c>
      <c r="HR209" s="541">
        <f t="shared" si="552"/>
        <v>232.34</v>
      </c>
      <c r="HS209" s="541">
        <f>HR209+(Sheet1!DA207-Sheet1!DB207)</f>
        <v>380.34000000000003</v>
      </c>
      <c r="HT209" s="541">
        <f t="shared" si="553"/>
        <v>109.68383802816898</v>
      </c>
      <c r="HU209" s="541">
        <f t="shared" si="554"/>
        <v>270.65616197183107</v>
      </c>
      <c r="HV209" s="541">
        <f t="shared" si="555"/>
        <v>0</v>
      </c>
      <c r="HW209" s="541" t="str">
        <f t="shared" si="556"/>
        <v/>
      </c>
      <c r="HX209" s="541">
        <f t="shared" si="557"/>
        <v>57.747873767467553</v>
      </c>
      <c r="HY209" s="541">
        <f>Sheet1!CZ207</f>
        <v>325</v>
      </c>
      <c r="HZ209" s="541">
        <f t="shared" si="558"/>
        <v>39.467812507042247</v>
      </c>
      <c r="IA209" s="541">
        <f t="shared" si="559"/>
        <v>109.68383802816898</v>
      </c>
      <c r="IB209" s="541">
        <f t="shared" si="560"/>
        <v>285.53218749295775</v>
      </c>
      <c r="IC209" s="1019" t="str">
        <f t="shared" si="561"/>
        <v/>
      </c>
      <c r="ID209" s="541">
        <f t="shared" si="562"/>
        <v>175.84834946478878</v>
      </c>
      <c r="IE209" s="541">
        <f>Sheet1!DB207</f>
        <v>192</v>
      </c>
      <c r="IF209" s="533">
        <f>Sheet1!DA207</f>
        <v>340</v>
      </c>
      <c r="IH209" s="541">
        <f>IF(AND($B209&gt;=$GC209,$B209&lt;=$GH209,$DR209&lt;0)+N("only adjusted when pool is drawn down during storage season"),Sheet1!$DB207+$DR209+N("Palmer minus all storage release"),Sheet1!$DB207)</f>
        <v>109.29702470952162</v>
      </c>
      <c r="II209" s="541">
        <f>IF(AND($B209&gt;=$GC209,$B209&lt;=$GH209,$DR209&lt;0)+N("only adjusted when pool is drawn down during storage season"),Sheet1!$DA207+$DR209+N("Auburn minus all storage release"),Sheet1!$DA207)</f>
        <v>257.29702470952162</v>
      </c>
    </row>
    <row r="210" spans="1:243" x14ac:dyDescent="0.25">
      <c r="A210" s="553" t="s">
        <v>5</v>
      </c>
      <c r="B210" s="531">
        <v>42934</v>
      </c>
      <c r="C210" s="536">
        <v>0</v>
      </c>
      <c r="D210" s="506">
        <f t="shared" si="506"/>
        <v>200</v>
      </c>
      <c r="E210" s="506">
        <f t="shared" si="507"/>
        <v>400</v>
      </c>
      <c r="F210" s="506">
        <v>250</v>
      </c>
      <c r="G210" s="535">
        <f>DR210+Sheet1!CZ208</f>
        <v>247.54160363073834</v>
      </c>
      <c r="H210" s="1074">
        <f t="shared" si="563"/>
        <v>0</v>
      </c>
      <c r="I210" s="534">
        <f>IF(Sheet1!DA208&gt;=E210,(Sheet1!DA208-E210+P210)*CFStoMGD,0)</f>
        <v>0</v>
      </c>
      <c r="J210" s="995">
        <f>IF(Sheet1!DB208&gt;=D210,(Sheet1!DB208-D210+P210)*CFStoMGD,0)</f>
        <v>0</v>
      </c>
      <c r="K210" s="818">
        <f t="shared" si="538"/>
        <v>0</v>
      </c>
      <c r="L210" s="535">
        <f>Sheet1!AA208+Sheet1!AB208-Sheet1!L208+(Sheet1!DA208-F210)*CFStoMGD-S210-T210-U210</f>
        <v>112.817986532454</v>
      </c>
      <c r="M210" s="535">
        <f t="shared" si="436"/>
        <v>163.21111043864744</v>
      </c>
      <c r="N210" s="824">
        <f>IF(Sheet1!DA208&gt;=F210,MIN(113*CFStoMGD,MIN(MAX(L210,0),MAX(M210,0))),0)</f>
        <v>73.043199999999999</v>
      </c>
      <c r="O210" s="538">
        <f>Sheet1!AA208+Sheet1!AB208</f>
        <v>97.539999999999992</v>
      </c>
      <c r="P210" s="538">
        <f t="shared" si="437"/>
        <v>150.89437999999998</v>
      </c>
      <c r="Q210" s="812">
        <f t="shared" si="539"/>
        <v>72.094786532454009</v>
      </c>
      <c r="R210" s="812">
        <f t="shared" si="508"/>
        <v>25.5</v>
      </c>
      <c r="S210" s="812">
        <f t="shared" si="509"/>
        <v>0</v>
      </c>
      <c r="T210" s="812">
        <f t="shared" si="510"/>
        <v>0</v>
      </c>
      <c r="U210" s="812">
        <f>IF(AND(B210&gt;=FV210,B210&lt;=FW210),ED210+Sheet1!EH208,0)</f>
        <v>25.445213467545987</v>
      </c>
      <c r="V210" s="812"/>
      <c r="W210" s="812">
        <f t="shared" si="511"/>
        <v>0</v>
      </c>
      <c r="X210" s="812">
        <f t="shared" si="512"/>
        <v>0</v>
      </c>
      <c r="Y210" s="812" t="str">
        <f t="shared" si="513"/>
        <v>FALSE</v>
      </c>
      <c r="Z210" s="812">
        <f t="shared" si="514"/>
        <v>97.539999999999992</v>
      </c>
      <c r="AA210" s="812">
        <f t="shared" si="515"/>
        <v>97.539999999999992</v>
      </c>
      <c r="AB210" s="1059">
        <f t="shared" si="540"/>
        <v>111.53063476570635</v>
      </c>
      <c r="AC210" s="538">
        <f>Sheet1!Y208*MGDtoCFS</f>
        <v>55.877639999999992</v>
      </c>
      <c r="AD210" s="538">
        <f>Sheet1!Z208*MGDtoCFS</f>
        <v>93.082989999999995</v>
      </c>
      <c r="AE210" s="538">
        <f>Sheet1!AA208*MGDtoCFS</f>
        <v>62.081110000000002</v>
      </c>
      <c r="AF210" s="538">
        <f>Sheet1!AB208*MGDtoCFS</f>
        <v>88.813269999999989</v>
      </c>
      <c r="AG210" s="538">
        <f>Sheet1!L208*MGDtoCFS</f>
        <v>0</v>
      </c>
      <c r="AH210" s="521">
        <f t="shared" si="438"/>
        <v>25.510815688996875</v>
      </c>
      <c r="AI210" s="1059">
        <f t="shared" si="439"/>
        <v>39.465231870878164</v>
      </c>
      <c r="AJ210" s="535">
        <f t="shared" si="440"/>
        <v>0</v>
      </c>
      <c r="AK210" s="535">
        <f t="shared" si="441"/>
        <v>0</v>
      </c>
      <c r="AL210" s="535">
        <f>(VLOOKUP(Sheet1!DC208,hhdcap_wcm,4)-(((VLOOKUP(Sheet1!DC208,hhdcap_wcm,3)-Sheet1!DC208)/(VLOOKUP(Sheet1!DC208,hhdcap_wcm,3)-VLOOKUP(Sheet1!DC208,hhdcap_wcm,1)))*(VLOOKUP(Sheet1!DC208,hhdcap_wcm,4)-VLOOKUP(Sheet1!DC208,hhdcap_wcm,2))))</f>
        <v>45649.400000110785</v>
      </c>
      <c r="AM210" s="535">
        <f t="shared" si="442"/>
        <v>-153.60000000024593</v>
      </c>
      <c r="AN210" s="1035">
        <f t="shared" si="443"/>
        <v>2883.0855765735505</v>
      </c>
      <c r="AO210" s="535">
        <f t="shared" si="444"/>
        <v>8845.3065489276523</v>
      </c>
      <c r="AP210" s="535">
        <f>Sheet1!BA208+Sheet1!BB208+Sheet1!BN208+CD210</f>
        <v>37.1</v>
      </c>
      <c r="AQ210" s="535">
        <f>Sheet1!BN208+(DO210*Sheet1!BN208)</f>
        <v>36.964786532454006</v>
      </c>
      <c r="AR210" s="535">
        <f>Sheet1!BA208+CD210</f>
        <v>0</v>
      </c>
      <c r="AS210" s="535">
        <f>Sheet1!BA208+Sheet1!BB208+CD210</f>
        <v>0</v>
      </c>
      <c r="AT210" s="649">
        <f>0</f>
        <v>0</v>
      </c>
      <c r="AU210" s="974">
        <f>BA210+Sheet1!EH208</f>
        <v>5</v>
      </c>
      <c r="AV210" s="535">
        <f>IF(OR(B210&gt;=GD210,B210&lt;GC210),0,15/36*K210-MAX(0,64.6-(137.6-(Sheet1!AA208+Sheet1!AB208))))</f>
        <v>0</v>
      </c>
      <c r="AW210" s="1029"/>
      <c r="AX210" s="649"/>
      <c r="AY210" s="649">
        <f t="shared" si="541"/>
        <v>0</v>
      </c>
      <c r="AZ210" s="649">
        <f t="shared" si="542"/>
        <v>0</v>
      </c>
      <c r="BA210" s="1059">
        <f t="shared" si="543"/>
        <v>0</v>
      </c>
      <c r="BB210" s="1019">
        <f t="shared" si="445"/>
        <v>1313.3333333333335</v>
      </c>
      <c r="BC210" s="1041">
        <f t="shared" si="544"/>
        <v>0</v>
      </c>
      <c r="BD210" s="1019">
        <f ca="1">IF(B210&gt;(Summary!$A$1-1),#N/A,BB210*MGtoAF)</f>
        <v>4029.3066666666673</v>
      </c>
      <c r="BE210" s="535">
        <f>Sheet1!BG208+Sheet1!BH208+Sheet1!BI208-BM210</f>
        <v>2.52</v>
      </c>
      <c r="BF210" s="535">
        <f t="shared" si="446"/>
        <v>2.5108156889968756</v>
      </c>
      <c r="BG210" s="535">
        <f>IF(Sheet1!EP208="FM",BM210,0)</f>
        <v>0</v>
      </c>
      <c r="BH210" s="535">
        <f t="shared" si="447"/>
        <v>0</v>
      </c>
      <c r="BI210" s="535">
        <f>IF(Sheet1!EP208="OTHER",BM210,0)</f>
        <v>0</v>
      </c>
      <c r="BJ210" s="535">
        <f t="shared" si="448"/>
        <v>0</v>
      </c>
      <c r="BK210" s="535">
        <f t="shared" si="449"/>
        <v>2.52</v>
      </c>
      <c r="BL210" s="535">
        <f t="shared" si="450"/>
        <v>2.5108156889968756</v>
      </c>
      <c r="BM210" s="535">
        <f>IF(OR(Sheet1!EP208="FM", Sheet1!EP208="OTHER"),SUM(Sheet1!BG208:'Sheet1'!BI208),0)</f>
        <v>0</v>
      </c>
      <c r="BN210" s="521">
        <f>IF(AND($B210&gt;=$FV210,$B210&lt;=$FW210),MAX(BF210,Sheet1!EI208,0),MAX(BF210-(7/36)*$K210,0))</f>
        <v>2.5108156889968756</v>
      </c>
      <c r="BO210" s="535">
        <f t="shared" si="497"/>
        <v>0</v>
      </c>
      <c r="BP210" s="521">
        <f t="shared" si="452"/>
        <v>0</v>
      </c>
      <c r="BQ210" s="521">
        <f>IF(AND($O210&gt;0,Sheet1!EM208=1),(1-($O210-Sheet1!$L208)/$O210)*BL210,0)</f>
        <v>0</v>
      </c>
      <c r="BR210" s="521">
        <f>IF(AND(Sheet1!$L208=0,Sheet1!$L207=0, Calculation!BK210&lt;Sheet1!$EI208-0.1,Sheet1!$EI208=Sheet1!$EI207,Sheet1!$EI208=Sheet1!$EI209),BL210-BQ210,BL210-BQ210)</f>
        <v>2.5108156889968756</v>
      </c>
      <c r="BS210" s="1035" t="str">
        <f t="shared" si="545"/>
        <v/>
      </c>
      <c r="BT210" s="1035">
        <f t="shared" si="546"/>
        <v>0</v>
      </c>
      <c r="BU210" s="535">
        <f t="shared" si="453"/>
        <v>593.40995127079543</v>
      </c>
      <c r="BV210" s="535"/>
      <c r="BW210" s="535">
        <f ca="1">IF(B210&gt;(Summary!$A$1-1),#N/A,BU210*MGtoAF)</f>
        <v>1820.5817304988004</v>
      </c>
      <c r="BX210" s="535">
        <f>Sheet1!BC208+Sheet1!BD208+Sheet1!BE208+Sheet1!BF208-CG210-CH210</f>
        <v>7.01</v>
      </c>
      <c r="BY210" s="535">
        <f t="shared" si="454"/>
        <v>6.9844515793127373</v>
      </c>
      <c r="BZ210" s="535">
        <f>IF(Sheet1!EQ208="FM",CH210,0)</f>
        <v>0</v>
      </c>
      <c r="CA210" s="535">
        <f t="shared" si="455"/>
        <v>0</v>
      </c>
      <c r="CB210" s="535">
        <f>IF(Sheet1!EQ208="OTHER",CH210,0)</f>
        <v>0</v>
      </c>
      <c r="CC210" s="535">
        <f t="shared" si="456"/>
        <v>0</v>
      </c>
      <c r="CD210" s="535">
        <f t="shared" si="457"/>
        <v>0</v>
      </c>
      <c r="CE210" s="535">
        <f t="shared" si="458"/>
        <v>7.01</v>
      </c>
      <c r="CF210" s="535">
        <f t="shared" si="459"/>
        <v>6.9844515793127373</v>
      </c>
      <c r="CG210" s="535">
        <f>IF(Sheet1!EQ208="CWA",SUM(Sheet1!BC208:'Sheet1'!BF208),0)</f>
        <v>0</v>
      </c>
      <c r="CH210" s="535">
        <f>IF(OR(Sheet1!EQ208="FM", Sheet1!EQ208="OTHER"),SUM(Sheet1!BC208:'Sheet1'!BF208),0)</f>
        <v>0</v>
      </c>
      <c r="CI210" s="521">
        <f>IF(AND($B210&gt;=$FV210,$B210&lt;=$FW210),MAX(CF210,Sheet1!EJ208,0),MAX(CF210-(7/36)*$K210,0))</f>
        <v>7</v>
      </c>
      <c r="CJ210" s="535">
        <f t="shared" si="499"/>
        <v>0</v>
      </c>
      <c r="CK210" s="521">
        <f t="shared" si="461"/>
        <v>0</v>
      </c>
      <c r="CL210" s="521">
        <f>IF(AND($O210&gt;0,Sheet1!EN208=1),(1-($O210-Sheet1!$L208)/$O210)*CF210,0)</f>
        <v>0</v>
      </c>
      <c r="CM210" s="521">
        <f>IF(AND(Sheet1!$L208=0,Sheet1!$L207=0, Calculation!CE210&lt;Sheet1!EJ208-0.1,Sheet1!EJ208=Sheet1!EJ207,Sheet1!EJ208=Sheet1!EJ209),CF210-CL210,CF210-CL210)</f>
        <v>6.9844515793127373</v>
      </c>
      <c r="CN210" s="1040" t="str">
        <f t="shared" si="547"/>
        <v/>
      </c>
      <c r="CO210" s="1035">
        <f t="shared" si="548"/>
        <v>0</v>
      </c>
      <c r="CP210" s="535">
        <f t="shared" si="462"/>
        <v>522.37482335490836</v>
      </c>
      <c r="CQ210" s="535"/>
      <c r="CR210" s="535">
        <f ca="1">IF(B210&gt;(Summary!$A$1-1),#N/A,CP210*MGtoAF)</f>
        <v>1602.645958052859</v>
      </c>
      <c r="CS210" s="535">
        <f>Sheet1!BK208+Sheet1!BL208+Sheet1!BM208-Sheet1!ER208-DA210</f>
        <v>10.99</v>
      </c>
      <c r="CT210" s="535">
        <f t="shared" si="463"/>
        <v>10.949946199236376</v>
      </c>
      <c r="CU210" s="535">
        <f>IF(Sheet1!ER208="FM",DA210,0)</f>
        <v>0</v>
      </c>
      <c r="CV210" s="535">
        <f t="shared" si="464"/>
        <v>0</v>
      </c>
      <c r="CW210" s="535">
        <f>IF(Sheet1!ER208="OTHER",DA210,0)</f>
        <v>0</v>
      </c>
      <c r="CX210" s="535">
        <f t="shared" si="465"/>
        <v>0</v>
      </c>
      <c r="CY210" s="535">
        <f t="shared" si="466"/>
        <v>10.99</v>
      </c>
      <c r="CZ210" s="535">
        <f t="shared" si="467"/>
        <v>10.949946199236376</v>
      </c>
      <c r="DA210" s="535">
        <f>IF(OR(Sheet1!ER208="FM", Sheet1!ER208="OTHER"),SUM(Sheet1!BK208:'Sheet1'!BM208),0)</f>
        <v>0</v>
      </c>
      <c r="DB210" s="1011">
        <f>IF(AND($B210&gt;=$FV210,$B210&lt;=$FW210),MAX($CT210,Sheet1!EK208,0),MAX($CT210-(7/36)*$K210,0))</f>
        <v>11</v>
      </c>
      <c r="DC210" s="1012">
        <f t="shared" si="498"/>
        <v>0</v>
      </c>
      <c r="DD210" s="1011">
        <f t="shared" si="469"/>
        <v>0</v>
      </c>
      <c r="DE210" s="521">
        <f>IF(AND($O210&gt;0,Sheet1!EO208=1),(1-($O210-Sheet1!$L208)/$O210)*CZ210,0)</f>
        <v>0</v>
      </c>
      <c r="DF210" s="521">
        <f>IF(AND(Sheet1!$L208=0,Sheet1!$L207=0, Calculation!CY210&lt;Sheet1!$EK208-0.1,Sheet1!$EK208=Sheet1!$EK207,Sheet1!$EK208=Sheet1!$EK209),CZ210-DE210,CZ210-DE210)</f>
        <v>10.949946199236376</v>
      </c>
      <c r="DG210" s="1040">
        <f t="shared" si="549"/>
        <v>0</v>
      </c>
      <c r="DH210" s="649">
        <f t="shared" si="470"/>
        <v>20.52</v>
      </c>
      <c r="DI210" s="535">
        <f t="shared" si="471"/>
        <v>453.96746861451368</v>
      </c>
      <c r="DJ210" s="649">
        <f t="shared" si="472"/>
        <v>20.44521346754599</v>
      </c>
      <c r="DK210" s="535">
        <f ca="1">IF(B210&gt;(Summary!$A$1-1),#N/A,DI210*MGtoAF)</f>
        <v>1392.7721937093279</v>
      </c>
      <c r="DL210" s="649">
        <f t="shared" si="473"/>
        <v>20.52</v>
      </c>
      <c r="DM210" s="535">
        <f t="shared" si="474"/>
        <v>57.620000000000005</v>
      </c>
      <c r="DN210" s="535">
        <f>Sheet1!AB208-DM210</f>
        <v>-0.21000000000000796</v>
      </c>
      <c r="DO210" s="743">
        <f t="shared" si="475"/>
        <v>-3.6445678583826441E-3</v>
      </c>
      <c r="DP210" s="535">
        <f>(VLOOKUP(Sheet1!DC208,hhdcap_wcm,4)-(((VLOOKUP(Sheet1!DC208,hhdcap_wcm,3)-Sheet1!DC208)/(VLOOKUP(Sheet1!DC208,hhdcap_wcm,3)-VLOOKUP(Sheet1!DC208,hhdcap_wcm,1)))*(VLOOKUP(Sheet1!DC208,hhdcap_wcm,4)-VLOOKUP(Sheet1!DC208,hhdcap_wcm,2))))</f>
        <v>45649.400000110785</v>
      </c>
      <c r="DQ210" s="535">
        <f t="shared" si="476"/>
        <v>-153.60000000024593</v>
      </c>
      <c r="DR210" s="535">
        <f t="shared" si="477"/>
        <v>-77.458396369261678</v>
      </c>
      <c r="DS210" s="535">
        <f>Sheet1!EA208*AFtoMG</f>
        <v>0</v>
      </c>
      <c r="DT210" s="535">
        <f>Sheet1!EB208*AFtoMG</f>
        <v>0</v>
      </c>
      <c r="DU210" s="535">
        <f>Sheet1!EC208*AFtoMG</f>
        <v>0</v>
      </c>
      <c r="DV210" s="535">
        <f>Sheet1!ED208*AFtoMG</f>
        <v>0</v>
      </c>
      <c r="DW210" s="535">
        <f t="shared" si="478"/>
        <v>0</v>
      </c>
      <c r="DX210" s="535">
        <f t="shared" si="479"/>
        <v>0</v>
      </c>
      <c r="DY210" s="535">
        <f t="shared" si="480"/>
        <v>2883.0855765735505</v>
      </c>
      <c r="DZ210" s="535">
        <f t="shared" si="481"/>
        <v>8845.3065489276523</v>
      </c>
      <c r="EA210" s="535"/>
      <c r="EB210" s="521">
        <f>IF(OR(B210&lt;FV210,B210&gt;FW210),(MIN(BF210+BY210+CT210+MAX(Sheet1!AA208+AQ210-73,0),K210)),0)</f>
        <v>0</v>
      </c>
      <c r="EC210" s="535"/>
      <c r="ED210" s="535">
        <f t="shared" si="482"/>
        <v>20.445213467545987</v>
      </c>
      <c r="EE210" s="535"/>
      <c r="EF210" s="535">
        <f>Sheet1!EH208+Sheet1!EI208+Sheet1!EJ208+Sheet1!EK208</f>
        <v>25.5</v>
      </c>
      <c r="EG210" s="1019">
        <f t="shared" si="550"/>
        <v>39.448499999999996</v>
      </c>
      <c r="EH210" s="521">
        <f t="shared" si="483"/>
        <v>0</v>
      </c>
      <c r="EI210" s="535">
        <f>IF(Sheet1!ET208=1,SUM('Calculations II'!AT210:BA210)+'Calculations II'!BC210+Sheet1!BV208+'Calculations II'!BE210+AP210,'Calculations II'!BK210)</f>
        <v>77.800002532454002</v>
      </c>
      <c r="EJ210" s="535">
        <f ca="1">EI210+'Calculations II'!D210+'Calculations II'!E210+'Calculations II'!O210</f>
        <v>79.191320582650633</v>
      </c>
      <c r="EK210" s="535"/>
      <c r="EL210" s="535"/>
      <c r="EM210" s="535">
        <f t="shared" si="484"/>
        <v>42934</v>
      </c>
      <c r="EN210" s="535">
        <f t="shared" si="485"/>
        <v>-25.510815688996875</v>
      </c>
      <c r="EO210" s="535">
        <f t="shared" si="486"/>
        <v>-39.465231870878164</v>
      </c>
      <c r="EP210" s="535">
        <v>0</v>
      </c>
      <c r="EQ210" s="535">
        <v>0</v>
      </c>
      <c r="ER210" s="535">
        <v>0</v>
      </c>
      <c r="ES210" s="521">
        <f t="shared" si="516"/>
        <v>-0.55446470394300662</v>
      </c>
      <c r="ET210" s="535">
        <f>-(VLOOKUP(Sheet1!BQ208,Lookup!$O$4:$Q$262,2)-VLOOKUP(Sheet1!BQ207,Lookup!$O$4:$Q$262,2))/1000000</f>
        <v>-0.27719388421024754</v>
      </c>
      <c r="EU210" s="535">
        <f>-(VLOOKUP(Sheet1!BR208,Lookup!$O$4:$Q$262,3)-VLOOKUP(Sheet1!BR207,Lookup!$O$4:$Q$262,3))/1000000</f>
        <v>-0.27727081973275913</v>
      </c>
      <c r="EV210" s="535"/>
      <c r="EW210" s="535"/>
      <c r="EX210" s="535"/>
      <c r="EY210" s="535"/>
      <c r="EZ210" s="535"/>
      <c r="FA210" s="535"/>
      <c r="FB210" s="535"/>
      <c r="FC210" s="535"/>
      <c r="FD210" s="567">
        <f t="shared" si="504"/>
        <v>1138.3722222221436</v>
      </c>
      <c r="FE210" s="567" t="e">
        <f t="shared" si="488"/>
        <v>#N/A</v>
      </c>
      <c r="FF210" s="568" t="e">
        <f t="shared" si="489"/>
        <v>#N/A</v>
      </c>
      <c r="FG210" s="569" t="s">
        <v>656</v>
      </c>
      <c r="FH210" s="569" t="s">
        <v>656</v>
      </c>
      <c r="FI210" s="567" t="e">
        <v>#N/A</v>
      </c>
      <c r="FJ210" s="725">
        <v>22074</v>
      </c>
      <c r="FK210" s="535"/>
      <c r="FL210" s="1015">
        <f t="shared" si="503"/>
        <v>42.360060514372158</v>
      </c>
      <c r="FM210" s="535"/>
      <c r="FN210" s="535"/>
      <c r="FO210" s="535">
        <f>O210+((Sheet1!CS208)*GPMtoMGD)</f>
        <v>97.539999999999992</v>
      </c>
      <c r="FP210" s="535">
        <f>IF(Sheet1!AA208+AQ210&lt;=Calculation!N210,AQ210,Calculation!N210-Sheet1!AA208)</f>
        <v>32.913199999999996</v>
      </c>
      <c r="FQ210" s="535">
        <f>(Sheet1!BP208+Sheet1!BO208)/694.4</f>
        <v>3.9242511520737327</v>
      </c>
      <c r="FR210" s="541"/>
      <c r="FS210" s="541"/>
      <c r="FT210" s="541"/>
      <c r="FU210" s="541"/>
      <c r="FV210" s="1109">
        <f t="shared" si="517"/>
        <v>42918</v>
      </c>
      <c r="FW210" s="1109">
        <f t="shared" si="518"/>
        <v>43027</v>
      </c>
      <c r="FX210" s="541"/>
      <c r="FY210" s="541">
        <f>Sheet1!DA208-Sheet1!CZ208-Sheet1!AE208</f>
        <v>-162.89437999999998</v>
      </c>
      <c r="FZ210" s="535">
        <f t="shared" si="551"/>
        <v>-0.65804849613478333</v>
      </c>
      <c r="GA210" s="535"/>
      <c r="GB210" s="535" t="str">
        <f t="shared" si="519"/>
        <v>n</v>
      </c>
      <c r="GC210" s="539">
        <f t="shared" si="520"/>
        <v>42782</v>
      </c>
      <c r="GD210" s="1109">
        <f t="shared" si="521"/>
        <v>42904</v>
      </c>
      <c r="GE210" s="535">
        <f t="shared" si="537"/>
        <v>6520</v>
      </c>
      <c r="GF210" s="1109">
        <f t="shared" si="522"/>
        <v>42909</v>
      </c>
      <c r="GG210" s="535">
        <f t="shared" ref="GG210:GG273" si="564">GG209</f>
        <v>3260</v>
      </c>
      <c r="GH210" s="539">
        <f t="shared" si="523"/>
        <v>43040</v>
      </c>
      <c r="GJ210" s="521">
        <f t="shared" si="524"/>
        <v>0</v>
      </c>
      <c r="GK210" s="535" t="str">
        <f t="shared" si="490"/>
        <v/>
      </c>
      <c r="GL210" s="535">
        <f t="shared" si="525"/>
        <v>0</v>
      </c>
      <c r="GM210" s="535" t="str">
        <f t="shared" si="526"/>
        <v/>
      </c>
      <c r="GN210" s="535">
        <f>IF(GK210="P",Lookup!$M$12,IF(GK210="PP",Lookup!$M$13,IF(GK210="PPP",Lookup!$M$14,IF(GK210="T",Lookup!$M$15,IF(GK210="TP",Lookup!$M$16,IF(GK210="TPP",Lookup!$M$17,IF(GK210="TPPP",Lookup!$M$18,0)))))))*GJ210</f>
        <v>0</v>
      </c>
      <c r="GO210" s="535">
        <f t="shared" si="527"/>
        <v>0</v>
      </c>
      <c r="GP210" s="535">
        <f t="shared" si="491"/>
        <v>4029.3066666666673</v>
      </c>
      <c r="GQ210" s="974">
        <f t="shared" si="500"/>
        <v>1313.3333333333335</v>
      </c>
      <c r="GR210" s="535"/>
      <c r="GS210" s="535">
        <f t="shared" si="528"/>
        <v>0</v>
      </c>
      <c r="GT210" s="535" t="str">
        <f t="shared" si="529"/>
        <v/>
      </c>
      <c r="GU210" s="535">
        <f>IF(GK210="P",Lookup!$N$12,IF(GK210="PP",Lookup!$N$13,IF(GK210="PPP",Lookup!$N$14,IF(GK210="T",Lookup!$N$15,IF(GK210="TP",Lookup!$N$16,IF(GK210="TPP",Lookup!$N$17,IF(GK210="TPPP",Lookup!$N$18,0)))))))*GJ210</f>
        <v>0</v>
      </c>
      <c r="GV210" s="535">
        <f t="shared" si="530"/>
        <v>0</v>
      </c>
      <c r="GW210" s="535">
        <f t="shared" si="492"/>
        <v>1820.5817304988004</v>
      </c>
      <c r="GX210" s="974">
        <f t="shared" si="501"/>
        <v>593.40995127079543</v>
      </c>
      <c r="GY210" s="535"/>
      <c r="GZ210" s="535">
        <f t="shared" si="531"/>
        <v>0</v>
      </c>
      <c r="HA210" s="535" t="str">
        <f t="shared" si="532"/>
        <v/>
      </c>
      <c r="HB210" s="535">
        <f>IF(GK210="P",Lookup!$N$12,IF(GK210="PP",Lookup!$N$13,IF(GK210="PPP",Lookup!$N$14,IF(GK210="T",Lookup!$N$15,IF(GK210="TP",Lookup!$N$16,IF(GK210="TPP",Lookup!$N$17,IF(GK210="TPPP",Lookup!$N$18,0)))))))*GJ210</f>
        <v>0</v>
      </c>
      <c r="HC210" s="521">
        <f t="shared" si="493"/>
        <v>0</v>
      </c>
      <c r="HD210" s="535">
        <f t="shared" si="494"/>
        <v>1602.645958052859</v>
      </c>
      <c r="HE210" s="535">
        <f t="shared" si="535"/>
        <v>522.37482335490836</v>
      </c>
      <c r="HF210" s="535"/>
      <c r="HG210" s="535">
        <f t="shared" si="533"/>
        <v>0</v>
      </c>
      <c r="HH210" s="535" t="str">
        <f t="shared" si="534"/>
        <v/>
      </c>
      <c r="HI210" s="535">
        <f>IF(GK210="P",Lookup!$N$12,IF(GK210="PP",Lookup!$N$13,IF(GK210="PPP",Lookup!$N$14,IF(GK210="T",Lookup!$N$15,IF(GK210="TP",Lookup!$N$16,IF(GK210="TPP",Lookup!$N$17,IF(GK210="TPPP",Lookup!$N$18,0)))))))*GJ210</f>
        <v>0</v>
      </c>
      <c r="HJ210" s="521">
        <f t="shared" si="495"/>
        <v>0</v>
      </c>
      <c r="HK210" s="535">
        <f t="shared" si="496"/>
        <v>1392.7721937093279</v>
      </c>
      <c r="HL210" s="535">
        <f t="shared" si="536"/>
        <v>453.96746861451368</v>
      </c>
      <c r="HM210" s="535"/>
      <c r="HN210" s="541"/>
      <c r="HO210" s="541"/>
      <c r="HP210" s="541"/>
      <c r="HQ210" s="541">
        <f>IF(AND(B210&gt;=$FV$4,B210&lt;=$FW$4),MAX(110/1.02+$HQ$6+MIN(113/1.02,G210),IF($HV$6-(Sheet1!DA208-Sheet1!DB208)+MIN(113/1.02,G210)&lt;G210+FL210,$HV$6-(Sheet1!DA208-Sheet1!DB208)+MIN(113/1.02,G210),G210+FL210)),MIN(110/1.02+$HQ$6+113/1.02,G210))</f>
        <v>247.78431372549019</v>
      </c>
      <c r="HR210" s="541">
        <f t="shared" si="552"/>
        <v>252.74</v>
      </c>
      <c r="HS210" s="541">
        <f>HR210+(Sheet1!DA208-Sheet1!DB208)</f>
        <v>380.74</v>
      </c>
      <c r="HT210" s="541">
        <f t="shared" si="553"/>
        <v>111.53063476570635</v>
      </c>
      <c r="HU210" s="541">
        <f t="shared" si="554"/>
        <v>269.20936523429367</v>
      </c>
      <c r="HV210" s="541">
        <f t="shared" si="555"/>
        <v>0</v>
      </c>
      <c r="HW210" s="541" t="str">
        <f t="shared" si="556"/>
        <v/>
      </c>
      <c r="HX210" s="541">
        <f t="shared" si="557"/>
        <v>37.750454403631664</v>
      </c>
      <c r="HY210" s="541">
        <f>Sheet1!CZ208</f>
        <v>325</v>
      </c>
      <c r="HZ210" s="541">
        <f t="shared" si="558"/>
        <v>39.465231870878164</v>
      </c>
      <c r="IA210" s="541">
        <f t="shared" si="559"/>
        <v>111.53063476570635</v>
      </c>
      <c r="IB210" s="541">
        <f t="shared" si="560"/>
        <v>285.53476812912186</v>
      </c>
      <c r="IC210" s="1019" t="str">
        <f t="shared" si="561"/>
        <v/>
      </c>
      <c r="ID210" s="541">
        <f t="shared" si="562"/>
        <v>174.00413336341552</v>
      </c>
      <c r="IE210" s="541">
        <f>Sheet1!DB208</f>
        <v>185</v>
      </c>
      <c r="IF210" s="533">
        <f>Sheet1!DA208</f>
        <v>313</v>
      </c>
      <c r="IH210" s="541">
        <f>IF(AND($B210&gt;=$GC210,$B210&lt;=$GH210,$DR210&lt;0)+N("only adjusted when pool is drawn down during storage season"),Sheet1!$DB208+$DR210+N("Palmer minus all storage release"),Sheet1!$DB208)</f>
        <v>107.54160363073832</v>
      </c>
      <c r="II210" s="541">
        <f>IF(AND($B210&gt;=$GC210,$B210&lt;=$GH210,$DR210&lt;0)+N("only adjusted when pool is drawn down during storage season"),Sheet1!$DA208+$DR210+N("Auburn minus all storage release"),Sheet1!$DA208)</f>
        <v>235.54160363073834</v>
      </c>
    </row>
    <row r="211" spans="1:243" x14ac:dyDescent="0.25">
      <c r="A211" s="553" t="s">
        <v>6</v>
      </c>
      <c r="B211" s="531">
        <v>42935</v>
      </c>
      <c r="C211" s="536">
        <v>0</v>
      </c>
      <c r="D211" s="506">
        <f t="shared" si="506"/>
        <v>200</v>
      </c>
      <c r="E211" s="506">
        <f t="shared" si="507"/>
        <v>400</v>
      </c>
      <c r="F211" s="506">
        <v>250</v>
      </c>
      <c r="G211" s="535">
        <f>DR211+Sheet1!CZ209</f>
        <v>237.04589006542955</v>
      </c>
      <c r="H211" s="1074">
        <f t="shared" si="563"/>
        <v>0</v>
      </c>
      <c r="I211" s="534">
        <f>IF(Sheet1!DA209&gt;=E211,(Sheet1!DA209-E211+P211)*CFStoMGD,0)</f>
        <v>0</v>
      </c>
      <c r="J211" s="995">
        <f>IF(Sheet1!DB209&gt;=D211,(Sheet1!DB209-D211+P211)*CFStoMGD,0)</f>
        <v>0</v>
      </c>
      <c r="K211" s="818">
        <f t="shared" si="538"/>
        <v>0</v>
      </c>
      <c r="L211" s="535">
        <f>Sheet1!AA209+Sheet1!AB209-Sheet1!L209+(Sheet1!DA209-F211)*CFStoMGD-S211-T211-U211</f>
        <v>101.18487361419069</v>
      </c>
      <c r="M211" s="535">
        <f t="shared" si="436"/>
        <v>156.29099260505953</v>
      </c>
      <c r="N211" s="824">
        <f>IF(Sheet1!DA209&gt;=F211,MIN(113*CFStoMGD,MIN(MAX(L211,0),MAX(M211,0))),0)</f>
        <v>73.043199999999999</v>
      </c>
      <c r="O211" s="538">
        <f>Sheet1!AA209+Sheet1!AB209</f>
        <v>97.56</v>
      </c>
      <c r="P211" s="538">
        <f t="shared" si="437"/>
        <v>150.92532</v>
      </c>
      <c r="Q211" s="812">
        <f t="shared" si="539"/>
        <v>72.096873614190699</v>
      </c>
      <c r="R211" s="812">
        <f t="shared" si="508"/>
        <v>25.5</v>
      </c>
      <c r="S211" s="812">
        <f t="shared" si="509"/>
        <v>0</v>
      </c>
      <c r="T211" s="812">
        <f t="shared" si="510"/>
        <v>0</v>
      </c>
      <c r="U211" s="812">
        <f>IF(AND(B211&gt;=FV211,B211&lt;=FW211),ED211+Sheet1!EH209,0)</f>
        <v>25.463126385809307</v>
      </c>
      <c r="V211" s="812"/>
      <c r="W211" s="812">
        <f t="shared" si="511"/>
        <v>0</v>
      </c>
      <c r="X211" s="812">
        <f t="shared" si="512"/>
        <v>0</v>
      </c>
      <c r="Y211" s="812" t="str">
        <f t="shared" si="513"/>
        <v>FALSE</v>
      </c>
      <c r="Z211" s="812">
        <f t="shared" si="514"/>
        <v>97.56</v>
      </c>
      <c r="AA211" s="812">
        <f t="shared" si="515"/>
        <v>97.56</v>
      </c>
      <c r="AB211" s="1059">
        <f t="shared" si="540"/>
        <v>111.53386348115301</v>
      </c>
      <c r="AC211" s="538">
        <f>Sheet1!Y209*MGDtoCFS</f>
        <v>62.081110000000002</v>
      </c>
      <c r="AD211" s="538">
        <f>Sheet1!Z209*MGDtoCFS</f>
        <v>88.813269999999989</v>
      </c>
      <c r="AE211" s="538">
        <f>Sheet1!AA209*MGDtoCFS</f>
        <v>67.433729999999997</v>
      </c>
      <c r="AF211" s="538">
        <f>Sheet1!AB209*MGDtoCFS</f>
        <v>83.491589999999988</v>
      </c>
      <c r="AG211" s="538">
        <f>Sheet1!L209*MGDtoCFS</f>
        <v>0</v>
      </c>
      <c r="AH211" s="521">
        <f t="shared" si="438"/>
        <v>25.5130155210643</v>
      </c>
      <c r="AI211" s="1059">
        <f t="shared" si="439"/>
        <v>39.468635011086469</v>
      </c>
      <c r="AJ211" s="535">
        <f t="shared" si="440"/>
        <v>0</v>
      </c>
      <c r="AK211" s="535">
        <f t="shared" si="441"/>
        <v>0</v>
      </c>
      <c r="AL211" s="535">
        <f>(VLOOKUP(Sheet1!DC209,hhdcap_wcm,4)-(((VLOOKUP(Sheet1!DC209,hhdcap_wcm,3)-Sheet1!DC209)/(VLOOKUP(Sheet1!DC209,hhdcap_wcm,3)-VLOOKUP(Sheet1!DC209,hhdcap_wcm,1)))*(VLOOKUP(Sheet1!DC209,hhdcap_wcm,4)-VLOOKUP(Sheet1!DC209,hhdcap_wcm,2))))</f>
        <v>45496.800000110532</v>
      </c>
      <c r="AM211" s="535">
        <f t="shared" si="442"/>
        <v>-152.6000000002532</v>
      </c>
      <c r="AN211" s="1035">
        <f t="shared" si="443"/>
        <v>2857.5725610524869</v>
      </c>
      <c r="AO211" s="535">
        <f t="shared" si="444"/>
        <v>8767.0326173090307</v>
      </c>
      <c r="AP211" s="535">
        <f>Sheet1!BA209+Sheet1!BB209+Sheet1!BN209+CD211</f>
        <v>33.6</v>
      </c>
      <c r="AQ211" s="535">
        <f>Sheet1!BN209+(DO211*Sheet1!BN209)</f>
        <v>33.506873614190688</v>
      </c>
      <c r="AR211" s="535">
        <f>Sheet1!BA209+CD211</f>
        <v>0</v>
      </c>
      <c r="AS211" s="535">
        <f>Sheet1!BA209+Sheet1!BB209+CD211</f>
        <v>0</v>
      </c>
      <c r="AT211" s="649">
        <f>0</f>
        <v>0</v>
      </c>
      <c r="AU211" s="974">
        <f>BA211+Sheet1!EH209</f>
        <v>5</v>
      </c>
      <c r="AV211" s="535">
        <f>IF(OR(B211&gt;=GD211,B211&lt;GC211),0,15/36*K211-MAX(0,64.6-(137.6-(Sheet1!AA209+Sheet1!AB209))))</f>
        <v>0</v>
      </c>
      <c r="AW211" s="1029"/>
      <c r="AX211" s="649"/>
      <c r="AY211" s="649">
        <f t="shared" si="541"/>
        <v>0</v>
      </c>
      <c r="AZ211" s="649">
        <f t="shared" si="542"/>
        <v>0</v>
      </c>
      <c r="BA211" s="1059">
        <f t="shared" si="543"/>
        <v>0</v>
      </c>
      <c r="BB211" s="1019">
        <f t="shared" si="445"/>
        <v>1308.3333333333335</v>
      </c>
      <c r="BC211" s="1041">
        <f t="shared" si="544"/>
        <v>0</v>
      </c>
      <c r="BD211" s="1019">
        <f ca="1">IF(B211&gt;(Summary!$A$1-1),#N/A,BB211*MGtoAF)</f>
        <v>4013.9666666666672</v>
      </c>
      <c r="BE211" s="535">
        <f>Sheet1!BG209+Sheet1!BH209+Sheet1!BI209-BM211</f>
        <v>2.52</v>
      </c>
      <c r="BF211" s="535">
        <f t="shared" si="446"/>
        <v>2.5130155210643013</v>
      </c>
      <c r="BG211" s="535">
        <f>IF(Sheet1!EP209="FM",BM211,0)</f>
        <v>0</v>
      </c>
      <c r="BH211" s="535">
        <f t="shared" si="447"/>
        <v>0</v>
      </c>
      <c r="BI211" s="535">
        <f>IF(Sheet1!EP209="OTHER",BM211,0)</f>
        <v>0</v>
      </c>
      <c r="BJ211" s="535">
        <f t="shared" si="448"/>
        <v>0</v>
      </c>
      <c r="BK211" s="535">
        <f t="shared" si="449"/>
        <v>2.52</v>
      </c>
      <c r="BL211" s="535">
        <f t="shared" si="450"/>
        <v>2.5130155210643013</v>
      </c>
      <c r="BM211" s="535">
        <f>IF(OR(Sheet1!EP209="FM", Sheet1!EP209="OTHER"),SUM(Sheet1!BG209:'Sheet1'!BI209),0)</f>
        <v>0</v>
      </c>
      <c r="BN211" s="521">
        <f>IF(AND($B211&gt;=$FV211,$B211&lt;=$FW211),MAX(BF211,Sheet1!EI209,0),MAX(BF211-(7/36)*$K211,0))</f>
        <v>2.5130155210643013</v>
      </c>
      <c r="BO211" s="535">
        <f t="shared" si="497"/>
        <v>0</v>
      </c>
      <c r="BP211" s="521">
        <f t="shared" si="452"/>
        <v>0</v>
      </c>
      <c r="BQ211" s="521">
        <f>IF(AND($O211&gt;0,Sheet1!EM209=1),(1-($O211-Sheet1!$L209)/$O211)*BL211,0)</f>
        <v>0</v>
      </c>
      <c r="BR211" s="521">
        <f>IF(AND(Sheet1!$L209=0,Sheet1!$L208=0, Calculation!BK211&lt;Sheet1!$EI209-0.1,Sheet1!$EI209=Sheet1!$EI208,Sheet1!$EI209=Sheet1!$EI210),BL211-BQ211,BL211-BQ211)</f>
        <v>2.5130155210643013</v>
      </c>
      <c r="BS211" s="1035" t="str">
        <f t="shared" si="545"/>
        <v/>
      </c>
      <c r="BT211" s="1035">
        <f t="shared" si="546"/>
        <v>0</v>
      </c>
      <c r="BU211" s="535">
        <f t="shared" si="453"/>
        <v>590.89693574973114</v>
      </c>
      <c r="BV211" s="535"/>
      <c r="BW211" s="535">
        <f ca="1">IF(B211&gt;(Summary!$A$1-1),#N/A,BU211*MGtoAF)</f>
        <v>1812.8717988801752</v>
      </c>
      <c r="BX211" s="535">
        <f>Sheet1!BC209+Sheet1!BD209+Sheet1!BE209+Sheet1!BF209-CG211-CH211</f>
        <v>7.01</v>
      </c>
      <c r="BY211" s="535">
        <f t="shared" si="454"/>
        <v>6.9905709534368059</v>
      </c>
      <c r="BZ211" s="535">
        <f>IF(Sheet1!EQ209="FM",CH211,0)</f>
        <v>0</v>
      </c>
      <c r="CA211" s="535">
        <f t="shared" si="455"/>
        <v>0</v>
      </c>
      <c r="CB211" s="535">
        <f>IF(Sheet1!EQ209="OTHER",CH211,0)</f>
        <v>0</v>
      </c>
      <c r="CC211" s="535">
        <f t="shared" si="456"/>
        <v>0</v>
      </c>
      <c r="CD211" s="535">
        <f t="shared" si="457"/>
        <v>0</v>
      </c>
      <c r="CE211" s="535">
        <f t="shared" si="458"/>
        <v>7.01</v>
      </c>
      <c r="CF211" s="535">
        <f t="shared" si="459"/>
        <v>6.9905709534368059</v>
      </c>
      <c r="CG211" s="535">
        <f>IF(Sheet1!EQ209="CWA",SUM(Sheet1!BC209:'Sheet1'!BF209),0)</f>
        <v>0</v>
      </c>
      <c r="CH211" s="535">
        <f>IF(OR(Sheet1!EQ209="FM", Sheet1!EQ209="OTHER"),SUM(Sheet1!BC209:'Sheet1'!BF209),0)</f>
        <v>0</v>
      </c>
      <c r="CI211" s="521">
        <f>IF(AND($B211&gt;=$FV211,$B211&lt;=$FW211),MAX(CF211,Sheet1!EJ209,0),MAX(CF211-(7/36)*$K211,0))</f>
        <v>7</v>
      </c>
      <c r="CJ211" s="535">
        <f t="shared" si="499"/>
        <v>0</v>
      </c>
      <c r="CK211" s="521">
        <f t="shared" si="461"/>
        <v>0</v>
      </c>
      <c r="CL211" s="521">
        <f>IF(AND($O211&gt;0,Sheet1!EN209=1),(1-($O211-Sheet1!$L209)/$O211)*CF211,0)</f>
        <v>0</v>
      </c>
      <c r="CM211" s="521">
        <f>IF(AND(Sheet1!$L209=0,Sheet1!$L208=0, Calculation!CE211&lt;Sheet1!EJ209-0.1,Sheet1!EJ209=Sheet1!EJ208,Sheet1!EJ209=Sheet1!EJ210),CF211-CL211,CF211-CL211)</f>
        <v>6.9905709534368059</v>
      </c>
      <c r="CN211" s="1040" t="str">
        <f t="shared" si="547"/>
        <v/>
      </c>
      <c r="CO211" s="1035">
        <f t="shared" si="548"/>
        <v>0</v>
      </c>
      <c r="CP211" s="535">
        <f t="shared" si="462"/>
        <v>515.37482335490836</v>
      </c>
      <c r="CQ211" s="535"/>
      <c r="CR211" s="535">
        <f ca="1">IF(B211&gt;(Summary!$A$1-1),#N/A,CP211*MGtoAF)</f>
        <v>1581.1699580528589</v>
      </c>
      <c r="CS211" s="535">
        <f>Sheet1!BK209+Sheet1!BL209+Sheet1!BM209-Sheet1!ER209-DA211</f>
        <v>10.989999999999998</v>
      </c>
      <c r="CT211" s="535">
        <f t="shared" si="463"/>
        <v>10.959539911308202</v>
      </c>
      <c r="CU211" s="535">
        <f>IF(Sheet1!ER209="FM",DA211,0)</f>
        <v>0</v>
      </c>
      <c r="CV211" s="535">
        <f t="shared" si="464"/>
        <v>0</v>
      </c>
      <c r="CW211" s="535">
        <f>IF(Sheet1!ER209="OTHER",DA211,0)</f>
        <v>0</v>
      </c>
      <c r="CX211" s="535">
        <f t="shared" si="465"/>
        <v>0</v>
      </c>
      <c r="CY211" s="535">
        <f t="shared" si="466"/>
        <v>10.989999999999998</v>
      </c>
      <c r="CZ211" s="535">
        <f t="shared" si="467"/>
        <v>10.959539911308202</v>
      </c>
      <c r="DA211" s="535">
        <f>IF(OR(Sheet1!ER209="FM", Sheet1!ER209="OTHER"),SUM(Sheet1!BK209:'Sheet1'!BM209),0)</f>
        <v>0</v>
      </c>
      <c r="DB211" s="1011">
        <f>IF(AND($B211&gt;=$FV211,$B211&lt;=$FW211),MAX($CT211,Sheet1!EK209,0),MAX($CT211-(7/36)*$K211,0))</f>
        <v>11</v>
      </c>
      <c r="DC211" s="1012">
        <f t="shared" si="498"/>
        <v>0</v>
      </c>
      <c r="DD211" s="1011">
        <f t="shared" si="469"/>
        <v>0</v>
      </c>
      <c r="DE211" s="521">
        <f>IF(AND($O211&gt;0,Sheet1!EO209=1),(1-($O211-Sheet1!$L209)/$O211)*CZ211,0)</f>
        <v>0</v>
      </c>
      <c r="DF211" s="521">
        <f>IF(AND(Sheet1!$L209=0,Sheet1!$L208=0, Calculation!CY211&lt;Sheet1!$EK209-0.1,Sheet1!$EK209=Sheet1!$EK208,Sheet1!$EK209=Sheet1!$EK210),CZ211-DE211,CZ211-DE211)</f>
        <v>10.959539911308202</v>
      </c>
      <c r="DG211" s="1040">
        <f t="shared" si="549"/>
        <v>0</v>
      </c>
      <c r="DH211" s="649">
        <f t="shared" si="470"/>
        <v>20.519999999999996</v>
      </c>
      <c r="DI211" s="535">
        <f t="shared" si="471"/>
        <v>442.96746861451368</v>
      </c>
      <c r="DJ211" s="649">
        <f t="shared" si="472"/>
        <v>20.463126385809311</v>
      </c>
      <c r="DK211" s="535">
        <f ca="1">IF(B211&gt;(Summary!$A$1-1),#N/A,DI211*MGtoAF)</f>
        <v>1359.0241937093281</v>
      </c>
      <c r="DL211" s="649">
        <f t="shared" si="473"/>
        <v>20.52</v>
      </c>
      <c r="DM211" s="535">
        <f t="shared" si="474"/>
        <v>54.120000000000005</v>
      </c>
      <c r="DN211" s="535">
        <f>Sheet1!AB209-DM211</f>
        <v>-0.15000000000000568</v>
      </c>
      <c r="DO211" s="743">
        <f t="shared" si="475"/>
        <v>-2.7716186252772666E-3</v>
      </c>
      <c r="DP211" s="535">
        <f>(VLOOKUP(Sheet1!DC209,hhdcap_wcm,4)-(((VLOOKUP(Sheet1!DC209,hhdcap_wcm,3)-Sheet1!DC209)/(VLOOKUP(Sheet1!DC209,hhdcap_wcm,3)-VLOOKUP(Sheet1!DC209,hhdcap_wcm,1)))*(VLOOKUP(Sheet1!DC209,hhdcap_wcm,4)-VLOOKUP(Sheet1!DC209,hhdcap_wcm,2))))</f>
        <v>45496.800000110532</v>
      </c>
      <c r="DQ211" s="535">
        <f t="shared" si="476"/>
        <v>-152.6000000002532</v>
      </c>
      <c r="DR211" s="535">
        <f t="shared" si="477"/>
        <v>-76.95410993457044</v>
      </c>
      <c r="DS211" s="535">
        <f>Sheet1!EA209*AFtoMG</f>
        <v>0</v>
      </c>
      <c r="DT211" s="535">
        <f>Sheet1!EB209*AFtoMG</f>
        <v>0</v>
      </c>
      <c r="DU211" s="535">
        <f>Sheet1!EC209*AFtoMG</f>
        <v>0</v>
      </c>
      <c r="DV211" s="535">
        <f>Sheet1!ED209*AFtoMG</f>
        <v>0</v>
      </c>
      <c r="DW211" s="535">
        <f t="shared" si="478"/>
        <v>0</v>
      </c>
      <c r="DX211" s="535">
        <f t="shared" si="479"/>
        <v>0</v>
      </c>
      <c r="DY211" s="535">
        <f t="shared" si="480"/>
        <v>2857.5725610524869</v>
      </c>
      <c r="DZ211" s="535">
        <f t="shared" si="481"/>
        <v>8767.0326173090307</v>
      </c>
      <c r="EA211" s="535"/>
      <c r="EB211" s="521">
        <f>IF(OR(B211&lt;FV211,B211&gt;FW211),(MIN(BF211+BY211+CT211+MAX(Sheet1!AA209+AQ211-73,0),K211)),0)</f>
        <v>0</v>
      </c>
      <c r="EC211" s="535"/>
      <c r="ED211" s="535">
        <f t="shared" si="482"/>
        <v>20.463126385809307</v>
      </c>
      <c r="EE211" s="535"/>
      <c r="EF211" s="535">
        <f>Sheet1!EH209+Sheet1!EI209+Sheet1!EJ209+Sheet1!EK209</f>
        <v>25.5</v>
      </c>
      <c r="EG211" s="1019">
        <f t="shared" si="550"/>
        <v>39.448499999999996</v>
      </c>
      <c r="EH211" s="521">
        <f t="shared" si="483"/>
        <v>0</v>
      </c>
      <c r="EI211" s="535">
        <f>IF(Sheet1!ET209=1,SUM('Calculations II'!AT211:BA211)+'Calculations II'!BC211+Sheet1!BV209+'Calculations II'!BE211+AP211,'Calculations II'!BK211)</f>
        <v>79.531223614190679</v>
      </c>
      <c r="EJ211" s="535">
        <f ca="1">EI211+'Calculations II'!D211+'Calculations II'!E211+'Calculations II'!O211</f>
        <v>78.449877839624747</v>
      </c>
      <c r="EK211" s="535"/>
      <c r="EL211" s="535"/>
      <c r="EM211" s="535">
        <f t="shared" si="484"/>
        <v>42935</v>
      </c>
      <c r="EN211" s="535">
        <f t="shared" si="485"/>
        <v>-25.5130155210643</v>
      </c>
      <c r="EO211" s="535">
        <f t="shared" si="486"/>
        <v>-39.468635011086469</v>
      </c>
      <c r="EP211" s="535">
        <v>0</v>
      </c>
      <c r="EQ211" s="535">
        <v>0</v>
      </c>
      <c r="ER211" s="535">
        <v>0</v>
      </c>
      <c r="ES211" s="521">
        <f t="shared" si="516"/>
        <v>1.3860655934103914</v>
      </c>
      <c r="ET211" s="535">
        <f>-(VLOOKUP(Sheet1!BQ209,Lookup!$O$4:$Q$262,2)-VLOOKUP(Sheet1!BQ208,Lookup!$O$4:$Q$262,2))/1000000</f>
        <v>0.69293663062756505</v>
      </c>
      <c r="EU211" s="535">
        <f>-(VLOOKUP(Sheet1!BR209,Lookup!$O$4:$Q$262,3)-VLOOKUP(Sheet1!BR208,Lookup!$O$4:$Q$262,3))/1000000</f>
        <v>0.69312896278282632</v>
      </c>
      <c r="EV211" s="535"/>
      <c r="EW211" s="535"/>
      <c r="EX211" s="535"/>
      <c r="EY211" s="535"/>
      <c r="EZ211" s="535"/>
      <c r="FA211" s="535"/>
      <c r="FB211" s="535"/>
      <c r="FC211" s="535"/>
      <c r="FD211" s="567">
        <f t="shared" si="504"/>
        <v>1138.2569444443659</v>
      </c>
      <c r="FE211" s="567" t="e">
        <f t="shared" si="488"/>
        <v>#N/A</v>
      </c>
      <c r="FF211" s="568" t="e">
        <f t="shared" si="489"/>
        <v>#N/A</v>
      </c>
      <c r="FG211" s="569" t="s">
        <v>656</v>
      </c>
      <c r="FH211" s="569" t="s">
        <v>656</v>
      </c>
      <c r="FI211" s="567" t="e">
        <v>#N/A</v>
      </c>
      <c r="FJ211" s="725">
        <v>21990</v>
      </c>
      <c r="FK211" s="535"/>
      <c r="FL211" s="1015">
        <f t="shared" si="503"/>
        <v>42.360060514372158</v>
      </c>
      <c r="FM211" s="535"/>
      <c r="FN211" s="535"/>
      <c r="FO211" s="535">
        <f>O211+((Sheet1!CS209)*GPMtoMGD)</f>
        <v>97.56</v>
      </c>
      <c r="FP211" s="535">
        <f>IF(Sheet1!AA209+AQ211&lt;=Calculation!N211,AQ211,Calculation!N211-Sheet1!AA209)</f>
        <v>29.453199999999995</v>
      </c>
      <c r="FQ211" s="535">
        <f>(Sheet1!BP209+Sheet1!BO209)/694.4</f>
        <v>4.1175115207373274</v>
      </c>
      <c r="FR211" s="541"/>
      <c r="FS211" s="541"/>
      <c r="FT211" s="541"/>
      <c r="FU211" s="541"/>
      <c r="FV211" s="1109">
        <f t="shared" si="517"/>
        <v>42918</v>
      </c>
      <c r="FW211" s="1109">
        <f t="shared" si="518"/>
        <v>43027</v>
      </c>
      <c r="FX211" s="541"/>
      <c r="FY211" s="541">
        <f>Sheet1!DA209-Sheet1!CZ209-Sheet1!AE209</f>
        <v>-169.92532</v>
      </c>
      <c r="FZ211" s="535">
        <f t="shared" si="551"/>
        <v>-0.71684567048640713</v>
      </c>
      <c r="GA211" s="535"/>
      <c r="GB211" s="535" t="str">
        <f t="shared" si="519"/>
        <v>n</v>
      </c>
      <c r="GC211" s="539">
        <f t="shared" si="520"/>
        <v>42782</v>
      </c>
      <c r="GD211" s="1109">
        <f t="shared" si="521"/>
        <v>42904</v>
      </c>
      <c r="GE211" s="535">
        <f t="shared" si="537"/>
        <v>6520</v>
      </c>
      <c r="GF211" s="1109">
        <f t="shared" si="522"/>
        <v>42909</v>
      </c>
      <c r="GG211" s="535">
        <f t="shared" si="564"/>
        <v>3260</v>
      </c>
      <c r="GH211" s="539">
        <f t="shared" si="523"/>
        <v>43040</v>
      </c>
      <c r="GJ211" s="521">
        <f t="shared" si="524"/>
        <v>0</v>
      </c>
      <c r="GK211" s="535" t="str">
        <f t="shared" si="490"/>
        <v/>
      </c>
      <c r="GL211" s="535">
        <f t="shared" si="525"/>
        <v>0</v>
      </c>
      <c r="GM211" s="535" t="str">
        <f t="shared" si="526"/>
        <v/>
      </c>
      <c r="GN211" s="535">
        <f>IF(GK211="P",Lookup!$M$12,IF(GK211="PP",Lookup!$M$13,IF(GK211="PPP",Lookup!$M$14,IF(GK211="T",Lookup!$M$15,IF(GK211="TP",Lookup!$M$16,IF(GK211="TPP",Lookup!$M$17,IF(GK211="TPPP",Lookup!$M$18,0)))))))*GJ211</f>
        <v>0</v>
      </c>
      <c r="GO211" s="535">
        <f t="shared" si="527"/>
        <v>0</v>
      </c>
      <c r="GP211" s="535">
        <f t="shared" si="491"/>
        <v>4013.9666666666672</v>
      </c>
      <c r="GQ211" s="974">
        <f t="shared" si="500"/>
        <v>1308.3333333333335</v>
      </c>
      <c r="GR211" s="535"/>
      <c r="GS211" s="535">
        <f t="shared" si="528"/>
        <v>0</v>
      </c>
      <c r="GT211" s="535" t="str">
        <f t="shared" si="529"/>
        <v/>
      </c>
      <c r="GU211" s="535">
        <f>IF(GK211="P",Lookup!$N$12,IF(GK211="PP",Lookup!$N$13,IF(GK211="PPP",Lookup!$N$14,IF(GK211="T",Lookup!$N$15,IF(GK211="TP",Lookup!$N$16,IF(GK211="TPP",Lookup!$N$17,IF(GK211="TPPP",Lookup!$N$18,0)))))))*GJ211</f>
        <v>0</v>
      </c>
      <c r="GV211" s="535">
        <f t="shared" si="530"/>
        <v>0</v>
      </c>
      <c r="GW211" s="535">
        <f t="shared" si="492"/>
        <v>1812.8717988801752</v>
      </c>
      <c r="GX211" s="974">
        <f t="shared" si="501"/>
        <v>590.89693574973114</v>
      </c>
      <c r="GY211" s="535"/>
      <c r="GZ211" s="535">
        <f t="shared" si="531"/>
        <v>0</v>
      </c>
      <c r="HA211" s="535" t="str">
        <f t="shared" si="532"/>
        <v/>
      </c>
      <c r="HB211" s="535">
        <f>IF(GK211="P",Lookup!$N$12,IF(GK211="PP",Lookup!$N$13,IF(GK211="PPP",Lookup!$N$14,IF(GK211="T",Lookup!$N$15,IF(GK211="TP",Lookup!$N$16,IF(GK211="TPP",Lookup!$N$17,IF(GK211="TPPP",Lookup!$N$18,0)))))))*GJ211</f>
        <v>0</v>
      </c>
      <c r="HC211" s="521">
        <f t="shared" si="493"/>
        <v>0</v>
      </c>
      <c r="HD211" s="535">
        <f t="shared" si="494"/>
        <v>1581.1699580528589</v>
      </c>
      <c r="HE211" s="535">
        <f t="shared" si="535"/>
        <v>515.37482335490836</v>
      </c>
      <c r="HF211" s="535"/>
      <c r="HG211" s="535">
        <f t="shared" si="533"/>
        <v>0</v>
      </c>
      <c r="HH211" s="535" t="str">
        <f t="shared" si="534"/>
        <v/>
      </c>
      <c r="HI211" s="535">
        <f>IF(GK211="P",Lookup!$N$12,IF(GK211="PP",Lookup!$N$13,IF(GK211="PPP",Lookup!$N$14,IF(GK211="T",Lookup!$N$15,IF(GK211="TP",Lookup!$N$16,IF(GK211="TPP",Lookup!$N$17,IF(GK211="TPPP",Lookup!$N$18,0)))))))*GJ211</f>
        <v>0</v>
      </c>
      <c r="HJ211" s="521">
        <f t="shared" si="495"/>
        <v>0</v>
      </c>
      <c r="HK211" s="535">
        <f t="shared" si="496"/>
        <v>1359.0241937093281</v>
      </c>
      <c r="HL211" s="535">
        <f t="shared" si="536"/>
        <v>442.96746861451368</v>
      </c>
      <c r="HM211" s="535"/>
      <c r="HN211" s="541"/>
      <c r="HO211" s="541"/>
      <c r="HP211" s="541"/>
      <c r="HQ211" s="541">
        <f>IF(AND(B211&gt;=$FV$4,B211&lt;=$FW$4),MAX(110/1.02+$HQ$6+MIN(113/1.02,G211),IF($HV$6-(Sheet1!DA209-Sheet1!DB209)+MIN(113/1.02,G211)&lt;G211+FL211,$HV$6-(Sheet1!DA209-Sheet1!DB209)+MIN(113/1.02,G211),G211+FL211)),MIN(110/1.02+$HQ$6+113/1.02,G211))</f>
        <v>248.78431372549019</v>
      </c>
      <c r="HR211" s="541">
        <f t="shared" si="552"/>
        <v>253.76</v>
      </c>
      <c r="HS211" s="541">
        <f>HR211+(Sheet1!DA209-Sheet1!DB209)</f>
        <v>380.76</v>
      </c>
      <c r="HT211" s="541">
        <f t="shared" si="553"/>
        <v>111.53386348115301</v>
      </c>
      <c r="HU211" s="541">
        <f t="shared" si="554"/>
        <v>269.226136518847</v>
      </c>
      <c r="HV211" s="541">
        <f t="shared" si="555"/>
        <v>0</v>
      </c>
      <c r="HW211" s="541" t="str">
        <f t="shared" si="556"/>
        <v/>
      </c>
      <c r="HX211" s="541">
        <f t="shared" si="557"/>
        <v>25.747051263423344</v>
      </c>
      <c r="HY211" s="541">
        <f>Sheet1!CZ209</f>
        <v>314</v>
      </c>
      <c r="HZ211" s="541">
        <f t="shared" si="558"/>
        <v>39.468635011086469</v>
      </c>
      <c r="IA211" s="541">
        <f t="shared" si="559"/>
        <v>111.53386348115301</v>
      </c>
      <c r="IB211" s="541">
        <f t="shared" si="560"/>
        <v>274.53136498891354</v>
      </c>
      <c r="IC211" s="1019" t="str">
        <f t="shared" si="561"/>
        <v/>
      </c>
      <c r="ID211" s="541">
        <f t="shared" si="562"/>
        <v>162.99750150776055</v>
      </c>
      <c r="IE211" s="541">
        <f>Sheet1!DB209</f>
        <v>168</v>
      </c>
      <c r="IF211" s="533">
        <f>Sheet1!DA209</f>
        <v>295</v>
      </c>
      <c r="IH211" s="541">
        <f>IF(AND($B211&gt;=$GC211,$B211&lt;=$GH211,$DR211&lt;0)+N("only adjusted when pool is drawn down during storage season"),Sheet1!$DB209+$DR211+N("Palmer minus all storage release"),Sheet1!$DB209)</f>
        <v>91.04589006542956</v>
      </c>
      <c r="II211" s="541">
        <f>IF(AND($B211&gt;=$GC211,$B211&lt;=$GH211,$DR211&lt;0)+N("only adjusted when pool is drawn down during storage season"),Sheet1!$DA209+$DR211+N("Auburn minus all storage release"),Sheet1!$DA209)</f>
        <v>218.04589006542955</v>
      </c>
    </row>
    <row r="212" spans="1:243" x14ac:dyDescent="0.25">
      <c r="A212" s="553" t="s">
        <v>7</v>
      </c>
      <c r="B212" s="531">
        <v>42936</v>
      </c>
      <c r="C212" s="536">
        <v>0</v>
      </c>
      <c r="D212" s="506">
        <f t="shared" si="506"/>
        <v>200</v>
      </c>
      <c r="E212" s="506">
        <f t="shared" si="507"/>
        <v>400</v>
      </c>
      <c r="F212" s="506">
        <v>250</v>
      </c>
      <c r="G212" s="535">
        <f>DR212+Sheet1!CZ210</f>
        <v>247.03933434190841</v>
      </c>
      <c r="H212" s="1074">
        <f t="shared" si="563"/>
        <v>0</v>
      </c>
      <c r="I212" s="534">
        <f>IF(Sheet1!DA210&gt;=E212,(Sheet1!DA210-E212+P212)*CFStoMGD,0)</f>
        <v>0</v>
      </c>
      <c r="J212" s="995">
        <f>IF(Sheet1!DB210&gt;=D212,(Sheet1!DB210-D212+P212)*CFStoMGD,0)</f>
        <v>0</v>
      </c>
      <c r="K212" s="818">
        <f t="shared" si="538"/>
        <v>0</v>
      </c>
      <c r="L212" s="535">
        <f>Sheet1!AA210+Sheet1!AB210-Sheet1!L210+(Sheet1!DA210-F212)*CFStoMGD-S212-T212-U212</f>
        <v>101.55127334190703</v>
      </c>
      <c r="M212" s="535">
        <f t="shared" si="436"/>
        <v>162.8799502329818</v>
      </c>
      <c r="N212" s="824">
        <f>IF(Sheet1!DA210&gt;=F212,MIN(113*CFStoMGD,MIN(MAX(L212,0),MAX(M212,0))),0)</f>
        <v>73.043199999999999</v>
      </c>
      <c r="O212" s="538">
        <f>Sheet1!AA210+Sheet1!AB210</f>
        <v>92.38</v>
      </c>
      <c r="P212" s="538">
        <f t="shared" si="437"/>
        <v>142.91185999999999</v>
      </c>
      <c r="Q212" s="812">
        <f t="shared" si="539"/>
        <v>66.645673341907042</v>
      </c>
      <c r="R212" s="812">
        <f t="shared" si="508"/>
        <v>26</v>
      </c>
      <c r="S212" s="812">
        <f t="shared" si="509"/>
        <v>0</v>
      </c>
      <c r="T212" s="812">
        <f t="shared" si="510"/>
        <v>0</v>
      </c>
      <c r="U212" s="812">
        <f>IF(AND(B212&gt;=FV212,B212&lt;=FW212),ED212+Sheet1!EH210,0)</f>
        <v>25.734326658092961</v>
      </c>
      <c r="V212" s="812"/>
      <c r="W212" s="812">
        <f t="shared" si="511"/>
        <v>0</v>
      </c>
      <c r="X212" s="812">
        <f t="shared" si="512"/>
        <v>0</v>
      </c>
      <c r="Y212" s="812" t="str">
        <f t="shared" si="513"/>
        <v>FALSE</v>
      </c>
      <c r="Z212" s="812">
        <f t="shared" si="514"/>
        <v>92.38</v>
      </c>
      <c r="AA212" s="812">
        <f t="shared" si="515"/>
        <v>92.38</v>
      </c>
      <c r="AB212" s="1059">
        <f t="shared" si="540"/>
        <v>103.10085665993019</v>
      </c>
      <c r="AC212" s="538">
        <f>Sheet1!Y210*MGDtoCFS</f>
        <v>67.433729999999997</v>
      </c>
      <c r="AD212" s="538">
        <f>Sheet1!Z210*MGDtoCFS</f>
        <v>83.491589999999988</v>
      </c>
      <c r="AE212" s="538">
        <f>Sheet1!AA210*MGDtoCFS</f>
        <v>59.095400000000005</v>
      </c>
      <c r="AF212" s="538">
        <f>Sheet1!AB210*MGDtoCFS</f>
        <v>83.816459999999992</v>
      </c>
      <c r="AG212" s="538">
        <f>Sheet1!L210*MGDtoCFS</f>
        <v>0</v>
      </c>
      <c r="AH212" s="521">
        <f t="shared" si="438"/>
        <v>26</v>
      </c>
      <c r="AI212" s="1059">
        <f t="shared" si="439"/>
        <v>40.222000000000001</v>
      </c>
      <c r="AJ212" s="535">
        <f t="shared" si="440"/>
        <v>0</v>
      </c>
      <c r="AK212" s="535">
        <f t="shared" si="441"/>
        <v>0</v>
      </c>
      <c r="AL212" s="535">
        <f>(VLOOKUP(Sheet1!DC210,hhdcap_wcm,4)-(((VLOOKUP(Sheet1!DC210,hhdcap_wcm,3)-Sheet1!DC210)/(VLOOKUP(Sheet1!DC210,hhdcap_wcm,3)-VLOOKUP(Sheet1!DC210,hhdcap_wcm,1)))*(VLOOKUP(Sheet1!DC210,hhdcap_wcm,4)-VLOOKUP(Sheet1!DC210,hhdcap_wcm,2))))</f>
        <v>45366.000000110536</v>
      </c>
      <c r="AM212" s="535">
        <f t="shared" si="442"/>
        <v>-130.79999999999563</v>
      </c>
      <c r="AN212" s="1035">
        <f t="shared" si="443"/>
        <v>2831.5725610524869</v>
      </c>
      <c r="AO212" s="535">
        <f t="shared" si="444"/>
        <v>8687.2646173090307</v>
      </c>
      <c r="AP212" s="535">
        <f>Sheet1!BA210+Sheet1!BB210+Sheet1!BN210+CD212</f>
        <v>33.6</v>
      </c>
      <c r="AQ212" s="535">
        <f>Sheet1!BN210+(DO212*Sheet1!BN210)</f>
        <v>33.445673341907032</v>
      </c>
      <c r="AR212" s="535">
        <f>Sheet1!BA210+CD212</f>
        <v>0</v>
      </c>
      <c r="AS212" s="535">
        <f>Sheet1!BA210+Sheet1!BB210+CD212</f>
        <v>0</v>
      </c>
      <c r="AT212" s="649">
        <f>0</f>
        <v>0</v>
      </c>
      <c r="AU212" s="974">
        <f>BA212+Sheet1!EH210</f>
        <v>5</v>
      </c>
      <c r="AV212" s="535">
        <f>IF(OR(B212&gt;=GD212,B212&lt;GC212),0,15/36*K212-MAX(0,64.6-(137.6-(Sheet1!AA210+Sheet1!AB210))))</f>
        <v>0</v>
      </c>
      <c r="AW212" s="1029"/>
      <c r="AX212" s="649"/>
      <c r="AY212" s="649">
        <f t="shared" si="541"/>
        <v>0</v>
      </c>
      <c r="AZ212" s="649">
        <f t="shared" si="542"/>
        <v>0</v>
      </c>
      <c r="BA212" s="1059">
        <f t="shared" si="543"/>
        <v>0</v>
      </c>
      <c r="BB212" s="1019">
        <f t="shared" si="445"/>
        <v>1303.3333333333335</v>
      </c>
      <c r="BC212" s="1041">
        <f t="shared" si="544"/>
        <v>0</v>
      </c>
      <c r="BD212" s="1019">
        <f ca="1">IF(B212&gt;(Summary!$A$1-1),#N/A,BB212*MGtoAF)</f>
        <v>3998.626666666667</v>
      </c>
      <c r="BE212" s="535">
        <f>Sheet1!BG210+Sheet1!BH210+Sheet1!BI210-BM212</f>
        <v>2.8</v>
      </c>
      <c r="BF212" s="535">
        <f t="shared" si="446"/>
        <v>2.7871394451589193</v>
      </c>
      <c r="BG212" s="535">
        <f>IF(Sheet1!EP210="FM",BM212,0)</f>
        <v>0</v>
      </c>
      <c r="BH212" s="535">
        <f t="shared" si="447"/>
        <v>0</v>
      </c>
      <c r="BI212" s="535">
        <f>IF(Sheet1!EP210="OTHER",BM212,0)</f>
        <v>0</v>
      </c>
      <c r="BJ212" s="535">
        <f t="shared" si="448"/>
        <v>0</v>
      </c>
      <c r="BK212" s="535">
        <f t="shared" si="449"/>
        <v>2.8</v>
      </c>
      <c r="BL212" s="535">
        <f t="shared" si="450"/>
        <v>2.7871394451589193</v>
      </c>
      <c r="BM212" s="535">
        <f>IF(OR(Sheet1!EP210="FM", Sheet1!EP210="OTHER"),SUM(Sheet1!BG210:'Sheet1'!BI210),0)</f>
        <v>0</v>
      </c>
      <c r="BN212" s="521">
        <f>IF(AND($B212&gt;=$FV212,$B212&lt;=$FW212),MAX(BF212,Sheet1!EI210,0),MAX(BF212-(7/36)*$K212,0))</f>
        <v>3</v>
      </c>
      <c r="BO212" s="535">
        <f t="shared" si="497"/>
        <v>0</v>
      </c>
      <c r="BP212" s="521">
        <f t="shared" si="452"/>
        <v>0</v>
      </c>
      <c r="BQ212" s="521">
        <f>IF(AND($O212&gt;0,Sheet1!EM210=1),(1-($O212-Sheet1!$L210)/$O212)*BL212,0)</f>
        <v>0</v>
      </c>
      <c r="BR212" s="521">
        <f>IF(AND(Sheet1!$L210=0,Sheet1!$L209=0, Calculation!BK212&lt;Sheet1!$EI210-0.1,Sheet1!$EI210=Sheet1!$EI209,Sheet1!$EI210=Sheet1!$EI211),BL212-BQ212,BL212-BQ212)</f>
        <v>2.7871394451589193</v>
      </c>
      <c r="BS212" s="1035" t="str">
        <f t="shared" si="545"/>
        <v/>
      </c>
      <c r="BT212" s="1035">
        <f t="shared" si="546"/>
        <v>0</v>
      </c>
      <c r="BU212" s="535">
        <f t="shared" si="453"/>
        <v>587.89693574973114</v>
      </c>
      <c r="BV212" s="535"/>
      <c r="BW212" s="535">
        <f ca="1">IF(B212&gt;(Summary!$A$1-1),#N/A,BU212*MGtoAF)</f>
        <v>1803.6677988801753</v>
      </c>
      <c r="BX212" s="535">
        <f>Sheet1!BC210+Sheet1!BD210+Sheet1!BE210+Sheet1!BF210-CG212-CH212</f>
        <v>7.01</v>
      </c>
      <c r="BY212" s="535">
        <f t="shared" si="454"/>
        <v>6.9778026823442945</v>
      </c>
      <c r="BZ212" s="535">
        <f>IF(Sheet1!EQ210="FM",CH212,0)</f>
        <v>0</v>
      </c>
      <c r="CA212" s="535">
        <f t="shared" si="455"/>
        <v>0</v>
      </c>
      <c r="CB212" s="535">
        <f>IF(Sheet1!EQ210="OTHER",CH212,0)</f>
        <v>0</v>
      </c>
      <c r="CC212" s="535">
        <f t="shared" si="456"/>
        <v>0</v>
      </c>
      <c r="CD212" s="535">
        <f t="shared" si="457"/>
        <v>0</v>
      </c>
      <c r="CE212" s="535">
        <f t="shared" si="458"/>
        <v>7.01</v>
      </c>
      <c r="CF212" s="535">
        <f t="shared" si="459"/>
        <v>6.9778026823442945</v>
      </c>
      <c r="CG212" s="535">
        <f>IF(Sheet1!EQ210="CWA",SUM(Sheet1!BC210:'Sheet1'!BF210),0)</f>
        <v>0</v>
      </c>
      <c r="CH212" s="535">
        <f>IF(OR(Sheet1!EQ210="FM", Sheet1!EQ210="OTHER"),SUM(Sheet1!BC210:'Sheet1'!BF210),0)</f>
        <v>0</v>
      </c>
      <c r="CI212" s="521">
        <f>IF(AND($B212&gt;=$FV212,$B212&lt;=$FW212),MAX(CF212,Sheet1!EJ210,0),MAX(CF212-(7/36)*$K212,0))</f>
        <v>7</v>
      </c>
      <c r="CJ212" s="535">
        <f t="shared" si="499"/>
        <v>0</v>
      </c>
      <c r="CK212" s="521">
        <f t="shared" si="461"/>
        <v>0</v>
      </c>
      <c r="CL212" s="521">
        <f>IF(AND($O212&gt;0,Sheet1!EN210=1),(1-($O212-Sheet1!$L210)/$O212)*CF212,0)</f>
        <v>0</v>
      </c>
      <c r="CM212" s="521">
        <f>IF(AND(Sheet1!$L210=0,Sheet1!$L209=0, Calculation!CE212&lt;Sheet1!EJ210-0.1,Sheet1!EJ210=Sheet1!EJ209,Sheet1!EJ210=Sheet1!EJ211),CF212-CL212,CF212-CL212)</f>
        <v>6.9778026823442945</v>
      </c>
      <c r="CN212" s="1040" t="str">
        <f t="shared" si="547"/>
        <v/>
      </c>
      <c r="CO212" s="1035">
        <f t="shared" si="548"/>
        <v>0</v>
      </c>
      <c r="CP212" s="535">
        <f t="shared" si="462"/>
        <v>508.37482335490836</v>
      </c>
      <c r="CQ212" s="535"/>
      <c r="CR212" s="535">
        <f ca="1">IF(B212&gt;(Summary!$A$1-1),#N/A,CP212*MGtoAF)</f>
        <v>1559.6939580528588</v>
      </c>
      <c r="CS212" s="535">
        <f>Sheet1!BK210+Sheet1!BL210+Sheet1!BM210-Sheet1!ER210-DA212</f>
        <v>11.02</v>
      </c>
      <c r="CT212" s="535">
        <f t="shared" si="463"/>
        <v>10.969384530589746</v>
      </c>
      <c r="CU212" s="535">
        <f>IF(Sheet1!ER210="FM",DA212,0)</f>
        <v>0</v>
      </c>
      <c r="CV212" s="535">
        <f t="shared" si="464"/>
        <v>0</v>
      </c>
      <c r="CW212" s="535">
        <f>IF(Sheet1!ER210="OTHER",DA212,0)</f>
        <v>0</v>
      </c>
      <c r="CX212" s="535">
        <f t="shared" si="465"/>
        <v>0</v>
      </c>
      <c r="CY212" s="535">
        <f t="shared" si="466"/>
        <v>11.02</v>
      </c>
      <c r="CZ212" s="535">
        <f t="shared" si="467"/>
        <v>10.969384530589746</v>
      </c>
      <c r="DA212" s="535">
        <f>IF(OR(Sheet1!ER210="FM", Sheet1!ER210="OTHER"),SUM(Sheet1!BK210:'Sheet1'!BM210),0)</f>
        <v>0</v>
      </c>
      <c r="DB212" s="1011">
        <f>IF(AND($B212&gt;=$FV212,$B212&lt;=$FW212),MAX($CT212,Sheet1!EK210,0),MAX($CT212-(7/36)*$K212,0))</f>
        <v>11</v>
      </c>
      <c r="DC212" s="1012">
        <f t="shared" si="498"/>
        <v>0</v>
      </c>
      <c r="DD212" s="1011">
        <f t="shared" si="469"/>
        <v>0</v>
      </c>
      <c r="DE212" s="521">
        <f>IF(AND($O212&gt;0,Sheet1!EO210=1),(1-($O212-Sheet1!$L210)/$O212)*CZ212,0)</f>
        <v>0</v>
      </c>
      <c r="DF212" s="521">
        <f>IF(AND(Sheet1!$L210=0,Sheet1!$L209=0, Calculation!CY212&lt;Sheet1!$EK210-0.1,Sheet1!$EK210=Sheet1!$EK209,Sheet1!$EK210=Sheet1!$EK211),CZ212-DE212,CZ212-DE212)</f>
        <v>10.969384530589746</v>
      </c>
      <c r="DG212" s="1040">
        <f t="shared" si="549"/>
        <v>0</v>
      </c>
      <c r="DH212" s="649">
        <f t="shared" si="470"/>
        <v>20.83</v>
      </c>
      <c r="DI212" s="535">
        <f t="shared" si="471"/>
        <v>431.96746861451368</v>
      </c>
      <c r="DJ212" s="649">
        <f t="shared" si="472"/>
        <v>20.734326658092961</v>
      </c>
      <c r="DK212" s="535">
        <f ca="1">IF(B212&gt;(Summary!$A$1-1),#N/A,DI212*MGtoAF)</f>
        <v>1325.276193709328</v>
      </c>
      <c r="DL212" s="649">
        <f t="shared" si="473"/>
        <v>20.830000000000002</v>
      </c>
      <c r="DM212" s="535">
        <f t="shared" si="474"/>
        <v>54.430000000000007</v>
      </c>
      <c r="DN212" s="535">
        <f>Sheet1!AB210-DM212</f>
        <v>-0.25000000000000711</v>
      </c>
      <c r="DO212" s="743">
        <f t="shared" si="475"/>
        <v>-4.5930553003859466E-3</v>
      </c>
      <c r="DP212" s="535">
        <f>(VLOOKUP(Sheet1!DC210,hhdcap_wcm,4)-(((VLOOKUP(Sheet1!DC210,hhdcap_wcm,3)-Sheet1!DC210)/(VLOOKUP(Sheet1!DC210,hhdcap_wcm,3)-VLOOKUP(Sheet1!DC210,hhdcap_wcm,1)))*(VLOOKUP(Sheet1!DC210,hhdcap_wcm,4)-VLOOKUP(Sheet1!DC210,hhdcap_wcm,2))))</f>
        <v>45366.000000110536</v>
      </c>
      <c r="DQ212" s="535">
        <f t="shared" si="476"/>
        <v>-130.79999999999563</v>
      </c>
      <c r="DR212" s="535">
        <f t="shared" si="477"/>
        <v>-65.960665658091585</v>
      </c>
      <c r="DS212" s="535">
        <f>Sheet1!EA210*AFtoMG</f>
        <v>0</v>
      </c>
      <c r="DT212" s="535">
        <f>Sheet1!EB210*AFtoMG</f>
        <v>0</v>
      </c>
      <c r="DU212" s="535">
        <f>Sheet1!EC210*AFtoMG</f>
        <v>0</v>
      </c>
      <c r="DV212" s="535">
        <f>Sheet1!ED210*AFtoMG</f>
        <v>0</v>
      </c>
      <c r="DW212" s="535">
        <f t="shared" si="478"/>
        <v>0</v>
      </c>
      <c r="DX212" s="535">
        <f t="shared" si="479"/>
        <v>0</v>
      </c>
      <c r="DY212" s="535">
        <f t="shared" si="480"/>
        <v>2831.5725610524869</v>
      </c>
      <c r="DZ212" s="535">
        <f t="shared" si="481"/>
        <v>8687.2646173090307</v>
      </c>
      <c r="EA212" s="535"/>
      <c r="EB212" s="521">
        <f>IF(OR(B212&lt;FV212,B212&gt;FW212),(MIN(BF212+BY212+CT212+MAX(Sheet1!AA210+AQ212-73,0),K212)),0)</f>
        <v>0</v>
      </c>
      <c r="EC212" s="535"/>
      <c r="ED212" s="535">
        <f t="shared" si="482"/>
        <v>20.734326658092961</v>
      </c>
      <c r="EE212" s="535"/>
      <c r="EF212" s="535">
        <f>Sheet1!EH210+Sheet1!EI210+Sheet1!EJ210+Sheet1!EK210</f>
        <v>26</v>
      </c>
      <c r="EG212" s="1019">
        <f t="shared" si="550"/>
        <v>40.222000000000001</v>
      </c>
      <c r="EH212" s="521">
        <f t="shared" si="483"/>
        <v>0</v>
      </c>
      <c r="EI212" s="535">
        <f>IF(Sheet1!ET210=1,SUM('Calculations II'!AT212:BA212)+'Calculations II'!BC212+Sheet1!BV210+'Calculations II'!BE212+AP212,'Calculations II'!BK212)</f>
        <v>76.559435341907033</v>
      </c>
      <c r="EJ212" s="535">
        <f ca="1">EI212+'Calculations II'!D212+'Calculations II'!E212+'Calculations II'!O212</f>
        <v>72.767863153583392</v>
      </c>
      <c r="EK212" s="535"/>
      <c r="EL212" s="535"/>
      <c r="EM212" s="535">
        <f t="shared" si="484"/>
        <v>42936</v>
      </c>
      <c r="EN212" s="535">
        <f t="shared" si="485"/>
        <v>-26</v>
      </c>
      <c r="EO212" s="535">
        <f t="shared" si="486"/>
        <v>-40.222000000000001</v>
      </c>
      <c r="EP212" s="535">
        <v>0</v>
      </c>
      <c r="EQ212" s="535">
        <v>0</v>
      </c>
      <c r="ER212" s="535">
        <v>0</v>
      </c>
      <c r="ES212" s="521">
        <f t="shared" si="516"/>
        <v>0.27707208441295106</v>
      </c>
      <c r="ET212" s="535">
        <f>-(VLOOKUP(Sheet1!BQ210,Lookup!$O$4:$Q$262,2)-VLOOKUP(Sheet1!BQ209,Lookup!$O$4:$Q$262,2))/1000000</f>
        <v>0.41568505408683792</v>
      </c>
      <c r="EU212" s="535">
        <f>-(VLOOKUP(Sheet1!BR210,Lookup!$O$4:$Q$262,3)-VLOOKUP(Sheet1!BR209,Lookup!$O$4:$Q$262,3))/1000000</f>
        <v>-0.13861296967388689</v>
      </c>
      <c r="EV212" s="535"/>
      <c r="EW212" s="535"/>
      <c r="EX212" s="535"/>
      <c r="EY212" s="535"/>
      <c r="EZ212" s="535"/>
      <c r="FA212" s="535"/>
      <c r="FB212" s="535"/>
      <c r="FC212" s="535"/>
      <c r="FD212" s="567">
        <f t="shared" si="504"/>
        <v>1138.1402777776993</v>
      </c>
      <c r="FE212" s="567" t="e">
        <f t="shared" si="488"/>
        <v>#N/A</v>
      </c>
      <c r="FF212" s="568" t="e">
        <f t="shared" si="489"/>
        <v>#N/A</v>
      </c>
      <c r="FG212" s="569" t="s">
        <v>656</v>
      </c>
      <c r="FH212" s="569" t="s">
        <v>656</v>
      </c>
      <c r="FI212" s="567" t="e">
        <v>#N/A</v>
      </c>
      <c r="FJ212" s="725">
        <v>21906</v>
      </c>
      <c r="FK212" s="535"/>
      <c r="FL212" s="1015">
        <f t="shared" si="503"/>
        <v>42.360060514372158</v>
      </c>
      <c r="FM212" s="535"/>
      <c r="FN212" s="535"/>
      <c r="FO212" s="535">
        <f>O212+((Sheet1!CS210)*GPMtoMGD)</f>
        <v>96.080511999999999</v>
      </c>
      <c r="FP212" s="535">
        <f>IF(Sheet1!AA210+AQ212&lt;=Calculation!N212,AQ212,Calculation!N212-Sheet1!AA210)</f>
        <v>33.445673341907032</v>
      </c>
      <c r="FQ212" s="535">
        <f>(Sheet1!BP210+Sheet1!BO210)/694.4</f>
        <v>3.7815380184331802</v>
      </c>
      <c r="FR212" s="541"/>
      <c r="FS212" s="541"/>
      <c r="FT212" s="541"/>
      <c r="FU212" s="541"/>
      <c r="FV212" s="1109">
        <f t="shared" si="517"/>
        <v>42918</v>
      </c>
      <c r="FW212" s="1109">
        <f t="shared" si="518"/>
        <v>43027</v>
      </c>
      <c r="FX212" s="541"/>
      <c r="FY212" s="541">
        <f>Sheet1!DA210-Sheet1!CZ210-Sheet1!AE210</f>
        <v>-151.91185999999999</v>
      </c>
      <c r="FZ212" s="535">
        <f t="shared" si="551"/>
        <v>-0.61492984671724504</v>
      </c>
      <c r="GA212" s="535"/>
      <c r="GB212" s="535" t="str">
        <f t="shared" si="519"/>
        <v>n</v>
      </c>
      <c r="GC212" s="539">
        <f t="shared" si="520"/>
        <v>42782</v>
      </c>
      <c r="GD212" s="1109">
        <f t="shared" si="521"/>
        <v>42904</v>
      </c>
      <c r="GE212" s="535">
        <f t="shared" si="537"/>
        <v>6520</v>
      </c>
      <c r="GF212" s="1109">
        <f t="shared" si="522"/>
        <v>42909</v>
      </c>
      <c r="GG212" s="535">
        <f t="shared" si="564"/>
        <v>3260</v>
      </c>
      <c r="GH212" s="539">
        <f t="shared" si="523"/>
        <v>43040</v>
      </c>
      <c r="GJ212" s="521">
        <f t="shared" si="524"/>
        <v>0</v>
      </c>
      <c r="GK212" s="535" t="str">
        <f t="shared" si="490"/>
        <v/>
      </c>
      <c r="GL212" s="535">
        <f t="shared" si="525"/>
        <v>0</v>
      </c>
      <c r="GM212" s="535" t="str">
        <f t="shared" si="526"/>
        <v/>
      </c>
      <c r="GN212" s="535">
        <f>IF(GK212="P",Lookup!$M$12,IF(GK212="PP",Lookup!$M$13,IF(GK212="PPP",Lookup!$M$14,IF(GK212="T",Lookup!$M$15,IF(GK212="TP",Lookup!$M$16,IF(GK212="TPP",Lookup!$M$17,IF(GK212="TPPP",Lookup!$M$18,0)))))))*GJ212</f>
        <v>0</v>
      </c>
      <c r="GO212" s="535">
        <f t="shared" si="527"/>
        <v>0</v>
      </c>
      <c r="GP212" s="535">
        <f t="shared" si="491"/>
        <v>3998.626666666667</v>
      </c>
      <c r="GQ212" s="974">
        <f t="shared" si="500"/>
        <v>1303.3333333333335</v>
      </c>
      <c r="GR212" s="535"/>
      <c r="GS212" s="535">
        <f t="shared" si="528"/>
        <v>0</v>
      </c>
      <c r="GT212" s="535" t="str">
        <f t="shared" si="529"/>
        <v/>
      </c>
      <c r="GU212" s="535">
        <f>IF(GK212="P",Lookup!$N$12,IF(GK212="PP",Lookup!$N$13,IF(GK212="PPP",Lookup!$N$14,IF(GK212="T",Lookup!$N$15,IF(GK212="TP",Lookup!$N$16,IF(GK212="TPP",Lookup!$N$17,IF(GK212="TPPP",Lookup!$N$18,0)))))))*GJ212</f>
        <v>0</v>
      </c>
      <c r="GV212" s="535">
        <f t="shared" si="530"/>
        <v>0</v>
      </c>
      <c r="GW212" s="535">
        <f t="shared" si="492"/>
        <v>1803.6677988801753</v>
      </c>
      <c r="GX212" s="974">
        <f t="shared" si="501"/>
        <v>587.89693574973114</v>
      </c>
      <c r="GY212" s="535"/>
      <c r="GZ212" s="535">
        <f t="shared" si="531"/>
        <v>0</v>
      </c>
      <c r="HA212" s="535" t="str">
        <f t="shared" si="532"/>
        <v/>
      </c>
      <c r="HB212" s="535">
        <f>IF(GK212="P",Lookup!$N$12,IF(GK212="PP",Lookup!$N$13,IF(GK212="PPP",Lookup!$N$14,IF(GK212="T",Lookup!$N$15,IF(GK212="TP",Lookup!$N$16,IF(GK212="TPP",Lookup!$N$17,IF(GK212="TPPP",Lookup!$N$18,0)))))))*GJ212</f>
        <v>0</v>
      </c>
      <c r="HC212" s="521">
        <f t="shared" si="493"/>
        <v>0</v>
      </c>
      <c r="HD212" s="535">
        <f t="shared" si="494"/>
        <v>1559.6939580528588</v>
      </c>
      <c r="HE212" s="535">
        <f t="shared" si="535"/>
        <v>508.37482335490836</v>
      </c>
      <c r="HF212" s="535"/>
      <c r="HG212" s="535">
        <f t="shared" si="533"/>
        <v>0</v>
      </c>
      <c r="HH212" s="535" t="str">
        <f t="shared" si="534"/>
        <v/>
      </c>
      <c r="HI212" s="535">
        <f>IF(GK212="P",Lookup!$N$12,IF(GK212="PP",Lookup!$N$13,IF(GK212="PPP",Lookup!$N$14,IF(GK212="T",Lookup!$N$15,IF(GK212="TP",Lookup!$N$16,IF(GK212="TPP",Lookup!$N$17,IF(GK212="TPPP",Lookup!$N$18,0)))))))*GJ212</f>
        <v>0</v>
      </c>
      <c r="HJ212" s="521">
        <f t="shared" si="495"/>
        <v>0</v>
      </c>
      <c r="HK212" s="535">
        <f t="shared" si="496"/>
        <v>1325.276193709328</v>
      </c>
      <c r="HL212" s="535">
        <f t="shared" si="536"/>
        <v>431.96746861451368</v>
      </c>
      <c r="HM212" s="535"/>
      <c r="HN212" s="541"/>
      <c r="HO212" s="541"/>
      <c r="HP212" s="541"/>
      <c r="HQ212" s="541">
        <f>IF(AND(B212&gt;=$FV$4,B212&lt;=$FW$4),MAX(110/1.02+$HQ$6+MIN(113/1.02,G212),IF($HV$6-(Sheet1!DA210-Sheet1!DB210)+MIN(113/1.02,G212)&lt;G212+FL212,$HV$6-(Sheet1!DA210-Sheet1!DB210)+MIN(113/1.02,G212),G212+FL212)),MIN(110/1.02+$HQ$6+113/1.02,G212))</f>
        <v>269.78431372549016</v>
      </c>
      <c r="HR212" s="541">
        <f t="shared" si="552"/>
        <v>275.17999999999995</v>
      </c>
      <c r="HS212" s="541">
        <f>HR212+(Sheet1!DA210-Sheet1!DB210)</f>
        <v>381.17999999999995</v>
      </c>
      <c r="HT212" s="541">
        <f t="shared" si="553"/>
        <v>103.10085665993019</v>
      </c>
      <c r="HU212" s="541">
        <f t="shared" si="554"/>
        <v>278.07914334006978</v>
      </c>
      <c r="HV212" s="541">
        <f t="shared" si="555"/>
        <v>0</v>
      </c>
      <c r="HW212" s="541" t="str">
        <f t="shared" si="556"/>
        <v/>
      </c>
      <c r="HX212" s="541">
        <f t="shared" si="557"/>
        <v>2.9936862745098551</v>
      </c>
      <c r="HY212" s="541">
        <f>Sheet1!CZ210</f>
        <v>313</v>
      </c>
      <c r="HZ212" s="541">
        <f t="shared" si="558"/>
        <v>40.222000000000001</v>
      </c>
      <c r="IA212" s="541">
        <f t="shared" si="559"/>
        <v>103.10085665993019</v>
      </c>
      <c r="IB212" s="541">
        <f t="shared" si="560"/>
        <v>272.77800000000002</v>
      </c>
      <c r="IC212" s="1019" t="str">
        <f t="shared" si="561"/>
        <v/>
      </c>
      <c r="ID212" s="541">
        <f t="shared" si="562"/>
        <v>169.67714334006985</v>
      </c>
      <c r="IE212" s="541">
        <f>Sheet1!DB210</f>
        <v>198</v>
      </c>
      <c r="IF212" s="533">
        <f>Sheet1!DA210</f>
        <v>304</v>
      </c>
      <c r="IH212" s="541">
        <f>IF(AND($B212&gt;=$GC212,$B212&lt;=$GH212,$DR212&lt;0)+N("only adjusted when pool is drawn down during storage season"),Sheet1!$DB210+$DR212+N("Palmer minus all storage release"),Sheet1!$DB210)</f>
        <v>132.03933434190841</v>
      </c>
      <c r="II212" s="541">
        <f>IF(AND($B212&gt;=$GC212,$B212&lt;=$GH212,$DR212&lt;0)+N("only adjusted when pool is drawn down during storage season"),Sheet1!$DA210+$DR212+N("Auburn minus all storage release"),Sheet1!$DA210)</f>
        <v>238.03933434190841</v>
      </c>
    </row>
    <row r="213" spans="1:243" x14ac:dyDescent="0.25">
      <c r="A213" s="553" t="s">
        <v>8</v>
      </c>
      <c r="B213" s="531">
        <v>42937</v>
      </c>
      <c r="C213" s="536">
        <v>0</v>
      </c>
      <c r="D213" s="506">
        <f t="shared" si="506"/>
        <v>200</v>
      </c>
      <c r="E213" s="506">
        <f t="shared" si="507"/>
        <v>400</v>
      </c>
      <c r="F213" s="506">
        <v>250</v>
      </c>
      <c r="G213" s="535">
        <f>DR213+Sheet1!CZ211</f>
        <v>231.03832576890989</v>
      </c>
      <c r="H213" s="1074">
        <f t="shared" si="563"/>
        <v>0</v>
      </c>
      <c r="I213" s="534">
        <f>IF(Sheet1!DA211&gt;=E213,(Sheet1!DA211-E213+P213)*CFStoMGD,0)</f>
        <v>0</v>
      </c>
      <c r="J213" s="995">
        <f>IF(Sheet1!DB211&gt;=D213,(Sheet1!DB211-D213+P213)*CFStoMGD,0)</f>
        <v>0</v>
      </c>
      <c r="K213" s="818">
        <f t="shared" si="538"/>
        <v>0</v>
      </c>
      <c r="L213" s="535">
        <f>Sheet1!AA211+Sheet1!AB211-Sheet1!L211+(Sheet1!DA211-F213)*CFStoMGD-S213-T213-U213</f>
        <v>98.884527272727269</v>
      </c>
      <c r="M213" s="535">
        <f t="shared" si="436"/>
        <v>152.33003725256381</v>
      </c>
      <c r="N213" s="824">
        <f>IF(Sheet1!DA211&gt;=F213,MIN(113*CFStoMGD,MIN(MAX(L213,0),MAX(M213,0))),0)</f>
        <v>73.043199999999999</v>
      </c>
      <c r="O213" s="538">
        <f>Sheet1!AA211+Sheet1!AB211</f>
        <v>88.63</v>
      </c>
      <c r="P213" s="538">
        <f t="shared" si="437"/>
        <v>137.11061000000001</v>
      </c>
      <c r="Q213" s="812">
        <f t="shared" si="539"/>
        <v>66.564527272727275</v>
      </c>
      <c r="R213" s="812">
        <f t="shared" si="508"/>
        <v>22.5</v>
      </c>
      <c r="S213" s="812">
        <f t="shared" si="509"/>
        <v>0</v>
      </c>
      <c r="T213" s="812">
        <f t="shared" si="510"/>
        <v>0</v>
      </c>
      <c r="U213" s="812">
        <f>IF(AND(B213&gt;=FV213,B213&lt;=FW213),ED213+Sheet1!EH211,0)</f>
        <v>22.065472727272724</v>
      </c>
      <c r="V213" s="812"/>
      <c r="W213" s="812">
        <f t="shared" si="511"/>
        <v>0</v>
      </c>
      <c r="X213" s="812">
        <f t="shared" si="512"/>
        <v>0</v>
      </c>
      <c r="Y213" s="812" t="str">
        <f t="shared" si="513"/>
        <v>FALSE</v>
      </c>
      <c r="Z213" s="812">
        <f t="shared" si="514"/>
        <v>88.63</v>
      </c>
      <c r="AA213" s="812">
        <f t="shared" si="515"/>
        <v>88.63</v>
      </c>
      <c r="AB213" s="1059">
        <f t="shared" si="540"/>
        <v>102.97532369090909</v>
      </c>
      <c r="AC213" s="538">
        <f>Sheet1!Y211*MGDtoCFS</f>
        <v>59.095400000000005</v>
      </c>
      <c r="AD213" s="538">
        <f>Sheet1!Z211*MGDtoCFS</f>
        <v>83.816459999999992</v>
      </c>
      <c r="AE213" s="538">
        <f>Sheet1!AA211*MGDtoCFS</f>
        <v>52.164839999999998</v>
      </c>
      <c r="AF213" s="538">
        <f>Sheet1!AB211*MGDtoCFS</f>
        <v>84.945769999999996</v>
      </c>
      <c r="AG213" s="538">
        <f>Sheet1!L211*MGDtoCFS</f>
        <v>0</v>
      </c>
      <c r="AH213" s="521">
        <f t="shared" si="438"/>
        <v>22.5</v>
      </c>
      <c r="AI213" s="1059">
        <f t="shared" si="439"/>
        <v>34.807499999999997</v>
      </c>
      <c r="AJ213" s="535">
        <f t="shared" si="440"/>
        <v>0</v>
      </c>
      <c r="AK213" s="535">
        <f t="shared" si="441"/>
        <v>0</v>
      </c>
      <c r="AL213" s="535">
        <f>(VLOOKUP(Sheet1!DC211,hhdcap_wcm,4)-(((VLOOKUP(Sheet1!DC211,hhdcap_wcm,3)-Sheet1!DC211)/(VLOOKUP(Sheet1!DC211,hhdcap_wcm,3)-VLOOKUP(Sheet1!DC211,hhdcap_wcm,1)))*(VLOOKUP(Sheet1!DC211,hhdcap_wcm,4)-VLOOKUP(Sheet1!DC211,hhdcap_wcm,2))))</f>
        <v>45223.300000110285</v>
      </c>
      <c r="AM213" s="535">
        <f t="shared" si="442"/>
        <v>-142.70000000025175</v>
      </c>
      <c r="AN213" s="1035">
        <f t="shared" si="443"/>
        <v>2809.0725610524869</v>
      </c>
      <c r="AO213" s="535">
        <f t="shared" si="444"/>
        <v>8618.23461730903</v>
      </c>
      <c r="AP213" s="535">
        <f>Sheet1!BA211+Sheet1!BB211+Sheet1!BN211+CD213</f>
        <v>33.9</v>
      </c>
      <c r="AQ213" s="535">
        <f>Sheet1!BN211+(DO213*Sheet1!BN211)</f>
        <v>33.844527272727269</v>
      </c>
      <c r="AR213" s="535">
        <f>Sheet1!BA211+CD213</f>
        <v>0</v>
      </c>
      <c r="AS213" s="535">
        <f>Sheet1!BA211+Sheet1!BB211+CD213</f>
        <v>0</v>
      </c>
      <c r="AT213" s="649">
        <f>0</f>
        <v>0</v>
      </c>
      <c r="AU213" s="974">
        <f>BA213+MAX(Sheet1!EH211,(O213-Q213-ED213-S213))</f>
        <v>1</v>
      </c>
      <c r="AV213" s="535">
        <f>IF(OR(B213&gt;=GD213,B213&lt;GC213),0,15/36*K213-MAX(0,64.6-(137.6-(Sheet1!AA211+Sheet1!AB211))))</f>
        <v>0</v>
      </c>
      <c r="AW213" s="1029"/>
      <c r="AX213" s="649"/>
      <c r="AY213" s="649">
        <f t="shared" si="541"/>
        <v>0</v>
      </c>
      <c r="AZ213" s="649">
        <f t="shared" si="542"/>
        <v>0</v>
      </c>
      <c r="BA213" s="1059">
        <f t="shared" si="543"/>
        <v>0</v>
      </c>
      <c r="BB213" s="1019">
        <f t="shared" si="445"/>
        <v>1302.3333333333335</v>
      </c>
      <c r="BC213" s="1041">
        <f t="shared" si="544"/>
        <v>0</v>
      </c>
      <c r="BD213" s="1019">
        <f ca="1">IF(B213&gt;(Summary!$A$1-1),#N/A,BB213*MGtoAF)</f>
        <v>3995.5586666666672</v>
      </c>
      <c r="BE213" s="535">
        <f>Sheet1!BG211+Sheet1!BH211+Sheet1!BI211-BM213</f>
        <v>2.88</v>
      </c>
      <c r="BF213" s="535">
        <f t="shared" si="446"/>
        <v>2.8752872727272725</v>
      </c>
      <c r="BG213" s="535">
        <f>IF(Sheet1!EP211="FM",BM213,0)</f>
        <v>0</v>
      </c>
      <c r="BH213" s="535">
        <f t="shared" si="447"/>
        <v>0</v>
      </c>
      <c r="BI213" s="535">
        <f>IF(Sheet1!EP211="OTHER",BM213,0)</f>
        <v>0</v>
      </c>
      <c r="BJ213" s="535">
        <f t="shared" si="448"/>
        <v>0</v>
      </c>
      <c r="BK213" s="535">
        <f t="shared" si="449"/>
        <v>2.88</v>
      </c>
      <c r="BL213" s="535">
        <f t="shared" si="450"/>
        <v>2.8752872727272725</v>
      </c>
      <c r="BM213" s="535">
        <f>IF(OR(Sheet1!EP211="FM", Sheet1!EP211="OTHER"),SUM(Sheet1!BG211:'Sheet1'!BI211),0)</f>
        <v>0</v>
      </c>
      <c r="BN213" s="521">
        <f>IF(AND($B213&gt;=$FV213,$B213&lt;=$FW213),MAX(BF213,Sheet1!EI211,0),MAX(BF213-(7/36)*$K213,0))</f>
        <v>3</v>
      </c>
      <c r="BO213" s="535">
        <f t="shared" si="497"/>
        <v>0</v>
      </c>
      <c r="BP213" s="521">
        <f t="shared" si="452"/>
        <v>0</v>
      </c>
      <c r="BQ213" s="521">
        <f>IF(AND($O213&gt;0,Sheet1!EM211=1),(1-($O213-Sheet1!$L211)/$O213)*BL213,0)</f>
        <v>0</v>
      </c>
      <c r="BR213" s="521">
        <f>IF(AND(Sheet1!$L211=0,Sheet1!$L210=0, Calculation!BK213&lt;Sheet1!$EI211-0.1,Sheet1!$EI211=Sheet1!$EI210,Sheet1!$EI211=Sheet1!$EI212),BL213-BQ213,BL213-BQ213)</f>
        <v>2.8752872727272725</v>
      </c>
      <c r="BS213" s="1035" t="str">
        <f t="shared" si="545"/>
        <v/>
      </c>
      <c r="BT213" s="1035">
        <f t="shared" si="546"/>
        <v>0</v>
      </c>
      <c r="BU213" s="535">
        <f t="shared" si="453"/>
        <v>584.89693574973114</v>
      </c>
      <c r="BV213" s="535"/>
      <c r="BW213" s="535">
        <f ca="1">IF(B213&gt;(Summary!$A$1-1),#N/A,BU213*MGtoAF)</f>
        <v>1794.4637988801751</v>
      </c>
      <c r="BX213" s="535">
        <f>Sheet1!BC211+Sheet1!BD211+Sheet1!BE211+Sheet1!BF211-CG213-CH213</f>
        <v>6.89</v>
      </c>
      <c r="BY213" s="535">
        <f t="shared" si="454"/>
        <v>6.8787254545454539</v>
      </c>
      <c r="BZ213" s="535">
        <f>IF(Sheet1!EQ211="FM",CH213,0)</f>
        <v>0</v>
      </c>
      <c r="CA213" s="535">
        <f t="shared" si="455"/>
        <v>0</v>
      </c>
      <c r="CB213" s="535">
        <f>IF(Sheet1!EQ211="OTHER",CH213,0)</f>
        <v>0</v>
      </c>
      <c r="CC213" s="535">
        <f t="shared" si="456"/>
        <v>0</v>
      </c>
      <c r="CD213" s="535">
        <f t="shared" si="457"/>
        <v>0</v>
      </c>
      <c r="CE213" s="535">
        <f t="shared" si="458"/>
        <v>6.89</v>
      </c>
      <c r="CF213" s="535">
        <f t="shared" si="459"/>
        <v>6.8787254545454539</v>
      </c>
      <c r="CG213" s="535">
        <f>IF(Sheet1!EQ211="CWA",SUM(Sheet1!BC211:'Sheet1'!BF211),0)</f>
        <v>0</v>
      </c>
      <c r="CH213" s="535">
        <f>IF(OR(Sheet1!EQ211="FM", Sheet1!EQ211="OTHER"),SUM(Sheet1!BC211:'Sheet1'!BF211),0)</f>
        <v>0</v>
      </c>
      <c r="CI213" s="521">
        <f>IF(AND($B213&gt;=$FV213,$B213&lt;=$FW213),MAX(CF213,Sheet1!EJ211,0),MAX(CF213-(7/36)*$K213,0))</f>
        <v>7</v>
      </c>
      <c r="CJ213" s="535">
        <f t="shared" si="499"/>
        <v>0</v>
      </c>
      <c r="CK213" s="521">
        <f t="shared" si="461"/>
        <v>0</v>
      </c>
      <c r="CL213" s="521">
        <f>IF(AND($O213&gt;0,Sheet1!EN211=1),(1-($O213-Sheet1!$L211)/$O213)*CF213,0)</f>
        <v>0</v>
      </c>
      <c r="CM213" s="521">
        <f>IF(AND(Sheet1!$L211=0,Sheet1!$L210=0, Calculation!CE213&lt;Sheet1!EJ211-0.1,Sheet1!EJ211=Sheet1!EJ210,Sheet1!EJ211=Sheet1!EJ212),CF213-CL213,CF213-CL213)</f>
        <v>6.8787254545454539</v>
      </c>
      <c r="CN213" s="1040" t="str">
        <f t="shared" si="547"/>
        <v/>
      </c>
      <c r="CO213" s="1035">
        <f t="shared" si="548"/>
        <v>0</v>
      </c>
      <c r="CP213" s="535">
        <f t="shared" si="462"/>
        <v>501.37482335490836</v>
      </c>
      <c r="CQ213" s="535"/>
      <c r="CR213" s="535">
        <f ca="1">IF(B213&gt;(Summary!$A$1-1),#N/A,CP213*MGtoAF)</f>
        <v>1538.2179580528589</v>
      </c>
      <c r="CS213" s="535">
        <f>Sheet1!BK211+Sheet1!BL211+Sheet1!BM211-Sheet1!ER211-DA213</f>
        <v>11.33</v>
      </c>
      <c r="CT213" s="535">
        <f t="shared" si="463"/>
        <v>11.311459999999999</v>
      </c>
      <c r="CU213" s="535">
        <f>IF(Sheet1!ER211="FM",DA213,0)</f>
        <v>0</v>
      </c>
      <c r="CV213" s="535">
        <f t="shared" si="464"/>
        <v>0</v>
      </c>
      <c r="CW213" s="535">
        <f>IF(Sheet1!ER211="OTHER",DA213,0)</f>
        <v>0</v>
      </c>
      <c r="CX213" s="535">
        <f t="shared" si="465"/>
        <v>0</v>
      </c>
      <c r="CY213" s="535">
        <f t="shared" si="466"/>
        <v>11.33</v>
      </c>
      <c r="CZ213" s="535">
        <f t="shared" si="467"/>
        <v>11.311459999999999</v>
      </c>
      <c r="DA213" s="535">
        <f>IF(OR(Sheet1!ER211="FM", Sheet1!ER211="OTHER"),SUM(Sheet1!BK211:'Sheet1'!BM211),0)</f>
        <v>0</v>
      </c>
      <c r="DB213" s="1011">
        <f>IF(AND($B213&gt;=$FV213,$B213&lt;=$FW213),MAX($CT213,Sheet1!EK211,0),MAX($CT213-(7/36)*$K213,0))</f>
        <v>11.5</v>
      </c>
      <c r="DC213" s="1012">
        <f t="shared" si="498"/>
        <v>0</v>
      </c>
      <c r="DD213" s="1011">
        <f t="shared" si="469"/>
        <v>0</v>
      </c>
      <c r="DE213" s="521">
        <f>IF(AND($O213&gt;0,Sheet1!EO211=1),(1-($O213-Sheet1!$L211)/$O213)*CZ213,0)</f>
        <v>0</v>
      </c>
      <c r="DF213" s="521">
        <f>IF(AND(Sheet1!$L211=0,Sheet1!$L210=0, Calculation!CY213&lt;Sheet1!$EK211-0.1,Sheet1!$EK211=Sheet1!$EK210,Sheet1!$EK211=Sheet1!$EK212),CZ213-DE213,CZ213-DE213)</f>
        <v>11.311459999999999</v>
      </c>
      <c r="DG213" s="1040">
        <f t="shared" si="549"/>
        <v>0</v>
      </c>
      <c r="DH213" s="649">
        <f t="shared" si="470"/>
        <v>21.1</v>
      </c>
      <c r="DI213" s="535">
        <f t="shared" si="471"/>
        <v>420.46746861451368</v>
      </c>
      <c r="DJ213" s="649">
        <f t="shared" si="472"/>
        <v>21.065472727272727</v>
      </c>
      <c r="DK213" s="535">
        <f ca="1">IF(B213&gt;(Summary!$A$1-1),#N/A,DI213*MGtoAF)</f>
        <v>1289.9941937093281</v>
      </c>
      <c r="DL213" s="649">
        <f t="shared" si="473"/>
        <v>21.099999999999998</v>
      </c>
      <c r="DM213" s="535">
        <f t="shared" si="474"/>
        <v>55</v>
      </c>
      <c r="DN213" s="535">
        <f>Sheet1!AB211-DM213</f>
        <v>-9.0000000000003411E-2</v>
      </c>
      <c r="DO213" s="743">
        <f t="shared" si="475"/>
        <v>-1.6363636363636983E-3</v>
      </c>
      <c r="DP213" s="535">
        <f>(VLOOKUP(Sheet1!DC211,hhdcap_wcm,4)-(((VLOOKUP(Sheet1!DC211,hhdcap_wcm,3)-Sheet1!DC211)/(VLOOKUP(Sheet1!DC211,hhdcap_wcm,3)-VLOOKUP(Sheet1!DC211,hhdcap_wcm,1)))*(VLOOKUP(Sheet1!DC211,hhdcap_wcm,4)-VLOOKUP(Sheet1!DC211,hhdcap_wcm,2))))</f>
        <v>45223.300000110285</v>
      </c>
      <c r="DQ213" s="535">
        <f t="shared" si="476"/>
        <v>-142.70000000025175</v>
      </c>
      <c r="DR213" s="535">
        <f t="shared" si="477"/>
        <v>-71.961674231090129</v>
      </c>
      <c r="DS213" s="535">
        <f>Sheet1!EA211*AFtoMG</f>
        <v>0</v>
      </c>
      <c r="DT213" s="535">
        <f>Sheet1!EB211*AFtoMG</f>
        <v>0</v>
      </c>
      <c r="DU213" s="535">
        <f>Sheet1!EC211*AFtoMG</f>
        <v>0</v>
      </c>
      <c r="DV213" s="535">
        <f>Sheet1!ED211*AFtoMG</f>
        <v>0</v>
      </c>
      <c r="DW213" s="535">
        <f t="shared" si="478"/>
        <v>0</v>
      </c>
      <c r="DX213" s="535">
        <f t="shared" si="479"/>
        <v>0</v>
      </c>
      <c r="DY213" s="535">
        <f t="shared" si="480"/>
        <v>2809.0725610524869</v>
      </c>
      <c r="DZ213" s="535">
        <f t="shared" si="481"/>
        <v>8618.23461730903</v>
      </c>
      <c r="EA213" s="535"/>
      <c r="EB213" s="521">
        <f>IF(OR(B213&lt;FV213,B213&gt;FW213),(MIN(BF213+BY213+CT213+MAX(Sheet1!AA211+AQ213-73,0),K213)),0)</f>
        <v>0</v>
      </c>
      <c r="EC213" s="535"/>
      <c r="ED213" s="535">
        <f t="shared" si="482"/>
        <v>21.065472727272724</v>
      </c>
      <c r="EE213" s="535"/>
      <c r="EF213" s="535">
        <f>Sheet1!EH211+Sheet1!EI211+Sheet1!EJ211+Sheet1!EK211</f>
        <v>22.5</v>
      </c>
      <c r="EG213" s="1019">
        <f t="shared" si="550"/>
        <v>34.807499999999997</v>
      </c>
      <c r="EH213" s="521">
        <f t="shared" si="483"/>
        <v>0</v>
      </c>
      <c r="EI213" s="535">
        <f>IF(Sheet1!ET211=1,SUM('Calculations II'!AT213:BA213)+'Calculations II'!BC213+Sheet1!BV211+'Calculations II'!BE213+AP213,'Calculations II'!BK213)</f>
        <v>73.340667272727273</v>
      </c>
      <c r="EJ213" s="535">
        <f ca="1">EI213+'Calculations II'!D213+'Calculations II'!E213+'Calculations II'!O213</f>
        <v>76.891225879660936</v>
      </c>
      <c r="EK213" s="535"/>
      <c r="EL213" s="535"/>
      <c r="EM213" s="535">
        <f t="shared" si="484"/>
        <v>42937</v>
      </c>
      <c r="EN213" s="535">
        <f t="shared" si="485"/>
        <v>-22.5</v>
      </c>
      <c r="EO213" s="535">
        <f t="shared" si="486"/>
        <v>-34.807499999999997</v>
      </c>
      <c r="EP213" s="535">
        <v>0</v>
      </c>
      <c r="EQ213" s="535">
        <v>0</v>
      </c>
      <c r="ER213" s="535">
        <v>0</v>
      </c>
      <c r="ES213" s="521">
        <f t="shared" si="516"/>
        <v>0.41581967573222145</v>
      </c>
      <c r="ET213" s="535">
        <f>-(VLOOKUP(Sheet1!BQ211,Lookup!$O$4:$Q$262,2)-VLOOKUP(Sheet1!BQ210,Lookup!$O$4:$Q$262,2))/1000000</f>
        <v>0</v>
      </c>
      <c r="EU213" s="535">
        <f>-(VLOOKUP(Sheet1!BR211,Lookup!$O$4:$Q$262,3)-VLOOKUP(Sheet1!BR210,Lookup!$O$4:$Q$262,3))/1000000</f>
        <v>0.41581967573222145</v>
      </c>
      <c r="EV213" s="535"/>
      <c r="EW213" s="535"/>
      <c r="EX213" s="535"/>
      <c r="EY213" s="535"/>
      <c r="EZ213" s="535"/>
      <c r="FA213" s="535"/>
      <c r="FB213" s="535"/>
      <c r="FC213" s="535"/>
      <c r="FD213" s="567">
        <f t="shared" si="504"/>
        <v>1138.0236111110328</v>
      </c>
      <c r="FE213" s="567" t="e">
        <f t="shared" si="488"/>
        <v>#N/A</v>
      </c>
      <c r="FF213" s="568" t="e">
        <f t="shared" si="489"/>
        <v>#N/A</v>
      </c>
      <c r="FG213" s="569" t="s">
        <v>656</v>
      </c>
      <c r="FH213" s="569" t="s">
        <v>656</v>
      </c>
      <c r="FI213" s="567" t="e">
        <v>#N/A</v>
      </c>
      <c r="FJ213" s="725">
        <v>21822</v>
      </c>
      <c r="FK213" s="535"/>
      <c r="FL213" s="1015">
        <f t="shared" si="503"/>
        <v>42.360060514372158</v>
      </c>
      <c r="FM213" s="535"/>
      <c r="FN213" s="535"/>
      <c r="FO213" s="535">
        <f>O213+((Sheet1!CS211)*GPMtoMGD)</f>
        <v>93.603471999999996</v>
      </c>
      <c r="FP213" s="535">
        <f>IF(Sheet1!AA211+AQ213&lt;=Calculation!N213,AQ213,Calculation!N213-Sheet1!AA211)</f>
        <v>33.844527272727269</v>
      </c>
      <c r="FQ213" s="535">
        <f>(Sheet1!BP211+Sheet1!BO211)/694.4</f>
        <v>4.1195276497695854</v>
      </c>
      <c r="FR213" s="541"/>
      <c r="FS213" s="541"/>
      <c r="FT213" s="541"/>
      <c r="FU213" s="541"/>
      <c r="FV213" s="1109">
        <f t="shared" si="517"/>
        <v>42918</v>
      </c>
      <c r="FW213" s="1109">
        <f t="shared" si="518"/>
        <v>43027</v>
      </c>
      <c r="FX213" s="541"/>
      <c r="FY213" s="541">
        <f>Sheet1!DA211-Sheet1!CZ211-Sheet1!AE211</f>
        <v>-140.11060999999998</v>
      </c>
      <c r="FZ213" s="535">
        <f t="shared" si="551"/>
        <v>-0.60643882149726969</v>
      </c>
      <c r="GA213" s="535"/>
      <c r="GB213" s="535" t="str">
        <f t="shared" si="519"/>
        <v>n</v>
      </c>
      <c r="GC213" s="539">
        <f t="shared" si="520"/>
        <v>42782</v>
      </c>
      <c r="GD213" s="1109">
        <f t="shared" si="521"/>
        <v>42904</v>
      </c>
      <c r="GE213" s="535">
        <f t="shared" si="537"/>
        <v>6520</v>
      </c>
      <c r="GF213" s="1109">
        <f t="shared" si="522"/>
        <v>42909</v>
      </c>
      <c r="GG213" s="535">
        <f t="shared" si="564"/>
        <v>3260</v>
      </c>
      <c r="GH213" s="539">
        <f t="shared" si="523"/>
        <v>43040</v>
      </c>
      <c r="GJ213" s="521">
        <f t="shared" si="524"/>
        <v>0</v>
      </c>
      <c r="GK213" s="535" t="str">
        <f t="shared" si="490"/>
        <v/>
      </c>
      <c r="GL213" s="535">
        <f t="shared" si="525"/>
        <v>0</v>
      </c>
      <c r="GM213" s="535" t="str">
        <f t="shared" si="526"/>
        <v/>
      </c>
      <c r="GN213" s="535">
        <f>IF(GK213="P",Lookup!$M$12,IF(GK213="PP",Lookup!$M$13,IF(GK213="PPP",Lookup!$M$14,IF(GK213="T",Lookup!$M$15,IF(GK213="TP",Lookup!$M$16,IF(GK213="TPP",Lookup!$M$17,IF(GK213="TPPP",Lookup!$M$18,0)))))))*GJ213</f>
        <v>0</v>
      </c>
      <c r="GO213" s="535">
        <f t="shared" si="527"/>
        <v>0</v>
      </c>
      <c r="GP213" s="535">
        <f t="shared" si="491"/>
        <v>3995.5586666666672</v>
      </c>
      <c r="GQ213" s="974">
        <f t="shared" si="500"/>
        <v>1302.3333333333335</v>
      </c>
      <c r="GR213" s="535"/>
      <c r="GS213" s="535">
        <f t="shared" si="528"/>
        <v>0</v>
      </c>
      <c r="GT213" s="535" t="str">
        <f t="shared" si="529"/>
        <v/>
      </c>
      <c r="GU213" s="535">
        <f>IF(GK213="P",Lookup!$N$12,IF(GK213="PP",Lookup!$N$13,IF(GK213="PPP",Lookup!$N$14,IF(GK213="T",Lookup!$N$15,IF(GK213="TP",Lookup!$N$16,IF(GK213="TPP",Lookup!$N$17,IF(GK213="TPPP",Lookup!$N$18,0)))))))*GJ213</f>
        <v>0</v>
      </c>
      <c r="GV213" s="535">
        <f t="shared" si="530"/>
        <v>0</v>
      </c>
      <c r="GW213" s="535">
        <f t="shared" si="492"/>
        <v>1794.4637988801751</v>
      </c>
      <c r="GX213" s="974">
        <f t="shared" si="501"/>
        <v>584.89693574973114</v>
      </c>
      <c r="GY213" s="535"/>
      <c r="GZ213" s="535">
        <f t="shared" si="531"/>
        <v>0</v>
      </c>
      <c r="HA213" s="535" t="str">
        <f t="shared" si="532"/>
        <v/>
      </c>
      <c r="HB213" s="535">
        <f>IF(GK213="P",Lookup!$N$12,IF(GK213="PP",Lookup!$N$13,IF(GK213="PPP",Lookup!$N$14,IF(GK213="T",Lookup!$N$15,IF(GK213="TP",Lookup!$N$16,IF(GK213="TPP",Lookup!$N$17,IF(GK213="TPPP",Lookup!$N$18,0)))))))*GJ213</f>
        <v>0</v>
      </c>
      <c r="HC213" s="521">
        <f t="shared" si="493"/>
        <v>0</v>
      </c>
      <c r="HD213" s="535">
        <f t="shared" si="494"/>
        <v>1538.2179580528589</v>
      </c>
      <c r="HE213" s="535">
        <f t="shared" si="535"/>
        <v>501.37482335490836</v>
      </c>
      <c r="HF213" s="535"/>
      <c r="HG213" s="535">
        <f t="shared" si="533"/>
        <v>0</v>
      </c>
      <c r="HH213" s="535" t="str">
        <f t="shared" si="534"/>
        <v/>
      </c>
      <c r="HI213" s="535">
        <f>IF(GK213="P",Lookup!$N$12,IF(GK213="PP",Lookup!$N$13,IF(GK213="PPP",Lookup!$N$14,IF(GK213="T",Lookup!$N$15,IF(GK213="TP",Lookup!$N$16,IF(GK213="TPP",Lookup!$N$17,IF(GK213="TPPP",Lookup!$N$18,0)))))))*GJ213</f>
        <v>0</v>
      </c>
      <c r="HJ213" s="521">
        <f t="shared" si="495"/>
        <v>0</v>
      </c>
      <c r="HK213" s="535">
        <f t="shared" si="496"/>
        <v>1289.9941937093281</v>
      </c>
      <c r="HL213" s="535">
        <f t="shared" si="536"/>
        <v>420.46746861451368</v>
      </c>
      <c r="HM213" s="535"/>
      <c r="HN213" s="541"/>
      <c r="HO213" s="541"/>
      <c r="HP213" s="541"/>
      <c r="HQ213" s="541">
        <f>IF(AND(B213&gt;=$FV$4,B213&lt;=$FW$4),MAX(110/1.02+$HQ$6+MIN(113/1.02,G213),IF($HV$6-(Sheet1!DA211-Sheet1!DB211)+MIN(113/1.02,G213)&lt;G213+FL213,$HV$6-(Sheet1!DA211-Sheet1!DB211)+MIN(113/1.02,G213),G213+FL213)),MIN(110/1.02+$HQ$6+113/1.02,G213))</f>
        <v>264.78431372549016</v>
      </c>
      <c r="HR213" s="541">
        <f t="shared" si="552"/>
        <v>270.08</v>
      </c>
      <c r="HS213" s="541">
        <f>HR213+(Sheet1!DA211-Sheet1!DB211)</f>
        <v>381.08</v>
      </c>
      <c r="HT213" s="541">
        <f t="shared" si="553"/>
        <v>102.97532369090909</v>
      </c>
      <c r="HU213" s="541">
        <f t="shared" si="554"/>
        <v>278.10467630909091</v>
      </c>
      <c r="HV213" s="541">
        <f t="shared" si="555"/>
        <v>0</v>
      </c>
      <c r="HW213" s="541" t="str">
        <f t="shared" si="556"/>
        <v/>
      </c>
      <c r="HX213" s="541">
        <f t="shared" si="557"/>
        <v>3.4081862745098306</v>
      </c>
      <c r="HY213" s="541">
        <f>Sheet1!CZ211</f>
        <v>303</v>
      </c>
      <c r="HZ213" s="541">
        <f t="shared" si="558"/>
        <v>34.807499999999997</v>
      </c>
      <c r="IA213" s="541">
        <f t="shared" si="559"/>
        <v>102.97532369090909</v>
      </c>
      <c r="IB213" s="541">
        <f t="shared" si="560"/>
        <v>268.1925</v>
      </c>
      <c r="IC213" s="1019" t="str">
        <f t="shared" si="561"/>
        <v/>
      </c>
      <c r="ID213" s="541">
        <f t="shared" si="562"/>
        <v>165.21717630909092</v>
      </c>
      <c r="IE213" s="541">
        <f>Sheet1!DB211</f>
        <v>189</v>
      </c>
      <c r="IF213" s="533">
        <f>Sheet1!DA211</f>
        <v>300</v>
      </c>
      <c r="IH213" s="541">
        <f>IF(AND($B213&gt;=$GC213,$B213&lt;=$GH213,$DR213&lt;0)+N("only adjusted when pool is drawn down during storage season"),Sheet1!$DB211+$DR213+N("Palmer minus all storage release"),Sheet1!$DB211)</f>
        <v>117.03832576890987</v>
      </c>
      <c r="II213" s="541">
        <f>IF(AND($B213&gt;=$GC213,$B213&lt;=$GH213,$DR213&lt;0)+N("only adjusted when pool is drawn down during storage season"),Sheet1!$DA211+$DR213+N("Auburn minus all storage release"),Sheet1!$DA211)</f>
        <v>228.03832576890989</v>
      </c>
    </row>
    <row r="214" spans="1:243" x14ac:dyDescent="0.25">
      <c r="A214" s="553" t="s">
        <v>9</v>
      </c>
      <c r="B214" s="531">
        <v>42938</v>
      </c>
      <c r="C214" s="536">
        <v>0</v>
      </c>
      <c r="D214" s="506">
        <f t="shared" si="506"/>
        <v>200</v>
      </c>
      <c r="E214" s="506">
        <f t="shared" si="507"/>
        <v>400</v>
      </c>
      <c r="F214" s="506">
        <v>250</v>
      </c>
      <c r="G214" s="535">
        <f>DR214+Sheet1!CZ212</f>
        <v>237.03933434190841</v>
      </c>
      <c r="H214" s="1074">
        <f t="shared" si="563"/>
        <v>0</v>
      </c>
      <c r="I214" s="534">
        <f>IF(Sheet1!DA212&gt;=E214,(Sheet1!DA212-E214+P214)*CFStoMGD,0)</f>
        <v>0</v>
      </c>
      <c r="J214" s="995">
        <f>IF(Sheet1!DB212&gt;=D214,(Sheet1!DB212-D214+P214)*CFStoMGD,0)</f>
        <v>0</v>
      </c>
      <c r="K214" s="818">
        <f t="shared" si="538"/>
        <v>0</v>
      </c>
      <c r="L214" s="535">
        <f>Sheet1!AA212+Sheet1!AB212-Sheet1!L212+(Sheet1!DA212-F214)*CFStoMGD-S214-T214-U214</f>
        <v>88.605722294843872</v>
      </c>
      <c r="M214" s="535">
        <f t="shared" si="436"/>
        <v>156.28667023298181</v>
      </c>
      <c r="N214" s="824">
        <f>IF(Sheet1!DA212&gt;=F214,MIN(113*CFStoMGD,MIN(MAX(L214,0),MAX(M214,0))),0)</f>
        <v>73.043199999999999</v>
      </c>
      <c r="O214" s="538">
        <f>Sheet1!AA212+Sheet1!AB212</f>
        <v>90.2</v>
      </c>
      <c r="P214" s="538">
        <f t="shared" si="437"/>
        <v>139.5394</v>
      </c>
      <c r="Q214" s="812">
        <f t="shared" si="539"/>
        <v>67.920922294843876</v>
      </c>
      <c r="R214" s="812">
        <f t="shared" si="508"/>
        <v>22.5</v>
      </c>
      <c r="S214" s="812">
        <f t="shared" si="509"/>
        <v>0</v>
      </c>
      <c r="T214" s="812">
        <f t="shared" si="510"/>
        <v>0</v>
      </c>
      <c r="U214" s="812">
        <f>IF(AND(B214&gt;=FV214,B214&lt;=FW214),ED214+Sheet1!EH212,0)</f>
        <v>22.279077705156134</v>
      </c>
      <c r="V214" s="812"/>
      <c r="W214" s="812">
        <f t="shared" si="511"/>
        <v>0</v>
      </c>
      <c r="X214" s="812">
        <f t="shared" si="512"/>
        <v>0</v>
      </c>
      <c r="Y214" s="812" t="str">
        <f t="shared" si="513"/>
        <v>FALSE</v>
      </c>
      <c r="Z214" s="812">
        <f t="shared" si="514"/>
        <v>90.2</v>
      </c>
      <c r="AA214" s="812">
        <f t="shared" si="515"/>
        <v>90.200000000000017</v>
      </c>
      <c r="AB214" s="1059">
        <f t="shared" si="540"/>
        <v>105.07366679012347</v>
      </c>
      <c r="AC214" s="538">
        <f>Sheet1!Y212*MGDtoCFS</f>
        <v>52.164839999999998</v>
      </c>
      <c r="AD214" s="538">
        <f>Sheet1!Z212*MGDtoCFS</f>
        <v>84.945769999999996</v>
      </c>
      <c r="AE214" s="538">
        <f>Sheet1!AA212*MGDtoCFS</f>
        <v>54.732860000000002</v>
      </c>
      <c r="AF214" s="538">
        <f>Sheet1!AB212*MGDtoCFS</f>
        <v>84.806539999999998</v>
      </c>
      <c r="AG214" s="538">
        <f>Sheet1!L212*MGDtoCFS</f>
        <v>0</v>
      </c>
      <c r="AH214" s="521">
        <f t="shared" si="438"/>
        <v>22.499999999999993</v>
      </c>
      <c r="AI214" s="1059">
        <f t="shared" si="439"/>
        <v>34.80749999999999</v>
      </c>
      <c r="AJ214" s="535">
        <f t="shared" si="440"/>
        <v>0</v>
      </c>
      <c r="AK214" s="535">
        <f t="shared" si="441"/>
        <v>0</v>
      </c>
      <c r="AL214" s="535">
        <f>(VLOOKUP(Sheet1!DC212,hhdcap_wcm,4)-(((VLOOKUP(Sheet1!DC212,hhdcap_wcm,3)-Sheet1!DC212)/(VLOOKUP(Sheet1!DC212,hhdcap_wcm,3)-VLOOKUP(Sheet1!DC212,hhdcap_wcm,1)))*(VLOOKUP(Sheet1!DC212,hhdcap_wcm,4)-VLOOKUP(Sheet1!DC212,hhdcap_wcm,2))))</f>
        <v>45092.500000110289</v>
      </c>
      <c r="AM214" s="535">
        <f t="shared" si="442"/>
        <v>-130.79999999999563</v>
      </c>
      <c r="AN214" s="1035">
        <f t="shared" si="443"/>
        <v>2786.5725610524869</v>
      </c>
      <c r="AO214" s="535">
        <f t="shared" si="444"/>
        <v>8549.2046173090293</v>
      </c>
      <c r="AP214" s="535">
        <f>Sheet1!BA212+Sheet1!BB212+Sheet1!BN212+CD214</f>
        <v>33.700000000000003</v>
      </c>
      <c r="AQ214" s="535">
        <f>Sheet1!BN212+(DO214*Sheet1!BN212)</f>
        <v>33.540922294843867</v>
      </c>
      <c r="AR214" s="535">
        <f>Sheet1!BA212+CD214</f>
        <v>0</v>
      </c>
      <c r="AS214" s="535">
        <f>Sheet1!BA212+Sheet1!BB212+CD214</f>
        <v>0</v>
      </c>
      <c r="AT214" s="649">
        <f>0</f>
        <v>0</v>
      </c>
      <c r="AU214" s="974">
        <f>BA214+O214-Q214-ED214-S214</f>
        <v>0.99999999999999289</v>
      </c>
      <c r="AV214" s="535">
        <f>IF(OR(B214&gt;=GD214,B214&lt;GC214),0,15/36*K214-MAX(0,64.6-(137.6-(Sheet1!AA212+Sheet1!AB212))))</f>
        <v>0</v>
      </c>
      <c r="AW214" s="1029"/>
      <c r="AX214" s="649"/>
      <c r="AY214" s="649">
        <f t="shared" si="541"/>
        <v>0</v>
      </c>
      <c r="AZ214" s="649">
        <f t="shared" si="542"/>
        <v>0</v>
      </c>
      <c r="BA214" s="1059">
        <f t="shared" si="543"/>
        <v>0</v>
      </c>
      <c r="BB214" s="1019">
        <f t="shared" si="445"/>
        <v>1301.3333333333335</v>
      </c>
      <c r="BC214" s="1041">
        <f t="shared" si="544"/>
        <v>0</v>
      </c>
      <c r="BD214" s="1019">
        <f ca="1">IF(B214&gt;(Summary!$A$1-1),#N/A,BB214*MGtoAF)</f>
        <v>3992.490666666667</v>
      </c>
      <c r="BE214" s="535">
        <f>Sheet1!BG212+Sheet1!BH212+Sheet1!BI212-BM214</f>
        <v>2.88</v>
      </c>
      <c r="BF214" s="535">
        <f t="shared" si="446"/>
        <v>2.8664052287581701</v>
      </c>
      <c r="BG214" s="535">
        <f>IF(Sheet1!EP212="FM",BM214,0)</f>
        <v>0</v>
      </c>
      <c r="BH214" s="535">
        <f t="shared" si="447"/>
        <v>0</v>
      </c>
      <c r="BI214" s="535">
        <f>IF(Sheet1!EP212="OTHER",BM214,0)</f>
        <v>0</v>
      </c>
      <c r="BJ214" s="535">
        <f t="shared" si="448"/>
        <v>0</v>
      </c>
      <c r="BK214" s="535">
        <f t="shared" si="449"/>
        <v>2.88</v>
      </c>
      <c r="BL214" s="535">
        <f t="shared" si="450"/>
        <v>2.8664052287581701</v>
      </c>
      <c r="BM214" s="535">
        <f>IF(OR(Sheet1!EP212="FM", Sheet1!EP212="OTHER"),SUM(Sheet1!BG212:'Sheet1'!BI212),0)</f>
        <v>0</v>
      </c>
      <c r="BN214" s="521">
        <f>IF(AND($B214&gt;=$FV214,$B214&lt;=$FW214),MAX(BF214,Sheet1!EI212,0),MAX(BF214-(7/36)*$K214,0))</f>
        <v>3</v>
      </c>
      <c r="BO214" s="535">
        <f t="shared" si="497"/>
        <v>0</v>
      </c>
      <c r="BP214" s="521">
        <f t="shared" si="452"/>
        <v>0</v>
      </c>
      <c r="BQ214" s="521">
        <f>IF(AND($O214&gt;0,Sheet1!EM212=1),(1-($O214-Sheet1!$L212)/$O214)*BL214,0)</f>
        <v>0</v>
      </c>
      <c r="BR214" s="521">
        <f>IF(AND(Sheet1!$L212=0,Sheet1!$L211=0, Calculation!BK214&lt;Sheet1!$EI212-0.1,Sheet1!$EI212=Sheet1!$EI211,Sheet1!$EI212=Sheet1!$EI213),BL214-BQ214,BL214-BQ214)</f>
        <v>2.8664052287581701</v>
      </c>
      <c r="BS214" s="1035" t="str">
        <f t="shared" si="545"/>
        <v/>
      </c>
      <c r="BT214" s="1035">
        <f t="shared" si="546"/>
        <v>0</v>
      </c>
      <c r="BU214" s="535">
        <f t="shared" si="453"/>
        <v>581.89693574973114</v>
      </c>
      <c r="BV214" s="535"/>
      <c r="BW214" s="535">
        <f ca="1">IF(B214&gt;(Summary!$A$1-1),#N/A,BU214*MGtoAF)</f>
        <v>1785.2597988801751</v>
      </c>
      <c r="BX214" s="535">
        <f>Sheet1!BC212+Sheet1!BD212+Sheet1!BE212+Sheet1!BF212-CG214-CH214</f>
        <v>7.01</v>
      </c>
      <c r="BY214" s="535">
        <f t="shared" si="454"/>
        <v>6.9769099491648507</v>
      </c>
      <c r="BZ214" s="535">
        <f>IF(Sheet1!EQ212="FM",CH214,0)</f>
        <v>0</v>
      </c>
      <c r="CA214" s="535">
        <f t="shared" si="455"/>
        <v>0</v>
      </c>
      <c r="CB214" s="535">
        <f>IF(Sheet1!EQ212="OTHER",CH214,0)</f>
        <v>0</v>
      </c>
      <c r="CC214" s="535">
        <f t="shared" si="456"/>
        <v>0</v>
      </c>
      <c r="CD214" s="535">
        <f t="shared" si="457"/>
        <v>0</v>
      </c>
      <c r="CE214" s="535">
        <f t="shared" si="458"/>
        <v>7.01</v>
      </c>
      <c r="CF214" s="535">
        <f t="shared" si="459"/>
        <v>6.9769099491648507</v>
      </c>
      <c r="CG214" s="535">
        <f>IF(Sheet1!EQ212="CWA",SUM(Sheet1!BC212:'Sheet1'!BF212),0)</f>
        <v>0</v>
      </c>
      <c r="CH214" s="535">
        <f>IF(OR(Sheet1!EQ212="FM", Sheet1!EQ212="OTHER"),SUM(Sheet1!BC212:'Sheet1'!BF212),0)</f>
        <v>0</v>
      </c>
      <c r="CI214" s="521">
        <f>IF(AND($B214&gt;=$FV214,$B214&lt;=$FW214),MAX(CF214,Sheet1!EJ212,0),MAX(CF214-(7/36)*$K214,0))</f>
        <v>7</v>
      </c>
      <c r="CJ214" s="535">
        <f t="shared" si="499"/>
        <v>0</v>
      </c>
      <c r="CK214" s="521">
        <f t="shared" si="461"/>
        <v>0</v>
      </c>
      <c r="CL214" s="521">
        <f>IF(AND($O214&gt;0,Sheet1!EN212=1),(1-($O214-Sheet1!$L212)/$O214)*CF214,0)</f>
        <v>0</v>
      </c>
      <c r="CM214" s="521">
        <f>IF(AND(Sheet1!$L212=0,Sheet1!$L211=0, Calculation!CE214&lt;Sheet1!EJ212-0.1,Sheet1!EJ212=Sheet1!EJ211,Sheet1!EJ212=Sheet1!EJ213),CF214-CL214,CF214-CL214)</f>
        <v>6.9769099491648507</v>
      </c>
      <c r="CN214" s="1040" t="str">
        <f t="shared" si="547"/>
        <v/>
      </c>
      <c r="CO214" s="1035">
        <f t="shared" si="548"/>
        <v>0</v>
      </c>
      <c r="CP214" s="535">
        <f t="shared" si="462"/>
        <v>494.37482335490836</v>
      </c>
      <c r="CQ214" s="535"/>
      <c r="CR214" s="535">
        <f ca="1">IF(B214&gt;(Summary!$A$1-1),#N/A,CP214*MGtoAF)</f>
        <v>1516.7419580528588</v>
      </c>
      <c r="CS214" s="535">
        <f>Sheet1!BK212+Sheet1!BL212+Sheet1!BM212-Sheet1!ER212-DA214</f>
        <v>11.489999999999998</v>
      </c>
      <c r="CT214" s="535">
        <f t="shared" si="463"/>
        <v>11.435762527233114</v>
      </c>
      <c r="CU214" s="535">
        <f>IF(Sheet1!ER212="FM",DA214,0)</f>
        <v>0</v>
      </c>
      <c r="CV214" s="535">
        <f t="shared" si="464"/>
        <v>0</v>
      </c>
      <c r="CW214" s="535">
        <f>IF(Sheet1!ER212="OTHER",DA214,0)</f>
        <v>0</v>
      </c>
      <c r="CX214" s="535">
        <f t="shared" si="465"/>
        <v>0</v>
      </c>
      <c r="CY214" s="535">
        <f t="shared" si="466"/>
        <v>11.489999999999998</v>
      </c>
      <c r="CZ214" s="535">
        <f t="shared" si="467"/>
        <v>11.435762527233114</v>
      </c>
      <c r="DA214" s="535">
        <f>IF(OR(Sheet1!ER212="FM", Sheet1!ER212="OTHER"),SUM(Sheet1!BK212:'Sheet1'!BM212),0)</f>
        <v>0</v>
      </c>
      <c r="DB214" s="1011">
        <f>IF(AND($B214&gt;=$FV214,$B214&lt;=$FW214),MAX($CT214,Sheet1!EK212,0),MAX($CT214-(7/36)*$K214,0))</f>
        <v>11.5</v>
      </c>
      <c r="DC214" s="1012">
        <f t="shared" si="498"/>
        <v>0</v>
      </c>
      <c r="DD214" s="1011">
        <f t="shared" si="469"/>
        <v>0</v>
      </c>
      <c r="DE214" s="521">
        <f>IF(AND($O214&gt;0,Sheet1!EO212=1),(1-($O214-Sheet1!$L212)/$O214)*CZ214,0)</f>
        <v>0</v>
      </c>
      <c r="DF214" s="521">
        <f>IF(AND(Sheet1!$L212=0,Sheet1!$L211=0, Calculation!CY214&lt;Sheet1!$EK212-0.1,Sheet1!$EK212=Sheet1!$EK211,Sheet1!$EK212=Sheet1!$EK213),CZ214-DE214,CZ214-DE214)</f>
        <v>11.435762527233114</v>
      </c>
      <c r="DG214" s="1040">
        <f t="shared" si="549"/>
        <v>0</v>
      </c>
      <c r="DH214" s="649">
        <f t="shared" si="470"/>
        <v>21.38</v>
      </c>
      <c r="DI214" s="535">
        <f t="shared" si="471"/>
        <v>408.96746861451368</v>
      </c>
      <c r="DJ214" s="649">
        <f t="shared" si="472"/>
        <v>21.279077705156134</v>
      </c>
      <c r="DK214" s="535">
        <f ca="1">IF(B214&gt;(Summary!$A$1-1),#N/A,DI214*MGtoAF)</f>
        <v>1254.7121937093279</v>
      </c>
      <c r="DL214" s="649">
        <f t="shared" si="473"/>
        <v>21.38</v>
      </c>
      <c r="DM214" s="535">
        <f t="shared" si="474"/>
        <v>55.08</v>
      </c>
      <c r="DN214" s="535">
        <f>Sheet1!AB212-DM214</f>
        <v>-0.25999999999999801</v>
      </c>
      <c r="DO214" s="743">
        <f t="shared" si="475"/>
        <v>-4.7204066811909586E-3</v>
      </c>
      <c r="DP214" s="535">
        <f>(VLOOKUP(Sheet1!DC212,hhdcap_wcm,4)-(((VLOOKUP(Sheet1!DC212,hhdcap_wcm,3)-Sheet1!DC212)/(VLOOKUP(Sheet1!DC212,hhdcap_wcm,3)-VLOOKUP(Sheet1!DC212,hhdcap_wcm,1)))*(VLOOKUP(Sheet1!DC212,hhdcap_wcm,4)-VLOOKUP(Sheet1!DC212,hhdcap_wcm,2))))</f>
        <v>45092.500000110289</v>
      </c>
      <c r="DQ214" s="535">
        <f t="shared" si="476"/>
        <v>-130.79999999999563</v>
      </c>
      <c r="DR214" s="535">
        <f t="shared" si="477"/>
        <v>-65.960665658091585</v>
      </c>
      <c r="DS214" s="535">
        <f>Sheet1!EA212*AFtoMG</f>
        <v>0</v>
      </c>
      <c r="DT214" s="535">
        <f>Sheet1!EB212*AFtoMG</f>
        <v>0</v>
      </c>
      <c r="DU214" s="535">
        <f>Sheet1!EC212*AFtoMG</f>
        <v>0</v>
      </c>
      <c r="DV214" s="535">
        <f>Sheet1!ED212*AFtoMG</f>
        <v>0</v>
      </c>
      <c r="DW214" s="535">
        <f t="shared" si="478"/>
        <v>0</v>
      </c>
      <c r="DX214" s="535">
        <f t="shared" si="479"/>
        <v>0</v>
      </c>
      <c r="DY214" s="535">
        <f t="shared" si="480"/>
        <v>2786.5725610524869</v>
      </c>
      <c r="DZ214" s="535">
        <f t="shared" si="481"/>
        <v>8549.2046173090293</v>
      </c>
      <c r="EA214" s="535"/>
      <c r="EB214" s="521">
        <f>IF(OR(B214&lt;FV214,B214&gt;FW214),(MIN(BF214+BY214+CT214+MAX(Sheet1!AA212+AQ214-73,0),K214)),0)</f>
        <v>0</v>
      </c>
      <c r="EC214" s="535"/>
      <c r="ED214" s="535">
        <f t="shared" si="482"/>
        <v>21.279077705156134</v>
      </c>
      <c r="EE214" s="535"/>
      <c r="EF214" s="535">
        <f>Sheet1!EH212+Sheet1!EI212+Sheet1!EJ212+Sheet1!EK212</f>
        <v>22.5</v>
      </c>
      <c r="EG214" s="1019">
        <f t="shared" si="550"/>
        <v>34.807499999999997</v>
      </c>
      <c r="EH214" s="521">
        <f t="shared" si="483"/>
        <v>0</v>
      </c>
      <c r="EI214" s="535">
        <f>IF(Sheet1!ET212=1,SUM('Calculations II'!AT214:BA214)+'Calculations II'!BC214+Sheet1!BV212+'Calculations II'!BE214+AP214,'Calculations II'!BK214)</f>
        <v>81.376434294843875</v>
      </c>
      <c r="EJ214" s="535">
        <f ca="1">EI214+'Calculations II'!D214+'Calculations II'!E214+'Calculations II'!O214</f>
        <v>73.545444827561454</v>
      </c>
      <c r="EK214" s="535"/>
      <c r="EL214" s="535"/>
      <c r="EM214" s="535">
        <f t="shared" si="484"/>
        <v>42938</v>
      </c>
      <c r="EN214" s="535">
        <f t="shared" si="485"/>
        <v>-22.499999999999993</v>
      </c>
      <c r="EO214" s="535">
        <f t="shared" si="486"/>
        <v>-34.80749999999999</v>
      </c>
      <c r="EP214" s="535">
        <v>0</v>
      </c>
      <c r="EQ214" s="535">
        <v>0</v>
      </c>
      <c r="ER214" s="535">
        <v>0</v>
      </c>
      <c r="ES214" s="521">
        <f t="shared" si="516"/>
        <v>6.3710368054694833</v>
      </c>
      <c r="ET214" s="535">
        <f>-(VLOOKUP(Sheet1!BQ212,Lookup!$O$4:$Q$262,2)-VLOOKUP(Sheet1!BQ211,Lookup!$O$4:$Q$262,2))/1000000</f>
        <v>3.1850025077668467</v>
      </c>
      <c r="EU214" s="535">
        <f>-(VLOOKUP(Sheet1!BR212,Lookup!$O$4:$Q$262,3)-VLOOKUP(Sheet1!BR211,Lookup!$O$4:$Q$262,3))/1000000</f>
        <v>3.1860342977026366</v>
      </c>
      <c r="EV214" s="535"/>
      <c r="EW214" s="535"/>
      <c r="EX214" s="535"/>
      <c r="EY214" s="535"/>
      <c r="EZ214" s="535"/>
      <c r="FA214" s="535"/>
      <c r="FB214" s="535"/>
      <c r="FC214" s="535"/>
      <c r="FD214" s="567">
        <f t="shared" si="504"/>
        <v>1137.9056338027387</v>
      </c>
      <c r="FE214" s="567" t="e">
        <f t="shared" si="488"/>
        <v>#N/A</v>
      </c>
      <c r="FF214" s="568" t="e">
        <f t="shared" si="489"/>
        <v>#N/A</v>
      </c>
      <c r="FG214" s="569" t="s">
        <v>656</v>
      </c>
      <c r="FH214" s="569" t="s">
        <v>656</v>
      </c>
      <c r="FI214" s="567" t="e">
        <v>#N/A</v>
      </c>
      <c r="FJ214" s="725">
        <v>21738</v>
      </c>
      <c r="FK214" s="535"/>
      <c r="FL214" s="1015">
        <f t="shared" si="503"/>
        <v>42.360060514372158</v>
      </c>
      <c r="FM214" s="535"/>
      <c r="FN214" s="535"/>
      <c r="FO214" s="535">
        <f>O214+((Sheet1!CS212)*GPMtoMGD)</f>
        <v>95.148704000000009</v>
      </c>
      <c r="FP214" s="535">
        <f>IF(Sheet1!AA212+AQ214&lt;=Calculation!N214,AQ214,Calculation!N214-Sheet1!AA212)</f>
        <v>33.540922294843867</v>
      </c>
      <c r="FQ214" s="535">
        <f>(Sheet1!BP212+Sheet1!BO212)/694.4</f>
        <v>4.0699884792626726</v>
      </c>
      <c r="FR214" s="541"/>
      <c r="FS214" s="541"/>
      <c r="FT214" s="541"/>
      <c r="FU214" s="541"/>
      <c r="FV214" s="1109">
        <f t="shared" si="517"/>
        <v>42918</v>
      </c>
      <c r="FW214" s="1109">
        <f t="shared" si="518"/>
        <v>43027</v>
      </c>
      <c r="FX214" s="541"/>
      <c r="FY214" s="541">
        <f>Sheet1!DA212-Sheet1!CZ212-Sheet1!AE212</f>
        <v>-160.5394</v>
      </c>
      <c r="FZ214" s="535">
        <f t="shared" si="551"/>
        <v>-0.67726902982454384</v>
      </c>
      <c r="GA214" s="535"/>
      <c r="GB214" s="535" t="str">
        <f t="shared" si="519"/>
        <v>n</v>
      </c>
      <c r="GC214" s="539">
        <f t="shared" si="520"/>
        <v>42782</v>
      </c>
      <c r="GD214" s="1109">
        <f t="shared" si="521"/>
        <v>42904</v>
      </c>
      <c r="GE214" s="535">
        <f t="shared" si="537"/>
        <v>6520</v>
      </c>
      <c r="GF214" s="1109">
        <f t="shared" si="522"/>
        <v>42909</v>
      </c>
      <c r="GG214" s="535">
        <f t="shared" si="564"/>
        <v>3260</v>
      </c>
      <c r="GH214" s="539">
        <f t="shared" si="523"/>
        <v>43040</v>
      </c>
      <c r="GJ214" s="521">
        <f t="shared" si="524"/>
        <v>0</v>
      </c>
      <c r="GK214" s="535" t="str">
        <f t="shared" si="490"/>
        <v/>
      </c>
      <c r="GL214" s="535">
        <f t="shared" si="525"/>
        <v>0</v>
      </c>
      <c r="GM214" s="535" t="str">
        <f t="shared" si="526"/>
        <v/>
      </c>
      <c r="GN214" s="535">
        <f>IF(GK214="P",Lookup!$M$12,IF(GK214="PP",Lookup!$M$13,IF(GK214="PPP",Lookup!$M$14,IF(GK214="T",Lookup!$M$15,IF(GK214="TP",Lookup!$M$16,IF(GK214="TPP",Lookup!$M$17,IF(GK214="TPPP",Lookup!$M$18,0)))))))*GJ214</f>
        <v>0</v>
      </c>
      <c r="GO214" s="535">
        <f t="shared" si="527"/>
        <v>0</v>
      </c>
      <c r="GP214" s="535">
        <f t="shared" si="491"/>
        <v>3992.490666666667</v>
      </c>
      <c r="GQ214" s="974">
        <f t="shared" si="500"/>
        <v>1301.3333333333335</v>
      </c>
      <c r="GR214" s="535"/>
      <c r="GS214" s="535">
        <f t="shared" si="528"/>
        <v>0</v>
      </c>
      <c r="GT214" s="535" t="str">
        <f t="shared" si="529"/>
        <v/>
      </c>
      <c r="GU214" s="535">
        <f>IF(GK214="P",Lookup!$N$12,IF(GK214="PP",Lookup!$N$13,IF(GK214="PPP",Lookup!$N$14,IF(GK214="T",Lookup!$N$15,IF(GK214="TP",Lookup!$N$16,IF(GK214="TPP",Lookup!$N$17,IF(GK214="TPPP",Lookup!$N$18,0)))))))*GJ214</f>
        <v>0</v>
      </c>
      <c r="GV214" s="535">
        <f t="shared" si="530"/>
        <v>0</v>
      </c>
      <c r="GW214" s="535">
        <f t="shared" si="492"/>
        <v>1785.2597988801751</v>
      </c>
      <c r="GX214" s="974">
        <f t="shared" si="501"/>
        <v>581.89693574973114</v>
      </c>
      <c r="GY214" s="535"/>
      <c r="GZ214" s="535">
        <f t="shared" si="531"/>
        <v>0</v>
      </c>
      <c r="HA214" s="535" t="str">
        <f t="shared" si="532"/>
        <v/>
      </c>
      <c r="HB214" s="535">
        <f>IF(GK214="P",Lookup!$N$12,IF(GK214="PP",Lookup!$N$13,IF(GK214="PPP",Lookup!$N$14,IF(GK214="T",Lookup!$N$15,IF(GK214="TP",Lookup!$N$16,IF(GK214="TPP",Lookup!$N$17,IF(GK214="TPPP",Lookup!$N$18,0)))))))*GJ214</f>
        <v>0</v>
      </c>
      <c r="HC214" s="521">
        <f t="shared" si="493"/>
        <v>0</v>
      </c>
      <c r="HD214" s="535">
        <f t="shared" si="494"/>
        <v>1516.7419580528588</v>
      </c>
      <c r="HE214" s="535">
        <f t="shared" si="535"/>
        <v>494.37482335490836</v>
      </c>
      <c r="HF214" s="535"/>
      <c r="HG214" s="535">
        <f t="shared" si="533"/>
        <v>0</v>
      </c>
      <c r="HH214" s="535" t="str">
        <f t="shared" si="534"/>
        <v/>
      </c>
      <c r="HI214" s="535">
        <f>IF(GK214="P",Lookup!$N$12,IF(GK214="PP",Lookup!$N$13,IF(GK214="PPP",Lookup!$N$14,IF(GK214="T",Lookup!$N$15,IF(GK214="TP",Lookup!$N$16,IF(GK214="TPP",Lookup!$N$17,IF(GK214="TPPP",Lookup!$N$18,0)))))))*GJ214</f>
        <v>0</v>
      </c>
      <c r="HJ214" s="521">
        <f t="shared" si="495"/>
        <v>0</v>
      </c>
      <c r="HK214" s="535">
        <f t="shared" si="496"/>
        <v>1254.7121937093279</v>
      </c>
      <c r="HL214" s="535">
        <f t="shared" si="536"/>
        <v>408.96746861451368</v>
      </c>
      <c r="HM214" s="535"/>
      <c r="HN214" s="541"/>
      <c r="HO214" s="541"/>
      <c r="HP214" s="541"/>
      <c r="HQ214" s="541">
        <f>IF(AND(B214&gt;=$FV$4,B214&lt;=$FW$4),MAX(110/1.02+$HQ$6+MIN(113/1.02,G214),IF($HV$6-(Sheet1!DA212-Sheet1!DB212)+MIN(113/1.02,G214)&lt;G214+FL214,$HV$6-(Sheet1!DA212-Sheet1!DB212)+MIN(113/1.02,G214),G214+FL214)),MIN(110/1.02+$HQ$6+113/1.02,G214))</f>
        <v>271.78431372549016</v>
      </c>
      <c r="HR214" s="541">
        <f t="shared" si="552"/>
        <v>277.21999999999997</v>
      </c>
      <c r="HS214" s="541">
        <f>HR214+(Sheet1!DA212-Sheet1!DB212)</f>
        <v>381.21999999999997</v>
      </c>
      <c r="HT214" s="541">
        <f t="shared" si="553"/>
        <v>105.07366679012347</v>
      </c>
      <c r="HU214" s="541">
        <f t="shared" si="554"/>
        <v>276.1463332098765</v>
      </c>
      <c r="HV214" s="541">
        <f t="shared" si="555"/>
        <v>0</v>
      </c>
      <c r="HW214" s="541">
        <f t="shared" si="556"/>
        <v>3.5918137254901694</v>
      </c>
      <c r="HX214" s="541" t="str">
        <f t="shared" si="557"/>
        <v/>
      </c>
      <c r="HY214" s="541">
        <f>Sheet1!CZ212</f>
        <v>303</v>
      </c>
      <c r="HZ214" s="541">
        <f t="shared" si="558"/>
        <v>34.80749999999999</v>
      </c>
      <c r="IA214" s="541">
        <f t="shared" si="559"/>
        <v>105.07366679012347</v>
      </c>
      <c r="IB214" s="541">
        <f t="shared" si="560"/>
        <v>268.1925</v>
      </c>
      <c r="IC214" s="1019" t="str">
        <f t="shared" si="561"/>
        <v>YES</v>
      </c>
      <c r="ID214" s="541">
        <f t="shared" si="562"/>
        <v>163.11883320987653</v>
      </c>
      <c r="IE214" s="541">
        <f>Sheet1!DB212</f>
        <v>178</v>
      </c>
      <c r="IF214" s="533">
        <f>Sheet1!DA212</f>
        <v>282</v>
      </c>
      <c r="IH214" s="541">
        <f>IF(AND($B214&gt;=$GC214,$B214&lt;=$GH214,$DR214&lt;0)+N("only adjusted when pool is drawn down during storage season"),Sheet1!$DB212+$DR214+N("Palmer minus all storage release"),Sheet1!$DB212)</f>
        <v>112.03933434190841</v>
      </c>
      <c r="II214" s="541">
        <f>IF(AND($B214&gt;=$GC214,$B214&lt;=$GH214,$DR214&lt;0)+N("only adjusted when pool is drawn down during storage season"),Sheet1!$DA212+$DR214+N("Auburn minus all storage release"),Sheet1!$DA212)</f>
        <v>216.03933434190841</v>
      </c>
    </row>
    <row r="215" spans="1:243" x14ac:dyDescent="0.25">
      <c r="A215" s="553" t="s">
        <v>3</v>
      </c>
      <c r="B215" s="531">
        <v>42939</v>
      </c>
      <c r="C215" s="536">
        <v>0</v>
      </c>
      <c r="D215" s="506">
        <f t="shared" si="506"/>
        <v>200</v>
      </c>
      <c r="E215" s="506">
        <f t="shared" si="507"/>
        <v>400</v>
      </c>
      <c r="F215" s="506">
        <v>250</v>
      </c>
      <c r="G215" s="535">
        <f>DR215+Sheet1!CZ213</f>
        <v>231.13918305635741</v>
      </c>
      <c r="H215" s="1074">
        <f t="shared" si="563"/>
        <v>0</v>
      </c>
      <c r="I215" s="534">
        <f>IF(Sheet1!DA213&gt;=E215,(Sheet1!DA213-E215+P215)*CFStoMGD,0)</f>
        <v>0</v>
      </c>
      <c r="J215" s="995">
        <f>IF(Sheet1!DB213&gt;=D215,(Sheet1!DB213-D215+P215)*CFStoMGD,0)</f>
        <v>0</v>
      </c>
      <c r="K215" s="818">
        <f t="shared" si="538"/>
        <v>0</v>
      </c>
      <c r="L215" s="535">
        <f>Sheet1!AA213+Sheet1!AB213-Sheet1!L213+(Sheet1!DA213-F215)*CFStoMGD-S215-T215-U215</f>
        <v>86.040180036297642</v>
      </c>
      <c r="M215" s="535">
        <f t="shared" si="436"/>
        <v>152.39653528618203</v>
      </c>
      <c r="N215" s="824">
        <f>IF(Sheet1!DA213&gt;=F215,MIN(113*CFStoMGD,MIN(MAX(L215,0),MAX(M215,0))),0)</f>
        <v>73.043199999999999</v>
      </c>
      <c r="O215" s="538">
        <f>Sheet1!AA213+Sheet1!AB213</f>
        <v>90.240000000000009</v>
      </c>
      <c r="P215" s="538">
        <f t="shared" si="437"/>
        <v>139.60128</v>
      </c>
      <c r="Q215" s="812">
        <f t="shared" si="539"/>
        <v>67.940980036297645</v>
      </c>
      <c r="R215" s="812">
        <f t="shared" si="508"/>
        <v>22.5</v>
      </c>
      <c r="S215" s="812">
        <f t="shared" si="509"/>
        <v>0</v>
      </c>
      <c r="T215" s="812">
        <f t="shared" si="510"/>
        <v>0</v>
      </c>
      <c r="U215" s="812">
        <f>IF(AND(B215&gt;=FV215,B215&lt;=FW215),ED215+Sheet1!EH213,0)</f>
        <v>22.29901996370236</v>
      </c>
      <c r="V215" s="812"/>
      <c r="W215" s="812">
        <f t="shared" si="511"/>
        <v>0</v>
      </c>
      <c r="X215" s="812">
        <f t="shared" si="512"/>
        <v>0</v>
      </c>
      <c r="Y215" s="812" t="str">
        <f t="shared" si="513"/>
        <v>FALSE</v>
      </c>
      <c r="Z215" s="812">
        <f t="shared" si="514"/>
        <v>90.240000000000009</v>
      </c>
      <c r="AA215" s="812">
        <f t="shared" si="515"/>
        <v>90.240000000000009</v>
      </c>
      <c r="AB215" s="1059">
        <f t="shared" si="540"/>
        <v>105.10469611615245</v>
      </c>
      <c r="AC215" s="538">
        <f>Sheet1!Y213*MGDtoCFS</f>
        <v>54.732860000000002</v>
      </c>
      <c r="AD215" s="538">
        <f>Sheet1!Z213*MGDtoCFS</f>
        <v>84.806539999999998</v>
      </c>
      <c r="AE215" s="538">
        <f>Sheet1!AA213*MGDtoCFS</f>
        <v>54.763799999999996</v>
      </c>
      <c r="AF215" s="538">
        <f>Sheet1!AB213*MGDtoCFS</f>
        <v>84.837479999999999</v>
      </c>
      <c r="AG215" s="538">
        <f>Sheet1!L213*MGDtoCFS</f>
        <v>0</v>
      </c>
      <c r="AH215" s="521">
        <f t="shared" si="438"/>
        <v>22.500000000000004</v>
      </c>
      <c r="AI215" s="1059">
        <f t="shared" si="439"/>
        <v>34.807500000000005</v>
      </c>
      <c r="AJ215" s="535">
        <f t="shared" si="440"/>
        <v>0</v>
      </c>
      <c r="AK215" s="535">
        <f t="shared" si="441"/>
        <v>0</v>
      </c>
      <c r="AL215" s="535">
        <f>(VLOOKUP(Sheet1!DC213,hhdcap_wcm,4)-(((VLOOKUP(Sheet1!DC213,hhdcap_wcm,3)-Sheet1!DC213)/(VLOOKUP(Sheet1!DC213,hhdcap_wcm,3)-VLOOKUP(Sheet1!DC213,hhdcap_wcm,1)))*(VLOOKUP(Sheet1!DC213,hhdcap_wcm,4)-VLOOKUP(Sheet1!DC213,hhdcap_wcm,2))))</f>
        <v>44950.000000111046</v>
      </c>
      <c r="AM215" s="535">
        <f t="shared" si="442"/>
        <v>-142.4999999992433</v>
      </c>
      <c r="AN215" s="1035">
        <f t="shared" si="443"/>
        <v>2764.0725610524869</v>
      </c>
      <c r="AO215" s="535">
        <f t="shared" si="444"/>
        <v>8480.1746173090305</v>
      </c>
      <c r="AP215" s="535">
        <f>Sheet1!BA213+Sheet1!BB213+Sheet1!BN213+CD215</f>
        <v>33.700000000000003</v>
      </c>
      <c r="AQ215" s="535">
        <f>Sheet1!BN213+(DO215*Sheet1!BN213)</f>
        <v>33.54098003629764</v>
      </c>
      <c r="AR215" s="535">
        <f>Sheet1!BA213+CD215</f>
        <v>0</v>
      </c>
      <c r="AS215" s="535">
        <f>Sheet1!BA213+Sheet1!BB213+CD215</f>
        <v>0</v>
      </c>
      <c r="AT215" s="649">
        <f>0</f>
        <v>0</v>
      </c>
      <c r="AU215" s="974">
        <f>BA215+MAX(Sheet1!EH213,(O215-Q215-ED215-S215))</f>
        <v>1.0000000000000036</v>
      </c>
      <c r="AV215" s="535">
        <f>IF(OR(B215&gt;=GD215,B215&lt;GC215),0,15/36*K215-MAX(0,64.6-(137.6-(Sheet1!AA213+Sheet1!AB213))))</f>
        <v>0</v>
      </c>
      <c r="AW215" s="1029"/>
      <c r="AX215" s="649"/>
      <c r="AY215" s="649">
        <f t="shared" si="541"/>
        <v>0</v>
      </c>
      <c r="AZ215" s="649">
        <f t="shared" si="542"/>
        <v>0</v>
      </c>
      <c r="BA215" s="1059">
        <f t="shared" si="543"/>
        <v>0</v>
      </c>
      <c r="BB215" s="1019">
        <f t="shared" si="445"/>
        <v>1300.3333333333335</v>
      </c>
      <c r="BC215" s="1041">
        <f t="shared" si="544"/>
        <v>0</v>
      </c>
      <c r="BD215" s="1019">
        <f ca="1">IF(B215&gt;(Summary!$A$1-1),#N/A,BB215*MGtoAF)</f>
        <v>3989.4226666666673</v>
      </c>
      <c r="BE215" s="535">
        <f>Sheet1!BG213+Sheet1!BH213+Sheet1!BI213-BM215</f>
        <v>2.88</v>
      </c>
      <c r="BF215" s="535">
        <f t="shared" si="446"/>
        <v>2.8664101633393826</v>
      </c>
      <c r="BG215" s="535">
        <f>IF(Sheet1!EP213="FM",BM215,0)</f>
        <v>0</v>
      </c>
      <c r="BH215" s="535">
        <f t="shared" si="447"/>
        <v>0</v>
      </c>
      <c r="BI215" s="535">
        <f>IF(Sheet1!EP213="OTHER",BM215,0)</f>
        <v>0</v>
      </c>
      <c r="BJ215" s="535">
        <f t="shared" si="448"/>
        <v>0</v>
      </c>
      <c r="BK215" s="535">
        <f t="shared" si="449"/>
        <v>2.88</v>
      </c>
      <c r="BL215" s="535">
        <f t="shared" si="450"/>
        <v>2.8664101633393826</v>
      </c>
      <c r="BM215" s="535">
        <f>IF(OR(Sheet1!EP213="FM", Sheet1!EP213="OTHER"),SUM(Sheet1!BG213:'Sheet1'!BI213),0)</f>
        <v>0</v>
      </c>
      <c r="BN215" s="521">
        <f>IF(AND($B215&gt;=$FV215,$B215&lt;=$FW215),MAX(BF215,Sheet1!EI213,0),MAX(BF215-(7/36)*$K215,0))</f>
        <v>3</v>
      </c>
      <c r="BO215" s="535">
        <f t="shared" si="497"/>
        <v>0</v>
      </c>
      <c r="BP215" s="521">
        <f t="shared" si="452"/>
        <v>0</v>
      </c>
      <c r="BQ215" s="521">
        <f>IF(AND($O215&gt;0,Sheet1!EM213=1),(1-($O215-Sheet1!$L213)/$O215)*BL215,0)</f>
        <v>0</v>
      </c>
      <c r="BR215" s="521">
        <f>IF(AND(Sheet1!$L213=0,Sheet1!$L212=0, Calculation!BK215&lt;Sheet1!$EI213-0.1,Sheet1!$EI213=Sheet1!$EI212,Sheet1!$EI213=Sheet1!$EI214),BL215-BQ215,BL215-BQ215)</f>
        <v>2.8664101633393826</v>
      </c>
      <c r="BS215" s="1035" t="str">
        <f t="shared" si="545"/>
        <v/>
      </c>
      <c r="BT215" s="1035">
        <f t="shared" si="546"/>
        <v>0</v>
      </c>
      <c r="BU215" s="535">
        <f t="shared" si="453"/>
        <v>578.89693574973114</v>
      </c>
      <c r="BV215" s="535"/>
      <c r="BW215" s="535">
        <f ca="1">IF(B215&gt;(Summary!$A$1-1),#N/A,BU215*MGtoAF)</f>
        <v>1776.0557988801752</v>
      </c>
      <c r="BX215" s="535">
        <f>Sheet1!BC213+Sheet1!BD213+Sheet1!BE213+Sheet1!BF213-CG215-CH215</f>
        <v>7.01</v>
      </c>
      <c r="BY215" s="535">
        <f t="shared" si="454"/>
        <v>6.9769219600725947</v>
      </c>
      <c r="BZ215" s="535">
        <f>IF(Sheet1!EQ213="FM",CH215,0)</f>
        <v>0</v>
      </c>
      <c r="CA215" s="535">
        <f t="shared" si="455"/>
        <v>0</v>
      </c>
      <c r="CB215" s="535">
        <f>IF(Sheet1!EQ213="OTHER",CH215,0)</f>
        <v>0</v>
      </c>
      <c r="CC215" s="535">
        <f t="shared" si="456"/>
        <v>0</v>
      </c>
      <c r="CD215" s="535">
        <f t="shared" si="457"/>
        <v>0</v>
      </c>
      <c r="CE215" s="535">
        <f t="shared" si="458"/>
        <v>7.01</v>
      </c>
      <c r="CF215" s="535">
        <f t="shared" si="459"/>
        <v>6.9769219600725947</v>
      </c>
      <c r="CG215" s="535">
        <f>IF(Sheet1!EQ213="CWA",SUM(Sheet1!BC213:'Sheet1'!BF213),0)</f>
        <v>0</v>
      </c>
      <c r="CH215" s="535">
        <f>IF(OR(Sheet1!EQ213="FM", Sheet1!EQ213="OTHER"),SUM(Sheet1!BC213:'Sheet1'!BF213),0)</f>
        <v>0</v>
      </c>
      <c r="CI215" s="521">
        <f>IF(AND($B215&gt;=$FV215,$B215&lt;=$FW215),MAX(CF215,Sheet1!EJ213,0),MAX(CF215-(7/36)*$K215,0))</f>
        <v>7</v>
      </c>
      <c r="CJ215" s="535">
        <f t="shared" si="499"/>
        <v>0</v>
      </c>
      <c r="CK215" s="521">
        <f t="shared" si="461"/>
        <v>0</v>
      </c>
      <c r="CL215" s="521">
        <f>IF(AND($O215&gt;0,Sheet1!EN213=1),(1-($O215-Sheet1!$L213)/$O215)*CF215,0)</f>
        <v>0</v>
      </c>
      <c r="CM215" s="521">
        <f>IF(AND(Sheet1!$L213=0,Sheet1!$L212=0, Calculation!CE215&lt;Sheet1!EJ213-0.1,Sheet1!EJ213=Sheet1!EJ212,Sheet1!EJ213=Sheet1!EJ214),CF215-CL215,CF215-CL215)</f>
        <v>6.9769219600725947</v>
      </c>
      <c r="CN215" s="1040" t="str">
        <f t="shared" si="547"/>
        <v/>
      </c>
      <c r="CO215" s="1035">
        <f t="shared" si="548"/>
        <v>0</v>
      </c>
      <c r="CP215" s="535">
        <f t="shared" si="462"/>
        <v>487.37482335490836</v>
      </c>
      <c r="CQ215" s="535"/>
      <c r="CR215" s="535">
        <f ca="1">IF(B215&gt;(Summary!$A$1-1),#N/A,CP215*MGtoAF)</f>
        <v>1495.2659580528589</v>
      </c>
      <c r="CS215" s="535">
        <f>Sheet1!BK213+Sheet1!BL213+Sheet1!BM213-Sheet1!ER213-DA215</f>
        <v>11.510000000000002</v>
      </c>
      <c r="CT215" s="535">
        <f t="shared" si="463"/>
        <v>11.455687840290382</v>
      </c>
      <c r="CU215" s="535">
        <f>IF(Sheet1!ER213="FM",DA215,0)</f>
        <v>0</v>
      </c>
      <c r="CV215" s="535">
        <f t="shared" si="464"/>
        <v>0</v>
      </c>
      <c r="CW215" s="535">
        <f>IF(Sheet1!ER213="OTHER",DA215,0)</f>
        <v>0</v>
      </c>
      <c r="CX215" s="535">
        <f t="shared" si="465"/>
        <v>0</v>
      </c>
      <c r="CY215" s="535">
        <f t="shared" si="466"/>
        <v>11.510000000000002</v>
      </c>
      <c r="CZ215" s="535">
        <f t="shared" si="467"/>
        <v>11.455687840290382</v>
      </c>
      <c r="DA215" s="535">
        <f>IF(OR(Sheet1!ER213="FM", Sheet1!ER213="OTHER"),SUM(Sheet1!BK213:'Sheet1'!BM213),0)</f>
        <v>0</v>
      </c>
      <c r="DB215" s="1011">
        <f>IF(AND($B215&gt;=$FV215,$B215&lt;=$FW215),MAX($CT215,Sheet1!EK213,0),MAX($CT215-(7/36)*$K215,0))</f>
        <v>11.5</v>
      </c>
      <c r="DC215" s="1012">
        <f t="shared" si="498"/>
        <v>0</v>
      </c>
      <c r="DD215" s="1011">
        <f t="shared" si="469"/>
        <v>0</v>
      </c>
      <c r="DE215" s="521">
        <f>IF(AND($O215&gt;0,Sheet1!EO213=1),(1-($O215-Sheet1!$L213)/$O215)*CZ215,0)</f>
        <v>0</v>
      </c>
      <c r="DF215" s="521">
        <f>IF(AND(Sheet1!$L213=0,Sheet1!$L212=0, Calculation!CY215&lt;Sheet1!$EK213-0.1,Sheet1!$EK213=Sheet1!$EK212,Sheet1!$EK213=Sheet1!$EK214),CZ215-DE215,CZ215-DE215)</f>
        <v>11.455687840290382</v>
      </c>
      <c r="DG215" s="1040">
        <f t="shared" si="549"/>
        <v>0</v>
      </c>
      <c r="DH215" s="649">
        <f t="shared" si="470"/>
        <v>21.400000000000002</v>
      </c>
      <c r="DI215" s="535">
        <f t="shared" si="471"/>
        <v>397.46746861451368</v>
      </c>
      <c r="DJ215" s="649">
        <f t="shared" si="472"/>
        <v>21.29901996370236</v>
      </c>
      <c r="DK215" s="535">
        <f ca="1">IF(B215&gt;(Summary!$A$1-1),#N/A,DI215*MGtoAF)</f>
        <v>1219.430193709328</v>
      </c>
      <c r="DL215" s="649">
        <f t="shared" si="473"/>
        <v>21.400000000000002</v>
      </c>
      <c r="DM215" s="535">
        <f t="shared" si="474"/>
        <v>55.100000000000009</v>
      </c>
      <c r="DN215" s="535">
        <f>Sheet1!AB213-DM215</f>
        <v>-0.26000000000000512</v>
      </c>
      <c r="DO215" s="743">
        <f t="shared" si="475"/>
        <v>-4.7186932849365712E-3</v>
      </c>
      <c r="DP215" s="535">
        <f>(VLOOKUP(Sheet1!DC213,hhdcap_wcm,4)-(((VLOOKUP(Sheet1!DC213,hhdcap_wcm,3)-Sheet1!DC213)/(VLOOKUP(Sheet1!DC213,hhdcap_wcm,3)-VLOOKUP(Sheet1!DC213,hhdcap_wcm,1)))*(VLOOKUP(Sheet1!DC213,hhdcap_wcm,4)-VLOOKUP(Sheet1!DC213,hhdcap_wcm,2))))</f>
        <v>44950.000000111046</v>
      </c>
      <c r="DQ215" s="535">
        <f t="shared" si="476"/>
        <v>-142.4999999992433</v>
      </c>
      <c r="DR215" s="649">
        <f t="shared" si="477"/>
        <v>-71.860816943642604</v>
      </c>
      <c r="DS215" s="535">
        <f>Sheet1!EA213*AFtoMG</f>
        <v>0</v>
      </c>
      <c r="DT215" s="535">
        <f>Sheet1!EB213*AFtoMG</f>
        <v>0</v>
      </c>
      <c r="DU215" s="535">
        <f>Sheet1!EC213*AFtoMG</f>
        <v>0</v>
      </c>
      <c r="DV215" s="535">
        <f>Sheet1!ED213*AFtoMG</f>
        <v>0</v>
      </c>
      <c r="DW215" s="535">
        <f t="shared" si="478"/>
        <v>0</v>
      </c>
      <c r="DX215" s="535">
        <f t="shared" si="479"/>
        <v>0</v>
      </c>
      <c r="DY215" s="535">
        <f t="shared" si="480"/>
        <v>2764.0725610524869</v>
      </c>
      <c r="DZ215" s="535">
        <f t="shared" si="481"/>
        <v>8480.1746173090305</v>
      </c>
      <c r="EA215" s="535"/>
      <c r="EB215" s="521">
        <f>IF(OR(B215&lt;FV215,B215&gt;FW215),(MIN(BF215+BY215+CT215+MAX(Sheet1!AA213+AQ215-73,0),K215)),0)</f>
        <v>0</v>
      </c>
      <c r="EC215" s="535"/>
      <c r="ED215" s="535">
        <f t="shared" si="482"/>
        <v>21.29901996370236</v>
      </c>
      <c r="EE215" s="535"/>
      <c r="EF215" s="535">
        <f>Sheet1!EH213+Sheet1!EI213+Sheet1!EJ213+Sheet1!EK213</f>
        <v>22.5</v>
      </c>
      <c r="EG215" s="1019">
        <f t="shared" si="550"/>
        <v>34.807499999999997</v>
      </c>
      <c r="EH215" s="521">
        <f t="shared" si="483"/>
        <v>0</v>
      </c>
      <c r="EI215" s="535">
        <f>IF(Sheet1!ET213=1,SUM('Calculations II'!AT215:BA215)+'Calculations II'!BC215+Sheet1!BV213+'Calculations II'!BE215+AP215,'Calculations II'!BK215)</f>
        <v>78.95974803629764</v>
      </c>
      <c r="EJ215" s="535">
        <f ca="1">EI215+'Calculations II'!D215+'Calculations II'!E215+'Calculations II'!O215</f>
        <v>78.642951175306521</v>
      </c>
      <c r="EK215" s="535"/>
      <c r="EL215" s="535"/>
      <c r="EM215" s="535">
        <f t="shared" si="484"/>
        <v>42939</v>
      </c>
      <c r="EN215" s="535">
        <f t="shared" si="485"/>
        <v>-22.500000000000004</v>
      </c>
      <c r="EO215" s="535">
        <f t="shared" si="486"/>
        <v>-34.807500000000005</v>
      </c>
      <c r="EP215" s="535">
        <v>0</v>
      </c>
      <c r="EQ215" s="535">
        <v>0</v>
      </c>
      <c r="ER215" s="535">
        <v>0</v>
      </c>
      <c r="ES215" s="521">
        <f t="shared" si="516"/>
        <v>0</v>
      </c>
      <c r="ET215" s="535">
        <f>-(VLOOKUP(Sheet1!BQ213,Lookup!$O$4:$Q$262,2)-VLOOKUP(Sheet1!BQ212,Lookup!$O$4:$Q$262,2))/1000000</f>
        <v>0</v>
      </c>
      <c r="EU215" s="535">
        <f>-(VLOOKUP(Sheet1!BR213,Lookup!$O$4:$Q$262,3)-VLOOKUP(Sheet1!BR212,Lookup!$O$4:$Q$262,3))/1000000</f>
        <v>0</v>
      </c>
      <c r="EV215" s="535"/>
      <c r="EW215" s="535"/>
      <c r="EX215" s="535"/>
      <c r="EY215" s="535"/>
      <c r="EZ215" s="535"/>
      <c r="FA215" s="535"/>
      <c r="FB215" s="535"/>
      <c r="FC215" s="535"/>
      <c r="FD215" s="567">
        <f t="shared" si="504"/>
        <v>1137.7871428570647</v>
      </c>
      <c r="FE215" s="567" t="e">
        <f t="shared" si="488"/>
        <v>#N/A</v>
      </c>
      <c r="FF215" s="568" t="e">
        <f t="shared" si="489"/>
        <v>#N/A</v>
      </c>
      <c r="FG215" s="569" t="s">
        <v>656</v>
      </c>
      <c r="FH215" s="569" t="s">
        <v>656</v>
      </c>
      <c r="FI215" s="567" t="e">
        <v>#N/A</v>
      </c>
      <c r="FJ215" s="725">
        <v>21654</v>
      </c>
      <c r="FK215" s="535"/>
      <c r="FL215" s="1015">
        <f t="shared" si="503"/>
        <v>42.360060514372158</v>
      </c>
      <c r="FM215" s="535"/>
      <c r="FN215" s="535"/>
      <c r="FO215" s="535">
        <f>O215+((Sheet1!CS213)*GPMtoMGD)</f>
        <v>99.210480000000004</v>
      </c>
      <c r="FP215" s="535">
        <f>IF(Sheet1!AA213+AQ215&lt;=Calculation!N215,AQ215,Calculation!N215-Sheet1!AA213)</f>
        <v>33.54098003629764</v>
      </c>
      <c r="FQ215" s="535">
        <f>(Sheet1!BP213+Sheet1!BO213)/694.4</f>
        <v>4.375</v>
      </c>
      <c r="FR215" s="541"/>
      <c r="FS215" s="541"/>
      <c r="FT215" s="541"/>
      <c r="FU215" s="541"/>
      <c r="FV215" s="1109">
        <f t="shared" si="517"/>
        <v>42918</v>
      </c>
      <c r="FW215" s="1109">
        <f t="shared" si="518"/>
        <v>43027</v>
      </c>
      <c r="FX215" s="541"/>
      <c r="FY215" s="541">
        <f>Sheet1!DA213-Sheet1!CZ213-Sheet1!AE213</f>
        <v>-164.60128</v>
      </c>
      <c r="FZ215" s="535">
        <f t="shared" si="551"/>
        <v>-0.7121305778772532</v>
      </c>
      <c r="GA215" s="535"/>
      <c r="GB215" s="535" t="str">
        <f t="shared" si="519"/>
        <v>n</v>
      </c>
      <c r="GC215" s="539">
        <f t="shared" si="520"/>
        <v>42782</v>
      </c>
      <c r="GD215" s="1109">
        <f t="shared" si="521"/>
        <v>42904</v>
      </c>
      <c r="GE215" s="535">
        <f t="shared" si="537"/>
        <v>6520</v>
      </c>
      <c r="GF215" s="1109">
        <f t="shared" si="522"/>
        <v>42909</v>
      </c>
      <c r="GG215" s="535">
        <f t="shared" si="564"/>
        <v>3260</v>
      </c>
      <c r="GH215" s="539">
        <f t="shared" si="523"/>
        <v>43040</v>
      </c>
      <c r="GJ215" s="521">
        <f t="shared" si="524"/>
        <v>0</v>
      </c>
      <c r="GK215" s="535" t="str">
        <f t="shared" si="490"/>
        <v/>
      </c>
      <c r="GL215" s="535">
        <f t="shared" si="525"/>
        <v>0</v>
      </c>
      <c r="GM215" s="535" t="str">
        <f t="shared" si="526"/>
        <v/>
      </c>
      <c r="GN215" s="535">
        <f>IF(GK215="P",Lookup!$M$12,IF(GK215="PP",Lookup!$M$13,IF(GK215="PPP",Lookup!$M$14,IF(GK215="T",Lookup!$M$15,IF(GK215="TP",Lookup!$M$16,IF(GK215="TPP",Lookup!$M$17,IF(GK215="TPPP",Lookup!$M$18,0)))))))*GJ215</f>
        <v>0</v>
      </c>
      <c r="GO215" s="535">
        <f t="shared" si="527"/>
        <v>0</v>
      </c>
      <c r="GP215" s="535">
        <f t="shared" si="491"/>
        <v>3989.4226666666673</v>
      </c>
      <c r="GQ215" s="974">
        <f t="shared" si="500"/>
        <v>1300.3333333333335</v>
      </c>
      <c r="GR215" s="535"/>
      <c r="GS215" s="535">
        <f t="shared" si="528"/>
        <v>0</v>
      </c>
      <c r="GT215" s="535" t="str">
        <f t="shared" si="529"/>
        <v/>
      </c>
      <c r="GU215" s="535">
        <f>IF(GK215="P",Lookup!$N$12,IF(GK215="PP",Lookup!$N$13,IF(GK215="PPP",Lookup!$N$14,IF(GK215="T",Lookup!$N$15,IF(GK215="TP",Lookup!$N$16,IF(GK215="TPP",Lookup!$N$17,IF(GK215="TPPP",Lookup!$N$18,0)))))))*GJ215</f>
        <v>0</v>
      </c>
      <c r="GV215" s="535">
        <f t="shared" si="530"/>
        <v>0</v>
      </c>
      <c r="GW215" s="535">
        <f t="shared" si="492"/>
        <v>1776.0557988801752</v>
      </c>
      <c r="GX215" s="974">
        <f t="shared" si="501"/>
        <v>578.89693574973114</v>
      </c>
      <c r="GY215" s="535"/>
      <c r="GZ215" s="535">
        <f t="shared" si="531"/>
        <v>0</v>
      </c>
      <c r="HA215" s="535" t="str">
        <f t="shared" si="532"/>
        <v/>
      </c>
      <c r="HB215" s="535">
        <f>IF(GK215="P",Lookup!$N$12,IF(GK215="PP",Lookup!$N$13,IF(GK215="PPP",Lookup!$N$14,IF(GK215="T",Lookup!$N$15,IF(GK215="TP",Lookup!$N$16,IF(GK215="TPP",Lookup!$N$17,IF(GK215="TPPP",Lookup!$N$18,0)))))))*GJ215</f>
        <v>0</v>
      </c>
      <c r="HC215" s="521">
        <f t="shared" si="493"/>
        <v>0</v>
      </c>
      <c r="HD215" s="535">
        <f t="shared" si="494"/>
        <v>1495.2659580528589</v>
      </c>
      <c r="HE215" s="535">
        <f t="shared" si="535"/>
        <v>487.37482335490836</v>
      </c>
      <c r="HF215" s="535"/>
      <c r="HG215" s="535">
        <f t="shared" si="533"/>
        <v>0</v>
      </c>
      <c r="HH215" s="535" t="str">
        <f t="shared" si="534"/>
        <v/>
      </c>
      <c r="HI215" s="535">
        <f>IF(GK215="P",Lookup!$N$12,IF(GK215="PP",Lookup!$N$13,IF(GK215="PPP",Lookup!$N$14,IF(GK215="T",Lookup!$N$15,IF(GK215="TP",Lookup!$N$16,IF(GK215="TPP",Lookup!$N$17,IF(GK215="TPPP",Lookup!$N$18,0)))))))*GJ215</f>
        <v>0</v>
      </c>
      <c r="HJ215" s="521">
        <f t="shared" si="495"/>
        <v>0</v>
      </c>
      <c r="HK215" s="535">
        <f t="shared" si="496"/>
        <v>1219.430193709328</v>
      </c>
      <c r="HL215" s="535">
        <f t="shared" si="536"/>
        <v>397.46746861451368</v>
      </c>
      <c r="HM215" s="535"/>
      <c r="HN215" s="541"/>
      <c r="HO215" s="541"/>
      <c r="HP215" s="541"/>
      <c r="HQ215" s="541">
        <f>IF(AND(B215&gt;=$FV$4,B215&lt;=$FW$4),MAX(110/1.02+$HQ$6+MIN(113/1.02,G215),IF($HV$6-(Sheet1!DA213-Sheet1!DB213)+MIN(113/1.02,G215)&lt;G215+FL215,$HV$6-(Sheet1!DA213-Sheet1!DB213)+MIN(113/1.02,G215),G215+FL215)),MIN(110/1.02+$HQ$6+113/1.02,G215))</f>
        <v>273.49924357072956</v>
      </c>
      <c r="HR215" s="541">
        <f t="shared" si="552"/>
        <v>278.96922844214419</v>
      </c>
      <c r="HS215" s="541">
        <f>HR215+(Sheet1!DA213-Sheet1!DB213)</f>
        <v>376.96922844214419</v>
      </c>
      <c r="HT215" s="541">
        <f t="shared" si="553"/>
        <v>105.10469611615245</v>
      </c>
      <c r="HU215" s="541">
        <f t="shared" si="554"/>
        <v>271.86453232599172</v>
      </c>
      <c r="HV215" s="541">
        <f t="shared" si="555"/>
        <v>0</v>
      </c>
      <c r="HW215" s="541">
        <f t="shared" si="556"/>
        <v>5.3067435707295658</v>
      </c>
      <c r="HX215" s="541" t="str">
        <f t="shared" si="557"/>
        <v/>
      </c>
      <c r="HY215" s="541">
        <f>Sheet1!CZ213</f>
        <v>303</v>
      </c>
      <c r="HZ215" s="541">
        <f t="shared" si="558"/>
        <v>34.807500000000005</v>
      </c>
      <c r="IA215" s="541">
        <f t="shared" si="559"/>
        <v>105.10469611615245</v>
      </c>
      <c r="IB215" s="541">
        <f t="shared" si="560"/>
        <v>268.1925</v>
      </c>
      <c r="IC215" s="1019" t="str">
        <f t="shared" si="561"/>
        <v>YES</v>
      </c>
      <c r="ID215" s="541">
        <f t="shared" si="562"/>
        <v>163.08780388384753</v>
      </c>
      <c r="IE215" s="541">
        <f>Sheet1!DB213</f>
        <v>180</v>
      </c>
      <c r="IF215" s="533">
        <f>Sheet1!DA213</f>
        <v>278</v>
      </c>
      <c r="IH215" s="541">
        <f>IF(AND($B215&gt;=$GC215,$B215&lt;=$GH215,$DR215&lt;0)+N("only adjusted when pool is drawn down during storage season"),Sheet1!$DB213+$DR215+N("Palmer minus all storage release"),Sheet1!$DB213)</f>
        <v>108.1391830563574</v>
      </c>
      <c r="II215" s="541">
        <f>IF(AND($B215&gt;=$GC215,$B215&lt;=$GH215,$DR215&lt;0)+N("only adjusted when pool is drawn down during storage season"),Sheet1!$DA213+$DR215+N("Auburn minus all storage release"),Sheet1!$DA213)</f>
        <v>206.13918305635741</v>
      </c>
    </row>
    <row r="216" spans="1:243" x14ac:dyDescent="0.25">
      <c r="A216" s="553" t="s">
        <v>4</v>
      </c>
      <c r="B216" s="531">
        <v>42940</v>
      </c>
      <c r="C216" s="536">
        <v>0</v>
      </c>
      <c r="D216" s="506">
        <f t="shared" si="506"/>
        <v>200</v>
      </c>
      <c r="E216" s="506">
        <f t="shared" si="507"/>
        <v>400</v>
      </c>
      <c r="F216" s="506">
        <v>250</v>
      </c>
      <c r="G216" s="535">
        <f>DR216+Sheet1!CZ214</f>
        <v>217.59959656983517</v>
      </c>
      <c r="H216" s="1074">
        <f t="shared" si="563"/>
        <v>0</v>
      </c>
      <c r="I216" s="534">
        <f>IF(Sheet1!DA214&gt;=E216,(Sheet1!DA214-E216+P216)*CFStoMGD,0)</f>
        <v>0</v>
      </c>
      <c r="J216" s="995">
        <f>IF(Sheet1!DB214&gt;=D216,(Sheet1!DB214-D216+P216)*CFStoMGD,0)</f>
        <v>0</v>
      </c>
      <c r="K216" s="818">
        <f t="shared" si="538"/>
        <v>0</v>
      </c>
      <c r="L216" s="535">
        <f>Sheet1!AA214+Sheet1!AB214-Sheet1!L214+(Sheet1!DA214-F216)*CFStoMGD-S216-T216-U216</f>
        <v>126.44989877353601</v>
      </c>
      <c r="M216" s="535">
        <f t="shared" si="436"/>
        <v>143.4695068071963</v>
      </c>
      <c r="N216" s="824">
        <f>IF(Sheet1!DA214&gt;=F216,MIN(113*CFStoMGD,MIN(MAX(L216,0),MAX(M216,0))),0)</f>
        <v>73.043199999999999</v>
      </c>
      <c r="O216" s="538">
        <f>Sheet1!AA214+Sheet1!AB214</f>
        <v>90.59</v>
      </c>
      <c r="P216" s="538">
        <f t="shared" si="437"/>
        <v>140.14272999999997</v>
      </c>
      <c r="Q216" s="812">
        <f t="shared" si="539"/>
        <v>68.273898773536018</v>
      </c>
      <c r="R216" s="812">
        <f t="shared" si="508"/>
        <v>22.5</v>
      </c>
      <c r="S216" s="812">
        <f t="shared" si="509"/>
        <v>0</v>
      </c>
      <c r="T216" s="812">
        <f t="shared" si="510"/>
        <v>0</v>
      </c>
      <c r="U216" s="812">
        <f>IF(AND(B216&gt;=FV216,B216&lt;=FW216),ED216+Sheet1!EH214,0)</f>
        <v>22.316101226463982</v>
      </c>
      <c r="V216" s="812"/>
      <c r="W216" s="812">
        <f t="shared" si="511"/>
        <v>0</v>
      </c>
      <c r="X216" s="812">
        <f t="shared" si="512"/>
        <v>0</v>
      </c>
      <c r="Y216" s="812" t="str">
        <f t="shared" si="513"/>
        <v>FALSE</v>
      </c>
      <c r="Z216" s="812">
        <f t="shared" si="514"/>
        <v>90.59</v>
      </c>
      <c r="AA216" s="812">
        <f t="shared" si="515"/>
        <v>90.59</v>
      </c>
      <c r="AB216" s="1059">
        <f t="shared" si="540"/>
        <v>105.61972140266022</v>
      </c>
      <c r="AC216" s="538">
        <f>Sheet1!Y214*MGDtoCFS</f>
        <v>54.763799999999996</v>
      </c>
      <c r="AD216" s="538">
        <f>Sheet1!Z214*MGDtoCFS</f>
        <v>84.837479999999999</v>
      </c>
      <c r="AE216" s="538">
        <f>Sheet1!AA214*MGDtoCFS</f>
        <v>50.896299999999997</v>
      </c>
      <c r="AF216" s="538">
        <f>Sheet1!AB214*MGDtoCFS</f>
        <v>89.246429999999989</v>
      </c>
      <c r="AG216" s="538">
        <f>Sheet1!L214*MGDtoCFS</f>
        <v>0</v>
      </c>
      <c r="AH216" s="521">
        <f t="shared" si="438"/>
        <v>22.500000000000004</v>
      </c>
      <c r="AI216" s="1059">
        <f t="shared" si="439"/>
        <v>34.807500000000005</v>
      </c>
      <c r="AJ216" s="535">
        <f t="shared" si="440"/>
        <v>0</v>
      </c>
      <c r="AK216" s="535">
        <f t="shared" si="441"/>
        <v>0</v>
      </c>
      <c r="AL216" s="535">
        <f>(VLOOKUP(Sheet1!DC214,hhdcap_wcm,4)-(((VLOOKUP(Sheet1!DC214,hhdcap_wcm,3)-Sheet1!DC214)/(VLOOKUP(Sheet1!DC214,hhdcap_wcm,3)-VLOOKUP(Sheet1!DC214,hhdcap_wcm,1)))*(VLOOKUP(Sheet1!DC214,hhdcap_wcm,4)-VLOOKUP(Sheet1!DC214,hhdcap_wcm,2))))</f>
        <v>44786.600000109029</v>
      </c>
      <c r="AM216" s="535">
        <f t="shared" si="442"/>
        <v>-163.4000000020169</v>
      </c>
      <c r="AN216" s="1035">
        <f t="shared" si="443"/>
        <v>2741.5725610524869</v>
      </c>
      <c r="AO216" s="535">
        <f t="shared" si="444"/>
        <v>8411.1446173090299</v>
      </c>
      <c r="AP216" s="535">
        <f>Sheet1!BA214+Sheet1!BB214+Sheet1!BN214+CD216</f>
        <v>36.5</v>
      </c>
      <c r="AQ216" s="535">
        <f>Sheet1!BN214+(DO216*Sheet1!BN214)</f>
        <v>36.373898773536013</v>
      </c>
      <c r="AR216" s="535">
        <f>Sheet1!BA214+CD216</f>
        <v>0</v>
      </c>
      <c r="AS216" s="535">
        <f>Sheet1!BA214+Sheet1!BB214+CD216</f>
        <v>0</v>
      </c>
      <c r="AT216" s="649">
        <f>0</f>
        <v>0</v>
      </c>
      <c r="AU216" s="974">
        <f>BA216+MAX(Sheet1!EH214,(O216-Q216-ED216-S216))</f>
        <v>1.0000000000000036</v>
      </c>
      <c r="AV216" s="535">
        <f>IF(OR(B216&gt;=GD216,B216&lt;GC216),0,15/36*K216-MAX(0,64.6-(137.6-(Sheet1!AA214+Sheet1!AB214))))</f>
        <v>0</v>
      </c>
      <c r="AW216" s="1029"/>
      <c r="AX216" s="649"/>
      <c r="AY216" s="649">
        <f t="shared" si="541"/>
        <v>0</v>
      </c>
      <c r="AZ216" s="649">
        <f t="shared" si="542"/>
        <v>0</v>
      </c>
      <c r="BA216" s="1059">
        <f t="shared" si="543"/>
        <v>0</v>
      </c>
      <c r="BB216" s="1019">
        <f t="shared" si="445"/>
        <v>1299.3333333333335</v>
      </c>
      <c r="BC216" s="1041">
        <f t="shared" si="544"/>
        <v>0</v>
      </c>
      <c r="BD216" s="1019">
        <f ca="1">IF(B216&gt;(Summary!$A$1-1),#N/A,BB216*MGtoAF)</f>
        <v>3986.3546666666671</v>
      </c>
      <c r="BE216" s="535">
        <f>Sheet1!BG214+Sheet1!BH214+Sheet1!BI214-BM216</f>
        <v>2.88</v>
      </c>
      <c r="BF216" s="535">
        <f t="shared" si="446"/>
        <v>2.8700500950077732</v>
      </c>
      <c r="BG216" s="535">
        <f>IF(Sheet1!EP214="FM",BM216,0)</f>
        <v>0</v>
      </c>
      <c r="BH216" s="535">
        <f t="shared" si="447"/>
        <v>0</v>
      </c>
      <c r="BI216" s="535">
        <f>IF(Sheet1!EP214="OTHER",BM216,0)</f>
        <v>0</v>
      </c>
      <c r="BJ216" s="535">
        <f t="shared" si="448"/>
        <v>0</v>
      </c>
      <c r="BK216" s="535">
        <f t="shared" si="449"/>
        <v>2.88</v>
      </c>
      <c r="BL216" s="535">
        <f t="shared" si="450"/>
        <v>2.8700500950077732</v>
      </c>
      <c r="BM216" s="535">
        <f>IF(OR(Sheet1!EP214="FM", Sheet1!EP214="OTHER"),SUM(Sheet1!BG214:'Sheet1'!BI214),0)</f>
        <v>0</v>
      </c>
      <c r="BN216" s="521">
        <f>IF(AND($B216&gt;=$FV216,$B216&lt;=$FW216),MAX(BF216,Sheet1!EI214,0),MAX(BF216-(7/36)*$K216,0))</f>
        <v>3</v>
      </c>
      <c r="BO216" s="535">
        <f t="shared" si="497"/>
        <v>0</v>
      </c>
      <c r="BP216" s="521">
        <f t="shared" si="452"/>
        <v>0</v>
      </c>
      <c r="BQ216" s="521">
        <f>IF(AND($O216&gt;0,Sheet1!EM214=1),(1-($O216-Sheet1!$L214)/$O216)*BL216,0)</f>
        <v>0</v>
      </c>
      <c r="BR216" s="521">
        <f>IF(AND(Sheet1!$L214=0,Sheet1!$L213=0, Calculation!BK216&lt;Sheet1!$EI214-0.1,Sheet1!$EI214=Sheet1!$EI213,Sheet1!$EI214=Sheet1!$EI215),BL216-BQ216,BL216-BQ216)</f>
        <v>2.8700500950077732</v>
      </c>
      <c r="BS216" s="1035" t="str">
        <f t="shared" si="545"/>
        <v/>
      </c>
      <c r="BT216" s="1035">
        <f t="shared" si="546"/>
        <v>0</v>
      </c>
      <c r="BU216" s="535">
        <f t="shared" si="453"/>
        <v>575.89693574973114</v>
      </c>
      <c r="BV216" s="535"/>
      <c r="BW216" s="535">
        <f ca="1">IF(B216&gt;(Summary!$A$1-1),#N/A,BU216*MGtoAF)</f>
        <v>1766.8517988801752</v>
      </c>
      <c r="BX216" s="535">
        <f>Sheet1!BC214+Sheet1!BD214+Sheet1!BE214+Sheet1!BF214-CG216-CH216</f>
        <v>7.02</v>
      </c>
      <c r="BY216" s="535">
        <f t="shared" si="454"/>
        <v>6.9957471065814465</v>
      </c>
      <c r="BZ216" s="535">
        <f>IF(Sheet1!EQ214="FM",CH216,0)</f>
        <v>0</v>
      </c>
      <c r="CA216" s="535">
        <f t="shared" si="455"/>
        <v>0</v>
      </c>
      <c r="CB216" s="535">
        <f>IF(Sheet1!EQ214="OTHER",CH216,0)</f>
        <v>0</v>
      </c>
      <c r="CC216" s="535">
        <f t="shared" si="456"/>
        <v>0</v>
      </c>
      <c r="CD216" s="535">
        <f t="shared" si="457"/>
        <v>0</v>
      </c>
      <c r="CE216" s="535">
        <f t="shared" si="458"/>
        <v>7.02</v>
      </c>
      <c r="CF216" s="535">
        <f t="shared" si="459"/>
        <v>6.9957471065814465</v>
      </c>
      <c r="CG216" s="535">
        <f>IF(Sheet1!EQ214="CWA",SUM(Sheet1!BC214:'Sheet1'!BF214),0)</f>
        <v>0</v>
      </c>
      <c r="CH216" s="535">
        <f>IF(OR(Sheet1!EQ214="FM", Sheet1!EQ214="OTHER"),SUM(Sheet1!BC214:'Sheet1'!BF214),0)</f>
        <v>0</v>
      </c>
      <c r="CI216" s="521">
        <f>IF(AND($B216&gt;=$FV216,$B216&lt;=$FW216),MAX(CF216,Sheet1!EJ214,0),MAX(CF216-(7/36)*$K216,0))</f>
        <v>7</v>
      </c>
      <c r="CJ216" s="535">
        <f t="shared" si="499"/>
        <v>0</v>
      </c>
      <c r="CK216" s="521">
        <f t="shared" si="461"/>
        <v>0</v>
      </c>
      <c r="CL216" s="521">
        <f>IF(AND($O216&gt;0,Sheet1!EN214=1),(1-($O216-Sheet1!$L214)/$O216)*CF216,0)</f>
        <v>0</v>
      </c>
      <c r="CM216" s="521">
        <f>IF(AND(Sheet1!$L214=0,Sheet1!$L213=0, Calculation!CE216&lt;Sheet1!EJ214-0.1,Sheet1!EJ214=Sheet1!EJ213,Sheet1!EJ214=Sheet1!EJ215),CF216-CL216,CF216-CL216)</f>
        <v>6.9957471065814465</v>
      </c>
      <c r="CN216" s="1040" t="str">
        <f t="shared" si="547"/>
        <v/>
      </c>
      <c r="CO216" s="1035">
        <f t="shared" si="548"/>
        <v>0</v>
      </c>
      <c r="CP216" s="535">
        <f t="shared" si="462"/>
        <v>480.37482335490836</v>
      </c>
      <c r="CQ216" s="535"/>
      <c r="CR216" s="535">
        <f ca="1">IF(B216&gt;(Summary!$A$1-1),#N/A,CP216*MGtoAF)</f>
        <v>1473.7899580528588</v>
      </c>
      <c r="CS216" s="535">
        <f>Sheet1!BK214+Sheet1!BL214+Sheet1!BM214-Sheet1!ER214-DA216</f>
        <v>11.489999999999998</v>
      </c>
      <c r="CT216" s="535">
        <f t="shared" si="463"/>
        <v>11.450304024874761</v>
      </c>
      <c r="CU216" s="535">
        <f>IF(Sheet1!ER214="FM",DA216,0)</f>
        <v>0</v>
      </c>
      <c r="CV216" s="535">
        <f t="shared" si="464"/>
        <v>0</v>
      </c>
      <c r="CW216" s="535">
        <f>IF(Sheet1!ER214="OTHER",DA216,0)</f>
        <v>0</v>
      </c>
      <c r="CX216" s="535">
        <f t="shared" si="465"/>
        <v>0</v>
      </c>
      <c r="CY216" s="535">
        <f t="shared" si="466"/>
        <v>11.489999999999998</v>
      </c>
      <c r="CZ216" s="535">
        <f t="shared" si="467"/>
        <v>11.450304024874761</v>
      </c>
      <c r="DA216" s="535">
        <f>IF(OR(Sheet1!ER214="FM", Sheet1!ER214="OTHER"),SUM(Sheet1!BK214:'Sheet1'!BM214),0)</f>
        <v>0</v>
      </c>
      <c r="DB216" s="1011">
        <f>IF(AND($B216&gt;=$FV216,$B216&lt;=$FW216),MAX($CT216,Sheet1!EK214,0),MAX($CT216-(7/36)*$K216,0))</f>
        <v>11.5</v>
      </c>
      <c r="DC216" s="1012">
        <f t="shared" si="498"/>
        <v>0</v>
      </c>
      <c r="DD216" s="1011">
        <f t="shared" si="469"/>
        <v>0</v>
      </c>
      <c r="DE216" s="521">
        <f>IF(AND($O216&gt;0,Sheet1!EO214=1),(1-($O216-Sheet1!$L214)/$O216)*CZ216,0)</f>
        <v>0</v>
      </c>
      <c r="DF216" s="521">
        <f>IF(AND(Sheet1!$L214=0,Sheet1!$L213=0, Calculation!CY216&lt;Sheet1!$EK214-0.1,Sheet1!$EK214=Sheet1!$EK213,Sheet1!$EK214=Sheet1!$EK215),CZ216-DE216,CZ216-DE216)</f>
        <v>11.450304024874761</v>
      </c>
      <c r="DG216" s="1040">
        <f t="shared" si="549"/>
        <v>0</v>
      </c>
      <c r="DH216" s="649">
        <f t="shared" si="470"/>
        <v>21.389999999999997</v>
      </c>
      <c r="DI216" s="535">
        <f t="shared" si="471"/>
        <v>385.96746861451368</v>
      </c>
      <c r="DJ216" s="649">
        <f t="shared" si="472"/>
        <v>21.316101226463982</v>
      </c>
      <c r="DK216" s="535">
        <f ca="1">IF(B216&gt;(Summary!$A$1-1),#N/A,DI216*MGtoAF)</f>
        <v>1184.1481937093281</v>
      </c>
      <c r="DL216" s="649">
        <f t="shared" si="473"/>
        <v>21.389999999999997</v>
      </c>
      <c r="DM216" s="535">
        <f t="shared" si="474"/>
        <v>57.89</v>
      </c>
      <c r="DN216" s="535">
        <f>Sheet1!AB214-DM216</f>
        <v>-0.20000000000000284</v>
      </c>
      <c r="DO216" s="743">
        <f t="shared" si="475"/>
        <v>-3.4548281223009646E-3</v>
      </c>
      <c r="DP216" s="535">
        <f>(VLOOKUP(Sheet1!DC214,hhdcap_wcm,4)-(((VLOOKUP(Sheet1!DC214,hhdcap_wcm,3)-Sheet1!DC214)/(VLOOKUP(Sheet1!DC214,hhdcap_wcm,3)-VLOOKUP(Sheet1!DC214,hhdcap_wcm,1)))*(VLOOKUP(Sheet1!DC214,hhdcap_wcm,4)-VLOOKUP(Sheet1!DC214,hhdcap_wcm,2))))</f>
        <v>44786.600000109029</v>
      </c>
      <c r="DQ216" s="535">
        <f t="shared" si="476"/>
        <v>-163.4000000020169</v>
      </c>
      <c r="DR216" s="535">
        <f t="shared" si="477"/>
        <v>-82.400403430164843</v>
      </c>
      <c r="DS216" s="535">
        <f>Sheet1!EA214*AFtoMG</f>
        <v>0</v>
      </c>
      <c r="DT216" s="535">
        <f>Sheet1!EB214*AFtoMG</f>
        <v>0</v>
      </c>
      <c r="DU216" s="535">
        <f>Sheet1!EC214*AFtoMG</f>
        <v>0</v>
      </c>
      <c r="DV216" s="535">
        <f>Sheet1!ED214*AFtoMG</f>
        <v>0</v>
      </c>
      <c r="DW216" s="535">
        <f t="shared" si="478"/>
        <v>0</v>
      </c>
      <c r="DX216" s="535">
        <f t="shared" si="479"/>
        <v>0</v>
      </c>
      <c r="DY216" s="535">
        <f t="shared" si="480"/>
        <v>2741.5725610524869</v>
      </c>
      <c r="DZ216" s="535">
        <f t="shared" si="481"/>
        <v>8411.1446173090299</v>
      </c>
      <c r="EA216" s="535"/>
      <c r="EB216" s="521">
        <f>IF(OR(B216&lt;FV216,B216&gt;FW216),(MIN(BF216+BY216+CT216+MAX(Sheet1!AA214+AQ216-73,0),K216)),0)</f>
        <v>0</v>
      </c>
      <c r="EC216" s="535"/>
      <c r="ED216" s="535">
        <f t="shared" si="482"/>
        <v>21.316101226463982</v>
      </c>
      <c r="EE216" s="535"/>
      <c r="EF216" s="535">
        <f>Sheet1!EH214+Sheet1!EI214+Sheet1!EJ214+Sheet1!EK214</f>
        <v>22.5</v>
      </c>
      <c r="EG216" s="1019">
        <f t="shared" si="550"/>
        <v>34.807499999999997</v>
      </c>
      <c r="EH216" s="521">
        <f t="shared" si="483"/>
        <v>0</v>
      </c>
      <c r="EI216" s="535">
        <f>IF(Sheet1!ET214=1,SUM('Calculations II'!AT216:BA216)+'Calculations II'!BC216+Sheet1!BV214+'Calculations II'!BE216+AP216,'Calculations II'!BK216)</f>
        <v>78.560090773536018</v>
      </c>
      <c r="EJ216" s="535">
        <f ca="1">EI216+'Calculations II'!D216+'Calculations II'!E216+'Calculations II'!O216</f>
        <v>79.325182000428896</v>
      </c>
      <c r="EK216" s="535"/>
      <c r="EL216" s="535"/>
      <c r="EM216" s="535">
        <f t="shared" si="484"/>
        <v>42940</v>
      </c>
      <c r="EN216" s="535">
        <f t="shared" si="485"/>
        <v>-22.500000000000004</v>
      </c>
      <c r="EO216" s="535">
        <f t="shared" si="486"/>
        <v>-34.807500000000005</v>
      </c>
      <c r="EP216" s="535">
        <v>0</v>
      </c>
      <c r="EQ216" s="535">
        <v>0</v>
      </c>
      <c r="ER216" s="535">
        <v>0</v>
      </c>
      <c r="ES216" s="521">
        <f t="shared" si="516"/>
        <v>0.55368280207353826</v>
      </c>
      <c r="ET216" s="535">
        <f>-(VLOOKUP(Sheet1!BQ214,Lookup!$O$4:$Q$262,2)-VLOOKUP(Sheet1!BQ213,Lookup!$O$4:$Q$262,2))/1000000</f>
        <v>0.27679655353728311</v>
      </c>
      <c r="EU216" s="535">
        <f>-(VLOOKUP(Sheet1!BR214,Lookup!$O$4:$Q$262,3)-VLOOKUP(Sheet1!BR213,Lookup!$O$4:$Q$262,3))/1000000</f>
        <v>0.27688624853625521</v>
      </c>
      <c r="EV216" s="535"/>
      <c r="EW216" s="535"/>
      <c r="EX216" s="535"/>
      <c r="EY216" s="535"/>
      <c r="EZ216" s="535"/>
      <c r="FA216" s="535"/>
      <c r="FB216" s="535"/>
      <c r="FC216" s="535"/>
      <c r="FD216" s="567">
        <f t="shared" si="504"/>
        <v>1137.6676056337249</v>
      </c>
      <c r="FE216" s="567" t="e">
        <f t="shared" si="488"/>
        <v>#N/A</v>
      </c>
      <c r="FF216" s="568" t="e">
        <f t="shared" si="489"/>
        <v>#N/A</v>
      </c>
      <c r="FG216" s="569" t="s">
        <v>656</v>
      </c>
      <c r="FH216" s="569" t="s">
        <v>656</v>
      </c>
      <c r="FI216" s="567" t="e">
        <v>#N/A</v>
      </c>
      <c r="FJ216" s="725">
        <v>21570</v>
      </c>
      <c r="FK216" s="535"/>
      <c r="FL216" s="1015">
        <f t="shared" si="503"/>
        <v>41.855774079677253</v>
      </c>
      <c r="FM216" s="535"/>
      <c r="FN216" s="535"/>
      <c r="FO216" s="535">
        <f>O216+((Sheet1!CS214)*GPMtoMGD)</f>
        <v>98.016800000000003</v>
      </c>
      <c r="FP216" s="535">
        <f>IF(Sheet1!AA214+AQ216&lt;=Calculation!N216,AQ216,Calculation!N216-Sheet1!AA214)</f>
        <v>36.373898773536013</v>
      </c>
      <c r="FQ216" s="535">
        <f>(Sheet1!BP214+Sheet1!BO214)/694.4</f>
        <v>4.3385656682027651</v>
      </c>
      <c r="FR216" s="541"/>
      <c r="FS216" s="541"/>
      <c r="FT216" s="541"/>
      <c r="FU216" s="541"/>
      <c r="FV216" s="1109">
        <f t="shared" si="517"/>
        <v>42918</v>
      </c>
      <c r="FW216" s="1109">
        <f t="shared" si="518"/>
        <v>43027</v>
      </c>
      <c r="FX216" s="541"/>
      <c r="FY216" s="541">
        <f>Sheet1!DA214-Sheet1!CZ214-Sheet1!AE214</f>
        <v>-100.14273</v>
      </c>
      <c r="FZ216" s="535">
        <f t="shared" si="551"/>
        <v>-0.46021560507746972</v>
      </c>
      <c r="GA216" s="535"/>
      <c r="GB216" s="535" t="str">
        <f t="shared" si="519"/>
        <v>n</v>
      </c>
      <c r="GC216" s="539">
        <f t="shared" si="520"/>
        <v>42782</v>
      </c>
      <c r="GD216" s="1109">
        <f t="shared" si="521"/>
        <v>42904</v>
      </c>
      <c r="GE216" s="535">
        <f t="shared" si="537"/>
        <v>6520</v>
      </c>
      <c r="GF216" s="1109">
        <f t="shared" si="522"/>
        <v>42909</v>
      </c>
      <c r="GG216" s="535">
        <f t="shared" si="564"/>
        <v>3260</v>
      </c>
      <c r="GH216" s="539">
        <f t="shared" si="523"/>
        <v>43040</v>
      </c>
      <c r="GJ216" s="521">
        <f t="shared" si="524"/>
        <v>0</v>
      </c>
      <c r="GK216" s="535" t="str">
        <f t="shared" si="490"/>
        <v/>
      </c>
      <c r="GL216" s="535">
        <f t="shared" si="525"/>
        <v>0</v>
      </c>
      <c r="GM216" s="535" t="str">
        <f t="shared" si="526"/>
        <v/>
      </c>
      <c r="GN216" s="535">
        <f>IF(GK216="P",Lookup!$M$12,IF(GK216="PP",Lookup!$M$13,IF(GK216="PPP",Lookup!$M$14,IF(GK216="T",Lookup!$M$15,IF(GK216="TP",Lookup!$M$16,IF(GK216="TPP",Lookup!$M$17,IF(GK216="TPPP",Lookup!$M$18,0)))))))*GJ216</f>
        <v>0</v>
      </c>
      <c r="GO216" s="535">
        <f t="shared" si="527"/>
        <v>0</v>
      </c>
      <c r="GP216" s="535">
        <f t="shared" si="491"/>
        <v>3986.3546666666671</v>
      </c>
      <c r="GQ216" s="974">
        <f t="shared" si="500"/>
        <v>1299.3333333333335</v>
      </c>
      <c r="GR216" s="535"/>
      <c r="GS216" s="535">
        <f t="shared" si="528"/>
        <v>0</v>
      </c>
      <c r="GT216" s="535" t="str">
        <f t="shared" si="529"/>
        <v/>
      </c>
      <c r="GU216" s="535">
        <f>IF(GK216="P",Lookup!$N$12,IF(GK216="PP",Lookup!$N$13,IF(GK216="PPP",Lookup!$N$14,IF(GK216="T",Lookup!$N$15,IF(GK216="TP",Lookup!$N$16,IF(GK216="TPP",Lookup!$N$17,IF(GK216="TPPP",Lookup!$N$18,0)))))))*GJ216</f>
        <v>0</v>
      </c>
      <c r="GV216" s="535">
        <f t="shared" si="530"/>
        <v>0</v>
      </c>
      <c r="GW216" s="535">
        <f t="shared" si="492"/>
        <v>1766.8517988801752</v>
      </c>
      <c r="GX216" s="974">
        <f t="shared" si="501"/>
        <v>575.89693574973114</v>
      </c>
      <c r="GY216" s="535"/>
      <c r="GZ216" s="535">
        <f t="shared" si="531"/>
        <v>0</v>
      </c>
      <c r="HA216" s="535" t="str">
        <f t="shared" si="532"/>
        <v/>
      </c>
      <c r="HB216" s="535">
        <f>IF(GK216="P",Lookup!$N$12,IF(GK216="PP",Lookup!$N$13,IF(GK216="PPP",Lookup!$N$14,IF(GK216="T",Lookup!$N$15,IF(GK216="TP",Lookup!$N$16,IF(GK216="TPP",Lookup!$N$17,IF(GK216="TPPP",Lookup!$N$18,0)))))))*GJ216</f>
        <v>0</v>
      </c>
      <c r="HC216" s="521">
        <f t="shared" si="493"/>
        <v>0</v>
      </c>
      <c r="HD216" s="535">
        <f t="shared" si="494"/>
        <v>1473.7899580528588</v>
      </c>
      <c r="HE216" s="535">
        <f t="shared" si="535"/>
        <v>480.37482335490836</v>
      </c>
      <c r="HF216" s="535"/>
      <c r="HG216" s="535">
        <f t="shared" si="533"/>
        <v>0</v>
      </c>
      <c r="HH216" s="535" t="str">
        <f t="shared" si="534"/>
        <v/>
      </c>
      <c r="HI216" s="535">
        <f>IF(GK216="P",Lookup!$N$12,IF(GK216="PP",Lookup!$N$13,IF(GK216="PPP",Lookup!$N$14,IF(GK216="T",Lookup!$N$15,IF(GK216="TP",Lookup!$N$16,IF(GK216="TPP",Lookup!$N$17,IF(GK216="TPPP",Lookup!$N$18,0)))))))*GJ216</f>
        <v>0</v>
      </c>
      <c r="HJ216" s="521">
        <f t="shared" si="495"/>
        <v>0</v>
      </c>
      <c r="HK216" s="535">
        <f t="shared" si="496"/>
        <v>1184.1481937093281</v>
      </c>
      <c r="HL216" s="535">
        <f t="shared" si="536"/>
        <v>385.96746861451368</v>
      </c>
      <c r="HM216" s="535"/>
      <c r="HN216" s="541"/>
      <c r="HO216" s="541"/>
      <c r="HP216" s="541"/>
      <c r="HQ216" s="541">
        <f>IF(AND(B216&gt;=$FV$4,B216&lt;=$FW$4),MAX(110/1.02+$HQ$6+MIN(113/1.02,G216),IF($HV$6-(Sheet1!DA214-Sheet1!DB214)+MIN(113/1.02,G216)&lt;G216+FL216,$HV$6-(Sheet1!DA214-Sheet1!DB214)+MIN(113/1.02,G216),G216+FL216)),MIN(110/1.02+$HQ$6+113/1.02,G216))</f>
        <v>218.62745098039215</v>
      </c>
      <c r="HR216" s="541">
        <f t="shared" si="552"/>
        <v>223</v>
      </c>
      <c r="HS216" s="541">
        <f>HR216+(Sheet1!DA214-Sheet1!DB214)</f>
        <v>387</v>
      </c>
      <c r="HT216" s="541">
        <f t="shared" si="553"/>
        <v>105.61972140266022</v>
      </c>
      <c r="HU216" s="541">
        <f t="shared" si="554"/>
        <v>281.38027859733978</v>
      </c>
      <c r="HV216" s="541">
        <f t="shared" si="555"/>
        <v>0</v>
      </c>
      <c r="HW216" s="541" t="str">
        <f t="shared" si="556"/>
        <v/>
      </c>
      <c r="HX216" s="541">
        <f t="shared" si="557"/>
        <v>46.565049019607841</v>
      </c>
      <c r="HY216" s="541">
        <f>Sheet1!CZ214</f>
        <v>300</v>
      </c>
      <c r="HZ216" s="541">
        <f t="shared" si="558"/>
        <v>34.807500000000005</v>
      </c>
      <c r="IA216" s="541">
        <f t="shared" si="559"/>
        <v>105.61972140266022</v>
      </c>
      <c r="IB216" s="541">
        <f t="shared" si="560"/>
        <v>265.1925</v>
      </c>
      <c r="IC216" s="1019" t="str">
        <f t="shared" si="561"/>
        <v/>
      </c>
      <c r="ID216" s="541">
        <f t="shared" si="562"/>
        <v>159.57277859733978</v>
      </c>
      <c r="IE216" s="541">
        <f>Sheet1!DB214</f>
        <v>176</v>
      </c>
      <c r="IF216" s="533">
        <f>Sheet1!DA214</f>
        <v>340</v>
      </c>
      <c r="IH216" s="541">
        <f>IF(AND($B216&gt;=$GC216,$B216&lt;=$GH216,$DR216&lt;0)+N("only adjusted when pool is drawn down during storage season"),Sheet1!$DB214+$DR216+N("Palmer minus all storage release"),Sheet1!$DB214)</f>
        <v>93.599596569835157</v>
      </c>
      <c r="II216" s="541">
        <f>IF(AND($B216&gt;=$GC216,$B216&lt;=$GH216,$DR216&lt;0)+N("only adjusted when pool is drawn down during storage season"),Sheet1!$DA214+$DR216+N("Auburn minus all storage release"),Sheet1!$DA214)</f>
        <v>257.59959656983517</v>
      </c>
    </row>
    <row r="217" spans="1:243" x14ac:dyDescent="0.25">
      <c r="A217" s="553" t="s">
        <v>5</v>
      </c>
      <c r="B217" s="531">
        <v>42941</v>
      </c>
      <c r="C217" s="536">
        <v>0</v>
      </c>
      <c r="D217" s="506">
        <f t="shared" si="506"/>
        <v>200</v>
      </c>
      <c r="E217" s="506">
        <f t="shared" si="507"/>
        <v>400</v>
      </c>
      <c r="F217" s="506">
        <v>250</v>
      </c>
      <c r="G217" s="535">
        <f>DR217+Sheet1!CZ215</f>
        <v>215.30559757930035</v>
      </c>
      <c r="H217" s="1074">
        <f t="shared" si="563"/>
        <v>0</v>
      </c>
      <c r="I217" s="534">
        <f>IF(Sheet1!DA215&gt;=E217,(Sheet1!DA215-E217+P217)*CFStoMGD,0)</f>
        <v>0</v>
      </c>
      <c r="J217" s="995">
        <f>IF(Sheet1!DB215&gt;=D217,(Sheet1!DB215-D217+P217)*CFStoMGD,0)</f>
        <v>0</v>
      </c>
      <c r="K217" s="818">
        <f t="shared" si="538"/>
        <v>0</v>
      </c>
      <c r="L217" s="535">
        <f>Sheet1!AA215+Sheet1!AB215-Sheet1!L215+(Sheet1!DA215-F217)*CFStoMGD-S217-T217-U217</f>
        <v>123.72823858713762</v>
      </c>
      <c r="M217" s="535">
        <f t="shared" si="436"/>
        <v>141.95700904076494</v>
      </c>
      <c r="N217" s="824">
        <f>IF(Sheet1!DA215&gt;=F217,MIN(113*CFStoMGD,MIN(MAX(L217,0),MAX(M217,0))),0)</f>
        <v>73.043199999999999</v>
      </c>
      <c r="O217" s="538">
        <f>Sheet1!AA215+Sheet1!AB215</f>
        <v>91.14</v>
      </c>
      <c r="P217" s="538">
        <f t="shared" si="437"/>
        <v>140.99358000000001</v>
      </c>
      <c r="Q217" s="812">
        <f t="shared" si="539"/>
        <v>68.784238587137622</v>
      </c>
      <c r="R217" s="812">
        <f t="shared" si="508"/>
        <v>22.5</v>
      </c>
      <c r="S217" s="812">
        <f t="shared" si="509"/>
        <v>0</v>
      </c>
      <c r="T217" s="812">
        <f t="shared" si="510"/>
        <v>0</v>
      </c>
      <c r="U217" s="812">
        <f>IF(AND(B217&gt;=FV217,B217&lt;=FW217),ED217+Sheet1!EH215,0)</f>
        <v>22.355761412862378</v>
      </c>
      <c r="V217" s="812"/>
      <c r="W217" s="812">
        <f t="shared" si="511"/>
        <v>0</v>
      </c>
      <c r="X217" s="812">
        <f t="shared" si="512"/>
        <v>0</v>
      </c>
      <c r="Y217" s="812" t="str">
        <f t="shared" si="513"/>
        <v>FALSE</v>
      </c>
      <c r="Z217" s="812">
        <f t="shared" si="514"/>
        <v>91.14</v>
      </c>
      <c r="AA217" s="812">
        <f t="shared" si="515"/>
        <v>91.14</v>
      </c>
      <c r="AB217" s="1059">
        <f t="shared" si="540"/>
        <v>106.40921709430189</v>
      </c>
      <c r="AC217" s="538">
        <f>Sheet1!Y215*MGDtoCFS</f>
        <v>50.896299999999997</v>
      </c>
      <c r="AD217" s="538">
        <f>Sheet1!Z215*MGDtoCFS</f>
        <v>89.246429999999989</v>
      </c>
      <c r="AE217" s="538">
        <f>Sheet1!AA215*MGDtoCFS</f>
        <v>48.421099999999996</v>
      </c>
      <c r="AF217" s="538">
        <f>Sheet1!AB215*MGDtoCFS</f>
        <v>92.572479999999999</v>
      </c>
      <c r="AG217" s="538">
        <f>Sheet1!L215*MGDtoCFS</f>
        <v>0</v>
      </c>
      <c r="AH217" s="521">
        <f t="shared" si="438"/>
        <v>22.5</v>
      </c>
      <c r="AI217" s="1059">
        <f t="shared" si="439"/>
        <v>34.807499999999997</v>
      </c>
      <c r="AJ217" s="535">
        <f t="shared" si="440"/>
        <v>0</v>
      </c>
      <c r="AK217" s="535">
        <f t="shared" si="441"/>
        <v>0</v>
      </c>
      <c r="AL217" s="535">
        <f>(VLOOKUP(Sheet1!DC215,hhdcap_wcm,4)-(((VLOOKUP(Sheet1!DC215,hhdcap_wcm,3)-Sheet1!DC215)/(VLOOKUP(Sheet1!DC215,hhdcap_wcm,3)-VLOOKUP(Sheet1!DC215,hhdcap_wcm,1)))*(VLOOKUP(Sheet1!DC215,hhdcap_wcm,4)-VLOOKUP(Sheet1!DC215,hhdcap_wcm,2))))</f>
        <v>44624.600000108781</v>
      </c>
      <c r="AM217" s="535">
        <f t="shared" si="442"/>
        <v>-162.00000000024738</v>
      </c>
      <c r="AN217" s="1035">
        <f t="shared" si="443"/>
        <v>2719.0725610524869</v>
      </c>
      <c r="AO217" s="535">
        <f t="shared" si="444"/>
        <v>8342.1146173090292</v>
      </c>
      <c r="AP217" s="535">
        <f>Sheet1!BA215+Sheet1!BB215+Sheet1!BN215+CD217</f>
        <v>38.6</v>
      </c>
      <c r="AQ217" s="535">
        <f>Sheet1!BN215+(DO217*Sheet1!BN215)</f>
        <v>38.484238587137625</v>
      </c>
      <c r="AR217" s="535">
        <f>Sheet1!BA215+CD217</f>
        <v>0</v>
      </c>
      <c r="AS217" s="535">
        <f>Sheet1!BA215+Sheet1!BB215+CD217</f>
        <v>0</v>
      </c>
      <c r="AT217" s="649">
        <f>0</f>
        <v>0</v>
      </c>
      <c r="AU217" s="974">
        <f>BA217+MAX(Sheet1!EH215,(O217-Q217-ED217-S217))</f>
        <v>1</v>
      </c>
      <c r="AV217" s="535">
        <f>IF(OR(B217&gt;=GD217,B217&lt;GC217),0,15/36*K217-MAX(0,64.6-(137.6-(Sheet1!AA215+Sheet1!AB215))))</f>
        <v>0</v>
      </c>
      <c r="AW217" s="1029"/>
      <c r="AX217" s="649"/>
      <c r="AY217" s="649">
        <f t="shared" si="541"/>
        <v>0</v>
      </c>
      <c r="AZ217" s="649">
        <f t="shared" si="542"/>
        <v>0</v>
      </c>
      <c r="BA217" s="1059">
        <f t="shared" si="543"/>
        <v>0</v>
      </c>
      <c r="BB217" s="1019">
        <f t="shared" si="445"/>
        <v>1298.3333333333335</v>
      </c>
      <c r="BC217" s="1041">
        <f t="shared" si="544"/>
        <v>0</v>
      </c>
      <c r="BD217" s="1019">
        <f ca="1">IF(B217&gt;(Summary!$A$1-1),#N/A,BB217*MGtoAF)</f>
        <v>3983.2866666666673</v>
      </c>
      <c r="BE217" s="535">
        <f>Sheet1!BG215+Sheet1!BH215+Sheet1!BI215-BM217</f>
        <v>2.93</v>
      </c>
      <c r="BF217" s="535">
        <f t="shared" si="446"/>
        <v>2.921212929023659</v>
      </c>
      <c r="BG217" s="535">
        <f>IF(Sheet1!EP215="FM",BM217,0)</f>
        <v>0</v>
      </c>
      <c r="BH217" s="535">
        <f t="shared" si="447"/>
        <v>0</v>
      </c>
      <c r="BI217" s="535">
        <f>IF(Sheet1!EP215="OTHER",BM217,0)</f>
        <v>0</v>
      </c>
      <c r="BJ217" s="535">
        <f t="shared" si="448"/>
        <v>0</v>
      </c>
      <c r="BK217" s="535">
        <f t="shared" si="449"/>
        <v>2.93</v>
      </c>
      <c r="BL217" s="535">
        <f t="shared" si="450"/>
        <v>2.921212929023659</v>
      </c>
      <c r="BM217" s="535">
        <f>IF(OR(Sheet1!EP215="FM", Sheet1!EP215="OTHER"),SUM(Sheet1!BG215:'Sheet1'!BI215),0)</f>
        <v>0</v>
      </c>
      <c r="BN217" s="521">
        <f>IF(AND($B217&gt;=$FV217,$B217&lt;=$FW217),MAX(BF217,Sheet1!EI215,0),MAX(BF217-(7/36)*$K217,0))</f>
        <v>3</v>
      </c>
      <c r="BO217" s="535">
        <f t="shared" si="497"/>
        <v>0</v>
      </c>
      <c r="BP217" s="521">
        <f t="shared" si="452"/>
        <v>0</v>
      </c>
      <c r="BQ217" s="521">
        <f>IF(AND($O217&gt;0,Sheet1!EM215=1),(1-($O217-Sheet1!$L215)/$O217)*BL217,0)</f>
        <v>0</v>
      </c>
      <c r="BR217" s="521">
        <f>IF(AND(Sheet1!$L215=0,Sheet1!$L214=0, Calculation!BK217&lt;Sheet1!$EI215-0.1,Sheet1!$EI215=Sheet1!$EI214,Sheet1!$EI215=Sheet1!$EI216),BL217-BQ217,BL217-BQ217)</f>
        <v>2.921212929023659</v>
      </c>
      <c r="BS217" s="1035" t="str">
        <f t="shared" si="545"/>
        <v/>
      </c>
      <c r="BT217" s="1035">
        <f t="shared" si="546"/>
        <v>0</v>
      </c>
      <c r="BU217" s="535">
        <f t="shared" si="453"/>
        <v>572.89693574973114</v>
      </c>
      <c r="BV217" s="535"/>
      <c r="BW217" s="535">
        <f ca="1">IF(B217&gt;(Summary!$A$1-1),#N/A,BU217*MGtoAF)</f>
        <v>1757.6477988801753</v>
      </c>
      <c r="BX217" s="535">
        <f>Sheet1!BC215+Sheet1!BD215+Sheet1!BE215+Sheet1!BF215-CG217-CH217</f>
        <v>7.01</v>
      </c>
      <c r="BY217" s="535">
        <f t="shared" si="454"/>
        <v>6.9889770076641113</v>
      </c>
      <c r="BZ217" s="535">
        <f>IF(Sheet1!EQ215="FM",CH217,0)</f>
        <v>0</v>
      </c>
      <c r="CA217" s="535">
        <f t="shared" si="455"/>
        <v>0</v>
      </c>
      <c r="CB217" s="535">
        <f>IF(Sheet1!EQ215="OTHER",CH217,0)</f>
        <v>0</v>
      </c>
      <c r="CC217" s="535">
        <f t="shared" si="456"/>
        <v>0</v>
      </c>
      <c r="CD217" s="535">
        <f t="shared" si="457"/>
        <v>0</v>
      </c>
      <c r="CE217" s="535">
        <f t="shared" si="458"/>
        <v>7.01</v>
      </c>
      <c r="CF217" s="535">
        <f t="shared" si="459"/>
        <v>6.9889770076641113</v>
      </c>
      <c r="CG217" s="535">
        <f>IF(Sheet1!EQ215="CWA",SUM(Sheet1!BC215:'Sheet1'!BF215),0)</f>
        <v>0</v>
      </c>
      <c r="CH217" s="535">
        <f>IF(OR(Sheet1!EQ215="FM", Sheet1!EQ215="OTHER"),SUM(Sheet1!BC215:'Sheet1'!BF215),0)</f>
        <v>0</v>
      </c>
      <c r="CI217" s="521">
        <f>IF(AND($B217&gt;=$FV217,$B217&lt;=$FW217),MAX(CF217,Sheet1!EJ215,0),MAX(CF217-(7/36)*$K217,0))</f>
        <v>7</v>
      </c>
      <c r="CJ217" s="535">
        <f t="shared" si="499"/>
        <v>0</v>
      </c>
      <c r="CK217" s="521">
        <f t="shared" si="461"/>
        <v>0</v>
      </c>
      <c r="CL217" s="521">
        <f>IF(AND($O217&gt;0,Sheet1!EN215=1),(1-($O217-Sheet1!$L215)/$O217)*CF217,0)</f>
        <v>0</v>
      </c>
      <c r="CM217" s="521">
        <f>IF(AND(Sheet1!$L215=0,Sheet1!$L214=0, Calculation!CE217&lt;Sheet1!EJ215-0.1,Sheet1!EJ215=Sheet1!EJ214,Sheet1!EJ215=Sheet1!EJ216),CF217-CL217,CF217-CL217)</f>
        <v>6.9889770076641113</v>
      </c>
      <c r="CN217" s="1040" t="str">
        <f t="shared" si="547"/>
        <v/>
      </c>
      <c r="CO217" s="1035">
        <f t="shared" si="548"/>
        <v>0</v>
      </c>
      <c r="CP217" s="535">
        <f t="shared" si="462"/>
        <v>473.37482335490836</v>
      </c>
      <c r="CQ217" s="535"/>
      <c r="CR217" s="535">
        <f ca="1">IF(B217&gt;(Summary!$A$1-1),#N/A,CP217*MGtoAF)</f>
        <v>1452.3139580528589</v>
      </c>
      <c r="CS217" s="535">
        <f>Sheet1!BK215+Sheet1!BL215+Sheet1!BM215-Sheet1!ER215-DA217</f>
        <v>11.48</v>
      </c>
      <c r="CT217" s="535">
        <f t="shared" si="463"/>
        <v>11.445571476174608</v>
      </c>
      <c r="CU217" s="535">
        <f>IF(Sheet1!ER215="FM",DA217,0)</f>
        <v>0</v>
      </c>
      <c r="CV217" s="535">
        <f t="shared" si="464"/>
        <v>0</v>
      </c>
      <c r="CW217" s="535">
        <f>IF(Sheet1!ER215="OTHER",DA217,0)</f>
        <v>0</v>
      </c>
      <c r="CX217" s="535">
        <f t="shared" si="465"/>
        <v>0</v>
      </c>
      <c r="CY217" s="535">
        <f t="shared" si="466"/>
        <v>11.48</v>
      </c>
      <c r="CZ217" s="535">
        <f t="shared" si="467"/>
        <v>11.445571476174608</v>
      </c>
      <c r="DA217" s="535">
        <f>IF(OR(Sheet1!ER215="FM", Sheet1!ER215="OTHER"),SUM(Sheet1!BK215:'Sheet1'!BM215),0)</f>
        <v>0</v>
      </c>
      <c r="DB217" s="1011">
        <f>IF(AND($B217&gt;=$FV217,$B217&lt;=$FW217),MAX($CT217,Sheet1!EK215,0),MAX($CT217-(7/36)*$K217,0))</f>
        <v>11.5</v>
      </c>
      <c r="DC217" s="1012">
        <f t="shared" si="498"/>
        <v>0</v>
      </c>
      <c r="DD217" s="1011">
        <f t="shared" si="469"/>
        <v>0</v>
      </c>
      <c r="DE217" s="521">
        <f>IF(AND($O217&gt;0,Sheet1!EO215=1),(1-($O217-Sheet1!$L215)/$O217)*CZ217,0)</f>
        <v>0</v>
      </c>
      <c r="DF217" s="521">
        <f>IF(AND(Sheet1!$L215=0,Sheet1!$L214=0, Calculation!CY217&lt;Sheet1!$EK215-0.1,Sheet1!$EK215=Sheet1!$EK214,Sheet1!$EK215=Sheet1!$EK216),CZ217-DE217,CZ217-DE217)</f>
        <v>11.445571476174608</v>
      </c>
      <c r="DG217" s="1040">
        <f t="shared" si="549"/>
        <v>0</v>
      </c>
      <c r="DH217" s="649">
        <f t="shared" si="470"/>
        <v>21.42</v>
      </c>
      <c r="DI217" s="535">
        <f t="shared" si="471"/>
        <v>374.46746861451368</v>
      </c>
      <c r="DJ217" s="649">
        <f t="shared" si="472"/>
        <v>21.355761412862378</v>
      </c>
      <c r="DK217" s="535">
        <f ca="1">IF(B217&gt;(Summary!$A$1-1),#N/A,DI217*MGtoAF)</f>
        <v>1148.8661937093279</v>
      </c>
      <c r="DL217" s="649">
        <f t="shared" si="473"/>
        <v>21.42</v>
      </c>
      <c r="DM217" s="535">
        <f t="shared" si="474"/>
        <v>60.02</v>
      </c>
      <c r="DN217" s="535">
        <f>Sheet1!AB215-DM217</f>
        <v>-0.17999999999999972</v>
      </c>
      <c r="DO217" s="743">
        <f t="shared" si="475"/>
        <v>-2.9990003332222544E-3</v>
      </c>
      <c r="DP217" s="535">
        <f>(VLOOKUP(Sheet1!DC215,hhdcap_wcm,4)-(((VLOOKUP(Sheet1!DC215,hhdcap_wcm,3)-Sheet1!DC215)/(VLOOKUP(Sheet1!DC215,hhdcap_wcm,3)-VLOOKUP(Sheet1!DC215,hhdcap_wcm,1)))*(VLOOKUP(Sheet1!DC215,hhdcap_wcm,4)-VLOOKUP(Sheet1!DC215,hhdcap_wcm,2))))</f>
        <v>44624.600000108781</v>
      </c>
      <c r="DQ217" s="535">
        <f t="shared" si="476"/>
        <v>-162.00000000024738</v>
      </c>
      <c r="DR217" s="535">
        <f t="shared" si="477"/>
        <v>-81.694402420699632</v>
      </c>
      <c r="DS217" s="535">
        <f>Sheet1!EA215*AFtoMG</f>
        <v>0</v>
      </c>
      <c r="DT217" s="535">
        <f>Sheet1!EB215*AFtoMG</f>
        <v>0</v>
      </c>
      <c r="DU217" s="535">
        <f>Sheet1!EC215*AFtoMG</f>
        <v>0</v>
      </c>
      <c r="DV217" s="535">
        <f>Sheet1!ED215*AFtoMG</f>
        <v>0</v>
      </c>
      <c r="DW217" s="535">
        <f t="shared" si="478"/>
        <v>0</v>
      </c>
      <c r="DX217" s="535">
        <f t="shared" si="479"/>
        <v>0</v>
      </c>
      <c r="DY217" s="535">
        <f t="shared" si="480"/>
        <v>2719.0725610524869</v>
      </c>
      <c r="DZ217" s="535">
        <f t="shared" si="481"/>
        <v>8342.1146173090292</v>
      </c>
      <c r="EA217" s="535"/>
      <c r="EB217" s="521">
        <f>IF(OR(B217&lt;FV217,B217&gt;FW217),(MIN(BF217+BY217+CT217+MAX(Sheet1!AA215+AQ217-73,0),K217)),0)</f>
        <v>0</v>
      </c>
      <c r="EC217" s="535"/>
      <c r="ED217" s="535">
        <f t="shared" si="482"/>
        <v>21.355761412862378</v>
      </c>
      <c r="EE217" s="535"/>
      <c r="EF217" s="535">
        <f>Sheet1!EH215+Sheet1!EI215+Sheet1!EJ215+Sheet1!EK215</f>
        <v>22.5</v>
      </c>
      <c r="EG217" s="1019">
        <f t="shared" si="550"/>
        <v>34.807499999999997</v>
      </c>
      <c r="EH217" s="521">
        <f t="shared" si="483"/>
        <v>0</v>
      </c>
      <c r="EI217" s="535">
        <f>IF(Sheet1!ET215=1,SUM('Calculations II'!AT217:BA217)+'Calculations II'!BC217+Sheet1!BV215+'Calculations II'!BE217+AP217,'Calculations II'!BK217)</f>
        <v>75.960782587137629</v>
      </c>
      <c r="EJ217" s="535">
        <f ca="1">EI217+'Calculations II'!D217+'Calculations II'!E217+'Calculations II'!O217</f>
        <v>71.353019018106764</v>
      </c>
      <c r="EK217" s="535"/>
      <c r="EL217" s="535"/>
      <c r="EM217" s="535">
        <f t="shared" si="484"/>
        <v>42941</v>
      </c>
      <c r="EN217" s="535">
        <f t="shared" si="485"/>
        <v>-22.5</v>
      </c>
      <c r="EO217" s="535">
        <f t="shared" si="486"/>
        <v>-34.807499999999997</v>
      </c>
      <c r="EP217" s="535">
        <v>0</v>
      </c>
      <c r="EQ217" s="535">
        <v>0</v>
      </c>
      <c r="ER217" s="535">
        <v>0</v>
      </c>
      <c r="ES217" s="521">
        <f t="shared" si="516"/>
        <v>3.3210205800518504</v>
      </c>
      <c r="ET217" s="535">
        <f>-(VLOOKUP(Sheet1!BQ215,Lookup!$O$4:$Q$262,2)-VLOOKUP(Sheet1!BQ214,Lookup!$O$4:$Q$262,2))/1000000</f>
        <v>1.66024124848219</v>
      </c>
      <c r="EU217" s="535">
        <f>-(VLOOKUP(Sheet1!BR215,Lookup!$O$4:$Q$262,3)-VLOOKUP(Sheet1!BR214,Lookup!$O$4:$Q$262,3))/1000000</f>
        <v>1.6607793315696604</v>
      </c>
      <c r="EV217" s="535"/>
      <c r="EW217" s="535"/>
      <c r="EX217" s="535"/>
      <c r="EY217" s="535"/>
      <c r="EZ217" s="535"/>
      <c r="FA217" s="535"/>
      <c r="FB217" s="535"/>
      <c r="FC217" s="535"/>
      <c r="FD217" s="567">
        <f t="shared" si="504"/>
        <v>1137.5485714284937</v>
      </c>
      <c r="FE217" s="567" t="e">
        <f t="shared" si="488"/>
        <v>#N/A</v>
      </c>
      <c r="FF217" s="568" t="e">
        <f t="shared" si="489"/>
        <v>#N/A</v>
      </c>
      <c r="FG217" s="569" t="s">
        <v>656</v>
      </c>
      <c r="FH217" s="569" t="s">
        <v>656</v>
      </c>
      <c r="FI217" s="567" t="e">
        <v>#N/A</v>
      </c>
      <c r="FJ217" s="725">
        <v>21487</v>
      </c>
      <c r="FK217" s="535"/>
      <c r="FL217" s="1015">
        <f t="shared" si="503"/>
        <v>42.360060514372158</v>
      </c>
      <c r="FM217" s="535"/>
      <c r="FN217" s="535"/>
      <c r="FO217" s="535">
        <f>O217+((Sheet1!CS215)*GPMtoMGD)</f>
        <v>98.104703999999998</v>
      </c>
      <c r="FP217" s="535">
        <f>IF(Sheet1!AA215+AQ217&lt;=Calculation!N217,AQ217,Calculation!N217-Sheet1!AA215)</f>
        <v>38.484238587137625</v>
      </c>
      <c r="FQ217" s="535">
        <f>(Sheet1!BP215+Sheet1!BO215)/694.4</f>
        <v>4.2649769585253452</v>
      </c>
      <c r="FR217" s="541"/>
      <c r="FS217" s="541"/>
      <c r="FT217" s="541"/>
      <c r="FU217" s="541"/>
      <c r="FV217" s="1109">
        <f t="shared" si="517"/>
        <v>42918</v>
      </c>
      <c r="FW217" s="1109">
        <f t="shared" si="518"/>
        <v>43027</v>
      </c>
      <c r="FX217" s="541"/>
      <c r="FY217" s="541">
        <f>Sheet1!DA215-Sheet1!CZ215-Sheet1!AE215</f>
        <v>-102.99358000000001</v>
      </c>
      <c r="FZ217" s="535">
        <f t="shared" si="551"/>
        <v>-0.47835997372091493</v>
      </c>
      <c r="GA217" s="535"/>
      <c r="GB217" s="535" t="str">
        <f t="shared" si="519"/>
        <v>n</v>
      </c>
      <c r="GC217" s="539">
        <f t="shared" si="520"/>
        <v>42782</v>
      </c>
      <c r="GD217" s="1109">
        <f t="shared" si="521"/>
        <v>42904</v>
      </c>
      <c r="GE217" s="535">
        <f t="shared" si="537"/>
        <v>6520</v>
      </c>
      <c r="GF217" s="1109">
        <f t="shared" si="522"/>
        <v>42909</v>
      </c>
      <c r="GG217" s="535">
        <f t="shared" si="564"/>
        <v>3260</v>
      </c>
      <c r="GH217" s="539">
        <f t="shared" si="523"/>
        <v>43040</v>
      </c>
      <c r="GJ217" s="521">
        <f t="shared" si="524"/>
        <v>0</v>
      </c>
      <c r="GK217" s="535" t="str">
        <f t="shared" si="490"/>
        <v/>
      </c>
      <c r="GL217" s="535">
        <f t="shared" si="525"/>
        <v>0</v>
      </c>
      <c r="GM217" s="535" t="str">
        <f t="shared" si="526"/>
        <v/>
      </c>
      <c r="GN217" s="535">
        <f>IF(GK217="P",Lookup!$M$12,IF(GK217="PP",Lookup!$M$13,IF(GK217="PPP",Lookup!$M$14,IF(GK217="T",Lookup!$M$15,IF(GK217="TP",Lookup!$M$16,IF(GK217="TPP",Lookup!$M$17,IF(GK217="TPPP",Lookup!$M$18,0)))))))*GJ217</f>
        <v>0</v>
      </c>
      <c r="GO217" s="535">
        <f t="shared" si="527"/>
        <v>0</v>
      </c>
      <c r="GP217" s="535">
        <f t="shared" si="491"/>
        <v>3983.2866666666673</v>
      </c>
      <c r="GQ217" s="974">
        <f t="shared" si="500"/>
        <v>1298.3333333333335</v>
      </c>
      <c r="GR217" s="535"/>
      <c r="GS217" s="535">
        <f t="shared" si="528"/>
        <v>0</v>
      </c>
      <c r="GT217" s="535" t="str">
        <f t="shared" si="529"/>
        <v/>
      </c>
      <c r="GU217" s="535">
        <f>IF(GK217="P",Lookup!$N$12,IF(GK217="PP",Lookup!$N$13,IF(GK217="PPP",Lookup!$N$14,IF(GK217="T",Lookup!$N$15,IF(GK217="TP",Lookup!$N$16,IF(GK217="TPP",Lookup!$N$17,IF(GK217="TPPP",Lookup!$N$18,0)))))))*GJ217</f>
        <v>0</v>
      </c>
      <c r="GV217" s="535">
        <f t="shared" si="530"/>
        <v>0</v>
      </c>
      <c r="GW217" s="535">
        <f t="shared" si="492"/>
        <v>1757.6477988801753</v>
      </c>
      <c r="GX217" s="974">
        <f t="shared" si="501"/>
        <v>572.89693574973114</v>
      </c>
      <c r="GY217" s="535"/>
      <c r="GZ217" s="535">
        <f t="shared" si="531"/>
        <v>0</v>
      </c>
      <c r="HA217" s="535" t="str">
        <f t="shared" si="532"/>
        <v/>
      </c>
      <c r="HB217" s="535">
        <f>IF(GK217="P",Lookup!$N$12,IF(GK217="PP",Lookup!$N$13,IF(GK217="PPP",Lookup!$N$14,IF(GK217="T",Lookup!$N$15,IF(GK217="TP",Lookup!$N$16,IF(GK217="TPP",Lookup!$N$17,IF(GK217="TPPP",Lookup!$N$18,0)))))))*GJ217</f>
        <v>0</v>
      </c>
      <c r="HC217" s="521">
        <f t="shared" si="493"/>
        <v>0</v>
      </c>
      <c r="HD217" s="535">
        <f t="shared" si="494"/>
        <v>1452.3139580528589</v>
      </c>
      <c r="HE217" s="535">
        <f t="shared" si="535"/>
        <v>473.37482335490836</v>
      </c>
      <c r="HF217" s="535"/>
      <c r="HG217" s="535">
        <f t="shared" si="533"/>
        <v>0</v>
      </c>
      <c r="HH217" s="535" t="str">
        <f t="shared" si="534"/>
        <v/>
      </c>
      <c r="HI217" s="535">
        <f>IF(GK217="P",Lookup!$N$12,IF(GK217="PP",Lookup!$N$13,IF(GK217="PPP",Lookup!$N$14,IF(GK217="T",Lookup!$N$15,IF(GK217="TP",Lookup!$N$16,IF(GK217="TPP",Lookup!$N$17,IF(GK217="TPPP",Lookup!$N$18,0)))))))*GJ217</f>
        <v>0</v>
      </c>
      <c r="HJ217" s="521">
        <f t="shared" si="495"/>
        <v>0</v>
      </c>
      <c r="HK217" s="535">
        <f t="shared" si="496"/>
        <v>1148.8661937093279</v>
      </c>
      <c r="HL217" s="535">
        <f t="shared" si="536"/>
        <v>374.46746861451368</v>
      </c>
      <c r="HM217" s="535"/>
      <c r="HN217" s="541"/>
      <c r="HO217" s="541"/>
      <c r="HP217" s="541"/>
      <c r="HQ217" s="541">
        <f>IF(AND(B217&gt;=$FV$4,B217&lt;=$FW$4),MAX(110/1.02+$HQ$6+MIN(113/1.02,G217),IF($HV$6-(Sheet1!DA215-Sheet1!DB215)+MIN(113/1.02,G217)&lt;G217+FL217,$HV$6-(Sheet1!DA215-Sheet1!DB215)+MIN(113/1.02,G217),G217+FL217)),MIN(110/1.02+$HQ$6+113/1.02,G217))</f>
        <v>218.62745098039215</v>
      </c>
      <c r="HR217" s="541">
        <f t="shared" si="552"/>
        <v>223</v>
      </c>
      <c r="HS217" s="541">
        <f>HR217+(Sheet1!DA215-Sheet1!DB215)</f>
        <v>387</v>
      </c>
      <c r="HT217" s="541">
        <f t="shared" si="553"/>
        <v>106.40921709430189</v>
      </c>
      <c r="HU217" s="541">
        <f t="shared" si="554"/>
        <v>280.59078290569812</v>
      </c>
      <c r="HV217" s="541">
        <f t="shared" si="555"/>
        <v>0</v>
      </c>
      <c r="HW217" s="541" t="str">
        <f t="shared" si="556"/>
        <v/>
      </c>
      <c r="HX217" s="541">
        <f t="shared" si="557"/>
        <v>43.565049019607841</v>
      </c>
      <c r="HY217" s="541">
        <f>Sheet1!CZ215</f>
        <v>297</v>
      </c>
      <c r="HZ217" s="541">
        <f t="shared" si="558"/>
        <v>34.807499999999997</v>
      </c>
      <c r="IA217" s="541">
        <f t="shared" si="559"/>
        <v>106.40921709430189</v>
      </c>
      <c r="IB217" s="541">
        <f t="shared" si="560"/>
        <v>262.1925</v>
      </c>
      <c r="IC217" s="1019" t="str">
        <f t="shared" si="561"/>
        <v/>
      </c>
      <c r="ID217" s="541">
        <f t="shared" si="562"/>
        <v>155.78328290569812</v>
      </c>
      <c r="IE217" s="541">
        <f>Sheet1!DB215</f>
        <v>171</v>
      </c>
      <c r="IF217" s="533">
        <f>Sheet1!DA215</f>
        <v>335</v>
      </c>
      <c r="IH217" s="541">
        <f>IF(AND($B217&gt;=$GC217,$B217&lt;=$GH217,$DR217&lt;0)+N("only adjusted when pool is drawn down during storage season"),Sheet1!$DB215+$DR217+N("Palmer minus all storage release"),Sheet1!$DB215)</f>
        <v>89.305597579300368</v>
      </c>
      <c r="II217" s="541">
        <f>IF(AND($B217&gt;=$GC217,$B217&lt;=$GH217,$DR217&lt;0)+N("only adjusted when pool is drawn down during storage season"),Sheet1!$DA215+$DR217+N("Auburn minus all storage release"),Sheet1!$DA215)</f>
        <v>253.30559757930035</v>
      </c>
    </row>
    <row r="218" spans="1:243" x14ac:dyDescent="0.25">
      <c r="A218" s="553" t="s">
        <v>6</v>
      </c>
      <c r="B218" s="531">
        <v>42942</v>
      </c>
      <c r="C218" s="536">
        <v>0</v>
      </c>
      <c r="D218" s="506">
        <f t="shared" si="506"/>
        <v>200</v>
      </c>
      <c r="E218" s="506">
        <f t="shared" si="507"/>
        <v>400</v>
      </c>
      <c r="F218" s="506">
        <v>250</v>
      </c>
      <c r="G218" s="535">
        <f>DR218+Sheet1!CZ216</f>
        <v>199.24760463943667</v>
      </c>
      <c r="H218" s="1074">
        <f t="shared" si="563"/>
        <v>0</v>
      </c>
      <c r="I218" s="534">
        <f>IF(Sheet1!DA216&gt;=E218,(Sheet1!DA216-E218+P218)*CFStoMGD,0)</f>
        <v>0</v>
      </c>
      <c r="J218" s="995">
        <f>IF(Sheet1!DB216&gt;=D218,(Sheet1!DB216-D218+P218)*CFStoMGD,0)</f>
        <v>0</v>
      </c>
      <c r="K218" s="818">
        <f t="shared" si="538"/>
        <v>0</v>
      </c>
      <c r="L218" s="535">
        <f>Sheet1!AA216+Sheet1!AB216-Sheet1!L216+(Sheet1!DA216-F218)*CFStoMGD-S218-T218-U218</f>
        <v>121.96213395565928</v>
      </c>
      <c r="M218" s="535">
        <f t="shared" si="436"/>
        <v>131.36952467171051</v>
      </c>
      <c r="N218" s="824">
        <f>IF(Sheet1!DA216&gt;=F218,MIN(113*CFStoMGD,MIN(MAX(L218,0),MAX(M218,0))),0)</f>
        <v>73.043199999999999</v>
      </c>
      <c r="O218" s="538">
        <f>Sheet1!AA216+Sheet1!AB216</f>
        <v>92.04</v>
      </c>
      <c r="P218" s="538">
        <f t="shared" si="437"/>
        <v>142.38587999999999</v>
      </c>
      <c r="Q218" s="812">
        <f t="shared" si="539"/>
        <v>69.60373395565928</v>
      </c>
      <c r="R218" s="812">
        <f t="shared" si="508"/>
        <v>22.5</v>
      </c>
      <c r="S218" s="812">
        <f t="shared" si="509"/>
        <v>0</v>
      </c>
      <c r="T218" s="812">
        <f t="shared" si="510"/>
        <v>0</v>
      </c>
      <c r="U218" s="812">
        <f>IF(AND(B218&gt;=FV218,B218&lt;=FW218),ED218+Sheet1!EH216,0)</f>
        <v>22.436266044340726</v>
      </c>
      <c r="V218" s="812"/>
      <c r="W218" s="812">
        <f t="shared" si="511"/>
        <v>0</v>
      </c>
      <c r="X218" s="812">
        <f t="shared" si="512"/>
        <v>0</v>
      </c>
      <c r="Y218" s="812" t="str">
        <f t="shared" si="513"/>
        <v>FALSE</v>
      </c>
      <c r="Z218" s="812">
        <f t="shared" si="514"/>
        <v>92.04</v>
      </c>
      <c r="AA218" s="812">
        <f t="shared" si="515"/>
        <v>92.04</v>
      </c>
      <c r="AB218" s="1059">
        <f t="shared" si="540"/>
        <v>107.6769764294049</v>
      </c>
      <c r="AC218" s="538">
        <f>Sheet1!Y216*MGDtoCFS</f>
        <v>48.421099999999996</v>
      </c>
      <c r="AD218" s="538">
        <f>Sheet1!Z216*MGDtoCFS</f>
        <v>92.572479999999999</v>
      </c>
      <c r="AE218" s="538">
        <f>Sheet1!AA216*MGDtoCFS</f>
        <v>49.813400000000001</v>
      </c>
      <c r="AF218" s="538">
        <f>Sheet1!AB216*MGDtoCFS</f>
        <v>92.572479999999999</v>
      </c>
      <c r="AG218" s="538">
        <f>Sheet1!L216*MGDtoCFS</f>
        <v>0</v>
      </c>
      <c r="AH218" s="521">
        <f t="shared" si="438"/>
        <v>22.512448741456911</v>
      </c>
      <c r="AI218" s="1059">
        <f t="shared" si="439"/>
        <v>34.82675820303384</v>
      </c>
      <c r="AJ218" s="535">
        <f t="shared" si="440"/>
        <v>0</v>
      </c>
      <c r="AK218" s="535">
        <f t="shared" si="441"/>
        <v>0</v>
      </c>
      <c r="AL218" s="535">
        <f>(VLOOKUP(Sheet1!DC216,hhdcap_wcm,4)-(((VLOOKUP(Sheet1!DC216,hhdcap_wcm,3)-Sheet1!DC216)/(VLOOKUP(Sheet1!DC216,hhdcap_wcm,3)-VLOOKUP(Sheet1!DC216,hhdcap_wcm,1)))*(VLOOKUP(Sheet1!DC216,hhdcap_wcm,4)-VLOOKUP(Sheet1!DC216,hhdcap_wcm,2))))</f>
        <v>44472.400000108784</v>
      </c>
      <c r="AM218" s="535">
        <f t="shared" si="442"/>
        <v>-152.19999999999709</v>
      </c>
      <c r="AN218" s="1035">
        <f t="shared" si="443"/>
        <v>2696.56011231103</v>
      </c>
      <c r="AO218" s="535">
        <f t="shared" si="444"/>
        <v>8273.0464245702406</v>
      </c>
      <c r="AP218" s="535">
        <f>Sheet1!BA216+Sheet1!BB216+Sheet1!BN216+CD218</f>
        <v>38.5</v>
      </c>
      <c r="AQ218" s="535">
        <f>Sheet1!BN216+(DO218*Sheet1!BN216)</f>
        <v>38.403733955659284</v>
      </c>
      <c r="AR218" s="535">
        <f>Sheet1!BA216+CD218</f>
        <v>0</v>
      </c>
      <c r="AS218" s="535">
        <f>Sheet1!BA216+Sheet1!BB216+CD218</f>
        <v>0</v>
      </c>
      <c r="AT218" s="649">
        <f>0</f>
        <v>0</v>
      </c>
      <c r="AU218" s="974">
        <f>BA218+MAX(Sheet1!EH216,(O218-Q218-ED218-S218))</f>
        <v>1</v>
      </c>
      <c r="AV218" s="535">
        <f>IF(OR(B218&gt;=GD218,B218&lt;GC218),0,15/36*K218-MAX(0,64.6-(137.6-(Sheet1!AA216+Sheet1!AB216))))</f>
        <v>0</v>
      </c>
      <c r="AW218" s="1029"/>
      <c r="AX218" s="649"/>
      <c r="AY218" s="649">
        <f t="shared" si="541"/>
        <v>0</v>
      </c>
      <c r="AZ218" s="649">
        <f t="shared" si="542"/>
        <v>0</v>
      </c>
      <c r="BA218" s="1059">
        <f t="shared" si="543"/>
        <v>0</v>
      </c>
      <c r="BB218" s="1019">
        <f t="shared" si="445"/>
        <v>1297.3333333333335</v>
      </c>
      <c r="BC218" s="1041">
        <f t="shared" si="544"/>
        <v>0</v>
      </c>
      <c r="BD218" s="1019">
        <f ca="1">IF(B218&gt;(Summary!$A$1-1),#N/A,BB218*MGtoAF)</f>
        <v>3980.2186666666671</v>
      </c>
      <c r="BE218" s="535">
        <f>Sheet1!BG216+Sheet1!BH216+Sheet1!BI216-BM218</f>
        <v>3.02</v>
      </c>
      <c r="BF218" s="535">
        <f t="shared" si="446"/>
        <v>3.0124487414569101</v>
      </c>
      <c r="BG218" s="535">
        <f>IF(Sheet1!EP216="FM",BM218,0)</f>
        <v>0</v>
      </c>
      <c r="BH218" s="535">
        <f t="shared" si="447"/>
        <v>0</v>
      </c>
      <c r="BI218" s="535">
        <f>IF(Sheet1!EP216="OTHER",BM218,0)</f>
        <v>0</v>
      </c>
      <c r="BJ218" s="535">
        <f t="shared" si="448"/>
        <v>0</v>
      </c>
      <c r="BK218" s="535">
        <f t="shared" si="449"/>
        <v>3.02</v>
      </c>
      <c r="BL218" s="535">
        <f t="shared" si="450"/>
        <v>3.0124487414569101</v>
      </c>
      <c r="BM218" s="535">
        <f>IF(OR(Sheet1!EP216="FM", Sheet1!EP216="OTHER"),SUM(Sheet1!BG216:'Sheet1'!BI216),0)</f>
        <v>0</v>
      </c>
      <c r="BN218" s="521">
        <f>IF(AND($B218&gt;=$FV218,$B218&lt;=$FW218),MAX(BF218,Sheet1!EI216,0),MAX(BF218-(7/36)*$K218,0))</f>
        <v>3.0124487414569101</v>
      </c>
      <c r="BO218" s="535">
        <f t="shared" si="497"/>
        <v>0</v>
      </c>
      <c r="BP218" s="521">
        <f t="shared" si="452"/>
        <v>0</v>
      </c>
      <c r="BQ218" s="521">
        <f>IF(AND($O218&gt;0,Sheet1!EM216=1),(1-($O218-Sheet1!$L216)/$O218)*BL218,0)</f>
        <v>0</v>
      </c>
      <c r="BR218" s="521">
        <f>IF(AND(Sheet1!$L216=0,Sheet1!$L215=0, Calculation!BK218&lt;Sheet1!$EI216-0.1,Sheet1!$EI216=Sheet1!$EI215,Sheet1!$EI216=Sheet1!$EI217),BL218-BQ218,BL218-BQ218)</f>
        <v>3.0124487414569101</v>
      </c>
      <c r="BS218" s="1035" t="str">
        <f t="shared" si="545"/>
        <v/>
      </c>
      <c r="BT218" s="1035">
        <f t="shared" si="546"/>
        <v>0</v>
      </c>
      <c r="BU218" s="535">
        <f t="shared" si="453"/>
        <v>569.88448700827428</v>
      </c>
      <c r="BV218" s="535"/>
      <c r="BW218" s="535">
        <f ca="1">IF(B218&gt;(Summary!$A$1-1),#N/A,BU218*MGtoAF)</f>
        <v>1748.4056061413855</v>
      </c>
      <c r="BX218" s="535">
        <f>Sheet1!BC216+Sheet1!BD216+Sheet1!BE216+Sheet1!BF216-CG218-CH218</f>
        <v>6.99</v>
      </c>
      <c r="BY218" s="535">
        <f t="shared" si="454"/>
        <v>6.9725220870145037</v>
      </c>
      <c r="BZ218" s="535">
        <f>IF(Sheet1!EQ216="FM",CH218,0)</f>
        <v>0</v>
      </c>
      <c r="CA218" s="535">
        <f t="shared" si="455"/>
        <v>0</v>
      </c>
      <c r="CB218" s="535">
        <f>IF(Sheet1!EQ216="OTHER",CH218,0)</f>
        <v>0</v>
      </c>
      <c r="CC218" s="535">
        <f t="shared" si="456"/>
        <v>0</v>
      </c>
      <c r="CD218" s="535">
        <f t="shared" si="457"/>
        <v>0</v>
      </c>
      <c r="CE218" s="535">
        <f t="shared" si="458"/>
        <v>6.99</v>
      </c>
      <c r="CF218" s="535">
        <f t="shared" si="459"/>
        <v>6.9725220870145037</v>
      </c>
      <c r="CG218" s="535">
        <f>IF(Sheet1!EQ216="CWA",SUM(Sheet1!BC216:'Sheet1'!BF216),0)</f>
        <v>0</v>
      </c>
      <c r="CH218" s="535">
        <f>IF(OR(Sheet1!EQ216="FM", Sheet1!EQ216="OTHER"),SUM(Sheet1!BC216:'Sheet1'!BF216),0)</f>
        <v>0</v>
      </c>
      <c r="CI218" s="521">
        <f>IF(AND($B218&gt;=$FV218,$B218&lt;=$FW218),MAX(CF218,Sheet1!EJ216,0),MAX(CF218-(7/36)*$K218,0))</f>
        <v>7</v>
      </c>
      <c r="CJ218" s="535">
        <f t="shared" si="499"/>
        <v>0</v>
      </c>
      <c r="CK218" s="521">
        <f t="shared" si="461"/>
        <v>0</v>
      </c>
      <c r="CL218" s="521">
        <f>IF(AND($O218&gt;0,Sheet1!EN216=1),(1-($O218-Sheet1!$L216)/$O218)*CF218,0)</f>
        <v>0</v>
      </c>
      <c r="CM218" s="521">
        <f>IF(AND(Sheet1!$L216=0,Sheet1!$L215=0, Calculation!CE218&lt;Sheet1!EJ216-0.1,Sheet1!EJ216=Sheet1!EJ215,Sheet1!EJ216=Sheet1!EJ217),CF218-CL218,CF218-CL218)</f>
        <v>6.9725220870145037</v>
      </c>
      <c r="CN218" s="1040" t="str">
        <f t="shared" si="547"/>
        <v/>
      </c>
      <c r="CO218" s="1035">
        <f t="shared" si="548"/>
        <v>0</v>
      </c>
      <c r="CP218" s="535">
        <f t="shared" si="462"/>
        <v>466.37482335490836</v>
      </c>
      <c r="CQ218" s="535"/>
      <c r="CR218" s="535">
        <f ca="1">IF(B218&gt;(Summary!$A$1-1),#N/A,CP218*MGtoAF)</f>
        <v>1430.8379580528588</v>
      </c>
      <c r="CS218" s="535">
        <f>Sheet1!BK216+Sheet1!BL216+Sheet1!BM216-Sheet1!ER216-DA218</f>
        <v>11.48</v>
      </c>
      <c r="CT218" s="535">
        <f t="shared" si="463"/>
        <v>11.451295215869314</v>
      </c>
      <c r="CU218" s="535">
        <f>IF(Sheet1!ER216="FM",DA218,0)</f>
        <v>0</v>
      </c>
      <c r="CV218" s="535">
        <f t="shared" si="464"/>
        <v>0</v>
      </c>
      <c r="CW218" s="535">
        <f>IF(Sheet1!ER216="OTHER",DA218,0)</f>
        <v>0</v>
      </c>
      <c r="CX218" s="535">
        <f t="shared" si="465"/>
        <v>0</v>
      </c>
      <c r="CY218" s="535">
        <f t="shared" si="466"/>
        <v>11.48</v>
      </c>
      <c r="CZ218" s="535">
        <f t="shared" si="467"/>
        <v>11.451295215869314</v>
      </c>
      <c r="DA218" s="535">
        <f>IF(OR(Sheet1!ER216="FM", Sheet1!ER216="OTHER"),SUM(Sheet1!BK216:'Sheet1'!BM216),0)</f>
        <v>0</v>
      </c>
      <c r="DB218" s="1011">
        <f>IF(AND($B218&gt;=$FV218,$B218&lt;=$FW218),MAX($CT218,Sheet1!EK216,0),MAX($CT218-(7/36)*$K218,0))</f>
        <v>11.5</v>
      </c>
      <c r="DC218" s="1012">
        <f t="shared" si="498"/>
        <v>0</v>
      </c>
      <c r="DD218" s="1011">
        <f t="shared" si="469"/>
        <v>0</v>
      </c>
      <c r="DE218" s="521">
        <f>IF(AND($O218&gt;0,Sheet1!EO216=1),(1-($O218-Sheet1!$L216)/$O218)*CZ218,0)</f>
        <v>0</v>
      </c>
      <c r="DF218" s="521">
        <f>IF(AND(Sheet1!$L216=0,Sheet1!$L215=0, Calculation!CY218&lt;Sheet1!$EK216-0.1,Sheet1!$EK216=Sheet1!$EK215,Sheet1!$EK216=Sheet1!$EK217),CZ218-DE218,CZ218-DE218)</f>
        <v>11.451295215869314</v>
      </c>
      <c r="DG218" s="1040">
        <f t="shared" si="549"/>
        <v>0</v>
      </c>
      <c r="DH218" s="649">
        <f t="shared" si="470"/>
        <v>21.490000000000002</v>
      </c>
      <c r="DI218" s="535">
        <f t="shared" si="471"/>
        <v>362.96746861451368</v>
      </c>
      <c r="DJ218" s="649">
        <f t="shared" si="472"/>
        <v>21.436266044340726</v>
      </c>
      <c r="DK218" s="535">
        <f ca="1">IF(B218&gt;(Summary!$A$1-1),#N/A,DI218*MGtoAF)</f>
        <v>1113.584193709328</v>
      </c>
      <c r="DL218" s="649">
        <f t="shared" si="473"/>
        <v>21.49</v>
      </c>
      <c r="DM218" s="535">
        <f t="shared" si="474"/>
        <v>59.989999999999995</v>
      </c>
      <c r="DN218" s="535">
        <f>Sheet1!AB216-DM218</f>
        <v>-0.14999999999999147</v>
      </c>
      <c r="DO218" s="743">
        <f t="shared" si="475"/>
        <v>-2.5004167361225454E-3</v>
      </c>
      <c r="DP218" s="535">
        <f>(VLOOKUP(Sheet1!DC216,hhdcap_wcm,4)-(((VLOOKUP(Sheet1!DC216,hhdcap_wcm,3)-Sheet1!DC216)/(VLOOKUP(Sheet1!DC216,hhdcap_wcm,3)-VLOOKUP(Sheet1!DC216,hhdcap_wcm,1)))*(VLOOKUP(Sheet1!DC216,hhdcap_wcm,4)-VLOOKUP(Sheet1!DC216,hhdcap_wcm,2))))</f>
        <v>44472.400000108784</v>
      </c>
      <c r="DQ218" s="535">
        <f t="shared" si="476"/>
        <v>-152.19999999999709</v>
      </c>
      <c r="DR218" s="535">
        <f t="shared" si="477"/>
        <v>-76.752395360563327</v>
      </c>
      <c r="DS218" s="535">
        <f>Sheet1!EA216*AFtoMG</f>
        <v>0</v>
      </c>
      <c r="DT218" s="535">
        <f>Sheet1!EB216*AFtoMG</f>
        <v>0</v>
      </c>
      <c r="DU218" s="535">
        <f>Sheet1!EC216*AFtoMG</f>
        <v>0</v>
      </c>
      <c r="DV218" s="535">
        <f>Sheet1!ED216*AFtoMG</f>
        <v>0</v>
      </c>
      <c r="DW218" s="535">
        <f t="shared" si="478"/>
        <v>0</v>
      </c>
      <c r="DX218" s="535">
        <f t="shared" si="479"/>
        <v>0</v>
      </c>
      <c r="DY218" s="535">
        <f t="shared" si="480"/>
        <v>2696.56011231103</v>
      </c>
      <c r="DZ218" s="535">
        <f t="shared" si="481"/>
        <v>8273.0464245702406</v>
      </c>
      <c r="EA218" s="535"/>
      <c r="EB218" s="521">
        <f>IF(OR(B218&lt;FV218,B218&gt;FW218),(MIN(BF218+BY218+CT218+MAX(Sheet1!AA216+AQ218-73,0),K218)),0)</f>
        <v>0</v>
      </c>
      <c r="EC218" s="535"/>
      <c r="ED218" s="535">
        <f t="shared" si="482"/>
        <v>21.436266044340726</v>
      </c>
      <c r="EE218" s="535"/>
      <c r="EF218" s="535">
        <f>Sheet1!EH216+Sheet1!EI216+Sheet1!EJ216+Sheet1!EK216</f>
        <v>22.5</v>
      </c>
      <c r="EG218" s="1019">
        <f t="shared" si="550"/>
        <v>34.807499999999997</v>
      </c>
      <c r="EH218" s="521">
        <f t="shared" si="483"/>
        <v>0</v>
      </c>
      <c r="EI218" s="535">
        <f>IF(Sheet1!ET216=1,SUM('Calculations II'!AT218:BA218)+'Calculations II'!BC218+Sheet1!BV216+'Calculations II'!BE218+AP218,'Calculations II'!BK218)</f>
        <v>77.376741955659284</v>
      </c>
      <c r="EJ218" s="535">
        <f ca="1">EI218+'Calculations II'!D218+'Calculations II'!E218+'Calculations II'!O218</f>
        <v>82.870697151051047</v>
      </c>
      <c r="EK218" s="535"/>
      <c r="EL218" s="535"/>
      <c r="EM218" s="535">
        <f t="shared" si="484"/>
        <v>42942</v>
      </c>
      <c r="EN218" s="535">
        <f t="shared" si="485"/>
        <v>-22.512448741456911</v>
      </c>
      <c r="EO218" s="535">
        <f t="shared" si="486"/>
        <v>-34.82675820303384</v>
      </c>
      <c r="EP218" s="535">
        <v>0</v>
      </c>
      <c r="EQ218" s="535">
        <v>0</v>
      </c>
      <c r="ER218" s="535">
        <v>0</v>
      </c>
      <c r="ES218" s="521">
        <f t="shared" si="516"/>
        <v>-3.3210205800518504</v>
      </c>
      <c r="ET218" s="535">
        <f>-(VLOOKUP(Sheet1!BQ216,Lookup!$O$4:$Q$262,2)-VLOOKUP(Sheet1!BQ215,Lookup!$O$4:$Q$262,2))/1000000</f>
        <v>-1.66024124848219</v>
      </c>
      <c r="EU218" s="535">
        <f>-(VLOOKUP(Sheet1!BR216,Lookup!$O$4:$Q$262,3)-VLOOKUP(Sheet1!BR215,Lookup!$O$4:$Q$262,3))/1000000</f>
        <v>-1.6607793315696604</v>
      </c>
      <c r="EV218" s="535"/>
      <c r="EW218" s="535"/>
      <c r="EX218" s="535"/>
      <c r="EY218" s="535"/>
      <c r="EZ218" s="535"/>
      <c r="FA218" s="535"/>
      <c r="FB218" s="535"/>
      <c r="FC218" s="535"/>
      <c r="FD218" s="567">
        <f t="shared" si="504"/>
        <v>1137.429577464711</v>
      </c>
      <c r="FE218" s="567" t="e">
        <f t="shared" si="488"/>
        <v>#N/A</v>
      </c>
      <c r="FF218" s="568" t="e">
        <f t="shared" si="489"/>
        <v>#N/A</v>
      </c>
      <c r="FG218" s="569" t="s">
        <v>656</v>
      </c>
      <c r="FH218" s="569" t="s">
        <v>656</v>
      </c>
      <c r="FI218" s="567" t="e">
        <v>#N/A</v>
      </c>
      <c r="FJ218" s="725">
        <v>21403</v>
      </c>
      <c r="FK218" s="535"/>
      <c r="FL218" s="1015">
        <f t="shared" si="503"/>
        <v>42.360060514372158</v>
      </c>
      <c r="FM218" s="535"/>
      <c r="FN218" s="535"/>
      <c r="FO218" s="535">
        <f>O218+((Sheet1!CS216)*GPMtoMGD)</f>
        <v>100.89139200000001</v>
      </c>
      <c r="FP218" s="535">
        <f>IF(Sheet1!AA216+AQ218&lt;=Calculation!N218,AQ218,Calculation!N218-Sheet1!AA216)</f>
        <v>38.403733955659284</v>
      </c>
      <c r="FQ218" s="535">
        <f>(Sheet1!BP216+Sheet1!BO216)/694.4</f>
        <v>4.3453341013824884</v>
      </c>
      <c r="FR218" s="541"/>
      <c r="FS218" s="541"/>
      <c r="FT218" s="541"/>
      <c r="FU218" s="541"/>
      <c r="FV218" s="1109">
        <f t="shared" si="517"/>
        <v>42918</v>
      </c>
      <c r="FW218" s="1109">
        <f t="shared" si="518"/>
        <v>43027</v>
      </c>
      <c r="FX218" s="541"/>
      <c r="FY218" s="541">
        <f>Sheet1!DA216-Sheet1!CZ216-Sheet1!AE216</f>
        <v>-87.385880000000014</v>
      </c>
      <c r="FZ218" s="535">
        <f t="shared" si="551"/>
        <v>-0.43857932524777721</v>
      </c>
      <c r="GA218" s="535"/>
      <c r="GB218" s="535" t="str">
        <f t="shared" si="519"/>
        <v>n</v>
      </c>
      <c r="GC218" s="539">
        <f t="shared" si="520"/>
        <v>42782</v>
      </c>
      <c r="GD218" s="1109">
        <f t="shared" si="521"/>
        <v>42904</v>
      </c>
      <c r="GE218" s="535">
        <f t="shared" si="537"/>
        <v>6520</v>
      </c>
      <c r="GF218" s="1109">
        <f t="shared" si="522"/>
        <v>42909</v>
      </c>
      <c r="GG218" s="535">
        <f t="shared" si="564"/>
        <v>3260</v>
      </c>
      <c r="GH218" s="539">
        <f t="shared" si="523"/>
        <v>43040</v>
      </c>
      <c r="GJ218" s="521">
        <f t="shared" si="524"/>
        <v>0</v>
      </c>
      <c r="GK218" s="535" t="str">
        <f t="shared" si="490"/>
        <v/>
      </c>
      <c r="GL218" s="535">
        <f t="shared" si="525"/>
        <v>0</v>
      </c>
      <c r="GM218" s="535" t="str">
        <f t="shared" si="526"/>
        <v/>
      </c>
      <c r="GN218" s="535">
        <f>IF(GK218="P",Lookup!$M$12,IF(GK218="PP",Lookup!$M$13,IF(GK218="PPP",Lookup!$M$14,IF(GK218="T",Lookup!$M$15,IF(GK218="TP",Lookup!$M$16,IF(GK218="TPP",Lookup!$M$17,IF(GK218="TPPP",Lookup!$M$18,0)))))))*GJ218</f>
        <v>0</v>
      </c>
      <c r="GO218" s="535">
        <f t="shared" si="527"/>
        <v>0</v>
      </c>
      <c r="GP218" s="535">
        <f t="shared" si="491"/>
        <v>3980.2186666666671</v>
      </c>
      <c r="GQ218" s="974">
        <f t="shared" si="500"/>
        <v>1297.3333333333335</v>
      </c>
      <c r="GR218" s="535"/>
      <c r="GS218" s="535">
        <f t="shared" si="528"/>
        <v>0</v>
      </c>
      <c r="GT218" s="535" t="str">
        <f t="shared" si="529"/>
        <v/>
      </c>
      <c r="GU218" s="535">
        <f>IF(GK218="P",Lookup!$N$12,IF(GK218="PP",Lookup!$N$13,IF(GK218="PPP",Lookup!$N$14,IF(GK218="T",Lookup!$N$15,IF(GK218="TP",Lookup!$N$16,IF(GK218="TPP",Lookup!$N$17,IF(GK218="TPPP",Lookup!$N$18,0)))))))*GJ218</f>
        <v>0</v>
      </c>
      <c r="GV218" s="535">
        <f t="shared" si="530"/>
        <v>0</v>
      </c>
      <c r="GW218" s="535">
        <f t="shared" si="492"/>
        <v>1748.4056061413855</v>
      </c>
      <c r="GX218" s="974">
        <f t="shared" si="501"/>
        <v>569.88448700827428</v>
      </c>
      <c r="GY218" s="535"/>
      <c r="GZ218" s="535">
        <f t="shared" si="531"/>
        <v>0</v>
      </c>
      <c r="HA218" s="535" t="str">
        <f t="shared" si="532"/>
        <v/>
      </c>
      <c r="HB218" s="535">
        <f>IF(GK218="P",Lookup!$N$12,IF(GK218="PP",Lookup!$N$13,IF(GK218="PPP",Lookup!$N$14,IF(GK218="T",Lookup!$N$15,IF(GK218="TP",Lookup!$N$16,IF(GK218="TPP",Lookup!$N$17,IF(GK218="TPPP",Lookup!$N$18,0)))))))*GJ218</f>
        <v>0</v>
      </c>
      <c r="HC218" s="521">
        <f t="shared" si="493"/>
        <v>0</v>
      </c>
      <c r="HD218" s="535">
        <f t="shared" si="494"/>
        <v>1430.8379580528588</v>
      </c>
      <c r="HE218" s="535">
        <f t="shared" si="535"/>
        <v>466.37482335490836</v>
      </c>
      <c r="HF218" s="535"/>
      <c r="HG218" s="535">
        <f t="shared" si="533"/>
        <v>0</v>
      </c>
      <c r="HH218" s="535" t="str">
        <f t="shared" si="534"/>
        <v/>
      </c>
      <c r="HI218" s="535">
        <f>IF(GK218="P",Lookup!$N$12,IF(GK218="PP",Lookup!$N$13,IF(GK218="PPP",Lookup!$N$14,IF(GK218="T",Lookup!$N$15,IF(GK218="TP",Lookup!$N$16,IF(GK218="TPP",Lookup!$N$17,IF(GK218="TPPP",Lookup!$N$18,0)))))))*GJ218</f>
        <v>0</v>
      </c>
      <c r="HJ218" s="521">
        <f t="shared" si="495"/>
        <v>0</v>
      </c>
      <c r="HK218" s="535">
        <f t="shared" si="496"/>
        <v>1113.584193709328</v>
      </c>
      <c r="HL218" s="535">
        <f t="shared" si="536"/>
        <v>362.96746861451368</v>
      </c>
      <c r="HM218" s="535"/>
      <c r="HN218" s="541"/>
      <c r="HO218" s="541"/>
      <c r="HP218" s="541"/>
      <c r="HQ218" s="541">
        <f>IF(AND(B218&gt;=$FV$4,B218&lt;=$FW$4),MAX(110/1.02+$HQ$6+MIN(113/1.02,G218),IF($HV$6-(Sheet1!DA216-Sheet1!DB216)+MIN(113/1.02,G218)&lt;G218+FL218,$HV$6-(Sheet1!DA216-Sheet1!DB216)+MIN(113/1.02,G218),G218+FL218)),MIN(110/1.02+$HQ$6+113/1.02,G218))</f>
        <v>218.62745098039215</v>
      </c>
      <c r="HR218" s="541">
        <f t="shared" si="552"/>
        <v>223</v>
      </c>
      <c r="HS218" s="541">
        <f>HR218+(Sheet1!DA216-Sheet1!DB216)</f>
        <v>404</v>
      </c>
      <c r="HT218" s="541">
        <f t="shared" si="553"/>
        <v>107.6769764294049</v>
      </c>
      <c r="HU218" s="541">
        <f t="shared" si="554"/>
        <v>296.32302357059507</v>
      </c>
      <c r="HV218" s="541">
        <f t="shared" si="555"/>
        <v>0</v>
      </c>
      <c r="HW218" s="541" t="str">
        <f>IF(IB218-HQ218&lt;0,HQ218-IB218,"")</f>
        <v/>
      </c>
      <c r="HX218" s="541">
        <f t="shared" si="557"/>
        <v>22.545790816573998</v>
      </c>
      <c r="HY218" s="541">
        <f>Sheet1!CZ216</f>
        <v>276</v>
      </c>
      <c r="HZ218" s="541">
        <f t="shared" si="558"/>
        <v>34.82675820303384</v>
      </c>
      <c r="IA218" s="541">
        <f t="shared" si="559"/>
        <v>107.6769764294049</v>
      </c>
      <c r="IB218" s="541">
        <f t="shared" si="560"/>
        <v>241.17324179696615</v>
      </c>
      <c r="IC218" s="1019" t="str">
        <f t="shared" si="561"/>
        <v/>
      </c>
      <c r="ID218" s="541">
        <f t="shared" si="562"/>
        <v>133.49626536756125</v>
      </c>
      <c r="IE218" s="541">
        <f>Sheet1!DB216</f>
        <v>150</v>
      </c>
      <c r="IF218" s="533">
        <f>Sheet1!DA216</f>
        <v>331</v>
      </c>
      <c r="IH218" s="541">
        <f>IF(AND($B218&gt;=$GC218,$B218&lt;=$GH218,$DR218&lt;0)+N("only adjusted when pool is drawn down during storage season"),Sheet1!$DB216+$DR218+N("Palmer minus all storage release"),Sheet1!$DB216)</f>
        <v>73.247604639436673</v>
      </c>
      <c r="II218" s="541">
        <f>IF(AND($B218&gt;=$GC218,$B218&lt;=$GH218,$DR218&lt;0)+N("only adjusted when pool is drawn down during storage season"),Sheet1!$DA216+$DR218+N("Auburn minus all storage release"),Sheet1!$DA216)</f>
        <v>254.24760463943667</v>
      </c>
    </row>
    <row r="219" spans="1:243" x14ac:dyDescent="0.25">
      <c r="A219" s="553" t="s">
        <v>7</v>
      </c>
      <c r="B219" s="531">
        <v>42943</v>
      </c>
      <c r="C219" s="536">
        <v>0</v>
      </c>
      <c r="D219" s="506">
        <f t="shared" si="506"/>
        <v>200</v>
      </c>
      <c r="E219" s="506">
        <f t="shared" si="507"/>
        <v>400</v>
      </c>
      <c r="F219" s="506">
        <v>250</v>
      </c>
      <c r="G219" s="535">
        <f>DR219+Sheet1!CZ217</f>
        <v>205.19818456871329</v>
      </c>
      <c r="H219" s="1074">
        <f t="shared" si="563"/>
        <v>0</v>
      </c>
      <c r="I219" s="534">
        <f>IF(Sheet1!DA217&gt;=E219,(Sheet1!DA217-E219+P219)*CFStoMGD,0)</f>
        <v>0</v>
      </c>
      <c r="J219" s="995">
        <f>IF(Sheet1!DB217&gt;=D219,(Sheet1!DB217-D219+P219)*CFStoMGD,0)</f>
        <v>0</v>
      </c>
      <c r="K219" s="818">
        <f t="shared" si="538"/>
        <v>0</v>
      </c>
      <c r="L219" s="535">
        <f>Sheet1!AA217+Sheet1!AB217-Sheet1!L217+(Sheet1!DA217-F219)*CFStoMGD-S219-T219-U219</f>
        <v>101.99376666666667</v>
      </c>
      <c r="M219" s="535">
        <f t="shared" si="436"/>
        <v>135.2929086353206</v>
      </c>
      <c r="N219" s="824">
        <f>IF(Sheet1!DA217&gt;=F219,MIN(113*CFStoMGD,MIN(MAX(L219,0),MAX(M219,0))),0)</f>
        <v>73.043199999999999</v>
      </c>
      <c r="O219" s="538">
        <f>Sheet1!AA217+Sheet1!AB217</f>
        <v>92.77</v>
      </c>
      <c r="P219" s="538">
        <f t="shared" si="437"/>
        <v>143.51518999999999</v>
      </c>
      <c r="Q219" s="812">
        <f t="shared" si="539"/>
        <v>70.320166666666665</v>
      </c>
      <c r="R219" s="812">
        <f t="shared" si="508"/>
        <v>22.5</v>
      </c>
      <c r="S219" s="812">
        <f t="shared" si="509"/>
        <v>0</v>
      </c>
      <c r="T219" s="812">
        <f t="shared" si="510"/>
        <v>0</v>
      </c>
      <c r="U219" s="812">
        <f>IF(AND(B219&gt;=FV219,B219&lt;=FW219),ED219+Sheet1!EH217,0)</f>
        <v>22.449833333333334</v>
      </c>
      <c r="V219" s="812"/>
      <c r="W219" s="812">
        <f t="shared" si="511"/>
        <v>0</v>
      </c>
      <c r="X219" s="812">
        <f t="shared" si="512"/>
        <v>0</v>
      </c>
      <c r="Y219" s="812" t="str">
        <f t="shared" si="513"/>
        <v>FALSE</v>
      </c>
      <c r="Z219" s="812">
        <f t="shared" si="514"/>
        <v>92.77</v>
      </c>
      <c r="AA219" s="812">
        <f t="shared" si="515"/>
        <v>92.77</v>
      </c>
      <c r="AB219" s="1059">
        <f t="shared" si="540"/>
        <v>108.78529783333333</v>
      </c>
      <c r="AC219" s="538">
        <f>Sheet1!Y217*MGDtoCFS</f>
        <v>49.813400000000001</v>
      </c>
      <c r="AD219" s="538">
        <f>Sheet1!Z217*MGDtoCFS</f>
        <v>92.572479999999999</v>
      </c>
      <c r="AE219" s="538">
        <f>Sheet1!AA217*MGDtoCFS</f>
        <v>50.91176999999999</v>
      </c>
      <c r="AF219" s="538">
        <f>Sheet1!AB217*MGDtoCFS</f>
        <v>92.60342</v>
      </c>
      <c r="AG219" s="538">
        <f>Sheet1!L217*MGDtoCFS</f>
        <v>0</v>
      </c>
      <c r="AH219" s="521">
        <f t="shared" si="438"/>
        <v>22.512953333333336</v>
      </c>
      <c r="AI219" s="1059">
        <f t="shared" si="439"/>
        <v>34.827538806666666</v>
      </c>
      <c r="AJ219" s="535">
        <f t="shared" si="440"/>
        <v>0</v>
      </c>
      <c r="AK219" s="535">
        <f t="shared" si="441"/>
        <v>0</v>
      </c>
      <c r="AL219" s="535">
        <f>(VLOOKUP(Sheet1!DC217,hhdcap_wcm,4)-(((VLOOKUP(Sheet1!DC217,hhdcap_wcm,3)-Sheet1!DC217)/(VLOOKUP(Sheet1!DC217,hhdcap_wcm,3)-VLOOKUP(Sheet1!DC217,hhdcap_wcm,1)))*(VLOOKUP(Sheet1!DC217,hhdcap_wcm,4)-VLOOKUP(Sheet1!DC217,hhdcap_wcm,2))))</f>
        <v>44332.000000108543</v>
      </c>
      <c r="AM219" s="535">
        <f t="shared" si="442"/>
        <v>-140.40000000024156</v>
      </c>
      <c r="AN219" s="1035">
        <f t="shared" si="443"/>
        <v>2674.0471589776962</v>
      </c>
      <c r="AO219" s="535">
        <f t="shared" si="444"/>
        <v>8203.9766837435727</v>
      </c>
      <c r="AP219" s="535">
        <f>Sheet1!BA217+Sheet1!BB217+Sheet1!BN217+CD219</f>
        <v>38.5</v>
      </c>
      <c r="AQ219" s="535">
        <f>Sheet1!BN217+(DO219*Sheet1!BN217)</f>
        <v>38.410166666666669</v>
      </c>
      <c r="AR219" s="535">
        <f>Sheet1!BA217+CD219</f>
        <v>0</v>
      </c>
      <c r="AS219" s="535">
        <f>Sheet1!BA217+Sheet1!BB217+CD219</f>
        <v>0</v>
      </c>
      <c r="AT219" s="649">
        <f>0</f>
        <v>0</v>
      </c>
      <c r="AU219" s="974">
        <f>BA219+MAX(Sheet1!EH217,(O219-Q219-ED219-S219))</f>
        <v>1</v>
      </c>
      <c r="AV219" s="535">
        <f>IF(OR(B219&gt;=GD219,B219&lt;GC219),0,15/36*K219-MAX(0,64.6-(137.6-(Sheet1!AA217+Sheet1!AB217))))</f>
        <v>0</v>
      </c>
      <c r="AW219" s="1029"/>
      <c r="AX219" s="649"/>
      <c r="AY219" s="649">
        <f t="shared" si="541"/>
        <v>0</v>
      </c>
      <c r="AZ219" s="649">
        <f t="shared" si="542"/>
        <v>0</v>
      </c>
      <c r="BA219" s="1059">
        <f t="shared" si="543"/>
        <v>0</v>
      </c>
      <c r="BB219" s="1019">
        <f t="shared" si="445"/>
        <v>1296.3333333333335</v>
      </c>
      <c r="BC219" s="1041">
        <f t="shared" si="544"/>
        <v>0</v>
      </c>
      <c r="BD219" s="1019">
        <f ca="1">IF(B219&gt;(Summary!$A$1-1),#N/A,BB219*MGtoAF)</f>
        <v>3977.1506666666673</v>
      </c>
      <c r="BE219" s="535">
        <f>Sheet1!BG217+Sheet1!BH217+Sheet1!BI217-BM219</f>
        <v>3.02</v>
      </c>
      <c r="BF219" s="535">
        <f t="shared" si="446"/>
        <v>3.0129533333333334</v>
      </c>
      <c r="BG219" s="535">
        <f>IF(Sheet1!EP217="FM",BM219,0)</f>
        <v>0</v>
      </c>
      <c r="BH219" s="535">
        <f t="shared" si="447"/>
        <v>0</v>
      </c>
      <c r="BI219" s="535">
        <f>IF(Sheet1!EP217="OTHER",BM219,0)</f>
        <v>0</v>
      </c>
      <c r="BJ219" s="535">
        <f t="shared" si="448"/>
        <v>0</v>
      </c>
      <c r="BK219" s="535">
        <f t="shared" si="449"/>
        <v>3.02</v>
      </c>
      <c r="BL219" s="535">
        <f t="shared" si="450"/>
        <v>3.0129533333333334</v>
      </c>
      <c r="BM219" s="535">
        <f>IF(OR(Sheet1!EP217="FM", Sheet1!EP217="OTHER"),SUM(Sheet1!BG217:'Sheet1'!BI217),0)</f>
        <v>0</v>
      </c>
      <c r="BN219" s="521">
        <f>IF(AND($B219&gt;=$FV219,$B219&lt;=$FW219),MAX(BF219,Sheet1!EI217,0),MAX(BF219-(7/36)*$K219,0))</f>
        <v>3.0129533333333334</v>
      </c>
      <c r="BO219" s="535">
        <f t="shared" si="497"/>
        <v>0</v>
      </c>
      <c r="BP219" s="521">
        <f t="shared" si="452"/>
        <v>0</v>
      </c>
      <c r="BQ219" s="521">
        <f>IF(AND($O219&gt;0,Sheet1!EM217=1),(1-($O219-Sheet1!$L217)/$O219)*BL219,0)</f>
        <v>0</v>
      </c>
      <c r="BR219" s="521">
        <f>IF(AND(Sheet1!$L217=0,Sheet1!$L216=0, Calculation!BK219&lt;Sheet1!$EI217-0.1,Sheet1!$EI217=Sheet1!$EI216,Sheet1!$EI217=Sheet1!$EI218),BL219-BQ219,BL219-BQ219)</f>
        <v>3.0129533333333334</v>
      </c>
      <c r="BS219" s="1035" t="str">
        <f t="shared" si="545"/>
        <v/>
      </c>
      <c r="BT219" s="1035">
        <f t="shared" si="546"/>
        <v>0</v>
      </c>
      <c r="BU219" s="535">
        <f t="shared" si="453"/>
        <v>566.87153367494091</v>
      </c>
      <c r="BV219" s="535"/>
      <c r="BW219" s="535">
        <f ca="1">IF(B219&gt;(Summary!$A$1-1),#N/A,BU219*MGtoAF)</f>
        <v>1739.1618653147186</v>
      </c>
      <c r="BX219" s="535">
        <f>Sheet1!BC217+Sheet1!BD217+Sheet1!BE217+Sheet1!BF217-CG219-CH219</f>
        <v>6.99</v>
      </c>
      <c r="BY219" s="535">
        <f t="shared" si="454"/>
        <v>6.9736900000000004</v>
      </c>
      <c r="BZ219" s="535">
        <f>IF(Sheet1!EQ217="FM",CH219,0)</f>
        <v>0</v>
      </c>
      <c r="CA219" s="535">
        <f t="shared" si="455"/>
        <v>0</v>
      </c>
      <c r="CB219" s="535">
        <f>IF(Sheet1!EQ217="OTHER",CH219,0)</f>
        <v>0</v>
      </c>
      <c r="CC219" s="535">
        <f t="shared" si="456"/>
        <v>0</v>
      </c>
      <c r="CD219" s="535">
        <f t="shared" si="457"/>
        <v>0</v>
      </c>
      <c r="CE219" s="535">
        <f t="shared" si="458"/>
        <v>6.99</v>
      </c>
      <c r="CF219" s="535">
        <f t="shared" si="459"/>
        <v>6.9736900000000004</v>
      </c>
      <c r="CG219" s="535">
        <f>IF(Sheet1!EQ217="CWA",SUM(Sheet1!BC217:'Sheet1'!BF217),0)</f>
        <v>0</v>
      </c>
      <c r="CH219" s="535">
        <f>IF(OR(Sheet1!EQ217="FM", Sheet1!EQ217="OTHER"),SUM(Sheet1!BC217:'Sheet1'!BF217),0)</f>
        <v>0</v>
      </c>
      <c r="CI219" s="521">
        <f>IF(AND($B219&gt;=$FV219,$B219&lt;=$FW219),MAX(CF219,Sheet1!EJ217,0),MAX(CF219-(7/36)*$K219,0))</f>
        <v>7</v>
      </c>
      <c r="CJ219" s="535">
        <f t="shared" si="499"/>
        <v>0</v>
      </c>
      <c r="CK219" s="521">
        <f t="shared" si="461"/>
        <v>0</v>
      </c>
      <c r="CL219" s="521">
        <f>IF(AND($O219&gt;0,Sheet1!EN217=1),(1-($O219-Sheet1!$L217)/$O219)*CF219,0)</f>
        <v>0</v>
      </c>
      <c r="CM219" s="521">
        <f>IF(AND(Sheet1!$L217=0,Sheet1!$L216=0, Calculation!CE219&lt;Sheet1!EJ217-0.1,Sheet1!EJ217=Sheet1!EJ216,Sheet1!EJ217=Sheet1!EJ218),CF219-CL219,CF219-CL219)</f>
        <v>6.9736900000000004</v>
      </c>
      <c r="CN219" s="1040" t="str">
        <f t="shared" si="547"/>
        <v/>
      </c>
      <c r="CO219" s="1035">
        <f t="shared" si="548"/>
        <v>0</v>
      </c>
      <c r="CP219" s="535">
        <f t="shared" si="462"/>
        <v>459.37482335490836</v>
      </c>
      <c r="CQ219" s="535"/>
      <c r="CR219" s="535">
        <f ca="1">IF(B219&gt;(Summary!$A$1-1),#N/A,CP219*MGtoAF)</f>
        <v>1409.3619580528589</v>
      </c>
      <c r="CS219" s="535">
        <f>Sheet1!BK217+Sheet1!BL217+Sheet1!BM217-Sheet1!ER217-DA219</f>
        <v>11.49</v>
      </c>
      <c r="CT219" s="535">
        <f t="shared" si="463"/>
        <v>11.463190000000001</v>
      </c>
      <c r="CU219" s="535">
        <f>IF(Sheet1!ER217="FM",DA219,0)</f>
        <v>0</v>
      </c>
      <c r="CV219" s="535">
        <f t="shared" si="464"/>
        <v>0</v>
      </c>
      <c r="CW219" s="535">
        <f>IF(Sheet1!ER217="OTHER",DA219,0)</f>
        <v>0</v>
      </c>
      <c r="CX219" s="535">
        <f t="shared" si="465"/>
        <v>0</v>
      </c>
      <c r="CY219" s="535">
        <f t="shared" si="466"/>
        <v>11.49</v>
      </c>
      <c r="CZ219" s="535">
        <f t="shared" si="467"/>
        <v>11.463190000000001</v>
      </c>
      <c r="DA219" s="535">
        <f>IF(OR(Sheet1!ER217="FM", Sheet1!ER217="OTHER"),SUM(Sheet1!BK217:'Sheet1'!BM217),0)</f>
        <v>0</v>
      </c>
      <c r="DB219" s="1011">
        <f>IF(AND($B219&gt;=$FV219,$B219&lt;=$FW219),MAX($CT219,Sheet1!EK217,0),MAX($CT219-(7/36)*$K219,0))</f>
        <v>11.5</v>
      </c>
      <c r="DC219" s="1012">
        <f t="shared" si="498"/>
        <v>0</v>
      </c>
      <c r="DD219" s="1011">
        <f t="shared" si="469"/>
        <v>0</v>
      </c>
      <c r="DE219" s="521">
        <f>IF(AND($O219&gt;0,Sheet1!EO217=1),(1-($O219-Sheet1!$L217)/$O219)*CZ219,0)</f>
        <v>0</v>
      </c>
      <c r="DF219" s="521">
        <f>IF(AND(Sheet1!$L217=0,Sheet1!$L216=0, Calculation!CY219&lt;Sheet1!$EK217-0.1,Sheet1!$EK217=Sheet1!$EK216,Sheet1!$EK217=Sheet1!$EK218),CZ219-DE219,CZ219-DE219)</f>
        <v>11.463190000000001</v>
      </c>
      <c r="DG219" s="1040">
        <f t="shared" si="549"/>
        <v>0</v>
      </c>
      <c r="DH219" s="649">
        <f t="shared" si="470"/>
        <v>21.5</v>
      </c>
      <c r="DI219" s="535">
        <f t="shared" si="471"/>
        <v>351.46746861451368</v>
      </c>
      <c r="DJ219" s="649">
        <f t="shared" si="472"/>
        <v>21.449833333333334</v>
      </c>
      <c r="DK219" s="535">
        <f ca="1">IF(B219&gt;(Summary!$A$1-1),#N/A,DI219*MGtoAF)</f>
        <v>1078.3021937093281</v>
      </c>
      <c r="DL219" s="649">
        <f t="shared" si="473"/>
        <v>21.5</v>
      </c>
      <c r="DM219" s="535">
        <f t="shared" si="474"/>
        <v>60</v>
      </c>
      <c r="DN219" s="535">
        <f>Sheet1!AB217-DM219</f>
        <v>-0.14000000000000057</v>
      </c>
      <c r="DO219" s="743">
        <f t="shared" si="475"/>
        <v>-2.3333333333333426E-3</v>
      </c>
      <c r="DP219" s="535">
        <f>(VLOOKUP(Sheet1!DC217,hhdcap_wcm,4)-(((VLOOKUP(Sheet1!DC217,hhdcap_wcm,3)-Sheet1!DC217)/(VLOOKUP(Sheet1!DC217,hhdcap_wcm,3)-VLOOKUP(Sheet1!DC217,hhdcap_wcm,1)))*(VLOOKUP(Sheet1!DC217,hhdcap_wcm,4)-VLOOKUP(Sheet1!DC217,hhdcap_wcm,2))))</f>
        <v>44332.000000108543</v>
      </c>
      <c r="DQ219" s="535">
        <f t="shared" si="476"/>
        <v>-140.40000000024156</v>
      </c>
      <c r="DR219" s="535">
        <f t="shared" si="477"/>
        <v>-70.801815431286713</v>
      </c>
      <c r="DS219" s="535">
        <f>Sheet1!EA217*AFtoMG</f>
        <v>0</v>
      </c>
      <c r="DT219" s="535">
        <f>Sheet1!EB217*AFtoMG</f>
        <v>0</v>
      </c>
      <c r="DU219" s="535">
        <f>Sheet1!EC217*AFtoMG</f>
        <v>0</v>
      </c>
      <c r="DV219" s="535">
        <f>Sheet1!ED217*AFtoMG</f>
        <v>0</v>
      </c>
      <c r="DW219" s="535">
        <f t="shared" si="478"/>
        <v>0</v>
      </c>
      <c r="DX219" s="535">
        <f t="shared" si="479"/>
        <v>0</v>
      </c>
      <c r="DY219" s="535">
        <f t="shared" si="480"/>
        <v>2674.0471589776962</v>
      </c>
      <c r="DZ219" s="535">
        <f t="shared" si="481"/>
        <v>8203.9766837435727</v>
      </c>
      <c r="EA219" s="535"/>
      <c r="EB219" s="521">
        <f>IF(OR(B219&lt;FV219,B219&gt;FW219),(MIN(BF219+BY219+CT219+MAX(Sheet1!AA217+AQ219-73,0),K219)),0)</f>
        <v>0</v>
      </c>
      <c r="EC219" s="535"/>
      <c r="ED219" s="535">
        <f t="shared" si="482"/>
        <v>21.449833333333334</v>
      </c>
      <c r="EE219" s="535"/>
      <c r="EF219" s="535">
        <f>Sheet1!EH217+Sheet1!EI217+Sheet1!EJ217+Sheet1!EK217</f>
        <v>22.5</v>
      </c>
      <c r="EG219" s="1019">
        <f t="shared" si="550"/>
        <v>34.807499999999997</v>
      </c>
      <c r="EH219" s="521">
        <f t="shared" si="483"/>
        <v>0</v>
      </c>
      <c r="EI219" s="535">
        <f>IF(Sheet1!ET217=1,SUM('Calculations II'!AT219:BA219)+'Calculations II'!BC219+Sheet1!BV217+'Calculations II'!BE219+AP219,'Calculations II'!BK219)</f>
        <v>75.152758666666671</v>
      </c>
      <c r="EJ219" s="535">
        <f ca="1">EI219+'Calculations II'!D219+'Calculations II'!E219+'Calculations II'!O219</f>
        <v>77.904768672811045</v>
      </c>
      <c r="EK219" s="535"/>
      <c r="EL219" s="535"/>
      <c r="EM219" s="535">
        <f t="shared" si="484"/>
        <v>42943</v>
      </c>
      <c r="EN219" s="535">
        <f t="shared" si="485"/>
        <v>-22.512953333333336</v>
      </c>
      <c r="EO219" s="535">
        <f t="shared" si="486"/>
        <v>-34.827538806666666</v>
      </c>
      <c r="EP219" s="535">
        <v>0</v>
      </c>
      <c r="EQ219" s="535">
        <v>0</v>
      </c>
      <c r="ER219" s="535">
        <v>0</v>
      </c>
      <c r="ES219" s="521">
        <f t="shared" si="516"/>
        <v>-3.3228656917501689</v>
      </c>
      <c r="ET219" s="535">
        <f>-(VLOOKUP(Sheet1!BQ217,Lookup!$O$4:$Q$262,2)-VLOOKUP(Sheet1!BQ216,Lookup!$O$4:$Q$262,2))/1000000</f>
        <v>-1.6611637298401445</v>
      </c>
      <c r="EU219" s="535">
        <f>-(VLOOKUP(Sheet1!BR217,Lookup!$O$4:$Q$262,3)-VLOOKUP(Sheet1!BR216,Lookup!$O$4:$Q$262,3))/1000000</f>
        <v>-1.6617019619100244</v>
      </c>
      <c r="EV219" s="535"/>
      <c r="EW219" s="535"/>
      <c r="EX219" s="535"/>
      <c r="EY219" s="535"/>
      <c r="EZ219" s="535"/>
      <c r="FA219" s="535"/>
      <c r="FB219" s="535"/>
      <c r="FC219" s="535"/>
      <c r="FD219" s="567">
        <f t="shared" si="504"/>
        <v>1137.3126760562604</v>
      </c>
      <c r="FE219" s="567" t="e">
        <f t="shared" si="488"/>
        <v>#N/A</v>
      </c>
      <c r="FF219" s="568" t="e">
        <f t="shared" si="489"/>
        <v>#N/A</v>
      </c>
      <c r="FG219" s="569" t="s">
        <v>656</v>
      </c>
      <c r="FH219" s="569" t="s">
        <v>656</v>
      </c>
      <c r="FI219" s="567" t="e">
        <v>#N/A</v>
      </c>
      <c r="FJ219" s="725">
        <v>21319</v>
      </c>
      <c r="FK219" s="535"/>
      <c r="FL219" s="1015">
        <f t="shared" si="503"/>
        <v>42.360060514372158</v>
      </c>
      <c r="FM219" s="535"/>
      <c r="FN219" s="535"/>
      <c r="FO219" s="535">
        <f>O219+((Sheet1!CS217)*GPMtoMGD)</f>
        <v>99.043216000000001</v>
      </c>
      <c r="FP219" s="535">
        <f>IF(Sheet1!AA217+AQ219&lt;=Calculation!N219,AQ219,Calculation!N219-Sheet1!AA217)</f>
        <v>38.410166666666669</v>
      </c>
      <c r="FQ219" s="535">
        <f>(Sheet1!BP217+Sheet1!BO217)/694.4</f>
        <v>4.0934619815668203</v>
      </c>
      <c r="FR219" s="541"/>
      <c r="FS219" s="541"/>
      <c r="FT219" s="541"/>
      <c r="FU219" s="541"/>
      <c r="FV219" s="1109">
        <f t="shared" si="517"/>
        <v>42918</v>
      </c>
      <c r="FW219" s="1109">
        <f t="shared" si="518"/>
        <v>43027</v>
      </c>
      <c r="FX219" s="541"/>
      <c r="FY219" s="541">
        <f>Sheet1!DA217-Sheet1!CZ217-Sheet1!AE217</f>
        <v>-120.51518999999999</v>
      </c>
      <c r="FZ219" s="535">
        <f t="shared" si="551"/>
        <v>-0.58731119017109967</v>
      </c>
      <c r="GA219" s="535"/>
      <c r="GB219" s="535" t="str">
        <f t="shared" si="519"/>
        <v>n</v>
      </c>
      <c r="GC219" s="539">
        <f t="shared" si="520"/>
        <v>42782</v>
      </c>
      <c r="GD219" s="1109">
        <f t="shared" si="521"/>
        <v>42904</v>
      </c>
      <c r="GE219" s="535">
        <f t="shared" si="537"/>
        <v>6520</v>
      </c>
      <c r="GF219" s="1109">
        <f t="shared" si="522"/>
        <v>42909</v>
      </c>
      <c r="GG219" s="535">
        <f t="shared" si="564"/>
        <v>3260</v>
      </c>
      <c r="GH219" s="539">
        <f t="shared" si="523"/>
        <v>43040</v>
      </c>
      <c r="GJ219" s="521">
        <f t="shared" si="524"/>
        <v>0</v>
      </c>
      <c r="GK219" s="535" t="str">
        <f t="shared" si="490"/>
        <v/>
      </c>
      <c r="GL219" s="535">
        <f t="shared" si="525"/>
        <v>0</v>
      </c>
      <c r="GM219" s="535" t="str">
        <f t="shared" si="526"/>
        <v/>
      </c>
      <c r="GN219" s="535">
        <f>IF(GK219="P",Lookup!$M$12,IF(GK219="PP",Lookup!$M$13,IF(GK219="PPP",Lookup!$M$14,IF(GK219="T",Lookup!$M$15,IF(GK219="TP",Lookup!$M$16,IF(GK219="TPP",Lookup!$M$17,IF(GK219="TPPP",Lookup!$M$18,0)))))))*GJ219</f>
        <v>0</v>
      </c>
      <c r="GO219" s="535">
        <f t="shared" si="527"/>
        <v>0</v>
      </c>
      <c r="GP219" s="535">
        <f t="shared" si="491"/>
        <v>3977.1506666666673</v>
      </c>
      <c r="GQ219" s="974">
        <f t="shared" si="500"/>
        <v>1296.3333333333335</v>
      </c>
      <c r="GR219" s="535"/>
      <c r="GS219" s="535">
        <f t="shared" si="528"/>
        <v>0</v>
      </c>
      <c r="GT219" s="535" t="str">
        <f t="shared" si="529"/>
        <v/>
      </c>
      <c r="GU219" s="535">
        <f>IF(GK219="P",Lookup!$N$12,IF(GK219="PP",Lookup!$N$13,IF(GK219="PPP",Lookup!$N$14,IF(GK219="T",Lookup!$N$15,IF(GK219="TP",Lookup!$N$16,IF(GK219="TPP",Lookup!$N$17,IF(GK219="TPPP",Lookup!$N$18,0)))))))*GJ219</f>
        <v>0</v>
      </c>
      <c r="GV219" s="535">
        <f t="shared" si="530"/>
        <v>0</v>
      </c>
      <c r="GW219" s="535">
        <f t="shared" si="492"/>
        <v>1739.1618653147186</v>
      </c>
      <c r="GX219" s="974">
        <f t="shared" si="501"/>
        <v>566.87153367494091</v>
      </c>
      <c r="GY219" s="535"/>
      <c r="GZ219" s="535">
        <f t="shared" si="531"/>
        <v>0</v>
      </c>
      <c r="HA219" s="535" t="str">
        <f t="shared" si="532"/>
        <v/>
      </c>
      <c r="HB219" s="535">
        <f>IF(GK219="P",Lookup!$N$12,IF(GK219="PP",Lookup!$N$13,IF(GK219="PPP",Lookup!$N$14,IF(GK219="T",Lookup!$N$15,IF(GK219="TP",Lookup!$N$16,IF(GK219="TPP",Lookup!$N$17,IF(GK219="TPPP",Lookup!$N$18,0)))))))*GJ219</f>
        <v>0</v>
      </c>
      <c r="HC219" s="521">
        <f t="shared" si="493"/>
        <v>0</v>
      </c>
      <c r="HD219" s="535">
        <f t="shared" si="494"/>
        <v>1409.3619580528589</v>
      </c>
      <c r="HE219" s="535">
        <f t="shared" si="535"/>
        <v>459.37482335490836</v>
      </c>
      <c r="HF219" s="535"/>
      <c r="HG219" s="535">
        <f t="shared" si="533"/>
        <v>0</v>
      </c>
      <c r="HH219" s="535" t="str">
        <f t="shared" si="534"/>
        <v/>
      </c>
      <c r="HI219" s="535">
        <f>IF(GK219="P",Lookup!$N$12,IF(GK219="PP",Lookup!$N$13,IF(GK219="PPP",Lookup!$N$14,IF(GK219="T",Lookup!$N$15,IF(GK219="TP",Lookup!$N$16,IF(GK219="TPP",Lookup!$N$17,IF(GK219="TPPP",Lookup!$N$18,0)))))))*GJ219</f>
        <v>0</v>
      </c>
      <c r="HJ219" s="521">
        <f t="shared" si="495"/>
        <v>0</v>
      </c>
      <c r="HK219" s="535">
        <f t="shared" si="496"/>
        <v>1078.3021937093281</v>
      </c>
      <c r="HL219" s="535">
        <f t="shared" si="536"/>
        <v>351.46746861451368</v>
      </c>
      <c r="HM219" s="535"/>
      <c r="HN219" s="541"/>
      <c r="HO219" s="541"/>
      <c r="HP219" s="541"/>
      <c r="HQ219" s="541">
        <f>IF(AND(B219&gt;=$FV$4,B219&lt;=$FW$4),MAX(110/1.02+$HQ$6+MIN(113/1.02,G219),IF($HV$6-(Sheet1!DA217-Sheet1!DB217)+MIN(113/1.02,G219)&lt;G219+FL219,$HV$6-(Sheet1!DA217-Sheet1!DB217)+MIN(113/1.02,G219),G219+FL219)),MIN(110/1.02+$HQ$6+113/1.02,G219))</f>
        <v>223.78431372549019</v>
      </c>
      <c r="HR219" s="541">
        <f t="shared" si="552"/>
        <v>228.26</v>
      </c>
      <c r="HS219" s="541">
        <f>HR219+(Sheet1!DA217-Sheet1!DB217)</f>
        <v>380.26</v>
      </c>
      <c r="HT219" s="541">
        <f t="shared" si="553"/>
        <v>108.78529783333333</v>
      </c>
      <c r="HU219" s="541">
        <f t="shared" si="554"/>
        <v>271.47470216666665</v>
      </c>
      <c r="HV219" s="541">
        <f t="shared" si="555"/>
        <v>0</v>
      </c>
      <c r="HW219" s="541" t="str">
        <f t="shared" si="556"/>
        <v/>
      </c>
      <c r="HX219" s="541">
        <f t="shared" si="557"/>
        <v>17.38814746784314</v>
      </c>
      <c r="HY219" s="541">
        <f>Sheet1!CZ217</f>
        <v>276</v>
      </c>
      <c r="HZ219" s="541">
        <f t="shared" si="558"/>
        <v>34.827538806666666</v>
      </c>
      <c r="IA219" s="541">
        <f t="shared" si="559"/>
        <v>108.78529783333333</v>
      </c>
      <c r="IB219" s="541">
        <f t="shared" si="560"/>
        <v>241.17246119333333</v>
      </c>
      <c r="IC219" s="1019" t="str">
        <f t="shared" si="561"/>
        <v/>
      </c>
      <c r="ID219" s="541">
        <f t="shared" si="562"/>
        <v>132.38716335999999</v>
      </c>
      <c r="IE219" s="541">
        <f>Sheet1!DB217</f>
        <v>147</v>
      </c>
      <c r="IF219" s="533">
        <f>Sheet1!DA217</f>
        <v>299</v>
      </c>
      <c r="IH219" s="541">
        <f>IF(AND($B219&gt;=$GC219,$B219&lt;=$GH219,$DR219&lt;0)+N("only adjusted when pool is drawn down during storage season"),Sheet1!$DB217+$DR219+N("Palmer minus all storage release"),Sheet1!$DB217)</f>
        <v>76.198184568713287</v>
      </c>
      <c r="II219" s="541">
        <f>IF(AND($B219&gt;=$GC219,$B219&lt;=$GH219,$DR219&lt;0)+N("only adjusted when pool is drawn down during storage season"),Sheet1!$DA217+$DR219+N("Auburn minus all storage release"),Sheet1!$DA217)</f>
        <v>228.19818456871329</v>
      </c>
    </row>
    <row r="220" spans="1:243" x14ac:dyDescent="0.25">
      <c r="A220" s="553" t="s">
        <v>8</v>
      </c>
      <c r="B220" s="531">
        <v>42944</v>
      </c>
      <c r="C220" s="536">
        <v>0</v>
      </c>
      <c r="D220" s="506">
        <f t="shared" si="506"/>
        <v>200</v>
      </c>
      <c r="E220" s="506">
        <f t="shared" si="507"/>
        <v>400</v>
      </c>
      <c r="F220" s="506">
        <v>250</v>
      </c>
      <c r="G220" s="535">
        <f>DR220+Sheet1!CZ218</f>
        <v>200.19818456883439</v>
      </c>
      <c r="H220" s="1074">
        <f t="shared" si="563"/>
        <v>0</v>
      </c>
      <c r="I220" s="534">
        <f>IF(Sheet1!DA218&gt;=E220,(Sheet1!DA218-E220+P220)*CFStoMGD,0)</f>
        <v>0</v>
      </c>
      <c r="J220" s="995">
        <f>IF(Sheet1!DB218&gt;=D220,(Sheet1!DB218-D220+P220)*CFStoMGD,0)</f>
        <v>0</v>
      </c>
      <c r="K220" s="818">
        <f t="shared" si="538"/>
        <v>0</v>
      </c>
      <c r="L220" s="535">
        <f>Sheet1!AA218+Sheet1!AB218-Sheet1!L218+(Sheet1!DA218-F220)*CFStoMGD-S220-T220-U220</f>
        <v>102.57947152777778</v>
      </c>
      <c r="M220" s="535">
        <f t="shared" si="436"/>
        <v>131.99626863540044</v>
      </c>
      <c r="N220" s="824">
        <f>IF(Sheet1!DA218&gt;=F220,MIN(113*CFStoMGD,MIN(MAX(L220,0),MAX(M220,0))),0)</f>
        <v>73.043199999999999</v>
      </c>
      <c r="O220" s="538">
        <f>Sheet1!AA218+Sheet1!AB218</f>
        <v>90.2</v>
      </c>
      <c r="P220" s="538">
        <f t="shared" si="437"/>
        <v>139.5394</v>
      </c>
      <c r="Q220" s="812">
        <f t="shared" si="539"/>
        <v>67.673871527777777</v>
      </c>
      <c r="R220" s="812">
        <f t="shared" si="508"/>
        <v>22.5</v>
      </c>
      <c r="S220" s="812">
        <f t="shared" si="509"/>
        <v>0</v>
      </c>
      <c r="T220" s="812">
        <f t="shared" si="510"/>
        <v>0</v>
      </c>
      <c r="U220" s="812">
        <f>IF(AND(B220&gt;=FV220,B220&lt;=FW220),ED220+Sheet1!EH218,0)</f>
        <v>22.526128472222222</v>
      </c>
      <c r="V220" s="812"/>
      <c r="W220" s="812">
        <f t="shared" si="511"/>
        <v>0</v>
      </c>
      <c r="X220" s="812">
        <f t="shared" si="512"/>
        <v>0</v>
      </c>
      <c r="Y220" s="812" t="str">
        <f t="shared" si="513"/>
        <v>FALSE</v>
      </c>
      <c r="Z220" s="812">
        <f t="shared" si="514"/>
        <v>90.2</v>
      </c>
      <c r="AA220" s="812">
        <f t="shared" si="515"/>
        <v>90.2</v>
      </c>
      <c r="AB220" s="1059">
        <f t="shared" si="540"/>
        <v>104.69147925347221</v>
      </c>
      <c r="AC220" s="538">
        <f>Sheet1!Y218*MGDtoCFS</f>
        <v>50.91176999999999</v>
      </c>
      <c r="AD220" s="538">
        <f>Sheet1!Z218*MGDtoCFS</f>
        <v>92.60342</v>
      </c>
      <c r="AE220" s="538">
        <f>Sheet1!AA218*MGDtoCFS</f>
        <v>50.323909999999998</v>
      </c>
      <c r="AF220" s="538">
        <f>Sheet1!AB218*MGDtoCFS</f>
        <v>89.215490000000003</v>
      </c>
      <c r="AG220" s="538">
        <f>Sheet1!L218*MGDtoCFS</f>
        <v>0</v>
      </c>
      <c r="AH220" s="521">
        <f t="shared" si="438"/>
        <v>22.52763368055556</v>
      </c>
      <c r="AI220" s="1059">
        <f t="shared" si="439"/>
        <v>34.850249303819453</v>
      </c>
      <c r="AJ220" s="535">
        <f t="shared" si="440"/>
        <v>0</v>
      </c>
      <c r="AK220" s="535">
        <f t="shared" si="441"/>
        <v>0</v>
      </c>
      <c r="AL220" s="535">
        <f>(VLOOKUP(Sheet1!DC218,hhdcap_wcm,4)-(((VLOOKUP(Sheet1!DC218,hhdcap_wcm,3)-Sheet1!DC218)/(VLOOKUP(Sheet1!DC218,hhdcap_wcm,3)-VLOOKUP(Sheet1!DC218,hhdcap_wcm,1)))*(VLOOKUP(Sheet1!DC218,hhdcap_wcm,4)-VLOOKUP(Sheet1!DC218,hhdcap_wcm,2))))</f>
        <v>44191.600000108541</v>
      </c>
      <c r="AM220" s="535">
        <f t="shared" si="442"/>
        <v>-140.40000000000146</v>
      </c>
      <c r="AN220" s="1035">
        <f t="shared" si="443"/>
        <v>2651.5195252971412</v>
      </c>
      <c r="AO220" s="535">
        <f t="shared" si="444"/>
        <v>8134.8619036116297</v>
      </c>
      <c r="AP220" s="535">
        <f>Sheet1!BA218+Sheet1!BB218+Sheet1!BN218+CD220</f>
        <v>36.1</v>
      </c>
      <c r="AQ220" s="535">
        <f>Sheet1!BN218+(DO220*Sheet1!BN218)</f>
        <v>36.143871527777783</v>
      </c>
      <c r="AR220" s="535">
        <f>Sheet1!BA218+CD220</f>
        <v>0</v>
      </c>
      <c r="AS220" s="535">
        <f>Sheet1!BA218+Sheet1!BB218+CD220</f>
        <v>0</v>
      </c>
      <c r="AT220" s="649">
        <f>0</f>
        <v>0</v>
      </c>
      <c r="AU220" s="974">
        <f>BA220+MAX(Sheet1!EH218,(O220-Q220-ED220-S220))</f>
        <v>1.0000000000000036</v>
      </c>
      <c r="AV220" s="535">
        <f>IF(OR(B220&gt;=GD220,B220&lt;GC220),0,15/36*K220-MAX(0,64.6-(137.6-(Sheet1!AA218+Sheet1!AB218))))</f>
        <v>0</v>
      </c>
      <c r="AW220" s="1029"/>
      <c r="AX220" s="649"/>
      <c r="AY220" s="649">
        <f t="shared" si="541"/>
        <v>0</v>
      </c>
      <c r="AZ220" s="649">
        <f t="shared" si="542"/>
        <v>0</v>
      </c>
      <c r="BA220" s="1059">
        <f t="shared" si="543"/>
        <v>0</v>
      </c>
      <c r="BB220" s="1019">
        <f t="shared" si="445"/>
        <v>1295.3333333333335</v>
      </c>
      <c r="BC220" s="1041">
        <f t="shared" si="544"/>
        <v>0</v>
      </c>
      <c r="BD220" s="1019">
        <f ca="1">IF(B220&gt;(Summary!$A$1-1),#N/A,BB220*MGtoAF)</f>
        <v>3974.0826666666671</v>
      </c>
      <c r="BE220" s="535">
        <f>Sheet1!BG218+Sheet1!BH218+Sheet1!BI218-BM220</f>
        <v>3.02</v>
      </c>
      <c r="BF220" s="535">
        <f t="shared" si="446"/>
        <v>3.0236701388888894</v>
      </c>
      <c r="BG220" s="535">
        <f>IF(Sheet1!EP218="FM",BM220,0)</f>
        <v>0</v>
      </c>
      <c r="BH220" s="535">
        <f t="shared" si="447"/>
        <v>0</v>
      </c>
      <c r="BI220" s="535">
        <f>IF(Sheet1!EP218="OTHER",BM220,0)</f>
        <v>0</v>
      </c>
      <c r="BJ220" s="535">
        <f t="shared" si="448"/>
        <v>0</v>
      </c>
      <c r="BK220" s="535">
        <f t="shared" si="449"/>
        <v>3.02</v>
      </c>
      <c r="BL220" s="535">
        <f t="shared" si="450"/>
        <v>3.0236701388888894</v>
      </c>
      <c r="BM220" s="535">
        <f>IF(OR(Sheet1!EP218="FM", Sheet1!EP218="OTHER"),SUM(Sheet1!BG218:'Sheet1'!BI218),0)</f>
        <v>0</v>
      </c>
      <c r="BN220" s="521">
        <f>IF(AND($B220&gt;=$FV220,$B220&lt;=$FW220),MAX(BF220,Sheet1!EI218,0),MAX(BF220-(7/36)*$K220,0))</f>
        <v>3.0236701388888894</v>
      </c>
      <c r="BO220" s="535">
        <f t="shared" si="497"/>
        <v>0</v>
      </c>
      <c r="BP220" s="521">
        <f t="shared" si="452"/>
        <v>0</v>
      </c>
      <c r="BQ220" s="521">
        <f>IF(AND($O220&gt;0,Sheet1!EM218=1),(1-($O220-Sheet1!$L218)/$O220)*BL220,0)</f>
        <v>0</v>
      </c>
      <c r="BR220" s="521">
        <f>IF(AND(Sheet1!$L218=0,Sheet1!$L217=0, Calculation!BK220&lt;Sheet1!$EI218-0.1,Sheet1!$EI218=Sheet1!$EI217,Sheet1!$EI218=Sheet1!$EI219),BL220-BQ220,BL220-BQ220)</f>
        <v>3.0236701388888894</v>
      </c>
      <c r="BS220" s="1035" t="str">
        <f t="shared" si="545"/>
        <v/>
      </c>
      <c r="BT220" s="1035">
        <f t="shared" si="546"/>
        <v>0</v>
      </c>
      <c r="BU220" s="535">
        <f t="shared" si="453"/>
        <v>563.84786353605205</v>
      </c>
      <c r="BV220" s="535"/>
      <c r="BW220" s="535">
        <f ca="1">IF(B220&gt;(Summary!$A$1-1),#N/A,BU220*MGtoAF)</f>
        <v>1729.8852453286077</v>
      </c>
      <c r="BX220" s="535">
        <f>Sheet1!BC218+Sheet1!BD218+Sheet1!BE218+Sheet1!BF218-CG220-CH220</f>
        <v>6.99</v>
      </c>
      <c r="BY220" s="535">
        <f t="shared" si="454"/>
        <v>6.9984947916666682</v>
      </c>
      <c r="BZ220" s="535">
        <f>IF(Sheet1!EQ218="FM",CH220,0)</f>
        <v>0</v>
      </c>
      <c r="CA220" s="535">
        <f t="shared" si="455"/>
        <v>0</v>
      </c>
      <c r="CB220" s="535">
        <f>IF(Sheet1!EQ218="OTHER",CH220,0)</f>
        <v>0</v>
      </c>
      <c r="CC220" s="535">
        <f t="shared" si="456"/>
        <v>0</v>
      </c>
      <c r="CD220" s="535">
        <f t="shared" si="457"/>
        <v>0</v>
      </c>
      <c r="CE220" s="535">
        <f t="shared" si="458"/>
        <v>6.99</v>
      </c>
      <c r="CF220" s="535">
        <f t="shared" si="459"/>
        <v>6.9984947916666682</v>
      </c>
      <c r="CG220" s="535">
        <f>IF(Sheet1!EQ218="CWA",SUM(Sheet1!BC218:'Sheet1'!BF218),0)</f>
        <v>0</v>
      </c>
      <c r="CH220" s="535">
        <f>IF(OR(Sheet1!EQ218="FM", Sheet1!EQ218="OTHER"),SUM(Sheet1!BC218:'Sheet1'!BF218),0)</f>
        <v>0</v>
      </c>
      <c r="CI220" s="521">
        <f>IF(AND($B220&gt;=$FV220,$B220&lt;=$FW220),MAX(CF220,Sheet1!EJ218,0),MAX(CF220-(7/36)*$K220,0))</f>
        <v>7</v>
      </c>
      <c r="CJ220" s="535">
        <f t="shared" si="499"/>
        <v>0</v>
      </c>
      <c r="CK220" s="521">
        <f t="shared" si="461"/>
        <v>0</v>
      </c>
      <c r="CL220" s="521">
        <f>IF(AND($O220&gt;0,Sheet1!EN218=1),(1-($O220-Sheet1!$L218)/$O220)*CF220,0)</f>
        <v>0</v>
      </c>
      <c r="CM220" s="521">
        <f>IF(AND(Sheet1!$L218=0,Sheet1!$L217=0, Calculation!CE220&lt;Sheet1!EJ218-0.1,Sheet1!EJ218=Sheet1!EJ217,Sheet1!EJ218=Sheet1!EJ219),CF220-CL220,CF220-CL220)</f>
        <v>6.9984947916666682</v>
      </c>
      <c r="CN220" s="1040" t="str">
        <f t="shared" si="547"/>
        <v/>
      </c>
      <c r="CO220" s="1035">
        <f t="shared" si="548"/>
        <v>0</v>
      </c>
      <c r="CP220" s="535">
        <f t="shared" si="462"/>
        <v>452.37482335490836</v>
      </c>
      <c r="CQ220" s="535"/>
      <c r="CR220" s="535">
        <f ca="1">IF(B220&gt;(Summary!$A$1-1),#N/A,CP220*MGtoAF)</f>
        <v>1387.8859580528588</v>
      </c>
      <c r="CS220" s="535">
        <f>Sheet1!BK218+Sheet1!BL218+Sheet1!BM218-Sheet1!ER218-DA220</f>
        <v>11.489999999999998</v>
      </c>
      <c r="CT220" s="535">
        <f t="shared" si="463"/>
        <v>11.503963541666666</v>
      </c>
      <c r="CU220" s="535">
        <f>IF(Sheet1!ER218="FM",DA220,0)</f>
        <v>0</v>
      </c>
      <c r="CV220" s="535">
        <f t="shared" si="464"/>
        <v>0</v>
      </c>
      <c r="CW220" s="535">
        <f>IF(Sheet1!ER218="OTHER",DA220,0)</f>
        <v>0</v>
      </c>
      <c r="CX220" s="535">
        <f t="shared" si="465"/>
        <v>0</v>
      </c>
      <c r="CY220" s="535">
        <f t="shared" si="466"/>
        <v>11.489999999999998</v>
      </c>
      <c r="CZ220" s="535">
        <f t="shared" si="467"/>
        <v>11.503963541666666</v>
      </c>
      <c r="DA220" s="535">
        <f>IF(OR(Sheet1!ER218="FM", Sheet1!ER218="OTHER"),SUM(Sheet1!BK218:'Sheet1'!BM218),0)</f>
        <v>0</v>
      </c>
      <c r="DB220" s="1011">
        <f>IF(AND($B220&gt;=$FV220,$B220&lt;=$FW220),MAX($CT220,Sheet1!EK218,0),MAX($CT220-(7/36)*$K220,0))</f>
        <v>11.503963541666666</v>
      </c>
      <c r="DC220" s="1012">
        <f t="shared" si="498"/>
        <v>0</v>
      </c>
      <c r="DD220" s="1011">
        <f t="shared" si="469"/>
        <v>0</v>
      </c>
      <c r="DE220" s="521">
        <f>IF(AND($O220&gt;0,Sheet1!EO218=1),(1-($O220-Sheet1!$L218)/$O220)*CZ220,0)</f>
        <v>0</v>
      </c>
      <c r="DF220" s="521">
        <f>IF(AND(Sheet1!$L218=0,Sheet1!$L217=0, Calculation!CY220&lt;Sheet1!$EK218-0.1,Sheet1!$EK218=Sheet1!$EK217,Sheet1!$EK218=Sheet1!$EK219),CZ220-DE220,CZ220-DE220)</f>
        <v>11.503963541666666</v>
      </c>
      <c r="DG220" s="1040">
        <f t="shared" si="549"/>
        <v>0</v>
      </c>
      <c r="DH220" s="649">
        <f t="shared" si="470"/>
        <v>21.5</v>
      </c>
      <c r="DI220" s="535">
        <f t="shared" si="471"/>
        <v>339.963505072847</v>
      </c>
      <c r="DJ220" s="649">
        <f t="shared" si="472"/>
        <v>21.526128472222226</v>
      </c>
      <c r="DK220" s="535">
        <f ca="1">IF(B220&gt;(Summary!$A$1-1),#N/A,DI220*MGtoAF)</f>
        <v>1043.0080335634946</v>
      </c>
      <c r="DL220" s="649">
        <f t="shared" si="473"/>
        <v>21.499999999999996</v>
      </c>
      <c r="DM220" s="535">
        <f t="shared" si="474"/>
        <v>57.599999999999994</v>
      </c>
      <c r="DN220" s="535">
        <f>Sheet1!AB218-DM220</f>
        <v>7.000000000000739E-2</v>
      </c>
      <c r="DO220" s="743">
        <f t="shared" si="475"/>
        <v>1.2152777777779062E-3</v>
      </c>
      <c r="DP220" s="535">
        <f>(VLOOKUP(Sheet1!DC218,hhdcap_wcm,4)-(((VLOOKUP(Sheet1!DC218,hhdcap_wcm,3)-Sheet1!DC218)/(VLOOKUP(Sheet1!DC218,hhdcap_wcm,3)-VLOOKUP(Sheet1!DC218,hhdcap_wcm,1)))*(VLOOKUP(Sheet1!DC218,hhdcap_wcm,4)-VLOOKUP(Sheet1!DC218,hhdcap_wcm,2))))</f>
        <v>44191.600000108541</v>
      </c>
      <c r="DQ220" s="535">
        <f t="shared" si="476"/>
        <v>-140.40000000000146</v>
      </c>
      <c r="DR220" s="535">
        <f t="shared" si="477"/>
        <v>-70.801815431165622</v>
      </c>
      <c r="DS220" s="535">
        <f>Sheet1!EA218*AFtoMG</f>
        <v>0</v>
      </c>
      <c r="DT220" s="535">
        <f>Sheet1!EB218*AFtoMG</f>
        <v>0</v>
      </c>
      <c r="DU220" s="535">
        <f>Sheet1!EC218*AFtoMG</f>
        <v>0</v>
      </c>
      <c r="DV220" s="535">
        <f>Sheet1!ED218*AFtoMG</f>
        <v>0</v>
      </c>
      <c r="DW220" s="535">
        <f t="shared" si="478"/>
        <v>0</v>
      </c>
      <c r="DX220" s="535">
        <f t="shared" si="479"/>
        <v>0</v>
      </c>
      <c r="DY220" s="535">
        <f t="shared" si="480"/>
        <v>2651.5195252971412</v>
      </c>
      <c r="DZ220" s="535">
        <f t="shared" si="481"/>
        <v>8134.8619036116297</v>
      </c>
      <c r="EA220" s="535"/>
      <c r="EB220" s="521">
        <f>IF(OR(B220&lt;FV220,B220&gt;FW220),(MIN(BF220+BY220+CT220+MAX(Sheet1!AA218+AQ220-73,0),K220)),0)</f>
        <v>0</v>
      </c>
      <c r="EC220" s="535"/>
      <c r="ED220" s="535">
        <f t="shared" si="482"/>
        <v>21.526128472222222</v>
      </c>
      <c r="EE220" s="535"/>
      <c r="EF220" s="535">
        <f>Sheet1!EH218+Sheet1!EI218+Sheet1!EJ218+Sheet1!EK218</f>
        <v>22.5</v>
      </c>
      <c r="EG220" s="1019">
        <f t="shared" si="550"/>
        <v>34.807499999999997</v>
      </c>
      <c r="EH220" s="521">
        <f t="shared" si="483"/>
        <v>0</v>
      </c>
      <c r="EI220" s="535">
        <f>IF(Sheet1!ET218=1,SUM('Calculations II'!AT220:BA220)+'Calculations II'!BC220+Sheet1!BV218+'Calculations II'!BE220+AP220,'Calculations II'!BK220)</f>
        <v>79.001775527777781</v>
      </c>
      <c r="EJ220" s="535">
        <f ca="1">EI220+'Calculations II'!D220+'Calculations II'!E220+'Calculations II'!O220</f>
        <v>79.067581610160786</v>
      </c>
      <c r="EK220" s="535"/>
      <c r="EL220" s="535"/>
      <c r="EM220" s="535">
        <f t="shared" si="484"/>
        <v>42944</v>
      </c>
      <c r="EN220" s="535">
        <f t="shared" si="485"/>
        <v>-22.52763368055556</v>
      </c>
      <c r="EO220" s="535">
        <f t="shared" si="486"/>
        <v>-34.850249303819453</v>
      </c>
      <c r="EP220" s="535">
        <v>0</v>
      </c>
      <c r="EQ220" s="535">
        <v>0</v>
      </c>
      <c r="ER220" s="535">
        <v>0</v>
      </c>
      <c r="ES220" s="521">
        <f t="shared" si="516"/>
        <v>-0.55399037035073717</v>
      </c>
      <c r="ET220" s="535">
        <f>-(VLOOKUP(Sheet1!BQ218,Lookup!$O$4:$Q$262,2)-VLOOKUP(Sheet1!BQ217,Lookup!$O$4:$Q$262,2))/1000000</f>
        <v>-0.27695032526067642</v>
      </c>
      <c r="EU220" s="535">
        <f>-(VLOOKUP(Sheet1!BR218,Lookup!$O$4:$Q$262,3)-VLOOKUP(Sheet1!BR217,Lookup!$O$4:$Q$262,3))/1000000</f>
        <v>-0.27704004509006069</v>
      </c>
      <c r="EV220" s="535"/>
      <c r="EW220" s="535"/>
      <c r="EX220" s="535"/>
      <c r="EY220" s="535"/>
      <c r="EZ220" s="535"/>
      <c r="FA220" s="535"/>
      <c r="FB220" s="535"/>
      <c r="FC220" s="535"/>
      <c r="FD220" s="567">
        <f t="shared" si="504"/>
        <v>1137.1929577464014</v>
      </c>
      <c r="FE220" s="567" t="e">
        <f t="shared" si="488"/>
        <v>#N/A</v>
      </c>
      <c r="FF220" s="568" t="e">
        <f t="shared" si="489"/>
        <v>#N/A</v>
      </c>
      <c r="FG220" s="569" t="s">
        <v>656</v>
      </c>
      <c r="FH220" s="569" t="s">
        <v>656</v>
      </c>
      <c r="FI220" s="567" t="e">
        <v>#N/A</v>
      </c>
      <c r="FJ220" s="725">
        <v>21235</v>
      </c>
      <c r="FK220" s="535"/>
      <c r="FL220" s="1015">
        <f t="shared" si="503"/>
        <v>42.360060514372158</v>
      </c>
      <c r="FM220" s="535"/>
      <c r="FN220" s="535"/>
      <c r="FO220" s="535">
        <f>O220+((Sheet1!CS218)*GPMtoMGD)</f>
        <v>99.960608000000008</v>
      </c>
      <c r="FP220" s="535">
        <f>IF(Sheet1!AA218+AQ220&lt;=Calculation!N220,AQ220,Calculation!N220-Sheet1!AA218)</f>
        <v>36.143871527777783</v>
      </c>
      <c r="FQ220" s="535">
        <f>(Sheet1!BP218+Sheet1!BO218)/694.4</f>
        <v>3.9268433179723501</v>
      </c>
      <c r="FR220" s="541"/>
      <c r="FS220" s="541"/>
      <c r="FT220" s="541"/>
      <c r="FU220" s="541"/>
      <c r="FV220" s="1109">
        <f t="shared" si="517"/>
        <v>42918</v>
      </c>
      <c r="FW220" s="1109">
        <f t="shared" si="518"/>
        <v>43027</v>
      </c>
      <c r="FX220" s="541"/>
      <c r="FY220" s="541">
        <f>Sheet1!DA218-Sheet1!CZ218-Sheet1!AE218</f>
        <v>-106.5394</v>
      </c>
      <c r="FZ220" s="535">
        <f t="shared" si="551"/>
        <v>-0.53216966092601314</v>
      </c>
      <c r="GA220" s="535"/>
      <c r="GB220" s="535" t="str">
        <f t="shared" si="519"/>
        <v>n</v>
      </c>
      <c r="GC220" s="539">
        <f t="shared" si="520"/>
        <v>42782</v>
      </c>
      <c r="GD220" s="1109">
        <f t="shared" si="521"/>
        <v>42904</v>
      </c>
      <c r="GE220" s="535">
        <f t="shared" si="537"/>
        <v>6520</v>
      </c>
      <c r="GF220" s="1109">
        <f t="shared" si="522"/>
        <v>42909</v>
      </c>
      <c r="GG220" s="535">
        <f t="shared" si="564"/>
        <v>3260</v>
      </c>
      <c r="GH220" s="539">
        <f t="shared" si="523"/>
        <v>43040</v>
      </c>
      <c r="GJ220" s="521">
        <f t="shared" si="524"/>
        <v>0</v>
      </c>
      <c r="GK220" s="535" t="str">
        <f t="shared" si="490"/>
        <v/>
      </c>
      <c r="GL220" s="535">
        <f t="shared" si="525"/>
        <v>0</v>
      </c>
      <c r="GM220" s="535" t="str">
        <f t="shared" si="526"/>
        <v/>
      </c>
      <c r="GN220" s="535">
        <f>IF(GK220="P",Lookup!$M$12,IF(GK220="PP",Lookup!$M$13,IF(GK220="PPP",Lookup!$M$14,IF(GK220="T",Lookup!$M$15,IF(GK220="TP",Lookup!$M$16,IF(GK220="TPP",Lookup!$M$17,IF(GK220="TPPP",Lookup!$M$18,0)))))))*GJ220</f>
        <v>0</v>
      </c>
      <c r="GO220" s="535">
        <f t="shared" si="527"/>
        <v>0</v>
      </c>
      <c r="GP220" s="535">
        <f t="shared" si="491"/>
        <v>3974.0826666666671</v>
      </c>
      <c r="GQ220" s="974">
        <f t="shared" si="500"/>
        <v>1295.3333333333335</v>
      </c>
      <c r="GR220" s="535"/>
      <c r="GS220" s="535">
        <f t="shared" si="528"/>
        <v>0</v>
      </c>
      <c r="GT220" s="535" t="str">
        <f t="shared" si="529"/>
        <v/>
      </c>
      <c r="GU220" s="535">
        <f>IF(GK220="P",Lookup!$N$12,IF(GK220="PP",Lookup!$N$13,IF(GK220="PPP",Lookup!$N$14,IF(GK220="T",Lookup!$N$15,IF(GK220="TP",Lookup!$N$16,IF(GK220="TPP",Lookup!$N$17,IF(GK220="TPPP",Lookup!$N$18,0)))))))*GJ220</f>
        <v>0</v>
      </c>
      <c r="GV220" s="535">
        <f t="shared" si="530"/>
        <v>0</v>
      </c>
      <c r="GW220" s="535">
        <f t="shared" si="492"/>
        <v>1729.8852453286077</v>
      </c>
      <c r="GX220" s="974">
        <f t="shared" si="501"/>
        <v>563.84786353605205</v>
      </c>
      <c r="GY220" s="535"/>
      <c r="GZ220" s="535">
        <f t="shared" si="531"/>
        <v>0</v>
      </c>
      <c r="HA220" s="535" t="str">
        <f t="shared" si="532"/>
        <v/>
      </c>
      <c r="HB220" s="535">
        <f>IF(GK220="P",Lookup!$N$12,IF(GK220="PP",Lookup!$N$13,IF(GK220="PPP",Lookup!$N$14,IF(GK220="T",Lookup!$N$15,IF(GK220="TP",Lookup!$N$16,IF(GK220="TPP",Lookup!$N$17,IF(GK220="TPPP",Lookup!$N$18,0)))))))*GJ220</f>
        <v>0</v>
      </c>
      <c r="HC220" s="521">
        <f t="shared" si="493"/>
        <v>0</v>
      </c>
      <c r="HD220" s="535">
        <f t="shared" si="494"/>
        <v>1387.8859580528588</v>
      </c>
      <c r="HE220" s="535">
        <f t="shared" si="535"/>
        <v>452.37482335490836</v>
      </c>
      <c r="HF220" s="535"/>
      <c r="HG220" s="535">
        <f t="shared" si="533"/>
        <v>0</v>
      </c>
      <c r="HH220" s="535" t="str">
        <f t="shared" si="534"/>
        <v/>
      </c>
      <c r="HI220" s="535">
        <f>IF(GK220="P",Lookup!$N$12,IF(GK220="PP",Lookup!$N$13,IF(GK220="PPP",Lookup!$N$14,IF(GK220="T",Lookup!$N$15,IF(GK220="TP",Lookup!$N$16,IF(GK220="TPP",Lookup!$N$17,IF(GK220="TPPP",Lookup!$N$18,0)))))))*GJ220</f>
        <v>0</v>
      </c>
      <c r="HJ220" s="521">
        <f t="shared" si="495"/>
        <v>0</v>
      </c>
      <c r="HK220" s="535">
        <f t="shared" si="496"/>
        <v>1043.0080335634946</v>
      </c>
      <c r="HL220" s="535">
        <f t="shared" si="536"/>
        <v>339.963505072847</v>
      </c>
      <c r="HM220" s="535"/>
      <c r="HN220" s="541"/>
      <c r="HO220" s="541"/>
      <c r="HP220" s="541"/>
      <c r="HQ220" s="541">
        <f>IF(AND(B220&gt;=$FV$4,B220&lt;=$FW$4),MAX(110/1.02+$HQ$6+MIN(113/1.02,G220),IF($HV$6-(Sheet1!DA218-Sheet1!DB218)+MIN(113/1.02,G220)&lt;G220+FL220,$HV$6-(Sheet1!DA218-Sheet1!DB218)+MIN(113/1.02,G220),G220+FL220)),MIN(110/1.02+$HQ$6+113/1.02,G220))</f>
        <v>224.78431372549019</v>
      </c>
      <c r="HR220" s="541">
        <f t="shared" si="552"/>
        <v>229.28</v>
      </c>
      <c r="HS220" s="541">
        <f>HR220+(Sheet1!DA218-Sheet1!DB218)</f>
        <v>380.28</v>
      </c>
      <c r="HT220" s="541">
        <f t="shared" si="553"/>
        <v>104.69147925347221</v>
      </c>
      <c r="HU220" s="541">
        <f t="shared" si="554"/>
        <v>275.58852074652776</v>
      </c>
      <c r="HV220" s="541">
        <f t="shared" si="555"/>
        <v>0</v>
      </c>
      <c r="HW220" s="541" t="str">
        <f t="shared" si="556"/>
        <v/>
      </c>
      <c r="HX220" s="541">
        <f t="shared" si="557"/>
        <v>11.365436970690354</v>
      </c>
      <c r="HY220" s="541">
        <f>Sheet1!CZ218</f>
        <v>271</v>
      </c>
      <c r="HZ220" s="541">
        <f t="shared" si="558"/>
        <v>34.850249303819453</v>
      </c>
      <c r="IA220" s="541">
        <f t="shared" si="559"/>
        <v>104.69147925347221</v>
      </c>
      <c r="IB220" s="541">
        <f t="shared" si="560"/>
        <v>236.14975069618055</v>
      </c>
      <c r="IC220" s="1019" t="str">
        <f t="shared" si="561"/>
        <v/>
      </c>
      <c r="ID220" s="541">
        <f t="shared" si="562"/>
        <v>131.45827144270834</v>
      </c>
      <c r="IE220" s="541">
        <f>Sheet1!DB218</f>
        <v>153</v>
      </c>
      <c r="IF220" s="533">
        <f>Sheet1!DA218</f>
        <v>304</v>
      </c>
      <c r="IH220" s="541">
        <f>IF(AND($B220&gt;=$GC220,$B220&lt;=$GH220,$DR220&lt;0)+N("only adjusted when pool is drawn down during storage season"),Sheet1!$DB218+$DR220+N("Palmer minus all storage release"),Sheet1!$DB218)</f>
        <v>82.198184568834378</v>
      </c>
      <c r="II220" s="541">
        <f>IF(AND($B220&gt;=$GC220,$B220&lt;=$GH220,$DR220&lt;0)+N("only adjusted when pool is drawn down during storage season"),Sheet1!$DA218+$DR220+N("Auburn minus all storage release"),Sheet1!$DA218)</f>
        <v>233.19818456883439</v>
      </c>
    </row>
    <row r="221" spans="1:243" x14ac:dyDescent="0.25">
      <c r="A221" s="553" t="s">
        <v>9</v>
      </c>
      <c r="B221" s="531">
        <v>42945</v>
      </c>
      <c r="C221" s="536">
        <v>0</v>
      </c>
      <c r="D221" s="506">
        <f t="shared" si="506"/>
        <v>200</v>
      </c>
      <c r="E221" s="506">
        <f t="shared" si="507"/>
        <v>400</v>
      </c>
      <c r="F221" s="506">
        <v>250</v>
      </c>
      <c r="G221" s="535">
        <f>DR221+Sheet1!CZ219</f>
        <v>200.14775592574722</v>
      </c>
      <c r="H221" s="1074">
        <f t="shared" si="563"/>
        <v>0</v>
      </c>
      <c r="I221" s="534">
        <f>IF(Sheet1!DA219&gt;=E221,(Sheet1!DA219-E221+P221)*CFStoMGD,0)</f>
        <v>0</v>
      </c>
      <c r="J221" s="995">
        <f>IF(Sheet1!DB219&gt;=D221,(Sheet1!DB219-D221+P221)*CFStoMGD,0)</f>
        <v>0</v>
      </c>
      <c r="K221" s="818">
        <f t="shared" si="538"/>
        <v>0</v>
      </c>
      <c r="L221" s="535">
        <f>Sheet1!AA219+Sheet1!AB219-Sheet1!L219+(Sheet1!DA219-F221)*CFStoMGD-S221-T221-U221</f>
        <v>99.631056318103617</v>
      </c>
      <c r="M221" s="535">
        <f t="shared" si="436"/>
        <v>131.96301961901108</v>
      </c>
      <c r="N221" s="824">
        <f>IF(Sheet1!DA219&gt;=F221,MIN(113*CFStoMGD,MIN(MAX(L221,0),MAX(M221,0))),0)</f>
        <v>73.043199999999999</v>
      </c>
      <c r="O221" s="538">
        <f>Sheet1!AA219+Sheet1!AB219</f>
        <v>83.95</v>
      </c>
      <c r="P221" s="538">
        <f t="shared" si="437"/>
        <v>129.87065000000001</v>
      </c>
      <c r="Q221" s="812">
        <f t="shared" si="539"/>
        <v>61.493456318103611</v>
      </c>
      <c r="R221" s="812">
        <f t="shared" si="508"/>
        <v>22.5</v>
      </c>
      <c r="S221" s="812">
        <f t="shared" si="509"/>
        <v>0</v>
      </c>
      <c r="T221" s="812">
        <f t="shared" si="510"/>
        <v>0</v>
      </c>
      <c r="U221" s="812">
        <f>IF(AND(B221&gt;=FV221,B221&lt;=FW221),ED221+Sheet1!EH219,0)</f>
        <v>22.456543681896388</v>
      </c>
      <c r="V221" s="812"/>
      <c r="W221" s="812">
        <f t="shared" si="511"/>
        <v>0</v>
      </c>
      <c r="X221" s="812">
        <f t="shared" si="512"/>
        <v>0</v>
      </c>
      <c r="Y221" s="812" t="str">
        <f t="shared" si="513"/>
        <v>FALSE</v>
      </c>
      <c r="Z221" s="812">
        <f t="shared" si="514"/>
        <v>83.95</v>
      </c>
      <c r="AA221" s="812">
        <f t="shared" si="515"/>
        <v>83.95</v>
      </c>
      <c r="AB221" s="1059">
        <f t="shared" si="540"/>
        <v>95.130376924106287</v>
      </c>
      <c r="AC221" s="538">
        <f>Sheet1!Y219*MGDtoCFS</f>
        <v>50.323909999999998</v>
      </c>
      <c r="AD221" s="538">
        <f>Sheet1!Z219*MGDtoCFS</f>
        <v>88.952500000000001</v>
      </c>
      <c r="AE221" s="538">
        <f>Sheet1!AA219*MGDtoCFS</f>
        <v>49.14819</v>
      </c>
      <c r="AF221" s="538">
        <f>Sheet1!AB219*MGDtoCFS</f>
        <v>80.722459999999998</v>
      </c>
      <c r="AG221" s="538">
        <f>Sheet1!L219*MGDtoCFS</f>
        <v>0</v>
      </c>
      <c r="AH221" s="521">
        <f t="shared" si="438"/>
        <v>22.512494742878992</v>
      </c>
      <c r="AI221" s="1059">
        <f t="shared" si="439"/>
        <v>34.826829367233799</v>
      </c>
      <c r="AJ221" s="535">
        <f t="shared" si="440"/>
        <v>0</v>
      </c>
      <c r="AK221" s="535">
        <f t="shared" si="441"/>
        <v>0</v>
      </c>
      <c r="AL221" s="535">
        <f>(VLOOKUP(Sheet1!DC219,hhdcap_wcm,4)-(((VLOOKUP(Sheet1!DC219,hhdcap_wcm,3)-Sheet1!DC219)/(VLOOKUP(Sheet1!DC219,hhdcap_wcm,3)-VLOOKUP(Sheet1!DC219,hhdcap_wcm,1)))*(VLOOKUP(Sheet1!DC219,hhdcap_wcm,4)-VLOOKUP(Sheet1!DC219,hhdcap_wcm,2))))</f>
        <v>44051.100000109298</v>
      </c>
      <c r="AM221" s="535">
        <f t="shared" si="442"/>
        <v>-140.4999999992433</v>
      </c>
      <c r="AN221" s="1035">
        <f t="shared" si="443"/>
        <v>2629.0070305542617</v>
      </c>
      <c r="AO221" s="535">
        <f t="shared" si="444"/>
        <v>8065.7935697404755</v>
      </c>
      <c r="AP221" s="535">
        <f>Sheet1!BA219+Sheet1!BB219+Sheet1!BN219+CD221</f>
        <v>30.8</v>
      </c>
      <c r="AQ221" s="535">
        <f>Sheet1!BN219+(DO221*Sheet1!BN219)</f>
        <v>30.723456318103612</v>
      </c>
      <c r="AR221" s="535">
        <f>Sheet1!BA219+CD221</f>
        <v>0</v>
      </c>
      <c r="AS221" s="535">
        <f>Sheet1!BA219+Sheet1!BB219+CD221</f>
        <v>0</v>
      </c>
      <c r="AT221" s="649">
        <f>0</f>
        <v>0</v>
      </c>
      <c r="AU221" s="974">
        <f>BA221+MAX(Sheet1!EH219,(O221-Q221-ED221-S221))</f>
        <v>1.0000000000000036</v>
      </c>
      <c r="AV221" s="535">
        <f>IF(OR(B221&gt;=GD221,B221&lt;GC221),0,15/36*K221-MAX(0,64.6-(137.6-(Sheet1!AA219+Sheet1!AB219))))</f>
        <v>0</v>
      </c>
      <c r="AW221" s="1029"/>
      <c r="AX221" s="649"/>
      <c r="AY221" s="649">
        <f t="shared" si="541"/>
        <v>0</v>
      </c>
      <c r="AZ221" s="649">
        <f t="shared" si="542"/>
        <v>0</v>
      </c>
      <c r="BA221" s="1059">
        <f t="shared" si="543"/>
        <v>0</v>
      </c>
      <c r="BB221" s="1019">
        <f t="shared" si="445"/>
        <v>1294.3333333333335</v>
      </c>
      <c r="BC221" s="1041">
        <f t="shared" si="544"/>
        <v>0</v>
      </c>
      <c r="BD221" s="1019">
        <f ca="1">IF(B221&gt;(Summary!$A$1-1),#N/A,BB221*MGtoAF)</f>
        <v>3971.0146666666674</v>
      </c>
      <c r="BE221" s="535">
        <f>Sheet1!BG219+Sheet1!BH219+Sheet1!BI219-BM221</f>
        <v>3.02</v>
      </c>
      <c r="BF221" s="535">
        <f t="shared" si="446"/>
        <v>3.0124947428789906</v>
      </c>
      <c r="BG221" s="535">
        <f>IF(Sheet1!EP219="FM",BM221,0)</f>
        <v>0</v>
      </c>
      <c r="BH221" s="535">
        <f t="shared" si="447"/>
        <v>0</v>
      </c>
      <c r="BI221" s="535">
        <f>IF(Sheet1!EP219="OTHER",BM221,0)</f>
        <v>0</v>
      </c>
      <c r="BJ221" s="535">
        <f t="shared" si="448"/>
        <v>0</v>
      </c>
      <c r="BK221" s="535">
        <f t="shared" si="449"/>
        <v>3.02</v>
      </c>
      <c r="BL221" s="535">
        <f t="shared" si="450"/>
        <v>3.0124947428789906</v>
      </c>
      <c r="BM221" s="535">
        <f>IF(OR(Sheet1!EP219="FM", Sheet1!EP219="OTHER"),SUM(Sheet1!BG219:'Sheet1'!BI219),0)</f>
        <v>0</v>
      </c>
      <c r="BN221" s="521">
        <f>IF(AND($B221&gt;=$FV221,$B221&lt;=$FW221),MAX(BF221,Sheet1!EI219,0),MAX(BF221-(7/36)*$K221,0))</f>
        <v>3.0124947428789906</v>
      </c>
      <c r="BO221" s="535">
        <f t="shared" si="497"/>
        <v>0</v>
      </c>
      <c r="BP221" s="521">
        <f t="shared" si="452"/>
        <v>0</v>
      </c>
      <c r="BQ221" s="521">
        <f>IF(AND($O221&gt;0,Sheet1!EM219=1),(1-($O221-Sheet1!$L219)/$O221)*BL221,0)</f>
        <v>0</v>
      </c>
      <c r="BR221" s="521">
        <f>IF(AND(Sheet1!$L219=0,Sheet1!$L218=0, Calculation!BK221&lt;Sheet1!$EI219-0.1,Sheet1!$EI219=Sheet1!$EI218,Sheet1!$EI219=Sheet1!$EI220),BL221-BQ221,BL221-BQ221)</f>
        <v>3.0124947428789906</v>
      </c>
      <c r="BS221" s="1035" t="str">
        <f t="shared" si="545"/>
        <v/>
      </c>
      <c r="BT221" s="1035">
        <f t="shared" si="546"/>
        <v>0</v>
      </c>
      <c r="BU221" s="535">
        <f t="shared" si="453"/>
        <v>560.83536879317307</v>
      </c>
      <c r="BV221" s="535"/>
      <c r="BW221" s="535">
        <f ca="1">IF(B221&gt;(Summary!$A$1-1),#N/A,BU221*MGtoAF)</f>
        <v>1720.6429114574551</v>
      </c>
      <c r="BX221" s="535">
        <f>Sheet1!BC219+Sheet1!BD219+Sheet1!BE219+Sheet1!BF219-CG221-CH221</f>
        <v>6.99</v>
      </c>
      <c r="BY221" s="535">
        <f t="shared" si="454"/>
        <v>6.9726285605046838</v>
      </c>
      <c r="BZ221" s="535">
        <f>IF(Sheet1!EQ219="FM",CH221,0)</f>
        <v>0</v>
      </c>
      <c r="CA221" s="535">
        <f t="shared" si="455"/>
        <v>0</v>
      </c>
      <c r="CB221" s="535">
        <f>IF(Sheet1!EQ219="OTHER",CH221,0)</f>
        <v>0</v>
      </c>
      <c r="CC221" s="535">
        <f t="shared" si="456"/>
        <v>0</v>
      </c>
      <c r="CD221" s="535">
        <f t="shared" si="457"/>
        <v>0</v>
      </c>
      <c r="CE221" s="535">
        <f t="shared" si="458"/>
        <v>6.99</v>
      </c>
      <c r="CF221" s="535">
        <f t="shared" si="459"/>
        <v>6.9726285605046838</v>
      </c>
      <c r="CG221" s="535">
        <f>IF(Sheet1!EQ219="CWA",SUM(Sheet1!BC219:'Sheet1'!BF219),0)</f>
        <v>0</v>
      </c>
      <c r="CH221" s="535">
        <f>IF(OR(Sheet1!EQ219="FM", Sheet1!EQ219="OTHER"),SUM(Sheet1!BC219:'Sheet1'!BF219),0)</f>
        <v>0</v>
      </c>
      <c r="CI221" s="521">
        <f>IF(AND($B221&gt;=$FV221,$B221&lt;=$FW221),MAX(CF221,Sheet1!EJ219,0),MAX(CF221-(7/36)*$K221,0))</f>
        <v>7</v>
      </c>
      <c r="CJ221" s="535">
        <f t="shared" si="499"/>
        <v>0</v>
      </c>
      <c r="CK221" s="521">
        <f t="shared" si="461"/>
        <v>0</v>
      </c>
      <c r="CL221" s="521">
        <f>IF(AND($O221&gt;0,Sheet1!EN219=1),(1-($O221-Sheet1!$L219)/$O221)*CF221,0)</f>
        <v>0</v>
      </c>
      <c r="CM221" s="521">
        <f>IF(AND(Sheet1!$L219=0,Sheet1!$L218=0, Calculation!CE221&lt;Sheet1!EJ219-0.1,Sheet1!EJ219=Sheet1!EJ218,Sheet1!EJ219=Sheet1!EJ220),CF221-CL221,CF221-CL221)</f>
        <v>6.9726285605046838</v>
      </c>
      <c r="CN221" s="1040" t="str">
        <f t="shared" si="547"/>
        <v/>
      </c>
      <c r="CO221" s="1035">
        <f t="shared" si="548"/>
        <v>0</v>
      </c>
      <c r="CP221" s="535">
        <f t="shared" si="462"/>
        <v>445.37482335490836</v>
      </c>
      <c r="CQ221" s="535"/>
      <c r="CR221" s="535">
        <f ca="1">IF(B221&gt;(Summary!$A$1-1),#N/A,CP221*MGtoAF)</f>
        <v>1366.4099580528589</v>
      </c>
      <c r="CS221" s="535">
        <f>Sheet1!BK219+Sheet1!BL219+Sheet1!BM219-Sheet1!ER219-DA221</f>
        <v>11.5</v>
      </c>
      <c r="CT221" s="535">
        <f t="shared" si="463"/>
        <v>11.471420378512713</v>
      </c>
      <c r="CU221" s="535">
        <f>IF(Sheet1!ER219="FM",DA221,0)</f>
        <v>0</v>
      </c>
      <c r="CV221" s="535">
        <f t="shared" si="464"/>
        <v>0</v>
      </c>
      <c r="CW221" s="535">
        <f>IF(Sheet1!ER219="OTHER",DA221,0)</f>
        <v>0</v>
      </c>
      <c r="CX221" s="535">
        <f t="shared" si="465"/>
        <v>0</v>
      </c>
      <c r="CY221" s="535">
        <f t="shared" si="466"/>
        <v>11.5</v>
      </c>
      <c r="CZ221" s="535">
        <f t="shared" si="467"/>
        <v>11.471420378512713</v>
      </c>
      <c r="DA221" s="535">
        <f>IF(OR(Sheet1!ER219="FM", Sheet1!ER219="OTHER"),SUM(Sheet1!BK219:'Sheet1'!BM219),0)</f>
        <v>0</v>
      </c>
      <c r="DB221" s="1011">
        <f>IF(AND($B221&gt;=$FV221,$B221&lt;=$FW221),MAX($CT221,Sheet1!EK219,0),MAX($CT221-(7/36)*$K221,0))</f>
        <v>11.5</v>
      </c>
      <c r="DC221" s="1012">
        <f t="shared" si="498"/>
        <v>0</v>
      </c>
      <c r="DD221" s="1011">
        <f t="shared" si="469"/>
        <v>0</v>
      </c>
      <c r="DE221" s="521">
        <f>IF(AND($O221&gt;0,Sheet1!EO219=1),(1-($O221-Sheet1!$L219)/$O221)*CZ221,0)</f>
        <v>0</v>
      </c>
      <c r="DF221" s="521">
        <f>IF(AND(Sheet1!$L219=0,Sheet1!$L218=0, Calculation!CY221&lt;Sheet1!$EK219-0.1,Sheet1!$EK219=Sheet1!$EK218,Sheet1!$EK219=Sheet1!$EK220),CZ221-DE221,CZ221-DE221)</f>
        <v>11.471420378512713</v>
      </c>
      <c r="DG221" s="1040">
        <f t="shared" si="549"/>
        <v>0</v>
      </c>
      <c r="DH221" s="649">
        <f t="shared" si="470"/>
        <v>21.509999999999998</v>
      </c>
      <c r="DI221" s="535">
        <f t="shared" si="471"/>
        <v>328.463505072847</v>
      </c>
      <c r="DJ221" s="649">
        <f t="shared" si="472"/>
        <v>21.456543681896385</v>
      </c>
      <c r="DK221" s="535">
        <f ca="1">IF(B221&gt;(Summary!$A$1-1),#N/A,DI221*MGtoAF)</f>
        <v>1007.7260335634946</v>
      </c>
      <c r="DL221" s="649">
        <f t="shared" si="473"/>
        <v>21.51</v>
      </c>
      <c r="DM221" s="535">
        <f t="shared" si="474"/>
        <v>52.31</v>
      </c>
      <c r="DN221" s="535">
        <f>Sheet1!AB219-DM221</f>
        <v>-0.13000000000000256</v>
      </c>
      <c r="DO221" s="743">
        <f t="shared" si="475"/>
        <v>-2.4851844771554684E-3</v>
      </c>
      <c r="DP221" s="535">
        <f>(VLOOKUP(Sheet1!DC219,hhdcap_wcm,4)-(((VLOOKUP(Sheet1!DC219,hhdcap_wcm,3)-Sheet1!DC219)/(VLOOKUP(Sheet1!DC219,hhdcap_wcm,3)-VLOOKUP(Sheet1!DC219,hhdcap_wcm,1)))*(VLOOKUP(Sheet1!DC219,hhdcap_wcm,4)-VLOOKUP(Sheet1!DC219,hhdcap_wcm,2))))</f>
        <v>44051.100000109298</v>
      </c>
      <c r="DQ221" s="535">
        <f t="shared" si="476"/>
        <v>-140.4999999992433</v>
      </c>
      <c r="DR221" s="535">
        <f t="shared" si="477"/>
        <v>-70.852244074252795</v>
      </c>
      <c r="DS221" s="535">
        <f>Sheet1!EA219*AFtoMG</f>
        <v>0</v>
      </c>
      <c r="DT221" s="535">
        <f>Sheet1!EB219*AFtoMG</f>
        <v>0</v>
      </c>
      <c r="DU221" s="535">
        <f>Sheet1!EC219*AFtoMG</f>
        <v>0</v>
      </c>
      <c r="DV221" s="535">
        <f>Sheet1!ED219*AFtoMG</f>
        <v>0</v>
      </c>
      <c r="DW221" s="535">
        <f t="shared" si="478"/>
        <v>0</v>
      </c>
      <c r="DX221" s="535">
        <f t="shared" si="479"/>
        <v>0</v>
      </c>
      <c r="DY221" s="535">
        <f t="shared" si="480"/>
        <v>2629.0070305542617</v>
      </c>
      <c r="DZ221" s="535">
        <f t="shared" si="481"/>
        <v>8065.7935697404755</v>
      </c>
      <c r="EA221" s="535"/>
      <c r="EB221" s="521">
        <f>IF(OR(B221&lt;FV221,B221&gt;FW221),(MIN(BF221+BY221+CT221+MAX(Sheet1!AA219+AQ221-73,0),K221)),0)</f>
        <v>0</v>
      </c>
      <c r="EC221" s="535"/>
      <c r="ED221" s="535">
        <f t="shared" si="482"/>
        <v>21.456543681896388</v>
      </c>
      <c r="EE221" s="535"/>
      <c r="EF221" s="535">
        <f>Sheet1!EH219+Sheet1!EI219+Sheet1!EJ219+Sheet1!EK219</f>
        <v>22.5</v>
      </c>
      <c r="EG221" s="1019">
        <f t="shared" si="550"/>
        <v>34.807499999999997</v>
      </c>
      <c r="EH221" s="521">
        <f t="shared" si="483"/>
        <v>0</v>
      </c>
      <c r="EI221" s="535">
        <f>IF(Sheet1!ET219=1,SUM('Calculations II'!AT221:BA221)+'Calculations II'!BC221+Sheet1!BV219+'Calculations II'!BE221+AP221,'Calculations II'!BK221)</f>
        <v>83.156464318103616</v>
      </c>
      <c r="EJ221" s="535">
        <f ca="1">EI221+'Calculations II'!D221+'Calculations II'!E221+'Calculations II'!O221</f>
        <v>72.930281230528294</v>
      </c>
      <c r="EK221" s="535"/>
      <c r="EL221" s="535"/>
      <c r="EM221" s="535">
        <f t="shared" si="484"/>
        <v>42945</v>
      </c>
      <c r="EN221" s="535">
        <f t="shared" si="485"/>
        <v>-22.512494742878992</v>
      </c>
      <c r="EO221" s="535">
        <f t="shared" si="486"/>
        <v>-34.826829367233799</v>
      </c>
      <c r="EP221" s="535">
        <v>0</v>
      </c>
      <c r="EQ221" s="535">
        <v>0</v>
      </c>
      <c r="ER221" s="535">
        <v>0</v>
      </c>
      <c r="ES221" s="521">
        <f t="shared" si="516"/>
        <v>5.5375969591643219</v>
      </c>
      <c r="ET221" s="535">
        <f>-(VLOOKUP(Sheet1!BQ219,Lookup!$O$4:$Q$262,2)-VLOOKUP(Sheet1!BQ218,Lookup!$O$4:$Q$262,2))/1000000</f>
        <v>2.7683499735492618</v>
      </c>
      <c r="EU221" s="535">
        <f>-(VLOOKUP(Sheet1!BR219,Lookup!$O$4:$Q$262,3)-VLOOKUP(Sheet1!BR218,Lookup!$O$4:$Q$262,3))/1000000</f>
        <v>2.7692469856150597</v>
      </c>
      <c r="EV221" s="535"/>
      <c r="EW221" s="535"/>
      <c r="EX221" s="535"/>
      <c r="EY221" s="535"/>
      <c r="EZ221" s="535"/>
      <c r="FA221" s="535"/>
      <c r="FB221" s="535"/>
      <c r="FC221" s="535"/>
      <c r="FD221" s="567">
        <f t="shared" si="504"/>
        <v>1137.0742857142084</v>
      </c>
      <c r="FE221" s="567" t="e">
        <f t="shared" si="488"/>
        <v>#N/A</v>
      </c>
      <c r="FF221" s="568" t="e">
        <f t="shared" si="489"/>
        <v>#N/A</v>
      </c>
      <c r="FG221" s="569" t="s">
        <v>656</v>
      </c>
      <c r="FH221" s="569" t="s">
        <v>656</v>
      </c>
      <c r="FI221" s="567" t="e">
        <v>#N/A</v>
      </c>
      <c r="FJ221" s="725">
        <v>21151</v>
      </c>
      <c r="FK221" s="535"/>
      <c r="FL221" s="1015">
        <f t="shared" si="503"/>
        <v>42.360060514372158</v>
      </c>
      <c r="FM221" s="535"/>
      <c r="FN221" s="535"/>
      <c r="FO221" s="535">
        <f>O221+((Sheet1!CS219)*GPMtoMGD)</f>
        <v>98.096560000000011</v>
      </c>
      <c r="FP221" s="535">
        <f>IF(Sheet1!AA219+AQ221&lt;=Calculation!N221,AQ221,Calculation!N221-Sheet1!AA219)</f>
        <v>30.723456318103612</v>
      </c>
      <c r="FQ221" s="535">
        <f>(Sheet1!BP219+Sheet1!BO219)/694.4</f>
        <v>4.2658410138248843</v>
      </c>
      <c r="FR221" s="541"/>
      <c r="FS221" s="541"/>
      <c r="FT221" s="541"/>
      <c r="FU221" s="541"/>
      <c r="FV221" s="1109">
        <f t="shared" si="517"/>
        <v>42918</v>
      </c>
      <c r="FW221" s="1109">
        <f t="shared" si="518"/>
        <v>43027</v>
      </c>
      <c r="FX221" s="541"/>
      <c r="FY221" s="541">
        <f>Sheet1!DA219-Sheet1!CZ219-Sheet1!AE219</f>
        <v>-91.870650000000012</v>
      </c>
      <c r="FZ221" s="535">
        <f t="shared" si="551"/>
        <v>-0.45901413970428473</v>
      </c>
      <c r="GA221" s="535"/>
      <c r="GB221" s="535" t="str">
        <f t="shared" si="519"/>
        <v>n</v>
      </c>
      <c r="GC221" s="539">
        <f t="shared" si="520"/>
        <v>42782</v>
      </c>
      <c r="GD221" s="1109">
        <f t="shared" si="521"/>
        <v>42904</v>
      </c>
      <c r="GE221" s="535">
        <f t="shared" si="537"/>
        <v>6520</v>
      </c>
      <c r="GF221" s="1109">
        <f t="shared" si="522"/>
        <v>42909</v>
      </c>
      <c r="GG221" s="535">
        <f t="shared" si="564"/>
        <v>3260</v>
      </c>
      <c r="GH221" s="539">
        <f t="shared" si="523"/>
        <v>43040</v>
      </c>
      <c r="GJ221" s="521">
        <f t="shared" si="524"/>
        <v>0</v>
      </c>
      <c r="GK221" s="535" t="str">
        <f t="shared" si="490"/>
        <v/>
      </c>
      <c r="GL221" s="535">
        <f t="shared" si="525"/>
        <v>0</v>
      </c>
      <c r="GM221" s="535" t="str">
        <f t="shared" si="526"/>
        <v/>
      </c>
      <c r="GN221" s="535">
        <f>IF(GK221="P",Lookup!$M$12,IF(GK221="PP",Lookup!$M$13,IF(GK221="PPP",Lookup!$M$14,IF(GK221="T",Lookup!$M$15,IF(GK221="TP",Lookup!$M$16,IF(GK221="TPP",Lookup!$M$17,IF(GK221="TPPP",Lookup!$M$18,0)))))))*GJ221</f>
        <v>0</v>
      </c>
      <c r="GO221" s="535">
        <f t="shared" si="527"/>
        <v>0</v>
      </c>
      <c r="GP221" s="535">
        <f t="shared" si="491"/>
        <v>3971.0146666666674</v>
      </c>
      <c r="GQ221" s="974">
        <f t="shared" si="500"/>
        <v>1294.3333333333335</v>
      </c>
      <c r="GR221" s="535"/>
      <c r="GS221" s="535">
        <f t="shared" si="528"/>
        <v>0</v>
      </c>
      <c r="GT221" s="535" t="str">
        <f t="shared" si="529"/>
        <v/>
      </c>
      <c r="GU221" s="535">
        <f>IF(GK221="P",Lookup!$N$12,IF(GK221="PP",Lookup!$N$13,IF(GK221="PPP",Lookup!$N$14,IF(GK221="T",Lookup!$N$15,IF(GK221="TP",Lookup!$N$16,IF(GK221="TPP",Lookup!$N$17,IF(GK221="TPPP",Lookup!$N$18,0)))))))*GJ221</f>
        <v>0</v>
      </c>
      <c r="GV221" s="535">
        <f t="shared" si="530"/>
        <v>0</v>
      </c>
      <c r="GW221" s="535">
        <f t="shared" si="492"/>
        <v>1720.6429114574551</v>
      </c>
      <c r="GX221" s="974">
        <f t="shared" si="501"/>
        <v>560.83536879317307</v>
      </c>
      <c r="GY221" s="535"/>
      <c r="GZ221" s="535">
        <f t="shared" si="531"/>
        <v>0</v>
      </c>
      <c r="HA221" s="535" t="str">
        <f t="shared" si="532"/>
        <v/>
      </c>
      <c r="HB221" s="535">
        <f>IF(GK221="P",Lookup!$N$12,IF(GK221="PP",Lookup!$N$13,IF(GK221="PPP",Lookup!$N$14,IF(GK221="T",Lookup!$N$15,IF(GK221="TP",Lookup!$N$16,IF(GK221="TPP",Lookup!$N$17,IF(GK221="TPPP",Lookup!$N$18,0)))))))*GJ221</f>
        <v>0</v>
      </c>
      <c r="HC221" s="521">
        <f t="shared" si="493"/>
        <v>0</v>
      </c>
      <c r="HD221" s="535">
        <f t="shared" si="494"/>
        <v>1366.4099580528589</v>
      </c>
      <c r="HE221" s="535">
        <f t="shared" si="535"/>
        <v>445.37482335490836</v>
      </c>
      <c r="HF221" s="535"/>
      <c r="HG221" s="535">
        <f t="shared" si="533"/>
        <v>0</v>
      </c>
      <c r="HH221" s="535" t="str">
        <f t="shared" si="534"/>
        <v/>
      </c>
      <c r="HI221" s="535">
        <f>IF(GK221="P",Lookup!$N$12,IF(GK221="PP",Lookup!$N$13,IF(GK221="PPP",Lookup!$N$14,IF(GK221="T",Lookup!$N$15,IF(GK221="TP",Lookup!$N$16,IF(GK221="TPP",Lookup!$N$17,IF(GK221="TPPP",Lookup!$N$18,0)))))))*GJ221</f>
        <v>0</v>
      </c>
      <c r="HJ221" s="521">
        <f t="shared" si="495"/>
        <v>0</v>
      </c>
      <c r="HK221" s="535">
        <f t="shared" si="496"/>
        <v>1007.7260335634946</v>
      </c>
      <c r="HL221" s="535">
        <f t="shared" si="536"/>
        <v>328.463505072847</v>
      </c>
      <c r="HM221" s="535"/>
      <c r="HN221" s="541"/>
      <c r="HO221" s="541"/>
      <c r="HP221" s="541"/>
      <c r="HQ221" s="541">
        <f>IF(AND(B221&gt;=$FV$4,B221&lt;=$FW$4),MAX(110/1.02+$HQ$6+MIN(113/1.02,G221),IF($HV$6-(Sheet1!DA219-Sheet1!DB219)+MIN(113/1.02,G221)&lt;G221+FL221,$HV$6-(Sheet1!DA219-Sheet1!DB219)+MIN(113/1.02,G221),G221+FL221)),MIN(110/1.02+$HQ$6+113/1.02,G221))</f>
        <v>219.78431372549019</v>
      </c>
      <c r="HR221" s="541">
        <f t="shared" si="552"/>
        <v>224.18</v>
      </c>
      <c r="HS221" s="541">
        <f>HR221+(Sheet1!DA219-Sheet1!DB219)</f>
        <v>380.18</v>
      </c>
      <c r="HT221" s="541">
        <f t="shared" si="553"/>
        <v>95.130376924106287</v>
      </c>
      <c r="HU221" s="541">
        <f t="shared" si="554"/>
        <v>285.04962307589369</v>
      </c>
      <c r="HV221" s="541">
        <f t="shared" si="555"/>
        <v>0</v>
      </c>
      <c r="HW221" s="541" t="str">
        <f t="shared" si="556"/>
        <v/>
      </c>
      <c r="HX221" s="541">
        <f t="shared" si="557"/>
        <v>16.388856907275994</v>
      </c>
      <c r="HY221" s="541">
        <f>Sheet1!CZ219</f>
        <v>271</v>
      </c>
      <c r="HZ221" s="541">
        <f t="shared" si="558"/>
        <v>34.826829367233799</v>
      </c>
      <c r="IA221" s="541">
        <f t="shared" si="559"/>
        <v>95.130376924106287</v>
      </c>
      <c r="IB221" s="541">
        <f t="shared" si="560"/>
        <v>236.17317063276619</v>
      </c>
      <c r="IC221" s="1019" t="str">
        <f t="shared" si="561"/>
        <v/>
      </c>
      <c r="ID221" s="541">
        <f t="shared" si="562"/>
        <v>141.0427937086599</v>
      </c>
      <c r="IE221" s="541">
        <f>Sheet1!DB219</f>
        <v>153</v>
      </c>
      <c r="IF221" s="533">
        <f>Sheet1!DA219</f>
        <v>309</v>
      </c>
      <c r="IH221" s="541">
        <f>IF(AND($B221&gt;=$GC221,$B221&lt;=$GH221,$DR221&lt;0)+N("only adjusted when pool is drawn down during storage season"),Sheet1!$DB219+$DR221+N("Palmer minus all storage release"),Sheet1!$DB219)</f>
        <v>82.147755925747205</v>
      </c>
      <c r="II221" s="541">
        <f>IF(AND($B221&gt;=$GC221,$B221&lt;=$GH221,$DR221&lt;0)+N("only adjusted when pool is drawn down during storage season"),Sheet1!$DA219+$DR221+N("Auburn minus all storage release"),Sheet1!$DA219)</f>
        <v>238.14775592574722</v>
      </c>
    </row>
    <row r="222" spans="1:243" x14ac:dyDescent="0.25">
      <c r="A222" s="553" t="s">
        <v>3</v>
      </c>
      <c r="B222" s="531">
        <v>42946</v>
      </c>
      <c r="C222" s="536">
        <v>0</v>
      </c>
      <c r="D222" s="506">
        <f t="shared" si="506"/>
        <v>200</v>
      </c>
      <c r="E222" s="506">
        <f t="shared" si="507"/>
        <v>400</v>
      </c>
      <c r="F222" s="506">
        <v>250</v>
      </c>
      <c r="G222" s="535">
        <f>DR222+Sheet1!CZ220</f>
        <v>199.74432677710189</v>
      </c>
      <c r="H222" s="1074">
        <f t="shared" si="563"/>
        <v>0</v>
      </c>
      <c r="I222" s="534">
        <f>IF(Sheet1!DA220&gt;=E222,(Sheet1!DA220-E222+P222)*CFStoMGD,0)</f>
        <v>0</v>
      </c>
      <c r="J222" s="995">
        <f>IF(Sheet1!DB220&gt;=D222,(Sheet1!DB220-D222+P222)*CFStoMGD,0)</f>
        <v>0</v>
      </c>
      <c r="K222" s="818">
        <f t="shared" si="538"/>
        <v>0</v>
      </c>
      <c r="L222" s="535">
        <f>Sheet1!AA220+Sheet1!AB220-Sheet1!L220+(Sheet1!DA220-F222)*CFStoMGD-S222-T222-U222</f>
        <v>98.1185704797048</v>
      </c>
      <c r="M222" s="535">
        <f t="shared" si="436"/>
        <v>131.69702748529303</v>
      </c>
      <c r="N222" s="824">
        <f>IF(Sheet1!DA220&gt;=F222,MIN(113*CFStoMGD,MIN(MAX(L222,0),MAX(M222,0))),0)</f>
        <v>73.043199999999999</v>
      </c>
      <c r="O222" s="538">
        <f>Sheet1!AA220+Sheet1!AB220</f>
        <v>85.59</v>
      </c>
      <c r="P222" s="538">
        <f t="shared" si="437"/>
        <v>132.40772999999999</v>
      </c>
      <c r="Q222" s="812">
        <f t="shared" si="539"/>
        <v>63.212970479704801</v>
      </c>
      <c r="R222" s="812">
        <f t="shared" si="508"/>
        <v>22.5</v>
      </c>
      <c r="S222" s="812">
        <f t="shared" si="509"/>
        <v>0</v>
      </c>
      <c r="T222" s="812">
        <f t="shared" si="510"/>
        <v>0</v>
      </c>
      <c r="U222" s="812">
        <f>IF(AND(B222&gt;=FV222,B222&lt;=FW222),ED222+Sheet1!EH220,0)</f>
        <v>22.377029520295203</v>
      </c>
      <c r="V222" s="812"/>
      <c r="W222" s="812">
        <f t="shared" si="511"/>
        <v>0</v>
      </c>
      <c r="X222" s="812">
        <f t="shared" si="512"/>
        <v>0</v>
      </c>
      <c r="Y222" s="812" t="str">
        <f t="shared" si="513"/>
        <v>FALSE</v>
      </c>
      <c r="Z222" s="812">
        <f t="shared" si="514"/>
        <v>85.59</v>
      </c>
      <c r="AA222" s="812">
        <f t="shared" si="515"/>
        <v>85.59</v>
      </c>
      <c r="AB222" s="1059">
        <f t="shared" si="540"/>
        <v>97.790465332103324</v>
      </c>
      <c r="AC222" s="538">
        <f>Sheet1!Y220*MGDtoCFS</f>
        <v>49.14819</v>
      </c>
      <c r="AD222" s="538">
        <f>Sheet1!Z220*MGDtoCFS</f>
        <v>80.444000000000003</v>
      </c>
      <c r="AE222" s="538">
        <f>Sheet1!AA220*MGDtoCFS</f>
        <v>49.039899999999996</v>
      </c>
      <c r="AF222" s="538">
        <f>Sheet1!AB220*MGDtoCFS</f>
        <v>83.367829999999998</v>
      </c>
      <c r="AG222" s="538">
        <f>Sheet1!L220*MGDtoCFS</f>
        <v>0</v>
      </c>
      <c r="AH222" s="521">
        <f t="shared" si="438"/>
        <v>22.502726937269372</v>
      </c>
      <c r="AI222" s="1059">
        <f t="shared" si="439"/>
        <v>34.811718571955716</v>
      </c>
      <c r="AJ222" s="535">
        <f t="shared" si="440"/>
        <v>0</v>
      </c>
      <c r="AK222" s="535">
        <f t="shared" si="441"/>
        <v>0</v>
      </c>
      <c r="AL222" s="535">
        <f>(VLOOKUP(Sheet1!DC220,hhdcap_wcm,4)-(((VLOOKUP(Sheet1!DC220,hhdcap_wcm,3)-Sheet1!DC220)/(VLOOKUP(Sheet1!DC220,hhdcap_wcm,3)-VLOOKUP(Sheet1!DC220,hhdcap_wcm,1)))*(VLOOKUP(Sheet1!DC220,hhdcap_wcm,4)-VLOOKUP(Sheet1!DC220,hhdcap_wcm,2))))</f>
        <v>43909.800000108291</v>
      </c>
      <c r="AM222" s="535">
        <f t="shared" si="442"/>
        <v>-141.30000000100699</v>
      </c>
      <c r="AN222" s="1035">
        <f t="shared" si="443"/>
        <v>2606.5043036169923</v>
      </c>
      <c r="AO222" s="535">
        <f t="shared" si="444"/>
        <v>7996.7552034969322</v>
      </c>
      <c r="AP222" s="535">
        <f>Sheet1!BA220+Sheet1!BB220+Sheet1!BN220+CD222</f>
        <v>32.700000000000003</v>
      </c>
      <c r="AQ222" s="535">
        <f>Sheet1!BN220+(DO222*Sheet1!BN220)</f>
        <v>32.512970479704798</v>
      </c>
      <c r="AR222" s="535">
        <f>Sheet1!BA220+CD222</f>
        <v>0</v>
      </c>
      <c r="AS222" s="535">
        <f>Sheet1!BA220+Sheet1!BB220+CD222</f>
        <v>0</v>
      </c>
      <c r="AT222" s="649">
        <f>0</f>
        <v>0</v>
      </c>
      <c r="AU222" s="974">
        <f>BA222+MAX(Sheet1!EH220,(O222-Q222-ED222-S222))</f>
        <v>1</v>
      </c>
      <c r="AV222" s="535">
        <f>IF(OR(B222&gt;=GD222,B222&lt;GC222),0,15/36*K222-MAX(0,64.6-(137.6-(Sheet1!AA220+Sheet1!AB220))))</f>
        <v>0</v>
      </c>
      <c r="AW222" s="1029"/>
      <c r="AX222" s="649"/>
      <c r="AY222" s="649">
        <f t="shared" si="541"/>
        <v>0</v>
      </c>
      <c r="AZ222" s="649">
        <f t="shared" si="542"/>
        <v>0</v>
      </c>
      <c r="BA222" s="1059">
        <f t="shared" si="543"/>
        <v>0</v>
      </c>
      <c r="BB222" s="1019">
        <f t="shared" si="445"/>
        <v>1293.3333333333335</v>
      </c>
      <c r="BC222" s="1041">
        <f t="shared" si="544"/>
        <v>0</v>
      </c>
      <c r="BD222" s="1019">
        <f ca="1">IF(B222&gt;(Summary!$A$1-1),#N/A,BB222*MGtoAF)</f>
        <v>3967.9466666666672</v>
      </c>
      <c r="BE222" s="535">
        <f>Sheet1!BG220+Sheet1!BH220+Sheet1!BI220-BM222</f>
        <v>3.02</v>
      </c>
      <c r="BF222" s="535">
        <f t="shared" si="446"/>
        <v>3.0027269372693728</v>
      </c>
      <c r="BG222" s="535">
        <f>IF(Sheet1!EP220="FM",BM222,0)</f>
        <v>0</v>
      </c>
      <c r="BH222" s="535">
        <f t="shared" si="447"/>
        <v>0</v>
      </c>
      <c r="BI222" s="535">
        <f>IF(Sheet1!EP220="OTHER",BM222,0)</f>
        <v>0</v>
      </c>
      <c r="BJ222" s="535">
        <f t="shared" si="448"/>
        <v>0</v>
      </c>
      <c r="BK222" s="535">
        <f t="shared" si="449"/>
        <v>3.02</v>
      </c>
      <c r="BL222" s="535">
        <f t="shared" si="450"/>
        <v>3.0027269372693728</v>
      </c>
      <c r="BM222" s="535">
        <f>IF(OR(Sheet1!EP220="FM", Sheet1!EP220="OTHER"),SUM(Sheet1!BG220:'Sheet1'!BI220),0)</f>
        <v>0</v>
      </c>
      <c r="BN222" s="521">
        <f>IF(AND($B222&gt;=$FV222,$B222&lt;=$FW222),MAX(BF222,Sheet1!EI220,0),MAX(BF222-(7/36)*$K222,0))</f>
        <v>3.0027269372693728</v>
      </c>
      <c r="BO222" s="535">
        <f t="shared" si="497"/>
        <v>0</v>
      </c>
      <c r="BP222" s="521">
        <f t="shared" si="452"/>
        <v>0</v>
      </c>
      <c r="BQ222" s="521">
        <f>IF(AND($O222&gt;0,Sheet1!EM220=1),(1-($O222-Sheet1!$L220)/$O222)*BL222,0)</f>
        <v>0</v>
      </c>
      <c r="BR222" s="521">
        <f>IF(AND(Sheet1!$L220=0,Sheet1!$L219=0, Calculation!BK222&lt;Sheet1!$EI220-0.1,Sheet1!$EI220=Sheet1!$EI219,Sheet1!$EI220=Sheet1!$EI221),BL222-BQ222,BL222-BQ222)</f>
        <v>3.0027269372693728</v>
      </c>
      <c r="BS222" s="1035" t="str">
        <f t="shared" si="545"/>
        <v/>
      </c>
      <c r="BT222" s="1035">
        <f t="shared" si="546"/>
        <v>0</v>
      </c>
      <c r="BU222" s="535">
        <f t="shared" si="453"/>
        <v>557.83264185590372</v>
      </c>
      <c r="BV222" s="535"/>
      <c r="BW222" s="535">
        <f ca="1">IF(B222&gt;(Summary!$A$1-1),#N/A,BU222*MGtoAF)</f>
        <v>1711.4305452139126</v>
      </c>
      <c r="BX222" s="535">
        <f>Sheet1!BC220+Sheet1!BD220+Sheet1!BE220+Sheet1!BF220-CG222-CH222</f>
        <v>6.99</v>
      </c>
      <c r="BY222" s="535">
        <f t="shared" si="454"/>
        <v>6.9500202952029522</v>
      </c>
      <c r="BZ222" s="535">
        <f>IF(Sheet1!EQ220="FM",CH222,0)</f>
        <v>0</v>
      </c>
      <c r="CA222" s="535">
        <f t="shared" si="455"/>
        <v>0</v>
      </c>
      <c r="CB222" s="535">
        <f>IF(Sheet1!EQ220="OTHER",CH222,0)</f>
        <v>0</v>
      </c>
      <c r="CC222" s="535">
        <f t="shared" si="456"/>
        <v>0</v>
      </c>
      <c r="CD222" s="535">
        <f t="shared" si="457"/>
        <v>0</v>
      </c>
      <c r="CE222" s="535">
        <f t="shared" si="458"/>
        <v>6.99</v>
      </c>
      <c r="CF222" s="535">
        <f t="shared" si="459"/>
        <v>6.9500202952029522</v>
      </c>
      <c r="CG222" s="535">
        <f>IF(Sheet1!EQ220="CWA",SUM(Sheet1!BC220:'Sheet1'!BF220),0)</f>
        <v>0</v>
      </c>
      <c r="CH222" s="535">
        <f>IF(OR(Sheet1!EQ220="FM", Sheet1!EQ220="OTHER"),SUM(Sheet1!BC220:'Sheet1'!BF220),0)</f>
        <v>0</v>
      </c>
      <c r="CI222" s="521">
        <f>IF(AND($B222&gt;=$FV222,$B222&lt;=$FW222),MAX(CF222,Sheet1!EJ220,0),MAX(CF222-(7/36)*$K222,0))</f>
        <v>7</v>
      </c>
      <c r="CJ222" s="535">
        <f t="shared" si="499"/>
        <v>0</v>
      </c>
      <c r="CK222" s="521">
        <f t="shared" si="461"/>
        <v>0</v>
      </c>
      <c r="CL222" s="521">
        <f>IF(AND($O222&gt;0,Sheet1!EN220=1),(1-($O222-Sheet1!$L220)/$O222)*CF222,0)</f>
        <v>0</v>
      </c>
      <c r="CM222" s="521">
        <f>IF(AND(Sheet1!$L220=0,Sheet1!$L219=0, Calculation!CE222&lt;Sheet1!EJ220-0.1,Sheet1!EJ220=Sheet1!EJ219,Sheet1!EJ220=Sheet1!EJ221),CF222-CL222,CF222-CL222)</f>
        <v>6.9500202952029522</v>
      </c>
      <c r="CN222" s="1040" t="str">
        <f t="shared" si="547"/>
        <v/>
      </c>
      <c r="CO222" s="1035">
        <f t="shared" si="548"/>
        <v>0</v>
      </c>
      <c r="CP222" s="535">
        <f t="shared" si="462"/>
        <v>438.37482335490836</v>
      </c>
      <c r="CQ222" s="535"/>
      <c r="CR222" s="535">
        <f ca="1">IF(B222&gt;(Summary!$A$1-1),#N/A,CP222*MGtoAF)</f>
        <v>1344.9339580528588</v>
      </c>
      <c r="CS222" s="535">
        <f>Sheet1!BK220+Sheet1!BL220+Sheet1!BM220-Sheet1!ER220-DA222</f>
        <v>11.49</v>
      </c>
      <c r="CT222" s="535">
        <f t="shared" si="463"/>
        <v>11.424282287822878</v>
      </c>
      <c r="CU222" s="535">
        <f>IF(Sheet1!ER220="FM",DA222,0)</f>
        <v>0</v>
      </c>
      <c r="CV222" s="535">
        <f t="shared" si="464"/>
        <v>0</v>
      </c>
      <c r="CW222" s="535">
        <f>IF(Sheet1!ER220="OTHER",DA222,0)</f>
        <v>0</v>
      </c>
      <c r="CX222" s="535">
        <f t="shared" si="465"/>
        <v>0</v>
      </c>
      <c r="CY222" s="535">
        <f t="shared" si="466"/>
        <v>11.49</v>
      </c>
      <c r="CZ222" s="535">
        <f t="shared" si="467"/>
        <v>11.424282287822878</v>
      </c>
      <c r="DA222" s="535">
        <f>IF(OR(Sheet1!ER220="FM", Sheet1!ER220="OTHER"),SUM(Sheet1!BK220:'Sheet1'!BM220),0)</f>
        <v>0</v>
      </c>
      <c r="DB222" s="1011">
        <f>IF(AND($B222&gt;=$FV222,$B222&lt;=$FW222),MAX($CT222,Sheet1!EK220,0),MAX($CT222-(7/36)*$K222,0))</f>
        <v>11.5</v>
      </c>
      <c r="DC222" s="1012">
        <f t="shared" si="498"/>
        <v>0</v>
      </c>
      <c r="DD222" s="1011">
        <f t="shared" si="469"/>
        <v>0</v>
      </c>
      <c r="DE222" s="521">
        <f>IF(AND($O222&gt;0,Sheet1!EO220=1),(1-($O222-Sheet1!$L220)/$O222)*CZ222,0)</f>
        <v>0</v>
      </c>
      <c r="DF222" s="521">
        <f>IF(AND(Sheet1!$L220=0,Sheet1!$L219=0, Calculation!CY222&lt;Sheet1!$EK220-0.1,Sheet1!$EK220=Sheet1!$EK219,Sheet1!$EK220=Sheet1!$EK221),CZ222-DE222,CZ222-DE222)</f>
        <v>11.424282287822878</v>
      </c>
      <c r="DG222" s="1040">
        <f t="shared" si="549"/>
        <v>0</v>
      </c>
      <c r="DH222" s="649">
        <f t="shared" si="470"/>
        <v>21.5</v>
      </c>
      <c r="DI222" s="535">
        <f t="shared" si="471"/>
        <v>316.963505072847</v>
      </c>
      <c r="DJ222" s="649">
        <f t="shared" si="472"/>
        <v>21.377029520295203</v>
      </c>
      <c r="DK222" s="535">
        <f ca="1">IF(B222&gt;(Summary!$A$1-1),#N/A,DI222*MGtoAF)</f>
        <v>972.4440335634946</v>
      </c>
      <c r="DL222" s="649">
        <f t="shared" si="473"/>
        <v>21.5</v>
      </c>
      <c r="DM222" s="535">
        <f t="shared" si="474"/>
        <v>54.2</v>
      </c>
      <c r="DN222" s="535">
        <f>Sheet1!AB220-DM222</f>
        <v>-0.31000000000000227</v>
      </c>
      <c r="DO222" s="743">
        <f t="shared" si="475"/>
        <v>-5.7195571955719971E-3</v>
      </c>
      <c r="DP222" s="535">
        <f>(VLOOKUP(Sheet1!DC220,hhdcap_wcm,4)-(((VLOOKUP(Sheet1!DC220,hhdcap_wcm,3)-Sheet1!DC220)/(VLOOKUP(Sheet1!DC220,hhdcap_wcm,3)-VLOOKUP(Sheet1!DC220,hhdcap_wcm,1)))*(VLOOKUP(Sheet1!DC220,hhdcap_wcm,4)-VLOOKUP(Sheet1!DC220,hhdcap_wcm,2))))</f>
        <v>43909.800000108291</v>
      </c>
      <c r="DQ222" s="535">
        <f t="shared" si="476"/>
        <v>-141.30000000100699</v>
      </c>
      <c r="DR222" s="535">
        <f t="shared" si="477"/>
        <v>-71.255673222898125</v>
      </c>
      <c r="DS222" s="535">
        <f>Sheet1!EA220*AFtoMG</f>
        <v>0</v>
      </c>
      <c r="DT222" s="535">
        <f>Sheet1!EB220*AFtoMG</f>
        <v>0</v>
      </c>
      <c r="DU222" s="535">
        <f>Sheet1!EC220*AFtoMG</f>
        <v>0</v>
      </c>
      <c r="DV222" s="535">
        <f>Sheet1!ED220*AFtoMG</f>
        <v>0</v>
      </c>
      <c r="DW222" s="535">
        <f t="shared" si="478"/>
        <v>0</v>
      </c>
      <c r="DX222" s="535">
        <f t="shared" si="479"/>
        <v>0</v>
      </c>
      <c r="DY222" s="535">
        <f t="shared" si="480"/>
        <v>2606.5043036169923</v>
      </c>
      <c r="DZ222" s="535">
        <f t="shared" si="481"/>
        <v>7996.7552034969322</v>
      </c>
      <c r="EA222" s="535"/>
      <c r="EB222" s="521">
        <f>IF(OR(B222&lt;FV222,B222&gt;FW222),(MIN(BF222+BY222+CT222+MAX(Sheet1!AA220+AQ222-73,0),K222)),0)</f>
        <v>0</v>
      </c>
      <c r="EC222" s="535"/>
      <c r="ED222" s="535">
        <f t="shared" si="482"/>
        <v>21.377029520295203</v>
      </c>
      <c r="EE222" s="535"/>
      <c r="EF222" s="535">
        <f>Sheet1!EH220+Sheet1!EI220+Sheet1!EJ220+Sheet1!EK220</f>
        <v>22.5</v>
      </c>
      <c r="EG222" s="1019">
        <f t="shared" si="550"/>
        <v>34.807499999999997</v>
      </c>
      <c r="EH222" s="521">
        <f t="shared" si="483"/>
        <v>0</v>
      </c>
      <c r="EI222" s="535">
        <f>IF(Sheet1!ET220=1,SUM('Calculations II'!AT222:BA222)+'Calculations II'!BC222+Sheet1!BV220+'Calculations II'!BE222+AP222,'Calculations II'!BK222)</f>
        <v>72.143210479704805</v>
      </c>
      <c r="EJ222" s="535">
        <f ca="1">EI222+'Calculations II'!D222+'Calculations II'!E222+'Calculations II'!O222</f>
        <v>76.682822362998891</v>
      </c>
      <c r="EK222" s="535"/>
      <c r="EL222" s="535"/>
      <c r="EM222" s="535">
        <f t="shared" si="484"/>
        <v>42946</v>
      </c>
      <c r="EN222" s="535">
        <f t="shared" si="485"/>
        <v>-22.502726937269372</v>
      </c>
      <c r="EO222" s="535">
        <f t="shared" si="486"/>
        <v>-34.811718571955716</v>
      </c>
      <c r="EP222" s="535">
        <v>0</v>
      </c>
      <c r="EQ222" s="535">
        <v>0</v>
      </c>
      <c r="ER222" s="535">
        <v>0</v>
      </c>
      <c r="ES222" s="521">
        <f t="shared" si="516"/>
        <v>-2.2144236991369537</v>
      </c>
      <c r="ET222" s="535">
        <f>-(VLOOKUP(Sheet1!BQ220,Lookup!$O$4:$Q$262,2)-VLOOKUP(Sheet1!BQ219,Lookup!$O$4:$Q$262,2))/1000000</f>
        <v>-1.1070324719857239</v>
      </c>
      <c r="EU222" s="535">
        <f>-(VLOOKUP(Sheet1!BR220,Lookup!$O$4:$Q$262,3)-VLOOKUP(Sheet1!BR219,Lookup!$O$4:$Q$262,3))/1000000</f>
        <v>-1.1073912271512301</v>
      </c>
      <c r="EV222" s="535"/>
      <c r="EW222" s="535"/>
      <c r="EX222" s="535"/>
      <c r="EY222" s="535"/>
      <c r="EZ222" s="535"/>
      <c r="FA222" s="535"/>
      <c r="FB222" s="535"/>
      <c r="FC222" s="535"/>
      <c r="FD222" s="567">
        <f t="shared" si="504"/>
        <v>1136.9536231883285</v>
      </c>
      <c r="FE222" s="567" t="e">
        <f t="shared" si="488"/>
        <v>#N/A</v>
      </c>
      <c r="FF222" s="568" t="e">
        <f t="shared" si="489"/>
        <v>#N/A</v>
      </c>
      <c r="FG222" s="569" t="s">
        <v>656</v>
      </c>
      <c r="FH222" s="569" t="s">
        <v>656</v>
      </c>
      <c r="FI222" s="567" t="e">
        <v>#N/A</v>
      </c>
      <c r="FJ222" s="725">
        <v>21067</v>
      </c>
      <c r="FK222" s="535"/>
      <c r="FL222" s="1015">
        <f t="shared" si="503"/>
        <v>42.360060514372158</v>
      </c>
      <c r="FM222" s="535"/>
      <c r="FN222" s="535"/>
      <c r="FO222" s="535">
        <f>O222+((Sheet1!CS220)*GPMtoMGD)</f>
        <v>99.465984000000006</v>
      </c>
      <c r="FP222" s="535">
        <f>IF(Sheet1!AA220+AQ222&lt;=Calculation!N222,AQ222,Calculation!N222-Sheet1!AA220)</f>
        <v>32.512970479704798</v>
      </c>
      <c r="FQ222" s="535">
        <f>(Sheet1!BP220+Sheet1!BO220)/694.4</f>
        <v>4.4583813364055302</v>
      </c>
      <c r="FR222" s="541"/>
      <c r="FS222" s="541"/>
      <c r="FT222" s="541"/>
      <c r="FU222" s="541"/>
      <c r="FV222" s="1109">
        <f t="shared" si="517"/>
        <v>42918</v>
      </c>
      <c r="FW222" s="1109">
        <f t="shared" si="518"/>
        <v>43027</v>
      </c>
      <c r="FX222" s="541"/>
      <c r="FY222" s="541">
        <f>Sheet1!DA220-Sheet1!CZ220-Sheet1!AE220</f>
        <v>-99.407729999999987</v>
      </c>
      <c r="FZ222" s="535">
        <f t="shared" si="551"/>
        <v>-0.49767486067792438</v>
      </c>
      <c r="GA222" s="535"/>
      <c r="GB222" s="535" t="str">
        <f t="shared" si="519"/>
        <v>n</v>
      </c>
      <c r="GC222" s="539">
        <f t="shared" si="520"/>
        <v>42782</v>
      </c>
      <c r="GD222" s="1109">
        <f t="shared" si="521"/>
        <v>42904</v>
      </c>
      <c r="GE222" s="535">
        <f t="shared" si="537"/>
        <v>6520</v>
      </c>
      <c r="GF222" s="1109">
        <f t="shared" si="522"/>
        <v>42909</v>
      </c>
      <c r="GG222" s="535">
        <f t="shared" si="564"/>
        <v>3260</v>
      </c>
      <c r="GH222" s="539">
        <f t="shared" si="523"/>
        <v>43040</v>
      </c>
      <c r="GJ222" s="521">
        <f t="shared" si="524"/>
        <v>0</v>
      </c>
      <c r="GK222" s="535" t="str">
        <f t="shared" si="490"/>
        <v/>
      </c>
      <c r="GL222" s="535">
        <f t="shared" si="525"/>
        <v>0</v>
      </c>
      <c r="GM222" s="535" t="str">
        <f t="shared" si="526"/>
        <v/>
      </c>
      <c r="GN222" s="535">
        <f>IF(GK222="P",Lookup!$M$12,IF(GK222="PP",Lookup!$M$13,IF(GK222="PPP",Lookup!$M$14,IF(GK222="T",Lookup!$M$15,IF(GK222="TP",Lookup!$M$16,IF(GK222="TPP",Lookup!$M$17,IF(GK222="TPPP",Lookup!$M$18,0)))))))*GJ222</f>
        <v>0</v>
      </c>
      <c r="GO222" s="535">
        <f t="shared" si="527"/>
        <v>0</v>
      </c>
      <c r="GP222" s="535">
        <f t="shared" si="491"/>
        <v>3967.9466666666672</v>
      </c>
      <c r="GQ222" s="974">
        <f t="shared" si="500"/>
        <v>1293.3333333333335</v>
      </c>
      <c r="GR222" s="535"/>
      <c r="GS222" s="535">
        <f t="shared" si="528"/>
        <v>0</v>
      </c>
      <c r="GT222" s="535" t="str">
        <f t="shared" si="529"/>
        <v/>
      </c>
      <c r="GU222" s="535">
        <f>IF(GK222="P",Lookup!$N$12,IF(GK222="PP",Lookup!$N$13,IF(GK222="PPP",Lookup!$N$14,IF(GK222="T",Lookup!$N$15,IF(GK222="TP",Lookup!$N$16,IF(GK222="TPP",Lookup!$N$17,IF(GK222="TPPP",Lookup!$N$18,0)))))))*GJ222</f>
        <v>0</v>
      </c>
      <c r="GV222" s="535">
        <f t="shared" si="530"/>
        <v>0</v>
      </c>
      <c r="GW222" s="535">
        <f t="shared" si="492"/>
        <v>1711.4305452139126</v>
      </c>
      <c r="GX222" s="974">
        <f t="shared" si="501"/>
        <v>557.83264185590372</v>
      </c>
      <c r="GY222" s="535"/>
      <c r="GZ222" s="535">
        <f t="shared" si="531"/>
        <v>0</v>
      </c>
      <c r="HA222" s="535" t="str">
        <f t="shared" si="532"/>
        <v/>
      </c>
      <c r="HB222" s="535">
        <f>IF(GK222="P",Lookup!$N$12,IF(GK222="PP",Lookup!$N$13,IF(GK222="PPP",Lookup!$N$14,IF(GK222="T",Lookup!$N$15,IF(GK222="TP",Lookup!$N$16,IF(GK222="TPP",Lookup!$N$17,IF(GK222="TPPP",Lookup!$N$18,0)))))))*GJ222</f>
        <v>0</v>
      </c>
      <c r="HC222" s="521">
        <f t="shared" si="493"/>
        <v>0</v>
      </c>
      <c r="HD222" s="535">
        <f t="shared" si="494"/>
        <v>1344.9339580528588</v>
      </c>
      <c r="HE222" s="535">
        <f t="shared" si="535"/>
        <v>438.37482335490836</v>
      </c>
      <c r="HF222" s="535"/>
      <c r="HG222" s="535">
        <f t="shared" si="533"/>
        <v>0</v>
      </c>
      <c r="HH222" s="535" t="str">
        <f t="shared" si="534"/>
        <v/>
      </c>
      <c r="HI222" s="535">
        <f>IF(GK222="P",Lookup!$N$12,IF(GK222="PP",Lookup!$N$13,IF(GK222="PPP",Lookup!$N$14,IF(GK222="T",Lookup!$N$15,IF(GK222="TP",Lookup!$N$16,IF(GK222="TPP",Lookup!$N$17,IF(GK222="TPPP",Lookup!$N$18,0)))))))*GJ222</f>
        <v>0</v>
      </c>
      <c r="HJ222" s="521">
        <f t="shared" si="495"/>
        <v>0</v>
      </c>
      <c r="HK222" s="535">
        <f t="shared" si="496"/>
        <v>972.4440335634946</v>
      </c>
      <c r="HL222" s="535">
        <f t="shared" si="536"/>
        <v>316.963505072847</v>
      </c>
      <c r="HM222" s="535"/>
      <c r="HN222" s="541"/>
      <c r="HO222" s="541"/>
      <c r="HP222" s="541"/>
      <c r="HQ222" s="541">
        <f>IF(AND(B222&gt;=$FV$4,B222&lt;=$FW$4),MAX(110/1.02+$HQ$6+MIN(113/1.02,G222),IF($HV$6-(Sheet1!DA220-Sheet1!DB220)+MIN(113/1.02,G222)&lt;G222+FL222,$HV$6-(Sheet1!DA220-Sheet1!DB220)+MIN(113/1.02,G222),G222+FL222)),MIN(110/1.02+$HQ$6+113/1.02,G222))</f>
        <v>223.78431372549019</v>
      </c>
      <c r="HR222" s="541">
        <f t="shared" si="552"/>
        <v>228.26</v>
      </c>
      <c r="HS222" s="541">
        <f>HR222+(Sheet1!DA220-Sheet1!DB220)</f>
        <v>380.26</v>
      </c>
      <c r="HT222" s="541">
        <f t="shared" si="553"/>
        <v>97.790465332103324</v>
      </c>
      <c r="HU222" s="541">
        <f t="shared" si="554"/>
        <v>282.46953466789665</v>
      </c>
      <c r="HV222" s="541">
        <f t="shared" si="555"/>
        <v>0</v>
      </c>
      <c r="HW222" s="533" t="str">
        <f t="shared" si="556"/>
        <v/>
      </c>
      <c r="HX222" s="541">
        <f t="shared" si="557"/>
        <v>12.403967702554098</v>
      </c>
      <c r="HY222" s="541">
        <f>Sheet1!CZ220</f>
        <v>271</v>
      </c>
      <c r="HZ222" s="541">
        <f t="shared" si="558"/>
        <v>34.811718571955716</v>
      </c>
      <c r="IA222" s="541">
        <f t="shared" si="559"/>
        <v>97.790465332103324</v>
      </c>
      <c r="IB222" s="541">
        <f t="shared" si="560"/>
        <v>236.18828142804429</v>
      </c>
      <c r="IC222" s="1019" t="str">
        <f t="shared" si="561"/>
        <v/>
      </c>
      <c r="ID222" s="541">
        <f t="shared" si="562"/>
        <v>138.39781609594098</v>
      </c>
      <c r="IE222" s="541">
        <f>Sheet1!DB220</f>
        <v>152</v>
      </c>
      <c r="IF222" s="533">
        <f>Sheet1!DA220</f>
        <v>304</v>
      </c>
      <c r="IH222" s="541">
        <f>IF(AND($B222&gt;=$GC222,$B222&lt;=$GH222,$DR222&lt;0)+N("only adjusted when pool is drawn down during storage season"),Sheet1!$DB220+$DR222+N("Palmer minus all storage release"),Sheet1!$DB220)</f>
        <v>80.744326777101875</v>
      </c>
      <c r="II222" s="541">
        <f>IF(AND($B222&gt;=$GC222,$B222&lt;=$GH222,$DR222&lt;0)+N("only adjusted when pool is drawn down during storage season"),Sheet1!$DA220+$DR222+N("Auburn minus all storage release"),Sheet1!$DA220)</f>
        <v>232.74432677710189</v>
      </c>
    </row>
    <row r="223" spans="1:243" x14ac:dyDescent="0.25">
      <c r="A223" s="553" t="s">
        <v>4</v>
      </c>
      <c r="B223" s="531">
        <v>42947</v>
      </c>
      <c r="C223" s="536">
        <v>0</v>
      </c>
      <c r="D223" s="506">
        <f t="shared" si="506"/>
        <v>200</v>
      </c>
      <c r="E223" s="506">
        <f t="shared" si="507"/>
        <v>400</v>
      </c>
      <c r="F223" s="506">
        <v>250</v>
      </c>
      <c r="G223" s="535">
        <f>DR223+Sheet1!CZ221</f>
        <v>191.75189107400683</v>
      </c>
      <c r="H223" s="1074">
        <f t="shared" si="563"/>
        <v>0</v>
      </c>
      <c r="I223" s="534">
        <f>IF(Sheet1!DA221&gt;=E223,(Sheet1!DA221-E223+P223)*CFStoMGD,0)</f>
        <v>0</v>
      </c>
      <c r="J223" s="995">
        <f>IF(Sheet1!DB221&gt;=D223,(Sheet1!DB221-D223+P223)*CFStoMGD,0)</f>
        <v>0</v>
      </c>
      <c r="K223" s="818">
        <f t="shared" si="538"/>
        <v>0</v>
      </c>
      <c r="L223" s="535">
        <f>Sheet1!AA221+Sheet1!AB221-Sheet1!L221+(Sheet1!DA221-F223)*CFStoMGD-S223-T223-U223</f>
        <v>88.235265905033913</v>
      </c>
      <c r="M223" s="535">
        <f t="shared" si="436"/>
        <v>126.42739083804278</v>
      </c>
      <c r="N223" s="824">
        <f>IF(Sheet1!DA221&gt;=F223,MIN(113*CFStoMGD,MIN(MAX(L223,0),MAX(M223,0))),0)</f>
        <v>73.043199999999999</v>
      </c>
      <c r="O223" s="538">
        <f>Sheet1!AA221+Sheet1!AB221</f>
        <v>89.88</v>
      </c>
      <c r="P223" s="538">
        <f t="shared" si="437"/>
        <v>139.04435999999998</v>
      </c>
      <c r="Q223" s="812">
        <f t="shared" si="539"/>
        <v>67.550465905033917</v>
      </c>
      <c r="R223" s="812">
        <f t="shared" si="508"/>
        <v>22.5</v>
      </c>
      <c r="S223" s="812">
        <f t="shared" si="509"/>
        <v>0</v>
      </c>
      <c r="T223" s="812">
        <f t="shared" si="510"/>
        <v>0</v>
      </c>
      <c r="U223" s="812">
        <f>IF(AND(B223&gt;=FV223,B223&lt;=FW223),ED223+Sheet1!EH221,0)</f>
        <v>22.329534094966085</v>
      </c>
      <c r="V223" s="812"/>
      <c r="W223" s="812">
        <f t="shared" si="511"/>
        <v>0</v>
      </c>
      <c r="X223" s="812">
        <f t="shared" si="512"/>
        <v>0</v>
      </c>
      <c r="Y223" s="812" t="str">
        <f t="shared" si="513"/>
        <v>FALSE</v>
      </c>
      <c r="Z223" s="812">
        <f t="shared" si="514"/>
        <v>89.88</v>
      </c>
      <c r="AA223" s="812">
        <f t="shared" si="515"/>
        <v>89.88</v>
      </c>
      <c r="AB223" s="1059">
        <f t="shared" si="540"/>
        <v>104.50057075508747</v>
      </c>
      <c r="AC223" s="538">
        <f>Sheet1!Y221*MGDtoCFS</f>
        <v>49.039899999999996</v>
      </c>
      <c r="AD223" s="538">
        <f>Sheet1!Z221*MGDtoCFS</f>
        <v>83.166719999999998</v>
      </c>
      <c r="AE223" s="538">
        <f>Sheet1!AA221*MGDtoCFS</f>
        <v>53.108509999999995</v>
      </c>
      <c r="AF223" s="538">
        <f>Sheet1!AB221*MGDtoCFS</f>
        <v>85.935849999999988</v>
      </c>
      <c r="AG223" s="538">
        <f>Sheet1!L221*MGDtoCFS</f>
        <v>0</v>
      </c>
      <c r="AH223" s="521">
        <f>AU223+BN223+CI223+DB223</f>
        <v>22.5</v>
      </c>
      <c r="AI223" s="1059">
        <f t="shared" si="439"/>
        <v>34.807499999999997</v>
      </c>
      <c r="AJ223" s="535">
        <f t="shared" si="440"/>
        <v>0</v>
      </c>
      <c r="AK223" s="535">
        <f t="shared" si="441"/>
        <v>0</v>
      </c>
      <c r="AL223" s="535">
        <f>(VLOOKUP(Sheet1!DC221,hhdcap_wcm,4)-(((VLOOKUP(Sheet1!DC221,hhdcap_wcm,3)-Sheet1!DC221)/(VLOOKUP(Sheet1!DC221,hhdcap_wcm,3)-VLOOKUP(Sheet1!DC221,hhdcap_wcm,1)))*(VLOOKUP(Sheet1!DC221,hhdcap_wcm,4)-VLOOKUP(Sheet1!DC221,hhdcap_wcm,2))))</f>
        <v>43758.600000108047</v>
      </c>
      <c r="AM223" s="535">
        <f t="shared" si="442"/>
        <v>-151.20000000024447</v>
      </c>
      <c r="AN223" s="1035">
        <f t="shared" si="443"/>
        <v>2584.0043036169923</v>
      </c>
      <c r="AO223" s="535">
        <f t="shared" si="444"/>
        <v>7927.7252034969324</v>
      </c>
      <c r="AP223" s="535">
        <f>Sheet1!BA221+Sheet1!BB221+Sheet1!BN221+CD223</f>
        <v>34.51</v>
      </c>
      <c r="AQ223" s="535">
        <f>Sheet1!BN221+(DO223*Sheet1!BN221)</f>
        <v>33.81390574794716</v>
      </c>
      <c r="AR223" s="535">
        <f>Sheet1!BA221+CD223</f>
        <v>0</v>
      </c>
      <c r="AS223" s="535">
        <f>Sheet1!BA221+Sheet1!BB221+CD223</f>
        <v>0.41</v>
      </c>
      <c r="AT223" s="649">
        <f>0</f>
        <v>0</v>
      </c>
      <c r="AU223" s="974">
        <f>BA223+MAX(Sheet1!EH221,(O223-Q223-ED223-S223))</f>
        <v>1</v>
      </c>
      <c r="AV223" s="535">
        <f>IF(OR(B223&gt;=GD223,B223&lt;GC223),0,15/36*K223-MAX(0,64.6-(137.6-(Sheet1!AA221+Sheet1!AB221))))</f>
        <v>0</v>
      </c>
      <c r="AW223" s="1029"/>
      <c r="AX223" s="649"/>
      <c r="AY223" s="649">
        <f t="shared" si="541"/>
        <v>0</v>
      </c>
      <c r="AZ223" s="649">
        <f t="shared" si="542"/>
        <v>0</v>
      </c>
      <c r="BA223" s="1059">
        <f t="shared" si="543"/>
        <v>0</v>
      </c>
      <c r="BB223" s="1019">
        <f t="shared" si="445"/>
        <v>1292.3333333333335</v>
      </c>
      <c r="BC223" s="1041">
        <f t="shared" si="544"/>
        <v>0</v>
      </c>
      <c r="BD223" s="1019">
        <f ca="1">IF(B223&gt;(Summary!$A$1-1),#N/A,BB223*MGtoAF)</f>
        <v>3964.8786666666674</v>
      </c>
      <c r="BE223" s="535">
        <f>Sheet1!BG221+Sheet1!BH221+Sheet1!BI221-BM223</f>
        <v>3.02</v>
      </c>
      <c r="BF223" s="535">
        <f t="shared" si="446"/>
        <v>2.9946626204926812</v>
      </c>
      <c r="BG223" s="535">
        <f>IF(Sheet1!EP221="FM",BM223,0)</f>
        <v>0</v>
      </c>
      <c r="BH223" s="535">
        <f t="shared" si="447"/>
        <v>0</v>
      </c>
      <c r="BI223" s="535">
        <f>IF(Sheet1!EP221="OTHER",BM223,0)</f>
        <v>0</v>
      </c>
      <c r="BJ223" s="535">
        <f t="shared" si="448"/>
        <v>0</v>
      </c>
      <c r="BK223" s="535">
        <f t="shared" si="449"/>
        <v>3.02</v>
      </c>
      <c r="BL223" s="535">
        <f t="shared" si="450"/>
        <v>2.9946626204926812</v>
      </c>
      <c r="BM223" s="535">
        <f>IF(OR(Sheet1!EP221="FM", Sheet1!EP221="OTHER"),SUM(Sheet1!BG221:'Sheet1'!BI221),0)</f>
        <v>0</v>
      </c>
      <c r="BN223" s="521">
        <f>IF(AND($B223&gt;=$FV223,$B223&lt;=$FW223),MAX(BF223,Sheet1!EI221,0),MAX(BF223-(7/36)*$K223,0))</f>
        <v>3</v>
      </c>
      <c r="BO223" s="535">
        <f t="shared" si="497"/>
        <v>0</v>
      </c>
      <c r="BP223" s="521">
        <f t="shared" si="452"/>
        <v>0</v>
      </c>
      <c r="BQ223" s="521">
        <f>IF(AND($O223&gt;0,Sheet1!EM221=1),(1-($O223-Sheet1!$L221)/$O223)*BL223,0)</f>
        <v>0</v>
      </c>
      <c r="BR223" s="521">
        <f>IF(AND(Sheet1!$L221=0,Sheet1!$L220=0, Calculation!BK223&lt;Sheet1!$EI221-0.1,Sheet1!$EI221=Sheet1!$EI220,Sheet1!$EI221=Sheet1!$EI222),BL223-BQ223,BL223-BQ223)</f>
        <v>2.9946626204926812</v>
      </c>
      <c r="BS223" s="1035" t="str">
        <f t="shared" si="545"/>
        <v/>
      </c>
      <c r="BT223" s="1035">
        <f t="shared" si="546"/>
        <v>0</v>
      </c>
      <c r="BU223" s="535">
        <f t="shared" si="453"/>
        <v>554.83264185590372</v>
      </c>
      <c r="BV223" s="535"/>
      <c r="BW223" s="535">
        <f ca="1">IF(B223&gt;(Summary!$A$1-1),#N/A,BU223*MGtoAF)</f>
        <v>1702.2265452139127</v>
      </c>
      <c r="BX223" s="535">
        <f>Sheet1!BC221+Sheet1!BD221+Sheet1!BE221+Sheet1!BF221-CG223-CH223</f>
        <v>6.99</v>
      </c>
      <c r="BY223" s="535">
        <f t="shared" si="454"/>
        <v>6.9313548732595507</v>
      </c>
      <c r="BZ223" s="535">
        <f>IF(Sheet1!EQ221="FM",CH223,0)</f>
        <v>0</v>
      </c>
      <c r="CA223" s="535">
        <f t="shared" si="455"/>
        <v>0</v>
      </c>
      <c r="CB223" s="535">
        <f>IF(Sheet1!EQ221="OTHER",CH223,0)</f>
        <v>0</v>
      </c>
      <c r="CC223" s="535">
        <f t="shared" si="456"/>
        <v>0</v>
      </c>
      <c r="CD223" s="535">
        <f t="shared" si="457"/>
        <v>0</v>
      </c>
      <c r="CE223" s="535">
        <f t="shared" si="458"/>
        <v>6.99</v>
      </c>
      <c r="CF223" s="535">
        <f t="shared" si="459"/>
        <v>6.9313548732595507</v>
      </c>
      <c r="CG223" s="535">
        <f>IF(Sheet1!EQ221="CWA",SUM(Sheet1!BC221:'Sheet1'!BF221),0)</f>
        <v>0</v>
      </c>
      <c r="CH223" s="535">
        <f>IF(OR(Sheet1!EQ221="FM", Sheet1!EQ221="OTHER"),SUM(Sheet1!BC221:'Sheet1'!BF221),0)</f>
        <v>0</v>
      </c>
      <c r="CI223" s="521">
        <f>IF(AND($B223&gt;=$FV223,$B223&lt;=$FW223),MAX(CF223,Sheet1!EJ221,0),MAX(CF223-(7/36)*$K223,0))</f>
        <v>7</v>
      </c>
      <c r="CJ223" s="535">
        <f t="shared" si="499"/>
        <v>0</v>
      </c>
      <c r="CK223" s="521">
        <f t="shared" si="461"/>
        <v>0</v>
      </c>
      <c r="CL223" s="521">
        <f>IF(AND($O223&gt;0,Sheet1!EN221=1),(1-($O223-Sheet1!$L221)/$O223)*CF223,0)</f>
        <v>0</v>
      </c>
      <c r="CM223" s="521">
        <f>IF(AND(Sheet1!$L221=0,Sheet1!$L220=0, Calculation!CE223&lt;Sheet1!EJ221-0.1,Sheet1!EJ221=Sheet1!EJ220,Sheet1!EJ221=Sheet1!EJ222),CF223-CL223,CF223-CL223)</f>
        <v>6.9313548732595507</v>
      </c>
      <c r="CN223" s="1040" t="str">
        <f t="shared" si="547"/>
        <v/>
      </c>
      <c r="CO223" s="1035">
        <f t="shared" si="548"/>
        <v>0</v>
      </c>
      <c r="CP223" s="535">
        <f t="shared" si="462"/>
        <v>431.37482335490836</v>
      </c>
      <c r="CQ223" s="535"/>
      <c r="CR223" s="535">
        <f ca="1">IF(B223&gt;(Summary!$A$1-1),#N/A,CP223*MGtoAF)</f>
        <v>1323.4579580528589</v>
      </c>
      <c r="CS223" s="535">
        <f>Sheet1!BK221+Sheet1!BL221+Sheet1!BM221-Sheet1!ER221-DA223</f>
        <v>11.5</v>
      </c>
      <c r="CT223" s="535">
        <f t="shared" si="463"/>
        <v>11.403516601213852</v>
      </c>
      <c r="CU223" s="535">
        <f>IF(Sheet1!ER221="FM",DA223,0)</f>
        <v>0</v>
      </c>
      <c r="CV223" s="535">
        <f t="shared" si="464"/>
        <v>0</v>
      </c>
      <c r="CW223" s="535">
        <f>IF(Sheet1!ER221="OTHER",DA223,0)</f>
        <v>0</v>
      </c>
      <c r="CX223" s="535">
        <f t="shared" si="465"/>
        <v>0</v>
      </c>
      <c r="CY223" s="535">
        <f t="shared" si="466"/>
        <v>11.5</v>
      </c>
      <c r="CZ223" s="535">
        <f t="shared" si="467"/>
        <v>11.403516601213852</v>
      </c>
      <c r="DA223" s="535">
        <f>IF(OR(Sheet1!ER221="FM", Sheet1!ER221="OTHER"),SUM(Sheet1!BK221:'Sheet1'!BM221),0)</f>
        <v>0</v>
      </c>
      <c r="DB223" s="1011">
        <f>IF(AND($B223&gt;=$FV223,$B223&lt;=$FW223),MAX($CT223,Sheet1!EK221,0),MAX($CT223-(7/36)*$K223,0))</f>
        <v>11.5</v>
      </c>
      <c r="DC223" s="1012">
        <f t="shared" si="498"/>
        <v>0</v>
      </c>
      <c r="DD223" s="1011">
        <f t="shared" si="469"/>
        <v>0</v>
      </c>
      <c r="DE223" s="521">
        <f>IF(AND($O223&gt;0,Sheet1!EO221=1),(1-($O223-Sheet1!$L221)/$O223)*CZ223,0)</f>
        <v>0</v>
      </c>
      <c r="DF223" s="521">
        <f>IF(AND(Sheet1!$L221=0,Sheet1!$L220=0, Calculation!CY223&lt;Sheet1!$EK221-0.1,Sheet1!$EK221=Sheet1!$EK220,Sheet1!$EK221=Sheet1!$EK222),CZ223-DE223,CZ223-DE223)</f>
        <v>11.403516601213852</v>
      </c>
      <c r="DG223" s="1040">
        <f t="shared" si="549"/>
        <v>0</v>
      </c>
      <c r="DH223" s="649">
        <f t="shared" si="470"/>
        <v>21.509999999999998</v>
      </c>
      <c r="DI223" s="535">
        <f t="shared" si="471"/>
        <v>305.463505072847</v>
      </c>
      <c r="DJ223" s="649">
        <f t="shared" si="472"/>
        <v>21.329534094966085</v>
      </c>
      <c r="DK223" s="535">
        <f ca="1">IF(B223&gt;(Summary!$A$1-1),#N/A,DI223*MGtoAF)</f>
        <v>937.16203356349456</v>
      </c>
      <c r="DL223" s="649">
        <f t="shared" si="473"/>
        <v>21.51</v>
      </c>
      <c r="DM223" s="535">
        <f t="shared" si="474"/>
        <v>56.019999999999996</v>
      </c>
      <c r="DN223" s="535">
        <f>Sheet1!AB221-DM223</f>
        <v>-0.46999999999999886</v>
      </c>
      <c r="DO223" s="743">
        <f t="shared" si="475"/>
        <v>-8.3898607640128329E-3</v>
      </c>
      <c r="DP223" s="535">
        <f>(VLOOKUP(Sheet1!DC221,hhdcap_wcm,4)-(((VLOOKUP(Sheet1!DC221,hhdcap_wcm,3)-Sheet1!DC221)/(VLOOKUP(Sheet1!DC221,hhdcap_wcm,3)-VLOOKUP(Sheet1!DC221,hhdcap_wcm,1)))*(VLOOKUP(Sheet1!DC221,hhdcap_wcm,4)-VLOOKUP(Sheet1!DC221,hhdcap_wcm,2))))</f>
        <v>43758.600000108047</v>
      </c>
      <c r="DQ223" s="535">
        <f t="shared" si="476"/>
        <v>-151.20000000024447</v>
      </c>
      <c r="DR223" s="535">
        <f t="shared" si="477"/>
        <v>-76.248108925993165</v>
      </c>
      <c r="DS223" s="535">
        <f>Sheet1!EA221*AFtoMG</f>
        <v>0</v>
      </c>
      <c r="DT223" s="535">
        <f>Sheet1!EB221*AFtoMG</f>
        <v>0</v>
      </c>
      <c r="DU223" s="535">
        <f>Sheet1!EC221*AFtoMG</f>
        <v>0</v>
      </c>
      <c r="DV223" s="535">
        <f>Sheet1!ED221*AFtoMG</f>
        <v>0</v>
      </c>
      <c r="DW223" s="535">
        <f t="shared" si="478"/>
        <v>0</v>
      </c>
      <c r="DX223" s="535">
        <f t="shared" si="479"/>
        <v>0</v>
      </c>
      <c r="DY223" s="535">
        <f t="shared" si="480"/>
        <v>2584.0043036169923</v>
      </c>
      <c r="DZ223" s="535">
        <f t="shared" si="481"/>
        <v>7927.7252034969324</v>
      </c>
      <c r="EA223" s="535"/>
      <c r="EB223" s="521">
        <f>IF(OR(B223&lt;FV223,B223&gt;FW223),(MIN(BF223+BY223+CT223+MAX(Sheet1!AA221+AQ223-73,0),K223)),0)</f>
        <v>0</v>
      </c>
      <c r="EC223" s="535"/>
      <c r="ED223" s="535">
        <f t="shared" si="482"/>
        <v>21.329534094966085</v>
      </c>
      <c r="EE223" s="535"/>
      <c r="EF223" s="535">
        <f>Sheet1!EH221+Sheet1!EI221+Sheet1!EJ221+Sheet1!EK221</f>
        <v>22.5</v>
      </c>
      <c r="EG223" s="1019">
        <f t="shared" si="550"/>
        <v>34.807499999999997</v>
      </c>
      <c r="EH223" s="521">
        <f t="shared" si="483"/>
        <v>0</v>
      </c>
      <c r="EI223" s="535">
        <f>IF(Sheet1!ET221=1,SUM('Calculations II'!AT223:BA223)+'Calculations II'!BC223+Sheet1!BV221+'Calculations II'!BE223+AP223,'Calculations II'!BK223)</f>
        <v>82.254091747947143</v>
      </c>
      <c r="EJ223" s="535">
        <f ca="1">EI223+'Calculations II'!D223+'Calculations II'!E223+'Calculations II'!O223</f>
        <v>84.152754988635266</v>
      </c>
      <c r="EK223" s="535"/>
      <c r="EL223" s="535"/>
      <c r="EM223" s="535">
        <f t="shared" si="484"/>
        <v>42947</v>
      </c>
      <c r="EN223" s="535">
        <f t="shared" si="485"/>
        <v>-22.5</v>
      </c>
      <c r="EO223" s="535">
        <f t="shared" si="486"/>
        <v>-34.807499999999997</v>
      </c>
      <c r="EP223" s="535">
        <v>0</v>
      </c>
      <c r="EQ223" s="535">
        <v>0</v>
      </c>
      <c r="ER223" s="535">
        <v>0</v>
      </c>
      <c r="ES223" s="521">
        <f t="shared" si="516"/>
        <v>-0.27686062168928238</v>
      </c>
      <c r="ET223" s="535">
        <f>-(VLOOKUP(Sheet1!BQ221,Lookup!$O$4:$Q$262,2)-VLOOKUP(Sheet1!BQ220,Lookup!$O$4:$Q$262,2))/1000000</f>
        <v>-0.13840788631894441</v>
      </c>
      <c r="EU223" s="535">
        <f>-(VLOOKUP(Sheet1!BR221,Lookup!$O$4:$Q$262,3)-VLOOKUP(Sheet1!BR220,Lookup!$O$4:$Q$262,3))/1000000</f>
        <v>-0.13845273537033798</v>
      </c>
      <c r="EV223" s="535"/>
      <c r="EW223" s="535"/>
      <c r="EX223" s="535"/>
      <c r="EY223" s="535"/>
      <c r="EZ223" s="535"/>
      <c r="FA223" s="535"/>
      <c r="FB223" s="535"/>
      <c r="FC223" s="535"/>
      <c r="FD223" s="567">
        <f t="shared" si="504"/>
        <v>1136.8318840578938</v>
      </c>
      <c r="FE223" s="567" t="e">
        <f t="shared" si="488"/>
        <v>#N/A</v>
      </c>
      <c r="FF223" s="568" t="e">
        <f t="shared" si="489"/>
        <v>#N/A</v>
      </c>
      <c r="FG223" s="569" t="s">
        <v>656</v>
      </c>
      <c r="FH223" s="569" t="s">
        <v>656</v>
      </c>
      <c r="FI223" s="567" t="e">
        <v>#N/A</v>
      </c>
      <c r="FJ223" s="725">
        <v>20983</v>
      </c>
      <c r="FK223" s="535"/>
      <c r="FL223" s="1015">
        <f t="shared" si="503"/>
        <v>41.855774079677253</v>
      </c>
      <c r="FM223" s="535"/>
      <c r="FN223" s="535"/>
      <c r="FO223" s="535">
        <f>O223+((Sheet1!CS221)*GPMtoMGD)</f>
        <v>103.635024</v>
      </c>
      <c r="FP223" s="535">
        <f>IF(Sheet1!AA221+AQ223&lt;=Calculation!N223,AQ223,Calculation!N223-Sheet1!AA221)</f>
        <v>33.81390574794716</v>
      </c>
      <c r="FQ223" s="535">
        <f>(Sheet1!BP221+Sheet1!BO221)/694.4</f>
        <v>4.3725518433179724</v>
      </c>
      <c r="FR223" s="541"/>
      <c r="FS223" s="541"/>
      <c r="FT223" s="541"/>
      <c r="FU223" s="541"/>
      <c r="FV223" s="1109">
        <f t="shared" si="517"/>
        <v>42918</v>
      </c>
      <c r="FW223" s="1109">
        <f t="shared" si="518"/>
        <v>43027</v>
      </c>
      <c r="FX223" s="541"/>
      <c r="FY223" s="541">
        <f>Sheet1!DA221-Sheet1!CZ221-Sheet1!AE221</f>
        <v>-125.04435999999998</v>
      </c>
      <c r="FZ223" s="535">
        <f t="shared" si="551"/>
        <v>-0.65211539401058105</v>
      </c>
      <c r="GA223" s="535"/>
      <c r="GB223" s="535" t="str">
        <f t="shared" si="519"/>
        <v>n</v>
      </c>
      <c r="GC223" s="539">
        <f t="shared" si="520"/>
        <v>42782</v>
      </c>
      <c r="GD223" s="1109">
        <f t="shared" si="521"/>
        <v>42904</v>
      </c>
      <c r="GE223" s="535">
        <f t="shared" si="537"/>
        <v>6520</v>
      </c>
      <c r="GF223" s="1109">
        <f t="shared" si="522"/>
        <v>42909</v>
      </c>
      <c r="GG223" s="535">
        <f t="shared" si="564"/>
        <v>3260</v>
      </c>
      <c r="GH223" s="539">
        <f t="shared" si="523"/>
        <v>43040</v>
      </c>
      <c r="GJ223" s="521">
        <f t="shared" si="524"/>
        <v>0</v>
      </c>
      <c r="GK223" s="535" t="str">
        <f t="shared" si="490"/>
        <v/>
      </c>
      <c r="GL223" s="535">
        <f t="shared" si="525"/>
        <v>0</v>
      </c>
      <c r="GM223" s="535" t="str">
        <f t="shared" si="526"/>
        <v/>
      </c>
      <c r="GN223" s="535">
        <f>IF(GK223="P",Lookup!$M$12,IF(GK223="PP",Lookup!$M$13,IF(GK223="PPP",Lookup!$M$14,IF(GK223="T",Lookup!$M$15,IF(GK223="TP",Lookup!$M$16,IF(GK223="TPP",Lookup!$M$17,IF(GK223="TPPP",Lookup!$M$18,0)))))))*GJ223</f>
        <v>0</v>
      </c>
      <c r="GO223" s="535">
        <f t="shared" si="527"/>
        <v>0</v>
      </c>
      <c r="GP223" s="535">
        <f t="shared" si="491"/>
        <v>3964.8786666666674</v>
      </c>
      <c r="GQ223" s="974">
        <f t="shared" si="500"/>
        <v>1292.3333333333335</v>
      </c>
      <c r="GR223" s="535"/>
      <c r="GS223" s="535">
        <f t="shared" si="528"/>
        <v>0</v>
      </c>
      <c r="GT223" s="535" t="str">
        <f t="shared" si="529"/>
        <v/>
      </c>
      <c r="GU223" s="535">
        <f>IF(GK223="P",Lookup!$N$12,IF(GK223="PP",Lookup!$N$13,IF(GK223="PPP",Lookup!$N$14,IF(GK223="T",Lookup!$N$15,IF(GK223="TP",Lookup!$N$16,IF(GK223="TPP",Lookup!$N$17,IF(GK223="TPPP",Lookup!$N$18,0)))))))*GJ223</f>
        <v>0</v>
      </c>
      <c r="GV223" s="535">
        <f t="shared" si="530"/>
        <v>0</v>
      </c>
      <c r="GW223" s="535">
        <f t="shared" si="492"/>
        <v>1702.2265452139127</v>
      </c>
      <c r="GX223" s="974">
        <f t="shared" si="501"/>
        <v>554.83264185590372</v>
      </c>
      <c r="GY223" s="535"/>
      <c r="GZ223" s="535">
        <f t="shared" si="531"/>
        <v>0</v>
      </c>
      <c r="HA223" s="535" t="str">
        <f t="shared" si="532"/>
        <v/>
      </c>
      <c r="HB223" s="535">
        <f>IF(GK223="P",Lookup!$N$12,IF(GK223="PP",Lookup!$N$13,IF(GK223="PPP",Lookup!$N$14,IF(GK223="T",Lookup!$N$15,IF(GK223="TP",Lookup!$N$16,IF(GK223="TPP",Lookup!$N$17,IF(GK223="TPPP",Lookup!$N$18,0)))))))*GJ223</f>
        <v>0</v>
      </c>
      <c r="HC223" s="521">
        <f t="shared" si="493"/>
        <v>0</v>
      </c>
      <c r="HD223" s="535">
        <f t="shared" si="494"/>
        <v>1323.4579580528589</v>
      </c>
      <c r="HE223" s="535">
        <f t="shared" si="535"/>
        <v>431.37482335490836</v>
      </c>
      <c r="HF223" s="535"/>
      <c r="HG223" s="535">
        <f t="shared" si="533"/>
        <v>0</v>
      </c>
      <c r="HH223" s="535" t="str">
        <f t="shared" si="534"/>
        <v/>
      </c>
      <c r="HI223" s="535">
        <f>IF(GK223="P",Lookup!$N$12,IF(GK223="PP",Lookup!$N$13,IF(GK223="PPP",Lookup!$N$14,IF(GK223="T",Lookup!$N$15,IF(GK223="TP",Lookup!$N$16,IF(GK223="TPP",Lookup!$N$17,IF(GK223="TPPP",Lookup!$N$18,0)))))))*GJ223</f>
        <v>0</v>
      </c>
      <c r="HJ223" s="521">
        <f t="shared" si="495"/>
        <v>0</v>
      </c>
      <c r="HK223" s="535">
        <f t="shared" si="496"/>
        <v>937.16203356349456</v>
      </c>
      <c r="HL223" s="535">
        <f t="shared" si="536"/>
        <v>305.463505072847</v>
      </c>
      <c r="HM223" s="535"/>
      <c r="HN223" s="541"/>
      <c r="HO223" s="541"/>
      <c r="HP223" s="541"/>
      <c r="HQ223" s="541">
        <f>IF(AND(B223&gt;=$FV$4,B223&lt;=$FW$4),MAX(110/1.02+$HQ$6+MIN(113/1.02,G223),IF($HV$6-(Sheet1!DA221-Sheet1!DB221)+MIN(113/1.02,G223)&lt;G223+FL223,$HV$6-(Sheet1!DA221-Sheet1!DB221)+MIN(113/1.02,G223),G223+FL223)),MIN(110/1.02+$HQ$6+113/1.02,G223))</f>
        <v>233.60766515368408</v>
      </c>
      <c r="HR223" s="541">
        <f t="shared" si="552"/>
        <v>238.27981845675777</v>
      </c>
      <c r="HS223" s="541">
        <f>HR223+(Sheet1!DA221-Sheet1!DB221)</f>
        <v>379.27981845675777</v>
      </c>
      <c r="HT223" s="541">
        <f t="shared" si="553"/>
        <v>104.50057075508747</v>
      </c>
      <c r="HU223" s="541">
        <f t="shared" si="554"/>
        <v>274.77924770167033</v>
      </c>
      <c r="HV223" s="541">
        <f t="shared" si="555"/>
        <v>0</v>
      </c>
      <c r="HW223" s="533">
        <f t="shared" si="556"/>
        <v>0.41516515368408591</v>
      </c>
      <c r="HX223" s="541" t="str">
        <f t="shared" si="557"/>
        <v/>
      </c>
      <c r="HY223" s="541">
        <f>Sheet1!CZ221</f>
        <v>268</v>
      </c>
      <c r="HZ223" s="541">
        <f t="shared" si="558"/>
        <v>34.807499999999997</v>
      </c>
      <c r="IA223" s="541">
        <f t="shared" si="559"/>
        <v>104.50057075508747</v>
      </c>
      <c r="IB223" s="541">
        <f t="shared" si="560"/>
        <v>233.1925</v>
      </c>
      <c r="IC223" s="1019" t="str">
        <f t="shared" si="561"/>
        <v>YES</v>
      </c>
      <c r="ID223" s="541">
        <f t="shared" si="562"/>
        <v>128.69192924491253</v>
      </c>
      <c r="IE223" s="541">
        <f>Sheet1!DB221</f>
        <v>141</v>
      </c>
      <c r="IF223" s="533">
        <f>Sheet1!DA221</f>
        <v>282</v>
      </c>
      <c r="IH223" s="541">
        <f>IF(AND($B223&gt;=$GC223,$B223&lt;=$GH223,$DR223&lt;0)+N("only adjusted when pool is drawn down during storage season"),Sheet1!$DB221+$DR223+N("Palmer minus all storage release"),Sheet1!$DB221)</f>
        <v>64.751891074006835</v>
      </c>
      <c r="II223" s="541">
        <f>IF(AND($B223&gt;=$GC223,$B223&lt;=$GH223,$DR223&lt;0)+N("only adjusted when pool is drawn down during storage season"),Sheet1!$DA221+$DR223+N("Auburn minus all storage release"),Sheet1!$DA221)</f>
        <v>205.75189107400683</v>
      </c>
    </row>
    <row r="224" spans="1:243" x14ac:dyDescent="0.25">
      <c r="A224" s="553" t="s">
        <v>5</v>
      </c>
      <c r="B224" s="531">
        <v>42948</v>
      </c>
      <c r="C224" s="536">
        <v>0</v>
      </c>
      <c r="D224" s="506">
        <f t="shared" si="506"/>
        <v>200</v>
      </c>
      <c r="E224" s="506">
        <f t="shared" si="507"/>
        <v>400</v>
      </c>
      <c r="F224" s="506">
        <v>250</v>
      </c>
      <c r="G224" s="535">
        <f>DR224+Sheet1!CZ222</f>
        <v>228.58598083648735</v>
      </c>
      <c r="H224" s="1074">
        <f t="shared" si="563"/>
        <v>0</v>
      </c>
      <c r="I224" s="534">
        <f>IF(Sheet1!DA222&gt;=E224,(Sheet1!DA222-E224+P224)*CFStoMGD,0)</f>
        <v>0</v>
      </c>
      <c r="J224" s="995">
        <f>IF(Sheet1!DB222&gt;=D224,(Sheet1!DB222-D224+P224)*CFStoMGD,0)</f>
        <v>0</v>
      </c>
      <c r="K224" s="818">
        <f t="shared" si="538"/>
        <v>0</v>
      </c>
      <c r="L224" s="535">
        <f>Sheet1!AA222+Sheet1!AB222-Sheet1!L222+(Sheet1!DA222-F224)*CFStoMGD-S224-T224-U224</f>
        <v>79.358305084745751</v>
      </c>
      <c r="M224" s="535">
        <f t="shared" si="436"/>
        <v>150.71313757295954</v>
      </c>
      <c r="N224" s="824">
        <f>IF(Sheet1!DA222&gt;=F224,MIN(113*CFStoMGD,MIN(MAX(L224,0),MAX(M224,0))),0)</f>
        <v>73.043199999999999</v>
      </c>
      <c r="O224" s="538">
        <f>Sheet1!AA222+Sheet1!AB222</f>
        <v>99.69</v>
      </c>
      <c r="P224" s="538">
        <f t="shared" si="437"/>
        <v>154.22042999999999</v>
      </c>
      <c r="Q224" s="812">
        <f t="shared" si="539"/>
        <v>63.844705084745755</v>
      </c>
      <c r="R224" s="812">
        <f t="shared" si="508"/>
        <v>36</v>
      </c>
      <c r="S224" s="812">
        <f t="shared" si="509"/>
        <v>0</v>
      </c>
      <c r="T224" s="812">
        <f t="shared" si="510"/>
        <v>0</v>
      </c>
      <c r="U224" s="812">
        <f>IF(AND(B224&gt;=FV224,B224&lt;=FW224),ED224+Sheet1!EH222,0)</f>
        <v>35.845294915254243</v>
      </c>
      <c r="V224" s="812"/>
      <c r="W224" s="812">
        <f t="shared" si="511"/>
        <v>0</v>
      </c>
      <c r="X224" s="812">
        <f t="shared" si="512"/>
        <v>0</v>
      </c>
      <c r="Y224" s="812" t="str">
        <f t="shared" si="513"/>
        <v>FALSE</v>
      </c>
      <c r="Z224" s="812">
        <f t="shared" si="514"/>
        <v>99.69</v>
      </c>
      <c r="AA224" s="812">
        <f t="shared" si="515"/>
        <v>99.69</v>
      </c>
      <c r="AB224" s="1059">
        <f t="shared" si="540"/>
        <v>98.767758766101679</v>
      </c>
      <c r="AC224" s="538">
        <f>Sheet1!Y222*MGDtoCFS</f>
        <v>53.108509999999995</v>
      </c>
      <c r="AD224" s="538">
        <f>Sheet1!Z222*MGDtoCFS</f>
        <v>85.719269999999995</v>
      </c>
      <c r="AE224" s="538">
        <f>Sheet1!AA222*MGDtoCFS</f>
        <v>63.519820000000003</v>
      </c>
      <c r="AF224" s="538">
        <f>Sheet1!AB222*MGDtoCFS</f>
        <v>90.700609999999998</v>
      </c>
      <c r="AG224" s="538">
        <f>Sheet1!L222*MGDtoCFS</f>
        <v>0</v>
      </c>
      <c r="AH224" s="521">
        <f t="shared" si="438"/>
        <v>36.001061016949151</v>
      </c>
      <c r="AI224" s="1059">
        <f t="shared" si="439"/>
        <v>55.693641393220332</v>
      </c>
      <c r="AJ224" s="535">
        <f t="shared" si="440"/>
        <v>0</v>
      </c>
      <c r="AK224" s="535">
        <f t="shared" si="441"/>
        <v>0</v>
      </c>
      <c r="AL224" s="535">
        <f>(VLOOKUP(Sheet1!DC222,hhdcap_wcm,4)-(((VLOOKUP(Sheet1!DC222,hhdcap_wcm,3)-Sheet1!DC222)/(VLOOKUP(Sheet1!DC222,hhdcap_wcm,3)-VLOOKUP(Sheet1!DC222,hhdcap_wcm,1)))*(VLOOKUP(Sheet1!DC222,hhdcap_wcm,4)-VLOOKUP(Sheet1!DC222,hhdcap_wcm,2))))</f>
        <v>43533.700000106801</v>
      </c>
      <c r="AM224" s="535">
        <f t="shared" si="442"/>
        <v>-224.90000000124564</v>
      </c>
      <c r="AN224" s="1035">
        <f t="shared" si="443"/>
        <v>2548.0032426000434</v>
      </c>
      <c r="AO224" s="535">
        <f t="shared" si="444"/>
        <v>7817.2739482969337</v>
      </c>
      <c r="AP224" s="535">
        <f>Sheet1!BA222+Sheet1!BB222+Sheet1!BN222+CD224</f>
        <v>37.519999999999996</v>
      </c>
      <c r="AQ224" s="535">
        <f>Sheet1!BN222+(DO224*Sheet1!BN222)</f>
        <v>36.569220338983051</v>
      </c>
      <c r="AR224" s="535">
        <f>Sheet1!BA222+CD224</f>
        <v>0</v>
      </c>
      <c r="AS224" s="535">
        <f>Sheet1!BA222+Sheet1!BB222+CD224</f>
        <v>0.72</v>
      </c>
      <c r="AT224" s="649">
        <f>0</f>
        <v>0</v>
      </c>
      <c r="AU224" s="974">
        <f>BA224+MAX(Sheet1!EH222,(O224-Q224-ED224-S224))</f>
        <v>14.500000000000004</v>
      </c>
      <c r="AV224" s="535">
        <f>IF(OR(B224&gt;=GD224,B224&lt;GC224),0,15/36*K224-MAX(0,64.6-(137.6-(Sheet1!AA222+Sheet1!AB222))))</f>
        <v>0</v>
      </c>
      <c r="AW224" s="1029"/>
      <c r="AX224" s="649"/>
      <c r="AY224" s="649">
        <f t="shared" si="541"/>
        <v>0</v>
      </c>
      <c r="AZ224" s="649">
        <f t="shared" si="542"/>
        <v>0</v>
      </c>
      <c r="BA224" s="1059">
        <f t="shared" si="543"/>
        <v>0</v>
      </c>
      <c r="BB224" s="1019">
        <f t="shared" si="445"/>
        <v>1277.8333333333335</v>
      </c>
      <c r="BC224" s="1041">
        <f t="shared" si="544"/>
        <v>0</v>
      </c>
      <c r="BD224" s="1019">
        <f ca="1">IF(B224&gt;(Summary!$A$1-1),#N/A,BB224*MGtoAF)</f>
        <v>3920.3926666666671</v>
      </c>
      <c r="BE224" s="535">
        <f>Sheet1!BG222+Sheet1!BH222+Sheet1!BI222-BM224</f>
        <v>3.02</v>
      </c>
      <c r="BF224" s="535">
        <f t="shared" si="446"/>
        <v>3.0010610169491527</v>
      </c>
      <c r="BG224" s="535">
        <f>IF(Sheet1!EP222="FM",BM224,0)</f>
        <v>0</v>
      </c>
      <c r="BH224" s="535">
        <f t="shared" si="447"/>
        <v>0</v>
      </c>
      <c r="BI224" s="535">
        <f>IF(Sheet1!EP222="OTHER",BM224,0)</f>
        <v>0</v>
      </c>
      <c r="BJ224" s="535">
        <f t="shared" si="448"/>
        <v>0</v>
      </c>
      <c r="BK224" s="535">
        <f t="shared" si="449"/>
        <v>3.02</v>
      </c>
      <c r="BL224" s="535">
        <f t="shared" si="450"/>
        <v>3.0010610169491527</v>
      </c>
      <c r="BM224" s="535">
        <f>IF(OR(Sheet1!EP222="FM", Sheet1!EP222="OTHER"),SUM(Sheet1!BG222:'Sheet1'!BI222),0)</f>
        <v>0</v>
      </c>
      <c r="BN224" s="521">
        <f>IF(AND($B224&gt;=$FV224,$B224&lt;=$FW224),MAX(BF224,Sheet1!EI222,0),MAX(BF224-(7/36)*$K224,0))</f>
        <v>3.0010610169491527</v>
      </c>
      <c r="BO224" s="535">
        <f t="shared" si="497"/>
        <v>0</v>
      </c>
      <c r="BP224" s="521">
        <f t="shared" si="452"/>
        <v>0</v>
      </c>
      <c r="BQ224" s="521">
        <f>IF(AND($O224&gt;0,Sheet1!EM222=1),(1-($O224-Sheet1!$L222)/$O224)*BL224,0)</f>
        <v>0</v>
      </c>
      <c r="BR224" s="521">
        <f>IF(AND(Sheet1!$L222=0,Sheet1!$L221=0, Calculation!BK224&lt;Sheet1!$EI222-0.1,Sheet1!$EI222=Sheet1!$EI221,Sheet1!$EI222=Sheet1!$EI223),BL224-BQ224,BL224-BQ224)</f>
        <v>3.0010610169491527</v>
      </c>
      <c r="BS224" s="1035" t="str">
        <f t="shared" si="545"/>
        <v/>
      </c>
      <c r="BT224" s="1035">
        <f t="shared" si="546"/>
        <v>0</v>
      </c>
      <c r="BU224" s="535">
        <f t="shared" si="453"/>
        <v>551.83158083895455</v>
      </c>
      <c r="BV224" s="535"/>
      <c r="BW224" s="535">
        <f ca="1">IF(B224&gt;(Summary!$A$1-1),#N/A,BU224*MGtoAF)</f>
        <v>1693.0192900139125</v>
      </c>
      <c r="BX224" s="535">
        <f>Sheet1!BC222+Sheet1!BD222+Sheet1!BE222+Sheet1!BF222-CG224-CH224</f>
        <v>6.98</v>
      </c>
      <c r="BY224" s="535">
        <f t="shared" si="454"/>
        <v>6.9362271186440685</v>
      </c>
      <c r="BZ224" s="535">
        <f>IF(Sheet1!EQ222="FM",CH224,0)</f>
        <v>0</v>
      </c>
      <c r="CA224" s="535">
        <f t="shared" si="455"/>
        <v>0</v>
      </c>
      <c r="CB224" s="535">
        <f>IF(Sheet1!EQ222="OTHER",CH224,0)</f>
        <v>0</v>
      </c>
      <c r="CC224" s="535">
        <f t="shared" si="456"/>
        <v>0</v>
      </c>
      <c r="CD224" s="535">
        <f t="shared" si="457"/>
        <v>0</v>
      </c>
      <c r="CE224" s="535">
        <f t="shared" si="458"/>
        <v>6.98</v>
      </c>
      <c r="CF224" s="535">
        <f t="shared" si="459"/>
        <v>6.9362271186440685</v>
      </c>
      <c r="CG224" s="535">
        <f>IF(Sheet1!EQ222="CWA",SUM(Sheet1!BC222:'Sheet1'!BF222),0)</f>
        <v>0</v>
      </c>
      <c r="CH224" s="535">
        <f>IF(OR(Sheet1!EQ222="FM", Sheet1!EQ222="OTHER"),SUM(Sheet1!BC222:'Sheet1'!BF222),0)</f>
        <v>0</v>
      </c>
      <c r="CI224" s="521">
        <f>IF(AND($B224&gt;=$FV224,$B224&lt;=$FW224),MAX(CF224,Sheet1!EJ222,0),MAX(CF224-(7/36)*$K224,0))</f>
        <v>7</v>
      </c>
      <c r="CJ224" s="535">
        <f t="shared" si="499"/>
        <v>0</v>
      </c>
      <c r="CK224" s="521">
        <f t="shared" si="461"/>
        <v>0</v>
      </c>
      <c r="CL224" s="521">
        <f>IF(AND($O224&gt;0,Sheet1!EN222=1),(1-($O224-Sheet1!$L222)/$O224)*CF224,0)</f>
        <v>0</v>
      </c>
      <c r="CM224" s="521">
        <f>IF(AND(Sheet1!$L222=0,Sheet1!$L221=0, Calculation!CE224&lt;Sheet1!EJ222-0.1,Sheet1!EJ222=Sheet1!EJ221,Sheet1!EJ222=Sheet1!EJ223),CF224-CL224,CF224-CL224)</f>
        <v>6.9362271186440685</v>
      </c>
      <c r="CN224" s="1040" t="str">
        <f t="shared" si="547"/>
        <v/>
      </c>
      <c r="CO224" s="1035">
        <f t="shared" si="548"/>
        <v>0</v>
      </c>
      <c r="CP224" s="535">
        <f t="shared" si="462"/>
        <v>424.37482335490836</v>
      </c>
      <c r="CQ224" s="535"/>
      <c r="CR224" s="535">
        <f ca="1">IF(B224&gt;(Summary!$A$1-1),#N/A,CP224*MGtoAF)</f>
        <v>1301.9819580528588</v>
      </c>
      <c r="CS224" s="535">
        <f>Sheet1!BK222+Sheet1!BL222+Sheet1!BM222-Sheet1!ER222-DA224</f>
        <v>11.48</v>
      </c>
      <c r="CT224" s="535">
        <f t="shared" si="463"/>
        <v>11.408006779661019</v>
      </c>
      <c r="CU224" s="535">
        <f>IF(Sheet1!ER222="FM",DA224,0)</f>
        <v>0</v>
      </c>
      <c r="CV224" s="535">
        <f t="shared" si="464"/>
        <v>0</v>
      </c>
      <c r="CW224" s="535">
        <f>IF(Sheet1!ER222="OTHER",DA224,0)</f>
        <v>0</v>
      </c>
      <c r="CX224" s="535">
        <f t="shared" si="465"/>
        <v>0</v>
      </c>
      <c r="CY224" s="535">
        <f t="shared" si="466"/>
        <v>11.48</v>
      </c>
      <c r="CZ224" s="535">
        <f t="shared" si="467"/>
        <v>11.408006779661019</v>
      </c>
      <c r="DA224" s="535">
        <f>IF(OR(Sheet1!ER222="FM", Sheet1!ER222="OTHER"),SUM(Sheet1!BK222:'Sheet1'!BM222),0)</f>
        <v>0</v>
      </c>
      <c r="DB224" s="1011">
        <f>IF(AND($B224&gt;=$FV224,$B224&lt;=$FW224),MAX($CT224,Sheet1!EK222,0),MAX($CT224-(7/36)*$K224,0))</f>
        <v>11.5</v>
      </c>
      <c r="DC224" s="1012">
        <f t="shared" si="498"/>
        <v>0</v>
      </c>
      <c r="DD224" s="1011">
        <f t="shared" si="469"/>
        <v>0</v>
      </c>
      <c r="DE224" s="521">
        <f>IF(AND($O224&gt;0,Sheet1!EO222=1),(1-($O224-Sheet1!$L222)/$O224)*CZ224,0)</f>
        <v>0</v>
      </c>
      <c r="DF224" s="521">
        <f>IF(AND(Sheet1!$L222=0,Sheet1!$L221=0, Calculation!CY224&lt;Sheet1!$EK222-0.1,Sheet1!$EK222=Sheet1!$EK221,Sheet1!$EK222=Sheet1!$EK223),CZ224-DE224,CZ224-DE224)</f>
        <v>11.408006779661019</v>
      </c>
      <c r="DG224" s="1040">
        <f t="shared" si="549"/>
        <v>0</v>
      </c>
      <c r="DH224" s="649">
        <f t="shared" si="470"/>
        <v>21.48</v>
      </c>
      <c r="DI224" s="535">
        <f t="shared" si="471"/>
        <v>293.963505072847</v>
      </c>
      <c r="DJ224" s="649">
        <f t="shared" si="472"/>
        <v>21.345294915254239</v>
      </c>
      <c r="DK224" s="535">
        <f ca="1">IF(B224&gt;(Summary!$A$1-1),#N/A,DI224*MGtoAF)</f>
        <v>901.88003356349464</v>
      </c>
      <c r="DL224" s="649">
        <f t="shared" si="473"/>
        <v>21.48</v>
      </c>
      <c r="DM224" s="535">
        <f t="shared" si="474"/>
        <v>59</v>
      </c>
      <c r="DN224" s="535">
        <f>Sheet1!AB222-DM224</f>
        <v>-0.36999999999999744</v>
      </c>
      <c r="DO224" s="743">
        <f t="shared" si="475"/>
        <v>-6.2711864406779227E-3</v>
      </c>
      <c r="DP224" s="535">
        <f>(VLOOKUP(Sheet1!DC222,hhdcap_wcm,4)-(((VLOOKUP(Sheet1!DC222,hhdcap_wcm,3)-Sheet1!DC222)/(VLOOKUP(Sheet1!DC222,hhdcap_wcm,3)-VLOOKUP(Sheet1!DC222,hhdcap_wcm,1)))*(VLOOKUP(Sheet1!DC222,hhdcap_wcm,4)-VLOOKUP(Sheet1!DC222,hhdcap_wcm,2))))</f>
        <v>43533.700000106801</v>
      </c>
      <c r="DQ224" s="535">
        <f t="shared" si="476"/>
        <v>-224.90000000124564</v>
      </c>
      <c r="DR224" s="535">
        <f t="shared" si="477"/>
        <v>-113.41401916351266</v>
      </c>
      <c r="DS224" s="535">
        <f>Sheet1!EA222*AFtoMG</f>
        <v>0</v>
      </c>
      <c r="DT224" s="535">
        <f>Sheet1!EB222*AFtoMG</f>
        <v>0</v>
      </c>
      <c r="DU224" s="535">
        <f>Sheet1!EC222*AFtoMG</f>
        <v>0</v>
      </c>
      <c r="DV224" s="535">
        <f>Sheet1!ED222*AFtoMG</f>
        <v>0</v>
      </c>
      <c r="DW224" s="535">
        <f t="shared" si="478"/>
        <v>0</v>
      </c>
      <c r="DX224" s="535">
        <f t="shared" si="479"/>
        <v>0</v>
      </c>
      <c r="DY224" s="535">
        <f t="shared" si="480"/>
        <v>2548.0032426000434</v>
      </c>
      <c r="DZ224" s="535">
        <f t="shared" si="481"/>
        <v>7817.2739482969337</v>
      </c>
      <c r="EA224" s="535"/>
      <c r="EB224" s="521">
        <f>IF(OR(B224&lt;FV224,B224&gt;FW224),(MIN(BF224+BY224+CT224+MAX(Sheet1!AA222+AQ224-73,0),K224)),0)</f>
        <v>0</v>
      </c>
      <c r="EC224" s="535"/>
      <c r="ED224" s="535">
        <f t="shared" si="482"/>
        <v>21.345294915254239</v>
      </c>
      <c r="EE224" s="535"/>
      <c r="EF224" s="535">
        <f>Sheet1!EH222+Sheet1!EI222+Sheet1!EJ222+Sheet1!EK222</f>
        <v>36</v>
      </c>
      <c r="EG224" s="1019">
        <f t="shared" si="550"/>
        <v>55.692</v>
      </c>
      <c r="EH224" s="521">
        <f t="shared" si="483"/>
        <v>0</v>
      </c>
      <c r="EI224" s="535">
        <f>IF(Sheet1!ET222=1,SUM('Calculations II'!AT224:BA224)+'Calculations II'!BC224+Sheet1!BV222+'Calculations II'!BE224+AP224,'Calculations II'!BK224)</f>
        <v>87.344516338983055</v>
      </c>
      <c r="EJ224" s="535">
        <f ca="1">EI224+'Calculations II'!D224+'Calculations II'!E224+'Calculations II'!O224</f>
        <v>86.198034954685056</v>
      </c>
      <c r="EK224" s="535"/>
      <c r="EL224" s="535"/>
      <c r="EM224" s="535">
        <f t="shared" si="484"/>
        <v>42948</v>
      </c>
      <c r="EN224" s="535">
        <f t="shared" si="485"/>
        <v>-36.001061016949151</v>
      </c>
      <c r="EO224" s="535">
        <f t="shared" si="486"/>
        <v>-55.693641393220332</v>
      </c>
      <c r="EP224" s="535">
        <v>0</v>
      </c>
      <c r="EQ224" s="535">
        <v>0</v>
      </c>
      <c r="ER224" s="535">
        <v>0</v>
      </c>
      <c r="ES224" s="521">
        <f t="shared" si="516"/>
        <v>-0.41529413544641436</v>
      </c>
      <c r="ET224" s="535">
        <f>-(VLOOKUP(Sheet1!BQ222,Lookup!$O$4:$Q$262,2)-VLOOKUP(Sheet1!BQ221,Lookup!$O$4:$Q$262,2))/1000000</f>
        <v>-0.27683499247752874</v>
      </c>
      <c r="EU224" s="535">
        <f>-(VLOOKUP(Sheet1!BR222,Lookup!$O$4:$Q$262,3)-VLOOKUP(Sheet1!BR221,Lookup!$O$4:$Q$262,3))/1000000</f>
        <v>-0.13845914296888559</v>
      </c>
      <c r="EV224" s="535"/>
      <c r="EW224" s="535"/>
      <c r="EX224" s="535"/>
      <c r="EY224" s="535"/>
      <c r="EZ224" s="535"/>
      <c r="FA224" s="535"/>
      <c r="FB224" s="535"/>
      <c r="FC224" s="535"/>
      <c r="FD224" s="567">
        <f t="shared" si="504"/>
        <v>1136.7101449274592</v>
      </c>
      <c r="FE224" s="567" t="e">
        <f t="shared" si="488"/>
        <v>#N/A</v>
      </c>
      <c r="FF224" s="568" t="e">
        <f t="shared" si="489"/>
        <v>#N/A</v>
      </c>
      <c r="FG224" s="569" t="s">
        <v>656</v>
      </c>
      <c r="FH224" s="569" t="s">
        <v>656</v>
      </c>
      <c r="FI224" s="567" t="e">
        <v>#N/A</v>
      </c>
      <c r="FJ224" s="725">
        <v>20900</v>
      </c>
      <c r="FK224" s="535"/>
      <c r="FL224" s="1015">
        <f t="shared" si="503"/>
        <v>84.720121028744316</v>
      </c>
      <c r="FM224" s="535"/>
      <c r="FN224" s="535"/>
      <c r="FO224" s="535">
        <f>O224+((Sheet1!CS222)*GPMtoMGD)</f>
        <v>108.298176</v>
      </c>
      <c r="FP224" s="535">
        <f>IF(Sheet1!AA222+AQ224&lt;=Calculation!N224,AQ224,Calculation!N224-Sheet1!AA222)</f>
        <v>31.983199999999997</v>
      </c>
      <c r="FQ224" s="535">
        <f>(Sheet1!BP222+Sheet1!BO222)/694.4</f>
        <v>4.6304723502304146</v>
      </c>
      <c r="FR224" s="541"/>
      <c r="FS224" s="541"/>
      <c r="FT224" s="541"/>
      <c r="FU224" s="541"/>
      <c r="FV224" s="1109">
        <f t="shared" si="517"/>
        <v>42918</v>
      </c>
      <c r="FW224" s="1109">
        <f t="shared" si="518"/>
        <v>43027</v>
      </c>
      <c r="FX224" s="541"/>
      <c r="FY224" s="541">
        <f>Sheet1!DA222-Sheet1!CZ222-Sheet1!AE222</f>
        <v>-222.22042999999999</v>
      </c>
      <c r="FZ224" s="535">
        <f t="shared" si="551"/>
        <v>-0.97215248803450993</v>
      </c>
      <c r="GA224" s="535"/>
      <c r="GB224" s="535" t="str">
        <f t="shared" si="519"/>
        <v>n</v>
      </c>
      <c r="GC224" s="539">
        <f t="shared" si="520"/>
        <v>42782</v>
      </c>
      <c r="GD224" s="1109">
        <f t="shared" si="521"/>
        <v>42904</v>
      </c>
      <c r="GE224" s="535">
        <f t="shared" si="537"/>
        <v>6520</v>
      </c>
      <c r="GF224" s="1109">
        <f t="shared" si="522"/>
        <v>42909</v>
      </c>
      <c r="GG224" s="535">
        <f t="shared" si="564"/>
        <v>3260</v>
      </c>
      <c r="GH224" s="539">
        <f t="shared" si="523"/>
        <v>43040</v>
      </c>
      <c r="GJ224" s="521">
        <f t="shared" si="524"/>
        <v>0</v>
      </c>
      <c r="GK224" s="535" t="str">
        <f t="shared" si="490"/>
        <v/>
      </c>
      <c r="GL224" s="535">
        <f t="shared" si="525"/>
        <v>0</v>
      </c>
      <c r="GM224" s="535" t="str">
        <f t="shared" si="526"/>
        <v/>
      </c>
      <c r="GN224" s="535">
        <f>IF(GK224="P",Lookup!$M$12,IF(GK224="PP",Lookup!$M$13,IF(GK224="PPP",Lookup!$M$14,IF(GK224="T",Lookup!$M$15,IF(GK224="TP",Lookup!$M$16,IF(GK224="TPP",Lookup!$M$17,IF(GK224="TPPP",Lookup!$M$18,0)))))))*GJ224</f>
        <v>0</v>
      </c>
      <c r="GO224" s="535">
        <f t="shared" si="527"/>
        <v>0</v>
      </c>
      <c r="GP224" s="535">
        <f t="shared" si="491"/>
        <v>3920.3926666666671</v>
      </c>
      <c r="GQ224" s="974">
        <f t="shared" si="500"/>
        <v>1277.8333333333335</v>
      </c>
      <c r="GR224" s="535"/>
      <c r="GS224" s="535">
        <f t="shared" si="528"/>
        <v>0</v>
      </c>
      <c r="GT224" s="535" t="str">
        <f t="shared" si="529"/>
        <v/>
      </c>
      <c r="GU224" s="535">
        <f>IF(GK224="P",Lookup!$N$12,IF(GK224="PP",Lookup!$N$13,IF(GK224="PPP",Lookup!$N$14,IF(GK224="T",Lookup!$N$15,IF(GK224="TP",Lookup!$N$16,IF(GK224="TPP",Lookup!$N$17,IF(GK224="TPPP",Lookup!$N$18,0)))))))*GJ224</f>
        <v>0</v>
      </c>
      <c r="GV224" s="535">
        <f t="shared" si="530"/>
        <v>0</v>
      </c>
      <c r="GW224" s="535">
        <f t="shared" si="492"/>
        <v>1693.0192900139125</v>
      </c>
      <c r="GX224" s="974">
        <f t="shared" si="501"/>
        <v>551.83158083895455</v>
      </c>
      <c r="GY224" s="535"/>
      <c r="GZ224" s="535">
        <f t="shared" si="531"/>
        <v>0</v>
      </c>
      <c r="HA224" s="535" t="str">
        <f t="shared" si="532"/>
        <v/>
      </c>
      <c r="HB224" s="535">
        <f>IF(GK224="P",Lookup!$N$12,IF(GK224="PP",Lookup!$N$13,IF(GK224="PPP",Lookup!$N$14,IF(GK224="T",Lookup!$N$15,IF(GK224="TP",Lookup!$N$16,IF(GK224="TPP",Lookup!$N$17,IF(GK224="TPPP",Lookup!$N$18,0)))))))*GJ224</f>
        <v>0</v>
      </c>
      <c r="HC224" s="521">
        <f t="shared" si="493"/>
        <v>0</v>
      </c>
      <c r="HD224" s="535">
        <f t="shared" si="494"/>
        <v>1301.9819580528588</v>
      </c>
      <c r="HE224" s="535">
        <f t="shared" si="535"/>
        <v>424.37482335490836</v>
      </c>
      <c r="HF224" s="535"/>
      <c r="HG224" s="535">
        <f t="shared" si="533"/>
        <v>0</v>
      </c>
      <c r="HH224" s="535" t="str">
        <f t="shared" si="534"/>
        <v/>
      </c>
      <c r="HI224" s="535">
        <f>IF(GK224="P",Lookup!$N$12,IF(GK224="PP",Lookup!$N$13,IF(GK224="PPP",Lookup!$N$14,IF(GK224="T",Lookup!$N$15,IF(GK224="TP",Lookup!$N$16,IF(GK224="TPP",Lookup!$N$17,IF(GK224="TPPP",Lookup!$N$18,0)))))))*GJ224</f>
        <v>0</v>
      </c>
      <c r="HJ224" s="521">
        <f t="shared" si="495"/>
        <v>0</v>
      </c>
      <c r="HK224" s="535">
        <f t="shared" si="496"/>
        <v>901.88003356349464</v>
      </c>
      <c r="HL224" s="535">
        <f t="shared" si="536"/>
        <v>293.963505072847</v>
      </c>
      <c r="HM224" s="535"/>
      <c r="HN224" s="541"/>
      <c r="HO224" s="541"/>
      <c r="HP224" s="541"/>
      <c r="HQ224" s="541">
        <f>IF(AND(B224&gt;=$FV$4,B224&lt;=$FW$4),MAX(110/1.02+$HQ$6+MIN(113/1.02,G224),IF($HV$6-(Sheet1!DA222-Sheet1!DB222)+MIN(113/1.02,G224)&lt;G224+FL224,$HV$6-(Sheet1!DA222-Sheet1!DB222)+MIN(113/1.02,G224),G224+FL224)),MIN(110/1.02+$HQ$6+113/1.02,G224))</f>
        <v>290.78431372549016</v>
      </c>
      <c r="HR224" s="541">
        <f t="shared" si="552"/>
        <v>296.59999999999997</v>
      </c>
      <c r="HS224" s="541">
        <f>HR224+(Sheet1!DA222-Sheet1!DB222)</f>
        <v>381.59999999999997</v>
      </c>
      <c r="HT224" s="541">
        <f t="shared" si="553"/>
        <v>98.767758766101679</v>
      </c>
      <c r="HU224" s="541">
        <f t="shared" si="554"/>
        <v>282.83224123389829</v>
      </c>
      <c r="HV224" s="541">
        <f t="shared" si="555"/>
        <v>0</v>
      </c>
      <c r="HW224" s="533">
        <f t="shared" si="556"/>
        <v>4.4779551187104971</v>
      </c>
      <c r="HX224" s="541" t="str">
        <f t="shared" si="557"/>
        <v/>
      </c>
      <c r="HY224" s="541">
        <f>Sheet1!CZ222</f>
        <v>342</v>
      </c>
      <c r="HZ224" s="541">
        <f t="shared" si="558"/>
        <v>55.693641393220332</v>
      </c>
      <c r="IA224" s="541">
        <f t="shared" si="559"/>
        <v>98.767758766101679</v>
      </c>
      <c r="IB224" s="541">
        <f t="shared" si="560"/>
        <v>286.30635860677967</v>
      </c>
      <c r="IC224" s="1019" t="str">
        <f t="shared" si="561"/>
        <v>YES</v>
      </c>
      <c r="ID224" s="541">
        <f t="shared" si="562"/>
        <v>187.53859984067799</v>
      </c>
      <c r="IE224" s="541">
        <f>Sheet1!DB222</f>
        <v>189</v>
      </c>
      <c r="IF224" s="533">
        <f>Sheet1!DA222</f>
        <v>274</v>
      </c>
      <c r="IH224" s="541">
        <f>IF(AND($B224&gt;=$GC224,$B224&lt;=$GH224,$DR224&lt;0)+N("only adjusted when pool is drawn down during storage season"),Sheet1!$DB222+$DR224+N("Palmer minus all storage release"),Sheet1!$DB222)</f>
        <v>75.585980836487337</v>
      </c>
      <c r="II224" s="541">
        <f>IF(AND($B224&gt;=$GC224,$B224&lt;=$GH224,$DR224&lt;0)+N("only adjusted when pool is drawn down during storage season"),Sheet1!$DA222+$DR224+N("Auburn minus all storage release"),Sheet1!$DA222)</f>
        <v>160.58598083648735</v>
      </c>
    </row>
    <row r="225" spans="1:243" x14ac:dyDescent="0.25">
      <c r="A225" s="553" t="s">
        <v>6</v>
      </c>
      <c r="B225" s="531">
        <v>42949</v>
      </c>
      <c r="C225" s="536">
        <v>0</v>
      </c>
      <c r="D225" s="506">
        <f t="shared" si="506"/>
        <v>200</v>
      </c>
      <c r="E225" s="506">
        <f t="shared" si="507"/>
        <v>400</v>
      </c>
      <c r="F225" s="506">
        <v>250</v>
      </c>
      <c r="G225" s="535">
        <f>DR225+Sheet1!CZ223</f>
        <v>190.91578416528563</v>
      </c>
      <c r="H225" s="1074">
        <f t="shared" si="563"/>
        <v>0</v>
      </c>
      <c r="I225" s="534">
        <f>IF(Sheet1!DA223&gt;=E225,(Sheet1!DA223-E225+P225)*CFStoMGD,0)</f>
        <v>0</v>
      </c>
      <c r="J225" s="995">
        <f>IF(Sheet1!DB223&gt;=D225,(Sheet1!DB223-D225+P225)*CFStoMGD,0)</f>
        <v>0</v>
      </c>
      <c r="K225" s="818">
        <f t="shared" si="538"/>
        <v>0</v>
      </c>
      <c r="L225" s="535">
        <f>Sheet1!AA223+Sheet1!AB223-Sheet1!L223+(Sheet1!DA223-F225)*CFStoMGD-S225-T225-U225</f>
        <v>107.55008137239035</v>
      </c>
      <c r="M225" s="535">
        <f t="shared" si="436"/>
        <v>125.87612214212945</v>
      </c>
      <c r="N225" s="824">
        <f>IF(Sheet1!DA223&gt;=F225,MIN(113*CFStoMGD,MIN(MAX(L225,0),MAX(M225,0))),0)</f>
        <v>73.043199999999999</v>
      </c>
      <c r="O225" s="538">
        <f>Sheet1!AA223+Sheet1!AB223</f>
        <v>107.58000000000001</v>
      </c>
      <c r="P225" s="538">
        <f t="shared" si="437"/>
        <v>166.42626000000001</v>
      </c>
      <c r="Q225" s="812">
        <f t="shared" si="539"/>
        <v>66.826881372390361</v>
      </c>
      <c r="R225" s="812">
        <f t="shared" si="508"/>
        <v>41</v>
      </c>
      <c r="S225" s="812">
        <f t="shared" si="509"/>
        <v>0</v>
      </c>
      <c r="T225" s="812">
        <f t="shared" si="510"/>
        <v>0</v>
      </c>
      <c r="U225" s="812">
        <f>IF(AND(B225&gt;=FV225,B225&lt;=FW225),ED225+Sheet1!EH223,0)</f>
        <v>40.753118627609652</v>
      </c>
      <c r="V225" s="812"/>
      <c r="W225" s="812">
        <f t="shared" si="511"/>
        <v>0</v>
      </c>
      <c r="X225" s="812">
        <f t="shared" si="512"/>
        <v>0</v>
      </c>
      <c r="Y225" s="812" t="str">
        <f t="shared" si="513"/>
        <v>FALSE</v>
      </c>
      <c r="Z225" s="812">
        <f t="shared" si="514"/>
        <v>107.58000000000001</v>
      </c>
      <c r="AA225" s="812">
        <f t="shared" si="515"/>
        <v>107.58000000000001</v>
      </c>
      <c r="AB225" s="1059">
        <f t="shared" si="540"/>
        <v>103.38118548308789</v>
      </c>
      <c r="AC225" s="538">
        <f>Sheet1!Y223*MGDtoCFS</f>
        <v>63.519820000000003</v>
      </c>
      <c r="AD225" s="538">
        <f>Sheet1!Z223*MGDtoCFS</f>
        <v>90.700609999999998</v>
      </c>
      <c r="AE225" s="538">
        <f>Sheet1!AA223*MGDtoCFS</f>
        <v>70.868070000000003</v>
      </c>
      <c r="AF225" s="538">
        <f>Sheet1!AB223*MGDtoCFS</f>
        <v>95.558189999999996</v>
      </c>
      <c r="AG225" s="538">
        <f>Sheet1!L223*MGDtoCFS</f>
        <v>0</v>
      </c>
      <c r="AH225" s="521">
        <f t="shared" si="438"/>
        <v>41.01902249554945</v>
      </c>
      <c r="AI225" s="1059">
        <f t="shared" si="439"/>
        <v>63.456427800614996</v>
      </c>
      <c r="AJ225" s="535">
        <f t="shared" si="440"/>
        <v>0</v>
      </c>
      <c r="AK225" s="535">
        <f t="shared" si="441"/>
        <v>0</v>
      </c>
      <c r="AL225" s="535">
        <f>(VLOOKUP(Sheet1!DC223,hhdcap_wcm,4)-(((VLOOKUP(Sheet1!DC223,hhdcap_wcm,3)-Sheet1!DC223)/(VLOOKUP(Sheet1!DC223,hhdcap_wcm,3)-VLOOKUP(Sheet1!DC223,hhdcap_wcm,1)))*(VLOOKUP(Sheet1!DC223,hhdcap_wcm,4)-VLOOKUP(Sheet1!DC223,hhdcap_wcm,2))))</f>
        <v>43234.100000106562</v>
      </c>
      <c r="AM225" s="535">
        <f t="shared" si="442"/>
        <v>-299.60000000023865</v>
      </c>
      <c r="AN225" s="1035">
        <f t="shared" si="443"/>
        <v>2506.9842201044944</v>
      </c>
      <c r="AO225" s="535">
        <f t="shared" si="444"/>
        <v>7691.4275872805893</v>
      </c>
      <c r="AP225" s="535">
        <f>Sheet1!BA223+Sheet1!BB223+Sheet1!BN223+CD225</f>
        <v>40.529999999999994</v>
      </c>
      <c r="AQ225" s="535">
        <f>Sheet1!BN223+(DO225*Sheet1!BN223)</f>
        <v>39.787117656578737</v>
      </c>
      <c r="AR225" s="535">
        <f>Sheet1!BA223+CD225</f>
        <v>0</v>
      </c>
      <c r="AS225" s="535">
        <f>Sheet1!BA223+Sheet1!BB223+CD225</f>
        <v>0.73</v>
      </c>
      <c r="AT225" s="649">
        <f>0</f>
        <v>0</v>
      </c>
      <c r="AU225" s="974">
        <f>BA225+MAX(Sheet1!EH223,(O225-Q225-ED225-S225))</f>
        <v>19.500000000000004</v>
      </c>
      <c r="AV225" s="535">
        <f>IF(OR(B225&gt;=GD225,B225&lt;GC225),0,15/36*K225-MAX(0,64.6-(137.6-(Sheet1!AA223+Sheet1!AB223))))</f>
        <v>0</v>
      </c>
      <c r="AW225" s="1029"/>
      <c r="AX225" s="649"/>
      <c r="AY225" s="649">
        <f t="shared" si="541"/>
        <v>0</v>
      </c>
      <c r="AZ225" s="649">
        <f t="shared" si="542"/>
        <v>0</v>
      </c>
      <c r="BA225" s="1059">
        <f t="shared" si="543"/>
        <v>0</v>
      </c>
      <c r="BB225" s="1019">
        <f t="shared" si="445"/>
        <v>1258.3333333333335</v>
      </c>
      <c r="BC225" s="1041">
        <f t="shared" si="544"/>
        <v>0</v>
      </c>
      <c r="BD225" s="1019">
        <f ca="1">IF(B225&gt;(Summary!$A$1-1),#N/A,BB225*MGtoAF)</f>
        <v>3860.5666666666671</v>
      </c>
      <c r="BE225" s="535">
        <f>Sheet1!BG223+Sheet1!BH223+Sheet1!BI223-BM225</f>
        <v>3.02</v>
      </c>
      <c r="BF225" s="535">
        <f t="shared" si="446"/>
        <v>3.019022495549442</v>
      </c>
      <c r="BG225" s="535">
        <f>IF(Sheet1!EP223="FM",BM225,0)</f>
        <v>0</v>
      </c>
      <c r="BH225" s="535">
        <f t="shared" si="447"/>
        <v>0</v>
      </c>
      <c r="BI225" s="535">
        <f>IF(Sheet1!EP223="OTHER",BM225,0)</f>
        <v>0</v>
      </c>
      <c r="BJ225" s="535">
        <f t="shared" si="448"/>
        <v>0</v>
      </c>
      <c r="BK225" s="535">
        <f t="shared" si="449"/>
        <v>3.02</v>
      </c>
      <c r="BL225" s="535">
        <f t="shared" si="450"/>
        <v>3.019022495549442</v>
      </c>
      <c r="BM225" s="535">
        <f>IF(OR(Sheet1!EP223="FM", Sheet1!EP223="OTHER"),SUM(Sheet1!BG223:'Sheet1'!BI223),0)</f>
        <v>0</v>
      </c>
      <c r="BN225" s="521">
        <f>IF(AND($B225&gt;=$FV225,$B225&lt;=$FW225),MAX(BF225,Sheet1!EI223,0),MAX(BF225-(7/36)*$K225,0))</f>
        <v>3.019022495549442</v>
      </c>
      <c r="BO225" s="535">
        <f t="shared" si="497"/>
        <v>0</v>
      </c>
      <c r="BP225" s="521">
        <f t="shared" si="452"/>
        <v>0</v>
      </c>
      <c r="BQ225" s="521">
        <f>IF(AND($O225&gt;0,Sheet1!EM223=1),(1-($O225-Sheet1!$L223)/$O225)*BL225,0)</f>
        <v>0</v>
      </c>
      <c r="BR225" s="521">
        <f>IF(AND(Sheet1!$L223=0,Sheet1!$L222=0, Calculation!BK225&lt;Sheet1!$EI223-0.1,Sheet1!$EI223=Sheet1!$EI222,Sheet1!$EI223=Sheet1!$EI224),BL225-BQ225,BL225-BQ225)</f>
        <v>3.019022495549442</v>
      </c>
      <c r="BS225" s="1035" t="str">
        <f t="shared" si="545"/>
        <v/>
      </c>
      <c r="BT225" s="1035">
        <f t="shared" si="546"/>
        <v>0</v>
      </c>
      <c r="BU225" s="535">
        <f t="shared" si="453"/>
        <v>548.81255834340516</v>
      </c>
      <c r="BV225" s="535"/>
      <c r="BW225" s="535">
        <f ca="1">IF(B225&gt;(Summary!$A$1-1),#N/A,BU225*MGtoAF)</f>
        <v>1683.756928997567</v>
      </c>
      <c r="BX225" s="535">
        <f>Sheet1!BC223+Sheet1!BD223+Sheet1!BE223+Sheet1!BF223-CG225-CH225</f>
        <v>6.7700000000000005</v>
      </c>
      <c r="BY225" s="535">
        <f t="shared" si="454"/>
        <v>6.7678087069105048</v>
      </c>
      <c r="BZ225" s="535">
        <f>IF(Sheet1!EQ223="FM",CH225,0)</f>
        <v>0</v>
      </c>
      <c r="CA225" s="535">
        <f t="shared" si="455"/>
        <v>0</v>
      </c>
      <c r="CB225" s="535">
        <f>IF(Sheet1!EQ223="OTHER",CH225,0)</f>
        <v>0</v>
      </c>
      <c r="CC225" s="535">
        <f t="shared" si="456"/>
        <v>0</v>
      </c>
      <c r="CD225" s="535">
        <f t="shared" si="457"/>
        <v>0</v>
      </c>
      <c r="CE225" s="535">
        <f t="shared" si="458"/>
        <v>6.7700000000000005</v>
      </c>
      <c r="CF225" s="535">
        <f t="shared" si="459"/>
        <v>6.7678087069105048</v>
      </c>
      <c r="CG225" s="535">
        <f>IF(Sheet1!EQ223="CWA",SUM(Sheet1!BC223:'Sheet1'!BF223),0)</f>
        <v>0</v>
      </c>
      <c r="CH225" s="535">
        <f>IF(OR(Sheet1!EQ223="FM", Sheet1!EQ223="OTHER"),SUM(Sheet1!BC223:'Sheet1'!BF223),0)</f>
        <v>0</v>
      </c>
      <c r="CI225" s="521">
        <f>IF(AND($B225&gt;=$FV225,$B225&lt;=$FW225),MAX(CF225,Sheet1!EJ223,0),MAX(CF225-(7/36)*$K225,0))</f>
        <v>7</v>
      </c>
      <c r="CJ225" s="535">
        <f t="shared" si="499"/>
        <v>0</v>
      </c>
      <c r="CK225" s="521">
        <f t="shared" si="461"/>
        <v>0</v>
      </c>
      <c r="CL225" s="521">
        <f>IF(AND($O225&gt;0,Sheet1!EN223=1),(1-($O225-Sheet1!$L223)/$O225)*CF225,0)</f>
        <v>0</v>
      </c>
      <c r="CM225" s="521">
        <f>IF(AND(Sheet1!$L223=0,Sheet1!$L222=0, Calculation!CE225&lt;Sheet1!EJ223-0.1,Sheet1!EJ223=Sheet1!EJ222,Sheet1!EJ223=Sheet1!EJ224),CF225-CL225,CF225-CL225)</f>
        <v>6.7678087069105048</v>
      </c>
      <c r="CN225" s="1040" t="str">
        <f t="shared" si="547"/>
        <v/>
      </c>
      <c r="CO225" s="1035">
        <f t="shared" si="548"/>
        <v>0</v>
      </c>
      <c r="CP225" s="535">
        <f t="shared" si="462"/>
        <v>417.37482335490836</v>
      </c>
      <c r="CQ225" s="535"/>
      <c r="CR225" s="535">
        <f ca="1">IF(B225&gt;(Summary!$A$1-1),#N/A,CP225*MGtoAF)</f>
        <v>1280.5059580528589</v>
      </c>
      <c r="CS225" s="535">
        <f>Sheet1!BK223+Sheet1!BL223+Sheet1!BM223-Sheet1!ER223-DA225</f>
        <v>11.469999999999999</v>
      </c>
      <c r="CT225" s="535">
        <f t="shared" si="463"/>
        <v>11.466287425149702</v>
      </c>
      <c r="CU225" s="535">
        <f>IF(Sheet1!ER223="FM",DA225,0)</f>
        <v>0</v>
      </c>
      <c r="CV225" s="535">
        <f t="shared" si="464"/>
        <v>0</v>
      </c>
      <c r="CW225" s="535">
        <f>IF(Sheet1!ER223="OTHER",DA225,0)</f>
        <v>0</v>
      </c>
      <c r="CX225" s="535">
        <f t="shared" si="465"/>
        <v>0</v>
      </c>
      <c r="CY225" s="535">
        <f t="shared" si="466"/>
        <v>11.469999999999999</v>
      </c>
      <c r="CZ225" s="535">
        <f t="shared" si="467"/>
        <v>11.466287425149702</v>
      </c>
      <c r="DA225" s="535">
        <f>IF(OR(Sheet1!ER223="FM", Sheet1!ER223="OTHER"),SUM(Sheet1!BK223:'Sheet1'!BM223),0)</f>
        <v>0</v>
      </c>
      <c r="DB225" s="1011">
        <f>IF(AND($B225&gt;=$FV225,$B225&lt;=$FW225),MAX($CT225,Sheet1!EK223,0),MAX($CT225-(7/36)*$K225,0))</f>
        <v>11.5</v>
      </c>
      <c r="DC225" s="1012">
        <f t="shared" si="498"/>
        <v>0</v>
      </c>
      <c r="DD225" s="1011">
        <f t="shared" si="469"/>
        <v>0</v>
      </c>
      <c r="DE225" s="521">
        <f>IF(AND($O225&gt;0,Sheet1!EO223=1),(1-($O225-Sheet1!$L223)/$O225)*CZ225,0)</f>
        <v>0</v>
      </c>
      <c r="DF225" s="521">
        <f>IF(AND(Sheet1!$L223=0,Sheet1!$L222=0, Calculation!CY225&lt;Sheet1!$EK223-0.1,Sheet1!$EK223=Sheet1!$EK222,Sheet1!$EK223=Sheet1!$EK224),CZ225-DE225,CZ225-DE225)</f>
        <v>11.466287425149702</v>
      </c>
      <c r="DG225" s="1040">
        <f t="shared" si="549"/>
        <v>0</v>
      </c>
      <c r="DH225" s="649">
        <f t="shared" si="470"/>
        <v>21.259999999999998</v>
      </c>
      <c r="DI225" s="535">
        <f t="shared" si="471"/>
        <v>282.463505072847</v>
      </c>
      <c r="DJ225" s="649">
        <f t="shared" si="472"/>
        <v>21.253118627609648</v>
      </c>
      <c r="DK225" s="535">
        <f ca="1">IF(B225&gt;(Summary!$A$1-1),#N/A,DI225*MGtoAF)</f>
        <v>866.5980335634946</v>
      </c>
      <c r="DL225" s="649">
        <f t="shared" si="473"/>
        <v>21.259999999999998</v>
      </c>
      <c r="DM225" s="535">
        <f t="shared" si="474"/>
        <v>61.789999999999992</v>
      </c>
      <c r="DN225" s="535">
        <f>Sheet1!AB223-DM225</f>
        <v>-1.9999999999988916E-2</v>
      </c>
      <c r="DO225" s="743">
        <f t="shared" si="475"/>
        <v>-3.2367697038337788E-4</v>
      </c>
      <c r="DP225" s="535">
        <f>(VLOOKUP(Sheet1!DC223,hhdcap_wcm,4)-(((VLOOKUP(Sheet1!DC223,hhdcap_wcm,3)-Sheet1!DC223)/(VLOOKUP(Sheet1!DC223,hhdcap_wcm,3)-VLOOKUP(Sheet1!DC223,hhdcap_wcm,1)))*(VLOOKUP(Sheet1!DC223,hhdcap_wcm,4)-VLOOKUP(Sheet1!DC223,hhdcap_wcm,2))))</f>
        <v>43234.100000106562</v>
      </c>
      <c r="DQ225" s="535">
        <f t="shared" si="476"/>
        <v>-299.60000000023865</v>
      </c>
      <c r="DR225" s="535">
        <f t="shared" si="477"/>
        <v>-151.08421583471437</v>
      </c>
      <c r="DS225" s="535">
        <f>Sheet1!EA223*AFtoMG</f>
        <v>0</v>
      </c>
      <c r="DT225" s="535">
        <f>Sheet1!EB223*AFtoMG</f>
        <v>0</v>
      </c>
      <c r="DU225" s="535">
        <f>Sheet1!EC223*AFtoMG</f>
        <v>0</v>
      </c>
      <c r="DV225" s="535">
        <f>Sheet1!ED223*AFtoMG</f>
        <v>0</v>
      </c>
      <c r="DW225" s="535">
        <f t="shared" si="478"/>
        <v>0</v>
      </c>
      <c r="DX225" s="535">
        <f t="shared" si="479"/>
        <v>0</v>
      </c>
      <c r="DY225" s="535">
        <f t="shared" si="480"/>
        <v>2506.9842201044944</v>
      </c>
      <c r="DZ225" s="535">
        <f t="shared" si="481"/>
        <v>7691.4275872805893</v>
      </c>
      <c r="EA225" s="535"/>
      <c r="EB225" s="521">
        <f>IF(OR(B225&lt;FV225,B225&gt;FW225),(MIN(BF225+BY225+CT225+MAX(Sheet1!AA223+AQ225-73,0),K225)),0)</f>
        <v>0</v>
      </c>
      <c r="EC225" s="535"/>
      <c r="ED225" s="535">
        <f t="shared" si="482"/>
        <v>21.253118627609648</v>
      </c>
      <c r="EE225" s="535"/>
      <c r="EF225" s="535">
        <f>Sheet1!EH223+Sheet1!EI223+Sheet1!EJ223+Sheet1!EK223</f>
        <v>41</v>
      </c>
      <c r="EG225" s="1019">
        <f t="shared" si="550"/>
        <v>63.427</v>
      </c>
      <c r="EH225" s="521">
        <f t="shared" si="483"/>
        <v>0</v>
      </c>
      <c r="EI225" s="535">
        <f>IF(Sheet1!ET223=1,SUM('Calculations II'!AT225:BA225)+'Calculations II'!BC225+Sheet1!BV223+'Calculations II'!BE225+AP225,'Calculations II'!BK225)</f>
        <v>90.955015656578738</v>
      </c>
      <c r="EJ225" s="535">
        <f ca="1">EI225+'Calculations II'!D225+'Calculations II'!E225+'Calculations II'!O225</f>
        <v>93.427064847366893</v>
      </c>
      <c r="EK225" s="535"/>
      <c r="EL225" s="535"/>
      <c r="EM225" s="535">
        <f t="shared" si="484"/>
        <v>42949</v>
      </c>
      <c r="EN225" s="535">
        <f t="shared" si="485"/>
        <v>-41.01902249554945</v>
      </c>
      <c r="EO225" s="535">
        <f t="shared" si="486"/>
        <v>-63.456427800614996</v>
      </c>
      <c r="EP225" s="535">
        <v>0</v>
      </c>
      <c r="EQ225" s="535">
        <v>0</v>
      </c>
      <c r="ER225" s="535">
        <v>0</v>
      </c>
      <c r="ES225" s="521">
        <f t="shared" si="516"/>
        <v>-1.2461387024474742</v>
      </c>
      <c r="ET225" s="535">
        <f>-(VLOOKUP(Sheet1!BQ223,Lookup!$O$4:$Q$262,2)-VLOOKUP(Sheet1!BQ222,Lookup!$O$4:$Q$262,2))/1000000</f>
        <v>-0.55374686845194176</v>
      </c>
      <c r="EU225" s="535">
        <f>-(VLOOKUP(Sheet1!BR223,Lookup!$O$4:$Q$262,3)-VLOOKUP(Sheet1!BR222,Lookup!$O$4:$Q$262,3))/1000000</f>
        <v>-0.69239183399553228</v>
      </c>
      <c r="EV225" s="535"/>
      <c r="EW225" s="535"/>
      <c r="EX225" s="535"/>
      <c r="EY225" s="535"/>
      <c r="EZ225" s="535"/>
      <c r="FA225" s="535"/>
      <c r="FB225" s="535"/>
      <c r="FC225" s="535"/>
      <c r="FD225" s="567">
        <f t="shared" si="504"/>
        <v>1136.5882352940407</v>
      </c>
      <c r="FE225" s="567" t="e">
        <f t="shared" si="488"/>
        <v>#N/A</v>
      </c>
      <c r="FF225" s="568" t="e">
        <f t="shared" si="489"/>
        <v>#N/A</v>
      </c>
      <c r="FG225" s="569" t="s">
        <v>656</v>
      </c>
      <c r="FH225" s="569" t="s">
        <v>656</v>
      </c>
      <c r="FI225" s="567" t="e">
        <v>#N/A</v>
      </c>
      <c r="FJ225" s="725">
        <v>20732</v>
      </c>
      <c r="FK225" s="535"/>
      <c r="FL225" s="1015">
        <f t="shared" si="503"/>
        <v>84.720121028744316</v>
      </c>
      <c r="FM225" s="535"/>
      <c r="FN225" s="535"/>
      <c r="FO225" s="535">
        <f>O225+((Sheet1!CS223)*GPMtoMGD)</f>
        <v>112.32163200000001</v>
      </c>
      <c r="FP225" s="535">
        <f>IF(Sheet1!AA223+AQ225&lt;=Calculation!N225,AQ225,Calculation!N225-Sheet1!AA223)</f>
        <v>27.233199999999997</v>
      </c>
      <c r="FQ225" s="535">
        <f>(Sheet1!BP223+Sheet1!BO223)/694.4</f>
        <v>4.7923387096774199</v>
      </c>
      <c r="FR225" s="541"/>
      <c r="FS225" s="541"/>
      <c r="FT225" s="541"/>
      <c r="FU225" s="541"/>
      <c r="FV225" s="1109">
        <f t="shared" si="517"/>
        <v>42918</v>
      </c>
      <c r="FW225" s="1109">
        <f t="shared" si="518"/>
        <v>43027</v>
      </c>
      <c r="FX225" s="541"/>
      <c r="FY225" s="541">
        <f>Sheet1!DA223-Sheet1!CZ223-Sheet1!AE223</f>
        <v>-195.42626000000001</v>
      </c>
      <c r="FZ225" s="535">
        <f t="shared" si="551"/>
        <v>-1.0236254736842996</v>
      </c>
      <c r="GA225" s="535"/>
      <c r="GB225" s="535" t="str">
        <f t="shared" si="519"/>
        <v>n</v>
      </c>
      <c r="GC225" s="539">
        <f t="shared" si="520"/>
        <v>42782</v>
      </c>
      <c r="GD225" s="1109">
        <f t="shared" si="521"/>
        <v>42904</v>
      </c>
      <c r="GE225" s="535">
        <f t="shared" si="537"/>
        <v>6520</v>
      </c>
      <c r="GF225" s="1109">
        <f t="shared" si="522"/>
        <v>42909</v>
      </c>
      <c r="GG225" s="535">
        <f t="shared" si="564"/>
        <v>3260</v>
      </c>
      <c r="GH225" s="539">
        <f t="shared" si="523"/>
        <v>43040</v>
      </c>
      <c r="GJ225" s="521">
        <f t="shared" si="524"/>
        <v>0</v>
      </c>
      <c r="GK225" s="535" t="str">
        <f t="shared" si="490"/>
        <v/>
      </c>
      <c r="GL225" s="535">
        <f t="shared" si="525"/>
        <v>0</v>
      </c>
      <c r="GM225" s="535" t="str">
        <f t="shared" si="526"/>
        <v/>
      </c>
      <c r="GN225" s="535">
        <f>IF(GK225="P",Lookup!$M$12,IF(GK225="PP",Lookup!$M$13,IF(GK225="PPP",Lookup!$M$14,IF(GK225="T",Lookup!$M$15,IF(GK225="TP",Lookup!$M$16,IF(GK225="TPP",Lookup!$M$17,IF(GK225="TPPP",Lookup!$M$18,0)))))))*GJ225</f>
        <v>0</v>
      </c>
      <c r="GO225" s="535">
        <f t="shared" si="527"/>
        <v>0</v>
      </c>
      <c r="GP225" s="535">
        <f t="shared" si="491"/>
        <v>3860.5666666666671</v>
      </c>
      <c r="GQ225" s="974">
        <f t="shared" si="500"/>
        <v>1258.3333333333335</v>
      </c>
      <c r="GR225" s="535"/>
      <c r="GS225" s="535">
        <f t="shared" si="528"/>
        <v>0</v>
      </c>
      <c r="GT225" s="535" t="str">
        <f t="shared" si="529"/>
        <v/>
      </c>
      <c r="GU225" s="535">
        <f>IF(GK225="P",Lookup!$N$12,IF(GK225="PP",Lookup!$N$13,IF(GK225="PPP",Lookup!$N$14,IF(GK225="T",Lookup!$N$15,IF(GK225="TP",Lookup!$N$16,IF(GK225="TPP",Lookup!$N$17,IF(GK225="TPPP",Lookup!$N$18,0)))))))*GJ225</f>
        <v>0</v>
      </c>
      <c r="GV225" s="535">
        <f t="shared" si="530"/>
        <v>0</v>
      </c>
      <c r="GW225" s="535">
        <f t="shared" si="492"/>
        <v>1683.756928997567</v>
      </c>
      <c r="GX225" s="974">
        <f t="shared" si="501"/>
        <v>548.81255834340516</v>
      </c>
      <c r="GY225" s="535"/>
      <c r="GZ225" s="535">
        <f t="shared" si="531"/>
        <v>0</v>
      </c>
      <c r="HA225" s="535" t="str">
        <f t="shared" si="532"/>
        <v/>
      </c>
      <c r="HB225" s="535">
        <f>IF(GK225="P",Lookup!$N$12,IF(GK225="PP",Lookup!$N$13,IF(GK225="PPP",Lookup!$N$14,IF(GK225="T",Lookup!$N$15,IF(GK225="TP",Lookup!$N$16,IF(GK225="TPP",Lookup!$N$17,IF(GK225="TPPP",Lookup!$N$18,0)))))))*GJ225</f>
        <v>0</v>
      </c>
      <c r="HC225" s="521">
        <f t="shared" si="493"/>
        <v>0</v>
      </c>
      <c r="HD225" s="535">
        <f t="shared" si="494"/>
        <v>1280.5059580528589</v>
      </c>
      <c r="HE225" s="535">
        <f t="shared" si="535"/>
        <v>417.37482335490836</v>
      </c>
      <c r="HF225" s="535"/>
      <c r="HG225" s="535">
        <f t="shared" si="533"/>
        <v>0</v>
      </c>
      <c r="HH225" s="535" t="str">
        <f t="shared" si="534"/>
        <v/>
      </c>
      <c r="HI225" s="535">
        <f>IF(GK225="P",Lookup!$N$12,IF(GK225="PP",Lookup!$N$13,IF(GK225="PPP",Lookup!$N$14,IF(GK225="T",Lookup!$N$15,IF(GK225="TP",Lookup!$N$16,IF(GK225="TPP",Lookup!$N$17,IF(GK225="TPPP",Lookup!$N$18,0)))))))*GJ225</f>
        <v>0</v>
      </c>
      <c r="HJ225" s="521">
        <f t="shared" si="495"/>
        <v>0</v>
      </c>
      <c r="HK225" s="535">
        <f t="shared" si="496"/>
        <v>866.5980335634946</v>
      </c>
      <c r="HL225" s="535">
        <f t="shared" si="536"/>
        <v>282.463505072847</v>
      </c>
      <c r="HM225" s="535"/>
      <c r="HN225" s="541"/>
      <c r="HO225" s="541"/>
      <c r="HP225" s="541"/>
      <c r="HQ225" s="541">
        <f>IF(AND(B225&gt;=$FV$4,B225&lt;=$FW$4),MAX(110/1.02+$HQ$6+MIN(113/1.02,G225),IF($HV$6-(Sheet1!DA223-Sheet1!DB223)+MIN(113/1.02,G225)&lt;G225+FL225,$HV$6-(Sheet1!DA223-Sheet1!DB223)+MIN(113/1.02,G225),G225+FL225)),MIN(110/1.02+$HQ$6+113/1.02,G225))</f>
        <v>243.78431372549019</v>
      </c>
      <c r="HR225" s="541">
        <f t="shared" si="552"/>
        <v>248.66</v>
      </c>
      <c r="HS225" s="541">
        <f>HR225+(Sheet1!DA223-Sheet1!DB223)</f>
        <v>380.65999999999997</v>
      </c>
      <c r="HT225" s="541">
        <f t="shared" si="553"/>
        <v>103.38118548308789</v>
      </c>
      <c r="HU225" s="541">
        <f t="shared" si="554"/>
        <v>277.27881451691206</v>
      </c>
      <c r="HV225" s="541">
        <f t="shared" si="555"/>
        <v>0</v>
      </c>
      <c r="HW225" s="533" t="str">
        <f t="shared" si="556"/>
        <v/>
      </c>
      <c r="HX225" s="541">
        <f t="shared" si="557"/>
        <v>34.759258473894789</v>
      </c>
      <c r="HY225" s="541">
        <f>Sheet1!CZ223</f>
        <v>342</v>
      </c>
      <c r="HZ225" s="541">
        <f t="shared" si="558"/>
        <v>63.456427800614996</v>
      </c>
      <c r="IA225" s="541">
        <f t="shared" si="559"/>
        <v>103.38118548308789</v>
      </c>
      <c r="IB225" s="541">
        <f t="shared" si="560"/>
        <v>278.54357219938498</v>
      </c>
      <c r="IC225" s="1019" t="str">
        <f t="shared" si="561"/>
        <v/>
      </c>
      <c r="ID225" s="541">
        <f t="shared" si="562"/>
        <v>175.16238671629708</v>
      </c>
      <c r="IE225" s="541">
        <f>Sheet1!DB223</f>
        <v>181</v>
      </c>
      <c r="IF225" s="533">
        <f>Sheet1!DA223</f>
        <v>313</v>
      </c>
      <c r="IH225" s="541">
        <f>IF(AND($B225&gt;=$GC225,$B225&lt;=$GH225,$DR225&lt;0)+N("only adjusted when pool is drawn down during storage season"),Sheet1!$DB223+$DR225+N("Palmer minus all storage release"),Sheet1!$DB223)</f>
        <v>29.915784165285629</v>
      </c>
      <c r="II225" s="541">
        <f>IF(AND($B225&gt;=$GC225,$B225&lt;=$GH225,$DR225&lt;0)+N("only adjusted when pool is drawn down during storage season"),Sheet1!$DA223+$DR225+N("Auburn minus all storage release"),Sheet1!$DA223)</f>
        <v>161.91578416528563</v>
      </c>
    </row>
    <row r="226" spans="1:243" x14ac:dyDescent="0.25">
      <c r="A226" s="553" t="s">
        <v>7</v>
      </c>
      <c r="B226" s="531">
        <v>42950</v>
      </c>
      <c r="C226" s="536">
        <v>0</v>
      </c>
      <c r="D226" s="506">
        <f t="shared" si="506"/>
        <v>200</v>
      </c>
      <c r="E226" s="506">
        <f t="shared" si="507"/>
        <v>400</v>
      </c>
      <c r="F226" s="506">
        <v>250</v>
      </c>
      <c r="G226" s="535">
        <f>DR226+Sheet1!CZ224</f>
        <v>187.91578416528196</v>
      </c>
      <c r="H226" s="1074">
        <f t="shared" si="563"/>
        <v>0</v>
      </c>
      <c r="I226" s="534">
        <f>IF(Sheet1!DA224&gt;=E226,(Sheet1!DA224-E226+P226)*CFStoMGD,0)</f>
        <v>0</v>
      </c>
      <c r="J226" s="995">
        <f>IF(Sheet1!DB224&gt;=D226,(Sheet1!DB224-D226+P226)*CFStoMGD,0)</f>
        <v>111.59121875199999</v>
      </c>
      <c r="K226" s="818">
        <f t="shared" si="538"/>
        <v>0</v>
      </c>
      <c r="L226" s="535">
        <f>Sheet1!AA224+Sheet1!AB224-Sheet1!L224+(Sheet1!DA224-F226)*CFStoMGD-S226-T226-U226</f>
        <v>102.85793254086181</v>
      </c>
      <c r="M226" s="535">
        <f t="shared" si="436"/>
        <v>123.89813814212702</v>
      </c>
      <c r="N226" s="824">
        <f>IF(Sheet1!DA224&gt;=F226,MIN(113*CFStoMGD,MIN(MAX(L226,0),MAX(M226,0))),0)</f>
        <v>73.043199999999999</v>
      </c>
      <c r="O226" s="538">
        <f>Sheet1!AA224+Sheet1!AB224</f>
        <v>103.19</v>
      </c>
      <c r="P226" s="538">
        <f t="shared" si="437"/>
        <v>159.63493</v>
      </c>
      <c r="Q226" s="812">
        <f t="shared" si="539"/>
        <v>62.134732540861812</v>
      </c>
      <c r="R226" s="812">
        <f t="shared" si="508"/>
        <v>41</v>
      </c>
      <c r="S226" s="812">
        <f t="shared" si="509"/>
        <v>0</v>
      </c>
      <c r="T226" s="812">
        <f t="shared" si="510"/>
        <v>0</v>
      </c>
      <c r="U226" s="812">
        <f>IF(AND(B226&gt;=FV226,B226&lt;=FW226),ED226+Sheet1!EH224,0)</f>
        <v>41.055267459138186</v>
      </c>
      <c r="V226" s="812"/>
      <c r="W226" s="812">
        <f t="shared" si="511"/>
        <v>0</v>
      </c>
      <c r="X226" s="812">
        <f t="shared" si="512"/>
        <v>0</v>
      </c>
      <c r="Y226" s="812" t="str">
        <f t="shared" si="513"/>
        <v>FALSE</v>
      </c>
      <c r="Z226" s="812">
        <f t="shared" si="514"/>
        <v>103.19</v>
      </c>
      <c r="AA226" s="812">
        <f t="shared" si="515"/>
        <v>103.19</v>
      </c>
      <c r="AB226" s="1059">
        <f t="shared" si="540"/>
        <v>96.122431240713212</v>
      </c>
      <c r="AC226" s="538">
        <f>Sheet1!Y224*MGDtoCFS</f>
        <v>70.868070000000003</v>
      </c>
      <c r="AD226" s="538">
        <f>Sheet1!Z224*MGDtoCFS</f>
        <v>95.558189999999996</v>
      </c>
      <c r="AE226" s="538">
        <f>Sheet1!AA224*MGDtoCFS</f>
        <v>75.818469999999991</v>
      </c>
      <c r="AF226" s="538">
        <f>Sheet1!AB224*MGDtoCFS</f>
        <v>83.816459999999992</v>
      </c>
      <c r="AG226" s="538">
        <f>Sheet1!L224*MGDtoCFS</f>
        <v>0</v>
      </c>
      <c r="AH226" s="521">
        <f t="shared" si="438"/>
        <v>41.073213224368502</v>
      </c>
      <c r="AI226" s="1059">
        <f t="shared" si="439"/>
        <v>63.540260858098073</v>
      </c>
      <c r="AJ226" s="535">
        <f t="shared" si="440"/>
        <v>0</v>
      </c>
      <c r="AK226" s="535">
        <f t="shared" si="441"/>
        <v>0</v>
      </c>
      <c r="AL226" s="535">
        <f>(VLOOKUP(Sheet1!DC224,hhdcap_wcm,4)-(((VLOOKUP(Sheet1!DC224,hhdcap_wcm,3)-Sheet1!DC224)/(VLOOKUP(Sheet1!DC224,hhdcap_wcm,3)-VLOOKUP(Sheet1!DC224,hhdcap_wcm,1)))*(VLOOKUP(Sheet1!DC224,hhdcap_wcm,4)-VLOOKUP(Sheet1!DC224,hhdcap_wcm,2))))</f>
        <v>42934.500000106316</v>
      </c>
      <c r="AM226" s="535">
        <f t="shared" si="442"/>
        <v>-299.60000000024593</v>
      </c>
      <c r="AN226" s="1035">
        <f t="shared" si="443"/>
        <v>2465.9110068801256</v>
      </c>
      <c r="AO226" s="535">
        <f t="shared" si="444"/>
        <v>7565.4149691082257</v>
      </c>
      <c r="AP226" s="535">
        <f>Sheet1!BA224+Sheet1!BB224+Sheet1!BN224+CD226</f>
        <v>32.42</v>
      </c>
      <c r="AQ226" s="535">
        <f>Sheet1!BN224+(DO226*Sheet1!BN224)</f>
        <v>31.900185735512625</v>
      </c>
      <c r="AR226" s="535">
        <f>Sheet1!BA224+CD226</f>
        <v>0</v>
      </c>
      <c r="AS226" s="535">
        <f>Sheet1!BA224+Sheet1!BB224+CD226</f>
        <v>0.72</v>
      </c>
      <c r="AT226" s="649">
        <f>0</f>
        <v>0</v>
      </c>
      <c r="AU226" s="974">
        <f>BA226+MAX(Sheet1!EH224,(O226-Q226-ED226-S226))</f>
        <v>19.5</v>
      </c>
      <c r="AV226" s="535">
        <f>IF(OR(B226&gt;=GD226,B226&lt;GC226),0,15/36*K226-MAX(0,64.6-(137.6-(Sheet1!AA224+Sheet1!AB224))))</f>
        <v>0</v>
      </c>
      <c r="AW226" s="1029"/>
      <c r="AX226" s="649"/>
      <c r="AY226" s="649">
        <f t="shared" si="541"/>
        <v>0</v>
      </c>
      <c r="AZ226" s="649">
        <f t="shared" si="542"/>
        <v>0</v>
      </c>
      <c r="BA226" s="1059">
        <f t="shared" si="543"/>
        <v>0</v>
      </c>
      <c r="BB226" s="1019">
        <f t="shared" si="445"/>
        <v>1238.8333333333335</v>
      </c>
      <c r="BC226" s="1041">
        <f t="shared" si="544"/>
        <v>0</v>
      </c>
      <c r="BD226" s="1019">
        <f ca="1">IF(B226&gt;(Summary!$A$1-1),#N/A,BB226*MGtoAF)</f>
        <v>3800.740666666667</v>
      </c>
      <c r="BE226" s="535">
        <f>Sheet1!BG224+Sheet1!BH224+Sheet1!BI224-BM226</f>
        <v>3.02</v>
      </c>
      <c r="BF226" s="535">
        <f t="shared" si="446"/>
        <v>3.0390713224368495</v>
      </c>
      <c r="BG226" s="535">
        <f>IF(Sheet1!EP224="FM",BM226,0)</f>
        <v>0</v>
      </c>
      <c r="BH226" s="535">
        <f t="shared" si="447"/>
        <v>0</v>
      </c>
      <c r="BI226" s="535">
        <f>IF(Sheet1!EP224="OTHER",BM226,0)</f>
        <v>0</v>
      </c>
      <c r="BJ226" s="535">
        <f t="shared" si="448"/>
        <v>0</v>
      </c>
      <c r="BK226" s="535">
        <f t="shared" si="449"/>
        <v>3.02</v>
      </c>
      <c r="BL226" s="535">
        <f t="shared" si="450"/>
        <v>3.0390713224368495</v>
      </c>
      <c r="BM226" s="535">
        <f>IF(OR(Sheet1!EP224="FM", Sheet1!EP224="OTHER"),SUM(Sheet1!BG224:'Sheet1'!BI224),0)</f>
        <v>0</v>
      </c>
      <c r="BN226" s="521">
        <f>IF(AND($B226&gt;=$FV226,$B226&lt;=$FW226),MAX(BF226,Sheet1!EI224,0),MAX(BF226-(7/36)*$K226,0))</f>
        <v>3.0390713224368495</v>
      </c>
      <c r="BO226" s="535">
        <f t="shared" si="497"/>
        <v>0</v>
      </c>
      <c r="BP226" s="521">
        <f t="shared" si="452"/>
        <v>0</v>
      </c>
      <c r="BQ226" s="521">
        <f>IF(AND($O226&gt;0,Sheet1!EM224=1),(1-($O226-Sheet1!$L224)/$O226)*BL226,0)</f>
        <v>0</v>
      </c>
      <c r="BR226" s="521">
        <f>IF(AND(Sheet1!$L224=0,Sheet1!$L223=0, Calculation!BK226&lt;Sheet1!$EI224-0.1,Sheet1!$EI224=Sheet1!$EI223,Sheet1!$EI224=Sheet1!$EI225),BL226-BQ226,BL226-BQ226)</f>
        <v>3.0390713224368495</v>
      </c>
      <c r="BS226" s="1035" t="str">
        <f t="shared" si="545"/>
        <v/>
      </c>
      <c r="BT226" s="1035">
        <f t="shared" si="546"/>
        <v>0</v>
      </c>
      <c r="BU226" s="535">
        <f t="shared" si="453"/>
        <v>545.77348702096833</v>
      </c>
      <c r="BV226" s="535"/>
      <c r="BW226" s="535">
        <f ca="1">IF(B226&gt;(Summary!$A$1-1),#N/A,BU226*MGtoAF)</f>
        <v>1674.4330581803308</v>
      </c>
      <c r="BX226" s="535">
        <f>Sheet1!BC224+Sheet1!BD224+Sheet1!BE224+Sheet1!BF224-CG226-CH226</f>
        <v>6.99</v>
      </c>
      <c r="BY226" s="535">
        <f t="shared" si="454"/>
        <v>7.0341419019316493</v>
      </c>
      <c r="BZ226" s="535">
        <f>IF(Sheet1!EQ224="FM",CH226,0)</f>
        <v>0</v>
      </c>
      <c r="CA226" s="535">
        <f t="shared" si="455"/>
        <v>0</v>
      </c>
      <c r="CB226" s="535">
        <f>IF(Sheet1!EQ224="OTHER",CH226,0)</f>
        <v>0</v>
      </c>
      <c r="CC226" s="535">
        <f t="shared" si="456"/>
        <v>0</v>
      </c>
      <c r="CD226" s="535">
        <f t="shared" si="457"/>
        <v>0</v>
      </c>
      <c r="CE226" s="535">
        <f t="shared" si="458"/>
        <v>6.99</v>
      </c>
      <c r="CF226" s="535">
        <f t="shared" si="459"/>
        <v>7.0341419019316493</v>
      </c>
      <c r="CG226" s="535">
        <f>IF(Sheet1!EQ224="CWA",SUM(Sheet1!BC224:'Sheet1'!BF224),0)</f>
        <v>0</v>
      </c>
      <c r="CH226" s="535">
        <f>IF(OR(Sheet1!EQ224="FM", Sheet1!EQ224="OTHER"),SUM(Sheet1!BC224:'Sheet1'!BF224),0)</f>
        <v>0</v>
      </c>
      <c r="CI226" s="521">
        <f>IF(AND($B226&gt;=$FV226,$B226&lt;=$FW226),MAX(CF226,Sheet1!EJ224,0),MAX(CF226-(7/36)*$K226,0))</f>
        <v>7.0341419019316493</v>
      </c>
      <c r="CJ226" s="535">
        <f t="shared" si="499"/>
        <v>0</v>
      </c>
      <c r="CK226" s="521">
        <f t="shared" si="461"/>
        <v>0</v>
      </c>
      <c r="CL226" s="521">
        <f>IF(AND($O226&gt;0,Sheet1!EN224=1),(1-($O226-Sheet1!$L224)/$O226)*CF226,0)</f>
        <v>0</v>
      </c>
      <c r="CM226" s="521">
        <f>IF(AND(Sheet1!$L224=0,Sheet1!$L223=0, Calculation!CE226&lt;Sheet1!EJ224-0.1,Sheet1!EJ224=Sheet1!EJ223,Sheet1!EJ224=Sheet1!EJ225),CF226-CL226,CF226-CL226)</f>
        <v>7.0341419019316493</v>
      </c>
      <c r="CN226" s="1040" t="str">
        <f t="shared" si="547"/>
        <v/>
      </c>
      <c r="CO226" s="1035">
        <f t="shared" si="548"/>
        <v>0</v>
      </c>
      <c r="CP226" s="535">
        <f t="shared" si="462"/>
        <v>410.3406814529767</v>
      </c>
      <c r="CQ226" s="535"/>
      <c r="CR226" s="535">
        <f ca="1">IF(B226&gt;(Summary!$A$1-1),#N/A,CP226*MGtoAF)</f>
        <v>1258.9252106977326</v>
      </c>
      <c r="CS226" s="535">
        <f>Sheet1!BK224+Sheet1!BL224+Sheet1!BM224-Sheet1!ER224-DA226</f>
        <v>11.41</v>
      </c>
      <c r="CT226" s="535">
        <f t="shared" si="463"/>
        <v>11.482054234769688</v>
      </c>
      <c r="CU226" s="535">
        <f>IF(Sheet1!ER224="FM",DA226,0)</f>
        <v>0</v>
      </c>
      <c r="CV226" s="535">
        <f t="shared" si="464"/>
        <v>0</v>
      </c>
      <c r="CW226" s="535">
        <f>IF(Sheet1!ER224="OTHER",DA226,0)</f>
        <v>0</v>
      </c>
      <c r="CX226" s="535">
        <f t="shared" si="465"/>
        <v>0</v>
      </c>
      <c r="CY226" s="535">
        <f t="shared" si="466"/>
        <v>11.41</v>
      </c>
      <c r="CZ226" s="535">
        <f t="shared" si="467"/>
        <v>11.482054234769688</v>
      </c>
      <c r="DA226" s="535">
        <f>IF(OR(Sheet1!ER224="FM", Sheet1!ER224="OTHER"),SUM(Sheet1!BK224:'Sheet1'!BM224),0)</f>
        <v>0</v>
      </c>
      <c r="DB226" s="1011">
        <f>IF(AND($B226&gt;=$FV226,$B226&lt;=$FW226),MAX($CT226,Sheet1!EK224,0),MAX($CT226-(7/36)*$K226,0))</f>
        <v>11.5</v>
      </c>
      <c r="DC226" s="1012">
        <f t="shared" si="498"/>
        <v>0</v>
      </c>
      <c r="DD226" s="1011">
        <f t="shared" si="469"/>
        <v>0</v>
      </c>
      <c r="DE226" s="521">
        <f>IF(AND($O226&gt;0,Sheet1!EO224=1),(1-($O226-Sheet1!$L224)/$O226)*CZ226,0)</f>
        <v>0</v>
      </c>
      <c r="DF226" s="521">
        <f>IF(AND(Sheet1!$L224=0,Sheet1!$L223=0, Calculation!CY226&lt;Sheet1!$EK224-0.1,Sheet1!$EK224=Sheet1!$EK223,Sheet1!$EK224=Sheet1!$EK225),CZ226-DE226,CZ226-DE226)</f>
        <v>11.482054234769688</v>
      </c>
      <c r="DG226" s="1040">
        <f t="shared" si="549"/>
        <v>0</v>
      </c>
      <c r="DH226" s="649">
        <f t="shared" si="470"/>
        <v>21.42</v>
      </c>
      <c r="DI226" s="535">
        <f t="shared" si="471"/>
        <v>270.963505072847</v>
      </c>
      <c r="DJ226" s="649">
        <f t="shared" si="472"/>
        <v>21.555267459138186</v>
      </c>
      <c r="DK226" s="535">
        <f ca="1">IF(B226&gt;(Summary!$A$1-1),#N/A,DI226*MGtoAF)</f>
        <v>831.31603356349456</v>
      </c>
      <c r="DL226" s="649">
        <f t="shared" si="473"/>
        <v>21.419999999999998</v>
      </c>
      <c r="DM226" s="535">
        <f t="shared" si="474"/>
        <v>53.84</v>
      </c>
      <c r="DN226" s="535">
        <f>Sheet1!AB224-DM226</f>
        <v>0.33999999999999631</v>
      </c>
      <c r="DO226" s="743">
        <f t="shared" si="475"/>
        <v>6.3150074294204359E-3</v>
      </c>
      <c r="DP226" s="535">
        <f>(VLOOKUP(Sheet1!DC224,hhdcap_wcm,4)-(((VLOOKUP(Sheet1!DC224,hhdcap_wcm,3)-Sheet1!DC224)/(VLOOKUP(Sheet1!DC224,hhdcap_wcm,3)-VLOOKUP(Sheet1!DC224,hhdcap_wcm,1)))*(VLOOKUP(Sheet1!DC224,hhdcap_wcm,4)-VLOOKUP(Sheet1!DC224,hhdcap_wcm,2))))</f>
        <v>42934.500000106316</v>
      </c>
      <c r="DQ226" s="535">
        <f t="shared" si="476"/>
        <v>-299.60000000024593</v>
      </c>
      <c r="DR226" s="535">
        <f t="shared" si="477"/>
        <v>-151.08421583471804</v>
      </c>
      <c r="DS226" s="535">
        <f>Sheet1!EA224*AFtoMG</f>
        <v>0</v>
      </c>
      <c r="DT226" s="535">
        <f>Sheet1!EB224*AFtoMG</f>
        <v>0</v>
      </c>
      <c r="DU226" s="535">
        <f>Sheet1!EC224*AFtoMG</f>
        <v>0</v>
      </c>
      <c r="DV226" s="535">
        <f>Sheet1!ED224*AFtoMG</f>
        <v>0</v>
      </c>
      <c r="DW226" s="535">
        <f t="shared" si="478"/>
        <v>0</v>
      </c>
      <c r="DX226" s="535">
        <f t="shared" si="479"/>
        <v>0</v>
      </c>
      <c r="DY226" s="535">
        <f t="shared" si="480"/>
        <v>2465.9110068801256</v>
      </c>
      <c r="DZ226" s="535">
        <f t="shared" si="481"/>
        <v>7565.4149691082257</v>
      </c>
      <c r="EA226" s="535"/>
      <c r="EB226" s="521">
        <f>IF(OR(B226&lt;FV226,B226&gt;FW226),(MIN(BF226+BY226+CT226+MAX(Sheet1!AA224+AQ226-73,0),K226)),0)</f>
        <v>0</v>
      </c>
      <c r="EC226" s="535"/>
      <c r="ED226" s="535">
        <f t="shared" si="482"/>
        <v>21.555267459138186</v>
      </c>
      <c r="EE226" s="535"/>
      <c r="EF226" s="535">
        <f>Sheet1!EH224+Sheet1!EI224+Sheet1!EJ224+Sheet1!EK224</f>
        <v>41</v>
      </c>
      <c r="EG226" s="1019">
        <f t="shared" si="550"/>
        <v>63.427</v>
      </c>
      <c r="EH226" s="521">
        <f t="shared" si="483"/>
        <v>0</v>
      </c>
      <c r="EI226" s="535">
        <f>IF(Sheet1!ET224=1,SUM('Calculations II'!AT226:BA226)+'Calculations II'!BC226+Sheet1!BV224+'Calculations II'!BE226+AP226,'Calculations II'!BK226)</f>
        <v>86.019673735512626</v>
      </c>
      <c r="EJ226" s="535">
        <f ca="1">EI226+'Calculations II'!D226+'Calculations II'!E226+'Calculations II'!O226</f>
        <v>93.827017557212798</v>
      </c>
      <c r="EK226" s="535"/>
      <c r="EL226" s="535"/>
      <c r="EM226" s="535">
        <f t="shared" si="484"/>
        <v>42950</v>
      </c>
      <c r="EN226" s="535">
        <f t="shared" si="485"/>
        <v>-41.073213224368502</v>
      </c>
      <c r="EO226" s="535">
        <f t="shared" si="486"/>
        <v>-63.540260858098073</v>
      </c>
      <c r="EP226" s="535">
        <v>0</v>
      </c>
      <c r="EQ226" s="535">
        <v>0</v>
      </c>
      <c r="ER226" s="535">
        <v>0</v>
      </c>
      <c r="ES226" s="521">
        <f t="shared" si="516"/>
        <v>-7.8980868649193532</v>
      </c>
      <c r="ET226" s="535">
        <f>-(VLOOKUP(Sheet1!BQ224,Lookup!$O$4:$Q$262,2)-VLOOKUP(Sheet1!BQ223,Lookup!$O$4:$Q$262,2))/1000000</f>
        <v>-4.0177313508089521</v>
      </c>
      <c r="EU226" s="535">
        <f>-(VLOOKUP(Sheet1!BR224,Lookup!$O$4:$Q$262,3)-VLOOKUP(Sheet1!BR223,Lookup!$O$4:$Q$262,3))/1000000</f>
        <v>-3.8803555141104011</v>
      </c>
      <c r="EV226" s="535"/>
      <c r="EW226" s="535"/>
      <c r="EX226" s="535"/>
      <c r="EY226" s="535"/>
      <c r="EZ226" s="535"/>
      <c r="FA226" s="535"/>
      <c r="FB226" s="535"/>
      <c r="FC226" s="535"/>
      <c r="FD226" s="567">
        <f t="shared" si="504"/>
        <v>1136.4666666665898</v>
      </c>
      <c r="FE226" s="567" t="e">
        <f t="shared" si="488"/>
        <v>#N/A</v>
      </c>
      <c r="FF226" s="568" t="e">
        <f t="shared" si="489"/>
        <v>#N/A</v>
      </c>
      <c r="FG226" s="569" t="s">
        <v>656</v>
      </c>
      <c r="FH226" s="569" t="s">
        <v>656</v>
      </c>
      <c r="FI226" s="567" t="e">
        <v>#N/A</v>
      </c>
      <c r="FJ226" s="725">
        <v>20564</v>
      </c>
      <c r="FK226" s="535"/>
      <c r="FL226" s="1015">
        <f t="shared" ref="FL226:FL257" si="565">(FJ226-FJ227)/1.983</f>
        <v>84.720121028744316</v>
      </c>
      <c r="FM226" s="535"/>
      <c r="FN226" s="535"/>
      <c r="FO226" s="535">
        <f>O226+((Sheet1!CS224)*GPMtoMGD)</f>
        <v>114.24444800000001</v>
      </c>
      <c r="FP226" s="535">
        <f>IF(Sheet1!AA224+AQ226&lt;=Calculation!N226,AQ226,Calculation!N226-Sheet1!AA224)</f>
        <v>24.033200000000001</v>
      </c>
      <c r="FQ226" s="535">
        <f>(Sheet1!BP224+Sheet1!BO224)/694.4</f>
        <v>4.4589573732718897</v>
      </c>
      <c r="FR226" s="541"/>
      <c r="FS226" s="541"/>
      <c r="FT226" s="541"/>
      <c r="FU226" s="541"/>
      <c r="FV226" s="1109">
        <f t="shared" si="517"/>
        <v>42918</v>
      </c>
      <c r="FW226" s="1109">
        <f t="shared" si="518"/>
        <v>43027</v>
      </c>
      <c r="FX226" s="541"/>
      <c r="FY226" s="541">
        <f>Sheet1!DA224-Sheet1!CZ224-Sheet1!AE224</f>
        <v>-185.63493</v>
      </c>
      <c r="FZ226" s="535">
        <f t="shared" si="551"/>
        <v>-0.98786235985756343</v>
      </c>
      <c r="GA226" s="535"/>
      <c r="GB226" s="535" t="str">
        <f t="shared" si="519"/>
        <v>n</v>
      </c>
      <c r="GC226" s="539">
        <f t="shared" si="520"/>
        <v>42782</v>
      </c>
      <c r="GD226" s="1109">
        <f t="shared" si="521"/>
        <v>42904</v>
      </c>
      <c r="GE226" s="535">
        <f t="shared" si="537"/>
        <v>6520</v>
      </c>
      <c r="GF226" s="1109">
        <f t="shared" si="522"/>
        <v>42909</v>
      </c>
      <c r="GG226" s="535">
        <f t="shared" si="564"/>
        <v>3260</v>
      </c>
      <c r="GH226" s="539">
        <f t="shared" si="523"/>
        <v>43040</v>
      </c>
      <c r="GJ226" s="521">
        <f t="shared" si="524"/>
        <v>0</v>
      </c>
      <c r="GK226" s="535" t="str">
        <f t="shared" si="490"/>
        <v/>
      </c>
      <c r="GL226" s="535">
        <f t="shared" si="525"/>
        <v>0</v>
      </c>
      <c r="GM226" s="535" t="str">
        <f t="shared" si="526"/>
        <v/>
      </c>
      <c r="GN226" s="535">
        <f>IF(GK226="P",Lookup!$M$12,IF(GK226="PP",Lookup!$M$13,IF(GK226="PPP",Lookup!$M$14,IF(GK226="T",Lookup!$M$15,IF(GK226="TP",Lookup!$M$16,IF(GK226="TPP",Lookup!$M$17,IF(GK226="TPPP",Lookup!$M$18,0)))))))*GJ226</f>
        <v>0</v>
      </c>
      <c r="GO226" s="535">
        <f t="shared" si="527"/>
        <v>0</v>
      </c>
      <c r="GP226" s="535">
        <f t="shared" si="491"/>
        <v>3800.740666666667</v>
      </c>
      <c r="GQ226" s="974">
        <f t="shared" si="500"/>
        <v>1238.8333333333335</v>
      </c>
      <c r="GR226" s="535"/>
      <c r="GS226" s="535">
        <f t="shared" si="528"/>
        <v>0</v>
      </c>
      <c r="GT226" s="535" t="str">
        <f t="shared" si="529"/>
        <v/>
      </c>
      <c r="GU226" s="535">
        <f>IF(GK226="P",Lookup!$N$12,IF(GK226="PP",Lookup!$N$13,IF(GK226="PPP",Lookup!$N$14,IF(GK226="T",Lookup!$N$15,IF(GK226="TP",Lookup!$N$16,IF(GK226="TPP",Lookup!$N$17,IF(GK226="TPPP",Lookup!$N$18,0)))))))*GJ226</f>
        <v>0</v>
      </c>
      <c r="GV226" s="535">
        <f t="shared" si="530"/>
        <v>0</v>
      </c>
      <c r="GW226" s="535">
        <f t="shared" si="492"/>
        <v>1674.4330581803308</v>
      </c>
      <c r="GX226" s="974">
        <f t="shared" si="501"/>
        <v>545.77348702096833</v>
      </c>
      <c r="GY226" s="535"/>
      <c r="GZ226" s="535">
        <f t="shared" si="531"/>
        <v>0</v>
      </c>
      <c r="HA226" s="535" t="str">
        <f t="shared" si="532"/>
        <v/>
      </c>
      <c r="HB226" s="535">
        <f>IF(GK226="P",Lookup!$N$12,IF(GK226="PP",Lookup!$N$13,IF(GK226="PPP",Lookup!$N$14,IF(GK226="T",Lookup!$N$15,IF(GK226="TP",Lookup!$N$16,IF(GK226="TPP",Lookup!$N$17,IF(GK226="TPPP",Lookup!$N$18,0)))))))*GJ226</f>
        <v>0</v>
      </c>
      <c r="HC226" s="521">
        <f t="shared" si="493"/>
        <v>0</v>
      </c>
      <c r="HD226" s="535">
        <f t="shared" si="494"/>
        <v>1258.9252106977326</v>
      </c>
      <c r="HE226" s="535">
        <f t="shared" si="535"/>
        <v>410.3406814529767</v>
      </c>
      <c r="HF226" s="535"/>
      <c r="HG226" s="535">
        <f t="shared" si="533"/>
        <v>0</v>
      </c>
      <c r="HH226" s="535" t="str">
        <f t="shared" si="534"/>
        <v/>
      </c>
      <c r="HI226" s="535">
        <f>IF(GK226="P",Lookup!$N$12,IF(GK226="PP",Lookup!$N$13,IF(GK226="PPP",Lookup!$N$14,IF(GK226="T",Lookup!$N$15,IF(GK226="TP",Lookup!$N$16,IF(GK226="TPP",Lookup!$N$17,IF(GK226="TPPP",Lookup!$N$18,0)))))))*GJ226</f>
        <v>0</v>
      </c>
      <c r="HJ226" s="521">
        <f t="shared" si="495"/>
        <v>0</v>
      </c>
      <c r="HK226" s="535">
        <f t="shared" si="496"/>
        <v>831.31603356349456</v>
      </c>
      <c r="HL226" s="535">
        <f t="shared" si="536"/>
        <v>270.963505072847</v>
      </c>
      <c r="HM226" s="535"/>
      <c r="HN226" s="541"/>
      <c r="HO226" s="541"/>
      <c r="HP226" s="541"/>
      <c r="HQ226" s="541">
        <f>IF(AND(B226&gt;=$FV$4,B226&lt;=$FW$4),MAX(110/1.02+$HQ$6+MIN(113/1.02,G226),IF($HV$6-(Sheet1!DA224-Sheet1!DB224)+MIN(113/1.02,G226)&lt;G226+FL226,$HV$6-(Sheet1!DA224-Sheet1!DB224)+MIN(113/1.02,G226),G226+FL226)),MIN(110/1.02+$HQ$6+113/1.02,G226))</f>
        <v>272.63590519402629</v>
      </c>
      <c r="HR226" s="541">
        <f t="shared" si="552"/>
        <v>278.08862329790685</v>
      </c>
      <c r="HS226" s="541">
        <f>HR226+(Sheet1!DA224-Sheet1!DB224)</f>
        <v>378.08862329790685</v>
      </c>
      <c r="HT226" s="541">
        <f t="shared" si="553"/>
        <v>96.122431240713212</v>
      </c>
      <c r="HU226" s="541">
        <f t="shared" si="554"/>
        <v>281.96619205719367</v>
      </c>
      <c r="HV226" s="541">
        <f t="shared" si="555"/>
        <v>0</v>
      </c>
      <c r="HW226" s="533" t="str">
        <f t="shared" si="556"/>
        <v/>
      </c>
      <c r="HX226" s="541">
        <f t="shared" si="557"/>
        <v>2.8238339478756416</v>
      </c>
      <c r="HY226" s="541">
        <f>Sheet1!CZ224</f>
        <v>339</v>
      </c>
      <c r="HZ226" s="541">
        <f t="shared" si="558"/>
        <v>63.540260858098073</v>
      </c>
      <c r="IA226" s="541">
        <f t="shared" si="559"/>
        <v>96.122431240713212</v>
      </c>
      <c r="IB226" s="541">
        <f t="shared" si="560"/>
        <v>275.45973914190193</v>
      </c>
      <c r="IC226" s="1019" t="str">
        <f t="shared" si="561"/>
        <v/>
      </c>
      <c r="ID226" s="541">
        <f t="shared" si="562"/>
        <v>179.33730790118872</v>
      </c>
      <c r="IE226" s="541">
        <f>Sheet1!DB224</f>
        <v>213</v>
      </c>
      <c r="IF226" s="533">
        <f>Sheet1!DA224</f>
        <v>313</v>
      </c>
      <c r="IH226" s="541">
        <f>IF(AND($B226&gt;=$GC226,$B226&lt;=$GH226,$DR226&lt;0)+N("only adjusted when pool is drawn down during storage season"),Sheet1!$DB224+$DR226+N("Palmer minus all storage release"),Sheet1!$DB224)</f>
        <v>61.915784165281963</v>
      </c>
      <c r="II226" s="541">
        <f>IF(AND($B226&gt;=$GC226,$B226&lt;=$GH226,$DR226&lt;0)+N("only adjusted when pool is drawn down during storage season"),Sheet1!$DA224+$DR226+N("Auburn minus all storage release"),Sheet1!$DA224)</f>
        <v>161.91578416528196</v>
      </c>
    </row>
    <row r="227" spans="1:243" x14ac:dyDescent="0.25">
      <c r="A227" s="553" t="s">
        <v>8</v>
      </c>
      <c r="B227" s="531">
        <v>42951</v>
      </c>
      <c r="C227" s="536">
        <v>0</v>
      </c>
      <c r="D227" s="506">
        <f t="shared" si="506"/>
        <v>200</v>
      </c>
      <c r="E227" s="506">
        <f t="shared" si="507"/>
        <v>400</v>
      </c>
      <c r="F227" s="506">
        <v>250</v>
      </c>
      <c r="G227" s="535">
        <f>DR227+Sheet1!CZ225</f>
        <v>168.06707009519289</v>
      </c>
      <c r="H227" s="1074">
        <f t="shared" si="563"/>
        <v>0</v>
      </c>
      <c r="I227" s="534">
        <f>IF(Sheet1!DA225&gt;=E227,(Sheet1!DA225-E227+P227)*CFStoMGD,0)</f>
        <v>0</v>
      </c>
      <c r="J227" s="995">
        <f>IF(Sheet1!DB225&gt;=D227,(Sheet1!DB225-D227+P227)*CFStoMGD,0)</f>
        <v>0</v>
      </c>
      <c r="K227" s="818">
        <f t="shared" si="538"/>
        <v>0</v>
      </c>
      <c r="L227" s="535">
        <f>Sheet1!AA225+Sheet1!AB225-Sheet1!L225+(Sheet1!DA225-F227)*CFStoMGD-S227-T227-U227</f>
        <v>105.19086337817637</v>
      </c>
      <c r="M227" s="535">
        <f t="shared" si="436"/>
        <v>110.81132519172334</v>
      </c>
      <c r="N227" s="824">
        <f>IF(Sheet1!DA225&gt;=F227,MIN(113*CFStoMGD,MIN(MAX(L227,0),MAX(M227,0))),0)</f>
        <v>73.043199999999999</v>
      </c>
      <c r="O227" s="538">
        <f>Sheet1!AA225+Sheet1!AB225</f>
        <v>90.289999999999992</v>
      </c>
      <c r="P227" s="538">
        <f t="shared" si="437"/>
        <v>139.67863</v>
      </c>
      <c r="Q227" s="812">
        <f t="shared" si="539"/>
        <v>49.600463378176379</v>
      </c>
      <c r="R227" s="812">
        <f t="shared" si="508"/>
        <v>41</v>
      </c>
      <c r="S227" s="812">
        <f t="shared" si="509"/>
        <v>0</v>
      </c>
      <c r="T227" s="812">
        <f t="shared" si="510"/>
        <v>0</v>
      </c>
      <c r="U227" s="812">
        <f>IF(AND(B227&gt;=FV227,B227&lt;=FW227),ED227+Sheet1!EH225,0)</f>
        <v>40.689536621823613</v>
      </c>
      <c r="V227" s="812"/>
      <c r="W227" s="812">
        <f t="shared" si="511"/>
        <v>0</v>
      </c>
      <c r="X227" s="812">
        <f t="shared" si="512"/>
        <v>0</v>
      </c>
      <c r="Y227" s="812" t="str">
        <f t="shared" si="513"/>
        <v>FALSE</v>
      </c>
      <c r="Z227" s="812">
        <f t="shared" si="514"/>
        <v>90.289999999999992</v>
      </c>
      <c r="AA227" s="812">
        <f t="shared" si="515"/>
        <v>90.289999999999992</v>
      </c>
      <c r="AB227" s="1059">
        <f t="shared" si="540"/>
        <v>76.731916846038857</v>
      </c>
      <c r="AC227" s="538">
        <f>Sheet1!Y225*MGDtoCFS</f>
        <v>75.818469999999991</v>
      </c>
      <c r="AD227" s="538">
        <f>Sheet1!Z225*MGDtoCFS</f>
        <v>83.584409999999991</v>
      </c>
      <c r="AE227" s="538">
        <f>Sheet1!AA225*MGDtoCFS</f>
        <v>77.953329999999994</v>
      </c>
      <c r="AF227" s="538">
        <f>Sheet1!AB225*MGDtoCFS</f>
        <v>61.725299999999997</v>
      </c>
      <c r="AG227" s="538">
        <f>Sheet1!L225*MGDtoCFS</f>
        <v>0</v>
      </c>
      <c r="AH227" s="521">
        <f t="shared" si="438"/>
        <v>41.001943198804184</v>
      </c>
      <c r="AI227" s="1059">
        <f t="shared" si="439"/>
        <v>63.430006128550069</v>
      </c>
      <c r="AJ227" s="535">
        <f t="shared" si="440"/>
        <v>0</v>
      </c>
      <c r="AK227" s="535">
        <f t="shared" si="441"/>
        <v>0</v>
      </c>
      <c r="AL227" s="535">
        <f>(VLOOKUP(Sheet1!DC225,hhdcap_wcm,4)-(((VLOOKUP(Sheet1!DC225,hhdcap_wcm,3)-Sheet1!DC225)/(VLOOKUP(Sheet1!DC225,hhdcap_wcm,3)-VLOOKUP(Sheet1!DC225,hhdcap_wcm,1)))*(VLOOKUP(Sheet1!DC225,hhdcap_wcm,4)-VLOOKUP(Sheet1!DC225,hhdcap_wcm,2))))</f>
        <v>42635.200000105084</v>
      </c>
      <c r="AM227" s="535">
        <f t="shared" si="442"/>
        <v>-299.30000000123255</v>
      </c>
      <c r="AN227" s="1035">
        <f t="shared" si="443"/>
        <v>2424.9090636813212</v>
      </c>
      <c r="AO227" s="535">
        <f t="shared" si="444"/>
        <v>7439.6210073742932</v>
      </c>
      <c r="AP227" s="535">
        <f>Sheet1!BA225+Sheet1!BB225+Sheet1!BN225+CD227</f>
        <v>18.32</v>
      </c>
      <c r="AQ227" s="535">
        <f>Sheet1!BN225+(DO227*Sheet1!BN225)</f>
        <v>17.494768310911809</v>
      </c>
      <c r="AR227" s="535">
        <f>Sheet1!BA225+CD227</f>
        <v>0</v>
      </c>
      <c r="AS227" s="535">
        <f>Sheet1!BA225+Sheet1!BB225+CD227</f>
        <v>0.72</v>
      </c>
      <c r="AT227" s="649">
        <f>0</f>
        <v>0</v>
      </c>
      <c r="AU227" s="974">
        <f>BA227+MAX(Sheet1!EH225,(O227-Q227-ED227-S227))</f>
        <v>19</v>
      </c>
      <c r="AV227" s="535">
        <f>IF(OR(B227&gt;=GD227,B227&lt;GC227),0,15/36*K227-MAX(0,64.6-(137.6-(Sheet1!AA225+Sheet1!AB225))))</f>
        <v>0</v>
      </c>
      <c r="AW227" s="1029"/>
      <c r="AX227" s="649"/>
      <c r="AY227" s="649">
        <f t="shared" si="541"/>
        <v>0</v>
      </c>
      <c r="AZ227" s="649">
        <f t="shared" si="542"/>
        <v>0</v>
      </c>
      <c r="BA227" s="1059">
        <f t="shared" si="543"/>
        <v>0</v>
      </c>
      <c r="BB227" s="1019">
        <f t="shared" si="445"/>
        <v>1219.8333333333335</v>
      </c>
      <c r="BC227" s="1041">
        <f t="shared" si="544"/>
        <v>0</v>
      </c>
      <c r="BD227" s="1019">
        <f ca="1">IF(B227&gt;(Summary!$A$1-1),#N/A,BB227*MGtoAF)</f>
        <v>3742.4486666666671</v>
      </c>
      <c r="BE227" s="535">
        <f>Sheet1!BG225+Sheet1!BH225+Sheet1!BI225-BM227</f>
        <v>3.02</v>
      </c>
      <c r="BF227" s="535">
        <f t="shared" si="446"/>
        <v>3.0019431988041854</v>
      </c>
      <c r="BG227" s="535">
        <f>IF(Sheet1!EP225="FM",BM227,0)</f>
        <v>0</v>
      </c>
      <c r="BH227" s="535">
        <f t="shared" si="447"/>
        <v>0</v>
      </c>
      <c r="BI227" s="535">
        <f>IF(Sheet1!EP225="OTHER",BM227,0)</f>
        <v>0</v>
      </c>
      <c r="BJ227" s="535">
        <f t="shared" si="448"/>
        <v>0</v>
      </c>
      <c r="BK227" s="535">
        <f t="shared" si="449"/>
        <v>3.02</v>
      </c>
      <c r="BL227" s="535">
        <f t="shared" si="450"/>
        <v>3.0019431988041854</v>
      </c>
      <c r="BM227" s="535">
        <f>IF(OR(Sheet1!EP225="FM", Sheet1!EP225="OTHER"),SUM(Sheet1!BG225:'Sheet1'!BI225),0)</f>
        <v>0</v>
      </c>
      <c r="BN227" s="521">
        <f>IF(AND($B227&gt;=$FV227,$B227&lt;=$FW227),MAX(BF227,Sheet1!EI225,0),MAX(BF227-(7/36)*$K227,0))</f>
        <v>3.0019431988041854</v>
      </c>
      <c r="BO227" s="535">
        <f t="shared" si="497"/>
        <v>0</v>
      </c>
      <c r="BP227" s="521">
        <f t="shared" si="452"/>
        <v>0</v>
      </c>
      <c r="BQ227" s="521">
        <f>IF(AND($O227&gt;0,Sheet1!EM225=1),(1-($O227-Sheet1!$L225)/$O227)*BL227,0)</f>
        <v>0</v>
      </c>
      <c r="BR227" s="521">
        <f>IF(AND(Sheet1!$L225=0,Sheet1!$L224=0, Calculation!BK227&lt;Sheet1!$EI225-0.1,Sheet1!$EI225=Sheet1!$EI224,Sheet1!$EI225=Sheet1!$EI226),BL227-BQ227,BL227-BQ227)</f>
        <v>3.0019431988041854</v>
      </c>
      <c r="BS227" s="1035" t="str">
        <f t="shared" si="545"/>
        <v/>
      </c>
      <c r="BT227" s="1035">
        <f t="shared" si="546"/>
        <v>0</v>
      </c>
      <c r="BU227" s="535">
        <f t="shared" si="453"/>
        <v>542.77154382216418</v>
      </c>
      <c r="BV227" s="535"/>
      <c r="BW227" s="535">
        <f ca="1">IF(B227&gt;(Summary!$A$1-1),#N/A,BU227*MGtoAF)</f>
        <v>1665.2230964463997</v>
      </c>
      <c r="BX227" s="535">
        <f>Sheet1!BC225+Sheet1!BD225+Sheet1!BE225+Sheet1!BF225-CG227-CH227</f>
        <v>6.99</v>
      </c>
      <c r="BY227" s="535">
        <f t="shared" si="454"/>
        <v>6.9482062780269054</v>
      </c>
      <c r="BZ227" s="535">
        <f>IF(Sheet1!EQ225="FM",CH227,0)</f>
        <v>0</v>
      </c>
      <c r="CA227" s="535">
        <f t="shared" si="455"/>
        <v>0</v>
      </c>
      <c r="CB227" s="535">
        <f>IF(Sheet1!EQ225="OTHER",CH227,0)</f>
        <v>0</v>
      </c>
      <c r="CC227" s="535">
        <f t="shared" si="456"/>
        <v>0</v>
      </c>
      <c r="CD227" s="535">
        <f t="shared" si="457"/>
        <v>0</v>
      </c>
      <c r="CE227" s="535">
        <f t="shared" si="458"/>
        <v>6.99</v>
      </c>
      <c r="CF227" s="535">
        <f t="shared" si="459"/>
        <v>6.9482062780269054</v>
      </c>
      <c r="CG227" s="535">
        <f>IF(Sheet1!EQ225="CWA",SUM(Sheet1!BC225:'Sheet1'!BF225),0)</f>
        <v>0</v>
      </c>
      <c r="CH227" s="535">
        <f>IF(OR(Sheet1!EQ225="FM", Sheet1!EQ225="OTHER"),SUM(Sheet1!BC225:'Sheet1'!BF225),0)</f>
        <v>0</v>
      </c>
      <c r="CI227" s="521">
        <f>IF(AND($B227&gt;=$FV227,$B227&lt;=$FW227),MAX(CF227,Sheet1!EJ225,0),MAX(CF227-(7/36)*$K227,0))</f>
        <v>7</v>
      </c>
      <c r="CJ227" s="535">
        <f t="shared" si="499"/>
        <v>0</v>
      </c>
      <c r="CK227" s="521">
        <f t="shared" si="461"/>
        <v>0</v>
      </c>
      <c r="CL227" s="521">
        <f>IF(AND($O227&gt;0,Sheet1!EN225=1),(1-($O227-Sheet1!$L225)/$O227)*CF227,0)</f>
        <v>0</v>
      </c>
      <c r="CM227" s="521">
        <f>IF(AND(Sheet1!$L225=0,Sheet1!$L224=0, Calculation!CE227&lt;Sheet1!EJ225-0.1,Sheet1!EJ225=Sheet1!EJ224,Sheet1!EJ225=Sheet1!EJ226),CF227-CL227,CF227-CL227)</f>
        <v>6.9482062780269054</v>
      </c>
      <c r="CN227" s="1040" t="str">
        <f t="shared" si="547"/>
        <v/>
      </c>
      <c r="CO227" s="1035">
        <f t="shared" si="548"/>
        <v>0</v>
      </c>
      <c r="CP227" s="535">
        <f t="shared" si="462"/>
        <v>403.3406814529767</v>
      </c>
      <c r="CQ227" s="535"/>
      <c r="CR227" s="535">
        <f ca="1">IF(B227&gt;(Summary!$A$1-1),#N/A,CP227*MGtoAF)</f>
        <v>1237.4492106977325</v>
      </c>
      <c r="CS227" s="535">
        <f>Sheet1!BK225+Sheet1!BL225+Sheet1!BM225-Sheet1!ER225-DA227</f>
        <v>11.809999999999999</v>
      </c>
      <c r="CT227" s="535">
        <f t="shared" si="463"/>
        <v>11.739387144992524</v>
      </c>
      <c r="CU227" s="535">
        <f>IF(Sheet1!ER225="FM",DA227,0)</f>
        <v>0</v>
      </c>
      <c r="CV227" s="535">
        <f t="shared" si="464"/>
        <v>0</v>
      </c>
      <c r="CW227" s="535">
        <f>IF(Sheet1!ER225="OTHER",DA227,0)</f>
        <v>0</v>
      </c>
      <c r="CX227" s="535">
        <f t="shared" si="465"/>
        <v>0</v>
      </c>
      <c r="CY227" s="535">
        <f t="shared" si="466"/>
        <v>11.809999999999999</v>
      </c>
      <c r="CZ227" s="535">
        <f t="shared" si="467"/>
        <v>11.739387144992524</v>
      </c>
      <c r="DA227" s="535">
        <f>IF(OR(Sheet1!ER225="FM", Sheet1!ER225="OTHER"),SUM(Sheet1!BK225:'Sheet1'!BM225),0)</f>
        <v>0</v>
      </c>
      <c r="DB227" s="1011">
        <f>IF(AND($B227&gt;=$FV227,$B227&lt;=$FW227),MAX($CT227,Sheet1!EK225,0),MAX($CT227-(7/36)*$K227,0))</f>
        <v>12</v>
      </c>
      <c r="DC227" s="1012">
        <f t="shared" si="498"/>
        <v>0</v>
      </c>
      <c r="DD227" s="1011">
        <f t="shared" si="469"/>
        <v>0</v>
      </c>
      <c r="DE227" s="521">
        <f>IF(AND($O227&gt;0,Sheet1!EO225=1),(1-($O227-Sheet1!$L225)/$O227)*CZ227,0)</f>
        <v>0</v>
      </c>
      <c r="DF227" s="521">
        <f>IF(AND(Sheet1!$L225=0,Sheet1!$L224=0, Calculation!CY227&lt;Sheet1!$EK225-0.1,Sheet1!$EK225=Sheet1!$EK224,Sheet1!$EK225=Sheet1!$EK226),CZ227-DE227,CZ227-DE227)</f>
        <v>11.739387144992524</v>
      </c>
      <c r="DG227" s="1040">
        <f t="shared" si="549"/>
        <v>0</v>
      </c>
      <c r="DH227" s="649">
        <f t="shared" si="470"/>
        <v>21.82</v>
      </c>
      <c r="DI227" s="535">
        <f t="shared" si="471"/>
        <v>258.963505072847</v>
      </c>
      <c r="DJ227" s="649">
        <f t="shared" si="472"/>
        <v>21.689536621823613</v>
      </c>
      <c r="DK227" s="535">
        <f ca="1">IF(B227&gt;(Summary!$A$1-1),#N/A,DI227*MGtoAF)</f>
        <v>794.50003356349464</v>
      </c>
      <c r="DL227" s="649">
        <f t="shared" si="473"/>
        <v>21.819999999999997</v>
      </c>
      <c r="DM227" s="535">
        <f t="shared" si="474"/>
        <v>40.14</v>
      </c>
      <c r="DN227" s="535">
        <f>Sheet1!AB225-DM227</f>
        <v>-0.24000000000000199</v>
      </c>
      <c r="DO227" s="743">
        <f t="shared" si="475"/>
        <v>-5.9790732436472843E-3</v>
      </c>
      <c r="DP227" s="535">
        <f>(VLOOKUP(Sheet1!DC225,hhdcap_wcm,4)-(((VLOOKUP(Sheet1!DC225,hhdcap_wcm,3)-Sheet1!DC225)/(VLOOKUP(Sheet1!DC225,hhdcap_wcm,3)-VLOOKUP(Sheet1!DC225,hhdcap_wcm,1)))*(VLOOKUP(Sheet1!DC225,hhdcap_wcm,4)-VLOOKUP(Sheet1!DC225,hhdcap_wcm,2))))</f>
        <v>42635.200000105084</v>
      </c>
      <c r="DQ227" s="535">
        <f t="shared" si="476"/>
        <v>-299.30000000123255</v>
      </c>
      <c r="DR227" s="535">
        <f t="shared" si="477"/>
        <v>-150.93292990480711</v>
      </c>
      <c r="DS227" s="535">
        <f>Sheet1!EA225*AFtoMG</f>
        <v>0</v>
      </c>
      <c r="DT227" s="535">
        <f>Sheet1!EB225*AFtoMG</f>
        <v>0</v>
      </c>
      <c r="DU227" s="535">
        <f>Sheet1!EC225*AFtoMG</f>
        <v>0</v>
      </c>
      <c r="DV227" s="535">
        <f>Sheet1!ED225*AFtoMG</f>
        <v>0</v>
      </c>
      <c r="DW227" s="535">
        <f t="shared" si="478"/>
        <v>0</v>
      </c>
      <c r="DX227" s="535">
        <f t="shared" si="479"/>
        <v>0</v>
      </c>
      <c r="DY227" s="535">
        <f t="shared" si="480"/>
        <v>2424.9090636813212</v>
      </c>
      <c r="DZ227" s="535">
        <f t="shared" si="481"/>
        <v>7439.6210073742932</v>
      </c>
      <c r="EA227" s="535"/>
      <c r="EB227" s="521">
        <f>IF(OR(B227&lt;FV227,B227&gt;FW227),(MIN(BF227+BY227+CT227+MAX(Sheet1!AA225+AQ227-73,0),K227)),0)</f>
        <v>0</v>
      </c>
      <c r="EC227" s="535"/>
      <c r="ED227" s="535">
        <f t="shared" si="482"/>
        <v>21.689536621823613</v>
      </c>
      <c r="EE227" s="535"/>
      <c r="EF227" s="535">
        <f>Sheet1!EH225+Sheet1!EI225+Sheet1!EJ225+Sheet1!EK225</f>
        <v>41</v>
      </c>
      <c r="EG227" s="1019">
        <f t="shared" si="550"/>
        <v>63.427</v>
      </c>
      <c r="EH227" s="521">
        <f t="shared" si="483"/>
        <v>0</v>
      </c>
      <c r="EI227" s="535">
        <f>IF(Sheet1!ET225=1,SUM('Calculations II'!AT227:BA227)+'Calculations II'!BC227+Sheet1!BV225+'Calculations II'!BE227+AP227,'Calculations II'!BK227)</f>
        <v>87.958610310911808</v>
      </c>
      <c r="EJ227" s="535">
        <f ca="1">EI227+'Calculations II'!D227+'Calculations II'!E227+'Calculations II'!O227</f>
        <v>82.371776258202047</v>
      </c>
      <c r="EK227" s="535"/>
      <c r="EL227" s="535"/>
      <c r="EM227" s="535">
        <f t="shared" si="484"/>
        <v>42951</v>
      </c>
      <c r="EN227" s="535">
        <f t="shared" si="485"/>
        <v>-41.001943198804184</v>
      </c>
      <c r="EO227" s="535">
        <f t="shared" si="486"/>
        <v>-63.430006128550069</v>
      </c>
      <c r="EP227" s="535">
        <v>0</v>
      </c>
      <c r="EQ227" s="535">
        <v>0</v>
      </c>
      <c r="ER227" s="535">
        <v>0</v>
      </c>
      <c r="ES227" s="521">
        <f t="shared" si="516"/>
        <v>4.4353073678773747</v>
      </c>
      <c r="ET227" s="535">
        <f>-(VLOOKUP(Sheet1!BQ225,Lookup!$O$4:$Q$262,2)-VLOOKUP(Sheet1!BQ224,Lookup!$O$4:$Q$262,2))/1000000</f>
        <v>2.2173459560374877</v>
      </c>
      <c r="EU227" s="535">
        <f>-(VLOOKUP(Sheet1!BR225,Lookup!$O$4:$Q$262,3)-VLOOKUP(Sheet1!BR224,Lookup!$O$4:$Q$262,3))/1000000</f>
        <v>2.2179614118398874</v>
      </c>
      <c r="EV227" s="535"/>
      <c r="EW227" s="535"/>
      <c r="EX227" s="535"/>
      <c r="EY227" s="535"/>
      <c r="EZ227" s="535"/>
      <c r="FA227" s="535"/>
      <c r="FB227" s="535"/>
      <c r="FC227" s="535"/>
      <c r="FD227" s="567">
        <f t="shared" ref="FD227:FD258" si="566">VLOOKUP(FJ225,hhdelev_wcm,4) -(((VLOOKUP(FJ225,hhdelev_wcm,3)-FJ225)/(VLOOKUP(FJ225,hhdelev_wcm,3)-VLOOKUP(FJ225,hhdelev_wcm,1)))*(VLOOKUP(FJ225,hhdelev_wcm,4)-VLOOKUP(FJ225,hhdelev_wcm,2)))</f>
        <v>1136.2231884057205</v>
      </c>
      <c r="FE227" s="567" t="e">
        <f t="shared" si="488"/>
        <v>#N/A</v>
      </c>
      <c r="FF227" s="568" t="e">
        <f t="shared" si="489"/>
        <v>#N/A</v>
      </c>
      <c r="FG227" s="569" t="s">
        <v>656</v>
      </c>
      <c r="FH227" s="569" t="s">
        <v>656</v>
      </c>
      <c r="FI227" s="567" t="e">
        <v>#N/A</v>
      </c>
      <c r="FJ227" s="725">
        <v>20396</v>
      </c>
      <c r="FK227" s="535"/>
      <c r="FL227" s="1015">
        <f t="shared" si="565"/>
        <v>84.215834594049412</v>
      </c>
      <c r="FM227" s="535"/>
      <c r="FN227" s="535"/>
      <c r="FO227" s="535">
        <f>O227+((Sheet1!CS225)*GPMtoMGD)</f>
        <v>104.45455999999999</v>
      </c>
      <c r="FP227" s="535">
        <f>IF(Sheet1!AA225+AQ227&lt;=Calculation!N227,AQ227,Calculation!N227-Sheet1!AA225)</f>
        <v>17.494768310911809</v>
      </c>
      <c r="FQ227" s="535">
        <f>(Sheet1!BP225+Sheet1!BO225)/694.4</f>
        <v>4.8656394009216593</v>
      </c>
      <c r="FR227" s="541"/>
      <c r="FS227" s="541"/>
      <c r="FT227" s="541"/>
      <c r="FU227" s="541"/>
      <c r="FV227" s="1109">
        <f t="shared" si="517"/>
        <v>42918</v>
      </c>
      <c r="FW227" s="1109">
        <f t="shared" si="518"/>
        <v>43027</v>
      </c>
      <c r="FX227" s="541"/>
      <c r="FY227" s="541">
        <f>Sheet1!DA225-Sheet1!CZ225-Sheet1!AE225</f>
        <v>-122.67862999999997</v>
      </c>
      <c r="FZ227" s="535">
        <f t="shared" si="551"/>
        <v>-0.72993852948418159</v>
      </c>
      <c r="GA227" s="535"/>
      <c r="GB227" s="535" t="str">
        <f t="shared" si="519"/>
        <v>n</v>
      </c>
      <c r="GC227" s="539">
        <f t="shared" si="520"/>
        <v>42782</v>
      </c>
      <c r="GD227" s="1109">
        <f t="shared" si="521"/>
        <v>42904</v>
      </c>
      <c r="GE227" s="535">
        <f t="shared" si="537"/>
        <v>6520</v>
      </c>
      <c r="GF227" s="1109">
        <f t="shared" si="522"/>
        <v>42909</v>
      </c>
      <c r="GG227" s="535">
        <f t="shared" si="564"/>
        <v>3260</v>
      </c>
      <c r="GH227" s="539">
        <f t="shared" si="523"/>
        <v>43040</v>
      </c>
      <c r="GJ227" s="521">
        <f t="shared" si="524"/>
        <v>0</v>
      </c>
      <c r="GK227" s="535" t="str">
        <f t="shared" si="490"/>
        <v/>
      </c>
      <c r="GL227" s="535">
        <f t="shared" si="525"/>
        <v>0</v>
      </c>
      <c r="GM227" s="535" t="str">
        <f t="shared" si="526"/>
        <v/>
      </c>
      <c r="GN227" s="535">
        <f>IF(GK227="P",Lookup!$M$12,IF(GK227="PP",Lookup!$M$13,IF(GK227="PPP",Lookup!$M$14,IF(GK227="T",Lookup!$M$15,IF(GK227="TP",Lookup!$M$16,IF(GK227="TPP",Lookup!$M$17,IF(GK227="TPPP",Lookup!$M$18,0)))))))*GJ227</f>
        <v>0</v>
      </c>
      <c r="GO227" s="535">
        <f t="shared" si="527"/>
        <v>0</v>
      </c>
      <c r="GP227" s="535">
        <f t="shared" si="491"/>
        <v>3742.4486666666671</v>
      </c>
      <c r="GQ227" s="974">
        <f t="shared" si="500"/>
        <v>1219.8333333333335</v>
      </c>
      <c r="GR227" s="535"/>
      <c r="GS227" s="535">
        <f t="shared" si="528"/>
        <v>0</v>
      </c>
      <c r="GT227" s="535" t="str">
        <f t="shared" si="529"/>
        <v/>
      </c>
      <c r="GU227" s="535">
        <f>IF(GK227="P",Lookup!$N$12,IF(GK227="PP",Lookup!$N$13,IF(GK227="PPP",Lookup!$N$14,IF(GK227="T",Lookup!$N$15,IF(GK227="TP",Lookup!$N$16,IF(GK227="TPP",Lookup!$N$17,IF(GK227="TPPP",Lookup!$N$18,0)))))))*GJ227</f>
        <v>0</v>
      </c>
      <c r="GV227" s="535">
        <f t="shared" si="530"/>
        <v>0</v>
      </c>
      <c r="GW227" s="535">
        <f t="shared" si="492"/>
        <v>1665.2230964463997</v>
      </c>
      <c r="GX227" s="974">
        <f t="shared" si="501"/>
        <v>542.77154382216418</v>
      </c>
      <c r="GY227" s="535"/>
      <c r="GZ227" s="535">
        <f t="shared" si="531"/>
        <v>0</v>
      </c>
      <c r="HA227" s="535" t="str">
        <f t="shared" si="532"/>
        <v/>
      </c>
      <c r="HB227" s="535">
        <f>IF(GK227="P",Lookup!$N$12,IF(GK227="PP",Lookup!$N$13,IF(GK227="PPP",Lookup!$N$14,IF(GK227="T",Lookup!$N$15,IF(GK227="TP",Lookup!$N$16,IF(GK227="TPP",Lookup!$N$17,IF(GK227="TPPP",Lookup!$N$18,0)))))))*GJ227</f>
        <v>0</v>
      </c>
      <c r="HC227" s="521">
        <f t="shared" si="493"/>
        <v>0</v>
      </c>
      <c r="HD227" s="535">
        <f t="shared" si="494"/>
        <v>1237.4492106977325</v>
      </c>
      <c r="HE227" s="535">
        <f t="shared" si="535"/>
        <v>403.3406814529767</v>
      </c>
      <c r="HF227" s="535"/>
      <c r="HG227" s="535">
        <f t="shared" si="533"/>
        <v>0</v>
      </c>
      <c r="HH227" s="535" t="str">
        <f t="shared" si="534"/>
        <v/>
      </c>
      <c r="HI227" s="535">
        <f>IF(GK227="P",Lookup!$N$12,IF(GK227="PP",Lookup!$N$13,IF(GK227="PPP",Lookup!$N$14,IF(GK227="T",Lookup!$N$15,IF(GK227="TP",Lookup!$N$16,IF(GK227="TPP",Lookup!$N$17,IF(GK227="TPPP",Lookup!$N$18,0)))))))*GJ227</f>
        <v>0</v>
      </c>
      <c r="HJ227" s="521">
        <f t="shared" si="495"/>
        <v>0</v>
      </c>
      <c r="HK227" s="535">
        <f t="shared" si="496"/>
        <v>794.50003356349464</v>
      </c>
      <c r="HL227" s="535">
        <f t="shared" si="536"/>
        <v>258.963505072847</v>
      </c>
      <c r="HM227" s="535"/>
      <c r="HN227" s="541"/>
      <c r="HO227" s="541"/>
      <c r="HP227" s="541"/>
      <c r="HQ227" s="541">
        <f>IF(AND(B227&gt;=$FV$4,B227&lt;=$FW$4),MAX(110/1.02+$HQ$6+MIN(113/1.02,G227),IF($HV$6-(Sheet1!DA225-Sheet1!DB225)+MIN(113/1.02,G227)&lt;G227+FL227,$HV$6-(Sheet1!DA225-Sheet1!DB225)+MIN(113/1.02,G227),G227+FL227)),MIN(110/1.02+$HQ$6+113/1.02,G227))</f>
        <v>235.78431372549019</v>
      </c>
      <c r="HR227" s="541">
        <f t="shared" si="552"/>
        <v>240.5</v>
      </c>
      <c r="HS227" s="541">
        <f>HR227+(Sheet1!DA225-Sheet1!DB225)</f>
        <v>380.5</v>
      </c>
      <c r="HT227" s="541">
        <f t="shared" si="553"/>
        <v>76.731916846038857</v>
      </c>
      <c r="HU227" s="541">
        <f t="shared" si="554"/>
        <v>303.76808315396113</v>
      </c>
      <c r="HV227" s="541">
        <f t="shared" si="555"/>
        <v>0</v>
      </c>
      <c r="HW227" s="533" t="str">
        <f t="shared" si="556"/>
        <v/>
      </c>
      <c r="HX227" s="541">
        <f t="shared" si="557"/>
        <v>19.785680145959731</v>
      </c>
      <c r="HY227" s="541">
        <f>Sheet1!CZ225</f>
        <v>319</v>
      </c>
      <c r="HZ227" s="541">
        <f t="shared" si="558"/>
        <v>63.430006128550069</v>
      </c>
      <c r="IA227" s="541">
        <f t="shared" si="559"/>
        <v>76.731916846038857</v>
      </c>
      <c r="IB227" s="541">
        <f t="shared" si="560"/>
        <v>255.56999387144992</v>
      </c>
      <c r="IC227" s="1019" t="str">
        <f t="shared" si="561"/>
        <v/>
      </c>
      <c r="ID227" s="541">
        <f t="shared" si="562"/>
        <v>178.83807702541105</v>
      </c>
      <c r="IE227" s="541">
        <f>Sheet1!DB225</f>
        <v>196</v>
      </c>
      <c r="IF227" s="533">
        <f>Sheet1!DA225</f>
        <v>336</v>
      </c>
      <c r="IH227" s="541">
        <f>IF(AND($B227&gt;=$GC227,$B227&lt;=$GH227,$DR227&lt;0)+N("only adjusted when pool is drawn down during storage season"),Sheet1!$DB225+$DR227+N("Palmer minus all storage release"),Sheet1!$DB225)</f>
        <v>45.067070095192889</v>
      </c>
      <c r="II227" s="541">
        <f>IF(AND($B227&gt;=$GC227,$B227&lt;=$GH227,$DR227&lt;0)+N("only adjusted when pool is drawn down during storage season"),Sheet1!$DA225+$DR227+N("Auburn minus all storage release"),Sheet1!$DA225)</f>
        <v>185.06707009519289</v>
      </c>
    </row>
    <row r="228" spans="1:243" x14ac:dyDescent="0.25">
      <c r="A228" s="553" t="s">
        <v>9</v>
      </c>
      <c r="B228" s="531">
        <v>42952</v>
      </c>
      <c r="C228" s="536">
        <v>0</v>
      </c>
      <c r="D228" s="506">
        <f t="shared" si="506"/>
        <v>200</v>
      </c>
      <c r="E228" s="506">
        <f t="shared" si="507"/>
        <v>400</v>
      </c>
      <c r="F228" s="506">
        <v>250</v>
      </c>
      <c r="G228" s="535">
        <f>DR228+Sheet1!CZ226</f>
        <v>171.67322239019444</v>
      </c>
      <c r="H228" s="1074">
        <f t="shared" si="563"/>
        <v>0</v>
      </c>
      <c r="I228" s="534">
        <f>IF(Sheet1!DA226&gt;=E228,(Sheet1!DA226-E228+P228)*CFStoMGD,0)</f>
        <v>0</v>
      </c>
      <c r="J228" s="995">
        <f>IF(Sheet1!DB226&gt;=D228,(Sheet1!DB226-D228+P228)*CFStoMGD,0)</f>
        <v>0</v>
      </c>
      <c r="K228" s="818">
        <f t="shared" si="538"/>
        <v>0</v>
      </c>
      <c r="L228" s="535">
        <f>Sheet1!AA226+Sheet1!AB226-Sheet1!L226+(Sheet1!DA226-F228)*CFStoMGD-S228-T228-U228</f>
        <v>100.84001948424068</v>
      </c>
      <c r="M228" s="535">
        <f t="shared" si="436"/>
        <v>113.18896237208213</v>
      </c>
      <c r="N228" s="824">
        <f>IF(Sheet1!DA226&gt;=F228,MIN(113*CFStoMGD,MIN(MAX(L228,0),MAX(M228,0))),0)</f>
        <v>73.043199999999999</v>
      </c>
      <c r="O228" s="538">
        <f>Sheet1!AA226+Sheet1!AB226</f>
        <v>91.93</v>
      </c>
      <c r="P228" s="538">
        <f t="shared" si="437"/>
        <v>142.21571</v>
      </c>
      <c r="Q228" s="812">
        <f t="shared" si="539"/>
        <v>60.116819484240693</v>
      </c>
      <c r="R228" s="812">
        <f t="shared" si="508"/>
        <v>32</v>
      </c>
      <c r="S228" s="812">
        <f t="shared" si="509"/>
        <v>0</v>
      </c>
      <c r="T228" s="812">
        <f t="shared" si="510"/>
        <v>0</v>
      </c>
      <c r="U228" s="812">
        <f>IF(AND(B228&gt;=FV228,B228&lt;=FW228),ED228+Sheet1!EH226,0)</f>
        <v>31.813180515759313</v>
      </c>
      <c r="V228" s="812"/>
      <c r="W228" s="812">
        <f t="shared" si="511"/>
        <v>0</v>
      </c>
      <c r="X228" s="812">
        <f t="shared" si="512"/>
        <v>0</v>
      </c>
      <c r="Y228" s="812" t="str">
        <f t="shared" si="513"/>
        <v>FALSE</v>
      </c>
      <c r="Z228" s="812">
        <f t="shared" si="514"/>
        <v>91.93</v>
      </c>
      <c r="AA228" s="812">
        <f t="shared" si="515"/>
        <v>91.93</v>
      </c>
      <c r="AB228" s="1059">
        <f t="shared" si="540"/>
        <v>93.000719742120353</v>
      </c>
      <c r="AC228" s="538">
        <f>Sheet1!Y226*MGDtoCFS</f>
        <v>77.953329999999994</v>
      </c>
      <c r="AD228" s="538">
        <f>Sheet1!Z226*MGDtoCFS</f>
        <v>61.725299999999997</v>
      </c>
      <c r="AE228" s="538">
        <f>Sheet1!AA226*MGDtoCFS</f>
        <v>77.860509999999991</v>
      </c>
      <c r="AF228" s="538">
        <f>Sheet1!AB226*MGDtoCFS</f>
        <v>64.355199999999996</v>
      </c>
      <c r="AG228" s="538">
        <f>Sheet1!L226*MGDtoCFS</f>
        <v>0</v>
      </c>
      <c r="AH228" s="521">
        <f t="shared" si="438"/>
        <v>32</v>
      </c>
      <c r="AI228" s="1059">
        <f t="shared" si="439"/>
        <v>49.503999999999998</v>
      </c>
      <c r="AJ228" s="535">
        <f t="shared" si="440"/>
        <v>0</v>
      </c>
      <c r="AK228" s="535">
        <f t="shared" si="441"/>
        <v>0</v>
      </c>
      <c r="AL228" s="535">
        <f>(VLOOKUP(Sheet1!DC226,hhdcap_wcm,4)-(((VLOOKUP(Sheet1!DC226,hhdcap_wcm,3)-Sheet1!DC226)/(VLOOKUP(Sheet1!DC226,hhdcap_wcm,3)-VLOOKUP(Sheet1!DC226,hhdcap_wcm,1)))*(VLOOKUP(Sheet1!DC226,hhdcap_wcm,4)-VLOOKUP(Sheet1!DC226,hhdcap_wcm,2))))</f>
        <v>42349.000000104839</v>
      </c>
      <c r="AM228" s="535">
        <f t="shared" si="442"/>
        <v>-286.20000000024447</v>
      </c>
      <c r="AN228" s="1035">
        <f t="shared" si="443"/>
        <v>2392.9090636813212</v>
      </c>
      <c r="AO228" s="535">
        <f t="shared" si="444"/>
        <v>7341.4450073742937</v>
      </c>
      <c r="AP228" s="535">
        <f>Sheet1!BA226+Sheet1!BB226+Sheet1!BN226+CD228</f>
        <v>19.919999999999998</v>
      </c>
      <c r="AQ228" s="535">
        <f>Sheet1!BN226+(DO228*Sheet1!BN226)</f>
        <v>19.071633237822351</v>
      </c>
      <c r="AR228" s="535">
        <f>Sheet1!BA226+CD228</f>
        <v>0</v>
      </c>
      <c r="AS228" s="535">
        <f>Sheet1!BA226+Sheet1!BB226+CD228</f>
        <v>0.72</v>
      </c>
      <c r="AT228" s="649">
        <f>0</f>
        <v>0</v>
      </c>
      <c r="AU228" s="974">
        <f>BA228+MAX(Sheet1!EH226,(O228-Q228-ED228-S228))</f>
        <v>10</v>
      </c>
      <c r="AV228" s="535">
        <f>IF(OR(B228&gt;=GD228,B228&lt;GC228),0,15/36*K228-MAX(0,64.6-(137.6-(Sheet1!AA226+Sheet1!AB226))))</f>
        <v>0</v>
      </c>
      <c r="AW228" s="1029"/>
      <c r="AX228" s="649"/>
      <c r="AY228" s="649">
        <f t="shared" si="541"/>
        <v>0</v>
      </c>
      <c r="AZ228" s="649">
        <f t="shared" si="542"/>
        <v>0</v>
      </c>
      <c r="BA228" s="1059">
        <f t="shared" si="543"/>
        <v>0</v>
      </c>
      <c r="BB228" s="1019">
        <f t="shared" si="445"/>
        <v>1209.8333333333335</v>
      </c>
      <c r="BC228" s="1041">
        <f t="shared" si="544"/>
        <v>0</v>
      </c>
      <c r="BD228" s="1019">
        <f ca="1">IF(B228&gt;(Summary!$A$1-1),#N/A,BB228*MGtoAF)</f>
        <v>3711.7686666666673</v>
      </c>
      <c r="BE228" s="535">
        <f>Sheet1!BG226+Sheet1!BH226+Sheet1!BI226-BM228</f>
        <v>3.02</v>
      </c>
      <c r="BF228" s="535">
        <f t="shared" si="446"/>
        <v>2.9998089780324744</v>
      </c>
      <c r="BG228" s="535">
        <f>IF(Sheet1!EP226="FM",BM228,0)</f>
        <v>0</v>
      </c>
      <c r="BH228" s="535">
        <f t="shared" si="447"/>
        <v>0</v>
      </c>
      <c r="BI228" s="535">
        <f>IF(Sheet1!EP226="OTHER",BM228,0)</f>
        <v>0</v>
      </c>
      <c r="BJ228" s="535">
        <f t="shared" si="448"/>
        <v>0</v>
      </c>
      <c r="BK228" s="535">
        <f t="shared" si="449"/>
        <v>3.02</v>
      </c>
      <c r="BL228" s="535">
        <f t="shared" si="450"/>
        <v>2.9998089780324744</v>
      </c>
      <c r="BM228" s="535">
        <f>IF(OR(Sheet1!EP226="FM", Sheet1!EP226="OTHER"),SUM(Sheet1!BG226:'Sheet1'!BI226),0)</f>
        <v>0</v>
      </c>
      <c r="BN228" s="521">
        <f>IF(AND($B228&gt;=$FV228,$B228&lt;=$FW228),MAX(BF228,Sheet1!EI226,0),MAX(BF228-(7/36)*$K228,0))</f>
        <v>3</v>
      </c>
      <c r="BO228" s="535">
        <f t="shared" si="497"/>
        <v>0</v>
      </c>
      <c r="BP228" s="521">
        <f t="shared" si="452"/>
        <v>0</v>
      </c>
      <c r="BQ228" s="521">
        <f>IF(AND($O228&gt;0,Sheet1!EM226=1),(1-($O228-Sheet1!$L226)/$O228)*BL228,0)</f>
        <v>0</v>
      </c>
      <c r="BR228" s="521">
        <f>IF(AND(Sheet1!$L226=0,Sheet1!$L225=0, Calculation!BK228&lt;Sheet1!$EI226-0.1,Sheet1!$EI226=Sheet1!$EI225,Sheet1!$EI226=Sheet1!$EI227),BL228-BQ228,BL228-BQ228)</f>
        <v>2.9998089780324744</v>
      </c>
      <c r="BS228" s="1035" t="str">
        <f t="shared" si="545"/>
        <v/>
      </c>
      <c r="BT228" s="1035">
        <f t="shared" si="546"/>
        <v>0</v>
      </c>
      <c r="BU228" s="535">
        <f t="shared" si="453"/>
        <v>539.77154382216418</v>
      </c>
      <c r="BV228" s="535"/>
      <c r="BW228" s="535">
        <f ca="1">IF(B228&gt;(Summary!$A$1-1),#N/A,BU228*MGtoAF)</f>
        <v>1656.0190964463998</v>
      </c>
      <c r="BX228" s="535">
        <f>Sheet1!BC226+Sheet1!BD226+Sheet1!BE226+Sheet1!BF226-CG228-CH228</f>
        <v>6.99</v>
      </c>
      <c r="BY228" s="535">
        <f t="shared" si="454"/>
        <v>6.9432664756447</v>
      </c>
      <c r="BZ228" s="535">
        <f>IF(Sheet1!EQ226="FM",CH228,0)</f>
        <v>0</v>
      </c>
      <c r="CA228" s="535">
        <f t="shared" si="455"/>
        <v>0</v>
      </c>
      <c r="CB228" s="535">
        <f>IF(Sheet1!EQ226="OTHER",CH228,0)</f>
        <v>0</v>
      </c>
      <c r="CC228" s="535">
        <f t="shared" si="456"/>
        <v>0</v>
      </c>
      <c r="CD228" s="535">
        <f t="shared" si="457"/>
        <v>0</v>
      </c>
      <c r="CE228" s="535">
        <f t="shared" si="458"/>
        <v>6.99</v>
      </c>
      <c r="CF228" s="535">
        <f t="shared" si="459"/>
        <v>6.9432664756447</v>
      </c>
      <c r="CG228" s="535">
        <f>IF(Sheet1!EQ226="CWA",SUM(Sheet1!BC226:'Sheet1'!BF226),0)</f>
        <v>0</v>
      </c>
      <c r="CH228" s="535">
        <f>IF(OR(Sheet1!EQ226="FM", Sheet1!EQ226="OTHER"),SUM(Sheet1!BC226:'Sheet1'!BF226),0)</f>
        <v>0</v>
      </c>
      <c r="CI228" s="521">
        <f>IF(AND($B228&gt;=$FV228,$B228&lt;=$FW228),MAX(CF228,Sheet1!EJ226,0),MAX(CF228-(7/36)*$K228,0))</f>
        <v>7</v>
      </c>
      <c r="CJ228" s="535">
        <f t="shared" si="499"/>
        <v>0</v>
      </c>
      <c r="CK228" s="521">
        <f t="shared" si="461"/>
        <v>0</v>
      </c>
      <c r="CL228" s="521">
        <f>IF(AND($O228&gt;0,Sheet1!EN226=1),(1-($O228-Sheet1!$L226)/$O228)*CF228,0)</f>
        <v>0</v>
      </c>
      <c r="CM228" s="521">
        <f>IF(AND(Sheet1!$L226=0,Sheet1!$L225=0, Calculation!CE228&lt;Sheet1!EJ226-0.1,Sheet1!EJ226=Sheet1!EJ225,Sheet1!EJ226=Sheet1!EJ227),CF228-CL228,CF228-CL228)</f>
        <v>6.9432664756447</v>
      </c>
      <c r="CN228" s="1040" t="str">
        <f t="shared" si="547"/>
        <v/>
      </c>
      <c r="CO228" s="1035">
        <f t="shared" si="548"/>
        <v>0</v>
      </c>
      <c r="CP228" s="535">
        <f t="shared" si="462"/>
        <v>396.3406814529767</v>
      </c>
      <c r="CQ228" s="535"/>
      <c r="CR228" s="535">
        <f ca="1">IF(B228&gt;(Summary!$A$1-1),#N/A,CP228*MGtoAF)</f>
        <v>1215.9732106977326</v>
      </c>
      <c r="CS228" s="535">
        <f>Sheet1!BK226+Sheet1!BL226+Sheet1!BM226-Sheet1!ER226-DA228</f>
        <v>11.95</v>
      </c>
      <c r="CT228" s="535">
        <f t="shared" si="463"/>
        <v>11.870105062082141</v>
      </c>
      <c r="CU228" s="535">
        <f>IF(Sheet1!ER226="FM",DA228,0)</f>
        <v>0</v>
      </c>
      <c r="CV228" s="535">
        <f t="shared" si="464"/>
        <v>0</v>
      </c>
      <c r="CW228" s="535">
        <f>IF(Sheet1!ER226="OTHER",DA228,0)</f>
        <v>0</v>
      </c>
      <c r="CX228" s="535">
        <f t="shared" si="465"/>
        <v>0</v>
      </c>
      <c r="CY228" s="535">
        <f t="shared" si="466"/>
        <v>11.95</v>
      </c>
      <c r="CZ228" s="535">
        <f t="shared" si="467"/>
        <v>11.870105062082141</v>
      </c>
      <c r="DA228" s="535">
        <f>IF(OR(Sheet1!ER226="FM", Sheet1!ER226="OTHER"),SUM(Sheet1!BK226:'Sheet1'!BM226),0)</f>
        <v>0</v>
      </c>
      <c r="DB228" s="1011">
        <f>IF(AND($B228&gt;=$FV228,$B228&lt;=$FW228),MAX($CT228,Sheet1!EK226,0),MAX($CT228-(7/36)*$K228,0))</f>
        <v>12</v>
      </c>
      <c r="DC228" s="1012">
        <f t="shared" si="498"/>
        <v>0</v>
      </c>
      <c r="DD228" s="1011">
        <f t="shared" si="469"/>
        <v>0</v>
      </c>
      <c r="DE228" s="521">
        <f>IF(AND($O228&gt;0,Sheet1!EO226=1),(1-($O228-Sheet1!$L226)/$O228)*CZ228,0)</f>
        <v>0</v>
      </c>
      <c r="DF228" s="521">
        <f>IF(AND(Sheet1!$L226=0,Sheet1!$L225=0, Calculation!CY228&lt;Sheet1!$EK226-0.1,Sheet1!$EK226=Sheet1!$EK225,Sheet1!$EK226=Sheet1!$EK227),CZ228-DE228,CZ228-DE228)</f>
        <v>11.870105062082141</v>
      </c>
      <c r="DG228" s="1040">
        <f t="shared" si="549"/>
        <v>0</v>
      </c>
      <c r="DH228" s="649">
        <f t="shared" si="470"/>
        <v>21.96</v>
      </c>
      <c r="DI228" s="535">
        <f t="shared" si="471"/>
        <v>246.963505072847</v>
      </c>
      <c r="DJ228" s="649">
        <f t="shared" si="472"/>
        <v>21.813180515759313</v>
      </c>
      <c r="DK228" s="535">
        <f ca="1">IF(B228&gt;(Summary!$A$1-1),#N/A,DI228*MGtoAF)</f>
        <v>757.68403356349461</v>
      </c>
      <c r="DL228" s="649">
        <f t="shared" si="473"/>
        <v>21.959999999999997</v>
      </c>
      <c r="DM228" s="535">
        <f t="shared" si="474"/>
        <v>41.879999999999995</v>
      </c>
      <c r="DN228" s="535">
        <f>Sheet1!AB226-DM228</f>
        <v>-0.27999999999999403</v>
      </c>
      <c r="DO228" s="743">
        <f t="shared" si="475"/>
        <v>-6.6857688634191512E-3</v>
      </c>
      <c r="DP228" s="535">
        <f>(VLOOKUP(Sheet1!DC226,hhdcap_wcm,4)-(((VLOOKUP(Sheet1!DC226,hhdcap_wcm,3)-Sheet1!DC226)/(VLOOKUP(Sheet1!DC226,hhdcap_wcm,3)-VLOOKUP(Sheet1!DC226,hhdcap_wcm,1)))*(VLOOKUP(Sheet1!DC226,hhdcap_wcm,4)-VLOOKUP(Sheet1!DC226,hhdcap_wcm,2))))</f>
        <v>42349.000000104839</v>
      </c>
      <c r="DQ228" s="535">
        <f t="shared" si="476"/>
        <v>-286.20000000024447</v>
      </c>
      <c r="DR228" s="535">
        <f t="shared" si="477"/>
        <v>-144.32677760980556</v>
      </c>
      <c r="DS228" s="535">
        <f>Sheet1!EA226*AFtoMG</f>
        <v>0</v>
      </c>
      <c r="DT228" s="535">
        <f>Sheet1!EB226*AFtoMG</f>
        <v>0</v>
      </c>
      <c r="DU228" s="535">
        <f>Sheet1!EC226*AFtoMG</f>
        <v>0</v>
      </c>
      <c r="DV228" s="535">
        <f>Sheet1!ED226*AFtoMG</f>
        <v>0</v>
      </c>
      <c r="DW228" s="535">
        <f t="shared" si="478"/>
        <v>0</v>
      </c>
      <c r="DX228" s="535">
        <f t="shared" si="479"/>
        <v>0</v>
      </c>
      <c r="DY228" s="535">
        <f t="shared" si="480"/>
        <v>2392.9090636813212</v>
      </c>
      <c r="DZ228" s="535">
        <f t="shared" si="481"/>
        <v>7341.4450073742937</v>
      </c>
      <c r="EA228" s="535"/>
      <c r="EB228" s="521">
        <f>IF(OR(B228&lt;FV228,B228&gt;FW228),(MIN(BF228+BY228+CT228+MAX(Sheet1!AA226+AQ228-73,0),K228)),0)</f>
        <v>0</v>
      </c>
      <c r="EC228" s="535"/>
      <c r="ED228" s="535">
        <f t="shared" si="482"/>
        <v>21.813180515759313</v>
      </c>
      <c r="EE228" s="535"/>
      <c r="EF228" s="535">
        <f>Sheet1!EH226+Sheet1!EI226+Sheet1!EJ226+Sheet1!EK226</f>
        <v>32</v>
      </c>
      <c r="EG228" s="1019">
        <f t="shared" si="550"/>
        <v>49.503999999999998</v>
      </c>
      <c r="EH228" s="521">
        <f t="shared" si="483"/>
        <v>0</v>
      </c>
      <c r="EI228" s="535">
        <f>IF(Sheet1!ET226=1,SUM('Calculations II'!AT228:BA228)+'Calculations II'!BC228+Sheet1!BV226+'Calculations II'!BE228+AP228,'Calculations II'!BK228)</f>
        <v>81.888585237822355</v>
      </c>
      <c r="EJ228" s="535">
        <f ca="1">EI228+'Calculations II'!D228+'Calculations II'!E228+'Calculations II'!O228</f>
        <v>84.511086205556296</v>
      </c>
      <c r="EK228" s="535"/>
      <c r="EL228" s="535"/>
      <c r="EM228" s="535">
        <f t="shared" si="484"/>
        <v>42952</v>
      </c>
      <c r="EN228" s="535">
        <f t="shared" si="485"/>
        <v>-32</v>
      </c>
      <c r="EO228" s="535">
        <f t="shared" si="486"/>
        <v>-49.503999999999998</v>
      </c>
      <c r="EP228" s="535">
        <v>0</v>
      </c>
      <c r="EQ228" s="535">
        <v>0</v>
      </c>
      <c r="ER228" s="535">
        <v>0</v>
      </c>
      <c r="ES228" s="521">
        <f t="shared" si="516"/>
        <v>-3.1875662300194838</v>
      </c>
      <c r="ET228" s="535">
        <f>-(VLOOKUP(Sheet1!BQ226,Lookup!$O$4:$Q$262,2)-VLOOKUP(Sheet1!BQ225,Lookup!$O$4:$Q$262,2))/1000000</f>
        <v>-1.5242490504613706</v>
      </c>
      <c r="EU228" s="535">
        <f>-(VLOOKUP(Sheet1!BR226,Lookup!$O$4:$Q$262,3)-VLOOKUP(Sheet1!BR225,Lookup!$O$4:$Q$262,3))/1000000</f>
        <v>-1.6633171795581132</v>
      </c>
      <c r="EV228" s="535"/>
      <c r="EW228" s="535"/>
      <c r="EX228" s="535"/>
      <c r="EY228" s="535"/>
      <c r="EZ228" s="535"/>
      <c r="FA228" s="535"/>
      <c r="FB228" s="535"/>
      <c r="FC228" s="535"/>
      <c r="FD228" s="567">
        <f t="shared" si="566"/>
        <v>1135.9791044775357</v>
      </c>
      <c r="FE228" s="567" t="e">
        <f t="shared" si="488"/>
        <v>#N/A</v>
      </c>
      <c r="FF228" s="568" t="e">
        <f t="shared" si="489"/>
        <v>#N/A</v>
      </c>
      <c r="FG228" s="569" t="s">
        <v>656</v>
      </c>
      <c r="FH228" s="569" t="s">
        <v>656</v>
      </c>
      <c r="FI228" s="567" t="e">
        <v>#N/A</v>
      </c>
      <c r="FJ228" s="725">
        <v>20229</v>
      </c>
      <c r="FK228" s="535"/>
      <c r="FL228" s="1015">
        <f t="shared" si="565"/>
        <v>84.720121028744316</v>
      </c>
      <c r="FM228" s="535"/>
      <c r="FN228" s="535"/>
      <c r="FO228" s="535">
        <f>O228+((Sheet1!CS226)*GPMtoMGD)</f>
        <v>105.91902400000001</v>
      </c>
      <c r="FP228" s="535">
        <f>IF(Sheet1!AA226+AQ228&lt;=Calculation!N228,AQ228,Calculation!N228-Sheet1!AA226)</f>
        <v>19.071633237822351</v>
      </c>
      <c r="FQ228" s="535">
        <f>(Sheet1!BP226+Sheet1!BO226)/694.4</f>
        <v>3.8512384792626726</v>
      </c>
      <c r="FR228" s="541"/>
      <c r="FS228" s="541"/>
      <c r="FT228" s="541"/>
      <c r="FU228" s="541"/>
      <c r="FV228" s="1109">
        <f t="shared" si="517"/>
        <v>42918</v>
      </c>
      <c r="FW228" s="1109">
        <f t="shared" si="518"/>
        <v>43027</v>
      </c>
      <c r="FX228" s="541"/>
      <c r="FY228" s="541">
        <f>Sheet1!DA226-Sheet1!CZ226-Sheet1!AE226</f>
        <v>-145.21571</v>
      </c>
      <c r="FZ228" s="535">
        <f t="shared" si="551"/>
        <v>-0.84588445407019031</v>
      </c>
      <c r="GA228" s="535"/>
      <c r="GB228" s="535" t="str">
        <f t="shared" si="519"/>
        <v>n</v>
      </c>
      <c r="GC228" s="539">
        <f t="shared" si="520"/>
        <v>42782</v>
      </c>
      <c r="GD228" s="1109">
        <f t="shared" si="521"/>
        <v>42904</v>
      </c>
      <c r="GE228" s="535">
        <f t="shared" si="537"/>
        <v>6520</v>
      </c>
      <c r="GF228" s="1109">
        <f t="shared" si="522"/>
        <v>42909</v>
      </c>
      <c r="GG228" s="535">
        <f t="shared" si="564"/>
        <v>3260</v>
      </c>
      <c r="GH228" s="539">
        <f t="shared" si="523"/>
        <v>43040</v>
      </c>
      <c r="GJ228" s="521">
        <f t="shared" si="524"/>
        <v>0</v>
      </c>
      <c r="GK228" s="535" t="str">
        <f t="shared" si="490"/>
        <v/>
      </c>
      <c r="GL228" s="535">
        <f t="shared" si="525"/>
        <v>0</v>
      </c>
      <c r="GM228" s="535" t="str">
        <f t="shared" si="526"/>
        <v/>
      </c>
      <c r="GN228" s="535">
        <f>IF(GK228="P",Lookup!$M$12,IF(GK228="PP",Lookup!$M$13,IF(GK228="PPP",Lookup!$M$14,IF(GK228="T",Lookup!$M$15,IF(GK228="TP",Lookup!$M$16,IF(GK228="TPP",Lookup!$M$17,IF(GK228="TPPP",Lookup!$M$18,0)))))))*GJ228</f>
        <v>0</v>
      </c>
      <c r="GO228" s="535">
        <f t="shared" si="527"/>
        <v>0</v>
      </c>
      <c r="GP228" s="535">
        <f t="shared" si="491"/>
        <v>3711.7686666666673</v>
      </c>
      <c r="GQ228" s="974">
        <f t="shared" si="500"/>
        <v>1209.8333333333335</v>
      </c>
      <c r="GR228" s="535"/>
      <c r="GS228" s="535">
        <f t="shared" si="528"/>
        <v>0</v>
      </c>
      <c r="GT228" s="535" t="str">
        <f t="shared" si="529"/>
        <v/>
      </c>
      <c r="GU228" s="535">
        <f>IF(GK228="P",Lookup!$N$12,IF(GK228="PP",Lookup!$N$13,IF(GK228="PPP",Lookup!$N$14,IF(GK228="T",Lookup!$N$15,IF(GK228="TP",Lookup!$N$16,IF(GK228="TPP",Lookup!$N$17,IF(GK228="TPPP",Lookup!$N$18,0)))))))*GJ228</f>
        <v>0</v>
      </c>
      <c r="GV228" s="535">
        <f t="shared" si="530"/>
        <v>0</v>
      </c>
      <c r="GW228" s="535">
        <f t="shared" si="492"/>
        <v>1656.0190964463998</v>
      </c>
      <c r="GX228" s="974">
        <f t="shared" si="501"/>
        <v>539.77154382216418</v>
      </c>
      <c r="GY228" s="535"/>
      <c r="GZ228" s="535">
        <f t="shared" si="531"/>
        <v>0</v>
      </c>
      <c r="HA228" s="535" t="str">
        <f t="shared" si="532"/>
        <v/>
      </c>
      <c r="HB228" s="535">
        <f>IF(GK228="P",Lookup!$N$12,IF(GK228="PP",Lookup!$N$13,IF(GK228="PPP",Lookup!$N$14,IF(GK228="T",Lookup!$N$15,IF(GK228="TP",Lookup!$N$16,IF(GK228="TPP",Lookup!$N$17,IF(GK228="TPPP",Lookup!$N$18,0)))))))*GJ228</f>
        <v>0</v>
      </c>
      <c r="HC228" s="521">
        <f t="shared" si="493"/>
        <v>0</v>
      </c>
      <c r="HD228" s="535">
        <f t="shared" si="494"/>
        <v>1215.9732106977326</v>
      </c>
      <c r="HE228" s="535">
        <f t="shared" si="535"/>
        <v>396.3406814529767</v>
      </c>
      <c r="HF228" s="535"/>
      <c r="HG228" s="535">
        <f t="shared" si="533"/>
        <v>0</v>
      </c>
      <c r="HH228" s="535" t="str">
        <f t="shared" si="534"/>
        <v/>
      </c>
      <c r="HI228" s="535">
        <f>IF(GK228="P",Lookup!$N$12,IF(GK228="PP",Lookup!$N$13,IF(GK228="PPP",Lookup!$N$14,IF(GK228="T",Lookup!$N$15,IF(GK228="TP",Lookup!$N$16,IF(GK228="TPP",Lookup!$N$17,IF(GK228="TPPP",Lookup!$N$18,0)))))))*GJ228</f>
        <v>0</v>
      </c>
      <c r="HJ228" s="521">
        <f t="shared" si="495"/>
        <v>0</v>
      </c>
      <c r="HK228" s="535">
        <f t="shared" si="496"/>
        <v>757.68403356349461</v>
      </c>
      <c r="HL228" s="535">
        <f t="shared" si="536"/>
        <v>246.963505072847</v>
      </c>
      <c r="HM228" s="535"/>
      <c r="HN228" s="541"/>
      <c r="HO228" s="541"/>
      <c r="HP228" s="541"/>
      <c r="HQ228" s="541">
        <f>IF(AND(B228&gt;=$FV$4,B228&lt;=$FW$4),MAX(110/1.02+$HQ$6+MIN(113/1.02,G228),IF($HV$6-(Sheet1!DA226-Sheet1!DB226)+MIN(113/1.02,G228)&lt;G228+FL228,$HV$6-(Sheet1!DA226-Sheet1!DB226)+MIN(113/1.02,G228),G228+FL228)),MIN(110/1.02+$HQ$6+113/1.02,G228))</f>
        <v>249.78431372549019</v>
      </c>
      <c r="HR228" s="541">
        <f t="shared" si="552"/>
        <v>254.78</v>
      </c>
      <c r="HS228" s="541">
        <f>HR228+(Sheet1!DA226-Sheet1!DB226)</f>
        <v>380.78</v>
      </c>
      <c r="HT228" s="541">
        <f t="shared" si="553"/>
        <v>93.000719742120353</v>
      </c>
      <c r="HU228" s="541">
        <f t="shared" si="554"/>
        <v>287.77928025787963</v>
      </c>
      <c r="HV228" s="541">
        <f t="shared" si="555"/>
        <v>0</v>
      </c>
      <c r="HW228" s="533" t="str">
        <f t="shared" si="556"/>
        <v/>
      </c>
      <c r="HX228" s="541">
        <f t="shared" si="557"/>
        <v>16.711686274509788</v>
      </c>
      <c r="HY228" s="541">
        <f>Sheet1!CZ226</f>
        <v>316</v>
      </c>
      <c r="HZ228" s="541">
        <f t="shared" si="558"/>
        <v>49.503999999999998</v>
      </c>
      <c r="IA228" s="541">
        <f t="shared" si="559"/>
        <v>93.000719742120353</v>
      </c>
      <c r="IB228" s="541">
        <f t="shared" si="560"/>
        <v>266.49599999999998</v>
      </c>
      <c r="IC228" s="1019" t="str">
        <f t="shared" si="561"/>
        <v/>
      </c>
      <c r="ID228" s="541">
        <f t="shared" si="562"/>
        <v>173.49528025787964</v>
      </c>
      <c r="IE228" s="541">
        <f>Sheet1!DB226</f>
        <v>187</v>
      </c>
      <c r="IF228" s="533">
        <f>Sheet1!DA226</f>
        <v>313</v>
      </c>
      <c r="IH228" s="541">
        <f>IF(AND($B228&gt;=$GC228,$B228&lt;=$GH228,$DR228&lt;0)+N("only adjusted when pool is drawn down during storage season"),Sheet1!$DB226+$DR228+N("Palmer minus all storage release"),Sheet1!$DB226)</f>
        <v>42.673222390194439</v>
      </c>
      <c r="II228" s="541">
        <f>IF(AND($B228&gt;=$GC228,$B228&lt;=$GH228,$DR228&lt;0)+N("only adjusted when pool is drawn down during storage season"),Sheet1!$DA226+$DR228+N("Auburn minus all storage release"),Sheet1!$DA226)</f>
        <v>168.67322239019444</v>
      </c>
    </row>
    <row r="229" spans="1:243" x14ac:dyDescent="0.25">
      <c r="A229" s="553" t="s">
        <v>3</v>
      </c>
      <c r="B229" s="531">
        <v>42953</v>
      </c>
      <c r="C229" s="536">
        <v>0</v>
      </c>
      <c r="D229" s="506">
        <f t="shared" si="506"/>
        <v>200</v>
      </c>
      <c r="E229" s="506">
        <f t="shared" si="507"/>
        <v>400</v>
      </c>
      <c r="F229" s="506">
        <v>250</v>
      </c>
      <c r="G229" s="535">
        <f>DR229+Sheet1!CZ227</f>
        <v>171.67322239019811</v>
      </c>
      <c r="H229" s="1074">
        <f t="shared" si="563"/>
        <v>0</v>
      </c>
      <c r="I229" s="534">
        <f>IF(Sheet1!DA227&gt;=E229,(Sheet1!DA227-E229+P229)*CFStoMGD,0)</f>
        <v>0</v>
      </c>
      <c r="J229" s="995">
        <f>IF(Sheet1!DB227&gt;=D229,(Sheet1!DB227-D229+P229)*CFStoMGD,0)</f>
        <v>0</v>
      </c>
      <c r="K229" s="818">
        <f t="shared" si="538"/>
        <v>0</v>
      </c>
      <c r="L229" s="535">
        <f>Sheet1!AA227+Sheet1!AB227-Sheet1!L227+(Sheet1!DA227-F229)*CFStoMGD-S229-T229-U229</f>
        <v>96.183142277339329</v>
      </c>
      <c r="M229" s="535">
        <f t="shared" si="436"/>
        <v>113.18896237208455</v>
      </c>
      <c r="N229" s="824">
        <f>IF(Sheet1!DA227&gt;=F229,MIN(113*CFStoMGD,MIN(MAX(L229,0),MAX(M229,0))),0)</f>
        <v>73.043199999999999</v>
      </c>
      <c r="O229" s="538">
        <f>Sheet1!AA227+Sheet1!AB227</f>
        <v>92.81</v>
      </c>
      <c r="P229" s="538">
        <f t="shared" si="437"/>
        <v>143.57706999999999</v>
      </c>
      <c r="Q229" s="812">
        <f t="shared" si="539"/>
        <v>61.277542277339343</v>
      </c>
      <c r="R229" s="812">
        <f t="shared" si="508"/>
        <v>32</v>
      </c>
      <c r="S229" s="812">
        <f t="shared" si="509"/>
        <v>0</v>
      </c>
      <c r="T229" s="812">
        <f t="shared" si="510"/>
        <v>0</v>
      </c>
      <c r="U229" s="812">
        <f>IF(AND(B229&gt;=FV229,B229&lt;=FW229),ED229+Sheet1!EH227,0)</f>
        <v>31.532457722660659</v>
      </c>
      <c r="V229" s="812"/>
      <c r="W229" s="812">
        <f t="shared" si="511"/>
        <v>0</v>
      </c>
      <c r="X229" s="812">
        <f t="shared" si="512"/>
        <v>0</v>
      </c>
      <c r="Y229" s="812" t="str">
        <f t="shared" si="513"/>
        <v>FALSE</v>
      </c>
      <c r="Z229" s="812">
        <f t="shared" si="514"/>
        <v>92.81</v>
      </c>
      <c r="AA229" s="812">
        <f t="shared" si="515"/>
        <v>92.81</v>
      </c>
      <c r="AB229" s="1059">
        <f t="shared" si="540"/>
        <v>94.796357903043955</v>
      </c>
      <c r="AC229" s="538">
        <f>Sheet1!Y227*MGDtoCFS</f>
        <v>77.860509999999991</v>
      </c>
      <c r="AD229" s="538">
        <f>Sheet1!Z227*MGDtoCFS</f>
        <v>64.355199999999996</v>
      </c>
      <c r="AE229" s="538">
        <f>Sheet1!AA227*MGDtoCFS</f>
        <v>75.277019999999993</v>
      </c>
      <c r="AF229" s="538">
        <f>Sheet1!AB227*MGDtoCFS</f>
        <v>68.300049999999999</v>
      </c>
      <c r="AG229" s="538">
        <f>Sheet1!L227*MGDtoCFS</f>
        <v>0</v>
      </c>
      <c r="AH229" s="521">
        <f t="shared" si="438"/>
        <v>32.006381059751973</v>
      </c>
      <c r="AI229" s="1059">
        <f t="shared" si="439"/>
        <v>49.513871499436299</v>
      </c>
      <c r="AJ229" s="535">
        <f t="shared" si="440"/>
        <v>0</v>
      </c>
      <c r="AK229" s="535">
        <f t="shared" si="441"/>
        <v>0</v>
      </c>
      <c r="AL229" s="535">
        <f>(VLOOKUP(Sheet1!DC227,hhdcap_wcm,4)-(((VLOOKUP(Sheet1!DC227,hhdcap_wcm,3)-Sheet1!DC227)/(VLOOKUP(Sheet1!DC227,hhdcap_wcm,3)-VLOOKUP(Sheet1!DC227,hhdcap_wcm,1)))*(VLOOKUP(Sheet1!DC227,hhdcap_wcm,4)-VLOOKUP(Sheet1!DC227,hhdcap_wcm,2))))</f>
        <v>42062.800000104602</v>
      </c>
      <c r="AM229" s="535">
        <f t="shared" si="442"/>
        <v>-286.2000000002372</v>
      </c>
      <c r="AN229" s="1035">
        <f t="shared" si="443"/>
        <v>2360.9026826215695</v>
      </c>
      <c r="AO229" s="535">
        <f t="shared" si="444"/>
        <v>7243.2494302829755</v>
      </c>
      <c r="AP229" s="535">
        <f>Sheet1!BA227+Sheet1!BB227+Sheet1!BN227+CD229</f>
        <v>22.72</v>
      </c>
      <c r="AQ229" s="535">
        <f>Sheet1!BN227+(DO229*Sheet1!BN227)</f>
        <v>21.90078917700113</v>
      </c>
      <c r="AR229" s="535">
        <f>Sheet1!BA227+CD229</f>
        <v>0</v>
      </c>
      <c r="AS229" s="535">
        <f>Sheet1!BA227+Sheet1!BB227+CD229</f>
        <v>0.72</v>
      </c>
      <c r="AT229" s="649">
        <f>0</f>
        <v>0</v>
      </c>
      <c r="AU229" s="974">
        <f>BA229+MAX(Sheet1!EH227,(O229-Q229-ED229-S229))</f>
        <v>10</v>
      </c>
      <c r="AV229" s="535">
        <f>IF(OR(B229&gt;=GD229,B229&lt;GC229),0,15/36*K229-MAX(0,64.6-(137.6-(Sheet1!AA227+Sheet1!AB227))))</f>
        <v>0</v>
      </c>
      <c r="AW229" s="1029"/>
      <c r="AX229" s="649"/>
      <c r="AY229" s="649">
        <f t="shared" si="541"/>
        <v>0</v>
      </c>
      <c r="AZ229" s="649">
        <f t="shared" si="542"/>
        <v>0</v>
      </c>
      <c r="BA229" s="1059">
        <f t="shared" si="543"/>
        <v>0</v>
      </c>
      <c r="BB229" s="1019">
        <f t="shared" si="445"/>
        <v>1199.8333333333335</v>
      </c>
      <c r="BC229" s="1041">
        <f t="shared" si="544"/>
        <v>0</v>
      </c>
      <c r="BD229" s="1019">
        <f ca="1">IF(B229&gt;(Summary!$A$1-1),#N/A,BB229*MGtoAF)</f>
        <v>3681.088666666667</v>
      </c>
      <c r="BE229" s="535">
        <f>Sheet1!BG227+Sheet1!BH227+Sheet1!BI227-BM229</f>
        <v>3.02</v>
      </c>
      <c r="BF229" s="535">
        <f t="shared" si="446"/>
        <v>3.0063810597519733</v>
      </c>
      <c r="BG229" s="535">
        <f>IF(Sheet1!EP227="FM",BM229,0)</f>
        <v>0</v>
      </c>
      <c r="BH229" s="535">
        <f t="shared" si="447"/>
        <v>0</v>
      </c>
      <c r="BI229" s="535">
        <f>IF(Sheet1!EP227="OTHER",BM229,0)</f>
        <v>0</v>
      </c>
      <c r="BJ229" s="535">
        <f t="shared" si="448"/>
        <v>0</v>
      </c>
      <c r="BK229" s="535">
        <f t="shared" si="449"/>
        <v>3.02</v>
      </c>
      <c r="BL229" s="535">
        <f t="shared" si="450"/>
        <v>3.0063810597519733</v>
      </c>
      <c r="BM229" s="535">
        <f>IF(OR(Sheet1!EP227="FM", Sheet1!EP227="OTHER"),SUM(Sheet1!BG227:'Sheet1'!BI227),0)</f>
        <v>0</v>
      </c>
      <c r="BN229" s="521">
        <f>IF(AND($B229&gt;=$FV229,$B229&lt;=$FW229),MAX(BF229,Sheet1!EI227,0),MAX(BF229-(7/36)*$K229,0))</f>
        <v>3.0063810597519733</v>
      </c>
      <c r="BO229" s="535">
        <f t="shared" si="497"/>
        <v>0</v>
      </c>
      <c r="BP229" s="521">
        <f t="shared" si="452"/>
        <v>0</v>
      </c>
      <c r="BQ229" s="521">
        <f>IF(AND($O229&gt;0,Sheet1!EM227=1),(1-($O229-Sheet1!$L227)/$O229)*BL229,0)</f>
        <v>0</v>
      </c>
      <c r="BR229" s="521">
        <f>IF(AND(Sheet1!$L227=0,Sheet1!$L226=0, Calculation!BK229&lt;Sheet1!$EI227-0.1,Sheet1!$EI227=Sheet1!$EI226,Sheet1!$EI227=Sheet1!$EI228),BL229-BQ229,BL229-BQ229)</f>
        <v>3.0063810597519733</v>
      </c>
      <c r="BS229" s="1035" t="str">
        <f t="shared" si="545"/>
        <v/>
      </c>
      <c r="BT229" s="1035">
        <f t="shared" si="546"/>
        <v>0</v>
      </c>
      <c r="BU229" s="535">
        <f t="shared" si="453"/>
        <v>536.76516276241216</v>
      </c>
      <c r="BV229" s="535"/>
      <c r="BW229" s="535">
        <f ca="1">IF(B229&gt;(Summary!$A$1-1),#N/A,BU229*MGtoAF)</f>
        <v>1646.7955193550806</v>
      </c>
      <c r="BX229" s="535">
        <f>Sheet1!BC227+Sheet1!BD227+Sheet1!BE227+Sheet1!BF227-CG229-CH229</f>
        <v>6.98</v>
      </c>
      <c r="BY229" s="535">
        <f t="shared" si="454"/>
        <v>6.9485231116121771</v>
      </c>
      <c r="BZ229" s="535">
        <f>IF(Sheet1!EQ227="FM",CH229,0)</f>
        <v>0</v>
      </c>
      <c r="CA229" s="535">
        <f t="shared" si="455"/>
        <v>0</v>
      </c>
      <c r="CB229" s="535">
        <f>IF(Sheet1!EQ227="OTHER",CH229,0)</f>
        <v>0</v>
      </c>
      <c r="CC229" s="535">
        <f t="shared" si="456"/>
        <v>0</v>
      </c>
      <c r="CD229" s="535">
        <f t="shared" si="457"/>
        <v>0</v>
      </c>
      <c r="CE229" s="535">
        <f t="shared" si="458"/>
        <v>6.98</v>
      </c>
      <c r="CF229" s="535">
        <f t="shared" si="459"/>
        <v>6.9485231116121771</v>
      </c>
      <c r="CG229" s="535">
        <f>IF(Sheet1!EQ227="CWA",SUM(Sheet1!BC227:'Sheet1'!BF227),0)</f>
        <v>0</v>
      </c>
      <c r="CH229" s="535">
        <f>IF(OR(Sheet1!EQ227="FM", Sheet1!EQ227="OTHER"),SUM(Sheet1!BC227:'Sheet1'!BF227),0)</f>
        <v>0</v>
      </c>
      <c r="CI229" s="521">
        <f>IF(AND($B229&gt;=$FV229,$B229&lt;=$FW229),MAX(CF229,Sheet1!EJ227,0),MAX(CF229-(7/36)*$K229,0))</f>
        <v>7</v>
      </c>
      <c r="CJ229" s="535">
        <f t="shared" si="499"/>
        <v>0</v>
      </c>
      <c r="CK229" s="521">
        <f t="shared" si="461"/>
        <v>0</v>
      </c>
      <c r="CL229" s="521">
        <f>IF(AND($O229&gt;0,Sheet1!EN227=1),(1-($O229-Sheet1!$L227)/$O229)*CF229,0)</f>
        <v>0</v>
      </c>
      <c r="CM229" s="521">
        <f>IF(AND(Sheet1!$L227=0,Sheet1!$L226=0, Calculation!CE229&lt;Sheet1!EJ227-0.1,Sheet1!EJ227=Sheet1!EJ226,Sheet1!EJ227=Sheet1!EJ228),CF229-CL229,CF229-CL229)</f>
        <v>6.9485231116121771</v>
      </c>
      <c r="CN229" s="1040" t="str">
        <f t="shared" si="547"/>
        <v/>
      </c>
      <c r="CO229" s="1035">
        <f t="shared" si="548"/>
        <v>0</v>
      </c>
      <c r="CP229" s="535">
        <f t="shared" si="462"/>
        <v>389.3406814529767</v>
      </c>
      <c r="CQ229" s="535"/>
      <c r="CR229" s="535">
        <f ca="1">IF(B229&gt;(Summary!$A$1-1),#N/A,CP229*MGtoAF)</f>
        <v>1194.4972106977325</v>
      </c>
      <c r="CS229" s="535">
        <f>Sheet1!BK227+Sheet1!BL227+Sheet1!BM227-Sheet1!ER227-DA229</f>
        <v>11.63</v>
      </c>
      <c r="CT229" s="535">
        <f t="shared" si="463"/>
        <v>11.577553551296507</v>
      </c>
      <c r="CU229" s="535">
        <f>IF(Sheet1!ER227="FM",DA229,0)</f>
        <v>0</v>
      </c>
      <c r="CV229" s="535">
        <f t="shared" si="464"/>
        <v>0</v>
      </c>
      <c r="CW229" s="535">
        <f>IF(Sheet1!ER227="OTHER",DA229,0)</f>
        <v>0</v>
      </c>
      <c r="CX229" s="535">
        <f t="shared" si="465"/>
        <v>0</v>
      </c>
      <c r="CY229" s="535">
        <f t="shared" si="466"/>
        <v>11.63</v>
      </c>
      <c r="CZ229" s="535">
        <f t="shared" si="467"/>
        <v>11.577553551296507</v>
      </c>
      <c r="DA229" s="535">
        <f>IF(OR(Sheet1!ER227="FM", Sheet1!ER227="OTHER"),SUM(Sheet1!BK227:'Sheet1'!BM227),0)</f>
        <v>0</v>
      </c>
      <c r="DB229" s="1011">
        <f>IF(AND($B229&gt;=$FV229,$B229&lt;=$FW229),MAX($CT229,Sheet1!EK227,0),MAX($CT229-(7/36)*$K229,0))</f>
        <v>12</v>
      </c>
      <c r="DC229" s="1012">
        <f t="shared" si="498"/>
        <v>0</v>
      </c>
      <c r="DD229" s="1011">
        <f t="shared" si="469"/>
        <v>0</v>
      </c>
      <c r="DE229" s="521">
        <f>IF(AND($O229&gt;0,Sheet1!EO227=1),(1-($O229-Sheet1!$L227)/$O229)*CZ229,0)</f>
        <v>0</v>
      </c>
      <c r="DF229" s="521">
        <f>IF(AND(Sheet1!$L227=0,Sheet1!$L226=0, Calculation!CY229&lt;Sheet1!$EK227-0.1,Sheet1!$EK227=Sheet1!$EK226,Sheet1!$EK227=Sheet1!$EK228),CZ229-DE229,CZ229-DE229)</f>
        <v>11.577553551296507</v>
      </c>
      <c r="DG229" s="1040">
        <f t="shared" si="549"/>
        <v>0</v>
      </c>
      <c r="DH229" s="649">
        <f t="shared" si="470"/>
        <v>21.630000000000003</v>
      </c>
      <c r="DI229" s="535">
        <f t="shared" si="471"/>
        <v>234.963505072847</v>
      </c>
      <c r="DJ229" s="649">
        <f t="shared" si="472"/>
        <v>21.532457722660659</v>
      </c>
      <c r="DK229" s="535">
        <f ca="1">IF(B229&gt;(Summary!$A$1-1),#N/A,DI229*MGtoAF)</f>
        <v>720.86803356349458</v>
      </c>
      <c r="DL229" s="649">
        <f t="shared" si="473"/>
        <v>21.63</v>
      </c>
      <c r="DM229" s="535">
        <f t="shared" si="474"/>
        <v>44.349999999999994</v>
      </c>
      <c r="DN229" s="535">
        <f>Sheet1!AB227-DM229</f>
        <v>-0.19999999999999574</v>
      </c>
      <c r="DO229" s="743">
        <f t="shared" si="475"/>
        <v>-4.5095828635850228E-3</v>
      </c>
      <c r="DP229" s="535">
        <f>(VLOOKUP(Sheet1!DC227,hhdcap_wcm,4)-(((VLOOKUP(Sheet1!DC227,hhdcap_wcm,3)-Sheet1!DC227)/(VLOOKUP(Sheet1!DC227,hhdcap_wcm,3)-VLOOKUP(Sheet1!DC227,hhdcap_wcm,1)))*(VLOOKUP(Sheet1!DC227,hhdcap_wcm,4)-VLOOKUP(Sheet1!DC227,hhdcap_wcm,2))))</f>
        <v>42062.800000104602</v>
      </c>
      <c r="DQ229" s="535">
        <f t="shared" si="476"/>
        <v>-286.2000000002372</v>
      </c>
      <c r="DR229" s="535">
        <f t="shared" si="477"/>
        <v>-144.32677760980189</v>
      </c>
      <c r="DS229" s="535">
        <f>Sheet1!EA227*AFtoMG</f>
        <v>0</v>
      </c>
      <c r="DT229" s="535">
        <f>Sheet1!EB227*AFtoMG</f>
        <v>0</v>
      </c>
      <c r="DU229" s="535">
        <f>Sheet1!EC227*AFtoMG</f>
        <v>0</v>
      </c>
      <c r="DV229" s="535">
        <f>Sheet1!ED227*AFtoMG</f>
        <v>0</v>
      </c>
      <c r="DW229" s="535">
        <f t="shared" si="478"/>
        <v>0</v>
      </c>
      <c r="DX229" s="535">
        <f t="shared" si="479"/>
        <v>0</v>
      </c>
      <c r="DY229" s="535">
        <f t="shared" si="480"/>
        <v>2360.9026826215695</v>
      </c>
      <c r="DZ229" s="535">
        <f t="shared" si="481"/>
        <v>7243.2494302829755</v>
      </c>
      <c r="EA229" s="535"/>
      <c r="EB229" s="521">
        <f>IF(OR(B229&lt;FV229,B229&gt;FW229),(MIN(BF229+BY229+CT229+MAX(Sheet1!AA227+AQ229-73,0),K229)),0)</f>
        <v>0</v>
      </c>
      <c r="EC229" s="535"/>
      <c r="ED229" s="535">
        <f t="shared" si="482"/>
        <v>21.532457722660659</v>
      </c>
      <c r="EE229" s="535"/>
      <c r="EF229" s="535">
        <f>Sheet1!EH227+Sheet1!EI227+Sheet1!EJ227+Sheet1!EK227</f>
        <v>32</v>
      </c>
      <c r="EG229" s="1019">
        <f t="shared" si="550"/>
        <v>49.503999999999998</v>
      </c>
      <c r="EH229" s="521">
        <f t="shared" si="483"/>
        <v>0</v>
      </c>
      <c r="EI229" s="535">
        <f>IF(Sheet1!ET227=1,SUM('Calculations II'!AT229:BA229)+'Calculations II'!BC229+Sheet1!BV227+'Calculations II'!BE229+AP229,'Calculations II'!BK229)</f>
        <v>83.149695177001121</v>
      </c>
      <c r="EJ229" s="535">
        <f ca="1">EI229+'Calculations II'!D229+'Calculations II'!E229+'Calculations II'!O229</f>
        <v>86.533150998141949</v>
      </c>
      <c r="EK229" s="535"/>
      <c r="EL229" s="535"/>
      <c r="EM229" s="535">
        <f t="shared" si="484"/>
        <v>42953</v>
      </c>
      <c r="EN229" s="535">
        <f t="shared" si="485"/>
        <v>-32.006381059751973</v>
      </c>
      <c r="EO229" s="535">
        <f t="shared" si="486"/>
        <v>-49.513871499436299</v>
      </c>
      <c r="EP229" s="535">
        <v>0</v>
      </c>
      <c r="EQ229" s="535">
        <v>0</v>
      </c>
      <c r="ER229" s="535">
        <v>0</v>
      </c>
      <c r="ES229" s="521">
        <f t="shared" si="516"/>
        <v>-3.3279423827167598</v>
      </c>
      <c r="ET229" s="535">
        <f>-(VLOOKUP(Sheet1!BQ227,Lookup!$O$4:$Q$262,2)-VLOOKUP(Sheet1!BQ226,Lookup!$O$4:$Q$262,2))/1000000</f>
        <v>-1.6637018704726174</v>
      </c>
      <c r="EU229" s="535">
        <f>-(VLOOKUP(Sheet1!BR227,Lookup!$O$4:$Q$262,3)-VLOOKUP(Sheet1!BR226,Lookup!$O$4:$Q$262,3))/1000000</f>
        <v>-1.6642405122441426</v>
      </c>
      <c r="EV229" s="535"/>
      <c r="EW229" s="535"/>
      <c r="EX229" s="535"/>
      <c r="EY229" s="535"/>
      <c r="EZ229" s="535"/>
      <c r="FA229" s="535"/>
      <c r="FB229" s="535"/>
      <c r="FC229" s="535"/>
      <c r="FD229" s="567">
        <f t="shared" si="566"/>
        <v>1135.7272727271966</v>
      </c>
      <c r="FE229" s="567" t="e">
        <f t="shared" si="488"/>
        <v>#N/A</v>
      </c>
      <c r="FF229" s="568" t="e">
        <f t="shared" si="489"/>
        <v>#N/A</v>
      </c>
      <c r="FG229" s="569" t="s">
        <v>656</v>
      </c>
      <c r="FH229" s="569" t="s">
        <v>656</v>
      </c>
      <c r="FI229" s="567" t="e">
        <v>#N/A</v>
      </c>
      <c r="FJ229" s="725">
        <v>20061</v>
      </c>
      <c r="FK229" s="535"/>
      <c r="FL229" s="1015">
        <f t="shared" si="565"/>
        <v>84.720121028744316</v>
      </c>
      <c r="FM229" s="535"/>
      <c r="FN229" s="535"/>
      <c r="FO229" s="535">
        <f>O229+((Sheet1!CS227)*GPMtoMGD)</f>
        <v>106.771232</v>
      </c>
      <c r="FP229" s="535">
        <f>IF(Sheet1!AA227+AQ229&lt;=Calculation!N229,AQ229,Calculation!N229-Sheet1!AA227)</f>
        <v>21.90078917700113</v>
      </c>
      <c r="FQ229" s="535">
        <f>(Sheet1!BP227+Sheet1!BO227)/694.4</f>
        <v>4.4559331797235018</v>
      </c>
      <c r="FR229" s="541"/>
      <c r="FS229" s="541"/>
      <c r="FT229" s="541"/>
      <c r="FU229" s="541"/>
      <c r="FV229" s="1109">
        <f t="shared" si="517"/>
        <v>42918</v>
      </c>
      <c r="FW229" s="1109">
        <f t="shared" si="518"/>
        <v>43027</v>
      </c>
      <c r="FX229" s="541"/>
      <c r="FY229" s="541">
        <f>Sheet1!DA227-Sheet1!CZ227-Sheet1!AE227</f>
        <v>-155.57706999999999</v>
      </c>
      <c r="FZ229" s="535">
        <f t="shared" si="551"/>
        <v>-0.90623958608050725</v>
      </c>
      <c r="GA229" s="535"/>
      <c r="GB229" s="535" t="str">
        <f t="shared" si="519"/>
        <v>n</v>
      </c>
      <c r="GC229" s="539">
        <f t="shared" si="520"/>
        <v>42782</v>
      </c>
      <c r="GD229" s="1109">
        <f t="shared" si="521"/>
        <v>42904</v>
      </c>
      <c r="GE229" s="535">
        <f t="shared" si="537"/>
        <v>6520</v>
      </c>
      <c r="GF229" s="1109">
        <f t="shared" si="522"/>
        <v>42909</v>
      </c>
      <c r="GG229" s="535">
        <f t="shared" si="564"/>
        <v>3260</v>
      </c>
      <c r="GH229" s="539">
        <f t="shared" si="523"/>
        <v>43040</v>
      </c>
      <c r="GJ229" s="521">
        <f t="shared" si="524"/>
        <v>0</v>
      </c>
      <c r="GK229" s="535" t="str">
        <f t="shared" si="490"/>
        <v/>
      </c>
      <c r="GL229" s="535">
        <f t="shared" si="525"/>
        <v>0</v>
      </c>
      <c r="GM229" s="535" t="str">
        <f t="shared" si="526"/>
        <v/>
      </c>
      <c r="GN229" s="535">
        <f>IF(GK229="P",Lookup!$M$12,IF(GK229="PP",Lookup!$M$13,IF(GK229="PPP",Lookup!$M$14,IF(GK229="T",Lookup!$M$15,IF(GK229="TP",Lookup!$M$16,IF(GK229="TPP",Lookup!$M$17,IF(GK229="TPPP",Lookup!$M$18,0)))))))*GJ229</f>
        <v>0</v>
      </c>
      <c r="GO229" s="535">
        <f t="shared" si="527"/>
        <v>0</v>
      </c>
      <c r="GP229" s="535">
        <f t="shared" si="491"/>
        <v>3681.088666666667</v>
      </c>
      <c r="GQ229" s="974">
        <f t="shared" si="500"/>
        <v>1199.8333333333335</v>
      </c>
      <c r="GR229" s="535"/>
      <c r="GS229" s="535">
        <f t="shared" si="528"/>
        <v>0</v>
      </c>
      <c r="GT229" s="535" t="str">
        <f t="shared" si="529"/>
        <v/>
      </c>
      <c r="GU229" s="535">
        <f>IF(GK229="P",Lookup!$N$12,IF(GK229="PP",Lookup!$N$13,IF(GK229="PPP",Lookup!$N$14,IF(GK229="T",Lookup!$N$15,IF(GK229="TP",Lookup!$N$16,IF(GK229="TPP",Lookup!$N$17,IF(GK229="TPPP",Lookup!$N$18,0)))))))*GJ229</f>
        <v>0</v>
      </c>
      <c r="GV229" s="535">
        <f t="shared" si="530"/>
        <v>0</v>
      </c>
      <c r="GW229" s="535">
        <f t="shared" si="492"/>
        <v>1646.7955193550806</v>
      </c>
      <c r="GX229" s="974">
        <f t="shared" si="501"/>
        <v>536.76516276241216</v>
      </c>
      <c r="GY229" s="535"/>
      <c r="GZ229" s="535">
        <f t="shared" si="531"/>
        <v>0</v>
      </c>
      <c r="HA229" s="535" t="str">
        <f t="shared" si="532"/>
        <v/>
      </c>
      <c r="HB229" s="535">
        <f>IF(GK229="P",Lookup!$N$12,IF(GK229="PP",Lookup!$N$13,IF(GK229="PPP",Lookup!$N$14,IF(GK229="T",Lookup!$N$15,IF(GK229="TP",Lookup!$N$16,IF(GK229="TPP",Lookup!$N$17,IF(GK229="TPPP",Lookup!$N$18,0)))))))*GJ229</f>
        <v>0</v>
      </c>
      <c r="HC229" s="521">
        <f t="shared" si="493"/>
        <v>0</v>
      </c>
      <c r="HD229" s="535">
        <f t="shared" si="494"/>
        <v>1194.4972106977325</v>
      </c>
      <c r="HE229" s="535">
        <f t="shared" si="535"/>
        <v>389.3406814529767</v>
      </c>
      <c r="HF229" s="535"/>
      <c r="HG229" s="535">
        <f t="shared" si="533"/>
        <v>0</v>
      </c>
      <c r="HH229" s="535" t="str">
        <f t="shared" si="534"/>
        <v/>
      </c>
      <c r="HI229" s="535">
        <f>IF(GK229="P",Lookup!$N$12,IF(GK229="PP",Lookup!$N$13,IF(GK229="PPP",Lookup!$N$14,IF(GK229="T",Lookup!$N$15,IF(GK229="TP",Lookup!$N$16,IF(GK229="TPP",Lookup!$N$17,IF(GK229="TPPP",Lookup!$N$18,0)))))))*GJ229</f>
        <v>0</v>
      </c>
      <c r="HJ229" s="521">
        <f t="shared" si="495"/>
        <v>0</v>
      </c>
      <c r="HK229" s="535">
        <f t="shared" si="496"/>
        <v>720.86803356349458</v>
      </c>
      <c r="HL229" s="535">
        <f t="shared" si="536"/>
        <v>234.963505072847</v>
      </c>
      <c r="HM229" s="535"/>
      <c r="HN229" s="541"/>
      <c r="HO229" s="541"/>
      <c r="HP229" s="541"/>
      <c r="HQ229" s="541">
        <f>IF(AND(B229&gt;=$FV$4,B229&lt;=$FW$4),MAX(110/1.02+$HQ$6+MIN(113/1.02,G229),IF($HV$6-(Sheet1!DA227-Sheet1!DB227)+MIN(113/1.02,G229)&lt;G229+FL229,$HV$6-(Sheet1!DA227-Sheet1!DB227)+MIN(113/1.02,G229),G229+FL229)),MIN(110/1.02+$HQ$6+113/1.02,G229))</f>
        <v>256.39334341894244</v>
      </c>
      <c r="HR229" s="541">
        <f t="shared" si="552"/>
        <v>261.52121028732131</v>
      </c>
      <c r="HS229" s="541">
        <f>HR229+(Sheet1!DA227-Sheet1!DB227)</f>
        <v>369.52121028732131</v>
      </c>
      <c r="HT229" s="541">
        <f t="shared" si="553"/>
        <v>94.796357903043955</v>
      </c>
      <c r="HU229" s="541">
        <f t="shared" si="554"/>
        <v>274.72485238427737</v>
      </c>
      <c r="HV229" s="541">
        <f t="shared" si="555"/>
        <v>0</v>
      </c>
      <c r="HW229" s="533" t="str">
        <f t="shared" si="556"/>
        <v/>
      </c>
      <c r="HX229" s="541">
        <f t="shared" si="557"/>
        <v>10.092785081621287</v>
      </c>
      <c r="HY229" s="541">
        <f>Sheet1!CZ227</f>
        <v>316</v>
      </c>
      <c r="HZ229" s="541">
        <f t="shared" si="558"/>
        <v>49.513871499436299</v>
      </c>
      <c r="IA229" s="541">
        <f t="shared" si="559"/>
        <v>94.796357903043955</v>
      </c>
      <c r="IB229" s="541">
        <f t="shared" si="560"/>
        <v>266.48612850056372</v>
      </c>
      <c r="IC229" s="1019" t="str">
        <f t="shared" si="561"/>
        <v/>
      </c>
      <c r="ID229" s="541">
        <f t="shared" si="562"/>
        <v>171.68977059751978</v>
      </c>
      <c r="IE229" s="541">
        <f>Sheet1!DB227</f>
        <v>196</v>
      </c>
      <c r="IF229" s="533">
        <f>Sheet1!DA227</f>
        <v>304</v>
      </c>
      <c r="IH229" s="541">
        <f>IF(AND($B229&gt;=$GC229,$B229&lt;=$GH229,$DR229&lt;0)+N("only adjusted when pool is drawn down during storage season"),Sheet1!$DB227+$DR229+N("Palmer minus all storage release"),Sheet1!$DB227)</f>
        <v>51.673222390198106</v>
      </c>
      <c r="II229" s="541">
        <f>IF(AND($B229&gt;=$GC229,$B229&lt;=$GH229,$DR229&lt;0)+N("only adjusted when pool is drawn down during storage season"),Sheet1!$DA227+$DR229+N("Auburn minus all storage release"),Sheet1!$DA227)</f>
        <v>159.67322239019811</v>
      </c>
    </row>
    <row r="230" spans="1:243" x14ac:dyDescent="0.25">
      <c r="A230" s="553" t="s">
        <v>4</v>
      </c>
      <c r="B230" s="531">
        <v>42954</v>
      </c>
      <c r="C230" s="536">
        <v>0</v>
      </c>
      <c r="D230" s="506">
        <f t="shared" si="506"/>
        <v>200</v>
      </c>
      <c r="E230" s="506">
        <f t="shared" si="507"/>
        <v>400</v>
      </c>
      <c r="F230" s="506">
        <v>250</v>
      </c>
      <c r="G230" s="535">
        <f>DR230+Sheet1!CZ228</f>
        <v>163.67322239019444</v>
      </c>
      <c r="H230" s="1074">
        <f t="shared" si="563"/>
        <v>0</v>
      </c>
      <c r="I230" s="534">
        <f>IF(Sheet1!DA228&gt;=E230,(Sheet1!DA228-E230+P230)*CFStoMGD,0)</f>
        <v>0</v>
      </c>
      <c r="J230" s="995">
        <f>IF(Sheet1!DB228&gt;=D230,(Sheet1!DB228-D230+P230)*CFStoMGD,0)</f>
        <v>0</v>
      </c>
      <c r="K230" s="818">
        <f t="shared" si="538"/>
        <v>0</v>
      </c>
      <c r="L230" s="535">
        <f>Sheet1!AA228+Sheet1!AB228-Sheet1!L228+(Sheet1!DA228-F230)*CFStoMGD-S230-T230-U230</f>
        <v>109.32718103919782</v>
      </c>
      <c r="M230" s="535">
        <f t="shared" si="436"/>
        <v>107.91433837208213</v>
      </c>
      <c r="N230" s="824">
        <f>IF(Sheet1!DA228&gt;=F230,MIN(113*CFStoMGD,MIN(MAX(L230,0),MAX(M230,0))),0)</f>
        <v>73.043199999999999</v>
      </c>
      <c r="O230" s="538">
        <f>Sheet1!AA228+Sheet1!AB228</f>
        <v>86.73</v>
      </c>
      <c r="P230" s="538">
        <f t="shared" si="437"/>
        <v>134.17131000000001</v>
      </c>
      <c r="Q230" s="812">
        <f t="shared" si="539"/>
        <v>62.786381039197813</v>
      </c>
      <c r="R230" s="812">
        <f t="shared" si="508"/>
        <v>26</v>
      </c>
      <c r="S230" s="812">
        <f t="shared" si="509"/>
        <v>0</v>
      </c>
      <c r="T230" s="812">
        <f t="shared" si="510"/>
        <v>0</v>
      </c>
      <c r="U230" s="812">
        <f>IF(AND(B230&gt;=FV230,B230&lt;=FW230),ED230+Sheet1!EH228,0)</f>
        <v>23.943618960802191</v>
      </c>
      <c r="V230" s="812"/>
      <c r="W230" s="812">
        <f t="shared" si="511"/>
        <v>0</v>
      </c>
      <c r="X230" s="812">
        <f t="shared" si="512"/>
        <v>0</v>
      </c>
      <c r="Y230" s="812" t="str">
        <f t="shared" si="513"/>
        <v>FALSE</v>
      </c>
      <c r="Z230" s="812">
        <f t="shared" si="514"/>
        <v>86.73</v>
      </c>
      <c r="AA230" s="812">
        <f t="shared" si="515"/>
        <v>86.73</v>
      </c>
      <c r="AB230" s="1059">
        <f t="shared" si="540"/>
        <v>97.130531467639017</v>
      </c>
      <c r="AC230" s="538">
        <f>Sheet1!Y228*MGDtoCFS</f>
        <v>75.277019999999993</v>
      </c>
      <c r="AD230" s="538">
        <f>Sheet1!Z228*MGDtoCFS</f>
        <v>68.300049999999999</v>
      </c>
      <c r="AE230" s="538">
        <f>Sheet1!AA228*MGDtoCFS</f>
        <v>66.335359999999994</v>
      </c>
      <c r="AF230" s="538">
        <f>Sheet1!AB228*MGDtoCFS</f>
        <v>67.835949999999997</v>
      </c>
      <c r="AG230" s="538">
        <f>Sheet1!L228*MGDtoCFS</f>
        <v>0</v>
      </c>
      <c r="AH230" s="521">
        <f t="shared" si="438"/>
        <v>26</v>
      </c>
      <c r="AI230" s="1059">
        <f t="shared" si="439"/>
        <v>40.222000000000001</v>
      </c>
      <c r="AJ230" s="535">
        <f t="shared" si="440"/>
        <v>0</v>
      </c>
      <c r="AK230" s="535">
        <f t="shared" si="441"/>
        <v>0</v>
      </c>
      <c r="AL230" s="535">
        <f>(VLOOKUP(Sheet1!DC228,hhdcap_wcm,4)-(((VLOOKUP(Sheet1!DC228,hhdcap_wcm,3)-Sheet1!DC228)/(VLOOKUP(Sheet1!DC228,hhdcap_wcm,3)-VLOOKUP(Sheet1!DC228,hhdcap_wcm,1)))*(VLOOKUP(Sheet1!DC228,hhdcap_wcm,4)-VLOOKUP(Sheet1!DC228,hhdcap_wcm,2))))</f>
        <v>41776.600000104358</v>
      </c>
      <c r="AM230" s="535">
        <f t="shared" si="442"/>
        <v>-286.20000000024447</v>
      </c>
      <c r="AN230" s="1035">
        <f t="shared" si="443"/>
        <v>2334.9026826215695</v>
      </c>
      <c r="AO230" s="535">
        <f t="shared" si="444"/>
        <v>7163.4814302829755</v>
      </c>
      <c r="AP230" s="535">
        <f>Sheet1!BA228+Sheet1!BB228+Sheet1!BN228+CD230</f>
        <v>19.919999999999998</v>
      </c>
      <c r="AQ230" s="535">
        <f>Sheet1!BN228+(DO230*Sheet1!BN228)</f>
        <v>19.186873290793073</v>
      </c>
      <c r="AR230" s="535">
        <f>Sheet1!BA228+CD230</f>
        <v>0</v>
      </c>
      <c r="AS230" s="535">
        <f>Sheet1!BA228+Sheet1!BB228+CD230</f>
        <v>0.72</v>
      </c>
      <c r="AT230" s="649">
        <f>0</f>
        <v>0</v>
      </c>
      <c r="AU230" s="974">
        <f>BA230+MAX(Sheet1!EH228,(O230-Q230-ED230-S230))</f>
        <v>0</v>
      </c>
      <c r="AV230" s="535">
        <f>IF(OR(B230&gt;=GD230,B230&lt;GC230),0,15/36*K230-MAX(0,64.6-(137.6-(Sheet1!AA228+Sheet1!AB228))))</f>
        <v>0</v>
      </c>
      <c r="AW230" s="1029"/>
      <c r="AX230" s="649"/>
      <c r="AY230" s="649">
        <f t="shared" si="541"/>
        <v>0</v>
      </c>
      <c r="AZ230" s="649">
        <f t="shared" si="542"/>
        <v>0</v>
      </c>
      <c r="BA230" s="1059">
        <f t="shared" si="543"/>
        <v>0</v>
      </c>
      <c r="BB230" s="1019">
        <f t="shared" si="445"/>
        <v>1199.8333333333335</v>
      </c>
      <c r="BC230" s="1041">
        <f t="shared" si="544"/>
        <v>0</v>
      </c>
      <c r="BD230" s="1019">
        <f ca="1">IF(B230&gt;(Summary!$A$1-1),#N/A,BB230*MGtoAF)</f>
        <v>3681.088666666667</v>
      </c>
      <c r="BE230" s="535">
        <f>Sheet1!BG228+Sheet1!BH228+Sheet1!BI228-BM230</f>
        <v>5.4</v>
      </c>
      <c r="BF230" s="535">
        <f t="shared" si="446"/>
        <v>5.3963081130355528</v>
      </c>
      <c r="BG230" s="535">
        <f>IF(Sheet1!EP228="FM",BM230,0)</f>
        <v>0</v>
      </c>
      <c r="BH230" s="535">
        <f t="shared" si="447"/>
        <v>0</v>
      </c>
      <c r="BI230" s="535">
        <f>IF(Sheet1!EP228="OTHER",BM230,0)</f>
        <v>0</v>
      </c>
      <c r="BJ230" s="535">
        <f t="shared" si="448"/>
        <v>0</v>
      </c>
      <c r="BK230" s="535">
        <f t="shared" si="449"/>
        <v>5.4</v>
      </c>
      <c r="BL230" s="535">
        <f t="shared" si="450"/>
        <v>5.3963081130355528</v>
      </c>
      <c r="BM230" s="535">
        <f>IF(OR(Sheet1!EP228="FM", Sheet1!EP228="OTHER"),SUM(Sheet1!BG228:'Sheet1'!BI228),0)</f>
        <v>0</v>
      </c>
      <c r="BN230" s="521">
        <f>IF(AND($B230&gt;=$FV230,$B230&lt;=$FW230),MAX(BF230,Sheet1!EI228,0),MAX(BF230-(7/36)*$K230,0))</f>
        <v>7</v>
      </c>
      <c r="BO230" s="535">
        <f t="shared" si="497"/>
        <v>0</v>
      </c>
      <c r="BP230" s="521">
        <f t="shared" si="452"/>
        <v>0</v>
      </c>
      <c r="BQ230" s="521">
        <f>IF(AND($O230&gt;0,Sheet1!EM228=1),(1-($O230-Sheet1!$L228)/$O230)*BL230,0)</f>
        <v>0</v>
      </c>
      <c r="BR230" s="521">
        <f>IF(AND(Sheet1!$L228=0,Sheet1!$L227=0, Calculation!BK230&lt;Sheet1!$EI228-0.1,Sheet1!$EI228=Sheet1!$EI227,Sheet1!$EI228=Sheet1!$EI229),BL230-BQ230,BL230-BQ230)</f>
        <v>5.3963081130355528</v>
      </c>
      <c r="BS230" s="1035" t="str">
        <f t="shared" si="545"/>
        <v/>
      </c>
      <c r="BT230" s="1035">
        <f t="shared" si="546"/>
        <v>0</v>
      </c>
      <c r="BU230" s="535">
        <f t="shared" si="453"/>
        <v>529.76516276241216</v>
      </c>
      <c r="BV230" s="535"/>
      <c r="BW230" s="535">
        <f ca="1">IF(B230&gt;(Summary!$A$1-1),#N/A,BU230*MGtoAF)</f>
        <v>1625.3195193550805</v>
      </c>
      <c r="BX230" s="535">
        <f>Sheet1!BC228+Sheet1!BD228+Sheet1!BE228+Sheet1!BF228-CG230-CH230</f>
        <v>6.99</v>
      </c>
      <c r="BY230" s="535">
        <f t="shared" si="454"/>
        <v>6.9852210574293538</v>
      </c>
      <c r="BZ230" s="535">
        <f>IF(Sheet1!EQ228="FM",CH230,0)</f>
        <v>0</v>
      </c>
      <c r="CA230" s="535">
        <f t="shared" si="455"/>
        <v>0</v>
      </c>
      <c r="CB230" s="535">
        <f>IF(Sheet1!EQ228="OTHER",CH230,0)</f>
        <v>0</v>
      </c>
      <c r="CC230" s="535">
        <f t="shared" si="456"/>
        <v>0</v>
      </c>
      <c r="CD230" s="535">
        <f t="shared" si="457"/>
        <v>0</v>
      </c>
      <c r="CE230" s="535">
        <f t="shared" si="458"/>
        <v>6.99</v>
      </c>
      <c r="CF230" s="535">
        <f t="shared" si="459"/>
        <v>6.9852210574293538</v>
      </c>
      <c r="CG230" s="535">
        <f>IF(Sheet1!EQ228="CWA",SUM(Sheet1!BC228:'Sheet1'!BF228),0)</f>
        <v>0</v>
      </c>
      <c r="CH230" s="535">
        <f>IF(OR(Sheet1!EQ228="FM", Sheet1!EQ228="OTHER"),SUM(Sheet1!BC228:'Sheet1'!BF228),0)</f>
        <v>0</v>
      </c>
      <c r="CI230" s="521">
        <f>IF(AND($B230&gt;=$FV230,$B230&lt;=$FW230),MAX(CF230,Sheet1!EJ228,0),MAX(CF230-(7/36)*$K230,0))</f>
        <v>7</v>
      </c>
      <c r="CJ230" s="535">
        <f t="shared" si="499"/>
        <v>0</v>
      </c>
      <c r="CK230" s="521">
        <f t="shared" si="461"/>
        <v>0</v>
      </c>
      <c r="CL230" s="521">
        <f>IF(AND($O230&gt;0,Sheet1!EN228=1),(1-($O230-Sheet1!$L228)/$O230)*CF230,0)</f>
        <v>0</v>
      </c>
      <c r="CM230" s="521">
        <f>IF(AND(Sheet1!$L228=0,Sheet1!$L227=0, Calculation!CE230&lt;Sheet1!EJ228-0.1,Sheet1!EJ228=Sheet1!EJ227,Sheet1!EJ228=Sheet1!EJ229),CF230-CL230,CF230-CL230)</f>
        <v>6.9852210574293538</v>
      </c>
      <c r="CN230" s="1040" t="str">
        <f t="shared" si="547"/>
        <v/>
      </c>
      <c r="CO230" s="1035">
        <f t="shared" si="548"/>
        <v>0</v>
      </c>
      <c r="CP230" s="535">
        <f t="shared" si="462"/>
        <v>382.3406814529767</v>
      </c>
      <c r="CQ230" s="535"/>
      <c r="CR230" s="535">
        <f ca="1">IF(B230&gt;(Summary!$A$1-1),#N/A,CP230*MGtoAF)</f>
        <v>1173.0212106977326</v>
      </c>
      <c r="CS230" s="535">
        <f>Sheet1!BK228+Sheet1!BL228+Sheet1!BM228-Sheet1!ER228-DA230</f>
        <v>11.57</v>
      </c>
      <c r="CT230" s="535">
        <f t="shared" si="463"/>
        <v>11.562089790337286</v>
      </c>
      <c r="CU230" s="535">
        <f>IF(Sheet1!ER228="FM",DA230,0)</f>
        <v>0</v>
      </c>
      <c r="CV230" s="535">
        <f t="shared" si="464"/>
        <v>0</v>
      </c>
      <c r="CW230" s="535">
        <f>IF(Sheet1!ER228="OTHER",DA230,0)</f>
        <v>0</v>
      </c>
      <c r="CX230" s="535">
        <f t="shared" si="465"/>
        <v>0</v>
      </c>
      <c r="CY230" s="535">
        <f t="shared" si="466"/>
        <v>11.57</v>
      </c>
      <c r="CZ230" s="535">
        <f t="shared" si="467"/>
        <v>11.562089790337286</v>
      </c>
      <c r="DA230" s="535">
        <f>IF(OR(Sheet1!ER228="FM", Sheet1!ER228="OTHER"),SUM(Sheet1!BK228:'Sheet1'!BM228),0)</f>
        <v>0</v>
      </c>
      <c r="DB230" s="1011">
        <f>IF(AND($B230&gt;=$FV230,$B230&lt;=$FW230),MAX($CT230,Sheet1!EK228,0),MAX($CT230-(7/36)*$K230,0))</f>
        <v>12</v>
      </c>
      <c r="DC230" s="1012">
        <f t="shared" si="498"/>
        <v>0</v>
      </c>
      <c r="DD230" s="1011">
        <f t="shared" si="469"/>
        <v>0</v>
      </c>
      <c r="DE230" s="521">
        <f>IF(AND($O230&gt;0,Sheet1!EO228=1),(1-($O230-Sheet1!$L228)/$O230)*CZ230,0)</f>
        <v>0</v>
      </c>
      <c r="DF230" s="521">
        <f>IF(AND(Sheet1!$L228=0,Sheet1!$L227=0, Calculation!CY230&lt;Sheet1!$EK228-0.1,Sheet1!$EK228=Sheet1!$EK227,Sheet1!$EK228=Sheet1!$EK229),CZ230-DE230,CZ230-DE230)</f>
        <v>11.562089790337286</v>
      </c>
      <c r="DG230" s="1040">
        <f t="shared" si="549"/>
        <v>0</v>
      </c>
      <c r="DH230" s="649">
        <f t="shared" si="470"/>
        <v>23.96</v>
      </c>
      <c r="DI230" s="535">
        <f t="shared" si="471"/>
        <v>222.963505072847</v>
      </c>
      <c r="DJ230" s="649">
        <f t="shared" si="472"/>
        <v>23.943618960802191</v>
      </c>
      <c r="DK230" s="535">
        <f ca="1">IF(B230&gt;(Summary!$A$1-1),#N/A,DI230*MGtoAF)</f>
        <v>684.05203356349466</v>
      </c>
      <c r="DL230" s="649">
        <f t="shared" si="473"/>
        <v>23.96</v>
      </c>
      <c r="DM230" s="535">
        <f t="shared" si="474"/>
        <v>43.879999999999995</v>
      </c>
      <c r="DN230" s="535">
        <f>Sheet1!AB228-DM230</f>
        <v>-2.9999999999994031E-2</v>
      </c>
      <c r="DO230" s="743">
        <f t="shared" si="475"/>
        <v>-6.8368277119402999E-4</v>
      </c>
      <c r="DP230" s="535">
        <f>(VLOOKUP(Sheet1!DC228,hhdcap_wcm,4)-(((VLOOKUP(Sheet1!DC228,hhdcap_wcm,3)-Sheet1!DC228)/(VLOOKUP(Sheet1!DC228,hhdcap_wcm,3)-VLOOKUP(Sheet1!DC228,hhdcap_wcm,1)))*(VLOOKUP(Sheet1!DC228,hhdcap_wcm,4)-VLOOKUP(Sheet1!DC228,hhdcap_wcm,2))))</f>
        <v>41776.600000104358</v>
      </c>
      <c r="DQ230" s="535">
        <f t="shared" si="476"/>
        <v>-286.20000000024447</v>
      </c>
      <c r="DR230" s="535">
        <f t="shared" si="477"/>
        <v>-144.32677760980556</v>
      </c>
      <c r="DS230" s="535">
        <f>Sheet1!EA228*AFtoMG</f>
        <v>0</v>
      </c>
      <c r="DT230" s="535">
        <f>Sheet1!EB228*AFtoMG</f>
        <v>0</v>
      </c>
      <c r="DU230" s="535">
        <f>Sheet1!EC228*AFtoMG</f>
        <v>0</v>
      </c>
      <c r="DV230" s="535">
        <f>Sheet1!ED228*AFtoMG</f>
        <v>0</v>
      </c>
      <c r="DW230" s="535">
        <f t="shared" si="478"/>
        <v>0</v>
      </c>
      <c r="DX230" s="535">
        <f t="shared" si="479"/>
        <v>0</v>
      </c>
      <c r="DY230" s="535">
        <f t="shared" si="480"/>
        <v>2334.9026826215695</v>
      </c>
      <c r="DZ230" s="535">
        <f t="shared" si="481"/>
        <v>7163.4814302829755</v>
      </c>
      <c r="EA230" s="535"/>
      <c r="EB230" s="521">
        <f>IF(OR(B230&lt;FV230,B230&gt;FW230),(MIN(BF230+BY230+CT230+MAX(Sheet1!AA228+AQ230-73,0),K230)),0)</f>
        <v>0</v>
      </c>
      <c r="EC230" s="535"/>
      <c r="ED230" s="535">
        <f t="shared" si="482"/>
        <v>23.943618960802191</v>
      </c>
      <c r="EE230" s="535"/>
      <c r="EF230" s="535">
        <f>Sheet1!EH228+Sheet1!EI228+Sheet1!EJ228+Sheet1!EK228</f>
        <v>26</v>
      </c>
      <c r="EG230" s="1019">
        <f t="shared" si="550"/>
        <v>40.222000000000001</v>
      </c>
      <c r="EH230" s="521">
        <f t="shared" si="483"/>
        <v>0</v>
      </c>
      <c r="EI230" s="535">
        <f>IF(Sheet1!ET228=1,SUM('Calculations II'!AT230:BA230)+'Calculations II'!BC230+Sheet1!BV228+'Calculations II'!BE230+AP230,'Calculations II'!BK230)</f>
        <v>82.034599290793082</v>
      </c>
      <c r="EJ230" s="535">
        <f ca="1">EI230+'Calculations II'!D230+'Calculations II'!E230+'Calculations II'!O230</f>
        <v>79.635679778699838</v>
      </c>
      <c r="EK230" s="535"/>
      <c r="EL230" s="535"/>
      <c r="EM230" s="535">
        <f t="shared" si="484"/>
        <v>42954</v>
      </c>
      <c r="EN230" s="535">
        <f t="shared" si="485"/>
        <v>-26</v>
      </c>
      <c r="EO230" s="535">
        <f t="shared" si="486"/>
        <v>-40.222000000000001</v>
      </c>
      <c r="EP230" s="535">
        <v>0</v>
      </c>
      <c r="EQ230" s="535">
        <v>0</v>
      </c>
      <c r="ER230" s="535">
        <v>0</v>
      </c>
      <c r="ES230" s="521">
        <f t="shared" si="516"/>
        <v>4.0210521142793514</v>
      </c>
      <c r="ET230" s="535">
        <f>-(VLOOKUP(Sheet1!BQ228,Lookup!$O$4:$Q$262,2)-VLOOKUP(Sheet1!BQ227,Lookup!$O$4:$Q$262,2))/1000000</f>
        <v>1.9408957546828649</v>
      </c>
      <c r="EU230" s="535">
        <f>-(VLOOKUP(Sheet1!BR228,Lookup!$O$4:$Q$262,3)-VLOOKUP(Sheet1!BR227,Lookup!$O$4:$Q$262,3))/1000000</f>
        <v>2.0801563595964869</v>
      </c>
      <c r="EV230" s="535"/>
      <c r="EW230" s="535"/>
      <c r="EX230" s="535"/>
      <c r="EY230" s="535"/>
      <c r="EZ230" s="535"/>
      <c r="FA230" s="535"/>
      <c r="FB230" s="535"/>
      <c r="FC230" s="535"/>
      <c r="FD230" s="567">
        <f t="shared" si="566"/>
        <v>1135.4776119402227</v>
      </c>
      <c r="FE230" s="567" t="e">
        <f t="shared" si="488"/>
        <v>#N/A</v>
      </c>
      <c r="FF230" s="568" t="e">
        <f t="shared" si="489"/>
        <v>#N/A</v>
      </c>
      <c r="FG230" s="569" t="s">
        <v>656</v>
      </c>
      <c r="FH230" s="569" t="s">
        <v>656</v>
      </c>
      <c r="FI230" s="567" t="e">
        <v>#N/A</v>
      </c>
      <c r="FJ230" s="725">
        <v>19893</v>
      </c>
      <c r="FK230" s="535"/>
      <c r="FL230" s="1015">
        <f t="shared" si="565"/>
        <v>84.720121028744316</v>
      </c>
      <c r="FM230" s="535"/>
      <c r="FN230" s="535"/>
      <c r="FO230" s="535">
        <f>O230+((Sheet1!CS228)*GPMtoMGD)</f>
        <v>100.67654400000001</v>
      </c>
      <c r="FP230" s="535">
        <f>IF(Sheet1!AA228+AQ230&lt;=Calculation!N230,AQ230,Calculation!N230-Sheet1!AA228)</f>
        <v>19.186873290793073</v>
      </c>
      <c r="FQ230" s="535">
        <f>(Sheet1!BP228+Sheet1!BO228)/694.4</f>
        <v>4.4313076036866361</v>
      </c>
      <c r="FR230" s="541"/>
      <c r="FS230" s="541"/>
      <c r="FT230" s="541"/>
      <c r="FU230" s="541"/>
      <c r="FV230" s="1109">
        <f t="shared" si="517"/>
        <v>42918</v>
      </c>
      <c r="FW230" s="1109">
        <f t="shared" si="518"/>
        <v>43027</v>
      </c>
      <c r="FX230" s="541"/>
      <c r="FY230" s="541">
        <f>Sheet1!DA228-Sheet1!CZ228-Sheet1!AE228</f>
        <v>-120.17131000000001</v>
      </c>
      <c r="FZ230" s="535">
        <f t="shared" si="551"/>
        <v>-0.73421484739582787</v>
      </c>
      <c r="GA230" s="535"/>
      <c r="GB230" s="535" t="str">
        <f t="shared" si="519"/>
        <v>n</v>
      </c>
      <c r="GC230" s="539">
        <f t="shared" si="520"/>
        <v>42782</v>
      </c>
      <c r="GD230" s="1109">
        <f t="shared" si="521"/>
        <v>42904</v>
      </c>
      <c r="GE230" s="535">
        <f t="shared" si="537"/>
        <v>6520</v>
      </c>
      <c r="GF230" s="1109">
        <f t="shared" si="522"/>
        <v>42909</v>
      </c>
      <c r="GG230" s="535">
        <f t="shared" si="564"/>
        <v>3260</v>
      </c>
      <c r="GH230" s="539">
        <f t="shared" si="523"/>
        <v>43040</v>
      </c>
      <c r="GJ230" s="521">
        <f t="shared" si="524"/>
        <v>0</v>
      </c>
      <c r="GK230" s="535" t="str">
        <f t="shared" si="490"/>
        <v/>
      </c>
      <c r="GL230" s="535">
        <f t="shared" si="525"/>
        <v>0</v>
      </c>
      <c r="GM230" s="535" t="str">
        <f t="shared" si="526"/>
        <v/>
      </c>
      <c r="GN230" s="535">
        <f>IF(GK230="P",Lookup!$M$12,IF(GK230="PP",Lookup!$M$13,IF(GK230="PPP",Lookup!$M$14,IF(GK230="T",Lookup!$M$15,IF(GK230="TP",Lookup!$M$16,IF(GK230="TPP",Lookup!$M$17,IF(GK230="TPPP",Lookup!$M$18,0)))))))*GJ230</f>
        <v>0</v>
      </c>
      <c r="GO230" s="535">
        <f t="shared" si="527"/>
        <v>0</v>
      </c>
      <c r="GP230" s="535">
        <f t="shared" si="491"/>
        <v>3681.088666666667</v>
      </c>
      <c r="GQ230" s="974">
        <f t="shared" si="500"/>
        <v>1199.8333333333335</v>
      </c>
      <c r="GR230" s="535"/>
      <c r="GS230" s="535">
        <f t="shared" si="528"/>
        <v>0</v>
      </c>
      <c r="GT230" s="535" t="str">
        <f t="shared" si="529"/>
        <v/>
      </c>
      <c r="GU230" s="535">
        <f>IF(GK230="P",Lookup!$N$12,IF(GK230="PP",Lookup!$N$13,IF(GK230="PPP",Lookup!$N$14,IF(GK230="T",Lookup!$N$15,IF(GK230="TP",Lookup!$N$16,IF(GK230="TPP",Lookup!$N$17,IF(GK230="TPPP",Lookup!$N$18,0)))))))*GJ230</f>
        <v>0</v>
      </c>
      <c r="GV230" s="535">
        <f t="shared" si="530"/>
        <v>0</v>
      </c>
      <c r="GW230" s="535">
        <f t="shared" si="492"/>
        <v>1625.3195193550805</v>
      </c>
      <c r="GX230" s="974">
        <f t="shared" si="501"/>
        <v>529.76516276241216</v>
      </c>
      <c r="GY230" s="535"/>
      <c r="GZ230" s="535">
        <f t="shared" si="531"/>
        <v>0</v>
      </c>
      <c r="HA230" s="535" t="str">
        <f t="shared" si="532"/>
        <v/>
      </c>
      <c r="HB230" s="535">
        <f>IF(GK230="P",Lookup!$N$12,IF(GK230="PP",Lookup!$N$13,IF(GK230="PPP",Lookup!$N$14,IF(GK230="T",Lookup!$N$15,IF(GK230="TP",Lookup!$N$16,IF(GK230="TPP",Lookup!$N$17,IF(GK230="TPPP",Lookup!$N$18,0)))))))*GJ230</f>
        <v>0</v>
      </c>
      <c r="HC230" s="521">
        <f t="shared" si="493"/>
        <v>0</v>
      </c>
      <c r="HD230" s="535">
        <f t="shared" si="494"/>
        <v>1173.0212106977326</v>
      </c>
      <c r="HE230" s="535">
        <f t="shared" si="535"/>
        <v>382.3406814529767</v>
      </c>
      <c r="HF230" s="535"/>
      <c r="HG230" s="535">
        <f t="shared" si="533"/>
        <v>0</v>
      </c>
      <c r="HH230" s="535" t="str">
        <f t="shared" si="534"/>
        <v/>
      </c>
      <c r="HI230" s="535">
        <f>IF(GK230="P",Lookup!$N$12,IF(GK230="PP",Lookup!$N$13,IF(GK230="PPP",Lookup!$N$14,IF(GK230="T",Lookup!$N$15,IF(GK230="TP",Lookup!$N$16,IF(GK230="TPP",Lookup!$N$17,IF(GK230="TPPP",Lookup!$N$18,0)))))))*GJ230</f>
        <v>0</v>
      </c>
      <c r="HJ230" s="521">
        <f t="shared" si="495"/>
        <v>0</v>
      </c>
      <c r="HK230" s="535">
        <f t="shared" si="496"/>
        <v>684.05203356349466</v>
      </c>
      <c r="HL230" s="535">
        <f t="shared" si="536"/>
        <v>222.963505072847</v>
      </c>
      <c r="HM230" s="535"/>
      <c r="HN230" s="541"/>
      <c r="HO230" s="541"/>
      <c r="HP230" s="541"/>
      <c r="HQ230" s="541">
        <f>IF(AND(B230&gt;=$FV$4,B230&lt;=$FW$4),MAX(110/1.02+$HQ$6+MIN(113/1.02,G230),IF($HV$6-(Sheet1!DA228-Sheet1!DB228)+MIN(113/1.02,G230)&lt;G230+FL230,$HV$6-(Sheet1!DA228-Sheet1!DB228)+MIN(113/1.02,G230),G230+FL230)),MIN(110/1.02+$HQ$6+113/1.02,G230))</f>
        <v>218.62745098039215</v>
      </c>
      <c r="HR230" s="541">
        <f t="shared" si="552"/>
        <v>223</v>
      </c>
      <c r="HS230" s="541">
        <f>HR230+(Sheet1!DA228-Sheet1!DB228)</f>
        <v>393</v>
      </c>
      <c r="HT230" s="541">
        <f t="shared" si="553"/>
        <v>97.130531467639017</v>
      </c>
      <c r="HU230" s="541">
        <f t="shared" si="554"/>
        <v>295.869468532361</v>
      </c>
      <c r="HV230" s="541">
        <f t="shared" si="555"/>
        <v>0</v>
      </c>
      <c r="HW230" s="533" t="str">
        <f t="shared" si="556"/>
        <v/>
      </c>
      <c r="HX230" s="541">
        <f t="shared" si="557"/>
        <v>49.150549019607865</v>
      </c>
      <c r="HY230" s="541">
        <f>Sheet1!CZ228</f>
        <v>308</v>
      </c>
      <c r="HZ230" s="541">
        <f t="shared" si="558"/>
        <v>40.222000000000001</v>
      </c>
      <c r="IA230" s="541">
        <f t="shared" si="559"/>
        <v>97.130531467639017</v>
      </c>
      <c r="IB230" s="541">
        <f t="shared" si="560"/>
        <v>267.77800000000002</v>
      </c>
      <c r="IC230" s="1019" t="str">
        <f t="shared" si="561"/>
        <v/>
      </c>
      <c r="ID230" s="541">
        <f t="shared" si="562"/>
        <v>170.64746853236102</v>
      </c>
      <c r="IE230" s="541">
        <f>Sheet1!DB228</f>
        <v>152</v>
      </c>
      <c r="IF230" s="533">
        <f>Sheet1!DA228</f>
        <v>322</v>
      </c>
      <c r="IH230" s="541">
        <f>IF(AND($B230&gt;=$GC230,$B230&lt;=$GH230,$DR230&lt;0)+N("only adjusted when pool is drawn down during storage season"),Sheet1!$DB228+$DR230+N("Palmer minus all storage release"),Sheet1!$DB228)</f>
        <v>7.6732223901944394</v>
      </c>
      <c r="II230" s="541">
        <f>IF(AND($B230&gt;=$GC230,$B230&lt;=$GH230,$DR230&lt;0)+N("only adjusted when pool is drawn down during storage season"),Sheet1!$DA228+$DR230+N("Auburn minus all storage release"),Sheet1!$DA228)</f>
        <v>177.67322239019444</v>
      </c>
    </row>
    <row r="231" spans="1:243" x14ac:dyDescent="0.25">
      <c r="A231" s="553" t="s">
        <v>5</v>
      </c>
      <c r="B231" s="531">
        <v>42955</v>
      </c>
      <c r="C231" s="536">
        <v>0</v>
      </c>
      <c r="D231" s="506">
        <f t="shared" si="506"/>
        <v>200</v>
      </c>
      <c r="E231" s="506">
        <f t="shared" si="507"/>
        <v>400</v>
      </c>
      <c r="F231" s="506">
        <v>250</v>
      </c>
      <c r="G231" s="535">
        <f>DR231+Sheet1!CZ229</f>
        <v>132.27836611083984</v>
      </c>
      <c r="H231" s="1074">
        <f t="shared" si="563"/>
        <v>0</v>
      </c>
      <c r="I231" s="534">
        <f>IF(Sheet1!DA229&gt;=E231,(Sheet1!DA229-E231+P231)*CFStoMGD,0)</f>
        <v>0</v>
      </c>
      <c r="J231" s="995">
        <f>IF(Sheet1!DB229&gt;=D231,(Sheet1!DB229-D231+P231)*CFStoMGD,0)</f>
        <v>0</v>
      </c>
      <c r="K231" s="818">
        <f t="shared" si="538"/>
        <v>0</v>
      </c>
      <c r="L231" s="535">
        <f>Sheet1!AA229+Sheet1!AB229-Sheet1!L229+(Sheet1!DA229-F231)*CFStoMGD-S231-T231-U231</f>
        <v>99.950093175614199</v>
      </c>
      <c r="M231" s="535">
        <f t="shared" si="436"/>
        <v>87.21483057112782</v>
      </c>
      <c r="N231" s="824">
        <f>IF(Sheet1!DA229&gt;=F231,MIN(113*CFStoMGD,MIN(MAX(L231,0),MAX(M231,0))),0)</f>
        <v>73.043199999999999</v>
      </c>
      <c r="O231" s="538">
        <f>Sheet1!AA229+Sheet1!AB229</f>
        <v>87.4</v>
      </c>
      <c r="P231" s="538">
        <f t="shared" si="437"/>
        <v>135.20779999999999</v>
      </c>
      <c r="Q231" s="812">
        <f t="shared" si="539"/>
        <v>61.8124931756142</v>
      </c>
      <c r="R231" s="812">
        <f t="shared" si="508"/>
        <v>26</v>
      </c>
      <c r="S231" s="812">
        <f t="shared" si="509"/>
        <v>0</v>
      </c>
      <c r="T231" s="812">
        <f t="shared" si="510"/>
        <v>0</v>
      </c>
      <c r="U231" s="812">
        <f>IF(AND(B231&gt;=FV231,B231&lt;=FW231),ED231+Sheet1!EH229,0)</f>
        <v>25.587506824385805</v>
      </c>
      <c r="V231" s="812"/>
      <c r="W231" s="812">
        <f t="shared" si="511"/>
        <v>0</v>
      </c>
      <c r="X231" s="812">
        <f t="shared" si="512"/>
        <v>0</v>
      </c>
      <c r="Y231" s="812" t="str">
        <f t="shared" si="513"/>
        <v>FALSE</v>
      </c>
      <c r="Z231" s="812">
        <f t="shared" si="514"/>
        <v>87.4</v>
      </c>
      <c r="AA231" s="812">
        <f t="shared" si="515"/>
        <v>87.4</v>
      </c>
      <c r="AB231" s="1059">
        <f t="shared" si="540"/>
        <v>95.623926942675169</v>
      </c>
      <c r="AC231" s="538">
        <f>Sheet1!Y229*MGDtoCFS</f>
        <v>66.335359999999994</v>
      </c>
      <c r="AD231" s="538">
        <f>Sheet1!Z229*MGDtoCFS</f>
        <v>67.835949999999997</v>
      </c>
      <c r="AE231" s="538">
        <f>Sheet1!AA229*MGDtoCFS</f>
        <v>67.340909999999994</v>
      </c>
      <c r="AF231" s="538">
        <f>Sheet1!AB229*MGDtoCFS</f>
        <v>67.866889999999998</v>
      </c>
      <c r="AG231" s="538">
        <f>Sheet1!L229*MGDtoCFS</f>
        <v>0</v>
      </c>
      <c r="AH231" s="521">
        <f t="shared" si="438"/>
        <v>26</v>
      </c>
      <c r="AI231" s="1059">
        <f t="shared" si="439"/>
        <v>40.222000000000001</v>
      </c>
      <c r="AJ231" s="535">
        <f t="shared" si="440"/>
        <v>0</v>
      </c>
      <c r="AK231" s="535">
        <f t="shared" si="441"/>
        <v>0</v>
      </c>
      <c r="AL231" s="535">
        <f>(VLOOKUP(Sheet1!DC229,hhdcap_wcm,4)-(((VLOOKUP(Sheet1!DC229,hhdcap_wcm,3)-Sheet1!DC229)/(VLOOKUP(Sheet1!DC229,hhdcap_wcm,3)-VLOOKUP(Sheet1!DC229,hhdcap_wcm,1)))*(VLOOKUP(Sheet1!DC229,hhdcap_wcm,4)-VLOOKUP(Sheet1!DC229,hhdcap_wcm,2))))</f>
        <v>41491.600000102153</v>
      </c>
      <c r="AM231" s="535">
        <f t="shared" si="442"/>
        <v>-285.00000000220462</v>
      </c>
      <c r="AN231" s="1035">
        <f t="shared" si="443"/>
        <v>2308.9026826215695</v>
      </c>
      <c r="AO231" s="535">
        <f t="shared" si="444"/>
        <v>7083.7134302829754</v>
      </c>
      <c r="AP231" s="535">
        <f>Sheet1!BA229+Sheet1!BB229+Sheet1!BN229+CD231</f>
        <v>18.32</v>
      </c>
      <c r="AQ231" s="535">
        <f>Sheet1!BN229+(DO231*Sheet1!BN229)</f>
        <v>17.563967242948134</v>
      </c>
      <c r="AR231" s="535">
        <f>Sheet1!BA229+CD231</f>
        <v>0</v>
      </c>
      <c r="AS231" s="535">
        <f>Sheet1!BA229+Sheet1!BB229+CD231</f>
        <v>0.72</v>
      </c>
      <c r="AT231" s="649">
        <f>0</f>
        <v>0</v>
      </c>
      <c r="AU231" s="974">
        <f>BA231+MAX(Sheet1!EH229,(O231-Q231-ED231-S231))</f>
        <v>0</v>
      </c>
      <c r="AV231" s="535">
        <f>IF(OR(B231&gt;=GD231,B231&lt;GC231),0,15/36*K231-MAX(0,64.6-(137.6-(Sheet1!AA229+Sheet1!AB229))))</f>
        <v>0</v>
      </c>
      <c r="AW231" s="1029"/>
      <c r="AX231" s="649"/>
      <c r="AY231" s="649">
        <f t="shared" si="541"/>
        <v>0</v>
      </c>
      <c r="AZ231" s="649">
        <f t="shared" si="542"/>
        <v>0</v>
      </c>
      <c r="BA231" s="1059">
        <f t="shared" si="543"/>
        <v>0</v>
      </c>
      <c r="BB231" s="1019">
        <f t="shared" si="445"/>
        <v>1199.8333333333335</v>
      </c>
      <c r="BC231" s="1041">
        <f t="shared" si="544"/>
        <v>0</v>
      </c>
      <c r="BD231" s="1019">
        <f ca="1">IF(B231&gt;(Summary!$A$1-1),#N/A,BB231*MGtoAF)</f>
        <v>3681.088666666667</v>
      </c>
      <c r="BE231" s="535">
        <f>Sheet1!BG229+Sheet1!BH229+Sheet1!BI229-BM231</f>
        <v>6.65</v>
      </c>
      <c r="BF231" s="535">
        <f t="shared" si="446"/>
        <v>6.6363853503184709</v>
      </c>
      <c r="BG231" s="535">
        <f>IF(Sheet1!EP229="FM",BM231,0)</f>
        <v>0</v>
      </c>
      <c r="BH231" s="535">
        <f t="shared" si="447"/>
        <v>0</v>
      </c>
      <c r="BI231" s="535">
        <f>IF(Sheet1!EP229="OTHER",BM231,0)</f>
        <v>0</v>
      </c>
      <c r="BJ231" s="535">
        <f t="shared" si="448"/>
        <v>0</v>
      </c>
      <c r="BK231" s="535">
        <f t="shared" si="449"/>
        <v>6.65</v>
      </c>
      <c r="BL231" s="535">
        <f t="shared" si="450"/>
        <v>6.6363853503184709</v>
      </c>
      <c r="BM231" s="535">
        <f>IF(OR(Sheet1!EP229="FM", Sheet1!EP229="OTHER"),SUM(Sheet1!BG229:'Sheet1'!BI229),0)</f>
        <v>0</v>
      </c>
      <c r="BN231" s="521">
        <f>IF(AND($B231&gt;=$FV231,$B231&lt;=$FW231),MAX(BF231,Sheet1!EI229,0),MAX(BF231-(7/36)*$K231,0))</f>
        <v>7</v>
      </c>
      <c r="BO231" s="535">
        <f t="shared" si="497"/>
        <v>0</v>
      </c>
      <c r="BP231" s="521">
        <f t="shared" si="452"/>
        <v>0</v>
      </c>
      <c r="BQ231" s="521">
        <f>IF(AND($O231&gt;0,Sheet1!EM229=1),(1-($O231-Sheet1!$L229)/$O231)*BL231,0)</f>
        <v>0</v>
      </c>
      <c r="BR231" s="521">
        <f>IF(AND(Sheet1!$L229=0,Sheet1!$L228=0, Calculation!BK231&lt;Sheet1!$EI229-0.1,Sheet1!$EI229=Sheet1!$EI228,Sheet1!$EI229=Sheet1!$EI230),BL231-BQ231,BL231-BQ231)</f>
        <v>6.6363853503184709</v>
      </c>
      <c r="BS231" s="1035" t="str">
        <f t="shared" si="545"/>
        <v/>
      </c>
      <c r="BT231" s="1035">
        <f t="shared" si="546"/>
        <v>0</v>
      </c>
      <c r="BU231" s="535">
        <f t="shared" si="453"/>
        <v>522.76516276241216</v>
      </c>
      <c r="BV231" s="535"/>
      <c r="BW231" s="535">
        <f ca="1">IF(B231&gt;(Summary!$A$1-1),#N/A,BU231*MGtoAF)</f>
        <v>1603.8435193550806</v>
      </c>
      <c r="BX231" s="535">
        <f>Sheet1!BC229+Sheet1!BD229+Sheet1!BE229+Sheet1!BF229-CG231-CH231</f>
        <v>6.99</v>
      </c>
      <c r="BY231" s="535">
        <f t="shared" si="454"/>
        <v>6.9756892629663323</v>
      </c>
      <c r="BZ231" s="535">
        <f>IF(Sheet1!EQ229="FM",CH231,0)</f>
        <v>0</v>
      </c>
      <c r="CA231" s="535">
        <f t="shared" si="455"/>
        <v>0</v>
      </c>
      <c r="CB231" s="535">
        <f>IF(Sheet1!EQ229="OTHER",CH231,0)</f>
        <v>0</v>
      </c>
      <c r="CC231" s="535">
        <f t="shared" si="456"/>
        <v>0</v>
      </c>
      <c r="CD231" s="535">
        <f t="shared" si="457"/>
        <v>0</v>
      </c>
      <c r="CE231" s="535">
        <f t="shared" si="458"/>
        <v>6.99</v>
      </c>
      <c r="CF231" s="535">
        <f t="shared" si="459"/>
        <v>6.9756892629663323</v>
      </c>
      <c r="CG231" s="535">
        <f>IF(Sheet1!EQ229="CWA",SUM(Sheet1!BC229:'Sheet1'!BF229),0)</f>
        <v>0</v>
      </c>
      <c r="CH231" s="535">
        <f>IF(OR(Sheet1!EQ229="FM", Sheet1!EQ229="OTHER"),SUM(Sheet1!BC229:'Sheet1'!BF229),0)</f>
        <v>0</v>
      </c>
      <c r="CI231" s="521">
        <f>IF(AND($B231&gt;=$FV231,$B231&lt;=$FW231),MAX(CF231,Sheet1!EJ229,0),MAX(CF231-(7/36)*$K231,0))</f>
        <v>7</v>
      </c>
      <c r="CJ231" s="535">
        <f t="shared" si="499"/>
        <v>0</v>
      </c>
      <c r="CK231" s="521">
        <f t="shared" si="461"/>
        <v>0</v>
      </c>
      <c r="CL231" s="521">
        <f>IF(AND($O231&gt;0,Sheet1!EN229=1),(1-($O231-Sheet1!$L229)/$O231)*CF231,0)</f>
        <v>0</v>
      </c>
      <c r="CM231" s="521">
        <f>IF(AND(Sheet1!$L229=0,Sheet1!$L228=0, Calculation!CE231&lt;Sheet1!EJ229-0.1,Sheet1!EJ229=Sheet1!EJ228,Sheet1!EJ229=Sheet1!EJ230),CF231-CL231,CF231-CL231)</f>
        <v>6.9756892629663323</v>
      </c>
      <c r="CN231" s="1040" t="str">
        <f t="shared" si="547"/>
        <v/>
      </c>
      <c r="CO231" s="1035">
        <f t="shared" si="548"/>
        <v>0</v>
      </c>
      <c r="CP231" s="535">
        <f t="shared" si="462"/>
        <v>375.3406814529767</v>
      </c>
      <c r="CQ231" s="535"/>
      <c r="CR231" s="535">
        <f ca="1">IF(B231&gt;(Summary!$A$1-1),#N/A,CP231*MGtoAF)</f>
        <v>1151.5452106977325</v>
      </c>
      <c r="CS231" s="535">
        <f>Sheet1!BK229+Sheet1!BL229+Sheet1!BM229-Sheet1!ER229-DA231</f>
        <v>12</v>
      </c>
      <c r="CT231" s="535">
        <f t="shared" si="463"/>
        <v>11.975432211100999</v>
      </c>
      <c r="CU231" s="535">
        <f>IF(Sheet1!ER229="FM",DA231,0)</f>
        <v>0</v>
      </c>
      <c r="CV231" s="535">
        <f t="shared" si="464"/>
        <v>0</v>
      </c>
      <c r="CW231" s="535">
        <f>IF(Sheet1!ER229="OTHER",DA231,0)</f>
        <v>0</v>
      </c>
      <c r="CX231" s="535">
        <f t="shared" si="465"/>
        <v>0</v>
      </c>
      <c r="CY231" s="535">
        <f t="shared" si="466"/>
        <v>12</v>
      </c>
      <c r="CZ231" s="535">
        <f t="shared" si="467"/>
        <v>11.975432211100999</v>
      </c>
      <c r="DA231" s="535">
        <f>IF(OR(Sheet1!ER229="FM", Sheet1!ER229="OTHER"),SUM(Sheet1!BK229:'Sheet1'!BM229),0)</f>
        <v>0</v>
      </c>
      <c r="DB231" s="1011">
        <f>IF(AND($B231&gt;=$FV231,$B231&lt;=$FW231),MAX($CT231,Sheet1!EK229,0),MAX($CT231-(7/36)*$K231,0))</f>
        <v>12</v>
      </c>
      <c r="DC231" s="1012">
        <f t="shared" si="498"/>
        <v>0</v>
      </c>
      <c r="DD231" s="1011">
        <f t="shared" si="469"/>
        <v>0</v>
      </c>
      <c r="DE231" s="521">
        <f>IF(AND($O231&gt;0,Sheet1!EO229=1),(1-($O231-Sheet1!$L229)/$O231)*CZ231,0)</f>
        <v>0</v>
      </c>
      <c r="DF231" s="521">
        <f>IF(AND(Sheet1!$L229=0,Sheet1!$L228=0, Calculation!CY231&lt;Sheet1!$EK229-0.1,Sheet1!$EK229=Sheet1!$EK228,Sheet1!$EK229=Sheet1!$EK230),CZ231-DE231,CZ231-DE231)</f>
        <v>11.975432211100999</v>
      </c>
      <c r="DG231" s="1040">
        <f t="shared" si="549"/>
        <v>0</v>
      </c>
      <c r="DH231" s="649">
        <f t="shared" si="470"/>
        <v>25.64</v>
      </c>
      <c r="DI231" s="535">
        <f t="shared" si="471"/>
        <v>210.963505072847</v>
      </c>
      <c r="DJ231" s="649">
        <f t="shared" si="472"/>
        <v>25.587506824385805</v>
      </c>
      <c r="DK231" s="535">
        <f ca="1">IF(B231&gt;(Summary!$A$1-1),#N/A,DI231*MGtoAF)</f>
        <v>647.23603356349463</v>
      </c>
      <c r="DL231" s="649">
        <f t="shared" si="473"/>
        <v>25.64</v>
      </c>
      <c r="DM231" s="535">
        <f t="shared" si="474"/>
        <v>43.96</v>
      </c>
      <c r="DN231" s="535">
        <f>Sheet1!AB229-DM231</f>
        <v>-9.0000000000003411E-2</v>
      </c>
      <c r="DO231" s="743">
        <f t="shared" si="475"/>
        <v>-2.0473157415833352E-3</v>
      </c>
      <c r="DP231" s="535">
        <f>(VLOOKUP(Sheet1!DC229,hhdcap_wcm,4)-(((VLOOKUP(Sheet1!DC229,hhdcap_wcm,3)-Sheet1!DC229)/(VLOOKUP(Sheet1!DC229,hhdcap_wcm,3)-VLOOKUP(Sheet1!DC229,hhdcap_wcm,1)))*(VLOOKUP(Sheet1!DC229,hhdcap_wcm,4)-VLOOKUP(Sheet1!DC229,hhdcap_wcm,2))))</f>
        <v>41491.600000102153</v>
      </c>
      <c r="DQ231" s="535">
        <f t="shared" si="476"/>
        <v>-285.00000000220462</v>
      </c>
      <c r="DR231" s="535">
        <f t="shared" si="477"/>
        <v>-143.72163388916016</v>
      </c>
      <c r="DS231" s="535">
        <f>Sheet1!EA229*AFtoMG</f>
        <v>0</v>
      </c>
      <c r="DT231" s="535">
        <f>Sheet1!EB229*AFtoMG</f>
        <v>0</v>
      </c>
      <c r="DU231" s="535">
        <f>Sheet1!EC229*AFtoMG</f>
        <v>0</v>
      </c>
      <c r="DV231" s="535">
        <f>Sheet1!ED229*AFtoMG</f>
        <v>0</v>
      </c>
      <c r="DW231" s="535">
        <f t="shared" si="478"/>
        <v>0</v>
      </c>
      <c r="DX231" s="535">
        <f t="shared" si="479"/>
        <v>0</v>
      </c>
      <c r="DY231" s="535">
        <f t="shared" si="480"/>
        <v>2308.9026826215695</v>
      </c>
      <c r="DZ231" s="535">
        <f t="shared" si="481"/>
        <v>7083.7134302829754</v>
      </c>
      <c r="EA231" s="535"/>
      <c r="EB231" s="521">
        <f>IF(OR(B231&lt;FV231,B231&gt;FW231),(MIN(BF231+BY231+CT231+MAX(Sheet1!AA229+AQ231-73,0),K231)),0)</f>
        <v>0</v>
      </c>
      <c r="EC231" s="535"/>
      <c r="ED231" s="535">
        <f t="shared" si="482"/>
        <v>25.587506824385805</v>
      </c>
      <c r="EE231" s="535"/>
      <c r="EF231" s="535">
        <f>Sheet1!EH229+Sheet1!EI229+Sheet1!EJ229+Sheet1!EK229</f>
        <v>26</v>
      </c>
      <c r="EG231" s="1019">
        <f t="shared" si="550"/>
        <v>40.222000000000001</v>
      </c>
      <c r="EH231" s="521">
        <f t="shared" si="483"/>
        <v>0</v>
      </c>
      <c r="EI231" s="535">
        <f>IF(Sheet1!ET229=1,SUM('Calculations II'!AT231:BA231)+'Calculations II'!BC231+Sheet1!BV229+'Calculations II'!BE231+AP231,'Calculations II'!BK231)</f>
        <v>82.839665242948143</v>
      </c>
      <c r="EJ231" s="535">
        <f ca="1">EI231+'Calculations II'!D231+'Calculations II'!E231+'Calculations II'!O231</f>
        <v>73.942833570348753</v>
      </c>
      <c r="EK231" s="535"/>
      <c r="EL231" s="535"/>
      <c r="EM231" s="535">
        <f t="shared" si="484"/>
        <v>42955</v>
      </c>
      <c r="EN231" s="535">
        <f t="shared" si="485"/>
        <v>-26</v>
      </c>
      <c r="EO231" s="535">
        <f t="shared" si="486"/>
        <v>-40.222000000000001</v>
      </c>
      <c r="EP231" s="535">
        <v>0</v>
      </c>
      <c r="EQ231" s="535">
        <v>0</v>
      </c>
      <c r="ER231" s="535">
        <v>0</v>
      </c>
      <c r="ES231" s="521">
        <f t="shared" si="516"/>
        <v>7.3417953975409826</v>
      </c>
      <c r="ET231" s="535">
        <f>-(VLOOKUP(Sheet1!BQ229,Lookup!$O$4:$Q$262,2)-VLOOKUP(Sheet1!BQ228,Lookup!$O$4:$Q$262,2))/1000000</f>
        <v>3.7396081290691683</v>
      </c>
      <c r="EU231" s="535">
        <f>-(VLOOKUP(Sheet1!BR229,Lookup!$O$4:$Q$262,3)-VLOOKUP(Sheet1!BR228,Lookup!$O$4:$Q$262,3))/1000000</f>
        <v>3.6021872684718148</v>
      </c>
      <c r="EV231" s="535"/>
      <c r="EW231" s="535"/>
      <c r="EX231" s="535"/>
      <c r="EY231" s="535"/>
      <c r="EZ231" s="535"/>
      <c r="FA231" s="535"/>
      <c r="FB231" s="535"/>
      <c r="FC231" s="535"/>
      <c r="FD231" s="567">
        <f t="shared" si="566"/>
        <v>1135.2268656715662</v>
      </c>
      <c r="FE231" s="567" t="e">
        <f t="shared" si="488"/>
        <v>#N/A</v>
      </c>
      <c r="FF231" s="568" t="e">
        <f t="shared" si="489"/>
        <v>#N/A</v>
      </c>
      <c r="FG231" s="569" t="s">
        <v>656</v>
      </c>
      <c r="FH231" s="569" t="s">
        <v>656</v>
      </c>
      <c r="FI231" s="567" t="e">
        <v>#N/A</v>
      </c>
      <c r="FJ231" s="725">
        <v>19725</v>
      </c>
      <c r="FK231" s="535"/>
      <c r="FL231" s="1015">
        <f t="shared" si="565"/>
        <v>84.215834594049412</v>
      </c>
      <c r="FM231" s="535"/>
      <c r="FN231" s="535"/>
      <c r="FO231" s="535">
        <f>O231+((Sheet1!CS229)*GPMtoMGD)</f>
        <v>101.31644800000001</v>
      </c>
      <c r="FP231" s="535">
        <f>IF(Sheet1!AA229+AQ231&lt;=Calculation!N231,AQ231,Calculation!N231-Sheet1!AA229)</f>
        <v>17.563967242948134</v>
      </c>
      <c r="FQ231" s="535">
        <f>(Sheet1!BP229+Sheet1!BO229)/694.4</f>
        <v>4.5135368663594466</v>
      </c>
      <c r="FR231" s="541"/>
      <c r="FS231" s="541"/>
      <c r="FT231" s="541"/>
      <c r="FU231" s="541"/>
      <c r="FV231" s="1109">
        <f t="shared" si="517"/>
        <v>42918</v>
      </c>
      <c r="FW231" s="1109">
        <f t="shared" si="518"/>
        <v>43027</v>
      </c>
      <c r="FX231" s="541"/>
      <c r="FY231" s="541">
        <f>Sheet1!DA229-Sheet1!CZ229-Sheet1!AE229</f>
        <v>-102.20779999999999</v>
      </c>
      <c r="FZ231" s="535">
        <f t="shared" si="551"/>
        <v>-0.77267207786915926</v>
      </c>
      <c r="GA231" s="535"/>
      <c r="GB231" s="535" t="str">
        <f t="shared" si="519"/>
        <v>n</v>
      </c>
      <c r="GC231" s="539">
        <f t="shared" si="520"/>
        <v>42782</v>
      </c>
      <c r="GD231" s="1109">
        <f t="shared" si="521"/>
        <v>42904</v>
      </c>
      <c r="GE231" s="535">
        <f t="shared" si="537"/>
        <v>6520</v>
      </c>
      <c r="GF231" s="1109">
        <f t="shared" si="522"/>
        <v>42909</v>
      </c>
      <c r="GG231" s="535">
        <f t="shared" si="564"/>
        <v>3260</v>
      </c>
      <c r="GH231" s="539">
        <f t="shared" si="523"/>
        <v>43040</v>
      </c>
      <c r="GJ231" s="521">
        <f t="shared" si="524"/>
        <v>0</v>
      </c>
      <c r="GK231" s="535" t="str">
        <f t="shared" si="490"/>
        <v/>
      </c>
      <c r="GL231" s="535">
        <f t="shared" si="525"/>
        <v>0</v>
      </c>
      <c r="GM231" s="535" t="str">
        <f t="shared" si="526"/>
        <v/>
      </c>
      <c r="GN231" s="535">
        <f>IF(GK231="P",Lookup!$M$12,IF(GK231="PP",Lookup!$M$13,IF(GK231="PPP",Lookup!$M$14,IF(GK231="T",Lookup!$M$15,IF(GK231="TP",Lookup!$M$16,IF(GK231="TPP",Lookup!$M$17,IF(GK231="TPPP",Lookup!$M$18,0)))))))*GJ231</f>
        <v>0</v>
      </c>
      <c r="GO231" s="535">
        <f t="shared" si="527"/>
        <v>0</v>
      </c>
      <c r="GP231" s="535">
        <f t="shared" si="491"/>
        <v>3681.088666666667</v>
      </c>
      <c r="GQ231" s="974">
        <f t="shared" si="500"/>
        <v>1199.8333333333335</v>
      </c>
      <c r="GR231" s="535"/>
      <c r="GS231" s="535">
        <f t="shared" si="528"/>
        <v>0</v>
      </c>
      <c r="GT231" s="535" t="str">
        <f t="shared" si="529"/>
        <v/>
      </c>
      <c r="GU231" s="535">
        <f>IF(GK231="P",Lookup!$N$12,IF(GK231="PP",Lookup!$N$13,IF(GK231="PPP",Lookup!$N$14,IF(GK231="T",Lookup!$N$15,IF(GK231="TP",Lookup!$N$16,IF(GK231="TPP",Lookup!$N$17,IF(GK231="TPPP",Lookup!$N$18,0)))))))*GJ231</f>
        <v>0</v>
      </c>
      <c r="GV231" s="535">
        <f t="shared" si="530"/>
        <v>0</v>
      </c>
      <c r="GW231" s="535">
        <f t="shared" si="492"/>
        <v>1603.8435193550806</v>
      </c>
      <c r="GX231" s="974">
        <f t="shared" si="501"/>
        <v>522.76516276241216</v>
      </c>
      <c r="GY231" s="535"/>
      <c r="GZ231" s="535">
        <f t="shared" si="531"/>
        <v>0</v>
      </c>
      <c r="HA231" s="535" t="str">
        <f t="shared" si="532"/>
        <v/>
      </c>
      <c r="HB231" s="535">
        <f>IF(GK231="P",Lookup!$N$12,IF(GK231="PP",Lookup!$N$13,IF(GK231="PPP",Lookup!$N$14,IF(GK231="T",Lookup!$N$15,IF(GK231="TP",Lookup!$N$16,IF(GK231="TPP",Lookup!$N$17,IF(GK231="TPPP",Lookup!$N$18,0)))))))*GJ231</f>
        <v>0</v>
      </c>
      <c r="HC231" s="521">
        <f t="shared" si="493"/>
        <v>0</v>
      </c>
      <c r="HD231" s="535">
        <f t="shared" si="494"/>
        <v>1151.5452106977325</v>
      </c>
      <c r="HE231" s="535">
        <f t="shared" si="535"/>
        <v>375.3406814529767</v>
      </c>
      <c r="HF231" s="535"/>
      <c r="HG231" s="535">
        <f t="shared" si="533"/>
        <v>0</v>
      </c>
      <c r="HH231" s="535" t="str">
        <f t="shared" si="534"/>
        <v/>
      </c>
      <c r="HI231" s="535">
        <f>IF(GK231="P",Lookup!$N$12,IF(GK231="PP",Lookup!$N$13,IF(GK231="PPP",Lookup!$N$14,IF(GK231="T",Lookup!$N$15,IF(GK231="TP",Lookup!$N$16,IF(GK231="TPP",Lookup!$N$17,IF(GK231="TPPP",Lookup!$N$18,0)))))))*GJ231</f>
        <v>0</v>
      </c>
      <c r="HJ231" s="521">
        <f t="shared" si="495"/>
        <v>0</v>
      </c>
      <c r="HK231" s="535">
        <f t="shared" si="496"/>
        <v>647.23603356349463</v>
      </c>
      <c r="HL231" s="535">
        <f t="shared" si="536"/>
        <v>210.963505072847</v>
      </c>
      <c r="HM231" s="535"/>
      <c r="HN231" s="541"/>
      <c r="HO231" s="541"/>
      <c r="HP231" s="541"/>
      <c r="HQ231" s="541">
        <f>IF(AND(B231&gt;=$FV$4,B231&lt;=$FW$4),MAX(110/1.02+$HQ$6+MIN(113/1.02,G231),IF($HV$6-(Sheet1!DA229-Sheet1!DB229)+MIN(113/1.02,G231)&lt;G231+FL231,$HV$6-(Sheet1!DA229-Sheet1!DB229)+MIN(113/1.02,G231),G231+FL231)),MIN(110/1.02+$HQ$6+113/1.02,G231))</f>
        <v>218.62745098039215</v>
      </c>
      <c r="HR231" s="541">
        <f t="shared" si="552"/>
        <v>223</v>
      </c>
      <c r="HS231" s="541">
        <f>HR231+(Sheet1!DA229-Sheet1!DB229)</f>
        <v>379</v>
      </c>
      <c r="HT231" s="541">
        <f t="shared" si="553"/>
        <v>95.623926942675169</v>
      </c>
      <c r="HU231" s="541">
        <f t="shared" si="554"/>
        <v>283.37607305732485</v>
      </c>
      <c r="HV231" s="541">
        <f t="shared" si="555"/>
        <v>0</v>
      </c>
      <c r="HW231" s="533" t="str">
        <f t="shared" si="556"/>
        <v/>
      </c>
      <c r="HX231" s="541">
        <f t="shared" si="557"/>
        <v>17.150549019607837</v>
      </c>
      <c r="HY231" s="541">
        <f>Sheet1!CZ229</f>
        <v>276</v>
      </c>
      <c r="HZ231" s="541">
        <f t="shared" si="558"/>
        <v>40.222000000000001</v>
      </c>
      <c r="IA231" s="541">
        <f t="shared" si="559"/>
        <v>95.623926942675169</v>
      </c>
      <c r="IB231" s="541">
        <f t="shared" si="560"/>
        <v>235.77799999999999</v>
      </c>
      <c r="IC231" s="1019" t="str">
        <f t="shared" si="561"/>
        <v/>
      </c>
      <c r="ID231" s="541">
        <f t="shared" si="562"/>
        <v>140.15407305732481</v>
      </c>
      <c r="IE231" s="541">
        <f>Sheet1!DB229</f>
        <v>153</v>
      </c>
      <c r="IF231" s="533">
        <f>Sheet1!DA229</f>
        <v>309</v>
      </c>
      <c r="IH231" s="541">
        <f>IF(AND($B231&gt;=$GC231,$B231&lt;=$GH231,$DR231&lt;0)+N("only adjusted when pool is drawn down during storage season"),Sheet1!$DB229+$DR231+N("Palmer minus all storage release"),Sheet1!$DB229)</f>
        <v>9.2783661108398405</v>
      </c>
      <c r="II231" s="541">
        <f>IF(AND($B231&gt;=$GC231,$B231&lt;=$GH231,$DR231&lt;0)+N("only adjusted when pool is drawn down during storage season"),Sheet1!$DA229+$DR231+N("Auburn minus all storage release"),Sheet1!$DA229)</f>
        <v>165.27836611083984</v>
      </c>
    </row>
    <row r="232" spans="1:243" x14ac:dyDescent="0.25">
      <c r="A232" s="553" t="s">
        <v>6</v>
      </c>
      <c r="B232" s="531">
        <v>42956</v>
      </c>
      <c r="C232" s="536">
        <v>0</v>
      </c>
      <c r="D232" s="506">
        <f t="shared" si="506"/>
        <v>200</v>
      </c>
      <c r="E232" s="506">
        <f t="shared" si="507"/>
        <v>400</v>
      </c>
      <c r="F232" s="506">
        <v>250</v>
      </c>
      <c r="G232" s="535">
        <f>DR232+Sheet1!CZ230</f>
        <v>132.78366111989089</v>
      </c>
      <c r="H232" s="1074">
        <f t="shared" si="563"/>
        <v>0</v>
      </c>
      <c r="I232" s="534">
        <f>IF(Sheet1!DA230&gt;=E232,(Sheet1!DA230-E232+P232)*CFStoMGD,0)</f>
        <v>0</v>
      </c>
      <c r="J232" s="995">
        <f>IF(Sheet1!DB230&gt;=D232,(Sheet1!DB230-D232+P232)*CFStoMGD,0)</f>
        <v>0</v>
      </c>
      <c r="K232" s="818">
        <f t="shared" si="538"/>
        <v>0</v>
      </c>
      <c r="L232" s="535">
        <f>Sheet1!AA230+Sheet1!AB230-Sheet1!L230+(Sheet1!DA230-F232)*CFStoMGD-S232-T232-U232</f>
        <v>100.94435050985723</v>
      </c>
      <c r="M232" s="535">
        <f t="shared" si="436"/>
        <v>87.547985718855429</v>
      </c>
      <c r="N232" s="824">
        <f>IF(Sheet1!DA230&gt;=F232,MIN(113*CFStoMGD,MIN(MAX(L232,0),MAX(M232,0))),0)</f>
        <v>73.043199999999999</v>
      </c>
      <c r="O232" s="538">
        <f>Sheet1!AA230+Sheet1!AB230</f>
        <v>88.63</v>
      </c>
      <c r="P232" s="538">
        <f t="shared" si="437"/>
        <v>137.11061000000001</v>
      </c>
      <c r="Q232" s="812">
        <f t="shared" si="539"/>
        <v>62.806750509857231</v>
      </c>
      <c r="R232" s="812">
        <f t="shared" si="508"/>
        <v>26</v>
      </c>
      <c r="S232" s="812">
        <f t="shared" si="509"/>
        <v>0</v>
      </c>
      <c r="T232" s="812">
        <f t="shared" si="510"/>
        <v>0</v>
      </c>
      <c r="U232" s="812">
        <f>IF(AND(B232&gt;=FV232,B232&lt;=FW232),ED232+Sheet1!EH230,0)</f>
        <v>25.823249490142764</v>
      </c>
      <c r="V232" s="812"/>
      <c r="W232" s="812">
        <f t="shared" si="511"/>
        <v>0</v>
      </c>
      <c r="X232" s="812">
        <f t="shared" si="512"/>
        <v>0</v>
      </c>
      <c r="Y232" s="812" t="str">
        <f t="shared" si="513"/>
        <v>FALSE</v>
      </c>
      <c r="Z232" s="812">
        <f t="shared" si="514"/>
        <v>88.63</v>
      </c>
      <c r="AA232" s="812">
        <f t="shared" si="515"/>
        <v>88.63</v>
      </c>
      <c r="AB232" s="1059">
        <f t="shared" si="540"/>
        <v>97.162043038749133</v>
      </c>
      <c r="AC232" s="538">
        <f>Sheet1!Y230*MGDtoCFS</f>
        <v>67.340909999999994</v>
      </c>
      <c r="AD232" s="538">
        <f>Sheet1!Z230*MGDtoCFS</f>
        <v>67.866889999999998</v>
      </c>
      <c r="AE232" s="538">
        <f>Sheet1!AA230*MGDtoCFS</f>
        <v>69.305599999999998</v>
      </c>
      <c r="AF232" s="538">
        <f>Sheet1!AB230*MGDtoCFS</f>
        <v>67.805009999999996</v>
      </c>
      <c r="AG232" s="538">
        <f>Sheet1!L230*MGDtoCFS</f>
        <v>0</v>
      </c>
      <c r="AH232" s="521">
        <f t="shared" si="438"/>
        <v>26</v>
      </c>
      <c r="AI232" s="1059">
        <f t="shared" si="439"/>
        <v>40.222000000000001</v>
      </c>
      <c r="AJ232" s="535">
        <f t="shared" si="440"/>
        <v>0</v>
      </c>
      <c r="AK232" s="535">
        <f t="shared" si="441"/>
        <v>0</v>
      </c>
      <c r="AL232" s="535">
        <f>(VLOOKUP(Sheet1!DC230,hhdcap_wcm,4)-(((VLOOKUP(Sheet1!DC230,hhdcap_wcm,3)-Sheet1!DC230)/(VLOOKUP(Sheet1!DC230,hhdcap_wcm,3)-VLOOKUP(Sheet1!DC230,hhdcap_wcm,1)))*(VLOOKUP(Sheet1!DC230,hhdcap_wcm,4)-VLOOKUP(Sheet1!DC230,hhdcap_wcm,2))))</f>
        <v>41219.500000102897</v>
      </c>
      <c r="AM232" s="535">
        <f t="shared" si="442"/>
        <v>-272.0999999992564</v>
      </c>
      <c r="AN232" s="1035">
        <f t="shared" si="443"/>
        <v>2282.9026826215695</v>
      </c>
      <c r="AO232" s="535">
        <f t="shared" si="444"/>
        <v>7003.9454302829754</v>
      </c>
      <c r="AP232" s="535">
        <f>Sheet1!BA230+Sheet1!BB230+Sheet1!BN230+CD232</f>
        <v>18.13</v>
      </c>
      <c r="AQ232" s="535">
        <f>Sheet1!BN230+(DO232*Sheet1!BN230)</f>
        <v>17.281713120326309</v>
      </c>
      <c r="AR232" s="535">
        <f>Sheet1!BA230+CD232</f>
        <v>0</v>
      </c>
      <c r="AS232" s="535">
        <f>Sheet1!BA230+Sheet1!BB230+CD232</f>
        <v>0.73</v>
      </c>
      <c r="AT232" s="649">
        <f>0</f>
        <v>0</v>
      </c>
      <c r="AU232" s="974">
        <f>BA232+MAX(Sheet1!EH230,(O232-Q232-ED232-S232))</f>
        <v>0</v>
      </c>
      <c r="AV232" s="535">
        <f>IF(OR(B232&gt;=GD232,B232&lt;GC232),0,15/36*K232-MAX(0,64.6-(137.6-(Sheet1!AA230+Sheet1!AB230))))</f>
        <v>0</v>
      </c>
      <c r="AW232" s="1029"/>
      <c r="AX232" s="649"/>
      <c r="AY232" s="649">
        <f t="shared" si="541"/>
        <v>0</v>
      </c>
      <c r="AZ232" s="649">
        <f t="shared" si="542"/>
        <v>0</v>
      </c>
      <c r="BA232" s="1059">
        <f t="shared" si="543"/>
        <v>0</v>
      </c>
      <c r="BB232" s="1019">
        <f t="shared" si="445"/>
        <v>1199.8333333333335</v>
      </c>
      <c r="BC232" s="1041">
        <f t="shared" si="544"/>
        <v>0</v>
      </c>
      <c r="BD232" s="1019">
        <f ca="1">IF(B232&gt;(Summary!$A$1-1),#N/A,BB232*MGtoAF)</f>
        <v>3681.088666666667</v>
      </c>
      <c r="BE232" s="535">
        <f>Sheet1!BG230+Sheet1!BH230+Sheet1!BI230-BM232</f>
        <v>7.0399999999999991</v>
      </c>
      <c r="BF232" s="535">
        <f t="shared" si="446"/>
        <v>6.9921414004078857</v>
      </c>
      <c r="BG232" s="535">
        <f>IF(Sheet1!EP230="FM",BM232,0)</f>
        <v>0</v>
      </c>
      <c r="BH232" s="535">
        <f t="shared" si="447"/>
        <v>0</v>
      </c>
      <c r="BI232" s="535">
        <f>IF(Sheet1!EP230="OTHER",BM232,0)</f>
        <v>0</v>
      </c>
      <c r="BJ232" s="535">
        <f t="shared" si="448"/>
        <v>0</v>
      </c>
      <c r="BK232" s="535">
        <f t="shared" si="449"/>
        <v>7.0399999999999991</v>
      </c>
      <c r="BL232" s="535">
        <f t="shared" si="450"/>
        <v>6.9921414004078857</v>
      </c>
      <c r="BM232" s="535">
        <f>IF(OR(Sheet1!EP230="FM", Sheet1!EP230="OTHER"),SUM(Sheet1!BG230:'Sheet1'!BI230),0)</f>
        <v>0</v>
      </c>
      <c r="BN232" s="521">
        <f>IF(AND($B232&gt;=$FV232,$B232&lt;=$FW232),MAX(BF232,Sheet1!EI230,0),MAX(BF232-(7/36)*$K232,0))</f>
        <v>7</v>
      </c>
      <c r="BO232" s="535">
        <f t="shared" si="497"/>
        <v>0</v>
      </c>
      <c r="BP232" s="521">
        <f t="shared" si="452"/>
        <v>0</v>
      </c>
      <c r="BQ232" s="521">
        <f>IF(AND($O232&gt;0,Sheet1!EM230=1),(1-($O232-Sheet1!$L230)/$O232)*BL232,0)</f>
        <v>0</v>
      </c>
      <c r="BR232" s="521">
        <f>IF(AND(Sheet1!$L230=0,Sheet1!$L229=0, Calculation!BK232&lt;Sheet1!$EI230-0.1,Sheet1!$EI230=Sheet1!$EI229,Sheet1!$EI230=Sheet1!$EI231),BL232-BQ232,BL232-BQ232)</f>
        <v>6.9921414004078857</v>
      </c>
      <c r="BS232" s="1035" t="str">
        <f t="shared" si="545"/>
        <v/>
      </c>
      <c r="BT232" s="1035">
        <f t="shared" si="546"/>
        <v>0</v>
      </c>
      <c r="BU232" s="535">
        <f t="shared" si="453"/>
        <v>515.76516276241216</v>
      </c>
      <c r="BV232" s="535"/>
      <c r="BW232" s="535">
        <f ca="1">IF(B232&gt;(Summary!$A$1-1),#N/A,BU232*MGtoAF)</f>
        <v>1582.3675193550805</v>
      </c>
      <c r="BX232" s="535">
        <f>Sheet1!BC230+Sheet1!BD230+Sheet1!BE230+Sheet1!BF230-CG232-CH232</f>
        <v>6.99</v>
      </c>
      <c r="BY232" s="535">
        <f t="shared" si="454"/>
        <v>6.9424813052345353</v>
      </c>
      <c r="BZ232" s="535">
        <f>IF(Sheet1!EQ230="FM",CH232,0)</f>
        <v>0</v>
      </c>
      <c r="CA232" s="535">
        <f t="shared" si="455"/>
        <v>0</v>
      </c>
      <c r="CB232" s="535">
        <f>IF(Sheet1!EQ230="OTHER",CH232,0)</f>
        <v>0</v>
      </c>
      <c r="CC232" s="535">
        <f t="shared" si="456"/>
        <v>0</v>
      </c>
      <c r="CD232" s="535">
        <f t="shared" si="457"/>
        <v>0</v>
      </c>
      <c r="CE232" s="535">
        <f t="shared" si="458"/>
        <v>6.99</v>
      </c>
      <c r="CF232" s="535">
        <f t="shared" si="459"/>
        <v>6.9424813052345353</v>
      </c>
      <c r="CG232" s="535">
        <f>IF(Sheet1!EQ230="CWA",SUM(Sheet1!BC230:'Sheet1'!BF230),0)</f>
        <v>0</v>
      </c>
      <c r="CH232" s="535">
        <f>IF(OR(Sheet1!EQ230="FM", Sheet1!EQ230="OTHER"),SUM(Sheet1!BC230:'Sheet1'!BF230),0)</f>
        <v>0</v>
      </c>
      <c r="CI232" s="521">
        <f>IF(AND($B232&gt;=$FV232,$B232&lt;=$FW232),MAX(CF232,Sheet1!EJ230,0),MAX(CF232-(7/36)*$K232,0))</f>
        <v>7</v>
      </c>
      <c r="CJ232" s="535">
        <f t="shared" si="499"/>
        <v>0</v>
      </c>
      <c r="CK232" s="521">
        <f t="shared" si="461"/>
        <v>0</v>
      </c>
      <c r="CL232" s="521">
        <f>IF(AND($O232&gt;0,Sheet1!EN230=1),(1-($O232-Sheet1!$L230)/$O232)*CF232,0)</f>
        <v>0</v>
      </c>
      <c r="CM232" s="521">
        <f>IF(AND(Sheet1!$L230=0,Sheet1!$L229=0, Calculation!CE232&lt;Sheet1!EJ230-0.1,Sheet1!EJ230=Sheet1!EJ229,Sheet1!EJ230=Sheet1!EJ231),CF232-CL232,CF232-CL232)</f>
        <v>6.9424813052345353</v>
      </c>
      <c r="CN232" s="1040" t="str">
        <f t="shared" si="547"/>
        <v/>
      </c>
      <c r="CO232" s="1035">
        <f t="shared" si="548"/>
        <v>0</v>
      </c>
      <c r="CP232" s="535">
        <f t="shared" si="462"/>
        <v>368.3406814529767</v>
      </c>
      <c r="CQ232" s="535"/>
      <c r="CR232" s="535">
        <f ca="1">IF(B232&gt;(Summary!$A$1-1),#N/A,CP232*MGtoAF)</f>
        <v>1130.0692106977326</v>
      </c>
      <c r="CS232" s="535">
        <f>Sheet1!BK230+Sheet1!BL230+Sheet1!BM230-Sheet1!ER230-DA232</f>
        <v>11.97</v>
      </c>
      <c r="CT232" s="535">
        <f t="shared" si="463"/>
        <v>11.888626784500341</v>
      </c>
      <c r="CU232" s="535">
        <f>IF(Sheet1!ER230="FM",DA232,0)</f>
        <v>0</v>
      </c>
      <c r="CV232" s="535">
        <f t="shared" si="464"/>
        <v>0</v>
      </c>
      <c r="CW232" s="535">
        <f>IF(Sheet1!ER230="OTHER",DA232,0)</f>
        <v>0</v>
      </c>
      <c r="CX232" s="535">
        <f t="shared" si="465"/>
        <v>0</v>
      </c>
      <c r="CY232" s="535">
        <f t="shared" si="466"/>
        <v>11.97</v>
      </c>
      <c r="CZ232" s="535">
        <f t="shared" si="467"/>
        <v>11.888626784500341</v>
      </c>
      <c r="DA232" s="535">
        <f>IF(OR(Sheet1!ER230="FM", Sheet1!ER230="OTHER"),SUM(Sheet1!BK230:'Sheet1'!BM230),0)</f>
        <v>0</v>
      </c>
      <c r="DB232" s="1011">
        <f>IF(AND($B232&gt;=$FV232,$B232&lt;=$FW232),MAX($CT232,Sheet1!EK230,0),MAX($CT232-(7/36)*$K232,0))</f>
        <v>12</v>
      </c>
      <c r="DC232" s="1012">
        <f t="shared" si="498"/>
        <v>0</v>
      </c>
      <c r="DD232" s="1011">
        <f t="shared" si="469"/>
        <v>0</v>
      </c>
      <c r="DE232" s="521">
        <f>IF(AND($O232&gt;0,Sheet1!EO230=1),(1-($O232-Sheet1!$L230)/$O232)*CZ232,0)</f>
        <v>0</v>
      </c>
      <c r="DF232" s="521">
        <f>IF(AND(Sheet1!$L230=0,Sheet1!$L229=0, Calculation!CY232&lt;Sheet1!$EK230-0.1,Sheet1!$EK230=Sheet1!$EK229,Sheet1!$EK230=Sheet1!$EK231),CZ232-DE232,CZ232-DE232)</f>
        <v>11.888626784500341</v>
      </c>
      <c r="DG232" s="1040">
        <f t="shared" si="549"/>
        <v>0</v>
      </c>
      <c r="DH232" s="649">
        <f t="shared" si="470"/>
        <v>26</v>
      </c>
      <c r="DI232" s="535">
        <f t="shared" si="471"/>
        <v>198.963505072847</v>
      </c>
      <c r="DJ232" s="649">
        <f t="shared" si="472"/>
        <v>25.823249490142764</v>
      </c>
      <c r="DK232" s="535">
        <f ca="1">IF(B232&gt;(Summary!$A$1-1),#N/A,DI232*MGtoAF)</f>
        <v>610.4200335634946</v>
      </c>
      <c r="DL232" s="649">
        <f t="shared" si="473"/>
        <v>26</v>
      </c>
      <c r="DM232" s="535">
        <f t="shared" si="474"/>
        <v>44.129999999999995</v>
      </c>
      <c r="DN232" s="535">
        <f>Sheet1!AB230-DM232</f>
        <v>-0.29999999999999716</v>
      </c>
      <c r="DO232" s="743">
        <f t="shared" si="475"/>
        <v>-6.7980965329707049E-3</v>
      </c>
      <c r="DP232" s="535">
        <f>(VLOOKUP(Sheet1!DC230,hhdcap_wcm,4)-(((VLOOKUP(Sheet1!DC230,hhdcap_wcm,3)-Sheet1!DC230)/(VLOOKUP(Sheet1!DC230,hhdcap_wcm,3)-VLOOKUP(Sheet1!DC230,hhdcap_wcm,1)))*(VLOOKUP(Sheet1!DC230,hhdcap_wcm,4)-VLOOKUP(Sheet1!DC230,hhdcap_wcm,2))))</f>
        <v>41219.500000102897</v>
      </c>
      <c r="DQ232" s="535">
        <f t="shared" si="476"/>
        <v>-272.0999999992564</v>
      </c>
      <c r="DR232" s="535">
        <f t="shared" si="477"/>
        <v>-137.21633888010911</v>
      </c>
      <c r="DS232" s="535">
        <f>Sheet1!EA230*AFtoMG</f>
        <v>0</v>
      </c>
      <c r="DT232" s="535">
        <f>Sheet1!EB230*AFtoMG</f>
        <v>0</v>
      </c>
      <c r="DU232" s="535">
        <f>Sheet1!EC230*AFtoMG</f>
        <v>0</v>
      </c>
      <c r="DV232" s="535">
        <f>Sheet1!ED230*AFtoMG</f>
        <v>0</v>
      </c>
      <c r="DW232" s="535">
        <f t="shared" si="478"/>
        <v>0</v>
      </c>
      <c r="DX232" s="535">
        <f t="shared" si="479"/>
        <v>0</v>
      </c>
      <c r="DY232" s="535">
        <f t="shared" si="480"/>
        <v>2282.9026826215695</v>
      </c>
      <c r="DZ232" s="535">
        <f t="shared" si="481"/>
        <v>7003.9454302829754</v>
      </c>
      <c r="EA232" s="535"/>
      <c r="EB232" s="521">
        <f>IF(OR(B232&lt;FV232,B232&gt;FW232),(MIN(BF232+BY232+CT232+MAX(Sheet1!AA230+AQ232-73,0),K232)),0)</f>
        <v>0</v>
      </c>
      <c r="EC232" s="535"/>
      <c r="ED232" s="535">
        <f t="shared" si="482"/>
        <v>25.823249490142764</v>
      </c>
      <c r="EE232" s="535"/>
      <c r="EF232" s="535">
        <f>Sheet1!EH230+Sheet1!EI230+Sheet1!EJ230+Sheet1!EK230</f>
        <v>26</v>
      </c>
      <c r="EG232" s="1019">
        <f t="shared" si="550"/>
        <v>40.222000000000001</v>
      </c>
      <c r="EH232" s="521">
        <f t="shared" si="483"/>
        <v>0</v>
      </c>
      <c r="EI232" s="535">
        <f>IF(Sheet1!ET230=1,SUM('Calculations II'!AT232:BA232)+'Calculations II'!BC232+Sheet1!BV230+'Calculations II'!BE232+AP232,'Calculations II'!BK232)</f>
        <v>82.184337120326319</v>
      </c>
      <c r="EJ232" s="535">
        <f ca="1">EI232+'Calculations II'!D232+'Calculations II'!E232+'Calculations II'!O232</f>
        <v>78.817208449429032</v>
      </c>
      <c r="EK232" s="535"/>
      <c r="EL232" s="535"/>
      <c r="EM232" s="535">
        <f t="shared" si="484"/>
        <v>42956</v>
      </c>
      <c r="EN232" s="535">
        <f t="shared" si="485"/>
        <v>-26</v>
      </c>
      <c r="EO232" s="535">
        <f t="shared" si="486"/>
        <v>-40.222000000000001</v>
      </c>
      <c r="EP232" s="535">
        <v>0</v>
      </c>
      <c r="EQ232" s="535">
        <v>0</v>
      </c>
      <c r="ER232" s="535">
        <v>0</v>
      </c>
      <c r="ES232" s="521">
        <f t="shared" si="516"/>
        <v>4.5667940787946693</v>
      </c>
      <c r="ET232" s="535">
        <f>-(VLOOKUP(Sheet1!BQ230,Lookup!$O$4:$Q$262,2)-VLOOKUP(Sheet1!BQ229,Lookup!$O$4:$Q$262,2))/1000000</f>
        <v>2.2138599812213071</v>
      </c>
      <c r="EU232" s="535">
        <f>-(VLOOKUP(Sheet1!BR230,Lookup!$O$4:$Q$262,3)-VLOOKUP(Sheet1!BR229,Lookup!$O$4:$Q$262,3))/1000000</f>
        <v>2.3529340975733621</v>
      </c>
      <c r="EV232" s="535"/>
      <c r="EW232" s="535"/>
      <c r="EX232" s="535"/>
      <c r="EY232" s="535"/>
      <c r="EZ232" s="535"/>
      <c r="FA232" s="535"/>
      <c r="FB232" s="535"/>
      <c r="FC232" s="535"/>
      <c r="FD232" s="567">
        <f t="shared" si="566"/>
        <v>1134.9753846153092</v>
      </c>
      <c r="FE232" s="567" t="e">
        <f t="shared" si="488"/>
        <v>#N/A</v>
      </c>
      <c r="FF232" s="568" t="e">
        <f t="shared" si="489"/>
        <v>#N/A</v>
      </c>
      <c r="FG232" s="569" t="s">
        <v>656</v>
      </c>
      <c r="FH232" s="569" t="s">
        <v>656</v>
      </c>
      <c r="FI232" s="567" t="e">
        <v>#N/A</v>
      </c>
      <c r="FJ232" s="725">
        <v>19558</v>
      </c>
      <c r="FK232" s="535"/>
      <c r="FL232" s="1015">
        <f t="shared" si="565"/>
        <v>84.720121028744316</v>
      </c>
      <c r="FM232" s="535"/>
      <c r="FN232" s="535"/>
      <c r="FO232" s="535">
        <f>O232+((Sheet1!CS230)*GPMtoMGD)</f>
        <v>102.540976</v>
      </c>
      <c r="FP232" s="535">
        <f>IF(Sheet1!AA230+AQ232&lt;=Calculation!N232,AQ232,Calculation!N232-Sheet1!AA230)</f>
        <v>17.281713120326309</v>
      </c>
      <c r="FQ232" s="535">
        <f>(Sheet1!BP230+Sheet1!BO230)/694.4</f>
        <v>3.6540898617511521</v>
      </c>
      <c r="FR232" s="541"/>
      <c r="FS232" s="541"/>
      <c r="FT232" s="541"/>
      <c r="FU232" s="541"/>
      <c r="FV232" s="1109">
        <f t="shared" si="517"/>
        <v>42918</v>
      </c>
      <c r="FW232" s="1109">
        <f t="shared" si="518"/>
        <v>43027</v>
      </c>
      <c r="FX232" s="541"/>
      <c r="FY232" s="541">
        <f>Sheet1!DA230-Sheet1!CZ230-Sheet1!AE230</f>
        <v>-98.11060999999998</v>
      </c>
      <c r="FZ232" s="535">
        <f t="shared" si="551"/>
        <v>-0.7388756204832726</v>
      </c>
      <c r="GA232" s="535"/>
      <c r="GB232" s="535" t="str">
        <f t="shared" si="519"/>
        <v>n</v>
      </c>
      <c r="GC232" s="539">
        <f t="shared" si="520"/>
        <v>42782</v>
      </c>
      <c r="GD232" s="1109">
        <f t="shared" si="521"/>
        <v>42904</v>
      </c>
      <c r="GE232" s="535">
        <f t="shared" si="537"/>
        <v>6520</v>
      </c>
      <c r="GF232" s="1109">
        <f t="shared" si="522"/>
        <v>42909</v>
      </c>
      <c r="GG232" s="535">
        <f t="shared" si="564"/>
        <v>3260</v>
      </c>
      <c r="GH232" s="539">
        <f t="shared" si="523"/>
        <v>43040</v>
      </c>
      <c r="GJ232" s="521">
        <f t="shared" si="524"/>
        <v>0</v>
      </c>
      <c r="GK232" s="535" t="str">
        <f t="shared" si="490"/>
        <v/>
      </c>
      <c r="GL232" s="535">
        <f t="shared" si="525"/>
        <v>0</v>
      </c>
      <c r="GM232" s="535" t="str">
        <f t="shared" si="526"/>
        <v/>
      </c>
      <c r="GN232" s="535">
        <f>IF(GK232="P",Lookup!$M$12,IF(GK232="PP",Lookup!$M$13,IF(GK232="PPP",Lookup!$M$14,IF(GK232="T",Lookup!$M$15,IF(GK232="TP",Lookup!$M$16,IF(GK232="TPP",Lookup!$M$17,IF(GK232="TPPP",Lookup!$M$18,0)))))))*GJ232</f>
        <v>0</v>
      </c>
      <c r="GO232" s="535">
        <f t="shared" si="527"/>
        <v>0</v>
      </c>
      <c r="GP232" s="535">
        <f t="shared" si="491"/>
        <v>3681.088666666667</v>
      </c>
      <c r="GQ232" s="974">
        <f t="shared" si="500"/>
        <v>1199.8333333333335</v>
      </c>
      <c r="GR232" s="535"/>
      <c r="GS232" s="535">
        <f t="shared" si="528"/>
        <v>0</v>
      </c>
      <c r="GT232" s="535" t="str">
        <f t="shared" si="529"/>
        <v/>
      </c>
      <c r="GU232" s="535">
        <f>IF(GK232="P",Lookup!$N$12,IF(GK232="PP",Lookup!$N$13,IF(GK232="PPP",Lookup!$N$14,IF(GK232="T",Lookup!$N$15,IF(GK232="TP",Lookup!$N$16,IF(GK232="TPP",Lookup!$N$17,IF(GK232="TPPP",Lookup!$N$18,0)))))))*GJ232</f>
        <v>0</v>
      </c>
      <c r="GV232" s="535">
        <f t="shared" si="530"/>
        <v>0</v>
      </c>
      <c r="GW232" s="535">
        <f t="shared" si="492"/>
        <v>1582.3675193550805</v>
      </c>
      <c r="GX232" s="974">
        <f t="shared" si="501"/>
        <v>515.76516276241216</v>
      </c>
      <c r="GY232" s="535"/>
      <c r="GZ232" s="535">
        <f t="shared" si="531"/>
        <v>0</v>
      </c>
      <c r="HA232" s="535" t="str">
        <f t="shared" si="532"/>
        <v/>
      </c>
      <c r="HB232" s="535">
        <f>IF(GK232="P",Lookup!$N$12,IF(GK232="PP",Lookup!$N$13,IF(GK232="PPP",Lookup!$N$14,IF(GK232="T",Lookup!$N$15,IF(GK232="TP",Lookup!$N$16,IF(GK232="TPP",Lookup!$N$17,IF(GK232="TPPP",Lookup!$N$18,0)))))))*GJ232</f>
        <v>0</v>
      </c>
      <c r="HC232" s="521">
        <f t="shared" si="493"/>
        <v>0</v>
      </c>
      <c r="HD232" s="535">
        <f t="shared" si="494"/>
        <v>1130.0692106977326</v>
      </c>
      <c r="HE232" s="535">
        <f t="shared" si="535"/>
        <v>368.3406814529767</v>
      </c>
      <c r="HF232" s="535"/>
      <c r="HG232" s="535">
        <f t="shared" si="533"/>
        <v>0</v>
      </c>
      <c r="HH232" s="535" t="str">
        <f t="shared" si="534"/>
        <v/>
      </c>
      <c r="HI232" s="535">
        <f>IF(GK232="P",Lookup!$N$12,IF(GK232="PP",Lookup!$N$13,IF(GK232="PPP",Lookup!$N$14,IF(GK232="T",Lookup!$N$15,IF(GK232="TP",Lookup!$N$16,IF(GK232="TPP",Lookup!$N$17,IF(GK232="TPPP",Lookup!$N$18,0)))))))*GJ232</f>
        <v>0</v>
      </c>
      <c r="HJ232" s="521">
        <f t="shared" si="495"/>
        <v>0</v>
      </c>
      <c r="HK232" s="535">
        <f t="shared" si="496"/>
        <v>610.4200335634946</v>
      </c>
      <c r="HL232" s="535">
        <f t="shared" si="536"/>
        <v>198.963505072847</v>
      </c>
      <c r="HM232" s="535"/>
      <c r="HN232" s="541"/>
      <c r="HO232" s="541"/>
      <c r="HP232" s="541"/>
      <c r="HQ232" s="541">
        <f>IF(AND(B232&gt;=$FV$4,B232&lt;=$FW$4),MAX(110/1.02+$HQ$6+MIN(113/1.02,G232),IF($HV$6-(Sheet1!DA230-Sheet1!DB230)+MIN(113/1.02,G232)&lt;G232+FL232,$HV$6-(Sheet1!DA230-Sheet1!DB230)+MIN(113/1.02,G232),G232+FL232)),MIN(110/1.02+$HQ$6+113/1.02,G232))</f>
        <v>218.62745098039215</v>
      </c>
      <c r="HR232" s="541">
        <f t="shared" si="552"/>
        <v>223</v>
      </c>
      <c r="HS232" s="541">
        <f>HR232+(Sheet1!DA230-Sheet1!DB230)</f>
        <v>385</v>
      </c>
      <c r="HT232" s="541">
        <f t="shared" si="553"/>
        <v>97.162043038749133</v>
      </c>
      <c r="HU232" s="541">
        <f t="shared" si="554"/>
        <v>287.83795696125088</v>
      </c>
      <c r="HV232" s="541">
        <f t="shared" si="555"/>
        <v>0</v>
      </c>
      <c r="HW232" s="533" t="str">
        <f t="shared" si="556"/>
        <v/>
      </c>
      <c r="HX232" s="541">
        <f t="shared" si="557"/>
        <v>11.150549019607837</v>
      </c>
      <c r="HY232" s="541">
        <f>Sheet1!CZ230</f>
        <v>270</v>
      </c>
      <c r="HZ232" s="541">
        <f t="shared" si="558"/>
        <v>40.222000000000001</v>
      </c>
      <c r="IA232" s="541">
        <f t="shared" si="559"/>
        <v>97.162043038749133</v>
      </c>
      <c r="IB232" s="541">
        <f t="shared" si="560"/>
        <v>229.77799999999999</v>
      </c>
      <c r="IC232" s="1019" t="str">
        <f t="shared" si="561"/>
        <v/>
      </c>
      <c r="ID232" s="541">
        <f t="shared" si="562"/>
        <v>132.61595696125084</v>
      </c>
      <c r="IE232" s="541">
        <f>Sheet1!DB230</f>
        <v>147</v>
      </c>
      <c r="IF232" s="533">
        <f>Sheet1!DA230</f>
        <v>309</v>
      </c>
      <c r="IH232" s="541">
        <f>IF(AND($B232&gt;=$GC232,$B232&lt;=$GH232,$DR232&lt;0)+N("only adjusted when pool is drawn down during storage season"),Sheet1!$DB230+$DR232+N("Palmer minus all storage release"),Sheet1!$DB230)</f>
        <v>9.783661119890894</v>
      </c>
      <c r="II232" s="541">
        <f>IF(AND($B232&gt;=$GC232,$B232&lt;=$GH232,$DR232&lt;0)+N("only adjusted when pool is drawn down during storage season"),Sheet1!$DA230+$DR232+N("Auburn minus all storage release"),Sheet1!$DA230)</f>
        <v>171.78366111989089</v>
      </c>
    </row>
    <row r="233" spans="1:243" x14ac:dyDescent="0.25">
      <c r="A233" s="553" t="s">
        <v>7</v>
      </c>
      <c r="B233" s="531">
        <v>42957</v>
      </c>
      <c r="C233" s="536">
        <v>0</v>
      </c>
      <c r="D233" s="506">
        <f t="shared" si="506"/>
        <v>200</v>
      </c>
      <c r="E233" s="506">
        <f t="shared" si="507"/>
        <v>400</v>
      </c>
      <c r="F233" s="506">
        <v>250</v>
      </c>
      <c r="G233" s="535">
        <f>DR233+Sheet1!CZ231</f>
        <v>135.53908219845039</v>
      </c>
      <c r="H233" s="1074">
        <f t="shared" si="563"/>
        <v>0</v>
      </c>
      <c r="I233" s="534">
        <f>IF(Sheet1!DA231&gt;=E233,(Sheet1!DA231-E233+P233)*CFStoMGD,0)</f>
        <v>0</v>
      </c>
      <c r="J233" s="995">
        <f>IF(Sheet1!DB231&gt;=D233,(Sheet1!DB231-D233+P233)*CFStoMGD,0)</f>
        <v>0</v>
      </c>
      <c r="K233" s="818">
        <f t="shared" si="538"/>
        <v>0</v>
      </c>
      <c r="L233" s="535">
        <f>Sheet1!AA231+Sheet1!AB231-Sheet1!L231+(Sheet1!DA231-F233)*CFStoMGD-S233-T233-U233</f>
        <v>96.219661135371183</v>
      </c>
      <c r="M233" s="535">
        <f t="shared" si="436"/>
        <v>89.364711987739895</v>
      </c>
      <c r="N233" s="824">
        <f>IF(Sheet1!DA231&gt;=F233,MIN(113*CFStoMGD,MIN(MAX(L233,0),MAX(M233,0))),0)</f>
        <v>73.043199999999999</v>
      </c>
      <c r="O233" s="538">
        <f>Sheet1!AA231+Sheet1!AB231</f>
        <v>90.330000000000013</v>
      </c>
      <c r="P233" s="538">
        <f t="shared" si="437"/>
        <v>139.74051000000003</v>
      </c>
      <c r="Q233" s="812">
        <f t="shared" si="539"/>
        <v>64.54606113537119</v>
      </c>
      <c r="R233" s="812">
        <f t="shared" si="508"/>
        <v>26</v>
      </c>
      <c r="S233" s="812">
        <f t="shared" si="509"/>
        <v>0</v>
      </c>
      <c r="T233" s="812">
        <f t="shared" si="510"/>
        <v>0</v>
      </c>
      <c r="U233" s="812">
        <f>IF(AND(B233&gt;=FV233,B233&lt;=FW233),ED233+Sheet1!EH231,0)</f>
        <v>25.783938864628823</v>
      </c>
      <c r="V233" s="812"/>
      <c r="W233" s="812">
        <f t="shared" si="511"/>
        <v>0</v>
      </c>
      <c r="X233" s="812">
        <f t="shared" si="512"/>
        <v>0</v>
      </c>
      <c r="Y233" s="812" t="str">
        <f t="shared" si="513"/>
        <v>FALSE</v>
      </c>
      <c r="Z233" s="812">
        <f t="shared" si="514"/>
        <v>90.330000000000013</v>
      </c>
      <c r="AA233" s="812">
        <f t="shared" si="515"/>
        <v>90.330000000000013</v>
      </c>
      <c r="AB233" s="1059">
        <f t="shared" si="540"/>
        <v>99.852756576419225</v>
      </c>
      <c r="AC233" s="538">
        <f>Sheet1!Y231*MGDtoCFS</f>
        <v>69.305599999999998</v>
      </c>
      <c r="AD233" s="538">
        <f>Sheet1!Z231*MGDtoCFS</f>
        <v>67.805009999999996</v>
      </c>
      <c r="AE233" s="538">
        <f>Sheet1!AA231*MGDtoCFS</f>
        <v>69.150900000000007</v>
      </c>
      <c r="AF233" s="538">
        <f>Sheet1!AB231*MGDtoCFS</f>
        <v>70.589610000000008</v>
      </c>
      <c r="AG233" s="538">
        <f>Sheet1!L231*MGDtoCFS</f>
        <v>0</v>
      </c>
      <c r="AH233" s="521">
        <f t="shared" si="438"/>
        <v>26.124827510917029</v>
      </c>
      <c r="AI233" s="1059">
        <f t="shared" si="439"/>
        <v>40.415108159388645</v>
      </c>
      <c r="AJ233" s="535">
        <f t="shared" si="440"/>
        <v>0</v>
      </c>
      <c r="AK233" s="535">
        <f t="shared" si="441"/>
        <v>0</v>
      </c>
      <c r="AL233" s="535">
        <f>(VLOOKUP(Sheet1!DC231,hhdcap_wcm,4)-(((VLOOKUP(Sheet1!DC231,hhdcap_wcm,3)-Sheet1!DC231)/(VLOOKUP(Sheet1!DC231,hhdcap_wcm,3)-VLOOKUP(Sheet1!DC231,hhdcap_wcm,1)))*(VLOOKUP(Sheet1!DC231,hhdcap_wcm,4)-VLOOKUP(Sheet1!DC231,hhdcap_wcm,2))))</f>
        <v>40937.000000102424</v>
      </c>
      <c r="AM233" s="535">
        <f t="shared" si="442"/>
        <v>-282.50000000047294</v>
      </c>
      <c r="AN233" s="1035">
        <f t="shared" si="443"/>
        <v>2256.7778551106526</v>
      </c>
      <c r="AO233" s="535">
        <f t="shared" si="444"/>
        <v>6923.7944594794826</v>
      </c>
      <c r="AP233" s="535">
        <f>Sheet1!BA231+Sheet1!BB231+Sheet1!BN231+CD233</f>
        <v>19.919999999999998</v>
      </c>
      <c r="AQ233" s="535">
        <f>Sheet1!BN231+(DO233*Sheet1!BN231)</f>
        <v>19.128733624454149</v>
      </c>
      <c r="AR233" s="535">
        <f>Sheet1!BA231+CD233</f>
        <v>0</v>
      </c>
      <c r="AS233" s="535">
        <f>Sheet1!BA231+Sheet1!BB231+CD233</f>
        <v>0.72</v>
      </c>
      <c r="AT233" s="649">
        <f>0</f>
        <v>0</v>
      </c>
      <c r="AU233" s="974">
        <f>BA233+MAX(Sheet1!EH231,(O233-Q233-ED233-S233))</f>
        <v>0</v>
      </c>
      <c r="AV233" s="535">
        <f>IF(OR(B233&gt;=GD233,B233&lt;GC233),0,15/36*K233-MAX(0,64.6-(137.6-(Sheet1!AA231+Sheet1!AB231))))</f>
        <v>0</v>
      </c>
      <c r="AW233" s="1029"/>
      <c r="AX233" s="649"/>
      <c r="AY233" s="649">
        <f t="shared" si="541"/>
        <v>0</v>
      </c>
      <c r="AZ233" s="649">
        <f t="shared" si="542"/>
        <v>0</v>
      </c>
      <c r="BA233" s="1059">
        <f t="shared" si="543"/>
        <v>0</v>
      </c>
      <c r="BB233" s="1019">
        <f t="shared" si="445"/>
        <v>1199.8333333333335</v>
      </c>
      <c r="BC233" s="1041">
        <f t="shared" si="544"/>
        <v>0</v>
      </c>
      <c r="BD233" s="1019">
        <f ca="1">IF(B233&gt;(Summary!$A$1-1),#N/A,BB233*MGtoAF)</f>
        <v>3681.088666666667</v>
      </c>
      <c r="BE233" s="535">
        <f>Sheet1!BG231+Sheet1!BH231+Sheet1!BI231-BM233</f>
        <v>6.7200000000000006</v>
      </c>
      <c r="BF233" s="535">
        <f t="shared" si="446"/>
        <v>6.6950567685589535</v>
      </c>
      <c r="BG233" s="535">
        <f>IF(Sheet1!EP231="FM",BM233,0)</f>
        <v>0</v>
      </c>
      <c r="BH233" s="535">
        <f t="shared" si="447"/>
        <v>0</v>
      </c>
      <c r="BI233" s="535">
        <f>IF(Sheet1!EP231="OTHER",BM233,0)</f>
        <v>0</v>
      </c>
      <c r="BJ233" s="535">
        <f t="shared" si="448"/>
        <v>0</v>
      </c>
      <c r="BK233" s="535">
        <f t="shared" si="449"/>
        <v>6.7200000000000006</v>
      </c>
      <c r="BL233" s="535">
        <f t="shared" si="450"/>
        <v>6.6950567685589535</v>
      </c>
      <c r="BM233" s="535">
        <f>IF(OR(Sheet1!EP231="FM", Sheet1!EP231="OTHER"),SUM(Sheet1!BG231:'Sheet1'!BI231),0)</f>
        <v>0</v>
      </c>
      <c r="BN233" s="521">
        <f>IF(AND($B233&gt;=$FV233,$B233&lt;=$FW233),MAX(BF233,Sheet1!EI231,0),MAX(BF233-(7/36)*$K233,0))</f>
        <v>7</v>
      </c>
      <c r="BO233" s="535">
        <f t="shared" si="497"/>
        <v>0</v>
      </c>
      <c r="BP233" s="521">
        <f t="shared" si="452"/>
        <v>0</v>
      </c>
      <c r="BQ233" s="521">
        <f>IF(AND($O233&gt;0,Sheet1!EM231=1),(1-($O233-Sheet1!$L231)/$O233)*BL233,0)</f>
        <v>0</v>
      </c>
      <c r="BR233" s="521">
        <f>IF(AND(Sheet1!$L231=0,Sheet1!$L230=0, Calculation!BK233&lt;Sheet1!$EI231-0.1,Sheet1!$EI231=Sheet1!$EI230,Sheet1!$EI231=Sheet1!$EI232),BL233-BQ233,BL233-BQ233)</f>
        <v>6.6950567685589535</v>
      </c>
      <c r="BS233" s="1035" t="str">
        <f t="shared" si="545"/>
        <v/>
      </c>
      <c r="BT233" s="1035">
        <f t="shared" si="546"/>
        <v>0</v>
      </c>
      <c r="BU233" s="535">
        <f t="shared" si="453"/>
        <v>508.76516276241216</v>
      </c>
      <c r="BV233" s="535"/>
      <c r="BW233" s="535">
        <f ca="1">IF(B233&gt;(Summary!$A$1-1),#N/A,BU233*MGtoAF)</f>
        <v>1560.8915193550806</v>
      </c>
      <c r="BX233" s="535">
        <f>Sheet1!BC231+Sheet1!BD231+Sheet1!BE231+Sheet1!BF231-CG233-CH233</f>
        <v>6.99</v>
      </c>
      <c r="BY233" s="535">
        <f t="shared" si="454"/>
        <v>6.964054585152839</v>
      </c>
      <c r="BZ233" s="535">
        <f>IF(Sheet1!EQ231="FM",CH233,0)</f>
        <v>0</v>
      </c>
      <c r="CA233" s="535">
        <f t="shared" si="455"/>
        <v>0</v>
      </c>
      <c r="CB233" s="535">
        <f>IF(Sheet1!EQ231="OTHER",CH233,0)</f>
        <v>0</v>
      </c>
      <c r="CC233" s="535">
        <f t="shared" si="456"/>
        <v>0</v>
      </c>
      <c r="CD233" s="535">
        <f t="shared" si="457"/>
        <v>0</v>
      </c>
      <c r="CE233" s="535">
        <f t="shared" si="458"/>
        <v>6.99</v>
      </c>
      <c r="CF233" s="535">
        <f t="shared" si="459"/>
        <v>6.964054585152839</v>
      </c>
      <c r="CG233" s="535">
        <f>IF(Sheet1!EQ231="CWA",SUM(Sheet1!BC231:'Sheet1'!BF231),0)</f>
        <v>0</v>
      </c>
      <c r="CH233" s="535">
        <f>IF(OR(Sheet1!EQ231="FM", Sheet1!EQ231="OTHER"),SUM(Sheet1!BC231:'Sheet1'!BF231),0)</f>
        <v>0</v>
      </c>
      <c r="CI233" s="521">
        <f>IF(AND($B233&gt;=$FV233,$B233&lt;=$FW233),MAX(CF233,Sheet1!EJ231,0),MAX(CF233-(7/36)*$K233,0))</f>
        <v>7</v>
      </c>
      <c r="CJ233" s="535">
        <f t="shared" si="499"/>
        <v>0</v>
      </c>
      <c r="CK233" s="521">
        <f t="shared" si="461"/>
        <v>0</v>
      </c>
      <c r="CL233" s="521">
        <f>IF(AND($O233&gt;0,Sheet1!EN231=1),(1-($O233-Sheet1!$L231)/$O233)*CF233,0)</f>
        <v>0</v>
      </c>
      <c r="CM233" s="521">
        <f>IF(AND(Sheet1!$L231=0,Sheet1!$L230=0, Calculation!CE233&lt;Sheet1!EJ231-0.1,Sheet1!EJ231=Sheet1!EJ230,Sheet1!EJ231=Sheet1!EJ232),CF233-CL233,CF233-CL233)</f>
        <v>6.964054585152839</v>
      </c>
      <c r="CN233" s="1040" t="str">
        <f t="shared" si="547"/>
        <v/>
      </c>
      <c r="CO233" s="1035">
        <f t="shared" si="548"/>
        <v>0</v>
      </c>
      <c r="CP233" s="535">
        <f t="shared" si="462"/>
        <v>361.3406814529767</v>
      </c>
      <c r="CQ233" s="535"/>
      <c r="CR233" s="535">
        <f ca="1">IF(B233&gt;(Summary!$A$1-1),#N/A,CP233*MGtoAF)</f>
        <v>1108.5932106977325</v>
      </c>
      <c r="CS233" s="535">
        <f>Sheet1!BK231+Sheet1!BL231+Sheet1!BM231-Sheet1!ER231-DA233</f>
        <v>12.17</v>
      </c>
      <c r="CT233" s="535">
        <f t="shared" si="463"/>
        <v>12.124827510917031</v>
      </c>
      <c r="CU233" s="535">
        <f>IF(Sheet1!ER231="FM",DA233,0)</f>
        <v>0</v>
      </c>
      <c r="CV233" s="535">
        <f t="shared" si="464"/>
        <v>0</v>
      </c>
      <c r="CW233" s="535">
        <f>IF(Sheet1!ER231="OTHER",DA233,0)</f>
        <v>0</v>
      </c>
      <c r="CX233" s="535">
        <f t="shared" si="465"/>
        <v>0</v>
      </c>
      <c r="CY233" s="535">
        <f t="shared" si="466"/>
        <v>12.17</v>
      </c>
      <c r="CZ233" s="535">
        <f t="shared" si="467"/>
        <v>12.124827510917031</v>
      </c>
      <c r="DA233" s="535">
        <f>IF(OR(Sheet1!ER231="FM", Sheet1!ER231="OTHER"),SUM(Sheet1!BK231:'Sheet1'!BM231),0)</f>
        <v>0</v>
      </c>
      <c r="DB233" s="1011">
        <f>IF(AND($B233&gt;=$FV233,$B233&lt;=$FW233),MAX($CT233,Sheet1!EK231,0),MAX($CT233-(7/36)*$K233,0))</f>
        <v>12.124827510917031</v>
      </c>
      <c r="DC233" s="1012">
        <f t="shared" si="498"/>
        <v>0</v>
      </c>
      <c r="DD233" s="1011">
        <f t="shared" si="469"/>
        <v>0</v>
      </c>
      <c r="DE233" s="521">
        <f>IF(AND($O233&gt;0,Sheet1!EO231=1),(1-($O233-Sheet1!$L231)/$O233)*CZ233,0)</f>
        <v>0</v>
      </c>
      <c r="DF233" s="521">
        <f>IF(AND(Sheet1!$L231=0,Sheet1!$L230=0, Calculation!CY233&lt;Sheet1!$EK231-0.1,Sheet1!$EK231=Sheet1!$EK230,Sheet1!$EK231=Sheet1!$EK232),CZ233-DE233,CZ233-DE233)</f>
        <v>12.124827510917031</v>
      </c>
      <c r="DG233" s="1040">
        <f t="shared" si="549"/>
        <v>0</v>
      </c>
      <c r="DH233" s="649">
        <f t="shared" si="470"/>
        <v>25.880000000000003</v>
      </c>
      <c r="DI233" s="535">
        <f t="shared" si="471"/>
        <v>186.83867756192996</v>
      </c>
      <c r="DJ233" s="649">
        <f t="shared" si="472"/>
        <v>25.783938864628823</v>
      </c>
      <c r="DK233" s="535">
        <f ca="1">IF(B233&gt;(Summary!$A$1-1),#N/A,DI233*MGtoAF)</f>
        <v>573.22106276000113</v>
      </c>
      <c r="DL233" s="649">
        <f t="shared" si="473"/>
        <v>25.880000000000003</v>
      </c>
      <c r="DM233" s="535">
        <f t="shared" si="474"/>
        <v>45.8</v>
      </c>
      <c r="DN233" s="535">
        <f>Sheet1!AB231-DM233</f>
        <v>-0.1699999999999946</v>
      </c>
      <c r="DO233" s="743">
        <f t="shared" si="475"/>
        <v>-3.7117903930129828E-3</v>
      </c>
      <c r="DP233" s="535">
        <f>(VLOOKUP(Sheet1!DC231,hhdcap_wcm,4)-(((VLOOKUP(Sheet1!DC231,hhdcap_wcm,3)-Sheet1!DC231)/(VLOOKUP(Sheet1!DC231,hhdcap_wcm,3)-VLOOKUP(Sheet1!DC231,hhdcap_wcm,1)))*(VLOOKUP(Sheet1!DC231,hhdcap_wcm,4)-VLOOKUP(Sheet1!DC231,hhdcap_wcm,2))))</f>
        <v>40937.000000102424</v>
      </c>
      <c r="DQ233" s="535">
        <f t="shared" si="476"/>
        <v>-282.50000000047294</v>
      </c>
      <c r="DR233" s="535">
        <f t="shared" si="477"/>
        <v>-142.46091780154961</v>
      </c>
      <c r="DS233" s="535">
        <f>Sheet1!EA231*AFtoMG</f>
        <v>0</v>
      </c>
      <c r="DT233" s="535">
        <f>Sheet1!EB231*AFtoMG</f>
        <v>0</v>
      </c>
      <c r="DU233" s="535">
        <f>Sheet1!EC231*AFtoMG</f>
        <v>0</v>
      </c>
      <c r="DV233" s="535">
        <f>Sheet1!ED231*AFtoMG</f>
        <v>0</v>
      </c>
      <c r="DW233" s="535">
        <f t="shared" si="478"/>
        <v>0</v>
      </c>
      <c r="DX233" s="535">
        <f t="shared" si="479"/>
        <v>0</v>
      </c>
      <c r="DY233" s="535">
        <f t="shared" si="480"/>
        <v>2256.7778551106526</v>
      </c>
      <c r="DZ233" s="535">
        <f t="shared" si="481"/>
        <v>6923.7944594794826</v>
      </c>
      <c r="EA233" s="535"/>
      <c r="EB233" s="521">
        <f>IF(OR(B233&lt;FV233,B233&gt;FW233),(MIN(BF233+BY233+CT233+MAX(Sheet1!AA231+AQ233-73,0),K233)),0)</f>
        <v>0</v>
      </c>
      <c r="EC233" s="535"/>
      <c r="ED233" s="535">
        <f t="shared" si="482"/>
        <v>25.783938864628823</v>
      </c>
      <c r="EE233" s="535"/>
      <c r="EF233" s="535">
        <f>Sheet1!EH231+Sheet1!EI231+Sheet1!EJ231+Sheet1!EK231</f>
        <v>26</v>
      </c>
      <c r="EG233" s="1019">
        <f t="shared" si="550"/>
        <v>40.222000000000001</v>
      </c>
      <c r="EH233" s="521">
        <f t="shared" si="483"/>
        <v>0</v>
      </c>
      <c r="EI233" s="535">
        <f>IF(Sheet1!ET231=1,SUM('Calculations II'!AT233:BA233)+'Calculations II'!BC233+Sheet1!BV231+'Calculations II'!BE233+AP233,'Calculations II'!BK233)</f>
        <v>83.06357562445416</v>
      </c>
      <c r="EJ233" s="535">
        <f ca="1">EI233+'Calculations II'!D233+'Calculations II'!E233+'Calculations II'!O233</f>
        <v>77.154798217480902</v>
      </c>
      <c r="EK233" s="535"/>
      <c r="EL233" s="535"/>
      <c r="EM233" s="535">
        <f t="shared" si="484"/>
        <v>42957</v>
      </c>
      <c r="EN233" s="535">
        <f t="shared" si="485"/>
        <v>-26.124827510917029</v>
      </c>
      <c r="EO233" s="535">
        <f t="shared" si="486"/>
        <v>-40.415108159388645</v>
      </c>
      <c r="EP233" s="535">
        <v>0</v>
      </c>
      <c r="EQ233" s="535">
        <v>0</v>
      </c>
      <c r="ER233" s="535">
        <v>0</v>
      </c>
      <c r="ES233" s="521">
        <f t="shared" si="516"/>
        <v>3.7338360362145977</v>
      </c>
      <c r="ET233" s="535">
        <f>-(VLOOKUP(Sheet1!BQ231,Lookup!$O$4:$Q$262,2)-VLOOKUP(Sheet1!BQ230,Lookup!$O$4:$Q$262,2))/1000000</f>
        <v>1.9357825500189922</v>
      </c>
      <c r="EU233" s="535">
        <f>-(VLOOKUP(Sheet1!BR231,Lookup!$O$4:$Q$262,3)-VLOOKUP(Sheet1!BR230,Lookup!$O$4:$Q$262,3))/1000000</f>
        <v>1.7980534861956052</v>
      </c>
      <c r="EV233" s="535"/>
      <c r="EW233" s="535"/>
      <c r="EX233" s="535"/>
      <c r="EY233" s="535"/>
      <c r="EZ233" s="535"/>
      <c r="FA233" s="535"/>
      <c r="FB233" s="535"/>
      <c r="FC233" s="535"/>
      <c r="FD233" s="567">
        <f t="shared" si="566"/>
        <v>1134.7184615383862</v>
      </c>
      <c r="FE233" s="567" t="e">
        <f t="shared" si="488"/>
        <v>#N/A</v>
      </c>
      <c r="FF233" s="568" t="e">
        <f t="shared" si="489"/>
        <v>#N/A</v>
      </c>
      <c r="FG233" s="569" t="s">
        <v>656</v>
      </c>
      <c r="FH233" s="569" t="s">
        <v>656</v>
      </c>
      <c r="FI233" s="567" t="e">
        <v>#N/A</v>
      </c>
      <c r="FJ233" s="725">
        <v>19390</v>
      </c>
      <c r="FK233" s="535"/>
      <c r="FL233" s="1015">
        <f t="shared" si="565"/>
        <v>84.720121028744316</v>
      </c>
      <c r="FM233" s="535"/>
      <c r="FN233" s="535"/>
      <c r="FO233" s="535">
        <f>O233+((Sheet1!CS231)*GPMtoMGD)</f>
        <v>104.23636800000001</v>
      </c>
      <c r="FP233" s="535">
        <f>IF(Sheet1!AA231+AQ233&lt;=Calculation!N233,AQ233,Calculation!N233-Sheet1!AA231)</f>
        <v>19.128733624454149</v>
      </c>
      <c r="FQ233" s="535">
        <f>(Sheet1!BP231+Sheet1!BO231)/694.4</f>
        <v>4.3269009216589858</v>
      </c>
      <c r="FR233" s="541"/>
      <c r="FS233" s="541"/>
      <c r="FT233" s="541"/>
      <c r="FU233" s="541"/>
      <c r="FV233" s="1109">
        <f t="shared" si="517"/>
        <v>42918</v>
      </c>
      <c r="FW233" s="1109">
        <f t="shared" si="518"/>
        <v>43027</v>
      </c>
      <c r="FX233" s="541"/>
      <c r="FY233" s="541">
        <f>Sheet1!DA231-Sheet1!CZ231-Sheet1!AE231</f>
        <v>-118.74051</v>
      </c>
      <c r="FZ233" s="535">
        <f t="shared" si="551"/>
        <v>-0.87606104508030636</v>
      </c>
      <c r="GA233" s="535"/>
      <c r="GB233" s="535" t="str">
        <f t="shared" si="519"/>
        <v>n</v>
      </c>
      <c r="GC233" s="539">
        <f t="shared" si="520"/>
        <v>42782</v>
      </c>
      <c r="GD233" s="1109">
        <f t="shared" si="521"/>
        <v>42904</v>
      </c>
      <c r="GE233" s="535">
        <f t="shared" si="537"/>
        <v>6520</v>
      </c>
      <c r="GF233" s="1109">
        <f t="shared" si="522"/>
        <v>42909</v>
      </c>
      <c r="GG233" s="535">
        <f t="shared" si="564"/>
        <v>3260</v>
      </c>
      <c r="GH233" s="539">
        <f t="shared" si="523"/>
        <v>43040</v>
      </c>
      <c r="GJ233" s="521">
        <f t="shared" si="524"/>
        <v>0</v>
      </c>
      <c r="GK233" s="535" t="str">
        <f t="shared" si="490"/>
        <v/>
      </c>
      <c r="GL233" s="535">
        <f t="shared" si="525"/>
        <v>0</v>
      </c>
      <c r="GM233" s="535" t="str">
        <f t="shared" si="526"/>
        <v/>
      </c>
      <c r="GN233" s="535">
        <f>IF(GK233="P",Lookup!$M$12,IF(GK233="PP",Lookup!$M$13,IF(GK233="PPP",Lookup!$M$14,IF(GK233="T",Lookup!$M$15,IF(GK233="TP",Lookup!$M$16,IF(GK233="TPP",Lookup!$M$17,IF(GK233="TPPP",Lookup!$M$18,0)))))))*GJ233</f>
        <v>0</v>
      </c>
      <c r="GO233" s="535">
        <f t="shared" si="527"/>
        <v>0</v>
      </c>
      <c r="GP233" s="535">
        <f t="shared" si="491"/>
        <v>3681.088666666667</v>
      </c>
      <c r="GQ233" s="974">
        <f t="shared" si="500"/>
        <v>1199.8333333333335</v>
      </c>
      <c r="GR233" s="535"/>
      <c r="GS233" s="535">
        <f t="shared" si="528"/>
        <v>0</v>
      </c>
      <c r="GT233" s="535" t="str">
        <f t="shared" si="529"/>
        <v/>
      </c>
      <c r="GU233" s="535">
        <f>IF(GK233="P",Lookup!$N$12,IF(GK233="PP",Lookup!$N$13,IF(GK233="PPP",Lookup!$N$14,IF(GK233="T",Lookup!$N$15,IF(GK233="TP",Lookup!$N$16,IF(GK233="TPP",Lookup!$N$17,IF(GK233="TPPP",Lookup!$N$18,0)))))))*GJ233</f>
        <v>0</v>
      </c>
      <c r="GV233" s="535">
        <f t="shared" si="530"/>
        <v>0</v>
      </c>
      <c r="GW233" s="535">
        <f t="shared" si="492"/>
        <v>1560.8915193550806</v>
      </c>
      <c r="GX233" s="974">
        <f t="shared" si="501"/>
        <v>508.76516276241216</v>
      </c>
      <c r="GY233" s="535"/>
      <c r="GZ233" s="535">
        <f t="shared" si="531"/>
        <v>0</v>
      </c>
      <c r="HA233" s="535" t="str">
        <f t="shared" si="532"/>
        <v/>
      </c>
      <c r="HB233" s="535">
        <f>IF(GK233="P",Lookup!$N$12,IF(GK233="PP",Lookup!$N$13,IF(GK233="PPP",Lookup!$N$14,IF(GK233="T",Lookup!$N$15,IF(GK233="TP",Lookup!$N$16,IF(GK233="TPP",Lookup!$N$17,IF(GK233="TPPP",Lookup!$N$18,0)))))))*GJ233</f>
        <v>0</v>
      </c>
      <c r="HC233" s="521">
        <f t="shared" si="493"/>
        <v>0</v>
      </c>
      <c r="HD233" s="535">
        <f t="shared" si="494"/>
        <v>1108.5932106977325</v>
      </c>
      <c r="HE233" s="535">
        <f t="shared" si="535"/>
        <v>361.3406814529767</v>
      </c>
      <c r="HF233" s="535"/>
      <c r="HG233" s="535">
        <f t="shared" si="533"/>
        <v>0</v>
      </c>
      <c r="HH233" s="535" t="str">
        <f t="shared" si="534"/>
        <v/>
      </c>
      <c r="HI233" s="535">
        <f>IF(GK233="P",Lookup!$N$12,IF(GK233="PP",Lookup!$N$13,IF(GK233="PPP",Lookup!$N$14,IF(GK233="T",Lookup!$N$15,IF(GK233="TP",Lookup!$N$16,IF(GK233="TPP",Lookup!$N$17,IF(GK233="TPPP",Lookup!$N$18,0)))))))*GJ233</f>
        <v>0</v>
      </c>
      <c r="HJ233" s="521">
        <f t="shared" si="495"/>
        <v>0</v>
      </c>
      <c r="HK233" s="535">
        <f t="shared" si="496"/>
        <v>573.22106276000113</v>
      </c>
      <c r="HL233" s="535">
        <f t="shared" si="536"/>
        <v>186.83867756192996</v>
      </c>
      <c r="HM233" s="535"/>
      <c r="HN233" s="541"/>
      <c r="HO233" s="541"/>
      <c r="HP233" s="541"/>
      <c r="HQ233" s="541">
        <f>IF(AND(B233&gt;=$FV$4,B233&lt;=$FW$4),MAX(110/1.02+$HQ$6+MIN(113/1.02,G233),IF($HV$6-(Sheet1!DA231-Sheet1!DB231)+MIN(113/1.02,G233)&lt;G233+FL233,$HV$6-(Sheet1!DA231-Sheet1!DB231)+MIN(113/1.02,G233),G233+FL233)),MIN(110/1.02+$HQ$6+113/1.02,G233))</f>
        <v>218.62745098039215</v>
      </c>
      <c r="HR233" s="541">
        <f t="shared" si="552"/>
        <v>223</v>
      </c>
      <c r="HS233" s="541">
        <f>HR233+(Sheet1!DA231-Sheet1!DB231)</f>
        <v>387</v>
      </c>
      <c r="HT233" s="541">
        <f t="shared" si="553"/>
        <v>99.852756576419225</v>
      </c>
      <c r="HU233" s="541">
        <f t="shared" si="554"/>
        <v>287.14724342358079</v>
      </c>
      <c r="HV233" s="541">
        <f t="shared" si="555"/>
        <v>0</v>
      </c>
      <c r="HW233" s="533" t="str">
        <f t="shared" si="556"/>
        <v/>
      </c>
      <c r="HX233" s="541">
        <f t="shared" si="557"/>
        <v>18.957440860219208</v>
      </c>
      <c r="HY233" s="541">
        <f>Sheet1!CZ231</f>
        <v>278</v>
      </c>
      <c r="HZ233" s="541">
        <f t="shared" si="558"/>
        <v>40.415108159388645</v>
      </c>
      <c r="IA233" s="541">
        <f t="shared" si="559"/>
        <v>99.852756576419225</v>
      </c>
      <c r="IB233" s="541">
        <f t="shared" si="560"/>
        <v>237.58489184061136</v>
      </c>
      <c r="IC233" s="1019" t="str">
        <f t="shared" si="561"/>
        <v/>
      </c>
      <c r="ID233" s="541">
        <f t="shared" si="562"/>
        <v>137.73213526419215</v>
      </c>
      <c r="IE233" s="541">
        <f>Sheet1!DB231</f>
        <v>135</v>
      </c>
      <c r="IF233" s="533">
        <f>Sheet1!DA231</f>
        <v>299</v>
      </c>
      <c r="IH233" s="541">
        <f>IF(AND($B233&gt;=$GC233,$B233&lt;=$GH233,$DR233&lt;0)+N("only adjusted when pool is drawn down during storage season"),Sheet1!$DB231+$DR233+N("Palmer minus all storage release"),Sheet1!$DB231)</f>
        <v>-7.4609178015496127</v>
      </c>
      <c r="II233" s="541">
        <f>IF(AND($B233&gt;=$GC233,$B233&lt;=$GH233,$DR233&lt;0)+N("only adjusted when pool is drawn down during storage season"),Sheet1!$DA231+$DR233+N("Auburn minus all storage release"),Sheet1!$DA231)</f>
        <v>156.53908219845039</v>
      </c>
    </row>
    <row r="234" spans="1:243" x14ac:dyDescent="0.25">
      <c r="A234" s="553" t="s">
        <v>8</v>
      </c>
      <c r="B234" s="531">
        <v>42958</v>
      </c>
      <c r="C234" s="536">
        <v>0</v>
      </c>
      <c r="D234" s="506">
        <f t="shared" si="506"/>
        <v>200</v>
      </c>
      <c r="E234" s="506">
        <f t="shared" si="507"/>
        <v>400</v>
      </c>
      <c r="F234" s="506">
        <v>250</v>
      </c>
      <c r="G234" s="535">
        <f>DR234+Sheet1!CZ232</f>
        <v>131.24407463427127</v>
      </c>
      <c r="H234" s="1074">
        <f t="shared" si="563"/>
        <v>0</v>
      </c>
      <c r="I234" s="534">
        <f>IF(Sheet1!DA232&gt;=E234,(Sheet1!DA232-E234+P234)*CFStoMGD,0)</f>
        <v>0</v>
      </c>
      <c r="J234" s="995">
        <f>IF(Sheet1!DB232&gt;=D234,(Sheet1!DB232-D234+P234)*CFStoMGD,0)</f>
        <v>0</v>
      </c>
      <c r="K234" s="818">
        <f t="shared" si="538"/>
        <v>0</v>
      </c>
      <c r="L234" s="535">
        <f>Sheet1!AA232+Sheet1!AB232-Sheet1!L232+(Sheet1!DA232-F234)*CFStoMGD-S234-T234-U234</f>
        <v>96.99318525976642</v>
      </c>
      <c r="M234" s="535">
        <f t="shared" si="436"/>
        <v>86.532893240464816</v>
      </c>
      <c r="N234" s="824">
        <f>IF(Sheet1!DA232&gt;=F234,MIN(113*CFStoMGD,MIN(MAX(L234,0),MAX(M234,0))),0)</f>
        <v>73.043199999999999</v>
      </c>
      <c r="O234" s="538">
        <f>Sheet1!AA232+Sheet1!AB232</f>
        <v>96.65</v>
      </c>
      <c r="P234" s="538">
        <f t="shared" si="437"/>
        <v>149.51755</v>
      </c>
      <c r="Q234" s="812">
        <f t="shared" si="539"/>
        <v>67.905185259766426</v>
      </c>
      <c r="R234" s="812">
        <f t="shared" si="508"/>
        <v>29</v>
      </c>
      <c r="S234" s="812">
        <f t="shared" si="509"/>
        <v>0</v>
      </c>
      <c r="T234" s="812">
        <f t="shared" si="510"/>
        <v>0</v>
      </c>
      <c r="U234" s="812">
        <f>IF(AND(B234&gt;=FV234,B234&lt;=FW234),ED234+Sheet1!EH232,0)</f>
        <v>28.744814740233586</v>
      </c>
      <c r="V234" s="812"/>
      <c r="W234" s="812">
        <f t="shared" si="511"/>
        <v>0</v>
      </c>
      <c r="X234" s="812">
        <f t="shared" si="512"/>
        <v>0</v>
      </c>
      <c r="Y234" s="812" t="str">
        <f t="shared" si="513"/>
        <v>FALSE</v>
      </c>
      <c r="Z234" s="812">
        <f t="shared" si="514"/>
        <v>96.65</v>
      </c>
      <c r="AA234" s="812">
        <f t="shared" si="515"/>
        <v>96.65</v>
      </c>
      <c r="AB234" s="1059">
        <f t="shared" si="540"/>
        <v>105.04932159685866</v>
      </c>
      <c r="AC234" s="538">
        <f>Sheet1!Y232*MGDtoCFS</f>
        <v>69.150900000000007</v>
      </c>
      <c r="AD234" s="538">
        <f>Sheet1!Z232*MGDtoCFS</f>
        <v>70.388499999999993</v>
      </c>
      <c r="AE234" s="538">
        <f>Sheet1!AA232*MGDtoCFS</f>
        <v>72.709000000000003</v>
      </c>
      <c r="AF234" s="538">
        <f>Sheet1!AB232*MGDtoCFS</f>
        <v>76.808549999999997</v>
      </c>
      <c r="AG234" s="538">
        <f>Sheet1!L232*MGDtoCFS</f>
        <v>0</v>
      </c>
      <c r="AH234" s="521">
        <f t="shared" si="438"/>
        <v>29</v>
      </c>
      <c r="AI234" s="1059">
        <f t="shared" si="439"/>
        <v>44.863</v>
      </c>
      <c r="AJ234" s="535">
        <f t="shared" si="440"/>
        <v>0</v>
      </c>
      <c r="AK234" s="535">
        <f t="shared" si="441"/>
        <v>0</v>
      </c>
      <c r="AL234" s="535">
        <f>(VLOOKUP(Sheet1!DC232,hhdcap_wcm,4)-(((VLOOKUP(Sheet1!DC232,hhdcap_wcm,3)-Sheet1!DC232)/(VLOOKUP(Sheet1!DC232,hhdcap_wcm,3)-VLOOKUP(Sheet1!DC232,hhdcap_wcm,1)))*(VLOOKUP(Sheet1!DC232,hhdcap_wcm,4)-VLOOKUP(Sheet1!DC232,hhdcap_wcm,2))))</f>
        <v>40644.000000102184</v>
      </c>
      <c r="AM234" s="535">
        <f t="shared" si="442"/>
        <v>-293.00000000024011</v>
      </c>
      <c r="AN234" s="1035">
        <f t="shared" si="443"/>
        <v>2227.7778551106526</v>
      </c>
      <c r="AO234" s="535">
        <f t="shared" si="444"/>
        <v>6834.8224594794819</v>
      </c>
      <c r="AP234" s="535">
        <f>Sheet1!BA232+Sheet1!BB232+Sheet1!BN232+CD234</f>
        <v>23.91</v>
      </c>
      <c r="AQ234" s="535">
        <f>Sheet1!BN232+(DO234*Sheet1!BN232)</f>
        <v>23.595247684252922</v>
      </c>
      <c r="AR234" s="535">
        <f>Sheet1!BA232+CD234</f>
        <v>0</v>
      </c>
      <c r="AS234" s="535">
        <f>Sheet1!BA232+Sheet1!BB232+CD234</f>
        <v>0.31</v>
      </c>
      <c r="AT234" s="649">
        <f>0</f>
        <v>0</v>
      </c>
      <c r="AU234" s="974">
        <f>BA234+MAX(Sheet1!EH232,(O234-Q234-ED234-S234))</f>
        <v>3</v>
      </c>
      <c r="AV234" s="535">
        <f>IF(OR(B234&gt;=GD234,B234&lt;GC234),0,15/36*K234-MAX(0,64.6-(137.6-(Sheet1!AA232+Sheet1!AB232))))</f>
        <v>0</v>
      </c>
      <c r="AW234" s="1029"/>
      <c r="AX234" s="649"/>
      <c r="AY234" s="649">
        <f t="shared" si="541"/>
        <v>0</v>
      </c>
      <c r="AZ234" s="649">
        <f t="shared" si="542"/>
        <v>0</v>
      </c>
      <c r="BA234" s="1059">
        <f t="shared" si="543"/>
        <v>0</v>
      </c>
      <c r="BB234" s="1019">
        <f t="shared" si="445"/>
        <v>1196.8333333333335</v>
      </c>
      <c r="BC234" s="1041">
        <f t="shared" si="544"/>
        <v>0</v>
      </c>
      <c r="BD234" s="1019">
        <f ca="1">IF(B234&gt;(Summary!$A$1-1),#N/A,BB234*MGtoAF)</f>
        <v>3671.8846666666673</v>
      </c>
      <c r="BE234" s="535">
        <f>Sheet1!BG232+Sheet1!BH232+Sheet1!BI232-BM234</f>
        <v>6.8900000000000006</v>
      </c>
      <c r="BF234" s="535">
        <f t="shared" si="446"/>
        <v>6.888612565445027</v>
      </c>
      <c r="BG234" s="535">
        <f>IF(Sheet1!EP232="FM",BM234,0)</f>
        <v>0</v>
      </c>
      <c r="BH234" s="535">
        <f t="shared" si="447"/>
        <v>0</v>
      </c>
      <c r="BI234" s="535">
        <f>IF(Sheet1!EP232="OTHER",BM234,0)</f>
        <v>0</v>
      </c>
      <c r="BJ234" s="535">
        <f t="shared" si="448"/>
        <v>0</v>
      </c>
      <c r="BK234" s="535">
        <f t="shared" si="449"/>
        <v>6.8900000000000006</v>
      </c>
      <c r="BL234" s="535">
        <f t="shared" si="450"/>
        <v>6.888612565445027</v>
      </c>
      <c r="BM234" s="535">
        <f>IF(OR(Sheet1!EP232="FM", Sheet1!EP232="OTHER"),SUM(Sheet1!BG232:'Sheet1'!BI232),0)</f>
        <v>0</v>
      </c>
      <c r="BN234" s="521">
        <f>IF(AND($B234&gt;=$FV234,$B234&lt;=$FW234),MAX(BF234,Sheet1!EI232,0),MAX(BF234-(7/36)*$K234,0))</f>
        <v>7</v>
      </c>
      <c r="BO234" s="535">
        <f t="shared" si="497"/>
        <v>0</v>
      </c>
      <c r="BP234" s="521">
        <f t="shared" si="452"/>
        <v>0</v>
      </c>
      <c r="BQ234" s="521">
        <f>IF(AND($O234&gt;0,Sheet1!EM232=1),(1-($O234-Sheet1!$L232)/$O234)*BL234,0)</f>
        <v>0</v>
      </c>
      <c r="BR234" s="521">
        <f>IF(AND(Sheet1!$L232=0,Sheet1!$L231=0, Calculation!BK234&lt;Sheet1!$EI232-0.1,Sheet1!$EI232=Sheet1!$EI231,Sheet1!$EI232=Sheet1!$EI233),BL234-BQ234,BL234-BQ234)</f>
        <v>6.888612565445027</v>
      </c>
      <c r="BS234" s="1035" t="str">
        <f t="shared" si="545"/>
        <v/>
      </c>
      <c r="BT234" s="1035">
        <f t="shared" si="546"/>
        <v>0</v>
      </c>
      <c r="BU234" s="535">
        <f t="shared" si="453"/>
        <v>501.76516276241216</v>
      </c>
      <c r="BV234" s="535"/>
      <c r="BW234" s="535">
        <f ca="1">IF(B234&gt;(Summary!$A$1-1),#N/A,BU234*MGtoAF)</f>
        <v>1539.4155193550805</v>
      </c>
      <c r="BX234" s="535">
        <f>Sheet1!BC232+Sheet1!BD232+Sheet1!BE232+Sheet1!BF232-CG234-CH234</f>
        <v>6.99</v>
      </c>
      <c r="BY234" s="535">
        <f t="shared" si="454"/>
        <v>6.9885924285138952</v>
      </c>
      <c r="BZ234" s="535">
        <f>IF(Sheet1!EQ232="FM",CH234,0)</f>
        <v>0</v>
      </c>
      <c r="CA234" s="535">
        <f t="shared" si="455"/>
        <v>0</v>
      </c>
      <c r="CB234" s="535">
        <f>IF(Sheet1!EQ232="OTHER",CH234,0)</f>
        <v>0</v>
      </c>
      <c r="CC234" s="535">
        <f t="shared" si="456"/>
        <v>0</v>
      </c>
      <c r="CD234" s="535">
        <f t="shared" si="457"/>
        <v>0</v>
      </c>
      <c r="CE234" s="535">
        <f t="shared" si="458"/>
        <v>6.99</v>
      </c>
      <c r="CF234" s="535">
        <f t="shared" si="459"/>
        <v>6.9885924285138952</v>
      </c>
      <c r="CG234" s="535">
        <f>IF(Sheet1!EQ232="CWA",SUM(Sheet1!BC232:'Sheet1'!BF232),0)</f>
        <v>0</v>
      </c>
      <c r="CH234" s="535">
        <f>IF(OR(Sheet1!EQ232="FM", Sheet1!EQ232="OTHER"),SUM(Sheet1!BC232:'Sheet1'!BF232),0)</f>
        <v>0</v>
      </c>
      <c r="CI234" s="521">
        <f>IF(AND($B234&gt;=$FV234,$B234&lt;=$FW234),MAX(CF234,Sheet1!EJ232,0),MAX(CF234-(7/36)*$K234,0))</f>
        <v>7</v>
      </c>
      <c r="CJ234" s="535">
        <f t="shared" si="499"/>
        <v>0</v>
      </c>
      <c r="CK234" s="521">
        <f t="shared" si="461"/>
        <v>0</v>
      </c>
      <c r="CL234" s="521">
        <f>IF(AND($O234&gt;0,Sheet1!EN232=1),(1-($O234-Sheet1!$L232)/$O234)*CF234,0)</f>
        <v>0</v>
      </c>
      <c r="CM234" s="521">
        <f>IF(AND(Sheet1!$L232=0,Sheet1!$L231=0, Calculation!CE234&lt;Sheet1!EJ232-0.1,Sheet1!EJ232=Sheet1!EJ231,Sheet1!EJ232=Sheet1!EJ233),CF234-CL234,CF234-CL234)</f>
        <v>6.9885924285138952</v>
      </c>
      <c r="CN234" s="1040" t="str">
        <f t="shared" si="547"/>
        <v/>
      </c>
      <c r="CO234" s="1035">
        <f t="shared" si="548"/>
        <v>0</v>
      </c>
      <c r="CP234" s="535">
        <f t="shared" si="462"/>
        <v>354.3406814529767</v>
      </c>
      <c r="CQ234" s="535"/>
      <c r="CR234" s="535">
        <f ca="1">IF(B234&gt;(Summary!$A$1-1),#N/A,CP234*MGtoAF)</f>
        <v>1087.1172106977326</v>
      </c>
      <c r="CS234" s="535">
        <f>Sheet1!BK232+Sheet1!BL232+Sheet1!BM232-Sheet1!ER232-DA234</f>
        <v>11.87</v>
      </c>
      <c r="CT234" s="535">
        <f t="shared" si="463"/>
        <v>11.867609746274667</v>
      </c>
      <c r="CU234" s="535">
        <f>IF(Sheet1!ER232="FM",DA234,0)</f>
        <v>0</v>
      </c>
      <c r="CV234" s="535">
        <f t="shared" si="464"/>
        <v>0</v>
      </c>
      <c r="CW234" s="535">
        <f>IF(Sheet1!ER232="OTHER",DA234,0)</f>
        <v>0</v>
      </c>
      <c r="CX234" s="535">
        <f t="shared" si="465"/>
        <v>0</v>
      </c>
      <c r="CY234" s="535">
        <f t="shared" si="466"/>
        <v>11.87</v>
      </c>
      <c r="CZ234" s="535">
        <f t="shared" si="467"/>
        <v>11.867609746274667</v>
      </c>
      <c r="DA234" s="535">
        <f>IF(OR(Sheet1!ER232="FM", Sheet1!ER232="OTHER"),SUM(Sheet1!BK232:'Sheet1'!BM232),0)</f>
        <v>0</v>
      </c>
      <c r="DB234" s="1011">
        <f>IF(AND($B234&gt;=$FV234,$B234&lt;=$FW234),MAX($CT234,Sheet1!EK232,0),MAX($CT234-(7/36)*$K234,0))</f>
        <v>12</v>
      </c>
      <c r="DC234" s="1012">
        <f t="shared" si="498"/>
        <v>0</v>
      </c>
      <c r="DD234" s="1011">
        <f t="shared" si="469"/>
        <v>0</v>
      </c>
      <c r="DE234" s="521">
        <f>IF(AND($O234&gt;0,Sheet1!EO232=1),(1-($O234-Sheet1!$L232)/$O234)*CZ234,0)</f>
        <v>0</v>
      </c>
      <c r="DF234" s="521">
        <f>IF(AND(Sheet1!$L232=0,Sheet1!$L231=0, Calculation!CY234&lt;Sheet1!$EK232-0.1,Sheet1!$EK232=Sheet1!$EK231,Sheet1!$EK232=Sheet1!$EK233),CZ234-DE234,CZ234-DE234)</f>
        <v>11.867609746274667</v>
      </c>
      <c r="DG234" s="1040">
        <f t="shared" si="549"/>
        <v>0</v>
      </c>
      <c r="DH234" s="649">
        <f t="shared" si="470"/>
        <v>25.75</v>
      </c>
      <c r="DI234" s="535">
        <f t="shared" si="471"/>
        <v>174.83867756192996</v>
      </c>
      <c r="DJ234" s="649">
        <f t="shared" si="472"/>
        <v>25.74481474023359</v>
      </c>
      <c r="DK234" s="535">
        <f ca="1">IF(B234&gt;(Summary!$A$1-1),#N/A,DI234*MGtoAF)</f>
        <v>536.4050627600011</v>
      </c>
      <c r="DL234" s="649">
        <f t="shared" si="473"/>
        <v>25.75</v>
      </c>
      <c r="DM234" s="535">
        <f t="shared" si="474"/>
        <v>49.66</v>
      </c>
      <c r="DN234" s="535">
        <f>Sheet1!AB232-DM234</f>
        <v>-9.9999999999980105E-3</v>
      </c>
      <c r="DO234" s="743">
        <f t="shared" si="475"/>
        <v>-2.0136931131691524E-4</v>
      </c>
      <c r="DP234" s="535">
        <f>(VLOOKUP(Sheet1!DC232,hhdcap_wcm,4)-(((VLOOKUP(Sheet1!DC232,hhdcap_wcm,3)-Sheet1!DC232)/(VLOOKUP(Sheet1!DC232,hhdcap_wcm,3)-VLOOKUP(Sheet1!DC232,hhdcap_wcm,1)))*(VLOOKUP(Sheet1!DC232,hhdcap_wcm,4)-VLOOKUP(Sheet1!DC232,hhdcap_wcm,2))))</f>
        <v>40644.000000102184</v>
      </c>
      <c r="DQ234" s="535">
        <f t="shared" si="476"/>
        <v>-293.00000000024011</v>
      </c>
      <c r="DR234" s="535">
        <f t="shared" si="477"/>
        <v>-147.75592536572873</v>
      </c>
      <c r="DS234" s="535">
        <f>Sheet1!EA232*AFtoMG</f>
        <v>0</v>
      </c>
      <c r="DT234" s="535">
        <f>Sheet1!EB232*AFtoMG</f>
        <v>0</v>
      </c>
      <c r="DU234" s="535">
        <f>Sheet1!EC232*AFtoMG</f>
        <v>0</v>
      </c>
      <c r="DV234" s="535">
        <f>Sheet1!ED232*AFtoMG</f>
        <v>0</v>
      </c>
      <c r="DW234" s="535">
        <f t="shared" si="478"/>
        <v>0</v>
      </c>
      <c r="DX234" s="535">
        <f t="shared" si="479"/>
        <v>0</v>
      </c>
      <c r="DY234" s="535">
        <f t="shared" si="480"/>
        <v>2227.7778551106526</v>
      </c>
      <c r="DZ234" s="535">
        <f t="shared" si="481"/>
        <v>6834.8224594794819</v>
      </c>
      <c r="EA234" s="535"/>
      <c r="EB234" s="521">
        <f>IF(OR(B234&lt;FV234,B234&gt;FW234),(MIN(BF234+BY234+CT234+MAX(Sheet1!AA232+AQ234-73,0),K234)),0)</f>
        <v>0</v>
      </c>
      <c r="EC234" s="535"/>
      <c r="ED234" s="535">
        <f t="shared" si="482"/>
        <v>25.744814740233586</v>
      </c>
      <c r="EE234" s="535"/>
      <c r="EF234" s="535">
        <f>Sheet1!EH232+Sheet1!EI232+Sheet1!EJ232+Sheet1!EK232</f>
        <v>29</v>
      </c>
      <c r="EG234" s="1019">
        <f t="shared" si="550"/>
        <v>44.863</v>
      </c>
      <c r="EH234" s="521">
        <f t="shared" si="483"/>
        <v>0</v>
      </c>
      <c r="EI234" s="535">
        <f>IF(Sheet1!ET232=1,SUM('Calculations II'!AT234:BA234)+'Calculations II'!BC234+Sheet1!BV232+'Calculations II'!BE234+AP234,'Calculations II'!BK234)</f>
        <v>75.940861684252923</v>
      </c>
      <c r="EJ234" s="535">
        <f ca="1">EI234+'Calculations II'!D234+'Calculations II'!E234+'Calculations II'!O234</f>
        <v>87.151231160434946</v>
      </c>
      <c r="EK234" s="535"/>
      <c r="EL234" s="535"/>
      <c r="EM234" s="535">
        <f t="shared" si="484"/>
        <v>42958</v>
      </c>
      <c r="EN234" s="535">
        <f t="shared" si="485"/>
        <v>-29</v>
      </c>
      <c r="EO234" s="535">
        <f t="shared" si="486"/>
        <v>-44.863</v>
      </c>
      <c r="EP234" s="535">
        <v>0</v>
      </c>
      <c r="EQ234" s="535">
        <v>0</v>
      </c>
      <c r="ER234" s="535">
        <v>0</v>
      </c>
      <c r="ES234" s="521">
        <f t="shared" si="516"/>
        <v>-9.6851895170513806</v>
      </c>
      <c r="ET234" s="535">
        <f>-(VLOOKUP(Sheet1!BQ232,Lookup!$O$4:$Q$262,2)-VLOOKUP(Sheet1!BQ231,Lookup!$O$4:$Q$262,2))/1000000</f>
        <v>-4.8418100992868807</v>
      </c>
      <c r="EU234" s="535">
        <f>-(VLOOKUP(Sheet1!BR232,Lookup!$O$4:$Q$262,3)-VLOOKUP(Sheet1!BR231,Lookup!$O$4:$Q$262,3))/1000000</f>
        <v>-4.8433794177645</v>
      </c>
      <c r="EV234" s="535"/>
      <c r="EW234" s="535"/>
      <c r="EX234" s="535"/>
      <c r="EY234" s="535"/>
      <c r="EZ234" s="535"/>
      <c r="FA234" s="535"/>
      <c r="FB234" s="535"/>
      <c r="FC234" s="535"/>
      <c r="FD234" s="567">
        <f t="shared" si="566"/>
        <v>1134.4615384614635</v>
      </c>
      <c r="FE234" s="567" t="e">
        <f t="shared" si="488"/>
        <v>#N/A</v>
      </c>
      <c r="FF234" s="568" t="e">
        <f t="shared" si="489"/>
        <v>#N/A</v>
      </c>
      <c r="FG234" s="569" t="s">
        <v>656</v>
      </c>
      <c r="FH234" s="569" t="s">
        <v>656</v>
      </c>
      <c r="FI234" s="567" t="e">
        <v>#N/A</v>
      </c>
      <c r="FJ234" s="725">
        <v>19222</v>
      </c>
      <c r="FK234" s="535"/>
      <c r="FL234" s="1015">
        <f t="shared" si="565"/>
        <v>84.720121028744316</v>
      </c>
      <c r="FM234" s="535"/>
      <c r="FN234" s="535"/>
      <c r="FO234" s="535">
        <f>O234+((Sheet1!CS232)*GPMtoMGD)</f>
        <v>110.51561600000001</v>
      </c>
      <c r="FP234" s="535">
        <f>IF(Sheet1!AA232+AQ234&lt;=Calculation!N234,AQ234,Calculation!N234-Sheet1!AA232)</f>
        <v>23.595247684252922</v>
      </c>
      <c r="FQ234" s="535">
        <f>(Sheet1!BP232+Sheet1!BO232)/694.4</f>
        <v>3.7452476958525343</v>
      </c>
      <c r="FR234" s="541"/>
      <c r="FS234" s="541"/>
      <c r="FT234" s="541"/>
      <c r="FU234" s="541"/>
      <c r="FV234" s="1109">
        <f t="shared" si="517"/>
        <v>42918</v>
      </c>
      <c r="FW234" s="1109">
        <f t="shared" si="518"/>
        <v>43027</v>
      </c>
      <c r="FX234" s="541"/>
      <c r="FY234" s="541">
        <f>Sheet1!DA232-Sheet1!CZ232-Sheet1!AE232</f>
        <v>-133.51755</v>
      </c>
      <c r="FZ234" s="535">
        <f t="shared" si="551"/>
        <v>-1.0173224991075906</v>
      </c>
      <c r="GA234" s="535"/>
      <c r="GB234" s="535" t="str">
        <f t="shared" si="519"/>
        <v>n</v>
      </c>
      <c r="GC234" s="539">
        <f t="shared" si="520"/>
        <v>42782</v>
      </c>
      <c r="GD234" s="1109">
        <f t="shared" si="521"/>
        <v>42904</v>
      </c>
      <c r="GE234" s="535">
        <f t="shared" si="537"/>
        <v>6520</v>
      </c>
      <c r="GF234" s="1109">
        <f t="shared" si="522"/>
        <v>42909</v>
      </c>
      <c r="GG234" s="535">
        <f t="shared" si="564"/>
        <v>3260</v>
      </c>
      <c r="GH234" s="539">
        <f t="shared" si="523"/>
        <v>43040</v>
      </c>
      <c r="GJ234" s="521">
        <f t="shared" si="524"/>
        <v>0</v>
      </c>
      <c r="GK234" s="535" t="str">
        <f t="shared" si="490"/>
        <v/>
      </c>
      <c r="GL234" s="535">
        <f t="shared" si="525"/>
        <v>0</v>
      </c>
      <c r="GM234" s="535" t="str">
        <f t="shared" si="526"/>
        <v/>
      </c>
      <c r="GN234" s="535">
        <f>IF(GK234="P",Lookup!$M$12,IF(GK234="PP",Lookup!$M$13,IF(GK234="PPP",Lookup!$M$14,IF(GK234="T",Lookup!$M$15,IF(GK234="TP",Lookup!$M$16,IF(GK234="TPP",Lookup!$M$17,IF(GK234="TPPP",Lookup!$M$18,0)))))))*GJ234</f>
        <v>0</v>
      </c>
      <c r="GO234" s="535">
        <f t="shared" si="527"/>
        <v>0</v>
      </c>
      <c r="GP234" s="535">
        <f t="shared" si="491"/>
        <v>3671.8846666666673</v>
      </c>
      <c r="GQ234" s="974">
        <f t="shared" ref="GQ234:GQ297" si="567">(IF(AND(GB233="Y",B234=GD234),1392.1,(IF(AND(B234&lt;GF234,B234&gt;=GC234),MIN(BB233+AV234-AU234,15/36*GE234),IF(B234=GF234,15/36*GG234,IF(AND(B234&gt;GF234,B234&lt;GH234),(BB233+AV234-AU234),IF(B234&gt;=GH234,0,0)))))))+DS234</f>
        <v>1196.8333333333335</v>
      </c>
      <c r="GR234" s="535"/>
      <c r="GS234" s="535">
        <f t="shared" si="528"/>
        <v>0</v>
      </c>
      <c r="GT234" s="535" t="str">
        <f t="shared" si="529"/>
        <v/>
      </c>
      <c r="GU234" s="535">
        <f>IF(GK234="P",Lookup!$N$12,IF(GK234="PP",Lookup!$N$13,IF(GK234="PPP",Lookup!$N$14,IF(GK234="T",Lookup!$N$15,IF(GK234="TP",Lookup!$N$16,IF(GK234="TPP",Lookup!$N$17,IF(GK234="TPPP",Lookup!$N$18,0)))))))*GJ234</f>
        <v>0</v>
      </c>
      <c r="GV234" s="535">
        <f t="shared" si="530"/>
        <v>0</v>
      </c>
      <c r="GW234" s="535">
        <f t="shared" si="492"/>
        <v>1539.4155193550805</v>
      </c>
      <c r="GX234" s="974">
        <f t="shared" ref="GX234:GX297" si="568">(IF(AND(GB234="Y",B234=GD234),1267.5,(IF(AND(B234&lt;GF234,B234&gt;=GC234),MIN(BU233+BO234-BN234,7/36*GE234),IF(B234=GF234,7/36*GG234,IF(AND(B234&gt;GF234,B234&lt;GH234),(BU233+BO234-BN234),IF(B234&gt;=GH234,0,0)))))))+DT234</f>
        <v>501.76516276241216</v>
      </c>
      <c r="GY234" s="535"/>
      <c r="GZ234" s="535">
        <f t="shared" si="531"/>
        <v>0</v>
      </c>
      <c r="HA234" s="535" t="str">
        <f t="shared" si="532"/>
        <v/>
      </c>
      <c r="HB234" s="535">
        <f>IF(GK234="P",Lookup!$N$12,IF(GK234="PP",Lookup!$N$13,IF(GK234="PPP",Lookup!$N$14,IF(GK234="T",Lookup!$N$15,IF(GK234="TP",Lookup!$N$16,IF(GK234="TPP",Lookup!$N$17,IF(GK234="TPPP",Lookup!$N$18,0)))))))*GJ234</f>
        <v>0</v>
      </c>
      <c r="HC234" s="521">
        <f t="shared" si="493"/>
        <v>0</v>
      </c>
      <c r="HD234" s="535">
        <f t="shared" si="494"/>
        <v>1087.1172106977326</v>
      </c>
      <c r="HE234" s="535">
        <f t="shared" si="535"/>
        <v>354.3406814529767</v>
      </c>
      <c r="HF234" s="535"/>
      <c r="HG234" s="535">
        <f t="shared" si="533"/>
        <v>0</v>
      </c>
      <c r="HH234" s="535" t="str">
        <f t="shared" si="534"/>
        <v/>
      </c>
      <c r="HI234" s="535">
        <f>IF(GK234="P",Lookup!$N$12,IF(GK234="PP",Lookup!$N$13,IF(GK234="PPP",Lookup!$N$14,IF(GK234="T",Lookup!$N$15,IF(GK234="TP",Lookup!$N$16,IF(GK234="TPP",Lookup!$N$17,IF(GK234="TPPP",Lookup!$N$18,0)))))))*GJ234</f>
        <v>0</v>
      </c>
      <c r="HJ234" s="521">
        <f t="shared" si="495"/>
        <v>0</v>
      </c>
      <c r="HK234" s="535">
        <f t="shared" si="496"/>
        <v>536.4050627600011</v>
      </c>
      <c r="HL234" s="535">
        <f t="shared" si="536"/>
        <v>174.83867756192996</v>
      </c>
      <c r="HM234" s="535"/>
      <c r="HN234" s="541"/>
      <c r="HO234" s="541"/>
      <c r="HP234" s="541"/>
      <c r="HQ234" s="541">
        <f>IF(AND(B234&gt;=$FV$4,B234&lt;=$FW$4),MAX(110/1.02+$HQ$6+MIN(113/1.02,G234),IF($HV$6-(Sheet1!DA232-Sheet1!DB232)+MIN(113/1.02,G234)&lt;G234+FL234,$HV$6-(Sheet1!DA232-Sheet1!DB232)+MIN(113/1.02,G234),G234+FL234)),MIN(110/1.02+$HQ$6+113/1.02,G234))</f>
        <v>218.62745098039215</v>
      </c>
      <c r="HR234" s="541">
        <f t="shared" si="552"/>
        <v>223</v>
      </c>
      <c r="HS234" s="541">
        <f>HR234+(Sheet1!DA232-Sheet1!DB232)</f>
        <v>372</v>
      </c>
      <c r="HT234" s="541">
        <f t="shared" si="553"/>
        <v>105.04932159685866</v>
      </c>
      <c r="HU234" s="541">
        <f t="shared" si="554"/>
        <v>266.95067840314135</v>
      </c>
      <c r="HV234" s="541">
        <f t="shared" si="555"/>
        <v>0</v>
      </c>
      <c r="HW234" s="533" t="str">
        <f t="shared" si="556"/>
        <v/>
      </c>
      <c r="HX234" s="541">
        <f t="shared" si="557"/>
        <v>15.509549019607846</v>
      </c>
      <c r="HY234" s="541">
        <f>Sheet1!CZ232</f>
        <v>279</v>
      </c>
      <c r="HZ234" s="541">
        <f t="shared" si="558"/>
        <v>44.863</v>
      </c>
      <c r="IA234" s="541">
        <f t="shared" si="559"/>
        <v>105.04932159685866</v>
      </c>
      <c r="IB234" s="541">
        <f t="shared" si="560"/>
        <v>234.137</v>
      </c>
      <c r="IC234" s="1019" t="str">
        <f t="shared" si="561"/>
        <v/>
      </c>
      <c r="ID234" s="541">
        <f t="shared" si="562"/>
        <v>129.08767840314135</v>
      </c>
      <c r="IE234" s="541">
        <f>Sheet1!DB232</f>
        <v>146</v>
      </c>
      <c r="IF234" s="533">
        <f>Sheet1!DA232</f>
        <v>295</v>
      </c>
      <c r="IH234" s="541">
        <f>IF(AND($B234&gt;=$GC234,$B234&lt;=$GH234,$DR234&lt;0)+N("only adjusted when pool is drawn down during storage season"),Sheet1!$DB232+$DR234+N("Palmer minus all storage release"),Sheet1!$DB232)</f>
        <v>-1.7559253657287286</v>
      </c>
      <c r="II234" s="541">
        <f>IF(AND($B234&gt;=$GC234,$B234&lt;=$GH234,$DR234&lt;0)+N("only adjusted when pool is drawn down during storage season"),Sheet1!$DA232+$DR234+N("Auburn minus all storage release"),Sheet1!$DA232)</f>
        <v>147.24407463427127</v>
      </c>
    </row>
    <row r="235" spans="1:243" x14ac:dyDescent="0.25">
      <c r="A235" s="553" t="s">
        <v>9</v>
      </c>
      <c r="B235" s="531">
        <v>42959</v>
      </c>
      <c r="C235" s="536">
        <v>0</v>
      </c>
      <c r="D235" s="506">
        <f t="shared" si="506"/>
        <v>200</v>
      </c>
      <c r="E235" s="506">
        <f t="shared" si="507"/>
        <v>400</v>
      </c>
      <c r="F235" s="506">
        <v>250</v>
      </c>
      <c r="G235" s="535">
        <f>DR235+Sheet1!CZ233</f>
        <v>122.26777609621246</v>
      </c>
      <c r="H235" s="1074">
        <f t="shared" si="563"/>
        <v>0</v>
      </c>
      <c r="I235" s="534">
        <f>IF(Sheet1!DA233&gt;=E235,(Sheet1!DA233-E235+P235)*CFStoMGD,0)</f>
        <v>0</v>
      </c>
      <c r="J235" s="995">
        <f>IF(Sheet1!DB233&gt;=D235,(Sheet1!DB233-D235+P235)*CFStoMGD,0)</f>
        <v>0</v>
      </c>
      <c r="K235" s="818">
        <f t="shared" si="538"/>
        <v>0</v>
      </c>
      <c r="L235" s="535">
        <f>Sheet1!AA233+Sheet1!AB233-Sheet1!L233+(Sheet1!DA233-F235)*CFStoMGD-S235-T235-U235</f>
        <v>97.438571800433849</v>
      </c>
      <c r="M235" s="535">
        <f t="shared" ref="M235:M298" si="569">1.02*CFStoMGD*G235</f>
        <v>80.614568277963571</v>
      </c>
      <c r="N235" s="824">
        <f>IF(Sheet1!DA233&gt;=F235,MIN(113*CFStoMGD,MIN(MAX(L235,0),MAX(M235,0))),0)</f>
        <v>73.043199999999999</v>
      </c>
      <c r="O235" s="538">
        <f>Sheet1!AA233+Sheet1!AB233</f>
        <v>90.95</v>
      </c>
      <c r="P235" s="538">
        <f t="shared" ref="P235:P298" si="570">AE235+AF235</f>
        <v>140.69964999999999</v>
      </c>
      <c r="Q235" s="812">
        <f t="shared" si="539"/>
        <v>62.532971800433842</v>
      </c>
      <c r="R235" s="812">
        <f t="shared" si="508"/>
        <v>29</v>
      </c>
      <c r="S235" s="812">
        <f t="shared" si="509"/>
        <v>0</v>
      </c>
      <c r="T235" s="812">
        <f t="shared" si="510"/>
        <v>0</v>
      </c>
      <c r="U235" s="812">
        <f>IF(AND(B235&gt;=FV235,B235&lt;=FW235),ED235+Sheet1!EH233,0)</f>
        <v>28.417028199566161</v>
      </c>
      <c r="V235" s="812"/>
      <c r="W235" s="812">
        <f t="shared" si="511"/>
        <v>0</v>
      </c>
      <c r="X235" s="812">
        <f t="shared" si="512"/>
        <v>0</v>
      </c>
      <c r="Y235" s="812" t="str">
        <f t="shared" si="513"/>
        <v>FALSE</v>
      </c>
      <c r="Z235" s="812">
        <f t="shared" si="514"/>
        <v>90.95</v>
      </c>
      <c r="AA235" s="812">
        <f t="shared" si="515"/>
        <v>90.95</v>
      </c>
      <c r="AB235" s="1059">
        <f t="shared" si="540"/>
        <v>96.738507375271155</v>
      </c>
      <c r="AC235" s="538">
        <f>Sheet1!Y233*MGDtoCFS</f>
        <v>72.709000000000003</v>
      </c>
      <c r="AD235" s="538">
        <f>Sheet1!Z233*MGDtoCFS</f>
        <v>76.808549999999997</v>
      </c>
      <c r="AE235" s="538">
        <f>Sheet1!AA233*MGDtoCFS</f>
        <v>69.614999999999995</v>
      </c>
      <c r="AF235" s="538">
        <f>Sheet1!AB233*MGDtoCFS</f>
        <v>71.084649999999996</v>
      </c>
      <c r="AG235" s="538">
        <f>Sheet1!L233*MGDtoCFS</f>
        <v>0</v>
      </c>
      <c r="AH235" s="521">
        <f t="shared" ref="AH235:AH298" si="571">AU235+BN235+CI235+DB235</f>
        <v>29</v>
      </c>
      <c r="AI235" s="1059">
        <f t="shared" ref="AI235:AI298" si="572">AH235*MGDtoCFS</f>
        <v>44.863</v>
      </c>
      <c r="AJ235" s="535">
        <f t="shared" ref="AJ235:AJ298" si="573">IF(B235&gt;=GC235,IF(B235&lt;=GD235,K235-EB235,0),0)</f>
        <v>0</v>
      </c>
      <c r="AK235" s="535">
        <f t="shared" ref="AK235:AK298" si="574">AJ235*MGDtoCFS</f>
        <v>0</v>
      </c>
      <c r="AL235" s="535">
        <f>(VLOOKUP(Sheet1!DC233,hhdcap_wcm,4)-(((VLOOKUP(Sheet1!DC233,hhdcap_wcm,3)-Sheet1!DC233)/(VLOOKUP(Sheet1!DC233,hhdcap_wcm,3)-VLOOKUP(Sheet1!DC233,hhdcap_wcm,1)))*(VLOOKUP(Sheet1!DC233,hhdcap_wcm,4)-VLOOKUP(Sheet1!DC233,hhdcap_wcm,2))))</f>
        <v>40333.200000100973</v>
      </c>
      <c r="AM235" s="535">
        <f t="shared" ref="AM235:AM298" si="575">AL235-AL234</f>
        <v>-310.80000000121072</v>
      </c>
      <c r="AN235" s="1035">
        <f t="shared" ref="AN235:AN298" si="576">(IF(AND(B235&gt;=GC235,B235&lt;GF235),MIN(BB235+BU235+CP235+DI235,GE235),IF(B235=GF235,GG235,IF(AND(B235&gt;GF235,B235&lt;GH235),BB235+BU235+CP235+DI235,IF(B235&gt;=GH235,0,0)))))</f>
        <v>2198.7778551106526</v>
      </c>
      <c r="AO235" s="535">
        <f t="shared" ref="AO235:AO298" si="577">AN235*MGtoAF</f>
        <v>6745.8504594794822</v>
      </c>
      <c r="AP235" s="535">
        <f>Sheet1!BA233+Sheet1!BB233+Sheet1!BN233+CD235</f>
        <v>20.6</v>
      </c>
      <c r="AQ235" s="535">
        <f>Sheet1!BN233+(DO235*Sheet1!BN233)</f>
        <v>20.532971800433842</v>
      </c>
      <c r="AR235" s="535">
        <f>Sheet1!BA233+CD235</f>
        <v>0</v>
      </c>
      <c r="AS235" s="535">
        <f>Sheet1!BA233+Sheet1!BB233+CD235</f>
        <v>0</v>
      </c>
      <c r="AT235" s="649">
        <f>0</f>
        <v>0</v>
      </c>
      <c r="AU235" s="974">
        <f>BA235+MAX(Sheet1!EH233,(O235-Q235-ED235-S235))</f>
        <v>3</v>
      </c>
      <c r="AV235" s="535">
        <f>IF(OR(B235&gt;=GD235,B235&lt;GC235),0,15/36*K235-MAX(0,64.6-(137.6-(Sheet1!AA233+Sheet1!AB233))))</f>
        <v>0</v>
      </c>
      <c r="AW235" s="1029"/>
      <c r="AX235" s="649"/>
      <c r="AY235" s="649">
        <f t="shared" si="541"/>
        <v>0</v>
      </c>
      <c r="AZ235" s="649">
        <f t="shared" si="542"/>
        <v>0</v>
      </c>
      <c r="BA235" s="1059">
        <f t="shared" si="543"/>
        <v>0</v>
      </c>
      <c r="BB235" s="1019">
        <f t="shared" ref="BB235:BB298" si="578">GO235+GQ235</f>
        <v>1193.8333333333335</v>
      </c>
      <c r="BC235" s="1041">
        <f t="shared" si="544"/>
        <v>0</v>
      </c>
      <c r="BD235" s="1019">
        <f ca="1">IF(B235&gt;(Summary!$A$1-1),#N/A,BB235*MGtoAF)</f>
        <v>3662.6806666666671</v>
      </c>
      <c r="BE235" s="535">
        <f>Sheet1!BG233+Sheet1!BH233+Sheet1!BI233-BM235</f>
        <v>6.6300000000000008</v>
      </c>
      <c r="BF235" s="535">
        <f t="shared" ref="BF235:BF298" si="579">BE235+(DO235*BE235)</f>
        <v>6.6084273318872029</v>
      </c>
      <c r="BG235" s="535">
        <f>IF(Sheet1!EP233="FM",BM235,0)</f>
        <v>0</v>
      </c>
      <c r="BH235" s="535">
        <f t="shared" ref="BH235:BH298" si="580">BG235+(DO235*BG235)</f>
        <v>0</v>
      </c>
      <c r="BI235" s="535">
        <f>IF(Sheet1!EP233="OTHER",BM235,0)</f>
        <v>0</v>
      </c>
      <c r="BJ235" s="535">
        <f t="shared" ref="BJ235:BJ298" si="581">BI235+(DO235*BI235)</f>
        <v>0</v>
      </c>
      <c r="BK235" s="535">
        <f t="shared" ref="BK235:BK298" si="582">MAX(BE235,BG235,BI235)</f>
        <v>6.6300000000000008</v>
      </c>
      <c r="BL235" s="535">
        <f t="shared" ref="BL235:BL298" si="583">MAX(BF235,BH235,BJ235)</f>
        <v>6.6084273318872029</v>
      </c>
      <c r="BM235" s="535">
        <f>IF(OR(Sheet1!EP233="FM", Sheet1!EP233="OTHER"),SUM(Sheet1!BG233:'Sheet1'!BI233),0)</f>
        <v>0</v>
      </c>
      <c r="BN235" s="521">
        <f>IF(AND($B235&gt;=$FV235,$B235&lt;=$FW235),MAX(BF235,Sheet1!EI233,0),MAX(BF235-(7/36)*$K235,0))</f>
        <v>7</v>
      </c>
      <c r="BO235" s="535">
        <f t="shared" ref="BO235:BO298" si="584">IF(B235&gt;=GC235,IF(B235&lt;=GD235,(7/36)*K235-BF235,0),0)</f>
        <v>0</v>
      </c>
      <c r="BP235" s="521">
        <f t="shared" ref="BP235:BP298" si="585">MAX(BL235-BN235,0)</f>
        <v>0</v>
      </c>
      <c r="BQ235" s="521">
        <f>IF(AND($O235&gt;0,Sheet1!EM233=1),(1-($O235-Sheet1!$L233)/$O235)*BL235,0)</f>
        <v>0</v>
      </c>
      <c r="BR235" s="521">
        <f>IF(AND(Sheet1!$L233=0,Sheet1!$L232=0, Calculation!BK235&lt;Sheet1!$EI233-0.1,Sheet1!$EI233=Sheet1!$EI232,Sheet1!$EI233=Sheet1!$EI234),BL235-BQ235,BL235-BQ235)</f>
        <v>6.6084273318872029</v>
      </c>
      <c r="BS235" s="1035" t="str">
        <f t="shared" si="545"/>
        <v/>
      </c>
      <c r="BT235" s="1035">
        <f t="shared" si="546"/>
        <v>0</v>
      </c>
      <c r="BU235" s="535">
        <f t="shared" ref="BU235:BU298" si="586">GV235+GX235</f>
        <v>494.76516276241216</v>
      </c>
      <c r="BV235" s="535"/>
      <c r="BW235" s="535">
        <f ca="1">IF(B235&gt;(Summary!$A$1-1),#N/A,BU235*MGtoAF)</f>
        <v>1517.9395193550806</v>
      </c>
      <c r="BX235" s="535">
        <f>Sheet1!BC233+Sheet1!BD233+Sheet1!BE233+Sheet1!BF233-CG235-CH235</f>
        <v>6.8800000000000008</v>
      </c>
      <c r="BY235" s="535">
        <f t="shared" ref="BY235:BY298" si="587">BX235+(DO235*BX235)</f>
        <v>6.8576138828633413</v>
      </c>
      <c r="BZ235" s="535">
        <f>IF(Sheet1!EQ233="FM",CH235,0)</f>
        <v>0</v>
      </c>
      <c r="CA235" s="535">
        <f t="shared" ref="CA235:CA298" si="588">BZ235+(DO235*BZ235)</f>
        <v>0</v>
      </c>
      <c r="CB235" s="535">
        <f>IF(Sheet1!EQ233="OTHER",CH235,0)</f>
        <v>0</v>
      </c>
      <c r="CC235" s="535">
        <f t="shared" ref="CC235:CC298" si="589">CB235+(DO235*CB235)</f>
        <v>0</v>
      </c>
      <c r="CD235" s="535">
        <f t="shared" ref="CD235:CD298" si="590">CG235</f>
        <v>0</v>
      </c>
      <c r="CE235" s="535">
        <f t="shared" ref="CE235:CE298" si="591">MAX(BX235,BZ235,CB235)</f>
        <v>6.8800000000000008</v>
      </c>
      <c r="CF235" s="535">
        <f t="shared" ref="CF235:CF298" si="592">MAX(BY235,CA235, CC235)</f>
        <v>6.8576138828633413</v>
      </c>
      <c r="CG235" s="535">
        <f>IF(Sheet1!EQ233="CWA",SUM(Sheet1!BC233:'Sheet1'!BF233),0)</f>
        <v>0</v>
      </c>
      <c r="CH235" s="535">
        <f>IF(OR(Sheet1!EQ233="FM", Sheet1!EQ233="OTHER"),SUM(Sheet1!BC233:'Sheet1'!BF233),0)</f>
        <v>0</v>
      </c>
      <c r="CI235" s="521">
        <f>IF(AND($B235&gt;=$FV235,$B235&lt;=$FW235),MAX(CF235,Sheet1!EJ233,0),MAX(CF235-(7/36)*$K235,0))</f>
        <v>7</v>
      </c>
      <c r="CJ235" s="535">
        <f t="shared" ref="CJ235:CJ298" si="593">IF(B235&gt;=GC235,IF(B235&lt;=GD235,(7/36)*K235-BY235,0),0)</f>
        <v>0</v>
      </c>
      <c r="CK235" s="521">
        <f t="shared" ref="CK235:CK298" si="594">MAX(CF235-CI235,0)</f>
        <v>0</v>
      </c>
      <c r="CL235" s="521">
        <f>IF(AND($O235&gt;0,Sheet1!EN233=1),(1-($O235-Sheet1!$L233)/$O235)*CF235,0)</f>
        <v>0</v>
      </c>
      <c r="CM235" s="521">
        <f>IF(AND(Sheet1!$L233=0,Sheet1!$L232=0, Calculation!CE235&lt;Sheet1!EJ233-0.1,Sheet1!EJ233=Sheet1!EJ232,Sheet1!EJ233=Sheet1!EJ234),CF235-CL235,CF235-CL235)</f>
        <v>6.8576138828633413</v>
      </c>
      <c r="CN235" s="1040" t="str">
        <f t="shared" si="547"/>
        <v/>
      </c>
      <c r="CO235" s="1035">
        <f t="shared" si="548"/>
        <v>0</v>
      </c>
      <c r="CP235" s="535">
        <f t="shared" ref="CP235:CP298" si="595">HC235+HE235</f>
        <v>347.3406814529767</v>
      </c>
      <c r="CQ235" s="535"/>
      <c r="CR235" s="535">
        <f ca="1">IF(B235&gt;(Summary!$A$1-1),#N/A,CP235*MGtoAF)</f>
        <v>1065.6412106977325</v>
      </c>
      <c r="CS235" s="535">
        <f>Sheet1!BK233+Sheet1!BL233+Sheet1!BM233-Sheet1!ER233-DA235</f>
        <v>11.99</v>
      </c>
      <c r="CT235" s="535">
        <f t="shared" ref="CT235:CT298" si="596">CS235+(DO235*CS235)</f>
        <v>11.95098698481562</v>
      </c>
      <c r="CU235" s="535">
        <f>IF(Sheet1!ER233="FM",DA235,0)</f>
        <v>0</v>
      </c>
      <c r="CV235" s="535">
        <f t="shared" ref="CV235:CV298" si="597">CU235+(DO235*CU235)</f>
        <v>0</v>
      </c>
      <c r="CW235" s="535">
        <f>IF(Sheet1!ER233="OTHER",DA235,0)</f>
        <v>0</v>
      </c>
      <c r="CX235" s="535">
        <f t="shared" ref="CX235:CX298" si="598">CW235+(DO235*CW235)</f>
        <v>0</v>
      </c>
      <c r="CY235" s="535">
        <f t="shared" ref="CY235:CY255" si="599">MAX(CS235,CU235)</f>
        <v>11.99</v>
      </c>
      <c r="CZ235" s="535">
        <f t="shared" ref="CZ235:CZ255" si="600">MAX(CT235,CV235)</f>
        <v>11.95098698481562</v>
      </c>
      <c r="DA235" s="535">
        <f>IF(OR(Sheet1!ER233="FM", Sheet1!ER233="OTHER"),SUM(Sheet1!BK233:'Sheet1'!BM233),0)</f>
        <v>0</v>
      </c>
      <c r="DB235" s="1011">
        <f>IF(AND($B235&gt;=$FV235,$B235&lt;=$FW235),MAX($CT235,Sheet1!EK233,0),MAX($CT235-(7/36)*$K235,0))</f>
        <v>12</v>
      </c>
      <c r="DC235" s="1012">
        <f t="shared" ref="DC235:DC298" si="601">IF(B235&gt;=GC235,IF(B235&lt;=GD235,(7/36)*K235-CT235,0),0)</f>
        <v>0</v>
      </c>
      <c r="DD235" s="1011">
        <f t="shared" ref="DD235:DD298" si="602">MAX(CZ235-DB235,0)</f>
        <v>0</v>
      </c>
      <c r="DE235" s="521">
        <f>IF(AND($O235&gt;0,Sheet1!EO233=1),(1-($O235-Sheet1!$L233)/$O235)*CZ235,0)</f>
        <v>0</v>
      </c>
      <c r="DF235" s="521">
        <f>IF(AND(Sheet1!$L233=0,Sheet1!$L232=0, Calculation!CY235&lt;Sheet1!$EK233-0.1,Sheet1!$EK233=Sheet1!$EK232,Sheet1!$EK233=Sheet1!$EK234),CZ235-DE235,CZ235-DE235)</f>
        <v>11.95098698481562</v>
      </c>
      <c r="DG235" s="1040">
        <f t="shared" si="549"/>
        <v>0</v>
      </c>
      <c r="DH235" s="649">
        <f t="shared" ref="DH235:DH298" si="603">BK235+CE235+CY235</f>
        <v>25.5</v>
      </c>
      <c r="DI235" s="535">
        <f t="shared" ref="DI235:DI298" si="604">HJ235+HL235</f>
        <v>162.83867756192996</v>
      </c>
      <c r="DJ235" s="649">
        <f t="shared" ref="DJ235:DJ298" si="605">BL235+CF235+CZ235</f>
        <v>25.417028199566161</v>
      </c>
      <c r="DK235" s="535">
        <f ca="1">IF(B235&gt;(Summary!$A$1-1),#N/A,DI235*MGtoAF)</f>
        <v>499.58906276000113</v>
      </c>
      <c r="DL235" s="649">
        <f t="shared" ref="DL235:DL298" si="606">CY235+CE235+BK235</f>
        <v>25.5</v>
      </c>
      <c r="DM235" s="535">
        <f t="shared" ref="DM235:DM298" si="607">DL235+AP235</f>
        <v>46.1</v>
      </c>
      <c r="DN235" s="535">
        <f>Sheet1!AB233-DM235</f>
        <v>-0.14999999999999858</v>
      </c>
      <c r="DO235" s="743">
        <f t="shared" ref="DO235:DO298" si="608">IF(DM235=0,0,DN235/DM235)</f>
        <v>-3.2537960954446546E-3</v>
      </c>
      <c r="DP235" s="535">
        <f>(VLOOKUP(Sheet1!DC233,hhdcap_wcm,4)-(((VLOOKUP(Sheet1!DC233,hhdcap_wcm,3)-Sheet1!DC233)/(VLOOKUP(Sheet1!DC233,hhdcap_wcm,3)-VLOOKUP(Sheet1!DC233,hhdcap_wcm,1)))*(VLOOKUP(Sheet1!DC233,hhdcap_wcm,4)-VLOOKUP(Sheet1!DC233,hhdcap_wcm,2))))</f>
        <v>40333.200000100973</v>
      </c>
      <c r="DQ235" s="535">
        <f t="shared" ref="DQ235:DQ298" si="609">DP235-DP234</f>
        <v>-310.80000000121072</v>
      </c>
      <c r="DR235" s="535">
        <f t="shared" ref="DR235:DR298" si="610">DQ235*AFtoCFS</f>
        <v>-156.73222390378754</v>
      </c>
      <c r="DS235" s="535">
        <f>Sheet1!EA233*AFtoMG</f>
        <v>0</v>
      </c>
      <c r="DT235" s="535">
        <f>Sheet1!EB233*AFtoMG</f>
        <v>0</v>
      </c>
      <c r="DU235" s="535">
        <f>Sheet1!EC233*AFtoMG</f>
        <v>0</v>
      </c>
      <c r="DV235" s="535">
        <f>Sheet1!ED233*AFtoMG</f>
        <v>0</v>
      </c>
      <c r="DW235" s="535">
        <f t="shared" ref="DW235:DW298" si="611">SUM(DS235:DV235)</f>
        <v>0</v>
      </c>
      <c r="DX235" s="535">
        <f t="shared" ref="DX235:DX298" si="612">DW235*MGtoAF</f>
        <v>0</v>
      </c>
      <c r="DY235" s="535">
        <f t="shared" ref="DY235:DY298" si="613">AN235</f>
        <v>2198.7778551106526</v>
      </c>
      <c r="DZ235" s="535">
        <f t="shared" ref="DZ235:DZ298" si="614">DY235*MGtoAF</f>
        <v>6745.8504594794822</v>
      </c>
      <c r="EA235" s="535"/>
      <c r="EB235" s="521">
        <f>IF(OR(B235&lt;FV235,B235&gt;FW235),(MIN(BF235+BY235+CT235+MAX(Sheet1!AA233+AQ235-73,0),K235)),0)</f>
        <v>0</v>
      </c>
      <c r="EC235" s="535"/>
      <c r="ED235" s="535">
        <f t="shared" ref="ED235:ED298" si="615">CT235+BF235+BY235</f>
        <v>25.417028199566161</v>
      </c>
      <c r="EE235" s="535"/>
      <c r="EF235" s="535">
        <f>Sheet1!EH233+Sheet1!EI233+Sheet1!EJ233+Sheet1!EK233</f>
        <v>29</v>
      </c>
      <c r="EG235" s="1019">
        <f t="shared" si="550"/>
        <v>44.863</v>
      </c>
      <c r="EH235" s="521">
        <f t="shared" ref="EH235:EH298" si="616">EB235-BP235-CK235-DD235</f>
        <v>0</v>
      </c>
      <c r="EI235" s="535">
        <f>IF(Sheet1!ET233=1,SUM('Calculations II'!AT235:BA235)+'Calculations II'!BC235+Sheet1!BV233+'Calculations II'!BE235+AP235,'Calculations II'!BK235)</f>
        <v>83.772461800433845</v>
      </c>
      <c r="EJ235" s="535">
        <f ca="1">EI235+'Calculations II'!D235+'Calculations II'!E235+'Calculations II'!O235</f>
        <v>91.619259487744088</v>
      </c>
      <c r="EK235" s="535"/>
      <c r="EL235" s="535"/>
      <c r="EM235" s="535">
        <f t="shared" ref="EM235:EM298" si="617">B235</f>
        <v>42959</v>
      </c>
      <c r="EN235" s="535">
        <f t="shared" ref="EN235:EN298" si="618">AJ235-AH235</f>
        <v>-29</v>
      </c>
      <c r="EO235" s="535">
        <f t="shared" ref="EO235:EO298" si="619">AK235-AI235</f>
        <v>-44.863</v>
      </c>
      <c r="EP235" s="535">
        <v>0</v>
      </c>
      <c r="EQ235" s="535">
        <v>0</v>
      </c>
      <c r="ER235" s="535">
        <v>0</v>
      </c>
      <c r="ES235" s="521">
        <f t="shared" si="516"/>
        <v>-7.7594546609214392</v>
      </c>
      <c r="ET235" s="535">
        <f>-(VLOOKUP(Sheet1!BQ233,Lookup!$O$4:$Q$262,2)-VLOOKUP(Sheet1!BQ232,Lookup!$O$4:$Q$262,2))/1000000</f>
        <v>-3.8790991468110381</v>
      </c>
      <c r="EU235" s="535">
        <f>-(VLOOKUP(Sheet1!BR233,Lookup!$O$4:$Q$262,3)-VLOOKUP(Sheet1!BR232,Lookup!$O$4:$Q$262,3))/1000000</f>
        <v>-3.8803555141104011</v>
      </c>
      <c r="EV235" s="535"/>
      <c r="EW235" s="535"/>
      <c r="EX235" s="535"/>
      <c r="EY235" s="535"/>
      <c r="EZ235" s="535"/>
      <c r="FA235" s="535"/>
      <c r="FB235" s="535"/>
      <c r="FC235" s="535"/>
      <c r="FD235" s="567">
        <f t="shared" si="566"/>
        <v>1134.2030769230021</v>
      </c>
      <c r="FE235" s="567" t="e">
        <f t="shared" ref="FE235:FE298" si="620">MAX((FE234-FI235*1.983),0)</f>
        <v>#N/A</v>
      </c>
      <c r="FF235" s="568" t="e">
        <f t="shared" ref="FF235:FF298" si="621">IF(DP235-AO235-FE235-1220&lt;0,0,DP235-AO235-FE235-1220)</f>
        <v>#N/A</v>
      </c>
      <c r="FG235" s="569" t="s">
        <v>656</v>
      </c>
      <c r="FH235" s="569" t="s">
        <v>656</v>
      </c>
      <c r="FI235" s="567" t="e">
        <v>#N/A</v>
      </c>
      <c r="FJ235" s="725">
        <v>19054</v>
      </c>
      <c r="FK235" s="535"/>
      <c r="FL235" s="1015">
        <f t="shared" si="565"/>
        <v>84.215834594049412</v>
      </c>
      <c r="FM235" s="535"/>
      <c r="FN235" s="535"/>
      <c r="FO235" s="535">
        <f>O235+((Sheet1!CS233)*GPMtoMGD)</f>
        <v>104.803376</v>
      </c>
      <c r="FP235" s="535">
        <f>IF(Sheet1!AA233+AQ235&lt;=Calculation!N235,AQ235,Calculation!N235-Sheet1!AA233)</f>
        <v>20.532971800433842</v>
      </c>
      <c r="FQ235" s="535">
        <f>(Sheet1!BP233+Sheet1!BO233)/694.4</f>
        <v>3.9534850230414742</v>
      </c>
      <c r="FR235" s="541"/>
      <c r="FS235" s="541"/>
      <c r="FT235" s="541"/>
      <c r="FU235" s="541"/>
      <c r="FV235" s="1109">
        <f t="shared" si="517"/>
        <v>42918</v>
      </c>
      <c r="FW235" s="1109">
        <f t="shared" si="518"/>
        <v>43027</v>
      </c>
      <c r="FX235" s="541"/>
      <c r="FY235" s="541">
        <f>Sheet1!DA233-Sheet1!CZ233-Sheet1!AE233</f>
        <v>-115.69964999999999</v>
      </c>
      <c r="FZ235" s="535">
        <f t="shared" si="551"/>
        <v>-0.94628080835424688</v>
      </c>
      <c r="GA235" s="535"/>
      <c r="GB235" s="535" t="str">
        <f t="shared" si="519"/>
        <v>n</v>
      </c>
      <c r="GC235" s="539">
        <f t="shared" si="520"/>
        <v>42782</v>
      </c>
      <c r="GD235" s="1109">
        <f t="shared" si="521"/>
        <v>42904</v>
      </c>
      <c r="GE235" s="535">
        <f t="shared" si="537"/>
        <v>6520</v>
      </c>
      <c r="GF235" s="1109">
        <f t="shared" si="522"/>
        <v>42909</v>
      </c>
      <c r="GG235" s="535">
        <f t="shared" si="564"/>
        <v>3260</v>
      </c>
      <c r="GH235" s="539">
        <f t="shared" si="523"/>
        <v>43040</v>
      </c>
      <c r="GJ235" s="521">
        <f t="shared" si="524"/>
        <v>0</v>
      </c>
      <c r="GK235" s="535" t="str">
        <f t="shared" ref="GK235:GK298" si="622">CONCATENATE(GM235,HA235,GT235,HH235)</f>
        <v/>
      </c>
      <c r="GL235" s="535">
        <f t="shared" si="525"/>
        <v>0</v>
      </c>
      <c r="GM235" s="535" t="str">
        <f t="shared" si="526"/>
        <v/>
      </c>
      <c r="GN235" s="535">
        <f>IF(GK235="P",Lookup!$M$12,IF(GK235="PP",Lookup!$M$13,IF(GK235="PPP",Lookup!$M$14,IF(GK235="T",Lookup!$M$15,IF(GK235="TP",Lookup!$M$16,IF(GK235="TPP",Lookup!$M$17,IF(GK235="TPPP",Lookup!$M$18,0)))))))*GJ235</f>
        <v>0</v>
      </c>
      <c r="GO235" s="535">
        <f t="shared" si="527"/>
        <v>0</v>
      </c>
      <c r="GP235" s="535">
        <f t="shared" ref="GP235:GP298" si="623">GQ235*MGtoAF</f>
        <v>3662.6806666666671</v>
      </c>
      <c r="GQ235" s="974">
        <f t="shared" si="567"/>
        <v>1193.8333333333335</v>
      </c>
      <c r="GR235" s="535"/>
      <c r="GS235" s="535">
        <f t="shared" si="528"/>
        <v>0</v>
      </c>
      <c r="GT235" s="535" t="str">
        <f t="shared" si="529"/>
        <v/>
      </c>
      <c r="GU235" s="535">
        <f>IF(GK235="P",Lookup!$N$12,IF(GK235="PP",Lookup!$N$13,IF(GK235="PPP",Lookup!$N$14,IF(GK235="T",Lookup!$N$15,IF(GK235="TP",Lookup!$N$16,IF(GK235="TPP",Lookup!$N$17,IF(GK235="TPPP",Lookup!$N$18,0)))))))*GJ235</f>
        <v>0</v>
      </c>
      <c r="GV235" s="535">
        <f t="shared" si="530"/>
        <v>0</v>
      </c>
      <c r="GW235" s="535">
        <f t="shared" ref="GW235:GW298" si="624">GX235*MGtoAF</f>
        <v>1517.9395193550806</v>
      </c>
      <c r="GX235" s="974">
        <f t="shared" si="568"/>
        <v>494.76516276241216</v>
      </c>
      <c r="GY235" s="535"/>
      <c r="GZ235" s="535">
        <f t="shared" si="531"/>
        <v>0</v>
      </c>
      <c r="HA235" s="535" t="str">
        <f t="shared" si="532"/>
        <v/>
      </c>
      <c r="HB235" s="535">
        <f>IF(GK235="P",Lookup!$N$12,IF(GK235="PP",Lookup!$N$13,IF(GK235="PPP",Lookup!$N$14,IF(GK235="T",Lookup!$N$15,IF(GK235="TP",Lookup!$N$16,IF(GK235="TPP",Lookup!$N$17,IF(GK235="TPPP",Lookup!$N$18,0)))))))*GJ235</f>
        <v>0</v>
      </c>
      <c r="HC235" s="521">
        <f t="shared" ref="HC235:HC298" si="625">IF(HA235="P",MIN(HB235,7/36*GE235-HE235),0)</f>
        <v>0</v>
      </c>
      <c r="HD235" s="535">
        <f t="shared" ref="HD235:HD298" si="626">HE235*MGtoAF</f>
        <v>1065.6412106977325</v>
      </c>
      <c r="HE235" s="535">
        <f t="shared" si="535"/>
        <v>347.3406814529767</v>
      </c>
      <c r="HF235" s="535"/>
      <c r="HG235" s="535">
        <f>IF(HK235&gt;=3888.8,DC235,0)</f>
        <v>0</v>
      </c>
      <c r="HH235" s="535" t="str">
        <f t="shared" si="534"/>
        <v/>
      </c>
      <c r="HI235" s="535">
        <f>IF(GK235="P",Lookup!$N$12,IF(GK235="PP",Lookup!$N$13,IF(GK235="PPP",Lookup!$N$14,IF(GK235="T",Lookup!$N$15,IF(GK235="TP",Lookup!$N$16,IF(GK235="TPP",Lookup!$N$17,IF(GK235="TPPP",Lookup!$N$18,0)))))))*GJ235</f>
        <v>0</v>
      </c>
      <c r="HJ235" s="521">
        <f t="shared" ref="HJ235:HJ298" si="627">IF(HH235="P",MIN(HI235,7/36*GE235-HL235),0)</f>
        <v>0</v>
      </c>
      <c r="HK235" s="535">
        <f t="shared" ref="HK235:HK298" si="628">HL235*MGtoAF</f>
        <v>499.58906276000113</v>
      </c>
      <c r="HL235" s="535">
        <f t="shared" si="536"/>
        <v>162.83867756192996</v>
      </c>
      <c r="HM235" s="535"/>
      <c r="HN235" s="541"/>
      <c r="HO235" s="541"/>
      <c r="HP235" s="541"/>
      <c r="HQ235" s="541">
        <f>IF(AND(B235&gt;=$FV$4,B235&lt;=$FW$4),MAX(110/1.02+$HQ$6+MIN(113/1.02,G235),IF($HV$6-(Sheet1!DA233-Sheet1!DB233)+MIN(113/1.02,G235)&lt;G235+FL235,$HV$6-(Sheet1!DA233-Sheet1!DB233)+MIN(113/1.02,G235),G235+FL235)),MIN(110/1.02+$HQ$6+113/1.02,G235))</f>
        <v>218.62745098039215</v>
      </c>
      <c r="HR235" s="541">
        <f t="shared" si="552"/>
        <v>223</v>
      </c>
      <c r="HS235" s="541">
        <f>HR235+(Sheet1!DA233-Sheet1!DB233)</f>
        <v>381</v>
      </c>
      <c r="HT235" s="541">
        <f t="shared" si="553"/>
        <v>96.738507375271155</v>
      </c>
      <c r="HU235" s="541">
        <f t="shared" si="554"/>
        <v>284.26149262472882</v>
      </c>
      <c r="HV235" s="541">
        <f t="shared" si="555"/>
        <v>0</v>
      </c>
      <c r="HW235" s="533" t="str">
        <f t="shared" si="556"/>
        <v/>
      </c>
      <c r="HX235" s="541">
        <f t="shared" si="557"/>
        <v>15.509549019607846</v>
      </c>
      <c r="HY235" s="541">
        <f>Sheet1!CZ233</f>
        <v>279</v>
      </c>
      <c r="HZ235" s="541">
        <f t="shared" si="558"/>
        <v>44.863</v>
      </c>
      <c r="IA235" s="541">
        <f t="shared" si="559"/>
        <v>96.738507375271155</v>
      </c>
      <c r="IB235" s="541">
        <f t="shared" si="560"/>
        <v>234.137</v>
      </c>
      <c r="IC235" s="1019" t="str">
        <f t="shared" si="561"/>
        <v/>
      </c>
      <c r="ID235" s="541">
        <f t="shared" si="562"/>
        <v>137.39849262472885</v>
      </c>
      <c r="IE235" s="541">
        <f>Sheet1!DB233</f>
        <v>146</v>
      </c>
      <c r="IF235" s="533">
        <f>Sheet1!DA233</f>
        <v>304</v>
      </c>
      <c r="IH235" s="541">
        <f>IF(AND($B235&gt;=$GC235,$B235&lt;=$GH235,$DR235&lt;0)+N("only adjusted when pool is drawn down during storage season"),Sheet1!$DB233+$DR235+N("Palmer minus all storage release"),Sheet1!$DB233)</f>
        <v>-10.732223903787542</v>
      </c>
      <c r="II235" s="541">
        <f>IF(AND($B235&gt;=$GC235,$B235&lt;=$GH235,$DR235&lt;0)+N("only adjusted when pool is drawn down during storage season"),Sheet1!$DA233+$DR235+N("Auburn minus all storage release"),Sheet1!$DA233)</f>
        <v>147.26777609621246</v>
      </c>
    </row>
    <row r="236" spans="1:243" x14ac:dyDescent="0.25">
      <c r="A236" s="553" t="s">
        <v>3</v>
      </c>
      <c r="B236" s="531">
        <v>42960</v>
      </c>
      <c r="C236" s="536">
        <v>0</v>
      </c>
      <c r="D236" s="506">
        <f t="shared" si="506"/>
        <v>200</v>
      </c>
      <c r="E236" s="506">
        <f t="shared" si="507"/>
        <v>400</v>
      </c>
      <c r="F236" s="506">
        <v>250</v>
      </c>
      <c r="G236" s="535">
        <f>DR236+Sheet1!CZ234</f>
        <v>143.54866364033973</v>
      </c>
      <c r="H236" s="1074">
        <f t="shared" si="563"/>
        <v>0</v>
      </c>
      <c r="I236" s="534">
        <f>IF(Sheet1!DA234&gt;=E236,(Sheet1!DA234-E236+P236)*CFStoMGD,0)</f>
        <v>0</v>
      </c>
      <c r="J236" s="995">
        <f>IF(Sheet1!DB234&gt;=D236,(Sheet1!DB234-D236+P236)*CFStoMGD,0)</f>
        <v>0</v>
      </c>
      <c r="K236" s="818">
        <f t="shared" si="538"/>
        <v>0</v>
      </c>
      <c r="L236" s="535">
        <f>Sheet1!AA234+Sheet1!AB234-Sheet1!L234+(Sheet1!DA234-F236)*CFStoMGD-S236-T236-U236</f>
        <v>103.28275898277275</v>
      </c>
      <c r="M236" s="535">
        <f t="shared" si="569"/>
        <v>94.645653300657912</v>
      </c>
      <c r="N236" s="824">
        <f>IF(Sheet1!DA234&gt;=F236,MIN(113*CFStoMGD,MIN(MAX(L236,0),MAX(M236,0))),0)</f>
        <v>73.043199999999999</v>
      </c>
      <c r="O236" s="538">
        <f>Sheet1!AA234+Sheet1!AB234</f>
        <v>80.78</v>
      </c>
      <c r="P236" s="538">
        <f t="shared" si="570"/>
        <v>124.96666</v>
      </c>
      <c r="Q236" s="812">
        <f t="shared" si="539"/>
        <v>53.509958982772758</v>
      </c>
      <c r="R236" s="812">
        <f t="shared" si="508"/>
        <v>29</v>
      </c>
      <c r="S236" s="812">
        <f t="shared" si="509"/>
        <v>0</v>
      </c>
      <c r="T236" s="812">
        <f t="shared" si="510"/>
        <v>0</v>
      </c>
      <c r="U236" s="812">
        <f>IF(AND(B236&gt;=FV236,B236&lt;=FW236),ED236+Sheet1!EH234,0)</f>
        <v>27.270041017227239</v>
      </c>
      <c r="V236" s="812"/>
      <c r="W236" s="812">
        <f t="shared" si="511"/>
        <v>0</v>
      </c>
      <c r="X236" s="812">
        <f t="shared" si="512"/>
        <v>0</v>
      </c>
      <c r="Y236" s="812" t="str">
        <f t="shared" si="513"/>
        <v>FALSE</v>
      </c>
      <c r="Z236" s="812">
        <f t="shared" si="514"/>
        <v>80.78</v>
      </c>
      <c r="AA236" s="812">
        <f t="shared" si="515"/>
        <v>80.78</v>
      </c>
      <c r="AB236" s="1059">
        <f t="shared" si="540"/>
        <v>82.779906546349451</v>
      </c>
      <c r="AC236" s="538">
        <f>Sheet1!Y234*MGDtoCFS</f>
        <v>69.614999999999995</v>
      </c>
      <c r="AD236" s="538">
        <f>Sheet1!Z234*MGDtoCFS</f>
        <v>71.084649999999996</v>
      </c>
      <c r="AE236" s="538">
        <f>Sheet1!AA234*MGDtoCFS</f>
        <v>68.624920000000003</v>
      </c>
      <c r="AF236" s="538">
        <f>Sheet1!AB234*MGDtoCFS</f>
        <v>56.341740000000001</v>
      </c>
      <c r="AG236" s="538">
        <f>Sheet1!L234*MGDtoCFS</f>
        <v>0</v>
      </c>
      <c r="AH236" s="521">
        <f t="shared" si="571"/>
        <v>29.000000000000004</v>
      </c>
      <c r="AI236" s="1059">
        <f t="shared" si="572"/>
        <v>44.863000000000007</v>
      </c>
      <c r="AJ236" s="535">
        <f t="shared" si="573"/>
        <v>0</v>
      </c>
      <c r="AK236" s="535">
        <f t="shared" si="574"/>
        <v>0</v>
      </c>
      <c r="AL236" s="535">
        <f>(VLOOKUP(Sheet1!DC234,hhdcap_wcm,4)-(((VLOOKUP(Sheet1!DC234,hhdcap_wcm,3)-Sheet1!DC234)/(VLOOKUP(Sheet1!DC234,hhdcap_wcm,3)-VLOOKUP(Sheet1!DC234,hhdcap_wcm,1)))*(VLOOKUP(Sheet1!DC234,hhdcap_wcm,4)-VLOOKUP(Sheet1!DC234,hhdcap_wcm,2))))</f>
        <v>40064.600000099766</v>
      </c>
      <c r="AM236" s="535">
        <f t="shared" si="575"/>
        <v>-268.60000000120635</v>
      </c>
      <c r="AN236" s="1035">
        <f t="shared" si="576"/>
        <v>2169.7778551106526</v>
      </c>
      <c r="AO236" s="535">
        <f t="shared" si="577"/>
        <v>6656.8784594794824</v>
      </c>
      <c r="AP236" s="535">
        <f>Sheet1!BA234+Sheet1!BB234+Sheet1!BN234+CD236</f>
        <v>12.2</v>
      </c>
      <c r="AQ236" s="535">
        <f>Sheet1!BN234+(DO236*Sheet1!BN234)</f>
        <v>12.149958982772766</v>
      </c>
      <c r="AR236" s="535">
        <f>Sheet1!BA234+CD236</f>
        <v>0</v>
      </c>
      <c r="AS236" s="535">
        <f>Sheet1!BA234+Sheet1!BB234+CD236</f>
        <v>0</v>
      </c>
      <c r="AT236" s="649">
        <f>0</f>
        <v>0</v>
      </c>
      <c r="AU236" s="974">
        <f>BA236+MAX(Sheet1!EH234,(O236-Q236-ED236-S236))</f>
        <v>3.0000000000000036</v>
      </c>
      <c r="AV236" s="535">
        <f>IF(OR(B236&gt;=GD236,B236&lt;GC236),0,15/36*K236-MAX(0,64.6-(137.6-(Sheet1!AA234+Sheet1!AB234))))</f>
        <v>0</v>
      </c>
      <c r="AW236" s="1029"/>
      <c r="AX236" s="649"/>
      <c r="AY236" s="649">
        <f t="shared" si="541"/>
        <v>0</v>
      </c>
      <c r="AZ236" s="649">
        <f t="shared" si="542"/>
        <v>0</v>
      </c>
      <c r="BA236" s="1059">
        <f t="shared" si="543"/>
        <v>0</v>
      </c>
      <c r="BB236" s="1019">
        <f t="shared" si="578"/>
        <v>1190.8333333333335</v>
      </c>
      <c r="BC236" s="1041">
        <f t="shared" si="544"/>
        <v>0</v>
      </c>
      <c r="BD236" s="1019">
        <f ca="1">IF(B236&gt;(Summary!$A$1-1),#N/A,BB236*MGtoAF)</f>
        <v>3653.4766666666674</v>
      </c>
      <c r="BE236" s="535">
        <f>Sheet1!BG234+Sheet1!BH234+Sheet1!BI234-BM236</f>
        <v>6.35</v>
      </c>
      <c r="BF236" s="535">
        <f t="shared" si="579"/>
        <v>6.3239540607054971</v>
      </c>
      <c r="BG236" s="535">
        <f>IF(Sheet1!EP234="FM",BM236,0)</f>
        <v>0</v>
      </c>
      <c r="BH236" s="535">
        <f t="shared" si="580"/>
        <v>0</v>
      </c>
      <c r="BI236" s="535">
        <f>IF(Sheet1!EP234="OTHER",BM236,0)</f>
        <v>0</v>
      </c>
      <c r="BJ236" s="535">
        <f t="shared" si="581"/>
        <v>0</v>
      </c>
      <c r="BK236" s="535">
        <f t="shared" si="582"/>
        <v>6.35</v>
      </c>
      <c r="BL236" s="535">
        <f t="shared" si="583"/>
        <v>6.3239540607054971</v>
      </c>
      <c r="BM236" s="535">
        <f>IF(OR(Sheet1!EP234="FM", Sheet1!EP234="OTHER"),SUM(Sheet1!BG234:'Sheet1'!BI234),0)</f>
        <v>0</v>
      </c>
      <c r="BN236" s="521">
        <f>IF(AND($B236&gt;=$FV236,$B236&lt;=$FW236),MAX(BF236,Sheet1!EI234,0),MAX(BF236-(7/36)*$K236,0))</f>
        <v>7</v>
      </c>
      <c r="BO236" s="535">
        <f t="shared" si="584"/>
        <v>0</v>
      </c>
      <c r="BP236" s="521">
        <f t="shared" si="585"/>
        <v>0</v>
      </c>
      <c r="BQ236" s="521">
        <f>IF(AND($O236&gt;0,Sheet1!EM234=1),(1-($O236-Sheet1!$L234)/$O236)*BL236,0)</f>
        <v>0</v>
      </c>
      <c r="BR236" s="521">
        <f>IF(AND(Sheet1!$L234=0,Sheet1!$L233=0, Calculation!BK236&lt;Sheet1!$EI234-0.1,Sheet1!$EI234=Sheet1!$EI233,Sheet1!$EI234=Sheet1!$EI235),BL236-BQ236,BL236-BQ236)</f>
        <v>6.3239540607054971</v>
      </c>
      <c r="BS236" s="1035" t="str">
        <f t="shared" si="545"/>
        <v/>
      </c>
      <c r="BT236" s="1035">
        <f t="shared" si="546"/>
        <v>0</v>
      </c>
      <c r="BU236" s="535">
        <f t="shared" si="586"/>
        <v>487.76516276241216</v>
      </c>
      <c r="BV236" s="535"/>
      <c r="BW236" s="535">
        <f ca="1">IF(B236&gt;(Summary!$A$1-1),#N/A,BU236*MGtoAF)</f>
        <v>1496.4635193550805</v>
      </c>
      <c r="BX236" s="535">
        <f>Sheet1!BC234+Sheet1!BD234+Sheet1!BE234+Sheet1!BF234-CG236-CH236</f>
        <v>5.99</v>
      </c>
      <c r="BY236" s="535">
        <f t="shared" si="587"/>
        <v>5.9654306808859738</v>
      </c>
      <c r="BZ236" s="535">
        <f>IF(Sheet1!EQ234="FM",CH236,0)</f>
        <v>0</v>
      </c>
      <c r="CA236" s="535">
        <f t="shared" si="588"/>
        <v>0</v>
      </c>
      <c r="CB236" s="535">
        <f>IF(Sheet1!EQ234="OTHER",CH236,0)</f>
        <v>0</v>
      </c>
      <c r="CC236" s="535">
        <f t="shared" si="589"/>
        <v>0</v>
      </c>
      <c r="CD236" s="535">
        <f t="shared" si="590"/>
        <v>0</v>
      </c>
      <c r="CE236" s="535">
        <f t="shared" si="591"/>
        <v>5.99</v>
      </c>
      <c r="CF236" s="535">
        <f t="shared" si="592"/>
        <v>5.9654306808859738</v>
      </c>
      <c r="CG236" s="535">
        <f>IF(Sheet1!EQ234="CWA",SUM(Sheet1!BC234:'Sheet1'!BF234),0)</f>
        <v>0</v>
      </c>
      <c r="CH236" s="535">
        <f>IF(OR(Sheet1!EQ234="FM", Sheet1!EQ234="OTHER"),SUM(Sheet1!BC234:'Sheet1'!BF234),0)</f>
        <v>0</v>
      </c>
      <c r="CI236" s="521">
        <f>IF(AND($B236&gt;=$FV236,$B236&lt;=$FW236),MAX(CF236,Sheet1!EJ234,0),MAX(CF236-(7/36)*$K236,0))</f>
        <v>7</v>
      </c>
      <c r="CJ236" s="535">
        <f t="shared" si="593"/>
        <v>0</v>
      </c>
      <c r="CK236" s="521">
        <f t="shared" si="594"/>
        <v>0</v>
      </c>
      <c r="CL236" s="521">
        <f>IF(AND($O236&gt;0,Sheet1!EN234=1),(1-($O236-Sheet1!$L234)/$O236)*CF236,0)</f>
        <v>0</v>
      </c>
      <c r="CM236" s="521">
        <f>IF(AND(Sheet1!$L234=0,Sheet1!$L233=0, Calculation!CE236&lt;Sheet1!EJ234-0.1,Sheet1!EJ234=Sheet1!EJ233,Sheet1!EJ234=Sheet1!EJ235),CF236-CL236,CF236-CL236)</f>
        <v>5.9654306808859738</v>
      </c>
      <c r="CN236" s="1040" t="str">
        <f t="shared" si="547"/>
        <v/>
      </c>
      <c r="CO236" s="1035">
        <f t="shared" si="548"/>
        <v>0</v>
      </c>
      <c r="CP236" s="535">
        <f t="shared" si="595"/>
        <v>340.3406814529767</v>
      </c>
      <c r="CQ236" s="535"/>
      <c r="CR236" s="535">
        <f ca="1">IF(B236&gt;(Summary!$A$1-1),#N/A,CP236*MGtoAF)</f>
        <v>1044.1652106977326</v>
      </c>
      <c r="CS236" s="535">
        <f>Sheet1!BK234+Sheet1!BL234+Sheet1!BM234-Sheet1!ER234-DA236</f>
        <v>12.03</v>
      </c>
      <c r="CT236" s="535">
        <f t="shared" si="596"/>
        <v>11.98065627563577</v>
      </c>
      <c r="CU236" s="535">
        <f>IF(Sheet1!ER234="FM",DA236,0)</f>
        <v>0</v>
      </c>
      <c r="CV236" s="535">
        <f t="shared" si="597"/>
        <v>0</v>
      </c>
      <c r="CW236" s="535">
        <f>IF(Sheet1!ER234="OTHER",DA236,0)</f>
        <v>0</v>
      </c>
      <c r="CX236" s="535">
        <f t="shared" si="598"/>
        <v>0</v>
      </c>
      <c r="CY236" s="535">
        <f t="shared" si="599"/>
        <v>12.03</v>
      </c>
      <c r="CZ236" s="535">
        <f t="shared" si="600"/>
        <v>11.98065627563577</v>
      </c>
      <c r="DA236" s="535">
        <f>IF(OR(Sheet1!ER234="FM", Sheet1!ER234="OTHER"),SUM(Sheet1!BK234:'Sheet1'!BM234),0)</f>
        <v>0</v>
      </c>
      <c r="DB236" s="1011">
        <f>IF(AND($B236&gt;=$FV236,$B236&lt;=$FW236),MAX($CT236,Sheet1!EK234,0),MAX($CT236-(7/36)*$K236,0))</f>
        <v>12</v>
      </c>
      <c r="DC236" s="1012">
        <f t="shared" si="601"/>
        <v>0</v>
      </c>
      <c r="DD236" s="1011">
        <f t="shared" si="602"/>
        <v>0</v>
      </c>
      <c r="DE236" s="521">
        <f>IF(AND($O236&gt;0,Sheet1!EO234=1),(1-($O236-Sheet1!$L234)/$O236)*CZ236,0)</f>
        <v>0</v>
      </c>
      <c r="DF236" s="521">
        <f>IF(AND(Sheet1!$L234=0,Sheet1!$L233=0, Calculation!CY236&lt;Sheet1!$EK234-0.1,Sheet1!$EK234=Sheet1!$EK233,Sheet1!$EK234=Sheet1!$EK235),CZ236-DE236,CZ236-DE236)</f>
        <v>11.98065627563577</v>
      </c>
      <c r="DG236" s="1040">
        <f t="shared" si="549"/>
        <v>0</v>
      </c>
      <c r="DH236" s="649">
        <f t="shared" si="603"/>
        <v>24.369999999999997</v>
      </c>
      <c r="DI236" s="535">
        <f t="shared" si="604"/>
        <v>150.83867756192996</v>
      </c>
      <c r="DJ236" s="649">
        <f t="shared" si="605"/>
        <v>24.270041017227243</v>
      </c>
      <c r="DK236" s="535">
        <f ca="1">IF(B236&gt;(Summary!$A$1-1),#N/A,DI236*MGtoAF)</f>
        <v>462.7730627600011</v>
      </c>
      <c r="DL236" s="649">
        <f t="shared" si="606"/>
        <v>24.369999999999997</v>
      </c>
      <c r="DM236" s="535">
        <f t="shared" si="607"/>
        <v>36.569999999999993</v>
      </c>
      <c r="DN236" s="535">
        <f>Sheet1!AB234-DM236</f>
        <v>-0.14999999999999147</v>
      </c>
      <c r="DO236" s="743">
        <f t="shared" si="608"/>
        <v>-4.1017227235436559E-3</v>
      </c>
      <c r="DP236" s="535">
        <f>(VLOOKUP(Sheet1!DC234,hhdcap_wcm,4)-(((VLOOKUP(Sheet1!DC234,hhdcap_wcm,3)-Sheet1!DC234)/(VLOOKUP(Sheet1!DC234,hhdcap_wcm,3)-VLOOKUP(Sheet1!DC234,hhdcap_wcm,1)))*(VLOOKUP(Sheet1!DC234,hhdcap_wcm,4)-VLOOKUP(Sheet1!DC234,hhdcap_wcm,2))))</f>
        <v>40064.600000099766</v>
      </c>
      <c r="DQ236" s="535">
        <f t="shared" si="609"/>
        <v>-268.60000000120635</v>
      </c>
      <c r="DR236" s="535">
        <f t="shared" si="610"/>
        <v>-135.45133635966027</v>
      </c>
      <c r="DS236" s="535">
        <f>Sheet1!EA234*AFtoMG</f>
        <v>0</v>
      </c>
      <c r="DT236" s="535">
        <f>Sheet1!EB234*AFtoMG</f>
        <v>0</v>
      </c>
      <c r="DU236" s="535">
        <f>Sheet1!EC234*AFtoMG</f>
        <v>0</v>
      </c>
      <c r="DV236" s="535">
        <f>Sheet1!ED234*AFtoMG</f>
        <v>0</v>
      </c>
      <c r="DW236" s="535">
        <f t="shared" si="611"/>
        <v>0</v>
      </c>
      <c r="DX236" s="535">
        <f t="shared" si="612"/>
        <v>0</v>
      </c>
      <c r="DY236" s="535">
        <f t="shared" si="613"/>
        <v>2169.7778551106526</v>
      </c>
      <c r="DZ236" s="535">
        <f t="shared" si="614"/>
        <v>6656.8784594794824</v>
      </c>
      <c r="EA236" s="535"/>
      <c r="EB236" s="521">
        <f>IF(OR(B236&lt;FV236,B236&gt;FW236),(MIN(BF236+BY236+CT236+MAX(Sheet1!AA234+AQ236-73,0),K236)),0)</f>
        <v>0</v>
      </c>
      <c r="EC236" s="535"/>
      <c r="ED236" s="535">
        <f t="shared" si="615"/>
        <v>24.270041017227239</v>
      </c>
      <c r="EE236" s="535"/>
      <c r="EF236" s="535">
        <f>Sheet1!EH234+Sheet1!EI234+Sheet1!EJ234+Sheet1!EK234</f>
        <v>29</v>
      </c>
      <c r="EG236" s="1019">
        <f t="shared" si="550"/>
        <v>44.863</v>
      </c>
      <c r="EH236" s="521">
        <f t="shared" si="616"/>
        <v>0</v>
      </c>
      <c r="EI236" s="535">
        <f>IF(Sheet1!ET234=1,SUM('Calculations II'!AT236:BA236)+'Calculations II'!BC236+Sheet1!BV234+'Calculations II'!BE236+AP236,'Calculations II'!BK236)</f>
        <v>67.896452982772786</v>
      </c>
      <c r="EJ236" s="535">
        <f ca="1">EI236+'Calculations II'!D236+'Calculations II'!E236+'Calculations II'!O236</f>
        <v>70.685626644382168</v>
      </c>
      <c r="EK236" s="535"/>
      <c r="EL236" s="535"/>
      <c r="EM236" s="535">
        <f t="shared" si="617"/>
        <v>42960</v>
      </c>
      <c r="EN236" s="535">
        <f t="shared" si="618"/>
        <v>-29.000000000000004</v>
      </c>
      <c r="EO236" s="535">
        <f t="shared" si="619"/>
        <v>-44.863000000000007</v>
      </c>
      <c r="EP236" s="535">
        <v>0</v>
      </c>
      <c r="EQ236" s="535">
        <v>0</v>
      </c>
      <c r="ER236" s="535">
        <v>0</v>
      </c>
      <c r="ES236" s="521">
        <f t="shared" si="516"/>
        <v>-2.7736700709358084</v>
      </c>
      <c r="ET236" s="535">
        <f>-(VLOOKUP(Sheet1!BQ234,Lookup!$O$4:$Q$262,2)-VLOOKUP(Sheet1!BQ233,Lookup!$O$4:$Q$262,2))/1000000</f>
        <v>-1.3866105858774409</v>
      </c>
      <c r="EU236" s="535">
        <f>-(VLOOKUP(Sheet1!BR234,Lookup!$O$4:$Q$262,3)-VLOOKUP(Sheet1!BR233,Lookup!$O$4:$Q$262,3))/1000000</f>
        <v>-1.3870594850583673</v>
      </c>
      <c r="EV236" s="535"/>
      <c r="EW236" s="535"/>
      <c r="EX236" s="535"/>
      <c r="EY236" s="535"/>
      <c r="EZ236" s="535"/>
      <c r="FA236" s="535"/>
      <c r="FB236" s="535"/>
      <c r="FC236" s="535"/>
      <c r="FD236" s="567">
        <f t="shared" si="566"/>
        <v>1133.94444444437</v>
      </c>
      <c r="FE236" s="567" t="e">
        <f t="shared" si="620"/>
        <v>#N/A</v>
      </c>
      <c r="FF236" s="568" t="e">
        <f t="shared" si="621"/>
        <v>#N/A</v>
      </c>
      <c r="FG236" s="569" t="s">
        <v>656</v>
      </c>
      <c r="FH236" s="569" t="s">
        <v>656</v>
      </c>
      <c r="FI236" s="567" t="e">
        <v>#N/A</v>
      </c>
      <c r="FJ236" s="725">
        <v>18887</v>
      </c>
      <c r="FK236" s="535"/>
      <c r="FL236" s="1015">
        <f t="shared" si="565"/>
        <v>84.720121028744316</v>
      </c>
      <c r="FM236" s="535"/>
      <c r="FN236" s="535"/>
      <c r="FO236" s="535">
        <f>O236+((Sheet1!CS234)*GPMtoMGD)</f>
        <v>94.619839999999996</v>
      </c>
      <c r="FP236" s="535">
        <f>IF(Sheet1!AA234+AQ236&lt;=Calculation!N236,AQ236,Calculation!N236-Sheet1!AA234)</f>
        <v>12.149958982772766</v>
      </c>
      <c r="FQ236" s="535">
        <f>(Sheet1!BP234+Sheet1!BO234)/694.4</f>
        <v>2.933899769585254</v>
      </c>
      <c r="FR236" s="541"/>
      <c r="FS236" s="541"/>
      <c r="FT236" s="541"/>
      <c r="FU236" s="541"/>
      <c r="FV236" s="1109">
        <f t="shared" si="517"/>
        <v>42918</v>
      </c>
      <c r="FW236" s="1109">
        <f t="shared" si="518"/>
        <v>43027</v>
      </c>
      <c r="FX236" s="541"/>
      <c r="FY236" s="541">
        <f>Sheet1!DA234-Sheet1!CZ234-Sheet1!AE234</f>
        <v>-76.96665999999999</v>
      </c>
      <c r="FZ236" s="535">
        <f t="shared" si="551"/>
        <v>-0.5361712052773927</v>
      </c>
      <c r="GA236" s="535"/>
      <c r="GB236" s="535" t="str">
        <f t="shared" si="519"/>
        <v>n</v>
      </c>
      <c r="GC236" s="539">
        <f t="shared" si="520"/>
        <v>42782</v>
      </c>
      <c r="GD236" s="1109">
        <f t="shared" si="521"/>
        <v>42904</v>
      </c>
      <c r="GE236" s="535">
        <f t="shared" si="537"/>
        <v>6520</v>
      </c>
      <c r="GF236" s="1109">
        <f t="shared" si="522"/>
        <v>42909</v>
      </c>
      <c r="GG236" s="535">
        <f t="shared" si="564"/>
        <v>3260</v>
      </c>
      <c r="GH236" s="539">
        <f t="shared" si="523"/>
        <v>43040</v>
      </c>
      <c r="GJ236" s="521">
        <f t="shared" si="524"/>
        <v>0</v>
      </c>
      <c r="GK236" s="535" t="str">
        <f t="shared" si="622"/>
        <v/>
      </c>
      <c r="GL236" s="535">
        <f t="shared" si="525"/>
        <v>0</v>
      </c>
      <c r="GM236" s="535" t="str">
        <f t="shared" si="526"/>
        <v/>
      </c>
      <c r="GN236" s="535">
        <f>IF(GK236="P",Lookup!$M$12,IF(GK236="PP",Lookup!$M$13,IF(GK236="PPP",Lookup!$M$14,IF(GK236="T",Lookup!$M$15,IF(GK236="TP",Lookup!$M$16,IF(GK236="TPP",Lookup!$M$17,IF(GK236="TPPP",Lookup!$M$18,0)))))))*GJ236</f>
        <v>0</v>
      </c>
      <c r="GO236" s="535">
        <f t="shared" si="527"/>
        <v>0</v>
      </c>
      <c r="GP236" s="535">
        <f t="shared" si="623"/>
        <v>3653.4766666666674</v>
      </c>
      <c r="GQ236" s="974">
        <f t="shared" si="567"/>
        <v>1190.8333333333335</v>
      </c>
      <c r="GR236" s="535"/>
      <c r="GS236" s="535">
        <f t="shared" si="528"/>
        <v>0</v>
      </c>
      <c r="GT236" s="535" t="str">
        <f t="shared" si="529"/>
        <v/>
      </c>
      <c r="GU236" s="535">
        <f>IF(GK236="P",Lookup!$N$12,IF(GK236="PP",Lookup!$N$13,IF(GK236="PPP",Lookup!$N$14,IF(GK236="T",Lookup!$N$15,IF(GK236="TP",Lookup!$N$16,IF(GK236="TPP",Lookup!$N$17,IF(GK236="TPPP",Lookup!$N$18,0)))))))*GJ236</f>
        <v>0</v>
      </c>
      <c r="GV236" s="535">
        <f t="shared" si="530"/>
        <v>0</v>
      </c>
      <c r="GW236" s="535">
        <f t="shared" si="624"/>
        <v>1496.4635193550805</v>
      </c>
      <c r="GX236" s="974">
        <f t="shared" si="568"/>
        <v>487.76516276241216</v>
      </c>
      <c r="GY236" s="535"/>
      <c r="GZ236" s="535">
        <f t="shared" si="531"/>
        <v>0</v>
      </c>
      <c r="HA236" s="535" t="str">
        <f t="shared" si="532"/>
        <v/>
      </c>
      <c r="HB236" s="535">
        <f>IF(GK236="P",Lookup!$N$12,IF(GK236="PP",Lookup!$N$13,IF(GK236="PPP",Lookup!$N$14,IF(GK236="T",Lookup!$N$15,IF(GK236="TP",Lookup!$N$16,IF(GK236="TPP",Lookup!$N$17,IF(GK236="TPPP",Lookup!$N$18,0)))))))*GJ236</f>
        <v>0</v>
      </c>
      <c r="HC236" s="521">
        <f t="shared" si="625"/>
        <v>0</v>
      </c>
      <c r="HD236" s="535">
        <f t="shared" si="626"/>
        <v>1044.1652106977326</v>
      </c>
      <c r="HE236" s="535">
        <f t="shared" si="535"/>
        <v>340.3406814529767</v>
      </c>
      <c r="HF236" s="535"/>
      <c r="HG236" s="535">
        <f t="shared" si="533"/>
        <v>0</v>
      </c>
      <c r="HH236" s="535" t="str">
        <f t="shared" si="534"/>
        <v/>
      </c>
      <c r="HI236" s="535">
        <f>IF(GK236="P",Lookup!$N$12,IF(GK236="PP",Lookup!$N$13,IF(GK236="PPP",Lookup!$N$14,IF(GK236="T",Lookup!$N$15,IF(GK236="TP",Lookup!$N$16,IF(GK236="TPP",Lookup!$N$17,IF(GK236="TPPP",Lookup!$N$18,0)))))))*GJ236</f>
        <v>0</v>
      </c>
      <c r="HJ236" s="521">
        <f t="shared" si="627"/>
        <v>0</v>
      </c>
      <c r="HK236" s="535">
        <f t="shared" si="628"/>
        <v>462.7730627600011</v>
      </c>
      <c r="HL236" s="535">
        <f t="shared" si="536"/>
        <v>150.83867756192996</v>
      </c>
      <c r="HM236" s="535"/>
      <c r="HN236" s="541"/>
      <c r="HO236" s="541"/>
      <c r="HP236" s="541"/>
      <c r="HQ236" s="541">
        <f>IF(AND(B236&gt;=$FV$4,B236&lt;=$FW$4),MAX(110/1.02+$HQ$6+MIN(113/1.02,G236),IF($HV$6-(Sheet1!DA234-Sheet1!DB234)+MIN(113/1.02,G236)&lt;G236+FL236,$HV$6-(Sheet1!DA234-Sheet1!DB234)+MIN(113/1.02,G236),G236+FL236)),MIN(110/1.02+$HQ$6+113/1.02,G236))</f>
        <v>218.62745098039215</v>
      </c>
      <c r="HR236" s="541">
        <f t="shared" si="552"/>
        <v>223</v>
      </c>
      <c r="HS236" s="541">
        <f>HR236+(Sheet1!DA234-Sheet1!DB234)</f>
        <v>384</v>
      </c>
      <c r="HT236" s="541">
        <f t="shared" si="553"/>
        <v>82.779906546349451</v>
      </c>
      <c r="HU236" s="541">
        <f t="shared" si="554"/>
        <v>301.22009345365052</v>
      </c>
      <c r="HV236" s="541">
        <f t="shared" si="555"/>
        <v>0</v>
      </c>
      <c r="HW236" s="533" t="str">
        <f t="shared" si="556"/>
        <v/>
      </c>
      <c r="HX236" s="541">
        <f t="shared" si="557"/>
        <v>15.509549019607846</v>
      </c>
      <c r="HY236" s="541">
        <f>Sheet1!CZ234</f>
        <v>279</v>
      </c>
      <c r="HZ236" s="541">
        <f t="shared" si="558"/>
        <v>44.863000000000007</v>
      </c>
      <c r="IA236" s="541">
        <f t="shared" si="559"/>
        <v>82.779906546349451</v>
      </c>
      <c r="IB236" s="541">
        <f t="shared" si="560"/>
        <v>234.137</v>
      </c>
      <c r="IC236" s="1019" t="str">
        <f t="shared" si="561"/>
        <v/>
      </c>
      <c r="ID236" s="541">
        <f t="shared" si="562"/>
        <v>151.35709345365055</v>
      </c>
      <c r="IE236" s="541">
        <f>Sheet1!DB234</f>
        <v>166</v>
      </c>
      <c r="IF236" s="533">
        <f>Sheet1!DA234</f>
        <v>327</v>
      </c>
      <c r="IH236" s="541">
        <f>IF(AND($B236&gt;=$GC236,$B236&lt;=$GH236,$DR236&lt;0)+N("only adjusted when pool is drawn down during storage season"),Sheet1!$DB234+$DR236+N("Palmer minus all storage release"),Sheet1!$DB234)</f>
        <v>30.548663640339726</v>
      </c>
      <c r="II236" s="541">
        <f>IF(AND($B236&gt;=$GC236,$B236&lt;=$GH236,$DR236&lt;0)+N("only adjusted when pool is drawn down during storage season"),Sheet1!$DA234+$DR236+N("Auburn minus all storage release"),Sheet1!$DA234)</f>
        <v>191.54866364033973</v>
      </c>
    </row>
    <row r="237" spans="1:243" x14ac:dyDescent="0.25">
      <c r="A237" s="553" t="s">
        <v>4</v>
      </c>
      <c r="B237" s="531">
        <v>42961</v>
      </c>
      <c r="C237" s="536">
        <v>0</v>
      </c>
      <c r="D237" s="506">
        <f t="shared" si="506"/>
        <v>200</v>
      </c>
      <c r="E237" s="506">
        <f t="shared" si="507"/>
        <v>400</v>
      </c>
      <c r="F237" s="506">
        <v>250</v>
      </c>
      <c r="G237" s="535">
        <f>DR237+Sheet1!CZ235</f>
        <v>125.01664145271479</v>
      </c>
      <c r="H237" s="1074">
        <f t="shared" si="563"/>
        <v>0</v>
      </c>
      <c r="I237" s="534">
        <f>IF(Sheet1!DA235&gt;=E237,(Sheet1!DA235-E237+P237)*CFStoMGD,0)</f>
        <v>0</v>
      </c>
      <c r="J237" s="995">
        <f>IF(Sheet1!DB235&gt;=D237,(Sheet1!DB235-D237+P237)*CFStoMGD,0)</f>
        <v>0</v>
      </c>
      <c r="K237" s="818">
        <f t="shared" si="538"/>
        <v>0</v>
      </c>
      <c r="L237" s="535">
        <f>Sheet1!AA235+Sheet1!AB235-Sheet1!L235+(Sheet1!DA235-F237)*CFStoMGD-S237-T237-U237</f>
        <v>101.92080641711229</v>
      </c>
      <c r="M237" s="535">
        <f t="shared" si="569"/>
        <v>82.426972175735543</v>
      </c>
      <c r="N237" s="824">
        <f>IF(Sheet1!DA235&gt;=F237,MIN(113*CFStoMGD,MIN(MAX(L237,0),MAX(M237,0))),0)</f>
        <v>73.043199999999999</v>
      </c>
      <c r="O237" s="538">
        <f>Sheet1!AA235+Sheet1!AB235</f>
        <v>77.19</v>
      </c>
      <c r="P237" s="538">
        <f t="shared" si="570"/>
        <v>119.41292999999999</v>
      </c>
      <c r="Q237" s="812">
        <f t="shared" si="539"/>
        <v>49.5624064171123</v>
      </c>
      <c r="R237" s="812">
        <f t="shared" si="508"/>
        <v>29</v>
      </c>
      <c r="S237" s="812">
        <f t="shared" si="509"/>
        <v>0</v>
      </c>
      <c r="T237" s="812">
        <f t="shared" si="510"/>
        <v>0</v>
      </c>
      <c r="U237" s="812">
        <f>IF(AND(B237&gt;=FV237,B237&lt;=FW237),ED237+Sheet1!EH235,0)</f>
        <v>27.627593582887698</v>
      </c>
      <c r="V237" s="812"/>
      <c r="W237" s="812">
        <f t="shared" si="511"/>
        <v>0</v>
      </c>
      <c r="X237" s="812">
        <f t="shared" si="512"/>
        <v>0</v>
      </c>
      <c r="Y237" s="812" t="str">
        <f t="shared" si="513"/>
        <v>FALSE</v>
      </c>
      <c r="Z237" s="812">
        <f t="shared" si="514"/>
        <v>77.19</v>
      </c>
      <c r="AA237" s="812">
        <f t="shared" si="515"/>
        <v>77.19</v>
      </c>
      <c r="AB237" s="1059">
        <f t="shared" si="540"/>
        <v>76.67304272727273</v>
      </c>
      <c r="AC237" s="538">
        <f>Sheet1!Y235*MGDtoCFS</f>
        <v>68.624920000000003</v>
      </c>
      <c r="AD237" s="538">
        <f>Sheet1!Z235*MGDtoCFS</f>
        <v>56.156099999999995</v>
      </c>
      <c r="AE237" s="538">
        <f>Sheet1!AA235*MGDtoCFS</f>
        <v>67.619370000000004</v>
      </c>
      <c r="AF237" s="538">
        <f>Sheet1!AB235*MGDtoCFS</f>
        <v>51.793559999999992</v>
      </c>
      <c r="AG237" s="538">
        <f>Sheet1!L235*MGDtoCFS</f>
        <v>0</v>
      </c>
      <c r="AH237" s="521">
        <f t="shared" si="571"/>
        <v>29</v>
      </c>
      <c r="AI237" s="1059">
        <f t="shared" si="572"/>
        <v>44.863</v>
      </c>
      <c r="AJ237" s="535">
        <f t="shared" si="573"/>
        <v>0</v>
      </c>
      <c r="AK237" s="535">
        <f t="shared" si="574"/>
        <v>0</v>
      </c>
      <c r="AL237" s="535">
        <f>(VLOOKUP(Sheet1!DC235,hhdcap_wcm,4)-(((VLOOKUP(Sheet1!DC235,hhdcap_wcm,3)-Sheet1!DC235)/(VLOOKUP(Sheet1!DC235,hhdcap_wcm,3)-VLOOKUP(Sheet1!DC235,hhdcap_wcm,1)))*(VLOOKUP(Sheet1!DC235,hhdcap_wcm,4)-VLOOKUP(Sheet1!DC235,hhdcap_wcm,2))))</f>
        <v>39765.2000001005</v>
      </c>
      <c r="AM237" s="535">
        <f t="shared" si="575"/>
        <v>-299.39999999926658</v>
      </c>
      <c r="AN237" s="1035">
        <f t="shared" si="576"/>
        <v>2140.7778551106526</v>
      </c>
      <c r="AO237" s="535">
        <f t="shared" si="577"/>
        <v>6567.9064594794827</v>
      </c>
      <c r="AP237" s="535">
        <f>Sheet1!BA235+Sheet1!BB235+Sheet1!BN235+CD237</f>
        <v>8.9</v>
      </c>
      <c r="AQ237" s="535">
        <f>Sheet1!BN235+(DO237*Sheet1!BN235)</f>
        <v>8.8524064171123005</v>
      </c>
      <c r="AR237" s="535">
        <f>Sheet1!BA235+CD237</f>
        <v>0</v>
      </c>
      <c r="AS237" s="535">
        <f>Sheet1!BA235+Sheet1!BB235+CD237</f>
        <v>0</v>
      </c>
      <c r="AT237" s="649">
        <f>0</f>
        <v>0</v>
      </c>
      <c r="AU237" s="974">
        <f>BA237+MAX(Sheet1!EH235,(O237-Q237-ED237-S237))</f>
        <v>3</v>
      </c>
      <c r="AV237" s="535">
        <f>IF(OR(B237&gt;=GD237,B237&lt;GC237),0,15/36*K237-MAX(0,64.6-(137.6-(Sheet1!AA235+Sheet1!AB235))))</f>
        <v>0</v>
      </c>
      <c r="AW237" s="1029"/>
      <c r="AX237" s="649"/>
      <c r="AY237" s="649">
        <f t="shared" si="541"/>
        <v>0</v>
      </c>
      <c r="AZ237" s="649">
        <f t="shared" si="542"/>
        <v>0</v>
      </c>
      <c r="BA237" s="1059">
        <f t="shared" si="543"/>
        <v>0</v>
      </c>
      <c r="BB237" s="1019">
        <f t="shared" si="578"/>
        <v>1187.8333333333335</v>
      </c>
      <c r="BC237" s="1041">
        <f t="shared" si="544"/>
        <v>0</v>
      </c>
      <c r="BD237" s="1019">
        <f ca="1">IF(B237&gt;(Summary!$A$1-1),#N/A,BB237*MGtoAF)</f>
        <v>3644.2726666666672</v>
      </c>
      <c r="BE237" s="535">
        <f>Sheet1!BG235+Sheet1!BH235+Sheet1!BI235-BM237</f>
        <v>6.76</v>
      </c>
      <c r="BF237" s="535">
        <f t="shared" si="579"/>
        <v>6.7238502673796789</v>
      </c>
      <c r="BG237" s="535">
        <f>IF(Sheet1!EP235="FM",BM237,0)</f>
        <v>0</v>
      </c>
      <c r="BH237" s="535">
        <f t="shared" si="580"/>
        <v>0</v>
      </c>
      <c r="BI237" s="535">
        <f>IF(Sheet1!EP235="OTHER",BM237,0)</f>
        <v>0</v>
      </c>
      <c r="BJ237" s="535">
        <f t="shared" si="581"/>
        <v>0</v>
      </c>
      <c r="BK237" s="535">
        <f t="shared" si="582"/>
        <v>6.76</v>
      </c>
      <c r="BL237" s="535">
        <f t="shared" si="583"/>
        <v>6.7238502673796789</v>
      </c>
      <c r="BM237" s="535">
        <f>IF(OR(Sheet1!EP235="FM", Sheet1!EP235="OTHER"),SUM(Sheet1!BG235:'Sheet1'!BI235),0)</f>
        <v>0</v>
      </c>
      <c r="BN237" s="521">
        <f>IF(AND($B237&gt;=$FV237,$B237&lt;=$FW237),MAX(BF237,Sheet1!EI235,0),MAX(BF237-(7/36)*$K237,0))</f>
        <v>7</v>
      </c>
      <c r="BO237" s="535">
        <f t="shared" si="584"/>
        <v>0</v>
      </c>
      <c r="BP237" s="521">
        <f t="shared" si="585"/>
        <v>0</v>
      </c>
      <c r="BQ237" s="521">
        <f>IF(AND($O237&gt;0,Sheet1!EM235=1),(1-($O237-Sheet1!$L235)/$O237)*BL237,0)</f>
        <v>0</v>
      </c>
      <c r="BR237" s="521">
        <f>IF(AND(Sheet1!$L235=0,Sheet1!$L234=0, Calculation!BK237&lt;Sheet1!$EI235-0.1,Sheet1!$EI235=Sheet1!$EI234,Sheet1!$EI235=Sheet1!$EI236),BL237-BQ237,BL237-BQ237)</f>
        <v>6.7238502673796789</v>
      </c>
      <c r="BS237" s="1035" t="str">
        <f t="shared" si="545"/>
        <v/>
      </c>
      <c r="BT237" s="1035">
        <f t="shared" si="546"/>
        <v>0</v>
      </c>
      <c r="BU237" s="535">
        <f t="shared" si="586"/>
        <v>480.76516276241216</v>
      </c>
      <c r="BV237" s="535"/>
      <c r="BW237" s="535">
        <f ca="1">IF(B237&gt;(Summary!$A$1-1),#N/A,BU237*MGtoAF)</f>
        <v>1474.9875193550806</v>
      </c>
      <c r="BX237" s="535">
        <f>Sheet1!BC235+Sheet1!BD235+Sheet1!BE235+Sheet1!BF235-CG237-CH237</f>
        <v>5.99</v>
      </c>
      <c r="BY237" s="535">
        <f t="shared" si="587"/>
        <v>5.9579679144385027</v>
      </c>
      <c r="BZ237" s="535">
        <f>IF(Sheet1!EQ235="FM",CH237,0)</f>
        <v>0</v>
      </c>
      <c r="CA237" s="535">
        <f t="shared" si="588"/>
        <v>0</v>
      </c>
      <c r="CB237" s="535">
        <f>IF(Sheet1!EQ235="OTHER",CH237,0)</f>
        <v>0</v>
      </c>
      <c r="CC237" s="535">
        <f t="shared" si="589"/>
        <v>0</v>
      </c>
      <c r="CD237" s="535">
        <f t="shared" si="590"/>
        <v>0</v>
      </c>
      <c r="CE237" s="535">
        <f t="shared" si="591"/>
        <v>5.99</v>
      </c>
      <c r="CF237" s="535">
        <f t="shared" si="592"/>
        <v>5.9579679144385027</v>
      </c>
      <c r="CG237" s="535">
        <f>IF(Sheet1!EQ235="CWA",SUM(Sheet1!BC235:'Sheet1'!BF235),0)</f>
        <v>0</v>
      </c>
      <c r="CH237" s="535">
        <f>IF(OR(Sheet1!EQ235="FM", Sheet1!EQ235="OTHER"),SUM(Sheet1!BC235:'Sheet1'!BF235),0)</f>
        <v>0</v>
      </c>
      <c r="CI237" s="521">
        <f>IF(AND($B237&gt;=$FV237,$B237&lt;=$FW237),MAX(CF237,Sheet1!EJ235,0),MAX(CF237-(7/36)*$K237,0))</f>
        <v>7</v>
      </c>
      <c r="CJ237" s="535">
        <f t="shared" si="593"/>
        <v>0</v>
      </c>
      <c r="CK237" s="521">
        <f t="shared" si="594"/>
        <v>0</v>
      </c>
      <c r="CL237" s="521">
        <f>IF(AND($O237&gt;0,Sheet1!EN235=1),(1-($O237-Sheet1!$L235)/$O237)*CF237,0)</f>
        <v>0</v>
      </c>
      <c r="CM237" s="521">
        <f>IF(AND(Sheet1!$L235=0,Sheet1!$L234=0, Calculation!CE237&lt;Sheet1!EJ235-0.1,Sheet1!EJ235=Sheet1!EJ234,Sheet1!EJ235=Sheet1!EJ236),CF237-CL237,CF237-CL237)</f>
        <v>5.9579679144385027</v>
      </c>
      <c r="CN237" s="1040" t="str">
        <f t="shared" si="547"/>
        <v/>
      </c>
      <c r="CO237" s="1035">
        <f t="shared" si="548"/>
        <v>0</v>
      </c>
      <c r="CP237" s="535">
        <f t="shared" si="595"/>
        <v>333.3406814529767</v>
      </c>
      <c r="CQ237" s="535"/>
      <c r="CR237" s="535">
        <f ca="1">IF(B237&gt;(Summary!$A$1-1),#N/A,CP237*MGtoAF)</f>
        <v>1022.6892106977325</v>
      </c>
      <c r="CS237" s="535">
        <f>Sheet1!BK235+Sheet1!BL235+Sheet1!BM235-Sheet1!ER235-DA237</f>
        <v>12.01</v>
      </c>
      <c r="CT237" s="535">
        <f t="shared" si="596"/>
        <v>11.945775401069518</v>
      </c>
      <c r="CU237" s="535">
        <f>IF(Sheet1!ER235="FM",DA237,0)</f>
        <v>0</v>
      </c>
      <c r="CV237" s="535">
        <f t="shared" si="597"/>
        <v>0</v>
      </c>
      <c r="CW237" s="535">
        <f>IF(Sheet1!ER235="OTHER",DA237,0)</f>
        <v>0</v>
      </c>
      <c r="CX237" s="535">
        <f t="shared" si="598"/>
        <v>0</v>
      </c>
      <c r="CY237" s="535">
        <f t="shared" si="599"/>
        <v>12.01</v>
      </c>
      <c r="CZ237" s="535">
        <f t="shared" si="600"/>
        <v>11.945775401069518</v>
      </c>
      <c r="DA237" s="535">
        <f>IF(OR(Sheet1!ER235="FM", Sheet1!ER235="OTHER"),SUM(Sheet1!BK235:'Sheet1'!BM235),0)</f>
        <v>0</v>
      </c>
      <c r="DB237" s="1011">
        <f>IF(AND($B237&gt;=$FV237,$B237&lt;=$FW237),MAX($CT237,Sheet1!EK235,0),MAX($CT237-(7/36)*$K237,0))</f>
        <v>12</v>
      </c>
      <c r="DC237" s="1012">
        <f t="shared" si="601"/>
        <v>0</v>
      </c>
      <c r="DD237" s="1011">
        <f t="shared" si="602"/>
        <v>0</v>
      </c>
      <c r="DE237" s="521">
        <f>IF(AND($O237&gt;0,Sheet1!EO235=1),(1-($O237-Sheet1!$L235)/$O237)*CZ237,0)</f>
        <v>0</v>
      </c>
      <c r="DF237" s="521">
        <f>IF(AND(Sheet1!$L235=0,Sheet1!$L234=0, Calculation!CY237&lt;Sheet1!$EK235-0.1,Sheet1!$EK235=Sheet1!$EK234,Sheet1!$EK235=Sheet1!$EK236),CZ237-DE237,CZ237-DE237)</f>
        <v>11.945775401069518</v>
      </c>
      <c r="DG237" s="1040">
        <f t="shared" si="549"/>
        <v>0</v>
      </c>
      <c r="DH237" s="649">
        <f t="shared" si="603"/>
        <v>24.759999999999998</v>
      </c>
      <c r="DI237" s="535">
        <f t="shared" si="604"/>
        <v>138.83867756192996</v>
      </c>
      <c r="DJ237" s="649">
        <f t="shared" si="605"/>
        <v>24.627593582887698</v>
      </c>
      <c r="DK237" s="535">
        <f ca="1">IF(B237&gt;(Summary!$A$1-1),#N/A,DI237*MGtoAF)</f>
        <v>425.95706276000112</v>
      </c>
      <c r="DL237" s="649">
        <f t="shared" si="606"/>
        <v>24.759999999999998</v>
      </c>
      <c r="DM237" s="535">
        <f t="shared" si="607"/>
        <v>33.659999999999997</v>
      </c>
      <c r="DN237" s="535">
        <f>Sheet1!AB235-DM237</f>
        <v>-0.17999999999999972</v>
      </c>
      <c r="DO237" s="743">
        <f t="shared" si="608"/>
        <v>-5.3475935828876924E-3</v>
      </c>
      <c r="DP237" s="535">
        <f>(VLOOKUP(Sheet1!DC235,hhdcap_wcm,4)-(((VLOOKUP(Sheet1!DC235,hhdcap_wcm,3)-Sheet1!DC235)/(VLOOKUP(Sheet1!DC235,hhdcap_wcm,3)-VLOOKUP(Sheet1!DC235,hhdcap_wcm,1)))*(VLOOKUP(Sheet1!DC235,hhdcap_wcm,4)-VLOOKUP(Sheet1!DC235,hhdcap_wcm,2))))</f>
        <v>39765.2000001005</v>
      </c>
      <c r="DQ237" s="535">
        <f t="shared" si="609"/>
        <v>-299.39999999926658</v>
      </c>
      <c r="DR237" s="535">
        <f t="shared" si="610"/>
        <v>-150.98335854728521</v>
      </c>
      <c r="DS237" s="535">
        <f>Sheet1!EA235*AFtoMG</f>
        <v>0</v>
      </c>
      <c r="DT237" s="535">
        <f>Sheet1!EB235*AFtoMG</f>
        <v>0</v>
      </c>
      <c r="DU237" s="535">
        <f>Sheet1!EC235*AFtoMG</f>
        <v>0</v>
      </c>
      <c r="DV237" s="535">
        <f>Sheet1!ED235*AFtoMG</f>
        <v>0</v>
      </c>
      <c r="DW237" s="535">
        <f t="shared" si="611"/>
        <v>0</v>
      </c>
      <c r="DX237" s="535">
        <f t="shared" si="612"/>
        <v>0</v>
      </c>
      <c r="DY237" s="535">
        <f t="shared" si="613"/>
        <v>2140.7778551106526</v>
      </c>
      <c r="DZ237" s="535">
        <f t="shared" si="614"/>
        <v>6567.9064594794827</v>
      </c>
      <c r="EA237" s="535"/>
      <c r="EB237" s="521">
        <f>IF(OR(B237&lt;FV237,B237&gt;FW237),(MIN(BF237+BY237+CT237+MAX(Sheet1!AA235+AQ237-73,0),K237)),0)</f>
        <v>0</v>
      </c>
      <c r="EC237" s="535"/>
      <c r="ED237" s="535">
        <f t="shared" si="615"/>
        <v>24.627593582887698</v>
      </c>
      <c r="EE237" s="535"/>
      <c r="EF237" s="535">
        <f>Sheet1!EH235+Sheet1!EI235+Sheet1!EJ235+Sheet1!EK235</f>
        <v>29</v>
      </c>
      <c r="EG237" s="1019">
        <f t="shared" si="550"/>
        <v>44.863</v>
      </c>
      <c r="EH237" s="521">
        <f t="shared" si="616"/>
        <v>0</v>
      </c>
      <c r="EI237" s="535">
        <f>IF(Sheet1!ET235=1,SUM('Calculations II'!AT237:BA237)+'Calculations II'!BC237+Sheet1!BV235+'Calculations II'!BE237+AP237,'Calculations II'!BK237)</f>
        <v>70.152794417112304</v>
      </c>
      <c r="EJ237" s="535">
        <f ca="1">EI237+'Calculations II'!D237+'Calculations II'!E237+'Calculations II'!O237</f>
        <v>64.780649564746412</v>
      </c>
      <c r="EK237" s="535"/>
      <c r="EL237" s="535"/>
      <c r="EM237" s="535">
        <f t="shared" si="617"/>
        <v>42961</v>
      </c>
      <c r="EN237" s="535">
        <f t="shared" si="618"/>
        <v>-29</v>
      </c>
      <c r="EO237" s="535">
        <f t="shared" si="619"/>
        <v>-44.863</v>
      </c>
      <c r="EP237" s="535">
        <v>0</v>
      </c>
      <c r="EQ237" s="535">
        <v>0</v>
      </c>
      <c r="ER237" s="535">
        <v>0</v>
      </c>
      <c r="ES237" s="521">
        <f t="shared" si="516"/>
        <v>5.6846642791113853</v>
      </c>
      <c r="ET237" s="535">
        <f>-(VLOOKUP(Sheet1!BQ235,Lookup!$O$4:$Q$262,2)-VLOOKUP(Sheet1!BQ234,Lookup!$O$4:$Q$262,2))/1000000</f>
        <v>2.7725800128406957</v>
      </c>
      <c r="EU237" s="535">
        <f>-(VLOOKUP(Sheet1!BR235,Lookup!$O$4:$Q$262,3)-VLOOKUP(Sheet1!BR234,Lookup!$O$4:$Q$262,3))/1000000</f>
        <v>2.9120842662706896</v>
      </c>
      <c r="EV237" s="535"/>
      <c r="EW237" s="535"/>
      <c r="EX237" s="535"/>
      <c r="EY237" s="535"/>
      <c r="EZ237" s="535"/>
      <c r="FA237" s="535"/>
      <c r="FB237" s="535"/>
      <c r="FC237" s="535"/>
      <c r="FD237" s="567">
        <f t="shared" si="566"/>
        <v>1133.6793650792908</v>
      </c>
      <c r="FE237" s="567" t="e">
        <f t="shared" si="620"/>
        <v>#N/A</v>
      </c>
      <c r="FF237" s="568" t="e">
        <f t="shared" si="621"/>
        <v>#N/A</v>
      </c>
      <c r="FG237" s="569" t="s">
        <v>656</v>
      </c>
      <c r="FH237" s="569" t="s">
        <v>656</v>
      </c>
      <c r="FI237" s="567" t="e">
        <v>#N/A</v>
      </c>
      <c r="FJ237" s="725">
        <v>18719</v>
      </c>
      <c r="FK237" s="535"/>
      <c r="FL237" s="1015">
        <f t="shared" si="565"/>
        <v>84.720121028744316</v>
      </c>
      <c r="FM237" s="535"/>
      <c r="FN237" s="535"/>
      <c r="FO237" s="535">
        <f>O237+((Sheet1!CS235)*GPMtoMGD)</f>
        <v>90.992831999999993</v>
      </c>
      <c r="FP237" s="535">
        <f>IF(Sheet1!AA235+AQ237&lt;=Calculation!N237,AQ237,Calculation!N237-Sheet1!AA235)</f>
        <v>8.8524064171123005</v>
      </c>
      <c r="FQ237" s="535">
        <f>(Sheet1!BP235+Sheet1!BO235)/694.4</f>
        <v>3.6811635944700458</v>
      </c>
      <c r="FR237" s="541"/>
      <c r="FS237" s="541"/>
      <c r="FT237" s="541"/>
      <c r="FU237" s="541"/>
      <c r="FV237" s="1109">
        <f t="shared" si="517"/>
        <v>42918</v>
      </c>
      <c r="FW237" s="1109">
        <f t="shared" si="518"/>
        <v>43027</v>
      </c>
      <c r="FX237" s="541"/>
      <c r="FY237" s="541">
        <f>Sheet1!DA235-Sheet1!CZ235-Sheet1!AE235</f>
        <v>-64.412929999999989</v>
      </c>
      <c r="FZ237" s="535">
        <f t="shared" si="551"/>
        <v>-0.51523484594939284</v>
      </c>
      <c r="GA237" s="535"/>
      <c r="GB237" s="535" t="str">
        <f t="shared" si="519"/>
        <v>n</v>
      </c>
      <c r="GC237" s="539">
        <f t="shared" si="520"/>
        <v>42782</v>
      </c>
      <c r="GD237" s="1109">
        <f t="shared" si="521"/>
        <v>42904</v>
      </c>
      <c r="GE237" s="535">
        <f t="shared" si="537"/>
        <v>6520</v>
      </c>
      <c r="GF237" s="1109">
        <f t="shared" si="522"/>
        <v>42909</v>
      </c>
      <c r="GG237" s="535">
        <f t="shared" si="564"/>
        <v>3260</v>
      </c>
      <c r="GH237" s="539">
        <f t="shared" si="523"/>
        <v>43040</v>
      </c>
      <c r="GJ237" s="521">
        <f t="shared" si="524"/>
        <v>0</v>
      </c>
      <c r="GK237" s="535" t="str">
        <f t="shared" si="622"/>
        <v/>
      </c>
      <c r="GL237" s="535">
        <f t="shared" si="525"/>
        <v>0</v>
      </c>
      <c r="GM237" s="535" t="str">
        <f t="shared" si="526"/>
        <v/>
      </c>
      <c r="GN237" s="535">
        <f>IF(GK237="P",Lookup!$M$12,IF(GK237="PP",Lookup!$M$13,IF(GK237="PPP",Lookup!$M$14,IF(GK237="T",Lookup!$M$15,IF(GK237="TP",Lookup!$M$16,IF(GK237="TPP",Lookup!$M$17,IF(GK237="TPPP",Lookup!$M$18,0)))))))*GJ237</f>
        <v>0</v>
      </c>
      <c r="GO237" s="535">
        <f t="shared" si="527"/>
        <v>0</v>
      </c>
      <c r="GP237" s="535">
        <f t="shared" si="623"/>
        <v>3644.2726666666672</v>
      </c>
      <c r="GQ237" s="974">
        <f t="shared" si="567"/>
        <v>1187.8333333333335</v>
      </c>
      <c r="GR237" s="535"/>
      <c r="GS237" s="535">
        <f t="shared" si="528"/>
        <v>0</v>
      </c>
      <c r="GT237" s="535" t="str">
        <f t="shared" si="529"/>
        <v/>
      </c>
      <c r="GU237" s="535">
        <f>IF(GK237="P",Lookup!$N$12,IF(GK237="PP",Lookup!$N$13,IF(GK237="PPP",Lookup!$N$14,IF(GK237="T",Lookup!$N$15,IF(GK237="TP",Lookup!$N$16,IF(GK237="TPP",Lookup!$N$17,IF(GK237="TPPP",Lookup!$N$18,0)))))))*GJ237</f>
        <v>0</v>
      </c>
      <c r="GV237" s="535">
        <f t="shared" si="530"/>
        <v>0</v>
      </c>
      <c r="GW237" s="535">
        <f t="shared" si="624"/>
        <v>1474.9875193550806</v>
      </c>
      <c r="GX237" s="974">
        <f t="shared" si="568"/>
        <v>480.76516276241216</v>
      </c>
      <c r="GY237" s="535"/>
      <c r="GZ237" s="535">
        <f t="shared" si="531"/>
        <v>0</v>
      </c>
      <c r="HA237" s="535" t="str">
        <f t="shared" si="532"/>
        <v/>
      </c>
      <c r="HB237" s="535">
        <f>IF(GK237="P",Lookup!$N$12,IF(GK237="PP",Lookup!$N$13,IF(GK237="PPP",Lookup!$N$14,IF(GK237="T",Lookup!$N$15,IF(GK237="TP",Lookup!$N$16,IF(GK237="TPP",Lookup!$N$17,IF(GK237="TPPP",Lookup!$N$18,0)))))))*GJ237</f>
        <v>0</v>
      </c>
      <c r="HC237" s="521">
        <f t="shared" si="625"/>
        <v>0</v>
      </c>
      <c r="HD237" s="535">
        <f t="shared" si="626"/>
        <v>1022.6892106977325</v>
      </c>
      <c r="HE237" s="535">
        <f t="shared" si="535"/>
        <v>333.3406814529767</v>
      </c>
      <c r="HF237" s="535"/>
      <c r="HG237" s="535">
        <f t="shared" si="533"/>
        <v>0</v>
      </c>
      <c r="HH237" s="535" t="str">
        <f t="shared" si="534"/>
        <v/>
      </c>
      <c r="HI237" s="535">
        <f>IF(GK237="P",Lookup!$N$12,IF(GK237="PP",Lookup!$N$13,IF(GK237="PPP",Lookup!$N$14,IF(GK237="T",Lookup!$N$15,IF(GK237="TP",Lookup!$N$16,IF(GK237="TPP",Lookup!$N$17,IF(GK237="TPPP",Lookup!$N$18,0)))))))*GJ237</f>
        <v>0</v>
      </c>
      <c r="HJ237" s="521">
        <f t="shared" si="627"/>
        <v>0</v>
      </c>
      <c r="HK237" s="535">
        <f t="shared" si="628"/>
        <v>425.95706276000112</v>
      </c>
      <c r="HL237" s="535">
        <f t="shared" si="536"/>
        <v>138.83867756192996</v>
      </c>
      <c r="HM237" s="535"/>
      <c r="HN237" s="541"/>
      <c r="HO237" s="541"/>
      <c r="HP237" s="541"/>
      <c r="HQ237" s="541">
        <f>IF(AND(B237&gt;=$FV$4,B237&lt;=$FW$4),MAX(110/1.02+$HQ$6+MIN(113/1.02,G237),IF($HV$6-(Sheet1!DA235-Sheet1!DB235)+MIN(113/1.02,G237)&lt;G237+FL237,$HV$6-(Sheet1!DA235-Sheet1!DB235)+MIN(113/1.02,G237),G237+FL237)),MIN(110/1.02+$HQ$6+113/1.02,G237))</f>
        <v>218.62745098039215</v>
      </c>
      <c r="HR237" s="541">
        <f t="shared" si="552"/>
        <v>223</v>
      </c>
      <c r="HS237" s="541">
        <f>HR237+(Sheet1!DA235-Sheet1!DB235)</f>
        <v>386</v>
      </c>
      <c r="HT237" s="541">
        <f t="shared" si="553"/>
        <v>76.67304272727273</v>
      </c>
      <c r="HU237" s="541">
        <f t="shared" si="554"/>
        <v>309.32695727272727</v>
      </c>
      <c r="HV237" s="541">
        <f t="shared" si="555"/>
        <v>0</v>
      </c>
      <c r="HW237" s="533" t="str">
        <f t="shared" si="556"/>
        <v/>
      </c>
      <c r="HX237" s="541">
        <f t="shared" si="557"/>
        <v>12.509549019607846</v>
      </c>
      <c r="HY237" s="541">
        <f>Sheet1!CZ235</f>
        <v>276</v>
      </c>
      <c r="HZ237" s="541">
        <f t="shared" si="558"/>
        <v>44.863</v>
      </c>
      <c r="IA237" s="541">
        <f t="shared" si="559"/>
        <v>76.67304272727273</v>
      </c>
      <c r="IB237" s="541">
        <f t="shared" si="560"/>
        <v>231.137</v>
      </c>
      <c r="IC237" s="1019" t="str">
        <f t="shared" si="561"/>
        <v/>
      </c>
      <c r="ID237" s="541">
        <f t="shared" si="562"/>
        <v>154.46395727272727</v>
      </c>
      <c r="IE237" s="541">
        <f>Sheet1!DB235</f>
        <v>168</v>
      </c>
      <c r="IF237" s="533">
        <f>Sheet1!DA235</f>
        <v>331</v>
      </c>
      <c r="IH237" s="541">
        <f>IF(AND($B237&gt;=$GC237,$B237&lt;=$GH237,$DR237&lt;0)+N("only adjusted when pool is drawn down during storage season"),Sheet1!$DB235+$DR237+N("Palmer minus all storage release"),Sheet1!$DB235)</f>
        <v>17.016641452714794</v>
      </c>
      <c r="II237" s="541">
        <f>IF(AND($B237&gt;=$GC237,$B237&lt;=$GH237,$DR237&lt;0)+N("only adjusted when pool is drawn down during storage season"),Sheet1!$DA235+$DR237+N("Auburn minus all storage release"),Sheet1!$DA235)</f>
        <v>180.01664145271479</v>
      </c>
    </row>
    <row r="238" spans="1:243" x14ac:dyDescent="0.25">
      <c r="A238" s="553" t="s">
        <v>5</v>
      </c>
      <c r="B238" s="531">
        <v>42962</v>
      </c>
      <c r="C238" s="536">
        <v>0</v>
      </c>
      <c r="D238" s="506">
        <f t="shared" si="506"/>
        <v>200</v>
      </c>
      <c r="E238" s="506">
        <f t="shared" si="507"/>
        <v>400</v>
      </c>
      <c r="F238" s="506">
        <v>250</v>
      </c>
      <c r="G238" s="535">
        <f>DR238+Sheet1!CZ236</f>
        <v>134.08976298428232</v>
      </c>
      <c r="H238" s="1074">
        <f t="shared" si="563"/>
        <v>0</v>
      </c>
      <c r="I238" s="534">
        <f>IF(Sheet1!DA236&gt;=E238,(Sheet1!DA236-E238+P238)*CFStoMGD,0)</f>
        <v>0</v>
      </c>
      <c r="J238" s="995">
        <f>IF(Sheet1!DB236&gt;=D238,(Sheet1!DB236-D238+P238)*CFStoMGD,0)</f>
        <v>0</v>
      </c>
      <c r="K238" s="818">
        <f t="shared" si="538"/>
        <v>0</v>
      </c>
      <c r="L238" s="535">
        <f>Sheet1!AA236+Sheet1!AB236-Sheet1!L236+(Sheet1!DA236-F238)*CFStoMGD-S238-T238-U238</f>
        <v>99.855713952058991</v>
      </c>
      <c r="M238" s="535">
        <f t="shared" si="569"/>
        <v>88.409135248900895</v>
      </c>
      <c r="N238" s="824">
        <f>IF(Sheet1!DA236&gt;=F238,MIN(113*CFStoMGD,MIN(MAX(L238,0),MAX(M238,0))),0)</f>
        <v>73.043199999999999</v>
      </c>
      <c r="O238" s="538">
        <f>Sheet1!AA236+Sheet1!AB236</f>
        <v>80.099999999999994</v>
      </c>
      <c r="P238" s="538">
        <f t="shared" si="570"/>
        <v>123.91469999999998</v>
      </c>
      <c r="Q238" s="812">
        <f t="shared" si="539"/>
        <v>53.314913952059001</v>
      </c>
      <c r="R238" s="812">
        <f t="shared" si="508"/>
        <v>29</v>
      </c>
      <c r="S238" s="812">
        <f t="shared" si="509"/>
        <v>0</v>
      </c>
      <c r="T238" s="812">
        <f t="shared" si="510"/>
        <v>0</v>
      </c>
      <c r="U238" s="812">
        <f>IF(AND(B238&gt;=FV238,B238&lt;=FW238),ED238+Sheet1!EH236,0)</f>
        <v>26.78508604794099</v>
      </c>
      <c r="V238" s="812"/>
      <c r="W238" s="812">
        <f t="shared" si="511"/>
        <v>0</v>
      </c>
      <c r="X238" s="812">
        <f t="shared" si="512"/>
        <v>0</v>
      </c>
      <c r="Y238" s="812" t="str">
        <f t="shared" si="513"/>
        <v>FALSE</v>
      </c>
      <c r="Z238" s="812">
        <f t="shared" si="514"/>
        <v>80.099999999999994</v>
      </c>
      <c r="AA238" s="812">
        <f t="shared" si="515"/>
        <v>80.099999999999994</v>
      </c>
      <c r="AB238" s="1059">
        <f t="shared" si="540"/>
        <v>82.478171883835273</v>
      </c>
      <c r="AC238" s="538">
        <f>Sheet1!Y236*MGDtoCFS</f>
        <v>67.619370000000004</v>
      </c>
      <c r="AD238" s="538">
        <f>Sheet1!Z236*MGDtoCFS</f>
        <v>51.669799999999995</v>
      </c>
      <c r="AE238" s="538">
        <f>Sheet1!AA236*MGDtoCFS</f>
        <v>73.838309999999993</v>
      </c>
      <c r="AF238" s="538">
        <f>Sheet1!AB236*MGDtoCFS</f>
        <v>50.076389999999996</v>
      </c>
      <c r="AG238" s="538">
        <f>Sheet1!L236*MGDtoCFS</f>
        <v>0</v>
      </c>
      <c r="AH238" s="521">
        <f t="shared" si="571"/>
        <v>29.000000000000004</v>
      </c>
      <c r="AI238" s="1059">
        <f t="shared" si="572"/>
        <v>44.863000000000007</v>
      </c>
      <c r="AJ238" s="535">
        <f t="shared" si="573"/>
        <v>0</v>
      </c>
      <c r="AK238" s="535">
        <f t="shared" si="574"/>
        <v>0</v>
      </c>
      <c r="AL238" s="535">
        <f>(VLOOKUP(Sheet1!DC236,hhdcap_wcm,4)-(((VLOOKUP(Sheet1!DC236,hhdcap_wcm,3)-Sheet1!DC236)/(VLOOKUP(Sheet1!DC236,hhdcap_wcm,3)-VLOOKUP(Sheet1!DC236,hhdcap_wcm,1)))*(VLOOKUP(Sheet1!DC236,hhdcap_wcm,4)-VLOOKUP(Sheet1!DC236,hhdcap_wcm,2))))</f>
        <v>39436.200000098332</v>
      </c>
      <c r="AM238" s="535">
        <f t="shared" si="575"/>
        <v>-329.00000000216824</v>
      </c>
      <c r="AN238" s="1035">
        <f t="shared" si="576"/>
        <v>2111.7778551106526</v>
      </c>
      <c r="AO238" s="535">
        <f t="shared" si="577"/>
        <v>6478.934459479482</v>
      </c>
      <c r="AP238" s="535">
        <f>Sheet1!BA236+Sheet1!BB236+Sheet1!BN236+CD238</f>
        <v>8.6300000000000008</v>
      </c>
      <c r="AQ238" s="535">
        <f>Sheet1!BN236+(DO238*Sheet1!BN236)</f>
        <v>8.5849139520590025</v>
      </c>
      <c r="AR238" s="535">
        <f>Sheet1!BA236+CD238</f>
        <v>0</v>
      </c>
      <c r="AS238" s="535">
        <f>Sheet1!BA236+Sheet1!BB236+CD238</f>
        <v>0</v>
      </c>
      <c r="AT238" s="649">
        <f>0</f>
        <v>0</v>
      </c>
      <c r="AU238" s="974">
        <f>BA238+MAX(Sheet1!EH236,(O238-Q238-ED238-S238))</f>
        <v>3.0000000000000036</v>
      </c>
      <c r="AV238" s="535">
        <f>IF(OR(B238&gt;=GD238,B238&lt;GC238),0,15/36*K238-MAX(0,64.6-(137.6-(Sheet1!AA236+Sheet1!AB236))))</f>
        <v>0</v>
      </c>
      <c r="AW238" s="1029"/>
      <c r="AX238" s="649"/>
      <c r="AY238" s="649">
        <f t="shared" si="541"/>
        <v>0</v>
      </c>
      <c r="AZ238" s="649">
        <f t="shared" si="542"/>
        <v>0</v>
      </c>
      <c r="BA238" s="1059">
        <f t="shared" si="543"/>
        <v>0</v>
      </c>
      <c r="BB238" s="1019">
        <f t="shared" si="578"/>
        <v>1184.8333333333335</v>
      </c>
      <c r="BC238" s="1041">
        <f t="shared" si="544"/>
        <v>0</v>
      </c>
      <c r="BD238" s="1019">
        <f ca="1">IF(B238&gt;(Summary!$A$1-1),#N/A,BB238*MGtoAF)</f>
        <v>3635.068666666667</v>
      </c>
      <c r="BE238" s="535">
        <f>Sheet1!BG236+Sheet1!BH236+Sheet1!BI236-BM238</f>
        <v>5.92</v>
      </c>
      <c r="BF238" s="535">
        <f t="shared" si="579"/>
        <v>5.889071911493545</v>
      </c>
      <c r="BG238" s="535">
        <f>IF(Sheet1!EP236="FM",BM238,0)</f>
        <v>0</v>
      </c>
      <c r="BH238" s="535">
        <f t="shared" si="580"/>
        <v>0</v>
      </c>
      <c r="BI238" s="535">
        <f>IF(Sheet1!EP236="OTHER",BM238,0)</f>
        <v>0</v>
      </c>
      <c r="BJ238" s="535">
        <f t="shared" si="581"/>
        <v>0</v>
      </c>
      <c r="BK238" s="535">
        <f t="shared" si="582"/>
        <v>5.92</v>
      </c>
      <c r="BL238" s="535">
        <f t="shared" si="583"/>
        <v>5.889071911493545</v>
      </c>
      <c r="BM238" s="535">
        <f>IF(OR(Sheet1!EP236="FM", Sheet1!EP236="OTHER"),SUM(Sheet1!BG236:'Sheet1'!BI236),0)</f>
        <v>0</v>
      </c>
      <c r="BN238" s="521">
        <f>IF(AND($B238&gt;=$FV238,$B238&lt;=$FW238),MAX(BF238,Sheet1!EI236,0),MAX(BF238-(7/36)*$K238,0))</f>
        <v>7</v>
      </c>
      <c r="BO238" s="535">
        <f t="shared" si="584"/>
        <v>0</v>
      </c>
      <c r="BP238" s="521">
        <f t="shared" si="585"/>
        <v>0</v>
      </c>
      <c r="BQ238" s="521">
        <f>IF(AND($O238&gt;0,Sheet1!EM236=1),(1-($O238-Sheet1!$L236)/$O238)*BL238,0)</f>
        <v>0</v>
      </c>
      <c r="BR238" s="521">
        <f>IF(AND(Sheet1!$L236=0,Sheet1!$L235=0, Calculation!BK238&lt;Sheet1!$EI236-0.1,Sheet1!$EI236=Sheet1!$EI235,Sheet1!$EI236=Sheet1!$EI237),BL238-BQ238,BL238-BQ238)</f>
        <v>5.889071911493545</v>
      </c>
      <c r="BS238" s="1035" t="str">
        <f t="shared" si="545"/>
        <v/>
      </c>
      <c r="BT238" s="1035">
        <f t="shared" si="546"/>
        <v>0</v>
      </c>
      <c r="BU238" s="535">
        <f t="shared" si="586"/>
        <v>473.76516276241216</v>
      </c>
      <c r="BV238" s="535"/>
      <c r="BW238" s="535">
        <f ca="1">IF(B238&gt;(Summary!$A$1-1),#N/A,BU238*MGtoAF)</f>
        <v>1453.5115193550805</v>
      </c>
      <c r="BX238" s="535">
        <f>Sheet1!BC236+Sheet1!BD236+Sheet1!BE236+Sheet1!BF236-CG238-CH238</f>
        <v>5.98</v>
      </c>
      <c r="BY238" s="535">
        <f t="shared" si="587"/>
        <v>5.9487584511370608</v>
      </c>
      <c r="BZ238" s="535">
        <f>IF(Sheet1!EQ236="FM",CH238,0)</f>
        <v>0</v>
      </c>
      <c r="CA238" s="535">
        <f t="shared" si="588"/>
        <v>0</v>
      </c>
      <c r="CB238" s="535">
        <f>IF(Sheet1!EQ236="OTHER",CH238,0)</f>
        <v>0</v>
      </c>
      <c r="CC238" s="535">
        <f t="shared" si="589"/>
        <v>0</v>
      </c>
      <c r="CD238" s="535">
        <f t="shared" si="590"/>
        <v>0</v>
      </c>
      <c r="CE238" s="535">
        <f t="shared" si="591"/>
        <v>5.98</v>
      </c>
      <c r="CF238" s="535">
        <f t="shared" si="592"/>
        <v>5.9487584511370608</v>
      </c>
      <c r="CG238" s="535">
        <f>IF(Sheet1!EQ236="CWA",SUM(Sheet1!BC236:'Sheet1'!BF236),0)</f>
        <v>0</v>
      </c>
      <c r="CH238" s="535">
        <f>IF(OR(Sheet1!EQ236="FM", Sheet1!EQ236="OTHER"),SUM(Sheet1!BC236:'Sheet1'!BF236),0)</f>
        <v>0</v>
      </c>
      <c r="CI238" s="521">
        <f>IF(AND($B238&gt;=$FV238,$B238&lt;=$FW238),MAX(CF238,Sheet1!EJ236,0),MAX(CF238-(7/36)*$K238,0))</f>
        <v>7</v>
      </c>
      <c r="CJ238" s="535">
        <f t="shared" si="593"/>
        <v>0</v>
      </c>
      <c r="CK238" s="521">
        <f t="shared" si="594"/>
        <v>0</v>
      </c>
      <c r="CL238" s="521">
        <f>IF(AND($O238&gt;0,Sheet1!EN236=1),(1-($O238-Sheet1!$L236)/$O238)*CF238,0)</f>
        <v>0</v>
      </c>
      <c r="CM238" s="521">
        <f>IF(AND(Sheet1!$L236=0,Sheet1!$L235=0, Calculation!CE238&lt;Sheet1!EJ236-0.1,Sheet1!EJ236=Sheet1!EJ235,Sheet1!EJ236=Sheet1!EJ237),CF238-CL238,CF238-CL238)</f>
        <v>5.9487584511370608</v>
      </c>
      <c r="CN238" s="1040" t="str">
        <f t="shared" si="547"/>
        <v/>
      </c>
      <c r="CO238" s="1035">
        <f t="shared" si="548"/>
        <v>0</v>
      </c>
      <c r="CP238" s="535">
        <f t="shared" si="595"/>
        <v>326.3406814529767</v>
      </c>
      <c r="CQ238" s="535"/>
      <c r="CR238" s="535">
        <f ca="1">IF(B238&gt;(Summary!$A$1-1),#N/A,CP238*MGtoAF)</f>
        <v>1001.2132106977325</v>
      </c>
      <c r="CS238" s="535">
        <f>Sheet1!BK236+Sheet1!BL236+Sheet1!BM236-Sheet1!ER236-DA238</f>
        <v>12.01</v>
      </c>
      <c r="CT238" s="535">
        <f t="shared" si="596"/>
        <v>11.947255685310385</v>
      </c>
      <c r="CU238" s="535">
        <f>IF(Sheet1!ER236="FM",DA238,0)</f>
        <v>0</v>
      </c>
      <c r="CV238" s="535">
        <f t="shared" si="597"/>
        <v>0</v>
      </c>
      <c r="CW238" s="535">
        <f>IF(Sheet1!ER236="OTHER",DA238,0)</f>
        <v>0</v>
      </c>
      <c r="CX238" s="535">
        <f t="shared" si="598"/>
        <v>0</v>
      </c>
      <c r="CY238" s="535">
        <f t="shared" si="599"/>
        <v>12.01</v>
      </c>
      <c r="CZ238" s="535">
        <f t="shared" si="600"/>
        <v>11.947255685310385</v>
      </c>
      <c r="DA238" s="535">
        <f>IF(OR(Sheet1!ER236="FM", Sheet1!ER236="OTHER"),SUM(Sheet1!BK236:'Sheet1'!BM236),0)</f>
        <v>0</v>
      </c>
      <c r="DB238" s="1011">
        <f>IF(AND($B238&gt;=$FV238,$B238&lt;=$FW238),MAX($CT238,Sheet1!EK236,0),MAX($CT238-(7/36)*$K238,0))</f>
        <v>12</v>
      </c>
      <c r="DC238" s="1012">
        <f t="shared" si="601"/>
        <v>0</v>
      </c>
      <c r="DD238" s="1011">
        <f t="shared" si="602"/>
        <v>0</v>
      </c>
      <c r="DE238" s="521">
        <f>IF(AND($O238&gt;0,Sheet1!EO236=1),(1-($O238-Sheet1!$L236)/$O238)*CZ238,0)</f>
        <v>0</v>
      </c>
      <c r="DF238" s="521">
        <f>IF(AND(Sheet1!$L236=0,Sheet1!$L235=0, Calculation!CY238&lt;Sheet1!$EK236-0.1,Sheet1!$EK236=Sheet1!$EK235,Sheet1!$EK236=Sheet1!$EK237),CZ238-DE238,CZ238-DE238)</f>
        <v>11.947255685310385</v>
      </c>
      <c r="DG238" s="1040">
        <f t="shared" si="549"/>
        <v>0</v>
      </c>
      <c r="DH238" s="649">
        <f t="shared" si="603"/>
        <v>23.91</v>
      </c>
      <c r="DI238" s="535">
        <f t="shared" si="604"/>
        <v>126.83867756192996</v>
      </c>
      <c r="DJ238" s="649">
        <f t="shared" si="605"/>
        <v>23.78508604794099</v>
      </c>
      <c r="DK238" s="535">
        <f ca="1">IF(B238&gt;(Summary!$A$1-1),#N/A,DI238*MGtoAF)</f>
        <v>389.14106276000109</v>
      </c>
      <c r="DL238" s="649">
        <f t="shared" si="606"/>
        <v>23.910000000000004</v>
      </c>
      <c r="DM238" s="535">
        <f t="shared" si="607"/>
        <v>32.540000000000006</v>
      </c>
      <c r="DN238" s="535">
        <f>Sheet1!AB236-DM238</f>
        <v>-0.17000000000000881</v>
      </c>
      <c r="DO238" s="743">
        <f t="shared" si="608"/>
        <v>-5.2243392747390524E-3</v>
      </c>
      <c r="DP238" s="535">
        <f>(VLOOKUP(Sheet1!DC236,hhdcap_wcm,4)-(((VLOOKUP(Sheet1!DC236,hhdcap_wcm,3)-Sheet1!DC236)/(VLOOKUP(Sheet1!DC236,hhdcap_wcm,3)-VLOOKUP(Sheet1!DC236,hhdcap_wcm,1)))*(VLOOKUP(Sheet1!DC236,hhdcap_wcm,4)-VLOOKUP(Sheet1!DC236,hhdcap_wcm,2))))</f>
        <v>39436.200000098332</v>
      </c>
      <c r="DQ238" s="535">
        <f t="shared" si="609"/>
        <v>-329.00000000216824</v>
      </c>
      <c r="DR238" s="535">
        <f t="shared" si="610"/>
        <v>-165.91023701571768</v>
      </c>
      <c r="DS238" s="535">
        <f>Sheet1!EA236*AFtoMG</f>
        <v>0</v>
      </c>
      <c r="DT238" s="535">
        <f>Sheet1!EB236*AFtoMG</f>
        <v>0</v>
      </c>
      <c r="DU238" s="535">
        <f>Sheet1!EC236*AFtoMG</f>
        <v>0</v>
      </c>
      <c r="DV238" s="535">
        <f>Sheet1!ED236*AFtoMG</f>
        <v>0</v>
      </c>
      <c r="DW238" s="535">
        <f t="shared" si="611"/>
        <v>0</v>
      </c>
      <c r="DX238" s="535">
        <f t="shared" si="612"/>
        <v>0</v>
      </c>
      <c r="DY238" s="535">
        <f t="shared" si="613"/>
        <v>2111.7778551106526</v>
      </c>
      <c r="DZ238" s="535">
        <f t="shared" si="614"/>
        <v>6478.934459479482</v>
      </c>
      <c r="EA238" s="535"/>
      <c r="EB238" s="521">
        <f>IF(OR(B238&lt;FV238,B238&gt;FW238),(MIN(BF238+BY238+CT238+MAX(Sheet1!AA236+AQ238-73,0),K238)),0)</f>
        <v>0</v>
      </c>
      <c r="EC238" s="535"/>
      <c r="ED238" s="535">
        <f t="shared" si="615"/>
        <v>23.78508604794099</v>
      </c>
      <c r="EE238" s="535"/>
      <c r="EF238" s="535">
        <f>Sheet1!EH236+Sheet1!EI236+Sheet1!EJ236+Sheet1!EK236</f>
        <v>29</v>
      </c>
      <c r="EG238" s="1019">
        <f t="shared" si="550"/>
        <v>44.863</v>
      </c>
      <c r="EH238" s="521">
        <f t="shared" si="616"/>
        <v>0</v>
      </c>
      <c r="EI238" s="535">
        <f>IF(Sheet1!ET236=1,SUM('Calculations II'!AT238:BA238)+'Calculations II'!BC238+Sheet1!BV236+'Calculations II'!BE238+AP238,'Calculations II'!BK238)</f>
        <v>72.559237952058993</v>
      </c>
      <c r="EJ238" s="535">
        <f ca="1">EI238+'Calculations II'!D238+'Calculations II'!E238+'Calculations II'!O238</f>
        <v>69.600444457706999</v>
      </c>
      <c r="EK238" s="535"/>
      <c r="EL238" s="535"/>
      <c r="EM238" s="535">
        <f t="shared" si="617"/>
        <v>42962</v>
      </c>
      <c r="EN238" s="535">
        <f t="shared" si="618"/>
        <v>-29.000000000000004</v>
      </c>
      <c r="EO238" s="535">
        <f t="shared" si="619"/>
        <v>-44.863000000000007</v>
      </c>
      <c r="EP238" s="535">
        <v>0</v>
      </c>
      <c r="EQ238" s="535">
        <v>0</v>
      </c>
      <c r="ER238" s="535">
        <v>0</v>
      </c>
      <c r="ES238" s="521">
        <f t="shared" si="516"/>
        <v>2.3554461002664304</v>
      </c>
      <c r="ET238" s="535">
        <f>-(VLOOKUP(Sheet1!BQ236,Lookup!$O$4:$Q$262,2)-VLOOKUP(Sheet1!BQ235,Lookup!$O$4:$Q$262,2))/1000000</f>
        <v>1.2468244155520276</v>
      </c>
      <c r="EU238" s="535">
        <f>-(VLOOKUP(Sheet1!BR236,Lookup!$O$4:$Q$262,3)-VLOOKUP(Sheet1!BR235,Lookup!$O$4:$Q$262,3))/1000000</f>
        <v>1.108621684714403</v>
      </c>
      <c r="EV238" s="535"/>
      <c r="EW238" s="535"/>
      <c r="EX238" s="535"/>
      <c r="EY238" s="535"/>
      <c r="EZ238" s="535"/>
      <c r="FA238" s="535"/>
      <c r="FB238" s="535"/>
      <c r="FC238" s="535"/>
      <c r="FD238" s="567">
        <f t="shared" si="566"/>
        <v>1133.415873015799</v>
      </c>
      <c r="FE238" s="567" t="e">
        <f t="shared" si="620"/>
        <v>#N/A</v>
      </c>
      <c r="FF238" s="568" t="e">
        <f t="shared" si="621"/>
        <v>#N/A</v>
      </c>
      <c r="FG238" s="569" t="s">
        <v>656</v>
      </c>
      <c r="FH238" s="569" t="s">
        <v>656</v>
      </c>
      <c r="FI238" s="567" t="e">
        <v>#N/A</v>
      </c>
      <c r="FJ238" s="725">
        <v>18551</v>
      </c>
      <c r="FK238" s="535"/>
      <c r="FL238" s="1015">
        <f t="shared" si="565"/>
        <v>84.720121028744316</v>
      </c>
      <c r="FM238" s="535"/>
      <c r="FN238" s="535"/>
      <c r="FO238" s="535">
        <f>O238+((Sheet1!CS236)*GPMtoMGD)</f>
        <v>93.861071999999993</v>
      </c>
      <c r="FP238" s="535">
        <f>IF(Sheet1!AA236+AQ238&lt;=Calculation!N238,AQ238,Calculation!N238-Sheet1!AA236)</f>
        <v>8.5849139520590025</v>
      </c>
      <c r="FQ238" s="535">
        <f>(Sheet1!BP236+Sheet1!BO236)/694.4</f>
        <v>3.5132488479262673</v>
      </c>
      <c r="FR238" s="541"/>
      <c r="FS238" s="541"/>
      <c r="FT238" s="541"/>
      <c r="FU238" s="541"/>
      <c r="FV238" s="1109">
        <f t="shared" si="517"/>
        <v>42918</v>
      </c>
      <c r="FW238" s="1109">
        <f t="shared" si="518"/>
        <v>43027</v>
      </c>
      <c r="FX238" s="541"/>
      <c r="FY238" s="541">
        <f>Sheet1!DA236-Sheet1!CZ236-Sheet1!AE236</f>
        <v>-101.91469999999998</v>
      </c>
      <c r="FZ238" s="535">
        <f t="shared" si="551"/>
        <v>-0.76004832682078927</v>
      </c>
      <c r="GA238" s="535"/>
      <c r="GB238" s="535" t="str">
        <f t="shared" si="519"/>
        <v>n</v>
      </c>
      <c r="GC238" s="539">
        <f t="shared" si="520"/>
        <v>42782</v>
      </c>
      <c r="GD238" s="1109">
        <f t="shared" si="521"/>
        <v>42904</v>
      </c>
      <c r="GE238" s="535">
        <f t="shared" si="537"/>
        <v>6520</v>
      </c>
      <c r="GF238" s="1109">
        <f t="shared" si="522"/>
        <v>42909</v>
      </c>
      <c r="GG238" s="535">
        <f t="shared" si="564"/>
        <v>3260</v>
      </c>
      <c r="GH238" s="539">
        <f t="shared" si="523"/>
        <v>43040</v>
      </c>
      <c r="GJ238" s="521">
        <f t="shared" si="524"/>
        <v>0</v>
      </c>
      <c r="GK238" s="535" t="str">
        <f t="shared" si="622"/>
        <v/>
      </c>
      <c r="GL238" s="535">
        <f t="shared" si="525"/>
        <v>0</v>
      </c>
      <c r="GM238" s="535" t="str">
        <f t="shared" si="526"/>
        <v/>
      </c>
      <c r="GN238" s="535">
        <f>IF(GK238="P",Lookup!$M$12,IF(GK238="PP",Lookup!$M$13,IF(GK238="PPP",Lookup!$M$14,IF(GK238="T",Lookup!$M$15,IF(GK238="TP",Lookup!$M$16,IF(GK238="TPP",Lookup!$M$17,IF(GK238="TPPP",Lookup!$M$18,0)))))))*GJ238</f>
        <v>0</v>
      </c>
      <c r="GO238" s="535">
        <f t="shared" si="527"/>
        <v>0</v>
      </c>
      <c r="GP238" s="535">
        <f t="shared" si="623"/>
        <v>3635.068666666667</v>
      </c>
      <c r="GQ238" s="974">
        <f t="shared" si="567"/>
        <v>1184.8333333333335</v>
      </c>
      <c r="GR238" s="535"/>
      <c r="GS238" s="535">
        <f t="shared" si="528"/>
        <v>0</v>
      </c>
      <c r="GT238" s="535" t="str">
        <f t="shared" si="529"/>
        <v/>
      </c>
      <c r="GU238" s="535">
        <f>IF(GK238="P",Lookup!$N$12,IF(GK238="PP",Lookup!$N$13,IF(GK238="PPP",Lookup!$N$14,IF(GK238="T",Lookup!$N$15,IF(GK238="TP",Lookup!$N$16,IF(GK238="TPP",Lookup!$N$17,IF(GK238="TPPP",Lookup!$N$18,0)))))))*GJ238</f>
        <v>0</v>
      </c>
      <c r="GV238" s="535">
        <f t="shared" si="530"/>
        <v>0</v>
      </c>
      <c r="GW238" s="535">
        <f t="shared" si="624"/>
        <v>1453.5115193550805</v>
      </c>
      <c r="GX238" s="974">
        <f t="shared" si="568"/>
        <v>473.76516276241216</v>
      </c>
      <c r="GY238" s="535"/>
      <c r="GZ238" s="535">
        <f t="shared" si="531"/>
        <v>0</v>
      </c>
      <c r="HA238" s="535" t="str">
        <f t="shared" si="532"/>
        <v/>
      </c>
      <c r="HB238" s="535">
        <f>IF(GK238="P",Lookup!$N$12,IF(GK238="PP",Lookup!$N$13,IF(GK238="PPP",Lookup!$N$14,IF(GK238="T",Lookup!$N$15,IF(GK238="TP",Lookup!$N$16,IF(GK238="TPP",Lookup!$N$17,IF(GK238="TPPP",Lookup!$N$18,0)))))))*GJ238</f>
        <v>0</v>
      </c>
      <c r="HC238" s="521">
        <f t="shared" si="625"/>
        <v>0</v>
      </c>
      <c r="HD238" s="535">
        <f t="shared" si="626"/>
        <v>1001.2132106977325</v>
      </c>
      <c r="HE238" s="535">
        <f t="shared" si="535"/>
        <v>326.3406814529767</v>
      </c>
      <c r="HF238" s="535"/>
      <c r="HG238" s="535">
        <f t="shared" si="533"/>
        <v>0</v>
      </c>
      <c r="HH238" s="535" t="str">
        <f t="shared" si="534"/>
        <v/>
      </c>
      <c r="HI238" s="535">
        <f>IF(GK238="P",Lookup!$N$12,IF(GK238="PP",Lookup!$N$13,IF(GK238="PPP",Lookup!$N$14,IF(GK238="T",Lookup!$N$15,IF(GK238="TP",Lookup!$N$16,IF(GK238="TPP",Lookup!$N$17,IF(GK238="TPPP",Lookup!$N$18,0)))))))*GJ238</f>
        <v>0</v>
      </c>
      <c r="HJ238" s="521">
        <f t="shared" si="627"/>
        <v>0</v>
      </c>
      <c r="HK238" s="535">
        <f t="shared" si="628"/>
        <v>389.14106276000109</v>
      </c>
      <c r="HL238" s="535">
        <f t="shared" si="536"/>
        <v>126.83867756192996</v>
      </c>
      <c r="HM238" s="535"/>
      <c r="HN238" s="541"/>
      <c r="HO238" s="541"/>
      <c r="HP238" s="541"/>
      <c r="HQ238" s="541">
        <f>IF(AND(B238&gt;=$FV$4,B238&lt;=$FW$4),MAX(110/1.02+$HQ$6+MIN(113/1.02,G238),IF($HV$6-(Sheet1!DA236-Sheet1!DB236)+MIN(113/1.02,G238)&lt;G238+FL238,$HV$6-(Sheet1!DA236-Sheet1!DB236)+MIN(113/1.02,G238),G238+FL238)),MIN(110/1.02+$HQ$6+113/1.02,G238))</f>
        <v>218.80988401302665</v>
      </c>
      <c r="HR238" s="541">
        <f t="shared" si="552"/>
        <v>223.18608169328718</v>
      </c>
      <c r="HS238" s="541">
        <f>HR238+(Sheet1!DA236-Sheet1!DB236)</f>
        <v>362.18608169328718</v>
      </c>
      <c r="HT238" s="541">
        <f t="shared" si="553"/>
        <v>82.478171883835273</v>
      </c>
      <c r="HU238" s="541">
        <f t="shared" si="554"/>
        <v>279.70790980945191</v>
      </c>
      <c r="HV238" s="541">
        <f t="shared" si="555"/>
        <v>0</v>
      </c>
      <c r="HW238" s="533" t="str">
        <f t="shared" si="556"/>
        <v/>
      </c>
      <c r="HX238" s="541">
        <f t="shared" si="557"/>
        <v>36.327115986973354</v>
      </c>
      <c r="HY238" s="541">
        <f>Sheet1!CZ236</f>
        <v>300</v>
      </c>
      <c r="HZ238" s="541">
        <f t="shared" si="558"/>
        <v>44.863000000000007</v>
      </c>
      <c r="IA238" s="541">
        <f t="shared" si="559"/>
        <v>82.478171883835273</v>
      </c>
      <c r="IB238" s="541">
        <f t="shared" si="560"/>
        <v>255.137</v>
      </c>
      <c r="IC238" s="1019" t="str">
        <f t="shared" si="561"/>
        <v/>
      </c>
      <c r="ID238" s="541">
        <f t="shared" si="562"/>
        <v>172.65882811616473</v>
      </c>
      <c r="IE238" s="541">
        <f>Sheet1!DB236</f>
        <v>183</v>
      </c>
      <c r="IF238" s="533">
        <f>Sheet1!DA236</f>
        <v>322</v>
      </c>
      <c r="IH238" s="541">
        <f>IF(AND($B238&gt;=$GC238,$B238&lt;=$GH238,$DR238&lt;0)+N("only adjusted when pool is drawn down during storage season"),Sheet1!$DB236+$DR238+N("Palmer minus all storage release"),Sheet1!$DB236)</f>
        <v>17.089762984282316</v>
      </c>
      <c r="II238" s="541">
        <f>IF(AND($B238&gt;=$GC238,$B238&lt;=$GH238,$DR238&lt;0)+N("only adjusted when pool is drawn down during storage season"),Sheet1!$DA236+$DR238+N("Auburn minus all storage release"),Sheet1!$DA236)</f>
        <v>156.08976298428232</v>
      </c>
    </row>
    <row r="239" spans="1:243" x14ac:dyDescent="0.25">
      <c r="A239" s="553" t="s">
        <v>6</v>
      </c>
      <c r="B239" s="531">
        <v>42963</v>
      </c>
      <c r="C239" s="536">
        <v>0</v>
      </c>
      <c r="D239" s="506">
        <f t="shared" si="506"/>
        <v>200</v>
      </c>
      <c r="E239" s="506">
        <f t="shared" si="507"/>
        <v>400</v>
      </c>
      <c r="F239" s="506">
        <v>250</v>
      </c>
      <c r="G239" s="535">
        <f>DR239+Sheet1!CZ237</f>
        <v>120.67574382177645</v>
      </c>
      <c r="H239" s="1074">
        <f t="shared" si="563"/>
        <v>0</v>
      </c>
      <c r="I239" s="534">
        <f>IF(Sheet1!DA237&gt;=E239,(Sheet1!DA237-E239+P239)*CFStoMGD,0)</f>
        <v>0</v>
      </c>
      <c r="J239" s="995">
        <f>IF(Sheet1!DB237&gt;=D239,(Sheet1!DB237-D239+P239)*CFStoMGD,0)</f>
        <v>0</v>
      </c>
      <c r="K239" s="818">
        <f t="shared" si="538"/>
        <v>0</v>
      </c>
      <c r="L239" s="535">
        <f>Sheet1!AA237+Sheet1!AB237-Sheet1!L237+(Sheet1!DA237-F239)*CFStoMGD-S239-T239-U239</f>
        <v>111.93553298307063</v>
      </c>
      <c r="M239" s="535">
        <f t="shared" si="569"/>
        <v>79.564896822524233</v>
      </c>
      <c r="N239" s="824">
        <f>IF(Sheet1!DA237&gt;=F239,MIN(113*CFStoMGD,MIN(MAX(L239,0),MAX(M239,0))),0)</f>
        <v>73.043199999999999</v>
      </c>
      <c r="O239" s="538">
        <f>Sheet1!AA237+Sheet1!AB237</f>
        <v>81.78</v>
      </c>
      <c r="P239" s="538">
        <f t="shared" si="570"/>
        <v>126.51365999999999</v>
      </c>
      <c r="Q239" s="812">
        <f t="shared" si="539"/>
        <v>53.759532983070635</v>
      </c>
      <c r="R239" s="812">
        <f t="shared" si="508"/>
        <v>29</v>
      </c>
      <c r="S239" s="812">
        <f t="shared" si="509"/>
        <v>0</v>
      </c>
      <c r="T239" s="812">
        <f t="shared" si="510"/>
        <v>0</v>
      </c>
      <c r="U239" s="812">
        <f>IF(AND(B239&gt;=FV239,B239&lt;=FW239),ED239+Sheet1!EH237,0)</f>
        <v>28.020467016929366</v>
      </c>
      <c r="V239" s="812"/>
      <c r="W239" s="812">
        <f t="shared" si="511"/>
        <v>0</v>
      </c>
      <c r="X239" s="812">
        <f t="shared" si="512"/>
        <v>0</v>
      </c>
      <c r="Y239" s="812" t="str">
        <f t="shared" si="513"/>
        <v>FALSE</v>
      </c>
      <c r="Z239" s="812">
        <f t="shared" si="514"/>
        <v>81.78</v>
      </c>
      <c r="AA239" s="812">
        <f t="shared" si="515"/>
        <v>81.78</v>
      </c>
      <c r="AB239" s="1059">
        <f t="shared" si="540"/>
        <v>83.165997524810265</v>
      </c>
      <c r="AC239" s="538">
        <f>Sheet1!Y237*MGDtoCFS</f>
        <v>73.838309999999993</v>
      </c>
      <c r="AD239" s="538">
        <f>Sheet1!Z237*MGDtoCFS</f>
        <v>49.813400000000001</v>
      </c>
      <c r="AE239" s="538">
        <f>Sheet1!AA237*MGDtoCFS</f>
        <v>73.807369999999992</v>
      </c>
      <c r="AF239" s="538">
        <f>Sheet1!AB237*MGDtoCFS</f>
        <v>52.706289999999996</v>
      </c>
      <c r="AG239" s="538">
        <f>Sheet1!L237*MGDtoCFS</f>
        <v>0</v>
      </c>
      <c r="AH239" s="521">
        <f t="shared" si="571"/>
        <v>29</v>
      </c>
      <c r="AI239" s="1059">
        <f t="shared" si="572"/>
        <v>44.863</v>
      </c>
      <c r="AJ239" s="535">
        <f t="shared" si="573"/>
        <v>0</v>
      </c>
      <c r="AK239" s="535">
        <f t="shared" si="574"/>
        <v>0</v>
      </c>
      <c r="AL239" s="535">
        <f>(VLOOKUP(Sheet1!DC237,hhdcap_wcm,4)-(((VLOOKUP(Sheet1!DC237,hhdcap_wcm,3)-Sheet1!DC237)/(VLOOKUP(Sheet1!DC237,hhdcap_wcm,3)-VLOOKUP(Sheet1!DC237,hhdcap_wcm,1)))*(VLOOKUP(Sheet1!DC237,hhdcap_wcm,4)-VLOOKUP(Sheet1!DC237,hhdcap_wcm,2))))</f>
        <v>39080.600000096914</v>
      </c>
      <c r="AM239" s="535">
        <f t="shared" si="575"/>
        <v>-355.60000000141736</v>
      </c>
      <c r="AN239" s="1035">
        <f t="shared" si="576"/>
        <v>2082.7778551106526</v>
      </c>
      <c r="AO239" s="535">
        <f t="shared" si="577"/>
        <v>6389.9624594794823</v>
      </c>
      <c r="AP239" s="535">
        <f>Sheet1!BA237+Sheet1!BB237+Sheet1!BN237+CD239</f>
        <v>9.1</v>
      </c>
      <c r="AQ239" s="535">
        <f>Sheet1!BN237+(DO239*Sheet1!BN237)</f>
        <v>9.0495329830706357</v>
      </c>
      <c r="AR239" s="535">
        <f>Sheet1!BA237+CD239</f>
        <v>0</v>
      </c>
      <c r="AS239" s="535">
        <f>Sheet1!BA237+Sheet1!BB237+CD239</f>
        <v>0</v>
      </c>
      <c r="AT239" s="649">
        <f>0</f>
        <v>0</v>
      </c>
      <c r="AU239" s="974">
        <f>BA239+MAX(Sheet1!EH237,(O239-Q239-ED239-S239))</f>
        <v>3</v>
      </c>
      <c r="AV239" s="535">
        <f>IF(OR(B239&gt;=GD239,B239&lt;GC239),0,15/36*K239-MAX(0,64.6-(137.6-(Sheet1!AA237+Sheet1!AB237))))</f>
        <v>0</v>
      </c>
      <c r="AW239" s="1029"/>
      <c r="AX239" s="649"/>
      <c r="AY239" s="649">
        <f t="shared" si="541"/>
        <v>0</v>
      </c>
      <c r="AZ239" s="649">
        <f t="shared" si="542"/>
        <v>0</v>
      </c>
      <c r="BA239" s="1059">
        <f t="shared" si="543"/>
        <v>0</v>
      </c>
      <c r="BB239" s="1019">
        <f t="shared" si="578"/>
        <v>1181.8333333333335</v>
      </c>
      <c r="BC239" s="1041">
        <f t="shared" si="544"/>
        <v>0</v>
      </c>
      <c r="BD239" s="1019">
        <f ca="1">IF(B239&gt;(Summary!$A$1-1),#N/A,BB239*MGtoAF)</f>
        <v>3625.8646666666673</v>
      </c>
      <c r="BE239" s="535">
        <f>Sheet1!BG237+Sheet1!BH237+Sheet1!BI237-BM239</f>
        <v>6.9</v>
      </c>
      <c r="BF239" s="535">
        <f t="shared" si="579"/>
        <v>6.8617338003502635</v>
      </c>
      <c r="BG239" s="535">
        <f>IF(Sheet1!EP237="FM",BM239,0)</f>
        <v>0</v>
      </c>
      <c r="BH239" s="535">
        <f t="shared" si="580"/>
        <v>0</v>
      </c>
      <c r="BI239" s="535">
        <f>IF(Sheet1!EP237="OTHER",BM239,0)</f>
        <v>0</v>
      </c>
      <c r="BJ239" s="535">
        <f t="shared" si="581"/>
        <v>0</v>
      </c>
      <c r="BK239" s="535">
        <f t="shared" si="582"/>
        <v>6.9</v>
      </c>
      <c r="BL239" s="535">
        <f t="shared" si="583"/>
        <v>6.8617338003502635</v>
      </c>
      <c r="BM239" s="535">
        <f>IF(OR(Sheet1!EP237="FM", Sheet1!EP237="OTHER"),SUM(Sheet1!BG237:'Sheet1'!BI237),0)</f>
        <v>0</v>
      </c>
      <c r="BN239" s="521">
        <f>IF(AND($B239&gt;=$FV239,$B239&lt;=$FW239),MAX(BF239,Sheet1!EI237,0),MAX(BF239-(7/36)*$K239,0))</f>
        <v>7</v>
      </c>
      <c r="BO239" s="535">
        <f t="shared" si="584"/>
        <v>0</v>
      </c>
      <c r="BP239" s="521">
        <f t="shared" si="585"/>
        <v>0</v>
      </c>
      <c r="BQ239" s="521">
        <f>IF(AND($O239&gt;0,Sheet1!EM237=1),(1-($O239-Sheet1!$L237)/$O239)*BL239,0)</f>
        <v>0</v>
      </c>
      <c r="BR239" s="521">
        <f>IF(AND(Sheet1!$L237=0,Sheet1!$L236=0, Calculation!BK239&lt;Sheet1!$EI237-0.1,Sheet1!$EI237=Sheet1!$EI236,Sheet1!$EI237=Sheet1!$EI238),BL239-BQ239,BL239-BQ239)</f>
        <v>6.8617338003502635</v>
      </c>
      <c r="BS239" s="1035" t="str">
        <f t="shared" si="545"/>
        <v/>
      </c>
      <c r="BT239" s="1035">
        <f t="shared" si="546"/>
        <v>0</v>
      </c>
      <c r="BU239" s="535">
        <f t="shared" si="586"/>
        <v>466.76516276241216</v>
      </c>
      <c r="BV239" s="535"/>
      <c r="BW239" s="535">
        <f ca="1">IF(B239&gt;(Summary!$A$1-1),#N/A,BU239*MGtoAF)</f>
        <v>1432.0355193550806</v>
      </c>
      <c r="BX239" s="535">
        <f>Sheet1!BC237+Sheet1!BD237+Sheet1!BE237+Sheet1!BF237-CG239-CH239</f>
        <v>6.27</v>
      </c>
      <c r="BY239" s="535">
        <f t="shared" si="587"/>
        <v>6.2352276707530647</v>
      </c>
      <c r="BZ239" s="535">
        <f>IF(Sheet1!EQ237="FM",CH239,0)</f>
        <v>0</v>
      </c>
      <c r="CA239" s="535">
        <f t="shared" si="588"/>
        <v>0</v>
      </c>
      <c r="CB239" s="535">
        <f>IF(Sheet1!EQ237="OTHER",CH239,0)</f>
        <v>0</v>
      </c>
      <c r="CC239" s="535">
        <f t="shared" si="589"/>
        <v>0</v>
      </c>
      <c r="CD239" s="535">
        <f t="shared" si="590"/>
        <v>0</v>
      </c>
      <c r="CE239" s="535">
        <f t="shared" si="591"/>
        <v>6.27</v>
      </c>
      <c r="CF239" s="535">
        <f t="shared" si="592"/>
        <v>6.2352276707530647</v>
      </c>
      <c r="CG239" s="535">
        <f>IF(Sheet1!EQ237="CWA",SUM(Sheet1!BC237:'Sheet1'!BF237),0)</f>
        <v>0</v>
      </c>
      <c r="CH239" s="535">
        <f>IF(OR(Sheet1!EQ237="FM", Sheet1!EQ237="OTHER"),SUM(Sheet1!BC237:'Sheet1'!BF237),0)</f>
        <v>0</v>
      </c>
      <c r="CI239" s="521">
        <f>IF(AND($B239&gt;=$FV239,$B239&lt;=$FW239),MAX(CF239,Sheet1!EJ237,0),MAX(CF239-(7/36)*$K239,0))</f>
        <v>7</v>
      </c>
      <c r="CJ239" s="535">
        <f t="shared" si="593"/>
        <v>0</v>
      </c>
      <c r="CK239" s="521">
        <f t="shared" si="594"/>
        <v>0</v>
      </c>
      <c r="CL239" s="521">
        <f>IF(AND($O239&gt;0,Sheet1!EN237=1),(1-($O239-Sheet1!$L237)/$O239)*CF239,0)</f>
        <v>0</v>
      </c>
      <c r="CM239" s="521">
        <f>IF(AND(Sheet1!$L237=0,Sheet1!$L236=0, Calculation!CE239&lt;Sheet1!EJ237-0.1,Sheet1!EJ237=Sheet1!EJ236,Sheet1!EJ237=Sheet1!EJ238),CF239-CL239,CF239-CL239)</f>
        <v>6.2352276707530647</v>
      </c>
      <c r="CN239" s="1040" t="str">
        <f t="shared" si="547"/>
        <v/>
      </c>
      <c r="CO239" s="1035">
        <f t="shared" si="548"/>
        <v>0</v>
      </c>
      <c r="CP239" s="535">
        <f t="shared" si="595"/>
        <v>319.3406814529767</v>
      </c>
      <c r="CQ239" s="535"/>
      <c r="CR239" s="535">
        <f ca="1">IF(B239&gt;(Summary!$A$1-1),#N/A,CP239*MGtoAF)</f>
        <v>979.73721069773251</v>
      </c>
      <c r="CS239" s="535">
        <f>Sheet1!BK237+Sheet1!BL237+Sheet1!BM237-Sheet1!ER237-DA239</f>
        <v>11.99</v>
      </c>
      <c r="CT239" s="535">
        <f t="shared" si="596"/>
        <v>11.923505545826037</v>
      </c>
      <c r="CU239" s="535">
        <f>IF(Sheet1!ER237="FM",DA239,0)</f>
        <v>0</v>
      </c>
      <c r="CV239" s="535">
        <f t="shared" si="597"/>
        <v>0</v>
      </c>
      <c r="CW239" s="535">
        <f>IF(Sheet1!ER237="OTHER",DA239,0)</f>
        <v>0</v>
      </c>
      <c r="CX239" s="535">
        <f t="shared" si="598"/>
        <v>0</v>
      </c>
      <c r="CY239" s="535">
        <f t="shared" si="599"/>
        <v>11.99</v>
      </c>
      <c r="CZ239" s="535">
        <f t="shared" si="600"/>
        <v>11.923505545826037</v>
      </c>
      <c r="DA239" s="535">
        <f>IF(OR(Sheet1!ER237="FM", Sheet1!ER237="OTHER"),SUM(Sheet1!BK237:'Sheet1'!BM237),0)</f>
        <v>0</v>
      </c>
      <c r="DB239" s="1011">
        <f>IF(AND($B239&gt;=$FV239,$B239&lt;=$FW239),MAX($CT239,Sheet1!EK237,0),MAX($CT239-(7/36)*$K239,0))</f>
        <v>12</v>
      </c>
      <c r="DC239" s="1012">
        <f t="shared" si="601"/>
        <v>0</v>
      </c>
      <c r="DD239" s="1011">
        <f t="shared" si="602"/>
        <v>0</v>
      </c>
      <c r="DE239" s="521">
        <f>IF(AND($O239&gt;0,Sheet1!EO237=1),(1-($O239-Sheet1!$L237)/$O239)*CZ239,0)</f>
        <v>0</v>
      </c>
      <c r="DF239" s="521">
        <f>IF(AND(Sheet1!$L237=0,Sheet1!$L236=0, Calculation!CY239&lt;Sheet1!$EK237-0.1,Sheet1!$EK237=Sheet1!$EK236,Sheet1!$EK237=Sheet1!$EK238),CZ239-DE239,CZ239-DE239)</f>
        <v>11.923505545826037</v>
      </c>
      <c r="DG239" s="1040">
        <f t="shared" si="549"/>
        <v>0</v>
      </c>
      <c r="DH239" s="649">
        <f t="shared" si="603"/>
        <v>25.16</v>
      </c>
      <c r="DI239" s="535">
        <f t="shared" si="604"/>
        <v>114.83867756192996</v>
      </c>
      <c r="DJ239" s="649">
        <f t="shared" si="605"/>
        <v>25.020467016929366</v>
      </c>
      <c r="DK239" s="535">
        <f ca="1">IF(B239&gt;(Summary!$A$1-1),#N/A,DI239*MGtoAF)</f>
        <v>352.32506276000112</v>
      </c>
      <c r="DL239" s="649">
        <f t="shared" si="606"/>
        <v>25.159999999999997</v>
      </c>
      <c r="DM239" s="535">
        <f t="shared" si="607"/>
        <v>34.26</v>
      </c>
      <c r="DN239" s="535">
        <f>Sheet1!AB237-DM239</f>
        <v>-0.18999999999999773</v>
      </c>
      <c r="DO239" s="743">
        <f t="shared" si="608"/>
        <v>-5.5458260361937461E-3</v>
      </c>
      <c r="DP239" s="535">
        <f>(VLOOKUP(Sheet1!DC237,hhdcap_wcm,4)-(((VLOOKUP(Sheet1!DC237,hhdcap_wcm,3)-Sheet1!DC237)/(VLOOKUP(Sheet1!DC237,hhdcap_wcm,3)-VLOOKUP(Sheet1!DC237,hhdcap_wcm,1)))*(VLOOKUP(Sheet1!DC237,hhdcap_wcm,4)-VLOOKUP(Sheet1!DC237,hhdcap_wcm,2))))</f>
        <v>39080.600000096914</v>
      </c>
      <c r="DQ239" s="535">
        <f t="shared" si="609"/>
        <v>-355.60000000141736</v>
      </c>
      <c r="DR239" s="535">
        <f t="shared" si="610"/>
        <v>-179.32425617822355</v>
      </c>
      <c r="DS239" s="535">
        <f>Sheet1!EA237*AFtoMG</f>
        <v>0</v>
      </c>
      <c r="DT239" s="535">
        <f>Sheet1!EB237*AFtoMG</f>
        <v>0</v>
      </c>
      <c r="DU239" s="535">
        <f>Sheet1!EC237*AFtoMG</f>
        <v>0</v>
      </c>
      <c r="DV239" s="535">
        <f>Sheet1!ED237*AFtoMG</f>
        <v>0</v>
      </c>
      <c r="DW239" s="535">
        <f t="shared" si="611"/>
        <v>0</v>
      </c>
      <c r="DX239" s="535">
        <f t="shared" si="612"/>
        <v>0</v>
      </c>
      <c r="DY239" s="535">
        <f t="shared" si="613"/>
        <v>2082.7778551106526</v>
      </c>
      <c r="DZ239" s="535">
        <f t="shared" si="614"/>
        <v>6389.9624594794823</v>
      </c>
      <c r="EA239" s="535"/>
      <c r="EB239" s="521">
        <f>IF(OR(B239&lt;FV239,B239&gt;FW239),(MIN(BF239+BY239+CT239+MAX(Sheet1!AA237+AQ239-73,0),K239)),0)</f>
        <v>0</v>
      </c>
      <c r="EC239" s="535"/>
      <c r="ED239" s="535">
        <f t="shared" si="615"/>
        <v>25.020467016929366</v>
      </c>
      <c r="EE239" s="535"/>
      <c r="EF239" s="535">
        <f>Sheet1!EH237+Sheet1!EI237+Sheet1!EJ237+Sheet1!EK237</f>
        <v>29</v>
      </c>
      <c r="EG239" s="1019">
        <f t="shared" si="550"/>
        <v>44.863</v>
      </c>
      <c r="EH239" s="521">
        <f t="shared" si="616"/>
        <v>0</v>
      </c>
      <c r="EI239" s="535">
        <f>IF(Sheet1!ET237=1,SUM('Calculations II'!AT239:BA239)+'Calculations II'!BC239+Sheet1!BV237+'Calculations II'!BE239+AP239,'Calculations II'!BK239)</f>
        <v>75.531150983070631</v>
      </c>
      <c r="EJ239" s="535">
        <f ca="1">EI239+'Calculations II'!D239+'Calculations II'!E239+'Calculations II'!O239</f>
        <v>70.508781968707964</v>
      </c>
      <c r="EK239" s="535"/>
      <c r="EL239" s="535"/>
      <c r="EM239" s="535">
        <f t="shared" si="617"/>
        <v>42963</v>
      </c>
      <c r="EN239" s="535">
        <f t="shared" si="618"/>
        <v>-29</v>
      </c>
      <c r="EO239" s="535">
        <f t="shared" si="619"/>
        <v>-44.863</v>
      </c>
      <c r="EP239" s="535">
        <v>0</v>
      </c>
      <c r="EQ239" s="535">
        <v>0</v>
      </c>
      <c r="ER239" s="535">
        <v>0</v>
      </c>
      <c r="ES239" s="521">
        <f t="shared" si="516"/>
        <v>4.292899925743658</v>
      </c>
      <c r="ET239" s="535">
        <f>-(VLOOKUP(Sheet1!BQ237,Lookup!$O$4:$Q$262,2)-VLOOKUP(Sheet1!BQ236,Lookup!$O$4:$Q$262,2))/1000000</f>
        <v>2.0768871652252265</v>
      </c>
      <c r="EU239" s="535">
        <f>-(VLOOKUP(Sheet1!BR237,Lookup!$O$4:$Q$262,3)-VLOOKUP(Sheet1!BR236,Lookup!$O$4:$Q$262,3))/1000000</f>
        <v>2.2160127605184319</v>
      </c>
      <c r="EV239" s="535"/>
      <c r="EW239" s="535"/>
      <c r="EX239" s="535"/>
      <c r="EY239" s="535"/>
      <c r="EZ239" s="535"/>
      <c r="FA239" s="535"/>
      <c r="FB239" s="535"/>
      <c r="FC239" s="535"/>
      <c r="FD239" s="567">
        <f t="shared" si="566"/>
        <v>1133.1507936507198</v>
      </c>
      <c r="FE239" s="567" t="e">
        <f t="shared" si="620"/>
        <v>#N/A</v>
      </c>
      <c r="FF239" s="568" t="e">
        <f t="shared" si="621"/>
        <v>#N/A</v>
      </c>
      <c r="FG239" s="569" t="s">
        <v>656</v>
      </c>
      <c r="FH239" s="569" t="s">
        <v>656</v>
      </c>
      <c r="FI239" s="567" t="e">
        <v>#N/A</v>
      </c>
      <c r="FJ239" s="725">
        <v>18383</v>
      </c>
      <c r="FK239" s="535"/>
      <c r="FL239" s="1015">
        <f t="shared" si="565"/>
        <v>84.215834594049412</v>
      </c>
      <c r="FM239" s="535"/>
      <c r="FN239" s="535"/>
      <c r="FO239" s="535">
        <f>O239+((Sheet1!CS237)*GPMtoMGD)</f>
        <v>95.50752</v>
      </c>
      <c r="FP239" s="535">
        <f>IF(Sheet1!AA237+AQ239&lt;=Calculation!N239,AQ239,Calculation!N239-Sheet1!AA237)</f>
        <v>9.0495329830706357</v>
      </c>
      <c r="FQ239" s="535">
        <f>(Sheet1!BP237+Sheet1!BO237)/694.4</f>
        <v>3.7404953917050685</v>
      </c>
      <c r="FR239" s="541"/>
      <c r="FS239" s="541"/>
      <c r="FT239" s="541"/>
      <c r="FU239" s="541"/>
      <c r="FV239" s="1109">
        <f t="shared" si="517"/>
        <v>42918</v>
      </c>
      <c r="FW239" s="1109">
        <f t="shared" si="518"/>
        <v>43027</v>
      </c>
      <c r="FX239" s="541"/>
      <c r="FY239" s="541">
        <f>Sheet1!DA237-Sheet1!CZ237-Sheet1!AE237</f>
        <v>-86.513660000000002</v>
      </c>
      <c r="FZ239" s="535">
        <f t="shared" si="551"/>
        <v>-0.71691010355627283</v>
      </c>
      <c r="GA239" s="535"/>
      <c r="GB239" s="535" t="str">
        <f t="shared" si="519"/>
        <v>n</v>
      </c>
      <c r="GC239" s="539">
        <f t="shared" si="520"/>
        <v>42782</v>
      </c>
      <c r="GD239" s="1109">
        <f t="shared" si="521"/>
        <v>42904</v>
      </c>
      <c r="GE239" s="535">
        <f t="shared" si="537"/>
        <v>6520</v>
      </c>
      <c r="GF239" s="1109">
        <f t="shared" si="522"/>
        <v>42909</v>
      </c>
      <c r="GG239" s="535">
        <f t="shared" si="564"/>
        <v>3260</v>
      </c>
      <c r="GH239" s="539">
        <f t="shared" si="523"/>
        <v>43040</v>
      </c>
      <c r="GJ239" s="521">
        <f t="shared" si="524"/>
        <v>0</v>
      </c>
      <c r="GK239" s="535" t="str">
        <f t="shared" si="622"/>
        <v/>
      </c>
      <c r="GL239" s="535">
        <f t="shared" si="525"/>
        <v>0</v>
      </c>
      <c r="GM239" s="535" t="str">
        <f t="shared" si="526"/>
        <v/>
      </c>
      <c r="GN239" s="535">
        <f>IF(GK239="P",Lookup!$M$12,IF(GK239="PP",Lookup!$M$13,IF(GK239="PPP",Lookup!$M$14,IF(GK239="T",Lookup!$M$15,IF(GK239="TP",Lookup!$M$16,IF(GK239="TPP",Lookup!$M$17,IF(GK239="TPPP",Lookup!$M$18,0)))))))*GJ239</f>
        <v>0</v>
      </c>
      <c r="GO239" s="535">
        <f t="shared" si="527"/>
        <v>0</v>
      </c>
      <c r="GP239" s="535">
        <f t="shared" si="623"/>
        <v>3625.8646666666673</v>
      </c>
      <c r="GQ239" s="974">
        <f t="shared" si="567"/>
        <v>1181.8333333333335</v>
      </c>
      <c r="GR239" s="535"/>
      <c r="GS239" s="535">
        <f t="shared" si="528"/>
        <v>0</v>
      </c>
      <c r="GT239" s="535" t="str">
        <f t="shared" si="529"/>
        <v/>
      </c>
      <c r="GU239" s="535">
        <f>IF(GK239="P",Lookup!$N$12,IF(GK239="PP",Lookup!$N$13,IF(GK239="PPP",Lookup!$N$14,IF(GK239="T",Lookup!$N$15,IF(GK239="TP",Lookup!$N$16,IF(GK239="TPP",Lookup!$N$17,IF(GK239="TPPP",Lookup!$N$18,0)))))))*GJ239</f>
        <v>0</v>
      </c>
      <c r="GV239" s="535">
        <f t="shared" si="530"/>
        <v>0</v>
      </c>
      <c r="GW239" s="535">
        <f t="shared" si="624"/>
        <v>1432.0355193550806</v>
      </c>
      <c r="GX239" s="974">
        <f t="shared" si="568"/>
        <v>466.76516276241216</v>
      </c>
      <c r="GY239" s="535"/>
      <c r="GZ239" s="535">
        <f t="shared" si="531"/>
        <v>0</v>
      </c>
      <c r="HA239" s="535" t="str">
        <f t="shared" si="532"/>
        <v/>
      </c>
      <c r="HB239" s="535">
        <f>IF(GK239="P",Lookup!$N$12,IF(GK239="PP",Lookup!$N$13,IF(GK239="PPP",Lookup!$N$14,IF(GK239="T",Lookup!$N$15,IF(GK239="TP",Lookup!$N$16,IF(GK239="TPP",Lookup!$N$17,IF(GK239="TPPP",Lookup!$N$18,0)))))))*GJ239</f>
        <v>0</v>
      </c>
      <c r="HC239" s="521">
        <f t="shared" si="625"/>
        <v>0</v>
      </c>
      <c r="HD239" s="535">
        <f t="shared" si="626"/>
        <v>979.73721069773251</v>
      </c>
      <c r="HE239" s="535">
        <f t="shared" si="535"/>
        <v>319.3406814529767</v>
      </c>
      <c r="HF239" s="535"/>
      <c r="HG239" s="535">
        <f t="shared" si="533"/>
        <v>0</v>
      </c>
      <c r="HH239" s="535" t="str">
        <f t="shared" si="534"/>
        <v/>
      </c>
      <c r="HI239" s="535">
        <f>IF(GK239="P",Lookup!$N$12,IF(GK239="PP",Lookup!$N$13,IF(GK239="PPP",Lookup!$N$14,IF(GK239="T",Lookup!$N$15,IF(GK239="TP",Lookup!$N$16,IF(GK239="TPP",Lookup!$N$17,IF(GK239="TPPP",Lookup!$N$18,0)))))))*GJ239</f>
        <v>0</v>
      </c>
      <c r="HJ239" s="521">
        <f t="shared" si="627"/>
        <v>0</v>
      </c>
      <c r="HK239" s="535">
        <f t="shared" si="628"/>
        <v>352.32506276000112</v>
      </c>
      <c r="HL239" s="535">
        <f t="shared" si="536"/>
        <v>114.83867756192996</v>
      </c>
      <c r="HM239" s="535"/>
      <c r="HN239" s="541"/>
      <c r="HO239" s="541"/>
      <c r="HP239" s="541"/>
      <c r="HQ239" s="541">
        <f>IF(AND(B239&gt;=$FV$4,B239&lt;=$FW$4),MAX(110/1.02+$HQ$6+MIN(113/1.02,G239),IF($HV$6-(Sheet1!DA237-Sheet1!DB237)+MIN(113/1.02,G239)&lt;G239+FL239,$HV$6-(Sheet1!DA237-Sheet1!DB237)+MIN(113/1.02,G239),G239+FL239)),MIN(110/1.02+$HQ$6+113/1.02,G239))</f>
        <v>218.62745098039215</v>
      </c>
      <c r="HR239" s="541">
        <f t="shared" si="552"/>
        <v>223</v>
      </c>
      <c r="HS239" s="541">
        <f>HR239+(Sheet1!DA237-Sheet1!DB237)</f>
        <v>385</v>
      </c>
      <c r="HT239" s="541">
        <f t="shared" si="553"/>
        <v>83.165997524810265</v>
      </c>
      <c r="HU239" s="541">
        <f t="shared" si="554"/>
        <v>301.83400247518972</v>
      </c>
      <c r="HV239" s="541">
        <f t="shared" si="555"/>
        <v>0</v>
      </c>
      <c r="HW239" s="533" t="str">
        <f t="shared" si="556"/>
        <v/>
      </c>
      <c r="HX239" s="541">
        <f t="shared" si="557"/>
        <v>36.509549019607846</v>
      </c>
      <c r="HY239" s="541">
        <f>Sheet1!CZ237</f>
        <v>300</v>
      </c>
      <c r="HZ239" s="541">
        <f t="shared" si="558"/>
        <v>44.863</v>
      </c>
      <c r="IA239" s="541">
        <f t="shared" si="559"/>
        <v>83.165997524810265</v>
      </c>
      <c r="IB239" s="541">
        <f t="shared" si="560"/>
        <v>255.137</v>
      </c>
      <c r="IC239" s="1019" t="str">
        <f t="shared" si="561"/>
        <v/>
      </c>
      <c r="ID239" s="541">
        <f t="shared" si="562"/>
        <v>171.97100247518972</v>
      </c>
      <c r="IE239" s="541">
        <f>Sheet1!DB237</f>
        <v>178</v>
      </c>
      <c r="IF239" s="533">
        <f>Sheet1!DA237</f>
        <v>340</v>
      </c>
      <c r="IH239" s="541">
        <f>IF(AND($B239&gt;=$GC239,$B239&lt;=$GH239,$DR239&lt;0)+N("only adjusted when pool is drawn down during storage season"),Sheet1!$DB237+$DR239+N("Palmer minus all storage release"),Sheet1!$DB237)</f>
        <v>-1.3242561782235498</v>
      </c>
      <c r="II239" s="541">
        <f>IF(AND($B239&gt;=$GC239,$B239&lt;=$GH239,$DR239&lt;0)+N("only adjusted when pool is drawn down during storage season"),Sheet1!$DA237+$DR239+N("Auburn minus all storage release"),Sheet1!$DA237)</f>
        <v>160.67574382177645</v>
      </c>
    </row>
    <row r="240" spans="1:243" x14ac:dyDescent="0.25">
      <c r="A240" s="553" t="s">
        <v>7</v>
      </c>
      <c r="B240" s="531">
        <v>42964</v>
      </c>
      <c r="C240" s="536">
        <v>0</v>
      </c>
      <c r="D240" s="506">
        <f t="shared" si="506"/>
        <v>200</v>
      </c>
      <c r="E240" s="506">
        <f t="shared" si="507"/>
        <v>400</v>
      </c>
      <c r="F240" s="506">
        <v>250</v>
      </c>
      <c r="G240" s="535">
        <f>DR240+Sheet1!CZ238</f>
        <v>136.41603630898803</v>
      </c>
      <c r="H240" s="1074">
        <f t="shared" si="563"/>
        <v>0</v>
      </c>
      <c r="I240" s="534">
        <f>IF(Sheet1!DA238&gt;=E240,(Sheet1!DA238-E240+P240)*CFStoMGD,0)</f>
        <v>0</v>
      </c>
      <c r="J240" s="995">
        <f>IF(Sheet1!DB238&gt;=D240,(Sheet1!DB238-D240+P240)*CFStoMGD,0)</f>
        <v>0</v>
      </c>
      <c r="K240" s="818">
        <f t="shared" si="538"/>
        <v>0</v>
      </c>
      <c r="L240" s="535">
        <f>Sheet1!AA238+Sheet1!AB238-Sheet1!L238+(Sheet1!DA238-F240)*CFStoMGD-S240-T240-U240</f>
        <v>117.4938310626703</v>
      </c>
      <c r="M240" s="535">
        <f t="shared" si="569"/>
        <v>89.942912387532459</v>
      </c>
      <c r="N240" s="824">
        <f>IF(Sheet1!DA238&gt;=F240,MIN(113*CFStoMGD,MIN(MAX(L240,0),MAX(M240,0))),0)</f>
        <v>73.043199999999999</v>
      </c>
      <c r="O240" s="538">
        <f>Sheet1!AA238+Sheet1!AB238</f>
        <v>84.31</v>
      </c>
      <c r="P240" s="538">
        <f t="shared" si="570"/>
        <v>130.42757</v>
      </c>
      <c r="Q240" s="812">
        <f t="shared" si="539"/>
        <v>56.085831062670302</v>
      </c>
      <c r="R240" s="812">
        <f t="shared" si="508"/>
        <v>29</v>
      </c>
      <c r="S240" s="812">
        <f t="shared" si="509"/>
        <v>0</v>
      </c>
      <c r="T240" s="812">
        <f t="shared" si="510"/>
        <v>0</v>
      </c>
      <c r="U240" s="812">
        <f>IF(AND(B240&gt;=FV240,B240&lt;=FW240),ED240+Sheet1!EH238,0)</f>
        <v>28.224168937329701</v>
      </c>
      <c r="V240" s="812"/>
      <c r="W240" s="812">
        <f t="shared" si="511"/>
        <v>0</v>
      </c>
      <c r="X240" s="812">
        <f t="shared" si="512"/>
        <v>0</v>
      </c>
      <c r="Y240" s="812" t="str">
        <f t="shared" si="513"/>
        <v>FALSE</v>
      </c>
      <c r="Z240" s="812">
        <f t="shared" si="514"/>
        <v>84.31</v>
      </c>
      <c r="AA240" s="812">
        <f t="shared" si="515"/>
        <v>84.31</v>
      </c>
      <c r="AB240" s="1059">
        <f t="shared" si="540"/>
        <v>86.76478065395095</v>
      </c>
      <c r="AC240" s="538">
        <f>Sheet1!Y238*MGDtoCFS</f>
        <v>73.807369999999992</v>
      </c>
      <c r="AD240" s="538">
        <f>Sheet1!Z238*MGDtoCFS</f>
        <v>52.597999999999999</v>
      </c>
      <c r="AE240" s="538">
        <f>Sheet1!AA238*MGDtoCFS</f>
        <v>73.822839999999999</v>
      </c>
      <c r="AF240" s="538">
        <f>Sheet1!AB238*MGDtoCFS</f>
        <v>56.604730000000004</v>
      </c>
      <c r="AG240" s="538">
        <f>Sheet1!L238*MGDtoCFS</f>
        <v>0</v>
      </c>
      <c r="AH240" s="521">
        <f t="shared" si="571"/>
        <v>29</v>
      </c>
      <c r="AI240" s="1059">
        <f t="shared" si="572"/>
        <v>44.863</v>
      </c>
      <c r="AJ240" s="535">
        <f t="shared" si="573"/>
        <v>0</v>
      </c>
      <c r="AK240" s="535">
        <f t="shared" si="574"/>
        <v>0</v>
      </c>
      <c r="AL240" s="535">
        <f>(VLOOKUP(Sheet1!DC238,hhdcap_wcm,4)-(((VLOOKUP(Sheet1!DC238,hhdcap_wcm,3)-Sheet1!DC238)/(VLOOKUP(Sheet1!DC238,hhdcap_wcm,3)-VLOOKUP(Sheet1!DC238,hhdcap_wcm,1)))*(VLOOKUP(Sheet1!DC238,hhdcap_wcm,4)-VLOOKUP(Sheet1!DC238,hhdcap_wcm,2))))</f>
        <v>38734.400000097638</v>
      </c>
      <c r="AM240" s="535">
        <f t="shared" si="575"/>
        <v>-346.19999999927677</v>
      </c>
      <c r="AN240" s="1035">
        <f t="shared" si="576"/>
        <v>2053.7778551106526</v>
      </c>
      <c r="AO240" s="535">
        <f t="shared" si="577"/>
        <v>6300.9904594794825</v>
      </c>
      <c r="AP240" s="535">
        <f>Sheet1!BA238+Sheet1!BB238+Sheet1!BN238+CD240</f>
        <v>11.4</v>
      </c>
      <c r="AQ240" s="535">
        <f>Sheet1!BN238+(DO240*Sheet1!BN238)</f>
        <v>11.365831062670301</v>
      </c>
      <c r="AR240" s="535">
        <f>Sheet1!BA238+CD240</f>
        <v>0</v>
      </c>
      <c r="AS240" s="535">
        <f>Sheet1!BA238+Sheet1!BB238+CD240</f>
        <v>0</v>
      </c>
      <c r="AT240" s="649">
        <f>0</f>
        <v>0</v>
      </c>
      <c r="AU240" s="974">
        <f>BA240+MAX(Sheet1!EH238,(O240-Q240-ED240-S240))</f>
        <v>3</v>
      </c>
      <c r="AV240" s="535">
        <f>IF(OR(B240&gt;=GD240,B240&lt;GC240),0,15/36*K240-MAX(0,64.6-(137.6-(Sheet1!AA238+Sheet1!AB238))))</f>
        <v>0</v>
      </c>
      <c r="AW240" s="1029"/>
      <c r="AX240" s="649"/>
      <c r="AY240" s="649">
        <f t="shared" si="541"/>
        <v>0</v>
      </c>
      <c r="AZ240" s="649">
        <f t="shared" si="542"/>
        <v>0</v>
      </c>
      <c r="BA240" s="1059">
        <f t="shared" si="543"/>
        <v>0</v>
      </c>
      <c r="BB240" s="1019">
        <f t="shared" si="578"/>
        <v>1178.8333333333335</v>
      </c>
      <c r="BC240" s="1041">
        <f t="shared" si="544"/>
        <v>0</v>
      </c>
      <c r="BD240" s="1019">
        <f ca="1">IF(B240&gt;(Summary!$A$1-1),#N/A,BB240*MGtoAF)</f>
        <v>3616.6606666666671</v>
      </c>
      <c r="BE240" s="535">
        <f>Sheet1!BG238+Sheet1!BH238+Sheet1!BI238-BM240</f>
        <v>6.91</v>
      </c>
      <c r="BF240" s="535">
        <f t="shared" si="579"/>
        <v>6.8892888283378753</v>
      </c>
      <c r="BG240" s="535">
        <f>IF(Sheet1!EP238="FM",BM240,0)</f>
        <v>0</v>
      </c>
      <c r="BH240" s="535">
        <f t="shared" si="580"/>
        <v>0</v>
      </c>
      <c r="BI240" s="535">
        <f>IF(Sheet1!EP238="OTHER",BM240,0)</f>
        <v>0</v>
      </c>
      <c r="BJ240" s="535">
        <f t="shared" si="581"/>
        <v>0</v>
      </c>
      <c r="BK240" s="535">
        <f t="shared" si="582"/>
        <v>6.91</v>
      </c>
      <c r="BL240" s="535">
        <f t="shared" si="583"/>
        <v>6.8892888283378753</v>
      </c>
      <c r="BM240" s="535">
        <f>IF(OR(Sheet1!EP238="FM", Sheet1!EP238="OTHER"),SUM(Sheet1!BG238:'Sheet1'!BI238),0)</f>
        <v>0</v>
      </c>
      <c r="BN240" s="521">
        <f>IF(AND($B240&gt;=$FV240,$B240&lt;=$FW240),MAX(BF240,Sheet1!EI238,0),MAX(BF240-(7/36)*$K240,0))</f>
        <v>7</v>
      </c>
      <c r="BO240" s="535">
        <f t="shared" si="584"/>
        <v>0</v>
      </c>
      <c r="BP240" s="521">
        <f t="shared" si="585"/>
        <v>0</v>
      </c>
      <c r="BQ240" s="521">
        <f>IF(AND($O240&gt;0,Sheet1!EM238=1),(1-($O240-Sheet1!$L238)/$O240)*BL240,0)</f>
        <v>0</v>
      </c>
      <c r="BR240" s="521">
        <f>IF(AND(Sheet1!$L238=0,Sheet1!$L237=0, Calculation!BK240&lt;Sheet1!$EI238-0.1,Sheet1!$EI238=Sheet1!$EI237,Sheet1!$EI238=Sheet1!$EI239),BL240-BQ240,BL240-BQ240)</f>
        <v>6.8892888283378753</v>
      </c>
      <c r="BS240" s="1035" t="str">
        <f t="shared" si="545"/>
        <v/>
      </c>
      <c r="BT240" s="1035">
        <f t="shared" si="546"/>
        <v>0</v>
      </c>
      <c r="BU240" s="535">
        <f t="shared" si="586"/>
        <v>459.76516276241216</v>
      </c>
      <c r="BV240" s="535"/>
      <c r="BW240" s="535">
        <f ca="1">IF(B240&gt;(Summary!$A$1-1),#N/A,BU240*MGtoAF)</f>
        <v>1410.5595193550805</v>
      </c>
      <c r="BX240" s="535">
        <f>Sheet1!BC238+Sheet1!BD238+Sheet1!BE238+Sheet1!BF238-CG240-CH240</f>
        <v>6.43</v>
      </c>
      <c r="BY240" s="535">
        <f t="shared" si="587"/>
        <v>6.4107275204359668</v>
      </c>
      <c r="BZ240" s="535">
        <f>IF(Sheet1!EQ238="FM",CH240,0)</f>
        <v>0</v>
      </c>
      <c r="CA240" s="535">
        <f t="shared" si="588"/>
        <v>0</v>
      </c>
      <c r="CB240" s="535">
        <f>IF(Sheet1!EQ238="OTHER",CH240,0)</f>
        <v>0</v>
      </c>
      <c r="CC240" s="535">
        <f t="shared" si="589"/>
        <v>0</v>
      </c>
      <c r="CD240" s="535">
        <f t="shared" si="590"/>
        <v>0</v>
      </c>
      <c r="CE240" s="535">
        <f t="shared" si="591"/>
        <v>6.43</v>
      </c>
      <c r="CF240" s="535">
        <f t="shared" si="592"/>
        <v>6.4107275204359668</v>
      </c>
      <c r="CG240" s="535">
        <f>IF(Sheet1!EQ238="CWA",SUM(Sheet1!BC238:'Sheet1'!BF238),0)</f>
        <v>0</v>
      </c>
      <c r="CH240" s="535">
        <f>IF(OR(Sheet1!EQ238="FM", Sheet1!EQ238="OTHER"),SUM(Sheet1!BC238:'Sheet1'!BF238),0)</f>
        <v>0</v>
      </c>
      <c r="CI240" s="521">
        <f>IF(AND($B240&gt;=$FV240,$B240&lt;=$FW240),MAX(CF240,Sheet1!EJ238,0),MAX(CF240-(7/36)*$K240,0))</f>
        <v>7</v>
      </c>
      <c r="CJ240" s="535">
        <f t="shared" si="593"/>
        <v>0</v>
      </c>
      <c r="CK240" s="521">
        <f t="shared" si="594"/>
        <v>0</v>
      </c>
      <c r="CL240" s="521">
        <f>IF(AND($O240&gt;0,Sheet1!EN238=1),(1-($O240-Sheet1!$L238)/$O240)*CF240,0)</f>
        <v>0</v>
      </c>
      <c r="CM240" s="521">
        <f>IF(AND(Sheet1!$L238=0,Sheet1!$L237=0, Calculation!CE240&lt;Sheet1!EJ238-0.1,Sheet1!EJ238=Sheet1!EJ237,Sheet1!EJ238=Sheet1!EJ239),CF240-CL240,CF240-CL240)</f>
        <v>6.4107275204359668</v>
      </c>
      <c r="CN240" s="1040" t="str">
        <f t="shared" si="547"/>
        <v/>
      </c>
      <c r="CO240" s="1035">
        <f t="shared" si="548"/>
        <v>0</v>
      </c>
      <c r="CP240" s="535">
        <f t="shared" si="595"/>
        <v>312.3406814529767</v>
      </c>
      <c r="CQ240" s="535"/>
      <c r="CR240" s="535">
        <f ca="1">IF(B240&gt;(Summary!$A$1-1),#N/A,CP240*MGtoAF)</f>
        <v>958.26121069773251</v>
      </c>
      <c r="CS240" s="535">
        <f>Sheet1!BK238+Sheet1!BL238+Sheet1!BM238-Sheet1!ER238-DA240</f>
        <v>11.96</v>
      </c>
      <c r="CT240" s="535">
        <f t="shared" si="596"/>
        <v>11.924152588555859</v>
      </c>
      <c r="CU240" s="535">
        <f>IF(Sheet1!ER238="FM",DA240,0)</f>
        <v>0</v>
      </c>
      <c r="CV240" s="535">
        <f t="shared" si="597"/>
        <v>0</v>
      </c>
      <c r="CW240" s="535">
        <f>IF(Sheet1!ER238="OTHER",DA240,0)</f>
        <v>0</v>
      </c>
      <c r="CX240" s="535">
        <f t="shared" si="598"/>
        <v>0</v>
      </c>
      <c r="CY240" s="535">
        <f t="shared" si="599"/>
        <v>11.96</v>
      </c>
      <c r="CZ240" s="535">
        <f t="shared" si="600"/>
        <v>11.924152588555859</v>
      </c>
      <c r="DA240" s="535">
        <f>IF(OR(Sheet1!ER238="FM", Sheet1!ER238="OTHER"),SUM(Sheet1!BK238:'Sheet1'!BM238),0)</f>
        <v>0</v>
      </c>
      <c r="DB240" s="1011">
        <f>IF(AND($B240&gt;=$FV240,$B240&lt;=$FW240),MAX($CT240,Sheet1!EK238,0),MAX($CT240-(7/36)*$K240,0))</f>
        <v>12</v>
      </c>
      <c r="DC240" s="1012">
        <f t="shared" si="601"/>
        <v>0</v>
      </c>
      <c r="DD240" s="1011">
        <f t="shared" si="602"/>
        <v>0</v>
      </c>
      <c r="DE240" s="521">
        <f>IF(AND($O240&gt;0,Sheet1!EO238=1),(1-($O240-Sheet1!$L238)/$O240)*CZ240,0)</f>
        <v>0</v>
      </c>
      <c r="DF240" s="521">
        <f>IF(AND(Sheet1!$L238=0,Sheet1!$L237=0, Calculation!CY240&lt;Sheet1!$EK238-0.1,Sheet1!$EK238=Sheet1!$EK237,Sheet1!$EK238=Sheet1!$EK239),CZ240-DE240,CZ240-DE240)</f>
        <v>11.924152588555859</v>
      </c>
      <c r="DG240" s="1040">
        <f t="shared" si="549"/>
        <v>0</v>
      </c>
      <c r="DH240" s="649">
        <f t="shared" si="603"/>
        <v>25.3</v>
      </c>
      <c r="DI240" s="535">
        <f t="shared" si="604"/>
        <v>102.83867756192996</v>
      </c>
      <c r="DJ240" s="649">
        <f t="shared" si="605"/>
        <v>25.224168937329701</v>
      </c>
      <c r="DK240" s="535">
        <f ca="1">IF(B240&gt;(Summary!$A$1-1),#N/A,DI240*MGtoAF)</f>
        <v>315.50906276000109</v>
      </c>
      <c r="DL240" s="649">
        <f t="shared" si="606"/>
        <v>25.3</v>
      </c>
      <c r="DM240" s="535">
        <f t="shared" si="607"/>
        <v>36.700000000000003</v>
      </c>
      <c r="DN240" s="535">
        <f>Sheet1!AB238-DM240</f>
        <v>-0.10999999999999943</v>
      </c>
      <c r="DO240" s="743">
        <f t="shared" si="608"/>
        <v>-2.9972752043596574E-3</v>
      </c>
      <c r="DP240" s="535">
        <f>(VLOOKUP(Sheet1!DC238,hhdcap_wcm,4)-(((VLOOKUP(Sheet1!DC238,hhdcap_wcm,3)-Sheet1!DC238)/(VLOOKUP(Sheet1!DC238,hhdcap_wcm,3)-VLOOKUP(Sheet1!DC238,hhdcap_wcm,1)))*(VLOOKUP(Sheet1!DC238,hhdcap_wcm,4)-VLOOKUP(Sheet1!DC238,hhdcap_wcm,2))))</f>
        <v>38734.400000097638</v>
      </c>
      <c r="DQ240" s="535">
        <f t="shared" si="609"/>
        <v>-346.19999999927677</v>
      </c>
      <c r="DR240" s="535">
        <f t="shared" si="610"/>
        <v>-174.58396369101197</v>
      </c>
      <c r="DS240" s="535">
        <f>Sheet1!EA238*AFtoMG</f>
        <v>0</v>
      </c>
      <c r="DT240" s="535">
        <f>Sheet1!EB238*AFtoMG</f>
        <v>0</v>
      </c>
      <c r="DU240" s="535">
        <f>Sheet1!EC238*AFtoMG</f>
        <v>0</v>
      </c>
      <c r="DV240" s="535">
        <f>Sheet1!ED238*AFtoMG</f>
        <v>0</v>
      </c>
      <c r="DW240" s="535">
        <f t="shared" si="611"/>
        <v>0</v>
      </c>
      <c r="DX240" s="535">
        <f t="shared" si="612"/>
        <v>0</v>
      </c>
      <c r="DY240" s="535">
        <f t="shared" si="613"/>
        <v>2053.7778551106526</v>
      </c>
      <c r="DZ240" s="535">
        <f t="shared" si="614"/>
        <v>6300.9904594794825</v>
      </c>
      <c r="EA240" s="535"/>
      <c r="EB240" s="521">
        <f>IF(OR(B240&lt;FV240,B240&gt;FW240),(MIN(BF240+BY240+CT240+MAX(Sheet1!AA238+AQ240-73,0),K240)),0)</f>
        <v>0</v>
      </c>
      <c r="EC240" s="535"/>
      <c r="ED240" s="535">
        <f t="shared" si="615"/>
        <v>25.224168937329701</v>
      </c>
      <c r="EE240" s="535"/>
      <c r="EF240" s="535">
        <f>Sheet1!EH238+Sheet1!EI238+Sheet1!EJ238+Sheet1!EK238</f>
        <v>29</v>
      </c>
      <c r="EG240" s="1019">
        <f t="shared" si="550"/>
        <v>44.863</v>
      </c>
      <c r="EH240" s="521">
        <f t="shared" si="616"/>
        <v>0</v>
      </c>
      <c r="EI240" s="535">
        <f>IF(Sheet1!ET238=1,SUM('Calculations II'!AT240:BA240)+'Calculations II'!BC240+Sheet1!BV238+'Calculations II'!BE240+AP240,'Calculations II'!BK240)</f>
        <v>70.775081062670296</v>
      </c>
      <c r="EJ240" s="535">
        <f ca="1">EI240+'Calculations II'!D240+'Calculations II'!E240+'Calculations II'!O240</f>
        <v>73.944901258892671</v>
      </c>
      <c r="EK240" s="535"/>
      <c r="EL240" s="535"/>
      <c r="EM240" s="535">
        <f t="shared" si="617"/>
        <v>42964</v>
      </c>
      <c r="EN240" s="535">
        <f t="shared" si="618"/>
        <v>-29</v>
      </c>
      <c r="EO240" s="535">
        <f t="shared" si="619"/>
        <v>-44.863</v>
      </c>
      <c r="EP240" s="535">
        <v>0</v>
      </c>
      <c r="EQ240" s="535">
        <v>0</v>
      </c>
      <c r="ER240" s="535">
        <v>0</v>
      </c>
      <c r="ES240" s="521">
        <f t="shared" si="516"/>
        <v>-2.2152950432673806</v>
      </c>
      <c r="ET240" s="535">
        <f>-(VLOOKUP(Sheet1!BQ238,Lookup!$O$4:$Q$262,2)-VLOOKUP(Sheet1!BQ237,Lookup!$O$4:$Q$262,2))/1000000</f>
        <v>-1.1074937392686941</v>
      </c>
      <c r="EU240" s="535">
        <f>-(VLOOKUP(Sheet1!BR238,Lookup!$O$4:$Q$262,3)-VLOOKUP(Sheet1!BR237,Lookup!$O$4:$Q$262,3))/1000000</f>
        <v>-1.1078013039986865</v>
      </c>
      <c r="EV240" s="535"/>
      <c r="EW240" s="535"/>
      <c r="EX240" s="535"/>
      <c r="EY240" s="535"/>
      <c r="EZ240" s="535"/>
      <c r="FA240" s="535"/>
      <c r="FB240" s="535"/>
      <c r="FC240" s="535"/>
      <c r="FD240" s="567">
        <f t="shared" si="566"/>
        <v>1132.8822580644426</v>
      </c>
      <c r="FE240" s="567" t="e">
        <f t="shared" si="620"/>
        <v>#N/A</v>
      </c>
      <c r="FF240" s="568" t="e">
        <f t="shared" si="621"/>
        <v>#N/A</v>
      </c>
      <c r="FG240" s="569" t="s">
        <v>656</v>
      </c>
      <c r="FH240" s="569" t="s">
        <v>656</v>
      </c>
      <c r="FI240" s="567" t="e">
        <v>#N/A</v>
      </c>
      <c r="FJ240" s="725">
        <v>18216</v>
      </c>
      <c r="FK240" s="535"/>
      <c r="FL240" s="1015">
        <f t="shared" si="565"/>
        <v>84.720121028744316</v>
      </c>
      <c r="FM240" s="535"/>
      <c r="FN240" s="535"/>
      <c r="FO240" s="535">
        <f>O240+((Sheet1!CS238)*GPMtoMGD)</f>
        <v>97.991728000000009</v>
      </c>
      <c r="FP240" s="535">
        <f>IF(Sheet1!AA238+AQ240&lt;=Calculation!N240,AQ240,Calculation!N240-Sheet1!AA238)</f>
        <v>11.365831062670301</v>
      </c>
      <c r="FQ240" s="535">
        <f>(Sheet1!BP238+Sheet1!BO238)/694.4</f>
        <v>3.5591877880184333</v>
      </c>
      <c r="FR240" s="541"/>
      <c r="FS240" s="541"/>
      <c r="FT240" s="541"/>
      <c r="FU240" s="541"/>
      <c r="FV240" s="1109">
        <f t="shared" si="517"/>
        <v>42918</v>
      </c>
      <c r="FW240" s="1109">
        <f t="shared" si="518"/>
        <v>43027</v>
      </c>
      <c r="FX240" s="541"/>
      <c r="FY240" s="541">
        <f>Sheet1!DA238-Sheet1!CZ238-Sheet1!AE238</f>
        <v>-96.427570000000003</v>
      </c>
      <c r="FZ240" s="535">
        <f t="shared" si="551"/>
        <v>-0.70686388938605083</v>
      </c>
      <c r="GA240" s="535"/>
      <c r="GB240" s="535" t="str">
        <f t="shared" si="519"/>
        <v>n</v>
      </c>
      <c r="GC240" s="539">
        <f t="shared" si="520"/>
        <v>42782</v>
      </c>
      <c r="GD240" s="1109">
        <f t="shared" si="521"/>
        <v>42904</v>
      </c>
      <c r="GE240" s="535">
        <f t="shared" si="537"/>
        <v>6520</v>
      </c>
      <c r="GF240" s="1109">
        <f t="shared" si="522"/>
        <v>42909</v>
      </c>
      <c r="GG240" s="535">
        <f t="shared" si="564"/>
        <v>3260</v>
      </c>
      <c r="GH240" s="539">
        <f t="shared" si="523"/>
        <v>43040</v>
      </c>
      <c r="GJ240" s="521">
        <f t="shared" si="524"/>
        <v>0</v>
      </c>
      <c r="GK240" s="535" t="str">
        <f t="shared" si="622"/>
        <v/>
      </c>
      <c r="GL240" s="535">
        <f t="shared" si="525"/>
        <v>0</v>
      </c>
      <c r="GM240" s="535" t="str">
        <f t="shared" si="526"/>
        <v/>
      </c>
      <c r="GN240" s="535">
        <f>IF(GK240="P",Lookup!$M$12,IF(GK240="PP",Lookup!$M$13,IF(GK240="PPP",Lookup!$M$14,IF(GK240="T",Lookup!$M$15,IF(GK240="TP",Lookup!$M$16,IF(GK240="TPP",Lookup!$M$17,IF(GK240="TPPP",Lookup!$M$18,0)))))))*GJ240</f>
        <v>0</v>
      </c>
      <c r="GO240" s="535">
        <f t="shared" si="527"/>
        <v>0</v>
      </c>
      <c r="GP240" s="535">
        <f t="shared" si="623"/>
        <v>3616.6606666666671</v>
      </c>
      <c r="GQ240" s="974">
        <f t="shared" si="567"/>
        <v>1178.8333333333335</v>
      </c>
      <c r="GR240" s="535"/>
      <c r="GS240" s="535">
        <f t="shared" si="528"/>
        <v>0</v>
      </c>
      <c r="GT240" s="535" t="str">
        <f t="shared" si="529"/>
        <v/>
      </c>
      <c r="GU240" s="535">
        <f>IF(GK240="P",Lookup!$N$12,IF(GK240="PP",Lookup!$N$13,IF(GK240="PPP",Lookup!$N$14,IF(GK240="T",Lookup!$N$15,IF(GK240="TP",Lookup!$N$16,IF(GK240="TPP",Lookup!$N$17,IF(GK240="TPPP",Lookup!$N$18,0)))))))*GJ240</f>
        <v>0</v>
      </c>
      <c r="GV240" s="535">
        <f t="shared" si="530"/>
        <v>0</v>
      </c>
      <c r="GW240" s="535">
        <f t="shared" si="624"/>
        <v>1410.5595193550805</v>
      </c>
      <c r="GX240" s="974">
        <f t="shared" si="568"/>
        <v>459.76516276241216</v>
      </c>
      <c r="GY240" s="535"/>
      <c r="GZ240" s="535">
        <f t="shared" si="531"/>
        <v>0</v>
      </c>
      <c r="HA240" s="535" t="str">
        <f t="shared" si="532"/>
        <v/>
      </c>
      <c r="HB240" s="535">
        <f>IF(GK240="P",Lookup!$N$12,IF(GK240="PP",Lookup!$N$13,IF(GK240="PPP",Lookup!$N$14,IF(GK240="T",Lookup!$N$15,IF(GK240="TP",Lookup!$N$16,IF(GK240="TPP",Lookup!$N$17,IF(GK240="TPPP",Lookup!$N$18,0)))))))*GJ240</f>
        <v>0</v>
      </c>
      <c r="HC240" s="521">
        <f t="shared" si="625"/>
        <v>0</v>
      </c>
      <c r="HD240" s="535">
        <f t="shared" si="626"/>
        <v>958.26121069773251</v>
      </c>
      <c r="HE240" s="535">
        <f t="shared" si="535"/>
        <v>312.3406814529767</v>
      </c>
      <c r="HF240" s="535"/>
      <c r="HG240" s="535">
        <f t="shared" si="533"/>
        <v>0</v>
      </c>
      <c r="HH240" s="535" t="str">
        <f t="shared" si="534"/>
        <v/>
      </c>
      <c r="HI240" s="535">
        <f>IF(GK240="P",Lookup!$N$12,IF(GK240="PP",Lookup!$N$13,IF(GK240="PPP",Lookup!$N$14,IF(GK240="T",Lookup!$N$15,IF(GK240="TP",Lookup!$N$16,IF(GK240="TPP",Lookup!$N$17,IF(GK240="TPPP",Lookup!$N$18,0)))))))*GJ240</f>
        <v>0</v>
      </c>
      <c r="HJ240" s="521">
        <f t="shared" si="627"/>
        <v>0</v>
      </c>
      <c r="HK240" s="535">
        <f t="shared" si="628"/>
        <v>315.50906276000109</v>
      </c>
      <c r="HL240" s="535">
        <f t="shared" si="536"/>
        <v>102.83867756192996</v>
      </c>
      <c r="HM240" s="535"/>
      <c r="HN240" s="541"/>
      <c r="HO240" s="541"/>
      <c r="HP240" s="541"/>
      <c r="HQ240" s="541">
        <f>IF(AND(B240&gt;=$FV$4,B240&lt;=$FW$4),MAX(110/1.02+$HQ$6+MIN(113/1.02,G240),IF($HV$6-(Sheet1!DA238-Sheet1!DB238)+MIN(113/1.02,G240)&lt;G240+FL240,$HV$6-(Sheet1!DA238-Sheet1!DB238)+MIN(113/1.02,G240),G240+FL240)),MIN(110/1.02+$HQ$6+113/1.02,G240))</f>
        <v>218.62745098039215</v>
      </c>
      <c r="HR240" s="541">
        <f t="shared" si="552"/>
        <v>223</v>
      </c>
      <c r="HS240" s="541">
        <f>HR240+(Sheet1!DA238-Sheet1!DB238)</f>
        <v>399</v>
      </c>
      <c r="HT240" s="541">
        <f t="shared" si="553"/>
        <v>86.76478065395095</v>
      </c>
      <c r="HU240" s="541">
        <f t="shared" si="554"/>
        <v>312.23521934604906</v>
      </c>
      <c r="HV240" s="541">
        <f t="shared" si="555"/>
        <v>0</v>
      </c>
      <c r="HW240" s="533" t="str">
        <f t="shared" si="556"/>
        <v/>
      </c>
      <c r="HX240" s="541">
        <f t="shared" si="557"/>
        <v>47.509549019607846</v>
      </c>
      <c r="HY240" s="541">
        <f>Sheet1!CZ238</f>
        <v>311</v>
      </c>
      <c r="HZ240" s="541">
        <f t="shared" si="558"/>
        <v>44.863</v>
      </c>
      <c r="IA240" s="541">
        <f t="shared" si="559"/>
        <v>86.76478065395095</v>
      </c>
      <c r="IB240" s="541">
        <f t="shared" si="560"/>
        <v>266.137</v>
      </c>
      <c r="IC240" s="1019" t="str">
        <f t="shared" si="561"/>
        <v/>
      </c>
      <c r="ID240" s="541">
        <f t="shared" si="562"/>
        <v>179.37221934604906</v>
      </c>
      <c r="IE240" s="541">
        <f>Sheet1!DB238</f>
        <v>169</v>
      </c>
      <c r="IF240" s="533">
        <f>Sheet1!DA238</f>
        <v>345</v>
      </c>
      <c r="IH240" s="541">
        <f>IF(AND($B240&gt;=$GC240,$B240&lt;=$GH240,$DR240&lt;0)+N("only adjusted when pool is drawn down during storage season"),Sheet1!$DB238+$DR240+N("Palmer minus all storage release"),Sheet1!$DB238)</f>
        <v>-5.5839636910119737</v>
      </c>
      <c r="II240" s="541">
        <f>IF(AND($B240&gt;=$GC240,$B240&lt;=$GH240,$DR240&lt;0)+N("only adjusted when pool is drawn down during storage season"),Sheet1!$DA238+$DR240+N("Auburn minus all storage release"),Sheet1!$DA238)</f>
        <v>170.41603630898803</v>
      </c>
    </row>
    <row r="241" spans="1:243" x14ac:dyDescent="0.25">
      <c r="A241" s="553" t="s">
        <v>8</v>
      </c>
      <c r="B241" s="531">
        <v>42965</v>
      </c>
      <c r="C241" s="536">
        <v>0</v>
      </c>
      <c r="D241" s="506">
        <f t="shared" si="506"/>
        <v>200</v>
      </c>
      <c r="E241" s="506">
        <f t="shared" si="507"/>
        <v>400</v>
      </c>
      <c r="F241" s="506">
        <v>250</v>
      </c>
      <c r="G241" s="535">
        <f>DR241+Sheet1!CZ239</f>
        <v>127.44730206686185</v>
      </c>
      <c r="H241" s="1074">
        <f t="shared" si="563"/>
        <v>0</v>
      </c>
      <c r="I241" s="534">
        <f>IF(Sheet1!DA239&gt;=E241,(Sheet1!DA239-E241+P241)*CFStoMGD,0)</f>
        <v>0</v>
      </c>
      <c r="J241" s="995">
        <f>IF(Sheet1!DB239&gt;=D241,(Sheet1!DB239-D241+P241)*CFStoMGD,0)</f>
        <v>0</v>
      </c>
      <c r="K241" s="818">
        <f t="shared" si="538"/>
        <v>0</v>
      </c>
      <c r="L241" s="535">
        <f>Sheet1!AA239+Sheet1!AB239-Sheet1!L239+(Sheet1!DA239-F241)*CFStoMGD-S241-T241-U241</f>
        <v>119.82186154237718</v>
      </c>
      <c r="M241" s="535">
        <f t="shared" si="569"/>
        <v>84.029574777139899</v>
      </c>
      <c r="N241" s="824">
        <f>IF(Sheet1!DA239&gt;=F241,MIN(113*CFStoMGD,MIN(MAX(L241,0),MAX(M241,0))),0)</f>
        <v>73.043199999999999</v>
      </c>
      <c r="O241" s="538">
        <f>Sheet1!AA239+Sheet1!AB239</f>
        <v>86.82</v>
      </c>
      <c r="P241" s="538">
        <f t="shared" si="570"/>
        <v>134.31054</v>
      </c>
      <c r="Q241" s="812">
        <f t="shared" si="539"/>
        <v>61.64586154237719</v>
      </c>
      <c r="R241" s="812">
        <f t="shared" si="508"/>
        <v>25.5</v>
      </c>
      <c r="S241" s="812">
        <f t="shared" si="509"/>
        <v>0</v>
      </c>
      <c r="T241" s="812">
        <f t="shared" si="510"/>
        <v>0</v>
      </c>
      <c r="U241" s="812">
        <f>IF(AND(B241&gt;=FV241,B241&lt;=FW241),ED241+Sheet1!EH239,0)</f>
        <v>25.174138457622806</v>
      </c>
      <c r="V241" s="812"/>
      <c r="W241" s="812">
        <f t="shared" si="511"/>
        <v>0</v>
      </c>
      <c r="X241" s="812">
        <f t="shared" si="512"/>
        <v>0</v>
      </c>
      <c r="Y241" s="812" t="str">
        <f t="shared" si="513"/>
        <v>FALSE</v>
      </c>
      <c r="Z241" s="812">
        <f t="shared" si="514"/>
        <v>86.82</v>
      </c>
      <c r="AA241" s="812">
        <f t="shared" si="515"/>
        <v>86.82</v>
      </c>
      <c r="AB241" s="1059">
        <f t="shared" si="540"/>
        <v>95.366147806057512</v>
      </c>
      <c r="AC241" s="538">
        <f>Sheet1!Y239*MGDtoCFS</f>
        <v>73.822839999999999</v>
      </c>
      <c r="AD241" s="538">
        <f>Sheet1!Z239*MGDtoCFS</f>
        <v>56.310799999999993</v>
      </c>
      <c r="AE241" s="538">
        <f>Sheet1!AA239*MGDtoCFS</f>
        <v>73.807369999999992</v>
      </c>
      <c r="AF241" s="538">
        <f>Sheet1!AB239*MGDtoCFS</f>
        <v>60.503169999999997</v>
      </c>
      <c r="AG241" s="538">
        <f>Sheet1!L239*MGDtoCFS</f>
        <v>0</v>
      </c>
      <c r="AH241" s="521">
        <f t="shared" si="571"/>
        <v>25.5</v>
      </c>
      <c r="AI241" s="1059">
        <f t="shared" si="572"/>
        <v>39.448499999999996</v>
      </c>
      <c r="AJ241" s="535">
        <f t="shared" si="573"/>
        <v>0</v>
      </c>
      <c r="AK241" s="535">
        <f t="shared" si="574"/>
        <v>0</v>
      </c>
      <c r="AL241" s="535">
        <f>(VLOOKUP(Sheet1!DC239,hhdcap_wcm,4)-(((VLOOKUP(Sheet1!DC239,hhdcap_wcm,3)-Sheet1!DC239)/(VLOOKUP(Sheet1!DC239,hhdcap_wcm,3)-VLOOKUP(Sheet1!DC239,hhdcap_wcm,1)))*(VLOOKUP(Sheet1!DC239,hhdcap_wcm,4)-VLOOKUP(Sheet1!DC239,hhdcap_wcm,2))))</f>
        <v>38360.500000096225</v>
      </c>
      <c r="AM241" s="535">
        <f t="shared" si="575"/>
        <v>-373.90000000141299</v>
      </c>
      <c r="AN241" s="1035">
        <f t="shared" si="576"/>
        <v>2028.2778551106524</v>
      </c>
      <c r="AO241" s="535">
        <f t="shared" si="577"/>
        <v>6222.7564594794812</v>
      </c>
      <c r="AP241" s="535">
        <f>Sheet1!BA239+Sheet1!BB239+Sheet1!BN239+CD241</f>
        <v>14</v>
      </c>
      <c r="AQ241" s="535">
        <f>Sheet1!BN239+(DO241*Sheet1!BN239)</f>
        <v>13.935861542377195</v>
      </c>
      <c r="AR241" s="535">
        <f>Sheet1!BA239+CD241</f>
        <v>0</v>
      </c>
      <c r="AS241" s="535">
        <f>Sheet1!BA239+Sheet1!BB239+CD241</f>
        <v>0</v>
      </c>
      <c r="AT241" s="649">
        <f>0</f>
        <v>0</v>
      </c>
      <c r="AU241" s="974">
        <f>BA241+MAX(Sheet1!EH239,(O241-Q241-ED241-S241))</f>
        <v>0</v>
      </c>
      <c r="AV241" s="535">
        <f>IF(OR(B241&gt;=GD241,B241&lt;GC241),0,15/36*K241-MAX(0,64.6-(137.6-(Sheet1!AA239+Sheet1!AB239))))</f>
        <v>0</v>
      </c>
      <c r="AW241" s="1029"/>
      <c r="AX241" s="649"/>
      <c r="AY241" s="649">
        <f t="shared" si="541"/>
        <v>0</v>
      </c>
      <c r="AZ241" s="649">
        <f t="shared" si="542"/>
        <v>0</v>
      </c>
      <c r="BA241" s="1059">
        <f t="shared" si="543"/>
        <v>0</v>
      </c>
      <c r="BB241" s="1019">
        <f t="shared" si="578"/>
        <v>1178.8333333333335</v>
      </c>
      <c r="BC241" s="1041">
        <f t="shared" si="544"/>
        <v>0</v>
      </c>
      <c r="BD241" s="1019">
        <f ca="1">IF(B241&gt;(Summary!$A$1-1),#N/A,BB241*MGtoAF)</f>
        <v>3616.6606666666671</v>
      </c>
      <c r="BE241" s="535">
        <f>Sheet1!BG239+Sheet1!BH239+Sheet1!BI239-BM241</f>
        <v>6.9</v>
      </c>
      <c r="BF241" s="535">
        <f t="shared" si="579"/>
        <v>6.8683889030287606</v>
      </c>
      <c r="BG241" s="535">
        <f>IF(Sheet1!EP239="FM",BM241,0)</f>
        <v>0</v>
      </c>
      <c r="BH241" s="535">
        <f t="shared" si="580"/>
        <v>0</v>
      </c>
      <c r="BI241" s="535">
        <f>IF(Sheet1!EP239="OTHER",BM241,0)</f>
        <v>0</v>
      </c>
      <c r="BJ241" s="535">
        <f t="shared" si="581"/>
        <v>0</v>
      </c>
      <c r="BK241" s="535">
        <f t="shared" si="582"/>
        <v>6.9</v>
      </c>
      <c r="BL241" s="535">
        <f t="shared" si="583"/>
        <v>6.8683889030287606</v>
      </c>
      <c r="BM241" s="535">
        <f>IF(OR(Sheet1!EP239="FM", Sheet1!EP239="OTHER"),SUM(Sheet1!BG239:'Sheet1'!BI239),0)</f>
        <v>0</v>
      </c>
      <c r="BN241" s="521">
        <f>IF(AND($B241&gt;=$FV241,$B241&lt;=$FW241),MAX(BF241,Sheet1!EI239,0),MAX(BF241-(7/36)*$K241,0))</f>
        <v>7</v>
      </c>
      <c r="BO241" s="535">
        <f t="shared" si="584"/>
        <v>0</v>
      </c>
      <c r="BP241" s="521">
        <f t="shared" si="585"/>
        <v>0</v>
      </c>
      <c r="BQ241" s="521">
        <f>IF(AND($O241&gt;0,Sheet1!EM239=1),(1-($O241-Sheet1!$L239)/$O241)*BL241,0)</f>
        <v>0</v>
      </c>
      <c r="BR241" s="521">
        <f>IF(AND(Sheet1!$L239=0,Sheet1!$L238=0, Calculation!BK241&lt;Sheet1!$EI239-0.1,Sheet1!$EI239=Sheet1!$EI238,Sheet1!$EI239=Sheet1!$EI240),BL241-BQ241,BL241-BQ241)</f>
        <v>6.8683889030287606</v>
      </c>
      <c r="BS241" s="1035" t="str">
        <f t="shared" si="545"/>
        <v/>
      </c>
      <c r="BT241" s="1035">
        <f t="shared" si="546"/>
        <v>0</v>
      </c>
      <c r="BU241" s="535">
        <f t="shared" si="586"/>
        <v>452.76516276241216</v>
      </c>
      <c r="BV241" s="535"/>
      <c r="BW241" s="535">
        <f ca="1">IF(B241&gt;(Summary!$A$1-1),#N/A,BU241*MGtoAF)</f>
        <v>1389.0835193550806</v>
      </c>
      <c r="BX241" s="535">
        <f>Sheet1!BC239+Sheet1!BD239+Sheet1!BE239+Sheet1!BF239-CG241-CH241</f>
        <v>6.49</v>
      </c>
      <c r="BY241" s="535">
        <f t="shared" si="587"/>
        <v>6.460267243573429</v>
      </c>
      <c r="BZ241" s="535">
        <f>IF(Sheet1!EQ239="FM",CH241,0)</f>
        <v>0</v>
      </c>
      <c r="CA241" s="535">
        <f t="shared" si="588"/>
        <v>0</v>
      </c>
      <c r="CB241" s="535">
        <f>IF(Sheet1!EQ239="OTHER",CH241,0)</f>
        <v>0</v>
      </c>
      <c r="CC241" s="535">
        <f t="shared" si="589"/>
        <v>0</v>
      </c>
      <c r="CD241" s="535">
        <f t="shared" si="590"/>
        <v>0</v>
      </c>
      <c r="CE241" s="535">
        <f t="shared" si="591"/>
        <v>6.49</v>
      </c>
      <c r="CF241" s="535">
        <f t="shared" si="592"/>
        <v>6.460267243573429</v>
      </c>
      <c r="CG241" s="535">
        <f>IF(Sheet1!EQ239="CWA",SUM(Sheet1!BC239:'Sheet1'!BF239),0)</f>
        <v>0</v>
      </c>
      <c r="CH241" s="535">
        <f>IF(OR(Sheet1!EQ239="FM", Sheet1!EQ239="OTHER"),SUM(Sheet1!BC239:'Sheet1'!BF239),0)</f>
        <v>0</v>
      </c>
      <c r="CI241" s="521">
        <f>IF(AND($B241&gt;=$FV241,$B241&lt;=$FW241),MAX(CF241,Sheet1!EJ239,0),MAX(CF241-(7/36)*$K241,0))</f>
        <v>6.5</v>
      </c>
      <c r="CJ241" s="535">
        <f t="shared" si="593"/>
        <v>0</v>
      </c>
      <c r="CK241" s="521">
        <f t="shared" si="594"/>
        <v>0</v>
      </c>
      <c r="CL241" s="521">
        <f>IF(AND($O241&gt;0,Sheet1!EN239=1),(1-($O241-Sheet1!$L239)/$O241)*CF241,0)</f>
        <v>0</v>
      </c>
      <c r="CM241" s="521">
        <f>IF(AND(Sheet1!$L239=0,Sheet1!$L238=0, Calculation!CE241&lt;Sheet1!EJ239-0.1,Sheet1!EJ239=Sheet1!EJ238,Sheet1!EJ239=Sheet1!EJ240),CF241-CL241,CF241-CL241)</f>
        <v>6.460267243573429</v>
      </c>
      <c r="CN241" s="1040" t="str">
        <f t="shared" si="547"/>
        <v/>
      </c>
      <c r="CO241" s="1035">
        <f t="shared" si="548"/>
        <v>0</v>
      </c>
      <c r="CP241" s="535">
        <f t="shared" si="595"/>
        <v>305.8406814529767</v>
      </c>
      <c r="CQ241" s="535"/>
      <c r="CR241" s="535">
        <f ca="1">IF(B241&gt;(Summary!$A$1-1),#N/A,CP241*MGtoAF)</f>
        <v>938.3192106977325</v>
      </c>
      <c r="CS241" s="535">
        <f>Sheet1!BK239+Sheet1!BL239+Sheet1!BM239-Sheet1!ER239-DA241</f>
        <v>11.9</v>
      </c>
      <c r="CT241" s="535">
        <f t="shared" si="596"/>
        <v>11.845482311020616</v>
      </c>
      <c r="CU241" s="535">
        <f>IF(Sheet1!ER239="FM",DA241,0)</f>
        <v>0</v>
      </c>
      <c r="CV241" s="535">
        <f t="shared" si="597"/>
        <v>0</v>
      </c>
      <c r="CW241" s="535">
        <f>IF(Sheet1!ER239="OTHER",DA241,0)</f>
        <v>0</v>
      </c>
      <c r="CX241" s="535">
        <f t="shared" si="598"/>
        <v>0</v>
      </c>
      <c r="CY241" s="535">
        <f t="shared" si="599"/>
        <v>11.9</v>
      </c>
      <c r="CZ241" s="535">
        <f t="shared" si="600"/>
        <v>11.845482311020616</v>
      </c>
      <c r="DA241" s="535">
        <f>IF(OR(Sheet1!ER239="FM", Sheet1!ER239="OTHER"),SUM(Sheet1!BK239:'Sheet1'!BM239),0)</f>
        <v>0</v>
      </c>
      <c r="DB241" s="1011">
        <f>IF(AND($B241&gt;=$FV241,$B241&lt;=$FW241),MAX($CT241,Sheet1!EK239,0),MAX($CT241-(7/36)*$K241,0))</f>
        <v>12</v>
      </c>
      <c r="DC241" s="1012">
        <f t="shared" si="601"/>
        <v>0</v>
      </c>
      <c r="DD241" s="1011">
        <f t="shared" si="602"/>
        <v>0</v>
      </c>
      <c r="DE241" s="521">
        <f>IF(AND($O241&gt;0,Sheet1!EO239=1),(1-($O241-Sheet1!$L239)/$O241)*CZ241,0)</f>
        <v>0</v>
      </c>
      <c r="DF241" s="521">
        <f>IF(AND(Sheet1!$L239=0,Sheet1!$L238=0, Calculation!CY241&lt;Sheet1!$EK239-0.1,Sheet1!$EK239=Sheet1!$EK238,Sheet1!$EK239=Sheet1!$EK240),CZ241-DE241,CZ241-DE241)</f>
        <v>11.845482311020616</v>
      </c>
      <c r="DG241" s="1040">
        <f t="shared" si="549"/>
        <v>0</v>
      </c>
      <c r="DH241" s="649">
        <f t="shared" si="603"/>
        <v>25.29</v>
      </c>
      <c r="DI241" s="535">
        <f t="shared" si="604"/>
        <v>90.838677561929956</v>
      </c>
      <c r="DJ241" s="649">
        <f t="shared" si="605"/>
        <v>25.174138457622803</v>
      </c>
      <c r="DK241" s="535">
        <f ca="1">IF(B241&gt;(Summary!$A$1-1),#N/A,DI241*MGtoAF)</f>
        <v>278.69306276000111</v>
      </c>
      <c r="DL241" s="649">
        <f t="shared" si="606"/>
        <v>25.29</v>
      </c>
      <c r="DM241" s="535">
        <f t="shared" si="607"/>
        <v>39.29</v>
      </c>
      <c r="DN241" s="535">
        <f>Sheet1!AB239-DM241</f>
        <v>-0.17999999999999972</v>
      </c>
      <c r="DO241" s="743">
        <f t="shared" si="608"/>
        <v>-4.5813184016289064E-3</v>
      </c>
      <c r="DP241" s="535">
        <f>(VLOOKUP(Sheet1!DC239,hhdcap_wcm,4)-(((VLOOKUP(Sheet1!DC239,hhdcap_wcm,3)-Sheet1!DC239)/(VLOOKUP(Sheet1!DC239,hhdcap_wcm,3)-VLOOKUP(Sheet1!DC239,hhdcap_wcm,1)))*(VLOOKUP(Sheet1!DC239,hhdcap_wcm,4)-VLOOKUP(Sheet1!DC239,hhdcap_wcm,2))))</f>
        <v>38360.500000096225</v>
      </c>
      <c r="DQ241" s="535">
        <f t="shared" si="609"/>
        <v>-373.90000000141299</v>
      </c>
      <c r="DR241" s="535">
        <f t="shared" si="610"/>
        <v>-188.55269793313815</v>
      </c>
      <c r="DS241" s="535">
        <f>Sheet1!EA239*AFtoMG</f>
        <v>0</v>
      </c>
      <c r="DT241" s="535">
        <f>Sheet1!EB239*AFtoMG</f>
        <v>0</v>
      </c>
      <c r="DU241" s="535">
        <f>Sheet1!EC239*AFtoMG</f>
        <v>0</v>
      </c>
      <c r="DV241" s="535">
        <f>Sheet1!ED239*AFtoMG</f>
        <v>0</v>
      </c>
      <c r="DW241" s="535">
        <f t="shared" si="611"/>
        <v>0</v>
      </c>
      <c r="DX241" s="535">
        <f t="shared" si="612"/>
        <v>0</v>
      </c>
      <c r="DY241" s="535">
        <f t="shared" si="613"/>
        <v>2028.2778551106524</v>
      </c>
      <c r="DZ241" s="535">
        <f t="shared" si="614"/>
        <v>6222.7564594794812</v>
      </c>
      <c r="EA241" s="535"/>
      <c r="EB241" s="521">
        <f>IF(OR(B241&lt;FV241,B241&gt;FW241),(MIN(BF241+BY241+CT241+MAX(Sheet1!AA239+AQ241-73,0),K241)),0)</f>
        <v>0</v>
      </c>
      <c r="EC241" s="535"/>
      <c r="ED241" s="535">
        <f t="shared" si="615"/>
        <v>25.174138457622806</v>
      </c>
      <c r="EE241" s="535"/>
      <c r="EF241" s="535">
        <f>Sheet1!EH239+Sheet1!EI239+Sheet1!EJ239+Sheet1!EK239</f>
        <v>25.5</v>
      </c>
      <c r="EG241" s="1019">
        <f t="shared" si="550"/>
        <v>39.448499999999996</v>
      </c>
      <c r="EH241" s="521">
        <f t="shared" si="616"/>
        <v>0</v>
      </c>
      <c r="EI241" s="535">
        <f>IF(Sheet1!ET239=1,SUM('Calculations II'!AT241:BA241)+'Calculations II'!BC241+Sheet1!BV239+'Calculations II'!BE241+AP241,'Calculations II'!BK241)</f>
        <v>70.172841542377199</v>
      </c>
      <c r="EJ241" s="535">
        <f ca="1">EI241+'Calculations II'!D241+'Calculations II'!E241+'Calculations II'!O241</f>
        <v>76.369941027762948</v>
      </c>
      <c r="EK241" s="535"/>
      <c r="EL241" s="535"/>
      <c r="EM241" s="535">
        <f t="shared" si="617"/>
        <v>42965</v>
      </c>
      <c r="EN241" s="535">
        <f t="shared" si="618"/>
        <v>-25.5</v>
      </c>
      <c r="EO241" s="535">
        <f t="shared" si="619"/>
        <v>-39.448499999999996</v>
      </c>
      <c r="EP241" s="535">
        <v>0</v>
      </c>
      <c r="EQ241" s="535">
        <v>0</v>
      </c>
      <c r="ER241" s="535">
        <v>0</v>
      </c>
      <c r="ES241" s="521">
        <f t="shared" si="516"/>
        <v>-5.1260324916860682</v>
      </c>
      <c r="ET241" s="535">
        <f>-(VLOOKUP(Sheet1!BQ239,Lookup!$O$4:$Q$262,2)-VLOOKUP(Sheet1!BQ238,Lookup!$O$4:$Q$262,2))/1000000</f>
        <v>-2.4933604412824737</v>
      </c>
      <c r="EU241" s="535">
        <f>-(VLOOKUP(Sheet1!BR239,Lookup!$O$4:$Q$262,3)-VLOOKUP(Sheet1!BR238,Lookup!$O$4:$Q$262,3))/1000000</f>
        <v>-2.632672050403595</v>
      </c>
      <c r="EV241" s="535"/>
      <c r="EW241" s="535"/>
      <c r="EX241" s="535"/>
      <c r="EY241" s="535"/>
      <c r="EZ241" s="535"/>
      <c r="FA241" s="535"/>
      <c r="FB241" s="535"/>
      <c r="FC241" s="535"/>
      <c r="FD241" s="567">
        <f t="shared" si="566"/>
        <v>1132.6112903225073</v>
      </c>
      <c r="FE241" s="567" t="e">
        <f t="shared" si="620"/>
        <v>#N/A</v>
      </c>
      <c r="FF241" s="568" t="e">
        <f t="shared" si="621"/>
        <v>#N/A</v>
      </c>
      <c r="FG241" s="569" t="s">
        <v>656</v>
      </c>
      <c r="FH241" s="569" t="s">
        <v>656</v>
      </c>
      <c r="FI241" s="567" t="e">
        <v>#N/A</v>
      </c>
      <c r="FJ241" s="725">
        <v>18048</v>
      </c>
      <c r="FK241" s="535"/>
      <c r="FL241" s="1015">
        <f t="shared" si="565"/>
        <v>84.720121028744316</v>
      </c>
      <c r="FM241" s="535"/>
      <c r="FN241" s="535"/>
      <c r="FO241" s="535">
        <f>O241+((Sheet1!CS239)*GPMtoMGD)</f>
        <v>100.47667199999999</v>
      </c>
      <c r="FP241" s="535">
        <f>IF(Sheet1!AA239+AQ241&lt;=Calculation!N241,AQ241,Calculation!N241-Sheet1!AA239)</f>
        <v>13.935861542377195</v>
      </c>
      <c r="FQ241" s="535">
        <f>(Sheet1!BP239+Sheet1!BO239)/694.4</f>
        <v>3.6431451612903225</v>
      </c>
      <c r="FR241" s="541"/>
      <c r="FS241" s="541"/>
      <c r="FT241" s="541"/>
      <c r="FU241" s="541"/>
      <c r="FV241" s="1109">
        <f t="shared" si="517"/>
        <v>42918</v>
      </c>
      <c r="FW241" s="1109">
        <f t="shared" si="518"/>
        <v>43027</v>
      </c>
      <c r="FX241" s="541"/>
      <c r="FY241" s="541">
        <f>Sheet1!DA239-Sheet1!CZ239-Sheet1!AE239</f>
        <v>-110.31053999999997</v>
      </c>
      <c r="FZ241" s="535">
        <f t="shared" si="551"/>
        <v>-0.86553844774311872</v>
      </c>
      <c r="GA241" s="535"/>
      <c r="GB241" s="535" t="str">
        <f t="shared" si="519"/>
        <v>n</v>
      </c>
      <c r="GC241" s="539">
        <f t="shared" si="520"/>
        <v>42782</v>
      </c>
      <c r="GD241" s="1109">
        <f t="shared" si="521"/>
        <v>42904</v>
      </c>
      <c r="GE241" s="535">
        <f t="shared" si="537"/>
        <v>6520</v>
      </c>
      <c r="GF241" s="1109">
        <f t="shared" si="522"/>
        <v>42909</v>
      </c>
      <c r="GG241" s="535">
        <f t="shared" si="564"/>
        <v>3260</v>
      </c>
      <c r="GH241" s="539">
        <f t="shared" si="523"/>
        <v>43040</v>
      </c>
      <c r="GJ241" s="521">
        <f t="shared" si="524"/>
        <v>0</v>
      </c>
      <c r="GK241" s="535" t="str">
        <f t="shared" si="622"/>
        <v/>
      </c>
      <c r="GL241" s="535">
        <f t="shared" si="525"/>
        <v>0</v>
      </c>
      <c r="GM241" s="535" t="str">
        <f t="shared" si="526"/>
        <v/>
      </c>
      <c r="GN241" s="535">
        <f>IF(GK241="P",Lookup!$M$12,IF(GK241="PP",Lookup!$M$13,IF(GK241="PPP",Lookup!$M$14,IF(GK241="T",Lookup!$M$15,IF(GK241="TP",Lookup!$M$16,IF(GK241="TPP",Lookup!$M$17,IF(GK241="TPPP",Lookup!$M$18,0)))))))*GJ241</f>
        <v>0</v>
      </c>
      <c r="GO241" s="535">
        <f t="shared" si="527"/>
        <v>0</v>
      </c>
      <c r="GP241" s="535">
        <f t="shared" si="623"/>
        <v>3616.6606666666671</v>
      </c>
      <c r="GQ241" s="974">
        <f t="shared" si="567"/>
        <v>1178.8333333333335</v>
      </c>
      <c r="GR241" s="535"/>
      <c r="GS241" s="535">
        <f t="shared" si="528"/>
        <v>0</v>
      </c>
      <c r="GT241" s="535" t="str">
        <f t="shared" si="529"/>
        <v/>
      </c>
      <c r="GU241" s="535">
        <f>IF(GK241="P",Lookup!$N$12,IF(GK241="PP",Lookup!$N$13,IF(GK241="PPP",Lookup!$N$14,IF(GK241="T",Lookup!$N$15,IF(GK241="TP",Lookup!$N$16,IF(GK241="TPP",Lookup!$N$17,IF(GK241="TPPP",Lookup!$N$18,0)))))))*GJ241</f>
        <v>0</v>
      </c>
      <c r="GV241" s="535">
        <f t="shared" si="530"/>
        <v>0</v>
      </c>
      <c r="GW241" s="535">
        <f t="shared" si="624"/>
        <v>1389.0835193550806</v>
      </c>
      <c r="GX241" s="974">
        <f t="shared" si="568"/>
        <v>452.76516276241216</v>
      </c>
      <c r="GY241" s="535"/>
      <c r="GZ241" s="535">
        <f t="shared" si="531"/>
        <v>0</v>
      </c>
      <c r="HA241" s="535" t="str">
        <f t="shared" si="532"/>
        <v/>
      </c>
      <c r="HB241" s="535">
        <f>IF(GK241="P",Lookup!$N$12,IF(GK241="PP",Lookup!$N$13,IF(GK241="PPP",Lookup!$N$14,IF(GK241="T",Lookup!$N$15,IF(GK241="TP",Lookup!$N$16,IF(GK241="TPP",Lookup!$N$17,IF(GK241="TPPP",Lookup!$N$18,0)))))))*GJ241</f>
        <v>0</v>
      </c>
      <c r="HC241" s="521">
        <f t="shared" si="625"/>
        <v>0</v>
      </c>
      <c r="HD241" s="535">
        <f t="shared" si="626"/>
        <v>938.3192106977325</v>
      </c>
      <c r="HE241" s="535">
        <f t="shared" si="535"/>
        <v>305.8406814529767</v>
      </c>
      <c r="HF241" s="535"/>
      <c r="HG241" s="535">
        <f t="shared" si="533"/>
        <v>0</v>
      </c>
      <c r="HH241" s="535" t="str">
        <f t="shared" si="534"/>
        <v/>
      </c>
      <c r="HI241" s="535">
        <f>IF(GK241="P",Lookup!$N$12,IF(GK241="PP",Lookup!$N$13,IF(GK241="PPP",Lookup!$N$14,IF(GK241="T",Lookup!$N$15,IF(GK241="TP",Lookup!$N$16,IF(GK241="TPP",Lookup!$N$17,IF(GK241="TPPP",Lookup!$N$18,0)))))))*GJ241</f>
        <v>0</v>
      </c>
      <c r="HJ241" s="521">
        <f t="shared" si="627"/>
        <v>0</v>
      </c>
      <c r="HK241" s="535">
        <f t="shared" si="628"/>
        <v>278.69306276000111</v>
      </c>
      <c r="HL241" s="535">
        <f t="shared" si="536"/>
        <v>90.838677561929956</v>
      </c>
      <c r="HM241" s="535"/>
      <c r="HN241" s="541"/>
      <c r="HO241" s="541"/>
      <c r="HP241" s="541"/>
      <c r="HQ241" s="541">
        <f>IF(AND(B241&gt;=$FV$4,B241&lt;=$FW$4),MAX(110/1.02+$HQ$6+MIN(113/1.02,G241),IF($HV$6-(Sheet1!DA239-Sheet1!DB239)+MIN(113/1.02,G241)&lt;G241+FL241,$HV$6-(Sheet1!DA239-Sheet1!DB239)+MIN(113/1.02,G241),G241+FL241)),MIN(110/1.02+$HQ$6+113/1.02,G241))</f>
        <v>218.62745098039215</v>
      </c>
      <c r="HR241" s="541">
        <f t="shared" si="552"/>
        <v>223</v>
      </c>
      <c r="HS241" s="541">
        <f>HR241+(Sheet1!DA239-Sheet1!DB239)</f>
        <v>371</v>
      </c>
      <c r="HT241" s="541">
        <f t="shared" si="553"/>
        <v>95.366147806057512</v>
      </c>
      <c r="HU241" s="541">
        <f t="shared" si="554"/>
        <v>275.63385219394252</v>
      </c>
      <c r="HV241" s="541">
        <f t="shared" si="555"/>
        <v>0</v>
      </c>
      <c r="HW241" s="533" t="str">
        <f t="shared" si="556"/>
        <v/>
      </c>
      <c r="HX241" s="541">
        <f t="shared" si="557"/>
        <v>57.924049019607878</v>
      </c>
      <c r="HY241" s="541">
        <f>Sheet1!CZ239</f>
        <v>316</v>
      </c>
      <c r="HZ241" s="541">
        <f t="shared" si="558"/>
        <v>39.448499999999996</v>
      </c>
      <c r="IA241" s="541">
        <f t="shared" si="559"/>
        <v>95.366147806057512</v>
      </c>
      <c r="IB241" s="541">
        <f t="shared" si="560"/>
        <v>276.55150000000003</v>
      </c>
      <c r="IC241" s="1019" t="str">
        <f t="shared" si="561"/>
        <v/>
      </c>
      <c r="ID241" s="541">
        <f t="shared" si="562"/>
        <v>181.18535219394252</v>
      </c>
      <c r="IE241" s="541">
        <f>Sheet1!DB239</f>
        <v>192</v>
      </c>
      <c r="IF241" s="533">
        <f>Sheet1!DA239</f>
        <v>340</v>
      </c>
      <c r="IH241" s="541">
        <f>IF(AND($B241&gt;=$GC241,$B241&lt;=$GH241,$DR241&lt;0)+N("only adjusted when pool is drawn down during storage season"),Sheet1!$DB239+$DR241+N("Palmer minus all storage release"),Sheet1!$DB239)</f>
        <v>3.4473020668618517</v>
      </c>
      <c r="II241" s="541">
        <f>IF(AND($B241&gt;=$GC241,$B241&lt;=$GH241,$DR241&lt;0)+N("only adjusted when pool is drawn down during storage season"),Sheet1!$DA239+$DR241+N("Auburn minus all storage release"),Sheet1!$DA239)</f>
        <v>151.44730206686185</v>
      </c>
    </row>
    <row r="242" spans="1:243" x14ac:dyDescent="0.25">
      <c r="A242" s="553" t="s">
        <v>9</v>
      </c>
      <c r="B242" s="531">
        <v>42966</v>
      </c>
      <c r="C242" s="536">
        <v>0</v>
      </c>
      <c r="D242" s="506">
        <f t="shared" si="506"/>
        <v>200</v>
      </c>
      <c r="E242" s="506">
        <f t="shared" si="507"/>
        <v>400</v>
      </c>
      <c r="F242" s="506">
        <v>250</v>
      </c>
      <c r="G242" s="535">
        <f>DR242+Sheet1!CZ240</f>
        <v>118.87443267764286</v>
      </c>
      <c r="H242" s="1074">
        <f t="shared" si="563"/>
        <v>0</v>
      </c>
      <c r="I242" s="534">
        <f>IF(Sheet1!DA240&gt;=E242,(Sheet1!DA240-E242+P242)*CFStoMGD,0)</f>
        <v>0</v>
      </c>
      <c r="J242" s="995">
        <f>IF(Sheet1!DB240&gt;=D242,(Sheet1!DB240-D242+P242)*CFStoMGD,0)</f>
        <v>0</v>
      </c>
      <c r="K242" s="818">
        <f t="shared" si="538"/>
        <v>0</v>
      </c>
      <c r="L242" s="535">
        <f>Sheet1!AA240+Sheet1!AB240-Sheet1!L240+(Sheet1!DA240-F242)*CFStoMGD-S242-T242-U242</f>
        <v>122.09091343283583</v>
      </c>
      <c r="M242" s="535">
        <f t="shared" si="569"/>
        <v>78.377241948484908</v>
      </c>
      <c r="N242" s="824">
        <f>IF(Sheet1!DA240&gt;=F242,MIN(113*CFStoMGD,MIN(MAX(L242,0),MAX(M242,0))),0)</f>
        <v>73.043199999999999</v>
      </c>
      <c r="O242" s="538">
        <f>Sheet1!AA240+Sheet1!AB240</f>
        <v>82.86</v>
      </c>
      <c r="P242" s="538">
        <f t="shared" si="570"/>
        <v>128.18441999999999</v>
      </c>
      <c r="Q242" s="812">
        <f t="shared" si="539"/>
        <v>58.097313432835826</v>
      </c>
      <c r="R242" s="812">
        <f t="shared" si="508"/>
        <v>25.5</v>
      </c>
      <c r="S242" s="812">
        <f t="shared" si="509"/>
        <v>0</v>
      </c>
      <c r="T242" s="812">
        <f t="shared" si="510"/>
        <v>0</v>
      </c>
      <c r="U242" s="812">
        <f>IF(AND(B242&gt;=FV242,B242&lt;=FW242),ED242+Sheet1!EH240,0)</f>
        <v>24.762686567164174</v>
      </c>
      <c r="V242" s="812"/>
      <c r="W242" s="812">
        <f t="shared" si="511"/>
        <v>0</v>
      </c>
      <c r="X242" s="812">
        <f t="shared" si="512"/>
        <v>0</v>
      </c>
      <c r="Y242" s="812" t="str">
        <f t="shared" si="513"/>
        <v>FALSE</v>
      </c>
      <c r="Z242" s="812">
        <f t="shared" si="514"/>
        <v>82.86</v>
      </c>
      <c r="AA242" s="812">
        <f t="shared" si="515"/>
        <v>82.86</v>
      </c>
      <c r="AB242" s="1059">
        <f t="shared" si="540"/>
        <v>89.876543880597012</v>
      </c>
      <c r="AC242" s="538">
        <f>Sheet1!Y240*MGDtoCFS</f>
        <v>73.807369999999992</v>
      </c>
      <c r="AD242" s="538">
        <f>Sheet1!Z240*MGDtoCFS</f>
        <v>60.363939999999999</v>
      </c>
      <c r="AE242" s="538">
        <f>Sheet1!AA240*MGDtoCFS</f>
        <v>73.575320000000005</v>
      </c>
      <c r="AF242" s="538">
        <f>Sheet1!AB240*MGDtoCFS</f>
        <v>54.609099999999991</v>
      </c>
      <c r="AG242" s="538">
        <f>Sheet1!L240*MGDtoCFS</f>
        <v>0</v>
      </c>
      <c r="AH242" s="521">
        <f t="shared" si="571"/>
        <v>25.5</v>
      </c>
      <c r="AI242" s="1059">
        <f t="shared" si="572"/>
        <v>39.448499999999996</v>
      </c>
      <c r="AJ242" s="535">
        <f t="shared" si="573"/>
        <v>0</v>
      </c>
      <c r="AK242" s="535">
        <f t="shared" si="574"/>
        <v>0</v>
      </c>
      <c r="AL242" s="535">
        <f>(VLOOKUP(Sheet1!DC240,hhdcap_wcm,4)-(((VLOOKUP(Sheet1!DC240,hhdcap_wcm,3)-Sheet1!DC240)/(VLOOKUP(Sheet1!DC240,hhdcap_wcm,3)-VLOOKUP(Sheet1!DC240,hhdcap_wcm,1)))*(VLOOKUP(Sheet1!DC240,hhdcap_wcm,4)-VLOOKUP(Sheet1!DC240,hhdcap_wcm,2))))</f>
        <v>37969.60000009599</v>
      </c>
      <c r="AM242" s="535">
        <f t="shared" si="575"/>
        <v>-390.90000000023429</v>
      </c>
      <c r="AN242" s="1035">
        <f t="shared" si="576"/>
        <v>2002.7778551106524</v>
      </c>
      <c r="AO242" s="535">
        <f t="shared" si="577"/>
        <v>6144.5224594794818</v>
      </c>
      <c r="AP242" s="535">
        <f>Sheet1!BA240+Sheet1!BB240+Sheet1!BN240+CD242</f>
        <v>10.6</v>
      </c>
      <c r="AQ242" s="535">
        <f>Sheet1!BN240+(DO242*Sheet1!BN240)</f>
        <v>10.537313432835818</v>
      </c>
      <c r="AR242" s="535">
        <f>Sheet1!BA240+CD242</f>
        <v>0</v>
      </c>
      <c r="AS242" s="535">
        <f>Sheet1!BA240+Sheet1!BB240+CD242</f>
        <v>0</v>
      </c>
      <c r="AT242" s="649">
        <f>0</f>
        <v>0</v>
      </c>
      <c r="AU242" s="974">
        <f>BA242+MAX(Sheet1!EH240,(O242-Q242-ED242-S242))</f>
        <v>0</v>
      </c>
      <c r="AV242" s="535">
        <f>IF(OR(B242&gt;=GD242,B242&lt;GC242),0,15/36*K242-MAX(0,64.6-(137.6-(Sheet1!AA240+Sheet1!AB240))))</f>
        <v>0</v>
      </c>
      <c r="AW242" s="1029"/>
      <c r="AX242" s="649"/>
      <c r="AY242" s="649">
        <f t="shared" si="541"/>
        <v>0</v>
      </c>
      <c r="AZ242" s="649">
        <f t="shared" si="542"/>
        <v>0</v>
      </c>
      <c r="BA242" s="1059">
        <f t="shared" si="543"/>
        <v>0</v>
      </c>
      <c r="BB242" s="1019">
        <f t="shared" si="578"/>
        <v>1178.8333333333335</v>
      </c>
      <c r="BC242" s="1041">
        <f t="shared" si="544"/>
        <v>0</v>
      </c>
      <c r="BD242" s="1019">
        <f ca="1">IF(B242&gt;(Summary!$A$1-1),#N/A,BB242*MGtoAF)</f>
        <v>3616.6606666666671</v>
      </c>
      <c r="BE242" s="535">
        <f>Sheet1!BG240+Sheet1!BH240+Sheet1!BI240-BM242</f>
        <v>6.5600000000000005</v>
      </c>
      <c r="BF242" s="535">
        <f t="shared" si="579"/>
        <v>6.5212052942832992</v>
      </c>
      <c r="BG242" s="535">
        <f>IF(Sheet1!EP240="FM",BM242,0)</f>
        <v>0</v>
      </c>
      <c r="BH242" s="535">
        <f t="shared" si="580"/>
        <v>0</v>
      </c>
      <c r="BI242" s="535">
        <f>IF(Sheet1!EP240="OTHER",BM242,0)</f>
        <v>0</v>
      </c>
      <c r="BJ242" s="535">
        <f t="shared" si="581"/>
        <v>0</v>
      </c>
      <c r="BK242" s="535">
        <f t="shared" si="582"/>
        <v>6.5600000000000005</v>
      </c>
      <c r="BL242" s="535">
        <f t="shared" si="583"/>
        <v>6.5212052942832992</v>
      </c>
      <c r="BM242" s="535">
        <f>IF(OR(Sheet1!EP240="FM", Sheet1!EP240="OTHER"),SUM(Sheet1!BG240:'Sheet1'!BI240),0)</f>
        <v>0</v>
      </c>
      <c r="BN242" s="521">
        <f>IF(AND($B242&gt;=$FV242,$B242&lt;=$FW242),MAX(BF242,Sheet1!EI240,0),MAX(BF242-(7/36)*$K242,0))</f>
        <v>7</v>
      </c>
      <c r="BO242" s="535">
        <f t="shared" si="584"/>
        <v>0</v>
      </c>
      <c r="BP242" s="521">
        <f t="shared" si="585"/>
        <v>0</v>
      </c>
      <c r="BQ242" s="521">
        <f>IF(AND($O242&gt;0,Sheet1!EM240=1),(1-($O242-Sheet1!$L240)/$O242)*BL242,0)</f>
        <v>0</v>
      </c>
      <c r="BR242" s="521">
        <f>IF(AND(Sheet1!$L240=0,Sheet1!$L239=0, Calculation!BK242&lt;Sheet1!$EI240-0.1,Sheet1!$EI240=Sheet1!$EI239,Sheet1!$EI240=Sheet1!$EI241),BL242-BQ242,BL242-BQ242)</f>
        <v>6.5212052942832992</v>
      </c>
      <c r="BS242" s="1035" t="str">
        <f t="shared" si="545"/>
        <v/>
      </c>
      <c r="BT242" s="1035">
        <f t="shared" si="546"/>
        <v>0</v>
      </c>
      <c r="BU242" s="535">
        <f t="shared" si="586"/>
        <v>445.76516276241216</v>
      </c>
      <c r="BV242" s="535"/>
      <c r="BW242" s="535">
        <f ca="1">IF(B242&gt;(Summary!$A$1-1),#N/A,BU242*MGtoAF)</f>
        <v>1367.6075193550805</v>
      </c>
      <c r="BX242" s="535">
        <f>Sheet1!BC240+Sheet1!BD240+Sheet1!BE240+Sheet1!BF240-CG242-CH242</f>
        <v>6.49</v>
      </c>
      <c r="BY242" s="535">
        <f t="shared" si="587"/>
        <v>6.4516192621796664</v>
      </c>
      <c r="BZ242" s="535">
        <f>IF(Sheet1!EQ240="FM",CH242,0)</f>
        <v>0</v>
      </c>
      <c r="CA242" s="535">
        <f t="shared" si="588"/>
        <v>0</v>
      </c>
      <c r="CB242" s="535">
        <f>IF(Sheet1!EQ240="OTHER",CH242,0)</f>
        <v>0</v>
      </c>
      <c r="CC242" s="535">
        <f t="shared" si="589"/>
        <v>0</v>
      </c>
      <c r="CD242" s="535">
        <f t="shared" si="590"/>
        <v>0</v>
      </c>
      <c r="CE242" s="535">
        <f t="shared" si="591"/>
        <v>6.49</v>
      </c>
      <c r="CF242" s="535">
        <f t="shared" si="592"/>
        <v>6.4516192621796664</v>
      </c>
      <c r="CG242" s="535">
        <f>IF(Sheet1!EQ240="CWA",SUM(Sheet1!BC240:'Sheet1'!BF240),0)</f>
        <v>0</v>
      </c>
      <c r="CH242" s="535">
        <f>IF(OR(Sheet1!EQ240="FM", Sheet1!EQ240="OTHER"),SUM(Sheet1!BC240:'Sheet1'!BF240),0)</f>
        <v>0</v>
      </c>
      <c r="CI242" s="521">
        <f>IF(AND($B242&gt;=$FV242,$B242&lt;=$FW242),MAX(CF242,Sheet1!EJ240,0),MAX(CF242-(7/36)*$K242,0))</f>
        <v>6.5</v>
      </c>
      <c r="CJ242" s="535">
        <f t="shared" si="593"/>
        <v>0</v>
      </c>
      <c r="CK242" s="521">
        <f t="shared" si="594"/>
        <v>0</v>
      </c>
      <c r="CL242" s="521">
        <f>IF(AND($O242&gt;0,Sheet1!EN240=1),(1-($O242-Sheet1!$L240)/$O242)*CF242,0)</f>
        <v>0</v>
      </c>
      <c r="CM242" s="521">
        <f>IF(AND(Sheet1!$L240=0,Sheet1!$L239=0, Calculation!CE242&lt;Sheet1!EJ240-0.1,Sheet1!EJ240=Sheet1!EJ239,Sheet1!EJ240=Sheet1!EJ241),CF242-CL242,CF242-CL242)</f>
        <v>6.4516192621796664</v>
      </c>
      <c r="CN242" s="1040" t="str">
        <f t="shared" si="547"/>
        <v/>
      </c>
      <c r="CO242" s="1035">
        <f t="shared" si="548"/>
        <v>0</v>
      </c>
      <c r="CP242" s="535">
        <f t="shared" si="595"/>
        <v>299.3406814529767</v>
      </c>
      <c r="CQ242" s="535"/>
      <c r="CR242" s="535">
        <f ca="1">IF(B242&gt;(Summary!$A$1-1),#N/A,CP242*MGtoAF)</f>
        <v>918.37721069773249</v>
      </c>
      <c r="CS242" s="535">
        <f>Sheet1!BK240+Sheet1!BL240+Sheet1!BM240-Sheet1!ER240-DA242</f>
        <v>11.86</v>
      </c>
      <c r="CT242" s="535">
        <f t="shared" si="596"/>
        <v>11.789862010701208</v>
      </c>
      <c r="CU242" s="535">
        <f>IF(Sheet1!ER240="FM",DA242,0)</f>
        <v>0</v>
      </c>
      <c r="CV242" s="535">
        <f t="shared" si="597"/>
        <v>0</v>
      </c>
      <c r="CW242" s="535">
        <f>IF(Sheet1!ER240="OTHER",DA242,0)</f>
        <v>0</v>
      </c>
      <c r="CX242" s="535">
        <f t="shared" si="598"/>
        <v>0</v>
      </c>
      <c r="CY242" s="535">
        <f t="shared" si="599"/>
        <v>11.86</v>
      </c>
      <c r="CZ242" s="535">
        <f t="shared" si="600"/>
        <v>11.789862010701208</v>
      </c>
      <c r="DA242" s="535">
        <f>IF(OR(Sheet1!ER240="FM", Sheet1!ER240="OTHER"),SUM(Sheet1!BK240:'Sheet1'!BM240),0)</f>
        <v>0</v>
      </c>
      <c r="DB242" s="1011">
        <f>IF(AND($B242&gt;=$FV242,$B242&lt;=$FW242),MAX($CT242,Sheet1!EK240,0),MAX($CT242-(7/36)*$K242,0))</f>
        <v>12</v>
      </c>
      <c r="DC242" s="1012">
        <f t="shared" si="601"/>
        <v>0</v>
      </c>
      <c r="DD242" s="1011">
        <f t="shared" si="602"/>
        <v>0</v>
      </c>
      <c r="DE242" s="521">
        <f>IF(AND($O242&gt;0,Sheet1!EO240=1),(1-($O242-Sheet1!$L240)/$O242)*CZ242,0)</f>
        <v>0</v>
      </c>
      <c r="DF242" s="521">
        <f>IF(AND(Sheet1!$L240=0,Sheet1!$L239=0, Calculation!CY242&lt;Sheet1!$EK240-0.1,Sheet1!$EK240=Sheet1!$EK239,Sheet1!$EK240=Sheet1!$EK241),CZ242-DE242,CZ242-DE242)</f>
        <v>11.789862010701208</v>
      </c>
      <c r="DG242" s="1040">
        <f t="shared" si="549"/>
        <v>0</v>
      </c>
      <c r="DH242" s="649">
        <f t="shared" si="603"/>
        <v>24.91</v>
      </c>
      <c r="DI242" s="535">
        <f t="shared" si="604"/>
        <v>78.838677561929956</v>
      </c>
      <c r="DJ242" s="649">
        <f t="shared" si="605"/>
        <v>24.762686567164174</v>
      </c>
      <c r="DK242" s="535">
        <f ca="1">IF(B242&gt;(Summary!$A$1-1),#N/A,DI242*MGtoAF)</f>
        <v>241.87706276000111</v>
      </c>
      <c r="DL242" s="649">
        <f t="shared" si="606"/>
        <v>24.910000000000004</v>
      </c>
      <c r="DM242" s="535">
        <f t="shared" si="607"/>
        <v>35.510000000000005</v>
      </c>
      <c r="DN242" s="535">
        <f>Sheet1!AB240-DM242</f>
        <v>-0.21000000000000796</v>
      </c>
      <c r="DO242" s="743">
        <f t="shared" si="608"/>
        <v>-5.913827090960516E-3</v>
      </c>
      <c r="DP242" s="535">
        <f>(VLOOKUP(Sheet1!DC240,hhdcap_wcm,4)-(((VLOOKUP(Sheet1!DC240,hhdcap_wcm,3)-Sheet1!DC240)/(VLOOKUP(Sheet1!DC240,hhdcap_wcm,3)-VLOOKUP(Sheet1!DC240,hhdcap_wcm,1)))*(VLOOKUP(Sheet1!DC240,hhdcap_wcm,4)-VLOOKUP(Sheet1!DC240,hhdcap_wcm,2))))</f>
        <v>37969.60000009599</v>
      </c>
      <c r="DQ242" s="535">
        <f t="shared" si="609"/>
        <v>-390.90000000023429</v>
      </c>
      <c r="DR242" s="535">
        <f t="shared" si="610"/>
        <v>-197.12556732235714</v>
      </c>
      <c r="DS242" s="535">
        <f>Sheet1!EA240*AFtoMG</f>
        <v>0</v>
      </c>
      <c r="DT242" s="535">
        <f>Sheet1!EB240*AFtoMG</f>
        <v>0</v>
      </c>
      <c r="DU242" s="535">
        <f>Sheet1!EC240*AFtoMG</f>
        <v>0</v>
      </c>
      <c r="DV242" s="535">
        <f>Sheet1!ED240*AFtoMG</f>
        <v>0</v>
      </c>
      <c r="DW242" s="535">
        <f t="shared" si="611"/>
        <v>0</v>
      </c>
      <c r="DX242" s="535">
        <f t="shared" si="612"/>
        <v>0</v>
      </c>
      <c r="DY242" s="535">
        <f t="shared" si="613"/>
        <v>2002.7778551106524</v>
      </c>
      <c r="DZ242" s="535">
        <f t="shared" si="614"/>
        <v>6144.5224594794818</v>
      </c>
      <c r="EA242" s="535"/>
      <c r="EB242" s="521">
        <f>IF(OR(B242&lt;FV242,B242&gt;FW242),(MIN(BF242+BY242+CT242+MAX(Sheet1!AA240+AQ242-73,0),K242)),0)</f>
        <v>0</v>
      </c>
      <c r="EC242" s="535"/>
      <c r="ED242" s="535">
        <f t="shared" si="615"/>
        <v>24.762686567164174</v>
      </c>
      <c r="EE242" s="535"/>
      <c r="EF242" s="535">
        <f>Sheet1!EH240+Sheet1!EI240+Sheet1!EJ240+Sheet1!EK240</f>
        <v>25.5</v>
      </c>
      <c r="EG242" s="1019">
        <f t="shared" si="550"/>
        <v>39.448499999999996</v>
      </c>
      <c r="EH242" s="521">
        <f t="shared" si="616"/>
        <v>0</v>
      </c>
      <c r="EI242" s="535">
        <f>IF(Sheet1!ET240=1,SUM('Calculations II'!AT242:BA242)+'Calculations II'!BC242+Sheet1!BV240+'Calculations II'!BE242+AP242,'Calculations II'!BK242)</f>
        <v>71.403693432835823</v>
      </c>
      <c r="EJ242" s="535">
        <f ca="1">EI242+'Calculations II'!D242+'Calculations II'!E242+'Calculations II'!O242</f>
        <v>71.067764587803438</v>
      </c>
      <c r="EK242" s="535"/>
      <c r="EL242" s="535"/>
      <c r="EM242" s="535">
        <f t="shared" si="617"/>
        <v>42966</v>
      </c>
      <c r="EN242" s="535">
        <f t="shared" si="618"/>
        <v>-25.5</v>
      </c>
      <c r="EO242" s="535">
        <f t="shared" si="619"/>
        <v>-39.448499999999996</v>
      </c>
      <c r="EP242" s="535">
        <v>0</v>
      </c>
      <c r="EQ242" s="535">
        <v>0</v>
      </c>
      <c r="ER242" s="535">
        <v>0</v>
      </c>
      <c r="ES242" s="521">
        <f t="shared" si="516"/>
        <v>-0.69301997448761021</v>
      </c>
      <c r="ET242" s="535">
        <f>-(VLOOKUP(Sheet1!BQ240,Lookup!$O$4:$Q$262,2)-VLOOKUP(Sheet1!BQ239,Lookup!$O$4:$Q$262,2))/1000000</f>
        <v>-0.41576197808093951</v>
      </c>
      <c r="EU242" s="535">
        <f>-(VLOOKUP(Sheet1!BR240,Lookup!$O$4:$Q$262,3)-VLOOKUP(Sheet1!BR239,Lookup!$O$4:$Q$262,3))/1000000</f>
        <v>-0.27725799640667065</v>
      </c>
      <c r="EV242" s="535"/>
      <c r="EW242" s="535"/>
      <c r="EX242" s="535"/>
      <c r="EY242" s="535"/>
      <c r="EZ242" s="535"/>
      <c r="FA242" s="535"/>
      <c r="FB242" s="535"/>
      <c r="FC242" s="535"/>
      <c r="FD242" s="567">
        <f t="shared" si="566"/>
        <v>1132.3403225805721</v>
      </c>
      <c r="FE242" s="567" t="e">
        <f t="shared" si="620"/>
        <v>#N/A</v>
      </c>
      <c r="FF242" s="568" t="e">
        <f t="shared" si="621"/>
        <v>#N/A</v>
      </c>
      <c r="FG242" s="569" t="s">
        <v>656</v>
      </c>
      <c r="FH242" s="569" t="s">
        <v>656</v>
      </c>
      <c r="FI242" s="567" t="e">
        <v>#N/A</v>
      </c>
      <c r="FJ242" s="725">
        <v>17880</v>
      </c>
      <c r="FK242" s="535"/>
      <c r="FL242" s="1015">
        <f t="shared" si="565"/>
        <v>84.720121028744316</v>
      </c>
      <c r="FM242" s="535"/>
      <c r="FN242" s="535"/>
      <c r="FO242" s="535">
        <f>O242+((Sheet1!CS240)*GPMtoMGD)</f>
        <v>96.524304000000001</v>
      </c>
      <c r="FP242" s="535">
        <f>IF(Sheet1!AA240+AQ242&lt;=Calculation!N242,AQ242,Calculation!N242-Sheet1!AA240)</f>
        <v>10.537313432835818</v>
      </c>
      <c r="FQ242" s="535">
        <f>(Sheet1!BP240+Sheet1!BO240)/694.4</f>
        <v>3.4785426267281108</v>
      </c>
      <c r="FR242" s="541"/>
      <c r="FS242" s="541"/>
      <c r="FT242" s="541"/>
      <c r="FU242" s="541"/>
      <c r="FV242" s="1109">
        <f t="shared" si="517"/>
        <v>42918</v>
      </c>
      <c r="FW242" s="1109">
        <f t="shared" si="518"/>
        <v>43027</v>
      </c>
      <c r="FX242" s="541"/>
      <c r="FY242" s="541">
        <f>Sheet1!DA240-Sheet1!CZ240-Sheet1!AE240</f>
        <v>-95.184419999999989</v>
      </c>
      <c r="FZ242" s="535">
        <f t="shared" si="551"/>
        <v>-0.80071397907837638</v>
      </c>
      <c r="GA242" s="535"/>
      <c r="GB242" s="535" t="str">
        <f t="shared" si="519"/>
        <v>n</v>
      </c>
      <c r="GC242" s="539">
        <f t="shared" si="520"/>
        <v>42782</v>
      </c>
      <c r="GD242" s="1109">
        <f t="shared" si="521"/>
        <v>42904</v>
      </c>
      <c r="GE242" s="535">
        <f t="shared" si="537"/>
        <v>6520</v>
      </c>
      <c r="GF242" s="1109">
        <f t="shared" si="522"/>
        <v>42909</v>
      </c>
      <c r="GG242" s="535">
        <f t="shared" si="564"/>
        <v>3260</v>
      </c>
      <c r="GH242" s="539">
        <f t="shared" si="523"/>
        <v>43040</v>
      </c>
      <c r="GJ242" s="521">
        <f t="shared" si="524"/>
        <v>0</v>
      </c>
      <c r="GK242" s="535" t="str">
        <f t="shared" si="622"/>
        <v/>
      </c>
      <c r="GL242" s="535">
        <f t="shared" si="525"/>
        <v>0</v>
      </c>
      <c r="GM242" s="535" t="str">
        <f t="shared" si="526"/>
        <v/>
      </c>
      <c r="GN242" s="535">
        <f>IF(GK242="P",Lookup!$M$12,IF(GK242="PP",Lookup!$M$13,IF(GK242="PPP",Lookup!$M$14,IF(GK242="T",Lookup!$M$15,IF(GK242="TP",Lookup!$M$16,IF(GK242="TPP",Lookup!$M$17,IF(GK242="TPPP",Lookup!$M$18,0)))))))*GJ242</f>
        <v>0</v>
      </c>
      <c r="GO242" s="535">
        <f t="shared" si="527"/>
        <v>0</v>
      </c>
      <c r="GP242" s="535">
        <f t="shared" si="623"/>
        <v>3616.6606666666671</v>
      </c>
      <c r="GQ242" s="974">
        <f t="shared" si="567"/>
        <v>1178.8333333333335</v>
      </c>
      <c r="GR242" s="535"/>
      <c r="GS242" s="535">
        <f t="shared" si="528"/>
        <v>0</v>
      </c>
      <c r="GT242" s="535" t="str">
        <f t="shared" si="529"/>
        <v/>
      </c>
      <c r="GU242" s="535">
        <f>IF(GK242="P",Lookup!$N$12,IF(GK242="PP",Lookup!$N$13,IF(GK242="PPP",Lookup!$N$14,IF(GK242="T",Lookup!$N$15,IF(GK242="TP",Lookup!$N$16,IF(GK242="TPP",Lookup!$N$17,IF(GK242="TPPP",Lookup!$N$18,0)))))))*GJ242</f>
        <v>0</v>
      </c>
      <c r="GV242" s="535">
        <f t="shared" si="530"/>
        <v>0</v>
      </c>
      <c r="GW242" s="535">
        <f t="shared" si="624"/>
        <v>1367.6075193550805</v>
      </c>
      <c r="GX242" s="974">
        <f t="shared" si="568"/>
        <v>445.76516276241216</v>
      </c>
      <c r="GY242" s="535"/>
      <c r="GZ242" s="535">
        <f t="shared" si="531"/>
        <v>0</v>
      </c>
      <c r="HA242" s="535" t="str">
        <f t="shared" si="532"/>
        <v/>
      </c>
      <c r="HB242" s="535">
        <f>IF(GK242="P",Lookup!$N$12,IF(GK242="PP",Lookup!$N$13,IF(GK242="PPP",Lookup!$N$14,IF(GK242="T",Lookup!$N$15,IF(GK242="TP",Lookup!$N$16,IF(GK242="TPP",Lookup!$N$17,IF(GK242="TPPP",Lookup!$N$18,0)))))))*GJ242</f>
        <v>0</v>
      </c>
      <c r="HC242" s="521">
        <f t="shared" si="625"/>
        <v>0</v>
      </c>
      <c r="HD242" s="535">
        <f t="shared" si="626"/>
        <v>918.37721069773249</v>
      </c>
      <c r="HE242" s="535">
        <f t="shared" si="535"/>
        <v>299.3406814529767</v>
      </c>
      <c r="HF242" s="535"/>
      <c r="HG242" s="535">
        <f t="shared" si="533"/>
        <v>0</v>
      </c>
      <c r="HH242" s="535" t="str">
        <f t="shared" si="534"/>
        <v/>
      </c>
      <c r="HI242" s="535">
        <f>IF(GK242="P",Lookup!$N$12,IF(GK242="PP",Lookup!$N$13,IF(GK242="PPP",Lookup!$N$14,IF(GK242="T",Lookup!$N$15,IF(GK242="TP",Lookup!$N$16,IF(GK242="TPP",Lookup!$N$17,IF(GK242="TPPP",Lookup!$N$18,0)))))))*GJ242</f>
        <v>0</v>
      </c>
      <c r="HJ242" s="521">
        <f t="shared" si="627"/>
        <v>0</v>
      </c>
      <c r="HK242" s="535">
        <f t="shared" si="628"/>
        <v>241.87706276000111</v>
      </c>
      <c r="HL242" s="535">
        <f t="shared" si="536"/>
        <v>78.838677561929956</v>
      </c>
      <c r="HM242" s="535"/>
      <c r="HN242" s="541"/>
      <c r="HO242" s="541"/>
      <c r="HP242" s="541"/>
      <c r="HQ242" s="541">
        <f>IF(AND(B242&gt;=$FV$4,B242&lt;=$FW$4),MAX(110/1.02+$HQ$6+MIN(113/1.02,G242),IF($HV$6-(Sheet1!DA240-Sheet1!DB240)+MIN(113/1.02,G242)&lt;G242+FL242,$HV$6-(Sheet1!DA240-Sheet1!DB240)+MIN(113/1.02,G242),G242+FL242)),MIN(110/1.02+$HQ$6+113/1.02,G242))</f>
        <v>218.62745098039215</v>
      </c>
      <c r="HR242" s="541">
        <f t="shared" si="552"/>
        <v>223</v>
      </c>
      <c r="HS242" s="541">
        <f>HR242+(Sheet1!DA240-Sheet1!DB240)</f>
        <v>382</v>
      </c>
      <c r="HT242" s="541">
        <f t="shared" si="553"/>
        <v>89.876543880597012</v>
      </c>
      <c r="HU242" s="541">
        <f t="shared" si="554"/>
        <v>292.12345611940299</v>
      </c>
      <c r="HV242" s="541">
        <f t="shared" si="555"/>
        <v>0</v>
      </c>
      <c r="HW242" s="533" t="str">
        <f t="shared" si="556"/>
        <v/>
      </c>
      <c r="HX242" s="541">
        <f t="shared" si="557"/>
        <v>57.924049019607878</v>
      </c>
      <c r="HY242" s="541">
        <f>Sheet1!CZ240</f>
        <v>316</v>
      </c>
      <c r="HZ242" s="541">
        <f t="shared" si="558"/>
        <v>39.448499999999996</v>
      </c>
      <c r="IA242" s="541">
        <f t="shared" si="559"/>
        <v>89.876543880597012</v>
      </c>
      <c r="IB242" s="541">
        <f t="shared" si="560"/>
        <v>276.55150000000003</v>
      </c>
      <c r="IC242" s="1019" t="str">
        <f t="shared" si="561"/>
        <v/>
      </c>
      <c r="ID242" s="541">
        <f t="shared" si="562"/>
        <v>186.67495611940302</v>
      </c>
      <c r="IE242" s="541">
        <f>Sheet1!DB240</f>
        <v>190</v>
      </c>
      <c r="IF242" s="533">
        <f>Sheet1!DA240</f>
        <v>349</v>
      </c>
      <c r="IH242" s="541">
        <f>IF(AND($B242&gt;=$GC242,$B242&lt;=$GH242,$DR242&lt;0)+N("only adjusted when pool is drawn down during storage season"),Sheet1!$DB240+$DR242+N("Palmer minus all storage release"),Sheet1!$DB240)</f>
        <v>-7.1255673223571421</v>
      </c>
      <c r="II242" s="541">
        <f>IF(AND($B242&gt;=$GC242,$B242&lt;=$GH242,$DR242&lt;0)+N("only adjusted when pool is drawn down during storage season"),Sheet1!$DA240+$DR242+N("Auburn minus all storage release"),Sheet1!$DA240)</f>
        <v>151.87443267764286</v>
      </c>
    </row>
    <row r="243" spans="1:243" x14ac:dyDescent="0.25">
      <c r="A243" s="553" t="s">
        <v>3</v>
      </c>
      <c r="B243" s="531">
        <v>42967</v>
      </c>
      <c r="C243" s="536">
        <v>0</v>
      </c>
      <c r="D243" s="506">
        <f t="shared" si="506"/>
        <v>200</v>
      </c>
      <c r="E243" s="506">
        <f t="shared" si="507"/>
        <v>400</v>
      </c>
      <c r="F243" s="506">
        <v>250</v>
      </c>
      <c r="G243" s="535">
        <f>DR243+Sheet1!CZ241</f>
        <v>113.47856782581809</v>
      </c>
      <c r="H243" s="1074">
        <f t="shared" si="563"/>
        <v>0</v>
      </c>
      <c r="I243" s="534">
        <f>IF(Sheet1!DA241&gt;=E243,(Sheet1!DA241-E243+P243)*CFStoMGD,0)</f>
        <v>0</v>
      </c>
      <c r="J243" s="995">
        <f>IF(Sheet1!DB241&gt;=D243,(Sheet1!DB241-D243+P243)*CFStoMGD,0)</f>
        <v>0</v>
      </c>
      <c r="K243" s="818">
        <f t="shared" si="538"/>
        <v>0</v>
      </c>
      <c r="L243" s="535">
        <f>Sheet1!AA241+Sheet1!AB241-Sheet1!L241+(Sheet1!DA241-F243)*CFStoMGD-S243-T243-U243</f>
        <v>120.73254244814493</v>
      </c>
      <c r="M243" s="535">
        <f t="shared" si="569"/>
        <v>74.819597167460998</v>
      </c>
      <c r="N243" s="824">
        <f>IF(Sheet1!DA241&gt;=F243,MIN(113*CFStoMGD,MIN(MAX(L243,0),MAX(M243,0))),0)</f>
        <v>73.043199999999999</v>
      </c>
      <c r="O243" s="538">
        <f>Sheet1!AA241+Sheet1!AB241</f>
        <v>81.31</v>
      </c>
      <c r="P243" s="538">
        <f t="shared" si="570"/>
        <v>125.78656999999998</v>
      </c>
      <c r="Q243" s="812">
        <f t="shared" si="539"/>
        <v>56.738942448144904</v>
      </c>
      <c r="R243" s="812">
        <f t="shared" si="508"/>
        <v>25.5</v>
      </c>
      <c r="S243" s="812">
        <f t="shared" si="509"/>
        <v>0</v>
      </c>
      <c r="T243" s="812">
        <f t="shared" si="510"/>
        <v>0</v>
      </c>
      <c r="U243" s="812">
        <f>IF(AND(B243&gt;=FV243,B243&lt;=FW243),ED243+Sheet1!EH241,0)</f>
        <v>24.571057551855098</v>
      </c>
      <c r="V243" s="812"/>
      <c r="W243" s="812">
        <f t="shared" si="511"/>
        <v>0</v>
      </c>
      <c r="X243" s="812">
        <f t="shared" si="512"/>
        <v>0</v>
      </c>
      <c r="Y243" s="812" t="str">
        <f t="shared" si="513"/>
        <v>FALSE</v>
      </c>
      <c r="Z243" s="812">
        <f t="shared" si="514"/>
        <v>81.31</v>
      </c>
      <c r="AA243" s="812">
        <f t="shared" si="515"/>
        <v>81.31</v>
      </c>
      <c r="AB243" s="1059">
        <f t="shared" si="540"/>
        <v>87.775143967280158</v>
      </c>
      <c r="AC243" s="538">
        <f>Sheet1!Y241*MGDtoCFS</f>
        <v>73.575320000000005</v>
      </c>
      <c r="AD243" s="538">
        <f>Sheet1!Z241*MGDtoCFS</f>
        <v>54.423459999999999</v>
      </c>
      <c r="AE243" s="538">
        <f>Sheet1!AA241*MGDtoCFS</f>
        <v>73.173099999999991</v>
      </c>
      <c r="AF243" s="538">
        <f>Sheet1!AB241*MGDtoCFS</f>
        <v>52.613469999999992</v>
      </c>
      <c r="AG243" s="538">
        <f>Sheet1!L241*MGDtoCFS</f>
        <v>0</v>
      </c>
      <c r="AH243" s="521">
        <f>AU243+BN243+CI243+DB243</f>
        <v>25.5</v>
      </c>
      <c r="AI243" s="1059">
        <f t="shared" si="572"/>
        <v>39.448499999999996</v>
      </c>
      <c r="AJ243" s="535">
        <f t="shared" si="573"/>
        <v>0</v>
      </c>
      <c r="AK243" s="535">
        <f t="shared" si="574"/>
        <v>0</v>
      </c>
      <c r="AL243" s="535">
        <f>(VLOOKUP(Sheet1!DC241,hhdcap_wcm,4)-(((VLOOKUP(Sheet1!DC241,hhdcap_wcm,3)-Sheet1!DC241)/(VLOOKUP(Sheet1!DC241,hhdcap_wcm,3)-VLOOKUP(Sheet1!DC241,hhdcap_wcm,1)))*(VLOOKUP(Sheet1!DC241,hhdcap_wcm,4)-VLOOKUP(Sheet1!DC241,hhdcap_wcm,2))))</f>
        <v>37568.000000094587</v>
      </c>
      <c r="AM243" s="535">
        <f t="shared" si="575"/>
        <v>-401.6000000014028</v>
      </c>
      <c r="AN243" s="1035">
        <f t="shared" si="576"/>
        <v>1977.2778551106524</v>
      </c>
      <c r="AO243" s="535">
        <f t="shared" si="577"/>
        <v>6066.2884594794814</v>
      </c>
      <c r="AP243" s="535">
        <f>Sheet1!BA241+Sheet1!BB241+Sheet1!BN241+CD243</f>
        <v>9.5</v>
      </c>
      <c r="AQ243" s="535">
        <f>Sheet1!BN241+(DO243*Sheet1!BN241)</f>
        <v>9.4389424481449016</v>
      </c>
      <c r="AR243" s="535">
        <f>Sheet1!BA241+CD243</f>
        <v>0</v>
      </c>
      <c r="AS243" s="535">
        <f>Sheet1!BA241+Sheet1!BB241+CD243</f>
        <v>0</v>
      </c>
      <c r="AT243" s="649">
        <f>0</f>
        <v>0</v>
      </c>
      <c r="AU243" s="974">
        <f>BA243+MAX(Sheet1!EH241,(O243-Q243-ED243-S243))</f>
        <v>0</v>
      </c>
      <c r="AV243" s="535">
        <f>IF(OR(B243&gt;=GD243,B243&lt;GC243),0,15/36*K243-MAX(0,64.6-(137.6-(Sheet1!AA241+Sheet1!AB241))))</f>
        <v>0</v>
      </c>
      <c r="AW243" s="1029"/>
      <c r="AX243" s="649"/>
      <c r="AY243" s="649">
        <f t="shared" si="541"/>
        <v>0</v>
      </c>
      <c r="AZ243" s="649">
        <f t="shared" si="542"/>
        <v>0</v>
      </c>
      <c r="BA243" s="1059">
        <f t="shared" si="543"/>
        <v>0</v>
      </c>
      <c r="BB243" s="1019">
        <f t="shared" si="578"/>
        <v>1178.8333333333335</v>
      </c>
      <c r="BC243" s="1041">
        <f t="shared" si="544"/>
        <v>0</v>
      </c>
      <c r="BD243" s="1019">
        <f ca="1">IF(B243&gt;(Summary!$A$1-1),#N/A,BB243*MGtoAF)</f>
        <v>3616.6606666666671</v>
      </c>
      <c r="BE243" s="535">
        <f>Sheet1!BG241+Sheet1!BH241+Sheet1!BI241-BM243</f>
        <v>6.4</v>
      </c>
      <c r="BF243" s="535">
        <f t="shared" si="579"/>
        <v>6.3588664913818294</v>
      </c>
      <c r="BG243" s="535">
        <f>IF(Sheet1!EP241="FM",BM243,0)</f>
        <v>0</v>
      </c>
      <c r="BH243" s="535">
        <f t="shared" si="580"/>
        <v>0</v>
      </c>
      <c r="BI243" s="535">
        <f>IF(Sheet1!EP241="OTHER",BM243,0)</f>
        <v>0</v>
      </c>
      <c r="BJ243" s="535">
        <f t="shared" si="581"/>
        <v>0</v>
      </c>
      <c r="BK243" s="535">
        <f t="shared" si="582"/>
        <v>6.4</v>
      </c>
      <c r="BL243" s="535">
        <f t="shared" si="583"/>
        <v>6.3588664913818294</v>
      </c>
      <c r="BM243" s="535">
        <f>IF(OR(Sheet1!EP241="FM", Sheet1!EP241="OTHER"),SUM(Sheet1!BG241:'Sheet1'!BI241),0)</f>
        <v>0</v>
      </c>
      <c r="BN243" s="521">
        <f>IF(AND($B243&gt;=$FV243,$B243&lt;=$FW243),MAX(BF243,Sheet1!EI241,0),MAX(BF243-(7/36)*$K243,0))</f>
        <v>7</v>
      </c>
      <c r="BO243" s="535">
        <f t="shared" si="584"/>
        <v>0</v>
      </c>
      <c r="BP243" s="521">
        <f t="shared" si="585"/>
        <v>0</v>
      </c>
      <c r="BQ243" s="521">
        <f>IF(AND($O243&gt;0,Sheet1!EM241=1),(1-($O243-Sheet1!$L241)/$O243)*BL243,0)</f>
        <v>0</v>
      </c>
      <c r="BR243" s="521">
        <f>IF(AND(Sheet1!$L241=0,Sheet1!$L240=0, Calculation!BK243&lt;Sheet1!$EI241-0.1,Sheet1!$EI241=Sheet1!$EI240,Sheet1!$EI241=Sheet1!$EI242),BL243-BQ243,BL243-BQ243)</f>
        <v>6.3588664913818294</v>
      </c>
      <c r="BS243" s="1035" t="str">
        <f t="shared" si="545"/>
        <v/>
      </c>
      <c r="BT243" s="1035">
        <f t="shared" si="546"/>
        <v>0</v>
      </c>
      <c r="BU243" s="535">
        <f t="shared" si="586"/>
        <v>438.76516276241216</v>
      </c>
      <c r="BV243" s="535"/>
      <c r="BW243" s="535">
        <f ca="1">IF(B243&gt;(Summary!$A$1-1),#N/A,BU243*MGtoAF)</f>
        <v>1346.1315193550806</v>
      </c>
      <c r="BX243" s="535">
        <f>Sheet1!BC241+Sheet1!BD241+Sheet1!BE241+Sheet1!BF241-CG243-CH243</f>
        <v>6.49</v>
      </c>
      <c r="BY243" s="535">
        <f t="shared" si="587"/>
        <v>6.4482880514168865</v>
      </c>
      <c r="BZ243" s="535">
        <f>IF(Sheet1!EQ241="FM",CH243,0)</f>
        <v>0</v>
      </c>
      <c r="CA243" s="535">
        <f t="shared" si="588"/>
        <v>0</v>
      </c>
      <c r="CB243" s="535">
        <f>IF(Sheet1!EQ241="OTHER",CH243,0)</f>
        <v>0</v>
      </c>
      <c r="CC243" s="535">
        <f t="shared" si="589"/>
        <v>0</v>
      </c>
      <c r="CD243" s="535">
        <f t="shared" si="590"/>
        <v>0</v>
      </c>
      <c r="CE243" s="535">
        <f t="shared" si="591"/>
        <v>6.49</v>
      </c>
      <c r="CF243" s="535">
        <f t="shared" si="592"/>
        <v>6.4482880514168865</v>
      </c>
      <c r="CG243" s="535">
        <f>IF(Sheet1!EQ241="CWA",SUM(Sheet1!BC241:'Sheet1'!BF241),0)</f>
        <v>0</v>
      </c>
      <c r="CH243" s="535">
        <f>IF(OR(Sheet1!EQ241="FM", Sheet1!EQ241="OTHER"),SUM(Sheet1!BC241:'Sheet1'!BF241),0)</f>
        <v>0</v>
      </c>
      <c r="CI243" s="521">
        <f>IF(AND($B243&gt;=$FV243,$B243&lt;=$FW243),MAX(CF243,Sheet1!EJ241,0),MAX(CF243-(7/36)*$K243,0))</f>
        <v>6.5</v>
      </c>
      <c r="CJ243" s="535">
        <f t="shared" si="593"/>
        <v>0</v>
      </c>
      <c r="CK243" s="521">
        <f t="shared" si="594"/>
        <v>0</v>
      </c>
      <c r="CL243" s="521">
        <f>IF(AND($O243&gt;0,Sheet1!EN241=1),(1-($O243-Sheet1!$L241)/$O243)*CF243,0)</f>
        <v>0</v>
      </c>
      <c r="CM243" s="521">
        <f>IF(AND(Sheet1!$L241=0,Sheet1!$L240=0, Calculation!CE243&lt;Sheet1!EJ241-0.1,Sheet1!EJ241=Sheet1!EJ240,Sheet1!EJ241=Sheet1!EJ242),CF243-CL243,CF243-CL243)</f>
        <v>6.4482880514168865</v>
      </c>
      <c r="CN243" s="1040" t="str">
        <f t="shared" si="547"/>
        <v/>
      </c>
      <c r="CO243" s="1035">
        <f t="shared" si="548"/>
        <v>0</v>
      </c>
      <c r="CP243" s="535">
        <f t="shared" si="595"/>
        <v>292.8406814529767</v>
      </c>
      <c r="CQ243" s="535"/>
      <c r="CR243" s="535">
        <f ca="1">IF(B243&gt;(Summary!$A$1-1),#N/A,CP243*MGtoAF)</f>
        <v>898.43521069773249</v>
      </c>
      <c r="CS243" s="535">
        <f>Sheet1!BK241+Sheet1!BL241+Sheet1!BM241-Sheet1!ER241-DA243</f>
        <v>11.84</v>
      </c>
      <c r="CT243" s="535">
        <f t="shared" si="596"/>
        <v>11.763903009056383</v>
      </c>
      <c r="CU243" s="535">
        <f>IF(Sheet1!ER241="FM",DA243,0)</f>
        <v>0</v>
      </c>
      <c r="CV243" s="535">
        <f t="shared" si="597"/>
        <v>0</v>
      </c>
      <c r="CW243" s="535">
        <f>IF(Sheet1!ER241="OTHER",DA243,0)</f>
        <v>0</v>
      </c>
      <c r="CX243" s="535">
        <f t="shared" si="598"/>
        <v>0</v>
      </c>
      <c r="CY243" s="535">
        <f t="shared" si="599"/>
        <v>11.84</v>
      </c>
      <c r="CZ243" s="535">
        <f t="shared" si="600"/>
        <v>11.763903009056383</v>
      </c>
      <c r="DA243" s="535">
        <f>IF(OR(Sheet1!ER241="FM", Sheet1!ER241="OTHER"),SUM(Sheet1!BK241:'Sheet1'!BM241),0)</f>
        <v>0</v>
      </c>
      <c r="DB243" s="1011">
        <f>IF(AND($B243&gt;=$FV243,$B243&lt;=$FW243),MAX($CT243,Sheet1!EK241,0),MAX($CT243-(7/36)*$K243,0))</f>
        <v>12</v>
      </c>
      <c r="DC243" s="1012">
        <f t="shared" si="601"/>
        <v>0</v>
      </c>
      <c r="DD243" s="1011">
        <f t="shared" si="602"/>
        <v>0</v>
      </c>
      <c r="DE243" s="521">
        <f>IF(AND($O243&gt;0,Sheet1!EO241=1),(1-($O243-Sheet1!$L241)/$O243)*CZ243,0)</f>
        <v>0</v>
      </c>
      <c r="DF243" s="521">
        <f>IF(AND(Sheet1!$L241=0,Sheet1!$L240=0, Calculation!CY243&lt;Sheet1!$EK241-0.1,Sheet1!$EK241=Sheet1!$EK240,Sheet1!$EK241=Sheet1!$EK242),CZ243-DE243,CZ243-DE243)</f>
        <v>11.763903009056383</v>
      </c>
      <c r="DG243" s="1040">
        <f t="shared" si="549"/>
        <v>0</v>
      </c>
      <c r="DH243" s="649">
        <f t="shared" si="603"/>
        <v>24.73</v>
      </c>
      <c r="DI243" s="535">
        <f t="shared" si="604"/>
        <v>66.838677561929956</v>
      </c>
      <c r="DJ243" s="649">
        <f t="shared" si="605"/>
        <v>24.571057551855098</v>
      </c>
      <c r="DK243" s="535">
        <f ca="1">IF(B243&gt;(Summary!$A$1-1),#N/A,DI243*MGtoAF)</f>
        <v>205.06106276000111</v>
      </c>
      <c r="DL243" s="649">
        <f t="shared" si="606"/>
        <v>24.729999999999997</v>
      </c>
      <c r="DM243" s="535">
        <f t="shared" si="607"/>
        <v>34.229999999999997</v>
      </c>
      <c r="DN243" s="535">
        <f>Sheet1!AB241-DM243</f>
        <v>-0.21999999999999886</v>
      </c>
      <c r="DO243" s="743">
        <f t="shared" si="608"/>
        <v>-6.427110721589217E-3</v>
      </c>
      <c r="DP243" s="535">
        <f>(VLOOKUP(Sheet1!DC241,hhdcap_wcm,4)-(((VLOOKUP(Sheet1!DC241,hhdcap_wcm,3)-Sheet1!DC241)/(VLOOKUP(Sheet1!DC241,hhdcap_wcm,3)-VLOOKUP(Sheet1!DC241,hhdcap_wcm,1)))*(VLOOKUP(Sheet1!DC241,hhdcap_wcm,4)-VLOOKUP(Sheet1!DC241,hhdcap_wcm,2))))</f>
        <v>37568.000000094587</v>
      </c>
      <c r="DQ243" s="535">
        <f t="shared" si="609"/>
        <v>-401.6000000014028</v>
      </c>
      <c r="DR243" s="535">
        <f t="shared" si="610"/>
        <v>-202.52143217418191</v>
      </c>
      <c r="DS243" s="535">
        <f>Sheet1!EA241*AFtoMG</f>
        <v>0</v>
      </c>
      <c r="DT243" s="535">
        <f>Sheet1!EB241*AFtoMG</f>
        <v>0</v>
      </c>
      <c r="DU243" s="535">
        <f>Sheet1!EC241*AFtoMG</f>
        <v>0</v>
      </c>
      <c r="DV243" s="535">
        <f>Sheet1!ED241*AFtoMG</f>
        <v>0</v>
      </c>
      <c r="DW243" s="535">
        <f t="shared" si="611"/>
        <v>0</v>
      </c>
      <c r="DX243" s="535">
        <f t="shared" si="612"/>
        <v>0</v>
      </c>
      <c r="DY243" s="535">
        <f t="shared" si="613"/>
        <v>1977.2778551106524</v>
      </c>
      <c r="DZ243" s="535">
        <f t="shared" si="614"/>
        <v>6066.2884594794814</v>
      </c>
      <c r="EA243" s="535"/>
      <c r="EB243" s="521">
        <f>IF(OR(B243&lt;FV243,B243&gt;FW243),(MIN(BF243+BY243+CT243+MAX(Sheet1!AA241+AQ243-73,0),K243)),0)</f>
        <v>0</v>
      </c>
      <c r="EC243" s="535"/>
      <c r="ED243" s="535">
        <f t="shared" si="615"/>
        <v>24.571057551855098</v>
      </c>
      <c r="EE243" s="535"/>
      <c r="EF243" s="535">
        <f>Sheet1!EH241+Sheet1!EI241+Sheet1!EJ241+Sheet1!EK241</f>
        <v>25.5</v>
      </c>
      <c r="EG243" s="1019">
        <f t="shared" si="550"/>
        <v>39.448499999999996</v>
      </c>
      <c r="EH243" s="521">
        <f t="shared" si="616"/>
        <v>0</v>
      </c>
      <c r="EI243" s="535">
        <f>IF(Sheet1!ET241=1,SUM('Calculations II'!AT243:BA243)+'Calculations II'!BC243+Sheet1!BV241+'Calculations II'!BE243+AP243,'Calculations II'!BK243)</f>
        <v>71.517782448144914</v>
      </c>
      <c r="EJ243" s="535">
        <f ca="1">EI243+'Calculations II'!D243+'Calculations II'!E243+'Calculations II'!O243</f>
        <v>70.786707722073643</v>
      </c>
      <c r="EK243" s="535"/>
      <c r="EL243" s="535"/>
      <c r="EM243" s="535">
        <f t="shared" si="617"/>
        <v>42967</v>
      </c>
      <c r="EN243" s="535">
        <f t="shared" si="618"/>
        <v>-25.5</v>
      </c>
      <c r="EO243" s="535">
        <f t="shared" si="619"/>
        <v>-39.448499999999996</v>
      </c>
      <c r="EP243" s="535">
        <v>0</v>
      </c>
      <c r="EQ243" s="535">
        <v>0</v>
      </c>
      <c r="ER243" s="535">
        <v>0</v>
      </c>
      <c r="ES243" s="521">
        <f t="shared" si="516"/>
        <v>0.83163935545503342</v>
      </c>
      <c r="ET243" s="535">
        <f>-(VLOOKUP(Sheet1!BQ241,Lookup!$O$4:$Q$262,2)-VLOOKUP(Sheet1!BQ240,Lookup!$O$4:$Q$262,2))/1000000</f>
        <v>0.41576197808093951</v>
      </c>
      <c r="EU243" s="535">
        <f>-(VLOOKUP(Sheet1!BR241,Lookup!$O$4:$Q$262,3)-VLOOKUP(Sheet1!BR240,Lookup!$O$4:$Q$262,3))/1000000</f>
        <v>0.41587737737409397</v>
      </c>
      <c r="EV243" s="535"/>
      <c r="EW243" s="535"/>
      <c r="EX243" s="535"/>
      <c r="EY243" s="535"/>
      <c r="EZ243" s="535"/>
      <c r="FA243" s="535"/>
      <c r="FB243" s="535"/>
      <c r="FC243" s="535"/>
      <c r="FD243" s="567">
        <f t="shared" si="566"/>
        <v>1132.067741935411</v>
      </c>
      <c r="FE243" s="567" t="e">
        <f t="shared" si="620"/>
        <v>#N/A</v>
      </c>
      <c r="FF243" s="568" t="e">
        <f t="shared" si="621"/>
        <v>#N/A</v>
      </c>
      <c r="FG243" s="569" t="s">
        <v>656</v>
      </c>
      <c r="FH243" s="569" t="s">
        <v>656</v>
      </c>
      <c r="FI243" s="567" t="e">
        <v>#N/A</v>
      </c>
      <c r="FJ243" s="725">
        <v>17712</v>
      </c>
      <c r="FK243" s="535"/>
      <c r="FL243" s="1015">
        <f t="shared" si="565"/>
        <v>84.215834594049412</v>
      </c>
      <c r="FM243" s="535"/>
      <c r="FN243" s="535"/>
      <c r="FO243" s="535">
        <f>O243+((Sheet1!CS241)*GPMtoMGD)</f>
        <v>94.968544000000009</v>
      </c>
      <c r="FP243" s="535">
        <f>IF(Sheet1!AA241+AQ243&lt;=Calculation!N243,AQ243,Calculation!N243-Sheet1!AA241)</f>
        <v>9.4389424481449016</v>
      </c>
      <c r="FQ243" s="535">
        <f>(Sheet1!BP241+Sheet1!BO241)/694.4</f>
        <v>3.5587557603686641</v>
      </c>
      <c r="FR243" s="541"/>
      <c r="FS243" s="541"/>
      <c r="FT243" s="541"/>
      <c r="FU243" s="541"/>
      <c r="FV243" s="1109">
        <f t="shared" si="517"/>
        <v>42918</v>
      </c>
      <c r="FW243" s="1109">
        <f t="shared" si="518"/>
        <v>43027</v>
      </c>
      <c r="FX243" s="541"/>
      <c r="FY243" s="541">
        <f>Sheet1!DA241-Sheet1!CZ241-Sheet1!AE241</f>
        <v>-92.786569999999998</v>
      </c>
      <c r="FZ243" s="535">
        <f t="shared" si="551"/>
        <v>-0.8176572173736022</v>
      </c>
      <c r="GA243" s="535"/>
      <c r="GB243" s="535" t="str">
        <f t="shared" si="519"/>
        <v>n</v>
      </c>
      <c r="GC243" s="539">
        <f t="shared" si="520"/>
        <v>42782</v>
      </c>
      <c r="GD243" s="1109">
        <f t="shared" si="521"/>
        <v>42904</v>
      </c>
      <c r="GE243" s="535">
        <f t="shared" si="537"/>
        <v>6520</v>
      </c>
      <c r="GF243" s="1109">
        <f t="shared" si="522"/>
        <v>42909</v>
      </c>
      <c r="GG243" s="535">
        <f t="shared" si="564"/>
        <v>3260</v>
      </c>
      <c r="GH243" s="539">
        <f t="shared" si="523"/>
        <v>43040</v>
      </c>
      <c r="GJ243" s="521">
        <f t="shared" si="524"/>
        <v>0</v>
      </c>
      <c r="GK243" s="535" t="str">
        <f t="shared" si="622"/>
        <v/>
      </c>
      <c r="GL243" s="535">
        <f t="shared" si="525"/>
        <v>0</v>
      </c>
      <c r="GM243" s="535" t="str">
        <f t="shared" si="526"/>
        <v/>
      </c>
      <c r="GN243" s="535">
        <f>IF(GK243="P",Lookup!$M$12,IF(GK243="PP",Lookup!$M$13,IF(GK243="PPP",Lookup!$M$14,IF(GK243="T",Lookup!$M$15,IF(GK243="TP",Lookup!$M$16,IF(GK243="TPP",Lookup!$M$17,IF(GK243="TPPP",Lookup!$M$18,0)))))))*GJ243</f>
        <v>0</v>
      </c>
      <c r="GO243" s="535">
        <f t="shared" si="527"/>
        <v>0</v>
      </c>
      <c r="GP243" s="535">
        <f t="shared" si="623"/>
        <v>3616.6606666666671</v>
      </c>
      <c r="GQ243" s="974">
        <f t="shared" si="567"/>
        <v>1178.8333333333335</v>
      </c>
      <c r="GR243" s="535"/>
      <c r="GS243" s="535">
        <f t="shared" si="528"/>
        <v>0</v>
      </c>
      <c r="GT243" s="535" t="str">
        <f t="shared" si="529"/>
        <v/>
      </c>
      <c r="GU243" s="535">
        <f>IF(GK243="P",Lookup!$N$12,IF(GK243="PP",Lookup!$N$13,IF(GK243="PPP",Lookup!$N$14,IF(GK243="T",Lookup!$N$15,IF(GK243="TP",Lookup!$N$16,IF(GK243="TPP",Lookup!$N$17,IF(GK243="TPPP",Lookup!$N$18,0)))))))*GJ243</f>
        <v>0</v>
      </c>
      <c r="GV243" s="535">
        <f t="shared" si="530"/>
        <v>0</v>
      </c>
      <c r="GW243" s="535">
        <f t="shared" si="624"/>
        <v>1346.1315193550806</v>
      </c>
      <c r="GX243" s="974">
        <f t="shared" si="568"/>
        <v>438.76516276241216</v>
      </c>
      <c r="GY243" s="535"/>
      <c r="GZ243" s="535">
        <f t="shared" si="531"/>
        <v>0</v>
      </c>
      <c r="HA243" s="535" t="str">
        <f t="shared" si="532"/>
        <v/>
      </c>
      <c r="HB243" s="535">
        <f>IF(GK243="P",Lookup!$N$12,IF(GK243="PP",Lookup!$N$13,IF(GK243="PPP",Lookup!$N$14,IF(GK243="T",Lookup!$N$15,IF(GK243="TP",Lookup!$N$16,IF(GK243="TPP",Lookup!$N$17,IF(GK243="TPPP",Lookup!$N$18,0)))))))*GJ243</f>
        <v>0</v>
      </c>
      <c r="HC243" s="521">
        <f t="shared" si="625"/>
        <v>0</v>
      </c>
      <c r="HD243" s="535">
        <f t="shared" si="626"/>
        <v>898.43521069773249</v>
      </c>
      <c r="HE243" s="535">
        <f t="shared" si="535"/>
        <v>292.8406814529767</v>
      </c>
      <c r="HF243" s="535"/>
      <c r="HG243" s="535">
        <f t="shared" si="533"/>
        <v>0</v>
      </c>
      <c r="HH243" s="535" t="str">
        <f t="shared" si="534"/>
        <v/>
      </c>
      <c r="HI243" s="535">
        <f>IF(GK243="P",Lookup!$N$12,IF(GK243="PP",Lookup!$N$13,IF(GK243="PPP",Lookup!$N$14,IF(GK243="T",Lookup!$N$15,IF(GK243="TP",Lookup!$N$16,IF(GK243="TPP",Lookup!$N$17,IF(GK243="TPPP",Lookup!$N$18,0)))))))*GJ243</f>
        <v>0</v>
      </c>
      <c r="HJ243" s="521">
        <f t="shared" si="627"/>
        <v>0</v>
      </c>
      <c r="HK243" s="535">
        <f t="shared" si="628"/>
        <v>205.06106276000111</v>
      </c>
      <c r="HL243" s="535">
        <f t="shared" si="536"/>
        <v>66.838677561929956</v>
      </c>
      <c r="HM243" s="535"/>
      <c r="HN243" s="541"/>
      <c r="HO243" s="541"/>
      <c r="HP243" s="541"/>
      <c r="HQ243" s="541">
        <f>IF(AND(B243&gt;=$FV$4,B243&lt;=$FW$4),MAX(110/1.02+$HQ$6+MIN(113/1.02,G243),IF($HV$6-(Sheet1!DA241-Sheet1!DB241)+MIN(113/1.02,G243)&lt;G243+FL243,$HV$6-(Sheet1!DA241-Sheet1!DB241)+MIN(113/1.02,G243),G243+FL243)),MIN(110/1.02+$HQ$6+113/1.02,G243))</f>
        <v>218.62745098039215</v>
      </c>
      <c r="HR243" s="541">
        <f t="shared" si="552"/>
        <v>223</v>
      </c>
      <c r="HS243" s="541">
        <f>HR243+(Sheet1!DA241-Sheet1!DB241)</f>
        <v>378</v>
      </c>
      <c r="HT243" s="541">
        <f t="shared" si="553"/>
        <v>87.775143967280158</v>
      </c>
      <c r="HU243" s="541">
        <f t="shared" si="554"/>
        <v>290.22485603271986</v>
      </c>
      <c r="HV243" s="541">
        <f t="shared" si="555"/>
        <v>0</v>
      </c>
      <c r="HW243" s="533" t="str">
        <f t="shared" si="556"/>
        <v/>
      </c>
      <c r="HX243" s="541">
        <f t="shared" si="557"/>
        <v>57.924049019607878</v>
      </c>
      <c r="HY243" s="541">
        <f>Sheet1!CZ241</f>
        <v>316</v>
      </c>
      <c r="HZ243" s="541">
        <f t="shared" si="558"/>
        <v>39.448499999999996</v>
      </c>
      <c r="IA243" s="541">
        <f t="shared" si="559"/>
        <v>87.775143967280158</v>
      </c>
      <c r="IB243" s="541">
        <f t="shared" si="560"/>
        <v>276.55150000000003</v>
      </c>
      <c r="IC243" s="1019" t="str">
        <f t="shared" si="561"/>
        <v/>
      </c>
      <c r="ID243" s="541">
        <f t="shared" si="562"/>
        <v>188.77635603271989</v>
      </c>
      <c r="IE243" s="541">
        <f>Sheet1!DB241</f>
        <v>194</v>
      </c>
      <c r="IF243" s="533">
        <f>Sheet1!DA241</f>
        <v>349</v>
      </c>
      <c r="IH243" s="541">
        <f>IF(AND($B243&gt;=$GC243,$B243&lt;=$GH243,$DR243&lt;0)+N("only adjusted when pool is drawn down during storage season"),Sheet1!$DB241+$DR243+N("Palmer minus all storage release"),Sheet1!$DB241)</f>
        <v>-8.5214321741819106</v>
      </c>
      <c r="II243" s="541">
        <f>IF(AND($B243&gt;=$GC243,$B243&lt;=$GH243,$DR243&lt;0)+N("only adjusted when pool is drawn down during storage season"),Sheet1!$DA241+$DR243+N("Auburn minus all storage release"),Sheet1!$DA241)</f>
        <v>146.47856782581809</v>
      </c>
    </row>
    <row r="244" spans="1:243" x14ac:dyDescent="0.25">
      <c r="A244" s="553" t="s">
        <v>4</v>
      </c>
      <c r="B244" s="531">
        <v>42968</v>
      </c>
      <c r="C244" s="536">
        <v>0</v>
      </c>
      <c r="D244" s="506">
        <f t="shared" si="506"/>
        <v>200</v>
      </c>
      <c r="E244" s="506">
        <f t="shared" si="507"/>
        <v>400</v>
      </c>
      <c r="F244" s="506">
        <v>250</v>
      </c>
      <c r="G244" s="535">
        <f>DR244+Sheet1!CZ242</f>
        <v>118.99243570289033</v>
      </c>
      <c r="H244" s="1074">
        <f t="shared" si="563"/>
        <v>0</v>
      </c>
      <c r="I244" s="534">
        <f>IF(Sheet1!DA242&gt;=E244,(Sheet1!DA242-E244+P244)*CFStoMGD,0)</f>
        <v>0</v>
      </c>
      <c r="J244" s="995">
        <f>IF(Sheet1!DB242&gt;=D244,(Sheet1!DB242-D244+P244)*CFStoMGD,0)</f>
        <v>0</v>
      </c>
      <c r="K244" s="818">
        <f t="shared" si="538"/>
        <v>0</v>
      </c>
      <c r="L244" s="535">
        <f>Sheet1!AA242+Sheet1!AB242-Sheet1!L242+(Sheet1!DA242-F244)*CFStoMGD-S244-T244-U244</f>
        <v>121.91773397706699</v>
      </c>
      <c r="M244" s="535">
        <f t="shared" si="569"/>
        <v>78.455044647115287</v>
      </c>
      <c r="N244" s="824">
        <f>IF(Sheet1!DA242&gt;=F244,MIN(113*CFStoMGD,MIN(MAX(L244,0),MAX(M244,0))),0)</f>
        <v>73.043199999999999</v>
      </c>
      <c r="O244" s="538">
        <f>Sheet1!AA242+Sheet1!AB242</f>
        <v>82.92</v>
      </c>
      <c r="P244" s="538">
        <f t="shared" si="570"/>
        <v>128.27724000000001</v>
      </c>
      <c r="Q244" s="812">
        <f t="shared" si="539"/>
        <v>57.924133977066987</v>
      </c>
      <c r="R244" s="812">
        <f t="shared" si="508"/>
        <v>25.5</v>
      </c>
      <c r="S244" s="812">
        <f t="shared" si="509"/>
        <v>0</v>
      </c>
      <c r="T244" s="812">
        <f t="shared" si="510"/>
        <v>0</v>
      </c>
      <c r="U244" s="812">
        <f>IF(AND(B244&gt;=FV244,B244&lt;=FW244),ED244+Sheet1!EH242,0)</f>
        <v>24.995866022933015</v>
      </c>
      <c r="V244" s="812"/>
      <c r="W244" s="812">
        <f t="shared" si="511"/>
        <v>0</v>
      </c>
      <c r="X244" s="812">
        <f t="shared" si="512"/>
        <v>0</v>
      </c>
      <c r="Y244" s="812" t="str">
        <f t="shared" si="513"/>
        <v>FALSE</v>
      </c>
      <c r="Z244" s="812">
        <f t="shared" si="514"/>
        <v>82.92</v>
      </c>
      <c r="AA244" s="812">
        <f t="shared" si="515"/>
        <v>82.92</v>
      </c>
      <c r="AB244" s="1059">
        <f t="shared" si="540"/>
        <v>89.608635262522625</v>
      </c>
      <c r="AC244" s="538">
        <f>Sheet1!Y242*MGDtoCFS</f>
        <v>73.173099999999991</v>
      </c>
      <c r="AD244" s="538">
        <f>Sheet1!Z242*MGDtoCFS</f>
        <v>52.489709999999995</v>
      </c>
      <c r="AE244" s="538">
        <f>Sheet1!AA242*MGDtoCFS</f>
        <v>77.30359</v>
      </c>
      <c r="AF244" s="538">
        <f>Sheet1!AB242*MGDtoCFS</f>
        <v>50.973649999999999</v>
      </c>
      <c r="AG244" s="538">
        <f>Sheet1!L242*MGDtoCFS</f>
        <v>0</v>
      </c>
      <c r="AH244" s="521">
        <f t="shared" si="571"/>
        <v>25.5</v>
      </c>
      <c r="AI244" s="1059">
        <f t="shared" si="572"/>
        <v>39.448499999999996</v>
      </c>
      <c r="AJ244" s="535">
        <f t="shared" si="573"/>
        <v>0</v>
      </c>
      <c r="AK244" s="535">
        <f t="shared" si="574"/>
        <v>0</v>
      </c>
      <c r="AL244" s="535">
        <f>(VLOOKUP(Sheet1!DC242,hhdcap_wcm,4)-(((VLOOKUP(Sheet1!DC242,hhdcap_wcm,3)-Sheet1!DC242)/(VLOOKUP(Sheet1!DC242,hhdcap_wcm,3)-VLOOKUP(Sheet1!DC242,hhdcap_wcm,1)))*(VLOOKUP(Sheet1!DC242,hhdcap_wcm,4)-VLOOKUP(Sheet1!DC242,hhdcap_wcm,2))))</f>
        <v>37181.300000093419</v>
      </c>
      <c r="AM244" s="535">
        <f t="shared" si="575"/>
        <v>-386.70000000116852</v>
      </c>
      <c r="AN244" s="1035">
        <f t="shared" si="576"/>
        <v>1951.7778551106524</v>
      </c>
      <c r="AO244" s="535">
        <f t="shared" si="577"/>
        <v>5988.0544594794819</v>
      </c>
      <c r="AP244" s="535">
        <f>Sheet1!BA242+Sheet1!BB242+Sheet1!BN242+CD244</f>
        <v>8</v>
      </c>
      <c r="AQ244" s="535">
        <f>Sheet1!BN242+(DO244*Sheet1!BN242)</f>
        <v>7.9541339770669888</v>
      </c>
      <c r="AR244" s="535">
        <f>Sheet1!BA242+CD244</f>
        <v>0</v>
      </c>
      <c r="AS244" s="535">
        <f>Sheet1!BA242+Sheet1!BB242+CD244</f>
        <v>0</v>
      </c>
      <c r="AT244" s="649">
        <f>0</f>
        <v>0</v>
      </c>
      <c r="AU244" s="974">
        <f>BA244+MAX(Sheet1!EH242,(O244-Q244-ED244-S244))</f>
        <v>0</v>
      </c>
      <c r="AV244" s="535">
        <f>IF(OR(B244&gt;=GD244,B244&lt;GC244),0,15/36*K244-MAX(0,64.6-(137.6-(Sheet1!AA242+Sheet1!AB242))))</f>
        <v>0</v>
      </c>
      <c r="AW244" s="1029"/>
      <c r="AX244" s="649"/>
      <c r="AY244" s="649">
        <f t="shared" si="541"/>
        <v>0</v>
      </c>
      <c r="AZ244" s="649">
        <f t="shared" si="542"/>
        <v>0</v>
      </c>
      <c r="BA244" s="1059">
        <f t="shared" si="543"/>
        <v>0</v>
      </c>
      <c r="BB244" s="1019">
        <f t="shared" si="578"/>
        <v>1178.8333333333335</v>
      </c>
      <c r="BC244" s="1041">
        <f t="shared" si="544"/>
        <v>0</v>
      </c>
      <c r="BD244" s="1019">
        <f ca="1">IF(B244&gt;(Summary!$A$1-1),#N/A,BB244*MGtoAF)</f>
        <v>3616.6606666666671</v>
      </c>
      <c r="BE244" s="535">
        <f>Sheet1!BG242+Sheet1!BH242+Sheet1!BI242-BM244</f>
        <v>6.79</v>
      </c>
      <c r="BF244" s="535">
        <f t="shared" si="579"/>
        <v>6.7510712130356074</v>
      </c>
      <c r="BG244" s="535">
        <f>IF(Sheet1!EP242="FM",BM244,0)</f>
        <v>0</v>
      </c>
      <c r="BH244" s="535">
        <f t="shared" si="580"/>
        <v>0</v>
      </c>
      <c r="BI244" s="535">
        <f>IF(Sheet1!EP242="OTHER",BM244,0)</f>
        <v>0</v>
      </c>
      <c r="BJ244" s="535">
        <f t="shared" si="581"/>
        <v>0</v>
      </c>
      <c r="BK244" s="535">
        <f t="shared" si="582"/>
        <v>6.79</v>
      </c>
      <c r="BL244" s="535">
        <f t="shared" si="583"/>
        <v>6.7510712130356074</v>
      </c>
      <c r="BM244" s="535">
        <f>IF(OR(Sheet1!EP242="FM", Sheet1!EP242="OTHER"),SUM(Sheet1!BG242:'Sheet1'!BI242),0)</f>
        <v>0</v>
      </c>
      <c r="BN244" s="521">
        <f>IF(AND($B244&gt;=$FV244,$B244&lt;=$FW244),MAX(BF244,Sheet1!EI242,0),MAX(BF244-(7/36)*$K244,0))</f>
        <v>7</v>
      </c>
      <c r="BO244" s="535">
        <f t="shared" si="584"/>
        <v>0</v>
      </c>
      <c r="BP244" s="521">
        <f t="shared" si="585"/>
        <v>0</v>
      </c>
      <c r="BQ244" s="521">
        <f>IF(AND($O244&gt;0,Sheet1!EM242=1),(1-($O244-Sheet1!$L242)/$O244)*BL244,0)</f>
        <v>0</v>
      </c>
      <c r="BR244" s="521">
        <f>IF(AND(Sheet1!$L242=0,Sheet1!$L241=0, Calculation!BK244&lt;Sheet1!$EI242-0.1,Sheet1!$EI242=Sheet1!$EI241,Sheet1!$EI242=Sheet1!$EI243),BL244-BQ244,BL244-BQ244)</f>
        <v>6.7510712130356074</v>
      </c>
      <c r="BS244" s="1035" t="str">
        <f t="shared" si="545"/>
        <v/>
      </c>
      <c r="BT244" s="1035">
        <f t="shared" si="546"/>
        <v>0</v>
      </c>
      <c r="BU244" s="535">
        <f t="shared" si="586"/>
        <v>431.76516276241216</v>
      </c>
      <c r="BV244" s="535"/>
      <c r="BW244" s="535">
        <f ca="1">IF(B244&gt;(Summary!$A$1-1),#N/A,BU244*MGtoAF)</f>
        <v>1324.6555193550805</v>
      </c>
      <c r="BX244" s="535">
        <f>Sheet1!BC242+Sheet1!BD242+Sheet1!BE242+Sheet1!BF242-CG244-CH244</f>
        <v>6.49</v>
      </c>
      <c r="BY244" s="535">
        <f t="shared" si="587"/>
        <v>6.4527911888955947</v>
      </c>
      <c r="BZ244" s="535">
        <f>IF(Sheet1!EQ242="FM",CH244,0)</f>
        <v>0</v>
      </c>
      <c r="CA244" s="535">
        <f t="shared" si="588"/>
        <v>0</v>
      </c>
      <c r="CB244" s="535">
        <f>IF(Sheet1!EQ242="OTHER",CH244,0)</f>
        <v>0</v>
      </c>
      <c r="CC244" s="535">
        <f t="shared" si="589"/>
        <v>0</v>
      </c>
      <c r="CD244" s="535">
        <f t="shared" si="590"/>
        <v>0</v>
      </c>
      <c r="CE244" s="535">
        <f t="shared" si="591"/>
        <v>6.49</v>
      </c>
      <c r="CF244" s="535">
        <f t="shared" si="592"/>
        <v>6.4527911888955947</v>
      </c>
      <c r="CG244" s="535">
        <f>IF(Sheet1!EQ242="CWA",SUM(Sheet1!BC242:'Sheet1'!BF242),0)</f>
        <v>0</v>
      </c>
      <c r="CH244" s="535">
        <f>IF(OR(Sheet1!EQ242="FM", Sheet1!EQ242="OTHER"),SUM(Sheet1!BC242:'Sheet1'!BF242),0)</f>
        <v>0</v>
      </c>
      <c r="CI244" s="521">
        <f>IF(AND($B244&gt;=$FV244,$B244&lt;=$FW244),MAX(CF244,Sheet1!EJ242,0),MAX(CF244-(7/36)*$K244,0))</f>
        <v>6.5</v>
      </c>
      <c r="CJ244" s="535">
        <f t="shared" si="593"/>
        <v>0</v>
      </c>
      <c r="CK244" s="521">
        <f t="shared" si="594"/>
        <v>0</v>
      </c>
      <c r="CL244" s="521">
        <f>IF(AND($O244&gt;0,Sheet1!EN242=1),(1-($O244-Sheet1!$L242)/$O244)*CF244,0)</f>
        <v>0</v>
      </c>
      <c r="CM244" s="521">
        <f>IF(AND(Sheet1!$L242=0,Sheet1!$L241=0, Calculation!CE244&lt;Sheet1!EJ242-0.1,Sheet1!EJ242=Sheet1!EJ241,Sheet1!EJ242=Sheet1!EJ243),CF244-CL244,CF244-CL244)</f>
        <v>6.4527911888955947</v>
      </c>
      <c r="CN244" s="1040" t="str">
        <f t="shared" si="547"/>
        <v/>
      </c>
      <c r="CO244" s="1035">
        <f t="shared" si="548"/>
        <v>0</v>
      </c>
      <c r="CP244" s="535">
        <f t="shared" si="595"/>
        <v>286.3406814529767</v>
      </c>
      <c r="CQ244" s="535"/>
      <c r="CR244" s="535">
        <f ca="1">IF(B244&gt;(Summary!$A$1-1),#N/A,CP244*MGtoAF)</f>
        <v>878.49321069773248</v>
      </c>
      <c r="CS244" s="535">
        <f>Sheet1!BK242+Sheet1!BL242+Sheet1!BM242-Sheet1!ER242-DA244</f>
        <v>11.86</v>
      </c>
      <c r="CT244" s="535">
        <f t="shared" si="596"/>
        <v>11.792003621001811</v>
      </c>
      <c r="CU244" s="535">
        <f>IF(Sheet1!ER242="FM",DA244,0)</f>
        <v>0</v>
      </c>
      <c r="CV244" s="535">
        <f t="shared" si="597"/>
        <v>0</v>
      </c>
      <c r="CW244" s="535">
        <f>IF(Sheet1!ER242="OTHER",DA244,0)</f>
        <v>0</v>
      </c>
      <c r="CX244" s="535">
        <f t="shared" si="598"/>
        <v>0</v>
      </c>
      <c r="CY244" s="535">
        <f t="shared" si="599"/>
        <v>11.86</v>
      </c>
      <c r="CZ244" s="535">
        <f t="shared" si="600"/>
        <v>11.792003621001811</v>
      </c>
      <c r="DA244" s="535">
        <f>IF(OR(Sheet1!ER242="FM", Sheet1!ER242="OTHER"),SUM(Sheet1!BK242:'Sheet1'!BM242),0)</f>
        <v>0</v>
      </c>
      <c r="DB244" s="1011">
        <f>IF(AND($B244&gt;=$FV244,$B244&lt;=$FW244),MAX($CT244,Sheet1!EK242,0),MAX($CT244-(7/36)*$K244,0))</f>
        <v>12</v>
      </c>
      <c r="DC244" s="1012">
        <f t="shared" si="601"/>
        <v>0</v>
      </c>
      <c r="DD244" s="1011">
        <f t="shared" si="602"/>
        <v>0</v>
      </c>
      <c r="DE244" s="521">
        <f>IF(AND($O244&gt;0,Sheet1!EO242=1),(1-($O244-Sheet1!$L242)/$O244)*CZ244,0)</f>
        <v>0</v>
      </c>
      <c r="DF244" s="521">
        <f>IF(AND(Sheet1!$L242=0,Sheet1!$L241=0, Calculation!CY244&lt;Sheet1!$EK242-0.1,Sheet1!$EK242=Sheet1!$EK241,Sheet1!$EK242=Sheet1!$EK243),CZ244-DE244,CZ244-DE244)</f>
        <v>11.792003621001811</v>
      </c>
      <c r="DG244" s="1040">
        <f t="shared" si="549"/>
        <v>0</v>
      </c>
      <c r="DH244" s="649">
        <f t="shared" si="603"/>
        <v>25.14</v>
      </c>
      <c r="DI244" s="535">
        <f t="shared" si="604"/>
        <v>54.838677561929956</v>
      </c>
      <c r="DJ244" s="649">
        <f t="shared" si="605"/>
        <v>24.995866022933015</v>
      </c>
      <c r="DK244" s="535">
        <f ca="1">IF(B244&gt;(Summary!$A$1-1),#N/A,DI244*MGtoAF)</f>
        <v>168.2450627600011</v>
      </c>
      <c r="DL244" s="649">
        <f t="shared" si="606"/>
        <v>25.14</v>
      </c>
      <c r="DM244" s="535">
        <f t="shared" si="607"/>
        <v>33.14</v>
      </c>
      <c r="DN244" s="535">
        <f>Sheet1!AB242-DM244</f>
        <v>-0.18999999999999773</v>
      </c>
      <c r="DO244" s="743">
        <f t="shared" si="608"/>
        <v>-5.7332528666263647E-3</v>
      </c>
      <c r="DP244" s="535">
        <f>(VLOOKUP(Sheet1!DC242,hhdcap_wcm,4)-(((VLOOKUP(Sheet1!DC242,hhdcap_wcm,3)-Sheet1!DC242)/(VLOOKUP(Sheet1!DC242,hhdcap_wcm,3)-VLOOKUP(Sheet1!DC242,hhdcap_wcm,1)))*(VLOOKUP(Sheet1!DC242,hhdcap_wcm,4)-VLOOKUP(Sheet1!DC242,hhdcap_wcm,2))))</f>
        <v>37181.300000093419</v>
      </c>
      <c r="DQ244" s="535">
        <f t="shared" si="609"/>
        <v>-386.70000000116852</v>
      </c>
      <c r="DR244" s="535">
        <f t="shared" si="610"/>
        <v>-195.00756429710967</v>
      </c>
      <c r="DS244" s="535">
        <f>Sheet1!EA242*AFtoMG</f>
        <v>0</v>
      </c>
      <c r="DT244" s="535">
        <f>Sheet1!EB242*AFtoMG</f>
        <v>0</v>
      </c>
      <c r="DU244" s="535">
        <f>Sheet1!EC242*AFtoMG</f>
        <v>0</v>
      </c>
      <c r="DV244" s="535">
        <f>Sheet1!ED242*AFtoMG</f>
        <v>0</v>
      </c>
      <c r="DW244" s="535">
        <f t="shared" si="611"/>
        <v>0</v>
      </c>
      <c r="DX244" s="535">
        <f t="shared" si="612"/>
        <v>0</v>
      </c>
      <c r="DY244" s="535">
        <f t="shared" si="613"/>
        <v>1951.7778551106524</v>
      </c>
      <c r="DZ244" s="535">
        <f t="shared" si="614"/>
        <v>5988.0544594794819</v>
      </c>
      <c r="EA244" s="535"/>
      <c r="EB244" s="521">
        <f>IF(OR(B244&lt;FV244,B244&gt;FW244),(MIN(BF244+BY244+CT244+MAX(Sheet1!AA242+AQ244-73,0),K244)),0)</f>
        <v>0</v>
      </c>
      <c r="EC244" s="535"/>
      <c r="ED244" s="535">
        <f t="shared" si="615"/>
        <v>24.995866022933015</v>
      </c>
      <c r="EE244" s="535"/>
      <c r="EF244" s="535">
        <f>Sheet1!EH242+Sheet1!EI242+Sheet1!EJ242+Sheet1!EK242</f>
        <v>25.5</v>
      </c>
      <c r="EG244" s="1019">
        <f t="shared" si="550"/>
        <v>39.448499999999996</v>
      </c>
      <c r="EH244" s="521">
        <f t="shared" si="616"/>
        <v>0</v>
      </c>
      <c r="EI244" s="535">
        <f>IF(Sheet1!ET242=1,SUM('Calculations II'!AT244:BA244)+'Calculations II'!BC244+Sheet1!BV242+'Calculations II'!BE244+AP244,'Calculations II'!BK244)</f>
        <v>76.004021977066984</v>
      </c>
      <c r="EJ244" s="535">
        <f ca="1">EI244+'Calculations II'!D244+'Calculations II'!E244+'Calculations II'!O244</f>
        <v>71.287532091323868</v>
      </c>
      <c r="EK244" s="535"/>
      <c r="EL244" s="535"/>
      <c r="EM244" s="535">
        <f t="shared" si="617"/>
        <v>42968</v>
      </c>
      <c r="EN244" s="535">
        <f t="shared" si="618"/>
        <v>-25.5</v>
      </c>
      <c r="EO244" s="535">
        <f t="shared" si="619"/>
        <v>-39.448499999999996</v>
      </c>
      <c r="EP244" s="535">
        <v>0</v>
      </c>
      <c r="EQ244" s="535">
        <v>0</v>
      </c>
      <c r="ER244" s="535">
        <v>0</v>
      </c>
      <c r="ES244" s="521">
        <f t="shared" si="516"/>
        <v>4.4334611920189708</v>
      </c>
      <c r="ET244" s="535">
        <f>-(VLOOKUP(Sheet1!BQ242,Lookup!$O$4:$Q$262,2)-VLOOKUP(Sheet1!BQ241,Lookup!$O$4:$Q$262,2))/1000000</f>
        <v>2.2164229319578821</v>
      </c>
      <c r="EU244" s="535">
        <f>-(VLOOKUP(Sheet1!BR242,Lookup!$O$4:$Q$262,3)-VLOOKUP(Sheet1!BR241,Lookup!$O$4:$Q$262,3))/1000000</f>
        <v>2.2170382600610887</v>
      </c>
      <c r="EV244" s="535"/>
      <c r="EW244" s="535"/>
      <c r="EX244" s="535"/>
      <c r="EY244" s="535"/>
      <c r="EZ244" s="535"/>
      <c r="FA244" s="535"/>
      <c r="FB244" s="535"/>
      <c r="FC244" s="535"/>
      <c r="FD244" s="567">
        <f t="shared" si="566"/>
        <v>1131.7916666665942</v>
      </c>
      <c r="FE244" s="567" t="e">
        <f t="shared" si="620"/>
        <v>#N/A</v>
      </c>
      <c r="FF244" s="568" t="e">
        <f t="shared" si="621"/>
        <v>#N/A</v>
      </c>
      <c r="FG244" s="569" t="s">
        <v>656</v>
      </c>
      <c r="FH244" s="569" t="s">
        <v>656</v>
      </c>
      <c r="FI244" s="567" t="e">
        <v>#N/A</v>
      </c>
      <c r="FJ244" s="725">
        <v>17545</v>
      </c>
      <c r="FK244" s="535"/>
      <c r="FL244" s="1015">
        <f t="shared" si="565"/>
        <v>84.720121028744316</v>
      </c>
      <c r="FM244" s="535"/>
      <c r="FN244" s="535"/>
      <c r="FO244" s="535">
        <f>O244+((Sheet1!CS242)*GPMtoMGD)</f>
        <v>96.551760000000002</v>
      </c>
      <c r="FP244" s="535">
        <f>IF(Sheet1!AA242+AQ244&lt;=Calculation!N244,AQ244,Calculation!N244-Sheet1!AA242)</f>
        <v>7.9541339770669888</v>
      </c>
      <c r="FQ244" s="535">
        <f>(Sheet1!BP242+Sheet1!BO242)/694.4</f>
        <v>3.7972350230414742</v>
      </c>
      <c r="FR244" s="541"/>
      <c r="FS244" s="541"/>
      <c r="FT244" s="541"/>
      <c r="FU244" s="541"/>
      <c r="FV244" s="1109">
        <f t="shared" si="517"/>
        <v>42918</v>
      </c>
      <c r="FW244" s="1109">
        <f t="shared" si="518"/>
        <v>43027</v>
      </c>
      <c r="FX244" s="541"/>
      <c r="FY244" s="541">
        <f>Sheet1!DA242-Sheet1!CZ242-Sheet1!AE242</f>
        <v>-93.277240000000006</v>
      </c>
      <c r="FZ244" s="535">
        <f t="shared" si="551"/>
        <v>-0.7838921814568276</v>
      </c>
      <c r="GA244" s="535"/>
      <c r="GB244" s="535" t="str">
        <f t="shared" si="519"/>
        <v>n</v>
      </c>
      <c r="GC244" s="539">
        <f t="shared" si="520"/>
        <v>42782</v>
      </c>
      <c r="GD244" s="1109">
        <f t="shared" si="521"/>
        <v>42904</v>
      </c>
      <c r="GE244" s="535">
        <f t="shared" si="537"/>
        <v>6520</v>
      </c>
      <c r="GF244" s="1109">
        <f t="shared" si="522"/>
        <v>42909</v>
      </c>
      <c r="GG244" s="535">
        <f t="shared" si="564"/>
        <v>3260</v>
      </c>
      <c r="GH244" s="539">
        <f t="shared" si="523"/>
        <v>43040</v>
      </c>
      <c r="GJ244" s="521">
        <f t="shared" si="524"/>
        <v>0</v>
      </c>
      <c r="GK244" s="535" t="str">
        <f t="shared" si="622"/>
        <v/>
      </c>
      <c r="GL244" s="535">
        <f t="shared" si="525"/>
        <v>0</v>
      </c>
      <c r="GM244" s="535" t="str">
        <f t="shared" si="526"/>
        <v/>
      </c>
      <c r="GN244" s="535">
        <f>IF(GK244="P",Lookup!$M$12,IF(GK244="PP",Lookup!$M$13,IF(GK244="PPP",Lookup!$M$14,IF(GK244="T",Lookup!$M$15,IF(GK244="TP",Lookup!$M$16,IF(GK244="TPP",Lookup!$M$17,IF(GK244="TPPP",Lookup!$M$18,0)))))))*GJ244</f>
        <v>0</v>
      </c>
      <c r="GO244" s="535">
        <f t="shared" si="527"/>
        <v>0</v>
      </c>
      <c r="GP244" s="535">
        <f t="shared" si="623"/>
        <v>3616.6606666666671</v>
      </c>
      <c r="GQ244" s="974">
        <f t="shared" si="567"/>
        <v>1178.8333333333335</v>
      </c>
      <c r="GR244" s="535"/>
      <c r="GS244" s="535">
        <f t="shared" si="528"/>
        <v>0</v>
      </c>
      <c r="GT244" s="535" t="str">
        <f t="shared" si="529"/>
        <v/>
      </c>
      <c r="GU244" s="535">
        <f>IF(GK244="P",Lookup!$N$12,IF(GK244="PP",Lookup!$N$13,IF(GK244="PPP",Lookup!$N$14,IF(GK244="T",Lookup!$N$15,IF(GK244="TP",Lookup!$N$16,IF(GK244="TPP",Lookup!$N$17,IF(GK244="TPPP",Lookup!$N$18,0)))))))*GJ244</f>
        <v>0</v>
      </c>
      <c r="GV244" s="535">
        <f t="shared" si="530"/>
        <v>0</v>
      </c>
      <c r="GW244" s="535">
        <f t="shared" si="624"/>
        <v>1324.6555193550805</v>
      </c>
      <c r="GX244" s="974">
        <f t="shared" si="568"/>
        <v>431.76516276241216</v>
      </c>
      <c r="GY244" s="535"/>
      <c r="GZ244" s="535">
        <f t="shared" si="531"/>
        <v>0</v>
      </c>
      <c r="HA244" s="535" t="str">
        <f t="shared" si="532"/>
        <v/>
      </c>
      <c r="HB244" s="535">
        <f>IF(GK244="P",Lookup!$N$12,IF(GK244="PP",Lookup!$N$13,IF(GK244="PPP",Lookup!$N$14,IF(GK244="T",Lookup!$N$15,IF(GK244="TP",Lookup!$N$16,IF(GK244="TPP",Lookup!$N$17,IF(GK244="TPPP",Lookup!$N$18,0)))))))*GJ244</f>
        <v>0</v>
      </c>
      <c r="HC244" s="521">
        <f t="shared" si="625"/>
        <v>0</v>
      </c>
      <c r="HD244" s="535">
        <f t="shared" si="626"/>
        <v>878.49321069773248</v>
      </c>
      <c r="HE244" s="535">
        <f t="shared" si="535"/>
        <v>286.3406814529767</v>
      </c>
      <c r="HF244" s="535"/>
      <c r="HG244" s="535">
        <f t="shared" si="533"/>
        <v>0</v>
      </c>
      <c r="HH244" s="535" t="str">
        <f t="shared" si="534"/>
        <v/>
      </c>
      <c r="HI244" s="535">
        <f>IF(GK244="P",Lookup!$N$12,IF(GK244="PP",Lookup!$N$13,IF(GK244="PPP",Lookup!$N$14,IF(GK244="T",Lookup!$N$15,IF(GK244="TP",Lookup!$N$16,IF(GK244="TPP",Lookup!$N$17,IF(GK244="TPPP",Lookup!$N$18,0)))))))*GJ244</f>
        <v>0</v>
      </c>
      <c r="HJ244" s="521">
        <f t="shared" si="627"/>
        <v>0</v>
      </c>
      <c r="HK244" s="535">
        <f t="shared" si="628"/>
        <v>168.2450627600011</v>
      </c>
      <c r="HL244" s="535">
        <f t="shared" si="536"/>
        <v>54.838677561929956</v>
      </c>
      <c r="HM244" s="535"/>
      <c r="HN244" s="541"/>
      <c r="HO244" s="541"/>
      <c r="HP244" s="541"/>
      <c r="HQ244" s="541">
        <f>IF(AND(B244&gt;=$FV$4,B244&lt;=$FW$4),MAX(110/1.02+$HQ$6+MIN(113/1.02,G244),IF($HV$6-(Sheet1!DA242-Sheet1!DB242)+MIN(113/1.02,G244)&lt;G244+FL244,$HV$6-(Sheet1!DA242-Sheet1!DB242)+MIN(113/1.02,G244),G244+FL244)),MIN(110/1.02+$HQ$6+113/1.02,G244))</f>
        <v>218.62745098039215</v>
      </c>
      <c r="HR244" s="541">
        <f t="shared" si="552"/>
        <v>223</v>
      </c>
      <c r="HS244" s="541">
        <f>HR244+(Sheet1!DA242-Sheet1!DB242)</f>
        <v>385</v>
      </c>
      <c r="HT244" s="541">
        <f t="shared" si="553"/>
        <v>89.608635262522625</v>
      </c>
      <c r="HU244" s="541">
        <f t="shared" si="554"/>
        <v>295.39136473747737</v>
      </c>
      <c r="HV244" s="541">
        <f t="shared" si="555"/>
        <v>0</v>
      </c>
      <c r="HW244" s="533" t="str">
        <f t="shared" si="556"/>
        <v/>
      </c>
      <c r="HX244" s="541">
        <f t="shared" si="557"/>
        <v>55.924049019607878</v>
      </c>
      <c r="HY244" s="541">
        <f>Sheet1!CZ242</f>
        <v>314</v>
      </c>
      <c r="HZ244" s="541">
        <f t="shared" si="558"/>
        <v>39.448499999999996</v>
      </c>
      <c r="IA244" s="541">
        <f t="shared" si="559"/>
        <v>89.608635262522625</v>
      </c>
      <c r="IB244" s="541">
        <f t="shared" si="560"/>
        <v>274.55150000000003</v>
      </c>
      <c r="IC244" s="1019" t="str">
        <f t="shared" si="561"/>
        <v/>
      </c>
      <c r="ID244" s="541">
        <f t="shared" si="562"/>
        <v>184.94286473747741</v>
      </c>
      <c r="IE244" s="541">
        <f>Sheet1!DB242</f>
        <v>187</v>
      </c>
      <c r="IF244" s="533">
        <f>Sheet1!DA242</f>
        <v>349</v>
      </c>
      <c r="IH244" s="541">
        <f>IF(AND($B244&gt;=$GC244,$B244&lt;=$GH244,$DR244&lt;0)+N("only adjusted when pool is drawn down during storage season"),Sheet1!$DB242+$DR244+N("Palmer minus all storage release"),Sheet1!$DB242)</f>
        <v>-8.007564297109667</v>
      </c>
      <c r="II244" s="541">
        <f>IF(AND($B244&gt;=$GC244,$B244&lt;=$GH244,$DR244&lt;0)+N("only adjusted when pool is drawn down during storage season"),Sheet1!$DA242+$DR244+N("Auburn minus all storage release"),Sheet1!$DA242)</f>
        <v>153.99243570289033</v>
      </c>
    </row>
    <row r="245" spans="1:243" x14ac:dyDescent="0.25">
      <c r="A245" s="553" t="s">
        <v>5</v>
      </c>
      <c r="B245" s="531">
        <v>42969</v>
      </c>
      <c r="C245" s="536">
        <v>0</v>
      </c>
      <c r="D245" s="506">
        <f t="shared" si="506"/>
        <v>200</v>
      </c>
      <c r="E245" s="506">
        <f t="shared" si="507"/>
        <v>400</v>
      </c>
      <c r="F245" s="506">
        <v>250</v>
      </c>
      <c r="G245" s="535">
        <f>DR245+Sheet1!CZ243</f>
        <v>113.8068582952844</v>
      </c>
      <c r="H245" s="1074">
        <f t="shared" si="563"/>
        <v>0</v>
      </c>
      <c r="I245" s="534">
        <f>IF(Sheet1!DA243&gt;=E245,(Sheet1!DA243-E245+P245)*CFStoMGD,0)</f>
        <v>0</v>
      </c>
      <c r="J245" s="995">
        <f>IF(Sheet1!DB243&gt;=D245,(Sheet1!DB243-D245+P245)*CFStoMGD,0)</f>
        <v>0</v>
      </c>
      <c r="K245" s="818">
        <f t="shared" si="538"/>
        <v>0</v>
      </c>
      <c r="L245" s="535">
        <f>Sheet1!AA243+Sheet1!AB243-Sheet1!L243+(Sheet1!DA243-F245)*CFStoMGD-S245-T245-U245</f>
        <v>120.18737258200167</v>
      </c>
      <c r="M245" s="535">
        <f t="shared" si="569"/>
        <v>75.036048266113269</v>
      </c>
      <c r="N245" s="824">
        <f>IF(Sheet1!DA243&gt;=F245,MIN(113*CFStoMGD,MIN(MAX(L245,0),MAX(M245,0))),0)</f>
        <v>73.043199999999999</v>
      </c>
      <c r="O245" s="538">
        <f>Sheet1!AA243+Sheet1!AB243</f>
        <v>90.4</v>
      </c>
      <c r="P245" s="538">
        <f t="shared" si="570"/>
        <v>139.84879999999998</v>
      </c>
      <c r="Q245" s="812">
        <f t="shared" si="539"/>
        <v>65.243372582001683</v>
      </c>
      <c r="R245" s="812">
        <f t="shared" si="508"/>
        <v>25.5</v>
      </c>
      <c r="S245" s="812">
        <f t="shared" si="509"/>
        <v>0</v>
      </c>
      <c r="T245" s="812">
        <f t="shared" si="510"/>
        <v>0</v>
      </c>
      <c r="U245" s="812">
        <f>IF(AND(B245&gt;=FV245,B245&lt;=FW245),ED245+Sheet1!EH243,0)</f>
        <v>25.156627417998315</v>
      </c>
      <c r="V245" s="812"/>
      <c r="W245" s="812">
        <f t="shared" si="511"/>
        <v>0</v>
      </c>
      <c r="X245" s="812">
        <f t="shared" si="512"/>
        <v>0</v>
      </c>
      <c r="Y245" s="812" t="str">
        <f t="shared" si="513"/>
        <v>FALSE</v>
      </c>
      <c r="Z245" s="812">
        <f t="shared" si="514"/>
        <v>90.4</v>
      </c>
      <c r="AA245" s="812">
        <f t="shared" si="515"/>
        <v>90.4</v>
      </c>
      <c r="AB245" s="1059">
        <f t="shared" si="540"/>
        <v>100.9314973843566</v>
      </c>
      <c r="AC245" s="538">
        <f>Sheet1!Y243*MGDtoCFS</f>
        <v>77.30359</v>
      </c>
      <c r="AD245" s="538">
        <f>Sheet1!Z243*MGDtoCFS</f>
        <v>50.772539999999999</v>
      </c>
      <c r="AE245" s="538">
        <f>Sheet1!AA243*MGDtoCFS</f>
        <v>85.131410000000002</v>
      </c>
      <c r="AF245" s="538">
        <f>Sheet1!AB243*MGDtoCFS</f>
        <v>54.717389999999995</v>
      </c>
      <c r="AG245" s="538">
        <f>Sheet1!L243*MGDtoCFS</f>
        <v>0</v>
      </c>
      <c r="AH245" s="521">
        <f t="shared" si="571"/>
        <v>25.500000000000007</v>
      </c>
      <c r="AI245" s="1059">
        <f t="shared" si="572"/>
        <v>39.44850000000001</v>
      </c>
      <c r="AJ245" s="535">
        <f t="shared" si="573"/>
        <v>0</v>
      </c>
      <c r="AK245" s="535">
        <f t="shared" si="574"/>
        <v>0</v>
      </c>
      <c r="AL245" s="535">
        <f>(VLOOKUP(Sheet1!DC243,hhdcap_wcm,4)-(((VLOOKUP(Sheet1!DC243,hhdcap_wcm,3)-Sheet1!DC243)/(VLOOKUP(Sheet1!DC243,hhdcap_wcm,3)-VLOOKUP(Sheet1!DC243,hhdcap_wcm,1)))*(VLOOKUP(Sheet1!DC243,hhdcap_wcm,4)-VLOOKUP(Sheet1!DC243,hhdcap_wcm,2))))</f>
        <v>36786.300000092968</v>
      </c>
      <c r="AM245" s="535">
        <f t="shared" si="575"/>
        <v>-395.00000000045111</v>
      </c>
      <c r="AN245" s="1035">
        <f t="shared" si="576"/>
        <v>1926.2778551106524</v>
      </c>
      <c r="AO245" s="535">
        <f t="shared" si="577"/>
        <v>5909.8204594794815</v>
      </c>
      <c r="AP245" s="535">
        <f>Sheet1!BA243+Sheet1!BB243+Sheet1!BN243+CD245</f>
        <v>10.3</v>
      </c>
      <c r="AQ245" s="535">
        <f>Sheet1!BN243+(DO245*Sheet1!BN243)</f>
        <v>10.213372582001682</v>
      </c>
      <c r="AR245" s="535">
        <f>Sheet1!BA243+CD245</f>
        <v>0</v>
      </c>
      <c r="AS245" s="535">
        <f>Sheet1!BA243+Sheet1!BB243+CD245</f>
        <v>0</v>
      </c>
      <c r="AT245" s="649">
        <f>0</f>
        <v>0</v>
      </c>
      <c r="AU245" s="974">
        <f>BA245+MAX(Sheet1!EH243,(O245-Q245-ED245-S245))</f>
        <v>7.1054273576010019E-15</v>
      </c>
      <c r="AV245" s="535">
        <f>IF(OR(B245&gt;=GD245,B245&lt;GC245),0,15/36*K245-MAX(0,64.6-(137.6-(Sheet1!AA243+Sheet1!AB243))))</f>
        <v>0</v>
      </c>
      <c r="AW245" s="1029"/>
      <c r="AX245" s="649"/>
      <c r="AY245" s="649">
        <f t="shared" si="541"/>
        <v>0</v>
      </c>
      <c r="AZ245" s="649">
        <f t="shared" si="542"/>
        <v>0</v>
      </c>
      <c r="BA245" s="1059">
        <f t="shared" si="543"/>
        <v>0</v>
      </c>
      <c r="BB245" s="1019">
        <f t="shared" si="578"/>
        <v>1015.8333333333335</v>
      </c>
      <c r="BC245" s="1041">
        <f t="shared" si="544"/>
        <v>0</v>
      </c>
      <c r="BD245" s="1019">
        <f ca="1">IF(B245&gt;(Summary!$A$1-1),#N/A,BB245*MGtoAF)</f>
        <v>3116.5766666666673</v>
      </c>
      <c r="BE245" s="535">
        <f>Sheet1!BG243+Sheet1!BH243+Sheet1!BI243-BM245</f>
        <v>7.01</v>
      </c>
      <c r="BF245" s="535">
        <f t="shared" si="579"/>
        <v>6.9510428931875516</v>
      </c>
      <c r="BG245" s="535">
        <f>IF(Sheet1!EP243="FM",BM245,0)</f>
        <v>0</v>
      </c>
      <c r="BH245" s="535">
        <f t="shared" si="580"/>
        <v>0</v>
      </c>
      <c r="BI245" s="535">
        <f>IF(Sheet1!EP243="OTHER",BM245,0)</f>
        <v>0</v>
      </c>
      <c r="BJ245" s="535">
        <f t="shared" si="581"/>
        <v>0</v>
      </c>
      <c r="BK245" s="535">
        <f t="shared" si="582"/>
        <v>7.01</v>
      </c>
      <c r="BL245" s="535">
        <f t="shared" si="583"/>
        <v>6.9510428931875516</v>
      </c>
      <c r="BM245" s="535">
        <f>IF(OR(Sheet1!EP243="FM", Sheet1!EP243="OTHER"),SUM(Sheet1!BG243:'Sheet1'!BI243),0)</f>
        <v>0</v>
      </c>
      <c r="BN245" s="521">
        <f>IF(AND($B245&gt;=$FV245,$B245&lt;=$FW245),MAX(BF245,Sheet1!EI243,0),MAX(BF245-(7/36)*$K245,0))</f>
        <v>7</v>
      </c>
      <c r="BO245" s="535">
        <f t="shared" si="584"/>
        <v>0</v>
      </c>
      <c r="BP245" s="521">
        <f t="shared" si="585"/>
        <v>0</v>
      </c>
      <c r="BQ245" s="521">
        <f>IF(AND($O245&gt;0,Sheet1!EM243=1),(1-($O245-Sheet1!$L243)/$O245)*BL245,0)</f>
        <v>0</v>
      </c>
      <c r="BR245" s="521">
        <f>IF(AND(Sheet1!$L243=0,Sheet1!$L242=0, Calculation!BK245&lt;Sheet1!$EI243-0.1,Sheet1!$EI243=Sheet1!$EI242,Sheet1!$EI243=Sheet1!$EI244),BL245-BQ245,BL245-BQ245)</f>
        <v>6.9510428931875516</v>
      </c>
      <c r="BS245" s="1035" t="str">
        <f t="shared" si="545"/>
        <v/>
      </c>
      <c r="BT245" s="1035">
        <f t="shared" si="546"/>
        <v>0</v>
      </c>
      <c r="BU245" s="535">
        <f t="shared" si="586"/>
        <v>424.76516276241216</v>
      </c>
      <c r="BV245" s="535"/>
      <c r="BW245" s="535">
        <f ca="1">IF(B245&gt;(Summary!$A$1-1),#N/A,BU245*MGtoAF)</f>
        <v>1303.1795193550806</v>
      </c>
      <c r="BX245" s="535">
        <f>Sheet1!BC243+Sheet1!BD243+Sheet1!BE243+Sheet1!BF243-CG245-CH245</f>
        <v>6.49</v>
      </c>
      <c r="BY245" s="535">
        <f t="shared" si="587"/>
        <v>6.4354163162321276</v>
      </c>
      <c r="BZ245" s="535">
        <f>IF(Sheet1!EQ243="FM",CH245,0)</f>
        <v>0</v>
      </c>
      <c r="CA245" s="535">
        <f t="shared" si="588"/>
        <v>0</v>
      </c>
      <c r="CB245" s="535">
        <f>IF(Sheet1!EQ243="OTHER",CH245,0)</f>
        <v>0</v>
      </c>
      <c r="CC245" s="535">
        <f t="shared" si="589"/>
        <v>0</v>
      </c>
      <c r="CD245" s="535">
        <f t="shared" si="590"/>
        <v>0</v>
      </c>
      <c r="CE245" s="535">
        <f t="shared" si="591"/>
        <v>6.49</v>
      </c>
      <c r="CF245" s="535">
        <f t="shared" si="592"/>
        <v>6.4354163162321276</v>
      </c>
      <c r="CG245" s="535">
        <f>IF(Sheet1!EQ243="CWA",SUM(Sheet1!BC243:'Sheet1'!BF243),0)</f>
        <v>0</v>
      </c>
      <c r="CH245" s="535">
        <f>IF(OR(Sheet1!EQ243="FM", Sheet1!EQ243="OTHER"),SUM(Sheet1!BC243:'Sheet1'!BF243),0)</f>
        <v>0</v>
      </c>
      <c r="CI245" s="521">
        <f>IF(AND($B245&gt;=$FV245,$B245&lt;=$FW245),MAX(CF245,Sheet1!EJ243,0),MAX(CF245-(7/36)*$K245,0))</f>
        <v>6.5</v>
      </c>
      <c r="CJ245" s="535">
        <f t="shared" si="593"/>
        <v>0</v>
      </c>
      <c r="CK245" s="521">
        <f t="shared" si="594"/>
        <v>0</v>
      </c>
      <c r="CL245" s="521">
        <f>IF(AND($O245&gt;0,Sheet1!EN243=1),(1-($O245-Sheet1!$L243)/$O245)*CF245,0)</f>
        <v>0</v>
      </c>
      <c r="CM245" s="521">
        <f>IF(AND(Sheet1!$L243=0,Sheet1!$L242=0, Calculation!CE245&lt;Sheet1!EJ243-0.1,Sheet1!EJ243=Sheet1!EJ242,Sheet1!EJ243=Sheet1!EJ244),CF245-CL245,CF245-CL245)</f>
        <v>6.4354163162321276</v>
      </c>
      <c r="CN245" s="1040" t="str">
        <f t="shared" si="547"/>
        <v/>
      </c>
      <c r="CO245" s="1035">
        <f t="shared" si="548"/>
        <v>0</v>
      </c>
      <c r="CP245" s="535">
        <f t="shared" si="595"/>
        <v>279.8406814529767</v>
      </c>
      <c r="CQ245" s="535"/>
      <c r="CR245" s="535">
        <f ca="1">IF(B245&gt;(Summary!$A$1-1),#N/A,CP245*MGtoAF)</f>
        <v>858.55121069773247</v>
      </c>
      <c r="CS245" s="535">
        <f>Sheet1!BK243+Sheet1!BL243+Sheet1!BM243-Sheet1!ER243-DA245</f>
        <v>11.870000000000001</v>
      </c>
      <c r="CT245" s="535">
        <f t="shared" si="596"/>
        <v>11.770168208578637</v>
      </c>
      <c r="CU245" s="535">
        <f>IF(Sheet1!ER243="FM",DA245,0)</f>
        <v>0</v>
      </c>
      <c r="CV245" s="535">
        <f t="shared" si="597"/>
        <v>0</v>
      </c>
      <c r="CW245" s="535">
        <f>IF(Sheet1!ER243="OTHER",DA245,0)</f>
        <v>0</v>
      </c>
      <c r="CX245" s="535">
        <f t="shared" si="598"/>
        <v>0</v>
      </c>
      <c r="CY245" s="535">
        <f t="shared" si="599"/>
        <v>11.870000000000001</v>
      </c>
      <c r="CZ245" s="535">
        <f t="shared" si="600"/>
        <v>11.770168208578637</v>
      </c>
      <c r="DA245" s="535">
        <f>IF(OR(Sheet1!ER243="FM", Sheet1!ER243="OTHER"),SUM(Sheet1!BK243:'Sheet1'!BM243),0)</f>
        <v>0</v>
      </c>
      <c r="DB245" s="1011">
        <f>IF(AND($B245&gt;=$FV245,$B245&lt;=$FW245),MAX($CT245,Sheet1!EK243,0),MAX($CT245-(7/36)*$K245,0))</f>
        <v>12</v>
      </c>
      <c r="DC245" s="1012">
        <f t="shared" si="601"/>
        <v>0</v>
      </c>
      <c r="DD245" s="1011">
        <f t="shared" si="602"/>
        <v>0</v>
      </c>
      <c r="DE245" s="521">
        <f>IF(AND($O245&gt;0,Sheet1!EO243=1),(1-($O245-Sheet1!$L243)/$O245)*CZ245,0)</f>
        <v>0</v>
      </c>
      <c r="DF245" s="521">
        <f>IF(AND(Sheet1!$L243=0,Sheet1!$L242=0, Calculation!CY245&lt;Sheet1!$EK243-0.1,Sheet1!$EK243=Sheet1!$EK242,Sheet1!$EK243=Sheet1!$EK244),CZ245-DE245,CZ245-DE245)</f>
        <v>11.770168208578637</v>
      </c>
      <c r="DG245" s="1040">
        <f t="shared" si="549"/>
        <v>0</v>
      </c>
      <c r="DH245" s="649">
        <f t="shared" si="603"/>
        <v>25.37</v>
      </c>
      <c r="DI245" s="535">
        <f t="shared" si="604"/>
        <v>205.83867756192996</v>
      </c>
      <c r="DJ245" s="649">
        <f t="shared" si="605"/>
        <v>25.156627417998315</v>
      </c>
      <c r="DK245" s="535">
        <f ca="1">IF(B245&gt;(Summary!$A$1-1),#N/A,DI245*MGtoAF)</f>
        <v>631.51306276000116</v>
      </c>
      <c r="DL245" s="649">
        <f t="shared" si="606"/>
        <v>25.369999999999997</v>
      </c>
      <c r="DM245" s="535">
        <f t="shared" si="607"/>
        <v>35.67</v>
      </c>
      <c r="DN245" s="535">
        <f>Sheet1!AB243-DM245</f>
        <v>-0.30000000000000426</v>
      </c>
      <c r="DO245" s="743">
        <f t="shared" si="608"/>
        <v>-8.4104289318756454E-3</v>
      </c>
      <c r="DP245" s="535">
        <f>(VLOOKUP(Sheet1!DC243,hhdcap_wcm,4)-(((VLOOKUP(Sheet1!DC243,hhdcap_wcm,3)-Sheet1!DC243)/(VLOOKUP(Sheet1!DC243,hhdcap_wcm,3)-VLOOKUP(Sheet1!DC243,hhdcap_wcm,1)))*(VLOOKUP(Sheet1!DC243,hhdcap_wcm,4)-VLOOKUP(Sheet1!DC243,hhdcap_wcm,2))))</f>
        <v>36786.300000092968</v>
      </c>
      <c r="DQ245" s="535">
        <f t="shared" si="609"/>
        <v>-395.00000000045111</v>
      </c>
      <c r="DR245" s="535">
        <f t="shared" si="610"/>
        <v>-199.1931417047156</v>
      </c>
      <c r="DS245" s="535">
        <f>Sheet1!EA243*AFtoMG</f>
        <v>-163</v>
      </c>
      <c r="DT245" s="535">
        <f>Sheet1!EB243*AFtoMG</f>
        <v>0</v>
      </c>
      <c r="DU245" s="535">
        <f>Sheet1!EC243*AFtoMG</f>
        <v>0</v>
      </c>
      <c r="DV245" s="535">
        <f>Sheet1!ED243*AFtoMG</f>
        <v>163</v>
      </c>
      <c r="DW245" s="535">
        <f t="shared" si="611"/>
        <v>0</v>
      </c>
      <c r="DX245" s="535">
        <f t="shared" si="612"/>
        <v>0</v>
      </c>
      <c r="DY245" s="535">
        <f t="shared" si="613"/>
        <v>1926.2778551106524</v>
      </c>
      <c r="DZ245" s="535">
        <f t="shared" si="614"/>
        <v>5909.8204594794815</v>
      </c>
      <c r="EA245" s="535"/>
      <c r="EB245" s="521">
        <f>IF(OR(B245&lt;FV245,B245&gt;FW245),(MIN(BF245+BY245+CT245+MAX(Sheet1!AA243+AQ245-73,0),K245)),0)</f>
        <v>0</v>
      </c>
      <c r="EC245" s="535"/>
      <c r="ED245" s="535">
        <f t="shared" si="615"/>
        <v>25.156627417998315</v>
      </c>
      <c r="EE245" s="535"/>
      <c r="EF245" s="535">
        <f>Sheet1!EH243+Sheet1!EI243+Sheet1!EJ243+Sheet1!EK243</f>
        <v>25.5</v>
      </c>
      <c r="EG245" s="1019">
        <f t="shared" si="550"/>
        <v>39.448499999999996</v>
      </c>
      <c r="EH245" s="521">
        <f t="shared" si="616"/>
        <v>0</v>
      </c>
      <c r="EI245" s="535">
        <f>IF(Sheet1!ET243=1,SUM('Calculations II'!AT245:BA245)+'Calculations II'!BC245+Sheet1!BV243+'Calculations II'!BE245+AP245,'Calculations II'!BK245)</f>
        <v>70.797288582001698</v>
      </c>
      <c r="EJ245" s="535">
        <f ca="1">EI245+'Calculations II'!D245+'Calculations II'!E245+'Calculations II'!O245</f>
        <v>73.607326099542959</v>
      </c>
      <c r="EK245" s="535"/>
      <c r="EL245" s="535"/>
      <c r="EM245" s="535">
        <f t="shared" si="617"/>
        <v>42969</v>
      </c>
      <c r="EN245" s="535">
        <f t="shared" si="618"/>
        <v>-25.500000000000007</v>
      </c>
      <c r="EO245" s="535">
        <f t="shared" si="619"/>
        <v>-39.44850000000001</v>
      </c>
      <c r="EP245" s="535">
        <v>0</v>
      </c>
      <c r="EQ245" s="535">
        <v>0</v>
      </c>
      <c r="ER245" s="535">
        <v>0</v>
      </c>
      <c r="ES245" s="521">
        <f t="shared" si="516"/>
        <v>-1.8007186475376189</v>
      </c>
      <c r="ET245" s="535">
        <f>-(VLOOKUP(Sheet1!BQ243,Lookup!$O$4:$Q$262,2)-VLOOKUP(Sheet1!BQ242,Lookup!$O$4:$Q$262,2))/1000000</f>
        <v>-0.83096632570995388</v>
      </c>
      <c r="EU245" s="535">
        <f>-(VLOOKUP(Sheet1!BR243,Lookup!$O$4:$Q$262,3)-VLOOKUP(Sheet1!BR242,Lookup!$O$4:$Q$262,3))/1000000</f>
        <v>-0.96975232182766502</v>
      </c>
      <c r="EV245" s="535"/>
      <c r="EW245" s="535"/>
      <c r="EX245" s="535"/>
      <c r="EY245" s="535"/>
      <c r="EZ245" s="535"/>
      <c r="FA245" s="535"/>
      <c r="FB245" s="535"/>
      <c r="FC245" s="535"/>
      <c r="FD245" s="567">
        <f t="shared" si="566"/>
        <v>1131.513333333261</v>
      </c>
      <c r="FE245" s="567" t="e">
        <f t="shared" si="620"/>
        <v>#N/A</v>
      </c>
      <c r="FF245" s="568" t="e">
        <f t="shared" si="621"/>
        <v>#N/A</v>
      </c>
      <c r="FG245" s="569" t="s">
        <v>656</v>
      </c>
      <c r="FH245" s="569" t="s">
        <v>656</v>
      </c>
      <c r="FI245" s="567" t="e">
        <v>#N/A</v>
      </c>
      <c r="FJ245" s="725">
        <v>17377</v>
      </c>
      <c r="FK245" s="535"/>
      <c r="FL245" s="1015">
        <f t="shared" si="565"/>
        <v>84.720121028744316</v>
      </c>
      <c r="FM245" s="535"/>
      <c r="FN245" s="535"/>
      <c r="FO245" s="535">
        <f>O245+((Sheet1!CS243)*GPMtoMGD)</f>
        <v>97.852432000000007</v>
      </c>
      <c r="FP245" s="535">
        <f>IF(Sheet1!AA243+AQ245&lt;=Calculation!N245,AQ245,Calculation!N245-Sheet1!AA243)</f>
        <v>10.213372582001682</v>
      </c>
      <c r="FQ245" s="535">
        <f>(Sheet1!BP243+Sheet1!BO243)/694.4</f>
        <v>3.5550115207373278</v>
      </c>
      <c r="FR245" s="541"/>
      <c r="FS245" s="541"/>
      <c r="FT245" s="541"/>
      <c r="FU245" s="541"/>
      <c r="FV245" s="1109">
        <f t="shared" si="517"/>
        <v>42918</v>
      </c>
      <c r="FW245" s="1109">
        <f t="shared" si="518"/>
        <v>43027</v>
      </c>
      <c r="FX245" s="541"/>
      <c r="FY245" s="541">
        <f>Sheet1!DA243-Sheet1!CZ243-Sheet1!AE243</f>
        <v>-117.84880000000001</v>
      </c>
      <c r="FZ245" s="535">
        <f t="shared" si="551"/>
        <v>-1.0355158007633278</v>
      </c>
      <c r="GA245" s="535"/>
      <c r="GB245" s="535" t="str">
        <f t="shared" si="519"/>
        <v>n</v>
      </c>
      <c r="GC245" s="539">
        <f t="shared" si="520"/>
        <v>42782</v>
      </c>
      <c r="GD245" s="1109">
        <f t="shared" si="521"/>
        <v>42904</v>
      </c>
      <c r="GE245" s="535">
        <f t="shared" si="537"/>
        <v>6520</v>
      </c>
      <c r="GF245" s="1109">
        <f t="shared" si="522"/>
        <v>42909</v>
      </c>
      <c r="GG245" s="535">
        <f t="shared" si="564"/>
        <v>3260</v>
      </c>
      <c r="GH245" s="539">
        <f t="shared" si="523"/>
        <v>43040</v>
      </c>
      <c r="GJ245" s="521">
        <f t="shared" si="524"/>
        <v>0</v>
      </c>
      <c r="GK245" s="535" t="str">
        <f t="shared" si="622"/>
        <v/>
      </c>
      <c r="GL245" s="535">
        <f t="shared" si="525"/>
        <v>0</v>
      </c>
      <c r="GM245" s="535" t="str">
        <f t="shared" si="526"/>
        <v/>
      </c>
      <c r="GN245" s="535">
        <f>IF(GK245="P",Lookup!$M$12,IF(GK245="PP",Lookup!$M$13,IF(GK245="PPP",Lookup!$M$14,IF(GK245="T",Lookup!$M$15,IF(GK245="TP",Lookup!$M$16,IF(GK245="TPP",Lookup!$M$17,IF(GK245="TPPP",Lookup!$M$18,0)))))))*GJ245</f>
        <v>0</v>
      </c>
      <c r="GO245" s="535">
        <f t="shared" si="527"/>
        <v>0</v>
      </c>
      <c r="GP245" s="535">
        <f t="shared" si="623"/>
        <v>3116.5766666666673</v>
      </c>
      <c r="GQ245" s="974">
        <f t="shared" si="567"/>
        <v>1015.8333333333335</v>
      </c>
      <c r="GR245" s="535"/>
      <c r="GS245" s="535">
        <f t="shared" si="528"/>
        <v>0</v>
      </c>
      <c r="GT245" s="535" t="str">
        <f t="shared" si="529"/>
        <v/>
      </c>
      <c r="GU245" s="535">
        <f>IF(GK245="P",Lookup!$N$12,IF(GK245="PP",Lookup!$N$13,IF(GK245="PPP",Lookup!$N$14,IF(GK245="T",Lookup!$N$15,IF(GK245="TP",Lookup!$N$16,IF(GK245="TPP",Lookup!$N$17,IF(GK245="TPPP",Lookup!$N$18,0)))))))*GJ245</f>
        <v>0</v>
      </c>
      <c r="GV245" s="535">
        <f t="shared" si="530"/>
        <v>0</v>
      </c>
      <c r="GW245" s="535">
        <f t="shared" si="624"/>
        <v>1303.1795193550806</v>
      </c>
      <c r="GX245" s="974">
        <f t="shared" si="568"/>
        <v>424.76516276241216</v>
      </c>
      <c r="GY245" s="535"/>
      <c r="GZ245" s="535">
        <f t="shared" si="531"/>
        <v>0</v>
      </c>
      <c r="HA245" s="535" t="str">
        <f t="shared" si="532"/>
        <v/>
      </c>
      <c r="HB245" s="535">
        <f>IF(GK245="P",Lookup!$N$12,IF(GK245="PP",Lookup!$N$13,IF(GK245="PPP",Lookup!$N$14,IF(GK245="T",Lookup!$N$15,IF(GK245="TP",Lookup!$N$16,IF(GK245="TPP",Lookup!$N$17,IF(GK245="TPPP",Lookup!$N$18,0)))))))*GJ245</f>
        <v>0</v>
      </c>
      <c r="HC245" s="521">
        <f t="shared" si="625"/>
        <v>0</v>
      </c>
      <c r="HD245" s="535">
        <f t="shared" si="626"/>
        <v>858.55121069773247</v>
      </c>
      <c r="HE245" s="535">
        <f t="shared" si="535"/>
        <v>279.8406814529767</v>
      </c>
      <c r="HF245" s="535"/>
      <c r="HG245" s="535">
        <f t="shared" si="533"/>
        <v>0</v>
      </c>
      <c r="HH245" s="535" t="str">
        <f t="shared" si="534"/>
        <v/>
      </c>
      <c r="HI245" s="535">
        <f>IF(GK245="P",Lookup!$N$12,IF(GK245="PP",Lookup!$N$13,IF(GK245="PPP",Lookup!$N$14,IF(GK245="T",Lookup!$N$15,IF(GK245="TP",Lookup!$N$16,IF(GK245="TPP",Lookup!$N$17,IF(GK245="TPPP",Lookup!$N$18,0)))))))*GJ245</f>
        <v>0</v>
      </c>
      <c r="HJ245" s="521">
        <f t="shared" si="627"/>
        <v>0</v>
      </c>
      <c r="HK245" s="535">
        <f t="shared" si="628"/>
        <v>631.51306276000116</v>
      </c>
      <c r="HL245" s="535">
        <f t="shared" si="536"/>
        <v>205.83867756192996</v>
      </c>
      <c r="HM245" s="535"/>
      <c r="HN245" s="541"/>
      <c r="HO245" s="541"/>
      <c r="HP245" s="541"/>
      <c r="HQ245" s="541">
        <f>IF(AND(B245&gt;=$FV$4,B245&lt;=$FW$4),MAX(110/1.02+$HQ$6+MIN(113/1.02,G245),IF($HV$6-(Sheet1!DA243-Sheet1!DB243)+MIN(113/1.02,G245)&lt;G245+FL245,$HV$6-(Sheet1!DA243-Sheet1!DB243)+MIN(113/1.02,G245),G245+FL245)),MIN(110/1.02+$HQ$6+113/1.02,G245))</f>
        <v>218.62745098039215</v>
      </c>
      <c r="HR245" s="541">
        <f t="shared" si="552"/>
        <v>223</v>
      </c>
      <c r="HS245" s="541">
        <f>HR245+(Sheet1!DA243-Sheet1!DB243)</f>
        <v>383</v>
      </c>
      <c r="HT245" s="541">
        <f t="shared" si="553"/>
        <v>100.9314973843566</v>
      </c>
      <c r="HU245" s="541">
        <f t="shared" si="554"/>
        <v>282.06850261564341</v>
      </c>
      <c r="HV245" s="541">
        <f t="shared" si="555"/>
        <v>0</v>
      </c>
      <c r="HW245" s="533" t="str">
        <f t="shared" si="556"/>
        <v/>
      </c>
      <c r="HX245" s="541">
        <f t="shared" si="557"/>
        <v>54.924049019607821</v>
      </c>
      <c r="HY245" s="541">
        <f>Sheet1!CZ243</f>
        <v>313</v>
      </c>
      <c r="HZ245" s="541">
        <f t="shared" si="558"/>
        <v>39.44850000000001</v>
      </c>
      <c r="IA245" s="541">
        <f t="shared" si="559"/>
        <v>100.9314973843566</v>
      </c>
      <c r="IB245" s="541">
        <f t="shared" si="560"/>
        <v>273.55149999999998</v>
      </c>
      <c r="IC245" s="1019" t="str">
        <f t="shared" si="561"/>
        <v/>
      </c>
      <c r="ID245" s="541">
        <f t="shared" si="562"/>
        <v>172.62000261564339</v>
      </c>
      <c r="IE245" s="541">
        <f>Sheet1!DB243</f>
        <v>175</v>
      </c>
      <c r="IF245" s="533">
        <f>Sheet1!DA243</f>
        <v>335</v>
      </c>
      <c r="IH245" s="541">
        <f>IF(AND($B245&gt;=$GC245,$B245&lt;=$GH245,$DR245&lt;0)+N("only adjusted when pool is drawn down during storage season"),Sheet1!$DB243+$DR245+N("Palmer minus all storage release"),Sheet1!$DB243)</f>
        <v>-24.1931417047156</v>
      </c>
      <c r="II245" s="541">
        <f>IF(AND($B245&gt;=$GC245,$B245&lt;=$GH245,$DR245&lt;0)+N("only adjusted when pool is drawn down during storage season"),Sheet1!$DA243+$DR245+N("Auburn minus all storage release"),Sheet1!$DA243)</f>
        <v>135.8068582952844</v>
      </c>
    </row>
    <row r="246" spans="1:243" x14ac:dyDescent="0.25">
      <c r="A246" s="553" t="s">
        <v>6</v>
      </c>
      <c r="B246" s="531">
        <v>42970</v>
      </c>
      <c r="C246" s="536">
        <v>0</v>
      </c>
      <c r="D246" s="506">
        <f t="shared" si="506"/>
        <v>200</v>
      </c>
      <c r="E246" s="506">
        <f t="shared" si="507"/>
        <v>400</v>
      </c>
      <c r="F246" s="506">
        <v>250</v>
      </c>
      <c r="G246" s="535">
        <f>DR246+Sheet1!CZ244</f>
        <v>110.57841653989647</v>
      </c>
      <c r="H246" s="1074">
        <f t="shared" si="563"/>
        <v>0</v>
      </c>
      <c r="I246" s="534">
        <f>IF(Sheet1!DA244&gt;=E246,(Sheet1!DA244-E246+P246)*CFStoMGD,0)</f>
        <v>0</v>
      </c>
      <c r="J246" s="995">
        <f>IF(Sheet1!DB244&gt;=D246,(Sheet1!DB244-D246+P246)*CFStoMGD,0)</f>
        <v>0</v>
      </c>
      <c r="K246" s="818">
        <f t="shared" si="538"/>
        <v>0</v>
      </c>
      <c r="L246" s="535">
        <f>Sheet1!AA244+Sheet1!AB244-Sheet1!L244+(Sheet1!DA244-F246)*CFStoMGD-S246-T246-U246</f>
        <v>119.97406037735848</v>
      </c>
      <c r="M246" s="535">
        <f t="shared" si="569"/>
        <v>72.907446220416858</v>
      </c>
      <c r="N246" s="824">
        <f>IF(Sheet1!DA244&gt;=F246,MIN(113*CFStoMGD,MIN(MAX(L246,0),MAX(M246,0))),0)</f>
        <v>72.907446220416858</v>
      </c>
      <c r="O246" s="538">
        <f>Sheet1!AA244+Sheet1!AB244</f>
        <v>92.87</v>
      </c>
      <c r="P246" s="538">
        <f t="shared" si="570"/>
        <v>143.66988999999998</v>
      </c>
      <c r="Q246" s="812">
        <f t="shared" si="539"/>
        <v>67.615660377358495</v>
      </c>
      <c r="R246" s="812">
        <f t="shared" si="508"/>
        <v>25.5</v>
      </c>
      <c r="S246" s="812">
        <f t="shared" si="509"/>
        <v>0</v>
      </c>
      <c r="T246" s="812">
        <f t="shared" si="510"/>
        <v>0</v>
      </c>
      <c r="U246" s="812">
        <f>IF(AND(B246&gt;=FV246,B246&lt;=FW246),ED246+Sheet1!EH244,0)</f>
        <v>25.254339622641506</v>
      </c>
      <c r="V246" s="812"/>
      <c r="W246" s="812">
        <f t="shared" si="511"/>
        <v>0</v>
      </c>
      <c r="X246" s="812">
        <f t="shared" si="512"/>
        <v>0</v>
      </c>
      <c r="Y246" s="812" t="str">
        <f t="shared" si="513"/>
        <v>FALSE</v>
      </c>
      <c r="Z246" s="812">
        <f t="shared" si="514"/>
        <v>92.87</v>
      </c>
      <c r="AA246" s="812">
        <f t="shared" si="515"/>
        <v>92.87</v>
      </c>
      <c r="AB246" s="1059">
        <f t="shared" si="540"/>
        <v>104.60142660377359</v>
      </c>
      <c r="AC246" s="538">
        <f>Sheet1!Y244*MGDtoCFS</f>
        <v>85.131410000000002</v>
      </c>
      <c r="AD246" s="538">
        <f>Sheet1!Z244*MGDtoCFS</f>
        <v>50.772539999999999</v>
      </c>
      <c r="AE246" s="538">
        <f>Sheet1!AA244*MGDtoCFS</f>
        <v>90.576849999999993</v>
      </c>
      <c r="AF246" s="538">
        <f>Sheet1!AB244*MGDtoCFS</f>
        <v>53.093039999999995</v>
      </c>
      <c r="AG246" s="538">
        <f>Sheet1!L244*MGDtoCFS</f>
        <v>0</v>
      </c>
      <c r="AH246" s="521">
        <f t="shared" si="571"/>
        <v>25.500000000000004</v>
      </c>
      <c r="AI246" s="1059">
        <f t="shared" si="572"/>
        <v>39.448500000000003</v>
      </c>
      <c r="AJ246" s="535">
        <f t="shared" si="573"/>
        <v>0</v>
      </c>
      <c r="AK246" s="535">
        <f t="shared" si="574"/>
        <v>0</v>
      </c>
      <c r="AL246" s="535">
        <f>(VLOOKUP(Sheet1!DC244,hhdcap_wcm,4)-(((VLOOKUP(Sheet1!DC244,hhdcap_wcm,3)-Sheet1!DC244)/(VLOOKUP(Sheet1!DC244,hhdcap_wcm,3)-VLOOKUP(Sheet1!DC244,hhdcap_wcm,1)))*(VLOOKUP(Sheet1!DC244,hhdcap_wcm,4)-VLOOKUP(Sheet1!DC244,hhdcap_wcm,2))))</f>
        <v>36373.000000091582</v>
      </c>
      <c r="AM246" s="535">
        <f t="shared" si="575"/>
        <v>-413.30000000138534</v>
      </c>
      <c r="AN246" s="1035">
        <f t="shared" si="576"/>
        <v>1900.7778551106524</v>
      </c>
      <c r="AO246" s="535">
        <f t="shared" si="577"/>
        <v>5831.5864594794812</v>
      </c>
      <c r="AP246" s="535">
        <f>Sheet1!BA244+Sheet1!BB244+Sheet1!BN244+CD246</f>
        <v>9.1</v>
      </c>
      <c r="AQ246" s="535">
        <f>Sheet1!BN244+(DO246*Sheet1!BN244)</f>
        <v>9.0656603773584887</v>
      </c>
      <c r="AR246" s="535">
        <f>Sheet1!BA244+CD246</f>
        <v>0</v>
      </c>
      <c r="AS246" s="535">
        <f>Sheet1!BA244+Sheet1!BB244+CD246</f>
        <v>0</v>
      </c>
      <c r="AT246" s="649">
        <f>0</f>
        <v>0</v>
      </c>
      <c r="AU246" s="974">
        <f>BA246+MAX(Sheet1!EH244,(O246-Q246-ED246-S246))</f>
        <v>3.5527136788005009E-15</v>
      </c>
      <c r="AV246" s="535">
        <f>IF(OR(B246&gt;=GD246,B246&lt;GC246),0,15/36*K246-MAX(0,64.6-(137.6-(Sheet1!AA244+Sheet1!AB244))))</f>
        <v>0</v>
      </c>
      <c r="AW246" s="1029"/>
      <c r="AX246" s="649"/>
      <c r="AY246" s="649">
        <f t="shared" si="541"/>
        <v>0</v>
      </c>
      <c r="AZ246" s="649">
        <f t="shared" si="542"/>
        <v>0</v>
      </c>
      <c r="BA246" s="1059">
        <f t="shared" si="543"/>
        <v>0</v>
      </c>
      <c r="BB246" s="1019">
        <f t="shared" si="578"/>
        <v>1015.8333333333335</v>
      </c>
      <c r="BC246" s="1041">
        <f t="shared" si="544"/>
        <v>0</v>
      </c>
      <c r="BD246" s="1019">
        <f ca="1">IF(B246&gt;(Summary!$A$1-1),#N/A,BB246*MGtoAF)</f>
        <v>3116.5766666666673</v>
      </c>
      <c r="BE246" s="535">
        <f>Sheet1!BG244+Sheet1!BH244+Sheet1!BI244-BM246</f>
        <v>6.93</v>
      </c>
      <c r="BF246" s="535">
        <f t="shared" si="579"/>
        <v>6.9038490566037725</v>
      </c>
      <c r="BG246" s="535">
        <f>IF(Sheet1!EP244="FM",BM246,0)</f>
        <v>0</v>
      </c>
      <c r="BH246" s="535">
        <f t="shared" si="580"/>
        <v>0</v>
      </c>
      <c r="BI246" s="535">
        <f>IF(Sheet1!EP244="OTHER",BM246,0)</f>
        <v>0</v>
      </c>
      <c r="BJ246" s="535">
        <f t="shared" si="581"/>
        <v>0</v>
      </c>
      <c r="BK246" s="535">
        <f t="shared" si="582"/>
        <v>6.93</v>
      </c>
      <c r="BL246" s="535">
        <f t="shared" si="583"/>
        <v>6.9038490566037725</v>
      </c>
      <c r="BM246" s="535">
        <f>IF(OR(Sheet1!EP244="FM", Sheet1!EP244="OTHER"),SUM(Sheet1!BG244:'Sheet1'!BI244),0)</f>
        <v>0</v>
      </c>
      <c r="BN246" s="521">
        <f>IF(AND($B246&gt;=$FV246,$B246&lt;=$FW246),MAX(BF246,Sheet1!EI244,0),MAX(BF246-(7/36)*$K246,0))</f>
        <v>7</v>
      </c>
      <c r="BO246" s="535">
        <f t="shared" si="584"/>
        <v>0</v>
      </c>
      <c r="BP246" s="521">
        <f t="shared" si="585"/>
        <v>0</v>
      </c>
      <c r="BQ246" s="521">
        <f>IF(AND($O246&gt;0,Sheet1!EM244=1),(1-($O246-Sheet1!$L244)/$O246)*BL246,0)</f>
        <v>0</v>
      </c>
      <c r="BR246" s="521">
        <f>IF(AND(Sheet1!$L244=0,Sheet1!$L243=0, Calculation!BK246&lt;Sheet1!$EI244-0.1,Sheet1!$EI244=Sheet1!$EI243,Sheet1!$EI244=Sheet1!$EI245),BL246-BQ246,BL246-BQ246)</f>
        <v>6.9038490566037725</v>
      </c>
      <c r="BS246" s="1035" t="str">
        <f t="shared" si="545"/>
        <v/>
      </c>
      <c r="BT246" s="1035">
        <f t="shared" si="546"/>
        <v>0</v>
      </c>
      <c r="BU246" s="535">
        <f t="shared" si="586"/>
        <v>417.76516276241216</v>
      </c>
      <c r="BV246" s="535"/>
      <c r="BW246" s="535">
        <f ca="1">IF(B246&gt;(Summary!$A$1-1),#N/A,BU246*MGtoAF)</f>
        <v>1281.7035193550805</v>
      </c>
      <c r="BX246" s="535">
        <f>Sheet1!BC244+Sheet1!BD244+Sheet1!BE244+Sheet1!BF244-CG246-CH246</f>
        <v>6.49</v>
      </c>
      <c r="BY246" s="535">
        <f t="shared" si="587"/>
        <v>6.4655094339622643</v>
      </c>
      <c r="BZ246" s="535">
        <f>IF(Sheet1!EQ244="FM",CH246,0)</f>
        <v>0</v>
      </c>
      <c r="CA246" s="535">
        <f t="shared" si="588"/>
        <v>0</v>
      </c>
      <c r="CB246" s="535">
        <f>IF(Sheet1!EQ244="OTHER",CH246,0)</f>
        <v>0</v>
      </c>
      <c r="CC246" s="535">
        <f t="shared" si="589"/>
        <v>0</v>
      </c>
      <c r="CD246" s="535">
        <f t="shared" si="590"/>
        <v>0</v>
      </c>
      <c r="CE246" s="535">
        <f t="shared" si="591"/>
        <v>6.49</v>
      </c>
      <c r="CF246" s="535">
        <f t="shared" si="592"/>
        <v>6.4655094339622643</v>
      </c>
      <c r="CG246" s="535">
        <f>IF(Sheet1!EQ244="CWA",SUM(Sheet1!BC244:'Sheet1'!BF244),0)</f>
        <v>0</v>
      </c>
      <c r="CH246" s="535">
        <f>IF(OR(Sheet1!EQ244="FM", Sheet1!EQ244="OTHER"),SUM(Sheet1!BC244:'Sheet1'!BF244),0)</f>
        <v>0</v>
      </c>
      <c r="CI246" s="521">
        <f>IF(AND($B246&gt;=$FV246,$B246&lt;=$FW246),MAX(CF246,Sheet1!EJ244,0),MAX(CF246-(7/36)*$K246,0))</f>
        <v>6.5</v>
      </c>
      <c r="CJ246" s="535">
        <f t="shared" si="593"/>
        <v>0</v>
      </c>
      <c r="CK246" s="521">
        <f t="shared" si="594"/>
        <v>0</v>
      </c>
      <c r="CL246" s="521">
        <f>IF(AND($O246&gt;0,Sheet1!EN244=1),(1-($O246-Sheet1!$L244)/$O246)*CF246,0)</f>
        <v>0</v>
      </c>
      <c r="CM246" s="521">
        <f>IF(AND(Sheet1!$L244=0,Sheet1!$L243=0, Calculation!CE246&lt;Sheet1!EJ244-0.1,Sheet1!EJ244=Sheet1!EJ243,Sheet1!EJ244=Sheet1!EJ245),CF246-CL246,CF246-CL246)</f>
        <v>6.4655094339622643</v>
      </c>
      <c r="CN246" s="1040" t="str">
        <f t="shared" si="547"/>
        <v/>
      </c>
      <c r="CO246" s="1035">
        <f t="shared" si="548"/>
        <v>0</v>
      </c>
      <c r="CP246" s="535">
        <f t="shared" si="595"/>
        <v>273.3406814529767</v>
      </c>
      <c r="CQ246" s="535"/>
      <c r="CR246" s="535">
        <f ca="1">IF(B246&gt;(Summary!$A$1-1),#N/A,CP246*MGtoAF)</f>
        <v>838.60921069773246</v>
      </c>
      <c r="CS246" s="535">
        <f>Sheet1!BK244+Sheet1!BL244+Sheet1!BM244-Sheet1!ER244-DA246</f>
        <v>11.93</v>
      </c>
      <c r="CT246" s="535">
        <f t="shared" si="596"/>
        <v>11.88498113207547</v>
      </c>
      <c r="CU246" s="535">
        <f>IF(Sheet1!ER244="FM",DA246,0)</f>
        <v>0</v>
      </c>
      <c r="CV246" s="535">
        <f t="shared" si="597"/>
        <v>0</v>
      </c>
      <c r="CW246" s="535">
        <f>IF(Sheet1!ER244="OTHER",DA246,0)</f>
        <v>0</v>
      </c>
      <c r="CX246" s="535">
        <f t="shared" si="598"/>
        <v>0</v>
      </c>
      <c r="CY246" s="535">
        <f t="shared" si="599"/>
        <v>11.93</v>
      </c>
      <c r="CZ246" s="535">
        <f t="shared" si="600"/>
        <v>11.88498113207547</v>
      </c>
      <c r="DA246" s="535">
        <f>IF(OR(Sheet1!ER244="FM", Sheet1!ER244="OTHER"),SUM(Sheet1!BK244:'Sheet1'!BM244),0)</f>
        <v>0</v>
      </c>
      <c r="DB246" s="1011">
        <f>IF(AND($B246&gt;=$FV246,$B246&lt;=$FW246),MAX($CT246,Sheet1!EK244,0),MAX($CT246-(7/36)*$K246,0))</f>
        <v>12</v>
      </c>
      <c r="DC246" s="1012">
        <f t="shared" si="601"/>
        <v>0</v>
      </c>
      <c r="DD246" s="1011">
        <f t="shared" si="602"/>
        <v>0</v>
      </c>
      <c r="DE246" s="521">
        <f>IF(AND($O246&gt;0,Sheet1!EO244=1),(1-($O246-Sheet1!$L244)/$O246)*CZ246,0)</f>
        <v>0</v>
      </c>
      <c r="DF246" s="521">
        <f>IF(AND(Sheet1!$L244=0,Sheet1!$L243=0, Calculation!CY246&lt;Sheet1!$EK244-0.1,Sheet1!$EK244=Sheet1!$EK243,Sheet1!$EK244=Sheet1!$EK245),CZ246-DE246,CZ246-DE246)</f>
        <v>11.88498113207547</v>
      </c>
      <c r="DG246" s="1040">
        <f t="shared" si="549"/>
        <v>0</v>
      </c>
      <c r="DH246" s="649">
        <f t="shared" si="603"/>
        <v>25.35</v>
      </c>
      <c r="DI246" s="535">
        <f t="shared" si="604"/>
        <v>193.83867756192996</v>
      </c>
      <c r="DJ246" s="649">
        <f t="shared" si="605"/>
        <v>25.254339622641506</v>
      </c>
      <c r="DK246" s="535">
        <f ca="1">IF(B246&gt;(Summary!$A$1-1),#N/A,DI246*MGtoAF)</f>
        <v>594.69706276000113</v>
      </c>
      <c r="DL246" s="649">
        <f t="shared" si="606"/>
        <v>25.35</v>
      </c>
      <c r="DM246" s="535">
        <f t="shared" si="607"/>
        <v>34.450000000000003</v>
      </c>
      <c r="DN246" s="535">
        <f>Sheet1!AB244-DM246</f>
        <v>-0.13000000000000256</v>
      </c>
      <c r="DO246" s="743">
        <f t="shared" si="608"/>
        <v>-3.7735849056604511E-3</v>
      </c>
      <c r="DP246" s="535">
        <f>(VLOOKUP(Sheet1!DC244,hhdcap_wcm,4)-(((VLOOKUP(Sheet1!DC244,hhdcap_wcm,3)-Sheet1!DC244)/(VLOOKUP(Sheet1!DC244,hhdcap_wcm,3)-VLOOKUP(Sheet1!DC244,hhdcap_wcm,1)))*(VLOOKUP(Sheet1!DC244,hhdcap_wcm,4)-VLOOKUP(Sheet1!DC244,hhdcap_wcm,2))))</f>
        <v>36373.000000091582</v>
      </c>
      <c r="DQ246" s="535">
        <f t="shared" si="609"/>
        <v>-413.30000000138534</v>
      </c>
      <c r="DR246" s="535">
        <f t="shared" si="610"/>
        <v>-208.42158346010353</v>
      </c>
      <c r="DS246" s="535">
        <f>Sheet1!EA244*AFtoMG</f>
        <v>0</v>
      </c>
      <c r="DT246" s="535">
        <f>Sheet1!EB244*AFtoMG</f>
        <v>0</v>
      </c>
      <c r="DU246" s="535">
        <f>Sheet1!EC244*AFtoMG</f>
        <v>0</v>
      </c>
      <c r="DV246" s="535">
        <f>Sheet1!ED244*AFtoMG</f>
        <v>0</v>
      </c>
      <c r="DW246" s="535">
        <f t="shared" si="611"/>
        <v>0</v>
      </c>
      <c r="DX246" s="535">
        <f t="shared" si="612"/>
        <v>0</v>
      </c>
      <c r="DY246" s="535">
        <f t="shared" si="613"/>
        <v>1900.7778551106524</v>
      </c>
      <c r="DZ246" s="535">
        <f t="shared" si="614"/>
        <v>5831.5864594794812</v>
      </c>
      <c r="EA246" s="535"/>
      <c r="EB246" s="521">
        <f>IF(OR(B246&lt;FV246,B246&gt;FW246),(MIN(BF246+BY246+CT246+MAX(Sheet1!AA244+AQ246-73,0),K246)),0)</f>
        <v>0</v>
      </c>
      <c r="EC246" s="535"/>
      <c r="ED246" s="535">
        <f t="shared" si="615"/>
        <v>25.254339622641506</v>
      </c>
      <c r="EE246" s="535"/>
      <c r="EF246" s="535">
        <f>Sheet1!EH244+Sheet1!EI244+Sheet1!EJ244+Sheet1!EK244</f>
        <v>25.5</v>
      </c>
      <c r="EG246" s="1019">
        <f t="shared" si="550"/>
        <v>39.448499999999996</v>
      </c>
      <c r="EH246" s="521">
        <f t="shared" si="616"/>
        <v>0</v>
      </c>
      <c r="EI246" s="535">
        <f>IF(Sheet1!ET244=1,SUM('Calculations II'!AT246:BA246)+'Calculations II'!BC246+Sheet1!BV244+'Calculations II'!BE246+AP246,'Calculations II'!BK246)</f>
        <v>72.43925637735849</v>
      </c>
      <c r="EJ246" s="535">
        <f ca="1">EI246+'Calculations II'!D246+'Calculations II'!E246+'Calculations II'!O246</f>
        <v>72.086666878758535</v>
      </c>
      <c r="EK246" s="535"/>
      <c r="EL246" s="535"/>
      <c r="EM246" s="535">
        <f t="shared" si="617"/>
        <v>42970</v>
      </c>
      <c r="EN246" s="535">
        <f t="shared" si="618"/>
        <v>-25.500000000000004</v>
      </c>
      <c r="EO246" s="535">
        <f t="shared" si="619"/>
        <v>-39.448500000000003</v>
      </c>
      <c r="EP246" s="535">
        <v>0</v>
      </c>
      <c r="EQ246" s="535">
        <v>0</v>
      </c>
      <c r="ER246" s="535">
        <v>0</v>
      </c>
      <c r="ES246" s="521">
        <f t="shared" si="516"/>
        <v>0.9696946414689831</v>
      </c>
      <c r="ET246" s="535">
        <f>-(VLOOKUP(Sheet1!BQ244,Lookup!$O$4:$Q$262,2)-VLOOKUP(Sheet1!BQ243,Lookup!$O$4:$Q$262,2))/1000000</f>
        <v>0.41551200103901326</v>
      </c>
      <c r="EU246" s="535">
        <f>-(VLOOKUP(Sheet1!BR244,Lookup!$O$4:$Q$262,3)-VLOOKUP(Sheet1!BR243,Lookup!$O$4:$Q$262,3))/1000000</f>
        <v>0.5541826404299699</v>
      </c>
      <c r="EV246" s="535"/>
      <c r="EW246" s="535"/>
      <c r="EX246" s="535"/>
      <c r="EY246" s="535"/>
      <c r="EZ246" s="535"/>
      <c r="FA246" s="535"/>
      <c r="FB246" s="535"/>
      <c r="FC246" s="535"/>
      <c r="FD246" s="567">
        <f t="shared" si="566"/>
        <v>1131.2366666665946</v>
      </c>
      <c r="FE246" s="567" t="e">
        <f t="shared" si="620"/>
        <v>#N/A</v>
      </c>
      <c r="FF246" s="568" t="e">
        <f t="shared" si="621"/>
        <v>#N/A</v>
      </c>
      <c r="FG246" s="569" t="s">
        <v>656</v>
      </c>
      <c r="FH246" s="569" t="s">
        <v>656</v>
      </c>
      <c r="FI246" s="567" t="e">
        <v>#N/A</v>
      </c>
      <c r="FJ246" s="725">
        <v>17209</v>
      </c>
      <c r="FK246" s="535"/>
      <c r="FL246" s="1015">
        <f t="shared" si="565"/>
        <v>84.720121028744316</v>
      </c>
      <c r="FM246" s="535"/>
      <c r="FN246" s="535"/>
      <c r="FO246" s="535">
        <f>O246+((Sheet1!CS244)*GPMtoMGD)</f>
        <v>97.044992000000008</v>
      </c>
      <c r="FP246" s="535">
        <f>IF(Sheet1!AA244+AQ246&lt;=Calculation!N246,AQ246,Calculation!N246-Sheet1!AA244)</f>
        <v>9.0656603773584887</v>
      </c>
      <c r="FQ246" s="535">
        <f>(Sheet1!BP244+Sheet1!BO244)/694.4</f>
        <v>3.5661002304147464</v>
      </c>
      <c r="FR246" s="541"/>
      <c r="FS246" s="541"/>
      <c r="FT246" s="541"/>
      <c r="FU246" s="541"/>
      <c r="FV246" s="1109">
        <f t="shared" si="517"/>
        <v>42918</v>
      </c>
      <c r="FW246" s="1109">
        <f t="shared" si="518"/>
        <v>43027</v>
      </c>
      <c r="FX246" s="541"/>
      <c r="FY246" s="541">
        <f>Sheet1!DA244-Sheet1!CZ244-Sheet1!AE244</f>
        <v>-131.66989000000001</v>
      </c>
      <c r="FZ246" s="535">
        <f t="shared" si="551"/>
        <v>-1.1907377056036408</v>
      </c>
      <c r="GA246" s="535"/>
      <c r="GB246" s="535" t="str">
        <f t="shared" si="519"/>
        <v>n</v>
      </c>
      <c r="GC246" s="539">
        <f t="shared" si="520"/>
        <v>42782</v>
      </c>
      <c r="GD246" s="1109">
        <f t="shared" si="521"/>
        <v>42904</v>
      </c>
      <c r="GE246" s="535">
        <f t="shared" si="537"/>
        <v>6520</v>
      </c>
      <c r="GF246" s="1109">
        <f t="shared" si="522"/>
        <v>42909</v>
      </c>
      <c r="GG246" s="535">
        <f t="shared" si="564"/>
        <v>3260</v>
      </c>
      <c r="GH246" s="539">
        <f t="shared" si="523"/>
        <v>43040</v>
      </c>
      <c r="GJ246" s="521">
        <f t="shared" si="524"/>
        <v>0</v>
      </c>
      <c r="GK246" s="535" t="str">
        <f t="shared" si="622"/>
        <v/>
      </c>
      <c r="GL246" s="535">
        <f t="shared" si="525"/>
        <v>0</v>
      </c>
      <c r="GM246" s="535" t="str">
        <f t="shared" si="526"/>
        <v/>
      </c>
      <c r="GN246" s="535">
        <f>IF(GK246="P",Lookup!$M$12,IF(GK246="PP",Lookup!$M$13,IF(GK246="PPP",Lookup!$M$14,IF(GK246="T",Lookup!$M$15,IF(GK246="TP",Lookup!$M$16,IF(GK246="TPP",Lookup!$M$17,IF(GK246="TPPP",Lookup!$M$18,0)))))))*GJ246</f>
        <v>0</v>
      </c>
      <c r="GO246" s="535">
        <f t="shared" si="527"/>
        <v>0</v>
      </c>
      <c r="GP246" s="535">
        <f t="shared" si="623"/>
        <v>3116.5766666666673</v>
      </c>
      <c r="GQ246" s="974">
        <f t="shared" si="567"/>
        <v>1015.8333333333335</v>
      </c>
      <c r="GR246" s="535"/>
      <c r="GS246" s="535">
        <f t="shared" si="528"/>
        <v>0</v>
      </c>
      <c r="GT246" s="535" t="str">
        <f t="shared" si="529"/>
        <v/>
      </c>
      <c r="GU246" s="535">
        <f>IF(GK246="P",Lookup!$N$12,IF(GK246="PP",Lookup!$N$13,IF(GK246="PPP",Lookup!$N$14,IF(GK246="T",Lookup!$N$15,IF(GK246="TP",Lookup!$N$16,IF(GK246="TPP",Lookup!$N$17,IF(GK246="TPPP",Lookup!$N$18,0)))))))*GJ246</f>
        <v>0</v>
      </c>
      <c r="GV246" s="535">
        <f t="shared" si="530"/>
        <v>0</v>
      </c>
      <c r="GW246" s="535">
        <f t="shared" si="624"/>
        <v>1281.7035193550805</v>
      </c>
      <c r="GX246" s="974">
        <f t="shared" si="568"/>
        <v>417.76516276241216</v>
      </c>
      <c r="GY246" s="535"/>
      <c r="GZ246" s="535">
        <f t="shared" si="531"/>
        <v>0</v>
      </c>
      <c r="HA246" s="535" t="str">
        <f t="shared" si="532"/>
        <v/>
      </c>
      <c r="HB246" s="535">
        <f>IF(GK246="P",Lookup!$N$12,IF(GK246="PP",Lookup!$N$13,IF(GK246="PPP",Lookup!$N$14,IF(GK246="T",Lookup!$N$15,IF(GK246="TP",Lookup!$N$16,IF(GK246="TPP",Lookup!$N$17,IF(GK246="TPPP",Lookup!$N$18,0)))))))*GJ246</f>
        <v>0</v>
      </c>
      <c r="HC246" s="521">
        <f t="shared" si="625"/>
        <v>0</v>
      </c>
      <c r="HD246" s="535">
        <f t="shared" si="626"/>
        <v>838.60921069773246</v>
      </c>
      <c r="HE246" s="535">
        <f t="shared" si="535"/>
        <v>273.3406814529767</v>
      </c>
      <c r="HF246" s="535"/>
      <c r="HG246" s="535">
        <f t="shared" si="533"/>
        <v>0</v>
      </c>
      <c r="HH246" s="535" t="str">
        <f t="shared" si="534"/>
        <v/>
      </c>
      <c r="HI246" s="535">
        <f>IF(GK246="P",Lookup!$N$12,IF(GK246="PP",Lookup!$N$13,IF(GK246="PPP",Lookup!$N$14,IF(GK246="T",Lookup!$N$15,IF(GK246="TP",Lookup!$N$16,IF(GK246="TPP",Lookup!$N$17,IF(GK246="TPPP",Lookup!$N$18,0)))))))*GJ246</f>
        <v>0</v>
      </c>
      <c r="HJ246" s="521">
        <f t="shared" si="627"/>
        <v>0</v>
      </c>
      <c r="HK246" s="535">
        <f t="shared" si="628"/>
        <v>594.69706276000113</v>
      </c>
      <c r="HL246" s="535">
        <f t="shared" si="536"/>
        <v>193.83867756192996</v>
      </c>
      <c r="HM246" s="535"/>
      <c r="HN246" s="541"/>
      <c r="HO246" s="541"/>
      <c r="HP246" s="541"/>
      <c r="HQ246" s="541">
        <f>IF(AND(B246&gt;=$FV$4,B246&lt;=$FW$4),MAX(110/1.02+$HQ$6+MIN(113/1.02,G246),IF($HV$6-(Sheet1!DA244-Sheet1!DB244)+MIN(113/1.02,G246)&lt;G246+FL246,$HV$6-(Sheet1!DA244-Sheet1!DB244)+MIN(113/1.02,G246),G246+FL246)),MIN(110/1.02+$HQ$6+113/1.02,G246))</f>
        <v>218.42155379479843</v>
      </c>
      <c r="HR246" s="541">
        <f t="shared" si="552"/>
        <v>222.78998487069441</v>
      </c>
      <c r="HS246" s="541">
        <f>HR246+(Sheet1!DA244-Sheet1!DB244)</f>
        <v>375.78998487069441</v>
      </c>
      <c r="HT246" s="541">
        <f t="shared" si="553"/>
        <v>104.60142660377359</v>
      </c>
      <c r="HU246" s="541">
        <f t="shared" si="554"/>
        <v>271.18855826692084</v>
      </c>
      <c r="HV246" s="541">
        <f t="shared" si="555"/>
        <v>0</v>
      </c>
      <c r="HW246" s="533" t="str">
        <f t="shared" si="556"/>
        <v/>
      </c>
      <c r="HX246" s="541">
        <f t="shared" si="557"/>
        <v>61.129946205201549</v>
      </c>
      <c r="HY246" s="541">
        <f>Sheet1!CZ244</f>
        <v>319</v>
      </c>
      <c r="HZ246" s="541">
        <f t="shared" si="558"/>
        <v>39.448500000000003</v>
      </c>
      <c r="IA246" s="541">
        <f t="shared" si="559"/>
        <v>104.60142660377359</v>
      </c>
      <c r="IB246" s="541">
        <f t="shared" si="560"/>
        <v>279.55149999999998</v>
      </c>
      <c r="IC246" s="1019" t="str">
        <f t="shared" si="561"/>
        <v/>
      </c>
      <c r="ID246" s="541">
        <f t="shared" si="562"/>
        <v>174.9500733962264</v>
      </c>
      <c r="IE246" s="541">
        <f>Sheet1!DB244</f>
        <v>178</v>
      </c>
      <c r="IF246" s="533">
        <f>Sheet1!DA244</f>
        <v>331</v>
      </c>
      <c r="IH246" s="541">
        <f>IF(AND($B246&gt;=$GC246,$B246&lt;=$GH246,$DR246&lt;0)+N("only adjusted when pool is drawn down during storage season"),Sheet1!$DB244+$DR246+N("Palmer minus all storage release"),Sheet1!$DB244)</f>
        <v>-30.421583460103534</v>
      </c>
      <c r="II246" s="541">
        <f>IF(AND($B246&gt;=$GC246,$B246&lt;=$GH246,$DR246&lt;0)+N("only adjusted when pool is drawn down during storage season"),Sheet1!$DA244+$DR246+N("Auburn minus all storage release"),Sheet1!$DA244)</f>
        <v>122.57841653989647</v>
      </c>
    </row>
    <row r="247" spans="1:243" x14ac:dyDescent="0.25">
      <c r="A247" s="553" t="s">
        <v>7</v>
      </c>
      <c r="B247" s="531">
        <v>42971</v>
      </c>
      <c r="C247" s="536">
        <v>0</v>
      </c>
      <c r="D247" s="506">
        <f t="shared" si="506"/>
        <v>200</v>
      </c>
      <c r="E247" s="506">
        <f t="shared" si="507"/>
        <v>400</v>
      </c>
      <c r="F247" s="506">
        <v>250</v>
      </c>
      <c r="G247" s="535">
        <f>DR247+Sheet1!CZ245</f>
        <v>112.50226928884169</v>
      </c>
      <c r="H247" s="1074">
        <f t="shared" si="563"/>
        <v>0</v>
      </c>
      <c r="I247" s="534">
        <f>IF(Sheet1!DA245&gt;=E247,(Sheet1!DA245-E247+P247)*CFStoMGD,0)</f>
        <v>0</v>
      </c>
      <c r="J247" s="995">
        <f>IF(Sheet1!DB245&gt;=D247,(Sheet1!DB245-D247+P247)*CFStoMGD,0)</f>
        <v>0</v>
      </c>
      <c r="K247" s="818">
        <f t="shared" si="538"/>
        <v>0</v>
      </c>
      <c r="L247" s="535">
        <f>Sheet1!AA245+Sheet1!AB245-Sheet1!L245+(Sheet1!DA245-F247)*CFStoMGD-S247-T247-U247</f>
        <v>126.2877908407382</v>
      </c>
      <c r="M247" s="535">
        <f t="shared" si="569"/>
        <v>74.175896205673411</v>
      </c>
      <c r="N247" s="824">
        <f>IF(Sheet1!DA245&gt;=F247,MIN(113*CFStoMGD,MIN(MAX(L247,0),MAX(M247,0))),0)</f>
        <v>73.043199999999999</v>
      </c>
      <c r="O247" s="538">
        <f>Sheet1!AA245+Sheet1!AB245</f>
        <v>92.85</v>
      </c>
      <c r="P247" s="538">
        <f t="shared" si="570"/>
        <v>143.63894999999999</v>
      </c>
      <c r="Q247" s="812">
        <f t="shared" si="539"/>
        <v>68.111790840738209</v>
      </c>
      <c r="R247" s="812">
        <f t="shared" si="508"/>
        <v>25.5</v>
      </c>
      <c r="S247" s="812">
        <f t="shared" si="509"/>
        <v>0</v>
      </c>
      <c r="T247" s="812">
        <f t="shared" si="510"/>
        <v>0</v>
      </c>
      <c r="U247" s="812">
        <f>IF(AND(B247&gt;=FV247,B247&lt;=FW247),ED247+Sheet1!EH245,0)</f>
        <v>24.738209159261789</v>
      </c>
      <c r="V247" s="812"/>
      <c r="W247" s="812">
        <f t="shared" si="511"/>
        <v>0</v>
      </c>
      <c r="X247" s="812">
        <f t="shared" si="512"/>
        <v>0</v>
      </c>
      <c r="Y247" s="812" t="str">
        <f t="shared" si="513"/>
        <v>FALSE</v>
      </c>
      <c r="Z247" s="812">
        <f t="shared" si="514"/>
        <v>92.85</v>
      </c>
      <c r="AA247" s="812">
        <f t="shared" si="515"/>
        <v>92.85</v>
      </c>
      <c r="AB247" s="1059">
        <f t="shared" si="540"/>
        <v>105.368940430622</v>
      </c>
      <c r="AC247" s="538">
        <f>Sheet1!Y245*MGDtoCFS</f>
        <v>90.576849999999993</v>
      </c>
      <c r="AD247" s="538">
        <f>Sheet1!Z245*MGDtoCFS</f>
        <v>52.907400000000003</v>
      </c>
      <c r="AE247" s="538">
        <f>Sheet1!AA245*MGDtoCFS</f>
        <v>98.775949999999995</v>
      </c>
      <c r="AF247" s="538">
        <f>Sheet1!AB245*MGDtoCFS</f>
        <v>44.863</v>
      </c>
      <c r="AG247" s="538">
        <f>Sheet1!L245*MGDtoCFS</f>
        <v>0</v>
      </c>
      <c r="AH247" s="521">
        <f t="shared" si="571"/>
        <v>25.5</v>
      </c>
      <c r="AI247" s="1059">
        <f t="shared" si="572"/>
        <v>39.448499999999996</v>
      </c>
      <c r="AJ247" s="535">
        <f t="shared" si="573"/>
        <v>0</v>
      </c>
      <c r="AK247" s="535">
        <f t="shared" si="574"/>
        <v>0</v>
      </c>
      <c r="AL247" s="535">
        <f>(VLOOKUP(Sheet1!DC245,hhdcap_wcm,4)-(((VLOOKUP(Sheet1!DC245,hhdcap_wcm,3)-Sheet1!DC245)/(VLOOKUP(Sheet1!DC245,hhdcap_wcm,3)-VLOOKUP(Sheet1!DC245,hhdcap_wcm,1)))*(VLOOKUP(Sheet1!DC245,hhdcap_wcm,4)-VLOOKUP(Sheet1!DC245,hhdcap_wcm,2))))</f>
        <v>35953.600000091355</v>
      </c>
      <c r="AM247" s="535">
        <f t="shared" si="575"/>
        <v>-419.40000000022701</v>
      </c>
      <c r="AN247" s="1035">
        <f t="shared" si="576"/>
        <v>1875.2778551106524</v>
      </c>
      <c r="AO247" s="535">
        <f t="shared" si="577"/>
        <v>5753.3524594794817</v>
      </c>
      <c r="AP247" s="535">
        <f>Sheet1!BA245+Sheet1!BB245+Sheet1!BN245+CD247</f>
        <v>4.3</v>
      </c>
      <c r="AQ247" s="535">
        <f>Sheet1!BN245+(DO247*Sheet1!BN245)</f>
        <v>4.2617908407382084</v>
      </c>
      <c r="AR247" s="535">
        <f>Sheet1!BA245+CD247</f>
        <v>0</v>
      </c>
      <c r="AS247" s="535">
        <f>Sheet1!BA245+Sheet1!BB245+CD247</f>
        <v>0</v>
      </c>
      <c r="AT247" s="649">
        <f>0</f>
        <v>0</v>
      </c>
      <c r="AU247" s="974">
        <f>BA247+MAX(Sheet1!EH245,(O247-Q247-ED247-S247))</f>
        <v>0</v>
      </c>
      <c r="AV247" s="535">
        <f>IF(OR(B247&gt;=GD247,B247&lt;GC247),0,15/36*K247-MAX(0,64.6-(137.6-(Sheet1!AA245+Sheet1!AB245))))</f>
        <v>0</v>
      </c>
      <c r="AW247" s="1029"/>
      <c r="AX247" s="649"/>
      <c r="AY247" s="649">
        <f t="shared" si="541"/>
        <v>0</v>
      </c>
      <c r="AZ247" s="649">
        <f t="shared" si="542"/>
        <v>0</v>
      </c>
      <c r="BA247" s="1059">
        <f t="shared" si="543"/>
        <v>0</v>
      </c>
      <c r="BB247" s="1019">
        <f t="shared" si="578"/>
        <v>1015.8333333333335</v>
      </c>
      <c r="BC247" s="1041">
        <f t="shared" si="544"/>
        <v>0</v>
      </c>
      <c r="BD247" s="1019">
        <f ca="1">IF(B247&gt;(Summary!$A$1-1),#N/A,BB247*MGtoAF)</f>
        <v>3116.5766666666673</v>
      </c>
      <c r="BE247" s="535">
        <f>Sheet1!BG245+Sheet1!BH245+Sheet1!BI245-BM247</f>
        <v>6.93</v>
      </c>
      <c r="BF247" s="535">
        <f t="shared" si="579"/>
        <v>6.8684210526315779</v>
      </c>
      <c r="BG247" s="535">
        <f>IF(Sheet1!EP245="FM",BM247,0)</f>
        <v>0</v>
      </c>
      <c r="BH247" s="535">
        <f t="shared" si="580"/>
        <v>0</v>
      </c>
      <c r="BI247" s="535">
        <f>IF(Sheet1!EP245="OTHER",BM247,0)</f>
        <v>0</v>
      </c>
      <c r="BJ247" s="535">
        <f t="shared" si="581"/>
        <v>0</v>
      </c>
      <c r="BK247" s="535">
        <f t="shared" si="582"/>
        <v>6.93</v>
      </c>
      <c r="BL247" s="535">
        <f t="shared" si="583"/>
        <v>6.8684210526315779</v>
      </c>
      <c r="BM247" s="535">
        <f>IF(OR(Sheet1!EP245="FM", Sheet1!EP245="OTHER"),SUM(Sheet1!BG245:'Sheet1'!BI245),0)</f>
        <v>0</v>
      </c>
      <c r="BN247" s="521">
        <f>IF(AND($B247&gt;=$FV247,$B247&lt;=$FW247),MAX(BF247,Sheet1!EI245,0),MAX(BF247-(7/36)*$K247,0))</f>
        <v>7</v>
      </c>
      <c r="BO247" s="535">
        <f t="shared" si="584"/>
        <v>0</v>
      </c>
      <c r="BP247" s="521">
        <f t="shared" si="585"/>
        <v>0</v>
      </c>
      <c r="BQ247" s="521">
        <f>IF(AND($O247&gt;0,Sheet1!EM245=1),(1-($O247-Sheet1!$L245)/$O247)*BL247,0)</f>
        <v>0</v>
      </c>
      <c r="BR247" s="521">
        <f>IF(AND(Sheet1!$L245=0,Sheet1!$L244=0, Calculation!BK247&lt;Sheet1!$EI245-0.1,Sheet1!$EI245=Sheet1!$EI244,Sheet1!$EI245=Sheet1!$EI246),BL247-BQ247,BL247-BQ247)</f>
        <v>6.8684210526315779</v>
      </c>
      <c r="BS247" s="1035" t="str">
        <f t="shared" si="545"/>
        <v/>
      </c>
      <c r="BT247" s="1035">
        <f t="shared" si="546"/>
        <v>0</v>
      </c>
      <c r="BU247" s="535">
        <f t="shared" si="586"/>
        <v>410.76516276241216</v>
      </c>
      <c r="BV247" s="535"/>
      <c r="BW247" s="535">
        <f ca="1">IF(B247&gt;(Summary!$A$1-1),#N/A,BU247*MGtoAF)</f>
        <v>1260.2275193550806</v>
      </c>
      <c r="BX247" s="535">
        <f>Sheet1!BC245+Sheet1!BD245+Sheet1!BE245+Sheet1!BF245-CG247-CH247</f>
        <v>6.49</v>
      </c>
      <c r="BY247" s="535">
        <f t="shared" si="587"/>
        <v>6.4323308270676689</v>
      </c>
      <c r="BZ247" s="535">
        <f>IF(Sheet1!EQ245="FM",CH247,0)</f>
        <v>0</v>
      </c>
      <c r="CA247" s="535">
        <f t="shared" si="588"/>
        <v>0</v>
      </c>
      <c r="CB247" s="535">
        <f>IF(Sheet1!EQ245="OTHER",CH247,0)</f>
        <v>0</v>
      </c>
      <c r="CC247" s="535">
        <f t="shared" si="589"/>
        <v>0</v>
      </c>
      <c r="CD247" s="535">
        <f t="shared" si="590"/>
        <v>0</v>
      </c>
      <c r="CE247" s="535">
        <f t="shared" si="591"/>
        <v>6.49</v>
      </c>
      <c r="CF247" s="535">
        <f t="shared" si="592"/>
        <v>6.4323308270676689</v>
      </c>
      <c r="CG247" s="535">
        <f>IF(Sheet1!EQ245="CWA",SUM(Sheet1!BC245:'Sheet1'!BF245),0)</f>
        <v>0</v>
      </c>
      <c r="CH247" s="535">
        <f>IF(OR(Sheet1!EQ245="FM", Sheet1!EQ245="OTHER"),SUM(Sheet1!BC245:'Sheet1'!BF245),0)</f>
        <v>0</v>
      </c>
      <c r="CI247" s="521">
        <f>IF(AND($B247&gt;=$FV247,$B247&lt;=$FW247),MAX(CF247,Sheet1!EJ245,0),MAX(CF247-(7/36)*$K247,0))</f>
        <v>6.5</v>
      </c>
      <c r="CJ247" s="535">
        <f t="shared" si="593"/>
        <v>0</v>
      </c>
      <c r="CK247" s="521">
        <f t="shared" si="594"/>
        <v>0</v>
      </c>
      <c r="CL247" s="521">
        <f>IF(AND($O247&gt;0,Sheet1!EN245=1),(1-($O247-Sheet1!$L245)/$O247)*CF247,0)</f>
        <v>0</v>
      </c>
      <c r="CM247" s="521">
        <f>IF(AND(Sheet1!$L245=0,Sheet1!$L244=0, Calculation!CE247&lt;Sheet1!EJ245-0.1,Sheet1!EJ245=Sheet1!EJ244,Sheet1!EJ245=Sheet1!EJ246),CF247-CL247,CF247-CL247)</f>
        <v>6.4323308270676689</v>
      </c>
      <c r="CN247" s="1040" t="str">
        <f t="shared" si="547"/>
        <v/>
      </c>
      <c r="CO247" s="1035">
        <f t="shared" si="548"/>
        <v>0</v>
      </c>
      <c r="CP247" s="535">
        <f t="shared" si="595"/>
        <v>266.8406814529767</v>
      </c>
      <c r="CQ247" s="535"/>
      <c r="CR247" s="535">
        <f ca="1">IF(B247&gt;(Summary!$A$1-1),#N/A,CP247*MGtoAF)</f>
        <v>818.66721069773257</v>
      </c>
      <c r="CS247" s="535">
        <f>Sheet1!BK245+Sheet1!BL245+Sheet1!BM245-Sheet1!ER245-DA247</f>
        <v>11.54</v>
      </c>
      <c r="CT247" s="535">
        <f t="shared" si="596"/>
        <v>11.43745727956254</v>
      </c>
      <c r="CU247" s="535">
        <f>IF(Sheet1!ER245="FM",DA247,0)</f>
        <v>0</v>
      </c>
      <c r="CV247" s="535">
        <f t="shared" si="597"/>
        <v>0</v>
      </c>
      <c r="CW247" s="535">
        <f>IF(Sheet1!ER245="OTHER",DA247,0)</f>
        <v>0</v>
      </c>
      <c r="CX247" s="535">
        <f t="shared" si="598"/>
        <v>0</v>
      </c>
      <c r="CY247" s="535">
        <f t="shared" si="599"/>
        <v>11.54</v>
      </c>
      <c r="CZ247" s="535">
        <f t="shared" si="600"/>
        <v>11.43745727956254</v>
      </c>
      <c r="DA247" s="535">
        <f>IF(OR(Sheet1!ER245="FM", Sheet1!ER245="OTHER"),SUM(Sheet1!BK245:'Sheet1'!BM245),0)</f>
        <v>0</v>
      </c>
      <c r="DB247" s="1011">
        <f>IF(AND($B247&gt;=$FV247,$B247&lt;=$FW247),MAX($CT247,Sheet1!EK245,0),MAX($CT247-(7/36)*$K247,0))</f>
        <v>12</v>
      </c>
      <c r="DC247" s="1012">
        <f t="shared" si="601"/>
        <v>0</v>
      </c>
      <c r="DD247" s="1011">
        <f t="shared" si="602"/>
        <v>0</v>
      </c>
      <c r="DE247" s="521">
        <f>IF(AND($O247&gt;0,Sheet1!EO245=1),(1-($O247-Sheet1!$L245)/$O247)*CZ247,0)</f>
        <v>0</v>
      </c>
      <c r="DF247" s="521">
        <f>IF(AND(Sheet1!$L245=0,Sheet1!$L244=0, Calculation!CY247&lt;Sheet1!$EK245-0.1,Sheet1!$EK245=Sheet1!$EK244,Sheet1!$EK245=Sheet1!$EK246),CZ247-DE247,CZ247-DE247)</f>
        <v>11.43745727956254</v>
      </c>
      <c r="DG247" s="1040">
        <f t="shared" si="549"/>
        <v>0</v>
      </c>
      <c r="DH247" s="649">
        <f t="shared" si="603"/>
        <v>24.96</v>
      </c>
      <c r="DI247" s="535">
        <f t="shared" si="604"/>
        <v>181.83867756192996</v>
      </c>
      <c r="DJ247" s="649">
        <f t="shared" si="605"/>
        <v>24.738209159261785</v>
      </c>
      <c r="DK247" s="535">
        <f ca="1">IF(B247&gt;(Summary!$A$1-1),#N/A,DI247*MGtoAF)</f>
        <v>557.8810627600011</v>
      </c>
      <c r="DL247" s="649">
        <f t="shared" si="606"/>
        <v>24.96</v>
      </c>
      <c r="DM247" s="535">
        <f t="shared" si="607"/>
        <v>29.26</v>
      </c>
      <c r="DN247" s="535">
        <f>Sheet1!AB245-DM247</f>
        <v>-0.26000000000000156</v>
      </c>
      <c r="DO247" s="743">
        <f t="shared" si="608"/>
        <v>-8.8858509911142018E-3</v>
      </c>
      <c r="DP247" s="535">
        <f>(VLOOKUP(Sheet1!DC245,hhdcap_wcm,4)-(((VLOOKUP(Sheet1!DC245,hhdcap_wcm,3)-Sheet1!DC245)/(VLOOKUP(Sheet1!DC245,hhdcap_wcm,3)-VLOOKUP(Sheet1!DC245,hhdcap_wcm,1)))*(VLOOKUP(Sheet1!DC245,hhdcap_wcm,4)-VLOOKUP(Sheet1!DC245,hhdcap_wcm,2))))</f>
        <v>35953.600000091355</v>
      </c>
      <c r="DQ247" s="535">
        <f t="shared" si="609"/>
        <v>-419.40000000022701</v>
      </c>
      <c r="DR247" s="535">
        <f t="shared" si="610"/>
        <v>-211.49773071115831</v>
      </c>
      <c r="DS247" s="535">
        <f>Sheet1!EA245*AFtoMG</f>
        <v>0</v>
      </c>
      <c r="DT247" s="535">
        <f>Sheet1!EB245*AFtoMG</f>
        <v>0</v>
      </c>
      <c r="DU247" s="535">
        <f>Sheet1!EC245*AFtoMG</f>
        <v>0</v>
      </c>
      <c r="DV247" s="535">
        <f>Sheet1!ED245*AFtoMG</f>
        <v>0</v>
      </c>
      <c r="DW247" s="535">
        <f t="shared" si="611"/>
        <v>0</v>
      </c>
      <c r="DX247" s="535">
        <f t="shared" si="612"/>
        <v>0</v>
      </c>
      <c r="DY247" s="535">
        <f t="shared" si="613"/>
        <v>1875.2778551106524</v>
      </c>
      <c r="DZ247" s="535">
        <f t="shared" si="614"/>
        <v>5753.3524594794817</v>
      </c>
      <c r="EA247" s="535"/>
      <c r="EB247" s="521">
        <f>IF(OR(B247&lt;FV247,B247&gt;FW247),(MIN(BF247+BY247+CT247+MAX(Sheet1!AA245+AQ247-73,0),K247)),0)</f>
        <v>0</v>
      </c>
      <c r="EC247" s="535"/>
      <c r="ED247" s="535">
        <f t="shared" si="615"/>
        <v>24.738209159261789</v>
      </c>
      <c r="EE247" s="535"/>
      <c r="EF247" s="535">
        <f>Sheet1!EH245+Sheet1!EI245+Sheet1!EJ245+Sheet1!EK245</f>
        <v>25.5</v>
      </c>
      <c r="EG247" s="1019">
        <f t="shared" si="550"/>
        <v>39.448499999999996</v>
      </c>
      <c r="EH247" s="521">
        <f t="shared" si="616"/>
        <v>0</v>
      </c>
      <c r="EI247" s="535">
        <f>IF(Sheet1!ET245=1,SUM('Calculations II'!AT247:BA247)+'Calculations II'!BC247+Sheet1!BV245+'Calculations II'!BE247+AP247,'Calculations II'!BK247)</f>
        <v>70.933262840738209</v>
      </c>
      <c r="EJ247" s="535">
        <f ca="1">EI247+'Calculations II'!D247+'Calculations II'!E247+'Calculations II'!O247</f>
        <v>70.508487796298013</v>
      </c>
      <c r="EK247" s="535"/>
      <c r="EL247" s="535"/>
      <c r="EM247" s="535">
        <f t="shared" si="617"/>
        <v>42971</v>
      </c>
      <c r="EN247" s="535">
        <f t="shared" si="618"/>
        <v>-25.5</v>
      </c>
      <c r="EO247" s="535">
        <f t="shared" si="619"/>
        <v>-39.448499999999996</v>
      </c>
      <c r="EP247" s="535">
        <v>0</v>
      </c>
      <c r="EQ247" s="535">
        <v>0</v>
      </c>
      <c r="ER247" s="535">
        <v>0</v>
      </c>
      <c r="ES247" s="521">
        <f t="shared" si="516"/>
        <v>-0.55408009284050008</v>
      </c>
      <c r="ET247" s="535">
        <f>-(VLOOKUP(Sheet1!BQ245,Lookup!$O$4:$Q$262,2)-VLOOKUP(Sheet1!BQ244,Lookup!$O$4:$Q$262,2))/1000000</f>
        <v>-0.2770015919610001</v>
      </c>
      <c r="EU247" s="535">
        <f>-(VLOOKUP(Sheet1!BR245,Lookup!$O$4:$Q$262,3)-VLOOKUP(Sheet1!BR244,Lookup!$O$4:$Q$262,3))/1000000</f>
        <v>-0.27707850087950003</v>
      </c>
      <c r="EV247" s="535"/>
      <c r="EW247" s="535"/>
      <c r="EX247" s="535"/>
      <c r="EY247" s="535"/>
      <c r="EZ247" s="535"/>
      <c r="FA247" s="535"/>
      <c r="FB247" s="535"/>
      <c r="FC247" s="535"/>
      <c r="FD247" s="567">
        <f t="shared" si="566"/>
        <v>1130.9559322033181</v>
      </c>
      <c r="FE247" s="567" t="e">
        <f t="shared" si="620"/>
        <v>#N/A</v>
      </c>
      <c r="FF247" s="568" t="e">
        <f t="shared" si="621"/>
        <v>#N/A</v>
      </c>
      <c r="FG247" s="569" t="s">
        <v>656</v>
      </c>
      <c r="FH247" s="569" t="s">
        <v>656</v>
      </c>
      <c r="FI247" s="567" t="e">
        <v>#N/A</v>
      </c>
      <c r="FJ247" s="725">
        <v>17041</v>
      </c>
      <c r="FK247" s="535"/>
      <c r="FL247" s="1015">
        <f t="shared" si="565"/>
        <v>84.215834594049412</v>
      </c>
      <c r="FM247" s="535"/>
      <c r="FN247" s="535"/>
      <c r="FO247" s="535">
        <f>O247+((Sheet1!CS245)*GPMtoMGD)</f>
        <v>97.085183999999998</v>
      </c>
      <c r="FP247" s="535">
        <f>IF(Sheet1!AA245+AQ247&lt;=Calculation!N247,AQ247,Calculation!N247-Sheet1!AA245)</f>
        <v>4.2617908407382084</v>
      </c>
      <c r="FQ247" s="535">
        <f>(Sheet1!BP245+Sheet1!BO245)/694.4</f>
        <v>3.4606854838709675</v>
      </c>
      <c r="FR247" s="541"/>
      <c r="FS247" s="541"/>
      <c r="FT247" s="541"/>
      <c r="FU247" s="541"/>
      <c r="FV247" s="1109">
        <f t="shared" si="517"/>
        <v>42918</v>
      </c>
      <c r="FW247" s="1109">
        <f t="shared" si="518"/>
        <v>43027</v>
      </c>
      <c r="FX247" s="541"/>
      <c r="FY247" s="541">
        <f>Sheet1!DA245-Sheet1!CZ245-Sheet1!AE245</f>
        <v>-127.63894999999999</v>
      </c>
      <c r="FZ247" s="535">
        <f t="shared" si="551"/>
        <v>-1.1345455590082005</v>
      </c>
      <c r="GA247" s="535"/>
      <c r="GB247" s="535" t="str">
        <f t="shared" si="519"/>
        <v>n</v>
      </c>
      <c r="GC247" s="539">
        <f t="shared" si="520"/>
        <v>42782</v>
      </c>
      <c r="GD247" s="1109">
        <f t="shared" si="521"/>
        <v>42904</v>
      </c>
      <c r="GE247" s="535">
        <f t="shared" si="537"/>
        <v>6520</v>
      </c>
      <c r="GF247" s="1109">
        <f t="shared" si="522"/>
        <v>42909</v>
      </c>
      <c r="GG247" s="535">
        <f t="shared" si="564"/>
        <v>3260</v>
      </c>
      <c r="GH247" s="539">
        <f t="shared" si="523"/>
        <v>43040</v>
      </c>
      <c r="GJ247" s="521">
        <f t="shared" si="524"/>
        <v>0</v>
      </c>
      <c r="GK247" s="535" t="str">
        <f t="shared" si="622"/>
        <v/>
      </c>
      <c r="GL247" s="535">
        <f t="shared" si="525"/>
        <v>0</v>
      </c>
      <c r="GM247" s="535" t="str">
        <f t="shared" si="526"/>
        <v/>
      </c>
      <c r="GN247" s="535">
        <f>IF(GK247="P",Lookup!$M$12,IF(GK247="PP",Lookup!$M$13,IF(GK247="PPP",Lookup!$M$14,IF(GK247="T",Lookup!$M$15,IF(GK247="TP",Lookup!$M$16,IF(GK247="TPP",Lookup!$M$17,IF(GK247="TPPP",Lookup!$M$18,0)))))))*GJ247</f>
        <v>0</v>
      </c>
      <c r="GO247" s="535">
        <f t="shared" si="527"/>
        <v>0</v>
      </c>
      <c r="GP247" s="535">
        <f t="shared" si="623"/>
        <v>3116.5766666666673</v>
      </c>
      <c r="GQ247" s="974">
        <f t="shared" si="567"/>
        <v>1015.8333333333335</v>
      </c>
      <c r="GR247" s="535"/>
      <c r="GS247" s="535">
        <f t="shared" si="528"/>
        <v>0</v>
      </c>
      <c r="GT247" s="535" t="str">
        <f t="shared" si="529"/>
        <v/>
      </c>
      <c r="GU247" s="535">
        <f>IF(GK247="P",Lookup!$N$12,IF(GK247="PP",Lookup!$N$13,IF(GK247="PPP",Lookup!$N$14,IF(GK247="T",Lookup!$N$15,IF(GK247="TP",Lookup!$N$16,IF(GK247="TPP",Lookup!$N$17,IF(GK247="TPPP",Lookup!$N$18,0)))))))*GJ247</f>
        <v>0</v>
      </c>
      <c r="GV247" s="535">
        <f t="shared" si="530"/>
        <v>0</v>
      </c>
      <c r="GW247" s="535">
        <f t="shared" si="624"/>
        <v>1260.2275193550806</v>
      </c>
      <c r="GX247" s="974">
        <f t="shared" si="568"/>
        <v>410.76516276241216</v>
      </c>
      <c r="GY247" s="535"/>
      <c r="GZ247" s="535">
        <f t="shared" si="531"/>
        <v>0</v>
      </c>
      <c r="HA247" s="535" t="str">
        <f t="shared" si="532"/>
        <v/>
      </c>
      <c r="HB247" s="535">
        <f>IF(GK247="P",Lookup!$N$12,IF(GK247="PP",Lookup!$N$13,IF(GK247="PPP",Lookup!$N$14,IF(GK247="T",Lookup!$N$15,IF(GK247="TP",Lookup!$N$16,IF(GK247="TPP",Lookup!$N$17,IF(GK247="TPPP",Lookup!$N$18,0)))))))*GJ247</f>
        <v>0</v>
      </c>
      <c r="HC247" s="521">
        <f t="shared" si="625"/>
        <v>0</v>
      </c>
      <c r="HD247" s="535">
        <f t="shared" si="626"/>
        <v>818.66721069773257</v>
      </c>
      <c r="HE247" s="535">
        <f t="shared" si="535"/>
        <v>266.8406814529767</v>
      </c>
      <c r="HF247" s="535"/>
      <c r="HG247" s="535">
        <f t="shared" si="533"/>
        <v>0</v>
      </c>
      <c r="HH247" s="535" t="str">
        <f t="shared" si="534"/>
        <v/>
      </c>
      <c r="HI247" s="535">
        <f>IF(GK247="P",Lookup!$N$12,IF(GK247="PP",Lookup!$N$13,IF(GK247="PPP",Lookup!$N$14,IF(GK247="T",Lookup!$N$15,IF(GK247="TP",Lookup!$N$16,IF(GK247="TPP",Lookup!$N$17,IF(GK247="TPPP",Lookup!$N$18,0)))))))*GJ247</f>
        <v>0</v>
      </c>
      <c r="HJ247" s="521">
        <f t="shared" si="627"/>
        <v>0</v>
      </c>
      <c r="HK247" s="535">
        <f t="shared" si="628"/>
        <v>557.8810627600011</v>
      </c>
      <c r="HL247" s="535">
        <f t="shared" si="536"/>
        <v>181.83867756192996</v>
      </c>
      <c r="HM247" s="535"/>
      <c r="HN247" s="541"/>
      <c r="HO247" s="541"/>
      <c r="HP247" s="541"/>
      <c r="HQ247" s="541">
        <f>IF(AND(B247&gt;=$FV$4,B247&lt;=$FW$4),MAX(110/1.02+$HQ$6+MIN(113/1.02,G247),IF($HV$6-(Sheet1!DA245-Sheet1!DB245)+MIN(113/1.02,G247)&lt;G247+FL247,$HV$6-(Sheet1!DA245-Sheet1!DB245)+MIN(113/1.02,G247),G247+FL247)),MIN(110/1.02+$HQ$6+113/1.02,G247))</f>
        <v>218.62745098039215</v>
      </c>
      <c r="HR247" s="541">
        <f t="shared" si="552"/>
        <v>223</v>
      </c>
      <c r="HS247" s="541">
        <f>HR247+(Sheet1!DA245-Sheet1!DB245)</f>
        <v>383</v>
      </c>
      <c r="HT247" s="541">
        <f t="shared" si="553"/>
        <v>105.368940430622</v>
      </c>
      <c r="HU247" s="541">
        <f t="shared" si="554"/>
        <v>277.63105956937801</v>
      </c>
      <c r="HV247" s="541">
        <f t="shared" si="555"/>
        <v>0</v>
      </c>
      <c r="HW247" s="533" t="str">
        <f t="shared" si="556"/>
        <v/>
      </c>
      <c r="HX247" s="541">
        <f t="shared" si="557"/>
        <v>65.924049019607878</v>
      </c>
      <c r="HY247" s="541">
        <f>Sheet1!CZ245</f>
        <v>324</v>
      </c>
      <c r="HZ247" s="541">
        <f t="shared" si="558"/>
        <v>39.448499999999996</v>
      </c>
      <c r="IA247" s="541">
        <f t="shared" si="559"/>
        <v>105.368940430622</v>
      </c>
      <c r="IB247" s="541">
        <f t="shared" si="560"/>
        <v>284.55150000000003</v>
      </c>
      <c r="IC247" s="1019" t="str">
        <f t="shared" si="561"/>
        <v/>
      </c>
      <c r="ID247" s="541">
        <f t="shared" si="562"/>
        <v>179.18255956937804</v>
      </c>
      <c r="IE247" s="541">
        <f>Sheet1!DB245</f>
        <v>180</v>
      </c>
      <c r="IF247" s="533">
        <f>Sheet1!DA245</f>
        <v>340</v>
      </c>
      <c r="IH247" s="541">
        <f>IF(AND($B247&gt;=$GC247,$B247&lt;=$GH247,$DR247&lt;0)+N("only adjusted when pool is drawn down during storage season"),Sheet1!$DB245+$DR247+N("Palmer minus all storage release"),Sheet1!$DB245)</f>
        <v>-31.497730711158312</v>
      </c>
      <c r="II247" s="541">
        <f>IF(AND($B247&gt;=$GC247,$B247&lt;=$GH247,$DR247&lt;0)+N("only adjusted when pool is drawn down during storage season"),Sheet1!$DA245+$DR247+N("Auburn minus all storage release"),Sheet1!$DA245)</f>
        <v>128.50226928884169</v>
      </c>
    </row>
    <row r="248" spans="1:243" x14ac:dyDescent="0.25">
      <c r="A248" s="553" t="s">
        <v>8</v>
      </c>
      <c r="B248" s="531">
        <v>42972</v>
      </c>
      <c r="C248" s="536">
        <v>0</v>
      </c>
      <c r="D248" s="506">
        <f t="shared" si="506"/>
        <v>200</v>
      </c>
      <c r="E248" s="506">
        <f t="shared" si="507"/>
        <v>400</v>
      </c>
      <c r="F248" s="506">
        <v>250</v>
      </c>
      <c r="G248" s="535">
        <f>DR248+Sheet1!CZ246</f>
        <v>103.92082702859273</v>
      </c>
      <c r="H248" s="1074">
        <f t="shared" si="563"/>
        <v>0</v>
      </c>
      <c r="I248" s="534">
        <f>IF(Sheet1!DA246&gt;=E248,(Sheet1!DA246-E248+P248)*CFStoMGD,0)</f>
        <v>0</v>
      </c>
      <c r="J248" s="995">
        <f>IF(Sheet1!DB246&gt;=D248,(Sheet1!DB246-D248+P248)*CFStoMGD,0)</f>
        <v>0</v>
      </c>
      <c r="K248" s="818">
        <f t="shared" si="538"/>
        <v>0</v>
      </c>
      <c r="L248" s="535">
        <f>Sheet1!AA246+Sheet1!AB246-Sheet1!L246+(Sheet1!DA246-F248)*CFStoMGD-S248-T248-U248</f>
        <v>118.84751788815559</v>
      </c>
      <c r="M248" s="535">
        <f t="shared" si="569"/>
        <v>68.517911043107986</v>
      </c>
      <c r="N248" s="824">
        <f>IF(Sheet1!DA246&gt;=F248,MIN(113*CFStoMGD,MIN(MAX(L248,0),MAX(M248,0))),0)</f>
        <v>68.517911043107986</v>
      </c>
      <c r="O248" s="538">
        <f>Sheet1!AA246+Sheet1!AB246</f>
        <v>93.69</v>
      </c>
      <c r="P248" s="538">
        <f t="shared" si="570"/>
        <v>144.93842999999998</v>
      </c>
      <c r="Q248" s="812">
        <f t="shared" si="539"/>
        <v>60.671517888155606</v>
      </c>
      <c r="R248" s="812">
        <f t="shared" si="508"/>
        <v>33</v>
      </c>
      <c r="S248" s="812">
        <f t="shared" si="509"/>
        <v>0</v>
      </c>
      <c r="T248" s="812">
        <f t="shared" si="510"/>
        <v>0</v>
      </c>
      <c r="U248" s="812">
        <f>IF(AND(B248&gt;=FV248,B248&lt;=FW248),ED248+Sheet1!EH246,0)</f>
        <v>33.018482111844392</v>
      </c>
      <c r="V248" s="812"/>
      <c r="W248" s="812">
        <f t="shared" si="511"/>
        <v>0</v>
      </c>
      <c r="X248" s="812">
        <f t="shared" si="512"/>
        <v>0</v>
      </c>
      <c r="Y248" s="812" t="str">
        <f t="shared" si="513"/>
        <v>FALSE</v>
      </c>
      <c r="Z248" s="812">
        <f t="shared" si="514"/>
        <v>93.69</v>
      </c>
      <c r="AA248" s="812">
        <f t="shared" si="515"/>
        <v>93.69</v>
      </c>
      <c r="AB248" s="1059">
        <f t="shared" si="540"/>
        <v>93.858838172976718</v>
      </c>
      <c r="AC248" s="538">
        <f>Sheet1!Y246*MGDtoCFS</f>
        <v>98.775949999999995</v>
      </c>
      <c r="AD248" s="538">
        <f>Sheet1!Z246*MGDtoCFS</f>
        <v>44.723769999999995</v>
      </c>
      <c r="AE248" s="538">
        <f>Sheet1!AA246*MGDtoCFS</f>
        <v>100.70969999999998</v>
      </c>
      <c r="AF248" s="538">
        <f>Sheet1!AB246*MGDtoCFS</f>
        <v>44.228729999999999</v>
      </c>
      <c r="AG248" s="538">
        <f>Sheet1!L246*MGDtoCFS</f>
        <v>0</v>
      </c>
      <c r="AH248" s="521">
        <f t="shared" si="571"/>
        <v>33.276095866620352</v>
      </c>
      <c r="AI248" s="1059">
        <f t="shared" si="572"/>
        <v>51.478120305661683</v>
      </c>
      <c r="AJ248" s="535">
        <f t="shared" si="573"/>
        <v>0</v>
      </c>
      <c r="AK248" s="535">
        <f t="shared" si="574"/>
        <v>0</v>
      </c>
      <c r="AL248" s="535">
        <f>(VLOOKUP(Sheet1!DC246,hhdcap_wcm,4)-(((VLOOKUP(Sheet1!DC246,hhdcap_wcm,3)-Sheet1!DC246)/(VLOOKUP(Sheet1!DC246,hhdcap_wcm,3)-VLOOKUP(Sheet1!DC246,hhdcap_wcm,1)))*(VLOOKUP(Sheet1!DC246,hhdcap_wcm,4)-VLOOKUP(Sheet1!DC246,hhdcap_wcm,2))))</f>
        <v>35515.200000089055</v>
      </c>
      <c r="AM248" s="535">
        <f t="shared" si="575"/>
        <v>-438.40000000230066</v>
      </c>
      <c r="AN248" s="1035">
        <f t="shared" si="576"/>
        <v>1842.001759244032</v>
      </c>
      <c r="AO248" s="535">
        <f t="shared" si="577"/>
        <v>5651.2613973606904</v>
      </c>
      <c r="AP248" s="535">
        <f>Sheet1!BA246+Sheet1!BB246+Sheet1!BN246+CD248</f>
        <v>4.0999999999999996</v>
      </c>
      <c r="AQ248" s="535">
        <f>Sheet1!BN246+(DO248*Sheet1!BN246)</f>
        <v>4.0715178881556096</v>
      </c>
      <c r="AR248" s="535">
        <f>Sheet1!BA246+CD248</f>
        <v>0</v>
      </c>
      <c r="AS248" s="535">
        <f>Sheet1!BA246+Sheet1!BB246+CD248</f>
        <v>0</v>
      </c>
      <c r="AT248" s="649">
        <f>0</f>
        <v>0</v>
      </c>
      <c r="AU248" s="974">
        <f>BA248+MAX(Sheet1!EH246,(O248-Q248-ED248-S248))</f>
        <v>8.5</v>
      </c>
      <c r="AV248" s="535">
        <f>IF(OR(B248&gt;=GD248,B248&lt;GC248),0,15/36*K248-MAX(0,64.6-(137.6-(Sheet1!AA246+Sheet1!AB246))))</f>
        <v>0</v>
      </c>
      <c r="AW248" s="1029"/>
      <c r="AX248" s="649"/>
      <c r="AY248" s="649">
        <f t="shared" si="541"/>
        <v>0</v>
      </c>
      <c r="AZ248" s="649">
        <f t="shared" si="542"/>
        <v>0</v>
      </c>
      <c r="BA248" s="1059">
        <f t="shared" si="543"/>
        <v>0</v>
      </c>
      <c r="BB248" s="1019">
        <f t="shared" si="578"/>
        <v>1007.3333333333335</v>
      </c>
      <c r="BC248" s="1041">
        <f t="shared" si="544"/>
        <v>0</v>
      </c>
      <c r="BD248" s="1019">
        <f ca="1">IF(B248&gt;(Summary!$A$1-1),#N/A,BB248*MGtoAF)</f>
        <v>3090.4986666666673</v>
      </c>
      <c r="BE248" s="535">
        <f>Sheet1!BG246+Sheet1!BH246+Sheet1!BI246-BM248</f>
        <v>6.32</v>
      </c>
      <c r="BF248" s="535">
        <f t="shared" si="579"/>
        <v>6.2760958666203548</v>
      </c>
      <c r="BG248" s="535">
        <f>IF(Sheet1!EP246="FM",BM248,0)</f>
        <v>0</v>
      </c>
      <c r="BH248" s="535">
        <f t="shared" si="580"/>
        <v>0</v>
      </c>
      <c r="BI248" s="535">
        <f>IF(Sheet1!EP246="OTHER",BM248,0)</f>
        <v>0</v>
      </c>
      <c r="BJ248" s="535">
        <f t="shared" si="581"/>
        <v>0</v>
      </c>
      <c r="BK248" s="535">
        <f t="shared" si="582"/>
        <v>6.32</v>
      </c>
      <c r="BL248" s="535">
        <f t="shared" si="583"/>
        <v>6.2760958666203548</v>
      </c>
      <c r="BM248" s="535">
        <f>IF(OR(Sheet1!EP246="FM", Sheet1!EP246="OTHER"),SUM(Sheet1!BG246:'Sheet1'!BI246),0)</f>
        <v>0</v>
      </c>
      <c r="BN248" s="521">
        <f>IF(AND($B248&gt;=$FV248,$B248&lt;=$FW248),MAX(BF248,Sheet1!EI246,0),MAX(BF248-(7/36)*$K248,0))</f>
        <v>6.2760958666203548</v>
      </c>
      <c r="BO248" s="535">
        <f t="shared" si="584"/>
        <v>0</v>
      </c>
      <c r="BP248" s="521">
        <f t="shared" si="585"/>
        <v>0</v>
      </c>
      <c r="BQ248" s="521">
        <f>IF(AND($O248&gt;0,Sheet1!EM246=1),(1-($O248-Sheet1!$L246)/$O248)*BL248,0)</f>
        <v>0</v>
      </c>
      <c r="BR248" s="521">
        <f>IF(AND(Sheet1!$L246=0,Sheet1!$L245=0, Calculation!BK248&lt;Sheet1!$EI246-0.1,Sheet1!$EI246=Sheet1!$EI245,Sheet1!$EI246=Sheet1!$EI247),BL248-BQ248,BL248-BQ248)</f>
        <v>6.2760958666203548</v>
      </c>
      <c r="BS248" s="1035" t="str">
        <f t="shared" si="545"/>
        <v/>
      </c>
      <c r="BT248" s="1035">
        <f t="shared" si="546"/>
        <v>0</v>
      </c>
      <c r="BU248" s="535">
        <f t="shared" si="586"/>
        <v>404.48906689579178</v>
      </c>
      <c r="BV248" s="535"/>
      <c r="BW248" s="535">
        <f ca="1">IF(B248&gt;(Summary!$A$1-1),#N/A,BU248*MGtoAF)</f>
        <v>1240.9724572362893</v>
      </c>
      <c r="BX248" s="535">
        <f>Sheet1!BC246+Sheet1!BD246+Sheet1!BE246+Sheet1!BF246-CG248-CH248</f>
        <v>6.48</v>
      </c>
      <c r="BY248" s="535">
        <f t="shared" si="587"/>
        <v>6.4349843695727689</v>
      </c>
      <c r="BZ248" s="535">
        <f>IF(Sheet1!EQ246="FM",CH248,0)</f>
        <v>0</v>
      </c>
      <c r="CA248" s="535">
        <f t="shared" si="588"/>
        <v>0</v>
      </c>
      <c r="CB248" s="535">
        <f>IF(Sheet1!EQ246="OTHER",CH248,0)</f>
        <v>0</v>
      </c>
      <c r="CC248" s="535">
        <f t="shared" si="589"/>
        <v>0</v>
      </c>
      <c r="CD248" s="535">
        <f t="shared" si="590"/>
        <v>0</v>
      </c>
      <c r="CE248" s="535">
        <f t="shared" si="591"/>
        <v>6.48</v>
      </c>
      <c r="CF248" s="535">
        <f t="shared" si="592"/>
        <v>6.4349843695727689</v>
      </c>
      <c r="CG248" s="535">
        <f>IF(Sheet1!EQ246="CWA",SUM(Sheet1!BC246:'Sheet1'!BF246),0)</f>
        <v>0</v>
      </c>
      <c r="CH248" s="535">
        <f>IF(OR(Sheet1!EQ246="FM", Sheet1!EQ246="OTHER"),SUM(Sheet1!BC246:'Sheet1'!BF246),0)</f>
        <v>0</v>
      </c>
      <c r="CI248" s="521">
        <f>IF(AND($B248&gt;=$FV248,$B248&lt;=$FW248),MAX(CF248,Sheet1!EJ246,0),MAX(CF248-(7/36)*$K248,0))</f>
        <v>6.5</v>
      </c>
      <c r="CJ248" s="535">
        <f t="shared" si="593"/>
        <v>0</v>
      </c>
      <c r="CK248" s="521">
        <f t="shared" si="594"/>
        <v>0</v>
      </c>
      <c r="CL248" s="521">
        <f>IF(AND($O248&gt;0,Sheet1!EN246=1),(1-($O248-Sheet1!$L246)/$O248)*CF248,0)</f>
        <v>0</v>
      </c>
      <c r="CM248" s="521">
        <f>IF(AND(Sheet1!$L246=0,Sheet1!$L245=0, Calculation!CE248&lt;Sheet1!EJ246-0.1,Sheet1!EJ246=Sheet1!EJ245,Sheet1!EJ246=Sheet1!EJ247),CF248-CL248,CF248-CL248)</f>
        <v>6.4349843695727689</v>
      </c>
      <c r="CN248" s="1040" t="str">
        <f t="shared" si="547"/>
        <v/>
      </c>
      <c r="CO248" s="1035">
        <f t="shared" si="548"/>
        <v>0</v>
      </c>
      <c r="CP248" s="535">
        <f t="shared" si="595"/>
        <v>260.3406814529767</v>
      </c>
      <c r="CQ248" s="535"/>
      <c r="CR248" s="535">
        <f ca="1">IF(B248&gt;(Summary!$A$1-1),#N/A,CP248*MGtoAF)</f>
        <v>798.72521069773256</v>
      </c>
      <c r="CS248" s="535">
        <f>Sheet1!BK246+Sheet1!BL246+Sheet1!BM246-Sheet1!ER246-DA248</f>
        <v>11.89</v>
      </c>
      <c r="CT248" s="535">
        <f t="shared" si="596"/>
        <v>11.807401875651269</v>
      </c>
      <c r="CU248" s="535">
        <f>IF(Sheet1!ER246="FM",DA248,0)</f>
        <v>0</v>
      </c>
      <c r="CV248" s="535">
        <f t="shared" si="597"/>
        <v>0</v>
      </c>
      <c r="CW248" s="535">
        <f>IF(Sheet1!ER246="OTHER",DA248,0)</f>
        <v>0</v>
      </c>
      <c r="CX248" s="535">
        <f t="shared" si="598"/>
        <v>0</v>
      </c>
      <c r="CY248" s="535">
        <f t="shared" si="599"/>
        <v>11.89</v>
      </c>
      <c r="CZ248" s="535">
        <f t="shared" si="600"/>
        <v>11.807401875651269</v>
      </c>
      <c r="DA248" s="535">
        <f>IF(OR(Sheet1!ER246="FM", Sheet1!ER246="OTHER"),SUM(Sheet1!BK246:'Sheet1'!BM246),0)</f>
        <v>0</v>
      </c>
      <c r="DB248" s="1011">
        <f>IF(AND($B248&gt;=$FV248,$B248&lt;=$FW248),MAX($CT248,Sheet1!EK246,0),MAX($CT248-(7/36)*$K248,0))</f>
        <v>12</v>
      </c>
      <c r="DC248" s="1012">
        <f t="shared" si="601"/>
        <v>0</v>
      </c>
      <c r="DD248" s="1011">
        <f t="shared" si="602"/>
        <v>0</v>
      </c>
      <c r="DE248" s="521">
        <f>IF(AND($O248&gt;0,Sheet1!EO246=1),(1-($O248-Sheet1!$L246)/$O248)*CZ248,0)</f>
        <v>0</v>
      </c>
      <c r="DF248" s="521">
        <f>IF(AND(Sheet1!$L246=0,Sheet1!$L245=0, Calculation!CY248&lt;Sheet1!$EK246-0.1,Sheet1!$EK246=Sheet1!$EK245,Sheet1!$EK246=Sheet1!$EK247),CZ248-DE248,CZ248-DE248)</f>
        <v>11.807401875651269</v>
      </c>
      <c r="DG248" s="1040">
        <f t="shared" si="549"/>
        <v>0</v>
      </c>
      <c r="DH248" s="649">
        <f t="shared" si="603"/>
        <v>24.69</v>
      </c>
      <c r="DI248" s="535">
        <f t="shared" si="604"/>
        <v>169.83867756192996</v>
      </c>
      <c r="DJ248" s="649">
        <f t="shared" si="605"/>
        <v>24.518482111844392</v>
      </c>
      <c r="DK248" s="535">
        <f ca="1">IF(B248&gt;(Summary!$A$1-1),#N/A,DI248*MGtoAF)</f>
        <v>521.06506276000107</v>
      </c>
      <c r="DL248" s="649">
        <f t="shared" si="606"/>
        <v>24.69</v>
      </c>
      <c r="DM248" s="535">
        <f t="shared" si="607"/>
        <v>28.79</v>
      </c>
      <c r="DN248" s="535">
        <f>Sheet1!AB246-DM248</f>
        <v>-0.19999999999999929</v>
      </c>
      <c r="DO248" s="743">
        <f t="shared" si="608"/>
        <v>-6.9468565474122713E-3</v>
      </c>
      <c r="DP248" s="535">
        <f>(VLOOKUP(Sheet1!DC246,hhdcap_wcm,4)-(((VLOOKUP(Sheet1!DC246,hhdcap_wcm,3)-Sheet1!DC246)/(VLOOKUP(Sheet1!DC246,hhdcap_wcm,3)-VLOOKUP(Sheet1!DC246,hhdcap_wcm,1)))*(VLOOKUP(Sheet1!DC246,hhdcap_wcm,4)-VLOOKUP(Sheet1!DC246,hhdcap_wcm,2))))</f>
        <v>35515.200000089055</v>
      </c>
      <c r="DQ248" s="535">
        <f t="shared" si="609"/>
        <v>-438.40000000230066</v>
      </c>
      <c r="DR248" s="535">
        <f t="shared" si="610"/>
        <v>-221.07917297140727</v>
      </c>
      <c r="DS248" s="535">
        <f>Sheet1!EA246*AFtoMG</f>
        <v>0</v>
      </c>
      <c r="DT248" s="535">
        <f>Sheet1!EB246*AFtoMG</f>
        <v>0</v>
      </c>
      <c r="DU248" s="535">
        <f>Sheet1!EC246*AFtoMG</f>
        <v>0</v>
      </c>
      <c r="DV248" s="535">
        <f>Sheet1!ED246*AFtoMG</f>
        <v>0</v>
      </c>
      <c r="DW248" s="535">
        <f t="shared" si="611"/>
        <v>0</v>
      </c>
      <c r="DX248" s="535">
        <f t="shared" si="612"/>
        <v>0</v>
      </c>
      <c r="DY248" s="535">
        <f t="shared" si="613"/>
        <v>1842.001759244032</v>
      </c>
      <c r="DZ248" s="535">
        <f t="shared" si="614"/>
        <v>5651.2613973606904</v>
      </c>
      <c r="EA248" s="535"/>
      <c r="EB248" s="521">
        <f>IF(OR(B248&lt;FV248,B248&gt;FW248),(MIN(BF248+BY248+CT248+MAX(Sheet1!AA246+AQ248-73,0),K248)),0)</f>
        <v>0</v>
      </c>
      <c r="EC248" s="535"/>
      <c r="ED248" s="535">
        <f t="shared" si="615"/>
        <v>24.518482111844392</v>
      </c>
      <c r="EE248" s="535"/>
      <c r="EF248" s="535">
        <f>Sheet1!EH246+Sheet1!EI246+Sheet1!EJ246+Sheet1!EK246</f>
        <v>33</v>
      </c>
      <c r="EG248" s="1019">
        <f t="shared" si="550"/>
        <v>51.050999999999995</v>
      </c>
      <c r="EH248" s="521">
        <f t="shared" si="616"/>
        <v>0</v>
      </c>
      <c r="EI248" s="535">
        <f>IF(Sheet1!ET246=1,SUM('Calculations II'!AT248:BA248)+'Calculations II'!BC248+Sheet1!BV246+'Calculations II'!BE248+AP248,'Calculations II'!BK248)</f>
        <v>68.828087888155608</v>
      </c>
      <c r="EJ248" s="535">
        <f ca="1">EI248+'Calculations II'!D248+'Calculations II'!E248+'Calculations II'!O248</f>
        <v>74.742943481512896</v>
      </c>
      <c r="EK248" s="535"/>
      <c r="EL248" s="535"/>
      <c r="EM248" s="535">
        <f t="shared" si="617"/>
        <v>42972</v>
      </c>
      <c r="EN248" s="535">
        <f t="shared" si="618"/>
        <v>-33.276095866620352</v>
      </c>
      <c r="EO248" s="535">
        <f t="shared" si="619"/>
        <v>-51.478120305661683</v>
      </c>
      <c r="EP248" s="535">
        <v>0</v>
      </c>
      <c r="EQ248" s="535">
        <v>0</v>
      </c>
      <c r="ER248" s="535">
        <v>0</v>
      </c>
      <c r="ES248" s="521">
        <f t="shared" si="516"/>
        <v>-3.8799964485648681</v>
      </c>
      <c r="ET248" s="535">
        <f>-(VLOOKUP(Sheet1!BQ246,Lookup!$O$4:$Q$262,2)-VLOOKUP(Sheet1!BQ245,Lookup!$O$4:$Q$262,2))/1000000</f>
        <v>-1.9397289934068807</v>
      </c>
      <c r="EU248" s="535">
        <f>-(VLOOKUP(Sheet1!BR246,Lookup!$O$4:$Q$262,3)-VLOOKUP(Sheet1!BR245,Lookup!$O$4:$Q$262,3))/1000000</f>
        <v>-1.9402674551579877</v>
      </c>
      <c r="EV248" s="535"/>
      <c r="EW248" s="535"/>
      <c r="EX248" s="535"/>
      <c r="EY248" s="535"/>
      <c r="EZ248" s="535"/>
      <c r="FA248" s="535"/>
      <c r="FB248" s="535"/>
      <c r="FC248" s="535"/>
      <c r="FD248" s="567">
        <f t="shared" si="566"/>
        <v>1130.6711864406063</v>
      </c>
      <c r="FE248" s="567" t="e">
        <f t="shared" si="620"/>
        <v>#N/A</v>
      </c>
      <c r="FF248" s="568" t="e">
        <f t="shared" si="621"/>
        <v>#N/A</v>
      </c>
      <c r="FG248" s="569" t="s">
        <v>656</v>
      </c>
      <c r="FH248" s="569" t="s">
        <v>656</v>
      </c>
      <c r="FI248" s="567" t="e">
        <v>#N/A</v>
      </c>
      <c r="FJ248" s="725">
        <v>16874</v>
      </c>
      <c r="FK248" s="535"/>
      <c r="FL248" s="1015">
        <f t="shared" si="565"/>
        <v>84.720121028744316</v>
      </c>
      <c r="FM248" s="535"/>
      <c r="FN248" s="535"/>
      <c r="FO248" s="535">
        <f>O248+((Sheet1!CS246)*GPMtoMGD)</f>
        <v>97.944479999999999</v>
      </c>
      <c r="FP248" s="535">
        <f>IF(Sheet1!AA246+AQ248&lt;=Calculation!N248,AQ248,Calculation!N248-Sheet1!AA246)</f>
        <v>3.417911043107992</v>
      </c>
      <c r="FQ248" s="535">
        <f>(Sheet1!BP246+Sheet1!BO246)/694.4</f>
        <v>3.3277649769585249</v>
      </c>
      <c r="FR248" s="541"/>
      <c r="FS248" s="541"/>
      <c r="FT248" s="541"/>
      <c r="FU248" s="541"/>
      <c r="FV248" s="1109">
        <f t="shared" si="517"/>
        <v>42918</v>
      </c>
      <c r="FW248" s="1109">
        <f t="shared" si="518"/>
        <v>43027</v>
      </c>
      <c r="FX248" s="541"/>
      <c r="FY248" s="541">
        <f>Sheet1!DA246-Sheet1!CZ246-Sheet1!AE246</f>
        <v>-129.93842999999998</v>
      </c>
      <c r="FZ248" s="535">
        <f t="shared" si="551"/>
        <v>-1.250359852931586</v>
      </c>
      <c r="GA248" s="535"/>
      <c r="GB248" s="535" t="str">
        <f t="shared" si="519"/>
        <v>n</v>
      </c>
      <c r="GC248" s="539">
        <f t="shared" si="520"/>
        <v>42782</v>
      </c>
      <c r="GD248" s="1109">
        <f t="shared" si="521"/>
        <v>42904</v>
      </c>
      <c r="GE248" s="535">
        <f t="shared" si="537"/>
        <v>6520</v>
      </c>
      <c r="GF248" s="1109">
        <f t="shared" si="522"/>
        <v>42909</v>
      </c>
      <c r="GG248" s="535">
        <f t="shared" si="564"/>
        <v>3260</v>
      </c>
      <c r="GH248" s="539">
        <f t="shared" si="523"/>
        <v>43040</v>
      </c>
      <c r="GJ248" s="521">
        <f t="shared" si="524"/>
        <v>0</v>
      </c>
      <c r="GK248" s="535" t="str">
        <f t="shared" si="622"/>
        <v/>
      </c>
      <c r="GL248" s="535">
        <f t="shared" si="525"/>
        <v>0</v>
      </c>
      <c r="GM248" s="535" t="str">
        <f t="shared" si="526"/>
        <v/>
      </c>
      <c r="GN248" s="535">
        <f>IF(GK248="P",Lookup!$M$12,IF(GK248="PP",Lookup!$M$13,IF(GK248="PPP",Lookup!$M$14,IF(GK248="T",Lookup!$M$15,IF(GK248="TP",Lookup!$M$16,IF(GK248="TPP",Lookup!$M$17,IF(GK248="TPPP",Lookup!$M$18,0)))))))*GJ248</f>
        <v>0</v>
      </c>
      <c r="GO248" s="535">
        <f t="shared" si="527"/>
        <v>0</v>
      </c>
      <c r="GP248" s="535">
        <f t="shared" si="623"/>
        <v>3090.4986666666673</v>
      </c>
      <c r="GQ248" s="974">
        <f t="shared" si="567"/>
        <v>1007.3333333333335</v>
      </c>
      <c r="GR248" s="535"/>
      <c r="GS248" s="535">
        <f t="shared" si="528"/>
        <v>0</v>
      </c>
      <c r="GT248" s="535" t="str">
        <f t="shared" si="529"/>
        <v/>
      </c>
      <c r="GU248" s="535">
        <f>IF(GK248="P",Lookup!$N$12,IF(GK248="PP",Lookup!$N$13,IF(GK248="PPP",Lookup!$N$14,IF(GK248="T",Lookup!$N$15,IF(GK248="TP",Lookup!$N$16,IF(GK248="TPP",Lookup!$N$17,IF(GK248="TPPP",Lookup!$N$18,0)))))))*GJ248</f>
        <v>0</v>
      </c>
      <c r="GV248" s="535">
        <f t="shared" si="530"/>
        <v>0</v>
      </c>
      <c r="GW248" s="535">
        <f t="shared" si="624"/>
        <v>1240.9724572362893</v>
      </c>
      <c r="GX248" s="974">
        <f t="shared" si="568"/>
        <v>404.48906689579178</v>
      </c>
      <c r="GY248" s="535"/>
      <c r="GZ248" s="535">
        <f t="shared" si="531"/>
        <v>0</v>
      </c>
      <c r="HA248" s="535" t="str">
        <f t="shared" si="532"/>
        <v/>
      </c>
      <c r="HB248" s="535">
        <f>IF(GK248="P",Lookup!$N$12,IF(GK248="PP",Lookup!$N$13,IF(GK248="PPP",Lookup!$N$14,IF(GK248="T",Lookup!$N$15,IF(GK248="TP",Lookup!$N$16,IF(GK248="TPP",Lookup!$N$17,IF(GK248="TPPP",Lookup!$N$18,0)))))))*GJ248</f>
        <v>0</v>
      </c>
      <c r="HC248" s="521">
        <f t="shared" si="625"/>
        <v>0</v>
      </c>
      <c r="HD248" s="535">
        <f t="shared" si="626"/>
        <v>798.72521069773256</v>
      </c>
      <c r="HE248" s="535">
        <f t="shared" si="535"/>
        <v>260.3406814529767</v>
      </c>
      <c r="HF248" s="535"/>
      <c r="HG248" s="535">
        <f t="shared" si="533"/>
        <v>0</v>
      </c>
      <c r="HH248" s="535" t="str">
        <f t="shared" si="534"/>
        <v/>
      </c>
      <c r="HI248" s="535">
        <f>IF(GK248="P",Lookup!$N$12,IF(GK248="PP",Lookup!$N$13,IF(GK248="PPP",Lookup!$N$14,IF(GK248="T",Lookup!$N$15,IF(GK248="TP",Lookup!$N$16,IF(GK248="TPP",Lookup!$N$17,IF(GK248="TPPP",Lookup!$N$18,0)))))))*GJ248</f>
        <v>0</v>
      </c>
      <c r="HJ248" s="521">
        <f t="shared" si="627"/>
        <v>0</v>
      </c>
      <c r="HK248" s="535">
        <f t="shared" si="628"/>
        <v>521.06506276000107</v>
      </c>
      <c r="HL248" s="535">
        <f t="shared" si="536"/>
        <v>169.83867756192996</v>
      </c>
      <c r="HM248" s="535"/>
      <c r="HN248" s="541"/>
      <c r="HO248" s="541"/>
      <c r="HP248" s="541"/>
      <c r="HQ248" s="541">
        <f>IF(AND(B248&gt;=$FV$4,B248&lt;=$FW$4),MAX(110/1.02+$HQ$6+MIN(113/1.02,G248),IF($HV$6-(Sheet1!DA246-Sheet1!DB246)+MIN(113/1.02,G248)&lt;G248+FL248,$HV$6-(Sheet1!DA246-Sheet1!DB246)+MIN(113/1.02,G248),G248+FL248)),MIN(110/1.02+$HQ$6+113/1.02,G248))</f>
        <v>211.76396428349469</v>
      </c>
      <c r="HR248" s="541">
        <f t="shared" si="552"/>
        <v>215.99924356916458</v>
      </c>
      <c r="HS248" s="541">
        <f>HR248+(Sheet1!DA246-Sheet1!DB246)</f>
        <v>372.99924356916461</v>
      </c>
      <c r="HT248" s="541">
        <f t="shared" si="553"/>
        <v>93.858838172976718</v>
      </c>
      <c r="HU248" s="541">
        <f t="shared" si="554"/>
        <v>279.14040539618787</v>
      </c>
      <c r="HV248" s="541">
        <f t="shared" si="555"/>
        <v>0</v>
      </c>
      <c r="HW248" s="533" t="str">
        <f t="shared" si="556"/>
        <v/>
      </c>
      <c r="HX248" s="541">
        <f t="shared" si="557"/>
        <v>61.757915410843651</v>
      </c>
      <c r="HY248" s="541">
        <f>Sheet1!CZ246</f>
        <v>325</v>
      </c>
      <c r="HZ248" s="541">
        <f t="shared" si="558"/>
        <v>51.478120305661683</v>
      </c>
      <c r="IA248" s="541">
        <f t="shared" si="559"/>
        <v>93.858838172976718</v>
      </c>
      <c r="IB248" s="541">
        <f t="shared" si="560"/>
        <v>273.52187969433834</v>
      </c>
      <c r="IC248" s="1019" t="str">
        <f t="shared" si="561"/>
        <v/>
      </c>
      <c r="ID248" s="541">
        <f t="shared" si="562"/>
        <v>179.66304152136161</v>
      </c>
      <c r="IE248" s="541">
        <f>Sheet1!DB246</f>
        <v>183</v>
      </c>
      <c r="IF248" s="533">
        <f>Sheet1!DA246</f>
        <v>340</v>
      </c>
      <c r="IH248" s="541">
        <f>IF(AND($B248&gt;=$GC248,$B248&lt;=$GH248,$DR248&lt;0)+N("only adjusted when pool is drawn down during storage season"),Sheet1!$DB246+$DR248+N("Palmer minus all storage release"),Sheet1!$DB246)</f>
        <v>-38.079172971407274</v>
      </c>
      <c r="II248" s="541">
        <f>IF(AND($B248&gt;=$GC248,$B248&lt;=$GH248,$DR248&lt;0)+N("only adjusted when pool is drawn down during storage season"),Sheet1!$DA246+$DR248+N("Auburn minus all storage release"),Sheet1!$DA246)</f>
        <v>118.92082702859273</v>
      </c>
    </row>
    <row r="249" spans="1:243" x14ac:dyDescent="0.25">
      <c r="A249" s="553" t="s">
        <v>9</v>
      </c>
      <c r="B249" s="531">
        <v>42973</v>
      </c>
      <c r="C249" s="536">
        <v>0</v>
      </c>
      <c r="D249" s="506">
        <f t="shared" si="506"/>
        <v>200</v>
      </c>
      <c r="E249" s="506">
        <f t="shared" si="507"/>
        <v>400</v>
      </c>
      <c r="F249" s="506">
        <v>250</v>
      </c>
      <c r="G249" s="535">
        <f>DR249+Sheet1!CZ247</f>
        <v>107.14826021158018</v>
      </c>
      <c r="H249" s="1074">
        <f t="shared" si="563"/>
        <v>0</v>
      </c>
      <c r="I249" s="534">
        <f>IF(Sheet1!DA247&gt;=E249,(Sheet1!DA247-E249+P249)*CFStoMGD,0)</f>
        <v>0</v>
      </c>
      <c r="J249" s="995">
        <f>IF(Sheet1!DB247&gt;=D249,(Sheet1!DB247-D249+P249)*CFStoMGD,0)</f>
        <v>0</v>
      </c>
      <c r="K249" s="818">
        <f t="shared" si="538"/>
        <v>0</v>
      </c>
      <c r="L249" s="535">
        <f>Sheet1!AA247+Sheet1!AB247-Sheet1!L247+(Sheet1!DA247-F249)*CFStoMGD-S249-T249-U249</f>
        <v>116.89057094017093</v>
      </c>
      <c r="M249" s="535">
        <f t="shared" si="569"/>
        <v>70.64584810878074</v>
      </c>
      <c r="N249" s="824">
        <f>IF(Sheet1!DA247&gt;=F249,MIN(113*CFStoMGD,MIN(MAX(L249,0),MAX(M249,0))),0)</f>
        <v>70.64584810878074</v>
      </c>
      <c r="O249" s="538">
        <f>Sheet1!AA247+Sheet1!AB247</f>
        <v>94.18</v>
      </c>
      <c r="P249" s="538">
        <f t="shared" si="570"/>
        <v>145.69646</v>
      </c>
      <c r="Q249" s="812">
        <f t="shared" si="539"/>
        <v>61.30017094017095</v>
      </c>
      <c r="R249" s="812">
        <f t="shared" si="508"/>
        <v>33</v>
      </c>
      <c r="S249" s="812">
        <f t="shared" si="509"/>
        <v>0</v>
      </c>
      <c r="T249" s="812">
        <f t="shared" si="510"/>
        <v>0</v>
      </c>
      <c r="U249" s="812">
        <f>IF(AND(B249&gt;=FV249,B249&lt;=FW249),ED249+Sheet1!EH247,0)</f>
        <v>32.879829059829056</v>
      </c>
      <c r="V249" s="812"/>
      <c r="W249" s="812">
        <f t="shared" si="511"/>
        <v>0</v>
      </c>
      <c r="X249" s="812">
        <f t="shared" si="512"/>
        <v>0</v>
      </c>
      <c r="Y249" s="812" t="str">
        <f t="shared" si="513"/>
        <v>FALSE</v>
      </c>
      <c r="Z249" s="812">
        <f t="shared" si="514"/>
        <v>94.18</v>
      </c>
      <c r="AA249" s="812">
        <f t="shared" si="515"/>
        <v>94.18</v>
      </c>
      <c r="AB249" s="1059">
        <f t="shared" si="540"/>
        <v>94.831364444444461</v>
      </c>
      <c r="AC249" s="538">
        <f>Sheet1!Y247*MGDtoCFS</f>
        <v>100.70969999999998</v>
      </c>
      <c r="AD249" s="538">
        <f>Sheet1!Z247*MGDtoCFS</f>
        <v>44.074029999999993</v>
      </c>
      <c r="AE249" s="538">
        <f>Sheet1!AA247*MGDtoCFS</f>
        <v>100.83346</v>
      </c>
      <c r="AF249" s="538">
        <f>Sheet1!AB247*MGDtoCFS</f>
        <v>44.863</v>
      </c>
      <c r="AG249" s="538">
        <f>Sheet1!L247*MGDtoCFS</f>
        <v>0</v>
      </c>
      <c r="AH249" s="521">
        <f t="shared" si="571"/>
        <v>33.047863247863248</v>
      </c>
      <c r="AI249" s="1059">
        <f t="shared" si="572"/>
        <v>51.125044444444441</v>
      </c>
      <c r="AJ249" s="535">
        <f t="shared" si="573"/>
        <v>0</v>
      </c>
      <c r="AK249" s="535">
        <f t="shared" si="574"/>
        <v>0</v>
      </c>
      <c r="AL249" s="535">
        <f>(VLOOKUP(Sheet1!DC247,hhdcap_wcm,4)-(((VLOOKUP(Sheet1!DC247,hhdcap_wcm,3)-Sheet1!DC247)/(VLOOKUP(Sheet1!DC247,hhdcap_wcm,3)-VLOOKUP(Sheet1!DC247,hhdcap_wcm,1)))*(VLOOKUP(Sheet1!DC247,hhdcap_wcm,4)-VLOOKUP(Sheet1!DC247,hhdcap_wcm,2))))</f>
        <v>35083.200000088618</v>
      </c>
      <c r="AM249" s="535">
        <f t="shared" si="575"/>
        <v>-432.00000000043656</v>
      </c>
      <c r="AN249" s="1035">
        <f t="shared" si="576"/>
        <v>1808.9538959961685</v>
      </c>
      <c r="AO249" s="535">
        <f t="shared" si="577"/>
        <v>5549.8705529162453</v>
      </c>
      <c r="AP249" s="535">
        <f>Sheet1!BA247+Sheet1!BB247+Sheet1!BN247+CD249</f>
        <v>4.66</v>
      </c>
      <c r="AQ249" s="535">
        <f>Sheet1!BN247+(DO249*Sheet1!BN247)</f>
        <v>4.6201709401709401</v>
      </c>
      <c r="AR249" s="535">
        <f>Sheet1!BA247+CD249</f>
        <v>0</v>
      </c>
      <c r="AS249" s="535">
        <f>Sheet1!BA247+Sheet1!BB247+CD249</f>
        <v>0</v>
      </c>
      <c r="AT249" s="649">
        <f>0</f>
        <v>0</v>
      </c>
      <c r="AU249" s="974">
        <f>BA249+MAX(Sheet1!EH247,(O249-Q249-ED249-S249))</f>
        <v>8.5</v>
      </c>
      <c r="AV249" s="535">
        <f>IF(OR(B249&gt;=GD249,B249&lt;GC249),0,15/36*K249-MAX(0,64.6-(137.6-(Sheet1!AA247+Sheet1!AB247))))</f>
        <v>0</v>
      </c>
      <c r="AW249" s="1029"/>
      <c r="AX249" s="649"/>
      <c r="AY249" s="649">
        <f t="shared" si="541"/>
        <v>0</v>
      </c>
      <c r="AZ249" s="649">
        <f t="shared" si="542"/>
        <v>0</v>
      </c>
      <c r="BA249" s="1059">
        <f t="shared" si="543"/>
        <v>0</v>
      </c>
      <c r="BB249" s="1019">
        <f t="shared" si="578"/>
        <v>998.83333333333348</v>
      </c>
      <c r="BC249" s="1041">
        <f t="shared" si="544"/>
        <v>0</v>
      </c>
      <c r="BD249" s="1019">
        <f ca="1">IF(B249&gt;(Summary!$A$1-1),#N/A,BB249*MGtoAF)</f>
        <v>3064.4206666666673</v>
      </c>
      <c r="BE249" s="535">
        <f>Sheet1!BG247+Sheet1!BH247+Sheet1!BI247-BM249</f>
        <v>6.1</v>
      </c>
      <c r="BF249" s="535">
        <f t="shared" si="579"/>
        <v>6.0478632478632468</v>
      </c>
      <c r="BG249" s="535">
        <f>IF(Sheet1!EP247="FM",BM249,0)</f>
        <v>0</v>
      </c>
      <c r="BH249" s="535">
        <f t="shared" si="580"/>
        <v>0</v>
      </c>
      <c r="BI249" s="535">
        <f>IF(Sheet1!EP247="OTHER",BM249,0)</f>
        <v>0</v>
      </c>
      <c r="BJ249" s="535">
        <f t="shared" si="581"/>
        <v>0</v>
      </c>
      <c r="BK249" s="535">
        <f t="shared" si="582"/>
        <v>6.1</v>
      </c>
      <c r="BL249" s="535">
        <f t="shared" si="583"/>
        <v>6.0478632478632468</v>
      </c>
      <c r="BM249" s="535">
        <f>IF(OR(Sheet1!EP247="FM", Sheet1!EP247="OTHER"),SUM(Sheet1!BG247:'Sheet1'!BI247),0)</f>
        <v>0</v>
      </c>
      <c r="BN249" s="521">
        <f>IF(AND($B249&gt;=$FV249,$B249&lt;=$FW249),MAX(BF249,Sheet1!EI247,0),MAX(BF249-(7/36)*$K249,0))</f>
        <v>6.0478632478632468</v>
      </c>
      <c r="BO249" s="535">
        <f t="shared" si="584"/>
        <v>0</v>
      </c>
      <c r="BP249" s="521">
        <f t="shared" si="585"/>
        <v>0</v>
      </c>
      <c r="BQ249" s="521">
        <f>IF(AND($O249&gt;0,Sheet1!EM247=1),(1-($O249-Sheet1!$L247)/$O249)*BL249,0)</f>
        <v>0</v>
      </c>
      <c r="BR249" s="521">
        <f>IF(AND(Sheet1!$L247=0,Sheet1!$L246=0, Calculation!BK249&lt;Sheet1!$EI247-0.1,Sheet1!$EI247=Sheet1!$EI246,Sheet1!$EI247=Sheet1!$EI248),BL249-BQ249,BL249-BQ249)</f>
        <v>6.0478632478632468</v>
      </c>
      <c r="BS249" s="1035" t="str">
        <f t="shared" si="545"/>
        <v/>
      </c>
      <c r="BT249" s="1035">
        <f t="shared" si="546"/>
        <v>0</v>
      </c>
      <c r="BU249" s="535">
        <f t="shared" si="586"/>
        <v>398.44120364792855</v>
      </c>
      <c r="BV249" s="535"/>
      <c r="BW249" s="535">
        <f ca="1">IF(B249&gt;(Summary!$A$1-1),#N/A,BU249*MGtoAF)</f>
        <v>1222.4176127918447</v>
      </c>
      <c r="BX249" s="535">
        <f>Sheet1!BC247+Sheet1!BD247+Sheet1!BE247+Sheet1!BF247-CG249-CH249</f>
        <v>6.49</v>
      </c>
      <c r="BY249" s="535">
        <f t="shared" si="587"/>
        <v>6.4345299145299135</v>
      </c>
      <c r="BZ249" s="535">
        <f>IF(Sheet1!EQ247="FM",CH249,0)</f>
        <v>0</v>
      </c>
      <c r="CA249" s="535">
        <f t="shared" si="588"/>
        <v>0</v>
      </c>
      <c r="CB249" s="535">
        <f>IF(Sheet1!EQ247="OTHER",CH249,0)</f>
        <v>0</v>
      </c>
      <c r="CC249" s="535">
        <f t="shared" si="589"/>
        <v>0</v>
      </c>
      <c r="CD249" s="535">
        <f t="shared" si="590"/>
        <v>0</v>
      </c>
      <c r="CE249" s="535">
        <f t="shared" si="591"/>
        <v>6.49</v>
      </c>
      <c r="CF249" s="535">
        <f t="shared" si="592"/>
        <v>6.4345299145299135</v>
      </c>
      <c r="CG249" s="535">
        <f>IF(Sheet1!EQ247="CWA",SUM(Sheet1!BC247:'Sheet1'!BF247),0)</f>
        <v>0</v>
      </c>
      <c r="CH249" s="535">
        <f>IF(OR(Sheet1!EQ247="FM", Sheet1!EQ247="OTHER"),SUM(Sheet1!BC247:'Sheet1'!BF247),0)</f>
        <v>0</v>
      </c>
      <c r="CI249" s="521">
        <f>IF(AND($B249&gt;=$FV249,$B249&lt;=$FW249),MAX(CF249,Sheet1!EJ247,0),MAX(CF249-(7/36)*$K249,0))</f>
        <v>6.5</v>
      </c>
      <c r="CJ249" s="535">
        <f t="shared" si="593"/>
        <v>0</v>
      </c>
      <c r="CK249" s="521">
        <f t="shared" si="594"/>
        <v>0</v>
      </c>
      <c r="CL249" s="521">
        <f>IF(AND($O249&gt;0,Sheet1!EN247=1),(1-($O249-Sheet1!$L247)/$O249)*CF249,0)</f>
        <v>0</v>
      </c>
      <c r="CM249" s="521">
        <f>IF(AND(Sheet1!$L247=0,Sheet1!$L246=0, Calculation!CE249&lt;Sheet1!EJ247-0.1,Sheet1!EJ247=Sheet1!EJ246,Sheet1!EJ247=Sheet1!EJ248),CF249-CL249,CF249-CL249)</f>
        <v>6.4345299145299135</v>
      </c>
      <c r="CN249" s="1040" t="str">
        <f t="shared" si="547"/>
        <v/>
      </c>
      <c r="CO249" s="1035">
        <f t="shared" si="548"/>
        <v>0</v>
      </c>
      <c r="CP249" s="535">
        <f t="shared" si="595"/>
        <v>253.8406814529767</v>
      </c>
      <c r="CQ249" s="535"/>
      <c r="CR249" s="535">
        <f ca="1">IF(B249&gt;(Summary!$A$1-1),#N/A,CP249*MGtoAF)</f>
        <v>778.78321069773256</v>
      </c>
      <c r="CS249" s="535">
        <f>Sheet1!BK247+Sheet1!BL247+Sheet1!BM247-Sheet1!ER247-DA249</f>
        <v>12</v>
      </c>
      <c r="CT249" s="535">
        <f t="shared" si="596"/>
        <v>11.897435897435896</v>
      </c>
      <c r="CU249" s="535">
        <f>IF(Sheet1!ER247="FM",DA249,0)</f>
        <v>0</v>
      </c>
      <c r="CV249" s="535">
        <f t="shared" si="597"/>
        <v>0</v>
      </c>
      <c r="CW249" s="535">
        <f>IF(Sheet1!ER247="OTHER",DA249,0)</f>
        <v>0</v>
      </c>
      <c r="CX249" s="535">
        <f t="shared" si="598"/>
        <v>0</v>
      </c>
      <c r="CY249" s="535">
        <f t="shared" si="599"/>
        <v>12</v>
      </c>
      <c r="CZ249" s="535">
        <f t="shared" si="600"/>
        <v>11.897435897435896</v>
      </c>
      <c r="DA249" s="535">
        <f>IF(OR(Sheet1!ER247="FM", Sheet1!ER247="OTHER"),SUM(Sheet1!BK247:'Sheet1'!BM247),0)</f>
        <v>0</v>
      </c>
      <c r="DB249" s="1011">
        <f>IF(AND($B249&gt;=$FV249,$B249&lt;=$FW249),MAX($CT249,Sheet1!EK247,0),MAX($CT249-(7/36)*$K249,0))</f>
        <v>12</v>
      </c>
      <c r="DC249" s="1012">
        <f t="shared" si="601"/>
        <v>0</v>
      </c>
      <c r="DD249" s="1011">
        <f t="shared" si="602"/>
        <v>0</v>
      </c>
      <c r="DE249" s="521">
        <f>IF(AND($O249&gt;0,Sheet1!EO247=1),(1-($O249-Sheet1!$L247)/$O249)*CZ249,0)</f>
        <v>0</v>
      </c>
      <c r="DF249" s="521">
        <f>IF(AND(Sheet1!$L247=0,Sheet1!$L246=0, Calculation!CY249&lt;Sheet1!$EK247-0.1,Sheet1!$EK247=Sheet1!$EK246,Sheet1!$EK247=Sheet1!$EK248),CZ249-DE249,CZ249-DE249)</f>
        <v>11.897435897435896</v>
      </c>
      <c r="DG249" s="1040">
        <f t="shared" si="549"/>
        <v>0</v>
      </c>
      <c r="DH249" s="649">
        <f t="shared" si="603"/>
        <v>24.59</v>
      </c>
      <c r="DI249" s="535">
        <f>HJ249+HL249</f>
        <v>157.83867756192996</v>
      </c>
      <c r="DJ249" s="649">
        <f t="shared" si="605"/>
        <v>24.379829059829056</v>
      </c>
      <c r="DK249" s="535">
        <f ca="1">IF(B249&gt;(Summary!$A$1-1),#N/A,DI249*MGtoAF)</f>
        <v>484.2490627600011</v>
      </c>
      <c r="DL249" s="649">
        <f t="shared" si="606"/>
        <v>24.590000000000003</v>
      </c>
      <c r="DM249" s="535">
        <f t="shared" si="607"/>
        <v>29.250000000000004</v>
      </c>
      <c r="DN249" s="535">
        <f>Sheet1!AB247-DM249</f>
        <v>-0.25000000000000355</v>
      </c>
      <c r="DO249" s="743">
        <f t="shared" si="608"/>
        <v>-8.5470085470086676E-3</v>
      </c>
      <c r="DP249" s="535">
        <f>(VLOOKUP(Sheet1!DC247,hhdcap_wcm,4)-(((VLOOKUP(Sheet1!DC247,hhdcap_wcm,3)-Sheet1!DC247)/(VLOOKUP(Sheet1!DC247,hhdcap_wcm,3)-VLOOKUP(Sheet1!DC247,hhdcap_wcm,1)))*(VLOOKUP(Sheet1!DC247,hhdcap_wcm,4)-VLOOKUP(Sheet1!DC247,hhdcap_wcm,2))))</f>
        <v>35083.200000088618</v>
      </c>
      <c r="DQ249" s="535">
        <f t="shared" si="609"/>
        <v>-432.00000000043656</v>
      </c>
      <c r="DR249" s="535">
        <f t="shared" si="610"/>
        <v>-217.85173978841982</v>
      </c>
      <c r="DS249" s="535">
        <f>Sheet1!EA247*AFtoMG</f>
        <v>0</v>
      </c>
      <c r="DT249" s="535">
        <f>Sheet1!EB247*AFtoMG</f>
        <v>0</v>
      </c>
      <c r="DU249" s="535">
        <f>Sheet1!EC247*AFtoMG</f>
        <v>0</v>
      </c>
      <c r="DV249" s="535">
        <f>Sheet1!ED247*AFtoMG</f>
        <v>0</v>
      </c>
      <c r="DW249" s="535">
        <f t="shared" si="611"/>
        <v>0</v>
      </c>
      <c r="DX249" s="535">
        <f t="shared" si="612"/>
        <v>0</v>
      </c>
      <c r="DY249" s="535">
        <f t="shared" si="613"/>
        <v>1808.9538959961685</v>
      </c>
      <c r="DZ249" s="535">
        <f t="shared" si="614"/>
        <v>5549.8705529162453</v>
      </c>
      <c r="EA249" s="535"/>
      <c r="EB249" s="521">
        <f>IF(OR(B249&lt;FV249,B249&gt;FW249),(MIN(BF249+BY249+CT249+MAX(Sheet1!AA247+AQ249-73,0),K249)),0)</f>
        <v>0</v>
      </c>
      <c r="EC249" s="535"/>
      <c r="ED249" s="535">
        <f t="shared" si="615"/>
        <v>24.379829059829056</v>
      </c>
      <c r="EE249" s="535"/>
      <c r="EF249" s="535">
        <f>Sheet1!EH247+Sheet1!EI247+Sheet1!EJ247+Sheet1!EK247</f>
        <v>33</v>
      </c>
      <c r="EG249" s="1019">
        <f t="shared" si="550"/>
        <v>51.050999999999995</v>
      </c>
      <c r="EH249" s="521">
        <f t="shared" si="616"/>
        <v>0</v>
      </c>
      <c r="EI249" s="535">
        <f>IF(Sheet1!ET247=1,SUM('Calculations II'!AT249:BA249)+'Calculations II'!BC249+Sheet1!BV247+'Calculations II'!BE249+AP249,'Calculations II'!BK249)</f>
        <v>71.71553894017093</v>
      </c>
      <c r="EJ249" s="535">
        <f ca="1">EI249+'Calculations II'!D249+'Calculations II'!E249+'Calculations II'!O249</f>
        <v>71.175477195418253</v>
      </c>
      <c r="EK249" s="535"/>
      <c r="EL249" s="535"/>
      <c r="EM249" s="535">
        <f t="shared" si="617"/>
        <v>42973</v>
      </c>
      <c r="EN249" s="535">
        <f t="shared" si="618"/>
        <v>-33.047863247863248</v>
      </c>
      <c r="EO249" s="535">
        <f t="shared" si="619"/>
        <v>-51.125044444444441</v>
      </c>
      <c r="EP249" s="535">
        <v>0</v>
      </c>
      <c r="EQ249" s="535">
        <v>0</v>
      </c>
      <c r="ER249" s="535">
        <v>0</v>
      </c>
      <c r="ES249" s="521">
        <f t="shared" si="516"/>
        <v>-1.2476577839474343</v>
      </c>
      <c r="ET249" s="535">
        <f>-(VLOOKUP(Sheet1!BQ247,Lookup!$O$4:$Q$262,2)-VLOOKUP(Sheet1!BQ246,Lookup!$O$4:$Q$262,2))/1000000</f>
        <v>-0.69306484910840171</v>
      </c>
      <c r="EU249" s="535">
        <f>-(VLOOKUP(Sheet1!BR247,Lookup!$O$4:$Q$262,3)-VLOOKUP(Sheet1!BR246,Lookup!$O$4:$Q$262,3))/1000000</f>
        <v>-0.5545929348390326</v>
      </c>
      <c r="EV249" s="535"/>
      <c r="EW249" s="535"/>
      <c r="EX249" s="535"/>
      <c r="EY249" s="535"/>
      <c r="EZ249" s="535"/>
      <c r="FA249" s="535"/>
      <c r="FB249" s="535"/>
      <c r="FC249" s="535"/>
      <c r="FD249" s="567">
        <f t="shared" si="566"/>
        <v>1130.3864406778948</v>
      </c>
      <c r="FE249" s="567" t="e">
        <f t="shared" si="620"/>
        <v>#N/A</v>
      </c>
      <c r="FF249" s="568" t="e">
        <f t="shared" si="621"/>
        <v>#N/A</v>
      </c>
      <c r="FG249" s="569" t="s">
        <v>656</v>
      </c>
      <c r="FH249" s="569" t="s">
        <v>656</v>
      </c>
      <c r="FI249" s="567" t="e">
        <v>#N/A</v>
      </c>
      <c r="FJ249" s="725">
        <v>16706</v>
      </c>
      <c r="FK249" s="535"/>
      <c r="FL249" s="1015">
        <f t="shared" si="565"/>
        <v>84.720121028744316</v>
      </c>
      <c r="FM249" s="535"/>
      <c r="FN249" s="535"/>
      <c r="FO249" s="535">
        <f>O249+((Sheet1!CS247)*GPMtoMGD)</f>
        <v>98.443408000000005</v>
      </c>
      <c r="FP249" s="535">
        <f>IF(Sheet1!AA247+AQ249&lt;=Calculation!N249,AQ249,Calculation!N249-Sheet1!AA247)</f>
        <v>4.6201709401709401</v>
      </c>
      <c r="FQ249" s="535">
        <f>(Sheet1!BP247+Sheet1!BO247)/694.4</f>
        <v>3.5165610599078336</v>
      </c>
      <c r="FR249" s="541"/>
      <c r="FS249" s="541"/>
      <c r="FT249" s="541"/>
      <c r="FU249" s="541"/>
      <c r="FV249" s="1109">
        <f t="shared" si="517"/>
        <v>42918</v>
      </c>
      <c r="FW249" s="1109">
        <f t="shared" si="518"/>
        <v>43027</v>
      </c>
      <c r="FX249" s="541"/>
      <c r="FY249" s="541">
        <f>Sheet1!DA247-Sheet1!CZ247-Sheet1!AE247</f>
        <v>-134.69646</v>
      </c>
      <c r="FZ249" s="535">
        <f t="shared" si="551"/>
        <v>-1.25710356597505</v>
      </c>
      <c r="GA249" s="535"/>
      <c r="GB249" s="535" t="str">
        <f t="shared" si="519"/>
        <v>n</v>
      </c>
      <c r="GC249" s="539">
        <f t="shared" si="520"/>
        <v>42782</v>
      </c>
      <c r="GD249" s="1109">
        <f t="shared" si="521"/>
        <v>42904</v>
      </c>
      <c r="GE249" s="535">
        <f t="shared" si="537"/>
        <v>6520</v>
      </c>
      <c r="GF249" s="1109">
        <f t="shared" si="522"/>
        <v>42909</v>
      </c>
      <c r="GG249" s="535">
        <f t="shared" si="564"/>
        <v>3260</v>
      </c>
      <c r="GH249" s="539">
        <f t="shared" si="523"/>
        <v>43040</v>
      </c>
      <c r="GJ249" s="521">
        <f t="shared" si="524"/>
        <v>0</v>
      </c>
      <c r="GK249" s="535" t="str">
        <f t="shared" si="622"/>
        <v/>
      </c>
      <c r="GL249" s="535">
        <f t="shared" si="525"/>
        <v>0</v>
      </c>
      <c r="GM249" s="535" t="str">
        <f t="shared" si="526"/>
        <v/>
      </c>
      <c r="GN249" s="535">
        <f>IF(GK249="P",Lookup!$M$12,IF(GK249="PP",Lookup!$M$13,IF(GK249="PPP",Lookup!$M$14,IF(GK249="T",Lookup!$M$15,IF(GK249="TP",Lookup!$M$16,IF(GK249="TPP",Lookup!$M$17,IF(GK249="TPPP",Lookup!$M$18,0)))))))*GJ249</f>
        <v>0</v>
      </c>
      <c r="GO249" s="535">
        <f t="shared" si="527"/>
        <v>0</v>
      </c>
      <c r="GP249" s="535">
        <f t="shared" si="623"/>
        <v>3064.4206666666673</v>
      </c>
      <c r="GQ249" s="974">
        <f t="shared" si="567"/>
        <v>998.83333333333348</v>
      </c>
      <c r="GR249" s="535"/>
      <c r="GS249" s="535">
        <f t="shared" si="528"/>
        <v>0</v>
      </c>
      <c r="GT249" s="535" t="str">
        <f t="shared" si="529"/>
        <v/>
      </c>
      <c r="GU249" s="535">
        <f>IF(GK249="P",Lookup!$N$12,IF(GK249="PP",Lookup!$N$13,IF(GK249="PPP",Lookup!$N$14,IF(GK249="T",Lookup!$N$15,IF(GK249="TP",Lookup!$N$16,IF(GK249="TPP",Lookup!$N$17,IF(GK249="TPPP",Lookup!$N$18,0)))))))*GJ249</f>
        <v>0</v>
      </c>
      <c r="GV249" s="535">
        <f t="shared" si="530"/>
        <v>0</v>
      </c>
      <c r="GW249" s="535">
        <f t="shared" si="624"/>
        <v>1222.4176127918447</v>
      </c>
      <c r="GX249" s="974">
        <f t="shared" si="568"/>
        <v>398.44120364792855</v>
      </c>
      <c r="GY249" s="535"/>
      <c r="GZ249" s="535">
        <f t="shared" si="531"/>
        <v>0</v>
      </c>
      <c r="HA249" s="535" t="str">
        <f t="shared" si="532"/>
        <v/>
      </c>
      <c r="HB249" s="535">
        <f>IF(GK249="P",Lookup!$N$12,IF(GK249="PP",Lookup!$N$13,IF(GK249="PPP",Lookup!$N$14,IF(GK249="T",Lookup!$N$15,IF(GK249="TP",Lookup!$N$16,IF(GK249="TPP",Lookup!$N$17,IF(GK249="TPPP",Lookup!$N$18,0)))))))*GJ249</f>
        <v>0</v>
      </c>
      <c r="HC249" s="521">
        <f t="shared" si="625"/>
        <v>0</v>
      </c>
      <c r="HD249" s="535">
        <f t="shared" si="626"/>
        <v>778.78321069773256</v>
      </c>
      <c r="HE249" s="535">
        <f t="shared" si="535"/>
        <v>253.8406814529767</v>
      </c>
      <c r="HF249" s="535"/>
      <c r="HG249" s="535">
        <f t="shared" si="533"/>
        <v>0</v>
      </c>
      <c r="HH249" s="535" t="str">
        <f t="shared" si="534"/>
        <v/>
      </c>
      <c r="HI249" s="535">
        <f>IF(GK249="P",Lookup!$N$12,IF(GK249="PP",Lookup!$N$13,IF(GK249="PPP",Lookup!$N$14,IF(GK249="T",Lookup!$N$15,IF(GK249="TP",Lookup!$N$16,IF(GK249="TPP",Lookup!$N$17,IF(GK249="TPPP",Lookup!$N$18,0)))))))*GJ249</f>
        <v>0</v>
      </c>
      <c r="HJ249" s="521">
        <f t="shared" si="627"/>
        <v>0</v>
      </c>
      <c r="HK249" s="535">
        <f t="shared" si="628"/>
        <v>484.2490627600011</v>
      </c>
      <c r="HL249" s="535">
        <f t="shared" si="536"/>
        <v>157.83867756192996</v>
      </c>
      <c r="HM249" s="535"/>
      <c r="HN249" s="541"/>
      <c r="HO249" s="541"/>
      <c r="HP249" s="541"/>
      <c r="HQ249" s="541">
        <f>IF(AND(B249&gt;=$FV$4,B249&lt;=$FW$4),MAX(110/1.02+$HQ$6+MIN(113/1.02,G249),IF($HV$6-(Sheet1!DA247-Sheet1!DB247)+MIN(113/1.02,G249)&lt;G249+FL249,$HV$6-(Sheet1!DA247-Sheet1!DB247)+MIN(113/1.02,G249),G249+FL249)),MIN(110/1.02+$HQ$6+113/1.02,G249))</f>
        <v>214.99139746648214</v>
      </c>
      <c r="HR249" s="541">
        <f t="shared" si="552"/>
        <v>219.29122541581179</v>
      </c>
      <c r="HS249" s="541">
        <f>HR249+(Sheet1!DA247-Sheet1!DB247)</f>
        <v>374.29122541581182</v>
      </c>
      <c r="HT249" s="541">
        <f t="shared" si="553"/>
        <v>94.831364444444461</v>
      </c>
      <c r="HU249" s="541">
        <f t="shared" si="554"/>
        <v>279.45986097136733</v>
      </c>
      <c r="HV249" s="541">
        <f t="shared" si="555"/>
        <v>0</v>
      </c>
      <c r="HW249" s="533" t="str">
        <f t="shared" si="556"/>
        <v/>
      </c>
      <c r="HX249" s="541">
        <f t="shared" si="557"/>
        <v>58.883558089073432</v>
      </c>
      <c r="HY249" s="541">
        <f>Sheet1!CZ247</f>
        <v>325</v>
      </c>
      <c r="HZ249" s="541">
        <f t="shared" si="558"/>
        <v>51.125044444444441</v>
      </c>
      <c r="IA249" s="541">
        <f t="shared" si="559"/>
        <v>94.831364444444461</v>
      </c>
      <c r="IB249" s="541">
        <f t="shared" si="560"/>
        <v>273.87495555555557</v>
      </c>
      <c r="IC249" s="1019" t="str">
        <f t="shared" si="561"/>
        <v/>
      </c>
      <c r="ID249" s="541">
        <f t="shared" si="562"/>
        <v>179.04359111111111</v>
      </c>
      <c r="IE249" s="541">
        <f>Sheet1!DB247</f>
        <v>181</v>
      </c>
      <c r="IF249" s="533">
        <f>Sheet1!DA247</f>
        <v>336</v>
      </c>
      <c r="IH249" s="541">
        <f>IF(AND($B249&gt;=$GC249,$B249&lt;=$GH249,$DR249&lt;0)+N("only adjusted when pool is drawn down during storage season"),Sheet1!$DB247+$DR249+N("Palmer minus all storage release"),Sheet1!$DB247)</f>
        <v>-36.85173978841982</v>
      </c>
      <c r="II249" s="541">
        <f>IF(AND($B249&gt;=$GC249,$B249&lt;=$GH249,$DR249&lt;0)+N("only adjusted when pool is drawn down during storage season"),Sheet1!$DA247+$DR249+N("Auburn minus all storage release"),Sheet1!$DA247)</f>
        <v>118.14826021158018</v>
      </c>
    </row>
    <row r="250" spans="1:243" x14ac:dyDescent="0.25">
      <c r="A250" s="553" t="s">
        <v>3</v>
      </c>
      <c r="B250" s="531">
        <v>42974</v>
      </c>
      <c r="C250" s="536">
        <v>0</v>
      </c>
      <c r="D250" s="506">
        <f t="shared" si="506"/>
        <v>200</v>
      </c>
      <c r="E250" s="506">
        <f t="shared" si="507"/>
        <v>400</v>
      </c>
      <c r="F250" s="506">
        <v>250</v>
      </c>
      <c r="G250" s="535">
        <f>DR250+Sheet1!CZ248</f>
        <v>111.48512354995933</v>
      </c>
      <c r="H250" s="1074">
        <f t="shared" si="563"/>
        <v>0</v>
      </c>
      <c r="I250" s="534">
        <f>IF(Sheet1!DA248&gt;=E250,(Sheet1!DA248-E250+P250)*CFStoMGD,0)</f>
        <v>0</v>
      </c>
      <c r="J250" s="995">
        <f>IF(Sheet1!DB248&gt;=D250,(Sheet1!DB248-D250+P250)*CFStoMGD,0)</f>
        <v>0</v>
      </c>
      <c r="K250" s="818">
        <f t="shared" si="538"/>
        <v>0</v>
      </c>
      <c r="L250" s="535">
        <f>Sheet1!AA248+Sheet1!AB248-Sheet1!L248+(Sheet1!DA248-F250)*CFStoMGD-S250-T250-U250</f>
        <v>113.98863890784982</v>
      </c>
      <c r="M250" s="535">
        <f t="shared" si="569"/>
        <v>73.505263539947592</v>
      </c>
      <c r="N250" s="824">
        <f>IF(Sheet1!DA248&gt;=F250,MIN(113*CFStoMGD,MIN(MAX(L250,0),MAX(M250,0))),0)</f>
        <v>73.043199999999999</v>
      </c>
      <c r="O250" s="538">
        <f>Sheet1!AA248+Sheet1!AB248</f>
        <v>94.32</v>
      </c>
      <c r="P250" s="538">
        <f t="shared" si="570"/>
        <v>145.91303999999997</v>
      </c>
      <c r="Q250" s="812">
        <f t="shared" si="539"/>
        <v>61.630238907849829</v>
      </c>
      <c r="R250" s="812">
        <f t="shared" si="508"/>
        <v>33</v>
      </c>
      <c r="S250" s="812">
        <f t="shared" si="509"/>
        <v>0</v>
      </c>
      <c r="T250" s="812">
        <f t="shared" si="510"/>
        <v>0</v>
      </c>
      <c r="U250" s="812">
        <f>IF(AND(B250&gt;=FV250,B250&lt;=FW250),ED250+Sheet1!EH248,0)</f>
        <v>32.689761092150164</v>
      </c>
      <c r="V250" s="812"/>
      <c r="W250" s="812">
        <f t="shared" si="511"/>
        <v>0</v>
      </c>
      <c r="X250" s="812">
        <f t="shared" si="512"/>
        <v>0</v>
      </c>
      <c r="Y250" s="812" t="str">
        <f t="shared" si="513"/>
        <v>FALSE</v>
      </c>
      <c r="Z250" s="812">
        <f t="shared" si="514"/>
        <v>94.32</v>
      </c>
      <c r="AA250" s="812">
        <f t="shared" si="515"/>
        <v>94.32</v>
      </c>
      <c r="AB250" s="1059">
        <f t="shared" si="540"/>
        <v>95.341979590443685</v>
      </c>
      <c r="AC250" s="538">
        <f>Sheet1!Y248*MGDtoCFS</f>
        <v>100.83346</v>
      </c>
      <c r="AD250" s="538">
        <f>Sheet1!Z248*MGDtoCFS</f>
        <v>44.723769999999995</v>
      </c>
      <c r="AE250" s="538">
        <f>Sheet1!AA248*MGDtoCFS</f>
        <v>101.05003999999998</v>
      </c>
      <c r="AF250" s="538">
        <f>Sheet1!AB248*MGDtoCFS</f>
        <v>44.863</v>
      </c>
      <c r="AG250" s="538">
        <f>Sheet1!L248*MGDtoCFS</f>
        <v>0</v>
      </c>
      <c r="AH250" s="521">
        <f t="shared" si="571"/>
        <v>33</v>
      </c>
      <c r="AI250" s="1059">
        <f t="shared" si="572"/>
        <v>51.050999999999995</v>
      </c>
      <c r="AJ250" s="535">
        <f t="shared" si="573"/>
        <v>0</v>
      </c>
      <c r="AK250" s="535">
        <f t="shared" si="574"/>
        <v>0</v>
      </c>
      <c r="AL250" s="535">
        <f>(VLOOKUP(Sheet1!DC248,hhdcap_wcm,4)-(((VLOOKUP(Sheet1!DC248,hhdcap_wcm,3)-Sheet1!DC248)/(VLOOKUP(Sheet1!DC248,hhdcap_wcm,3)-VLOOKUP(Sheet1!DC248,hhdcap_wcm,1)))*(VLOOKUP(Sheet1!DC248,hhdcap_wcm,4)-VLOOKUP(Sheet1!DC248,hhdcap_wcm,2))))</f>
        <v>34659.800000088188</v>
      </c>
      <c r="AM250" s="535">
        <f t="shared" si="575"/>
        <v>-423.40000000043074</v>
      </c>
      <c r="AN250" s="1035">
        <f t="shared" si="576"/>
        <v>1775.9538959961685</v>
      </c>
      <c r="AO250" s="535">
        <f t="shared" si="577"/>
        <v>5448.6265529162447</v>
      </c>
      <c r="AP250" s="535">
        <f>Sheet1!BA248+Sheet1!BB248+Sheet1!BN248+CD250</f>
        <v>4.8600000000000003</v>
      </c>
      <c r="AQ250" s="535">
        <f>Sheet1!BN248+(DO250*Sheet1!BN248)</f>
        <v>4.8102389078498291</v>
      </c>
      <c r="AR250" s="535">
        <f>Sheet1!BA248+CD250</f>
        <v>0</v>
      </c>
      <c r="AS250" s="535">
        <f>Sheet1!BA248+Sheet1!BB248+CD250</f>
        <v>0</v>
      </c>
      <c r="AT250" s="649">
        <f>0</f>
        <v>0</v>
      </c>
      <c r="AU250" s="974">
        <f>BA250+MAX(Sheet1!EH248,(O250-Q250-ED250-S250))</f>
        <v>8.5</v>
      </c>
      <c r="AV250" s="535">
        <f>IF(OR(B250&gt;=GD250,B250&lt;GC250),0,15/36*K250-MAX(0,64.6-(137.6-(Sheet1!AA248+Sheet1!AB248))))</f>
        <v>0</v>
      </c>
      <c r="AW250" s="1029"/>
      <c r="AX250" s="649"/>
      <c r="AY250" s="649">
        <f t="shared" si="541"/>
        <v>0</v>
      </c>
      <c r="AZ250" s="649">
        <f t="shared" si="542"/>
        <v>0</v>
      </c>
      <c r="BA250" s="1059">
        <f t="shared" si="543"/>
        <v>0</v>
      </c>
      <c r="BB250" s="1019">
        <f t="shared" si="578"/>
        <v>990.33333333333348</v>
      </c>
      <c r="BC250" s="1041">
        <f t="shared" si="544"/>
        <v>0</v>
      </c>
      <c r="BD250" s="1019">
        <f ca="1">IF(B250&gt;(Summary!$A$1-1),#N/A,BB250*MGtoAF)</f>
        <v>3038.3426666666674</v>
      </c>
      <c r="BE250" s="535">
        <f>Sheet1!BG248+Sheet1!BH248+Sheet1!BI248-BM250</f>
        <v>5.92</v>
      </c>
      <c r="BF250" s="535">
        <f t="shared" si="579"/>
        <v>5.8593856655290093</v>
      </c>
      <c r="BG250" s="535">
        <f>IF(Sheet1!EP248="FM",BM250,0)</f>
        <v>0</v>
      </c>
      <c r="BH250" s="535">
        <f t="shared" si="580"/>
        <v>0</v>
      </c>
      <c r="BI250" s="535">
        <f>IF(Sheet1!EP248="OTHER",BM250,0)</f>
        <v>0</v>
      </c>
      <c r="BJ250" s="535">
        <f t="shared" si="581"/>
        <v>0</v>
      </c>
      <c r="BK250" s="535">
        <f t="shared" si="582"/>
        <v>5.92</v>
      </c>
      <c r="BL250" s="535">
        <f t="shared" si="583"/>
        <v>5.8593856655290093</v>
      </c>
      <c r="BM250" s="535">
        <f>IF(OR(Sheet1!EP248="FM", Sheet1!EP248="OTHER"),SUM(Sheet1!BG248:'Sheet1'!BI248),0)</f>
        <v>0</v>
      </c>
      <c r="BN250" s="521">
        <f>IF(AND($B250&gt;=$FV250,$B250&lt;=$FW250),MAX(BF250,Sheet1!EI248,0),MAX(BF250-(7/36)*$K250,0))</f>
        <v>6</v>
      </c>
      <c r="BO250" s="535">
        <f t="shared" si="584"/>
        <v>0</v>
      </c>
      <c r="BP250" s="521">
        <f t="shared" si="585"/>
        <v>0</v>
      </c>
      <c r="BQ250" s="521">
        <f>IF(AND($O250&gt;0,Sheet1!EM248=1),(1-($O250-Sheet1!$L248)/$O250)*BL250,0)</f>
        <v>0</v>
      </c>
      <c r="BR250" s="521">
        <f>IF(AND(Sheet1!$L248=0,Sheet1!$L247=0, Calculation!BK250&lt;Sheet1!$EI248-0.1,Sheet1!$EI248=Sheet1!$EI247,Sheet1!$EI248=Sheet1!$EI249),BL250-BQ250,BL250-BQ250)</f>
        <v>5.8593856655290093</v>
      </c>
      <c r="BS250" s="1035" t="str">
        <f t="shared" si="545"/>
        <v/>
      </c>
      <c r="BT250" s="1035">
        <f t="shared" si="546"/>
        <v>0</v>
      </c>
      <c r="BU250" s="535">
        <f t="shared" si="586"/>
        <v>392.44120364792855</v>
      </c>
      <c r="BV250" s="535"/>
      <c r="BW250" s="535">
        <f ca="1">IF(B250&gt;(Summary!$A$1-1),#N/A,BU250*MGtoAF)</f>
        <v>1204.0096127918448</v>
      </c>
      <c r="BX250" s="535">
        <f>Sheet1!BC248+Sheet1!BD248+Sheet1!BE248+Sheet1!BF248-CG250-CH250</f>
        <v>6.49</v>
      </c>
      <c r="BY250" s="535">
        <f t="shared" si="587"/>
        <v>6.4235494880546069</v>
      </c>
      <c r="BZ250" s="535">
        <f>IF(Sheet1!EQ248="FM",CH250,0)</f>
        <v>0</v>
      </c>
      <c r="CA250" s="535">
        <f t="shared" si="588"/>
        <v>0</v>
      </c>
      <c r="CB250" s="535">
        <f>IF(Sheet1!EQ248="OTHER",CH250,0)</f>
        <v>0</v>
      </c>
      <c r="CC250" s="535">
        <f t="shared" si="589"/>
        <v>0</v>
      </c>
      <c r="CD250" s="535">
        <f t="shared" si="590"/>
        <v>0</v>
      </c>
      <c r="CE250" s="535">
        <f t="shared" si="591"/>
        <v>6.49</v>
      </c>
      <c r="CF250" s="535">
        <f t="shared" si="592"/>
        <v>6.4235494880546069</v>
      </c>
      <c r="CG250" s="535">
        <f>IF(Sheet1!EQ248="CWA",SUM(Sheet1!BC248:'Sheet1'!BF248),0)</f>
        <v>0</v>
      </c>
      <c r="CH250" s="535">
        <f>IF(OR(Sheet1!EQ248="FM", Sheet1!EQ248="OTHER"),SUM(Sheet1!BC248:'Sheet1'!BF248),0)</f>
        <v>0</v>
      </c>
      <c r="CI250" s="521">
        <f>IF(AND($B250&gt;=$FV250,$B250&lt;=$FW250),MAX(CF250,Sheet1!EJ248,0),MAX(CF250-(7/36)*$K250,0))</f>
        <v>6.5</v>
      </c>
      <c r="CJ250" s="535">
        <f t="shared" si="593"/>
        <v>0</v>
      </c>
      <c r="CK250" s="521">
        <f t="shared" si="594"/>
        <v>0</v>
      </c>
      <c r="CL250" s="521">
        <f>IF(AND($O250&gt;0,Sheet1!EN248=1),(1-($O250-Sheet1!$L248)/$O250)*CF250,0)</f>
        <v>0</v>
      </c>
      <c r="CM250" s="521">
        <f>IF(AND(Sheet1!$L248=0,Sheet1!$L247=0, Calculation!CE250&lt;Sheet1!EJ248-0.1,Sheet1!EJ248=Sheet1!EJ247,Sheet1!EJ248=Sheet1!EJ249),CF250-CL250,CF250-CL250)</f>
        <v>6.4235494880546069</v>
      </c>
      <c r="CN250" s="1040" t="str">
        <f t="shared" si="547"/>
        <v/>
      </c>
      <c r="CO250" s="1035">
        <f t="shared" si="548"/>
        <v>0</v>
      </c>
      <c r="CP250" s="535">
        <f t="shared" si="595"/>
        <v>247.3406814529767</v>
      </c>
      <c r="CQ250" s="535"/>
      <c r="CR250" s="535">
        <f ca="1">IF(B250&gt;(Summary!$A$1-1),#N/A,CP250*MGtoAF)</f>
        <v>758.84121069773255</v>
      </c>
      <c r="CS250" s="535">
        <f>Sheet1!BK248+Sheet1!BL248+Sheet1!BM248-Sheet1!ER248-DA250</f>
        <v>12.030000000000001</v>
      </c>
      <c r="CT250" s="535">
        <f t="shared" si="596"/>
        <v>11.906825938566552</v>
      </c>
      <c r="CU250" s="535">
        <f>IF(Sheet1!ER248="FM",DA250,0)</f>
        <v>0</v>
      </c>
      <c r="CV250" s="535">
        <f t="shared" si="597"/>
        <v>0</v>
      </c>
      <c r="CW250" s="535">
        <f>IF(Sheet1!ER248="OTHER",DA250,0)</f>
        <v>0</v>
      </c>
      <c r="CX250" s="535">
        <f t="shared" si="598"/>
        <v>0</v>
      </c>
      <c r="CY250" s="535">
        <f t="shared" si="599"/>
        <v>12.030000000000001</v>
      </c>
      <c r="CZ250" s="535">
        <f t="shared" si="600"/>
        <v>11.906825938566552</v>
      </c>
      <c r="DA250" s="535">
        <f>IF(OR(Sheet1!ER248="FM", Sheet1!ER248="OTHER"),SUM(Sheet1!BK248:'Sheet1'!BM248),0)</f>
        <v>0</v>
      </c>
      <c r="DB250" s="1011">
        <f>IF(AND($B250&gt;=$FV250,$B250&lt;=$FW250),MAX($CT250,Sheet1!EK248,0),MAX($CT250-(7/36)*$K250,0))</f>
        <v>12</v>
      </c>
      <c r="DC250" s="1012">
        <f t="shared" si="601"/>
        <v>0</v>
      </c>
      <c r="DD250" s="1011">
        <f t="shared" si="602"/>
        <v>0</v>
      </c>
      <c r="DE250" s="521">
        <f>IF(AND($O250&gt;0,Sheet1!EO248=1),(1-($O250-Sheet1!$L248)/$O250)*CZ250,0)</f>
        <v>0</v>
      </c>
      <c r="DF250" s="521">
        <f>IF(AND(Sheet1!$L248=0,Sheet1!$L247=0, Calculation!CY250&lt;Sheet1!$EK248-0.1,Sheet1!$EK248=Sheet1!$EK247,Sheet1!$EK248=Sheet1!$EK249),CZ250-DE250,CZ250-DE250)</f>
        <v>11.906825938566552</v>
      </c>
      <c r="DG250" s="1040">
        <f t="shared" si="549"/>
        <v>0</v>
      </c>
      <c r="DH250" s="649">
        <f t="shared" si="603"/>
        <v>24.44</v>
      </c>
      <c r="DI250" s="535">
        <f>HJ250+HL250</f>
        <v>145.83867756192996</v>
      </c>
      <c r="DJ250" s="649">
        <f t="shared" si="605"/>
        <v>24.189761092150167</v>
      </c>
      <c r="DK250" s="535">
        <f ca="1">IF(B250&gt;(Summary!$A$1-1),#N/A,DI250*MGtoAF)</f>
        <v>447.43306276000112</v>
      </c>
      <c r="DL250" s="649">
        <f t="shared" si="606"/>
        <v>24.440000000000005</v>
      </c>
      <c r="DM250" s="535">
        <f t="shared" si="607"/>
        <v>29.300000000000004</v>
      </c>
      <c r="DN250" s="535">
        <f>Sheet1!AB248-DM250</f>
        <v>-0.30000000000000426</v>
      </c>
      <c r="DO250" s="743">
        <f t="shared" si="608"/>
        <v>-1.0238907849829495E-2</v>
      </c>
      <c r="DP250" s="535">
        <f>(VLOOKUP(Sheet1!DC248,hhdcap_wcm,4)-(((VLOOKUP(Sheet1!DC248,hhdcap_wcm,3)-Sheet1!DC248)/(VLOOKUP(Sheet1!DC248,hhdcap_wcm,3)-VLOOKUP(Sheet1!DC248,hhdcap_wcm,1)))*(VLOOKUP(Sheet1!DC248,hhdcap_wcm,4)-VLOOKUP(Sheet1!DC248,hhdcap_wcm,2))))</f>
        <v>34659.800000088188</v>
      </c>
      <c r="DQ250" s="535">
        <f t="shared" si="609"/>
        <v>-423.40000000043074</v>
      </c>
      <c r="DR250" s="535">
        <f t="shared" si="610"/>
        <v>-213.51487645004067</v>
      </c>
      <c r="DS250" s="535">
        <f>Sheet1!EA248*AFtoMG</f>
        <v>0</v>
      </c>
      <c r="DT250" s="535">
        <f>Sheet1!EB248*AFtoMG</f>
        <v>0</v>
      </c>
      <c r="DU250" s="535">
        <f>Sheet1!EC248*AFtoMG</f>
        <v>0</v>
      </c>
      <c r="DV250" s="535">
        <f>Sheet1!ED248*AFtoMG</f>
        <v>0</v>
      </c>
      <c r="DW250" s="535">
        <f t="shared" si="611"/>
        <v>0</v>
      </c>
      <c r="DX250" s="535">
        <f t="shared" si="612"/>
        <v>0</v>
      </c>
      <c r="DY250" s="535">
        <f t="shared" si="613"/>
        <v>1775.9538959961685</v>
      </c>
      <c r="DZ250" s="535">
        <f t="shared" si="614"/>
        <v>5448.6265529162447</v>
      </c>
      <c r="EA250" s="535"/>
      <c r="EB250" s="521">
        <f>IF(OR(B250&lt;FV250,B250&gt;FW250),(MIN(BF250+BY250+CT250+MAX(Sheet1!AA248+AQ250-73,0),K250)),0)</f>
        <v>0</v>
      </c>
      <c r="EC250" s="535"/>
      <c r="ED250" s="535">
        <f t="shared" si="615"/>
        <v>24.189761092150167</v>
      </c>
      <c r="EE250" s="535"/>
      <c r="EF250" s="535">
        <f>Sheet1!EH248+Sheet1!EI248+Sheet1!EJ248+Sheet1!EK248</f>
        <v>33</v>
      </c>
      <c r="EG250" s="1019">
        <f t="shared" si="550"/>
        <v>51.050999999999995</v>
      </c>
      <c r="EH250" s="521">
        <f t="shared" si="616"/>
        <v>0</v>
      </c>
      <c r="EI250" s="535">
        <f>IF(Sheet1!ET248=1,SUM('Calculations II'!AT250:BA250)+'Calculations II'!BC250+Sheet1!BV248+'Calculations II'!BE250+AP250,'Calculations II'!BK250)</f>
        <v>72.505480907849829</v>
      </c>
      <c r="EJ250" s="535">
        <f ca="1">EI250+'Calculations II'!D250+'Calculations II'!E250+'Calculations II'!O250</f>
        <v>73.642240761900752</v>
      </c>
      <c r="EK250" s="535"/>
      <c r="EL250" s="535"/>
      <c r="EM250" s="535">
        <f t="shared" si="617"/>
        <v>42974</v>
      </c>
      <c r="EN250" s="535">
        <f t="shared" si="618"/>
        <v>-33</v>
      </c>
      <c r="EO250" s="535">
        <f t="shared" si="619"/>
        <v>-51.050999999999995</v>
      </c>
      <c r="EP250" s="535">
        <v>0</v>
      </c>
      <c r="EQ250" s="535">
        <v>0</v>
      </c>
      <c r="ER250" s="535">
        <v>0</v>
      </c>
      <c r="ES250" s="521">
        <f t="shared" si="516"/>
        <v>-0.831927877409812</v>
      </c>
      <c r="ET250" s="535">
        <f>-(VLOOKUP(Sheet1!BQ248,Lookup!$O$4:$Q$262,2)-VLOOKUP(Sheet1!BQ247,Lookup!$O$4:$Q$262,2))/1000000</f>
        <v>-0.41591584735234455</v>
      </c>
      <c r="EU250" s="535">
        <f>-(VLOOKUP(Sheet1!BR248,Lookup!$O$4:$Q$262,3)-VLOOKUP(Sheet1!BR247,Lookup!$O$4:$Q$262,3))/1000000</f>
        <v>-0.41601203005746751</v>
      </c>
      <c r="EV250" s="535"/>
      <c r="EW250" s="535"/>
      <c r="EX250" s="535"/>
      <c r="EY250" s="535"/>
      <c r="EZ250" s="535"/>
      <c r="FA250" s="535"/>
      <c r="FB250" s="535"/>
      <c r="FC250" s="535"/>
      <c r="FD250" s="567">
        <f t="shared" si="566"/>
        <v>1130.1033898304374</v>
      </c>
      <c r="FE250" s="567" t="e">
        <f t="shared" si="620"/>
        <v>#N/A</v>
      </c>
      <c r="FF250" s="568" t="e">
        <f t="shared" si="621"/>
        <v>#N/A</v>
      </c>
      <c r="FG250" s="569" t="s">
        <v>656</v>
      </c>
      <c r="FH250" s="569" t="s">
        <v>656</v>
      </c>
      <c r="FI250" s="567" t="e">
        <v>#N/A</v>
      </c>
      <c r="FJ250" s="725">
        <v>16538</v>
      </c>
      <c r="FK250" s="535"/>
      <c r="FL250" s="1015">
        <f t="shared" si="565"/>
        <v>84.720121028744316</v>
      </c>
      <c r="FM250" s="535"/>
      <c r="FN250" s="535"/>
      <c r="FO250" s="535">
        <f>O250+((Sheet1!CS248)*GPMtoMGD)</f>
        <v>98.589743999999996</v>
      </c>
      <c r="FP250" s="535">
        <f>IF(Sheet1!AA248+AQ250&lt;=Calculation!N250,AQ250,Calculation!N250-Sheet1!AA248)</f>
        <v>4.8102389078498291</v>
      </c>
      <c r="FQ250" s="535">
        <f>(Sheet1!BP248+Sheet1!BO248)/694.4</f>
        <v>3.6715149769585254</v>
      </c>
      <c r="FR250" s="541"/>
      <c r="FS250" s="541"/>
      <c r="FT250" s="541"/>
      <c r="FU250" s="541"/>
      <c r="FV250" s="1109">
        <f t="shared" si="517"/>
        <v>42918</v>
      </c>
      <c r="FW250" s="1109">
        <f t="shared" si="518"/>
        <v>43027</v>
      </c>
      <c r="FX250" s="541"/>
      <c r="FY250" s="541">
        <f>Sheet1!DA248-Sheet1!CZ248-Sheet1!AE248</f>
        <v>-139.91304</v>
      </c>
      <c r="FZ250" s="535">
        <f t="shared" si="551"/>
        <v>-1.254992913357641</v>
      </c>
      <c r="GA250" s="535"/>
      <c r="GB250" s="535" t="str">
        <f t="shared" si="519"/>
        <v>n</v>
      </c>
      <c r="GC250" s="539">
        <f t="shared" si="520"/>
        <v>42782</v>
      </c>
      <c r="GD250" s="1109">
        <f t="shared" si="521"/>
        <v>42904</v>
      </c>
      <c r="GE250" s="535">
        <f t="shared" si="537"/>
        <v>6520</v>
      </c>
      <c r="GF250" s="1109">
        <f t="shared" si="522"/>
        <v>42909</v>
      </c>
      <c r="GG250" s="535">
        <f t="shared" si="564"/>
        <v>3260</v>
      </c>
      <c r="GH250" s="539">
        <f t="shared" si="523"/>
        <v>43040</v>
      </c>
      <c r="GJ250" s="521">
        <f t="shared" si="524"/>
        <v>0</v>
      </c>
      <c r="GK250" s="535" t="str">
        <f t="shared" si="622"/>
        <v/>
      </c>
      <c r="GL250" s="535">
        <f t="shared" si="525"/>
        <v>0</v>
      </c>
      <c r="GM250" s="535" t="str">
        <f t="shared" si="526"/>
        <v/>
      </c>
      <c r="GN250" s="535">
        <f>IF(GK250="P",Lookup!$M$12,IF(GK250="PP",Lookup!$M$13,IF(GK250="PPP",Lookup!$M$14,IF(GK250="T",Lookup!$M$15,IF(GK250="TP",Lookup!$M$16,IF(GK250="TPP",Lookup!$M$17,IF(GK250="TPPP",Lookup!$M$18,0)))))))*GJ250</f>
        <v>0</v>
      </c>
      <c r="GO250" s="535">
        <f t="shared" si="527"/>
        <v>0</v>
      </c>
      <c r="GP250" s="535">
        <f t="shared" si="623"/>
        <v>3038.3426666666674</v>
      </c>
      <c r="GQ250" s="974">
        <f t="shared" si="567"/>
        <v>990.33333333333348</v>
      </c>
      <c r="GR250" s="535"/>
      <c r="GS250" s="535">
        <f t="shared" si="528"/>
        <v>0</v>
      </c>
      <c r="GT250" s="535" t="str">
        <f t="shared" si="529"/>
        <v/>
      </c>
      <c r="GU250" s="535">
        <f>IF(GK250="P",Lookup!$N$12,IF(GK250="PP",Lookup!$N$13,IF(GK250="PPP",Lookup!$N$14,IF(GK250="T",Lookup!$N$15,IF(GK250="TP",Lookup!$N$16,IF(GK250="TPP",Lookup!$N$17,IF(GK250="TPPP",Lookup!$N$18,0)))))))*GJ250</f>
        <v>0</v>
      </c>
      <c r="GV250" s="535">
        <f t="shared" si="530"/>
        <v>0</v>
      </c>
      <c r="GW250" s="535">
        <f t="shared" si="624"/>
        <v>1204.0096127918448</v>
      </c>
      <c r="GX250" s="974">
        <f t="shared" si="568"/>
        <v>392.44120364792855</v>
      </c>
      <c r="GY250" s="535"/>
      <c r="GZ250" s="535">
        <f t="shared" si="531"/>
        <v>0</v>
      </c>
      <c r="HA250" s="535" t="str">
        <f t="shared" si="532"/>
        <v/>
      </c>
      <c r="HB250" s="535">
        <f>IF(GK250="P",Lookup!$N$12,IF(GK250="PP",Lookup!$N$13,IF(GK250="PPP",Lookup!$N$14,IF(GK250="T",Lookup!$N$15,IF(GK250="TP",Lookup!$N$16,IF(GK250="TPP",Lookup!$N$17,IF(GK250="TPPP",Lookup!$N$18,0)))))))*GJ250</f>
        <v>0</v>
      </c>
      <c r="HC250" s="521">
        <f t="shared" si="625"/>
        <v>0</v>
      </c>
      <c r="HD250" s="535">
        <f t="shared" si="626"/>
        <v>758.84121069773255</v>
      </c>
      <c r="HE250" s="535">
        <f t="shared" si="535"/>
        <v>247.3406814529767</v>
      </c>
      <c r="HF250" s="535"/>
      <c r="HG250" s="535">
        <f t="shared" si="533"/>
        <v>0</v>
      </c>
      <c r="HH250" s="535" t="str">
        <f t="shared" si="534"/>
        <v/>
      </c>
      <c r="HI250" s="535">
        <f>IF(GK250="P",Lookup!$N$12,IF(GK250="PP",Lookup!$N$13,IF(GK250="PPP",Lookup!$N$14,IF(GK250="T",Lookup!$N$15,IF(GK250="TP",Lookup!$N$16,IF(GK250="TPP",Lookup!$N$17,IF(GK250="TPPP",Lookup!$N$18,0)))))))*GJ250</f>
        <v>0</v>
      </c>
      <c r="HJ250" s="521">
        <f t="shared" si="627"/>
        <v>0</v>
      </c>
      <c r="HK250" s="535">
        <f t="shared" si="628"/>
        <v>447.43306276000112</v>
      </c>
      <c r="HL250" s="535">
        <f>(IF(AND(GB250="Y",B250=GD250),1267.5,(IF(AND(B250&lt;GF250,B250&gt;=GC250),MIN(DI249+DC250-DB250,7/36*GE250),IF(B250=GF250,7/36*GG250,IF(AND(B250&gt;GF250,B250&lt;GH250),MIN(DI249+DC250-DB250,7/36*GG250),IF(B250&gt;=GH250,0,0)))))))+DV250</f>
        <v>145.83867756192996</v>
      </c>
      <c r="HM250" s="535"/>
      <c r="HN250" s="541"/>
      <c r="HO250" s="541"/>
      <c r="HP250" s="541"/>
      <c r="HQ250" s="541">
        <f>IF(AND(B250&gt;=$FV$4,B250&lt;=$FW$4),MAX(110/1.02+$HQ$6+MIN(113/1.02,G250),IF($HV$6-(Sheet1!DA248-Sheet1!DB248)+MIN(113/1.02,G250)&lt;G250+FL250,$HV$6-(Sheet1!DA248-Sheet1!DB248)+MIN(113/1.02,G250),G250+FL250)),MIN(110/1.02+$HQ$6+113/1.02,G250))</f>
        <v>218.62745098039215</v>
      </c>
      <c r="HR250" s="541">
        <f t="shared" si="552"/>
        <v>223</v>
      </c>
      <c r="HS250" s="541">
        <f>HR250+(Sheet1!DA248-Sheet1!DB248)</f>
        <v>378</v>
      </c>
      <c r="HT250" s="541">
        <f t="shared" si="553"/>
        <v>95.341979590443685</v>
      </c>
      <c r="HU250" s="541">
        <f t="shared" si="554"/>
        <v>282.65802040955634</v>
      </c>
      <c r="HV250" s="541">
        <f t="shared" si="555"/>
        <v>0</v>
      </c>
      <c r="HW250" s="533" t="str">
        <f t="shared" si="556"/>
        <v/>
      </c>
      <c r="HX250" s="541">
        <f t="shared" si="557"/>
        <v>55.321549019607858</v>
      </c>
      <c r="HY250" s="541">
        <f>Sheet1!CZ248</f>
        <v>325</v>
      </c>
      <c r="HZ250" s="541">
        <f t="shared" si="558"/>
        <v>51.050999999999995</v>
      </c>
      <c r="IA250" s="541">
        <f t="shared" si="559"/>
        <v>95.341979590443685</v>
      </c>
      <c r="IB250" s="541">
        <f t="shared" si="560"/>
        <v>273.94900000000001</v>
      </c>
      <c r="IC250" s="1019" t="str">
        <f t="shared" si="561"/>
        <v/>
      </c>
      <c r="ID250" s="541">
        <f t="shared" si="562"/>
        <v>178.60702040955633</v>
      </c>
      <c r="IE250" s="541">
        <f>Sheet1!DB248</f>
        <v>176</v>
      </c>
      <c r="IF250" s="533">
        <f>Sheet1!DA248</f>
        <v>331</v>
      </c>
      <c r="IH250" s="541">
        <f>IF(AND($B250&gt;=$GC250,$B250&lt;=$GH250,$DR250&lt;0)+N("only adjusted when pool is drawn down during storage season"),Sheet1!$DB248+$DR250+N("Palmer minus all storage release"),Sheet1!$DB248)</f>
        <v>-37.514876450040674</v>
      </c>
      <c r="II250" s="541">
        <f>IF(AND($B250&gt;=$GC250,$B250&lt;=$GH250,$DR250&lt;0)+N("only adjusted when pool is drawn down during storage season"),Sheet1!$DA248+$DR250+N("Auburn minus all storage release"),Sheet1!$DA248)</f>
        <v>117.48512354995933</v>
      </c>
    </row>
    <row r="251" spans="1:243" x14ac:dyDescent="0.25">
      <c r="A251" s="553" t="s">
        <v>4</v>
      </c>
      <c r="B251" s="531">
        <v>42975</v>
      </c>
      <c r="C251" s="536">
        <v>0</v>
      </c>
      <c r="D251" s="506">
        <f t="shared" si="506"/>
        <v>200</v>
      </c>
      <c r="E251" s="506">
        <f t="shared" si="507"/>
        <v>400</v>
      </c>
      <c r="F251" s="506">
        <v>250</v>
      </c>
      <c r="G251" s="535">
        <f>DR251+Sheet1!CZ249</f>
        <v>106.87140695811885</v>
      </c>
      <c r="H251" s="1074">
        <f t="shared" si="563"/>
        <v>0</v>
      </c>
      <c r="I251" s="534">
        <f>IF(Sheet1!DA249&gt;=E251,(Sheet1!DA249-E251+P251)*CFStoMGD,0)</f>
        <v>0</v>
      </c>
      <c r="J251" s="995">
        <f>IF(Sheet1!DB249&gt;=D251,(Sheet1!DB249-D251+P251)*CFStoMGD,0)</f>
        <v>0</v>
      </c>
      <c r="K251" s="818">
        <f t="shared" si="538"/>
        <v>0</v>
      </c>
      <c r="L251" s="535">
        <f>Sheet1!AA249+Sheet1!AB249-Sheet1!L249+(Sheet1!DA249-F251)*CFStoMGD-S251-T251-U251</f>
        <v>111.78261519507188</v>
      </c>
      <c r="M251" s="535">
        <f t="shared" si="569"/>
        <v>70.463311006882591</v>
      </c>
      <c r="N251" s="824">
        <f>IF(Sheet1!DA249&gt;=F251,MIN(113*CFStoMGD,MIN(MAX(L251,0),MAX(M251,0))),0)</f>
        <v>70.463311006882591</v>
      </c>
      <c r="O251" s="538">
        <f>Sheet1!AA249+Sheet1!AB249</f>
        <v>94.350000000000009</v>
      </c>
      <c r="P251" s="538">
        <f t="shared" si="570"/>
        <v>145.95945</v>
      </c>
      <c r="Q251" s="812">
        <f t="shared" si="539"/>
        <v>62.009815195071873</v>
      </c>
      <c r="R251" s="812">
        <f t="shared" si="508"/>
        <v>33</v>
      </c>
      <c r="S251" s="812">
        <f t="shared" si="509"/>
        <v>0</v>
      </c>
      <c r="T251" s="812">
        <f t="shared" si="510"/>
        <v>0</v>
      </c>
      <c r="U251" s="812">
        <f>IF(AND(B251&gt;=FV251,B251&lt;=FW251),ED251+Sheet1!EH249,0)</f>
        <v>32.340184804928136</v>
      </c>
      <c r="V251" s="812"/>
      <c r="W251" s="812">
        <f t="shared" si="511"/>
        <v>0</v>
      </c>
      <c r="X251" s="812">
        <f t="shared" si="512"/>
        <v>0</v>
      </c>
      <c r="Y251" s="812" t="str">
        <f t="shared" si="513"/>
        <v>FALSE</v>
      </c>
      <c r="Z251" s="812">
        <f t="shared" si="514"/>
        <v>94.350000000000009</v>
      </c>
      <c r="AA251" s="812">
        <f t="shared" si="515"/>
        <v>94.350000000000009</v>
      </c>
      <c r="AB251" s="1059">
        <f t="shared" si="540"/>
        <v>95.929184106776177</v>
      </c>
      <c r="AC251" s="538">
        <f>Sheet1!Y249*MGDtoCFS</f>
        <v>101.05003999999998</v>
      </c>
      <c r="AD251" s="538">
        <f>Sheet1!Z249*MGDtoCFS</f>
        <v>44.692830000000001</v>
      </c>
      <c r="AE251" s="538">
        <f>Sheet1!AA249*MGDtoCFS</f>
        <v>101.08098</v>
      </c>
      <c r="AF251" s="538">
        <f>Sheet1!AB249*MGDtoCFS</f>
        <v>44.87847</v>
      </c>
      <c r="AG251" s="538">
        <f>Sheet1!L249*MGDtoCFS</f>
        <v>0</v>
      </c>
      <c r="AH251" s="521">
        <f t="shared" si="571"/>
        <v>33</v>
      </c>
      <c r="AI251" s="1059">
        <f t="shared" si="572"/>
        <v>51.050999999999995</v>
      </c>
      <c r="AJ251" s="535">
        <f t="shared" si="573"/>
        <v>0</v>
      </c>
      <c r="AK251" s="535">
        <f t="shared" si="574"/>
        <v>0</v>
      </c>
      <c r="AL251" s="535">
        <f>(VLOOKUP(Sheet1!DC249,hhdcap_wcm,4)-(((VLOOKUP(Sheet1!DC249,hhdcap_wcm,3)-Sheet1!DC249)/(VLOOKUP(Sheet1!DC249,hhdcap_wcm,3)-VLOOKUP(Sheet1!DC249,hhdcap_wcm,1)))*(VLOOKUP(Sheet1!DC249,hhdcap_wcm,4)-VLOOKUP(Sheet1!DC249,hhdcap_wcm,2))))</f>
        <v>34233.200000086137</v>
      </c>
      <c r="AM251" s="535">
        <f t="shared" si="575"/>
        <v>-426.60000000205036</v>
      </c>
      <c r="AN251" s="1035">
        <f t="shared" si="576"/>
        <v>1742.9538959961685</v>
      </c>
      <c r="AO251" s="535">
        <f t="shared" si="577"/>
        <v>5347.382552916245</v>
      </c>
      <c r="AP251" s="535">
        <f>Sheet1!BA249+Sheet1!BB249+Sheet1!BN249+CD251</f>
        <v>4.2</v>
      </c>
      <c r="AQ251" s="535">
        <f>Sheet1!BN249+(DO251*Sheet1!BN249)</f>
        <v>4.1698151950718696</v>
      </c>
      <c r="AR251" s="535">
        <f>Sheet1!BA249+CD251</f>
        <v>0</v>
      </c>
      <c r="AS251" s="535">
        <f>Sheet1!BA249+Sheet1!BB249+CD251</f>
        <v>0</v>
      </c>
      <c r="AT251" s="649">
        <f>0</f>
        <v>0</v>
      </c>
      <c r="AU251" s="974">
        <f>BA251+MAX(Sheet1!EH249,(O251-Q251-ED251-S251))</f>
        <v>7.5</v>
      </c>
      <c r="AV251" s="535">
        <f>IF(OR(B251&gt;=GD251,B251&lt;GC251),0,15/36*K251-MAX(0,64.6-(137.6-(Sheet1!AA249+Sheet1!AB249))))</f>
        <v>0</v>
      </c>
      <c r="AW251" s="1029"/>
      <c r="AX251" s="649"/>
      <c r="AY251" s="649">
        <f t="shared" si="541"/>
        <v>0</v>
      </c>
      <c r="AZ251" s="649">
        <f t="shared" si="542"/>
        <v>0</v>
      </c>
      <c r="BA251" s="1059">
        <f t="shared" si="543"/>
        <v>0</v>
      </c>
      <c r="BB251" s="1019">
        <f t="shared" si="578"/>
        <v>982.83333333333348</v>
      </c>
      <c r="BC251" s="1041">
        <f t="shared" si="544"/>
        <v>0</v>
      </c>
      <c r="BD251" s="1019">
        <f ca="1">IF(B251&gt;(Summary!$A$1-1),#N/A,BB251*MGtoAF)</f>
        <v>3015.3326666666671</v>
      </c>
      <c r="BE251" s="535">
        <f>Sheet1!BG249+Sheet1!BH249+Sheet1!BI249-BM251</f>
        <v>6.58</v>
      </c>
      <c r="BF251" s="535">
        <f t="shared" si="579"/>
        <v>6.5327104722792626</v>
      </c>
      <c r="BG251" s="535">
        <f>IF(Sheet1!EP249="FM",BM251,0)</f>
        <v>0</v>
      </c>
      <c r="BH251" s="535">
        <f t="shared" si="580"/>
        <v>0</v>
      </c>
      <c r="BI251" s="535">
        <f>IF(Sheet1!EP249="OTHER",BM251,0)</f>
        <v>0</v>
      </c>
      <c r="BJ251" s="535">
        <f t="shared" si="581"/>
        <v>0</v>
      </c>
      <c r="BK251" s="535">
        <f t="shared" si="582"/>
        <v>6.58</v>
      </c>
      <c r="BL251" s="535">
        <f t="shared" si="583"/>
        <v>6.5327104722792626</v>
      </c>
      <c r="BM251" s="535">
        <f>IF(OR(Sheet1!EP249="FM", Sheet1!EP249="OTHER"),SUM(Sheet1!BG249:'Sheet1'!BI249),0)</f>
        <v>0</v>
      </c>
      <c r="BN251" s="521">
        <f>IF(AND($B251&gt;=$FV251,$B251&lt;=$FW251),MAX(BF251,Sheet1!EI249,0),MAX(BF251-(7/36)*$K251,0))</f>
        <v>7</v>
      </c>
      <c r="BO251" s="535">
        <f t="shared" si="584"/>
        <v>0</v>
      </c>
      <c r="BP251" s="521">
        <f t="shared" si="585"/>
        <v>0</v>
      </c>
      <c r="BQ251" s="521">
        <f>IF(AND($O251&gt;0,Sheet1!EM249=1),(1-($O251-Sheet1!$L249)/$O251)*BL251,0)</f>
        <v>0</v>
      </c>
      <c r="BR251" s="521">
        <f>IF(AND(Sheet1!$L249=0,Sheet1!$L248=0, Calculation!BK251&lt;Sheet1!$EI249-0.1,Sheet1!$EI249=Sheet1!$EI248,Sheet1!$EI249=Sheet1!$EI250),BL251-BQ251,BL251-BQ251)</f>
        <v>6.5327104722792626</v>
      </c>
      <c r="BS251" s="1035" t="str">
        <f t="shared" si="545"/>
        <v/>
      </c>
      <c r="BT251" s="1035">
        <f t="shared" si="546"/>
        <v>0</v>
      </c>
      <c r="BU251" s="535">
        <f t="shared" si="586"/>
        <v>385.44120364792855</v>
      </c>
      <c r="BV251" s="535"/>
      <c r="BW251" s="535">
        <f ca="1">IF(B251&gt;(Summary!$A$1-1),#N/A,BU251*MGtoAF)</f>
        <v>1182.5336127918449</v>
      </c>
      <c r="BX251" s="535">
        <f>Sheet1!BC249+Sheet1!BD249+Sheet1!BE249+Sheet1!BF249-CG251-CH251</f>
        <v>6.49</v>
      </c>
      <c r="BY251" s="535">
        <f t="shared" si="587"/>
        <v>6.4433572895277225</v>
      </c>
      <c r="BZ251" s="535">
        <f>IF(Sheet1!EQ249="FM",CH251,0)</f>
        <v>0</v>
      </c>
      <c r="CA251" s="535">
        <f t="shared" si="588"/>
        <v>0</v>
      </c>
      <c r="CB251" s="535">
        <f>IF(Sheet1!EQ249="OTHER",CH251,0)</f>
        <v>0</v>
      </c>
      <c r="CC251" s="535">
        <f t="shared" si="589"/>
        <v>0</v>
      </c>
      <c r="CD251" s="535">
        <f t="shared" si="590"/>
        <v>0</v>
      </c>
      <c r="CE251" s="535">
        <f t="shared" si="591"/>
        <v>6.49</v>
      </c>
      <c r="CF251" s="535">
        <f t="shared" si="592"/>
        <v>6.4433572895277225</v>
      </c>
      <c r="CG251" s="535">
        <f>IF(Sheet1!EQ249="CWA",SUM(Sheet1!BC249:'Sheet1'!BF249),0)</f>
        <v>0</v>
      </c>
      <c r="CH251" s="535">
        <f>IF(OR(Sheet1!EQ249="FM", Sheet1!EQ249="OTHER"),SUM(Sheet1!BC249:'Sheet1'!BF249),0)</f>
        <v>0</v>
      </c>
      <c r="CI251" s="521">
        <f>IF(AND($B251&gt;=$FV251,$B251&lt;=$FW251),MAX(CF251,Sheet1!EJ249,0),MAX(CF251-(7/36)*$K251,0))</f>
        <v>6.5</v>
      </c>
      <c r="CJ251" s="535">
        <f t="shared" si="593"/>
        <v>0</v>
      </c>
      <c r="CK251" s="521">
        <f t="shared" si="594"/>
        <v>0</v>
      </c>
      <c r="CL251" s="521">
        <f>IF(AND($O251&gt;0,Sheet1!EN249=1),(1-($O251-Sheet1!$L249)/$O251)*CF251,0)</f>
        <v>0</v>
      </c>
      <c r="CM251" s="521">
        <f>IF(AND(Sheet1!$L249=0,Sheet1!$L248=0, Calculation!CE251&lt;Sheet1!EJ249-0.1,Sheet1!EJ249=Sheet1!EJ248,Sheet1!EJ249=Sheet1!EJ250),CF251-CL251,CF251-CL251)</f>
        <v>6.4433572895277225</v>
      </c>
      <c r="CN251" s="1040" t="str">
        <f t="shared" si="547"/>
        <v/>
      </c>
      <c r="CO251" s="1035">
        <f t="shared" si="548"/>
        <v>0</v>
      </c>
      <c r="CP251" s="535">
        <f t="shared" si="595"/>
        <v>240.8406814529767</v>
      </c>
      <c r="CQ251" s="535"/>
      <c r="CR251" s="535">
        <f ca="1">IF(B251&gt;(Summary!$A$1-1),#N/A,CP251*MGtoAF)</f>
        <v>738.89921069773254</v>
      </c>
      <c r="CS251" s="535">
        <f>Sheet1!BK249+Sheet1!BL249+Sheet1!BM249-Sheet1!ER249-DA251</f>
        <v>11.95</v>
      </c>
      <c r="CT251" s="535">
        <f t="shared" si="596"/>
        <v>11.864117043121151</v>
      </c>
      <c r="CU251" s="535">
        <f>IF(Sheet1!ER249="FM",DA251,0)</f>
        <v>0</v>
      </c>
      <c r="CV251" s="535">
        <f t="shared" si="597"/>
        <v>0</v>
      </c>
      <c r="CW251" s="535">
        <f>IF(Sheet1!ER249="OTHER",DA251,0)</f>
        <v>0</v>
      </c>
      <c r="CX251" s="535">
        <f t="shared" si="598"/>
        <v>0</v>
      </c>
      <c r="CY251" s="535">
        <f t="shared" si="599"/>
        <v>11.95</v>
      </c>
      <c r="CZ251" s="535">
        <f t="shared" si="600"/>
        <v>11.864117043121151</v>
      </c>
      <c r="DA251" s="535">
        <f>IF(OR(Sheet1!ER249="FM", Sheet1!ER249="OTHER"),SUM(Sheet1!BK249:'Sheet1'!BM249),0)</f>
        <v>0</v>
      </c>
      <c r="DB251" s="1011">
        <f>IF(AND($B251&gt;=$FV251,$B251&lt;=$FW251),MAX($CT251,Sheet1!EK249,0),MAX($CT251-(7/36)*$K251,0))</f>
        <v>12</v>
      </c>
      <c r="DC251" s="1012">
        <f t="shared" si="601"/>
        <v>0</v>
      </c>
      <c r="DD251" s="1011">
        <f t="shared" si="602"/>
        <v>0</v>
      </c>
      <c r="DE251" s="521">
        <f>IF(AND($O251&gt;0,Sheet1!EO249=1),(1-($O251-Sheet1!$L249)/$O251)*CZ251,0)</f>
        <v>0</v>
      </c>
      <c r="DF251" s="521">
        <f>IF(AND(Sheet1!$L249=0,Sheet1!$L248=0, Calculation!CY251&lt;Sheet1!$EK249-0.1,Sheet1!$EK249=Sheet1!$EK248,Sheet1!$EK249=Sheet1!$EK250),CZ251-DE251,CZ251-DE251)</f>
        <v>11.864117043121151</v>
      </c>
      <c r="DG251" s="1040">
        <f t="shared" si="549"/>
        <v>0</v>
      </c>
      <c r="DH251" s="649">
        <f t="shared" si="603"/>
        <v>25.02</v>
      </c>
      <c r="DI251" s="535">
        <f t="shared" si="604"/>
        <v>133.83867756192996</v>
      </c>
      <c r="DJ251" s="649">
        <f t="shared" si="605"/>
        <v>24.840184804928136</v>
      </c>
      <c r="DK251" s="535">
        <f ca="1">IF(B251&gt;(Summary!$A$1-1),#N/A,DI251*MGtoAF)</f>
        <v>410.61706276000109</v>
      </c>
      <c r="DL251" s="649">
        <f t="shared" si="606"/>
        <v>25.019999999999996</v>
      </c>
      <c r="DM251" s="535">
        <f t="shared" si="607"/>
        <v>29.219999999999995</v>
      </c>
      <c r="DN251" s="535">
        <f>Sheet1!AB249-DM251</f>
        <v>-0.20999999999999375</v>
      </c>
      <c r="DO251" s="743">
        <f t="shared" si="608"/>
        <v>-7.1868583162215532E-3</v>
      </c>
      <c r="DP251" s="535">
        <f>(VLOOKUP(Sheet1!DC249,hhdcap_wcm,4)-(((VLOOKUP(Sheet1!DC249,hhdcap_wcm,3)-Sheet1!DC249)/(VLOOKUP(Sheet1!DC249,hhdcap_wcm,3)-VLOOKUP(Sheet1!DC249,hhdcap_wcm,1)))*(VLOOKUP(Sheet1!DC249,hhdcap_wcm,4)-VLOOKUP(Sheet1!DC249,hhdcap_wcm,2))))</f>
        <v>34233.200000086137</v>
      </c>
      <c r="DQ251" s="535">
        <f t="shared" si="609"/>
        <v>-426.60000000205036</v>
      </c>
      <c r="DR251" s="535">
        <f t="shared" si="610"/>
        <v>-215.12859304188115</v>
      </c>
      <c r="DS251" s="535">
        <f>Sheet1!EA249*AFtoMG</f>
        <v>0</v>
      </c>
      <c r="DT251" s="535">
        <f>Sheet1!EB249*AFtoMG</f>
        <v>0</v>
      </c>
      <c r="DU251" s="535">
        <f>Sheet1!EC249*AFtoMG</f>
        <v>0</v>
      </c>
      <c r="DV251" s="535">
        <f>Sheet1!ED249*AFtoMG</f>
        <v>0</v>
      </c>
      <c r="DW251" s="535">
        <f t="shared" si="611"/>
        <v>0</v>
      </c>
      <c r="DX251" s="535">
        <f t="shared" si="612"/>
        <v>0</v>
      </c>
      <c r="DY251" s="535">
        <f t="shared" si="613"/>
        <v>1742.9538959961685</v>
      </c>
      <c r="DZ251" s="535">
        <f t="shared" si="614"/>
        <v>5347.382552916245</v>
      </c>
      <c r="EA251" s="535"/>
      <c r="EB251" s="521">
        <f>IF(OR(B251&lt;FV251,B251&gt;FW251),(MIN(BF251+BY251+CT251+MAX(Sheet1!AA249+AQ251-73,0),K251)),0)</f>
        <v>0</v>
      </c>
      <c r="EC251" s="535"/>
      <c r="ED251" s="535">
        <f t="shared" si="615"/>
        <v>24.840184804928136</v>
      </c>
      <c r="EE251" s="535"/>
      <c r="EF251" s="535">
        <f>Sheet1!EH249+Sheet1!EI249+Sheet1!EJ249+Sheet1!EK249</f>
        <v>33</v>
      </c>
      <c r="EG251" s="1019">
        <f t="shared" si="550"/>
        <v>51.050999999999995</v>
      </c>
      <c r="EH251" s="521">
        <f t="shared" si="616"/>
        <v>0</v>
      </c>
      <c r="EI251" s="535">
        <f>IF(Sheet1!ET249=1,SUM('Calculations II'!AT251:BA251)+'Calculations II'!BC251+Sheet1!BV249+'Calculations II'!BE251+AP251,'Calculations II'!BK251)</f>
        <v>73.855703195071868</v>
      </c>
      <c r="EJ251" s="535">
        <f ca="1">EI251+'Calculations II'!D251+'Calculations II'!E251+'Calculations II'!O251</f>
        <v>74.060069920590848</v>
      </c>
      <c r="EK251" s="535"/>
      <c r="EL251" s="535"/>
      <c r="EM251" s="535">
        <f t="shared" si="617"/>
        <v>42975</v>
      </c>
      <c r="EN251" s="535">
        <f t="shared" si="618"/>
        <v>-33</v>
      </c>
      <c r="EO251" s="535">
        <f t="shared" si="619"/>
        <v>-51.050999999999995</v>
      </c>
      <c r="EP251" s="535">
        <v>0</v>
      </c>
      <c r="EQ251" s="535">
        <v>0</v>
      </c>
      <c r="ER251" s="535">
        <v>0</v>
      </c>
      <c r="ES251" s="521">
        <f t="shared" si="516"/>
        <v>1.1092115216510372</v>
      </c>
      <c r="ET251" s="535">
        <f>-(VLOOKUP(Sheet1!BQ249,Lookup!$O$4:$Q$262,2)-VLOOKUP(Sheet1!BQ248,Lookup!$O$4:$Q$262,2))/1000000</f>
        <v>0.55454163976110149</v>
      </c>
      <c r="EU251" s="535">
        <f>-(VLOOKUP(Sheet1!BR249,Lookup!$O$4:$Q$262,3)-VLOOKUP(Sheet1!BR248,Lookup!$O$4:$Q$262,3))/1000000</f>
        <v>0.5546698818899356</v>
      </c>
      <c r="EV251" s="535"/>
      <c r="EW251" s="535"/>
      <c r="EX251" s="535"/>
      <c r="EY251" s="535"/>
      <c r="EZ251" s="535"/>
      <c r="FA251" s="535"/>
      <c r="FB251" s="535"/>
      <c r="FC251" s="535"/>
      <c r="FD251" s="567">
        <f t="shared" si="566"/>
        <v>1129.8155172413085</v>
      </c>
      <c r="FE251" s="567" t="e">
        <f t="shared" si="620"/>
        <v>#N/A</v>
      </c>
      <c r="FF251" s="568" t="e">
        <f t="shared" si="621"/>
        <v>#N/A</v>
      </c>
      <c r="FG251" s="569" t="s">
        <v>656</v>
      </c>
      <c r="FH251" s="569" t="s">
        <v>656</v>
      </c>
      <c r="FI251" s="567" t="e">
        <v>#N/A</v>
      </c>
      <c r="FJ251" s="725">
        <v>16370</v>
      </c>
      <c r="FK251" s="535"/>
      <c r="FL251" s="1015">
        <f t="shared" si="565"/>
        <v>84.215834594049412</v>
      </c>
      <c r="FM251" s="535"/>
      <c r="FN251" s="535"/>
      <c r="FO251" s="535">
        <f>O251+((Sheet1!CS249)*GPMtoMGD)</f>
        <v>98.621328000000005</v>
      </c>
      <c r="FP251" s="535">
        <f>IF(Sheet1!AA249+AQ251&lt;=Calculation!N251,AQ251,Calculation!N251-Sheet1!AA249)</f>
        <v>4.1698151950718696</v>
      </c>
      <c r="FQ251" s="535">
        <f>(Sheet1!BP249+Sheet1!BO249)/694.4</f>
        <v>3.7322868663594471</v>
      </c>
      <c r="FR251" s="541"/>
      <c r="FS251" s="541"/>
      <c r="FT251" s="541"/>
      <c r="FU251" s="541"/>
      <c r="FV251" s="1109">
        <f t="shared" si="517"/>
        <v>42918</v>
      </c>
      <c r="FW251" s="1109">
        <f t="shared" si="518"/>
        <v>43027</v>
      </c>
      <c r="FX251" s="541"/>
      <c r="FY251" s="541">
        <f>Sheet1!DA249-Sheet1!CZ249-Sheet1!AE249</f>
        <v>-140.95945</v>
      </c>
      <c r="FZ251" s="535">
        <f t="shared" si="551"/>
        <v>-1.3189631727711761</v>
      </c>
      <c r="GA251" s="535"/>
      <c r="GB251" s="535" t="str">
        <f t="shared" si="519"/>
        <v>n</v>
      </c>
      <c r="GC251" s="539">
        <f t="shared" si="520"/>
        <v>42782</v>
      </c>
      <c r="GD251" s="1109">
        <f t="shared" si="521"/>
        <v>42904</v>
      </c>
      <c r="GE251" s="535">
        <f t="shared" si="537"/>
        <v>6520</v>
      </c>
      <c r="GF251" s="1109">
        <f t="shared" si="522"/>
        <v>42909</v>
      </c>
      <c r="GG251" s="535">
        <f t="shared" si="564"/>
        <v>3260</v>
      </c>
      <c r="GH251" s="539">
        <f t="shared" si="523"/>
        <v>43040</v>
      </c>
      <c r="GJ251" s="521">
        <f t="shared" si="524"/>
        <v>0</v>
      </c>
      <c r="GK251" s="535" t="str">
        <f t="shared" si="622"/>
        <v/>
      </c>
      <c r="GL251" s="535">
        <f t="shared" si="525"/>
        <v>0</v>
      </c>
      <c r="GM251" s="535" t="str">
        <f t="shared" si="526"/>
        <v/>
      </c>
      <c r="GN251" s="535">
        <f>IF(GK251="P",Lookup!$M$12,IF(GK251="PP",Lookup!$M$13,IF(GK251="PPP",Lookup!$M$14,IF(GK251="T",Lookup!$M$15,IF(GK251="TP",Lookup!$M$16,IF(GK251="TPP",Lookup!$M$17,IF(GK251="TPPP",Lookup!$M$18,0)))))))*GJ251</f>
        <v>0</v>
      </c>
      <c r="GO251" s="535">
        <f t="shared" si="527"/>
        <v>0</v>
      </c>
      <c r="GP251" s="535">
        <f t="shared" si="623"/>
        <v>3015.3326666666671</v>
      </c>
      <c r="GQ251" s="974">
        <f t="shared" si="567"/>
        <v>982.83333333333348</v>
      </c>
      <c r="GR251" s="535"/>
      <c r="GS251" s="535">
        <f t="shared" si="528"/>
        <v>0</v>
      </c>
      <c r="GT251" s="535" t="str">
        <f t="shared" si="529"/>
        <v/>
      </c>
      <c r="GU251" s="535">
        <f>IF(GK251="P",Lookup!$N$12,IF(GK251="PP",Lookup!$N$13,IF(GK251="PPP",Lookup!$N$14,IF(GK251="T",Lookup!$N$15,IF(GK251="TP",Lookup!$N$16,IF(GK251="TPP",Lookup!$N$17,IF(GK251="TPPP",Lookup!$N$18,0)))))))*GJ251</f>
        <v>0</v>
      </c>
      <c r="GV251" s="535">
        <f t="shared" si="530"/>
        <v>0</v>
      </c>
      <c r="GW251" s="535">
        <f t="shared" si="624"/>
        <v>1182.5336127918449</v>
      </c>
      <c r="GX251" s="974">
        <f t="shared" si="568"/>
        <v>385.44120364792855</v>
      </c>
      <c r="GY251" s="535"/>
      <c r="GZ251" s="535">
        <f t="shared" si="531"/>
        <v>0</v>
      </c>
      <c r="HA251" s="535" t="str">
        <f t="shared" si="532"/>
        <v/>
      </c>
      <c r="HB251" s="535">
        <f>IF(GK251="P",Lookup!$N$12,IF(GK251="PP",Lookup!$N$13,IF(GK251="PPP",Lookup!$N$14,IF(GK251="T",Lookup!$N$15,IF(GK251="TP",Lookup!$N$16,IF(GK251="TPP",Lookup!$N$17,IF(GK251="TPPP",Lookup!$N$18,0)))))))*GJ251</f>
        <v>0</v>
      </c>
      <c r="HC251" s="521">
        <f t="shared" si="625"/>
        <v>0</v>
      </c>
      <c r="HD251" s="535">
        <f t="shared" si="626"/>
        <v>738.89921069773254</v>
      </c>
      <c r="HE251" s="535">
        <f t="shared" si="535"/>
        <v>240.8406814529767</v>
      </c>
      <c r="HF251" s="535"/>
      <c r="HG251" s="535">
        <f t="shared" si="533"/>
        <v>0</v>
      </c>
      <c r="HH251" s="535" t="str">
        <f t="shared" si="534"/>
        <v/>
      </c>
      <c r="HI251" s="535">
        <f>IF(GK251="P",Lookup!$N$12,IF(GK251="PP",Lookup!$N$13,IF(GK251="PPP",Lookup!$N$14,IF(GK251="T",Lookup!$N$15,IF(GK251="TP",Lookup!$N$16,IF(GK251="TPP",Lookup!$N$17,IF(GK251="TPPP",Lookup!$N$18,0)))))))*GJ251</f>
        <v>0</v>
      </c>
      <c r="HJ251" s="521">
        <f t="shared" si="627"/>
        <v>0</v>
      </c>
      <c r="HK251" s="535">
        <f t="shared" si="628"/>
        <v>410.61706276000109</v>
      </c>
      <c r="HL251" s="535">
        <f t="shared" si="536"/>
        <v>133.83867756192996</v>
      </c>
      <c r="HM251" s="535"/>
      <c r="HN251" s="541"/>
      <c r="HO251" s="541"/>
      <c r="HP251" s="541"/>
      <c r="HQ251" s="541">
        <f>IF(AND(B251&gt;=$FV$4,B251&lt;=$FW$4),MAX(110/1.02+$HQ$6+MIN(113/1.02,G251),IF($HV$6-(Sheet1!DA249-Sheet1!DB249)+MIN(113/1.02,G251)&lt;G251+FL251,$HV$6-(Sheet1!DA249-Sheet1!DB249)+MIN(113/1.02,G251),G251+FL251)),MIN(110/1.02+$HQ$6+113/1.02,G251))</f>
        <v>214.71454421302082</v>
      </c>
      <c r="HR251" s="541">
        <f t="shared" si="552"/>
        <v>219.00883509728123</v>
      </c>
      <c r="HS251" s="541">
        <f>HR251+(Sheet1!DA249-Sheet1!DB249)</f>
        <v>363.00883509728123</v>
      </c>
      <c r="HT251" s="541">
        <f t="shared" si="553"/>
        <v>95.929184106776177</v>
      </c>
      <c r="HU251" s="541">
        <f t="shared" si="554"/>
        <v>267.07965099050506</v>
      </c>
      <c r="HV251" s="541">
        <f t="shared" si="555"/>
        <v>0</v>
      </c>
      <c r="HW251" s="533" t="str">
        <f t="shared" si="556"/>
        <v/>
      </c>
      <c r="HX251" s="541">
        <f t="shared" si="557"/>
        <v>56.234455786979197</v>
      </c>
      <c r="HY251" s="541">
        <f>Sheet1!CZ249</f>
        <v>322</v>
      </c>
      <c r="HZ251" s="541">
        <f t="shared" si="558"/>
        <v>51.050999999999995</v>
      </c>
      <c r="IA251" s="541">
        <f t="shared" si="559"/>
        <v>95.929184106776177</v>
      </c>
      <c r="IB251" s="541">
        <f t="shared" si="560"/>
        <v>270.94900000000001</v>
      </c>
      <c r="IC251" s="1019" t="str">
        <f t="shared" si="561"/>
        <v/>
      </c>
      <c r="ID251" s="541">
        <f t="shared" si="562"/>
        <v>175.01981589322384</v>
      </c>
      <c r="IE251" s="541">
        <f>Sheet1!DB249</f>
        <v>183</v>
      </c>
      <c r="IF251" s="533">
        <f>Sheet1!DA249</f>
        <v>327</v>
      </c>
      <c r="IH251" s="541">
        <f>IF(AND($B251&gt;=$GC251,$B251&lt;=$GH251,$DR251&lt;0)+N("only adjusted when pool is drawn down during storage season"),Sheet1!$DB249+$DR251+N("Palmer minus all storage release"),Sheet1!$DB249)</f>
        <v>-32.128593041881146</v>
      </c>
      <c r="II251" s="541">
        <f>IF(AND($B251&gt;=$GC251,$B251&lt;=$GH251,$DR251&lt;0)+N("only adjusted when pool is drawn down during storage season"),Sheet1!$DA249+$DR251+N("Auburn minus all storage release"),Sheet1!$DA249)</f>
        <v>111.87140695811885</v>
      </c>
    </row>
    <row r="252" spans="1:243" x14ac:dyDescent="0.25">
      <c r="A252" s="553" t="s">
        <v>5</v>
      </c>
      <c r="B252" s="531">
        <v>42976</v>
      </c>
      <c r="C252" s="536">
        <v>0</v>
      </c>
      <c r="D252" s="506">
        <f t="shared" si="506"/>
        <v>200</v>
      </c>
      <c r="E252" s="506">
        <f t="shared" si="507"/>
        <v>400</v>
      </c>
      <c r="F252" s="506">
        <v>250</v>
      </c>
      <c r="G252" s="535">
        <f>DR252+Sheet1!CZ250</f>
        <v>97.693393847487584</v>
      </c>
      <c r="H252" s="1074">
        <f t="shared" si="563"/>
        <v>0</v>
      </c>
      <c r="I252" s="534">
        <f>IF(Sheet1!DA250&gt;=E252,(Sheet1!DA250-E252+P252)*CFStoMGD,0)</f>
        <v>0</v>
      </c>
      <c r="J252" s="995">
        <f>IF(Sheet1!DB250&gt;=D252,(Sheet1!DB250-D252+P252)*CFStoMGD,0)</f>
        <v>0</v>
      </c>
      <c r="K252" s="818">
        <f t="shared" si="538"/>
        <v>0</v>
      </c>
      <c r="L252" s="535">
        <f>Sheet1!AA250+Sheet1!AB250-Sheet1!L250+(Sheet1!DA250-F252)*CFStoMGD-S252-T252-U252</f>
        <v>109.22157049180328</v>
      </c>
      <c r="M252" s="535">
        <f t="shared" si="569"/>
        <v>64.411989978676303</v>
      </c>
      <c r="N252" s="824">
        <f>IF(Sheet1!DA250&gt;=F252,MIN(113*CFStoMGD,MIN(MAX(L252,0),MAX(M252,0))),0)</f>
        <v>64.411989978676303</v>
      </c>
      <c r="O252" s="538">
        <f>Sheet1!AA250+Sheet1!AB250</f>
        <v>92.12</v>
      </c>
      <c r="P252" s="538">
        <f t="shared" si="570"/>
        <v>142.50963999999999</v>
      </c>
      <c r="Q252" s="812">
        <f t="shared" si="539"/>
        <v>59.448770491803288</v>
      </c>
      <c r="R252" s="812">
        <f t="shared" si="508"/>
        <v>33</v>
      </c>
      <c r="S252" s="812">
        <f t="shared" si="509"/>
        <v>0</v>
      </c>
      <c r="T252" s="812">
        <f t="shared" si="510"/>
        <v>0</v>
      </c>
      <c r="U252" s="812">
        <f>IF(AND(B252&gt;=FV252,B252&lt;=FW252),ED252+Sheet1!EH250,0)</f>
        <v>32.671229508196717</v>
      </c>
      <c r="V252" s="812"/>
      <c r="W252" s="812">
        <f t="shared" si="511"/>
        <v>0</v>
      </c>
      <c r="X252" s="812">
        <f t="shared" si="512"/>
        <v>0</v>
      </c>
      <c r="Y252" s="812" t="str">
        <f t="shared" si="513"/>
        <v>FALSE</v>
      </c>
      <c r="Z252" s="812">
        <f t="shared" si="514"/>
        <v>92.12</v>
      </c>
      <c r="AA252" s="812">
        <f t="shared" si="515"/>
        <v>92.12</v>
      </c>
      <c r="AB252" s="1059">
        <f t="shared" si="540"/>
        <v>91.967247950819683</v>
      </c>
      <c r="AC252" s="538">
        <f>Sheet1!Y250*MGDtoCFS</f>
        <v>101.08098</v>
      </c>
      <c r="AD252" s="538">
        <f>Sheet1!Z250*MGDtoCFS</f>
        <v>44.708299999999994</v>
      </c>
      <c r="AE252" s="538">
        <f>Sheet1!AA250*MGDtoCFS</f>
        <v>101.01909999999999</v>
      </c>
      <c r="AF252" s="538">
        <f>Sheet1!AB250*MGDtoCFS</f>
        <v>41.490539999999996</v>
      </c>
      <c r="AG252" s="538">
        <f>Sheet1!L250*MGDtoCFS</f>
        <v>0</v>
      </c>
      <c r="AH252" s="521">
        <f t="shared" si="571"/>
        <v>36.438905123711933</v>
      </c>
      <c r="AI252" s="1059">
        <f t="shared" si="572"/>
        <v>56.370986226382357</v>
      </c>
      <c r="AJ252" s="535">
        <f t="shared" si="573"/>
        <v>0</v>
      </c>
      <c r="AK252" s="535">
        <f t="shared" si="574"/>
        <v>0</v>
      </c>
      <c r="AL252" s="535">
        <f>(VLOOKUP(Sheet1!DC250,hhdcap_wcm,4)-(((VLOOKUP(Sheet1!DC250,hhdcap_wcm,3)-Sheet1!DC250)/(VLOOKUP(Sheet1!DC250,hhdcap_wcm,3)-VLOOKUP(Sheet1!DC250,hhdcap_wcm,1)))*(VLOOKUP(Sheet1!DC250,hhdcap_wcm,4)-VLOOKUP(Sheet1!DC250,hhdcap_wcm,2))))</f>
        <v>33788.400000085705</v>
      </c>
      <c r="AM252" s="535">
        <f t="shared" si="575"/>
        <v>-444.80000000043219</v>
      </c>
      <c r="AN252" s="1035">
        <f t="shared" si="576"/>
        <v>1706.5149908724568</v>
      </c>
      <c r="AO252" s="535">
        <f t="shared" si="577"/>
        <v>5235.5879919966974</v>
      </c>
      <c r="AP252" s="535">
        <f>Sheet1!BA250+Sheet1!BB250+Sheet1!BN250+CD252</f>
        <v>1.65</v>
      </c>
      <c r="AQ252" s="535">
        <f>Sheet1!BN250+(DO252*Sheet1!BN250)</f>
        <v>1.6487704918032784</v>
      </c>
      <c r="AR252" s="535">
        <f>Sheet1!BA250+CD252</f>
        <v>0</v>
      </c>
      <c r="AS252" s="535">
        <f>Sheet1!BA250+Sheet1!BB250+CD252</f>
        <v>0</v>
      </c>
      <c r="AT252" s="649">
        <f>0</f>
        <v>0</v>
      </c>
      <c r="AU252" s="974">
        <f>BA252+MAX(Sheet1!EH250,(O252-Q252-ED252-S252))</f>
        <v>10.93890512371193</v>
      </c>
      <c r="AV252" s="535">
        <f>IF(OR(B252&gt;=GD252,B252&lt;GC252),0,15/36*K252-MAX(0,64.6-(137.6-(Sheet1!AA250+Sheet1!AB250))))</f>
        <v>0</v>
      </c>
      <c r="AW252" s="1029"/>
      <c r="AX252" s="649"/>
      <c r="AY252" s="649">
        <f t="shared" si="541"/>
        <v>10.5505609195482</v>
      </c>
      <c r="AZ252" s="649">
        <f t="shared" si="542"/>
        <v>5.3199862263823547</v>
      </c>
      <c r="BA252" s="1059">
        <f t="shared" si="543"/>
        <v>3.4389051237119297</v>
      </c>
      <c r="BB252" s="1019">
        <f t="shared" si="578"/>
        <v>971.89442820962154</v>
      </c>
      <c r="BC252" s="1041">
        <f t="shared" si="544"/>
        <v>0</v>
      </c>
      <c r="BD252" s="1019">
        <f ca="1">IF(B252&gt;(Summary!$A$1-1),#N/A,BB252*MGtoAF)</f>
        <v>2981.772105747119</v>
      </c>
      <c r="BE252" s="535">
        <f>Sheet1!BG250+Sheet1!BH250+Sheet1!BI250-BM252</f>
        <v>6.92</v>
      </c>
      <c r="BF252" s="535">
        <f t="shared" si="579"/>
        <v>6.914843517138598</v>
      </c>
      <c r="BG252" s="535">
        <f>IF(Sheet1!EP250="FM",BM252,0)</f>
        <v>0</v>
      </c>
      <c r="BH252" s="535">
        <f t="shared" si="580"/>
        <v>0</v>
      </c>
      <c r="BI252" s="535">
        <f>IF(Sheet1!EP250="OTHER",BM252,0)</f>
        <v>0</v>
      </c>
      <c r="BJ252" s="535">
        <f t="shared" si="581"/>
        <v>0</v>
      </c>
      <c r="BK252" s="535">
        <f t="shared" si="582"/>
        <v>6.92</v>
      </c>
      <c r="BL252" s="535">
        <f t="shared" si="583"/>
        <v>6.914843517138598</v>
      </c>
      <c r="BM252" s="535">
        <f>IF(OR(Sheet1!EP250="FM", Sheet1!EP250="OTHER"),SUM(Sheet1!BG250:'Sheet1'!BI250),0)</f>
        <v>0</v>
      </c>
      <c r="BN252" s="521">
        <f>IF(AND($B252&gt;=$FV252,$B252&lt;=$FW252),MAX(BF252,Sheet1!EI250,0),MAX(BF252-(7/36)*$K252,0))</f>
        <v>7</v>
      </c>
      <c r="BO252" s="535">
        <f t="shared" si="584"/>
        <v>0</v>
      </c>
      <c r="BP252" s="521">
        <f t="shared" si="585"/>
        <v>0</v>
      </c>
      <c r="BQ252" s="521">
        <f>IF(AND($O252&gt;0,Sheet1!EM250=1),(1-($O252-Sheet1!$L250)/$O252)*BL252,0)</f>
        <v>0</v>
      </c>
      <c r="BR252" s="521">
        <f>IF(AND(Sheet1!$L250=0,Sheet1!$L249=0, Calculation!BK252&lt;Sheet1!$EI250-0.1,Sheet1!$EI250=Sheet1!$EI249,Sheet1!$EI250=Sheet1!$EI251),BL252-BQ252,BL252-BQ252)</f>
        <v>6.914843517138598</v>
      </c>
      <c r="BS252" s="1035" t="str">
        <f t="shared" si="545"/>
        <v/>
      </c>
      <c r="BT252" s="1035">
        <f t="shared" si="546"/>
        <v>0</v>
      </c>
      <c r="BU252" s="535">
        <f t="shared" si="586"/>
        <v>378.44120364792855</v>
      </c>
      <c r="BV252" s="535"/>
      <c r="BW252" s="535">
        <f ca="1">IF(B252&gt;(Summary!$A$1-1),#N/A,BU252*MGtoAF)</f>
        <v>1161.0576127918448</v>
      </c>
      <c r="BX252" s="535">
        <f>Sheet1!BC250+Sheet1!BD250+Sheet1!BE250+Sheet1!BF250-CG252-CH252</f>
        <v>6.49</v>
      </c>
      <c r="BY252" s="535">
        <f t="shared" si="587"/>
        <v>6.4851639344262288</v>
      </c>
      <c r="BZ252" s="535">
        <f>IF(Sheet1!EQ250="FM",CH252,0)</f>
        <v>0</v>
      </c>
      <c r="CA252" s="535">
        <f t="shared" si="588"/>
        <v>0</v>
      </c>
      <c r="CB252" s="535">
        <f>IF(Sheet1!EQ250="OTHER",CH252,0)</f>
        <v>0</v>
      </c>
      <c r="CC252" s="535">
        <f t="shared" si="589"/>
        <v>0</v>
      </c>
      <c r="CD252" s="535">
        <f t="shared" si="590"/>
        <v>0</v>
      </c>
      <c r="CE252" s="535">
        <f t="shared" si="591"/>
        <v>6.49</v>
      </c>
      <c r="CF252" s="535">
        <f t="shared" si="592"/>
        <v>6.4851639344262288</v>
      </c>
      <c r="CG252" s="535">
        <f>IF(Sheet1!EQ250="CWA",SUM(Sheet1!BC250:'Sheet1'!BF250),0)</f>
        <v>0</v>
      </c>
      <c r="CH252" s="535">
        <f>IF(OR(Sheet1!EQ250="FM", Sheet1!EQ250="OTHER"),SUM(Sheet1!BC250:'Sheet1'!BF250),0)</f>
        <v>0</v>
      </c>
      <c r="CI252" s="521">
        <f>IF(AND($B252&gt;=$FV252,$B252&lt;=$FW252),MAX(CF252,Sheet1!EJ250,0),MAX(CF252-(7/36)*$K252,0))</f>
        <v>6.5</v>
      </c>
      <c r="CJ252" s="535">
        <f t="shared" si="593"/>
        <v>0</v>
      </c>
      <c r="CK252" s="521">
        <f t="shared" si="594"/>
        <v>0</v>
      </c>
      <c r="CL252" s="521">
        <f>IF(AND($O252&gt;0,Sheet1!EN250=1),(1-($O252-Sheet1!$L250)/$O252)*CF252,0)</f>
        <v>0</v>
      </c>
      <c r="CM252" s="521">
        <f>IF(AND(Sheet1!$L250=0,Sheet1!$L249=0, Calculation!CE252&lt;Sheet1!EJ250-0.1,Sheet1!EJ250=Sheet1!EJ249,Sheet1!EJ250=Sheet1!EJ251),CF252-CL252,CF252-CL252)</f>
        <v>6.4851639344262288</v>
      </c>
      <c r="CN252" s="1040" t="str">
        <f t="shared" si="547"/>
        <v/>
      </c>
      <c r="CO252" s="1035">
        <f t="shared" si="548"/>
        <v>0</v>
      </c>
      <c r="CP252" s="535">
        <f t="shared" si="595"/>
        <v>234.3406814529767</v>
      </c>
      <c r="CQ252" s="535"/>
      <c r="CR252" s="535">
        <f ca="1">IF(B252&gt;(Summary!$A$1-1),#N/A,CP252*MGtoAF)</f>
        <v>718.95721069773253</v>
      </c>
      <c r="CS252" s="535">
        <f>Sheet1!BK250+Sheet1!BL250+Sheet1!BM250-Sheet1!ER250-DA252</f>
        <v>11.780000000000001</v>
      </c>
      <c r="CT252" s="535">
        <f t="shared" si="596"/>
        <v>11.771222056631892</v>
      </c>
      <c r="CU252" s="535">
        <f>IF(Sheet1!ER250="FM",DA252,0)</f>
        <v>0</v>
      </c>
      <c r="CV252" s="535">
        <f t="shared" si="597"/>
        <v>0</v>
      </c>
      <c r="CW252" s="535">
        <f>IF(Sheet1!ER250="OTHER",DA252,0)</f>
        <v>0</v>
      </c>
      <c r="CX252" s="535">
        <f t="shared" si="598"/>
        <v>0</v>
      </c>
      <c r="CY252" s="535">
        <f t="shared" si="599"/>
        <v>11.780000000000001</v>
      </c>
      <c r="CZ252" s="535">
        <f t="shared" si="600"/>
        <v>11.771222056631892</v>
      </c>
      <c r="DA252" s="535">
        <f>IF(OR(Sheet1!ER250="FM", Sheet1!ER250="OTHER"),SUM(Sheet1!BK250:'Sheet1'!BM250),0)</f>
        <v>0</v>
      </c>
      <c r="DB252" s="1011">
        <f>IF(AND($B252&gt;=$FV252,$B252&lt;=$FW252),MAX($CT252,Sheet1!EK250,0),MAX($CT252-(7/36)*$K252,0))</f>
        <v>12</v>
      </c>
      <c r="DC252" s="1012">
        <f t="shared" si="601"/>
        <v>0</v>
      </c>
      <c r="DD252" s="1011">
        <f t="shared" si="602"/>
        <v>0</v>
      </c>
      <c r="DE252" s="521">
        <f>IF(AND($O252&gt;0,Sheet1!EO250=1),(1-($O252-Sheet1!$L250)/$O252)*CZ252,0)</f>
        <v>0</v>
      </c>
      <c r="DF252" s="521">
        <f>IF(AND(Sheet1!$L250=0,Sheet1!$L249=0, Calculation!CY252&lt;Sheet1!$EK250-0.1,Sheet1!$EK250=Sheet1!$EK249,Sheet1!$EK250=Sheet1!$EK251),CZ252-DE252,CZ252-DE252)</f>
        <v>11.771222056631892</v>
      </c>
      <c r="DG252" s="1040">
        <f t="shared" si="549"/>
        <v>0</v>
      </c>
      <c r="DH252" s="649">
        <f t="shared" si="603"/>
        <v>25.19</v>
      </c>
      <c r="DI252" s="535">
        <f t="shared" si="604"/>
        <v>121.83867756192996</v>
      </c>
      <c r="DJ252" s="649">
        <f t="shared" si="605"/>
        <v>25.171229508196717</v>
      </c>
      <c r="DK252" s="535">
        <f ca="1">IF(B252&gt;(Summary!$A$1-1),#N/A,DI252*MGtoAF)</f>
        <v>373.80106276000112</v>
      </c>
      <c r="DL252" s="649">
        <f t="shared" si="606"/>
        <v>25.190000000000005</v>
      </c>
      <c r="DM252" s="535">
        <f t="shared" si="607"/>
        <v>26.840000000000003</v>
      </c>
      <c r="DN252" s="535">
        <f>Sheet1!AB250-DM252</f>
        <v>-2.0000000000003126E-2</v>
      </c>
      <c r="DO252" s="743">
        <f t="shared" si="608"/>
        <v>-7.4515648286151723E-4</v>
      </c>
      <c r="DP252" s="535">
        <f>(VLOOKUP(Sheet1!DC250,hhdcap_wcm,4)-(((VLOOKUP(Sheet1!DC250,hhdcap_wcm,3)-Sheet1!DC250)/(VLOOKUP(Sheet1!DC250,hhdcap_wcm,3)-VLOOKUP(Sheet1!DC250,hhdcap_wcm,1)))*(VLOOKUP(Sheet1!DC250,hhdcap_wcm,4)-VLOOKUP(Sheet1!DC250,hhdcap_wcm,2))))</f>
        <v>33788.400000085705</v>
      </c>
      <c r="DQ252" s="535">
        <f t="shared" si="609"/>
        <v>-444.80000000043219</v>
      </c>
      <c r="DR252" s="535">
        <f t="shared" si="610"/>
        <v>-224.30660615251242</v>
      </c>
      <c r="DS252" s="535">
        <f>Sheet1!EA250*AFtoMG</f>
        <v>0</v>
      </c>
      <c r="DT252" s="535">
        <f>Sheet1!EB250*AFtoMG</f>
        <v>0</v>
      </c>
      <c r="DU252" s="535">
        <f>Sheet1!EC250*AFtoMG</f>
        <v>0</v>
      </c>
      <c r="DV252" s="535">
        <f>Sheet1!ED250*AFtoMG</f>
        <v>0</v>
      </c>
      <c r="DW252" s="535">
        <f t="shared" si="611"/>
        <v>0</v>
      </c>
      <c r="DX252" s="535">
        <f t="shared" si="612"/>
        <v>0</v>
      </c>
      <c r="DY252" s="535">
        <f t="shared" si="613"/>
        <v>1706.5149908724568</v>
      </c>
      <c r="DZ252" s="535">
        <f t="shared" si="614"/>
        <v>5235.5879919966974</v>
      </c>
      <c r="EA252" s="535"/>
      <c r="EB252" s="521">
        <f>IF(OR(B252&lt;FV252,B252&gt;FW252),(MIN(BF252+BY252+CT252+MAX(Sheet1!AA250+AQ252-73,0),K252)),0)</f>
        <v>0</v>
      </c>
      <c r="EC252" s="535"/>
      <c r="ED252" s="535">
        <f t="shared" si="615"/>
        <v>25.171229508196721</v>
      </c>
      <c r="EE252" s="535"/>
      <c r="EF252" s="535">
        <f>Sheet1!EH250+Sheet1!EI250+Sheet1!EJ250+Sheet1!EK250</f>
        <v>33</v>
      </c>
      <c r="EG252" s="1019">
        <f t="shared" si="550"/>
        <v>51.050999999999995</v>
      </c>
      <c r="EH252" s="521">
        <f t="shared" si="616"/>
        <v>0</v>
      </c>
      <c r="EI252" s="535">
        <f>IF(Sheet1!ET250=1,SUM('Calculations II'!AT252:BA252)+'Calculations II'!BC252+Sheet1!BV250+'Calculations II'!BE252+AP252,'Calculations II'!BK252)</f>
        <v>72.29978849180327</v>
      </c>
      <c r="EJ252" s="535">
        <f ca="1">EI252+'Calculations II'!D252+'Calculations II'!E252+'Calculations II'!O252</f>
        <v>69.762132765542162</v>
      </c>
      <c r="EK252" s="535"/>
      <c r="EL252" s="535"/>
      <c r="EM252" s="535">
        <f t="shared" si="617"/>
        <v>42976</v>
      </c>
      <c r="EN252" s="535">
        <f t="shared" si="618"/>
        <v>-36.438905123711933</v>
      </c>
      <c r="EO252" s="535">
        <f t="shared" si="619"/>
        <v>-56.370986226382357</v>
      </c>
      <c r="EP252" s="535">
        <v>0</v>
      </c>
      <c r="EQ252" s="535">
        <v>0</v>
      </c>
      <c r="ER252" s="535">
        <v>0</v>
      </c>
      <c r="ES252" s="521">
        <f t="shared" si="516"/>
        <v>1.9406264648351297</v>
      </c>
      <c r="ET252" s="535">
        <f>-(VLOOKUP(Sheet1!BQ250,Lookup!$O$4:$Q$262,2)-VLOOKUP(Sheet1!BQ249,Lookup!$O$4:$Q$262,2))/1000000</f>
        <v>0.97020103478058428</v>
      </c>
      <c r="EU252" s="535">
        <f>-(VLOOKUP(Sheet1!BR250,Lookup!$O$4:$Q$262,3)-VLOOKUP(Sheet1!BR249,Lookup!$O$4:$Q$262,3))/1000000</f>
        <v>0.9704254300545454</v>
      </c>
      <c r="EV252" s="535"/>
      <c r="EW252" s="535"/>
      <c r="EX252" s="535"/>
      <c r="EY252" s="535"/>
      <c r="EZ252" s="535"/>
      <c r="FA252" s="535"/>
      <c r="FB252" s="535"/>
      <c r="FC252" s="535"/>
      <c r="FD252" s="567">
        <f t="shared" si="566"/>
        <v>1129.5241379309639</v>
      </c>
      <c r="FE252" s="567" t="e">
        <f t="shared" si="620"/>
        <v>#N/A</v>
      </c>
      <c r="FF252" s="568" t="e">
        <f t="shared" si="621"/>
        <v>#N/A</v>
      </c>
      <c r="FG252" s="569" t="s">
        <v>656</v>
      </c>
      <c r="FH252" s="569" t="s">
        <v>656</v>
      </c>
      <c r="FI252" s="567" t="e">
        <v>#N/A</v>
      </c>
      <c r="FJ252" s="725">
        <v>16203</v>
      </c>
      <c r="FK252" s="535"/>
      <c r="FL252" s="1015">
        <f t="shared" si="565"/>
        <v>84.720121028744316</v>
      </c>
      <c r="FM252" s="535"/>
      <c r="FN252" s="535"/>
      <c r="FO252" s="535">
        <f>O252+((Sheet1!CS250)*GPMtoMGD)</f>
        <v>96.389887999999999</v>
      </c>
      <c r="FP252" s="535">
        <f>IF(Sheet1!AA250+AQ252&lt;=Calculation!N252,AQ252,Calculation!N252-Sheet1!AA250)</f>
        <v>-0.88801002132369433</v>
      </c>
      <c r="FQ252" s="535">
        <f>(Sheet1!BP250+Sheet1!BO250)/694.4</f>
        <v>3.5908698156682028</v>
      </c>
      <c r="FR252" s="541"/>
      <c r="FS252" s="541"/>
      <c r="FT252" s="541"/>
      <c r="FU252" s="541"/>
      <c r="FV252" s="1109">
        <f t="shared" si="517"/>
        <v>42918</v>
      </c>
      <c r="FW252" s="1109">
        <f t="shared" si="518"/>
        <v>43027</v>
      </c>
      <c r="FX252" s="541"/>
      <c r="FY252" s="541">
        <f>Sheet1!DA250-Sheet1!CZ250-Sheet1!AE250</f>
        <v>-137.50963999999999</v>
      </c>
      <c r="FZ252" s="535">
        <f t="shared" si="551"/>
        <v>-1.4075633426623593</v>
      </c>
      <c r="GA252" s="535"/>
      <c r="GB252" s="535" t="str">
        <f t="shared" si="519"/>
        <v>n</v>
      </c>
      <c r="GC252" s="539">
        <f t="shared" si="520"/>
        <v>42782</v>
      </c>
      <c r="GD252" s="1109">
        <f t="shared" si="521"/>
        <v>42904</v>
      </c>
      <c r="GE252" s="535">
        <f t="shared" si="537"/>
        <v>6520</v>
      </c>
      <c r="GF252" s="1109">
        <f t="shared" si="522"/>
        <v>42909</v>
      </c>
      <c r="GG252" s="535">
        <f t="shared" si="564"/>
        <v>3260</v>
      </c>
      <c r="GH252" s="539">
        <f t="shared" si="523"/>
        <v>43040</v>
      </c>
      <c r="GJ252" s="521">
        <f t="shared" si="524"/>
        <v>0</v>
      </c>
      <c r="GK252" s="535" t="str">
        <f t="shared" si="622"/>
        <v/>
      </c>
      <c r="GL252" s="535">
        <f t="shared" si="525"/>
        <v>0</v>
      </c>
      <c r="GM252" s="535" t="str">
        <f t="shared" si="526"/>
        <v/>
      </c>
      <c r="GN252" s="535">
        <f>IF(GK252="P",Lookup!$M$12,IF(GK252="PP",Lookup!$M$13,IF(GK252="PPP",Lookup!$M$14,IF(GK252="T",Lookup!$M$15,IF(GK252="TP",Lookup!$M$16,IF(GK252="TPP",Lookup!$M$17,IF(GK252="TPPP",Lookup!$M$18,0)))))))*GJ252</f>
        <v>0</v>
      </c>
      <c r="GO252" s="535">
        <f t="shared" si="527"/>
        <v>0</v>
      </c>
      <c r="GP252" s="535">
        <f t="shared" si="623"/>
        <v>2981.772105747119</v>
      </c>
      <c r="GQ252" s="974">
        <f t="shared" si="567"/>
        <v>971.89442820962154</v>
      </c>
      <c r="GR252" s="535"/>
      <c r="GS252" s="535">
        <f t="shared" si="528"/>
        <v>0</v>
      </c>
      <c r="GT252" s="535" t="str">
        <f t="shared" si="529"/>
        <v/>
      </c>
      <c r="GU252" s="535">
        <f>IF(GK252="P",Lookup!$N$12,IF(GK252="PP",Lookup!$N$13,IF(GK252="PPP",Lookup!$N$14,IF(GK252="T",Lookup!$N$15,IF(GK252="TP",Lookup!$N$16,IF(GK252="TPP",Lookup!$N$17,IF(GK252="TPPP",Lookup!$N$18,0)))))))*GJ252</f>
        <v>0</v>
      </c>
      <c r="GV252" s="535">
        <f t="shared" si="530"/>
        <v>0</v>
      </c>
      <c r="GW252" s="535">
        <f t="shared" si="624"/>
        <v>1161.0576127918448</v>
      </c>
      <c r="GX252" s="974">
        <f t="shared" si="568"/>
        <v>378.44120364792855</v>
      </c>
      <c r="GY252" s="535"/>
      <c r="GZ252" s="535">
        <f t="shared" si="531"/>
        <v>0</v>
      </c>
      <c r="HA252" s="535" t="str">
        <f t="shared" si="532"/>
        <v/>
      </c>
      <c r="HB252" s="535">
        <f>IF(GK252="P",Lookup!$N$12,IF(GK252="PP",Lookup!$N$13,IF(GK252="PPP",Lookup!$N$14,IF(GK252="T",Lookup!$N$15,IF(GK252="TP",Lookup!$N$16,IF(GK252="TPP",Lookup!$N$17,IF(GK252="TPPP",Lookup!$N$18,0)))))))*GJ252</f>
        <v>0</v>
      </c>
      <c r="HC252" s="521">
        <f t="shared" si="625"/>
        <v>0</v>
      </c>
      <c r="HD252" s="535">
        <f t="shared" si="626"/>
        <v>718.95721069773253</v>
      </c>
      <c r="HE252" s="535">
        <f t="shared" si="535"/>
        <v>234.3406814529767</v>
      </c>
      <c r="HF252" s="535"/>
      <c r="HG252" s="535">
        <f t="shared" si="533"/>
        <v>0</v>
      </c>
      <c r="HH252" s="535" t="str">
        <f t="shared" si="534"/>
        <v/>
      </c>
      <c r="HI252" s="535">
        <f>IF(GK252="P",Lookup!$N$12,IF(GK252="PP",Lookup!$N$13,IF(GK252="PPP",Lookup!$N$14,IF(GK252="T",Lookup!$N$15,IF(GK252="TP",Lookup!$N$16,IF(GK252="TPP",Lookup!$N$17,IF(GK252="TPPP",Lookup!$N$18,0)))))))*GJ252</f>
        <v>0</v>
      </c>
      <c r="HJ252" s="521">
        <f t="shared" si="627"/>
        <v>0</v>
      </c>
      <c r="HK252" s="535">
        <f t="shared" si="628"/>
        <v>373.80106276000112</v>
      </c>
      <c r="HL252" s="535">
        <f t="shared" si="536"/>
        <v>121.83867756192996</v>
      </c>
      <c r="HM252" s="535"/>
      <c r="HN252" s="541"/>
      <c r="HO252" s="541"/>
      <c r="HP252" s="541"/>
      <c r="HQ252" s="541">
        <f>IF(AND(B252&gt;=$FV$4,B252&lt;=$FW$4),MAX(110/1.02+$HQ$6+MIN(113/1.02,G252),IF($HV$6-(Sheet1!DA250-Sheet1!DB250)+MIN(113/1.02,G252)&lt;G252+FL252,$HV$6-(Sheet1!DA250-Sheet1!DB250)+MIN(113/1.02,G252),G252+FL252)),MIN(110/1.02+$HQ$6+113/1.02,G252))</f>
        <v>205.53653110238955</v>
      </c>
      <c r="HR252" s="541">
        <f t="shared" si="552"/>
        <v>209.64726172443733</v>
      </c>
      <c r="HS252" s="541">
        <f>HR252+(Sheet1!DA250-Sheet1!DB250)</f>
        <v>351.64726172443733</v>
      </c>
      <c r="HT252" s="541">
        <f t="shared" si="553"/>
        <v>91.967247950819683</v>
      </c>
      <c r="HU252" s="541">
        <f t="shared" si="554"/>
        <v>259.68001377361765</v>
      </c>
      <c r="HV252" s="541">
        <f t="shared" si="555"/>
        <v>5.3199862263823547</v>
      </c>
      <c r="HW252" s="533" t="str">
        <f t="shared" si="556"/>
        <v/>
      </c>
      <c r="HX252" s="541">
        <f t="shared" si="557"/>
        <v>60.092482671228112</v>
      </c>
      <c r="HY252" s="541">
        <f>Sheet1!CZ250</f>
        <v>322</v>
      </c>
      <c r="HZ252" s="541">
        <f t="shared" si="558"/>
        <v>56.370986226382357</v>
      </c>
      <c r="IA252" s="541">
        <f t="shared" si="559"/>
        <v>91.967247950819683</v>
      </c>
      <c r="IB252" s="541">
        <f t="shared" si="560"/>
        <v>265.62901377361766</v>
      </c>
      <c r="IC252" s="1019" t="str">
        <f t="shared" si="561"/>
        <v/>
      </c>
      <c r="ID252" s="541">
        <f t="shared" si="562"/>
        <v>173.66176582279797</v>
      </c>
      <c r="IE252" s="541">
        <f>Sheet1!DB250</f>
        <v>185</v>
      </c>
      <c r="IF252" s="533">
        <f>Sheet1!DA250</f>
        <v>327</v>
      </c>
      <c r="IH252" s="541">
        <f>IF(AND($B252&gt;=$GC252,$B252&lt;=$GH252,$DR252&lt;0)+N("only adjusted when pool is drawn down during storage season"),Sheet1!$DB250+$DR252+N("Palmer minus all storage release"),Sheet1!$DB250)</f>
        <v>-39.306606152512416</v>
      </c>
      <c r="II252" s="541">
        <f>IF(AND($B252&gt;=$GC252,$B252&lt;=$GH252,$DR252&lt;0)+N("only adjusted when pool is drawn down during storage season"),Sheet1!$DA250+$DR252+N("Auburn minus all storage release"),Sheet1!$DA250)</f>
        <v>102.69339384748758</v>
      </c>
    </row>
    <row r="253" spans="1:243" x14ac:dyDescent="0.25">
      <c r="A253" s="553" t="s">
        <v>6</v>
      </c>
      <c r="B253" s="531">
        <v>42977</v>
      </c>
      <c r="C253" s="536">
        <v>0</v>
      </c>
      <c r="D253" s="506">
        <f t="shared" si="506"/>
        <v>200</v>
      </c>
      <c r="E253" s="506">
        <f t="shared" si="507"/>
        <v>400</v>
      </c>
      <c r="F253" s="506">
        <v>250</v>
      </c>
      <c r="G253" s="535">
        <f>DR253+Sheet1!CZ251</f>
        <v>99.760968229280991</v>
      </c>
      <c r="H253" s="1074">
        <f t="shared" si="563"/>
        <v>0</v>
      </c>
      <c r="I253" s="534">
        <f>IF(Sheet1!DA251&gt;=E253,(Sheet1!DA251-E253+P253)*CFStoMGD,0)</f>
        <v>0</v>
      </c>
      <c r="J253" s="995">
        <f>IF(Sheet1!DB251&gt;=D253,(Sheet1!DB251-D253+P253)*CFStoMGD,0)</f>
        <v>0</v>
      </c>
      <c r="K253" s="818">
        <f t="shared" si="538"/>
        <v>0</v>
      </c>
      <c r="L253" s="535">
        <f>Sheet1!AA251+Sheet1!AB251-Sheet1!L251+(Sheet1!DA251-F253)*CFStoMGD-S253-T253-U253</f>
        <v>110.02493702318624</v>
      </c>
      <c r="M253" s="535">
        <f t="shared" si="569"/>
        <v>65.775199660675383</v>
      </c>
      <c r="N253" s="824">
        <f>IF(Sheet1!DA251&gt;=F253,MIN(113*CFStoMGD,MIN(MAX(L253,0),MAX(M253,0))),0)</f>
        <v>65.775199660675383</v>
      </c>
      <c r="O253" s="538">
        <f>Sheet1!AA251+Sheet1!AB251</f>
        <v>90.18</v>
      </c>
      <c r="P253" s="538">
        <f t="shared" si="570"/>
        <v>139.50845999999999</v>
      </c>
      <c r="Q253" s="812">
        <f t="shared" si="539"/>
        <v>57.666537023186251</v>
      </c>
      <c r="R253" s="812">
        <f t="shared" si="508"/>
        <v>33</v>
      </c>
      <c r="S253" s="812">
        <f t="shared" si="509"/>
        <v>0</v>
      </c>
      <c r="T253" s="812">
        <f t="shared" si="510"/>
        <v>0</v>
      </c>
      <c r="U253" s="812">
        <f>IF(AND(B253&gt;=FV253,B253&lt;=FW253),ED253+Sheet1!EH251,0)</f>
        <v>32.513462976813756</v>
      </c>
      <c r="V253" s="812"/>
      <c r="W253" s="812">
        <f t="shared" si="511"/>
        <v>0</v>
      </c>
      <c r="X253" s="812">
        <f t="shared" si="512"/>
        <v>0</v>
      </c>
      <c r="Y253" s="812" t="str">
        <f t="shared" si="513"/>
        <v>FALSE</v>
      </c>
      <c r="Z253" s="812">
        <f t="shared" si="514"/>
        <v>90.18</v>
      </c>
      <c r="AA253" s="812">
        <f t="shared" si="515"/>
        <v>90.18</v>
      </c>
      <c r="AB253" s="1059">
        <f t="shared" si="540"/>
        <v>89.210132774869123</v>
      </c>
      <c r="AC253" s="538">
        <f>Sheet1!Y251*MGDtoCFS</f>
        <v>101.01909999999999</v>
      </c>
      <c r="AD253" s="538">
        <f>Sheet1!Z251*MGDtoCFS</f>
        <v>41.304899999999996</v>
      </c>
      <c r="AE253" s="538">
        <f>Sheet1!AA251*MGDtoCFS</f>
        <v>98.512959999999993</v>
      </c>
      <c r="AF253" s="538">
        <f>Sheet1!AB251*MGDtoCFS</f>
        <v>40.9955</v>
      </c>
      <c r="AG253" s="538">
        <f>Sheet1!L251*MGDtoCFS</f>
        <v>0</v>
      </c>
      <c r="AH253" s="521">
        <f t="shared" si="571"/>
        <v>33.939848210085643</v>
      </c>
      <c r="AI253" s="1059">
        <f t="shared" si="572"/>
        <v>52.504945181002483</v>
      </c>
      <c r="AJ253" s="535">
        <f t="shared" si="573"/>
        <v>0</v>
      </c>
      <c r="AK253" s="535">
        <f t="shared" si="574"/>
        <v>0</v>
      </c>
      <c r="AL253" s="535">
        <f>(VLOOKUP(Sheet1!DC251,hhdcap_wcm,4)-(((VLOOKUP(Sheet1!DC251,hhdcap_wcm,3)-Sheet1!DC251)/(VLOOKUP(Sheet1!DC251,hhdcap_wcm,3)-VLOOKUP(Sheet1!DC251,hhdcap_wcm,1)))*(VLOOKUP(Sheet1!DC251,hhdcap_wcm,4)-VLOOKUP(Sheet1!DC251,hhdcap_wcm,2))))</f>
        <v>33347.700000084369</v>
      </c>
      <c r="AM253" s="535">
        <f t="shared" si="575"/>
        <v>-440.70000000133587</v>
      </c>
      <c r="AN253" s="1035">
        <f t="shared" si="576"/>
        <v>1672.575142662371</v>
      </c>
      <c r="AO253" s="535">
        <f t="shared" si="577"/>
        <v>5131.4605376881545</v>
      </c>
      <c r="AP253" s="535">
        <f>Sheet1!BA251+Sheet1!BB251+Sheet1!BN251+CD253</f>
        <v>1.5</v>
      </c>
      <c r="AQ253" s="535">
        <f>Sheet1!BN251+(DO253*Sheet1!BN251)</f>
        <v>1.4865370231862378</v>
      </c>
      <c r="AR253" s="535">
        <f>Sheet1!BA251+CD253</f>
        <v>0</v>
      </c>
      <c r="AS253" s="535">
        <f>Sheet1!BA251+Sheet1!BB251+CD253</f>
        <v>0</v>
      </c>
      <c r="AT253" s="649">
        <f>0</f>
        <v>0</v>
      </c>
      <c r="AU253" s="974">
        <f>BA253+MAX(Sheet1!EH251,(O253-Q253-ED253-S253))</f>
        <v>8.4398482100856462</v>
      </c>
      <c r="AV253" s="535">
        <f>IF(OR(B253&gt;=GD253,B253&lt;GC253),0,15/36*K253-MAX(0,64.6-(137.6-(Sheet1!AA251+Sheet1!AB251))))</f>
        <v>0</v>
      </c>
      <c r="AW253" s="1029"/>
      <c r="AX253" s="649"/>
      <c r="AY253" s="649">
        <f t="shared" si="541"/>
        <v>13.434015228090965</v>
      </c>
      <c r="AZ253" s="649">
        <f t="shared" si="542"/>
        <v>1.4539451810024957</v>
      </c>
      <c r="BA253" s="1059">
        <f t="shared" si="543"/>
        <v>0.9398482100856469</v>
      </c>
      <c r="BB253" s="1019">
        <f t="shared" si="578"/>
        <v>800.45457999953589</v>
      </c>
      <c r="BC253" s="1041">
        <f t="shared" si="544"/>
        <v>0</v>
      </c>
      <c r="BD253" s="1019">
        <f ca="1">IF(B253&gt;(Summary!$A$1-1),#N/A,BB253*MGtoAF)</f>
        <v>2455.7946514385762</v>
      </c>
      <c r="BE253" s="535">
        <f>Sheet1!BG251+Sheet1!BH251+Sheet1!BI251-BM253</f>
        <v>6.93</v>
      </c>
      <c r="BF253" s="535">
        <f t="shared" si="579"/>
        <v>6.8678010471204178</v>
      </c>
      <c r="BG253" s="535">
        <f>IF(Sheet1!EP251="FM",BM253,0)</f>
        <v>0</v>
      </c>
      <c r="BH253" s="535">
        <f t="shared" si="580"/>
        <v>0</v>
      </c>
      <c r="BI253" s="535">
        <f>IF(Sheet1!EP251="OTHER",BM253,0)</f>
        <v>0</v>
      </c>
      <c r="BJ253" s="535">
        <f t="shared" si="581"/>
        <v>0</v>
      </c>
      <c r="BK253" s="535">
        <f t="shared" si="582"/>
        <v>6.93</v>
      </c>
      <c r="BL253" s="535">
        <f t="shared" si="583"/>
        <v>6.8678010471204178</v>
      </c>
      <c r="BM253" s="535">
        <f>IF(OR(Sheet1!EP251="FM", Sheet1!EP251="OTHER"),SUM(Sheet1!BG251:'Sheet1'!BI251),0)</f>
        <v>0</v>
      </c>
      <c r="BN253" s="521">
        <f>IF(AND($B253&gt;=$FV253,$B253&lt;=$FW253),MAX(BF253,Sheet1!EI251,0),MAX(BF253-(7/36)*$K253,0))</f>
        <v>7</v>
      </c>
      <c r="BO253" s="535">
        <f t="shared" si="584"/>
        <v>0</v>
      </c>
      <c r="BP253" s="521">
        <f t="shared" si="585"/>
        <v>0</v>
      </c>
      <c r="BQ253" s="521">
        <f>IF(AND($O253&gt;0,Sheet1!EM251=1),(1-($O253-Sheet1!$L251)/$O253)*BL253,0)</f>
        <v>0</v>
      </c>
      <c r="BR253" s="521">
        <f>IF(AND(Sheet1!$L251=0,Sheet1!$L250=0, Calculation!BK253&lt;Sheet1!$EI251-0.1,Sheet1!$EI251=Sheet1!$EI250,Sheet1!$EI251=Sheet1!$EI252),BL253-BQ253,BL253-BQ253)</f>
        <v>6.8678010471204178</v>
      </c>
      <c r="BS253" s="1035" t="str">
        <f t="shared" si="545"/>
        <v/>
      </c>
      <c r="BT253" s="1035">
        <f t="shared" si="546"/>
        <v>0</v>
      </c>
      <c r="BU253" s="535">
        <f t="shared" si="586"/>
        <v>371.44120364792855</v>
      </c>
      <c r="BV253" s="535"/>
      <c r="BW253" s="535">
        <f ca="1">IF(B253&gt;(Summary!$A$1-1),#N/A,BU253*MGtoAF)</f>
        <v>1139.5816127918447</v>
      </c>
      <c r="BX253" s="535">
        <f>Sheet1!BC251+Sheet1!BD251+Sheet1!BE251+Sheet1!BF251-CG253-CH253</f>
        <v>6.49</v>
      </c>
      <c r="BY253" s="535">
        <f t="shared" si="587"/>
        <v>6.4317501869857887</v>
      </c>
      <c r="BZ253" s="535">
        <f>IF(Sheet1!EQ251="FM",CH253,0)</f>
        <v>0</v>
      </c>
      <c r="CA253" s="535">
        <f t="shared" si="588"/>
        <v>0</v>
      </c>
      <c r="CB253" s="535">
        <f>IF(Sheet1!EQ251="OTHER",CH253,0)</f>
        <v>0</v>
      </c>
      <c r="CC253" s="535">
        <f t="shared" si="589"/>
        <v>0</v>
      </c>
      <c r="CD253" s="535">
        <f t="shared" si="590"/>
        <v>0</v>
      </c>
      <c r="CE253" s="535">
        <f t="shared" si="591"/>
        <v>6.49</v>
      </c>
      <c r="CF253" s="535">
        <f t="shared" si="592"/>
        <v>6.4317501869857887</v>
      </c>
      <c r="CG253" s="535">
        <f>IF(Sheet1!EQ251="CWA",SUM(Sheet1!BC251:'Sheet1'!BF251),0)</f>
        <v>0</v>
      </c>
      <c r="CH253" s="535">
        <f>IF(OR(Sheet1!EQ251="FM", Sheet1!EQ251="OTHER"),SUM(Sheet1!BC251:'Sheet1'!BF251),0)</f>
        <v>0</v>
      </c>
      <c r="CI253" s="521">
        <f>IF(AND($B253&gt;=$FV253,$B253&lt;=$FW253),MAX(CF253,Sheet1!EJ251,0),MAX(CF253-(7/36)*$K253,0))</f>
        <v>6.5</v>
      </c>
      <c r="CJ253" s="535">
        <f t="shared" si="593"/>
        <v>0</v>
      </c>
      <c r="CK253" s="521">
        <f t="shared" si="594"/>
        <v>0</v>
      </c>
      <c r="CL253" s="521">
        <f>IF(AND($O253&gt;0,Sheet1!EN251=1),(1-($O253-Sheet1!$L251)/$O253)*CF253,0)</f>
        <v>0</v>
      </c>
      <c r="CM253" s="521">
        <f>IF(AND(Sheet1!$L251=0,Sheet1!$L250=0, Calculation!CE253&lt;Sheet1!EJ251-0.1,Sheet1!EJ251=Sheet1!EJ250,Sheet1!EJ251=Sheet1!EJ252),CF253-CL253,CF253-CL253)</f>
        <v>6.4317501869857887</v>
      </c>
      <c r="CN253" s="1040" t="str">
        <f t="shared" si="547"/>
        <v/>
      </c>
      <c r="CO253" s="1035">
        <f t="shared" si="548"/>
        <v>0</v>
      </c>
      <c r="CP253" s="535">
        <f t="shared" si="595"/>
        <v>227.8406814529767</v>
      </c>
      <c r="CQ253" s="535"/>
      <c r="CR253" s="535">
        <f ca="1">IF(B253&gt;(Summary!$A$1-1),#N/A,CP253*MGtoAF)</f>
        <v>699.01521069773253</v>
      </c>
      <c r="CS253" s="535">
        <f>Sheet1!BK251+Sheet1!BL251+Sheet1!BM251-Sheet1!ER251-DA253</f>
        <v>11.82</v>
      </c>
      <c r="CT253" s="535">
        <f t="shared" si="596"/>
        <v>11.713911742707554</v>
      </c>
      <c r="CU253" s="535">
        <f>IF(Sheet1!ER251="FM",DA253,0)</f>
        <v>0</v>
      </c>
      <c r="CV253" s="535">
        <f t="shared" si="597"/>
        <v>0</v>
      </c>
      <c r="CW253" s="535">
        <f>IF(Sheet1!ER251="OTHER",DA253,0)</f>
        <v>0</v>
      </c>
      <c r="CX253" s="535">
        <f t="shared" si="598"/>
        <v>0</v>
      </c>
      <c r="CY253" s="535">
        <f t="shared" si="599"/>
        <v>11.82</v>
      </c>
      <c r="CZ253" s="535">
        <f t="shared" si="600"/>
        <v>11.713911742707554</v>
      </c>
      <c r="DA253" s="535">
        <f>IF(OR(Sheet1!ER251="FM", Sheet1!ER251="OTHER"),SUM(Sheet1!BK251:'Sheet1'!BM251),0)</f>
        <v>0</v>
      </c>
      <c r="DB253" s="1011">
        <f>IF(AND($B253&gt;=$FV253,$B253&lt;=$FW253),MAX($CT253,Sheet1!EK251,0),MAX($CT253-(7/36)*$K253,0))</f>
        <v>12</v>
      </c>
      <c r="DC253" s="1012">
        <f t="shared" si="601"/>
        <v>0</v>
      </c>
      <c r="DD253" s="1011">
        <f t="shared" si="602"/>
        <v>0</v>
      </c>
      <c r="DE253" s="521">
        <f>IF(AND($O253&gt;0,Sheet1!EO251=1),(1-($O253-Sheet1!$L251)/$O253)*CZ253,0)</f>
        <v>0</v>
      </c>
      <c r="DF253" s="521">
        <f>IF(AND(Sheet1!$L251=0,Sheet1!$L250=0, Calculation!CY253&lt;Sheet1!$EK251-0.1,Sheet1!$EK251=Sheet1!$EK250,Sheet1!$EK251=Sheet1!$EK252),CZ253-DE253,CZ253-DE253)</f>
        <v>11.713911742707554</v>
      </c>
      <c r="DG253" s="1040">
        <f t="shared" si="549"/>
        <v>0</v>
      </c>
      <c r="DH253" s="649">
        <f t="shared" si="603"/>
        <v>25.240000000000002</v>
      </c>
      <c r="DI253" s="535">
        <f t="shared" si="604"/>
        <v>272.83867756192996</v>
      </c>
      <c r="DJ253" s="649">
        <f t="shared" si="605"/>
        <v>25.013462976813763</v>
      </c>
      <c r="DK253" s="535">
        <f ca="1">IF(B253&gt;(Summary!$A$1-1),#N/A,DI253*MGtoAF)</f>
        <v>837.06906276000109</v>
      </c>
      <c r="DL253" s="649">
        <f t="shared" si="606"/>
        <v>25.240000000000002</v>
      </c>
      <c r="DM253" s="535">
        <f t="shared" si="607"/>
        <v>26.740000000000002</v>
      </c>
      <c r="DN253" s="535">
        <f>Sheet1!AB251-DM253</f>
        <v>-0.24000000000000199</v>
      </c>
      <c r="DO253" s="743">
        <f t="shared" si="608"/>
        <v>-8.9753178758415104E-3</v>
      </c>
      <c r="DP253" s="535">
        <f>(VLOOKUP(Sheet1!DC251,hhdcap_wcm,4)-(((VLOOKUP(Sheet1!DC251,hhdcap_wcm,3)-Sheet1!DC251)/(VLOOKUP(Sheet1!DC251,hhdcap_wcm,3)-VLOOKUP(Sheet1!DC251,hhdcap_wcm,1)))*(VLOOKUP(Sheet1!DC251,hhdcap_wcm,4)-VLOOKUP(Sheet1!DC251,hhdcap_wcm,2))))</f>
        <v>33347.700000084369</v>
      </c>
      <c r="DQ253" s="535">
        <f t="shared" si="609"/>
        <v>-440.70000000133587</v>
      </c>
      <c r="DR253" s="535">
        <f t="shared" si="610"/>
        <v>-222.23903177071901</v>
      </c>
      <c r="DS253" s="535">
        <f>Sheet1!EA251*AFtoMG</f>
        <v>-163</v>
      </c>
      <c r="DT253" s="535">
        <f>Sheet1!EB251*AFtoMG</f>
        <v>0</v>
      </c>
      <c r="DU253" s="535">
        <f>Sheet1!EC251*AFtoMG</f>
        <v>0</v>
      </c>
      <c r="DV253" s="535">
        <f>Sheet1!ED251*AFtoMG</f>
        <v>163</v>
      </c>
      <c r="DW253" s="535">
        <f t="shared" si="611"/>
        <v>0</v>
      </c>
      <c r="DX253" s="535">
        <f t="shared" si="612"/>
        <v>0</v>
      </c>
      <c r="DY253" s="535">
        <f t="shared" si="613"/>
        <v>1672.575142662371</v>
      </c>
      <c r="DZ253" s="535">
        <f t="shared" si="614"/>
        <v>5131.4605376881545</v>
      </c>
      <c r="EA253" s="535"/>
      <c r="EB253" s="521">
        <f>IF(OR(B253&lt;FV253,B253&gt;FW253),(MIN(BF253+BY253+CT253+MAX(Sheet1!AA251+AQ253-73,0),K253)),0)</f>
        <v>0</v>
      </c>
      <c r="EC253" s="535"/>
      <c r="ED253" s="535">
        <f t="shared" si="615"/>
        <v>25.013462976813759</v>
      </c>
      <c r="EE253" s="535"/>
      <c r="EF253" s="535">
        <f>Sheet1!EH251+Sheet1!EI251+Sheet1!EJ251+Sheet1!EK251</f>
        <v>33</v>
      </c>
      <c r="EG253" s="1019">
        <f t="shared" si="550"/>
        <v>51.050999999999995</v>
      </c>
      <c r="EH253" s="521">
        <f t="shared" si="616"/>
        <v>0</v>
      </c>
      <c r="EI253" s="535">
        <f>IF(Sheet1!ET251=1,SUM('Calculations II'!AT253:BA253)+'Calculations II'!BC253+Sheet1!BV251+'Calculations II'!BE253+AP253,'Calculations II'!BK253)</f>
        <v>72.202115023186252</v>
      </c>
      <c r="EJ253" s="535">
        <f ca="1">EI253+'Calculations II'!D253+'Calculations II'!E253+'Calculations II'!O253</f>
        <v>67.866036858868469</v>
      </c>
      <c r="EK253" s="535"/>
      <c r="EL253" s="535"/>
      <c r="EM253" s="535">
        <f t="shared" si="617"/>
        <v>42977</v>
      </c>
      <c r="EN253" s="535">
        <f t="shared" si="618"/>
        <v>-33.939848210085643</v>
      </c>
      <c r="EO253" s="535">
        <f t="shared" si="619"/>
        <v>-52.504945181002483</v>
      </c>
      <c r="EP253" s="535">
        <v>0</v>
      </c>
      <c r="EQ253" s="535">
        <v>0</v>
      </c>
      <c r="ER253" s="535">
        <v>0</v>
      </c>
      <c r="ES253" s="521">
        <f t="shared" si="516"/>
        <v>3.3253266246125177</v>
      </c>
      <c r="ET253" s="535">
        <f>-(VLOOKUP(Sheet1!BQ251,Lookup!$O$4:$Q$262,2)-VLOOKUP(Sheet1!BQ250,Lookup!$O$4:$Q$262,2))/1000000</f>
        <v>1.6624710156230107</v>
      </c>
      <c r="EU253" s="535">
        <f>-(VLOOKUP(Sheet1!BR251,Lookup!$O$4:$Q$262,3)-VLOOKUP(Sheet1!BR250,Lookup!$O$4:$Q$262,3))/1000000</f>
        <v>1.662855608989507</v>
      </c>
      <c r="EV253" s="535"/>
      <c r="EW253" s="535"/>
      <c r="EX253" s="535"/>
      <c r="EY253" s="535"/>
      <c r="EZ253" s="535"/>
      <c r="FA253" s="535"/>
      <c r="FB253" s="535"/>
      <c r="FC253" s="535"/>
      <c r="FD253" s="567">
        <f t="shared" si="566"/>
        <v>1129.2327586206195</v>
      </c>
      <c r="FE253" s="567" t="e">
        <f t="shared" si="620"/>
        <v>#N/A</v>
      </c>
      <c r="FF253" s="568" t="e">
        <f t="shared" si="621"/>
        <v>#N/A</v>
      </c>
      <c r="FG253" s="569" t="s">
        <v>656</v>
      </c>
      <c r="FH253" s="569" t="s">
        <v>656</v>
      </c>
      <c r="FI253" s="567" t="e">
        <v>#N/A</v>
      </c>
      <c r="FJ253" s="725">
        <v>16035</v>
      </c>
      <c r="FK253" s="535"/>
      <c r="FL253" s="1015">
        <f t="shared" si="565"/>
        <v>84.720121028744316</v>
      </c>
      <c r="FM253" s="535"/>
      <c r="FN253" s="535"/>
      <c r="FO253" s="535">
        <f>O253+((Sheet1!CS251)*GPMtoMGD)</f>
        <v>94.44974400000001</v>
      </c>
      <c r="FP253" s="535">
        <f>IF(Sheet1!AA251+AQ253&lt;=Calculation!N253,AQ253,Calculation!N253-Sheet1!AA251)</f>
        <v>1.4865370231862378</v>
      </c>
      <c r="FQ253" s="535">
        <f>(Sheet1!BP251+Sheet1!BO251)/694.4</f>
        <v>3.5822292626728114</v>
      </c>
      <c r="FR253" s="541"/>
      <c r="FS253" s="541"/>
      <c r="FT253" s="541"/>
      <c r="FU253" s="541"/>
      <c r="FV253" s="1109">
        <f t="shared" si="517"/>
        <v>42918</v>
      </c>
      <c r="FW253" s="1109">
        <f t="shared" si="518"/>
        <v>43027</v>
      </c>
      <c r="FX253" s="541"/>
      <c r="FY253" s="541">
        <f>Sheet1!DA251-Sheet1!CZ251-Sheet1!AE251</f>
        <v>-130.50846000000001</v>
      </c>
      <c r="FZ253" s="535">
        <f t="shared" si="551"/>
        <v>-1.3082116414513134</v>
      </c>
      <c r="GA253" s="535"/>
      <c r="GB253" s="535" t="str">
        <f t="shared" si="519"/>
        <v>n</v>
      </c>
      <c r="GC253" s="539">
        <f t="shared" si="520"/>
        <v>42782</v>
      </c>
      <c r="GD253" s="1109">
        <f t="shared" si="521"/>
        <v>42904</v>
      </c>
      <c r="GE253" s="535">
        <f t="shared" si="537"/>
        <v>6520</v>
      </c>
      <c r="GF253" s="1109">
        <f t="shared" si="522"/>
        <v>42909</v>
      </c>
      <c r="GG253" s="535">
        <f t="shared" si="564"/>
        <v>3260</v>
      </c>
      <c r="GH253" s="539">
        <f t="shared" si="523"/>
        <v>43040</v>
      </c>
      <c r="GJ253" s="521">
        <f t="shared" si="524"/>
        <v>0</v>
      </c>
      <c r="GK253" s="535" t="str">
        <f t="shared" si="622"/>
        <v/>
      </c>
      <c r="GL253" s="535">
        <f t="shared" si="525"/>
        <v>0</v>
      </c>
      <c r="GM253" s="535" t="str">
        <f t="shared" si="526"/>
        <v/>
      </c>
      <c r="GN253" s="535">
        <f>IF(GK253="P",Lookup!$M$12,IF(GK253="PP",Lookup!$M$13,IF(GK253="PPP",Lookup!$M$14,IF(GK253="T",Lookup!$M$15,IF(GK253="TP",Lookup!$M$16,IF(GK253="TPP",Lookup!$M$17,IF(GK253="TPPP",Lookup!$M$18,0)))))))*GJ253</f>
        <v>0</v>
      </c>
      <c r="GO253" s="535">
        <f t="shared" si="527"/>
        <v>0</v>
      </c>
      <c r="GP253" s="535">
        <f t="shared" si="623"/>
        <v>2455.7946514385762</v>
      </c>
      <c r="GQ253" s="974">
        <f t="shared" si="567"/>
        <v>800.45457999953589</v>
      </c>
      <c r="GR253" s="535"/>
      <c r="GS253" s="535">
        <f t="shared" si="528"/>
        <v>0</v>
      </c>
      <c r="GT253" s="535" t="str">
        <f t="shared" si="529"/>
        <v/>
      </c>
      <c r="GU253" s="535">
        <f>IF(GK253="P",Lookup!$N$12,IF(GK253="PP",Lookup!$N$13,IF(GK253="PPP",Lookup!$N$14,IF(GK253="T",Lookup!$N$15,IF(GK253="TP",Lookup!$N$16,IF(GK253="TPP",Lookup!$N$17,IF(GK253="TPPP",Lookup!$N$18,0)))))))*GJ253</f>
        <v>0</v>
      </c>
      <c r="GV253" s="535">
        <f t="shared" si="530"/>
        <v>0</v>
      </c>
      <c r="GW253" s="535">
        <f t="shared" si="624"/>
        <v>1139.5816127918447</v>
      </c>
      <c r="GX253" s="974">
        <f t="shared" si="568"/>
        <v>371.44120364792855</v>
      </c>
      <c r="GY253" s="535"/>
      <c r="GZ253" s="535">
        <f t="shared" si="531"/>
        <v>0</v>
      </c>
      <c r="HA253" s="535" t="str">
        <f t="shared" si="532"/>
        <v/>
      </c>
      <c r="HB253" s="535">
        <f>IF(GK253="P",Lookup!$N$12,IF(GK253="PP",Lookup!$N$13,IF(GK253="PPP",Lookup!$N$14,IF(GK253="T",Lookup!$N$15,IF(GK253="TP",Lookup!$N$16,IF(GK253="TPP",Lookup!$N$17,IF(GK253="TPPP",Lookup!$N$18,0)))))))*GJ253</f>
        <v>0</v>
      </c>
      <c r="HC253" s="521">
        <f t="shared" si="625"/>
        <v>0</v>
      </c>
      <c r="HD253" s="535">
        <f t="shared" si="626"/>
        <v>699.01521069773253</v>
      </c>
      <c r="HE253" s="535">
        <f t="shared" si="535"/>
        <v>227.8406814529767</v>
      </c>
      <c r="HF253" s="535"/>
      <c r="HG253" s="535">
        <f t="shared" si="533"/>
        <v>0</v>
      </c>
      <c r="HH253" s="535" t="str">
        <f t="shared" si="534"/>
        <v/>
      </c>
      <c r="HI253" s="535">
        <f>IF(GK253="P",Lookup!$N$12,IF(GK253="PP",Lookup!$N$13,IF(GK253="PPP",Lookup!$N$14,IF(GK253="T",Lookup!$N$15,IF(GK253="TP",Lookup!$N$16,IF(GK253="TPP",Lookup!$N$17,IF(GK253="TPPP",Lookup!$N$18,0)))))))*GJ253</f>
        <v>0</v>
      </c>
      <c r="HJ253" s="521">
        <f t="shared" si="627"/>
        <v>0</v>
      </c>
      <c r="HK253" s="535">
        <f t="shared" si="628"/>
        <v>837.06906276000109</v>
      </c>
      <c r="HL253" s="535">
        <f t="shared" si="536"/>
        <v>272.83867756192996</v>
      </c>
      <c r="HM253" s="535"/>
      <c r="HN253" s="541"/>
      <c r="HO253" s="541"/>
      <c r="HP253" s="541"/>
      <c r="HQ253" s="541">
        <f>IF(AND(B253&gt;=$FV$4,B253&lt;=$FW$4),MAX(110/1.02+$HQ$6+MIN(113/1.02,G253),IF($HV$6-(Sheet1!DA251-Sheet1!DB251)+MIN(113/1.02,G253)&lt;G253+FL253,$HV$6-(Sheet1!DA251-Sheet1!DB251)+MIN(113/1.02,G253),G253+FL253)),MIN(110/1.02+$HQ$6+113/1.02,G253))</f>
        <v>207.60410548418295</v>
      </c>
      <c r="HR253" s="541">
        <f t="shared" si="552"/>
        <v>211.75618759386663</v>
      </c>
      <c r="HS253" s="541">
        <f>HR253+(Sheet1!DA251-Sheet1!DB251)</f>
        <v>352.75618759386663</v>
      </c>
      <c r="HT253" s="541">
        <f t="shared" si="553"/>
        <v>89.210132774869123</v>
      </c>
      <c r="HU253" s="541">
        <f t="shared" si="554"/>
        <v>263.5460548189975</v>
      </c>
      <c r="HV253" s="541">
        <f t="shared" si="555"/>
        <v>1.4539451810024957</v>
      </c>
      <c r="HW253" s="533" t="str">
        <f t="shared" si="556"/>
        <v/>
      </c>
      <c r="HX253" s="541">
        <f t="shared" si="557"/>
        <v>61.890949334814565</v>
      </c>
      <c r="HY253" s="541">
        <f>Sheet1!CZ251</f>
        <v>322</v>
      </c>
      <c r="HZ253" s="541">
        <f t="shared" si="558"/>
        <v>52.504945181002483</v>
      </c>
      <c r="IA253" s="541">
        <f t="shared" si="559"/>
        <v>89.210132774869123</v>
      </c>
      <c r="IB253" s="541">
        <f t="shared" si="560"/>
        <v>269.49505481899752</v>
      </c>
      <c r="IC253" s="1019" t="str">
        <f t="shared" si="561"/>
        <v/>
      </c>
      <c r="ID253" s="541">
        <f t="shared" si="562"/>
        <v>180.28492204412839</v>
      </c>
      <c r="IE253" s="541">
        <f>Sheet1!DB251</f>
        <v>190</v>
      </c>
      <c r="IF253" s="533">
        <f>Sheet1!DA251</f>
        <v>331</v>
      </c>
      <c r="IH253" s="541">
        <f>IF(AND($B253&gt;=$GC253,$B253&lt;=$GH253,$DR253&lt;0)+N("only adjusted when pool is drawn down during storage season"),Sheet1!$DB251+$DR253+N("Palmer minus all storage release"),Sheet1!$DB251)</f>
        <v>-32.239031770719009</v>
      </c>
      <c r="II253" s="541">
        <f>IF(AND($B253&gt;=$GC253,$B253&lt;=$GH253,$DR253&lt;0)+N("only adjusted when pool is drawn down during storage season"),Sheet1!$DA251+$DR253+N("Auburn minus all storage release"),Sheet1!$DA251)</f>
        <v>108.76096822928099</v>
      </c>
    </row>
    <row r="254" spans="1:243" x14ac:dyDescent="0.25">
      <c r="A254" s="553" t="s">
        <v>7</v>
      </c>
      <c r="B254" s="531">
        <v>42978</v>
      </c>
      <c r="C254" s="536">
        <v>0</v>
      </c>
      <c r="D254" s="506">
        <f t="shared" si="506"/>
        <v>200</v>
      </c>
      <c r="E254" s="506">
        <f t="shared" si="507"/>
        <v>400</v>
      </c>
      <c r="F254" s="506">
        <v>250</v>
      </c>
      <c r="G254" s="535">
        <f>DR254+Sheet1!CZ252</f>
        <v>110.07211295994932</v>
      </c>
      <c r="H254" s="1074">
        <f t="shared" si="563"/>
        <v>0</v>
      </c>
      <c r="I254" s="534">
        <f>IF(Sheet1!DA252&gt;=E254,(Sheet1!DA252-E254+P254)*CFStoMGD,0)</f>
        <v>0</v>
      </c>
      <c r="J254" s="995">
        <f>IF(Sheet1!DB252&gt;=D254,(Sheet1!DB252-D254+P254)*CFStoMGD,0)</f>
        <v>0</v>
      </c>
      <c r="K254" s="818">
        <f t="shared" si="538"/>
        <v>0</v>
      </c>
      <c r="L254" s="535">
        <f>Sheet1!AA252+Sheet1!AB252-Sheet1!L252+(Sheet1!DA252-F254)*CFStoMGD-S254-T254-U254</f>
        <v>116.8826135034556</v>
      </c>
      <c r="M254" s="535">
        <f t="shared" si="569"/>
        <v>72.573626093657467</v>
      </c>
      <c r="N254" s="824">
        <f>IF(Sheet1!DA252&gt;=F254,MIN(113*CFStoMGD,MIN(MAX(L254,0),MAX(M254,0))),0)</f>
        <v>72.573626093657467</v>
      </c>
      <c r="O254" s="538">
        <f>Sheet1!AA252+Sheet1!AB252</f>
        <v>91.36</v>
      </c>
      <c r="P254" s="538">
        <f t="shared" si="570"/>
        <v>141.33391999999998</v>
      </c>
      <c r="Q254" s="812">
        <f t="shared" si="539"/>
        <v>58.7066135034556</v>
      </c>
      <c r="R254" s="812">
        <f t="shared" si="508"/>
        <v>33</v>
      </c>
      <c r="S254" s="812">
        <f t="shared" si="509"/>
        <v>0</v>
      </c>
      <c r="T254" s="812">
        <f t="shared" si="510"/>
        <v>0</v>
      </c>
      <c r="U254" s="812">
        <f>IF(AND(B254&gt;=FV254,B254&lt;=FW254),ED254+Sheet1!EH252,0)</f>
        <v>32.6533864965444</v>
      </c>
      <c r="V254" s="812"/>
      <c r="W254" s="812">
        <f t="shared" si="511"/>
        <v>0</v>
      </c>
      <c r="X254" s="812">
        <f t="shared" si="512"/>
        <v>0</v>
      </c>
      <c r="Y254" s="812" t="str">
        <f t="shared" si="513"/>
        <v>FALSE</v>
      </c>
      <c r="Z254" s="812">
        <f t="shared" si="514"/>
        <v>91.36</v>
      </c>
      <c r="AA254" s="812">
        <f t="shared" si="515"/>
        <v>91.36</v>
      </c>
      <c r="AB254" s="1059">
        <f t="shared" si="540"/>
        <v>90.819131089845811</v>
      </c>
      <c r="AC254" s="538">
        <f>Sheet1!Y252*MGDtoCFS</f>
        <v>98.512959999999993</v>
      </c>
      <c r="AD254" s="538">
        <f>Sheet1!Z252*MGDtoCFS</f>
        <v>40.9955</v>
      </c>
      <c r="AE254" s="538">
        <f>Sheet1!AA252*MGDtoCFS</f>
        <v>83.058429999999987</v>
      </c>
      <c r="AF254" s="538">
        <f>Sheet1!AB252*MGDtoCFS</f>
        <v>58.275489999999998</v>
      </c>
      <c r="AG254" s="538">
        <f>Sheet1!L252*MGDtoCFS</f>
        <v>0</v>
      </c>
      <c r="AH254" s="521">
        <f t="shared" si="571"/>
        <v>33</v>
      </c>
      <c r="AI254" s="1059">
        <f t="shared" si="572"/>
        <v>51.050999999999995</v>
      </c>
      <c r="AJ254" s="535">
        <f t="shared" si="573"/>
        <v>0</v>
      </c>
      <c r="AK254" s="535">
        <f t="shared" si="574"/>
        <v>0</v>
      </c>
      <c r="AL254" s="535">
        <f>(VLOOKUP(Sheet1!DC252,hhdcap_wcm,4)-(((VLOOKUP(Sheet1!DC252,hhdcap_wcm,3)-Sheet1!DC252)/(VLOOKUP(Sheet1!DC252,hhdcap_wcm,3)-VLOOKUP(Sheet1!DC252,hhdcap_wcm,1)))*(VLOOKUP(Sheet1!DC252,hhdcap_wcm,4)-VLOOKUP(Sheet1!DC252,hhdcap_wcm,2))))</f>
        <v>32909.600000083949</v>
      </c>
      <c r="AM254" s="535">
        <f t="shared" si="575"/>
        <v>-438.10000000042055</v>
      </c>
      <c r="AN254" s="1035">
        <f t="shared" si="576"/>
        <v>1639.575142662371</v>
      </c>
      <c r="AO254" s="535">
        <f t="shared" si="577"/>
        <v>5030.2165376881549</v>
      </c>
      <c r="AP254" s="535">
        <f>Sheet1!BA252+Sheet1!BB252+Sheet1!BN252+CD254</f>
        <v>12.5</v>
      </c>
      <c r="AQ254" s="535">
        <f>Sheet1!BN252+(DO254*Sheet1!BN252)</f>
        <v>12.516613503455611</v>
      </c>
      <c r="AR254" s="535">
        <f>Sheet1!BA252+CD254</f>
        <v>0</v>
      </c>
      <c r="AS254" s="535">
        <f>Sheet1!BA252+Sheet1!BB252+CD254</f>
        <v>0</v>
      </c>
      <c r="AT254" s="649">
        <f>0</f>
        <v>0</v>
      </c>
      <c r="AU254" s="974">
        <f>BA254+MAX(Sheet1!EH252,(O254-Q254-ED254-S254))</f>
        <v>7.5000000000000036</v>
      </c>
      <c r="AV254" s="535">
        <f>IF(OR(B254&gt;=GD254,B254&lt;GC254),0,15/36*K254-MAX(0,64.6-(137.6-(Sheet1!AA252+Sheet1!AB252))))</f>
        <v>0</v>
      </c>
      <c r="AW254" s="1029"/>
      <c r="AX254" s="649"/>
      <c r="AY254" s="649">
        <f t="shared" si="541"/>
        <v>13.434015228090965</v>
      </c>
      <c r="AZ254" s="649">
        <f t="shared" si="542"/>
        <v>0</v>
      </c>
      <c r="BA254" s="1059">
        <f t="shared" si="543"/>
        <v>0</v>
      </c>
      <c r="BB254" s="1019">
        <f t="shared" si="578"/>
        <v>792.95457999953589</v>
      </c>
      <c r="BC254" s="1041">
        <f t="shared" si="544"/>
        <v>0</v>
      </c>
      <c r="BD254" s="1019">
        <f ca="1">IF(B254&gt;(Summary!$A$1-1),#N/A,BB254*MGtoAF)</f>
        <v>2432.784651438576</v>
      </c>
      <c r="BE254" s="535">
        <f>Sheet1!BG252+Sheet1!BH252+Sheet1!BI252-BM254</f>
        <v>6.65</v>
      </c>
      <c r="BF254" s="535">
        <f t="shared" si="579"/>
        <v>6.6588383838383853</v>
      </c>
      <c r="BG254" s="535">
        <f>IF(Sheet1!EP252="FM",BM254,0)</f>
        <v>0</v>
      </c>
      <c r="BH254" s="535">
        <f t="shared" si="580"/>
        <v>0</v>
      </c>
      <c r="BI254" s="535">
        <f>IF(Sheet1!EP252="OTHER",BM254,0)</f>
        <v>0</v>
      </c>
      <c r="BJ254" s="535">
        <f t="shared" si="581"/>
        <v>0</v>
      </c>
      <c r="BK254" s="535">
        <f t="shared" si="582"/>
        <v>6.65</v>
      </c>
      <c r="BL254" s="535">
        <f t="shared" si="583"/>
        <v>6.6588383838383853</v>
      </c>
      <c r="BM254" s="535">
        <f>IF(OR(Sheet1!EP252="FM", Sheet1!EP252="OTHER"),SUM(Sheet1!BG252:'Sheet1'!BI252),0)</f>
        <v>0</v>
      </c>
      <c r="BN254" s="521">
        <f>IF(AND($B254&gt;=$FV254,$B254&lt;=$FW254),MAX(BF254,Sheet1!EI252,0),MAX(BF254-(7/36)*$K254,0))</f>
        <v>7</v>
      </c>
      <c r="BO254" s="535">
        <f t="shared" si="584"/>
        <v>0</v>
      </c>
      <c r="BP254" s="521">
        <f t="shared" si="585"/>
        <v>0</v>
      </c>
      <c r="BQ254" s="521">
        <f>IF(AND($O254&gt;0,Sheet1!EM252=1),(1-($O254-Sheet1!$L252)/$O254)*BL254,0)</f>
        <v>0</v>
      </c>
      <c r="BR254" s="521">
        <f>IF(AND(Sheet1!$L252=0,Sheet1!$L251=0, Calculation!BK254&lt;Sheet1!$EI252-0.1,Sheet1!$EI252=Sheet1!$EI251,Sheet1!$EI252=Sheet1!$EI253),BL254-BQ254,BL254-BQ254)</f>
        <v>6.6588383838383853</v>
      </c>
      <c r="BS254" s="1035" t="str">
        <f t="shared" si="545"/>
        <v/>
      </c>
      <c r="BT254" s="1035">
        <f t="shared" si="546"/>
        <v>0</v>
      </c>
      <c r="BU254" s="535">
        <f t="shared" si="586"/>
        <v>364.44120364792855</v>
      </c>
      <c r="BV254" s="535"/>
      <c r="BW254" s="535">
        <f ca="1">IF(B254&gt;(Summary!$A$1-1),#N/A,BU254*MGtoAF)</f>
        <v>1118.1056127918448</v>
      </c>
      <c r="BX254" s="535">
        <f>Sheet1!BC252+Sheet1!BD252+Sheet1!BE252+Sheet1!BF252-CG254-CH254</f>
        <v>6.49</v>
      </c>
      <c r="BY254" s="535">
        <f t="shared" si="587"/>
        <v>6.4986257309941529</v>
      </c>
      <c r="BZ254" s="535">
        <f>IF(Sheet1!EQ252="FM",CH254,0)</f>
        <v>0</v>
      </c>
      <c r="CA254" s="535">
        <f t="shared" si="588"/>
        <v>0</v>
      </c>
      <c r="CB254" s="535">
        <f>IF(Sheet1!EQ252="OTHER",CH254,0)</f>
        <v>0</v>
      </c>
      <c r="CC254" s="535">
        <f t="shared" si="589"/>
        <v>0</v>
      </c>
      <c r="CD254" s="535">
        <f t="shared" si="590"/>
        <v>0</v>
      </c>
      <c r="CE254" s="535">
        <f t="shared" si="591"/>
        <v>6.49</v>
      </c>
      <c r="CF254" s="535">
        <f t="shared" si="592"/>
        <v>6.4986257309941529</v>
      </c>
      <c r="CG254" s="535">
        <f>IF(Sheet1!EQ252="CWA",SUM(Sheet1!BC252:'Sheet1'!BF252),0)</f>
        <v>0</v>
      </c>
      <c r="CH254" s="535">
        <f>IF(OR(Sheet1!EQ252="FM", Sheet1!EQ252="OTHER"),SUM(Sheet1!BC252:'Sheet1'!BF252),0)</f>
        <v>0</v>
      </c>
      <c r="CI254" s="521">
        <f>IF(AND($B254&gt;=$FV254,$B254&lt;=$FW254),MAX(CF254,Sheet1!EJ252,0),MAX(CF254-(7/36)*$K254,0))</f>
        <v>6.5</v>
      </c>
      <c r="CJ254" s="535">
        <f t="shared" si="593"/>
        <v>0</v>
      </c>
      <c r="CK254" s="521">
        <f t="shared" si="594"/>
        <v>0</v>
      </c>
      <c r="CL254" s="521">
        <f>IF(AND($O254&gt;0,Sheet1!EN252=1),(1-($O254-Sheet1!$L252)/$O254)*CF254,0)</f>
        <v>0</v>
      </c>
      <c r="CM254" s="521">
        <f>IF(AND(Sheet1!$L252=0,Sheet1!$L251=0, Calculation!CE254&lt;Sheet1!EJ252-0.1,Sheet1!EJ252=Sheet1!EJ251,Sheet1!EJ252=Sheet1!EJ253),CF254-CL254,CF254-CL254)</f>
        <v>6.4986257309941529</v>
      </c>
      <c r="CN254" s="1040" t="str">
        <f t="shared" si="547"/>
        <v/>
      </c>
      <c r="CO254" s="1035">
        <f t="shared" si="548"/>
        <v>0</v>
      </c>
      <c r="CP254" s="535">
        <f t="shared" si="595"/>
        <v>221.3406814529767</v>
      </c>
      <c r="CQ254" s="535"/>
      <c r="CR254" s="535">
        <f ca="1">IF(B254&gt;(Summary!$A$1-1),#N/A,CP254*MGtoAF)</f>
        <v>679.07321069773252</v>
      </c>
      <c r="CS254" s="535">
        <f>Sheet1!BK252+Sheet1!BL252+Sheet1!BM252-Sheet1!ER252-DA254</f>
        <v>11.98</v>
      </c>
      <c r="CT254" s="535">
        <f t="shared" si="596"/>
        <v>11.995922381711857</v>
      </c>
      <c r="CU254" s="535">
        <f>IF(Sheet1!ER252="FM",DA254,0)</f>
        <v>0</v>
      </c>
      <c r="CV254" s="535">
        <f t="shared" si="597"/>
        <v>0</v>
      </c>
      <c r="CW254" s="535">
        <f>IF(Sheet1!ER252="OTHER",DA254,0)</f>
        <v>0</v>
      </c>
      <c r="CX254" s="535">
        <f t="shared" si="598"/>
        <v>0</v>
      </c>
      <c r="CY254" s="535">
        <f t="shared" si="599"/>
        <v>11.98</v>
      </c>
      <c r="CZ254" s="535">
        <f t="shared" si="600"/>
        <v>11.995922381711857</v>
      </c>
      <c r="DA254" s="535">
        <f>IF(OR(Sheet1!ER252="FM", Sheet1!ER252="OTHER"),SUM(Sheet1!BK252:'Sheet1'!BM252),0)</f>
        <v>0</v>
      </c>
      <c r="DB254" s="1011">
        <f>IF(AND($B254&gt;=$FV254,$B254&lt;=$FW254),MAX($CT254,Sheet1!EK252,0),MAX($CT254-(7/36)*$K254,0))</f>
        <v>12</v>
      </c>
      <c r="DC254" s="1012">
        <f t="shared" si="601"/>
        <v>0</v>
      </c>
      <c r="DD254" s="1011">
        <f t="shared" si="602"/>
        <v>0</v>
      </c>
      <c r="DE254" s="521">
        <f>IF(AND($O254&gt;0,Sheet1!EO252=1),(1-($O254-Sheet1!$L252)/$O254)*CZ254,0)</f>
        <v>0</v>
      </c>
      <c r="DF254" s="521">
        <f>IF(AND(Sheet1!$L252=0,Sheet1!$L251=0, Calculation!CY254&lt;Sheet1!$EK252-0.1,Sheet1!$EK252=Sheet1!$EK251,Sheet1!$EK252=Sheet1!$EK253),CZ254-DE254,CZ254-DE254)</f>
        <v>11.995922381711857</v>
      </c>
      <c r="DG254" s="1040">
        <f t="shared" si="549"/>
        <v>0</v>
      </c>
      <c r="DH254" s="649">
        <f t="shared" si="603"/>
        <v>25.12</v>
      </c>
      <c r="DI254" s="535">
        <f t="shared" si="604"/>
        <v>260.83867756192996</v>
      </c>
      <c r="DJ254" s="649">
        <f t="shared" si="605"/>
        <v>25.153386496544396</v>
      </c>
      <c r="DK254" s="535">
        <f ca="1">IF(B254&gt;(Summary!$A$1-1),#N/A,DI254*MGtoAF)</f>
        <v>800.25306276000117</v>
      </c>
      <c r="DL254" s="649">
        <f t="shared" si="606"/>
        <v>25.119999999999997</v>
      </c>
      <c r="DM254" s="535">
        <f t="shared" si="607"/>
        <v>37.619999999999997</v>
      </c>
      <c r="DN254" s="535">
        <f>Sheet1!AB252-DM254</f>
        <v>5.0000000000004263E-2</v>
      </c>
      <c r="DO254" s="743">
        <f t="shared" si="608"/>
        <v>1.329080276448811E-3</v>
      </c>
      <c r="DP254" s="535">
        <f>(VLOOKUP(Sheet1!DC252,hhdcap_wcm,4)-(((VLOOKUP(Sheet1!DC252,hhdcap_wcm,3)-Sheet1!DC252)/(VLOOKUP(Sheet1!DC252,hhdcap_wcm,3)-VLOOKUP(Sheet1!DC252,hhdcap_wcm,1)))*(VLOOKUP(Sheet1!DC252,hhdcap_wcm,4)-VLOOKUP(Sheet1!DC252,hhdcap_wcm,2))))</f>
        <v>32909.600000083949</v>
      </c>
      <c r="DQ254" s="535">
        <f t="shared" si="609"/>
        <v>-438.10000000042055</v>
      </c>
      <c r="DR254" s="535">
        <f t="shared" si="610"/>
        <v>-220.92788704005068</v>
      </c>
      <c r="DS254" s="535">
        <f>Sheet1!EA252*AFtoMG</f>
        <v>0</v>
      </c>
      <c r="DT254" s="535">
        <f>Sheet1!EB252*AFtoMG</f>
        <v>0</v>
      </c>
      <c r="DU254" s="535">
        <f>Sheet1!EC252*AFtoMG</f>
        <v>0</v>
      </c>
      <c r="DV254" s="535">
        <f>Sheet1!ED252*AFtoMG</f>
        <v>0</v>
      </c>
      <c r="DW254" s="535">
        <f t="shared" si="611"/>
        <v>0</v>
      </c>
      <c r="DX254" s="535">
        <f t="shared" si="612"/>
        <v>0</v>
      </c>
      <c r="DY254" s="535">
        <f t="shared" si="613"/>
        <v>1639.575142662371</v>
      </c>
      <c r="DZ254" s="535">
        <f t="shared" si="614"/>
        <v>5030.2165376881549</v>
      </c>
      <c r="EA254" s="535"/>
      <c r="EB254" s="521">
        <f>IF(OR(B254&lt;FV254,B254&gt;FW254),(MIN(BF254+BY254+CT254+MAX(Sheet1!AA252+AQ254-73,0),K254)),0)</f>
        <v>0</v>
      </c>
      <c r="EC254" s="535"/>
      <c r="ED254" s="535">
        <f t="shared" si="615"/>
        <v>25.153386496544396</v>
      </c>
      <c r="EE254" s="535"/>
      <c r="EF254" s="535">
        <f>Sheet1!EH252+Sheet1!EI252+Sheet1!EJ252+Sheet1!EK252</f>
        <v>33</v>
      </c>
      <c r="EG254" s="1019">
        <f t="shared" si="550"/>
        <v>51.050999999999995</v>
      </c>
      <c r="EH254" s="521">
        <f t="shared" si="616"/>
        <v>0</v>
      </c>
      <c r="EI254" s="535">
        <f>IF(Sheet1!ET252=1,SUM('Calculations II'!AT254:BA254)+'Calculations II'!BC254+Sheet1!BV252+'Calculations II'!BE254+AP254,'Calculations II'!BK254)</f>
        <v>69.474109503455608</v>
      </c>
      <c r="EJ254" s="535">
        <f ca="1">EI254+'Calculations II'!D254+'Calculations II'!E254+'Calculations II'!O254</f>
        <v>72.075482005547698</v>
      </c>
      <c r="EK254" s="535"/>
      <c r="EL254" s="535"/>
      <c r="EM254" s="535">
        <f t="shared" si="617"/>
        <v>42978</v>
      </c>
      <c r="EN254" s="535">
        <f t="shared" si="618"/>
        <v>-33</v>
      </c>
      <c r="EO254" s="535">
        <f t="shared" si="619"/>
        <v>-51.050999999999995</v>
      </c>
      <c r="EP254" s="535">
        <v>0</v>
      </c>
      <c r="EQ254" s="535">
        <v>0</v>
      </c>
      <c r="ER254" s="535">
        <v>0</v>
      </c>
      <c r="ES254" s="521">
        <f t="shared" si="516"/>
        <v>-1.5238965106065834</v>
      </c>
      <c r="ET254" s="535">
        <f>-(VLOOKUP(Sheet1!BQ252,Lookup!$O$4:$Q$262,2)-VLOOKUP(Sheet1!BQ251,Lookup!$O$4:$Q$262,2))/1000000</f>
        <v>-0.69258409077277783</v>
      </c>
      <c r="EU254" s="535">
        <f>-(VLOOKUP(Sheet1!BR252,Lookup!$O$4:$Q$262,3)-VLOOKUP(Sheet1!BR251,Lookup!$O$4:$Q$262,3))/1000000</f>
        <v>-0.83131241983380544</v>
      </c>
      <c r="EV254" s="535"/>
      <c r="EW254" s="535"/>
      <c r="EX254" s="535"/>
      <c r="EY254" s="535"/>
      <c r="EZ254" s="535"/>
      <c r="FA254" s="535"/>
      <c r="FB254" s="535"/>
      <c r="FC254" s="535"/>
      <c r="FD254" s="567">
        <f t="shared" si="566"/>
        <v>1128.942105263088</v>
      </c>
      <c r="FE254" s="567" t="e">
        <f t="shared" si="620"/>
        <v>#N/A</v>
      </c>
      <c r="FF254" s="568" t="e">
        <f t="shared" si="621"/>
        <v>#N/A</v>
      </c>
      <c r="FG254" s="569" t="s">
        <v>656</v>
      </c>
      <c r="FH254" s="569" t="s">
        <v>656</v>
      </c>
      <c r="FI254" s="567" t="e">
        <v>#N/A</v>
      </c>
      <c r="FJ254" s="725">
        <v>15867</v>
      </c>
      <c r="FK254" s="535"/>
      <c r="FL254" s="1015">
        <f t="shared" si="565"/>
        <v>84.215834594049412</v>
      </c>
      <c r="FM254" s="535"/>
      <c r="FN254" s="535"/>
      <c r="FO254" s="535">
        <f>O254+((Sheet1!CS252)*GPMtoMGD)</f>
        <v>95.631039999999999</v>
      </c>
      <c r="FP254" s="535">
        <f>IF(Sheet1!AA252+AQ254&lt;=Calculation!N254,AQ254,Calculation!N254-Sheet1!AA252)</f>
        <v>12.516613503455611</v>
      </c>
      <c r="FQ254" s="535">
        <f>(Sheet1!BP252+Sheet1!BO252)/694.4</f>
        <v>3.462125576036867</v>
      </c>
      <c r="FR254" s="541"/>
      <c r="FS254" s="541"/>
      <c r="FT254" s="541"/>
      <c r="FU254" s="541"/>
      <c r="FV254" s="1109">
        <f t="shared" si="517"/>
        <v>42918</v>
      </c>
      <c r="FW254" s="1109">
        <f t="shared" si="518"/>
        <v>43027</v>
      </c>
      <c r="FX254" s="541"/>
      <c r="FY254" s="541">
        <f>Sheet1!DA252-Sheet1!CZ252-Sheet1!AE252</f>
        <v>-132.33392000000001</v>
      </c>
      <c r="FZ254" s="535">
        <f t="shared" si="551"/>
        <v>-1.2022474761445783</v>
      </c>
      <c r="GA254" s="535"/>
      <c r="GB254" s="535" t="str">
        <f t="shared" si="519"/>
        <v>n</v>
      </c>
      <c r="GC254" s="539">
        <f t="shared" si="520"/>
        <v>42782</v>
      </c>
      <c r="GD254" s="1109">
        <f t="shared" si="521"/>
        <v>42904</v>
      </c>
      <c r="GE254" s="535">
        <f t="shared" si="537"/>
        <v>6520</v>
      </c>
      <c r="GF254" s="1109">
        <f t="shared" si="522"/>
        <v>42909</v>
      </c>
      <c r="GG254" s="535">
        <f t="shared" si="564"/>
        <v>3260</v>
      </c>
      <c r="GH254" s="539">
        <f t="shared" si="523"/>
        <v>43040</v>
      </c>
      <c r="GJ254" s="521">
        <f t="shared" si="524"/>
        <v>0</v>
      </c>
      <c r="GK254" s="535" t="str">
        <f t="shared" si="622"/>
        <v/>
      </c>
      <c r="GL254" s="535">
        <f t="shared" si="525"/>
        <v>0</v>
      </c>
      <c r="GM254" s="535" t="str">
        <f t="shared" si="526"/>
        <v/>
      </c>
      <c r="GN254" s="535">
        <f>IF(GK254="P",Lookup!$M$12,IF(GK254="PP",Lookup!$M$13,IF(GK254="PPP",Lookup!$M$14,IF(GK254="T",Lookup!$M$15,IF(GK254="TP",Lookup!$M$16,IF(GK254="TPP",Lookup!$M$17,IF(GK254="TPPP",Lookup!$M$18,0)))))))*GJ254</f>
        <v>0</v>
      </c>
      <c r="GO254" s="535">
        <f t="shared" si="527"/>
        <v>0</v>
      </c>
      <c r="GP254" s="535">
        <f t="shared" si="623"/>
        <v>2432.784651438576</v>
      </c>
      <c r="GQ254" s="974">
        <f t="shared" si="567"/>
        <v>792.95457999953589</v>
      </c>
      <c r="GR254" s="535"/>
      <c r="GS254" s="535">
        <f t="shared" si="528"/>
        <v>0</v>
      </c>
      <c r="GT254" s="535" t="str">
        <f t="shared" si="529"/>
        <v/>
      </c>
      <c r="GU254" s="535">
        <f>IF(GK254="P",Lookup!$N$12,IF(GK254="PP",Lookup!$N$13,IF(GK254="PPP",Lookup!$N$14,IF(GK254="T",Lookup!$N$15,IF(GK254="TP",Lookup!$N$16,IF(GK254="TPP",Lookup!$N$17,IF(GK254="TPPP",Lookup!$N$18,0)))))))*GJ254</f>
        <v>0</v>
      </c>
      <c r="GV254" s="535">
        <f t="shared" si="530"/>
        <v>0</v>
      </c>
      <c r="GW254" s="535">
        <f t="shared" si="624"/>
        <v>1118.1056127918448</v>
      </c>
      <c r="GX254" s="974">
        <f t="shared" si="568"/>
        <v>364.44120364792855</v>
      </c>
      <c r="GY254" s="535"/>
      <c r="GZ254" s="535">
        <f t="shared" si="531"/>
        <v>0</v>
      </c>
      <c r="HA254" s="535" t="str">
        <f t="shared" si="532"/>
        <v/>
      </c>
      <c r="HB254" s="535">
        <f>IF(GK254="P",Lookup!$N$12,IF(GK254="PP",Lookup!$N$13,IF(GK254="PPP",Lookup!$N$14,IF(GK254="T",Lookup!$N$15,IF(GK254="TP",Lookup!$N$16,IF(GK254="TPP",Lookup!$N$17,IF(GK254="TPPP",Lookup!$N$18,0)))))))*GJ254</f>
        <v>0</v>
      </c>
      <c r="HC254" s="521">
        <f t="shared" si="625"/>
        <v>0</v>
      </c>
      <c r="HD254" s="535">
        <f t="shared" si="626"/>
        <v>679.07321069773252</v>
      </c>
      <c r="HE254" s="535">
        <f t="shared" si="535"/>
        <v>221.3406814529767</v>
      </c>
      <c r="HF254" s="535"/>
      <c r="HG254" s="535">
        <f t="shared" si="533"/>
        <v>0</v>
      </c>
      <c r="HH254" s="535" t="str">
        <f t="shared" si="534"/>
        <v/>
      </c>
      <c r="HI254" s="535">
        <f>IF(GK254="P",Lookup!$N$12,IF(GK254="PP",Lookup!$N$13,IF(GK254="PPP",Lookup!$N$14,IF(GK254="T",Lookup!$N$15,IF(GK254="TP",Lookup!$N$16,IF(GK254="TPP",Lookup!$N$17,IF(GK254="TPPP",Lookup!$N$18,0)))))))*GJ254</f>
        <v>0</v>
      </c>
      <c r="HJ254" s="521">
        <f t="shared" si="627"/>
        <v>0</v>
      </c>
      <c r="HK254" s="535">
        <f t="shared" si="628"/>
        <v>800.25306276000117</v>
      </c>
      <c r="HL254" s="535">
        <f t="shared" si="536"/>
        <v>260.83867756192996</v>
      </c>
      <c r="HM254" s="535"/>
      <c r="HN254" s="541"/>
      <c r="HO254" s="541"/>
      <c r="HP254" s="541"/>
      <c r="HQ254" s="541">
        <f>IF(AND(B254&gt;=$FV$4,B254&lt;=$FW$4),MAX(110/1.02+$HQ$6+MIN(113/1.02,G254),IF($HV$6-(Sheet1!DA252-Sheet1!DB252)+MIN(113/1.02,G254)&lt;G254+FL254,$HV$6-(Sheet1!DA252-Sheet1!DB252)+MIN(113/1.02,G254),G254+FL254)),MIN(110/1.02+$HQ$6+113/1.02,G254))</f>
        <v>217.91525021485128</v>
      </c>
      <c r="HR254" s="541">
        <f t="shared" si="552"/>
        <v>222.27355521914831</v>
      </c>
      <c r="HS254" s="541">
        <f>HR254+(Sheet1!DA252-Sheet1!DB252)</f>
        <v>373.27355521914831</v>
      </c>
      <c r="HT254" s="541">
        <f t="shared" si="553"/>
        <v>90.819131089845811</v>
      </c>
      <c r="HU254" s="541">
        <f t="shared" si="554"/>
        <v>282.45442412930248</v>
      </c>
      <c r="HV254" s="541">
        <f t="shared" si="555"/>
        <v>0</v>
      </c>
      <c r="HW254" s="533" t="str">
        <f t="shared" si="556"/>
        <v/>
      </c>
      <c r="HX254" s="541">
        <f t="shared" si="557"/>
        <v>62.033749785148729</v>
      </c>
      <c r="HY254" s="541">
        <f>Sheet1!CZ252</f>
        <v>331</v>
      </c>
      <c r="HZ254" s="541">
        <f t="shared" si="558"/>
        <v>51.050999999999995</v>
      </c>
      <c r="IA254" s="541">
        <f t="shared" si="559"/>
        <v>90.819131089845811</v>
      </c>
      <c r="IB254" s="541">
        <f t="shared" si="560"/>
        <v>279.94900000000001</v>
      </c>
      <c r="IC254" s="1019" t="str">
        <f t="shared" si="561"/>
        <v/>
      </c>
      <c r="ID254" s="541">
        <f t="shared" si="562"/>
        <v>189.12986891015419</v>
      </c>
      <c r="IE254" s="541">
        <f>Sheet1!DB252</f>
        <v>189</v>
      </c>
      <c r="IF254" s="533">
        <f>Sheet1!DA252</f>
        <v>340</v>
      </c>
      <c r="IH254" s="541">
        <f>IF(AND($B254&gt;=$GC254,$B254&lt;=$GH254,$DR254&lt;0)+N("only adjusted when pool is drawn down during storage season"),Sheet1!$DB252+$DR254+N("Palmer minus all storage release"),Sheet1!$DB252)</f>
        <v>-31.927887040050678</v>
      </c>
      <c r="II254" s="541">
        <f>IF(AND($B254&gt;=$GC254,$B254&lt;=$GH254,$DR254&lt;0)+N("only adjusted when pool is drawn down during storage season"),Sheet1!$DA252+$DR254+N("Auburn minus all storage release"),Sheet1!$DA252)</f>
        <v>119.07211295994932</v>
      </c>
    </row>
    <row r="255" spans="1:243" x14ac:dyDescent="0.25">
      <c r="A255" s="553" t="s">
        <v>8</v>
      </c>
      <c r="B255" s="531">
        <v>42979</v>
      </c>
      <c r="C255" s="536">
        <v>0</v>
      </c>
      <c r="D255" s="506">
        <f t="shared" si="506"/>
        <v>200</v>
      </c>
      <c r="E255" s="506">
        <f t="shared" si="507"/>
        <v>400</v>
      </c>
      <c r="F255" s="506">
        <v>250</v>
      </c>
      <c r="G255" s="535">
        <f>DR255+Sheet1!CZ253</f>
        <v>102.05395864784643</v>
      </c>
      <c r="H255" s="1074">
        <f t="shared" si="563"/>
        <v>0</v>
      </c>
      <c r="I255" s="534">
        <f>IF(Sheet1!DA253&gt;=E255,(Sheet1!DA253-E255+P255)*CFStoMGD,0)</f>
        <v>0</v>
      </c>
      <c r="J255" s="995">
        <f>IF(Sheet1!DB253&gt;=D255,(Sheet1!DB253-D255+P255)*CFStoMGD,0)</f>
        <v>0</v>
      </c>
      <c r="K255" s="818">
        <f t="shared" si="538"/>
        <v>0</v>
      </c>
      <c r="L255" s="535">
        <f>Sheet1!AA253+Sheet1!AB253-Sheet1!L253+(Sheet1!DA253-F255)*CFStoMGD-S255-T255-U255</f>
        <v>106.58944275686025</v>
      </c>
      <c r="M255" s="535">
        <f t="shared" si="569"/>
        <v>67.287032447367295</v>
      </c>
      <c r="N255" s="824">
        <f>IF(Sheet1!DA253&gt;=F255,MIN(113*CFStoMGD,MIN(MAX(L255,0),MAX(M255,0))),0)</f>
        <v>67.287032447367295</v>
      </c>
      <c r="O255" s="538">
        <f>Sheet1!AA253+Sheet1!AB253</f>
        <v>94.8</v>
      </c>
      <c r="P255" s="538">
        <f t="shared" si="570"/>
        <v>146.65559999999999</v>
      </c>
      <c r="Q255" s="812">
        <f t="shared" si="539"/>
        <v>50.999042756860241</v>
      </c>
      <c r="R255" s="812">
        <f t="shared" si="508"/>
        <v>44</v>
      </c>
      <c r="S255" s="812">
        <f t="shared" si="509"/>
        <v>0</v>
      </c>
      <c r="T255" s="812">
        <f t="shared" si="510"/>
        <v>0</v>
      </c>
      <c r="U255" s="812">
        <f>IF(AND(B255&gt;=FV255,B255&lt;=FW255),ED255+Sheet1!EH253,0)</f>
        <v>43.800957243139756</v>
      </c>
      <c r="V255" s="812"/>
      <c r="W255" s="812">
        <f t="shared" si="511"/>
        <v>0</v>
      </c>
      <c r="X255" s="812">
        <f t="shared" si="512"/>
        <v>0</v>
      </c>
      <c r="Y255" s="812" t="str">
        <f t="shared" si="513"/>
        <v>FALSE</v>
      </c>
      <c r="Z255" s="812">
        <f t="shared" si="514"/>
        <v>94.8</v>
      </c>
      <c r="AA255" s="812">
        <f t="shared" si="515"/>
        <v>94.8</v>
      </c>
      <c r="AB255" s="1059">
        <f t="shared" si="540"/>
        <v>78.895519144862789</v>
      </c>
      <c r="AC255" s="538">
        <f>Sheet1!Y253*MGDtoCFS</f>
        <v>83.058429999999987</v>
      </c>
      <c r="AD255" s="538">
        <f>Sheet1!Z253*MGDtoCFS</f>
        <v>57.703099999999992</v>
      </c>
      <c r="AE255" s="538">
        <f>Sheet1!AA253*MGDtoCFS</f>
        <v>74.256</v>
      </c>
      <c r="AF255" s="538">
        <f>Sheet1!AB253*MGDtoCFS</f>
        <v>72.399599999999992</v>
      </c>
      <c r="AG255" s="538">
        <f>Sheet1!L253*MGDtoCFS</f>
        <v>0</v>
      </c>
      <c r="AH255" s="521">
        <f t="shared" si="571"/>
        <v>44.082705807275048</v>
      </c>
      <c r="AI255" s="1059">
        <f t="shared" si="572"/>
        <v>68.195945883854492</v>
      </c>
      <c r="AJ255" s="535">
        <f t="shared" si="573"/>
        <v>0</v>
      </c>
      <c r="AK255" s="535">
        <f t="shared" si="574"/>
        <v>0</v>
      </c>
      <c r="AL255" s="535">
        <f>(VLOOKUP(Sheet1!DC253,hhdcap_wcm,4)-(((VLOOKUP(Sheet1!DC253,hhdcap_wcm,3)-Sheet1!DC253)/(VLOOKUP(Sheet1!DC253,hhdcap_wcm,3)-VLOOKUP(Sheet1!DC253,hhdcap_wcm,1)))*(VLOOKUP(Sheet1!DC253,hhdcap_wcm,4)-VLOOKUP(Sheet1!DC253,hhdcap_wcm,2))))</f>
        <v>32455.600000082628</v>
      </c>
      <c r="AM255" s="535">
        <f t="shared" si="575"/>
        <v>-454.00000000132059</v>
      </c>
      <c r="AN255" s="1035">
        <f t="shared" si="576"/>
        <v>1595.492436855096</v>
      </c>
      <c r="AO255" s="535">
        <f t="shared" si="577"/>
        <v>4894.9707962714347</v>
      </c>
      <c r="AP255" s="535">
        <f>Sheet1!BA253+Sheet1!BB253+Sheet1!BN253+CD255</f>
        <v>22.6</v>
      </c>
      <c r="AQ255" s="535">
        <f>Sheet1!BN253+(DO255*Sheet1!BN253)</f>
        <v>22.499042756860241</v>
      </c>
      <c r="AR255" s="535">
        <f>Sheet1!BA253+CD255</f>
        <v>0</v>
      </c>
      <c r="AS255" s="535">
        <f>Sheet1!BA253+Sheet1!BB253+CD255</f>
        <v>0</v>
      </c>
      <c r="AT255" s="649">
        <f>0</f>
        <v>0</v>
      </c>
      <c r="AU255" s="974">
        <f>BA255+MAX(Sheet1!EH253,(O255-Q255-ED255-S255))</f>
        <v>19.5</v>
      </c>
      <c r="AV255" s="535">
        <f>IF(OR(B255&gt;=GD255,B255&lt;GC255),0,15/36*K255-MAX(0,64.6-(137.6-(Sheet1!AA253+Sheet1!AB253))))</f>
        <v>0</v>
      </c>
      <c r="AW255" s="1029"/>
      <c r="AX255" s="649"/>
      <c r="AY255" s="649">
        <f t="shared" si="541"/>
        <v>13.434015228090965</v>
      </c>
      <c r="AZ255" s="649">
        <f t="shared" si="542"/>
        <v>0</v>
      </c>
      <c r="BA255" s="1059">
        <f t="shared" si="543"/>
        <v>0</v>
      </c>
      <c r="BB255" s="1019">
        <f t="shared" si="578"/>
        <v>773.45457999953589</v>
      </c>
      <c r="BC255" s="1041">
        <f t="shared" si="544"/>
        <v>0</v>
      </c>
      <c r="BD255" s="1019">
        <f ca="1">IF(B255&gt;(Summary!$A$1-1),#N/A,BB255*MGtoAF)</f>
        <v>2372.958651438576</v>
      </c>
      <c r="BE255" s="535">
        <f>Sheet1!BG253+Sheet1!BH253+Sheet1!BI253-BM255</f>
        <v>6.11</v>
      </c>
      <c r="BF255" s="535">
        <f t="shared" si="579"/>
        <v>6.0827058072750475</v>
      </c>
      <c r="BG255" s="535">
        <f>IF(Sheet1!EP253="FM",BM255,0)</f>
        <v>0</v>
      </c>
      <c r="BH255" s="535">
        <f t="shared" si="580"/>
        <v>0</v>
      </c>
      <c r="BI255" s="535">
        <f>IF(Sheet1!EP253="OTHER",BM255,0)</f>
        <v>0</v>
      </c>
      <c r="BJ255" s="535">
        <f t="shared" si="581"/>
        <v>0</v>
      </c>
      <c r="BK255" s="535">
        <f t="shared" si="582"/>
        <v>6.11</v>
      </c>
      <c r="BL255" s="535">
        <f t="shared" si="583"/>
        <v>6.0827058072750475</v>
      </c>
      <c r="BM255" s="535">
        <f>IF(OR(Sheet1!EP253="FM", Sheet1!EP253="OTHER"),SUM(Sheet1!BG253:'Sheet1'!BI253),0)</f>
        <v>0</v>
      </c>
      <c r="BN255" s="521">
        <f>IF(AND($B255&gt;=$FV255,$B255&lt;=$FW255),MAX(BF255,Sheet1!EI253,0),MAX(BF255-(7/36)*$K255,0))</f>
        <v>6.0827058072750475</v>
      </c>
      <c r="BO255" s="535">
        <f t="shared" si="584"/>
        <v>0</v>
      </c>
      <c r="BP255" s="521">
        <f t="shared" si="585"/>
        <v>0</v>
      </c>
      <c r="BQ255" s="521">
        <f>IF(AND($O255&gt;0,Sheet1!EM253=1),(1-($O255-Sheet1!$L253)/$O255)*BL255,0)</f>
        <v>0</v>
      </c>
      <c r="BR255" s="521">
        <f>IF(AND(Sheet1!$L253=0,Sheet1!$L252=0, Calculation!BK255&lt;Sheet1!$EI253-0.1,Sheet1!$EI253=Sheet1!$EI252,Sheet1!$EI253=Sheet1!$EI254),BL255-BQ255,BL255-BQ255)</f>
        <v>6.0827058072750475</v>
      </c>
      <c r="BS255" s="1035" t="str">
        <f t="shared" si="545"/>
        <v/>
      </c>
      <c r="BT255" s="1035">
        <f t="shared" si="546"/>
        <v>0</v>
      </c>
      <c r="BU255" s="535">
        <f t="shared" si="586"/>
        <v>358.35849784065351</v>
      </c>
      <c r="BV255" s="535"/>
      <c r="BW255" s="535">
        <f ca="1">IF(B255&gt;(Summary!$A$1-1),#N/A,BU255*MGtoAF)</f>
        <v>1099.4438713751249</v>
      </c>
      <c r="BX255" s="535">
        <f>Sheet1!BC253+Sheet1!BD253+Sheet1!BE253+Sheet1!BF253-CG255-CH255</f>
        <v>6.49</v>
      </c>
      <c r="BY255" s="535">
        <f t="shared" si="587"/>
        <v>6.4610082961072104</v>
      </c>
      <c r="BZ255" s="535">
        <f>IF(Sheet1!EQ253="FM",CH255,0)</f>
        <v>0</v>
      </c>
      <c r="CA255" s="535">
        <f t="shared" si="588"/>
        <v>0</v>
      </c>
      <c r="CB255" s="535">
        <f>IF(Sheet1!EQ253="OTHER",CH255,0)</f>
        <v>0</v>
      </c>
      <c r="CC255" s="535">
        <f t="shared" si="589"/>
        <v>0</v>
      </c>
      <c r="CD255" s="535">
        <f t="shared" si="590"/>
        <v>0</v>
      </c>
      <c r="CE255" s="535">
        <f t="shared" si="591"/>
        <v>6.49</v>
      </c>
      <c r="CF255" s="535">
        <f t="shared" si="592"/>
        <v>6.4610082961072104</v>
      </c>
      <c r="CG255" s="535">
        <f>IF(Sheet1!EQ253="CWA",SUM(Sheet1!BC253:'Sheet1'!BF253),0)</f>
        <v>0</v>
      </c>
      <c r="CH255" s="535">
        <f>IF(OR(Sheet1!EQ253="FM", Sheet1!EQ253="OTHER"),SUM(Sheet1!BC253:'Sheet1'!BF253),0)</f>
        <v>0</v>
      </c>
      <c r="CI255" s="521">
        <f>IF(AND($B255&gt;=$FV255,$B255&lt;=$FW255),MAX(CF255,Sheet1!EJ253,0),MAX(CF255-(7/36)*$K255,0))</f>
        <v>6.5</v>
      </c>
      <c r="CJ255" s="535">
        <f t="shared" si="593"/>
        <v>0</v>
      </c>
      <c r="CK255" s="521">
        <f t="shared" si="594"/>
        <v>0</v>
      </c>
      <c r="CL255" s="521">
        <f>IF(AND($O255&gt;0,Sheet1!EN253=1),(1-($O255-Sheet1!$L253)/$O255)*CF255,0)</f>
        <v>0</v>
      </c>
      <c r="CM255" s="521">
        <f>IF(AND(Sheet1!$L253=0,Sheet1!$L252=0, Calculation!CE255&lt;Sheet1!EJ253-0.1,Sheet1!EJ253=Sheet1!EJ252,Sheet1!EJ253=Sheet1!EJ254),CF255-CL255,CF255-CL255)</f>
        <v>6.4610082961072104</v>
      </c>
      <c r="CN255" s="1040" t="str">
        <f t="shared" si="547"/>
        <v/>
      </c>
      <c r="CO255" s="1035">
        <f t="shared" si="548"/>
        <v>0</v>
      </c>
      <c r="CP255" s="535">
        <f t="shared" si="595"/>
        <v>214.8406814529767</v>
      </c>
      <c r="CQ255" s="535"/>
      <c r="CR255" s="535">
        <f ca="1">IF(B255&gt;(Summary!$A$1-1),#N/A,CP255*MGtoAF)</f>
        <v>659.13121069773251</v>
      </c>
      <c r="CS255" s="535">
        <f>Sheet1!BK253+Sheet1!BL253+Sheet1!BM253-Sheet1!ER253-DA255</f>
        <v>11.81</v>
      </c>
      <c r="CT255" s="535">
        <f t="shared" si="596"/>
        <v>11.757243139757497</v>
      </c>
      <c r="CU255" s="535">
        <f>IF(Sheet1!ER253="FM",DA255,0)</f>
        <v>0</v>
      </c>
      <c r="CV255" s="535">
        <f t="shared" si="597"/>
        <v>0</v>
      </c>
      <c r="CW255" s="535">
        <f>IF(Sheet1!ER253="OTHER",DA255,0)</f>
        <v>0</v>
      </c>
      <c r="CX255" s="535">
        <f t="shared" si="598"/>
        <v>0</v>
      </c>
      <c r="CY255" s="535">
        <f t="shared" si="599"/>
        <v>11.81</v>
      </c>
      <c r="CZ255" s="535">
        <f t="shared" si="600"/>
        <v>11.757243139757497</v>
      </c>
      <c r="DA255" s="535">
        <f>IF(OR(Sheet1!ER253="FM", Sheet1!ER253="OTHER"),SUM(Sheet1!BK253:'Sheet1'!BM253),0)</f>
        <v>0</v>
      </c>
      <c r="DB255" s="1011">
        <f>IF(AND($B255&gt;=$FV255,$B255&lt;=$FW255),MAX($CT255,Sheet1!EK253,0),MAX($CT255-(7/36)*$K255,0))</f>
        <v>12</v>
      </c>
      <c r="DC255" s="1012">
        <f t="shared" si="601"/>
        <v>0</v>
      </c>
      <c r="DD255" s="1011">
        <f t="shared" si="602"/>
        <v>0</v>
      </c>
      <c r="DE255" s="521">
        <f>IF(AND($O255&gt;0,Sheet1!EO253=1),(1-($O255-Sheet1!$L253)/$O255)*CZ255,0)</f>
        <v>0</v>
      </c>
      <c r="DF255" s="521">
        <f>IF(AND(Sheet1!$L253=0,Sheet1!$L252=0, Calculation!CY255&lt;Sheet1!$EK253-0.1,Sheet1!$EK253=Sheet1!$EK252,Sheet1!$EK253=Sheet1!$EK254),CZ255-DE255,CZ255-DE255)</f>
        <v>11.757243139757497</v>
      </c>
      <c r="DG255" s="1040">
        <f t="shared" si="549"/>
        <v>0</v>
      </c>
      <c r="DH255" s="649">
        <f t="shared" si="603"/>
        <v>24.410000000000004</v>
      </c>
      <c r="DI255" s="535">
        <f t="shared" si="604"/>
        <v>248.83867756192996</v>
      </c>
      <c r="DJ255" s="649">
        <f t="shared" si="605"/>
        <v>24.300957243139756</v>
      </c>
      <c r="DK255" s="535">
        <f ca="1">IF(B255&gt;(Summary!$A$1-1),#N/A,DI255*MGtoAF)</f>
        <v>763.43706276000114</v>
      </c>
      <c r="DL255" s="649">
        <f t="shared" si="606"/>
        <v>24.41</v>
      </c>
      <c r="DM255" s="535">
        <f t="shared" si="607"/>
        <v>47.010000000000005</v>
      </c>
      <c r="DN255" s="535">
        <f>Sheet1!AB253-DM255</f>
        <v>-0.21000000000000796</v>
      </c>
      <c r="DO255" s="743">
        <f t="shared" si="608"/>
        <v>-4.4671346522018283E-3</v>
      </c>
      <c r="DP255" s="535">
        <f>(VLOOKUP(Sheet1!DC253,hhdcap_wcm,4)-(((VLOOKUP(Sheet1!DC253,hhdcap_wcm,3)-Sheet1!DC253)/(VLOOKUP(Sheet1!DC253,hhdcap_wcm,3)-VLOOKUP(Sheet1!DC253,hhdcap_wcm,1)))*(VLOOKUP(Sheet1!DC253,hhdcap_wcm,4)-VLOOKUP(Sheet1!DC253,hhdcap_wcm,2))))</f>
        <v>32455.600000082628</v>
      </c>
      <c r="DQ255" s="535">
        <f t="shared" si="609"/>
        <v>-454.00000000132059</v>
      </c>
      <c r="DR255" s="535">
        <f t="shared" si="610"/>
        <v>-228.94604135215357</v>
      </c>
      <c r="DS255" s="535">
        <f>Sheet1!EA253*AFtoMG</f>
        <v>0</v>
      </c>
      <c r="DT255" s="535">
        <f>Sheet1!EB253*AFtoMG</f>
        <v>0</v>
      </c>
      <c r="DU255" s="535">
        <f>Sheet1!EC253*AFtoMG</f>
        <v>0</v>
      </c>
      <c r="DV255" s="535">
        <f>Sheet1!ED253*AFtoMG</f>
        <v>0</v>
      </c>
      <c r="DW255" s="535">
        <f t="shared" si="611"/>
        <v>0</v>
      </c>
      <c r="DX255" s="535">
        <f t="shared" si="612"/>
        <v>0</v>
      </c>
      <c r="DY255" s="535">
        <f t="shared" si="613"/>
        <v>1595.492436855096</v>
      </c>
      <c r="DZ255" s="535">
        <f t="shared" si="614"/>
        <v>4894.9707962714347</v>
      </c>
      <c r="EA255" s="535"/>
      <c r="EB255" s="521">
        <f>IF(OR(B255&lt;FV255,B255&gt;FW255),(MIN(BF255+BY255+CT255+MAX(Sheet1!AA253+AQ255-73,0),K255)),0)</f>
        <v>0</v>
      </c>
      <c r="EC255" s="535"/>
      <c r="ED255" s="535">
        <f t="shared" si="615"/>
        <v>24.300957243139756</v>
      </c>
      <c r="EE255" s="535"/>
      <c r="EF255" s="535">
        <f>Sheet1!EH253+Sheet1!EI253+Sheet1!EJ253+Sheet1!EK253</f>
        <v>44</v>
      </c>
      <c r="EG255" s="1019">
        <f t="shared" si="550"/>
        <v>68.067999999999998</v>
      </c>
      <c r="EH255" s="521">
        <f t="shared" si="616"/>
        <v>0</v>
      </c>
      <c r="EI255" s="535">
        <f>IF(Sheet1!ET253=1,SUM('Calculations II'!AT255:BA255)+'Calculations II'!BC255+Sheet1!BV253+'Calculations II'!BE255+AP255,'Calculations II'!BK255)</f>
        <v>75.548264756860249</v>
      </c>
      <c r="EJ255" s="535">
        <f ca="1">EI255+'Calculations II'!D255+'Calculations II'!E255+'Calculations II'!O255</f>
        <v>73.397452219582746</v>
      </c>
      <c r="EK255" s="535"/>
      <c r="EL255" s="535"/>
      <c r="EM255" s="535">
        <f t="shared" si="617"/>
        <v>42979</v>
      </c>
      <c r="EN255" s="535">
        <f t="shared" si="618"/>
        <v>-44.082705807275048</v>
      </c>
      <c r="EO255" s="535">
        <f t="shared" si="619"/>
        <v>-68.195945883854492</v>
      </c>
      <c r="EP255" s="535">
        <v>0</v>
      </c>
      <c r="EQ255" s="535">
        <v>0</v>
      </c>
      <c r="ER255" s="535">
        <v>0</v>
      </c>
      <c r="ES255" s="521">
        <f t="shared" si="516"/>
        <v>0.41562095814841982</v>
      </c>
      <c r="ET255" s="535">
        <f>-(VLOOKUP(Sheet1!BQ253,Lookup!$O$4:$Q$262,2)-VLOOKUP(Sheet1!BQ252,Lookup!$O$4:$Q$262,2))/1000000</f>
        <v>0.27705286339093371</v>
      </c>
      <c r="EU255" s="535">
        <f>-(VLOOKUP(Sheet1!BR253,Lookup!$O$4:$Q$262,3)-VLOOKUP(Sheet1!BR252,Lookup!$O$4:$Q$262,3))/1000000</f>
        <v>0.13856809475748613</v>
      </c>
      <c r="EV255" s="535"/>
      <c r="EW255" s="535"/>
      <c r="EX255" s="535"/>
      <c r="EY255" s="535"/>
      <c r="EZ255" s="535"/>
      <c r="FA255" s="535"/>
      <c r="FB255" s="535"/>
      <c r="FC255" s="535"/>
      <c r="FD255" s="567">
        <f t="shared" si="566"/>
        <v>1128.6428571427875</v>
      </c>
      <c r="FE255" s="567" t="e">
        <f t="shared" si="620"/>
        <v>#N/A</v>
      </c>
      <c r="FF255" s="568" t="e">
        <f t="shared" si="621"/>
        <v>#N/A</v>
      </c>
      <c r="FG255" s="569" t="s">
        <v>656</v>
      </c>
      <c r="FH255" s="569" t="s">
        <v>656</v>
      </c>
      <c r="FI255" s="567" t="e">
        <v>#N/A</v>
      </c>
      <c r="FJ255" s="725">
        <v>15700</v>
      </c>
      <c r="FK255" s="535"/>
      <c r="FL255" s="1015">
        <f t="shared" si="565"/>
        <v>109.43015632879475</v>
      </c>
      <c r="FM255" s="535"/>
      <c r="FN255" s="535"/>
      <c r="FO255" s="535">
        <f>O255+((Sheet1!CS253)*GPMtoMGD)</f>
        <v>99.022223999999994</v>
      </c>
      <c r="FP255" s="535">
        <f>IF(Sheet1!AA253+AQ255&lt;=Calculation!N255,AQ255,Calculation!N255-Sheet1!AA253)</f>
        <v>19.287032447367295</v>
      </c>
      <c r="FQ255" s="535">
        <f>(Sheet1!BP253+Sheet1!BO253)/694.4</f>
        <v>3.9660138248847927</v>
      </c>
      <c r="FR255" s="541"/>
      <c r="FS255" s="541"/>
      <c r="FT255" s="541"/>
      <c r="FU255" s="541"/>
      <c r="FV255" s="1109">
        <f t="shared" si="517"/>
        <v>42918</v>
      </c>
      <c r="FW255" s="1109">
        <f t="shared" si="518"/>
        <v>43027</v>
      </c>
      <c r="FX255" s="541"/>
      <c r="FY255" s="541">
        <f>Sheet1!DA253-Sheet1!CZ253-Sheet1!AE253</f>
        <v>-141.65559999999999</v>
      </c>
      <c r="FZ255" s="535">
        <f t="shared" si="551"/>
        <v>-1.3880461069502006</v>
      </c>
      <c r="GA255" s="535"/>
      <c r="GB255" s="535" t="str">
        <f t="shared" si="519"/>
        <v>n</v>
      </c>
      <c r="GC255" s="539">
        <f t="shared" si="520"/>
        <v>42782</v>
      </c>
      <c r="GD255" s="1109">
        <f t="shared" si="521"/>
        <v>42904</v>
      </c>
      <c r="GE255" s="535">
        <f t="shared" si="537"/>
        <v>6520</v>
      </c>
      <c r="GF255" s="1109">
        <f t="shared" si="522"/>
        <v>42909</v>
      </c>
      <c r="GG255" s="535">
        <f t="shared" si="564"/>
        <v>3260</v>
      </c>
      <c r="GH255" s="539">
        <f t="shared" si="523"/>
        <v>43040</v>
      </c>
      <c r="GJ255" s="521">
        <f t="shared" si="524"/>
        <v>0</v>
      </c>
      <c r="GK255" s="535" t="str">
        <f t="shared" si="622"/>
        <v/>
      </c>
      <c r="GL255" s="535">
        <f t="shared" si="525"/>
        <v>0</v>
      </c>
      <c r="GM255" s="535" t="str">
        <f t="shared" si="526"/>
        <v/>
      </c>
      <c r="GN255" s="535">
        <f>IF(GK255="P",Lookup!$M$12,IF(GK255="PP",Lookup!$M$13,IF(GK255="PPP",Lookup!$M$14,IF(GK255="T",Lookup!$M$15,IF(GK255="TP",Lookup!$M$16,IF(GK255="TPP",Lookup!$M$17,IF(GK255="TPPP",Lookup!$M$18,0)))))))*GJ255</f>
        <v>0</v>
      </c>
      <c r="GO255" s="535">
        <f t="shared" si="527"/>
        <v>0</v>
      </c>
      <c r="GP255" s="535">
        <f t="shared" si="623"/>
        <v>2372.958651438576</v>
      </c>
      <c r="GQ255" s="974">
        <f t="shared" si="567"/>
        <v>773.45457999953589</v>
      </c>
      <c r="GR255" s="535"/>
      <c r="GS255" s="535">
        <f t="shared" si="528"/>
        <v>0</v>
      </c>
      <c r="GT255" s="535" t="str">
        <f t="shared" si="529"/>
        <v/>
      </c>
      <c r="GU255" s="535">
        <f>IF(GK255="P",Lookup!$N$12,IF(GK255="PP",Lookup!$N$13,IF(GK255="PPP",Lookup!$N$14,IF(GK255="T",Lookup!$N$15,IF(GK255="TP",Lookup!$N$16,IF(GK255="TPP",Lookup!$N$17,IF(GK255="TPPP",Lookup!$N$18,0)))))))*GJ255</f>
        <v>0</v>
      </c>
      <c r="GV255" s="535">
        <f t="shared" si="530"/>
        <v>0</v>
      </c>
      <c r="GW255" s="535">
        <f t="shared" si="624"/>
        <v>1099.4438713751249</v>
      </c>
      <c r="GX255" s="974">
        <f t="shared" si="568"/>
        <v>358.35849784065351</v>
      </c>
      <c r="GY255" s="535"/>
      <c r="GZ255" s="535">
        <f t="shared" si="531"/>
        <v>0</v>
      </c>
      <c r="HA255" s="535" t="str">
        <f t="shared" si="532"/>
        <v/>
      </c>
      <c r="HB255" s="535">
        <f>IF(GK255="P",Lookup!$N$12,IF(GK255="PP",Lookup!$N$13,IF(GK255="PPP",Lookup!$N$14,IF(GK255="T",Lookup!$N$15,IF(GK255="TP",Lookup!$N$16,IF(GK255="TPP",Lookup!$N$17,IF(GK255="TPPP",Lookup!$N$18,0)))))))*GJ255</f>
        <v>0</v>
      </c>
      <c r="HC255" s="521">
        <f t="shared" si="625"/>
        <v>0</v>
      </c>
      <c r="HD255" s="535">
        <f t="shared" si="626"/>
        <v>659.13121069773251</v>
      </c>
      <c r="HE255" s="535">
        <f t="shared" si="535"/>
        <v>214.8406814529767</v>
      </c>
      <c r="HF255" s="535"/>
      <c r="HG255" s="535">
        <f t="shared" si="533"/>
        <v>0</v>
      </c>
      <c r="HH255" s="535" t="str">
        <f t="shared" si="534"/>
        <v/>
      </c>
      <c r="HI255" s="535">
        <f>IF(GK255="P",Lookup!$N$12,IF(GK255="PP",Lookup!$N$13,IF(GK255="PPP",Lookup!$N$14,IF(GK255="T",Lookup!$N$15,IF(GK255="TP",Lookup!$N$16,IF(GK255="TPP",Lookup!$N$17,IF(GK255="TPPP",Lookup!$N$18,0)))))))*GJ255</f>
        <v>0</v>
      </c>
      <c r="HJ255" s="521">
        <f t="shared" si="627"/>
        <v>0</v>
      </c>
      <c r="HK255" s="535">
        <f t="shared" si="628"/>
        <v>763.43706276000114</v>
      </c>
      <c r="HL255" s="535">
        <f t="shared" si="536"/>
        <v>248.83867756192996</v>
      </c>
      <c r="HM255" s="535"/>
      <c r="HN255" s="541"/>
      <c r="HO255" s="541"/>
      <c r="HP255" s="541"/>
      <c r="HQ255" s="541">
        <f>IF(AND(B255&gt;=$FV$4,B255&lt;=$FW$4),MAX(110/1.02+$HQ$6+MIN(113/1.02,G255),IF($HV$6-(Sheet1!DA253-Sheet1!DB253)+MIN(113/1.02,G255)&lt;G255+FL255,$HV$6-(Sheet1!DA253-Sheet1!DB253)+MIN(113/1.02,G255),G255+FL255)),MIN(110/1.02+$HQ$6+113/1.02,G255))</f>
        <v>211.48411497664119</v>
      </c>
      <c r="HR255" s="541">
        <f t="shared" si="552"/>
        <v>215.71379727617403</v>
      </c>
      <c r="HS255" s="541">
        <f>HR255+(Sheet1!DA253-Sheet1!DB253)</f>
        <v>370.71379727617403</v>
      </c>
      <c r="HT255" s="541">
        <f t="shared" si="553"/>
        <v>78.895519144862789</v>
      </c>
      <c r="HU255" s="541">
        <f t="shared" si="554"/>
        <v>291.81827813131122</v>
      </c>
      <c r="HV255" s="541">
        <f t="shared" si="555"/>
        <v>0</v>
      </c>
      <c r="HW255" s="533" t="str">
        <f t="shared" si="556"/>
        <v/>
      </c>
      <c r="HX255" s="541">
        <f t="shared" si="557"/>
        <v>51.319939139504299</v>
      </c>
      <c r="HY255" s="541">
        <f>Sheet1!CZ253</f>
        <v>331</v>
      </c>
      <c r="HZ255" s="541">
        <f t="shared" si="558"/>
        <v>68.195945883854492</v>
      </c>
      <c r="IA255" s="541">
        <f t="shared" si="559"/>
        <v>78.895519144862789</v>
      </c>
      <c r="IB255" s="541">
        <f t="shared" si="560"/>
        <v>262.80405411614549</v>
      </c>
      <c r="IC255" s="1019" t="str">
        <f t="shared" si="561"/>
        <v/>
      </c>
      <c r="ID255" s="541">
        <f t="shared" si="562"/>
        <v>183.90853497128271</v>
      </c>
      <c r="IE255" s="541">
        <f>Sheet1!DB253</f>
        <v>181</v>
      </c>
      <c r="IF255" s="533">
        <f>Sheet1!DA253</f>
        <v>336</v>
      </c>
      <c r="IH255" s="541">
        <f>IF(AND($B255&gt;=$GC255,$B255&lt;=$GH255,$DR255&lt;0)+N("only adjusted when pool is drawn down during storage season"),Sheet1!$DB253+$DR255+N("Palmer minus all storage release"),Sheet1!$DB253)</f>
        <v>-47.946041352153571</v>
      </c>
      <c r="II255" s="541">
        <f>IF(AND($B255&gt;=$GC255,$B255&lt;=$GH255,$DR255&lt;0)+N("only adjusted when pool is drawn down during storage season"),Sheet1!$DA253+$DR255+N("Auburn minus all storage release"),Sheet1!$DA253)</f>
        <v>107.05395864784643</v>
      </c>
    </row>
    <row r="256" spans="1:243" x14ac:dyDescent="0.25">
      <c r="A256" s="553" t="s">
        <v>9</v>
      </c>
      <c r="B256" s="531">
        <v>42980</v>
      </c>
      <c r="C256" s="536">
        <v>0</v>
      </c>
      <c r="D256" s="506">
        <f t="shared" si="506"/>
        <v>200</v>
      </c>
      <c r="E256" s="506">
        <f t="shared" si="507"/>
        <v>400</v>
      </c>
      <c r="F256" s="506">
        <v>250</v>
      </c>
      <c r="G256" s="535">
        <f>DR256+Sheet1!CZ254</f>
        <v>104.17196167402039</v>
      </c>
      <c r="H256" s="1074">
        <f t="shared" si="563"/>
        <v>0</v>
      </c>
      <c r="I256" s="534">
        <f>IF(Sheet1!DA254&gt;=E256,(Sheet1!DA254-E256+P256)*CFStoMGD,0)</f>
        <v>0</v>
      </c>
      <c r="J256" s="995">
        <f>IF(Sheet1!DB254&gt;=D256,(Sheet1!DB254-D256+P256)*CFStoMGD,0)</f>
        <v>0</v>
      </c>
      <c r="K256" s="818">
        <f t="shared" si="538"/>
        <v>0</v>
      </c>
      <c r="L256" s="535">
        <f>Sheet1!AA254+Sheet1!AB254-Sheet1!L254+(Sheet1!DA254-F256)*CFStoMGD-S256-T256-U256</f>
        <v>106.89290266240681</v>
      </c>
      <c r="M256" s="535">
        <f t="shared" si="569"/>
        <v>68.683491146608517</v>
      </c>
      <c r="N256" s="824">
        <f>IF(Sheet1!DA254&gt;=F256,MIN(113*CFStoMGD,MIN(MAX(L256,0),MAX(M256,0))),0)</f>
        <v>68.683491146608517</v>
      </c>
      <c r="O256" s="538">
        <f>Sheet1!AA254+Sheet1!AB254</f>
        <v>94.9</v>
      </c>
      <c r="P256" s="538">
        <f t="shared" si="570"/>
        <v>146.81029999999998</v>
      </c>
      <c r="Q256" s="812">
        <f t="shared" si="539"/>
        <v>51.302502662406823</v>
      </c>
      <c r="R256" s="812">
        <f t="shared" si="508"/>
        <v>44</v>
      </c>
      <c r="S256" s="812">
        <f t="shared" si="509"/>
        <v>0</v>
      </c>
      <c r="T256" s="812">
        <f t="shared" si="510"/>
        <v>0</v>
      </c>
      <c r="U256" s="812">
        <f>IF(AND(B256&gt;=FV256,B256&lt;=FW256),ED256+Sheet1!EH254,0)</f>
        <v>43.597497337593182</v>
      </c>
      <c r="V256" s="812"/>
      <c r="W256" s="812">
        <f>MAX(K256-DJ256,0)</f>
        <v>0</v>
      </c>
      <c r="X256" s="812">
        <f t="shared" si="512"/>
        <v>0</v>
      </c>
      <c r="Y256" s="812" t="str">
        <f t="shared" si="513"/>
        <v>FALSE</v>
      </c>
      <c r="Z256" s="812">
        <f t="shared" si="514"/>
        <v>94.9</v>
      </c>
      <c r="AA256" s="812">
        <f t="shared" si="515"/>
        <v>94.9</v>
      </c>
      <c r="AB256" s="1059">
        <f t="shared" si="540"/>
        <v>79.364971618743354</v>
      </c>
      <c r="AC256" s="538">
        <f>Sheet1!Y254*MGDtoCFS</f>
        <v>74.256</v>
      </c>
      <c r="AD256" s="538">
        <f>Sheet1!Z254*MGDtoCFS</f>
        <v>72.399599999999992</v>
      </c>
      <c r="AE256" s="538">
        <f>Sheet1!AA254*MGDtoCFS</f>
        <v>74.333349999999996</v>
      </c>
      <c r="AF256" s="538">
        <f>Sheet1!AB254*MGDtoCFS</f>
        <v>72.476950000000002</v>
      </c>
      <c r="AG256" s="538">
        <f>Sheet1!L254*MGDtoCFS</f>
        <v>0</v>
      </c>
      <c r="AH256" s="521">
        <f t="shared" si="571"/>
        <v>44.106964856230036</v>
      </c>
      <c r="AI256" s="1059">
        <f t="shared" si="572"/>
        <v>68.233474632587857</v>
      </c>
      <c r="AJ256" s="535">
        <f t="shared" si="573"/>
        <v>0</v>
      </c>
      <c r="AK256" s="535">
        <f t="shared" si="574"/>
        <v>0</v>
      </c>
      <c r="AL256" s="535">
        <f>(VLOOKUP(Sheet1!DC254,hhdcap_wcm,4)-(((VLOOKUP(Sheet1!DC254,hhdcap_wcm,3)-Sheet1!DC254)/(VLOOKUP(Sheet1!DC254,hhdcap_wcm,3)-VLOOKUP(Sheet1!DC254,hhdcap_wcm,1)))*(VLOOKUP(Sheet1!DC254,hhdcap_wcm,4)-VLOOKUP(Sheet1!DC254,hhdcap_wcm,2))))</f>
        <v>32005.80000008221</v>
      </c>
      <c r="AM256" s="535">
        <f t="shared" si="575"/>
        <v>-449.80000000041764</v>
      </c>
      <c r="AN256" s="1035">
        <f t="shared" si="576"/>
        <v>1551.385471998866</v>
      </c>
      <c r="AO256" s="535">
        <f t="shared" si="577"/>
        <v>4759.6506280925214</v>
      </c>
      <c r="AP256" s="535">
        <f>Sheet1!BA254+Sheet1!BB254+Sheet1!BN254+CD256</f>
        <v>22.3</v>
      </c>
      <c r="AQ256" s="535">
        <f>Sheet1!BN254+(DO256*Sheet1!BN254)</f>
        <v>22.252502662406815</v>
      </c>
      <c r="AR256" s="535">
        <f>Sheet1!BA254+CD256</f>
        <v>0</v>
      </c>
      <c r="AS256" s="535">
        <f>Sheet1!BA254+Sheet1!BB254+CD256</f>
        <v>0</v>
      </c>
      <c r="AT256" s="649">
        <f>0</f>
        <v>0</v>
      </c>
      <c r="AU256" s="974">
        <f>BA256+MAX(Sheet1!EH254,(O256-Q256-ED256-S256))</f>
        <v>19</v>
      </c>
      <c r="AV256" s="535">
        <f>IF(OR(B256&gt;=GD256,B256&lt;GC256),0,15/36*K256-MAX(0,64.6-(137.6-(Sheet1!AA254+Sheet1!AB254))))</f>
        <v>0</v>
      </c>
      <c r="AW256" s="1029"/>
      <c r="AX256" s="649"/>
      <c r="AY256" s="649">
        <f t="shared" si="541"/>
        <v>13.434015228090965</v>
      </c>
      <c r="AZ256" s="649">
        <f t="shared" si="542"/>
        <v>0</v>
      </c>
      <c r="BA256" s="1059">
        <f t="shared" si="543"/>
        <v>0</v>
      </c>
      <c r="BB256" s="1019">
        <f t="shared" si="578"/>
        <v>754.45457999953589</v>
      </c>
      <c r="BC256" s="1041">
        <f t="shared" si="544"/>
        <v>0</v>
      </c>
      <c r="BD256" s="1019">
        <f ca="1">IF(B256&gt;(Summary!$A$1-1),#N/A,BB256*MGtoAF)</f>
        <v>2314.6666514385761</v>
      </c>
      <c r="BE256" s="535">
        <f>Sheet1!BG254+Sheet1!BH254+Sheet1!BI254-BM256</f>
        <v>6.1199999999999992</v>
      </c>
      <c r="BF256" s="535">
        <f t="shared" si="579"/>
        <v>6.1069648562300314</v>
      </c>
      <c r="BG256" s="535">
        <f>IF(Sheet1!EP254="FM",BM256,0)</f>
        <v>0</v>
      </c>
      <c r="BH256" s="535">
        <f t="shared" si="580"/>
        <v>0</v>
      </c>
      <c r="BI256" s="535">
        <f>IF(Sheet1!EP254="OTHER",BM256,0)</f>
        <v>0</v>
      </c>
      <c r="BJ256" s="535">
        <f t="shared" si="581"/>
        <v>0</v>
      </c>
      <c r="BK256" s="535">
        <f t="shared" si="582"/>
        <v>6.1199999999999992</v>
      </c>
      <c r="BL256" s="535">
        <f t="shared" si="583"/>
        <v>6.1069648562300314</v>
      </c>
      <c r="BM256" s="535">
        <f>IF(OR(Sheet1!EP254="FM", Sheet1!EP254="OTHER"),SUM(Sheet1!BG254:'Sheet1'!BI254),0)</f>
        <v>0</v>
      </c>
      <c r="BN256" s="521">
        <f>IF(AND($B256&gt;=$FV256,$B256&lt;=$FW256),MAX(BF256,Sheet1!EI254,0),MAX(BF256-(7/36)*$K256,0))</f>
        <v>6.1069648562300314</v>
      </c>
      <c r="BO256" s="535">
        <f t="shared" si="584"/>
        <v>0</v>
      </c>
      <c r="BP256" s="521">
        <f t="shared" si="585"/>
        <v>0</v>
      </c>
      <c r="BQ256" s="521">
        <f>IF(AND($O256&gt;0,Sheet1!EM254=1),(1-($O256-Sheet1!$L254)/$O256)*BL256,0)</f>
        <v>0</v>
      </c>
      <c r="BR256" s="521">
        <f>IF(AND(Sheet1!$L254=0,Sheet1!$L253=0, Calculation!BK256&lt;Sheet1!$EI254-0.1,Sheet1!$EI254=Sheet1!$EI253,Sheet1!$EI254=Sheet1!$EI255),BL256-BQ256,BL256-BQ256)</f>
        <v>6.1069648562300314</v>
      </c>
      <c r="BS256" s="1035" t="str">
        <f t="shared" si="545"/>
        <v/>
      </c>
      <c r="BT256" s="1035">
        <f t="shared" si="546"/>
        <v>0</v>
      </c>
      <c r="BU256" s="535">
        <f t="shared" si="586"/>
        <v>352.25153298442348</v>
      </c>
      <c r="BV256" s="535"/>
      <c r="BW256" s="535">
        <f ca="1">IF(B256&gt;(Summary!$A$1-1),#N/A,BU256*MGtoAF)</f>
        <v>1080.7077031962112</v>
      </c>
      <c r="BX256" s="535">
        <f>Sheet1!BC254+Sheet1!BD254+Sheet1!BE254+Sheet1!BF254-CG256-CH256</f>
        <v>6.8000000000000007</v>
      </c>
      <c r="BY256" s="535">
        <f t="shared" si="587"/>
        <v>6.7855165069222583</v>
      </c>
      <c r="BZ256" s="535">
        <f>IF(Sheet1!EQ254="FM",CH256,0)</f>
        <v>0</v>
      </c>
      <c r="CA256" s="535">
        <f t="shared" si="588"/>
        <v>0</v>
      </c>
      <c r="CB256" s="535">
        <f>IF(Sheet1!EQ254="OTHER",CH256,0)</f>
        <v>0</v>
      </c>
      <c r="CC256" s="535">
        <f t="shared" si="589"/>
        <v>0</v>
      </c>
      <c r="CD256" s="535">
        <f t="shared" si="590"/>
        <v>0</v>
      </c>
      <c r="CE256" s="535">
        <f t="shared" si="591"/>
        <v>6.8000000000000007</v>
      </c>
      <c r="CF256" s="535">
        <f t="shared" si="592"/>
        <v>6.7855165069222583</v>
      </c>
      <c r="CG256" s="535">
        <f>IF(Sheet1!EQ254="CWA",SUM(Sheet1!BC254:'Sheet1'!BF254),0)</f>
        <v>0</v>
      </c>
      <c r="CH256" s="535">
        <f>IF(OR(Sheet1!EQ254="FM", Sheet1!EQ254="OTHER"),SUM(Sheet1!BC254:'Sheet1'!BF254),0)</f>
        <v>0</v>
      </c>
      <c r="CI256" s="521">
        <f>IF(AND($B256&gt;=$FV256,$B256&lt;=$FW256),MAX(CF256,Sheet1!EJ254,0),MAX(CF256-(7/36)*$K256,0))</f>
        <v>7</v>
      </c>
      <c r="CJ256" s="535">
        <f t="shared" si="593"/>
        <v>0</v>
      </c>
      <c r="CK256" s="521">
        <f t="shared" si="594"/>
        <v>0</v>
      </c>
      <c r="CL256" s="521">
        <f>IF(AND($O256&gt;0,Sheet1!EN254=1),(1-($O256-Sheet1!$L254)/$O256)*CF256,0)</f>
        <v>0</v>
      </c>
      <c r="CM256" s="521">
        <f>IF(AND(Sheet1!$L254=0,Sheet1!$L253=0, Calculation!CE256&lt;Sheet1!EJ254-0.1,Sheet1!EJ254=Sheet1!EJ253,Sheet1!EJ254=Sheet1!EJ255),CF256-CL256,CF256-CL256)</f>
        <v>6.7855165069222583</v>
      </c>
      <c r="CN256" s="1040" t="str">
        <f t="shared" si="547"/>
        <v/>
      </c>
      <c r="CO256" s="1035">
        <f t="shared" si="548"/>
        <v>0</v>
      </c>
      <c r="CP256" s="535">
        <f t="shared" si="595"/>
        <v>207.8406814529767</v>
      </c>
      <c r="CQ256" s="535"/>
      <c r="CR256" s="535">
        <f ca="1">IF(B256&gt;(Summary!$A$1-1),#N/A,CP256*MGtoAF)</f>
        <v>637.65521069773251</v>
      </c>
      <c r="CS256" s="535">
        <f>Sheet1!BK254+Sheet1!BL254+Sheet1!BM254-Sheet1!ER254-DA256</f>
        <v>11.73</v>
      </c>
      <c r="CT256" s="535">
        <f t="shared" si="596"/>
        <v>11.705015974440895</v>
      </c>
      <c r="CU256" s="535">
        <f>IF(Sheet1!ER254="FM",DA256,0)</f>
        <v>0</v>
      </c>
      <c r="CV256" s="535">
        <f t="shared" si="597"/>
        <v>0</v>
      </c>
      <c r="CW256" s="535">
        <f>IF(Sheet1!ER254="OTHER",DA256,0)</f>
        <v>0</v>
      </c>
      <c r="CX256" s="535">
        <f t="shared" si="598"/>
        <v>0</v>
      </c>
      <c r="CY256" s="535">
        <f t="shared" ref="CY256:CY291" si="629">MAX(CS256,CU256)</f>
        <v>11.73</v>
      </c>
      <c r="CZ256" s="535">
        <f t="shared" ref="CZ256:CZ291" si="630">MAX(CT256,CV256)</f>
        <v>11.705015974440895</v>
      </c>
      <c r="DA256" s="535">
        <f>IF(OR(Sheet1!ER254="FM", Sheet1!ER254="OTHER"),SUM(Sheet1!BK254:'Sheet1'!BM254),0)</f>
        <v>0</v>
      </c>
      <c r="DB256" s="1011">
        <f>IF(AND($B256&gt;=$FV256,$B256&lt;=$FW256),MAX($CT256,Sheet1!EK254,0),MAX($CT256-(7/36)*$K256,0))</f>
        <v>12</v>
      </c>
      <c r="DC256" s="1012">
        <f t="shared" si="601"/>
        <v>0</v>
      </c>
      <c r="DD256" s="1011">
        <f t="shared" si="602"/>
        <v>0</v>
      </c>
      <c r="DE256" s="521">
        <f>IF(AND($O256&gt;0,Sheet1!EO254=1),(1-($O256-Sheet1!$L254)/$O256)*CZ256,0)</f>
        <v>0</v>
      </c>
      <c r="DF256" s="521">
        <f>IF(AND(Sheet1!$L254=0,Sheet1!$L253=0, Calculation!CY256&lt;Sheet1!$EK254-0.1,Sheet1!$EK254=Sheet1!$EK253,Sheet1!$EK254=Sheet1!$EK255),CZ256-DE256,CZ256-DE256)</f>
        <v>11.705015974440895</v>
      </c>
      <c r="DG256" s="1040">
        <f t="shared" si="549"/>
        <v>0</v>
      </c>
      <c r="DH256" s="649">
        <f t="shared" si="603"/>
        <v>24.65</v>
      </c>
      <c r="DI256" s="535">
        <f t="shared" si="604"/>
        <v>236.83867756192996</v>
      </c>
      <c r="DJ256" s="649">
        <f t="shared" si="605"/>
        <v>24.597497337593182</v>
      </c>
      <c r="DK256" s="535">
        <f ca="1">IF(B256&gt;(Summary!$A$1-1),#N/A,DI256*MGtoAF)</f>
        <v>726.62106276000111</v>
      </c>
      <c r="DL256" s="649">
        <f t="shared" si="606"/>
        <v>24.65</v>
      </c>
      <c r="DM256" s="535">
        <f t="shared" si="607"/>
        <v>46.95</v>
      </c>
      <c r="DN256" s="535">
        <f>Sheet1!AB254-DM256</f>
        <v>-0.10000000000000142</v>
      </c>
      <c r="DO256" s="743">
        <f t="shared" si="608"/>
        <v>-2.1299254526091888E-3</v>
      </c>
      <c r="DP256" s="535">
        <f>(VLOOKUP(Sheet1!DC254,hhdcap_wcm,4)-(((VLOOKUP(Sheet1!DC254,hhdcap_wcm,3)-Sheet1!DC254)/(VLOOKUP(Sheet1!DC254,hhdcap_wcm,3)-VLOOKUP(Sheet1!DC254,hhdcap_wcm,1)))*(VLOOKUP(Sheet1!DC254,hhdcap_wcm,4)-VLOOKUP(Sheet1!DC254,hhdcap_wcm,2))))</f>
        <v>32005.80000008221</v>
      </c>
      <c r="DQ256" s="535">
        <f t="shared" si="609"/>
        <v>-449.80000000041764</v>
      </c>
      <c r="DR256" s="535">
        <f t="shared" si="610"/>
        <v>-226.82803832597961</v>
      </c>
      <c r="DS256" s="535">
        <f>Sheet1!EA254*AFtoMG</f>
        <v>0</v>
      </c>
      <c r="DT256" s="535">
        <f>Sheet1!EB254*AFtoMG</f>
        <v>0</v>
      </c>
      <c r="DU256" s="535">
        <f>Sheet1!EC254*AFtoMG</f>
        <v>0</v>
      </c>
      <c r="DV256" s="535">
        <f>Sheet1!ED254*AFtoMG</f>
        <v>0</v>
      </c>
      <c r="DW256" s="535">
        <f t="shared" si="611"/>
        <v>0</v>
      </c>
      <c r="DX256" s="535">
        <f t="shared" si="612"/>
        <v>0</v>
      </c>
      <c r="DY256" s="535">
        <f t="shared" si="613"/>
        <v>1551.385471998866</v>
      </c>
      <c r="DZ256" s="535">
        <f t="shared" si="614"/>
        <v>4759.6506280925214</v>
      </c>
      <c r="EA256" s="535"/>
      <c r="EB256" s="521">
        <f>IF(OR(B256&lt;FV256,B256&gt;FW256),(MIN(BF256+BY256+CT256+MAX(Sheet1!AA254+AQ256-73,0),K256)),0)</f>
        <v>0</v>
      </c>
      <c r="EC256" s="535"/>
      <c r="ED256" s="535">
        <f t="shared" si="615"/>
        <v>24.597497337593182</v>
      </c>
      <c r="EE256" s="535"/>
      <c r="EF256" s="535">
        <f>Sheet1!EH254+Sheet1!EI254+Sheet1!EJ254+Sheet1!EK254</f>
        <v>44</v>
      </c>
      <c r="EG256" s="1019">
        <f t="shared" si="550"/>
        <v>68.067999999999998</v>
      </c>
      <c r="EH256" s="521">
        <f t="shared" si="616"/>
        <v>0</v>
      </c>
      <c r="EI256" s="535">
        <f>IF(Sheet1!ET254=1,SUM('Calculations II'!AT256:BA256)+'Calculations II'!BC256+Sheet1!BV254+'Calculations II'!BE256+AP256,'Calculations II'!BK256)</f>
        <v>73.008406662406813</v>
      </c>
      <c r="EJ256" s="535">
        <f ca="1">EI256+'Calculations II'!D256+'Calculations II'!E256+'Calculations II'!O256</f>
        <v>75.035686630326566</v>
      </c>
      <c r="EK256" s="535"/>
      <c r="EL256" s="535"/>
      <c r="EM256" s="535">
        <f t="shared" si="617"/>
        <v>42980</v>
      </c>
      <c r="EN256" s="535">
        <f t="shared" si="618"/>
        <v>-44.106964856230036</v>
      </c>
      <c r="EO256" s="535">
        <f t="shared" si="619"/>
        <v>-68.233474632587857</v>
      </c>
      <c r="EP256" s="535">
        <v>0</v>
      </c>
      <c r="EQ256" s="535">
        <v>0</v>
      </c>
      <c r="ER256" s="535">
        <v>0</v>
      </c>
      <c r="ES256" s="521">
        <f t="shared" si="516"/>
        <v>-2.2170895368118133</v>
      </c>
      <c r="ET256" s="535">
        <f>-(VLOOKUP(Sheet1!BQ254,Lookup!$O$4:$Q$262,2)-VLOOKUP(Sheet1!BQ253,Lookup!$O$4:$Q$262,2))/1000000</f>
        <v>-1.108365283224739</v>
      </c>
      <c r="EU256" s="535">
        <f>-(VLOOKUP(Sheet1!BR254,Lookup!$O$4:$Q$262,3)-VLOOKUP(Sheet1!BR253,Lookup!$O$4:$Q$262,3))/1000000</f>
        <v>-1.1087242535870745</v>
      </c>
      <c r="EV256" s="535"/>
      <c r="EW256" s="535"/>
      <c r="EX256" s="535"/>
      <c r="EY256" s="535"/>
      <c r="EZ256" s="535"/>
      <c r="FA256" s="535"/>
      <c r="FB256" s="535"/>
      <c r="FC256" s="535"/>
      <c r="FD256" s="567">
        <f t="shared" si="566"/>
        <v>1128.3428571427878</v>
      </c>
      <c r="FE256" s="567" t="e">
        <f t="shared" si="620"/>
        <v>#N/A</v>
      </c>
      <c r="FF256" s="568" t="e">
        <f t="shared" si="621"/>
        <v>#N/A</v>
      </c>
      <c r="FG256" s="569" t="s">
        <v>656</v>
      </c>
      <c r="FH256" s="569" t="s">
        <v>656</v>
      </c>
      <c r="FI256" s="567" t="e">
        <v>#N/A</v>
      </c>
      <c r="FJ256" s="725">
        <v>15483</v>
      </c>
      <c r="FK256" s="535"/>
      <c r="FL256" s="1015">
        <f t="shared" si="565"/>
        <v>109.43015632879475</v>
      </c>
      <c r="FM256" s="535"/>
      <c r="FN256" s="535"/>
      <c r="FO256" s="535">
        <f>O256+((Sheet1!CS254)*GPMtoMGD)</f>
        <v>99.154624000000013</v>
      </c>
      <c r="FP256" s="535">
        <f>IF(Sheet1!AA254+AQ256&lt;=Calculation!N256,AQ256,Calculation!N256-Sheet1!AA254)</f>
        <v>20.63349114660852</v>
      </c>
      <c r="FQ256" s="535">
        <f>(Sheet1!BP254+Sheet1!BO254)/694.4</f>
        <v>3.7402073732718901</v>
      </c>
      <c r="FR256" s="541"/>
      <c r="FS256" s="541"/>
      <c r="FT256" s="541"/>
      <c r="FU256" s="541"/>
      <c r="FV256" s="1109">
        <f t="shared" si="517"/>
        <v>42918</v>
      </c>
      <c r="FW256" s="1109">
        <f t="shared" si="518"/>
        <v>43027</v>
      </c>
      <c r="FX256" s="541"/>
      <c r="FY256" s="541">
        <f>Sheet1!DA254-Sheet1!CZ254-Sheet1!AE254</f>
        <v>-141.81030000000001</v>
      </c>
      <c r="FZ256" s="535">
        <f t="shared" si="551"/>
        <v>-1.3613096818101516</v>
      </c>
      <c r="GA256" s="535"/>
      <c r="GB256" s="535" t="str">
        <f t="shared" si="519"/>
        <v>n</v>
      </c>
      <c r="GC256" s="539">
        <f t="shared" si="520"/>
        <v>42782</v>
      </c>
      <c r="GD256" s="1109">
        <f t="shared" si="521"/>
        <v>42904</v>
      </c>
      <c r="GE256" s="535">
        <f t="shared" si="537"/>
        <v>6520</v>
      </c>
      <c r="GF256" s="1109">
        <f t="shared" si="522"/>
        <v>42909</v>
      </c>
      <c r="GG256" s="535">
        <f t="shared" si="564"/>
        <v>3260</v>
      </c>
      <c r="GH256" s="539">
        <f t="shared" si="523"/>
        <v>43040</v>
      </c>
      <c r="GJ256" s="521">
        <f t="shared" si="524"/>
        <v>0</v>
      </c>
      <c r="GK256" s="535" t="str">
        <f t="shared" si="622"/>
        <v/>
      </c>
      <c r="GL256" s="535">
        <f t="shared" si="525"/>
        <v>0</v>
      </c>
      <c r="GM256" s="535" t="str">
        <f t="shared" si="526"/>
        <v/>
      </c>
      <c r="GN256" s="535">
        <f>IF(GK256="P",Lookup!$M$12,IF(GK256="PP",Lookup!$M$13,IF(GK256="PPP",Lookup!$M$14,IF(GK256="T",Lookup!$M$15,IF(GK256="TP",Lookup!$M$16,IF(GK256="TPP",Lookup!$M$17,IF(GK256="TPPP",Lookup!$M$18,0)))))))*GJ256</f>
        <v>0</v>
      </c>
      <c r="GO256" s="535">
        <f t="shared" si="527"/>
        <v>0</v>
      </c>
      <c r="GP256" s="535">
        <f t="shared" si="623"/>
        <v>2314.6666514385761</v>
      </c>
      <c r="GQ256" s="974">
        <f t="shared" si="567"/>
        <v>754.45457999953589</v>
      </c>
      <c r="GR256" s="535"/>
      <c r="GS256" s="535">
        <f t="shared" si="528"/>
        <v>0</v>
      </c>
      <c r="GT256" s="535" t="str">
        <f t="shared" si="529"/>
        <v/>
      </c>
      <c r="GU256" s="535">
        <f>IF(GK256="P",Lookup!$N$12,IF(GK256="PP",Lookup!$N$13,IF(GK256="PPP",Lookup!$N$14,IF(GK256="T",Lookup!$N$15,IF(GK256="TP",Lookup!$N$16,IF(GK256="TPP",Lookup!$N$17,IF(GK256="TPPP",Lookup!$N$18,0)))))))*GJ256</f>
        <v>0</v>
      </c>
      <c r="GV256" s="535">
        <f t="shared" si="530"/>
        <v>0</v>
      </c>
      <c r="GW256" s="535">
        <f t="shared" si="624"/>
        <v>1080.7077031962112</v>
      </c>
      <c r="GX256" s="974">
        <f t="shared" si="568"/>
        <v>352.25153298442348</v>
      </c>
      <c r="GY256" s="535"/>
      <c r="GZ256" s="535">
        <f t="shared" si="531"/>
        <v>0</v>
      </c>
      <c r="HA256" s="535" t="str">
        <f t="shared" si="532"/>
        <v/>
      </c>
      <c r="HB256" s="535">
        <f>IF(GK256="P",Lookup!$N$12,IF(GK256="PP",Lookup!$N$13,IF(GK256="PPP",Lookup!$N$14,IF(GK256="T",Lookup!$N$15,IF(GK256="TP",Lookup!$N$16,IF(GK256="TPP",Lookup!$N$17,IF(GK256="TPPP",Lookup!$N$18,0)))))))*GJ256</f>
        <v>0</v>
      </c>
      <c r="HC256" s="521">
        <f t="shared" si="625"/>
        <v>0</v>
      </c>
      <c r="HD256" s="535">
        <f t="shared" si="626"/>
        <v>637.65521069773251</v>
      </c>
      <c r="HE256" s="535">
        <f t="shared" si="535"/>
        <v>207.8406814529767</v>
      </c>
      <c r="HF256" s="535"/>
      <c r="HG256" s="535">
        <f t="shared" si="533"/>
        <v>0</v>
      </c>
      <c r="HH256" s="535" t="str">
        <f t="shared" si="534"/>
        <v/>
      </c>
      <c r="HI256" s="535">
        <f>IF(GK256="P",Lookup!$N$12,IF(GK256="PP",Lookup!$N$13,IF(GK256="PPP",Lookup!$N$14,IF(GK256="T",Lookup!$N$15,IF(GK256="TP",Lookup!$N$16,IF(GK256="TPP",Lookup!$N$17,IF(GK256="TPPP",Lookup!$N$18,0)))))))*GJ256</f>
        <v>0</v>
      </c>
      <c r="HJ256" s="521">
        <f t="shared" si="627"/>
        <v>0</v>
      </c>
      <c r="HK256" s="535">
        <f t="shared" si="628"/>
        <v>726.62106276000111</v>
      </c>
      <c r="HL256" s="535">
        <f t="shared" si="536"/>
        <v>236.83867756192996</v>
      </c>
      <c r="HM256" s="535"/>
      <c r="HN256" s="541"/>
      <c r="HO256" s="541"/>
      <c r="HP256" s="541"/>
      <c r="HQ256" s="541">
        <f>IF(AND(B256&gt;=$FV$4,B256&lt;=$FW$4),MAX(110/1.02+$HQ$6+MIN(113/1.02,G256),IF($HV$6-(Sheet1!DA254-Sheet1!DB254)+MIN(113/1.02,G256)&lt;G256+FL256,$HV$6-(Sheet1!DA254-Sheet1!DB254)+MIN(113/1.02,G256),G256+FL256)),MIN(110/1.02+$HQ$6+113/1.02,G256))</f>
        <v>213.60211800281513</v>
      </c>
      <c r="HR256" s="541">
        <f t="shared" si="552"/>
        <v>217.87416036287144</v>
      </c>
      <c r="HS256" s="541">
        <f>HR256+(Sheet1!DA254-Sheet1!DB254)</f>
        <v>372.87416036287141</v>
      </c>
      <c r="HT256" s="541">
        <f t="shared" si="553"/>
        <v>79.364971618743354</v>
      </c>
      <c r="HU256" s="541">
        <f t="shared" si="554"/>
        <v>293.50918874412804</v>
      </c>
      <c r="HV256" s="541">
        <f t="shared" si="555"/>
        <v>0</v>
      </c>
      <c r="HW256" s="533" t="str">
        <f t="shared" si="556"/>
        <v/>
      </c>
      <c r="HX256" s="541">
        <f t="shared" si="557"/>
        <v>49.164407364597025</v>
      </c>
      <c r="HY256" s="541">
        <f>Sheet1!CZ254</f>
        <v>331</v>
      </c>
      <c r="HZ256" s="541">
        <f t="shared" si="558"/>
        <v>68.233474632587857</v>
      </c>
      <c r="IA256" s="541">
        <f t="shared" si="559"/>
        <v>79.364971618743354</v>
      </c>
      <c r="IB256" s="541">
        <f t="shared" si="560"/>
        <v>262.76652536741216</v>
      </c>
      <c r="IC256" s="1019" t="str">
        <f t="shared" si="561"/>
        <v/>
      </c>
      <c r="ID256" s="541">
        <f t="shared" si="562"/>
        <v>183.40155374866879</v>
      </c>
      <c r="IE256" s="541">
        <f>Sheet1!DB254</f>
        <v>181</v>
      </c>
      <c r="IF256" s="533">
        <f>Sheet1!DA254</f>
        <v>336</v>
      </c>
      <c r="IH256" s="541">
        <f>IF(AND($B256&gt;=$GC256,$B256&lt;=$GH256,$DR256&lt;0)+N("only adjusted when pool is drawn down during storage season"),Sheet1!$DB254+$DR256+N("Palmer minus all storage release"),Sheet1!$DB254)</f>
        <v>-45.828038325979605</v>
      </c>
      <c r="II256" s="541">
        <f>IF(AND($B256&gt;=$GC256,$B256&lt;=$GH256,$DR256&lt;0)+N("only adjusted when pool is drawn down during storage season"),Sheet1!$DA254+$DR256+N("Auburn minus all storage release"),Sheet1!$DA254)</f>
        <v>109.17196167402039</v>
      </c>
    </row>
    <row r="257" spans="1:243" x14ac:dyDescent="0.25">
      <c r="A257" s="553" t="s">
        <v>3</v>
      </c>
      <c r="B257" s="531">
        <v>42981</v>
      </c>
      <c r="C257" s="536">
        <v>0</v>
      </c>
      <c r="D257" s="506">
        <f t="shared" si="506"/>
        <v>200</v>
      </c>
      <c r="E257" s="506">
        <f t="shared" si="507"/>
        <v>400</v>
      </c>
      <c r="F257" s="506">
        <v>250</v>
      </c>
      <c r="G257" s="535">
        <f>DR257+Sheet1!CZ255</f>
        <v>101.14624306495384</v>
      </c>
      <c r="H257" s="1074">
        <f t="shared" si="563"/>
        <v>0</v>
      </c>
      <c r="I257" s="534">
        <f>IF(Sheet1!DA255&gt;=E257,(Sheet1!DA255-E257+P257)*CFStoMGD,0)</f>
        <v>0</v>
      </c>
      <c r="J257" s="995">
        <f>IF(Sheet1!DB255&gt;=D257,(Sheet1!DB255-D257+P257)*CFStoMGD,0)</f>
        <v>0</v>
      </c>
      <c r="K257" s="818">
        <f t="shared" si="538"/>
        <v>0</v>
      </c>
      <c r="L257" s="535">
        <f>Sheet1!AA255+Sheet1!AB255-Sheet1!L255+(Sheet1!DA255-F257)*CFStoMGD-S257-T257-U257</f>
        <v>107.21967461139894</v>
      </c>
      <c r="M257" s="535">
        <f t="shared" si="569"/>
        <v>66.688550147529881</v>
      </c>
      <c r="N257" s="824">
        <f>IF(Sheet1!DA255&gt;=F257,MIN(113*CFStoMGD,MIN(MAX(L257,0),MAX(M257,0))),0)</f>
        <v>66.688550147529881</v>
      </c>
      <c r="O257" s="538">
        <f>Sheet1!AA255+Sheet1!AB255</f>
        <v>94.38</v>
      </c>
      <c r="P257" s="538">
        <f t="shared" si="570"/>
        <v>146.00585999999998</v>
      </c>
      <c r="Q257" s="812">
        <f t="shared" si="539"/>
        <v>51.629274611398955</v>
      </c>
      <c r="R257" s="812">
        <f t="shared" si="508"/>
        <v>44</v>
      </c>
      <c r="S257" s="812">
        <f t="shared" si="509"/>
        <v>0</v>
      </c>
      <c r="T257" s="812">
        <f t="shared" si="510"/>
        <v>0</v>
      </c>
      <c r="U257" s="812">
        <f>IF(AND(B257&gt;=FV257,B257&lt;=FW257),ED257+Sheet1!EH255,0)</f>
        <v>42.75072538860104</v>
      </c>
      <c r="V257" s="812"/>
      <c r="W257" s="812">
        <f t="shared" si="511"/>
        <v>0</v>
      </c>
      <c r="X257" s="812">
        <f t="shared" si="512"/>
        <v>0</v>
      </c>
      <c r="Y257" s="812" t="str">
        <f t="shared" si="513"/>
        <v>FALSE</v>
      </c>
      <c r="Z257" s="812">
        <f t="shared" si="514"/>
        <v>94.38</v>
      </c>
      <c r="AA257" s="812">
        <f t="shared" si="515"/>
        <v>94.38</v>
      </c>
      <c r="AB257" s="1059">
        <f t="shared" si="540"/>
        <v>79.870487823834182</v>
      </c>
      <c r="AC257" s="538">
        <f>Sheet1!Y255*MGDtoCFS</f>
        <v>74.333349999999996</v>
      </c>
      <c r="AD257" s="538">
        <f>Sheet1!Z255*MGDtoCFS</f>
        <v>72.476950000000002</v>
      </c>
      <c r="AE257" s="538">
        <f>Sheet1!AA255*MGDtoCFS</f>
        <v>74.256</v>
      </c>
      <c r="AF257" s="538">
        <f>Sheet1!AB255*MGDtoCFS</f>
        <v>71.749859999999998</v>
      </c>
      <c r="AG257" s="538">
        <f>Sheet1!L255*MGDtoCFS</f>
        <v>0</v>
      </c>
      <c r="AH257" s="521">
        <f t="shared" si="571"/>
        <v>44</v>
      </c>
      <c r="AI257" s="1059">
        <f t="shared" si="572"/>
        <v>68.067999999999998</v>
      </c>
      <c r="AJ257" s="535">
        <f t="shared" si="573"/>
        <v>0</v>
      </c>
      <c r="AK257" s="535">
        <f t="shared" si="574"/>
        <v>0</v>
      </c>
      <c r="AL257" s="535">
        <f>(VLOOKUP(Sheet1!DC255,hhdcap_wcm,4)-(((VLOOKUP(Sheet1!DC255,hhdcap_wcm,3)-Sheet1!DC255)/(VLOOKUP(Sheet1!DC255,hhdcap_wcm,3)-VLOOKUP(Sheet1!DC255,hhdcap_wcm,1)))*(VLOOKUP(Sheet1!DC255,hhdcap_wcm,4)-VLOOKUP(Sheet1!DC255,hhdcap_wcm,2))))</f>
        <v>31550.000000080014</v>
      </c>
      <c r="AM257" s="535">
        <f t="shared" si="575"/>
        <v>-455.80000000219661</v>
      </c>
      <c r="AN257" s="1035">
        <f t="shared" si="576"/>
        <v>1507.385471998866</v>
      </c>
      <c r="AO257" s="535">
        <f t="shared" si="577"/>
        <v>4624.6586280925212</v>
      </c>
      <c r="AP257" s="535">
        <f>Sheet1!BA255+Sheet1!BB255+Sheet1!BN255+CD257</f>
        <v>22.6</v>
      </c>
      <c r="AQ257" s="535">
        <f>Sheet1!BN255+(DO257*Sheet1!BN255)</f>
        <v>22.629274611398966</v>
      </c>
      <c r="AR257" s="535">
        <f>Sheet1!BA255+CD257</f>
        <v>0</v>
      </c>
      <c r="AS257" s="535">
        <f>Sheet1!BA255+Sheet1!BB255+CD257</f>
        <v>0</v>
      </c>
      <c r="AT257" s="649">
        <f>0</f>
        <v>0</v>
      </c>
      <c r="AU257" s="974">
        <f>BA257+MAX(Sheet1!EH255,(O257-Q257-ED257-S257))</f>
        <v>19.000000000000004</v>
      </c>
      <c r="AV257" s="535">
        <f>IF(OR(B257&gt;=GD257,B257&lt;GC257),0,15/36*K257-MAX(0,64.6-(137.6-(Sheet1!AA255+Sheet1!AB255))))</f>
        <v>0</v>
      </c>
      <c r="AW257" s="1029"/>
      <c r="AX257" s="649"/>
      <c r="AY257" s="649">
        <f t="shared" si="541"/>
        <v>13.434015228090965</v>
      </c>
      <c r="AZ257" s="649">
        <f t="shared" si="542"/>
        <v>0</v>
      </c>
      <c r="BA257" s="1059">
        <f t="shared" si="543"/>
        <v>0</v>
      </c>
      <c r="BB257" s="1019">
        <f t="shared" si="578"/>
        <v>735.45457999953589</v>
      </c>
      <c r="BC257" s="1041">
        <f t="shared" si="544"/>
        <v>0</v>
      </c>
      <c r="BD257" s="1019">
        <f ca="1">IF(B257&gt;(Summary!$A$1-1),#N/A,BB257*MGtoAF)</f>
        <v>2256.3746514385762</v>
      </c>
      <c r="BE257" s="535">
        <f>Sheet1!BG255+Sheet1!BH255+Sheet1!BI255-BM257</f>
        <v>5.6899999999999995</v>
      </c>
      <c r="BF257" s="535">
        <f t="shared" si="579"/>
        <v>5.6973704663212432</v>
      </c>
      <c r="BG257" s="535">
        <f>IF(Sheet1!EP255="FM",BM257,0)</f>
        <v>0</v>
      </c>
      <c r="BH257" s="535">
        <f t="shared" si="580"/>
        <v>0</v>
      </c>
      <c r="BI257" s="535">
        <f>IF(Sheet1!EP255="OTHER",BM257,0)</f>
        <v>0</v>
      </c>
      <c r="BJ257" s="535">
        <f t="shared" si="581"/>
        <v>0</v>
      </c>
      <c r="BK257" s="535">
        <f t="shared" si="582"/>
        <v>5.6899999999999995</v>
      </c>
      <c r="BL257" s="535">
        <f t="shared" si="583"/>
        <v>5.6973704663212432</v>
      </c>
      <c r="BM257" s="535">
        <f>IF(OR(Sheet1!EP255="FM", Sheet1!EP255="OTHER"),SUM(Sheet1!BG255:'Sheet1'!BI255),0)</f>
        <v>0</v>
      </c>
      <c r="BN257" s="521">
        <f>IF(AND($B257&gt;=$FV257,$B257&lt;=$FW257),MAX(BF257,Sheet1!EI255,0),MAX(BF257-(7/36)*$K257,0))</f>
        <v>6</v>
      </c>
      <c r="BO257" s="535">
        <f t="shared" si="584"/>
        <v>0</v>
      </c>
      <c r="BP257" s="521">
        <f t="shared" si="585"/>
        <v>0</v>
      </c>
      <c r="BQ257" s="521">
        <f>IF(AND($O257&gt;0,Sheet1!EM255=1),(1-($O257-Sheet1!$L255)/$O257)*BL257,0)</f>
        <v>0</v>
      </c>
      <c r="BR257" s="521">
        <f>IF(AND(Sheet1!$L255=0,Sheet1!$L254=0, Calculation!BK257&lt;Sheet1!$EI255-0.1,Sheet1!$EI255=Sheet1!$EI254,Sheet1!$EI255=Sheet1!$EI256),BL257-BQ257,BL257-BQ257)</f>
        <v>5.6973704663212432</v>
      </c>
      <c r="BS257" s="1035" t="str">
        <f t="shared" si="545"/>
        <v/>
      </c>
      <c r="BT257" s="1035">
        <f t="shared" si="546"/>
        <v>0</v>
      </c>
      <c r="BU257" s="535">
        <f t="shared" si="586"/>
        <v>346.25153298442348</v>
      </c>
      <c r="BV257" s="535"/>
      <c r="BW257" s="535">
        <f ca="1">IF(B257&gt;(Summary!$A$1-1),#N/A,BU257*MGtoAF)</f>
        <v>1062.2997031962113</v>
      </c>
      <c r="BX257" s="535">
        <f>Sheet1!BC255+Sheet1!BD255+Sheet1!BE255+Sheet1!BF255-CG257-CH257</f>
        <v>6.99</v>
      </c>
      <c r="BY257" s="535">
        <f t="shared" si="587"/>
        <v>6.9990544041450784</v>
      </c>
      <c r="BZ257" s="535">
        <f>IF(Sheet1!EQ255="FM",CH257,0)</f>
        <v>0</v>
      </c>
      <c r="CA257" s="535">
        <f t="shared" si="588"/>
        <v>0</v>
      </c>
      <c r="CB257" s="535">
        <f>IF(Sheet1!EQ255="OTHER",CH257,0)</f>
        <v>0</v>
      </c>
      <c r="CC257" s="535">
        <f t="shared" si="589"/>
        <v>0</v>
      </c>
      <c r="CD257" s="535">
        <f t="shared" si="590"/>
        <v>0</v>
      </c>
      <c r="CE257" s="535">
        <f t="shared" si="591"/>
        <v>6.99</v>
      </c>
      <c r="CF257" s="535">
        <f t="shared" si="592"/>
        <v>6.9990544041450784</v>
      </c>
      <c r="CG257" s="535">
        <f>IF(Sheet1!EQ255="CWA",SUM(Sheet1!BC255:'Sheet1'!BF255),0)</f>
        <v>0</v>
      </c>
      <c r="CH257" s="535">
        <f>IF(OR(Sheet1!EQ255="FM", Sheet1!EQ255="OTHER"),SUM(Sheet1!BC255:'Sheet1'!BF255),0)</f>
        <v>0</v>
      </c>
      <c r="CI257" s="521">
        <f>IF(AND($B257&gt;=$FV257,$B257&lt;=$FW257),MAX(CF257,Sheet1!EJ255,0),MAX(CF257-(7/36)*$K257,0))</f>
        <v>7</v>
      </c>
      <c r="CJ257" s="535">
        <f t="shared" si="593"/>
        <v>0</v>
      </c>
      <c r="CK257" s="521">
        <f t="shared" si="594"/>
        <v>0</v>
      </c>
      <c r="CL257" s="521">
        <f>IF(AND($O257&gt;0,Sheet1!EN255=1),(1-($O257-Sheet1!$L255)/$O257)*CF257,0)</f>
        <v>0</v>
      </c>
      <c r="CM257" s="521">
        <f>IF(AND(Sheet1!$L255=0,Sheet1!$L254=0, Calculation!CE257&lt;Sheet1!EJ255-0.1,Sheet1!EJ255=Sheet1!EJ254,Sheet1!EJ255=Sheet1!EJ256),CF257-CL257,CF257-CL257)</f>
        <v>6.9990544041450784</v>
      </c>
      <c r="CN257" s="1040" t="str">
        <f t="shared" si="547"/>
        <v/>
      </c>
      <c r="CO257" s="1035">
        <f t="shared" si="548"/>
        <v>0</v>
      </c>
      <c r="CP257" s="535">
        <f t="shared" si="595"/>
        <v>200.8406814529767</v>
      </c>
      <c r="CQ257" s="535"/>
      <c r="CR257" s="535">
        <f ca="1">IF(B257&gt;(Summary!$A$1-1),#N/A,CP257*MGtoAF)</f>
        <v>616.17921069773251</v>
      </c>
      <c r="CS257" s="535">
        <f>Sheet1!BK255+Sheet1!BL255+Sheet1!BM255-Sheet1!ER255-DA257</f>
        <v>11.04</v>
      </c>
      <c r="CT257" s="535">
        <f t="shared" si="596"/>
        <v>11.054300518134715</v>
      </c>
      <c r="CU257" s="535">
        <f>IF(Sheet1!ER255="FM",DA257,0)</f>
        <v>0</v>
      </c>
      <c r="CV257" s="535">
        <f t="shared" si="597"/>
        <v>0</v>
      </c>
      <c r="CW257" s="535">
        <f>IF(Sheet1!ER255="OTHER",DA257,0)</f>
        <v>0</v>
      </c>
      <c r="CX257" s="535">
        <f t="shared" si="598"/>
        <v>0</v>
      </c>
      <c r="CY257" s="535">
        <f t="shared" si="629"/>
        <v>11.04</v>
      </c>
      <c r="CZ257" s="535">
        <f t="shared" si="630"/>
        <v>11.054300518134715</v>
      </c>
      <c r="DA257" s="535">
        <f>IF(OR(Sheet1!ER255="FM", Sheet1!ER255="OTHER"),SUM(Sheet1!BK255:'Sheet1'!BM255),0)</f>
        <v>0</v>
      </c>
      <c r="DB257" s="1011">
        <f>IF(AND($B257&gt;=$FV257,$B257&lt;=$FW257),MAX($CT257,Sheet1!EK255,0),MAX($CT257-(7/36)*$K257,0))</f>
        <v>12</v>
      </c>
      <c r="DC257" s="1012">
        <f t="shared" si="601"/>
        <v>0</v>
      </c>
      <c r="DD257" s="1011">
        <f t="shared" si="602"/>
        <v>0</v>
      </c>
      <c r="DE257" s="521">
        <f>IF(AND($O257&gt;0,Sheet1!EO255=1),(1-($O257-Sheet1!$L255)/$O257)*CZ257,0)</f>
        <v>0</v>
      </c>
      <c r="DF257" s="521">
        <f>IF(AND(Sheet1!$L255=0,Sheet1!$L254=0, Calculation!CY257&lt;Sheet1!$EK255-0.1,Sheet1!$EK255=Sheet1!$EK254,Sheet1!$EK255=Sheet1!$EK256),CZ257-DE257,CZ257-DE257)</f>
        <v>11.054300518134715</v>
      </c>
      <c r="DG257" s="1040">
        <f t="shared" si="549"/>
        <v>0</v>
      </c>
      <c r="DH257" s="649">
        <f t="shared" si="603"/>
        <v>23.72</v>
      </c>
      <c r="DI257" s="535">
        <f t="shared" si="604"/>
        <v>224.83867756192996</v>
      </c>
      <c r="DJ257" s="649">
        <f t="shared" si="605"/>
        <v>23.750725388601037</v>
      </c>
      <c r="DK257" s="535">
        <f ca="1">IF(B257&gt;(Summary!$A$1-1),#N/A,DI257*MGtoAF)</f>
        <v>689.80506276000108</v>
      </c>
      <c r="DL257" s="649">
        <f t="shared" si="606"/>
        <v>23.72</v>
      </c>
      <c r="DM257" s="535">
        <f t="shared" si="607"/>
        <v>46.32</v>
      </c>
      <c r="DN257" s="535">
        <f>Sheet1!AB255-DM257</f>
        <v>6.0000000000002274E-2</v>
      </c>
      <c r="DO257" s="743">
        <f t="shared" si="608"/>
        <v>1.2953367875648159E-3</v>
      </c>
      <c r="DP257" s="535">
        <f>(VLOOKUP(Sheet1!DC255,hhdcap_wcm,4)-(((VLOOKUP(Sheet1!DC255,hhdcap_wcm,3)-Sheet1!DC255)/(VLOOKUP(Sheet1!DC255,hhdcap_wcm,3)-VLOOKUP(Sheet1!DC255,hhdcap_wcm,1)))*(VLOOKUP(Sheet1!DC255,hhdcap_wcm,4)-VLOOKUP(Sheet1!DC255,hhdcap_wcm,2))))</f>
        <v>31550.000000080014</v>
      </c>
      <c r="DQ257" s="535">
        <f t="shared" si="609"/>
        <v>-455.80000000219661</v>
      </c>
      <c r="DR257" s="535">
        <f t="shared" si="610"/>
        <v>-229.85375693504616</v>
      </c>
      <c r="DS257" s="535">
        <f>Sheet1!EA255*AFtoMG</f>
        <v>0</v>
      </c>
      <c r="DT257" s="535">
        <f>Sheet1!EB255*AFtoMG</f>
        <v>0</v>
      </c>
      <c r="DU257" s="535">
        <f>Sheet1!EC255*AFtoMG</f>
        <v>0</v>
      </c>
      <c r="DV257" s="535">
        <f>Sheet1!ED255*AFtoMG</f>
        <v>0</v>
      </c>
      <c r="DW257" s="535">
        <f t="shared" si="611"/>
        <v>0</v>
      </c>
      <c r="DX257" s="535">
        <f t="shared" si="612"/>
        <v>0</v>
      </c>
      <c r="DY257" s="535">
        <f t="shared" si="613"/>
        <v>1507.385471998866</v>
      </c>
      <c r="DZ257" s="535">
        <f t="shared" si="614"/>
        <v>4624.6586280925212</v>
      </c>
      <c r="EA257" s="535"/>
      <c r="EB257" s="521">
        <f>IF(OR(B257&lt;FV257,B257&gt;FW257),(MIN(BF257+BY257+CT257+MAX(Sheet1!AA255+AQ257-73,0),K257)),0)</f>
        <v>0</v>
      </c>
      <c r="EC257" s="535"/>
      <c r="ED257" s="535">
        <f t="shared" si="615"/>
        <v>23.750725388601037</v>
      </c>
      <c r="EE257" s="535"/>
      <c r="EF257" s="535">
        <f>Sheet1!EH255+Sheet1!EI255+Sheet1!EJ255+Sheet1!EK255</f>
        <v>44</v>
      </c>
      <c r="EG257" s="1019">
        <f t="shared" si="550"/>
        <v>68.067999999999998</v>
      </c>
      <c r="EH257" s="521">
        <f t="shared" si="616"/>
        <v>0</v>
      </c>
      <c r="EI257" s="535">
        <f>IF(Sheet1!ET255=1,SUM('Calculations II'!AT257:BA257)+'Calculations II'!BC257+Sheet1!BV255+'Calculations II'!BE257+AP257,'Calculations II'!BK257)</f>
        <v>73.440814611398977</v>
      </c>
      <c r="EJ257" s="535">
        <f ca="1">EI257+'Calculations II'!D257+'Calculations II'!E257+'Calculations II'!O257</f>
        <v>77.362170639759483</v>
      </c>
      <c r="EK257" s="535"/>
      <c r="EL257" s="535"/>
      <c r="EM257" s="535">
        <f t="shared" si="617"/>
        <v>42981</v>
      </c>
      <c r="EN257" s="535">
        <f t="shared" si="618"/>
        <v>-44</v>
      </c>
      <c r="EO257" s="535">
        <f t="shared" si="619"/>
        <v>-68.067999999999998</v>
      </c>
      <c r="EP257" s="535">
        <v>0</v>
      </c>
      <c r="EQ257" s="535">
        <v>0</v>
      </c>
      <c r="ER257" s="535">
        <v>0</v>
      </c>
      <c r="ES257" s="521">
        <f t="shared" si="516"/>
        <v>-2.2179101161707604</v>
      </c>
      <c r="ET257" s="535">
        <f>-(VLOOKUP(Sheet1!BQ255,Lookup!$O$4:$Q$262,2)-VLOOKUP(Sheet1!BQ254,Lookup!$O$4:$Q$262,2))/1000000</f>
        <v>-1.1087755397970118</v>
      </c>
      <c r="EU257" s="535">
        <f>-(VLOOKUP(Sheet1!BR255,Lookup!$O$4:$Q$262,3)-VLOOKUP(Sheet1!BR254,Lookup!$O$4:$Q$262,3))/1000000</f>
        <v>-1.1091345763737486</v>
      </c>
      <c r="EV257" s="535"/>
      <c r="EW257" s="535"/>
      <c r="EX257" s="535"/>
      <c r="EY257" s="535"/>
      <c r="EZ257" s="535"/>
      <c r="FA257" s="535"/>
      <c r="FB257" s="535"/>
      <c r="FC257" s="535"/>
      <c r="FD257" s="567">
        <f t="shared" si="566"/>
        <v>1128.0464285713595</v>
      </c>
      <c r="FE257" s="567" t="e">
        <f t="shared" si="620"/>
        <v>#N/A</v>
      </c>
      <c r="FF257" s="568" t="e">
        <f t="shared" si="621"/>
        <v>#N/A</v>
      </c>
      <c r="FG257" s="569" t="s">
        <v>656</v>
      </c>
      <c r="FH257" s="569" t="s">
        <v>656</v>
      </c>
      <c r="FI257" s="567" t="e">
        <v>#N/A</v>
      </c>
      <c r="FJ257" s="725">
        <v>15266</v>
      </c>
      <c r="FK257" s="535"/>
      <c r="FL257" s="1015">
        <f t="shared" si="565"/>
        <v>108.92586989409985</v>
      </c>
      <c r="FM257" s="535"/>
      <c r="FN257" s="535"/>
      <c r="FO257" s="535">
        <f>O257+((Sheet1!CS255)*GPMtoMGD)</f>
        <v>98.642111999999997</v>
      </c>
      <c r="FP257" s="535">
        <f>IF(Sheet1!AA255+AQ257&lt;=Calculation!N257,AQ257,Calculation!N257-Sheet1!AA255)</f>
        <v>18.688550147529881</v>
      </c>
      <c r="FQ257" s="535">
        <f>(Sheet1!BP255+Sheet1!BO255)/694.4</f>
        <v>3.668346774193548</v>
      </c>
      <c r="FR257" s="541"/>
      <c r="FS257" s="541"/>
      <c r="FT257" s="541"/>
      <c r="FU257" s="541"/>
      <c r="FV257" s="1109">
        <f t="shared" si="517"/>
        <v>42918</v>
      </c>
      <c r="FW257" s="1109">
        <f t="shared" si="518"/>
        <v>43027</v>
      </c>
      <c r="FX257" s="541"/>
      <c r="FY257" s="541">
        <f>Sheet1!DA255-Sheet1!CZ255-Sheet1!AE255</f>
        <v>-141.00585999999998</v>
      </c>
      <c r="FZ257" s="535">
        <f t="shared" si="551"/>
        <v>-1.3940790653929598</v>
      </c>
      <c r="GA257" s="535"/>
      <c r="GB257" s="535" t="str">
        <f t="shared" si="519"/>
        <v>n</v>
      </c>
      <c r="GC257" s="539">
        <f t="shared" si="520"/>
        <v>42782</v>
      </c>
      <c r="GD257" s="1109">
        <f t="shared" si="521"/>
        <v>42904</v>
      </c>
      <c r="GE257" s="535">
        <f t="shared" si="537"/>
        <v>6520</v>
      </c>
      <c r="GF257" s="1109">
        <f t="shared" si="522"/>
        <v>42909</v>
      </c>
      <c r="GG257" s="535">
        <f t="shared" si="564"/>
        <v>3260</v>
      </c>
      <c r="GH257" s="539">
        <f t="shared" si="523"/>
        <v>43040</v>
      </c>
      <c r="GJ257" s="521">
        <f t="shared" si="524"/>
        <v>0</v>
      </c>
      <c r="GK257" s="535" t="str">
        <f t="shared" si="622"/>
        <v/>
      </c>
      <c r="GL257" s="535">
        <f t="shared" si="525"/>
        <v>0</v>
      </c>
      <c r="GM257" s="535" t="str">
        <f t="shared" si="526"/>
        <v/>
      </c>
      <c r="GN257" s="535">
        <f>IF(GK257="P",Lookup!$M$12,IF(GK257="PP",Lookup!$M$13,IF(GK257="PPP",Lookup!$M$14,IF(GK257="T",Lookup!$M$15,IF(GK257="TP",Lookup!$M$16,IF(GK257="TPP",Lookup!$M$17,IF(GK257="TPPP",Lookup!$M$18,0)))))))*GJ257</f>
        <v>0</v>
      </c>
      <c r="GO257" s="535">
        <f t="shared" si="527"/>
        <v>0</v>
      </c>
      <c r="GP257" s="535">
        <f t="shared" si="623"/>
        <v>2256.3746514385762</v>
      </c>
      <c r="GQ257" s="974">
        <f t="shared" si="567"/>
        <v>735.45457999953589</v>
      </c>
      <c r="GR257" s="535"/>
      <c r="GS257" s="535">
        <f t="shared" si="528"/>
        <v>0</v>
      </c>
      <c r="GT257" s="535" t="str">
        <f t="shared" si="529"/>
        <v/>
      </c>
      <c r="GU257" s="535">
        <f>IF(GK257="P",Lookup!$N$12,IF(GK257="PP",Lookup!$N$13,IF(GK257="PPP",Lookup!$N$14,IF(GK257="T",Lookup!$N$15,IF(GK257="TP",Lookup!$N$16,IF(GK257="TPP",Lookup!$N$17,IF(GK257="TPPP",Lookup!$N$18,0)))))))*GJ257</f>
        <v>0</v>
      </c>
      <c r="GV257" s="535">
        <f t="shared" si="530"/>
        <v>0</v>
      </c>
      <c r="GW257" s="535">
        <f t="shared" si="624"/>
        <v>1062.2997031962113</v>
      </c>
      <c r="GX257" s="974">
        <f t="shared" si="568"/>
        <v>346.25153298442348</v>
      </c>
      <c r="GY257" s="535"/>
      <c r="GZ257" s="535">
        <f t="shared" si="531"/>
        <v>0</v>
      </c>
      <c r="HA257" s="535" t="str">
        <f t="shared" si="532"/>
        <v/>
      </c>
      <c r="HB257" s="535">
        <f>IF(GK257="P",Lookup!$N$12,IF(GK257="PP",Lookup!$N$13,IF(GK257="PPP",Lookup!$N$14,IF(GK257="T",Lookup!$N$15,IF(GK257="TP",Lookup!$N$16,IF(GK257="TPP",Lookup!$N$17,IF(GK257="TPPP",Lookup!$N$18,0)))))))*GJ257</f>
        <v>0</v>
      </c>
      <c r="HC257" s="521">
        <f t="shared" si="625"/>
        <v>0</v>
      </c>
      <c r="HD257" s="535">
        <f t="shared" si="626"/>
        <v>616.17921069773251</v>
      </c>
      <c r="HE257" s="535">
        <f t="shared" si="535"/>
        <v>200.8406814529767</v>
      </c>
      <c r="HF257" s="535"/>
      <c r="HG257" s="535">
        <f t="shared" si="533"/>
        <v>0</v>
      </c>
      <c r="HH257" s="535" t="str">
        <f t="shared" si="534"/>
        <v/>
      </c>
      <c r="HI257" s="535">
        <f>IF(GK257="P",Lookup!$N$12,IF(GK257="PP",Lookup!$N$13,IF(GK257="PPP",Lookup!$N$14,IF(GK257="T",Lookup!$N$15,IF(GK257="TP",Lookup!$N$16,IF(GK257="TPP",Lookup!$N$17,IF(GK257="TPPP",Lookup!$N$18,0)))))))*GJ257</f>
        <v>0</v>
      </c>
      <c r="HJ257" s="521">
        <f t="shared" si="627"/>
        <v>0</v>
      </c>
      <c r="HK257" s="535">
        <f t="shared" si="628"/>
        <v>689.80506276000108</v>
      </c>
      <c r="HL257" s="535">
        <f t="shared" si="536"/>
        <v>224.83867756192996</v>
      </c>
      <c r="HM257" s="535"/>
      <c r="HN257" s="541"/>
      <c r="HO257" s="541"/>
      <c r="HP257" s="541"/>
      <c r="HQ257" s="541">
        <f>IF(AND(B257&gt;=$FV$4,B257&lt;=$FW$4),MAX(110/1.02+$HQ$6+MIN(113/1.02,G257),IF($HV$6-(Sheet1!DA255-Sheet1!DB255)+MIN(113/1.02,G257)&lt;G257+FL257,$HV$6-(Sheet1!DA255-Sheet1!DB255)+MIN(113/1.02,G257),G257+FL257)),MIN(110/1.02+$HQ$6+113/1.02,G257))</f>
        <v>210.0721129590537</v>
      </c>
      <c r="HR257" s="541">
        <f t="shared" si="552"/>
        <v>214.27355521823478</v>
      </c>
      <c r="HS257" s="541">
        <f>HR257+(Sheet1!DA255-Sheet1!DB255)</f>
        <v>367.27355521823478</v>
      </c>
      <c r="HT257" s="541">
        <f t="shared" si="553"/>
        <v>79.870487823834182</v>
      </c>
      <c r="HU257" s="541">
        <f t="shared" si="554"/>
        <v>287.40306739440058</v>
      </c>
      <c r="HV257" s="541">
        <f t="shared" si="555"/>
        <v>0</v>
      </c>
      <c r="HW257" s="533" t="str">
        <f t="shared" si="556"/>
        <v/>
      </c>
      <c r="HX257" s="541">
        <f t="shared" si="557"/>
        <v>52.859887040946319</v>
      </c>
      <c r="HY257" s="541">
        <f>Sheet1!CZ255</f>
        <v>331</v>
      </c>
      <c r="HZ257" s="541">
        <f t="shared" si="558"/>
        <v>68.067999999999998</v>
      </c>
      <c r="IA257" s="541">
        <f t="shared" si="559"/>
        <v>79.870487823834182</v>
      </c>
      <c r="IB257" s="541">
        <f t="shared" si="560"/>
        <v>262.93200000000002</v>
      </c>
      <c r="IC257" s="1019" t="str">
        <f t="shared" si="561"/>
        <v/>
      </c>
      <c r="ID257" s="541">
        <f t="shared" si="562"/>
        <v>183.06151217616582</v>
      </c>
      <c r="IE257" s="541">
        <f>Sheet1!DB255</f>
        <v>183</v>
      </c>
      <c r="IF257" s="533">
        <f>Sheet1!DA255</f>
        <v>336</v>
      </c>
      <c r="IH257" s="541">
        <f>IF(AND($B257&gt;=$GC257,$B257&lt;=$GH257,$DR257&lt;0)+N("only adjusted when pool is drawn down during storage season"),Sheet1!$DB255+$DR257+N("Palmer minus all storage release"),Sheet1!$DB255)</f>
        <v>-46.853756935046164</v>
      </c>
      <c r="II257" s="541">
        <f>IF(AND($B257&gt;=$GC257,$B257&lt;=$GH257,$DR257&lt;0)+N("only adjusted when pool is drawn down during storage season"),Sheet1!$DA255+$DR257+N("Auburn minus all storage release"),Sheet1!$DA255)</f>
        <v>106.14624306495384</v>
      </c>
    </row>
    <row r="258" spans="1:243" x14ac:dyDescent="0.25">
      <c r="A258" s="553" t="s">
        <v>4</v>
      </c>
      <c r="B258" s="531">
        <v>42982</v>
      </c>
      <c r="C258" s="536">
        <v>0</v>
      </c>
      <c r="D258" s="506">
        <f t="shared" si="506"/>
        <v>200</v>
      </c>
      <c r="E258" s="506">
        <f t="shared" si="507"/>
        <v>400</v>
      </c>
      <c r="F258" s="506">
        <v>250</v>
      </c>
      <c r="G258" s="535">
        <f>DR258+Sheet1!CZ256</f>
        <v>95.170953101601555</v>
      </c>
      <c r="H258" s="1074">
        <f t="shared" si="563"/>
        <v>0</v>
      </c>
      <c r="I258" s="534">
        <f>IF(Sheet1!DA256&gt;=E258,(Sheet1!DA256-E258+P258)*CFStoMGD,0)</f>
        <v>0</v>
      </c>
      <c r="J258" s="995">
        <f>IF(Sheet1!DB256&gt;=D258,(Sheet1!DB256-D258+P258)*CFStoMGD,0)</f>
        <v>0</v>
      </c>
      <c r="K258" s="818">
        <f t="shared" si="538"/>
        <v>0</v>
      </c>
      <c r="L258" s="535">
        <f>Sheet1!AA256+Sheet1!AB256-Sheet1!L256+(Sheet1!DA256-F258)*CFStoMGD-S258-T258-U258</f>
        <v>101.62188115299334</v>
      </c>
      <c r="M258" s="535">
        <f t="shared" si="569"/>
        <v>62.748874166572755</v>
      </c>
      <c r="N258" s="824">
        <f>IF(Sheet1!DA256&gt;=F258,MIN(113*CFStoMGD,MIN(MAX(L258,0),MAX(M258,0))),0)</f>
        <v>62.748874166572755</v>
      </c>
      <c r="O258" s="538">
        <f>Sheet1!AA256+Sheet1!AB256</f>
        <v>92.97</v>
      </c>
      <c r="P258" s="538">
        <f t="shared" si="570"/>
        <v>143.82459</v>
      </c>
      <c r="Q258" s="812">
        <f t="shared" si="539"/>
        <v>49.26348115299335</v>
      </c>
      <c r="R258" s="812">
        <f t="shared" si="508"/>
        <v>44</v>
      </c>
      <c r="S258" s="812">
        <f t="shared" si="509"/>
        <v>0</v>
      </c>
      <c r="T258" s="812">
        <f t="shared" si="510"/>
        <v>0</v>
      </c>
      <c r="U258" s="812">
        <f>IF(AND(B258&gt;=FV258,B258&lt;=FW258),ED258+Sheet1!EH256,0)</f>
        <v>43.706518847006649</v>
      </c>
      <c r="V258" s="812"/>
      <c r="W258" s="812">
        <f t="shared" si="511"/>
        <v>0</v>
      </c>
      <c r="X258" s="812">
        <f t="shared" si="512"/>
        <v>0</v>
      </c>
      <c r="Y258" s="812" t="str">
        <f t="shared" si="513"/>
        <v>FALSE</v>
      </c>
      <c r="Z258" s="812">
        <f t="shared" si="514"/>
        <v>92.97</v>
      </c>
      <c r="AA258" s="812">
        <f t="shared" si="515"/>
        <v>92.97</v>
      </c>
      <c r="AB258" s="1059">
        <f t="shared" si="540"/>
        <v>76.210605343680712</v>
      </c>
      <c r="AC258" s="538">
        <f>Sheet1!Y256*MGDtoCFS</f>
        <v>74.256</v>
      </c>
      <c r="AD258" s="538">
        <f>Sheet1!Z256*MGDtoCFS</f>
        <v>72.523359999999997</v>
      </c>
      <c r="AE258" s="538">
        <f>Sheet1!AA256*MGDtoCFS</f>
        <v>74.317880000000002</v>
      </c>
      <c r="AF258" s="538">
        <f>Sheet1!AB256*MGDtoCFS</f>
        <v>69.506709999999998</v>
      </c>
      <c r="AG258" s="538">
        <f>Sheet1!L256*MGDtoCFS</f>
        <v>0</v>
      </c>
      <c r="AH258" s="521">
        <f t="shared" si="571"/>
        <v>44</v>
      </c>
      <c r="AI258" s="1059">
        <f t="shared" si="572"/>
        <v>68.067999999999998</v>
      </c>
      <c r="AJ258" s="535">
        <f t="shared" si="573"/>
        <v>0</v>
      </c>
      <c r="AK258" s="535">
        <f t="shared" si="574"/>
        <v>0</v>
      </c>
      <c r="AL258" s="535">
        <f>(VLOOKUP(Sheet1!DC256,hhdcap_wcm,4)-(((VLOOKUP(Sheet1!DC256,hhdcap_wcm,3)-Sheet1!DC256)/(VLOOKUP(Sheet1!DC256,hhdcap_wcm,3)-VLOOKUP(Sheet1!DC256,hhdcap_wcm,1)))*(VLOOKUP(Sheet1!DC256,hhdcap_wcm,4)-VLOOKUP(Sheet1!DC256,hhdcap_wcm,2))))</f>
        <v>31088.30000008049</v>
      </c>
      <c r="AM258" s="535">
        <f t="shared" si="575"/>
        <v>-461.69999999952415</v>
      </c>
      <c r="AN258" s="1035">
        <f t="shared" si="576"/>
        <v>1463.385471998866</v>
      </c>
      <c r="AO258" s="535">
        <f t="shared" si="577"/>
        <v>4489.666628092521</v>
      </c>
      <c r="AP258" s="535">
        <f>Sheet1!BA256+Sheet1!BB256+Sheet1!BN256+CD258</f>
        <v>20.3</v>
      </c>
      <c r="AQ258" s="535">
        <f>Sheet1!BN256+(DO258*Sheet1!BN256)</f>
        <v>20.223481152993344</v>
      </c>
      <c r="AR258" s="535">
        <f>Sheet1!BA256+CD258</f>
        <v>0</v>
      </c>
      <c r="AS258" s="535">
        <f>Sheet1!BA256+Sheet1!BB256+CD258</f>
        <v>0</v>
      </c>
      <c r="AT258" s="649">
        <f>0</f>
        <v>0</v>
      </c>
      <c r="AU258" s="974">
        <f>BA258+MAX(Sheet1!EH256,(O258-Q258-ED258-S258))</f>
        <v>19.000000000000004</v>
      </c>
      <c r="AV258" s="535">
        <f>IF(OR(B258&gt;=GD258,B258&lt;GC258),0,15/36*K258-MAX(0,64.6-(137.6-(Sheet1!AA256+Sheet1!AB256))))</f>
        <v>0</v>
      </c>
      <c r="AW258" s="1029"/>
      <c r="AX258" s="649"/>
      <c r="AY258" s="649">
        <f t="shared" si="541"/>
        <v>13.434015228090965</v>
      </c>
      <c r="AZ258" s="649">
        <f t="shared" si="542"/>
        <v>0</v>
      </c>
      <c r="BA258" s="1059">
        <f t="shared" si="543"/>
        <v>0</v>
      </c>
      <c r="BB258" s="1019">
        <f t="shared" si="578"/>
        <v>716.45457999953589</v>
      </c>
      <c r="BC258" s="1041">
        <f t="shared" si="544"/>
        <v>0</v>
      </c>
      <c r="BD258" s="1019">
        <f ca="1">IF(B258&gt;(Summary!$A$1-1),#N/A,BB258*MGtoAF)</f>
        <v>2198.0826514385762</v>
      </c>
      <c r="BE258" s="535">
        <f>Sheet1!BG256+Sheet1!BH256+Sheet1!BI256-BM258</f>
        <v>5.92</v>
      </c>
      <c r="BF258" s="535">
        <f t="shared" si="579"/>
        <v>5.8976851441241669</v>
      </c>
      <c r="BG258" s="535">
        <f>IF(Sheet1!EP256="FM",BM258,0)</f>
        <v>0</v>
      </c>
      <c r="BH258" s="535">
        <f t="shared" si="580"/>
        <v>0</v>
      </c>
      <c r="BI258" s="535">
        <f>IF(Sheet1!EP256="OTHER",BM258,0)</f>
        <v>0</v>
      </c>
      <c r="BJ258" s="535">
        <f t="shared" si="581"/>
        <v>0</v>
      </c>
      <c r="BK258" s="535">
        <f t="shared" si="582"/>
        <v>5.92</v>
      </c>
      <c r="BL258" s="535">
        <f t="shared" si="583"/>
        <v>5.8976851441241669</v>
      </c>
      <c r="BM258" s="535">
        <f>IF(OR(Sheet1!EP256="FM", Sheet1!EP256="OTHER"),SUM(Sheet1!BG256:'Sheet1'!BI256),0)</f>
        <v>0</v>
      </c>
      <c r="BN258" s="521">
        <f>IF(AND($B258&gt;=$FV258,$B258&lt;=$FW258),MAX(BF258,Sheet1!EI256,0),MAX(BF258-(7/36)*$K258,0))</f>
        <v>6</v>
      </c>
      <c r="BO258" s="535">
        <f t="shared" si="584"/>
        <v>0</v>
      </c>
      <c r="BP258" s="521">
        <f t="shared" si="585"/>
        <v>0</v>
      </c>
      <c r="BQ258" s="521">
        <f>IF(AND($O258&gt;0,Sheet1!EM256=1),(1-($O258-Sheet1!$L256)/$O258)*BL258,0)</f>
        <v>0</v>
      </c>
      <c r="BR258" s="521">
        <f>IF(AND(Sheet1!$L256=0,Sheet1!$L255=0, Calculation!BK258&lt;Sheet1!$EI256-0.1,Sheet1!$EI256=Sheet1!$EI255,Sheet1!$EI256=Sheet1!$EI257),BL258-BQ258,BL258-BQ258)</f>
        <v>5.8976851441241669</v>
      </c>
      <c r="BS258" s="1035" t="str">
        <f t="shared" si="545"/>
        <v/>
      </c>
      <c r="BT258" s="1035">
        <f t="shared" si="546"/>
        <v>0</v>
      </c>
      <c r="BU258" s="535">
        <f t="shared" si="586"/>
        <v>340.25153298442348</v>
      </c>
      <c r="BV258" s="535"/>
      <c r="BW258" s="535">
        <f ca="1">IF(B258&gt;(Summary!$A$1-1),#N/A,BU258*MGtoAF)</f>
        <v>1043.8917031962112</v>
      </c>
      <c r="BX258" s="535">
        <f>Sheet1!BC256+Sheet1!BD256+Sheet1!BE256+Sheet1!BF256-CG258-CH258</f>
        <v>6.99</v>
      </c>
      <c r="BY258" s="535">
        <f t="shared" si="587"/>
        <v>6.9636518847006643</v>
      </c>
      <c r="BZ258" s="535">
        <f>IF(Sheet1!EQ256="FM",CH258,0)</f>
        <v>0</v>
      </c>
      <c r="CA258" s="535">
        <f t="shared" si="588"/>
        <v>0</v>
      </c>
      <c r="CB258" s="535">
        <f>IF(Sheet1!EQ256="OTHER",CH258,0)</f>
        <v>0</v>
      </c>
      <c r="CC258" s="535">
        <f t="shared" si="589"/>
        <v>0</v>
      </c>
      <c r="CD258" s="535">
        <f t="shared" si="590"/>
        <v>0</v>
      </c>
      <c r="CE258" s="535">
        <f t="shared" si="591"/>
        <v>6.99</v>
      </c>
      <c r="CF258" s="535">
        <f t="shared" si="592"/>
        <v>6.9636518847006643</v>
      </c>
      <c r="CG258" s="535">
        <f>IF(Sheet1!EQ256="CWA",SUM(Sheet1!BC256:'Sheet1'!BF256),0)</f>
        <v>0</v>
      </c>
      <c r="CH258" s="535">
        <f>IF(OR(Sheet1!EQ256="FM", Sheet1!EQ256="OTHER"),SUM(Sheet1!BC256:'Sheet1'!BF256),0)</f>
        <v>0</v>
      </c>
      <c r="CI258" s="521">
        <f>IF(AND($B258&gt;=$FV258,$B258&lt;=$FW258),MAX(CF258,Sheet1!EJ256,0),MAX(CF258-(7/36)*$K258,0))</f>
        <v>7</v>
      </c>
      <c r="CJ258" s="535">
        <f t="shared" si="593"/>
        <v>0</v>
      </c>
      <c r="CK258" s="521">
        <f t="shared" si="594"/>
        <v>0</v>
      </c>
      <c r="CL258" s="521">
        <f>IF(AND($O258&gt;0,Sheet1!EN256=1),(1-($O258-Sheet1!$L256)/$O258)*CF258,0)</f>
        <v>0</v>
      </c>
      <c r="CM258" s="521">
        <f>IF(AND(Sheet1!$L256=0,Sheet1!$L255=0, Calculation!CE258&lt;Sheet1!EJ256-0.1,Sheet1!EJ256=Sheet1!EJ255,Sheet1!EJ256=Sheet1!EJ257),CF258-CL258,CF258-CL258)</f>
        <v>6.9636518847006643</v>
      </c>
      <c r="CN258" s="1040" t="str">
        <f t="shared" si="547"/>
        <v/>
      </c>
      <c r="CO258" s="1035">
        <f t="shared" si="548"/>
        <v>0</v>
      </c>
      <c r="CP258" s="535">
        <f t="shared" si="595"/>
        <v>193.8406814529767</v>
      </c>
      <c r="CQ258" s="535"/>
      <c r="CR258" s="535">
        <f ca="1">IF(B258&gt;(Summary!$A$1-1),#N/A,CP258*MGtoAF)</f>
        <v>594.70321069773252</v>
      </c>
      <c r="CS258" s="535">
        <f>Sheet1!BK256+Sheet1!BL256+Sheet1!BM256-Sheet1!ER256-DA258</f>
        <v>11.89</v>
      </c>
      <c r="CT258" s="535">
        <f t="shared" si="596"/>
        <v>11.845181818181816</v>
      </c>
      <c r="CU258" s="535">
        <f>IF(Sheet1!ER256="FM",DA258,0)</f>
        <v>0</v>
      </c>
      <c r="CV258" s="535">
        <f t="shared" si="597"/>
        <v>0</v>
      </c>
      <c r="CW258" s="535">
        <f>IF(Sheet1!ER256="OTHER",DA258,0)</f>
        <v>0</v>
      </c>
      <c r="CX258" s="535">
        <f t="shared" si="598"/>
        <v>0</v>
      </c>
      <c r="CY258" s="535">
        <f t="shared" si="629"/>
        <v>11.89</v>
      </c>
      <c r="CZ258" s="535">
        <f t="shared" si="630"/>
        <v>11.845181818181816</v>
      </c>
      <c r="DA258" s="535">
        <f>IF(OR(Sheet1!ER256="FM", Sheet1!ER256="OTHER"),SUM(Sheet1!BK256:'Sheet1'!BM256),0)</f>
        <v>0</v>
      </c>
      <c r="DB258" s="1011">
        <f>IF(AND($B258&gt;=$FV258,$B258&lt;=$FW258),MAX($CT258,Sheet1!EK256,0),MAX($CT258-(7/36)*$K258,0))</f>
        <v>12</v>
      </c>
      <c r="DC258" s="1012">
        <f t="shared" si="601"/>
        <v>0</v>
      </c>
      <c r="DD258" s="1011">
        <f t="shared" si="602"/>
        <v>0</v>
      </c>
      <c r="DE258" s="521">
        <f>IF(AND($O258&gt;0,Sheet1!EO256=1),(1-($O258-Sheet1!$L256)/$O258)*CZ258,0)</f>
        <v>0</v>
      </c>
      <c r="DF258" s="521">
        <f>IF(AND(Sheet1!$L256=0,Sheet1!$L255=0, Calculation!CY258&lt;Sheet1!$EK256-0.1,Sheet1!$EK256=Sheet1!$EK255,Sheet1!$EK256=Sheet1!$EK257),CZ258-DE258,CZ258-DE258)</f>
        <v>11.845181818181816</v>
      </c>
      <c r="DG258" s="1040">
        <f t="shared" si="549"/>
        <v>0</v>
      </c>
      <c r="DH258" s="649">
        <f t="shared" si="603"/>
        <v>24.8</v>
      </c>
      <c r="DI258" s="535">
        <f t="shared" si="604"/>
        <v>212.83867756192996</v>
      </c>
      <c r="DJ258" s="649">
        <f t="shared" si="605"/>
        <v>24.706518847006649</v>
      </c>
      <c r="DK258" s="535">
        <f ca="1">IF(B258&gt;(Summary!$A$1-1),#N/A,DI258*MGtoAF)</f>
        <v>652.98906276000116</v>
      </c>
      <c r="DL258" s="649">
        <f t="shared" si="606"/>
        <v>24.800000000000004</v>
      </c>
      <c r="DM258" s="535">
        <f t="shared" si="607"/>
        <v>45.100000000000009</v>
      </c>
      <c r="DN258" s="535">
        <f>Sheet1!AB256-DM258</f>
        <v>-0.17000000000000881</v>
      </c>
      <c r="DO258" s="743">
        <f t="shared" si="608"/>
        <v>-3.7694013303771349E-3</v>
      </c>
      <c r="DP258" s="535">
        <f>(VLOOKUP(Sheet1!DC256,hhdcap_wcm,4)-(((VLOOKUP(Sheet1!DC256,hhdcap_wcm,3)-Sheet1!DC256)/(VLOOKUP(Sheet1!DC256,hhdcap_wcm,3)-VLOOKUP(Sheet1!DC256,hhdcap_wcm,1)))*(VLOOKUP(Sheet1!DC256,hhdcap_wcm,4)-VLOOKUP(Sheet1!DC256,hhdcap_wcm,2))))</f>
        <v>31088.30000008049</v>
      </c>
      <c r="DQ258" s="535">
        <f t="shared" si="609"/>
        <v>-461.69999999952415</v>
      </c>
      <c r="DR258" s="535">
        <f t="shared" si="610"/>
        <v>-232.82904689839845</v>
      </c>
      <c r="DS258" s="535">
        <f>Sheet1!EA256*AFtoMG</f>
        <v>0</v>
      </c>
      <c r="DT258" s="535">
        <f>Sheet1!EB256*AFtoMG</f>
        <v>0</v>
      </c>
      <c r="DU258" s="535">
        <f>Sheet1!EC256*AFtoMG</f>
        <v>0</v>
      </c>
      <c r="DV258" s="535">
        <f>Sheet1!ED256*AFtoMG</f>
        <v>0</v>
      </c>
      <c r="DW258" s="535">
        <f t="shared" si="611"/>
        <v>0</v>
      </c>
      <c r="DX258" s="535">
        <f t="shared" si="612"/>
        <v>0</v>
      </c>
      <c r="DY258" s="535">
        <f t="shared" si="613"/>
        <v>1463.385471998866</v>
      </c>
      <c r="DZ258" s="535">
        <f t="shared" si="614"/>
        <v>4489.666628092521</v>
      </c>
      <c r="EA258" s="535"/>
      <c r="EB258" s="521">
        <f>IF(OR(B258&lt;FV258,B258&gt;FW258),(MIN(BF258+BY258+CT258+MAX(Sheet1!AA256+AQ258-73,0),K258)),0)</f>
        <v>0</v>
      </c>
      <c r="EC258" s="535"/>
      <c r="ED258" s="535">
        <f t="shared" si="615"/>
        <v>24.706518847006645</v>
      </c>
      <c r="EE258" s="535"/>
      <c r="EF258" s="535">
        <f>Sheet1!EH256+Sheet1!EI256+Sheet1!EJ256+Sheet1!EK256</f>
        <v>44</v>
      </c>
      <c r="EG258" s="1019">
        <f t="shared" si="550"/>
        <v>68.067999999999998</v>
      </c>
      <c r="EH258" s="521">
        <f t="shared" si="616"/>
        <v>0</v>
      </c>
      <c r="EI258" s="535">
        <f>IF(Sheet1!ET256=1,SUM('Calculations II'!AT258:BA258)+'Calculations II'!BC258+Sheet1!BV256+'Calculations II'!BE258+AP258,'Calculations II'!BK258)</f>
        <v>79.065503152993344</v>
      </c>
      <c r="EJ258" s="535">
        <f ca="1">EI258+'Calculations II'!D258+'Calculations II'!E258+'Calculations II'!O258</f>
        <v>73.137856206234019</v>
      </c>
      <c r="EK258" s="535"/>
      <c r="EL258" s="535"/>
      <c r="EM258" s="535">
        <f t="shared" si="617"/>
        <v>42982</v>
      </c>
      <c r="EN258" s="535">
        <f t="shared" si="618"/>
        <v>-44</v>
      </c>
      <c r="EO258" s="535">
        <f t="shared" si="619"/>
        <v>-68.067999999999998</v>
      </c>
      <c r="EP258" s="535">
        <v>0</v>
      </c>
      <c r="EQ258" s="535">
        <v>0</v>
      </c>
      <c r="ER258" s="535">
        <v>0</v>
      </c>
      <c r="ES258" s="521">
        <f t="shared" si="516"/>
        <v>5.9587936165908904</v>
      </c>
      <c r="ET258" s="535">
        <f>-(VLOOKUP(Sheet1!BQ256,Lookup!$O$4:$Q$262,2)-VLOOKUP(Sheet1!BQ255,Lookup!$O$4:$Q$262,2))/1000000</f>
        <v>2.9096608252461142</v>
      </c>
      <c r="EU258" s="535">
        <f>-(VLOOKUP(Sheet1!BR256,Lookup!$O$4:$Q$262,3)-VLOOKUP(Sheet1!BR255,Lookup!$O$4:$Q$262,3))/1000000</f>
        <v>3.0491327913447765</v>
      </c>
      <c r="EV258" s="535"/>
      <c r="EW258" s="535"/>
      <c r="EX258" s="535"/>
      <c r="EY258" s="535"/>
      <c r="EZ258" s="535"/>
      <c r="FA258" s="535"/>
      <c r="FB258" s="535"/>
      <c r="FC258" s="535"/>
      <c r="FD258" s="567">
        <f t="shared" si="566"/>
        <v>1127.6509090908403</v>
      </c>
      <c r="FE258" s="567" t="e">
        <f t="shared" si="620"/>
        <v>#N/A</v>
      </c>
      <c r="FF258" s="568" t="e">
        <f t="shared" si="621"/>
        <v>#N/A</v>
      </c>
      <c r="FG258" s="569" t="s">
        <v>656</v>
      </c>
      <c r="FH258" s="569" t="s">
        <v>656</v>
      </c>
      <c r="FI258" s="567" t="e">
        <v>#N/A</v>
      </c>
      <c r="FJ258" s="725">
        <v>15050</v>
      </c>
      <c r="FK258" s="535"/>
      <c r="FL258" s="1015">
        <f t="shared" ref="FL258:FL289" si="631">(FJ258-FJ259)/1.983</f>
        <v>109.43015632879475</v>
      </c>
      <c r="FM258" s="535"/>
      <c r="FN258" s="535"/>
      <c r="FO258" s="535">
        <f>O258+((Sheet1!CS256)*GPMtoMGD)</f>
        <v>97.235423999999995</v>
      </c>
      <c r="FP258" s="535">
        <f>IF(Sheet1!AA256+AQ258&lt;=Calculation!N258,AQ258,Calculation!N258-Sheet1!AA256)</f>
        <v>14.708874166572755</v>
      </c>
      <c r="FQ258" s="535">
        <f>(Sheet1!BP256+Sheet1!BO256)/694.4</f>
        <v>4.1569700460829493</v>
      </c>
      <c r="FR258" s="541"/>
      <c r="FS258" s="541"/>
      <c r="FT258" s="541"/>
      <c r="FU258" s="541"/>
      <c r="FV258" s="1109">
        <f t="shared" si="517"/>
        <v>42918</v>
      </c>
      <c r="FW258" s="1109">
        <f t="shared" si="518"/>
        <v>43027</v>
      </c>
      <c r="FX258" s="541"/>
      <c r="FY258" s="541">
        <f>Sheet1!DA256-Sheet1!CZ256-Sheet1!AE256</f>
        <v>-140.82459</v>
      </c>
      <c r="FZ258" s="535">
        <f t="shared" si="551"/>
        <v>-1.4797013732715278</v>
      </c>
      <c r="GA258" s="535"/>
      <c r="GB258" s="535" t="str">
        <f t="shared" si="519"/>
        <v>n</v>
      </c>
      <c r="GC258" s="539">
        <f t="shared" si="520"/>
        <v>42782</v>
      </c>
      <c r="GD258" s="1109">
        <f t="shared" si="521"/>
        <v>42904</v>
      </c>
      <c r="GE258" s="535">
        <f t="shared" si="537"/>
        <v>6520</v>
      </c>
      <c r="GF258" s="1109">
        <f t="shared" si="522"/>
        <v>42909</v>
      </c>
      <c r="GG258" s="535">
        <f t="shared" si="564"/>
        <v>3260</v>
      </c>
      <c r="GH258" s="539">
        <f t="shared" si="523"/>
        <v>43040</v>
      </c>
      <c r="GJ258" s="521">
        <f t="shared" si="524"/>
        <v>0</v>
      </c>
      <c r="GK258" s="535" t="str">
        <f t="shared" si="622"/>
        <v/>
      </c>
      <c r="GL258" s="535">
        <f t="shared" si="525"/>
        <v>0</v>
      </c>
      <c r="GM258" s="535" t="str">
        <f t="shared" si="526"/>
        <v/>
      </c>
      <c r="GN258" s="535">
        <f>IF(GK258="P",Lookup!$M$12,IF(GK258="PP",Lookup!$M$13,IF(GK258="PPP",Lookup!$M$14,IF(GK258="T",Lookup!$M$15,IF(GK258="TP",Lookup!$M$16,IF(GK258="TPP",Lookup!$M$17,IF(GK258="TPPP",Lookup!$M$18,0)))))))*GJ258</f>
        <v>0</v>
      </c>
      <c r="GO258" s="535">
        <f t="shared" si="527"/>
        <v>0</v>
      </c>
      <c r="GP258" s="535">
        <f t="shared" si="623"/>
        <v>2198.0826514385762</v>
      </c>
      <c r="GQ258" s="974">
        <f t="shared" si="567"/>
        <v>716.45457999953589</v>
      </c>
      <c r="GR258" s="535"/>
      <c r="GS258" s="535">
        <f t="shared" si="528"/>
        <v>0</v>
      </c>
      <c r="GT258" s="535" t="str">
        <f t="shared" si="529"/>
        <v/>
      </c>
      <c r="GU258" s="535">
        <f>IF(GK258="P",Lookup!$N$12,IF(GK258="PP",Lookup!$N$13,IF(GK258="PPP",Lookup!$N$14,IF(GK258="T",Lookup!$N$15,IF(GK258="TP",Lookup!$N$16,IF(GK258="TPP",Lookup!$N$17,IF(GK258="TPPP",Lookup!$N$18,0)))))))*GJ258</f>
        <v>0</v>
      </c>
      <c r="GV258" s="535">
        <f t="shared" si="530"/>
        <v>0</v>
      </c>
      <c r="GW258" s="535">
        <f t="shared" si="624"/>
        <v>1043.8917031962112</v>
      </c>
      <c r="GX258" s="974">
        <f t="shared" si="568"/>
        <v>340.25153298442348</v>
      </c>
      <c r="GY258" s="535"/>
      <c r="GZ258" s="535">
        <f t="shared" si="531"/>
        <v>0</v>
      </c>
      <c r="HA258" s="535" t="str">
        <f t="shared" si="532"/>
        <v/>
      </c>
      <c r="HB258" s="535">
        <f>IF(GK258="P",Lookup!$N$12,IF(GK258="PP",Lookup!$N$13,IF(GK258="PPP",Lookup!$N$14,IF(GK258="T",Lookup!$N$15,IF(GK258="TP",Lookup!$N$16,IF(GK258="TPP",Lookup!$N$17,IF(GK258="TPPP",Lookup!$N$18,0)))))))*GJ258</f>
        <v>0</v>
      </c>
      <c r="HC258" s="521">
        <f t="shared" si="625"/>
        <v>0</v>
      </c>
      <c r="HD258" s="535">
        <f t="shared" si="626"/>
        <v>594.70321069773252</v>
      </c>
      <c r="HE258" s="535">
        <f t="shared" si="535"/>
        <v>193.8406814529767</v>
      </c>
      <c r="HF258" s="535"/>
      <c r="HG258" s="535">
        <f t="shared" si="533"/>
        <v>0</v>
      </c>
      <c r="HH258" s="535" t="str">
        <f t="shared" si="534"/>
        <v/>
      </c>
      <c r="HI258" s="535">
        <f>IF(GK258="P",Lookup!$N$12,IF(GK258="PP",Lookup!$N$13,IF(GK258="PPP",Lookup!$N$14,IF(GK258="T",Lookup!$N$15,IF(GK258="TP",Lookup!$N$16,IF(GK258="TPP",Lookup!$N$17,IF(GK258="TPPP",Lookup!$N$18,0)))))))*GJ258</f>
        <v>0</v>
      </c>
      <c r="HJ258" s="521">
        <f t="shared" si="627"/>
        <v>0</v>
      </c>
      <c r="HK258" s="535">
        <f t="shared" si="628"/>
        <v>652.98906276000116</v>
      </c>
      <c r="HL258" s="535">
        <f t="shared" si="536"/>
        <v>212.83867756192996</v>
      </c>
      <c r="HM258" s="535"/>
      <c r="HN258" s="541"/>
      <c r="HO258" s="541"/>
      <c r="HP258" s="541"/>
      <c r="HQ258" s="541">
        <f>IF(AND(B258&gt;=$FV$4,B258&lt;=$FW$4),MAX(110/1.02+$HQ$6+MIN(113/1.02,G258),IF($HV$6-(Sheet1!DA256-Sheet1!DB256)+MIN(113/1.02,G258)&lt;G258+FL258,$HV$6-(Sheet1!DA256-Sheet1!DB256)+MIN(113/1.02,G258),G258+FL258)),MIN(110/1.02+$HQ$6+113/1.02,G258))</f>
        <v>204.60110943039632</v>
      </c>
      <c r="HR258" s="541">
        <f t="shared" si="552"/>
        <v>208.69313161900425</v>
      </c>
      <c r="HS258" s="541">
        <f>HR258+(Sheet1!DA256-Sheet1!DB256)</f>
        <v>354.69313161900425</v>
      </c>
      <c r="HT258" s="541">
        <f t="shared" si="553"/>
        <v>76.210605343680712</v>
      </c>
      <c r="HU258" s="541">
        <f t="shared" si="554"/>
        <v>278.48252627532355</v>
      </c>
      <c r="HV258" s="541">
        <f t="shared" si="555"/>
        <v>0</v>
      </c>
      <c r="HW258" s="533" t="str">
        <f t="shared" si="556"/>
        <v/>
      </c>
      <c r="HX258" s="541">
        <f t="shared" si="557"/>
        <v>55.330890569603696</v>
      </c>
      <c r="HY258" s="541">
        <f>Sheet1!CZ256</f>
        <v>328</v>
      </c>
      <c r="HZ258" s="541">
        <f t="shared" si="558"/>
        <v>68.067999999999998</v>
      </c>
      <c r="IA258" s="541">
        <f t="shared" si="559"/>
        <v>76.210605343680712</v>
      </c>
      <c r="IB258" s="541">
        <f t="shared" si="560"/>
        <v>259.93200000000002</v>
      </c>
      <c r="IC258" s="1019" t="str">
        <f t="shared" si="561"/>
        <v/>
      </c>
      <c r="ID258" s="541">
        <f t="shared" si="562"/>
        <v>183.72139465631932</v>
      </c>
      <c r="IE258" s="541">
        <f>Sheet1!DB256</f>
        <v>185</v>
      </c>
      <c r="IF258" s="533">
        <f>Sheet1!DA256</f>
        <v>331</v>
      </c>
      <c r="IH258" s="541">
        <f>IF(AND($B258&gt;=$GC258,$B258&lt;=$GH258,$DR258&lt;0)+N("only adjusted when pool is drawn down during storage season"),Sheet1!$DB256+$DR258+N("Palmer minus all storage release"),Sheet1!$DB256)</f>
        <v>-47.829046898398445</v>
      </c>
      <c r="II258" s="541">
        <f>IF(AND($B258&gt;=$GC258,$B258&lt;=$GH258,$DR258&lt;0)+N("only adjusted when pool is drawn down during storage season"),Sheet1!$DA256+$DR258+N("Auburn minus all storage release"),Sheet1!$DA256)</f>
        <v>98.170953101601555</v>
      </c>
    </row>
    <row r="259" spans="1:243" x14ac:dyDescent="0.25">
      <c r="A259" s="553" t="s">
        <v>5</v>
      </c>
      <c r="B259" s="531">
        <v>42983</v>
      </c>
      <c r="C259" s="536">
        <v>0</v>
      </c>
      <c r="D259" s="506">
        <f t="shared" si="506"/>
        <v>200</v>
      </c>
      <c r="E259" s="506">
        <f t="shared" si="507"/>
        <v>400</v>
      </c>
      <c r="F259" s="506">
        <v>250</v>
      </c>
      <c r="G259" s="535">
        <f>DR259+Sheet1!CZ257</f>
        <v>97.34694906641738</v>
      </c>
      <c r="H259" s="1074">
        <f t="shared" si="563"/>
        <v>0</v>
      </c>
      <c r="I259" s="534">
        <f>IF(Sheet1!DA257&gt;=E259,(Sheet1!DA257-E259+P259)*CFStoMGD,0)</f>
        <v>0</v>
      </c>
      <c r="J259" s="995">
        <f>IF(Sheet1!DB257&gt;=D259,(Sheet1!DB257-D259+P259)*CFStoMGD,0)</f>
        <v>0</v>
      </c>
      <c r="K259" s="818">
        <f t="shared" si="538"/>
        <v>0</v>
      </c>
      <c r="L259" s="535">
        <f>Sheet1!AA257+Sheet1!AB257-Sheet1!L257+(Sheet1!DA257-F259)*CFStoMGD-S259-T259-U259</f>
        <v>103.90713461133348</v>
      </c>
      <c r="M259" s="535">
        <f t="shared" si="569"/>
        <v>64.183569234062844</v>
      </c>
      <c r="N259" s="824">
        <f>IF(Sheet1!DA257&gt;=F259,MIN(113*CFStoMGD,MIN(MAX(L259,0),MAX(M259,0))),0)</f>
        <v>64.183569234062844</v>
      </c>
      <c r="O259" s="538">
        <f>Sheet1!AA257+Sheet1!AB257</f>
        <v>93.9</v>
      </c>
      <c r="P259" s="538">
        <f t="shared" si="570"/>
        <v>145.26329999999999</v>
      </c>
      <c r="Q259" s="812">
        <f t="shared" si="539"/>
        <v>48.96313461133348</v>
      </c>
      <c r="R259" s="812">
        <f t="shared" si="508"/>
        <v>44</v>
      </c>
      <c r="S259" s="812">
        <f t="shared" si="509"/>
        <v>0</v>
      </c>
      <c r="T259" s="812">
        <f t="shared" si="510"/>
        <v>0</v>
      </c>
      <c r="U259" s="812">
        <f>IF(AND(B259&gt;=FV259,B259&lt;=FW259),ED259+Sheet1!EH257,0)</f>
        <v>44.936865388666526</v>
      </c>
      <c r="V259" s="812"/>
      <c r="W259" s="812">
        <f t="shared" si="511"/>
        <v>0</v>
      </c>
      <c r="X259" s="812">
        <f t="shared" si="512"/>
        <v>0</v>
      </c>
      <c r="Y259" s="812" t="str">
        <f t="shared" si="513"/>
        <v>FALSE</v>
      </c>
      <c r="Z259" s="812">
        <f t="shared" si="514"/>
        <v>93.9</v>
      </c>
      <c r="AA259" s="812">
        <f t="shared" si="515"/>
        <v>93.9</v>
      </c>
      <c r="AB259" s="1059">
        <f t="shared" si="540"/>
        <v>75.745969243732887</v>
      </c>
      <c r="AC259" s="538">
        <f>Sheet1!Y257*MGDtoCFS</f>
        <v>74.317880000000002</v>
      </c>
      <c r="AD259" s="538">
        <f>Sheet1!Z257*MGDtoCFS</f>
        <v>69.506709999999998</v>
      </c>
      <c r="AE259" s="538">
        <f>Sheet1!AA257*MGDtoCFS</f>
        <v>71.93549999999999</v>
      </c>
      <c r="AF259" s="538">
        <f>Sheet1!AB257*MGDtoCFS</f>
        <v>73.327799999999996</v>
      </c>
      <c r="AG259" s="538">
        <f>Sheet1!L257*MGDtoCFS</f>
        <v>0</v>
      </c>
      <c r="AH259" s="521">
        <f t="shared" si="571"/>
        <v>44.945713081946494</v>
      </c>
      <c r="AI259" s="1059">
        <f t="shared" si="572"/>
        <v>69.531018137771227</v>
      </c>
      <c r="AJ259" s="535">
        <f t="shared" si="573"/>
        <v>0</v>
      </c>
      <c r="AK259" s="535">
        <f t="shared" si="574"/>
        <v>0</v>
      </c>
      <c r="AL259" s="535">
        <f>(VLOOKUP(Sheet1!DC257,hhdcap_wcm,4)-(((VLOOKUP(Sheet1!DC257,hhdcap_wcm,3)-Sheet1!DC257)/(VLOOKUP(Sheet1!DC257,hhdcap_wcm,3)-VLOOKUP(Sheet1!DC257,hhdcap_wcm,1)))*(VLOOKUP(Sheet1!DC257,hhdcap_wcm,4)-VLOOKUP(Sheet1!DC257,hhdcap_wcm,2))))</f>
        <v>30621.000000079195</v>
      </c>
      <c r="AM259" s="535">
        <f t="shared" si="575"/>
        <v>-467.30000000129439</v>
      </c>
      <c r="AN259" s="1035">
        <f t="shared" si="576"/>
        <v>1418.4397589169196</v>
      </c>
      <c r="AO259" s="535">
        <f t="shared" si="577"/>
        <v>4351.7731803571096</v>
      </c>
      <c r="AP259" s="535">
        <f>Sheet1!BA257+Sheet1!BB257+Sheet1!BN257+CD259</f>
        <v>25</v>
      </c>
      <c r="AQ259" s="535">
        <f>Sheet1!BN257+(DO259*Sheet1!BN257)</f>
        <v>24.963134611333473</v>
      </c>
      <c r="AR259" s="535">
        <f>Sheet1!BA257+CD259</f>
        <v>0</v>
      </c>
      <c r="AS259" s="535">
        <f>Sheet1!BA257+Sheet1!BB257+CD259</f>
        <v>0</v>
      </c>
      <c r="AT259" s="649">
        <f>0</f>
        <v>0</v>
      </c>
      <c r="AU259" s="974">
        <f>BA259+MAX(Sheet1!EH257,(O259-Q259-ED259-S259))</f>
        <v>22.5</v>
      </c>
      <c r="AV259" s="535">
        <f>IF(OR(B259&gt;=GD259,B259&lt;GC259),0,15/36*K259-MAX(0,64.6-(137.6-(Sheet1!AA257+Sheet1!AB257))))</f>
        <v>0</v>
      </c>
      <c r="AW259" s="1029"/>
      <c r="AX259" s="649"/>
      <c r="AY259" s="649">
        <f t="shared" si="541"/>
        <v>13.434015228090965</v>
      </c>
      <c r="AZ259" s="649">
        <f t="shared" si="542"/>
        <v>0</v>
      </c>
      <c r="BA259" s="1059">
        <f t="shared" si="543"/>
        <v>0</v>
      </c>
      <c r="BB259" s="1019">
        <f t="shared" si="578"/>
        <v>693.95457999953589</v>
      </c>
      <c r="BC259" s="1041">
        <f t="shared" si="544"/>
        <v>0</v>
      </c>
      <c r="BD259" s="1019">
        <f ca="1">IF(B259&gt;(Summary!$A$1-1),#N/A,BB259*MGtoAF)</f>
        <v>2129.052651438576</v>
      </c>
      <c r="BE259" s="535">
        <f>Sheet1!BG257+Sheet1!BH257+Sheet1!BI257-BM259</f>
        <v>6</v>
      </c>
      <c r="BF259" s="535">
        <f t="shared" si="579"/>
        <v>5.9911523067200338</v>
      </c>
      <c r="BG259" s="535">
        <f>IF(Sheet1!EP257="FM",BM259,0)</f>
        <v>0</v>
      </c>
      <c r="BH259" s="535">
        <f t="shared" si="580"/>
        <v>0</v>
      </c>
      <c r="BI259" s="535">
        <f>IF(Sheet1!EP257="OTHER",BM259,0)</f>
        <v>0</v>
      </c>
      <c r="BJ259" s="535">
        <f t="shared" si="581"/>
        <v>0</v>
      </c>
      <c r="BK259" s="535">
        <f t="shared" si="582"/>
        <v>6</v>
      </c>
      <c r="BL259" s="535">
        <f t="shared" si="583"/>
        <v>5.9911523067200338</v>
      </c>
      <c r="BM259" s="535">
        <f>IF(OR(Sheet1!EP257="FM", Sheet1!EP257="OTHER"),SUM(Sheet1!BG257:'Sheet1'!BI257),0)</f>
        <v>0</v>
      </c>
      <c r="BN259" s="521">
        <f>IF(AND($B259&gt;=$FV259,$B259&lt;=$FW259),MAX(BF259,Sheet1!EI257,0),MAX(BF259-(7/36)*$K259,0))</f>
        <v>6</v>
      </c>
      <c r="BO259" s="535">
        <f t="shared" si="584"/>
        <v>0</v>
      </c>
      <c r="BP259" s="521">
        <f t="shared" si="585"/>
        <v>0</v>
      </c>
      <c r="BQ259" s="521">
        <f>IF(AND($O259&gt;0,Sheet1!EM257=1),(1-($O259-Sheet1!$L257)/$O259)*BL259,0)</f>
        <v>0</v>
      </c>
      <c r="BR259" s="521">
        <f>IF(AND(Sheet1!$L257=0,Sheet1!$L256=0, Calculation!BK259&lt;Sheet1!$EI257-0.1,Sheet1!$EI257=Sheet1!$EI256,Sheet1!$EI257=Sheet1!$EI258),BL259-BQ259,BL259-BQ259)</f>
        <v>5.9911523067200338</v>
      </c>
      <c r="BS259" s="1035" t="str">
        <f t="shared" si="545"/>
        <v/>
      </c>
      <c r="BT259" s="1035">
        <f t="shared" si="546"/>
        <v>0</v>
      </c>
      <c r="BU259" s="535">
        <f t="shared" si="586"/>
        <v>334.25153298442348</v>
      </c>
      <c r="BV259" s="535"/>
      <c r="BW259" s="535">
        <f ca="1">IF(B259&gt;(Summary!$A$1-1),#N/A,BU259*MGtoAF)</f>
        <v>1025.4837031962113</v>
      </c>
      <c r="BX259" s="535">
        <f>Sheet1!BC257+Sheet1!BD257+Sheet1!BE257+Sheet1!BF257-CG259-CH259</f>
        <v>6.69</v>
      </c>
      <c r="BY259" s="535">
        <f t="shared" si="587"/>
        <v>6.680134821992838</v>
      </c>
      <c r="BZ259" s="535">
        <f>IF(Sheet1!EQ257="FM",CH259,0)</f>
        <v>0</v>
      </c>
      <c r="CA259" s="535">
        <f t="shared" si="588"/>
        <v>0</v>
      </c>
      <c r="CB259" s="535">
        <f>IF(Sheet1!EQ257="OTHER",CH259,0)</f>
        <v>0</v>
      </c>
      <c r="CC259" s="535">
        <f t="shared" si="589"/>
        <v>0</v>
      </c>
      <c r="CD259" s="535">
        <f t="shared" si="590"/>
        <v>0</v>
      </c>
      <c r="CE259" s="535">
        <f t="shared" si="591"/>
        <v>6.69</v>
      </c>
      <c r="CF259" s="535">
        <f t="shared" si="592"/>
        <v>6.680134821992838</v>
      </c>
      <c r="CG259" s="535">
        <f>IF(Sheet1!EQ257="CWA",SUM(Sheet1!BC257:'Sheet1'!BF257),0)</f>
        <v>0</v>
      </c>
      <c r="CH259" s="535">
        <f>IF(OR(Sheet1!EQ257="FM", Sheet1!EQ257="OTHER"),SUM(Sheet1!BC257:'Sheet1'!BF257),0)</f>
        <v>0</v>
      </c>
      <c r="CI259" s="521">
        <f>IF(AND($B259&gt;=$FV259,$B259&lt;=$FW259),MAX(CF259,Sheet1!EJ257,0),MAX(CF259-(7/36)*$K259,0))</f>
        <v>6.680134821992838</v>
      </c>
      <c r="CJ259" s="535">
        <f t="shared" si="593"/>
        <v>0</v>
      </c>
      <c r="CK259" s="521">
        <f t="shared" si="594"/>
        <v>0</v>
      </c>
      <c r="CL259" s="521">
        <f>IF(AND($O259&gt;0,Sheet1!EN257=1),(1-($O259-Sheet1!$L257)/$O259)*CF259,0)</f>
        <v>0</v>
      </c>
      <c r="CM259" s="521">
        <f>IF(AND(Sheet1!$L257=0,Sheet1!$L256=0, Calculation!CE259&lt;Sheet1!EJ257-0.1,Sheet1!EJ257=Sheet1!EJ256,Sheet1!EJ257=Sheet1!EJ258),CF259-CL259,CF259-CL259)</f>
        <v>6.680134821992838</v>
      </c>
      <c r="CN259" s="1040" t="str">
        <f t="shared" si="547"/>
        <v/>
      </c>
      <c r="CO259" s="1035">
        <f t="shared" si="548"/>
        <v>0</v>
      </c>
      <c r="CP259" s="535">
        <f t="shared" si="595"/>
        <v>187.16054663098384</v>
      </c>
      <c r="CQ259" s="535"/>
      <c r="CR259" s="535">
        <f ca="1">IF(B259&gt;(Summary!$A$1-1),#N/A,CP259*MGtoAF)</f>
        <v>574.20855706385839</v>
      </c>
      <c r="CS259" s="535">
        <f>Sheet1!BK257+Sheet1!BL257+Sheet1!BM257-Sheet1!ER257-DA259</f>
        <v>9.7799999999999994</v>
      </c>
      <c r="CT259" s="535">
        <f t="shared" si="596"/>
        <v>9.7655782599536547</v>
      </c>
      <c r="CU259" s="535">
        <f>IF(Sheet1!ER257="FM",DA259,0)</f>
        <v>0</v>
      </c>
      <c r="CV259" s="535">
        <f t="shared" si="597"/>
        <v>0</v>
      </c>
      <c r="CW259" s="535">
        <f>IF(Sheet1!ER257="OTHER",DA259,0)</f>
        <v>0</v>
      </c>
      <c r="CX259" s="535">
        <f t="shared" si="598"/>
        <v>0</v>
      </c>
      <c r="CY259" s="535">
        <f t="shared" si="629"/>
        <v>9.7799999999999994</v>
      </c>
      <c r="CZ259" s="535">
        <f t="shared" si="630"/>
        <v>9.7655782599536547</v>
      </c>
      <c r="DA259" s="535">
        <f>IF(OR(Sheet1!ER257="FM", Sheet1!ER257="OTHER"),SUM(Sheet1!BK257:'Sheet1'!BM257),0)</f>
        <v>0</v>
      </c>
      <c r="DB259" s="1011">
        <f>IF(AND($B259&gt;=$FV259,$B259&lt;=$FW259),MAX($CT259,Sheet1!EK257,0),MAX($CT259-(7/36)*$K259,0))</f>
        <v>9.7655782599536547</v>
      </c>
      <c r="DC259" s="1012">
        <f t="shared" si="601"/>
        <v>0</v>
      </c>
      <c r="DD259" s="1011">
        <f t="shared" si="602"/>
        <v>0</v>
      </c>
      <c r="DE259" s="521">
        <f>IF(AND($O259&gt;0,Sheet1!EO257=1),(1-($O259-Sheet1!$L257)/$O259)*CZ259,0)</f>
        <v>0</v>
      </c>
      <c r="DF259" s="521">
        <f>IF(AND(Sheet1!$L257=0,Sheet1!$L256=0, Calculation!CY259&lt;Sheet1!$EK257-0.1,Sheet1!$EK257=Sheet1!$EK256,Sheet1!$EK257=Sheet1!$EK258),CZ259-DE259,CZ259-DE259)</f>
        <v>9.7655782599536547</v>
      </c>
      <c r="DG259" s="1040">
        <f t="shared" si="549"/>
        <v>0</v>
      </c>
      <c r="DH259" s="649">
        <f t="shared" si="603"/>
        <v>22.47</v>
      </c>
      <c r="DI259" s="535">
        <f t="shared" si="604"/>
        <v>203.0730993019763</v>
      </c>
      <c r="DJ259" s="649">
        <f t="shared" si="605"/>
        <v>22.436865388666526</v>
      </c>
      <c r="DK259" s="535">
        <f ca="1">IF(B259&gt;(Summary!$A$1-1),#N/A,DI259*MGtoAF)</f>
        <v>623.02826865846328</v>
      </c>
      <c r="DL259" s="649">
        <f t="shared" si="606"/>
        <v>22.47</v>
      </c>
      <c r="DM259" s="535">
        <f t="shared" si="607"/>
        <v>47.47</v>
      </c>
      <c r="DN259" s="535">
        <f>Sheet1!AB257-DM259</f>
        <v>-7.0000000000000284E-2</v>
      </c>
      <c r="DO259" s="743">
        <f t="shared" si="608"/>
        <v>-1.474615546661055E-3</v>
      </c>
      <c r="DP259" s="535">
        <f>(VLOOKUP(Sheet1!DC257,hhdcap_wcm,4)-(((VLOOKUP(Sheet1!DC257,hhdcap_wcm,3)-Sheet1!DC257)/(VLOOKUP(Sheet1!DC257,hhdcap_wcm,3)-VLOOKUP(Sheet1!DC257,hhdcap_wcm,1)))*(VLOOKUP(Sheet1!DC257,hhdcap_wcm,4)-VLOOKUP(Sheet1!DC257,hhdcap_wcm,2))))</f>
        <v>30621.000000079195</v>
      </c>
      <c r="DQ259" s="535">
        <f t="shared" si="609"/>
        <v>-467.30000000129439</v>
      </c>
      <c r="DR259" s="535">
        <f t="shared" si="610"/>
        <v>-235.65305093358262</v>
      </c>
      <c r="DS259" s="535">
        <f>Sheet1!EA257*AFtoMG</f>
        <v>0</v>
      </c>
      <c r="DT259" s="535">
        <f>Sheet1!EB257*AFtoMG</f>
        <v>0</v>
      </c>
      <c r="DU259" s="535">
        <f>Sheet1!EC257*AFtoMG</f>
        <v>0</v>
      </c>
      <c r="DV259" s="535">
        <f>Sheet1!ED257*AFtoMG</f>
        <v>0</v>
      </c>
      <c r="DW259" s="535">
        <f t="shared" si="611"/>
        <v>0</v>
      </c>
      <c r="DX259" s="535">
        <f t="shared" si="612"/>
        <v>0</v>
      </c>
      <c r="DY259" s="535">
        <f t="shared" si="613"/>
        <v>1418.4397589169196</v>
      </c>
      <c r="DZ259" s="535">
        <f t="shared" si="614"/>
        <v>4351.7731803571096</v>
      </c>
      <c r="EA259" s="535"/>
      <c r="EB259" s="521">
        <f>IF(OR(B259&lt;FV259,B259&gt;FW259),(MIN(BF259+BY259+CT259+MAX(Sheet1!AA257+AQ259-73,0),K259)),0)</f>
        <v>0</v>
      </c>
      <c r="EC259" s="535"/>
      <c r="ED259" s="535">
        <f t="shared" si="615"/>
        <v>22.436865388666526</v>
      </c>
      <c r="EE259" s="535"/>
      <c r="EF259" s="535">
        <f>Sheet1!EH257+Sheet1!EI257+Sheet1!EJ257+Sheet1!EK257</f>
        <v>44</v>
      </c>
      <c r="EG259" s="1019">
        <f t="shared" si="550"/>
        <v>68.067999999999998</v>
      </c>
      <c r="EH259" s="521">
        <f t="shared" si="616"/>
        <v>0</v>
      </c>
      <c r="EI259" s="535">
        <f>IF(Sheet1!ET257=1,SUM('Calculations II'!AT259:BA259)+'Calculations II'!BC259+Sheet1!BV257+'Calculations II'!BE259+AP259,'Calculations II'!BK259)</f>
        <v>75.113756611333471</v>
      </c>
      <c r="EJ259" s="535">
        <f ca="1">EI259+'Calculations II'!D259+'Calculations II'!E259+'Calculations II'!O259</f>
        <v>75.935807766165638</v>
      </c>
      <c r="EK259" s="535"/>
      <c r="EL259" s="535"/>
      <c r="EM259" s="535">
        <f t="shared" si="617"/>
        <v>42983</v>
      </c>
      <c r="EN259" s="535">
        <f t="shared" si="618"/>
        <v>-44.945713081946494</v>
      </c>
      <c r="EO259" s="535">
        <f t="shared" si="619"/>
        <v>-69.531018137771227</v>
      </c>
      <c r="EP259" s="535">
        <v>0</v>
      </c>
      <c r="EQ259" s="535">
        <v>0</v>
      </c>
      <c r="ER259" s="535">
        <v>0</v>
      </c>
      <c r="ES259" s="521">
        <f t="shared" si="516"/>
        <v>-1.5237939636083171</v>
      </c>
      <c r="ET259" s="535">
        <f>-(VLOOKUP(Sheet1!BQ257,Lookup!$O$4:$Q$262,2)-VLOOKUP(Sheet1!BQ256,Lookup!$O$4:$Q$262,2))/1000000</f>
        <v>-0.69252000222436338</v>
      </c>
      <c r="EU259" s="535">
        <f>-(VLOOKUP(Sheet1!BR257,Lookup!$O$4:$Q$262,3)-VLOOKUP(Sheet1!BR256,Lookup!$O$4:$Q$262,3))/1000000</f>
        <v>-0.83127396138395371</v>
      </c>
      <c r="EV259" s="535"/>
      <c r="EW259" s="535"/>
      <c r="EX259" s="535"/>
      <c r="EY259" s="535"/>
      <c r="EZ259" s="535"/>
      <c r="FA259" s="535"/>
      <c r="FB259" s="535"/>
      <c r="FC259" s="535"/>
      <c r="FD259" s="567">
        <f t="shared" ref="FD259:FD290" si="632">VLOOKUP(FJ257,hhdelev_wcm,4) -(((VLOOKUP(FJ257,hhdelev_wcm,3)-FJ257)/(VLOOKUP(FJ257,hhdelev_wcm,3)-VLOOKUP(FJ257,hhdelev_wcm,1)))*(VLOOKUP(FJ257,hhdelev_wcm,4)-VLOOKUP(FJ257,hhdelev_wcm,2)))</f>
        <v>1127.2527272726588</v>
      </c>
      <c r="FE259" s="567" t="e">
        <f t="shared" si="620"/>
        <v>#N/A</v>
      </c>
      <c r="FF259" s="568" t="e">
        <f t="shared" si="621"/>
        <v>#N/A</v>
      </c>
      <c r="FG259" s="569" t="s">
        <v>656</v>
      </c>
      <c r="FH259" s="569" t="s">
        <v>656</v>
      </c>
      <c r="FI259" s="567" t="e">
        <v>#N/A</v>
      </c>
      <c r="FJ259" s="725">
        <v>14833</v>
      </c>
      <c r="FK259" s="535"/>
      <c r="FL259" s="1015">
        <f t="shared" si="631"/>
        <v>109.43015632879475</v>
      </c>
      <c r="FM259" s="535"/>
      <c r="FN259" s="535"/>
      <c r="FO259" s="535">
        <f>O259+((Sheet1!CS257)*GPMtoMGD)</f>
        <v>98.165568000000007</v>
      </c>
      <c r="FP259" s="535">
        <f>IF(Sheet1!AA257+AQ259&lt;=Calculation!N259,AQ259,Calculation!N259-Sheet1!AA257)</f>
        <v>17.683569234062844</v>
      </c>
      <c r="FQ259" s="535">
        <f>(Sheet1!BP257+Sheet1!BO257)/694.4</f>
        <v>3.7782258064516134</v>
      </c>
      <c r="FR259" s="541"/>
      <c r="FS259" s="541"/>
      <c r="FT259" s="541"/>
      <c r="FU259" s="541"/>
      <c r="FV259" s="1109">
        <f t="shared" si="517"/>
        <v>42918</v>
      </c>
      <c r="FW259" s="1109">
        <f t="shared" si="518"/>
        <v>43027</v>
      </c>
      <c r="FX259" s="541"/>
      <c r="FY259" s="541">
        <f>Sheet1!DA257-Sheet1!CZ257-Sheet1!AE257</f>
        <v>-143.26330000000002</v>
      </c>
      <c r="FZ259" s="535">
        <f t="shared" si="551"/>
        <v>-1.4716773496646007</v>
      </c>
      <c r="GA259" s="535"/>
      <c r="GB259" s="535" t="str">
        <f t="shared" si="519"/>
        <v>n</v>
      </c>
      <c r="GC259" s="539">
        <f t="shared" si="520"/>
        <v>42782</v>
      </c>
      <c r="GD259" s="1109">
        <f t="shared" si="521"/>
        <v>42904</v>
      </c>
      <c r="GE259" s="535">
        <f t="shared" si="537"/>
        <v>6520</v>
      </c>
      <c r="GF259" s="1109">
        <f t="shared" si="522"/>
        <v>42909</v>
      </c>
      <c r="GG259" s="535">
        <f t="shared" si="564"/>
        <v>3260</v>
      </c>
      <c r="GH259" s="539">
        <f t="shared" si="523"/>
        <v>43040</v>
      </c>
      <c r="GJ259" s="521">
        <f t="shared" si="524"/>
        <v>0</v>
      </c>
      <c r="GK259" s="535" t="str">
        <f t="shared" si="622"/>
        <v/>
      </c>
      <c r="GL259" s="535">
        <f t="shared" si="525"/>
        <v>0</v>
      </c>
      <c r="GM259" s="535" t="str">
        <f t="shared" si="526"/>
        <v/>
      </c>
      <c r="GN259" s="535">
        <f>IF(GK259="P",Lookup!$M$12,IF(GK259="PP",Lookup!$M$13,IF(GK259="PPP",Lookup!$M$14,IF(GK259="T",Lookup!$M$15,IF(GK259="TP",Lookup!$M$16,IF(GK259="TPP",Lookup!$M$17,IF(GK259="TPPP",Lookup!$M$18,0)))))))*GJ259</f>
        <v>0</v>
      </c>
      <c r="GO259" s="535">
        <f t="shared" si="527"/>
        <v>0</v>
      </c>
      <c r="GP259" s="535">
        <f t="shared" si="623"/>
        <v>2129.052651438576</v>
      </c>
      <c r="GQ259" s="974">
        <f t="shared" si="567"/>
        <v>693.95457999953589</v>
      </c>
      <c r="GR259" s="535"/>
      <c r="GS259" s="535">
        <f t="shared" si="528"/>
        <v>0</v>
      </c>
      <c r="GT259" s="535" t="str">
        <f t="shared" si="529"/>
        <v/>
      </c>
      <c r="GU259" s="535">
        <f>IF(GK259="P",Lookup!$N$12,IF(GK259="PP",Lookup!$N$13,IF(GK259="PPP",Lookup!$N$14,IF(GK259="T",Lookup!$N$15,IF(GK259="TP",Lookup!$N$16,IF(GK259="TPP",Lookup!$N$17,IF(GK259="TPPP",Lookup!$N$18,0)))))))*GJ259</f>
        <v>0</v>
      </c>
      <c r="GV259" s="535">
        <f t="shared" si="530"/>
        <v>0</v>
      </c>
      <c r="GW259" s="535">
        <f t="shared" si="624"/>
        <v>1025.4837031962113</v>
      </c>
      <c r="GX259" s="974">
        <f t="shared" si="568"/>
        <v>334.25153298442348</v>
      </c>
      <c r="GY259" s="535"/>
      <c r="GZ259" s="535">
        <f t="shared" si="531"/>
        <v>0</v>
      </c>
      <c r="HA259" s="535" t="str">
        <f t="shared" si="532"/>
        <v/>
      </c>
      <c r="HB259" s="535">
        <f>IF(GK259="P",Lookup!$N$12,IF(GK259="PP",Lookup!$N$13,IF(GK259="PPP",Lookup!$N$14,IF(GK259="T",Lookup!$N$15,IF(GK259="TP",Lookup!$N$16,IF(GK259="TPP",Lookup!$N$17,IF(GK259="TPPP",Lookup!$N$18,0)))))))*GJ259</f>
        <v>0</v>
      </c>
      <c r="HC259" s="521">
        <f t="shared" si="625"/>
        <v>0</v>
      </c>
      <c r="HD259" s="535">
        <f t="shared" si="626"/>
        <v>574.20855706385839</v>
      </c>
      <c r="HE259" s="535">
        <f t="shared" si="535"/>
        <v>187.16054663098384</v>
      </c>
      <c r="HF259" s="535"/>
      <c r="HG259" s="535">
        <f t="shared" si="533"/>
        <v>0</v>
      </c>
      <c r="HH259" s="535" t="str">
        <f t="shared" si="534"/>
        <v/>
      </c>
      <c r="HI259" s="535">
        <f>IF(GK259="P",Lookup!$N$12,IF(GK259="PP",Lookup!$N$13,IF(GK259="PPP",Lookup!$N$14,IF(GK259="T",Lookup!$N$15,IF(GK259="TP",Lookup!$N$16,IF(GK259="TPP",Lookup!$N$17,IF(GK259="TPPP",Lookup!$N$18,0)))))))*GJ259</f>
        <v>0</v>
      </c>
      <c r="HJ259" s="521">
        <f t="shared" si="627"/>
        <v>0</v>
      </c>
      <c r="HK259" s="535">
        <f t="shared" si="628"/>
        <v>623.02826865846328</v>
      </c>
      <c r="HL259" s="535">
        <f t="shared" si="536"/>
        <v>203.0730993019763</v>
      </c>
      <c r="HM259" s="535"/>
      <c r="HN259" s="541"/>
      <c r="HO259" s="541"/>
      <c r="HP259" s="541"/>
      <c r="HQ259" s="541">
        <f>IF(AND(B259&gt;=$FV$4,B259&lt;=$FW$4),MAX(110/1.02+$HQ$6+MIN(113/1.02,G259),IF($HV$6-(Sheet1!DA257-Sheet1!DB257)+MIN(113/1.02,G259)&lt;G259+FL259,$HV$6-(Sheet1!DA257-Sheet1!DB257)+MIN(113/1.02,G259),G259+FL259)),MIN(110/1.02+$HQ$6+113/1.02,G259))</f>
        <v>206.77710539521212</v>
      </c>
      <c r="HR259" s="541">
        <f t="shared" si="552"/>
        <v>210.91264750311637</v>
      </c>
      <c r="HS259" s="541">
        <f>HR259+(Sheet1!DA257-Sheet1!DB257)</f>
        <v>353.91264750311637</v>
      </c>
      <c r="HT259" s="541">
        <f t="shared" si="553"/>
        <v>75.745969243732887</v>
      </c>
      <c r="HU259" s="541">
        <f t="shared" si="554"/>
        <v>278.1666782593835</v>
      </c>
      <c r="HV259" s="541">
        <f t="shared" si="555"/>
        <v>0</v>
      </c>
      <c r="HW259" s="533" t="str">
        <f t="shared" si="556"/>
        <v/>
      </c>
      <c r="HX259" s="541">
        <f t="shared" si="557"/>
        <v>56.691876467016641</v>
      </c>
      <c r="HY259" s="541">
        <f>Sheet1!CZ257</f>
        <v>333</v>
      </c>
      <c r="HZ259" s="541">
        <f t="shared" si="558"/>
        <v>69.531018137771227</v>
      </c>
      <c r="IA259" s="541">
        <f t="shared" si="559"/>
        <v>75.745969243732887</v>
      </c>
      <c r="IB259" s="541">
        <f t="shared" si="560"/>
        <v>263.46898186222876</v>
      </c>
      <c r="IC259" s="1019" t="str">
        <f t="shared" si="561"/>
        <v/>
      </c>
      <c r="ID259" s="541">
        <f t="shared" si="562"/>
        <v>187.72301261849589</v>
      </c>
      <c r="IE259" s="541">
        <f>Sheet1!DB257</f>
        <v>192</v>
      </c>
      <c r="IF259" s="533">
        <f>Sheet1!DA257</f>
        <v>335</v>
      </c>
      <c r="IH259" s="541">
        <f>IF(AND($B259&gt;=$GC259,$B259&lt;=$GH259,$DR259&lt;0)+N("only adjusted when pool is drawn down during storage season"),Sheet1!$DB257+$DR259+N("Palmer minus all storage release"),Sheet1!$DB257)</f>
        <v>-43.65305093358262</v>
      </c>
      <c r="II259" s="541">
        <f>IF(AND($B259&gt;=$GC259,$B259&lt;=$GH259,$DR259&lt;0)+N("only adjusted when pool is drawn down during storage season"),Sheet1!$DA257+$DR259+N("Auburn minus all storage release"),Sheet1!$DA257)</f>
        <v>99.34694906641738</v>
      </c>
    </row>
    <row r="260" spans="1:243" x14ac:dyDescent="0.25">
      <c r="A260" s="553" t="s">
        <v>6</v>
      </c>
      <c r="B260" s="531">
        <v>42984</v>
      </c>
      <c r="C260" s="536">
        <v>0</v>
      </c>
      <c r="D260" s="506">
        <f t="shared" si="506"/>
        <v>200</v>
      </c>
      <c r="E260" s="506">
        <f t="shared" si="507"/>
        <v>400</v>
      </c>
      <c r="F260" s="506">
        <v>250</v>
      </c>
      <c r="G260" s="535">
        <f>DR260+Sheet1!CZ258</f>
        <v>94.573373675599072</v>
      </c>
      <c r="H260" s="1074">
        <f t="shared" si="563"/>
        <v>0</v>
      </c>
      <c r="I260" s="534">
        <f>IF(Sheet1!DA258&gt;=E260,(Sheet1!DA258-E260+P260)*CFStoMGD,0)</f>
        <v>0</v>
      </c>
      <c r="J260" s="995">
        <f>IF(Sheet1!DB258&gt;=D260,(Sheet1!DB258-D260+P260)*CFStoMGD,0)</f>
        <v>96.790203648000002</v>
      </c>
      <c r="K260" s="818">
        <f t="shared" si="538"/>
        <v>0</v>
      </c>
      <c r="L260" s="535">
        <f>Sheet1!AA258+Sheet1!AB258-Sheet1!L258+(Sheet1!DA258-F260)*CFStoMGD-S260-T260-U260</f>
        <v>105.07323967580083</v>
      </c>
      <c r="M260" s="535">
        <f t="shared" si="569"/>
        <v>62.354873318785387</v>
      </c>
      <c r="N260" s="824">
        <f>IF(Sheet1!DA258&gt;=F260,MIN(113*CFStoMGD,MIN(MAX(L260,0),MAX(M260,0))),0)</f>
        <v>62.354873318785387</v>
      </c>
      <c r="O260" s="538">
        <f>Sheet1!AA258+Sheet1!AB258</f>
        <v>93.56</v>
      </c>
      <c r="P260" s="538">
        <f t="shared" si="570"/>
        <v>144.73732000000001</v>
      </c>
      <c r="Q260" s="812">
        <f t="shared" si="539"/>
        <v>50.129239675800854</v>
      </c>
      <c r="R260" s="812">
        <f t="shared" si="508"/>
        <v>44</v>
      </c>
      <c r="S260" s="812">
        <f t="shared" si="509"/>
        <v>0</v>
      </c>
      <c r="T260" s="812">
        <f t="shared" si="510"/>
        <v>0</v>
      </c>
      <c r="U260" s="812">
        <f>IF(AND(B260&gt;=FV260,B260&lt;=FW260),ED260+Sheet1!EH258,0)</f>
        <v>43.430760324199149</v>
      </c>
      <c r="V260" s="812"/>
      <c r="W260" s="812">
        <f t="shared" si="511"/>
        <v>0</v>
      </c>
      <c r="X260" s="812">
        <f t="shared" si="512"/>
        <v>0</v>
      </c>
      <c r="Y260" s="812" t="str">
        <f t="shared" si="513"/>
        <v>FALSE</v>
      </c>
      <c r="Z260" s="812">
        <f t="shared" si="514"/>
        <v>93.56</v>
      </c>
      <c r="AA260" s="812">
        <f t="shared" si="515"/>
        <v>93.56</v>
      </c>
      <c r="AB260" s="1059">
        <f t="shared" si="540"/>
        <v>77.549933778463924</v>
      </c>
      <c r="AC260" s="538">
        <f>Sheet1!Y258*MGDtoCFS</f>
        <v>71.93549999999999</v>
      </c>
      <c r="AD260" s="538">
        <f>Sheet1!Z258*MGDtoCFS</f>
        <v>73.327799999999996</v>
      </c>
      <c r="AE260" s="538">
        <f>Sheet1!AA258*MGDtoCFS</f>
        <v>64.912120000000002</v>
      </c>
      <c r="AF260" s="538">
        <f>Sheet1!AB258*MGDtoCFS</f>
        <v>79.825199999999995</v>
      </c>
      <c r="AG260" s="538">
        <f>Sheet1!L258*MGDtoCFS</f>
        <v>0</v>
      </c>
      <c r="AH260" s="521">
        <f t="shared" si="571"/>
        <v>47.270998468700697</v>
      </c>
      <c r="AI260" s="1059">
        <f t="shared" si="572"/>
        <v>73.128234631079977</v>
      </c>
      <c r="AJ260" s="535">
        <f t="shared" si="573"/>
        <v>0</v>
      </c>
      <c r="AK260" s="535">
        <f t="shared" si="574"/>
        <v>0</v>
      </c>
      <c r="AL260" s="535">
        <f>(VLOOKUP(Sheet1!DC258,hhdcap_wcm,4)-(((VLOOKUP(Sheet1!DC258,hhdcap_wcm,3)-Sheet1!DC258)/(VLOOKUP(Sheet1!DC258,hhdcap_wcm,3)-VLOOKUP(Sheet1!DC258,hhdcap_wcm,1)))*(VLOOKUP(Sheet1!DC258,hhdcap_wcm,4)-VLOOKUP(Sheet1!DC258,hhdcap_wcm,2))))</f>
        <v>30148.200000077908</v>
      </c>
      <c r="AM260" s="535">
        <f t="shared" si="575"/>
        <v>-472.80000000128712</v>
      </c>
      <c r="AN260" s="1035">
        <f t="shared" si="576"/>
        <v>1371.1687604482188</v>
      </c>
      <c r="AO260" s="535">
        <f t="shared" si="577"/>
        <v>4206.7457570551351</v>
      </c>
      <c r="AP260" s="535">
        <f>Sheet1!BA258+Sheet1!BB258+Sheet1!BN258+CD260</f>
        <v>30.8</v>
      </c>
      <c r="AQ260" s="535">
        <f>Sheet1!BN258+(DO260*Sheet1!BN258)</f>
        <v>30.669239675800849</v>
      </c>
      <c r="AR260" s="535">
        <f>Sheet1!BA258+CD260</f>
        <v>0</v>
      </c>
      <c r="AS260" s="535">
        <f>Sheet1!BA258+Sheet1!BB258+CD260</f>
        <v>0</v>
      </c>
      <c r="AT260" s="649">
        <f>0</f>
        <v>0</v>
      </c>
      <c r="AU260" s="974">
        <f>BA260+MAX(Sheet1!EH258,(O260-Q260-ED260-S260))</f>
        <v>25.719589746199727</v>
      </c>
      <c r="AV260" s="535">
        <f>IF(OR(B260&gt;=GD260,B260&lt;GC260),0,15/36*K260-MAX(0,64.6-(137.6-(Sheet1!AA258+Sheet1!AB258))))</f>
        <v>0</v>
      </c>
      <c r="AW260" s="1029"/>
      <c r="AX260" s="649"/>
      <c r="AY260" s="649">
        <f t="shared" si="541"/>
        <v>23.311716569431731</v>
      </c>
      <c r="AZ260" s="649">
        <f t="shared" si="542"/>
        <v>4.9807053373709778</v>
      </c>
      <c r="BA260" s="1059">
        <f t="shared" si="543"/>
        <v>3.2195897461997274</v>
      </c>
      <c r="BB260" s="1019">
        <f t="shared" si="578"/>
        <v>668.23499025333615</v>
      </c>
      <c r="BC260" s="1041">
        <f t="shared" si="544"/>
        <v>0</v>
      </c>
      <c r="BD260" s="1019">
        <f ca="1">IF(B260&gt;(Summary!$A$1-1),#N/A,BB260*MGtoAF)</f>
        <v>2050.1449500972353</v>
      </c>
      <c r="BE260" s="535">
        <f>Sheet1!BG258+Sheet1!BH258+Sheet1!BI258-BM260</f>
        <v>5.4399999999999995</v>
      </c>
      <c r="BF260" s="535">
        <f t="shared" si="579"/>
        <v>5.4169046700115784</v>
      </c>
      <c r="BG260" s="535">
        <f>IF(Sheet1!EP258="FM",BM260,0)</f>
        <v>0</v>
      </c>
      <c r="BH260" s="535">
        <f t="shared" si="580"/>
        <v>0</v>
      </c>
      <c r="BI260" s="535">
        <f>IF(Sheet1!EP258="OTHER",BM260,0)</f>
        <v>0</v>
      </c>
      <c r="BJ260" s="535">
        <f t="shared" si="581"/>
        <v>0</v>
      </c>
      <c r="BK260" s="535">
        <f t="shared" si="582"/>
        <v>5.4399999999999995</v>
      </c>
      <c r="BL260" s="535">
        <f t="shared" si="583"/>
        <v>5.4169046700115784</v>
      </c>
      <c r="BM260" s="535">
        <f>IF(OR(Sheet1!EP258="FM", Sheet1!EP258="OTHER"),SUM(Sheet1!BG258:'Sheet1'!BI258),0)</f>
        <v>0</v>
      </c>
      <c r="BN260" s="521">
        <f>IF(AND($B260&gt;=$FV260,$B260&lt;=$FW260),MAX(BF260,Sheet1!EI258,0),MAX(BF260-(7/36)*$K260,0))</f>
        <v>6</v>
      </c>
      <c r="BO260" s="535">
        <f t="shared" si="584"/>
        <v>0</v>
      </c>
      <c r="BP260" s="521">
        <f t="shared" si="585"/>
        <v>0</v>
      </c>
      <c r="BQ260" s="521">
        <f>IF(AND($O260&gt;0,Sheet1!EM258=1),(1-($O260-Sheet1!$L258)/$O260)*BL260,0)</f>
        <v>0</v>
      </c>
      <c r="BR260" s="521">
        <f>IF(AND(Sheet1!$L258=0,Sheet1!$L257=0, Calculation!BK260&lt;Sheet1!$EI258-0.1,Sheet1!$EI258=Sheet1!$EI257,Sheet1!$EI258=Sheet1!$EI259),BL260-BQ260,BL260-BQ260)</f>
        <v>5.4169046700115784</v>
      </c>
      <c r="BS260" s="1035" t="str">
        <f t="shared" si="545"/>
        <v/>
      </c>
      <c r="BT260" s="1035">
        <f t="shared" si="546"/>
        <v>0</v>
      </c>
      <c r="BU260" s="535">
        <f t="shared" si="586"/>
        <v>328.25153298442348</v>
      </c>
      <c r="BV260" s="535"/>
      <c r="BW260" s="535">
        <f ca="1">IF(B260&gt;(Summary!$A$1-1),#N/A,BU260*MGtoAF)</f>
        <v>1007.0757031962113</v>
      </c>
      <c r="BX260" s="535">
        <f>Sheet1!BC258+Sheet1!BD258+Sheet1!BE258+Sheet1!BF258-CG260-CH260</f>
        <v>6.49</v>
      </c>
      <c r="BY260" s="535">
        <f t="shared" si="587"/>
        <v>6.4624469316866078</v>
      </c>
      <c r="BZ260" s="535">
        <f>IF(Sheet1!EQ258="FM",CH260,0)</f>
        <v>0</v>
      </c>
      <c r="CA260" s="535">
        <f t="shared" si="588"/>
        <v>0</v>
      </c>
      <c r="CB260" s="535">
        <f>IF(Sheet1!EQ258="OTHER",CH260,0)</f>
        <v>0</v>
      </c>
      <c r="CC260" s="535">
        <f t="shared" si="589"/>
        <v>0</v>
      </c>
      <c r="CD260" s="535">
        <f t="shared" si="590"/>
        <v>0</v>
      </c>
      <c r="CE260" s="535">
        <f t="shared" si="591"/>
        <v>6.49</v>
      </c>
      <c r="CF260" s="535">
        <f t="shared" si="592"/>
        <v>6.4624469316866078</v>
      </c>
      <c r="CG260" s="535">
        <f>IF(Sheet1!EQ258="CWA",SUM(Sheet1!BC258:'Sheet1'!BF258),0)</f>
        <v>0</v>
      </c>
      <c r="CH260" s="535">
        <f>IF(OR(Sheet1!EQ258="FM", Sheet1!EQ258="OTHER"),SUM(Sheet1!BC258:'Sheet1'!BF258),0)</f>
        <v>0</v>
      </c>
      <c r="CI260" s="521">
        <f>IF(AND($B260&gt;=$FV260,$B260&lt;=$FW260),MAX(CF260,Sheet1!EJ258,0),MAX(CF260-(7/36)*$K260,0))</f>
        <v>6.5</v>
      </c>
      <c r="CJ260" s="535">
        <f t="shared" si="593"/>
        <v>0</v>
      </c>
      <c r="CK260" s="521">
        <f t="shared" si="594"/>
        <v>0</v>
      </c>
      <c r="CL260" s="521">
        <f>IF(AND($O260&gt;0,Sheet1!EN258=1),(1-($O260-Sheet1!$L258)/$O260)*CF260,0)</f>
        <v>0</v>
      </c>
      <c r="CM260" s="521">
        <f>IF(AND(Sheet1!$L258=0,Sheet1!$L257=0, Calculation!CE260&lt;Sheet1!EJ258-0.1,Sheet1!EJ258=Sheet1!EJ257,Sheet1!EJ258=Sheet1!EJ259),CF260-CL260,CF260-CL260)</f>
        <v>6.4624469316866078</v>
      </c>
      <c r="CN260" s="1040" t="str">
        <f t="shared" si="547"/>
        <v/>
      </c>
      <c r="CO260" s="1035">
        <f t="shared" si="548"/>
        <v>0</v>
      </c>
      <c r="CP260" s="535">
        <f t="shared" si="595"/>
        <v>180.66054663098384</v>
      </c>
      <c r="CQ260" s="535"/>
      <c r="CR260" s="535">
        <f ca="1">IF(B260&gt;(Summary!$A$1-1),#N/A,CP260*MGtoAF)</f>
        <v>554.2665570638585</v>
      </c>
      <c r="CS260" s="535">
        <f>Sheet1!BK258+Sheet1!BL258+Sheet1!BM258-Sheet1!ER258-DA260</f>
        <v>9.09</v>
      </c>
      <c r="CT260" s="535">
        <f t="shared" si="596"/>
        <v>9.0514087225009643</v>
      </c>
      <c r="CU260" s="535">
        <f>IF(Sheet1!ER258="FM",DA260,0)</f>
        <v>0</v>
      </c>
      <c r="CV260" s="535">
        <f t="shared" si="597"/>
        <v>0</v>
      </c>
      <c r="CW260" s="535">
        <f>IF(Sheet1!ER258="OTHER",DA260,0)</f>
        <v>0</v>
      </c>
      <c r="CX260" s="535">
        <f t="shared" si="598"/>
        <v>0</v>
      </c>
      <c r="CY260" s="535">
        <f t="shared" si="629"/>
        <v>9.09</v>
      </c>
      <c r="CZ260" s="535">
        <f t="shared" si="630"/>
        <v>9.0514087225009643</v>
      </c>
      <c r="DA260" s="535">
        <f>IF(OR(Sheet1!ER258="FM", Sheet1!ER258="OTHER"),SUM(Sheet1!BK258:'Sheet1'!BM258),0)</f>
        <v>0</v>
      </c>
      <c r="DB260" s="1011">
        <f>IF(AND($B260&gt;=$FV260,$B260&lt;=$FW260),MAX($CT260,Sheet1!EK258,0),MAX($CT260-(7/36)*$K260,0))</f>
        <v>9.0514087225009643</v>
      </c>
      <c r="DC260" s="1012">
        <f t="shared" si="601"/>
        <v>0</v>
      </c>
      <c r="DD260" s="1011">
        <f t="shared" si="602"/>
        <v>0</v>
      </c>
      <c r="DE260" s="521">
        <f>IF(AND($O260&gt;0,Sheet1!EO258=1),(1-($O260-Sheet1!$L258)/$O260)*CZ260,0)</f>
        <v>0</v>
      </c>
      <c r="DF260" s="521">
        <f>IF(AND(Sheet1!$L258=0,Sheet1!$L257=0, Calculation!CY260&lt;Sheet1!$EK258-0.1,Sheet1!$EK258=Sheet1!$EK257,Sheet1!$EK258=Sheet1!$EK259),CZ260-DE260,CZ260-DE260)</f>
        <v>9.0514087225009643</v>
      </c>
      <c r="DG260" s="1040">
        <f t="shared" si="549"/>
        <v>0</v>
      </c>
      <c r="DH260" s="649">
        <f t="shared" si="603"/>
        <v>21.02</v>
      </c>
      <c r="DI260" s="535">
        <f t="shared" si="604"/>
        <v>194.02169057947535</v>
      </c>
      <c r="DJ260" s="649">
        <f t="shared" si="605"/>
        <v>20.930760324199149</v>
      </c>
      <c r="DK260" s="535">
        <f ca="1">IF(B260&gt;(Summary!$A$1-1),#N/A,DI260*MGtoAF)</f>
        <v>595.25854669783041</v>
      </c>
      <c r="DL260" s="649">
        <f t="shared" si="606"/>
        <v>21.02</v>
      </c>
      <c r="DM260" s="535">
        <f t="shared" si="607"/>
        <v>51.82</v>
      </c>
      <c r="DN260" s="535">
        <f>Sheet1!AB258-DM260</f>
        <v>-0.21999999999999886</v>
      </c>
      <c r="DO260" s="743">
        <f t="shared" si="608"/>
        <v>-4.2454650714009818E-3</v>
      </c>
      <c r="DP260" s="535">
        <f>(VLOOKUP(Sheet1!DC258,hhdcap_wcm,4)-(((VLOOKUP(Sheet1!DC258,hhdcap_wcm,3)-Sheet1!DC258)/(VLOOKUP(Sheet1!DC258,hhdcap_wcm,3)-VLOOKUP(Sheet1!DC258,hhdcap_wcm,1)))*(VLOOKUP(Sheet1!DC258,hhdcap_wcm,4)-VLOOKUP(Sheet1!DC258,hhdcap_wcm,2))))</f>
        <v>30148.200000077908</v>
      </c>
      <c r="DQ260" s="535">
        <f t="shared" si="609"/>
        <v>-472.80000000128712</v>
      </c>
      <c r="DR260" s="535">
        <f t="shared" si="610"/>
        <v>-238.42662632440093</v>
      </c>
      <c r="DS260" s="535">
        <f>Sheet1!EA258*AFtoMG</f>
        <v>0</v>
      </c>
      <c r="DT260" s="535">
        <f>Sheet1!EB258*AFtoMG</f>
        <v>0</v>
      </c>
      <c r="DU260" s="535">
        <f>Sheet1!EC258*AFtoMG</f>
        <v>0</v>
      </c>
      <c r="DV260" s="535">
        <f>Sheet1!ED258*AFtoMG</f>
        <v>0</v>
      </c>
      <c r="DW260" s="535">
        <f t="shared" si="611"/>
        <v>0</v>
      </c>
      <c r="DX260" s="535">
        <f t="shared" si="612"/>
        <v>0</v>
      </c>
      <c r="DY260" s="535">
        <f t="shared" si="613"/>
        <v>1371.1687604482188</v>
      </c>
      <c r="DZ260" s="535">
        <f t="shared" si="614"/>
        <v>4206.7457570551351</v>
      </c>
      <c r="EA260" s="535"/>
      <c r="EB260" s="521">
        <f>IF(OR(B260&lt;FV260,B260&gt;FW260),(MIN(BF260+BY260+CT260+MAX(Sheet1!AA258+AQ260-73,0),K260)),0)</f>
        <v>0</v>
      </c>
      <c r="EC260" s="535"/>
      <c r="ED260" s="535">
        <f t="shared" si="615"/>
        <v>20.930760324199149</v>
      </c>
      <c r="EE260" s="535"/>
      <c r="EF260" s="535">
        <f>Sheet1!EH258+Sheet1!EI258+Sheet1!EJ258+Sheet1!EK258</f>
        <v>44</v>
      </c>
      <c r="EG260" s="1019">
        <f t="shared" si="550"/>
        <v>68.067999999999998</v>
      </c>
      <c r="EH260" s="521">
        <f t="shared" si="616"/>
        <v>0</v>
      </c>
      <c r="EI260" s="535">
        <f>IF(Sheet1!ET258=1,SUM('Calculations II'!AT260:BA260)+'Calculations II'!BC260+Sheet1!BV258+'Calculations II'!BE260+AP260,'Calculations II'!BK260)</f>
        <v>74.974211675800859</v>
      </c>
      <c r="EJ260" s="535">
        <f ca="1">EI260+'Calculations II'!D260+'Calculations II'!E260+'Calculations II'!O260</f>
        <v>77.027147393561052</v>
      </c>
      <c r="EK260" s="535"/>
      <c r="EL260" s="535"/>
      <c r="EM260" s="535">
        <f t="shared" si="617"/>
        <v>42984</v>
      </c>
      <c r="EN260" s="535">
        <f t="shared" si="618"/>
        <v>-47.270998468700697</v>
      </c>
      <c r="EO260" s="535">
        <f t="shared" si="619"/>
        <v>-73.128234631079977</v>
      </c>
      <c r="EP260" s="535">
        <v>0</v>
      </c>
      <c r="EQ260" s="535">
        <v>0</v>
      </c>
      <c r="ER260" s="535">
        <v>0</v>
      </c>
      <c r="ES260" s="521">
        <f t="shared" si="516"/>
        <v>-3.4645870406377055</v>
      </c>
      <c r="ET260" s="535">
        <f>-(VLOOKUP(Sheet1!BQ258,Lookup!$O$4:$Q$262,2)-VLOOKUP(Sheet1!BQ257,Lookup!$O$4:$Q$262,2))/1000000</f>
        <v>-1.6627017663221062</v>
      </c>
      <c r="EU260" s="535">
        <f>-(VLOOKUP(Sheet1!BR258,Lookup!$O$4:$Q$262,3)-VLOOKUP(Sheet1!BR257,Lookup!$O$4:$Q$262,3))/1000000</f>
        <v>-1.8018852743155993</v>
      </c>
      <c r="EV260" s="535"/>
      <c r="EW260" s="535"/>
      <c r="EX260" s="535"/>
      <c r="EY260" s="535"/>
      <c r="EZ260" s="535"/>
      <c r="FA260" s="535"/>
      <c r="FB260" s="535"/>
      <c r="FC260" s="535"/>
      <c r="FD260" s="567">
        <f t="shared" si="632"/>
        <v>1126.854716981064</v>
      </c>
      <c r="FE260" s="567" t="e">
        <f t="shared" si="620"/>
        <v>#N/A</v>
      </c>
      <c r="FF260" s="568" t="e">
        <f t="shared" si="621"/>
        <v>#N/A</v>
      </c>
      <c r="FG260" s="569" t="s">
        <v>656</v>
      </c>
      <c r="FH260" s="569" t="s">
        <v>656</v>
      </c>
      <c r="FI260" s="567" t="e">
        <v>#N/A</v>
      </c>
      <c r="FJ260" s="725">
        <v>14616</v>
      </c>
      <c r="FK260" s="535"/>
      <c r="FL260" s="1015">
        <f t="shared" si="631"/>
        <v>108.92586989409985</v>
      </c>
      <c r="FM260" s="535"/>
      <c r="FN260" s="535"/>
      <c r="FO260" s="535">
        <f>O260+((Sheet1!CS258)*GPMtoMGD)</f>
        <v>97.824415999999999</v>
      </c>
      <c r="FP260" s="535">
        <f>IF(Sheet1!AA258+AQ260&lt;=Calculation!N260,AQ260,Calculation!N260-Sheet1!AA258)</f>
        <v>20.394873318785386</v>
      </c>
      <c r="FQ260" s="535">
        <f>(Sheet1!BP258+Sheet1!BO258)/694.4</f>
        <v>3.8456221198156677</v>
      </c>
      <c r="FR260" s="541"/>
      <c r="FS260" s="541"/>
      <c r="FT260" s="541"/>
      <c r="FU260" s="541"/>
      <c r="FV260" s="1109">
        <f t="shared" si="517"/>
        <v>42918</v>
      </c>
      <c r="FW260" s="1109">
        <f t="shared" si="518"/>
        <v>43027</v>
      </c>
      <c r="FX260" s="541"/>
      <c r="FY260" s="541">
        <f>Sheet1!DA258-Sheet1!CZ258-Sheet1!AE258</f>
        <v>-142.73732000000001</v>
      </c>
      <c r="FZ260" s="535">
        <f t="shared" si="551"/>
        <v>-1.5092759669292388</v>
      </c>
      <c r="GA260" s="535"/>
      <c r="GB260" s="535" t="str">
        <f t="shared" si="519"/>
        <v>n</v>
      </c>
      <c r="GC260" s="539">
        <f t="shared" si="520"/>
        <v>42782</v>
      </c>
      <c r="GD260" s="1109">
        <f t="shared" si="521"/>
        <v>42904</v>
      </c>
      <c r="GE260" s="535">
        <f t="shared" si="537"/>
        <v>6520</v>
      </c>
      <c r="GF260" s="1109">
        <f t="shared" si="522"/>
        <v>42909</v>
      </c>
      <c r="GG260" s="535">
        <f t="shared" si="564"/>
        <v>3260</v>
      </c>
      <c r="GH260" s="539">
        <f t="shared" si="523"/>
        <v>43040</v>
      </c>
      <c r="GJ260" s="521">
        <f t="shared" si="524"/>
        <v>0</v>
      </c>
      <c r="GK260" s="535" t="str">
        <f t="shared" si="622"/>
        <v/>
      </c>
      <c r="GL260" s="535">
        <f t="shared" si="525"/>
        <v>0</v>
      </c>
      <c r="GM260" s="535" t="str">
        <f t="shared" si="526"/>
        <v/>
      </c>
      <c r="GN260" s="535">
        <f>IF(GK260="P",Lookup!$M$12,IF(GK260="PP",Lookup!$M$13,IF(GK260="PPP",Lookup!$M$14,IF(GK260="T",Lookup!$M$15,IF(GK260="TP",Lookup!$M$16,IF(GK260="TPP",Lookup!$M$17,IF(GK260="TPPP",Lookup!$M$18,0)))))))*GJ260</f>
        <v>0</v>
      </c>
      <c r="GO260" s="535">
        <f t="shared" si="527"/>
        <v>0</v>
      </c>
      <c r="GP260" s="535">
        <f t="shared" si="623"/>
        <v>2050.1449500972353</v>
      </c>
      <c r="GQ260" s="974">
        <f t="shared" si="567"/>
        <v>668.23499025333615</v>
      </c>
      <c r="GR260" s="535"/>
      <c r="GS260" s="535">
        <f t="shared" si="528"/>
        <v>0</v>
      </c>
      <c r="GT260" s="535" t="str">
        <f t="shared" si="529"/>
        <v/>
      </c>
      <c r="GU260" s="535">
        <f>IF(GK260="P",Lookup!$N$12,IF(GK260="PP",Lookup!$N$13,IF(GK260="PPP",Lookup!$N$14,IF(GK260="T",Lookup!$N$15,IF(GK260="TP",Lookup!$N$16,IF(GK260="TPP",Lookup!$N$17,IF(GK260="TPPP",Lookup!$N$18,0)))))))*GJ260</f>
        <v>0</v>
      </c>
      <c r="GV260" s="535">
        <f t="shared" si="530"/>
        <v>0</v>
      </c>
      <c r="GW260" s="535">
        <f t="shared" si="624"/>
        <v>1007.0757031962113</v>
      </c>
      <c r="GX260" s="974">
        <f t="shared" si="568"/>
        <v>328.25153298442348</v>
      </c>
      <c r="GY260" s="535"/>
      <c r="GZ260" s="535">
        <f t="shared" si="531"/>
        <v>0</v>
      </c>
      <c r="HA260" s="535" t="str">
        <f t="shared" si="532"/>
        <v/>
      </c>
      <c r="HB260" s="535">
        <f>IF(GK260="P",Lookup!$N$12,IF(GK260="PP",Lookup!$N$13,IF(GK260="PPP",Lookup!$N$14,IF(GK260="T",Lookup!$N$15,IF(GK260="TP",Lookup!$N$16,IF(GK260="TPP",Lookup!$N$17,IF(GK260="TPPP",Lookup!$N$18,0)))))))*GJ260</f>
        <v>0</v>
      </c>
      <c r="HC260" s="521">
        <f t="shared" si="625"/>
        <v>0</v>
      </c>
      <c r="HD260" s="535">
        <f t="shared" si="626"/>
        <v>554.2665570638585</v>
      </c>
      <c r="HE260" s="535">
        <f t="shared" si="535"/>
        <v>180.66054663098384</v>
      </c>
      <c r="HF260" s="535"/>
      <c r="HG260" s="535">
        <f t="shared" si="533"/>
        <v>0</v>
      </c>
      <c r="HH260" s="535" t="str">
        <f t="shared" si="534"/>
        <v/>
      </c>
      <c r="HI260" s="535">
        <f>IF(GK260="P",Lookup!$N$12,IF(GK260="PP",Lookup!$N$13,IF(GK260="PPP",Lookup!$N$14,IF(GK260="T",Lookup!$N$15,IF(GK260="TP",Lookup!$N$16,IF(GK260="TPP",Lookup!$N$17,IF(GK260="TPPP",Lookup!$N$18,0)))))))*GJ260</f>
        <v>0</v>
      </c>
      <c r="HJ260" s="521">
        <f t="shared" si="627"/>
        <v>0</v>
      </c>
      <c r="HK260" s="535">
        <f t="shared" si="628"/>
        <v>595.25854669783041</v>
      </c>
      <c r="HL260" s="535">
        <f t="shared" si="536"/>
        <v>194.02169057947535</v>
      </c>
      <c r="HM260" s="535"/>
      <c r="HN260" s="541"/>
      <c r="HO260" s="541"/>
      <c r="HP260" s="541"/>
      <c r="HQ260" s="541">
        <f>IF(AND(B260&gt;=$FV$4,B260&lt;=$FW$4),MAX(110/1.02+$HQ$6+MIN(113/1.02,G260),IF($HV$6-(Sheet1!DA258-Sheet1!DB258)+MIN(113/1.02,G260)&lt;G260+FL260,$HV$6-(Sheet1!DA258-Sheet1!DB258)+MIN(113/1.02,G260),G260+FL260)),MIN(110/1.02+$HQ$6+113/1.02,G260))</f>
        <v>203.49924356969893</v>
      </c>
      <c r="HR260" s="541">
        <f t="shared" si="552"/>
        <v>207.56922844109292</v>
      </c>
      <c r="HS260" s="541">
        <f>HR260+(Sheet1!DA258-Sheet1!DB258)</f>
        <v>337.56922844109295</v>
      </c>
      <c r="HT260" s="541">
        <f t="shared" si="553"/>
        <v>77.549933778463924</v>
      </c>
      <c r="HU260" s="541">
        <f t="shared" si="554"/>
        <v>260.01929466262902</v>
      </c>
      <c r="HV260" s="541">
        <f t="shared" si="555"/>
        <v>4.9807053373709778</v>
      </c>
      <c r="HW260" s="533" t="str">
        <f t="shared" si="556"/>
        <v/>
      </c>
      <c r="HX260" s="541">
        <f t="shared" si="557"/>
        <v>56.37252179922109</v>
      </c>
      <c r="HY260" s="541">
        <f>Sheet1!CZ258</f>
        <v>333</v>
      </c>
      <c r="HZ260" s="541">
        <f t="shared" si="558"/>
        <v>73.128234631079977</v>
      </c>
      <c r="IA260" s="541">
        <f t="shared" si="559"/>
        <v>77.549933778463924</v>
      </c>
      <c r="IB260" s="541">
        <f t="shared" si="560"/>
        <v>259.87176536892002</v>
      </c>
      <c r="IC260" s="1019" t="str">
        <f t="shared" si="561"/>
        <v/>
      </c>
      <c r="ID260" s="541">
        <f t="shared" si="562"/>
        <v>182.3218315904561</v>
      </c>
      <c r="IE260" s="541">
        <f>Sheet1!DB258</f>
        <v>205</v>
      </c>
      <c r="IF260" s="533">
        <f>Sheet1!DA258</f>
        <v>335</v>
      </c>
      <c r="IH260" s="541">
        <f>IF(AND($B260&gt;=$GC260,$B260&lt;=$GH260,$DR260&lt;0)+N("only adjusted when pool is drawn down during storage season"),Sheet1!$DB258+$DR260+N("Palmer minus all storage release"),Sheet1!$DB258)</f>
        <v>-33.426626324400928</v>
      </c>
      <c r="II260" s="541">
        <f>IF(AND($B260&gt;=$GC260,$B260&lt;=$GH260,$DR260&lt;0)+N("only adjusted when pool is drawn down during storage season"),Sheet1!$DA258+$DR260+N("Auburn minus all storage release"),Sheet1!$DA258)</f>
        <v>96.573373675599072</v>
      </c>
    </row>
    <row r="261" spans="1:243" x14ac:dyDescent="0.25">
      <c r="A261" s="553" t="s">
        <v>7</v>
      </c>
      <c r="B261" s="531">
        <v>42985</v>
      </c>
      <c r="C261" s="536">
        <v>0</v>
      </c>
      <c r="D261" s="506">
        <f t="shared" si="506"/>
        <v>200</v>
      </c>
      <c r="E261" s="506">
        <f t="shared" si="507"/>
        <v>400</v>
      </c>
      <c r="F261" s="506">
        <v>250</v>
      </c>
      <c r="G261" s="535">
        <f>DR261+Sheet1!CZ259</f>
        <v>97.397377709897142</v>
      </c>
      <c r="H261" s="1074">
        <f t="shared" si="563"/>
        <v>0</v>
      </c>
      <c r="I261" s="534">
        <f>IF(Sheet1!DA259&gt;=E261,(Sheet1!DA259-E261+P261)*CFStoMGD,0)</f>
        <v>0</v>
      </c>
      <c r="J261" s="995">
        <f>IF(Sheet1!DB259&gt;=D261,(Sheet1!DB259-D261+P261)*CFStoMGD,0)</f>
        <v>89.66316531199999</v>
      </c>
      <c r="K261" s="818">
        <f t="shared" si="538"/>
        <v>0</v>
      </c>
      <c r="L261" s="535">
        <f>Sheet1!AA259+Sheet1!AB259-Sheet1!L259+(Sheet1!DA259-F261)*CFStoMGD-S261-T261-U261</f>
        <v>105.13280640698945</v>
      </c>
      <c r="M261" s="535">
        <f t="shared" si="569"/>
        <v>64.216818250711071</v>
      </c>
      <c r="N261" s="824">
        <f>IF(Sheet1!DA259&gt;=F261,MIN(113*CFStoMGD,MIN(MAX(L261,0),MAX(M261,0))),0)</f>
        <v>64.216818250711071</v>
      </c>
      <c r="O261" s="538">
        <f>Sheet1!AA259+Sheet1!AB259</f>
        <v>85.14</v>
      </c>
      <c r="P261" s="538">
        <f t="shared" si="570"/>
        <v>131.71158</v>
      </c>
      <c r="Q261" s="812">
        <f t="shared" si="539"/>
        <v>41.139206406989445</v>
      </c>
      <c r="R261" s="812">
        <f t="shared" si="508"/>
        <v>44</v>
      </c>
      <c r="S261" s="812">
        <f t="shared" si="509"/>
        <v>0</v>
      </c>
      <c r="T261" s="812">
        <f t="shared" si="510"/>
        <v>0</v>
      </c>
      <c r="U261" s="812">
        <f>IF(AND(B261&gt;=FV261,B261&lt;=FW261),ED261+Sheet1!EH259,0)</f>
        <v>44.000793593010556</v>
      </c>
      <c r="V261" s="812"/>
      <c r="W261" s="812">
        <f t="shared" si="511"/>
        <v>0</v>
      </c>
      <c r="X261" s="812">
        <f t="shared" si="512"/>
        <v>0</v>
      </c>
      <c r="Y261" s="812" t="str">
        <f t="shared" si="513"/>
        <v>FALSE</v>
      </c>
      <c r="Z261" s="812">
        <f t="shared" si="514"/>
        <v>85.14</v>
      </c>
      <c r="AA261" s="812">
        <f t="shared" si="515"/>
        <v>85.14</v>
      </c>
      <c r="AB261" s="1059">
        <f t="shared" si="540"/>
        <v>63.642352311612669</v>
      </c>
      <c r="AC261" s="538">
        <f>Sheet1!Y259*MGDtoCFS</f>
        <v>64.912120000000002</v>
      </c>
      <c r="AD261" s="538">
        <f>Sheet1!Z259*MGDtoCFS</f>
        <v>79.825199999999995</v>
      </c>
      <c r="AE261" s="538">
        <f>Sheet1!AA259*MGDtoCFS</f>
        <v>46.874099999999999</v>
      </c>
      <c r="AF261" s="538">
        <f>Sheet1!AB259*MGDtoCFS</f>
        <v>84.837479999999999</v>
      </c>
      <c r="AG261" s="538">
        <f>Sheet1!L259*MGDtoCFS</f>
        <v>0</v>
      </c>
      <c r="AH261" s="521">
        <f>AU261+BN261+CI261+DB261</f>
        <v>44.038987986894796</v>
      </c>
      <c r="AI261" s="1059">
        <f t="shared" si="572"/>
        <v>68.128314415726251</v>
      </c>
      <c r="AJ261" s="535">
        <f t="shared" si="573"/>
        <v>0</v>
      </c>
      <c r="AK261" s="535">
        <f t="shared" si="574"/>
        <v>0</v>
      </c>
      <c r="AL261" s="535">
        <f>(VLOOKUP(Sheet1!DC259,hhdcap_wcm,4)-(((VLOOKUP(Sheet1!DC259,hhdcap_wcm,3)-Sheet1!DC259)/(VLOOKUP(Sheet1!DC259,hhdcap_wcm,3)-VLOOKUP(Sheet1!DC259,hhdcap_wcm,1)))*(VLOOKUP(Sheet1!DC259,hhdcap_wcm,4)-VLOOKUP(Sheet1!DC259,hhdcap_wcm,2))))</f>
        <v>29681.000000076634</v>
      </c>
      <c r="AM261" s="535">
        <f t="shared" si="575"/>
        <v>-467.20000000127402</v>
      </c>
      <c r="AN261" s="1035">
        <f t="shared" si="576"/>
        <v>1327.1297724613239</v>
      </c>
      <c r="AO261" s="535">
        <f t="shared" si="577"/>
        <v>4071.6341419113419</v>
      </c>
      <c r="AP261" s="535">
        <f>Sheet1!BA259+Sheet1!BB259+Sheet1!BN259+CD261</f>
        <v>33.4</v>
      </c>
      <c r="AQ261" s="535">
        <f>Sheet1!BN259+(DO261*Sheet1!BN259)</f>
        <v>33.339206406989447</v>
      </c>
      <c r="AR261" s="535">
        <f>Sheet1!BA259+CD261</f>
        <v>0</v>
      </c>
      <c r="AS261" s="535">
        <f>Sheet1!BA259+Sheet1!BB259+CD261</f>
        <v>0</v>
      </c>
      <c r="AT261" s="649">
        <f>0</f>
        <v>0</v>
      </c>
      <c r="AU261" s="974">
        <f>BA261+MAX(Sheet1!EH259,(O261-Q261-ED261-S261))</f>
        <v>22.5</v>
      </c>
      <c r="AV261" s="535">
        <f>IF(OR(B261&gt;=GD261,B261&lt;GC261),0,15/36*K261-MAX(0,64.6-(137.6-(Sheet1!AA259+Sheet1!AB259))))</f>
        <v>0</v>
      </c>
      <c r="AW261" s="1029"/>
      <c r="AX261" s="649"/>
      <c r="AY261" s="649">
        <f t="shared" si="541"/>
        <v>23.311716569431731</v>
      </c>
      <c r="AZ261" s="649">
        <f t="shared" si="542"/>
        <v>0</v>
      </c>
      <c r="BA261" s="1059">
        <f t="shared" si="543"/>
        <v>0</v>
      </c>
      <c r="BB261" s="1019">
        <f t="shared" si="578"/>
        <v>645.73499025333615</v>
      </c>
      <c r="BC261" s="1041">
        <f t="shared" si="544"/>
        <v>0</v>
      </c>
      <c r="BD261" s="1019">
        <f ca="1">IF(B261&gt;(Summary!$A$1-1),#N/A,BB261*MGtoAF)</f>
        <v>1981.1149500972354</v>
      </c>
      <c r="BE261" s="535">
        <f>Sheet1!BG259+Sheet1!BH259+Sheet1!BI259-BM261</f>
        <v>6.05</v>
      </c>
      <c r="BF261" s="535">
        <f t="shared" si="579"/>
        <v>6.0389879868947949</v>
      </c>
      <c r="BG261" s="535">
        <f>IF(Sheet1!EP259="FM",BM261,0)</f>
        <v>0</v>
      </c>
      <c r="BH261" s="535">
        <f t="shared" si="580"/>
        <v>0</v>
      </c>
      <c r="BI261" s="535">
        <f>IF(Sheet1!EP259="OTHER",BM261,0)</f>
        <v>0</v>
      </c>
      <c r="BJ261" s="535">
        <f t="shared" si="581"/>
        <v>0</v>
      </c>
      <c r="BK261" s="535">
        <f t="shared" si="582"/>
        <v>6.05</v>
      </c>
      <c r="BL261" s="535">
        <f t="shared" si="583"/>
        <v>6.0389879868947949</v>
      </c>
      <c r="BM261" s="535">
        <f>IF(OR(Sheet1!EP259="FM", Sheet1!EP259="OTHER"),SUM(Sheet1!BG259:'Sheet1'!BI259),0)</f>
        <v>0</v>
      </c>
      <c r="BN261" s="521">
        <f>IF(AND($B261&gt;=$FV261,$B261&lt;=$FW261),MAX(BF261,Sheet1!EI259,0),MAX(BF261-(7/36)*$K261,0))</f>
        <v>6.0389879868947949</v>
      </c>
      <c r="BO261" s="535">
        <f t="shared" si="584"/>
        <v>0</v>
      </c>
      <c r="BP261" s="521">
        <f t="shared" si="585"/>
        <v>0</v>
      </c>
      <c r="BQ261" s="521">
        <f>IF(AND($O261&gt;0,Sheet1!EM259=1),(1-($O261-Sheet1!$L259)/$O261)*BL261,0)</f>
        <v>0</v>
      </c>
      <c r="BR261" s="521">
        <f>IF(AND(Sheet1!$L259=0,Sheet1!$L258=0, Calculation!BK261&lt;Sheet1!$EI259-0.1,Sheet1!$EI259=Sheet1!$EI258,Sheet1!$EI259=Sheet1!$EI260),BL261-BQ261,BL261-BQ261)</f>
        <v>6.0389879868947949</v>
      </c>
      <c r="BS261" s="1035" t="str">
        <f t="shared" si="545"/>
        <v/>
      </c>
      <c r="BT261" s="1035">
        <f t="shared" si="546"/>
        <v>0</v>
      </c>
      <c r="BU261" s="535">
        <f t="shared" si="586"/>
        <v>322.21254499752871</v>
      </c>
      <c r="BV261" s="535"/>
      <c r="BW261" s="535">
        <f ca="1">IF(B261&gt;(Summary!$A$1-1),#N/A,BU261*MGtoAF)</f>
        <v>988.54808805241805</v>
      </c>
      <c r="BX261" s="535">
        <f>Sheet1!BC259+Sheet1!BD259+Sheet1!BE259+Sheet1!BF259-CG261-CH261</f>
        <v>6.49</v>
      </c>
      <c r="BY261" s="535">
        <f t="shared" si="587"/>
        <v>6.4781871132144166</v>
      </c>
      <c r="BZ261" s="535">
        <f>IF(Sheet1!EQ259="FM",CH261,0)</f>
        <v>0</v>
      </c>
      <c r="CA261" s="535">
        <f t="shared" si="588"/>
        <v>0</v>
      </c>
      <c r="CB261" s="535">
        <f>IF(Sheet1!EQ259="OTHER",CH261,0)</f>
        <v>0</v>
      </c>
      <c r="CC261" s="535">
        <f t="shared" si="589"/>
        <v>0</v>
      </c>
      <c r="CD261" s="535">
        <f t="shared" si="590"/>
        <v>0</v>
      </c>
      <c r="CE261" s="535">
        <f t="shared" si="591"/>
        <v>6.49</v>
      </c>
      <c r="CF261" s="535">
        <f t="shared" si="592"/>
        <v>6.4781871132144166</v>
      </c>
      <c r="CG261" s="535">
        <f>IF(Sheet1!EQ259="CWA",SUM(Sheet1!BC259:'Sheet1'!BF259),0)</f>
        <v>0</v>
      </c>
      <c r="CH261" s="535">
        <f>IF(OR(Sheet1!EQ259="FM", Sheet1!EQ259="OTHER"),SUM(Sheet1!BC259:'Sheet1'!BF259),0)</f>
        <v>0</v>
      </c>
      <c r="CI261" s="521">
        <f>IF(AND($B261&gt;=$FV261,$B261&lt;=$FW261),MAX(CF261,Sheet1!EJ259,0),MAX(CF261-(7/36)*$K261,0))</f>
        <v>6.5</v>
      </c>
      <c r="CJ261" s="535">
        <f t="shared" si="593"/>
        <v>0</v>
      </c>
      <c r="CK261" s="521">
        <f t="shared" si="594"/>
        <v>0</v>
      </c>
      <c r="CL261" s="521">
        <f>IF(AND($O261&gt;0,Sheet1!EN259=1),(1-($O261-Sheet1!$L259)/$O261)*CF261,0)</f>
        <v>0</v>
      </c>
      <c r="CM261" s="521">
        <f>IF(AND(Sheet1!$L259=0,Sheet1!$L258=0, Calculation!CE261&lt;Sheet1!EJ259-0.1,Sheet1!EJ259=Sheet1!EJ258,Sheet1!EJ259=Sheet1!EJ260),CF261-CL261,CF261-CL261)</f>
        <v>6.4781871132144166</v>
      </c>
      <c r="CN261" s="1040" t="str">
        <f t="shared" si="547"/>
        <v/>
      </c>
      <c r="CO261" s="1035">
        <f t="shared" si="548"/>
        <v>0</v>
      </c>
      <c r="CP261" s="535">
        <f t="shared" si="595"/>
        <v>174.16054663098384</v>
      </c>
      <c r="CQ261" s="535"/>
      <c r="CR261" s="535">
        <f ca="1">IF(B261&gt;(Summary!$A$1-1),#N/A,CP261*MGtoAF)</f>
        <v>534.32455706385849</v>
      </c>
      <c r="CS261" s="535">
        <f>Sheet1!BK259+Sheet1!BL259+Sheet1!BM259-Sheet1!ER259-DA261</f>
        <v>9</v>
      </c>
      <c r="CT261" s="535">
        <f t="shared" si="596"/>
        <v>8.9836184929013481</v>
      </c>
      <c r="CU261" s="535">
        <f>IF(Sheet1!ER259="FM",DA261,0)</f>
        <v>0</v>
      </c>
      <c r="CV261" s="535">
        <f t="shared" si="597"/>
        <v>0</v>
      </c>
      <c r="CW261" s="535">
        <f>IF(Sheet1!ER259="OTHER",DA261,0)</f>
        <v>0</v>
      </c>
      <c r="CX261" s="535">
        <f t="shared" si="598"/>
        <v>0</v>
      </c>
      <c r="CY261" s="535">
        <f t="shared" si="629"/>
        <v>9</v>
      </c>
      <c r="CZ261" s="535">
        <f t="shared" si="630"/>
        <v>8.9836184929013481</v>
      </c>
      <c r="DA261" s="535">
        <f>IF(OR(Sheet1!ER259="FM", Sheet1!ER259="OTHER"),SUM(Sheet1!BK259:'Sheet1'!BM259),0)</f>
        <v>0</v>
      </c>
      <c r="DB261" s="1011">
        <f>IF(AND($B261&gt;=$FV261,$B261&lt;=$FW261),MAX($CT261,Sheet1!EK259,0),MAX($CT261-(7/36)*$K261,0))</f>
        <v>9</v>
      </c>
      <c r="DC261" s="1012">
        <f t="shared" si="601"/>
        <v>0</v>
      </c>
      <c r="DD261" s="1011">
        <f t="shared" si="602"/>
        <v>0</v>
      </c>
      <c r="DE261" s="521">
        <f>IF(AND($O261&gt;0,Sheet1!EO259=1),(1-($O261-Sheet1!$L259)/$O261)*CZ261,0)</f>
        <v>0</v>
      </c>
      <c r="DF261" s="521">
        <f>IF(AND(Sheet1!$L259=0,Sheet1!$L258=0, Calculation!CY261&lt;Sheet1!$EK259-0.1,Sheet1!$EK259=Sheet1!$EK258,Sheet1!$EK259=Sheet1!$EK260),CZ261-DE261,CZ261-DE261)</f>
        <v>8.9836184929013481</v>
      </c>
      <c r="DG261" s="1040">
        <f t="shared" si="549"/>
        <v>0</v>
      </c>
      <c r="DH261" s="649">
        <f t="shared" si="603"/>
        <v>21.54</v>
      </c>
      <c r="DI261" s="535">
        <f t="shared" si="604"/>
        <v>185.02169057947535</v>
      </c>
      <c r="DJ261" s="649">
        <f t="shared" si="605"/>
        <v>21.50079359301056</v>
      </c>
      <c r="DK261" s="535">
        <f ca="1">IF(B261&gt;(Summary!$A$1-1),#N/A,DI261*MGtoAF)</f>
        <v>567.64654669783033</v>
      </c>
      <c r="DL261" s="649">
        <f t="shared" si="606"/>
        <v>21.54</v>
      </c>
      <c r="DM261" s="535">
        <f t="shared" si="607"/>
        <v>54.94</v>
      </c>
      <c r="DN261" s="535">
        <f>Sheet1!AB259-DM261</f>
        <v>-9.9999999999994316E-2</v>
      </c>
      <c r="DO261" s="743">
        <f t="shared" si="608"/>
        <v>-1.8201674554057939E-3</v>
      </c>
      <c r="DP261" s="535">
        <f>(VLOOKUP(Sheet1!DC259,hhdcap_wcm,4)-(((VLOOKUP(Sheet1!DC259,hhdcap_wcm,3)-Sheet1!DC259)/(VLOOKUP(Sheet1!DC259,hhdcap_wcm,3)-VLOOKUP(Sheet1!DC259,hhdcap_wcm,1)))*(VLOOKUP(Sheet1!DC259,hhdcap_wcm,4)-VLOOKUP(Sheet1!DC259,hhdcap_wcm,2))))</f>
        <v>29681.000000076634</v>
      </c>
      <c r="DQ261" s="535">
        <f t="shared" si="609"/>
        <v>-467.20000000127402</v>
      </c>
      <c r="DR261" s="535">
        <f t="shared" si="610"/>
        <v>-235.60262229010286</v>
      </c>
      <c r="DS261" s="535">
        <f>Sheet1!EA259*AFtoMG</f>
        <v>0</v>
      </c>
      <c r="DT261" s="535">
        <f>Sheet1!EB259*AFtoMG</f>
        <v>0</v>
      </c>
      <c r="DU261" s="535">
        <f>Sheet1!EC259*AFtoMG</f>
        <v>0</v>
      </c>
      <c r="DV261" s="535">
        <f>Sheet1!ED259*AFtoMG</f>
        <v>0</v>
      </c>
      <c r="DW261" s="535">
        <f t="shared" si="611"/>
        <v>0</v>
      </c>
      <c r="DX261" s="535">
        <f t="shared" si="612"/>
        <v>0</v>
      </c>
      <c r="DY261" s="535">
        <f t="shared" si="613"/>
        <v>1327.1297724613239</v>
      </c>
      <c r="DZ261" s="535">
        <f t="shared" si="614"/>
        <v>4071.6341419113419</v>
      </c>
      <c r="EA261" s="535"/>
      <c r="EB261" s="521">
        <f>IF(OR(B261&lt;FV261,B261&gt;FW261),(MIN(BF261+BY261+CT261+MAX(Sheet1!AA259+AQ261-73,0),K261)),0)</f>
        <v>0</v>
      </c>
      <c r="EC261" s="535"/>
      <c r="ED261" s="535">
        <f t="shared" si="615"/>
        <v>21.50079359301056</v>
      </c>
      <c r="EE261" s="535"/>
      <c r="EF261" s="535">
        <f>Sheet1!EH259+Sheet1!EI259+Sheet1!EJ259+Sheet1!EK259</f>
        <v>44</v>
      </c>
      <c r="EG261" s="1019">
        <f t="shared" si="550"/>
        <v>68.067999999999998</v>
      </c>
      <c r="EH261" s="521">
        <f t="shared" si="616"/>
        <v>0</v>
      </c>
      <c r="EI261" s="535">
        <f>IF(Sheet1!ET259=1,SUM('Calculations II'!AT261:BA261)+'Calculations II'!BC261+Sheet1!BV259+'Calculations II'!BE261+AP261,'Calculations II'!BK261)</f>
        <v>70.004904406989453</v>
      </c>
      <c r="EJ261" s="535">
        <f ca="1">EI261+'Calculations II'!D261+'Calculations II'!E261+'Calculations II'!O261</f>
        <v>69.297381508819882</v>
      </c>
      <c r="EK261" s="535"/>
      <c r="EL261" s="535"/>
      <c r="EM261" s="535">
        <f t="shared" si="617"/>
        <v>42985</v>
      </c>
      <c r="EN261" s="535">
        <f t="shared" si="618"/>
        <v>-44.038987986894796</v>
      </c>
      <c r="EO261" s="535">
        <f t="shared" si="619"/>
        <v>-68.128314415726251</v>
      </c>
      <c r="EP261" s="535">
        <v>0</v>
      </c>
      <c r="EQ261" s="535">
        <v>0</v>
      </c>
      <c r="ER261" s="535">
        <v>0</v>
      </c>
      <c r="ES261" s="521">
        <f t="shared" si="516"/>
        <v>0.69309691001011053</v>
      </c>
      <c r="ET261" s="535">
        <f>-(VLOOKUP(Sheet1!BQ259,Lookup!$O$4:$Q$262,2)-VLOOKUP(Sheet1!BQ258,Lookup!$O$4:$Q$262,2))/1000000</f>
        <v>0.27718106265776604</v>
      </c>
      <c r="EU261" s="535">
        <f>-(VLOOKUP(Sheet1!BR259,Lookup!$O$4:$Q$262,3)-VLOOKUP(Sheet1!BR258,Lookup!$O$4:$Q$262,3))/1000000</f>
        <v>0.41591584735234455</v>
      </c>
      <c r="EV261" s="535"/>
      <c r="EW261" s="535"/>
      <c r="EX261" s="535"/>
      <c r="EY261" s="535"/>
      <c r="EZ261" s="535"/>
      <c r="FA261" s="535"/>
      <c r="FB261" s="535"/>
      <c r="FC261" s="535"/>
      <c r="FD261" s="567">
        <f t="shared" si="632"/>
        <v>1126.4471698112529</v>
      </c>
      <c r="FE261" s="567" t="e">
        <f t="shared" si="620"/>
        <v>#N/A</v>
      </c>
      <c r="FF261" s="568" t="e">
        <f t="shared" si="621"/>
        <v>#N/A</v>
      </c>
      <c r="FG261" s="569" t="s">
        <v>656</v>
      </c>
      <c r="FH261" s="569" t="s">
        <v>656</v>
      </c>
      <c r="FI261" s="567" t="e">
        <v>#N/A</v>
      </c>
      <c r="FJ261" s="725">
        <v>14400</v>
      </c>
      <c r="FK261" s="535"/>
      <c r="FL261" s="1015">
        <f t="shared" si="631"/>
        <v>109.43015632879475</v>
      </c>
      <c r="FM261" s="535"/>
      <c r="FN261" s="535"/>
      <c r="FO261" s="535">
        <f>O261+((Sheet1!CS259)*GPMtoMGD)</f>
        <v>89.404848000000001</v>
      </c>
      <c r="FP261" s="535">
        <f>IF(Sheet1!AA259+AQ261&lt;=Calculation!N261,AQ261,Calculation!N261-Sheet1!AA259)</f>
        <v>33.339206406989447</v>
      </c>
      <c r="FQ261" s="535">
        <f>(Sheet1!BP259+Sheet1!BO259)/694.4</f>
        <v>3.5105126728110605</v>
      </c>
      <c r="FR261" s="541"/>
      <c r="FS261" s="541"/>
      <c r="FT261" s="541"/>
      <c r="FU261" s="541"/>
      <c r="FV261" s="1109">
        <f t="shared" si="517"/>
        <v>42918</v>
      </c>
      <c r="FW261" s="1109">
        <f t="shared" si="518"/>
        <v>43027</v>
      </c>
      <c r="FX261" s="541"/>
      <c r="FY261" s="541">
        <f>Sheet1!DA259-Sheet1!CZ259-Sheet1!AE259</f>
        <v>-115.71158</v>
      </c>
      <c r="FZ261" s="535">
        <f t="shared" si="551"/>
        <v>-1.1880358868043923</v>
      </c>
      <c r="GA261" s="535"/>
      <c r="GB261" s="535" t="str">
        <f t="shared" si="519"/>
        <v>n</v>
      </c>
      <c r="GC261" s="539">
        <f t="shared" si="520"/>
        <v>42782</v>
      </c>
      <c r="GD261" s="1109">
        <f t="shared" si="521"/>
        <v>42904</v>
      </c>
      <c r="GE261" s="535">
        <f t="shared" si="537"/>
        <v>6520</v>
      </c>
      <c r="GF261" s="1109">
        <f t="shared" si="522"/>
        <v>42909</v>
      </c>
      <c r="GG261" s="535">
        <f t="shared" si="564"/>
        <v>3260</v>
      </c>
      <c r="GH261" s="539">
        <f t="shared" si="523"/>
        <v>43040</v>
      </c>
      <c r="GJ261" s="521">
        <f t="shared" si="524"/>
        <v>0</v>
      </c>
      <c r="GK261" s="535" t="str">
        <f t="shared" si="622"/>
        <v/>
      </c>
      <c r="GL261" s="535">
        <f t="shared" si="525"/>
        <v>0</v>
      </c>
      <c r="GM261" s="535" t="str">
        <f t="shared" si="526"/>
        <v/>
      </c>
      <c r="GN261" s="535">
        <f>IF(GK261="P",Lookup!$M$12,IF(GK261="PP",Lookup!$M$13,IF(GK261="PPP",Lookup!$M$14,IF(GK261="T",Lookup!$M$15,IF(GK261="TP",Lookup!$M$16,IF(GK261="TPP",Lookup!$M$17,IF(GK261="TPPP",Lookup!$M$18,0)))))))*GJ261</f>
        <v>0</v>
      </c>
      <c r="GO261" s="535">
        <f t="shared" si="527"/>
        <v>0</v>
      </c>
      <c r="GP261" s="535">
        <f t="shared" si="623"/>
        <v>1981.1149500972354</v>
      </c>
      <c r="GQ261" s="974">
        <f t="shared" si="567"/>
        <v>645.73499025333615</v>
      </c>
      <c r="GR261" s="535"/>
      <c r="GS261" s="535">
        <f t="shared" si="528"/>
        <v>0</v>
      </c>
      <c r="GT261" s="535" t="str">
        <f t="shared" si="529"/>
        <v/>
      </c>
      <c r="GU261" s="535">
        <f>IF(GK261="P",Lookup!$N$12,IF(GK261="PP",Lookup!$N$13,IF(GK261="PPP",Lookup!$N$14,IF(GK261="T",Lookup!$N$15,IF(GK261="TP",Lookup!$N$16,IF(GK261="TPP",Lookup!$N$17,IF(GK261="TPPP",Lookup!$N$18,0)))))))*GJ261</f>
        <v>0</v>
      </c>
      <c r="GV261" s="535">
        <f t="shared" si="530"/>
        <v>0</v>
      </c>
      <c r="GW261" s="535">
        <f t="shared" si="624"/>
        <v>988.54808805241805</v>
      </c>
      <c r="GX261" s="974">
        <f t="shared" si="568"/>
        <v>322.21254499752871</v>
      </c>
      <c r="GY261" s="535"/>
      <c r="GZ261" s="535">
        <f t="shared" si="531"/>
        <v>0</v>
      </c>
      <c r="HA261" s="535" t="str">
        <f t="shared" si="532"/>
        <v/>
      </c>
      <c r="HB261" s="535">
        <f>IF(GK261="P",Lookup!$N$12,IF(GK261="PP",Lookup!$N$13,IF(GK261="PPP",Lookup!$N$14,IF(GK261="T",Lookup!$N$15,IF(GK261="TP",Lookup!$N$16,IF(GK261="TPP",Lookup!$N$17,IF(GK261="TPPP",Lookup!$N$18,0)))))))*GJ261</f>
        <v>0</v>
      </c>
      <c r="HC261" s="521">
        <f t="shared" si="625"/>
        <v>0</v>
      </c>
      <c r="HD261" s="535">
        <f t="shared" si="626"/>
        <v>534.32455706385849</v>
      </c>
      <c r="HE261" s="535">
        <f t="shared" si="535"/>
        <v>174.16054663098384</v>
      </c>
      <c r="HF261" s="535"/>
      <c r="HG261" s="535">
        <f t="shared" si="533"/>
        <v>0</v>
      </c>
      <c r="HH261" s="535" t="str">
        <f t="shared" si="534"/>
        <v/>
      </c>
      <c r="HI261" s="535">
        <f>IF(GK261="P",Lookup!$N$12,IF(GK261="PP",Lookup!$N$13,IF(GK261="PPP",Lookup!$N$14,IF(GK261="T",Lookup!$N$15,IF(GK261="TP",Lookup!$N$16,IF(GK261="TPP",Lookup!$N$17,IF(GK261="TPPP",Lookup!$N$18,0)))))))*GJ261</f>
        <v>0</v>
      </c>
      <c r="HJ261" s="521">
        <f t="shared" si="627"/>
        <v>0</v>
      </c>
      <c r="HK261" s="535">
        <f t="shared" si="628"/>
        <v>567.64654669783033</v>
      </c>
      <c r="HL261" s="535">
        <f t="shared" si="536"/>
        <v>185.02169057947535</v>
      </c>
      <c r="HM261" s="535"/>
      <c r="HN261" s="541"/>
      <c r="HO261" s="541"/>
      <c r="HP261" s="541"/>
      <c r="HQ261" s="541">
        <f>IF(AND(B261&gt;=$FV$4,B261&lt;=$FW$4),MAX(110/1.02+$HQ$6+MIN(113/1.02,G261),IF($HV$6-(Sheet1!DA259-Sheet1!DB259)+MIN(113/1.02,G261)&lt;G261+FL261,$HV$6-(Sheet1!DA259-Sheet1!DB259)+MIN(113/1.02,G261),G261+FL261)),MIN(110/1.02+$HQ$6+113/1.02,G261))</f>
        <v>206.82753403869191</v>
      </c>
      <c r="HR261" s="541">
        <f t="shared" si="552"/>
        <v>210.96408471946575</v>
      </c>
      <c r="HS261" s="541">
        <f>HR261+(Sheet1!DA259-Sheet1!DB259)</f>
        <v>352.96408471946575</v>
      </c>
      <c r="HT261" s="541">
        <f t="shared" si="553"/>
        <v>63.642352311612669</v>
      </c>
      <c r="HU261" s="541">
        <f t="shared" si="554"/>
        <v>289.32173240785306</v>
      </c>
      <c r="HV261" s="541">
        <f t="shared" si="555"/>
        <v>0</v>
      </c>
      <c r="HW261" s="533" t="str">
        <f t="shared" si="556"/>
        <v/>
      </c>
      <c r="HX261" s="541">
        <f t="shared" si="557"/>
        <v>58.044151545581826</v>
      </c>
      <c r="HY261" s="541">
        <f>Sheet1!CZ259</f>
        <v>333</v>
      </c>
      <c r="HZ261" s="541">
        <f t="shared" si="558"/>
        <v>68.128314415726251</v>
      </c>
      <c r="IA261" s="541">
        <f t="shared" si="559"/>
        <v>63.642352311612669</v>
      </c>
      <c r="IB261" s="541">
        <f t="shared" si="560"/>
        <v>264.87168558427373</v>
      </c>
      <c r="IC261" s="1019" t="str">
        <f t="shared" si="561"/>
        <v/>
      </c>
      <c r="ID261" s="541">
        <f t="shared" si="562"/>
        <v>201.22933327266105</v>
      </c>
      <c r="IE261" s="541">
        <f>Sheet1!DB259</f>
        <v>207</v>
      </c>
      <c r="IF261" s="533">
        <f>Sheet1!DA259</f>
        <v>349</v>
      </c>
      <c r="IH261" s="541">
        <f>IF(AND($B261&gt;=$GC261,$B261&lt;=$GH261,$DR261&lt;0)+N("only adjusted when pool is drawn down during storage season"),Sheet1!$DB259+$DR261+N("Palmer minus all storage release"),Sheet1!$DB259)</f>
        <v>-28.602622290102858</v>
      </c>
      <c r="II261" s="541">
        <f>IF(AND($B261&gt;=$GC261,$B261&lt;=$GH261,$DR261&lt;0)+N("only adjusted when pool is drawn down during storage season"),Sheet1!$DA259+$DR261+N("Auburn minus all storage release"),Sheet1!$DA259)</f>
        <v>113.39737770989714</v>
      </c>
    </row>
    <row r="262" spans="1:243" x14ac:dyDescent="0.25">
      <c r="A262" s="553" t="s">
        <v>8</v>
      </c>
      <c r="B262" s="531">
        <v>42986</v>
      </c>
      <c r="C262" s="536">
        <v>0</v>
      </c>
      <c r="D262" s="506">
        <f t="shared" si="506"/>
        <v>200</v>
      </c>
      <c r="E262" s="506">
        <f t="shared" si="507"/>
        <v>400</v>
      </c>
      <c r="F262" s="506">
        <v>250</v>
      </c>
      <c r="G262" s="535">
        <f>DR262+Sheet1!CZ260</f>
        <v>88.180534543419384</v>
      </c>
      <c r="H262" s="1074">
        <f t="shared" si="563"/>
        <v>0</v>
      </c>
      <c r="I262" s="534">
        <f>IF(Sheet1!DA260&gt;=E262,(Sheet1!DA260-E262+P262)*CFStoMGD,0)</f>
        <v>0</v>
      </c>
      <c r="J262" s="995">
        <f>IF(Sheet1!DB260&gt;=D262,(Sheet1!DB260-D262+P262)*CFStoMGD,0)</f>
        <v>0</v>
      </c>
      <c r="K262" s="818">
        <f t="shared" si="538"/>
        <v>0</v>
      </c>
      <c r="L262" s="535">
        <f>Sheet1!AA260+Sheet1!AB260-Sheet1!L260+(Sheet1!DA260-F262)*CFStoMGD-S262-T262-U262</f>
        <v>116.47723030083364</v>
      </c>
      <c r="M262" s="535">
        <f t="shared" si="569"/>
        <v>58.139895479443616</v>
      </c>
      <c r="N262" s="824">
        <f>IF(Sheet1!DA260&gt;=F262,MIN(113*CFStoMGD,MIN(MAX(L262,0),MAX(M262,0))),0)</f>
        <v>58.139895479443616</v>
      </c>
      <c r="O262" s="538">
        <f>Sheet1!AA260+Sheet1!AB260</f>
        <v>81.86</v>
      </c>
      <c r="P262" s="538">
        <f t="shared" si="570"/>
        <v>126.63741999999999</v>
      </c>
      <c r="Q262" s="812">
        <f t="shared" si="539"/>
        <v>46.019630300833633</v>
      </c>
      <c r="R262" s="812">
        <f t="shared" si="508"/>
        <v>35</v>
      </c>
      <c r="S262" s="812">
        <f t="shared" si="509"/>
        <v>0</v>
      </c>
      <c r="T262" s="812">
        <f t="shared" si="510"/>
        <v>0</v>
      </c>
      <c r="U262" s="812">
        <f>IF(AND(B262&gt;=FV262,B262&lt;=FW262),ED262+Sheet1!EH260,0)</f>
        <v>35.840369699166367</v>
      </c>
      <c r="V262" s="812"/>
      <c r="W262" s="812">
        <f t="shared" si="511"/>
        <v>0</v>
      </c>
      <c r="X262" s="812">
        <f t="shared" si="512"/>
        <v>0</v>
      </c>
      <c r="Y262" s="812" t="str">
        <f t="shared" si="513"/>
        <v>FALSE</v>
      </c>
      <c r="Z262" s="812">
        <f t="shared" si="514"/>
        <v>81.86</v>
      </c>
      <c r="AA262" s="812">
        <f t="shared" si="515"/>
        <v>81.86</v>
      </c>
      <c r="AB262" s="1059">
        <f t="shared" si="540"/>
        <v>71.192368075389624</v>
      </c>
      <c r="AC262" s="538">
        <f>Sheet1!Y260*MGDtoCFS</f>
        <v>46.874099999999999</v>
      </c>
      <c r="AD262" s="538">
        <f>Sheet1!Z260*MGDtoCFS</f>
        <v>84.837479999999999</v>
      </c>
      <c r="AE262" s="538">
        <f>Sheet1!AA260*MGDtoCFS</f>
        <v>41.444129999999994</v>
      </c>
      <c r="AF262" s="538">
        <f>Sheet1!AB260*MGDtoCFS</f>
        <v>85.19328999999999</v>
      </c>
      <c r="AG262" s="538">
        <f>Sheet1!L260*MGDtoCFS</f>
        <v>0</v>
      </c>
      <c r="AH262" s="521">
        <f t="shared" si="571"/>
        <v>35.840369699166367</v>
      </c>
      <c r="AI262" s="1059">
        <f t="shared" si="572"/>
        <v>55.445051924610368</v>
      </c>
      <c r="AJ262" s="535">
        <f t="shared" si="573"/>
        <v>0</v>
      </c>
      <c r="AK262" s="535">
        <f t="shared" si="574"/>
        <v>0</v>
      </c>
      <c r="AL262" s="535">
        <f>(VLOOKUP(Sheet1!DC260,hhdcap_wcm,4)-(((VLOOKUP(Sheet1!DC260,hhdcap_wcm,3)-Sheet1!DC260)/(VLOOKUP(Sheet1!DC260,hhdcap_wcm,3)-VLOOKUP(Sheet1!DC260,hhdcap_wcm,1)))*(VLOOKUP(Sheet1!DC260,hhdcap_wcm,4)-VLOOKUP(Sheet1!DC260,hhdcap_wcm,2))))</f>
        <v>29233.200000076235</v>
      </c>
      <c r="AM262" s="535">
        <f t="shared" si="575"/>
        <v>-447.80000000039945</v>
      </c>
      <c r="AN262" s="1035">
        <f t="shared" si="576"/>
        <v>1291.2894027621576</v>
      </c>
      <c r="AO262" s="535">
        <f t="shared" si="577"/>
        <v>3961.6758876742997</v>
      </c>
      <c r="AP262" s="535">
        <f>Sheet1!BA260+Sheet1!BB260+Sheet1!BN260+CD262</f>
        <v>35.299999999999997</v>
      </c>
      <c r="AQ262" s="535">
        <f>Sheet1!BN260+(DO262*Sheet1!BN260)</f>
        <v>35.229630300833641</v>
      </c>
      <c r="AR262" s="535">
        <f>Sheet1!BA260+CD262</f>
        <v>0</v>
      </c>
      <c r="AS262" s="535">
        <f>Sheet1!BA260+Sheet1!BB260+CD262</f>
        <v>0</v>
      </c>
      <c r="AT262" s="649">
        <f>0</f>
        <v>0</v>
      </c>
      <c r="AU262" s="974">
        <f>BA262+MAX(Sheet1!EH260,(O262-Q262-ED262-S262))</f>
        <v>16</v>
      </c>
      <c r="AV262" s="535">
        <f>IF(OR(B262&gt;=GD262,B262&lt;GC262),0,15/36*K262-MAX(0,64.6-(137.6-(Sheet1!AA260+Sheet1!AB260))))</f>
        <v>0</v>
      </c>
      <c r="AW262" s="1029"/>
      <c r="AX262" s="649"/>
      <c r="AY262" s="649">
        <f t="shared" si="541"/>
        <v>23.311716569431731</v>
      </c>
      <c r="AZ262" s="649">
        <f t="shared" si="542"/>
        <v>0</v>
      </c>
      <c r="BA262" s="1059">
        <f t="shared" si="543"/>
        <v>0</v>
      </c>
      <c r="BB262" s="1019">
        <f t="shared" si="578"/>
        <v>629.73499025333615</v>
      </c>
      <c r="BC262" s="1041">
        <f t="shared" si="544"/>
        <v>0</v>
      </c>
      <c r="BD262" s="1019">
        <f ca="1">IF(B262&gt;(Summary!$A$1-1),#N/A,BB262*MGtoAF)</f>
        <v>1932.0269500972354</v>
      </c>
      <c r="BE262" s="535">
        <f>Sheet1!BG260+Sheet1!BH260+Sheet1!BI260-BM262</f>
        <v>6.0299999999999994</v>
      </c>
      <c r="BF262" s="535">
        <f t="shared" si="579"/>
        <v>6.0179793403407036</v>
      </c>
      <c r="BG262" s="535">
        <f>IF(Sheet1!EP260="FM",BM262,0)</f>
        <v>0</v>
      </c>
      <c r="BH262" s="535">
        <f t="shared" si="580"/>
        <v>0</v>
      </c>
      <c r="BI262" s="535">
        <f>IF(Sheet1!EP260="OTHER",BM262,0)</f>
        <v>0</v>
      </c>
      <c r="BJ262" s="535">
        <f t="shared" si="581"/>
        <v>0</v>
      </c>
      <c r="BK262" s="535">
        <f t="shared" si="582"/>
        <v>6.0299999999999994</v>
      </c>
      <c r="BL262" s="535">
        <f t="shared" si="583"/>
        <v>6.0179793403407036</v>
      </c>
      <c r="BM262" s="535">
        <f>IF(OR(Sheet1!EP260="FM", Sheet1!EP260="OTHER"),SUM(Sheet1!BG260:'Sheet1'!BI260),0)</f>
        <v>0</v>
      </c>
      <c r="BN262" s="521">
        <f>IF(AND($B262&gt;=$FV262,$B262&lt;=$FW262),MAX(BF262,Sheet1!EI260,0),MAX(BF262-(7/36)*$K262,0))</f>
        <v>6.0179793403407036</v>
      </c>
      <c r="BO262" s="535">
        <f t="shared" si="584"/>
        <v>0</v>
      </c>
      <c r="BP262" s="521">
        <f t="shared" si="585"/>
        <v>0</v>
      </c>
      <c r="BQ262" s="521">
        <f>IF(AND($O262&gt;0,Sheet1!EM260=1),(1-($O262-Sheet1!$L260)/$O262)*BL262,0)</f>
        <v>0</v>
      </c>
      <c r="BR262" s="521">
        <f>IF(AND(Sheet1!$L260=0,Sheet1!$L259=0, Calculation!BK262&lt;Sheet1!$EI260-0.1,Sheet1!$EI260=Sheet1!$EI259,Sheet1!$EI260=Sheet1!$EI261),BL262-BQ262,BL262-BQ262)</f>
        <v>6.0179793403407036</v>
      </c>
      <c r="BS262" s="1035" t="str">
        <f t="shared" si="545"/>
        <v/>
      </c>
      <c r="BT262" s="1035">
        <f t="shared" si="546"/>
        <v>0</v>
      </c>
      <c r="BU262" s="535">
        <f t="shared" si="586"/>
        <v>316.19456565718798</v>
      </c>
      <c r="BV262" s="535"/>
      <c r="BW262" s="535">
        <f ca="1">IF(B262&gt;(Summary!$A$1-1),#N/A,BU262*MGtoAF)</f>
        <v>970.08492743625277</v>
      </c>
      <c r="BX262" s="535">
        <f>Sheet1!BC260+Sheet1!BD260+Sheet1!BE260+Sheet1!BF260-CG262-CH262</f>
        <v>5.49</v>
      </c>
      <c r="BY262" s="535">
        <f t="shared" si="587"/>
        <v>5.4790558173251185</v>
      </c>
      <c r="BZ262" s="535">
        <f>IF(Sheet1!EQ260="FM",CH262,0)</f>
        <v>0</v>
      </c>
      <c r="CA262" s="535">
        <f t="shared" si="588"/>
        <v>0</v>
      </c>
      <c r="CB262" s="535">
        <f>IF(Sheet1!EQ260="OTHER",CH262,0)</f>
        <v>0</v>
      </c>
      <c r="CC262" s="535">
        <f t="shared" si="589"/>
        <v>0</v>
      </c>
      <c r="CD262" s="535">
        <f t="shared" si="590"/>
        <v>0</v>
      </c>
      <c r="CE262" s="535">
        <f t="shared" si="591"/>
        <v>5.49</v>
      </c>
      <c r="CF262" s="535">
        <f t="shared" si="592"/>
        <v>5.4790558173251185</v>
      </c>
      <c r="CG262" s="535">
        <f>IF(Sheet1!EQ260="CWA",SUM(Sheet1!BC260:'Sheet1'!BF260),0)</f>
        <v>0</v>
      </c>
      <c r="CH262" s="535">
        <f>IF(OR(Sheet1!EQ260="FM", Sheet1!EQ260="OTHER"),SUM(Sheet1!BC260:'Sheet1'!BF260),0)</f>
        <v>0</v>
      </c>
      <c r="CI262" s="521">
        <f>IF(AND($B262&gt;=$FV262,$B262&lt;=$FW262),MAX(CF262,Sheet1!EJ260,0),MAX(CF262-(7/36)*$K262,0))</f>
        <v>5.4790558173251185</v>
      </c>
      <c r="CJ262" s="535">
        <f t="shared" si="593"/>
        <v>0</v>
      </c>
      <c r="CK262" s="521">
        <f t="shared" si="594"/>
        <v>0</v>
      </c>
      <c r="CL262" s="521">
        <f>IF(AND($O262&gt;0,Sheet1!EN260=1),(1-($O262-Sheet1!$L260)/$O262)*CF262,0)</f>
        <v>0</v>
      </c>
      <c r="CM262" s="521">
        <f>IF(AND(Sheet1!$L260=0,Sheet1!$L259=0, Calculation!CE262&lt;Sheet1!EJ260-0.1,Sheet1!EJ260=Sheet1!EJ259,Sheet1!EJ260=Sheet1!EJ261),CF262-CL262,CF262-CL262)</f>
        <v>5.4790558173251185</v>
      </c>
      <c r="CN262" s="1040" t="str">
        <f t="shared" si="547"/>
        <v/>
      </c>
      <c r="CO262" s="1035">
        <f t="shared" si="548"/>
        <v>0</v>
      </c>
      <c r="CP262" s="535">
        <f t="shared" si="595"/>
        <v>168.68149081365874</v>
      </c>
      <c r="CQ262" s="535"/>
      <c r="CR262" s="535">
        <f ca="1">IF(B262&gt;(Summary!$A$1-1),#N/A,CP262*MGtoAF)</f>
        <v>517.51481381630504</v>
      </c>
      <c r="CS262" s="535">
        <f>Sheet1!BK260+Sheet1!BL260+Sheet1!BM260-Sheet1!ER260-DA262</f>
        <v>8.36</v>
      </c>
      <c r="CT262" s="535">
        <f t="shared" si="596"/>
        <v>8.3433345415005444</v>
      </c>
      <c r="CU262" s="535">
        <f>IF(Sheet1!ER260="FM",DA262,0)</f>
        <v>0</v>
      </c>
      <c r="CV262" s="535">
        <f t="shared" si="597"/>
        <v>0</v>
      </c>
      <c r="CW262" s="535">
        <f>IF(Sheet1!ER260="OTHER",DA262,0)</f>
        <v>0</v>
      </c>
      <c r="CX262" s="535">
        <f t="shared" si="598"/>
        <v>0</v>
      </c>
      <c r="CY262" s="535">
        <f t="shared" si="629"/>
        <v>8.36</v>
      </c>
      <c r="CZ262" s="535">
        <f t="shared" si="630"/>
        <v>8.3433345415005444</v>
      </c>
      <c r="DA262" s="535">
        <f>IF(OR(Sheet1!ER260="FM", Sheet1!ER260="OTHER"),SUM(Sheet1!BK260:'Sheet1'!BM260),0)</f>
        <v>0</v>
      </c>
      <c r="DB262" s="1011">
        <f>IF(AND($B262&gt;=$FV262,$B262&lt;=$FW262),MAX($CT262,Sheet1!EK260,0),MAX($CT262-(7/36)*$K262,0))</f>
        <v>8.3433345415005444</v>
      </c>
      <c r="DC262" s="1012">
        <f t="shared" si="601"/>
        <v>0</v>
      </c>
      <c r="DD262" s="1011">
        <f t="shared" si="602"/>
        <v>0</v>
      </c>
      <c r="DE262" s="521">
        <f>IF(AND($O262&gt;0,Sheet1!EO260=1),(1-($O262-Sheet1!$L260)/$O262)*CZ262,0)</f>
        <v>0</v>
      </c>
      <c r="DF262" s="521">
        <f>IF(AND(Sheet1!$L260=0,Sheet1!$L259=0, Calculation!CY262&lt;Sheet1!$EK260-0.1,Sheet1!$EK260=Sheet1!$EK259,Sheet1!$EK260=Sheet1!$EK261),CZ262-DE262,CZ262-DE262)</f>
        <v>8.3433345415005444</v>
      </c>
      <c r="DG262" s="1040">
        <f t="shared" si="549"/>
        <v>0</v>
      </c>
      <c r="DH262" s="649">
        <f t="shared" si="603"/>
        <v>19.88</v>
      </c>
      <c r="DI262" s="535">
        <f t="shared" si="604"/>
        <v>176.67835603797479</v>
      </c>
      <c r="DJ262" s="649">
        <f t="shared" si="605"/>
        <v>19.840369699166367</v>
      </c>
      <c r="DK262" s="535">
        <f ca="1">IF(B262&gt;(Summary!$A$1-1),#N/A,DI262*MGtoAF)</f>
        <v>542.04919632450662</v>
      </c>
      <c r="DL262" s="649">
        <f t="shared" si="606"/>
        <v>19.88</v>
      </c>
      <c r="DM262" s="535">
        <f t="shared" si="607"/>
        <v>55.179999999999993</v>
      </c>
      <c r="DN262" s="535">
        <f>Sheet1!AB260-DM262</f>
        <v>-0.10999999999999233</v>
      </c>
      <c r="DO262" s="743">
        <f t="shared" si="608"/>
        <v>-1.9934758970640148E-3</v>
      </c>
      <c r="DP262" s="535">
        <f>(VLOOKUP(Sheet1!DC260,hhdcap_wcm,4)-(((VLOOKUP(Sheet1!DC260,hhdcap_wcm,3)-Sheet1!DC260)/(VLOOKUP(Sheet1!DC260,hhdcap_wcm,3)-VLOOKUP(Sheet1!DC260,hhdcap_wcm,1)))*(VLOOKUP(Sheet1!DC260,hhdcap_wcm,4)-VLOOKUP(Sheet1!DC260,hhdcap_wcm,2))))</f>
        <v>29233.200000076235</v>
      </c>
      <c r="DQ262" s="535">
        <f t="shared" si="609"/>
        <v>-447.80000000039945</v>
      </c>
      <c r="DR262" s="535">
        <f t="shared" si="610"/>
        <v>-225.81946545658062</v>
      </c>
      <c r="DS262" s="535">
        <f>Sheet1!EA260*AFtoMG</f>
        <v>0</v>
      </c>
      <c r="DT262" s="535">
        <f>Sheet1!EB260*AFtoMG</f>
        <v>0</v>
      </c>
      <c r="DU262" s="535">
        <f>Sheet1!EC260*AFtoMG</f>
        <v>0</v>
      </c>
      <c r="DV262" s="535">
        <f>Sheet1!ED260*AFtoMG</f>
        <v>0</v>
      </c>
      <c r="DW262" s="535">
        <f t="shared" si="611"/>
        <v>0</v>
      </c>
      <c r="DX262" s="535">
        <f t="shared" si="612"/>
        <v>0</v>
      </c>
      <c r="DY262" s="535">
        <f t="shared" si="613"/>
        <v>1291.2894027621576</v>
      </c>
      <c r="DZ262" s="535">
        <f t="shared" si="614"/>
        <v>3961.6758876742997</v>
      </c>
      <c r="EA262" s="535"/>
      <c r="EB262" s="521">
        <f>IF(OR(B262&lt;FV262,B262&gt;FW262),(MIN(BF262+BY262+CT262+MAX(Sheet1!AA260+AQ262-73,0),K262)),0)</f>
        <v>0</v>
      </c>
      <c r="EC262" s="535"/>
      <c r="ED262" s="535">
        <f t="shared" si="615"/>
        <v>19.840369699166367</v>
      </c>
      <c r="EE262" s="535"/>
      <c r="EF262" s="535">
        <f>Sheet1!EH260+Sheet1!EI260+Sheet1!EJ260+Sheet1!EK260</f>
        <v>35</v>
      </c>
      <c r="EG262" s="1019">
        <f t="shared" si="550"/>
        <v>54.144999999999996</v>
      </c>
      <c r="EH262" s="521">
        <f t="shared" si="616"/>
        <v>0</v>
      </c>
      <c r="EI262" s="535">
        <f>IF(Sheet1!ET260=1,SUM('Calculations II'!AT262:BA262)+'Calculations II'!BC262+Sheet1!BV260+'Calculations II'!BE262+AP262,'Calculations II'!BK262)</f>
        <v>67.125392300833639</v>
      </c>
      <c r="EJ262" s="535">
        <f ca="1">EI262+'Calculations II'!D262+'Calculations II'!E262+'Calculations II'!O262</f>
        <v>67.172355235357898</v>
      </c>
      <c r="EK262" s="535"/>
      <c r="EL262" s="535"/>
      <c r="EM262" s="535">
        <f t="shared" si="617"/>
        <v>42986</v>
      </c>
      <c r="EN262" s="535">
        <f t="shared" si="618"/>
        <v>-35.840369699166367</v>
      </c>
      <c r="EO262" s="535">
        <f t="shared" si="619"/>
        <v>-55.445051924610368</v>
      </c>
      <c r="EP262" s="535">
        <v>0</v>
      </c>
      <c r="EQ262" s="535">
        <v>0</v>
      </c>
      <c r="ER262" s="535">
        <v>0</v>
      </c>
      <c r="ES262" s="521">
        <f t="shared" si="516"/>
        <v>0.27720670783193035</v>
      </c>
      <c r="ET262" s="535">
        <f>-(VLOOKUP(Sheet1!BQ260,Lookup!$O$4:$Q$262,2)-VLOOKUP(Sheet1!BQ259,Lookup!$O$4:$Q$262,2))/1000000</f>
        <v>0.13858091542317347</v>
      </c>
      <c r="EU262" s="535">
        <f>-(VLOOKUP(Sheet1!BR260,Lookup!$O$4:$Q$262,3)-VLOOKUP(Sheet1!BR259,Lookup!$O$4:$Q$262,3))/1000000</f>
        <v>0.13862579240875691</v>
      </c>
      <c r="EV262" s="535"/>
      <c r="EW262" s="535"/>
      <c r="EX262" s="535"/>
      <c r="EY262" s="535"/>
      <c r="EZ262" s="535"/>
      <c r="FA262" s="535"/>
      <c r="FB262" s="535"/>
      <c r="FC262" s="535"/>
      <c r="FD262" s="567">
        <f t="shared" si="632"/>
        <v>1126.0407407406733</v>
      </c>
      <c r="FE262" s="567" t="e">
        <f t="shared" si="620"/>
        <v>#N/A</v>
      </c>
      <c r="FF262" s="568" t="e">
        <f t="shared" si="621"/>
        <v>#N/A</v>
      </c>
      <c r="FG262" s="569" t="s">
        <v>656</v>
      </c>
      <c r="FH262" s="569" t="s">
        <v>656</v>
      </c>
      <c r="FI262" s="567" t="e">
        <v>#N/A</v>
      </c>
      <c r="FJ262" s="725">
        <v>14183</v>
      </c>
      <c r="FK262" s="535"/>
      <c r="FL262" s="1015">
        <f t="shared" si="631"/>
        <v>109.43015632879475</v>
      </c>
      <c r="FM262" s="535"/>
      <c r="FN262" s="535"/>
      <c r="FO262" s="535">
        <f>O262+((Sheet1!CS260)*GPMtoMGD)</f>
        <v>86.124992000000006</v>
      </c>
      <c r="FP262" s="535">
        <f>IF(Sheet1!AA260+AQ262&lt;=Calculation!N262,AQ262,Calculation!N262-Sheet1!AA260)</f>
        <v>31.349895479443617</v>
      </c>
      <c r="FQ262" s="535">
        <f>(Sheet1!BP260+Sheet1!BO260)/694.4</f>
        <v>3.3230126728110601</v>
      </c>
      <c r="FR262" s="541"/>
      <c r="FS262" s="541"/>
      <c r="FT262" s="541"/>
      <c r="FU262" s="541"/>
      <c r="FV262" s="1109">
        <f t="shared" si="517"/>
        <v>42918</v>
      </c>
      <c r="FW262" s="1109">
        <f t="shared" si="518"/>
        <v>43027</v>
      </c>
      <c r="FX262" s="541"/>
      <c r="FY262" s="541">
        <f>Sheet1!DA260-Sheet1!CZ260-Sheet1!AE260</f>
        <v>-81.637419999999992</v>
      </c>
      <c r="FZ262" s="535">
        <f t="shared" si="551"/>
        <v>-0.92579865185328836</v>
      </c>
      <c r="GA262" s="535"/>
      <c r="GB262" s="535" t="str">
        <f t="shared" si="519"/>
        <v>n</v>
      </c>
      <c r="GC262" s="539">
        <f t="shared" si="520"/>
        <v>42782</v>
      </c>
      <c r="GD262" s="1109">
        <f t="shared" si="521"/>
        <v>42904</v>
      </c>
      <c r="GE262" s="535">
        <f t="shared" si="537"/>
        <v>6520</v>
      </c>
      <c r="GF262" s="1109">
        <f t="shared" si="522"/>
        <v>42909</v>
      </c>
      <c r="GG262" s="535">
        <f t="shared" si="564"/>
        <v>3260</v>
      </c>
      <c r="GH262" s="539">
        <f t="shared" si="523"/>
        <v>43040</v>
      </c>
      <c r="GJ262" s="521">
        <f t="shared" si="524"/>
        <v>0</v>
      </c>
      <c r="GK262" s="535" t="str">
        <f t="shared" si="622"/>
        <v/>
      </c>
      <c r="GL262" s="535">
        <f t="shared" si="525"/>
        <v>0</v>
      </c>
      <c r="GM262" s="535" t="str">
        <f t="shared" si="526"/>
        <v/>
      </c>
      <c r="GN262" s="535">
        <f>IF(GK262="P",Lookup!$M$12,IF(GK262="PP",Lookup!$M$13,IF(GK262="PPP",Lookup!$M$14,IF(GK262="T",Lookup!$M$15,IF(GK262="TP",Lookup!$M$16,IF(GK262="TPP",Lookup!$M$17,IF(GK262="TPPP",Lookup!$M$18,0)))))))*GJ262</f>
        <v>0</v>
      </c>
      <c r="GO262" s="535">
        <f t="shared" si="527"/>
        <v>0</v>
      </c>
      <c r="GP262" s="535">
        <f t="shared" si="623"/>
        <v>1932.0269500972354</v>
      </c>
      <c r="GQ262" s="974">
        <f t="shared" si="567"/>
        <v>629.73499025333615</v>
      </c>
      <c r="GR262" s="535"/>
      <c r="GS262" s="535">
        <f t="shared" si="528"/>
        <v>0</v>
      </c>
      <c r="GT262" s="535" t="str">
        <f t="shared" si="529"/>
        <v/>
      </c>
      <c r="GU262" s="535">
        <f>IF(GK262="P",Lookup!$N$12,IF(GK262="PP",Lookup!$N$13,IF(GK262="PPP",Lookup!$N$14,IF(GK262="T",Lookup!$N$15,IF(GK262="TP",Lookup!$N$16,IF(GK262="TPP",Lookup!$N$17,IF(GK262="TPPP",Lookup!$N$18,0)))))))*GJ262</f>
        <v>0</v>
      </c>
      <c r="GV262" s="535">
        <f t="shared" si="530"/>
        <v>0</v>
      </c>
      <c r="GW262" s="535">
        <f t="shared" si="624"/>
        <v>970.08492743625277</v>
      </c>
      <c r="GX262" s="974">
        <f t="shared" si="568"/>
        <v>316.19456565718798</v>
      </c>
      <c r="GY262" s="535"/>
      <c r="GZ262" s="535">
        <f t="shared" si="531"/>
        <v>0</v>
      </c>
      <c r="HA262" s="535" t="str">
        <f t="shared" si="532"/>
        <v/>
      </c>
      <c r="HB262" s="535">
        <f>IF(GK262="P",Lookup!$N$12,IF(GK262="PP",Lookup!$N$13,IF(GK262="PPP",Lookup!$N$14,IF(GK262="T",Lookup!$N$15,IF(GK262="TP",Lookup!$N$16,IF(GK262="TPP",Lookup!$N$17,IF(GK262="TPPP",Lookup!$N$18,0)))))))*GJ262</f>
        <v>0</v>
      </c>
      <c r="HC262" s="521">
        <f t="shared" si="625"/>
        <v>0</v>
      </c>
      <c r="HD262" s="535">
        <f t="shared" si="626"/>
        <v>517.51481381630504</v>
      </c>
      <c r="HE262" s="535">
        <f t="shared" si="535"/>
        <v>168.68149081365874</v>
      </c>
      <c r="HF262" s="535"/>
      <c r="HG262" s="535">
        <f t="shared" si="533"/>
        <v>0</v>
      </c>
      <c r="HH262" s="535" t="str">
        <f t="shared" si="534"/>
        <v/>
      </c>
      <c r="HI262" s="535">
        <f>IF(GK262="P",Lookup!$N$12,IF(GK262="PP",Lookup!$N$13,IF(GK262="PPP",Lookup!$N$14,IF(GK262="T",Lookup!$N$15,IF(GK262="TP",Lookup!$N$16,IF(GK262="TPP",Lookup!$N$17,IF(GK262="TPPP",Lookup!$N$18,0)))))))*GJ262</f>
        <v>0</v>
      </c>
      <c r="HJ262" s="521">
        <f t="shared" si="627"/>
        <v>0</v>
      </c>
      <c r="HK262" s="535">
        <f t="shared" si="628"/>
        <v>542.04919632450662</v>
      </c>
      <c r="HL262" s="535">
        <f t="shared" si="536"/>
        <v>176.67835603797479</v>
      </c>
      <c r="HM262" s="535"/>
      <c r="HN262" s="541"/>
      <c r="HO262" s="541"/>
      <c r="HP262" s="541"/>
      <c r="HQ262" s="541">
        <f>IF(AND(B262&gt;=$FV$4,B262&lt;=$FW$4),MAX(110/1.02+$HQ$6+MIN(113/1.02,G262),IF($HV$6-(Sheet1!DA260-Sheet1!DB260)+MIN(113/1.02,G262)&lt;G262+FL262,$HV$6-(Sheet1!DA260-Sheet1!DB260)+MIN(113/1.02,G262),G262+FL262)),MIN(110/1.02+$HQ$6+113/1.02,G262))</f>
        <v>196.02367179832135</v>
      </c>
      <c r="HR262" s="541">
        <f t="shared" si="552"/>
        <v>199.94414523428779</v>
      </c>
      <c r="HS262" s="541">
        <f>HR262+(Sheet1!DA260-Sheet1!DB260)</f>
        <v>371.94414523428782</v>
      </c>
      <c r="HT262" s="541">
        <f t="shared" si="553"/>
        <v>71.192368075389624</v>
      </c>
      <c r="HU262" s="541">
        <f t="shared" si="554"/>
        <v>300.75177715889822</v>
      </c>
      <c r="HV262" s="541">
        <f t="shared" si="555"/>
        <v>0</v>
      </c>
      <c r="HW262" s="533" t="str">
        <f t="shared" si="556"/>
        <v/>
      </c>
      <c r="HX262" s="541">
        <f t="shared" si="557"/>
        <v>62.531276277068287</v>
      </c>
      <c r="HY262" s="541">
        <f>Sheet1!CZ260</f>
        <v>314</v>
      </c>
      <c r="HZ262" s="541">
        <f t="shared" si="558"/>
        <v>55.445051924610368</v>
      </c>
      <c r="IA262" s="541">
        <f t="shared" si="559"/>
        <v>71.192368075389624</v>
      </c>
      <c r="IB262" s="541">
        <f t="shared" si="560"/>
        <v>258.55494807538963</v>
      </c>
      <c r="IC262" s="1019" t="str">
        <f t="shared" si="561"/>
        <v/>
      </c>
      <c r="ID262" s="541">
        <f t="shared" si="562"/>
        <v>187.36258000000001</v>
      </c>
      <c r="IE262" s="541">
        <f>Sheet1!DB260</f>
        <v>187</v>
      </c>
      <c r="IF262" s="533">
        <f>Sheet1!DA260</f>
        <v>359</v>
      </c>
      <c r="IH262" s="541">
        <f>IF(AND($B262&gt;=$GC262,$B262&lt;=$GH262,$DR262&lt;0)+N("only adjusted when pool is drawn down during storage season"),Sheet1!$DB260+$DR262+N("Palmer minus all storage release"),Sheet1!$DB260)</f>
        <v>-38.819465456580616</v>
      </c>
      <c r="II262" s="541">
        <f>IF(AND($B262&gt;=$GC262,$B262&lt;=$GH262,$DR262&lt;0)+N("only adjusted when pool is drawn down during storage season"),Sheet1!$DA260+$DR262+N("Auburn minus all storage release"),Sheet1!$DA260)</f>
        <v>133.18053454341938</v>
      </c>
    </row>
    <row r="263" spans="1:243" x14ac:dyDescent="0.25">
      <c r="A263" s="553" t="s">
        <v>9</v>
      </c>
      <c r="B263" s="531">
        <v>42987</v>
      </c>
      <c r="C263" s="536">
        <v>0</v>
      </c>
      <c r="D263" s="506">
        <f t="shared" si="506"/>
        <v>200</v>
      </c>
      <c r="E263" s="506">
        <f t="shared" si="507"/>
        <v>400</v>
      </c>
      <c r="F263" s="506">
        <v>250</v>
      </c>
      <c r="G263" s="535">
        <f>DR263+Sheet1!CZ261</f>
        <v>99.32526474974128</v>
      </c>
      <c r="H263" s="1074">
        <f t="shared" si="563"/>
        <v>0</v>
      </c>
      <c r="I263" s="534">
        <f>IF(Sheet1!DA261&gt;=E263,(Sheet1!DA261-E263+P263)*CFStoMGD,0)</f>
        <v>0</v>
      </c>
      <c r="J263" s="995">
        <f>IF(Sheet1!DB261&gt;=D263,(Sheet1!DB261-D263+P263)*CFStoMGD,0)</f>
        <v>0</v>
      </c>
      <c r="K263" s="818">
        <f t="shared" si="538"/>
        <v>0</v>
      </c>
      <c r="L263" s="535">
        <f>Sheet1!AA261+Sheet1!AB261-Sheet1!L261+(Sheet1!DA261-F263)*CFStoMGD-S263-T263-U263</f>
        <v>103.77940619307833</v>
      </c>
      <c r="M263" s="535">
        <f t="shared" si="569"/>
        <v>65.48792815691742</v>
      </c>
      <c r="N263" s="824">
        <f>IF(Sheet1!DA261&gt;=F263,MIN(113*CFStoMGD,MIN(MAX(L263,0),MAX(M263,0))),0)</f>
        <v>65.48792815691742</v>
      </c>
      <c r="O263" s="538">
        <f>Sheet1!AA261+Sheet1!AB261</f>
        <v>80.3</v>
      </c>
      <c r="P263" s="538">
        <f t="shared" si="570"/>
        <v>124.22409999999999</v>
      </c>
      <c r="Q263" s="812">
        <f t="shared" si="539"/>
        <v>45.603406193078321</v>
      </c>
      <c r="R263" s="812">
        <f t="shared" si="508"/>
        <v>35</v>
      </c>
      <c r="S263" s="812">
        <f t="shared" si="509"/>
        <v>0</v>
      </c>
      <c r="T263" s="812">
        <f t="shared" si="510"/>
        <v>0</v>
      </c>
      <c r="U263" s="812">
        <f>IF(AND(B263&gt;=FV263,B263&lt;=FW263),ED263+Sheet1!EH261,0)</f>
        <v>34.696593806921676</v>
      </c>
      <c r="V263" s="812"/>
      <c r="W263" s="812">
        <f t="shared" si="511"/>
        <v>0</v>
      </c>
      <c r="X263" s="812">
        <f t="shared" si="512"/>
        <v>0</v>
      </c>
      <c r="Y263" s="812" t="str">
        <f t="shared" si="513"/>
        <v>FALSE</v>
      </c>
      <c r="Z263" s="812">
        <f t="shared" si="514"/>
        <v>80.3</v>
      </c>
      <c r="AA263" s="812">
        <f t="shared" si="515"/>
        <v>80.3</v>
      </c>
      <c r="AB263" s="1059">
        <f t="shared" si="540"/>
        <v>70.548469380692154</v>
      </c>
      <c r="AC263" s="538">
        <f>Sheet1!Y261*MGDtoCFS</f>
        <v>41.444129999999994</v>
      </c>
      <c r="AD263" s="538">
        <f>Sheet1!Z261*MGDtoCFS</f>
        <v>85.19328999999999</v>
      </c>
      <c r="AE263" s="538">
        <f>Sheet1!AA261*MGDtoCFS</f>
        <v>39.309269999999998</v>
      </c>
      <c r="AF263" s="538">
        <f>Sheet1!AB261*MGDtoCFS</f>
        <v>84.914829999999995</v>
      </c>
      <c r="AG263" s="538">
        <f>Sheet1!L261*MGDtoCFS</f>
        <v>0</v>
      </c>
      <c r="AH263" s="521">
        <f t="shared" si="571"/>
        <v>35</v>
      </c>
      <c r="AI263" s="1059">
        <f t="shared" si="572"/>
        <v>54.144999999999996</v>
      </c>
      <c r="AJ263" s="535">
        <f t="shared" si="573"/>
        <v>0</v>
      </c>
      <c r="AK263" s="535">
        <f t="shared" si="574"/>
        <v>0</v>
      </c>
      <c r="AL263" s="535">
        <f>(VLOOKUP(Sheet1!DC261,hhdcap_wcm,4)-(((VLOOKUP(Sheet1!DC261,hhdcap_wcm,3)-Sheet1!DC261)/(VLOOKUP(Sheet1!DC261,hhdcap_wcm,3)-VLOOKUP(Sheet1!DC261,hhdcap_wcm,1)))*(VLOOKUP(Sheet1!DC261,hhdcap_wcm,4)-VLOOKUP(Sheet1!DC261,hhdcap_wcm,2))))</f>
        <v>28807.500000074971</v>
      </c>
      <c r="AM263" s="535">
        <f t="shared" si="575"/>
        <v>-425.70000000126311</v>
      </c>
      <c r="AN263" s="1035">
        <f t="shared" si="576"/>
        <v>1256.2894027621576</v>
      </c>
      <c r="AO263" s="535">
        <f t="shared" si="577"/>
        <v>3854.2958876742996</v>
      </c>
      <c r="AP263" s="535">
        <f>Sheet1!BA261+Sheet1!BB261+Sheet1!BN261+CD263</f>
        <v>36.200000000000003</v>
      </c>
      <c r="AQ263" s="535">
        <f>Sheet1!BN261+(DO263*Sheet1!BN261)</f>
        <v>36.193406193078324</v>
      </c>
      <c r="AR263" s="535">
        <f>Sheet1!BA261+CD263</f>
        <v>0</v>
      </c>
      <c r="AS263" s="535">
        <f>Sheet1!BA261+Sheet1!BB261+CD263</f>
        <v>0</v>
      </c>
      <c r="AT263" s="649">
        <f>0</f>
        <v>0</v>
      </c>
      <c r="AU263" s="974">
        <f>BA263+MAX(Sheet1!EH261,(O263-Q263-ED263-S263))</f>
        <v>16</v>
      </c>
      <c r="AV263" s="535">
        <f>IF(OR(B263&gt;=GD263,B263&lt;GC263),0,15/36*K263-MAX(0,64.6-(137.6-(Sheet1!AA261+Sheet1!AB261))))</f>
        <v>0</v>
      </c>
      <c r="AW263" s="1029"/>
      <c r="AX263" s="649"/>
      <c r="AY263" s="649">
        <f t="shared" si="541"/>
        <v>23.311716569431731</v>
      </c>
      <c r="AZ263" s="649">
        <f t="shared" si="542"/>
        <v>0</v>
      </c>
      <c r="BA263" s="1059">
        <f t="shared" si="543"/>
        <v>0</v>
      </c>
      <c r="BB263" s="1019">
        <f t="shared" si="578"/>
        <v>613.73499025333615</v>
      </c>
      <c r="BC263" s="1041">
        <f t="shared" si="544"/>
        <v>0</v>
      </c>
      <c r="BD263" s="1019">
        <f ca="1">IF(B263&gt;(Summary!$A$1-1),#N/A,BB263*MGtoAF)</f>
        <v>1882.9389500972354</v>
      </c>
      <c r="BE263" s="535">
        <f>Sheet1!BG261+Sheet1!BH261+Sheet1!BI261-BM263</f>
        <v>5.76</v>
      </c>
      <c r="BF263" s="535">
        <f t="shared" si="579"/>
        <v>5.7589508196721306</v>
      </c>
      <c r="BG263" s="535">
        <f>IF(Sheet1!EP261="FM",BM263,0)</f>
        <v>0</v>
      </c>
      <c r="BH263" s="535">
        <f t="shared" si="580"/>
        <v>0</v>
      </c>
      <c r="BI263" s="535">
        <f>IF(Sheet1!EP261="OTHER",BM263,0)</f>
        <v>0</v>
      </c>
      <c r="BJ263" s="535">
        <f t="shared" si="581"/>
        <v>0</v>
      </c>
      <c r="BK263" s="535">
        <f t="shared" si="582"/>
        <v>5.76</v>
      </c>
      <c r="BL263" s="535">
        <f t="shared" si="583"/>
        <v>5.7589508196721306</v>
      </c>
      <c r="BM263" s="535">
        <f>IF(OR(Sheet1!EP261="FM", Sheet1!EP261="OTHER"),SUM(Sheet1!BG261:'Sheet1'!BI261),0)</f>
        <v>0</v>
      </c>
      <c r="BN263" s="521">
        <f>IF(AND($B263&gt;=$FV263,$B263&lt;=$FW263),MAX(BF263,Sheet1!EI261,0),MAX(BF263-(7/36)*$K263,0))</f>
        <v>6</v>
      </c>
      <c r="BO263" s="535">
        <f t="shared" si="584"/>
        <v>0</v>
      </c>
      <c r="BP263" s="521">
        <f t="shared" si="585"/>
        <v>0</v>
      </c>
      <c r="BQ263" s="521">
        <f>IF(AND($O263&gt;0,Sheet1!EM261=1),(1-($O263-Sheet1!$L261)/$O263)*BL263,0)</f>
        <v>0</v>
      </c>
      <c r="BR263" s="521">
        <f>IF(AND(Sheet1!$L261=0,Sheet1!$L260=0, Calculation!BK263&lt;Sheet1!$EI261-0.1,Sheet1!$EI261=Sheet1!$EI260,Sheet1!$EI261=Sheet1!$EI262),BL263-BQ263,BL263-BQ263)</f>
        <v>5.7589508196721306</v>
      </c>
      <c r="BS263" s="1035" t="str">
        <f t="shared" si="545"/>
        <v/>
      </c>
      <c r="BT263" s="1035">
        <f t="shared" si="546"/>
        <v>0</v>
      </c>
      <c r="BU263" s="535">
        <f t="shared" si="586"/>
        <v>310.19456565718798</v>
      </c>
      <c r="BV263" s="535"/>
      <c r="BW263" s="535">
        <f ca="1">IF(B263&gt;(Summary!$A$1-1),#N/A,BU263*MGtoAF)</f>
        <v>951.67692743625275</v>
      </c>
      <c r="BX263" s="535">
        <f>Sheet1!BC261+Sheet1!BD261+Sheet1!BE261+Sheet1!BF261-CG263-CH263</f>
        <v>4.9800000000000004</v>
      </c>
      <c r="BY263" s="535">
        <f t="shared" si="587"/>
        <v>4.9790928961748637</v>
      </c>
      <c r="BZ263" s="535">
        <f>IF(Sheet1!EQ261="FM",CH263,0)</f>
        <v>0</v>
      </c>
      <c r="CA263" s="535">
        <f t="shared" si="588"/>
        <v>0</v>
      </c>
      <c r="CB263" s="535">
        <f>IF(Sheet1!EQ261="OTHER",CH263,0)</f>
        <v>0</v>
      </c>
      <c r="CC263" s="535">
        <f t="shared" si="589"/>
        <v>0</v>
      </c>
      <c r="CD263" s="535">
        <f t="shared" si="590"/>
        <v>0</v>
      </c>
      <c r="CE263" s="535">
        <f t="shared" si="591"/>
        <v>4.9800000000000004</v>
      </c>
      <c r="CF263" s="535">
        <f t="shared" si="592"/>
        <v>4.9790928961748637</v>
      </c>
      <c r="CG263" s="535">
        <f>IF(Sheet1!EQ261="CWA",SUM(Sheet1!BC261:'Sheet1'!BF261),0)</f>
        <v>0</v>
      </c>
      <c r="CH263" s="535">
        <f>IF(OR(Sheet1!EQ261="FM", Sheet1!EQ261="OTHER"),SUM(Sheet1!BC261:'Sheet1'!BF261),0)</f>
        <v>0</v>
      </c>
      <c r="CI263" s="521">
        <f>IF(AND($B263&gt;=$FV263,$B263&lt;=$FW263),MAX(CF263,Sheet1!EJ261,0),MAX(CF263-(7/36)*$K263,0))</f>
        <v>5</v>
      </c>
      <c r="CJ263" s="535">
        <f t="shared" si="593"/>
        <v>0</v>
      </c>
      <c r="CK263" s="521">
        <f t="shared" si="594"/>
        <v>0</v>
      </c>
      <c r="CL263" s="521">
        <f>IF(AND($O263&gt;0,Sheet1!EN261=1),(1-($O263-Sheet1!$L261)/$O263)*CF263,0)</f>
        <v>0</v>
      </c>
      <c r="CM263" s="521">
        <f>IF(AND(Sheet1!$L261=0,Sheet1!$L260=0, Calculation!CE263&lt;Sheet1!EJ261-0.1,Sheet1!EJ261=Sheet1!EJ260,Sheet1!EJ261=Sheet1!EJ262),CF263-CL263,CF263-CL263)</f>
        <v>4.9790928961748637</v>
      </c>
      <c r="CN263" s="1040" t="str">
        <f t="shared" si="547"/>
        <v/>
      </c>
      <c r="CO263" s="1035">
        <f t="shared" si="548"/>
        <v>0</v>
      </c>
      <c r="CP263" s="535">
        <f t="shared" si="595"/>
        <v>163.68149081365874</v>
      </c>
      <c r="CQ263" s="535"/>
      <c r="CR263" s="535">
        <f ca="1">IF(B263&gt;(Summary!$A$1-1),#N/A,CP263*MGtoAF)</f>
        <v>502.174813816305</v>
      </c>
      <c r="CS263" s="535">
        <f>Sheet1!BK261+Sheet1!BL261+Sheet1!BM261-Sheet1!ER261-DA263</f>
        <v>7.9599999999999991</v>
      </c>
      <c r="CT263" s="535">
        <f t="shared" si="596"/>
        <v>7.9585500910746791</v>
      </c>
      <c r="CU263" s="535">
        <f>IF(Sheet1!ER261="FM",DA263,0)</f>
        <v>0</v>
      </c>
      <c r="CV263" s="535">
        <f t="shared" si="597"/>
        <v>0</v>
      </c>
      <c r="CW263" s="535">
        <f>IF(Sheet1!ER261="OTHER",DA263,0)</f>
        <v>0</v>
      </c>
      <c r="CX263" s="535">
        <f t="shared" si="598"/>
        <v>0</v>
      </c>
      <c r="CY263" s="535">
        <f t="shared" si="629"/>
        <v>7.9599999999999991</v>
      </c>
      <c r="CZ263" s="535">
        <f t="shared" si="630"/>
        <v>7.9585500910746791</v>
      </c>
      <c r="DA263" s="535">
        <f>IF(OR(Sheet1!ER261="FM", Sheet1!ER261="OTHER"),SUM(Sheet1!BK261:'Sheet1'!BM261),0)</f>
        <v>0</v>
      </c>
      <c r="DB263" s="1011">
        <f>IF(AND($B263&gt;=$FV263,$B263&lt;=$FW263),MAX($CT263,Sheet1!EK261,0),MAX($CT263-(7/36)*$K263,0))</f>
        <v>8</v>
      </c>
      <c r="DC263" s="1012">
        <f t="shared" si="601"/>
        <v>0</v>
      </c>
      <c r="DD263" s="1011">
        <f t="shared" si="602"/>
        <v>0</v>
      </c>
      <c r="DE263" s="521">
        <f>IF(AND($O263&gt;0,Sheet1!EO261=1),(1-($O263-Sheet1!$L261)/$O263)*CZ263,0)</f>
        <v>0</v>
      </c>
      <c r="DF263" s="521">
        <f>IF(AND(Sheet1!$L261=0,Sheet1!$L260=0, Calculation!CY263&lt;Sheet1!$EK261-0.1,Sheet1!$EK261=Sheet1!$EK260,Sheet1!$EK261=Sheet1!$EK262),CZ263-DE263,CZ263-DE263)</f>
        <v>7.9585500910746791</v>
      </c>
      <c r="DG263" s="1040">
        <f t="shared" si="549"/>
        <v>0</v>
      </c>
      <c r="DH263" s="649">
        <f t="shared" si="603"/>
        <v>18.7</v>
      </c>
      <c r="DI263" s="535">
        <f t="shared" si="604"/>
        <v>168.67835603797479</v>
      </c>
      <c r="DJ263" s="649">
        <f t="shared" si="605"/>
        <v>18.696593806921676</v>
      </c>
      <c r="DK263" s="535">
        <f ca="1">IF(B263&gt;(Summary!$A$1-1),#N/A,DI263*MGtoAF)</f>
        <v>517.50519632450664</v>
      </c>
      <c r="DL263" s="649">
        <f t="shared" si="606"/>
        <v>18.7</v>
      </c>
      <c r="DM263" s="535">
        <f t="shared" si="607"/>
        <v>54.900000000000006</v>
      </c>
      <c r="DN263" s="535">
        <f>Sheet1!AB261-DM263</f>
        <v>-1.0000000000005116E-2</v>
      </c>
      <c r="DO263" s="743">
        <f t="shared" si="608"/>
        <v>-1.8214936247732449E-4</v>
      </c>
      <c r="DP263" s="535">
        <f>(VLOOKUP(Sheet1!DC261,hhdcap_wcm,4)-(((VLOOKUP(Sheet1!DC261,hhdcap_wcm,3)-Sheet1!DC261)/(VLOOKUP(Sheet1!DC261,hhdcap_wcm,3)-VLOOKUP(Sheet1!DC261,hhdcap_wcm,1)))*(VLOOKUP(Sheet1!DC261,hhdcap_wcm,4)-VLOOKUP(Sheet1!DC261,hhdcap_wcm,2))))</f>
        <v>28807.500000074971</v>
      </c>
      <c r="DQ263" s="535">
        <f t="shared" si="609"/>
        <v>-425.70000000126311</v>
      </c>
      <c r="DR263" s="535">
        <f t="shared" si="610"/>
        <v>-214.67473525025872</v>
      </c>
      <c r="DS263" s="535">
        <f>Sheet1!EA261*AFtoMG</f>
        <v>0</v>
      </c>
      <c r="DT263" s="535">
        <f>Sheet1!EB261*AFtoMG</f>
        <v>0</v>
      </c>
      <c r="DU263" s="535">
        <f>Sheet1!EC261*AFtoMG</f>
        <v>0</v>
      </c>
      <c r="DV263" s="535">
        <f>Sheet1!ED261*AFtoMG</f>
        <v>0</v>
      </c>
      <c r="DW263" s="535">
        <f t="shared" si="611"/>
        <v>0</v>
      </c>
      <c r="DX263" s="535">
        <f t="shared" si="612"/>
        <v>0</v>
      </c>
      <c r="DY263" s="535">
        <f t="shared" si="613"/>
        <v>1256.2894027621576</v>
      </c>
      <c r="DZ263" s="535">
        <f t="shared" si="614"/>
        <v>3854.2958876742996</v>
      </c>
      <c r="EA263" s="535"/>
      <c r="EB263" s="521">
        <f>IF(OR(B263&lt;FV263,B263&gt;FW263),(MIN(BF263+BY263+CT263+MAX(Sheet1!AA261+AQ263-73,0),K263)),0)</f>
        <v>0</v>
      </c>
      <c r="EC263" s="535"/>
      <c r="ED263" s="535">
        <f t="shared" si="615"/>
        <v>18.696593806921676</v>
      </c>
      <c r="EE263" s="535"/>
      <c r="EF263" s="535">
        <f>Sheet1!EH261+Sheet1!EI261+Sheet1!EJ261+Sheet1!EK261</f>
        <v>35</v>
      </c>
      <c r="EG263" s="1019">
        <f t="shared" si="550"/>
        <v>54.144999999999996</v>
      </c>
      <c r="EH263" s="521">
        <f t="shared" si="616"/>
        <v>0</v>
      </c>
      <c r="EI263" s="535">
        <f>IF(Sheet1!ET261=1,SUM('Calculations II'!AT263:BA263)+'Calculations II'!BC263+Sheet1!BV261+'Calculations II'!BE263+AP263,'Calculations II'!BK263)</f>
        <v>62.438034193078323</v>
      </c>
      <c r="EJ263" s="535">
        <f ca="1">EI263+'Calculations II'!D263+'Calculations II'!E263+'Calculations II'!O263</f>
        <v>67.575548065859763</v>
      </c>
      <c r="EK263" s="535"/>
      <c r="EL263" s="535"/>
      <c r="EM263" s="535">
        <f t="shared" si="617"/>
        <v>42987</v>
      </c>
      <c r="EN263" s="535">
        <f t="shared" si="618"/>
        <v>-35</v>
      </c>
      <c r="EO263" s="535">
        <f t="shared" si="619"/>
        <v>-54.144999999999996</v>
      </c>
      <c r="EP263" s="535">
        <v>0</v>
      </c>
      <c r="EQ263" s="535">
        <v>0</v>
      </c>
      <c r="ER263" s="535">
        <v>0</v>
      </c>
      <c r="ES263" s="521">
        <f t="shared" si="516"/>
        <v>-3.8820608323207089</v>
      </c>
      <c r="ET263" s="535">
        <f>-(VLOOKUP(Sheet1!BQ261,Lookup!$O$4:$Q$262,2)-VLOOKUP(Sheet1!BQ260,Lookup!$O$4:$Q$262,2))/1000000</f>
        <v>-1.9407162301869094</v>
      </c>
      <c r="EU263" s="535">
        <f>-(VLOOKUP(Sheet1!BR261,Lookup!$O$4:$Q$262,3)-VLOOKUP(Sheet1!BR260,Lookup!$O$4:$Q$262,3))/1000000</f>
        <v>-1.9413446021337994</v>
      </c>
      <c r="EV263" s="535"/>
      <c r="EW263" s="535"/>
      <c r="EX263" s="535"/>
      <c r="EY263" s="535"/>
      <c r="EZ263" s="535"/>
      <c r="FA263" s="535"/>
      <c r="FB263" s="535"/>
      <c r="FC263" s="535"/>
      <c r="FD263" s="567">
        <f t="shared" si="632"/>
        <v>1125.6249999999332</v>
      </c>
      <c r="FE263" s="567" t="e">
        <f t="shared" si="620"/>
        <v>#N/A</v>
      </c>
      <c r="FF263" s="568" t="e">
        <f t="shared" si="621"/>
        <v>#N/A</v>
      </c>
      <c r="FG263" s="569" t="s">
        <v>656</v>
      </c>
      <c r="FH263" s="569" t="s">
        <v>656</v>
      </c>
      <c r="FI263" s="567" t="e">
        <v>#N/A</v>
      </c>
      <c r="FJ263" s="725">
        <v>13966</v>
      </c>
      <c r="FK263" s="535"/>
      <c r="FL263" s="1015">
        <f t="shared" si="631"/>
        <v>108.92586989409985</v>
      </c>
      <c r="FM263" s="535"/>
      <c r="FN263" s="535"/>
      <c r="FO263" s="535">
        <f>O263+((Sheet1!CS261)*GPMtoMGD)</f>
        <v>84.571184000000002</v>
      </c>
      <c r="FP263" s="535">
        <f>IF(Sheet1!AA261+AQ263&lt;=Calculation!N263,AQ263,Calculation!N263-Sheet1!AA261)</f>
        <v>36.193406193078324</v>
      </c>
      <c r="FQ263" s="535">
        <f>(Sheet1!BP261+Sheet1!BO261)/694.4</f>
        <v>2.8955933179723505</v>
      </c>
      <c r="FR263" s="541"/>
      <c r="FS263" s="541"/>
      <c r="FT263" s="541"/>
      <c r="FU263" s="541"/>
      <c r="FV263" s="1109">
        <f t="shared" si="517"/>
        <v>42918</v>
      </c>
      <c r="FW263" s="1109">
        <f t="shared" si="518"/>
        <v>43027</v>
      </c>
      <c r="FX263" s="541"/>
      <c r="FY263" s="541">
        <f>Sheet1!DA261-Sheet1!CZ261-Sheet1!AE261</f>
        <v>-98.224099999999993</v>
      </c>
      <c r="FZ263" s="535">
        <f t="shared" si="551"/>
        <v>-0.988913548304998</v>
      </c>
      <c r="GA263" s="535"/>
      <c r="GB263" s="535" t="str">
        <f t="shared" si="519"/>
        <v>n</v>
      </c>
      <c r="GC263" s="539">
        <f t="shared" si="520"/>
        <v>42782</v>
      </c>
      <c r="GD263" s="1109">
        <f t="shared" si="521"/>
        <v>42904</v>
      </c>
      <c r="GE263" s="535">
        <f t="shared" si="537"/>
        <v>6520</v>
      </c>
      <c r="GF263" s="1109">
        <f t="shared" si="522"/>
        <v>42909</v>
      </c>
      <c r="GG263" s="535">
        <f t="shared" si="564"/>
        <v>3260</v>
      </c>
      <c r="GH263" s="539">
        <f t="shared" si="523"/>
        <v>43040</v>
      </c>
      <c r="GJ263" s="521">
        <f t="shared" si="524"/>
        <v>0</v>
      </c>
      <c r="GK263" s="535" t="str">
        <f t="shared" si="622"/>
        <v/>
      </c>
      <c r="GL263" s="535">
        <f t="shared" si="525"/>
        <v>0</v>
      </c>
      <c r="GM263" s="535" t="str">
        <f t="shared" si="526"/>
        <v/>
      </c>
      <c r="GN263" s="535">
        <f>IF(GK263="P",Lookup!$M$12,IF(GK263="PP",Lookup!$M$13,IF(GK263="PPP",Lookup!$M$14,IF(GK263="T",Lookup!$M$15,IF(GK263="TP",Lookup!$M$16,IF(GK263="TPP",Lookup!$M$17,IF(GK263="TPPP",Lookup!$M$18,0)))))))*GJ263</f>
        <v>0</v>
      </c>
      <c r="GO263" s="535">
        <f t="shared" si="527"/>
        <v>0</v>
      </c>
      <c r="GP263" s="535">
        <f t="shared" si="623"/>
        <v>1882.9389500972354</v>
      </c>
      <c r="GQ263" s="974">
        <f t="shared" si="567"/>
        <v>613.73499025333615</v>
      </c>
      <c r="GR263" s="535"/>
      <c r="GS263" s="535">
        <f t="shared" si="528"/>
        <v>0</v>
      </c>
      <c r="GT263" s="535" t="str">
        <f t="shared" si="529"/>
        <v/>
      </c>
      <c r="GU263" s="535">
        <f>IF(GK263="P",Lookup!$N$12,IF(GK263="PP",Lookup!$N$13,IF(GK263="PPP",Lookup!$N$14,IF(GK263="T",Lookup!$N$15,IF(GK263="TP",Lookup!$N$16,IF(GK263="TPP",Lookup!$N$17,IF(GK263="TPPP",Lookup!$N$18,0)))))))*GJ263</f>
        <v>0</v>
      </c>
      <c r="GV263" s="535">
        <f t="shared" si="530"/>
        <v>0</v>
      </c>
      <c r="GW263" s="535">
        <f t="shared" si="624"/>
        <v>951.67692743625275</v>
      </c>
      <c r="GX263" s="974">
        <f t="shared" si="568"/>
        <v>310.19456565718798</v>
      </c>
      <c r="GY263" s="535"/>
      <c r="GZ263" s="535">
        <f t="shared" si="531"/>
        <v>0</v>
      </c>
      <c r="HA263" s="535" t="str">
        <f t="shared" si="532"/>
        <v/>
      </c>
      <c r="HB263" s="535">
        <f>IF(GK263="P",Lookup!$N$12,IF(GK263="PP",Lookup!$N$13,IF(GK263="PPP",Lookup!$N$14,IF(GK263="T",Lookup!$N$15,IF(GK263="TP",Lookup!$N$16,IF(GK263="TPP",Lookup!$N$17,IF(GK263="TPPP",Lookup!$N$18,0)))))))*GJ263</f>
        <v>0</v>
      </c>
      <c r="HC263" s="521">
        <f t="shared" si="625"/>
        <v>0</v>
      </c>
      <c r="HD263" s="535">
        <f t="shared" si="626"/>
        <v>502.174813816305</v>
      </c>
      <c r="HE263" s="535">
        <f t="shared" si="535"/>
        <v>163.68149081365874</v>
      </c>
      <c r="HF263" s="535"/>
      <c r="HG263" s="535">
        <f t="shared" si="533"/>
        <v>0</v>
      </c>
      <c r="HH263" s="535" t="str">
        <f t="shared" si="534"/>
        <v/>
      </c>
      <c r="HI263" s="535">
        <f>IF(GK263="P",Lookup!$N$12,IF(GK263="PP",Lookup!$N$13,IF(GK263="PPP",Lookup!$N$14,IF(GK263="T",Lookup!$N$15,IF(GK263="TP",Lookup!$N$16,IF(GK263="TPP",Lookup!$N$17,IF(GK263="TPPP",Lookup!$N$18,0)))))))*GJ263</f>
        <v>0</v>
      </c>
      <c r="HJ263" s="521">
        <f t="shared" si="627"/>
        <v>0</v>
      </c>
      <c r="HK263" s="535">
        <f t="shared" si="628"/>
        <v>517.50519632450664</v>
      </c>
      <c r="HL263" s="535">
        <f t="shared" si="536"/>
        <v>168.67835603797479</v>
      </c>
      <c r="HM263" s="535"/>
      <c r="HN263" s="541"/>
      <c r="HO263" s="541"/>
      <c r="HP263" s="541"/>
      <c r="HQ263" s="541">
        <f>IF(AND(B263&gt;=$FV$4,B263&lt;=$FW$4),MAX(110/1.02+$HQ$6+MIN(113/1.02,G263),IF($HV$6-(Sheet1!DA261-Sheet1!DB261)+MIN(113/1.02,G263)&lt;G263+FL263,$HV$6-(Sheet1!DA261-Sheet1!DB261)+MIN(113/1.02,G263),G263+FL263)),MIN(110/1.02+$HQ$6+113/1.02,G263))</f>
        <v>208.25113464384111</v>
      </c>
      <c r="HR263" s="541">
        <f t="shared" si="552"/>
        <v>212.41615733671793</v>
      </c>
      <c r="HS263" s="541">
        <f>HR263+(Sheet1!DA261-Sheet1!DB261)</f>
        <v>356.4161573367179</v>
      </c>
      <c r="HT263" s="541">
        <f t="shared" si="553"/>
        <v>70.548469380692154</v>
      </c>
      <c r="HU263" s="541">
        <f t="shared" si="554"/>
        <v>285.86768795602575</v>
      </c>
      <c r="HV263" s="541">
        <f t="shared" si="555"/>
        <v>0</v>
      </c>
      <c r="HW263" s="533" t="str">
        <f t="shared" si="556"/>
        <v/>
      </c>
      <c r="HX263" s="541">
        <f t="shared" si="557"/>
        <v>51.603865356158906</v>
      </c>
      <c r="HY263" s="541">
        <f>Sheet1!CZ261</f>
        <v>314</v>
      </c>
      <c r="HZ263" s="541">
        <f t="shared" si="558"/>
        <v>54.144999999999996</v>
      </c>
      <c r="IA263" s="541">
        <f t="shared" si="559"/>
        <v>70.548469380692154</v>
      </c>
      <c r="IB263" s="541">
        <f t="shared" si="560"/>
        <v>259.85500000000002</v>
      </c>
      <c r="IC263" s="1019" t="str">
        <f t="shared" si="561"/>
        <v/>
      </c>
      <c r="ID263" s="541">
        <f t="shared" si="562"/>
        <v>189.30653061930786</v>
      </c>
      <c r="IE263" s="541">
        <f>Sheet1!DB261</f>
        <v>196</v>
      </c>
      <c r="IF263" s="533">
        <f>Sheet1!DA261</f>
        <v>340</v>
      </c>
      <c r="IH263" s="541">
        <f>IF(AND($B263&gt;=$GC263,$B263&lt;=$GH263,$DR263&lt;0)+N("only adjusted when pool is drawn down during storage season"),Sheet1!$DB261+$DR263+N("Palmer minus all storage release"),Sheet1!$DB261)</f>
        <v>-18.67473525025872</v>
      </c>
      <c r="II263" s="541">
        <f>IF(AND($B263&gt;=$GC263,$B263&lt;=$GH263,$DR263&lt;0)+N("only adjusted when pool is drawn down during storage season"),Sheet1!$DA261+$DR263+N("Auburn minus all storage release"),Sheet1!$DA261)</f>
        <v>125.32526474974128</v>
      </c>
    </row>
    <row r="264" spans="1:243" x14ac:dyDescent="0.25">
      <c r="A264" s="553" t="s">
        <v>3</v>
      </c>
      <c r="B264" s="531">
        <v>42988</v>
      </c>
      <c r="C264" s="536">
        <v>0</v>
      </c>
      <c r="D264" s="506">
        <f t="shared" ref="D264:D327" si="633">IF(AND(B264&gt;=DATE($A$1,7,15),B264&lt;=DATE($A$1,9,15)),200,300)</f>
        <v>200</v>
      </c>
      <c r="E264" s="506">
        <f t="shared" ref="E264:E327" si="634">IF(AND(B264&gt;=DATE($A$1,7,15),B264&lt;=DATE($A$1,9,15)),400,250)</f>
        <v>400</v>
      </c>
      <c r="F264" s="506">
        <v>250</v>
      </c>
      <c r="G264" s="535">
        <f>DR264+Sheet1!CZ262</f>
        <v>97.232980332197258</v>
      </c>
      <c r="H264" s="1074">
        <f t="shared" si="563"/>
        <v>0</v>
      </c>
      <c r="I264" s="534">
        <f>IF(Sheet1!DA262&gt;=E264,(Sheet1!DA262-E264+P264)*CFStoMGD,0)</f>
        <v>0</v>
      </c>
      <c r="J264" s="995">
        <f>IF(Sheet1!DB262&gt;=D264,(Sheet1!DB262-D264+P264)*CFStoMGD,0)</f>
        <v>0</v>
      </c>
      <c r="K264" s="818">
        <f t="shared" si="538"/>
        <v>0</v>
      </c>
      <c r="L264" s="535">
        <f>Sheet1!AA262+Sheet1!AB262-Sheet1!L262+(Sheet1!DA262-F264)*CFStoMGD-S264-T264-U264</f>
        <v>101.69101837138234</v>
      </c>
      <c r="M264" s="535">
        <f t="shared" si="569"/>
        <v>64.108426456466958</v>
      </c>
      <c r="N264" s="824">
        <f>IF(Sheet1!DA262&gt;=F264,MIN(113*CFStoMGD,MIN(MAX(L264,0),MAX(M264,0))),0)</f>
        <v>64.108426456466958</v>
      </c>
      <c r="O264" s="538">
        <f>Sheet1!AA262+Sheet1!AB262</f>
        <v>80.89</v>
      </c>
      <c r="P264" s="538">
        <f t="shared" si="570"/>
        <v>125.13683</v>
      </c>
      <c r="Q264" s="812">
        <f t="shared" si="539"/>
        <v>46.100618371382346</v>
      </c>
      <c r="R264" s="812">
        <f t="shared" si="508"/>
        <v>35</v>
      </c>
      <c r="S264" s="812">
        <f t="shared" si="509"/>
        <v>0</v>
      </c>
      <c r="T264" s="812">
        <f t="shared" si="510"/>
        <v>0</v>
      </c>
      <c r="U264" s="812">
        <f>IF(AND(B264&gt;=FV264,B264&lt;=FW264),ED264+Sheet1!EH262,0)</f>
        <v>34.789381628617654</v>
      </c>
      <c r="V264" s="812"/>
      <c r="W264" s="812">
        <f t="shared" si="511"/>
        <v>0</v>
      </c>
      <c r="X264" s="812">
        <f t="shared" si="512"/>
        <v>0</v>
      </c>
      <c r="Y264" s="812" t="str">
        <f t="shared" si="513"/>
        <v>FALSE</v>
      </c>
      <c r="Z264" s="812">
        <f t="shared" si="514"/>
        <v>80.89</v>
      </c>
      <c r="AA264" s="812">
        <f t="shared" si="515"/>
        <v>80.89</v>
      </c>
      <c r="AB264" s="1059">
        <f t="shared" si="540"/>
        <v>71.317656620528481</v>
      </c>
      <c r="AC264" s="538">
        <f>Sheet1!Y262*MGDtoCFS</f>
        <v>39.309269999999998</v>
      </c>
      <c r="AD264" s="538">
        <f>Sheet1!Z262*MGDtoCFS</f>
        <v>84.914829999999995</v>
      </c>
      <c r="AE264" s="538">
        <f>Sheet1!AA262*MGDtoCFS</f>
        <v>39.262859999999996</v>
      </c>
      <c r="AF264" s="538">
        <f>Sheet1!AB262*MGDtoCFS</f>
        <v>85.87397</v>
      </c>
      <c r="AG264" s="538">
        <f>Sheet1!L262*MGDtoCFS</f>
        <v>0</v>
      </c>
      <c r="AH264" s="521">
        <f t="shared" si="571"/>
        <v>35.00269998202409</v>
      </c>
      <c r="AI264" s="1059">
        <f t="shared" si="572"/>
        <v>54.149176872191262</v>
      </c>
      <c r="AJ264" s="535">
        <f t="shared" si="573"/>
        <v>0</v>
      </c>
      <c r="AK264" s="535">
        <f t="shared" si="574"/>
        <v>0</v>
      </c>
      <c r="AL264" s="535">
        <f>(VLOOKUP(Sheet1!DC262,hhdcap_wcm,4)-(((VLOOKUP(Sheet1!DC262,hhdcap_wcm,3)-Sheet1!DC262)/(VLOOKUP(Sheet1!DC262,hhdcap_wcm,3)-VLOOKUP(Sheet1!DC262,hhdcap_wcm,1)))*(VLOOKUP(Sheet1!DC262,hhdcap_wcm,4)-VLOOKUP(Sheet1!DC262,hhdcap_wcm,2))))</f>
        <v>28383.600000073719</v>
      </c>
      <c r="AM264" s="535">
        <f t="shared" si="575"/>
        <v>-423.90000000125292</v>
      </c>
      <c r="AN264" s="1035">
        <f t="shared" si="576"/>
        <v>1221.2867027801335</v>
      </c>
      <c r="AO264" s="535">
        <f t="shared" si="577"/>
        <v>3746.9076041294497</v>
      </c>
      <c r="AP264" s="535">
        <f>Sheet1!BA262+Sheet1!BB262+Sheet1!BN262+CD264</f>
        <v>36.799999999999997</v>
      </c>
      <c r="AQ264" s="535">
        <f>Sheet1!BN262+(DO264*Sheet1!BN262)</f>
        <v>36.720618371382344</v>
      </c>
      <c r="AR264" s="535">
        <f>Sheet1!BA262+CD264</f>
        <v>0</v>
      </c>
      <c r="AS264" s="535">
        <f>Sheet1!BA262+Sheet1!BB262+CD264</f>
        <v>0</v>
      </c>
      <c r="AT264" s="649">
        <f>0</f>
        <v>0</v>
      </c>
      <c r="AU264" s="974">
        <f>BA264+MAX(Sheet1!EH262,(O264-Q264-ED264-S264))</f>
        <v>16</v>
      </c>
      <c r="AV264" s="535">
        <f>IF(OR(B264&gt;=GD264,B264&lt;GC264),0,15/36*K264-MAX(0,64.6-(137.6-(Sheet1!AA262+Sheet1!AB262))))</f>
        <v>0</v>
      </c>
      <c r="AW264" s="1029"/>
      <c r="AX264" s="649"/>
      <c r="AY264" s="649">
        <f t="shared" si="541"/>
        <v>23.311716569431731</v>
      </c>
      <c r="AZ264" s="649">
        <f t="shared" si="542"/>
        <v>0</v>
      </c>
      <c r="BA264" s="1059">
        <f t="shared" si="543"/>
        <v>0</v>
      </c>
      <c r="BB264" s="1019">
        <f t="shared" si="578"/>
        <v>597.73499025333615</v>
      </c>
      <c r="BC264" s="1041">
        <f t="shared" si="544"/>
        <v>0</v>
      </c>
      <c r="BD264" s="1019">
        <f ca="1">IF(B264&gt;(Summary!$A$1-1),#N/A,BB264*MGtoAF)</f>
        <v>1833.8509500972355</v>
      </c>
      <c r="BE264" s="535">
        <f>Sheet1!BG262+Sheet1!BH262+Sheet1!BI262-BM264</f>
        <v>5.82</v>
      </c>
      <c r="BF264" s="535">
        <f t="shared" si="579"/>
        <v>5.8074456228653606</v>
      </c>
      <c r="BG264" s="535">
        <f>IF(Sheet1!EP262="FM",BM264,0)</f>
        <v>0</v>
      </c>
      <c r="BH264" s="535">
        <f t="shared" si="580"/>
        <v>0</v>
      </c>
      <c r="BI264" s="535">
        <f>IF(Sheet1!EP262="OTHER",BM264,0)</f>
        <v>0</v>
      </c>
      <c r="BJ264" s="535">
        <f t="shared" si="581"/>
        <v>0</v>
      </c>
      <c r="BK264" s="535">
        <f t="shared" si="582"/>
        <v>5.82</v>
      </c>
      <c r="BL264" s="535">
        <f t="shared" si="583"/>
        <v>5.8074456228653606</v>
      </c>
      <c r="BM264" s="535">
        <f>IF(OR(Sheet1!EP262="FM", Sheet1!EP262="OTHER"),SUM(Sheet1!BG262:'Sheet1'!BI262),0)</f>
        <v>0</v>
      </c>
      <c r="BN264" s="521">
        <f>IF(AND($B264&gt;=$FV264,$B264&lt;=$FW264),MAX(BF264,Sheet1!EI262,0),MAX(BF264-(7/36)*$K264,0))</f>
        <v>6</v>
      </c>
      <c r="BO264" s="535">
        <f t="shared" si="584"/>
        <v>0</v>
      </c>
      <c r="BP264" s="521">
        <f t="shared" si="585"/>
        <v>0</v>
      </c>
      <c r="BQ264" s="521">
        <f>IF(AND($O264&gt;0,Sheet1!EM262=1),(1-($O264-Sheet1!$L262)/$O264)*BL264,0)</f>
        <v>0</v>
      </c>
      <c r="BR264" s="521">
        <f>IF(AND(Sheet1!$L262=0,Sheet1!$L261=0, Calculation!BK264&lt;Sheet1!$EI262-0.1,Sheet1!$EI262=Sheet1!$EI261,Sheet1!$EI262=Sheet1!$EI263),BL264-BQ264,BL264-BQ264)</f>
        <v>5.8074456228653606</v>
      </c>
      <c r="BS264" s="1035" t="str">
        <f t="shared" si="545"/>
        <v/>
      </c>
      <c r="BT264" s="1035">
        <f t="shared" si="546"/>
        <v>0</v>
      </c>
      <c r="BU264" s="535">
        <f t="shared" si="586"/>
        <v>304.19456565718798</v>
      </c>
      <c r="BV264" s="535"/>
      <c r="BW264" s="535">
        <f ca="1">IF(B264&gt;(Summary!$A$1-1),#N/A,BU264*MGtoAF)</f>
        <v>933.26892743625274</v>
      </c>
      <c r="BX264" s="535">
        <f>Sheet1!BC262+Sheet1!BD262+Sheet1!BE262+Sheet1!BF262-CG264-CH264</f>
        <v>4.99</v>
      </c>
      <c r="BY264" s="535">
        <f t="shared" si="587"/>
        <v>4.9792360237282045</v>
      </c>
      <c r="BZ264" s="535">
        <f>IF(Sheet1!EQ262="FM",CH264,0)</f>
        <v>0</v>
      </c>
      <c r="CA264" s="535">
        <f t="shared" si="588"/>
        <v>0</v>
      </c>
      <c r="CB264" s="535">
        <f>IF(Sheet1!EQ262="OTHER",CH264,0)</f>
        <v>0</v>
      </c>
      <c r="CC264" s="535">
        <f t="shared" si="589"/>
        <v>0</v>
      </c>
      <c r="CD264" s="535">
        <f t="shared" si="590"/>
        <v>0</v>
      </c>
      <c r="CE264" s="535">
        <f t="shared" si="591"/>
        <v>4.99</v>
      </c>
      <c r="CF264" s="535">
        <f t="shared" si="592"/>
        <v>4.9792360237282045</v>
      </c>
      <c r="CG264" s="535">
        <f>IF(Sheet1!EQ262="CWA",SUM(Sheet1!BC262:'Sheet1'!BF262),0)</f>
        <v>0</v>
      </c>
      <c r="CH264" s="535">
        <f>IF(OR(Sheet1!EQ262="FM", Sheet1!EQ262="OTHER"),SUM(Sheet1!BC262:'Sheet1'!BF262),0)</f>
        <v>0</v>
      </c>
      <c r="CI264" s="521">
        <f>IF(AND($B264&gt;=$FV264,$B264&lt;=$FW264),MAX(CF264,Sheet1!EJ262,0),MAX(CF264-(7/36)*$K264,0))</f>
        <v>5</v>
      </c>
      <c r="CJ264" s="535">
        <f t="shared" si="593"/>
        <v>0</v>
      </c>
      <c r="CK264" s="521">
        <f t="shared" si="594"/>
        <v>0</v>
      </c>
      <c r="CL264" s="521">
        <f>IF(AND($O264&gt;0,Sheet1!EN262=1),(1-($O264-Sheet1!$L262)/$O264)*CF264,0)</f>
        <v>0</v>
      </c>
      <c r="CM264" s="521">
        <f>IF(AND(Sheet1!$L262=0,Sheet1!$L261=0, Calculation!CE264&lt;Sheet1!EJ262-0.1,Sheet1!EJ262=Sheet1!EJ261,Sheet1!EJ262=Sheet1!EJ263),CF264-CL264,CF264-CL264)</f>
        <v>4.9792360237282045</v>
      </c>
      <c r="CN264" s="1040" t="str">
        <f t="shared" si="547"/>
        <v/>
      </c>
      <c r="CO264" s="1035">
        <f t="shared" si="548"/>
        <v>0</v>
      </c>
      <c r="CP264" s="535">
        <f t="shared" si="595"/>
        <v>158.68149081365874</v>
      </c>
      <c r="CQ264" s="535"/>
      <c r="CR264" s="535">
        <f ca="1">IF(B264&gt;(Summary!$A$1-1),#N/A,CP264*MGtoAF)</f>
        <v>486.83481381630503</v>
      </c>
      <c r="CS264" s="535">
        <f>Sheet1!BK262+Sheet1!BL262+Sheet1!BM262-Sheet1!ER262-DA264</f>
        <v>8.02</v>
      </c>
      <c r="CT264" s="535">
        <f t="shared" si="596"/>
        <v>8.0026999820240885</v>
      </c>
      <c r="CU264" s="535">
        <f>IF(Sheet1!ER262="FM",DA264,0)</f>
        <v>0</v>
      </c>
      <c r="CV264" s="535">
        <f t="shared" si="597"/>
        <v>0</v>
      </c>
      <c r="CW264" s="535">
        <f>IF(Sheet1!ER262="OTHER",DA264,0)</f>
        <v>0</v>
      </c>
      <c r="CX264" s="535">
        <f t="shared" si="598"/>
        <v>0</v>
      </c>
      <c r="CY264" s="535">
        <f t="shared" si="629"/>
        <v>8.02</v>
      </c>
      <c r="CZ264" s="535">
        <f t="shared" si="630"/>
        <v>8.0026999820240885</v>
      </c>
      <c r="DA264" s="535">
        <f>IF(OR(Sheet1!ER262="FM", Sheet1!ER262="OTHER"),SUM(Sheet1!BK262:'Sheet1'!BM262),0)</f>
        <v>0</v>
      </c>
      <c r="DB264" s="1011">
        <f>IF(AND($B264&gt;=$FV264,$B264&lt;=$FW264),MAX($CT264,Sheet1!EK262,0),MAX($CT264-(7/36)*$K264,0))</f>
        <v>8.0026999820240885</v>
      </c>
      <c r="DC264" s="1012">
        <f t="shared" si="601"/>
        <v>0</v>
      </c>
      <c r="DD264" s="1011">
        <f t="shared" si="602"/>
        <v>0</v>
      </c>
      <c r="DE264" s="521">
        <f>IF(AND($O264&gt;0,Sheet1!EO262=1),(1-($O264-Sheet1!$L262)/$O264)*CZ264,0)</f>
        <v>0</v>
      </c>
      <c r="DF264" s="521">
        <f>IF(AND(Sheet1!$L262=0,Sheet1!$L261=0, Calculation!CY264&lt;Sheet1!$EK262-0.1,Sheet1!$EK262=Sheet1!$EK261,Sheet1!$EK262=Sheet1!$EK263),CZ264-DE264,CZ264-DE264)</f>
        <v>8.0026999820240885</v>
      </c>
      <c r="DG264" s="1040">
        <f t="shared" si="549"/>
        <v>0</v>
      </c>
      <c r="DH264" s="649">
        <f t="shared" si="603"/>
        <v>18.829999999999998</v>
      </c>
      <c r="DI264" s="535">
        <f t="shared" si="604"/>
        <v>160.6756560559507</v>
      </c>
      <c r="DJ264" s="649">
        <f t="shared" si="605"/>
        <v>18.789381628617654</v>
      </c>
      <c r="DK264" s="535">
        <f ca="1">IF(B264&gt;(Summary!$A$1-1),#N/A,DI264*MGtoAF)</f>
        <v>492.95291277965674</v>
      </c>
      <c r="DL264" s="649">
        <f t="shared" si="606"/>
        <v>18.829999999999998</v>
      </c>
      <c r="DM264" s="535">
        <f t="shared" si="607"/>
        <v>55.629999999999995</v>
      </c>
      <c r="DN264" s="535">
        <f>Sheet1!AB262-DM264</f>
        <v>-0.11999999999999744</v>
      </c>
      <c r="DO264" s="743">
        <f t="shared" si="608"/>
        <v>-2.1571094733057244E-3</v>
      </c>
      <c r="DP264" s="535">
        <f>(VLOOKUP(Sheet1!DC262,hhdcap_wcm,4)-(((VLOOKUP(Sheet1!DC262,hhdcap_wcm,3)-Sheet1!DC262)/(VLOOKUP(Sheet1!DC262,hhdcap_wcm,3)-VLOOKUP(Sheet1!DC262,hhdcap_wcm,1)))*(VLOOKUP(Sheet1!DC262,hhdcap_wcm,4)-VLOOKUP(Sheet1!DC262,hhdcap_wcm,2))))</f>
        <v>28383.600000073719</v>
      </c>
      <c r="DQ264" s="535">
        <f t="shared" si="609"/>
        <v>-423.90000000125292</v>
      </c>
      <c r="DR264" s="535">
        <f t="shared" si="610"/>
        <v>-213.76701966780274</v>
      </c>
      <c r="DS264" s="535">
        <f>Sheet1!EA262*AFtoMG</f>
        <v>0</v>
      </c>
      <c r="DT264" s="535">
        <f>Sheet1!EB262*AFtoMG</f>
        <v>0</v>
      </c>
      <c r="DU264" s="535">
        <f>Sheet1!EC262*AFtoMG</f>
        <v>0</v>
      </c>
      <c r="DV264" s="535">
        <f>Sheet1!ED262*AFtoMG</f>
        <v>0</v>
      </c>
      <c r="DW264" s="535">
        <f t="shared" si="611"/>
        <v>0</v>
      </c>
      <c r="DX264" s="535">
        <f t="shared" si="612"/>
        <v>0</v>
      </c>
      <c r="DY264" s="535">
        <f t="shared" si="613"/>
        <v>1221.2867027801335</v>
      </c>
      <c r="DZ264" s="535">
        <f t="shared" si="614"/>
        <v>3746.9076041294497</v>
      </c>
      <c r="EA264" s="535"/>
      <c r="EB264" s="521">
        <f>IF(OR(B264&lt;FV264,B264&gt;FW264),(MIN(BF264+BY264+CT264+MAX(Sheet1!AA262+AQ264-73,0),K264)),0)</f>
        <v>0</v>
      </c>
      <c r="EC264" s="535"/>
      <c r="ED264" s="535">
        <f t="shared" si="615"/>
        <v>18.789381628617654</v>
      </c>
      <c r="EE264" s="535"/>
      <c r="EF264" s="535">
        <f>Sheet1!EH262+Sheet1!EI262+Sheet1!EJ262+Sheet1!EK262</f>
        <v>35</v>
      </c>
      <c r="EG264" s="1019">
        <f t="shared" si="550"/>
        <v>54.144999999999996</v>
      </c>
      <c r="EH264" s="521">
        <f t="shared" si="616"/>
        <v>0</v>
      </c>
      <c r="EI264" s="535">
        <f>IF(Sheet1!ET262=1,SUM('Calculations II'!AT264:BA264)+'Calculations II'!BC264+Sheet1!BV262+'Calculations II'!BE264+AP264,'Calculations II'!BK264)</f>
        <v>67.432094371382348</v>
      </c>
      <c r="EJ264" s="535">
        <f ca="1">EI264+'Calculations II'!D264+'Calculations II'!E264+'Calculations II'!O264</f>
        <v>66.307663992719768</v>
      </c>
      <c r="EK264" s="535"/>
      <c r="EL264" s="535"/>
      <c r="EM264" s="535">
        <f t="shared" si="617"/>
        <v>42988</v>
      </c>
      <c r="EN264" s="535">
        <f t="shared" si="618"/>
        <v>-35.00269998202409</v>
      </c>
      <c r="EO264" s="535">
        <f t="shared" si="619"/>
        <v>-54.149176872191262</v>
      </c>
      <c r="EP264" s="535">
        <v>0</v>
      </c>
      <c r="EQ264" s="535">
        <v>0</v>
      </c>
      <c r="ER264" s="535">
        <v>0</v>
      </c>
      <c r="ES264" s="521">
        <f t="shared" si="516"/>
        <v>0.55473401182236515</v>
      </c>
      <c r="ET264" s="535">
        <f>-(VLOOKUP(Sheet1!BQ262,Lookup!$O$4:$Q$262,2)-VLOOKUP(Sheet1!BQ261,Lookup!$O$4:$Q$262,2))/1000000</f>
        <v>0.27732211599308998</v>
      </c>
      <c r="EU264" s="535">
        <f>-(VLOOKUP(Sheet1!BR262,Lookup!$O$4:$Q$262,3)-VLOOKUP(Sheet1!BR261,Lookup!$O$4:$Q$262,3))/1000000</f>
        <v>0.27741189582927522</v>
      </c>
      <c r="EV264" s="535"/>
      <c r="EW264" s="535"/>
      <c r="EX264" s="535"/>
      <c r="EY264" s="535"/>
      <c r="EZ264" s="535"/>
      <c r="FA264" s="535"/>
      <c r="FB264" s="535"/>
      <c r="FC264" s="535"/>
      <c r="FD264" s="567">
        <f t="shared" si="632"/>
        <v>1125.2057692307026</v>
      </c>
      <c r="FE264" s="567" t="e">
        <f t="shared" si="620"/>
        <v>#N/A</v>
      </c>
      <c r="FF264" s="568" t="e">
        <f t="shared" si="621"/>
        <v>#N/A</v>
      </c>
      <c r="FG264" s="569" t="s">
        <v>656</v>
      </c>
      <c r="FH264" s="569" t="s">
        <v>656</v>
      </c>
      <c r="FI264" s="567" t="e">
        <v>#N/A</v>
      </c>
      <c r="FJ264" s="725">
        <v>13750</v>
      </c>
      <c r="FK264" s="535"/>
      <c r="FL264" s="1015">
        <f t="shared" si="631"/>
        <v>109.43015632879475</v>
      </c>
      <c r="FM264" s="535"/>
      <c r="FN264" s="535"/>
      <c r="FO264" s="535">
        <f>O264+((Sheet1!CS262)*GPMtoMGD)</f>
        <v>85.161184000000006</v>
      </c>
      <c r="FP264" s="535">
        <f>IF(Sheet1!AA262+AQ264&lt;=Calculation!N264,AQ264,Calculation!N264-Sheet1!AA262)</f>
        <v>36.720618371382344</v>
      </c>
      <c r="FQ264" s="535">
        <f>(Sheet1!BP262+Sheet1!BO262)/694.4</f>
        <v>3.4380760368663599</v>
      </c>
      <c r="FR264" s="541"/>
      <c r="FS264" s="541"/>
      <c r="FT264" s="541"/>
      <c r="FU264" s="541"/>
      <c r="FV264" s="1109">
        <f t="shared" si="517"/>
        <v>42918</v>
      </c>
      <c r="FW264" s="1109">
        <f t="shared" si="518"/>
        <v>43027</v>
      </c>
      <c r="FX264" s="541"/>
      <c r="FY264" s="541">
        <f>Sheet1!DA262-Sheet1!CZ262-Sheet1!AE262</f>
        <v>-100.13682999999999</v>
      </c>
      <c r="FZ264" s="535">
        <f t="shared" si="551"/>
        <v>-1.0298648633198499</v>
      </c>
      <c r="GA264" s="535"/>
      <c r="GB264" s="535" t="str">
        <f t="shared" si="519"/>
        <v>n</v>
      </c>
      <c r="GC264" s="539">
        <f t="shared" si="520"/>
        <v>42782</v>
      </c>
      <c r="GD264" s="1109">
        <f t="shared" si="521"/>
        <v>42904</v>
      </c>
      <c r="GE264" s="535">
        <f t="shared" si="537"/>
        <v>6520</v>
      </c>
      <c r="GF264" s="1109">
        <f t="shared" si="522"/>
        <v>42909</v>
      </c>
      <c r="GG264" s="535">
        <f t="shared" si="564"/>
        <v>3260</v>
      </c>
      <c r="GH264" s="539">
        <f t="shared" si="523"/>
        <v>43040</v>
      </c>
      <c r="GJ264" s="521">
        <f t="shared" si="524"/>
        <v>0</v>
      </c>
      <c r="GK264" s="535" t="str">
        <f t="shared" si="622"/>
        <v/>
      </c>
      <c r="GL264" s="535">
        <f t="shared" si="525"/>
        <v>0</v>
      </c>
      <c r="GM264" s="535" t="str">
        <f t="shared" si="526"/>
        <v/>
      </c>
      <c r="GN264" s="535">
        <f>IF(GK264="P",Lookup!$M$12,IF(GK264="PP",Lookup!$M$13,IF(GK264="PPP",Lookup!$M$14,IF(GK264="T",Lookup!$M$15,IF(GK264="TP",Lookup!$M$16,IF(GK264="TPP",Lookup!$M$17,IF(GK264="TPPP",Lookup!$M$18,0)))))))*GJ264</f>
        <v>0</v>
      </c>
      <c r="GO264" s="535">
        <f t="shared" si="527"/>
        <v>0</v>
      </c>
      <c r="GP264" s="535">
        <f t="shared" si="623"/>
        <v>1833.8509500972355</v>
      </c>
      <c r="GQ264" s="974">
        <f t="shared" si="567"/>
        <v>597.73499025333615</v>
      </c>
      <c r="GR264" s="535"/>
      <c r="GS264" s="535">
        <f t="shared" si="528"/>
        <v>0</v>
      </c>
      <c r="GT264" s="535" t="str">
        <f t="shared" si="529"/>
        <v/>
      </c>
      <c r="GU264" s="535">
        <f>IF(GK264="P",Lookup!$N$12,IF(GK264="PP",Lookup!$N$13,IF(GK264="PPP",Lookup!$N$14,IF(GK264="T",Lookup!$N$15,IF(GK264="TP",Lookup!$N$16,IF(GK264="TPP",Lookup!$N$17,IF(GK264="TPPP",Lookup!$N$18,0)))))))*GJ264</f>
        <v>0</v>
      </c>
      <c r="GV264" s="535">
        <f t="shared" si="530"/>
        <v>0</v>
      </c>
      <c r="GW264" s="535">
        <f t="shared" si="624"/>
        <v>933.26892743625274</v>
      </c>
      <c r="GX264" s="974">
        <f t="shared" si="568"/>
        <v>304.19456565718798</v>
      </c>
      <c r="GY264" s="535"/>
      <c r="GZ264" s="535">
        <f t="shared" si="531"/>
        <v>0</v>
      </c>
      <c r="HA264" s="535" t="str">
        <f t="shared" si="532"/>
        <v/>
      </c>
      <c r="HB264" s="535">
        <f>IF(GK264="P",Lookup!$N$12,IF(GK264="PP",Lookup!$N$13,IF(GK264="PPP",Lookup!$N$14,IF(GK264="T",Lookup!$N$15,IF(GK264="TP",Lookup!$N$16,IF(GK264="TPP",Lookup!$N$17,IF(GK264="TPPP",Lookup!$N$18,0)))))))*GJ264</f>
        <v>0</v>
      </c>
      <c r="HC264" s="521">
        <f t="shared" si="625"/>
        <v>0</v>
      </c>
      <c r="HD264" s="535">
        <f t="shared" si="626"/>
        <v>486.83481381630503</v>
      </c>
      <c r="HE264" s="535">
        <f t="shared" si="535"/>
        <v>158.68149081365874</v>
      </c>
      <c r="HF264" s="535"/>
      <c r="HG264" s="535">
        <f t="shared" si="533"/>
        <v>0</v>
      </c>
      <c r="HH264" s="535" t="str">
        <f t="shared" si="534"/>
        <v/>
      </c>
      <c r="HI264" s="535">
        <f>IF(GK264="P",Lookup!$N$12,IF(GK264="PP",Lookup!$N$13,IF(GK264="PPP",Lookup!$N$14,IF(GK264="T",Lookup!$N$15,IF(GK264="TP",Lookup!$N$16,IF(GK264="TPP",Lookup!$N$17,IF(GK264="TPPP",Lookup!$N$18,0)))))))*GJ264</f>
        <v>0</v>
      </c>
      <c r="HJ264" s="521">
        <f t="shared" si="627"/>
        <v>0</v>
      </c>
      <c r="HK264" s="535">
        <f t="shared" si="628"/>
        <v>492.95291277965674</v>
      </c>
      <c r="HL264" s="535">
        <f t="shared" si="536"/>
        <v>160.6756560559507</v>
      </c>
      <c r="HM264" s="535"/>
      <c r="HN264" s="541"/>
      <c r="HO264" s="541"/>
      <c r="HP264" s="541"/>
      <c r="HQ264" s="541">
        <f>IF(AND(B264&gt;=$FV$4,B264&lt;=$FW$4),MAX(110/1.02+$HQ$6+MIN(113/1.02,G264),IF($HV$6-(Sheet1!DA262-Sheet1!DB262)+MIN(113/1.02,G264)&lt;G264+FL264,$HV$6-(Sheet1!DA262-Sheet1!DB262)+MIN(113/1.02,G264),G264+FL264)),MIN(110/1.02+$HQ$6+113/1.02,G264))</f>
        <v>206.663136660992</v>
      </c>
      <c r="HR264" s="541">
        <f t="shared" si="552"/>
        <v>210.79639939421185</v>
      </c>
      <c r="HS264" s="541">
        <f>HR264+(Sheet1!DA262-Sheet1!DB262)</f>
        <v>356.79639939421185</v>
      </c>
      <c r="HT264" s="541">
        <f t="shared" si="553"/>
        <v>71.317656620528481</v>
      </c>
      <c r="HU264" s="541">
        <f t="shared" si="554"/>
        <v>285.47874277368339</v>
      </c>
      <c r="HV264" s="541">
        <f t="shared" si="555"/>
        <v>0</v>
      </c>
      <c r="HW264" s="533" t="str">
        <f t="shared" si="556"/>
        <v/>
      </c>
      <c r="HX264" s="541">
        <f t="shared" si="557"/>
        <v>50.187686466816729</v>
      </c>
      <c r="HY264" s="541">
        <f>Sheet1!CZ262</f>
        <v>311</v>
      </c>
      <c r="HZ264" s="541">
        <f t="shared" si="558"/>
        <v>54.149176872191262</v>
      </c>
      <c r="IA264" s="541">
        <f t="shared" si="559"/>
        <v>71.317656620528481</v>
      </c>
      <c r="IB264" s="541">
        <f t="shared" si="560"/>
        <v>256.85082312780872</v>
      </c>
      <c r="IC264" s="1019" t="str">
        <f t="shared" si="561"/>
        <v/>
      </c>
      <c r="ID264" s="541">
        <f t="shared" si="562"/>
        <v>185.53316650728024</v>
      </c>
      <c r="IE264" s="541">
        <f>Sheet1!DB262</f>
        <v>190</v>
      </c>
      <c r="IF264" s="533">
        <f>Sheet1!DA262</f>
        <v>336</v>
      </c>
      <c r="IH264" s="541">
        <f>IF(AND($B264&gt;=$GC264,$B264&lt;=$GH264,$DR264&lt;0)+N("only adjusted when pool is drawn down during storage season"),Sheet1!$DB262+$DR264+N("Palmer minus all storage release"),Sheet1!$DB262)</f>
        <v>-23.767019667802742</v>
      </c>
      <c r="II264" s="541">
        <f>IF(AND($B264&gt;=$GC264,$B264&lt;=$GH264,$DR264&lt;0)+N("only adjusted when pool is drawn down during storage season"),Sheet1!$DA262+$DR264+N("Auburn minus all storage release"),Sheet1!$DA262)</f>
        <v>122.23298033219726</v>
      </c>
    </row>
    <row r="265" spans="1:243" x14ac:dyDescent="0.25">
      <c r="A265" s="553" t="s">
        <v>4</v>
      </c>
      <c r="B265" s="531">
        <v>42989</v>
      </c>
      <c r="C265" s="536">
        <v>0</v>
      </c>
      <c r="D265" s="506">
        <f t="shared" si="633"/>
        <v>200</v>
      </c>
      <c r="E265" s="506">
        <f t="shared" si="634"/>
        <v>400</v>
      </c>
      <c r="F265" s="506">
        <v>250</v>
      </c>
      <c r="G265" s="535">
        <f>DR265+Sheet1!CZ263</f>
        <v>108.86283408913633</v>
      </c>
      <c r="H265" s="1074">
        <f t="shared" si="563"/>
        <v>0</v>
      </c>
      <c r="I265" s="534">
        <f>IF(Sheet1!DA263&gt;=E265,(Sheet1!DA263-E265+P265)*CFStoMGD,0)</f>
        <v>0</v>
      </c>
      <c r="J265" s="995">
        <f>IF(Sheet1!DB263&gt;=D265,(Sheet1!DB263-D265+P265)*CFStoMGD,0)</f>
        <v>0</v>
      </c>
      <c r="K265" s="818">
        <f t="shared" si="538"/>
        <v>0</v>
      </c>
      <c r="L265" s="535">
        <f>Sheet1!AA263+Sheet1!AB263-Sheet1!L263+(Sheet1!DA263-F265)*CFStoMGD-S265-T265-U265</f>
        <v>98.553906479284535</v>
      </c>
      <c r="M265" s="535">
        <f t="shared" si="569"/>
        <v>71.77631467432208</v>
      </c>
      <c r="N265" s="824">
        <f>IF(Sheet1!DA263&gt;=F265,MIN(113*CFStoMGD,MIN(MAX(L265,0),MAX(M265,0))),0)</f>
        <v>71.77631467432208</v>
      </c>
      <c r="O265" s="538">
        <f>Sheet1!AA263+Sheet1!AB263</f>
        <v>81.02000000000001</v>
      </c>
      <c r="P265" s="538">
        <f t="shared" si="570"/>
        <v>125.33794</v>
      </c>
      <c r="Q265" s="812">
        <f t="shared" si="539"/>
        <v>46.195506479284546</v>
      </c>
      <c r="R265" s="812">
        <f t="shared" ref="R265:R328" si="635">IF(AND(B265&gt;=GF265,B265&lt;=GH265),MAX(EB265,EF265),EB265)</f>
        <v>35</v>
      </c>
      <c r="S265" s="812">
        <f t="shared" ref="S265:S328" si="636">IF(OR(B265&lt;GC265,B265&gt;GH265),MIN(O265,K265),IF(AND(B265&gt;=FV265,B265&lt;=FW265),0,IF(AND(B265&gt;=GC265,B265&lt;=GD265),DL265,IF(AND(B265&gt;GD265,B265&lt;FV265),MIN(K265,O265),0))))</f>
        <v>0</v>
      </c>
      <c r="T265" s="812">
        <f t="shared" ref="T265:T328" si="637">IF(OR(B265&lt;GC265,B265&gt;GD265),0, K265-DL265)</f>
        <v>0</v>
      </c>
      <c r="U265" s="812">
        <f>IF(AND(B265&gt;=FV265,B265&lt;=FW265),ED265+Sheet1!EH263,0)</f>
        <v>34.824493520715464</v>
      </c>
      <c r="V265" s="812"/>
      <c r="W265" s="812">
        <f t="shared" ref="W265:W328" si="638">MAX(K265-DJ265,0)</f>
        <v>0</v>
      </c>
      <c r="X265" s="812">
        <f t="shared" ref="X265:X328" si="639">S265+T265</f>
        <v>0</v>
      </c>
      <c r="Y265" s="812" t="str">
        <f t="shared" ref="Y265:Y328" si="640">IF(OR(O265&gt;K265,AND(B265&gt;=GC265,B265&lt;=GD265),), "FALSE","")</f>
        <v>FALSE</v>
      </c>
      <c r="Z265" s="812">
        <f t="shared" ref="Z265:Z328" si="641">O265</f>
        <v>81.02000000000001</v>
      </c>
      <c r="AA265" s="812">
        <f t="shared" ref="AA265:AA328" si="642">Q265+S265+U265</f>
        <v>81.02000000000001</v>
      </c>
      <c r="AB265" s="1059">
        <f t="shared" si="540"/>
        <v>71.464448523453186</v>
      </c>
      <c r="AC265" s="538">
        <f>Sheet1!Y263*MGDtoCFS</f>
        <v>39.262859999999996</v>
      </c>
      <c r="AD265" s="538">
        <f>Sheet1!Z263*MGDtoCFS</f>
        <v>85.87397</v>
      </c>
      <c r="AE265" s="538">
        <f>Sheet1!AA263*MGDtoCFS</f>
        <v>40.871740000000003</v>
      </c>
      <c r="AF265" s="538">
        <f>Sheet1!AB263*MGDtoCFS</f>
        <v>84.466200000000001</v>
      </c>
      <c r="AG265" s="538">
        <f>Sheet1!L263*MGDtoCFS</f>
        <v>0</v>
      </c>
      <c r="AH265" s="521">
        <f t="shared" si="571"/>
        <v>35</v>
      </c>
      <c r="AI265" s="1059">
        <f t="shared" si="572"/>
        <v>54.144999999999996</v>
      </c>
      <c r="AJ265" s="535">
        <f t="shared" si="573"/>
        <v>0</v>
      </c>
      <c r="AK265" s="535">
        <f t="shared" si="574"/>
        <v>0</v>
      </c>
      <c r="AL265" s="535">
        <f>(VLOOKUP(Sheet1!DC263,hhdcap_wcm,4)-(((VLOOKUP(Sheet1!DC263,hhdcap_wcm,3)-Sheet1!DC263)/(VLOOKUP(Sheet1!DC263,hhdcap_wcm,3)-VLOOKUP(Sheet1!DC263,hhdcap_wcm,1)))*(VLOOKUP(Sheet1!DC263,hhdcap_wcm,4)-VLOOKUP(Sheet1!DC263,hhdcap_wcm,2))))</f>
        <v>27955.000000072476</v>
      </c>
      <c r="AM265" s="535">
        <f t="shared" si="575"/>
        <v>-428.60000000124273</v>
      </c>
      <c r="AN265" s="1035">
        <f t="shared" si="576"/>
        <v>1186.2867027801335</v>
      </c>
      <c r="AO265" s="535">
        <f t="shared" si="577"/>
        <v>3639.5276041294496</v>
      </c>
      <c r="AP265" s="535">
        <f>Sheet1!BA263+Sheet1!BB263+Sheet1!BN263+CD265</f>
        <v>35.9</v>
      </c>
      <c r="AQ265" s="535">
        <f>Sheet1!BN263+(DO265*Sheet1!BN263)</f>
        <v>35.775506479284545</v>
      </c>
      <c r="AR265" s="535">
        <f>Sheet1!BA263+CD265</f>
        <v>0</v>
      </c>
      <c r="AS265" s="535">
        <f>Sheet1!BA263+Sheet1!BB263+CD265</f>
        <v>0</v>
      </c>
      <c r="AT265" s="649">
        <f>0</f>
        <v>0</v>
      </c>
      <c r="AU265" s="974">
        <f>BA265+MAX(Sheet1!EH263,(O265-Q265-ED265-S265))</f>
        <v>16.000000000000004</v>
      </c>
      <c r="AV265" s="535">
        <f>IF(OR(B265&gt;=GD265,B265&lt;GC265),0,15/36*K265-MAX(0,64.6-(137.6-(Sheet1!AA263+Sheet1!AB263))))</f>
        <v>0</v>
      </c>
      <c r="AW265" s="1029"/>
      <c r="AX265" s="649"/>
      <c r="AY265" s="649">
        <f t="shared" si="541"/>
        <v>23.311716569431731</v>
      </c>
      <c r="AZ265" s="649">
        <f t="shared" si="542"/>
        <v>0</v>
      </c>
      <c r="BA265" s="1059">
        <f t="shared" si="543"/>
        <v>0</v>
      </c>
      <c r="BB265" s="1019">
        <f t="shared" si="578"/>
        <v>581.73499025333615</v>
      </c>
      <c r="BC265" s="1041">
        <f t="shared" si="544"/>
        <v>0</v>
      </c>
      <c r="BD265" s="1019">
        <f ca="1">IF(B265&gt;(Summary!$A$1-1),#N/A,BB265*MGtoAF)</f>
        <v>1784.7629500972353</v>
      </c>
      <c r="BE265" s="535">
        <f>Sheet1!BG263+Sheet1!BH263+Sheet1!BI263-BM265</f>
        <v>5.91</v>
      </c>
      <c r="BF265" s="535">
        <f t="shared" si="579"/>
        <v>5.8895053841941962</v>
      </c>
      <c r="BG265" s="535">
        <f>IF(Sheet1!EP263="FM",BM265,0)</f>
        <v>0</v>
      </c>
      <c r="BH265" s="535">
        <f t="shared" si="580"/>
        <v>0</v>
      </c>
      <c r="BI265" s="535">
        <f>IF(Sheet1!EP263="OTHER",BM265,0)</f>
        <v>0</v>
      </c>
      <c r="BJ265" s="535">
        <f t="shared" si="581"/>
        <v>0</v>
      </c>
      <c r="BK265" s="535">
        <f t="shared" si="582"/>
        <v>5.91</v>
      </c>
      <c r="BL265" s="535">
        <f t="shared" si="583"/>
        <v>5.8895053841941962</v>
      </c>
      <c r="BM265" s="535">
        <f>IF(OR(Sheet1!EP263="FM", Sheet1!EP263="OTHER"),SUM(Sheet1!BG263:'Sheet1'!BI263),0)</f>
        <v>0</v>
      </c>
      <c r="BN265" s="521">
        <f>IF(AND($B265&gt;=$FV265,$B265&lt;=$FW265),MAX(BF265,Sheet1!EI263,0),MAX(BF265-(7/36)*$K265,0))</f>
        <v>6</v>
      </c>
      <c r="BO265" s="535">
        <f t="shared" si="584"/>
        <v>0</v>
      </c>
      <c r="BP265" s="521">
        <f t="shared" si="585"/>
        <v>0</v>
      </c>
      <c r="BQ265" s="521">
        <f>IF(AND($O265&gt;0,Sheet1!EM263=1),(1-($O265-Sheet1!$L263)/$O265)*BL265,0)</f>
        <v>0</v>
      </c>
      <c r="BR265" s="521">
        <f>IF(AND(Sheet1!$L263=0,Sheet1!$L262=0, Calculation!BK265&lt;Sheet1!$EI263-0.1,Sheet1!$EI263=Sheet1!$EI262,Sheet1!$EI263=Sheet1!$EI264),BL265-BQ265,BL265-BQ265)</f>
        <v>5.8895053841941962</v>
      </c>
      <c r="BS265" s="1035" t="str">
        <f t="shared" si="545"/>
        <v/>
      </c>
      <c r="BT265" s="1035">
        <f t="shared" si="546"/>
        <v>0</v>
      </c>
      <c r="BU265" s="535">
        <f t="shared" si="586"/>
        <v>298.19456565718798</v>
      </c>
      <c r="BV265" s="535"/>
      <c r="BW265" s="535">
        <f ca="1">IF(B265&gt;(Summary!$A$1-1),#N/A,BU265*MGtoAF)</f>
        <v>914.86092743625272</v>
      </c>
      <c r="BX265" s="535">
        <f>Sheet1!BC263+Sheet1!BD263+Sheet1!BE263+Sheet1!BF263-CG265-CH265</f>
        <v>4.99</v>
      </c>
      <c r="BY265" s="535">
        <f t="shared" si="587"/>
        <v>4.9726957473991611</v>
      </c>
      <c r="BZ265" s="535">
        <f>IF(Sheet1!EQ263="FM",CH265,0)</f>
        <v>0</v>
      </c>
      <c r="CA265" s="535">
        <f t="shared" si="588"/>
        <v>0</v>
      </c>
      <c r="CB265" s="535">
        <f>IF(Sheet1!EQ263="OTHER",CH265,0)</f>
        <v>0</v>
      </c>
      <c r="CC265" s="535">
        <f t="shared" si="589"/>
        <v>0</v>
      </c>
      <c r="CD265" s="535">
        <f t="shared" si="590"/>
        <v>0</v>
      </c>
      <c r="CE265" s="535">
        <f t="shared" si="591"/>
        <v>4.99</v>
      </c>
      <c r="CF265" s="535">
        <f t="shared" si="592"/>
        <v>4.9726957473991611</v>
      </c>
      <c r="CG265" s="535">
        <f>IF(Sheet1!EQ263="CWA",SUM(Sheet1!BC263:'Sheet1'!BF263),0)</f>
        <v>0</v>
      </c>
      <c r="CH265" s="535">
        <f>IF(OR(Sheet1!EQ263="FM", Sheet1!EQ263="OTHER"),SUM(Sheet1!BC263:'Sheet1'!BF263),0)</f>
        <v>0</v>
      </c>
      <c r="CI265" s="521">
        <f>IF(AND($B265&gt;=$FV265,$B265&lt;=$FW265),MAX(CF265,Sheet1!EJ263,0),MAX(CF265-(7/36)*$K265,0))</f>
        <v>5</v>
      </c>
      <c r="CJ265" s="535">
        <f t="shared" si="593"/>
        <v>0</v>
      </c>
      <c r="CK265" s="521">
        <f t="shared" si="594"/>
        <v>0</v>
      </c>
      <c r="CL265" s="521">
        <f>IF(AND($O265&gt;0,Sheet1!EN263=1),(1-($O265-Sheet1!$L263)/$O265)*CF265,0)</f>
        <v>0</v>
      </c>
      <c r="CM265" s="521">
        <f>IF(AND(Sheet1!$L263=0,Sheet1!$L262=0, Calculation!CE265&lt;Sheet1!EJ263-0.1,Sheet1!EJ263=Sheet1!EJ262,Sheet1!EJ263=Sheet1!EJ264),CF265-CL265,CF265-CL265)</f>
        <v>4.9726957473991611</v>
      </c>
      <c r="CN265" s="1040" t="str">
        <f t="shared" si="547"/>
        <v/>
      </c>
      <c r="CO265" s="1035">
        <f t="shared" si="548"/>
        <v>0</v>
      </c>
      <c r="CP265" s="535">
        <f t="shared" si="595"/>
        <v>153.68149081365874</v>
      </c>
      <c r="CQ265" s="535"/>
      <c r="CR265" s="535">
        <f ca="1">IF(B265&gt;(Summary!$A$1-1),#N/A,CP265*MGtoAF)</f>
        <v>471.494813816305</v>
      </c>
      <c r="CS265" s="535">
        <f>Sheet1!BK263+Sheet1!BL263+Sheet1!BM263-Sheet1!ER263-DA265</f>
        <v>7.99</v>
      </c>
      <c r="CT265" s="535">
        <f t="shared" si="596"/>
        <v>7.9622923891221031</v>
      </c>
      <c r="CU265" s="535">
        <f>IF(Sheet1!ER263="FM",DA265,0)</f>
        <v>0</v>
      </c>
      <c r="CV265" s="535">
        <f t="shared" si="597"/>
        <v>0</v>
      </c>
      <c r="CW265" s="535">
        <f>IF(Sheet1!ER263="OTHER",DA265,0)</f>
        <v>0</v>
      </c>
      <c r="CX265" s="535">
        <f t="shared" si="598"/>
        <v>0</v>
      </c>
      <c r="CY265" s="535">
        <f t="shared" si="629"/>
        <v>7.99</v>
      </c>
      <c r="CZ265" s="535">
        <f t="shared" si="630"/>
        <v>7.9622923891221031</v>
      </c>
      <c r="DA265" s="535">
        <f>IF(OR(Sheet1!ER263="FM", Sheet1!ER263="OTHER"),SUM(Sheet1!BK263:'Sheet1'!BM263),0)</f>
        <v>0</v>
      </c>
      <c r="DB265" s="1011">
        <f>IF(AND($B265&gt;=$FV265,$B265&lt;=$FW265),MAX($CT265,Sheet1!EK263,0),MAX($CT265-(7/36)*$K265,0))</f>
        <v>8</v>
      </c>
      <c r="DC265" s="1012">
        <f t="shared" si="601"/>
        <v>0</v>
      </c>
      <c r="DD265" s="1011">
        <f t="shared" si="602"/>
        <v>0</v>
      </c>
      <c r="DE265" s="521">
        <f>IF(AND($O265&gt;0,Sheet1!EO263=1),(1-($O265-Sheet1!$L263)/$O265)*CZ265,0)</f>
        <v>0</v>
      </c>
      <c r="DF265" s="521">
        <f>IF(AND(Sheet1!$L263=0,Sheet1!$L262=0, Calculation!CY265&lt;Sheet1!$EK263-0.1,Sheet1!$EK263=Sheet1!$EK262,Sheet1!$EK263=Sheet1!$EK264),CZ265-DE265,CZ265-DE265)</f>
        <v>7.9622923891221031</v>
      </c>
      <c r="DG265" s="1040">
        <f t="shared" si="549"/>
        <v>0</v>
      </c>
      <c r="DH265" s="649">
        <f t="shared" si="603"/>
        <v>18.89</v>
      </c>
      <c r="DI265" s="535">
        <f t="shared" si="604"/>
        <v>152.6756560559507</v>
      </c>
      <c r="DJ265" s="649">
        <f t="shared" si="605"/>
        <v>18.82449352071546</v>
      </c>
      <c r="DK265" s="535">
        <f ca="1">IF(B265&gt;(Summary!$A$1-1),#N/A,DI265*MGtoAF)</f>
        <v>468.40891277965676</v>
      </c>
      <c r="DL265" s="649">
        <f t="shared" si="606"/>
        <v>18.89</v>
      </c>
      <c r="DM265" s="535">
        <f t="shared" si="607"/>
        <v>54.79</v>
      </c>
      <c r="DN265" s="535">
        <f>Sheet1!AB263-DM265</f>
        <v>-0.18999999999999773</v>
      </c>
      <c r="DO265" s="743">
        <f t="shared" si="608"/>
        <v>-3.4677860923525775E-3</v>
      </c>
      <c r="DP265" s="535">
        <f>(VLOOKUP(Sheet1!DC263,hhdcap_wcm,4)-(((VLOOKUP(Sheet1!DC263,hhdcap_wcm,3)-Sheet1!DC263)/(VLOOKUP(Sheet1!DC263,hhdcap_wcm,3)-VLOOKUP(Sheet1!DC263,hhdcap_wcm,1)))*(VLOOKUP(Sheet1!DC263,hhdcap_wcm,4)-VLOOKUP(Sheet1!DC263,hhdcap_wcm,2))))</f>
        <v>27955.000000072476</v>
      </c>
      <c r="DQ265" s="535">
        <f t="shared" si="609"/>
        <v>-428.60000000124273</v>
      </c>
      <c r="DR265" s="535">
        <f t="shared" si="610"/>
        <v>-216.13716591086367</v>
      </c>
      <c r="DS265" s="535">
        <f>Sheet1!EA263*AFtoMG</f>
        <v>0</v>
      </c>
      <c r="DT265" s="535">
        <f>Sheet1!EB263*AFtoMG</f>
        <v>0</v>
      </c>
      <c r="DU265" s="535">
        <f>Sheet1!EC263*AFtoMG</f>
        <v>0</v>
      </c>
      <c r="DV265" s="535">
        <f>Sheet1!ED263*AFtoMG</f>
        <v>0</v>
      </c>
      <c r="DW265" s="535">
        <f t="shared" si="611"/>
        <v>0</v>
      </c>
      <c r="DX265" s="535">
        <f t="shared" si="612"/>
        <v>0</v>
      </c>
      <c r="DY265" s="535">
        <f t="shared" si="613"/>
        <v>1186.2867027801335</v>
      </c>
      <c r="DZ265" s="535">
        <f t="shared" si="614"/>
        <v>3639.5276041294496</v>
      </c>
      <c r="EA265" s="535"/>
      <c r="EB265" s="521">
        <f>IF(OR(B265&lt;FV265,B265&gt;FW265),(MIN(BF265+BY265+CT265+MAX(Sheet1!AA263+AQ265-73,0),K265)),0)</f>
        <v>0</v>
      </c>
      <c r="EC265" s="535"/>
      <c r="ED265" s="535">
        <f t="shared" si="615"/>
        <v>18.82449352071546</v>
      </c>
      <c r="EE265" s="535"/>
      <c r="EF265" s="535">
        <f>Sheet1!EH263+Sheet1!EI263+Sheet1!EJ263+Sheet1!EK263</f>
        <v>35</v>
      </c>
      <c r="EG265" s="1019">
        <f t="shared" si="550"/>
        <v>54.144999999999996</v>
      </c>
      <c r="EH265" s="521">
        <f t="shared" si="616"/>
        <v>0</v>
      </c>
      <c r="EI265" s="535">
        <f>IF(Sheet1!ET263=1,SUM('Calculations II'!AT265:BA265)+'Calculations II'!BC265+Sheet1!BV263+'Calculations II'!BE265+AP265,'Calculations II'!BK265)</f>
        <v>69.537284479284537</v>
      </c>
      <c r="EJ265" s="535">
        <f ca="1">EI265+'Calculations II'!D265+'Calculations II'!E265+'Calculations II'!O265</f>
        <v>66.071973089639528</v>
      </c>
      <c r="EK265" s="535"/>
      <c r="EL265" s="535"/>
      <c r="EM265" s="535">
        <f t="shared" si="617"/>
        <v>42989</v>
      </c>
      <c r="EN265" s="535">
        <f t="shared" si="618"/>
        <v>-35</v>
      </c>
      <c r="EO265" s="535">
        <f t="shared" si="619"/>
        <v>-54.144999999999996</v>
      </c>
      <c r="EP265" s="535">
        <v>0</v>
      </c>
      <c r="EQ265" s="535">
        <v>0</v>
      </c>
      <c r="ER265" s="535">
        <v>0</v>
      </c>
      <c r="ES265" s="521">
        <f t="shared" ref="ES265:ES328" si="643">ET265+EU265</f>
        <v>2.7729005826907827</v>
      </c>
      <c r="ET265" s="535">
        <f>-(VLOOKUP(Sheet1!BQ263,Lookup!$O$4:$Q$262,2)-VLOOKUP(Sheet1!BQ262,Lookup!$O$4:$Q$262,2))/1000000</f>
        <v>1.3862258727929293</v>
      </c>
      <c r="EU265" s="535">
        <f>-(VLOOKUP(Sheet1!BR263,Lookup!$O$4:$Q$262,3)-VLOOKUP(Sheet1!BR262,Lookup!$O$4:$Q$262,3))/1000000</f>
        <v>1.3866747098978534</v>
      </c>
      <c r="EV265" s="535"/>
      <c r="EW265" s="535"/>
      <c r="EX265" s="535"/>
      <c r="EY265" s="535"/>
      <c r="EZ265" s="535"/>
      <c r="FA265" s="535"/>
      <c r="FB265" s="535"/>
      <c r="FC265" s="535"/>
      <c r="FD265" s="567">
        <f t="shared" si="632"/>
        <v>1124.7803921567966</v>
      </c>
      <c r="FE265" s="567" t="e">
        <f t="shared" si="620"/>
        <v>#N/A</v>
      </c>
      <c r="FF265" s="568" t="e">
        <f t="shared" si="621"/>
        <v>#N/A</v>
      </c>
      <c r="FG265" s="569" t="s">
        <v>656</v>
      </c>
      <c r="FH265" s="569" t="s">
        <v>656</v>
      </c>
      <c r="FI265" s="567" t="e">
        <v>#N/A</v>
      </c>
      <c r="FJ265" s="725">
        <v>13533</v>
      </c>
      <c r="FK265" s="535"/>
      <c r="FL265" s="1015">
        <f t="shared" si="631"/>
        <v>109.43015632879475</v>
      </c>
      <c r="FM265" s="535"/>
      <c r="FN265" s="535"/>
      <c r="FO265" s="535">
        <f>O265+((Sheet1!CS263)*GPMtoMGD)</f>
        <v>85.293920000000014</v>
      </c>
      <c r="FP265" s="535">
        <f>IF(Sheet1!AA263+AQ265&lt;=Calculation!N265,AQ265,Calculation!N265-Sheet1!AA263)</f>
        <v>35.775506479284545</v>
      </c>
      <c r="FQ265" s="535">
        <f>(Sheet1!BP263+Sheet1!BO263)/694.4</f>
        <v>3.6074308755760369</v>
      </c>
      <c r="FR265" s="541"/>
      <c r="FS265" s="541"/>
      <c r="FT265" s="541"/>
      <c r="FU265" s="541"/>
      <c r="FV265" s="1109">
        <f t="shared" ref="FV265:FV328" si="644">$FV$4</f>
        <v>42918</v>
      </c>
      <c r="FW265" s="1109">
        <f t="shared" ref="FW265:FW328" si="645">$FW$4</f>
        <v>43027</v>
      </c>
      <c r="FX265" s="541"/>
      <c r="FY265" s="541">
        <f>Sheet1!DA263-Sheet1!CZ263-Sheet1!AE263</f>
        <v>-119.33794</v>
      </c>
      <c r="FZ265" s="535">
        <f t="shared" si="551"/>
        <v>-1.096222976358366</v>
      </c>
      <c r="GA265" s="535"/>
      <c r="GB265" s="535" t="str">
        <f t="shared" ref="GB265:GB328" si="646">$GB$4</f>
        <v>n</v>
      </c>
      <c r="GC265" s="539">
        <f t="shared" ref="GC265:GC328" si="647">$GC$4</f>
        <v>42782</v>
      </c>
      <c r="GD265" s="1109">
        <f t="shared" ref="GD265:GD328" si="648">$GD$4</f>
        <v>42904</v>
      </c>
      <c r="GE265" s="535">
        <f t="shared" si="537"/>
        <v>6520</v>
      </c>
      <c r="GF265" s="1109">
        <f t="shared" ref="GF265:GF328" si="649">$GF$4</f>
        <v>42909</v>
      </c>
      <c r="GG265" s="535">
        <f t="shared" si="564"/>
        <v>3260</v>
      </c>
      <c r="GH265" s="539">
        <f t="shared" ref="GH265:GH328" si="650">$GH$4</f>
        <v>43040</v>
      </c>
      <c r="GJ265" s="521">
        <f t="shared" ref="GJ265:GJ328" si="651">IF(AND(B265&gt;=GD265,B265&lt;GF265),AFtoMG*(20000-AO264),GL265+GZ265+GS265+HG265)</f>
        <v>0</v>
      </c>
      <c r="GK265" s="535" t="str">
        <f t="shared" si="622"/>
        <v/>
      </c>
      <c r="GL265" s="535">
        <f t="shared" ref="GL265:GL328" si="652">IF(GP265&gt;=8333.3,AV265,0)</f>
        <v>0</v>
      </c>
      <c r="GM265" s="535" t="str">
        <f t="shared" ref="GM265:GM328" si="653">IF(AND(GP265&lt;8333.3,GJ265&gt;0),"T","")</f>
        <v/>
      </c>
      <c r="GN265" s="535">
        <f>IF(GK265="P",Lookup!$M$12,IF(GK265="PP",Lookup!$M$13,IF(GK265="PPP",Lookup!$M$14,IF(GK265="T",Lookup!$M$15,IF(GK265="TP",Lookup!$M$16,IF(GK265="TPP",Lookup!$M$17,IF(GK265="TPPP",Lookup!$M$18,0)))))))*GJ265</f>
        <v>0</v>
      </c>
      <c r="GO265" s="535">
        <f t="shared" ref="GO265:GO328" si="654">IF(GM265="T", MIN(GN265, 2716.2-$GQ265),0)</f>
        <v>0</v>
      </c>
      <c r="GP265" s="535">
        <f t="shared" si="623"/>
        <v>1784.7629500972353</v>
      </c>
      <c r="GQ265" s="974">
        <f t="shared" si="567"/>
        <v>581.73499025333615</v>
      </c>
      <c r="GR265" s="535"/>
      <c r="GS265" s="535">
        <f t="shared" ref="GS265:GS328" si="655">IF(GW265&gt;=3888.8,BO265,0)</f>
        <v>0</v>
      </c>
      <c r="GT265" s="535" t="str">
        <f t="shared" ref="GT265:GT328" si="656">IF(AND(GW265&lt;3888.8,GJ265&gt;0),"P","")</f>
        <v/>
      </c>
      <c r="GU265" s="535">
        <f>IF(GK265="P",Lookup!$N$12,IF(GK265="PP",Lookup!$N$13,IF(GK265="PPP",Lookup!$N$14,IF(GK265="T",Lookup!$N$15,IF(GK265="TP",Lookup!$N$16,IF(GK265="TPP",Lookup!$N$17,IF(GK265="TPPP",Lookup!$N$18,0)))))))*GJ265</f>
        <v>0</v>
      </c>
      <c r="GV265" s="535">
        <f t="shared" ref="GV265:GV328" si="657">IF(GT265="P",MIN(GU265,7/36*GE265-GX265),0)</f>
        <v>0</v>
      </c>
      <c r="GW265" s="535">
        <f t="shared" si="624"/>
        <v>914.86092743625272</v>
      </c>
      <c r="GX265" s="974">
        <f t="shared" si="568"/>
        <v>298.19456565718798</v>
      </c>
      <c r="GY265" s="535"/>
      <c r="GZ265" s="535">
        <f t="shared" ref="GZ265:GZ328" si="658">IF(HD265&gt;=3888.8,CJ265,0)</f>
        <v>0</v>
      </c>
      <c r="HA265" s="535" t="str">
        <f t="shared" ref="HA265:HA328" si="659">IF(AND(HD265&lt;3888.8,GJ265&gt;0),"P","")</f>
        <v/>
      </c>
      <c r="HB265" s="535">
        <f>IF(GK265="P",Lookup!$N$12,IF(GK265="PP",Lookup!$N$13,IF(GK265="PPP",Lookup!$N$14,IF(GK265="T",Lookup!$N$15,IF(GK265="TP",Lookup!$N$16,IF(GK265="TPP",Lookup!$N$17,IF(GK265="TPPP",Lookup!$N$18,0)))))))*GJ265</f>
        <v>0</v>
      </c>
      <c r="HC265" s="521">
        <f t="shared" si="625"/>
        <v>0</v>
      </c>
      <c r="HD265" s="535">
        <f t="shared" si="626"/>
        <v>471.494813816305</v>
      </c>
      <c r="HE265" s="535">
        <f t="shared" si="535"/>
        <v>153.68149081365874</v>
      </c>
      <c r="HF265" s="535"/>
      <c r="HG265" s="535">
        <f t="shared" ref="HG265:HG328" si="660">IF(HK265&gt;=3888.8,DC265,0)</f>
        <v>0</v>
      </c>
      <c r="HH265" s="535" t="str">
        <f t="shared" ref="HH265:HH328" si="661">IF(AND(HK265&lt;3888.8,GJ265&gt;0),"P","")</f>
        <v/>
      </c>
      <c r="HI265" s="535">
        <f>IF(GK265="P",Lookup!$N$12,IF(GK265="PP",Lookup!$N$13,IF(GK265="PPP",Lookup!$N$14,IF(GK265="T",Lookup!$N$15,IF(GK265="TP",Lookup!$N$16,IF(GK265="TPP",Lookup!$N$17,IF(GK265="TPPP",Lookup!$N$18,0)))))))*GJ265</f>
        <v>0</v>
      </c>
      <c r="HJ265" s="521">
        <f t="shared" si="627"/>
        <v>0</v>
      </c>
      <c r="HK265" s="535">
        <f t="shared" si="628"/>
        <v>468.40891277965676</v>
      </c>
      <c r="HL265" s="535">
        <f t="shared" si="536"/>
        <v>152.6756560559507</v>
      </c>
      <c r="HM265" s="535"/>
      <c r="HN265" s="541"/>
      <c r="HO265" s="541"/>
      <c r="HP265" s="541"/>
      <c r="HQ265" s="541">
        <f>IF(AND(B265&gt;=$FV$4,B265&lt;=$FW$4),MAX(110/1.02+$HQ$6+MIN(113/1.02,G265),IF($HV$6-(Sheet1!DA263-Sheet1!DB263)+MIN(113/1.02,G265)&lt;G265+FL265,$HV$6-(Sheet1!DA263-Sheet1!DB263)+MIN(113/1.02,G265),G265+FL265)),MIN(110/1.02+$HQ$6+113/1.02,G265))</f>
        <v>218.29299041793109</v>
      </c>
      <c r="HR265" s="541">
        <f t="shared" si="552"/>
        <v>222.65885022628973</v>
      </c>
      <c r="HS265" s="541">
        <f>HR265+(Sheet1!DA263-Sheet1!DB263)</f>
        <v>359.6588502262897</v>
      </c>
      <c r="HT265" s="541">
        <f t="shared" si="553"/>
        <v>71.464448523453186</v>
      </c>
      <c r="HU265" s="541">
        <f t="shared" si="554"/>
        <v>288.1944017028365</v>
      </c>
      <c r="HV265" s="541">
        <f t="shared" si="555"/>
        <v>0</v>
      </c>
      <c r="HW265" s="533" t="str">
        <f t="shared" si="556"/>
        <v/>
      </c>
      <c r="HX265" s="541">
        <f t="shared" si="557"/>
        <v>52.562009582068924</v>
      </c>
      <c r="HY265" s="541">
        <f>Sheet1!CZ263</f>
        <v>325</v>
      </c>
      <c r="HZ265" s="541">
        <f t="shared" si="558"/>
        <v>54.144999999999996</v>
      </c>
      <c r="IA265" s="541">
        <f t="shared" si="559"/>
        <v>71.464448523453186</v>
      </c>
      <c r="IB265" s="541">
        <f t="shared" si="560"/>
        <v>270.85500000000002</v>
      </c>
      <c r="IC265" s="1019" t="str">
        <f t="shared" si="561"/>
        <v/>
      </c>
      <c r="ID265" s="541">
        <f t="shared" si="562"/>
        <v>199.39055147654682</v>
      </c>
      <c r="IE265" s="541">
        <f>Sheet1!DB263</f>
        <v>194</v>
      </c>
      <c r="IF265" s="533">
        <f>Sheet1!DA263</f>
        <v>331</v>
      </c>
      <c r="IH265" s="541">
        <f>IF(AND($B265&gt;=$GC265,$B265&lt;=$GH265,$DR265&lt;0)+N("only adjusted when pool is drawn down during storage season"),Sheet1!$DB263+$DR265+N("Palmer minus all storage release"),Sheet1!$DB263)</f>
        <v>-22.137165910863672</v>
      </c>
      <c r="II265" s="541">
        <f>IF(AND($B265&gt;=$GC265,$B265&lt;=$GH265,$DR265&lt;0)+N("only adjusted when pool is drawn down during storage season"),Sheet1!$DA263+$DR265+N("Auburn minus all storage release"),Sheet1!$DA263)</f>
        <v>114.86283408913633</v>
      </c>
    </row>
    <row r="266" spans="1:243" x14ac:dyDescent="0.25">
      <c r="A266" s="553" t="s">
        <v>5</v>
      </c>
      <c r="B266" s="531">
        <v>42990</v>
      </c>
      <c r="C266" s="536">
        <v>0</v>
      </c>
      <c r="D266" s="506">
        <f t="shared" si="633"/>
        <v>200</v>
      </c>
      <c r="E266" s="506">
        <f t="shared" si="634"/>
        <v>400</v>
      </c>
      <c r="F266" s="506">
        <v>250</v>
      </c>
      <c r="G266" s="535">
        <f>DR266+Sheet1!CZ264</f>
        <v>90.028240040049411</v>
      </c>
      <c r="H266" s="1074">
        <f t="shared" si="563"/>
        <v>0</v>
      </c>
      <c r="I266" s="534">
        <f>IF(Sheet1!DA264&gt;=E266,(Sheet1!DA264-E266+P266)*CFStoMGD,0)</f>
        <v>0</v>
      </c>
      <c r="J266" s="995">
        <f>IF(Sheet1!DB264&gt;=D266,(Sheet1!DB264-D266+P266)*CFStoMGD,0)</f>
        <v>0</v>
      </c>
      <c r="K266" s="818">
        <f t="shared" si="538"/>
        <v>0</v>
      </c>
      <c r="L266" s="535">
        <f>Sheet1!AA264+Sheet1!AB264-Sheet1!L264+(Sheet1!DA264-F266)*CFStoMGD-S266-T266-U266</f>
        <v>106.90576751347189</v>
      </c>
      <c r="M266" s="535">
        <f t="shared" si="569"/>
        <v>59.358139449125702</v>
      </c>
      <c r="N266" s="824">
        <f>IF(Sheet1!DA264&gt;=F266,MIN(113*CFStoMGD,MIN(MAX(L266,0),MAX(M266,0))),0)</f>
        <v>59.358139449125702</v>
      </c>
      <c r="O266" s="538">
        <f>Sheet1!AA264+Sheet1!AB264</f>
        <v>80.199999999999989</v>
      </c>
      <c r="P266" s="538">
        <f t="shared" si="570"/>
        <v>124.06939999999999</v>
      </c>
      <c r="Q266" s="812">
        <f t="shared" si="539"/>
        <v>45.497767513471892</v>
      </c>
      <c r="R266" s="812">
        <f t="shared" si="635"/>
        <v>35</v>
      </c>
      <c r="S266" s="812">
        <f t="shared" si="636"/>
        <v>0</v>
      </c>
      <c r="T266" s="812">
        <f t="shared" si="637"/>
        <v>0</v>
      </c>
      <c r="U266" s="812">
        <f>IF(AND(B266&gt;=FV266,B266&lt;=FW266),ED266+Sheet1!EH264,0)</f>
        <v>34.702232486528096</v>
      </c>
      <c r="V266" s="812"/>
      <c r="W266" s="812">
        <f t="shared" si="638"/>
        <v>0</v>
      </c>
      <c r="X266" s="812">
        <f t="shared" si="639"/>
        <v>0</v>
      </c>
      <c r="Y266" s="812" t="str">
        <f t="shared" si="640"/>
        <v>FALSE</v>
      </c>
      <c r="Z266" s="812">
        <f t="shared" si="641"/>
        <v>80.199999999999989</v>
      </c>
      <c r="AA266" s="812">
        <f t="shared" si="642"/>
        <v>80.199999999999989</v>
      </c>
      <c r="AB266" s="1059">
        <f t="shared" si="540"/>
        <v>70.385046343341017</v>
      </c>
      <c r="AC266" s="538">
        <f>Sheet1!Y264*MGDtoCFS</f>
        <v>40.871740000000003</v>
      </c>
      <c r="AD266" s="538">
        <f>Sheet1!Z264*MGDtoCFS</f>
        <v>84.466200000000001</v>
      </c>
      <c r="AE266" s="538">
        <f>Sheet1!AA264*MGDtoCFS</f>
        <v>43.934799999999996</v>
      </c>
      <c r="AF266" s="538">
        <f>Sheet1!AB264*MGDtoCFS</f>
        <v>80.134599999999992</v>
      </c>
      <c r="AG266" s="538">
        <f>Sheet1!L264*MGDtoCFS</f>
        <v>0</v>
      </c>
      <c r="AH266" s="521">
        <f t="shared" si="571"/>
        <v>35</v>
      </c>
      <c r="AI266" s="1059">
        <f t="shared" si="572"/>
        <v>54.144999999999996</v>
      </c>
      <c r="AJ266" s="535">
        <f t="shared" si="573"/>
        <v>0</v>
      </c>
      <c r="AK266" s="535">
        <f t="shared" si="574"/>
        <v>0</v>
      </c>
      <c r="AL266" s="535">
        <f>(VLOOKUP(Sheet1!DC264,hhdcap_wcm,4)-(((VLOOKUP(Sheet1!DC264,hhdcap_wcm,3)-Sheet1!DC264)/(VLOOKUP(Sheet1!DC264,hhdcap_wcm,3)-VLOOKUP(Sheet1!DC264,hhdcap_wcm,1)))*(VLOOKUP(Sheet1!DC264,hhdcap_wcm,4)-VLOOKUP(Sheet1!DC264,hhdcap_wcm,2))))</f>
        <v>27495.000000071894</v>
      </c>
      <c r="AM266" s="535">
        <f t="shared" si="575"/>
        <v>-460.00000000058208</v>
      </c>
      <c r="AN266" s="1035">
        <f t="shared" si="576"/>
        <v>1151.2867027801335</v>
      </c>
      <c r="AO266" s="535">
        <f t="shared" si="577"/>
        <v>3532.1476041294495</v>
      </c>
      <c r="AP266" s="535">
        <f>Sheet1!BA264+Sheet1!BB264+Sheet1!BN264+CD266</f>
        <v>33.200000000000003</v>
      </c>
      <c r="AQ266" s="535">
        <f>Sheet1!BN264+(DO266*Sheet1!BN264)</f>
        <v>33.097767513471901</v>
      </c>
      <c r="AR266" s="535">
        <f>Sheet1!BA264+CD266</f>
        <v>0</v>
      </c>
      <c r="AS266" s="535">
        <f>Sheet1!BA264+Sheet1!BB264+CD266</f>
        <v>0</v>
      </c>
      <c r="AT266" s="649">
        <f>0</f>
        <v>0</v>
      </c>
      <c r="AU266" s="974">
        <f>BA266+MAX(Sheet1!EH264,(O266-Q266-ED266-S266))</f>
        <v>16</v>
      </c>
      <c r="AV266" s="535">
        <f>IF(OR(B266&gt;=GD266,B266&lt;GC266),0,15/36*K266-MAX(0,64.6-(137.6-(Sheet1!AA264+Sheet1!AB264))))</f>
        <v>0</v>
      </c>
      <c r="AW266" s="1029"/>
      <c r="AX266" s="649"/>
      <c r="AY266" s="649">
        <f t="shared" si="541"/>
        <v>23.311716569431731</v>
      </c>
      <c r="AZ266" s="649">
        <f t="shared" si="542"/>
        <v>0</v>
      </c>
      <c r="BA266" s="1059">
        <f t="shared" si="543"/>
        <v>0</v>
      </c>
      <c r="BB266" s="1019">
        <f t="shared" si="578"/>
        <v>565.73499025333615</v>
      </c>
      <c r="BC266" s="1041">
        <f t="shared" si="544"/>
        <v>0</v>
      </c>
      <c r="BD266" s="1019">
        <f ca="1">IF(B266&gt;(Summary!$A$1-1),#N/A,BB266*MGtoAF)</f>
        <v>1735.6749500972353</v>
      </c>
      <c r="BE266" s="535">
        <f>Sheet1!BG264+Sheet1!BH264+Sheet1!BI264-BM266</f>
        <v>5.76</v>
      </c>
      <c r="BF266" s="535">
        <f t="shared" si="579"/>
        <v>5.7422632794457265</v>
      </c>
      <c r="BG266" s="535">
        <f>IF(Sheet1!EP264="FM",BM266,0)</f>
        <v>0</v>
      </c>
      <c r="BH266" s="535">
        <f t="shared" si="580"/>
        <v>0</v>
      </c>
      <c r="BI266" s="535">
        <f>IF(Sheet1!EP264="OTHER",BM266,0)</f>
        <v>0</v>
      </c>
      <c r="BJ266" s="535">
        <f t="shared" si="581"/>
        <v>0</v>
      </c>
      <c r="BK266" s="535">
        <f t="shared" si="582"/>
        <v>5.76</v>
      </c>
      <c r="BL266" s="535">
        <f t="shared" si="583"/>
        <v>5.7422632794457265</v>
      </c>
      <c r="BM266" s="535">
        <f>IF(OR(Sheet1!EP264="FM", Sheet1!EP264="OTHER"),SUM(Sheet1!BG264:'Sheet1'!BI264),0)</f>
        <v>0</v>
      </c>
      <c r="BN266" s="521">
        <f>IF(AND($B266&gt;=$FV266,$B266&lt;=$FW266),MAX(BF266,Sheet1!EI264,0),MAX(BF266-(7/36)*$K266,0))</f>
        <v>6</v>
      </c>
      <c r="BO266" s="535">
        <f t="shared" si="584"/>
        <v>0</v>
      </c>
      <c r="BP266" s="521">
        <f t="shared" si="585"/>
        <v>0</v>
      </c>
      <c r="BQ266" s="521">
        <f>IF(AND($O266&gt;0,Sheet1!EM264=1),(1-($O266-Sheet1!$L264)/$O266)*BL266,0)</f>
        <v>0</v>
      </c>
      <c r="BR266" s="521">
        <f>IF(AND(Sheet1!$L264=0,Sheet1!$L263=0, Calculation!BK266&lt;Sheet1!$EI264-0.1,Sheet1!$EI264=Sheet1!$EI263,Sheet1!$EI264=Sheet1!$EI265),BL266-BQ266,BL266-BQ266)</f>
        <v>5.7422632794457265</v>
      </c>
      <c r="BS266" s="1035" t="str">
        <f t="shared" si="545"/>
        <v/>
      </c>
      <c r="BT266" s="1035">
        <f t="shared" si="546"/>
        <v>0</v>
      </c>
      <c r="BU266" s="535">
        <f t="shared" si="586"/>
        <v>292.19456565718798</v>
      </c>
      <c r="BV266" s="535"/>
      <c r="BW266" s="535">
        <f ca="1">IF(B266&gt;(Summary!$A$1-1),#N/A,BU266*MGtoAF)</f>
        <v>896.45292743625271</v>
      </c>
      <c r="BX266" s="535">
        <f>Sheet1!BC264+Sheet1!BD264+Sheet1!BE264+Sheet1!BF264-CG266-CH266</f>
        <v>4.99</v>
      </c>
      <c r="BY266" s="535">
        <f t="shared" si="587"/>
        <v>4.9746343341031558</v>
      </c>
      <c r="BZ266" s="535">
        <f>IF(Sheet1!EQ264="FM",CH266,0)</f>
        <v>0</v>
      </c>
      <c r="CA266" s="535">
        <f t="shared" si="588"/>
        <v>0</v>
      </c>
      <c r="CB266" s="535">
        <f>IF(Sheet1!EQ264="OTHER",CH266,0)</f>
        <v>0</v>
      </c>
      <c r="CC266" s="535">
        <f t="shared" si="589"/>
        <v>0</v>
      </c>
      <c r="CD266" s="535">
        <f t="shared" si="590"/>
        <v>0</v>
      </c>
      <c r="CE266" s="535">
        <f t="shared" si="591"/>
        <v>4.99</v>
      </c>
      <c r="CF266" s="535">
        <f t="shared" si="592"/>
        <v>4.9746343341031558</v>
      </c>
      <c r="CG266" s="535">
        <f>IF(Sheet1!EQ264="CWA",SUM(Sheet1!BC264:'Sheet1'!BF264),0)</f>
        <v>0</v>
      </c>
      <c r="CH266" s="535">
        <f>IF(OR(Sheet1!EQ264="FM", Sheet1!EQ264="OTHER"),SUM(Sheet1!BC264:'Sheet1'!BF264),0)</f>
        <v>0</v>
      </c>
      <c r="CI266" s="521">
        <f>IF(AND($B266&gt;=$FV266,$B266&lt;=$FW266),MAX(CF266,Sheet1!EJ264,0),MAX(CF266-(7/36)*$K266,0))</f>
        <v>5</v>
      </c>
      <c r="CJ266" s="535">
        <f t="shared" si="593"/>
        <v>0</v>
      </c>
      <c r="CK266" s="521">
        <f t="shared" si="594"/>
        <v>0</v>
      </c>
      <c r="CL266" s="521">
        <f>IF(AND($O266&gt;0,Sheet1!EN264=1),(1-($O266-Sheet1!$L264)/$O266)*CF266,0)</f>
        <v>0</v>
      </c>
      <c r="CM266" s="521">
        <f>IF(AND(Sheet1!$L264=0,Sheet1!$L263=0, Calculation!CE266&lt;Sheet1!EJ264-0.1,Sheet1!EJ264=Sheet1!EJ263,Sheet1!EJ264=Sheet1!EJ265),CF266-CL266,CF266-CL266)</f>
        <v>4.9746343341031558</v>
      </c>
      <c r="CN266" s="1040" t="str">
        <f t="shared" si="547"/>
        <v/>
      </c>
      <c r="CO266" s="1035">
        <f t="shared" si="548"/>
        <v>0</v>
      </c>
      <c r="CP266" s="535">
        <f t="shared" si="595"/>
        <v>148.68149081365874</v>
      </c>
      <c r="CQ266" s="535"/>
      <c r="CR266" s="535">
        <f ca="1">IF(B266&gt;(Summary!$A$1-1),#N/A,CP266*MGtoAF)</f>
        <v>456.15481381630502</v>
      </c>
      <c r="CS266" s="535">
        <f>Sheet1!BK264+Sheet1!BL264+Sheet1!BM264-Sheet1!ER264-DA266</f>
        <v>8.01</v>
      </c>
      <c r="CT266" s="535">
        <f t="shared" si="596"/>
        <v>7.9853348729792142</v>
      </c>
      <c r="CU266" s="535">
        <f>IF(Sheet1!ER264="FM",DA266,0)</f>
        <v>0</v>
      </c>
      <c r="CV266" s="535">
        <f t="shared" si="597"/>
        <v>0</v>
      </c>
      <c r="CW266" s="535">
        <f>IF(Sheet1!ER264="OTHER",DA266,0)</f>
        <v>0</v>
      </c>
      <c r="CX266" s="535">
        <f t="shared" si="598"/>
        <v>0</v>
      </c>
      <c r="CY266" s="535">
        <f t="shared" si="629"/>
        <v>8.01</v>
      </c>
      <c r="CZ266" s="535">
        <f t="shared" si="630"/>
        <v>7.9853348729792142</v>
      </c>
      <c r="DA266" s="535">
        <f>IF(OR(Sheet1!ER264="FM", Sheet1!ER264="OTHER"),SUM(Sheet1!BK264:'Sheet1'!BM264),0)</f>
        <v>0</v>
      </c>
      <c r="DB266" s="1011">
        <f>IF(AND($B266&gt;=$FV266,$B266&lt;=$FW266),MAX($CT266,Sheet1!EK264,0),MAX($CT266-(7/36)*$K266,0))</f>
        <v>8</v>
      </c>
      <c r="DC266" s="1012">
        <f t="shared" si="601"/>
        <v>0</v>
      </c>
      <c r="DD266" s="1011">
        <f t="shared" si="602"/>
        <v>0</v>
      </c>
      <c r="DE266" s="521">
        <f>IF(AND($O266&gt;0,Sheet1!EO264=1),(1-($O266-Sheet1!$L264)/$O266)*CZ266,0)</f>
        <v>0</v>
      </c>
      <c r="DF266" s="521">
        <f>IF(AND(Sheet1!$L264=0,Sheet1!$L263=0, Calculation!CY266&lt;Sheet1!$EK264-0.1,Sheet1!$EK264=Sheet1!$EK263,Sheet1!$EK264=Sheet1!$EK265),CZ266-DE266,CZ266-DE266)</f>
        <v>7.9853348729792142</v>
      </c>
      <c r="DG266" s="1040">
        <f t="shared" si="549"/>
        <v>0</v>
      </c>
      <c r="DH266" s="649">
        <f t="shared" si="603"/>
        <v>18.759999999999998</v>
      </c>
      <c r="DI266" s="535">
        <f>HJ266+HL266</f>
        <v>144.6756560559507</v>
      </c>
      <c r="DJ266" s="649">
        <f t="shared" si="605"/>
        <v>18.702232486528096</v>
      </c>
      <c r="DK266" s="535">
        <f ca="1">IF(B266&gt;(Summary!$A$1-1),#N/A,DI266*MGtoAF)</f>
        <v>443.86491277965672</v>
      </c>
      <c r="DL266" s="649">
        <f t="shared" si="606"/>
        <v>18.759999999999998</v>
      </c>
      <c r="DM266" s="535">
        <f t="shared" si="607"/>
        <v>51.96</v>
      </c>
      <c r="DN266" s="535">
        <f>Sheet1!AB264-DM266</f>
        <v>-0.16000000000000369</v>
      </c>
      <c r="DO266" s="743">
        <f t="shared" si="608"/>
        <v>-3.0792917628946052E-3</v>
      </c>
      <c r="DP266" s="535">
        <f>(VLOOKUP(Sheet1!DC264,hhdcap_wcm,4)-(((VLOOKUP(Sheet1!DC264,hhdcap_wcm,3)-Sheet1!DC264)/(VLOOKUP(Sheet1!DC264,hhdcap_wcm,3)-VLOOKUP(Sheet1!DC264,hhdcap_wcm,1)))*(VLOOKUP(Sheet1!DC264,hhdcap_wcm,4)-VLOOKUP(Sheet1!DC264,hhdcap_wcm,2))))</f>
        <v>27495.000000071894</v>
      </c>
      <c r="DQ266" s="535">
        <f t="shared" si="609"/>
        <v>-460.00000000058208</v>
      </c>
      <c r="DR266" s="535">
        <f t="shared" si="610"/>
        <v>-231.97175995995059</v>
      </c>
      <c r="DS266" s="535">
        <f>Sheet1!EA264*AFtoMG</f>
        <v>0</v>
      </c>
      <c r="DT266" s="535">
        <f>Sheet1!EB264*AFtoMG</f>
        <v>0</v>
      </c>
      <c r="DU266" s="535">
        <f>Sheet1!EC264*AFtoMG</f>
        <v>0</v>
      </c>
      <c r="DV266" s="535">
        <f>Sheet1!ED264*AFtoMG</f>
        <v>0</v>
      </c>
      <c r="DW266" s="535">
        <f t="shared" si="611"/>
        <v>0</v>
      </c>
      <c r="DX266" s="535">
        <f t="shared" si="612"/>
        <v>0</v>
      </c>
      <c r="DY266" s="535">
        <f t="shared" si="613"/>
        <v>1151.2867027801335</v>
      </c>
      <c r="DZ266" s="535">
        <f t="shared" si="614"/>
        <v>3532.1476041294495</v>
      </c>
      <c r="EA266" s="535"/>
      <c r="EB266" s="521">
        <f>IF(OR(B266&lt;FV266,B266&gt;FW266),(MIN(BF266+BY266+CT266+MAX(Sheet1!AA264+AQ266-73,0),K266)),0)</f>
        <v>0</v>
      </c>
      <c r="EC266" s="535"/>
      <c r="ED266" s="535">
        <f t="shared" si="615"/>
        <v>18.702232486528096</v>
      </c>
      <c r="EE266" s="535"/>
      <c r="EF266" s="535">
        <f>Sheet1!EH264+Sheet1!EI264+Sheet1!EJ264+Sheet1!EK264</f>
        <v>35</v>
      </c>
      <c r="EG266" s="1019">
        <f t="shared" si="550"/>
        <v>54.144999999999996</v>
      </c>
      <c r="EH266" s="521">
        <f t="shared" si="616"/>
        <v>0</v>
      </c>
      <c r="EI266" s="535">
        <f>IF(Sheet1!ET264=1,SUM('Calculations II'!AT266:BA266)+'Calculations II'!BC266+Sheet1!BV264+'Calculations II'!BE266+AP266,'Calculations II'!BK266)</f>
        <v>66.496733513471909</v>
      </c>
      <c r="EJ266" s="535">
        <f ca="1">EI266+'Calculations II'!D266+'Calculations II'!E266+'Calculations II'!O266</f>
        <v>66.839744164058558</v>
      </c>
      <c r="EK266" s="535"/>
      <c r="EL266" s="535"/>
      <c r="EM266" s="535">
        <f t="shared" si="617"/>
        <v>42990</v>
      </c>
      <c r="EN266" s="535">
        <f t="shared" si="618"/>
        <v>-35</v>
      </c>
      <c r="EO266" s="535">
        <f t="shared" si="619"/>
        <v>-54.144999999999996</v>
      </c>
      <c r="EP266" s="535">
        <v>0</v>
      </c>
      <c r="EQ266" s="535">
        <v>0</v>
      </c>
      <c r="ER266" s="535">
        <v>0</v>
      </c>
      <c r="ES266" s="521">
        <f t="shared" si="643"/>
        <v>0</v>
      </c>
      <c r="ET266" s="535">
        <f>-(VLOOKUP(Sheet1!BQ264,Lookup!$O$4:$Q$262,2)-VLOOKUP(Sheet1!BQ263,Lookup!$O$4:$Q$262,2))/1000000</f>
        <v>0</v>
      </c>
      <c r="EU266" s="535">
        <f>-(VLOOKUP(Sheet1!BR264,Lookup!$O$4:$Q$262,3)-VLOOKUP(Sheet1!BR263,Lookup!$O$4:$Q$262,3))/1000000</f>
        <v>0</v>
      </c>
      <c r="EV266" s="535"/>
      <c r="EW266" s="535"/>
      <c r="EX266" s="535"/>
      <c r="EY266" s="535"/>
      <c r="EZ266" s="535"/>
      <c r="FA266" s="535"/>
      <c r="FB266" s="535"/>
      <c r="FC266" s="535"/>
      <c r="FD266" s="567">
        <f t="shared" si="632"/>
        <v>1124.3519999999342</v>
      </c>
      <c r="FE266" s="567" t="e">
        <f t="shared" si="620"/>
        <v>#N/A</v>
      </c>
      <c r="FF266" s="568" t="e">
        <f t="shared" si="621"/>
        <v>#N/A</v>
      </c>
      <c r="FG266" s="569" t="s">
        <v>656</v>
      </c>
      <c r="FH266" s="569" t="s">
        <v>656</v>
      </c>
      <c r="FI266" s="567" t="e">
        <v>#N/A</v>
      </c>
      <c r="FJ266" s="725">
        <v>13316</v>
      </c>
      <c r="FK266" s="535"/>
      <c r="FL266" s="1015">
        <f t="shared" si="631"/>
        <v>108.92586989409985</v>
      </c>
      <c r="FM266" s="535"/>
      <c r="FN266" s="535"/>
      <c r="FO266" s="535">
        <f>O266+((Sheet1!CS264)*GPMtoMGD)</f>
        <v>84.472191999999993</v>
      </c>
      <c r="FP266" s="535">
        <f>IF(Sheet1!AA264+AQ266&lt;=Calculation!N266,AQ266,Calculation!N266-Sheet1!AA264)</f>
        <v>30.958139449125703</v>
      </c>
      <c r="FQ266" s="535">
        <f>(Sheet1!BP264+Sheet1!BO264)/694.4</f>
        <v>3.2060771889400925</v>
      </c>
      <c r="FR266" s="541"/>
      <c r="FS266" s="541"/>
      <c r="FT266" s="541"/>
      <c r="FU266" s="541"/>
      <c r="FV266" s="1109">
        <f t="shared" si="644"/>
        <v>42918</v>
      </c>
      <c r="FW266" s="1109">
        <f t="shared" si="645"/>
        <v>43027</v>
      </c>
      <c r="FX266" s="541"/>
      <c r="FY266" s="541">
        <f>Sheet1!DA264-Sheet1!CZ264-Sheet1!AE264</f>
        <v>-101.06939999999997</v>
      </c>
      <c r="FZ266" s="535">
        <f t="shared" si="551"/>
        <v>-1.1226410730126331</v>
      </c>
      <c r="GA266" s="535"/>
      <c r="GB266" s="535" t="str">
        <f t="shared" si="646"/>
        <v>n</v>
      </c>
      <c r="GC266" s="539">
        <f t="shared" si="647"/>
        <v>42782</v>
      </c>
      <c r="GD266" s="1109">
        <f t="shared" si="648"/>
        <v>42904</v>
      </c>
      <c r="GE266" s="535">
        <f t="shared" si="537"/>
        <v>6520</v>
      </c>
      <c r="GF266" s="1109">
        <f t="shared" si="649"/>
        <v>42909</v>
      </c>
      <c r="GG266" s="535">
        <f t="shared" si="564"/>
        <v>3260</v>
      </c>
      <c r="GH266" s="539">
        <f t="shared" si="650"/>
        <v>43040</v>
      </c>
      <c r="GJ266" s="521">
        <f t="shared" si="651"/>
        <v>0</v>
      </c>
      <c r="GK266" s="535" t="str">
        <f t="shared" si="622"/>
        <v/>
      </c>
      <c r="GL266" s="535">
        <f t="shared" si="652"/>
        <v>0</v>
      </c>
      <c r="GM266" s="535" t="str">
        <f t="shared" si="653"/>
        <v/>
      </c>
      <c r="GN266" s="535">
        <f>IF(GK266="P",Lookup!$M$12,IF(GK266="PP",Lookup!$M$13,IF(GK266="PPP",Lookup!$M$14,IF(GK266="T",Lookup!$M$15,IF(GK266="TP",Lookup!$M$16,IF(GK266="TPP",Lookup!$M$17,IF(GK266="TPPP",Lookup!$M$18,0)))))))*GJ266</f>
        <v>0</v>
      </c>
      <c r="GO266" s="535">
        <f t="shared" si="654"/>
        <v>0</v>
      </c>
      <c r="GP266" s="535">
        <f t="shared" si="623"/>
        <v>1735.6749500972353</v>
      </c>
      <c r="GQ266" s="974">
        <f t="shared" si="567"/>
        <v>565.73499025333615</v>
      </c>
      <c r="GR266" s="535"/>
      <c r="GS266" s="535">
        <f t="shared" si="655"/>
        <v>0</v>
      </c>
      <c r="GT266" s="535" t="str">
        <f t="shared" si="656"/>
        <v/>
      </c>
      <c r="GU266" s="535">
        <f>IF(GK266="P",Lookup!$N$12,IF(GK266="PP",Lookup!$N$13,IF(GK266="PPP",Lookup!$N$14,IF(GK266="T",Lookup!$N$15,IF(GK266="TP",Lookup!$N$16,IF(GK266="TPP",Lookup!$N$17,IF(GK266="TPPP",Lookup!$N$18,0)))))))*GJ266</f>
        <v>0</v>
      </c>
      <c r="GV266" s="535">
        <f t="shared" si="657"/>
        <v>0</v>
      </c>
      <c r="GW266" s="535">
        <f t="shared" si="624"/>
        <v>896.45292743625271</v>
      </c>
      <c r="GX266" s="974">
        <f t="shared" si="568"/>
        <v>292.19456565718798</v>
      </c>
      <c r="GY266" s="535"/>
      <c r="GZ266" s="535">
        <f t="shared" si="658"/>
        <v>0</v>
      </c>
      <c r="HA266" s="535" t="str">
        <f t="shared" si="659"/>
        <v/>
      </c>
      <c r="HB266" s="535">
        <f>IF(GK266="P",Lookup!$N$12,IF(GK266="PP",Lookup!$N$13,IF(GK266="PPP",Lookup!$N$14,IF(GK266="T",Lookup!$N$15,IF(GK266="TP",Lookup!$N$16,IF(GK266="TPP",Lookup!$N$17,IF(GK266="TPPP",Lookup!$N$18,0)))))))*GJ266</f>
        <v>0</v>
      </c>
      <c r="HC266" s="521">
        <f t="shared" si="625"/>
        <v>0</v>
      </c>
      <c r="HD266" s="535">
        <f t="shared" si="626"/>
        <v>456.15481381630502</v>
      </c>
      <c r="HE266" s="535">
        <f t="shared" ref="HE266:HE329" si="662">(IF(AND(GB266="Y",B266=GD266),1267.5,IF(AND(B266&lt;GF266,B266&gt;=GC266),MIN(CP265+CJ266-CI266,7/36*GE266),IF(B266=GF266,7/36*GG266,IF(AND(B266&gt;GF266,B266&lt;GH266),MIN(CP265+CJ266-CI266,7/36*GG266),IF(B266&gt;=GH266,0,0))))))+DU266</f>
        <v>148.68149081365874</v>
      </c>
      <c r="HF266" s="535"/>
      <c r="HG266" s="535">
        <f t="shared" si="660"/>
        <v>0</v>
      </c>
      <c r="HH266" s="535" t="str">
        <f t="shared" si="661"/>
        <v/>
      </c>
      <c r="HI266" s="535">
        <f>IF(GK266="P",Lookup!$N$12,IF(GK266="PP",Lookup!$N$13,IF(GK266="PPP",Lookup!$N$14,IF(GK266="T",Lookup!$N$15,IF(GK266="TP",Lookup!$N$16,IF(GK266="TPP",Lookup!$N$17,IF(GK266="TPPP",Lookup!$N$18,0)))))))*GJ266</f>
        <v>0</v>
      </c>
      <c r="HJ266" s="521">
        <f t="shared" si="627"/>
        <v>0</v>
      </c>
      <c r="HK266" s="535">
        <f t="shared" si="628"/>
        <v>443.86491277965672</v>
      </c>
      <c r="HL266" s="535">
        <f t="shared" ref="HL266:HL329" si="663">(IF(AND(GB266="Y",B266=GD266),1267.5,(IF(AND(B266&lt;GF266,B266&gt;=GC266),MIN(DI265+DC266-DB266,7/36*GE266),IF(B266=GF266,7/36*GG266,IF(AND(B266&gt;GF266,B266&lt;GH266),MIN(DI265+DC266-DB266,7/36*GG266),IF(B266&gt;=GH266,0,0)))))))+DV266</f>
        <v>144.6756560559507</v>
      </c>
      <c r="HM266" s="535"/>
      <c r="HN266" s="541"/>
      <c r="HO266" s="541"/>
      <c r="HP266" s="541"/>
      <c r="HQ266" s="541">
        <f>IF(AND(B266&gt;=$FV$4,B266&lt;=$FW$4),MAX(110/1.02+$HQ$6+MIN(113/1.02,G266),IF($HV$6-(Sheet1!DA264-Sheet1!DB264)+MIN(113/1.02,G266)&lt;G266+FL266,$HV$6-(Sheet1!DA264-Sheet1!DB264)+MIN(113/1.02,G266),G266+FL266)),MIN(110/1.02+$HQ$6+113/1.02,G266))</f>
        <v>198.95410993414924</v>
      </c>
      <c r="HR266" s="541">
        <f t="shared" si="552"/>
        <v>202.93319213283223</v>
      </c>
      <c r="HS266" s="541">
        <f>HR266+(Sheet1!DA264-Sheet1!DB264)</f>
        <v>355.93319213283223</v>
      </c>
      <c r="HT266" s="541">
        <f t="shared" si="553"/>
        <v>70.385046343341017</v>
      </c>
      <c r="HU266" s="541">
        <f t="shared" si="554"/>
        <v>285.54814578949123</v>
      </c>
      <c r="HV266" s="541">
        <f t="shared" si="555"/>
        <v>0</v>
      </c>
      <c r="HW266" s="533" t="str">
        <f t="shared" si="556"/>
        <v/>
      </c>
      <c r="HX266" s="541">
        <f t="shared" si="557"/>
        <v>68.900890065850774</v>
      </c>
      <c r="HY266" s="541">
        <f>Sheet1!CZ264</f>
        <v>322</v>
      </c>
      <c r="HZ266" s="541">
        <f t="shared" si="558"/>
        <v>54.144999999999996</v>
      </c>
      <c r="IA266" s="541">
        <f t="shared" si="559"/>
        <v>70.385046343341017</v>
      </c>
      <c r="IB266" s="541">
        <f t="shared" si="560"/>
        <v>267.85500000000002</v>
      </c>
      <c r="IC266" s="1019" t="str">
        <f t="shared" si="561"/>
        <v/>
      </c>
      <c r="ID266" s="541">
        <f t="shared" si="562"/>
        <v>197.46995365665902</v>
      </c>
      <c r="IE266" s="541">
        <f>Sheet1!DB264</f>
        <v>192</v>
      </c>
      <c r="IF266" s="533">
        <f>Sheet1!DA264</f>
        <v>345</v>
      </c>
      <c r="IH266" s="541">
        <f>IF(AND($B266&gt;=$GC266,$B266&lt;=$GH266,$DR266&lt;0)+N("only adjusted when pool is drawn down during storage season"),Sheet1!$DB264+$DR266+N("Palmer minus all storage release"),Sheet1!$DB264)</f>
        <v>-39.971759959950589</v>
      </c>
      <c r="II266" s="541">
        <f>IF(AND($B266&gt;=$GC266,$B266&lt;=$GH266,$DR266&lt;0)+N("only adjusted when pool is drawn down during storage season"),Sheet1!$DA264+$DR266+N("Auburn minus all storage release"),Sheet1!$DA264)</f>
        <v>113.02824004004941</v>
      </c>
    </row>
    <row r="267" spans="1:243" x14ac:dyDescent="0.25">
      <c r="A267" s="553" t="s">
        <v>6</v>
      </c>
      <c r="B267" s="531">
        <v>42991</v>
      </c>
      <c r="C267" s="536">
        <v>0</v>
      </c>
      <c r="D267" s="506">
        <f t="shared" si="633"/>
        <v>200</v>
      </c>
      <c r="E267" s="506">
        <f t="shared" si="634"/>
        <v>400</v>
      </c>
      <c r="F267" s="506">
        <v>250</v>
      </c>
      <c r="G267" s="535">
        <f>DR267+Sheet1!CZ265</f>
        <v>93.759959656042099</v>
      </c>
      <c r="H267" s="1074">
        <f t="shared" si="563"/>
        <v>0</v>
      </c>
      <c r="I267" s="534">
        <f>IF(Sheet1!DA265&gt;=E267,(Sheet1!DA265-E267+P267)*CFStoMGD,0)</f>
        <v>0</v>
      </c>
      <c r="J267" s="995">
        <f>IF(Sheet1!DB265&gt;=D267,(Sheet1!DB265-D267+P267)*CFStoMGD,0)</f>
        <v>0</v>
      </c>
      <c r="K267" s="818">
        <f t="shared" si="538"/>
        <v>0</v>
      </c>
      <c r="L267" s="535">
        <f>Sheet1!AA265+Sheet1!AB265-Sheet1!L265+(Sheet1!DA265-F267)*CFStoMGD-S267-T267-U267</f>
        <v>103.89520925747347</v>
      </c>
      <c r="M267" s="535">
        <f t="shared" si="569"/>
        <v>61.818566680098925</v>
      </c>
      <c r="N267" s="824">
        <f>IF(Sheet1!DA265&gt;=F267,MIN(113*CFStoMGD,MIN(MAX(L267,0),MAX(M267,0))),0)</f>
        <v>61.818566680098925</v>
      </c>
      <c r="O267" s="538">
        <f>Sheet1!AA265+Sheet1!AB265</f>
        <v>80.38</v>
      </c>
      <c r="P267" s="538">
        <f t="shared" si="570"/>
        <v>124.34786</v>
      </c>
      <c r="Q267" s="812">
        <f t="shared" si="539"/>
        <v>45.71920925747348</v>
      </c>
      <c r="R267" s="812">
        <f t="shared" si="635"/>
        <v>35</v>
      </c>
      <c r="S267" s="812">
        <f t="shared" si="636"/>
        <v>0</v>
      </c>
      <c r="T267" s="812">
        <f t="shared" si="637"/>
        <v>0</v>
      </c>
      <c r="U267" s="812">
        <f>IF(AND(B267&gt;=FV267,B267&lt;=FW267),ED267+Sheet1!EH265,0)</f>
        <v>34.660790742526515</v>
      </c>
      <c r="V267" s="812"/>
      <c r="W267" s="812">
        <f t="shared" si="638"/>
        <v>0</v>
      </c>
      <c r="X267" s="812">
        <f t="shared" si="639"/>
        <v>0</v>
      </c>
      <c r="Y267" s="812" t="str">
        <f t="shared" si="640"/>
        <v>FALSE</v>
      </c>
      <c r="Z267" s="812">
        <f t="shared" si="641"/>
        <v>80.38</v>
      </c>
      <c r="AA267" s="812">
        <f t="shared" si="642"/>
        <v>80.38</v>
      </c>
      <c r="AB267" s="1059">
        <f t="shared" si="540"/>
        <v>70.727616721311477</v>
      </c>
      <c r="AC267" s="538">
        <f>Sheet1!Y265*MGDtoCFS</f>
        <v>43.934799999999996</v>
      </c>
      <c r="AD267" s="538">
        <f>Sheet1!Z265*MGDtoCFS</f>
        <v>80.134599999999992</v>
      </c>
      <c r="AE267" s="538">
        <f>Sheet1!AA265*MGDtoCFS</f>
        <v>44.089500000000001</v>
      </c>
      <c r="AF267" s="538">
        <f>Sheet1!AB265*MGDtoCFS</f>
        <v>80.258359999999996</v>
      </c>
      <c r="AG267" s="538">
        <f>Sheet1!L265*MGDtoCFS</f>
        <v>0</v>
      </c>
      <c r="AH267" s="521">
        <f t="shared" si="571"/>
        <v>35</v>
      </c>
      <c r="AI267" s="1059">
        <f t="shared" si="572"/>
        <v>54.144999999999996</v>
      </c>
      <c r="AJ267" s="535">
        <f t="shared" si="573"/>
        <v>0</v>
      </c>
      <c r="AK267" s="535">
        <f t="shared" si="574"/>
        <v>0</v>
      </c>
      <c r="AL267" s="535">
        <f>(VLOOKUP(Sheet1!DC265,hhdcap_wcm,4)-(((VLOOKUP(Sheet1!DC265,hhdcap_wcm,3)-Sheet1!DC265)/(VLOOKUP(Sheet1!DC265,hhdcap_wcm,3)-VLOOKUP(Sheet1!DC265,hhdcap_wcm,1)))*(VLOOKUP(Sheet1!DC265,hhdcap_wcm,4)-VLOOKUP(Sheet1!DC265,hhdcap_wcm,2))))</f>
        <v>27042.400000069825</v>
      </c>
      <c r="AM267" s="535">
        <f t="shared" si="575"/>
        <v>-452.60000000206855</v>
      </c>
      <c r="AN267" s="1035">
        <f t="shared" si="576"/>
        <v>1116.2867027801335</v>
      </c>
      <c r="AO267" s="535">
        <f t="shared" si="577"/>
        <v>3424.7676041294499</v>
      </c>
      <c r="AP267" s="535">
        <f>Sheet1!BA265+Sheet1!BB265+Sheet1!BN265+CD267</f>
        <v>33.200000000000003</v>
      </c>
      <c r="AQ267" s="535">
        <f>Sheet1!BN265+(DO267*Sheet1!BN265)</f>
        <v>33.219209257473487</v>
      </c>
      <c r="AR267" s="535">
        <f>Sheet1!BA265+CD267</f>
        <v>0</v>
      </c>
      <c r="AS267" s="535">
        <f>Sheet1!BA265+Sheet1!BB265+CD267</f>
        <v>0</v>
      </c>
      <c r="AT267" s="649">
        <f>0</f>
        <v>0</v>
      </c>
      <c r="AU267" s="974">
        <f>BA267+MAX(Sheet1!EH265,(O267-Q267-ED267-S267))</f>
        <v>16</v>
      </c>
      <c r="AV267" s="535">
        <f>IF(OR(B267&gt;=GD267,B267&lt;GC267),0,15/36*K267-MAX(0,64.6-(137.6-(Sheet1!AA265+Sheet1!AB265))))</f>
        <v>0</v>
      </c>
      <c r="AW267" s="1029"/>
      <c r="AX267" s="649"/>
      <c r="AY267" s="649">
        <f t="shared" si="541"/>
        <v>23.311716569431731</v>
      </c>
      <c r="AZ267" s="649">
        <f t="shared" si="542"/>
        <v>0</v>
      </c>
      <c r="BA267" s="1059">
        <f t="shared" si="543"/>
        <v>0</v>
      </c>
      <c r="BB267" s="1019">
        <f>GO267+GQ267</f>
        <v>549.73499025333615</v>
      </c>
      <c r="BC267" s="1041">
        <f t="shared" si="544"/>
        <v>0</v>
      </c>
      <c r="BD267" s="1019">
        <f ca="1">IF(B267&gt;(Summary!$A$1-1),#N/A,BB267*MGtoAF)</f>
        <v>1686.5869500972353</v>
      </c>
      <c r="BE267" s="535">
        <f>Sheet1!BG265+Sheet1!BH265+Sheet1!BI265-BM267</f>
        <v>5.6899999999999995</v>
      </c>
      <c r="BF267" s="535">
        <f t="shared" si="579"/>
        <v>5.6932921890067503</v>
      </c>
      <c r="BG267" s="535">
        <f>IF(Sheet1!EP265="FM",BM267,0)</f>
        <v>0</v>
      </c>
      <c r="BH267" s="535">
        <f t="shared" si="580"/>
        <v>0</v>
      </c>
      <c r="BI267" s="535">
        <f>IF(Sheet1!EP265="OTHER",BM267,0)</f>
        <v>0</v>
      </c>
      <c r="BJ267" s="535">
        <f t="shared" si="581"/>
        <v>0</v>
      </c>
      <c r="BK267" s="535">
        <f t="shared" si="582"/>
        <v>5.6899999999999995</v>
      </c>
      <c r="BL267" s="535">
        <f t="shared" si="583"/>
        <v>5.6932921890067503</v>
      </c>
      <c r="BM267" s="535">
        <f>IF(OR(Sheet1!EP265="FM", Sheet1!EP265="OTHER"),SUM(Sheet1!BG265:'Sheet1'!BI265),0)</f>
        <v>0</v>
      </c>
      <c r="BN267" s="521">
        <f>IF(AND($B267&gt;=$FV267,$B267&lt;=$FW267),MAX(BF267,Sheet1!EI265,0),MAX(BF267-(7/36)*$K267,0))</f>
        <v>6</v>
      </c>
      <c r="BO267" s="535">
        <f t="shared" si="584"/>
        <v>0</v>
      </c>
      <c r="BP267" s="521">
        <f t="shared" si="585"/>
        <v>0</v>
      </c>
      <c r="BQ267" s="521">
        <f>IF(AND($O267&gt;0,Sheet1!EM265=1),(1-($O267-Sheet1!$L265)/$O267)*BL267,0)</f>
        <v>0</v>
      </c>
      <c r="BR267" s="521">
        <f>IF(AND(Sheet1!$L265=0,Sheet1!$L264=0, Calculation!BK267&lt;Sheet1!$EI265-0.1,Sheet1!$EI265=Sheet1!$EI264,Sheet1!$EI265=Sheet1!$EI266),BL267-BQ267,BL267-BQ267)</f>
        <v>5.6932921890067503</v>
      </c>
      <c r="BS267" s="1035" t="str">
        <f t="shared" si="545"/>
        <v/>
      </c>
      <c r="BT267" s="1035">
        <f t="shared" si="546"/>
        <v>0</v>
      </c>
      <c r="BU267" s="535">
        <f t="shared" si="586"/>
        <v>286.19456565718798</v>
      </c>
      <c r="BV267" s="535"/>
      <c r="BW267" s="535">
        <f ca="1">IF(B267&gt;(Summary!$A$1-1),#N/A,BU267*MGtoAF)</f>
        <v>878.04492743625269</v>
      </c>
      <c r="BX267" s="535">
        <f>Sheet1!BC265+Sheet1!BD265+Sheet1!BE265+Sheet1!BF265-CG267-CH267</f>
        <v>4.99</v>
      </c>
      <c r="BY267" s="535">
        <f t="shared" si="587"/>
        <v>4.9928871745419485</v>
      </c>
      <c r="BZ267" s="535">
        <f>IF(Sheet1!EQ265="FM",CH267,0)</f>
        <v>0</v>
      </c>
      <c r="CA267" s="535">
        <f t="shared" si="588"/>
        <v>0</v>
      </c>
      <c r="CB267" s="535">
        <f>IF(Sheet1!EQ265="OTHER",CH267,0)</f>
        <v>0</v>
      </c>
      <c r="CC267" s="535">
        <f t="shared" si="589"/>
        <v>0</v>
      </c>
      <c r="CD267" s="535">
        <f t="shared" si="590"/>
        <v>0</v>
      </c>
      <c r="CE267" s="535">
        <f t="shared" si="591"/>
        <v>4.99</v>
      </c>
      <c r="CF267" s="535">
        <f t="shared" si="592"/>
        <v>4.9928871745419485</v>
      </c>
      <c r="CG267" s="535">
        <f>IF(Sheet1!EQ265="CWA",SUM(Sheet1!BC265:'Sheet1'!BF265),0)</f>
        <v>0</v>
      </c>
      <c r="CH267" s="535">
        <f>IF(OR(Sheet1!EQ265="FM", Sheet1!EQ265="OTHER"),SUM(Sheet1!BC265:'Sheet1'!BF265),0)</f>
        <v>0</v>
      </c>
      <c r="CI267" s="521">
        <f>IF(AND($B267&gt;=$FV267,$B267&lt;=$FW267),MAX(CF267,Sheet1!EJ265,0),MAX(CF267-(7/36)*$K267,0))</f>
        <v>5</v>
      </c>
      <c r="CJ267" s="535">
        <f t="shared" si="593"/>
        <v>0</v>
      </c>
      <c r="CK267" s="521">
        <f t="shared" si="594"/>
        <v>0</v>
      </c>
      <c r="CL267" s="521">
        <f>IF(AND($O267&gt;0,Sheet1!EN265=1),(1-($O267-Sheet1!$L265)/$O267)*CF267,0)</f>
        <v>0</v>
      </c>
      <c r="CM267" s="521">
        <f>IF(AND(Sheet1!$L265=0,Sheet1!$L264=0, Calculation!CE267&lt;Sheet1!EJ265-0.1,Sheet1!EJ265=Sheet1!EJ264,Sheet1!EJ265=Sheet1!EJ266),CF267-CL267,CF267-CL267)</f>
        <v>4.9928871745419485</v>
      </c>
      <c r="CN267" s="1040" t="str">
        <f t="shared" si="547"/>
        <v/>
      </c>
      <c r="CO267" s="1035">
        <f t="shared" si="548"/>
        <v>0</v>
      </c>
      <c r="CP267" s="535">
        <f t="shared" si="595"/>
        <v>143.68149081365874</v>
      </c>
      <c r="CQ267" s="535"/>
      <c r="CR267" s="535">
        <f ca="1">IF(B267&gt;(Summary!$A$1-1),#N/A,CP267*MGtoAF)</f>
        <v>440.81481381630505</v>
      </c>
      <c r="CS267" s="535">
        <f>Sheet1!BK265+Sheet1!BL265+Sheet1!BM265-Sheet1!ER265-DA267</f>
        <v>7.97</v>
      </c>
      <c r="CT267" s="535">
        <f t="shared" si="596"/>
        <v>7.9746113789778201</v>
      </c>
      <c r="CU267" s="535">
        <f>IF(Sheet1!ER265="FM",DA267,0)</f>
        <v>0</v>
      </c>
      <c r="CV267" s="535">
        <f t="shared" si="597"/>
        <v>0</v>
      </c>
      <c r="CW267" s="535">
        <f>IF(Sheet1!ER265="OTHER",DA267,0)</f>
        <v>0</v>
      </c>
      <c r="CX267" s="535">
        <f t="shared" si="598"/>
        <v>0</v>
      </c>
      <c r="CY267" s="535">
        <f t="shared" si="629"/>
        <v>7.97</v>
      </c>
      <c r="CZ267" s="535">
        <f t="shared" si="630"/>
        <v>7.9746113789778201</v>
      </c>
      <c r="DA267" s="535">
        <f>IF(OR(Sheet1!ER265="FM", Sheet1!ER265="OTHER"),SUM(Sheet1!BK265:'Sheet1'!BM265),0)</f>
        <v>0</v>
      </c>
      <c r="DB267" s="1011">
        <f>IF(AND($B267&gt;=$FV267,$B267&lt;=$FW267),MAX($CT267,Sheet1!EK265,0),MAX($CT267-(7/36)*$K267,0))</f>
        <v>8</v>
      </c>
      <c r="DC267" s="1012">
        <f t="shared" si="601"/>
        <v>0</v>
      </c>
      <c r="DD267" s="1011">
        <f t="shared" si="602"/>
        <v>0</v>
      </c>
      <c r="DE267" s="521">
        <f>IF(AND($O267&gt;0,Sheet1!EO265=1),(1-($O267-Sheet1!$L265)/$O267)*CZ267,0)</f>
        <v>0</v>
      </c>
      <c r="DF267" s="521">
        <f>IF(AND(Sheet1!$L265=0,Sheet1!$L264=0, Calculation!CY267&lt;Sheet1!$EK265-0.1,Sheet1!$EK265=Sheet1!$EK264,Sheet1!$EK265=Sheet1!$EK266),CZ267-DE267,CZ267-DE267)</f>
        <v>7.9746113789778201</v>
      </c>
      <c r="DG267" s="1040">
        <f t="shared" si="549"/>
        <v>0</v>
      </c>
      <c r="DH267" s="649">
        <f t="shared" si="603"/>
        <v>18.649999999999999</v>
      </c>
      <c r="DI267" s="535">
        <f t="shared" si="604"/>
        <v>136.6756560559507</v>
      </c>
      <c r="DJ267" s="649">
        <f t="shared" si="605"/>
        <v>18.660790742526519</v>
      </c>
      <c r="DK267" s="535">
        <f ca="1">IF(B267&gt;(Summary!$A$1-1),#N/A,DI267*MGtoAF)</f>
        <v>419.32091277965674</v>
      </c>
      <c r="DL267" s="649">
        <f t="shared" si="606"/>
        <v>18.649999999999999</v>
      </c>
      <c r="DM267" s="535">
        <f t="shared" si="607"/>
        <v>51.85</v>
      </c>
      <c r="DN267" s="535">
        <f>Sheet1!AB265-DM267</f>
        <v>3.0000000000001137E-2</v>
      </c>
      <c r="DO267" s="743">
        <f t="shared" si="608"/>
        <v>5.7859209257475673E-4</v>
      </c>
      <c r="DP267" s="535">
        <f>(VLOOKUP(Sheet1!DC265,hhdcap_wcm,4)-(((VLOOKUP(Sheet1!DC265,hhdcap_wcm,3)-Sheet1!DC265)/(VLOOKUP(Sheet1!DC265,hhdcap_wcm,3)-VLOOKUP(Sheet1!DC265,hhdcap_wcm,1)))*(VLOOKUP(Sheet1!DC265,hhdcap_wcm,4)-VLOOKUP(Sheet1!DC265,hhdcap_wcm,2))))</f>
        <v>27042.400000069825</v>
      </c>
      <c r="DQ267" s="535">
        <f t="shared" si="609"/>
        <v>-452.60000000206855</v>
      </c>
      <c r="DR267" s="535">
        <f t="shared" si="610"/>
        <v>-228.2400403439579</v>
      </c>
      <c r="DS267" s="535">
        <f>Sheet1!EA265*AFtoMG</f>
        <v>0</v>
      </c>
      <c r="DT267" s="535">
        <f>Sheet1!EB265*AFtoMG</f>
        <v>0</v>
      </c>
      <c r="DU267" s="535">
        <f>Sheet1!EC265*AFtoMG</f>
        <v>0</v>
      </c>
      <c r="DV267" s="535">
        <f>Sheet1!ED265*AFtoMG</f>
        <v>0</v>
      </c>
      <c r="DW267" s="535">
        <f t="shared" si="611"/>
        <v>0</v>
      </c>
      <c r="DX267" s="535">
        <f t="shared" si="612"/>
        <v>0</v>
      </c>
      <c r="DY267" s="535">
        <f t="shared" si="613"/>
        <v>1116.2867027801335</v>
      </c>
      <c r="DZ267" s="535">
        <f t="shared" si="614"/>
        <v>3424.7676041294499</v>
      </c>
      <c r="EA267" s="535"/>
      <c r="EB267" s="521">
        <f>IF(OR(B267&lt;FV267,B267&gt;FW267),(MIN(BF267+BY267+CT267+MAX(Sheet1!AA265+AQ267-73,0),K267)),0)</f>
        <v>0</v>
      </c>
      <c r="EC267" s="535"/>
      <c r="ED267" s="535">
        <f t="shared" si="615"/>
        <v>18.660790742526519</v>
      </c>
      <c r="EE267" s="535"/>
      <c r="EF267" s="535">
        <f>Sheet1!EH265+Sheet1!EI265+Sheet1!EJ265+Sheet1!EK265</f>
        <v>35</v>
      </c>
      <c r="EG267" s="1019">
        <f t="shared" si="550"/>
        <v>54.144999999999996</v>
      </c>
      <c r="EH267" s="521">
        <f t="shared" si="616"/>
        <v>0</v>
      </c>
      <c r="EI267" s="535">
        <f>IF(Sheet1!ET265=1,SUM('Calculations II'!AT267:BA267)+'Calculations II'!BC267+Sheet1!BV265+'Calculations II'!BE267+AP267,'Calculations II'!BK267)</f>
        <v>66.501813257473486</v>
      </c>
      <c r="EJ267" s="535">
        <f ca="1">EI267+'Calculations II'!D267+'Calculations II'!E267+'Calculations II'!O267</f>
        <v>66.449469302012062</v>
      </c>
      <c r="EK267" s="535"/>
      <c r="EL267" s="535"/>
      <c r="EM267" s="535">
        <f t="shared" si="617"/>
        <v>42991</v>
      </c>
      <c r="EN267" s="535">
        <f t="shared" si="618"/>
        <v>-35</v>
      </c>
      <c r="EO267" s="535">
        <f t="shared" si="619"/>
        <v>-54.144999999999996</v>
      </c>
      <c r="EP267" s="535">
        <v>0</v>
      </c>
      <c r="EQ267" s="535">
        <v>0</v>
      </c>
      <c r="ER267" s="535">
        <v>0</v>
      </c>
      <c r="ES267" s="521">
        <f t="shared" si="643"/>
        <v>-0.1386386157348454</v>
      </c>
      <c r="ET267" s="535">
        <f>-(VLOOKUP(Sheet1!BQ265,Lookup!$O$4:$Q$262,2)-VLOOKUP(Sheet1!BQ264,Lookup!$O$4:$Q$262,2))/1000000</f>
        <v>0</v>
      </c>
      <c r="EU267" s="535">
        <f>-(VLOOKUP(Sheet1!BR265,Lookup!$O$4:$Q$262,3)-VLOOKUP(Sheet1!BR264,Lookup!$O$4:$Q$262,3))/1000000</f>
        <v>-0.1386386157348454</v>
      </c>
      <c r="EV267" s="535"/>
      <c r="EW267" s="535"/>
      <c r="EX267" s="535"/>
      <c r="EY267" s="535"/>
      <c r="EZ267" s="535"/>
      <c r="FA267" s="535"/>
      <c r="FB267" s="535"/>
      <c r="FC267" s="535"/>
      <c r="FD267" s="567">
        <f t="shared" si="632"/>
        <v>1123.9183673468733</v>
      </c>
      <c r="FE267" s="567" t="e">
        <f t="shared" si="620"/>
        <v>#N/A</v>
      </c>
      <c r="FF267" s="568" t="e">
        <f t="shared" si="621"/>
        <v>#N/A</v>
      </c>
      <c r="FG267" s="569" t="s">
        <v>656</v>
      </c>
      <c r="FH267" s="569" t="s">
        <v>656</v>
      </c>
      <c r="FI267" s="567" t="e">
        <v>#N/A</v>
      </c>
      <c r="FJ267" s="725">
        <v>13100</v>
      </c>
      <c r="FK267" s="535"/>
      <c r="FL267" s="1015">
        <f t="shared" si="631"/>
        <v>109.43015632879475</v>
      </c>
      <c r="FM267" s="535"/>
      <c r="FN267" s="535"/>
      <c r="FO267" s="535">
        <f>O267+((Sheet1!CS265)*GPMtoMGD)</f>
        <v>84.645712000000003</v>
      </c>
      <c r="FP267" s="535">
        <f>IF(Sheet1!AA265+AQ267&lt;=Calculation!N267,AQ267,Calculation!N267-Sheet1!AA265)</f>
        <v>33.219209257473487</v>
      </c>
      <c r="FQ267" s="535">
        <f>(Sheet1!BP265+Sheet1!BO265)/694.4</f>
        <v>3.2103974654377883</v>
      </c>
      <c r="FR267" s="541"/>
      <c r="FS267" s="541"/>
      <c r="FT267" s="541"/>
      <c r="FU267" s="541"/>
      <c r="FV267" s="1109">
        <f t="shared" si="644"/>
        <v>42918</v>
      </c>
      <c r="FW267" s="1109">
        <f t="shared" si="645"/>
        <v>43027</v>
      </c>
      <c r="FX267" s="541"/>
      <c r="FY267" s="541">
        <f>Sheet1!DA265-Sheet1!CZ265-Sheet1!AE265</f>
        <v>-106.34785999999998</v>
      </c>
      <c r="FZ267" s="535">
        <f t="shared" si="551"/>
        <v>-1.1342566740657369</v>
      </c>
      <c r="GA267" s="535"/>
      <c r="GB267" s="535" t="str">
        <f t="shared" si="646"/>
        <v>n</v>
      </c>
      <c r="GC267" s="539">
        <f t="shared" si="647"/>
        <v>42782</v>
      </c>
      <c r="GD267" s="1109">
        <f t="shared" si="648"/>
        <v>42904</v>
      </c>
      <c r="GE267" s="535">
        <f t="shared" si="537"/>
        <v>6520</v>
      </c>
      <c r="GF267" s="1109">
        <f t="shared" si="649"/>
        <v>42909</v>
      </c>
      <c r="GG267" s="535">
        <f t="shared" si="564"/>
        <v>3260</v>
      </c>
      <c r="GH267" s="539">
        <f t="shared" si="650"/>
        <v>43040</v>
      </c>
      <c r="GJ267" s="521">
        <f t="shared" si="651"/>
        <v>0</v>
      </c>
      <c r="GK267" s="535" t="str">
        <f t="shared" si="622"/>
        <v/>
      </c>
      <c r="GL267" s="535">
        <f t="shared" si="652"/>
        <v>0</v>
      </c>
      <c r="GM267" s="535" t="str">
        <f t="shared" si="653"/>
        <v/>
      </c>
      <c r="GN267" s="535">
        <f>IF(GK267="P",Lookup!$M$12,IF(GK267="PP",Lookup!$M$13,IF(GK267="PPP",Lookup!$M$14,IF(GK267="T",Lookup!$M$15,IF(GK267="TP",Lookup!$M$16,IF(GK267="TPP",Lookup!$M$17,IF(GK267="TPPP",Lookup!$M$18,0)))))))*GJ267</f>
        <v>0</v>
      </c>
      <c r="GO267" s="535">
        <f t="shared" si="654"/>
        <v>0</v>
      </c>
      <c r="GP267" s="535">
        <f t="shared" si="623"/>
        <v>1686.5869500972353</v>
      </c>
      <c r="GQ267" s="974">
        <f t="shared" si="567"/>
        <v>549.73499025333615</v>
      </c>
      <c r="GR267" s="535"/>
      <c r="GS267" s="535">
        <f t="shared" si="655"/>
        <v>0</v>
      </c>
      <c r="GT267" s="535" t="str">
        <f t="shared" si="656"/>
        <v/>
      </c>
      <c r="GU267" s="535">
        <f>IF(GK267="P",Lookup!$N$12,IF(GK267="PP",Lookup!$N$13,IF(GK267="PPP",Lookup!$N$14,IF(GK267="T",Lookup!$N$15,IF(GK267="TP",Lookup!$N$16,IF(GK267="TPP",Lookup!$N$17,IF(GK267="TPPP",Lookup!$N$18,0)))))))*GJ267</f>
        <v>0</v>
      </c>
      <c r="GV267" s="535">
        <f t="shared" si="657"/>
        <v>0</v>
      </c>
      <c r="GW267" s="535">
        <f t="shared" si="624"/>
        <v>878.04492743625269</v>
      </c>
      <c r="GX267" s="974">
        <f t="shared" si="568"/>
        <v>286.19456565718798</v>
      </c>
      <c r="GY267" s="535"/>
      <c r="GZ267" s="535">
        <f t="shared" si="658"/>
        <v>0</v>
      </c>
      <c r="HA267" s="535" t="str">
        <f t="shared" si="659"/>
        <v/>
      </c>
      <c r="HB267" s="535">
        <f>IF(GK267="P",Lookup!$N$12,IF(GK267="PP",Lookup!$N$13,IF(GK267="PPP",Lookup!$N$14,IF(GK267="T",Lookup!$N$15,IF(GK267="TP",Lookup!$N$16,IF(GK267="TPP",Lookup!$N$17,IF(GK267="TPPP",Lookup!$N$18,0)))))))*GJ267</f>
        <v>0</v>
      </c>
      <c r="HC267" s="521">
        <f t="shared" si="625"/>
        <v>0</v>
      </c>
      <c r="HD267" s="535">
        <f t="shared" si="626"/>
        <v>440.81481381630505</v>
      </c>
      <c r="HE267" s="535">
        <f t="shared" si="662"/>
        <v>143.68149081365874</v>
      </c>
      <c r="HF267" s="535"/>
      <c r="HG267" s="535">
        <f t="shared" si="660"/>
        <v>0</v>
      </c>
      <c r="HH267" s="535" t="str">
        <f t="shared" si="661"/>
        <v/>
      </c>
      <c r="HI267" s="535">
        <f>IF(GK267="P",Lookup!$N$12,IF(GK267="PP",Lookup!$N$13,IF(GK267="PPP",Lookup!$N$14,IF(GK267="T",Lookup!$N$15,IF(GK267="TP",Lookup!$N$16,IF(GK267="TPP",Lookup!$N$17,IF(GK267="TPPP",Lookup!$N$18,0)))))))*GJ267</f>
        <v>0</v>
      </c>
      <c r="HJ267" s="521">
        <f t="shared" si="627"/>
        <v>0</v>
      </c>
      <c r="HK267" s="535">
        <f t="shared" si="628"/>
        <v>419.32091277965674</v>
      </c>
      <c r="HL267" s="535">
        <f t="shared" si="663"/>
        <v>136.6756560559507</v>
      </c>
      <c r="HM267" s="535"/>
      <c r="HN267" s="541"/>
      <c r="HO267" s="541"/>
      <c r="HP267" s="541"/>
      <c r="HQ267" s="541">
        <f>IF(AND(B267&gt;=$FV$4,B267&lt;=$FW$4),MAX(110/1.02+$HQ$6+MIN(113/1.02,G267),IF($HV$6-(Sheet1!DA265-Sheet1!DB265)+MIN(113/1.02,G267)&lt;G267+FL267,$HV$6-(Sheet1!DA265-Sheet1!DB265)+MIN(113/1.02,G267),G267+FL267)),MIN(110/1.02+$HQ$6+113/1.02,G267))</f>
        <v>203.19011598483684</v>
      </c>
      <c r="HR267" s="541">
        <f t="shared" si="552"/>
        <v>207.25391830453358</v>
      </c>
      <c r="HS267" s="541">
        <f>HR267+(Sheet1!DA265-Sheet1!DB265)</f>
        <v>351.25391830453361</v>
      </c>
      <c r="HT267" s="541">
        <f t="shared" si="553"/>
        <v>70.727616721311477</v>
      </c>
      <c r="HU267" s="541">
        <f t="shared" si="554"/>
        <v>280.52630158322211</v>
      </c>
      <c r="HV267" s="541">
        <f t="shared" si="555"/>
        <v>0</v>
      </c>
      <c r="HW267" s="533" t="str">
        <f t="shared" si="556"/>
        <v/>
      </c>
      <c r="HX267" s="541">
        <f t="shared" si="557"/>
        <v>64.664884015163182</v>
      </c>
      <c r="HY267" s="541">
        <f>Sheet1!CZ265</f>
        <v>322</v>
      </c>
      <c r="HZ267" s="541">
        <f t="shared" si="558"/>
        <v>54.144999999999996</v>
      </c>
      <c r="IA267" s="541">
        <f t="shared" si="559"/>
        <v>70.727616721311477</v>
      </c>
      <c r="IB267" s="541">
        <f t="shared" si="560"/>
        <v>267.85500000000002</v>
      </c>
      <c r="IC267" s="1019" t="str">
        <f t="shared" si="561"/>
        <v/>
      </c>
      <c r="ID267" s="541">
        <f t="shared" si="562"/>
        <v>197.12738327868854</v>
      </c>
      <c r="IE267" s="541">
        <f>Sheet1!DB265</f>
        <v>196</v>
      </c>
      <c r="IF267" s="533">
        <f>Sheet1!DA265</f>
        <v>340</v>
      </c>
      <c r="IH267" s="541">
        <f>IF(AND($B267&gt;=$GC267,$B267&lt;=$GH267,$DR267&lt;0)+N("only adjusted when pool is drawn down during storage season"),Sheet1!$DB265+$DR267+N("Palmer minus all storage release"),Sheet1!$DB265)</f>
        <v>-32.240040343957901</v>
      </c>
      <c r="II267" s="541">
        <f>IF(AND($B267&gt;=$GC267,$B267&lt;=$GH267,$DR267&lt;0)+N("only adjusted when pool is drawn down during storage season"),Sheet1!$DA265+$DR267+N("Auburn minus all storage release"),Sheet1!$DA265)</f>
        <v>111.7599596560421</v>
      </c>
    </row>
    <row r="268" spans="1:243" x14ac:dyDescent="0.25">
      <c r="A268" s="553" t="s">
        <v>7</v>
      </c>
      <c r="B268" s="531">
        <v>42992</v>
      </c>
      <c r="C268" s="536">
        <v>0</v>
      </c>
      <c r="D268" s="506">
        <f t="shared" si="633"/>
        <v>200</v>
      </c>
      <c r="E268" s="506">
        <f t="shared" si="634"/>
        <v>400</v>
      </c>
      <c r="F268" s="506">
        <v>250</v>
      </c>
      <c r="G268" s="535">
        <f>DR268+Sheet1!CZ266</f>
        <v>91.970247100163704</v>
      </c>
      <c r="H268" s="1074">
        <f t="shared" si="563"/>
        <v>0</v>
      </c>
      <c r="I268" s="534">
        <f>IF(Sheet1!DA266&gt;=E268,(Sheet1!DA266-E268+P268)*CFStoMGD,0)</f>
        <v>0</v>
      </c>
      <c r="J268" s="995">
        <f>IF(Sheet1!DB266&gt;=D268,(Sheet1!DB266-D268+P268)*CFStoMGD,0)</f>
        <v>0</v>
      </c>
      <c r="K268" s="818">
        <f t="shared" si="538"/>
        <v>0</v>
      </c>
      <c r="L268" s="535">
        <f>Sheet1!AA266+Sheet1!AB266-Sheet1!L266+(Sheet1!DA266-F268)*CFStoMGD-S268-T268-U268</f>
        <v>101.36360096930531</v>
      </c>
      <c r="M268" s="535">
        <f t="shared" si="569"/>
        <v>60.638559080056737</v>
      </c>
      <c r="N268" s="824">
        <f>IF(Sheet1!DA266&gt;=F268,MIN(113*CFStoMGD,MIN(MAX(L268,0),MAX(M268,0))),0)</f>
        <v>60.638559080056737</v>
      </c>
      <c r="O268" s="538">
        <f>Sheet1!AA266+Sheet1!AB266</f>
        <v>78</v>
      </c>
      <c r="P268" s="538">
        <f t="shared" si="570"/>
        <v>120.666</v>
      </c>
      <c r="Q268" s="812">
        <f t="shared" si="539"/>
        <v>43.187600969305329</v>
      </c>
      <c r="R268" s="812">
        <f t="shared" si="635"/>
        <v>35</v>
      </c>
      <c r="S268" s="812">
        <f t="shared" si="636"/>
        <v>0</v>
      </c>
      <c r="T268" s="812">
        <f t="shared" si="637"/>
        <v>0</v>
      </c>
      <c r="U268" s="812">
        <f>IF(AND(B268&gt;=FV268,B268&lt;=FW268),ED268+Sheet1!EH266,0)</f>
        <v>34.812399030694671</v>
      </c>
      <c r="V268" s="812"/>
      <c r="W268" s="812">
        <f t="shared" si="638"/>
        <v>0</v>
      </c>
      <c r="X268" s="812">
        <f t="shared" si="639"/>
        <v>0</v>
      </c>
      <c r="Y268" s="812" t="str">
        <f t="shared" si="640"/>
        <v>FALSE</v>
      </c>
      <c r="Z268" s="812">
        <f t="shared" si="641"/>
        <v>78</v>
      </c>
      <c r="AA268" s="812">
        <f t="shared" si="642"/>
        <v>78</v>
      </c>
      <c r="AB268" s="1059">
        <f t="shared" si="540"/>
        <v>66.811218699515337</v>
      </c>
      <c r="AC268" s="538">
        <f>Sheet1!Y266*MGDtoCFS</f>
        <v>44.089500000000001</v>
      </c>
      <c r="AD268" s="538">
        <f>Sheet1!Z266*MGDtoCFS</f>
        <v>80.258359999999996</v>
      </c>
      <c r="AE268" s="538">
        <f>Sheet1!AA266*MGDtoCFS</f>
        <v>44.089500000000001</v>
      </c>
      <c r="AF268" s="538">
        <f>Sheet1!AB266*MGDtoCFS</f>
        <v>76.576499999999996</v>
      </c>
      <c r="AG268" s="538">
        <f>Sheet1!L266*MGDtoCFS</f>
        <v>0</v>
      </c>
      <c r="AH268" s="521">
        <f t="shared" si="571"/>
        <v>35</v>
      </c>
      <c r="AI268" s="1059">
        <f t="shared" si="572"/>
        <v>54.144999999999996</v>
      </c>
      <c r="AJ268" s="535">
        <f t="shared" si="573"/>
        <v>0</v>
      </c>
      <c r="AK268" s="535">
        <f t="shared" si="574"/>
        <v>0</v>
      </c>
      <c r="AL268" s="535">
        <f>(VLOOKUP(Sheet1!DC266,hhdcap_wcm,4)-(((VLOOKUP(Sheet1!DC266,hhdcap_wcm,3)-Sheet1!DC266)/(VLOOKUP(Sheet1!DC266,hhdcap_wcm,3)-VLOOKUP(Sheet1!DC266,hhdcap_wcm,1)))*(VLOOKUP(Sheet1!DC266,hhdcap_wcm,4)-VLOOKUP(Sheet1!DC266,hhdcap_wcm,2))))</f>
        <v>26592.20000006945</v>
      </c>
      <c r="AM268" s="535">
        <f t="shared" si="575"/>
        <v>-450.20000000037544</v>
      </c>
      <c r="AN268" s="1035">
        <f t="shared" si="576"/>
        <v>1081.2867027801335</v>
      </c>
      <c r="AO268" s="535">
        <f t="shared" si="577"/>
        <v>3317.3876041294498</v>
      </c>
      <c r="AP268" s="535">
        <f>Sheet1!BA266+Sheet1!BB266+Sheet1!BN266+CD268</f>
        <v>30.7</v>
      </c>
      <c r="AQ268" s="535">
        <f>Sheet1!BN266+(DO268*Sheet1!BN266)</f>
        <v>30.687600969305333</v>
      </c>
      <c r="AR268" s="535">
        <f>Sheet1!BA266+CD268</f>
        <v>0</v>
      </c>
      <c r="AS268" s="535">
        <f>Sheet1!BA266+Sheet1!BB266+CD268</f>
        <v>0</v>
      </c>
      <c r="AT268" s="649">
        <f>0</f>
        <v>0</v>
      </c>
      <c r="AU268" s="974">
        <f>BA268+MAX(Sheet1!EH266,(O268-Q268-ED268-S268))</f>
        <v>16</v>
      </c>
      <c r="AV268" s="535">
        <f>IF(OR(B268&gt;=GD268,B268&lt;GC268),0,15/36*K268-MAX(0,64.6-(137.6-(Sheet1!AA266+Sheet1!AB266))))</f>
        <v>0</v>
      </c>
      <c r="AW268" s="1029"/>
      <c r="AX268" s="649"/>
      <c r="AY268" s="649">
        <f t="shared" si="541"/>
        <v>23.311716569431731</v>
      </c>
      <c r="AZ268" s="649">
        <f t="shared" si="542"/>
        <v>0</v>
      </c>
      <c r="BA268" s="1059">
        <f t="shared" si="543"/>
        <v>0</v>
      </c>
      <c r="BB268" s="1019">
        <f t="shared" si="578"/>
        <v>533.73499025333615</v>
      </c>
      <c r="BC268" s="1041">
        <f t="shared" si="544"/>
        <v>0</v>
      </c>
      <c r="BD268" s="1019">
        <f ca="1">IF(B268&gt;(Summary!$A$1-1),#N/A,BB268*MGtoAF)</f>
        <v>1637.4989500972354</v>
      </c>
      <c r="BE268" s="535">
        <f>Sheet1!BG266+Sheet1!BH266+Sheet1!BI266-BM268</f>
        <v>5.83</v>
      </c>
      <c r="BF268" s="535">
        <f t="shared" si="579"/>
        <v>5.827645395799677</v>
      </c>
      <c r="BG268" s="535">
        <f>IF(Sheet1!EP266="FM",BM268,0)</f>
        <v>0</v>
      </c>
      <c r="BH268" s="535">
        <f t="shared" si="580"/>
        <v>0</v>
      </c>
      <c r="BI268" s="535">
        <f>IF(Sheet1!EP266="OTHER",BM268,0)</f>
        <v>0</v>
      </c>
      <c r="BJ268" s="535">
        <f t="shared" si="581"/>
        <v>0</v>
      </c>
      <c r="BK268" s="535">
        <f t="shared" si="582"/>
        <v>5.83</v>
      </c>
      <c r="BL268" s="535">
        <f t="shared" si="583"/>
        <v>5.827645395799677</v>
      </c>
      <c r="BM268" s="535">
        <f>IF(OR(Sheet1!EP266="FM", Sheet1!EP266="OTHER"),SUM(Sheet1!BG266:'Sheet1'!BI266),0)</f>
        <v>0</v>
      </c>
      <c r="BN268" s="521">
        <f>IF(AND($B268&gt;=$FV268,$B268&lt;=$FW268),MAX(BF268,Sheet1!EI266,0),MAX(BF268-(7/36)*$K268,0))</f>
        <v>6</v>
      </c>
      <c r="BO268" s="535">
        <f t="shared" si="584"/>
        <v>0</v>
      </c>
      <c r="BP268" s="521">
        <f t="shared" si="585"/>
        <v>0</v>
      </c>
      <c r="BQ268" s="521">
        <f>IF(AND($O268&gt;0,Sheet1!EM266=1),(1-($O268-Sheet1!$L266)/$O268)*BL268,0)</f>
        <v>0</v>
      </c>
      <c r="BR268" s="521">
        <f>IF(AND(Sheet1!$L266=0,Sheet1!$L265=0, Calculation!BK268&lt;Sheet1!$EI266-0.1,Sheet1!$EI266=Sheet1!$EI265,Sheet1!$EI266=Sheet1!$EI267),BL268-BQ268,BL268-BQ268)</f>
        <v>5.827645395799677</v>
      </c>
      <c r="BS268" s="1035" t="str">
        <f t="shared" si="545"/>
        <v/>
      </c>
      <c r="BT268" s="1035">
        <f t="shared" si="546"/>
        <v>0</v>
      </c>
      <c r="BU268" s="535">
        <f t="shared" si="586"/>
        <v>280.19456565718798</v>
      </c>
      <c r="BV268" s="535"/>
      <c r="BW268" s="535">
        <f ca="1">IF(B268&gt;(Summary!$A$1-1),#N/A,BU268*MGtoAF)</f>
        <v>859.63692743625279</v>
      </c>
      <c r="BX268" s="535">
        <f>Sheet1!BC266+Sheet1!BD266+Sheet1!BE266+Sheet1!BF266-CG268-CH268</f>
        <v>4.99</v>
      </c>
      <c r="BY268" s="535">
        <f t="shared" si="587"/>
        <v>4.98798465266559</v>
      </c>
      <c r="BZ268" s="535">
        <f>IF(Sheet1!EQ266="FM",CH268,0)</f>
        <v>0</v>
      </c>
      <c r="CA268" s="535">
        <f t="shared" si="588"/>
        <v>0</v>
      </c>
      <c r="CB268" s="535">
        <f>IF(Sheet1!EQ266="OTHER",CH268,0)</f>
        <v>0</v>
      </c>
      <c r="CC268" s="535">
        <f t="shared" si="589"/>
        <v>0</v>
      </c>
      <c r="CD268" s="535">
        <f t="shared" si="590"/>
        <v>0</v>
      </c>
      <c r="CE268" s="535">
        <f t="shared" si="591"/>
        <v>4.99</v>
      </c>
      <c r="CF268" s="535">
        <f t="shared" si="592"/>
        <v>4.98798465266559</v>
      </c>
      <c r="CG268" s="535">
        <f>IF(Sheet1!EQ266="CWA",SUM(Sheet1!BC266:'Sheet1'!BF266),0)</f>
        <v>0</v>
      </c>
      <c r="CH268" s="535">
        <f>IF(OR(Sheet1!EQ266="FM", Sheet1!EQ266="OTHER"),SUM(Sheet1!BC266:'Sheet1'!BF266),0)</f>
        <v>0</v>
      </c>
      <c r="CI268" s="521">
        <f>IF(AND($B268&gt;=$FV268,$B268&lt;=$FW268),MAX(CF268,Sheet1!EJ266,0),MAX(CF268-(7/36)*$K268,0))</f>
        <v>5</v>
      </c>
      <c r="CJ268" s="535">
        <f t="shared" si="593"/>
        <v>0</v>
      </c>
      <c r="CK268" s="521">
        <f t="shared" si="594"/>
        <v>0</v>
      </c>
      <c r="CL268" s="521">
        <f>IF(AND($O268&gt;0,Sheet1!EN266=1),(1-($O268-Sheet1!$L266)/$O268)*CF268,0)</f>
        <v>0</v>
      </c>
      <c r="CM268" s="521">
        <f>IF(AND(Sheet1!$L266=0,Sheet1!$L265=0, Calculation!CE268&lt;Sheet1!EJ266-0.1,Sheet1!EJ266=Sheet1!EJ265,Sheet1!EJ266=Sheet1!EJ267),CF268-CL268,CF268-CL268)</f>
        <v>4.98798465266559</v>
      </c>
      <c r="CN268" s="1040" t="str">
        <f t="shared" si="547"/>
        <v/>
      </c>
      <c r="CO268" s="1035">
        <f t="shared" si="548"/>
        <v>0</v>
      </c>
      <c r="CP268" s="535">
        <f t="shared" si="595"/>
        <v>138.68149081365874</v>
      </c>
      <c r="CQ268" s="535"/>
      <c r="CR268" s="535">
        <f ca="1">IF(B268&gt;(Summary!$A$1-1),#N/A,CP268*MGtoAF)</f>
        <v>425.47481381630502</v>
      </c>
      <c r="CS268" s="535">
        <f>Sheet1!BK266+Sheet1!BL266+Sheet1!BM266-Sheet1!ER266-DA268</f>
        <v>8</v>
      </c>
      <c r="CT268" s="535">
        <f t="shared" si="596"/>
        <v>7.996768982229403</v>
      </c>
      <c r="CU268" s="535">
        <f>IF(Sheet1!ER266="FM",DA268,0)</f>
        <v>0</v>
      </c>
      <c r="CV268" s="535">
        <f t="shared" si="597"/>
        <v>0</v>
      </c>
      <c r="CW268" s="535">
        <f>IF(Sheet1!ER266="OTHER",DA268,0)</f>
        <v>0</v>
      </c>
      <c r="CX268" s="535">
        <f t="shared" si="598"/>
        <v>0</v>
      </c>
      <c r="CY268" s="535">
        <f t="shared" si="629"/>
        <v>8</v>
      </c>
      <c r="CZ268" s="535">
        <f t="shared" si="630"/>
        <v>7.996768982229403</v>
      </c>
      <c r="DA268" s="535">
        <f>IF(OR(Sheet1!ER266="FM", Sheet1!ER266="OTHER"),SUM(Sheet1!BK266:'Sheet1'!BM266),0)</f>
        <v>0</v>
      </c>
      <c r="DB268" s="1011">
        <f>IF(AND($B268&gt;=$FV268,$B268&lt;=$FW268),MAX($CT268,Sheet1!EK266,0),MAX($CT268-(7/36)*$K268,0))</f>
        <v>8</v>
      </c>
      <c r="DC268" s="1012">
        <f t="shared" si="601"/>
        <v>0</v>
      </c>
      <c r="DD268" s="1011">
        <f t="shared" si="602"/>
        <v>0</v>
      </c>
      <c r="DE268" s="521">
        <f>IF(AND($O268&gt;0,Sheet1!EO266=1),(1-($O268-Sheet1!$L266)/$O268)*CZ268,0)</f>
        <v>0</v>
      </c>
      <c r="DF268" s="521">
        <f>IF(AND(Sheet1!$L266=0,Sheet1!$L265=0, Calculation!CY268&lt;Sheet1!$EK266-0.1,Sheet1!$EK266=Sheet1!$EK265,Sheet1!$EK266=Sheet1!$EK267),CZ268-DE268,CZ268-DE268)</f>
        <v>7.996768982229403</v>
      </c>
      <c r="DG268" s="1040">
        <f t="shared" si="549"/>
        <v>0</v>
      </c>
      <c r="DH268" s="649">
        <f t="shared" si="603"/>
        <v>18.82</v>
      </c>
      <c r="DI268" s="535">
        <f t="shared" si="604"/>
        <v>128.6756560559507</v>
      </c>
      <c r="DJ268" s="649">
        <f t="shared" si="605"/>
        <v>18.812399030694671</v>
      </c>
      <c r="DK268" s="535">
        <f ca="1">IF(B268&gt;(Summary!$A$1-1),#N/A,DI268*MGtoAF)</f>
        <v>394.77691277965675</v>
      </c>
      <c r="DL268" s="649">
        <f t="shared" si="606"/>
        <v>18.82</v>
      </c>
      <c r="DM268" s="535">
        <f t="shared" si="607"/>
        <v>49.519999999999996</v>
      </c>
      <c r="DN268" s="535">
        <f>Sheet1!AB266-DM268</f>
        <v>-1.9999999999996021E-2</v>
      </c>
      <c r="DO268" s="743">
        <f t="shared" si="608"/>
        <v>-4.0387722132463697E-4</v>
      </c>
      <c r="DP268" s="535">
        <f>(VLOOKUP(Sheet1!DC266,hhdcap_wcm,4)-(((VLOOKUP(Sheet1!DC266,hhdcap_wcm,3)-Sheet1!DC266)/(VLOOKUP(Sheet1!DC266,hhdcap_wcm,3)-VLOOKUP(Sheet1!DC266,hhdcap_wcm,1)))*(VLOOKUP(Sheet1!DC266,hhdcap_wcm,4)-VLOOKUP(Sheet1!DC266,hhdcap_wcm,2))))</f>
        <v>26592.20000006945</v>
      </c>
      <c r="DQ268" s="535">
        <f t="shared" si="609"/>
        <v>-450.20000000037544</v>
      </c>
      <c r="DR268" s="535">
        <f t="shared" si="610"/>
        <v>-227.0297528998363</v>
      </c>
      <c r="DS268" s="535">
        <f>Sheet1!EA266*AFtoMG</f>
        <v>0</v>
      </c>
      <c r="DT268" s="535">
        <f>Sheet1!EB266*AFtoMG</f>
        <v>0</v>
      </c>
      <c r="DU268" s="535">
        <f>Sheet1!EC266*AFtoMG</f>
        <v>0</v>
      </c>
      <c r="DV268" s="535">
        <f>Sheet1!ED266*AFtoMG</f>
        <v>0</v>
      </c>
      <c r="DW268" s="535">
        <f t="shared" si="611"/>
        <v>0</v>
      </c>
      <c r="DX268" s="535">
        <f t="shared" si="612"/>
        <v>0</v>
      </c>
      <c r="DY268" s="535">
        <f t="shared" si="613"/>
        <v>1081.2867027801335</v>
      </c>
      <c r="DZ268" s="535">
        <f t="shared" si="614"/>
        <v>3317.3876041294498</v>
      </c>
      <c r="EA268" s="535"/>
      <c r="EB268" s="521">
        <f>IF(OR(B268&lt;FV268,B268&gt;FW268),(MIN(BF268+BY268+CT268+MAX(Sheet1!AA266+AQ268-73,0),K268)),0)</f>
        <v>0</v>
      </c>
      <c r="EC268" s="535"/>
      <c r="ED268" s="535">
        <f t="shared" si="615"/>
        <v>18.812399030694671</v>
      </c>
      <c r="EE268" s="535"/>
      <c r="EF268" s="535">
        <f>Sheet1!EH266+Sheet1!EI266+Sheet1!EJ266+Sheet1!EK266</f>
        <v>35</v>
      </c>
      <c r="EG268" s="1019">
        <f t="shared" si="550"/>
        <v>54.144999999999996</v>
      </c>
      <c r="EH268" s="521">
        <f t="shared" si="616"/>
        <v>0</v>
      </c>
      <c r="EI268" s="535">
        <f>IF(Sheet1!ET266=1,SUM('Calculations II'!AT268:BA268)+'Calculations II'!BC268+Sheet1!BV266+'Calculations II'!BE268+AP268,'Calculations II'!BK268)</f>
        <v>62.448388969305327</v>
      </c>
      <c r="EJ268" s="535">
        <f ca="1">EI268+'Calculations II'!D268+'Calculations II'!E268+'Calculations II'!O268</f>
        <v>65.124073143095984</v>
      </c>
      <c r="EK268" s="535"/>
      <c r="EL268" s="535"/>
      <c r="EM268" s="535">
        <f t="shared" si="617"/>
        <v>42992</v>
      </c>
      <c r="EN268" s="535">
        <f t="shared" si="618"/>
        <v>-35</v>
      </c>
      <c r="EO268" s="535">
        <f t="shared" si="619"/>
        <v>-54.144999999999996</v>
      </c>
      <c r="EP268" s="535">
        <v>0</v>
      </c>
      <c r="EQ268" s="535">
        <v>0</v>
      </c>
      <c r="ER268" s="535">
        <v>0</v>
      </c>
      <c r="ES268" s="521">
        <f t="shared" si="643"/>
        <v>-1.3863220532810541</v>
      </c>
      <c r="ET268" s="535">
        <f>-(VLOOKUP(Sheet1!BQ266,Lookup!$O$4:$Q$262,2)-VLOOKUP(Sheet1!BQ265,Lookup!$O$4:$Q$262,2))/1000000</f>
        <v>-0.69303279337969426</v>
      </c>
      <c r="EU268" s="535">
        <f>-(VLOOKUP(Sheet1!BR266,Lookup!$O$4:$Q$262,3)-VLOOKUP(Sheet1!BR265,Lookup!$O$4:$Q$262,3))/1000000</f>
        <v>-0.6932892599013597</v>
      </c>
      <c r="EV268" s="535"/>
      <c r="EW268" s="535"/>
      <c r="EX268" s="535"/>
      <c r="EY268" s="535"/>
      <c r="EZ268" s="535"/>
      <c r="FA268" s="535"/>
      <c r="FB268" s="535"/>
      <c r="FC268" s="535"/>
      <c r="FD268" s="567">
        <f t="shared" si="632"/>
        <v>1123.4729166666016</v>
      </c>
      <c r="FE268" s="567" t="e">
        <f t="shared" si="620"/>
        <v>#N/A</v>
      </c>
      <c r="FF268" s="568" t="e">
        <f t="shared" si="621"/>
        <v>#N/A</v>
      </c>
      <c r="FG268" s="569" t="s">
        <v>656</v>
      </c>
      <c r="FH268" s="569" t="s">
        <v>656</v>
      </c>
      <c r="FI268" s="567" t="e">
        <v>#N/A</v>
      </c>
      <c r="FJ268" s="725">
        <v>12883</v>
      </c>
      <c r="FK268" s="535"/>
      <c r="FL268" s="1015">
        <f t="shared" si="631"/>
        <v>109.43015632879475</v>
      </c>
      <c r="FM268" s="535"/>
      <c r="FN268" s="535"/>
      <c r="FO268" s="535">
        <f>O268+((Sheet1!CS266)*GPMtoMGD)</f>
        <v>82.263407999999998</v>
      </c>
      <c r="FP268" s="535">
        <f>IF(Sheet1!AA266+AQ268&lt;=Calculation!N268,AQ268,Calculation!N268-Sheet1!AA266)</f>
        <v>30.687600969305333</v>
      </c>
      <c r="FQ268" s="535">
        <f>(Sheet1!BP266+Sheet1!BO266)/694.4</f>
        <v>2.9900633640552994</v>
      </c>
      <c r="FR268" s="541"/>
      <c r="FS268" s="541"/>
      <c r="FT268" s="541"/>
      <c r="FU268" s="541"/>
      <c r="FV268" s="1109">
        <f t="shared" si="644"/>
        <v>42918</v>
      </c>
      <c r="FW268" s="1109">
        <f t="shared" si="645"/>
        <v>43027</v>
      </c>
      <c r="FX268" s="541"/>
      <c r="FY268" s="541">
        <f>Sheet1!DA266-Sheet1!CZ266-Sheet1!AE266</f>
        <v>-99.665999999999997</v>
      </c>
      <c r="FZ268" s="535">
        <f t="shared" si="551"/>
        <v>-1.0836765491284908</v>
      </c>
      <c r="GA268" s="535"/>
      <c r="GB268" s="535" t="str">
        <f t="shared" si="646"/>
        <v>n</v>
      </c>
      <c r="GC268" s="539">
        <f t="shared" si="647"/>
        <v>42782</v>
      </c>
      <c r="GD268" s="1109">
        <f t="shared" si="648"/>
        <v>42904</v>
      </c>
      <c r="GE268" s="535">
        <f t="shared" ref="GE268:GE331" si="664">$GE$4</f>
        <v>6520</v>
      </c>
      <c r="GF268" s="1109">
        <f t="shared" si="649"/>
        <v>42909</v>
      </c>
      <c r="GG268" s="535">
        <f t="shared" si="564"/>
        <v>3260</v>
      </c>
      <c r="GH268" s="539">
        <f t="shared" si="650"/>
        <v>43040</v>
      </c>
      <c r="GJ268" s="521">
        <f t="shared" si="651"/>
        <v>0</v>
      </c>
      <c r="GK268" s="535" t="str">
        <f t="shared" si="622"/>
        <v/>
      </c>
      <c r="GL268" s="535">
        <f t="shared" si="652"/>
        <v>0</v>
      </c>
      <c r="GM268" s="535" t="str">
        <f t="shared" si="653"/>
        <v/>
      </c>
      <c r="GN268" s="535">
        <f>IF(GK268="P",Lookup!$M$12,IF(GK268="PP",Lookup!$M$13,IF(GK268="PPP",Lookup!$M$14,IF(GK268="T",Lookup!$M$15,IF(GK268="TP",Lookup!$M$16,IF(GK268="TPP",Lookup!$M$17,IF(GK268="TPPP",Lookup!$M$18,0)))))))*GJ268</f>
        <v>0</v>
      </c>
      <c r="GO268" s="535">
        <f t="shared" si="654"/>
        <v>0</v>
      </c>
      <c r="GP268" s="535">
        <f t="shared" si="623"/>
        <v>1637.4989500972354</v>
      </c>
      <c r="GQ268" s="974">
        <f t="shared" si="567"/>
        <v>533.73499025333615</v>
      </c>
      <c r="GR268" s="535"/>
      <c r="GS268" s="535">
        <f t="shared" si="655"/>
        <v>0</v>
      </c>
      <c r="GT268" s="535" t="str">
        <f t="shared" si="656"/>
        <v/>
      </c>
      <c r="GU268" s="535">
        <f>IF(GK268="P",Lookup!$N$12,IF(GK268="PP",Lookup!$N$13,IF(GK268="PPP",Lookup!$N$14,IF(GK268="T",Lookup!$N$15,IF(GK268="TP",Lookup!$N$16,IF(GK268="TPP",Lookup!$N$17,IF(GK268="TPPP",Lookup!$N$18,0)))))))*GJ268</f>
        <v>0</v>
      </c>
      <c r="GV268" s="535">
        <f t="shared" si="657"/>
        <v>0</v>
      </c>
      <c r="GW268" s="535">
        <f t="shared" si="624"/>
        <v>859.63692743625279</v>
      </c>
      <c r="GX268" s="974">
        <f t="shared" si="568"/>
        <v>280.19456565718798</v>
      </c>
      <c r="GY268" s="535"/>
      <c r="GZ268" s="535">
        <f t="shared" si="658"/>
        <v>0</v>
      </c>
      <c r="HA268" s="535" t="str">
        <f t="shared" si="659"/>
        <v/>
      </c>
      <c r="HB268" s="535">
        <f>IF(GK268="P",Lookup!$N$12,IF(GK268="PP",Lookup!$N$13,IF(GK268="PPP",Lookup!$N$14,IF(GK268="T",Lookup!$N$15,IF(GK268="TP",Lookup!$N$16,IF(GK268="TPP",Lookup!$N$17,IF(GK268="TPPP",Lookup!$N$18,0)))))))*GJ268</f>
        <v>0</v>
      </c>
      <c r="HC268" s="521">
        <f t="shared" si="625"/>
        <v>0</v>
      </c>
      <c r="HD268" s="535">
        <f t="shared" si="626"/>
        <v>425.47481381630502</v>
      </c>
      <c r="HE268" s="535">
        <f t="shared" si="662"/>
        <v>138.68149081365874</v>
      </c>
      <c r="HF268" s="535"/>
      <c r="HG268" s="535">
        <f t="shared" si="660"/>
        <v>0</v>
      </c>
      <c r="HH268" s="535" t="str">
        <f t="shared" si="661"/>
        <v/>
      </c>
      <c r="HI268" s="535">
        <f>IF(GK268="P",Lookup!$N$12,IF(GK268="PP",Lookup!$N$13,IF(GK268="PPP",Lookup!$N$14,IF(GK268="T",Lookup!$N$15,IF(GK268="TP",Lookup!$N$16,IF(GK268="TPP",Lookup!$N$17,IF(GK268="TPPP",Lookup!$N$18,0)))))))*GJ268</f>
        <v>0</v>
      </c>
      <c r="HJ268" s="521">
        <f t="shared" si="627"/>
        <v>0</v>
      </c>
      <c r="HK268" s="535">
        <f t="shared" si="628"/>
        <v>394.77691277965675</v>
      </c>
      <c r="HL268" s="535">
        <f t="shared" si="663"/>
        <v>128.6756560559507</v>
      </c>
      <c r="HM268" s="535"/>
      <c r="HN268" s="541"/>
      <c r="HO268" s="541"/>
      <c r="HP268" s="541"/>
      <c r="HQ268" s="541">
        <f>IF(AND(B268&gt;=$FV$4,B268&lt;=$FW$4),MAX(110/1.02+$HQ$6+MIN(113/1.02,G268),IF($HV$6-(Sheet1!DA266-Sheet1!DB266)+MIN(113/1.02,G268)&lt;G268+FL268,$HV$6-(Sheet1!DA266-Sheet1!DB266)+MIN(113/1.02,G268),G268+FL268)),MIN(110/1.02+$HQ$6+113/1.02,G268))</f>
        <v>201.40040342895844</v>
      </c>
      <c r="HR268" s="541">
        <f t="shared" si="552"/>
        <v>205.42841149753761</v>
      </c>
      <c r="HS268" s="541">
        <f>HR268+(Sheet1!DA266-Sheet1!DB266)</f>
        <v>349.42841149753758</v>
      </c>
      <c r="HT268" s="541">
        <f t="shared" si="553"/>
        <v>66.811218699515337</v>
      </c>
      <c r="HU268" s="541">
        <f t="shared" si="554"/>
        <v>282.61719279802224</v>
      </c>
      <c r="HV268" s="541">
        <f t="shared" si="555"/>
        <v>0</v>
      </c>
      <c r="HW268" s="533" t="str">
        <f t="shared" si="556"/>
        <v/>
      </c>
      <c r="HX268" s="541">
        <f t="shared" si="557"/>
        <v>63.454596571041577</v>
      </c>
      <c r="HY268" s="541">
        <f>Sheet1!CZ266</f>
        <v>319</v>
      </c>
      <c r="HZ268" s="541">
        <f t="shared" si="558"/>
        <v>54.144999999999996</v>
      </c>
      <c r="IA268" s="541">
        <f t="shared" si="559"/>
        <v>66.811218699515337</v>
      </c>
      <c r="IB268" s="541">
        <f t="shared" si="560"/>
        <v>264.85500000000002</v>
      </c>
      <c r="IC268" s="1019" t="str">
        <f t="shared" si="561"/>
        <v/>
      </c>
      <c r="ID268" s="541">
        <f t="shared" si="562"/>
        <v>198.04378130048468</v>
      </c>
      <c r="IE268" s="541">
        <f>Sheet1!DB266</f>
        <v>196</v>
      </c>
      <c r="IF268" s="533">
        <f>Sheet1!DA266</f>
        <v>340</v>
      </c>
      <c r="IH268" s="541">
        <f>IF(AND($B268&gt;=$GC268,$B268&lt;=$GH268,$DR268&lt;0)+N("only adjusted when pool is drawn down during storage season"),Sheet1!$DB266+$DR268+N("Palmer minus all storage release"),Sheet1!$DB266)</f>
        <v>-31.029752899836296</v>
      </c>
      <c r="II268" s="541">
        <f>IF(AND($B268&gt;=$GC268,$B268&lt;=$GH268,$DR268&lt;0)+N("only adjusted when pool is drawn down during storage season"),Sheet1!$DA266+$DR268+N("Auburn minus all storage release"),Sheet1!$DA266)</f>
        <v>112.9702471001637</v>
      </c>
    </row>
    <row r="269" spans="1:243" x14ac:dyDescent="0.25">
      <c r="A269" s="553" t="s">
        <v>8</v>
      </c>
      <c r="B269" s="531">
        <v>42993</v>
      </c>
      <c r="C269" s="536">
        <v>0</v>
      </c>
      <c r="D269" s="506">
        <f t="shared" si="633"/>
        <v>200</v>
      </c>
      <c r="E269" s="506">
        <f t="shared" si="634"/>
        <v>400</v>
      </c>
      <c r="F269" s="506">
        <v>250</v>
      </c>
      <c r="G269" s="535">
        <f>DR269+Sheet1!CZ267</f>
        <v>88.843671204214672</v>
      </c>
      <c r="H269" s="1074">
        <f t="shared" si="563"/>
        <v>0</v>
      </c>
      <c r="I269" s="534">
        <f>IF(Sheet1!DA267&gt;=E269,(Sheet1!DA267-E269+P269)*CFStoMGD,0)</f>
        <v>0</v>
      </c>
      <c r="J269" s="995">
        <f>IF(Sheet1!DB267&gt;=D269,(Sheet1!DB267-D269+P269)*CFStoMGD,0)</f>
        <v>0</v>
      </c>
      <c r="K269" s="818">
        <f t="shared" ref="K269:K332" si="665">MAX(MIN(H269:J269,100*CFStoMGD),0)</f>
        <v>0</v>
      </c>
      <c r="L269" s="535">
        <f>Sheet1!AA267+Sheet1!AB267-Sheet1!L267+(Sheet1!DA267-F269)*CFStoMGD-S269-T269-U269</f>
        <v>97.470301870378407</v>
      </c>
      <c r="M269" s="535">
        <f t="shared" si="569"/>
        <v>58.577120047732457</v>
      </c>
      <c r="N269" s="824">
        <f>IF(Sheet1!DA267&gt;=F269,MIN(113*CFStoMGD,MIN(MAX(L269,0),MAX(M269,0))),0)</f>
        <v>58.577120047732457</v>
      </c>
      <c r="O269" s="538">
        <f>Sheet1!AA267+Sheet1!AB267</f>
        <v>74.199999999999989</v>
      </c>
      <c r="P269" s="538">
        <f t="shared" si="570"/>
        <v>114.78739999999999</v>
      </c>
      <c r="Q269" s="812">
        <f t="shared" ref="Q269:Q332" si="666">IF(OR(Y269="FALSE",AND(B269&gt;=FV269,B269&lt;=FW269)),MIN(O269-S269-U269,N269),0)</f>
        <v>39.294301870378419</v>
      </c>
      <c r="R269" s="812">
        <f t="shared" si="635"/>
        <v>35</v>
      </c>
      <c r="S269" s="812">
        <f t="shared" si="636"/>
        <v>0</v>
      </c>
      <c r="T269" s="812">
        <f t="shared" si="637"/>
        <v>0</v>
      </c>
      <c r="U269" s="812">
        <f>IF(AND(B269&gt;=FV269,B269&lt;=FW269),ED269+Sheet1!EH267,0)</f>
        <v>34.90569812962157</v>
      </c>
      <c r="V269" s="812"/>
      <c r="W269" s="812">
        <f t="shared" si="638"/>
        <v>0</v>
      </c>
      <c r="X269" s="812">
        <f t="shared" si="639"/>
        <v>0</v>
      </c>
      <c r="Y269" s="812" t="str">
        <f t="shared" si="640"/>
        <v>FALSE</v>
      </c>
      <c r="Z269" s="812">
        <f t="shared" si="641"/>
        <v>74.199999999999989</v>
      </c>
      <c r="AA269" s="812">
        <f t="shared" si="642"/>
        <v>74.199999999999989</v>
      </c>
      <c r="AB269" s="1059">
        <f t="shared" ref="AB269:AB332" si="667">Q269*MGDtoCFS</f>
        <v>60.788284993475415</v>
      </c>
      <c r="AC269" s="538">
        <f>Sheet1!Y267*MGDtoCFS</f>
        <v>44.089500000000001</v>
      </c>
      <c r="AD269" s="538">
        <f>Sheet1!Z267*MGDtoCFS</f>
        <v>76.576499999999996</v>
      </c>
      <c r="AE269" s="538">
        <f>Sheet1!AA267*MGDtoCFS</f>
        <v>43.934799999999996</v>
      </c>
      <c r="AF269" s="538">
        <f>Sheet1!AB267*MGDtoCFS</f>
        <v>70.852599999999995</v>
      </c>
      <c r="AG269" s="538">
        <f>Sheet1!L267*MGDtoCFS</f>
        <v>0</v>
      </c>
      <c r="AH269" s="521">
        <f t="shared" si="571"/>
        <v>35</v>
      </c>
      <c r="AI269" s="1059">
        <f t="shared" si="572"/>
        <v>54.144999999999996</v>
      </c>
      <c r="AJ269" s="535">
        <f t="shared" si="573"/>
        <v>0</v>
      </c>
      <c r="AK269" s="535">
        <f t="shared" si="574"/>
        <v>0</v>
      </c>
      <c r="AL269" s="535">
        <f>(VLOOKUP(Sheet1!DC267,hhdcap_wcm,4)-(((VLOOKUP(Sheet1!DC267,hhdcap_wcm,3)-Sheet1!DC267)/(VLOOKUP(Sheet1!DC267,hhdcap_wcm,3)-VLOOKUP(Sheet1!DC267,hhdcap_wcm,1)))*(VLOOKUP(Sheet1!DC267,hhdcap_wcm,4)-VLOOKUP(Sheet1!DC267,hhdcap_wcm,2))))</f>
        <v>26135.800000067407</v>
      </c>
      <c r="AM269" s="535">
        <f t="shared" si="575"/>
        <v>-456.40000000204236</v>
      </c>
      <c r="AN269" s="1035">
        <f t="shared" si="576"/>
        <v>1046.2867027801335</v>
      </c>
      <c r="AO269" s="535">
        <f t="shared" si="577"/>
        <v>3210.0076041294496</v>
      </c>
      <c r="AP269" s="535">
        <f>Sheet1!BA267+Sheet1!BB267+Sheet1!BN267+CD269</f>
        <v>27</v>
      </c>
      <c r="AQ269" s="535">
        <f>Sheet1!BN267+(DO269*Sheet1!BN267)</f>
        <v>26.89430187037842</v>
      </c>
      <c r="AR269" s="535">
        <f>Sheet1!BA267+CD269</f>
        <v>0</v>
      </c>
      <c r="AS269" s="535">
        <f>Sheet1!BA267+Sheet1!BB267+CD269</f>
        <v>0</v>
      </c>
      <c r="AT269" s="649">
        <f>0</f>
        <v>0</v>
      </c>
      <c r="AU269" s="974">
        <f>BA269+MAX(Sheet1!EH267,(O269-Q269-ED269-S269))</f>
        <v>16</v>
      </c>
      <c r="AV269" s="535">
        <f>IF(OR(B269&gt;=GD269,B269&lt;GC269),0,15/36*K269-MAX(0,64.6-(137.6-(Sheet1!AA267+Sheet1!AB267))))</f>
        <v>0</v>
      </c>
      <c r="AW269" s="1029"/>
      <c r="AX269" s="649"/>
      <c r="AY269" s="649">
        <f t="shared" ref="AY269:AY332" si="668">AY268+BA269*MGtoAF</f>
        <v>23.311716569431731</v>
      </c>
      <c r="AZ269" s="649">
        <f t="shared" ref="AZ269:AZ332" si="669">BA269*1.547</f>
        <v>0</v>
      </c>
      <c r="BA269" s="1059">
        <f t="shared" ref="BA269:BA332" si="670">HV269/1.547</f>
        <v>0</v>
      </c>
      <c r="BB269" s="1019">
        <f t="shared" si="578"/>
        <v>517.73499025333615</v>
      </c>
      <c r="BC269" s="1041">
        <f t="shared" ref="BC269:BC332" si="671">K269*(15/36)</f>
        <v>0</v>
      </c>
      <c r="BD269" s="1019">
        <f ca="1">IF(B269&gt;(Summary!$A$1-1),#N/A,BB269*MGtoAF)</f>
        <v>1588.4109500972354</v>
      </c>
      <c r="BE269" s="535">
        <f>Sheet1!BG267+Sheet1!BH267+Sheet1!BI267-BM269</f>
        <v>6</v>
      </c>
      <c r="BF269" s="535">
        <f t="shared" si="579"/>
        <v>5.9765115267507607</v>
      </c>
      <c r="BG269" s="535">
        <f>IF(Sheet1!EP267="FM",BM269,0)</f>
        <v>0</v>
      </c>
      <c r="BH269" s="535">
        <f t="shared" si="580"/>
        <v>0</v>
      </c>
      <c r="BI269" s="535">
        <f>IF(Sheet1!EP267="OTHER",BM269,0)</f>
        <v>0</v>
      </c>
      <c r="BJ269" s="535">
        <f t="shared" si="581"/>
        <v>0</v>
      </c>
      <c r="BK269" s="535">
        <f t="shared" si="582"/>
        <v>6</v>
      </c>
      <c r="BL269" s="535">
        <f t="shared" si="583"/>
        <v>5.9765115267507607</v>
      </c>
      <c r="BM269" s="535">
        <f>IF(OR(Sheet1!EP267="FM", Sheet1!EP267="OTHER"),SUM(Sheet1!BG267:'Sheet1'!BI267),0)</f>
        <v>0</v>
      </c>
      <c r="BN269" s="521">
        <f>IF(AND($B269&gt;=$FV269,$B269&lt;=$FW269),MAX(BF269,Sheet1!EI267,0),MAX(BF269-(7/36)*$K269,0))</f>
        <v>6</v>
      </c>
      <c r="BO269" s="535">
        <f t="shared" si="584"/>
        <v>0</v>
      </c>
      <c r="BP269" s="521">
        <f t="shared" si="585"/>
        <v>0</v>
      </c>
      <c r="BQ269" s="521">
        <f>IF(AND($O269&gt;0,Sheet1!EM267=1),(1-($O269-Sheet1!$L267)/$O269)*BL269,0)</f>
        <v>0</v>
      </c>
      <c r="BR269" s="521">
        <f>IF(AND(Sheet1!$L267=0,Sheet1!$L266=0, Calculation!BK269&lt;Sheet1!$EI267-0.1,Sheet1!$EI267=Sheet1!$EI266,Sheet1!$EI267=Sheet1!$EI268),BL269-BQ269,BL269-BQ269)</f>
        <v>5.9765115267507607</v>
      </c>
      <c r="BS269" s="1035" t="str">
        <f t="shared" ref="BS269:BS332" si="672">IF(AND(B269&lt;=FV269,BR269&gt;BT269),BR269-BT269,"")</f>
        <v/>
      </c>
      <c r="BT269" s="1035">
        <f t="shared" ref="BT269:BT332" si="673">(7/36)*K269</f>
        <v>0</v>
      </c>
      <c r="BU269" s="535">
        <f t="shared" si="586"/>
        <v>274.19456565718798</v>
      </c>
      <c r="BV269" s="535"/>
      <c r="BW269" s="535">
        <f ca="1">IF(B269&gt;(Summary!$A$1-1),#N/A,BU269*MGtoAF)</f>
        <v>841.22892743625277</v>
      </c>
      <c r="BX269" s="535">
        <f>Sheet1!BC267+Sheet1!BD267+Sheet1!BE267+Sheet1!BF267-CG269-CH269</f>
        <v>4.99</v>
      </c>
      <c r="BY269" s="535">
        <f t="shared" si="587"/>
        <v>4.9704654197477156</v>
      </c>
      <c r="BZ269" s="535">
        <f>IF(Sheet1!EQ267="FM",CH269,0)</f>
        <v>0</v>
      </c>
      <c r="CA269" s="535">
        <f t="shared" si="588"/>
        <v>0</v>
      </c>
      <c r="CB269" s="535">
        <f>IF(Sheet1!EQ267="OTHER",CH269,0)</f>
        <v>0</v>
      </c>
      <c r="CC269" s="535">
        <f t="shared" si="589"/>
        <v>0</v>
      </c>
      <c r="CD269" s="535">
        <f t="shared" si="590"/>
        <v>0</v>
      </c>
      <c r="CE269" s="535">
        <f t="shared" si="591"/>
        <v>4.99</v>
      </c>
      <c r="CF269" s="535">
        <f t="shared" si="592"/>
        <v>4.9704654197477156</v>
      </c>
      <c r="CG269" s="535">
        <f>IF(Sheet1!EQ267="CWA",SUM(Sheet1!BC267:'Sheet1'!BF267),0)</f>
        <v>0</v>
      </c>
      <c r="CH269" s="535">
        <f>IF(OR(Sheet1!EQ267="FM", Sheet1!EQ267="OTHER"),SUM(Sheet1!BC267:'Sheet1'!BF267),0)</f>
        <v>0</v>
      </c>
      <c r="CI269" s="521">
        <f>IF(AND($B269&gt;=$FV269,$B269&lt;=$FW269),MAX(CF269,Sheet1!EJ267,0),MAX(CF269-(7/36)*$K269,0))</f>
        <v>5</v>
      </c>
      <c r="CJ269" s="535">
        <f t="shared" si="593"/>
        <v>0</v>
      </c>
      <c r="CK269" s="521">
        <f t="shared" si="594"/>
        <v>0</v>
      </c>
      <c r="CL269" s="521">
        <f>IF(AND($O269&gt;0,Sheet1!EN267=1),(1-($O269-Sheet1!$L267)/$O269)*CF269,0)</f>
        <v>0</v>
      </c>
      <c r="CM269" s="521">
        <f>IF(AND(Sheet1!$L267=0,Sheet1!$L266=0, Calculation!CE269&lt;Sheet1!EJ267-0.1,Sheet1!EJ267=Sheet1!EJ266,Sheet1!EJ267=Sheet1!EJ268),CF269-CL269,CF269-CL269)</f>
        <v>4.9704654197477156</v>
      </c>
      <c r="CN269" s="1040" t="str">
        <f t="shared" ref="CN269:CN332" si="674">IF(AND(B269&lt;=FV269,CM269&gt;CO269),CM269-CO269,"")</f>
        <v/>
      </c>
      <c r="CO269" s="1035">
        <f t="shared" ref="CO269:CO332" si="675">(7/36)*K269</f>
        <v>0</v>
      </c>
      <c r="CP269" s="535">
        <f t="shared" si="595"/>
        <v>133.68149081365874</v>
      </c>
      <c r="CQ269" s="535"/>
      <c r="CR269" s="535">
        <f ca="1">IF(B269&gt;(Summary!$A$1-1),#N/A,CP269*MGtoAF)</f>
        <v>410.13481381630504</v>
      </c>
      <c r="CS269" s="535">
        <f>Sheet1!BK267+Sheet1!BL267+Sheet1!BM267-Sheet1!ER267-DA269</f>
        <v>7.99</v>
      </c>
      <c r="CT269" s="535">
        <f t="shared" si="596"/>
        <v>7.958721183123096</v>
      </c>
      <c r="CU269" s="535">
        <f>IF(Sheet1!ER267="FM",DA269,0)</f>
        <v>0</v>
      </c>
      <c r="CV269" s="535">
        <f t="shared" si="597"/>
        <v>0</v>
      </c>
      <c r="CW269" s="535">
        <f>IF(Sheet1!ER267="OTHER",DA269,0)</f>
        <v>0</v>
      </c>
      <c r="CX269" s="535">
        <f t="shared" si="598"/>
        <v>0</v>
      </c>
      <c r="CY269" s="535">
        <f t="shared" si="629"/>
        <v>7.99</v>
      </c>
      <c r="CZ269" s="535">
        <f t="shared" si="630"/>
        <v>7.958721183123096</v>
      </c>
      <c r="DA269" s="535">
        <f>IF(OR(Sheet1!ER267="FM", Sheet1!ER267="OTHER"),SUM(Sheet1!BK267:'Sheet1'!BM267),0)</f>
        <v>0</v>
      </c>
      <c r="DB269" s="1011">
        <f>IF(AND($B269&gt;=$FV269,$B269&lt;=$FW269),MAX($CT269,Sheet1!EK267,0),MAX($CT269-(7/36)*$K269,0))</f>
        <v>8</v>
      </c>
      <c r="DC269" s="1012">
        <f t="shared" si="601"/>
        <v>0</v>
      </c>
      <c r="DD269" s="1011">
        <f t="shared" si="602"/>
        <v>0</v>
      </c>
      <c r="DE269" s="521">
        <f>IF(AND($O269&gt;0,Sheet1!EO267=1),(1-($O269-Sheet1!$L267)/$O269)*CZ269,0)</f>
        <v>0</v>
      </c>
      <c r="DF269" s="521">
        <f>IF(AND(Sheet1!$L267=0,Sheet1!$L266=0, Calculation!CY269&lt;Sheet1!$EK267-0.1,Sheet1!$EK267=Sheet1!$EK266,Sheet1!$EK267=Sheet1!$EK268),CZ269-DE269,CZ269-DE269)</f>
        <v>7.958721183123096</v>
      </c>
      <c r="DG269" s="1040">
        <f t="shared" ref="DG269:DG332" si="676">(7/36)*K269</f>
        <v>0</v>
      </c>
      <c r="DH269" s="649">
        <f t="shared" si="603"/>
        <v>18.98</v>
      </c>
      <c r="DI269" s="535">
        <f t="shared" si="604"/>
        <v>120.6756560559507</v>
      </c>
      <c r="DJ269" s="649">
        <f t="shared" si="605"/>
        <v>18.905698129621573</v>
      </c>
      <c r="DK269" s="535">
        <f ca="1">IF(B269&gt;(Summary!$A$1-1),#N/A,DI269*MGtoAF)</f>
        <v>370.23291277965677</v>
      </c>
      <c r="DL269" s="649">
        <f t="shared" si="606"/>
        <v>18.98</v>
      </c>
      <c r="DM269" s="535">
        <f t="shared" si="607"/>
        <v>45.980000000000004</v>
      </c>
      <c r="DN269" s="535">
        <f>Sheet1!AB267-DM269</f>
        <v>-0.18000000000000682</v>
      </c>
      <c r="DO269" s="743">
        <f t="shared" si="608"/>
        <v>-3.9147455415399482E-3</v>
      </c>
      <c r="DP269" s="535">
        <f>(VLOOKUP(Sheet1!DC267,hhdcap_wcm,4)-(((VLOOKUP(Sheet1!DC267,hhdcap_wcm,3)-Sheet1!DC267)/(VLOOKUP(Sheet1!DC267,hhdcap_wcm,3)-VLOOKUP(Sheet1!DC267,hhdcap_wcm,1)))*(VLOOKUP(Sheet1!DC267,hhdcap_wcm,4)-VLOOKUP(Sheet1!DC267,hhdcap_wcm,2))))</f>
        <v>26135.800000067407</v>
      </c>
      <c r="DQ269" s="535">
        <f t="shared" si="609"/>
        <v>-456.40000000204236</v>
      </c>
      <c r="DR269" s="535">
        <f t="shared" si="610"/>
        <v>-230.15632879578533</v>
      </c>
      <c r="DS269" s="535">
        <f>Sheet1!EA267*AFtoMG</f>
        <v>0</v>
      </c>
      <c r="DT269" s="535">
        <f>Sheet1!EB267*AFtoMG</f>
        <v>0</v>
      </c>
      <c r="DU269" s="535">
        <f>Sheet1!EC267*AFtoMG</f>
        <v>0</v>
      </c>
      <c r="DV269" s="535">
        <f>Sheet1!ED267*AFtoMG</f>
        <v>0</v>
      </c>
      <c r="DW269" s="535">
        <f t="shared" si="611"/>
        <v>0</v>
      </c>
      <c r="DX269" s="535">
        <f t="shared" si="612"/>
        <v>0</v>
      </c>
      <c r="DY269" s="535">
        <f t="shared" si="613"/>
        <v>1046.2867027801335</v>
      </c>
      <c r="DZ269" s="535">
        <f t="shared" si="614"/>
        <v>3210.0076041294496</v>
      </c>
      <c r="EA269" s="535"/>
      <c r="EB269" s="521">
        <f>IF(OR(B269&lt;FV269,B269&gt;FW269),(MIN(BF269+BY269+CT269+MAX(Sheet1!AA267+AQ269-73,0),K269)),0)</f>
        <v>0</v>
      </c>
      <c r="EC269" s="535"/>
      <c r="ED269" s="535">
        <f t="shared" si="615"/>
        <v>18.905698129621573</v>
      </c>
      <c r="EE269" s="535"/>
      <c r="EF269" s="535">
        <f>Sheet1!EH267+Sheet1!EI267+Sheet1!EJ267+Sheet1!EK267</f>
        <v>35</v>
      </c>
      <c r="EG269" s="1019">
        <f t="shared" ref="EG269:EG332" si="677">EF269*1.547</f>
        <v>54.144999999999996</v>
      </c>
      <c r="EH269" s="521">
        <f t="shared" si="616"/>
        <v>0</v>
      </c>
      <c r="EI269" s="535">
        <f>IF(Sheet1!ET267=1,SUM('Calculations II'!AT269:BA269)+'Calculations II'!BC269+Sheet1!BV267+'Calculations II'!BE269+AP269,'Calculations II'!BK269)</f>
        <v>65.158267870378424</v>
      </c>
      <c r="EJ269" s="535">
        <f ca="1">EI269+'Calculations II'!D269+'Calculations II'!E269+'Calculations II'!O269</f>
        <v>59.197564590781859</v>
      </c>
      <c r="EK269" s="535"/>
      <c r="EL269" s="535"/>
      <c r="EM269" s="535">
        <f t="shared" si="617"/>
        <v>42993</v>
      </c>
      <c r="EN269" s="535">
        <f t="shared" si="618"/>
        <v>-35</v>
      </c>
      <c r="EO269" s="535">
        <f t="shared" si="619"/>
        <v>-54.144999999999996</v>
      </c>
      <c r="EP269" s="535">
        <v>0</v>
      </c>
      <c r="EQ269" s="535">
        <v>0</v>
      </c>
      <c r="ER269" s="535">
        <v>0</v>
      </c>
      <c r="ES269" s="521">
        <f t="shared" si="643"/>
        <v>5.4048673811977874</v>
      </c>
      <c r="ET269" s="535">
        <f>-(VLOOKUP(Sheet1!BQ267,Lookup!$O$4:$Q$262,2)-VLOOKUP(Sheet1!BQ266,Lookup!$O$4:$Q$262,2))/1000000</f>
        <v>2.632672050403595</v>
      </c>
      <c r="EU269" s="535">
        <f>-(VLOOKUP(Sheet1!BR267,Lookup!$O$4:$Q$262,3)-VLOOKUP(Sheet1!BR266,Lookup!$O$4:$Q$262,3))/1000000</f>
        <v>2.7721953307941929</v>
      </c>
      <c r="EV269" s="535"/>
      <c r="EW269" s="535"/>
      <c r="EX269" s="535"/>
      <c r="EY269" s="535"/>
      <c r="EZ269" s="535"/>
      <c r="FA269" s="535"/>
      <c r="FB269" s="535"/>
      <c r="FC269" s="535"/>
      <c r="FD269" s="567">
        <f t="shared" si="632"/>
        <v>1123.0291666666021</v>
      </c>
      <c r="FE269" s="567" t="e">
        <f t="shared" si="620"/>
        <v>#N/A</v>
      </c>
      <c r="FF269" s="568" t="e">
        <f t="shared" si="621"/>
        <v>#N/A</v>
      </c>
      <c r="FG269" s="569" t="s">
        <v>656</v>
      </c>
      <c r="FH269" s="569" t="s">
        <v>656</v>
      </c>
      <c r="FI269" s="567" t="e">
        <v>#N/A</v>
      </c>
      <c r="FJ269" s="725">
        <v>12666</v>
      </c>
      <c r="FK269" s="535"/>
      <c r="FL269" s="1015">
        <f t="shared" si="631"/>
        <v>108.92586989409985</v>
      </c>
      <c r="FM269" s="535"/>
      <c r="FN269" s="535"/>
      <c r="FO269" s="535">
        <f>O269+((Sheet1!CS267)*GPMtoMGD)</f>
        <v>78.466287999999992</v>
      </c>
      <c r="FP269" s="535">
        <f>IF(Sheet1!AA267+AQ269&lt;=Calculation!N269,AQ269,Calculation!N269-Sheet1!AA267)</f>
        <v>26.89430187037842</v>
      </c>
      <c r="FQ269" s="535">
        <f>(Sheet1!BP267+Sheet1!BO267)/694.4</f>
        <v>3.034850230414746</v>
      </c>
      <c r="FR269" s="541"/>
      <c r="FS269" s="541"/>
      <c r="FT269" s="541"/>
      <c r="FU269" s="541"/>
      <c r="FV269" s="1109">
        <f t="shared" si="644"/>
        <v>42918</v>
      </c>
      <c r="FW269" s="1109">
        <f t="shared" si="645"/>
        <v>43027</v>
      </c>
      <c r="FX269" s="541"/>
      <c r="FY269" s="541">
        <f>Sheet1!DA267-Sheet1!CZ267-Sheet1!AE267</f>
        <v>-93.787399999999977</v>
      </c>
      <c r="FZ269" s="535">
        <f t="shared" ref="FZ269:FZ332" si="678">FY269/G269</f>
        <v>-1.0556452556358429</v>
      </c>
      <c r="GA269" s="535"/>
      <c r="GB269" s="535" t="str">
        <f t="shared" si="646"/>
        <v>n</v>
      </c>
      <c r="GC269" s="539">
        <f t="shared" si="647"/>
        <v>42782</v>
      </c>
      <c r="GD269" s="1109">
        <f t="shared" si="648"/>
        <v>42904</v>
      </c>
      <c r="GE269" s="535">
        <f t="shared" si="664"/>
        <v>6520</v>
      </c>
      <c r="GF269" s="1109">
        <f t="shared" si="649"/>
        <v>42909</v>
      </c>
      <c r="GG269" s="535">
        <f t="shared" si="564"/>
        <v>3260</v>
      </c>
      <c r="GH269" s="539">
        <f t="shared" si="650"/>
        <v>43040</v>
      </c>
      <c r="GJ269" s="521">
        <f t="shared" si="651"/>
        <v>0</v>
      </c>
      <c r="GK269" s="535" t="str">
        <f t="shared" si="622"/>
        <v/>
      </c>
      <c r="GL269" s="535">
        <f t="shared" si="652"/>
        <v>0</v>
      </c>
      <c r="GM269" s="535" t="str">
        <f t="shared" si="653"/>
        <v/>
      </c>
      <c r="GN269" s="535">
        <f>IF(GK269="P",Lookup!$M$12,IF(GK269="PP",Lookup!$M$13,IF(GK269="PPP",Lookup!$M$14,IF(GK269="T",Lookup!$M$15,IF(GK269="TP",Lookup!$M$16,IF(GK269="TPP",Lookup!$M$17,IF(GK269="TPPP",Lookup!$M$18,0)))))))*GJ269</f>
        <v>0</v>
      </c>
      <c r="GO269" s="535">
        <f t="shared" si="654"/>
        <v>0</v>
      </c>
      <c r="GP269" s="535">
        <f t="shared" si="623"/>
        <v>1588.4109500972354</v>
      </c>
      <c r="GQ269" s="974">
        <f t="shared" si="567"/>
        <v>517.73499025333615</v>
      </c>
      <c r="GR269" s="535"/>
      <c r="GS269" s="535">
        <f t="shared" si="655"/>
        <v>0</v>
      </c>
      <c r="GT269" s="535" t="str">
        <f t="shared" si="656"/>
        <v/>
      </c>
      <c r="GU269" s="535">
        <f>IF(GK269="P",Lookup!$N$12,IF(GK269="PP",Lookup!$N$13,IF(GK269="PPP",Lookup!$N$14,IF(GK269="T",Lookup!$N$15,IF(GK269="TP",Lookup!$N$16,IF(GK269="TPP",Lookup!$N$17,IF(GK269="TPPP",Lookup!$N$18,0)))))))*GJ269</f>
        <v>0</v>
      </c>
      <c r="GV269" s="535">
        <f t="shared" si="657"/>
        <v>0</v>
      </c>
      <c r="GW269" s="535">
        <f t="shared" si="624"/>
        <v>841.22892743625277</v>
      </c>
      <c r="GX269" s="974">
        <f t="shared" si="568"/>
        <v>274.19456565718798</v>
      </c>
      <c r="GY269" s="535"/>
      <c r="GZ269" s="535">
        <f t="shared" si="658"/>
        <v>0</v>
      </c>
      <c r="HA269" s="535" t="str">
        <f t="shared" si="659"/>
        <v/>
      </c>
      <c r="HB269" s="535">
        <f>IF(GK269="P",Lookup!$N$12,IF(GK269="PP",Lookup!$N$13,IF(GK269="PPP",Lookup!$N$14,IF(GK269="T",Lookup!$N$15,IF(GK269="TP",Lookup!$N$16,IF(GK269="TPP",Lookup!$N$17,IF(GK269="TPPP",Lookup!$N$18,0)))))))*GJ269</f>
        <v>0</v>
      </c>
      <c r="HC269" s="521">
        <f t="shared" si="625"/>
        <v>0</v>
      </c>
      <c r="HD269" s="535">
        <f t="shared" si="626"/>
        <v>410.13481381630504</v>
      </c>
      <c r="HE269" s="535">
        <f t="shared" si="662"/>
        <v>133.68149081365874</v>
      </c>
      <c r="HF269" s="535"/>
      <c r="HG269" s="535">
        <f t="shared" si="660"/>
        <v>0</v>
      </c>
      <c r="HH269" s="535" t="str">
        <f t="shared" si="661"/>
        <v/>
      </c>
      <c r="HI269" s="535">
        <f>IF(GK269="P",Lookup!$N$12,IF(GK269="PP",Lookup!$N$13,IF(GK269="PPP",Lookup!$N$14,IF(GK269="T",Lookup!$N$15,IF(GK269="TP",Lookup!$N$16,IF(GK269="TPP",Lookup!$N$17,IF(GK269="TPPP",Lookup!$N$18,0)))))))*GJ269</f>
        <v>0</v>
      </c>
      <c r="HJ269" s="521">
        <f t="shared" si="627"/>
        <v>0</v>
      </c>
      <c r="HK269" s="535">
        <f t="shared" si="628"/>
        <v>370.23291277965677</v>
      </c>
      <c r="HL269" s="535">
        <f t="shared" si="663"/>
        <v>120.6756560559507</v>
      </c>
      <c r="HM269" s="535"/>
      <c r="HN269" s="541"/>
      <c r="HO269" s="541"/>
      <c r="HP269" s="541"/>
      <c r="HQ269" s="541">
        <f>IF(AND(B269&gt;=$FV$4,B269&lt;=$FW$4),MAX(110/1.02+$HQ$6+MIN(113/1.02,G269),IF($HV$6-(Sheet1!DA267-Sheet1!DB267)+MIN(113/1.02,G269)&lt;G269+FL269,$HV$6-(Sheet1!DA267-Sheet1!DB267)+MIN(113/1.02,G269),G269+FL269)),MIN(110/1.02+$HQ$6+113/1.02,G269))</f>
        <v>197.76954109831451</v>
      </c>
      <c r="HR269" s="541">
        <f t="shared" ref="HR269:HR332" si="679">HQ269*1.02</f>
        <v>201.7249319202808</v>
      </c>
      <c r="HS269" s="541">
        <f>HR269+(Sheet1!DA267-Sheet1!DB267)</f>
        <v>345.72493192028082</v>
      </c>
      <c r="HT269" s="541">
        <f t="shared" ref="HT269:HT332" si="680">AB269</f>
        <v>60.788284993475415</v>
      </c>
      <c r="HU269" s="541">
        <f t="shared" ref="HU269:HU332" si="681">HS269-HT269</f>
        <v>284.93664692680539</v>
      </c>
      <c r="HV269" s="541">
        <f t="shared" ref="HV269:HV332" si="682">MAX($HV$6-HU269,0)</f>
        <v>0</v>
      </c>
      <c r="HW269" s="533" t="str">
        <f t="shared" ref="HW269:HW332" si="683">IF(IB269-HQ269&lt;0,HQ269-IB269,"")</f>
        <v/>
      </c>
      <c r="HX269" s="541">
        <f t="shared" ref="HX269:HX332" si="684">IF(IB269-HQ269&gt;0,IB269-HQ269,"")</f>
        <v>67.085458901685513</v>
      </c>
      <c r="HY269" s="541">
        <f>Sheet1!CZ267</f>
        <v>319</v>
      </c>
      <c r="HZ269" s="541">
        <f t="shared" ref="HZ269:HZ332" si="685">AI269</f>
        <v>54.144999999999996</v>
      </c>
      <c r="IA269" s="541">
        <f t="shared" ref="IA269:IA332" si="686">AB269</f>
        <v>60.788284993475415</v>
      </c>
      <c r="IB269" s="541">
        <f t="shared" ref="IB269:IB332" si="687">HY269-HZ269</f>
        <v>264.85500000000002</v>
      </c>
      <c r="IC269" s="1019" t="str">
        <f t="shared" ref="IC269:IC332" si="688">IF(IB269-HQ269&lt;0,"YES","")</f>
        <v/>
      </c>
      <c r="ID269" s="541">
        <f t="shared" ref="ID269:ID332" si="689">HY269-HZ269-IA269</f>
        <v>204.06671500652459</v>
      </c>
      <c r="IE269" s="541">
        <f>Sheet1!DB267</f>
        <v>196</v>
      </c>
      <c r="IF269" s="533">
        <f>Sheet1!DA267</f>
        <v>340</v>
      </c>
      <c r="IH269" s="541">
        <f>IF(AND($B269&gt;=$GC269,$B269&lt;=$GH269,$DR269&lt;0)+N("only adjusted when pool is drawn down during storage season"),Sheet1!$DB267+$DR269+N("Palmer minus all storage release"),Sheet1!$DB267)</f>
        <v>-34.156328795785328</v>
      </c>
      <c r="II269" s="541">
        <f>IF(AND($B269&gt;=$GC269,$B269&lt;=$GH269,$DR269&lt;0)+N("only adjusted when pool is drawn down during storage season"),Sheet1!$DA267+$DR269+N("Auburn minus all storage release"),Sheet1!$DA267)</f>
        <v>109.84367120421467</v>
      </c>
    </row>
    <row r="270" spans="1:243" x14ac:dyDescent="0.25">
      <c r="A270" s="553" t="s">
        <v>9</v>
      </c>
      <c r="B270" s="531">
        <v>42994</v>
      </c>
      <c r="C270" s="536">
        <v>0</v>
      </c>
      <c r="D270" s="506">
        <f t="shared" si="633"/>
        <v>300</v>
      </c>
      <c r="E270" s="506">
        <f t="shared" si="634"/>
        <v>250</v>
      </c>
      <c r="F270" s="506">
        <v>250</v>
      </c>
      <c r="G270" s="535">
        <f>DR270+Sheet1!CZ268</f>
        <v>94.037821481581034</v>
      </c>
      <c r="H270" s="1074">
        <f t="shared" ref="H270:H333" si="690">MIN(IF($II270&gt;=$E270,($II270-$E270+$P270)*CFStoMGD,0),IF($IH270&gt;=$D270,($IH270-$D270+$P270)*CFStoMGD,0))</f>
        <v>0</v>
      </c>
      <c r="I270" s="534">
        <f>IF(Sheet1!DA268&gt;=E270,(Sheet1!DA268-E270+P270)*CFStoMGD,0)</f>
        <v>135.776572096</v>
      </c>
      <c r="J270" s="995">
        <f>IF(Sheet1!DB268&gt;=D270,(Sheet1!DB268-D270+P270)*CFStoMGD,0)</f>
        <v>0</v>
      </c>
      <c r="K270" s="818">
        <f t="shared" si="665"/>
        <v>0</v>
      </c>
      <c r="L270" s="535">
        <f>Sheet1!AA268+Sheet1!AB268-Sheet1!L268+(Sheet1!DA268-F270)*CFStoMGD-S270-T270-U270</f>
        <v>101.34817837720252</v>
      </c>
      <c r="M270" s="535">
        <f t="shared" si="569"/>
        <v>62.00176876180786</v>
      </c>
      <c r="N270" s="824">
        <f>IF(Sheet1!DA268&gt;=F270,MIN(113*CFStoMGD,MIN(MAX(L270,0),MAX(M270,0))),0)</f>
        <v>62.00176876180786</v>
      </c>
      <c r="O270" s="538">
        <f>Sheet1!AA268+Sheet1!AB268</f>
        <v>74.37</v>
      </c>
      <c r="P270" s="538">
        <f t="shared" si="570"/>
        <v>115.05038999999999</v>
      </c>
      <c r="Q270" s="812">
        <f t="shared" si="666"/>
        <v>39.940178377202528</v>
      </c>
      <c r="R270" s="812">
        <f t="shared" si="635"/>
        <v>35</v>
      </c>
      <c r="S270" s="812">
        <f t="shared" si="636"/>
        <v>0</v>
      </c>
      <c r="T270" s="812">
        <f t="shared" si="637"/>
        <v>0</v>
      </c>
      <c r="U270" s="812">
        <f>IF(AND(B270&gt;=FV270,B270&lt;=FW270),ED270+Sheet1!EH268,0)</f>
        <v>34.429821622797476</v>
      </c>
      <c r="V270" s="812"/>
      <c r="W270" s="812">
        <f t="shared" si="638"/>
        <v>0</v>
      </c>
      <c r="X270" s="812">
        <f t="shared" si="639"/>
        <v>0</v>
      </c>
      <c r="Y270" s="812" t="str">
        <f t="shared" si="640"/>
        <v>FALSE</v>
      </c>
      <c r="Z270" s="812">
        <f t="shared" si="641"/>
        <v>74.37</v>
      </c>
      <c r="AA270" s="812">
        <f t="shared" si="642"/>
        <v>74.37</v>
      </c>
      <c r="AB270" s="1059">
        <f t="shared" si="667"/>
        <v>61.787455949532308</v>
      </c>
      <c r="AC270" s="538">
        <f>Sheet1!Y268*MGDtoCFS</f>
        <v>43.934799999999996</v>
      </c>
      <c r="AD270" s="538">
        <f>Sheet1!Z268*MGDtoCFS</f>
        <v>70.852599999999995</v>
      </c>
      <c r="AE270" s="538">
        <f>Sheet1!AA268*MGDtoCFS</f>
        <v>44.089500000000001</v>
      </c>
      <c r="AF270" s="538">
        <f>Sheet1!AB268*MGDtoCFS</f>
        <v>70.960889999999992</v>
      </c>
      <c r="AG270" s="538">
        <f>Sheet1!L268*MGDtoCFS</f>
        <v>0</v>
      </c>
      <c r="AH270" s="521">
        <f t="shared" si="571"/>
        <v>35</v>
      </c>
      <c r="AI270" s="1059">
        <f t="shared" si="572"/>
        <v>54.144999999999996</v>
      </c>
      <c r="AJ270" s="535">
        <f t="shared" si="573"/>
        <v>0</v>
      </c>
      <c r="AK270" s="535">
        <f t="shared" si="574"/>
        <v>0</v>
      </c>
      <c r="AL270" s="535">
        <f>(VLOOKUP(Sheet1!DC268,hhdcap_wcm,4)-(((VLOOKUP(Sheet1!DC268,hhdcap_wcm,3)-Sheet1!DC268)/(VLOOKUP(Sheet1!DC268,hhdcap_wcm,3)-VLOOKUP(Sheet1!DC268,hhdcap_wcm,1)))*(VLOOKUP(Sheet1!DC268,hhdcap_wcm,4)-VLOOKUP(Sheet1!DC268,hhdcap_wcm,2))))</f>
        <v>25689.700000065382</v>
      </c>
      <c r="AM270" s="535">
        <f t="shared" si="575"/>
        <v>-446.1000000020249</v>
      </c>
      <c r="AN270" s="1035">
        <f t="shared" si="576"/>
        <v>1011.2867027801335</v>
      </c>
      <c r="AO270" s="535">
        <f t="shared" si="577"/>
        <v>3102.6276041294495</v>
      </c>
      <c r="AP270" s="535">
        <f>Sheet1!BA268+Sheet1!BB268+Sheet1!BN268+CD270</f>
        <v>27.5</v>
      </c>
      <c r="AQ270" s="535">
        <f>Sheet1!BN268+(DO270*Sheet1!BN268)</f>
        <v>27.440178377202521</v>
      </c>
      <c r="AR270" s="535">
        <f>Sheet1!BA268+CD270</f>
        <v>0</v>
      </c>
      <c r="AS270" s="535">
        <f>Sheet1!BA268+Sheet1!BB268+CD270</f>
        <v>0</v>
      </c>
      <c r="AT270" s="649">
        <f>0</f>
        <v>0</v>
      </c>
      <c r="AU270" s="974">
        <f>BA270+MAX(Sheet1!EH268,(O270-Q270-ED270-S270))</f>
        <v>16</v>
      </c>
      <c r="AV270" s="535">
        <f>IF(OR(B270&gt;=GD270,B270&lt;GC270),0,15/36*K270-MAX(0,64.6-(137.6-(Sheet1!AA268+Sheet1!AB268))))</f>
        <v>0</v>
      </c>
      <c r="AW270" s="1029"/>
      <c r="AX270" s="649"/>
      <c r="AY270" s="649">
        <f t="shared" si="668"/>
        <v>23.311716569431731</v>
      </c>
      <c r="AZ270" s="649">
        <f t="shared" si="669"/>
        <v>0</v>
      </c>
      <c r="BA270" s="1059">
        <f t="shared" si="670"/>
        <v>0</v>
      </c>
      <c r="BB270" s="1019">
        <f t="shared" si="578"/>
        <v>501.73499025333615</v>
      </c>
      <c r="BC270" s="1041">
        <f t="shared" si="671"/>
        <v>0</v>
      </c>
      <c r="BD270" s="1019">
        <f ca="1">IF(B270&gt;(Summary!$A$1-1),#N/A,BB270*MGtoAF)</f>
        <v>1539.3229500972354</v>
      </c>
      <c r="BE270" s="535">
        <f>Sheet1!BG268+Sheet1!BH268+Sheet1!BI268-BM270</f>
        <v>5.47</v>
      </c>
      <c r="BF270" s="535">
        <f t="shared" si="579"/>
        <v>5.4581009353926468</v>
      </c>
      <c r="BG270" s="535">
        <f>IF(Sheet1!EP268="FM",BM270,0)</f>
        <v>0</v>
      </c>
      <c r="BH270" s="535">
        <f t="shared" si="580"/>
        <v>0</v>
      </c>
      <c r="BI270" s="535">
        <f>IF(Sheet1!EP268="OTHER",BM270,0)</f>
        <v>0</v>
      </c>
      <c r="BJ270" s="535">
        <f t="shared" si="581"/>
        <v>0</v>
      </c>
      <c r="BK270" s="535">
        <f t="shared" si="582"/>
        <v>5.47</v>
      </c>
      <c r="BL270" s="535">
        <f t="shared" si="583"/>
        <v>5.4581009353926468</v>
      </c>
      <c r="BM270" s="535">
        <f>IF(OR(Sheet1!EP268="FM", Sheet1!EP268="OTHER"),SUM(Sheet1!BG268:'Sheet1'!BI268),0)</f>
        <v>0</v>
      </c>
      <c r="BN270" s="521">
        <f>IF(AND($B270&gt;=$FV270,$B270&lt;=$FW270),MAX(BF270,Sheet1!EI268,0),MAX(BF270-(7/36)*$K270,0))</f>
        <v>6</v>
      </c>
      <c r="BO270" s="535">
        <f t="shared" si="584"/>
        <v>0</v>
      </c>
      <c r="BP270" s="521">
        <f t="shared" si="585"/>
        <v>0</v>
      </c>
      <c r="BQ270" s="521">
        <f>IF(AND($O270&gt;0,Sheet1!EM268=1),(1-($O270-Sheet1!$L268)/$O270)*BL270,0)</f>
        <v>0</v>
      </c>
      <c r="BR270" s="521">
        <f>IF(AND(Sheet1!$L268=0,Sheet1!$L267=0, Calculation!BK270&lt;Sheet1!$EI268-0.1,Sheet1!$EI268=Sheet1!$EI267,Sheet1!$EI268=Sheet1!$EI269),BL270-BQ270,BL270-BQ270)</f>
        <v>5.4581009353926468</v>
      </c>
      <c r="BS270" s="1035" t="str">
        <f t="shared" si="672"/>
        <v/>
      </c>
      <c r="BT270" s="1035">
        <f t="shared" si="673"/>
        <v>0</v>
      </c>
      <c r="BU270" s="535">
        <f t="shared" si="586"/>
        <v>268.19456565718798</v>
      </c>
      <c r="BV270" s="535"/>
      <c r="BW270" s="535">
        <f ca="1">IF(B270&gt;(Summary!$A$1-1),#N/A,BU270*MGtoAF)</f>
        <v>822.82092743625276</v>
      </c>
      <c r="BX270" s="535">
        <f>Sheet1!BC268+Sheet1!BD268+Sheet1!BE268+Sheet1!BF268-CG270-CH270</f>
        <v>4.99</v>
      </c>
      <c r="BY270" s="535">
        <f t="shared" si="587"/>
        <v>4.9791450946269302</v>
      </c>
      <c r="BZ270" s="535">
        <f>IF(Sheet1!EQ268="FM",CH270,0)</f>
        <v>0</v>
      </c>
      <c r="CA270" s="535">
        <f t="shared" si="588"/>
        <v>0</v>
      </c>
      <c r="CB270" s="535">
        <f>IF(Sheet1!EQ268="OTHER",CH270,0)</f>
        <v>0</v>
      </c>
      <c r="CC270" s="535">
        <f t="shared" si="589"/>
        <v>0</v>
      </c>
      <c r="CD270" s="535">
        <f t="shared" si="590"/>
        <v>0</v>
      </c>
      <c r="CE270" s="535">
        <f t="shared" si="591"/>
        <v>4.99</v>
      </c>
      <c r="CF270" s="535">
        <f t="shared" si="592"/>
        <v>4.9791450946269302</v>
      </c>
      <c r="CG270" s="535">
        <f>IF(Sheet1!EQ268="CWA",SUM(Sheet1!BC268:'Sheet1'!BF268),0)</f>
        <v>0</v>
      </c>
      <c r="CH270" s="535">
        <f>IF(OR(Sheet1!EQ268="FM", Sheet1!EQ268="OTHER"),SUM(Sheet1!BC268:'Sheet1'!BF268),0)</f>
        <v>0</v>
      </c>
      <c r="CI270" s="521">
        <f>IF(AND($B270&gt;=$FV270,$B270&lt;=$FW270),MAX(CF270,Sheet1!EJ268,0),MAX(CF270-(7/36)*$K270,0))</f>
        <v>5</v>
      </c>
      <c r="CJ270" s="535">
        <f t="shared" si="593"/>
        <v>0</v>
      </c>
      <c r="CK270" s="521">
        <f t="shared" si="594"/>
        <v>0</v>
      </c>
      <c r="CL270" s="521">
        <f>IF(AND($O270&gt;0,Sheet1!EN268=1),(1-($O270-Sheet1!$L268)/$O270)*CF270,0)</f>
        <v>0</v>
      </c>
      <c r="CM270" s="521">
        <f>IF(AND(Sheet1!$L268=0,Sheet1!$L267=0, Calculation!CE270&lt;Sheet1!EJ268-0.1,Sheet1!EJ268=Sheet1!EJ267,Sheet1!EJ268=Sheet1!EJ269),CF270-CL270,CF270-CL270)</f>
        <v>4.9791450946269302</v>
      </c>
      <c r="CN270" s="1040" t="str">
        <f t="shared" si="674"/>
        <v/>
      </c>
      <c r="CO270" s="1035">
        <f t="shared" si="675"/>
        <v>0</v>
      </c>
      <c r="CP270" s="535">
        <f t="shared" si="595"/>
        <v>128.68149081365874</v>
      </c>
      <c r="CQ270" s="535"/>
      <c r="CR270" s="535">
        <f ca="1">IF(B270&gt;(Summary!$A$1-1),#N/A,CP270*MGtoAF)</f>
        <v>394.79481381630501</v>
      </c>
      <c r="CS270" s="535">
        <f>Sheet1!BK268+Sheet1!BL268+Sheet1!BM268-Sheet1!ER268-DA270</f>
        <v>8.01</v>
      </c>
      <c r="CT270" s="535">
        <f t="shared" si="596"/>
        <v>7.9925755927778983</v>
      </c>
      <c r="CU270" s="535">
        <f>IF(Sheet1!ER268="FM",DA270,0)</f>
        <v>0</v>
      </c>
      <c r="CV270" s="535">
        <f t="shared" si="597"/>
        <v>0</v>
      </c>
      <c r="CW270" s="535">
        <f>IF(Sheet1!ER268="OTHER",DA270,0)</f>
        <v>0</v>
      </c>
      <c r="CX270" s="535">
        <f t="shared" si="598"/>
        <v>0</v>
      </c>
      <c r="CY270" s="535">
        <f t="shared" si="629"/>
        <v>8.01</v>
      </c>
      <c r="CZ270" s="535">
        <f t="shared" si="630"/>
        <v>7.9925755927778983</v>
      </c>
      <c r="DA270" s="535">
        <f>IF(OR(Sheet1!ER268="FM", Sheet1!ER268="OTHER"),SUM(Sheet1!BK268:'Sheet1'!BM268),0)</f>
        <v>0</v>
      </c>
      <c r="DB270" s="1011">
        <f>IF(AND($B270&gt;=$FV270,$B270&lt;=$FW270),MAX($CT270,Sheet1!EK268,0),MAX($CT270-(7/36)*$K270,0))</f>
        <v>8</v>
      </c>
      <c r="DC270" s="1012">
        <f t="shared" si="601"/>
        <v>0</v>
      </c>
      <c r="DD270" s="1011">
        <f t="shared" si="602"/>
        <v>0</v>
      </c>
      <c r="DE270" s="521">
        <f>IF(AND($O270&gt;0,Sheet1!EO268=1),(1-($O270-Sheet1!$L268)/$O270)*CZ270,0)</f>
        <v>0</v>
      </c>
      <c r="DF270" s="521">
        <f>IF(AND(Sheet1!$L268=0,Sheet1!$L267=0, Calculation!CY270&lt;Sheet1!$EK268-0.1,Sheet1!$EK268=Sheet1!$EK267,Sheet1!$EK268=Sheet1!$EK269),CZ270-DE270,CZ270-DE270)</f>
        <v>7.9925755927778983</v>
      </c>
      <c r="DG270" s="1040">
        <f t="shared" si="676"/>
        <v>0</v>
      </c>
      <c r="DH270" s="649">
        <f t="shared" si="603"/>
        <v>18.47</v>
      </c>
      <c r="DI270" s="535">
        <f t="shared" si="604"/>
        <v>112.6756560559507</v>
      </c>
      <c r="DJ270" s="649">
        <f t="shared" si="605"/>
        <v>18.429821622797476</v>
      </c>
      <c r="DK270" s="535">
        <f ca="1">IF(B270&gt;(Summary!$A$1-1),#N/A,DI270*MGtoAF)</f>
        <v>345.68891277965673</v>
      </c>
      <c r="DL270" s="649">
        <f t="shared" si="606"/>
        <v>18.47</v>
      </c>
      <c r="DM270" s="535">
        <f t="shared" si="607"/>
        <v>45.97</v>
      </c>
      <c r="DN270" s="535">
        <f>Sheet1!AB268-DM270</f>
        <v>-0.10000000000000142</v>
      </c>
      <c r="DO270" s="743">
        <f t="shared" si="608"/>
        <v>-2.1753317380900899E-3</v>
      </c>
      <c r="DP270" s="535">
        <f>(VLOOKUP(Sheet1!DC268,hhdcap_wcm,4)-(((VLOOKUP(Sheet1!DC268,hhdcap_wcm,3)-Sheet1!DC268)/(VLOOKUP(Sheet1!DC268,hhdcap_wcm,3)-VLOOKUP(Sheet1!DC268,hhdcap_wcm,1)))*(VLOOKUP(Sheet1!DC268,hhdcap_wcm,4)-VLOOKUP(Sheet1!DC268,hhdcap_wcm,2))))</f>
        <v>25689.700000065382</v>
      </c>
      <c r="DQ270" s="535">
        <f t="shared" si="609"/>
        <v>-446.1000000020249</v>
      </c>
      <c r="DR270" s="535">
        <f t="shared" si="610"/>
        <v>-224.96217851841897</v>
      </c>
      <c r="DS270" s="535">
        <f>Sheet1!EA268*AFtoMG</f>
        <v>0</v>
      </c>
      <c r="DT270" s="535">
        <f>Sheet1!EB268*AFtoMG</f>
        <v>0</v>
      </c>
      <c r="DU270" s="535">
        <f>Sheet1!EC268*AFtoMG</f>
        <v>0</v>
      </c>
      <c r="DV270" s="535">
        <f>Sheet1!ED268*AFtoMG</f>
        <v>0</v>
      </c>
      <c r="DW270" s="535">
        <f t="shared" si="611"/>
        <v>0</v>
      </c>
      <c r="DX270" s="535">
        <f t="shared" si="612"/>
        <v>0</v>
      </c>
      <c r="DY270" s="535">
        <f t="shared" si="613"/>
        <v>1011.2867027801335</v>
      </c>
      <c r="DZ270" s="535">
        <f t="shared" si="614"/>
        <v>3102.6276041294495</v>
      </c>
      <c r="EA270" s="535"/>
      <c r="EB270" s="521">
        <f>IF(OR(B270&lt;FV270,B270&gt;FW270),(MIN(BF270+BY270+CT270+MAX(Sheet1!AA268+AQ270-73,0),K270)),0)</f>
        <v>0</v>
      </c>
      <c r="EC270" s="535"/>
      <c r="ED270" s="535">
        <f t="shared" si="615"/>
        <v>18.429821622797476</v>
      </c>
      <c r="EE270" s="535"/>
      <c r="EF270" s="535">
        <f>Sheet1!EH268+Sheet1!EI268+Sheet1!EJ268+Sheet1!EK268</f>
        <v>35</v>
      </c>
      <c r="EG270" s="1019">
        <f t="shared" si="677"/>
        <v>54.144999999999996</v>
      </c>
      <c r="EH270" s="521">
        <f t="shared" si="616"/>
        <v>0</v>
      </c>
      <c r="EI270" s="535">
        <f>IF(Sheet1!ET268=1,SUM('Calculations II'!AT270:BA270)+'Calculations II'!BC270+Sheet1!BV268+'Calculations II'!BE270+AP270,'Calculations II'!BK270)</f>
        <v>60.357450377202518</v>
      </c>
      <c r="EJ270" s="535">
        <f ca="1">EI270+'Calculations II'!D270+'Calculations II'!E270+'Calculations II'!O270</f>
        <v>60.814955678490961</v>
      </c>
      <c r="EK270" s="535"/>
      <c r="EL270" s="535"/>
      <c r="EM270" s="535">
        <f t="shared" si="617"/>
        <v>42994</v>
      </c>
      <c r="EN270" s="535">
        <f t="shared" si="618"/>
        <v>-35</v>
      </c>
      <c r="EO270" s="535">
        <f t="shared" si="619"/>
        <v>-54.144999999999996</v>
      </c>
      <c r="EP270" s="535">
        <v>0</v>
      </c>
      <c r="EQ270" s="535">
        <v>0</v>
      </c>
      <c r="ER270" s="535">
        <v>0</v>
      </c>
      <c r="ES270" s="521">
        <f t="shared" si="643"/>
        <v>-0.27705286516453698</v>
      </c>
      <c r="ET270" s="535">
        <f>-(VLOOKUP(Sheet1!BQ268,Lookup!$O$4:$Q$262,2)-VLOOKUP(Sheet1!BQ267,Lookup!$O$4:$Q$262,2))/1000000</f>
        <v>-0.13850400029706955</v>
      </c>
      <c r="EU270" s="535">
        <f>-(VLOOKUP(Sheet1!BR268,Lookup!$O$4:$Q$262,3)-VLOOKUP(Sheet1!BR267,Lookup!$O$4:$Q$262,3))/1000000</f>
        <v>-0.13854886486746743</v>
      </c>
      <c r="EV270" s="535"/>
      <c r="EW270" s="535"/>
      <c r="EX270" s="535"/>
      <c r="EY270" s="535"/>
      <c r="EZ270" s="535"/>
      <c r="FA270" s="535"/>
      <c r="FB270" s="535"/>
      <c r="FC270" s="535"/>
      <c r="FD270" s="567">
        <f t="shared" si="632"/>
        <v>1122.5702127658933</v>
      </c>
      <c r="FE270" s="567" t="e">
        <f t="shared" si="620"/>
        <v>#N/A</v>
      </c>
      <c r="FF270" s="568" t="e">
        <f t="shared" si="621"/>
        <v>#N/A</v>
      </c>
      <c r="FG270" s="569" t="s">
        <v>656</v>
      </c>
      <c r="FH270" s="569" t="s">
        <v>656</v>
      </c>
      <c r="FI270" s="567" t="e">
        <v>#N/A</v>
      </c>
      <c r="FJ270" s="725">
        <v>12450</v>
      </c>
      <c r="FK270" s="535"/>
      <c r="FL270" s="1015">
        <f t="shared" si="631"/>
        <v>109.43015632879475</v>
      </c>
      <c r="FM270" s="535"/>
      <c r="FN270" s="535"/>
      <c r="FO270" s="535">
        <f>O270+((Sheet1!CS268)*GPMtoMGD)</f>
        <v>78.636288000000008</v>
      </c>
      <c r="FP270" s="535">
        <f>IF(Sheet1!AA268+AQ270&lt;=Calculation!N270,AQ270,Calculation!N270-Sheet1!AA268)</f>
        <v>27.440178377202521</v>
      </c>
      <c r="FQ270" s="535">
        <f>(Sheet1!BP268+Sheet1!BO268)/694.4</f>
        <v>2.9782546082949315</v>
      </c>
      <c r="FR270" s="541"/>
      <c r="FS270" s="541"/>
      <c r="FT270" s="541"/>
      <c r="FU270" s="541"/>
      <c r="FV270" s="1109">
        <f t="shared" si="644"/>
        <v>42918</v>
      </c>
      <c r="FW270" s="1109">
        <f t="shared" si="645"/>
        <v>43027</v>
      </c>
      <c r="FX270" s="541"/>
      <c r="FY270" s="541">
        <f>Sheet1!DA268-Sheet1!CZ268-Sheet1!AE268</f>
        <v>-89.050390000000007</v>
      </c>
      <c r="FZ270" s="535">
        <f t="shared" si="678"/>
        <v>-0.9469635578217015</v>
      </c>
      <c r="GA270" s="535"/>
      <c r="GB270" s="535" t="str">
        <f t="shared" si="646"/>
        <v>n</v>
      </c>
      <c r="GC270" s="539">
        <f t="shared" si="647"/>
        <v>42782</v>
      </c>
      <c r="GD270" s="1109">
        <f t="shared" si="648"/>
        <v>42904</v>
      </c>
      <c r="GE270" s="535">
        <f t="shared" si="664"/>
        <v>6520</v>
      </c>
      <c r="GF270" s="1109">
        <f t="shared" si="649"/>
        <v>42909</v>
      </c>
      <c r="GG270" s="535">
        <f t="shared" si="564"/>
        <v>3260</v>
      </c>
      <c r="GH270" s="539">
        <f t="shared" si="650"/>
        <v>43040</v>
      </c>
      <c r="GJ270" s="521">
        <f t="shared" si="651"/>
        <v>0</v>
      </c>
      <c r="GK270" s="535" t="str">
        <f t="shared" si="622"/>
        <v/>
      </c>
      <c r="GL270" s="535">
        <f t="shared" si="652"/>
        <v>0</v>
      </c>
      <c r="GM270" s="535" t="str">
        <f t="shared" si="653"/>
        <v/>
      </c>
      <c r="GN270" s="535">
        <f>IF(GK270="P",Lookup!$M$12,IF(GK270="PP",Lookup!$M$13,IF(GK270="PPP",Lookup!$M$14,IF(GK270="T",Lookup!$M$15,IF(GK270="TP",Lookup!$M$16,IF(GK270="TPP",Lookup!$M$17,IF(GK270="TPPP",Lookup!$M$18,0)))))))*GJ270</f>
        <v>0</v>
      </c>
      <c r="GO270" s="535">
        <f t="shared" si="654"/>
        <v>0</v>
      </c>
      <c r="GP270" s="535">
        <f t="shared" si="623"/>
        <v>1539.3229500972354</v>
      </c>
      <c r="GQ270" s="974">
        <f t="shared" si="567"/>
        <v>501.73499025333615</v>
      </c>
      <c r="GR270" s="535"/>
      <c r="GS270" s="535">
        <f t="shared" si="655"/>
        <v>0</v>
      </c>
      <c r="GT270" s="535" t="str">
        <f t="shared" si="656"/>
        <v/>
      </c>
      <c r="GU270" s="535">
        <f>IF(GK270="P",Lookup!$N$12,IF(GK270="PP",Lookup!$N$13,IF(GK270="PPP",Lookup!$N$14,IF(GK270="T",Lookup!$N$15,IF(GK270="TP",Lookup!$N$16,IF(GK270="TPP",Lookup!$N$17,IF(GK270="TPPP",Lookup!$N$18,0)))))))*GJ270</f>
        <v>0</v>
      </c>
      <c r="GV270" s="535">
        <f t="shared" si="657"/>
        <v>0</v>
      </c>
      <c r="GW270" s="535">
        <f t="shared" si="624"/>
        <v>822.82092743625276</v>
      </c>
      <c r="GX270" s="974">
        <f t="shared" si="568"/>
        <v>268.19456565718798</v>
      </c>
      <c r="GY270" s="535"/>
      <c r="GZ270" s="535">
        <f t="shared" si="658"/>
        <v>0</v>
      </c>
      <c r="HA270" s="535" t="str">
        <f t="shared" si="659"/>
        <v/>
      </c>
      <c r="HB270" s="535">
        <f>IF(GK270="P",Lookup!$N$12,IF(GK270="PP",Lookup!$N$13,IF(GK270="PPP",Lookup!$N$14,IF(GK270="T",Lookup!$N$15,IF(GK270="TP",Lookup!$N$16,IF(GK270="TPP",Lookup!$N$17,IF(GK270="TPPP",Lookup!$N$18,0)))))))*GJ270</f>
        <v>0</v>
      </c>
      <c r="HC270" s="521">
        <f t="shared" si="625"/>
        <v>0</v>
      </c>
      <c r="HD270" s="535">
        <f t="shared" si="626"/>
        <v>394.79481381630501</v>
      </c>
      <c r="HE270" s="535">
        <f t="shared" si="662"/>
        <v>128.68149081365874</v>
      </c>
      <c r="HF270" s="535"/>
      <c r="HG270" s="535">
        <f t="shared" si="660"/>
        <v>0</v>
      </c>
      <c r="HH270" s="535" t="str">
        <f t="shared" si="661"/>
        <v/>
      </c>
      <c r="HI270" s="535">
        <f>IF(GK270="P",Lookup!$N$12,IF(GK270="PP",Lookup!$N$13,IF(GK270="PPP",Lookup!$N$14,IF(GK270="T",Lookup!$N$15,IF(GK270="TP",Lookup!$N$16,IF(GK270="TPP",Lookup!$N$17,IF(GK270="TPPP",Lookup!$N$18,0)))))))*GJ270</f>
        <v>0</v>
      </c>
      <c r="HJ270" s="521">
        <f t="shared" si="627"/>
        <v>0</v>
      </c>
      <c r="HK270" s="535">
        <f t="shared" si="628"/>
        <v>345.68891277965673</v>
      </c>
      <c r="HL270" s="535">
        <f t="shared" si="663"/>
        <v>112.6756560559507</v>
      </c>
      <c r="HM270" s="535"/>
      <c r="HN270" s="541"/>
      <c r="HO270" s="541"/>
      <c r="HP270" s="541"/>
      <c r="HQ270" s="541">
        <f>IF(AND(B270&gt;=$FV$4,B270&lt;=$FW$4),MAX(110/1.02+$HQ$6+MIN(113/1.02,G270),IF($HV$6-(Sheet1!DA268-Sheet1!DB268)+MIN(113/1.02,G270)&lt;G270+FL270,$HV$6-(Sheet1!DA268-Sheet1!DB268)+MIN(113/1.02,G270),G270+FL270)),MIN(110/1.02+$HQ$6+113/1.02,G270))</f>
        <v>203.46797781037577</v>
      </c>
      <c r="HR270" s="541">
        <f t="shared" si="679"/>
        <v>207.5373373665833</v>
      </c>
      <c r="HS270" s="541">
        <f>HR270+(Sheet1!DA268-Sheet1!DB268)</f>
        <v>349.5373373665833</v>
      </c>
      <c r="HT270" s="541">
        <f t="shared" si="680"/>
        <v>61.787455949532308</v>
      </c>
      <c r="HU270" s="541">
        <f t="shared" si="681"/>
        <v>287.74988141705097</v>
      </c>
      <c r="HV270" s="541">
        <f t="shared" si="682"/>
        <v>0</v>
      </c>
      <c r="HW270" s="533" t="str">
        <f t="shared" si="683"/>
        <v/>
      </c>
      <c r="HX270" s="541">
        <f t="shared" si="684"/>
        <v>61.387022189624247</v>
      </c>
      <c r="HY270" s="541">
        <f>Sheet1!CZ268</f>
        <v>319</v>
      </c>
      <c r="HZ270" s="541">
        <f t="shared" si="685"/>
        <v>54.144999999999996</v>
      </c>
      <c r="IA270" s="541">
        <f t="shared" si="686"/>
        <v>61.787455949532308</v>
      </c>
      <c r="IB270" s="541">
        <f t="shared" si="687"/>
        <v>264.85500000000002</v>
      </c>
      <c r="IC270" s="1019" t="str">
        <f t="shared" si="688"/>
        <v/>
      </c>
      <c r="ID270" s="541">
        <f t="shared" si="689"/>
        <v>203.06754405046772</v>
      </c>
      <c r="IE270" s="541">
        <f>Sheet1!DB268</f>
        <v>203</v>
      </c>
      <c r="IF270" s="533">
        <f>Sheet1!DA268</f>
        <v>345</v>
      </c>
      <c r="IH270" s="541">
        <f>IF(AND($B270&gt;=$GC270,$B270&lt;=$GH270,$DR270&lt;0)+N("only adjusted when pool is drawn down during storage season"),Sheet1!$DB268+$DR270+N("Palmer minus all storage release"),Sheet1!$DB268)</f>
        <v>-21.962178518418966</v>
      </c>
      <c r="II270" s="541">
        <f>IF(AND($B270&gt;=$GC270,$B270&lt;=$GH270,$DR270&lt;0)+N("only adjusted when pool is drawn down during storage season"),Sheet1!$DA268+$DR270+N("Auburn minus all storage release"),Sheet1!$DA268)</f>
        <v>120.03782148158103</v>
      </c>
    </row>
    <row r="271" spans="1:243" x14ac:dyDescent="0.25">
      <c r="A271" s="553" t="s">
        <v>3</v>
      </c>
      <c r="B271" s="531">
        <v>42995</v>
      </c>
      <c r="C271" s="536">
        <v>0</v>
      </c>
      <c r="D271" s="506">
        <f t="shared" si="633"/>
        <v>300</v>
      </c>
      <c r="E271" s="506">
        <f t="shared" si="634"/>
        <v>250</v>
      </c>
      <c r="F271" s="506">
        <v>250</v>
      </c>
      <c r="G271" s="535">
        <f>DR271+Sheet1!CZ269</f>
        <v>106.84669692408724</v>
      </c>
      <c r="H271" s="1074">
        <f t="shared" si="690"/>
        <v>0</v>
      </c>
      <c r="I271" s="534">
        <f>IF(Sheet1!DA269&gt;=E271,(Sheet1!DA269-E271+P271)*CFStoMGD,0)</f>
        <v>143.55619647999998</v>
      </c>
      <c r="J271" s="995">
        <f>IF(Sheet1!DB269&gt;=D271,(Sheet1!DB269-D271+P271)*CFStoMGD,0)</f>
        <v>0</v>
      </c>
      <c r="K271" s="818">
        <f t="shared" si="665"/>
        <v>0</v>
      </c>
      <c r="L271" s="535">
        <f>Sheet1!AA269+Sheet1!AB269-Sheet1!L269+(Sheet1!DA269-F271)*CFStoMGD-S271-T271-U271</f>
        <v>109.12850584560462</v>
      </c>
      <c r="M271" s="535">
        <f t="shared" si="569"/>
        <v>70.447018989564597</v>
      </c>
      <c r="N271" s="824">
        <f>IF(Sheet1!DA269&gt;=F271,MIN(113*CFStoMGD,MIN(MAX(L271,0),MAX(M271,0))),0)</f>
        <v>70.447018989564597</v>
      </c>
      <c r="O271" s="538">
        <f>Sheet1!AA269+Sheet1!AB269</f>
        <v>73.099999999999994</v>
      </c>
      <c r="P271" s="538">
        <f t="shared" si="570"/>
        <v>113.0857</v>
      </c>
      <c r="Q271" s="812">
        <f t="shared" si="666"/>
        <v>38.670905845604636</v>
      </c>
      <c r="R271" s="812">
        <f t="shared" si="635"/>
        <v>35</v>
      </c>
      <c r="S271" s="812">
        <f t="shared" si="636"/>
        <v>0</v>
      </c>
      <c r="T271" s="812">
        <f t="shared" si="637"/>
        <v>0</v>
      </c>
      <c r="U271" s="812">
        <f>IF(AND(B271&gt;=FV271,B271&lt;=FW271),ED271+Sheet1!EH269,0)</f>
        <v>34.429094154395358</v>
      </c>
      <c r="V271" s="812"/>
      <c r="W271" s="812">
        <f t="shared" si="638"/>
        <v>0</v>
      </c>
      <c r="X271" s="812">
        <f t="shared" si="639"/>
        <v>0</v>
      </c>
      <c r="Y271" s="812" t="str">
        <f t="shared" si="640"/>
        <v>FALSE</v>
      </c>
      <c r="Z271" s="812">
        <f t="shared" si="641"/>
        <v>73.099999999999994</v>
      </c>
      <c r="AA271" s="812">
        <f t="shared" si="642"/>
        <v>73.099999999999994</v>
      </c>
      <c r="AB271" s="1059">
        <f t="shared" si="667"/>
        <v>59.823891343150372</v>
      </c>
      <c r="AC271" s="538">
        <f>Sheet1!Y269*MGDtoCFS</f>
        <v>44.089500000000001</v>
      </c>
      <c r="AD271" s="538">
        <f>Sheet1!Z269*MGDtoCFS</f>
        <v>70.960889999999992</v>
      </c>
      <c r="AE271" s="538">
        <f>Sheet1!AA269*MGDtoCFS</f>
        <v>44.089500000000001</v>
      </c>
      <c r="AF271" s="538">
        <f>Sheet1!AB269*MGDtoCFS</f>
        <v>68.996200000000002</v>
      </c>
      <c r="AG271" s="538">
        <f>Sheet1!L269*MGDtoCFS</f>
        <v>0</v>
      </c>
      <c r="AH271" s="521">
        <f t="shared" si="571"/>
        <v>35</v>
      </c>
      <c r="AI271" s="1059">
        <f t="shared" si="572"/>
        <v>54.144999999999996</v>
      </c>
      <c r="AJ271" s="535">
        <f t="shared" si="573"/>
        <v>0</v>
      </c>
      <c r="AK271" s="535">
        <f t="shared" si="574"/>
        <v>0</v>
      </c>
      <c r="AL271" s="535">
        <f>(VLOOKUP(Sheet1!DC269,hhdcap_wcm,4)-(((VLOOKUP(Sheet1!DC269,hhdcap_wcm,3)-Sheet1!DC269)/(VLOOKUP(Sheet1!DC269,hhdcap_wcm,3)-VLOOKUP(Sheet1!DC269,hhdcap_wcm,1)))*(VLOOKUP(Sheet1!DC269,hhdcap_wcm,4)-VLOOKUP(Sheet1!DC269,hhdcap_wcm,2))))</f>
        <v>25269.000000065847</v>
      </c>
      <c r="AM271" s="535">
        <f t="shared" si="575"/>
        <v>-420.69999999953507</v>
      </c>
      <c r="AN271" s="1035">
        <f t="shared" si="576"/>
        <v>976.28670278013351</v>
      </c>
      <c r="AO271" s="535">
        <f t="shared" si="577"/>
        <v>2995.2476041294499</v>
      </c>
      <c r="AP271" s="535">
        <f>Sheet1!BA269+Sheet1!BB269+Sheet1!BN269+CD271</f>
        <v>26.3</v>
      </c>
      <c r="AQ271" s="535">
        <f>Sheet1!BN269+(DO271*Sheet1!BN269)</f>
        <v>26.170905845604644</v>
      </c>
      <c r="AR271" s="535">
        <f>Sheet1!BA269+CD271</f>
        <v>0</v>
      </c>
      <c r="AS271" s="535">
        <f>Sheet1!BA269+Sheet1!BB269+CD271</f>
        <v>0</v>
      </c>
      <c r="AT271" s="649">
        <f>0</f>
        <v>0</v>
      </c>
      <c r="AU271" s="974">
        <f>BA271+MAX(Sheet1!EH269,(O271-Q271-ED271-S271))</f>
        <v>16</v>
      </c>
      <c r="AV271" s="535">
        <f>IF(OR(B271&gt;=GD271,B271&lt;GC271),0,15/36*K271-MAX(0,64.6-(137.6-(Sheet1!AA269+Sheet1!AB269))))</f>
        <v>0</v>
      </c>
      <c r="AW271" s="1029"/>
      <c r="AX271" s="649"/>
      <c r="AY271" s="649">
        <f t="shared" si="668"/>
        <v>23.311716569431731</v>
      </c>
      <c r="AZ271" s="649">
        <f t="shared" si="669"/>
        <v>0</v>
      </c>
      <c r="BA271" s="1059">
        <f t="shared" si="670"/>
        <v>0</v>
      </c>
      <c r="BB271" s="1019">
        <f t="shared" si="578"/>
        <v>485.73499025333615</v>
      </c>
      <c r="BC271" s="1041">
        <f t="shared" si="671"/>
        <v>0</v>
      </c>
      <c r="BD271" s="1019">
        <f ca="1">IF(B271&gt;(Summary!$A$1-1),#N/A,BB271*MGtoAF)</f>
        <v>1490.2349500972352</v>
      </c>
      <c r="BE271" s="535">
        <f>Sheet1!BG269+Sheet1!BH269+Sheet1!BI269-BM271</f>
        <v>5.51</v>
      </c>
      <c r="BF271" s="535">
        <f t="shared" si="579"/>
        <v>5.4829540383757251</v>
      </c>
      <c r="BG271" s="535">
        <f>IF(Sheet1!EP269="FM",BM271,0)</f>
        <v>0</v>
      </c>
      <c r="BH271" s="535">
        <f t="shared" si="580"/>
        <v>0</v>
      </c>
      <c r="BI271" s="535">
        <f>IF(Sheet1!EP269="OTHER",BM271,0)</f>
        <v>0</v>
      </c>
      <c r="BJ271" s="535">
        <f t="shared" si="581"/>
        <v>0</v>
      </c>
      <c r="BK271" s="535">
        <f t="shared" si="582"/>
        <v>5.51</v>
      </c>
      <c r="BL271" s="535">
        <f t="shared" si="583"/>
        <v>5.4829540383757251</v>
      </c>
      <c r="BM271" s="535">
        <f>IF(OR(Sheet1!EP269="FM", Sheet1!EP269="OTHER"),SUM(Sheet1!BG269:'Sheet1'!BI269),0)</f>
        <v>0</v>
      </c>
      <c r="BN271" s="521">
        <f>IF(AND($B271&gt;=$FV271,$B271&lt;=$FW271),MAX(BF271,Sheet1!EI269,0),MAX(BF271-(7/36)*$K271,0))</f>
        <v>6</v>
      </c>
      <c r="BO271" s="535">
        <f t="shared" si="584"/>
        <v>0</v>
      </c>
      <c r="BP271" s="521">
        <f t="shared" si="585"/>
        <v>0</v>
      </c>
      <c r="BQ271" s="521">
        <f>IF(AND($O271&gt;0,Sheet1!EM269=1),(1-($O271-Sheet1!$L269)/$O271)*BL271,0)</f>
        <v>0</v>
      </c>
      <c r="BR271" s="521">
        <f>IF(AND(Sheet1!$L269=0,Sheet1!$L268=0, Calculation!BK271&lt;Sheet1!$EI269-0.1,Sheet1!$EI269=Sheet1!$EI268,Sheet1!$EI269=Sheet1!$EI270),BL271-BQ271,BL271-BQ271)</f>
        <v>5.4829540383757251</v>
      </c>
      <c r="BS271" s="1035" t="str">
        <f t="shared" si="672"/>
        <v/>
      </c>
      <c r="BT271" s="1035">
        <f t="shared" si="673"/>
        <v>0</v>
      </c>
      <c r="BU271" s="535">
        <f t="shared" si="586"/>
        <v>262.19456565718798</v>
      </c>
      <c r="BV271" s="535"/>
      <c r="BW271" s="535">
        <f ca="1">IF(B271&gt;(Summary!$A$1-1),#N/A,BU271*MGtoAF)</f>
        <v>804.41292743625274</v>
      </c>
      <c r="BX271" s="535">
        <f>Sheet1!BC269+Sheet1!BD269+Sheet1!BE269+Sheet1!BF269-CG271-CH271</f>
        <v>4.99</v>
      </c>
      <c r="BY271" s="535">
        <f t="shared" si="587"/>
        <v>4.9655064703257477</v>
      </c>
      <c r="BZ271" s="535">
        <f>IF(Sheet1!EQ269="FM",CH271,0)</f>
        <v>0</v>
      </c>
      <c r="CA271" s="535">
        <f t="shared" si="588"/>
        <v>0</v>
      </c>
      <c r="CB271" s="535">
        <f>IF(Sheet1!EQ269="OTHER",CH271,0)</f>
        <v>0</v>
      </c>
      <c r="CC271" s="535">
        <f t="shared" si="589"/>
        <v>0</v>
      </c>
      <c r="CD271" s="535">
        <f t="shared" si="590"/>
        <v>0</v>
      </c>
      <c r="CE271" s="535">
        <f t="shared" si="591"/>
        <v>4.99</v>
      </c>
      <c r="CF271" s="535">
        <f t="shared" si="592"/>
        <v>4.9655064703257477</v>
      </c>
      <c r="CG271" s="535">
        <f>IF(Sheet1!EQ269="CWA",SUM(Sheet1!BC269:'Sheet1'!BF269),0)</f>
        <v>0</v>
      </c>
      <c r="CH271" s="535">
        <f>IF(OR(Sheet1!EQ269="FM", Sheet1!EQ269="OTHER"),SUM(Sheet1!BC269:'Sheet1'!BF269),0)</f>
        <v>0</v>
      </c>
      <c r="CI271" s="521">
        <f>IF(AND($B271&gt;=$FV271,$B271&lt;=$FW271),MAX(CF271,Sheet1!EJ269,0),MAX(CF271-(7/36)*$K271,0))</f>
        <v>5</v>
      </c>
      <c r="CJ271" s="535">
        <f t="shared" si="593"/>
        <v>0</v>
      </c>
      <c r="CK271" s="521">
        <f t="shared" si="594"/>
        <v>0</v>
      </c>
      <c r="CL271" s="521">
        <f>IF(AND($O271&gt;0,Sheet1!EN269=1),(1-($O271-Sheet1!$L269)/$O271)*CF271,0)</f>
        <v>0</v>
      </c>
      <c r="CM271" s="521">
        <f>IF(AND(Sheet1!$L269=0,Sheet1!$L268=0, Calculation!CE271&lt;Sheet1!EJ269-0.1,Sheet1!EJ269=Sheet1!EJ268,Sheet1!EJ269=Sheet1!EJ270),CF271-CL271,CF271-CL271)</f>
        <v>4.9655064703257477</v>
      </c>
      <c r="CN271" s="1040" t="str">
        <f t="shared" si="674"/>
        <v/>
      </c>
      <c r="CO271" s="1035">
        <f t="shared" si="675"/>
        <v>0</v>
      </c>
      <c r="CP271" s="535">
        <f t="shared" si="595"/>
        <v>123.68149081365874</v>
      </c>
      <c r="CQ271" s="535"/>
      <c r="CR271" s="535">
        <f ca="1">IF(B271&gt;(Summary!$A$1-1),#N/A,CP271*MGtoAF)</f>
        <v>379.45481381630503</v>
      </c>
      <c r="CS271" s="535">
        <f>Sheet1!BK269+Sheet1!BL269+Sheet1!BM269-Sheet1!ER269-DA271</f>
        <v>8.02</v>
      </c>
      <c r="CT271" s="535">
        <f t="shared" si="596"/>
        <v>7.980633645693886</v>
      </c>
      <c r="CU271" s="535">
        <f>IF(Sheet1!ER269="FM",DA271,0)</f>
        <v>0</v>
      </c>
      <c r="CV271" s="535">
        <f t="shared" si="597"/>
        <v>0</v>
      </c>
      <c r="CW271" s="535">
        <f>IF(Sheet1!ER269="OTHER",DA271,0)</f>
        <v>0</v>
      </c>
      <c r="CX271" s="535">
        <f t="shared" si="598"/>
        <v>0</v>
      </c>
      <c r="CY271" s="535">
        <f t="shared" si="629"/>
        <v>8.02</v>
      </c>
      <c r="CZ271" s="535">
        <f t="shared" si="630"/>
        <v>7.980633645693886</v>
      </c>
      <c r="DA271" s="535">
        <f>IF(OR(Sheet1!ER269="FM", Sheet1!ER269="OTHER"),SUM(Sheet1!BK269:'Sheet1'!BM269),0)</f>
        <v>0</v>
      </c>
      <c r="DB271" s="1011">
        <f>IF(AND($B271&gt;=$FV271,$B271&lt;=$FW271),MAX($CT271,Sheet1!EK269,0),MAX($CT271-(7/36)*$K271,0))</f>
        <v>8</v>
      </c>
      <c r="DC271" s="1012">
        <f t="shared" si="601"/>
        <v>0</v>
      </c>
      <c r="DD271" s="1011">
        <f t="shared" si="602"/>
        <v>0</v>
      </c>
      <c r="DE271" s="521">
        <f>IF(AND($O271&gt;0,Sheet1!EO269=1),(1-($O271-Sheet1!$L269)/$O271)*CZ271,0)</f>
        <v>0</v>
      </c>
      <c r="DF271" s="521">
        <f>IF(AND(Sheet1!$L269=0,Sheet1!$L268=0, Calculation!CY271&lt;Sheet1!$EK269-0.1,Sheet1!$EK269=Sheet1!$EK268,Sheet1!$EK269=Sheet1!$EK270),CZ271-DE271,CZ271-DE271)</f>
        <v>7.980633645693886</v>
      </c>
      <c r="DG271" s="1040">
        <f t="shared" si="676"/>
        <v>0</v>
      </c>
      <c r="DH271" s="649">
        <f t="shared" si="603"/>
        <v>18.52</v>
      </c>
      <c r="DI271" s="535">
        <f t="shared" si="604"/>
        <v>104.6756560559507</v>
      </c>
      <c r="DJ271" s="649">
        <f t="shared" si="605"/>
        <v>18.429094154395358</v>
      </c>
      <c r="DK271" s="535">
        <f ca="1">IF(B271&gt;(Summary!$A$1-1),#N/A,DI271*MGtoAF)</f>
        <v>321.14491277965675</v>
      </c>
      <c r="DL271" s="649">
        <f t="shared" si="606"/>
        <v>18.52</v>
      </c>
      <c r="DM271" s="535">
        <f t="shared" si="607"/>
        <v>44.82</v>
      </c>
      <c r="DN271" s="535">
        <f>Sheet1!AB269-DM271</f>
        <v>-0.21999999999999886</v>
      </c>
      <c r="DO271" s="743">
        <f t="shared" si="608"/>
        <v>-4.9085229808121123E-3</v>
      </c>
      <c r="DP271" s="535">
        <f>(VLOOKUP(Sheet1!DC269,hhdcap_wcm,4)-(((VLOOKUP(Sheet1!DC269,hhdcap_wcm,3)-Sheet1!DC269)/(VLOOKUP(Sheet1!DC269,hhdcap_wcm,3)-VLOOKUP(Sheet1!DC269,hhdcap_wcm,1)))*(VLOOKUP(Sheet1!DC269,hhdcap_wcm,4)-VLOOKUP(Sheet1!DC269,hhdcap_wcm,2))))</f>
        <v>25269.000000065847</v>
      </c>
      <c r="DQ271" s="535">
        <f t="shared" si="609"/>
        <v>-420.69999999953507</v>
      </c>
      <c r="DR271" s="535">
        <f t="shared" si="610"/>
        <v>-212.15330307591276</v>
      </c>
      <c r="DS271" s="535">
        <f>Sheet1!EA269*AFtoMG</f>
        <v>0</v>
      </c>
      <c r="DT271" s="535">
        <f>Sheet1!EB269*AFtoMG</f>
        <v>0</v>
      </c>
      <c r="DU271" s="535">
        <f>Sheet1!EC269*AFtoMG</f>
        <v>0</v>
      </c>
      <c r="DV271" s="535">
        <f>Sheet1!ED269*AFtoMG</f>
        <v>0</v>
      </c>
      <c r="DW271" s="535">
        <f t="shared" si="611"/>
        <v>0</v>
      </c>
      <c r="DX271" s="535">
        <f t="shared" si="612"/>
        <v>0</v>
      </c>
      <c r="DY271" s="535">
        <f t="shared" si="613"/>
        <v>976.28670278013351</v>
      </c>
      <c r="DZ271" s="535">
        <f t="shared" si="614"/>
        <v>2995.2476041294499</v>
      </c>
      <c r="EA271" s="535"/>
      <c r="EB271" s="521">
        <f>IF(OR(B271&lt;FV271,B271&gt;FW271),(MIN(BF271+BY271+CT271+MAX(Sheet1!AA269+AQ271-73,0),K271)),0)</f>
        <v>0</v>
      </c>
      <c r="EC271" s="535"/>
      <c r="ED271" s="535">
        <f t="shared" si="615"/>
        <v>18.429094154395358</v>
      </c>
      <c r="EE271" s="535"/>
      <c r="EF271" s="535">
        <f>Sheet1!EH269+Sheet1!EI269+Sheet1!EJ269+Sheet1!EK269</f>
        <v>35</v>
      </c>
      <c r="EG271" s="1019">
        <f t="shared" si="677"/>
        <v>54.144999999999996</v>
      </c>
      <c r="EH271" s="521">
        <f t="shared" si="616"/>
        <v>0</v>
      </c>
      <c r="EI271" s="535">
        <f>IF(Sheet1!ET269=1,SUM('Calculations II'!AT271:BA271)+'Calculations II'!BC271+Sheet1!BV269+'Calculations II'!BE271+AP271,'Calculations II'!BK271)</f>
        <v>59.104385845604646</v>
      </c>
      <c r="EJ271" s="535">
        <f ca="1">EI271+'Calculations II'!D271+'Calculations II'!E271+'Calculations II'!O271</f>
        <v>60.710920920393498</v>
      </c>
      <c r="EK271" s="535"/>
      <c r="EL271" s="535"/>
      <c r="EM271" s="535">
        <f t="shared" si="617"/>
        <v>42995</v>
      </c>
      <c r="EN271" s="535">
        <f t="shared" si="618"/>
        <v>-35</v>
      </c>
      <c r="EO271" s="535">
        <f t="shared" si="619"/>
        <v>-54.144999999999996</v>
      </c>
      <c r="EP271" s="535">
        <v>0</v>
      </c>
      <c r="EQ271" s="535">
        <v>0</v>
      </c>
      <c r="ER271" s="535">
        <v>0</v>
      </c>
      <c r="ES271" s="521">
        <f t="shared" si="643"/>
        <v>-0.27706568376101554</v>
      </c>
      <c r="ET271" s="535">
        <f>-(VLOOKUP(Sheet1!BQ269,Lookup!$O$4:$Q$262,2)-VLOOKUP(Sheet1!BQ268,Lookup!$O$4:$Q$262,2))/1000000</f>
        <v>-0.13851040907801315</v>
      </c>
      <c r="EU271" s="535">
        <f>-(VLOOKUP(Sheet1!BR269,Lookup!$O$4:$Q$262,3)-VLOOKUP(Sheet1!BR268,Lookup!$O$4:$Q$262,3))/1000000</f>
        <v>-0.13855527468300238</v>
      </c>
      <c r="EV271" s="535"/>
      <c r="EW271" s="535"/>
      <c r="EX271" s="535"/>
      <c r="EY271" s="535"/>
      <c r="EZ271" s="535"/>
      <c r="FA271" s="535"/>
      <c r="FB271" s="535"/>
      <c r="FC271" s="535"/>
      <c r="FD271" s="567">
        <f t="shared" si="632"/>
        <v>1122.1106382978085</v>
      </c>
      <c r="FE271" s="567" t="e">
        <f t="shared" si="620"/>
        <v>#N/A</v>
      </c>
      <c r="FF271" s="568" t="e">
        <f t="shared" si="621"/>
        <v>#N/A</v>
      </c>
      <c r="FG271" s="569" t="s">
        <v>656</v>
      </c>
      <c r="FH271" s="569" t="s">
        <v>656</v>
      </c>
      <c r="FI271" s="567" t="e">
        <v>#N/A</v>
      </c>
      <c r="FJ271" s="725">
        <v>12233</v>
      </c>
      <c r="FK271" s="535"/>
      <c r="FL271" s="1015">
        <f t="shared" si="631"/>
        <v>109.43015632879475</v>
      </c>
      <c r="FM271" s="535"/>
      <c r="FN271" s="535"/>
      <c r="FO271" s="535">
        <f>O271+((Sheet1!CS269)*GPMtoMGD)</f>
        <v>77.367583999999994</v>
      </c>
      <c r="FP271" s="535">
        <f>IF(Sheet1!AA269+AQ271&lt;=Calculation!N271,AQ271,Calculation!N271-Sheet1!AA269)</f>
        <v>26.170905845604644</v>
      </c>
      <c r="FQ271" s="535">
        <f>(Sheet1!BP269+Sheet1!BO269)/694.4</f>
        <v>2.6114631336405534</v>
      </c>
      <c r="FR271" s="541"/>
      <c r="FS271" s="541"/>
      <c r="FT271" s="541"/>
      <c r="FU271" s="541"/>
      <c r="FV271" s="1109">
        <f t="shared" si="644"/>
        <v>42918</v>
      </c>
      <c r="FW271" s="1109">
        <f t="shared" si="645"/>
        <v>43027</v>
      </c>
      <c r="FX271" s="541"/>
      <c r="FY271" s="541">
        <f>Sheet1!DA269-Sheet1!CZ269-Sheet1!AE269</f>
        <v>-73.085699999999989</v>
      </c>
      <c r="FZ271" s="535">
        <f t="shared" si="678"/>
        <v>-0.68402395304672947</v>
      </c>
      <c r="GA271" s="535"/>
      <c r="GB271" s="535" t="str">
        <f t="shared" si="646"/>
        <v>n</v>
      </c>
      <c r="GC271" s="539">
        <f t="shared" si="647"/>
        <v>42782</v>
      </c>
      <c r="GD271" s="1109">
        <f t="shared" si="648"/>
        <v>42904</v>
      </c>
      <c r="GE271" s="535">
        <f t="shared" si="664"/>
        <v>6520</v>
      </c>
      <c r="GF271" s="1109">
        <f t="shared" si="649"/>
        <v>42909</v>
      </c>
      <c r="GG271" s="535">
        <f t="shared" si="564"/>
        <v>3260</v>
      </c>
      <c r="GH271" s="539">
        <f t="shared" si="650"/>
        <v>43040</v>
      </c>
      <c r="GJ271" s="521">
        <f t="shared" si="651"/>
        <v>0</v>
      </c>
      <c r="GK271" s="535" t="str">
        <f t="shared" si="622"/>
        <v/>
      </c>
      <c r="GL271" s="535">
        <f t="shared" si="652"/>
        <v>0</v>
      </c>
      <c r="GM271" s="535" t="str">
        <f t="shared" si="653"/>
        <v/>
      </c>
      <c r="GN271" s="535">
        <f>IF(GK271="P",Lookup!$M$12,IF(GK271="PP",Lookup!$M$13,IF(GK271="PPP",Lookup!$M$14,IF(GK271="T",Lookup!$M$15,IF(GK271="TP",Lookup!$M$16,IF(GK271="TPP",Lookup!$M$17,IF(GK271="TPPP",Lookup!$M$18,0)))))))*GJ271</f>
        <v>0</v>
      </c>
      <c r="GO271" s="535">
        <f t="shared" si="654"/>
        <v>0</v>
      </c>
      <c r="GP271" s="535">
        <f t="shared" si="623"/>
        <v>1490.2349500972352</v>
      </c>
      <c r="GQ271" s="974">
        <f t="shared" si="567"/>
        <v>485.73499025333615</v>
      </c>
      <c r="GR271" s="535"/>
      <c r="GS271" s="535">
        <f t="shared" si="655"/>
        <v>0</v>
      </c>
      <c r="GT271" s="535" t="str">
        <f t="shared" si="656"/>
        <v/>
      </c>
      <c r="GU271" s="535">
        <f>IF(GK271="P",Lookup!$N$12,IF(GK271="PP",Lookup!$N$13,IF(GK271="PPP",Lookup!$N$14,IF(GK271="T",Lookup!$N$15,IF(GK271="TP",Lookup!$N$16,IF(GK271="TPP",Lookup!$N$17,IF(GK271="TPPP",Lookup!$N$18,0)))))))*GJ271</f>
        <v>0</v>
      </c>
      <c r="GV271" s="535">
        <f t="shared" si="657"/>
        <v>0</v>
      </c>
      <c r="GW271" s="535">
        <f t="shared" si="624"/>
        <v>804.41292743625274</v>
      </c>
      <c r="GX271" s="974">
        <f t="shared" si="568"/>
        <v>262.19456565718798</v>
      </c>
      <c r="GY271" s="535"/>
      <c r="GZ271" s="535">
        <f t="shared" si="658"/>
        <v>0</v>
      </c>
      <c r="HA271" s="535" t="str">
        <f t="shared" si="659"/>
        <v/>
      </c>
      <c r="HB271" s="535">
        <f>IF(GK271="P",Lookup!$N$12,IF(GK271="PP",Lookup!$N$13,IF(GK271="PPP",Lookup!$N$14,IF(GK271="T",Lookup!$N$15,IF(GK271="TP",Lookup!$N$16,IF(GK271="TPP",Lookup!$N$17,IF(GK271="TPPP",Lookup!$N$18,0)))))))*GJ271</f>
        <v>0</v>
      </c>
      <c r="HC271" s="521">
        <f t="shared" si="625"/>
        <v>0</v>
      </c>
      <c r="HD271" s="535">
        <f t="shared" si="626"/>
        <v>379.45481381630503</v>
      </c>
      <c r="HE271" s="535">
        <f t="shared" si="662"/>
        <v>123.68149081365874</v>
      </c>
      <c r="HF271" s="535"/>
      <c r="HG271" s="535">
        <f t="shared" si="660"/>
        <v>0</v>
      </c>
      <c r="HH271" s="535" t="str">
        <f t="shared" si="661"/>
        <v/>
      </c>
      <c r="HI271" s="535">
        <f>IF(GK271="P",Lookup!$N$12,IF(GK271="PP",Lookup!$N$13,IF(GK271="PPP",Lookup!$N$14,IF(GK271="T",Lookup!$N$15,IF(GK271="TP",Lookup!$N$16,IF(GK271="TPP",Lookup!$N$17,IF(GK271="TPPP",Lookup!$N$18,0)))))))*GJ271</f>
        <v>0</v>
      </c>
      <c r="HJ271" s="521">
        <f t="shared" si="627"/>
        <v>0</v>
      </c>
      <c r="HK271" s="535">
        <f t="shared" si="628"/>
        <v>321.14491277965675</v>
      </c>
      <c r="HL271" s="535">
        <f t="shared" si="663"/>
        <v>104.6756560559507</v>
      </c>
      <c r="HM271" s="535"/>
      <c r="HN271" s="541"/>
      <c r="HO271" s="541"/>
      <c r="HP271" s="541"/>
      <c r="HQ271" s="541">
        <f>IF(AND(B271&gt;=$FV$4,B271&lt;=$FW$4),MAX(110/1.02+$HQ$6+MIN(113/1.02,G271),IF($HV$6-(Sheet1!DA269-Sheet1!DB269)+MIN(113/1.02,G271)&lt;G271+FL271,$HV$6-(Sheet1!DA269-Sheet1!DB269)+MIN(113/1.02,G271),G271+FL271)),MIN(110/1.02+$HQ$6+113/1.02,G271))</f>
        <v>216.27685325288201</v>
      </c>
      <c r="HR271" s="541">
        <f t="shared" si="679"/>
        <v>220.60239031793964</v>
      </c>
      <c r="HS271" s="541">
        <f>HR271+(Sheet1!DA269-Sheet1!DB269)</f>
        <v>364.60239031793964</v>
      </c>
      <c r="HT271" s="541">
        <f t="shared" si="680"/>
        <v>59.823891343150372</v>
      </c>
      <c r="HU271" s="541">
        <f t="shared" si="681"/>
        <v>304.77849897478927</v>
      </c>
      <c r="HV271" s="541">
        <f t="shared" si="682"/>
        <v>0</v>
      </c>
      <c r="HW271" s="533" t="str">
        <f t="shared" si="683"/>
        <v/>
      </c>
      <c r="HX271" s="541">
        <f t="shared" si="684"/>
        <v>48.578146747118012</v>
      </c>
      <c r="HY271" s="541">
        <f>Sheet1!CZ269</f>
        <v>319</v>
      </c>
      <c r="HZ271" s="541">
        <f t="shared" si="685"/>
        <v>54.144999999999996</v>
      </c>
      <c r="IA271" s="541">
        <f t="shared" si="686"/>
        <v>59.823891343150372</v>
      </c>
      <c r="IB271" s="541">
        <f t="shared" si="687"/>
        <v>264.85500000000002</v>
      </c>
      <c r="IC271" s="1019" t="str">
        <f t="shared" si="688"/>
        <v/>
      </c>
      <c r="ID271" s="541">
        <f t="shared" si="689"/>
        <v>205.03110865684965</v>
      </c>
      <c r="IE271" s="541">
        <f>Sheet1!DB269</f>
        <v>215</v>
      </c>
      <c r="IF271" s="533">
        <f>Sheet1!DA269</f>
        <v>359</v>
      </c>
      <c r="IH271" s="541">
        <f>IF(AND($B271&gt;=$GC271,$B271&lt;=$GH271,$DR271&lt;0)+N("only adjusted when pool is drawn down during storage season"),Sheet1!$DB269+$DR271+N("Palmer minus all storage release"),Sheet1!$DB269)</f>
        <v>2.8466969240872402</v>
      </c>
      <c r="II271" s="541">
        <f>IF(AND($B271&gt;=$GC271,$B271&lt;=$GH271,$DR271&lt;0)+N("only adjusted when pool is drawn down during storage season"),Sheet1!$DA269+$DR271+N("Auburn minus all storage release"),Sheet1!$DA269)</f>
        <v>146.84669692408724</v>
      </c>
    </row>
    <row r="272" spans="1:243" x14ac:dyDescent="0.25">
      <c r="A272" s="553" t="s">
        <v>4</v>
      </c>
      <c r="B272" s="531">
        <v>42996</v>
      </c>
      <c r="C272" s="536">
        <v>0</v>
      </c>
      <c r="D272" s="506">
        <f t="shared" si="633"/>
        <v>300</v>
      </c>
      <c r="E272" s="506">
        <f t="shared" si="634"/>
        <v>250</v>
      </c>
      <c r="F272" s="506">
        <v>250</v>
      </c>
      <c r="G272" s="535">
        <f>DR272+Sheet1!CZ270</f>
        <v>139.72617246453888</v>
      </c>
      <c r="H272" s="1074">
        <f t="shared" si="690"/>
        <v>0</v>
      </c>
      <c r="I272" s="534">
        <f>IF(Sheet1!DA270&gt;=E272,(Sheet1!DA270-E272+P272)*CFStoMGD,0)</f>
        <v>155.597038336</v>
      </c>
      <c r="J272" s="995">
        <f>IF(Sheet1!DB270&gt;=D272,(Sheet1!DB270-D272+P272)*CFStoMGD,0)</f>
        <v>0</v>
      </c>
      <c r="K272" s="818">
        <f t="shared" si="665"/>
        <v>0</v>
      </c>
      <c r="L272" s="535">
        <f>Sheet1!AA270+Sheet1!AB270-Sheet1!L270+(Sheet1!DA270-F272)*CFStoMGD-S272-T272-U272</f>
        <v>124.03058823529412</v>
      </c>
      <c r="M272" s="535">
        <f t="shared" si="569"/>
        <v>92.125377838699492</v>
      </c>
      <c r="N272" s="824">
        <f>IF(Sheet1!DA270&gt;=F272,MIN(113*CFStoMGD,MIN(MAX(L272,0),MAX(M272,0))),0)</f>
        <v>73.043199999999999</v>
      </c>
      <c r="O272" s="538">
        <f>Sheet1!AA270+Sheet1!AB270</f>
        <v>70.92</v>
      </c>
      <c r="P272" s="538">
        <f t="shared" si="570"/>
        <v>109.71324</v>
      </c>
      <c r="Q272" s="812">
        <f t="shared" si="666"/>
        <v>39.352188235294122</v>
      </c>
      <c r="R272" s="812">
        <f t="shared" si="635"/>
        <v>31</v>
      </c>
      <c r="S272" s="812">
        <f t="shared" si="636"/>
        <v>0</v>
      </c>
      <c r="T272" s="812">
        <f t="shared" si="637"/>
        <v>0</v>
      </c>
      <c r="U272" s="812">
        <f>IF(AND(B272&gt;=FV272,B272&lt;=FW272),ED272+Sheet1!EH270,0)</f>
        <v>31.56781176470588</v>
      </c>
      <c r="V272" s="812"/>
      <c r="W272" s="812">
        <f t="shared" si="638"/>
        <v>0</v>
      </c>
      <c r="X272" s="812">
        <f t="shared" si="639"/>
        <v>0</v>
      </c>
      <c r="Y272" s="812" t="str">
        <f t="shared" si="640"/>
        <v>FALSE</v>
      </c>
      <c r="Z272" s="812">
        <f t="shared" si="641"/>
        <v>70.92</v>
      </c>
      <c r="AA272" s="812">
        <f t="shared" si="642"/>
        <v>70.92</v>
      </c>
      <c r="AB272" s="1059">
        <f t="shared" si="667"/>
        <v>60.877835200000007</v>
      </c>
      <c r="AC272" s="538">
        <f>Sheet1!Y270*MGDtoCFS</f>
        <v>44.089500000000001</v>
      </c>
      <c r="AD272" s="538">
        <f>Sheet1!Z270*MGDtoCFS</f>
        <v>68.996200000000002</v>
      </c>
      <c r="AE272" s="538">
        <f>Sheet1!AA270*MGDtoCFS</f>
        <v>44.089500000000001</v>
      </c>
      <c r="AF272" s="538">
        <f>Sheet1!AB270*MGDtoCFS</f>
        <v>65.623739999999998</v>
      </c>
      <c r="AG272" s="538">
        <f>Sheet1!L270*MGDtoCFS</f>
        <v>0</v>
      </c>
      <c r="AH272" s="521">
        <f t="shared" si="571"/>
        <v>31.567811764705883</v>
      </c>
      <c r="AI272" s="1059">
        <f t="shared" si="572"/>
        <v>48.835404799999999</v>
      </c>
      <c r="AJ272" s="535">
        <f t="shared" si="573"/>
        <v>0</v>
      </c>
      <c r="AK272" s="535">
        <f t="shared" si="574"/>
        <v>0</v>
      </c>
      <c r="AL272" s="535">
        <f>(VLOOKUP(Sheet1!DC270,hhdcap_wcm,4)-(((VLOOKUP(Sheet1!DC270,hhdcap_wcm,3)-Sheet1!DC270)/(VLOOKUP(Sheet1!DC270,hhdcap_wcm,3)-VLOOKUP(Sheet1!DC270,hhdcap_wcm,1)))*(VLOOKUP(Sheet1!DC270,hhdcap_wcm,4)-VLOOKUP(Sheet1!DC270,hhdcap_wcm,2))))</f>
        <v>24913.500000063028</v>
      </c>
      <c r="AM272" s="535">
        <f t="shared" si="575"/>
        <v>-355.50000000281943</v>
      </c>
      <c r="AN272" s="1035">
        <f t="shared" si="576"/>
        <v>944.71889101542774</v>
      </c>
      <c r="AO272" s="535">
        <f t="shared" si="577"/>
        <v>2898.3975576353323</v>
      </c>
      <c r="AP272" s="535">
        <f>Sheet1!BA270+Sheet1!BB270+Sheet1!BN270+CD272</f>
        <v>25.4</v>
      </c>
      <c r="AQ272" s="535">
        <f>Sheet1!BN270+(DO272*Sheet1!BN270)</f>
        <v>25.352188235294118</v>
      </c>
      <c r="AR272" s="535">
        <f>Sheet1!BA270+CD272</f>
        <v>0</v>
      </c>
      <c r="AS272" s="535">
        <f>Sheet1!BA270+Sheet1!BB270+CD272</f>
        <v>0</v>
      </c>
      <c r="AT272" s="649">
        <f>0</f>
        <v>0</v>
      </c>
      <c r="AU272" s="974">
        <f>BA272+MAX(Sheet1!EH270,(O272-Q272-ED272-S272))</f>
        <v>14.5</v>
      </c>
      <c r="AV272" s="535">
        <f>IF(OR(B272&gt;=GD272,B272&lt;GC272),0,15/36*K272-MAX(0,64.6-(137.6-(Sheet1!AA270+Sheet1!AB270))))</f>
        <v>0</v>
      </c>
      <c r="AW272" s="1029"/>
      <c r="AX272" s="649"/>
      <c r="AY272" s="649">
        <f t="shared" si="668"/>
        <v>23.311716569431731</v>
      </c>
      <c r="AZ272" s="649">
        <f t="shared" si="669"/>
        <v>0</v>
      </c>
      <c r="BA272" s="1059">
        <f t="shared" si="670"/>
        <v>0</v>
      </c>
      <c r="BB272" s="1019">
        <f t="shared" si="578"/>
        <v>471.23499025333615</v>
      </c>
      <c r="BC272" s="1041">
        <f t="shared" si="671"/>
        <v>0</v>
      </c>
      <c r="BD272" s="1019">
        <f ca="1">IF(B272&gt;(Summary!$A$1-1),#N/A,BB272*MGtoAF)</f>
        <v>1445.7489500972354</v>
      </c>
      <c r="BE272" s="535">
        <f>Sheet1!BG270+Sheet1!BH270+Sheet1!BI270-BM272</f>
        <v>5.0199999999999996</v>
      </c>
      <c r="BF272" s="535">
        <f t="shared" si="579"/>
        <v>5.0105505882352936</v>
      </c>
      <c r="BG272" s="535">
        <f>IF(Sheet1!EP270="FM",BM272,0)</f>
        <v>0</v>
      </c>
      <c r="BH272" s="535">
        <f t="shared" si="580"/>
        <v>0</v>
      </c>
      <c r="BI272" s="535">
        <f>IF(Sheet1!EP270="OTHER",BM272,0)</f>
        <v>0</v>
      </c>
      <c r="BJ272" s="535">
        <f t="shared" si="581"/>
        <v>0</v>
      </c>
      <c r="BK272" s="535">
        <f t="shared" si="582"/>
        <v>5.0199999999999996</v>
      </c>
      <c r="BL272" s="535">
        <f t="shared" si="583"/>
        <v>5.0105505882352936</v>
      </c>
      <c r="BM272" s="535">
        <f>IF(OR(Sheet1!EP270="FM", Sheet1!EP270="OTHER"),SUM(Sheet1!BG270:'Sheet1'!BI270),0)</f>
        <v>0</v>
      </c>
      <c r="BN272" s="521">
        <f>IF(AND($B272&gt;=$FV272,$B272&lt;=$FW272),MAX(BF272,Sheet1!EI270,0),MAX(BF272-(7/36)*$K272,0))</f>
        <v>5.0105505882352936</v>
      </c>
      <c r="BO272" s="535">
        <f t="shared" si="584"/>
        <v>0</v>
      </c>
      <c r="BP272" s="521">
        <f t="shared" si="585"/>
        <v>0</v>
      </c>
      <c r="BQ272" s="521">
        <f>IF(AND($O272&gt;0,Sheet1!EM270=1),(1-($O272-Sheet1!$L270)/$O272)*BL272,0)</f>
        <v>0</v>
      </c>
      <c r="BR272" s="521">
        <f>IF(AND(Sheet1!$L270=0,Sheet1!$L269=0, Calculation!BK272&lt;Sheet1!$EI270-0.1,Sheet1!$EI270=Sheet1!$EI269,Sheet1!$EI270=Sheet1!$EI271),BL272-BQ272,BL272-BQ272)</f>
        <v>5.0105505882352936</v>
      </c>
      <c r="BS272" s="1035" t="str">
        <f t="shared" si="672"/>
        <v/>
      </c>
      <c r="BT272" s="1035">
        <f t="shared" si="673"/>
        <v>0</v>
      </c>
      <c r="BU272" s="535">
        <f t="shared" si="586"/>
        <v>257.1840150689527</v>
      </c>
      <c r="BV272" s="535"/>
      <c r="BW272" s="535">
        <f ca="1">IF(B272&gt;(Summary!$A$1-1),#N/A,BU272*MGtoAF)</f>
        <v>789.04055823154692</v>
      </c>
      <c r="BX272" s="535">
        <f>Sheet1!BC270+Sheet1!BD270+Sheet1!BE270+Sheet1!BF270-CG272-CH272</f>
        <v>4.6899999999999995</v>
      </c>
      <c r="BY272" s="535">
        <f t="shared" si="587"/>
        <v>4.6811717647058817</v>
      </c>
      <c r="BZ272" s="535">
        <f>IF(Sheet1!EQ270="FM",CH272,0)</f>
        <v>0</v>
      </c>
      <c r="CA272" s="535">
        <f t="shared" si="588"/>
        <v>0</v>
      </c>
      <c r="CB272" s="535">
        <f>IF(Sheet1!EQ270="OTHER",CH272,0)</f>
        <v>0</v>
      </c>
      <c r="CC272" s="535">
        <f t="shared" si="589"/>
        <v>0</v>
      </c>
      <c r="CD272" s="535">
        <f t="shared" si="590"/>
        <v>0</v>
      </c>
      <c r="CE272" s="535">
        <f t="shared" si="591"/>
        <v>4.6899999999999995</v>
      </c>
      <c r="CF272" s="535">
        <f t="shared" si="592"/>
        <v>4.6811717647058817</v>
      </c>
      <c r="CG272" s="535">
        <f>IF(Sheet1!EQ270="CWA",SUM(Sheet1!BC270:'Sheet1'!BF270),0)</f>
        <v>0</v>
      </c>
      <c r="CH272" s="535">
        <f>IF(OR(Sheet1!EQ270="FM", Sheet1!EQ270="OTHER"),SUM(Sheet1!BC270:'Sheet1'!BF270),0)</f>
        <v>0</v>
      </c>
      <c r="CI272" s="521">
        <f>IF(AND($B272&gt;=$FV272,$B272&lt;=$FW272),MAX(CF272,Sheet1!EJ270,0),MAX(CF272-(7/36)*$K272,0))</f>
        <v>4.6811717647058817</v>
      </c>
      <c r="CJ272" s="535">
        <f t="shared" si="593"/>
        <v>0</v>
      </c>
      <c r="CK272" s="521">
        <f t="shared" si="594"/>
        <v>0</v>
      </c>
      <c r="CL272" s="521">
        <f>IF(AND($O272&gt;0,Sheet1!EN270=1),(1-($O272-Sheet1!$L270)/$O272)*CF272,0)</f>
        <v>0</v>
      </c>
      <c r="CM272" s="521">
        <f>IF(AND(Sheet1!$L270=0,Sheet1!$L269=0, Calculation!CE272&lt;Sheet1!EJ270-0.1,Sheet1!EJ270=Sheet1!EJ269,Sheet1!EJ270=Sheet1!EJ271),CF272-CL272,CF272-CL272)</f>
        <v>4.6811717647058817</v>
      </c>
      <c r="CN272" s="1040" t="str">
        <f t="shared" si="674"/>
        <v/>
      </c>
      <c r="CO272" s="1035">
        <f t="shared" si="675"/>
        <v>0</v>
      </c>
      <c r="CP272" s="535">
        <f t="shared" si="595"/>
        <v>119.00031904895286</v>
      </c>
      <c r="CQ272" s="535"/>
      <c r="CR272" s="535">
        <f ca="1">IF(B272&gt;(Summary!$A$1-1),#N/A,CP272*MGtoAF)</f>
        <v>365.09297884218739</v>
      </c>
      <c r="CS272" s="535">
        <f>Sheet1!BK270+Sheet1!BL270+Sheet1!BM270-Sheet1!ER270-DA272</f>
        <v>7.39</v>
      </c>
      <c r="CT272" s="535">
        <f t="shared" si="596"/>
        <v>7.3760894117647062</v>
      </c>
      <c r="CU272" s="535">
        <f>IF(Sheet1!ER270="FM",DA272,0)</f>
        <v>0</v>
      </c>
      <c r="CV272" s="535">
        <f t="shared" si="597"/>
        <v>0</v>
      </c>
      <c r="CW272" s="535">
        <f>IF(Sheet1!ER270="OTHER",DA272,0)</f>
        <v>0</v>
      </c>
      <c r="CX272" s="535">
        <f t="shared" si="598"/>
        <v>0</v>
      </c>
      <c r="CY272" s="535">
        <f t="shared" si="629"/>
        <v>7.39</v>
      </c>
      <c r="CZ272" s="535">
        <f t="shared" si="630"/>
        <v>7.3760894117647062</v>
      </c>
      <c r="DA272" s="535">
        <f>IF(OR(Sheet1!ER270="FM", Sheet1!ER270="OTHER"),SUM(Sheet1!BK270:'Sheet1'!BM270),0)</f>
        <v>0</v>
      </c>
      <c r="DB272" s="1011">
        <f>IF(AND($B272&gt;=$FV272,$B272&lt;=$FW272),MAX($CT272,Sheet1!EK270,0),MAX($CT272-(7/36)*$K272,0))</f>
        <v>7.3760894117647062</v>
      </c>
      <c r="DC272" s="1012">
        <f t="shared" si="601"/>
        <v>0</v>
      </c>
      <c r="DD272" s="1011">
        <f t="shared" si="602"/>
        <v>0</v>
      </c>
      <c r="DE272" s="521">
        <f>IF(AND($O272&gt;0,Sheet1!EO270=1),(1-($O272-Sheet1!$L270)/$O272)*CZ272,0)</f>
        <v>0</v>
      </c>
      <c r="DF272" s="521">
        <f>IF(AND(Sheet1!$L270=0,Sheet1!$L269=0, Calculation!CY272&lt;Sheet1!$EK270-0.1,Sheet1!$EK270=Sheet1!$EK269,Sheet1!$EK270=Sheet1!$EK271),CZ272-DE272,CZ272-DE272)</f>
        <v>7.3760894117647062</v>
      </c>
      <c r="DG272" s="1040">
        <f t="shared" si="676"/>
        <v>0</v>
      </c>
      <c r="DH272" s="649">
        <f t="shared" si="603"/>
        <v>17.099999999999998</v>
      </c>
      <c r="DI272" s="535">
        <f t="shared" si="604"/>
        <v>97.299566644185987</v>
      </c>
      <c r="DJ272" s="649">
        <f t="shared" si="605"/>
        <v>17.06781176470588</v>
      </c>
      <c r="DK272" s="535">
        <f ca="1">IF(B272&gt;(Summary!$A$1-1),#N/A,DI272*MGtoAF)</f>
        <v>298.51507046436262</v>
      </c>
      <c r="DL272" s="649">
        <f t="shared" si="606"/>
        <v>17.099999999999998</v>
      </c>
      <c r="DM272" s="535">
        <f t="shared" si="607"/>
        <v>42.5</v>
      </c>
      <c r="DN272" s="535">
        <f>Sheet1!AB270-DM272</f>
        <v>-7.9999999999998295E-2</v>
      </c>
      <c r="DO272" s="743">
        <f t="shared" si="608"/>
        <v>-1.8823529411764305E-3</v>
      </c>
      <c r="DP272" s="535">
        <f>(VLOOKUP(Sheet1!DC270,hhdcap_wcm,4)-(((VLOOKUP(Sheet1!DC270,hhdcap_wcm,3)-Sheet1!DC270)/(VLOOKUP(Sheet1!DC270,hhdcap_wcm,3)-VLOOKUP(Sheet1!DC270,hhdcap_wcm,1)))*(VLOOKUP(Sheet1!DC270,hhdcap_wcm,4)-VLOOKUP(Sheet1!DC270,hhdcap_wcm,2))))</f>
        <v>24913.500000063028</v>
      </c>
      <c r="DQ272" s="535">
        <f t="shared" si="609"/>
        <v>-355.50000000281943</v>
      </c>
      <c r="DR272" s="535">
        <f t="shared" si="610"/>
        <v>-179.27382753546112</v>
      </c>
      <c r="DS272" s="535">
        <f>Sheet1!EA270*AFtoMG</f>
        <v>0</v>
      </c>
      <c r="DT272" s="535">
        <f>Sheet1!EB270*AFtoMG</f>
        <v>0</v>
      </c>
      <c r="DU272" s="535">
        <f>Sheet1!EC270*AFtoMG</f>
        <v>0</v>
      </c>
      <c r="DV272" s="535">
        <f>Sheet1!ED270*AFtoMG</f>
        <v>0</v>
      </c>
      <c r="DW272" s="535">
        <f t="shared" si="611"/>
        <v>0</v>
      </c>
      <c r="DX272" s="535">
        <f t="shared" si="612"/>
        <v>0</v>
      </c>
      <c r="DY272" s="535">
        <f t="shared" si="613"/>
        <v>944.71889101542774</v>
      </c>
      <c r="DZ272" s="535">
        <f t="shared" si="614"/>
        <v>2898.3975576353323</v>
      </c>
      <c r="EA272" s="535"/>
      <c r="EB272" s="521">
        <f>IF(OR(B272&lt;FV272,B272&gt;FW272),(MIN(BF272+BY272+CT272+MAX(Sheet1!AA270+AQ272-73,0),K272)),0)</f>
        <v>0</v>
      </c>
      <c r="EC272" s="535"/>
      <c r="ED272" s="535">
        <f t="shared" si="615"/>
        <v>17.06781176470588</v>
      </c>
      <c r="EE272" s="535"/>
      <c r="EF272" s="535">
        <f>Sheet1!EH270+Sheet1!EI270+Sheet1!EJ270+Sheet1!EK270</f>
        <v>31</v>
      </c>
      <c r="EG272" s="1019">
        <f t="shared" si="677"/>
        <v>47.957000000000001</v>
      </c>
      <c r="EH272" s="521">
        <f t="shared" si="616"/>
        <v>0</v>
      </c>
      <c r="EI272" s="535">
        <f>IF(Sheet1!ET270=1,SUM('Calculations II'!AT272:BA272)+'Calculations II'!BC272+Sheet1!BV270+'Calculations II'!BE272+AP272,'Calculations II'!BK272)</f>
        <v>58.183652235294119</v>
      </c>
      <c r="EJ272" s="535">
        <f ca="1">EI272+'Calculations II'!D272+'Calculations II'!E272+'Calculations II'!O272</f>
        <v>55.482340704798887</v>
      </c>
      <c r="EK272" s="535"/>
      <c r="EL272" s="535"/>
      <c r="EM272" s="535">
        <f t="shared" si="617"/>
        <v>42996</v>
      </c>
      <c r="EN272" s="535">
        <f t="shared" si="618"/>
        <v>-31.567811764705883</v>
      </c>
      <c r="EO272" s="535">
        <f t="shared" si="619"/>
        <v>-48.835404799999999</v>
      </c>
      <c r="EP272" s="535">
        <v>0</v>
      </c>
      <c r="EQ272" s="535">
        <v>0</v>
      </c>
      <c r="ER272" s="535">
        <v>0</v>
      </c>
      <c r="ES272" s="521">
        <f t="shared" si="643"/>
        <v>1.3852002357962503</v>
      </c>
      <c r="ET272" s="535">
        <f>-(VLOOKUP(Sheet1!BQ270,Lookup!$O$4:$Q$262,2)-VLOOKUP(Sheet1!BQ269,Lookup!$O$4:$Q$262,2))/1000000</f>
        <v>0.69248795905864613</v>
      </c>
      <c r="EU272" s="535">
        <f>-(VLOOKUP(Sheet1!BR270,Lookup!$O$4:$Q$262,3)-VLOOKUP(Sheet1!BR269,Lookup!$O$4:$Q$262,3))/1000000</f>
        <v>0.69271227673760427</v>
      </c>
      <c r="EV272" s="535"/>
      <c r="EW272" s="535"/>
      <c r="EX272" s="535"/>
      <c r="EY272" s="535"/>
      <c r="EZ272" s="535"/>
      <c r="FA272" s="535"/>
      <c r="FB272" s="535"/>
      <c r="FC272" s="535"/>
      <c r="FD272" s="567">
        <f t="shared" si="632"/>
        <v>1121.6413043477628</v>
      </c>
      <c r="FE272" s="567" t="e">
        <f t="shared" si="620"/>
        <v>#N/A</v>
      </c>
      <c r="FF272" s="568" t="e">
        <f t="shared" si="621"/>
        <v>#N/A</v>
      </c>
      <c r="FG272" s="569" t="s">
        <v>656</v>
      </c>
      <c r="FH272" s="569" t="s">
        <v>656</v>
      </c>
      <c r="FI272" s="567" t="e">
        <v>#N/A</v>
      </c>
      <c r="FJ272" s="725">
        <v>12016</v>
      </c>
      <c r="FK272" s="535"/>
      <c r="FL272" s="1015">
        <f t="shared" si="631"/>
        <v>108.92586989409985</v>
      </c>
      <c r="FM272" s="535"/>
      <c r="FN272" s="535"/>
      <c r="FO272" s="535">
        <f>O272+((Sheet1!CS270)*GPMtoMGD)</f>
        <v>73.488960000000006</v>
      </c>
      <c r="FP272" s="535">
        <f>IF(Sheet1!AA270+AQ272&lt;=Calculation!N272,AQ272,Calculation!N272-Sheet1!AA270)</f>
        <v>25.352188235294118</v>
      </c>
      <c r="FQ272" s="535">
        <f>(Sheet1!BP270+Sheet1!BO270)/694.4</f>
        <v>2.4184907834101383</v>
      </c>
      <c r="FR272" s="541"/>
      <c r="FS272" s="541"/>
      <c r="FT272" s="541"/>
      <c r="FU272" s="541"/>
      <c r="FV272" s="1109">
        <f t="shared" si="644"/>
        <v>42918</v>
      </c>
      <c r="FW272" s="1109">
        <f t="shared" si="645"/>
        <v>43027</v>
      </c>
      <c r="FX272" s="541"/>
      <c r="FY272" s="541">
        <f>Sheet1!DA270-Sheet1!CZ270-Sheet1!AE270</f>
        <v>-47.713239999999999</v>
      </c>
      <c r="FZ272" s="535">
        <f t="shared" si="678"/>
        <v>-0.34147675527367033</v>
      </c>
      <c r="GA272" s="535"/>
      <c r="GB272" s="535" t="str">
        <f t="shared" si="646"/>
        <v>n</v>
      </c>
      <c r="GC272" s="539">
        <f t="shared" si="647"/>
        <v>42782</v>
      </c>
      <c r="GD272" s="1109">
        <f t="shared" si="648"/>
        <v>42904</v>
      </c>
      <c r="GE272" s="535">
        <f t="shared" si="664"/>
        <v>6520</v>
      </c>
      <c r="GF272" s="1109">
        <f t="shared" si="649"/>
        <v>42909</v>
      </c>
      <c r="GG272" s="535">
        <f t="shared" si="564"/>
        <v>3260</v>
      </c>
      <c r="GH272" s="539">
        <f t="shared" si="650"/>
        <v>43040</v>
      </c>
      <c r="GJ272" s="521">
        <f t="shared" si="651"/>
        <v>0</v>
      </c>
      <c r="GK272" s="535" t="str">
        <f t="shared" si="622"/>
        <v/>
      </c>
      <c r="GL272" s="535">
        <f t="shared" si="652"/>
        <v>0</v>
      </c>
      <c r="GM272" s="535" t="str">
        <f t="shared" si="653"/>
        <v/>
      </c>
      <c r="GN272" s="535">
        <f>IF(GK272="P",Lookup!$M$12,IF(GK272="PP",Lookup!$M$13,IF(GK272="PPP",Lookup!$M$14,IF(GK272="T",Lookup!$M$15,IF(GK272="TP",Lookup!$M$16,IF(GK272="TPP",Lookup!$M$17,IF(GK272="TPPP",Lookup!$M$18,0)))))))*GJ272</f>
        <v>0</v>
      </c>
      <c r="GO272" s="535">
        <f t="shared" si="654"/>
        <v>0</v>
      </c>
      <c r="GP272" s="535">
        <f t="shared" si="623"/>
        <v>1445.7489500972354</v>
      </c>
      <c r="GQ272" s="974">
        <f t="shared" si="567"/>
        <v>471.23499025333615</v>
      </c>
      <c r="GR272" s="535"/>
      <c r="GS272" s="535">
        <f t="shared" si="655"/>
        <v>0</v>
      </c>
      <c r="GT272" s="535" t="str">
        <f t="shared" si="656"/>
        <v/>
      </c>
      <c r="GU272" s="535">
        <f>IF(GK272="P",Lookup!$N$12,IF(GK272="PP",Lookup!$N$13,IF(GK272="PPP",Lookup!$N$14,IF(GK272="T",Lookup!$N$15,IF(GK272="TP",Lookup!$N$16,IF(GK272="TPP",Lookup!$N$17,IF(GK272="TPPP",Lookup!$N$18,0)))))))*GJ272</f>
        <v>0</v>
      </c>
      <c r="GV272" s="535">
        <f t="shared" si="657"/>
        <v>0</v>
      </c>
      <c r="GW272" s="535">
        <f t="shared" si="624"/>
        <v>789.04055823154692</v>
      </c>
      <c r="GX272" s="974">
        <f t="shared" si="568"/>
        <v>257.1840150689527</v>
      </c>
      <c r="GY272" s="535"/>
      <c r="GZ272" s="535">
        <f t="shared" si="658"/>
        <v>0</v>
      </c>
      <c r="HA272" s="535" t="str">
        <f t="shared" si="659"/>
        <v/>
      </c>
      <c r="HB272" s="535">
        <f>IF(GK272="P",Lookup!$N$12,IF(GK272="PP",Lookup!$N$13,IF(GK272="PPP",Lookup!$N$14,IF(GK272="T",Lookup!$N$15,IF(GK272="TP",Lookup!$N$16,IF(GK272="TPP",Lookup!$N$17,IF(GK272="TPPP",Lookup!$N$18,0)))))))*GJ272</f>
        <v>0</v>
      </c>
      <c r="HC272" s="521">
        <f t="shared" si="625"/>
        <v>0</v>
      </c>
      <c r="HD272" s="535">
        <f t="shared" si="626"/>
        <v>365.09297884218739</v>
      </c>
      <c r="HE272" s="535">
        <f t="shared" si="662"/>
        <v>119.00031904895286</v>
      </c>
      <c r="HF272" s="535"/>
      <c r="HG272" s="535">
        <f t="shared" si="660"/>
        <v>0</v>
      </c>
      <c r="HH272" s="535" t="str">
        <f t="shared" si="661"/>
        <v/>
      </c>
      <c r="HI272" s="535">
        <f>IF(GK272="P",Lookup!$N$12,IF(GK272="PP",Lookup!$N$13,IF(GK272="PPP",Lookup!$N$14,IF(GK272="T",Lookup!$N$15,IF(GK272="TP",Lookup!$N$16,IF(GK272="TPP",Lookup!$N$17,IF(GK272="TPPP",Lookup!$N$18,0)))))))*GJ272</f>
        <v>0</v>
      </c>
      <c r="HJ272" s="521">
        <f t="shared" si="627"/>
        <v>0</v>
      </c>
      <c r="HK272" s="535">
        <f t="shared" si="628"/>
        <v>298.51507046436262</v>
      </c>
      <c r="HL272" s="535">
        <f t="shared" si="663"/>
        <v>97.299566644185987</v>
      </c>
      <c r="HM272" s="535"/>
      <c r="HN272" s="541"/>
      <c r="HO272" s="541"/>
      <c r="HP272" s="541"/>
      <c r="HQ272" s="541">
        <f>IF(AND(B272&gt;=$FV$4,B272&lt;=$FW$4),MAX(110/1.02+$HQ$6+MIN(113/1.02,G272),IF($HV$6-(Sheet1!DA270-Sheet1!DB270)+MIN(113/1.02,G272)&lt;G272+FL272,$HV$6-(Sheet1!DA270-Sheet1!DB270)+MIN(113/1.02,G272),G272+FL272)),MIN(110/1.02+$HQ$6+113/1.02,G272))</f>
        <v>218.62745098039215</v>
      </c>
      <c r="HR272" s="541">
        <f t="shared" si="679"/>
        <v>223</v>
      </c>
      <c r="HS272" s="541">
        <f>HR272+(Sheet1!DA270-Sheet1!DB270)</f>
        <v>403</v>
      </c>
      <c r="HT272" s="541">
        <f t="shared" si="680"/>
        <v>60.877835200000007</v>
      </c>
      <c r="HU272" s="541">
        <f t="shared" si="681"/>
        <v>342.12216480000001</v>
      </c>
      <c r="HV272" s="541">
        <f t="shared" si="682"/>
        <v>0</v>
      </c>
      <c r="HW272" s="533" t="str">
        <f t="shared" si="683"/>
        <v/>
      </c>
      <c r="HX272" s="541">
        <f t="shared" si="684"/>
        <v>51.537144219607853</v>
      </c>
      <c r="HY272" s="541">
        <f>Sheet1!CZ270</f>
        <v>319</v>
      </c>
      <c r="HZ272" s="541">
        <f t="shared" si="685"/>
        <v>48.835404799999999</v>
      </c>
      <c r="IA272" s="541">
        <f t="shared" si="686"/>
        <v>60.877835200000007</v>
      </c>
      <c r="IB272" s="541">
        <f t="shared" si="687"/>
        <v>270.16459520000001</v>
      </c>
      <c r="IC272" s="1019" t="str">
        <f t="shared" si="688"/>
        <v/>
      </c>
      <c r="ID272" s="541">
        <f t="shared" si="689"/>
        <v>209.28676000000002</v>
      </c>
      <c r="IE272" s="541">
        <f>Sheet1!DB270</f>
        <v>201</v>
      </c>
      <c r="IF272" s="533">
        <f>Sheet1!DA270</f>
        <v>381</v>
      </c>
      <c r="IH272" s="541">
        <f>IF(AND($B272&gt;=$GC272,$B272&lt;=$GH272,$DR272&lt;0)+N("only adjusted when pool is drawn down during storage season"),Sheet1!$DB270+$DR272+N("Palmer minus all storage release"),Sheet1!$DB270)</f>
        <v>21.726172464538877</v>
      </c>
      <c r="II272" s="541">
        <f>IF(AND($B272&gt;=$GC272,$B272&lt;=$GH272,$DR272&lt;0)+N("only adjusted when pool is drawn down during storage season"),Sheet1!$DA270+$DR272+N("Auburn minus all storage release"),Sheet1!$DA270)</f>
        <v>201.72617246453888</v>
      </c>
    </row>
    <row r="273" spans="1:243" x14ac:dyDescent="0.25">
      <c r="A273" s="553" t="s">
        <v>5</v>
      </c>
      <c r="B273" s="531">
        <v>42997</v>
      </c>
      <c r="C273" s="536">
        <v>0</v>
      </c>
      <c r="D273" s="506">
        <f t="shared" si="633"/>
        <v>300</v>
      </c>
      <c r="E273" s="506">
        <f t="shared" si="634"/>
        <v>250</v>
      </c>
      <c r="F273" s="506">
        <v>250</v>
      </c>
      <c r="G273" s="535">
        <f>DR273+Sheet1!CZ271</f>
        <v>154.90519415010053</v>
      </c>
      <c r="H273" s="1074">
        <f t="shared" si="690"/>
        <v>0</v>
      </c>
      <c r="I273" s="534">
        <f>IF(Sheet1!DA271&gt;=E273,(Sheet1!DA271-E273+P273)*CFStoMGD,0)</f>
        <v>157.25700646399997</v>
      </c>
      <c r="J273" s="995">
        <f>IF(Sheet1!DB271&gt;=D273,(Sheet1!DB271-D273+P273)*CFStoMGD,0)</f>
        <v>0</v>
      </c>
      <c r="K273" s="818">
        <f t="shared" si="665"/>
        <v>0</v>
      </c>
      <c r="L273" s="535">
        <f>Sheet1!AA271+Sheet1!AB271-Sheet1!L271+(Sheet1!DA271-F273)*CFStoMGD-S273-T273-U273</f>
        <v>126.55307209407508</v>
      </c>
      <c r="M273" s="535">
        <f t="shared" si="569"/>
        <v>102.13333184859748</v>
      </c>
      <c r="N273" s="824">
        <f>IF(Sheet1!DA271&gt;=F273,MIN(113*CFStoMGD,MIN(MAX(L273,0),MAX(M273,0))),0)</f>
        <v>73.043199999999999</v>
      </c>
      <c r="O273" s="538">
        <f>Sheet1!AA271+Sheet1!AB271</f>
        <v>72.58</v>
      </c>
      <c r="P273" s="538">
        <f t="shared" si="570"/>
        <v>112.28125999999999</v>
      </c>
      <c r="Q273" s="812">
        <f t="shared" si="666"/>
        <v>41.874672094075081</v>
      </c>
      <c r="R273" s="812">
        <f t="shared" si="635"/>
        <v>31</v>
      </c>
      <c r="S273" s="812">
        <f t="shared" si="636"/>
        <v>0</v>
      </c>
      <c r="T273" s="812">
        <f t="shared" si="637"/>
        <v>0</v>
      </c>
      <c r="U273" s="812">
        <f>IF(AND(B273&gt;=FV273,B273&lt;=FW273),ED273+Sheet1!EH271,0)</f>
        <v>30.705327905924921</v>
      </c>
      <c r="V273" s="812"/>
      <c r="W273" s="812">
        <f t="shared" si="638"/>
        <v>0</v>
      </c>
      <c r="X273" s="812">
        <f t="shared" si="639"/>
        <v>0</v>
      </c>
      <c r="Y273" s="812" t="str">
        <f t="shared" si="640"/>
        <v>FALSE</v>
      </c>
      <c r="Z273" s="812">
        <f t="shared" si="641"/>
        <v>72.58</v>
      </c>
      <c r="AA273" s="812">
        <f t="shared" si="642"/>
        <v>72.58</v>
      </c>
      <c r="AB273" s="1059">
        <f t="shared" si="667"/>
        <v>64.78011772953414</v>
      </c>
      <c r="AC273" s="538">
        <f>Sheet1!Y271*MGDtoCFS</f>
        <v>44.089500000000001</v>
      </c>
      <c r="AD273" s="538">
        <f>Sheet1!Z271*MGDtoCFS</f>
        <v>65.623739999999998</v>
      </c>
      <c r="AE273" s="538">
        <f>Sheet1!AA271*MGDtoCFS</f>
        <v>43.934799999999996</v>
      </c>
      <c r="AF273" s="538">
        <f>Sheet1!AB271*MGDtoCFS</f>
        <v>68.346459999999993</v>
      </c>
      <c r="AG273" s="538">
        <f>Sheet1!L271*MGDtoCFS</f>
        <v>0</v>
      </c>
      <c r="AH273" s="521">
        <f t="shared" si="571"/>
        <v>31.013649932157396</v>
      </c>
      <c r="AI273" s="1059">
        <f t="shared" si="572"/>
        <v>47.97811644504749</v>
      </c>
      <c r="AJ273" s="535">
        <f t="shared" si="573"/>
        <v>0</v>
      </c>
      <c r="AK273" s="535">
        <f t="shared" si="574"/>
        <v>0</v>
      </c>
      <c r="AL273" s="535">
        <f>(VLOOKUP(Sheet1!DC271,hhdcap_wcm,4)-(((VLOOKUP(Sheet1!DC271,hhdcap_wcm,3)-Sheet1!DC271)/(VLOOKUP(Sheet1!DC271,hhdcap_wcm,3)-VLOOKUP(Sheet1!DC271,hhdcap_wcm,1)))*(VLOOKUP(Sheet1!DC271,hhdcap_wcm,4)-VLOOKUP(Sheet1!DC271,hhdcap_wcm,2))))</f>
        <v>24588.100000062677</v>
      </c>
      <c r="AM273" s="535">
        <f t="shared" si="575"/>
        <v>-325.4000000003507</v>
      </c>
      <c r="AN273" s="1035">
        <f t="shared" si="576"/>
        <v>913.70524108327027</v>
      </c>
      <c r="AO273" s="535">
        <f t="shared" si="577"/>
        <v>2803.247679643473</v>
      </c>
      <c r="AP273" s="535">
        <f>Sheet1!BA271+Sheet1!BB271+Sheet1!BN271+CD273</f>
        <v>28</v>
      </c>
      <c r="AQ273" s="535">
        <f>Sheet1!BN271+(DO273*Sheet1!BN271)</f>
        <v>27.974672094075078</v>
      </c>
      <c r="AR273" s="535">
        <f>Sheet1!BA271+CD273</f>
        <v>0</v>
      </c>
      <c r="AS273" s="535">
        <f>Sheet1!BA271+Sheet1!BB271+CD273</f>
        <v>0</v>
      </c>
      <c r="AT273" s="649">
        <f>0</f>
        <v>0</v>
      </c>
      <c r="AU273" s="974">
        <f>BA273+MAX(Sheet1!EH271,(O273-Q273-ED273-S273))</f>
        <v>14.5</v>
      </c>
      <c r="AV273" s="535">
        <f>IF(OR(B273&gt;=GD273,B273&lt;GC273),0,15/36*K273-MAX(0,64.6-(137.6-(Sheet1!AA271+Sheet1!AB271))))</f>
        <v>0</v>
      </c>
      <c r="AW273" s="1029"/>
      <c r="AX273" s="649"/>
      <c r="AY273" s="649">
        <f t="shared" si="668"/>
        <v>23.311716569431731</v>
      </c>
      <c r="AZ273" s="649">
        <f t="shared" si="669"/>
        <v>0</v>
      </c>
      <c r="BA273" s="1059">
        <f t="shared" si="670"/>
        <v>0</v>
      </c>
      <c r="BB273" s="1019">
        <f t="shared" si="578"/>
        <v>456.73499025333615</v>
      </c>
      <c r="BC273" s="1041">
        <f t="shared" si="671"/>
        <v>0</v>
      </c>
      <c r="BD273" s="1019">
        <f ca="1">IF(B273&gt;(Summary!$A$1-1),#N/A,BB273*MGtoAF)</f>
        <v>1401.2629500972353</v>
      </c>
      <c r="BE273" s="535">
        <f>Sheet1!BG271+Sheet1!BH271+Sheet1!BI271-BM273</f>
        <v>4.7</v>
      </c>
      <c r="BF273" s="535">
        <f t="shared" si="579"/>
        <v>4.6957485300768882</v>
      </c>
      <c r="BG273" s="535">
        <f>IF(Sheet1!EP271="FM",BM273,0)</f>
        <v>0</v>
      </c>
      <c r="BH273" s="535">
        <f t="shared" si="580"/>
        <v>0</v>
      </c>
      <c r="BI273" s="535">
        <f>IF(Sheet1!EP271="OTHER",BM273,0)</f>
        <v>0</v>
      </c>
      <c r="BJ273" s="535">
        <f t="shared" si="581"/>
        <v>0</v>
      </c>
      <c r="BK273" s="535">
        <f t="shared" si="582"/>
        <v>4.7</v>
      </c>
      <c r="BL273" s="535">
        <f t="shared" si="583"/>
        <v>4.6957485300768882</v>
      </c>
      <c r="BM273" s="535">
        <f>IF(OR(Sheet1!EP271="FM", Sheet1!EP271="OTHER"),SUM(Sheet1!BG271:'Sheet1'!BI271),0)</f>
        <v>0</v>
      </c>
      <c r="BN273" s="521">
        <f>IF(AND($B273&gt;=$FV273,$B273&lt;=$FW273),MAX(BF273,Sheet1!EI271,0),MAX(BF273-(7/36)*$K273,0))</f>
        <v>5</v>
      </c>
      <c r="BO273" s="535">
        <f t="shared" si="584"/>
        <v>0</v>
      </c>
      <c r="BP273" s="521">
        <f t="shared" si="585"/>
        <v>0</v>
      </c>
      <c r="BQ273" s="521">
        <f>IF(AND($O273&gt;0,Sheet1!EM271=1),(1-($O273-Sheet1!$L271)/$O273)*BL273,0)</f>
        <v>0</v>
      </c>
      <c r="BR273" s="521">
        <f>IF(AND(Sheet1!$L271=0,Sheet1!$L270=0, Calculation!BK273&lt;Sheet1!$EI271-0.1,Sheet1!$EI271=Sheet1!$EI270,Sheet1!$EI271=Sheet1!$EI272),BL273-BQ273,BL273-BQ273)</f>
        <v>4.6957485300768882</v>
      </c>
      <c r="BS273" s="1035" t="str">
        <f t="shared" si="672"/>
        <v/>
      </c>
      <c r="BT273" s="1035">
        <f t="shared" si="673"/>
        <v>0</v>
      </c>
      <c r="BU273" s="535">
        <f t="shared" si="586"/>
        <v>152.10201506895271</v>
      </c>
      <c r="BV273" s="535"/>
      <c r="BW273" s="535">
        <f ca="1">IF(B273&gt;(Summary!$A$1-1),#N/A,BU273*MGtoAF)</f>
        <v>466.64898223154694</v>
      </c>
      <c r="BX273" s="535">
        <f>Sheet1!BC271+Sheet1!BD271+Sheet1!BE271+Sheet1!BF271-CG273-CH273</f>
        <v>4.5</v>
      </c>
      <c r="BY273" s="535">
        <f t="shared" si="587"/>
        <v>4.4959294436906374</v>
      </c>
      <c r="BZ273" s="535">
        <f>IF(Sheet1!EQ271="FM",CH273,0)</f>
        <v>0</v>
      </c>
      <c r="CA273" s="535">
        <f t="shared" si="588"/>
        <v>0</v>
      </c>
      <c r="CB273" s="535">
        <f>IF(Sheet1!EQ271="OTHER",CH273,0)</f>
        <v>0</v>
      </c>
      <c r="CC273" s="535">
        <f t="shared" si="589"/>
        <v>0</v>
      </c>
      <c r="CD273" s="535">
        <f t="shared" si="590"/>
        <v>0</v>
      </c>
      <c r="CE273" s="535">
        <f t="shared" si="591"/>
        <v>4.5</v>
      </c>
      <c r="CF273" s="535">
        <f t="shared" si="592"/>
        <v>4.4959294436906374</v>
      </c>
      <c r="CG273" s="535">
        <f>IF(Sheet1!EQ271="CWA",SUM(Sheet1!BC271:'Sheet1'!BF271),0)</f>
        <v>0</v>
      </c>
      <c r="CH273" s="535">
        <f>IF(OR(Sheet1!EQ271="FM", Sheet1!EQ271="OTHER"),SUM(Sheet1!BC271:'Sheet1'!BF271),0)</f>
        <v>0</v>
      </c>
      <c r="CI273" s="521">
        <f>IF(AND($B273&gt;=$FV273,$B273&lt;=$FW273),MAX(CF273,Sheet1!EJ271,0),MAX(CF273-(7/36)*$K273,0))</f>
        <v>4.5</v>
      </c>
      <c r="CJ273" s="535">
        <f t="shared" si="593"/>
        <v>0</v>
      </c>
      <c r="CK273" s="521">
        <f t="shared" si="594"/>
        <v>0</v>
      </c>
      <c r="CL273" s="521">
        <f>IF(AND($O273&gt;0,Sheet1!EN271=1),(1-($O273-Sheet1!$L271)/$O273)*CF273,0)</f>
        <v>0</v>
      </c>
      <c r="CM273" s="521">
        <f>IF(AND(Sheet1!$L271=0,Sheet1!$L270=0, Calculation!CE273&lt;Sheet1!EJ271-0.1,Sheet1!EJ271=Sheet1!EJ270,Sheet1!EJ271=Sheet1!EJ272),CF273-CL273,CF273-CL273)</f>
        <v>4.4959294436906374</v>
      </c>
      <c r="CN273" s="1040" t="str">
        <f t="shared" si="674"/>
        <v/>
      </c>
      <c r="CO273" s="1035">
        <f t="shared" si="675"/>
        <v>0</v>
      </c>
      <c r="CP273" s="535">
        <f t="shared" si="595"/>
        <v>114.50031904895286</v>
      </c>
      <c r="CQ273" s="535"/>
      <c r="CR273" s="535">
        <f ca="1">IF(B273&gt;(Summary!$A$1-1),#N/A,CP273*MGtoAF)</f>
        <v>351.28697884218741</v>
      </c>
      <c r="CS273" s="535">
        <f>Sheet1!BK271+Sheet1!BL271+Sheet1!BM271-Sheet1!ER271-DA273</f>
        <v>7.02</v>
      </c>
      <c r="CT273" s="535">
        <f t="shared" si="596"/>
        <v>7.0136499321573949</v>
      </c>
      <c r="CU273" s="535">
        <f>IF(Sheet1!ER271="FM",DA273,0)</f>
        <v>0</v>
      </c>
      <c r="CV273" s="535">
        <f t="shared" si="597"/>
        <v>0</v>
      </c>
      <c r="CW273" s="535">
        <f>IF(Sheet1!ER271="OTHER",DA273,0)</f>
        <v>0</v>
      </c>
      <c r="CX273" s="535">
        <f t="shared" si="598"/>
        <v>0</v>
      </c>
      <c r="CY273" s="535">
        <f t="shared" si="629"/>
        <v>7.02</v>
      </c>
      <c r="CZ273" s="535">
        <f t="shared" si="630"/>
        <v>7.0136499321573949</v>
      </c>
      <c r="DA273" s="535">
        <f>IF(OR(Sheet1!ER271="FM", Sheet1!ER271="OTHER"),SUM(Sheet1!BK271:'Sheet1'!BM271),0)</f>
        <v>0</v>
      </c>
      <c r="DB273" s="1011">
        <f>IF(AND($B273&gt;=$FV273,$B273&lt;=$FW273),MAX($CT273,Sheet1!EK271,0),MAX($CT273-(7/36)*$K273,0))</f>
        <v>7.0136499321573949</v>
      </c>
      <c r="DC273" s="1012">
        <f t="shared" si="601"/>
        <v>0</v>
      </c>
      <c r="DD273" s="1011">
        <f t="shared" si="602"/>
        <v>0</v>
      </c>
      <c r="DE273" s="521">
        <f>IF(AND($O273&gt;0,Sheet1!EO271=1),(1-($O273-Sheet1!$L271)/$O273)*CZ273,0)</f>
        <v>0</v>
      </c>
      <c r="DF273" s="521">
        <f>IF(AND(Sheet1!$L271=0,Sheet1!$L270=0, Calculation!CY273&lt;Sheet1!$EK271-0.1,Sheet1!$EK271=Sheet1!$EK270,Sheet1!$EK271=Sheet1!$EK272),CZ273-DE273,CZ273-DE273)</f>
        <v>7.0136499321573949</v>
      </c>
      <c r="DG273" s="1040">
        <f t="shared" si="676"/>
        <v>0</v>
      </c>
      <c r="DH273" s="649">
        <f t="shared" si="603"/>
        <v>16.22</v>
      </c>
      <c r="DI273" s="535">
        <f t="shared" si="604"/>
        <v>190.3679167120286</v>
      </c>
      <c r="DJ273" s="649">
        <f t="shared" si="605"/>
        <v>16.205327905924921</v>
      </c>
      <c r="DK273" s="535">
        <f ca="1">IF(B273&gt;(Summary!$A$1-1),#N/A,DI273*MGtoAF)</f>
        <v>584.04876847250375</v>
      </c>
      <c r="DL273" s="649">
        <f t="shared" si="606"/>
        <v>16.22</v>
      </c>
      <c r="DM273" s="535">
        <f t="shared" si="607"/>
        <v>44.22</v>
      </c>
      <c r="DN273" s="535">
        <f>Sheet1!AB271-DM273</f>
        <v>-3.9999999999999147E-2</v>
      </c>
      <c r="DO273" s="743">
        <f t="shared" si="608"/>
        <v>-9.0456806874715393E-4</v>
      </c>
      <c r="DP273" s="535">
        <f>(VLOOKUP(Sheet1!DC271,hhdcap_wcm,4)-(((VLOOKUP(Sheet1!DC271,hhdcap_wcm,3)-Sheet1!DC271)/(VLOOKUP(Sheet1!DC271,hhdcap_wcm,3)-VLOOKUP(Sheet1!DC271,hhdcap_wcm,1)))*(VLOOKUP(Sheet1!DC271,hhdcap_wcm,4)-VLOOKUP(Sheet1!DC271,hhdcap_wcm,2))))</f>
        <v>24588.100000062677</v>
      </c>
      <c r="DQ273" s="535">
        <f t="shared" si="609"/>
        <v>-325.4000000003507</v>
      </c>
      <c r="DR273" s="535">
        <f t="shared" si="610"/>
        <v>-164.09480584989947</v>
      </c>
      <c r="DS273" s="535">
        <f>Sheet1!EA271*AFtoMG</f>
        <v>0</v>
      </c>
      <c r="DT273" s="535">
        <f>Sheet1!EB271*AFtoMG</f>
        <v>-100.08200000000001</v>
      </c>
      <c r="DU273" s="535">
        <f>Sheet1!EC271*AFtoMG</f>
        <v>0</v>
      </c>
      <c r="DV273" s="535">
        <f>Sheet1!ED271*AFtoMG</f>
        <v>100.08200000000001</v>
      </c>
      <c r="DW273" s="535">
        <f t="shared" si="611"/>
        <v>0</v>
      </c>
      <c r="DX273" s="535">
        <f t="shared" si="612"/>
        <v>0</v>
      </c>
      <c r="DY273" s="535">
        <f t="shared" si="613"/>
        <v>913.70524108327027</v>
      </c>
      <c r="DZ273" s="535">
        <f t="shared" si="614"/>
        <v>2803.247679643473</v>
      </c>
      <c r="EA273" s="535"/>
      <c r="EB273" s="521">
        <f>IF(OR(B273&lt;FV273,B273&gt;FW273),(MIN(BF273+BY273+CT273+MAX(Sheet1!AA271+AQ273-73,0),K273)),0)</f>
        <v>0</v>
      </c>
      <c r="EC273" s="535"/>
      <c r="ED273" s="535">
        <f t="shared" si="615"/>
        <v>16.205327905924921</v>
      </c>
      <c r="EE273" s="535"/>
      <c r="EF273" s="535">
        <f>Sheet1!EH271+Sheet1!EI271+Sheet1!EJ271+Sheet1!EK271</f>
        <v>31</v>
      </c>
      <c r="EG273" s="1019">
        <f t="shared" si="677"/>
        <v>47.957000000000001</v>
      </c>
      <c r="EH273" s="521">
        <f t="shared" si="616"/>
        <v>0</v>
      </c>
      <c r="EI273" s="535">
        <f>IF(Sheet1!ET271=1,SUM('Calculations II'!AT273:BA273)+'Calculations II'!BC273+Sheet1!BV271+'Calculations II'!BE273+AP273,'Calculations II'!BK273)</f>
        <v>52.438380094075072</v>
      </c>
      <c r="EJ273" s="535">
        <f ca="1">EI273+'Calculations II'!D273+'Calculations II'!E273+'Calculations II'!O273</f>
        <v>57.699988588520419</v>
      </c>
      <c r="EK273" s="535"/>
      <c r="EL273" s="535"/>
      <c r="EM273" s="535">
        <f t="shared" si="617"/>
        <v>42997</v>
      </c>
      <c r="EN273" s="535">
        <f t="shared" si="618"/>
        <v>-31.013649932157396</v>
      </c>
      <c r="EO273" s="535">
        <f t="shared" si="619"/>
        <v>-47.97811644504749</v>
      </c>
      <c r="EP273" s="535">
        <v>0</v>
      </c>
      <c r="EQ273" s="535">
        <v>0</v>
      </c>
      <c r="ER273" s="535">
        <v>0</v>
      </c>
      <c r="ES273" s="521">
        <f t="shared" si="643"/>
        <v>-4.5726126408843477</v>
      </c>
      <c r="ET273" s="535">
        <f>-(VLOOKUP(Sheet1!BQ271,Lookup!$O$4:$Q$262,2)-VLOOKUP(Sheet1!BQ270,Lookup!$O$4:$Q$262,2))/1000000</f>
        <v>-1.8008019655326606</v>
      </c>
      <c r="EU273" s="535">
        <f>-(VLOOKUP(Sheet1!BR271,Lookup!$O$4:$Q$262,3)-VLOOKUP(Sheet1!BR270,Lookup!$O$4:$Q$262,3))/1000000</f>
        <v>-2.7718106753516869</v>
      </c>
      <c r="EV273" s="535"/>
      <c r="EW273" s="535"/>
      <c r="EX273" s="535"/>
      <c r="EY273" s="535"/>
      <c r="EZ273" s="535"/>
      <c r="FA273" s="535"/>
      <c r="FB273" s="535"/>
      <c r="FC273" s="535"/>
      <c r="FD273" s="567">
        <f t="shared" si="632"/>
        <v>1121.1652173912414</v>
      </c>
      <c r="FE273" s="567" t="e">
        <f t="shared" si="620"/>
        <v>#N/A</v>
      </c>
      <c r="FF273" s="568" t="e">
        <f t="shared" si="621"/>
        <v>#N/A</v>
      </c>
      <c r="FG273" s="569" t="s">
        <v>656</v>
      </c>
      <c r="FH273" s="569" t="s">
        <v>656</v>
      </c>
      <c r="FI273" s="567" t="e">
        <v>#N/A</v>
      </c>
      <c r="FJ273" s="725">
        <v>11800</v>
      </c>
      <c r="FK273" s="535"/>
      <c r="FL273" s="1015">
        <f t="shared" si="631"/>
        <v>109.43015632879475</v>
      </c>
      <c r="FM273" s="535"/>
      <c r="FN273" s="535"/>
      <c r="FO273" s="535">
        <f>O273+((Sheet1!CS271)*GPMtoMGD)</f>
        <v>72.58</v>
      </c>
      <c r="FP273" s="535">
        <f>IF(Sheet1!AA271+AQ273&lt;=Calculation!N273,AQ273,Calculation!N273-Sheet1!AA271)</f>
        <v>27.974672094075078</v>
      </c>
      <c r="FQ273" s="535">
        <f>(Sheet1!BP271+Sheet1!BO271)/694.4</f>
        <v>2.0253456221198154</v>
      </c>
      <c r="FR273" s="541"/>
      <c r="FS273" s="541"/>
      <c r="FT273" s="541"/>
      <c r="FU273" s="541"/>
      <c r="FV273" s="1109">
        <f t="shared" si="644"/>
        <v>42918</v>
      </c>
      <c r="FW273" s="1109">
        <f t="shared" si="645"/>
        <v>43027</v>
      </c>
      <c r="FX273" s="541"/>
      <c r="FY273" s="541">
        <f>Sheet1!DA271-Sheet1!CZ271-Sheet1!AE271</f>
        <v>-50.281259999999989</v>
      </c>
      <c r="FZ273" s="535">
        <f t="shared" si="678"/>
        <v>-0.3245937637912793</v>
      </c>
      <c r="GA273" s="535"/>
      <c r="GB273" s="535" t="str">
        <f t="shared" si="646"/>
        <v>n</v>
      </c>
      <c r="GC273" s="539">
        <f t="shared" si="647"/>
        <v>42782</v>
      </c>
      <c r="GD273" s="1109">
        <f t="shared" si="648"/>
        <v>42904</v>
      </c>
      <c r="GE273" s="535">
        <f t="shared" si="664"/>
        <v>6520</v>
      </c>
      <c r="GF273" s="1109">
        <f t="shared" si="649"/>
        <v>42909</v>
      </c>
      <c r="GG273" s="535">
        <f t="shared" si="564"/>
        <v>3260</v>
      </c>
      <c r="GH273" s="539">
        <f t="shared" si="650"/>
        <v>43040</v>
      </c>
      <c r="GJ273" s="521">
        <f t="shared" si="651"/>
        <v>0</v>
      </c>
      <c r="GK273" s="535" t="str">
        <f t="shared" si="622"/>
        <v/>
      </c>
      <c r="GL273" s="535">
        <f t="shared" si="652"/>
        <v>0</v>
      </c>
      <c r="GM273" s="535" t="str">
        <f t="shared" si="653"/>
        <v/>
      </c>
      <c r="GN273" s="535">
        <f>IF(GK273="P",Lookup!$M$12,IF(GK273="PP",Lookup!$M$13,IF(GK273="PPP",Lookup!$M$14,IF(GK273="T",Lookup!$M$15,IF(GK273="TP",Lookup!$M$16,IF(GK273="TPP",Lookup!$M$17,IF(GK273="TPPP",Lookup!$M$18,0)))))))*GJ273</f>
        <v>0</v>
      </c>
      <c r="GO273" s="535">
        <f t="shared" si="654"/>
        <v>0</v>
      </c>
      <c r="GP273" s="535">
        <f t="shared" si="623"/>
        <v>1401.2629500972353</v>
      </c>
      <c r="GQ273" s="974">
        <f t="shared" si="567"/>
        <v>456.73499025333615</v>
      </c>
      <c r="GR273" s="535"/>
      <c r="GS273" s="535">
        <f t="shared" si="655"/>
        <v>0</v>
      </c>
      <c r="GT273" s="535" t="str">
        <f t="shared" si="656"/>
        <v/>
      </c>
      <c r="GU273" s="535">
        <f>IF(GK273="P",Lookup!$N$12,IF(GK273="PP",Lookup!$N$13,IF(GK273="PPP",Lookup!$N$14,IF(GK273="T",Lookup!$N$15,IF(GK273="TP",Lookup!$N$16,IF(GK273="TPP",Lookup!$N$17,IF(GK273="TPPP",Lookup!$N$18,0)))))))*GJ273</f>
        <v>0</v>
      </c>
      <c r="GV273" s="535">
        <f t="shared" si="657"/>
        <v>0</v>
      </c>
      <c r="GW273" s="535">
        <f t="shared" si="624"/>
        <v>466.64898223154694</v>
      </c>
      <c r="GX273" s="974">
        <f t="shared" si="568"/>
        <v>152.10201506895271</v>
      </c>
      <c r="GY273" s="535"/>
      <c r="GZ273" s="535">
        <f t="shared" si="658"/>
        <v>0</v>
      </c>
      <c r="HA273" s="535" t="str">
        <f t="shared" si="659"/>
        <v/>
      </c>
      <c r="HB273" s="535">
        <f>IF(GK273="P",Lookup!$N$12,IF(GK273="PP",Lookup!$N$13,IF(GK273="PPP",Lookup!$N$14,IF(GK273="T",Lookup!$N$15,IF(GK273="TP",Lookup!$N$16,IF(GK273="TPP",Lookup!$N$17,IF(GK273="TPPP",Lookup!$N$18,0)))))))*GJ273</f>
        <v>0</v>
      </c>
      <c r="HC273" s="521">
        <f t="shared" si="625"/>
        <v>0</v>
      </c>
      <c r="HD273" s="535">
        <f t="shared" si="626"/>
        <v>351.28697884218741</v>
      </c>
      <c r="HE273" s="535">
        <f t="shared" si="662"/>
        <v>114.50031904895286</v>
      </c>
      <c r="HF273" s="535"/>
      <c r="HG273" s="535">
        <f t="shared" si="660"/>
        <v>0</v>
      </c>
      <c r="HH273" s="535" t="str">
        <f t="shared" si="661"/>
        <v/>
      </c>
      <c r="HI273" s="535">
        <f>IF(GK273="P",Lookup!$N$12,IF(GK273="PP",Lookup!$N$13,IF(GK273="PPP",Lookup!$N$14,IF(GK273="T",Lookup!$N$15,IF(GK273="TP",Lookup!$N$16,IF(GK273="TPP",Lookup!$N$17,IF(GK273="TPPP",Lookup!$N$18,0)))))))*GJ273</f>
        <v>0</v>
      </c>
      <c r="HJ273" s="521">
        <f t="shared" si="627"/>
        <v>0</v>
      </c>
      <c r="HK273" s="535">
        <f t="shared" si="628"/>
        <v>584.04876847250375</v>
      </c>
      <c r="HL273" s="535">
        <f t="shared" si="663"/>
        <v>190.3679167120286</v>
      </c>
      <c r="HM273" s="535"/>
      <c r="HN273" s="541"/>
      <c r="HO273" s="541"/>
      <c r="HP273" s="541"/>
      <c r="HQ273" s="541">
        <f>IF(AND(B273&gt;=$FV$4,B273&lt;=$FW$4),MAX(110/1.02+$HQ$6+MIN(113/1.02,G273),IF($HV$6-(Sheet1!DA271-Sheet1!DB271)+MIN(113/1.02,G273)&lt;G273+FL273,$HV$6-(Sheet1!DA271-Sheet1!DB271)+MIN(113/1.02,G273),G273+FL273)),MIN(110/1.02+$HQ$6+113/1.02,G273))</f>
        <v>218.62745098039215</v>
      </c>
      <c r="HR273" s="541">
        <f t="shared" si="679"/>
        <v>223</v>
      </c>
      <c r="HS273" s="541">
        <f>HR273+(Sheet1!DA271-Sheet1!DB271)</f>
        <v>391</v>
      </c>
      <c r="HT273" s="541">
        <f t="shared" si="680"/>
        <v>64.78011772953414</v>
      </c>
      <c r="HU273" s="541">
        <f t="shared" si="681"/>
        <v>326.21988227046586</v>
      </c>
      <c r="HV273" s="541">
        <f t="shared" si="682"/>
        <v>0</v>
      </c>
      <c r="HW273" s="533" t="str">
        <f t="shared" si="683"/>
        <v/>
      </c>
      <c r="HX273" s="541">
        <f t="shared" si="684"/>
        <v>52.394432574560369</v>
      </c>
      <c r="HY273" s="541">
        <f>Sheet1!CZ271</f>
        <v>319</v>
      </c>
      <c r="HZ273" s="541">
        <f t="shared" si="685"/>
        <v>47.97811644504749</v>
      </c>
      <c r="IA273" s="541">
        <f t="shared" si="686"/>
        <v>64.78011772953414</v>
      </c>
      <c r="IB273" s="541">
        <f t="shared" si="687"/>
        <v>271.02188355495252</v>
      </c>
      <c r="IC273" s="1019" t="str">
        <f t="shared" si="688"/>
        <v/>
      </c>
      <c r="ID273" s="541">
        <f t="shared" si="689"/>
        <v>206.24176582541838</v>
      </c>
      <c r="IE273" s="541">
        <f>Sheet1!DB271</f>
        <v>213</v>
      </c>
      <c r="IF273" s="533">
        <f>Sheet1!DA271</f>
        <v>381</v>
      </c>
      <c r="IH273" s="541">
        <f>IF(AND($B273&gt;=$GC273,$B273&lt;=$GH273,$DR273&lt;0)+N("only adjusted when pool is drawn down during storage season"),Sheet1!$DB271+$DR273+N("Palmer minus all storage release"),Sheet1!$DB271)</f>
        <v>48.905194150100527</v>
      </c>
      <c r="II273" s="541">
        <f>IF(AND($B273&gt;=$GC273,$B273&lt;=$GH273,$DR273&lt;0)+N("only adjusted when pool is drawn down during storage season"),Sheet1!$DA271+$DR273+N("Auburn minus all storage release"),Sheet1!$DA271)</f>
        <v>216.90519415010053</v>
      </c>
    </row>
    <row r="274" spans="1:243" x14ac:dyDescent="0.25">
      <c r="A274" s="553" t="s">
        <v>6</v>
      </c>
      <c r="B274" s="531">
        <v>42998</v>
      </c>
      <c r="C274" s="536">
        <v>0</v>
      </c>
      <c r="D274" s="506">
        <f t="shared" si="633"/>
        <v>300</v>
      </c>
      <c r="E274" s="506">
        <f t="shared" si="634"/>
        <v>250</v>
      </c>
      <c r="F274" s="506">
        <v>250</v>
      </c>
      <c r="G274" s="535">
        <f>DR274+Sheet1!CZ272</f>
        <v>144.13918305580006</v>
      </c>
      <c r="H274" s="1074">
        <f t="shared" si="690"/>
        <v>0</v>
      </c>
      <c r="I274" s="534">
        <f>IF(Sheet1!DA272&gt;=E274,(Sheet1!DA272-E274+P274)*CFStoMGD,0)</f>
        <v>188.69626060799999</v>
      </c>
      <c r="J274" s="995">
        <f>IF(Sheet1!DB272&gt;=D274,(Sheet1!DB272-D274+P274)*CFStoMGD,0)</f>
        <v>0</v>
      </c>
      <c r="K274" s="818">
        <f t="shared" si="665"/>
        <v>0</v>
      </c>
      <c r="L274" s="535">
        <f>Sheet1!AA272+Sheet1!AB272-Sheet1!L272+(Sheet1!DA272-F274)*CFStoMGD-S274-T274-U274</f>
        <v>157.61652607753427</v>
      </c>
      <c r="M274" s="535">
        <f t="shared" si="569"/>
        <v>95.03499928581455</v>
      </c>
      <c r="N274" s="824">
        <f>IF(Sheet1!DA272&gt;=F274,MIN(113*CFStoMGD,MIN(MAX(L274,0),MAX(M274,0))),0)</f>
        <v>73.043199999999999</v>
      </c>
      <c r="O274" s="538">
        <f>Sheet1!AA272+Sheet1!AB272</f>
        <v>69.759999999999991</v>
      </c>
      <c r="P274" s="538">
        <f t="shared" si="570"/>
        <v>107.91872000000001</v>
      </c>
      <c r="Q274" s="812">
        <f t="shared" si="666"/>
        <v>38.678926077534307</v>
      </c>
      <c r="R274" s="812">
        <f t="shared" si="635"/>
        <v>31</v>
      </c>
      <c r="S274" s="812">
        <f t="shared" si="636"/>
        <v>0</v>
      </c>
      <c r="T274" s="812">
        <f t="shared" si="637"/>
        <v>0</v>
      </c>
      <c r="U274" s="812">
        <f>IF(AND(B274&gt;=FV274,B274&lt;=FW274),ED274+Sheet1!EH272,0)</f>
        <v>31.081073922465684</v>
      </c>
      <c r="V274" s="812"/>
      <c r="W274" s="812">
        <f t="shared" si="638"/>
        <v>0</v>
      </c>
      <c r="X274" s="812">
        <f t="shared" si="639"/>
        <v>0</v>
      </c>
      <c r="Y274" s="812" t="str">
        <f t="shared" si="640"/>
        <v>FALSE</v>
      </c>
      <c r="Z274" s="812">
        <f t="shared" si="641"/>
        <v>69.759999999999991</v>
      </c>
      <c r="AA274" s="812">
        <f t="shared" si="642"/>
        <v>69.759999999999991</v>
      </c>
      <c r="AB274" s="1059">
        <f t="shared" si="667"/>
        <v>59.836298641945568</v>
      </c>
      <c r="AC274" s="538">
        <f>Sheet1!Y272*MGDtoCFS</f>
        <v>43.934799999999996</v>
      </c>
      <c r="AD274" s="538">
        <f>Sheet1!Z272*MGDtoCFS</f>
        <v>63.117599999999996</v>
      </c>
      <c r="AE274" s="538">
        <f>Sheet1!AA272*MGDtoCFS</f>
        <v>43.872920000000001</v>
      </c>
      <c r="AF274" s="538">
        <f>Sheet1!AB272*MGDtoCFS</f>
        <v>64.0458</v>
      </c>
      <c r="AG274" s="538">
        <f>Sheet1!L272*MGDtoCFS</f>
        <v>0</v>
      </c>
      <c r="AH274" s="521">
        <f t="shared" si="571"/>
        <v>31.115097519865156</v>
      </c>
      <c r="AI274" s="1059">
        <f t="shared" si="572"/>
        <v>48.135055863231393</v>
      </c>
      <c r="AJ274" s="535">
        <f t="shared" si="573"/>
        <v>0</v>
      </c>
      <c r="AK274" s="535">
        <f t="shared" si="574"/>
        <v>0</v>
      </c>
      <c r="AL274" s="535">
        <f>(VLOOKUP(Sheet1!DC272,hhdcap_wcm,4)-(((VLOOKUP(Sheet1!DC272,hhdcap_wcm,3)-Sheet1!DC272)/(VLOOKUP(Sheet1!DC272,hhdcap_wcm,3)-VLOOKUP(Sheet1!DC272,hhdcap_wcm,1)))*(VLOOKUP(Sheet1!DC272,hhdcap_wcm,4)-VLOOKUP(Sheet1!DC272,hhdcap_wcm,2))))</f>
        <v>24247.300000062329</v>
      </c>
      <c r="AM274" s="535">
        <f t="shared" si="575"/>
        <v>-340.80000000034852</v>
      </c>
      <c r="AN274" s="1035">
        <f t="shared" si="576"/>
        <v>882.59014356340515</v>
      </c>
      <c r="AO274" s="535">
        <f t="shared" si="577"/>
        <v>2707.7865604525268</v>
      </c>
      <c r="AP274" s="535">
        <f>Sheet1!BA272+Sheet1!BB272+Sheet1!BN272+CD274</f>
        <v>25.9</v>
      </c>
      <c r="AQ274" s="535">
        <f>Sheet1!BN272+(DO274*Sheet1!BN272)</f>
        <v>25.818926077534311</v>
      </c>
      <c r="AR274" s="535">
        <f>Sheet1!BA272+CD274</f>
        <v>0</v>
      </c>
      <c r="AS274" s="535">
        <f>Sheet1!BA272+Sheet1!BB272+CD274</f>
        <v>0</v>
      </c>
      <c r="AT274" s="649">
        <f>0</f>
        <v>0</v>
      </c>
      <c r="AU274" s="974">
        <f>BA274+MAX(Sheet1!EH272,(O274-Q274-ED274-S274))</f>
        <v>15.5</v>
      </c>
      <c r="AV274" s="535">
        <f>IF(OR(B274&gt;=GD274,B274&lt;GC274),0,15/36*K274-MAX(0,64.6-(137.6-(Sheet1!AA272+Sheet1!AB272))))</f>
        <v>0</v>
      </c>
      <c r="AW274" s="1029"/>
      <c r="AX274" s="649"/>
      <c r="AY274" s="649">
        <f t="shared" si="668"/>
        <v>23.311716569431731</v>
      </c>
      <c r="AZ274" s="649">
        <f t="shared" si="669"/>
        <v>0</v>
      </c>
      <c r="BA274" s="1059">
        <f t="shared" si="670"/>
        <v>0</v>
      </c>
      <c r="BB274" s="1019">
        <f t="shared" si="578"/>
        <v>441.23499025333615</v>
      </c>
      <c r="BC274" s="1041">
        <f t="shared" si="671"/>
        <v>0</v>
      </c>
      <c r="BD274" s="1019">
        <f ca="1">IF(B274&gt;(Summary!$A$1-1),#N/A,BB274*MGtoAF)</f>
        <v>1353.7089500972354</v>
      </c>
      <c r="BE274" s="535">
        <f>Sheet1!BG272+Sheet1!BH272+Sheet1!BI272-BM274</f>
        <v>4.12</v>
      </c>
      <c r="BF274" s="535">
        <f t="shared" si="579"/>
        <v>4.1071032988201299</v>
      </c>
      <c r="BG274" s="535">
        <f>IF(Sheet1!EP272="FM",BM274,0)</f>
        <v>0</v>
      </c>
      <c r="BH274" s="535">
        <f t="shared" si="580"/>
        <v>0</v>
      </c>
      <c r="BI274" s="535">
        <f>IF(Sheet1!EP272="OTHER",BM274,0)</f>
        <v>0</v>
      </c>
      <c r="BJ274" s="535">
        <f t="shared" si="581"/>
        <v>0</v>
      </c>
      <c r="BK274" s="535">
        <f t="shared" si="582"/>
        <v>4.12</v>
      </c>
      <c r="BL274" s="535">
        <f t="shared" si="583"/>
        <v>4.1071032988201299</v>
      </c>
      <c r="BM274" s="535">
        <f>IF(OR(Sheet1!EP272="FM", Sheet1!EP272="OTHER"),SUM(Sheet1!BG272:'Sheet1'!BI272),0)</f>
        <v>0</v>
      </c>
      <c r="BN274" s="521">
        <f>IF(AND($B274&gt;=$FV274,$B274&lt;=$FW274),MAX(BF274,Sheet1!EI272,0),MAX(BF274-(7/36)*$K274,0))</f>
        <v>4.1071032988201299</v>
      </c>
      <c r="BO274" s="535">
        <f t="shared" si="584"/>
        <v>0</v>
      </c>
      <c r="BP274" s="521">
        <f t="shared" si="585"/>
        <v>0</v>
      </c>
      <c r="BQ274" s="521">
        <f>IF(AND($O274&gt;0,Sheet1!EM272=1),(1-($O274-Sheet1!$L272)/$O274)*BL274,0)</f>
        <v>0</v>
      </c>
      <c r="BR274" s="521">
        <f>IF(AND(Sheet1!$L272=0,Sheet1!$L271=0, Calculation!BK274&lt;Sheet1!$EI272-0.1,Sheet1!$EI272=Sheet1!$EI271,Sheet1!$EI272=Sheet1!$EI273),BL274-BQ274,BL274-BQ274)</f>
        <v>4.1071032988201299</v>
      </c>
      <c r="BS274" s="1035" t="str">
        <f t="shared" si="672"/>
        <v/>
      </c>
      <c r="BT274" s="1035">
        <f t="shared" si="673"/>
        <v>0</v>
      </c>
      <c r="BU274" s="535">
        <f t="shared" si="586"/>
        <v>147.99491177013257</v>
      </c>
      <c r="BV274" s="535"/>
      <c r="BW274" s="535">
        <f ca="1">IF(B274&gt;(Summary!$A$1-1),#N/A,BU274*MGtoAF)</f>
        <v>454.04838931076677</v>
      </c>
      <c r="BX274" s="535">
        <f>Sheet1!BC272+Sheet1!BD272+Sheet1!BE272+Sheet1!BF272-CG274-CH274</f>
        <v>4.4800000000000004</v>
      </c>
      <c r="BY274" s="535">
        <f t="shared" si="587"/>
        <v>4.4659764026005302</v>
      </c>
      <c r="BZ274" s="535">
        <f>IF(Sheet1!EQ272="FM",CH274,0)</f>
        <v>0</v>
      </c>
      <c r="CA274" s="535">
        <f t="shared" si="588"/>
        <v>0</v>
      </c>
      <c r="CB274" s="535">
        <f>IF(Sheet1!EQ272="OTHER",CH274,0)</f>
        <v>0</v>
      </c>
      <c r="CC274" s="535">
        <f t="shared" si="589"/>
        <v>0</v>
      </c>
      <c r="CD274" s="535">
        <f t="shared" si="590"/>
        <v>0</v>
      </c>
      <c r="CE274" s="535">
        <f t="shared" si="591"/>
        <v>4.4800000000000004</v>
      </c>
      <c r="CF274" s="535">
        <f t="shared" si="592"/>
        <v>4.4659764026005302</v>
      </c>
      <c r="CG274" s="535">
        <f>IF(Sheet1!EQ272="CWA",SUM(Sheet1!BC272:'Sheet1'!BF272),0)</f>
        <v>0</v>
      </c>
      <c r="CH274" s="535">
        <f>IF(OR(Sheet1!EQ272="FM", Sheet1!EQ272="OTHER"),SUM(Sheet1!BC272:'Sheet1'!BF272),0)</f>
        <v>0</v>
      </c>
      <c r="CI274" s="521">
        <f>IF(AND($B274&gt;=$FV274,$B274&lt;=$FW274),MAX(CF274,Sheet1!EJ272,0),MAX(CF274-(7/36)*$K274,0))</f>
        <v>4.5</v>
      </c>
      <c r="CJ274" s="535">
        <f t="shared" si="593"/>
        <v>0</v>
      </c>
      <c r="CK274" s="521">
        <f t="shared" si="594"/>
        <v>0</v>
      </c>
      <c r="CL274" s="521">
        <f>IF(AND($O274&gt;0,Sheet1!EN272=1),(1-($O274-Sheet1!$L272)/$O274)*CF274,0)</f>
        <v>0</v>
      </c>
      <c r="CM274" s="521">
        <f>IF(AND(Sheet1!$L272=0,Sheet1!$L271=0, Calculation!CE274&lt;Sheet1!EJ272-0.1,Sheet1!EJ272=Sheet1!EJ271,Sheet1!EJ272=Sheet1!EJ273),CF274-CL274,CF274-CL274)</f>
        <v>4.4659764026005302</v>
      </c>
      <c r="CN274" s="1040" t="str">
        <f t="shared" si="674"/>
        <v/>
      </c>
      <c r="CO274" s="1035">
        <f t="shared" si="675"/>
        <v>0</v>
      </c>
      <c r="CP274" s="535">
        <f t="shared" si="595"/>
        <v>110.00031904895286</v>
      </c>
      <c r="CQ274" s="535"/>
      <c r="CR274" s="535">
        <f ca="1">IF(B274&gt;(Summary!$A$1-1),#N/A,CP274*MGtoAF)</f>
        <v>337.48097884218737</v>
      </c>
      <c r="CS274" s="535">
        <f>Sheet1!BK272+Sheet1!BL272+Sheet1!BM272-Sheet1!ER272-DA274</f>
        <v>7.0299999999999994</v>
      </c>
      <c r="CT274" s="535">
        <f t="shared" si="596"/>
        <v>7.0079942210450268</v>
      </c>
      <c r="CU274" s="535">
        <f>IF(Sheet1!ER272="FM",DA274,0)</f>
        <v>0</v>
      </c>
      <c r="CV274" s="535">
        <f t="shared" si="597"/>
        <v>0</v>
      </c>
      <c r="CW274" s="535">
        <f>IF(Sheet1!ER272="OTHER",DA274,0)</f>
        <v>0</v>
      </c>
      <c r="CX274" s="535">
        <f t="shared" si="598"/>
        <v>0</v>
      </c>
      <c r="CY274" s="535">
        <f t="shared" si="629"/>
        <v>7.0299999999999994</v>
      </c>
      <c r="CZ274" s="535">
        <f t="shared" si="630"/>
        <v>7.0079942210450268</v>
      </c>
      <c r="DA274" s="535">
        <f>IF(OR(Sheet1!ER272="FM", Sheet1!ER272="OTHER"),SUM(Sheet1!BK272:'Sheet1'!BM272),0)</f>
        <v>0</v>
      </c>
      <c r="DB274" s="1011">
        <f>IF(AND($B274&gt;=$FV274,$B274&lt;=$FW274),MAX($CT274,Sheet1!EK272,0),MAX($CT274-(7/36)*$K274,0))</f>
        <v>7.0079942210450268</v>
      </c>
      <c r="DC274" s="1012">
        <f t="shared" si="601"/>
        <v>0</v>
      </c>
      <c r="DD274" s="1011">
        <f t="shared" si="602"/>
        <v>0</v>
      </c>
      <c r="DE274" s="521">
        <f>IF(AND($O274&gt;0,Sheet1!EO272=1),(1-($O274-Sheet1!$L272)/$O274)*CZ274,0)</f>
        <v>0</v>
      </c>
      <c r="DF274" s="521">
        <f>IF(AND(Sheet1!$L272=0,Sheet1!$L271=0, Calculation!CY274&lt;Sheet1!$EK272-0.1,Sheet1!$EK272=Sheet1!$EK271,Sheet1!$EK272=Sheet1!$EK273),CZ274-DE274,CZ274-DE274)</f>
        <v>7.0079942210450268</v>
      </c>
      <c r="DG274" s="1040">
        <f t="shared" si="676"/>
        <v>0</v>
      </c>
      <c r="DH274" s="649">
        <f t="shared" si="603"/>
        <v>15.63</v>
      </c>
      <c r="DI274" s="535">
        <f t="shared" si="604"/>
        <v>183.35992249098356</v>
      </c>
      <c r="DJ274" s="649">
        <f t="shared" si="605"/>
        <v>15.581073922465688</v>
      </c>
      <c r="DK274" s="535">
        <f ca="1">IF(B274&gt;(Summary!$A$1-1),#N/A,DI274*MGtoAF)</f>
        <v>562.54824220233763</v>
      </c>
      <c r="DL274" s="649">
        <f t="shared" si="606"/>
        <v>15.629999999999999</v>
      </c>
      <c r="DM274" s="535">
        <f t="shared" si="607"/>
        <v>41.53</v>
      </c>
      <c r="DN274" s="535">
        <f>Sheet1!AB272-DM274</f>
        <v>-0.13000000000000256</v>
      </c>
      <c r="DO274" s="743">
        <f t="shared" si="608"/>
        <v>-3.1302672766675308E-3</v>
      </c>
      <c r="DP274" s="535">
        <f>(VLOOKUP(Sheet1!DC272,hhdcap_wcm,4)-(((VLOOKUP(Sheet1!DC272,hhdcap_wcm,3)-Sheet1!DC272)/(VLOOKUP(Sheet1!DC272,hhdcap_wcm,3)-VLOOKUP(Sheet1!DC272,hhdcap_wcm,1)))*(VLOOKUP(Sheet1!DC272,hhdcap_wcm,4)-VLOOKUP(Sheet1!DC272,hhdcap_wcm,2))))</f>
        <v>24247.300000062329</v>
      </c>
      <c r="DQ274" s="535">
        <f t="shared" si="609"/>
        <v>-340.80000000034852</v>
      </c>
      <c r="DR274" s="535">
        <f t="shared" si="610"/>
        <v>-171.86081694419994</v>
      </c>
      <c r="DS274" s="535">
        <f>Sheet1!EA272*AFtoMG</f>
        <v>0</v>
      </c>
      <c r="DT274" s="535">
        <f>Sheet1!EB272*AFtoMG</f>
        <v>0</v>
      </c>
      <c r="DU274" s="535">
        <f>Sheet1!EC272*AFtoMG</f>
        <v>0</v>
      </c>
      <c r="DV274" s="535">
        <f>Sheet1!ED272*AFtoMG</f>
        <v>0</v>
      </c>
      <c r="DW274" s="535">
        <f t="shared" si="611"/>
        <v>0</v>
      </c>
      <c r="DX274" s="535">
        <f t="shared" si="612"/>
        <v>0</v>
      </c>
      <c r="DY274" s="535">
        <f>AN274</f>
        <v>882.59014356340515</v>
      </c>
      <c r="DZ274" s="535">
        <f t="shared" si="614"/>
        <v>2707.7865604525268</v>
      </c>
      <c r="EA274" s="535"/>
      <c r="EB274" s="521">
        <f>IF(OR(B274&lt;FV274,B274&gt;FW274),(MIN(BF274+BY274+CT274+MAX(Sheet1!AA272+AQ274-73,0),K274)),0)</f>
        <v>0</v>
      </c>
      <c r="EC274" s="535"/>
      <c r="ED274" s="535">
        <f t="shared" si="615"/>
        <v>15.581073922465686</v>
      </c>
      <c r="EE274" s="535"/>
      <c r="EF274" s="535">
        <f>Sheet1!EH272+Sheet1!EI272+Sheet1!EJ272+Sheet1!EK272</f>
        <v>31</v>
      </c>
      <c r="EG274" s="1019">
        <f t="shared" si="677"/>
        <v>47.957000000000001</v>
      </c>
      <c r="EH274" s="521">
        <f t="shared" si="616"/>
        <v>0</v>
      </c>
      <c r="EI274" s="535">
        <f>IF(Sheet1!ET272=1,SUM('Calculations II'!AT274:BA274)+'Calculations II'!BC274+Sheet1!BV272+'Calculations II'!BE274+AP274,'Calculations II'!BK274)</f>
        <v>54.12684607753431</v>
      </c>
      <c r="EJ274" s="535">
        <f ca="1">EI274+'Calculations II'!D274+'Calculations II'!E274+'Calculations II'!O274</f>
        <v>54.118492898420264</v>
      </c>
      <c r="EK274" s="535"/>
      <c r="EL274" s="535"/>
      <c r="EM274" s="535">
        <f t="shared" si="617"/>
        <v>42998</v>
      </c>
      <c r="EN274" s="535">
        <f t="shared" si="618"/>
        <v>-31.115097519865156</v>
      </c>
      <c r="EO274" s="535">
        <f t="shared" si="619"/>
        <v>-48.135055863231393</v>
      </c>
      <c r="EP274" s="535">
        <v>0</v>
      </c>
      <c r="EQ274" s="535">
        <v>0</v>
      </c>
      <c r="ER274" s="535">
        <v>0</v>
      </c>
      <c r="ES274" s="521">
        <f t="shared" si="643"/>
        <v>-0.55425313820271938</v>
      </c>
      <c r="ET274" s="535">
        <f>-(VLOOKUP(Sheet1!BQ272,Lookup!$O$4:$Q$262,2)-VLOOKUP(Sheet1!BQ271,Lookup!$O$4:$Q$262,2))/1000000</f>
        <v>-0.69290457785485315</v>
      </c>
      <c r="EU274" s="535">
        <f>-(VLOOKUP(Sheet1!BR272,Lookup!$O$4:$Q$262,3)-VLOOKUP(Sheet1!BR271,Lookup!$O$4:$Q$262,3))/1000000</f>
        <v>0.13865143965213372</v>
      </c>
      <c r="EV274" s="535"/>
      <c r="EW274" s="535"/>
      <c r="EX274" s="535"/>
      <c r="EY274" s="535"/>
      <c r="EZ274" s="535"/>
      <c r="FA274" s="535"/>
      <c r="FB274" s="535"/>
      <c r="FC274" s="535"/>
      <c r="FD274" s="567">
        <f t="shared" si="632"/>
        <v>1120.6795454544831</v>
      </c>
      <c r="FE274" s="567" t="e">
        <f t="shared" si="620"/>
        <v>#N/A</v>
      </c>
      <c r="FF274" s="568" t="e">
        <f t="shared" si="621"/>
        <v>#N/A</v>
      </c>
      <c r="FG274" s="569" t="s">
        <v>656</v>
      </c>
      <c r="FH274" s="569" t="s">
        <v>656</v>
      </c>
      <c r="FI274" s="567" t="e">
        <v>#N/A</v>
      </c>
      <c r="FJ274" s="725">
        <v>11583</v>
      </c>
      <c r="FK274" s="535"/>
      <c r="FL274" s="1015">
        <f t="shared" si="631"/>
        <v>109.43015632879475</v>
      </c>
      <c r="FM274" s="535"/>
      <c r="FN274" s="535"/>
      <c r="FO274" s="535">
        <f>O274+((Sheet1!CS272)*GPMtoMGD)</f>
        <v>69.759999999999991</v>
      </c>
      <c r="FP274" s="535">
        <f>IF(Sheet1!AA272+AQ274&lt;=Calculation!N274,AQ274,Calculation!N274-Sheet1!AA272)</f>
        <v>25.818926077534311</v>
      </c>
      <c r="FQ274" s="535">
        <f>(Sheet1!BP272+Sheet1!BO272)/694.4</f>
        <v>1.934475806451613</v>
      </c>
      <c r="FR274" s="541"/>
      <c r="FS274" s="541"/>
      <c r="FT274" s="541"/>
      <c r="FU274" s="541"/>
      <c r="FV274" s="1109">
        <f t="shared" si="644"/>
        <v>42918</v>
      </c>
      <c r="FW274" s="1109">
        <f t="shared" si="645"/>
        <v>43027</v>
      </c>
      <c r="FX274" s="541"/>
      <c r="FY274" s="541">
        <f>Sheet1!DA272-Sheet1!CZ272-Sheet1!AE272</f>
        <v>10.081280000000021</v>
      </c>
      <c r="FZ274" s="535">
        <f t="shared" si="678"/>
        <v>6.9941287207776759E-2</v>
      </c>
      <c r="GA274" s="535"/>
      <c r="GB274" s="535" t="str">
        <f t="shared" si="646"/>
        <v>n</v>
      </c>
      <c r="GC274" s="539">
        <f t="shared" si="647"/>
        <v>42782</v>
      </c>
      <c r="GD274" s="1109">
        <f t="shared" si="648"/>
        <v>42904</v>
      </c>
      <c r="GE274" s="535">
        <f t="shared" si="664"/>
        <v>6520</v>
      </c>
      <c r="GF274" s="1109">
        <f t="shared" si="649"/>
        <v>42909</v>
      </c>
      <c r="GG274" s="535">
        <f t="shared" ref="GG274:GG337" si="691">GG273</f>
        <v>3260</v>
      </c>
      <c r="GH274" s="539">
        <f t="shared" si="650"/>
        <v>43040</v>
      </c>
      <c r="GJ274" s="521">
        <f t="shared" si="651"/>
        <v>0</v>
      </c>
      <c r="GK274" s="535" t="str">
        <f t="shared" si="622"/>
        <v/>
      </c>
      <c r="GL274" s="535">
        <f t="shared" si="652"/>
        <v>0</v>
      </c>
      <c r="GM274" s="535" t="str">
        <f t="shared" si="653"/>
        <v/>
      </c>
      <c r="GN274" s="535">
        <f>IF(GK274="P",Lookup!$M$12,IF(GK274="PP",Lookup!$M$13,IF(GK274="PPP",Lookup!$M$14,IF(GK274="T",Lookup!$M$15,IF(GK274="TP",Lookup!$M$16,IF(GK274="TPP",Lookup!$M$17,IF(GK274="TPPP",Lookup!$M$18,0)))))))*GJ274</f>
        <v>0</v>
      </c>
      <c r="GO274" s="535">
        <f t="shared" si="654"/>
        <v>0</v>
      </c>
      <c r="GP274" s="535">
        <f t="shared" si="623"/>
        <v>1353.7089500972354</v>
      </c>
      <c r="GQ274" s="974">
        <f t="shared" si="567"/>
        <v>441.23499025333615</v>
      </c>
      <c r="GR274" s="535"/>
      <c r="GS274" s="535">
        <f t="shared" si="655"/>
        <v>0</v>
      </c>
      <c r="GT274" s="535" t="str">
        <f t="shared" si="656"/>
        <v/>
      </c>
      <c r="GU274" s="535">
        <f>IF(GK274="P",Lookup!$N$12,IF(GK274="PP",Lookup!$N$13,IF(GK274="PPP",Lookup!$N$14,IF(GK274="T",Lookup!$N$15,IF(GK274="TP",Lookup!$N$16,IF(GK274="TPP",Lookup!$N$17,IF(GK274="TPPP",Lookup!$N$18,0)))))))*GJ274</f>
        <v>0</v>
      </c>
      <c r="GV274" s="535">
        <f t="shared" si="657"/>
        <v>0</v>
      </c>
      <c r="GW274" s="535">
        <f t="shared" si="624"/>
        <v>454.04838931076677</v>
      </c>
      <c r="GX274" s="974">
        <f t="shared" si="568"/>
        <v>147.99491177013257</v>
      </c>
      <c r="GY274" s="535"/>
      <c r="GZ274" s="535">
        <f t="shared" si="658"/>
        <v>0</v>
      </c>
      <c r="HA274" s="535" t="str">
        <f t="shared" si="659"/>
        <v/>
      </c>
      <c r="HB274" s="535">
        <f>IF(GK274="P",Lookup!$N$12,IF(GK274="PP",Lookup!$N$13,IF(GK274="PPP",Lookup!$N$14,IF(GK274="T",Lookup!$N$15,IF(GK274="TP",Lookup!$N$16,IF(GK274="TPP",Lookup!$N$17,IF(GK274="TPPP",Lookup!$N$18,0)))))))*GJ274</f>
        <v>0</v>
      </c>
      <c r="HC274" s="521">
        <f t="shared" si="625"/>
        <v>0</v>
      </c>
      <c r="HD274" s="535">
        <f t="shared" si="626"/>
        <v>337.48097884218737</v>
      </c>
      <c r="HE274" s="535">
        <f t="shared" si="662"/>
        <v>110.00031904895286</v>
      </c>
      <c r="HF274" s="535"/>
      <c r="HG274" s="535">
        <f t="shared" si="660"/>
        <v>0</v>
      </c>
      <c r="HH274" s="535" t="str">
        <f t="shared" si="661"/>
        <v/>
      </c>
      <c r="HI274" s="535">
        <f>IF(GK274="P",Lookup!$N$12,IF(GK274="PP",Lookup!$N$13,IF(GK274="PPP",Lookup!$N$14,IF(GK274="T",Lookup!$N$15,IF(GK274="TP",Lookup!$N$16,IF(GK274="TPP",Lookup!$N$17,IF(GK274="TPPP",Lookup!$N$18,0)))))))*GJ274</f>
        <v>0</v>
      </c>
      <c r="HJ274" s="521">
        <f t="shared" si="627"/>
        <v>0</v>
      </c>
      <c r="HK274" s="535">
        <f t="shared" si="628"/>
        <v>562.54824220233763</v>
      </c>
      <c r="HL274" s="535">
        <f t="shared" si="663"/>
        <v>183.35992249098356</v>
      </c>
      <c r="HM274" s="535"/>
      <c r="HN274" s="541"/>
      <c r="HO274" s="541"/>
      <c r="HP274" s="541"/>
      <c r="HQ274" s="541">
        <f>IF(AND(B274&gt;=$FV$4,B274&lt;=$FW$4),MAX(110/1.02+$HQ$6+MIN(113/1.02,G274),IF($HV$6-(Sheet1!DA272-Sheet1!DB272)+MIN(113/1.02,G274)&lt;G274+FL274,$HV$6-(Sheet1!DA272-Sheet1!DB272)+MIN(113/1.02,G274),G274+FL274)),MIN(110/1.02+$HQ$6+113/1.02,G274))</f>
        <v>218.62745098039215</v>
      </c>
      <c r="HR274" s="541">
        <f t="shared" si="679"/>
        <v>223</v>
      </c>
      <c r="HS274" s="541">
        <f>HR274+(Sheet1!DA272-Sheet1!DB272)</f>
        <v>465</v>
      </c>
      <c r="HT274" s="541">
        <f t="shared" si="680"/>
        <v>59.836298641945568</v>
      </c>
      <c r="HU274" s="541">
        <f t="shared" si="681"/>
        <v>405.16370135805442</v>
      </c>
      <c r="HV274" s="541">
        <f t="shared" si="682"/>
        <v>0</v>
      </c>
      <c r="HW274" s="533" t="str">
        <f t="shared" si="683"/>
        <v/>
      </c>
      <c r="HX274" s="541">
        <f t="shared" si="684"/>
        <v>49.237493156376445</v>
      </c>
      <c r="HY274" s="541">
        <f>Sheet1!CZ272</f>
        <v>316</v>
      </c>
      <c r="HZ274" s="541">
        <f t="shared" si="685"/>
        <v>48.135055863231393</v>
      </c>
      <c r="IA274" s="541">
        <f t="shared" si="686"/>
        <v>59.836298641945568</v>
      </c>
      <c r="IB274" s="541">
        <f t="shared" si="687"/>
        <v>267.8649441367686</v>
      </c>
      <c r="IC274" s="1019" t="str">
        <f t="shared" si="688"/>
        <v/>
      </c>
      <c r="ID274" s="541">
        <f t="shared" si="689"/>
        <v>208.02864549482302</v>
      </c>
      <c r="IE274" s="541">
        <f>Sheet1!DB272</f>
        <v>192</v>
      </c>
      <c r="IF274" s="533">
        <f>Sheet1!DA272</f>
        <v>434</v>
      </c>
      <c r="IH274" s="541">
        <f>IF(AND($B274&gt;=$GC274,$B274&lt;=$GH274,$DR274&lt;0)+N("only adjusted when pool is drawn down during storage season"),Sheet1!$DB272+$DR274+N("Palmer minus all storage release"),Sheet1!$DB272)</f>
        <v>20.139183055800061</v>
      </c>
      <c r="II274" s="541">
        <f>IF(AND($B274&gt;=$GC274,$B274&lt;=$GH274,$DR274&lt;0)+N("only adjusted when pool is drawn down during storage season"),Sheet1!$DA272+$DR274+N("Auburn minus all storage release"),Sheet1!$DA272)</f>
        <v>262.13918305580006</v>
      </c>
    </row>
    <row r="275" spans="1:243" x14ac:dyDescent="0.25">
      <c r="A275" s="553" t="s">
        <v>7</v>
      </c>
      <c r="B275" s="531">
        <v>42999</v>
      </c>
      <c r="C275" s="536">
        <v>0</v>
      </c>
      <c r="D275" s="506">
        <f t="shared" si="633"/>
        <v>300</v>
      </c>
      <c r="E275" s="506">
        <f t="shared" si="634"/>
        <v>250</v>
      </c>
      <c r="F275" s="506">
        <v>250</v>
      </c>
      <c r="G275" s="535">
        <f>DR275+Sheet1!CZ273</f>
        <v>168.26727180980603</v>
      </c>
      <c r="H275" s="1074">
        <f t="shared" si="690"/>
        <v>0</v>
      </c>
      <c r="I275" s="534">
        <f>IF(Sheet1!DA273&gt;=E275,(Sheet1!DA273-E275+P275)*CFStoMGD,0)</f>
        <v>164.87869593599999</v>
      </c>
      <c r="J275" s="995">
        <f>IF(Sheet1!DB273&gt;=D275,(Sheet1!DB273-D275+P275)*CFStoMGD,0)</f>
        <v>0</v>
      </c>
      <c r="K275" s="818">
        <f t="shared" si="665"/>
        <v>0</v>
      </c>
      <c r="L275" s="535">
        <f>Sheet1!AA273+Sheet1!AB273-Sheet1!L273+(Sheet1!DA273-F275)*CFStoMGD-S275-T275-U275</f>
        <v>133.94247787610618</v>
      </c>
      <c r="M275" s="535">
        <f t="shared" si="569"/>
        <v>110.9433237878158</v>
      </c>
      <c r="N275" s="824">
        <f>IF(Sheet1!DA273&gt;=F275,MIN(113*CFStoMGD,MIN(MAX(L275,0),MAX(M275,0))),0)</f>
        <v>73.043199999999999</v>
      </c>
      <c r="O275" s="538">
        <f>Sheet1!AA273+Sheet1!AB273</f>
        <v>67.92</v>
      </c>
      <c r="P275" s="538">
        <f t="shared" si="570"/>
        <v>105.07223999999999</v>
      </c>
      <c r="Q275" s="812">
        <f t="shared" si="666"/>
        <v>36.982477876106202</v>
      </c>
      <c r="R275" s="812">
        <f t="shared" si="635"/>
        <v>31</v>
      </c>
      <c r="S275" s="812">
        <f t="shared" si="636"/>
        <v>0</v>
      </c>
      <c r="T275" s="812">
        <f t="shared" si="637"/>
        <v>0</v>
      </c>
      <c r="U275" s="812">
        <f>IF(AND(B275&gt;=FV275,B275&lt;=FW275),ED275+Sheet1!EH273,0)</f>
        <v>30.937522123893803</v>
      </c>
      <c r="V275" s="812"/>
      <c r="W275" s="812">
        <f t="shared" si="638"/>
        <v>0</v>
      </c>
      <c r="X275" s="812">
        <f t="shared" si="639"/>
        <v>0</v>
      </c>
      <c r="Y275" s="812" t="str">
        <f t="shared" si="640"/>
        <v>FALSE</v>
      </c>
      <c r="Z275" s="812">
        <f t="shared" si="641"/>
        <v>67.92</v>
      </c>
      <c r="AA275" s="812">
        <f t="shared" si="642"/>
        <v>67.92</v>
      </c>
      <c r="AB275" s="1059">
        <f t="shared" si="667"/>
        <v>57.21189327433629</v>
      </c>
      <c r="AC275" s="538">
        <f>Sheet1!Y273*MGDtoCFS</f>
        <v>43.872920000000001</v>
      </c>
      <c r="AD275" s="538">
        <f>Sheet1!Z273*MGDtoCFS</f>
        <v>64.0458</v>
      </c>
      <c r="AE275" s="538">
        <f>Sheet1!AA273*MGDtoCFS</f>
        <v>43.934799999999996</v>
      </c>
      <c r="AF275" s="538">
        <f>Sheet1!AB273*MGDtoCFS</f>
        <v>61.137440000000005</v>
      </c>
      <c r="AG275" s="538">
        <f>Sheet1!L273*MGDtoCFS</f>
        <v>0</v>
      </c>
      <c r="AH275" s="521">
        <f t="shared" si="571"/>
        <v>31.114599241466497</v>
      </c>
      <c r="AI275" s="1059">
        <f t="shared" si="572"/>
        <v>48.134285026548667</v>
      </c>
      <c r="AJ275" s="535">
        <f t="shared" si="573"/>
        <v>0</v>
      </c>
      <c r="AK275" s="535">
        <f t="shared" si="574"/>
        <v>0</v>
      </c>
      <c r="AL275" s="535">
        <f>(VLOOKUP(Sheet1!DC273,hhdcap_wcm,4)-(((VLOOKUP(Sheet1!DC273,hhdcap_wcm,3)-Sheet1!DC273)/(VLOOKUP(Sheet1!DC273,hhdcap_wcm,3)-VLOOKUP(Sheet1!DC273,hhdcap_wcm,1)))*(VLOOKUP(Sheet1!DC273,hhdcap_wcm,4)-VLOOKUP(Sheet1!DC273,hhdcap_wcm,2))))</f>
        <v>23831.400000061174</v>
      </c>
      <c r="AM275" s="535">
        <f t="shared" si="575"/>
        <v>-415.90000000115469</v>
      </c>
      <c r="AN275" s="1035">
        <f t="shared" si="576"/>
        <v>851.47554432193874</v>
      </c>
      <c r="AO275" s="535">
        <f t="shared" si="577"/>
        <v>2612.3269699797083</v>
      </c>
      <c r="AP275" s="535">
        <f>Sheet1!BA273+Sheet1!BB273+Sheet1!BN273+CD275</f>
        <v>23.1</v>
      </c>
      <c r="AQ275" s="535">
        <f>Sheet1!BN273+(DO275*Sheet1!BN273)</f>
        <v>23.082477876106196</v>
      </c>
      <c r="AR275" s="535">
        <f>Sheet1!BA273+CD275</f>
        <v>0</v>
      </c>
      <c r="AS275" s="535">
        <f>Sheet1!BA273+Sheet1!BB273+CD275</f>
        <v>0</v>
      </c>
      <c r="AT275" s="649">
        <f>0</f>
        <v>0</v>
      </c>
      <c r="AU275" s="974">
        <f>BA275+MAX(Sheet1!EH273,(O275-Q275-ED275-S275))</f>
        <v>14.5</v>
      </c>
      <c r="AV275" s="535">
        <f>IF(OR(B275&gt;=GD275,B275&lt;GC275),0,15/36*K275-MAX(0,64.6-(137.6-(Sheet1!AA273+Sheet1!AB273))))</f>
        <v>0</v>
      </c>
      <c r="AW275" s="1029"/>
      <c r="AX275" s="649"/>
      <c r="AY275" s="649">
        <f t="shared" si="668"/>
        <v>23.311716569431731</v>
      </c>
      <c r="AZ275" s="649">
        <f t="shared" si="669"/>
        <v>0</v>
      </c>
      <c r="BA275" s="1059">
        <f t="shared" si="670"/>
        <v>0</v>
      </c>
      <c r="BB275" s="1019">
        <f t="shared" si="578"/>
        <v>426.73499025333615</v>
      </c>
      <c r="BC275" s="1041">
        <f t="shared" si="671"/>
        <v>0</v>
      </c>
      <c r="BD275" s="1019">
        <f ca="1">IF(B275&gt;(Summary!$A$1-1),#N/A,BB275*MGtoAF)</f>
        <v>1309.2229500972353</v>
      </c>
      <c r="BE275" s="535">
        <f>Sheet1!BG273+Sheet1!BH273+Sheet1!BI273-BM275</f>
        <v>4.92</v>
      </c>
      <c r="BF275" s="535">
        <f t="shared" si="579"/>
        <v>4.9162680151706697</v>
      </c>
      <c r="BG275" s="535">
        <f>IF(Sheet1!EP273="FM",BM275,0)</f>
        <v>0</v>
      </c>
      <c r="BH275" s="535">
        <f t="shared" si="580"/>
        <v>0</v>
      </c>
      <c r="BI275" s="535">
        <f>IF(Sheet1!EP273="OTHER",BM275,0)</f>
        <v>0</v>
      </c>
      <c r="BJ275" s="535">
        <f t="shared" si="581"/>
        <v>0</v>
      </c>
      <c r="BK275" s="535">
        <f t="shared" si="582"/>
        <v>4.92</v>
      </c>
      <c r="BL275" s="535">
        <f t="shared" si="583"/>
        <v>4.9162680151706697</v>
      </c>
      <c r="BM275" s="535">
        <f>IF(OR(Sheet1!EP273="FM", Sheet1!EP273="OTHER"),SUM(Sheet1!BG273:'Sheet1'!BI273),0)</f>
        <v>0</v>
      </c>
      <c r="BN275" s="521">
        <f>IF(AND($B275&gt;=$FV275,$B275&lt;=$FW275),MAX(BF275,Sheet1!EI273,0),MAX(BF275-(7/36)*$K275,0))</f>
        <v>5</v>
      </c>
      <c r="BO275" s="535">
        <f t="shared" si="584"/>
        <v>0</v>
      </c>
      <c r="BP275" s="521">
        <f t="shared" si="585"/>
        <v>0</v>
      </c>
      <c r="BQ275" s="521">
        <f>IF(AND($O275&gt;0,Sheet1!EM273=1),(1-($O275-Sheet1!$L273)/$O275)*BL275,0)</f>
        <v>0</v>
      </c>
      <c r="BR275" s="521">
        <f>IF(AND(Sheet1!$L273=0,Sheet1!$L272=0, Calculation!BK275&lt;Sheet1!$EI273-0.1,Sheet1!$EI273=Sheet1!$EI272,Sheet1!$EI273=Sheet1!$EI274),BL275-BQ275,BL275-BQ275)</f>
        <v>4.9162680151706697</v>
      </c>
      <c r="BS275" s="1035" t="str">
        <f t="shared" si="672"/>
        <v/>
      </c>
      <c r="BT275" s="1035">
        <f t="shared" si="673"/>
        <v>0</v>
      </c>
      <c r="BU275" s="535">
        <f t="shared" si="586"/>
        <v>142.99491177013257</v>
      </c>
      <c r="BV275" s="535"/>
      <c r="BW275" s="535">
        <f ca="1">IF(B275&gt;(Summary!$A$1-1),#N/A,BU275*MGtoAF)</f>
        <v>438.70838931076673</v>
      </c>
      <c r="BX275" s="535">
        <f>Sheet1!BC273+Sheet1!BD273+Sheet1!BE273+Sheet1!BF273-CG275-CH275</f>
        <v>4.41</v>
      </c>
      <c r="BY275" s="535">
        <f t="shared" si="587"/>
        <v>4.4066548672566368</v>
      </c>
      <c r="BZ275" s="535">
        <f>IF(Sheet1!EQ273="FM",CH275,0)</f>
        <v>0</v>
      </c>
      <c r="CA275" s="535">
        <f t="shared" si="588"/>
        <v>0</v>
      </c>
      <c r="CB275" s="535">
        <f>IF(Sheet1!EQ273="OTHER",CH275,0)</f>
        <v>0</v>
      </c>
      <c r="CC275" s="535">
        <f t="shared" si="589"/>
        <v>0</v>
      </c>
      <c r="CD275" s="535">
        <f t="shared" si="590"/>
        <v>0</v>
      </c>
      <c r="CE275" s="535">
        <f t="shared" si="591"/>
        <v>4.41</v>
      </c>
      <c r="CF275" s="535">
        <f t="shared" si="592"/>
        <v>4.4066548672566368</v>
      </c>
      <c r="CG275" s="535">
        <f>IF(Sheet1!EQ273="CWA",SUM(Sheet1!BC273:'Sheet1'!BF273),0)</f>
        <v>0</v>
      </c>
      <c r="CH275" s="535">
        <f>IF(OR(Sheet1!EQ273="FM", Sheet1!EQ273="OTHER"),SUM(Sheet1!BC273:'Sheet1'!BF273),0)</f>
        <v>0</v>
      </c>
      <c r="CI275" s="521">
        <f>IF(AND($B275&gt;=$FV275,$B275&lt;=$FW275),MAX(CF275,Sheet1!EJ273,0),MAX(CF275-(7/36)*$K275,0))</f>
        <v>4.5</v>
      </c>
      <c r="CJ275" s="535">
        <f t="shared" si="593"/>
        <v>0</v>
      </c>
      <c r="CK275" s="521">
        <f t="shared" si="594"/>
        <v>0</v>
      </c>
      <c r="CL275" s="521">
        <f>IF(AND($O275&gt;0,Sheet1!EN273=1),(1-($O275-Sheet1!$L273)/$O275)*CF275,0)</f>
        <v>0</v>
      </c>
      <c r="CM275" s="521">
        <f>IF(AND(Sheet1!$L273=0,Sheet1!$L272=0, Calculation!CE275&lt;Sheet1!EJ273-0.1,Sheet1!EJ273=Sheet1!EJ272,Sheet1!EJ273=Sheet1!EJ274),CF275-CL275,CF275-CL275)</f>
        <v>4.4066548672566368</v>
      </c>
      <c r="CN275" s="1040" t="str">
        <f t="shared" si="674"/>
        <v/>
      </c>
      <c r="CO275" s="1035">
        <f t="shared" si="675"/>
        <v>0</v>
      </c>
      <c r="CP275" s="535">
        <f t="shared" si="595"/>
        <v>105.50031904895286</v>
      </c>
      <c r="CQ275" s="535"/>
      <c r="CR275" s="535">
        <f ca="1">IF(B275&gt;(Summary!$A$1-1),#N/A,CP275*MGtoAF)</f>
        <v>323.67497884218739</v>
      </c>
      <c r="CS275" s="535">
        <f>Sheet1!BK273+Sheet1!BL273+Sheet1!BM273-Sheet1!ER273-DA275</f>
        <v>7.12</v>
      </c>
      <c r="CT275" s="535">
        <f t="shared" si="596"/>
        <v>7.1145992414664976</v>
      </c>
      <c r="CU275" s="535">
        <f>IF(Sheet1!ER273="FM",DA275,0)</f>
        <v>0</v>
      </c>
      <c r="CV275" s="535">
        <f t="shared" si="597"/>
        <v>0</v>
      </c>
      <c r="CW275" s="535">
        <f>IF(Sheet1!ER273="OTHER",DA275,0)</f>
        <v>0</v>
      </c>
      <c r="CX275" s="535">
        <f t="shared" si="598"/>
        <v>0</v>
      </c>
      <c r="CY275" s="535">
        <f t="shared" si="629"/>
        <v>7.12</v>
      </c>
      <c r="CZ275" s="535">
        <f t="shared" si="630"/>
        <v>7.1145992414664976</v>
      </c>
      <c r="DA275" s="535">
        <f>IF(OR(Sheet1!ER273="FM", Sheet1!ER273="OTHER"),SUM(Sheet1!BK273:'Sheet1'!BM273),0)</f>
        <v>0</v>
      </c>
      <c r="DB275" s="1011">
        <f>IF(AND($B275&gt;=$FV275,$B275&lt;=$FW275),MAX($CT275,Sheet1!EK273,0),MAX($CT275-(7/36)*$K275,0))</f>
        <v>7.1145992414664976</v>
      </c>
      <c r="DC275" s="1012">
        <f t="shared" si="601"/>
        <v>0</v>
      </c>
      <c r="DD275" s="1011">
        <f t="shared" si="602"/>
        <v>0</v>
      </c>
      <c r="DE275" s="521">
        <f>IF(AND($O275&gt;0,Sheet1!EO273=1),(1-($O275-Sheet1!$L273)/$O275)*CZ275,0)</f>
        <v>0</v>
      </c>
      <c r="DF275" s="521">
        <f>IF(AND(Sheet1!$L273=0,Sheet1!$L272=0, Calculation!CY275&lt;Sheet1!$EK273-0.1,Sheet1!$EK273=Sheet1!$EK272,Sheet1!$EK273=Sheet1!$EK274),CZ275-DE275,CZ275-DE275)</f>
        <v>7.1145992414664976</v>
      </c>
      <c r="DG275" s="1040">
        <f t="shared" si="676"/>
        <v>0</v>
      </c>
      <c r="DH275" s="649">
        <f t="shared" si="603"/>
        <v>16.45</v>
      </c>
      <c r="DI275" s="535">
        <f t="shared" si="604"/>
        <v>176.24532324951707</v>
      </c>
      <c r="DJ275" s="649">
        <f t="shared" si="605"/>
        <v>16.437522123893803</v>
      </c>
      <c r="DK275" s="535">
        <f ca="1">IF(B275&gt;(Summary!$A$1-1),#N/A,DI275*MGtoAF)</f>
        <v>540.72065172951841</v>
      </c>
      <c r="DL275" s="649">
        <f t="shared" si="606"/>
        <v>16.450000000000003</v>
      </c>
      <c r="DM275" s="535">
        <f t="shared" si="607"/>
        <v>39.550000000000004</v>
      </c>
      <c r="DN275" s="535">
        <f>Sheet1!AB273-DM275</f>
        <v>-3.0000000000001137E-2</v>
      </c>
      <c r="DO275" s="743">
        <f t="shared" si="608"/>
        <v>-7.585335018963624E-4</v>
      </c>
      <c r="DP275" s="535">
        <f>(VLOOKUP(Sheet1!DC273,hhdcap_wcm,4)-(((VLOOKUP(Sheet1!DC273,hhdcap_wcm,3)-Sheet1!DC273)/(VLOOKUP(Sheet1!DC273,hhdcap_wcm,3)-VLOOKUP(Sheet1!DC273,hhdcap_wcm,1)))*(VLOOKUP(Sheet1!DC273,hhdcap_wcm,4)-VLOOKUP(Sheet1!DC273,hhdcap_wcm,2))))</f>
        <v>23831.400000061174</v>
      </c>
      <c r="DQ275" s="535">
        <f t="shared" si="609"/>
        <v>-415.90000000115469</v>
      </c>
      <c r="DR275" s="535">
        <f t="shared" si="610"/>
        <v>-209.73272819019397</v>
      </c>
      <c r="DS275" s="535">
        <f>Sheet1!EA273*AFtoMG</f>
        <v>0</v>
      </c>
      <c r="DT275" s="535">
        <f>Sheet1!EB273*AFtoMG</f>
        <v>0</v>
      </c>
      <c r="DU275" s="535">
        <f>Sheet1!EC273*AFtoMG</f>
        <v>0</v>
      </c>
      <c r="DV275" s="535">
        <f>Sheet1!ED273*AFtoMG</f>
        <v>0</v>
      </c>
      <c r="DW275" s="535">
        <f t="shared" si="611"/>
        <v>0</v>
      </c>
      <c r="DX275" s="535">
        <f t="shared" si="612"/>
        <v>0</v>
      </c>
      <c r="DY275" s="535">
        <f t="shared" si="613"/>
        <v>851.47554432193874</v>
      </c>
      <c r="DZ275" s="535">
        <f t="shared" si="614"/>
        <v>2612.3269699797083</v>
      </c>
      <c r="EA275" s="535"/>
      <c r="EB275" s="521">
        <f>IF(OR(B275&lt;FV275,B275&gt;FW275),(MIN(BF275+BY275+CT275+MAX(Sheet1!AA273+AQ275-73,0),K275)),0)</f>
        <v>0</v>
      </c>
      <c r="EC275" s="535"/>
      <c r="ED275" s="535">
        <f t="shared" si="615"/>
        <v>16.437522123893803</v>
      </c>
      <c r="EE275" s="535"/>
      <c r="EF275" s="535">
        <f>Sheet1!EH273+Sheet1!EI273+Sheet1!EJ273+Sheet1!EK273</f>
        <v>31</v>
      </c>
      <c r="EG275" s="1019">
        <f t="shared" si="677"/>
        <v>47.957000000000001</v>
      </c>
      <c r="EH275" s="521">
        <f t="shared" si="616"/>
        <v>0</v>
      </c>
      <c r="EI275" s="535">
        <f>IF(Sheet1!ET273=1,SUM('Calculations II'!AT275:BA275)+'Calculations II'!BC275+Sheet1!BV273+'Calculations II'!BE275+AP275,'Calculations II'!BK275)</f>
        <v>50.860581876106195</v>
      </c>
      <c r="EJ275" s="535">
        <f ca="1">EI275+'Calculations II'!D275+'Calculations II'!E275+'Calculations II'!O275</f>
        <v>51.052033478631387</v>
      </c>
      <c r="EK275" s="535"/>
      <c r="EL275" s="535"/>
      <c r="EM275" s="535">
        <f t="shared" si="617"/>
        <v>42999</v>
      </c>
      <c r="EN275" s="535">
        <f t="shared" si="618"/>
        <v>-31.114599241466497</v>
      </c>
      <c r="EO275" s="535">
        <f t="shared" si="619"/>
        <v>-48.134285026548667</v>
      </c>
      <c r="EP275" s="535">
        <v>0</v>
      </c>
      <c r="EQ275" s="535">
        <v>0</v>
      </c>
      <c r="ER275" s="535">
        <v>0</v>
      </c>
      <c r="ES275" s="521">
        <f t="shared" si="643"/>
        <v>-0.83179323137744521</v>
      </c>
      <c r="ET275" s="535">
        <f>-(VLOOKUP(Sheet1!BQ273,Lookup!$O$4:$Q$262,2)-VLOOKUP(Sheet1!BQ272,Lookup!$O$4:$Q$262,2))/1000000</f>
        <v>-0.41581967573222145</v>
      </c>
      <c r="EU275" s="535">
        <f>-(VLOOKUP(Sheet1!BR273,Lookup!$O$4:$Q$262,3)-VLOOKUP(Sheet1!BR272,Lookup!$O$4:$Q$262,3))/1000000</f>
        <v>-0.4159735556452237</v>
      </c>
      <c r="EV275" s="535"/>
      <c r="EW275" s="535"/>
      <c r="EX275" s="535"/>
      <c r="EY275" s="535"/>
      <c r="EZ275" s="535"/>
      <c r="FA275" s="535"/>
      <c r="FB275" s="535"/>
      <c r="FC275" s="535"/>
      <c r="FD275" s="567">
        <f t="shared" si="632"/>
        <v>1120.1909090908471</v>
      </c>
      <c r="FE275" s="567" t="e">
        <f t="shared" si="620"/>
        <v>#N/A</v>
      </c>
      <c r="FF275" s="568" t="e">
        <f t="shared" si="621"/>
        <v>#N/A</v>
      </c>
      <c r="FG275" s="569" t="s">
        <v>656</v>
      </c>
      <c r="FH275" s="569" t="s">
        <v>656</v>
      </c>
      <c r="FI275" s="567" t="e">
        <v>#N/A</v>
      </c>
      <c r="FJ275" s="725">
        <v>11366</v>
      </c>
      <c r="FK275" s="535"/>
      <c r="FL275" s="1015">
        <f t="shared" si="631"/>
        <v>108.92586989409985</v>
      </c>
      <c r="FM275" s="535"/>
      <c r="FN275" s="535"/>
      <c r="FO275" s="535">
        <f>O275+((Sheet1!CS273)*GPMtoMGD)</f>
        <v>67.92</v>
      </c>
      <c r="FP275" s="535">
        <f>IF(Sheet1!AA273+AQ275&lt;=Calculation!N275,AQ275,Calculation!N275-Sheet1!AA273)</f>
        <v>23.082477876106196</v>
      </c>
      <c r="FQ275" s="535">
        <f>(Sheet1!BP273+Sheet1!BO273)/694.4</f>
        <v>1.6447292626728109</v>
      </c>
      <c r="FR275" s="541"/>
      <c r="FS275" s="541"/>
      <c r="FT275" s="541"/>
      <c r="FU275" s="541"/>
      <c r="FV275" s="1109">
        <f t="shared" si="644"/>
        <v>42918</v>
      </c>
      <c r="FW275" s="1109">
        <f t="shared" si="645"/>
        <v>43027</v>
      </c>
      <c r="FX275" s="541"/>
      <c r="FY275" s="541">
        <f>Sheet1!DA273-Sheet1!CZ273-Sheet1!AE273</f>
        <v>-83.072239999999994</v>
      </c>
      <c r="FZ275" s="535">
        <f t="shared" si="678"/>
        <v>-0.49369220233092787</v>
      </c>
      <c r="GA275" s="535"/>
      <c r="GB275" s="535" t="str">
        <f t="shared" si="646"/>
        <v>n</v>
      </c>
      <c r="GC275" s="539">
        <f t="shared" si="647"/>
        <v>42782</v>
      </c>
      <c r="GD275" s="1109">
        <f t="shared" si="648"/>
        <v>42904</v>
      </c>
      <c r="GE275" s="535">
        <f t="shared" si="664"/>
        <v>6520</v>
      </c>
      <c r="GF275" s="1109">
        <f t="shared" si="649"/>
        <v>42909</v>
      </c>
      <c r="GG275" s="535">
        <f t="shared" si="691"/>
        <v>3260</v>
      </c>
      <c r="GH275" s="539">
        <f t="shared" si="650"/>
        <v>43040</v>
      </c>
      <c r="GJ275" s="521">
        <f t="shared" si="651"/>
        <v>0</v>
      </c>
      <c r="GK275" s="535" t="str">
        <f t="shared" si="622"/>
        <v/>
      </c>
      <c r="GL275" s="535">
        <f t="shared" si="652"/>
        <v>0</v>
      </c>
      <c r="GM275" s="535" t="str">
        <f t="shared" si="653"/>
        <v/>
      </c>
      <c r="GN275" s="535">
        <f>IF(GK275="P",Lookup!$M$12,IF(GK275="PP",Lookup!$M$13,IF(GK275="PPP",Lookup!$M$14,IF(GK275="T",Lookup!$M$15,IF(GK275="TP",Lookup!$M$16,IF(GK275="TPP",Lookup!$M$17,IF(GK275="TPPP",Lookup!$M$18,0)))))))*GJ275</f>
        <v>0</v>
      </c>
      <c r="GO275" s="535">
        <f t="shared" si="654"/>
        <v>0</v>
      </c>
      <c r="GP275" s="535">
        <f t="shared" si="623"/>
        <v>1309.2229500972353</v>
      </c>
      <c r="GQ275" s="974">
        <f t="shared" si="567"/>
        <v>426.73499025333615</v>
      </c>
      <c r="GR275" s="535"/>
      <c r="GS275" s="535">
        <f t="shared" si="655"/>
        <v>0</v>
      </c>
      <c r="GT275" s="535" t="str">
        <f t="shared" si="656"/>
        <v/>
      </c>
      <c r="GU275" s="535">
        <f>IF(GK275="P",Lookup!$N$12,IF(GK275="PP",Lookup!$N$13,IF(GK275="PPP",Lookup!$N$14,IF(GK275="T",Lookup!$N$15,IF(GK275="TP",Lookup!$N$16,IF(GK275="TPP",Lookup!$N$17,IF(GK275="TPPP",Lookup!$N$18,0)))))))*GJ275</f>
        <v>0</v>
      </c>
      <c r="GV275" s="535">
        <f t="shared" si="657"/>
        <v>0</v>
      </c>
      <c r="GW275" s="535">
        <f t="shared" si="624"/>
        <v>438.70838931076673</v>
      </c>
      <c r="GX275" s="974">
        <f t="shared" si="568"/>
        <v>142.99491177013257</v>
      </c>
      <c r="GY275" s="535"/>
      <c r="GZ275" s="535">
        <f t="shared" si="658"/>
        <v>0</v>
      </c>
      <c r="HA275" s="535" t="str">
        <f t="shared" si="659"/>
        <v/>
      </c>
      <c r="HB275" s="535">
        <f>IF(GK275="P",Lookup!$N$12,IF(GK275="PP",Lookup!$N$13,IF(GK275="PPP",Lookup!$N$14,IF(GK275="T",Lookup!$N$15,IF(GK275="TP",Lookup!$N$16,IF(GK275="TPP",Lookup!$N$17,IF(GK275="TPPP",Lookup!$N$18,0)))))))*GJ275</f>
        <v>0</v>
      </c>
      <c r="HC275" s="521">
        <f t="shared" si="625"/>
        <v>0</v>
      </c>
      <c r="HD275" s="535">
        <f t="shared" si="626"/>
        <v>323.67497884218739</v>
      </c>
      <c r="HE275" s="535">
        <f t="shared" si="662"/>
        <v>105.50031904895286</v>
      </c>
      <c r="HF275" s="535"/>
      <c r="HG275" s="535">
        <f t="shared" si="660"/>
        <v>0</v>
      </c>
      <c r="HH275" s="535" t="str">
        <f t="shared" si="661"/>
        <v/>
      </c>
      <c r="HI275" s="535">
        <f>IF(GK275="P",Lookup!$N$12,IF(GK275="PP",Lookup!$N$13,IF(GK275="PPP",Lookup!$N$14,IF(GK275="T",Lookup!$N$15,IF(GK275="TP",Lookup!$N$16,IF(GK275="TPP",Lookup!$N$17,IF(GK275="TPPP",Lookup!$N$18,0)))))))*GJ275</f>
        <v>0</v>
      </c>
      <c r="HJ275" s="521">
        <f t="shared" si="627"/>
        <v>0</v>
      </c>
      <c r="HK275" s="535">
        <f t="shared" si="628"/>
        <v>540.72065172951841</v>
      </c>
      <c r="HL275" s="535">
        <f t="shared" si="663"/>
        <v>176.24532324951707</v>
      </c>
      <c r="HM275" s="535"/>
      <c r="HN275" s="541"/>
      <c r="HO275" s="541"/>
      <c r="HP275" s="541"/>
      <c r="HQ275" s="541">
        <f>IF(AND(B275&gt;=$FV$4,B275&lt;=$FW$4),MAX(110/1.02+$HQ$6+MIN(113/1.02,G275),IF($HV$6-(Sheet1!DA273-Sheet1!DB273)+MIN(113/1.02,G275)&lt;G275+FL275,$HV$6-(Sheet1!DA273-Sheet1!DB273)+MIN(113/1.02,G275),G275+FL275)),MIN(110/1.02+$HQ$6+113/1.02,G275))</f>
        <v>244.78431372549019</v>
      </c>
      <c r="HR275" s="541">
        <f t="shared" si="679"/>
        <v>249.68</v>
      </c>
      <c r="HS275" s="541">
        <f>HR275+(Sheet1!DA273-Sheet1!DB273)</f>
        <v>380.68</v>
      </c>
      <c r="HT275" s="541">
        <f t="shared" si="680"/>
        <v>57.21189327433629</v>
      </c>
      <c r="HU275" s="541">
        <f t="shared" si="681"/>
        <v>323.46810672566369</v>
      </c>
      <c r="HV275" s="541">
        <f t="shared" si="682"/>
        <v>0</v>
      </c>
      <c r="HW275" s="533" t="str">
        <f t="shared" si="683"/>
        <v/>
      </c>
      <c r="HX275" s="541">
        <f t="shared" si="684"/>
        <v>85.081401247961111</v>
      </c>
      <c r="HY275" s="541">
        <f>Sheet1!CZ273</f>
        <v>378</v>
      </c>
      <c r="HZ275" s="541">
        <f t="shared" si="685"/>
        <v>48.134285026548667</v>
      </c>
      <c r="IA275" s="541">
        <f t="shared" si="686"/>
        <v>57.21189327433629</v>
      </c>
      <c r="IB275" s="541">
        <f t="shared" si="687"/>
        <v>329.8657149734513</v>
      </c>
      <c r="IC275" s="1019" t="str">
        <f t="shared" si="688"/>
        <v/>
      </c>
      <c r="ID275" s="541">
        <f t="shared" si="689"/>
        <v>272.65382169911504</v>
      </c>
      <c r="IE275" s="541">
        <f>Sheet1!DB273</f>
        <v>269</v>
      </c>
      <c r="IF275" s="533">
        <f>Sheet1!DA273</f>
        <v>400</v>
      </c>
      <c r="IH275" s="541">
        <f>IF(AND($B275&gt;=$GC275,$B275&lt;=$GH275,$DR275&lt;0)+N("only adjusted when pool is drawn down during storage season"),Sheet1!$DB273+$DR275+N("Palmer minus all storage release"),Sheet1!$DB273)</f>
        <v>59.267271809806033</v>
      </c>
      <c r="II275" s="541">
        <f>IF(AND($B275&gt;=$GC275,$B275&lt;=$GH275,$DR275&lt;0)+N("only adjusted when pool is drawn down during storage season"),Sheet1!$DA273+$DR275+N("Auburn minus all storage release"),Sheet1!$DA273)</f>
        <v>190.26727180980603</v>
      </c>
    </row>
    <row r="276" spans="1:243" x14ac:dyDescent="0.25">
      <c r="A276" s="553" t="s">
        <v>8</v>
      </c>
      <c r="B276" s="531">
        <v>43000</v>
      </c>
      <c r="C276" s="536">
        <v>0</v>
      </c>
      <c r="D276" s="506">
        <f t="shared" si="633"/>
        <v>300</v>
      </c>
      <c r="E276" s="506">
        <f t="shared" si="634"/>
        <v>250</v>
      </c>
      <c r="F276" s="506">
        <v>250</v>
      </c>
      <c r="G276" s="535">
        <f>DR276+Sheet1!CZ274</f>
        <v>160.60917801164271</v>
      </c>
      <c r="H276" s="1074">
        <f t="shared" si="690"/>
        <v>0</v>
      </c>
      <c r="I276" s="534">
        <f>IF(Sheet1!DA274&gt;=E276,(Sheet1!DA274-E276+P276)*CFStoMGD,0)</f>
        <v>207.88032665599999</v>
      </c>
      <c r="J276" s="995">
        <f>IF(Sheet1!DB274&gt;=D276,(Sheet1!DB274-D276+P276)*CFStoMGD,0)</f>
        <v>104.45632665599999</v>
      </c>
      <c r="K276" s="818">
        <f t="shared" si="665"/>
        <v>0</v>
      </c>
      <c r="L276" s="535">
        <f>Sheet1!AA274+Sheet1!AB274-Sheet1!L274+(Sheet1!DA274-F276)*CFStoMGD-S276-T276-U276</f>
        <v>191.32124727559884</v>
      </c>
      <c r="M276" s="535">
        <f t="shared" si="569"/>
        <v>105.89412812006037</v>
      </c>
      <c r="N276" s="824">
        <f>IF(Sheet1!DA274&gt;=F276,MIN(113*CFStoMGD,MIN(MAX(L276,0),MAX(M276,0))),0)</f>
        <v>73.043199999999999</v>
      </c>
      <c r="O276" s="538">
        <f>Sheet1!AA274+Sheet1!AB274</f>
        <v>66.319999999999993</v>
      </c>
      <c r="P276" s="538">
        <f t="shared" si="570"/>
        <v>102.59703999999999</v>
      </c>
      <c r="Q276" s="812">
        <f t="shared" si="666"/>
        <v>49.759647275598837</v>
      </c>
      <c r="R276" s="812">
        <f t="shared" si="635"/>
        <v>16.5</v>
      </c>
      <c r="S276" s="812">
        <f t="shared" si="636"/>
        <v>0</v>
      </c>
      <c r="T276" s="812">
        <f t="shared" si="637"/>
        <v>0</v>
      </c>
      <c r="U276" s="812">
        <f>IF(AND(B276&gt;=FV276,B276&lt;=FW276),ED276+Sheet1!EH274,0)</f>
        <v>16.560352724401159</v>
      </c>
      <c r="V276" s="812"/>
      <c r="W276" s="812">
        <f t="shared" si="638"/>
        <v>0</v>
      </c>
      <c r="X276" s="812">
        <f t="shared" si="639"/>
        <v>0</v>
      </c>
      <c r="Y276" s="812" t="str">
        <f t="shared" si="640"/>
        <v>FALSE</v>
      </c>
      <c r="Z276" s="812">
        <f t="shared" si="641"/>
        <v>66.319999999999993</v>
      </c>
      <c r="AA276" s="812">
        <f t="shared" si="642"/>
        <v>66.319999999999993</v>
      </c>
      <c r="AB276" s="1059">
        <f t="shared" si="667"/>
        <v>76.978174335351397</v>
      </c>
      <c r="AC276" s="538">
        <f>Sheet1!Y274*MGDtoCFS</f>
        <v>43.934799999999996</v>
      </c>
      <c r="AD276" s="538">
        <f>Sheet1!Z274*MGDtoCFS</f>
        <v>61.137440000000005</v>
      </c>
      <c r="AE276" s="538">
        <f>Sheet1!AA274*MGDtoCFS</f>
        <v>43.934799999999996</v>
      </c>
      <c r="AF276" s="538">
        <f>Sheet1!AB274*MGDtoCFS</f>
        <v>58.662239999999997</v>
      </c>
      <c r="AG276" s="538">
        <f>Sheet1!L274*MGDtoCFS</f>
        <v>0</v>
      </c>
      <c r="AH276" s="521">
        <f t="shared" si="571"/>
        <v>16.679362990260596</v>
      </c>
      <c r="AI276" s="1059">
        <f t="shared" si="572"/>
        <v>25.802974545933143</v>
      </c>
      <c r="AJ276" s="535">
        <f t="shared" si="573"/>
        <v>0</v>
      </c>
      <c r="AK276" s="535">
        <f t="shared" si="574"/>
        <v>0</v>
      </c>
      <c r="AL276" s="535">
        <f>(VLOOKUP(Sheet1!DC274,hhdcap_wcm,4)-(((VLOOKUP(Sheet1!DC274,hhdcap_wcm,3)-Sheet1!DC274)/(VLOOKUP(Sheet1!DC274,hhdcap_wcm,3)-VLOOKUP(Sheet1!DC274,hhdcap_wcm,1)))*(VLOOKUP(Sheet1!DC274,hhdcap_wcm,4)-VLOOKUP(Sheet1!DC274,hhdcap_wcm,2))))</f>
        <v>23285.300000058262</v>
      </c>
      <c r="AM276" s="535">
        <f t="shared" si="575"/>
        <v>-546.10000000291257</v>
      </c>
      <c r="AN276" s="1035">
        <f t="shared" si="576"/>
        <v>834.7961813316781</v>
      </c>
      <c r="AO276" s="535">
        <f t="shared" si="577"/>
        <v>2561.1546843255883</v>
      </c>
      <c r="AP276" s="535">
        <f>Sheet1!BA274+Sheet1!BB274+Sheet1!BN274+CD276</f>
        <v>21.9</v>
      </c>
      <c r="AQ276" s="535">
        <f>Sheet1!BN274+(DO276*Sheet1!BN274)</f>
        <v>21.859647275598846</v>
      </c>
      <c r="AR276" s="535">
        <f>Sheet1!BA274+CD276</f>
        <v>0</v>
      </c>
      <c r="AS276" s="535">
        <f>Sheet1!BA274+Sheet1!BB274+CD276</f>
        <v>0</v>
      </c>
      <c r="AT276" s="649">
        <f>0</f>
        <v>0</v>
      </c>
      <c r="AU276" s="974">
        <f>BA276+MAX(Sheet1!EH274,(O276-Q276-ED276-S276))</f>
        <v>0.5</v>
      </c>
      <c r="AV276" s="535">
        <f>IF(OR(B276&gt;=GD276,B276&lt;GC276),0,15/36*K276-MAX(0,64.6-(137.6-(Sheet1!AA274+Sheet1!AB274))))</f>
        <v>0</v>
      </c>
      <c r="AW276" s="1029"/>
      <c r="AX276" s="649"/>
      <c r="AY276" s="649">
        <f t="shared" si="668"/>
        <v>23.311716569431731</v>
      </c>
      <c r="AZ276" s="649">
        <f t="shared" si="669"/>
        <v>0</v>
      </c>
      <c r="BA276" s="1059">
        <f t="shared" si="670"/>
        <v>0</v>
      </c>
      <c r="BB276" s="1019">
        <f t="shared" si="578"/>
        <v>426.23499025333615</v>
      </c>
      <c r="BC276" s="1041">
        <f t="shared" si="671"/>
        <v>0</v>
      </c>
      <c r="BD276" s="1019">
        <f ca="1">IF(B276&gt;(Summary!$A$1-1),#N/A,BB276*MGtoAF)</f>
        <v>1307.6889500972354</v>
      </c>
      <c r="BE276" s="535">
        <f>Sheet1!BG274+Sheet1!BH274+Sheet1!BI274-BM276</f>
        <v>4.8899999999999997</v>
      </c>
      <c r="BF276" s="535">
        <f t="shared" si="579"/>
        <v>4.8809897341405639</v>
      </c>
      <c r="BG276" s="535">
        <f>IF(Sheet1!EP274="FM",BM276,0)</f>
        <v>0</v>
      </c>
      <c r="BH276" s="535">
        <f t="shared" si="580"/>
        <v>0</v>
      </c>
      <c r="BI276" s="535">
        <f>IF(Sheet1!EP274="OTHER",BM276,0)</f>
        <v>0</v>
      </c>
      <c r="BJ276" s="535">
        <f t="shared" si="581"/>
        <v>0</v>
      </c>
      <c r="BK276" s="535">
        <f t="shared" si="582"/>
        <v>4.8899999999999997</v>
      </c>
      <c r="BL276" s="535">
        <f t="shared" si="583"/>
        <v>4.8809897341405639</v>
      </c>
      <c r="BM276" s="535">
        <f>IF(OR(Sheet1!EP274="FM", Sheet1!EP274="OTHER"),SUM(Sheet1!BG274:'Sheet1'!BI274),0)</f>
        <v>0</v>
      </c>
      <c r="BN276" s="521">
        <f>IF(AND($B276&gt;=$FV276,$B276&lt;=$FW276),MAX(BF276,Sheet1!EI274,0),MAX(BF276-(7/36)*$K276,0))</f>
        <v>5</v>
      </c>
      <c r="BO276" s="535">
        <f t="shared" si="584"/>
        <v>0</v>
      </c>
      <c r="BP276" s="521">
        <f t="shared" si="585"/>
        <v>0</v>
      </c>
      <c r="BQ276" s="521">
        <f>IF(AND($O276&gt;0,Sheet1!EM274=1),(1-($O276-Sheet1!$L274)/$O276)*BL276,0)</f>
        <v>0</v>
      </c>
      <c r="BR276" s="521">
        <f>IF(AND(Sheet1!$L274=0,Sheet1!$L273=0, Calculation!BK276&lt;Sheet1!$EI274-0.1,Sheet1!$EI274=Sheet1!$EI273,Sheet1!$EI274=Sheet1!$EI275),BL276-BQ276,BL276-BQ276)</f>
        <v>4.8809897341405639</v>
      </c>
      <c r="BS276" s="1035" t="str">
        <f t="shared" si="672"/>
        <v/>
      </c>
      <c r="BT276" s="1035">
        <f t="shared" si="673"/>
        <v>0</v>
      </c>
      <c r="BU276" s="535">
        <f t="shared" si="586"/>
        <v>137.99491177013257</v>
      </c>
      <c r="BV276" s="535"/>
      <c r="BW276" s="535">
        <f ca="1">IF(B276&gt;(Summary!$A$1-1),#N/A,BU276*MGtoAF)</f>
        <v>423.36838931076676</v>
      </c>
      <c r="BX276" s="535">
        <f>Sheet1!BC274+Sheet1!BD274+Sheet1!BE274+Sheet1!BF274-CG276-CH276</f>
        <v>4.17</v>
      </c>
      <c r="BY276" s="535">
        <f t="shared" si="587"/>
        <v>4.1623163990523828</v>
      </c>
      <c r="BZ276" s="535">
        <f>IF(Sheet1!EQ274="FM",CH276,0)</f>
        <v>0</v>
      </c>
      <c r="CA276" s="535">
        <f t="shared" si="588"/>
        <v>0</v>
      </c>
      <c r="CB276" s="535">
        <f>IF(Sheet1!EQ274="OTHER",CH276,0)</f>
        <v>0</v>
      </c>
      <c r="CC276" s="535">
        <f t="shared" si="589"/>
        <v>0</v>
      </c>
      <c r="CD276" s="535">
        <f t="shared" si="590"/>
        <v>0</v>
      </c>
      <c r="CE276" s="535">
        <f t="shared" si="591"/>
        <v>4.17</v>
      </c>
      <c r="CF276" s="535">
        <f t="shared" si="592"/>
        <v>4.1623163990523828</v>
      </c>
      <c r="CG276" s="535">
        <f>IF(Sheet1!EQ274="CWA",SUM(Sheet1!BC274:'Sheet1'!BF274),0)</f>
        <v>0</v>
      </c>
      <c r="CH276" s="535">
        <f>IF(OR(Sheet1!EQ274="FM", Sheet1!EQ274="OTHER"),SUM(Sheet1!BC274:'Sheet1'!BF274),0)</f>
        <v>0</v>
      </c>
      <c r="CI276" s="521">
        <f>IF(AND($B276&gt;=$FV276,$B276&lt;=$FW276),MAX(CF276,Sheet1!EJ274,0),MAX(CF276-(7/36)*$K276,0))</f>
        <v>4.1623163990523828</v>
      </c>
      <c r="CJ276" s="535">
        <f t="shared" si="593"/>
        <v>0</v>
      </c>
      <c r="CK276" s="521">
        <f t="shared" si="594"/>
        <v>0</v>
      </c>
      <c r="CL276" s="521">
        <f>IF(AND($O276&gt;0,Sheet1!EN274=1),(1-($O276-Sheet1!$L274)/$O276)*CF276,0)</f>
        <v>0</v>
      </c>
      <c r="CM276" s="521">
        <f>IF(AND(Sheet1!$L274=0,Sheet1!$L273=0, Calculation!CE276&lt;Sheet1!EJ274-0.1,Sheet1!EJ274=Sheet1!EJ273,Sheet1!EJ274=Sheet1!EJ275),CF276-CL276,CF276-CL276)</f>
        <v>4.1623163990523828</v>
      </c>
      <c r="CN276" s="1040" t="str">
        <f t="shared" si="674"/>
        <v/>
      </c>
      <c r="CO276" s="1035">
        <f t="shared" si="675"/>
        <v>0</v>
      </c>
      <c r="CP276" s="535">
        <f t="shared" si="595"/>
        <v>101.33800264990047</v>
      </c>
      <c r="CQ276" s="535"/>
      <c r="CR276" s="535">
        <f ca="1">IF(B276&gt;(Summary!$A$1-1),#N/A,CP276*MGtoAF)</f>
        <v>310.90499212989465</v>
      </c>
      <c r="CS276" s="535">
        <f>Sheet1!BK274+Sheet1!BL274+Sheet1!BM274-Sheet1!ER274-DA276</f>
        <v>7.0299999999999994</v>
      </c>
      <c r="CT276" s="535">
        <f t="shared" si="596"/>
        <v>7.0170465912082136</v>
      </c>
      <c r="CU276" s="535">
        <f>IF(Sheet1!ER274="FM",DA276,0)</f>
        <v>0</v>
      </c>
      <c r="CV276" s="535">
        <f t="shared" si="597"/>
        <v>0</v>
      </c>
      <c r="CW276" s="535">
        <f>IF(Sheet1!ER274="OTHER",DA276,0)</f>
        <v>0</v>
      </c>
      <c r="CX276" s="535">
        <f t="shared" si="598"/>
        <v>0</v>
      </c>
      <c r="CY276" s="535">
        <f t="shared" si="629"/>
        <v>7.0299999999999994</v>
      </c>
      <c r="CZ276" s="535">
        <f t="shared" si="630"/>
        <v>7.0170465912082136</v>
      </c>
      <c r="DA276" s="535">
        <f>IF(OR(Sheet1!ER274="FM", Sheet1!ER274="OTHER"),SUM(Sheet1!BK274:'Sheet1'!BM274),0)</f>
        <v>0</v>
      </c>
      <c r="DB276" s="1011">
        <f>IF(AND($B276&gt;=$FV276,$B276&lt;=$FW276),MAX($CT276,Sheet1!EK274,0),MAX($CT276-(7/36)*$K276,0))</f>
        <v>7.0170465912082136</v>
      </c>
      <c r="DC276" s="1012">
        <f t="shared" si="601"/>
        <v>0</v>
      </c>
      <c r="DD276" s="1011">
        <f t="shared" si="602"/>
        <v>0</v>
      </c>
      <c r="DE276" s="521">
        <f>IF(AND($O276&gt;0,Sheet1!EO274=1),(1-($O276-Sheet1!$L274)/$O276)*CZ276,0)</f>
        <v>0</v>
      </c>
      <c r="DF276" s="521">
        <f>IF(AND(Sheet1!$L274=0,Sheet1!$L273=0, Calculation!CY276&lt;Sheet1!$EK274-0.1,Sheet1!$EK274=Sheet1!$EK273,Sheet1!$EK274=Sheet1!$EK275),CZ276-DE276,CZ276-DE276)</f>
        <v>7.0170465912082136</v>
      </c>
      <c r="DG276" s="1040">
        <f t="shared" si="676"/>
        <v>0</v>
      </c>
      <c r="DH276" s="649">
        <f t="shared" si="603"/>
        <v>16.089999999999996</v>
      </c>
      <c r="DI276" s="535">
        <f t="shared" si="604"/>
        <v>169.22827665830886</v>
      </c>
      <c r="DJ276" s="649">
        <f t="shared" si="605"/>
        <v>16.060352724401159</v>
      </c>
      <c r="DK276" s="535">
        <f ca="1">IF(B276&gt;(Summary!$A$1-1),#N/A,DI276*MGtoAF)</f>
        <v>519.19235278769156</v>
      </c>
      <c r="DL276" s="649">
        <f t="shared" si="606"/>
        <v>16.09</v>
      </c>
      <c r="DM276" s="535">
        <f t="shared" si="607"/>
        <v>37.989999999999995</v>
      </c>
      <c r="DN276" s="535">
        <f>Sheet1!AB274-DM276</f>
        <v>-6.9999999999993179E-2</v>
      </c>
      <c r="DO276" s="743">
        <f t="shared" si="608"/>
        <v>-1.842590155303848E-3</v>
      </c>
      <c r="DP276" s="535">
        <f>(VLOOKUP(Sheet1!DC274,hhdcap_wcm,4)-(((VLOOKUP(Sheet1!DC274,hhdcap_wcm,3)-Sheet1!DC274)/(VLOOKUP(Sheet1!DC274,hhdcap_wcm,3)-VLOOKUP(Sheet1!DC274,hhdcap_wcm,1)))*(VLOOKUP(Sheet1!DC274,hhdcap_wcm,4)-VLOOKUP(Sheet1!DC274,hhdcap_wcm,2))))</f>
        <v>23285.300000058262</v>
      </c>
      <c r="DQ276" s="535">
        <f t="shared" si="609"/>
        <v>-546.10000000291257</v>
      </c>
      <c r="DR276" s="535">
        <f t="shared" si="610"/>
        <v>-275.39082198835729</v>
      </c>
      <c r="DS276" s="535">
        <f>Sheet1!EA274*AFtoMG</f>
        <v>0</v>
      </c>
      <c r="DT276" s="535">
        <f>Sheet1!EB274*AFtoMG</f>
        <v>0</v>
      </c>
      <c r="DU276" s="535">
        <f>Sheet1!EC274*AFtoMG</f>
        <v>0</v>
      </c>
      <c r="DV276" s="535">
        <f>Sheet1!ED274*AFtoMG</f>
        <v>0</v>
      </c>
      <c r="DW276" s="535">
        <f t="shared" si="611"/>
        <v>0</v>
      </c>
      <c r="DX276" s="535">
        <f t="shared" si="612"/>
        <v>0</v>
      </c>
      <c r="DY276" s="535">
        <f t="shared" si="613"/>
        <v>834.7961813316781</v>
      </c>
      <c r="DZ276" s="535">
        <f t="shared" si="614"/>
        <v>2561.1546843255883</v>
      </c>
      <c r="EA276" s="535"/>
      <c r="EB276" s="521">
        <f>IF(OR(B276&lt;FV276,B276&gt;FW276),(MIN(BF276+BY276+CT276+MAX(Sheet1!AA274+AQ276-73,0),K276)),0)</f>
        <v>0</v>
      </c>
      <c r="EC276" s="535"/>
      <c r="ED276" s="535">
        <f t="shared" si="615"/>
        <v>16.060352724401159</v>
      </c>
      <c r="EE276" s="535"/>
      <c r="EF276" s="535">
        <f>Sheet1!EH274+Sheet1!EI274+Sheet1!EJ274+Sheet1!EK274</f>
        <v>16.5</v>
      </c>
      <c r="EG276" s="1019">
        <f t="shared" si="677"/>
        <v>25.525499999999997</v>
      </c>
      <c r="EH276" s="521">
        <f t="shared" si="616"/>
        <v>0</v>
      </c>
      <c r="EI276" s="535">
        <f>IF(Sheet1!ET274=1,SUM('Calculations II'!AT276:BA276)+'Calculations II'!BC276+Sheet1!BV274+'Calculations II'!BE276+AP276,'Calculations II'!BK276)</f>
        <v>52.232041275598853</v>
      </c>
      <c r="EJ276" s="535">
        <f ca="1">EI276+'Calculations II'!D276+'Calculations II'!E276+'Calculations II'!O276</f>
        <v>50.852374455926991</v>
      </c>
      <c r="EK276" s="535"/>
      <c r="EL276" s="535"/>
      <c r="EM276" s="535">
        <f t="shared" si="617"/>
        <v>43000</v>
      </c>
      <c r="EN276" s="535">
        <f t="shared" si="618"/>
        <v>-16.679362990260596</v>
      </c>
      <c r="EO276" s="535">
        <f t="shared" si="619"/>
        <v>-25.802974545933143</v>
      </c>
      <c r="EP276" s="535">
        <v>0</v>
      </c>
      <c r="EQ276" s="535">
        <v>0</v>
      </c>
      <c r="ER276" s="535">
        <v>0</v>
      </c>
      <c r="ES276" s="521">
        <f t="shared" si="643"/>
        <v>1.5248901413875557</v>
      </c>
      <c r="ET276" s="535">
        <f>-(VLOOKUP(Sheet1!BQ274,Lookup!$O$4:$Q$262,2)-VLOOKUP(Sheet1!BQ273,Lookup!$O$4:$Q$262,2))/1000000</f>
        <v>0.69300073838998755</v>
      </c>
      <c r="EU276" s="535">
        <f>-(VLOOKUP(Sheet1!BR274,Lookup!$O$4:$Q$262,3)-VLOOKUP(Sheet1!BR273,Lookup!$O$4:$Q$262,3))/1000000</f>
        <v>0.83188940299756819</v>
      </c>
      <c r="EV276" s="535"/>
      <c r="EW276" s="535"/>
      <c r="EX276" s="535"/>
      <c r="EY276" s="535"/>
      <c r="EZ276" s="535"/>
      <c r="FA276" s="535"/>
      <c r="FB276" s="535"/>
      <c r="FC276" s="535"/>
      <c r="FD276" s="567">
        <f t="shared" si="632"/>
        <v>1119.6883720929618</v>
      </c>
      <c r="FE276" s="567" t="e">
        <f t="shared" si="620"/>
        <v>#N/A</v>
      </c>
      <c r="FF276" s="568" t="e">
        <f t="shared" si="621"/>
        <v>#N/A</v>
      </c>
      <c r="FG276" s="569" t="s">
        <v>656</v>
      </c>
      <c r="FH276" s="569" t="s">
        <v>656</v>
      </c>
      <c r="FI276" s="567" t="e">
        <v>#N/A</v>
      </c>
      <c r="FJ276" s="725">
        <v>11150</v>
      </c>
      <c r="FK276" s="535"/>
      <c r="FL276" s="1015">
        <f t="shared" si="631"/>
        <v>109.43015632879475</v>
      </c>
      <c r="FM276" s="535"/>
      <c r="FN276" s="535"/>
      <c r="FO276" s="535">
        <f>O276+((Sheet1!CS274)*GPMtoMGD)</f>
        <v>66.319999999999993</v>
      </c>
      <c r="FP276" s="535">
        <f>IF(Sheet1!AA274+AQ276&lt;=Calculation!N276,AQ276,Calculation!N276-Sheet1!AA274)</f>
        <v>21.859647275598846</v>
      </c>
      <c r="FQ276" s="535">
        <f>(Sheet1!BP274+Sheet1!BO274)/694.4</f>
        <v>2.1244239631336406</v>
      </c>
      <c r="FR276" s="541"/>
      <c r="FS276" s="541"/>
      <c r="FT276" s="541"/>
      <c r="FU276" s="541"/>
      <c r="FV276" s="1109">
        <f t="shared" si="644"/>
        <v>42918</v>
      </c>
      <c r="FW276" s="1109">
        <f t="shared" si="645"/>
        <v>43027</v>
      </c>
      <c r="FX276" s="541"/>
      <c r="FY276" s="541">
        <f>Sheet1!DA274-Sheet1!CZ274-Sheet1!AE274</f>
        <v>-69.597039999999978</v>
      </c>
      <c r="FZ276" s="535">
        <f t="shared" si="678"/>
        <v>-0.43333164929687157</v>
      </c>
      <c r="GA276" s="535"/>
      <c r="GB276" s="535" t="str">
        <f t="shared" si="646"/>
        <v>n</v>
      </c>
      <c r="GC276" s="539">
        <f t="shared" si="647"/>
        <v>42782</v>
      </c>
      <c r="GD276" s="1109">
        <f t="shared" si="648"/>
        <v>42904</v>
      </c>
      <c r="GE276" s="535">
        <f t="shared" si="664"/>
        <v>6520</v>
      </c>
      <c r="GF276" s="1109">
        <f t="shared" si="649"/>
        <v>42909</v>
      </c>
      <c r="GG276" s="535">
        <f t="shared" si="691"/>
        <v>3260</v>
      </c>
      <c r="GH276" s="539">
        <f t="shared" si="650"/>
        <v>43040</v>
      </c>
      <c r="GJ276" s="521">
        <f t="shared" si="651"/>
        <v>0</v>
      </c>
      <c r="GK276" s="535" t="str">
        <f t="shared" si="622"/>
        <v/>
      </c>
      <c r="GL276" s="535">
        <f t="shared" si="652"/>
        <v>0</v>
      </c>
      <c r="GM276" s="535" t="str">
        <f t="shared" si="653"/>
        <v/>
      </c>
      <c r="GN276" s="535">
        <f>IF(GK276="P",Lookup!$M$12,IF(GK276="PP",Lookup!$M$13,IF(GK276="PPP",Lookup!$M$14,IF(GK276="T",Lookup!$M$15,IF(GK276="TP",Lookup!$M$16,IF(GK276="TPP",Lookup!$M$17,IF(GK276="TPPP",Lookup!$M$18,0)))))))*GJ276</f>
        <v>0</v>
      </c>
      <c r="GO276" s="535">
        <f t="shared" si="654"/>
        <v>0</v>
      </c>
      <c r="GP276" s="535">
        <f t="shared" si="623"/>
        <v>1307.6889500972354</v>
      </c>
      <c r="GQ276" s="974">
        <f t="shared" si="567"/>
        <v>426.23499025333615</v>
      </c>
      <c r="GR276" s="535"/>
      <c r="GS276" s="535">
        <f t="shared" si="655"/>
        <v>0</v>
      </c>
      <c r="GT276" s="535" t="str">
        <f t="shared" si="656"/>
        <v/>
      </c>
      <c r="GU276" s="535">
        <f>IF(GK276="P",Lookup!$N$12,IF(GK276="PP",Lookup!$N$13,IF(GK276="PPP",Lookup!$N$14,IF(GK276="T",Lookup!$N$15,IF(GK276="TP",Lookup!$N$16,IF(GK276="TPP",Lookup!$N$17,IF(GK276="TPPP",Lookup!$N$18,0)))))))*GJ276</f>
        <v>0</v>
      </c>
      <c r="GV276" s="535">
        <f t="shared" si="657"/>
        <v>0</v>
      </c>
      <c r="GW276" s="535">
        <f t="shared" si="624"/>
        <v>423.36838931076676</v>
      </c>
      <c r="GX276" s="974">
        <f t="shared" si="568"/>
        <v>137.99491177013257</v>
      </c>
      <c r="GY276" s="535"/>
      <c r="GZ276" s="535">
        <f t="shared" si="658"/>
        <v>0</v>
      </c>
      <c r="HA276" s="535" t="str">
        <f t="shared" si="659"/>
        <v/>
      </c>
      <c r="HB276" s="535">
        <f>IF(GK276="P",Lookup!$N$12,IF(GK276="PP",Lookup!$N$13,IF(GK276="PPP",Lookup!$N$14,IF(GK276="T",Lookup!$N$15,IF(GK276="TP",Lookup!$N$16,IF(GK276="TPP",Lookup!$N$17,IF(GK276="TPPP",Lookup!$N$18,0)))))))*GJ276</f>
        <v>0</v>
      </c>
      <c r="HC276" s="521">
        <f t="shared" si="625"/>
        <v>0</v>
      </c>
      <c r="HD276" s="535">
        <f t="shared" si="626"/>
        <v>310.90499212989465</v>
      </c>
      <c r="HE276" s="535">
        <f t="shared" si="662"/>
        <v>101.33800264990047</v>
      </c>
      <c r="HF276" s="535"/>
      <c r="HG276" s="535">
        <f t="shared" si="660"/>
        <v>0</v>
      </c>
      <c r="HH276" s="535" t="str">
        <f t="shared" si="661"/>
        <v/>
      </c>
      <c r="HI276" s="535">
        <f>IF(GK276="P",Lookup!$N$12,IF(GK276="PP",Lookup!$N$13,IF(GK276="PPP",Lookup!$N$14,IF(GK276="T",Lookup!$N$15,IF(GK276="TP",Lookup!$N$16,IF(GK276="TPP",Lookup!$N$17,IF(GK276="TPPP",Lookup!$N$18,0)))))))*GJ276</f>
        <v>0</v>
      </c>
      <c r="HJ276" s="521">
        <f t="shared" si="627"/>
        <v>0</v>
      </c>
      <c r="HK276" s="535">
        <f t="shared" si="628"/>
        <v>519.19235278769156</v>
      </c>
      <c r="HL276" s="535">
        <f t="shared" si="663"/>
        <v>169.22827665830886</v>
      </c>
      <c r="HM276" s="535"/>
      <c r="HN276" s="541"/>
      <c r="HO276" s="541"/>
      <c r="HP276" s="541"/>
      <c r="HQ276" s="541">
        <f>IF(AND(B276&gt;=$FV$4,B276&lt;=$FW$4),MAX(110/1.02+$HQ$6+MIN(113/1.02,G276),IF($HV$6-(Sheet1!DA274-Sheet1!DB274)+MIN(113/1.02,G276)&lt;G276+FL276,$HV$6-(Sheet1!DA274-Sheet1!DB274)+MIN(113/1.02,G276),G276+FL276)),MIN(110/1.02+$HQ$6+113/1.02,G276))</f>
        <v>265.78431372549016</v>
      </c>
      <c r="HR276" s="541">
        <f t="shared" si="679"/>
        <v>271.09999999999997</v>
      </c>
      <c r="HS276" s="541">
        <f>HR276+(Sheet1!DA274-Sheet1!DB274)</f>
        <v>381.09999999999997</v>
      </c>
      <c r="HT276" s="541">
        <f t="shared" si="680"/>
        <v>76.978174335351397</v>
      </c>
      <c r="HU276" s="541">
        <f t="shared" si="681"/>
        <v>304.12182566464855</v>
      </c>
      <c r="HV276" s="541">
        <f t="shared" si="682"/>
        <v>0</v>
      </c>
      <c r="HW276" s="533" t="str">
        <f t="shared" si="683"/>
        <v/>
      </c>
      <c r="HX276" s="541">
        <f t="shared" si="684"/>
        <v>144.41271172857671</v>
      </c>
      <c r="HY276" s="541">
        <f>Sheet1!CZ274</f>
        <v>436</v>
      </c>
      <c r="HZ276" s="541">
        <f t="shared" si="685"/>
        <v>25.802974545933143</v>
      </c>
      <c r="IA276" s="541">
        <f t="shared" si="686"/>
        <v>76.978174335351397</v>
      </c>
      <c r="IB276" s="541">
        <f t="shared" si="687"/>
        <v>410.19702545406687</v>
      </c>
      <c r="IC276" s="1019" t="str">
        <f t="shared" si="688"/>
        <v/>
      </c>
      <c r="ID276" s="541">
        <f t="shared" si="689"/>
        <v>333.21885111871546</v>
      </c>
      <c r="IE276" s="541">
        <f>Sheet1!DB274</f>
        <v>359</v>
      </c>
      <c r="IF276" s="533">
        <f>Sheet1!DA274</f>
        <v>469</v>
      </c>
      <c r="IH276" s="541">
        <f>IF(AND($B276&gt;=$GC276,$B276&lt;=$GH276,$DR276&lt;0)+N("only adjusted when pool is drawn down during storage season"),Sheet1!$DB274+$DR276+N("Palmer minus all storage release"),Sheet1!$DB274)</f>
        <v>83.609178011642712</v>
      </c>
      <c r="II276" s="541">
        <f>IF(AND($B276&gt;=$GC276,$B276&lt;=$GH276,$DR276&lt;0)+N("only adjusted when pool is drawn down during storage season"),Sheet1!$DA274+$DR276+N("Auburn minus all storage release"),Sheet1!$DA274)</f>
        <v>193.60917801164271</v>
      </c>
    </row>
    <row r="277" spans="1:243" x14ac:dyDescent="0.25">
      <c r="A277" s="553" t="s">
        <v>9</v>
      </c>
      <c r="B277" s="531">
        <v>43001</v>
      </c>
      <c r="C277" s="536">
        <v>0</v>
      </c>
      <c r="D277" s="506">
        <f t="shared" si="633"/>
        <v>300</v>
      </c>
      <c r="E277" s="506">
        <f t="shared" si="634"/>
        <v>250</v>
      </c>
      <c r="F277" s="506">
        <v>250</v>
      </c>
      <c r="G277" s="535">
        <f>DR277+Sheet1!CZ275</f>
        <v>122.78769541034296</v>
      </c>
      <c r="H277" s="1074">
        <f t="shared" si="690"/>
        <v>0</v>
      </c>
      <c r="I277" s="534">
        <f>IF(Sheet1!DA275&gt;=E277,(Sheet1!DA275-E277+P277)*CFStoMGD,0)</f>
        <v>220.78832703999998</v>
      </c>
      <c r="J277" s="995">
        <f>IF(Sheet1!DB275&gt;=D277,(Sheet1!DB275-D277+P277)*CFStoMGD,0)</f>
        <v>82.458727039999985</v>
      </c>
      <c r="K277" s="818">
        <f t="shared" si="665"/>
        <v>0</v>
      </c>
      <c r="L277" s="535">
        <f>Sheet1!AA275+Sheet1!AB275-Sheet1!L275+(Sheet1!DA275-F277)*CFStoMGD-S277-T277-U277</f>
        <v>204.90642439537331</v>
      </c>
      <c r="M277" s="535">
        <f t="shared" si="569"/>
        <v>80.957365639510613</v>
      </c>
      <c r="N277" s="824">
        <f>IF(Sheet1!DA275&gt;=F277,MIN(113*CFStoMGD,MIN(MAX(L277,0),MAX(M277,0))),0)</f>
        <v>73.043199999999999</v>
      </c>
      <c r="O277" s="538">
        <f>Sheet1!AA275+Sheet1!AB275</f>
        <v>66.3</v>
      </c>
      <c r="P277" s="538">
        <f t="shared" si="570"/>
        <v>102.56609999999999</v>
      </c>
      <c r="Q277" s="812">
        <f t="shared" si="666"/>
        <v>50.41682439537329</v>
      </c>
      <c r="R277" s="812">
        <f t="shared" si="635"/>
        <v>16.5</v>
      </c>
      <c r="S277" s="812">
        <f t="shared" si="636"/>
        <v>0</v>
      </c>
      <c r="T277" s="812">
        <f t="shared" si="637"/>
        <v>0</v>
      </c>
      <c r="U277" s="812">
        <f>IF(AND(B277&gt;=FV277,B277&lt;=FW277),ED277+Sheet1!EH275,0)</f>
        <v>15.883175604626707</v>
      </c>
      <c r="V277" s="812"/>
      <c r="W277" s="812">
        <f t="shared" si="638"/>
        <v>0</v>
      </c>
      <c r="X277" s="812">
        <f t="shared" si="639"/>
        <v>0</v>
      </c>
      <c r="Y277" s="812" t="str">
        <f t="shared" si="640"/>
        <v>FALSE</v>
      </c>
      <c r="Z277" s="812">
        <f t="shared" si="641"/>
        <v>66.3</v>
      </c>
      <c r="AA277" s="812">
        <f t="shared" si="642"/>
        <v>66.3</v>
      </c>
      <c r="AB277" s="1059">
        <f t="shared" si="667"/>
        <v>77.99482733964247</v>
      </c>
      <c r="AC277" s="538">
        <f>Sheet1!Y275*MGDtoCFS</f>
        <v>43.934799999999996</v>
      </c>
      <c r="AD277" s="538">
        <f>Sheet1!Z275*MGDtoCFS</f>
        <v>58.662239999999997</v>
      </c>
      <c r="AE277" s="538">
        <f>Sheet1!AA275*MGDtoCFS</f>
        <v>43.934799999999996</v>
      </c>
      <c r="AF277" s="538">
        <f>Sheet1!AB275*MGDtoCFS</f>
        <v>58.631299999999996</v>
      </c>
      <c r="AG277" s="538">
        <f>Sheet1!L275*MGDtoCFS</f>
        <v>0</v>
      </c>
      <c r="AH277" s="521">
        <f t="shared" si="571"/>
        <v>16.5</v>
      </c>
      <c r="AI277" s="1059">
        <f t="shared" si="572"/>
        <v>25.525499999999997</v>
      </c>
      <c r="AJ277" s="535">
        <f t="shared" si="573"/>
        <v>0</v>
      </c>
      <c r="AK277" s="535">
        <f t="shared" si="574"/>
        <v>0</v>
      </c>
      <c r="AL277" s="535">
        <f>(VLOOKUP(Sheet1!DC275,hhdcap_wcm,4)-(((VLOOKUP(Sheet1!DC275,hhdcap_wcm,3)-Sheet1!DC275)/(VLOOKUP(Sheet1!DC275,hhdcap_wcm,3)-VLOOKUP(Sheet1!DC275,hhdcap_wcm,1)))*(VLOOKUP(Sheet1!DC275,hhdcap_wcm,4)-VLOOKUP(Sheet1!DC275,hhdcap_wcm,2))))</f>
        <v>22664.200000056971</v>
      </c>
      <c r="AM277" s="535">
        <f t="shared" si="575"/>
        <v>-621.10000000129003</v>
      </c>
      <c r="AN277" s="1035">
        <f t="shared" si="576"/>
        <v>818.2961813316781</v>
      </c>
      <c r="AO277" s="535">
        <f t="shared" si="577"/>
        <v>2510.5326843255884</v>
      </c>
      <c r="AP277" s="535">
        <f>Sheet1!BA275+Sheet1!BB275+Sheet1!BN275+CD277</f>
        <v>22.6</v>
      </c>
      <c r="AQ277" s="535">
        <f>Sheet1!BN275+(DO277*Sheet1!BN275)</f>
        <v>22.516824395373291</v>
      </c>
      <c r="AR277" s="535">
        <f>Sheet1!BA275+CD277</f>
        <v>0</v>
      </c>
      <c r="AS277" s="535">
        <f>Sheet1!BA275+Sheet1!BB275+CD277</f>
        <v>0</v>
      </c>
      <c r="AT277" s="649">
        <f>0</f>
        <v>0</v>
      </c>
      <c r="AU277" s="974">
        <f>BA277+MAX(Sheet1!EH275,(O277-Q277-ED277-S277))</f>
        <v>0.5</v>
      </c>
      <c r="AV277" s="535">
        <f>IF(OR(B277&gt;=GD277,B277&lt;GC277),0,15/36*K277-MAX(0,64.6-(137.6-(Sheet1!AA275+Sheet1!AB275))))</f>
        <v>0</v>
      </c>
      <c r="AW277" s="1029"/>
      <c r="AX277" s="649"/>
      <c r="AY277" s="649">
        <f t="shared" si="668"/>
        <v>23.311716569431731</v>
      </c>
      <c r="AZ277" s="649">
        <f t="shared" si="669"/>
        <v>0</v>
      </c>
      <c r="BA277" s="1059">
        <f t="shared" si="670"/>
        <v>0</v>
      </c>
      <c r="BB277" s="1019">
        <f t="shared" si="578"/>
        <v>425.73499025333615</v>
      </c>
      <c r="BC277" s="1041">
        <f t="shared" si="671"/>
        <v>0</v>
      </c>
      <c r="BD277" s="1019">
        <f ca="1">IF(B277&gt;(Summary!$A$1-1),#N/A,BB277*MGtoAF)</f>
        <v>1306.1549500972353</v>
      </c>
      <c r="BE277" s="535">
        <f>Sheet1!BG275+Sheet1!BH275+Sheet1!BI275-BM277</f>
        <v>4.43</v>
      </c>
      <c r="BF277" s="535">
        <f t="shared" si="579"/>
        <v>4.4136961093585692</v>
      </c>
      <c r="BG277" s="535">
        <f>IF(Sheet1!EP275="FM",BM277,0)</f>
        <v>0</v>
      </c>
      <c r="BH277" s="535">
        <f t="shared" si="580"/>
        <v>0</v>
      </c>
      <c r="BI277" s="535">
        <f>IF(Sheet1!EP275="OTHER",BM277,0)</f>
        <v>0</v>
      </c>
      <c r="BJ277" s="535">
        <f t="shared" si="581"/>
        <v>0</v>
      </c>
      <c r="BK277" s="535">
        <f t="shared" si="582"/>
        <v>4.43</v>
      </c>
      <c r="BL277" s="535">
        <f t="shared" si="583"/>
        <v>4.4136961093585692</v>
      </c>
      <c r="BM277" s="535">
        <f>IF(OR(Sheet1!EP275="FM", Sheet1!EP275="OTHER"),SUM(Sheet1!BG275:'Sheet1'!BI275),0)</f>
        <v>0</v>
      </c>
      <c r="BN277" s="521">
        <f>IF(AND($B277&gt;=$FV277,$B277&lt;=$FW277),MAX(BF277,Sheet1!EI275,0),MAX(BF277-(7/36)*$K277,0))</f>
        <v>5</v>
      </c>
      <c r="BO277" s="535">
        <f t="shared" si="584"/>
        <v>0</v>
      </c>
      <c r="BP277" s="521">
        <f t="shared" si="585"/>
        <v>0</v>
      </c>
      <c r="BQ277" s="521">
        <f>IF(AND($O277&gt;0,Sheet1!EM275=1),(1-($O277-Sheet1!$L275)/$O277)*BL277,0)</f>
        <v>0</v>
      </c>
      <c r="BR277" s="521">
        <f>IF(AND(Sheet1!$L275=0,Sheet1!$L274=0, Calculation!BK277&lt;Sheet1!$EI275-0.1,Sheet1!$EI275=Sheet1!$EI274,Sheet1!$EI275=Sheet1!$EI276),BL277-BQ277,BL277-BQ277)</f>
        <v>4.4136961093585692</v>
      </c>
      <c r="BS277" s="1035" t="str">
        <f t="shared" si="672"/>
        <v/>
      </c>
      <c r="BT277" s="1035">
        <f t="shared" si="673"/>
        <v>0</v>
      </c>
      <c r="BU277" s="535">
        <f t="shared" si="586"/>
        <v>132.99491177013257</v>
      </c>
      <c r="BV277" s="535"/>
      <c r="BW277" s="535">
        <f ca="1">IF(B277&gt;(Summary!$A$1-1),#N/A,BU277*MGtoAF)</f>
        <v>408.02838931076673</v>
      </c>
      <c r="BX277" s="535">
        <f>Sheet1!BC275+Sheet1!BD275+Sheet1!BE275+Sheet1!BF275-CG277-CH277</f>
        <v>3.99</v>
      </c>
      <c r="BY277" s="535">
        <f t="shared" si="587"/>
        <v>3.9753154574132492</v>
      </c>
      <c r="BZ277" s="535">
        <f>IF(Sheet1!EQ275="FM",CH277,0)</f>
        <v>0</v>
      </c>
      <c r="CA277" s="535">
        <f t="shared" si="588"/>
        <v>0</v>
      </c>
      <c r="CB277" s="535">
        <f>IF(Sheet1!EQ275="OTHER",CH277,0)</f>
        <v>0</v>
      </c>
      <c r="CC277" s="535">
        <f t="shared" si="589"/>
        <v>0</v>
      </c>
      <c r="CD277" s="535">
        <f t="shared" si="590"/>
        <v>0</v>
      </c>
      <c r="CE277" s="535">
        <f t="shared" si="591"/>
        <v>3.99</v>
      </c>
      <c r="CF277" s="535">
        <f t="shared" si="592"/>
        <v>3.9753154574132492</v>
      </c>
      <c r="CG277" s="535">
        <f>IF(Sheet1!EQ275="CWA",SUM(Sheet1!BC275:'Sheet1'!BF275),0)</f>
        <v>0</v>
      </c>
      <c r="CH277" s="535">
        <f>IF(OR(Sheet1!EQ275="FM", Sheet1!EQ275="OTHER"),SUM(Sheet1!BC275:'Sheet1'!BF275),0)</f>
        <v>0</v>
      </c>
      <c r="CI277" s="521">
        <f>IF(AND($B277&gt;=$FV277,$B277&lt;=$FW277),MAX(CF277,Sheet1!EJ275,0),MAX(CF277-(7/36)*$K277,0))</f>
        <v>4</v>
      </c>
      <c r="CJ277" s="535">
        <f t="shared" si="593"/>
        <v>0</v>
      </c>
      <c r="CK277" s="521">
        <f t="shared" si="594"/>
        <v>0</v>
      </c>
      <c r="CL277" s="521">
        <f>IF(AND($O277&gt;0,Sheet1!EN275=1),(1-($O277-Sheet1!$L275)/$O277)*CF277,0)</f>
        <v>0</v>
      </c>
      <c r="CM277" s="521">
        <f>IF(AND(Sheet1!$L275=0,Sheet1!$L274=0, Calculation!CE277&lt;Sheet1!EJ275-0.1,Sheet1!EJ275=Sheet1!EJ274,Sheet1!EJ275=Sheet1!EJ276),CF277-CL277,CF277-CL277)</f>
        <v>3.9753154574132492</v>
      </c>
      <c r="CN277" s="1040" t="str">
        <f t="shared" si="674"/>
        <v/>
      </c>
      <c r="CO277" s="1035">
        <f t="shared" si="675"/>
        <v>0</v>
      </c>
      <c r="CP277" s="535">
        <f t="shared" si="595"/>
        <v>97.338002649900474</v>
      </c>
      <c r="CQ277" s="535"/>
      <c r="CR277" s="535">
        <f ca="1">IF(B277&gt;(Summary!$A$1-1),#N/A,CP277*MGtoAF)</f>
        <v>298.63299212989466</v>
      </c>
      <c r="CS277" s="535">
        <f>Sheet1!BK275+Sheet1!BL275+Sheet1!BM275-Sheet1!ER275-DA277</f>
        <v>7.02</v>
      </c>
      <c r="CT277" s="535">
        <f t="shared" si="596"/>
        <v>6.9941640378548895</v>
      </c>
      <c r="CU277" s="535">
        <f>IF(Sheet1!ER275="FM",DA277,0)</f>
        <v>0</v>
      </c>
      <c r="CV277" s="535">
        <f t="shared" si="597"/>
        <v>0</v>
      </c>
      <c r="CW277" s="535">
        <f>IF(Sheet1!ER275="OTHER",DA277,0)</f>
        <v>0</v>
      </c>
      <c r="CX277" s="535">
        <f t="shared" si="598"/>
        <v>0</v>
      </c>
      <c r="CY277" s="535">
        <f t="shared" si="629"/>
        <v>7.02</v>
      </c>
      <c r="CZ277" s="535">
        <f t="shared" si="630"/>
        <v>6.9941640378548895</v>
      </c>
      <c r="DA277" s="535">
        <f>IF(OR(Sheet1!ER275="FM", Sheet1!ER275="OTHER"),SUM(Sheet1!BK275:'Sheet1'!BM275),0)</f>
        <v>0</v>
      </c>
      <c r="DB277" s="1011">
        <f>IF(AND($B277&gt;=$FV277,$B277&lt;=$FW277),MAX($CT277,Sheet1!EK275,0),MAX($CT277-(7/36)*$K277,0))</f>
        <v>7</v>
      </c>
      <c r="DC277" s="1012">
        <f t="shared" si="601"/>
        <v>0</v>
      </c>
      <c r="DD277" s="1011">
        <f t="shared" si="602"/>
        <v>0</v>
      </c>
      <c r="DE277" s="521">
        <f>IF(AND($O277&gt;0,Sheet1!EO275=1),(1-($O277-Sheet1!$L275)/$O277)*CZ277,0)</f>
        <v>0</v>
      </c>
      <c r="DF277" s="521">
        <f>IF(AND(Sheet1!$L275=0,Sheet1!$L274=0, Calculation!CY277&lt;Sheet1!$EK275-0.1,Sheet1!$EK275=Sheet1!$EK274,Sheet1!$EK275=Sheet1!$EK276),CZ277-DE277,CZ277-DE277)</f>
        <v>6.9941640378548895</v>
      </c>
      <c r="DG277" s="1040">
        <f t="shared" si="676"/>
        <v>0</v>
      </c>
      <c r="DH277" s="649">
        <f t="shared" si="603"/>
        <v>15.44</v>
      </c>
      <c r="DI277" s="535">
        <f t="shared" si="604"/>
        <v>162.22827665830886</v>
      </c>
      <c r="DJ277" s="649">
        <f t="shared" si="605"/>
        <v>15.383175604626707</v>
      </c>
      <c r="DK277" s="535">
        <f ca="1">IF(B277&gt;(Summary!$A$1-1),#N/A,DI277*MGtoAF)</f>
        <v>497.71635278769156</v>
      </c>
      <c r="DL277" s="649">
        <f t="shared" si="606"/>
        <v>15.44</v>
      </c>
      <c r="DM277" s="535">
        <f t="shared" si="607"/>
        <v>38.04</v>
      </c>
      <c r="DN277" s="535">
        <f>Sheet1!AB275-DM277</f>
        <v>-0.14000000000000057</v>
      </c>
      <c r="DO277" s="743">
        <f t="shared" si="608"/>
        <v>-3.6803364879074807E-3</v>
      </c>
      <c r="DP277" s="535">
        <f>(VLOOKUP(Sheet1!DC275,hhdcap_wcm,4)-(((VLOOKUP(Sheet1!DC275,hhdcap_wcm,3)-Sheet1!DC275)/(VLOOKUP(Sheet1!DC275,hhdcap_wcm,3)-VLOOKUP(Sheet1!DC275,hhdcap_wcm,1)))*(VLOOKUP(Sheet1!DC275,hhdcap_wcm,4)-VLOOKUP(Sheet1!DC275,hhdcap_wcm,2))))</f>
        <v>22664.200000056971</v>
      </c>
      <c r="DQ277" s="535">
        <f t="shared" si="609"/>
        <v>-621.10000000129003</v>
      </c>
      <c r="DR277" s="535">
        <f t="shared" si="610"/>
        <v>-313.21230458965704</v>
      </c>
      <c r="DS277" s="535">
        <f>Sheet1!EA275*AFtoMG</f>
        <v>0</v>
      </c>
      <c r="DT277" s="535">
        <f>Sheet1!EB275*AFtoMG</f>
        <v>0</v>
      </c>
      <c r="DU277" s="535">
        <f>Sheet1!EC275*AFtoMG</f>
        <v>0</v>
      </c>
      <c r="DV277" s="535">
        <f>Sheet1!ED275*AFtoMG</f>
        <v>0</v>
      </c>
      <c r="DW277" s="535">
        <f t="shared" si="611"/>
        <v>0</v>
      </c>
      <c r="DX277" s="535">
        <f t="shared" si="612"/>
        <v>0</v>
      </c>
      <c r="DY277" s="535">
        <f t="shared" si="613"/>
        <v>818.2961813316781</v>
      </c>
      <c r="DZ277" s="535">
        <f t="shared" si="614"/>
        <v>2510.5326843255884</v>
      </c>
      <c r="EA277" s="535"/>
      <c r="EB277" s="521">
        <f>IF(OR(B277&lt;FV277,B277&gt;FW277),(MIN(BF277+BY277+CT277+MAX(Sheet1!AA275+AQ277-73,0),K277)),0)</f>
        <v>0</v>
      </c>
      <c r="EC277" s="535"/>
      <c r="ED277" s="535">
        <f t="shared" si="615"/>
        <v>15.383175604626707</v>
      </c>
      <c r="EE277" s="535"/>
      <c r="EF277" s="535">
        <f>Sheet1!EH275+Sheet1!EI275+Sheet1!EJ275+Sheet1!EK275</f>
        <v>16.5</v>
      </c>
      <c r="EG277" s="1019">
        <f t="shared" si="677"/>
        <v>25.525499999999997</v>
      </c>
      <c r="EH277" s="521">
        <f t="shared" si="616"/>
        <v>0</v>
      </c>
      <c r="EI277" s="535">
        <f>IF(Sheet1!ET275=1,SUM('Calculations II'!AT277:BA277)+'Calculations II'!BC277+Sheet1!BV275+'Calculations II'!BE277+AP277,'Calculations II'!BK277)</f>
        <v>50.946112395373291</v>
      </c>
      <c r="EJ277" s="535">
        <f ca="1">EI277+'Calculations II'!D277+'Calculations II'!E277+'Calculations II'!O277</f>
        <v>52.558704238200185</v>
      </c>
      <c r="EK277" s="535"/>
      <c r="EL277" s="535"/>
      <c r="EM277" s="535">
        <f t="shared" si="617"/>
        <v>43001</v>
      </c>
      <c r="EN277" s="535">
        <f t="shared" si="618"/>
        <v>-16.5</v>
      </c>
      <c r="EO277" s="535">
        <f t="shared" si="619"/>
        <v>-25.525499999999997</v>
      </c>
      <c r="EP277" s="535">
        <v>0</v>
      </c>
      <c r="EQ277" s="535">
        <v>0</v>
      </c>
      <c r="ER277" s="535">
        <v>0</v>
      </c>
      <c r="ES277" s="521">
        <f t="shared" si="643"/>
        <v>-0.27721952997563037</v>
      </c>
      <c r="ET277" s="535">
        <f>-(VLOOKUP(Sheet1!BQ275,Lookup!$O$4:$Q$262,2)-VLOOKUP(Sheet1!BQ274,Lookup!$O$4:$Q$262,2))/1000000</f>
        <v>-0.13858732597771659</v>
      </c>
      <c r="EU277" s="535">
        <f>-(VLOOKUP(Sheet1!BR275,Lookup!$O$4:$Q$262,3)-VLOOKUP(Sheet1!BR274,Lookup!$O$4:$Q$262,3))/1000000</f>
        <v>-0.13863220399791376</v>
      </c>
      <c r="EV277" s="535"/>
      <c r="EW277" s="535"/>
      <c r="EX277" s="535"/>
      <c r="EY277" s="535"/>
      <c r="EZ277" s="535"/>
      <c r="FA277" s="535"/>
      <c r="FB277" s="535"/>
      <c r="FC277" s="535"/>
      <c r="FD277" s="567">
        <f t="shared" si="632"/>
        <v>1119.1790697673807</v>
      </c>
      <c r="FE277" s="567" t="e">
        <f t="shared" si="620"/>
        <v>#N/A</v>
      </c>
      <c r="FF277" s="568" t="e">
        <f t="shared" si="621"/>
        <v>#N/A</v>
      </c>
      <c r="FG277" s="569" t="s">
        <v>656</v>
      </c>
      <c r="FH277" s="569" t="s">
        <v>656</v>
      </c>
      <c r="FI277" s="567" t="e">
        <v>#N/A</v>
      </c>
      <c r="FJ277" s="725">
        <v>10933</v>
      </c>
      <c r="FK277" s="535"/>
      <c r="FL277" s="1015">
        <f t="shared" si="631"/>
        <v>109.43015632879475</v>
      </c>
      <c r="FM277" s="535"/>
      <c r="FN277" s="535"/>
      <c r="FO277" s="535">
        <f>O277+((Sheet1!CS275)*GPMtoMGD)</f>
        <v>66.3</v>
      </c>
      <c r="FP277" s="535">
        <f>IF(Sheet1!AA275+AQ277&lt;=Calculation!N277,AQ277,Calculation!N277-Sheet1!AA275)</f>
        <v>22.516824395373291</v>
      </c>
      <c r="FQ277" s="535">
        <f>(Sheet1!BP275+Sheet1!BO275)/694.4</f>
        <v>2.3901209677419355</v>
      </c>
      <c r="FR277" s="541"/>
      <c r="FS277" s="541"/>
      <c r="FT277" s="541"/>
      <c r="FU277" s="541"/>
      <c r="FV277" s="1109">
        <f t="shared" si="644"/>
        <v>42918</v>
      </c>
      <c r="FW277" s="1109">
        <f t="shared" si="645"/>
        <v>43027</v>
      </c>
      <c r="FX277" s="541"/>
      <c r="FY277" s="541">
        <f>Sheet1!DA275-Sheet1!CZ275-Sheet1!AE275</f>
        <v>-49.566099999999992</v>
      </c>
      <c r="FZ277" s="535">
        <f t="shared" si="678"/>
        <v>-0.40367318430690913</v>
      </c>
      <c r="GA277" s="535"/>
      <c r="GB277" s="535" t="str">
        <f t="shared" si="646"/>
        <v>n</v>
      </c>
      <c r="GC277" s="539">
        <f t="shared" si="647"/>
        <v>42782</v>
      </c>
      <c r="GD277" s="1109">
        <f t="shared" si="648"/>
        <v>42904</v>
      </c>
      <c r="GE277" s="535">
        <f t="shared" si="664"/>
        <v>6520</v>
      </c>
      <c r="GF277" s="1109">
        <f t="shared" si="649"/>
        <v>42909</v>
      </c>
      <c r="GG277" s="535">
        <f t="shared" si="691"/>
        <v>3260</v>
      </c>
      <c r="GH277" s="539">
        <f t="shared" si="650"/>
        <v>43040</v>
      </c>
      <c r="GJ277" s="521">
        <f t="shared" si="651"/>
        <v>0</v>
      </c>
      <c r="GK277" s="535" t="str">
        <f t="shared" si="622"/>
        <v/>
      </c>
      <c r="GL277" s="535">
        <f t="shared" si="652"/>
        <v>0</v>
      </c>
      <c r="GM277" s="535" t="str">
        <f t="shared" si="653"/>
        <v/>
      </c>
      <c r="GN277" s="535">
        <f>IF(GK277="P",Lookup!$M$12,IF(GK277="PP",Lookup!$M$13,IF(GK277="PPP",Lookup!$M$14,IF(GK277="T",Lookup!$M$15,IF(GK277="TP",Lookup!$M$16,IF(GK277="TPP",Lookup!$M$17,IF(GK277="TPPP",Lookup!$M$18,0)))))))*GJ277</f>
        <v>0</v>
      </c>
      <c r="GO277" s="535">
        <f t="shared" si="654"/>
        <v>0</v>
      </c>
      <c r="GP277" s="535">
        <f t="shared" si="623"/>
        <v>1306.1549500972353</v>
      </c>
      <c r="GQ277" s="974">
        <f t="shared" si="567"/>
        <v>425.73499025333615</v>
      </c>
      <c r="GR277" s="535"/>
      <c r="GS277" s="535">
        <f t="shared" si="655"/>
        <v>0</v>
      </c>
      <c r="GT277" s="535" t="str">
        <f t="shared" si="656"/>
        <v/>
      </c>
      <c r="GU277" s="535">
        <f>IF(GK277="P",Lookup!$N$12,IF(GK277="PP",Lookup!$N$13,IF(GK277="PPP",Lookup!$N$14,IF(GK277="T",Lookup!$N$15,IF(GK277="TP",Lookup!$N$16,IF(GK277="TPP",Lookup!$N$17,IF(GK277="TPPP",Lookup!$N$18,0)))))))*GJ277</f>
        <v>0</v>
      </c>
      <c r="GV277" s="535">
        <f t="shared" si="657"/>
        <v>0</v>
      </c>
      <c r="GW277" s="535">
        <f t="shared" si="624"/>
        <v>408.02838931076673</v>
      </c>
      <c r="GX277" s="974">
        <f t="shared" si="568"/>
        <v>132.99491177013257</v>
      </c>
      <c r="GY277" s="535"/>
      <c r="GZ277" s="535">
        <f t="shared" si="658"/>
        <v>0</v>
      </c>
      <c r="HA277" s="535" t="str">
        <f t="shared" si="659"/>
        <v/>
      </c>
      <c r="HB277" s="535">
        <f>IF(GK277="P",Lookup!$N$12,IF(GK277="PP",Lookup!$N$13,IF(GK277="PPP",Lookup!$N$14,IF(GK277="T",Lookup!$N$15,IF(GK277="TP",Lookup!$N$16,IF(GK277="TPP",Lookup!$N$17,IF(GK277="TPPP",Lookup!$N$18,0)))))))*GJ277</f>
        <v>0</v>
      </c>
      <c r="HC277" s="521">
        <f t="shared" si="625"/>
        <v>0</v>
      </c>
      <c r="HD277" s="535">
        <f t="shared" si="626"/>
        <v>298.63299212989466</v>
      </c>
      <c r="HE277" s="535">
        <f t="shared" si="662"/>
        <v>97.338002649900474</v>
      </c>
      <c r="HF277" s="535"/>
      <c r="HG277" s="535">
        <f t="shared" si="660"/>
        <v>0</v>
      </c>
      <c r="HH277" s="535" t="str">
        <f t="shared" si="661"/>
        <v/>
      </c>
      <c r="HI277" s="535">
        <f>IF(GK277="P",Lookup!$N$12,IF(GK277="PP",Lookup!$N$13,IF(GK277="PPP",Lookup!$N$14,IF(GK277="T",Lookup!$N$15,IF(GK277="TP",Lookup!$N$16,IF(GK277="TPP",Lookup!$N$17,IF(GK277="TPPP",Lookup!$N$18,0)))))))*GJ277</f>
        <v>0</v>
      </c>
      <c r="HJ277" s="521">
        <f t="shared" si="627"/>
        <v>0</v>
      </c>
      <c r="HK277" s="535">
        <f t="shared" si="628"/>
        <v>497.71635278769156</v>
      </c>
      <c r="HL277" s="535">
        <f t="shared" si="663"/>
        <v>162.22827665830886</v>
      </c>
      <c r="HM277" s="535"/>
      <c r="HN277" s="541"/>
      <c r="HO277" s="541"/>
      <c r="HP277" s="541"/>
      <c r="HQ277" s="541">
        <f>IF(AND(B277&gt;=$FV$4,B277&lt;=$FW$4),MAX(110/1.02+$HQ$6+MIN(113/1.02,G277),IF($HV$6-(Sheet1!DA275-Sheet1!DB275)+MIN(113/1.02,G277)&lt;G277+FL277,$HV$6-(Sheet1!DA275-Sheet1!DB275)+MIN(113/1.02,G277),G277+FL277)),MIN(110/1.02+$HQ$6+113/1.02,G277))</f>
        <v>218.62745098039215</v>
      </c>
      <c r="HR277" s="541">
        <f t="shared" si="679"/>
        <v>223</v>
      </c>
      <c r="HS277" s="541">
        <f>HR277+(Sheet1!DA275-Sheet1!DB275)</f>
        <v>387</v>
      </c>
      <c r="HT277" s="541">
        <f t="shared" si="680"/>
        <v>77.99482733964247</v>
      </c>
      <c r="HU277" s="541">
        <f t="shared" si="681"/>
        <v>309.00517266035752</v>
      </c>
      <c r="HV277" s="541">
        <f t="shared" si="682"/>
        <v>0</v>
      </c>
      <c r="HW277" s="533" t="str">
        <f t="shared" si="683"/>
        <v/>
      </c>
      <c r="HX277" s="541">
        <f t="shared" si="684"/>
        <v>191.84704901960782</v>
      </c>
      <c r="HY277" s="541">
        <f>Sheet1!CZ275</f>
        <v>436</v>
      </c>
      <c r="HZ277" s="541">
        <f t="shared" si="685"/>
        <v>25.525499999999997</v>
      </c>
      <c r="IA277" s="541">
        <f t="shared" si="686"/>
        <v>77.99482733964247</v>
      </c>
      <c r="IB277" s="541">
        <f t="shared" si="687"/>
        <v>410.47449999999998</v>
      </c>
      <c r="IC277" s="1019" t="str">
        <f t="shared" si="688"/>
        <v/>
      </c>
      <c r="ID277" s="541">
        <f t="shared" si="689"/>
        <v>332.47967266035749</v>
      </c>
      <c r="IE277" s="541">
        <f>Sheet1!DB275</f>
        <v>325</v>
      </c>
      <c r="IF277" s="533">
        <f>Sheet1!DA275</f>
        <v>489</v>
      </c>
      <c r="IH277" s="541">
        <f>IF(AND($B277&gt;=$GC277,$B277&lt;=$GH277,$DR277&lt;0)+N("only adjusted when pool is drawn down during storage season"),Sheet1!$DB275+$DR277+N("Palmer minus all storage release"),Sheet1!$DB275)</f>
        <v>11.787695410342963</v>
      </c>
      <c r="II277" s="541">
        <f>IF(AND($B277&gt;=$GC277,$B277&lt;=$GH277,$DR277&lt;0)+N("only adjusted when pool is drawn down during storage season"),Sheet1!$DA275+$DR277+N("Auburn minus all storage release"),Sheet1!$DA275)</f>
        <v>175.78769541034296</v>
      </c>
    </row>
    <row r="278" spans="1:243" x14ac:dyDescent="0.25">
      <c r="A278" s="553" t="s">
        <v>3</v>
      </c>
      <c r="B278" s="531">
        <v>43002</v>
      </c>
      <c r="C278" s="536">
        <v>0</v>
      </c>
      <c r="D278" s="506">
        <f t="shared" si="633"/>
        <v>300</v>
      </c>
      <c r="E278" s="506">
        <f t="shared" si="634"/>
        <v>250</v>
      </c>
      <c r="F278" s="506">
        <v>250</v>
      </c>
      <c r="G278" s="535">
        <f>DR278+Sheet1!CZ276</f>
        <v>116.48411497697583</v>
      </c>
      <c r="H278" s="1074">
        <f t="shared" si="690"/>
        <v>0</v>
      </c>
      <c r="I278" s="534">
        <f>IF(Sheet1!DA276&gt;=E278,(Sheet1!DA276-E278+P278)*CFStoMGD,0)</f>
        <v>224.02032703999998</v>
      </c>
      <c r="J278" s="995">
        <f>IF(Sheet1!DB276&gt;=D278,(Sheet1!DB276-D278+P278)*CFStoMGD,0)</f>
        <v>80.519527039999986</v>
      </c>
      <c r="K278" s="818">
        <f t="shared" si="665"/>
        <v>0</v>
      </c>
      <c r="L278" s="535">
        <f>Sheet1!AA276+Sheet1!AB276-Sheet1!L276+(Sheet1!DA276-F278)*CFStoMGD-S278-T278-U278</f>
        <v>208.3855620653319</v>
      </c>
      <c r="M278" s="535">
        <f t="shared" si="569"/>
        <v>76.801238559539527</v>
      </c>
      <c r="N278" s="824">
        <f>IF(Sheet1!DA276&gt;=F278,MIN(113*CFStoMGD,MIN(MAX(L278,0),MAX(M278,0))),0)</f>
        <v>73.043199999999999</v>
      </c>
      <c r="O278" s="538">
        <f>Sheet1!AA276+Sheet1!AB276</f>
        <v>66.3</v>
      </c>
      <c r="P278" s="538">
        <f t="shared" si="570"/>
        <v>102.56609999999999</v>
      </c>
      <c r="Q278" s="812">
        <f t="shared" si="666"/>
        <v>50.66396206533193</v>
      </c>
      <c r="R278" s="812">
        <f t="shared" si="635"/>
        <v>16.5</v>
      </c>
      <c r="S278" s="812">
        <f t="shared" si="636"/>
        <v>0</v>
      </c>
      <c r="T278" s="812">
        <f t="shared" si="637"/>
        <v>0</v>
      </c>
      <c r="U278" s="812">
        <f>IF(AND(B278&gt;=FV278,B278&lt;=FW278),ED278+Sheet1!EH276,0)</f>
        <v>15.636037934668071</v>
      </c>
      <c r="V278" s="812"/>
      <c r="W278" s="812">
        <f t="shared" si="638"/>
        <v>0</v>
      </c>
      <c r="X278" s="812">
        <f t="shared" si="639"/>
        <v>0</v>
      </c>
      <c r="Y278" s="812" t="str">
        <f t="shared" si="640"/>
        <v>FALSE</v>
      </c>
      <c r="Z278" s="812">
        <f t="shared" si="641"/>
        <v>66.3</v>
      </c>
      <c r="AA278" s="812">
        <f t="shared" si="642"/>
        <v>66.3</v>
      </c>
      <c r="AB278" s="1059">
        <f t="shared" si="667"/>
        <v>78.377149315068493</v>
      </c>
      <c r="AC278" s="538">
        <f>Sheet1!Y276*MGDtoCFS</f>
        <v>43.934799999999996</v>
      </c>
      <c r="AD278" s="538">
        <f>Sheet1!Z276*MGDtoCFS</f>
        <v>58.631299999999996</v>
      </c>
      <c r="AE278" s="538">
        <f>Sheet1!AA276*MGDtoCFS</f>
        <v>43.934799999999996</v>
      </c>
      <c r="AF278" s="538">
        <f>Sheet1!AB276*MGDtoCFS</f>
        <v>58.631299999999996</v>
      </c>
      <c r="AG278" s="538">
        <f>Sheet1!L276*MGDtoCFS</f>
        <v>0</v>
      </c>
      <c r="AH278" s="521">
        <f t="shared" si="571"/>
        <v>16.5</v>
      </c>
      <c r="AI278" s="1059">
        <f t="shared" si="572"/>
        <v>25.525499999999997</v>
      </c>
      <c r="AJ278" s="535">
        <f t="shared" si="573"/>
        <v>0</v>
      </c>
      <c r="AK278" s="535">
        <f t="shared" si="574"/>
        <v>0</v>
      </c>
      <c r="AL278" s="535">
        <f>(VLOOKUP(Sheet1!DC276,hhdcap_wcm,4)-(((VLOOKUP(Sheet1!DC276,hhdcap_wcm,3)-Sheet1!DC276)/(VLOOKUP(Sheet1!DC276,hhdcap_wcm,3)-VLOOKUP(Sheet1!DC276,hhdcap_wcm,1)))*(VLOOKUP(Sheet1!DC276,hhdcap_wcm,4)-VLOOKUP(Sheet1!DC276,hhdcap_wcm,2))))</f>
        <v>22030.600000056314</v>
      </c>
      <c r="AM278" s="535">
        <f t="shared" si="575"/>
        <v>-633.60000000065702</v>
      </c>
      <c r="AN278" s="1035">
        <f t="shared" si="576"/>
        <v>801.7961813316781</v>
      </c>
      <c r="AO278" s="535">
        <f t="shared" si="577"/>
        <v>2459.9106843255886</v>
      </c>
      <c r="AP278" s="535">
        <f>Sheet1!BA276+Sheet1!BB276+Sheet1!BN276+CD278</f>
        <v>22.8</v>
      </c>
      <c r="AQ278" s="535">
        <f>Sheet1!BN276+(DO278*Sheet1!BN276)</f>
        <v>22.763962065331928</v>
      </c>
      <c r="AR278" s="535">
        <f>Sheet1!BA276+CD278</f>
        <v>0</v>
      </c>
      <c r="AS278" s="535">
        <f>Sheet1!BA276+Sheet1!BB276+CD278</f>
        <v>0</v>
      </c>
      <c r="AT278" s="649">
        <f>0</f>
        <v>0</v>
      </c>
      <c r="AU278" s="974">
        <f>BA278+MAX(Sheet1!EH276,(O278-Q278-ED278-S278))</f>
        <v>0.5</v>
      </c>
      <c r="AV278" s="535">
        <f>IF(OR(B278&gt;=GD278,B278&lt;GC278),0,15/36*K278-MAX(0,64.6-(137.6-(Sheet1!AA276+Sheet1!AB276))))</f>
        <v>0</v>
      </c>
      <c r="AW278" s="1029"/>
      <c r="AX278" s="649"/>
      <c r="AY278" s="649">
        <f t="shared" si="668"/>
        <v>23.311716569431731</v>
      </c>
      <c r="AZ278" s="649">
        <f t="shared" si="669"/>
        <v>0</v>
      </c>
      <c r="BA278" s="1059">
        <f t="shared" si="670"/>
        <v>0</v>
      </c>
      <c r="BB278" s="1019">
        <f t="shared" si="578"/>
        <v>425.23499025333615</v>
      </c>
      <c r="BC278" s="1041">
        <f t="shared" si="671"/>
        <v>0</v>
      </c>
      <c r="BD278" s="1019">
        <f ca="1">IF(B278&gt;(Summary!$A$1-1),#N/A,BB278*MGtoAF)</f>
        <v>1304.6209500972354</v>
      </c>
      <c r="BE278" s="535">
        <f>Sheet1!BG276+Sheet1!BH276+Sheet1!BI276-BM278</f>
        <v>4.3699999999999992</v>
      </c>
      <c r="BF278" s="535">
        <f t="shared" si="579"/>
        <v>4.3630927291886188</v>
      </c>
      <c r="BG278" s="535">
        <f>IF(Sheet1!EP276="FM",BM278,0)</f>
        <v>0</v>
      </c>
      <c r="BH278" s="535">
        <f t="shared" si="580"/>
        <v>0</v>
      </c>
      <c r="BI278" s="535">
        <f>IF(Sheet1!EP276="OTHER",BM278,0)</f>
        <v>0</v>
      </c>
      <c r="BJ278" s="535">
        <f t="shared" si="581"/>
        <v>0</v>
      </c>
      <c r="BK278" s="535">
        <f t="shared" si="582"/>
        <v>4.3699999999999992</v>
      </c>
      <c r="BL278" s="535">
        <f t="shared" si="583"/>
        <v>4.3630927291886188</v>
      </c>
      <c r="BM278" s="535">
        <f>IF(OR(Sheet1!EP276="FM", Sheet1!EP276="OTHER"),SUM(Sheet1!BG276:'Sheet1'!BI276),0)</f>
        <v>0</v>
      </c>
      <c r="BN278" s="521">
        <f>IF(AND($B278&gt;=$FV278,$B278&lt;=$FW278),MAX(BF278,Sheet1!EI276,0),MAX(BF278-(7/36)*$K278,0))</f>
        <v>5</v>
      </c>
      <c r="BO278" s="535">
        <f t="shared" si="584"/>
        <v>0</v>
      </c>
      <c r="BP278" s="521">
        <f t="shared" si="585"/>
        <v>0</v>
      </c>
      <c r="BQ278" s="521">
        <f>IF(AND($O278&gt;0,Sheet1!EM276=1),(1-($O278-Sheet1!$L276)/$O278)*BL278,0)</f>
        <v>0</v>
      </c>
      <c r="BR278" s="521">
        <f>IF(AND(Sheet1!$L276=0,Sheet1!$L275=0, Calculation!BK278&lt;Sheet1!$EI276-0.1,Sheet1!$EI276=Sheet1!$EI275,Sheet1!$EI276=Sheet1!$EI277),BL278-BQ278,BL278-BQ278)</f>
        <v>4.3630927291886188</v>
      </c>
      <c r="BS278" s="1035" t="str">
        <f t="shared" si="672"/>
        <v/>
      </c>
      <c r="BT278" s="1035">
        <f t="shared" si="673"/>
        <v>0</v>
      </c>
      <c r="BU278" s="535">
        <f t="shared" si="586"/>
        <v>127.99491177013257</v>
      </c>
      <c r="BV278" s="535"/>
      <c r="BW278" s="535">
        <f ca="1">IF(B278&gt;(Summary!$A$1-1),#N/A,BU278*MGtoAF)</f>
        <v>392.68838931076675</v>
      </c>
      <c r="BX278" s="535">
        <f>Sheet1!BC276+Sheet1!BD276+Sheet1!BE276+Sheet1!BF276-CG278-CH278</f>
        <v>4</v>
      </c>
      <c r="BY278" s="535">
        <f t="shared" si="587"/>
        <v>3.9936775553213906</v>
      </c>
      <c r="BZ278" s="535">
        <f>IF(Sheet1!EQ276="FM",CH278,0)</f>
        <v>0</v>
      </c>
      <c r="CA278" s="535">
        <f t="shared" si="588"/>
        <v>0</v>
      </c>
      <c r="CB278" s="535">
        <f>IF(Sheet1!EQ276="OTHER",CH278,0)</f>
        <v>0</v>
      </c>
      <c r="CC278" s="535">
        <f t="shared" si="589"/>
        <v>0</v>
      </c>
      <c r="CD278" s="535">
        <f t="shared" si="590"/>
        <v>0</v>
      </c>
      <c r="CE278" s="535">
        <f t="shared" si="591"/>
        <v>4</v>
      </c>
      <c r="CF278" s="535">
        <f t="shared" si="592"/>
        <v>3.9936775553213906</v>
      </c>
      <c r="CG278" s="535">
        <f>IF(Sheet1!EQ276="CWA",SUM(Sheet1!BC276:'Sheet1'!BF276),0)</f>
        <v>0</v>
      </c>
      <c r="CH278" s="535">
        <f>IF(OR(Sheet1!EQ276="FM", Sheet1!EQ276="OTHER"),SUM(Sheet1!BC276:'Sheet1'!BF276),0)</f>
        <v>0</v>
      </c>
      <c r="CI278" s="521">
        <f>IF(AND($B278&gt;=$FV278,$B278&lt;=$FW278),MAX(CF278,Sheet1!EJ276,0),MAX(CF278-(7/36)*$K278,0))</f>
        <v>4</v>
      </c>
      <c r="CJ278" s="535">
        <f t="shared" si="593"/>
        <v>0</v>
      </c>
      <c r="CK278" s="521">
        <f t="shared" si="594"/>
        <v>0</v>
      </c>
      <c r="CL278" s="521">
        <f>IF(AND($O278&gt;0,Sheet1!EN276=1),(1-($O278-Sheet1!$L276)/$O278)*CF278,0)</f>
        <v>0</v>
      </c>
      <c r="CM278" s="521">
        <f>IF(AND(Sheet1!$L276=0,Sheet1!$L275=0, Calculation!CE278&lt;Sheet1!EJ276-0.1,Sheet1!EJ276=Sheet1!EJ275,Sheet1!EJ276=Sheet1!EJ277),CF278-CL278,CF278-CL278)</f>
        <v>3.9936775553213906</v>
      </c>
      <c r="CN278" s="1040" t="str">
        <f t="shared" si="674"/>
        <v/>
      </c>
      <c r="CO278" s="1035">
        <f t="shared" si="675"/>
        <v>0</v>
      </c>
      <c r="CP278" s="535">
        <f t="shared" si="595"/>
        <v>93.338002649900474</v>
      </c>
      <c r="CQ278" s="535"/>
      <c r="CR278" s="535">
        <f ca="1">IF(B278&gt;(Summary!$A$1-1),#N/A,CP278*MGtoAF)</f>
        <v>286.36099212989467</v>
      </c>
      <c r="CS278" s="535">
        <f>Sheet1!BK276+Sheet1!BL276+Sheet1!BM276-Sheet1!ER276-DA278</f>
        <v>6.79</v>
      </c>
      <c r="CT278" s="535">
        <f t="shared" si="596"/>
        <v>6.7792676501580607</v>
      </c>
      <c r="CU278" s="535">
        <f>IF(Sheet1!ER276="FM",DA278,0)</f>
        <v>0</v>
      </c>
      <c r="CV278" s="535">
        <f t="shared" si="597"/>
        <v>0</v>
      </c>
      <c r="CW278" s="535">
        <f>IF(Sheet1!ER276="OTHER",DA278,0)</f>
        <v>0</v>
      </c>
      <c r="CX278" s="535">
        <f t="shared" si="598"/>
        <v>0</v>
      </c>
      <c r="CY278" s="535">
        <f t="shared" si="629"/>
        <v>6.79</v>
      </c>
      <c r="CZ278" s="535">
        <f t="shared" si="630"/>
        <v>6.7792676501580607</v>
      </c>
      <c r="DA278" s="535">
        <f>IF(OR(Sheet1!ER276="FM", Sheet1!ER276="OTHER"),SUM(Sheet1!BK276:'Sheet1'!BM276),0)</f>
        <v>0</v>
      </c>
      <c r="DB278" s="1011">
        <f>IF(AND($B278&gt;=$FV278,$B278&lt;=$FW278),MAX($CT278,Sheet1!EK276,0),MAX($CT278-(7/36)*$K278,0))</f>
        <v>7</v>
      </c>
      <c r="DC278" s="1012">
        <f t="shared" si="601"/>
        <v>0</v>
      </c>
      <c r="DD278" s="1011">
        <f t="shared" si="602"/>
        <v>0</v>
      </c>
      <c r="DE278" s="521">
        <f>IF(AND($O278&gt;0,Sheet1!EO276=1),(1-($O278-Sheet1!$L276)/$O278)*CZ278,0)</f>
        <v>0</v>
      </c>
      <c r="DF278" s="521">
        <f>IF(AND(Sheet1!$L276=0,Sheet1!$L275=0, Calculation!CY278&lt;Sheet1!$EK276-0.1,Sheet1!$EK276=Sheet1!$EK275,Sheet1!$EK276=Sheet1!$EK277),CZ278-DE278,CZ278-DE278)</f>
        <v>6.7792676501580607</v>
      </c>
      <c r="DG278" s="1040">
        <f t="shared" si="676"/>
        <v>0</v>
      </c>
      <c r="DH278" s="649">
        <f t="shared" si="603"/>
        <v>15.16</v>
      </c>
      <c r="DI278" s="535">
        <f t="shared" si="604"/>
        <v>155.22827665830886</v>
      </c>
      <c r="DJ278" s="649">
        <f t="shared" si="605"/>
        <v>15.136037934668071</v>
      </c>
      <c r="DK278" s="535">
        <f ca="1">IF(B278&gt;(Summary!$A$1-1),#N/A,DI278*MGtoAF)</f>
        <v>476.24035278769156</v>
      </c>
      <c r="DL278" s="649">
        <f t="shared" si="606"/>
        <v>15.159999999999998</v>
      </c>
      <c r="DM278" s="535">
        <f t="shared" si="607"/>
        <v>37.96</v>
      </c>
      <c r="DN278" s="535">
        <f>Sheet1!AB276-DM278</f>
        <v>-6.0000000000002274E-2</v>
      </c>
      <c r="DO278" s="743">
        <f t="shared" si="608"/>
        <v>-1.5806111696523254E-3</v>
      </c>
      <c r="DP278" s="535">
        <f>(VLOOKUP(Sheet1!DC276,hhdcap_wcm,4)-(((VLOOKUP(Sheet1!DC276,hhdcap_wcm,3)-Sheet1!DC276)/(VLOOKUP(Sheet1!DC276,hhdcap_wcm,3)-VLOOKUP(Sheet1!DC276,hhdcap_wcm,1)))*(VLOOKUP(Sheet1!DC276,hhdcap_wcm,4)-VLOOKUP(Sheet1!DC276,hhdcap_wcm,2))))</f>
        <v>22030.600000056314</v>
      </c>
      <c r="DQ278" s="535">
        <f t="shared" si="609"/>
        <v>-633.60000000065702</v>
      </c>
      <c r="DR278" s="535">
        <f t="shared" si="610"/>
        <v>-319.51588502302417</v>
      </c>
      <c r="DS278" s="535">
        <f>Sheet1!EA276*AFtoMG</f>
        <v>0</v>
      </c>
      <c r="DT278" s="535">
        <f>Sheet1!EB276*AFtoMG</f>
        <v>0</v>
      </c>
      <c r="DU278" s="535">
        <f>Sheet1!EC276*AFtoMG</f>
        <v>0</v>
      </c>
      <c r="DV278" s="535">
        <f>Sheet1!ED276*AFtoMG</f>
        <v>0</v>
      </c>
      <c r="DW278" s="535">
        <f t="shared" si="611"/>
        <v>0</v>
      </c>
      <c r="DX278" s="535">
        <f t="shared" si="612"/>
        <v>0</v>
      </c>
      <c r="DY278" s="535">
        <f t="shared" si="613"/>
        <v>801.7961813316781</v>
      </c>
      <c r="DZ278" s="535">
        <f t="shared" si="614"/>
        <v>2459.9106843255886</v>
      </c>
      <c r="EA278" s="535"/>
      <c r="EB278" s="521">
        <f>IF(OR(B278&lt;FV278,B278&gt;FW278),(MIN(BF278+BY278+CT278+MAX(Sheet1!AA276+AQ278-73,0),K278)),0)</f>
        <v>0</v>
      </c>
      <c r="EC278" s="535"/>
      <c r="ED278" s="535">
        <f t="shared" si="615"/>
        <v>15.136037934668071</v>
      </c>
      <c r="EE278" s="535"/>
      <c r="EF278" s="535">
        <f>Sheet1!EH276+Sheet1!EI276+Sheet1!EJ276+Sheet1!EK276</f>
        <v>16.5</v>
      </c>
      <c r="EG278" s="1019">
        <f t="shared" si="677"/>
        <v>25.525499999999997</v>
      </c>
      <c r="EH278" s="521">
        <f t="shared" si="616"/>
        <v>0</v>
      </c>
      <c r="EI278" s="535">
        <f>IF(Sheet1!ET276=1,SUM('Calculations II'!AT278:BA278)+'Calculations II'!BC278+Sheet1!BV276+'Calculations II'!BE278+AP278,'Calculations II'!BK278)</f>
        <v>54.739618065331925</v>
      </c>
      <c r="EJ278" s="535">
        <f ca="1">EI278+'Calculations II'!D278+'Calculations II'!E278+'Calculations II'!O278</f>
        <v>49.770948552610889</v>
      </c>
      <c r="EK278" s="535"/>
      <c r="EL278" s="535"/>
      <c r="EM278" s="535">
        <f t="shared" si="617"/>
        <v>43002</v>
      </c>
      <c r="EN278" s="535">
        <f t="shared" si="618"/>
        <v>-16.5</v>
      </c>
      <c r="EO278" s="535">
        <f t="shared" si="619"/>
        <v>-25.525499999999997</v>
      </c>
      <c r="EP278" s="535">
        <v>0</v>
      </c>
      <c r="EQ278" s="535">
        <v>0</v>
      </c>
      <c r="ER278" s="535">
        <v>0</v>
      </c>
      <c r="ES278" s="521">
        <f t="shared" si="643"/>
        <v>3.0487096606032251</v>
      </c>
      <c r="ET278" s="535">
        <f>-(VLOOKUP(Sheet1!BQ276,Lookup!$O$4:$Q$262,2)-VLOOKUP(Sheet1!BQ275,Lookup!$O$4:$Q$262,2))/1000000</f>
        <v>1.5241080296420566</v>
      </c>
      <c r="EU278" s="535">
        <f>-(VLOOKUP(Sheet1!BR276,Lookup!$O$4:$Q$262,3)-VLOOKUP(Sheet1!BR275,Lookup!$O$4:$Q$262,3))/1000000</f>
        <v>1.5246016309611685</v>
      </c>
      <c r="EV278" s="535"/>
      <c r="EW278" s="535"/>
      <c r="EX278" s="535"/>
      <c r="EY278" s="535"/>
      <c r="EZ278" s="535"/>
      <c r="FA278" s="535"/>
      <c r="FB278" s="535"/>
      <c r="FC278" s="535"/>
      <c r="FD278" s="567">
        <f t="shared" si="632"/>
        <v>1118.6634146340857</v>
      </c>
      <c r="FE278" s="567" t="e">
        <f t="shared" si="620"/>
        <v>#N/A</v>
      </c>
      <c r="FF278" s="568" t="e">
        <f t="shared" si="621"/>
        <v>#N/A</v>
      </c>
      <c r="FG278" s="569" t="s">
        <v>656</v>
      </c>
      <c r="FH278" s="569" t="s">
        <v>656</v>
      </c>
      <c r="FI278" s="567" t="e">
        <v>#N/A</v>
      </c>
      <c r="FJ278" s="725">
        <v>10716</v>
      </c>
      <c r="FK278" s="535"/>
      <c r="FL278" s="1015">
        <f t="shared" si="631"/>
        <v>108.92586989409985</v>
      </c>
      <c r="FM278" s="535"/>
      <c r="FN278" s="535"/>
      <c r="FO278" s="535">
        <f>O278+((Sheet1!CS276)*GPMtoMGD)</f>
        <v>66.3</v>
      </c>
      <c r="FP278" s="535">
        <f>IF(Sheet1!AA276+AQ278&lt;=Calculation!N278,AQ278,Calculation!N278-Sheet1!AA276)</f>
        <v>22.763962065331928</v>
      </c>
      <c r="FQ278" s="535">
        <f>(Sheet1!BP276+Sheet1!BO276)/694.4</f>
        <v>2.6391129032258065</v>
      </c>
      <c r="FR278" s="541"/>
      <c r="FS278" s="541"/>
      <c r="FT278" s="541"/>
      <c r="FU278" s="541"/>
      <c r="FV278" s="1109">
        <f t="shared" si="644"/>
        <v>42918</v>
      </c>
      <c r="FW278" s="1109">
        <f t="shared" si="645"/>
        <v>43027</v>
      </c>
      <c r="FX278" s="541"/>
      <c r="FY278" s="541">
        <f>Sheet1!DA276-Sheet1!CZ276-Sheet1!AE276</f>
        <v>-44.566099999999992</v>
      </c>
      <c r="FZ278" s="535">
        <f t="shared" si="678"/>
        <v>-0.38259379838022461</v>
      </c>
      <c r="GA278" s="535"/>
      <c r="GB278" s="535" t="str">
        <f t="shared" si="646"/>
        <v>n</v>
      </c>
      <c r="GC278" s="539">
        <f t="shared" si="647"/>
        <v>42782</v>
      </c>
      <c r="GD278" s="1109">
        <f t="shared" si="648"/>
        <v>42904</v>
      </c>
      <c r="GE278" s="535">
        <f t="shared" si="664"/>
        <v>6520</v>
      </c>
      <c r="GF278" s="1109">
        <f t="shared" si="649"/>
        <v>42909</v>
      </c>
      <c r="GG278" s="535">
        <f t="shared" si="691"/>
        <v>3260</v>
      </c>
      <c r="GH278" s="539">
        <f t="shared" si="650"/>
        <v>43040</v>
      </c>
      <c r="GJ278" s="521">
        <f t="shared" si="651"/>
        <v>0</v>
      </c>
      <c r="GK278" s="535" t="str">
        <f t="shared" si="622"/>
        <v/>
      </c>
      <c r="GL278" s="535">
        <f t="shared" si="652"/>
        <v>0</v>
      </c>
      <c r="GM278" s="535" t="str">
        <f t="shared" si="653"/>
        <v/>
      </c>
      <c r="GN278" s="535">
        <f>IF(GK278="P",Lookup!$M$12,IF(GK278="PP",Lookup!$M$13,IF(GK278="PPP",Lookup!$M$14,IF(GK278="T",Lookup!$M$15,IF(GK278="TP",Lookup!$M$16,IF(GK278="TPP",Lookup!$M$17,IF(GK278="TPPP",Lookup!$M$18,0)))))))*GJ278</f>
        <v>0</v>
      </c>
      <c r="GO278" s="535">
        <f t="shared" si="654"/>
        <v>0</v>
      </c>
      <c r="GP278" s="535">
        <f t="shared" si="623"/>
        <v>1304.6209500972354</v>
      </c>
      <c r="GQ278" s="974">
        <f t="shared" si="567"/>
        <v>425.23499025333615</v>
      </c>
      <c r="GR278" s="535"/>
      <c r="GS278" s="535">
        <f t="shared" si="655"/>
        <v>0</v>
      </c>
      <c r="GT278" s="535" t="str">
        <f t="shared" si="656"/>
        <v/>
      </c>
      <c r="GU278" s="535">
        <f>IF(GK278="P",Lookup!$N$12,IF(GK278="PP",Lookup!$N$13,IF(GK278="PPP",Lookup!$N$14,IF(GK278="T",Lookup!$N$15,IF(GK278="TP",Lookup!$N$16,IF(GK278="TPP",Lookup!$N$17,IF(GK278="TPPP",Lookup!$N$18,0)))))))*GJ278</f>
        <v>0</v>
      </c>
      <c r="GV278" s="535">
        <f t="shared" si="657"/>
        <v>0</v>
      </c>
      <c r="GW278" s="535">
        <f t="shared" si="624"/>
        <v>392.68838931076675</v>
      </c>
      <c r="GX278" s="974">
        <f t="shared" si="568"/>
        <v>127.99491177013257</v>
      </c>
      <c r="GY278" s="535"/>
      <c r="GZ278" s="535">
        <f t="shared" si="658"/>
        <v>0</v>
      </c>
      <c r="HA278" s="535" t="str">
        <f t="shared" si="659"/>
        <v/>
      </c>
      <c r="HB278" s="535">
        <f>IF(GK278="P",Lookup!$N$12,IF(GK278="PP",Lookup!$N$13,IF(GK278="PPP",Lookup!$N$14,IF(GK278="T",Lookup!$N$15,IF(GK278="TP",Lookup!$N$16,IF(GK278="TPP",Lookup!$N$17,IF(GK278="TPPP",Lookup!$N$18,0)))))))*GJ278</f>
        <v>0</v>
      </c>
      <c r="HC278" s="521">
        <f t="shared" si="625"/>
        <v>0</v>
      </c>
      <c r="HD278" s="535">
        <f t="shared" si="626"/>
        <v>286.36099212989467</v>
      </c>
      <c r="HE278" s="535">
        <f t="shared" si="662"/>
        <v>93.338002649900474</v>
      </c>
      <c r="HF278" s="535"/>
      <c r="HG278" s="535">
        <f t="shared" si="660"/>
        <v>0</v>
      </c>
      <c r="HH278" s="535" t="str">
        <f t="shared" si="661"/>
        <v/>
      </c>
      <c r="HI278" s="535">
        <f>IF(GK278="P",Lookup!$N$12,IF(GK278="PP",Lookup!$N$13,IF(GK278="PPP",Lookup!$N$14,IF(GK278="T",Lookup!$N$15,IF(GK278="TP",Lookup!$N$16,IF(GK278="TPP",Lookup!$N$17,IF(GK278="TPPP",Lookup!$N$18,0)))))))*GJ278</f>
        <v>0</v>
      </c>
      <c r="HJ278" s="521">
        <f t="shared" si="627"/>
        <v>0</v>
      </c>
      <c r="HK278" s="535">
        <f t="shared" si="628"/>
        <v>476.24035278769156</v>
      </c>
      <c r="HL278" s="535">
        <f t="shared" si="663"/>
        <v>155.22827665830886</v>
      </c>
      <c r="HM278" s="535"/>
      <c r="HN278" s="541"/>
      <c r="HO278" s="541"/>
      <c r="HP278" s="541"/>
      <c r="HQ278" s="541">
        <f>IF(AND(B278&gt;=$FV$4,B278&lt;=$FW$4),MAX(110/1.02+$HQ$6+MIN(113/1.02,G278),IF($HV$6-(Sheet1!DA276-Sheet1!DB276)+MIN(113/1.02,G278)&lt;G278+FL278,$HV$6-(Sheet1!DA276-Sheet1!DB276)+MIN(113/1.02,G278),G278+FL278)),MIN(110/1.02+$HQ$6+113/1.02,G278))</f>
        <v>218.62745098039215</v>
      </c>
      <c r="HR278" s="541">
        <f t="shared" si="679"/>
        <v>223</v>
      </c>
      <c r="HS278" s="541">
        <f>HR278+(Sheet1!DA276-Sheet1!DB276)</f>
        <v>395</v>
      </c>
      <c r="HT278" s="541">
        <f t="shared" si="680"/>
        <v>78.377149315068493</v>
      </c>
      <c r="HU278" s="541">
        <f t="shared" si="681"/>
        <v>316.62285068493151</v>
      </c>
      <c r="HV278" s="541">
        <f t="shared" si="682"/>
        <v>0</v>
      </c>
      <c r="HW278" s="533" t="str">
        <f t="shared" si="683"/>
        <v/>
      </c>
      <c r="HX278" s="541">
        <f t="shared" si="684"/>
        <v>191.84704901960782</v>
      </c>
      <c r="HY278" s="541">
        <f>Sheet1!CZ276</f>
        <v>436</v>
      </c>
      <c r="HZ278" s="541">
        <f t="shared" si="685"/>
        <v>25.525499999999997</v>
      </c>
      <c r="IA278" s="541">
        <f t="shared" si="686"/>
        <v>78.377149315068493</v>
      </c>
      <c r="IB278" s="541">
        <f t="shared" si="687"/>
        <v>410.47449999999998</v>
      </c>
      <c r="IC278" s="1019" t="str">
        <f t="shared" si="688"/>
        <v/>
      </c>
      <c r="ID278" s="541">
        <f t="shared" si="689"/>
        <v>332.09735068493148</v>
      </c>
      <c r="IE278" s="541">
        <f>Sheet1!DB276</f>
        <v>322</v>
      </c>
      <c r="IF278" s="533">
        <f>Sheet1!DA276</f>
        <v>494</v>
      </c>
      <c r="IH278" s="541">
        <f>IF(AND($B278&gt;=$GC278,$B278&lt;=$GH278,$DR278&lt;0)+N("only adjusted when pool is drawn down during storage season"),Sheet1!$DB276+$DR278+N("Palmer minus all storage release"),Sheet1!$DB276)</f>
        <v>2.4841149769758317</v>
      </c>
      <c r="II278" s="541">
        <f>IF(AND($B278&gt;=$GC278,$B278&lt;=$GH278,$DR278&lt;0)+N("only adjusted when pool is drawn down during storage season"),Sheet1!$DA276+$DR278+N("Auburn minus all storage release"),Sheet1!$DA276)</f>
        <v>174.48411497697583</v>
      </c>
    </row>
    <row r="279" spans="1:243" x14ac:dyDescent="0.25">
      <c r="A279" s="553" t="s">
        <v>4</v>
      </c>
      <c r="B279" s="531">
        <v>43003</v>
      </c>
      <c r="C279" s="536">
        <v>0</v>
      </c>
      <c r="D279" s="506">
        <f t="shared" si="633"/>
        <v>300</v>
      </c>
      <c r="E279" s="506">
        <f t="shared" si="634"/>
        <v>250</v>
      </c>
      <c r="F279" s="506">
        <v>250</v>
      </c>
      <c r="G279" s="535">
        <f>DR279+Sheet1!CZ277</f>
        <v>115.45083207197848</v>
      </c>
      <c r="H279" s="1074">
        <f t="shared" si="690"/>
        <v>0</v>
      </c>
      <c r="I279" s="534">
        <f>IF(Sheet1!DA277&gt;=E279,(Sheet1!DA277-E279+P279)*CFStoMGD,0)</f>
        <v>224.99030841599998</v>
      </c>
      <c r="J279" s="995">
        <f>IF(Sheet1!DB277&gt;=D279,(Sheet1!DB277-D279+P279)*CFStoMGD,0)</f>
        <v>71.793508415999995</v>
      </c>
      <c r="K279" s="818">
        <f t="shared" si="665"/>
        <v>0</v>
      </c>
      <c r="L279" s="535">
        <f>Sheet1!AA277+Sheet1!AB277-Sheet1!L277+(Sheet1!DA277-F279)*CFStoMGD-S279-T279-U279</f>
        <v>208.58025434001027</v>
      </c>
      <c r="M279" s="535">
        <f t="shared" si="569"/>
        <v>76.119966208353432</v>
      </c>
      <c r="N279" s="824">
        <f>IF(Sheet1!DA277&gt;=F279,MIN(113*CFStoMGD,MIN(MAX(L279,0),MAX(M279,0))),0)</f>
        <v>73.043199999999999</v>
      </c>
      <c r="O279" s="538">
        <f>Sheet1!AA277+Sheet1!AB277</f>
        <v>67.27</v>
      </c>
      <c r="P279" s="538">
        <f t="shared" si="570"/>
        <v>104.06668999999999</v>
      </c>
      <c r="Q279" s="812">
        <f t="shared" si="666"/>
        <v>50.858654340010268</v>
      </c>
      <c r="R279" s="812">
        <f t="shared" si="635"/>
        <v>16.5</v>
      </c>
      <c r="S279" s="812">
        <f t="shared" si="636"/>
        <v>0</v>
      </c>
      <c r="T279" s="812">
        <f t="shared" si="637"/>
        <v>0</v>
      </c>
      <c r="U279" s="812">
        <f>IF(AND(B279&gt;=FV279,B279&lt;=FW279),ED279+Sheet1!EH277,0)</f>
        <v>16.411345659989728</v>
      </c>
      <c r="V279" s="812"/>
      <c r="W279" s="812">
        <f t="shared" si="638"/>
        <v>0</v>
      </c>
      <c r="X279" s="812">
        <f t="shared" si="639"/>
        <v>0</v>
      </c>
      <c r="Y279" s="812" t="str">
        <f t="shared" si="640"/>
        <v>FALSE</v>
      </c>
      <c r="Z279" s="812">
        <f t="shared" si="641"/>
        <v>67.27</v>
      </c>
      <c r="AA279" s="812">
        <f t="shared" si="642"/>
        <v>67.27</v>
      </c>
      <c r="AB279" s="1059">
        <f t="shared" si="667"/>
        <v>78.678338263995883</v>
      </c>
      <c r="AC279" s="538">
        <f>Sheet1!Y277*MGDtoCFS</f>
        <v>43.934799999999996</v>
      </c>
      <c r="AD279" s="538">
        <f>Sheet1!Z277*MGDtoCFS</f>
        <v>58.631299999999996</v>
      </c>
      <c r="AE279" s="538">
        <f>Sheet1!AA277*MGDtoCFS</f>
        <v>43.934799999999996</v>
      </c>
      <c r="AF279" s="538">
        <f>Sheet1!AB277*MGDtoCFS</f>
        <v>60.131889999999991</v>
      </c>
      <c r="AG279" s="538">
        <f>Sheet1!L277*MGDtoCFS</f>
        <v>0</v>
      </c>
      <c r="AH279" s="521">
        <f t="shared" si="571"/>
        <v>16.517362609142268</v>
      </c>
      <c r="AI279" s="1059">
        <f t="shared" si="572"/>
        <v>25.552359956343086</v>
      </c>
      <c r="AJ279" s="535">
        <f t="shared" si="573"/>
        <v>0</v>
      </c>
      <c r="AK279" s="535">
        <f t="shared" si="574"/>
        <v>0</v>
      </c>
      <c r="AL279" s="535">
        <f>(VLOOKUP(Sheet1!DC277,hhdcap_wcm,4)-(((VLOOKUP(Sheet1!DC277,hhdcap_wcm,3)-Sheet1!DC277)/(VLOOKUP(Sheet1!DC277,hhdcap_wcm,3)-VLOOKUP(Sheet1!DC277,hhdcap_wcm,1)))*(VLOOKUP(Sheet1!DC277,hhdcap_wcm,4)-VLOOKUP(Sheet1!DC277,hhdcap_wcm,2))))</f>
        <v>21400.900000055048</v>
      </c>
      <c r="AM279" s="535">
        <f t="shared" si="575"/>
        <v>-629.70000000126674</v>
      </c>
      <c r="AN279" s="1035">
        <f t="shared" si="576"/>
        <v>785.27881872253579</v>
      </c>
      <c r="AO279" s="535">
        <f t="shared" si="577"/>
        <v>2409.2354158407397</v>
      </c>
      <c r="AP279" s="535">
        <f>Sheet1!BA277+Sheet1!BB277+Sheet1!BN277+CD279</f>
        <v>23</v>
      </c>
      <c r="AQ279" s="535">
        <f>Sheet1!BN277+(DO279*Sheet1!BN277)</f>
        <v>22.958654340010273</v>
      </c>
      <c r="AR279" s="535">
        <f>Sheet1!BA277+CD279</f>
        <v>0</v>
      </c>
      <c r="AS279" s="535">
        <f>Sheet1!BA277+Sheet1!BB277+CD279</f>
        <v>0</v>
      </c>
      <c r="AT279" s="649">
        <f>0</f>
        <v>0</v>
      </c>
      <c r="AU279" s="974">
        <f>BA279+MAX(Sheet1!EH277,(O279-Q279-ED279-S279))</f>
        <v>0.5</v>
      </c>
      <c r="AV279" s="535">
        <f>IF(OR(B279&gt;=GD279,B279&lt;GC279),0,15/36*K279-MAX(0,64.6-(137.6-(Sheet1!AA277+Sheet1!AB277))))</f>
        <v>0</v>
      </c>
      <c r="AW279" s="1029"/>
      <c r="AX279" s="649"/>
      <c r="AY279" s="649">
        <f t="shared" si="668"/>
        <v>23.311716569431731</v>
      </c>
      <c r="AZ279" s="649">
        <f t="shared" si="669"/>
        <v>0</v>
      </c>
      <c r="BA279" s="1059">
        <f t="shared" si="670"/>
        <v>0</v>
      </c>
      <c r="BB279" s="1019">
        <f t="shared" si="578"/>
        <v>424.73499025333615</v>
      </c>
      <c r="BC279" s="1041">
        <f t="shared" si="671"/>
        <v>0</v>
      </c>
      <c r="BD279" s="1019">
        <f ca="1">IF(B279&gt;(Summary!$A$1-1),#N/A,BB279*MGtoAF)</f>
        <v>1303.0869500972353</v>
      </c>
      <c r="BE279" s="535">
        <f>Sheet1!BG277+Sheet1!BH277+Sheet1!BI277-BM279</f>
        <v>4.93</v>
      </c>
      <c r="BF279" s="535">
        <f t="shared" si="579"/>
        <v>4.9211376476630715</v>
      </c>
      <c r="BG279" s="535">
        <f>IF(Sheet1!EP277="FM",BM279,0)</f>
        <v>0</v>
      </c>
      <c r="BH279" s="535">
        <f t="shared" si="580"/>
        <v>0</v>
      </c>
      <c r="BI279" s="535">
        <f>IF(Sheet1!EP277="OTHER",BM279,0)</f>
        <v>0</v>
      </c>
      <c r="BJ279" s="535">
        <f t="shared" si="581"/>
        <v>0</v>
      </c>
      <c r="BK279" s="535">
        <f t="shared" si="582"/>
        <v>4.93</v>
      </c>
      <c r="BL279" s="535">
        <f t="shared" si="583"/>
        <v>4.9211376476630715</v>
      </c>
      <c r="BM279" s="535">
        <f>IF(OR(Sheet1!EP277="FM", Sheet1!EP277="OTHER"),SUM(Sheet1!BG277:'Sheet1'!BI277),0)</f>
        <v>0</v>
      </c>
      <c r="BN279" s="521">
        <f>IF(AND($B279&gt;=$FV279,$B279&lt;=$FW279),MAX(BF279,Sheet1!EI277,0),MAX(BF279-(7/36)*$K279,0))</f>
        <v>5</v>
      </c>
      <c r="BO279" s="535">
        <f t="shared" si="584"/>
        <v>0</v>
      </c>
      <c r="BP279" s="521">
        <f t="shared" si="585"/>
        <v>0</v>
      </c>
      <c r="BQ279" s="521">
        <f>IF(AND($O279&gt;0,Sheet1!EM277=1),(1-($O279-Sheet1!$L277)/$O279)*BL279,0)</f>
        <v>0</v>
      </c>
      <c r="BR279" s="521">
        <f>IF(AND(Sheet1!$L277=0,Sheet1!$L276=0, Calculation!BK279&lt;Sheet1!$EI277-0.1,Sheet1!$EI277=Sheet1!$EI276,Sheet1!$EI277=Sheet1!$EI278),BL279-BQ279,BL279-BQ279)</f>
        <v>4.9211376476630715</v>
      </c>
      <c r="BS279" s="1035" t="str">
        <f t="shared" si="672"/>
        <v/>
      </c>
      <c r="BT279" s="1035">
        <f t="shared" si="673"/>
        <v>0</v>
      </c>
      <c r="BU279" s="535">
        <f t="shared" si="586"/>
        <v>122.99491177013257</v>
      </c>
      <c r="BV279" s="535"/>
      <c r="BW279" s="535">
        <f ca="1">IF(B279&gt;(Summary!$A$1-1),#N/A,BU279*MGtoAF)</f>
        <v>377.34838931076672</v>
      </c>
      <c r="BX279" s="535">
        <f>Sheet1!BC277+Sheet1!BD277+Sheet1!BE277+Sheet1!BF277-CG279-CH279</f>
        <v>3.9800000000000004</v>
      </c>
      <c r="BY279" s="535">
        <f t="shared" si="587"/>
        <v>3.9728454031843867</v>
      </c>
      <c r="BZ279" s="535">
        <f>IF(Sheet1!EQ277="FM",CH279,0)</f>
        <v>0</v>
      </c>
      <c r="CA279" s="535">
        <f t="shared" si="588"/>
        <v>0</v>
      </c>
      <c r="CB279" s="535">
        <f>IF(Sheet1!EQ277="OTHER",CH279,0)</f>
        <v>0</v>
      </c>
      <c r="CC279" s="535">
        <f t="shared" si="589"/>
        <v>0</v>
      </c>
      <c r="CD279" s="535">
        <f t="shared" si="590"/>
        <v>0</v>
      </c>
      <c r="CE279" s="535">
        <f t="shared" si="591"/>
        <v>3.9800000000000004</v>
      </c>
      <c r="CF279" s="535">
        <f t="shared" si="592"/>
        <v>3.9728454031843867</v>
      </c>
      <c r="CG279" s="535">
        <f>IF(Sheet1!EQ277="CWA",SUM(Sheet1!BC277:'Sheet1'!BF277),0)</f>
        <v>0</v>
      </c>
      <c r="CH279" s="535">
        <f>IF(OR(Sheet1!EQ277="FM", Sheet1!EQ277="OTHER"),SUM(Sheet1!BC277:'Sheet1'!BF277),0)</f>
        <v>0</v>
      </c>
      <c r="CI279" s="521">
        <f>IF(AND($B279&gt;=$FV279,$B279&lt;=$FW279),MAX(CF279,Sheet1!EJ277,0),MAX(CF279-(7/36)*$K279,0))</f>
        <v>4</v>
      </c>
      <c r="CJ279" s="535">
        <f t="shared" si="593"/>
        <v>0</v>
      </c>
      <c r="CK279" s="521">
        <f t="shared" si="594"/>
        <v>0</v>
      </c>
      <c r="CL279" s="521">
        <f>IF(AND($O279&gt;0,Sheet1!EN277=1),(1-($O279-Sheet1!$L277)/$O279)*CF279,0)</f>
        <v>0</v>
      </c>
      <c r="CM279" s="521">
        <f>IF(AND(Sheet1!$L277=0,Sheet1!$L276=0, Calculation!CE279&lt;Sheet1!EJ277-0.1,Sheet1!EJ277=Sheet1!EJ276,Sheet1!EJ277=Sheet1!EJ278),CF279-CL279,CF279-CL279)</f>
        <v>3.9728454031843867</v>
      </c>
      <c r="CN279" s="1040" t="str">
        <f t="shared" si="674"/>
        <v/>
      </c>
      <c r="CO279" s="1035">
        <f t="shared" si="675"/>
        <v>0</v>
      </c>
      <c r="CP279" s="535">
        <f t="shared" si="595"/>
        <v>89.338002649900474</v>
      </c>
      <c r="CQ279" s="535"/>
      <c r="CR279" s="535">
        <f ca="1">IF(B279&gt;(Summary!$A$1-1),#N/A,CP279*MGtoAF)</f>
        <v>274.08899212989468</v>
      </c>
      <c r="CS279" s="535">
        <f>Sheet1!BK277+Sheet1!BL277+Sheet1!BM277-Sheet1!ER277-DA279</f>
        <v>7.0299999999999994</v>
      </c>
      <c r="CT279" s="535">
        <f t="shared" si="596"/>
        <v>7.0173626091422694</v>
      </c>
      <c r="CU279" s="535">
        <f>IF(Sheet1!ER277="FM",DA279,0)</f>
        <v>0</v>
      </c>
      <c r="CV279" s="535">
        <f t="shared" si="597"/>
        <v>0</v>
      </c>
      <c r="CW279" s="535">
        <f>IF(Sheet1!ER277="OTHER",DA279,0)</f>
        <v>0</v>
      </c>
      <c r="CX279" s="535">
        <f t="shared" si="598"/>
        <v>0</v>
      </c>
      <c r="CY279" s="535">
        <f t="shared" si="629"/>
        <v>7.0299999999999994</v>
      </c>
      <c r="CZ279" s="535">
        <f t="shared" si="630"/>
        <v>7.0173626091422694</v>
      </c>
      <c r="DA279" s="535">
        <f>IF(OR(Sheet1!ER277="FM", Sheet1!ER277="OTHER"),SUM(Sheet1!BK277:'Sheet1'!BM277),0)</f>
        <v>0</v>
      </c>
      <c r="DB279" s="1011">
        <f>IF(AND($B279&gt;=$FV279,$B279&lt;=$FW279),MAX($CT279,Sheet1!EK277,0),MAX($CT279-(7/36)*$K279,0))</f>
        <v>7.0173626091422694</v>
      </c>
      <c r="DC279" s="1012">
        <f t="shared" si="601"/>
        <v>0</v>
      </c>
      <c r="DD279" s="1011">
        <f t="shared" si="602"/>
        <v>0</v>
      </c>
      <c r="DE279" s="521">
        <f>IF(AND($O279&gt;0,Sheet1!EO277=1),(1-($O279-Sheet1!$L277)/$O279)*CZ279,0)</f>
        <v>0</v>
      </c>
      <c r="DF279" s="521">
        <f>IF(AND(Sheet1!$L277=0,Sheet1!$L276=0, Calculation!CY279&lt;Sheet1!$EK277-0.1,Sheet1!$EK277=Sheet1!$EK276,Sheet1!$EK277=Sheet1!$EK278),CZ279-DE279,CZ279-DE279)</f>
        <v>7.0173626091422694</v>
      </c>
      <c r="DG279" s="1040">
        <f t="shared" si="676"/>
        <v>0</v>
      </c>
      <c r="DH279" s="649">
        <f t="shared" si="603"/>
        <v>15.94</v>
      </c>
      <c r="DI279" s="535">
        <f t="shared" si="604"/>
        <v>148.21091404916658</v>
      </c>
      <c r="DJ279" s="649">
        <f t="shared" si="605"/>
        <v>15.911345659989728</v>
      </c>
      <c r="DK279" s="535">
        <f ca="1">IF(B279&gt;(Summary!$A$1-1),#N/A,DI279*MGtoAF)</f>
        <v>454.71108430284306</v>
      </c>
      <c r="DL279" s="649">
        <f t="shared" si="606"/>
        <v>15.94</v>
      </c>
      <c r="DM279" s="535">
        <f t="shared" si="607"/>
        <v>38.94</v>
      </c>
      <c r="DN279" s="535">
        <f>Sheet1!AB277-DM279</f>
        <v>-7.0000000000000284E-2</v>
      </c>
      <c r="DO279" s="743">
        <f t="shared" si="608"/>
        <v>-1.7976373908577372E-3</v>
      </c>
      <c r="DP279" s="535">
        <f>(VLOOKUP(Sheet1!DC277,hhdcap_wcm,4)-(((VLOOKUP(Sheet1!DC277,hhdcap_wcm,3)-Sheet1!DC277)/(VLOOKUP(Sheet1!DC277,hhdcap_wcm,3)-VLOOKUP(Sheet1!DC277,hhdcap_wcm,1)))*(VLOOKUP(Sheet1!DC277,hhdcap_wcm,4)-VLOOKUP(Sheet1!DC277,hhdcap_wcm,2))))</f>
        <v>21400.900000055048</v>
      </c>
      <c r="DQ279" s="535">
        <f t="shared" si="609"/>
        <v>-629.70000000126674</v>
      </c>
      <c r="DR279" s="535">
        <f t="shared" si="610"/>
        <v>-317.54916792802152</v>
      </c>
      <c r="DS279" s="535">
        <f>Sheet1!EA277*AFtoMG</f>
        <v>0</v>
      </c>
      <c r="DT279" s="535">
        <f>Sheet1!EB277*AFtoMG</f>
        <v>0</v>
      </c>
      <c r="DU279" s="535">
        <f>Sheet1!EC277*AFtoMG</f>
        <v>0</v>
      </c>
      <c r="DV279" s="535">
        <f>Sheet1!ED277*AFtoMG</f>
        <v>0</v>
      </c>
      <c r="DW279" s="535">
        <f t="shared" si="611"/>
        <v>0</v>
      </c>
      <c r="DX279" s="535">
        <f t="shared" si="612"/>
        <v>0</v>
      </c>
      <c r="DY279" s="535">
        <f t="shared" si="613"/>
        <v>785.27881872253579</v>
      </c>
      <c r="DZ279" s="535">
        <f t="shared" si="614"/>
        <v>2409.2354158407397</v>
      </c>
      <c r="EA279" s="535"/>
      <c r="EB279" s="521">
        <f>IF(OR(B279&lt;FV279,B279&gt;FW279),(MIN(BF279+BY279+CT279+MAX(Sheet1!AA277+AQ279-73,0),K279)),0)</f>
        <v>0</v>
      </c>
      <c r="EC279" s="535"/>
      <c r="ED279" s="535">
        <f t="shared" si="615"/>
        <v>15.911345659989728</v>
      </c>
      <c r="EE279" s="535"/>
      <c r="EF279" s="535">
        <f>Sheet1!EH277+Sheet1!EI277+Sheet1!EJ277+Sheet1!EK277</f>
        <v>16.5</v>
      </c>
      <c r="EG279" s="1019">
        <f t="shared" si="677"/>
        <v>25.525499999999997</v>
      </c>
      <c r="EH279" s="521">
        <f t="shared" si="616"/>
        <v>0</v>
      </c>
      <c r="EI279" s="535">
        <f>IF(Sheet1!ET277=1,SUM('Calculations II'!AT279:BA279)+'Calculations II'!BC279+Sheet1!BV277+'Calculations II'!BE279+AP279,'Calculations II'!BK279)</f>
        <v>52.370370340010268</v>
      </c>
      <c r="EJ279" s="535">
        <f ca="1">EI279+'Calculations II'!D279+'Calculations II'!E279+'Calculations II'!O279</f>
        <v>52.047024742581158</v>
      </c>
      <c r="EK279" s="535"/>
      <c r="EL279" s="535"/>
      <c r="EM279" s="535">
        <f t="shared" si="617"/>
        <v>43003</v>
      </c>
      <c r="EN279" s="535">
        <f t="shared" si="618"/>
        <v>-16.517362609142268</v>
      </c>
      <c r="EO279" s="535">
        <f t="shared" si="619"/>
        <v>-25.552359956343086</v>
      </c>
      <c r="EP279" s="535">
        <v>0</v>
      </c>
      <c r="EQ279" s="535">
        <v>0</v>
      </c>
      <c r="ER279" s="535">
        <v>0</v>
      </c>
      <c r="ES279" s="521">
        <f t="shared" si="643"/>
        <v>0.8311970515786633</v>
      </c>
      <c r="ET279" s="535">
        <f>-(VLOOKUP(Sheet1!BQ277,Lookup!$O$4:$Q$262,2)-VLOOKUP(Sheet1!BQ276,Lookup!$O$4:$Q$262,2))/1000000</f>
        <v>0.41553122738184406</v>
      </c>
      <c r="EU279" s="535">
        <f>-(VLOOKUP(Sheet1!BR277,Lookup!$O$4:$Q$262,3)-VLOOKUP(Sheet1!BR276,Lookup!$O$4:$Q$262,3))/1000000</f>
        <v>0.41566582419681919</v>
      </c>
      <c r="EV279" s="535"/>
      <c r="EW279" s="535"/>
      <c r="EX279" s="535"/>
      <c r="EY279" s="535"/>
      <c r="EZ279" s="535"/>
      <c r="FA279" s="535"/>
      <c r="FB279" s="535"/>
      <c r="FC279" s="535"/>
      <c r="FD279" s="567">
        <f t="shared" si="632"/>
        <v>1118.1390243901837</v>
      </c>
      <c r="FE279" s="567" t="e">
        <f t="shared" si="620"/>
        <v>#N/A</v>
      </c>
      <c r="FF279" s="568" t="e">
        <f t="shared" si="621"/>
        <v>#N/A</v>
      </c>
      <c r="FG279" s="569" t="s">
        <v>656</v>
      </c>
      <c r="FH279" s="569" t="s">
        <v>656</v>
      </c>
      <c r="FI279" s="567" t="e">
        <v>#N/A</v>
      </c>
      <c r="FJ279" s="725">
        <v>10500</v>
      </c>
      <c r="FK279" s="535"/>
      <c r="FL279" s="1015">
        <f t="shared" si="631"/>
        <v>109.43015632879475</v>
      </c>
      <c r="FM279" s="535"/>
      <c r="FN279" s="535"/>
      <c r="FO279" s="535">
        <f>O279+((Sheet1!CS277)*GPMtoMGD)</f>
        <v>67.27</v>
      </c>
      <c r="FP279" s="535">
        <f>IF(Sheet1!AA277+AQ279&lt;=Calculation!N279,AQ279,Calculation!N279-Sheet1!AA277)</f>
        <v>22.958654340010273</v>
      </c>
      <c r="FQ279" s="535">
        <f>(Sheet1!BP277+Sheet1!BO277)/694.4</f>
        <v>1.7312788018433181</v>
      </c>
      <c r="FR279" s="541"/>
      <c r="FS279" s="541"/>
      <c r="FT279" s="541"/>
      <c r="FU279" s="541"/>
      <c r="FV279" s="1109">
        <f t="shared" si="644"/>
        <v>42918</v>
      </c>
      <c r="FW279" s="1109">
        <f t="shared" si="645"/>
        <v>43027</v>
      </c>
      <c r="FX279" s="541"/>
      <c r="FY279" s="541">
        <f>Sheet1!DA277-Sheet1!CZ277-Sheet1!AE277</f>
        <v>-43.066689999999994</v>
      </c>
      <c r="FZ279" s="535">
        <f t="shared" si="678"/>
        <v>-0.37303057264368455</v>
      </c>
      <c r="GA279" s="535"/>
      <c r="GB279" s="535" t="str">
        <f t="shared" si="646"/>
        <v>n</v>
      </c>
      <c r="GC279" s="539">
        <f t="shared" si="647"/>
        <v>42782</v>
      </c>
      <c r="GD279" s="1109">
        <f t="shared" si="648"/>
        <v>42904</v>
      </c>
      <c r="GE279" s="535">
        <f t="shared" si="664"/>
        <v>6520</v>
      </c>
      <c r="GF279" s="1109">
        <f t="shared" si="649"/>
        <v>42909</v>
      </c>
      <c r="GG279" s="535">
        <f t="shared" si="691"/>
        <v>3260</v>
      </c>
      <c r="GH279" s="539">
        <f t="shared" si="650"/>
        <v>43040</v>
      </c>
      <c r="GJ279" s="521">
        <f t="shared" si="651"/>
        <v>0</v>
      </c>
      <c r="GK279" s="535" t="str">
        <f t="shared" si="622"/>
        <v/>
      </c>
      <c r="GL279" s="535">
        <f t="shared" si="652"/>
        <v>0</v>
      </c>
      <c r="GM279" s="535" t="str">
        <f t="shared" si="653"/>
        <v/>
      </c>
      <c r="GN279" s="535">
        <f>IF(GK279="P",Lookup!$M$12,IF(GK279="PP",Lookup!$M$13,IF(GK279="PPP",Lookup!$M$14,IF(GK279="T",Lookup!$M$15,IF(GK279="TP",Lookup!$M$16,IF(GK279="TPP",Lookup!$M$17,IF(GK279="TPPP",Lookup!$M$18,0)))))))*GJ279</f>
        <v>0</v>
      </c>
      <c r="GO279" s="535">
        <f t="shared" si="654"/>
        <v>0</v>
      </c>
      <c r="GP279" s="535">
        <f t="shared" si="623"/>
        <v>1303.0869500972353</v>
      </c>
      <c r="GQ279" s="974">
        <f t="shared" si="567"/>
        <v>424.73499025333615</v>
      </c>
      <c r="GR279" s="535"/>
      <c r="GS279" s="535">
        <f t="shared" si="655"/>
        <v>0</v>
      </c>
      <c r="GT279" s="535" t="str">
        <f t="shared" si="656"/>
        <v/>
      </c>
      <c r="GU279" s="535">
        <f>IF(GK279="P",Lookup!$N$12,IF(GK279="PP",Lookup!$N$13,IF(GK279="PPP",Lookup!$N$14,IF(GK279="T",Lookup!$N$15,IF(GK279="TP",Lookup!$N$16,IF(GK279="TPP",Lookup!$N$17,IF(GK279="TPPP",Lookup!$N$18,0)))))))*GJ279</f>
        <v>0</v>
      </c>
      <c r="GV279" s="535">
        <f t="shared" si="657"/>
        <v>0</v>
      </c>
      <c r="GW279" s="535">
        <f t="shared" si="624"/>
        <v>377.34838931076672</v>
      </c>
      <c r="GX279" s="974">
        <f t="shared" si="568"/>
        <v>122.99491177013257</v>
      </c>
      <c r="GY279" s="535"/>
      <c r="GZ279" s="535">
        <f t="shared" si="658"/>
        <v>0</v>
      </c>
      <c r="HA279" s="535" t="str">
        <f t="shared" si="659"/>
        <v/>
      </c>
      <c r="HB279" s="535">
        <f>IF(GK279="P",Lookup!$N$12,IF(GK279="PP",Lookup!$N$13,IF(GK279="PPP",Lookup!$N$14,IF(GK279="T",Lookup!$N$15,IF(GK279="TP",Lookup!$N$16,IF(GK279="TPP",Lookup!$N$17,IF(GK279="TPPP",Lookup!$N$18,0)))))))*GJ279</f>
        <v>0</v>
      </c>
      <c r="HC279" s="521">
        <f t="shared" si="625"/>
        <v>0</v>
      </c>
      <c r="HD279" s="535">
        <f t="shared" si="626"/>
        <v>274.08899212989468</v>
      </c>
      <c r="HE279" s="535">
        <f t="shared" si="662"/>
        <v>89.338002649900474</v>
      </c>
      <c r="HF279" s="535"/>
      <c r="HG279" s="535">
        <f t="shared" si="660"/>
        <v>0</v>
      </c>
      <c r="HH279" s="535" t="str">
        <f t="shared" si="661"/>
        <v/>
      </c>
      <c r="HI279" s="535">
        <f>IF(GK279="P",Lookup!$N$12,IF(GK279="PP",Lookup!$N$13,IF(GK279="PPP",Lookup!$N$14,IF(GK279="T",Lookup!$N$15,IF(GK279="TP",Lookup!$N$16,IF(GK279="TPP",Lookup!$N$17,IF(GK279="TPPP",Lookup!$N$18,0)))))))*GJ279</f>
        <v>0</v>
      </c>
      <c r="HJ279" s="521">
        <f t="shared" si="627"/>
        <v>0</v>
      </c>
      <c r="HK279" s="535">
        <f t="shared" si="628"/>
        <v>454.71108430284306</v>
      </c>
      <c r="HL279" s="535">
        <f t="shared" si="663"/>
        <v>148.21091404916658</v>
      </c>
      <c r="HM279" s="535"/>
      <c r="HN279" s="541"/>
      <c r="HO279" s="541"/>
      <c r="HP279" s="541"/>
      <c r="HQ279" s="541">
        <f>IF(AND(B279&gt;=$FV$4,B279&lt;=$FW$4),MAX(110/1.02+$HQ$6+MIN(113/1.02,G279),IF($HV$6-(Sheet1!DA277-Sheet1!DB277)+MIN(113/1.02,G279)&lt;G279+FL279,$HV$6-(Sheet1!DA277-Sheet1!DB277)+MIN(113/1.02,G279),G279+FL279)),MIN(110/1.02+$HQ$6+113/1.02,G279))</f>
        <v>218.62745098039215</v>
      </c>
      <c r="HR279" s="541">
        <f t="shared" si="679"/>
        <v>223</v>
      </c>
      <c r="HS279" s="541">
        <f>HR279+(Sheet1!DA277-Sheet1!DB277)</f>
        <v>410</v>
      </c>
      <c r="HT279" s="541">
        <f t="shared" si="680"/>
        <v>78.678338263995883</v>
      </c>
      <c r="HU279" s="541">
        <f t="shared" si="681"/>
        <v>331.3216617360041</v>
      </c>
      <c r="HV279" s="541">
        <f t="shared" si="682"/>
        <v>0</v>
      </c>
      <c r="HW279" s="533" t="str">
        <f t="shared" si="683"/>
        <v/>
      </c>
      <c r="HX279" s="541">
        <f t="shared" si="684"/>
        <v>188.82018906326476</v>
      </c>
      <c r="HY279" s="541">
        <f>Sheet1!CZ277</f>
        <v>433</v>
      </c>
      <c r="HZ279" s="541">
        <f t="shared" si="685"/>
        <v>25.552359956343086</v>
      </c>
      <c r="IA279" s="541">
        <f t="shared" si="686"/>
        <v>78.678338263995883</v>
      </c>
      <c r="IB279" s="541">
        <f t="shared" si="687"/>
        <v>407.44764004365692</v>
      </c>
      <c r="IC279" s="1019" t="str">
        <f t="shared" si="688"/>
        <v/>
      </c>
      <c r="ID279" s="541">
        <f t="shared" si="689"/>
        <v>328.76930177966102</v>
      </c>
      <c r="IE279" s="541">
        <f>Sheet1!DB277</f>
        <v>307</v>
      </c>
      <c r="IF279" s="533">
        <f>Sheet1!DA277</f>
        <v>494</v>
      </c>
      <c r="IH279" s="541">
        <f>IF(AND($B279&gt;=$GC279,$B279&lt;=$GH279,$DR279&lt;0)+N("only adjusted when pool is drawn down during storage season"),Sheet1!$DB277+$DR279+N("Palmer minus all storage release"),Sheet1!$DB277)</f>
        <v>-10.549167928021518</v>
      </c>
      <c r="II279" s="541">
        <f>IF(AND($B279&gt;=$GC279,$B279&lt;=$GH279,$DR279&lt;0)+N("only adjusted when pool is drawn down during storage season"),Sheet1!$DA277+$DR279+N("Auburn minus all storage release"),Sheet1!$DA277)</f>
        <v>176.45083207197848</v>
      </c>
    </row>
    <row r="280" spans="1:243" x14ac:dyDescent="0.25">
      <c r="A280" s="553" t="s">
        <v>5</v>
      </c>
      <c r="B280" s="531">
        <v>43004</v>
      </c>
      <c r="C280" s="536">
        <v>0</v>
      </c>
      <c r="D280" s="506">
        <f t="shared" si="633"/>
        <v>300</v>
      </c>
      <c r="E280" s="506">
        <f t="shared" si="634"/>
        <v>250</v>
      </c>
      <c r="F280" s="506">
        <v>250</v>
      </c>
      <c r="G280" s="535">
        <f>DR280+Sheet1!CZ278</f>
        <v>131.93040847091544</v>
      </c>
      <c r="H280" s="1074">
        <f t="shared" si="690"/>
        <v>0</v>
      </c>
      <c r="I280" s="534">
        <f>IF(Sheet1!DA278&gt;=E280,(Sheet1!DA278-E280+P280)*CFStoMGD,0)</f>
        <v>226.98027020799998</v>
      </c>
      <c r="J280" s="995">
        <f>IF(Sheet1!DB278&gt;=D280,(Sheet1!DB278-D280+P280)*CFStoMGD,0)</f>
        <v>91.882670207999993</v>
      </c>
      <c r="K280" s="818">
        <f t="shared" si="665"/>
        <v>0</v>
      </c>
      <c r="L280" s="535">
        <f>Sheet1!AA278+Sheet1!AB278-Sheet1!L278+(Sheet1!DA278-F280)*CFStoMGD-S280-T280-U280</f>
        <v>210.5788440752504</v>
      </c>
      <c r="M280" s="535">
        <f t="shared" si="569"/>
        <v>86.985412356311741</v>
      </c>
      <c r="N280" s="824">
        <f>IF(Sheet1!DA278&gt;=F280,MIN(113*CFStoMGD,MIN(MAX(L280,0),MAX(M280,0))),0)</f>
        <v>73.043199999999999</v>
      </c>
      <c r="O280" s="538">
        <f>Sheet1!AA278+Sheet1!AB278</f>
        <v>69.259999999999991</v>
      </c>
      <c r="P280" s="538">
        <f t="shared" si="570"/>
        <v>107.14521999999999</v>
      </c>
      <c r="Q280" s="812">
        <f t="shared" si="666"/>
        <v>52.857244075250421</v>
      </c>
      <c r="R280" s="812">
        <f t="shared" si="635"/>
        <v>16.5</v>
      </c>
      <c r="S280" s="812">
        <f t="shared" si="636"/>
        <v>0</v>
      </c>
      <c r="T280" s="812">
        <f t="shared" si="637"/>
        <v>0</v>
      </c>
      <c r="U280" s="812">
        <f>IF(AND(B280&gt;=FV280,B280&lt;=FW280),ED280+Sheet1!EH278,0)</f>
        <v>16.40275592474957</v>
      </c>
      <c r="V280" s="812"/>
      <c r="W280" s="812">
        <f t="shared" si="638"/>
        <v>0</v>
      </c>
      <c r="X280" s="812">
        <f t="shared" si="639"/>
        <v>0</v>
      </c>
      <c r="Y280" s="812" t="str">
        <f t="shared" si="640"/>
        <v>FALSE</v>
      </c>
      <c r="Z280" s="812">
        <f t="shared" si="641"/>
        <v>69.259999999999991</v>
      </c>
      <c r="AA280" s="812">
        <f t="shared" si="642"/>
        <v>69.259999999999991</v>
      </c>
      <c r="AB280" s="1059">
        <f t="shared" si="667"/>
        <v>81.770156584412391</v>
      </c>
      <c r="AC280" s="538">
        <f>Sheet1!Y278*MGDtoCFS</f>
        <v>43.934799999999996</v>
      </c>
      <c r="AD280" s="538">
        <f>Sheet1!Z278*MGDtoCFS</f>
        <v>60.131889999999991</v>
      </c>
      <c r="AE280" s="538">
        <f>Sheet1!AA278*MGDtoCFS</f>
        <v>43.934799999999996</v>
      </c>
      <c r="AF280" s="538">
        <f>Sheet1!AB278*MGDtoCFS</f>
        <v>63.210419999999999</v>
      </c>
      <c r="AG280" s="538">
        <f>Sheet1!L278*MGDtoCFS</f>
        <v>0</v>
      </c>
      <c r="AH280" s="521">
        <f t="shared" si="571"/>
        <v>16.507994136330318</v>
      </c>
      <c r="AI280" s="1059">
        <f t="shared" si="572"/>
        <v>25.537866928903</v>
      </c>
      <c r="AJ280" s="535">
        <f t="shared" si="573"/>
        <v>0</v>
      </c>
      <c r="AK280" s="535">
        <f t="shared" si="574"/>
        <v>0</v>
      </c>
      <c r="AL280" s="535">
        <f>(VLOOKUP(Sheet1!DC278,hhdcap_wcm,4)-(((VLOOKUP(Sheet1!DC278,hhdcap_wcm,3)-Sheet1!DC278)/(VLOOKUP(Sheet1!DC278,hhdcap_wcm,3)-VLOOKUP(Sheet1!DC278,hhdcap_wcm,1)))*(VLOOKUP(Sheet1!DC278,hhdcap_wcm,4)-VLOOKUP(Sheet1!DC278,hhdcap_wcm,2))))</f>
        <v>20778.100000052873</v>
      </c>
      <c r="AM280" s="535">
        <f t="shared" si="575"/>
        <v>-622.80000000217478</v>
      </c>
      <c r="AN280" s="1035">
        <f t="shared" si="576"/>
        <v>605.77082458620544</v>
      </c>
      <c r="AO280" s="535">
        <f t="shared" si="577"/>
        <v>1858.5048898304783</v>
      </c>
      <c r="AP280" s="535">
        <f>Sheet1!BA278+Sheet1!BB278+Sheet1!BN278+CD280</f>
        <v>25</v>
      </c>
      <c r="AQ280" s="535">
        <f>Sheet1!BN278+(DO280*Sheet1!BN278)</f>
        <v>24.957244075250426</v>
      </c>
      <c r="AR280" s="535">
        <f>Sheet1!BA278+CD280</f>
        <v>0</v>
      </c>
      <c r="AS280" s="535">
        <f>Sheet1!BA278+Sheet1!BB278+CD280</f>
        <v>0</v>
      </c>
      <c r="AT280" s="649">
        <f>0</f>
        <v>0</v>
      </c>
      <c r="AU280" s="974">
        <f>BA280+MAX(Sheet1!EH278,(O280-Q280-ED280-S280))</f>
        <v>0.5</v>
      </c>
      <c r="AV280" s="535">
        <f>IF(OR(B280&gt;=GD280,B280&lt;GC280),0,15/36*K280-MAX(0,64.6-(137.6-(Sheet1!AA278+Sheet1!AB278))))</f>
        <v>0</v>
      </c>
      <c r="AW280" s="1029"/>
      <c r="AX280" s="649"/>
      <c r="AY280" s="649">
        <f t="shared" si="668"/>
        <v>23.311716569431731</v>
      </c>
      <c r="AZ280" s="649">
        <f t="shared" si="669"/>
        <v>0</v>
      </c>
      <c r="BA280" s="1059">
        <f t="shared" si="670"/>
        <v>0</v>
      </c>
      <c r="BB280" s="1019">
        <f t="shared" si="578"/>
        <v>261.23499025333615</v>
      </c>
      <c r="BC280" s="1041">
        <f t="shared" si="671"/>
        <v>0</v>
      </c>
      <c r="BD280" s="1019">
        <f ca="1">IF(B280&gt;(Summary!$A$1-1),#N/A,BB280*MGtoAF)</f>
        <v>801.46895009723528</v>
      </c>
      <c r="BE280" s="535">
        <f>Sheet1!BG278+Sheet1!BH278+Sheet1!BI278-BM280</f>
        <v>4.93</v>
      </c>
      <c r="BF280" s="535">
        <f t="shared" si="579"/>
        <v>4.9215685316393838</v>
      </c>
      <c r="BG280" s="535">
        <f>IF(Sheet1!EP278="FM",BM280,0)</f>
        <v>0</v>
      </c>
      <c r="BH280" s="535">
        <f t="shared" si="580"/>
        <v>0</v>
      </c>
      <c r="BI280" s="535">
        <f>IF(Sheet1!EP278="OTHER",BM280,0)</f>
        <v>0</v>
      </c>
      <c r="BJ280" s="535">
        <f t="shared" si="581"/>
        <v>0</v>
      </c>
      <c r="BK280" s="535">
        <f t="shared" si="582"/>
        <v>4.93</v>
      </c>
      <c r="BL280" s="535">
        <f t="shared" si="583"/>
        <v>4.9215685316393838</v>
      </c>
      <c r="BM280" s="535">
        <f>IF(OR(Sheet1!EP278="FM", Sheet1!EP278="OTHER"),SUM(Sheet1!BG278:'Sheet1'!BI278),0)</f>
        <v>0</v>
      </c>
      <c r="BN280" s="521">
        <f>IF(AND($B280&gt;=$FV280,$B280&lt;=$FW280),MAX(BF280,Sheet1!EI278,0),MAX(BF280-(7/36)*$K280,0))</f>
        <v>5</v>
      </c>
      <c r="BO280" s="535">
        <f t="shared" si="584"/>
        <v>0</v>
      </c>
      <c r="BP280" s="521">
        <f t="shared" si="585"/>
        <v>0</v>
      </c>
      <c r="BQ280" s="521">
        <f>IF(AND($O280&gt;0,Sheet1!EM278=1),(1-($O280-Sheet1!$L278)/$O280)*BL280,0)</f>
        <v>0</v>
      </c>
      <c r="BR280" s="521">
        <f>IF(AND(Sheet1!$L278=0,Sheet1!$L277=0, Calculation!BK280&lt;Sheet1!$EI278-0.1,Sheet1!$EI278=Sheet1!$EI277,Sheet1!$EI278=Sheet1!$EI279),BL280-BQ280,BL280-BQ280)</f>
        <v>4.9215685316393838</v>
      </c>
      <c r="BS280" s="1035" t="str">
        <f t="shared" si="672"/>
        <v/>
      </c>
      <c r="BT280" s="1035">
        <f t="shared" si="673"/>
        <v>0</v>
      </c>
      <c r="BU280" s="535">
        <f t="shared" si="586"/>
        <v>117.99491177013257</v>
      </c>
      <c r="BV280" s="535"/>
      <c r="BW280" s="535">
        <f ca="1">IF(B280&gt;(Summary!$A$1-1),#N/A,BU280*MGtoAF)</f>
        <v>362.00838931076674</v>
      </c>
      <c r="BX280" s="535">
        <f>Sheet1!BC278+Sheet1!BD278+Sheet1!BE278+Sheet1!BF278-CG280-CH280</f>
        <v>3.9800000000000004</v>
      </c>
      <c r="BY280" s="535">
        <f t="shared" si="587"/>
        <v>3.9731932567798687</v>
      </c>
      <c r="BZ280" s="535">
        <f>IF(Sheet1!EQ278="FM",CH280,0)</f>
        <v>0</v>
      </c>
      <c r="CA280" s="535">
        <f t="shared" si="588"/>
        <v>0</v>
      </c>
      <c r="CB280" s="535">
        <f>IF(Sheet1!EQ278="OTHER",CH280,0)</f>
        <v>0</v>
      </c>
      <c r="CC280" s="535">
        <f t="shared" si="589"/>
        <v>0</v>
      </c>
      <c r="CD280" s="535">
        <f t="shared" si="590"/>
        <v>0</v>
      </c>
      <c r="CE280" s="535">
        <f t="shared" si="591"/>
        <v>3.9800000000000004</v>
      </c>
      <c r="CF280" s="535">
        <f t="shared" si="592"/>
        <v>3.9731932567798687</v>
      </c>
      <c r="CG280" s="535">
        <f>IF(Sheet1!EQ278="CWA",SUM(Sheet1!BC278:'Sheet1'!BF278),0)</f>
        <v>0</v>
      </c>
      <c r="CH280" s="535">
        <f>IF(OR(Sheet1!EQ278="FM", Sheet1!EQ278="OTHER"),SUM(Sheet1!BC278:'Sheet1'!BF278),0)</f>
        <v>0</v>
      </c>
      <c r="CI280" s="521">
        <f>IF(AND($B280&gt;=$FV280,$B280&lt;=$FW280),MAX(CF280,Sheet1!EJ278,0),MAX(CF280-(7/36)*$K280,0))</f>
        <v>4</v>
      </c>
      <c r="CJ280" s="535">
        <f t="shared" si="593"/>
        <v>0</v>
      </c>
      <c r="CK280" s="521">
        <f t="shared" si="594"/>
        <v>0</v>
      </c>
      <c r="CL280" s="521">
        <f>IF(AND($O280&gt;0,Sheet1!EN278=1),(1-($O280-Sheet1!$L278)/$O280)*CF280,0)</f>
        <v>0</v>
      </c>
      <c r="CM280" s="521">
        <f>IF(AND(Sheet1!$L278=0,Sheet1!$L277=0, Calculation!CE280&lt;Sheet1!EJ278-0.1,Sheet1!EJ278=Sheet1!EJ277,Sheet1!EJ278=Sheet1!EJ279),CF280-CL280,CF280-CL280)</f>
        <v>3.9731932567798687</v>
      </c>
      <c r="CN280" s="1040" t="str">
        <f t="shared" si="674"/>
        <v/>
      </c>
      <c r="CO280" s="1035">
        <f t="shared" si="675"/>
        <v>0</v>
      </c>
      <c r="CP280" s="535">
        <f t="shared" si="595"/>
        <v>85.338002649900474</v>
      </c>
      <c r="CQ280" s="535"/>
      <c r="CR280" s="535">
        <f ca="1">IF(B280&gt;(Summary!$A$1-1),#N/A,CP280*MGtoAF)</f>
        <v>261.81699212989469</v>
      </c>
      <c r="CS280" s="535">
        <f>Sheet1!BK278+Sheet1!BL278+Sheet1!BM278-Sheet1!ER278-DA280</f>
        <v>7.02</v>
      </c>
      <c r="CT280" s="535">
        <f t="shared" si="596"/>
        <v>7.0079941363303195</v>
      </c>
      <c r="CU280" s="535">
        <f>IF(Sheet1!ER278="FM",DA280,0)</f>
        <v>0</v>
      </c>
      <c r="CV280" s="535">
        <f t="shared" si="597"/>
        <v>0</v>
      </c>
      <c r="CW280" s="535">
        <f>IF(Sheet1!ER278="OTHER",DA280,0)</f>
        <v>0</v>
      </c>
      <c r="CX280" s="535">
        <f t="shared" si="598"/>
        <v>0</v>
      </c>
      <c r="CY280" s="535">
        <f t="shared" si="629"/>
        <v>7.02</v>
      </c>
      <c r="CZ280" s="535">
        <f t="shared" si="630"/>
        <v>7.0079941363303195</v>
      </c>
      <c r="DA280" s="535">
        <f>IF(OR(Sheet1!ER278="FM", Sheet1!ER278="OTHER"),SUM(Sheet1!BK278:'Sheet1'!BM278),0)</f>
        <v>0</v>
      </c>
      <c r="DB280" s="1011">
        <f>IF(AND($B280&gt;=$FV280,$B280&lt;=$FW280),MAX($CT280,Sheet1!EK278,0),MAX($CT280-(7/36)*$K280,0))</f>
        <v>7.0079941363303195</v>
      </c>
      <c r="DC280" s="1012">
        <f t="shared" si="601"/>
        <v>0</v>
      </c>
      <c r="DD280" s="1011">
        <f t="shared" si="602"/>
        <v>0</v>
      </c>
      <c r="DE280" s="521">
        <f>IF(AND($O280&gt;0,Sheet1!EO278=1),(1-($O280-Sheet1!$L278)/$O280)*CZ280,0)</f>
        <v>0</v>
      </c>
      <c r="DF280" s="521">
        <f>IF(AND(Sheet1!$L278=0,Sheet1!$L277=0, Calculation!CY280&lt;Sheet1!$EK278-0.1,Sheet1!$EK278=Sheet1!$EK277,Sheet1!$EK278=Sheet1!$EK279),CZ280-DE280,CZ280-DE280)</f>
        <v>7.0079941363303195</v>
      </c>
      <c r="DG280" s="1040">
        <f t="shared" si="676"/>
        <v>0</v>
      </c>
      <c r="DH280" s="649">
        <f t="shared" si="603"/>
        <v>15.93</v>
      </c>
      <c r="DI280" s="535">
        <f t="shared" si="604"/>
        <v>141.20291991283625</v>
      </c>
      <c r="DJ280" s="649">
        <f t="shared" si="605"/>
        <v>15.902755924749572</v>
      </c>
      <c r="DK280" s="535">
        <f ca="1">IF(B280&gt;(Summary!$A$1-1),#N/A,DI280*MGtoAF)</f>
        <v>433.21055829258165</v>
      </c>
      <c r="DL280" s="649">
        <f t="shared" si="606"/>
        <v>15.93</v>
      </c>
      <c r="DM280" s="535">
        <f t="shared" si="607"/>
        <v>40.93</v>
      </c>
      <c r="DN280" s="535">
        <f>Sheet1!AB278-DM280</f>
        <v>-7.0000000000000284E-2</v>
      </c>
      <c r="DO280" s="743">
        <f t="shared" si="608"/>
        <v>-1.7102369899829046E-3</v>
      </c>
      <c r="DP280" s="535">
        <f>(VLOOKUP(Sheet1!DC278,hhdcap_wcm,4)-(((VLOOKUP(Sheet1!DC278,hhdcap_wcm,3)-Sheet1!DC278)/(VLOOKUP(Sheet1!DC278,hhdcap_wcm,3)-VLOOKUP(Sheet1!DC278,hhdcap_wcm,1)))*(VLOOKUP(Sheet1!DC278,hhdcap_wcm,4)-VLOOKUP(Sheet1!DC278,hhdcap_wcm,2))))</f>
        <v>20778.100000052873</v>
      </c>
      <c r="DQ280" s="535">
        <f t="shared" si="609"/>
        <v>-622.80000000217478</v>
      </c>
      <c r="DR280" s="535">
        <f t="shared" si="610"/>
        <v>-314.06959152908456</v>
      </c>
      <c r="DS280" s="535">
        <f>Sheet1!EA278*AFtoMG</f>
        <v>-163</v>
      </c>
      <c r="DT280" s="535">
        <f>Sheet1!EB278*AFtoMG</f>
        <v>0</v>
      </c>
      <c r="DU280" s="535">
        <f>Sheet1!EC278*AFtoMG</f>
        <v>0</v>
      </c>
      <c r="DV280" s="535">
        <f>Sheet1!ED278*AFtoMG</f>
        <v>0</v>
      </c>
      <c r="DW280" s="535">
        <f t="shared" si="611"/>
        <v>-163</v>
      </c>
      <c r="DX280" s="535">
        <f t="shared" si="612"/>
        <v>-500.084</v>
      </c>
      <c r="DY280" s="535">
        <f t="shared" si="613"/>
        <v>605.77082458620544</v>
      </c>
      <c r="DZ280" s="535">
        <f t="shared" si="614"/>
        <v>1858.5048898304783</v>
      </c>
      <c r="EA280" s="535"/>
      <c r="EB280" s="521">
        <f>IF(OR(B280&lt;FV280,B280&gt;FW280),(MIN(BF280+BY280+CT280+MAX(Sheet1!AA278+AQ280-73,0),K280)),0)</f>
        <v>0</v>
      </c>
      <c r="EC280" s="535"/>
      <c r="ED280" s="535">
        <f t="shared" si="615"/>
        <v>15.902755924749572</v>
      </c>
      <c r="EE280" s="535"/>
      <c r="EF280" s="535">
        <f>Sheet1!EH278+Sheet1!EI278+Sheet1!EJ278+Sheet1!EK278</f>
        <v>16.5</v>
      </c>
      <c r="EG280" s="1019">
        <f t="shared" si="677"/>
        <v>25.525499999999997</v>
      </c>
      <c r="EH280" s="521">
        <f t="shared" si="616"/>
        <v>0</v>
      </c>
      <c r="EI280" s="535">
        <f>IF(Sheet1!ET278=1,SUM('Calculations II'!AT280:BA280)+'Calculations II'!BC280+Sheet1!BV278+'Calculations II'!BE280+AP280,'Calculations II'!BK280)</f>
        <v>53.490472075250437</v>
      </c>
      <c r="EJ280" s="535">
        <f ca="1">EI280+'Calculations II'!D280+'Calculations II'!E280+'Calculations II'!O280</f>
        <v>54.836717995536247</v>
      </c>
      <c r="EK280" s="535"/>
      <c r="EL280" s="535"/>
      <c r="EM280" s="535">
        <f t="shared" si="617"/>
        <v>43004</v>
      </c>
      <c r="EN280" s="535">
        <f t="shared" si="618"/>
        <v>-16.507994136330318</v>
      </c>
      <c r="EO280" s="535">
        <f t="shared" si="619"/>
        <v>-25.537866928903</v>
      </c>
      <c r="EP280" s="535">
        <v>0</v>
      </c>
      <c r="EQ280" s="535">
        <v>0</v>
      </c>
      <c r="ER280" s="535">
        <v>0</v>
      </c>
      <c r="ES280" s="521">
        <f t="shared" si="643"/>
        <v>-0.41560813984753936</v>
      </c>
      <c r="ET280" s="535">
        <f>-(VLOOKUP(Sheet1!BQ278,Lookup!$O$4:$Q$262,2)-VLOOKUP(Sheet1!BQ277,Lookup!$O$4:$Q$262,2))/1000000</f>
        <v>-0.13850400029706955</v>
      </c>
      <c r="EU280" s="535">
        <f>-(VLOOKUP(Sheet1!BR278,Lookup!$O$4:$Q$262,3)-VLOOKUP(Sheet1!BR277,Lookup!$O$4:$Q$262,3))/1000000</f>
        <v>-0.27710413955046981</v>
      </c>
      <c r="EV280" s="535"/>
      <c r="EW280" s="535"/>
      <c r="EX280" s="535"/>
      <c r="EY280" s="535"/>
      <c r="EZ280" s="535"/>
      <c r="FA280" s="535"/>
      <c r="FB280" s="535"/>
      <c r="FC280" s="535"/>
      <c r="FD280" s="567">
        <f t="shared" si="632"/>
        <v>1117.6024999999404</v>
      </c>
      <c r="FE280" s="567" t="e">
        <f t="shared" si="620"/>
        <v>#N/A</v>
      </c>
      <c r="FF280" s="568" t="e">
        <f t="shared" si="621"/>
        <v>#N/A</v>
      </c>
      <c r="FG280" s="569" t="s">
        <v>656</v>
      </c>
      <c r="FH280" s="569" t="s">
        <v>656</v>
      </c>
      <c r="FI280" s="567" t="e">
        <v>#N/A</v>
      </c>
      <c r="FJ280" s="725">
        <v>10283</v>
      </c>
      <c r="FK280" s="535"/>
      <c r="FL280" s="1015">
        <f t="shared" si="631"/>
        <v>109.43015632879475</v>
      </c>
      <c r="FM280" s="535"/>
      <c r="FN280" s="535"/>
      <c r="FO280" s="535">
        <f>O280+((Sheet1!CS278)*GPMtoMGD)</f>
        <v>69.259999999999991</v>
      </c>
      <c r="FP280" s="535">
        <f>IF(Sheet1!AA278+AQ280&lt;=Calculation!N280,AQ280,Calculation!N280-Sheet1!AA278)</f>
        <v>24.957244075250426</v>
      </c>
      <c r="FQ280" s="535">
        <f>(Sheet1!BP278+Sheet1!BO278)/694.4</f>
        <v>2.0188652073732722</v>
      </c>
      <c r="FR280" s="541"/>
      <c r="FS280" s="541"/>
      <c r="FT280" s="541"/>
      <c r="FU280" s="541"/>
      <c r="FV280" s="1109">
        <f t="shared" si="644"/>
        <v>42918</v>
      </c>
      <c r="FW280" s="1109">
        <f t="shared" si="645"/>
        <v>43027</v>
      </c>
      <c r="FX280" s="541"/>
      <c r="FY280" s="541">
        <f>Sheet1!DA278-Sheet1!CZ278-Sheet1!AE278</f>
        <v>-59.145219999999981</v>
      </c>
      <c r="FZ280" s="535">
        <f t="shared" si="678"/>
        <v>-0.44830619934780819</v>
      </c>
      <c r="GA280" s="535"/>
      <c r="GB280" s="535" t="str">
        <f t="shared" si="646"/>
        <v>n</v>
      </c>
      <c r="GC280" s="539">
        <f t="shared" si="647"/>
        <v>42782</v>
      </c>
      <c r="GD280" s="1109">
        <f t="shared" si="648"/>
        <v>42904</v>
      </c>
      <c r="GE280" s="535">
        <f t="shared" si="664"/>
        <v>6520</v>
      </c>
      <c r="GF280" s="1109">
        <f t="shared" si="649"/>
        <v>42909</v>
      </c>
      <c r="GG280" s="535">
        <f t="shared" si="691"/>
        <v>3260</v>
      </c>
      <c r="GH280" s="539">
        <f t="shared" si="650"/>
        <v>43040</v>
      </c>
      <c r="GJ280" s="521">
        <f t="shared" si="651"/>
        <v>0</v>
      </c>
      <c r="GK280" s="535" t="str">
        <f t="shared" si="622"/>
        <v/>
      </c>
      <c r="GL280" s="535">
        <f t="shared" si="652"/>
        <v>0</v>
      </c>
      <c r="GM280" s="535" t="str">
        <f t="shared" si="653"/>
        <v/>
      </c>
      <c r="GN280" s="535">
        <f>IF(GK280="P",Lookup!$M$12,IF(GK280="PP",Lookup!$M$13,IF(GK280="PPP",Lookup!$M$14,IF(GK280="T",Lookup!$M$15,IF(GK280="TP",Lookup!$M$16,IF(GK280="TPP",Lookup!$M$17,IF(GK280="TPPP",Lookup!$M$18,0)))))))*GJ280</f>
        <v>0</v>
      </c>
      <c r="GO280" s="535">
        <f t="shared" si="654"/>
        <v>0</v>
      </c>
      <c r="GP280" s="535">
        <f t="shared" si="623"/>
        <v>801.46895009723528</v>
      </c>
      <c r="GQ280" s="974">
        <f t="shared" si="567"/>
        <v>261.23499025333615</v>
      </c>
      <c r="GR280" s="535"/>
      <c r="GS280" s="535">
        <f t="shared" si="655"/>
        <v>0</v>
      </c>
      <c r="GT280" s="535" t="str">
        <f t="shared" si="656"/>
        <v/>
      </c>
      <c r="GU280" s="535">
        <f>IF(GK280="P",Lookup!$N$12,IF(GK280="PP",Lookup!$N$13,IF(GK280="PPP",Lookup!$N$14,IF(GK280="T",Lookup!$N$15,IF(GK280="TP",Lookup!$N$16,IF(GK280="TPP",Lookup!$N$17,IF(GK280="TPPP",Lookup!$N$18,0)))))))*GJ280</f>
        <v>0</v>
      </c>
      <c r="GV280" s="535">
        <f t="shared" si="657"/>
        <v>0</v>
      </c>
      <c r="GW280" s="535">
        <f t="shared" si="624"/>
        <v>362.00838931076674</v>
      </c>
      <c r="GX280" s="974">
        <f t="shared" si="568"/>
        <v>117.99491177013257</v>
      </c>
      <c r="GY280" s="535"/>
      <c r="GZ280" s="535">
        <f t="shared" si="658"/>
        <v>0</v>
      </c>
      <c r="HA280" s="535" t="str">
        <f t="shared" si="659"/>
        <v/>
      </c>
      <c r="HB280" s="535">
        <f>IF(GK280="P",Lookup!$N$12,IF(GK280="PP",Lookup!$N$13,IF(GK280="PPP",Lookup!$N$14,IF(GK280="T",Lookup!$N$15,IF(GK280="TP",Lookup!$N$16,IF(GK280="TPP",Lookup!$N$17,IF(GK280="TPPP",Lookup!$N$18,0)))))))*GJ280</f>
        <v>0</v>
      </c>
      <c r="HC280" s="521">
        <f t="shared" si="625"/>
        <v>0</v>
      </c>
      <c r="HD280" s="535">
        <f t="shared" si="626"/>
        <v>261.81699212989469</v>
      </c>
      <c r="HE280" s="535">
        <f t="shared" si="662"/>
        <v>85.338002649900474</v>
      </c>
      <c r="HF280" s="535"/>
      <c r="HG280" s="535">
        <f t="shared" si="660"/>
        <v>0</v>
      </c>
      <c r="HH280" s="535" t="str">
        <f t="shared" si="661"/>
        <v/>
      </c>
      <c r="HI280" s="535">
        <f>IF(GK280="P",Lookup!$N$12,IF(GK280="PP",Lookup!$N$13,IF(GK280="PPP",Lookup!$N$14,IF(GK280="T",Lookup!$N$15,IF(GK280="TP",Lookup!$N$16,IF(GK280="TPP",Lookup!$N$17,IF(GK280="TPPP",Lookup!$N$18,0)))))))*GJ280</f>
        <v>0</v>
      </c>
      <c r="HJ280" s="521">
        <f t="shared" si="627"/>
        <v>0</v>
      </c>
      <c r="HK280" s="535">
        <f t="shared" si="628"/>
        <v>433.21055829258165</v>
      </c>
      <c r="HL280" s="535">
        <f t="shared" si="663"/>
        <v>141.20291991283625</v>
      </c>
      <c r="HM280" s="535"/>
      <c r="HN280" s="541"/>
      <c r="HO280" s="541"/>
      <c r="HP280" s="541"/>
      <c r="HQ280" s="541">
        <f>IF(AND(B280&gt;=$FV$4,B280&lt;=$FW$4),MAX(110/1.02+$HQ$6+MIN(113/1.02,G280),IF($HV$6-(Sheet1!DA278-Sheet1!DB278)+MIN(113/1.02,G280)&lt;G280+FL280,$HV$6-(Sheet1!DA278-Sheet1!DB278)+MIN(113/1.02,G280),G280+FL280)),MIN(110/1.02+$HQ$6+113/1.02,G280))</f>
        <v>218.62745098039215</v>
      </c>
      <c r="HR280" s="541">
        <f t="shared" si="679"/>
        <v>223</v>
      </c>
      <c r="HS280" s="541">
        <f>HR280+(Sheet1!DA278-Sheet1!DB278)</f>
        <v>382</v>
      </c>
      <c r="HT280" s="541">
        <f t="shared" si="680"/>
        <v>81.770156584412391</v>
      </c>
      <c r="HU280" s="541">
        <f t="shared" si="681"/>
        <v>300.2298434155876</v>
      </c>
      <c r="HV280" s="541">
        <f t="shared" si="682"/>
        <v>0</v>
      </c>
      <c r="HW280" s="533" t="str">
        <f t="shared" si="683"/>
        <v/>
      </c>
      <c r="HX280" s="541">
        <f t="shared" si="684"/>
        <v>201.83468209070486</v>
      </c>
      <c r="HY280" s="541">
        <f>Sheet1!CZ278</f>
        <v>446</v>
      </c>
      <c r="HZ280" s="541">
        <f t="shared" si="685"/>
        <v>25.537866928903</v>
      </c>
      <c r="IA280" s="541">
        <f t="shared" si="686"/>
        <v>81.770156584412391</v>
      </c>
      <c r="IB280" s="541">
        <f t="shared" si="687"/>
        <v>420.46213307109701</v>
      </c>
      <c r="IC280" s="1019" t="str">
        <f t="shared" si="688"/>
        <v/>
      </c>
      <c r="ID280" s="541">
        <f t="shared" si="689"/>
        <v>338.69197648668461</v>
      </c>
      <c r="IE280" s="541">
        <f>Sheet1!DB278</f>
        <v>335</v>
      </c>
      <c r="IF280" s="533">
        <f>Sheet1!DA278</f>
        <v>494</v>
      </c>
      <c r="IH280" s="541">
        <f>IF(AND($B280&gt;=$GC280,$B280&lt;=$GH280,$DR280&lt;0)+N("only adjusted when pool is drawn down during storage season"),Sheet1!$DB278+$DR280+N("Palmer minus all storage release"),Sheet1!$DB278)</f>
        <v>20.930408470915438</v>
      </c>
      <c r="II280" s="541">
        <f>IF(AND($B280&gt;=$GC280,$B280&lt;=$GH280,$DR280&lt;0)+N("only adjusted when pool is drawn down during storage season"),Sheet1!$DA278+$DR280+N("Auburn minus all storage release"),Sheet1!$DA278)</f>
        <v>179.93040847091544</v>
      </c>
    </row>
    <row r="281" spans="1:243" x14ac:dyDescent="0.25">
      <c r="A281" s="553" t="s">
        <v>6</v>
      </c>
      <c r="B281" s="531">
        <v>43005</v>
      </c>
      <c r="C281" s="536">
        <v>0</v>
      </c>
      <c r="D281" s="506">
        <f t="shared" si="633"/>
        <v>300</v>
      </c>
      <c r="E281" s="506">
        <f t="shared" si="634"/>
        <v>250</v>
      </c>
      <c r="F281" s="506">
        <v>250</v>
      </c>
      <c r="G281" s="535">
        <f>DR281+Sheet1!CZ279</f>
        <v>122.70751386679677</v>
      </c>
      <c r="H281" s="1074">
        <f t="shared" si="690"/>
        <v>0</v>
      </c>
      <c r="I281" s="534">
        <f>IF(Sheet1!DA279&gt;=E281,(Sheet1!DA279-E281+P281)*CFStoMGD,0)</f>
        <v>234.36425254399995</v>
      </c>
      <c r="J281" s="995">
        <f>IF(Sheet1!DB279&gt;=D281,(Sheet1!DB279-D281+P281)*CFStoMGD,0)</f>
        <v>96.034652543999982</v>
      </c>
      <c r="K281" s="818">
        <f t="shared" si="665"/>
        <v>0</v>
      </c>
      <c r="L281" s="535">
        <f>Sheet1!AA279+Sheet1!AB279-Sheet1!L279+(Sheet1!DA279-F281)*CFStoMGD-S281-T281-U281</f>
        <v>217.99245224839399</v>
      </c>
      <c r="M281" s="535">
        <f t="shared" si="569"/>
        <v>80.904499702767382</v>
      </c>
      <c r="N281" s="824">
        <f>IF(Sheet1!DA279&gt;=F281,MIN(113*CFStoMGD,MIN(MAX(L281,0),MAX(M281,0))),0)</f>
        <v>73.043199999999999</v>
      </c>
      <c r="O281" s="538">
        <f>Sheet1!AA279+Sheet1!AB279</f>
        <v>70.180000000000007</v>
      </c>
      <c r="P281" s="538">
        <f t="shared" si="570"/>
        <v>108.56845999999999</v>
      </c>
      <c r="Q281" s="812">
        <f t="shared" si="666"/>
        <v>53.806852248394009</v>
      </c>
      <c r="R281" s="812">
        <f t="shared" si="635"/>
        <v>16.5</v>
      </c>
      <c r="S281" s="812">
        <f t="shared" si="636"/>
        <v>0</v>
      </c>
      <c r="T281" s="812">
        <f t="shared" si="637"/>
        <v>0</v>
      </c>
      <c r="U281" s="812">
        <f>IF(AND(B281&gt;=FV281,B281&lt;=FW281),ED281+Sheet1!EH279,0)</f>
        <v>16.373147751605998</v>
      </c>
      <c r="V281" s="812"/>
      <c r="W281" s="812">
        <f t="shared" si="638"/>
        <v>0</v>
      </c>
      <c r="X281" s="812">
        <f t="shared" si="639"/>
        <v>0</v>
      </c>
      <c r="Y281" s="812" t="str">
        <f t="shared" si="640"/>
        <v>FALSE</v>
      </c>
      <c r="Z281" s="812">
        <f t="shared" si="641"/>
        <v>70.180000000000007</v>
      </c>
      <c r="AA281" s="812">
        <f t="shared" si="642"/>
        <v>70.180000000000007</v>
      </c>
      <c r="AB281" s="1059">
        <f t="shared" si="667"/>
        <v>83.239200428265534</v>
      </c>
      <c r="AC281" s="538">
        <f>Sheet1!Y279*MGDtoCFS</f>
        <v>43.934799999999996</v>
      </c>
      <c r="AD281" s="538">
        <f>Sheet1!Z279*MGDtoCFS</f>
        <v>63.210419999999999</v>
      </c>
      <c r="AE281" s="538">
        <f>Sheet1!AA279*MGDtoCFS</f>
        <v>43.780099999999997</v>
      </c>
      <c r="AF281" s="538">
        <f>Sheet1!AB279*MGDtoCFS</f>
        <v>64.788359999999997</v>
      </c>
      <c r="AG281" s="538">
        <f>Sheet1!L279*MGDtoCFS</f>
        <v>0</v>
      </c>
      <c r="AH281" s="521">
        <f t="shared" si="571"/>
        <v>16.5</v>
      </c>
      <c r="AI281" s="1059">
        <f t="shared" si="572"/>
        <v>25.525499999999997</v>
      </c>
      <c r="AJ281" s="535">
        <f t="shared" si="573"/>
        <v>0</v>
      </c>
      <c r="AK281" s="535">
        <f t="shared" si="574"/>
        <v>0</v>
      </c>
      <c r="AL281" s="535">
        <f>(VLOOKUP(Sheet1!DC279,hhdcap_wcm,4)-(((VLOOKUP(Sheet1!DC279,hhdcap_wcm,3)-Sheet1!DC279)/(VLOOKUP(Sheet1!DC279,hhdcap_wcm,3)-VLOOKUP(Sheet1!DC279,hhdcap_wcm,1)))*(VLOOKUP(Sheet1!DC279,hhdcap_wcm,4)-VLOOKUP(Sheet1!DC279,hhdcap_wcm,2))))</f>
        <v>20103.300000050731</v>
      </c>
      <c r="AM281" s="535">
        <f t="shared" si="575"/>
        <v>-674.80000000214204</v>
      </c>
      <c r="AN281" s="1035">
        <f t="shared" si="576"/>
        <v>589.27082458620544</v>
      </c>
      <c r="AO281" s="535">
        <f t="shared" si="577"/>
        <v>1807.8828898304782</v>
      </c>
      <c r="AP281" s="535">
        <f>Sheet1!BA279+Sheet1!BB279+Sheet1!BN279+CD281</f>
        <v>26.1</v>
      </c>
      <c r="AQ281" s="535">
        <f>Sheet1!BN279+(DO281*Sheet1!BN279)</f>
        <v>26.006852248394008</v>
      </c>
      <c r="AR281" s="535">
        <f>Sheet1!BA279+CD281</f>
        <v>0</v>
      </c>
      <c r="AS281" s="535">
        <f>Sheet1!BA279+Sheet1!BB279+CD281</f>
        <v>0</v>
      </c>
      <c r="AT281" s="649">
        <f>0</f>
        <v>0</v>
      </c>
      <c r="AU281" s="974">
        <f>BA281+MAX(Sheet1!EH279,(O281-Q281-ED281-S281))</f>
        <v>0.50000000000000178</v>
      </c>
      <c r="AV281" s="535">
        <f>IF(OR(B281&gt;=GD281,B281&lt;GC281),0,15/36*K281-MAX(0,64.6-(137.6-(Sheet1!AA279+Sheet1!AB279))))</f>
        <v>0</v>
      </c>
      <c r="AW281" s="1029"/>
      <c r="AX281" s="649"/>
      <c r="AY281" s="649">
        <f t="shared" si="668"/>
        <v>23.311716569431731</v>
      </c>
      <c r="AZ281" s="649">
        <f t="shared" si="669"/>
        <v>0</v>
      </c>
      <c r="BA281" s="1059">
        <f t="shared" si="670"/>
        <v>0</v>
      </c>
      <c r="BB281" s="1019">
        <f t="shared" si="578"/>
        <v>260.73499025333615</v>
      </c>
      <c r="BC281" s="1041">
        <f t="shared" si="671"/>
        <v>0</v>
      </c>
      <c r="BD281" s="1019">
        <f ca="1">IF(B281&gt;(Summary!$A$1-1),#N/A,BB281*MGtoAF)</f>
        <v>799.93495009723529</v>
      </c>
      <c r="BE281" s="535">
        <f>Sheet1!BG279+Sheet1!BH279+Sheet1!BI279-BM281</f>
        <v>4.93</v>
      </c>
      <c r="BF281" s="535">
        <f t="shared" si="579"/>
        <v>4.9124054246966455</v>
      </c>
      <c r="BG281" s="535">
        <f>IF(Sheet1!EP279="FM",BM281,0)</f>
        <v>0</v>
      </c>
      <c r="BH281" s="535">
        <f t="shared" si="580"/>
        <v>0</v>
      </c>
      <c r="BI281" s="535">
        <f>IF(Sheet1!EP279="OTHER",BM281,0)</f>
        <v>0</v>
      </c>
      <c r="BJ281" s="535">
        <f t="shared" si="581"/>
        <v>0</v>
      </c>
      <c r="BK281" s="535">
        <f t="shared" si="582"/>
        <v>4.93</v>
      </c>
      <c r="BL281" s="535">
        <f t="shared" si="583"/>
        <v>4.9124054246966455</v>
      </c>
      <c r="BM281" s="535">
        <f>IF(OR(Sheet1!EP279="FM", Sheet1!EP279="OTHER"),SUM(Sheet1!BG279:'Sheet1'!BI279),0)</f>
        <v>0</v>
      </c>
      <c r="BN281" s="521">
        <f>IF(AND($B281&gt;=$FV281,$B281&lt;=$FW281),MAX(BF281,Sheet1!EI279,0),MAX(BF281-(7/36)*$K281,0))</f>
        <v>5</v>
      </c>
      <c r="BO281" s="535">
        <f t="shared" si="584"/>
        <v>0</v>
      </c>
      <c r="BP281" s="521">
        <f t="shared" si="585"/>
        <v>0</v>
      </c>
      <c r="BQ281" s="521">
        <f>IF(AND($O281&gt;0,Sheet1!EM279=1),(1-($O281-Sheet1!$L279)/$O281)*BL281,0)</f>
        <v>0</v>
      </c>
      <c r="BR281" s="521">
        <f>IF(AND(Sheet1!$L279=0,Sheet1!$L278=0, Calculation!BK281&lt;Sheet1!$EI279-0.1,Sheet1!$EI279=Sheet1!$EI278,Sheet1!$EI279=Sheet1!$EI280),BL281-BQ281,BL281-BQ281)</f>
        <v>4.9124054246966455</v>
      </c>
      <c r="BS281" s="1035" t="str">
        <f t="shared" si="672"/>
        <v/>
      </c>
      <c r="BT281" s="1035">
        <f t="shared" si="673"/>
        <v>0</v>
      </c>
      <c r="BU281" s="535">
        <f t="shared" si="586"/>
        <v>112.99491177013257</v>
      </c>
      <c r="BV281" s="535"/>
      <c r="BW281" s="535">
        <f ca="1">IF(B281&gt;(Summary!$A$1-1),#N/A,BU281*MGtoAF)</f>
        <v>346.66838931076677</v>
      </c>
      <c r="BX281" s="535">
        <f>Sheet1!BC279+Sheet1!BD279+Sheet1!BE279+Sheet1!BF279-CG281-CH281</f>
        <v>3.9800000000000004</v>
      </c>
      <c r="BY281" s="535">
        <f t="shared" si="587"/>
        <v>3.965795860099929</v>
      </c>
      <c r="BZ281" s="535">
        <f>IF(Sheet1!EQ279="FM",CH281,0)</f>
        <v>0</v>
      </c>
      <c r="CA281" s="535">
        <f t="shared" si="588"/>
        <v>0</v>
      </c>
      <c r="CB281" s="535">
        <f>IF(Sheet1!EQ279="OTHER",CH281,0)</f>
        <v>0</v>
      </c>
      <c r="CC281" s="535">
        <f t="shared" si="589"/>
        <v>0</v>
      </c>
      <c r="CD281" s="535">
        <f t="shared" si="590"/>
        <v>0</v>
      </c>
      <c r="CE281" s="535">
        <f t="shared" si="591"/>
        <v>3.9800000000000004</v>
      </c>
      <c r="CF281" s="535">
        <f t="shared" si="592"/>
        <v>3.965795860099929</v>
      </c>
      <c r="CG281" s="535">
        <f>IF(Sheet1!EQ279="CWA",SUM(Sheet1!BC279:'Sheet1'!BF279),0)</f>
        <v>0</v>
      </c>
      <c r="CH281" s="535">
        <f>IF(OR(Sheet1!EQ279="FM", Sheet1!EQ279="OTHER"),SUM(Sheet1!BC279:'Sheet1'!BF279),0)</f>
        <v>0</v>
      </c>
      <c r="CI281" s="521">
        <f>IF(AND($B281&gt;=$FV281,$B281&lt;=$FW281),MAX(CF281,Sheet1!EJ279,0),MAX(CF281-(7/36)*$K281,0))</f>
        <v>4</v>
      </c>
      <c r="CJ281" s="535">
        <f t="shared" si="593"/>
        <v>0</v>
      </c>
      <c r="CK281" s="521">
        <f t="shared" si="594"/>
        <v>0</v>
      </c>
      <c r="CL281" s="521">
        <f>IF(AND($O281&gt;0,Sheet1!EN279=1),(1-($O281-Sheet1!$L279)/$O281)*CF281,0)</f>
        <v>0</v>
      </c>
      <c r="CM281" s="521">
        <f>IF(AND(Sheet1!$L279=0,Sheet1!$L278=0, Calculation!CE281&lt;Sheet1!EJ279-0.1,Sheet1!EJ279=Sheet1!EJ278,Sheet1!EJ279=Sheet1!EJ280),CF281-CL281,CF281-CL281)</f>
        <v>3.965795860099929</v>
      </c>
      <c r="CN281" s="1040" t="str">
        <f t="shared" si="674"/>
        <v/>
      </c>
      <c r="CO281" s="1035">
        <f t="shared" si="675"/>
        <v>0</v>
      </c>
      <c r="CP281" s="535">
        <f t="shared" si="595"/>
        <v>81.338002649900474</v>
      </c>
      <c r="CQ281" s="535"/>
      <c r="CR281" s="535">
        <f ca="1">IF(B281&gt;(Summary!$A$1-1),#N/A,CP281*MGtoAF)</f>
        <v>249.54499212989467</v>
      </c>
      <c r="CS281" s="535">
        <f>Sheet1!BK279+Sheet1!BL279+Sheet1!BM279-Sheet1!ER279-DA281</f>
        <v>7.02</v>
      </c>
      <c r="CT281" s="535">
        <f t="shared" si="596"/>
        <v>6.9949464668094219</v>
      </c>
      <c r="CU281" s="535">
        <f>IF(Sheet1!ER279="FM",DA281,0)</f>
        <v>0</v>
      </c>
      <c r="CV281" s="535">
        <f t="shared" si="597"/>
        <v>0</v>
      </c>
      <c r="CW281" s="535">
        <f>IF(Sheet1!ER279="OTHER",DA281,0)</f>
        <v>0</v>
      </c>
      <c r="CX281" s="535">
        <f t="shared" si="598"/>
        <v>0</v>
      </c>
      <c r="CY281" s="535">
        <f t="shared" si="629"/>
        <v>7.02</v>
      </c>
      <c r="CZ281" s="535">
        <f t="shared" si="630"/>
        <v>6.9949464668094219</v>
      </c>
      <c r="DA281" s="535">
        <f>IF(OR(Sheet1!ER279="FM", Sheet1!ER279="OTHER"),SUM(Sheet1!BK279:'Sheet1'!BM279),0)</f>
        <v>0</v>
      </c>
      <c r="DB281" s="1011">
        <f>IF(AND($B281&gt;=$FV281,$B281&lt;=$FW281),MAX($CT281,Sheet1!EK279,0),MAX($CT281-(7/36)*$K281,0))</f>
        <v>7</v>
      </c>
      <c r="DC281" s="1012">
        <f t="shared" si="601"/>
        <v>0</v>
      </c>
      <c r="DD281" s="1011">
        <f t="shared" si="602"/>
        <v>0</v>
      </c>
      <c r="DE281" s="521">
        <f>IF(AND($O281&gt;0,Sheet1!EO279=1),(1-($O281-Sheet1!$L279)/$O281)*CZ281,0)</f>
        <v>0</v>
      </c>
      <c r="DF281" s="521">
        <f>IF(AND(Sheet1!$L279=0,Sheet1!$L278=0, Calculation!CY281&lt;Sheet1!$EK279-0.1,Sheet1!$EK279=Sheet1!$EK278,Sheet1!$EK279=Sheet1!$EK280),CZ281-DE281,CZ281-DE281)</f>
        <v>6.9949464668094219</v>
      </c>
      <c r="DG281" s="1040">
        <f t="shared" si="676"/>
        <v>0</v>
      </c>
      <c r="DH281" s="649">
        <f t="shared" si="603"/>
        <v>15.93</v>
      </c>
      <c r="DI281" s="535">
        <f t="shared" si="604"/>
        <v>134.20291991283625</v>
      </c>
      <c r="DJ281" s="649">
        <f t="shared" si="605"/>
        <v>15.873147751605996</v>
      </c>
      <c r="DK281" s="535">
        <f ca="1">IF(B281&gt;(Summary!$A$1-1),#N/A,DI281*MGtoAF)</f>
        <v>411.73455829258165</v>
      </c>
      <c r="DL281" s="649">
        <f t="shared" si="606"/>
        <v>15.93</v>
      </c>
      <c r="DM281" s="535">
        <f t="shared" si="607"/>
        <v>42.03</v>
      </c>
      <c r="DN281" s="535">
        <f>Sheet1!AB279-DM281</f>
        <v>-0.14999999999999858</v>
      </c>
      <c r="DO281" s="743">
        <f t="shared" si="608"/>
        <v>-3.5688793718771966E-3</v>
      </c>
      <c r="DP281" s="535">
        <f>(VLOOKUP(Sheet1!DC279,hhdcap_wcm,4)-(((VLOOKUP(Sheet1!DC279,hhdcap_wcm,3)-Sheet1!DC279)/(VLOOKUP(Sheet1!DC279,hhdcap_wcm,3)-VLOOKUP(Sheet1!DC279,hhdcap_wcm,1)))*(VLOOKUP(Sheet1!DC279,hhdcap_wcm,4)-VLOOKUP(Sheet1!DC279,hhdcap_wcm,2))))</f>
        <v>20103.300000050731</v>
      </c>
      <c r="DQ281" s="535">
        <f t="shared" si="609"/>
        <v>-674.80000000214204</v>
      </c>
      <c r="DR281" s="535">
        <f t="shared" si="610"/>
        <v>-340.29248613320323</v>
      </c>
      <c r="DS281" s="535">
        <f>Sheet1!EA279*AFtoMG</f>
        <v>0</v>
      </c>
      <c r="DT281" s="535">
        <f>Sheet1!EB279*AFtoMG</f>
        <v>0</v>
      </c>
      <c r="DU281" s="535">
        <f>Sheet1!EC279*AFtoMG</f>
        <v>0</v>
      </c>
      <c r="DV281" s="535">
        <f>Sheet1!ED279*AFtoMG</f>
        <v>0</v>
      </c>
      <c r="DW281" s="535">
        <f t="shared" si="611"/>
        <v>0</v>
      </c>
      <c r="DX281" s="535">
        <f t="shared" si="612"/>
        <v>0</v>
      </c>
      <c r="DY281" s="535">
        <f t="shared" si="613"/>
        <v>589.27082458620544</v>
      </c>
      <c r="DZ281" s="535">
        <f t="shared" si="614"/>
        <v>1807.8828898304782</v>
      </c>
      <c r="EA281" s="535"/>
      <c r="EB281" s="521">
        <f>IF(OR(B281&lt;FV281,B281&gt;FW281),(MIN(BF281+BY281+CT281+MAX(Sheet1!AA279+AQ281-73,0),K281)),0)</f>
        <v>0</v>
      </c>
      <c r="EC281" s="535"/>
      <c r="ED281" s="535">
        <f t="shared" si="615"/>
        <v>15.873147751605996</v>
      </c>
      <c r="EE281" s="535"/>
      <c r="EF281" s="535">
        <f>Sheet1!EH279+Sheet1!EI279+Sheet1!EJ279+Sheet1!EK279</f>
        <v>16.5</v>
      </c>
      <c r="EG281" s="1019">
        <f t="shared" si="677"/>
        <v>25.525499999999997</v>
      </c>
      <c r="EH281" s="521">
        <f t="shared" si="616"/>
        <v>0</v>
      </c>
      <c r="EI281" s="535">
        <f>IF(Sheet1!ET279=1,SUM('Calculations II'!AT281:BA281)+'Calculations II'!BC281+Sheet1!BV279+'Calculations II'!BE281+AP281,'Calculations II'!BK281)</f>
        <v>56.155576248394013</v>
      </c>
      <c r="EJ281" s="535">
        <f ca="1">EI281+'Calculations II'!D281+'Calculations II'!E281+'Calculations II'!O281</f>
        <v>54.719627660018425</v>
      </c>
      <c r="EK281" s="535"/>
      <c r="EL281" s="535"/>
      <c r="EM281" s="535">
        <f t="shared" si="617"/>
        <v>43005</v>
      </c>
      <c r="EN281" s="535">
        <f t="shared" si="618"/>
        <v>-16.5</v>
      </c>
      <c r="EO281" s="535">
        <f t="shared" si="619"/>
        <v>-25.525499999999997</v>
      </c>
      <c r="EP281" s="535">
        <v>0</v>
      </c>
      <c r="EQ281" s="535">
        <v>0</v>
      </c>
      <c r="ER281" s="535">
        <v>0</v>
      </c>
      <c r="ES281" s="521">
        <f t="shared" si="643"/>
        <v>1.5236914204528444</v>
      </c>
      <c r="ET281" s="535">
        <f>-(VLOOKUP(Sheet1!BQ279,Lookup!$O$4:$Q$262,2)-VLOOKUP(Sheet1!BQ278,Lookup!$O$4:$Q$262,2))/1000000</f>
        <v>0.69245591663194073</v>
      </c>
      <c r="EU281" s="535">
        <f>-(VLOOKUP(Sheet1!BR279,Lookup!$O$4:$Q$262,3)-VLOOKUP(Sheet1!BR278,Lookup!$O$4:$Q$262,3))/1000000</f>
        <v>0.83123550382090361</v>
      </c>
      <c r="EV281" s="535"/>
      <c r="EW281" s="535"/>
      <c r="EX281" s="535"/>
      <c r="EY281" s="535"/>
      <c r="EZ281" s="535"/>
      <c r="FA281" s="535"/>
      <c r="FB281" s="535"/>
      <c r="FC281" s="535"/>
      <c r="FD281" s="567">
        <f t="shared" si="632"/>
        <v>1117.0634146340872</v>
      </c>
      <c r="FE281" s="567" t="e">
        <f t="shared" si="620"/>
        <v>#N/A</v>
      </c>
      <c r="FF281" s="568" t="e">
        <f t="shared" si="621"/>
        <v>#N/A</v>
      </c>
      <c r="FG281" s="569" t="s">
        <v>656</v>
      </c>
      <c r="FH281" s="569" t="s">
        <v>656</v>
      </c>
      <c r="FI281" s="567" t="e">
        <v>#N/A</v>
      </c>
      <c r="FJ281" s="725">
        <v>10066</v>
      </c>
      <c r="FK281" s="535"/>
      <c r="FL281" s="1015">
        <f t="shared" si="631"/>
        <v>108.92586989409985</v>
      </c>
      <c r="FM281" s="535"/>
      <c r="FN281" s="535"/>
      <c r="FO281" s="535">
        <f>O281+((Sheet1!CS279)*GPMtoMGD)</f>
        <v>70.180000000000007</v>
      </c>
      <c r="FP281" s="535">
        <f>IF(Sheet1!AA279+AQ281&lt;=Calculation!N281,AQ281,Calculation!N281-Sheet1!AA279)</f>
        <v>26.006852248394008</v>
      </c>
      <c r="FQ281" s="535">
        <f>(Sheet1!BP279+Sheet1!BO279)/694.4</f>
        <v>2.3633352534562215</v>
      </c>
      <c r="FR281" s="541"/>
      <c r="FS281" s="541"/>
      <c r="FT281" s="541"/>
      <c r="FU281" s="541"/>
      <c r="FV281" s="1109">
        <f t="shared" si="644"/>
        <v>42918</v>
      </c>
      <c r="FW281" s="1109">
        <f t="shared" si="645"/>
        <v>43027</v>
      </c>
      <c r="FX281" s="541"/>
      <c r="FY281" s="541">
        <f>Sheet1!DA279-Sheet1!CZ279-Sheet1!AE279</f>
        <v>-67.568460000000002</v>
      </c>
      <c r="FZ281" s="535">
        <f t="shared" si="678"/>
        <v>-0.5506464752708452</v>
      </c>
      <c r="GA281" s="535"/>
      <c r="GB281" s="535" t="str">
        <f t="shared" si="646"/>
        <v>n</v>
      </c>
      <c r="GC281" s="539">
        <f t="shared" si="647"/>
        <v>42782</v>
      </c>
      <c r="GD281" s="1109">
        <f t="shared" si="648"/>
        <v>42904</v>
      </c>
      <c r="GE281" s="535">
        <f t="shared" si="664"/>
        <v>6520</v>
      </c>
      <c r="GF281" s="1109">
        <f t="shared" si="649"/>
        <v>42909</v>
      </c>
      <c r="GG281" s="535">
        <f t="shared" si="691"/>
        <v>3260</v>
      </c>
      <c r="GH281" s="539">
        <f t="shared" si="650"/>
        <v>43040</v>
      </c>
      <c r="GJ281" s="521">
        <f t="shared" si="651"/>
        <v>0</v>
      </c>
      <c r="GK281" s="535" t="str">
        <f t="shared" si="622"/>
        <v/>
      </c>
      <c r="GL281" s="535">
        <f t="shared" si="652"/>
        <v>0</v>
      </c>
      <c r="GM281" s="535" t="str">
        <f t="shared" si="653"/>
        <v/>
      </c>
      <c r="GN281" s="535">
        <f>IF(GK281="P",Lookup!$M$12,IF(GK281="PP",Lookup!$M$13,IF(GK281="PPP",Lookup!$M$14,IF(GK281="T",Lookup!$M$15,IF(GK281="TP",Lookup!$M$16,IF(GK281="TPP",Lookup!$M$17,IF(GK281="TPPP",Lookup!$M$18,0)))))))*GJ281</f>
        <v>0</v>
      </c>
      <c r="GO281" s="535">
        <f t="shared" si="654"/>
        <v>0</v>
      </c>
      <c r="GP281" s="535">
        <f t="shared" si="623"/>
        <v>799.93495009723529</v>
      </c>
      <c r="GQ281" s="974">
        <f t="shared" si="567"/>
        <v>260.73499025333615</v>
      </c>
      <c r="GR281" s="535"/>
      <c r="GS281" s="535">
        <f t="shared" si="655"/>
        <v>0</v>
      </c>
      <c r="GT281" s="535" t="str">
        <f t="shared" si="656"/>
        <v/>
      </c>
      <c r="GU281" s="535">
        <f>IF(GK281="P",Lookup!$N$12,IF(GK281="PP",Lookup!$N$13,IF(GK281="PPP",Lookup!$N$14,IF(GK281="T",Lookup!$N$15,IF(GK281="TP",Lookup!$N$16,IF(GK281="TPP",Lookup!$N$17,IF(GK281="TPPP",Lookup!$N$18,0)))))))*GJ281</f>
        <v>0</v>
      </c>
      <c r="GV281" s="535">
        <f t="shared" si="657"/>
        <v>0</v>
      </c>
      <c r="GW281" s="535">
        <f t="shared" si="624"/>
        <v>346.66838931076677</v>
      </c>
      <c r="GX281" s="974">
        <f t="shared" si="568"/>
        <v>112.99491177013257</v>
      </c>
      <c r="GY281" s="535"/>
      <c r="GZ281" s="535">
        <f t="shared" si="658"/>
        <v>0</v>
      </c>
      <c r="HA281" s="535" t="str">
        <f t="shared" si="659"/>
        <v/>
      </c>
      <c r="HB281" s="535">
        <f>IF(GK281="P",Lookup!$N$12,IF(GK281="PP",Lookup!$N$13,IF(GK281="PPP",Lookup!$N$14,IF(GK281="T",Lookup!$N$15,IF(GK281="TP",Lookup!$N$16,IF(GK281="TPP",Lookup!$N$17,IF(GK281="TPPP",Lookup!$N$18,0)))))))*GJ281</f>
        <v>0</v>
      </c>
      <c r="HC281" s="521">
        <f t="shared" si="625"/>
        <v>0</v>
      </c>
      <c r="HD281" s="535">
        <f t="shared" si="626"/>
        <v>249.54499212989467</v>
      </c>
      <c r="HE281" s="535">
        <f t="shared" si="662"/>
        <v>81.338002649900474</v>
      </c>
      <c r="HF281" s="535"/>
      <c r="HG281" s="535">
        <f t="shared" si="660"/>
        <v>0</v>
      </c>
      <c r="HH281" s="535" t="str">
        <f t="shared" si="661"/>
        <v/>
      </c>
      <c r="HI281" s="535">
        <f>IF(GK281="P",Lookup!$N$12,IF(GK281="PP",Lookup!$N$13,IF(GK281="PPP",Lookup!$N$14,IF(GK281="T",Lookup!$N$15,IF(GK281="TP",Lookup!$N$16,IF(GK281="TPP",Lookup!$N$17,IF(GK281="TPPP",Lookup!$N$18,0)))))))*GJ281</f>
        <v>0</v>
      </c>
      <c r="HJ281" s="521">
        <f t="shared" si="627"/>
        <v>0</v>
      </c>
      <c r="HK281" s="535">
        <f t="shared" si="628"/>
        <v>411.73455829258165</v>
      </c>
      <c r="HL281" s="535">
        <f t="shared" si="663"/>
        <v>134.20291991283625</v>
      </c>
      <c r="HM281" s="535"/>
      <c r="HN281" s="541"/>
      <c r="HO281" s="541"/>
      <c r="HP281" s="541"/>
      <c r="HQ281" s="541">
        <f>IF(AND(B281&gt;=$FV$4,B281&lt;=$FW$4),MAX(110/1.02+$HQ$6+MIN(113/1.02,G281),IF($HV$6-(Sheet1!DA279-Sheet1!DB279)+MIN(113/1.02,G281)&lt;G281+FL281,$HV$6-(Sheet1!DA279-Sheet1!DB279)+MIN(113/1.02,G281),G281+FL281)),MIN(110/1.02+$HQ$6+113/1.02,G281))</f>
        <v>218.62745098039215</v>
      </c>
      <c r="HR281" s="541">
        <f t="shared" si="679"/>
        <v>223</v>
      </c>
      <c r="HS281" s="541">
        <f>HR281+(Sheet1!DA279-Sheet1!DB279)</f>
        <v>387</v>
      </c>
      <c r="HT281" s="541">
        <f t="shared" si="680"/>
        <v>83.239200428265534</v>
      </c>
      <c r="HU281" s="541">
        <f t="shared" si="681"/>
        <v>303.76079957173448</v>
      </c>
      <c r="HV281" s="541">
        <f t="shared" si="682"/>
        <v>0</v>
      </c>
      <c r="HW281" s="533" t="str">
        <f t="shared" si="683"/>
        <v/>
      </c>
      <c r="HX281" s="541">
        <f t="shared" si="684"/>
        <v>218.84704901960782</v>
      </c>
      <c r="HY281" s="541">
        <f>Sheet1!CZ279</f>
        <v>463</v>
      </c>
      <c r="HZ281" s="541">
        <f t="shared" si="685"/>
        <v>25.525499999999997</v>
      </c>
      <c r="IA281" s="541">
        <f t="shared" si="686"/>
        <v>83.239200428265534</v>
      </c>
      <c r="IB281" s="541">
        <f t="shared" si="687"/>
        <v>437.47449999999998</v>
      </c>
      <c r="IC281" s="1019" t="str">
        <f t="shared" si="688"/>
        <v/>
      </c>
      <c r="ID281" s="541">
        <f t="shared" si="689"/>
        <v>354.23529957173446</v>
      </c>
      <c r="IE281" s="541">
        <f>Sheet1!DB279</f>
        <v>340</v>
      </c>
      <c r="IF281" s="533">
        <f>Sheet1!DA279</f>
        <v>504</v>
      </c>
      <c r="IH281" s="541">
        <f>IF(AND($B281&gt;=$GC281,$B281&lt;=$GH281,$DR281&lt;0)+N("only adjusted when pool is drawn down during storage season"),Sheet1!$DB279+$DR281+N("Palmer minus all storage release"),Sheet1!$DB279)</f>
        <v>-0.29248613320322647</v>
      </c>
      <c r="II281" s="541">
        <f>IF(AND($B281&gt;=$GC281,$B281&lt;=$GH281,$DR281&lt;0)+N("only adjusted when pool is drawn down during storage season"),Sheet1!$DA279+$DR281+N("Auburn minus all storage release"),Sheet1!$DA279)</f>
        <v>163.70751386679677</v>
      </c>
    </row>
    <row r="282" spans="1:243" x14ac:dyDescent="0.25">
      <c r="A282" s="553" t="s">
        <v>7</v>
      </c>
      <c r="B282" s="531">
        <v>43006</v>
      </c>
      <c r="C282" s="536">
        <v>0</v>
      </c>
      <c r="D282" s="506">
        <f t="shared" si="633"/>
        <v>300</v>
      </c>
      <c r="E282" s="506">
        <f t="shared" si="634"/>
        <v>250</v>
      </c>
      <c r="F282" s="506">
        <v>250</v>
      </c>
      <c r="G282" s="535">
        <f>DR282+Sheet1!CZ280</f>
        <v>112.39536056373902</v>
      </c>
      <c r="H282" s="1074">
        <f t="shared" si="690"/>
        <v>0</v>
      </c>
      <c r="I282" s="534">
        <f>IF(Sheet1!DA280&gt;=E282,(Sheet1!DA280-E282+P282)*CFStoMGD,0)</f>
        <v>241.93823123199996</v>
      </c>
      <c r="J282" s="995">
        <f>IF(Sheet1!DB280&gt;=D282,(Sheet1!DB280-D282+P282)*CFStoMGD,0)</f>
        <v>95.205431231999995</v>
      </c>
      <c r="K282" s="818">
        <f t="shared" si="665"/>
        <v>0</v>
      </c>
      <c r="L282" s="535">
        <f>Sheet1!AA280+Sheet1!AB280-Sheet1!L280+(Sheet1!DA280-F282)*CFStoMGD-S282-T282-U282</f>
        <v>225.82416324248774</v>
      </c>
      <c r="M282" s="535">
        <f t="shared" si="569"/>
        <v>74.105408289768917</v>
      </c>
      <c r="N282" s="824">
        <f>IF(Sheet1!DA280&gt;=F282,MIN(113*CFStoMGD,MIN(MAX(L282,0),MAX(M282,0))),0)</f>
        <v>73.043199999999999</v>
      </c>
      <c r="O282" s="538">
        <f>Sheet1!AA280+Sheet1!AB280</f>
        <v>71.289999999999992</v>
      </c>
      <c r="P282" s="538">
        <f t="shared" si="570"/>
        <v>110.28563</v>
      </c>
      <c r="Q282" s="812">
        <f t="shared" si="666"/>
        <v>55.174563242487764</v>
      </c>
      <c r="R282" s="812">
        <f t="shared" si="635"/>
        <v>16.5</v>
      </c>
      <c r="S282" s="812">
        <f t="shared" si="636"/>
        <v>0</v>
      </c>
      <c r="T282" s="812">
        <f t="shared" si="637"/>
        <v>0</v>
      </c>
      <c r="U282" s="812">
        <f>IF(AND(B282&gt;=FV282,B282&lt;=FW282),ED282+Sheet1!EH280,0)</f>
        <v>16.115436757512231</v>
      </c>
      <c r="V282" s="812"/>
      <c r="W282" s="812">
        <f t="shared" si="638"/>
        <v>0</v>
      </c>
      <c r="X282" s="812">
        <f t="shared" si="639"/>
        <v>0</v>
      </c>
      <c r="Y282" s="812" t="str">
        <f t="shared" si="640"/>
        <v>FALSE</v>
      </c>
      <c r="Z282" s="812">
        <f t="shared" si="641"/>
        <v>71.289999999999992</v>
      </c>
      <c r="AA282" s="812">
        <f t="shared" si="642"/>
        <v>71.289999999999992</v>
      </c>
      <c r="AB282" s="1059">
        <f t="shared" si="667"/>
        <v>85.355049336128573</v>
      </c>
      <c r="AC282" s="538">
        <f>Sheet1!Y280*MGDtoCFS</f>
        <v>43.780099999999997</v>
      </c>
      <c r="AD282" s="538">
        <f>Sheet1!Z280*MGDtoCFS</f>
        <v>64.788359999999997</v>
      </c>
      <c r="AE282" s="538">
        <f>Sheet1!AA280*MGDtoCFS</f>
        <v>43.934799999999996</v>
      </c>
      <c r="AF282" s="538">
        <f>Sheet1!AB280*MGDtoCFS</f>
        <v>66.350830000000002</v>
      </c>
      <c r="AG282" s="538">
        <f>Sheet1!L280*MGDtoCFS</f>
        <v>0</v>
      </c>
      <c r="AH282" s="521">
        <f t="shared" si="571"/>
        <v>16.543431167016074</v>
      </c>
      <c r="AI282" s="1059">
        <f t="shared" si="572"/>
        <v>25.592688015373867</v>
      </c>
      <c r="AJ282" s="535">
        <f t="shared" si="573"/>
        <v>0</v>
      </c>
      <c r="AK282" s="535">
        <f t="shared" si="574"/>
        <v>0</v>
      </c>
      <c r="AL282" s="535">
        <f>(VLOOKUP(Sheet1!DC280,hhdcap_wcm,4)-(((VLOOKUP(Sheet1!DC280,hhdcap_wcm,3)-Sheet1!DC280)/(VLOOKUP(Sheet1!DC280,hhdcap_wcm,3)-VLOOKUP(Sheet1!DC280,hhdcap_wcm,1)))*(VLOOKUP(Sheet1!DC280,hhdcap_wcm,4)-VLOOKUP(Sheet1!DC280,hhdcap_wcm,2))))</f>
        <v>19414.000000048625</v>
      </c>
      <c r="AM282" s="535">
        <f t="shared" si="575"/>
        <v>-689.30000000210566</v>
      </c>
      <c r="AN282" s="1035">
        <f t="shared" si="576"/>
        <v>572.72739341918941</v>
      </c>
      <c r="AO282" s="535">
        <f t="shared" si="577"/>
        <v>1757.1276430100731</v>
      </c>
      <c r="AP282" s="535">
        <f>Sheet1!BA280+Sheet1!BB280+Sheet1!BN280+CD282</f>
        <v>27.3</v>
      </c>
      <c r="AQ282" s="535">
        <f>Sheet1!BN280+(DO282*Sheet1!BN280)</f>
        <v>27.274563242487773</v>
      </c>
      <c r="AR282" s="535">
        <f>Sheet1!BA280+CD282</f>
        <v>0</v>
      </c>
      <c r="AS282" s="535">
        <f>Sheet1!BA280+Sheet1!BB280+CD282</f>
        <v>0</v>
      </c>
      <c r="AT282" s="649">
        <f>0</f>
        <v>0</v>
      </c>
      <c r="AU282" s="974">
        <f>BA282+MAX(Sheet1!EH280,(O282-Q282-ED282-S282))</f>
        <v>0.5</v>
      </c>
      <c r="AV282" s="535">
        <f>IF(OR(B282&gt;=GD282,B282&lt;GC282),0,15/36*K282-MAX(0,64.6-(137.6-(Sheet1!AA280+Sheet1!AB280))))</f>
        <v>0</v>
      </c>
      <c r="AW282" s="1029"/>
      <c r="AX282" s="649"/>
      <c r="AY282" s="649">
        <f t="shared" si="668"/>
        <v>23.311716569431731</v>
      </c>
      <c r="AZ282" s="649">
        <f t="shared" si="669"/>
        <v>0</v>
      </c>
      <c r="BA282" s="1059">
        <f t="shared" si="670"/>
        <v>0</v>
      </c>
      <c r="BB282" s="1019">
        <f t="shared" si="578"/>
        <v>260.23499025333615</v>
      </c>
      <c r="BC282" s="1041">
        <f t="shared" si="671"/>
        <v>0</v>
      </c>
      <c r="BD282" s="1019">
        <f ca="1">IF(B282&gt;(Summary!$A$1-1),#N/A,BB282*MGtoAF)</f>
        <v>798.4009500972353</v>
      </c>
      <c r="BE282" s="535">
        <f>Sheet1!BG280+Sheet1!BH280+Sheet1!BI280-BM282</f>
        <v>4.59</v>
      </c>
      <c r="BF282" s="535">
        <f t="shared" si="579"/>
        <v>4.5857232704402513</v>
      </c>
      <c r="BG282" s="535">
        <f>IF(Sheet1!EP280="FM",BM282,0)</f>
        <v>0</v>
      </c>
      <c r="BH282" s="535">
        <f t="shared" si="580"/>
        <v>0</v>
      </c>
      <c r="BI282" s="535">
        <f>IF(Sheet1!EP280="OTHER",BM282,0)</f>
        <v>0</v>
      </c>
      <c r="BJ282" s="535">
        <f t="shared" si="581"/>
        <v>0</v>
      </c>
      <c r="BK282" s="535">
        <f t="shared" si="582"/>
        <v>4.59</v>
      </c>
      <c r="BL282" s="535">
        <f t="shared" si="583"/>
        <v>4.5857232704402513</v>
      </c>
      <c r="BM282" s="535">
        <f>IF(OR(Sheet1!EP280="FM", Sheet1!EP280="OTHER"),SUM(Sheet1!BG280:'Sheet1'!BI280),0)</f>
        <v>0</v>
      </c>
      <c r="BN282" s="521">
        <f>IF(AND($B282&gt;=$FV282,$B282&lt;=$FW282),MAX(BF282,Sheet1!EI280,0),MAX(BF282-(7/36)*$K282,0))</f>
        <v>5</v>
      </c>
      <c r="BO282" s="535">
        <f t="shared" si="584"/>
        <v>0</v>
      </c>
      <c r="BP282" s="521">
        <f t="shared" si="585"/>
        <v>0</v>
      </c>
      <c r="BQ282" s="521">
        <f>IF(AND($O282&gt;0,Sheet1!EM280=1),(1-($O282-Sheet1!$L280)/$O282)*BL282,0)</f>
        <v>0</v>
      </c>
      <c r="BR282" s="521">
        <f>IF(AND(Sheet1!$L280=0,Sheet1!$L279=0, Calculation!BK282&lt;Sheet1!$EI280-0.1,Sheet1!$EI280=Sheet1!$EI279,Sheet1!$EI280=Sheet1!$EI281),BL282-BQ282,BL282-BQ282)</f>
        <v>4.5857232704402513</v>
      </c>
      <c r="BS282" s="1035" t="str">
        <f t="shared" si="672"/>
        <v/>
      </c>
      <c r="BT282" s="1035">
        <f t="shared" si="673"/>
        <v>0</v>
      </c>
      <c r="BU282" s="535">
        <f t="shared" si="586"/>
        <v>107.99491177013257</v>
      </c>
      <c r="BV282" s="535"/>
      <c r="BW282" s="535">
        <f ca="1">IF(B282&gt;(Summary!$A$1-1),#N/A,BU282*MGtoAF)</f>
        <v>331.32838931076674</v>
      </c>
      <c r="BX282" s="535">
        <f>Sheet1!BC280+Sheet1!BD280+Sheet1!BE280+Sheet1!BF280-CG282-CH282</f>
        <v>3.99</v>
      </c>
      <c r="BY282" s="535">
        <f t="shared" si="587"/>
        <v>3.9862823200559054</v>
      </c>
      <c r="BZ282" s="535">
        <f>IF(Sheet1!EQ280="FM",CH282,0)</f>
        <v>0</v>
      </c>
      <c r="CA282" s="535">
        <f t="shared" si="588"/>
        <v>0</v>
      </c>
      <c r="CB282" s="535">
        <f>IF(Sheet1!EQ280="OTHER",CH282,0)</f>
        <v>0</v>
      </c>
      <c r="CC282" s="535">
        <f t="shared" si="589"/>
        <v>0</v>
      </c>
      <c r="CD282" s="535">
        <f t="shared" si="590"/>
        <v>0</v>
      </c>
      <c r="CE282" s="535">
        <f t="shared" si="591"/>
        <v>3.99</v>
      </c>
      <c r="CF282" s="535">
        <f t="shared" si="592"/>
        <v>3.9862823200559054</v>
      </c>
      <c r="CG282" s="535">
        <f>IF(Sheet1!EQ280="CWA",SUM(Sheet1!BC280:'Sheet1'!BF280),0)</f>
        <v>0</v>
      </c>
      <c r="CH282" s="535">
        <f>IF(OR(Sheet1!EQ280="FM", Sheet1!EQ280="OTHER"),SUM(Sheet1!BC280:'Sheet1'!BF280),0)</f>
        <v>0</v>
      </c>
      <c r="CI282" s="521">
        <f>IF(AND($B282&gt;=$FV282,$B282&lt;=$FW282),MAX(CF282,Sheet1!EJ280,0),MAX(CF282-(7/36)*$K282,0))</f>
        <v>4</v>
      </c>
      <c r="CJ282" s="535">
        <f t="shared" si="593"/>
        <v>0</v>
      </c>
      <c r="CK282" s="521">
        <f t="shared" si="594"/>
        <v>0</v>
      </c>
      <c r="CL282" s="521">
        <f>IF(AND($O282&gt;0,Sheet1!EN280=1),(1-($O282-Sheet1!$L280)/$O282)*CF282,0)</f>
        <v>0</v>
      </c>
      <c r="CM282" s="521">
        <f>IF(AND(Sheet1!$L280=0,Sheet1!$L279=0, Calculation!CE282&lt;Sheet1!EJ280-0.1,Sheet1!EJ280=Sheet1!EJ279,Sheet1!EJ280=Sheet1!EJ281),CF282-CL282,CF282-CL282)</f>
        <v>3.9862823200559054</v>
      </c>
      <c r="CN282" s="1040" t="str">
        <f t="shared" si="674"/>
        <v/>
      </c>
      <c r="CO282" s="1035">
        <f t="shared" si="675"/>
        <v>0</v>
      </c>
      <c r="CP282" s="535">
        <f t="shared" si="595"/>
        <v>77.338002649900474</v>
      </c>
      <c r="CQ282" s="535"/>
      <c r="CR282" s="535">
        <f ca="1">IF(B282&gt;(Summary!$A$1-1),#N/A,CP282*MGtoAF)</f>
        <v>237.27299212989465</v>
      </c>
      <c r="CS282" s="535">
        <f>Sheet1!BK280+Sheet1!BL280+Sheet1!BM280-Sheet1!ER280-DA282</f>
        <v>7.05</v>
      </c>
      <c r="CT282" s="535">
        <f t="shared" si="596"/>
        <v>7.043431167016073</v>
      </c>
      <c r="CU282" s="535">
        <f>IF(Sheet1!ER280="FM",DA282,0)</f>
        <v>0</v>
      </c>
      <c r="CV282" s="535">
        <f t="shared" si="597"/>
        <v>0</v>
      </c>
      <c r="CW282" s="535">
        <f>IF(Sheet1!ER280="OTHER",DA282,0)</f>
        <v>0</v>
      </c>
      <c r="CX282" s="535">
        <f t="shared" si="598"/>
        <v>0</v>
      </c>
      <c r="CY282" s="535">
        <f t="shared" si="629"/>
        <v>7.05</v>
      </c>
      <c r="CZ282" s="535">
        <f t="shared" si="630"/>
        <v>7.043431167016073</v>
      </c>
      <c r="DA282" s="535">
        <f>IF(OR(Sheet1!ER280="FM", Sheet1!ER280="OTHER"),SUM(Sheet1!BK280:'Sheet1'!BM280),0)</f>
        <v>0</v>
      </c>
      <c r="DB282" s="1011">
        <f>IF(AND($B282&gt;=$FV282,$B282&lt;=$FW282),MAX($CT282,Sheet1!EK280,0),MAX($CT282-(7/36)*$K282,0))</f>
        <v>7.043431167016073</v>
      </c>
      <c r="DC282" s="1012">
        <f t="shared" si="601"/>
        <v>0</v>
      </c>
      <c r="DD282" s="1011">
        <f t="shared" si="602"/>
        <v>0</v>
      </c>
      <c r="DE282" s="521">
        <f>IF(AND($O282&gt;0,Sheet1!EO280=1),(1-($O282-Sheet1!$L280)/$O282)*CZ282,0)</f>
        <v>0</v>
      </c>
      <c r="DF282" s="521">
        <f>IF(AND(Sheet1!$L280=0,Sheet1!$L279=0, Calculation!CY282&lt;Sheet1!$EK280-0.1,Sheet1!$EK280=Sheet1!$EK279,Sheet1!$EK280=Sheet1!$EK281),CZ282-DE282,CZ282-DE282)</f>
        <v>7.043431167016073</v>
      </c>
      <c r="DG282" s="1040">
        <f t="shared" si="676"/>
        <v>0</v>
      </c>
      <c r="DH282" s="649">
        <f t="shared" si="603"/>
        <v>15.629999999999999</v>
      </c>
      <c r="DI282" s="535">
        <f t="shared" si="604"/>
        <v>127.15948874582018</v>
      </c>
      <c r="DJ282" s="649">
        <f t="shared" si="605"/>
        <v>15.615436757512231</v>
      </c>
      <c r="DK282" s="535">
        <f ca="1">IF(B282&gt;(Summary!$A$1-1),#N/A,DI282*MGtoAF)</f>
        <v>390.12531147217635</v>
      </c>
      <c r="DL282" s="649">
        <f t="shared" si="606"/>
        <v>15.629999999999999</v>
      </c>
      <c r="DM282" s="535">
        <f t="shared" si="607"/>
        <v>42.93</v>
      </c>
      <c r="DN282" s="535">
        <f>Sheet1!AB280-DM282</f>
        <v>-3.9999999999999147E-2</v>
      </c>
      <c r="DO282" s="743">
        <f t="shared" si="608"/>
        <v>-9.3174935942229558E-4</v>
      </c>
      <c r="DP282" s="535">
        <f>(VLOOKUP(Sheet1!DC280,hhdcap_wcm,4)-(((VLOOKUP(Sheet1!DC280,hhdcap_wcm,3)-Sheet1!DC280)/(VLOOKUP(Sheet1!DC280,hhdcap_wcm,3)-VLOOKUP(Sheet1!DC280,hhdcap_wcm,1)))*(VLOOKUP(Sheet1!DC280,hhdcap_wcm,4)-VLOOKUP(Sheet1!DC280,hhdcap_wcm,2))))</f>
        <v>19414.000000048625</v>
      </c>
      <c r="DQ282" s="535">
        <f t="shared" si="609"/>
        <v>-689.30000000210566</v>
      </c>
      <c r="DR282" s="535">
        <f t="shared" si="610"/>
        <v>-347.60463943626098</v>
      </c>
      <c r="DS282" s="535">
        <f>Sheet1!EA280*AFtoMG</f>
        <v>0</v>
      </c>
      <c r="DT282" s="535">
        <f>Sheet1!EB280*AFtoMG</f>
        <v>0</v>
      </c>
      <c r="DU282" s="535">
        <f>Sheet1!EC280*AFtoMG</f>
        <v>0</v>
      </c>
      <c r="DV282" s="535">
        <f>Sheet1!ED280*AFtoMG</f>
        <v>0</v>
      </c>
      <c r="DW282" s="535">
        <f t="shared" si="611"/>
        <v>0</v>
      </c>
      <c r="DX282" s="535">
        <f t="shared" si="612"/>
        <v>0</v>
      </c>
      <c r="DY282" s="535">
        <f t="shared" si="613"/>
        <v>572.72739341918941</v>
      </c>
      <c r="DZ282" s="535">
        <f t="shared" si="614"/>
        <v>1757.1276430100731</v>
      </c>
      <c r="EA282" s="535"/>
      <c r="EB282" s="521">
        <f>IF(OR(B282&lt;FV282,B282&gt;FW282),(MIN(BF282+BY282+CT282+MAX(Sheet1!AA280+AQ282-73,0),K282)),0)</f>
        <v>0</v>
      </c>
      <c r="EC282" s="535"/>
      <c r="ED282" s="535">
        <f t="shared" si="615"/>
        <v>15.615436757512231</v>
      </c>
      <c r="EE282" s="535"/>
      <c r="EF282" s="535">
        <f>Sheet1!EH280+Sheet1!EI280+Sheet1!EJ280+Sheet1!EK280</f>
        <v>16.5</v>
      </c>
      <c r="EG282" s="1019">
        <f t="shared" si="677"/>
        <v>25.525499999999997</v>
      </c>
      <c r="EH282" s="521">
        <f t="shared" si="616"/>
        <v>0</v>
      </c>
      <c r="EI282" s="535">
        <f>IF(Sheet1!ET280=1,SUM('Calculations II'!AT282:BA282)+'Calculations II'!BC282+Sheet1!BV280+'Calculations II'!BE282+AP282,'Calculations II'!BK282)</f>
        <v>55.586791242487777</v>
      </c>
      <c r="EJ282" s="535">
        <f ca="1">EI282+'Calculations II'!D282+'Calculations II'!E282+'Calculations II'!O282</f>
        <v>55.304379073431832</v>
      </c>
      <c r="EK282" s="535"/>
      <c r="EL282" s="535"/>
      <c r="EM282" s="535">
        <f t="shared" si="617"/>
        <v>43006</v>
      </c>
      <c r="EN282" s="535">
        <f t="shared" si="618"/>
        <v>-16.543431167016074</v>
      </c>
      <c r="EO282" s="535">
        <f t="shared" si="619"/>
        <v>-25.592688015373867</v>
      </c>
      <c r="EP282" s="535">
        <v>0</v>
      </c>
      <c r="EQ282" s="535">
        <v>0</v>
      </c>
      <c r="ER282" s="535">
        <v>0</v>
      </c>
      <c r="ES282" s="521">
        <f t="shared" si="643"/>
        <v>-0.41553123004224152</v>
      </c>
      <c r="ET282" s="535">
        <f>-(VLOOKUP(Sheet1!BQ280,Lookup!$O$4:$Q$262,2)-VLOOKUP(Sheet1!BQ279,Lookup!$O$4:$Q$262,2))/1000000</f>
        <v>-0.1384783666513078</v>
      </c>
      <c r="EU282" s="535">
        <f>-(VLOOKUP(Sheet1!BR280,Lookup!$O$4:$Q$262,3)-VLOOKUP(Sheet1!BR279,Lookup!$O$4:$Q$262,3))/1000000</f>
        <v>-0.27705286339093371</v>
      </c>
      <c r="EV282" s="535"/>
      <c r="EW282" s="535"/>
      <c r="EX282" s="535"/>
      <c r="EY282" s="535"/>
      <c r="EZ282" s="535"/>
      <c r="FA282" s="535"/>
      <c r="FB282" s="535"/>
      <c r="FC282" s="535"/>
      <c r="FD282" s="567">
        <f t="shared" si="632"/>
        <v>1116.5076923076335</v>
      </c>
      <c r="FE282" s="567" t="e">
        <f t="shared" si="620"/>
        <v>#N/A</v>
      </c>
      <c r="FF282" s="568" t="e">
        <f t="shared" si="621"/>
        <v>#N/A</v>
      </c>
      <c r="FG282" s="569" t="s">
        <v>656</v>
      </c>
      <c r="FH282" s="569" t="s">
        <v>656</v>
      </c>
      <c r="FI282" s="567" t="e">
        <v>#N/A</v>
      </c>
      <c r="FJ282" s="725">
        <v>9850</v>
      </c>
      <c r="FK282" s="535"/>
      <c r="FL282" s="1015">
        <f t="shared" si="631"/>
        <v>109.43015632879475</v>
      </c>
      <c r="FM282" s="535"/>
      <c r="FN282" s="535"/>
      <c r="FO282" s="535">
        <f>O282+((Sheet1!CS280)*GPMtoMGD)</f>
        <v>71.289999999999992</v>
      </c>
      <c r="FP282" s="535">
        <f>IF(Sheet1!AA280+AQ282&lt;=Calculation!N282,AQ282,Calculation!N282-Sheet1!AA280)</f>
        <v>27.274563242487773</v>
      </c>
      <c r="FQ282" s="535">
        <f>(Sheet1!BP280+Sheet1!BO280)/694.4</f>
        <v>2.2174539170506917</v>
      </c>
      <c r="FR282" s="541"/>
      <c r="FS282" s="541"/>
      <c r="FT282" s="541"/>
      <c r="FU282" s="541"/>
      <c r="FV282" s="1109">
        <f t="shared" si="644"/>
        <v>42918</v>
      </c>
      <c r="FW282" s="1109">
        <f t="shared" si="645"/>
        <v>43027</v>
      </c>
      <c r="FX282" s="541"/>
      <c r="FY282" s="541">
        <f>Sheet1!DA280-Sheet1!CZ280-Sheet1!AE280</f>
        <v>-56.285629999999983</v>
      </c>
      <c r="FZ282" s="535">
        <f t="shared" si="678"/>
        <v>-0.50078250310056704</v>
      </c>
      <c r="GA282" s="535"/>
      <c r="GB282" s="535" t="str">
        <f t="shared" si="646"/>
        <v>n</v>
      </c>
      <c r="GC282" s="539">
        <f t="shared" si="647"/>
        <v>42782</v>
      </c>
      <c r="GD282" s="1109">
        <f t="shared" si="648"/>
        <v>42904</v>
      </c>
      <c r="GE282" s="535">
        <f t="shared" si="664"/>
        <v>6520</v>
      </c>
      <c r="GF282" s="1109">
        <f t="shared" si="649"/>
        <v>42909</v>
      </c>
      <c r="GG282" s="535">
        <f t="shared" si="691"/>
        <v>3260</v>
      </c>
      <c r="GH282" s="539">
        <f t="shared" si="650"/>
        <v>43040</v>
      </c>
      <c r="GJ282" s="521">
        <f t="shared" si="651"/>
        <v>0</v>
      </c>
      <c r="GK282" s="535" t="str">
        <f t="shared" si="622"/>
        <v/>
      </c>
      <c r="GL282" s="535">
        <f t="shared" si="652"/>
        <v>0</v>
      </c>
      <c r="GM282" s="535" t="str">
        <f t="shared" si="653"/>
        <v/>
      </c>
      <c r="GN282" s="535">
        <f>IF(GK282="P",Lookup!$M$12,IF(GK282="PP",Lookup!$M$13,IF(GK282="PPP",Lookup!$M$14,IF(GK282="T",Lookup!$M$15,IF(GK282="TP",Lookup!$M$16,IF(GK282="TPP",Lookup!$M$17,IF(GK282="TPPP",Lookup!$M$18,0)))))))*GJ282</f>
        <v>0</v>
      </c>
      <c r="GO282" s="535">
        <f t="shared" si="654"/>
        <v>0</v>
      </c>
      <c r="GP282" s="535">
        <f t="shared" si="623"/>
        <v>798.4009500972353</v>
      </c>
      <c r="GQ282" s="974">
        <f t="shared" si="567"/>
        <v>260.23499025333615</v>
      </c>
      <c r="GR282" s="535"/>
      <c r="GS282" s="535">
        <f t="shared" si="655"/>
        <v>0</v>
      </c>
      <c r="GT282" s="535" t="str">
        <f t="shared" si="656"/>
        <v/>
      </c>
      <c r="GU282" s="535">
        <f>IF(GK282="P",Lookup!$N$12,IF(GK282="PP",Lookup!$N$13,IF(GK282="PPP",Lookup!$N$14,IF(GK282="T",Lookup!$N$15,IF(GK282="TP",Lookup!$N$16,IF(GK282="TPP",Lookup!$N$17,IF(GK282="TPPP",Lookup!$N$18,0)))))))*GJ282</f>
        <v>0</v>
      </c>
      <c r="GV282" s="535">
        <f t="shared" si="657"/>
        <v>0</v>
      </c>
      <c r="GW282" s="535">
        <f t="shared" si="624"/>
        <v>331.32838931076674</v>
      </c>
      <c r="GX282" s="974">
        <f t="shared" si="568"/>
        <v>107.99491177013257</v>
      </c>
      <c r="GY282" s="535"/>
      <c r="GZ282" s="535">
        <f t="shared" si="658"/>
        <v>0</v>
      </c>
      <c r="HA282" s="535" t="str">
        <f t="shared" si="659"/>
        <v/>
      </c>
      <c r="HB282" s="535">
        <f>IF(GK282="P",Lookup!$N$12,IF(GK282="PP",Lookup!$N$13,IF(GK282="PPP",Lookup!$N$14,IF(GK282="T",Lookup!$N$15,IF(GK282="TP",Lookup!$N$16,IF(GK282="TPP",Lookup!$N$17,IF(GK282="TPPP",Lookup!$N$18,0)))))))*GJ282</f>
        <v>0</v>
      </c>
      <c r="HC282" s="521">
        <f t="shared" si="625"/>
        <v>0</v>
      </c>
      <c r="HD282" s="535">
        <f t="shared" si="626"/>
        <v>237.27299212989465</v>
      </c>
      <c r="HE282" s="535">
        <f t="shared" si="662"/>
        <v>77.338002649900474</v>
      </c>
      <c r="HF282" s="535"/>
      <c r="HG282" s="535">
        <f t="shared" si="660"/>
        <v>0</v>
      </c>
      <c r="HH282" s="535" t="str">
        <f t="shared" si="661"/>
        <v/>
      </c>
      <c r="HI282" s="535">
        <f>IF(GK282="P",Lookup!$N$12,IF(GK282="PP",Lookup!$N$13,IF(GK282="PPP",Lookup!$N$14,IF(GK282="T",Lookup!$N$15,IF(GK282="TP",Lookup!$N$16,IF(GK282="TPP",Lookup!$N$17,IF(GK282="TPPP",Lookup!$N$18,0)))))))*GJ282</f>
        <v>0</v>
      </c>
      <c r="HJ282" s="521">
        <f t="shared" si="627"/>
        <v>0</v>
      </c>
      <c r="HK282" s="535">
        <f t="shared" si="628"/>
        <v>390.12531147217635</v>
      </c>
      <c r="HL282" s="535">
        <f t="shared" si="663"/>
        <v>127.15948874582018</v>
      </c>
      <c r="HM282" s="535"/>
      <c r="HN282" s="541"/>
      <c r="HO282" s="541"/>
      <c r="HP282" s="541"/>
      <c r="HQ282" s="541">
        <f>IF(AND(B282&gt;=$FV$4,B282&lt;=$FW$4),MAX(110/1.02+$HQ$6+MIN(113/1.02,G282),IF($HV$6-(Sheet1!DA280-Sheet1!DB280)+MIN(113/1.02,G282)&lt;G282+FL282,$HV$6-(Sheet1!DA280-Sheet1!DB280)+MIN(113/1.02,G282),G282+FL282)),MIN(110/1.02+$HQ$6+113/1.02,G282))</f>
        <v>218.62745098039215</v>
      </c>
      <c r="HR282" s="541">
        <f t="shared" si="679"/>
        <v>223</v>
      </c>
      <c r="HS282" s="541">
        <f>HR282+(Sheet1!DA280-Sheet1!DB280)</f>
        <v>400</v>
      </c>
      <c r="HT282" s="541">
        <f t="shared" si="680"/>
        <v>85.355049336128573</v>
      </c>
      <c r="HU282" s="541">
        <f t="shared" si="681"/>
        <v>314.64495066387144</v>
      </c>
      <c r="HV282" s="541">
        <f t="shared" si="682"/>
        <v>0</v>
      </c>
      <c r="HW282" s="533" t="str">
        <f t="shared" si="683"/>
        <v/>
      </c>
      <c r="HX282" s="541">
        <f t="shared" si="684"/>
        <v>215.77986100423396</v>
      </c>
      <c r="HY282" s="541">
        <f>Sheet1!CZ280</f>
        <v>460</v>
      </c>
      <c r="HZ282" s="541">
        <f t="shared" si="685"/>
        <v>25.592688015373867</v>
      </c>
      <c r="IA282" s="541">
        <f t="shared" si="686"/>
        <v>85.355049336128573</v>
      </c>
      <c r="IB282" s="541">
        <f t="shared" si="687"/>
        <v>434.40731198462612</v>
      </c>
      <c r="IC282" s="1019" t="str">
        <f t="shared" si="688"/>
        <v/>
      </c>
      <c r="ID282" s="541">
        <f t="shared" si="689"/>
        <v>349.05226264849756</v>
      </c>
      <c r="IE282" s="541">
        <f>Sheet1!DB280</f>
        <v>337</v>
      </c>
      <c r="IF282" s="533">
        <f>Sheet1!DA280</f>
        <v>514</v>
      </c>
      <c r="IH282" s="541">
        <f>IF(AND($B282&gt;=$GC282,$B282&lt;=$GH282,$DR282&lt;0)+N("only adjusted when pool is drawn down during storage season"),Sheet1!$DB280+$DR282+N("Palmer minus all storage release"),Sheet1!$DB280)</f>
        <v>-10.604639436260982</v>
      </c>
      <c r="II282" s="541">
        <f>IF(AND($B282&gt;=$GC282,$B282&lt;=$GH282,$DR282&lt;0)+N("only adjusted when pool is drawn down during storage season"),Sheet1!$DA280+$DR282+N("Auburn minus all storage release"),Sheet1!$DA280)</f>
        <v>166.39536056373902</v>
      </c>
    </row>
    <row r="283" spans="1:243" x14ac:dyDescent="0.25">
      <c r="A283" s="553" t="s">
        <v>8</v>
      </c>
      <c r="B283" s="531">
        <v>43007</v>
      </c>
      <c r="C283" s="536">
        <v>0</v>
      </c>
      <c r="D283" s="506">
        <f t="shared" si="633"/>
        <v>300</v>
      </c>
      <c r="E283" s="506">
        <f t="shared" si="634"/>
        <v>250</v>
      </c>
      <c r="F283" s="506">
        <v>250</v>
      </c>
      <c r="G283" s="535">
        <f>DR283+Sheet1!CZ281</f>
        <v>121.62279374580362</v>
      </c>
      <c r="H283" s="1074">
        <f t="shared" si="690"/>
        <v>0</v>
      </c>
      <c r="I283" s="534">
        <f>IF(Sheet1!DA281&gt;=E283,(Sheet1!DA281-E283+P283)*CFStoMGD,0)</f>
        <v>243.98025408000001</v>
      </c>
      <c r="J283" s="995">
        <f>IF(Sheet1!DB281&gt;=D283,(Sheet1!DB281-D283+P283)*CFStoMGD,0)</f>
        <v>95.954654079999983</v>
      </c>
      <c r="K283" s="818">
        <f t="shared" si="665"/>
        <v>0</v>
      </c>
      <c r="L283" s="535">
        <f>Sheet1!AA281+Sheet1!AB281-Sheet1!L281+(Sheet1!DA281-F283)*CFStoMGD-S283-T283-U283</f>
        <v>229.2816</v>
      </c>
      <c r="M283" s="535">
        <f t="shared" si="569"/>
        <v>80.189313354833217</v>
      </c>
      <c r="N283" s="824">
        <f>IF(Sheet1!DA281&gt;=F283,MIN(113*CFStoMGD,MIN(MAX(L283,0),MAX(M283,0))),0)</f>
        <v>73.043199999999999</v>
      </c>
      <c r="O283" s="538">
        <f>Sheet1!AA281+Sheet1!AB281</f>
        <v>70.099999999999994</v>
      </c>
      <c r="P283" s="538">
        <f t="shared" si="570"/>
        <v>108.44469999999998</v>
      </c>
      <c r="Q283" s="812">
        <f t="shared" si="666"/>
        <v>55.399999999999991</v>
      </c>
      <c r="R283" s="812">
        <f t="shared" si="635"/>
        <v>14.5</v>
      </c>
      <c r="S283" s="812">
        <f t="shared" si="636"/>
        <v>0</v>
      </c>
      <c r="T283" s="812">
        <f t="shared" si="637"/>
        <v>0</v>
      </c>
      <c r="U283" s="812">
        <f>IF(AND(B283&gt;=FV283,B283&lt;=FW283),ED283+Sheet1!EH281,0)</f>
        <v>14.7</v>
      </c>
      <c r="V283" s="812"/>
      <c r="W283" s="812">
        <f t="shared" si="638"/>
        <v>0</v>
      </c>
      <c r="X283" s="812">
        <f t="shared" si="639"/>
        <v>0</v>
      </c>
      <c r="Y283" s="812" t="str">
        <f t="shared" si="640"/>
        <v>FALSE</v>
      </c>
      <c r="Z283" s="812">
        <f t="shared" si="641"/>
        <v>70.099999999999994</v>
      </c>
      <c r="AA283" s="812">
        <f t="shared" si="642"/>
        <v>70.099999999999994</v>
      </c>
      <c r="AB283" s="1059">
        <f t="shared" si="667"/>
        <v>85.703799999999987</v>
      </c>
      <c r="AC283" s="538">
        <f>Sheet1!Y281*MGDtoCFS</f>
        <v>43.934799999999996</v>
      </c>
      <c r="AD283" s="538">
        <f>Sheet1!Z281*MGDtoCFS</f>
        <v>66.350830000000002</v>
      </c>
      <c r="AE283" s="538">
        <f>Sheet1!AA281*MGDtoCFS</f>
        <v>43.780099999999997</v>
      </c>
      <c r="AF283" s="538">
        <f>Sheet1!AB281*MGDtoCFS</f>
        <v>64.664599999999993</v>
      </c>
      <c r="AG283" s="538">
        <f>Sheet1!L281*MGDtoCFS</f>
        <v>0</v>
      </c>
      <c r="AH283" s="521">
        <f t="shared" si="571"/>
        <v>14.700000000000003</v>
      </c>
      <c r="AI283" s="1059">
        <f t="shared" si="572"/>
        <v>22.740900000000003</v>
      </c>
      <c r="AJ283" s="535">
        <f t="shared" si="573"/>
        <v>0</v>
      </c>
      <c r="AK283" s="535">
        <f t="shared" si="574"/>
        <v>0</v>
      </c>
      <c r="AL283" s="535">
        <f>(VLOOKUP(Sheet1!DC281,hhdcap_wcm,4)-(((VLOOKUP(Sheet1!DC281,hhdcap_wcm,3)-Sheet1!DC281)/(VLOOKUP(Sheet1!DC281,hhdcap_wcm,3)-VLOOKUP(Sheet1!DC281,hhdcap_wcm,1)))*(VLOOKUP(Sheet1!DC281,hhdcap_wcm,4)-VLOOKUP(Sheet1!DC281,hhdcap_wcm,2))))</f>
        <v>18731.100000046554</v>
      </c>
      <c r="AM283" s="535">
        <f t="shared" si="575"/>
        <v>-682.90000000207147</v>
      </c>
      <c r="AN283" s="1035">
        <f t="shared" si="576"/>
        <v>558.02739341918937</v>
      </c>
      <c r="AO283" s="535">
        <f t="shared" si="577"/>
        <v>1712.0280430100729</v>
      </c>
      <c r="AP283" s="535">
        <f>Sheet1!BA281+Sheet1!BB281+Sheet1!BN281+CD283</f>
        <v>27.1</v>
      </c>
      <c r="AQ283" s="535">
        <f>Sheet1!BN281+(DO283*Sheet1!BN281)</f>
        <v>27.1</v>
      </c>
      <c r="AR283" s="535">
        <f>Sheet1!BA281+CD283</f>
        <v>0</v>
      </c>
      <c r="AS283" s="535">
        <f>Sheet1!BA281+Sheet1!BB281+CD283</f>
        <v>0</v>
      </c>
      <c r="AT283" s="649">
        <f>0</f>
        <v>0</v>
      </c>
      <c r="AU283" s="974">
        <f>BA283+MAX(Sheet1!EH281,(O283-Q283-ED283-S283))</f>
        <v>3.5527136788005009E-15</v>
      </c>
      <c r="AV283" s="535">
        <f>IF(OR(B283&gt;=GD283,B283&lt;GC283),0,15/36*K283-MAX(0,64.6-(137.6-(Sheet1!AA281+Sheet1!AB281))))</f>
        <v>0</v>
      </c>
      <c r="AW283" s="1029"/>
      <c r="AX283" s="649"/>
      <c r="AY283" s="649">
        <f t="shared" si="668"/>
        <v>23.311716569431731</v>
      </c>
      <c r="AZ283" s="649">
        <f t="shared" si="669"/>
        <v>0</v>
      </c>
      <c r="BA283" s="1059">
        <f t="shared" si="670"/>
        <v>0</v>
      </c>
      <c r="BB283" s="1019">
        <f t="shared" si="578"/>
        <v>260.23499025333615</v>
      </c>
      <c r="BC283" s="1041">
        <f t="shared" si="671"/>
        <v>0</v>
      </c>
      <c r="BD283" s="1019">
        <f ca="1">IF(B283&gt;(Summary!$A$1-1),#N/A,BB283*MGtoAF)</f>
        <v>798.4009500972353</v>
      </c>
      <c r="BE283" s="535">
        <f>Sheet1!BG281+Sheet1!BH281+Sheet1!BI281-BM283</f>
        <v>4</v>
      </c>
      <c r="BF283" s="535">
        <f t="shared" si="579"/>
        <v>4</v>
      </c>
      <c r="BG283" s="535">
        <f>IF(Sheet1!EP281="FM",BM283,0)</f>
        <v>0</v>
      </c>
      <c r="BH283" s="535">
        <f t="shared" si="580"/>
        <v>0</v>
      </c>
      <c r="BI283" s="535">
        <f>IF(Sheet1!EP281="OTHER",BM283,0)</f>
        <v>0</v>
      </c>
      <c r="BJ283" s="535">
        <f t="shared" si="581"/>
        <v>0</v>
      </c>
      <c r="BK283" s="535">
        <f t="shared" si="582"/>
        <v>4</v>
      </c>
      <c r="BL283" s="535">
        <f t="shared" si="583"/>
        <v>4</v>
      </c>
      <c r="BM283" s="535">
        <f>IF(OR(Sheet1!EP281="FM", Sheet1!EP281="OTHER"),SUM(Sheet1!BG281:'Sheet1'!BI281),0)</f>
        <v>0</v>
      </c>
      <c r="BN283" s="521">
        <f>IF(AND($B283&gt;=$FV283,$B283&lt;=$FW283),MAX(BF283,Sheet1!EI281,0),MAX(BF283-(7/36)*$K283,0))</f>
        <v>4</v>
      </c>
      <c r="BO283" s="535">
        <f t="shared" si="584"/>
        <v>0</v>
      </c>
      <c r="BP283" s="521">
        <f t="shared" si="585"/>
        <v>0</v>
      </c>
      <c r="BQ283" s="521">
        <f>IF(AND($O283&gt;0,Sheet1!EM281=1),(1-($O283-Sheet1!$L281)/$O283)*BL283,0)</f>
        <v>0</v>
      </c>
      <c r="BR283" s="521">
        <f>IF(AND(Sheet1!$L281=0,Sheet1!$L280=0, Calculation!BK283&lt;Sheet1!$EI281-0.1,Sheet1!$EI281=Sheet1!$EI280,Sheet1!$EI281=Sheet1!$EI282),BL283-BQ283,BL283-BQ283)</f>
        <v>4</v>
      </c>
      <c r="BS283" s="1035" t="str">
        <f t="shared" si="672"/>
        <v/>
      </c>
      <c r="BT283" s="1035">
        <f t="shared" si="673"/>
        <v>0</v>
      </c>
      <c r="BU283" s="535">
        <f t="shared" si="586"/>
        <v>103.99491177013257</v>
      </c>
      <c r="BV283" s="535"/>
      <c r="BW283" s="535">
        <f ca="1">IF(B283&gt;(Summary!$A$1-1),#N/A,BU283*MGtoAF)</f>
        <v>319.05638931076675</v>
      </c>
      <c r="BX283" s="535">
        <f>Sheet1!BC281+Sheet1!BD281+Sheet1!BE281+Sheet1!BF281-CG283-CH283</f>
        <v>3.66</v>
      </c>
      <c r="BY283" s="535">
        <f t="shared" si="587"/>
        <v>3.66</v>
      </c>
      <c r="BZ283" s="535">
        <f>IF(Sheet1!EQ281="FM",CH283,0)</f>
        <v>0</v>
      </c>
      <c r="CA283" s="535">
        <f t="shared" si="588"/>
        <v>0</v>
      </c>
      <c r="CB283" s="535">
        <f>IF(Sheet1!EQ281="OTHER",CH283,0)</f>
        <v>0</v>
      </c>
      <c r="CC283" s="535">
        <f t="shared" si="589"/>
        <v>0</v>
      </c>
      <c r="CD283" s="535">
        <f t="shared" si="590"/>
        <v>0</v>
      </c>
      <c r="CE283" s="535">
        <f t="shared" si="591"/>
        <v>3.66</v>
      </c>
      <c r="CF283" s="535">
        <f t="shared" si="592"/>
        <v>3.66</v>
      </c>
      <c r="CG283" s="535">
        <f>IF(Sheet1!EQ281="CWA",SUM(Sheet1!BC281:'Sheet1'!BF281),0)</f>
        <v>0</v>
      </c>
      <c r="CH283" s="535">
        <f>IF(OR(Sheet1!EQ281="FM", Sheet1!EQ281="OTHER"),SUM(Sheet1!BC281:'Sheet1'!BF281),0)</f>
        <v>0</v>
      </c>
      <c r="CI283" s="521">
        <f>IF(AND($B283&gt;=$FV283,$B283&lt;=$FW283),MAX(CF283,Sheet1!EJ281,0),MAX(CF283-(7/36)*$K283,0))</f>
        <v>3.66</v>
      </c>
      <c r="CJ283" s="535">
        <f t="shared" si="593"/>
        <v>0</v>
      </c>
      <c r="CK283" s="521">
        <f t="shared" si="594"/>
        <v>0</v>
      </c>
      <c r="CL283" s="521">
        <f>IF(AND($O283&gt;0,Sheet1!EN281=1),(1-($O283-Sheet1!$L281)/$O283)*CF283,0)</f>
        <v>0</v>
      </c>
      <c r="CM283" s="521">
        <f>IF(AND(Sheet1!$L281=0,Sheet1!$L280=0, Calculation!CE283&lt;Sheet1!EJ281-0.1,Sheet1!EJ281=Sheet1!EJ280,Sheet1!EJ281=Sheet1!EJ282),CF283-CL283,CF283-CL283)</f>
        <v>3.66</v>
      </c>
      <c r="CN283" s="1040" t="str">
        <f t="shared" si="674"/>
        <v/>
      </c>
      <c r="CO283" s="1035">
        <f t="shared" si="675"/>
        <v>0</v>
      </c>
      <c r="CP283" s="535">
        <f t="shared" si="595"/>
        <v>73.678002649900478</v>
      </c>
      <c r="CQ283" s="535"/>
      <c r="CR283" s="535">
        <f ca="1">IF(B283&gt;(Summary!$A$1-1),#N/A,CP283*MGtoAF)</f>
        <v>226.04411212989467</v>
      </c>
      <c r="CS283" s="535">
        <f>Sheet1!BK281+Sheet1!BL281+Sheet1!BM281-Sheet1!ER281-DA283</f>
        <v>7.04</v>
      </c>
      <c r="CT283" s="535">
        <f t="shared" si="596"/>
        <v>7.04</v>
      </c>
      <c r="CU283" s="535">
        <f>IF(Sheet1!ER281="FM",DA283,0)</f>
        <v>0</v>
      </c>
      <c r="CV283" s="535">
        <f t="shared" si="597"/>
        <v>0</v>
      </c>
      <c r="CW283" s="535">
        <f>IF(Sheet1!ER281="OTHER",DA283,0)</f>
        <v>0</v>
      </c>
      <c r="CX283" s="535">
        <f t="shared" si="598"/>
        <v>0</v>
      </c>
      <c r="CY283" s="535">
        <f t="shared" si="629"/>
        <v>7.04</v>
      </c>
      <c r="CZ283" s="535">
        <f t="shared" si="630"/>
        <v>7.04</v>
      </c>
      <c r="DA283" s="535">
        <f>IF(OR(Sheet1!ER281="FM", Sheet1!ER281="OTHER"),SUM(Sheet1!BK281:'Sheet1'!BM281),0)</f>
        <v>0</v>
      </c>
      <c r="DB283" s="1011">
        <f>IF(AND($B283&gt;=$FV283,$B283&lt;=$FW283),MAX($CT283,Sheet1!EK281,0),MAX($CT283-(7/36)*$K283,0))</f>
        <v>7.04</v>
      </c>
      <c r="DC283" s="1012">
        <f t="shared" si="601"/>
        <v>0</v>
      </c>
      <c r="DD283" s="1011">
        <f t="shared" si="602"/>
        <v>0</v>
      </c>
      <c r="DE283" s="521">
        <f>IF(AND($O283&gt;0,Sheet1!EO281=1),(1-($O283-Sheet1!$L281)/$O283)*CZ283,0)</f>
        <v>0</v>
      </c>
      <c r="DF283" s="521">
        <f>IF(AND(Sheet1!$L281=0,Sheet1!$L280=0, Calculation!CY283&lt;Sheet1!$EK281-0.1,Sheet1!$EK281=Sheet1!$EK280,Sheet1!$EK281=Sheet1!$EK282),CZ283-DE283,CZ283-DE283)</f>
        <v>7.04</v>
      </c>
      <c r="DG283" s="1040">
        <f t="shared" si="676"/>
        <v>0</v>
      </c>
      <c r="DH283" s="649">
        <f t="shared" si="603"/>
        <v>14.7</v>
      </c>
      <c r="DI283" s="535">
        <f t="shared" si="604"/>
        <v>120.11948874582018</v>
      </c>
      <c r="DJ283" s="649">
        <f t="shared" si="605"/>
        <v>14.7</v>
      </c>
      <c r="DK283" s="535">
        <f ca="1">IF(B283&gt;(Summary!$A$1-1),#N/A,DI283*MGtoAF)</f>
        <v>368.52659147217634</v>
      </c>
      <c r="DL283" s="649">
        <f t="shared" si="606"/>
        <v>14.7</v>
      </c>
      <c r="DM283" s="535">
        <f t="shared" si="607"/>
        <v>41.8</v>
      </c>
      <c r="DN283" s="535">
        <f>Sheet1!AB281-DM283</f>
        <v>0</v>
      </c>
      <c r="DO283" s="743">
        <f t="shared" si="608"/>
        <v>0</v>
      </c>
      <c r="DP283" s="535">
        <f>(VLOOKUP(Sheet1!DC281,hhdcap_wcm,4)-(((VLOOKUP(Sheet1!DC281,hhdcap_wcm,3)-Sheet1!DC281)/(VLOOKUP(Sheet1!DC281,hhdcap_wcm,3)-VLOOKUP(Sheet1!DC281,hhdcap_wcm,1)))*(VLOOKUP(Sheet1!DC281,hhdcap_wcm,4)-VLOOKUP(Sheet1!DC281,hhdcap_wcm,2))))</f>
        <v>18731.100000046554</v>
      </c>
      <c r="DQ283" s="535">
        <f t="shared" si="609"/>
        <v>-682.90000000207147</v>
      </c>
      <c r="DR283" s="535">
        <f t="shared" si="610"/>
        <v>-344.37720625419638</v>
      </c>
      <c r="DS283" s="535">
        <f>Sheet1!EA281*AFtoMG</f>
        <v>0</v>
      </c>
      <c r="DT283" s="535">
        <f>Sheet1!EB281*AFtoMG</f>
        <v>0</v>
      </c>
      <c r="DU283" s="535">
        <f>Sheet1!EC281*AFtoMG</f>
        <v>0</v>
      </c>
      <c r="DV283" s="535">
        <f>Sheet1!ED281*AFtoMG</f>
        <v>0</v>
      </c>
      <c r="DW283" s="535">
        <f t="shared" si="611"/>
        <v>0</v>
      </c>
      <c r="DX283" s="535">
        <f t="shared" si="612"/>
        <v>0</v>
      </c>
      <c r="DY283" s="535">
        <f t="shared" si="613"/>
        <v>558.02739341918937</v>
      </c>
      <c r="DZ283" s="535">
        <f t="shared" si="614"/>
        <v>1712.0280430100729</v>
      </c>
      <c r="EA283" s="535"/>
      <c r="EB283" s="521">
        <f>IF(OR(B283&lt;FV283,B283&gt;FW283),(MIN(BF283+BY283+CT283+MAX(Sheet1!AA281+AQ283-73,0),K283)),0)</f>
        <v>0</v>
      </c>
      <c r="EC283" s="535"/>
      <c r="ED283" s="535">
        <f t="shared" si="615"/>
        <v>14.7</v>
      </c>
      <c r="EE283" s="535"/>
      <c r="EF283" s="535">
        <f>Sheet1!EH281+Sheet1!EI281+Sheet1!EJ281+Sheet1!EK281</f>
        <v>14.5</v>
      </c>
      <c r="EG283" s="1019">
        <f t="shared" si="677"/>
        <v>22.4315</v>
      </c>
      <c r="EH283" s="521">
        <f t="shared" si="616"/>
        <v>0</v>
      </c>
      <c r="EI283" s="535">
        <f>IF(Sheet1!ET281=1,SUM('Calculations II'!AT283:BA283)+'Calculations II'!BC283+Sheet1!BV281+'Calculations II'!BE283+AP283,'Calculations II'!BK283)</f>
        <v>50.777376000000004</v>
      </c>
      <c r="EJ283" s="535">
        <f ca="1">EI283+'Calculations II'!D283+'Calculations II'!E283+'Calculations II'!O283</f>
        <v>55.317083878394321</v>
      </c>
      <c r="EK283" s="535"/>
      <c r="EL283" s="535"/>
      <c r="EM283" s="535">
        <f t="shared" si="617"/>
        <v>43007</v>
      </c>
      <c r="EN283" s="535">
        <f t="shared" si="618"/>
        <v>-14.700000000000003</v>
      </c>
      <c r="EO283" s="535">
        <f t="shared" si="619"/>
        <v>-22.740900000000003</v>
      </c>
      <c r="EP283" s="535">
        <v>0</v>
      </c>
      <c r="EQ283" s="535">
        <v>0</v>
      </c>
      <c r="ER283" s="535">
        <v>0</v>
      </c>
      <c r="ES283" s="521">
        <f t="shared" si="643"/>
        <v>-4.9883361427794322</v>
      </c>
      <c r="ET283" s="535">
        <f>-(VLOOKUP(Sheet1!BQ281,Lookup!$O$4:$Q$262,2)-VLOOKUP(Sheet1!BQ280,Lookup!$O$4:$Q$262,2))/1000000</f>
        <v>-2.4937065433875136</v>
      </c>
      <c r="EU283" s="535">
        <f>-(VLOOKUP(Sheet1!BR281,Lookup!$O$4:$Q$262,3)-VLOOKUP(Sheet1!BR280,Lookup!$O$4:$Q$262,3))/1000000</f>
        <v>-2.4946295993919185</v>
      </c>
      <c r="EV283" s="535"/>
      <c r="EW283" s="535"/>
      <c r="EX283" s="535"/>
      <c r="EY283" s="535"/>
      <c r="EZ283" s="535"/>
      <c r="FA283" s="535"/>
      <c r="FB283" s="535"/>
      <c r="FC283" s="535"/>
      <c r="FD283" s="567">
        <f t="shared" si="632"/>
        <v>1115.9473684209945</v>
      </c>
      <c r="FE283" s="567" t="e">
        <f t="shared" si="620"/>
        <v>#N/A</v>
      </c>
      <c r="FF283" s="568" t="e">
        <f t="shared" si="621"/>
        <v>#N/A</v>
      </c>
      <c r="FG283" s="569" t="s">
        <v>656</v>
      </c>
      <c r="FH283" s="569" t="s">
        <v>656</v>
      </c>
      <c r="FI283" s="567" t="e">
        <v>#N/A</v>
      </c>
      <c r="FJ283" s="725">
        <v>9633</v>
      </c>
      <c r="FK283" s="535"/>
      <c r="FL283" s="1015">
        <f t="shared" si="631"/>
        <v>109.43015632879475</v>
      </c>
      <c r="FM283" s="535"/>
      <c r="FN283" s="535"/>
      <c r="FO283" s="535">
        <f>O283+((Sheet1!CS281)*GPMtoMGD)</f>
        <v>70.099999999999994</v>
      </c>
      <c r="FP283" s="535">
        <f>IF(Sheet1!AA281+AQ283&lt;=Calculation!N283,AQ283,Calculation!N283-Sheet1!AA281)</f>
        <v>27.1</v>
      </c>
      <c r="FQ283" s="535">
        <f>(Sheet1!BP281+Sheet1!BO281)/694.4</f>
        <v>1.8451900921658986</v>
      </c>
      <c r="FR283" s="541"/>
      <c r="FS283" s="541"/>
      <c r="FT283" s="541"/>
      <c r="FU283" s="541"/>
      <c r="FV283" s="1109">
        <f t="shared" si="644"/>
        <v>42918</v>
      </c>
      <c r="FW283" s="1109">
        <f t="shared" si="645"/>
        <v>43027</v>
      </c>
      <c r="FX283" s="541"/>
      <c r="FY283" s="541">
        <f>Sheet1!DA281-Sheet1!CZ281-Sheet1!AE281</f>
        <v>-55.444699999999983</v>
      </c>
      <c r="FZ283" s="535">
        <f t="shared" si="678"/>
        <v>-0.45587425097207984</v>
      </c>
      <c r="GA283" s="535"/>
      <c r="GB283" s="535" t="str">
        <f t="shared" si="646"/>
        <v>n</v>
      </c>
      <c r="GC283" s="539">
        <f t="shared" si="647"/>
        <v>42782</v>
      </c>
      <c r="GD283" s="1109">
        <f t="shared" si="648"/>
        <v>42904</v>
      </c>
      <c r="GE283" s="535">
        <f t="shared" si="664"/>
        <v>6520</v>
      </c>
      <c r="GF283" s="1109">
        <f t="shared" si="649"/>
        <v>42909</v>
      </c>
      <c r="GG283" s="535">
        <f t="shared" si="691"/>
        <v>3260</v>
      </c>
      <c r="GH283" s="539">
        <f t="shared" si="650"/>
        <v>43040</v>
      </c>
      <c r="GJ283" s="521">
        <f t="shared" si="651"/>
        <v>0</v>
      </c>
      <c r="GK283" s="535" t="str">
        <f t="shared" si="622"/>
        <v/>
      </c>
      <c r="GL283" s="535">
        <f t="shared" si="652"/>
        <v>0</v>
      </c>
      <c r="GM283" s="535" t="str">
        <f t="shared" si="653"/>
        <v/>
      </c>
      <c r="GN283" s="535">
        <f>IF(GK283="P",Lookup!$M$12,IF(GK283="PP",Lookup!$M$13,IF(GK283="PPP",Lookup!$M$14,IF(GK283="T",Lookup!$M$15,IF(GK283="TP",Lookup!$M$16,IF(GK283="TPP",Lookup!$M$17,IF(GK283="TPPP",Lookup!$M$18,0)))))))*GJ283</f>
        <v>0</v>
      </c>
      <c r="GO283" s="535">
        <f t="shared" si="654"/>
        <v>0</v>
      </c>
      <c r="GP283" s="535">
        <f t="shared" si="623"/>
        <v>798.4009500972353</v>
      </c>
      <c r="GQ283" s="974">
        <f t="shared" si="567"/>
        <v>260.23499025333615</v>
      </c>
      <c r="GR283" s="535"/>
      <c r="GS283" s="535">
        <f t="shared" si="655"/>
        <v>0</v>
      </c>
      <c r="GT283" s="535" t="str">
        <f t="shared" si="656"/>
        <v/>
      </c>
      <c r="GU283" s="535">
        <f>IF(GK283="P",Lookup!$N$12,IF(GK283="PP",Lookup!$N$13,IF(GK283="PPP",Lookup!$N$14,IF(GK283="T",Lookup!$N$15,IF(GK283="TP",Lookup!$N$16,IF(GK283="TPP",Lookup!$N$17,IF(GK283="TPPP",Lookup!$N$18,0)))))))*GJ283</f>
        <v>0</v>
      </c>
      <c r="GV283" s="535">
        <f t="shared" si="657"/>
        <v>0</v>
      </c>
      <c r="GW283" s="535">
        <f t="shared" si="624"/>
        <v>319.05638931076675</v>
      </c>
      <c r="GX283" s="974">
        <f t="shared" si="568"/>
        <v>103.99491177013257</v>
      </c>
      <c r="GY283" s="535"/>
      <c r="GZ283" s="535">
        <f t="shared" si="658"/>
        <v>0</v>
      </c>
      <c r="HA283" s="535" t="str">
        <f t="shared" si="659"/>
        <v/>
      </c>
      <c r="HB283" s="535">
        <f>IF(GK283="P",Lookup!$N$12,IF(GK283="PP",Lookup!$N$13,IF(GK283="PPP",Lookup!$N$14,IF(GK283="T",Lookup!$N$15,IF(GK283="TP",Lookup!$N$16,IF(GK283="TPP",Lookup!$N$17,IF(GK283="TPPP",Lookup!$N$18,0)))))))*GJ283</f>
        <v>0</v>
      </c>
      <c r="HC283" s="521">
        <f t="shared" si="625"/>
        <v>0</v>
      </c>
      <c r="HD283" s="535">
        <f t="shared" si="626"/>
        <v>226.04411212989467</v>
      </c>
      <c r="HE283" s="535">
        <f t="shared" si="662"/>
        <v>73.678002649900478</v>
      </c>
      <c r="HF283" s="535"/>
      <c r="HG283" s="535">
        <f t="shared" si="660"/>
        <v>0</v>
      </c>
      <c r="HH283" s="535" t="str">
        <f t="shared" si="661"/>
        <v/>
      </c>
      <c r="HI283" s="535">
        <f>IF(GK283="P",Lookup!$N$12,IF(GK283="PP",Lookup!$N$13,IF(GK283="PPP",Lookup!$N$14,IF(GK283="T",Lookup!$N$15,IF(GK283="TP",Lookup!$N$16,IF(GK283="TPP",Lookup!$N$17,IF(GK283="TPPP",Lookup!$N$18,0)))))))*GJ283</f>
        <v>0</v>
      </c>
      <c r="HJ283" s="521">
        <f t="shared" si="627"/>
        <v>0</v>
      </c>
      <c r="HK283" s="535">
        <f t="shared" si="628"/>
        <v>368.52659147217634</v>
      </c>
      <c r="HL283" s="535">
        <f t="shared" si="663"/>
        <v>120.11948874582018</v>
      </c>
      <c r="HM283" s="535"/>
      <c r="HN283" s="541"/>
      <c r="HO283" s="541"/>
      <c r="HP283" s="541"/>
      <c r="HQ283" s="541">
        <f>IF(AND(B283&gt;=$FV$4,B283&lt;=$FW$4),MAX(110/1.02+$HQ$6+MIN(113/1.02,G283),IF($HV$6-(Sheet1!DA281-Sheet1!DB281)+MIN(113/1.02,G283)&lt;G283+FL283,$HV$6-(Sheet1!DA281-Sheet1!DB281)+MIN(113/1.02,G283),G283+FL283)),MIN(110/1.02+$HQ$6+113/1.02,G283))</f>
        <v>218.62745098039215</v>
      </c>
      <c r="HR283" s="541">
        <f t="shared" si="679"/>
        <v>223</v>
      </c>
      <c r="HS283" s="541">
        <f>HR283+(Sheet1!DA281-Sheet1!DB281)</f>
        <v>402</v>
      </c>
      <c r="HT283" s="541">
        <f t="shared" si="680"/>
        <v>85.703799999999987</v>
      </c>
      <c r="HU283" s="541">
        <f t="shared" si="681"/>
        <v>316.2962</v>
      </c>
      <c r="HV283" s="541">
        <f t="shared" si="682"/>
        <v>0</v>
      </c>
      <c r="HW283" s="533" t="str">
        <f t="shared" si="683"/>
        <v/>
      </c>
      <c r="HX283" s="541">
        <f t="shared" si="684"/>
        <v>224.63164901960783</v>
      </c>
      <c r="HY283" s="541">
        <f>Sheet1!CZ281</f>
        <v>466</v>
      </c>
      <c r="HZ283" s="541">
        <f t="shared" si="685"/>
        <v>22.740900000000003</v>
      </c>
      <c r="IA283" s="541">
        <f t="shared" si="686"/>
        <v>85.703799999999987</v>
      </c>
      <c r="IB283" s="541">
        <f t="shared" si="687"/>
        <v>443.25909999999999</v>
      </c>
      <c r="IC283" s="1019" t="str">
        <f t="shared" si="688"/>
        <v/>
      </c>
      <c r="ID283" s="541">
        <f t="shared" si="689"/>
        <v>357.55529999999999</v>
      </c>
      <c r="IE283" s="541">
        <f>Sheet1!DB281</f>
        <v>340</v>
      </c>
      <c r="IF283" s="533">
        <f>Sheet1!DA281</f>
        <v>519</v>
      </c>
      <c r="IH283" s="541">
        <f>IF(AND($B283&gt;=$GC283,$B283&lt;=$GH283,$DR283&lt;0)+N("only adjusted when pool is drawn down during storage season"),Sheet1!$DB281+$DR283+N("Palmer minus all storage release"),Sheet1!$DB281)</f>
        <v>-4.3772062541963805</v>
      </c>
      <c r="II283" s="541">
        <f>IF(AND($B283&gt;=$GC283,$B283&lt;=$GH283,$DR283&lt;0)+N("only adjusted when pool is drawn down during storage season"),Sheet1!$DA281+$DR283+N("Auburn minus all storage release"),Sheet1!$DA281)</f>
        <v>174.62279374580362</v>
      </c>
    </row>
    <row r="284" spans="1:243" x14ac:dyDescent="0.25">
      <c r="A284" s="553" t="s">
        <v>9</v>
      </c>
      <c r="B284" s="531">
        <v>43008</v>
      </c>
      <c r="C284" s="536">
        <v>0</v>
      </c>
      <c r="D284" s="506">
        <f t="shared" si="633"/>
        <v>300</v>
      </c>
      <c r="E284" s="506">
        <f t="shared" si="634"/>
        <v>250</v>
      </c>
      <c r="F284" s="506">
        <v>250</v>
      </c>
      <c r="G284" s="535">
        <f>DR284+Sheet1!CZ282</f>
        <v>131.60766515271291</v>
      </c>
      <c r="H284" s="1074">
        <f t="shared" si="690"/>
        <v>0</v>
      </c>
      <c r="I284" s="534">
        <f>IF(Sheet1!DA282&gt;=E284,(Sheet1!DA282-E284+P284)*CFStoMGD,0)</f>
        <v>253.05474047999999</v>
      </c>
      <c r="J284" s="995">
        <f>IF(Sheet1!DB282&gt;=D284,(Sheet1!DB282-D284+P284)*CFStoMGD,0)</f>
        <v>114.07874047999998</v>
      </c>
      <c r="K284" s="818">
        <f t="shared" si="665"/>
        <v>0</v>
      </c>
      <c r="L284" s="535">
        <f>Sheet1!AA282+Sheet1!AB282-Sheet1!L282+(Sheet1!DA282-F284)*CFStoMGD-S284-T284-U284</f>
        <v>238.53767693544066</v>
      </c>
      <c r="M284" s="535">
        <f t="shared" si="569"/>
        <v>86.772618649807896</v>
      </c>
      <c r="N284" s="824">
        <f>IF(Sheet1!DA282&gt;=F284,MIN(113*CFStoMGD,MIN(MAX(L284,0),MAX(M284,0))),0)</f>
        <v>73.043199999999999</v>
      </c>
      <c r="O284" s="538">
        <f>Sheet1!AA282+Sheet1!AB282</f>
        <v>65.599999999999994</v>
      </c>
      <c r="P284" s="538">
        <f t="shared" si="570"/>
        <v>101.48319999999998</v>
      </c>
      <c r="Q284" s="812">
        <f t="shared" si="666"/>
        <v>51.081676935440655</v>
      </c>
      <c r="R284" s="812">
        <f t="shared" si="635"/>
        <v>14.5</v>
      </c>
      <c r="S284" s="812">
        <f t="shared" si="636"/>
        <v>0</v>
      </c>
      <c r="T284" s="812">
        <f t="shared" si="637"/>
        <v>0</v>
      </c>
      <c r="U284" s="812">
        <f>IF(AND(B284&gt;=FV284,B284&lt;=FW284),ED284+Sheet1!EH282,0)</f>
        <v>14.518323064559336</v>
      </c>
      <c r="V284" s="812"/>
      <c r="W284" s="812">
        <f t="shared" si="638"/>
        <v>0</v>
      </c>
      <c r="X284" s="812">
        <f t="shared" si="639"/>
        <v>0</v>
      </c>
      <c r="Y284" s="812" t="str">
        <f t="shared" si="640"/>
        <v>FALSE</v>
      </c>
      <c r="Z284" s="812">
        <f t="shared" si="641"/>
        <v>65.599999999999994</v>
      </c>
      <c r="AA284" s="812">
        <f t="shared" si="642"/>
        <v>65.599999999999994</v>
      </c>
      <c r="AB284" s="1059">
        <f t="shared" si="667"/>
        <v>79.023354219126688</v>
      </c>
      <c r="AC284" s="538">
        <f>Sheet1!Y282*MGDtoCFS</f>
        <v>43.780099999999997</v>
      </c>
      <c r="AD284" s="538">
        <f>Sheet1!Z282*MGDtoCFS</f>
        <v>64.664599999999993</v>
      </c>
      <c r="AE284" s="538">
        <f>Sheet1!AA282*MGDtoCFS</f>
        <v>43.780099999999997</v>
      </c>
      <c r="AF284" s="538">
        <f>Sheet1!AB282*MGDtoCFS</f>
        <v>57.703099999999992</v>
      </c>
      <c r="AG284" s="538">
        <f>Sheet1!L282*MGDtoCFS</f>
        <v>0</v>
      </c>
      <c r="AH284" s="521">
        <f t="shared" si="571"/>
        <v>14.564318242700246</v>
      </c>
      <c r="AI284" s="1059">
        <f t="shared" si="572"/>
        <v>22.531000321457281</v>
      </c>
      <c r="AJ284" s="535">
        <f t="shared" si="573"/>
        <v>0</v>
      </c>
      <c r="AK284" s="535">
        <f t="shared" si="574"/>
        <v>0</v>
      </c>
      <c r="AL284" s="535">
        <f>(VLOOKUP(Sheet1!DC282,hhdcap_wcm,4)-(((VLOOKUP(Sheet1!DC282,hhdcap_wcm,3)-Sheet1!DC282)/(VLOOKUP(Sheet1!DC282,hhdcap_wcm,3)-VLOOKUP(Sheet1!DC282,hhdcap_wcm,1)))*(VLOOKUP(Sheet1!DC282,hhdcap_wcm,4)-VLOOKUP(Sheet1!DC282,hhdcap_wcm,2))))</f>
        <v>18068.000000044383</v>
      </c>
      <c r="AM284" s="535">
        <f t="shared" si="575"/>
        <v>-663.10000000217042</v>
      </c>
      <c r="AN284" s="1035">
        <f t="shared" si="576"/>
        <v>543.46307517648916</v>
      </c>
      <c r="AO284" s="535">
        <f t="shared" si="577"/>
        <v>1667.3447146414687</v>
      </c>
      <c r="AP284" s="535">
        <f>Sheet1!BA282+Sheet1!BB282+Sheet1!BN282+CD284</f>
        <v>22.8</v>
      </c>
      <c r="AQ284" s="535">
        <f>Sheet1!BN282+(DO284*Sheet1!BN282)</f>
        <v>22.781676935440665</v>
      </c>
      <c r="AR284" s="535">
        <f>Sheet1!BA282+CD284</f>
        <v>0</v>
      </c>
      <c r="AS284" s="535">
        <f>Sheet1!BA282+Sheet1!BB282+CD284</f>
        <v>0</v>
      </c>
      <c r="AT284" s="649">
        <f>0</f>
        <v>0</v>
      </c>
      <c r="AU284" s="974">
        <f>BA284+MAX(Sheet1!EH282,(O284-Q284-ED284-S284))</f>
        <v>3.5527136788005009E-15</v>
      </c>
      <c r="AV284" s="535">
        <f>IF(OR(B284&gt;=GD284,B284&lt;GC284),0,15/36*K284-MAX(0,64.6-(137.6-(Sheet1!AA282+Sheet1!AB282))))</f>
        <v>0</v>
      </c>
      <c r="AW284" s="1029"/>
      <c r="AX284" s="649"/>
      <c r="AY284" s="649">
        <f t="shared" si="668"/>
        <v>23.311716569431731</v>
      </c>
      <c r="AZ284" s="649">
        <f t="shared" si="669"/>
        <v>0</v>
      </c>
      <c r="BA284" s="1059">
        <f t="shared" si="670"/>
        <v>0</v>
      </c>
      <c r="BB284" s="1019">
        <f t="shared" si="578"/>
        <v>260.23499025333615</v>
      </c>
      <c r="BC284" s="1041">
        <f t="shared" si="671"/>
        <v>0</v>
      </c>
      <c r="BD284" s="1019">
        <f ca="1">IF(B284&gt;(Summary!$A$1-1),#N/A,BB284*MGtoAF)</f>
        <v>798.4009500972353</v>
      </c>
      <c r="BE284" s="535">
        <f>Sheet1!BG282+Sheet1!BH282+Sheet1!BI282-BM284</f>
        <v>4</v>
      </c>
      <c r="BF284" s="535">
        <f t="shared" si="579"/>
        <v>3.9967854272702921</v>
      </c>
      <c r="BG284" s="535">
        <f>IF(Sheet1!EP282="FM",BM284,0)</f>
        <v>0</v>
      </c>
      <c r="BH284" s="535">
        <f t="shared" si="580"/>
        <v>0</v>
      </c>
      <c r="BI284" s="535">
        <f>IF(Sheet1!EP282="OTHER",BM284,0)</f>
        <v>0</v>
      </c>
      <c r="BJ284" s="535">
        <f t="shared" si="581"/>
        <v>0</v>
      </c>
      <c r="BK284" s="535">
        <f t="shared" si="582"/>
        <v>4</v>
      </c>
      <c r="BL284" s="535">
        <f t="shared" si="583"/>
        <v>3.9967854272702921</v>
      </c>
      <c r="BM284" s="535">
        <f>IF(OR(Sheet1!EP282="FM", Sheet1!EP282="OTHER"),SUM(Sheet1!BG282:'Sheet1'!BI282),0)</f>
        <v>0</v>
      </c>
      <c r="BN284" s="521">
        <f>IF(AND($B284&gt;=$FV284,$B284&lt;=$FW284),MAX(BF284,Sheet1!EI282,0),MAX(BF284-(7/36)*$K284,0))</f>
        <v>4</v>
      </c>
      <c r="BO284" s="535">
        <f t="shared" si="584"/>
        <v>0</v>
      </c>
      <c r="BP284" s="521">
        <f t="shared" si="585"/>
        <v>0</v>
      </c>
      <c r="BQ284" s="521">
        <f>IF(AND($O284&gt;0,Sheet1!EM282=1),(1-($O284-Sheet1!$L282)/$O284)*BL284,0)</f>
        <v>0</v>
      </c>
      <c r="BR284" s="521">
        <f>IF(AND(Sheet1!$L282=0,Sheet1!$L281=0, Calculation!BK284&lt;Sheet1!$EI282-0.1,Sheet1!$EI282=Sheet1!$EI281,Sheet1!$EI282=Sheet1!$EI283),BL284-BQ284,BL284-BQ284)</f>
        <v>3.9967854272702921</v>
      </c>
      <c r="BS284" s="1035" t="str">
        <f t="shared" si="672"/>
        <v/>
      </c>
      <c r="BT284" s="1035">
        <f t="shared" si="673"/>
        <v>0</v>
      </c>
      <c r="BU284" s="535">
        <f t="shared" si="586"/>
        <v>99.994911770132575</v>
      </c>
      <c r="BV284" s="535"/>
      <c r="BW284" s="535">
        <f ca="1">IF(B284&gt;(Summary!$A$1-1),#N/A,BU284*MGtoAF)</f>
        <v>306.78438931076676</v>
      </c>
      <c r="BX284" s="535">
        <f>Sheet1!BC282+Sheet1!BD282+Sheet1!BE282+Sheet1!BF282-CG284-CH284</f>
        <v>3.46</v>
      </c>
      <c r="BY284" s="535">
        <f t="shared" si="587"/>
        <v>3.4572193945888023</v>
      </c>
      <c r="BZ284" s="535">
        <f>IF(Sheet1!EQ282="FM",CH284,0)</f>
        <v>0</v>
      </c>
      <c r="CA284" s="535">
        <f t="shared" si="588"/>
        <v>0</v>
      </c>
      <c r="CB284" s="535">
        <f>IF(Sheet1!EQ282="OTHER",CH284,0)</f>
        <v>0</v>
      </c>
      <c r="CC284" s="535">
        <f t="shared" si="589"/>
        <v>0</v>
      </c>
      <c r="CD284" s="535">
        <f t="shared" si="590"/>
        <v>0</v>
      </c>
      <c r="CE284" s="535">
        <f t="shared" si="591"/>
        <v>3.46</v>
      </c>
      <c r="CF284" s="535">
        <f t="shared" si="592"/>
        <v>3.4572193945888023</v>
      </c>
      <c r="CG284" s="535">
        <f>IF(Sheet1!EQ282="CWA",SUM(Sheet1!BC282:'Sheet1'!BF282),0)</f>
        <v>0</v>
      </c>
      <c r="CH284" s="535">
        <f>IF(OR(Sheet1!EQ282="FM", Sheet1!EQ282="OTHER"),SUM(Sheet1!BC282:'Sheet1'!BF282),0)</f>
        <v>0</v>
      </c>
      <c r="CI284" s="521">
        <f>IF(AND($B284&gt;=$FV284,$B284&lt;=$FW284),MAX(CF284,Sheet1!EJ282,0),MAX(CF284-(7/36)*$K284,0))</f>
        <v>3.5</v>
      </c>
      <c r="CJ284" s="535">
        <f t="shared" si="593"/>
        <v>0</v>
      </c>
      <c r="CK284" s="521">
        <f t="shared" si="594"/>
        <v>0</v>
      </c>
      <c r="CL284" s="521">
        <f>IF(AND($O284&gt;0,Sheet1!EN282=1),(1-($O284-Sheet1!$L282)/$O284)*CF284,0)</f>
        <v>0</v>
      </c>
      <c r="CM284" s="521">
        <f>IF(AND(Sheet1!$L282=0,Sheet1!$L281=0, Calculation!CE284&lt;Sheet1!EJ282-0.1,Sheet1!EJ282=Sheet1!EJ281,Sheet1!EJ282=Sheet1!EJ283),CF284-CL284,CF284-CL284)</f>
        <v>3.4572193945888023</v>
      </c>
      <c r="CN284" s="1040" t="str">
        <f t="shared" si="674"/>
        <v/>
      </c>
      <c r="CO284" s="1035">
        <f t="shared" si="675"/>
        <v>0</v>
      </c>
      <c r="CP284" s="535">
        <f t="shared" si="595"/>
        <v>70.178002649900478</v>
      </c>
      <c r="CQ284" s="535"/>
      <c r="CR284" s="535">
        <f ca="1">IF(B284&gt;(Summary!$A$1-1),#N/A,CP284*MGtoAF)</f>
        <v>215.30611212989467</v>
      </c>
      <c r="CS284" s="535">
        <f>Sheet1!BK282+Sheet1!BL282+Sheet1!BM282-Sheet1!ER282-DA284</f>
        <v>7.07</v>
      </c>
      <c r="CT284" s="535">
        <f t="shared" si="596"/>
        <v>7.0643182427002413</v>
      </c>
      <c r="CU284" s="535">
        <f>IF(Sheet1!ER282="FM",DA284,0)</f>
        <v>0</v>
      </c>
      <c r="CV284" s="535">
        <f t="shared" si="597"/>
        <v>0</v>
      </c>
      <c r="CW284" s="535">
        <f>IF(Sheet1!ER282="OTHER",DA284,0)</f>
        <v>0</v>
      </c>
      <c r="CX284" s="535">
        <f t="shared" si="598"/>
        <v>0</v>
      </c>
      <c r="CY284" s="535">
        <f t="shared" si="629"/>
        <v>7.07</v>
      </c>
      <c r="CZ284" s="535">
        <f t="shared" si="630"/>
        <v>7.0643182427002413</v>
      </c>
      <c r="DA284" s="535">
        <f>IF(OR(Sheet1!ER282="FM", Sheet1!ER282="OTHER"),SUM(Sheet1!BK282:'Sheet1'!BM282),0)</f>
        <v>0</v>
      </c>
      <c r="DB284" s="1011">
        <f>IF(AND($B284&gt;=$FV284,$B284&lt;=$FW284),MAX($CT284,Sheet1!EK282,0),MAX($CT284-(7/36)*$K284,0))</f>
        <v>7.0643182427002413</v>
      </c>
      <c r="DC284" s="1012">
        <f t="shared" si="601"/>
        <v>0</v>
      </c>
      <c r="DD284" s="1011">
        <f t="shared" si="602"/>
        <v>0</v>
      </c>
      <c r="DE284" s="521">
        <f>IF(AND($O284&gt;0,Sheet1!EO282=1),(1-($O284-Sheet1!$L282)/$O284)*CZ284,0)</f>
        <v>0</v>
      </c>
      <c r="DF284" s="521">
        <f>IF(AND(Sheet1!$L282=0,Sheet1!$L281=0, Calculation!CY284&lt;Sheet1!$EK282-0.1,Sheet1!$EK282=Sheet1!$EK281,Sheet1!$EK282=Sheet1!$EK283),CZ284-DE284,CZ284-DE284)</f>
        <v>7.0643182427002413</v>
      </c>
      <c r="DG284" s="1040">
        <f t="shared" si="676"/>
        <v>0</v>
      </c>
      <c r="DH284" s="649">
        <f t="shared" si="603"/>
        <v>14.530000000000001</v>
      </c>
      <c r="DI284" s="535">
        <f t="shared" si="604"/>
        <v>113.05517050311994</v>
      </c>
      <c r="DJ284" s="649">
        <f t="shared" si="605"/>
        <v>14.518323064559336</v>
      </c>
      <c r="DK284" s="535">
        <f ca="1">IF(B284&gt;(Summary!$A$1-1),#N/A,DI284*MGtoAF)</f>
        <v>346.85326310357198</v>
      </c>
      <c r="DL284" s="649">
        <f t="shared" si="606"/>
        <v>14.530000000000001</v>
      </c>
      <c r="DM284" s="535">
        <f t="shared" si="607"/>
        <v>37.33</v>
      </c>
      <c r="DN284" s="535">
        <f>Sheet1!AB282-DM284</f>
        <v>-3.0000000000001137E-2</v>
      </c>
      <c r="DO284" s="743">
        <f t="shared" si="608"/>
        <v>-8.0364318242703294E-4</v>
      </c>
      <c r="DP284" s="535">
        <f>(VLOOKUP(Sheet1!DC282,hhdcap_wcm,4)-(((VLOOKUP(Sheet1!DC282,hhdcap_wcm,3)-Sheet1!DC282)/(VLOOKUP(Sheet1!DC282,hhdcap_wcm,3)-VLOOKUP(Sheet1!DC282,hhdcap_wcm,1)))*(VLOOKUP(Sheet1!DC282,hhdcap_wcm,4)-VLOOKUP(Sheet1!DC282,hhdcap_wcm,2))))</f>
        <v>18068.000000044383</v>
      </c>
      <c r="DQ284" s="535">
        <f t="shared" si="609"/>
        <v>-663.10000000217042</v>
      </c>
      <c r="DR284" s="535">
        <f t="shared" si="610"/>
        <v>-334.39233484728709</v>
      </c>
      <c r="DS284" s="535">
        <f>Sheet1!EA282*AFtoMG</f>
        <v>0</v>
      </c>
      <c r="DT284" s="535">
        <f>Sheet1!EB282*AFtoMG</f>
        <v>0</v>
      </c>
      <c r="DU284" s="535">
        <f>Sheet1!EC282*AFtoMG</f>
        <v>0</v>
      </c>
      <c r="DV284" s="535">
        <f>Sheet1!ED282*AFtoMG</f>
        <v>0</v>
      </c>
      <c r="DW284" s="535">
        <f t="shared" si="611"/>
        <v>0</v>
      </c>
      <c r="DX284" s="535">
        <f t="shared" si="612"/>
        <v>0</v>
      </c>
      <c r="DY284" s="535">
        <f t="shared" si="613"/>
        <v>543.46307517648916</v>
      </c>
      <c r="DZ284" s="535">
        <f t="shared" si="614"/>
        <v>1667.3447146414687</v>
      </c>
      <c r="EA284" s="535"/>
      <c r="EB284" s="521">
        <f>IF(OR(B284&lt;FV284,B284&gt;FW284),(MIN(BF284+BY284+CT284+MAX(Sheet1!AA282+AQ284-73,0),K284)),0)</f>
        <v>0</v>
      </c>
      <c r="EC284" s="535"/>
      <c r="ED284" s="535">
        <f t="shared" si="615"/>
        <v>14.518323064559336</v>
      </c>
      <c r="EE284" s="535"/>
      <c r="EF284" s="535">
        <f>Sheet1!EH282+Sheet1!EI282+Sheet1!EJ282+Sheet1!EK282</f>
        <v>14.5</v>
      </c>
      <c r="EG284" s="1019">
        <f t="shared" si="677"/>
        <v>22.4315</v>
      </c>
      <c r="EH284" s="521">
        <f t="shared" si="616"/>
        <v>0</v>
      </c>
      <c r="EI284" s="535">
        <f>IF(Sheet1!ET282=1,SUM('Calculations II'!AT284:BA284)+'Calculations II'!BC284+Sheet1!BV282+'Calculations II'!BE284+AP284,'Calculations II'!BK284)</f>
        <v>48.986024935440653</v>
      </c>
      <c r="EJ284" s="535">
        <f ca="1">EI284+'Calculations II'!D284+'Calculations II'!E284+'Calculations II'!O284</f>
        <v>52.605504714831113</v>
      </c>
      <c r="EK284" s="535"/>
      <c r="EL284" s="535"/>
      <c r="EM284" s="535">
        <f t="shared" si="617"/>
        <v>43008</v>
      </c>
      <c r="EN284" s="535">
        <f t="shared" si="618"/>
        <v>-14.564318242700246</v>
      </c>
      <c r="EO284" s="535">
        <f t="shared" si="619"/>
        <v>-22.531000321457281</v>
      </c>
      <c r="EP284" s="535">
        <v>0</v>
      </c>
      <c r="EQ284" s="535">
        <v>0</v>
      </c>
      <c r="ER284" s="535">
        <v>0</v>
      </c>
      <c r="ES284" s="521">
        <f t="shared" si="643"/>
        <v>-2.3570232026563023</v>
      </c>
      <c r="ET284" s="535">
        <f>-(VLOOKUP(Sheet1!BQ282,Lookup!$O$4:$Q$262,2)-VLOOKUP(Sheet1!BQ281,Lookup!$O$4:$Q$262,2))/1000000</f>
        <v>-1.2476321361128799</v>
      </c>
      <c r="EU284" s="535">
        <f>-(VLOOKUP(Sheet1!BR282,Lookup!$O$4:$Q$262,3)-VLOOKUP(Sheet1!BR281,Lookup!$O$4:$Q$262,3))/1000000</f>
        <v>-1.1093910665434226</v>
      </c>
      <c r="EV284" s="535"/>
      <c r="EW284" s="535"/>
      <c r="EX284" s="535"/>
      <c r="EY284" s="535"/>
      <c r="EZ284" s="535"/>
      <c r="FA284" s="535"/>
      <c r="FB284" s="535"/>
      <c r="FC284" s="535"/>
      <c r="FD284" s="567">
        <f t="shared" si="632"/>
        <v>1115.3736842104686</v>
      </c>
      <c r="FE284" s="567" t="e">
        <f t="shared" si="620"/>
        <v>#N/A</v>
      </c>
      <c r="FF284" s="568" t="e">
        <f t="shared" si="621"/>
        <v>#N/A</v>
      </c>
      <c r="FG284" s="569" t="s">
        <v>656</v>
      </c>
      <c r="FH284" s="569" t="s">
        <v>656</v>
      </c>
      <c r="FI284" s="567" t="e">
        <v>#N/A</v>
      </c>
      <c r="FJ284" s="725">
        <v>9416</v>
      </c>
      <c r="FK284" s="535"/>
      <c r="FL284" s="1015">
        <f t="shared" si="631"/>
        <v>108.92586989409985</v>
      </c>
      <c r="FM284" s="535"/>
      <c r="FN284" s="535"/>
      <c r="FO284" s="535">
        <f>O284+((Sheet1!CS282)*GPMtoMGD)</f>
        <v>65.599999999999994</v>
      </c>
      <c r="FP284" s="535">
        <f>IF(Sheet1!AA282+AQ284&lt;=Calculation!N284,AQ284,Calculation!N284-Sheet1!AA282)</f>
        <v>22.781676935440665</v>
      </c>
      <c r="FQ284" s="535">
        <f>(Sheet1!BP282+Sheet1!BO282)/694.4</f>
        <v>1.9624135944700463</v>
      </c>
      <c r="FR284" s="541"/>
      <c r="FS284" s="541"/>
      <c r="FT284" s="541"/>
      <c r="FU284" s="541"/>
      <c r="FV284" s="1109">
        <f t="shared" si="644"/>
        <v>42918</v>
      </c>
      <c r="FW284" s="1109">
        <f t="shared" si="645"/>
        <v>43027</v>
      </c>
      <c r="FX284" s="541"/>
      <c r="FY284" s="541">
        <f>Sheet1!DA282-Sheet1!CZ282-Sheet1!AE282</f>
        <v>-27.483199999999982</v>
      </c>
      <c r="FZ284" s="535">
        <f t="shared" si="678"/>
        <v>-0.20882674248577726</v>
      </c>
      <c r="GA284" s="535"/>
      <c r="GB284" s="535" t="str">
        <f t="shared" si="646"/>
        <v>n</v>
      </c>
      <c r="GC284" s="539">
        <f t="shared" si="647"/>
        <v>42782</v>
      </c>
      <c r="GD284" s="1109">
        <f t="shared" si="648"/>
        <v>42904</v>
      </c>
      <c r="GE284" s="535">
        <f t="shared" si="664"/>
        <v>6520</v>
      </c>
      <c r="GF284" s="1109">
        <f t="shared" si="649"/>
        <v>42909</v>
      </c>
      <c r="GG284" s="535">
        <f t="shared" si="691"/>
        <v>3260</v>
      </c>
      <c r="GH284" s="539">
        <f t="shared" si="650"/>
        <v>43040</v>
      </c>
      <c r="GJ284" s="521">
        <f t="shared" si="651"/>
        <v>0</v>
      </c>
      <c r="GK284" s="535" t="str">
        <f t="shared" si="622"/>
        <v/>
      </c>
      <c r="GL284" s="535">
        <f t="shared" si="652"/>
        <v>0</v>
      </c>
      <c r="GM284" s="535" t="str">
        <f t="shared" si="653"/>
        <v/>
      </c>
      <c r="GN284" s="535">
        <f>IF(GK284="P",Lookup!$M$12,IF(GK284="PP",Lookup!$M$13,IF(GK284="PPP",Lookup!$M$14,IF(GK284="T",Lookup!$M$15,IF(GK284="TP",Lookup!$M$16,IF(GK284="TPP",Lookup!$M$17,IF(GK284="TPPP",Lookup!$M$18,0)))))))*GJ284</f>
        <v>0</v>
      </c>
      <c r="GO284" s="535">
        <f t="shared" si="654"/>
        <v>0</v>
      </c>
      <c r="GP284" s="535">
        <f t="shared" si="623"/>
        <v>798.4009500972353</v>
      </c>
      <c r="GQ284" s="974">
        <f t="shared" si="567"/>
        <v>260.23499025333615</v>
      </c>
      <c r="GR284" s="535"/>
      <c r="GS284" s="535">
        <f t="shared" si="655"/>
        <v>0</v>
      </c>
      <c r="GT284" s="535" t="str">
        <f t="shared" si="656"/>
        <v/>
      </c>
      <c r="GU284" s="535">
        <f>IF(GK284="P",Lookup!$N$12,IF(GK284="PP",Lookup!$N$13,IF(GK284="PPP",Lookup!$N$14,IF(GK284="T",Lookup!$N$15,IF(GK284="TP",Lookup!$N$16,IF(GK284="TPP",Lookup!$N$17,IF(GK284="TPPP",Lookup!$N$18,0)))))))*GJ284</f>
        <v>0</v>
      </c>
      <c r="GV284" s="535">
        <f t="shared" si="657"/>
        <v>0</v>
      </c>
      <c r="GW284" s="535">
        <f t="shared" si="624"/>
        <v>306.78438931076676</v>
      </c>
      <c r="GX284" s="974">
        <f t="shared" si="568"/>
        <v>99.994911770132575</v>
      </c>
      <c r="GY284" s="535"/>
      <c r="GZ284" s="535">
        <f t="shared" si="658"/>
        <v>0</v>
      </c>
      <c r="HA284" s="535" t="str">
        <f t="shared" si="659"/>
        <v/>
      </c>
      <c r="HB284" s="535">
        <f>IF(GK284="P",Lookup!$N$12,IF(GK284="PP",Lookup!$N$13,IF(GK284="PPP",Lookup!$N$14,IF(GK284="T",Lookup!$N$15,IF(GK284="TP",Lookup!$N$16,IF(GK284="TPP",Lookup!$N$17,IF(GK284="TPPP",Lookup!$N$18,0)))))))*GJ284</f>
        <v>0</v>
      </c>
      <c r="HC284" s="521">
        <f t="shared" si="625"/>
        <v>0</v>
      </c>
      <c r="HD284" s="535">
        <f t="shared" si="626"/>
        <v>215.30611212989467</v>
      </c>
      <c r="HE284" s="535">
        <f t="shared" si="662"/>
        <v>70.178002649900478</v>
      </c>
      <c r="HF284" s="535"/>
      <c r="HG284" s="535">
        <f t="shared" si="660"/>
        <v>0</v>
      </c>
      <c r="HH284" s="535" t="str">
        <f t="shared" si="661"/>
        <v/>
      </c>
      <c r="HI284" s="535">
        <f>IF(GK284="P",Lookup!$N$12,IF(GK284="PP",Lookup!$N$13,IF(GK284="PPP",Lookup!$N$14,IF(GK284="T",Lookup!$N$15,IF(GK284="TP",Lookup!$N$16,IF(GK284="TPP",Lookup!$N$17,IF(GK284="TPPP",Lookup!$N$18,0)))))))*GJ284</f>
        <v>0</v>
      </c>
      <c r="HJ284" s="521">
        <f t="shared" si="627"/>
        <v>0</v>
      </c>
      <c r="HK284" s="535">
        <f t="shared" si="628"/>
        <v>346.85326310357198</v>
      </c>
      <c r="HL284" s="535">
        <f t="shared" si="663"/>
        <v>113.05517050311994</v>
      </c>
      <c r="HM284" s="535"/>
      <c r="HN284" s="541"/>
      <c r="HO284" s="541"/>
      <c r="HP284" s="541"/>
      <c r="HQ284" s="541">
        <f>IF(AND(B284&gt;=$FV$4,B284&lt;=$FW$4),MAX(110/1.02+$HQ$6+MIN(113/1.02,G284),IF($HV$6-(Sheet1!DA282-Sheet1!DB282)+MIN(113/1.02,G284)&lt;G284+FL284,$HV$6-(Sheet1!DA282-Sheet1!DB282)+MIN(113/1.02,G284),G284+FL284)),MIN(110/1.02+$HQ$6+113/1.02,G284))</f>
        <v>218.62745098039215</v>
      </c>
      <c r="HR284" s="541">
        <f t="shared" si="679"/>
        <v>223</v>
      </c>
      <c r="HS284" s="541">
        <f>HR284+(Sheet1!DA282-Sheet1!DB282)</f>
        <v>388</v>
      </c>
      <c r="HT284" s="541">
        <f t="shared" si="680"/>
        <v>79.023354219126688</v>
      </c>
      <c r="HU284" s="541">
        <f t="shared" si="681"/>
        <v>308.9766457808733</v>
      </c>
      <c r="HV284" s="541">
        <f t="shared" si="682"/>
        <v>0</v>
      </c>
      <c r="HW284" s="533" t="str">
        <f t="shared" si="683"/>
        <v/>
      </c>
      <c r="HX284" s="541">
        <f t="shared" si="684"/>
        <v>224.84154869815058</v>
      </c>
      <c r="HY284" s="541">
        <f>Sheet1!CZ282</f>
        <v>466</v>
      </c>
      <c r="HZ284" s="541">
        <f t="shared" si="685"/>
        <v>22.531000321457281</v>
      </c>
      <c r="IA284" s="541">
        <f t="shared" si="686"/>
        <v>79.023354219126688</v>
      </c>
      <c r="IB284" s="541">
        <f t="shared" si="687"/>
        <v>443.46899967854273</v>
      </c>
      <c r="IC284" s="1019" t="str">
        <f t="shared" si="688"/>
        <v/>
      </c>
      <c r="ID284" s="541">
        <f t="shared" si="689"/>
        <v>364.44564545941603</v>
      </c>
      <c r="IE284" s="541">
        <f>Sheet1!DB282</f>
        <v>375</v>
      </c>
      <c r="IF284" s="533">
        <f>Sheet1!DA282</f>
        <v>540</v>
      </c>
      <c r="IH284" s="541">
        <f>IF(AND($B284&gt;=$GC284,$B284&lt;=$GH284,$DR284&lt;0)+N("only adjusted when pool is drawn down during storage season"),Sheet1!$DB282+$DR284+N("Palmer minus all storage release"),Sheet1!$DB282)</f>
        <v>40.607665152712912</v>
      </c>
      <c r="II284" s="541">
        <f>IF(AND($B284&gt;=$GC284,$B284&lt;=$GH284,$DR284&lt;0)+N("only adjusted when pool is drawn down during storage season"),Sheet1!$DA282+$DR284+N("Auburn minus all storage release"),Sheet1!$DA282)</f>
        <v>205.60766515271291</v>
      </c>
    </row>
    <row r="285" spans="1:243" x14ac:dyDescent="0.25">
      <c r="A285" s="553" t="s">
        <v>3</v>
      </c>
      <c r="B285" s="531">
        <v>43009</v>
      </c>
      <c r="C285" s="536">
        <v>0</v>
      </c>
      <c r="D285" s="506">
        <f t="shared" si="633"/>
        <v>300</v>
      </c>
      <c r="E285" s="506">
        <f t="shared" si="634"/>
        <v>250</v>
      </c>
      <c r="F285" s="506">
        <v>250</v>
      </c>
      <c r="G285" s="535">
        <f>DR285+Sheet1!CZ283</f>
        <v>264.3368633378717</v>
      </c>
      <c r="H285" s="1074">
        <f t="shared" si="690"/>
        <v>0</v>
      </c>
      <c r="I285" s="534">
        <f>IF(Sheet1!DA283&gt;=E285,(Sheet1!DA283-E285+P285)*CFStoMGD,0)</f>
        <v>265.22916736000002</v>
      </c>
      <c r="J285" s="995">
        <f>IF(Sheet1!DB283&gt;=D285,(Sheet1!DB283-D285+P285)*CFStoMGD,0)</f>
        <v>102.33636736</v>
      </c>
      <c r="K285" s="818">
        <f t="shared" si="665"/>
        <v>0</v>
      </c>
      <c r="L285" s="535">
        <f>Sheet1!AA283+Sheet1!AB283-Sheet1!L283+(Sheet1!DA283-F285)*CFStoMGD-S285-T285-U285</f>
        <v>251.22671272525642</v>
      </c>
      <c r="M285" s="535">
        <f t="shared" si="569"/>
        <v>174.28469543083227</v>
      </c>
      <c r="N285" s="824">
        <f>IF(Sheet1!DA283&gt;=F285,MIN(113*CFStoMGD,MIN(MAX(L285,0),MAX(M285,0))),0)</f>
        <v>73.043199999999999</v>
      </c>
      <c r="O285" s="538">
        <f>Sheet1!AA283+Sheet1!AB283</f>
        <v>64.2</v>
      </c>
      <c r="P285" s="538">
        <f t="shared" si="570"/>
        <v>99.317399999999992</v>
      </c>
      <c r="Q285" s="812">
        <f t="shared" si="666"/>
        <v>50.196312725256448</v>
      </c>
      <c r="R285" s="812">
        <f t="shared" si="635"/>
        <v>14.5</v>
      </c>
      <c r="S285" s="812">
        <f t="shared" si="636"/>
        <v>0</v>
      </c>
      <c r="T285" s="812">
        <f t="shared" si="637"/>
        <v>0</v>
      </c>
      <c r="U285" s="812">
        <f>IF(AND(B285&gt;=FV285,B285&lt;=FW285),ED285+Sheet1!EH283,0)</f>
        <v>14.003687274743553</v>
      </c>
      <c r="V285" s="812"/>
      <c r="W285" s="812">
        <f t="shared" si="638"/>
        <v>0</v>
      </c>
      <c r="X285" s="812">
        <f t="shared" si="639"/>
        <v>0</v>
      </c>
      <c r="Y285" s="812" t="str">
        <f t="shared" si="640"/>
        <v>FALSE</v>
      </c>
      <c r="Z285" s="812">
        <f t="shared" si="641"/>
        <v>64.2</v>
      </c>
      <c r="AA285" s="812">
        <f t="shared" si="642"/>
        <v>64.2</v>
      </c>
      <c r="AB285" s="1059">
        <f t="shared" si="667"/>
        <v>77.653695785971721</v>
      </c>
      <c r="AC285" s="538">
        <f>Sheet1!Y283*MGDtoCFS</f>
        <v>43.780099999999997</v>
      </c>
      <c r="AD285" s="538">
        <f>Sheet1!Z283*MGDtoCFS</f>
        <v>57.703099999999992</v>
      </c>
      <c r="AE285" s="538">
        <f>Sheet1!AA283*MGDtoCFS</f>
        <v>43.780099999999997</v>
      </c>
      <c r="AF285" s="538">
        <f>Sheet1!AB283*MGDtoCFS</f>
        <v>55.537299999999995</v>
      </c>
      <c r="AG285" s="538">
        <f>Sheet1!L283*MGDtoCFS</f>
        <v>0</v>
      </c>
      <c r="AH285" s="521">
        <f t="shared" si="571"/>
        <v>14.536678680343778</v>
      </c>
      <c r="AI285" s="1059">
        <f t="shared" si="572"/>
        <v>22.488241918491823</v>
      </c>
      <c r="AJ285" s="535">
        <f t="shared" si="573"/>
        <v>0</v>
      </c>
      <c r="AK285" s="535">
        <f t="shared" si="574"/>
        <v>0</v>
      </c>
      <c r="AL285" s="535">
        <f>(VLOOKUP(Sheet1!DC283,hhdcap_wcm,4)-(((VLOOKUP(Sheet1!DC283,hhdcap_wcm,3)-Sheet1!DC283)/(VLOOKUP(Sheet1!DC283,hhdcap_wcm,3)-VLOOKUP(Sheet1!DC283,hhdcap_wcm,1)))*(VLOOKUP(Sheet1!DC283,hhdcap_wcm,4)-VLOOKUP(Sheet1!DC283,hhdcap_wcm,2))))</f>
        <v>17680.000000043383</v>
      </c>
      <c r="AM285" s="535">
        <f t="shared" si="575"/>
        <v>-388.00000000100044</v>
      </c>
      <c r="AN285" s="1035">
        <f t="shared" si="576"/>
        <v>528.92639649614534</v>
      </c>
      <c r="AO285" s="535">
        <f t="shared" si="577"/>
        <v>1622.746184450174</v>
      </c>
      <c r="AP285" s="535">
        <f>Sheet1!BA283+Sheet1!BB283+Sheet1!BN283+CD285</f>
        <v>22</v>
      </c>
      <c r="AQ285" s="535">
        <f>Sheet1!BN283+(DO285*Sheet1!BN283)</f>
        <v>21.896312725256443</v>
      </c>
      <c r="AR285" s="535">
        <f>Sheet1!BA283+CD285</f>
        <v>0</v>
      </c>
      <c r="AS285" s="535">
        <f>Sheet1!BA283+Sheet1!BB283+CD285</f>
        <v>0</v>
      </c>
      <c r="AT285" s="649">
        <f>0</f>
        <v>0</v>
      </c>
      <c r="AU285" s="974">
        <f>BA285+MAX(Sheet1!EH283,(O285-Q285-ED285-S285))</f>
        <v>1.7763568394002505E-15</v>
      </c>
      <c r="AV285" s="535">
        <f>IF(OR(B285&gt;=GD285,B285&lt;GC285),0,15/36*K285-MAX(0,64.6-(137.6-(Sheet1!AA283+Sheet1!AB283))))</f>
        <v>0</v>
      </c>
      <c r="AW285" s="1029"/>
      <c r="AX285" s="649"/>
      <c r="AY285" s="649">
        <f t="shared" si="668"/>
        <v>23.311716569431731</v>
      </c>
      <c r="AZ285" s="649">
        <f t="shared" si="669"/>
        <v>0</v>
      </c>
      <c r="BA285" s="1059">
        <f t="shared" si="670"/>
        <v>0</v>
      </c>
      <c r="BB285" s="1019">
        <f t="shared" si="578"/>
        <v>260.23499025333615</v>
      </c>
      <c r="BC285" s="1041">
        <f t="shared" si="671"/>
        <v>0</v>
      </c>
      <c r="BD285" s="1019">
        <f ca="1">IF(B285&gt;(Summary!$A$1-1),#N/A,BB285*MGtoAF)</f>
        <v>798.4009500972353</v>
      </c>
      <c r="BE285" s="535">
        <f>Sheet1!BG283+Sheet1!BH283+Sheet1!BI283-BM285</f>
        <v>3.51</v>
      </c>
      <c r="BF285" s="535">
        <f t="shared" si="579"/>
        <v>3.4934571666204599</v>
      </c>
      <c r="BG285" s="535">
        <f>IF(Sheet1!EP283="FM",BM285,0)</f>
        <v>0</v>
      </c>
      <c r="BH285" s="535">
        <f t="shared" si="580"/>
        <v>0</v>
      </c>
      <c r="BI285" s="535">
        <f>IF(Sheet1!EP283="OTHER",BM285,0)</f>
        <v>0</v>
      </c>
      <c r="BJ285" s="535">
        <f t="shared" si="581"/>
        <v>0</v>
      </c>
      <c r="BK285" s="535">
        <f t="shared" si="582"/>
        <v>3.51</v>
      </c>
      <c r="BL285" s="535">
        <f t="shared" si="583"/>
        <v>3.4934571666204599</v>
      </c>
      <c r="BM285" s="535">
        <f>IF(OR(Sheet1!EP283="FM", Sheet1!EP283="OTHER"),SUM(Sheet1!BG283:'Sheet1'!BI283),0)</f>
        <v>0</v>
      </c>
      <c r="BN285" s="521">
        <f>IF(AND($B285&gt;=$FV285,$B285&lt;=$FW285),MAX(BF285,Sheet1!EI283,0),MAX(BF285-(7/36)*$K285,0))</f>
        <v>4</v>
      </c>
      <c r="BO285" s="535">
        <f t="shared" si="584"/>
        <v>0</v>
      </c>
      <c r="BP285" s="521">
        <f t="shared" si="585"/>
        <v>0</v>
      </c>
      <c r="BQ285" s="521">
        <f>IF(AND($O285&gt;0,Sheet1!EM283=1),(1-($O285-Sheet1!$L283)/$O285)*BL285,0)</f>
        <v>0</v>
      </c>
      <c r="BR285" s="521">
        <f>IF(AND(Sheet1!$L283=0,Sheet1!$L282=0, Calculation!BK285&lt;Sheet1!$EI283-0.1,Sheet1!$EI283=Sheet1!$EI282,Sheet1!$EI283=Sheet1!$EI284),BL285-BQ285,BL285-BQ285)</f>
        <v>3.4934571666204599</v>
      </c>
      <c r="BS285" s="1035" t="str">
        <f t="shared" si="672"/>
        <v/>
      </c>
      <c r="BT285" s="1035">
        <f t="shared" si="673"/>
        <v>0</v>
      </c>
      <c r="BU285" s="535">
        <f t="shared" si="586"/>
        <v>95.994911770132575</v>
      </c>
      <c r="BV285" s="535"/>
      <c r="BW285" s="535">
        <f ca="1">IF(B285&gt;(Summary!$A$1-1),#N/A,BU285*MGtoAF)</f>
        <v>294.51238931076676</v>
      </c>
      <c r="BX285" s="535">
        <f>Sheet1!BC283+Sheet1!BD283+Sheet1!BE283+Sheet1!BF283-CG285-CH285</f>
        <v>3.49</v>
      </c>
      <c r="BY285" s="535">
        <f t="shared" si="587"/>
        <v>3.4735514277793182</v>
      </c>
      <c r="BZ285" s="535">
        <f>IF(Sheet1!EQ283="FM",CH285,0)</f>
        <v>0</v>
      </c>
      <c r="CA285" s="535">
        <f t="shared" si="588"/>
        <v>0</v>
      </c>
      <c r="CB285" s="535">
        <f>IF(Sheet1!EQ283="OTHER",CH285,0)</f>
        <v>0</v>
      </c>
      <c r="CC285" s="535">
        <f t="shared" si="589"/>
        <v>0</v>
      </c>
      <c r="CD285" s="535">
        <f t="shared" si="590"/>
        <v>0</v>
      </c>
      <c r="CE285" s="535">
        <f t="shared" si="591"/>
        <v>3.49</v>
      </c>
      <c r="CF285" s="535">
        <f t="shared" si="592"/>
        <v>3.4735514277793182</v>
      </c>
      <c r="CG285" s="535">
        <f>IF(Sheet1!EQ283="CWA",SUM(Sheet1!BC283:'Sheet1'!BF283),0)</f>
        <v>0</v>
      </c>
      <c r="CH285" s="535">
        <f>IF(OR(Sheet1!EQ283="FM", Sheet1!EQ283="OTHER"),SUM(Sheet1!BC283:'Sheet1'!BF283),0)</f>
        <v>0</v>
      </c>
      <c r="CI285" s="521">
        <f>IF(AND($B285&gt;=$FV285,$B285&lt;=$FW285),MAX(CF285,Sheet1!EJ283,0),MAX(CF285-(7/36)*$K285,0))</f>
        <v>3.5</v>
      </c>
      <c r="CJ285" s="535">
        <f t="shared" si="593"/>
        <v>0</v>
      </c>
      <c r="CK285" s="521">
        <f t="shared" si="594"/>
        <v>0</v>
      </c>
      <c r="CL285" s="521">
        <f>IF(AND($O285&gt;0,Sheet1!EN283=1),(1-($O285-Sheet1!$L283)/$O285)*CF285,0)</f>
        <v>0</v>
      </c>
      <c r="CM285" s="521">
        <f>IF(AND(Sheet1!$L283=0,Sheet1!$L282=0, Calculation!CE285&lt;Sheet1!EJ283-0.1,Sheet1!EJ283=Sheet1!EJ282,Sheet1!EJ283=Sheet1!EJ284),CF285-CL285,CF285-CL285)</f>
        <v>3.4735514277793182</v>
      </c>
      <c r="CN285" s="1040" t="str">
        <f t="shared" si="674"/>
        <v/>
      </c>
      <c r="CO285" s="1035">
        <f t="shared" si="675"/>
        <v>0</v>
      </c>
      <c r="CP285" s="535">
        <f t="shared" si="595"/>
        <v>66.678002649900478</v>
      </c>
      <c r="CQ285" s="535"/>
      <c r="CR285" s="535">
        <f ca="1">IF(B285&gt;(Summary!$A$1-1),#N/A,CP285*MGtoAF)</f>
        <v>204.56811212989467</v>
      </c>
      <c r="CS285" s="535">
        <f>Sheet1!BK283+Sheet1!BL283+Sheet1!BM283-Sheet1!ER283-DA285</f>
        <v>7.07</v>
      </c>
      <c r="CT285" s="535">
        <f t="shared" si="596"/>
        <v>7.0366786803437762</v>
      </c>
      <c r="CU285" s="535">
        <f>IF(Sheet1!ER283="FM",DA285,0)</f>
        <v>0</v>
      </c>
      <c r="CV285" s="535">
        <f t="shared" si="597"/>
        <v>0</v>
      </c>
      <c r="CW285" s="535">
        <f>IF(Sheet1!ER283="OTHER",DA285,0)</f>
        <v>0</v>
      </c>
      <c r="CX285" s="535">
        <f t="shared" si="598"/>
        <v>0</v>
      </c>
      <c r="CY285" s="535">
        <f t="shared" si="629"/>
        <v>7.07</v>
      </c>
      <c r="CZ285" s="535">
        <f t="shared" si="630"/>
        <v>7.0366786803437762</v>
      </c>
      <c r="DA285" s="535">
        <f>IF(OR(Sheet1!ER283="FM", Sheet1!ER283="OTHER"),SUM(Sheet1!BK283:'Sheet1'!BM283),0)</f>
        <v>0</v>
      </c>
      <c r="DB285" s="1011">
        <f>IF(AND($B285&gt;=$FV285,$B285&lt;=$FW285),MAX($CT285,Sheet1!EK283,0),MAX($CT285-(7/36)*$K285,0))</f>
        <v>7.0366786803437762</v>
      </c>
      <c r="DC285" s="1012">
        <f t="shared" si="601"/>
        <v>0</v>
      </c>
      <c r="DD285" s="1011">
        <f t="shared" si="602"/>
        <v>0</v>
      </c>
      <c r="DE285" s="521">
        <f>IF(AND($O285&gt;0,Sheet1!EO283=1),(1-($O285-Sheet1!$L283)/$O285)*CZ285,0)</f>
        <v>0</v>
      </c>
      <c r="DF285" s="521">
        <f>IF(AND(Sheet1!$L283=0,Sheet1!$L282=0, Calculation!CY285&lt;Sheet1!$EK283-0.1,Sheet1!$EK283=Sheet1!$EK282,Sheet1!$EK283=Sheet1!$EK284),CZ285-DE285,CZ285-DE285)</f>
        <v>7.0366786803437762</v>
      </c>
      <c r="DG285" s="1040">
        <f t="shared" si="676"/>
        <v>0</v>
      </c>
      <c r="DH285" s="649">
        <f t="shared" si="603"/>
        <v>14.07</v>
      </c>
      <c r="DI285" s="535">
        <f t="shared" si="604"/>
        <v>106.01849182277616</v>
      </c>
      <c r="DJ285" s="649">
        <f t="shared" si="605"/>
        <v>14.003687274743555</v>
      </c>
      <c r="DK285" s="535">
        <f ca="1">IF(B285&gt;(Summary!$A$1-1),#N/A,DI285*MGtoAF)</f>
        <v>325.26473291227722</v>
      </c>
      <c r="DL285" s="649">
        <f>CY285+CE285+BK285</f>
        <v>14.07</v>
      </c>
      <c r="DM285" s="535">
        <f t="shared" si="607"/>
        <v>36.07</v>
      </c>
      <c r="DN285" s="535">
        <f>Sheet1!AB283-DM285</f>
        <v>-0.17000000000000171</v>
      </c>
      <c r="DO285" s="743">
        <f t="shared" si="608"/>
        <v>-4.7130579428888743E-3</v>
      </c>
      <c r="DP285" s="535">
        <f>(VLOOKUP(Sheet1!DC283,hhdcap_wcm,4)-(((VLOOKUP(Sheet1!DC283,hhdcap_wcm,3)-Sheet1!DC283)/(VLOOKUP(Sheet1!DC283,hhdcap_wcm,3)-VLOOKUP(Sheet1!DC283,hhdcap_wcm,1)))*(VLOOKUP(Sheet1!DC283,hhdcap_wcm,4)-VLOOKUP(Sheet1!DC283,hhdcap_wcm,2))))</f>
        <v>17680.000000043383</v>
      </c>
      <c r="DQ285" s="535">
        <f t="shared" si="609"/>
        <v>-388.00000000100044</v>
      </c>
      <c r="DR285" s="535">
        <f t="shared" si="610"/>
        <v>-195.6631366621283</v>
      </c>
      <c r="DS285" s="535">
        <f>Sheet1!EA283*AFtoMG</f>
        <v>0</v>
      </c>
      <c r="DT285" s="535">
        <f>Sheet1!EB283*AFtoMG</f>
        <v>0</v>
      </c>
      <c r="DU285" s="535">
        <f>Sheet1!EC283*AFtoMG</f>
        <v>0</v>
      </c>
      <c r="DV285" s="535">
        <f>Sheet1!ED283*AFtoMG</f>
        <v>0</v>
      </c>
      <c r="DW285" s="535">
        <f t="shared" si="611"/>
        <v>0</v>
      </c>
      <c r="DX285" s="535">
        <f t="shared" si="612"/>
        <v>0</v>
      </c>
      <c r="DY285" s="535">
        <f t="shared" si="613"/>
        <v>528.92639649614534</v>
      </c>
      <c r="DZ285" s="535">
        <f t="shared" si="614"/>
        <v>1622.746184450174</v>
      </c>
      <c r="EA285" s="535"/>
      <c r="EB285" s="521">
        <f>IF(OR(B285&lt;FV285,B285&gt;FW285),(MIN(BF285+BY285+CT285+MAX(Sheet1!AA283+AQ285-73,0),K285)),0)</f>
        <v>0</v>
      </c>
      <c r="EC285" s="535"/>
      <c r="ED285" s="535">
        <f t="shared" si="615"/>
        <v>14.003687274743553</v>
      </c>
      <c r="EE285" s="535"/>
      <c r="EF285" s="535">
        <f>Sheet1!EH283+Sheet1!EI283+Sheet1!EJ283+Sheet1!EK283</f>
        <v>14.5</v>
      </c>
      <c r="EG285" s="1019">
        <f t="shared" si="677"/>
        <v>22.4315</v>
      </c>
      <c r="EH285" s="521">
        <f t="shared" si="616"/>
        <v>0</v>
      </c>
      <c r="EI285" s="535">
        <f>IF(Sheet1!ET283=1,SUM('Calculations II'!AT285:BA285)+'Calculations II'!BC285+Sheet1!BV283+'Calculations II'!BE285+AP285,'Calculations II'!BK285)</f>
        <v>51.962004725256449</v>
      </c>
      <c r="EJ285" s="535">
        <f ca="1">EI285+'Calculations II'!D285+'Calculations II'!E285+'Calculations II'!O285</f>
        <v>50.151546040254146</v>
      </c>
      <c r="EK285" s="535"/>
      <c r="EL285" s="535"/>
      <c r="EM285" s="535">
        <f t="shared" si="617"/>
        <v>43009</v>
      </c>
      <c r="EN285" s="535">
        <f t="shared" si="618"/>
        <v>-14.536678680343778</v>
      </c>
      <c r="EO285" s="535">
        <f t="shared" si="619"/>
        <v>-22.488241918491823</v>
      </c>
      <c r="EP285" s="535">
        <v>0</v>
      </c>
      <c r="EQ285" s="535">
        <v>0</v>
      </c>
      <c r="ER285" s="535">
        <v>0</v>
      </c>
      <c r="ES285" s="521">
        <f t="shared" si="643"/>
        <v>1.3866105903114341</v>
      </c>
      <c r="ET285" s="535">
        <f>-(VLOOKUP(Sheet1!BQ283,Lookup!$O$4:$Q$262,2)-VLOOKUP(Sheet1!BQ282,Lookup!$O$4:$Q$262,2))/1000000</f>
        <v>0.69319307941323516</v>
      </c>
      <c r="EU285" s="535">
        <f>-(VLOOKUP(Sheet1!BR283,Lookup!$O$4:$Q$262,3)-VLOOKUP(Sheet1!BR282,Lookup!$O$4:$Q$262,3))/1000000</f>
        <v>0.69341751089819892</v>
      </c>
      <c r="EV285" s="535"/>
      <c r="EW285" s="535"/>
      <c r="EX285" s="535"/>
      <c r="EY285" s="535"/>
      <c r="EZ285" s="535"/>
      <c r="FA285" s="535"/>
      <c r="FB285" s="535"/>
      <c r="FC285" s="535"/>
      <c r="FD285" s="567">
        <f t="shared" si="632"/>
        <v>1114.7918918918349</v>
      </c>
      <c r="FE285" s="567" t="e">
        <f t="shared" si="620"/>
        <v>#N/A</v>
      </c>
      <c r="FF285" s="568" t="e">
        <f t="shared" si="621"/>
        <v>#N/A</v>
      </c>
      <c r="FG285" s="569" t="s">
        <v>656</v>
      </c>
      <c r="FH285" s="569" t="s">
        <v>656</v>
      </c>
      <c r="FI285" s="567" t="e">
        <v>#N/A</v>
      </c>
      <c r="FJ285" s="725">
        <v>9200</v>
      </c>
      <c r="FK285" s="535"/>
      <c r="FL285" s="1015">
        <f t="shared" si="631"/>
        <v>105.90015128593041</v>
      </c>
      <c r="FM285" s="535"/>
      <c r="FN285" s="535"/>
      <c r="FO285" s="535">
        <f>O285+((Sheet1!CS283)*GPMtoMGD)</f>
        <v>64.2</v>
      </c>
      <c r="FP285" s="535">
        <f>IF(Sheet1!AA283+AQ285&lt;=Calculation!N285,AQ285,Calculation!N285-Sheet1!AA283)</f>
        <v>21.896312725256443</v>
      </c>
      <c r="FQ285" s="535">
        <f>(Sheet1!BP283+Sheet1!BO283)/694.4</f>
        <v>2.3660714285714288</v>
      </c>
      <c r="FR285" s="541"/>
      <c r="FS285" s="541"/>
      <c r="FT285" s="541"/>
      <c r="FU285" s="541"/>
      <c r="FV285" s="1109">
        <f t="shared" si="644"/>
        <v>42918</v>
      </c>
      <c r="FW285" s="1109">
        <f t="shared" si="645"/>
        <v>43027</v>
      </c>
      <c r="FX285" s="541"/>
      <c r="FY285" s="541">
        <f>Sheet1!DA283-Sheet1!CZ283-Sheet1!AE283</f>
        <v>1.6825999999999937</v>
      </c>
      <c r="FZ285" s="535">
        <f t="shared" si="678"/>
        <v>6.3653626616932265E-3</v>
      </c>
      <c r="GA285" s="535"/>
      <c r="GB285" s="535" t="str">
        <f t="shared" si="646"/>
        <v>n</v>
      </c>
      <c r="GC285" s="539">
        <f t="shared" si="647"/>
        <v>42782</v>
      </c>
      <c r="GD285" s="1109">
        <f t="shared" si="648"/>
        <v>42904</v>
      </c>
      <c r="GE285" s="535">
        <f t="shared" si="664"/>
        <v>6520</v>
      </c>
      <c r="GF285" s="1109">
        <f t="shared" si="649"/>
        <v>42909</v>
      </c>
      <c r="GG285" s="535">
        <f t="shared" si="691"/>
        <v>3260</v>
      </c>
      <c r="GH285" s="539">
        <f t="shared" si="650"/>
        <v>43040</v>
      </c>
      <c r="GJ285" s="521">
        <f t="shared" si="651"/>
        <v>0</v>
      </c>
      <c r="GK285" s="535" t="str">
        <f t="shared" si="622"/>
        <v/>
      </c>
      <c r="GL285" s="535">
        <f t="shared" si="652"/>
        <v>0</v>
      </c>
      <c r="GM285" s="535" t="str">
        <f t="shared" si="653"/>
        <v/>
      </c>
      <c r="GN285" s="535">
        <f>IF(GK285="P",Lookup!$M$12,IF(GK285="PP",Lookup!$M$13,IF(GK285="PPP",Lookup!$M$14,IF(GK285="T",Lookup!$M$15,IF(GK285="TP",Lookup!$M$16,IF(GK285="TPP",Lookup!$M$17,IF(GK285="TPPP",Lookup!$M$18,0)))))))*GJ285</f>
        <v>0</v>
      </c>
      <c r="GO285" s="535">
        <f t="shared" si="654"/>
        <v>0</v>
      </c>
      <c r="GP285" s="535">
        <f t="shared" si="623"/>
        <v>798.4009500972353</v>
      </c>
      <c r="GQ285" s="974">
        <f t="shared" si="567"/>
        <v>260.23499025333615</v>
      </c>
      <c r="GR285" s="535"/>
      <c r="GS285" s="535">
        <f t="shared" si="655"/>
        <v>0</v>
      </c>
      <c r="GT285" s="535" t="str">
        <f t="shared" si="656"/>
        <v/>
      </c>
      <c r="GU285" s="535">
        <f>IF(GK285="P",Lookup!$N$12,IF(GK285="PP",Lookup!$N$13,IF(GK285="PPP",Lookup!$N$14,IF(GK285="T",Lookup!$N$15,IF(GK285="TP",Lookup!$N$16,IF(GK285="TPP",Lookup!$N$17,IF(GK285="TPPP",Lookup!$N$18,0)))))))*GJ285</f>
        <v>0</v>
      </c>
      <c r="GV285" s="535">
        <f t="shared" si="657"/>
        <v>0</v>
      </c>
      <c r="GW285" s="535">
        <f t="shared" si="624"/>
        <v>294.51238931076676</v>
      </c>
      <c r="GX285" s="974">
        <f t="shared" si="568"/>
        <v>95.994911770132575</v>
      </c>
      <c r="GY285" s="535"/>
      <c r="GZ285" s="535">
        <f t="shared" si="658"/>
        <v>0</v>
      </c>
      <c r="HA285" s="535" t="str">
        <f t="shared" si="659"/>
        <v/>
      </c>
      <c r="HB285" s="535">
        <f>IF(GK285="P",Lookup!$N$12,IF(GK285="PP",Lookup!$N$13,IF(GK285="PPP",Lookup!$N$14,IF(GK285="T",Lookup!$N$15,IF(GK285="TP",Lookup!$N$16,IF(GK285="TPP",Lookup!$N$17,IF(GK285="TPPP",Lookup!$N$18,0)))))))*GJ285</f>
        <v>0</v>
      </c>
      <c r="HC285" s="521">
        <f t="shared" si="625"/>
        <v>0</v>
      </c>
      <c r="HD285" s="535">
        <f t="shared" si="626"/>
        <v>204.56811212989467</v>
      </c>
      <c r="HE285" s="535">
        <f t="shared" si="662"/>
        <v>66.678002649900478</v>
      </c>
      <c r="HF285" s="535"/>
      <c r="HG285" s="535">
        <f t="shared" si="660"/>
        <v>0</v>
      </c>
      <c r="HH285" s="535" t="str">
        <f t="shared" si="661"/>
        <v/>
      </c>
      <c r="HI285" s="535">
        <f>IF(GK285="P",Lookup!$N$12,IF(GK285="PP",Lookup!$N$13,IF(GK285="PPP",Lookup!$N$14,IF(GK285="T",Lookup!$N$15,IF(GK285="TP",Lookup!$N$16,IF(GK285="TPP",Lookup!$N$17,IF(GK285="TPPP",Lookup!$N$18,0)))))))*GJ285</f>
        <v>0</v>
      </c>
      <c r="HJ285" s="521">
        <f t="shared" si="627"/>
        <v>0</v>
      </c>
      <c r="HK285" s="535">
        <f t="shared" si="628"/>
        <v>325.26473291227722</v>
      </c>
      <c r="HL285" s="535">
        <f t="shared" si="663"/>
        <v>106.01849182277616</v>
      </c>
      <c r="HM285" s="535"/>
      <c r="HN285" s="541"/>
      <c r="HO285" s="541"/>
      <c r="HP285" s="541"/>
      <c r="HQ285" s="541">
        <f>IF(AND(B285&gt;=$FV$4,B285&lt;=$FW$4),MAX(110/1.02+$HQ$6+MIN(113/1.02,G285),IF($HV$6-(Sheet1!DA283-Sheet1!DB283)+MIN(113/1.02,G285)&lt;G285+FL285,$HV$6-(Sheet1!DA283-Sheet1!DB283)+MIN(113/1.02,G285),G285+FL285)),MIN(110/1.02+$HQ$6+113/1.02,G285))</f>
        <v>218.62745098039215</v>
      </c>
      <c r="HR285" s="541">
        <f t="shared" si="679"/>
        <v>223</v>
      </c>
      <c r="HS285" s="541">
        <f>HR285+(Sheet1!DA283-Sheet1!DB283)</f>
        <v>425</v>
      </c>
      <c r="HT285" s="541">
        <f t="shared" si="680"/>
        <v>77.653695785971721</v>
      </c>
      <c r="HU285" s="541">
        <f t="shared" si="681"/>
        <v>347.34630421402829</v>
      </c>
      <c r="HV285" s="541">
        <f t="shared" si="682"/>
        <v>0</v>
      </c>
      <c r="HW285" s="533" t="str">
        <f t="shared" si="683"/>
        <v/>
      </c>
      <c r="HX285" s="541">
        <f t="shared" si="684"/>
        <v>218.88430710111601</v>
      </c>
      <c r="HY285" s="541">
        <f>Sheet1!CZ283</f>
        <v>460</v>
      </c>
      <c r="HZ285" s="541">
        <f t="shared" si="685"/>
        <v>22.488241918491823</v>
      </c>
      <c r="IA285" s="541">
        <f t="shared" si="686"/>
        <v>77.653695785971721</v>
      </c>
      <c r="IB285" s="541">
        <f t="shared" si="687"/>
        <v>437.51175808150816</v>
      </c>
      <c r="IC285" s="1019" t="str">
        <f t="shared" si="688"/>
        <v/>
      </c>
      <c r="ID285" s="541">
        <f t="shared" si="689"/>
        <v>359.85806229553646</v>
      </c>
      <c r="IE285" s="541">
        <f>Sheet1!DB283</f>
        <v>359</v>
      </c>
      <c r="IF285" s="533">
        <f>Sheet1!DA283</f>
        <v>561</v>
      </c>
      <c r="IH285" s="541">
        <f>IF(AND($B285&gt;=$GC285,$B285&lt;=$GH285,$DR285&lt;0)+N("only adjusted when pool is drawn down during storage season"),Sheet1!$DB283+$DR285+N("Palmer minus all storage release"),Sheet1!$DB283)</f>
        <v>163.3368633378717</v>
      </c>
      <c r="II285" s="541">
        <f>IF(AND($B285&gt;=$GC285,$B285&lt;=$GH285,$DR285&lt;0)+N("only adjusted when pool is drawn down during storage season"),Sheet1!$DA283+$DR285+N("Auburn minus all storage release"),Sheet1!$DA283)</f>
        <v>365.3368633378717</v>
      </c>
    </row>
    <row r="286" spans="1:243" x14ac:dyDescent="0.25">
      <c r="A286" s="553" t="s">
        <v>4</v>
      </c>
      <c r="B286" s="531">
        <v>43010</v>
      </c>
      <c r="C286" s="536">
        <v>0</v>
      </c>
      <c r="D286" s="506">
        <f t="shared" si="633"/>
        <v>300</v>
      </c>
      <c r="E286" s="506">
        <f t="shared" si="634"/>
        <v>250</v>
      </c>
      <c r="F286" s="506">
        <v>250</v>
      </c>
      <c r="G286" s="535">
        <f>DR286+Sheet1!CZ284</f>
        <v>173.52344931857749</v>
      </c>
      <c r="H286" s="1074">
        <f t="shared" si="690"/>
        <v>0</v>
      </c>
      <c r="I286" s="534">
        <f>IF(Sheet1!DA284&gt;=E286,(Sheet1!DA284-E286+P286)*CFStoMGD,0)</f>
        <v>241.32236716799997</v>
      </c>
      <c r="J286" s="995">
        <f>IF(Sheet1!DB284&gt;=D286,(Sheet1!DB284-D286+P286)*CFStoMGD,0)</f>
        <v>95.235967167999988</v>
      </c>
      <c r="K286" s="818">
        <f t="shared" si="665"/>
        <v>0</v>
      </c>
      <c r="L286" s="535">
        <f>Sheet1!AA284+Sheet1!AB284-Sheet1!L284+(Sheet1!DA284-F286)*CFStoMGD-S286-T286-U286</f>
        <v>226.91778630440811</v>
      </c>
      <c r="M286" s="535">
        <f t="shared" si="569"/>
        <v>114.40886879231907</v>
      </c>
      <c r="N286" s="824">
        <f>IF(Sheet1!DA284&gt;=F286,MIN(113*CFStoMGD,MIN(MAX(L286,0),MAX(M286,0))),0)</f>
        <v>73.043199999999999</v>
      </c>
      <c r="O286" s="538">
        <f>Sheet1!AA284+Sheet1!AB284</f>
        <v>64.209999999999994</v>
      </c>
      <c r="P286" s="538">
        <f t="shared" si="570"/>
        <v>99.332869999999986</v>
      </c>
      <c r="Q286" s="812">
        <f t="shared" si="666"/>
        <v>49.804186304408091</v>
      </c>
      <c r="R286" s="812">
        <f t="shared" si="635"/>
        <v>14.5</v>
      </c>
      <c r="S286" s="812">
        <f t="shared" si="636"/>
        <v>0</v>
      </c>
      <c r="T286" s="812">
        <f t="shared" si="637"/>
        <v>0</v>
      </c>
      <c r="U286" s="812">
        <f>IF(AND(B286&gt;=FV286,B286&lt;=FW286),ED286+Sheet1!EH284,0)</f>
        <v>14.405813695591899</v>
      </c>
      <c r="V286" s="812"/>
      <c r="W286" s="812">
        <f t="shared" si="638"/>
        <v>0</v>
      </c>
      <c r="X286" s="812">
        <f t="shared" si="639"/>
        <v>0</v>
      </c>
      <c r="Y286" s="812" t="str">
        <f t="shared" si="640"/>
        <v>FALSE</v>
      </c>
      <c r="Z286" s="812">
        <f t="shared" si="641"/>
        <v>64.209999999999994</v>
      </c>
      <c r="AA286" s="812">
        <f t="shared" si="642"/>
        <v>64.209999999999994</v>
      </c>
      <c r="AB286" s="1059">
        <f t="shared" si="667"/>
        <v>77.047076212919308</v>
      </c>
      <c r="AC286" s="538">
        <f>Sheet1!Y284*MGDtoCFS</f>
        <v>43.780099999999997</v>
      </c>
      <c r="AD286" s="538">
        <f>Sheet1!Z284*MGDtoCFS</f>
        <v>55.537299999999995</v>
      </c>
      <c r="AE286" s="538">
        <f>Sheet1!AA284*MGDtoCFS</f>
        <v>43.780099999999997</v>
      </c>
      <c r="AF286" s="538">
        <f>Sheet1!AB284*MGDtoCFS</f>
        <v>55.552769999999995</v>
      </c>
      <c r="AG286" s="538">
        <f>Sheet1!L284*MGDtoCFS</f>
        <v>0</v>
      </c>
      <c r="AH286" s="521">
        <f t="shared" si="571"/>
        <v>14.500000000000004</v>
      </c>
      <c r="AI286" s="1059">
        <f t="shared" si="572"/>
        <v>22.431500000000003</v>
      </c>
      <c r="AJ286" s="535">
        <f t="shared" si="573"/>
        <v>0</v>
      </c>
      <c r="AK286" s="535">
        <f t="shared" si="574"/>
        <v>0</v>
      </c>
      <c r="AL286" s="535">
        <f>(VLOOKUP(Sheet1!DC284,hhdcap_wcm,4)-(((VLOOKUP(Sheet1!DC284,hhdcap_wcm,3)-Sheet1!DC284)/(VLOOKUP(Sheet1!DC284,hhdcap_wcm,3)-VLOOKUP(Sheet1!DC284,hhdcap_wcm,1)))*(VLOOKUP(Sheet1!DC284,hhdcap_wcm,4)-VLOOKUP(Sheet1!DC284,hhdcap_wcm,2))))</f>
        <v>17113.900000042122</v>
      </c>
      <c r="AM286" s="535">
        <f t="shared" si="575"/>
        <v>-566.10000000126092</v>
      </c>
      <c r="AN286" s="1035">
        <f t="shared" si="576"/>
        <v>514.42639649614534</v>
      </c>
      <c r="AO286" s="535">
        <f t="shared" si="577"/>
        <v>1578.2601844501739</v>
      </c>
      <c r="AP286" s="535">
        <f>Sheet1!BA284+Sheet1!BB284+Sheet1!BN284+CD286</f>
        <v>21.6</v>
      </c>
      <c r="AQ286" s="535">
        <f>Sheet1!BN284+(DO286*Sheet1!BN284)</f>
        <v>21.504186304408091</v>
      </c>
      <c r="AR286" s="535">
        <f>Sheet1!BA284+CD286</f>
        <v>0</v>
      </c>
      <c r="AS286" s="535">
        <f>Sheet1!BA284+Sheet1!BB284+CD286</f>
        <v>0</v>
      </c>
      <c r="AT286" s="649">
        <f>0</f>
        <v>0</v>
      </c>
      <c r="AU286" s="974">
        <f>BA286+MAX(Sheet1!EH284,(O286-Q286-ED286-S286))</f>
        <v>3.5527136788005009E-15</v>
      </c>
      <c r="AV286" s="535">
        <f>IF(OR(B286&gt;=GD286,B286&lt;GC286),0,15/36*K286-MAX(0,64.6-(137.6-(Sheet1!AA284+Sheet1!AB284))))</f>
        <v>0</v>
      </c>
      <c r="AW286" s="1029"/>
      <c r="AX286" s="649"/>
      <c r="AY286" s="649">
        <f t="shared" si="668"/>
        <v>23.311716569431731</v>
      </c>
      <c r="AZ286" s="649">
        <f t="shared" si="669"/>
        <v>0</v>
      </c>
      <c r="BA286" s="1059">
        <f t="shared" si="670"/>
        <v>0</v>
      </c>
      <c r="BB286" s="1019">
        <f t="shared" si="578"/>
        <v>260.23499025333615</v>
      </c>
      <c r="BC286" s="1041">
        <f t="shared" si="671"/>
        <v>0</v>
      </c>
      <c r="BD286" s="1019">
        <f ca="1">IF(B286&gt;(Summary!$A$1-1),#N/A,BB286*MGtoAF)</f>
        <v>798.4009500972353</v>
      </c>
      <c r="BE286" s="535">
        <f>Sheet1!BG284+Sheet1!BH284+Sheet1!BI284-BM286</f>
        <v>3.96</v>
      </c>
      <c r="BF286" s="535">
        <f t="shared" si="579"/>
        <v>3.9424341558081495</v>
      </c>
      <c r="BG286" s="535">
        <f>IF(Sheet1!EP284="FM",BM286,0)</f>
        <v>0</v>
      </c>
      <c r="BH286" s="535">
        <f t="shared" si="580"/>
        <v>0</v>
      </c>
      <c r="BI286" s="535">
        <f>IF(Sheet1!EP284="OTHER",BM286,0)</f>
        <v>0</v>
      </c>
      <c r="BJ286" s="535">
        <f t="shared" si="581"/>
        <v>0</v>
      </c>
      <c r="BK286" s="535">
        <f t="shared" si="582"/>
        <v>3.96</v>
      </c>
      <c r="BL286" s="535">
        <f t="shared" si="583"/>
        <v>3.9424341558081495</v>
      </c>
      <c r="BM286" s="535">
        <f>IF(OR(Sheet1!EP284="FM", Sheet1!EP284="OTHER"),SUM(Sheet1!BG284:'Sheet1'!BI284),0)</f>
        <v>0</v>
      </c>
      <c r="BN286" s="521">
        <f>IF(AND($B286&gt;=$FV286,$B286&lt;=$FW286),MAX(BF286,Sheet1!EI284,0),MAX(BF286-(7/36)*$K286,0))</f>
        <v>4</v>
      </c>
      <c r="BO286" s="535">
        <f t="shared" si="584"/>
        <v>0</v>
      </c>
      <c r="BP286" s="521">
        <f t="shared" si="585"/>
        <v>0</v>
      </c>
      <c r="BQ286" s="521">
        <f>IF(AND($O286&gt;0,Sheet1!EM284=1),(1-($O286-Sheet1!$L284)/$O286)*BL286,0)</f>
        <v>0</v>
      </c>
      <c r="BR286" s="521">
        <f>IF(AND(Sheet1!$L284=0,Sheet1!$L283=0, Calculation!BK286&lt;Sheet1!$EI284-0.1,Sheet1!$EI284=Sheet1!$EI283,Sheet1!$EI284=Sheet1!$EI285),BL286-BQ286,BL286-BQ286)</f>
        <v>3.9424341558081495</v>
      </c>
      <c r="BS286" s="1035" t="str">
        <f t="shared" si="672"/>
        <v/>
      </c>
      <c r="BT286" s="1035">
        <f t="shared" si="673"/>
        <v>0</v>
      </c>
      <c r="BU286" s="535">
        <f t="shared" si="586"/>
        <v>91.994911770132575</v>
      </c>
      <c r="BV286" s="535"/>
      <c r="BW286" s="535">
        <f ca="1">IF(B286&gt;(Summary!$A$1-1),#N/A,BU286*MGtoAF)</f>
        <v>282.24038931076677</v>
      </c>
      <c r="BX286" s="535">
        <f>Sheet1!BC284+Sheet1!BD284+Sheet1!BE284+Sheet1!BF284-CG286-CH286</f>
        <v>3.4800000000000004</v>
      </c>
      <c r="BY286" s="535">
        <f t="shared" si="587"/>
        <v>3.4645633490435257</v>
      </c>
      <c r="BZ286" s="535">
        <f>IF(Sheet1!EQ284="FM",CH286,0)</f>
        <v>0</v>
      </c>
      <c r="CA286" s="535">
        <f t="shared" si="588"/>
        <v>0</v>
      </c>
      <c r="CB286" s="535">
        <f>IF(Sheet1!EQ284="OTHER",CH286,0)</f>
        <v>0</v>
      </c>
      <c r="CC286" s="535">
        <f t="shared" si="589"/>
        <v>0</v>
      </c>
      <c r="CD286" s="535">
        <f t="shared" si="590"/>
        <v>0</v>
      </c>
      <c r="CE286" s="535">
        <f t="shared" si="591"/>
        <v>3.4800000000000004</v>
      </c>
      <c r="CF286" s="535">
        <f t="shared" si="592"/>
        <v>3.4645633490435257</v>
      </c>
      <c r="CG286" s="535">
        <f>IF(Sheet1!EQ284="CWA",SUM(Sheet1!BC284:'Sheet1'!BF284),0)</f>
        <v>0</v>
      </c>
      <c r="CH286" s="535">
        <f>IF(OR(Sheet1!EQ284="FM", Sheet1!EQ284="OTHER"),SUM(Sheet1!BC284:'Sheet1'!BF284),0)</f>
        <v>0</v>
      </c>
      <c r="CI286" s="521">
        <f>IF(AND($B286&gt;=$FV286,$B286&lt;=$FW286),MAX(CF286,Sheet1!EJ284,0),MAX(CF286-(7/36)*$K286,0))</f>
        <v>3.5</v>
      </c>
      <c r="CJ286" s="535">
        <f t="shared" si="593"/>
        <v>0</v>
      </c>
      <c r="CK286" s="521">
        <f t="shared" si="594"/>
        <v>0</v>
      </c>
      <c r="CL286" s="521">
        <f>IF(AND($O286&gt;0,Sheet1!EN284=1),(1-($O286-Sheet1!$L284)/$O286)*CF286,0)</f>
        <v>0</v>
      </c>
      <c r="CM286" s="521">
        <f>IF(AND(Sheet1!$L284=0,Sheet1!$L283=0, Calculation!CE286&lt;Sheet1!EJ284-0.1,Sheet1!EJ284=Sheet1!EJ283,Sheet1!EJ284=Sheet1!EJ285),CF286-CL286,CF286-CL286)</f>
        <v>3.4645633490435257</v>
      </c>
      <c r="CN286" s="1040" t="str">
        <f t="shared" si="674"/>
        <v/>
      </c>
      <c r="CO286" s="1035">
        <f t="shared" si="675"/>
        <v>0</v>
      </c>
      <c r="CP286" s="535">
        <f t="shared" si="595"/>
        <v>63.178002649900478</v>
      </c>
      <c r="CQ286" s="535"/>
      <c r="CR286" s="535">
        <f ca="1">IF(B286&gt;(Summary!$A$1-1),#N/A,CP286*MGtoAF)</f>
        <v>193.83011212989467</v>
      </c>
      <c r="CS286" s="535">
        <f>Sheet1!BK284+Sheet1!BL284+Sheet1!BM284-Sheet1!ER284-DA286</f>
        <v>7.03</v>
      </c>
      <c r="CT286" s="535">
        <f t="shared" si="596"/>
        <v>6.9988161907402251</v>
      </c>
      <c r="CU286" s="535">
        <f>IF(Sheet1!ER284="FM",DA286,0)</f>
        <v>0</v>
      </c>
      <c r="CV286" s="535">
        <f t="shared" si="597"/>
        <v>0</v>
      </c>
      <c r="CW286" s="535">
        <f>IF(Sheet1!ER284="OTHER",DA286,0)</f>
        <v>0</v>
      </c>
      <c r="CX286" s="535">
        <f t="shared" si="598"/>
        <v>0</v>
      </c>
      <c r="CY286" s="535">
        <f t="shared" si="629"/>
        <v>7.03</v>
      </c>
      <c r="CZ286" s="535">
        <f t="shared" si="630"/>
        <v>6.9988161907402251</v>
      </c>
      <c r="DA286" s="535">
        <f>IF(OR(Sheet1!ER284="FM", Sheet1!ER284="OTHER"),SUM(Sheet1!BK284:'Sheet1'!BM284),0)</f>
        <v>0</v>
      </c>
      <c r="DB286" s="1011">
        <f>IF(AND($B286&gt;=$FV286,$B286&lt;=$FW286),MAX($CT286,Sheet1!EK284,0),MAX($CT286-(7/36)*$K286,0))</f>
        <v>7</v>
      </c>
      <c r="DC286" s="1012">
        <f t="shared" si="601"/>
        <v>0</v>
      </c>
      <c r="DD286" s="1011">
        <f t="shared" si="602"/>
        <v>0</v>
      </c>
      <c r="DE286" s="521">
        <f>IF(AND($O286&gt;0,Sheet1!EO284=1),(1-($O286-Sheet1!$L284)/$O286)*CZ286,0)</f>
        <v>0</v>
      </c>
      <c r="DF286" s="521">
        <f>IF(AND(Sheet1!$L284=0,Sheet1!$L283=0, Calculation!CY286&lt;Sheet1!$EK284-0.1,Sheet1!$EK284=Sheet1!$EK283,Sheet1!$EK284=Sheet1!$EK285),CZ286-DE286,CZ286-DE286)</f>
        <v>6.9988161907402251</v>
      </c>
      <c r="DG286" s="1040">
        <f t="shared" si="676"/>
        <v>0</v>
      </c>
      <c r="DH286" s="649">
        <f t="shared" si="603"/>
        <v>14.47</v>
      </c>
      <c r="DI286" s="535">
        <f t="shared" si="604"/>
        <v>99.018491822776156</v>
      </c>
      <c r="DJ286" s="649">
        <f t="shared" si="605"/>
        <v>14.405813695591901</v>
      </c>
      <c r="DK286" s="535">
        <f ca="1">IF(B286&gt;(Summary!$A$1-1),#N/A,DI286*MGtoAF)</f>
        <v>303.78873291227723</v>
      </c>
      <c r="DL286" s="649">
        <f t="shared" si="606"/>
        <v>14.470000000000002</v>
      </c>
      <c r="DM286" s="535">
        <f>DL286+AP286</f>
        <v>36.070000000000007</v>
      </c>
      <c r="DN286" s="535">
        <f>Sheet1!AB284-DM286</f>
        <v>-0.1600000000000108</v>
      </c>
      <c r="DO286" s="743">
        <f>IF(DM286=0,0,DN286/DM286)</f>
        <v>-4.4358192403662535E-3</v>
      </c>
      <c r="DP286" s="535">
        <f>(VLOOKUP(Sheet1!DC284,hhdcap_wcm,4)-(((VLOOKUP(Sheet1!DC284,hhdcap_wcm,3)-Sheet1!DC284)/(VLOOKUP(Sheet1!DC284,hhdcap_wcm,3)-VLOOKUP(Sheet1!DC284,hhdcap_wcm,1)))*(VLOOKUP(Sheet1!DC284,hhdcap_wcm,4)-VLOOKUP(Sheet1!DC284,hhdcap_wcm,2))))</f>
        <v>17113.900000042122</v>
      </c>
      <c r="DQ286" s="535">
        <f t="shared" si="609"/>
        <v>-566.10000000126092</v>
      </c>
      <c r="DR286" s="535">
        <f t="shared" si="610"/>
        <v>-285.47655068142251</v>
      </c>
      <c r="DS286" s="535">
        <f>Sheet1!EA284*AFtoMG</f>
        <v>0</v>
      </c>
      <c r="DT286" s="535">
        <f>Sheet1!EB284*AFtoMG</f>
        <v>0</v>
      </c>
      <c r="DU286" s="535">
        <f>Sheet1!EC284*AFtoMG</f>
        <v>0</v>
      </c>
      <c r="DV286" s="535">
        <f>Sheet1!ED284*AFtoMG</f>
        <v>0</v>
      </c>
      <c r="DW286" s="535">
        <f t="shared" si="611"/>
        <v>0</v>
      </c>
      <c r="DX286" s="535">
        <f t="shared" si="612"/>
        <v>0</v>
      </c>
      <c r="DY286" s="535">
        <f t="shared" si="613"/>
        <v>514.42639649614534</v>
      </c>
      <c r="DZ286" s="535">
        <f t="shared" si="614"/>
        <v>1578.2601844501739</v>
      </c>
      <c r="EA286" s="535"/>
      <c r="EB286" s="521">
        <f>IF(OR(B286&lt;FV286,B286&gt;FW286),(MIN(BF286+BY286+CT286+MAX(Sheet1!AA284+AQ286-73,0),K286)),0)</f>
        <v>0</v>
      </c>
      <c r="EC286" s="535"/>
      <c r="ED286" s="535">
        <f t="shared" si="615"/>
        <v>14.405813695591899</v>
      </c>
      <c r="EE286" s="535"/>
      <c r="EF286" s="535">
        <f>Sheet1!EH284+Sheet1!EI284+Sheet1!EJ284+Sheet1!EK284</f>
        <v>14.5</v>
      </c>
      <c r="EG286" s="1019">
        <f t="shared" si="677"/>
        <v>22.4315</v>
      </c>
      <c r="EH286" s="521">
        <f t="shared" si="616"/>
        <v>0</v>
      </c>
      <c r="EI286" s="535">
        <f>IF(Sheet1!ET284=1,SUM('Calculations II'!AT286:BA286)+'Calculations II'!BC286+Sheet1!BV284+'Calculations II'!BE286+AP286,'Calculations II'!BK286)</f>
        <v>50.853390304408094</v>
      </c>
      <c r="EJ286" s="535">
        <f ca="1">EI286+'Calculations II'!D286+'Calculations II'!E286+'Calculations II'!O286</f>
        <v>49.287321670196647</v>
      </c>
      <c r="EK286" s="535"/>
      <c r="EL286" s="535"/>
      <c r="EM286" s="535">
        <f t="shared" si="617"/>
        <v>43010</v>
      </c>
      <c r="EN286" s="535">
        <f t="shared" si="618"/>
        <v>-14.500000000000004</v>
      </c>
      <c r="EO286" s="535">
        <f t="shared" si="619"/>
        <v>-22.431500000000003</v>
      </c>
      <c r="EP286" s="535">
        <v>0</v>
      </c>
      <c r="EQ286" s="535">
        <v>0</v>
      </c>
      <c r="ER286" s="535">
        <v>0</v>
      </c>
      <c r="ES286" s="521">
        <f t="shared" si="643"/>
        <v>0.8318124648146703</v>
      </c>
      <c r="ET286" s="535">
        <f>-(VLOOKUP(Sheet1!BQ284,Lookup!$O$4:$Q$262,2)-VLOOKUP(Sheet1!BQ283,Lookup!$O$4:$Q$262,2))/1000000</f>
        <v>0.41583890916944666</v>
      </c>
      <c r="EU286" s="535">
        <f>-(VLOOKUP(Sheet1!BR284,Lookup!$O$4:$Q$262,3)-VLOOKUP(Sheet1!BR283,Lookup!$O$4:$Q$262,3))/1000000</f>
        <v>0.4159735556452237</v>
      </c>
      <c r="EV286" s="535"/>
      <c r="EW286" s="535"/>
      <c r="EX286" s="535"/>
      <c r="EY286" s="535"/>
      <c r="EZ286" s="535"/>
      <c r="FA286" s="535"/>
      <c r="FB286" s="535"/>
      <c r="FC286" s="535"/>
      <c r="FD286" s="567">
        <f t="shared" si="632"/>
        <v>1114.1999999999434</v>
      </c>
      <c r="FE286" s="567" t="e">
        <f t="shared" si="620"/>
        <v>#N/A</v>
      </c>
      <c r="FF286" s="568" t="e">
        <f t="shared" si="621"/>
        <v>#N/A</v>
      </c>
      <c r="FG286" s="569" t="s">
        <v>656</v>
      </c>
      <c r="FH286" s="569" t="s">
        <v>656</v>
      </c>
      <c r="FI286" s="567" t="e">
        <v>#N/A</v>
      </c>
      <c r="FJ286" s="725">
        <v>8990</v>
      </c>
      <c r="FK286" s="535"/>
      <c r="FL286" s="1015">
        <f t="shared" si="631"/>
        <v>105.90015128593041</v>
      </c>
      <c r="FM286" s="535"/>
      <c r="FN286" s="535"/>
      <c r="FO286" s="535">
        <f>O286+((Sheet1!CS284)*GPMtoMGD)</f>
        <v>64.209999999999994</v>
      </c>
      <c r="FP286" s="535">
        <f>IF(Sheet1!AA284+AQ286&lt;=Calculation!N286,AQ286,Calculation!N286-Sheet1!AA284)</f>
        <v>21.504186304408091</v>
      </c>
      <c r="FQ286" s="535">
        <f>(Sheet1!BP284+Sheet1!BO284)/694.4</f>
        <v>2.2230702764976962</v>
      </c>
      <c r="FR286" s="541"/>
      <c r="FS286" s="541"/>
      <c r="FT286" s="541"/>
      <c r="FU286" s="541"/>
      <c r="FV286" s="1109">
        <f t="shared" si="644"/>
        <v>42918</v>
      </c>
      <c r="FW286" s="1109">
        <f t="shared" si="645"/>
        <v>43027</v>
      </c>
      <c r="FX286" s="541"/>
      <c r="FY286" s="541">
        <f>Sheet1!DA284-Sheet1!CZ284-Sheet1!AE284</f>
        <v>-34.332869999999986</v>
      </c>
      <c r="FZ286" s="535">
        <f t="shared" si="678"/>
        <v>-0.19785723563486296</v>
      </c>
      <c r="GA286" s="535"/>
      <c r="GB286" s="535" t="str">
        <f t="shared" si="646"/>
        <v>n</v>
      </c>
      <c r="GC286" s="539">
        <f t="shared" si="647"/>
        <v>42782</v>
      </c>
      <c r="GD286" s="1109">
        <f t="shared" si="648"/>
        <v>42904</v>
      </c>
      <c r="GE286" s="535">
        <f t="shared" si="664"/>
        <v>6520</v>
      </c>
      <c r="GF286" s="1109">
        <f t="shared" si="649"/>
        <v>42909</v>
      </c>
      <c r="GG286" s="535">
        <f t="shared" si="691"/>
        <v>3260</v>
      </c>
      <c r="GH286" s="539">
        <f t="shared" si="650"/>
        <v>43040</v>
      </c>
      <c r="GJ286" s="521">
        <f t="shared" si="651"/>
        <v>0</v>
      </c>
      <c r="GK286" s="535" t="str">
        <f t="shared" si="622"/>
        <v/>
      </c>
      <c r="GL286" s="535">
        <f t="shared" si="652"/>
        <v>0</v>
      </c>
      <c r="GM286" s="535" t="str">
        <f t="shared" si="653"/>
        <v/>
      </c>
      <c r="GN286" s="535">
        <f>IF(GK286="P",Lookup!$M$12,IF(GK286="PP",Lookup!$M$13,IF(GK286="PPP",Lookup!$M$14,IF(GK286="T",Lookup!$M$15,IF(GK286="TP",Lookup!$M$16,IF(GK286="TPP",Lookup!$M$17,IF(GK286="TPPP",Lookup!$M$18,0)))))))*GJ286</f>
        <v>0</v>
      </c>
      <c r="GO286" s="535">
        <f t="shared" si="654"/>
        <v>0</v>
      </c>
      <c r="GP286" s="535">
        <f t="shared" si="623"/>
        <v>798.4009500972353</v>
      </c>
      <c r="GQ286" s="974">
        <f t="shared" si="567"/>
        <v>260.23499025333615</v>
      </c>
      <c r="GR286" s="535"/>
      <c r="GS286" s="535">
        <f t="shared" si="655"/>
        <v>0</v>
      </c>
      <c r="GT286" s="535" t="str">
        <f t="shared" si="656"/>
        <v/>
      </c>
      <c r="GU286" s="535">
        <f>IF(GK286="P",Lookup!$N$12,IF(GK286="PP",Lookup!$N$13,IF(GK286="PPP",Lookup!$N$14,IF(GK286="T",Lookup!$N$15,IF(GK286="TP",Lookup!$N$16,IF(GK286="TPP",Lookup!$N$17,IF(GK286="TPPP",Lookup!$N$18,0)))))))*GJ286</f>
        <v>0</v>
      </c>
      <c r="GV286" s="535">
        <f t="shared" si="657"/>
        <v>0</v>
      </c>
      <c r="GW286" s="535">
        <f t="shared" si="624"/>
        <v>282.24038931076677</v>
      </c>
      <c r="GX286" s="974">
        <f t="shared" si="568"/>
        <v>91.994911770132575</v>
      </c>
      <c r="GY286" s="535"/>
      <c r="GZ286" s="535">
        <f t="shared" si="658"/>
        <v>0</v>
      </c>
      <c r="HA286" s="535" t="str">
        <f t="shared" si="659"/>
        <v/>
      </c>
      <c r="HB286" s="535">
        <f>IF(GK286="P",Lookup!$N$12,IF(GK286="PP",Lookup!$N$13,IF(GK286="PPP",Lookup!$N$14,IF(GK286="T",Lookup!$N$15,IF(GK286="TP",Lookup!$N$16,IF(GK286="TPP",Lookup!$N$17,IF(GK286="TPPP",Lookup!$N$18,0)))))))*GJ286</f>
        <v>0</v>
      </c>
      <c r="HC286" s="521">
        <f t="shared" si="625"/>
        <v>0</v>
      </c>
      <c r="HD286" s="535">
        <f t="shared" si="626"/>
        <v>193.83011212989467</v>
      </c>
      <c r="HE286" s="535">
        <f t="shared" si="662"/>
        <v>63.178002649900478</v>
      </c>
      <c r="HF286" s="535"/>
      <c r="HG286" s="535">
        <f t="shared" si="660"/>
        <v>0</v>
      </c>
      <c r="HH286" s="535" t="str">
        <f t="shared" si="661"/>
        <v/>
      </c>
      <c r="HI286" s="535">
        <f>IF(GK286="P",Lookup!$N$12,IF(GK286="PP",Lookup!$N$13,IF(GK286="PPP",Lookup!$N$14,IF(GK286="T",Lookup!$N$15,IF(GK286="TP",Lookup!$N$16,IF(GK286="TPP",Lookup!$N$17,IF(GK286="TPPP",Lookup!$N$18,0)))))))*GJ286</f>
        <v>0</v>
      </c>
      <c r="HJ286" s="521">
        <f t="shared" si="627"/>
        <v>0</v>
      </c>
      <c r="HK286" s="535">
        <f t="shared" si="628"/>
        <v>303.78873291227723</v>
      </c>
      <c r="HL286" s="535">
        <f t="shared" si="663"/>
        <v>99.018491822776156</v>
      </c>
      <c r="HM286" s="535"/>
      <c r="HN286" s="541"/>
      <c r="HO286" s="541"/>
      <c r="HP286" s="541"/>
      <c r="HQ286" s="541">
        <f>IF(AND(B286&gt;=$FV$4,B286&lt;=$FW$4),MAX(110/1.02+$HQ$6+MIN(113/1.02,G286),IF($HV$6-(Sheet1!DA284-Sheet1!DB284)+MIN(113/1.02,G286)&lt;G286+FL286,$HV$6-(Sheet1!DA284-Sheet1!DB284)+MIN(113/1.02,G286),G286+FL286)),MIN(110/1.02+$HQ$6+113/1.02,G286))</f>
        <v>218.62745098039215</v>
      </c>
      <c r="HR286" s="541">
        <f t="shared" si="679"/>
        <v>223</v>
      </c>
      <c r="HS286" s="541">
        <f>HR286+(Sheet1!DA284-Sheet1!DB284)</f>
        <v>399</v>
      </c>
      <c r="HT286" s="541">
        <f t="shared" si="680"/>
        <v>77.047076212919308</v>
      </c>
      <c r="HU286" s="541">
        <f t="shared" si="681"/>
        <v>321.95292378708069</v>
      </c>
      <c r="HV286" s="541">
        <f t="shared" si="682"/>
        <v>0</v>
      </c>
      <c r="HW286" s="533" t="str">
        <f t="shared" si="683"/>
        <v/>
      </c>
      <c r="HX286" s="541">
        <f t="shared" si="684"/>
        <v>217.94104901960782</v>
      </c>
      <c r="HY286" s="541">
        <f>Sheet1!CZ284</f>
        <v>459</v>
      </c>
      <c r="HZ286" s="541">
        <f t="shared" si="685"/>
        <v>22.431500000000003</v>
      </c>
      <c r="IA286" s="541">
        <f t="shared" si="686"/>
        <v>77.047076212919308</v>
      </c>
      <c r="IB286" s="541">
        <f t="shared" si="687"/>
        <v>436.56849999999997</v>
      </c>
      <c r="IC286" s="1019" t="str">
        <f t="shared" si="688"/>
        <v/>
      </c>
      <c r="ID286" s="541">
        <f t="shared" si="689"/>
        <v>359.52142378708066</v>
      </c>
      <c r="IE286" s="541">
        <f>Sheet1!DB284</f>
        <v>348</v>
      </c>
      <c r="IF286" s="533">
        <f>Sheet1!DA284</f>
        <v>524</v>
      </c>
      <c r="IH286" s="541">
        <f>IF(AND($B286&gt;=$GC286,$B286&lt;=$GH286,$DR286&lt;0)+N("only adjusted when pool is drawn down during storage season"),Sheet1!$DB284+$DR286+N("Palmer minus all storage release"),Sheet1!$DB284)</f>
        <v>62.523449318577491</v>
      </c>
      <c r="II286" s="541">
        <f>IF(AND($B286&gt;=$GC286,$B286&lt;=$GH286,$DR286&lt;0)+N("only adjusted when pool is drawn down during storage season"),Sheet1!$DA284+$DR286+N("Auburn minus all storage release"),Sheet1!$DA284)</f>
        <v>238.52344931857749</v>
      </c>
    </row>
    <row r="287" spans="1:243" x14ac:dyDescent="0.25">
      <c r="A287" s="553" t="s">
        <v>5</v>
      </c>
      <c r="B287" s="531">
        <v>43011</v>
      </c>
      <c r="C287" s="536">
        <v>0</v>
      </c>
      <c r="D287" s="506">
        <f t="shared" si="633"/>
        <v>300</v>
      </c>
      <c r="E287" s="506">
        <f t="shared" si="634"/>
        <v>250</v>
      </c>
      <c r="F287" s="506">
        <v>250</v>
      </c>
      <c r="G287" s="535">
        <f>DR287+Sheet1!CZ285</f>
        <v>145.1976802817756</v>
      </c>
      <c r="H287" s="1074">
        <f t="shared" si="690"/>
        <v>0</v>
      </c>
      <c r="I287" s="534">
        <f>IF(Sheet1!DA285&gt;=E287,(Sheet1!DA285-E287+P287)*CFStoMGD,0)</f>
        <v>238.14036620799999</v>
      </c>
      <c r="J287" s="995">
        <f>IF(Sheet1!DB285&gt;=D287,(Sheet1!DB285-D287+P287)*CFStoMGD,0)</f>
        <v>103.68916620799999</v>
      </c>
      <c r="K287" s="818">
        <f t="shared" si="665"/>
        <v>0</v>
      </c>
      <c r="L287" s="535">
        <f>Sheet1!AA285+Sheet1!AB285-Sheet1!L285+(Sheet1!DA285-F287)*CFStoMGD-S287-T287-U287</f>
        <v>223.67981932982551</v>
      </c>
      <c r="M287" s="535">
        <f t="shared" si="569"/>
        <v>95.732896144822547</v>
      </c>
      <c r="N287" s="824">
        <f>IF(Sheet1!DA285&gt;=F287,MIN(113*CFStoMGD,MIN(MAX(L287,0),MAX(M287,0))),0)</f>
        <v>73.043199999999999</v>
      </c>
      <c r="O287" s="538">
        <f>Sheet1!AA285+Sheet1!AB285</f>
        <v>64.260000000000005</v>
      </c>
      <c r="P287" s="538">
        <f t="shared" si="570"/>
        <v>99.410219999999995</v>
      </c>
      <c r="Q287" s="812">
        <f t="shared" si="666"/>
        <v>49.798219329825535</v>
      </c>
      <c r="R287" s="812">
        <f t="shared" si="635"/>
        <v>14.5</v>
      </c>
      <c r="S287" s="812">
        <f t="shared" si="636"/>
        <v>0</v>
      </c>
      <c r="T287" s="812">
        <f t="shared" si="637"/>
        <v>0</v>
      </c>
      <c r="U287" s="812">
        <f>IF(AND(B287&gt;=FV287,B287&lt;=FW287),ED287+Sheet1!EH285,0)</f>
        <v>14.461780670174468</v>
      </c>
      <c r="V287" s="812"/>
      <c r="W287" s="812">
        <f t="shared" si="638"/>
        <v>0</v>
      </c>
      <c r="X287" s="812">
        <f t="shared" si="639"/>
        <v>0</v>
      </c>
      <c r="Y287" s="812" t="str">
        <f t="shared" si="640"/>
        <v>FALSE</v>
      </c>
      <c r="Z287" s="812">
        <f t="shared" si="641"/>
        <v>64.260000000000005</v>
      </c>
      <c r="AA287" s="812">
        <f t="shared" si="642"/>
        <v>64.260000000000005</v>
      </c>
      <c r="AB287" s="1059">
        <f t="shared" si="667"/>
        <v>77.037845303240104</v>
      </c>
      <c r="AC287" s="538">
        <f>Sheet1!Y285*MGDtoCFS</f>
        <v>43.780099999999997</v>
      </c>
      <c r="AD287" s="538">
        <f>Sheet1!Z285*MGDtoCFS</f>
        <v>55.552769999999995</v>
      </c>
      <c r="AE287" s="538">
        <f>Sheet1!AA285*MGDtoCFS</f>
        <v>43.733689999999996</v>
      </c>
      <c r="AF287" s="538">
        <f>Sheet1!AB285*MGDtoCFS</f>
        <v>55.67653</v>
      </c>
      <c r="AG287" s="538">
        <f>Sheet1!L285*MGDtoCFS</f>
        <v>0</v>
      </c>
      <c r="AH287" s="521">
        <f t="shared" si="571"/>
        <v>14.536538355026313</v>
      </c>
      <c r="AI287" s="1059">
        <f t="shared" si="572"/>
        <v>22.488024835225705</v>
      </c>
      <c r="AJ287" s="535">
        <f t="shared" si="573"/>
        <v>0</v>
      </c>
      <c r="AK287" s="535">
        <f t="shared" si="574"/>
        <v>0</v>
      </c>
      <c r="AL287" s="535">
        <f>(VLOOKUP(Sheet1!DC285,hhdcap_wcm,4)-(((VLOOKUP(Sheet1!DC285,hhdcap_wcm,3)-Sheet1!DC285)/(VLOOKUP(Sheet1!DC285,hhdcap_wcm,3)-VLOOKUP(Sheet1!DC285,hhdcap_wcm,1)))*(VLOOKUP(Sheet1!DC285,hhdcap_wcm,4)-VLOOKUP(Sheet1!DC285,hhdcap_wcm,2))))</f>
        <v>16471.800000040883</v>
      </c>
      <c r="AM287" s="535">
        <f t="shared" si="575"/>
        <v>-642.1000000012391</v>
      </c>
      <c r="AN287" s="1035">
        <f t="shared" si="576"/>
        <v>499.88985814111908</v>
      </c>
      <c r="AO287" s="535">
        <f t="shared" si="577"/>
        <v>1533.6620847769534</v>
      </c>
      <c r="AP287" s="535">
        <f>Sheet1!BA285+Sheet1!BB285+Sheet1!BN285+CD287</f>
        <v>21.6</v>
      </c>
      <c r="AQ287" s="535">
        <f>Sheet1!BN285+(DO287*Sheet1!BN285)</f>
        <v>21.528219329825536</v>
      </c>
      <c r="AR287" s="535">
        <f>Sheet1!BA285+CD287</f>
        <v>0</v>
      </c>
      <c r="AS287" s="535">
        <f>Sheet1!BA285+Sheet1!BB285+CD287</f>
        <v>0</v>
      </c>
      <c r="AT287" s="649">
        <f>0</f>
        <v>0</v>
      </c>
      <c r="AU287" s="974">
        <f>BA287+MAX(Sheet1!EH285,(O287-Q287-ED287-S287))</f>
        <v>1.7763568394002505E-15</v>
      </c>
      <c r="AV287" s="535">
        <f>IF(OR(B287&gt;=GD287,B287&lt;GC287),0,15/36*K287-MAX(0,64.6-(137.6-(Sheet1!AA285+Sheet1!AB285))))</f>
        <v>0</v>
      </c>
      <c r="AW287" s="1029"/>
      <c r="AX287" s="649"/>
      <c r="AY287" s="649">
        <f t="shared" si="668"/>
        <v>23.311716569431731</v>
      </c>
      <c r="AZ287" s="649">
        <f t="shared" si="669"/>
        <v>0</v>
      </c>
      <c r="BA287" s="1059">
        <f t="shared" si="670"/>
        <v>0</v>
      </c>
      <c r="BB287" s="1019">
        <f t="shared" si="578"/>
        <v>260.23499025333615</v>
      </c>
      <c r="BC287" s="1041">
        <f t="shared" si="671"/>
        <v>0</v>
      </c>
      <c r="BD287" s="1019">
        <f ca="1">IF(B287&gt;(Summary!$A$1-1),#N/A,BB287*MGtoAF)</f>
        <v>798.4009500972353</v>
      </c>
      <c r="BE287" s="535">
        <f>Sheet1!BG285+Sheet1!BH285+Sheet1!BI285-BM287</f>
        <v>3.96</v>
      </c>
      <c r="BF287" s="535">
        <f t="shared" si="579"/>
        <v>3.9468402104680145</v>
      </c>
      <c r="BG287" s="535">
        <f>IF(Sheet1!EP285="FM",BM287,0)</f>
        <v>0</v>
      </c>
      <c r="BH287" s="535">
        <f t="shared" si="580"/>
        <v>0</v>
      </c>
      <c r="BI287" s="535">
        <f>IF(Sheet1!EP285="OTHER",BM287,0)</f>
        <v>0</v>
      </c>
      <c r="BJ287" s="535">
        <f t="shared" si="581"/>
        <v>0</v>
      </c>
      <c r="BK287" s="535">
        <f t="shared" si="582"/>
        <v>3.96</v>
      </c>
      <c r="BL287" s="535">
        <f t="shared" si="583"/>
        <v>3.9468402104680145</v>
      </c>
      <c r="BM287" s="535">
        <f>IF(OR(Sheet1!EP285="FM", Sheet1!EP285="OTHER"),SUM(Sheet1!BG285:'Sheet1'!BI285),0)</f>
        <v>0</v>
      </c>
      <c r="BN287" s="521">
        <f>IF(AND($B287&gt;=$FV287,$B287&lt;=$FW287),MAX(BF287,Sheet1!EI285,0),MAX(BF287-(7/36)*$K287,0))</f>
        <v>4</v>
      </c>
      <c r="BO287" s="535">
        <f t="shared" si="584"/>
        <v>0</v>
      </c>
      <c r="BP287" s="521">
        <f t="shared" si="585"/>
        <v>0</v>
      </c>
      <c r="BQ287" s="521">
        <f>IF(AND($O287&gt;0,Sheet1!EM285=1),(1-($O287-Sheet1!$L285)/$O287)*BL287,0)</f>
        <v>0</v>
      </c>
      <c r="BR287" s="521">
        <f>IF(AND(Sheet1!$L285=0,Sheet1!$L284=0, Calculation!BK287&lt;Sheet1!$EI285-0.1,Sheet1!$EI285=Sheet1!$EI284,Sheet1!$EI285=Sheet1!$EI286),BL287-BQ287,BL287-BQ287)</f>
        <v>3.9468402104680145</v>
      </c>
      <c r="BS287" s="1035" t="str">
        <f t="shared" si="672"/>
        <v/>
      </c>
      <c r="BT287" s="1035">
        <f t="shared" si="673"/>
        <v>0</v>
      </c>
      <c r="BU287" s="535">
        <f t="shared" si="586"/>
        <v>87.994911770132575</v>
      </c>
      <c r="BV287" s="535"/>
      <c r="BW287" s="535">
        <f ca="1">IF(B287&gt;(Summary!$A$1-1),#N/A,BU287*MGtoAF)</f>
        <v>269.96838931076672</v>
      </c>
      <c r="BX287" s="535">
        <f>Sheet1!BC285+Sheet1!BD285+Sheet1!BE285+Sheet1!BF285-CG287-CH287</f>
        <v>3.49</v>
      </c>
      <c r="BY287" s="535">
        <f t="shared" si="587"/>
        <v>3.4784021046801445</v>
      </c>
      <c r="BZ287" s="535">
        <f>IF(Sheet1!EQ285="FM",CH287,0)</f>
        <v>0</v>
      </c>
      <c r="CA287" s="535">
        <f t="shared" si="588"/>
        <v>0</v>
      </c>
      <c r="CB287" s="535">
        <f>IF(Sheet1!EQ285="OTHER",CH287,0)</f>
        <v>0</v>
      </c>
      <c r="CC287" s="535">
        <f t="shared" si="589"/>
        <v>0</v>
      </c>
      <c r="CD287" s="535">
        <f t="shared" si="590"/>
        <v>0</v>
      </c>
      <c r="CE287" s="535">
        <f t="shared" si="591"/>
        <v>3.49</v>
      </c>
      <c r="CF287" s="535">
        <f t="shared" si="592"/>
        <v>3.4784021046801445</v>
      </c>
      <c r="CG287" s="535">
        <f>IF(Sheet1!EQ285="CWA",SUM(Sheet1!BC285:'Sheet1'!BF285),0)</f>
        <v>0</v>
      </c>
      <c r="CH287" s="535">
        <f>IF(OR(Sheet1!EQ285="FM", Sheet1!EQ285="OTHER"),SUM(Sheet1!BC285:'Sheet1'!BF285),0)</f>
        <v>0</v>
      </c>
      <c r="CI287" s="521">
        <f>IF(AND($B287&gt;=$FV287,$B287&lt;=$FW287),MAX(CF287,Sheet1!EJ285,0),MAX(CF287-(7/36)*$K287,0))</f>
        <v>3.5</v>
      </c>
      <c r="CJ287" s="535">
        <f t="shared" si="593"/>
        <v>0</v>
      </c>
      <c r="CK287" s="521">
        <f t="shared" si="594"/>
        <v>0</v>
      </c>
      <c r="CL287" s="521">
        <f>IF(AND($O287&gt;0,Sheet1!EN285=1),(1-($O287-Sheet1!$L285)/$O287)*CF287,0)</f>
        <v>0</v>
      </c>
      <c r="CM287" s="521">
        <f>IF(AND(Sheet1!$L285=0,Sheet1!$L284=0, Calculation!CE287&lt;Sheet1!EJ285-0.1,Sheet1!EJ285=Sheet1!EJ284,Sheet1!EJ285=Sheet1!EJ286),CF287-CL287,CF287-CL287)</f>
        <v>3.4784021046801445</v>
      </c>
      <c r="CN287" s="1040" t="str">
        <f t="shared" si="674"/>
        <v/>
      </c>
      <c r="CO287" s="1035">
        <f t="shared" si="675"/>
        <v>0</v>
      </c>
      <c r="CP287" s="535">
        <f t="shared" si="595"/>
        <v>59.678002649900478</v>
      </c>
      <c r="CQ287" s="535"/>
      <c r="CR287" s="535">
        <f ca="1">IF(B287&gt;(Summary!$A$1-1),#N/A,CP287*MGtoAF)</f>
        <v>183.09211212989467</v>
      </c>
      <c r="CS287" s="535">
        <f>Sheet1!BK285+Sheet1!BL285+Sheet1!BM285-Sheet1!ER285-DA287</f>
        <v>7.0600000000000005</v>
      </c>
      <c r="CT287" s="535">
        <f t="shared" si="596"/>
        <v>7.0365383550263099</v>
      </c>
      <c r="CU287" s="535">
        <f>IF(Sheet1!ER285="FM",DA287,0)</f>
        <v>0</v>
      </c>
      <c r="CV287" s="535">
        <f t="shared" si="597"/>
        <v>0</v>
      </c>
      <c r="CW287" s="535">
        <f>IF(Sheet1!ER285="OTHER",DA287,0)</f>
        <v>0</v>
      </c>
      <c r="CX287" s="535">
        <f t="shared" si="598"/>
        <v>0</v>
      </c>
      <c r="CY287" s="535">
        <f t="shared" si="629"/>
        <v>7.0600000000000005</v>
      </c>
      <c r="CZ287" s="535">
        <f t="shared" si="630"/>
        <v>7.0365383550263099</v>
      </c>
      <c r="DA287" s="535">
        <f>IF(OR(Sheet1!ER285="FM", Sheet1!ER285="OTHER"),SUM(Sheet1!BK285:'Sheet1'!BM285),0)</f>
        <v>0</v>
      </c>
      <c r="DB287" s="1011">
        <f>IF(AND($B287&gt;=$FV287,$B287&lt;=$FW287),MAX($CT287,Sheet1!EK285,0),MAX($CT287-(7/36)*$K287,0))</f>
        <v>7.0365383550263099</v>
      </c>
      <c r="DC287" s="1012">
        <f t="shared" si="601"/>
        <v>0</v>
      </c>
      <c r="DD287" s="1011">
        <f t="shared" si="602"/>
        <v>0</v>
      </c>
      <c r="DE287" s="521">
        <f>IF(AND($O287&gt;0,Sheet1!EO285=1),(1-($O287-Sheet1!$L285)/$O287)*CZ287,0)</f>
        <v>0</v>
      </c>
      <c r="DF287" s="521">
        <f>IF(AND(Sheet1!$L285=0,Sheet1!$L284=0, Calculation!CY287&lt;Sheet1!$EK285-0.1,Sheet1!$EK285=Sheet1!$EK284,Sheet1!$EK285=Sheet1!$EK286),CZ287-DE287,CZ287-DE287)</f>
        <v>7.0365383550263099</v>
      </c>
      <c r="DG287" s="1040">
        <f t="shared" si="676"/>
        <v>0</v>
      </c>
      <c r="DH287" s="649">
        <f t="shared" si="603"/>
        <v>14.510000000000002</v>
      </c>
      <c r="DI287" s="535">
        <f t="shared" si="604"/>
        <v>91.981953467749847</v>
      </c>
      <c r="DJ287" s="649">
        <f t="shared" si="605"/>
        <v>14.46178067017447</v>
      </c>
      <c r="DK287" s="535">
        <f ca="1">IF(B287&gt;(Summary!$A$1-1),#N/A,DI287*MGtoAF)</f>
        <v>282.20063323905651</v>
      </c>
      <c r="DL287" s="649">
        <f t="shared" si="606"/>
        <v>14.510000000000002</v>
      </c>
      <c r="DM287" s="535">
        <f t="shared" si="607"/>
        <v>36.11</v>
      </c>
      <c r="DN287" s="535">
        <f>Sheet1!AB285-DM287</f>
        <v>-0.11999999999999744</v>
      </c>
      <c r="DO287" s="743">
        <f t="shared" si="608"/>
        <v>-3.3231791747437675E-3</v>
      </c>
      <c r="DP287" s="535">
        <f>(VLOOKUP(Sheet1!DC285,hhdcap_wcm,4)-(((VLOOKUP(Sheet1!DC285,hhdcap_wcm,3)-Sheet1!DC285)/(VLOOKUP(Sheet1!DC285,hhdcap_wcm,3)-VLOOKUP(Sheet1!DC285,hhdcap_wcm,1)))*(VLOOKUP(Sheet1!DC285,hhdcap_wcm,4)-VLOOKUP(Sheet1!DC285,hhdcap_wcm,2))))</f>
        <v>16471.800000040883</v>
      </c>
      <c r="DQ287" s="535">
        <f t="shared" si="609"/>
        <v>-642.1000000012391</v>
      </c>
      <c r="DR287" s="535">
        <f t="shared" si="610"/>
        <v>-323.8023197182244</v>
      </c>
      <c r="DS287" s="535">
        <f>Sheet1!EA285*AFtoMG</f>
        <v>0</v>
      </c>
      <c r="DT287" s="535">
        <f>Sheet1!EB285*AFtoMG</f>
        <v>0</v>
      </c>
      <c r="DU287" s="535">
        <f>Sheet1!EC285*AFtoMG</f>
        <v>0</v>
      </c>
      <c r="DV287" s="535">
        <f>Sheet1!ED285*AFtoMG</f>
        <v>0</v>
      </c>
      <c r="DW287" s="535">
        <f t="shared" si="611"/>
        <v>0</v>
      </c>
      <c r="DX287" s="535">
        <f t="shared" si="612"/>
        <v>0</v>
      </c>
      <c r="DY287" s="535">
        <f t="shared" si="613"/>
        <v>499.88985814111908</v>
      </c>
      <c r="DZ287" s="535">
        <f t="shared" si="614"/>
        <v>1533.6620847769534</v>
      </c>
      <c r="EA287" s="535"/>
      <c r="EB287" s="521">
        <f>IF(OR(B287&lt;FV287,B287&gt;FW287),(MIN(BF287+BY287+CT287+MAX(Sheet1!AA285+AQ287-73,0),K287)),0)</f>
        <v>0</v>
      </c>
      <c r="EC287" s="535"/>
      <c r="ED287" s="535">
        <f t="shared" si="615"/>
        <v>14.461780670174468</v>
      </c>
      <c r="EE287" s="535"/>
      <c r="EF287" s="535">
        <f>Sheet1!EH285+Sheet1!EI285+Sheet1!EJ285+Sheet1!EK285</f>
        <v>14.5</v>
      </c>
      <c r="EG287" s="1019">
        <f t="shared" si="677"/>
        <v>22.4315</v>
      </c>
      <c r="EH287" s="521">
        <f t="shared" si="616"/>
        <v>0</v>
      </c>
      <c r="EI287" s="535">
        <f>IF(Sheet1!ET285=1,SUM('Calculations II'!AT287:BA287)+'Calculations II'!BC287+Sheet1!BV285+'Calculations II'!BE287+AP287,'Calculations II'!BK287)</f>
        <v>51.038033329825538</v>
      </c>
      <c r="EJ287" s="535">
        <f ca="1">EI287+'Calculations II'!D287+'Calculations II'!E287+'Calculations II'!O287</f>
        <v>50.657421026510484</v>
      </c>
      <c r="EK287" s="535"/>
      <c r="EL287" s="535"/>
      <c r="EM287" s="535">
        <f t="shared" si="617"/>
        <v>43011</v>
      </c>
      <c r="EN287" s="535">
        <f t="shared" si="618"/>
        <v>-14.536538355026313</v>
      </c>
      <c r="EO287" s="535">
        <f t="shared" si="619"/>
        <v>-22.488024835225705</v>
      </c>
      <c r="EP287" s="535">
        <v>0</v>
      </c>
      <c r="EQ287" s="535">
        <v>0</v>
      </c>
      <c r="ER287" s="535">
        <v>0</v>
      </c>
      <c r="ES287" s="521">
        <f t="shared" si="643"/>
        <v>1.6632787157874629</v>
      </c>
      <c r="ET287" s="535">
        <f>-(VLOOKUP(Sheet1!BQ285,Lookup!$O$4:$Q$262,2)-VLOOKUP(Sheet1!BQ284,Lookup!$O$4:$Q$262,2))/1000000</f>
        <v>0.83150472538505127</v>
      </c>
      <c r="EU287" s="535">
        <f>-(VLOOKUP(Sheet1!BR285,Lookup!$O$4:$Q$262,3)-VLOOKUP(Sheet1!BR284,Lookup!$O$4:$Q$262,3))/1000000</f>
        <v>0.83177399040241162</v>
      </c>
      <c r="EV287" s="535"/>
      <c r="EW287" s="535"/>
      <c r="EX287" s="535"/>
      <c r="EY287" s="535"/>
      <c r="EZ287" s="535"/>
      <c r="FA287" s="535"/>
      <c r="FB287" s="535"/>
      <c r="FC287" s="535"/>
      <c r="FD287" s="567">
        <f t="shared" si="632"/>
        <v>1113.5944444443885</v>
      </c>
      <c r="FE287" s="567" t="e">
        <f t="shared" si="620"/>
        <v>#N/A</v>
      </c>
      <c r="FF287" s="568" t="e">
        <f t="shared" si="621"/>
        <v>#N/A</v>
      </c>
      <c r="FG287" s="569" t="s">
        <v>656</v>
      </c>
      <c r="FH287" s="569" t="s">
        <v>656</v>
      </c>
      <c r="FI287" s="567" t="e">
        <v>#N/A</v>
      </c>
      <c r="FJ287" s="725">
        <v>8780</v>
      </c>
      <c r="FK287" s="535"/>
      <c r="FL287" s="1015">
        <f t="shared" si="631"/>
        <v>105.90015128593041</v>
      </c>
      <c r="FM287" s="535"/>
      <c r="FN287" s="535"/>
      <c r="FO287" s="535">
        <f>O287+((Sheet1!CS285)*GPMtoMGD)</f>
        <v>64.260000000000005</v>
      </c>
      <c r="FP287" s="535">
        <f>IF(Sheet1!AA285+AQ287&lt;=Calculation!N287,AQ287,Calculation!N287-Sheet1!AA285)</f>
        <v>21.528219329825536</v>
      </c>
      <c r="FQ287" s="535">
        <f>(Sheet1!BP285+Sheet1!BO285)/694.4</f>
        <v>2.1173675115207375</v>
      </c>
      <c r="FR287" s="541"/>
      <c r="FS287" s="541"/>
      <c r="FT287" s="541"/>
      <c r="FU287" s="541"/>
      <c r="FV287" s="1109">
        <f t="shared" si="644"/>
        <v>42918</v>
      </c>
      <c r="FW287" s="1109">
        <f t="shared" si="645"/>
        <v>43027</v>
      </c>
      <c r="FX287" s="541"/>
      <c r="FY287" s="541">
        <f>Sheet1!DA285-Sheet1!CZ285-Sheet1!AE285</f>
        <v>-49.41022000000001</v>
      </c>
      <c r="FZ287" s="535">
        <f t="shared" si="678"/>
        <v>-0.34029620792916832</v>
      </c>
      <c r="GA287" s="535"/>
      <c r="GB287" s="535" t="str">
        <f t="shared" si="646"/>
        <v>n</v>
      </c>
      <c r="GC287" s="539">
        <f t="shared" si="647"/>
        <v>42782</v>
      </c>
      <c r="GD287" s="1109">
        <f t="shared" si="648"/>
        <v>42904</v>
      </c>
      <c r="GE287" s="535">
        <f t="shared" si="664"/>
        <v>6520</v>
      </c>
      <c r="GF287" s="1109">
        <f t="shared" si="649"/>
        <v>42909</v>
      </c>
      <c r="GG287" s="535">
        <f t="shared" si="691"/>
        <v>3260</v>
      </c>
      <c r="GH287" s="539">
        <f t="shared" si="650"/>
        <v>43040</v>
      </c>
      <c r="GJ287" s="521">
        <f t="shared" si="651"/>
        <v>0</v>
      </c>
      <c r="GK287" s="535" t="str">
        <f t="shared" si="622"/>
        <v/>
      </c>
      <c r="GL287" s="535">
        <f t="shared" si="652"/>
        <v>0</v>
      </c>
      <c r="GM287" s="535" t="str">
        <f t="shared" si="653"/>
        <v/>
      </c>
      <c r="GN287" s="535">
        <f>IF(GK287="P",Lookup!$M$12,IF(GK287="PP",Lookup!$M$13,IF(GK287="PPP",Lookup!$M$14,IF(GK287="T",Lookup!$M$15,IF(GK287="TP",Lookup!$M$16,IF(GK287="TPP",Lookup!$M$17,IF(GK287="TPPP",Lookup!$M$18,0)))))))*GJ287</f>
        <v>0</v>
      </c>
      <c r="GO287" s="535">
        <f t="shared" si="654"/>
        <v>0</v>
      </c>
      <c r="GP287" s="535">
        <f t="shared" si="623"/>
        <v>798.4009500972353</v>
      </c>
      <c r="GQ287" s="974">
        <f t="shared" si="567"/>
        <v>260.23499025333615</v>
      </c>
      <c r="GR287" s="535"/>
      <c r="GS287" s="535">
        <f t="shared" si="655"/>
        <v>0</v>
      </c>
      <c r="GT287" s="535" t="str">
        <f t="shared" si="656"/>
        <v/>
      </c>
      <c r="GU287" s="535">
        <f>IF(GK287="P",Lookup!$N$12,IF(GK287="PP",Lookup!$N$13,IF(GK287="PPP",Lookup!$N$14,IF(GK287="T",Lookup!$N$15,IF(GK287="TP",Lookup!$N$16,IF(GK287="TPP",Lookup!$N$17,IF(GK287="TPPP",Lookup!$N$18,0)))))))*GJ287</f>
        <v>0</v>
      </c>
      <c r="GV287" s="535">
        <f t="shared" si="657"/>
        <v>0</v>
      </c>
      <c r="GW287" s="535">
        <f t="shared" si="624"/>
        <v>269.96838931076672</v>
      </c>
      <c r="GX287" s="974">
        <f t="shared" si="568"/>
        <v>87.994911770132575</v>
      </c>
      <c r="GY287" s="535"/>
      <c r="GZ287" s="535">
        <f t="shared" si="658"/>
        <v>0</v>
      </c>
      <c r="HA287" s="535" t="str">
        <f t="shared" si="659"/>
        <v/>
      </c>
      <c r="HB287" s="535">
        <f>IF(GK287="P",Lookup!$N$12,IF(GK287="PP",Lookup!$N$13,IF(GK287="PPP",Lookup!$N$14,IF(GK287="T",Lookup!$N$15,IF(GK287="TP",Lookup!$N$16,IF(GK287="TPP",Lookup!$N$17,IF(GK287="TPPP",Lookup!$N$18,0)))))))*GJ287</f>
        <v>0</v>
      </c>
      <c r="HC287" s="521">
        <f t="shared" si="625"/>
        <v>0</v>
      </c>
      <c r="HD287" s="535">
        <f t="shared" si="626"/>
        <v>183.09211212989467</v>
      </c>
      <c r="HE287" s="535">
        <f t="shared" si="662"/>
        <v>59.678002649900478</v>
      </c>
      <c r="HF287" s="535"/>
      <c r="HG287" s="535">
        <f t="shared" si="660"/>
        <v>0</v>
      </c>
      <c r="HH287" s="535" t="str">
        <f t="shared" si="661"/>
        <v/>
      </c>
      <c r="HI287" s="535">
        <f>IF(GK287="P",Lookup!$N$12,IF(GK287="PP",Lookup!$N$13,IF(GK287="PPP",Lookup!$N$14,IF(GK287="T",Lookup!$N$15,IF(GK287="TP",Lookup!$N$16,IF(GK287="TPP",Lookup!$N$17,IF(GK287="TPPP",Lookup!$N$18,0)))))))*GJ287</f>
        <v>0</v>
      </c>
      <c r="HJ287" s="521">
        <f t="shared" si="627"/>
        <v>0</v>
      </c>
      <c r="HK287" s="535">
        <f t="shared" si="628"/>
        <v>282.20063323905651</v>
      </c>
      <c r="HL287" s="535">
        <f t="shared" si="663"/>
        <v>91.981953467749847</v>
      </c>
      <c r="HM287" s="535"/>
      <c r="HN287" s="541"/>
      <c r="HO287" s="541"/>
      <c r="HP287" s="541"/>
      <c r="HQ287" s="541">
        <f>IF(AND(B287&gt;=$FV$4,B287&lt;=$FW$4),MAX(110/1.02+$HQ$6+MIN(113/1.02,G287),IF($HV$6-(Sheet1!DA285-Sheet1!DB285)+MIN(113/1.02,G287)&lt;G287+FL287,$HV$6-(Sheet1!DA285-Sheet1!DB285)+MIN(113/1.02,G287),G287+FL287)),MIN(110/1.02+$HQ$6+113/1.02,G287))</f>
        <v>218.62745098039215</v>
      </c>
      <c r="HR287" s="541">
        <f t="shared" si="679"/>
        <v>223</v>
      </c>
      <c r="HS287" s="541">
        <f>HR287+(Sheet1!DA285-Sheet1!DB285)</f>
        <v>381</v>
      </c>
      <c r="HT287" s="541">
        <f t="shared" si="680"/>
        <v>77.037845303240104</v>
      </c>
      <c r="HU287" s="541">
        <f t="shared" si="681"/>
        <v>303.96215469675991</v>
      </c>
      <c r="HV287" s="541">
        <f t="shared" si="682"/>
        <v>0</v>
      </c>
      <c r="HW287" s="533" t="str">
        <f t="shared" si="683"/>
        <v/>
      </c>
      <c r="HX287" s="541">
        <f t="shared" si="684"/>
        <v>227.88452418438214</v>
      </c>
      <c r="HY287" s="541">
        <f>Sheet1!CZ285</f>
        <v>469</v>
      </c>
      <c r="HZ287" s="541">
        <f t="shared" si="685"/>
        <v>22.488024835225705</v>
      </c>
      <c r="IA287" s="541">
        <f t="shared" si="686"/>
        <v>77.037845303240104</v>
      </c>
      <c r="IB287" s="541">
        <f t="shared" si="687"/>
        <v>446.5119751647743</v>
      </c>
      <c r="IC287" s="1019" t="str">
        <f t="shared" si="688"/>
        <v/>
      </c>
      <c r="ID287" s="541">
        <f t="shared" si="689"/>
        <v>369.47412986153421</v>
      </c>
      <c r="IE287" s="541">
        <f>Sheet1!DB285</f>
        <v>361</v>
      </c>
      <c r="IF287" s="533">
        <f>Sheet1!DA285</f>
        <v>519</v>
      </c>
      <c r="IH287" s="541">
        <f>IF(AND($B287&gt;=$GC287,$B287&lt;=$GH287,$DR287&lt;0)+N("only adjusted when pool is drawn down during storage season"),Sheet1!$DB285+$DR287+N("Palmer minus all storage release"),Sheet1!$DB285)</f>
        <v>37.197680281775604</v>
      </c>
      <c r="II287" s="541">
        <f>IF(AND($B287&gt;=$GC287,$B287&lt;=$GH287,$DR287&lt;0)+N("only adjusted when pool is drawn down during storage season"),Sheet1!$DA285+$DR287+N("Auburn minus all storage release"),Sheet1!$DA285)</f>
        <v>195.1976802817756</v>
      </c>
    </row>
    <row r="288" spans="1:243" x14ac:dyDescent="0.25">
      <c r="A288" s="553" t="s">
        <v>6</v>
      </c>
      <c r="B288" s="531">
        <v>43012</v>
      </c>
      <c r="C288" s="536">
        <v>0</v>
      </c>
      <c r="D288" s="506">
        <f t="shared" si="633"/>
        <v>300</v>
      </c>
      <c r="E288" s="506">
        <f t="shared" si="634"/>
        <v>250</v>
      </c>
      <c r="F288" s="506">
        <v>250</v>
      </c>
      <c r="G288" s="535">
        <f>DR288+Sheet1!CZ286</f>
        <v>130.03479576331137</v>
      </c>
      <c r="H288" s="1074">
        <f t="shared" si="690"/>
        <v>0</v>
      </c>
      <c r="I288" s="534">
        <f>IF(Sheet1!DA286&gt;=E288,(Sheet1!DA286-E288+P288)*CFStoMGD,0)</f>
        <v>244.44436927999996</v>
      </c>
      <c r="J288" s="995">
        <f>IF(Sheet1!DB286&gt;=D288,(Sheet1!DB286-D288+P288)*CFStoMGD,0)</f>
        <v>100.29716927999999</v>
      </c>
      <c r="K288" s="818">
        <f t="shared" si="665"/>
        <v>0</v>
      </c>
      <c r="L288" s="535">
        <f>Sheet1!AA286+Sheet1!AB286-Sheet1!L286+(Sheet1!DA286-F288)*CFStoMGD-S288-T288-U288</f>
        <v>228.06774979195561</v>
      </c>
      <c r="M288" s="535">
        <f t="shared" si="569"/>
        <v>85.735581821032554</v>
      </c>
      <c r="N288" s="824">
        <f>IF(Sheet1!DA286&gt;=F288,MIN(113*CFStoMGD,MIN(MAX(L288,0),MAX(M288,0))),0)</f>
        <v>73.043199999999999</v>
      </c>
      <c r="O288" s="538">
        <f>Sheet1!AA286+Sheet1!AB286</f>
        <v>64.099999999999994</v>
      </c>
      <c r="P288" s="538">
        <f t="shared" si="570"/>
        <v>99.162700000000001</v>
      </c>
      <c r="Q288" s="812">
        <f t="shared" si="666"/>
        <v>47.722149791955609</v>
      </c>
      <c r="R288" s="812">
        <f t="shared" si="635"/>
        <v>14.5</v>
      </c>
      <c r="S288" s="812">
        <f t="shared" si="636"/>
        <v>0</v>
      </c>
      <c r="T288" s="812">
        <f t="shared" si="637"/>
        <v>0</v>
      </c>
      <c r="U288" s="812">
        <f>IF(AND(B288&gt;=FV288,B288&lt;=FW288),ED288+Sheet1!EH286,0)</f>
        <v>16.377850208044386</v>
      </c>
      <c r="V288" s="812"/>
      <c r="W288" s="812">
        <f t="shared" si="638"/>
        <v>0</v>
      </c>
      <c r="X288" s="812">
        <f t="shared" si="639"/>
        <v>0</v>
      </c>
      <c r="Y288" s="812" t="str">
        <f t="shared" si="640"/>
        <v>FALSE</v>
      </c>
      <c r="Z288" s="812">
        <f t="shared" si="641"/>
        <v>64.099999999999994</v>
      </c>
      <c r="AA288" s="812">
        <f t="shared" si="642"/>
        <v>64.099999999999994</v>
      </c>
      <c r="AB288" s="1059">
        <f t="shared" si="667"/>
        <v>73.826165728155317</v>
      </c>
      <c r="AC288" s="538">
        <f>Sheet1!Y286*MGDtoCFS</f>
        <v>43.733689999999996</v>
      </c>
      <c r="AD288" s="538">
        <f>Sheet1!Z286*MGDtoCFS</f>
        <v>55.67653</v>
      </c>
      <c r="AE288" s="538">
        <f>Sheet1!AA286*MGDtoCFS</f>
        <v>43.671810000000001</v>
      </c>
      <c r="AF288" s="538">
        <f>Sheet1!AB286*MGDtoCFS</f>
        <v>55.490889999999993</v>
      </c>
      <c r="AG288" s="538">
        <f>Sheet1!L286*MGDtoCFS</f>
        <v>0</v>
      </c>
      <c r="AH288" s="521">
        <f t="shared" si="571"/>
        <v>16.410377253814147</v>
      </c>
      <c r="AI288" s="1059">
        <f t="shared" si="572"/>
        <v>25.386853611650483</v>
      </c>
      <c r="AJ288" s="535">
        <f t="shared" si="573"/>
        <v>0</v>
      </c>
      <c r="AK288" s="535">
        <f t="shared" si="574"/>
        <v>0</v>
      </c>
      <c r="AL288" s="535">
        <f>(VLOOKUP(Sheet1!DC286,hhdcap_wcm,4)-(((VLOOKUP(Sheet1!DC286,hhdcap_wcm,3)-Sheet1!DC286)/(VLOOKUP(Sheet1!DC286,hhdcap_wcm,3)-VLOOKUP(Sheet1!DC286,hhdcap_wcm,1)))*(VLOOKUP(Sheet1!DC286,hhdcap_wcm,4)-VLOOKUP(Sheet1!DC286,hhdcap_wcm,2))))</f>
        <v>15791.700000039529</v>
      </c>
      <c r="AM288" s="535">
        <f t="shared" si="575"/>
        <v>-680.10000000135369</v>
      </c>
      <c r="AN288" s="1035">
        <f t="shared" si="576"/>
        <v>483.47948088730487</v>
      </c>
      <c r="AO288" s="535">
        <f t="shared" si="577"/>
        <v>1483.3150473622513</v>
      </c>
      <c r="AP288" s="535">
        <f>Sheet1!BA286+Sheet1!BB286+Sheet1!BN286+CD288</f>
        <v>21.6</v>
      </c>
      <c r="AQ288" s="535">
        <f>Sheet1!BN286+(DO288*Sheet1!BN286)</f>
        <v>21.492149791955619</v>
      </c>
      <c r="AR288" s="535">
        <f>Sheet1!BA286+CD288</f>
        <v>0</v>
      </c>
      <c r="AS288" s="535">
        <f>Sheet1!BA286+Sheet1!BB286+CD288</f>
        <v>0</v>
      </c>
      <c r="AT288" s="649">
        <f>0</f>
        <v>0</v>
      </c>
      <c r="AU288" s="974">
        <f>BA288+MAX(Sheet1!EH286,(O288-Q288-ED288-S288))</f>
        <v>2.0000000000000018</v>
      </c>
      <c r="AV288" s="535">
        <f>IF(OR(B288&gt;=GD288,B288&lt;GC288),0,15/36*K288-MAX(0,64.6-(137.6-(Sheet1!AA286+Sheet1!AB286))))</f>
        <v>0</v>
      </c>
      <c r="AW288" s="1029"/>
      <c r="AX288" s="649"/>
      <c r="AY288" s="649">
        <f t="shared" si="668"/>
        <v>23.311716569431731</v>
      </c>
      <c r="AZ288" s="649">
        <f t="shared" si="669"/>
        <v>0</v>
      </c>
      <c r="BA288" s="1059">
        <f t="shared" si="670"/>
        <v>0</v>
      </c>
      <c r="BB288" s="1019">
        <f t="shared" si="578"/>
        <v>258.23499025333615</v>
      </c>
      <c r="BC288" s="1041">
        <f t="shared" si="671"/>
        <v>0</v>
      </c>
      <c r="BD288" s="1019">
        <f ca="1">IF(B288&gt;(Summary!$A$1-1),#N/A,BB288*MGtoAF)</f>
        <v>792.26495009723533</v>
      </c>
      <c r="BE288" s="535">
        <f>Sheet1!BG286+Sheet1!BH286+Sheet1!BI286-BM288</f>
        <v>3.93</v>
      </c>
      <c r="BF288" s="535">
        <f t="shared" si="579"/>
        <v>3.910377253814147</v>
      </c>
      <c r="BG288" s="535">
        <f>IF(Sheet1!EP286="FM",BM288,0)</f>
        <v>0</v>
      </c>
      <c r="BH288" s="535">
        <f t="shared" si="580"/>
        <v>0</v>
      </c>
      <c r="BI288" s="535">
        <f>IF(Sheet1!EP286="OTHER",BM288,0)</f>
        <v>0</v>
      </c>
      <c r="BJ288" s="535">
        <f t="shared" si="581"/>
        <v>0</v>
      </c>
      <c r="BK288" s="535">
        <f t="shared" si="582"/>
        <v>3.93</v>
      </c>
      <c r="BL288" s="535">
        <f t="shared" si="583"/>
        <v>3.910377253814147</v>
      </c>
      <c r="BM288" s="535">
        <f>IF(OR(Sheet1!EP286="FM", Sheet1!EP286="OTHER"),SUM(Sheet1!BG286:'Sheet1'!BI286),0)</f>
        <v>0</v>
      </c>
      <c r="BN288" s="521">
        <f>IF(AND($B288&gt;=$FV288,$B288&lt;=$FW288),MAX(BF288,Sheet1!EI286,0),MAX(BF288-(7/36)*$K288,0))</f>
        <v>3.910377253814147</v>
      </c>
      <c r="BO288" s="535">
        <f t="shared" si="584"/>
        <v>0</v>
      </c>
      <c r="BP288" s="521">
        <f t="shared" si="585"/>
        <v>0</v>
      </c>
      <c r="BQ288" s="521">
        <f>IF(AND($O288&gt;0,Sheet1!EM286=1),(1-($O288-Sheet1!$L286)/$O288)*BL288,0)</f>
        <v>0</v>
      </c>
      <c r="BR288" s="521">
        <f>IF(AND(Sheet1!$L286=0,Sheet1!$L285=0, Calculation!BK288&lt;Sheet1!$EI286-0.1,Sheet1!$EI286=Sheet1!$EI285,Sheet1!$EI286=Sheet1!$EI287),BL288-BQ288,BL288-BQ288)</f>
        <v>3.910377253814147</v>
      </c>
      <c r="BS288" s="1035" t="str">
        <f t="shared" si="672"/>
        <v/>
      </c>
      <c r="BT288" s="1035">
        <f t="shared" si="673"/>
        <v>0</v>
      </c>
      <c r="BU288" s="535">
        <f t="shared" si="586"/>
        <v>84.084534516318428</v>
      </c>
      <c r="BV288" s="535"/>
      <c r="BW288" s="535">
        <f ca="1">IF(B288&gt;(Summary!$A$1-1),#N/A,BU288*MGtoAF)</f>
        <v>257.97135189606496</v>
      </c>
      <c r="BX288" s="535">
        <f>Sheet1!BC286+Sheet1!BD286+Sheet1!BE286+Sheet1!BF286-CG288-CH288</f>
        <v>3.49</v>
      </c>
      <c r="BY288" s="535">
        <f t="shared" si="587"/>
        <v>3.4725742024965327</v>
      </c>
      <c r="BZ288" s="535">
        <f>IF(Sheet1!EQ286="FM",CH288,0)</f>
        <v>0</v>
      </c>
      <c r="CA288" s="535">
        <f t="shared" si="588"/>
        <v>0</v>
      </c>
      <c r="CB288" s="535">
        <f>IF(Sheet1!EQ286="OTHER",CH288,0)</f>
        <v>0</v>
      </c>
      <c r="CC288" s="535">
        <f t="shared" si="589"/>
        <v>0</v>
      </c>
      <c r="CD288" s="535">
        <f t="shared" si="590"/>
        <v>0</v>
      </c>
      <c r="CE288" s="535">
        <f t="shared" si="591"/>
        <v>3.49</v>
      </c>
      <c r="CF288" s="535">
        <f t="shared" si="592"/>
        <v>3.4725742024965327</v>
      </c>
      <c r="CG288" s="535">
        <f>IF(Sheet1!EQ286="CWA",SUM(Sheet1!BC286:'Sheet1'!BF286),0)</f>
        <v>0</v>
      </c>
      <c r="CH288" s="535">
        <f>IF(OR(Sheet1!EQ286="FM", Sheet1!EQ286="OTHER"),SUM(Sheet1!BC286:'Sheet1'!BF286),0)</f>
        <v>0</v>
      </c>
      <c r="CI288" s="521">
        <f>IF(AND($B288&gt;=$FV288,$B288&lt;=$FW288),MAX(CF288,Sheet1!EJ286,0),MAX(CF288-(7/36)*$K288,0))</f>
        <v>3.5</v>
      </c>
      <c r="CJ288" s="535">
        <f t="shared" si="593"/>
        <v>0</v>
      </c>
      <c r="CK288" s="521">
        <f t="shared" si="594"/>
        <v>0</v>
      </c>
      <c r="CL288" s="521">
        <f>IF(AND($O288&gt;0,Sheet1!EN286=1),(1-($O288-Sheet1!$L286)/$O288)*CF288,0)</f>
        <v>0</v>
      </c>
      <c r="CM288" s="521">
        <f>IF(AND(Sheet1!$L286=0,Sheet1!$L285=0, Calculation!CE288&lt;Sheet1!EJ286-0.1,Sheet1!EJ286=Sheet1!EJ285,Sheet1!EJ286=Sheet1!EJ287),CF288-CL288,CF288-CL288)</f>
        <v>3.4725742024965327</v>
      </c>
      <c r="CN288" s="1040" t="str">
        <f t="shared" si="674"/>
        <v/>
      </c>
      <c r="CO288" s="1035">
        <f t="shared" si="675"/>
        <v>0</v>
      </c>
      <c r="CP288" s="535">
        <f t="shared" si="595"/>
        <v>56.178002649900478</v>
      </c>
      <c r="CQ288" s="535"/>
      <c r="CR288" s="535">
        <f ca="1">IF(B288&gt;(Summary!$A$1-1),#N/A,CP288*MGtoAF)</f>
        <v>172.35411212989467</v>
      </c>
      <c r="CS288" s="535">
        <f>Sheet1!BK286+Sheet1!BL286+Sheet1!BM286-Sheet1!ER286-DA288</f>
        <v>7.03</v>
      </c>
      <c r="CT288" s="535">
        <f t="shared" si="596"/>
        <v>6.9948987517337038</v>
      </c>
      <c r="CU288" s="535">
        <f>IF(Sheet1!ER286="FM",DA288,0)</f>
        <v>0</v>
      </c>
      <c r="CV288" s="535">
        <f t="shared" si="597"/>
        <v>0</v>
      </c>
      <c r="CW288" s="535">
        <f>IF(Sheet1!ER286="OTHER",DA288,0)</f>
        <v>0</v>
      </c>
      <c r="CX288" s="535">
        <f t="shared" si="598"/>
        <v>0</v>
      </c>
      <c r="CY288" s="535">
        <f t="shared" si="629"/>
        <v>7.03</v>
      </c>
      <c r="CZ288" s="535">
        <f t="shared" si="630"/>
        <v>6.9948987517337038</v>
      </c>
      <c r="DA288" s="535">
        <f>IF(OR(Sheet1!ER286="FM", Sheet1!ER286="OTHER"),SUM(Sheet1!BK286:'Sheet1'!BM286),0)</f>
        <v>0</v>
      </c>
      <c r="DB288" s="1011">
        <f>IF(AND($B288&gt;=$FV288,$B288&lt;=$FW288),MAX($CT288,Sheet1!EK286,0),MAX($CT288-(7/36)*$K288,0))</f>
        <v>7</v>
      </c>
      <c r="DC288" s="1012">
        <f t="shared" si="601"/>
        <v>0</v>
      </c>
      <c r="DD288" s="1011">
        <f t="shared" si="602"/>
        <v>0</v>
      </c>
      <c r="DE288" s="521">
        <f>IF(AND($O288&gt;0,Sheet1!EO286=1),(1-($O288-Sheet1!$L286)/$O288)*CZ288,0)</f>
        <v>0</v>
      </c>
      <c r="DF288" s="521">
        <f>IF(AND(Sheet1!$L286=0,Sheet1!$L285=0, Calculation!CY288&lt;Sheet1!$EK286-0.1,Sheet1!$EK286=Sheet1!$EK285,Sheet1!$EK286=Sheet1!$EK287),CZ288-DE288,CZ288-DE288)</f>
        <v>6.9948987517337038</v>
      </c>
      <c r="DG288" s="1040">
        <f t="shared" si="676"/>
        <v>0</v>
      </c>
      <c r="DH288" s="649">
        <f t="shared" si="603"/>
        <v>14.45</v>
      </c>
      <c r="DI288" s="535">
        <f t="shared" si="604"/>
        <v>84.981953467749847</v>
      </c>
      <c r="DJ288" s="649">
        <f t="shared" si="605"/>
        <v>14.377850208044384</v>
      </c>
      <c r="DK288" s="535">
        <f ca="1">IF(B288&gt;(Summary!$A$1-1),#N/A,DI288*MGtoAF)</f>
        <v>260.72463323905652</v>
      </c>
      <c r="DL288" s="649">
        <f t="shared" si="606"/>
        <v>14.45</v>
      </c>
      <c r="DM288" s="535">
        <f t="shared" si="607"/>
        <v>36.049999999999997</v>
      </c>
      <c r="DN288" s="535">
        <f>Sheet1!AB286-DM288</f>
        <v>-0.17999999999999972</v>
      </c>
      <c r="DO288" s="743">
        <f t="shared" si="608"/>
        <v>-4.9930651872399368E-3</v>
      </c>
      <c r="DP288" s="535">
        <f>(VLOOKUP(Sheet1!DC286,hhdcap_wcm,4)-(((VLOOKUP(Sheet1!DC286,hhdcap_wcm,3)-Sheet1!DC286)/(VLOOKUP(Sheet1!DC286,hhdcap_wcm,3)-VLOOKUP(Sheet1!DC286,hhdcap_wcm,1)))*(VLOOKUP(Sheet1!DC286,hhdcap_wcm,4)-VLOOKUP(Sheet1!DC286,hhdcap_wcm,2))))</f>
        <v>15791.700000039529</v>
      </c>
      <c r="DQ288" s="535">
        <f t="shared" si="609"/>
        <v>-680.10000000135369</v>
      </c>
      <c r="DR288" s="535">
        <f t="shared" si="610"/>
        <v>-342.96520423668863</v>
      </c>
      <c r="DS288" s="535">
        <f>Sheet1!EA286*AFtoMG</f>
        <v>0</v>
      </c>
      <c r="DT288" s="535">
        <f>Sheet1!EB286*AFtoMG</f>
        <v>0</v>
      </c>
      <c r="DU288" s="535">
        <f>Sheet1!EC286*AFtoMG</f>
        <v>0</v>
      </c>
      <c r="DV288" s="535">
        <f>Sheet1!ED286*AFtoMG</f>
        <v>0</v>
      </c>
      <c r="DW288" s="535">
        <f t="shared" si="611"/>
        <v>0</v>
      </c>
      <c r="DX288" s="535">
        <f t="shared" si="612"/>
        <v>0</v>
      </c>
      <c r="DY288" s="535">
        <f t="shared" si="613"/>
        <v>483.47948088730487</v>
      </c>
      <c r="DZ288" s="535">
        <f t="shared" si="614"/>
        <v>1483.3150473622513</v>
      </c>
      <c r="EA288" s="535"/>
      <c r="EB288" s="521">
        <f>IF(OR(B288&lt;FV288,B288&gt;FW288),(MIN(BF288+BY288+CT288+MAX(Sheet1!AA286+AQ288-73,0),K288)),0)</f>
        <v>0</v>
      </c>
      <c r="EC288" s="535"/>
      <c r="ED288" s="535">
        <f t="shared" si="615"/>
        <v>14.377850208044384</v>
      </c>
      <c r="EE288" s="535"/>
      <c r="EF288" s="535">
        <f>Sheet1!EH286+Sheet1!EI286+Sheet1!EJ286+Sheet1!EK286</f>
        <v>14.5</v>
      </c>
      <c r="EG288" s="1019">
        <f t="shared" si="677"/>
        <v>22.4315</v>
      </c>
      <c r="EH288" s="521">
        <f t="shared" si="616"/>
        <v>0</v>
      </c>
      <c r="EI288" s="535">
        <f>IF(Sheet1!ET286=1,SUM('Calculations II'!AT288:BA288)+'Calculations II'!BC288+Sheet1!BV286+'Calculations II'!BE288+AP288,'Calculations II'!BK288)</f>
        <v>53.178163791955619</v>
      </c>
      <c r="EJ288" s="535">
        <f ca="1">EI288+'Calculations II'!D288+'Calculations II'!E288+'Calculations II'!O288</f>
        <v>49.571665036182459</v>
      </c>
      <c r="EK288" s="535"/>
      <c r="EL288" s="535"/>
      <c r="EM288" s="535">
        <f t="shared" si="617"/>
        <v>43012</v>
      </c>
      <c r="EN288" s="535">
        <f t="shared" si="618"/>
        <v>-16.410377253814147</v>
      </c>
      <c r="EO288" s="535">
        <f t="shared" si="619"/>
        <v>-25.386853611650483</v>
      </c>
      <c r="EP288" s="535">
        <v>0</v>
      </c>
      <c r="EQ288" s="535">
        <v>0</v>
      </c>
      <c r="ER288" s="535">
        <v>0</v>
      </c>
      <c r="ES288" s="521">
        <f t="shared" si="643"/>
        <v>3.3251727996811233</v>
      </c>
      <c r="ET288" s="535">
        <f>-(VLOOKUP(Sheet1!BQ286,Lookup!$O$4:$Q$262,2)-VLOOKUP(Sheet1!BQ285,Lookup!$O$4:$Q$262,2))/1000000</f>
        <v>1.6623171906916163</v>
      </c>
      <c r="EU288" s="535">
        <f>-(VLOOKUP(Sheet1!BR286,Lookup!$O$4:$Q$262,3)-VLOOKUP(Sheet1!BR285,Lookup!$O$4:$Q$262,3))/1000000</f>
        <v>1.662855608989507</v>
      </c>
      <c r="EV288" s="535"/>
      <c r="EW288" s="535"/>
      <c r="EX288" s="535"/>
      <c r="EY288" s="535"/>
      <c r="EZ288" s="535"/>
      <c r="FA288" s="535"/>
      <c r="FB288" s="535"/>
      <c r="FC288" s="535"/>
      <c r="FD288" s="567">
        <f t="shared" si="632"/>
        <v>1113.0028571428018</v>
      </c>
      <c r="FE288" s="567" t="e">
        <f t="shared" si="620"/>
        <v>#N/A</v>
      </c>
      <c r="FF288" s="568" t="e">
        <f t="shared" si="621"/>
        <v>#N/A</v>
      </c>
      <c r="FG288" s="569" t="s">
        <v>656</v>
      </c>
      <c r="FH288" s="569" t="s">
        <v>656</v>
      </c>
      <c r="FI288" s="567" t="e">
        <v>#N/A</v>
      </c>
      <c r="FJ288" s="725">
        <v>8570</v>
      </c>
      <c r="FK288" s="535"/>
      <c r="FL288" s="1015">
        <f t="shared" si="631"/>
        <v>105.3958648512355</v>
      </c>
      <c r="FM288" s="535"/>
      <c r="FN288" s="535"/>
      <c r="FO288" s="535">
        <f>O288+((Sheet1!CS286)*GPMtoMGD)</f>
        <v>64.099999999999994</v>
      </c>
      <c r="FP288" s="535">
        <f>IF(Sheet1!AA286+AQ288&lt;=Calculation!N288,AQ288,Calculation!N288-Sheet1!AA286)</f>
        <v>21.492149791955619</v>
      </c>
      <c r="FQ288" s="535">
        <f>(Sheet1!BP286+Sheet1!BO286)/694.4</f>
        <v>1.559475806451613</v>
      </c>
      <c r="FR288" s="541"/>
      <c r="FS288" s="541"/>
      <c r="FT288" s="541"/>
      <c r="FU288" s="541"/>
      <c r="FV288" s="1109">
        <f t="shared" si="644"/>
        <v>42918</v>
      </c>
      <c r="FW288" s="1109">
        <f t="shared" si="645"/>
        <v>43027</v>
      </c>
      <c r="FX288" s="541"/>
      <c r="FY288" s="541">
        <f>Sheet1!DA286-Sheet1!CZ286-Sheet1!AE286</f>
        <v>-43.162699999999987</v>
      </c>
      <c r="FZ288" s="535">
        <f t="shared" si="678"/>
        <v>-0.3319319244255553</v>
      </c>
      <c r="GA288" s="535"/>
      <c r="GB288" s="535" t="str">
        <f t="shared" si="646"/>
        <v>n</v>
      </c>
      <c r="GC288" s="539">
        <f t="shared" si="647"/>
        <v>42782</v>
      </c>
      <c r="GD288" s="1109">
        <f t="shared" si="648"/>
        <v>42904</v>
      </c>
      <c r="GE288" s="535">
        <f t="shared" si="664"/>
        <v>6520</v>
      </c>
      <c r="GF288" s="1109">
        <f t="shared" si="649"/>
        <v>42909</v>
      </c>
      <c r="GG288" s="535">
        <f t="shared" si="691"/>
        <v>3260</v>
      </c>
      <c r="GH288" s="539">
        <f t="shared" si="650"/>
        <v>43040</v>
      </c>
      <c r="GJ288" s="521">
        <f t="shared" si="651"/>
        <v>0</v>
      </c>
      <c r="GK288" s="535" t="str">
        <f t="shared" si="622"/>
        <v/>
      </c>
      <c r="GL288" s="535">
        <f t="shared" si="652"/>
        <v>0</v>
      </c>
      <c r="GM288" s="535" t="str">
        <f t="shared" si="653"/>
        <v/>
      </c>
      <c r="GN288" s="535">
        <f>IF(GK288="P",Lookup!$M$12,IF(GK288="PP",Lookup!$M$13,IF(GK288="PPP",Lookup!$M$14,IF(GK288="T",Lookup!$M$15,IF(GK288="TP",Lookup!$M$16,IF(GK288="TPP",Lookup!$M$17,IF(GK288="TPPP",Lookup!$M$18,0)))))))*GJ288</f>
        <v>0</v>
      </c>
      <c r="GO288" s="535">
        <f t="shared" si="654"/>
        <v>0</v>
      </c>
      <c r="GP288" s="535">
        <f t="shared" si="623"/>
        <v>792.26495009723533</v>
      </c>
      <c r="GQ288" s="974">
        <f t="shared" si="567"/>
        <v>258.23499025333615</v>
      </c>
      <c r="GR288" s="535"/>
      <c r="GS288" s="535">
        <f t="shared" si="655"/>
        <v>0</v>
      </c>
      <c r="GT288" s="535" t="str">
        <f t="shared" si="656"/>
        <v/>
      </c>
      <c r="GU288" s="535">
        <f>IF(GK288="P",Lookup!$N$12,IF(GK288="PP",Lookup!$N$13,IF(GK288="PPP",Lookup!$N$14,IF(GK288="T",Lookup!$N$15,IF(GK288="TP",Lookup!$N$16,IF(GK288="TPP",Lookup!$N$17,IF(GK288="TPPP",Lookup!$N$18,0)))))))*GJ288</f>
        <v>0</v>
      </c>
      <c r="GV288" s="535">
        <f t="shared" si="657"/>
        <v>0</v>
      </c>
      <c r="GW288" s="535">
        <f t="shared" si="624"/>
        <v>257.97135189606496</v>
      </c>
      <c r="GX288" s="974">
        <f t="shared" si="568"/>
        <v>84.084534516318428</v>
      </c>
      <c r="GY288" s="535"/>
      <c r="GZ288" s="535">
        <f t="shared" si="658"/>
        <v>0</v>
      </c>
      <c r="HA288" s="535" t="str">
        <f t="shared" si="659"/>
        <v/>
      </c>
      <c r="HB288" s="535">
        <f>IF(GK288="P",Lookup!$N$12,IF(GK288="PP",Lookup!$N$13,IF(GK288="PPP",Lookup!$N$14,IF(GK288="T",Lookup!$N$15,IF(GK288="TP",Lookup!$N$16,IF(GK288="TPP",Lookup!$N$17,IF(GK288="TPPP",Lookup!$N$18,0)))))))*GJ288</f>
        <v>0</v>
      </c>
      <c r="HC288" s="521">
        <f t="shared" si="625"/>
        <v>0</v>
      </c>
      <c r="HD288" s="535">
        <f t="shared" si="626"/>
        <v>172.35411212989467</v>
      </c>
      <c r="HE288" s="535">
        <f t="shared" si="662"/>
        <v>56.178002649900478</v>
      </c>
      <c r="HF288" s="535"/>
      <c r="HG288" s="535">
        <f t="shared" si="660"/>
        <v>0</v>
      </c>
      <c r="HH288" s="535" t="str">
        <f t="shared" si="661"/>
        <v/>
      </c>
      <c r="HI288" s="535">
        <f>IF(GK288="P",Lookup!$N$12,IF(GK288="PP",Lookup!$N$13,IF(GK288="PPP",Lookup!$N$14,IF(GK288="T",Lookup!$N$15,IF(GK288="TP",Lookup!$N$16,IF(GK288="TPP",Lookup!$N$17,IF(GK288="TPPP",Lookup!$N$18,0)))))))*GJ288</f>
        <v>0</v>
      </c>
      <c r="HJ288" s="521">
        <f t="shared" si="627"/>
        <v>0</v>
      </c>
      <c r="HK288" s="535">
        <f t="shared" si="628"/>
        <v>260.72463323905652</v>
      </c>
      <c r="HL288" s="535">
        <f t="shared" si="663"/>
        <v>84.981953467749847</v>
      </c>
      <c r="HM288" s="535"/>
      <c r="HN288" s="541"/>
      <c r="HO288" s="541"/>
      <c r="HP288" s="541"/>
      <c r="HQ288" s="541">
        <f>IF(AND(B288&gt;=$FV$4,B288&lt;=$FW$4),MAX(110/1.02+$HQ$6+MIN(113/1.02,G288),IF($HV$6-(Sheet1!DA286-Sheet1!DB286)+MIN(113/1.02,G288)&lt;G288+FL288,$HV$6-(Sheet1!DA286-Sheet1!DB286)+MIN(113/1.02,G288),G288+FL288)),MIN(110/1.02+$HQ$6+113/1.02,G288))</f>
        <v>218.62745098039215</v>
      </c>
      <c r="HR288" s="541">
        <f t="shared" si="679"/>
        <v>223</v>
      </c>
      <c r="HS288" s="541">
        <f>HR288+(Sheet1!DA286-Sheet1!DB286)</f>
        <v>396</v>
      </c>
      <c r="HT288" s="541">
        <f t="shared" si="680"/>
        <v>73.826165728155317</v>
      </c>
      <c r="HU288" s="541">
        <f t="shared" si="681"/>
        <v>322.17383427184467</v>
      </c>
      <c r="HV288" s="541">
        <f t="shared" si="682"/>
        <v>0</v>
      </c>
      <c r="HW288" s="533" t="str">
        <f t="shared" si="683"/>
        <v/>
      </c>
      <c r="HX288" s="541">
        <f t="shared" si="684"/>
        <v>228.98569540795734</v>
      </c>
      <c r="HY288" s="541">
        <f>Sheet1!CZ286</f>
        <v>473</v>
      </c>
      <c r="HZ288" s="541">
        <f t="shared" si="685"/>
        <v>25.386853611650483</v>
      </c>
      <c r="IA288" s="541">
        <f t="shared" si="686"/>
        <v>73.826165728155317</v>
      </c>
      <c r="IB288" s="541">
        <f t="shared" si="687"/>
        <v>447.61314638834949</v>
      </c>
      <c r="IC288" s="1019" t="str">
        <f t="shared" si="688"/>
        <v/>
      </c>
      <c r="ID288" s="541">
        <f t="shared" si="689"/>
        <v>373.78698066019416</v>
      </c>
      <c r="IE288" s="541">
        <f>Sheet1!DB286</f>
        <v>356</v>
      </c>
      <c r="IF288" s="533">
        <f>Sheet1!DA286</f>
        <v>529</v>
      </c>
      <c r="IH288" s="541">
        <f>IF(AND($B288&gt;=$GC288,$B288&lt;=$GH288,$DR288&lt;0)+N("only adjusted when pool is drawn down during storage season"),Sheet1!$DB286+$DR288+N("Palmer minus all storage release"),Sheet1!$DB286)</f>
        <v>13.034795763311365</v>
      </c>
      <c r="II288" s="541">
        <f>IF(AND($B288&gt;=$GC288,$B288&lt;=$GH288,$DR288&lt;0)+N("only adjusted when pool is drawn down during storage season"),Sheet1!$DA286+$DR288+N("Auburn minus all storage release"),Sheet1!$DA286)</f>
        <v>186.03479576331137</v>
      </c>
    </row>
    <row r="289" spans="1:243" x14ac:dyDescent="0.25">
      <c r="A289" s="553" t="s">
        <v>7</v>
      </c>
      <c r="B289" s="531">
        <v>43013</v>
      </c>
      <c r="C289" s="536">
        <v>0</v>
      </c>
      <c r="D289" s="506">
        <f t="shared" si="633"/>
        <v>300</v>
      </c>
      <c r="E289" s="506">
        <f t="shared" si="634"/>
        <v>250</v>
      </c>
      <c r="F289" s="506">
        <v>250</v>
      </c>
      <c r="G289" s="535">
        <f>DR289+Sheet1!CZ287</f>
        <v>120.6893595548691</v>
      </c>
      <c r="H289" s="1074">
        <f t="shared" si="690"/>
        <v>0</v>
      </c>
      <c r="I289" s="534">
        <f>IF(Sheet1!DA287&gt;=E289,(Sheet1!DA287-E289+P289)*CFStoMGD,0)</f>
        <v>244.57436678399998</v>
      </c>
      <c r="J289" s="995">
        <f>IF(Sheet1!DB287&gt;=D289,(Sheet1!DB287-D289+P289)*CFStoMGD,0)</f>
        <v>102.36636678399999</v>
      </c>
      <c r="K289" s="818">
        <f t="shared" si="665"/>
        <v>0</v>
      </c>
      <c r="L289" s="535">
        <f>Sheet1!AA287+Sheet1!AB287-Sheet1!L287+(Sheet1!DA287-F289)*CFStoMGD-S289-T289-U289</f>
        <v>230.27336699029127</v>
      </c>
      <c r="M289" s="535">
        <f t="shared" si="569"/>
        <v>79.573874056592743</v>
      </c>
      <c r="N289" s="824">
        <f>IF(Sheet1!DA287&gt;=F289,MIN(113*CFStoMGD,MIN(MAX(L289,0),MAX(M289,0))),0)</f>
        <v>73.043199999999999</v>
      </c>
      <c r="O289" s="538">
        <f>Sheet1!AA287+Sheet1!AB287</f>
        <v>64.23</v>
      </c>
      <c r="P289" s="538">
        <f t="shared" si="570"/>
        <v>99.363810000000001</v>
      </c>
      <c r="Q289" s="812">
        <f t="shared" si="666"/>
        <v>49.927766990291261</v>
      </c>
      <c r="R289" s="812">
        <f t="shared" si="635"/>
        <v>14.5</v>
      </c>
      <c r="S289" s="812">
        <f t="shared" si="636"/>
        <v>0</v>
      </c>
      <c r="T289" s="812">
        <f t="shared" si="637"/>
        <v>0</v>
      </c>
      <c r="U289" s="812">
        <f>IF(AND(B289&gt;=FV289,B289&lt;=FW289),ED289+Sheet1!EH287,0)</f>
        <v>14.30223300970874</v>
      </c>
      <c r="V289" s="812"/>
      <c r="W289" s="812">
        <f t="shared" si="638"/>
        <v>0</v>
      </c>
      <c r="X289" s="812">
        <f t="shared" si="639"/>
        <v>0</v>
      </c>
      <c r="Y289" s="812" t="str">
        <f t="shared" si="640"/>
        <v>FALSE</v>
      </c>
      <c r="Z289" s="812">
        <f t="shared" si="641"/>
        <v>64.23</v>
      </c>
      <c r="AA289" s="812">
        <f t="shared" si="642"/>
        <v>64.23</v>
      </c>
      <c r="AB289" s="1059">
        <f t="shared" si="667"/>
        <v>77.238255533980578</v>
      </c>
      <c r="AC289" s="538">
        <f>Sheet1!Y287*MGDtoCFS</f>
        <v>43.671810000000001</v>
      </c>
      <c r="AD289" s="538">
        <f>Sheet1!Z287*MGDtoCFS</f>
        <v>55.490889999999993</v>
      </c>
      <c r="AE289" s="538">
        <f>Sheet1!AA287*MGDtoCFS</f>
        <v>43.780099999999997</v>
      </c>
      <c r="AF289" s="538">
        <f>Sheet1!AB287*MGDtoCFS</f>
        <v>55.583709999999996</v>
      </c>
      <c r="AG289" s="538">
        <f>Sheet1!L287*MGDtoCFS</f>
        <v>0</v>
      </c>
      <c r="AH289" s="521">
        <f t="shared" si="571"/>
        <v>14.500000000000004</v>
      </c>
      <c r="AI289" s="1059">
        <f t="shared" si="572"/>
        <v>22.431500000000003</v>
      </c>
      <c r="AJ289" s="535">
        <f t="shared" si="573"/>
        <v>0</v>
      </c>
      <c r="AK289" s="535">
        <f t="shared" si="574"/>
        <v>0</v>
      </c>
      <c r="AL289" s="535">
        <f>(VLOOKUP(Sheet1!DC287,hhdcap_wcm,4)-(((VLOOKUP(Sheet1!DC287,hhdcap_wcm,3)-Sheet1!DC287)/(VLOOKUP(Sheet1!DC287,hhdcap_wcm,3)-VLOOKUP(Sheet1!DC287,hhdcap_wcm,1)))*(VLOOKUP(Sheet1!DC287,hhdcap_wcm,4)-VLOOKUP(Sheet1!DC287,hhdcap_wcm,2))))</f>
        <v>15101.000000036835</v>
      </c>
      <c r="AM289" s="535">
        <f t="shared" si="575"/>
        <v>-690.70000000269465</v>
      </c>
      <c r="AN289" s="1035">
        <f t="shared" si="576"/>
        <v>468.97948088730487</v>
      </c>
      <c r="AO289" s="535">
        <f t="shared" si="577"/>
        <v>1438.8290473622515</v>
      </c>
      <c r="AP289" s="535">
        <f>Sheet1!BA287+Sheet1!BB287+Sheet1!BN287+CD289</f>
        <v>21.7</v>
      </c>
      <c r="AQ289" s="535">
        <f>Sheet1!BN287+(DO289*Sheet1!BN287)</f>
        <v>21.627766990291263</v>
      </c>
      <c r="AR289" s="535">
        <f>Sheet1!BA287+CD289</f>
        <v>0</v>
      </c>
      <c r="AS289" s="535">
        <f>Sheet1!BA287+Sheet1!BB287+CD289</f>
        <v>0</v>
      </c>
      <c r="AT289" s="649">
        <f>0</f>
        <v>0</v>
      </c>
      <c r="AU289" s="974">
        <f>BA289+MAX(Sheet1!EH287,(O289-Q289-ED289-S289))</f>
        <v>3.5527136788005009E-15</v>
      </c>
      <c r="AV289" s="535">
        <f>IF(OR(B289&gt;=GD289,B289&lt;GC289),0,15/36*K289-MAX(0,64.6-(137.6-(Sheet1!AA287+Sheet1!AB287))))</f>
        <v>0</v>
      </c>
      <c r="AW289" s="1029"/>
      <c r="AX289" s="649"/>
      <c r="AY289" s="649">
        <f t="shared" si="668"/>
        <v>23.311716569431731</v>
      </c>
      <c r="AZ289" s="649">
        <f t="shared" si="669"/>
        <v>0</v>
      </c>
      <c r="BA289" s="1059">
        <f t="shared" si="670"/>
        <v>0</v>
      </c>
      <c r="BB289" s="1019">
        <f t="shared" si="578"/>
        <v>258.23499025333615</v>
      </c>
      <c r="BC289" s="1041">
        <f t="shared" si="671"/>
        <v>0</v>
      </c>
      <c r="BD289" s="1019">
        <f ca="1">IF(B289&gt;(Summary!$A$1-1),#N/A,BB289*MGtoAF)</f>
        <v>792.26495009723533</v>
      </c>
      <c r="BE289" s="535">
        <f>Sheet1!BG287+Sheet1!BH287+Sheet1!BI287-BM289</f>
        <v>3.92</v>
      </c>
      <c r="BF289" s="535">
        <f t="shared" si="579"/>
        <v>3.9069514563106797</v>
      </c>
      <c r="BG289" s="535">
        <f>IF(Sheet1!EP287="FM",BM289,0)</f>
        <v>0</v>
      </c>
      <c r="BH289" s="535">
        <f t="shared" si="580"/>
        <v>0</v>
      </c>
      <c r="BI289" s="535">
        <f>IF(Sheet1!EP287="OTHER",BM289,0)</f>
        <v>0</v>
      </c>
      <c r="BJ289" s="535">
        <f t="shared" si="581"/>
        <v>0</v>
      </c>
      <c r="BK289" s="535">
        <f t="shared" si="582"/>
        <v>3.92</v>
      </c>
      <c r="BL289" s="535">
        <f t="shared" si="583"/>
        <v>3.9069514563106797</v>
      </c>
      <c r="BM289" s="535">
        <f>IF(OR(Sheet1!EP287="FM", Sheet1!EP287="OTHER"),SUM(Sheet1!BG287:'Sheet1'!BI287),0)</f>
        <v>0</v>
      </c>
      <c r="BN289" s="521">
        <f>IF(AND($B289&gt;=$FV289,$B289&lt;=$FW289),MAX(BF289,Sheet1!EI287,0),MAX(BF289-(7/36)*$K289,0))</f>
        <v>4</v>
      </c>
      <c r="BO289" s="535">
        <f t="shared" si="584"/>
        <v>0</v>
      </c>
      <c r="BP289" s="521">
        <f t="shared" si="585"/>
        <v>0</v>
      </c>
      <c r="BQ289" s="521">
        <f>IF(AND($O289&gt;0,Sheet1!EM287=1),(1-($O289-Sheet1!$L287)/$O289)*BL289,0)</f>
        <v>0</v>
      </c>
      <c r="BR289" s="521">
        <f>IF(AND(Sheet1!$L287=0,Sheet1!$L286=0, Calculation!BK289&lt;Sheet1!$EI287-0.1,Sheet1!$EI287=Sheet1!$EI286,Sheet1!$EI287=Sheet1!$EI288),BL289-BQ289,BL289-BQ289)</f>
        <v>3.9069514563106797</v>
      </c>
      <c r="BS289" s="1035" t="str">
        <f t="shared" si="672"/>
        <v/>
      </c>
      <c r="BT289" s="1035">
        <f t="shared" si="673"/>
        <v>0</v>
      </c>
      <c r="BU289" s="535">
        <f t="shared" si="586"/>
        <v>80.084534516318428</v>
      </c>
      <c r="BV289" s="535"/>
      <c r="BW289" s="535">
        <f ca="1">IF(B289&gt;(Summary!$A$1-1),#N/A,BU289*MGtoAF)</f>
        <v>245.69935189606494</v>
      </c>
      <c r="BX289" s="535">
        <f>Sheet1!BC287+Sheet1!BD287+Sheet1!BE287+Sheet1!BF287-CG289-CH289</f>
        <v>3.49</v>
      </c>
      <c r="BY289" s="535">
        <f t="shared" si="587"/>
        <v>3.4783828016643557</v>
      </c>
      <c r="BZ289" s="535">
        <f>IF(Sheet1!EQ287="FM",CH289,0)</f>
        <v>0</v>
      </c>
      <c r="CA289" s="535">
        <f t="shared" si="588"/>
        <v>0</v>
      </c>
      <c r="CB289" s="535">
        <f>IF(Sheet1!EQ287="OTHER",CH289,0)</f>
        <v>0</v>
      </c>
      <c r="CC289" s="535">
        <f t="shared" si="589"/>
        <v>0</v>
      </c>
      <c r="CD289" s="535">
        <f t="shared" si="590"/>
        <v>0</v>
      </c>
      <c r="CE289" s="535">
        <f t="shared" si="591"/>
        <v>3.49</v>
      </c>
      <c r="CF289" s="535">
        <f t="shared" si="592"/>
        <v>3.4783828016643557</v>
      </c>
      <c r="CG289" s="535">
        <f>IF(Sheet1!EQ287="CWA",SUM(Sheet1!BC287:'Sheet1'!BF287),0)</f>
        <v>0</v>
      </c>
      <c r="CH289" s="535">
        <f>IF(OR(Sheet1!EQ287="FM", Sheet1!EQ287="OTHER"),SUM(Sheet1!BC287:'Sheet1'!BF287),0)</f>
        <v>0</v>
      </c>
      <c r="CI289" s="521">
        <f>IF(AND($B289&gt;=$FV289,$B289&lt;=$FW289),MAX(CF289,Sheet1!EJ287,0),MAX(CF289-(7/36)*$K289,0))</f>
        <v>3.5</v>
      </c>
      <c r="CJ289" s="535">
        <f t="shared" si="593"/>
        <v>0</v>
      </c>
      <c r="CK289" s="521">
        <f t="shared" si="594"/>
        <v>0</v>
      </c>
      <c r="CL289" s="521">
        <f>IF(AND($O289&gt;0,Sheet1!EN287=1),(1-($O289-Sheet1!$L287)/$O289)*CF289,0)</f>
        <v>0</v>
      </c>
      <c r="CM289" s="521">
        <f>IF(AND(Sheet1!$L287=0,Sheet1!$L286=0, Calculation!CE289&lt;Sheet1!EJ287-0.1,Sheet1!EJ287=Sheet1!EJ286,Sheet1!EJ287=Sheet1!EJ288),CF289-CL289,CF289-CL289)</f>
        <v>3.4783828016643557</v>
      </c>
      <c r="CN289" s="1040" t="str">
        <f t="shared" si="674"/>
        <v/>
      </c>
      <c r="CO289" s="1035">
        <f t="shared" si="675"/>
        <v>0</v>
      </c>
      <c r="CP289" s="535">
        <f t="shared" si="595"/>
        <v>52.678002649900478</v>
      </c>
      <c r="CQ289" s="535"/>
      <c r="CR289" s="535">
        <f ca="1">IF(B289&gt;(Summary!$A$1-1),#N/A,CP289*MGtoAF)</f>
        <v>161.61611212989467</v>
      </c>
      <c r="CS289" s="535">
        <f>Sheet1!BK287+Sheet1!BL287+Sheet1!BM287-Sheet1!ER287-DA289</f>
        <v>6.9399999999999995</v>
      </c>
      <c r="CT289" s="535">
        <f t="shared" si="596"/>
        <v>6.9168987517337035</v>
      </c>
      <c r="CU289" s="535">
        <f>IF(Sheet1!ER287="FM",DA289,0)</f>
        <v>0</v>
      </c>
      <c r="CV289" s="535">
        <f t="shared" si="597"/>
        <v>0</v>
      </c>
      <c r="CW289" s="535">
        <f>IF(Sheet1!ER287="OTHER",DA289,0)</f>
        <v>0</v>
      </c>
      <c r="CX289" s="535">
        <f t="shared" si="598"/>
        <v>0</v>
      </c>
      <c r="CY289" s="535">
        <f t="shared" si="629"/>
        <v>6.9399999999999995</v>
      </c>
      <c r="CZ289" s="535">
        <f t="shared" si="630"/>
        <v>6.9168987517337035</v>
      </c>
      <c r="DA289" s="535">
        <f>IF(OR(Sheet1!ER287="FM", Sheet1!ER287="OTHER"),SUM(Sheet1!BK287:'Sheet1'!BM287),0)</f>
        <v>0</v>
      </c>
      <c r="DB289" s="1011">
        <f>IF(AND($B289&gt;=$FV289,$B289&lt;=$FW289),MAX($CT289,Sheet1!EK287,0),MAX($CT289-(7/36)*$K289,0))</f>
        <v>7</v>
      </c>
      <c r="DC289" s="1012">
        <f t="shared" si="601"/>
        <v>0</v>
      </c>
      <c r="DD289" s="1011">
        <f t="shared" si="602"/>
        <v>0</v>
      </c>
      <c r="DE289" s="521">
        <f>IF(AND($O289&gt;0,Sheet1!EO287=1),(1-($O289-Sheet1!$L287)/$O289)*CZ289,0)</f>
        <v>0</v>
      </c>
      <c r="DF289" s="521">
        <f>IF(AND(Sheet1!$L287=0,Sheet1!$L286=0, Calculation!CY289&lt;Sheet1!$EK287-0.1,Sheet1!$EK287=Sheet1!$EK286,Sheet1!$EK287=Sheet1!$EK288),CZ289-DE289,CZ289-DE289)</f>
        <v>6.9168987517337035</v>
      </c>
      <c r="DG289" s="1040">
        <f t="shared" si="676"/>
        <v>0</v>
      </c>
      <c r="DH289" s="649">
        <f t="shared" si="603"/>
        <v>14.35</v>
      </c>
      <c r="DI289" s="535">
        <f t="shared" si="604"/>
        <v>77.981953467749847</v>
      </c>
      <c r="DJ289" s="649">
        <f t="shared" si="605"/>
        <v>14.30223300970874</v>
      </c>
      <c r="DK289" s="535">
        <f ca="1">IF(B289&gt;(Summary!$A$1-1),#N/A,DI289*MGtoAF)</f>
        <v>239.24863323905655</v>
      </c>
      <c r="DL289" s="649">
        <f t="shared" si="606"/>
        <v>14.35</v>
      </c>
      <c r="DM289" s="535">
        <f t="shared" si="607"/>
        <v>36.049999999999997</v>
      </c>
      <c r="DN289" s="535">
        <f>Sheet1!AB287-DM289</f>
        <v>-0.11999999999999744</v>
      </c>
      <c r="DO289" s="743">
        <f t="shared" si="608"/>
        <v>-3.3287101248265592E-3</v>
      </c>
      <c r="DP289" s="535">
        <f>(VLOOKUP(Sheet1!DC287,hhdcap_wcm,4)-(((VLOOKUP(Sheet1!DC287,hhdcap_wcm,3)-Sheet1!DC287)/(VLOOKUP(Sheet1!DC287,hhdcap_wcm,3)-VLOOKUP(Sheet1!DC287,hhdcap_wcm,1)))*(VLOOKUP(Sheet1!DC287,hhdcap_wcm,4)-VLOOKUP(Sheet1!DC287,hhdcap_wcm,2))))</f>
        <v>15101.000000036835</v>
      </c>
      <c r="DQ289" s="535">
        <f t="shared" si="609"/>
        <v>-690.70000000269465</v>
      </c>
      <c r="DR289" s="535">
        <f t="shared" si="610"/>
        <v>-348.3106404451309</v>
      </c>
      <c r="DS289" s="535">
        <f>Sheet1!EA287*AFtoMG</f>
        <v>0</v>
      </c>
      <c r="DT289" s="535">
        <f>Sheet1!EB287*AFtoMG</f>
        <v>0</v>
      </c>
      <c r="DU289" s="535">
        <f>Sheet1!EC287*AFtoMG</f>
        <v>0</v>
      </c>
      <c r="DV289" s="535">
        <f>Sheet1!ED287*AFtoMG</f>
        <v>0</v>
      </c>
      <c r="DW289" s="535">
        <f t="shared" si="611"/>
        <v>0</v>
      </c>
      <c r="DX289" s="535">
        <f t="shared" si="612"/>
        <v>0</v>
      </c>
      <c r="DY289" s="535">
        <f t="shared" si="613"/>
        <v>468.97948088730487</v>
      </c>
      <c r="DZ289" s="535">
        <f t="shared" si="614"/>
        <v>1438.8290473622515</v>
      </c>
      <c r="EA289" s="535"/>
      <c r="EB289" s="521">
        <f>IF(OR(B289&lt;FV289,B289&gt;FW289),(MIN(BF289+BY289+CT289+MAX(Sheet1!AA287+AQ289-73,0),K289)),0)</f>
        <v>0</v>
      </c>
      <c r="EC289" s="535"/>
      <c r="ED289" s="535">
        <f t="shared" si="615"/>
        <v>14.30223300970874</v>
      </c>
      <c r="EE289" s="535"/>
      <c r="EF289" s="535">
        <f>Sheet1!EH287+Sheet1!EI287+Sheet1!EJ287+Sheet1!EK287</f>
        <v>14.5</v>
      </c>
      <c r="EG289" s="1019">
        <f t="shared" si="677"/>
        <v>22.4315</v>
      </c>
      <c r="EH289" s="521">
        <f t="shared" si="616"/>
        <v>0</v>
      </c>
      <c r="EI289" s="535">
        <f>IF(Sheet1!ET287=1,SUM('Calculations II'!AT289:BA289)+'Calculations II'!BC289+Sheet1!BV287+'Calculations II'!BE289+AP289,'Calculations II'!BK289)</f>
        <v>51.985564990291266</v>
      </c>
      <c r="EJ289" s="535">
        <f ca="1">EI289+'Calculations II'!D289+'Calculations II'!E289+'Calculations II'!O289</f>
        <v>49.052790459321216</v>
      </c>
      <c r="EK289" s="535"/>
      <c r="EL289" s="535"/>
      <c r="EM289" s="535">
        <f t="shared" si="617"/>
        <v>43013</v>
      </c>
      <c r="EN289" s="535">
        <f t="shared" si="618"/>
        <v>-14.500000000000004</v>
      </c>
      <c r="EO289" s="535">
        <f t="shared" si="619"/>
        <v>-22.431500000000003</v>
      </c>
      <c r="EP289" s="535">
        <v>0</v>
      </c>
      <c r="EQ289" s="535">
        <v>0</v>
      </c>
      <c r="ER289" s="535">
        <v>0</v>
      </c>
      <c r="ES289" s="521">
        <f t="shared" si="643"/>
        <v>2.354189931610275</v>
      </c>
      <c r="ET289" s="535">
        <f>-(VLOOKUP(Sheet1!BQ287,Lookup!$O$4:$Q$262,2)-VLOOKUP(Sheet1!BQ286,Lookup!$O$4:$Q$262,2))/1000000</f>
        <v>1.2461322911539339</v>
      </c>
      <c r="EU289" s="535">
        <f>-(VLOOKUP(Sheet1!BR287,Lookup!$O$4:$Q$262,3)-VLOOKUP(Sheet1!BR286,Lookup!$O$4:$Q$262,3))/1000000</f>
        <v>1.1080576404563411</v>
      </c>
      <c r="EV289" s="535"/>
      <c r="EW289" s="535"/>
      <c r="EX289" s="535"/>
      <c r="EY289" s="535"/>
      <c r="EZ289" s="535"/>
      <c r="FA289" s="535"/>
      <c r="FB289" s="535"/>
      <c r="FC289" s="535"/>
      <c r="FD289" s="567">
        <f t="shared" si="632"/>
        <v>1112.3911764705333</v>
      </c>
      <c r="FE289" s="567" t="e">
        <f t="shared" si="620"/>
        <v>#N/A</v>
      </c>
      <c r="FF289" s="568" t="e">
        <f t="shared" si="621"/>
        <v>#N/A</v>
      </c>
      <c r="FG289" s="569" t="s">
        <v>656</v>
      </c>
      <c r="FH289" s="569" t="s">
        <v>656</v>
      </c>
      <c r="FI289" s="567" t="e">
        <v>#N/A</v>
      </c>
      <c r="FJ289" s="725">
        <v>8361</v>
      </c>
      <c r="FK289" s="535"/>
      <c r="FL289" s="1015">
        <f t="shared" si="631"/>
        <v>105.90015128593041</v>
      </c>
      <c r="FM289" s="535"/>
      <c r="FN289" s="535"/>
      <c r="FO289" s="535">
        <f>O289+((Sheet1!CS287)*GPMtoMGD)</f>
        <v>64.23</v>
      </c>
      <c r="FP289" s="535">
        <f>IF(Sheet1!AA287+AQ289&lt;=Calculation!N289,AQ289,Calculation!N289-Sheet1!AA287)</f>
        <v>21.627766990291263</v>
      </c>
      <c r="FQ289" s="535">
        <f>(Sheet1!BP287+Sheet1!BO287)/694.4</f>
        <v>1.6764112903225805</v>
      </c>
      <c r="FR289" s="541"/>
      <c r="FS289" s="541"/>
      <c r="FT289" s="541"/>
      <c r="FU289" s="541"/>
      <c r="FV289" s="1109">
        <f t="shared" si="644"/>
        <v>42918</v>
      </c>
      <c r="FW289" s="1109">
        <f t="shared" si="645"/>
        <v>43027</v>
      </c>
      <c r="FX289" s="541"/>
      <c r="FY289" s="541">
        <f>Sheet1!DA287-Sheet1!CZ287-Sheet1!AE287</f>
        <v>-39.363810000000001</v>
      </c>
      <c r="FZ289" s="535">
        <f t="shared" si="678"/>
        <v>-0.32615808174956801</v>
      </c>
      <c r="GA289" s="535"/>
      <c r="GB289" s="535" t="str">
        <f t="shared" si="646"/>
        <v>n</v>
      </c>
      <c r="GC289" s="539">
        <f t="shared" si="647"/>
        <v>42782</v>
      </c>
      <c r="GD289" s="1109">
        <f t="shared" si="648"/>
        <v>42904</v>
      </c>
      <c r="GE289" s="535">
        <f t="shared" si="664"/>
        <v>6520</v>
      </c>
      <c r="GF289" s="1109">
        <f t="shared" si="649"/>
        <v>42909</v>
      </c>
      <c r="GG289" s="535">
        <f t="shared" si="691"/>
        <v>3260</v>
      </c>
      <c r="GH289" s="539">
        <f t="shared" si="650"/>
        <v>43040</v>
      </c>
      <c r="GJ289" s="521">
        <f t="shared" si="651"/>
        <v>0</v>
      </c>
      <c r="GK289" s="535" t="str">
        <f t="shared" si="622"/>
        <v/>
      </c>
      <c r="GL289" s="535">
        <f t="shared" si="652"/>
        <v>0</v>
      </c>
      <c r="GM289" s="535" t="str">
        <f t="shared" si="653"/>
        <v/>
      </c>
      <c r="GN289" s="535">
        <f>IF(GK289="P",Lookup!$M$12,IF(GK289="PP",Lookup!$M$13,IF(GK289="PPP",Lookup!$M$14,IF(GK289="T",Lookup!$M$15,IF(GK289="TP",Lookup!$M$16,IF(GK289="TPP",Lookup!$M$17,IF(GK289="TPPP",Lookup!$M$18,0)))))))*GJ289</f>
        <v>0</v>
      </c>
      <c r="GO289" s="535">
        <f t="shared" si="654"/>
        <v>0</v>
      </c>
      <c r="GP289" s="535">
        <f t="shared" si="623"/>
        <v>792.26495009723533</v>
      </c>
      <c r="GQ289" s="974">
        <f t="shared" si="567"/>
        <v>258.23499025333615</v>
      </c>
      <c r="GR289" s="535"/>
      <c r="GS289" s="535">
        <f t="shared" si="655"/>
        <v>0</v>
      </c>
      <c r="GT289" s="535" t="str">
        <f t="shared" si="656"/>
        <v/>
      </c>
      <c r="GU289" s="535">
        <f>IF(GK289="P",Lookup!$N$12,IF(GK289="PP",Lookup!$N$13,IF(GK289="PPP",Lookup!$N$14,IF(GK289="T",Lookup!$N$15,IF(GK289="TP",Lookup!$N$16,IF(GK289="TPP",Lookup!$N$17,IF(GK289="TPPP",Lookup!$N$18,0)))))))*GJ289</f>
        <v>0</v>
      </c>
      <c r="GV289" s="535">
        <f t="shared" si="657"/>
        <v>0</v>
      </c>
      <c r="GW289" s="535">
        <f t="shared" si="624"/>
        <v>245.69935189606494</v>
      </c>
      <c r="GX289" s="974">
        <f t="shared" si="568"/>
        <v>80.084534516318428</v>
      </c>
      <c r="GY289" s="535"/>
      <c r="GZ289" s="535">
        <f t="shared" si="658"/>
        <v>0</v>
      </c>
      <c r="HA289" s="535" t="str">
        <f t="shared" si="659"/>
        <v/>
      </c>
      <c r="HB289" s="535">
        <f>IF(GK289="P",Lookup!$N$12,IF(GK289="PP",Lookup!$N$13,IF(GK289="PPP",Lookup!$N$14,IF(GK289="T",Lookup!$N$15,IF(GK289="TP",Lookup!$N$16,IF(GK289="TPP",Lookup!$N$17,IF(GK289="TPPP",Lookup!$N$18,0)))))))*GJ289</f>
        <v>0</v>
      </c>
      <c r="HC289" s="521">
        <f t="shared" si="625"/>
        <v>0</v>
      </c>
      <c r="HD289" s="535">
        <f t="shared" si="626"/>
        <v>161.61611212989467</v>
      </c>
      <c r="HE289" s="535">
        <f t="shared" si="662"/>
        <v>52.678002649900478</v>
      </c>
      <c r="HF289" s="535"/>
      <c r="HG289" s="535">
        <f t="shared" si="660"/>
        <v>0</v>
      </c>
      <c r="HH289" s="535" t="str">
        <f t="shared" si="661"/>
        <v/>
      </c>
      <c r="HI289" s="535">
        <f>IF(GK289="P",Lookup!$N$12,IF(GK289="PP",Lookup!$N$13,IF(GK289="PPP",Lookup!$N$14,IF(GK289="T",Lookup!$N$15,IF(GK289="TP",Lookup!$N$16,IF(GK289="TPP",Lookup!$N$17,IF(GK289="TPPP",Lookup!$N$18,0)))))))*GJ289</f>
        <v>0</v>
      </c>
      <c r="HJ289" s="521">
        <f t="shared" si="627"/>
        <v>0</v>
      </c>
      <c r="HK289" s="535">
        <f t="shared" si="628"/>
        <v>239.24863323905655</v>
      </c>
      <c r="HL289" s="535">
        <f t="shared" si="663"/>
        <v>77.981953467749847</v>
      </c>
      <c r="HM289" s="535"/>
      <c r="HN289" s="541"/>
      <c r="HO289" s="541"/>
      <c r="HP289" s="541"/>
      <c r="HQ289" s="541">
        <f>IF(AND(B289&gt;=$FV$4,B289&lt;=$FW$4),MAX(110/1.02+$HQ$6+MIN(113/1.02,G289),IF($HV$6-(Sheet1!DA287-Sheet1!DB287)+MIN(113/1.02,G289)&lt;G289+FL289,$HV$6-(Sheet1!DA287-Sheet1!DB287)+MIN(113/1.02,G289),G289+FL289)),MIN(110/1.02+$HQ$6+113/1.02,G289))</f>
        <v>218.62745098039215</v>
      </c>
      <c r="HR289" s="541">
        <f t="shared" si="679"/>
        <v>223</v>
      </c>
      <c r="HS289" s="541">
        <f>HR289+(Sheet1!DA287-Sheet1!DB287)</f>
        <v>393</v>
      </c>
      <c r="HT289" s="541">
        <f t="shared" si="680"/>
        <v>77.238255533980578</v>
      </c>
      <c r="HU289" s="541">
        <f t="shared" si="681"/>
        <v>315.76174446601942</v>
      </c>
      <c r="HV289" s="541">
        <f t="shared" si="682"/>
        <v>0</v>
      </c>
      <c r="HW289" s="533" t="str">
        <f t="shared" si="683"/>
        <v/>
      </c>
      <c r="HX289" s="541">
        <f t="shared" si="684"/>
        <v>227.94104901960782</v>
      </c>
      <c r="HY289" s="541">
        <f>Sheet1!CZ287</f>
        <v>469</v>
      </c>
      <c r="HZ289" s="541">
        <f t="shared" si="685"/>
        <v>22.431500000000003</v>
      </c>
      <c r="IA289" s="541">
        <f t="shared" si="686"/>
        <v>77.238255533980578</v>
      </c>
      <c r="IB289" s="541">
        <f t="shared" si="687"/>
        <v>446.56849999999997</v>
      </c>
      <c r="IC289" s="1019" t="str">
        <f t="shared" si="688"/>
        <v/>
      </c>
      <c r="ID289" s="541">
        <f t="shared" si="689"/>
        <v>369.33024446601939</v>
      </c>
      <c r="IE289" s="541">
        <f>Sheet1!DB287</f>
        <v>359</v>
      </c>
      <c r="IF289" s="533">
        <f>Sheet1!DA287</f>
        <v>529</v>
      </c>
      <c r="IH289" s="541">
        <f>IF(AND($B289&gt;=$GC289,$B289&lt;=$GH289,$DR289&lt;0)+N("only adjusted when pool is drawn down during storage season"),Sheet1!$DB287+$DR289+N("Palmer minus all storage release"),Sheet1!$DB287)</f>
        <v>10.6893595548691</v>
      </c>
      <c r="II289" s="541">
        <f>IF(AND($B289&gt;=$GC289,$B289&lt;=$GH289,$DR289&lt;0)+N("only adjusted when pool is drawn down during storage season"),Sheet1!$DA287+$DR289+N("Auburn minus all storage release"),Sheet1!$DA287)</f>
        <v>180.6893595548691</v>
      </c>
    </row>
    <row r="290" spans="1:243" x14ac:dyDescent="0.25">
      <c r="A290" s="553" t="s">
        <v>8</v>
      </c>
      <c r="B290" s="531">
        <v>43014</v>
      </c>
      <c r="C290" s="536">
        <v>0</v>
      </c>
      <c r="D290" s="506">
        <f t="shared" si="633"/>
        <v>300</v>
      </c>
      <c r="E290" s="506">
        <f t="shared" si="634"/>
        <v>250</v>
      </c>
      <c r="F290" s="506">
        <v>250</v>
      </c>
      <c r="G290" s="535">
        <f>DR290+Sheet1!CZ288</f>
        <v>116.42864346850428</v>
      </c>
      <c r="H290" s="1074">
        <f t="shared" si="690"/>
        <v>0</v>
      </c>
      <c r="I290" s="534">
        <f>IF(Sheet1!DA288&gt;=E290,(Sheet1!DA288-E290+P290)*CFStoMGD,0)</f>
        <v>245.19076736</v>
      </c>
      <c r="J290" s="995">
        <f>IF(Sheet1!DB288&gt;=D290,(Sheet1!DB288-D290+P290)*CFStoMGD,0)</f>
        <v>98.457967359999998</v>
      </c>
      <c r="K290" s="818">
        <f t="shared" si="665"/>
        <v>0</v>
      </c>
      <c r="L290" s="535">
        <f>Sheet1!AA288+Sheet1!AB288-Sheet1!L288+(Sheet1!DA288-F290)*CFStoMGD-S290-T290-U290</f>
        <v>231.59125062447961</v>
      </c>
      <c r="M290" s="535">
        <f t="shared" si="569"/>
        <v>76.764664640801996</v>
      </c>
      <c r="N290" s="824">
        <f>IF(Sheet1!DA288&gt;=F290,MIN(113*CFStoMGD,MIN(MAX(L290,0),MAX(M290,0))),0)</f>
        <v>73.043199999999999</v>
      </c>
      <c r="O290" s="538">
        <f>Sheet1!AA288+Sheet1!AB288</f>
        <v>64.2</v>
      </c>
      <c r="P290" s="538">
        <f t="shared" si="570"/>
        <v>99.317399999999992</v>
      </c>
      <c r="Q290" s="812">
        <f t="shared" si="666"/>
        <v>50.599250624479609</v>
      </c>
      <c r="R290" s="812">
        <f t="shared" si="635"/>
        <v>13.5</v>
      </c>
      <c r="S290" s="812">
        <f t="shared" si="636"/>
        <v>0</v>
      </c>
      <c r="T290" s="812">
        <f t="shared" si="637"/>
        <v>0</v>
      </c>
      <c r="U290" s="812">
        <f>IF(AND(B290&gt;=FV290,B290&lt;=FW290),ED290+Sheet1!EH288,0)</f>
        <v>13.600749375520397</v>
      </c>
      <c r="V290" s="812"/>
      <c r="W290" s="812">
        <f t="shared" si="638"/>
        <v>0</v>
      </c>
      <c r="X290" s="812">
        <f t="shared" si="639"/>
        <v>0</v>
      </c>
      <c r="Y290" s="812" t="str">
        <f t="shared" si="640"/>
        <v>FALSE</v>
      </c>
      <c r="Z290" s="812">
        <f t="shared" si="641"/>
        <v>64.2</v>
      </c>
      <c r="AA290" s="812">
        <f t="shared" si="642"/>
        <v>64.2</v>
      </c>
      <c r="AB290" s="1059">
        <f t="shared" si="667"/>
        <v>78.277040716069948</v>
      </c>
      <c r="AC290" s="538">
        <f>Sheet1!Y288*MGDtoCFS</f>
        <v>43.780099999999997</v>
      </c>
      <c r="AD290" s="538">
        <f>Sheet1!Z288*MGDtoCFS</f>
        <v>55.583709999999996</v>
      </c>
      <c r="AE290" s="538">
        <f>Sheet1!AA288*MGDtoCFS</f>
        <v>43.780099999999997</v>
      </c>
      <c r="AF290" s="538">
        <f>Sheet1!AB288*MGDtoCFS</f>
        <v>55.537299999999995</v>
      </c>
      <c r="AG290" s="538">
        <f>Sheet1!L288*MGDtoCFS</f>
        <v>0</v>
      </c>
      <c r="AH290" s="521">
        <f>AU290+BN290+CI290+DB290</f>
        <v>13.694893144601719</v>
      </c>
      <c r="AI290" s="1059">
        <f t="shared" si="572"/>
        <v>21.185999694698857</v>
      </c>
      <c r="AJ290" s="535">
        <f t="shared" si="573"/>
        <v>0</v>
      </c>
      <c r="AK290" s="535">
        <f t="shared" si="574"/>
        <v>0</v>
      </c>
      <c r="AL290" s="535">
        <f>(VLOOKUP(Sheet1!DC288,hhdcap_wcm,4)-(((VLOOKUP(Sheet1!DC288,hhdcap_wcm,3)-Sheet1!DC288)/(VLOOKUP(Sheet1!DC288,hhdcap_wcm,3)-VLOOKUP(Sheet1!DC288,hhdcap_wcm,1)))*(VLOOKUP(Sheet1!DC288,hhdcap_wcm,4)-VLOOKUP(Sheet1!DC288,hhdcap_wcm,2))))</f>
        <v>14407.800000034878</v>
      </c>
      <c r="AM290" s="535">
        <f t="shared" si="575"/>
        <v>-693.20000000195614</v>
      </c>
      <c r="AN290" s="1035">
        <f t="shared" si="576"/>
        <v>455.28458774270314</v>
      </c>
      <c r="AO290" s="535">
        <f t="shared" si="577"/>
        <v>1396.8131151946131</v>
      </c>
      <c r="AP290" s="535">
        <f>Sheet1!BA288+Sheet1!BB288+Sheet1!BN288+CD290</f>
        <v>22.38</v>
      </c>
      <c r="AQ290" s="535">
        <f>Sheet1!BN288+(DO290*Sheet1!BN288)</f>
        <v>22.299250624479598</v>
      </c>
      <c r="AR290" s="535">
        <f>Sheet1!BA288+CD290</f>
        <v>0</v>
      </c>
      <c r="AS290" s="535">
        <f>Sheet1!BA288+Sheet1!BB288+CD290</f>
        <v>0</v>
      </c>
      <c r="AT290" s="649">
        <f>0</f>
        <v>0</v>
      </c>
      <c r="AU290" s="974">
        <f>BA290+MAX(Sheet1!EH288,(O290-Q290-ED290-S290))</f>
        <v>0</v>
      </c>
      <c r="AV290" s="535">
        <f>IF(OR(B290&gt;=GD290,B290&lt;GC290),0,15/36*K290-MAX(0,64.6-(137.6-(Sheet1!AA288+Sheet1!AB288))))</f>
        <v>0</v>
      </c>
      <c r="AW290" s="1029"/>
      <c r="AX290" s="649"/>
      <c r="AY290" s="649">
        <f t="shared" si="668"/>
        <v>23.311716569431731</v>
      </c>
      <c r="AZ290" s="649">
        <f t="shared" si="669"/>
        <v>0</v>
      </c>
      <c r="BA290" s="1059">
        <f t="shared" si="670"/>
        <v>0</v>
      </c>
      <c r="BB290" s="1019">
        <f t="shared" si="578"/>
        <v>158.47899025333615</v>
      </c>
      <c r="BC290" s="1041">
        <f t="shared" si="671"/>
        <v>0</v>
      </c>
      <c r="BD290" s="1019">
        <f ca="1">IF(B290&gt;(Summary!$A$1-1),#N/A,BB290*MGtoAF)</f>
        <v>486.21354209723529</v>
      </c>
      <c r="BE290" s="535">
        <f>Sheet1!BG288+Sheet1!BH288+Sheet1!BI288-BM290</f>
        <v>3.92</v>
      </c>
      <c r="BF290" s="535">
        <f t="shared" si="579"/>
        <v>3.9058562309186784</v>
      </c>
      <c r="BG290" s="535">
        <f>IF(Sheet1!EP288="FM",BM290,0)</f>
        <v>0</v>
      </c>
      <c r="BH290" s="535">
        <f t="shared" si="580"/>
        <v>0</v>
      </c>
      <c r="BI290" s="535">
        <f>IF(Sheet1!EP288="OTHER",BM290,0)</f>
        <v>0</v>
      </c>
      <c r="BJ290" s="535">
        <f t="shared" si="581"/>
        <v>0</v>
      </c>
      <c r="BK290" s="535">
        <f t="shared" si="582"/>
        <v>3.92</v>
      </c>
      <c r="BL290" s="535">
        <f t="shared" si="583"/>
        <v>3.9058562309186784</v>
      </c>
      <c r="BM290" s="535">
        <f>IF(OR(Sheet1!EP288="FM", Sheet1!EP288="OTHER"),SUM(Sheet1!BG288:'Sheet1'!BI288),0)</f>
        <v>0</v>
      </c>
      <c r="BN290" s="521">
        <f>IF(AND($B290&gt;=$FV290,$B290&lt;=$FW290),MAX(BF290,Sheet1!EI288,0),MAX(BF290-(7/36)*$K290,0))</f>
        <v>4</v>
      </c>
      <c r="BO290" s="535">
        <f t="shared" si="584"/>
        <v>0</v>
      </c>
      <c r="BP290" s="521">
        <f t="shared" si="585"/>
        <v>0</v>
      </c>
      <c r="BQ290" s="521">
        <f>IF(AND($O290&gt;0,Sheet1!EM288=1),(1-($O290-Sheet1!$L288)/$O290)*BL290,0)</f>
        <v>0</v>
      </c>
      <c r="BR290" s="521">
        <f>IF(AND(Sheet1!$L288=0,Sheet1!$L287=0, Calculation!BK290&lt;Sheet1!$EI288-0.1,Sheet1!$EI288=Sheet1!$EI287,Sheet1!$EI288=Sheet1!$EI289),BL290-BQ290,BL290-BQ290)</f>
        <v>3.9058562309186784</v>
      </c>
      <c r="BS290" s="1035" t="str">
        <f t="shared" si="672"/>
        <v/>
      </c>
      <c r="BT290" s="1035">
        <f t="shared" si="673"/>
        <v>0</v>
      </c>
      <c r="BU290" s="535">
        <f t="shared" si="586"/>
        <v>76.084534516318428</v>
      </c>
      <c r="BV290" s="535"/>
      <c r="BW290" s="535">
        <f ca="1">IF(B290&gt;(Summary!$A$1-1),#N/A,BU290*MGtoAF)</f>
        <v>233.42735189606495</v>
      </c>
      <c r="BX290" s="535">
        <f>Sheet1!BC288+Sheet1!BD288+Sheet1!BE288+Sheet1!BF288-CG290-CH290</f>
        <v>3.17</v>
      </c>
      <c r="BY290" s="535">
        <f t="shared" si="587"/>
        <v>3.1585623091867885</v>
      </c>
      <c r="BZ290" s="535">
        <f>IF(Sheet1!EQ288="FM",CH290,0)</f>
        <v>0</v>
      </c>
      <c r="CA290" s="535">
        <f t="shared" si="588"/>
        <v>0</v>
      </c>
      <c r="CB290" s="535">
        <f>IF(Sheet1!EQ288="OTHER",CH290,0)</f>
        <v>0</v>
      </c>
      <c r="CC290" s="535">
        <f t="shared" si="589"/>
        <v>0</v>
      </c>
      <c r="CD290" s="535">
        <f t="shared" si="590"/>
        <v>0</v>
      </c>
      <c r="CE290" s="535">
        <f t="shared" si="591"/>
        <v>3.17</v>
      </c>
      <c r="CF290" s="535">
        <f t="shared" si="592"/>
        <v>3.1585623091867885</v>
      </c>
      <c r="CG290" s="535">
        <f>IF(Sheet1!EQ288="CWA",SUM(Sheet1!BC288:'Sheet1'!BF288),0)</f>
        <v>0</v>
      </c>
      <c r="CH290" s="535">
        <f>IF(OR(Sheet1!EQ288="FM", Sheet1!EQ288="OTHER"),SUM(Sheet1!BC288:'Sheet1'!BF288),0)</f>
        <v>0</v>
      </c>
      <c r="CI290" s="521">
        <f>IF(AND($B290&gt;=$FV290,$B290&lt;=$FW290),MAX(CF290,Sheet1!EJ288,0),MAX(CF290-(7/36)*$K290,0))</f>
        <v>3.1585623091867885</v>
      </c>
      <c r="CJ290" s="535">
        <f t="shared" si="593"/>
        <v>0</v>
      </c>
      <c r="CK290" s="521">
        <f t="shared" si="594"/>
        <v>0</v>
      </c>
      <c r="CL290" s="521">
        <f>IF(AND($O290&gt;0,Sheet1!EN288=1),(1-($O290-Sheet1!$L288)/$O290)*CF290,0)</f>
        <v>0</v>
      </c>
      <c r="CM290" s="521">
        <f>IF(AND(Sheet1!$L288=0,Sheet1!$L287=0, Calculation!CE290&lt;Sheet1!EJ288-0.1,Sheet1!EJ288=Sheet1!EJ287,Sheet1!EJ288=Sheet1!EJ289),CF290-CL290,CF290-CL290)</f>
        <v>3.1585623091867885</v>
      </c>
      <c r="CN290" s="1040" t="str">
        <f t="shared" si="674"/>
        <v/>
      </c>
      <c r="CO290" s="1035">
        <f t="shared" si="675"/>
        <v>0</v>
      </c>
      <c r="CP290" s="535">
        <f t="shared" si="595"/>
        <v>99.397440340713686</v>
      </c>
      <c r="CQ290" s="535"/>
      <c r="CR290" s="535">
        <f ca="1">IF(B290&gt;(Summary!$A$1-1),#N/A,CP290*MGtoAF)</f>
        <v>304.9513469653096</v>
      </c>
      <c r="CS290" s="535">
        <f>Sheet1!BK288+Sheet1!BL288+Sheet1!BM288-Sheet1!ER288-DA290</f>
        <v>6.56</v>
      </c>
      <c r="CT290" s="535">
        <f t="shared" si="596"/>
        <v>6.5363308354149314</v>
      </c>
      <c r="CU290" s="535">
        <f>IF(Sheet1!ER288="FM",DA290,0)</f>
        <v>0</v>
      </c>
      <c r="CV290" s="535">
        <f t="shared" si="597"/>
        <v>0</v>
      </c>
      <c r="CW290" s="535">
        <f>IF(Sheet1!ER288="OTHER",DA290,0)</f>
        <v>0</v>
      </c>
      <c r="CX290" s="535">
        <f t="shared" si="598"/>
        <v>0</v>
      </c>
      <c r="CY290" s="535">
        <f t="shared" si="629"/>
        <v>6.56</v>
      </c>
      <c r="CZ290" s="535">
        <f t="shared" si="630"/>
        <v>6.5363308354149314</v>
      </c>
      <c r="DA290" s="535">
        <f>IF(OR(Sheet1!ER288="FM", Sheet1!ER288="OTHER"),SUM(Sheet1!BK288:'Sheet1'!BM288),0)</f>
        <v>0</v>
      </c>
      <c r="DB290" s="1011">
        <f>IF(AND($B290&gt;=$FV290,$B290&lt;=$FW290),MAX($CT290,Sheet1!EK288,0),MAX($CT290-(7/36)*$K290,0))</f>
        <v>6.5363308354149314</v>
      </c>
      <c r="DC290" s="1012">
        <f t="shared" si="601"/>
        <v>0</v>
      </c>
      <c r="DD290" s="1011">
        <f t="shared" si="602"/>
        <v>0</v>
      </c>
      <c r="DE290" s="521">
        <f>IF(AND($O290&gt;0,Sheet1!EO288=1),(1-($O290-Sheet1!$L288)/$O290)*CZ290,0)</f>
        <v>0</v>
      </c>
      <c r="DF290" s="521">
        <f>IF(AND(Sheet1!$L288=0,Sheet1!$L287=0, Calculation!CY290&lt;Sheet1!$EK288-0.1,Sheet1!$EK288=Sheet1!$EK287,Sheet1!$EK288=Sheet1!$EK289),CZ290-DE290,CZ290-DE290)</f>
        <v>6.5363308354149314</v>
      </c>
      <c r="DG290" s="1040">
        <f t="shared" si="676"/>
        <v>0</v>
      </c>
      <c r="DH290" s="649">
        <f t="shared" si="603"/>
        <v>13.649999999999999</v>
      </c>
      <c r="DI290" s="535">
        <f t="shared" si="604"/>
        <v>121.32362263233492</v>
      </c>
      <c r="DJ290" s="649">
        <f t="shared" si="605"/>
        <v>13.600749375520397</v>
      </c>
      <c r="DK290" s="535">
        <f ca="1">IF(B290&gt;(Summary!$A$1-1),#N/A,DI290*MGtoAF)</f>
        <v>372.22087423600351</v>
      </c>
      <c r="DL290" s="649">
        <f t="shared" si="606"/>
        <v>13.65</v>
      </c>
      <c r="DM290" s="535">
        <f t="shared" si="607"/>
        <v>36.03</v>
      </c>
      <c r="DN290" s="535">
        <f>Sheet1!AB288-DM290</f>
        <v>-0.13000000000000256</v>
      </c>
      <c r="DO290" s="743">
        <f t="shared" si="608"/>
        <v>-3.6081043574799489E-3</v>
      </c>
      <c r="DP290" s="535">
        <f>(VLOOKUP(Sheet1!DC288,hhdcap_wcm,4)-(((VLOOKUP(Sheet1!DC288,hhdcap_wcm,3)-Sheet1!DC288)/(VLOOKUP(Sheet1!DC288,hhdcap_wcm,3)-VLOOKUP(Sheet1!DC288,hhdcap_wcm,1)))*(VLOOKUP(Sheet1!DC288,hhdcap_wcm,4)-VLOOKUP(Sheet1!DC288,hhdcap_wcm,2))))</f>
        <v>14407.800000034878</v>
      </c>
      <c r="DQ290" s="535">
        <f t="shared" si="609"/>
        <v>-693.20000000195614</v>
      </c>
      <c r="DR290" s="535">
        <f t="shared" si="610"/>
        <v>-349.57135653149572</v>
      </c>
      <c r="DS290" s="535">
        <f>Sheet1!EA288*AFtoMG</f>
        <v>-99.756</v>
      </c>
      <c r="DT290" s="535">
        <f>Sheet1!EB288*AFtoMG</f>
        <v>0</v>
      </c>
      <c r="DU290" s="535">
        <f>Sheet1!EC288*AFtoMG</f>
        <v>49.878</v>
      </c>
      <c r="DV290" s="535">
        <f>Sheet1!ED288*AFtoMG</f>
        <v>49.878</v>
      </c>
      <c r="DW290" s="535">
        <f t="shared" si="611"/>
        <v>0</v>
      </c>
      <c r="DX290" s="535">
        <f t="shared" si="612"/>
        <v>0</v>
      </c>
      <c r="DY290" s="535">
        <f t="shared" si="613"/>
        <v>455.28458774270314</v>
      </c>
      <c r="DZ290" s="535">
        <f t="shared" si="614"/>
        <v>1396.8131151946131</v>
      </c>
      <c r="EA290" s="535"/>
      <c r="EB290" s="521">
        <f>IF(OR(B290&lt;FV290,B290&gt;FW290),(MIN(BF290+BY290+CT290+MAX(Sheet1!AA288+AQ290-73,0),K290)),0)</f>
        <v>0</v>
      </c>
      <c r="EC290" s="535"/>
      <c r="ED290" s="535">
        <f t="shared" si="615"/>
        <v>13.600749375520397</v>
      </c>
      <c r="EE290" s="535"/>
      <c r="EF290" s="535">
        <f>Sheet1!EH288+Sheet1!EI288+Sheet1!EJ288+Sheet1!EK288</f>
        <v>13.5</v>
      </c>
      <c r="EG290" s="1019">
        <f t="shared" si="677"/>
        <v>20.884499999999999</v>
      </c>
      <c r="EH290" s="521">
        <f t="shared" si="616"/>
        <v>0</v>
      </c>
      <c r="EI290" s="535">
        <f>IF(Sheet1!ET288=1,SUM('Calculations II'!AT290:BA290)+'Calculations II'!BC290+Sheet1!BV288+'Calculations II'!BE290+AP290,'Calculations II'!BK290)</f>
        <v>51.741644624479591</v>
      </c>
      <c r="EJ290" s="535">
        <f ca="1">EI290+'Calculations II'!D290+'Calculations II'!E290+'Calculations II'!O290</f>
        <v>50.622305952047888</v>
      </c>
      <c r="EK290" s="535"/>
      <c r="EL290" s="535"/>
      <c r="EM290" s="535">
        <f t="shared" si="617"/>
        <v>43014</v>
      </c>
      <c r="EN290" s="535">
        <f t="shared" si="618"/>
        <v>-13.694893144601719</v>
      </c>
      <c r="EO290" s="535">
        <f t="shared" si="619"/>
        <v>-21.185999694698857</v>
      </c>
      <c r="EP290" s="535">
        <v>0</v>
      </c>
      <c r="EQ290" s="535">
        <v>0</v>
      </c>
      <c r="ER290" s="535">
        <v>0</v>
      </c>
      <c r="ES290" s="521">
        <f t="shared" si="643"/>
        <v>1.3843992194685861</v>
      </c>
      <c r="ET290" s="535">
        <f>-(VLOOKUP(Sheet1!BQ288,Lookup!$O$4:$Q$262,2)-VLOOKUP(Sheet1!BQ287,Lookup!$O$4:$Q$262,2))/1000000</f>
        <v>0.69207146515346318</v>
      </c>
      <c r="EU290" s="535">
        <f>-(VLOOKUP(Sheet1!BR288,Lookup!$O$4:$Q$262,3)-VLOOKUP(Sheet1!BR287,Lookup!$O$4:$Q$262,3))/1000000</f>
        <v>0.69232775431512295</v>
      </c>
      <c r="EV290" s="535"/>
      <c r="EW290" s="535"/>
      <c r="EX290" s="535"/>
      <c r="EY290" s="535"/>
      <c r="EZ290" s="535"/>
      <c r="FA290" s="535"/>
      <c r="FB290" s="535"/>
      <c r="FC290" s="535"/>
      <c r="FD290" s="567">
        <f t="shared" si="632"/>
        <v>1111.7705882352398</v>
      </c>
      <c r="FE290" s="567" t="e">
        <f t="shared" si="620"/>
        <v>#N/A</v>
      </c>
      <c r="FF290" s="568" t="e">
        <f t="shared" si="621"/>
        <v>#N/A</v>
      </c>
      <c r="FG290" s="569" t="s">
        <v>656</v>
      </c>
      <c r="FH290" s="569" t="s">
        <v>656</v>
      </c>
      <c r="FI290" s="567" t="e">
        <v>#N/A</v>
      </c>
      <c r="FJ290" s="725">
        <v>8151</v>
      </c>
      <c r="FK290" s="535"/>
      <c r="FL290" s="1015">
        <f t="shared" ref="FL290:FL321" si="692">(FJ290-FJ291)/1.983</f>
        <v>105.90015128593041</v>
      </c>
      <c r="FM290" s="535"/>
      <c r="FN290" s="535"/>
      <c r="FO290" s="535">
        <f>O290+((Sheet1!CS288)*GPMtoMGD)</f>
        <v>64.2</v>
      </c>
      <c r="FP290" s="535">
        <f>IF(Sheet1!AA288+AQ290&lt;=Calculation!N290,AQ290,Calculation!N290-Sheet1!AA288)</f>
        <v>22.299250624479598</v>
      </c>
      <c r="FQ290" s="535">
        <f>(Sheet1!BP288+Sheet1!BO288)/694.4</f>
        <v>1.6764112903225805</v>
      </c>
      <c r="FR290" s="541"/>
      <c r="FS290" s="541"/>
      <c r="FT290" s="541"/>
      <c r="FU290" s="541"/>
      <c r="FV290" s="1109">
        <f t="shared" si="644"/>
        <v>42918</v>
      </c>
      <c r="FW290" s="1109">
        <f t="shared" si="645"/>
        <v>43027</v>
      </c>
      <c r="FX290" s="541"/>
      <c r="FY290" s="541">
        <f>Sheet1!DA288-Sheet1!CZ288-Sheet1!AE288</f>
        <v>-35.317400000000006</v>
      </c>
      <c r="FZ290" s="535">
        <f t="shared" si="678"/>
        <v>-0.30333944421119963</v>
      </c>
      <c r="GA290" s="535"/>
      <c r="GB290" s="535" t="str">
        <f t="shared" si="646"/>
        <v>n</v>
      </c>
      <c r="GC290" s="539">
        <f t="shared" si="647"/>
        <v>42782</v>
      </c>
      <c r="GD290" s="1109">
        <f t="shared" si="648"/>
        <v>42904</v>
      </c>
      <c r="GE290" s="535">
        <f t="shared" si="664"/>
        <v>6520</v>
      </c>
      <c r="GF290" s="1109">
        <f t="shared" si="649"/>
        <v>42909</v>
      </c>
      <c r="GG290" s="535">
        <f t="shared" si="691"/>
        <v>3260</v>
      </c>
      <c r="GH290" s="539">
        <f t="shared" si="650"/>
        <v>43040</v>
      </c>
      <c r="GJ290" s="521">
        <f t="shared" si="651"/>
        <v>0</v>
      </c>
      <c r="GK290" s="535" t="str">
        <f t="shared" si="622"/>
        <v/>
      </c>
      <c r="GL290" s="535">
        <f t="shared" si="652"/>
        <v>0</v>
      </c>
      <c r="GM290" s="535" t="str">
        <f t="shared" si="653"/>
        <v/>
      </c>
      <c r="GN290" s="535">
        <f>IF(GK290="P",Lookup!$M$12,IF(GK290="PP",Lookup!$M$13,IF(GK290="PPP",Lookup!$M$14,IF(GK290="T",Lookup!$M$15,IF(GK290="TP",Lookup!$M$16,IF(GK290="TPP",Lookup!$M$17,IF(GK290="TPPP",Lookup!$M$18,0)))))))*GJ290</f>
        <v>0</v>
      </c>
      <c r="GO290" s="535">
        <f t="shared" si="654"/>
        <v>0</v>
      </c>
      <c r="GP290" s="535">
        <f t="shared" si="623"/>
        <v>486.21354209723529</v>
      </c>
      <c r="GQ290" s="974">
        <f t="shared" si="567"/>
        <v>158.47899025333615</v>
      </c>
      <c r="GR290" s="535"/>
      <c r="GS290" s="535">
        <f t="shared" si="655"/>
        <v>0</v>
      </c>
      <c r="GT290" s="535" t="str">
        <f t="shared" si="656"/>
        <v/>
      </c>
      <c r="GU290" s="535">
        <f>IF(GK290="P",Lookup!$N$12,IF(GK290="PP",Lookup!$N$13,IF(GK290="PPP",Lookup!$N$14,IF(GK290="T",Lookup!$N$15,IF(GK290="TP",Lookup!$N$16,IF(GK290="TPP",Lookup!$N$17,IF(GK290="TPPP",Lookup!$N$18,0)))))))*GJ290</f>
        <v>0</v>
      </c>
      <c r="GV290" s="535">
        <f t="shared" si="657"/>
        <v>0</v>
      </c>
      <c r="GW290" s="535">
        <f t="shared" si="624"/>
        <v>233.42735189606495</v>
      </c>
      <c r="GX290" s="974">
        <f t="shared" si="568"/>
        <v>76.084534516318428</v>
      </c>
      <c r="GY290" s="535"/>
      <c r="GZ290" s="535">
        <f t="shared" si="658"/>
        <v>0</v>
      </c>
      <c r="HA290" s="535" t="str">
        <f t="shared" si="659"/>
        <v/>
      </c>
      <c r="HB290" s="535">
        <f>IF(GK290="P",Lookup!$N$12,IF(GK290="PP",Lookup!$N$13,IF(GK290="PPP",Lookup!$N$14,IF(GK290="T",Lookup!$N$15,IF(GK290="TP",Lookup!$N$16,IF(GK290="TPP",Lookup!$N$17,IF(GK290="TPPP",Lookup!$N$18,0)))))))*GJ290</f>
        <v>0</v>
      </c>
      <c r="HC290" s="521">
        <f t="shared" si="625"/>
        <v>0</v>
      </c>
      <c r="HD290" s="535">
        <f t="shared" si="626"/>
        <v>304.9513469653096</v>
      </c>
      <c r="HE290" s="535">
        <f t="shared" si="662"/>
        <v>99.397440340713686</v>
      </c>
      <c r="HF290" s="535"/>
      <c r="HG290" s="535">
        <f t="shared" si="660"/>
        <v>0</v>
      </c>
      <c r="HH290" s="535" t="str">
        <f t="shared" si="661"/>
        <v/>
      </c>
      <c r="HI290" s="535">
        <f>IF(GK290="P",Lookup!$N$12,IF(GK290="PP",Lookup!$N$13,IF(GK290="PPP",Lookup!$N$14,IF(GK290="T",Lookup!$N$15,IF(GK290="TP",Lookup!$N$16,IF(GK290="TPP",Lookup!$N$17,IF(GK290="TPPP",Lookup!$N$18,0)))))))*GJ290</f>
        <v>0</v>
      </c>
      <c r="HJ290" s="521">
        <f t="shared" si="627"/>
        <v>0</v>
      </c>
      <c r="HK290" s="535">
        <f t="shared" si="628"/>
        <v>372.22087423600351</v>
      </c>
      <c r="HL290" s="535">
        <f t="shared" si="663"/>
        <v>121.32362263233492</v>
      </c>
      <c r="HM290" s="535"/>
      <c r="HN290" s="541"/>
      <c r="HO290" s="541"/>
      <c r="HP290" s="541"/>
      <c r="HQ290" s="541">
        <f>IF(AND(B290&gt;=$FV$4,B290&lt;=$FW$4),MAX(110/1.02+$HQ$6+MIN(113/1.02,G290),IF($HV$6-(Sheet1!DA288-Sheet1!DB288)+MIN(113/1.02,G290)&lt;G290+FL290,$HV$6-(Sheet1!DA288-Sheet1!DB288)+MIN(113/1.02,G290),G290+FL290)),MIN(110/1.02+$HQ$6+113/1.02,G290))</f>
        <v>218.62745098039215</v>
      </c>
      <c r="HR290" s="541">
        <f t="shared" si="679"/>
        <v>223</v>
      </c>
      <c r="HS290" s="541">
        <f>HR290+(Sheet1!DA288-Sheet1!DB288)</f>
        <v>400</v>
      </c>
      <c r="HT290" s="541">
        <f t="shared" si="680"/>
        <v>78.277040716069948</v>
      </c>
      <c r="HU290" s="541">
        <f t="shared" si="681"/>
        <v>321.72295928393004</v>
      </c>
      <c r="HV290" s="541">
        <f t="shared" si="682"/>
        <v>0</v>
      </c>
      <c r="HW290" s="533" t="str">
        <f t="shared" si="683"/>
        <v/>
      </c>
      <c r="HX290" s="541">
        <f t="shared" si="684"/>
        <v>226.18654932490898</v>
      </c>
      <c r="HY290" s="541">
        <f>Sheet1!CZ288</f>
        <v>466</v>
      </c>
      <c r="HZ290" s="541">
        <f t="shared" si="685"/>
        <v>21.185999694698857</v>
      </c>
      <c r="IA290" s="541">
        <f t="shared" si="686"/>
        <v>78.277040716069948</v>
      </c>
      <c r="IB290" s="541">
        <f t="shared" si="687"/>
        <v>444.81400030530114</v>
      </c>
      <c r="IC290" s="1019" t="str">
        <f t="shared" si="688"/>
        <v/>
      </c>
      <c r="ID290" s="541">
        <f t="shared" si="689"/>
        <v>366.53695958923117</v>
      </c>
      <c r="IE290" s="541">
        <f>Sheet1!DB288</f>
        <v>353</v>
      </c>
      <c r="IF290" s="533">
        <f>Sheet1!DA288</f>
        <v>530</v>
      </c>
      <c r="IH290" s="541">
        <f>IF(AND($B290&gt;=$GC290,$B290&lt;=$GH290,$DR290&lt;0)+N("only adjusted when pool is drawn down during storage season"),Sheet1!$DB288+$DR290+N("Palmer minus all storage release"),Sheet1!$DB288)</f>
        <v>3.4286434685042764</v>
      </c>
      <c r="II290" s="541">
        <f>IF(AND($B290&gt;=$GC290,$B290&lt;=$GH290,$DR290&lt;0)+N("only adjusted when pool is drawn down during storage season"),Sheet1!$DA288+$DR290+N("Auburn minus all storage release"),Sheet1!$DA288)</f>
        <v>180.42864346850428</v>
      </c>
    </row>
    <row r="291" spans="1:243" x14ac:dyDescent="0.25">
      <c r="A291" s="553" t="s">
        <v>9</v>
      </c>
      <c r="B291" s="531">
        <v>43015</v>
      </c>
      <c r="C291" s="536">
        <v>0</v>
      </c>
      <c r="D291" s="506">
        <f t="shared" si="633"/>
        <v>300</v>
      </c>
      <c r="E291" s="506">
        <f t="shared" si="634"/>
        <v>250</v>
      </c>
      <c r="F291" s="506">
        <v>250</v>
      </c>
      <c r="G291" s="535">
        <f>DR291+Sheet1!CZ289</f>
        <v>169.53000504223439</v>
      </c>
      <c r="H291" s="1074">
        <f t="shared" si="690"/>
        <v>0</v>
      </c>
      <c r="I291" s="534">
        <f>IF(Sheet1!DA289&gt;=E291,(Sheet1!DA289-E291+P291)*CFStoMGD,0)</f>
        <v>251.65476735999999</v>
      </c>
      <c r="J291" s="995">
        <f>IF(Sheet1!DB289&gt;=D291,(Sheet1!DB289-D291+P291)*CFStoMGD,0)</f>
        <v>103.62916736</v>
      </c>
      <c r="K291" s="818">
        <f t="shared" si="665"/>
        <v>0</v>
      </c>
      <c r="L291" s="535">
        <f>Sheet1!AA289+Sheet1!AB289-Sheet1!L289+(Sheet1!DA289-F291)*CFStoMGD-S291-T291-U291</f>
        <v>238.81104587155963</v>
      </c>
      <c r="M291" s="535">
        <f t="shared" si="569"/>
        <v>111.77587916448633</v>
      </c>
      <c r="N291" s="824">
        <f>IF(Sheet1!DA289&gt;=F291,MIN(113*CFStoMGD,MIN(MAX(L291,0),MAX(M291,0))),0)</f>
        <v>73.043199999999999</v>
      </c>
      <c r="O291" s="538">
        <f>Sheet1!AA289+Sheet1!AB289</f>
        <v>64.2</v>
      </c>
      <c r="P291" s="538">
        <f t="shared" si="570"/>
        <v>99.317399999999992</v>
      </c>
      <c r="Q291" s="812">
        <f t="shared" si="666"/>
        <v>51.355045871559639</v>
      </c>
      <c r="R291" s="812">
        <f t="shared" si="635"/>
        <v>13.5</v>
      </c>
      <c r="S291" s="812">
        <f t="shared" si="636"/>
        <v>0</v>
      </c>
      <c r="T291" s="812">
        <f t="shared" si="637"/>
        <v>0</v>
      </c>
      <c r="U291" s="812">
        <f>IF(AND(B291&gt;=FV291,B291&lt;=FW291),ED291+Sheet1!EH289,0)</f>
        <v>12.844954128440367</v>
      </c>
      <c r="V291" s="812"/>
      <c r="W291" s="812">
        <f t="shared" si="638"/>
        <v>0</v>
      </c>
      <c r="X291" s="812">
        <f t="shared" si="639"/>
        <v>0</v>
      </c>
      <c r="Y291" s="812" t="str">
        <f t="shared" si="640"/>
        <v>FALSE</v>
      </c>
      <c r="Z291" s="812">
        <f t="shared" si="641"/>
        <v>64.2</v>
      </c>
      <c r="AA291" s="812">
        <f t="shared" si="642"/>
        <v>64.2</v>
      </c>
      <c r="AB291" s="1059">
        <f t="shared" si="667"/>
        <v>79.446255963302761</v>
      </c>
      <c r="AC291" s="538">
        <f>Sheet1!Y289*MGDtoCFS</f>
        <v>43.780099999999997</v>
      </c>
      <c r="AD291" s="538">
        <f>Sheet1!Z289*MGDtoCFS</f>
        <v>55.537299999999995</v>
      </c>
      <c r="AE291" s="538">
        <f>Sheet1!AA289*MGDtoCFS</f>
        <v>43.780099999999997</v>
      </c>
      <c r="AF291" s="538">
        <f>Sheet1!AB289*MGDtoCFS</f>
        <v>55.537299999999995</v>
      </c>
      <c r="AG291" s="538">
        <f>Sheet1!L289*MGDtoCFS</f>
        <v>0</v>
      </c>
      <c r="AH291" s="521">
        <f t="shared" si="571"/>
        <v>13.5</v>
      </c>
      <c r="AI291" s="1059">
        <f t="shared" si="572"/>
        <v>20.884499999999999</v>
      </c>
      <c r="AJ291" s="535">
        <f t="shared" si="573"/>
        <v>0</v>
      </c>
      <c r="AK291" s="535">
        <f t="shared" si="574"/>
        <v>0</v>
      </c>
      <c r="AL291" s="535">
        <f>(VLOOKUP(Sheet1!DC289,hhdcap_wcm,4)-(((VLOOKUP(Sheet1!DC289,hhdcap_wcm,3)-Sheet1!DC289)/(VLOOKUP(Sheet1!DC289,hhdcap_wcm,3)-VLOOKUP(Sheet1!DC289,hhdcap_wcm,1)))*(VLOOKUP(Sheet1!DC289,hhdcap_wcm,4)-VLOOKUP(Sheet1!DC289,hhdcap_wcm,2))))</f>
        <v>13819.900000033629</v>
      </c>
      <c r="AM291" s="535">
        <f t="shared" si="575"/>
        <v>-587.90000000124928</v>
      </c>
      <c r="AN291" s="1035">
        <f t="shared" si="576"/>
        <v>441.78458774270314</v>
      </c>
      <c r="AO291" s="535">
        <f t="shared" si="577"/>
        <v>1355.3951151946133</v>
      </c>
      <c r="AP291" s="535">
        <f>Sheet1!BA289+Sheet1!BB289+Sheet1!BN289+CD291</f>
        <v>23.1</v>
      </c>
      <c r="AQ291" s="535">
        <f>Sheet1!BN289+(DO291*Sheet1!BN289)</f>
        <v>23.055045871559635</v>
      </c>
      <c r="AR291" s="535">
        <f>Sheet1!BA289+CD291</f>
        <v>0</v>
      </c>
      <c r="AS291" s="535">
        <f>Sheet1!BA289+Sheet1!BB289+CD291</f>
        <v>0</v>
      </c>
      <c r="AT291" s="649">
        <f>0</f>
        <v>0</v>
      </c>
      <c r="AU291" s="974">
        <f>BA291+MAX(Sheet1!EH289,(O291-Q291-ED291-S291))</f>
        <v>0</v>
      </c>
      <c r="AV291" s="535">
        <f>IF(OR(B291&gt;=GD291,B291&lt;GC291),0,15/36*K291-MAX(0,64.6-(137.6-(Sheet1!AA289+Sheet1!AB289))))</f>
        <v>0</v>
      </c>
      <c r="AW291" s="1029"/>
      <c r="AX291" s="649"/>
      <c r="AY291" s="649">
        <f t="shared" si="668"/>
        <v>23.311716569431731</v>
      </c>
      <c r="AZ291" s="649">
        <f t="shared" si="669"/>
        <v>0</v>
      </c>
      <c r="BA291" s="1059">
        <f t="shared" si="670"/>
        <v>0</v>
      </c>
      <c r="BB291" s="1019">
        <f t="shared" si="578"/>
        <v>158.47899025333615</v>
      </c>
      <c r="BC291" s="1041">
        <f t="shared" si="671"/>
        <v>0</v>
      </c>
      <c r="BD291" s="1019">
        <f ca="1">IF(B291&gt;(Summary!$A$1-1),#N/A,BB291*MGtoAF)</f>
        <v>486.21354209723529</v>
      </c>
      <c r="BE291" s="535">
        <f>Sheet1!BG289+Sheet1!BH289+Sheet1!BI289-BM291</f>
        <v>3.62</v>
      </c>
      <c r="BF291" s="535">
        <f t="shared" si="579"/>
        <v>3.6129552404781764</v>
      </c>
      <c r="BG291" s="535">
        <f>IF(Sheet1!EP289="FM",BM291,0)</f>
        <v>0</v>
      </c>
      <c r="BH291" s="535">
        <f t="shared" si="580"/>
        <v>0</v>
      </c>
      <c r="BI291" s="535">
        <f>IF(Sheet1!EP289="OTHER",BM291,0)</f>
        <v>0</v>
      </c>
      <c r="BJ291" s="535">
        <f t="shared" si="581"/>
        <v>0</v>
      </c>
      <c r="BK291" s="535">
        <f t="shared" si="582"/>
        <v>3.62</v>
      </c>
      <c r="BL291" s="535">
        <f t="shared" si="583"/>
        <v>3.6129552404781764</v>
      </c>
      <c r="BM291" s="535">
        <f>IF(OR(Sheet1!EP289="FM", Sheet1!EP289="OTHER"),SUM(Sheet1!BG289:'Sheet1'!BI289),0)</f>
        <v>0</v>
      </c>
      <c r="BN291" s="521">
        <f>IF(AND($B291&gt;=$FV291,$B291&lt;=$FW291),MAX(BF291,Sheet1!EI289,0),MAX(BF291-(7/36)*$K291,0))</f>
        <v>4</v>
      </c>
      <c r="BO291" s="535">
        <f t="shared" si="584"/>
        <v>0</v>
      </c>
      <c r="BP291" s="521">
        <f t="shared" si="585"/>
        <v>0</v>
      </c>
      <c r="BQ291" s="521">
        <f>IF(AND($O291&gt;0,Sheet1!EM289=1),(1-($O291-Sheet1!$L289)/$O291)*BL291,0)</f>
        <v>0</v>
      </c>
      <c r="BR291" s="521">
        <f>IF(AND(Sheet1!$L289=0,Sheet1!$L288=0, Calculation!BK291&lt;Sheet1!$EI289-0.1,Sheet1!$EI289=Sheet1!$EI288,Sheet1!$EI289=Sheet1!$EI290),BL291-BQ291,BL291-BQ291)</f>
        <v>3.6129552404781764</v>
      </c>
      <c r="BS291" s="1035" t="str">
        <f t="shared" si="672"/>
        <v/>
      </c>
      <c r="BT291" s="1035">
        <f t="shared" si="673"/>
        <v>0</v>
      </c>
      <c r="BU291" s="535">
        <f t="shared" si="586"/>
        <v>72.084534516318428</v>
      </c>
      <c r="BV291" s="535"/>
      <c r="BW291" s="535">
        <f ca="1">IF(B291&gt;(Summary!$A$1-1),#N/A,BU291*MGtoAF)</f>
        <v>221.15535189606493</v>
      </c>
      <c r="BX291" s="535">
        <f>Sheet1!BC289+Sheet1!BD289+Sheet1!BE289+Sheet1!BF289-CG291-CH291</f>
        <v>3</v>
      </c>
      <c r="BY291" s="535">
        <f t="shared" si="587"/>
        <v>2.9941618015012512</v>
      </c>
      <c r="BZ291" s="535">
        <f>IF(Sheet1!EQ289="FM",CH291,0)</f>
        <v>0</v>
      </c>
      <c r="CA291" s="535">
        <f t="shared" si="588"/>
        <v>0</v>
      </c>
      <c r="CB291" s="535">
        <f>IF(Sheet1!EQ289="OTHER",CH291,0)</f>
        <v>0</v>
      </c>
      <c r="CC291" s="535">
        <f t="shared" si="589"/>
        <v>0</v>
      </c>
      <c r="CD291" s="535">
        <f t="shared" si="590"/>
        <v>0</v>
      </c>
      <c r="CE291" s="535">
        <f t="shared" si="591"/>
        <v>3</v>
      </c>
      <c r="CF291" s="535">
        <f t="shared" si="592"/>
        <v>2.9941618015012512</v>
      </c>
      <c r="CG291" s="535">
        <f>IF(Sheet1!EQ289="CWA",SUM(Sheet1!BC289:'Sheet1'!BF289),0)</f>
        <v>0</v>
      </c>
      <c r="CH291" s="535">
        <f>IF(OR(Sheet1!EQ289="FM", Sheet1!EQ289="OTHER"),SUM(Sheet1!BC289:'Sheet1'!BF289),0)</f>
        <v>0</v>
      </c>
      <c r="CI291" s="521">
        <f>IF(AND($B291&gt;=$FV291,$B291&lt;=$FW291),MAX(CF291,Sheet1!EJ289,0),MAX(CF291-(7/36)*$K291,0))</f>
        <v>3</v>
      </c>
      <c r="CJ291" s="535">
        <f t="shared" si="593"/>
        <v>0</v>
      </c>
      <c r="CK291" s="521">
        <f t="shared" si="594"/>
        <v>0</v>
      </c>
      <c r="CL291" s="521">
        <f>IF(AND($O291&gt;0,Sheet1!EN289=1),(1-($O291-Sheet1!$L289)/$O291)*CF291,0)</f>
        <v>0</v>
      </c>
      <c r="CM291" s="521">
        <f>IF(AND(Sheet1!$L289=0,Sheet1!$L288=0, Calculation!CE291&lt;Sheet1!EJ289-0.1,Sheet1!EJ289=Sheet1!EJ288,Sheet1!EJ289=Sheet1!EJ290),CF291-CL291,CF291-CL291)</f>
        <v>2.9941618015012512</v>
      </c>
      <c r="CN291" s="1040" t="str">
        <f t="shared" si="674"/>
        <v/>
      </c>
      <c r="CO291" s="1035">
        <f t="shared" si="675"/>
        <v>0</v>
      </c>
      <c r="CP291" s="535">
        <f t="shared" si="595"/>
        <v>96.397440340713686</v>
      </c>
      <c r="CQ291" s="535"/>
      <c r="CR291" s="535">
        <f ca="1">IF(B291&gt;(Summary!$A$1-1),#N/A,CP291*MGtoAF)</f>
        <v>295.74734696530959</v>
      </c>
      <c r="CS291" s="535">
        <f>Sheet1!BK289+Sheet1!BL289+Sheet1!BM289-Sheet1!ER289-DA291</f>
        <v>6.25</v>
      </c>
      <c r="CT291" s="535">
        <f t="shared" si="596"/>
        <v>6.2378370864609396</v>
      </c>
      <c r="CU291" s="535">
        <f>IF(Sheet1!ER289="FM",DA291,0)</f>
        <v>0</v>
      </c>
      <c r="CV291" s="535">
        <f t="shared" si="597"/>
        <v>0</v>
      </c>
      <c r="CW291" s="535">
        <f>IF(Sheet1!ER289="OTHER",DA291,0)</f>
        <v>0</v>
      </c>
      <c r="CX291" s="535">
        <f t="shared" si="598"/>
        <v>0</v>
      </c>
      <c r="CY291" s="535">
        <f t="shared" si="629"/>
        <v>6.25</v>
      </c>
      <c r="CZ291" s="535">
        <f t="shared" si="630"/>
        <v>6.2378370864609396</v>
      </c>
      <c r="DA291" s="535">
        <f>IF(OR(Sheet1!ER289="FM", Sheet1!ER289="OTHER"),SUM(Sheet1!BK289:'Sheet1'!BM289),0)</f>
        <v>0</v>
      </c>
      <c r="DB291" s="1011">
        <f>IF(AND($B291&gt;=$FV291,$B291&lt;=$FW291),MAX($CT291,Sheet1!EK289,0),MAX($CT291-(7/36)*$K291,0))</f>
        <v>6.5</v>
      </c>
      <c r="DC291" s="1012">
        <f t="shared" si="601"/>
        <v>0</v>
      </c>
      <c r="DD291" s="1011">
        <f t="shared" si="602"/>
        <v>0</v>
      </c>
      <c r="DE291" s="521">
        <f>IF(AND($O291&gt;0,Sheet1!EO289=1),(1-($O291-Sheet1!$L289)/$O291)*CZ291,0)</f>
        <v>0</v>
      </c>
      <c r="DF291" s="521">
        <f>IF(AND(Sheet1!$L289=0,Sheet1!$L288=0, Calculation!CY291&lt;Sheet1!$EK289-0.1,Sheet1!$EK289=Sheet1!$EK288,Sheet1!$EK289=Sheet1!$EK290),CZ291-DE291,CZ291-DE291)</f>
        <v>6.2378370864609396</v>
      </c>
      <c r="DG291" s="1040">
        <f t="shared" si="676"/>
        <v>0</v>
      </c>
      <c r="DH291" s="649">
        <f t="shared" si="603"/>
        <v>12.870000000000001</v>
      </c>
      <c r="DI291" s="535">
        <f t="shared" si="604"/>
        <v>114.82362263233492</v>
      </c>
      <c r="DJ291" s="649">
        <f t="shared" si="605"/>
        <v>12.844954128440367</v>
      </c>
      <c r="DK291" s="535">
        <f ca="1">IF(B291&gt;(Summary!$A$1-1),#N/A,DI291*MGtoAF)</f>
        <v>352.27887423600356</v>
      </c>
      <c r="DL291" s="649">
        <f t="shared" si="606"/>
        <v>12.870000000000001</v>
      </c>
      <c r="DM291" s="535">
        <f t="shared" si="607"/>
        <v>35.97</v>
      </c>
      <c r="DN291" s="535">
        <f>Sheet1!AB289-DM291</f>
        <v>-7.0000000000000284E-2</v>
      </c>
      <c r="DO291" s="743">
        <f t="shared" si="608"/>
        <v>-1.9460661662496605E-3</v>
      </c>
      <c r="DP291" s="535">
        <f>(VLOOKUP(Sheet1!DC289,hhdcap_wcm,4)-(((VLOOKUP(Sheet1!DC289,hhdcap_wcm,3)-Sheet1!DC289)/(VLOOKUP(Sheet1!DC289,hhdcap_wcm,3)-VLOOKUP(Sheet1!DC289,hhdcap_wcm,1)))*(VLOOKUP(Sheet1!DC289,hhdcap_wcm,4)-VLOOKUP(Sheet1!DC289,hhdcap_wcm,2))))</f>
        <v>13819.900000033629</v>
      </c>
      <c r="DQ291" s="535">
        <f t="shared" si="609"/>
        <v>-587.90000000124928</v>
      </c>
      <c r="DR291" s="535">
        <f t="shared" si="610"/>
        <v>-296.46999495776561</v>
      </c>
      <c r="DS291" s="535">
        <f>Sheet1!EA289*AFtoMG</f>
        <v>0</v>
      </c>
      <c r="DT291" s="535">
        <f>Sheet1!EB289*AFtoMG</f>
        <v>0</v>
      </c>
      <c r="DU291" s="535">
        <f>Sheet1!EC289*AFtoMG</f>
        <v>0</v>
      </c>
      <c r="DV291" s="535">
        <f>Sheet1!ED289*AFtoMG</f>
        <v>0</v>
      </c>
      <c r="DW291" s="535">
        <f t="shared" si="611"/>
        <v>0</v>
      </c>
      <c r="DX291" s="535">
        <f t="shared" si="612"/>
        <v>0</v>
      </c>
      <c r="DY291" s="535">
        <f t="shared" si="613"/>
        <v>441.78458774270314</v>
      </c>
      <c r="DZ291" s="535">
        <f t="shared" si="614"/>
        <v>1355.3951151946133</v>
      </c>
      <c r="EA291" s="535"/>
      <c r="EB291" s="521">
        <f>IF(OR(B291&lt;FV291,B291&gt;FW291),(MIN(BF291+BY291+CT291+MAX(Sheet1!AA289+AQ291-73,0),K291)),0)</f>
        <v>0</v>
      </c>
      <c r="EC291" s="535"/>
      <c r="ED291" s="535">
        <f t="shared" si="615"/>
        <v>12.844954128440367</v>
      </c>
      <c r="EE291" s="535"/>
      <c r="EF291" s="535">
        <f>Sheet1!EH289+Sheet1!EI289+Sheet1!EJ289+Sheet1!EK289</f>
        <v>13.5</v>
      </c>
      <c r="EG291" s="1019">
        <f t="shared" si="677"/>
        <v>20.884499999999999</v>
      </c>
      <c r="EH291" s="521">
        <f t="shared" si="616"/>
        <v>0</v>
      </c>
      <c r="EI291" s="535">
        <f>IF(Sheet1!ET289=1,SUM('Calculations II'!AT291:BA291)+'Calculations II'!BC291+Sheet1!BV289+'Calculations II'!BE291+AP291,'Calculations II'!BK291)</f>
        <v>50.358181871559637</v>
      </c>
      <c r="EJ291" s="535">
        <f ca="1">EI291+'Calculations II'!D291+'Calculations II'!E291+'Calculations II'!O291</f>
        <v>51.142841382334431</v>
      </c>
      <c r="EK291" s="535"/>
      <c r="EL291" s="535"/>
      <c r="EM291" s="535">
        <f t="shared" si="617"/>
        <v>43015</v>
      </c>
      <c r="EN291" s="535">
        <f t="shared" si="618"/>
        <v>-13.5</v>
      </c>
      <c r="EO291" s="535">
        <f t="shared" si="619"/>
        <v>-20.884499999999999</v>
      </c>
      <c r="EP291" s="535">
        <v>0</v>
      </c>
      <c r="EQ291" s="535">
        <v>0</v>
      </c>
      <c r="ER291" s="535">
        <v>0</v>
      </c>
      <c r="ES291" s="521">
        <f t="shared" si="643"/>
        <v>-0.96902178775373471</v>
      </c>
      <c r="ET291" s="535">
        <f>-(VLOOKUP(Sheet1!BQ289,Lookup!$O$4:$Q$262,2)-VLOOKUP(Sheet1!BQ288,Lookup!$O$4:$Q$262,2))/1000000</f>
        <v>-0.55364435869928819</v>
      </c>
      <c r="EU291" s="535">
        <f>-(VLOOKUP(Sheet1!BR289,Lookup!$O$4:$Q$262,3)-VLOOKUP(Sheet1!BR288,Lookup!$O$4:$Q$262,3))/1000000</f>
        <v>-0.41537742905444652</v>
      </c>
      <c r="EV291" s="535"/>
      <c r="EW291" s="535"/>
      <c r="EX291" s="535"/>
      <c r="EY291" s="535"/>
      <c r="EZ291" s="535"/>
      <c r="FA291" s="535"/>
      <c r="FB291" s="535"/>
      <c r="FC291" s="535"/>
      <c r="FD291" s="567">
        <f t="shared" ref="FD291:FD322" si="693">VLOOKUP(FJ289,hhdelev_wcm,4) -(((VLOOKUP(FJ289,hhdelev_wcm,3)-FJ289)/(VLOOKUP(FJ289,hhdelev_wcm,3)-VLOOKUP(FJ289,hhdelev_wcm,1)))*(VLOOKUP(FJ289,hhdelev_wcm,4)-VLOOKUP(FJ289,hhdelev_wcm,2)))</f>
        <v>1111.1424242423705</v>
      </c>
      <c r="FE291" s="567" t="e">
        <f t="shared" si="620"/>
        <v>#N/A</v>
      </c>
      <c r="FF291" s="568" t="e">
        <f t="shared" si="621"/>
        <v>#N/A</v>
      </c>
      <c r="FG291" s="569" t="s">
        <v>656</v>
      </c>
      <c r="FH291" s="569" t="s">
        <v>656</v>
      </c>
      <c r="FI291" s="567" t="e">
        <v>#N/A</v>
      </c>
      <c r="FJ291" s="725">
        <v>7941</v>
      </c>
      <c r="FK291" s="535"/>
      <c r="FL291" s="1015">
        <f t="shared" si="692"/>
        <v>105.3958648512355</v>
      </c>
      <c r="FM291" s="535"/>
      <c r="FN291" s="535"/>
      <c r="FO291" s="535">
        <f>O291+((Sheet1!CS289)*GPMtoMGD)</f>
        <v>64.2</v>
      </c>
      <c r="FP291" s="535">
        <f>IF(Sheet1!AA289+AQ291&lt;=Calculation!N291,AQ291,Calculation!N291-Sheet1!AA289)</f>
        <v>23.055045871559635</v>
      </c>
      <c r="FQ291" s="535">
        <f>(Sheet1!BP289+Sheet1!BO289)/694.4</f>
        <v>1.9871831797235024</v>
      </c>
      <c r="FR291" s="541"/>
      <c r="FS291" s="541"/>
      <c r="FT291" s="541"/>
      <c r="FU291" s="541"/>
      <c r="FV291" s="1109">
        <f t="shared" si="644"/>
        <v>42918</v>
      </c>
      <c r="FW291" s="1109">
        <f t="shared" si="645"/>
        <v>43027</v>
      </c>
      <c r="FX291" s="541"/>
      <c r="FY291" s="541">
        <f>Sheet1!DA289-Sheet1!CZ289-Sheet1!AE289</f>
        <v>-25.317400000000006</v>
      </c>
      <c r="FZ291" s="535">
        <f t="shared" si="678"/>
        <v>-0.14933875565975932</v>
      </c>
      <c r="GA291" s="535"/>
      <c r="GB291" s="535" t="str">
        <f t="shared" si="646"/>
        <v>n</v>
      </c>
      <c r="GC291" s="539">
        <f t="shared" si="647"/>
        <v>42782</v>
      </c>
      <c r="GD291" s="1109">
        <f t="shared" si="648"/>
        <v>42904</v>
      </c>
      <c r="GE291" s="535">
        <f t="shared" si="664"/>
        <v>6520</v>
      </c>
      <c r="GF291" s="1109">
        <f t="shared" si="649"/>
        <v>42909</v>
      </c>
      <c r="GG291" s="535">
        <f t="shared" si="691"/>
        <v>3260</v>
      </c>
      <c r="GH291" s="539">
        <f t="shared" si="650"/>
        <v>43040</v>
      </c>
      <c r="GJ291" s="521">
        <f t="shared" si="651"/>
        <v>0</v>
      </c>
      <c r="GK291" s="535" t="str">
        <f t="shared" si="622"/>
        <v/>
      </c>
      <c r="GL291" s="535">
        <f t="shared" si="652"/>
        <v>0</v>
      </c>
      <c r="GM291" s="535" t="str">
        <f t="shared" si="653"/>
        <v/>
      </c>
      <c r="GN291" s="535">
        <f>IF(GK291="P",Lookup!$M$12,IF(GK291="PP",Lookup!$M$13,IF(GK291="PPP",Lookup!$M$14,IF(GK291="T",Lookup!$M$15,IF(GK291="TP",Lookup!$M$16,IF(GK291="TPP",Lookup!$M$17,IF(GK291="TPPP",Lookup!$M$18,0)))))))*GJ291</f>
        <v>0</v>
      </c>
      <c r="GO291" s="535">
        <f t="shared" si="654"/>
        <v>0</v>
      </c>
      <c r="GP291" s="535">
        <f t="shared" si="623"/>
        <v>486.21354209723529</v>
      </c>
      <c r="GQ291" s="974">
        <f t="shared" si="567"/>
        <v>158.47899025333615</v>
      </c>
      <c r="GR291" s="535"/>
      <c r="GS291" s="535">
        <f t="shared" si="655"/>
        <v>0</v>
      </c>
      <c r="GT291" s="535" t="str">
        <f t="shared" si="656"/>
        <v/>
      </c>
      <c r="GU291" s="535">
        <f>IF(GK291="P",Lookup!$N$12,IF(GK291="PP",Lookup!$N$13,IF(GK291="PPP",Lookup!$N$14,IF(GK291="T",Lookup!$N$15,IF(GK291="TP",Lookup!$N$16,IF(GK291="TPP",Lookup!$N$17,IF(GK291="TPPP",Lookup!$N$18,0)))))))*GJ291</f>
        <v>0</v>
      </c>
      <c r="GV291" s="535">
        <f t="shared" si="657"/>
        <v>0</v>
      </c>
      <c r="GW291" s="535">
        <f t="shared" si="624"/>
        <v>221.15535189606493</v>
      </c>
      <c r="GX291" s="974">
        <f t="shared" si="568"/>
        <v>72.084534516318428</v>
      </c>
      <c r="GY291" s="535"/>
      <c r="GZ291" s="535">
        <f t="shared" si="658"/>
        <v>0</v>
      </c>
      <c r="HA291" s="535" t="str">
        <f t="shared" si="659"/>
        <v/>
      </c>
      <c r="HB291" s="535">
        <f>IF(GK291="P",Lookup!$N$12,IF(GK291="PP",Lookup!$N$13,IF(GK291="PPP",Lookup!$N$14,IF(GK291="T",Lookup!$N$15,IF(GK291="TP",Lookup!$N$16,IF(GK291="TPP",Lookup!$N$17,IF(GK291="TPPP",Lookup!$N$18,0)))))))*GJ291</f>
        <v>0</v>
      </c>
      <c r="HC291" s="521">
        <f t="shared" si="625"/>
        <v>0</v>
      </c>
      <c r="HD291" s="535">
        <f t="shared" si="626"/>
        <v>295.74734696530959</v>
      </c>
      <c r="HE291" s="535">
        <f t="shared" si="662"/>
        <v>96.397440340713686</v>
      </c>
      <c r="HF291" s="535"/>
      <c r="HG291" s="535">
        <f t="shared" si="660"/>
        <v>0</v>
      </c>
      <c r="HH291" s="535" t="str">
        <f t="shared" si="661"/>
        <v/>
      </c>
      <c r="HI291" s="535">
        <f>IF(GK291="P",Lookup!$N$12,IF(GK291="PP",Lookup!$N$13,IF(GK291="PPP",Lookup!$N$14,IF(GK291="T",Lookup!$N$15,IF(GK291="TP",Lookup!$N$16,IF(GK291="TPP",Lookup!$N$17,IF(GK291="TPPP",Lookup!$N$18,0)))))))*GJ291</f>
        <v>0</v>
      </c>
      <c r="HJ291" s="521">
        <f t="shared" si="627"/>
        <v>0</v>
      </c>
      <c r="HK291" s="535">
        <f t="shared" si="628"/>
        <v>352.27887423600356</v>
      </c>
      <c r="HL291" s="535">
        <f t="shared" si="663"/>
        <v>114.82362263233492</v>
      </c>
      <c r="HM291" s="535"/>
      <c r="HN291" s="541"/>
      <c r="HO291" s="541"/>
      <c r="HP291" s="541"/>
      <c r="HQ291" s="541">
        <f>IF(AND(B291&gt;=$FV$4,B291&lt;=$FW$4),MAX(110/1.02+$HQ$6+MIN(113/1.02,G291),IF($HV$6-(Sheet1!DA289-Sheet1!DB289)+MIN(113/1.02,G291)&lt;G291+FL291,$HV$6-(Sheet1!DA289-Sheet1!DB289)+MIN(113/1.02,G291),G291+FL291)),MIN(110/1.02+$HQ$6+113/1.02,G291))</f>
        <v>218.62745098039215</v>
      </c>
      <c r="HR291" s="541">
        <f t="shared" si="679"/>
        <v>223</v>
      </c>
      <c r="HS291" s="541">
        <f>HR291+(Sheet1!DA289-Sheet1!DB289)</f>
        <v>402</v>
      </c>
      <c r="HT291" s="541">
        <f t="shared" si="680"/>
        <v>79.446255963302761</v>
      </c>
      <c r="HU291" s="541">
        <f t="shared" si="681"/>
        <v>322.55374403669725</v>
      </c>
      <c r="HV291" s="541">
        <f t="shared" si="682"/>
        <v>0</v>
      </c>
      <c r="HW291" s="533" t="str">
        <f t="shared" si="683"/>
        <v/>
      </c>
      <c r="HX291" s="541">
        <f t="shared" si="684"/>
        <v>226.48804901960784</v>
      </c>
      <c r="HY291" s="541">
        <f>Sheet1!CZ289</f>
        <v>466</v>
      </c>
      <c r="HZ291" s="541">
        <f t="shared" si="685"/>
        <v>20.884499999999999</v>
      </c>
      <c r="IA291" s="541">
        <f t="shared" si="686"/>
        <v>79.446255963302761</v>
      </c>
      <c r="IB291" s="541">
        <f t="shared" si="687"/>
        <v>445.1155</v>
      </c>
      <c r="IC291" s="1019" t="str">
        <f t="shared" si="688"/>
        <v/>
      </c>
      <c r="ID291" s="541">
        <f t="shared" si="689"/>
        <v>365.66924403669725</v>
      </c>
      <c r="IE291" s="541">
        <f>Sheet1!DB289</f>
        <v>361</v>
      </c>
      <c r="IF291" s="533">
        <f>Sheet1!DA289</f>
        <v>540</v>
      </c>
      <c r="IH291" s="541">
        <f>IF(AND($B291&gt;=$GC291,$B291&lt;=$GH291,$DR291&lt;0)+N("only adjusted when pool is drawn down during storage season"),Sheet1!$DB289+$DR291+N("Palmer minus all storage release"),Sheet1!$DB289)</f>
        <v>64.530005042234393</v>
      </c>
      <c r="II291" s="541">
        <f>IF(AND($B291&gt;=$GC291,$B291&lt;=$GH291,$DR291&lt;0)+N("only adjusted when pool is drawn down during storage season"),Sheet1!$DA289+$DR291+N("Auburn minus all storage release"),Sheet1!$DA289)</f>
        <v>243.53000504223439</v>
      </c>
    </row>
    <row r="292" spans="1:243" x14ac:dyDescent="0.25">
      <c r="A292" s="553" t="s">
        <v>3</v>
      </c>
      <c r="B292" s="531">
        <v>43016</v>
      </c>
      <c r="C292" s="536">
        <v>0</v>
      </c>
      <c r="D292" s="506">
        <f t="shared" si="633"/>
        <v>300</v>
      </c>
      <c r="E292" s="506">
        <f t="shared" si="634"/>
        <v>250</v>
      </c>
      <c r="F292" s="506">
        <v>250</v>
      </c>
      <c r="G292" s="535">
        <f>DR292+Sheet1!CZ290</f>
        <v>291.99646999379388</v>
      </c>
      <c r="H292" s="1074">
        <f t="shared" si="690"/>
        <v>0</v>
      </c>
      <c r="I292" s="534">
        <f>IF(Sheet1!DA290&gt;=E292,(Sheet1!DA290-E292+P292)*CFStoMGD,0)</f>
        <v>258.11876735999999</v>
      </c>
      <c r="J292" s="995">
        <f>IF(Sheet1!DB290&gt;=D292,(Sheet1!DB290-D292+P292)*CFStoMGD,0)</f>
        <v>98.457967359999998</v>
      </c>
      <c r="K292" s="818">
        <f t="shared" si="665"/>
        <v>0</v>
      </c>
      <c r="L292" s="535">
        <f>Sheet1!AA290+Sheet1!AB290-Sheet1!L290+(Sheet1!DA290-F292)*CFStoMGD-S292-T292-U292</f>
        <v>245.49402885682576</v>
      </c>
      <c r="M292" s="535">
        <f t="shared" si="569"/>
        <v>192.52144856806814</v>
      </c>
      <c r="N292" s="824">
        <f>IF(Sheet1!DA290&gt;=F292,MIN(113*CFStoMGD,MIN(MAX(L292,0),MAX(M292,0))),0)</f>
        <v>73.043199999999999</v>
      </c>
      <c r="O292" s="538">
        <f>Sheet1!AA290+Sheet1!AB290</f>
        <v>64.2</v>
      </c>
      <c r="P292" s="538">
        <f t="shared" si="570"/>
        <v>99.317399999999992</v>
      </c>
      <c r="Q292" s="812">
        <f t="shared" si="666"/>
        <v>51.574028856825748</v>
      </c>
      <c r="R292" s="812">
        <f t="shared" si="635"/>
        <v>13.5</v>
      </c>
      <c r="S292" s="812">
        <f t="shared" si="636"/>
        <v>0</v>
      </c>
      <c r="T292" s="812">
        <f t="shared" si="637"/>
        <v>0</v>
      </c>
      <c r="U292" s="812">
        <f>IF(AND(B292&gt;=FV292,B292&lt;=FW292),ED292+Sheet1!EH290,0)</f>
        <v>12.625971143174251</v>
      </c>
      <c r="V292" s="812"/>
      <c r="W292" s="812">
        <f t="shared" si="638"/>
        <v>0</v>
      </c>
      <c r="X292" s="812">
        <f t="shared" si="639"/>
        <v>0</v>
      </c>
      <c r="Y292" s="812" t="str">
        <f t="shared" si="640"/>
        <v>FALSE</v>
      </c>
      <c r="Z292" s="812">
        <f t="shared" si="641"/>
        <v>64.2</v>
      </c>
      <c r="AA292" s="812">
        <f t="shared" si="642"/>
        <v>64.2</v>
      </c>
      <c r="AB292" s="1059">
        <f t="shared" si="667"/>
        <v>79.785022641509428</v>
      </c>
      <c r="AC292" s="538">
        <f>Sheet1!Y290*MGDtoCFS</f>
        <v>43.780099999999997</v>
      </c>
      <c r="AD292" s="538">
        <f>Sheet1!Z290*MGDtoCFS</f>
        <v>55.537299999999995</v>
      </c>
      <c r="AE292" s="538">
        <f>Sheet1!AA290*MGDtoCFS</f>
        <v>43.625399999999999</v>
      </c>
      <c r="AF292" s="538">
        <f>Sheet1!AB290*MGDtoCFS</f>
        <v>55.692</v>
      </c>
      <c r="AG292" s="538">
        <f>Sheet1!L290*MGDtoCFS</f>
        <v>0</v>
      </c>
      <c r="AH292" s="521">
        <f t="shared" si="571"/>
        <v>13.500000000000004</v>
      </c>
      <c r="AI292" s="1059">
        <f t="shared" si="572"/>
        <v>20.884500000000006</v>
      </c>
      <c r="AJ292" s="535">
        <f t="shared" si="573"/>
        <v>0</v>
      </c>
      <c r="AK292" s="535">
        <f t="shared" si="574"/>
        <v>0</v>
      </c>
      <c r="AL292" s="535">
        <f>(VLOOKUP(Sheet1!DC290,hhdcap_wcm,4)-(((VLOOKUP(Sheet1!DC290,hhdcap_wcm,3)-Sheet1!DC290)/(VLOOKUP(Sheet1!DC290,hhdcap_wcm,3)-VLOOKUP(Sheet1!DC290,hhdcap_wcm,1)))*(VLOOKUP(Sheet1!DC290,hhdcap_wcm,4)-VLOOKUP(Sheet1!DC290,hhdcap_wcm,2))))</f>
        <v>13480.800000031322</v>
      </c>
      <c r="AM292" s="535">
        <f t="shared" si="575"/>
        <v>-339.10000000230684</v>
      </c>
      <c r="AN292" s="1035">
        <f t="shared" si="576"/>
        <v>428.28458774270314</v>
      </c>
      <c r="AO292" s="535">
        <f t="shared" si="577"/>
        <v>1313.9771151946134</v>
      </c>
      <c r="AP292" s="535">
        <f>Sheet1!BA290+Sheet1!BB290+Sheet1!BN290+CD292</f>
        <v>23.4</v>
      </c>
      <c r="AQ292" s="535">
        <f>Sheet1!BN290+(DO292*Sheet1!BN290)</f>
        <v>23.374028856825749</v>
      </c>
      <c r="AR292" s="535">
        <f>Sheet1!BA290+CD292</f>
        <v>0</v>
      </c>
      <c r="AS292" s="535">
        <f>Sheet1!BA290+Sheet1!BB290+CD292</f>
        <v>0</v>
      </c>
      <c r="AT292" s="649">
        <f>0</f>
        <v>0</v>
      </c>
      <c r="AU292" s="974">
        <f>BA292+MAX(Sheet1!EH290,(O292-Q292-ED292-S292))</f>
        <v>3.5527136788005009E-15</v>
      </c>
      <c r="AV292" s="535">
        <f>IF(OR(B292&gt;=GD292,B292&lt;GC292),0,15/36*K292-MAX(0,64.6-(137.6-(Sheet1!AA290+Sheet1!AB290))))</f>
        <v>0</v>
      </c>
      <c r="AW292" s="1029"/>
      <c r="AX292" s="649"/>
      <c r="AY292" s="649">
        <f t="shared" si="668"/>
        <v>23.311716569431731</v>
      </c>
      <c r="AZ292" s="649">
        <f t="shared" si="669"/>
        <v>0</v>
      </c>
      <c r="BA292" s="1059">
        <f t="shared" si="670"/>
        <v>0</v>
      </c>
      <c r="BB292" s="1019">
        <f t="shared" si="578"/>
        <v>158.47899025333615</v>
      </c>
      <c r="BC292" s="1041">
        <f t="shared" si="671"/>
        <v>0</v>
      </c>
      <c r="BD292" s="1019">
        <f ca="1">IF(B292&gt;(Summary!$A$1-1),#N/A,BB292*MGtoAF)</f>
        <v>486.21354209723529</v>
      </c>
      <c r="BE292" s="535">
        <f>Sheet1!BG290+Sheet1!BH290+Sheet1!BI290-BM292</f>
        <v>3.24</v>
      </c>
      <c r="BF292" s="535">
        <f t="shared" si="579"/>
        <v>3.2364039955604889</v>
      </c>
      <c r="BG292" s="535">
        <f>IF(Sheet1!EP290="FM",BM292,0)</f>
        <v>0</v>
      </c>
      <c r="BH292" s="535">
        <f t="shared" si="580"/>
        <v>0</v>
      </c>
      <c r="BI292" s="535">
        <f>IF(Sheet1!EP290="OTHER",BM292,0)</f>
        <v>0</v>
      </c>
      <c r="BJ292" s="535">
        <f t="shared" si="581"/>
        <v>0</v>
      </c>
      <c r="BK292" s="535">
        <f t="shared" si="582"/>
        <v>3.24</v>
      </c>
      <c r="BL292" s="535">
        <f t="shared" si="583"/>
        <v>3.2364039955604889</v>
      </c>
      <c r="BM292" s="535">
        <f>IF(OR(Sheet1!EP290="FM", Sheet1!EP290="OTHER"),SUM(Sheet1!BG290:'Sheet1'!BI290),0)</f>
        <v>0</v>
      </c>
      <c r="BN292" s="521">
        <f>IF(AND($B292&gt;=$FV292,$B292&lt;=$FW292),MAX(BF292,Sheet1!EI290,0),MAX(BF292-(7/36)*$K292,0))</f>
        <v>4</v>
      </c>
      <c r="BO292" s="535">
        <f t="shared" si="584"/>
        <v>0</v>
      </c>
      <c r="BP292" s="521">
        <f t="shared" si="585"/>
        <v>0</v>
      </c>
      <c r="BQ292" s="521">
        <f>IF(AND($O292&gt;0,Sheet1!EM290=1),(1-($O292-Sheet1!$L290)/$O292)*BL292,0)</f>
        <v>0</v>
      </c>
      <c r="BR292" s="521">
        <f>IF(AND(Sheet1!$L290=0,Sheet1!$L289=0, Calculation!BK292&lt;Sheet1!$EI290-0.1,Sheet1!$EI290=Sheet1!$EI289,Sheet1!$EI290=Sheet1!$EI291),BL292-BQ292,BL292-BQ292)</f>
        <v>3.2364039955604889</v>
      </c>
      <c r="BS292" s="1035" t="str">
        <f t="shared" si="672"/>
        <v/>
      </c>
      <c r="BT292" s="1035">
        <f t="shared" si="673"/>
        <v>0</v>
      </c>
      <c r="BU292" s="535">
        <f t="shared" si="586"/>
        <v>68.084534516318428</v>
      </c>
      <c r="BV292" s="535"/>
      <c r="BW292" s="535">
        <f ca="1">IF(B292&gt;(Summary!$A$1-1),#N/A,BU292*MGtoAF)</f>
        <v>208.88335189606494</v>
      </c>
      <c r="BX292" s="535">
        <f>Sheet1!BC290+Sheet1!BD290+Sheet1!BE290+Sheet1!BF290-CG292-CH292</f>
        <v>3</v>
      </c>
      <c r="BY292" s="535">
        <f t="shared" si="587"/>
        <v>2.9966703662597114</v>
      </c>
      <c r="BZ292" s="535">
        <f>IF(Sheet1!EQ290="FM",CH292,0)</f>
        <v>0</v>
      </c>
      <c r="CA292" s="535">
        <f t="shared" si="588"/>
        <v>0</v>
      </c>
      <c r="CB292" s="535">
        <f>IF(Sheet1!EQ290="OTHER",CH292,0)</f>
        <v>0</v>
      </c>
      <c r="CC292" s="535">
        <f t="shared" si="589"/>
        <v>0</v>
      </c>
      <c r="CD292" s="535">
        <f t="shared" si="590"/>
        <v>0</v>
      </c>
      <c r="CE292" s="535">
        <f t="shared" si="591"/>
        <v>3</v>
      </c>
      <c r="CF292" s="535">
        <f t="shared" si="592"/>
        <v>2.9966703662597114</v>
      </c>
      <c r="CG292" s="535">
        <f>IF(Sheet1!EQ290="CWA",SUM(Sheet1!BC290:'Sheet1'!BF290),0)</f>
        <v>0</v>
      </c>
      <c r="CH292" s="535">
        <f>IF(OR(Sheet1!EQ290="FM", Sheet1!EQ290="OTHER"),SUM(Sheet1!BC290:'Sheet1'!BF290),0)</f>
        <v>0</v>
      </c>
      <c r="CI292" s="521">
        <f>IF(AND($B292&gt;=$FV292,$B292&lt;=$FW292),MAX(CF292,Sheet1!EJ290,0),MAX(CF292-(7/36)*$K292,0))</f>
        <v>3</v>
      </c>
      <c r="CJ292" s="535">
        <f t="shared" si="593"/>
        <v>0</v>
      </c>
      <c r="CK292" s="521">
        <f t="shared" si="594"/>
        <v>0</v>
      </c>
      <c r="CL292" s="521">
        <f>IF(AND($O292&gt;0,Sheet1!EN290=1),(1-($O292-Sheet1!$L290)/$O292)*CF292,0)</f>
        <v>0</v>
      </c>
      <c r="CM292" s="521">
        <f>IF(AND(Sheet1!$L290=0,Sheet1!$L289=0, Calculation!CE292&lt;Sheet1!EJ290-0.1,Sheet1!EJ290=Sheet1!EJ289,Sheet1!EJ290=Sheet1!EJ291),CF292-CL292,CF292-CL292)</f>
        <v>2.9966703662597114</v>
      </c>
      <c r="CN292" s="1040" t="str">
        <f t="shared" si="674"/>
        <v/>
      </c>
      <c r="CO292" s="1035">
        <f t="shared" si="675"/>
        <v>0</v>
      </c>
      <c r="CP292" s="535">
        <f t="shared" si="595"/>
        <v>93.397440340713686</v>
      </c>
      <c r="CQ292" s="535"/>
      <c r="CR292" s="535">
        <f ca="1">IF(B292&gt;(Summary!$A$1-1),#N/A,CP292*MGtoAF)</f>
        <v>286.54334696530958</v>
      </c>
      <c r="CS292" s="535">
        <f>Sheet1!BK290+Sheet1!BL290+Sheet1!BM290-Sheet1!ER290-DA292</f>
        <v>6.4</v>
      </c>
      <c r="CT292" s="535">
        <f t="shared" si="596"/>
        <v>6.3928967813540512</v>
      </c>
      <c r="CU292" s="535">
        <f>IF(Sheet1!ER290="FM",DA292,0)</f>
        <v>0</v>
      </c>
      <c r="CV292" s="535">
        <f t="shared" si="597"/>
        <v>0</v>
      </c>
      <c r="CW292" s="535">
        <f>IF(Sheet1!ER290="OTHER",DA292,0)</f>
        <v>0</v>
      </c>
      <c r="CX292" s="535">
        <f t="shared" si="598"/>
        <v>0</v>
      </c>
      <c r="CY292" s="535">
        <f t="shared" ref="CY292:CZ298" si="694">MAX(CS292,CU292)</f>
        <v>6.4</v>
      </c>
      <c r="CZ292" s="535">
        <f t="shared" si="694"/>
        <v>6.3928967813540512</v>
      </c>
      <c r="DA292" s="535">
        <f>IF(OR(Sheet1!ER290="FM", Sheet1!ER290="OTHER"),SUM(Sheet1!BK290:'Sheet1'!BM290),0)</f>
        <v>0</v>
      </c>
      <c r="DB292" s="1011">
        <f>IF(AND($B292&gt;=$FV292,$B292&lt;=$FW292),MAX($CT292,Sheet1!EK290,0),MAX($CT292-(7/36)*$K292,0))</f>
        <v>6.5</v>
      </c>
      <c r="DC292" s="1012">
        <f t="shared" si="601"/>
        <v>0</v>
      </c>
      <c r="DD292" s="1011">
        <f t="shared" si="602"/>
        <v>0</v>
      </c>
      <c r="DE292" s="521">
        <f>IF(AND($O292&gt;0,Sheet1!EO290=1),(1-($O292-Sheet1!$L290)/$O292)*CZ292,0)</f>
        <v>0</v>
      </c>
      <c r="DF292" s="521">
        <f>IF(AND(Sheet1!$L290=0,Sheet1!$L289=0, Calculation!CY292&lt;Sheet1!$EK290-0.1,Sheet1!$EK290=Sheet1!$EK289,Sheet1!$EK290=Sheet1!$EK291),CZ292-DE292,CZ292-DE292)</f>
        <v>6.3928967813540512</v>
      </c>
      <c r="DG292" s="1040">
        <f t="shared" si="676"/>
        <v>0</v>
      </c>
      <c r="DH292" s="649">
        <f t="shared" si="603"/>
        <v>12.64</v>
      </c>
      <c r="DI292" s="535">
        <f t="shared" si="604"/>
        <v>108.32362263233492</v>
      </c>
      <c r="DJ292" s="649">
        <f t="shared" si="605"/>
        <v>12.625971143174251</v>
      </c>
      <c r="DK292" s="535">
        <f ca="1">IF(B292&gt;(Summary!$A$1-1),#N/A,DI292*MGtoAF)</f>
        <v>332.33687423600355</v>
      </c>
      <c r="DL292" s="649">
        <f t="shared" si="606"/>
        <v>12.64</v>
      </c>
      <c r="DM292" s="535">
        <f>DL292+AP292</f>
        <v>36.04</v>
      </c>
      <c r="DN292" s="535">
        <f>Sheet1!AB290-DM292</f>
        <v>-3.9999999999999147E-2</v>
      </c>
      <c r="DO292" s="743">
        <f t="shared" si="608"/>
        <v>-1.1098779134294991E-3</v>
      </c>
      <c r="DP292" s="535">
        <f>(VLOOKUP(Sheet1!DC290,hhdcap_wcm,4)-(((VLOOKUP(Sheet1!DC290,hhdcap_wcm,3)-Sheet1!DC290)/(VLOOKUP(Sheet1!DC290,hhdcap_wcm,3)-VLOOKUP(Sheet1!DC290,hhdcap_wcm,1)))*(VLOOKUP(Sheet1!DC290,hhdcap_wcm,4)-VLOOKUP(Sheet1!DC290,hhdcap_wcm,2))))</f>
        <v>13480.800000031322</v>
      </c>
      <c r="DQ292" s="535">
        <f t="shared" si="609"/>
        <v>-339.10000000230684</v>
      </c>
      <c r="DR292" s="535">
        <f t="shared" si="610"/>
        <v>-171.00353000620615</v>
      </c>
      <c r="DS292" s="535">
        <f>Sheet1!EA290*AFtoMG</f>
        <v>0</v>
      </c>
      <c r="DT292" s="535">
        <f>Sheet1!EB290*AFtoMG</f>
        <v>0</v>
      </c>
      <c r="DU292" s="535">
        <f>Sheet1!EC290*AFtoMG</f>
        <v>0</v>
      </c>
      <c r="DV292" s="535">
        <f>Sheet1!ED290*AFtoMG</f>
        <v>0</v>
      </c>
      <c r="DW292" s="535">
        <f t="shared" si="611"/>
        <v>0</v>
      </c>
      <c r="DX292" s="535">
        <f t="shared" si="612"/>
        <v>0</v>
      </c>
      <c r="DY292" s="535">
        <f t="shared" si="613"/>
        <v>428.28458774270314</v>
      </c>
      <c r="DZ292" s="535">
        <f t="shared" si="614"/>
        <v>1313.9771151946134</v>
      </c>
      <c r="EA292" s="535"/>
      <c r="EB292" s="521">
        <f>IF(OR(B292&lt;FV292,B292&gt;FW292),(MIN(BF292+BY292+CT292+MAX(Sheet1!AA290+AQ292-73,0),K292)),0)</f>
        <v>0</v>
      </c>
      <c r="EC292" s="535"/>
      <c r="ED292" s="535">
        <f t="shared" si="615"/>
        <v>12.625971143174251</v>
      </c>
      <c r="EE292" s="535"/>
      <c r="EF292" s="535">
        <f>Sheet1!EH290+Sheet1!EI290+Sheet1!EJ290+Sheet1!EK290</f>
        <v>13.5</v>
      </c>
      <c r="EG292" s="1019">
        <f t="shared" si="677"/>
        <v>20.884499999999999</v>
      </c>
      <c r="EH292" s="521">
        <f t="shared" si="616"/>
        <v>0</v>
      </c>
      <c r="EI292" s="535">
        <f>IF(Sheet1!ET290=1,SUM('Calculations II'!AT292:BA292)+'Calculations II'!BC292+Sheet1!BV290+'Calculations II'!BE292+AP292,'Calculations II'!BK292)</f>
        <v>49.564890856825741</v>
      </c>
      <c r="EJ292" s="535">
        <f ca="1">EI292+'Calculations II'!D292+'Calculations II'!E292+'Calculations II'!O292</f>
        <v>52.525075935327564</v>
      </c>
      <c r="EK292" s="535"/>
      <c r="EL292" s="535"/>
      <c r="EM292" s="535">
        <f t="shared" si="617"/>
        <v>43016</v>
      </c>
      <c r="EN292" s="535">
        <f t="shared" si="618"/>
        <v>-13.500000000000004</v>
      </c>
      <c r="EO292" s="535">
        <f t="shared" si="619"/>
        <v>-20.884500000000006</v>
      </c>
      <c r="EP292" s="535">
        <v>0</v>
      </c>
      <c r="EQ292" s="535">
        <v>0</v>
      </c>
      <c r="ER292" s="535">
        <v>0</v>
      </c>
      <c r="ES292" s="521">
        <f t="shared" si="643"/>
        <v>-1.9385625818257108</v>
      </c>
      <c r="ET292" s="535">
        <f>-(VLOOKUP(Sheet1!BQ290,Lookup!$O$4:$Q$262,2)-VLOOKUP(Sheet1!BQ289,Lookup!$O$4:$Q$262,2))/1000000</f>
        <v>-0.96912429750638829</v>
      </c>
      <c r="EU292" s="535">
        <f>-(VLOOKUP(Sheet1!BR290,Lookup!$O$4:$Q$262,3)-VLOOKUP(Sheet1!BR289,Lookup!$O$4:$Q$262,3))/1000000</f>
        <v>-0.96943828431932255</v>
      </c>
      <c r="EV292" s="535"/>
      <c r="EW292" s="535"/>
      <c r="EX292" s="535"/>
      <c r="EY292" s="535"/>
      <c r="EZ292" s="535"/>
      <c r="FA292" s="535"/>
      <c r="FB292" s="535"/>
      <c r="FC292" s="535"/>
      <c r="FD292" s="567">
        <f t="shared" si="693"/>
        <v>1110.4969696969165</v>
      </c>
      <c r="FE292" s="567" t="e">
        <f t="shared" si="620"/>
        <v>#N/A</v>
      </c>
      <c r="FF292" s="568" t="e">
        <f t="shared" si="621"/>
        <v>#N/A</v>
      </c>
      <c r="FG292" s="569" t="s">
        <v>656</v>
      </c>
      <c r="FH292" s="569" t="s">
        <v>656</v>
      </c>
      <c r="FI292" s="567" t="e">
        <v>#N/A</v>
      </c>
      <c r="FJ292" s="725">
        <v>7732</v>
      </c>
      <c r="FK292" s="535"/>
      <c r="FL292" s="1015">
        <f t="shared" si="692"/>
        <v>105.90015128593041</v>
      </c>
      <c r="FM292" s="535"/>
      <c r="FN292" s="535"/>
      <c r="FO292" s="535">
        <f>O292+((Sheet1!CS290)*GPMtoMGD)</f>
        <v>64.2</v>
      </c>
      <c r="FP292" s="535">
        <f>IF(Sheet1!AA290+AQ292&lt;=Calculation!N292,AQ292,Calculation!N292-Sheet1!AA290)</f>
        <v>23.374028856825749</v>
      </c>
      <c r="FQ292" s="535">
        <f>(Sheet1!BP290+Sheet1!BO290)/694.4</f>
        <v>0.33942972350230416</v>
      </c>
      <c r="FR292" s="541"/>
      <c r="FS292" s="541"/>
      <c r="FT292" s="541"/>
      <c r="FU292" s="541"/>
      <c r="FV292" s="1109">
        <f t="shared" si="644"/>
        <v>42918</v>
      </c>
      <c r="FW292" s="1109">
        <f t="shared" si="645"/>
        <v>43027</v>
      </c>
      <c r="FX292" s="541"/>
      <c r="FY292" s="541">
        <f>Sheet1!DA290-Sheet1!CZ290-Sheet1!AE290</f>
        <v>-12.317400000000006</v>
      </c>
      <c r="FZ292" s="535">
        <f t="shared" si="678"/>
        <v>-4.2183386669920366E-2</v>
      </c>
      <c r="GA292" s="535"/>
      <c r="GB292" s="535" t="str">
        <f t="shared" si="646"/>
        <v>n</v>
      </c>
      <c r="GC292" s="539">
        <f t="shared" si="647"/>
        <v>42782</v>
      </c>
      <c r="GD292" s="1109">
        <f t="shared" si="648"/>
        <v>42904</v>
      </c>
      <c r="GE292" s="535">
        <f t="shared" si="664"/>
        <v>6520</v>
      </c>
      <c r="GF292" s="1109">
        <f t="shared" si="649"/>
        <v>42909</v>
      </c>
      <c r="GG292" s="535">
        <f t="shared" si="691"/>
        <v>3260</v>
      </c>
      <c r="GH292" s="539">
        <f t="shared" si="650"/>
        <v>43040</v>
      </c>
      <c r="GJ292" s="521">
        <f t="shared" si="651"/>
        <v>0</v>
      </c>
      <c r="GK292" s="535" t="str">
        <f t="shared" si="622"/>
        <v/>
      </c>
      <c r="GL292" s="535">
        <f t="shared" si="652"/>
        <v>0</v>
      </c>
      <c r="GM292" s="535" t="str">
        <f t="shared" si="653"/>
        <v/>
      </c>
      <c r="GN292" s="535">
        <f>IF(GK292="P",Lookup!$M$12,IF(GK292="PP",Lookup!$M$13,IF(GK292="PPP",Lookup!$M$14,IF(GK292="T",Lookup!$M$15,IF(GK292="TP",Lookup!$M$16,IF(GK292="TPP",Lookup!$M$17,IF(GK292="TPPP",Lookup!$M$18,0)))))))*GJ292</f>
        <v>0</v>
      </c>
      <c r="GO292" s="535">
        <f t="shared" si="654"/>
        <v>0</v>
      </c>
      <c r="GP292" s="535">
        <f t="shared" si="623"/>
        <v>486.21354209723529</v>
      </c>
      <c r="GQ292" s="974">
        <f t="shared" si="567"/>
        <v>158.47899025333615</v>
      </c>
      <c r="GR292" s="535"/>
      <c r="GS292" s="535">
        <f t="shared" si="655"/>
        <v>0</v>
      </c>
      <c r="GT292" s="535" t="str">
        <f t="shared" si="656"/>
        <v/>
      </c>
      <c r="GU292" s="535">
        <f>IF(GK292="P",Lookup!$N$12,IF(GK292="PP",Lookup!$N$13,IF(GK292="PPP",Lookup!$N$14,IF(GK292="T",Lookup!$N$15,IF(GK292="TP",Lookup!$N$16,IF(GK292="TPP",Lookup!$N$17,IF(GK292="TPPP",Lookup!$N$18,0)))))))*GJ292</f>
        <v>0</v>
      </c>
      <c r="GV292" s="535">
        <f t="shared" si="657"/>
        <v>0</v>
      </c>
      <c r="GW292" s="535">
        <f t="shared" si="624"/>
        <v>208.88335189606494</v>
      </c>
      <c r="GX292" s="974">
        <f t="shared" si="568"/>
        <v>68.084534516318428</v>
      </c>
      <c r="GY292" s="535"/>
      <c r="GZ292" s="535">
        <f t="shared" si="658"/>
        <v>0</v>
      </c>
      <c r="HA292" s="535" t="str">
        <f t="shared" si="659"/>
        <v/>
      </c>
      <c r="HB292" s="535">
        <f>IF(GK292="P",Lookup!$N$12,IF(GK292="PP",Lookup!$N$13,IF(GK292="PPP",Lookup!$N$14,IF(GK292="T",Lookup!$N$15,IF(GK292="TP",Lookup!$N$16,IF(GK292="TPP",Lookup!$N$17,IF(GK292="TPPP",Lookup!$N$18,0)))))))*GJ292</f>
        <v>0</v>
      </c>
      <c r="HC292" s="521">
        <f t="shared" si="625"/>
        <v>0</v>
      </c>
      <c r="HD292" s="535">
        <f t="shared" si="626"/>
        <v>286.54334696530958</v>
      </c>
      <c r="HE292" s="535">
        <f t="shared" si="662"/>
        <v>93.397440340713686</v>
      </c>
      <c r="HF292" s="535"/>
      <c r="HG292" s="535">
        <f t="shared" si="660"/>
        <v>0</v>
      </c>
      <c r="HH292" s="535" t="str">
        <f t="shared" si="661"/>
        <v/>
      </c>
      <c r="HI292" s="535">
        <f>IF(GK292="P",Lookup!$N$12,IF(GK292="PP",Lookup!$N$13,IF(GK292="PPP",Lookup!$N$14,IF(GK292="T",Lookup!$N$15,IF(GK292="TP",Lookup!$N$16,IF(GK292="TPP",Lookup!$N$17,IF(GK292="TPPP",Lookup!$N$18,0)))))))*GJ292</f>
        <v>0</v>
      </c>
      <c r="HJ292" s="521">
        <f t="shared" si="627"/>
        <v>0</v>
      </c>
      <c r="HK292" s="535">
        <f t="shared" si="628"/>
        <v>332.33687423600355</v>
      </c>
      <c r="HL292" s="535">
        <f t="shared" si="663"/>
        <v>108.32362263233492</v>
      </c>
      <c r="HM292" s="535"/>
      <c r="HN292" s="541"/>
      <c r="HO292" s="541"/>
      <c r="HP292" s="541"/>
      <c r="HQ292" s="541">
        <f>IF(AND(B292&gt;=$FV$4,B292&lt;=$FW$4),MAX(110/1.02+$HQ$6+MIN(113/1.02,G292),IF($HV$6-(Sheet1!DA290-Sheet1!DB290)+MIN(113/1.02,G292)&lt;G292+FL292,$HV$6-(Sheet1!DA290-Sheet1!DB290)+MIN(113/1.02,G292),G292+FL292)),MIN(110/1.02+$HQ$6+113/1.02,G292))</f>
        <v>218.62745098039215</v>
      </c>
      <c r="HR292" s="541">
        <f t="shared" si="679"/>
        <v>223</v>
      </c>
      <c r="HS292" s="541">
        <f>HR292+(Sheet1!DA290-Sheet1!DB290)</f>
        <v>420</v>
      </c>
      <c r="HT292" s="541">
        <f t="shared" si="680"/>
        <v>79.785022641509428</v>
      </c>
      <c r="HU292" s="541">
        <f t="shared" si="681"/>
        <v>340.21497735849056</v>
      </c>
      <c r="HV292" s="541">
        <f t="shared" si="682"/>
        <v>0</v>
      </c>
      <c r="HW292" s="533" t="str">
        <f t="shared" si="683"/>
        <v/>
      </c>
      <c r="HX292" s="541">
        <f t="shared" si="684"/>
        <v>223.48804901960784</v>
      </c>
      <c r="HY292" s="541">
        <f>Sheet1!CZ290</f>
        <v>463</v>
      </c>
      <c r="HZ292" s="541">
        <f t="shared" si="685"/>
        <v>20.884500000000006</v>
      </c>
      <c r="IA292" s="541">
        <f t="shared" si="686"/>
        <v>79.785022641509428</v>
      </c>
      <c r="IB292" s="541">
        <f t="shared" si="687"/>
        <v>442.1155</v>
      </c>
      <c r="IC292" s="1019" t="str">
        <f t="shared" si="688"/>
        <v/>
      </c>
      <c r="ID292" s="541">
        <f t="shared" si="689"/>
        <v>362.33047735849055</v>
      </c>
      <c r="IE292" s="541">
        <f>Sheet1!DB290</f>
        <v>353</v>
      </c>
      <c r="IF292" s="533">
        <f>Sheet1!DA290</f>
        <v>550</v>
      </c>
      <c r="IH292" s="541">
        <f>IF(AND($B292&gt;=$GC292,$B292&lt;=$GH292,$DR292&lt;0)+N("only adjusted when pool is drawn down during storage season"),Sheet1!$DB290+$DR292+N("Palmer minus all storage release"),Sheet1!$DB290)</f>
        <v>181.99646999379385</v>
      </c>
      <c r="II292" s="541">
        <f>IF(AND($B292&gt;=$GC292,$B292&lt;=$GH292,$DR292&lt;0)+N("only adjusted when pool is drawn down during storage season"),Sheet1!$DA290+$DR292+N("Auburn minus all storage release"),Sheet1!$DA290)</f>
        <v>378.99646999379388</v>
      </c>
    </row>
    <row r="293" spans="1:243" x14ac:dyDescent="0.25">
      <c r="A293" s="553" t="s">
        <v>4</v>
      </c>
      <c r="B293" s="531">
        <v>43017</v>
      </c>
      <c r="C293" s="536">
        <v>0</v>
      </c>
      <c r="D293" s="506">
        <f t="shared" si="633"/>
        <v>300</v>
      </c>
      <c r="E293" s="506">
        <f t="shared" si="634"/>
        <v>250</v>
      </c>
      <c r="F293" s="506">
        <v>250</v>
      </c>
      <c r="G293" s="535">
        <f>DR293+Sheet1!CZ291</f>
        <v>207.26021179975828</v>
      </c>
      <c r="H293" s="1074">
        <f t="shared" si="690"/>
        <v>0</v>
      </c>
      <c r="I293" s="534">
        <f>IF(Sheet1!DA291&gt;=E293,(Sheet1!DA291-E293+P293)*CFStoMGD,0)</f>
        <v>238.08036736</v>
      </c>
      <c r="J293" s="995">
        <f>IF(Sheet1!DB291&gt;=D293,(Sheet1!DB291-D293+P293)*CFStoMGD,0)</f>
        <v>95.225967359999984</v>
      </c>
      <c r="K293" s="818">
        <f t="shared" si="665"/>
        <v>0</v>
      </c>
      <c r="L293" s="535">
        <f>Sheet1!AA291+Sheet1!AB291-Sheet1!L291+(Sheet1!DA291-F293)*CFStoMGD-S293-T293-U293</f>
        <v>224.9372296914095</v>
      </c>
      <c r="M293" s="535">
        <f t="shared" si="569"/>
        <v>136.65246092551104</v>
      </c>
      <c r="N293" s="824">
        <f>IF(Sheet1!DA291&gt;=F293,MIN(113*CFStoMGD,MIN(MAX(L293,0),MAX(M293,0))),0)</f>
        <v>73.043199999999999</v>
      </c>
      <c r="O293" s="538">
        <f>Sheet1!AA291+Sheet1!AB291</f>
        <v>64.2</v>
      </c>
      <c r="P293" s="538">
        <f t="shared" si="570"/>
        <v>99.317399999999992</v>
      </c>
      <c r="Q293" s="812">
        <f t="shared" si="666"/>
        <v>51.055629691409507</v>
      </c>
      <c r="R293" s="812">
        <f t="shared" si="635"/>
        <v>13.5</v>
      </c>
      <c r="S293" s="812">
        <f t="shared" si="636"/>
        <v>0</v>
      </c>
      <c r="T293" s="812">
        <f t="shared" si="637"/>
        <v>0</v>
      </c>
      <c r="U293" s="812">
        <f>IF(AND(B293&gt;=FV293,B293&lt;=FW293),ED293+Sheet1!EH291,0)</f>
        <v>13.144370308590492</v>
      </c>
      <c r="V293" s="812"/>
      <c r="W293" s="812">
        <f t="shared" si="638"/>
        <v>0</v>
      </c>
      <c r="X293" s="812">
        <f t="shared" si="639"/>
        <v>0</v>
      </c>
      <c r="Y293" s="812" t="str">
        <f t="shared" si="640"/>
        <v>FALSE</v>
      </c>
      <c r="Z293" s="812">
        <f t="shared" si="641"/>
        <v>64.2</v>
      </c>
      <c r="AA293" s="812">
        <f t="shared" si="642"/>
        <v>64.2</v>
      </c>
      <c r="AB293" s="1059">
        <f t="shared" si="667"/>
        <v>78.983059132610506</v>
      </c>
      <c r="AC293" s="538">
        <f>Sheet1!Y291*MGDtoCFS</f>
        <v>43.625399999999999</v>
      </c>
      <c r="AD293" s="538">
        <f>Sheet1!Z291*MGDtoCFS</f>
        <v>55.692</v>
      </c>
      <c r="AE293" s="538">
        <f>Sheet1!AA291*MGDtoCFS</f>
        <v>43.780099999999997</v>
      </c>
      <c r="AF293" s="538">
        <f>Sheet1!AB291*MGDtoCFS</f>
        <v>55.537299999999995</v>
      </c>
      <c r="AG293" s="538">
        <f>Sheet1!L291*MGDtoCFS</f>
        <v>0</v>
      </c>
      <c r="AH293" s="521">
        <f t="shared" si="571"/>
        <v>13.500000000000004</v>
      </c>
      <c r="AI293" s="1059">
        <f t="shared" si="572"/>
        <v>20.884500000000006</v>
      </c>
      <c r="AJ293" s="535">
        <f t="shared" si="573"/>
        <v>0</v>
      </c>
      <c r="AK293" s="535">
        <f t="shared" si="574"/>
        <v>0</v>
      </c>
      <c r="AL293" s="535">
        <f>(VLOOKUP(Sheet1!DC291,hhdcap_wcm,4)-(((VLOOKUP(Sheet1!DC291,hhdcap_wcm,3)-Sheet1!DC291)/(VLOOKUP(Sheet1!DC291,hhdcap_wcm,3)-VLOOKUP(Sheet1!DC291,hhdcap_wcm,1)))*(VLOOKUP(Sheet1!DC291,hhdcap_wcm,4)-VLOOKUP(Sheet1!DC291,hhdcap_wcm,2))))</f>
        <v>12981.600000030243</v>
      </c>
      <c r="AM293" s="535">
        <f t="shared" si="575"/>
        <v>-499.20000000107939</v>
      </c>
      <c r="AN293" s="1035">
        <f t="shared" si="576"/>
        <v>414.78458774270314</v>
      </c>
      <c r="AO293" s="535">
        <f t="shared" si="577"/>
        <v>1272.5591151946132</v>
      </c>
      <c r="AP293" s="535">
        <f>Sheet1!BA291+Sheet1!BB291+Sheet1!BN291+CD293</f>
        <v>22.8</v>
      </c>
      <c r="AQ293" s="535">
        <f>Sheet1!BN291+(DO293*Sheet1!BN291)</f>
        <v>22.75562969140951</v>
      </c>
      <c r="AR293" s="535">
        <f>Sheet1!BA291+CD293</f>
        <v>0</v>
      </c>
      <c r="AS293" s="535">
        <f>Sheet1!BA291+Sheet1!BB291+CD293</f>
        <v>0</v>
      </c>
      <c r="AT293" s="649">
        <f>0</f>
        <v>0</v>
      </c>
      <c r="AU293" s="974">
        <f>BA293+MAX(Sheet1!EH291,(O293-Q293-ED293-S293))</f>
        <v>3.5527136788005009E-15</v>
      </c>
      <c r="AV293" s="535">
        <f>IF(OR(B293&gt;=GD293,B293&lt;GC293),0,15/36*K293-MAX(0,64.6-(137.6-(Sheet1!AA291+Sheet1!AB291))))</f>
        <v>0</v>
      </c>
      <c r="AW293" s="1029"/>
      <c r="AX293" s="649"/>
      <c r="AY293" s="649">
        <f t="shared" si="668"/>
        <v>23.311716569431731</v>
      </c>
      <c r="AZ293" s="649">
        <f t="shared" si="669"/>
        <v>0</v>
      </c>
      <c r="BA293" s="1059">
        <f t="shared" si="670"/>
        <v>0</v>
      </c>
      <c r="BB293" s="1019">
        <f t="shared" si="578"/>
        <v>158.47899025333615</v>
      </c>
      <c r="BC293" s="1041">
        <f t="shared" si="671"/>
        <v>0</v>
      </c>
      <c r="BD293" s="1019">
        <f ca="1">IF(B293&gt;(Summary!$A$1-1),#N/A,BB293*MGtoAF)</f>
        <v>486.21354209723529</v>
      </c>
      <c r="BE293" s="535">
        <f>Sheet1!BG291+Sheet1!BH291+Sheet1!BI291-BM293</f>
        <v>3.7800000000000002</v>
      </c>
      <c r="BF293" s="535">
        <f t="shared" si="579"/>
        <v>3.7726438698915765</v>
      </c>
      <c r="BG293" s="535">
        <f>IF(Sheet1!EP291="FM",BM293,0)</f>
        <v>0</v>
      </c>
      <c r="BH293" s="535">
        <f t="shared" si="580"/>
        <v>0</v>
      </c>
      <c r="BI293" s="535">
        <f>IF(Sheet1!EP291="OTHER",BM293,0)</f>
        <v>0</v>
      </c>
      <c r="BJ293" s="535">
        <f t="shared" si="581"/>
        <v>0</v>
      </c>
      <c r="BK293" s="535">
        <f t="shared" si="582"/>
        <v>3.7800000000000002</v>
      </c>
      <c r="BL293" s="535">
        <f t="shared" si="583"/>
        <v>3.7726438698915765</v>
      </c>
      <c r="BM293" s="535">
        <f>IF(OR(Sheet1!EP291="FM", Sheet1!EP291="OTHER"),SUM(Sheet1!BG291:'Sheet1'!BI291),0)</f>
        <v>0</v>
      </c>
      <c r="BN293" s="521">
        <f>IF(AND($B293&gt;=$FV293,$B293&lt;=$FW293),MAX(BF293,Sheet1!EI291,0),MAX(BF293-(7/36)*$K293,0))</f>
        <v>4</v>
      </c>
      <c r="BO293" s="535">
        <f t="shared" si="584"/>
        <v>0</v>
      </c>
      <c r="BP293" s="521">
        <f t="shared" si="585"/>
        <v>0</v>
      </c>
      <c r="BQ293" s="521">
        <f>IF(AND($O293&gt;0,Sheet1!EM291=1),(1-($O293-Sheet1!$L291)/$O293)*BL293,0)</f>
        <v>0</v>
      </c>
      <c r="BR293" s="521">
        <f>IF(AND(Sheet1!$L291=0,Sheet1!$L290=0, Calculation!BK293&lt;Sheet1!$EI291-0.1,Sheet1!$EI291=Sheet1!$EI290,Sheet1!$EI291=Sheet1!$EI292),BL293-BQ293,BL293-BQ293)</f>
        <v>3.7726438698915765</v>
      </c>
      <c r="BS293" s="1035" t="str">
        <f t="shared" si="672"/>
        <v/>
      </c>
      <c r="BT293" s="1035">
        <f t="shared" si="673"/>
        <v>0</v>
      </c>
      <c r="BU293" s="535">
        <f t="shared" si="586"/>
        <v>64.084534516318428</v>
      </c>
      <c r="BV293" s="535"/>
      <c r="BW293" s="535">
        <f ca="1">IF(B293&gt;(Summary!$A$1-1),#N/A,BU293*MGtoAF)</f>
        <v>196.61135189606495</v>
      </c>
      <c r="BX293" s="535">
        <f>Sheet1!BC291+Sheet1!BD291+Sheet1!BE291+Sheet1!BF291-CG293-CH293</f>
        <v>3</v>
      </c>
      <c r="BY293" s="535">
        <f t="shared" si="587"/>
        <v>2.9941618015012512</v>
      </c>
      <c r="BZ293" s="535">
        <f>IF(Sheet1!EQ291="FM",CH293,0)</f>
        <v>0</v>
      </c>
      <c r="CA293" s="535">
        <f t="shared" si="588"/>
        <v>0</v>
      </c>
      <c r="CB293" s="535">
        <f>IF(Sheet1!EQ291="OTHER",CH293,0)</f>
        <v>0</v>
      </c>
      <c r="CC293" s="535">
        <f t="shared" si="589"/>
        <v>0</v>
      </c>
      <c r="CD293" s="535">
        <f t="shared" si="590"/>
        <v>0</v>
      </c>
      <c r="CE293" s="535">
        <f t="shared" si="591"/>
        <v>3</v>
      </c>
      <c r="CF293" s="535">
        <f t="shared" si="592"/>
        <v>2.9941618015012512</v>
      </c>
      <c r="CG293" s="535">
        <f>IF(Sheet1!EQ291="CWA",SUM(Sheet1!BC291:'Sheet1'!BF291),0)</f>
        <v>0</v>
      </c>
      <c r="CH293" s="535">
        <f>IF(OR(Sheet1!EQ291="FM", Sheet1!EQ291="OTHER"),SUM(Sheet1!BC291:'Sheet1'!BF291),0)</f>
        <v>0</v>
      </c>
      <c r="CI293" s="521">
        <f>IF(AND($B293&gt;=$FV293,$B293&lt;=$FW293),MAX(CF293,Sheet1!EJ291,0),MAX(CF293-(7/36)*$K293,0))</f>
        <v>3</v>
      </c>
      <c r="CJ293" s="535">
        <f t="shared" si="593"/>
        <v>0</v>
      </c>
      <c r="CK293" s="521">
        <f t="shared" si="594"/>
        <v>0</v>
      </c>
      <c r="CL293" s="521">
        <f>IF(AND($O293&gt;0,Sheet1!EN291=1),(1-($O293-Sheet1!$L291)/$O293)*CF293,0)</f>
        <v>0</v>
      </c>
      <c r="CM293" s="521">
        <f>IF(AND(Sheet1!$L291=0,Sheet1!$L290=0, Calculation!CE293&lt;Sheet1!EJ291-0.1,Sheet1!EJ291=Sheet1!EJ290,Sheet1!EJ291=Sheet1!EJ292),CF293-CL293,CF293-CL293)</f>
        <v>2.9941618015012512</v>
      </c>
      <c r="CN293" s="1040" t="str">
        <f t="shared" si="674"/>
        <v/>
      </c>
      <c r="CO293" s="1035">
        <f t="shared" si="675"/>
        <v>0</v>
      </c>
      <c r="CP293" s="535">
        <f t="shared" si="595"/>
        <v>90.397440340713686</v>
      </c>
      <c r="CQ293" s="535"/>
      <c r="CR293" s="535">
        <f ca="1">IF(B293&gt;(Summary!$A$1-1),#N/A,CP293*MGtoAF)</f>
        <v>277.33934696530957</v>
      </c>
      <c r="CS293" s="535">
        <f>Sheet1!BK291+Sheet1!BL291+Sheet1!BM291-Sheet1!ER291-DA293</f>
        <v>6.39</v>
      </c>
      <c r="CT293" s="535">
        <f t="shared" si="596"/>
        <v>6.377564637197664</v>
      </c>
      <c r="CU293" s="535">
        <f>IF(Sheet1!ER291="FM",DA293,0)</f>
        <v>0</v>
      </c>
      <c r="CV293" s="535">
        <f t="shared" si="597"/>
        <v>0</v>
      </c>
      <c r="CW293" s="535">
        <f>IF(Sheet1!ER291="OTHER",DA293,0)</f>
        <v>0</v>
      </c>
      <c r="CX293" s="535">
        <f t="shared" si="598"/>
        <v>0</v>
      </c>
      <c r="CY293" s="535">
        <f t="shared" si="694"/>
        <v>6.39</v>
      </c>
      <c r="CZ293" s="535">
        <f t="shared" si="694"/>
        <v>6.377564637197664</v>
      </c>
      <c r="DA293" s="535">
        <f>IF(OR(Sheet1!ER291="FM", Sheet1!ER291="OTHER"),SUM(Sheet1!BK291:'Sheet1'!BM291),0)</f>
        <v>0</v>
      </c>
      <c r="DB293" s="1011">
        <f>IF(AND($B293&gt;=$FV293,$B293&lt;=$FW293),MAX($CT293,Sheet1!EK291,0),MAX($CT293-(7/36)*$K293,0))</f>
        <v>6.5</v>
      </c>
      <c r="DC293" s="1012">
        <f t="shared" si="601"/>
        <v>0</v>
      </c>
      <c r="DD293" s="1011">
        <f t="shared" si="602"/>
        <v>0</v>
      </c>
      <c r="DE293" s="521">
        <f>IF(AND($O293&gt;0,Sheet1!EO291=1),(1-($O293-Sheet1!$L291)/$O293)*CZ293,0)</f>
        <v>0</v>
      </c>
      <c r="DF293" s="521">
        <f>IF(AND(Sheet1!$L291=0,Sheet1!$L290=0, Calculation!CY293&lt;Sheet1!$EK291-0.1,Sheet1!$EK291=Sheet1!$EK290,Sheet1!$EK291=Sheet1!$EK292),CZ293-DE293,CZ293-DE293)</f>
        <v>6.377564637197664</v>
      </c>
      <c r="DG293" s="1040">
        <f t="shared" si="676"/>
        <v>0</v>
      </c>
      <c r="DH293" s="649">
        <f t="shared" si="603"/>
        <v>13.17</v>
      </c>
      <c r="DI293" s="535">
        <f t="shared" si="604"/>
        <v>101.82362263233492</v>
      </c>
      <c r="DJ293" s="649">
        <f t="shared" si="605"/>
        <v>13.144370308590492</v>
      </c>
      <c r="DK293" s="535">
        <f ca="1">IF(B293&gt;(Summary!$A$1-1),#N/A,DI293*MGtoAF)</f>
        <v>312.39487423600355</v>
      </c>
      <c r="DL293" s="649">
        <f t="shared" si="606"/>
        <v>13.170000000000002</v>
      </c>
      <c r="DM293" s="535">
        <f t="shared" si="607"/>
        <v>35.97</v>
      </c>
      <c r="DN293" s="535">
        <f>Sheet1!AB291-DM293</f>
        <v>-7.0000000000000284E-2</v>
      </c>
      <c r="DO293" s="743">
        <f t="shared" si="608"/>
        <v>-1.9460661662496605E-3</v>
      </c>
      <c r="DP293" s="535">
        <f>(VLOOKUP(Sheet1!DC291,hhdcap_wcm,4)-(((VLOOKUP(Sheet1!DC291,hhdcap_wcm,3)-Sheet1!DC291)/(VLOOKUP(Sheet1!DC291,hhdcap_wcm,3)-VLOOKUP(Sheet1!DC291,hhdcap_wcm,1)))*(VLOOKUP(Sheet1!DC291,hhdcap_wcm,4)-VLOOKUP(Sheet1!DC291,hhdcap_wcm,2))))</f>
        <v>12981.600000030243</v>
      </c>
      <c r="DQ293" s="535">
        <f t="shared" si="609"/>
        <v>-499.20000000107939</v>
      </c>
      <c r="DR293" s="535">
        <f t="shared" si="610"/>
        <v>-251.73978820024172</v>
      </c>
      <c r="DS293" s="535">
        <f>Sheet1!EA291*AFtoMG</f>
        <v>0</v>
      </c>
      <c r="DT293" s="535">
        <f>Sheet1!EB291*AFtoMG</f>
        <v>0</v>
      </c>
      <c r="DU293" s="535">
        <f>Sheet1!EC291*AFtoMG</f>
        <v>0</v>
      </c>
      <c r="DV293" s="535">
        <f>Sheet1!ED291*AFtoMG</f>
        <v>0</v>
      </c>
      <c r="DW293" s="535">
        <f t="shared" si="611"/>
        <v>0</v>
      </c>
      <c r="DX293" s="535">
        <f t="shared" si="612"/>
        <v>0</v>
      </c>
      <c r="DY293" s="535">
        <f t="shared" si="613"/>
        <v>414.78458774270314</v>
      </c>
      <c r="DZ293" s="535">
        <f t="shared" si="614"/>
        <v>1272.5591151946132</v>
      </c>
      <c r="EA293" s="535"/>
      <c r="EB293" s="521">
        <f>IF(OR(B293&lt;FV293,B293&gt;FW293),(MIN(BF293+BY293+CT293+MAX(Sheet1!AA291+AQ293-73,0),K293)),0)</f>
        <v>0</v>
      </c>
      <c r="EC293" s="535"/>
      <c r="ED293" s="535">
        <f t="shared" si="615"/>
        <v>13.144370308590492</v>
      </c>
      <c r="EE293" s="535"/>
      <c r="EF293" s="535">
        <f>Sheet1!EH291+Sheet1!EI291+Sheet1!EJ291+Sheet1!EK291</f>
        <v>13.5</v>
      </c>
      <c r="EG293" s="1019">
        <f t="shared" si="677"/>
        <v>20.884499999999999</v>
      </c>
      <c r="EH293" s="521">
        <f t="shared" si="616"/>
        <v>0</v>
      </c>
      <c r="EI293" s="535">
        <f>IF(Sheet1!ET291=1,SUM('Calculations II'!AT293:BA293)+'Calculations II'!BC293+Sheet1!BV291+'Calculations II'!BE293+AP293,'Calculations II'!BK293)</f>
        <v>52.37370369140951</v>
      </c>
      <c r="EJ293" s="535">
        <f ca="1">EI293+'Calculations II'!D293+'Calculations II'!E293+'Calculations II'!O293</f>
        <v>51.540361106500292</v>
      </c>
      <c r="EK293" s="535"/>
      <c r="EL293" s="535"/>
      <c r="EM293" s="535">
        <f t="shared" si="617"/>
        <v>43017</v>
      </c>
      <c r="EN293" s="535">
        <f t="shared" si="618"/>
        <v>-13.500000000000004</v>
      </c>
      <c r="EO293" s="535">
        <f t="shared" si="619"/>
        <v>-20.884500000000006</v>
      </c>
      <c r="EP293" s="535">
        <v>0</v>
      </c>
      <c r="EQ293" s="535">
        <v>0</v>
      </c>
      <c r="ER293" s="535">
        <v>0</v>
      </c>
      <c r="ES293" s="521">
        <f t="shared" si="643"/>
        <v>0.69239183842952923</v>
      </c>
      <c r="ET293" s="535">
        <f>-(VLOOKUP(Sheet1!BQ291,Lookup!$O$4:$Q$262,2)-VLOOKUP(Sheet1!BQ290,Lookup!$O$4:$Q$262,2))/1000000</f>
        <v>0.41537742905444652</v>
      </c>
      <c r="EU293" s="535">
        <f>-(VLOOKUP(Sheet1!BR291,Lookup!$O$4:$Q$262,3)-VLOOKUP(Sheet1!BR290,Lookup!$O$4:$Q$262,3))/1000000</f>
        <v>0.2770144093750827</v>
      </c>
      <c r="EV293" s="535"/>
      <c r="EW293" s="535"/>
      <c r="EX293" s="535"/>
      <c r="EY293" s="535"/>
      <c r="EZ293" s="535"/>
      <c r="FA293" s="535"/>
      <c r="FB293" s="535"/>
      <c r="FC293" s="535"/>
      <c r="FD293" s="567">
        <f t="shared" si="693"/>
        <v>1109.8437499999475</v>
      </c>
      <c r="FE293" s="567" t="e">
        <f t="shared" si="620"/>
        <v>#N/A</v>
      </c>
      <c r="FF293" s="568" t="e">
        <f t="shared" si="621"/>
        <v>#N/A</v>
      </c>
      <c r="FG293" s="569" t="s">
        <v>656</v>
      </c>
      <c r="FH293" s="569" t="s">
        <v>656</v>
      </c>
      <c r="FI293" s="567" t="e">
        <v>#N/A</v>
      </c>
      <c r="FJ293" s="725">
        <v>7522</v>
      </c>
      <c r="FK293" s="535"/>
      <c r="FL293" s="1015">
        <f t="shared" si="692"/>
        <v>105.90015128593041</v>
      </c>
      <c r="FM293" s="535"/>
      <c r="FN293" s="535"/>
      <c r="FO293" s="535">
        <f>O293+((Sheet1!CS291)*GPMtoMGD)</f>
        <v>65.000928000000002</v>
      </c>
      <c r="FP293" s="535">
        <f>IF(Sheet1!AA291+AQ293&lt;=Calculation!N293,AQ293,Calculation!N293-Sheet1!AA291)</f>
        <v>22.75562969140951</v>
      </c>
      <c r="FQ293" s="535">
        <f>(Sheet1!BP291+Sheet1!BO291)/694.4</f>
        <v>2.5697004608294929</v>
      </c>
      <c r="FR293" s="541"/>
      <c r="FS293" s="541"/>
      <c r="FT293" s="541"/>
      <c r="FU293" s="541"/>
      <c r="FV293" s="1109">
        <f t="shared" si="644"/>
        <v>42918</v>
      </c>
      <c r="FW293" s="1109">
        <f t="shared" si="645"/>
        <v>43027</v>
      </c>
      <c r="FX293" s="541"/>
      <c r="FY293" s="541">
        <f>Sheet1!DA291-Sheet1!CZ291-Sheet1!AE291</f>
        <v>-39.317400000000006</v>
      </c>
      <c r="FZ293" s="535">
        <f t="shared" si="678"/>
        <v>-0.18970066496885565</v>
      </c>
      <c r="GA293" s="535"/>
      <c r="GB293" s="535" t="str">
        <f t="shared" si="646"/>
        <v>n</v>
      </c>
      <c r="GC293" s="539">
        <f t="shared" si="647"/>
        <v>42782</v>
      </c>
      <c r="GD293" s="1109">
        <f t="shared" si="648"/>
        <v>42904</v>
      </c>
      <c r="GE293" s="535">
        <f t="shared" si="664"/>
        <v>6520</v>
      </c>
      <c r="GF293" s="1109">
        <f t="shared" si="649"/>
        <v>42909</v>
      </c>
      <c r="GG293" s="535">
        <f t="shared" si="691"/>
        <v>3260</v>
      </c>
      <c r="GH293" s="539">
        <f t="shared" si="650"/>
        <v>43040</v>
      </c>
      <c r="GJ293" s="521">
        <f t="shared" si="651"/>
        <v>0</v>
      </c>
      <c r="GK293" s="535" t="str">
        <f t="shared" si="622"/>
        <v/>
      </c>
      <c r="GL293" s="535">
        <f t="shared" si="652"/>
        <v>0</v>
      </c>
      <c r="GM293" s="535" t="str">
        <f t="shared" si="653"/>
        <v/>
      </c>
      <c r="GN293" s="535">
        <f>IF(GK293="P",Lookup!$M$12,IF(GK293="PP",Lookup!$M$13,IF(GK293="PPP",Lookup!$M$14,IF(GK293="T",Lookup!$M$15,IF(GK293="TP",Lookup!$M$16,IF(GK293="TPP",Lookup!$M$17,IF(GK293="TPPP",Lookup!$M$18,0)))))))*GJ293</f>
        <v>0</v>
      </c>
      <c r="GO293" s="535">
        <f t="shared" si="654"/>
        <v>0</v>
      </c>
      <c r="GP293" s="535">
        <f t="shared" si="623"/>
        <v>486.21354209723529</v>
      </c>
      <c r="GQ293" s="974">
        <f t="shared" si="567"/>
        <v>158.47899025333615</v>
      </c>
      <c r="GR293" s="535"/>
      <c r="GS293" s="535">
        <f t="shared" si="655"/>
        <v>0</v>
      </c>
      <c r="GT293" s="535" t="str">
        <f t="shared" si="656"/>
        <v/>
      </c>
      <c r="GU293" s="535">
        <f>IF(GK293="P",Lookup!$N$12,IF(GK293="PP",Lookup!$N$13,IF(GK293="PPP",Lookup!$N$14,IF(GK293="T",Lookup!$N$15,IF(GK293="TP",Lookup!$N$16,IF(GK293="TPP",Lookup!$N$17,IF(GK293="TPPP",Lookup!$N$18,0)))))))*GJ293</f>
        <v>0</v>
      </c>
      <c r="GV293" s="535">
        <f t="shared" si="657"/>
        <v>0</v>
      </c>
      <c r="GW293" s="535">
        <f t="shared" si="624"/>
        <v>196.61135189606495</v>
      </c>
      <c r="GX293" s="974">
        <f t="shared" si="568"/>
        <v>64.084534516318428</v>
      </c>
      <c r="GY293" s="535"/>
      <c r="GZ293" s="535">
        <f t="shared" si="658"/>
        <v>0</v>
      </c>
      <c r="HA293" s="535" t="str">
        <f t="shared" si="659"/>
        <v/>
      </c>
      <c r="HB293" s="535">
        <f>IF(GK293="P",Lookup!$N$12,IF(GK293="PP",Lookup!$N$13,IF(GK293="PPP",Lookup!$N$14,IF(GK293="T",Lookup!$N$15,IF(GK293="TP",Lookup!$N$16,IF(GK293="TPP",Lookup!$N$17,IF(GK293="TPPP",Lookup!$N$18,0)))))))*GJ293</f>
        <v>0</v>
      </c>
      <c r="HC293" s="521">
        <f t="shared" si="625"/>
        <v>0</v>
      </c>
      <c r="HD293" s="535">
        <f t="shared" si="626"/>
        <v>277.33934696530957</v>
      </c>
      <c r="HE293" s="535">
        <f t="shared" si="662"/>
        <v>90.397440340713686</v>
      </c>
      <c r="HF293" s="535"/>
      <c r="HG293" s="535">
        <f t="shared" si="660"/>
        <v>0</v>
      </c>
      <c r="HH293" s="535" t="str">
        <f t="shared" si="661"/>
        <v/>
      </c>
      <c r="HI293" s="535">
        <f>IF(GK293="P",Lookup!$N$12,IF(GK293="PP",Lookup!$N$13,IF(GK293="PPP",Lookup!$N$14,IF(GK293="T",Lookup!$N$15,IF(GK293="TP",Lookup!$N$16,IF(GK293="TPP",Lookup!$N$17,IF(GK293="TPPP",Lookup!$N$18,0)))))))*GJ293</f>
        <v>0</v>
      </c>
      <c r="HJ293" s="521">
        <f t="shared" si="627"/>
        <v>0</v>
      </c>
      <c r="HK293" s="535">
        <f t="shared" si="628"/>
        <v>312.39487423600355</v>
      </c>
      <c r="HL293" s="535">
        <f t="shared" si="663"/>
        <v>101.82362263233492</v>
      </c>
      <c r="HM293" s="535"/>
      <c r="HN293" s="541"/>
      <c r="HO293" s="541"/>
      <c r="HP293" s="541"/>
      <c r="HQ293" s="541">
        <f>IF(AND(B293&gt;=$FV$4,B293&lt;=$FW$4),MAX(110/1.02+$HQ$6+MIN(113/1.02,G293),IF($HV$6-(Sheet1!DA291-Sheet1!DB291)+MIN(113/1.02,G293)&lt;G293+FL293,$HV$6-(Sheet1!DA291-Sheet1!DB291)+MIN(113/1.02,G293),G293+FL293)),MIN(110/1.02+$HQ$6+113/1.02,G293))</f>
        <v>218.62745098039215</v>
      </c>
      <c r="HR293" s="541">
        <f t="shared" si="679"/>
        <v>223</v>
      </c>
      <c r="HS293" s="541">
        <f>HR293+(Sheet1!DA291-Sheet1!DB291)</f>
        <v>394</v>
      </c>
      <c r="HT293" s="541">
        <f t="shared" si="680"/>
        <v>78.983059132610506</v>
      </c>
      <c r="HU293" s="541">
        <f t="shared" si="681"/>
        <v>315.01694086738951</v>
      </c>
      <c r="HV293" s="541">
        <f t="shared" si="682"/>
        <v>0</v>
      </c>
      <c r="HW293" s="533" t="str">
        <f t="shared" si="683"/>
        <v/>
      </c>
      <c r="HX293" s="541">
        <f t="shared" si="684"/>
        <v>219.48804901960784</v>
      </c>
      <c r="HY293" s="541">
        <f>Sheet1!CZ291</f>
        <v>459</v>
      </c>
      <c r="HZ293" s="541">
        <f t="shared" si="685"/>
        <v>20.884500000000006</v>
      </c>
      <c r="IA293" s="541">
        <f t="shared" si="686"/>
        <v>78.983059132610506</v>
      </c>
      <c r="IB293" s="541">
        <f t="shared" si="687"/>
        <v>438.1155</v>
      </c>
      <c r="IC293" s="1019" t="str">
        <f t="shared" si="688"/>
        <v/>
      </c>
      <c r="ID293" s="541">
        <f t="shared" si="689"/>
        <v>359.13244086738951</v>
      </c>
      <c r="IE293" s="541">
        <f>Sheet1!DB291</f>
        <v>348</v>
      </c>
      <c r="IF293" s="533">
        <f>Sheet1!DA291</f>
        <v>519</v>
      </c>
      <c r="IH293" s="541">
        <f>IF(AND($B293&gt;=$GC293,$B293&lt;=$GH293,$DR293&lt;0)+N("only adjusted when pool is drawn down during storage season"),Sheet1!$DB291+$DR293+N("Palmer minus all storage release"),Sheet1!$DB291)</f>
        <v>96.260211799758281</v>
      </c>
      <c r="II293" s="541">
        <f>IF(AND($B293&gt;=$GC293,$B293&lt;=$GH293,$DR293&lt;0)+N("only adjusted when pool is drawn down during storage season"),Sheet1!$DA291+$DR293+N("Auburn minus all storage release"),Sheet1!$DA291)</f>
        <v>267.26021179975828</v>
      </c>
    </row>
    <row r="294" spans="1:243" x14ac:dyDescent="0.25">
      <c r="A294" s="553" t="s">
        <v>5</v>
      </c>
      <c r="B294" s="531">
        <v>43018</v>
      </c>
      <c r="C294" s="536">
        <v>0</v>
      </c>
      <c r="D294" s="506">
        <f t="shared" si="633"/>
        <v>300</v>
      </c>
      <c r="E294" s="506">
        <f t="shared" si="634"/>
        <v>250</v>
      </c>
      <c r="F294" s="506">
        <v>250</v>
      </c>
      <c r="G294" s="535">
        <f>DR294+Sheet1!CZ292</f>
        <v>172.78214825962402</v>
      </c>
      <c r="H294" s="1074">
        <f t="shared" si="690"/>
        <v>0</v>
      </c>
      <c r="I294" s="534">
        <f>IF(Sheet1!DA292&gt;=E294,(Sheet1!DA292-E294+P294)*CFStoMGD,0)</f>
        <v>241.31236736</v>
      </c>
      <c r="J294" s="995">
        <f>IF(Sheet1!DB292&gt;=D294,(Sheet1!DB292-D294+P294)*CFStoMGD,0)</f>
        <v>103.62916736</v>
      </c>
      <c r="K294" s="818">
        <f t="shared" si="665"/>
        <v>0</v>
      </c>
      <c r="L294" s="535">
        <f>Sheet1!AA292+Sheet1!AB292-Sheet1!L292+(Sheet1!DA292-F294)*CFStoMGD-S294-T294-U294</f>
        <v>228.16290516953865</v>
      </c>
      <c r="M294" s="535">
        <f t="shared" si="569"/>
        <v>113.92010824772139</v>
      </c>
      <c r="N294" s="824">
        <f>IF(Sheet1!DA292&gt;=F294,MIN(113*CFStoMGD,MIN(MAX(L294,0),MAX(M294,0))),0)</f>
        <v>73.043199999999999</v>
      </c>
      <c r="O294" s="538">
        <f>Sheet1!AA292+Sheet1!AB292</f>
        <v>64.2</v>
      </c>
      <c r="P294" s="538">
        <f t="shared" si="570"/>
        <v>99.317399999999992</v>
      </c>
      <c r="Q294" s="812">
        <f t="shared" si="666"/>
        <v>51.049305169538641</v>
      </c>
      <c r="R294" s="812">
        <f t="shared" si="635"/>
        <v>13.5</v>
      </c>
      <c r="S294" s="812">
        <f t="shared" si="636"/>
        <v>0</v>
      </c>
      <c r="T294" s="812">
        <f t="shared" si="637"/>
        <v>0</v>
      </c>
      <c r="U294" s="812">
        <f>IF(AND(B294&gt;=FV294,B294&lt;=FW294),ED294+Sheet1!EH292,0)</f>
        <v>13.150694830461365</v>
      </c>
      <c r="V294" s="812"/>
      <c r="W294" s="812">
        <f t="shared" si="638"/>
        <v>0</v>
      </c>
      <c r="X294" s="812">
        <f t="shared" si="639"/>
        <v>0</v>
      </c>
      <c r="Y294" s="812" t="str">
        <f t="shared" si="640"/>
        <v>FALSE</v>
      </c>
      <c r="Z294" s="812">
        <f t="shared" si="641"/>
        <v>64.2</v>
      </c>
      <c r="AA294" s="812">
        <f t="shared" si="642"/>
        <v>64.2</v>
      </c>
      <c r="AB294" s="1059">
        <f t="shared" si="667"/>
        <v>78.973275097276272</v>
      </c>
      <c r="AC294" s="538">
        <f>Sheet1!Y292*MGDtoCFS</f>
        <v>43.780099999999997</v>
      </c>
      <c r="AD294" s="538">
        <f>Sheet1!Z292*MGDtoCFS</f>
        <v>55.537299999999995</v>
      </c>
      <c r="AE294" s="538">
        <f>Sheet1!AA292*MGDtoCFS</f>
        <v>43.780099999999997</v>
      </c>
      <c r="AF294" s="538">
        <f>Sheet1!AB292*MGDtoCFS</f>
        <v>55.537299999999995</v>
      </c>
      <c r="AG294" s="538">
        <f>Sheet1!L292*MGDtoCFS</f>
        <v>0</v>
      </c>
      <c r="AH294" s="521">
        <f t="shared" si="571"/>
        <v>13.5</v>
      </c>
      <c r="AI294" s="1059">
        <f t="shared" si="572"/>
        <v>20.884499999999999</v>
      </c>
      <c r="AJ294" s="535">
        <f t="shared" si="573"/>
        <v>0</v>
      </c>
      <c r="AK294" s="535">
        <f t="shared" si="574"/>
        <v>0</v>
      </c>
      <c r="AL294" s="535">
        <f>(VLOOKUP(Sheet1!DC292,hhdcap_wcm,4)-(((VLOOKUP(Sheet1!DC292,hhdcap_wcm,3)-Sheet1!DC292)/(VLOOKUP(Sheet1!DC292,hhdcap_wcm,3)-VLOOKUP(Sheet1!DC292,hhdcap_wcm,1)))*(VLOOKUP(Sheet1!DC292,hhdcap_wcm,4)-VLOOKUP(Sheet1!DC292,hhdcap_wcm,2))))</f>
        <v>12394.200000029077</v>
      </c>
      <c r="AM294" s="535">
        <f t="shared" si="575"/>
        <v>-587.40000000116561</v>
      </c>
      <c r="AN294" s="1035">
        <f t="shared" si="576"/>
        <v>303.48458774270318</v>
      </c>
      <c r="AO294" s="535">
        <f t="shared" si="577"/>
        <v>931.09071519461338</v>
      </c>
      <c r="AP294" s="535">
        <f>Sheet1!BA292+Sheet1!BB292+Sheet1!BN292+CD294</f>
        <v>22.8</v>
      </c>
      <c r="AQ294" s="535">
        <f>Sheet1!BN292+(DO294*Sheet1!BN292)</f>
        <v>22.74930516953863</v>
      </c>
      <c r="AR294" s="535">
        <f>Sheet1!BA292+CD294</f>
        <v>0</v>
      </c>
      <c r="AS294" s="535">
        <f>Sheet1!BA292+Sheet1!BB292+CD294</f>
        <v>0</v>
      </c>
      <c r="AT294" s="649">
        <f>0</f>
        <v>0</v>
      </c>
      <c r="AU294" s="974">
        <f>BA294+MAX(Sheet1!EH292,(O294-Q294-ED294-S294))</f>
        <v>0</v>
      </c>
      <c r="AV294" s="535">
        <f>IF(OR(B294&gt;=GD294,B294&lt;GC294),0,15/36*K294-MAX(0,64.6-(137.6-(Sheet1!AA292+Sheet1!AB292))))</f>
        <v>0</v>
      </c>
      <c r="AW294" s="1029"/>
      <c r="AX294" s="649"/>
      <c r="AY294" s="649">
        <f t="shared" si="668"/>
        <v>23.311716569431731</v>
      </c>
      <c r="AZ294" s="649">
        <f t="shared" si="669"/>
        <v>0</v>
      </c>
      <c r="BA294" s="1059">
        <f t="shared" si="670"/>
        <v>0</v>
      </c>
      <c r="BB294" s="1019">
        <f t="shared" si="578"/>
        <v>60.678990253336153</v>
      </c>
      <c r="BC294" s="1041">
        <f t="shared" si="671"/>
        <v>0</v>
      </c>
      <c r="BD294" s="1019">
        <f ca="1">IF(B294&gt;(Summary!$A$1-1),#N/A,BB294*MGtoAF)</f>
        <v>186.16314209723532</v>
      </c>
      <c r="BE294" s="535">
        <f>Sheet1!BG292+Sheet1!BH292+Sheet1!BI292-BM294</f>
        <v>3.75</v>
      </c>
      <c r="BF294" s="535">
        <f t="shared" si="579"/>
        <v>3.7416620344635905</v>
      </c>
      <c r="BG294" s="535">
        <f>IF(Sheet1!EP292="FM",BM294,0)</f>
        <v>0</v>
      </c>
      <c r="BH294" s="535">
        <f t="shared" si="580"/>
        <v>0</v>
      </c>
      <c r="BI294" s="535">
        <f>IF(Sheet1!EP292="OTHER",BM294,0)</f>
        <v>0</v>
      </c>
      <c r="BJ294" s="535">
        <f t="shared" si="581"/>
        <v>0</v>
      </c>
      <c r="BK294" s="535">
        <f t="shared" si="582"/>
        <v>3.75</v>
      </c>
      <c r="BL294" s="535">
        <f t="shared" si="583"/>
        <v>3.7416620344635905</v>
      </c>
      <c r="BM294" s="535">
        <f>IF(OR(Sheet1!EP292="FM", Sheet1!EP292="OTHER"),SUM(Sheet1!BG292:'Sheet1'!BI292),0)</f>
        <v>0</v>
      </c>
      <c r="BN294" s="521">
        <f>IF(AND($B294&gt;=$FV294,$B294&lt;=$FW294),MAX(BF294,Sheet1!EI292,0),MAX(BF294-(7/36)*$K294,0))</f>
        <v>4</v>
      </c>
      <c r="BO294" s="535">
        <f t="shared" si="584"/>
        <v>0</v>
      </c>
      <c r="BP294" s="521">
        <f t="shared" si="585"/>
        <v>0</v>
      </c>
      <c r="BQ294" s="521">
        <f>IF(AND($O294&gt;0,Sheet1!EM292=1),(1-($O294-Sheet1!$L292)/$O294)*BL294,0)</f>
        <v>0</v>
      </c>
      <c r="BR294" s="521">
        <f>IF(AND(Sheet1!$L292=0,Sheet1!$L291=0, Calculation!BK294&lt;Sheet1!$EI292-0.1,Sheet1!$EI292=Sheet1!$EI291,Sheet1!$EI292=Sheet1!$EI293),BL294-BQ294,BL294-BQ294)</f>
        <v>3.7416620344635905</v>
      </c>
      <c r="BS294" s="1035" t="str">
        <f t="shared" si="672"/>
        <v/>
      </c>
      <c r="BT294" s="1035">
        <f t="shared" si="673"/>
        <v>0</v>
      </c>
      <c r="BU294" s="535">
        <f t="shared" si="586"/>
        <v>60.084534516318428</v>
      </c>
      <c r="BV294" s="535"/>
      <c r="BW294" s="535">
        <f ca="1">IF(B294&gt;(Summary!$A$1-1),#N/A,BU294*MGtoAF)</f>
        <v>184.33935189606493</v>
      </c>
      <c r="BX294" s="535">
        <f>Sheet1!BC292+Sheet1!BD292+Sheet1!BE292+Sheet1!BF292-CG294-CH294</f>
        <v>2.99</v>
      </c>
      <c r="BY294" s="535">
        <f t="shared" si="587"/>
        <v>2.9833518621456361</v>
      </c>
      <c r="BZ294" s="535">
        <f>IF(Sheet1!EQ292="FM",CH294,0)</f>
        <v>0</v>
      </c>
      <c r="CA294" s="535">
        <f t="shared" si="588"/>
        <v>0</v>
      </c>
      <c r="CB294" s="535">
        <f>IF(Sheet1!EQ292="OTHER",CH294,0)</f>
        <v>0</v>
      </c>
      <c r="CC294" s="535">
        <f t="shared" si="589"/>
        <v>0</v>
      </c>
      <c r="CD294" s="535">
        <f t="shared" si="590"/>
        <v>0</v>
      </c>
      <c r="CE294" s="535">
        <f t="shared" si="591"/>
        <v>2.99</v>
      </c>
      <c r="CF294" s="535">
        <f t="shared" si="592"/>
        <v>2.9833518621456361</v>
      </c>
      <c r="CG294" s="535">
        <f>IF(Sheet1!EQ292="CWA",SUM(Sheet1!BC292:'Sheet1'!BF292),0)</f>
        <v>0</v>
      </c>
      <c r="CH294" s="535">
        <f>IF(OR(Sheet1!EQ292="FM", Sheet1!EQ292="OTHER"),SUM(Sheet1!BC292:'Sheet1'!BF292),0)</f>
        <v>0</v>
      </c>
      <c r="CI294" s="521">
        <f>IF(AND($B294&gt;=$FV294,$B294&lt;=$FW294),MAX(CF294,Sheet1!EJ292,0),MAX(CF294-(7/36)*$K294,0))</f>
        <v>3</v>
      </c>
      <c r="CJ294" s="535">
        <f t="shared" si="593"/>
        <v>0</v>
      </c>
      <c r="CK294" s="521">
        <f t="shared" si="594"/>
        <v>0</v>
      </c>
      <c r="CL294" s="521">
        <f>IF(AND($O294&gt;0,Sheet1!EN292=1),(1-($O294-Sheet1!$L292)/$O294)*CF294,0)</f>
        <v>0</v>
      </c>
      <c r="CM294" s="521">
        <f>IF(AND(Sheet1!$L292=0,Sheet1!$L291=0, Calculation!CE294&lt;Sheet1!EJ292-0.1,Sheet1!EJ292=Sheet1!EJ291,Sheet1!EJ292=Sheet1!EJ293),CF294-CL294,CF294-CL294)</f>
        <v>2.9833518621456361</v>
      </c>
      <c r="CN294" s="1040" t="str">
        <f t="shared" si="674"/>
        <v/>
      </c>
      <c r="CO294" s="1035">
        <f t="shared" si="675"/>
        <v>0</v>
      </c>
      <c r="CP294" s="535">
        <f t="shared" si="595"/>
        <v>87.397440340713686</v>
      </c>
      <c r="CQ294" s="535"/>
      <c r="CR294" s="535">
        <f ca="1">IF(B294&gt;(Summary!$A$1-1),#N/A,CP294*MGtoAF)</f>
        <v>268.13534696530962</v>
      </c>
      <c r="CS294" s="535">
        <f>Sheet1!BK292+Sheet1!BL292+Sheet1!BM292-Sheet1!ER292-DA294</f>
        <v>6.4399999999999995</v>
      </c>
      <c r="CT294" s="535">
        <f t="shared" si="596"/>
        <v>6.4256809338521386</v>
      </c>
      <c r="CU294" s="535">
        <f>IF(Sheet1!ER292="FM",DA294,0)</f>
        <v>0</v>
      </c>
      <c r="CV294" s="535">
        <f t="shared" si="597"/>
        <v>0</v>
      </c>
      <c r="CW294" s="535">
        <f>IF(Sheet1!ER292="OTHER",DA294,0)</f>
        <v>0</v>
      </c>
      <c r="CX294" s="535">
        <f t="shared" si="598"/>
        <v>0</v>
      </c>
      <c r="CY294" s="535">
        <f t="shared" si="694"/>
        <v>6.4399999999999995</v>
      </c>
      <c r="CZ294" s="535">
        <f t="shared" si="694"/>
        <v>6.4256809338521386</v>
      </c>
      <c r="DA294" s="535">
        <f>IF(OR(Sheet1!ER292="FM", Sheet1!ER292="OTHER"),SUM(Sheet1!BK292:'Sheet1'!BM292),0)</f>
        <v>0</v>
      </c>
      <c r="DB294" s="1011">
        <f>IF(AND($B294&gt;=$FV294,$B294&lt;=$FW294),MAX($CT294,Sheet1!EK292,0),MAX($CT294-(7/36)*$K294,0))</f>
        <v>6.5</v>
      </c>
      <c r="DC294" s="1012">
        <f t="shared" si="601"/>
        <v>0</v>
      </c>
      <c r="DD294" s="1011">
        <f t="shared" si="602"/>
        <v>0</v>
      </c>
      <c r="DE294" s="521">
        <f>IF(AND($O294&gt;0,Sheet1!EO292=1),(1-($O294-Sheet1!$L292)/$O294)*CZ294,0)</f>
        <v>0</v>
      </c>
      <c r="DF294" s="521">
        <f>IF(AND(Sheet1!$L292=0,Sheet1!$L291=0, Calculation!CY294&lt;Sheet1!$EK292-0.1,Sheet1!$EK292=Sheet1!$EK291,Sheet1!$EK292=Sheet1!$EK293),CZ294-DE294,CZ294-DE294)</f>
        <v>6.4256809338521386</v>
      </c>
      <c r="DG294" s="1040">
        <f t="shared" si="676"/>
        <v>0</v>
      </c>
      <c r="DH294" s="649">
        <f t="shared" si="603"/>
        <v>13.18</v>
      </c>
      <c r="DI294" s="535">
        <f t="shared" si="604"/>
        <v>95.323622632334917</v>
      </c>
      <c r="DJ294" s="649">
        <f t="shared" si="605"/>
        <v>13.150694830461365</v>
      </c>
      <c r="DK294" s="535">
        <f ca="1">IF(B294&gt;(Summary!$A$1-1),#N/A,DI294*MGtoAF)</f>
        <v>292.45287423600354</v>
      </c>
      <c r="DL294" s="649">
        <f t="shared" si="606"/>
        <v>13.18</v>
      </c>
      <c r="DM294" s="535">
        <f t="shared" si="607"/>
        <v>35.980000000000004</v>
      </c>
      <c r="DN294" s="535">
        <f>Sheet1!AB292-DM294</f>
        <v>-8.00000000000054E-2</v>
      </c>
      <c r="DO294" s="743">
        <f t="shared" si="608"/>
        <v>-2.2234574763759143E-3</v>
      </c>
      <c r="DP294" s="535">
        <f>(VLOOKUP(Sheet1!DC292,hhdcap_wcm,4)-(((VLOOKUP(Sheet1!DC292,hhdcap_wcm,3)-Sheet1!DC292)/(VLOOKUP(Sheet1!DC292,hhdcap_wcm,3)-VLOOKUP(Sheet1!DC292,hhdcap_wcm,1)))*(VLOOKUP(Sheet1!DC292,hhdcap_wcm,4)-VLOOKUP(Sheet1!DC292,hhdcap_wcm,2))))</f>
        <v>12394.200000029077</v>
      </c>
      <c r="DQ294" s="535">
        <f t="shared" si="609"/>
        <v>-587.40000000116561</v>
      </c>
      <c r="DR294" s="535">
        <f t="shared" si="610"/>
        <v>-296.21785174037598</v>
      </c>
      <c r="DS294" s="535">
        <f>Sheet1!EA292*AFtoMG</f>
        <v>-97.8</v>
      </c>
      <c r="DT294" s="535">
        <f>Sheet1!EB292*AFtoMG</f>
        <v>0</v>
      </c>
      <c r="DU294" s="535">
        <f>Sheet1!EC292*AFtoMG</f>
        <v>0</v>
      </c>
      <c r="DV294" s="535">
        <f>Sheet1!ED292*AFtoMG</f>
        <v>0</v>
      </c>
      <c r="DW294" s="535">
        <f t="shared" si="611"/>
        <v>-97.8</v>
      </c>
      <c r="DX294" s="535">
        <f t="shared" si="612"/>
        <v>-300.05040000000002</v>
      </c>
      <c r="DY294" s="535">
        <f t="shared" si="613"/>
        <v>303.48458774270318</v>
      </c>
      <c r="DZ294" s="535">
        <f t="shared" si="614"/>
        <v>931.09071519461338</v>
      </c>
      <c r="EA294" s="535"/>
      <c r="EB294" s="521">
        <f>IF(OR(B294&lt;FV294,B294&gt;FW294),(MIN(BF294+BY294+CT294+MAX(Sheet1!AA292+AQ294-73,0),K294)),0)</f>
        <v>0</v>
      </c>
      <c r="EC294" s="535"/>
      <c r="ED294" s="535">
        <f t="shared" si="615"/>
        <v>13.150694830461365</v>
      </c>
      <c r="EE294" s="535"/>
      <c r="EF294" s="535">
        <f>Sheet1!EH292+Sheet1!EI292+Sheet1!EJ292+Sheet1!EK292</f>
        <v>13.5</v>
      </c>
      <c r="EG294" s="1019">
        <f t="shared" si="677"/>
        <v>20.884499999999999</v>
      </c>
      <c r="EH294" s="521">
        <f t="shared" si="616"/>
        <v>0</v>
      </c>
      <c r="EI294" s="535">
        <f>IF(Sheet1!ET292=1,SUM('Calculations II'!AT294:BA294)+'Calculations II'!BC294+Sheet1!BV292+'Calculations II'!BE294+AP294,'Calculations II'!BK294)</f>
        <v>49.762697169538633</v>
      </c>
      <c r="EJ294" s="535">
        <f ca="1">EI294+'Calculations II'!D294+'Calculations II'!E294+'Calculations II'!O294</f>
        <v>52.965790475085534</v>
      </c>
      <c r="EK294" s="535"/>
      <c r="EL294" s="535"/>
      <c r="EM294" s="535">
        <f t="shared" si="617"/>
        <v>43018</v>
      </c>
      <c r="EN294" s="535">
        <f t="shared" si="618"/>
        <v>-13.5</v>
      </c>
      <c r="EO294" s="535">
        <f t="shared" si="619"/>
        <v>-20.884499999999999</v>
      </c>
      <c r="EP294" s="535">
        <v>0</v>
      </c>
      <c r="EQ294" s="535">
        <v>0</v>
      </c>
      <c r="ER294" s="535">
        <v>0</v>
      </c>
      <c r="ES294" s="521">
        <f t="shared" si="643"/>
        <v>-2.2160127605184319</v>
      </c>
      <c r="ET294" s="535">
        <f>-(VLOOKUP(Sheet1!BQ292,Lookup!$O$4:$Q$262,2)-VLOOKUP(Sheet1!BQ291,Lookup!$O$4:$Q$262,2))/1000000</f>
        <v>-1.1078013039986865</v>
      </c>
      <c r="EU294" s="535">
        <f>-(VLOOKUP(Sheet1!BR292,Lookup!$O$4:$Q$262,3)-VLOOKUP(Sheet1!BR291,Lookup!$O$4:$Q$262,3))/1000000</f>
        <v>-1.1082114565197454</v>
      </c>
      <c r="EV294" s="535"/>
      <c r="EW294" s="535"/>
      <c r="EX294" s="535"/>
      <c r="EY294" s="535"/>
      <c r="EZ294" s="535"/>
      <c r="FA294" s="535"/>
      <c r="FB294" s="535"/>
      <c r="FC294" s="535"/>
      <c r="FD294" s="567">
        <f t="shared" si="693"/>
        <v>1109.1781249999481</v>
      </c>
      <c r="FE294" s="567" t="e">
        <f t="shared" si="620"/>
        <v>#N/A</v>
      </c>
      <c r="FF294" s="568" t="e">
        <f t="shared" si="621"/>
        <v>#N/A</v>
      </c>
      <c r="FG294" s="569" t="s">
        <v>656</v>
      </c>
      <c r="FH294" s="569" t="s">
        <v>656</v>
      </c>
      <c r="FI294" s="567" t="e">
        <v>#N/A</v>
      </c>
      <c r="FJ294" s="725">
        <v>7312</v>
      </c>
      <c r="FK294" s="535"/>
      <c r="FL294" s="1015">
        <f t="shared" si="692"/>
        <v>105.3958648512355</v>
      </c>
      <c r="FM294" s="535"/>
      <c r="FN294" s="535"/>
      <c r="FO294" s="535">
        <f>O294+((Sheet1!CS292)*GPMtoMGD)</f>
        <v>65.478431999999998</v>
      </c>
      <c r="FP294" s="535">
        <f>IF(Sheet1!AA292+AQ294&lt;=Calculation!N294,AQ294,Calculation!N294-Sheet1!AA292)</f>
        <v>22.74930516953863</v>
      </c>
      <c r="FQ294" s="535">
        <f>(Sheet1!BP292+Sheet1!BO292)/694.4</f>
        <v>1.0697004608294931</v>
      </c>
      <c r="FR294" s="541"/>
      <c r="FS294" s="541"/>
      <c r="FT294" s="541"/>
      <c r="FU294" s="541"/>
      <c r="FV294" s="1109">
        <f t="shared" si="644"/>
        <v>42918</v>
      </c>
      <c r="FW294" s="1109">
        <f t="shared" si="645"/>
        <v>43027</v>
      </c>
      <c r="FX294" s="541"/>
      <c r="FY294" s="541">
        <f>Sheet1!DA292-Sheet1!CZ292-Sheet1!AE292</f>
        <v>-44.317400000000006</v>
      </c>
      <c r="FZ294" s="535">
        <f t="shared" si="678"/>
        <v>-0.25649293313223703</v>
      </c>
      <c r="GA294" s="535"/>
      <c r="GB294" s="535" t="str">
        <f t="shared" si="646"/>
        <v>n</v>
      </c>
      <c r="GC294" s="539">
        <f t="shared" si="647"/>
        <v>42782</v>
      </c>
      <c r="GD294" s="1109">
        <f t="shared" si="648"/>
        <v>42904</v>
      </c>
      <c r="GE294" s="535">
        <f t="shared" si="664"/>
        <v>6520</v>
      </c>
      <c r="GF294" s="1109">
        <f t="shared" si="649"/>
        <v>42909</v>
      </c>
      <c r="GG294" s="535">
        <f t="shared" si="691"/>
        <v>3260</v>
      </c>
      <c r="GH294" s="539">
        <f t="shared" si="650"/>
        <v>43040</v>
      </c>
      <c r="GJ294" s="521">
        <f t="shared" si="651"/>
        <v>0</v>
      </c>
      <c r="GK294" s="535" t="str">
        <f t="shared" si="622"/>
        <v/>
      </c>
      <c r="GL294" s="535">
        <f t="shared" si="652"/>
        <v>0</v>
      </c>
      <c r="GM294" s="535" t="str">
        <f t="shared" si="653"/>
        <v/>
      </c>
      <c r="GN294" s="535">
        <f>IF(GK294="P",Lookup!$M$12,IF(GK294="PP",Lookup!$M$13,IF(GK294="PPP",Lookup!$M$14,IF(GK294="T",Lookup!$M$15,IF(GK294="TP",Lookup!$M$16,IF(GK294="TPP",Lookup!$M$17,IF(GK294="TPPP",Lookup!$M$18,0)))))))*GJ294</f>
        <v>0</v>
      </c>
      <c r="GO294" s="535">
        <f t="shared" si="654"/>
        <v>0</v>
      </c>
      <c r="GP294" s="535">
        <f t="shared" si="623"/>
        <v>186.16314209723532</v>
      </c>
      <c r="GQ294" s="974">
        <f t="shared" si="567"/>
        <v>60.678990253336153</v>
      </c>
      <c r="GR294" s="535"/>
      <c r="GS294" s="535">
        <f t="shared" si="655"/>
        <v>0</v>
      </c>
      <c r="GT294" s="535" t="str">
        <f t="shared" si="656"/>
        <v/>
      </c>
      <c r="GU294" s="535">
        <f>IF(GK294="P",Lookup!$N$12,IF(GK294="PP",Lookup!$N$13,IF(GK294="PPP",Lookup!$N$14,IF(GK294="T",Lookup!$N$15,IF(GK294="TP",Lookup!$N$16,IF(GK294="TPP",Lookup!$N$17,IF(GK294="TPPP",Lookup!$N$18,0)))))))*GJ294</f>
        <v>0</v>
      </c>
      <c r="GV294" s="535">
        <f t="shared" si="657"/>
        <v>0</v>
      </c>
      <c r="GW294" s="535">
        <f t="shared" si="624"/>
        <v>184.33935189606493</v>
      </c>
      <c r="GX294" s="974">
        <f t="shared" si="568"/>
        <v>60.084534516318428</v>
      </c>
      <c r="GY294" s="535"/>
      <c r="GZ294" s="535">
        <f t="shared" si="658"/>
        <v>0</v>
      </c>
      <c r="HA294" s="535" t="str">
        <f t="shared" si="659"/>
        <v/>
      </c>
      <c r="HB294" s="535">
        <f>IF(GK294="P",Lookup!$N$12,IF(GK294="PP",Lookup!$N$13,IF(GK294="PPP",Lookup!$N$14,IF(GK294="T",Lookup!$N$15,IF(GK294="TP",Lookup!$N$16,IF(GK294="TPP",Lookup!$N$17,IF(GK294="TPPP",Lookup!$N$18,0)))))))*GJ294</f>
        <v>0</v>
      </c>
      <c r="HC294" s="521">
        <f t="shared" si="625"/>
        <v>0</v>
      </c>
      <c r="HD294" s="535">
        <f t="shared" si="626"/>
        <v>268.13534696530962</v>
      </c>
      <c r="HE294" s="535">
        <f t="shared" si="662"/>
        <v>87.397440340713686</v>
      </c>
      <c r="HF294" s="535"/>
      <c r="HG294" s="535">
        <f t="shared" si="660"/>
        <v>0</v>
      </c>
      <c r="HH294" s="535" t="str">
        <f t="shared" si="661"/>
        <v/>
      </c>
      <c r="HI294" s="535">
        <f>IF(GK294="P",Lookup!$N$12,IF(GK294="PP",Lookup!$N$13,IF(GK294="PPP",Lookup!$N$14,IF(GK294="T",Lookup!$N$15,IF(GK294="TP",Lookup!$N$16,IF(GK294="TPP",Lookup!$N$17,IF(GK294="TPPP",Lookup!$N$18,0)))))))*GJ294</f>
        <v>0</v>
      </c>
      <c r="HJ294" s="521">
        <f t="shared" si="627"/>
        <v>0</v>
      </c>
      <c r="HK294" s="535">
        <f t="shared" si="628"/>
        <v>292.45287423600354</v>
      </c>
      <c r="HL294" s="535">
        <f t="shared" si="663"/>
        <v>95.323622632334917</v>
      </c>
      <c r="HM294" s="535"/>
      <c r="HN294" s="541"/>
      <c r="HO294" s="541"/>
      <c r="HP294" s="541"/>
      <c r="HQ294" s="541">
        <f>IF(AND(B294&gt;=$FV$4,B294&lt;=$FW$4),MAX(110/1.02+$HQ$6+MIN(113/1.02,G294),IF($HV$6-(Sheet1!DA292-Sheet1!DB292)+MIN(113/1.02,G294)&lt;G294+FL294,$HV$6-(Sheet1!DA292-Sheet1!DB292)+MIN(113/1.02,G294),G294+FL294)),MIN(110/1.02+$HQ$6+113/1.02,G294))</f>
        <v>218.62745098039215</v>
      </c>
      <c r="HR294" s="541">
        <f t="shared" si="679"/>
        <v>223</v>
      </c>
      <c r="HS294" s="541">
        <f>HR294+(Sheet1!DA292-Sheet1!DB292)</f>
        <v>386</v>
      </c>
      <c r="HT294" s="541">
        <f t="shared" si="680"/>
        <v>78.973275097276272</v>
      </c>
      <c r="HU294" s="541">
        <f t="shared" si="681"/>
        <v>307.02672490272374</v>
      </c>
      <c r="HV294" s="541">
        <f t="shared" si="682"/>
        <v>0</v>
      </c>
      <c r="HW294" s="533" t="str">
        <f t="shared" si="683"/>
        <v/>
      </c>
      <c r="HX294" s="541">
        <f t="shared" si="684"/>
        <v>229.48804901960784</v>
      </c>
      <c r="HY294" s="541">
        <f>Sheet1!CZ292</f>
        <v>469</v>
      </c>
      <c r="HZ294" s="541">
        <f t="shared" si="685"/>
        <v>20.884499999999999</v>
      </c>
      <c r="IA294" s="541">
        <f t="shared" si="686"/>
        <v>78.973275097276272</v>
      </c>
      <c r="IB294" s="541">
        <f t="shared" si="687"/>
        <v>448.1155</v>
      </c>
      <c r="IC294" s="1019" t="str">
        <f t="shared" si="688"/>
        <v/>
      </c>
      <c r="ID294" s="541">
        <f t="shared" si="689"/>
        <v>369.14222490272374</v>
      </c>
      <c r="IE294" s="541">
        <f>Sheet1!DB292</f>
        <v>361</v>
      </c>
      <c r="IF294" s="533">
        <f>Sheet1!DA292</f>
        <v>524</v>
      </c>
      <c r="IH294" s="541">
        <f>IF(AND($B294&gt;=$GC294,$B294&lt;=$GH294,$DR294&lt;0)+N("only adjusted when pool is drawn down during storage season"),Sheet1!$DB292+$DR294+N("Palmer minus all storage release"),Sheet1!$DB292)</f>
        <v>64.782148259624023</v>
      </c>
      <c r="II294" s="541">
        <f>IF(AND($B294&gt;=$GC294,$B294&lt;=$GH294,$DR294&lt;0)+N("only adjusted when pool is drawn down during storage season"),Sheet1!$DA292+$DR294+N("Auburn minus all storage release"),Sheet1!$DA292)</f>
        <v>227.78214825962402</v>
      </c>
    </row>
    <row r="295" spans="1:243" x14ac:dyDescent="0.25">
      <c r="A295" s="553" t="s">
        <v>6</v>
      </c>
      <c r="B295" s="531">
        <v>43019</v>
      </c>
      <c r="C295" s="536">
        <v>0</v>
      </c>
      <c r="D295" s="506">
        <f t="shared" si="633"/>
        <v>300</v>
      </c>
      <c r="E295" s="506">
        <f t="shared" si="634"/>
        <v>250</v>
      </c>
      <c r="F295" s="506">
        <v>250</v>
      </c>
      <c r="G295" s="535">
        <f>DR295+Sheet1!CZ293</f>
        <v>204.43066061428851</v>
      </c>
      <c r="H295" s="1074">
        <f t="shared" si="690"/>
        <v>0</v>
      </c>
      <c r="I295" s="534">
        <f>IF(Sheet1!DA293&gt;=E295,(Sheet1!DA293-E295+P295)*CFStoMGD,0)</f>
        <v>265.29916601600002</v>
      </c>
      <c r="J295" s="995">
        <f>IF(Sheet1!DB293&gt;=D295,(Sheet1!DB293-D295+P295)*CFStoMGD,0)</f>
        <v>145.06876601599998</v>
      </c>
      <c r="K295" s="818">
        <f t="shared" si="665"/>
        <v>0</v>
      </c>
      <c r="L295" s="535">
        <f>Sheet1!AA293+Sheet1!AB293-Sheet1!L293+(Sheet1!DA293-F295)*CFStoMGD-S295-T295-U295</f>
        <v>251.91966605504584</v>
      </c>
      <c r="M295" s="535">
        <f t="shared" si="569"/>
        <v>134.78685860149761</v>
      </c>
      <c r="N295" s="824">
        <f>IF(Sheet1!DA293&gt;=F295,MIN(113*CFStoMGD,MIN(MAX(L295,0),MAX(M295,0))),0)</f>
        <v>73.043199999999999</v>
      </c>
      <c r="O295" s="538">
        <f>Sheet1!AA293+Sheet1!AB293</f>
        <v>64.27</v>
      </c>
      <c r="P295" s="538">
        <f t="shared" si="570"/>
        <v>99.425690000000003</v>
      </c>
      <c r="Q295" s="812">
        <f t="shared" si="666"/>
        <v>50.889266055045866</v>
      </c>
      <c r="R295" s="812">
        <f t="shared" si="635"/>
        <v>13.5</v>
      </c>
      <c r="S295" s="812">
        <f t="shared" si="636"/>
        <v>0</v>
      </c>
      <c r="T295" s="812">
        <f t="shared" si="637"/>
        <v>0</v>
      </c>
      <c r="U295" s="812">
        <f>IF(AND(B295&gt;=FV295,B295&lt;=FW295),ED295+Sheet1!EH293,0)</f>
        <v>13.380733944954128</v>
      </c>
      <c r="V295" s="812"/>
      <c r="W295" s="812">
        <f t="shared" si="638"/>
        <v>0</v>
      </c>
      <c r="X295" s="812">
        <f t="shared" si="639"/>
        <v>0</v>
      </c>
      <c r="Y295" s="812" t="str">
        <f t="shared" si="640"/>
        <v>FALSE</v>
      </c>
      <c r="Z295" s="812">
        <f t="shared" si="641"/>
        <v>64.27</v>
      </c>
      <c r="AA295" s="812">
        <f t="shared" si="642"/>
        <v>64.27</v>
      </c>
      <c r="AB295" s="1059">
        <f t="shared" si="667"/>
        <v>78.725694587155957</v>
      </c>
      <c r="AC295" s="538">
        <f>Sheet1!Y293*MGDtoCFS</f>
        <v>43.780099999999997</v>
      </c>
      <c r="AD295" s="538">
        <f>Sheet1!Z293*MGDtoCFS</f>
        <v>55.537299999999995</v>
      </c>
      <c r="AE295" s="538">
        <f>Sheet1!AA293*MGDtoCFS</f>
        <v>43.733689999999996</v>
      </c>
      <c r="AF295" s="538">
        <f>Sheet1!AB293*MGDtoCFS</f>
        <v>55.692</v>
      </c>
      <c r="AG295" s="538">
        <f>Sheet1!L293*MGDtoCFS</f>
        <v>0</v>
      </c>
      <c r="AH295" s="521">
        <f t="shared" si="571"/>
        <v>13.505421184320269</v>
      </c>
      <c r="AI295" s="1059">
        <f t="shared" si="572"/>
        <v>20.892886572143457</v>
      </c>
      <c r="AJ295" s="535">
        <f t="shared" si="573"/>
        <v>0</v>
      </c>
      <c r="AK295" s="535">
        <f t="shared" si="574"/>
        <v>0</v>
      </c>
      <c r="AL295" s="535">
        <f>(VLOOKUP(Sheet1!DC293,hhdcap_wcm,4)-(((VLOOKUP(Sheet1!DC293,hhdcap_wcm,3)-Sheet1!DC293)/(VLOOKUP(Sheet1!DC293,hhdcap_wcm,3)-VLOOKUP(Sheet1!DC293,hhdcap_wcm,1)))*(VLOOKUP(Sheet1!DC293,hhdcap_wcm,4)-VLOOKUP(Sheet1!DC293,hhdcap_wcm,2))))</f>
        <v>11724.800000027211</v>
      </c>
      <c r="AM295" s="535">
        <f t="shared" si="575"/>
        <v>-669.40000000186592</v>
      </c>
      <c r="AN295" s="1035">
        <f t="shared" si="576"/>
        <v>289.97916655838293</v>
      </c>
      <c r="AO295" s="535">
        <f t="shared" si="577"/>
        <v>889.65608300111887</v>
      </c>
      <c r="AP295" s="535">
        <f>Sheet1!BA293+Sheet1!BB293+Sheet1!BN293+CD295</f>
        <v>23.1</v>
      </c>
      <c r="AQ295" s="535">
        <f>Sheet1!BN293+(DO295*Sheet1!BN293)</f>
        <v>23.119266055045873</v>
      </c>
      <c r="AR295" s="535">
        <f>Sheet1!BA293+CD295</f>
        <v>0</v>
      </c>
      <c r="AS295" s="535">
        <f>Sheet1!BA293+Sheet1!BB293+CD295</f>
        <v>0</v>
      </c>
      <c r="AT295" s="649">
        <f>0</f>
        <v>0</v>
      </c>
      <c r="AU295" s="974">
        <f>BA295+MAX(Sheet1!EH293,(O295-Q295-ED295-S295))</f>
        <v>0.50000000000000178</v>
      </c>
      <c r="AV295" s="535">
        <f>IF(OR(B295&gt;=GD295,B295&lt;GC295),0,15/36*K295-MAX(0,64.6-(137.6-(Sheet1!AA293+Sheet1!AB293))))</f>
        <v>0</v>
      </c>
      <c r="AW295" s="1029"/>
      <c r="AX295" s="649"/>
      <c r="AY295" s="649">
        <f t="shared" si="668"/>
        <v>23.311716569431731</v>
      </c>
      <c r="AZ295" s="649">
        <f t="shared" si="669"/>
        <v>0</v>
      </c>
      <c r="BA295" s="1059">
        <f t="shared" si="670"/>
        <v>0</v>
      </c>
      <c r="BB295" s="1019">
        <f t="shared" si="578"/>
        <v>60.178990253336153</v>
      </c>
      <c r="BC295" s="1041">
        <f t="shared" si="671"/>
        <v>0</v>
      </c>
      <c r="BD295" s="1019">
        <f ca="1">IF(B295&gt;(Summary!$A$1-1),#N/A,BB295*MGtoAF)</f>
        <v>184.62914209723533</v>
      </c>
      <c r="BE295" s="535">
        <f>Sheet1!BG293+Sheet1!BH293+Sheet1!BI293-BM295</f>
        <v>3.39</v>
      </c>
      <c r="BF295" s="535">
        <f t="shared" si="579"/>
        <v>3.3928273561301086</v>
      </c>
      <c r="BG295" s="535">
        <f>IF(Sheet1!EP293="FM",BM295,0)</f>
        <v>0</v>
      </c>
      <c r="BH295" s="535">
        <f t="shared" si="580"/>
        <v>0</v>
      </c>
      <c r="BI295" s="535">
        <f>IF(Sheet1!EP293="OTHER",BM295,0)</f>
        <v>0</v>
      </c>
      <c r="BJ295" s="535">
        <f t="shared" si="581"/>
        <v>0</v>
      </c>
      <c r="BK295" s="535">
        <f t="shared" si="582"/>
        <v>3.39</v>
      </c>
      <c r="BL295" s="535">
        <f t="shared" si="583"/>
        <v>3.3928273561301086</v>
      </c>
      <c r="BM295" s="535">
        <f>IF(OR(Sheet1!EP293="FM", Sheet1!EP293="OTHER"),SUM(Sheet1!BG293:'Sheet1'!BI293),0)</f>
        <v>0</v>
      </c>
      <c r="BN295" s="521">
        <f>IF(AND($B295&gt;=$FV295,$B295&lt;=$FW295),MAX(BF295,Sheet1!EI293,0),MAX(BF295-(7/36)*$K295,0))</f>
        <v>3.5</v>
      </c>
      <c r="BO295" s="535">
        <f t="shared" si="584"/>
        <v>0</v>
      </c>
      <c r="BP295" s="521">
        <f t="shared" si="585"/>
        <v>0</v>
      </c>
      <c r="BQ295" s="521">
        <f>IF(AND($O295&gt;0,Sheet1!EM293=1),(1-($O295-Sheet1!$L293)/$O295)*BL295,0)</f>
        <v>0</v>
      </c>
      <c r="BR295" s="521">
        <f>IF(AND(Sheet1!$L293=0,Sheet1!$L292=0, Calculation!BK295&lt;Sheet1!$EI293-0.1,Sheet1!$EI293=Sheet1!$EI292,Sheet1!$EI293=Sheet1!$EI294),BL295-BQ295,BL295-BQ295)</f>
        <v>3.3928273561301086</v>
      </c>
      <c r="BS295" s="1035" t="str">
        <f t="shared" si="672"/>
        <v/>
      </c>
      <c r="BT295" s="1035">
        <f t="shared" si="673"/>
        <v>0</v>
      </c>
      <c r="BU295" s="535">
        <f t="shared" si="586"/>
        <v>56.584534516318428</v>
      </c>
      <c r="BV295" s="535"/>
      <c r="BW295" s="535">
        <f ca="1">IF(B295&gt;(Summary!$A$1-1),#N/A,BU295*MGtoAF)</f>
        <v>173.60135189606493</v>
      </c>
      <c r="BX295" s="535">
        <f>Sheet1!BC293+Sheet1!BD293+Sheet1!BE293+Sheet1!BF293-CG295-CH295</f>
        <v>2.98</v>
      </c>
      <c r="BY295" s="535">
        <f t="shared" si="587"/>
        <v>2.9824854045037532</v>
      </c>
      <c r="BZ295" s="535">
        <f>IF(Sheet1!EQ293="FM",CH295,0)</f>
        <v>0</v>
      </c>
      <c r="CA295" s="535">
        <f t="shared" si="588"/>
        <v>0</v>
      </c>
      <c r="CB295" s="535">
        <f>IF(Sheet1!EQ293="OTHER",CH295,0)</f>
        <v>0</v>
      </c>
      <c r="CC295" s="535">
        <f t="shared" si="589"/>
        <v>0</v>
      </c>
      <c r="CD295" s="535">
        <f t="shared" si="590"/>
        <v>0</v>
      </c>
      <c r="CE295" s="535">
        <f t="shared" si="591"/>
        <v>2.98</v>
      </c>
      <c r="CF295" s="535">
        <f t="shared" si="592"/>
        <v>2.9824854045037532</v>
      </c>
      <c r="CG295" s="535">
        <f>IF(Sheet1!EQ293="CWA",SUM(Sheet1!BC293:'Sheet1'!BF293),0)</f>
        <v>0</v>
      </c>
      <c r="CH295" s="535">
        <f>IF(OR(Sheet1!EQ293="FM", Sheet1!EQ293="OTHER"),SUM(Sheet1!BC293:'Sheet1'!BF293),0)</f>
        <v>0</v>
      </c>
      <c r="CI295" s="521">
        <f>IF(AND($B295&gt;=$FV295,$B295&lt;=$FW295),MAX(CF295,Sheet1!EJ293,0),MAX(CF295-(7/36)*$K295,0))</f>
        <v>3</v>
      </c>
      <c r="CJ295" s="535">
        <f t="shared" si="593"/>
        <v>0</v>
      </c>
      <c r="CK295" s="521">
        <f t="shared" si="594"/>
        <v>0</v>
      </c>
      <c r="CL295" s="521">
        <f>IF(AND($O295&gt;0,Sheet1!EN293=1),(1-($O295-Sheet1!$L293)/$O295)*CF295,0)</f>
        <v>0</v>
      </c>
      <c r="CM295" s="521">
        <f>IF(AND(Sheet1!$L293=0,Sheet1!$L292=0, Calculation!CE295&lt;Sheet1!EJ293-0.1,Sheet1!EJ293=Sheet1!EJ292,Sheet1!EJ293=Sheet1!EJ294),CF295-CL295,CF295-CL295)</f>
        <v>2.9824854045037532</v>
      </c>
      <c r="CN295" s="1040" t="str">
        <f t="shared" si="674"/>
        <v/>
      </c>
      <c r="CO295" s="1035">
        <f t="shared" si="675"/>
        <v>0</v>
      </c>
      <c r="CP295" s="535">
        <f t="shared" si="595"/>
        <v>84.397440340713686</v>
      </c>
      <c r="CQ295" s="535"/>
      <c r="CR295" s="535">
        <f ca="1">IF(B295&gt;(Summary!$A$1-1),#N/A,CP295*MGtoAF)</f>
        <v>258.93134696530961</v>
      </c>
      <c r="CS295" s="535">
        <f>Sheet1!BK293+Sheet1!BL293+Sheet1!BM293-Sheet1!ER293-DA295</f>
        <v>6.5</v>
      </c>
      <c r="CT295" s="535">
        <f t="shared" si="596"/>
        <v>6.5054211843202667</v>
      </c>
      <c r="CU295" s="535">
        <f>IF(Sheet1!ER293="FM",DA295,0)</f>
        <v>0</v>
      </c>
      <c r="CV295" s="535">
        <f t="shared" si="597"/>
        <v>0</v>
      </c>
      <c r="CW295" s="535">
        <f>IF(Sheet1!ER293="OTHER",DA295,0)</f>
        <v>0</v>
      </c>
      <c r="CX295" s="535">
        <f t="shared" si="598"/>
        <v>0</v>
      </c>
      <c r="CY295" s="535">
        <f t="shared" si="694"/>
        <v>6.5</v>
      </c>
      <c r="CZ295" s="535">
        <f t="shared" si="694"/>
        <v>6.5054211843202667</v>
      </c>
      <c r="DA295" s="535">
        <f>IF(OR(Sheet1!ER293="FM", Sheet1!ER293="OTHER"),SUM(Sheet1!BK293:'Sheet1'!BM293),0)</f>
        <v>0</v>
      </c>
      <c r="DB295" s="1011">
        <f>IF(AND($B295&gt;=$FV295,$B295&lt;=$FW295),MAX($CT295,Sheet1!EK293,0),MAX($CT295-(7/36)*$K295,0))</f>
        <v>6.5054211843202667</v>
      </c>
      <c r="DC295" s="1012">
        <f t="shared" si="601"/>
        <v>0</v>
      </c>
      <c r="DD295" s="1011">
        <f t="shared" si="602"/>
        <v>0</v>
      </c>
      <c r="DE295" s="521">
        <f>IF(AND($O295&gt;0,Sheet1!EO293=1),(1-($O295-Sheet1!$L293)/$O295)*CZ295,0)</f>
        <v>0</v>
      </c>
      <c r="DF295" s="521">
        <f>IF(AND(Sheet1!$L293=0,Sheet1!$L292=0, Calculation!CY295&lt;Sheet1!$EK293-0.1,Sheet1!$EK293=Sheet1!$EK292,Sheet1!$EK293=Sheet1!$EK294),CZ295-DE295,CZ295-DE295)</f>
        <v>6.5054211843202667</v>
      </c>
      <c r="DG295" s="1040">
        <f t="shared" si="676"/>
        <v>0</v>
      </c>
      <c r="DH295" s="649">
        <f t="shared" si="603"/>
        <v>12.870000000000001</v>
      </c>
      <c r="DI295" s="535">
        <f t="shared" si="604"/>
        <v>88.818201448014648</v>
      </c>
      <c r="DJ295" s="649">
        <f t="shared" si="605"/>
        <v>12.880733944954128</v>
      </c>
      <c r="DK295" s="535">
        <f ca="1">IF(B295&gt;(Summary!$A$1-1),#N/A,DI295*MGtoAF)</f>
        <v>272.49424204250897</v>
      </c>
      <c r="DL295" s="649">
        <f t="shared" si="606"/>
        <v>12.870000000000001</v>
      </c>
      <c r="DM295" s="535">
        <f t="shared" si="607"/>
        <v>35.97</v>
      </c>
      <c r="DN295" s="535">
        <f>Sheet1!AB293-DM295</f>
        <v>3.0000000000001137E-2</v>
      </c>
      <c r="DO295" s="743">
        <f t="shared" si="608"/>
        <v>8.3402835696416841E-4</v>
      </c>
      <c r="DP295" s="535">
        <f>(VLOOKUP(Sheet1!DC293,hhdcap_wcm,4)-(((VLOOKUP(Sheet1!DC293,hhdcap_wcm,3)-Sheet1!DC293)/(VLOOKUP(Sheet1!DC293,hhdcap_wcm,3)-VLOOKUP(Sheet1!DC293,hhdcap_wcm,1)))*(VLOOKUP(Sheet1!DC293,hhdcap_wcm,4)-VLOOKUP(Sheet1!DC293,hhdcap_wcm,2))))</f>
        <v>11724.800000027211</v>
      </c>
      <c r="DQ295" s="535">
        <f t="shared" si="609"/>
        <v>-669.40000000186592</v>
      </c>
      <c r="DR295" s="535">
        <f t="shared" si="610"/>
        <v>-337.56933938571149</v>
      </c>
      <c r="DS295" s="535">
        <f>Sheet1!EA293*AFtoMG</f>
        <v>0</v>
      </c>
      <c r="DT295" s="535">
        <f>Sheet1!EB293*AFtoMG</f>
        <v>0</v>
      </c>
      <c r="DU295" s="535">
        <f>Sheet1!EC293*AFtoMG</f>
        <v>0</v>
      </c>
      <c r="DV295" s="535">
        <f>Sheet1!ED293*AFtoMG</f>
        <v>0</v>
      </c>
      <c r="DW295" s="535">
        <f t="shared" si="611"/>
        <v>0</v>
      </c>
      <c r="DX295" s="535">
        <f t="shared" si="612"/>
        <v>0</v>
      </c>
      <c r="DY295" s="535">
        <f t="shared" si="613"/>
        <v>289.97916655838293</v>
      </c>
      <c r="DZ295" s="535">
        <f t="shared" si="614"/>
        <v>889.65608300111887</v>
      </c>
      <c r="EA295" s="535"/>
      <c r="EB295" s="521">
        <f>IF(OR(B295&lt;FV295,B295&gt;FW295),(MIN(BF295+BY295+CT295+MAX(Sheet1!AA293+AQ295-73,0),K295)),0)</f>
        <v>0</v>
      </c>
      <c r="EC295" s="535"/>
      <c r="ED295" s="535">
        <f t="shared" si="615"/>
        <v>12.880733944954128</v>
      </c>
      <c r="EE295" s="535"/>
      <c r="EF295" s="535">
        <f>Sheet1!EH293+Sheet1!EI293+Sheet1!EJ293+Sheet1!EK293</f>
        <v>13.5</v>
      </c>
      <c r="EG295" s="1019">
        <f t="shared" si="677"/>
        <v>20.884499999999999</v>
      </c>
      <c r="EH295" s="521">
        <f t="shared" si="616"/>
        <v>0</v>
      </c>
      <c r="EI295" s="535">
        <f>IF(Sheet1!ET293=1,SUM('Calculations II'!AT295:BA295)+'Calculations II'!BC295+Sheet1!BV293+'Calculations II'!BE295+AP295,'Calculations II'!BK295)</f>
        <v>50.777896055045872</v>
      </c>
      <c r="EJ295" s="535">
        <f ca="1">EI295+'Calculations II'!D295+'Calculations II'!E295+'Calculations II'!O295</f>
        <v>52.580108967550075</v>
      </c>
      <c r="EK295" s="535"/>
      <c r="EL295" s="535"/>
      <c r="EM295" s="535">
        <f t="shared" si="617"/>
        <v>43019</v>
      </c>
      <c r="EN295" s="535">
        <f t="shared" si="618"/>
        <v>-13.505421184320269</v>
      </c>
      <c r="EO295" s="535">
        <f t="shared" si="619"/>
        <v>-20.892886572143457</v>
      </c>
      <c r="EP295" s="535">
        <v>0</v>
      </c>
      <c r="EQ295" s="535">
        <v>0</v>
      </c>
      <c r="ER295" s="535">
        <v>0</v>
      </c>
      <c r="ES295" s="521">
        <f t="shared" si="643"/>
        <v>-1.5240118912769334</v>
      </c>
      <c r="ET295" s="535">
        <f>-(VLOOKUP(Sheet1!BQ293,Lookup!$O$4:$Q$262,2)-VLOOKUP(Sheet1!BQ292,Lookup!$O$4:$Q$262,2))/1000000</f>
        <v>-0.69258409077277783</v>
      </c>
      <c r="EU295" s="535">
        <f>-(VLOOKUP(Sheet1!BR293,Lookup!$O$4:$Q$262,3)-VLOOKUP(Sheet1!BR292,Lookup!$O$4:$Q$262,3))/1000000</f>
        <v>-0.83142780050415543</v>
      </c>
      <c r="EV295" s="535"/>
      <c r="EW295" s="535"/>
      <c r="EX295" s="535"/>
      <c r="EY295" s="535"/>
      <c r="EZ295" s="535"/>
      <c r="FA295" s="535"/>
      <c r="FB295" s="535"/>
      <c r="FC295" s="535"/>
      <c r="FD295" s="567">
        <f t="shared" si="693"/>
        <v>1108.4999999999486</v>
      </c>
      <c r="FE295" s="567" t="e">
        <f t="shared" si="620"/>
        <v>#N/A</v>
      </c>
      <c r="FF295" s="568" t="e">
        <f t="shared" si="621"/>
        <v>#N/A</v>
      </c>
      <c r="FG295" s="569" t="s">
        <v>656</v>
      </c>
      <c r="FH295" s="569" t="s">
        <v>656</v>
      </c>
      <c r="FI295" s="567" t="e">
        <v>#N/A</v>
      </c>
      <c r="FJ295" s="725">
        <v>7103</v>
      </c>
      <c r="FK295" s="535"/>
      <c r="FL295" s="1015">
        <f t="shared" si="692"/>
        <v>105.90015128593041</v>
      </c>
      <c r="FM295" s="535"/>
      <c r="FN295" s="535"/>
      <c r="FO295" s="535">
        <f>O295+((Sheet1!CS293)*GPMtoMGD)</f>
        <v>65.541808000000003</v>
      </c>
      <c r="FP295" s="535">
        <f>IF(Sheet1!AA293+AQ295&lt;=Calculation!N295,AQ295,Calculation!N295-Sheet1!AA293)</f>
        <v>23.119266055045873</v>
      </c>
      <c r="FQ295" s="535">
        <f>(Sheet1!BP293+Sheet1!BO293)/694.4</f>
        <v>2.002016129032258</v>
      </c>
      <c r="FR295" s="541"/>
      <c r="FS295" s="541"/>
      <c r="FT295" s="541"/>
      <c r="FU295" s="541"/>
      <c r="FV295" s="1109">
        <f t="shared" si="644"/>
        <v>42918</v>
      </c>
      <c r="FW295" s="1109">
        <f t="shared" si="645"/>
        <v>43027</v>
      </c>
      <c r="FX295" s="541"/>
      <c r="FY295" s="541">
        <f>Sheet1!DA293-Sheet1!CZ293-Sheet1!AE293</f>
        <v>-80.425689999999989</v>
      </c>
      <c r="FZ295" s="535">
        <f t="shared" si="678"/>
        <v>-0.39341305143920619</v>
      </c>
      <c r="GA295" s="535"/>
      <c r="GB295" s="535" t="str">
        <f t="shared" si="646"/>
        <v>n</v>
      </c>
      <c r="GC295" s="539">
        <f t="shared" si="647"/>
        <v>42782</v>
      </c>
      <c r="GD295" s="1109">
        <f t="shared" si="648"/>
        <v>42904</v>
      </c>
      <c r="GE295" s="535">
        <f t="shared" si="664"/>
        <v>6520</v>
      </c>
      <c r="GF295" s="1109">
        <f t="shared" si="649"/>
        <v>42909</v>
      </c>
      <c r="GG295" s="535">
        <f t="shared" si="691"/>
        <v>3260</v>
      </c>
      <c r="GH295" s="539">
        <f t="shared" si="650"/>
        <v>43040</v>
      </c>
      <c r="GJ295" s="521">
        <f t="shared" si="651"/>
        <v>0</v>
      </c>
      <c r="GK295" s="535" t="str">
        <f t="shared" si="622"/>
        <v/>
      </c>
      <c r="GL295" s="535">
        <f t="shared" si="652"/>
        <v>0</v>
      </c>
      <c r="GM295" s="535" t="str">
        <f t="shared" si="653"/>
        <v/>
      </c>
      <c r="GN295" s="535">
        <f>IF(GK295="P",Lookup!$M$12,IF(GK295="PP",Lookup!$M$13,IF(GK295="PPP",Lookup!$M$14,IF(GK295="T",Lookup!$M$15,IF(GK295="TP",Lookup!$M$16,IF(GK295="TPP",Lookup!$M$17,IF(GK295="TPPP",Lookup!$M$18,0)))))))*GJ295</f>
        <v>0</v>
      </c>
      <c r="GO295" s="535">
        <f t="shared" si="654"/>
        <v>0</v>
      </c>
      <c r="GP295" s="535">
        <f t="shared" si="623"/>
        <v>184.62914209723533</v>
      </c>
      <c r="GQ295" s="974">
        <f t="shared" si="567"/>
        <v>60.178990253336153</v>
      </c>
      <c r="GR295" s="535"/>
      <c r="GS295" s="535">
        <f t="shared" si="655"/>
        <v>0</v>
      </c>
      <c r="GT295" s="535" t="str">
        <f t="shared" si="656"/>
        <v/>
      </c>
      <c r="GU295" s="535">
        <f>IF(GK295="P",Lookup!$N$12,IF(GK295="PP",Lookup!$N$13,IF(GK295="PPP",Lookup!$N$14,IF(GK295="T",Lookup!$N$15,IF(GK295="TP",Lookup!$N$16,IF(GK295="TPP",Lookup!$N$17,IF(GK295="TPPP",Lookup!$N$18,0)))))))*GJ295</f>
        <v>0</v>
      </c>
      <c r="GV295" s="535">
        <f t="shared" si="657"/>
        <v>0</v>
      </c>
      <c r="GW295" s="535">
        <f t="shared" si="624"/>
        <v>173.60135189606493</v>
      </c>
      <c r="GX295" s="974">
        <f t="shared" si="568"/>
        <v>56.584534516318428</v>
      </c>
      <c r="GY295" s="535"/>
      <c r="GZ295" s="535">
        <f t="shared" si="658"/>
        <v>0</v>
      </c>
      <c r="HA295" s="535" t="str">
        <f t="shared" si="659"/>
        <v/>
      </c>
      <c r="HB295" s="535">
        <f>IF(GK295="P",Lookup!$N$12,IF(GK295="PP",Lookup!$N$13,IF(GK295="PPP",Lookup!$N$14,IF(GK295="T",Lookup!$N$15,IF(GK295="TP",Lookup!$N$16,IF(GK295="TPP",Lookup!$N$17,IF(GK295="TPPP",Lookup!$N$18,0)))))))*GJ295</f>
        <v>0</v>
      </c>
      <c r="HC295" s="521">
        <f t="shared" si="625"/>
        <v>0</v>
      </c>
      <c r="HD295" s="535">
        <f t="shared" si="626"/>
        <v>258.93134696530961</v>
      </c>
      <c r="HE295" s="535">
        <f t="shared" si="662"/>
        <v>84.397440340713686</v>
      </c>
      <c r="HF295" s="535"/>
      <c r="HG295" s="535">
        <f t="shared" si="660"/>
        <v>0</v>
      </c>
      <c r="HH295" s="535" t="str">
        <f t="shared" si="661"/>
        <v/>
      </c>
      <c r="HI295" s="535">
        <f>IF(GK295="P",Lookup!$N$12,IF(GK295="PP",Lookup!$N$13,IF(GK295="PPP",Lookup!$N$14,IF(GK295="T",Lookup!$N$15,IF(GK295="TP",Lookup!$N$16,IF(GK295="TPP",Lookup!$N$17,IF(GK295="TPPP",Lookup!$N$18,0)))))))*GJ295</f>
        <v>0</v>
      </c>
      <c r="HJ295" s="521">
        <f t="shared" si="627"/>
        <v>0</v>
      </c>
      <c r="HK295" s="535">
        <f t="shared" si="628"/>
        <v>272.49424204250897</v>
      </c>
      <c r="HL295" s="535">
        <f t="shared" si="663"/>
        <v>88.818201448014648</v>
      </c>
      <c r="HM295" s="535"/>
      <c r="HN295" s="541"/>
      <c r="HO295" s="541"/>
      <c r="HP295" s="541"/>
      <c r="HQ295" s="541">
        <f>IF(AND(B295&gt;=$FV$4,B295&lt;=$FW$4),MAX(110/1.02+$HQ$6+MIN(113/1.02,G295),IF($HV$6-(Sheet1!DA293-Sheet1!DB293)+MIN(113/1.02,G295)&lt;G295+FL295,$HV$6-(Sheet1!DA293-Sheet1!DB293)+MIN(113/1.02,G295),G295+FL295)),MIN(110/1.02+$HQ$6+113/1.02,G295))</f>
        <v>239.78431372549019</v>
      </c>
      <c r="HR295" s="541">
        <f t="shared" si="679"/>
        <v>244.58</v>
      </c>
      <c r="HS295" s="541">
        <f>HR295+(Sheet1!DA293-Sheet1!DB293)</f>
        <v>380.58000000000004</v>
      </c>
      <c r="HT295" s="541">
        <f t="shared" si="680"/>
        <v>78.725694587155957</v>
      </c>
      <c r="HU295" s="541">
        <f t="shared" si="681"/>
        <v>301.8543054128441</v>
      </c>
      <c r="HV295" s="541">
        <f t="shared" si="682"/>
        <v>0</v>
      </c>
      <c r="HW295" s="533" t="str">
        <f t="shared" si="683"/>
        <v/>
      </c>
      <c r="HX295" s="541">
        <f t="shared" si="684"/>
        <v>281.32279970236641</v>
      </c>
      <c r="HY295" s="541">
        <f>Sheet1!CZ293</f>
        <v>542</v>
      </c>
      <c r="HZ295" s="541">
        <f t="shared" si="685"/>
        <v>20.892886572143457</v>
      </c>
      <c r="IA295" s="541">
        <f t="shared" si="686"/>
        <v>78.725694587155957</v>
      </c>
      <c r="IB295" s="541">
        <f t="shared" si="687"/>
        <v>521.10711342785658</v>
      </c>
      <c r="IC295" s="1019" t="str">
        <f t="shared" si="688"/>
        <v/>
      </c>
      <c r="ID295" s="541">
        <f t="shared" si="689"/>
        <v>442.38141884070063</v>
      </c>
      <c r="IE295" s="541">
        <f>Sheet1!DB293</f>
        <v>425</v>
      </c>
      <c r="IF295" s="533">
        <f>Sheet1!DA293</f>
        <v>561</v>
      </c>
      <c r="IH295" s="541">
        <f>IF(AND($B295&gt;=$GC295,$B295&lt;=$GH295,$DR295&lt;0)+N("only adjusted when pool is drawn down during storage season"),Sheet1!$DB293+$DR295+N("Palmer minus all storage release"),Sheet1!$DB293)</f>
        <v>87.430660614288513</v>
      </c>
      <c r="II295" s="541">
        <f>IF(AND($B295&gt;=$GC295,$B295&lt;=$GH295,$DR295&lt;0)+N("only adjusted when pool is drawn down during storage season"),Sheet1!$DA293+$DR295+N("Auburn minus all storage release"),Sheet1!$DA293)</f>
        <v>223.43066061428851</v>
      </c>
    </row>
    <row r="296" spans="1:243" x14ac:dyDescent="0.25">
      <c r="A296" s="553" t="s">
        <v>7</v>
      </c>
      <c r="B296" s="531">
        <v>43020</v>
      </c>
      <c r="C296" s="536">
        <v>0</v>
      </c>
      <c r="D296" s="506">
        <f t="shared" si="633"/>
        <v>300</v>
      </c>
      <c r="E296" s="506">
        <f t="shared" si="634"/>
        <v>250</v>
      </c>
      <c r="F296" s="506">
        <v>250</v>
      </c>
      <c r="G296" s="535">
        <f>DR296+Sheet1!CZ294</f>
        <v>252.56530509212257</v>
      </c>
      <c r="H296" s="1074">
        <f t="shared" si="690"/>
        <v>0</v>
      </c>
      <c r="I296" s="534">
        <f>IF(Sheet1!DA294&gt;=E296,(Sheet1!DA294-E296+P296)*CFStoMGD,0)</f>
        <v>381.20399942399996</v>
      </c>
      <c r="J296" s="995">
        <f>IF(Sheet1!DB294&gt;=D296,(Sheet1!DB294-D296+P296)*CFStoMGD,0)</f>
        <v>177.58799942399997</v>
      </c>
      <c r="K296" s="818">
        <f t="shared" si="665"/>
        <v>0</v>
      </c>
      <c r="L296" s="535">
        <f>Sheet1!AA294+Sheet1!AB294-Sheet1!L294+(Sheet1!DA294-F296)*CFStoMGD-S296-T296-U296</f>
        <v>367.86846175275679</v>
      </c>
      <c r="M296" s="535">
        <f t="shared" si="569"/>
        <v>166.523377475779</v>
      </c>
      <c r="N296" s="824">
        <f>IF(Sheet1!DA294&gt;=F296,MIN(113*CFStoMGD,MIN(MAX(L296,0),MAX(M296,0))),0)</f>
        <v>73.043199999999999</v>
      </c>
      <c r="O296" s="538">
        <f>Sheet1!AA294+Sheet1!AB294</f>
        <v>62.53</v>
      </c>
      <c r="P296" s="538">
        <f t="shared" si="570"/>
        <v>96.73390999999998</v>
      </c>
      <c r="Q296" s="812">
        <f t="shared" si="666"/>
        <v>49.193261752756825</v>
      </c>
      <c r="R296" s="812">
        <f t="shared" si="635"/>
        <v>13.5</v>
      </c>
      <c r="S296" s="812">
        <f t="shared" si="636"/>
        <v>0</v>
      </c>
      <c r="T296" s="812">
        <f t="shared" si="637"/>
        <v>0</v>
      </c>
      <c r="U296" s="812">
        <f>IF(AND(B296&gt;=FV296,B296&lt;=FW296),ED296+Sheet1!EH294,0)</f>
        <v>13.336738247243179</v>
      </c>
      <c r="V296" s="812"/>
      <c r="W296" s="812">
        <f t="shared" si="638"/>
        <v>0</v>
      </c>
      <c r="X296" s="812">
        <f t="shared" si="639"/>
        <v>0</v>
      </c>
      <c r="Y296" s="812" t="str">
        <f t="shared" si="640"/>
        <v>FALSE</v>
      </c>
      <c r="Z296" s="812">
        <f t="shared" si="641"/>
        <v>62.53</v>
      </c>
      <c r="AA296" s="812">
        <f t="shared" si="642"/>
        <v>62.53</v>
      </c>
      <c r="AB296" s="1059">
        <f t="shared" si="667"/>
        <v>76.101975931514801</v>
      </c>
      <c r="AC296" s="538">
        <f>Sheet1!Y294*MGDtoCFS</f>
        <v>43.733689999999996</v>
      </c>
      <c r="AD296" s="538">
        <f>Sheet1!Z294*MGDtoCFS</f>
        <v>55.692</v>
      </c>
      <c r="AE296" s="538">
        <f>Sheet1!AA294*MGDtoCFS</f>
        <v>43.517109999999995</v>
      </c>
      <c r="AF296" s="538">
        <f>Sheet1!AB294*MGDtoCFS</f>
        <v>53.216799999999992</v>
      </c>
      <c r="AG296" s="538">
        <f>Sheet1!L294*MGDtoCFS</f>
        <v>0</v>
      </c>
      <c r="AH296" s="521">
        <f t="shared" si="571"/>
        <v>13.5</v>
      </c>
      <c r="AI296" s="1059">
        <f t="shared" si="572"/>
        <v>20.884499999999999</v>
      </c>
      <c r="AJ296" s="535">
        <f t="shared" si="573"/>
        <v>0</v>
      </c>
      <c r="AK296" s="535">
        <f t="shared" si="574"/>
        <v>0</v>
      </c>
      <c r="AL296" s="535">
        <f>(VLOOKUP(Sheet1!DC294,hhdcap_wcm,4)-(((VLOOKUP(Sheet1!DC294,hhdcap_wcm,3)-Sheet1!DC294)/(VLOOKUP(Sheet1!DC294,hhdcap_wcm,3)-VLOOKUP(Sheet1!DC294,hhdcap_wcm,1)))*(VLOOKUP(Sheet1!DC294,hhdcap_wcm,4)-VLOOKUP(Sheet1!DC294,hhdcap_wcm,2))))</f>
        <v>11156.80000002489</v>
      </c>
      <c r="AM296" s="535">
        <f t="shared" si="575"/>
        <v>-568.00000000232103</v>
      </c>
      <c r="AN296" s="1035">
        <f t="shared" si="576"/>
        <v>276.47916655838293</v>
      </c>
      <c r="AO296" s="535">
        <f t="shared" si="577"/>
        <v>848.23808300111887</v>
      </c>
      <c r="AP296" s="535">
        <f>Sheet1!BA294+Sheet1!BB294+Sheet1!BN294+CD296</f>
        <v>21.1</v>
      </c>
      <c r="AQ296" s="535">
        <f>Sheet1!BN294+(DO296*Sheet1!BN294)</f>
        <v>21.063261752756819</v>
      </c>
      <c r="AR296" s="535">
        <f>Sheet1!BA294+CD296</f>
        <v>0</v>
      </c>
      <c r="AS296" s="535">
        <f>Sheet1!BA294+Sheet1!BB294+CD296</f>
        <v>0</v>
      </c>
      <c r="AT296" s="649">
        <f>0</f>
        <v>0</v>
      </c>
      <c r="AU296" s="974">
        <f>BA296+MAX(Sheet1!EH294,(O296-Q296-ED296-S296))</f>
        <v>0</v>
      </c>
      <c r="AV296" s="535">
        <f>IF(OR(B296&gt;=GD296,B296&lt;GC296),0,15/36*K296-MAX(0,64.6-(137.6-(Sheet1!AA294+Sheet1!AB294))))</f>
        <v>0</v>
      </c>
      <c r="AW296" s="1029"/>
      <c r="AX296" s="649"/>
      <c r="AY296" s="649">
        <f t="shared" si="668"/>
        <v>23.311716569431731</v>
      </c>
      <c r="AZ296" s="649">
        <f t="shared" si="669"/>
        <v>0</v>
      </c>
      <c r="BA296" s="1059">
        <f t="shared" si="670"/>
        <v>0</v>
      </c>
      <c r="BB296" s="1019">
        <f t="shared" si="578"/>
        <v>60.178990253336153</v>
      </c>
      <c r="BC296" s="1041">
        <f t="shared" si="671"/>
        <v>0</v>
      </c>
      <c r="BD296" s="1019">
        <f ca="1">IF(B296&gt;(Summary!$A$1-1),#N/A,BB296*MGtoAF)</f>
        <v>184.62914209723533</v>
      </c>
      <c r="BE296" s="535">
        <f>Sheet1!BG294+Sheet1!BH294+Sheet1!BI294-BM296</f>
        <v>3.92</v>
      </c>
      <c r="BF296" s="535">
        <f t="shared" si="579"/>
        <v>3.9131746952988968</v>
      </c>
      <c r="BG296" s="535">
        <f>IF(Sheet1!EP294="FM",BM296,0)</f>
        <v>0</v>
      </c>
      <c r="BH296" s="535">
        <f t="shared" si="580"/>
        <v>0</v>
      </c>
      <c r="BI296" s="535">
        <f>IF(Sheet1!EP294="OTHER",BM296,0)</f>
        <v>0</v>
      </c>
      <c r="BJ296" s="535">
        <f t="shared" si="581"/>
        <v>0</v>
      </c>
      <c r="BK296" s="535">
        <f t="shared" si="582"/>
        <v>3.92</v>
      </c>
      <c r="BL296" s="535">
        <f t="shared" si="583"/>
        <v>3.9131746952988968</v>
      </c>
      <c r="BM296" s="535">
        <f>IF(OR(Sheet1!EP294="FM", Sheet1!EP294="OTHER"),SUM(Sheet1!BG294:'Sheet1'!BI294),0)</f>
        <v>0</v>
      </c>
      <c r="BN296" s="521">
        <f>IF(AND($B296&gt;=$FV296,$B296&lt;=$FW296),MAX(BF296,Sheet1!EI294,0),MAX(BF296-(7/36)*$K296,0))</f>
        <v>4</v>
      </c>
      <c r="BO296" s="535">
        <f t="shared" si="584"/>
        <v>0</v>
      </c>
      <c r="BP296" s="521">
        <f t="shared" si="585"/>
        <v>0</v>
      </c>
      <c r="BQ296" s="521">
        <f>IF(AND($O296&gt;0,Sheet1!EM294=1),(1-($O296-Sheet1!$L294)/$O296)*BL296,0)</f>
        <v>0</v>
      </c>
      <c r="BR296" s="521">
        <f>IF(AND(Sheet1!$L294=0,Sheet1!$L293=0, Calculation!BK296&lt;Sheet1!$EI294-0.1,Sheet1!$EI294=Sheet1!$EI293,Sheet1!$EI294=Sheet1!$EI295),BL296-BQ296,BL296-BQ296)</f>
        <v>3.9131746952988968</v>
      </c>
      <c r="BS296" s="1035" t="str">
        <f t="shared" si="672"/>
        <v/>
      </c>
      <c r="BT296" s="1035">
        <f t="shared" si="673"/>
        <v>0</v>
      </c>
      <c r="BU296" s="535">
        <f t="shared" si="586"/>
        <v>52.584534516318428</v>
      </c>
      <c r="BV296" s="535"/>
      <c r="BW296" s="535">
        <f ca="1">IF(B296&gt;(Summary!$A$1-1),#N/A,BU296*MGtoAF)</f>
        <v>161.32935189606494</v>
      </c>
      <c r="BX296" s="535">
        <f>Sheet1!BC294+Sheet1!BD294+Sheet1!BE294+Sheet1!BF294-CG296-CH296</f>
        <v>2.98</v>
      </c>
      <c r="BY296" s="535">
        <f t="shared" si="587"/>
        <v>2.9748113755078349</v>
      </c>
      <c r="BZ296" s="535">
        <f>IF(Sheet1!EQ294="FM",CH296,0)</f>
        <v>0</v>
      </c>
      <c r="CA296" s="535">
        <f t="shared" si="588"/>
        <v>0</v>
      </c>
      <c r="CB296" s="535">
        <f>IF(Sheet1!EQ294="OTHER",CH296,0)</f>
        <v>0</v>
      </c>
      <c r="CC296" s="535">
        <f t="shared" si="589"/>
        <v>0</v>
      </c>
      <c r="CD296" s="535">
        <f t="shared" si="590"/>
        <v>0</v>
      </c>
      <c r="CE296" s="535">
        <f t="shared" si="591"/>
        <v>2.98</v>
      </c>
      <c r="CF296" s="535">
        <f t="shared" si="592"/>
        <v>2.9748113755078349</v>
      </c>
      <c r="CG296" s="535">
        <f>IF(Sheet1!EQ294="CWA",SUM(Sheet1!BC294:'Sheet1'!BF294),0)</f>
        <v>0</v>
      </c>
      <c r="CH296" s="535">
        <f>IF(OR(Sheet1!EQ294="FM", Sheet1!EQ294="OTHER"),SUM(Sheet1!BC294:'Sheet1'!BF294),0)</f>
        <v>0</v>
      </c>
      <c r="CI296" s="521">
        <f>IF(AND($B296&gt;=$FV296,$B296&lt;=$FW296),MAX(CF296,Sheet1!EJ294,0),MAX(CF296-(7/36)*$K296,0))</f>
        <v>3</v>
      </c>
      <c r="CJ296" s="535">
        <f t="shared" si="593"/>
        <v>0</v>
      </c>
      <c r="CK296" s="521">
        <f t="shared" si="594"/>
        <v>0</v>
      </c>
      <c r="CL296" s="521">
        <f>IF(AND($O296&gt;0,Sheet1!EN294=1),(1-($O296-Sheet1!$L294)/$O296)*CF296,0)</f>
        <v>0</v>
      </c>
      <c r="CM296" s="521">
        <f>IF(AND(Sheet1!$L294=0,Sheet1!$L293=0, Calculation!CE296&lt;Sheet1!EJ294-0.1,Sheet1!EJ294=Sheet1!EJ293,Sheet1!EJ294=Sheet1!EJ295),CF296-CL296,CF296-CL296)</f>
        <v>2.9748113755078349</v>
      </c>
      <c r="CN296" s="1040" t="str">
        <f t="shared" si="674"/>
        <v/>
      </c>
      <c r="CO296" s="1035">
        <f t="shared" si="675"/>
        <v>0</v>
      </c>
      <c r="CP296" s="535">
        <f t="shared" si="595"/>
        <v>81.397440340713686</v>
      </c>
      <c r="CQ296" s="535"/>
      <c r="CR296" s="535">
        <f ca="1">IF(B296&gt;(Summary!$A$1-1),#N/A,CP296*MGtoAF)</f>
        <v>249.72734696530961</v>
      </c>
      <c r="CS296" s="535">
        <f>Sheet1!BK294+Sheet1!BL294+Sheet1!BM294-Sheet1!ER294-DA296</f>
        <v>6.46</v>
      </c>
      <c r="CT296" s="535">
        <f t="shared" si="596"/>
        <v>6.4487521764364475</v>
      </c>
      <c r="CU296" s="535">
        <f>IF(Sheet1!ER294="FM",DA296,0)</f>
        <v>0</v>
      </c>
      <c r="CV296" s="535">
        <f t="shared" si="597"/>
        <v>0</v>
      </c>
      <c r="CW296" s="535">
        <f>IF(Sheet1!ER294="OTHER",DA296,0)</f>
        <v>0</v>
      </c>
      <c r="CX296" s="535">
        <f t="shared" si="598"/>
        <v>0</v>
      </c>
      <c r="CY296" s="535">
        <f t="shared" si="694"/>
        <v>6.46</v>
      </c>
      <c r="CZ296" s="535">
        <f t="shared" si="694"/>
        <v>6.4487521764364475</v>
      </c>
      <c r="DA296" s="535">
        <f>IF(OR(Sheet1!ER294="FM", Sheet1!ER294="OTHER"),SUM(Sheet1!BK294:'Sheet1'!BM294),0)</f>
        <v>0</v>
      </c>
      <c r="DB296" s="1011">
        <f>IF(AND($B296&gt;=$FV296,$B296&lt;=$FW296),MAX($CT296,Sheet1!EK294,0),MAX($CT296-(7/36)*$K296,0))</f>
        <v>6.5</v>
      </c>
      <c r="DC296" s="1012">
        <f t="shared" si="601"/>
        <v>0</v>
      </c>
      <c r="DD296" s="1011">
        <f t="shared" si="602"/>
        <v>0</v>
      </c>
      <c r="DE296" s="521">
        <f>IF(AND($O296&gt;0,Sheet1!EO294=1),(1-($O296-Sheet1!$L294)/$O296)*CZ296,0)</f>
        <v>0</v>
      </c>
      <c r="DF296" s="521">
        <f>IF(AND(Sheet1!$L294=0,Sheet1!$L293=0, Calculation!CY296&lt;Sheet1!$EK294-0.1,Sheet1!$EK294=Sheet1!$EK293,Sheet1!$EK294=Sheet1!$EK295),CZ296-DE296,CZ296-DE296)</f>
        <v>6.4487521764364475</v>
      </c>
      <c r="DG296" s="1040">
        <f t="shared" si="676"/>
        <v>0</v>
      </c>
      <c r="DH296" s="649">
        <f t="shared" si="603"/>
        <v>13.36</v>
      </c>
      <c r="DI296" s="535">
        <f t="shared" si="604"/>
        <v>82.318201448014648</v>
      </c>
      <c r="DJ296" s="649">
        <f t="shared" si="605"/>
        <v>13.336738247243179</v>
      </c>
      <c r="DK296" s="535">
        <f ca="1">IF(B296&gt;(Summary!$A$1-1),#N/A,DI296*MGtoAF)</f>
        <v>252.55224204250894</v>
      </c>
      <c r="DL296" s="649">
        <f t="shared" si="606"/>
        <v>13.36</v>
      </c>
      <c r="DM296" s="535">
        <f t="shared" si="607"/>
        <v>34.46</v>
      </c>
      <c r="DN296" s="535">
        <f>Sheet1!AB294-DM296</f>
        <v>-6.0000000000002274E-2</v>
      </c>
      <c r="DO296" s="743">
        <f t="shared" si="608"/>
        <v>-1.7411491584446393E-3</v>
      </c>
      <c r="DP296" s="535">
        <f>(VLOOKUP(Sheet1!DC294,hhdcap_wcm,4)-(((VLOOKUP(Sheet1!DC294,hhdcap_wcm,3)-Sheet1!DC294)/(VLOOKUP(Sheet1!DC294,hhdcap_wcm,3)-VLOOKUP(Sheet1!DC294,hhdcap_wcm,1)))*(VLOOKUP(Sheet1!DC294,hhdcap_wcm,4)-VLOOKUP(Sheet1!DC294,hhdcap_wcm,2))))</f>
        <v>11156.80000002489</v>
      </c>
      <c r="DQ296" s="535">
        <f t="shared" si="609"/>
        <v>-568.00000000232103</v>
      </c>
      <c r="DR296" s="535">
        <f t="shared" si="610"/>
        <v>-286.43469490787743</v>
      </c>
      <c r="DS296" s="535">
        <f>Sheet1!EA294*AFtoMG</f>
        <v>0</v>
      </c>
      <c r="DT296" s="535">
        <f>Sheet1!EB294*AFtoMG</f>
        <v>0</v>
      </c>
      <c r="DU296" s="535">
        <f>Sheet1!EC294*AFtoMG</f>
        <v>0</v>
      </c>
      <c r="DV296" s="535">
        <f>Sheet1!ED294*AFtoMG</f>
        <v>0</v>
      </c>
      <c r="DW296" s="535">
        <f t="shared" si="611"/>
        <v>0</v>
      </c>
      <c r="DX296" s="535">
        <f t="shared" si="612"/>
        <v>0</v>
      </c>
      <c r="DY296" s="535">
        <f t="shared" si="613"/>
        <v>276.47916655838293</v>
      </c>
      <c r="DZ296" s="535">
        <f t="shared" si="614"/>
        <v>848.23808300111887</v>
      </c>
      <c r="EA296" s="535"/>
      <c r="EB296" s="521">
        <f>IF(OR(B296&lt;FV296,B296&gt;FW296),(MIN(BF296+BY296+CT296+MAX(Sheet1!AA294+AQ296-73,0),K296)),0)</f>
        <v>0</v>
      </c>
      <c r="EC296" s="535"/>
      <c r="ED296" s="535">
        <f t="shared" si="615"/>
        <v>13.336738247243179</v>
      </c>
      <c r="EE296" s="535"/>
      <c r="EF296" s="535">
        <f>Sheet1!EH294+Sheet1!EI294+Sheet1!EJ294+Sheet1!EK294</f>
        <v>13.5</v>
      </c>
      <c r="EG296" s="1019">
        <f t="shared" si="677"/>
        <v>20.884499999999999</v>
      </c>
      <c r="EH296" s="521">
        <f t="shared" si="616"/>
        <v>0</v>
      </c>
      <c r="EI296" s="535">
        <f>IF(Sheet1!ET294=1,SUM('Calculations II'!AT296:BA296)+'Calculations II'!BC296+Sheet1!BV294+'Calculations II'!BE296+AP296,'Calculations II'!BK296)</f>
        <v>49.01810175275682</v>
      </c>
      <c r="EJ296" s="535">
        <f ca="1">EI296+'Calculations II'!D296+'Calculations II'!E296+'Calculations II'!O296</f>
        <v>48.75220332884367</v>
      </c>
      <c r="EK296" s="535"/>
      <c r="EL296" s="535"/>
      <c r="EM296" s="535">
        <f t="shared" si="617"/>
        <v>43020</v>
      </c>
      <c r="EN296" s="535">
        <f t="shared" si="618"/>
        <v>-13.5</v>
      </c>
      <c r="EO296" s="535">
        <f t="shared" si="619"/>
        <v>-20.884499999999999</v>
      </c>
      <c r="EP296" s="535">
        <v>0</v>
      </c>
      <c r="EQ296" s="535">
        <v>0</v>
      </c>
      <c r="ER296" s="535">
        <v>0</v>
      </c>
      <c r="ES296" s="521">
        <f t="shared" si="643"/>
        <v>-1.3857258322460764</v>
      </c>
      <c r="ET296" s="535">
        <f>-(VLOOKUP(Sheet1!BQ294,Lookup!$O$4:$Q$262,2)-VLOOKUP(Sheet1!BQ293,Lookup!$O$4:$Q$262,2))/1000000</f>
        <v>-0.83131241983380544</v>
      </c>
      <c r="EU296" s="535">
        <f>-(VLOOKUP(Sheet1!BR294,Lookup!$O$4:$Q$262,3)-VLOOKUP(Sheet1!BR293,Lookup!$O$4:$Q$262,3))/1000000</f>
        <v>-0.55441341241227093</v>
      </c>
      <c r="EV296" s="535"/>
      <c r="EW296" s="535"/>
      <c r="EX296" s="535"/>
      <c r="EY296" s="535"/>
      <c r="EZ296" s="535"/>
      <c r="FA296" s="535"/>
      <c r="FB296" s="535"/>
      <c r="FC296" s="535"/>
      <c r="FD296" s="567">
        <f t="shared" si="693"/>
        <v>1107.8099999999492</v>
      </c>
      <c r="FE296" s="567" t="e">
        <f t="shared" si="620"/>
        <v>#N/A</v>
      </c>
      <c r="FF296" s="568" t="e">
        <f t="shared" si="621"/>
        <v>#N/A</v>
      </c>
      <c r="FG296" s="569" t="s">
        <v>656</v>
      </c>
      <c r="FH296" s="569" t="s">
        <v>656</v>
      </c>
      <c r="FI296" s="567" t="e">
        <v>#N/A</v>
      </c>
      <c r="FJ296" s="725">
        <v>6893</v>
      </c>
      <c r="FK296" s="535"/>
      <c r="FL296" s="1015">
        <f t="shared" si="692"/>
        <v>105.90015128593041</v>
      </c>
      <c r="FM296" s="535"/>
      <c r="FN296" s="535"/>
      <c r="FO296" s="535">
        <f>O296+((Sheet1!CS294)*GPMtoMGD)</f>
        <v>63.798496</v>
      </c>
      <c r="FP296" s="535">
        <f>IF(Sheet1!AA294+AQ296&lt;=Calculation!N296,AQ296,Calculation!N296-Sheet1!AA294)</f>
        <v>21.063261752756819</v>
      </c>
      <c r="FQ296" s="535">
        <f>(Sheet1!BP294+Sheet1!BO294)/694.4</f>
        <v>1.9933755760368665</v>
      </c>
      <c r="FR296" s="541"/>
      <c r="FS296" s="541"/>
      <c r="FT296" s="541"/>
      <c r="FU296" s="541"/>
      <c r="FV296" s="1109">
        <f t="shared" si="644"/>
        <v>42918</v>
      </c>
      <c r="FW296" s="1109">
        <f t="shared" si="645"/>
        <v>43027</v>
      </c>
      <c r="FX296" s="541"/>
      <c r="FY296" s="541">
        <f>Sheet1!DA294-Sheet1!CZ294-Sheet1!AE294</f>
        <v>107.26609000000001</v>
      </c>
      <c r="FZ296" s="535">
        <f t="shared" si="678"/>
        <v>0.42470635450453087</v>
      </c>
      <c r="GA296" s="535"/>
      <c r="GB296" s="535" t="str">
        <f t="shared" si="646"/>
        <v>n</v>
      </c>
      <c r="GC296" s="539">
        <f t="shared" si="647"/>
        <v>42782</v>
      </c>
      <c r="GD296" s="1109">
        <f t="shared" si="648"/>
        <v>42904</v>
      </c>
      <c r="GE296" s="535">
        <f t="shared" si="664"/>
        <v>6520</v>
      </c>
      <c r="GF296" s="1109">
        <f t="shared" si="649"/>
        <v>42909</v>
      </c>
      <c r="GG296" s="535">
        <f t="shared" si="691"/>
        <v>3260</v>
      </c>
      <c r="GH296" s="539">
        <f t="shared" si="650"/>
        <v>43040</v>
      </c>
      <c r="GJ296" s="521">
        <f t="shared" si="651"/>
        <v>0</v>
      </c>
      <c r="GK296" s="535" t="str">
        <f t="shared" si="622"/>
        <v/>
      </c>
      <c r="GL296" s="535">
        <f t="shared" si="652"/>
        <v>0</v>
      </c>
      <c r="GM296" s="535" t="str">
        <f t="shared" si="653"/>
        <v/>
      </c>
      <c r="GN296" s="535">
        <f>IF(GK296="P",Lookup!$M$12,IF(GK296="PP",Lookup!$M$13,IF(GK296="PPP",Lookup!$M$14,IF(GK296="T",Lookup!$M$15,IF(GK296="TP",Lookup!$M$16,IF(GK296="TPP",Lookup!$M$17,IF(GK296="TPPP",Lookup!$M$18,0)))))))*GJ296</f>
        <v>0</v>
      </c>
      <c r="GO296" s="535">
        <f t="shared" si="654"/>
        <v>0</v>
      </c>
      <c r="GP296" s="535">
        <f t="shared" si="623"/>
        <v>184.62914209723533</v>
      </c>
      <c r="GQ296" s="974">
        <f t="shared" si="567"/>
        <v>60.178990253336153</v>
      </c>
      <c r="GR296" s="535"/>
      <c r="GS296" s="535">
        <f t="shared" si="655"/>
        <v>0</v>
      </c>
      <c r="GT296" s="535" t="str">
        <f t="shared" si="656"/>
        <v/>
      </c>
      <c r="GU296" s="535">
        <f>IF(GK296="P",Lookup!$N$12,IF(GK296="PP",Lookup!$N$13,IF(GK296="PPP",Lookup!$N$14,IF(GK296="T",Lookup!$N$15,IF(GK296="TP",Lookup!$N$16,IF(GK296="TPP",Lookup!$N$17,IF(GK296="TPPP",Lookup!$N$18,0)))))))*GJ296</f>
        <v>0</v>
      </c>
      <c r="GV296" s="535">
        <f t="shared" si="657"/>
        <v>0</v>
      </c>
      <c r="GW296" s="535">
        <f t="shared" si="624"/>
        <v>161.32935189606494</v>
      </c>
      <c r="GX296" s="974">
        <f t="shared" si="568"/>
        <v>52.584534516318428</v>
      </c>
      <c r="GY296" s="535"/>
      <c r="GZ296" s="535">
        <f t="shared" si="658"/>
        <v>0</v>
      </c>
      <c r="HA296" s="535" t="str">
        <f t="shared" si="659"/>
        <v/>
      </c>
      <c r="HB296" s="535">
        <f>IF(GK296="P",Lookup!$N$12,IF(GK296="PP",Lookup!$N$13,IF(GK296="PPP",Lookup!$N$14,IF(GK296="T",Lookup!$N$15,IF(GK296="TP",Lookup!$N$16,IF(GK296="TPP",Lookup!$N$17,IF(GK296="TPPP",Lookup!$N$18,0)))))))*GJ296</f>
        <v>0</v>
      </c>
      <c r="HC296" s="521">
        <f t="shared" si="625"/>
        <v>0</v>
      </c>
      <c r="HD296" s="535">
        <f t="shared" si="626"/>
        <v>249.72734696530961</v>
      </c>
      <c r="HE296" s="535">
        <f t="shared" si="662"/>
        <v>81.397440340713686</v>
      </c>
      <c r="HF296" s="535"/>
      <c r="HG296" s="535">
        <f t="shared" si="660"/>
        <v>0</v>
      </c>
      <c r="HH296" s="535" t="str">
        <f t="shared" si="661"/>
        <v/>
      </c>
      <c r="HI296" s="535">
        <f>IF(GK296="P",Lookup!$N$12,IF(GK296="PP",Lookup!$N$13,IF(GK296="PPP",Lookup!$N$14,IF(GK296="T",Lookup!$N$15,IF(GK296="TP",Lookup!$N$16,IF(GK296="TPP",Lookup!$N$17,IF(GK296="TPPP",Lookup!$N$18,0)))))))*GJ296</f>
        <v>0</v>
      </c>
      <c r="HJ296" s="521">
        <f t="shared" si="627"/>
        <v>0</v>
      </c>
      <c r="HK296" s="535">
        <f t="shared" si="628"/>
        <v>252.55224204250894</v>
      </c>
      <c r="HL296" s="535">
        <f t="shared" si="663"/>
        <v>82.318201448014648</v>
      </c>
      <c r="HM296" s="535"/>
      <c r="HN296" s="541"/>
      <c r="HO296" s="541"/>
      <c r="HP296" s="541"/>
      <c r="HQ296" s="541">
        <f>IF(AND(B296&gt;=$FV$4,B296&lt;=$FW$4),MAX(110/1.02+$HQ$6+MIN(113/1.02,G296),IF($HV$6-(Sheet1!DA294-Sheet1!DB294)+MIN(113/1.02,G296)&lt;G296+FL296,$HV$6-(Sheet1!DA294-Sheet1!DB294)+MIN(113/1.02,G296),G296+FL296)),MIN(110/1.02+$HQ$6+113/1.02,G296))</f>
        <v>218.62745098039215</v>
      </c>
      <c r="HR296" s="541">
        <f t="shared" si="679"/>
        <v>223</v>
      </c>
      <c r="HS296" s="541">
        <f>HR296+(Sheet1!DA294-Sheet1!DB294)</f>
        <v>488</v>
      </c>
      <c r="HT296" s="541">
        <f t="shared" si="680"/>
        <v>76.101975931514801</v>
      </c>
      <c r="HU296" s="541">
        <f t="shared" si="681"/>
        <v>411.8980240684852</v>
      </c>
      <c r="HV296" s="541">
        <f t="shared" si="682"/>
        <v>0</v>
      </c>
      <c r="HW296" s="533" t="str">
        <f t="shared" si="683"/>
        <v/>
      </c>
      <c r="HX296" s="541">
        <f t="shared" si="684"/>
        <v>299.48804901960784</v>
      </c>
      <c r="HY296" s="541">
        <f>Sheet1!CZ294</f>
        <v>539</v>
      </c>
      <c r="HZ296" s="541">
        <f t="shared" si="685"/>
        <v>20.884499999999999</v>
      </c>
      <c r="IA296" s="541">
        <f t="shared" si="686"/>
        <v>76.101975931514801</v>
      </c>
      <c r="IB296" s="541">
        <f t="shared" si="687"/>
        <v>518.1155</v>
      </c>
      <c r="IC296" s="1019" t="str">
        <f t="shared" si="688"/>
        <v/>
      </c>
      <c r="ID296" s="541">
        <f t="shared" si="689"/>
        <v>442.0135240684852</v>
      </c>
      <c r="IE296" s="541">
        <f>Sheet1!DB294</f>
        <v>478</v>
      </c>
      <c r="IF296" s="533">
        <f>Sheet1!DA294</f>
        <v>743</v>
      </c>
      <c r="IH296" s="541">
        <f>IF(AND($B296&gt;=$GC296,$B296&lt;=$GH296,$DR296&lt;0)+N("only adjusted when pool is drawn down during storage season"),Sheet1!$DB294+$DR296+N("Palmer minus all storage release"),Sheet1!$DB294)</f>
        <v>191.56530509212257</v>
      </c>
      <c r="II296" s="541">
        <f>IF(AND($B296&gt;=$GC296,$B296&lt;=$GH296,$DR296&lt;0)+N("only adjusted when pool is drawn down during storage season"),Sheet1!$DA294+$DR296+N("Auburn minus all storage release"),Sheet1!$DA294)</f>
        <v>456.56530509212257</v>
      </c>
    </row>
    <row r="297" spans="1:243" x14ac:dyDescent="0.25">
      <c r="A297" s="553" t="s">
        <v>8</v>
      </c>
      <c r="B297" s="531">
        <v>43021</v>
      </c>
      <c r="C297" s="536">
        <v>0</v>
      </c>
      <c r="D297" s="506">
        <f t="shared" si="633"/>
        <v>300</v>
      </c>
      <c r="E297" s="506">
        <f t="shared" si="634"/>
        <v>250</v>
      </c>
      <c r="F297" s="506">
        <v>250</v>
      </c>
      <c r="G297" s="535">
        <f>DR297+Sheet1!CZ295</f>
        <v>434.9838628343</v>
      </c>
      <c r="H297" s="1074">
        <f t="shared" si="690"/>
        <v>83.612397736091509</v>
      </c>
      <c r="I297" s="534">
        <f>IF(Sheet1!DA295&gt;=E297,(Sheet1!DA295-E297+P297)*CFStoMGD,0)</f>
        <v>346.70762879999995</v>
      </c>
      <c r="J297" s="995">
        <f>IF(Sheet1!DB295&gt;=D297,(Sheet1!DB295-D297+P297)*CFStoMGD,0)</f>
        <v>145.67722879999999</v>
      </c>
      <c r="K297" s="818">
        <f t="shared" si="665"/>
        <v>64.64</v>
      </c>
      <c r="L297" s="535">
        <f>Sheet1!AA295+Sheet1!AB295-Sheet1!L295+(Sheet1!DA295-F297)*CFStoMGD-S297-T297-U297</f>
        <v>333.26149860521525</v>
      </c>
      <c r="M297" s="535">
        <f t="shared" si="569"/>
        <v>286.79704031481339</v>
      </c>
      <c r="N297" s="824">
        <f>IF(Sheet1!DA295&gt;=F297,MIN(113*CFStoMGD,MIN(MAX(L297,0),MAX(M297,0))),0)</f>
        <v>73.043199999999999</v>
      </c>
      <c r="O297" s="538">
        <f>Sheet1!AA295+Sheet1!AB295</f>
        <v>61</v>
      </c>
      <c r="P297" s="538">
        <f t="shared" si="570"/>
        <v>94.36699999999999</v>
      </c>
      <c r="Q297" s="812">
        <f t="shared" si="666"/>
        <v>47.552698605215284</v>
      </c>
      <c r="R297" s="812">
        <f t="shared" si="635"/>
        <v>13.5</v>
      </c>
      <c r="S297" s="812">
        <f t="shared" si="636"/>
        <v>0</v>
      </c>
      <c r="T297" s="812">
        <f t="shared" si="637"/>
        <v>0</v>
      </c>
      <c r="U297" s="812">
        <f>IF(AND(B297&gt;=FV297,B297&lt;=FW297),ED297+Sheet1!EH295,0)</f>
        <v>13.447301394784716</v>
      </c>
      <c r="V297" s="812"/>
      <c r="W297" s="812">
        <f t="shared" si="638"/>
        <v>51.192698605215284</v>
      </c>
      <c r="X297" s="812">
        <f t="shared" si="639"/>
        <v>0</v>
      </c>
      <c r="Y297" s="812" t="str">
        <f t="shared" si="640"/>
        <v/>
      </c>
      <c r="Z297" s="812">
        <f t="shared" si="641"/>
        <v>61</v>
      </c>
      <c r="AA297" s="812">
        <f t="shared" si="642"/>
        <v>61</v>
      </c>
      <c r="AB297" s="1059">
        <f t="shared" si="667"/>
        <v>73.564024742268046</v>
      </c>
      <c r="AC297" s="538">
        <f>Sheet1!Y295*MGDtoCFS</f>
        <v>43.517109999999995</v>
      </c>
      <c r="AD297" s="538">
        <f>Sheet1!Z295*MGDtoCFS</f>
        <v>53.216799999999992</v>
      </c>
      <c r="AE297" s="538">
        <f>Sheet1!AA295*MGDtoCFS</f>
        <v>43.470700000000001</v>
      </c>
      <c r="AF297" s="538">
        <f>Sheet1!AB295*MGDtoCFS</f>
        <v>50.896299999999997</v>
      </c>
      <c r="AG297" s="538">
        <f>Sheet1!L295*MGDtoCFS</f>
        <v>0</v>
      </c>
      <c r="AH297" s="521">
        <f t="shared" si="571"/>
        <v>13.554063068526379</v>
      </c>
      <c r="AI297" s="1059">
        <f t="shared" si="572"/>
        <v>20.968135567010307</v>
      </c>
      <c r="AJ297" s="535">
        <f t="shared" si="573"/>
        <v>0</v>
      </c>
      <c r="AK297" s="535">
        <f t="shared" si="574"/>
        <v>0</v>
      </c>
      <c r="AL297" s="535">
        <f>(VLOOKUP(Sheet1!DC295,hhdcap_wcm,4)-(((VLOOKUP(Sheet1!DC295,hhdcap_wcm,3)-Sheet1!DC295)/(VLOOKUP(Sheet1!DC295,hhdcap_wcm,3)-VLOOKUP(Sheet1!DC295,hhdcap_wcm,1)))*(VLOOKUP(Sheet1!DC295,hhdcap_wcm,4)-VLOOKUP(Sheet1!DC295,hhdcap_wcm,2))))</f>
        <v>10966.400000025307</v>
      </c>
      <c r="AM297" s="535">
        <f t="shared" si="575"/>
        <v>-190.39999999958309</v>
      </c>
      <c r="AN297" s="1035">
        <f t="shared" si="576"/>
        <v>262.92510348985655</v>
      </c>
      <c r="AO297" s="535">
        <f t="shared" si="577"/>
        <v>806.65421750687995</v>
      </c>
      <c r="AP297" s="535">
        <f>Sheet1!BA295+Sheet1!BB295+Sheet1!BN295+CD297</f>
        <v>19.5</v>
      </c>
      <c r="AQ297" s="535">
        <f>Sheet1!BN295+(DO297*Sheet1!BN295)</f>
        <v>19.452698605215279</v>
      </c>
      <c r="AR297" s="535">
        <f>Sheet1!BA295+CD297</f>
        <v>0</v>
      </c>
      <c r="AS297" s="535">
        <f>Sheet1!BA295+Sheet1!BB295+CD297</f>
        <v>0</v>
      </c>
      <c r="AT297" s="649">
        <f>0</f>
        <v>0</v>
      </c>
      <c r="AU297" s="974">
        <f>BA297+MAX(Sheet1!EH295,(O297-Q297-ED297-S297))</f>
        <v>0</v>
      </c>
      <c r="AV297" s="535">
        <f>IF(OR(B297&gt;=GD297,B297&lt;GC297),0,15/36*K297-MAX(0,64.6-(137.6-(Sheet1!AA295+Sheet1!AB295))))</f>
        <v>0</v>
      </c>
      <c r="AW297" s="1029"/>
      <c r="AX297" s="649"/>
      <c r="AY297" s="649">
        <f t="shared" si="668"/>
        <v>23.311716569431731</v>
      </c>
      <c r="AZ297" s="649">
        <f t="shared" si="669"/>
        <v>0</v>
      </c>
      <c r="BA297" s="1059">
        <f t="shared" si="670"/>
        <v>0</v>
      </c>
      <c r="BB297" s="1019">
        <f t="shared" si="578"/>
        <v>60.178990253336153</v>
      </c>
      <c r="BC297" s="1041">
        <f t="shared" si="671"/>
        <v>26.933333333333334</v>
      </c>
      <c r="BD297" s="1019">
        <f ca="1">IF(B297&gt;(Summary!$A$1-1),#N/A,BB297*MGtoAF)</f>
        <v>184.62914209723533</v>
      </c>
      <c r="BE297" s="535">
        <f>Sheet1!BG295+Sheet1!BH295+Sheet1!BI295-BM297</f>
        <v>3.9299999999999997</v>
      </c>
      <c r="BF297" s="535">
        <f t="shared" si="579"/>
        <v>3.9204669496664635</v>
      </c>
      <c r="BG297" s="535">
        <f>IF(Sheet1!EP295="FM",BM297,0)</f>
        <v>0</v>
      </c>
      <c r="BH297" s="535">
        <f t="shared" si="580"/>
        <v>0</v>
      </c>
      <c r="BI297" s="535">
        <f>IF(Sheet1!EP295="OTHER",BM297,0)</f>
        <v>0</v>
      </c>
      <c r="BJ297" s="535">
        <f t="shared" si="581"/>
        <v>0</v>
      </c>
      <c r="BK297" s="535">
        <f t="shared" si="582"/>
        <v>3.9299999999999997</v>
      </c>
      <c r="BL297" s="535">
        <f t="shared" si="583"/>
        <v>3.9204669496664635</v>
      </c>
      <c r="BM297" s="535">
        <f>IF(OR(Sheet1!EP295="FM", Sheet1!EP295="OTHER"),SUM(Sheet1!BG295:'Sheet1'!BI295),0)</f>
        <v>0</v>
      </c>
      <c r="BN297" s="521">
        <f>IF(AND($B297&gt;=$FV297,$B297&lt;=$FW297),MAX(BF297,Sheet1!EI295,0),MAX(BF297-(7/36)*$K297,0))</f>
        <v>4</v>
      </c>
      <c r="BO297" s="535">
        <f t="shared" si="584"/>
        <v>0</v>
      </c>
      <c r="BP297" s="521">
        <f t="shared" si="585"/>
        <v>0</v>
      </c>
      <c r="BQ297" s="521">
        <f>IF(AND($O297&gt;0,Sheet1!EM295=1),(1-($O297-Sheet1!$L295)/$O297)*BL297,0)</f>
        <v>0</v>
      </c>
      <c r="BR297" s="521">
        <f>IF(AND(Sheet1!$L295=0,Sheet1!$L294=0, Calculation!BK297&lt;Sheet1!$EI295-0.1,Sheet1!$EI295=Sheet1!$EI294,Sheet1!$EI295=Sheet1!$EI296),BL297-BQ297,BL297-BQ297)</f>
        <v>3.9204669496664635</v>
      </c>
      <c r="BS297" s="1035" t="str">
        <f t="shared" si="672"/>
        <v/>
      </c>
      <c r="BT297" s="1035">
        <f t="shared" si="673"/>
        <v>12.568888888888889</v>
      </c>
      <c r="BU297" s="535">
        <f t="shared" si="586"/>
        <v>48.584534516318428</v>
      </c>
      <c r="BV297" s="535"/>
      <c r="BW297" s="535">
        <f ca="1">IF(B297&gt;(Summary!$A$1-1),#N/A,BU297*MGtoAF)</f>
        <v>149.05735189606494</v>
      </c>
      <c r="BX297" s="535">
        <f>Sheet1!BC295+Sheet1!BD295+Sheet1!BE295+Sheet1!BF295-CG297-CH297</f>
        <v>2.98</v>
      </c>
      <c r="BY297" s="535">
        <f t="shared" si="587"/>
        <v>2.9727713765918735</v>
      </c>
      <c r="BZ297" s="535">
        <f>IF(Sheet1!EQ295="FM",CH297,0)</f>
        <v>0</v>
      </c>
      <c r="CA297" s="535">
        <f t="shared" si="588"/>
        <v>0</v>
      </c>
      <c r="CB297" s="535">
        <f>IF(Sheet1!EQ295="OTHER",CH297,0)</f>
        <v>0</v>
      </c>
      <c r="CC297" s="535">
        <f t="shared" si="589"/>
        <v>0</v>
      </c>
      <c r="CD297" s="535">
        <f t="shared" si="590"/>
        <v>0</v>
      </c>
      <c r="CE297" s="535">
        <f t="shared" si="591"/>
        <v>2.98</v>
      </c>
      <c r="CF297" s="535">
        <f t="shared" si="592"/>
        <v>2.9727713765918735</v>
      </c>
      <c r="CG297" s="535">
        <f>IF(Sheet1!EQ295="CWA",SUM(Sheet1!BC295:'Sheet1'!BF295),0)</f>
        <v>0</v>
      </c>
      <c r="CH297" s="535">
        <f>IF(OR(Sheet1!EQ295="FM", Sheet1!EQ295="OTHER"),SUM(Sheet1!BC295:'Sheet1'!BF295),0)</f>
        <v>0</v>
      </c>
      <c r="CI297" s="521">
        <f>IF(AND($B297&gt;=$FV297,$B297&lt;=$FW297),MAX(CF297,Sheet1!EJ295,0),MAX(CF297-(7/36)*$K297,0))</f>
        <v>3</v>
      </c>
      <c r="CJ297" s="535">
        <f t="shared" si="593"/>
        <v>0</v>
      </c>
      <c r="CK297" s="521">
        <f t="shared" si="594"/>
        <v>0</v>
      </c>
      <c r="CL297" s="521">
        <f>IF(AND($O297&gt;0,Sheet1!EN295=1),(1-($O297-Sheet1!$L295)/$O297)*CF297,0)</f>
        <v>0</v>
      </c>
      <c r="CM297" s="521">
        <f>IF(AND(Sheet1!$L295=0,Sheet1!$L294=0, Calculation!CE297&lt;Sheet1!EJ295-0.1,Sheet1!EJ295=Sheet1!EJ294,Sheet1!EJ295=Sheet1!EJ296),CF297-CL297,CF297-CL297)</f>
        <v>2.9727713765918735</v>
      </c>
      <c r="CN297" s="1040" t="str">
        <f t="shared" si="674"/>
        <v/>
      </c>
      <c r="CO297" s="1035">
        <f t="shared" si="675"/>
        <v>12.568888888888889</v>
      </c>
      <c r="CP297" s="535">
        <f t="shared" si="595"/>
        <v>78.397440340713686</v>
      </c>
      <c r="CQ297" s="535"/>
      <c r="CR297" s="535">
        <f ca="1">IF(B297&gt;(Summary!$A$1-1),#N/A,CP297*MGtoAF)</f>
        <v>240.5233469653096</v>
      </c>
      <c r="CS297" s="535">
        <f>Sheet1!BK295+Sheet1!BL295+Sheet1!BM295-Sheet1!ER295-DA297</f>
        <v>6.57</v>
      </c>
      <c r="CT297" s="535">
        <f t="shared" si="596"/>
        <v>6.5540630685263785</v>
      </c>
      <c r="CU297" s="535">
        <f>IF(Sheet1!ER295="FM",DA297,0)</f>
        <v>0</v>
      </c>
      <c r="CV297" s="535">
        <f t="shared" si="597"/>
        <v>0</v>
      </c>
      <c r="CW297" s="535">
        <f>IF(Sheet1!ER295="OTHER",DA297,0)</f>
        <v>0</v>
      </c>
      <c r="CX297" s="535">
        <f t="shared" si="598"/>
        <v>0</v>
      </c>
      <c r="CY297" s="535">
        <f t="shared" si="694"/>
        <v>6.57</v>
      </c>
      <c r="CZ297" s="535">
        <f t="shared" si="694"/>
        <v>6.5540630685263785</v>
      </c>
      <c r="DA297" s="535">
        <f>IF(OR(Sheet1!ER295="FM", Sheet1!ER295="OTHER"),SUM(Sheet1!BK295:'Sheet1'!BM295),0)</f>
        <v>0</v>
      </c>
      <c r="DB297" s="1011">
        <f>IF(AND($B297&gt;=$FV297,$B297&lt;=$FW297),MAX($CT297,Sheet1!EK295,0),MAX($CT297-(7/36)*$K297,0))</f>
        <v>6.5540630685263785</v>
      </c>
      <c r="DC297" s="1012">
        <f t="shared" si="601"/>
        <v>0</v>
      </c>
      <c r="DD297" s="1011">
        <f t="shared" si="602"/>
        <v>0</v>
      </c>
      <c r="DE297" s="521">
        <f>IF(AND($O297&gt;0,Sheet1!EO295=1),(1-($O297-Sheet1!$L295)/$O297)*CZ297,0)</f>
        <v>0</v>
      </c>
      <c r="DF297" s="521">
        <f>IF(AND(Sheet1!$L295=0,Sheet1!$L294=0, Calculation!CY297&lt;Sheet1!$EK295-0.1,Sheet1!$EK295=Sheet1!$EK294,Sheet1!$EK295=Sheet1!$EK296),CZ297-DE297,CZ297-DE297)</f>
        <v>6.5540630685263785</v>
      </c>
      <c r="DG297" s="1040">
        <f t="shared" si="676"/>
        <v>12.568888888888889</v>
      </c>
      <c r="DH297" s="649">
        <f t="shared" si="603"/>
        <v>13.48</v>
      </c>
      <c r="DI297" s="535">
        <f t="shared" si="604"/>
        <v>75.764138379488273</v>
      </c>
      <c r="DJ297" s="649">
        <f t="shared" si="605"/>
        <v>13.447301394784716</v>
      </c>
      <c r="DK297" s="535">
        <f ca="1">IF(B297&gt;(Summary!$A$1-1),#N/A,DI297*MGtoAF)</f>
        <v>232.44437654827001</v>
      </c>
      <c r="DL297" s="649">
        <f t="shared" si="606"/>
        <v>13.48</v>
      </c>
      <c r="DM297" s="535">
        <f t="shared" si="607"/>
        <v>32.980000000000004</v>
      </c>
      <c r="DN297" s="535">
        <f>Sheet1!AB295-DM297</f>
        <v>-8.00000000000054E-2</v>
      </c>
      <c r="DO297" s="743">
        <f t="shared" si="608"/>
        <v>-2.4257125530626257E-3</v>
      </c>
      <c r="DP297" s="535">
        <f>(VLOOKUP(Sheet1!DC295,hhdcap_wcm,4)-(((VLOOKUP(Sheet1!DC295,hhdcap_wcm,3)-Sheet1!DC295)/(VLOOKUP(Sheet1!DC295,hhdcap_wcm,3)-VLOOKUP(Sheet1!DC295,hhdcap_wcm,1)))*(VLOOKUP(Sheet1!DC295,hhdcap_wcm,4)-VLOOKUP(Sheet1!DC295,hhdcap_wcm,2))))</f>
        <v>10966.400000025307</v>
      </c>
      <c r="DQ297" s="535">
        <f t="shared" si="609"/>
        <v>-190.39999999958309</v>
      </c>
      <c r="DR297" s="535">
        <f t="shared" si="610"/>
        <v>-96.016137165699988</v>
      </c>
      <c r="DS297" s="535">
        <f>Sheet1!EA295*AFtoMG</f>
        <v>0</v>
      </c>
      <c r="DT297" s="535">
        <f>Sheet1!EB295*AFtoMG</f>
        <v>0</v>
      </c>
      <c r="DU297" s="535">
        <f>Sheet1!EC295*AFtoMG</f>
        <v>0</v>
      </c>
      <c r="DV297" s="535">
        <f>Sheet1!ED295*AFtoMG</f>
        <v>0</v>
      </c>
      <c r="DW297" s="535">
        <f t="shared" si="611"/>
        <v>0</v>
      </c>
      <c r="DX297" s="535">
        <f t="shared" si="612"/>
        <v>0</v>
      </c>
      <c r="DY297" s="535">
        <f t="shared" si="613"/>
        <v>262.92510348985655</v>
      </c>
      <c r="DZ297" s="535">
        <f t="shared" si="614"/>
        <v>806.65421750687995</v>
      </c>
      <c r="EA297" s="535"/>
      <c r="EB297" s="521">
        <f>IF(OR(B297&lt;FV297,B297&gt;FW297),(MIN(BF297+BY297+CT297+MAX(Sheet1!AA295+AQ297-73,0),K297)),0)</f>
        <v>0</v>
      </c>
      <c r="EC297" s="535"/>
      <c r="ED297" s="535">
        <f t="shared" si="615"/>
        <v>13.447301394784716</v>
      </c>
      <c r="EE297" s="535"/>
      <c r="EF297" s="535">
        <f>Sheet1!EH295+Sheet1!EI295+Sheet1!EJ295+Sheet1!EK295</f>
        <v>13.5</v>
      </c>
      <c r="EG297" s="1019">
        <f t="shared" si="677"/>
        <v>20.884499999999999</v>
      </c>
      <c r="EH297" s="521">
        <f t="shared" si="616"/>
        <v>0</v>
      </c>
      <c r="EI297" s="535">
        <f>IF(Sheet1!ET295=1,SUM('Calculations II'!AT297:BA297)+'Calculations II'!BC297+Sheet1!BV295+'Calculations II'!BE297+AP297,'Calculations II'!BK297)</f>
        <v>47.525630605215284</v>
      </c>
      <c r="EJ297" s="535">
        <f ca="1">EI297+'Calculations II'!D297+'Calculations II'!E297+'Calculations II'!O297</f>
        <v>49.783889754088328</v>
      </c>
      <c r="EK297" s="535"/>
      <c r="EL297" s="535"/>
      <c r="EM297" s="535">
        <f t="shared" si="617"/>
        <v>43021</v>
      </c>
      <c r="EN297" s="535">
        <f t="shared" si="618"/>
        <v>-13.554063068526379</v>
      </c>
      <c r="EO297" s="535">
        <f t="shared" si="619"/>
        <v>-20.968135567010307</v>
      </c>
      <c r="EP297" s="535">
        <v>0</v>
      </c>
      <c r="EQ297" s="535">
        <v>0</v>
      </c>
      <c r="ER297" s="535">
        <v>0</v>
      </c>
      <c r="ES297" s="521">
        <f t="shared" si="643"/>
        <v>-0.55440059381578122</v>
      </c>
      <c r="ET297" s="535">
        <f>-(VLOOKUP(Sheet1!BQ295,Lookup!$O$4:$Q$262,2)-VLOOKUP(Sheet1!BQ294,Lookup!$O$4:$Q$262,2))/1000000</f>
        <v>-0.27715542043960095</v>
      </c>
      <c r="EU297" s="535">
        <f>-(VLOOKUP(Sheet1!BR295,Lookup!$O$4:$Q$262,3)-VLOOKUP(Sheet1!BR294,Lookup!$O$4:$Q$262,3))/1000000</f>
        <v>-0.27724517337618021</v>
      </c>
      <c r="EV297" s="535"/>
      <c r="EW297" s="535"/>
      <c r="EX297" s="535"/>
      <c r="EY297" s="535"/>
      <c r="EZ297" s="535"/>
      <c r="FA297" s="535"/>
      <c r="FB297" s="535"/>
      <c r="FC297" s="535"/>
      <c r="FD297" s="567">
        <f t="shared" si="693"/>
        <v>1107.1133333332832</v>
      </c>
      <c r="FE297" s="567" t="e">
        <f t="shared" si="620"/>
        <v>#N/A</v>
      </c>
      <c r="FF297" s="568" t="e">
        <f t="shared" si="621"/>
        <v>#N/A</v>
      </c>
      <c r="FG297" s="569" t="s">
        <v>656</v>
      </c>
      <c r="FH297" s="569" t="s">
        <v>656</v>
      </c>
      <c r="FI297" s="567" t="e">
        <v>#N/A</v>
      </c>
      <c r="FJ297" s="725">
        <v>6683</v>
      </c>
      <c r="FK297" s="535"/>
      <c r="FL297" s="1015">
        <f t="shared" si="692"/>
        <v>105.3958648512355</v>
      </c>
      <c r="FM297" s="535"/>
      <c r="FN297" s="535"/>
      <c r="FO297" s="535">
        <f>O297+((Sheet1!CS295)*GPMtoMGD)</f>
        <v>61.686736000000003</v>
      </c>
      <c r="FP297" s="535">
        <f>IF(Sheet1!AA295+AQ297&lt;=Calculation!N297,AQ297,Calculation!N297-Sheet1!AA295)</f>
        <v>19.452698605215279</v>
      </c>
      <c r="FQ297" s="535">
        <f>(Sheet1!BP295+Sheet1!BO295)/694.4</f>
        <v>1.4517569124423961</v>
      </c>
      <c r="FR297" s="541"/>
      <c r="FS297" s="541"/>
      <c r="FT297" s="541"/>
      <c r="FU297" s="541"/>
      <c r="FV297" s="1109">
        <f t="shared" si="644"/>
        <v>42918</v>
      </c>
      <c r="FW297" s="1109">
        <f t="shared" si="645"/>
        <v>43027</v>
      </c>
      <c r="FX297" s="541"/>
      <c r="FY297" s="541">
        <f>Sheet1!DA295-Sheet1!CZ295-Sheet1!AE295</f>
        <v>66.63300000000001</v>
      </c>
      <c r="FZ297" s="535">
        <f t="shared" si="678"/>
        <v>0.15318499303819638</v>
      </c>
      <c r="GA297" s="535"/>
      <c r="GB297" s="535" t="str">
        <f t="shared" si="646"/>
        <v>n</v>
      </c>
      <c r="GC297" s="539">
        <f t="shared" si="647"/>
        <v>42782</v>
      </c>
      <c r="GD297" s="1109">
        <f t="shared" si="648"/>
        <v>42904</v>
      </c>
      <c r="GE297" s="535">
        <f t="shared" si="664"/>
        <v>6520</v>
      </c>
      <c r="GF297" s="1109">
        <f t="shared" si="649"/>
        <v>42909</v>
      </c>
      <c r="GG297" s="535">
        <f t="shared" si="691"/>
        <v>3260</v>
      </c>
      <c r="GH297" s="539">
        <f t="shared" si="650"/>
        <v>43040</v>
      </c>
      <c r="GJ297" s="521">
        <f t="shared" si="651"/>
        <v>0</v>
      </c>
      <c r="GK297" s="535" t="str">
        <f t="shared" si="622"/>
        <v/>
      </c>
      <c r="GL297" s="535">
        <f t="shared" si="652"/>
        <v>0</v>
      </c>
      <c r="GM297" s="535" t="str">
        <f t="shared" si="653"/>
        <v/>
      </c>
      <c r="GN297" s="535">
        <f>IF(GK297="P",Lookup!$M$12,IF(GK297="PP",Lookup!$M$13,IF(GK297="PPP",Lookup!$M$14,IF(GK297="T",Lookup!$M$15,IF(GK297="TP",Lookup!$M$16,IF(GK297="TPP",Lookup!$M$17,IF(GK297="TPPP",Lookup!$M$18,0)))))))*GJ297</f>
        <v>0</v>
      </c>
      <c r="GO297" s="535">
        <f t="shared" si="654"/>
        <v>0</v>
      </c>
      <c r="GP297" s="535">
        <f t="shared" si="623"/>
        <v>184.62914209723533</v>
      </c>
      <c r="GQ297" s="974">
        <f t="shared" si="567"/>
        <v>60.178990253336153</v>
      </c>
      <c r="GR297" s="535"/>
      <c r="GS297" s="535">
        <f t="shared" si="655"/>
        <v>0</v>
      </c>
      <c r="GT297" s="535" t="str">
        <f t="shared" si="656"/>
        <v/>
      </c>
      <c r="GU297" s="535">
        <f>IF(GK297="P",Lookup!$N$12,IF(GK297="PP",Lookup!$N$13,IF(GK297="PPP",Lookup!$N$14,IF(GK297="T",Lookup!$N$15,IF(GK297="TP",Lookup!$N$16,IF(GK297="TPP",Lookup!$N$17,IF(GK297="TPPP",Lookup!$N$18,0)))))))*GJ297</f>
        <v>0</v>
      </c>
      <c r="GV297" s="535">
        <f t="shared" si="657"/>
        <v>0</v>
      </c>
      <c r="GW297" s="535">
        <f t="shared" si="624"/>
        <v>149.05735189606494</v>
      </c>
      <c r="GX297" s="974">
        <f t="shared" si="568"/>
        <v>48.584534516318428</v>
      </c>
      <c r="GY297" s="535"/>
      <c r="GZ297" s="535">
        <f t="shared" si="658"/>
        <v>0</v>
      </c>
      <c r="HA297" s="535" t="str">
        <f t="shared" si="659"/>
        <v/>
      </c>
      <c r="HB297" s="535">
        <f>IF(GK297="P",Lookup!$N$12,IF(GK297="PP",Lookup!$N$13,IF(GK297="PPP",Lookup!$N$14,IF(GK297="T",Lookup!$N$15,IF(GK297="TP",Lookup!$N$16,IF(GK297="TPP",Lookup!$N$17,IF(GK297="TPPP",Lookup!$N$18,0)))))))*GJ297</f>
        <v>0</v>
      </c>
      <c r="HC297" s="521">
        <f t="shared" si="625"/>
        <v>0</v>
      </c>
      <c r="HD297" s="535">
        <f t="shared" si="626"/>
        <v>240.5233469653096</v>
      </c>
      <c r="HE297" s="535">
        <f t="shared" si="662"/>
        <v>78.397440340713686</v>
      </c>
      <c r="HF297" s="535"/>
      <c r="HG297" s="535">
        <f t="shared" si="660"/>
        <v>0</v>
      </c>
      <c r="HH297" s="535" t="str">
        <f t="shared" si="661"/>
        <v/>
      </c>
      <c r="HI297" s="535">
        <f>IF(GK297="P",Lookup!$N$12,IF(GK297="PP",Lookup!$N$13,IF(GK297="PPP",Lookup!$N$14,IF(GK297="T",Lookup!$N$15,IF(GK297="TP",Lookup!$N$16,IF(GK297="TPP",Lookup!$N$17,IF(GK297="TPPP",Lookup!$N$18,0)))))))*GJ297</f>
        <v>0</v>
      </c>
      <c r="HJ297" s="521">
        <f t="shared" si="627"/>
        <v>0</v>
      </c>
      <c r="HK297" s="535">
        <f t="shared" si="628"/>
        <v>232.44437654827001</v>
      </c>
      <c r="HL297" s="535">
        <f t="shared" si="663"/>
        <v>75.764138379488273</v>
      </c>
      <c r="HM297" s="535"/>
      <c r="HN297" s="541"/>
      <c r="HO297" s="541"/>
      <c r="HP297" s="541"/>
      <c r="HQ297" s="541">
        <f>IF(AND(B297&gt;=$FV$4,B297&lt;=$FW$4),MAX(110/1.02+$HQ$6+MIN(113/1.02,G297),IF($HV$6-(Sheet1!DA295-Sheet1!DB295)+MIN(113/1.02,G297)&lt;G297+FL297,$HV$6-(Sheet1!DA295-Sheet1!DB295)+MIN(113/1.02,G297),G297+FL297)),MIN(110/1.02+$HQ$6+113/1.02,G297))</f>
        <v>218.62745098039215</v>
      </c>
      <c r="HR297" s="541">
        <f t="shared" si="679"/>
        <v>223</v>
      </c>
      <c r="HS297" s="541">
        <f>HR297+(Sheet1!DA295-Sheet1!DB295)</f>
        <v>484</v>
      </c>
      <c r="HT297" s="541">
        <f t="shared" si="680"/>
        <v>73.564024742268046</v>
      </c>
      <c r="HU297" s="541">
        <f t="shared" si="681"/>
        <v>410.43597525773197</v>
      </c>
      <c r="HV297" s="541">
        <f t="shared" si="682"/>
        <v>0</v>
      </c>
      <c r="HW297" s="533" t="str">
        <f t="shared" si="683"/>
        <v/>
      </c>
      <c r="HX297" s="541">
        <f t="shared" si="684"/>
        <v>291.40441345259751</v>
      </c>
      <c r="HY297" s="541">
        <f>Sheet1!CZ295</f>
        <v>531</v>
      </c>
      <c r="HZ297" s="541">
        <f t="shared" si="685"/>
        <v>20.968135567010307</v>
      </c>
      <c r="IA297" s="541">
        <f t="shared" si="686"/>
        <v>73.564024742268046</v>
      </c>
      <c r="IB297" s="541">
        <f t="shared" si="687"/>
        <v>510.03186443298966</v>
      </c>
      <c r="IC297" s="1019" t="str">
        <f t="shared" si="688"/>
        <v/>
      </c>
      <c r="ID297" s="541">
        <f t="shared" si="689"/>
        <v>436.46783969072163</v>
      </c>
      <c r="IE297" s="541">
        <f>Sheet1!DB295</f>
        <v>431</v>
      </c>
      <c r="IF297" s="533">
        <f>Sheet1!DA295</f>
        <v>692</v>
      </c>
      <c r="IH297" s="541">
        <f>IF(AND($B297&gt;=$GC297,$B297&lt;=$GH297,$DR297&lt;0)+N("only adjusted when pool is drawn down during storage season"),Sheet1!$DB295+$DR297+N("Palmer minus all storage release"),Sheet1!$DB295)</f>
        <v>334.9838628343</v>
      </c>
      <c r="II297" s="541">
        <f>IF(AND($B297&gt;=$GC297,$B297&lt;=$GH297,$DR297&lt;0)+N("only adjusted when pool is drawn down during storage season"),Sheet1!$DA295+$DR297+N("Auburn minus all storage release"),Sheet1!$DA295)</f>
        <v>595.9838628343</v>
      </c>
    </row>
    <row r="298" spans="1:243" x14ac:dyDescent="0.25">
      <c r="A298" s="553" t="s">
        <v>9</v>
      </c>
      <c r="B298" s="531">
        <v>43022</v>
      </c>
      <c r="C298" s="536">
        <v>0</v>
      </c>
      <c r="D298" s="506">
        <f t="shared" si="633"/>
        <v>300</v>
      </c>
      <c r="E298" s="506">
        <f t="shared" si="634"/>
        <v>250</v>
      </c>
      <c r="F298" s="506">
        <v>250</v>
      </c>
      <c r="G298" s="535">
        <f>DR298+Sheet1!CZ296</f>
        <v>307.43368633304624</v>
      </c>
      <c r="H298" s="1074">
        <f t="shared" si="690"/>
        <v>0</v>
      </c>
      <c r="I298" s="534">
        <f>IF(Sheet1!DA296&gt;=E298,(Sheet1!DA296-E298+P298)*CFStoMGD,0)</f>
        <v>314.48762687999999</v>
      </c>
      <c r="J298" s="995">
        <f>IF(Sheet1!DB296&gt;=D298,(Sheet1!DB296-D298+P298)*CFStoMGD,0)</f>
        <v>139.95962688</v>
      </c>
      <c r="K298" s="818">
        <f t="shared" si="665"/>
        <v>0</v>
      </c>
      <c r="L298" s="535">
        <f>Sheet1!AA296+Sheet1!AB296-Sheet1!L296+(Sheet1!DA296-F298)*CFStoMGD-S298-T298-U298</f>
        <v>301.33467488667276</v>
      </c>
      <c r="M298" s="535">
        <f t="shared" si="569"/>
        <v>202.69963754259473</v>
      </c>
      <c r="N298" s="824">
        <f>IF(Sheet1!DA296&gt;=F298,MIN(113*CFStoMGD,MIN(MAX(L298,0),MAX(M298,0))),0)</f>
        <v>73.043199999999999</v>
      </c>
      <c r="O298" s="538">
        <f>Sheet1!AA296+Sheet1!AB296</f>
        <v>61.1</v>
      </c>
      <c r="P298" s="538">
        <f t="shared" si="570"/>
        <v>94.521699999999996</v>
      </c>
      <c r="Q298" s="812">
        <f t="shared" si="666"/>
        <v>47.945874886672712</v>
      </c>
      <c r="R298" s="812">
        <f t="shared" si="635"/>
        <v>13.5</v>
      </c>
      <c r="S298" s="812">
        <f t="shared" si="636"/>
        <v>0</v>
      </c>
      <c r="T298" s="812">
        <f t="shared" si="637"/>
        <v>0</v>
      </c>
      <c r="U298" s="812">
        <f>IF(AND(B298&gt;=FV298,B298&lt;=FW298),ED298+Sheet1!EH296,0)</f>
        <v>13.154125113327289</v>
      </c>
      <c r="V298" s="812"/>
      <c r="W298" s="812">
        <f t="shared" si="638"/>
        <v>0</v>
      </c>
      <c r="X298" s="812">
        <f t="shared" si="639"/>
        <v>0</v>
      </c>
      <c r="Y298" s="812" t="str">
        <f t="shared" si="640"/>
        <v>FALSE</v>
      </c>
      <c r="Z298" s="812">
        <f t="shared" si="641"/>
        <v>61.1</v>
      </c>
      <c r="AA298" s="812">
        <f t="shared" si="642"/>
        <v>61.1</v>
      </c>
      <c r="AB298" s="1059">
        <f t="shared" si="667"/>
        <v>74.172268449682676</v>
      </c>
      <c r="AC298" s="538">
        <f>Sheet1!Y296*MGDtoCFS</f>
        <v>43.470700000000001</v>
      </c>
      <c r="AD298" s="538">
        <f>Sheet1!Z296*MGDtoCFS</f>
        <v>50.896299999999997</v>
      </c>
      <c r="AE298" s="538">
        <f>Sheet1!AA296*MGDtoCFS</f>
        <v>43.470700000000001</v>
      </c>
      <c r="AF298" s="538">
        <f>Sheet1!AB296*MGDtoCFS</f>
        <v>51.050999999999995</v>
      </c>
      <c r="AG298" s="538">
        <f>Sheet1!L296*MGDtoCFS</f>
        <v>0</v>
      </c>
      <c r="AH298" s="521">
        <f t="shared" si="571"/>
        <v>13.681776971894832</v>
      </c>
      <c r="AI298" s="1059">
        <f t="shared" si="572"/>
        <v>21.165708975521305</v>
      </c>
      <c r="AJ298" s="535">
        <f t="shared" si="573"/>
        <v>0</v>
      </c>
      <c r="AK298" s="535">
        <f t="shared" si="574"/>
        <v>0</v>
      </c>
      <c r="AL298" s="535">
        <f>(VLOOKUP(Sheet1!DC296,hhdcap_wcm,4)-(((VLOOKUP(Sheet1!DC296,hhdcap_wcm,3)-Sheet1!DC296)/(VLOOKUP(Sheet1!DC296,hhdcap_wcm,3)-VLOOKUP(Sheet1!DC296,hhdcap_wcm,1)))*(VLOOKUP(Sheet1!DC296,hhdcap_wcm,4)-VLOOKUP(Sheet1!DC296,hhdcap_wcm,2))))</f>
        <v>10531.000000023738</v>
      </c>
      <c r="AM298" s="535">
        <f t="shared" si="575"/>
        <v>-435.40000000156942</v>
      </c>
      <c r="AN298" s="1035">
        <f t="shared" si="576"/>
        <v>249.24332651796169</v>
      </c>
      <c r="AO298" s="535">
        <f t="shared" si="577"/>
        <v>764.67852575710651</v>
      </c>
      <c r="AP298" s="535">
        <f>Sheet1!BA296+Sheet1!BB296+Sheet1!BN296+CD298</f>
        <v>19.899999999999999</v>
      </c>
      <c r="AQ298" s="535">
        <f>Sheet1!BN296+(DO298*Sheet1!BN296)</f>
        <v>19.845874886672711</v>
      </c>
      <c r="AR298" s="535">
        <f>Sheet1!BA296+CD298</f>
        <v>0</v>
      </c>
      <c r="AS298" s="535">
        <f>Sheet1!BA296+Sheet1!BB296+CD298</f>
        <v>0</v>
      </c>
      <c r="AT298" s="649">
        <f>0</f>
        <v>0</v>
      </c>
      <c r="AU298" s="974">
        <f>BA298+MAX(Sheet1!EH296,(O298-Q298-ED298-S298))</f>
        <v>0</v>
      </c>
      <c r="AV298" s="535">
        <f>IF(OR(B298&gt;=GD298,B298&lt;GC298),0,15/36*K298-MAX(0,64.6-(137.6-(Sheet1!AA296+Sheet1!AB296))))</f>
        <v>0</v>
      </c>
      <c r="AW298" s="1029"/>
      <c r="AX298" s="649"/>
      <c r="AY298" s="649">
        <f t="shared" si="668"/>
        <v>23.311716569431731</v>
      </c>
      <c r="AZ298" s="649">
        <f t="shared" si="669"/>
        <v>0</v>
      </c>
      <c r="BA298" s="1059">
        <f t="shared" si="670"/>
        <v>0</v>
      </c>
      <c r="BB298" s="1019">
        <f t="shared" si="578"/>
        <v>60.178990253336153</v>
      </c>
      <c r="BC298" s="1041">
        <f t="shared" si="671"/>
        <v>0</v>
      </c>
      <c r="BD298" s="1019">
        <f ca="1">IF(B298&gt;(Summary!$A$1-1),#N/A,BB298*MGtoAF)</f>
        <v>184.62914209723533</v>
      </c>
      <c r="BE298" s="535">
        <f>Sheet1!BG296+Sheet1!BH296+Sheet1!BI296-BM298</f>
        <v>3.5</v>
      </c>
      <c r="BF298" s="535">
        <f t="shared" si="579"/>
        <v>3.490480507706256</v>
      </c>
      <c r="BG298" s="535">
        <f>IF(Sheet1!EP296="FM",BM298,0)</f>
        <v>0</v>
      </c>
      <c r="BH298" s="535">
        <f t="shared" si="580"/>
        <v>0</v>
      </c>
      <c r="BI298" s="535">
        <f>IF(Sheet1!EP296="OTHER",BM298,0)</f>
        <v>0</v>
      </c>
      <c r="BJ298" s="535">
        <f t="shared" si="581"/>
        <v>0</v>
      </c>
      <c r="BK298" s="535">
        <f t="shared" si="582"/>
        <v>3.5</v>
      </c>
      <c r="BL298" s="535">
        <f t="shared" si="583"/>
        <v>3.490480507706256</v>
      </c>
      <c r="BM298" s="535">
        <f>IF(OR(Sheet1!EP296="FM", Sheet1!EP296="OTHER"),SUM(Sheet1!BG296:'Sheet1'!BI296),0)</f>
        <v>0</v>
      </c>
      <c r="BN298" s="521">
        <f>IF(AND($B298&gt;=$FV298,$B298&lt;=$FW298),MAX(BF298,Sheet1!EI296,0),MAX(BF298-(7/36)*$K298,0))</f>
        <v>4</v>
      </c>
      <c r="BO298" s="535">
        <f t="shared" si="584"/>
        <v>0</v>
      </c>
      <c r="BP298" s="521">
        <f t="shared" si="585"/>
        <v>0</v>
      </c>
      <c r="BQ298" s="521">
        <f>IF(AND($O298&gt;0,Sheet1!EM296=1),(1-($O298-Sheet1!$L296)/$O298)*BL298,0)</f>
        <v>0</v>
      </c>
      <c r="BR298" s="521">
        <f>IF(AND(Sheet1!$L296=0,Sheet1!$L295=0, Calculation!BK298&lt;Sheet1!$EI296-0.1,Sheet1!$EI296=Sheet1!$EI295,Sheet1!$EI296=Sheet1!$EI297),BL298-BQ298,BL298-BQ298)</f>
        <v>3.490480507706256</v>
      </c>
      <c r="BS298" s="1035" t="str">
        <f t="shared" si="672"/>
        <v/>
      </c>
      <c r="BT298" s="1035">
        <f t="shared" si="673"/>
        <v>0</v>
      </c>
      <c r="BU298" s="535">
        <f t="shared" si="586"/>
        <v>44.584534516318428</v>
      </c>
      <c r="BV298" s="535"/>
      <c r="BW298" s="535">
        <f ca="1">IF(B298&gt;(Summary!$A$1-1),#N/A,BU298*MGtoAF)</f>
        <v>136.78535189606495</v>
      </c>
      <c r="BX298" s="535">
        <f>Sheet1!BC296+Sheet1!BD296+Sheet1!BE296+Sheet1!BF296-CG298-CH298</f>
        <v>2.99</v>
      </c>
      <c r="BY298" s="535">
        <f t="shared" si="587"/>
        <v>2.981867633726202</v>
      </c>
      <c r="BZ298" s="535">
        <f>IF(Sheet1!EQ296="FM",CH298,0)</f>
        <v>0</v>
      </c>
      <c r="CA298" s="535">
        <f t="shared" si="588"/>
        <v>0</v>
      </c>
      <c r="CB298" s="535">
        <f>IF(Sheet1!EQ296="OTHER",CH298,0)</f>
        <v>0</v>
      </c>
      <c r="CC298" s="535">
        <f t="shared" si="589"/>
        <v>0</v>
      </c>
      <c r="CD298" s="535">
        <f t="shared" si="590"/>
        <v>0</v>
      </c>
      <c r="CE298" s="535">
        <f t="shared" si="591"/>
        <v>2.99</v>
      </c>
      <c r="CF298" s="535">
        <f t="shared" si="592"/>
        <v>2.981867633726202</v>
      </c>
      <c r="CG298" s="535">
        <f>IF(Sheet1!EQ296="CWA",SUM(Sheet1!BC296:'Sheet1'!BF296),0)</f>
        <v>0</v>
      </c>
      <c r="CH298" s="535">
        <f>IF(OR(Sheet1!EQ296="FM", Sheet1!EQ296="OTHER"),SUM(Sheet1!BC296:'Sheet1'!BF296),0)</f>
        <v>0</v>
      </c>
      <c r="CI298" s="521">
        <f>IF(AND($B298&gt;=$FV298,$B298&lt;=$FW298),MAX(CF298,Sheet1!EJ296,0),MAX(CF298-(7/36)*$K298,0))</f>
        <v>3</v>
      </c>
      <c r="CJ298" s="535">
        <f t="shared" si="593"/>
        <v>0</v>
      </c>
      <c r="CK298" s="521">
        <f t="shared" si="594"/>
        <v>0</v>
      </c>
      <c r="CL298" s="521">
        <f>IF(AND($O298&gt;0,Sheet1!EN296=1),(1-($O298-Sheet1!$L296)/$O298)*CF298,0)</f>
        <v>0</v>
      </c>
      <c r="CM298" s="521">
        <f>IF(AND(Sheet1!$L296=0,Sheet1!$L295=0, Calculation!CE298&lt;Sheet1!EJ296-0.1,Sheet1!EJ296=Sheet1!EJ295,Sheet1!EJ296=Sheet1!EJ297),CF298-CL298,CF298-CL298)</f>
        <v>2.981867633726202</v>
      </c>
      <c r="CN298" s="1040" t="str">
        <f t="shared" si="674"/>
        <v/>
      </c>
      <c r="CO298" s="1035">
        <f t="shared" si="675"/>
        <v>0</v>
      </c>
      <c r="CP298" s="535">
        <f t="shared" si="595"/>
        <v>75.397440340713686</v>
      </c>
      <c r="CQ298" s="535"/>
      <c r="CR298" s="535">
        <f ca="1">IF(B298&gt;(Summary!$A$1-1),#N/A,CP298*MGtoAF)</f>
        <v>231.31934696530959</v>
      </c>
      <c r="CS298" s="535">
        <f>Sheet1!BK296+Sheet1!BL296+Sheet1!BM296-Sheet1!ER296-DA298</f>
        <v>6.6999999999999993</v>
      </c>
      <c r="CT298" s="535">
        <f t="shared" si="596"/>
        <v>6.6817769718948323</v>
      </c>
      <c r="CU298" s="535">
        <f>IF(Sheet1!ER296="FM",DA298,0)</f>
        <v>0</v>
      </c>
      <c r="CV298" s="535">
        <f t="shared" si="597"/>
        <v>0</v>
      </c>
      <c r="CW298" s="535">
        <f>IF(Sheet1!ER296="OTHER",DA298,0)</f>
        <v>0</v>
      </c>
      <c r="CX298" s="535">
        <f t="shared" si="598"/>
        <v>0</v>
      </c>
      <c r="CY298" s="535">
        <f t="shared" si="694"/>
        <v>6.6999999999999993</v>
      </c>
      <c r="CZ298" s="535">
        <f t="shared" si="694"/>
        <v>6.6817769718948323</v>
      </c>
      <c r="DA298" s="535">
        <f>IF(OR(Sheet1!ER296="FM", Sheet1!ER296="OTHER"),SUM(Sheet1!BK296:'Sheet1'!BM296),0)</f>
        <v>0</v>
      </c>
      <c r="DB298" s="1011">
        <f>IF(AND($B298&gt;=$FV298,$B298&lt;=$FW298),MAX($CT298,Sheet1!EK296,0),MAX($CT298-(7/36)*$K298,0))</f>
        <v>6.6817769718948323</v>
      </c>
      <c r="DC298" s="1012">
        <f t="shared" si="601"/>
        <v>0</v>
      </c>
      <c r="DD298" s="1011">
        <f t="shared" si="602"/>
        <v>0</v>
      </c>
      <c r="DE298" s="521">
        <f>IF(AND($O298&gt;0,Sheet1!EO296=1),(1-($O298-Sheet1!$L296)/$O298)*CZ298,0)</f>
        <v>0</v>
      </c>
      <c r="DF298" s="521">
        <f>IF(AND(Sheet1!$L296=0,Sheet1!$L295=0, Calculation!CY298&lt;Sheet1!$EK296-0.1,Sheet1!$EK296=Sheet1!$EK295,Sheet1!$EK296=Sheet1!$EK297),CZ298-DE298,CZ298-DE298)</f>
        <v>6.6817769718948323</v>
      </c>
      <c r="DG298" s="1040">
        <f t="shared" si="676"/>
        <v>0</v>
      </c>
      <c r="DH298" s="649">
        <f t="shared" si="603"/>
        <v>13.19</v>
      </c>
      <c r="DI298" s="535">
        <f t="shared" si="604"/>
        <v>69.082361407593439</v>
      </c>
      <c r="DJ298" s="649">
        <f t="shared" si="605"/>
        <v>13.154125113327289</v>
      </c>
      <c r="DK298" s="535">
        <f ca="1">IF(B298&gt;(Summary!$A$1-1),#N/A,DI298*MGtoAF)</f>
        <v>211.94468479849667</v>
      </c>
      <c r="DL298" s="649">
        <f t="shared" si="606"/>
        <v>13.19</v>
      </c>
      <c r="DM298" s="535">
        <f t="shared" si="607"/>
        <v>33.089999999999996</v>
      </c>
      <c r="DN298" s="535">
        <f>Sheet1!AB296-DM298</f>
        <v>-8.9999999999996305E-2</v>
      </c>
      <c r="DO298" s="743">
        <f t="shared" si="608"/>
        <v>-2.7198549410696981E-3</v>
      </c>
      <c r="DP298" s="535">
        <f>(VLOOKUP(Sheet1!DC296,hhdcap_wcm,4)-(((VLOOKUP(Sheet1!DC296,hhdcap_wcm,3)-Sheet1!DC296)/(VLOOKUP(Sheet1!DC296,hhdcap_wcm,3)-VLOOKUP(Sheet1!DC296,hhdcap_wcm,1)))*(VLOOKUP(Sheet1!DC296,hhdcap_wcm,4)-VLOOKUP(Sheet1!DC296,hhdcap_wcm,2))))</f>
        <v>10531.000000023738</v>
      </c>
      <c r="DQ298" s="535">
        <f t="shared" si="609"/>
        <v>-435.40000000156942</v>
      </c>
      <c r="DR298" s="535">
        <f t="shared" si="610"/>
        <v>-219.56631366695379</v>
      </c>
      <c r="DS298" s="535">
        <f>Sheet1!EA296*AFtoMG</f>
        <v>0</v>
      </c>
      <c r="DT298" s="535">
        <f>Sheet1!EB296*AFtoMG</f>
        <v>0</v>
      </c>
      <c r="DU298" s="535">
        <f>Sheet1!EC296*AFtoMG</f>
        <v>0</v>
      </c>
      <c r="DV298" s="535">
        <f>Sheet1!ED296*AFtoMG</f>
        <v>0</v>
      </c>
      <c r="DW298" s="535">
        <f t="shared" si="611"/>
        <v>0</v>
      </c>
      <c r="DX298" s="535">
        <f t="shared" si="612"/>
        <v>0</v>
      </c>
      <c r="DY298" s="535">
        <f t="shared" si="613"/>
        <v>249.24332651796169</v>
      </c>
      <c r="DZ298" s="535">
        <f t="shared" si="614"/>
        <v>764.67852575710651</v>
      </c>
      <c r="EA298" s="535"/>
      <c r="EB298" s="521">
        <f>IF(OR(B298&lt;FV298,B298&gt;FW298),(MIN(BF298+BY298+CT298+MAX(Sheet1!AA296+AQ298-73,0),K298)),0)</f>
        <v>0</v>
      </c>
      <c r="EC298" s="535"/>
      <c r="ED298" s="535">
        <f t="shared" si="615"/>
        <v>13.154125113327289</v>
      </c>
      <c r="EE298" s="535"/>
      <c r="EF298" s="535">
        <f>Sheet1!EH296+Sheet1!EI296+Sheet1!EJ296+Sheet1!EK296</f>
        <v>13.5</v>
      </c>
      <c r="EG298" s="1019">
        <f t="shared" si="677"/>
        <v>20.884499999999999</v>
      </c>
      <c r="EH298" s="521">
        <f t="shared" si="616"/>
        <v>0</v>
      </c>
      <c r="EI298" s="535">
        <f>IF(Sheet1!ET296=1,SUM('Calculations II'!AT298:BA298)+'Calculations II'!BC298+Sheet1!BV296+'Calculations II'!BE298+AP298,'Calculations II'!BK298)</f>
        <v>49.026986886672709</v>
      </c>
      <c r="EJ298" s="535">
        <f ca="1">EI298+'Calculations II'!D298+'Calculations II'!E298+'Calculations II'!O298</f>
        <v>46.727124548236937</v>
      </c>
      <c r="EK298" s="535"/>
      <c r="EL298" s="535"/>
      <c r="EM298" s="535">
        <f t="shared" si="617"/>
        <v>43022</v>
      </c>
      <c r="EN298" s="535">
        <f t="shared" si="618"/>
        <v>-13.681776971894832</v>
      </c>
      <c r="EO298" s="535">
        <f t="shared" si="619"/>
        <v>-21.165708975521305</v>
      </c>
      <c r="EP298" s="535">
        <v>0</v>
      </c>
      <c r="EQ298" s="535">
        <v>0</v>
      </c>
      <c r="ER298" s="535">
        <v>0</v>
      </c>
      <c r="ES298" s="521">
        <f t="shared" si="643"/>
        <v>1.3859053236348404</v>
      </c>
      <c r="ET298" s="535">
        <f>-(VLOOKUP(Sheet1!BQ296,Lookup!$O$4:$Q$262,2)-VLOOKUP(Sheet1!BQ295,Lookup!$O$4:$Q$262,2))/1000000</f>
        <v>0.69284047452643882</v>
      </c>
      <c r="EU298" s="535">
        <f>-(VLOOKUP(Sheet1!BR296,Lookup!$O$4:$Q$262,3)-VLOOKUP(Sheet1!BR295,Lookup!$O$4:$Q$262,3))/1000000</f>
        <v>0.69306484910840171</v>
      </c>
      <c r="EV298" s="535"/>
      <c r="EW298" s="535"/>
      <c r="EX298" s="535"/>
      <c r="EY298" s="535"/>
      <c r="EZ298" s="535"/>
      <c r="FA298" s="535"/>
      <c r="FB298" s="535"/>
      <c r="FC298" s="535"/>
      <c r="FD298" s="567">
        <f t="shared" si="693"/>
        <v>1106.3999999999505</v>
      </c>
      <c r="FE298" s="567" t="e">
        <f t="shared" si="620"/>
        <v>#N/A</v>
      </c>
      <c r="FF298" s="568" t="e">
        <f t="shared" si="621"/>
        <v>#N/A</v>
      </c>
      <c r="FG298" s="569" t="s">
        <v>656</v>
      </c>
      <c r="FH298" s="569" t="s">
        <v>656</v>
      </c>
      <c r="FI298" s="567" t="e">
        <v>#N/A</v>
      </c>
      <c r="FJ298" s="725">
        <v>6474</v>
      </c>
      <c r="FK298" s="535"/>
      <c r="FL298" s="1015">
        <f t="shared" si="692"/>
        <v>105.90015128593041</v>
      </c>
      <c r="FM298" s="535"/>
      <c r="FN298" s="535"/>
      <c r="FO298" s="535">
        <f>O298+((Sheet1!CS296)*GPMtoMGD)</f>
        <v>61.1</v>
      </c>
      <c r="FP298" s="535">
        <f>IF(Sheet1!AA296+AQ298&lt;=Calculation!N298,AQ298,Calculation!N298-Sheet1!AA296)</f>
        <v>19.845874886672711</v>
      </c>
      <c r="FQ298" s="535">
        <f>(Sheet1!BP296+Sheet1!BO296)/694.4</f>
        <v>2.2376152073732718</v>
      </c>
      <c r="FR298" s="541"/>
      <c r="FS298" s="541"/>
      <c r="FT298" s="541"/>
      <c r="FU298" s="541"/>
      <c r="FV298" s="1109">
        <f t="shared" si="644"/>
        <v>42918</v>
      </c>
      <c r="FW298" s="1109">
        <f t="shared" si="645"/>
        <v>43027</v>
      </c>
      <c r="FX298" s="541"/>
      <c r="FY298" s="541">
        <f>Sheet1!DA296-Sheet1!CZ296-Sheet1!AE296</f>
        <v>20.478300000000004</v>
      </c>
      <c r="FZ298" s="535">
        <f t="shared" si="678"/>
        <v>6.6610462387051622E-2</v>
      </c>
      <c r="GA298" s="535"/>
      <c r="GB298" s="535" t="str">
        <f t="shared" si="646"/>
        <v>n</v>
      </c>
      <c r="GC298" s="539">
        <f t="shared" si="647"/>
        <v>42782</v>
      </c>
      <c r="GD298" s="1109">
        <f t="shared" si="648"/>
        <v>42904</v>
      </c>
      <c r="GE298" s="535">
        <f t="shared" si="664"/>
        <v>6520</v>
      </c>
      <c r="GF298" s="1109">
        <f t="shared" si="649"/>
        <v>42909</v>
      </c>
      <c r="GG298" s="535">
        <f t="shared" si="691"/>
        <v>3260</v>
      </c>
      <c r="GH298" s="539">
        <f t="shared" si="650"/>
        <v>43040</v>
      </c>
      <c r="GJ298" s="521">
        <f t="shared" si="651"/>
        <v>0</v>
      </c>
      <c r="GK298" s="535" t="str">
        <f t="shared" si="622"/>
        <v/>
      </c>
      <c r="GL298" s="535">
        <f t="shared" si="652"/>
        <v>0</v>
      </c>
      <c r="GM298" s="535" t="str">
        <f t="shared" si="653"/>
        <v/>
      </c>
      <c r="GN298" s="535">
        <f>IF(GK298="P",Lookup!$M$12,IF(GK298="PP",Lookup!$M$13,IF(GK298="PPP",Lookup!$M$14,IF(GK298="T",Lookup!$M$15,IF(GK298="TP",Lookup!$M$16,IF(GK298="TPP",Lookup!$M$17,IF(GK298="TPPP",Lookup!$M$18,0)))))))*GJ298</f>
        <v>0</v>
      </c>
      <c r="GO298" s="535">
        <f t="shared" si="654"/>
        <v>0</v>
      </c>
      <c r="GP298" s="535">
        <f t="shared" si="623"/>
        <v>184.62914209723533</v>
      </c>
      <c r="GQ298" s="974">
        <f t="shared" ref="GQ298:GQ361" si="695">(IF(AND(GB297="Y",B298=GD298),1392.1,(IF(AND(B298&lt;GF298,B298&gt;=GC298),MIN(BB297+AV298-AU298,15/36*GE298),IF(B298=GF298,15/36*GG298,IF(AND(B298&gt;GF298,B298&lt;GH298),(BB297+AV298-AU298),IF(B298&gt;=GH298,0,0)))))))+DS298</f>
        <v>60.178990253336153</v>
      </c>
      <c r="GR298" s="535"/>
      <c r="GS298" s="535">
        <f t="shared" si="655"/>
        <v>0</v>
      </c>
      <c r="GT298" s="535" t="str">
        <f t="shared" si="656"/>
        <v/>
      </c>
      <c r="GU298" s="535">
        <f>IF(GK298="P",Lookup!$N$12,IF(GK298="PP",Lookup!$N$13,IF(GK298="PPP",Lookup!$N$14,IF(GK298="T",Lookup!$N$15,IF(GK298="TP",Lookup!$N$16,IF(GK298="TPP",Lookup!$N$17,IF(GK298="TPPP",Lookup!$N$18,0)))))))*GJ298</f>
        <v>0</v>
      </c>
      <c r="GV298" s="535">
        <f t="shared" si="657"/>
        <v>0</v>
      </c>
      <c r="GW298" s="535">
        <f t="shared" si="624"/>
        <v>136.78535189606495</v>
      </c>
      <c r="GX298" s="974">
        <f t="shared" ref="GX298:GX361" si="696">(IF(AND(GB298="Y",B298=GD298),1267.5,(IF(AND(B298&lt;GF298,B298&gt;=GC298),MIN(BU297+BO298-BN298,7/36*GE298),IF(B298=GF298,7/36*GG298,IF(AND(B298&gt;GF298,B298&lt;GH298),(BU297+BO298-BN298),IF(B298&gt;=GH298,0,0)))))))+DT298</f>
        <v>44.584534516318428</v>
      </c>
      <c r="GY298" s="535"/>
      <c r="GZ298" s="535">
        <f t="shared" si="658"/>
        <v>0</v>
      </c>
      <c r="HA298" s="535" t="str">
        <f t="shared" si="659"/>
        <v/>
      </c>
      <c r="HB298" s="535">
        <f>IF(GK298="P",Lookup!$N$12,IF(GK298="PP",Lookup!$N$13,IF(GK298="PPP",Lookup!$N$14,IF(GK298="T",Lookup!$N$15,IF(GK298="TP",Lookup!$N$16,IF(GK298="TPP",Lookup!$N$17,IF(GK298="TPPP",Lookup!$N$18,0)))))))*GJ298</f>
        <v>0</v>
      </c>
      <c r="HC298" s="521">
        <f t="shared" si="625"/>
        <v>0</v>
      </c>
      <c r="HD298" s="535">
        <f t="shared" si="626"/>
        <v>231.31934696530959</v>
      </c>
      <c r="HE298" s="535">
        <f t="shared" si="662"/>
        <v>75.397440340713686</v>
      </c>
      <c r="HF298" s="535"/>
      <c r="HG298" s="535">
        <f t="shared" si="660"/>
        <v>0</v>
      </c>
      <c r="HH298" s="535" t="str">
        <f t="shared" si="661"/>
        <v/>
      </c>
      <c r="HI298" s="535">
        <f>IF(GK298="P",Lookup!$N$12,IF(GK298="PP",Lookup!$N$13,IF(GK298="PPP",Lookup!$N$14,IF(GK298="T",Lookup!$N$15,IF(GK298="TP",Lookup!$N$16,IF(GK298="TPP",Lookup!$N$17,IF(GK298="TPPP",Lookup!$N$18,0)))))))*GJ298</f>
        <v>0</v>
      </c>
      <c r="HJ298" s="521">
        <f t="shared" si="627"/>
        <v>0</v>
      </c>
      <c r="HK298" s="535">
        <f t="shared" si="628"/>
        <v>211.94468479849667</v>
      </c>
      <c r="HL298" s="535">
        <f t="shared" si="663"/>
        <v>69.082361407593439</v>
      </c>
      <c r="HM298" s="535"/>
      <c r="HN298" s="541"/>
      <c r="HO298" s="541"/>
      <c r="HP298" s="541"/>
      <c r="HQ298" s="541">
        <f>IF(AND(B298&gt;=$FV$4,B298&lt;=$FW$4),MAX(110/1.02+$HQ$6+MIN(113/1.02,G298),IF($HV$6-(Sheet1!DA296-Sheet1!DB296)+MIN(113/1.02,G298)&lt;G298+FL298,$HV$6-(Sheet1!DA296-Sheet1!DB296)+MIN(113/1.02,G298),G298+FL298)),MIN(110/1.02+$HQ$6+113/1.02,G298))</f>
        <v>218.62745098039215</v>
      </c>
      <c r="HR298" s="541">
        <f t="shared" si="679"/>
        <v>223</v>
      </c>
      <c r="HS298" s="541">
        <f>HR298+(Sheet1!DA296-Sheet1!DB296)</f>
        <v>443</v>
      </c>
      <c r="HT298" s="541">
        <f t="shared" si="680"/>
        <v>74.172268449682676</v>
      </c>
      <c r="HU298" s="541">
        <f t="shared" si="681"/>
        <v>368.82773155031731</v>
      </c>
      <c r="HV298" s="541">
        <f t="shared" si="682"/>
        <v>0</v>
      </c>
      <c r="HW298" s="533" t="str">
        <f t="shared" si="683"/>
        <v/>
      </c>
      <c r="HX298" s="541">
        <f t="shared" si="684"/>
        <v>287.20684004408656</v>
      </c>
      <c r="HY298" s="541">
        <f>Sheet1!CZ296</f>
        <v>527</v>
      </c>
      <c r="HZ298" s="541">
        <f t="shared" si="685"/>
        <v>21.165708975521305</v>
      </c>
      <c r="IA298" s="541">
        <f t="shared" si="686"/>
        <v>74.172268449682676</v>
      </c>
      <c r="IB298" s="541">
        <f t="shared" si="687"/>
        <v>505.83429102447872</v>
      </c>
      <c r="IC298" s="1019" t="str">
        <f t="shared" si="688"/>
        <v/>
      </c>
      <c r="ID298" s="541">
        <f t="shared" si="689"/>
        <v>431.66202257479603</v>
      </c>
      <c r="IE298" s="541">
        <f>Sheet1!DB296</f>
        <v>422</v>
      </c>
      <c r="IF298" s="533">
        <f>Sheet1!DA296</f>
        <v>642</v>
      </c>
      <c r="IH298" s="541">
        <f>IF(AND($B298&gt;=$GC298,$B298&lt;=$GH298,$DR298&lt;0)+N("only adjusted when pool is drawn down during storage season"),Sheet1!$DB296+$DR298+N("Palmer minus all storage release"),Sheet1!$DB296)</f>
        <v>202.43368633304621</v>
      </c>
      <c r="II298" s="541">
        <f>IF(AND($B298&gt;=$GC298,$B298&lt;=$GH298,$DR298&lt;0)+N("only adjusted when pool is drawn down during storage season"),Sheet1!$DA296+$DR298+N("Auburn minus all storage release"),Sheet1!$DA296)</f>
        <v>422.43368633304624</v>
      </c>
    </row>
    <row r="299" spans="1:243" x14ac:dyDescent="0.25">
      <c r="A299" s="553" t="s">
        <v>3</v>
      </c>
      <c r="B299" s="531">
        <v>43023</v>
      </c>
      <c r="C299" s="536">
        <v>0</v>
      </c>
      <c r="D299" s="506">
        <f t="shared" si="633"/>
        <v>300</v>
      </c>
      <c r="E299" s="506">
        <f t="shared" si="634"/>
        <v>250</v>
      </c>
      <c r="F299" s="506">
        <v>250</v>
      </c>
      <c r="G299" s="535">
        <f>DR299+Sheet1!CZ297</f>
        <v>240.69188098754142</v>
      </c>
      <c r="H299" s="1074">
        <f t="shared" si="690"/>
        <v>0</v>
      </c>
      <c r="I299" s="534">
        <f>IF(Sheet1!DA297&gt;=E299,(Sheet1!DA297-E299+P299)*CFStoMGD,0)</f>
        <v>300.22682764800004</v>
      </c>
      <c r="J299" s="995">
        <f>IF(Sheet1!DB297&gt;=D299,(Sheet1!DB297-D299+P299)*CFStoMGD,0)</f>
        <v>136.04122764799999</v>
      </c>
      <c r="K299" s="818">
        <f t="shared" si="665"/>
        <v>0</v>
      </c>
      <c r="L299" s="535">
        <f>Sheet1!AA297+Sheet1!AB297-Sheet1!L297+(Sheet1!DA297-F299)*CFStoMGD-S299-T299-U299</f>
        <v>287.21957384987888</v>
      </c>
      <c r="M299" s="535">
        <f t="shared" ref="M299:M362" si="697">1.02*CFStoMGD*G299</f>
        <v>158.69489650775373</v>
      </c>
      <c r="N299" s="824">
        <f>IF(Sheet1!DA297&gt;=F299,MIN(113*CFStoMGD,MIN(MAX(L299,0),MAX(M299,0))),0)</f>
        <v>73.043199999999999</v>
      </c>
      <c r="O299" s="538">
        <f>Sheet1!AA297+Sheet1!AB297</f>
        <v>61.06</v>
      </c>
      <c r="P299" s="538">
        <f t="shared" ref="P299:P362" si="698">AE299+AF299</f>
        <v>94.459820000000008</v>
      </c>
      <c r="Q299" s="812">
        <f t="shared" si="666"/>
        <v>48.051573849878935</v>
      </c>
      <c r="R299" s="812">
        <f t="shared" si="635"/>
        <v>13.5</v>
      </c>
      <c r="S299" s="812">
        <f t="shared" si="636"/>
        <v>0</v>
      </c>
      <c r="T299" s="812">
        <f t="shared" si="637"/>
        <v>0</v>
      </c>
      <c r="U299" s="812">
        <f>IF(AND(B299&gt;=FV299,B299&lt;=FW299),ED299+Sheet1!EH297,0)</f>
        <v>13.008426150121064</v>
      </c>
      <c r="V299" s="812"/>
      <c r="W299" s="812">
        <f t="shared" si="638"/>
        <v>0</v>
      </c>
      <c r="X299" s="812">
        <f t="shared" si="639"/>
        <v>0</v>
      </c>
      <c r="Y299" s="812" t="str">
        <f t="shared" si="640"/>
        <v>FALSE</v>
      </c>
      <c r="Z299" s="812">
        <f t="shared" si="641"/>
        <v>61.06</v>
      </c>
      <c r="AA299" s="812">
        <f t="shared" si="642"/>
        <v>61.06</v>
      </c>
      <c r="AB299" s="1059">
        <f t="shared" si="667"/>
        <v>74.335784745762709</v>
      </c>
      <c r="AC299" s="538">
        <f>Sheet1!Y297*MGDtoCFS</f>
        <v>43.470700000000001</v>
      </c>
      <c r="AD299" s="538">
        <f>Sheet1!Z297*MGDtoCFS</f>
        <v>50.896299999999997</v>
      </c>
      <c r="AE299" s="538">
        <f>Sheet1!AA297*MGDtoCFS</f>
        <v>43.470700000000001</v>
      </c>
      <c r="AF299" s="538">
        <f>Sheet1!AB297*MGDtoCFS</f>
        <v>50.98912</v>
      </c>
      <c r="AG299" s="538">
        <f>Sheet1!L297*MGDtoCFS</f>
        <v>0</v>
      </c>
      <c r="AH299" s="521">
        <f t="shared" ref="AH299:AH362" si="699">AU299+BN299+CI299+DB299</f>
        <v>13.743631961259084</v>
      </c>
      <c r="AI299" s="1059">
        <f t="shared" ref="AI299:AI362" si="700">AH299*MGDtoCFS</f>
        <v>21.2613986440678</v>
      </c>
      <c r="AJ299" s="535">
        <f t="shared" ref="AJ299:AJ362" si="701">IF(B299&gt;=GC299,IF(B299&lt;=GD299,K299-EB299,0),0)</f>
        <v>0</v>
      </c>
      <c r="AK299" s="535">
        <f t="shared" ref="AK299:AK362" si="702">AJ299*MGDtoCFS</f>
        <v>0</v>
      </c>
      <c r="AL299" s="535">
        <f>(VLOOKUP(Sheet1!DC297,hhdcap_wcm,4)-(((VLOOKUP(Sheet1!DC297,hhdcap_wcm,3)-Sheet1!DC297)/(VLOOKUP(Sheet1!DC297,hhdcap_wcm,3)-VLOOKUP(Sheet1!DC297,hhdcap_wcm,1)))*(VLOOKUP(Sheet1!DC297,hhdcap_wcm,4)-VLOOKUP(Sheet1!DC297,hhdcap_wcm,2))))</f>
        <v>9969.2000000220323</v>
      </c>
      <c r="AM299" s="535">
        <f t="shared" ref="AM299:AM362" si="703">AL299-AL298</f>
        <v>-561.80000000170548</v>
      </c>
      <c r="AN299" s="1035">
        <f t="shared" ref="AN299:AN362" si="704">(IF(AND(B299&gt;=GC299,B299&lt;GF299),MIN(BB299+BU299+CP299+DI299,GE299),IF(B299=GF299,GG299,IF(AND(B299&gt;GF299,B299&lt;GH299),BB299+BU299+CP299+DI299,IF(B299&gt;=GH299,0,0)))))</f>
        <v>235.49969455670262</v>
      </c>
      <c r="AO299" s="535">
        <f t="shared" ref="AO299:AO362" si="705">AN299*MGtoAF</f>
        <v>722.51306289996364</v>
      </c>
      <c r="AP299" s="535">
        <f>Sheet1!BA297+Sheet1!BB297+Sheet1!BN297+CD299</f>
        <v>20</v>
      </c>
      <c r="AQ299" s="535">
        <f>Sheet1!BN297+(DO299*Sheet1!BN297)</f>
        <v>19.951573849878937</v>
      </c>
      <c r="AR299" s="535">
        <f>Sheet1!BA297+CD299</f>
        <v>0</v>
      </c>
      <c r="AS299" s="535">
        <f>Sheet1!BA297+Sheet1!BB297+CD299</f>
        <v>0</v>
      </c>
      <c r="AT299" s="649">
        <f>0</f>
        <v>0</v>
      </c>
      <c r="AU299" s="974">
        <f>BA299+MAX(Sheet1!EH297,(O299-Q299-ED299-S299))</f>
        <v>3.5527136788005009E-15</v>
      </c>
      <c r="AV299" s="535">
        <f>IF(OR(B299&gt;=GD299,B299&lt;GC299),0,15/36*K299-MAX(0,64.6-(137.6-(Sheet1!AA297+Sheet1!AB297))))</f>
        <v>0</v>
      </c>
      <c r="AW299" s="1029"/>
      <c r="AX299" s="649"/>
      <c r="AY299" s="649">
        <f t="shared" si="668"/>
        <v>23.311716569431731</v>
      </c>
      <c r="AZ299" s="649">
        <f t="shared" si="669"/>
        <v>0</v>
      </c>
      <c r="BA299" s="1059">
        <f t="shared" si="670"/>
        <v>0</v>
      </c>
      <c r="BB299" s="1019">
        <f t="shared" ref="BB299:BB362" si="706">GO299+GQ299</f>
        <v>60.178990253336153</v>
      </c>
      <c r="BC299" s="1041">
        <f t="shared" si="671"/>
        <v>0</v>
      </c>
      <c r="BD299" s="1019">
        <f ca="1">IF(B299&gt;(Summary!$A$1-1),#N/A,BB299*MGtoAF)</f>
        <v>184.62914209723533</v>
      </c>
      <c r="BE299" s="535">
        <f>Sheet1!BG297+Sheet1!BH297+Sheet1!BI297-BM299</f>
        <v>3.29</v>
      </c>
      <c r="BF299" s="535">
        <f t="shared" ref="BF299:BF362" si="707">BE299+(DO299*BE299)</f>
        <v>3.2820338983050847</v>
      </c>
      <c r="BG299" s="535">
        <f>IF(Sheet1!EP297="FM",BM299,0)</f>
        <v>0</v>
      </c>
      <c r="BH299" s="535">
        <f t="shared" ref="BH299:BH362" si="708">BG299+(DO299*BG299)</f>
        <v>0</v>
      </c>
      <c r="BI299" s="535">
        <f>IF(Sheet1!EP297="OTHER",BM299,0)</f>
        <v>0</v>
      </c>
      <c r="BJ299" s="535">
        <f t="shared" ref="BJ299:BJ362" si="709">BI299+(DO299*BI299)</f>
        <v>0</v>
      </c>
      <c r="BK299" s="535">
        <f t="shared" ref="BK299:BK362" si="710">MAX(BE299,BG299,BI299)</f>
        <v>3.29</v>
      </c>
      <c r="BL299" s="535">
        <f t="shared" ref="BL299:BL362" si="711">MAX(BF299,BH299,BJ299)</f>
        <v>3.2820338983050847</v>
      </c>
      <c r="BM299" s="535">
        <f>IF(OR(Sheet1!EP297="FM", Sheet1!EP297="OTHER"),SUM(Sheet1!BG297:'Sheet1'!BI297),0)</f>
        <v>0</v>
      </c>
      <c r="BN299" s="521">
        <f>IF(AND($B299&gt;=$FV299,$B299&lt;=$FW299),MAX(BF299,Sheet1!EI297,0),MAX(BF299-(7/36)*$K299,0))</f>
        <v>4</v>
      </c>
      <c r="BO299" s="535">
        <f t="shared" ref="BO299:BO362" si="712">IF(B299&gt;=GC299,IF(B299&lt;=GD299,(7/36)*K299-BF299,0),0)</f>
        <v>0</v>
      </c>
      <c r="BP299" s="521">
        <f t="shared" ref="BP299:BP362" si="713">MAX(BL299-BN299,0)</f>
        <v>0</v>
      </c>
      <c r="BQ299" s="521">
        <f>IF(AND($O299&gt;0,Sheet1!EM297=1),(1-($O299-Sheet1!$L297)/$O299)*BL299,0)</f>
        <v>0</v>
      </c>
      <c r="BR299" s="521">
        <f>IF(AND(Sheet1!$L297=0,Sheet1!$L296=0, Calculation!BK299&lt;Sheet1!$EI297-0.1,Sheet1!$EI297=Sheet1!$EI296,Sheet1!$EI297=Sheet1!$EI298),BL299-BQ299,BL299-BQ299)</f>
        <v>3.2820338983050847</v>
      </c>
      <c r="BS299" s="1035" t="str">
        <f t="shared" si="672"/>
        <v/>
      </c>
      <c r="BT299" s="1035">
        <f t="shared" si="673"/>
        <v>0</v>
      </c>
      <c r="BU299" s="535">
        <f t="shared" ref="BU299:BU362" si="714">GV299+GX299</f>
        <v>40.584534516318428</v>
      </c>
      <c r="BV299" s="535"/>
      <c r="BW299" s="535">
        <f ca="1">IF(B299&gt;(Summary!$A$1-1),#N/A,BU299*MGtoAF)</f>
        <v>124.51335189606493</v>
      </c>
      <c r="BX299" s="535">
        <f>Sheet1!BC297+Sheet1!BD297+Sheet1!BE297+Sheet1!BF297-CG299-CH299</f>
        <v>2.99</v>
      </c>
      <c r="BY299" s="535">
        <f t="shared" ref="BY299:BY362" si="715">BX299+(DO299*BX299)</f>
        <v>2.9827602905569011</v>
      </c>
      <c r="BZ299" s="535">
        <f>IF(Sheet1!EQ297="FM",CH299,0)</f>
        <v>0</v>
      </c>
      <c r="CA299" s="535">
        <f t="shared" ref="CA299:CA362" si="716">BZ299+(DO299*BZ299)</f>
        <v>0</v>
      </c>
      <c r="CB299" s="535">
        <f>IF(Sheet1!EQ297="OTHER",CH299,0)</f>
        <v>0</v>
      </c>
      <c r="CC299" s="535">
        <f t="shared" ref="CC299:CC362" si="717">CB299+(DO299*CB299)</f>
        <v>0</v>
      </c>
      <c r="CD299" s="535">
        <f t="shared" ref="CD299:CD362" si="718">CG299</f>
        <v>0</v>
      </c>
      <c r="CE299" s="535">
        <f t="shared" ref="CE299:CE362" si="719">MAX(BX299,BZ299,CB299)</f>
        <v>2.99</v>
      </c>
      <c r="CF299" s="535">
        <f t="shared" ref="CF299:CF362" si="720">MAX(BY299,CA299, CC299)</f>
        <v>2.9827602905569011</v>
      </c>
      <c r="CG299" s="535">
        <f>IF(Sheet1!EQ297="CWA",SUM(Sheet1!BC297:'Sheet1'!BF297),0)</f>
        <v>0</v>
      </c>
      <c r="CH299" s="535">
        <f>IF(OR(Sheet1!EQ297="FM", Sheet1!EQ297="OTHER"),SUM(Sheet1!BC297:'Sheet1'!BF297),0)</f>
        <v>0</v>
      </c>
      <c r="CI299" s="521">
        <f>IF(AND($B299&gt;=$FV299,$B299&lt;=$FW299),MAX(CF299,Sheet1!EJ297,0),MAX(CF299-(7/36)*$K299,0))</f>
        <v>3</v>
      </c>
      <c r="CJ299" s="535">
        <f t="shared" ref="CJ299:CJ362" si="721">IF(B299&gt;=GC299,IF(B299&lt;=GD299,(7/36)*K299-BY299,0),0)</f>
        <v>0</v>
      </c>
      <c r="CK299" s="521">
        <f t="shared" ref="CK299:CK362" si="722">MAX(CF299-CI299,0)</f>
        <v>0</v>
      </c>
      <c r="CL299" s="521">
        <f>IF(AND($O299&gt;0,Sheet1!EN297=1),(1-($O299-Sheet1!$L297)/$O299)*CF299,0)</f>
        <v>0</v>
      </c>
      <c r="CM299" s="521">
        <f>IF(AND(Sheet1!$L297=0,Sheet1!$L296=0, Calculation!CE299&lt;Sheet1!EJ297-0.1,Sheet1!EJ297=Sheet1!EJ296,Sheet1!EJ297=Sheet1!EJ298),CF299-CL299,CF299-CL299)</f>
        <v>2.9827602905569011</v>
      </c>
      <c r="CN299" s="1040" t="str">
        <f t="shared" si="674"/>
        <v/>
      </c>
      <c r="CO299" s="1035">
        <f t="shared" si="675"/>
        <v>0</v>
      </c>
      <c r="CP299" s="535">
        <f t="shared" ref="CP299:CP362" si="723">HC299+HE299</f>
        <v>72.397440340713686</v>
      </c>
      <c r="CQ299" s="535"/>
      <c r="CR299" s="535">
        <f ca="1">IF(B299&gt;(Summary!$A$1-1),#N/A,CP299*MGtoAF)</f>
        <v>222.11534696530958</v>
      </c>
      <c r="CS299" s="535">
        <f>Sheet1!BK297+Sheet1!BL297+Sheet1!BM297-Sheet1!ER297-DA299</f>
        <v>6.76</v>
      </c>
      <c r="CT299" s="535">
        <f t="shared" ref="CT299:CT362" si="724">CS299+(DO299*CS299)</f>
        <v>6.74363196125908</v>
      </c>
      <c r="CU299" s="535">
        <f>IF(Sheet1!ER297="FM",DA299,0)</f>
        <v>0</v>
      </c>
      <c r="CV299" s="535">
        <f t="shared" ref="CV299:CV362" si="725">CU299+(DO299*CU299)</f>
        <v>0</v>
      </c>
      <c r="CW299" s="535">
        <f>IF(Sheet1!ER297="OTHER",DA299,0)</f>
        <v>0</v>
      </c>
      <c r="CX299" s="535">
        <f t="shared" ref="CX299:CX362" si="726">CW299+(DO299*CW299)</f>
        <v>0</v>
      </c>
      <c r="CY299" s="535">
        <f t="shared" ref="CY299:CY362" si="727">MAX(CS299,CU299)</f>
        <v>6.76</v>
      </c>
      <c r="CZ299" s="535">
        <f t="shared" ref="CZ299:CZ362" si="728">MAX(CT299,CV299)</f>
        <v>6.74363196125908</v>
      </c>
      <c r="DA299" s="535">
        <f>IF(OR(Sheet1!ER297="FM", Sheet1!ER297="OTHER"),SUM(Sheet1!BK297:'Sheet1'!BM297),0)</f>
        <v>0</v>
      </c>
      <c r="DB299" s="1011">
        <f>IF(AND($B299&gt;=$FV299,$B299&lt;=$FW299),MAX($CT299,Sheet1!EK297,0),MAX($CT299-(7/36)*$K299,0))</f>
        <v>6.74363196125908</v>
      </c>
      <c r="DC299" s="1012">
        <f t="shared" ref="DC299:DC362" si="729">IF(B299&gt;=GC299,IF(B299&lt;=GD299,(7/36)*K299-CT299,0),0)</f>
        <v>0</v>
      </c>
      <c r="DD299" s="1011">
        <f t="shared" ref="DD299:DD362" si="730">MAX(CZ299-DB299,0)</f>
        <v>0</v>
      </c>
      <c r="DE299" s="521">
        <f>IF(AND($O299&gt;0,Sheet1!EO297=1),(1-($O299-Sheet1!$L297)/$O299)*CZ299,0)</f>
        <v>0</v>
      </c>
      <c r="DF299" s="521">
        <f>IF(AND(Sheet1!$L297=0,Sheet1!$L296=0, Calculation!CY299&lt;Sheet1!$EK297-0.1,Sheet1!$EK297=Sheet1!$EK296,Sheet1!$EK297=Sheet1!$EK298),CZ299-DE299,CZ299-DE299)</f>
        <v>6.74363196125908</v>
      </c>
      <c r="DG299" s="1040">
        <f t="shared" si="676"/>
        <v>0</v>
      </c>
      <c r="DH299" s="649">
        <f t="shared" ref="DH299:DH362" si="731">BK299+CE299+CY299</f>
        <v>13.04</v>
      </c>
      <c r="DI299" s="535">
        <f t="shared" ref="DI299:DI362" si="732">HJ299+HL299</f>
        <v>62.338729446334355</v>
      </c>
      <c r="DJ299" s="649">
        <f t="shared" ref="DJ299:DJ362" si="733">BL299+CF299+CZ299</f>
        <v>13.008426150121066</v>
      </c>
      <c r="DK299" s="535">
        <f ca="1">IF(B299&gt;(Summary!$A$1-1),#N/A,DI299*MGtoAF)</f>
        <v>191.2552219413538</v>
      </c>
      <c r="DL299" s="649">
        <f t="shared" ref="DL299:DL362" si="734">CY299+CE299+BK299</f>
        <v>13.04</v>
      </c>
      <c r="DM299" s="535">
        <f t="shared" ref="DM299:DM362" si="735">DL299+AP299</f>
        <v>33.04</v>
      </c>
      <c r="DN299" s="535">
        <f>Sheet1!AB297-DM299</f>
        <v>-7.9999999999998295E-2</v>
      </c>
      <c r="DO299" s="743">
        <f t="shared" ref="DO299:DO362" si="736">IF(DM299=0,0,DN299/DM299)</f>
        <v>-2.4213075060532173E-3</v>
      </c>
      <c r="DP299" s="535">
        <f>(VLOOKUP(Sheet1!DC297,hhdcap_wcm,4)-(((VLOOKUP(Sheet1!DC297,hhdcap_wcm,3)-Sheet1!DC297)/(VLOOKUP(Sheet1!DC297,hhdcap_wcm,3)-VLOOKUP(Sheet1!DC297,hhdcap_wcm,1)))*(VLOOKUP(Sheet1!DC297,hhdcap_wcm,4)-VLOOKUP(Sheet1!DC297,hhdcap_wcm,2))))</f>
        <v>9969.2000000220323</v>
      </c>
      <c r="DQ299" s="535">
        <f t="shared" ref="DQ299:DQ362" si="737">DP299-DP298</f>
        <v>-561.80000000170548</v>
      </c>
      <c r="DR299" s="535">
        <f t="shared" ref="DR299:DR362" si="738">DQ299*AFtoCFS</f>
        <v>-283.30811901245858</v>
      </c>
      <c r="DS299" s="535">
        <f>Sheet1!EA297*AFtoMG</f>
        <v>0</v>
      </c>
      <c r="DT299" s="535">
        <f>Sheet1!EB297*AFtoMG</f>
        <v>0</v>
      </c>
      <c r="DU299" s="535">
        <f>Sheet1!EC297*AFtoMG</f>
        <v>0</v>
      </c>
      <c r="DV299" s="535">
        <f>Sheet1!ED297*AFtoMG</f>
        <v>0</v>
      </c>
      <c r="DW299" s="535">
        <f t="shared" ref="DW299:DW362" si="739">SUM(DS299:DV299)</f>
        <v>0</v>
      </c>
      <c r="DX299" s="535">
        <f t="shared" ref="DX299:DX362" si="740">DW299*MGtoAF</f>
        <v>0</v>
      </c>
      <c r="DY299" s="535">
        <f t="shared" ref="DY299:DY362" si="741">AN299</f>
        <v>235.49969455670262</v>
      </c>
      <c r="DZ299" s="535">
        <f t="shared" ref="DZ299:DZ362" si="742">DY299*MGtoAF</f>
        <v>722.51306289996364</v>
      </c>
      <c r="EA299" s="535"/>
      <c r="EB299" s="521">
        <f>IF(OR(B299&lt;FV299,B299&gt;FW299),(MIN(BF299+BY299+CT299+MAX(Sheet1!AA297+AQ299-73,0),K299)),0)</f>
        <v>0</v>
      </c>
      <c r="EC299" s="535"/>
      <c r="ED299" s="535">
        <f t="shared" ref="ED299:ED362" si="743">CT299+BF299+BY299</f>
        <v>13.008426150121064</v>
      </c>
      <c r="EE299" s="535"/>
      <c r="EF299" s="535">
        <f>Sheet1!EH297+Sheet1!EI297+Sheet1!EJ297+Sheet1!EK297</f>
        <v>13.5</v>
      </c>
      <c r="EG299" s="1019">
        <f t="shared" si="677"/>
        <v>20.884499999999999</v>
      </c>
      <c r="EH299" s="521">
        <f t="shared" ref="EH299:EH362" si="744">EB299-BP299-CK299-DD299</f>
        <v>0</v>
      </c>
      <c r="EI299" s="535">
        <f>IF(Sheet1!ET297=1,SUM('Calculations II'!AT299:BA299)+'Calculations II'!BC299+Sheet1!BV297+'Calculations II'!BE299+AP299,'Calculations II'!BK299)</f>
        <v>49.023017849878933</v>
      </c>
      <c r="EJ299" s="535">
        <f ca="1">EI299+'Calculations II'!D299+'Calculations II'!E299+'Calculations II'!O299</f>
        <v>49.163415338300695</v>
      </c>
      <c r="EK299" s="535"/>
      <c r="EL299" s="535"/>
      <c r="EM299" s="535">
        <f t="shared" ref="EM299:EM362" si="745">B299</f>
        <v>43023</v>
      </c>
      <c r="EN299" s="535">
        <f t="shared" ref="EN299:EN362" si="746">AJ299-AH299</f>
        <v>-13.743631961259084</v>
      </c>
      <c r="EO299" s="535">
        <f t="shared" ref="EO299:EO362" si="747">AK299-AI299</f>
        <v>-21.2613986440678</v>
      </c>
      <c r="EP299" s="535">
        <v>0</v>
      </c>
      <c r="EQ299" s="535">
        <v>0</v>
      </c>
      <c r="ER299" s="535">
        <v>0</v>
      </c>
      <c r="ES299" s="521">
        <f t="shared" si="643"/>
        <v>1.247016712235268</v>
      </c>
      <c r="ET299" s="535">
        <f>-(VLOOKUP(Sheet1!BQ297,Lookup!$O$4:$Q$262,2)-VLOOKUP(Sheet1!BQ296,Lookup!$O$4:$Q$262,2))/1000000</f>
        <v>0.69268022913790117</v>
      </c>
      <c r="EU299" s="535">
        <f>-(VLOOKUP(Sheet1!BR297,Lookup!$O$4:$Q$262,3)-VLOOKUP(Sheet1!BR296,Lookup!$O$4:$Q$262,3))/1000000</f>
        <v>0.55433648309736694</v>
      </c>
      <c r="EV299" s="535"/>
      <c r="EW299" s="535"/>
      <c r="EX299" s="535"/>
      <c r="EY299" s="535"/>
      <c r="EZ299" s="535"/>
      <c r="FA299" s="535"/>
      <c r="FB299" s="535"/>
      <c r="FC299" s="535"/>
      <c r="FD299" s="567">
        <f t="shared" si="693"/>
        <v>1105.6793103447787</v>
      </c>
      <c r="FE299" s="567" t="e">
        <f t="shared" ref="FE299:FE362" si="748">MAX((FE298-FI299*1.983),0)</f>
        <v>#N/A</v>
      </c>
      <c r="FF299" s="568" t="e">
        <f t="shared" ref="FF299:FF362" si="749">IF(DP299-AO299-FE299-1220&lt;0,0,DP299-AO299-FE299-1220)</f>
        <v>#N/A</v>
      </c>
      <c r="FG299" s="569" t="s">
        <v>656</v>
      </c>
      <c r="FH299" s="569" t="s">
        <v>656</v>
      </c>
      <c r="FI299" s="567" t="e">
        <v>#N/A</v>
      </c>
      <c r="FJ299" s="725">
        <v>6264</v>
      </c>
      <c r="FK299" s="535"/>
      <c r="FL299" s="1015">
        <f t="shared" si="692"/>
        <v>105.90015128593041</v>
      </c>
      <c r="FM299" s="535"/>
      <c r="FN299" s="535"/>
      <c r="FO299" s="535">
        <f>O299+((Sheet1!CS297)*GPMtoMGD)</f>
        <v>61.06</v>
      </c>
      <c r="FP299" s="535">
        <f>IF(Sheet1!AA297+AQ299&lt;=Calculation!N299,AQ299,Calculation!N299-Sheet1!AA297)</f>
        <v>19.951573849878937</v>
      </c>
      <c r="FQ299" s="535">
        <f>(Sheet1!BP297+Sheet1!BO297)/694.4</f>
        <v>1.3695276497695854</v>
      </c>
      <c r="FR299" s="541"/>
      <c r="FS299" s="541"/>
      <c r="FT299" s="541"/>
      <c r="FU299" s="541"/>
      <c r="FV299" s="1109">
        <f t="shared" si="644"/>
        <v>42918</v>
      </c>
      <c r="FW299" s="1109">
        <f t="shared" si="645"/>
        <v>43027</v>
      </c>
      <c r="FX299" s="541"/>
      <c r="FY299" s="541">
        <f>Sheet1!DA297-Sheet1!CZ297-Sheet1!AE297</f>
        <v>1.5401800000000065</v>
      </c>
      <c r="FZ299" s="535">
        <f t="shared" si="678"/>
        <v>6.3989694778268345E-3</v>
      </c>
      <c r="GA299" s="535"/>
      <c r="GB299" s="535" t="str">
        <f t="shared" si="646"/>
        <v>n</v>
      </c>
      <c r="GC299" s="539">
        <f t="shared" si="647"/>
        <v>42782</v>
      </c>
      <c r="GD299" s="1109">
        <f t="shared" si="648"/>
        <v>42904</v>
      </c>
      <c r="GE299" s="535">
        <f t="shared" si="664"/>
        <v>6520</v>
      </c>
      <c r="GF299" s="1109">
        <f t="shared" si="649"/>
        <v>42909</v>
      </c>
      <c r="GG299" s="535">
        <f t="shared" si="691"/>
        <v>3260</v>
      </c>
      <c r="GH299" s="539">
        <f t="shared" si="650"/>
        <v>43040</v>
      </c>
      <c r="GJ299" s="521">
        <f t="shared" si="651"/>
        <v>0</v>
      </c>
      <c r="GK299" s="535" t="str">
        <f t="shared" ref="GK299:GK362" si="750">CONCATENATE(GM299,HA299,GT299,HH299)</f>
        <v/>
      </c>
      <c r="GL299" s="535">
        <f t="shared" si="652"/>
        <v>0</v>
      </c>
      <c r="GM299" s="535" t="str">
        <f t="shared" si="653"/>
        <v/>
      </c>
      <c r="GN299" s="535">
        <f>IF(GK299="P",Lookup!$M$12,IF(GK299="PP",Lookup!$M$13,IF(GK299="PPP",Lookup!$M$14,IF(GK299="T",Lookup!$M$15,IF(GK299="TP",Lookup!$M$16,IF(GK299="TPP",Lookup!$M$17,IF(GK299="TPPP",Lookup!$M$18,0)))))))*GJ299</f>
        <v>0</v>
      </c>
      <c r="GO299" s="535">
        <f t="shared" si="654"/>
        <v>0</v>
      </c>
      <c r="GP299" s="535">
        <f t="shared" ref="GP299:GP362" si="751">GQ299*MGtoAF</f>
        <v>184.62914209723533</v>
      </c>
      <c r="GQ299" s="974">
        <f t="shared" si="695"/>
        <v>60.178990253336153</v>
      </c>
      <c r="GR299" s="535"/>
      <c r="GS299" s="535">
        <f t="shared" si="655"/>
        <v>0</v>
      </c>
      <c r="GT299" s="535" t="str">
        <f t="shared" si="656"/>
        <v/>
      </c>
      <c r="GU299" s="535">
        <f>IF(GK299="P",Lookup!$N$12,IF(GK299="PP",Lookup!$N$13,IF(GK299="PPP",Lookup!$N$14,IF(GK299="T",Lookup!$N$15,IF(GK299="TP",Lookup!$N$16,IF(GK299="TPP",Lookup!$N$17,IF(GK299="TPPP",Lookup!$N$18,0)))))))*GJ299</f>
        <v>0</v>
      </c>
      <c r="GV299" s="535">
        <f t="shared" si="657"/>
        <v>0</v>
      </c>
      <c r="GW299" s="535">
        <f t="shared" ref="GW299:GW362" si="752">GX299*MGtoAF</f>
        <v>124.51335189606493</v>
      </c>
      <c r="GX299" s="974">
        <f t="shared" si="696"/>
        <v>40.584534516318428</v>
      </c>
      <c r="GY299" s="535"/>
      <c r="GZ299" s="535">
        <f t="shared" si="658"/>
        <v>0</v>
      </c>
      <c r="HA299" s="535" t="str">
        <f t="shared" si="659"/>
        <v/>
      </c>
      <c r="HB299" s="535">
        <f>IF(GK299="P",Lookup!$N$12,IF(GK299="PP",Lookup!$N$13,IF(GK299="PPP",Lookup!$N$14,IF(GK299="T",Lookup!$N$15,IF(GK299="TP",Lookup!$N$16,IF(GK299="TPP",Lookup!$N$17,IF(GK299="TPPP",Lookup!$N$18,0)))))))*GJ299</f>
        <v>0</v>
      </c>
      <c r="HC299" s="521">
        <f t="shared" ref="HC299:HC362" si="753">IF(HA299="P",MIN(HB299,7/36*GE299-HE299),0)</f>
        <v>0</v>
      </c>
      <c r="HD299" s="535">
        <f t="shared" ref="HD299:HD362" si="754">HE299*MGtoAF</f>
        <v>222.11534696530958</v>
      </c>
      <c r="HE299" s="535">
        <f t="shared" si="662"/>
        <v>72.397440340713686</v>
      </c>
      <c r="HF299" s="535"/>
      <c r="HG299" s="535">
        <f t="shared" si="660"/>
        <v>0</v>
      </c>
      <c r="HH299" s="535" t="str">
        <f t="shared" si="661"/>
        <v/>
      </c>
      <c r="HI299" s="535">
        <f>IF(GK299="P",Lookup!$N$12,IF(GK299="PP",Lookup!$N$13,IF(GK299="PPP",Lookup!$N$14,IF(GK299="T",Lookup!$N$15,IF(GK299="TP",Lookup!$N$16,IF(GK299="TPP",Lookup!$N$17,IF(GK299="TPPP",Lookup!$N$18,0)))))))*GJ299</f>
        <v>0</v>
      </c>
      <c r="HJ299" s="521">
        <f t="shared" ref="HJ299:HJ362" si="755">IF(HH299="P",MIN(HI299,7/36*GE299-HL299),0)</f>
        <v>0</v>
      </c>
      <c r="HK299" s="535">
        <f t="shared" ref="HK299:HK362" si="756">HL299*MGtoAF</f>
        <v>191.2552219413538</v>
      </c>
      <c r="HL299" s="535">
        <f t="shared" si="663"/>
        <v>62.338729446334355</v>
      </c>
      <c r="HM299" s="535"/>
      <c r="HN299" s="541"/>
      <c r="HO299" s="541"/>
      <c r="HP299" s="541"/>
      <c r="HQ299" s="541">
        <f>IF(AND(B299&gt;=$FV$4,B299&lt;=$FW$4),MAX(110/1.02+$HQ$6+MIN(113/1.02,G299),IF($HV$6-(Sheet1!DA297-Sheet1!DB297)+MIN(113/1.02,G299)&lt;G299+FL299,$HV$6-(Sheet1!DA297-Sheet1!DB297)+MIN(113/1.02,G299),G299+FL299)),MIN(110/1.02+$HQ$6+113/1.02,G299))</f>
        <v>218.62745098039215</v>
      </c>
      <c r="HR299" s="541">
        <f t="shared" si="679"/>
        <v>223</v>
      </c>
      <c r="HS299" s="541">
        <f>HR299+(Sheet1!DA297-Sheet1!DB297)</f>
        <v>427</v>
      </c>
      <c r="HT299" s="541">
        <f t="shared" si="680"/>
        <v>74.335784745762709</v>
      </c>
      <c r="HU299" s="541">
        <f t="shared" si="681"/>
        <v>352.66421525423732</v>
      </c>
      <c r="HV299" s="541">
        <f t="shared" si="682"/>
        <v>0</v>
      </c>
      <c r="HW299" s="533" t="str">
        <f t="shared" si="683"/>
        <v/>
      </c>
      <c r="HX299" s="541">
        <f t="shared" si="684"/>
        <v>284.11115037554003</v>
      </c>
      <c r="HY299" s="541">
        <f>Sheet1!CZ297</f>
        <v>524</v>
      </c>
      <c r="HZ299" s="541">
        <f t="shared" si="685"/>
        <v>21.2613986440678</v>
      </c>
      <c r="IA299" s="541">
        <f t="shared" si="686"/>
        <v>74.335784745762709</v>
      </c>
      <c r="IB299" s="541">
        <f t="shared" si="687"/>
        <v>502.73860135593219</v>
      </c>
      <c r="IC299" s="1019" t="str">
        <f t="shared" si="688"/>
        <v/>
      </c>
      <c r="ID299" s="541">
        <f t="shared" si="689"/>
        <v>428.40281661016945</v>
      </c>
      <c r="IE299" s="541">
        <f>Sheet1!DB297</f>
        <v>416</v>
      </c>
      <c r="IF299" s="533">
        <f>Sheet1!DA297</f>
        <v>620</v>
      </c>
      <c r="IH299" s="541">
        <f>IF(AND($B299&gt;=$GC299,$B299&lt;=$GH299,$DR299&lt;0)+N("only adjusted when pool is drawn down during storage season"),Sheet1!$DB297+$DR299+N("Palmer minus all storage release"),Sheet1!$DB297)</f>
        <v>132.69188098754142</v>
      </c>
      <c r="II299" s="541">
        <f>IF(AND($B299&gt;=$GC299,$B299&lt;=$GH299,$DR299&lt;0)+N("only adjusted when pool is drawn down during storage season"),Sheet1!$DA297+$DR299+N("Auburn minus all storage release"),Sheet1!$DA297)</f>
        <v>336.69188098754142</v>
      </c>
    </row>
    <row r="300" spans="1:243" x14ac:dyDescent="0.25">
      <c r="A300" s="553" t="s">
        <v>4</v>
      </c>
      <c r="B300" s="531">
        <v>43024</v>
      </c>
      <c r="C300" s="536">
        <v>0</v>
      </c>
      <c r="D300" s="506">
        <f t="shared" si="633"/>
        <v>300</v>
      </c>
      <c r="E300" s="506">
        <f t="shared" si="634"/>
        <v>250</v>
      </c>
      <c r="F300" s="506">
        <v>250</v>
      </c>
      <c r="G300" s="535">
        <f>DR300+Sheet1!CZ298</f>
        <v>270.93494704905044</v>
      </c>
      <c r="H300" s="1074">
        <f t="shared" si="690"/>
        <v>0</v>
      </c>
      <c r="I300" s="534">
        <f>IF(Sheet1!DA298&gt;=E300,(Sheet1!DA298-E300+P300)*CFStoMGD,0)</f>
        <v>339.070826496</v>
      </c>
      <c r="J300" s="995">
        <f>IF(Sheet1!DB298&gt;=D300,(Sheet1!DB298-D300+P300)*CFStoMGD,0)</f>
        <v>180.702826496</v>
      </c>
      <c r="K300" s="818">
        <f t="shared" si="665"/>
        <v>0</v>
      </c>
      <c r="L300" s="535">
        <f>Sheet1!AA298+Sheet1!AB298-Sheet1!L298+(Sheet1!DA298-F300)*CFStoMGD-S300-T300-U300</f>
        <v>325.7683377723971</v>
      </c>
      <c r="M300" s="535">
        <f t="shared" si="697"/>
        <v>178.63499676795632</v>
      </c>
      <c r="N300" s="824">
        <f>IF(Sheet1!DA298&gt;=F300,MIN(113*CFStoMGD,MIN(MAX(L300,0),MAX(M300,0))),0)</f>
        <v>73.043199999999999</v>
      </c>
      <c r="O300" s="538">
        <f>Sheet1!AA298+Sheet1!AB298</f>
        <v>61.120000000000005</v>
      </c>
      <c r="P300" s="538">
        <f t="shared" si="698"/>
        <v>94.552639999999997</v>
      </c>
      <c r="Q300" s="812">
        <f t="shared" si="666"/>
        <v>47.816337772397098</v>
      </c>
      <c r="R300" s="812">
        <f t="shared" si="635"/>
        <v>13.5</v>
      </c>
      <c r="S300" s="812">
        <f t="shared" si="636"/>
        <v>0</v>
      </c>
      <c r="T300" s="812">
        <f t="shared" si="637"/>
        <v>0</v>
      </c>
      <c r="U300" s="812">
        <f>IF(AND(B300&gt;=FV300,B300&lt;=FW300),ED300+Sheet1!EH298,0)</f>
        <v>13.303662227602906</v>
      </c>
      <c r="V300" s="812"/>
      <c r="W300" s="812">
        <f t="shared" si="638"/>
        <v>0</v>
      </c>
      <c r="X300" s="812">
        <f t="shared" si="639"/>
        <v>0</v>
      </c>
      <c r="Y300" s="812" t="str">
        <f t="shared" si="640"/>
        <v>FALSE</v>
      </c>
      <c r="Z300" s="812">
        <f t="shared" si="641"/>
        <v>61.120000000000005</v>
      </c>
      <c r="AA300" s="812">
        <f t="shared" si="642"/>
        <v>61.120000000000005</v>
      </c>
      <c r="AB300" s="1059">
        <f t="shared" si="667"/>
        <v>73.971874533898301</v>
      </c>
      <c r="AC300" s="538">
        <f>Sheet1!Y298*MGDtoCFS</f>
        <v>43.470700000000001</v>
      </c>
      <c r="AD300" s="538">
        <f>Sheet1!Z298*MGDtoCFS</f>
        <v>50.98912</v>
      </c>
      <c r="AE300" s="538">
        <f>Sheet1!AA298*MGDtoCFS</f>
        <v>43.578989999999997</v>
      </c>
      <c r="AF300" s="538">
        <f>Sheet1!AB298*MGDtoCFS</f>
        <v>50.973649999999999</v>
      </c>
      <c r="AG300" s="538">
        <f>Sheet1!L298*MGDtoCFS</f>
        <v>0</v>
      </c>
      <c r="AH300" s="521">
        <f t="shared" si="699"/>
        <v>13.60196731234867</v>
      </c>
      <c r="AI300" s="1059">
        <f t="shared" si="700"/>
        <v>21.042243432203392</v>
      </c>
      <c r="AJ300" s="535">
        <f t="shared" si="701"/>
        <v>0</v>
      </c>
      <c r="AK300" s="535">
        <f t="shared" si="702"/>
        <v>0</v>
      </c>
      <c r="AL300" s="535">
        <f>(VLOOKUP(Sheet1!DC298,hhdcap_wcm,4)-(((VLOOKUP(Sheet1!DC298,hhdcap_wcm,3)-Sheet1!DC298)/(VLOOKUP(Sheet1!DC298,hhdcap_wcm,3)-VLOOKUP(Sheet1!DC298,hhdcap_wcm,1)))*(VLOOKUP(Sheet1!DC298,hhdcap_wcm,4)-VLOOKUP(Sheet1!DC298,hhdcap_wcm,2))))</f>
        <v>9300.8000000202992</v>
      </c>
      <c r="AM300" s="535">
        <f t="shared" si="703"/>
        <v>-668.40000000173313</v>
      </c>
      <c r="AN300" s="1035">
        <f t="shared" si="704"/>
        <v>221.89772724435394</v>
      </c>
      <c r="AO300" s="535">
        <f t="shared" si="705"/>
        <v>680.78222718567793</v>
      </c>
      <c r="AP300" s="535">
        <f>Sheet1!BA298+Sheet1!BB298+Sheet1!BN298+CD300</f>
        <v>19.7</v>
      </c>
      <c r="AQ300" s="535">
        <f>Sheet1!BN298+(DO300*Sheet1!BN298)</f>
        <v>19.646337772397096</v>
      </c>
      <c r="AR300" s="535">
        <f>Sheet1!BA298+CD300</f>
        <v>0</v>
      </c>
      <c r="AS300" s="535">
        <f>Sheet1!BA298+Sheet1!BB298+CD300</f>
        <v>0</v>
      </c>
      <c r="AT300" s="649">
        <f>0</f>
        <v>0</v>
      </c>
      <c r="AU300" s="974">
        <f>BA300+MAX(Sheet1!EH298,(O300-Q300-ED300-S300))</f>
        <v>0</v>
      </c>
      <c r="AV300" s="535">
        <f>IF(OR(B300&gt;=GD300,B300&lt;GC300),0,15/36*K300-MAX(0,64.6-(137.6-(Sheet1!AA298+Sheet1!AB298))))</f>
        <v>0</v>
      </c>
      <c r="AW300" s="1029"/>
      <c r="AX300" s="649"/>
      <c r="AY300" s="649">
        <f t="shared" si="668"/>
        <v>23.311716569431731</v>
      </c>
      <c r="AZ300" s="649">
        <f t="shared" si="669"/>
        <v>0</v>
      </c>
      <c r="BA300" s="1059">
        <f t="shared" si="670"/>
        <v>0</v>
      </c>
      <c r="BB300" s="1019">
        <f t="shared" si="706"/>
        <v>60.178990253336153</v>
      </c>
      <c r="BC300" s="1041">
        <f t="shared" si="671"/>
        <v>0</v>
      </c>
      <c r="BD300" s="1019">
        <f ca="1">IF(B300&gt;(Summary!$A$1-1),#N/A,BB300*MGtoAF)</f>
        <v>184.62914209723533</v>
      </c>
      <c r="BE300" s="535">
        <f>Sheet1!BG298+Sheet1!BH298+Sheet1!BI298-BM300</f>
        <v>3.7299999999999995</v>
      </c>
      <c r="BF300" s="535">
        <f t="shared" si="707"/>
        <v>3.7198395883777238</v>
      </c>
      <c r="BG300" s="535">
        <f>IF(Sheet1!EP298="FM",BM300,0)</f>
        <v>0</v>
      </c>
      <c r="BH300" s="535">
        <f t="shared" si="708"/>
        <v>0</v>
      </c>
      <c r="BI300" s="535">
        <f>IF(Sheet1!EP298="OTHER",BM300,0)</f>
        <v>0</v>
      </c>
      <c r="BJ300" s="535">
        <f t="shared" si="709"/>
        <v>0</v>
      </c>
      <c r="BK300" s="535">
        <f t="shared" si="710"/>
        <v>3.7299999999999995</v>
      </c>
      <c r="BL300" s="535">
        <f t="shared" si="711"/>
        <v>3.7198395883777238</v>
      </c>
      <c r="BM300" s="535">
        <f>IF(OR(Sheet1!EP298="FM", Sheet1!EP298="OTHER"),SUM(Sheet1!BG298:'Sheet1'!BI298),0)</f>
        <v>0</v>
      </c>
      <c r="BN300" s="521">
        <f>IF(AND($B300&gt;=$FV300,$B300&lt;=$FW300),MAX(BF300,Sheet1!EI298,0),MAX(BF300-(7/36)*$K300,0))</f>
        <v>4</v>
      </c>
      <c r="BO300" s="535">
        <f t="shared" si="712"/>
        <v>0</v>
      </c>
      <c r="BP300" s="521">
        <f t="shared" si="713"/>
        <v>0</v>
      </c>
      <c r="BQ300" s="521">
        <f>IF(AND($O300&gt;0,Sheet1!EM298=1),(1-($O300-Sheet1!$L298)/$O300)*BL300,0)</f>
        <v>0</v>
      </c>
      <c r="BR300" s="521">
        <f>IF(AND(Sheet1!$L298=0,Sheet1!$L297=0, Calculation!BK300&lt;Sheet1!$EI298-0.1,Sheet1!$EI298=Sheet1!$EI297,Sheet1!$EI298=Sheet1!$EI299),BL300-BQ300,BL300-BQ300)</f>
        <v>3.7198395883777238</v>
      </c>
      <c r="BS300" s="1035" t="str">
        <f t="shared" si="672"/>
        <v/>
      </c>
      <c r="BT300" s="1035">
        <f t="shared" si="673"/>
        <v>0</v>
      </c>
      <c r="BU300" s="535">
        <f t="shared" si="714"/>
        <v>36.584534516318428</v>
      </c>
      <c r="BV300" s="535"/>
      <c r="BW300" s="535">
        <f ca="1">IF(B300&gt;(Summary!$A$1-1),#N/A,BU300*MGtoAF)</f>
        <v>112.24135189606494</v>
      </c>
      <c r="BX300" s="535">
        <f>Sheet1!BC298+Sheet1!BD298+Sheet1!BE298+Sheet1!BF298-CG300-CH300</f>
        <v>2.99</v>
      </c>
      <c r="BY300" s="535">
        <f t="shared" si="715"/>
        <v>2.9818553268765138</v>
      </c>
      <c r="BZ300" s="535">
        <f>IF(Sheet1!EQ298="FM",CH300,0)</f>
        <v>0</v>
      </c>
      <c r="CA300" s="535">
        <f t="shared" si="716"/>
        <v>0</v>
      </c>
      <c r="CB300" s="535">
        <f>IF(Sheet1!EQ298="OTHER",CH300,0)</f>
        <v>0</v>
      </c>
      <c r="CC300" s="535">
        <f t="shared" si="717"/>
        <v>0</v>
      </c>
      <c r="CD300" s="535">
        <f t="shared" si="718"/>
        <v>0</v>
      </c>
      <c r="CE300" s="535">
        <f t="shared" si="719"/>
        <v>2.99</v>
      </c>
      <c r="CF300" s="535">
        <f t="shared" si="720"/>
        <v>2.9818553268765138</v>
      </c>
      <c r="CG300" s="535">
        <f>IF(Sheet1!EQ298="CWA",SUM(Sheet1!BC298:'Sheet1'!BF298),0)</f>
        <v>0</v>
      </c>
      <c r="CH300" s="535">
        <f>IF(OR(Sheet1!EQ298="FM", Sheet1!EQ298="OTHER"),SUM(Sheet1!BC298:'Sheet1'!BF298),0)</f>
        <v>0</v>
      </c>
      <c r="CI300" s="521">
        <f>IF(AND($B300&gt;=$FV300,$B300&lt;=$FW300),MAX(CF300,Sheet1!EJ298,0),MAX(CF300-(7/36)*$K300,0))</f>
        <v>3</v>
      </c>
      <c r="CJ300" s="535">
        <f t="shared" si="721"/>
        <v>0</v>
      </c>
      <c r="CK300" s="521">
        <f t="shared" si="722"/>
        <v>0</v>
      </c>
      <c r="CL300" s="521">
        <f>IF(AND($O300&gt;0,Sheet1!EN298=1),(1-($O300-Sheet1!$L298)/$O300)*CF300,0)</f>
        <v>0</v>
      </c>
      <c r="CM300" s="521">
        <f>IF(AND(Sheet1!$L298=0,Sheet1!$L297=0, Calculation!CE300&lt;Sheet1!EJ298-0.1,Sheet1!EJ298=Sheet1!EJ297,Sheet1!EJ298=Sheet1!EJ299),CF300-CL300,CF300-CL300)</f>
        <v>2.9818553268765138</v>
      </c>
      <c r="CN300" s="1040" t="str">
        <f t="shared" si="674"/>
        <v/>
      </c>
      <c r="CO300" s="1035">
        <f t="shared" si="675"/>
        <v>0</v>
      </c>
      <c r="CP300" s="535">
        <f t="shared" si="723"/>
        <v>69.397440340713686</v>
      </c>
      <c r="CQ300" s="535"/>
      <c r="CR300" s="535">
        <f ca="1">IF(B300&gt;(Summary!$A$1-1),#N/A,CP300*MGtoAF)</f>
        <v>212.9113469653096</v>
      </c>
      <c r="CS300" s="535">
        <f>Sheet1!BK298+Sheet1!BL298+Sheet1!BM298-Sheet1!ER298-DA300</f>
        <v>6.62</v>
      </c>
      <c r="CT300" s="535">
        <f t="shared" si="724"/>
        <v>6.6019673123486688</v>
      </c>
      <c r="CU300" s="535">
        <f>IF(Sheet1!ER298="FM",DA300,0)</f>
        <v>0</v>
      </c>
      <c r="CV300" s="535">
        <f t="shared" si="725"/>
        <v>0</v>
      </c>
      <c r="CW300" s="535">
        <f>IF(Sheet1!ER298="OTHER",DA300,0)</f>
        <v>0</v>
      </c>
      <c r="CX300" s="535">
        <f t="shared" si="726"/>
        <v>0</v>
      </c>
      <c r="CY300" s="535">
        <f t="shared" si="727"/>
        <v>6.62</v>
      </c>
      <c r="CZ300" s="535">
        <f t="shared" si="728"/>
        <v>6.6019673123486688</v>
      </c>
      <c r="DA300" s="535">
        <f>IF(OR(Sheet1!ER298="FM", Sheet1!ER298="OTHER"),SUM(Sheet1!BK298:'Sheet1'!BM298),0)</f>
        <v>0</v>
      </c>
      <c r="DB300" s="1011">
        <f>IF(AND($B300&gt;=$FV300,$B300&lt;=$FW300),MAX($CT300,Sheet1!EK298,0),MAX($CT300-(7/36)*$K300,0))</f>
        <v>6.6019673123486688</v>
      </c>
      <c r="DC300" s="1012">
        <f t="shared" si="729"/>
        <v>0</v>
      </c>
      <c r="DD300" s="1011">
        <f t="shared" si="730"/>
        <v>0</v>
      </c>
      <c r="DE300" s="521">
        <f>IF(AND($O300&gt;0,Sheet1!EO298=1),(1-($O300-Sheet1!$L298)/$O300)*CZ300,0)</f>
        <v>0</v>
      </c>
      <c r="DF300" s="521">
        <f>IF(AND(Sheet1!$L298=0,Sheet1!$L297=0, Calculation!CY300&lt;Sheet1!$EK298-0.1,Sheet1!$EK298=Sheet1!$EK297,Sheet1!$EK298=Sheet1!$EK299),CZ300-DE300,CZ300-DE300)</f>
        <v>6.6019673123486688</v>
      </c>
      <c r="DG300" s="1040">
        <f t="shared" si="676"/>
        <v>0</v>
      </c>
      <c r="DH300" s="649">
        <f t="shared" si="731"/>
        <v>13.34</v>
      </c>
      <c r="DI300" s="535">
        <f t="shared" si="732"/>
        <v>55.736762133985685</v>
      </c>
      <c r="DJ300" s="649">
        <f t="shared" si="733"/>
        <v>13.303662227602906</v>
      </c>
      <c r="DK300" s="535">
        <f ca="1">IF(B300&gt;(Summary!$A$1-1),#N/A,DI300*MGtoAF)</f>
        <v>171.00038622706808</v>
      </c>
      <c r="DL300" s="649">
        <f t="shared" si="734"/>
        <v>13.34</v>
      </c>
      <c r="DM300" s="535">
        <f t="shared" si="735"/>
        <v>33.04</v>
      </c>
      <c r="DN300" s="535">
        <f>Sheet1!AB298-DM300</f>
        <v>-8.9999999999996305E-2</v>
      </c>
      <c r="DO300" s="743">
        <f t="shared" si="736"/>
        <v>-2.7239709443098157E-3</v>
      </c>
      <c r="DP300" s="535">
        <f>(VLOOKUP(Sheet1!DC298,hhdcap_wcm,4)-(((VLOOKUP(Sheet1!DC298,hhdcap_wcm,3)-Sheet1!DC298)/(VLOOKUP(Sheet1!DC298,hhdcap_wcm,3)-VLOOKUP(Sheet1!DC298,hhdcap_wcm,1)))*(VLOOKUP(Sheet1!DC298,hhdcap_wcm,4)-VLOOKUP(Sheet1!DC298,hhdcap_wcm,2))))</f>
        <v>9300.8000000202992</v>
      </c>
      <c r="DQ300" s="535">
        <f t="shared" si="737"/>
        <v>-668.40000000173313</v>
      </c>
      <c r="DR300" s="535">
        <f t="shared" si="738"/>
        <v>-337.06505295094956</v>
      </c>
      <c r="DS300" s="535">
        <f>Sheet1!EA298*AFtoMG</f>
        <v>0</v>
      </c>
      <c r="DT300" s="535">
        <f>Sheet1!EB298*AFtoMG</f>
        <v>0</v>
      </c>
      <c r="DU300" s="535">
        <f>Sheet1!EC298*AFtoMG</f>
        <v>0</v>
      </c>
      <c r="DV300" s="535">
        <f>Sheet1!ED298*AFtoMG</f>
        <v>0</v>
      </c>
      <c r="DW300" s="535">
        <f t="shared" si="739"/>
        <v>0</v>
      </c>
      <c r="DX300" s="535">
        <f t="shared" si="740"/>
        <v>0</v>
      </c>
      <c r="DY300" s="535">
        <f t="shared" si="741"/>
        <v>221.89772724435394</v>
      </c>
      <c r="DZ300" s="535">
        <f t="shared" si="742"/>
        <v>680.78222718567793</v>
      </c>
      <c r="EA300" s="535"/>
      <c r="EB300" s="521">
        <f>IF(OR(B300&lt;FV300,B300&gt;FW300),(MIN(BF300+BY300+CT300+MAX(Sheet1!AA298+AQ300-73,0),K300)),0)</f>
        <v>0</v>
      </c>
      <c r="EC300" s="535"/>
      <c r="ED300" s="535">
        <f t="shared" si="743"/>
        <v>13.303662227602906</v>
      </c>
      <c r="EE300" s="535"/>
      <c r="EF300" s="535">
        <f>Sheet1!EH298+Sheet1!EI298+Sheet1!EJ298+Sheet1!EK298</f>
        <v>13.5</v>
      </c>
      <c r="EG300" s="1019">
        <f t="shared" si="677"/>
        <v>20.884499999999999</v>
      </c>
      <c r="EH300" s="521">
        <f t="shared" si="744"/>
        <v>0</v>
      </c>
      <c r="EI300" s="535">
        <f>IF(Sheet1!ET298=1,SUM('Calculations II'!AT300:BA300)+'Calculations II'!BC300+Sheet1!BV298+'Calculations II'!BE300+AP300,'Calculations II'!BK300)</f>
        <v>50.765357772397103</v>
      </c>
      <c r="EJ300" s="535">
        <f ca="1">EI300+'Calculations II'!D300+'Calculations II'!E300+'Calculations II'!O300</f>
        <v>46.120722934239474</v>
      </c>
      <c r="EK300" s="535"/>
      <c r="EL300" s="535"/>
      <c r="EM300" s="535">
        <f t="shared" si="745"/>
        <v>43024</v>
      </c>
      <c r="EN300" s="535">
        <f t="shared" si="746"/>
        <v>-13.60196731234867</v>
      </c>
      <c r="EO300" s="535">
        <f t="shared" si="747"/>
        <v>-21.042243432203392</v>
      </c>
      <c r="EP300" s="535">
        <v>0</v>
      </c>
      <c r="EQ300" s="535">
        <v>0</v>
      </c>
      <c r="ER300" s="535">
        <v>0</v>
      </c>
      <c r="ES300" s="521">
        <f t="shared" si="643"/>
        <v>3.1857266336510444</v>
      </c>
      <c r="ET300" s="535">
        <f>-(VLOOKUP(Sheet1!BQ298,Lookup!$O$4:$Q$262,2)-VLOOKUP(Sheet1!BQ297,Lookup!$O$4:$Q$262,2))/1000000</f>
        <v>1.5233325313805304</v>
      </c>
      <c r="EU300" s="535">
        <f>-(VLOOKUP(Sheet1!BR298,Lookup!$O$4:$Q$262,3)-VLOOKUP(Sheet1!BR297,Lookup!$O$4:$Q$262,3))/1000000</f>
        <v>1.6623941022705138</v>
      </c>
      <c r="EV300" s="535"/>
      <c r="EW300" s="535"/>
      <c r="EX300" s="535"/>
      <c r="EY300" s="535"/>
      <c r="EZ300" s="535"/>
      <c r="FA300" s="535"/>
      <c r="FB300" s="535"/>
      <c r="FC300" s="535"/>
      <c r="FD300" s="567">
        <f t="shared" si="693"/>
        <v>1104.9517241378828</v>
      </c>
      <c r="FE300" s="567" t="e">
        <f t="shared" si="748"/>
        <v>#N/A</v>
      </c>
      <c r="FF300" s="568" t="e">
        <f t="shared" si="749"/>
        <v>#N/A</v>
      </c>
      <c r="FG300" s="569" t="s">
        <v>656</v>
      </c>
      <c r="FH300" s="569" t="s">
        <v>656</v>
      </c>
      <c r="FI300" s="567" t="e">
        <v>#N/A</v>
      </c>
      <c r="FJ300" s="725">
        <v>6054</v>
      </c>
      <c r="FK300" s="535"/>
      <c r="FL300" s="1015">
        <f t="shared" si="692"/>
        <v>105.3958648512355</v>
      </c>
      <c r="FM300" s="535"/>
      <c r="FN300" s="535"/>
      <c r="FO300" s="535">
        <f>O300+((Sheet1!CS298)*GPMtoMGD)</f>
        <v>61.120000000000005</v>
      </c>
      <c r="FP300" s="535">
        <f>IF(Sheet1!AA298+AQ300&lt;=Calculation!N300,AQ300,Calculation!N300-Sheet1!AA298)</f>
        <v>19.646337772397096</v>
      </c>
      <c r="FQ300" s="535">
        <f>(Sheet1!BP298+Sheet1!BO298)/694.4</f>
        <v>2.0588997695852536</v>
      </c>
      <c r="FR300" s="541"/>
      <c r="FS300" s="541"/>
      <c r="FT300" s="541"/>
      <c r="FU300" s="541"/>
      <c r="FV300" s="1109">
        <f t="shared" si="644"/>
        <v>42918</v>
      </c>
      <c r="FW300" s="1109">
        <f t="shared" si="645"/>
        <v>43027</v>
      </c>
      <c r="FX300" s="541"/>
      <c r="FY300" s="541">
        <f>Sheet1!DA298-Sheet1!CZ298-Sheet1!AE298</f>
        <v>-22.552639999999997</v>
      </c>
      <c r="FZ300" s="535">
        <f t="shared" si="678"/>
        <v>-8.3240055392031193E-2</v>
      </c>
      <c r="GA300" s="535"/>
      <c r="GB300" s="535" t="str">
        <f t="shared" si="646"/>
        <v>n</v>
      </c>
      <c r="GC300" s="539">
        <f t="shared" si="647"/>
        <v>42782</v>
      </c>
      <c r="GD300" s="1109">
        <f t="shared" si="648"/>
        <v>42904</v>
      </c>
      <c r="GE300" s="535">
        <f t="shared" si="664"/>
        <v>6520</v>
      </c>
      <c r="GF300" s="1109">
        <f t="shared" si="649"/>
        <v>42909</v>
      </c>
      <c r="GG300" s="535">
        <f t="shared" si="691"/>
        <v>3260</v>
      </c>
      <c r="GH300" s="539">
        <f t="shared" si="650"/>
        <v>43040</v>
      </c>
      <c r="GJ300" s="521">
        <f t="shared" si="651"/>
        <v>0</v>
      </c>
      <c r="GK300" s="535" t="str">
        <f t="shared" si="750"/>
        <v/>
      </c>
      <c r="GL300" s="535">
        <f t="shared" si="652"/>
        <v>0</v>
      </c>
      <c r="GM300" s="535" t="str">
        <f t="shared" si="653"/>
        <v/>
      </c>
      <c r="GN300" s="535">
        <f>IF(GK300="P",Lookup!$M$12,IF(GK300="PP",Lookup!$M$13,IF(GK300="PPP",Lookup!$M$14,IF(GK300="T",Lookup!$M$15,IF(GK300="TP",Lookup!$M$16,IF(GK300="TPP",Lookup!$M$17,IF(GK300="TPPP",Lookup!$M$18,0)))))))*GJ300</f>
        <v>0</v>
      </c>
      <c r="GO300" s="535">
        <f t="shared" si="654"/>
        <v>0</v>
      </c>
      <c r="GP300" s="535">
        <f t="shared" si="751"/>
        <v>184.62914209723533</v>
      </c>
      <c r="GQ300" s="974">
        <f t="shared" si="695"/>
        <v>60.178990253336153</v>
      </c>
      <c r="GR300" s="535"/>
      <c r="GS300" s="535">
        <f t="shared" si="655"/>
        <v>0</v>
      </c>
      <c r="GT300" s="535" t="str">
        <f t="shared" si="656"/>
        <v/>
      </c>
      <c r="GU300" s="535">
        <f>IF(GK300="P",Lookup!$N$12,IF(GK300="PP",Lookup!$N$13,IF(GK300="PPP",Lookup!$N$14,IF(GK300="T",Lookup!$N$15,IF(GK300="TP",Lookup!$N$16,IF(GK300="TPP",Lookup!$N$17,IF(GK300="TPPP",Lookup!$N$18,0)))))))*GJ300</f>
        <v>0</v>
      </c>
      <c r="GV300" s="535">
        <f t="shared" si="657"/>
        <v>0</v>
      </c>
      <c r="GW300" s="535">
        <f t="shared" si="752"/>
        <v>112.24135189606494</v>
      </c>
      <c r="GX300" s="974">
        <f t="shared" si="696"/>
        <v>36.584534516318428</v>
      </c>
      <c r="GY300" s="535"/>
      <c r="GZ300" s="535">
        <f t="shared" si="658"/>
        <v>0</v>
      </c>
      <c r="HA300" s="535" t="str">
        <f t="shared" si="659"/>
        <v/>
      </c>
      <c r="HB300" s="535">
        <f>IF(GK300="P",Lookup!$N$12,IF(GK300="PP",Lookup!$N$13,IF(GK300="PPP",Lookup!$N$14,IF(GK300="T",Lookup!$N$15,IF(GK300="TP",Lookup!$N$16,IF(GK300="TPP",Lookup!$N$17,IF(GK300="TPPP",Lookup!$N$18,0)))))))*GJ300</f>
        <v>0</v>
      </c>
      <c r="HC300" s="521">
        <f t="shared" si="753"/>
        <v>0</v>
      </c>
      <c r="HD300" s="535">
        <f t="shared" si="754"/>
        <v>212.9113469653096</v>
      </c>
      <c r="HE300" s="535">
        <f t="shared" si="662"/>
        <v>69.397440340713686</v>
      </c>
      <c r="HF300" s="535"/>
      <c r="HG300" s="535">
        <f t="shared" si="660"/>
        <v>0</v>
      </c>
      <c r="HH300" s="535" t="str">
        <f t="shared" si="661"/>
        <v/>
      </c>
      <c r="HI300" s="535">
        <f>IF(GK300="P",Lookup!$N$12,IF(GK300="PP",Lookup!$N$13,IF(GK300="PPP",Lookup!$N$14,IF(GK300="T",Lookup!$N$15,IF(GK300="TP",Lookup!$N$16,IF(GK300="TPP",Lookup!$N$17,IF(GK300="TPPP",Lookup!$N$18,0)))))))*GJ300</f>
        <v>0</v>
      </c>
      <c r="HJ300" s="521">
        <f t="shared" si="755"/>
        <v>0</v>
      </c>
      <c r="HK300" s="535">
        <f t="shared" si="756"/>
        <v>171.00038622706808</v>
      </c>
      <c r="HL300" s="535">
        <f t="shared" si="663"/>
        <v>55.736762133985685</v>
      </c>
      <c r="HM300" s="535"/>
      <c r="HN300" s="541"/>
      <c r="HO300" s="541"/>
      <c r="HP300" s="541"/>
      <c r="HQ300" s="541">
        <f>IF(AND(B300&gt;=$FV$4,B300&lt;=$FW$4),MAX(110/1.02+$HQ$6+MIN(113/1.02,G300),IF($HV$6-(Sheet1!DA298-Sheet1!DB298)+MIN(113/1.02,G300)&lt;G300+FL300,$HV$6-(Sheet1!DA298-Sheet1!DB298)+MIN(113/1.02,G300),G300+FL300)),MIN(110/1.02+$HQ$6+113/1.02,G300))</f>
        <v>218.62745098039215</v>
      </c>
      <c r="HR300" s="541">
        <f t="shared" si="679"/>
        <v>223</v>
      </c>
      <c r="HS300" s="541">
        <f>HR300+(Sheet1!DA298-Sheet1!DB298)</f>
        <v>418</v>
      </c>
      <c r="HT300" s="541">
        <f t="shared" si="680"/>
        <v>73.971874533898301</v>
      </c>
      <c r="HU300" s="541">
        <f t="shared" si="681"/>
        <v>344.0281254661017</v>
      </c>
      <c r="HV300" s="541">
        <f t="shared" si="682"/>
        <v>0</v>
      </c>
      <c r="HW300" s="533" t="str">
        <f t="shared" si="683"/>
        <v/>
      </c>
      <c r="HX300" s="541">
        <f t="shared" si="684"/>
        <v>368.3303055874045</v>
      </c>
      <c r="HY300" s="541">
        <f>Sheet1!CZ298</f>
        <v>608</v>
      </c>
      <c r="HZ300" s="541">
        <f t="shared" si="685"/>
        <v>21.042243432203392</v>
      </c>
      <c r="IA300" s="541">
        <f t="shared" si="686"/>
        <v>73.971874533898301</v>
      </c>
      <c r="IB300" s="541">
        <f t="shared" si="687"/>
        <v>586.95775656779665</v>
      </c>
      <c r="IC300" s="1019" t="str">
        <f t="shared" si="688"/>
        <v/>
      </c>
      <c r="ID300" s="541">
        <f t="shared" si="689"/>
        <v>512.98588203389841</v>
      </c>
      <c r="IE300" s="541">
        <f>Sheet1!DB298</f>
        <v>485</v>
      </c>
      <c r="IF300" s="533">
        <f>Sheet1!DA298</f>
        <v>680</v>
      </c>
      <c r="IH300" s="541">
        <f>IF(AND($B300&gt;=$GC300,$B300&lt;=$GH300,$DR300&lt;0)+N("only adjusted when pool is drawn down during storage season"),Sheet1!$DB298+$DR300+N("Palmer minus all storage release"),Sheet1!$DB298)</f>
        <v>147.93494704905044</v>
      </c>
      <c r="II300" s="541">
        <f>IF(AND($B300&gt;=$GC300,$B300&lt;=$GH300,$DR300&lt;0)+N("only adjusted when pool is drawn down during storage season"),Sheet1!$DA298+$DR300+N("Auburn minus all storage release"),Sheet1!$DA298)</f>
        <v>342.93494704905044</v>
      </c>
    </row>
    <row r="301" spans="1:243" x14ac:dyDescent="0.25">
      <c r="A301" s="553" t="s">
        <v>5</v>
      </c>
      <c r="B301" s="531">
        <v>43025</v>
      </c>
      <c r="C301" s="536">
        <v>0</v>
      </c>
      <c r="D301" s="506">
        <f t="shared" si="633"/>
        <v>300</v>
      </c>
      <c r="E301" s="506">
        <f t="shared" si="634"/>
        <v>250</v>
      </c>
      <c r="F301" s="506">
        <v>250</v>
      </c>
      <c r="G301" s="535">
        <f>DR301+Sheet1!CZ299</f>
        <v>263.37216338761203</v>
      </c>
      <c r="H301" s="1074">
        <f t="shared" si="690"/>
        <v>0</v>
      </c>
      <c r="I301" s="534">
        <f>IF(Sheet1!DA299&gt;=E301,(Sheet1!DA299-E301+P301)*CFStoMGD,0)</f>
        <v>379.04762841599995</v>
      </c>
      <c r="J301" s="995">
        <f>IF(Sheet1!DB299&gt;=D301,(Sheet1!DB299-D301+P301)*CFStoMGD,0)</f>
        <v>213.56922841599999</v>
      </c>
      <c r="K301" s="818">
        <f t="shared" si="665"/>
        <v>0</v>
      </c>
      <c r="L301" s="535">
        <f>Sheet1!AA299+Sheet1!AB299-Sheet1!L299+(Sheet1!DA299-F301)*CFStoMGD-S301-T301-U301</f>
        <v>365.64622442563478</v>
      </c>
      <c r="M301" s="535">
        <f t="shared" si="697"/>
        <v>173.64864174202748</v>
      </c>
      <c r="N301" s="824">
        <f>IF(Sheet1!DA299&gt;=F301,MIN(113*CFStoMGD,MIN(MAX(L301,0),MAX(M301,0))),0)</f>
        <v>73.043199999999999</v>
      </c>
      <c r="O301" s="538">
        <f>Sheet1!AA299+Sheet1!AB299</f>
        <v>61.019999999999996</v>
      </c>
      <c r="P301" s="538">
        <f t="shared" si="698"/>
        <v>94.397939999999991</v>
      </c>
      <c r="Q301" s="812">
        <f t="shared" si="666"/>
        <v>47.617424425634823</v>
      </c>
      <c r="R301" s="812">
        <f t="shared" si="635"/>
        <v>13.5</v>
      </c>
      <c r="S301" s="812">
        <f t="shared" si="636"/>
        <v>0</v>
      </c>
      <c r="T301" s="812">
        <f t="shared" si="637"/>
        <v>0</v>
      </c>
      <c r="U301" s="812">
        <f>IF(AND(B301&gt;=FV301,B301&lt;=FW301),ED301+Sheet1!EH299,0)</f>
        <v>13.402575574365175</v>
      </c>
      <c r="V301" s="812"/>
      <c r="W301" s="812">
        <f t="shared" si="638"/>
        <v>0</v>
      </c>
      <c r="X301" s="812">
        <f t="shared" si="639"/>
        <v>0</v>
      </c>
      <c r="Y301" s="812" t="str">
        <f t="shared" si="640"/>
        <v>FALSE</v>
      </c>
      <c r="Z301" s="812">
        <f t="shared" si="641"/>
        <v>61.019999999999996</v>
      </c>
      <c r="AA301" s="812">
        <f t="shared" si="642"/>
        <v>61.019999999999996</v>
      </c>
      <c r="AB301" s="1059">
        <f t="shared" si="667"/>
        <v>73.664155586457071</v>
      </c>
      <c r="AC301" s="538">
        <f>Sheet1!Y299*MGDtoCFS</f>
        <v>43.578989999999997</v>
      </c>
      <c r="AD301" s="538">
        <f>Sheet1!Z299*MGDtoCFS</f>
        <v>50.973649999999999</v>
      </c>
      <c r="AE301" s="538">
        <f>Sheet1!AA299*MGDtoCFS</f>
        <v>43.517109999999995</v>
      </c>
      <c r="AF301" s="538">
        <f>Sheet1!AB299*MGDtoCFS</f>
        <v>50.880829999999996</v>
      </c>
      <c r="AG301" s="538">
        <f>Sheet1!L299*MGDtoCFS</f>
        <v>0</v>
      </c>
      <c r="AH301" s="521">
        <f t="shared" si="699"/>
        <v>13.5</v>
      </c>
      <c r="AI301" s="1059">
        <f t="shared" si="700"/>
        <v>20.884499999999999</v>
      </c>
      <c r="AJ301" s="535">
        <f t="shared" si="701"/>
        <v>0</v>
      </c>
      <c r="AK301" s="535">
        <f t="shared" si="702"/>
        <v>0</v>
      </c>
      <c r="AL301" s="535">
        <f>(VLOOKUP(Sheet1!DC299,hhdcap_wcm,4)-(((VLOOKUP(Sheet1!DC299,hhdcap_wcm,3)-Sheet1!DC299)/(VLOOKUP(Sheet1!DC299,hhdcap_wcm,3)-VLOOKUP(Sheet1!DC299,hhdcap_wcm,1)))*(VLOOKUP(Sheet1!DC299,hhdcap_wcm,4)-VLOOKUP(Sheet1!DC299,hhdcap_wcm,2))))</f>
        <v>8536.1000000179338</v>
      </c>
      <c r="AM301" s="535">
        <f t="shared" si="703"/>
        <v>-764.70000000236541</v>
      </c>
      <c r="AN301" s="1035">
        <f t="shared" si="704"/>
        <v>208.39772724435394</v>
      </c>
      <c r="AO301" s="535">
        <f t="shared" si="705"/>
        <v>639.36422718567792</v>
      </c>
      <c r="AP301" s="535">
        <f>Sheet1!BA299+Sheet1!BB299+Sheet1!BN299+CD301</f>
        <v>19.600000000000001</v>
      </c>
      <c r="AQ301" s="535">
        <f>Sheet1!BN299+(DO301*Sheet1!BN299)</f>
        <v>19.487424425634828</v>
      </c>
      <c r="AR301" s="535">
        <f>Sheet1!BA299+CD301</f>
        <v>0</v>
      </c>
      <c r="AS301" s="535">
        <f>Sheet1!BA299+Sheet1!BB299+CD301</f>
        <v>0</v>
      </c>
      <c r="AT301" s="649">
        <f>0</f>
        <v>0</v>
      </c>
      <c r="AU301" s="974">
        <f>BA301+MAX(Sheet1!EH299,(O301-Q301-ED301-S301))</f>
        <v>0</v>
      </c>
      <c r="AV301" s="535">
        <f>IF(OR(B301&gt;=GD301,B301&lt;GC301),0,15/36*K301-MAX(0,64.6-(137.6-(Sheet1!AA299+Sheet1!AB299))))</f>
        <v>0</v>
      </c>
      <c r="AW301" s="1029"/>
      <c r="AX301" s="649"/>
      <c r="AY301" s="649">
        <f t="shared" si="668"/>
        <v>23.311716569431731</v>
      </c>
      <c r="AZ301" s="649">
        <f t="shared" si="669"/>
        <v>0</v>
      </c>
      <c r="BA301" s="1059">
        <f t="shared" si="670"/>
        <v>0</v>
      </c>
      <c r="BB301" s="1019">
        <f t="shared" si="706"/>
        <v>60.178990253336153</v>
      </c>
      <c r="BC301" s="1041">
        <f t="shared" si="671"/>
        <v>0</v>
      </c>
      <c r="BD301" s="1019">
        <f ca="1">IF(B301&gt;(Summary!$A$1-1),#N/A,BB301*MGtoAF)</f>
        <v>184.62914209723533</v>
      </c>
      <c r="BE301" s="535">
        <f>Sheet1!BG299+Sheet1!BH299+Sheet1!BI299-BM301</f>
        <v>3.96</v>
      </c>
      <c r="BF301" s="535">
        <f t="shared" si="707"/>
        <v>3.9372551390568322</v>
      </c>
      <c r="BG301" s="535">
        <f>IF(Sheet1!EP299="FM",BM301,0)</f>
        <v>0</v>
      </c>
      <c r="BH301" s="535">
        <f t="shared" si="708"/>
        <v>0</v>
      </c>
      <c r="BI301" s="535">
        <f>IF(Sheet1!EP299="OTHER",BM301,0)</f>
        <v>0</v>
      </c>
      <c r="BJ301" s="535">
        <f t="shared" si="709"/>
        <v>0</v>
      </c>
      <c r="BK301" s="535">
        <f t="shared" si="710"/>
        <v>3.96</v>
      </c>
      <c r="BL301" s="535">
        <f t="shared" si="711"/>
        <v>3.9372551390568322</v>
      </c>
      <c r="BM301" s="535">
        <f>IF(OR(Sheet1!EP299="FM", Sheet1!EP299="OTHER"),SUM(Sheet1!BG299:'Sheet1'!BI299),0)</f>
        <v>0</v>
      </c>
      <c r="BN301" s="521">
        <f>IF(AND($B301&gt;=$FV301,$B301&lt;=$FW301),MAX(BF301,Sheet1!EI299,0),MAX(BF301-(7/36)*$K301,0))</f>
        <v>4</v>
      </c>
      <c r="BO301" s="535">
        <f t="shared" si="712"/>
        <v>0</v>
      </c>
      <c r="BP301" s="521">
        <f t="shared" si="713"/>
        <v>0</v>
      </c>
      <c r="BQ301" s="521">
        <f>IF(AND($O301&gt;0,Sheet1!EM299=1),(1-($O301-Sheet1!$L299)/$O301)*BL301,0)</f>
        <v>0</v>
      </c>
      <c r="BR301" s="521">
        <f>IF(AND(Sheet1!$L299=0,Sheet1!$L298=0, Calculation!BK301&lt;Sheet1!$EI299-0.1,Sheet1!$EI299=Sheet1!$EI298,Sheet1!$EI299=Sheet1!$EI300),BL301-BQ301,BL301-BQ301)</f>
        <v>3.9372551390568322</v>
      </c>
      <c r="BS301" s="1035" t="str">
        <f t="shared" si="672"/>
        <v/>
      </c>
      <c r="BT301" s="1035">
        <f t="shared" si="673"/>
        <v>0</v>
      </c>
      <c r="BU301" s="535">
        <f t="shared" si="714"/>
        <v>32.584534516318428</v>
      </c>
      <c r="BV301" s="535"/>
      <c r="BW301" s="535">
        <f ca="1">IF(B301&gt;(Summary!$A$1-1),#N/A,BU301*MGtoAF)</f>
        <v>99.969351896064936</v>
      </c>
      <c r="BX301" s="535">
        <f>Sheet1!BC299+Sheet1!BD299+Sheet1!BE299+Sheet1!BF299-CG301-CH301</f>
        <v>2.99</v>
      </c>
      <c r="BY301" s="535">
        <f t="shared" si="715"/>
        <v>2.9728264812575578</v>
      </c>
      <c r="BZ301" s="535">
        <f>IF(Sheet1!EQ299="FM",CH301,0)</f>
        <v>0</v>
      </c>
      <c r="CA301" s="535">
        <f t="shared" si="716"/>
        <v>0</v>
      </c>
      <c r="CB301" s="535">
        <f>IF(Sheet1!EQ299="OTHER",CH301,0)</f>
        <v>0</v>
      </c>
      <c r="CC301" s="535">
        <f t="shared" si="717"/>
        <v>0</v>
      </c>
      <c r="CD301" s="535">
        <f t="shared" si="718"/>
        <v>0</v>
      </c>
      <c r="CE301" s="535">
        <f t="shared" si="719"/>
        <v>2.99</v>
      </c>
      <c r="CF301" s="535">
        <f t="shared" si="720"/>
        <v>2.9728264812575578</v>
      </c>
      <c r="CG301" s="535">
        <f>IF(Sheet1!EQ299="CWA",SUM(Sheet1!BC299:'Sheet1'!BF299),0)</f>
        <v>0</v>
      </c>
      <c r="CH301" s="535">
        <f>IF(OR(Sheet1!EQ299="FM", Sheet1!EQ299="OTHER"),SUM(Sheet1!BC299:'Sheet1'!BF299),0)</f>
        <v>0</v>
      </c>
      <c r="CI301" s="521">
        <f>IF(AND($B301&gt;=$FV301,$B301&lt;=$FW301),MAX(CF301,Sheet1!EJ299,0),MAX(CF301-(7/36)*$K301,0))</f>
        <v>3</v>
      </c>
      <c r="CJ301" s="535">
        <f t="shared" si="721"/>
        <v>0</v>
      </c>
      <c r="CK301" s="521">
        <f t="shared" si="722"/>
        <v>0</v>
      </c>
      <c r="CL301" s="521">
        <f>IF(AND($O301&gt;0,Sheet1!EN299=1),(1-($O301-Sheet1!$L299)/$O301)*CF301,0)</f>
        <v>0</v>
      </c>
      <c r="CM301" s="521">
        <f>IF(AND(Sheet1!$L299=0,Sheet1!$L298=0, Calculation!CE301&lt;Sheet1!EJ299-0.1,Sheet1!EJ299=Sheet1!EJ298,Sheet1!EJ299=Sheet1!EJ300),CF301-CL301,CF301-CL301)</f>
        <v>2.9728264812575578</v>
      </c>
      <c r="CN301" s="1040" t="str">
        <f t="shared" si="674"/>
        <v/>
      </c>
      <c r="CO301" s="1035">
        <f t="shared" si="675"/>
        <v>0</v>
      </c>
      <c r="CP301" s="535">
        <f t="shared" si="723"/>
        <v>66.397440340713686</v>
      </c>
      <c r="CQ301" s="535"/>
      <c r="CR301" s="535">
        <f ca="1">IF(B301&gt;(Summary!$A$1-1),#N/A,CP301*MGtoAF)</f>
        <v>203.7073469653096</v>
      </c>
      <c r="CS301" s="535">
        <f>Sheet1!BK299+Sheet1!BL299+Sheet1!BM299-Sheet1!ER299-DA301</f>
        <v>6.5299999999999994</v>
      </c>
      <c r="CT301" s="535">
        <f t="shared" si="724"/>
        <v>6.4924939540507856</v>
      </c>
      <c r="CU301" s="535">
        <f>IF(Sheet1!ER299="FM",DA301,0)</f>
        <v>0</v>
      </c>
      <c r="CV301" s="535">
        <f t="shared" si="725"/>
        <v>0</v>
      </c>
      <c r="CW301" s="535">
        <f>IF(Sheet1!ER299="OTHER",DA301,0)</f>
        <v>0</v>
      </c>
      <c r="CX301" s="535">
        <f t="shared" si="726"/>
        <v>0</v>
      </c>
      <c r="CY301" s="535">
        <f t="shared" si="727"/>
        <v>6.5299999999999994</v>
      </c>
      <c r="CZ301" s="535">
        <f t="shared" si="728"/>
        <v>6.4924939540507856</v>
      </c>
      <c r="DA301" s="535">
        <f>IF(OR(Sheet1!ER299="FM", Sheet1!ER299="OTHER"),SUM(Sheet1!BK299:'Sheet1'!BM299),0)</f>
        <v>0</v>
      </c>
      <c r="DB301" s="1011">
        <f>IF(AND($B301&gt;=$FV301,$B301&lt;=$FW301),MAX($CT301,Sheet1!EK299,0),MAX($CT301-(7/36)*$K301,0))</f>
        <v>6.5</v>
      </c>
      <c r="DC301" s="1012">
        <f t="shared" si="729"/>
        <v>0</v>
      </c>
      <c r="DD301" s="1011">
        <f t="shared" si="730"/>
        <v>0</v>
      </c>
      <c r="DE301" s="521">
        <f>IF(AND($O301&gt;0,Sheet1!EO299=1),(1-($O301-Sheet1!$L299)/$O301)*CZ301,0)</f>
        <v>0</v>
      </c>
      <c r="DF301" s="521">
        <f>IF(AND(Sheet1!$L299=0,Sheet1!$L298=0, Calculation!CY301&lt;Sheet1!$EK299-0.1,Sheet1!$EK299=Sheet1!$EK298,Sheet1!$EK299=Sheet1!$EK300),CZ301-DE301,CZ301-DE301)</f>
        <v>6.4924939540507856</v>
      </c>
      <c r="DG301" s="1040">
        <f t="shared" si="676"/>
        <v>0</v>
      </c>
      <c r="DH301" s="649">
        <f t="shared" si="731"/>
        <v>13.48</v>
      </c>
      <c r="DI301" s="535">
        <f t="shared" si="732"/>
        <v>49.236762133985685</v>
      </c>
      <c r="DJ301" s="649">
        <f t="shared" si="733"/>
        <v>13.402575574365176</v>
      </c>
      <c r="DK301" s="535">
        <f ca="1">IF(B301&gt;(Summary!$A$1-1),#N/A,DI301*MGtoAF)</f>
        <v>151.0583862270681</v>
      </c>
      <c r="DL301" s="649">
        <f t="shared" si="734"/>
        <v>13.48</v>
      </c>
      <c r="DM301" s="535">
        <f t="shared" si="735"/>
        <v>33.08</v>
      </c>
      <c r="DN301" s="535">
        <f>Sheet1!AB299-DM301</f>
        <v>-0.18999999999999773</v>
      </c>
      <c r="DO301" s="743">
        <f t="shared" si="736"/>
        <v>-5.7436517533252032E-3</v>
      </c>
      <c r="DP301" s="535">
        <f>(VLOOKUP(Sheet1!DC299,hhdcap_wcm,4)-(((VLOOKUP(Sheet1!DC299,hhdcap_wcm,3)-Sheet1!DC299)/(VLOOKUP(Sheet1!DC299,hhdcap_wcm,3)-VLOOKUP(Sheet1!DC299,hhdcap_wcm,1)))*(VLOOKUP(Sheet1!DC299,hhdcap_wcm,4)-VLOOKUP(Sheet1!DC299,hhdcap_wcm,2))))</f>
        <v>8536.1000000179338</v>
      </c>
      <c r="DQ301" s="535">
        <f t="shared" si="737"/>
        <v>-764.70000000236541</v>
      </c>
      <c r="DR301" s="535">
        <f t="shared" si="738"/>
        <v>-385.62783661238797</v>
      </c>
      <c r="DS301" s="535">
        <f>Sheet1!EA299*AFtoMG</f>
        <v>0</v>
      </c>
      <c r="DT301" s="535">
        <f>Sheet1!EB299*AFtoMG</f>
        <v>0</v>
      </c>
      <c r="DU301" s="535">
        <f>Sheet1!EC299*AFtoMG</f>
        <v>0</v>
      </c>
      <c r="DV301" s="535">
        <f>Sheet1!ED299*AFtoMG</f>
        <v>0</v>
      </c>
      <c r="DW301" s="535">
        <f t="shared" si="739"/>
        <v>0</v>
      </c>
      <c r="DX301" s="535">
        <f t="shared" si="740"/>
        <v>0</v>
      </c>
      <c r="DY301" s="535">
        <f t="shared" si="741"/>
        <v>208.39772724435394</v>
      </c>
      <c r="DZ301" s="535">
        <f t="shared" si="742"/>
        <v>639.36422718567792</v>
      </c>
      <c r="EA301" s="535"/>
      <c r="EB301" s="521">
        <f>IF(OR(B301&lt;FV301,B301&gt;FW301),(MIN(BF301+BY301+CT301+MAX(Sheet1!AA299+AQ301-73,0),K301)),0)</f>
        <v>0</v>
      </c>
      <c r="EC301" s="535"/>
      <c r="ED301" s="535">
        <f t="shared" si="743"/>
        <v>13.402575574365175</v>
      </c>
      <c r="EE301" s="535"/>
      <c r="EF301" s="535">
        <f>Sheet1!EH299+Sheet1!EI299+Sheet1!EJ299+Sheet1!EK299</f>
        <v>13.5</v>
      </c>
      <c r="EG301" s="1019">
        <f t="shared" si="677"/>
        <v>20.884499999999999</v>
      </c>
      <c r="EH301" s="521">
        <f t="shared" si="744"/>
        <v>0</v>
      </c>
      <c r="EI301" s="535">
        <f>IF(Sheet1!ET299=1,SUM('Calculations II'!AT301:BA301)+'Calculations II'!BC301+Sheet1!BV299+'Calculations II'!BE301+AP301,'Calculations II'!BK301)</f>
        <v>44.825188425634828</v>
      </c>
      <c r="EJ301" s="535">
        <f ca="1">EI301+'Calculations II'!D301+'Calculations II'!E301+'Calculations II'!O301</f>
        <v>48.724273855123933</v>
      </c>
      <c r="EK301" s="535"/>
      <c r="EL301" s="535"/>
      <c r="EM301" s="535">
        <f t="shared" si="745"/>
        <v>43025</v>
      </c>
      <c r="EN301" s="535">
        <f t="shared" si="746"/>
        <v>-13.5</v>
      </c>
      <c r="EO301" s="535">
        <f t="shared" si="747"/>
        <v>-20.884499999999999</v>
      </c>
      <c r="EP301" s="535">
        <v>0</v>
      </c>
      <c r="EQ301" s="535">
        <v>0</v>
      </c>
      <c r="ER301" s="535">
        <v>0</v>
      </c>
      <c r="ES301" s="521">
        <f t="shared" si="643"/>
        <v>-2.0774638956509643</v>
      </c>
      <c r="ET301" s="535">
        <f>-(VLOOKUP(Sheet1!BQ299,Lookup!$O$4:$Q$262,2)-VLOOKUP(Sheet1!BQ298,Lookup!$O$4:$Q$262,2))/1000000</f>
        <v>-0.96930371233475576</v>
      </c>
      <c r="EU301" s="535">
        <f>-(VLOOKUP(Sheet1!BR299,Lookup!$O$4:$Q$262,3)-VLOOKUP(Sheet1!BR298,Lookup!$O$4:$Q$262,3))/1000000</f>
        <v>-1.1081601833162085</v>
      </c>
      <c r="EV301" s="535"/>
      <c r="EW301" s="535"/>
      <c r="EX301" s="535"/>
      <c r="EY301" s="535"/>
      <c r="EZ301" s="535"/>
      <c r="FA301" s="535"/>
      <c r="FB301" s="535"/>
      <c r="FC301" s="535"/>
      <c r="FD301" s="567">
        <f t="shared" si="693"/>
        <v>1104.2035714285239</v>
      </c>
      <c r="FE301" s="567" t="e">
        <f t="shared" si="748"/>
        <v>#N/A</v>
      </c>
      <c r="FF301" s="568" t="e">
        <f t="shared" si="749"/>
        <v>#N/A</v>
      </c>
      <c r="FG301" s="569" t="s">
        <v>656</v>
      </c>
      <c r="FH301" s="569" t="s">
        <v>656</v>
      </c>
      <c r="FI301" s="567" t="e">
        <v>#N/A</v>
      </c>
      <c r="FJ301" s="725">
        <v>5845</v>
      </c>
      <c r="FK301" s="535"/>
      <c r="FL301" s="1015">
        <f t="shared" si="692"/>
        <v>105.90015128593041</v>
      </c>
      <c r="FM301" s="535"/>
      <c r="FN301" s="535"/>
      <c r="FO301" s="535">
        <f>O301+((Sheet1!CS299)*GPMtoMGD)</f>
        <v>61.019999999999996</v>
      </c>
      <c r="FP301" s="535">
        <f>IF(Sheet1!AA299+AQ301&lt;=Calculation!N301,AQ301,Calculation!N301-Sheet1!AA299)</f>
        <v>19.487424425634828</v>
      </c>
      <c r="FQ301" s="535">
        <f>(Sheet1!BP299+Sheet1!BO299)/694.4</f>
        <v>1.3300691244239633</v>
      </c>
      <c r="FR301" s="541"/>
      <c r="FS301" s="541"/>
      <c r="FT301" s="541"/>
      <c r="FU301" s="541"/>
      <c r="FV301" s="1109">
        <f t="shared" si="644"/>
        <v>42918</v>
      </c>
      <c r="FW301" s="1109">
        <f t="shared" si="645"/>
        <v>43027</v>
      </c>
      <c r="FX301" s="541"/>
      <c r="FY301" s="541">
        <f>Sheet1!DA299-Sheet1!CZ299-Sheet1!AE299</f>
        <v>-1.3979399999999913</v>
      </c>
      <c r="FZ301" s="535">
        <f t="shared" si="678"/>
        <v>-5.307850237546193E-3</v>
      </c>
      <c r="GA301" s="535"/>
      <c r="GB301" s="535" t="str">
        <f t="shared" si="646"/>
        <v>n</v>
      </c>
      <c r="GC301" s="539">
        <f t="shared" si="647"/>
        <v>42782</v>
      </c>
      <c r="GD301" s="1109">
        <f t="shared" si="648"/>
        <v>42904</v>
      </c>
      <c r="GE301" s="535">
        <f t="shared" si="664"/>
        <v>6520</v>
      </c>
      <c r="GF301" s="1109">
        <f t="shared" si="649"/>
        <v>42909</v>
      </c>
      <c r="GG301" s="535">
        <f t="shared" si="691"/>
        <v>3260</v>
      </c>
      <c r="GH301" s="539">
        <f t="shared" si="650"/>
        <v>43040</v>
      </c>
      <c r="GJ301" s="521">
        <f t="shared" si="651"/>
        <v>0</v>
      </c>
      <c r="GK301" s="535" t="str">
        <f t="shared" si="750"/>
        <v/>
      </c>
      <c r="GL301" s="535">
        <f t="shared" si="652"/>
        <v>0</v>
      </c>
      <c r="GM301" s="535" t="str">
        <f t="shared" si="653"/>
        <v/>
      </c>
      <c r="GN301" s="535">
        <f>IF(GK301="P",Lookup!$M$12,IF(GK301="PP",Lookup!$M$13,IF(GK301="PPP",Lookup!$M$14,IF(GK301="T",Lookup!$M$15,IF(GK301="TP",Lookup!$M$16,IF(GK301="TPP",Lookup!$M$17,IF(GK301="TPPP",Lookup!$M$18,0)))))))*GJ301</f>
        <v>0</v>
      </c>
      <c r="GO301" s="535">
        <f t="shared" si="654"/>
        <v>0</v>
      </c>
      <c r="GP301" s="535">
        <f t="shared" si="751"/>
        <v>184.62914209723533</v>
      </c>
      <c r="GQ301" s="974">
        <f t="shared" si="695"/>
        <v>60.178990253336153</v>
      </c>
      <c r="GR301" s="535"/>
      <c r="GS301" s="535">
        <f t="shared" si="655"/>
        <v>0</v>
      </c>
      <c r="GT301" s="535" t="str">
        <f t="shared" si="656"/>
        <v/>
      </c>
      <c r="GU301" s="535">
        <f>IF(GK301="P",Lookup!$N$12,IF(GK301="PP",Lookup!$N$13,IF(GK301="PPP",Lookup!$N$14,IF(GK301="T",Lookup!$N$15,IF(GK301="TP",Lookup!$N$16,IF(GK301="TPP",Lookup!$N$17,IF(GK301="TPPP",Lookup!$N$18,0)))))))*GJ301</f>
        <v>0</v>
      </c>
      <c r="GV301" s="535">
        <f t="shared" si="657"/>
        <v>0</v>
      </c>
      <c r="GW301" s="535">
        <f t="shared" si="752"/>
        <v>99.969351896064936</v>
      </c>
      <c r="GX301" s="974">
        <f t="shared" si="696"/>
        <v>32.584534516318428</v>
      </c>
      <c r="GY301" s="535"/>
      <c r="GZ301" s="535">
        <f t="shared" si="658"/>
        <v>0</v>
      </c>
      <c r="HA301" s="535" t="str">
        <f t="shared" si="659"/>
        <v/>
      </c>
      <c r="HB301" s="535">
        <f>IF(GK301="P",Lookup!$N$12,IF(GK301="PP",Lookup!$N$13,IF(GK301="PPP",Lookup!$N$14,IF(GK301="T",Lookup!$N$15,IF(GK301="TP",Lookup!$N$16,IF(GK301="TPP",Lookup!$N$17,IF(GK301="TPPP",Lookup!$N$18,0)))))))*GJ301</f>
        <v>0</v>
      </c>
      <c r="HC301" s="521">
        <f t="shared" si="753"/>
        <v>0</v>
      </c>
      <c r="HD301" s="535">
        <f t="shared" si="754"/>
        <v>203.7073469653096</v>
      </c>
      <c r="HE301" s="535">
        <f t="shared" si="662"/>
        <v>66.397440340713686</v>
      </c>
      <c r="HF301" s="535"/>
      <c r="HG301" s="535">
        <f t="shared" si="660"/>
        <v>0</v>
      </c>
      <c r="HH301" s="535" t="str">
        <f t="shared" si="661"/>
        <v/>
      </c>
      <c r="HI301" s="535">
        <f>IF(GK301="P",Lookup!$N$12,IF(GK301="PP",Lookup!$N$13,IF(GK301="PPP",Lookup!$N$14,IF(GK301="T",Lookup!$N$15,IF(GK301="TP",Lookup!$N$16,IF(GK301="TPP",Lookup!$N$17,IF(GK301="TPPP",Lookup!$N$18,0)))))))*GJ301</f>
        <v>0</v>
      </c>
      <c r="HJ301" s="521">
        <f t="shared" si="755"/>
        <v>0</v>
      </c>
      <c r="HK301" s="535">
        <f t="shared" si="756"/>
        <v>151.0583862270681</v>
      </c>
      <c r="HL301" s="535">
        <f t="shared" si="663"/>
        <v>49.236762133985685</v>
      </c>
      <c r="HM301" s="535"/>
      <c r="HN301" s="541"/>
      <c r="HO301" s="541"/>
      <c r="HP301" s="541"/>
      <c r="HQ301" s="541">
        <f>IF(AND(B301&gt;=$FV$4,B301&lt;=$FW$4),MAX(110/1.02+$HQ$6+MIN(113/1.02,G301),IF($HV$6-(Sheet1!DA299-Sheet1!DB299)+MIN(113/1.02,G301)&lt;G301+FL301,$HV$6-(Sheet1!DA299-Sheet1!DB299)+MIN(113/1.02,G301),G301+FL301)),MIN(110/1.02+$HQ$6+113/1.02,G301))</f>
        <v>218.62745098039215</v>
      </c>
      <c r="HR301" s="541">
        <f t="shared" si="679"/>
        <v>223</v>
      </c>
      <c r="HS301" s="541">
        <f>HR301+(Sheet1!DA299-Sheet1!DB299)</f>
        <v>429</v>
      </c>
      <c r="HT301" s="541">
        <f t="shared" si="680"/>
        <v>73.664155586457071</v>
      </c>
      <c r="HU301" s="541">
        <f t="shared" si="681"/>
        <v>355.33584441354293</v>
      </c>
      <c r="HV301" s="541">
        <f t="shared" si="682"/>
        <v>0</v>
      </c>
      <c r="HW301" s="533" t="str">
        <f t="shared" si="683"/>
        <v/>
      </c>
      <c r="HX301" s="541">
        <f t="shared" si="684"/>
        <v>409.48804901960784</v>
      </c>
      <c r="HY301" s="541">
        <f>Sheet1!CZ299</f>
        <v>649</v>
      </c>
      <c r="HZ301" s="541">
        <f t="shared" si="685"/>
        <v>20.884499999999999</v>
      </c>
      <c r="IA301" s="541">
        <f t="shared" si="686"/>
        <v>73.664155586457071</v>
      </c>
      <c r="IB301" s="541">
        <f t="shared" si="687"/>
        <v>628.1155</v>
      </c>
      <c r="IC301" s="1019" t="str">
        <f t="shared" si="688"/>
        <v/>
      </c>
      <c r="ID301" s="541">
        <f t="shared" si="689"/>
        <v>554.45134441354298</v>
      </c>
      <c r="IE301" s="541">
        <f>Sheet1!DB299</f>
        <v>536</v>
      </c>
      <c r="IF301" s="533">
        <f>Sheet1!DA299</f>
        <v>742</v>
      </c>
      <c r="IH301" s="541">
        <f>IF(AND($B301&gt;=$GC301,$B301&lt;=$GH301,$DR301&lt;0)+N("only adjusted when pool is drawn down during storage season"),Sheet1!$DB299+$DR301+N("Palmer minus all storage release"),Sheet1!$DB299)</f>
        <v>150.37216338761203</v>
      </c>
      <c r="II301" s="541">
        <f>IF(AND($B301&gt;=$GC301,$B301&lt;=$GH301,$DR301&lt;0)+N("only adjusted when pool is drawn down during storage season"),Sheet1!$DA299+$DR301+N("Auburn minus all storage release"),Sheet1!$DA299)</f>
        <v>356.37216338761203</v>
      </c>
    </row>
    <row r="302" spans="1:243" x14ac:dyDescent="0.25">
      <c r="A302" s="553" t="s">
        <v>6</v>
      </c>
      <c r="B302" s="531">
        <v>43026</v>
      </c>
      <c r="C302" s="536">
        <v>0</v>
      </c>
      <c r="D302" s="506">
        <f t="shared" si="633"/>
        <v>300</v>
      </c>
      <c r="E302" s="506">
        <f t="shared" si="634"/>
        <v>250</v>
      </c>
      <c r="F302" s="506">
        <v>250</v>
      </c>
      <c r="G302" s="535">
        <f>DR302+Sheet1!CZ300</f>
        <v>401.59253656019865</v>
      </c>
      <c r="H302" s="1074">
        <f t="shared" si="690"/>
        <v>91.942640976512394</v>
      </c>
      <c r="I302" s="534">
        <f>IF(Sheet1!DA300&gt;=E302,(Sheet1!DA300-E302+P302)*CFStoMGD,0)</f>
        <v>416.69882534399994</v>
      </c>
      <c r="J302" s="995">
        <f>IF(Sheet1!DB300&gt;=D302,(Sheet1!DB300-D302+P302)*CFStoMGD,0)</f>
        <v>301.63962534399997</v>
      </c>
      <c r="K302" s="818">
        <f t="shared" si="665"/>
        <v>64.64</v>
      </c>
      <c r="L302" s="535">
        <f>Sheet1!AA300+Sheet1!AB300-Sheet1!L300+(Sheet1!DA300-F302)*CFStoMGD-S302-T302-U302</f>
        <v>403.17056145675264</v>
      </c>
      <c r="M302" s="535">
        <f t="shared" si="697"/>
        <v>264.78120394516264</v>
      </c>
      <c r="N302" s="824">
        <f>IF(Sheet1!DA300&gt;=F302,MIN(113*CFStoMGD,MIN(MAX(L302,0),MAX(M302,0))),0)</f>
        <v>73.043199999999999</v>
      </c>
      <c r="O302" s="538">
        <f>Sheet1!AA300+Sheet1!AB300</f>
        <v>61.18</v>
      </c>
      <c r="P302" s="538">
        <f t="shared" si="698"/>
        <v>94.645459999999986</v>
      </c>
      <c r="Q302" s="812">
        <f t="shared" si="666"/>
        <v>47.650561456752655</v>
      </c>
      <c r="R302" s="812">
        <f t="shared" si="635"/>
        <v>13.5</v>
      </c>
      <c r="S302" s="812">
        <f t="shared" si="636"/>
        <v>0</v>
      </c>
      <c r="T302" s="812">
        <f t="shared" si="637"/>
        <v>0</v>
      </c>
      <c r="U302" s="812">
        <f>IF(AND(B302&gt;=FV302,B302&lt;=FW302),ED302+Sheet1!EH300,0)</f>
        <v>13.529438543247343</v>
      </c>
      <c r="V302" s="812"/>
      <c r="W302" s="812">
        <f t="shared" si="638"/>
        <v>51.110561456752656</v>
      </c>
      <c r="X302" s="812">
        <f t="shared" si="639"/>
        <v>0</v>
      </c>
      <c r="Y302" s="812" t="str">
        <f t="shared" si="640"/>
        <v/>
      </c>
      <c r="Z302" s="812">
        <f t="shared" si="641"/>
        <v>61.18</v>
      </c>
      <c r="AA302" s="812">
        <f t="shared" si="642"/>
        <v>61.18</v>
      </c>
      <c r="AB302" s="1059">
        <f t="shared" si="667"/>
        <v>73.715418573596352</v>
      </c>
      <c r="AC302" s="538">
        <f>Sheet1!Y300*MGDtoCFS</f>
        <v>43.517109999999995</v>
      </c>
      <c r="AD302" s="538">
        <f>Sheet1!Z300*MGDtoCFS</f>
        <v>50.880829999999996</v>
      </c>
      <c r="AE302" s="538">
        <f>Sheet1!AA300*MGDtoCFS</f>
        <v>43.749159999999996</v>
      </c>
      <c r="AF302" s="538">
        <f>Sheet1!AB300*MGDtoCFS</f>
        <v>50.896299999999997</v>
      </c>
      <c r="AG302" s="538">
        <f>Sheet1!L300*MGDtoCFS</f>
        <v>0</v>
      </c>
      <c r="AH302" s="521">
        <f t="shared" si="699"/>
        <v>13.599969650986344</v>
      </c>
      <c r="AI302" s="1059">
        <f t="shared" si="700"/>
        <v>21.039153050075871</v>
      </c>
      <c r="AJ302" s="535">
        <f t="shared" si="701"/>
        <v>0</v>
      </c>
      <c r="AK302" s="535">
        <f t="shared" si="702"/>
        <v>0</v>
      </c>
      <c r="AL302" s="535">
        <f>(VLOOKUP(Sheet1!DC300,hhdcap_wcm,4)-(((VLOOKUP(Sheet1!DC300,hhdcap_wcm,3)-Sheet1!DC300)/(VLOOKUP(Sheet1!DC300,hhdcap_wcm,3)-VLOOKUP(Sheet1!DC300,hhdcap_wcm,1)))*(VLOOKUP(Sheet1!DC300,hhdcap_wcm,4)-VLOOKUP(Sheet1!DC300,hhdcap_wcm,2))))</f>
        <v>7892.8000000168076</v>
      </c>
      <c r="AM302" s="535">
        <f t="shared" si="703"/>
        <v>-643.30000000112614</v>
      </c>
      <c r="AN302" s="1035">
        <f t="shared" si="704"/>
        <v>194.79775759336761</v>
      </c>
      <c r="AO302" s="535">
        <f t="shared" si="705"/>
        <v>597.63952029645179</v>
      </c>
      <c r="AP302" s="535">
        <f>Sheet1!BA300+Sheet1!BB300+Sheet1!BN300+CD302</f>
        <v>19.399999999999999</v>
      </c>
      <c r="AQ302" s="535">
        <f>Sheet1!BN300+(DO302*Sheet1!BN300)</f>
        <v>19.37056145675265</v>
      </c>
      <c r="AR302" s="535">
        <f>Sheet1!BA300+CD302</f>
        <v>0</v>
      </c>
      <c r="AS302" s="535">
        <f>Sheet1!BA300+Sheet1!BB300+CD302</f>
        <v>0</v>
      </c>
      <c r="AT302" s="649">
        <f>0</f>
        <v>0</v>
      </c>
      <c r="AU302" s="974">
        <f>BA302+MAX(Sheet1!EH300,(O302-Q302-ED302-S302))</f>
        <v>1.7763568394002505E-15</v>
      </c>
      <c r="AV302" s="535">
        <f>IF(OR(B302&gt;=GD302,B302&lt;GC302),0,15/36*K302-MAX(0,64.6-(137.6-(Sheet1!AA300+Sheet1!AB300))))</f>
        <v>0</v>
      </c>
      <c r="AW302" s="1029"/>
      <c r="AX302" s="649"/>
      <c r="AY302" s="649">
        <f t="shared" si="668"/>
        <v>23.311716569431731</v>
      </c>
      <c r="AZ302" s="649">
        <f t="shared" si="669"/>
        <v>0</v>
      </c>
      <c r="BA302" s="1059">
        <f t="shared" si="670"/>
        <v>0</v>
      </c>
      <c r="BB302" s="1019">
        <f t="shared" si="706"/>
        <v>60.178990253336153</v>
      </c>
      <c r="BC302" s="1041">
        <f t="shared" si="671"/>
        <v>26.933333333333334</v>
      </c>
      <c r="BD302" s="1019">
        <f ca="1">IF(B302&gt;(Summary!$A$1-1),#N/A,BB302*MGtoAF)</f>
        <v>184.62914209723533</v>
      </c>
      <c r="BE302" s="535">
        <f>Sheet1!BG300+Sheet1!BH300+Sheet1!BI300-BM302</f>
        <v>3.96</v>
      </c>
      <c r="BF302" s="535">
        <f t="shared" si="707"/>
        <v>3.9539908952959024</v>
      </c>
      <c r="BG302" s="535">
        <f>IF(Sheet1!EP300="FM",BM302,0)</f>
        <v>0</v>
      </c>
      <c r="BH302" s="535">
        <f t="shared" si="708"/>
        <v>0</v>
      </c>
      <c r="BI302" s="535">
        <f>IF(Sheet1!EP300="OTHER",BM302,0)</f>
        <v>0</v>
      </c>
      <c r="BJ302" s="535">
        <f t="shared" si="709"/>
        <v>0</v>
      </c>
      <c r="BK302" s="535">
        <f t="shared" si="710"/>
        <v>3.96</v>
      </c>
      <c r="BL302" s="535">
        <f t="shared" si="711"/>
        <v>3.9539908952959024</v>
      </c>
      <c r="BM302" s="535">
        <f>IF(OR(Sheet1!EP300="FM", Sheet1!EP300="OTHER"),SUM(Sheet1!BG300:'Sheet1'!BI300),0)</f>
        <v>0</v>
      </c>
      <c r="BN302" s="521">
        <f>IF(AND($B302&gt;=$FV302,$B302&lt;=$FW302),MAX(BF302,Sheet1!EI300,0),MAX(BF302-(7/36)*$K302,0))</f>
        <v>4</v>
      </c>
      <c r="BO302" s="535">
        <f t="shared" si="712"/>
        <v>0</v>
      </c>
      <c r="BP302" s="521">
        <f t="shared" si="713"/>
        <v>0</v>
      </c>
      <c r="BQ302" s="521">
        <f>IF(AND($O302&gt;0,Sheet1!EM300=1),(1-($O302-Sheet1!$L300)/$O302)*BL302,0)</f>
        <v>0</v>
      </c>
      <c r="BR302" s="521">
        <f>IF(AND(Sheet1!$L300=0,Sheet1!$L299=0, Calculation!BK302&lt;Sheet1!$EI300-0.1,Sheet1!$EI300=Sheet1!$EI299,Sheet1!$EI300=Sheet1!$EI301),BL302-BQ302,BL302-BQ302)</f>
        <v>3.9539908952959024</v>
      </c>
      <c r="BS302" s="1035" t="str">
        <f t="shared" si="672"/>
        <v/>
      </c>
      <c r="BT302" s="1035">
        <f t="shared" si="673"/>
        <v>12.568888888888889</v>
      </c>
      <c r="BU302" s="535">
        <f t="shared" si="714"/>
        <v>28.584534516318428</v>
      </c>
      <c r="BV302" s="535"/>
      <c r="BW302" s="535">
        <f ca="1">IF(B302&gt;(Summary!$A$1-1),#N/A,BU302*MGtoAF)</f>
        <v>87.697351896064944</v>
      </c>
      <c r="BX302" s="535">
        <f>Sheet1!BC300+Sheet1!BD300+Sheet1!BE300+Sheet1!BF300-CG302-CH302</f>
        <v>2.98</v>
      </c>
      <c r="BY302" s="535">
        <f t="shared" si="715"/>
        <v>2.9754779969650982</v>
      </c>
      <c r="BZ302" s="535">
        <f>IF(Sheet1!EQ300="FM",CH302,0)</f>
        <v>0</v>
      </c>
      <c r="CA302" s="535">
        <f t="shared" si="716"/>
        <v>0</v>
      </c>
      <c r="CB302" s="535">
        <f>IF(Sheet1!EQ300="OTHER",CH302,0)</f>
        <v>0</v>
      </c>
      <c r="CC302" s="535">
        <f t="shared" si="717"/>
        <v>0</v>
      </c>
      <c r="CD302" s="535">
        <f t="shared" si="718"/>
        <v>0</v>
      </c>
      <c r="CE302" s="535">
        <f t="shared" si="719"/>
        <v>2.98</v>
      </c>
      <c r="CF302" s="535">
        <f t="shared" si="720"/>
        <v>2.9754779969650982</v>
      </c>
      <c r="CG302" s="535">
        <f>IF(Sheet1!EQ300="CWA",SUM(Sheet1!BC300:'Sheet1'!BF300),0)</f>
        <v>0</v>
      </c>
      <c r="CH302" s="535">
        <f>IF(OR(Sheet1!EQ300="FM", Sheet1!EQ300="OTHER"),SUM(Sheet1!BC300:'Sheet1'!BF300),0)</f>
        <v>0</v>
      </c>
      <c r="CI302" s="521">
        <f>IF(AND($B302&gt;=$FV302,$B302&lt;=$FW302),MAX(CF302,Sheet1!EJ300,0),MAX(CF302-(7/36)*$K302,0))</f>
        <v>3</v>
      </c>
      <c r="CJ302" s="535">
        <f t="shared" si="721"/>
        <v>0</v>
      </c>
      <c r="CK302" s="521">
        <f t="shared" si="722"/>
        <v>0</v>
      </c>
      <c r="CL302" s="521">
        <f>IF(AND($O302&gt;0,Sheet1!EN300=1),(1-($O302-Sheet1!$L300)/$O302)*CF302,0)</f>
        <v>0</v>
      </c>
      <c r="CM302" s="521">
        <f>IF(AND(Sheet1!$L300=0,Sheet1!$L299=0, Calculation!CE302&lt;Sheet1!EJ300-0.1,Sheet1!EJ300=Sheet1!EJ299,Sheet1!EJ300=Sheet1!EJ301),CF302-CL302,CF302-CL302)</f>
        <v>2.9754779969650982</v>
      </c>
      <c r="CN302" s="1040" t="str">
        <f t="shared" si="674"/>
        <v/>
      </c>
      <c r="CO302" s="1035">
        <f t="shared" si="675"/>
        <v>12.568888888888889</v>
      </c>
      <c r="CP302" s="535">
        <f t="shared" si="723"/>
        <v>63.397440340713686</v>
      </c>
      <c r="CQ302" s="535"/>
      <c r="CR302" s="535">
        <f ca="1">IF(B302&gt;(Summary!$A$1-1),#N/A,CP302*MGtoAF)</f>
        <v>194.50334696530959</v>
      </c>
      <c r="CS302" s="535">
        <f>Sheet1!BK300+Sheet1!BL300+Sheet1!BM300-Sheet1!ER300-DA302</f>
        <v>6.6099999999999994</v>
      </c>
      <c r="CT302" s="535">
        <f t="shared" si="724"/>
        <v>6.5999696509863419</v>
      </c>
      <c r="CU302" s="535">
        <f>IF(Sheet1!ER300="FM",DA302,0)</f>
        <v>0</v>
      </c>
      <c r="CV302" s="535">
        <f t="shared" si="725"/>
        <v>0</v>
      </c>
      <c r="CW302" s="535">
        <f>IF(Sheet1!ER300="OTHER",DA302,0)</f>
        <v>0</v>
      </c>
      <c r="CX302" s="535">
        <f t="shared" si="726"/>
        <v>0</v>
      </c>
      <c r="CY302" s="535">
        <f t="shared" si="727"/>
        <v>6.6099999999999994</v>
      </c>
      <c r="CZ302" s="535">
        <f t="shared" si="728"/>
        <v>6.5999696509863419</v>
      </c>
      <c r="DA302" s="535">
        <f>IF(OR(Sheet1!ER300="FM", Sheet1!ER300="OTHER"),SUM(Sheet1!BK300:'Sheet1'!BM300),0)</f>
        <v>0</v>
      </c>
      <c r="DB302" s="1011">
        <f>IF(AND($B302&gt;=$FV302,$B302&lt;=$FW302),MAX($CT302,Sheet1!EK300,0),MAX($CT302-(7/36)*$K302,0))</f>
        <v>6.5999696509863419</v>
      </c>
      <c r="DC302" s="1012">
        <f t="shared" si="729"/>
        <v>0</v>
      </c>
      <c r="DD302" s="1011">
        <f t="shared" si="730"/>
        <v>0</v>
      </c>
      <c r="DE302" s="521">
        <f>IF(AND($O302&gt;0,Sheet1!EO300=1),(1-($O302-Sheet1!$L300)/$O302)*CZ302,0)</f>
        <v>0</v>
      </c>
      <c r="DF302" s="521">
        <f>IF(AND(Sheet1!$L300=0,Sheet1!$L299=0, Calculation!CY302&lt;Sheet1!$EK300-0.1,Sheet1!$EK300=Sheet1!$EK299,Sheet1!$EK300=Sheet1!$EK301),CZ302-DE302,CZ302-DE302)</f>
        <v>6.5999696509863419</v>
      </c>
      <c r="DG302" s="1040">
        <f t="shared" si="676"/>
        <v>12.568888888888889</v>
      </c>
      <c r="DH302" s="649">
        <f t="shared" si="731"/>
        <v>13.549999999999999</v>
      </c>
      <c r="DI302" s="535">
        <f t="shared" si="732"/>
        <v>42.63679248299934</v>
      </c>
      <c r="DJ302" s="649">
        <f t="shared" si="733"/>
        <v>13.529438543247343</v>
      </c>
      <c r="DK302" s="535">
        <f ca="1">IF(B302&gt;(Summary!$A$1-1),#N/A,DI302*MGtoAF)</f>
        <v>130.80967933784197</v>
      </c>
      <c r="DL302" s="649">
        <f t="shared" si="734"/>
        <v>13.55</v>
      </c>
      <c r="DM302" s="535">
        <f t="shared" si="735"/>
        <v>32.950000000000003</v>
      </c>
      <c r="DN302" s="535">
        <f>Sheet1!AB300-DM302</f>
        <v>-5.0000000000004263E-2</v>
      </c>
      <c r="DO302" s="743">
        <f t="shared" si="736"/>
        <v>-1.5174506828529366E-3</v>
      </c>
      <c r="DP302" s="535">
        <f>(VLOOKUP(Sheet1!DC300,hhdcap_wcm,4)-(((VLOOKUP(Sheet1!DC300,hhdcap_wcm,3)-Sheet1!DC300)/(VLOOKUP(Sheet1!DC300,hhdcap_wcm,3)-VLOOKUP(Sheet1!DC300,hhdcap_wcm,1)))*(VLOOKUP(Sheet1!DC300,hhdcap_wcm,4)-VLOOKUP(Sheet1!DC300,hhdcap_wcm,2))))</f>
        <v>7892.8000000168076</v>
      </c>
      <c r="DQ302" s="535">
        <f t="shared" si="737"/>
        <v>-643.30000000112614</v>
      </c>
      <c r="DR302" s="535">
        <f t="shared" si="738"/>
        <v>-324.40746343980135</v>
      </c>
      <c r="DS302" s="535">
        <f>Sheet1!EA300*AFtoMG</f>
        <v>0</v>
      </c>
      <c r="DT302" s="535">
        <f>Sheet1!EB300*AFtoMG</f>
        <v>0</v>
      </c>
      <c r="DU302" s="535">
        <f>Sheet1!EC300*AFtoMG</f>
        <v>0</v>
      </c>
      <c r="DV302" s="535">
        <f>Sheet1!ED300*AFtoMG</f>
        <v>0</v>
      </c>
      <c r="DW302" s="535">
        <f t="shared" si="739"/>
        <v>0</v>
      </c>
      <c r="DX302" s="535">
        <f t="shared" si="740"/>
        <v>0</v>
      </c>
      <c r="DY302" s="535">
        <f t="shared" si="741"/>
        <v>194.79775759336761</v>
      </c>
      <c r="DZ302" s="535">
        <f t="shared" si="742"/>
        <v>597.63952029645179</v>
      </c>
      <c r="EA302" s="535"/>
      <c r="EB302" s="521">
        <f>IF(OR(B302&lt;FV302,B302&gt;FW302),(MIN(BF302+BY302+CT302+MAX(Sheet1!AA300+AQ302-73,0),K302)),0)</f>
        <v>0</v>
      </c>
      <c r="EC302" s="535"/>
      <c r="ED302" s="535">
        <f t="shared" si="743"/>
        <v>13.529438543247343</v>
      </c>
      <c r="EE302" s="535"/>
      <c r="EF302" s="535">
        <f>Sheet1!EH300+Sheet1!EI300+Sheet1!EJ300+Sheet1!EK300</f>
        <v>13.5</v>
      </c>
      <c r="EG302" s="1019">
        <f t="shared" si="677"/>
        <v>20.884499999999999</v>
      </c>
      <c r="EH302" s="521">
        <f t="shared" si="744"/>
        <v>0</v>
      </c>
      <c r="EI302" s="535">
        <f>IF(Sheet1!ET300=1,SUM('Calculations II'!AT302:BA302)+'Calculations II'!BC302+Sheet1!BV300+'Calculations II'!BE302+AP302,'Calculations II'!BK302)</f>
        <v>46.412745456752646</v>
      </c>
      <c r="EJ302" s="535">
        <f ca="1">EI302+'Calculations II'!D302+'Calculations II'!E302+'Calculations II'!O302</f>
        <v>47.682321188656026</v>
      </c>
      <c r="EK302" s="535"/>
      <c r="EL302" s="535"/>
      <c r="EM302" s="535">
        <f t="shared" si="745"/>
        <v>43026</v>
      </c>
      <c r="EN302" s="535">
        <f t="shared" si="746"/>
        <v>-13.599969650986344</v>
      </c>
      <c r="EO302" s="535">
        <f t="shared" si="747"/>
        <v>-21.039153050075871</v>
      </c>
      <c r="EP302" s="535">
        <v>0</v>
      </c>
      <c r="EQ302" s="535">
        <v>0</v>
      </c>
      <c r="ER302" s="535">
        <v>0</v>
      </c>
      <c r="ES302" s="521">
        <f t="shared" si="643"/>
        <v>-0.27704645653139798</v>
      </c>
      <c r="ET302" s="535">
        <f>-(VLOOKUP(Sheet1!BQ300,Lookup!$O$4:$Q$262,2)-VLOOKUP(Sheet1!BQ299,Lookup!$O$4:$Q$262,2))/1000000</f>
        <v>-0.13849759166393055</v>
      </c>
      <c r="EU302" s="535">
        <f>-(VLOOKUP(Sheet1!BR300,Lookup!$O$4:$Q$262,3)-VLOOKUP(Sheet1!BR299,Lookup!$O$4:$Q$262,3))/1000000</f>
        <v>-0.13854886486746743</v>
      </c>
      <c r="EV302" s="535"/>
      <c r="EW302" s="535"/>
      <c r="EX302" s="535"/>
      <c r="EY302" s="535"/>
      <c r="EZ302" s="535"/>
      <c r="FA302" s="535"/>
      <c r="FB302" s="535"/>
      <c r="FC302" s="535"/>
      <c r="FD302" s="567">
        <f t="shared" si="693"/>
        <v>1103.4464285713818</v>
      </c>
      <c r="FE302" s="567" t="e">
        <f t="shared" si="748"/>
        <v>#N/A</v>
      </c>
      <c r="FF302" s="568" t="e">
        <f t="shared" si="749"/>
        <v>#N/A</v>
      </c>
      <c r="FG302" s="569" t="s">
        <v>656</v>
      </c>
      <c r="FH302" s="569" t="s">
        <v>656</v>
      </c>
      <c r="FI302" s="567" t="e">
        <v>#N/A</v>
      </c>
      <c r="FJ302" s="725">
        <v>5635</v>
      </c>
      <c r="FK302" s="535"/>
      <c r="FL302" s="1015">
        <f t="shared" si="692"/>
        <v>105.90015128593041</v>
      </c>
      <c r="FM302" s="535"/>
      <c r="FN302" s="535"/>
      <c r="FO302" s="535">
        <f>O302+((Sheet1!CS300)*GPMtoMGD)</f>
        <v>61.18</v>
      </c>
      <c r="FP302" s="535">
        <f>IF(Sheet1!AA300+AQ302&lt;=Calculation!N302,AQ302,Calculation!N302-Sheet1!AA300)</f>
        <v>19.37056145675265</v>
      </c>
      <c r="FQ302" s="535">
        <f>(Sheet1!BP300+Sheet1!BO300)/694.4</f>
        <v>1.8764400921658986</v>
      </c>
      <c r="FR302" s="541"/>
      <c r="FS302" s="541"/>
      <c r="FT302" s="541"/>
      <c r="FU302" s="541"/>
      <c r="FV302" s="1109">
        <f t="shared" si="644"/>
        <v>42918</v>
      </c>
      <c r="FW302" s="1109">
        <f t="shared" si="645"/>
        <v>43027</v>
      </c>
      <c r="FX302" s="541"/>
      <c r="FY302" s="541">
        <f>Sheet1!DA300-Sheet1!CZ300-Sheet1!AE300</f>
        <v>-20.64546</v>
      </c>
      <c r="FZ302" s="535">
        <f t="shared" si="678"/>
        <v>-5.1408973326139612E-2</v>
      </c>
      <c r="GA302" s="535"/>
      <c r="GB302" s="535" t="str">
        <f t="shared" si="646"/>
        <v>n</v>
      </c>
      <c r="GC302" s="539">
        <f t="shared" si="647"/>
        <v>42782</v>
      </c>
      <c r="GD302" s="1109">
        <f t="shared" si="648"/>
        <v>42904</v>
      </c>
      <c r="GE302" s="535">
        <f t="shared" si="664"/>
        <v>6520</v>
      </c>
      <c r="GF302" s="1109">
        <f t="shared" si="649"/>
        <v>42909</v>
      </c>
      <c r="GG302" s="535">
        <f t="shared" si="691"/>
        <v>3260</v>
      </c>
      <c r="GH302" s="539">
        <f t="shared" si="650"/>
        <v>43040</v>
      </c>
      <c r="GJ302" s="521">
        <f t="shared" si="651"/>
        <v>0</v>
      </c>
      <c r="GK302" s="535" t="str">
        <f t="shared" si="750"/>
        <v/>
      </c>
      <c r="GL302" s="535">
        <f t="shared" si="652"/>
        <v>0</v>
      </c>
      <c r="GM302" s="535" t="str">
        <f t="shared" si="653"/>
        <v/>
      </c>
      <c r="GN302" s="535">
        <f>IF(GK302="P",Lookup!$M$12,IF(GK302="PP",Lookup!$M$13,IF(GK302="PPP",Lookup!$M$14,IF(GK302="T",Lookup!$M$15,IF(GK302="TP",Lookup!$M$16,IF(GK302="TPP",Lookup!$M$17,IF(GK302="TPPP",Lookup!$M$18,0)))))))*GJ302</f>
        <v>0</v>
      </c>
      <c r="GO302" s="535">
        <f t="shared" si="654"/>
        <v>0</v>
      </c>
      <c r="GP302" s="535">
        <f t="shared" si="751"/>
        <v>184.62914209723533</v>
      </c>
      <c r="GQ302" s="974">
        <f t="shared" si="695"/>
        <v>60.178990253336153</v>
      </c>
      <c r="GR302" s="535"/>
      <c r="GS302" s="535">
        <f t="shared" si="655"/>
        <v>0</v>
      </c>
      <c r="GT302" s="535" t="str">
        <f t="shared" si="656"/>
        <v/>
      </c>
      <c r="GU302" s="535">
        <f>IF(GK302="P",Lookup!$N$12,IF(GK302="PP",Lookup!$N$13,IF(GK302="PPP",Lookup!$N$14,IF(GK302="T",Lookup!$N$15,IF(GK302="TP",Lookup!$N$16,IF(GK302="TPP",Lookup!$N$17,IF(GK302="TPPP",Lookup!$N$18,0)))))))*GJ302</f>
        <v>0</v>
      </c>
      <c r="GV302" s="535">
        <f t="shared" si="657"/>
        <v>0</v>
      </c>
      <c r="GW302" s="535">
        <f t="shared" si="752"/>
        <v>87.697351896064944</v>
      </c>
      <c r="GX302" s="974">
        <f t="shared" si="696"/>
        <v>28.584534516318428</v>
      </c>
      <c r="GY302" s="535"/>
      <c r="GZ302" s="535">
        <f t="shared" si="658"/>
        <v>0</v>
      </c>
      <c r="HA302" s="535" t="str">
        <f t="shared" si="659"/>
        <v/>
      </c>
      <c r="HB302" s="535">
        <f>IF(GK302="P",Lookup!$N$12,IF(GK302="PP",Lookup!$N$13,IF(GK302="PPP",Lookup!$N$14,IF(GK302="T",Lookup!$N$15,IF(GK302="TP",Lookup!$N$16,IF(GK302="TPP",Lookup!$N$17,IF(GK302="TPPP",Lookup!$N$18,0)))))))*GJ302</f>
        <v>0</v>
      </c>
      <c r="HC302" s="521">
        <f t="shared" si="753"/>
        <v>0</v>
      </c>
      <c r="HD302" s="535">
        <f t="shared" si="754"/>
        <v>194.50334696530959</v>
      </c>
      <c r="HE302" s="535">
        <f t="shared" si="662"/>
        <v>63.397440340713686</v>
      </c>
      <c r="HF302" s="535"/>
      <c r="HG302" s="535">
        <f t="shared" si="660"/>
        <v>0</v>
      </c>
      <c r="HH302" s="535" t="str">
        <f t="shared" si="661"/>
        <v/>
      </c>
      <c r="HI302" s="535">
        <f>IF(GK302="P",Lookup!$N$12,IF(GK302="PP",Lookup!$N$13,IF(GK302="PPP",Lookup!$N$14,IF(GK302="T",Lookup!$N$15,IF(GK302="TP",Lookup!$N$16,IF(GK302="TPP",Lookup!$N$17,IF(GK302="TPPP",Lookup!$N$18,0)))))))*GJ302</f>
        <v>0</v>
      </c>
      <c r="HJ302" s="521">
        <f t="shared" si="755"/>
        <v>0</v>
      </c>
      <c r="HK302" s="535">
        <f t="shared" si="756"/>
        <v>130.80967933784197</v>
      </c>
      <c r="HL302" s="535">
        <f t="shared" si="663"/>
        <v>42.63679248299934</v>
      </c>
      <c r="HM302" s="535"/>
      <c r="HN302" s="541"/>
      <c r="HO302" s="541"/>
      <c r="HP302" s="541"/>
      <c r="HQ302" s="541">
        <f>IF(AND(B302&gt;=$FV$4,B302&lt;=$FW$4),MAX(110/1.02+$HQ$6+MIN(113/1.02,G302),IF($HV$6-(Sheet1!DA300-Sheet1!DB300)+MIN(113/1.02,G302)&lt;G302+FL302,$HV$6-(Sheet1!DA300-Sheet1!DB300)+MIN(113/1.02,G302),G302+FL302)),MIN(110/1.02+$HQ$6+113/1.02,G302))</f>
        <v>247.78431372549019</v>
      </c>
      <c r="HR302" s="541">
        <f t="shared" si="679"/>
        <v>252.74</v>
      </c>
      <c r="HS302" s="541">
        <f>HR302+(Sheet1!DA300-Sheet1!DB300)</f>
        <v>380.74</v>
      </c>
      <c r="HT302" s="541">
        <f t="shared" si="680"/>
        <v>73.715418573596352</v>
      </c>
      <c r="HU302" s="541">
        <f t="shared" si="681"/>
        <v>307.02458142640364</v>
      </c>
      <c r="HV302" s="541">
        <f t="shared" si="682"/>
        <v>0</v>
      </c>
      <c r="HW302" s="533" t="str">
        <f t="shared" si="683"/>
        <v/>
      </c>
      <c r="HX302" s="541">
        <f t="shared" si="684"/>
        <v>457.17653322443391</v>
      </c>
      <c r="HY302" s="541">
        <f>Sheet1!CZ300</f>
        <v>726</v>
      </c>
      <c r="HZ302" s="541">
        <f t="shared" si="685"/>
        <v>21.039153050075871</v>
      </c>
      <c r="IA302" s="541">
        <f t="shared" si="686"/>
        <v>73.715418573596352</v>
      </c>
      <c r="IB302" s="541">
        <f t="shared" si="687"/>
        <v>704.96084694992408</v>
      </c>
      <c r="IC302" s="1019" t="str">
        <f t="shared" si="688"/>
        <v/>
      </c>
      <c r="ID302" s="541">
        <f t="shared" si="689"/>
        <v>631.24542837632771</v>
      </c>
      <c r="IE302" s="541">
        <f>Sheet1!DB300</f>
        <v>672</v>
      </c>
      <c r="IF302" s="533">
        <f>Sheet1!DA300</f>
        <v>800</v>
      </c>
      <c r="IH302" s="541">
        <f>IF(AND($B302&gt;=$GC302,$B302&lt;=$GH302,$DR302&lt;0)+N("only adjusted when pool is drawn down during storage season"),Sheet1!$DB300+$DR302+N("Palmer minus all storage release"),Sheet1!$DB300)</f>
        <v>347.59253656019865</v>
      </c>
      <c r="II302" s="541">
        <f>IF(AND($B302&gt;=$GC302,$B302&lt;=$GH302,$DR302&lt;0)+N("only adjusted when pool is drawn down during storage season"),Sheet1!$DA300+$DR302+N("Auburn minus all storage release"),Sheet1!$DA300)</f>
        <v>475.59253656019865</v>
      </c>
    </row>
    <row r="303" spans="1:243" x14ac:dyDescent="0.25">
      <c r="A303" s="553" t="s">
        <v>7</v>
      </c>
      <c r="B303" s="531">
        <v>43027</v>
      </c>
      <c r="C303" s="536">
        <v>0</v>
      </c>
      <c r="D303" s="506">
        <f t="shared" si="633"/>
        <v>300</v>
      </c>
      <c r="E303" s="506">
        <f t="shared" si="634"/>
        <v>250</v>
      </c>
      <c r="F303" s="506">
        <v>250</v>
      </c>
      <c r="G303" s="535">
        <f>DR303+Sheet1!CZ301</f>
        <v>2020.4019162892935</v>
      </c>
      <c r="H303" s="1074">
        <f t="shared" si="690"/>
        <v>933.74882668800001</v>
      </c>
      <c r="I303" s="534">
        <f>IF(Sheet1!DA301&gt;=E303,(Sheet1!DA301-E303+P303)*CFStoMGD,0)</f>
        <v>1254.3632266879999</v>
      </c>
      <c r="J303" s="995">
        <f>IF(Sheet1!DB301&gt;=D303,(Sheet1!DB301-D303+P303)*CFStoMGD,0)</f>
        <v>933.74882668800001</v>
      </c>
      <c r="K303" s="818">
        <f t="shared" si="665"/>
        <v>64.64</v>
      </c>
      <c r="L303" s="535">
        <f>Sheet1!AA301+Sheet1!AB301-Sheet1!L301+(Sheet1!DA301-F303)*CFStoMGD-S303-T303-U303</f>
        <v>1241.1166134627047</v>
      </c>
      <c r="M303" s="535">
        <f t="shared" si="697"/>
        <v>1332.1075546631873</v>
      </c>
      <c r="N303" s="824">
        <f>IF(Sheet1!DA301&gt;=F303,MIN(113*CFStoMGD,MIN(MAX(L303,0),MAX(M303,0))),0)</f>
        <v>73.043199999999999</v>
      </c>
      <c r="O303" s="538">
        <f>Sheet1!AA301+Sheet1!AB301</f>
        <v>61.11</v>
      </c>
      <c r="P303" s="538">
        <f t="shared" si="698"/>
        <v>94.537170000000003</v>
      </c>
      <c r="Q303" s="812">
        <f t="shared" si="666"/>
        <v>47.862213462704673</v>
      </c>
      <c r="R303" s="812">
        <f t="shared" si="635"/>
        <v>13.5</v>
      </c>
      <c r="S303" s="812">
        <f t="shared" si="636"/>
        <v>0</v>
      </c>
      <c r="T303" s="812">
        <f t="shared" si="637"/>
        <v>0</v>
      </c>
      <c r="U303" s="812">
        <f>IF(AND(B303&gt;=FV303,B303&lt;=FW303),ED303+Sheet1!EH301,0)</f>
        <v>13.247786537295328</v>
      </c>
      <c r="V303" s="812"/>
      <c r="W303" s="812">
        <f t="shared" si="638"/>
        <v>51.392213462704674</v>
      </c>
      <c r="X303" s="812">
        <f t="shared" si="639"/>
        <v>0</v>
      </c>
      <c r="Y303" s="812" t="str">
        <f t="shared" si="640"/>
        <v/>
      </c>
      <c r="Z303" s="812">
        <f t="shared" si="641"/>
        <v>61.11</v>
      </c>
      <c r="AA303" s="812">
        <f t="shared" si="642"/>
        <v>61.11</v>
      </c>
      <c r="AB303" s="1059">
        <f t="shared" si="667"/>
        <v>74.042844226804121</v>
      </c>
      <c r="AC303" s="538">
        <f>Sheet1!Y301*MGDtoCFS</f>
        <v>43.749159999999996</v>
      </c>
      <c r="AD303" s="538">
        <f>Sheet1!Z301*MGDtoCFS</f>
        <v>50.896299999999997</v>
      </c>
      <c r="AE303" s="538">
        <f>Sheet1!AA301*MGDtoCFS</f>
        <v>43.64087</v>
      </c>
      <c r="AF303" s="538">
        <f>Sheet1!AB301*MGDtoCFS</f>
        <v>50.896299999999997</v>
      </c>
      <c r="AG303" s="538">
        <f>Sheet1!L301*MGDtoCFS</f>
        <v>0</v>
      </c>
      <c r="AH303" s="521">
        <f t="shared" si="699"/>
        <v>13.53411158277744</v>
      </c>
      <c r="AI303" s="1059">
        <f t="shared" si="700"/>
        <v>20.937270618556699</v>
      </c>
      <c r="AJ303" s="535">
        <f t="shared" si="701"/>
        <v>0</v>
      </c>
      <c r="AK303" s="535">
        <f t="shared" si="702"/>
        <v>0</v>
      </c>
      <c r="AL303" s="535">
        <f>(VLOOKUP(Sheet1!DC301,hhdcap_wcm,4)-(((VLOOKUP(Sheet1!DC301,hhdcap_wcm,3)-Sheet1!DC301)/(VLOOKUP(Sheet1!DC301,hhdcap_wcm,3)-VLOOKUP(Sheet1!DC301,hhdcap_wcm,1)))*(VLOOKUP(Sheet1!DC301,hhdcap_wcm,4)-VLOOKUP(Sheet1!DC301,hhdcap_wcm,2))))</f>
        <v>8569.8000000184766</v>
      </c>
      <c r="AM303" s="535">
        <f t="shared" si="703"/>
        <v>677.00000000166892</v>
      </c>
      <c r="AN303" s="1035">
        <f t="shared" si="704"/>
        <v>181.26364601059015</v>
      </c>
      <c r="AO303" s="535">
        <f t="shared" si="705"/>
        <v>556.1168659604906</v>
      </c>
      <c r="AP303" s="535">
        <f>Sheet1!BA301+Sheet1!BB301+Sheet1!BN301+CD303</f>
        <v>19.7</v>
      </c>
      <c r="AQ303" s="535">
        <f>Sheet1!BN301+(DO303*Sheet1!BN301)</f>
        <v>19.652213462704665</v>
      </c>
      <c r="AR303" s="535">
        <f>Sheet1!BA301+CD303</f>
        <v>0</v>
      </c>
      <c r="AS303" s="535">
        <f>Sheet1!BA301+Sheet1!BB301+CD303</f>
        <v>0</v>
      </c>
      <c r="AT303" s="649">
        <f>0</f>
        <v>0</v>
      </c>
      <c r="AU303" s="974">
        <f>BA303+MAX(Sheet1!EH301,(O303-Q303-ED303-S303))</f>
        <v>0</v>
      </c>
      <c r="AV303" s="535">
        <f>IF(OR(B303&gt;=GD303,B303&lt;GC303),0,15/36*K303-MAX(0,64.6-(137.6-(Sheet1!AA301+Sheet1!AB301))))</f>
        <v>0</v>
      </c>
      <c r="AW303" s="1029"/>
      <c r="AX303" s="649"/>
      <c r="AY303" s="649">
        <f t="shared" si="668"/>
        <v>23.311716569431731</v>
      </c>
      <c r="AZ303" s="649">
        <f t="shared" si="669"/>
        <v>0</v>
      </c>
      <c r="BA303" s="1059">
        <f t="shared" si="670"/>
        <v>0</v>
      </c>
      <c r="BB303" s="1019">
        <f t="shared" si="706"/>
        <v>60.178990253336153</v>
      </c>
      <c r="BC303" s="1041">
        <f t="shared" si="671"/>
        <v>26.933333333333334</v>
      </c>
      <c r="BD303" s="1019">
        <f ca="1">IF(B303&gt;(Summary!$A$1-1),#N/A,BB303*MGtoAF)</f>
        <v>184.62914209723533</v>
      </c>
      <c r="BE303" s="535">
        <f>Sheet1!BG301+Sheet1!BH301+Sheet1!BI301-BM303</f>
        <v>3.7299999999999995</v>
      </c>
      <c r="BF303" s="535">
        <f t="shared" si="707"/>
        <v>3.7209520921770758</v>
      </c>
      <c r="BG303" s="535">
        <f>IF(Sheet1!EP301="FM",BM303,0)</f>
        <v>0</v>
      </c>
      <c r="BH303" s="535">
        <f t="shared" si="708"/>
        <v>0</v>
      </c>
      <c r="BI303" s="535">
        <f>IF(Sheet1!EP301="OTHER",BM303,0)</f>
        <v>0</v>
      </c>
      <c r="BJ303" s="535">
        <f t="shared" si="709"/>
        <v>0</v>
      </c>
      <c r="BK303" s="535">
        <f t="shared" si="710"/>
        <v>3.7299999999999995</v>
      </c>
      <c r="BL303" s="535">
        <f t="shared" si="711"/>
        <v>3.7209520921770758</v>
      </c>
      <c r="BM303" s="535">
        <f>IF(OR(Sheet1!EP301="FM", Sheet1!EP301="OTHER"),SUM(Sheet1!BG301:'Sheet1'!BI301),0)</f>
        <v>0</v>
      </c>
      <c r="BN303" s="521">
        <f>IF(AND($B303&gt;=$FV303,$B303&lt;=$FW303),MAX(BF303,Sheet1!EI301,0),MAX(BF303-(7/36)*$K303,0))</f>
        <v>4</v>
      </c>
      <c r="BO303" s="535">
        <f t="shared" si="712"/>
        <v>0</v>
      </c>
      <c r="BP303" s="521">
        <f t="shared" si="713"/>
        <v>0</v>
      </c>
      <c r="BQ303" s="521">
        <f>IF(AND($O303&gt;0,Sheet1!EM301=1),(1-($O303-Sheet1!$L301)/$O303)*BL303,0)</f>
        <v>0</v>
      </c>
      <c r="BR303" s="521">
        <f>IF(AND(Sheet1!$L301=0,Sheet1!$L300=0, Calculation!BK303&lt;Sheet1!$EI301-0.1,Sheet1!$EI301=Sheet1!$EI300,Sheet1!$EI301=Sheet1!$EI302),BL303-BQ303,BL303-BQ303)</f>
        <v>3.7209520921770758</v>
      </c>
      <c r="BS303" s="1035" t="str">
        <f t="shared" si="672"/>
        <v/>
      </c>
      <c r="BT303" s="1035">
        <f t="shared" si="673"/>
        <v>12.568888888888889</v>
      </c>
      <c r="BU303" s="535">
        <f t="shared" si="714"/>
        <v>24.584534516318428</v>
      </c>
      <c r="BV303" s="535"/>
      <c r="BW303" s="535">
        <f ca="1">IF(B303&gt;(Summary!$A$1-1),#N/A,BU303*MGtoAF)</f>
        <v>75.425351896064939</v>
      </c>
      <c r="BX303" s="535">
        <f>Sheet1!BC301+Sheet1!BD301+Sheet1!BE301+Sheet1!BF301-CG303-CH303</f>
        <v>3</v>
      </c>
      <c r="BY303" s="535">
        <f t="shared" si="715"/>
        <v>2.9927228623408122</v>
      </c>
      <c r="BZ303" s="535">
        <f>IF(Sheet1!EQ301="FM",CH303,0)</f>
        <v>0</v>
      </c>
      <c r="CA303" s="535">
        <f t="shared" si="716"/>
        <v>0</v>
      </c>
      <c r="CB303" s="535">
        <f>IF(Sheet1!EQ301="OTHER",CH303,0)</f>
        <v>0</v>
      </c>
      <c r="CC303" s="535">
        <f t="shared" si="717"/>
        <v>0</v>
      </c>
      <c r="CD303" s="535">
        <f t="shared" si="718"/>
        <v>0</v>
      </c>
      <c r="CE303" s="535">
        <f t="shared" si="719"/>
        <v>3</v>
      </c>
      <c r="CF303" s="535">
        <f t="shared" si="720"/>
        <v>2.9927228623408122</v>
      </c>
      <c r="CG303" s="535">
        <f>IF(Sheet1!EQ301="CWA",SUM(Sheet1!BC301:'Sheet1'!BF301),0)</f>
        <v>0</v>
      </c>
      <c r="CH303" s="535">
        <f>IF(OR(Sheet1!EQ301="FM", Sheet1!EQ301="OTHER"),SUM(Sheet1!BC301:'Sheet1'!BF301),0)</f>
        <v>0</v>
      </c>
      <c r="CI303" s="521">
        <f>IF(AND($B303&gt;=$FV303,$B303&lt;=$FW303),MAX(CF303,Sheet1!EJ301,0),MAX(CF303-(7/36)*$K303,0))</f>
        <v>3</v>
      </c>
      <c r="CJ303" s="535">
        <f t="shared" si="721"/>
        <v>0</v>
      </c>
      <c r="CK303" s="521">
        <f t="shared" si="722"/>
        <v>0</v>
      </c>
      <c r="CL303" s="521">
        <f>IF(AND($O303&gt;0,Sheet1!EN301=1),(1-($O303-Sheet1!$L301)/$O303)*CF303,0)</f>
        <v>0</v>
      </c>
      <c r="CM303" s="521">
        <f>IF(AND(Sheet1!$L301=0,Sheet1!$L300=0, Calculation!CE303&lt;Sheet1!EJ301-0.1,Sheet1!EJ301=Sheet1!EJ300,Sheet1!EJ301=Sheet1!EJ302),CF303-CL303,CF303-CL303)</f>
        <v>2.9927228623408122</v>
      </c>
      <c r="CN303" s="1040" t="str">
        <f t="shared" si="674"/>
        <v/>
      </c>
      <c r="CO303" s="1035">
        <f t="shared" si="675"/>
        <v>12.568888888888889</v>
      </c>
      <c r="CP303" s="535">
        <f t="shared" si="723"/>
        <v>60.397440340713686</v>
      </c>
      <c r="CQ303" s="535"/>
      <c r="CR303" s="535">
        <f ca="1">IF(B303&gt;(Summary!$A$1-1),#N/A,CP303*MGtoAF)</f>
        <v>185.29934696530958</v>
      </c>
      <c r="CS303" s="535">
        <f>Sheet1!BK301+Sheet1!BL301+Sheet1!BM301-Sheet1!ER301-DA303</f>
        <v>6.55</v>
      </c>
      <c r="CT303" s="535">
        <f t="shared" si="724"/>
        <v>6.5341115827774399</v>
      </c>
      <c r="CU303" s="535">
        <f>IF(Sheet1!ER301="FM",DA303,0)</f>
        <v>0</v>
      </c>
      <c r="CV303" s="535">
        <f t="shared" si="725"/>
        <v>0</v>
      </c>
      <c r="CW303" s="535">
        <f>IF(Sheet1!ER301="OTHER",DA303,0)</f>
        <v>0</v>
      </c>
      <c r="CX303" s="535">
        <f t="shared" si="726"/>
        <v>0</v>
      </c>
      <c r="CY303" s="535">
        <f t="shared" si="727"/>
        <v>6.55</v>
      </c>
      <c r="CZ303" s="535">
        <f t="shared" si="728"/>
        <v>6.5341115827774399</v>
      </c>
      <c r="DA303" s="535">
        <f>IF(OR(Sheet1!ER301="FM", Sheet1!ER301="OTHER"),SUM(Sheet1!BK301:'Sheet1'!BM301),0)</f>
        <v>0</v>
      </c>
      <c r="DB303" s="1011">
        <f>IF(AND($B303&gt;=$FV303,$B303&lt;=$FW303),MAX($CT303,Sheet1!EK301,0),MAX($CT303-(7/36)*$K303,0))</f>
        <v>6.5341115827774399</v>
      </c>
      <c r="DC303" s="1012">
        <f t="shared" si="729"/>
        <v>0</v>
      </c>
      <c r="DD303" s="1011">
        <f t="shared" si="730"/>
        <v>0</v>
      </c>
      <c r="DE303" s="521">
        <f>IF(AND($O303&gt;0,Sheet1!EO301=1),(1-($O303-Sheet1!$L301)/$O303)*CZ303,0)</f>
        <v>0</v>
      </c>
      <c r="DF303" s="521">
        <f>IF(AND(Sheet1!$L301=0,Sheet1!$L300=0, Calculation!CY303&lt;Sheet1!$EK301-0.1,Sheet1!$EK301=Sheet1!$EK300,Sheet1!$EK301=Sheet1!$EK302),CZ303-DE303,CZ303-DE303)</f>
        <v>6.5341115827774399</v>
      </c>
      <c r="DG303" s="1040">
        <f t="shared" si="676"/>
        <v>12.568888888888889</v>
      </c>
      <c r="DH303" s="649">
        <f t="shared" si="731"/>
        <v>13.28</v>
      </c>
      <c r="DI303" s="535">
        <f t="shared" si="732"/>
        <v>36.102680900221898</v>
      </c>
      <c r="DJ303" s="649">
        <f t="shared" si="733"/>
        <v>13.247786537295328</v>
      </c>
      <c r="DK303" s="535">
        <f ca="1">IF(B303&gt;(Summary!$A$1-1),#N/A,DI303*MGtoAF)</f>
        <v>110.76302500188079</v>
      </c>
      <c r="DL303" s="649">
        <f t="shared" si="734"/>
        <v>13.280000000000001</v>
      </c>
      <c r="DM303" s="535">
        <f t="shared" si="735"/>
        <v>32.980000000000004</v>
      </c>
      <c r="DN303" s="535">
        <f>Sheet1!AB301-DM303</f>
        <v>-8.00000000000054E-2</v>
      </c>
      <c r="DO303" s="743">
        <f t="shared" si="736"/>
        <v>-2.4257125530626257E-3</v>
      </c>
      <c r="DP303" s="535">
        <f>(VLOOKUP(Sheet1!DC301,hhdcap_wcm,4)-(((VLOOKUP(Sheet1!DC301,hhdcap_wcm,3)-Sheet1!DC301)/(VLOOKUP(Sheet1!DC301,hhdcap_wcm,3)-VLOOKUP(Sheet1!DC301,hhdcap_wcm,1)))*(VLOOKUP(Sheet1!DC301,hhdcap_wcm,4)-VLOOKUP(Sheet1!DC301,hhdcap_wcm,2))))</f>
        <v>8569.8000000184766</v>
      </c>
      <c r="DQ303" s="535">
        <f t="shared" si="737"/>
        <v>677.00000000166892</v>
      </c>
      <c r="DR303" s="535">
        <f t="shared" si="738"/>
        <v>341.40191628929341</v>
      </c>
      <c r="DS303" s="535">
        <f>Sheet1!EA301*AFtoMG</f>
        <v>0</v>
      </c>
      <c r="DT303" s="535">
        <f>Sheet1!EB301*AFtoMG</f>
        <v>0</v>
      </c>
      <c r="DU303" s="535">
        <f>Sheet1!EC301*AFtoMG</f>
        <v>0</v>
      </c>
      <c r="DV303" s="535">
        <f>Sheet1!ED301*AFtoMG</f>
        <v>0</v>
      </c>
      <c r="DW303" s="535">
        <f t="shared" si="739"/>
        <v>0</v>
      </c>
      <c r="DX303" s="535">
        <f t="shared" si="740"/>
        <v>0</v>
      </c>
      <c r="DY303" s="535">
        <f t="shared" si="741"/>
        <v>181.26364601059015</v>
      </c>
      <c r="DZ303" s="535">
        <f t="shared" si="742"/>
        <v>556.1168659604906</v>
      </c>
      <c r="EA303" s="535"/>
      <c r="EB303" s="521">
        <f>IF(OR(B303&lt;FV303,B303&gt;FW303),(MIN(BF303+BY303+CT303+MAX(Sheet1!AA301+AQ303-73,0),K303)),0)</f>
        <v>0</v>
      </c>
      <c r="EC303" s="535"/>
      <c r="ED303" s="535">
        <f t="shared" si="743"/>
        <v>13.247786537295328</v>
      </c>
      <c r="EE303" s="535"/>
      <c r="EF303" s="535">
        <f>Sheet1!EH301+Sheet1!EI301+Sheet1!EJ301+Sheet1!EK301</f>
        <v>13.5</v>
      </c>
      <c r="EG303" s="1019">
        <f t="shared" si="677"/>
        <v>20.884499999999999</v>
      </c>
      <c r="EH303" s="521">
        <f t="shared" si="744"/>
        <v>0</v>
      </c>
      <c r="EI303" s="535">
        <f>IF(Sheet1!ET301=1,SUM('Calculations II'!AT303:BA303)+'Calculations II'!BC303+Sheet1!BV301+'Calculations II'!BE303+AP303,'Calculations II'!BK303)</f>
        <v>49.10266146270466</v>
      </c>
      <c r="EJ303" s="535">
        <f ca="1">EI303+'Calculations II'!D303+'Calculations II'!E303+'Calculations II'!O303</f>
        <v>45.301363595444968</v>
      </c>
      <c r="EK303" s="535"/>
      <c r="EL303" s="535"/>
      <c r="EM303" s="535">
        <f t="shared" si="745"/>
        <v>43027</v>
      </c>
      <c r="EN303" s="535">
        <f t="shared" si="746"/>
        <v>-13.53411158277744</v>
      </c>
      <c r="EO303" s="535">
        <f t="shared" si="747"/>
        <v>-20.937270618556699</v>
      </c>
      <c r="EP303" s="535">
        <v>0</v>
      </c>
      <c r="EQ303" s="535">
        <v>0</v>
      </c>
      <c r="ER303" s="535">
        <v>0</v>
      </c>
      <c r="ES303" s="521">
        <f t="shared" si="643"/>
        <v>0.55408009490971266</v>
      </c>
      <c r="ET303" s="535">
        <f>-(VLOOKUP(Sheet1!BQ301,Lookup!$O$4:$Q$262,2)-VLOOKUP(Sheet1!BQ300,Lookup!$O$4:$Q$262,2))/1000000</f>
        <v>0.27698877484251933</v>
      </c>
      <c r="EU303" s="535">
        <f>-(VLOOKUP(Sheet1!BR301,Lookup!$O$4:$Q$262,3)-VLOOKUP(Sheet1!BR300,Lookup!$O$4:$Q$262,3))/1000000</f>
        <v>0.27709132006719334</v>
      </c>
      <c r="EV303" s="535"/>
      <c r="EW303" s="535"/>
      <c r="EX303" s="535"/>
      <c r="EY303" s="535"/>
      <c r="EZ303" s="535"/>
      <c r="FA303" s="535"/>
      <c r="FB303" s="535"/>
      <c r="FC303" s="535"/>
      <c r="FD303" s="567">
        <f t="shared" si="693"/>
        <v>1102.6807692307232</v>
      </c>
      <c r="FE303" s="567" t="e">
        <f t="shared" si="748"/>
        <v>#N/A</v>
      </c>
      <c r="FF303" s="568" t="e">
        <f t="shared" si="749"/>
        <v>#N/A</v>
      </c>
      <c r="FG303" s="569" t="s">
        <v>656</v>
      </c>
      <c r="FH303" s="569" t="s">
        <v>656</v>
      </c>
      <c r="FI303" s="567" t="e">
        <v>#N/A</v>
      </c>
      <c r="FJ303" s="725">
        <v>5425</v>
      </c>
      <c r="FK303" s="535"/>
      <c r="FL303" s="1015">
        <f t="shared" si="692"/>
        <v>105.3958648512355</v>
      </c>
      <c r="FM303" s="535"/>
      <c r="FN303" s="535"/>
      <c r="FO303" s="535">
        <f>O303+((Sheet1!CS301)*GPMtoMGD)</f>
        <v>61.11</v>
      </c>
      <c r="FP303" s="535">
        <f>IF(Sheet1!AA301+AQ303&lt;=Calculation!N303,AQ303,Calculation!N303-Sheet1!AA301)</f>
        <v>19.652213462704665</v>
      </c>
      <c r="FQ303" s="535">
        <f>(Sheet1!BP301+Sheet1!BO301)/694.4</f>
        <v>1.475086405529954</v>
      </c>
      <c r="FR303" s="541"/>
      <c r="FS303" s="541"/>
      <c r="FT303" s="541"/>
      <c r="FU303" s="541"/>
      <c r="FV303" s="1109">
        <f t="shared" si="644"/>
        <v>42918</v>
      </c>
      <c r="FW303" s="1109">
        <f t="shared" si="645"/>
        <v>43027</v>
      </c>
      <c r="FX303" s="541"/>
      <c r="FY303" s="541">
        <f>Sheet1!DA301-Sheet1!CZ301-Sheet1!AE301</f>
        <v>322.46283</v>
      </c>
      <c r="FZ303" s="535">
        <f t="shared" si="678"/>
        <v>0.15960330833195854</v>
      </c>
      <c r="GA303" s="535"/>
      <c r="GB303" s="535" t="str">
        <f t="shared" si="646"/>
        <v>n</v>
      </c>
      <c r="GC303" s="539">
        <f t="shared" si="647"/>
        <v>42782</v>
      </c>
      <c r="GD303" s="1109">
        <f t="shared" si="648"/>
        <v>42904</v>
      </c>
      <c r="GE303" s="535">
        <f t="shared" si="664"/>
        <v>6520</v>
      </c>
      <c r="GF303" s="1109">
        <f t="shared" si="649"/>
        <v>42909</v>
      </c>
      <c r="GG303" s="535">
        <f t="shared" si="691"/>
        <v>3260</v>
      </c>
      <c r="GH303" s="539">
        <f t="shared" si="650"/>
        <v>43040</v>
      </c>
      <c r="GJ303" s="521">
        <f t="shared" si="651"/>
        <v>0</v>
      </c>
      <c r="GK303" s="535" t="str">
        <f t="shared" si="750"/>
        <v/>
      </c>
      <c r="GL303" s="535">
        <f t="shared" si="652"/>
        <v>0</v>
      </c>
      <c r="GM303" s="535" t="str">
        <f t="shared" si="653"/>
        <v/>
      </c>
      <c r="GN303" s="535">
        <f>IF(GK303="P",Lookup!$M$12,IF(GK303="PP",Lookup!$M$13,IF(GK303="PPP",Lookup!$M$14,IF(GK303="T",Lookup!$M$15,IF(GK303="TP",Lookup!$M$16,IF(GK303="TPP",Lookup!$M$17,IF(GK303="TPPP",Lookup!$M$18,0)))))))*GJ303</f>
        <v>0</v>
      </c>
      <c r="GO303" s="535">
        <f t="shared" si="654"/>
        <v>0</v>
      </c>
      <c r="GP303" s="535">
        <f t="shared" si="751"/>
        <v>184.62914209723533</v>
      </c>
      <c r="GQ303" s="974">
        <f t="shared" si="695"/>
        <v>60.178990253336153</v>
      </c>
      <c r="GR303" s="535"/>
      <c r="GS303" s="535">
        <f t="shared" si="655"/>
        <v>0</v>
      </c>
      <c r="GT303" s="535" t="str">
        <f t="shared" si="656"/>
        <v/>
      </c>
      <c r="GU303" s="535">
        <f>IF(GK303="P",Lookup!$N$12,IF(GK303="PP",Lookup!$N$13,IF(GK303="PPP",Lookup!$N$14,IF(GK303="T",Lookup!$N$15,IF(GK303="TP",Lookup!$N$16,IF(GK303="TPP",Lookup!$N$17,IF(GK303="TPPP",Lookup!$N$18,0)))))))*GJ303</f>
        <v>0</v>
      </c>
      <c r="GV303" s="535">
        <f t="shared" si="657"/>
        <v>0</v>
      </c>
      <c r="GW303" s="535">
        <f t="shared" si="752"/>
        <v>75.425351896064939</v>
      </c>
      <c r="GX303" s="974">
        <f t="shared" si="696"/>
        <v>24.584534516318428</v>
      </c>
      <c r="GY303" s="535"/>
      <c r="GZ303" s="535">
        <f t="shared" si="658"/>
        <v>0</v>
      </c>
      <c r="HA303" s="535" t="str">
        <f t="shared" si="659"/>
        <v/>
      </c>
      <c r="HB303" s="535">
        <f>IF(GK303="P",Lookup!$N$12,IF(GK303="PP",Lookup!$N$13,IF(GK303="PPP",Lookup!$N$14,IF(GK303="T",Lookup!$N$15,IF(GK303="TP",Lookup!$N$16,IF(GK303="TPP",Lookup!$N$17,IF(GK303="TPPP",Lookup!$N$18,0)))))))*GJ303</f>
        <v>0</v>
      </c>
      <c r="HC303" s="521">
        <f t="shared" si="753"/>
        <v>0</v>
      </c>
      <c r="HD303" s="535">
        <f t="shared" si="754"/>
        <v>185.29934696530958</v>
      </c>
      <c r="HE303" s="535">
        <f t="shared" si="662"/>
        <v>60.397440340713686</v>
      </c>
      <c r="HF303" s="535"/>
      <c r="HG303" s="535">
        <f t="shared" si="660"/>
        <v>0</v>
      </c>
      <c r="HH303" s="535" t="str">
        <f t="shared" si="661"/>
        <v/>
      </c>
      <c r="HI303" s="535">
        <f>IF(GK303="P",Lookup!$N$12,IF(GK303="PP",Lookup!$N$13,IF(GK303="PPP",Lookup!$N$14,IF(GK303="T",Lookup!$N$15,IF(GK303="TP",Lookup!$N$16,IF(GK303="TPP",Lookup!$N$17,IF(GK303="TPPP",Lookup!$N$18,0)))))))*GJ303</f>
        <v>0</v>
      </c>
      <c r="HJ303" s="521">
        <f t="shared" si="755"/>
        <v>0</v>
      </c>
      <c r="HK303" s="535">
        <f t="shared" si="756"/>
        <v>110.76302500188079</v>
      </c>
      <c r="HL303" s="535">
        <f t="shared" si="663"/>
        <v>36.102680900221898</v>
      </c>
      <c r="HM303" s="535"/>
      <c r="HN303" s="541"/>
      <c r="HO303" s="541"/>
      <c r="HP303" s="541"/>
      <c r="HQ303" s="541">
        <f>IF(AND(B303&gt;=$FV$4,B303&lt;=$FW$4),MAX(110/1.02+$HQ$6+MIN(113/1.02,G303),IF($HV$6-(Sheet1!DA301-Sheet1!DB301)+MIN(113/1.02,G303)&lt;G303+FL303,$HV$6-(Sheet1!DA301-Sheet1!DB301)+MIN(113/1.02,G303),G303+FL303)),MIN(110/1.02+$HQ$6+113/1.02,G303))</f>
        <v>218.62745098039215</v>
      </c>
      <c r="HR303" s="541">
        <f t="shared" si="679"/>
        <v>223</v>
      </c>
      <c r="HS303" s="541">
        <f>HR303+(Sheet1!DA301-Sheet1!DB301)</f>
        <v>669</v>
      </c>
      <c r="HT303" s="541">
        <f t="shared" si="680"/>
        <v>74.042844226804121</v>
      </c>
      <c r="HU303" s="541">
        <f t="shared" si="681"/>
        <v>594.95715577319584</v>
      </c>
      <c r="HV303" s="541">
        <f t="shared" si="682"/>
        <v>0</v>
      </c>
      <c r="HW303" s="533" t="str">
        <f t="shared" si="683"/>
        <v/>
      </c>
      <c r="HX303" s="541">
        <f t="shared" si="684"/>
        <v>1439.4352784010512</v>
      </c>
      <c r="HY303" s="541">
        <f>Sheet1!CZ301</f>
        <v>1679</v>
      </c>
      <c r="HZ303" s="541">
        <f t="shared" si="685"/>
        <v>20.937270618556699</v>
      </c>
      <c r="IA303" s="541">
        <f t="shared" si="686"/>
        <v>74.042844226804121</v>
      </c>
      <c r="IB303" s="541">
        <f t="shared" si="687"/>
        <v>1658.0627293814432</v>
      </c>
      <c r="IC303" s="1019" t="str">
        <f t="shared" si="688"/>
        <v/>
      </c>
      <c r="ID303" s="541">
        <f t="shared" si="689"/>
        <v>1584.019885154639</v>
      </c>
      <c r="IE303" s="541">
        <f>Sheet1!DB301</f>
        <v>1650</v>
      </c>
      <c r="IF303" s="533">
        <f>Sheet1!DA301</f>
        <v>2096</v>
      </c>
      <c r="IH303" s="541">
        <f>IF(AND($B303&gt;=$GC303,$B303&lt;=$GH303,$DR303&lt;0)+N("only adjusted when pool is drawn down during storage season"),Sheet1!$DB301+$DR303+N("Palmer minus all storage release"),Sheet1!$DB301)</f>
        <v>1650</v>
      </c>
      <c r="II303" s="541">
        <f>IF(AND($B303&gt;=$GC303,$B303&lt;=$GH303,$DR303&lt;0)+N("only adjusted when pool is drawn down during storage season"),Sheet1!$DA301+$DR303+N("Auburn minus all storage release"),Sheet1!$DA301)</f>
        <v>2096</v>
      </c>
    </row>
    <row r="304" spans="1:243" x14ac:dyDescent="0.25">
      <c r="A304" s="553" t="s">
        <v>8</v>
      </c>
      <c r="B304" s="531">
        <v>43028</v>
      </c>
      <c r="C304" s="536">
        <v>0</v>
      </c>
      <c r="D304" s="506">
        <f t="shared" si="633"/>
        <v>300</v>
      </c>
      <c r="E304" s="506">
        <f t="shared" si="634"/>
        <v>250</v>
      </c>
      <c r="F304" s="506">
        <v>250</v>
      </c>
      <c r="G304" s="535">
        <f>DR304+Sheet1!CZ302</f>
        <v>2141.0186585965403</v>
      </c>
      <c r="H304" s="1074">
        <f t="shared" si="690"/>
        <v>1044.2952876048037</v>
      </c>
      <c r="I304" s="534">
        <f>IF(Sheet1!DA302&gt;=E304,(Sheet1!DA302-E304+P304)*CFStoMGD,0)</f>
        <v>1819.316826688</v>
      </c>
      <c r="J304" s="995">
        <f>IF(Sheet1!DB302&gt;=D304,(Sheet1!DB302-D304+P304)*CFStoMGD,0)</f>
        <v>1392.692826688</v>
      </c>
      <c r="K304" s="818">
        <f t="shared" si="665"/>
        <v>64.64</v>
      </c>
      <c r="L304" s="535">
        <f>Sheet1!AA302+Sheet1!AB302-Sheet1!L302+(Sheet1!DA302-F304)*CFStoMGD-S304-T304-U304</f>
        <v>1806.1639836314032</v>
      </c>
      <c r="M304" s="535">
        <f t="shared" si="697"/>
        <v>1411.6335501351398</v>
      </c>
      <c r="N304" s="824">
        <f>IF(Sheet1!DA302&gt;=F304,MIN(113*CFStoMGD,MIN(MAX(L304,0),MAX(M304,0))),0)</f>
        <v>73.043199999999999</v>
      </c>
      <c r="O304" s="538">
        <f>Sheet1!AA302+Sheet1!AB302</f>
        <v>61.11</v>
      </c>
      <c r="P304" s="538">
        <f t="shared" si="698"/>
        <v>94.537170000000003</v>
      </c>
      <c r="Q304" s="812">
        <f t="shared" si="666"/>
        <v>0</v>
      </c>
      <c r="R304" s="812">
        <f t="shared" si="635"/>
        <v>13.154016368596544</v>
      </c>
      <c r="S304" s="1115">
        <f>ED304</f>
        <v>13.154016368596544</v>
      </c>
      <c r="T304" s="812">
        <f t="shared" si="637"/>
        <v>0</v>
      </c>
      <c r="U304" s="812">
        <f>IF(AND(B304&gt;=FV304,B304&lt;=FW304),ED304+Sheet1!EH302,0)</f>
        <v>0</v>
      </c>
      <c r="V304" s="812"/>
      <c r="W304" s="812">
        <f t="shared" si="638"/>
        <v>51.485983631403457</v>
      </c>
      <c r="X304" s="812">
        <f t="shared" si="639"/>
        <v>13.154016368596544</v>
      </c>
      <c r="Y304" s="812" t="str">
        <f t="shared" si="640"/>
        <v/>
      </c>
      <c r="Z304" s="812">
        <f t="shared" si="641"/>
        <v>61.11</v>
      </c>
      <c r="AA304" s="812">
        <f t="shared" si="642"/>
        <v>13.154016368596544</v>
      </c>
      <c r="AB304" s="1059">
        <f t="shared" si="667"/>
        <v>0</v>
      </c>
      <c r="AC304" s="538">
        <f>Sheet1!Y302*MGDtoCFS</f>
        <v>43.64087</v>
      </c>
      <c r="AD304" s="538">
        <f>Sheet1!Z302*MGDtoCFS</f>
        <v>50.896299999999997</v>
      </c>
      <c r="AE304" s="538">
        <f>Sheet1!AA302*MGDtoCFS</f>
        <v>43.64087</v>
      </c>
      <c r="AF304" s="538">
        <f>Sheet1!AB302*MGDtoCFS</f>
        <v>50.896299999999997</v>
      </c>
      <c r="AG304" s="538">
        <f>Sheet1!L302*MGDtoCFS</f>
        <v>0</v>
      </c>
      <c r="AH304" s="521">
        <f t="shared" si="699"/>
        <v>34.801967262806912</v>
      </c>
      <c r="AI304" s="1059">
        <f t="shared" si="700"/>
        <v>53.83864335556229</v>
      </c>
      <c r="AJ304" s="535">
        <f t="shared" si="701"/>
        <v>0</v>
      </c>
      <c r="AK304" s="535">
        <f t="shared" si="702"/>
        <v>0</v>
      </c>
      <c r="AL304" s="535">
        <f>(VLOOKUP(Sheet1!DC302,hhdcap_wcm,4)-(((VLOOKUP(Sheet1!DC302,hhdcap_wcm,3)-Sheet1!DC302)/(VLOOKUP(Sheet1!DC302,hhdcap_wcm,3)-VLOOKUP(Sheet1!DC302,hhdcap_wcm,1)))*(VLOOKUP(Sheet1!DC302,hhdcap_wcm,4)-VLOOKUP(Sheet1!DC302,hhdcap_wcm,2))))</f>
        <v>7501.0000000154159</v>
      </c>
      <c r="AM304" s="535">
        <f t="shared" si="703"/>
        <v>-1068.8000000030606</v>
      </c>
      <c r="AN304" s="1035">
        <f t="shared" si="704"/>
        <v>146.46167874778325</v>
      </c>
      <c r="AO304" s="535">
        <f t="shared" si="705"/>
        <v>449.34443039819905</v>
      </c>
      <c r="AP304" s="535">
        <f>Sheet1!BA302+Sheet1!BB302+Sheet1!BN302+CD304</f>
        <v>19.8</v>
      </c>
      <c r="AQ304" s="535">
        <f>Sheet1!BN302+(DO304*Sheet1!BN302)</f>
        <v>19.745983631403455</v>
      </c>
      <c r="AR304" s="535">
        <f>Sheet1!BA302+CD304</f>
        <v>0</v>
      </c>
      <c r="AS304" s="535">
        <f>Sheet1!BA302+Sheet1!BB302+CD304</f>
        <v>0</v>
      </c>
      <c r="AT304" s="649">
        <f>0</f>
        <v>0</v>
      </c>
      <c r="AU304" s="974">
        <f>BA304+MAX(Sheet1!EH302,(O304-Q304-ED304-S304))</f>
        <v>34.801967262806912</v>
      </c>
      <c r="AV304" s="535">
        <f>IF(OR(B304&gt;=GD304,B304&lt;GC304),0,15/36*K304-MAX(0,64.6-(137.6-(Sheet1!AA302+Sheet1!AB302))))</f>
        <v>0</v>
      </c>
      <c r="AW304" s="1029"/>
      <c r="AX304" s="649"/>
      <c r="AY304" s="649">
        <f t="shared" si="668"/>
        <v>23.311716569431731</v>
      </c>
      <c r="AZ304" s="649">
        <f t="shared" si="669"/>
        <v>0</v>
      </c>
      <c r="BA304" s="1059">
        <f t="shared" si="670"/>
        <v>0</v>
      </c>
      <c r="BB304" s="1019">
        <f t="shared" si="706"/>
        <v>25.377022990529241</v>
      </c>
      <c r="BC304" s="1041">
        <f t="shared" si="671"/>
        <v>26.933333333333334</v>
      </c>
      <c r="BD304" s="1019">
        <f ca="1">IF(B304&gt;(Summary!$A$1-1),#N/A,BB304*MGtoAF)</f>
        <v>77.856706534943712</v>
      </c>
      <c r="BE304" s="535">
        <f>Sheet1!BG302+Sheet1!BH302+Sheet1!BI302-BM304</f>
        <v>3.63</v>
      </c>
      <c r="BF304" s="535">
        <f t="shared" si="707"/>
        <v>3.6200969990906331</v>
      </c>
      <c r="BG304" s="535">
        <f>IF(Sheet1!EP302="FM",BM304,0)</f>
        <v>0</v>
      </c>
      <c r="BH304" s="535">
        <f t="shared" si="708"/>
        <v>0</v>
      </c>
      <c r="BI304" s="535">
        <f>IF(Sheet1!EP302="OTHER",BM304,0)</f>
        <v>0</v>
      </c>
      <c r="BJ304" s="535">
        <f t="shared" si="709"/>
        <v>0</v>
      </c>
      <c r="BK304" s="535">
        <f t="shared" si="710"/>
        <v>3.63</v>
      </c>
      <c r="BL304" s="535">
        <f t="shared" si="711"/>
        <v>3.6200969990906331</v>
      </c>
      <c r="BM304" s="535">
        <f>IF(OR(Sheet1!EP302="FM", Sheet1!EP302="OTHER"),SUM(Sheet1!BG302:'Sheet1'!BI302),0)</f>
        <v>0</v>
      </c>
      <c r="BN304" s="1115">
        <v>0</v>
      </c>
      <c r="BO304" s="535">
        <f t="shared" si="712"/>
        <v>0</v>
      </c>
      <c r="BP304" s="521">
        <f t="shared" si="713"/>
        <v>3.6200969990906331</v>
      </c>
      <c r="BQ304" s="521">
        <f>IF(AND($O304&gt;0,Sheet1!EM302=1),(1-($O304-Sheet1!$L302)/$O304)*BL304,0)</f>
        <v>0</v>
      </c>
      <c r="BR304" s="521">
        <f>IF(AND(Sheet1!$L302=0,Sheet1!$L301=0, Calculation!BK304&lt;Sheet1!$EI302-0.1,Sheet1!$EI302=Sheet1!$EI301,Sheet1!$EI302=Sheet1!$EI303),BL304-BQ304,BL304-BQ304)</f>
        <v>3.6200969990906331</v>
      </c>
      <c r="BS304" s="1035" t="str">
        <f t="shared" si="672"/>
        <v/>
      </c>
      <c r="BT304" s="1035">
        <f t="shared" si="673"/>
        <v>12.568888888888889</v>
      </c>
      <c r="BU304" s="535">
        <f t="shared" si="714"/>
        <v>24.584534516318428</v>
      </c>
      <c r="BV304" s="535"/>
      <c r="BW304" s="535">
        <f ca="1">IF(B304&gt;(Summary!$A$1-1),#N/A,BU304*MGtoAF)</f>
        <v>75.425351896064939</v>
      </c>
      <c r="BX304" s="535">
        <f>Sheet1!BC302+Sheet1!BD302+Sheet1!BE302+Sheet1!BF302-CG304-CH304</f>
        <v>3</v>
      </c>
      <c r="BY304" s="535">
        <f t="shared" si="715"/>
        <v>2.9918157017277962</v>
      </c>
      <c r="BZ304" s="535">
        <f>IF(Sheet1!EQ302="FM",CH304,0)</f>
        <v>0</v>
      </c>
      <c r="CA304" s="535">
        <f t="shared" si="716"/>
        <v>0</v>
      </c>
      <c r="CB304" s="535">
        <f>IF(Sheet1!EQ302="OTHER",CH304,0)</f>
        <v>0</v>
      </c>
      <c r="CC304" s="535">
        <f t="shared" si="717"/>
        <v>0</v>
      </c>
      <c r="CD304" s="535">
        <f t="shared" si="718"/>
        <v>0</v>
      </c>
      <c r="CE304" s="535">
        <f t="shared" si="719"/>
        <v>3</v>
      </c>
      <c r="CF304" s="535">
        <f t="shared" si="720"/>
        <v>2.9918157017277962</v>
      </c>
      <c r="CG304" s="535">
        <f>IF(Sheet1!EQ302="CWA",SUM(Sheet1!BC302:'Sheet1'!BF302),0)</f>
        <v>0</v>
      </c>
      <c r="CH304" s="535">
        <f>IF(OR(Sheet1!EQ302="FM", Sheet1!EQ302="OTHER"),SUM(Sheet1!BC302:'Sheet1'!BF302),0)</f>
        <v>0</v>
      </c>
      <c r="CI304" s="1115">
        <v>0</v>
      </c>
      <c r="CJ304" s="535">
        <f t="shared" si="721"/>
        <v>0</v>
      </c>
      <c r="CK304" s="521">
        <f t="shared" si="722"/>
        <v>2.9918157017277962</v>
      </c>
      <c r="CL304" s="521">
        <f>IF(AND($O304&gt;0,Sheet1!EN302=1),(1-($O304-Sheet1!$L302)/$O304)*CF304,0)</f>
        <v>0</v>
      </c>
      <c r="CM304" s="521">
        <f>IF(AND(Sheet1!$L302=0,Sheet1!$L301=0, Calculation!CE304&lt;Sheet1!EJ302-0.1,Sheet1!EJ302=Sheet1!EJ301,Sheet1!EJ302=Sheet1!EJ303),CF304-CL304,CF304-CL304)</f>
        <v>2.9918157017277962</v>
      </c>
      <c r="CN304" s="1040" t="str">
        <f t="shared" si="674"/>
        <v/>
      </c>
      <c r="CO304" s="1035">
        <f t="shared" si="675"/>
        <v>12.568888888888889</v>
      </c>
      <c r="CP304" s="535">
        <f t="shared" si="723"/>
        <v>60.397440340713686</v>
      </c>
      <c r="CQ304" s="535"/>
      <c r="CR304" s="535">
        <f ca="1">IF(B304&gt;(Summary!$A$1-1),#N/A,CP304*MGtoAF)</f>
        <v>185.29934696530958</v>
      </c>
      <c r="CS304" s="535">
        <f>Sheet1!BK302+Sheet1!BL302+Sheet1!BM302-Sheet1!ER302-DA304</f>
        <v>6.5600000000000005</v>
      </c>
      <c r="CT304" s="535">
        <f t="shared" si="724"/>
        <v>6.5421036677781146</v>
      </c>
      <c r="CU304" s="535">
        <f>IF(Sheet1!ER302="FM",DA304,0)</f>
        <v>0</v>
      </c>
      <c r="CV304" s="535">
        <f t="shared" si="725"/>
        <v>0</v>
      </c>
      <c r="CW304" s="535">
        <f>IF(Sheet1!ER302="OTHER",DA304,0)</f>
        <v>0</v>
      </c>
      <c r="CX304" s="535">
        <f t="shared" si="726"/>
        <v>0</v>
      </c>
      <c r="CY304" s="535">
        <f t="shared" si="727"/>
        <v>6.5600000000000005</v>
      </c>
      <c r="CZ304" s="535">
        <f t="shared" si="728"/>
        <v>6.5421036677781146</v>
      </c>
      <c r="DA304" s="535">
        <f>IF(OR(Sheet1!ER302="FM", Sheet1!ER302="OTHER"),SUM(Sheet1!BK302:'Sheet1'!BM302),0)</f>
        <v>0</v>
      </c>
      <c r="DB304" s="1115">
        <v>0</v>
      </c>
      <c r="DC304" s="1012">
        <f t="shared" si="729"/>
        <v>0</v>
      </c>
      <c r="DD304" s="1011">
        <f t="shared" si="730"/>
        <v>6.5421036677781146</v>
      </c>
      <c r="DE304" s="521">
        <f>IF(AND($O304&gt;0,Sheet1!EO302=1),(1-($O304-Sheet1!$L302)/$O304)*CZ304,0)</f>
        <v>0</v>
      </c>
      <c r="DF304" s="521">
        <f>IF(AND(Sheet1!$L302=0,Sheet1!$L301=0, Calculation!CY304&lt;Sheet1!$EK302-0.1,Sheet1!$EK302=Sheet1!$EK301,Sheet1!$EK302=Sheet1!$EK303),CZ304-DE304,CZ304-DE304)</f>
        <v>6.5421036677781146</v>
      </c>
      <c r="DG304" s="1040">
        <f t="shared" si="676"/>
        <v>12.568888888888889</v>
      </c>
      <c r="DH304" s="649">
        <f t="shared" si="731"/>
        <v>13.190000000000001</v>
      </c>
      <c r="DI304" s="535">
        <f t="shared" si="732"/>
        <v>36.102680900221898</v>
      </c>
      <c r="DJ304" s="649">
        <f t="shared" si="733"/>
        <v>13.154016368596544</v>
      </c>
      <c r="DK304" s="535">
        <f ca="1">IF(B304&gt;(Summary!$A$1-1),#N/A,DI304*MGtoAF)</f>
        <v>110.76302500188079</v>
      </c>
      <c r="DL304" s="649">
        <f t="shared" si="734"/>
        <v>13.190000000000001</v>
      </c>
      <c r="DM304" s="535">
        <f t="shared" si="735"/>
        <v>32.99</v>
      </c>
      <c r="DN304" s="535">
        <f>Sheet1!AB302-DM304</f>
        <v>-9.0000000000003411E-2</v>
      </c>
      <c r="DO304" s="743">
        <f t="shared" si="736"/>
        <v>-2.7280994240680024E-3</v>
      </c>
      <c r="DP304" s="535">
        <f>(VLOOKUP(Sheet1!DC302,hhdcap_wcm,4)-(((VLOOKUP(Sheet1!DC302,hhdcap_wcm,3)-Sheet1!DC302)/(VLOOKUP(Sheet1!DC302,hhdcap_wcm,3)-VLOOKUP(Sheet1!DC302,hhdcap_wcm,1)))*(VLOOKUP(Sheet1!DC302,hhdcap_wcm,4)-VLOOKUP(Sheet1!DC302,hhdcap_wcm,2))))</f>
        <v>7501.0000000154159</v>
      </c>
      <c r="DQ304" s="535">
        <f t="shared" si="737"/>
        <v>-1068.8000000030606</v>
      </c>
      <c r="DR304" s="535">
        <f t="shared" si="738"/>
        <v>-538.98134140345962</v>
      </c>
      <c r="DS304" s="535">
        <f>Sheet1!EA302*AFtoMG</f>
        <v>0</v>
      </c>
      <c r="DT304" s="535">
        <f>Sheet1!EB302*AFtoMG</f>
        <v>0</v>
      </c>
      <c r="DU304" s="535">
        <f>Sheet1!EC302*AFtoMG</f>
        <v>0</v>
      </c>
      <c r="DV304" s="535">
        <f>Sheet1!ED302*AFtoMG</f>
        <v>0</v>
      </c>
      <c r="DW304" s="535">
        <f t="shared" si="739"/>
        <v>0</v>
      </c>
      <c r="DX304" s="535">
        <f t="shared" si="740"/>
        <v>0</v>
      </c>
      <c r="DY304" s="535">
        <f t="shared" si="741"/>
        <v>146.46167874778325</v>
      </c>
      <c r="DZ304" s="535">
        <f t="shared" si="742"/>
        <v>449.34443039819905</v>
      </c>
      <c r="EA304" s="535"/>
      <c r="EB304" s="521">
        <f>IF(OR(B304&lt;FV304,B304&gt;FW304),(MIN(BF304+BY304+CT304+MAX(Sheet1!AA302+AQ304-73,0),K304)),0)</f>
        <v>13.154016368596544</v>
      </c>
      <c r="EC304" s="535"/>
      <c r="ED304" s="535">
        <f t="shared" si="743"/>
        <v>13.154016368596544</v>
      </c>
      <c r="EE304" s="535"/>
      <c r="EF304" s="535">
        <f>Sheet1!EH302+Sheet1!EI302+Sheet1!EJ302+Sheet1!EK302</f>
        <v>13</v>
      </c>
      <c r="EG304" s="1019">
        <f t="shared" si="677"/>
        <v>20.111000000000001</v>
      </c>
      <c r="EH304" s="521">
        <f t="shared" si="744"/>
        <v>0</v>
      </c>
      <c r="EI304" s="535">
        <f>IF(Sheet1!ET302=1,SUM('Calculations II'!AT304:BA304)+'Calculations II'!BC304+Sheet1!BV302+'Calculations II'!BE304+AP304,'Calculations II'!BK304)</f>
        <v>45.053697631403459</v>
      </c>
      <c r="EJ304" s="535">
        <f ca="1">EI304+'Calculations II'!D304+'Calculations II'!E304+'Calculations II'!O304</f>
        <v>50.048074592550201</v>
      </c>
      <c r="EK304" s="535"/>
      <c r="EL304" s="535"/>
      <c r="EM304" s="535">
        <f t="shared" si="745"/>
        <v>43028</v>
      </c>
      <c r="EN304" s="535">
        <f t="shared" si="746"/>
        <v>-34.801967262806912</v>
      </c>
      <c r="EO304" s="535">
        <f t="shared" si="747"/>
        <v>-53.83864335556229</v>
      </c>
      <c r="EP304" s="535">
        <v>0</v>
      </c>
      <c r="EQ304" s="535">
        <v>0</v>
      </c>
      <c r="ER304" s="535">
        <v>0</v>
      </c>
      <c r="ES304" s="521">
        <f t="shared" si="643"/>
        <v>-3.0480750693549998</v>
      </c>
      <c r="ET304" s="535">
        <f>-(VLOOKUP(Sheet1!BQ302,Lookup!$O$4:$Q$262,2)-VLOOKUP(Sheet1!BQ301,Lookup!$O$4:$Q$262,2))/1000000</f>
        <v>-1.523755506045267</v>
      </c>
      <c r="EU304" s="535">
        <f>-(VLOOKUP(Sheet1!BR302,Lookup!$O$4:$Q$262,3)-VLOOKUP(Sheet1!BR301,Lookup!$O$4:$Q$262,3))/1000000</f>
        <v>-1.5243195633097328</v>
      </c>
      <c r="EV304" s="535"/>
      <c r="EW304" s="535"/>
      <c r="EX304" s="535"/>
      <c r="EY304" s="535"/>
      <c r="EZ304" s="535"/>
      <c r="FA304" s="535"/>
      <c r="FB304" s="535"/>
      <c r="FC304" s="535"/>
      <c r="FD304" s="567">
        <f t="shared" si="693"/>
        <v>1101.896296296251</v>
      </c>
      <c r="FE304" s="567" t="e">
        <f t="shared" si="748"/>
        <v>#N/A</v>
      </c>
      <c r="FF304" s="568" t="e">
        <f t="shared" si="749"/>
        <v>#N/A</v>
      </c>
      <c r="FG304" s="569" t="s">
        <v>656</v>
      </c>
      <c r="FH304" s="569" t="s">
        <v>656</v>
      </c>
      <c r="FI304" s="567" t="e">
        <v>#N/A</v>
      </c>
      <c r="FJ304" s="725">
        <v>5216</v>
      </c>
      <c r="FK304" s="535"/>
      <c r="FL304" s="1015">
        <f t="shared" si="692"/>
        <v>105.90015128593041</v>
      </c>
      <c r="FM304" s="535"/>
      <c r="FN304" s="535"/>
      <c r="FO304" s="535">
        <f>O304+((Sheet1!CS302)*GPMtoMGD)</f>
        <v>61.11</v>
      </c>
      <c r="FP304" s="535">
        <f>IF(Sheet1!AA302+AQ304&lt;=Calculation!N304,AQ304,Calculation!N304-Sheet1!AA302)</f>
        <v>19.745983631403455</v>
      </c>
      <c r="FQ304" s="535">
        <f>(Sheet1!BP302+Sheet1!BO302)/694.4</f>
        <v>1.7275345622119815</v>
      </c>
      <c r="FR304" s="541"/>
      <c r="FS304" s="541"/>
      <c r="FT304" s="541"/>
      <c r="FU304" s="541"/>
      <c r="FV304" s="1109">
        <f t="shared" si="644"/>
        <v>42918</v>
      </c>
      <c r="FW304" s="1109">
        <f t="shared" si="645"/>
        <v>43027</v>
      </c>
      <c r="FX304" s="541"/>
      <c r="FY304" s="541">
        <f>Sheet1!DA302-Sheet1!CZ302-Sheet1!AE302</f>
        <v>195.46283</v>
      </c>
      <c r="FZ304" s="535">
        <f t="shared" si="678"/>
        <v>9.1294314141161154E-2</v>
      </c>
      <c r="GA304" s="535"/>
      <c r="GB304" s="535" t="str">
        <f t="shared" si="646"/>
        <v>n</v>
      </c>
      <c r="GC304" s="539">
        <f t="shared" si="647"/>
        <v>42782</v>
      </c>
      <c r="GD304" s="1109">
        <f t="shared" si="648"/>
        <v>42904</v>
      </c>
      <c r="GE304" s="535">
        <f t="shared" si="664"/>
        <v>6520</v>
      </c>
      <c r="GF304" s="1109">
        <f t="shared" si="649"/>
        <v>42909</v>
      </c>
      <c r="GG304" s="535">
        <f t="shared" si="691"/>
        <v>3260</v>
      </c>
      <c r="GH304" s="539">
        <f t="shared" si="650"/>
        <v>43040</v>
      </c>
      <c r="GJ304" s="521">
        <f t="shared" si="651"/>
        <v>0</v>
      </c>
      <c r="GK304" s="535" t="str">
        <f t="shared" si="750"/>
        <v/>
      </c>
      <c r="GL304" s="535">
        <f t="shared" si="652"/>
        <v>0</v>
      </c>
      <c r="GM304" s="535" t="str">
        <f t="shared" si="653"/>
        <v/>
      </c>
      <c r="GN304" s="535">
        <f>IF(GK304="P",Lookup!$M$12,IF(GK304="PP",Lookup!$M$13,IF(GK304="PPP",Lookup!$M$14,IF(GK304="T",Lookup!$M$15,IF(GK304="TP",Lookup!$M$16,IF(GK304="TPP",Lookup!$M$17,IF(GK304="TPPP",Lookup!$M$18,0)))))))*GJ304</f>
        <v>0</v>
      </c>
      <c r="GO304" s="535">
        <f t="shared" si="654"/>
        <v>0</v>
      </c>
      <c r="GP304" s="535">
        <f t="shared" si="751"/>
        <v>77.856706534943712</v>
      </c>
      <c r="GQ304" s="974">
        <f t="shared" si="695"/>
        <v>25.377022990529241</v>
      </c>
      <c r="GR304" s="535"/>
      <c r="GS304" s="535">
        <f t="shared" si="655"/>
        <v>0</v>
      </c>
      <c r="GT304" s="535" t="str">
        <f t="shared" si="656"/>
        <v/>
      </c>
      <c r="GU304" s="535">
        <f>IF(GK304="P",Lookup!$N$12,IF(GK304="PP",Lookup!$N$13,IF(GK304="PPP",Lookup!$N$14,IF(GK304="T",Lookup!$N$15,IF(GK304="TP",Lookup!$N$16,IF(GK304="TPP",Lookup!$N$17,IF(GK304="TPPP",Lookup!$N$18,0)))))))*GJ304</f>
        <v>0</v>
      </c>
      <c r="GV304" s="535">
        <f t="shared" si="657"/>
        <v>0</v>
      </c>
      <c r="GW304" s="535">
        <f t="shared" si="752"/>
        <v>75.425351896064939</v>
      </c>
      <c r="GX304" s="974">
        <f t="shared" si="696"/>
        <v>24.584534516318428</v>
      </c>
      <c r="GY304" s="535"/>
      <c r="GZ304" s="535">
        <f t="shared" si="658"/>
        <v>0</v>
      </c>
      <c r="HA304" s="535" t="str">
        <f t="shared" si="659"/>
        <v/>
      </c>
      <c r="HB304" s="535">
        <f>IF(GK304="P",Lookup!$N$12,IF(GK304="PP",Lookup!$N$13,IF(GK304="PPP",Lookup!$N$14,IF(GK304="T",Lookup!$N$15,IF(GK304="TP",Lookup!$N$16,IF(GK304="TPP",Lookup!$N$17,IF(GK304="TPPP",Lookup!$N$18,0)))))))*GJ304</f>
        <v>0</v>
      </c>
      <c r="HC304" s="521">
        <f t="shared" si="753"/>
        <v>0</v>
      </c>
      <c r="HD304" s="535">
        <f t="shared" si="754"/>
        <v>185.29934696530958</v>
      </c>
      <c r="HE304" s="535">
        <f t="shared" si="662"/>
        <v>60.397440340713686</v>
      </c>
      <c r="HF304" s="535"/>
      <c r="HG304" s="535">
        <f t="shared" si="660"/>
        <v>0</v>
      </c>
      <c r="HH304" s="535" t="str">
        <f t="shared" si="661"/>
        <v/>
      </c>
      <c r="HI304" s="535">
        <f>IF(GK304="P",Lookup!$N$12,IF(GK304="PP",Lookup!$N$13,IF(GK304="PPP",Lookup!$N$14,IF(GK304="T",Lookup!$N$15,IF(GK304="TP",Lookup!$N$16,IF(GK304="TPP",Lookup!$N$17,IF(GK304="TPPP",Lookup!$N$18,0)))))))*GJ304</f>
        <v>0</v>
      </c>
      <c r="HJ304" s="521">
        <f t="shared" si="755"/>
        <v>0</v>
      </c>
      <c r="HK304" s="535">
        <f t="shared" si="756"/>
        <v>110.76302500188079</v>
      </c>
      <c r="HL304" s="535">
        <f t="shared" si="663"/>
        <v>36.102680900221898</v>
      </c>
      <c r="HM304" s="535"/>
      <c r="HN304" s="541"/>
      <c r="HO304" s="541"/>
      <c r="HP304" s="541"/>
      <c r="HQ304" s="541">
        <f>IF(AND(B304&gt;=$FV$4,B304&lt;=$FW$4),MAX(110/1.02+$HQ$6+MIN(113/1.02,G304),IF($HV$6-(Sheet1!DA302-Sheet1!DB302)+MIN(113/1.02,G304)&lt;G304+FL304,$HV$6-(Sheet1!DA302-Sheet1!DB302)+MIN(113/1.02,G304),G304+FL304)),MIN(110/1.02+$HQ$6+113/1.02,G304))</f>
        <v>218.62745098039215</v>
      </c>
      <c r="HR304" s="541">
        <f t="shared" si="679"/>
        <v>223</v>
      </c>
      <c r="HS304" s="541">
        <f>HR304+(Sheet1!DA302-Sheet1!DB302)</f>
        <v>833</v>
      </c>
      <c r="HT304" s="541">
        <f t="shared" si="680"/>
        <v>0</v>
      </c>
      <c r="HU304" s="541">
        <f t="shared" si="681"/>
        <v>833</v>
      </c>
      <c r="HV304" s="541">
        <f t="shared" si="682"/>
        <v>0</v>
      </c>
      <c r="HW304" s="533" t="str">
        <f t="shared" si="683"/>
        <v/>
      </c>
      <c r="HX304" s="541">
        <f t="shared" si="684"/>
        <v>2407.5339056640455</v>
      </c>
      <c r="HY304" s="541">
        <f>Sheet1!CZ302</f>
        <v>2680</v>
      </c>
      <c r="HZ304" s="541">
        <f t="shared" si="685"/>
        <v>53.83864335556229</v>
      </c>
      <c r="IA304" s="541">
        <f t="shared" si="686"/>
        <v>0</v>
      </c>
      <c r="IB304" s="541">
        <f t="shared" si="687"/>
        <v>2626.1613566444375</v>
      </c>
      <c r="IC304" s="1019" t="str">
        <f t="shared" si="688"/>
        <v/>
      </c>
      <c r="ID304" s="541">
        <f t="shared" si="689"/>
        <v>2626.1613566444375</v>
      </c>
      <c r="IE304" s="541">
        <f>Sheet1!DB302</f>
        <v>2360</v>
      </c>
      <c r="IF304" s="533">
        <f>Sheet1!DA302</f>
        <v>2970</v>
      </c>
      <c r="IH304" s="541">
        <f>IF(AND($B304&gt;=$GC304,$B304&lt;=$GH304,$DR304&lt;0)+N("only adjusted when pool is drawn down during storage season"),Sheet1!$DB302+$DR304+N("Palmer minus all storage release"),Sheet1!$DB302)</f>
        <v>1821.0186585965403</v>
      </c>
      <c r="II304" s="541">
        <f>IF(AND($B304&gt;=$GC304,$B304&lt;=$GH304,$DR304&lt;0)+N("only adjusted when pool is drawn down during storage season"),Sheet1!$DA302+$DR304+N("Auburn minus all storage release"),Sheet1!$DA302)</f>
        <v>2431.0186585965403</v>
      </c>
    </row>
    <row r="305" spans="1:243" x14ac:dyDescent="0.25">
      <c r="A305" s="553" t="s">
        <v>9</v>
      </c>
      <c r="B305" s="531">
        <v>43029</v>
      </c>
      <c r="C305" s="536">
        <v>0</v>
      </c>
      <c r="D305" s="506">
        <f t="shared" si="633"/>
        <v>300</v>
      </c>
      <c r="E305" s="506">
        <f t="shared" si="634"/>
        <v>250</v>
      </c>
      <c r="F305" s="506">
        <v>250</v>
      </c>
      <c r="G305" s="535">
        <f>DR305+Sheet1!CZ303</f>
        <v>1857.861825515497</v>
      </c>
      <c r="H305" s="1074">
        <f t="shared" si="690"/>
        <v>1081.1387087812172</v>
      </c>
      <c r="I305" s="534">
        <f>IF(Sheet1!DA303&gt;=E305,(Sheet1!DA303-E305+P305)*CFStoMGD,0)</f>
        <v>2071.512824768</v>
      </c>
      <c r="J305" s="995">
        <f>IF(Sheet1!DB303&gt;=D305,(Sheet1!DB303-D305+P305)*CFStoMGD,0)</f>
        <v>1547.9288247679999</v>
      </c>
      <c r="K305" s="818">
        <f t="shared" si="665"/>
        <v>64.64</v>
      </c>
      <c r="L305" s="535">
        <f>Sheet1!AA303+Sheet1!AB303-Sheet1!L303+(Sheet1!DA303-F305)*CFStoMGD-S305-T305-U305</f>
        <v>2058.8338013842908</v>
      </c>
      <c r="M305" s="535">
        <f t="shared" si="697"/>
        <v>1224.9403216934816</v>
      </c>
      <c r="N305" s="824">
        <f>IF(Sheet1!DA303&gt;=F305,MIN(113*CFStoMGD,MIN(MAX(L305,0),MAX(M305,0))),0)</f>
        <v>73.043199999999999</v>
      </c>
      <c r="O305" s="538">
        <f>Sheet1!AA303+Sheet1!AB303</f>
        <v>61.21</v>
      </c>
      <c r="P305" s="538">
        <f t="shared" si="698"/>
        <v>94.691869999999994</v>
      </c>
      <c r="Q305" s="812">
        <f t="shared" si="666"/>
        <v>0</v>
      </c>
      <c r="R305" s="812">
        <f t="shared" si="635"/>
        <v>13</v>
      </c>
      <c r="S305" s="1115">
        <f t="shared" ref="S305:S318" si="757">ED305</f>
        <v>12.680198615708697</v>
      </c>
      <c r="T305" s="812">
        <f t="shared" si="637"/>
        <v>0</v>
      </c>
      <c r="U305" s="812">
        <f>IF(AND(B305&gt;=FV305,B305&lt;=FW305),ED305+Sheet1!EH303,0)</f>
        <v>0</v>
      </c>
      <c r="V305" s="812"/>
      <c r="W305" s="812">
        <f t="shared" si="638"/>
        <v>51.959801384291303</v>
      </c>
      <c r="X305" s="812">
        <f t="shared" si="639"/>
        <v>12.680198615708697</v>
      </c>
      <c r="Y305" s="812" t="str">
        <f t="shared" si="640"/>
        <v/>
      </c>
      <c r="Z305" s="812">
        <f t="shared" si="641"/>
        <v>61.21</v>
      </c>
      <c r="AA305" s="812">
        <f t="shared" si="642"/>
        <v>12.680198615708697</v>
      </c>
      <c r="AB305" s="1059">
        <f t="shared" si="667"/>
        <v>0</v>
      </c>
      <c r="AC305" s="538">
        <f>Sheet1!Y303*MGDtoCFS</f>
        <v>43.64087</v>
      </c>
      <c r="AD305" s="538">
        <f>Sheet1!Z303*MGDtoCFS</f>
        <v>50.896299999999997</v>
      </c>
      <c r="AE305" s="538">
        <f>Sheet1!AA303*MGDtoCFS</f>
        <v>43.486169999999994</v>
      </c>
      <c r="AF305" s="538">
        <f>Sheet1!AB303*MGDtoCFS</f>
        <v>51.2057</v>
      </c>
      <c r="AG305" s="538">
        <f>Sheet1!L303*MGDtoCFS</f>
        <v>0</v>
      </c>
      <c r="AH305" s="521">
        <f t="shared" si="699"/>
        <v>35.849602768582606</v>
      </c>
      <c r="AI305" s="1059">
        <f t="shared" si="700"/>
        <v>55.45933548299729</v>
      </c>
      <c r="AJ305" s="535">
        <f t="shared" si="701"/>
        <v>0</v>
      </c>
      <c r="AK305" s="535">
        <f t="shared" si="702"/>
        <v>0</v>
      </c>
      <c r="AL305" s="535">
        <f>(VLOOKUP(Sheet1!DC303,hhdcap_wcm,4)-(((VLOOKUP(Sheet1!DC303,hhdcap_wcm,3)-Sheet1!DC303)/(VLOOKUP(Sheet1!DC303,hhdcap_wcm,3)-VLOOKUP(Sheet1!DC303,hhdcap_wcm,1)))*(VLOOKUP(Sheet1!DC303,hhdcap_wcm,4)-VLOOKUP(Sheet1!DC303,hhdcap_wcm,2))))</f>
        <v>6069.0000000126465</v>
      </c>
      <c r="AM305" s="535">
        <f t="shared" si="703"/>
        <v>-1432.0000000027694</v>
      </c>
      <c r="AN305" s="1035">
        <f t="shared" si="704"/>
        <v>110.61207597920064</v>
      </c>
      <c r="AO305" s="535">
        <f t="shared" si="705"/>
        <v>339.35784910418755</v>
      </c>
      <c r="AP305" s="535">
        <f>Sheet1!BA303+Sheet1!BB303+Sheet1!BN303+CD305</f>
        <v>20.5</v>
      </c>
      <c r="AQ305" s="535">
        <f>Sheet1!BN303+(DO305*Sheet1!BN303)</f>
        <v>20.419801384291301</v>
      </c>
      <c r="AR305" s="535">
        <f>Sheet1!BA303+CD305</f>
        <v>0</v>
      </c>
      <c r="AS305" s="535">
        <f>Sheet1!BA303+Sheet1!BB303+CD305</f>
        <v>0</v>
      </c>
      <c r="AT305" s="649">
        <f>0</f>
        <v>0</v>
      </c>
      <c r="AU305" s="974">
        <f>BA305+MAX(Sheet1!EH303,(O305-Q305-ED305-S305))</f>
        <v>35.849602768582606</v>
      </c>
      <c r="AV305" s="535">
        <f>IF(OR(B305&gt;=GD305,B305&lt;GC305),0,15/36*K305-MAX(0,64.6-(137.6-(Sheet1!AA303+Sheet1!AB303))))</f>
        <v>0</v>
      </c>
      <c r="AW305" s="1029"/>
      <c r="AX305" s="649"/>
      <c r="AY305" s="649">
        <f t="shared" si="668"/>
        <v>23.311716569431731</v>
      </c>
      <c r="AZ305" s="649">
        <f t="shared" si="669"/>
        <v>0</v>
      </c>
      <c r="BA305" s="1059">
        <f t="shared" si="670"/>
        <v>0</v>
      </c>
      <c r="BB305" s="1019">
        <f t="shared" si="706"/>
        <v>-10.472579778053365</v>
      </c>
      <c r="BC305" s="1041">
        <f t="shared" si="671"/>
        <v>26.933333333333334</v>
      </c>
      <c r="BD305" s="1019">
        <f ca="1">IF(B305&gt;(Summary!$A$1-1),#N/A,BB305*MGtoAF)</f>
        <v>-32.129874759067725</v>
      </c>
      <c r="BE305" s="535">
        <f>Sheet1!BG303+Sheet1!BH303+Sheet1!BI303-BM305</f>
        <v>3.0300000000000002</v>
      </c>
      <c r="BF305" s="535">
        <f t="shared" si="707"/>
        <v>3.018146253385495</v>
      </c>
      <c r="BG305" s="535">
        <f>IF(Sheet1!EP303="FM",BM305,0)</f>
        <v>0</v>
      </c>
      <c r="BH305" s="535">
        <f t="shared" si="708"/>
        <v>0</v>
      </c>
      <c r="BI305" s="535">
        <f>IF(Sheet1!EP303="OTHER",BM305,0)</f>
        <v>0</v>
      </c>
      <c r="BJ305" s="535">
        <f t="shared" si="709"/>
        <v>0</v>
      </c>
      <c r="BK305" s="535">
        <f t="shared" si="710"/>
        <v>3.0300000000000002</v>
      </c>
      <c r="BL305" s="535">
        <f t="shared" si="711"/>
        <v>3.018146253385495</v>
      </c>
      <c r="BM305" s="535">
        <f>IF(OR(Sheet1!EP303="FM", Sheet1!EP303="OTHER"),SUM(Sheet1!BG303:'Sheet1'!BI303),0)</f>
        <v>0</v>
      </c>
      <c r="BN305" s="1115">
        <v>0</v>
      </c>
      <c r="BO305" s="535">
        <f t="shared" si="712"/>
        <v>0</v>
      </c>
      <c r="BP305" s="521">
        <f t="shared" si="713"/>
        <v>3.018146253385495</v>
      </c>
      <c r="BQ305" s="521">
        <f>IF(AND($O305&gt;0,Sheet1!EM303=1),(1-($O305-Sheet1!$L303)/$O305)*BL305,0)</f>
        <v>0</v>
      </c>
      <c r="BR305" s="521">
        <f>IF(AND(Sheet1!$L303=0,Sheet1!$L302=0, Calculation!BK305&lt;Sheet1!$EI303-0.1,Sheet1!$EI303=Sheet1!$EI302,Sheet1!$EI303=Sheet1!$EI304),BL305-BQ305,BL305-BQ305)</f>
        <v>3.018146253385495</v>
      </c>
      <c r="BS305" s="1035" t="str">
        <f t="shared" si="672"/>
        <v/>
      </c>
      <c r="BT305" s="1035">
        <f t="shared" si="673"/>
        <v>12.568888888888889</v>
      </c>
      <c r="BU305" s="535">
        <f t="shared" si="714"/>
        <v>24.584534516318428</v>
      </c>
      <c r="BV305" s="535"/>
      <c r="BW305" s="535">
        <f ca="1">IF(B305&gt;(Summary!$A$1-1),#N/A,BU305*MGtoAF)</f>
        <v>75.425351896064939</v>
      </c>
      <c r="BX305" s="535">
        <f>Sheet1!BC303+Sheet1!BD303+Sheet1!BE303+Sheet1!BF303-CG305-CH305</f>
        <v>2.99</v>
      </c>
      <c r="BY305" s="535">
        <f t="shared" si="715"/>
        <v>2.978302738489317</v>
      </c>
      <c r="BZ305" s="535">
        <f>IF(Sheet1!EQ303="FM",CH305,0)</f>
        <v>0</v>
      </c>
      <c r="CA305" s="535">
        <f t="shared" si="716"/>
        <v>0</v>
      </c>
      <c r="CB305" s="535">
        <f>IF(Sheet1!EQ303="OTHER",CH305,0)</f>
        <v>0</v>
      </c>
      <c r="CC305" s="535">
        <f t="shared" si="717"/>
        <v>0</v>
      </c>
      <c r="CD305" s="535">
        <f t="shared" si="718"/>
        <v>0</v>
      </c>
      <c r="CE305" s="535">
        <f t="shared" si="719"/>
        <v>2.99</v>
      </c>
      <c r="CF305" s="535">
        <f t="shared" si="720"/>
        <v>2.978302738489317</v>
      </c>
      <c r="CG305" s="535">
        <f>IF(Sheet1!EQ303="CWA",SUM(Sheet1!BC303:'Sheet1'!BF303),0)</f>
        <v>0</v>
      </c>
      <c r="CH305" s="535">
        <f>IF(OR(Sheet1!EQ303="FM", Sheet1!EQ303="OTHER"),SUM(Sheet1!BC303:'Sheet1'!BF303),0)</f>
        <v>0</v>
      </c>
      <c r="CI305" s="1115">
        <v>0</v>
      </c>
      <c r="CJ305" s="535">
        <f t="shared" si="721"/>
        <v>0</v>
      </c>
      <c r="CK305" s="521">
        <f t="shared" si="722"/>
        <v>2.978302738489317</v>
      </c>
      <c r="CL305" s="521">
        <f>IF(AND($O305&gt;0,Sheet1!EN303=1),(1-($O305-Sheet1!$L303)/$O305)*CF305,0)</f>
        <v>0</v>
      </c>
      <c r="CM305" s="521">
        <f>IF(AND(Sheet1!$L303=0,Sheet1!$L302=0, Calculation!CE305&lt;Sheet1!EJ303-0.1,Sheet1!EJ303=Sheet1!EJ302,Sheet1!EJ303=Sheet1!EJ304),CF305-CL305,CF305-CL305)</f>
        <v>2.978302738489317</v>
      </c>
      <c r="CN305" s="1040" t="str">
        <f t="shared" si="674"/>
        <v/>
      </c>
      <c r="CO305" s="1035">
        <f t="shared" si="675"/>
        <v>12.568888888888889</v>
      </c>
      <c r="CP305" s="535">
        <f t="shared" si="723"/>
        <v>60.397440340713686</v>
      </c>
      <c r="CQ305" s="535"/>
      <c r="CR305" s="535">
        <f ca="1">IF(B305&gt;(Summary!$A$1-1),#N/A,CP305*MGtoAF)</f>
        <v>185.29934696530958</v>
      </c>
      <c r="CS305" s="535">
        <f>Sheet1!BK303+Sheet1!BL303+Sheet1!BM303-Sheet1!ER303-DA305</f>
        <v>6.71</v>
      </c>
      <c r="CT305" s="535">
        <f t="shared" si="724"/>
        <v>6.6837496238338847</v>
      </c>
      <c r="CU305" s="535">
        <f>IF(Sheet1!ER303="FM",DA305,0)</f>
        <v>0</v>
      </c>
      <c r="CV305" s="535">
        <f t="shared" si="725"/>
        <v>0</v>
      </c>
      <c r="CW305" s="535">
        <f>IF(Sheet1!ER303="OTHER",DA305,0)</f>
        <v>0</v>
      </c>
      <c r="CX305" s="535">
        <f t="shared" si="726"/>
        <v>0</v>
      </c>
      <c r="CY305" s="535">
        <f t="shared" si="727"/>
        <v>6.71</v>
      </c>
      <c r="CZ305" s="535">
        <f t="shared" si="728"/>
        <v>6.6837496238338847</v>
      </c>
      <c r="DA305" s="535">
        <f>IF(OR(Sheet1!ER303="FM", Sheet1!ER303="OTHER"),SUM(Sheet1!BK303:'Sheet1'!BM303),0)</f>
        <v>0</v>
      </c>
      <c r="DB305" s="1115">
        <v>0</v>
      </c>
      <c r="DC305" s="1012">
        <f t="shared" si="729"/>
        <v>0</v>
      </c>
      <c r="DD305" s="1011">
        <f t="shared" si="730"/>
        <v>6.6837496238338847</v>
      </c>
      <c r="DE305" s="521">
        <f>IF(AND($O305&gt;0,Sheet1!EO303=1),(1-($O305-Sheet1!$L303)/$O305)*CZ305,0)</f>
        <v>0</v>
      </c>
      <c r="DF305" s="521">
        <f>IF(AND(Sheet1!$L303=0,Sheet1!$L302=0, Calculation!CY305&lt;Sheet1!$EK303-0.1,Sheet1!$EK303=Sheet1!$EK302,Sheet1!$EK303=Sheet1!$EK304),CZ305-DE305,CZ305-DE305)</f>
        <v>6.6837496238338847</v>
      </c>
      <c r="DG305" s="1040">
        <f t="shared" si="676"/>
        <v>12.568888888888889</v>
      </c>
      <c r="DH305" s="649">
        <f t="shared" si="731"/>
        <v>12.73</v>
      </c>
      <c r="DI305" s="535">
        <f t="shared" si="732"/>
        <v>36.102680900221898</v>
      </c>
      <c r="DJ305" s="649">
        <f t="shared" si="733"/>
        <v>12.680198615708697</v>
      </c>
      <c r="DK305" s="535">
        <f ca="1">IF(B305&gt;(Summary!$A$1-1),#N/A,DI305*MGtoAF)</f>
        <v>110.76302500188079</v>
      </c>
      <c r="DL305" s="649">
        <f t="shared" si="734"/>
        <v>12.73</v>
      </c>
      <c r="DM305" s="535">
        <f t="shared" si="735"/>
        <v>33.230000000000004</v>
      </c>
      <c r="DN305" s="535">
        <f>Sheet1!AB303-DM305</f>
        <v>-0.13000000000000256</v>
      </c>
      <c r="DO305" s="743">
        <f t="shared" si="736"/>
        <v>-3.9121275955462699E-3</v>
      </c>
      <c r="DP305" s="535">
        <f>(VLOOKUP(Sheet1!DC303,hhdcap_wcm,4)-(((VLOOKUP(Sheet1!DC303,hhdcap_wcm,3)-Sheet1!DC303)/(VLOOKUP(Sheet1!DC303,hhdcap_wcm,3)-VLOOKUP(Sheet1!DC303,hhdcap_wcm,1)))*(VLOOKUP(Sheet1!DC303,hhdcap_wcm,4)-VLOOKUP(Sheet1!DC303,hhdcap_wcm,2))))</f>
        <v>6069.0000000126465</v>
      </c>
      <c r="DQ305" s="535">
        <f t="shared" si="737"/>
        <v>-1432.0000000027694</v>
      </c>
      <c r="DR305" s="535">
        <f t="shared" si="738"/>
        <v>-722.13817448450288</v>
      </c>
      <c r="DS305" s="535">
        <f>Sheet1!EA303*AFtoMG</f>
        <v>0</v>
      </c>
      <c r="DT305" s="535">
        <f>Sheet1!EB303*AFtoMG</f>
        <v>0</v>
      </c>
      <c r="DU305" s="535">
        <f>Sheet1!EC303*AFtoMG</f>
        <v>0</v>
      </c>
      <c r="DV305" s="535">
        <f>Sheet1!ED303*AFtoMG</f>
        <v>0</v>
      </c>
      <c r="DW305" s="535">
        <f t="shared" si="739"/>
        <v>0</v>
      </c>
      <c r="DX305" s="535">
        <f t="shared" si="740"/>
        <v>0</v>
      </c>
      <c r="DY305" s="535">
        <f t="shared" si="741"/>
        <v>110.61207597920064</v>
      </c>
      <c r="DZ305" s="535">
        <f t="shared" si="742"/>
        <v>339.35784910418755</v>
      </c>
      <c r="EA305" s="535"/>
      <c r="EB305" s="521">
        <f>IF(OR(B305&lt;FV305,B305&gt;FW305),(MIN(BF305+BY305+CT305+MAX(Sheet1!AA303+AQ305-73,0),K305)),0)</f>
        <v>12.680198615708697</v>
      </c>
      <c r="EC305" s="535"/>
      <c r="ED305" s="535">
        <f t="shared" si="743"/>
        <v>12.680198615708697</v>
      </c>
      <c r="EE305" s="535"/>
      <c r="EF305" s="535">
        <f>Sheet1!EH303+Sheet1!EI303+Sheet1!EJ303+Sheet1!EK303</f>
        <v>13</v>
      </c>
      <c r="EG305" s="1019">
        <f t="shared" si="677"/>
        <v>20.111000000000001</v>
      </c>
      <c r="EH305" s="521">
        <f t="shared" si="744"/>
        <v>0</v>
      </c>
      <c r="EI305" s="535">
        <f>IF(Sheet1!ET303=1,SUM('Calculations II'!AT305:BA305)+'Calculations II'!BC305+Sheet1!BV303+'Calculations II'!BE305+AP305,'Calculations II'!BK305)</f>
        <v>48.139359384291303</v>
      </c>
      <c r="EJ305" s="535">
        <f ca="1">EI305+'Calculations II'!D305+'Calculations II'!E305+'Calculations II'!O305</f>
        <v>46.185011044145078</v>
      </c>
      <c r="EK305" s="535"/>
      <c r="EL305" s="535"/>
      <c r="EM305" s="535">
        <f t="shared" si="745"/>
        <v>43029</v>
      </c>
      <c r="EN305" s="535">
        <f t="shared" si="746"/>
        <v>-35.849602768582606</v>
      </c>
      <c r="EO305" s="535">
        <f t="shared" si="747"/>
        <v>-55.45933548299729</v>
      </c>
      <c r="EP305" s="535">
        <v>0</v>
      </c>
      <c r="EQ305" s="535">
        <v>0</v>
      </c>
      <c r="ER305" s="535">
        <v>0</v>
      </c>
      <c r="ES305" s="521">
        <f t="shared" si="643"/>
        <v>0</v>
      </c>
      <c r="ET305" s="535">
        <f>-(VLOOKUP(Sheet1!BQ303,Lookup!$O$4:$Q$262,2)-VLOOKUP(Sheet1!BQ302,Lookup!$O$4:$Q$262,2))/1000000</f>
        <v>0</v>
      </c>
      <c r="EU305" s="535">
        <f>-(VLOOKUP(Sheet1!BR303,Lookup!$O$4:$Q$262,3)-VLOOKUP(Sheet1!BR302,Lookup!$O$4:$Q$262,3))/1000000</f>
        <v>0</v>
      </c>
      <c r="EV305" s="535"/>
      <c r="EW305" s="535"/>
      <c r="EX305" s="535"/>
      <c r="EY305" s="535"/>
      <c r="EZ305" s="535"/>
      <c r="FA305" s="535"/>
      <c r="FB305" s="535"/>
      <c r="FC305" s="535"/>
      <c r="FD305" s="567">
        <f t="shared" si="693"/>
        <v>1101.103703703659</v>
      </c>
      <c r="FE305" s="567" t="e">
        <f t="shared" si="748"/>
        <v>#N/A</v>
      </c>
      <c r="FF305" s="568" t="e">
        <f t="shared" si="749"/>
        <v>#N/A</v>
      </c>
      <c r="FG305" s="569" t="s">
        <v>656</v>
      </c>
      <c r="FH305" s="569" t="s">
        <v>656</v>
      </c>
      <c r="FI305" s="567" t="e">
        <v>#N/A</v>
      </c>
      <c r="FJ305" s="725">
        <v>5006</v>
      </c>
      <c r="FK305" s="535"/>
      <c r="FL305" s="1015">
        <f t="shared" si="692"/>
        <v>105.90015128593041</v>
      </c>
      <c r="FM305" s="535"/>
      <c r="FN305" s="535"/>
      <c r="FO305" s="535">
        <f>O305+((Sheet1!CS303)*GPMtoMGD)</f>
        <v>61.21</v>
      </c>
      <c r="FP305" s="535">
        <f>IF(Sheet1!AA303+AQ305&lt;=Calculation!N305,AQ305,Calculation!N305-Sheet1!AA303)</f>
        <v>20.419801384291301</v>
      </c>
      <c r="FQ305" s="535">
        <f>(Sheet1!BP303+Sheet1!BO303)/694.4</f>
        <v>1.6559619815668201</v>
      </c>
      <c r="FR305" s="541"/>
      <c r="FS305" s="541"/>
      <c r="FT305" s="541"/>
      <c r="FU305" s="541"/>
      <c r="FV305" s="1109">
        <f t="shared" si="644"/>
        <v>42918</v>
      </c>
      <c r="FW305" s="1109">
        <f t="shared" si="645"/>
        <v>43027</v>
      </c>
      <c r="FX305" s="541"/>
      <c r="FY305" s="541">
        <f>Sheet1!DA303-Sheet1!CZ303-Sheet1!AE303</f>
        <v>685.30813000000001</v>
      </c>
      <c r="FZ305" s="535">
        <f t="shared" si="678"/>
        <v>0.36886926712639084</v>
      </c>
      <c r="GA305" s="535"/>
      <c r="GB305" s="535" t="str">
        <f t="shared" si="646"/>
        <v>n</v>
      </c>
      <c r="GC305" s="539">
        <f t="shared" si="647"/>
        <v>42782</v>
      </c>
      <c r="GD305" s="1109">
        <f t="shared" si="648"/>
        <v>42904</v>
      </c>
      <c r="GE305" s="535">
        <f t="shared" si="664"/>
        <v>6520</v>
      </c>
      <c r="GF305" s="1109">
        <f t="shared" si="649"/>
        <v>42909</v>
      </c>
      <c r="GG305" s="535">
        <f t="shared" si="691"/>
        <v>3260</v>
      </c>
      <c r="GH305" s="539">
        <f t="shared" si="650"/>
        <v>43040</v>
      </c>
      <c r="GJ305" s="521">
        <f t="shared" si="651"/>
        <v>0</v>
      </c>
      <c r="GK305" s="535" t="str">
        <f t="shared" si="750"/>
        <v/>
      </c>
      <c r="GL305" s="535">
        <f t="shared" si="652"/>
        <v>0</v>
      </c>
      <c r="GM305" s="535" t="str">
        <f t="shared" si="653"/>
        <v/>
      </c>
      <c r="GN305" s="535">
        <f>IF(GK305="P",Lookup!$M$12,IF(GK305="PP",Lookup!$M$13,IF(GK305="PPP",Lookup!$M$14,IF(GK305="T",Lookup!$M$15,IF(GK305="TP",Lookup!$M$16,IF(GK305="TPP",Lookup!$M$17,IF(GK305="TPPP",Lookup!$M$18,0)))))))*GJ305</f>
        <v>0</v>
      </c>
      <c r="GO305" s="535">
        <f t="shared" si="654"/>
        <v>0</v>
      </c>
      <c r="GP305" s="535">
        <f t="shared" si="751"/>
        <v>-32.129874759067725</v>
      </c>
      <c r="GQ305" s="974">
        <f t="shared" si="695"/>
        <v>-10.472579778053365</v>
      </c>
      <c r="GR305" s="535"/>
      <c r="GS305" s="535">
        <f t="shared" si="655"/>
        <v>0</v>
      </c>
      <c r="GT305" s="535" t="str">
        <f t="shared" si="656"/>
        <v/>
      </c>
      <c r="GU305" s="535">
        <f>IF(GK305="P",Lookup!$N$12,IF(GK305="PP",Lookup!$N$13,IF(GK305="PPP",Lookup!$N$14,IF(GK305="T",Lookup!$N$15,IF(GK305="TP",Lookup!$N$16,IF(GK305="TPP",Lookup!$N$17,IF(GK305="TPPP",Lookup!$N$18,0)))))))*GJ305</f>
        <v>0</v>
      </c>
      <c r="GV305" s="535">
        <f t="shared" si="657"/>
        <v>0</v>
      </c>
      <c r="GW305" s="535">
        <f t="shared" si="752"/>
        <v>75.425351896064939</v>
      </c>
      <c r="GX305" s="974">
        <f t="shared" si="696"/>
        <v>24.584534516318428</v>
      </c>
      <c r="GY305" s="535"/>
      <c r="GZ305" s="535">
        <f t="shared" si="658"/>
        <v>0</v>
      </c>
      <c r="HA305" s="535" t="str">
        <f t="shared" si="659"/>
        <v/>
      </c>
      <c r="HB305" s="535">
        <f>IF(GK305="P",Lookup!$N$12,IF(GK305="PP",Lookup!$N$13,IF(GK305="PPP",Lookup!$N$14,IF(GK305="T",Lookup!$N$15,IF(GK305="TP",Lookup!$N$16,IF(GK305="TPP",Lookup!$N$17,IF(GK305="TPPP",Lookup!$N$18,0)))))))*GJ305</f>
        <v>0</v>
      </c>
      <c r="HC305" s="521">
        <f t="shared" si="753"/>
        <v>0</v>
      </c>
      <c r="HD305" s="535">
        <f t="shared" si="754"/>
        <v>185.29934696530958</v>
      </c>
      <c r="HE305" s="535">
        <f t="shared" si="662"/>
        <v>60.397440340713686</v>
      </c>
      <c r="HF305" s="535"/>
      <c r="HG305" s="535">
        <f t="shared" si="660"/>
        <v>0</v>
      </c>
      <c r="HH305" s="535" t="str">
        <f t="shared" si="661"/>
        <v/>
      </c>
      <c r="HI305" s="535">
        <f>IF(GK305="P",Lookup!$N$12,IF(GK305="PP",Lookup!$N$13,IF(GK305="PPP",Lookup!$N$14,IF(GK305="T",Lookup!$N$15,IF(GK305="TP",Lookup!$N$16,IF(GK305="TPP",Lookup!$N$17,IF(GK305="TPPP",Lookup!$N$18,0)))))))*GJ305</f>
        <v>0</v>
      </c>
      <c r="HJ305" s="521">
        <f t="shared" si="755"/>
        <v>0</v>
      </c>
      <c r="HK305" s="535">
        <f t="shared" si="756"/>
        <v>110.76302500188079</v>
      </c>
      <c r="HL305" s="535">
        <f t="shared" si="663"/>
        <v>36.102680900221898</v>
      </c>
      <c r="HM305" s="535"/>
      <c r="HN305" s="541"/>
      <c r="HO305" s="541"/>
      <c r="HP305" s="541"/>
      <c r="HQ305" s="541">
        <f>IF(AND(B305&gt;=$FV$4,B305&lt;=$FW$4),MAX(110/1.02+$HQ$6+MIN(113/1.02,G305),IF($HV$6-(Sheet1!DA303-Sheet1!DB303)+MIN(113/1.02,G305)&lt;G305+FL305,$HV$6-(Sheet1!DA303-Sheet1!DB303)+MIN(113/1.02,G305),G305+FL305)),MIN(110/1.02+$HQ$6+113/1.02,G305))</f>
        <v>218.62745098039215</v>
      </c>
      <c r="HR305" s="541">
        <f t="shared" si="679"/>
        <v>223</v>
      </c>
      <c r="HS305" s="541">
        <f>HR305+(Sheet1!DA303-Sheet1!DB303)</f>
        <v>983</v>
      </c>
      <c r="HT305" s="541">
        <f t="shared" si="680"/>
        <v>0</v>
      </c>
      <c r="HU305" s="541">
        <f t="shared" si="681"/>
        <v>983</v>
      </c>
      <c r="HV305" s="541">
        <f t="shared" si="682"/>
        <v>0</v>
      </c>
      <c r="HW305" s="533" t="str">
        <f t="shared" si="683"/>
        <v/>
      </c>
      <c r="HX305" s="541">
        <f t="shared" si="684"/>
        <v>2305.9132135366108</v>
      </c>
      <c r="HY305" s="541">
        <f>Sheet1!CZ303</f>
        <v>2580</v>
      </c>
      <c r="HZ305" s="541">
        <f t="shared" si="685"/>
        <v>55.45933548299729</v>
      </c>
      <c r="IA305" s="541">
        <f t="shared" si="686"/>
        <v>0</v>
      </c>
      <c r="IB305" s="541">
        <f t="shared" si="687"/>
        <v>2524.5406645170028</v>
      </c>
      <c r="IC305" s="1019" t="str">
        <f t="shared" si="688"/>
        <v/>
      </c>
      <c r="ID305" s="541">
        <f t="shared" si="689"/>
        <v>2524.5406645170028</v>
      </c>
      <c r="IE305" s="541">
        <f>Sheet1!DB303</f>
        <v>2600</v>
      </c>
      <c r="IF305" s="533">
        <f>Sheet1!DA303</f>
        <v>3360</v>
      </c>
      <c r="IH305" s="541">
        <f>IF(AND($B305&gt;=$GC305,$B305&lt;=$GH305,$DR305&lt;0)+N("only adjusted when pool is drawn down during storage season"),Sheet1!$DB303+$DR305+N("Palmer minus all storage release"),Sheet1!$DB303)</f>
        <v>1877.861825515497</v>
      </c>
      <c r="II305" s="541">
        <f>IF(AND($B305&gt;=$GC305,$B305&lt;=$GH305,$DR305&lt;0)+N("only adjusted when pool is drawn down during storage season"),Sheet1!$DA303+$DR305+N("Auburn minus all storage release"),Sheet1!$DA303)</f>
        <v>2637.861825515497</v>
      </c>
    </row>
    <row r="306" spans="1:243" x14ac:dyDescent="0.25">
      <c r="A306" s="553" t="s">
        <v>3</v>
      </c>
      <c r="B306" s="531">
        <v>43030</v>
      </c>
      <c r="C306" s="536">
        <v>0</v>
      </c>
      <c r="D306" s="506">
        <f t="shared" si="633"/>
        <v>300</v>
      </c>
      <c r="E306" s="506">
        <f t="shared" si="634"/>
        <v>250</v>
      </c>
      <c r="F306" s="506">
        <v>250</v>
      </c>
      <c r="G306" s="535">
        <f>DR306+Sheet1!CZ304</f>
        <v>9709.7276853385338</v>
      </c>
      <c r="H306" s="1074">
        <f t="shared" si="690"/>
        <v>2430.3568850559996</v>
      </c>
      <c r="I306" s="534">
        <f>IF(Sheet1!DA304&gt;=E306,(Sheet1!DA304-E306+P306)*CFStoMGD,0)</f>
        <v>3406.4208850559999</v>
      </c>
      <c r="J306" s="995">
        <f>IF(Sheet1!DB304&gt;=D306,(Sheet1!DB304-D306+P306)*CFStoMGD,0)</f>
        <v>2430.3568850559996</v>
      </c>
      <c r="K306" s="818">
        <f t="shared" si="665"/>
        <v>64.64</v>
      </c>
      <c r="L306" s="535">
        <f>Sheet1!AA304+Sheet1!AB304-Sheet1!L304+(Sheet1!DA304-F306)*CFStoMGD-S306-T306-U306</f>
        <v>3364.0634475431616</v>
      </c>
      <c r="M306" s="535">
        <f t="shared" si="697"/>
        <v>6401.8953353188854</v>
      </c>
      <c r="N306" s="824">
        <f>IF(Sheet1!DA304&gt;=F306,MIN(113*CFStoMGD,MIN(MAX(L306,0),MAX(M306,0))),0)</f>
        <v>73.043199999999999</v>
      </c>
      <c r="O306" s="538">
        <f>Sheet1!AA304+Sheet1!AB304</f>
        <v>58.07</v>
      </c>
      <c r="P306" s="538">
        <f t="shared" si="698"/>
        <v>89.834289999999996</v>
      </c>
      <c r="Q306" s="812">
        <f t="shared" si="666"/>
        <v>0</v>
      </c>
      <c r="R306" s="812">
        <f t="shared" si="635"/>
        <v>13</v>
      </c>
      <c r="S306" s="1115">
        <f t="shared" si="757"/>
        <v>12.89855245683931</v>
      </c>
      <c r="T306" s="812">
        <f t="shared" si="637"/>
        <v>0</v>
      </c>
      <c r="U306" s="812">
        <f>IF(AND(B306&gt;=FV306,B306&lt;=FW306),ED306+Sheet1!EH304,0)</f>
        <v>0</v>
      </c>
      <c r="V306" s="812"/>
      <c r="W306" s="812">
        <f t="shared" si="638"/>
        <v>51.741447543160689</v>
      </c>
      <c r="X306" s="812">
        <f t="shared" si="639"/>
        <v>12.89855245683931</v>
      </c>
      <c r="Y306" s="812" t="str">
        <f t="shared" si="640"/>
        <v/>
      </c>
      <c r="Z306" s="812">
        <f t="shared" si="641"/>
        <v>58.07</v>
      </c>
      <c r="AA306" s="812">
        <f t="shared" si="642"/>
        <v>12.89855245683931</v>
      </c>
      <c r="AB306" s="1059">
        <f t="shared" si="667"/>
        <v>0</v>
      </c>
      <c r="AC306" s="538">
        <f>Sheet1!Y304*MGDtoCFS</f>
        <v>43.486169999999994</v>
      </c>
      <c r="AD306" s="538">
        <f>Sheet1!Z304*MGDtoCFS</f>
        <v>51.2057</v>
      </c>
      <c r="AE306" s="538">
        <f>Sheet1!AA304*MGDtoCFS</f>
        <v>43.315999999999995</v>
      </c>
      <c r="AF306" s="538">
        <f>Sheet1!AB304*MGDtoCFS</f>
        <v>46.51829</v>
      </c>
      <c r="AG306" s="538">
        <f>Sheet1!L304*MGDtoCFS</f>
        <v>45.574619999998646</v>
      </c>
      <c r="AH306" s="521">
        <f t="shared" si="699"/>
        <v>32.272895086321377</v>
      </c>
      <c r="AI306" s="1059">
        <f t="shared" si="700"/>
        <v>49.926168698539165</v>
      </c>
      <c r="AJ306" s="535">
        <f t="shared" si="701"/>
        <v>0</v>
      </c>
      <c r="AK306" s="535">
        <f t="shared" si="702"/>
        <v>0</v>
      </c>
      <c r="AL306" s="535">
        <f>(VLOOKUP(Sheet1!DC304,hhdcap_wcm,4)-(((VLOOKUP(Sheet1!DC304,hhdcap_wcm,3)-Sheet1!DC304)/(VLOOKUP(Sheet1!DC304,hhdcap_wcm,3)-VLOOKUP(Sheet1!DC304,hhdcap_wcm,1)))*(VLOOKUP(Sheet1!DC304,hhdcap_wcm,4)-VLOOKUP(Sheet1!DC304,hhdcap_wcm,2))))</f>
        <v>15943.800000038962</v>
      </c>
      <c r="AM306" s="535">
        <f t="shared" si="703"/>
        <v>9874.8000000263164</v>
      </c>
      <c r="AN306" s="1035">
        <f>(IF(AND(B306&gt;=GC306,B306&lt;GF306),MIN(BB306+BU306+CP306+DI306,GE306),IF(B306=GF306,GG306,IF(AND(B306&gt;GF306,B306&lt;GH306),BB306+BU306+CP306+DI306,IF(B306&gt;=GH306,0,0)))))</f>
        <v>78.33918089287927</v>
      </c>
      <c r="AO306" s="535">
        <f t="shared" si="705"/>
        <v>240.34460697935361</v>
      </c>
      <c r="AP306" s="535">
        <f>Sheet1!BA304+Sheet1!BB304+Sheet1!BN304+CD306</f>
        <v>17.2</v>
      </c>
      <c r="AQ306" s="535">
        <f>Sheet1!BN304+(DO306*Sheet1!BN304)</f>
        <v>17.171447543160689</v>
      </c>
      <c r="AR306" s="535">
        <f>Sheet1!BA304+CD306</f>
        <v>0</v>
      </c>
      <c r="AS306" s="535">
        <f>Sheet1!BA304+Sheet1!BB304+CD306</f>
        <v>0</v>
      </c>
      <c r="AT306" s="649">
        <f>0</f>
        <v>0</v>
      </c>
      <c r="AU306" s="974">
        <f>BA306+MAX(Sheet1!EH304,(O306-Q306-ED306-S306))</f>
        <v>32.272895086321377</v>
      </c>
      <c r="AV306" s="535">
        <f>IF(OR(B306&gt;=GD306,B306&lt;GC306),0,15/36*K306-MAX(0,64.6-(137.6-(Sheet1!AA304+Sheet1!AB304))))</f>
        <v>0</v>
      </c>
      <c r="AW306" s="1029"/>
      <c r="AX306" s="649"/>
      <c r="AY306" s="649">
        <f t="shared" si="668"/>
        <v>23.311716569431731</v>
      </c>
      <c r="AZ306" s="649">
        <f t="shared" si="669"/>
        <v>0</v>
      </c>
      <c r="BA306" s="1059">
        <f t="shared" si="670"/>
        <v>0</v>
      </c>
      <c r="BB306" s="1019">
        <f t="shared" si="706"/>
        <v>-42.745474864374742</v>
      </c>
      <c r="BC306" s="1041">
        <f t="shared" si="671"/>
        <v>26.933333333333334</v>
      </c>
      <c r="BD306" s="1019">
        <f ca="1">IF(B306&gt;(Summary!$A$1-1),#N/A,BB306*MGtoAF)</f>
        <v>-131.14311688390171</v>
      </c>
      <c r="BE306" s="535">
        <f>Sheet1!BG304+Sheet1!BH304+Sheet1!BI304-BM306</f>
        <v>3.13</v>
      </c>
      <c r="BF306" s="535">
        <f t="shared" si="707"/>
        <v>3.1248041168658696</v>
      </c>
      <c r="BG306" s="535">
        <f>IF(Sheet1!EP304="FM",BM306,0)</f>
        <v>0</v>
      </c>
      <c r="BH306" s="535">
        <f t="shared" si="708"/>
        <v>0</v>
      </c>
      <c r="BI306" s="535">
        <f>IF(Sheet1!EP304="OTHER",BM306,0)</f>
        <v>0</v>
      </c>
      <c r="BJ306" s="535">
        <f t="shared" si="709"/>
        <v>0</v>
      </c>
      <c r="BK306" s="535">
        <f t="shared" si="710"/>
        <v>3.13</v>
      </c>
      <c r="BL306" s="535">
        <f t="shared" si="711"/>
        <v>3.1248041168658696</v>
      </c>
      <c r="BM306" s="535">
        <f>IF(OR(Sheet1!EP304="FM", Sheet1!EP304="OTHER"),SUM(Sheet1!BG304:'Sheet1'!BI304),0)</f>
        <v>0</v>
      </c>
      <c r="BN306" s="1115">
        <v>0</v>
      </c>
      <c r="BO306" s="535">
        <f t="shared" si="712"/>
        <v>0</v>
      </c>
      <c r="BP306" s="521">
        <f t="shared" si="713"/>
        <v>3.1248041168658696</v>
      </c>
      <c r="BQ306" s="521">
        <f>IF(AND($O306&gt;0,Sheet1!EM304=1),(1-($O306-Sheet1!$L304)/$O306)*BL306,0)</f>
        <v>0</v>
      </c>
      <c r="BR306" s="521">
        <f>IF(AND(Sheet1!$L304=0,Sheet1!$L303=0, Calculation!BK306&lt;Sheet1!$EI304-0.1,Sheet1!$EI304=Sheet1!$EI303,Sheet1!$EI304=Sheet1!$EI305),BL306-BQ306,BL306-BQ306)</f>
        <v>3.1248041168658696</v>
      </c>
      <c r="BS306" s="1035" t="str">
        <f t="shared" si="672"/>
        <v/>
      </c>
      <c r="BT306" s="1035">
        <f t="shared" si="673"/>
        <v>12.568888888888889</v>
      </c>
      <c r="BU306" s="535">
        <f t="shared" si="714"/>
        <v>24.584534516318428</v>
      </c>
      <c r="BV306" s="535"/>
      <c r="BW306" s="535">
        <f ca="1">IF(B306&gt;(Summary!$A$1-1),#N/A,BU306*MGtoAF)</f>
        <v>75.425351896064939</v>
      </c>
      <c r="BX306" s="535">
        <f>Sheet1!BC304+Sheet1!BD304+Sheet1!BE304+Sheet1!BF304-CG306-CH306</f>
        <v>2.98</v>
      </c>
      <c r="BY306" s="535">
        <f t="shared" si="715"/>
        <v>2.9750531208499336</v>
      </c>
      <c r="BZ306" s="535">
        <f>IF(Sheet1!EQ304="FM",CH306,0)</f>
        <v>0</v>
      </c>
      <c r="CA306" s="535">
        <f t="shared" si="716"/>
        <v>0</v>
      </c>
      <c r="CB306" s="535">
        <f>IF(Sheet1!EQ304="OTHER",CH306,0)</f>
        <v>0</v>
      </c>
      <c r="CC306" s="535">
        <f t="shared" si="717"/>
        <v>0</v>
      </c>
      <c r="CD306" s="535">
        <f t="shared" si="718"/>
        <v>0</v>
      </c>
      <c r="CE306" s="535">
        <f t="shared" si="719"/>
        <v>2.98</v>
      </c>
      <c r="CF306" s="535">
        <f t="shared" si="720"/>
        <v>2.9750531208499336</v>
      </c>
      <c r="CG306" s="535">
        <f>IF(Sheet1!EQ304="CWA",SUM(Sheet1!BC304:'Sheet1'!BF304),0)</f>
        <v>0</v>
      </c>
      <c r="CH306" s="535">
        <f>IF(OR(Sheet1!EQ304="FM", Sheet1!EQ304="OTHER"),SUM(Sheet1!BC304:'Sheet1'!BF304),0)</f>
        <v>0</v>
      </c>
      <c r="CI306" s="1115">
        <v>0</v>
      </c>
      <c r="CJ306" s="535">
        <f t="shared" si="721"/>
        <v>0</v>
      </c>
      <c r="CK306" s="521">
        <f t="shared" si="722"/>
        <v>2.9750531208499336</v>
      </c>
      <c r="CL306" s="521">
        <f>IF(AND($O306&gt;0,Sheet1!EN304=1),(1-($O306-Sheet1!$L304)/$O306)*CF306,0)</f>
        <v>0</v>
      </c>
      <c r="CM306" s="521">
        <f>IF(AND(Sheet1!$L304=0,Sheet1!$L303=0, Calculation!CE306&lt;Sheet1!EJ304-0.1,Sheet1!EJ304=Sheet1!EJ303,Sheet1!EJ304=Sheet1!EJ305),CF306-CL306,CF306-CL306)</f>
        <v>2.9750531208499336</v>
      </c>
      <c r="CN306" s="1040" t="str">
        <f t="shared" si="674"/>
        <v/>
      </c>
      <c r="CO306" s="1035">
        <f t="shared" si="675"/>
        <v>12.568888888888889</v>
      </c>
      <c r="CP306" s="535">
        <f t="shared" si="723"/>
        <v>60.397440340713686</v>
      </c>
      <c r="CQ306" s="535"/>
      <c r="CR306" s="535">
        <f ca="1">IF(B306&gt;(Summary!$A$1-1),#N/A,CP306*MGtoAF)</f>
        <v>185.29934696530958</v>
      </c>
      <c r="CS306" s="535">
        <f>Sheet1!BK304+Sheet1!BL304+Sheet1!BM304-Sheet1!ER304-DA306</f>
        <v>6.8100000000000005</v>
      </c>
      <c r="CT306" s="535">
        <f t="shared" si="724"/>
        <v>6.7986952191235064</v>
      </c>
      <c r="CU306" s="535">
        <f>IF(Sheet1!ER304="FM",DA306,0)</f>
        <v>0</v>
      </c>
      <c r="CV306" s="535">
        <f t="shared" si="725"/>
        <v>0</v>
      </c>
      <c r="CW306" s="535">
        <f>IF(Sheet1!ER304="OTHER",DA306,0)</f>
        <v>0</v>
      </c>
      <c r="CX306" s="535">
        <f t="shared" si="726"/>
        <v>0</v>
      </c>
      <c r="CY306" s="535">
        <f t="shared" si="727"/>
        <v>6.8100000000000005</v>
      </c>
      <c r="CZ306" s="535">
        <f t="shared" si="728"/>
        <v>6.7986952191235064</v>
      </c>
      <c r="DA306" s="535">
        <f>IF(OR(Sheet1!ER304="FM", Sheet1!ER304="OTHER"),SUM(Sheet1!BK304:'Sheet1'!BM304),0)</f>
        <v>0</v>
      </c>
      <c r="DB306" s="1115">
        <v>0</v>
      </c>
      <c r="DC306" s="1012">
        <f t="shared" si="729"/>
        <v>0</v>
      </c>
      <c r="DD306" s="1011">
        <f t="shared" si="730"/>
        <v>6.7986952191235064</v>
      </c>
      <c r="DE306" s="521">
        <f>IF(AND($O306&gt;0,Sheet1!EO304=1),(1-($O306-Sheet1!$L304)/$O306)*CZ306,0)</f>
        <v>0</v>
      </c>
      <c r="DF306" s="521">
        <f>IF(AND(Sheet1!$L304=0,Sheet1!$L303=0, Calculation!CY306&lt;Sheet1!$EK304-0.1,Sheet1!$EK304=Sheet1!$EK303,Sheet1!$EK304=Sheet1!$EK305),CZ306-DE306,CZ306-DE306)</f>
        <v>6.7986952191235064</v>
      </c>
      <c r="DG306" s="1040">
        <f t="shared" si="676"/>
        <v>12.568888888888889</v>
      </c>
      <c r="DH306" s="649">
        <f t="shared" si="731"/>
        <v>12.92</v>
      </c>
      <c r="DI306" s="535">
        <f t="shared" si="732"/>
        <v>36.102680900221898</v>
      </c>
      <c r="DJ306" s="649">
        <f t="shared" si="733"/>
        <v>12.898552456839308</v>
      </c>
      <c r="DK306" s="535">
        <f ca="1">IF(B306&gt;(Summary!$A$1-1),#N/A,DI306*MGtoAF)</f>
        <v>110.76302500188079</v>
      </c>
      <c r="DL306" s="649">
        <f t="shared" si="734"/>
        <v>12.920000000000002</v>
      </c>
      <c r="DM306" s="535">
        <f t="shared" si="735"/>
        <v>30.12</v>
      </c>
      <c r="DN306" s="535">
        <f>Sheet1!AB304-DM306</f>
        <v>-5.0000000000000711E-2</v>
      </c>
      <c r="DO306" s="743">
        <f t="shared" si="736"/>
        <v>-1.6600265604249903E-3</v>
      </c>
      <c r="DP306" s="535">
        <f>(VLOOKUP(Sheet1!DC304,hhdcap_wcm,4)-(((VLOOKUP(Sheet1!DC304,hhdcap_wcm,3)-Sheet1!DC304)/(VLOOKUP(Sheet1!DC304,hhdcap_wcm,3)-VLOOKUP(Sheet1!DC304,hhdcap_wcm,1)))*(VLOOKUP(Sheet1!DC304,hhdcap_wcm,4)-VLOOKUP(Sheet1!DC304,hhdcap_wcm,2))))</f>
        <v>15943.800000038962</v>
      </c>
      <c r="DQ306" s="535">
        <f t="shared" si="737"/>
        <v>9874.8000000263164</v>
      </c>
      <c r="DR306" s="535">
        <f t="shared" si="738"/>
        <v>4979.7276853385347</v>
      </c>
      <c r="DS306" s="535">
        <f>Sheet1!EA304*AFtoMG</f>
        <v>0</v>
      </c>
      <c r="DT306" s="535">
        <f>Sheet1!EB304*AFtoMG</f>
        <v>0</v>
      </c>
      <c r="DU306" s="535">
        <f>Sheet1!EC304*AFtoMG</f>
        <v>0</v>
      </c>
      <c r="DV306" s="535">
        <f>Sheet1!ED304*AFtoMG</f>
        <v>0</v>
      </c>
      <c r="DW306" s="535">
        <f t="shared" si="739"/>
        <v>0</v>
      </c>
      <c r="DX306" s="535">
        <f t="shared" si="740"/>
        <v>0</v>
      </c>
      <c r="DY306" s="535">
        <f t="shared" si="741"/>
        <v>78.33918089287927</v>
      </c>
      <c r="DZ306" s="535">
        <f t="shared" si="742"/>
        <v>240.34460697935361</v>
      </c>
      <c r="EA306" s="535"/>
      <c r="EB306" s="521">
        <f>IF(OR(B306&lt;FV306,B306&gt;FW306),(MIN(BF306+BY306+CT306+MAX(Sheet1!AA304+AQ306-73,0),K306)),0)</f>
        <v>12.898552456839308</v>
      </c>
      <c r="EC306" s="535"/>
      <c r="ED306" s="535">
        <f t="shared" si="743"/>
        <v>12.89855245683931</v>
      </c>
      <c r="EE306" s="535"/>
      <c r="EF306" s="535">
        <f>Sheet1!EH304+Sheet1!EI304+Sheet1!EJ304+Sheet1!EK304</f>
        <v>13</v>
      </c>
      <c r="EG306" s="1019">
        <f t="shared" si="677"/>
        <v>20.111000000000001</v>
      </c>
      <c r="EH306" s="521">
        <f t="shared" si="744"/>
        <v>0</v>
      </c>
      <c r="EI306" s="535">
        <f>IF(Sheet1!ET304=1,SUM('Calculations II'!AT306:BA306)+'Calculations II'!BC306+Sheet1!BV304+'Calculations II'!BE306+AP306,'Calculations II'!BK306)</f>
        <v>44.950665543160682</v>
      </c>
      <c r="EJ306" s="535">
        <f ca="1">EI306+'Calculations II'!D306+'Calculations II'!E306+'Calculations II'!O306</f>
        <v>46.926922746479526</v>
      </c>
      <c r="EK306" s="535"/>
      <c r="EL306" s="535"/>
      <c r="EM306" s="535">
        <f t="shared" si="745"/>
        <v>43030</v>
      </c>
      <c r="EN306" s="535">
        <f t="shared" si="746"/>
        <v>-32.272895086321377</v>
      </c>
      <c r="EO306" s="535">
        <f t="shared" si="747"/>
        <v>-49.926168698539165</v>
      </c>
      <c r="EP306" s="535">
        <v>0</v>
      </c>
      <c r="EQ306" s="535">
        <v>0</v>
      </c>
      <c r="ER306" s="535">
        <v>0</v>
      </c>
      <c r="ES306" s="521">
        <f t="shared" si="643"/>
        <v>0</v>
      </c>
      <c r="ET306" s="535">
        <f>-(VLOOKUP(Sheet1!BQ304,Lookup!$O$4:$Q$262,2)-VLOOKUP(Sheet1!BQ303,Lookup!$O$4:$Q$262,2))/1000000</f>
        <v>0</v>
      </c>
      <c r="EU306" s="535">
        <f>-(VLOOKUP(Sheet1!BR304,Lookup!$O$4:$Q$262,3)-VLOOKUP(Sheet1!BR303,Lookup!$O$4:$Q$262,3))/1000000</f>
        <v>0</v>
      </c>
      <c r="EV306" s="535"/>
      <c r="EW306" s="535"/>
      <c r="EX306" s="535"/>
      <c r="EY306" s="535"/>
      <c r="EZ306" s="535"/>
      <c r="FA306" s="535"/>
      <c r="FB306" s="535"/>
      <c r="FC306" s="535"/>
      <c r="FD306" s="567">
        <f t="shared" si="693"/>
        <v>1100.29615384611</v>
      </c>
      <c r="FE306" s="567" t="e">
        <f t="shared" si="748"/>
        <v>#N/A</v>
      </c>
      <c r="FF306" s="568" t="e">
        <f t="shared" si="749"/>
        <v>#N/A</v>
      </c>
      <c r="FG306" s="569" t="s">
        <v>656</v>
      </c>
      <c r="FH306" s="569" t="s">
        <v>656</v>
      </c>
      <c r="FI306" s="567" t="e">
        <v>#N/A</v>
      </c>
      <c r="FJ306" s="725">
        <v>4796</v>
      </c>
      <c r="FK306" s="535"/>
      <c r="FL306" s="1015">
        <f t="shared" si="692"/>
        <v>105.3958648512355</v>
      </c>
      <c r="FM306" s="535"/>
      <c r="FN306" s="535"/>
      <c r="FO306" s="535">
        <f>O306+((Sheet1!CS304)*GPMtoMGD)</f>
        <v>58.07</v>
      </c>
      <c r="FP306" s="535">
        <f>IF(Sheet1!AA304+AQ306&lt;=Calculation!N306,AQ306,Calculation!N306-Sheet1!AA304)</f>
        <v>17.171447543160689</v>
      </c>
      <c r="FQ306" s="535">
        <f>(Sheet1!BP304+Sheet1!BO304)/694.4</f>
        <v>1.7531682027649771</v>
      </c>
      <c r="FR306" s="541"/>
      <c r="FS306" s="541"/>
      <c r="FT306" s="541"/>
      <c r="FU306" s="541"/>
      <c r="FV306" s="1109">
        <f t="shared" si="644"/>
        <v>42918</v>
      </c>
      <c r="FW306" s="1109">
        <f t="shared" si="645"/>
        <v>43027</v>
      </c>
      <c r="FX306" s="541"/>
      <c r="FY306" s="541">
        <f>Sheet1!DA304-Sheet1!CZ304-Sheet1!AE304</f>
        <v>655.74032999999861</v>
      </c>
      <c r="FZ306" s="535">
        <f t="shared" si="678"/>
        <v>6.7534368753734614E-2</v>
      </c>
      <c r="GA306" s="535"/>
      <c r="GB306" s="535" t="str">
        <f t="shared" si="646"/>
        <v>n</v>
      </c>
      <c r="GC306" s="539">
        <f t="shared" si="647"/>
        <v>42782</v>
      </c>
      <c r="GD306" s="1109">
        <f t="shared" si="648"/>
        <v>42904</v>
      </c>
      <c r="GE306" s="535">
        <f t="shared" si="664"/>
        <v>6520</v>
      </c>
      <c r="GF306" s="1109">
        <f t="shared" si="649"/>
        <v>42909</v>
      </c>
      <c r="GG306" s="535">
        <f t="shared" si="691"/>
        <v>3260</v>
      </c>
      <c r="GH306" s="539">
        <f t="shared" si="650"/>
        <v>43040</v>
      </c>
      <c r="GJ306" s="521">
        <f t="shared" si="651"/>
        <v>0</v>
      </c>
      <c r="GK306" s="535" t="str">
        <f t="shared" si="750"/>
        <v/>
      </c>
      <c r="GL306" s="535">
        <f t="shared" si="652"/>
        <v>0</v>
      </c>
      <c r="GM306" s="535" t="str">
        <f t="shared" si="653"/>
        <v/>
      </c>
      <c r="GN306" s="535">
        <f>IF(GK306="P",Lookup!$M$12,IF(GK306="PP",Lookup!$M$13,IF(GK306="PPP",Lookup!$M$14,IF(GK306="T",Lookup!$M$15,IF(GK306="TP",Lookup!$M$16,IF(GK306="TPP",Lookup!$M$17,IF(GK306="TPPP",Lookup!$M$18,0)))))))*GJ306</f>
        <v>0</v>
      </c>
      <c r="GO306" s="535">
        <f t="shared" si="654"/>
        <v>0</v>
      </c>
      <c r="GP306" s="535">
        <f t="shared" si="751"/>
        <v>-131.14311688390171</v>
      </c>
      <c r="GQ306" s="974">
        <f t="shared" si="695"/>
        <v>-42.745474864374742</v>
      </c>
      <c r="GR306" s="535"/>
      <c r="GS306" s="535">
        <f t="shared" si="655"/>
        <v>0</v>
      </c>
      <c r="GT306" s="535" t="str">
        <f t="shared" si="656"/>
        <v/>
      </c>
      <c r="GU306" s="535">
        <f>IF(GK306="P",Lookup!$N$12,IF(GK306="PP",Lookup!$N$13,IF(GK306="PPP",Lookup!$N$14,IF(GK306="T",Lookup!$N$15,IF(GK306="TP",Lookup!$N$16,IF(GK306="TPP",Lookup!$N$17,IF(GK306="TPPP",Lookup!$N$18,0)))))))*GJ306</f>
        <v>0</v>
      </c>
      <c r="GV306" s="535">
        <f t="shared" si="657"/>
        <v>0</v>
      </c>
      <c r="GW306" s="535">
        <f t="shared" si="752"/>
        <v>75.425351896064939</v>
      </c>
      <c r="GX306" s="974">
        <f t="shared" si="696"/>
        <v>24.584534516318428</v>
      </c>
      <c r="GY306" s="535"/>
      <c r="GZ306" s="535">
        <f t="shared" si="658"/>
        <v>0</v>
      </c>
      <c r="HA306" s="535" t="str">
        <f t="shared" si="659"/>
        <v/>
      </c>
      <c r="HB306" s="535">
        <f>IF(GK306="P",Lookup!$N$12,IF(GK306="PP",Lookup!$N$13,IF(GK306="PPP",Lookup!$N$14,IF(GK306="T",Lookup!$N$15,IF(GK306="TP",Lookup!$N$16,IF(GK306="TPP",Lookup!$N$17,IF(GK306="TPPP",Lookup!$N$18,0)))))))*GJ306</f>
        <v>0</v>
      </c>
      <c r="HC306" s="521">
        <f t="shared" si="753"/>
        <v>0</v>
      </c>
      <c r="HD306" s="535">
        <f t="shared" si="754"/>
        <v>185.29934696530958</v>
      </c>
      <c r="HE306" s="535">
        <f t="shared" si="662"/>
        <v>60.397440340713686</v>
      </c>
      <c r="HF306" s="535"/>
      <c r="HG306" s="535">
        <f t="shared" si="660"/>
        <v>0</v>
      </c>
      <c r="HH306" s="535" t="str">
        <f t="shared" si="661"/>
        <v/>
      </c>
      <c r="HI306" s="535">
        <f>IF(GK306="P",Lookup!$N$12,IF(GK306="PP",Lookup!$N$13,IF(GK306="PPP",Lookup!$N$14,IF(GK306="T",Lookup!$N$15,IF(GK306="TP",Lookup!$N$16,IF(GK306="TPP",Lookup!$N$17,IF(GK306="TPPP",Lookup!$N$18,0)))))))*GJ306</f>
        <v>0</v>
      </c>
      <c r="HJ306" s="521">
        <f t="shared" si="755"/>
        <v>0</v>
      </c>
      <c r="HK306" s="535">
        <f t="shared" si="756"/>
        <v>110.76302500188079</v>
      </c>
      <c r="HL306" s="535">
        <f t="shared" si="663"/>
        <v>36.102680900221898</v>
      </c>
      <c r="HM306" s="535"/>
      <c r="HN306" s="541"/>
      <c r="HO306" s="541"/>
      <c r="HP306" s="541"/>
      <c r="HQ306" s="541">
        <f>IF(AND(B306&gt;=$FV$4,B306&lt;=$FW$4),MAX(110/1.02+$HQ$6+MIN(113/1.02,G306),IF($HV$6-(Sheet1!DA304-Sheet1!DB304)+MIN(113/1.02,G306)&lt;G306+FL306,$HV$6-(Sheet1!DA304-Sheet1!DB304)+MIN(113/1.02,G306),G306+FL306)),MIN(110/1.02+$HQ$6+113/1.02,G306))</f>
        <v>218.62745098039215</v>
      </c>
      <c r="HR306" s="541">
        <f t="shared" si="679"/>
        <v>223</v>
      </c>
      <c r="HS306" s="541">
        <f>HR306+(Sheet1!DA304-Sheet1!DB304)</f>
        <v>1683</v>
      </c>
      <c r="HT306" s="541">
        <f t="shared" si="680"/>
        <v>0</v>
      </c>
      <c r="HU306" s="541">
        <f t="shared" si="681"/>
        <v>1683</v>
      </c>
      <c r="HV306" s="541">
        <f t="shared" si="682"/>
        <v>0</v>
      </c>
      <c r="HW306" s="533" t="str">
        <f t="shared" si="683"/>
        <v/>
      </c>
      <c r="HX306" s="541">
        <f t="shared" si="684"/>
        <v>4461.4463803210683</v>
      </c>
      <c r="HY306" s="541">
        <f>Sheet1!CZ304</f>
        <v>4730</v>
      </c>
      <c r="HZ306" s="541">
        <f t="shared" si="685"/>
        <v>49.926168698539165</v>
      </c>
      <c r="IA306" s="541">
        <f t="shared" si="686"/>
        <v>0</v>
      </c>
      <c r="IB306" s="541">
        <f t="shared" si="687"/>
        <v>4680.0738313014608</v>
      </c>
      <c r="IC306" s="1019" t="str">
        <f t="shared" si="688"/>
        <v/>
      </c>
      <c r="ID306" s="541">
        <f t="shared" si="689"/>
        <v>4680.0738313014608</v>
      </c>
      <c r="IE306" s="541">
        <f>Sheet1!DB304</f>
        <v>3970</v>
      </c>
      <c r="IF306" s="533">
        <f>Sheet1!DA304</f>
        <v>5430</v>
      </c>
      <c r="IH306" s="541">
        <f>IF(AND($B306&gt;=$GC306,$B306&lt;=$GH306,$DR306&lt;0)+N("only adjusted when pool is drawn down during storage season"),Sheet1!$DB304+$DR306+N("Palmer minus all storage release"),Sheet1!$DB304)</f>
        <v>3970</v>
      </c>
      <c r="II306" s="541">
        <f>IF(AND($B306&gt;=$GC306,$B306&lt;=$GH306,$DR306&lt;0)+N("only adjusted when pool is drawn down during storage season"),Sheet1!$DA304+$DR306+N("Auburn minus all storage release"),Sheet1!$DA304)</f>
        <v>5430</v>
      </c>
    </row>
    <row r="307" spans="1:243" x14ac:dyDescent="0.25">
      <c r="A307" s="553" t="s">
        <v>4</v>
      </c>
      <c r="B307" s="531">
        <v>43031</v>
      </c>
      <c r="C307" s="536">
        <v>0</v>
      </c>
      <c r="D307" s="506">
        <f t="shared" si="633"/>
        <v>300</v>
      </c>
      <c r="E307" s="506">
        <f t="shared" si="634"/>
        <v>250</v>
      </c>
      <c r="F307" s="506">
        <v>250</v>
      </c>
      <c r="G307" s="535">
        <f>DR307+Sheet1!CZ305</f>
        <v>3286.7322239001551</v>
      </c>
      <c r="H307" s="1074">
        <f t="shared" si="690"/>
        <v>1992.0966533370602</v>
      </c>
      <c r="I307" s="534">
        <f>IF(Sheet1!DA305&gt;=E307,(Sheet1!DA305-E307+P307)*CFStoMGD,0)</f>
        <v>3162.9001438079999</v>
      </c>
      <c r="J307" s="995">
        <f>IF(Sheet1!DB305&gt;=D307,(Sheet1!DB305-D307+P307)*CFStoMGD,0)</f>
        <v>2666.464943808</v>
      </c>
      <c r="K307" s="818">
        <f t="shared" si="665"/>
        <v>64.64</v>
      </c>
      <c r="L307" s="535">
        <f>Sheet1!AA305+Sheet1!AB305-Sheet1!L305+(Sheet1!DA305-F307)*CFStoMGD-S307-T307-U307</f>
        <v>3104.7337092250928</v>
      </c>
      <c r="M307" s="535">
        <f t="shared" si="697"/>
        <v>2167.0345837196414</v>
      </c>
      <c r="N307" s="824">
        <f>IF(Sheet1!DA305&gt;=F307,MIN(113*CFStoMGD,MIN(MAX(L307,0),MAX(M307,0))),0)</f>
        <v>73.043199999999999</v>
      </c>
      <c r="O307" s="538">
        <f>Sheet1!AA305+Sheet1!AB305</f>
        <v>55.010000000000005</v>
      </c>
      <c r="P307" s="538">
        <f t="shared" si="698"/>
        <v>85.100470000000001</v>
      </c>
      <c r="Q307" s="812">
        <f t="shared" si="666"/>
        <v>0</v>
      </c>
      <c r="R307" s="812">
        <f t="shared" si="635"/>
        <v>13</v>
      </c>
      <c r="S307" s="1115">
        <f t="shared" si="757"/>
        <v>12.757490774907751</v>
      </c>
      <c r="T307" s="812">
        <f t="shared" si="637"/>
        <v>0</v>
      </c>
      <c r="U307" s="812">
        <f>IF(AND(B307&gt;=FV307,B307&lt;=FW307),ED307+Sheet1!EH305,0)</f>
        <v>0</v>
      </c>
      <c r="V307" s="812"/>
      <c r="W307" s="812">
        <f t="shared" si="638"/>
        <v>51.882509225092249</v>
      </c>
      <c r="X307" s="812">
        <f t="shared" si="639"/>
        <v>12.757490774907751</v>
      </c>
      <c r="Y307" s="812" t="str">
        <f t="shared" si="640"/>
        <v/>
      </c>
      <c r="Z307" s="812">
        <f t="shared" si="641"/>
        <v>55.010000000000005</v>
      </c>
      <c r="AA307" s="812">
        <f t="shared" si="642"/>
        <v>12.757490774907751</v>
      </c>
      <c r="AB307" s="1059">
        <f t="shared" si="667"/>
        <v>0</v>
      </c>
      <c r="AC307" s="538">
        <f>Sheet1!Y305*MGDtoCFS</f>
        <v>43.315999999999995</v>
      </c>
      <c r="AD307" s="538">
        <f>Sheet1!Z305*MGDtoCFS</f>
        <v>46.51829</v>
      </c>
      <c r="AE307" s="538">
        <f>Sheet1!AA305*MGDtoCFS</f>
        <v>43.315999999999995</v>
      </c>
      <c r="AF307" s="538">
        <f>Sheet1!AB305*MGDtoCFS</f>
        <v>41.784469999999999</v>
      </c>
      <c r="AG307" s="538">
        <f>Sheet1!L305*MGDtoCFS</f>
        <v>70.249269999999768</v>
      </c>
      <c r="AH307" s="521">
        <f t="shared" si="699"/>
        <v>29.495018450184503</v>
      </c>
      <c r="AI307" s="1059">
        <f t="shared" si="700"/>
        <v>45.628793542435425</v>
      </c>
      <c r="AJ307" s="535">
        <f t="shared" si="701"/>
        <v>0</v>
      </c>
      <c r="AK307" s="535">
        <f t="shared" si="702"/>
        <v>0</v>
      </c>
      <c r="AL307" s="535">
        <f>(VLOOKUP(Sheet1!DC305,hhdcap_wcm,4)-(((VLOOKUP(Sheet1!DC305,hhdcap_wcm,3)-Sheet1!DC305)/(VLOOKUP(Sheet1!DC305,hhdcap_wcm,3)-VLOOKUP(Sheet1!DC305,hhdcap_wcm,1)))*(VLOOKUP(Sheet1!DC305,hhdcap_wcm,4)-VLOOKUP(Sheet1!DC305,hhdcap_wcm,2))))</f>
        <v>13875.000000032969</v>
      </c>
      <c r="AM307" s="535">
        <f t="shared" si="703"/>
        <v>-2068.8000000059928</v>
      </c>
      <c r="AN307" s="1035">
        <f t="shared" si="704"/>
        <v>48.844162442694767</v>
      </c>
      <c r="AO307" s="535">
        <f t="shared" si="705"/>
        <v>149.85389037418756</v>
      </c>
      <c r="AP307" s="535">
        <f>Sheet1!BA305+Sheet1!BB305+Sheet1!BN305+CD307</f>
        <v>14.3</v>
      </c>
      <c r="AQ307" s="535">
        <f>Sheet1!BN305+(DO307*Sheet1!BN305)</f>
        <v>14.252509225092252</v>
      </c>
      <c r="AR307" s="535">
        <f>Sheet1!BA305+CD307</f>
        <v>0</v>
      </c>
      <c r="AS307" s="535">
        <f>Sheet1!BA305+Sheet1!BB305+CD307</f>
        <v>0</v>
      </c>
      <c r="AT307" s="649">
        <f>0</f>
        <v>0</v>
      </c>
      <c r="AU307" s="974">
        <f>BA307+MAX(Sheet1!EH305,(O307-Q307-ED307-S307))</f>
        <v>29.495018450184503</v>
      </c>
      <c r="AV307" s="535">
        <f>IF(OR(B307&gt;=GD307,B307&lt;GC307),0,15/36*K307-MAX(0,64.6-(137.6-(Sheet1!AA305+Sheet1!AB305))))</f>
        <v>0</v>
      </c>
      <c r="AW307" s="1029"/>
      <c r="AX307" s="649"/>
      <c r="AY307" s="649">
        <f t="shared" si="668"/>
        <v>23.311716569431731</v>
      </c>
      <c r="AZ307" s="649">
        <f t="shared" si="669"/>
        <v>0</v>
      </c>
      <c r="BA307" s="1059">
        <f t="shared" si="670"/>
        <v>0</v>
      </c>
      <c r="BB307" s="1019">
        <f t="shared" si="706"/>
        <v>-72.240493314559245</v>
      </c>
      <c r="BC307" s="1041">
        <f t="shared" si="671"/>
        <v>26.933333333333334</v>
      </c>
      <c r="BD307" s="1019">
        <f ca="1">IF(B307&gt;(Summary!$A$1-1),#N/A,BB307*MGtoAF)</f>
        <v>-221.63383348906777</v>
      </c>
      <c r="BE307" s="535">
        <f>Sheet1!BG305+Sheet1!BH305+Sheet1!BI305-BM307</f>
        <v>3.25</v>
      </c>
      <c r="BF307" s="535">
        <f t="shared" si="707"/>
        <v>3.2392066420664207</v>
      </c>
      <c r="BG307" s="535">
        <f>IF(Sheet1!EP305="FM",BM307,0)</f>
        <v>0</v>
      </c>
      <c r="BH307" s="535">
        <f t="shared" si="708"/>
        <v>0</v>
      </c>
      <c r="BI307" s="535">
        <f>IF(Sheet1!EP305="OTHER",BM307,0)</f>
        <v>0</v>
      </c>
      <c r="BJ307" s="535">
        <f t="shared" si="709"/>
        <v>0</v>
      </c>
      <c r="BK307" s="535">
        <f t="shared" si="710"/>
        <v>3.25</v>
      </c>
      <c r="BL307" s="535">
        <f t="shared" si="711"/>
        <v>3.2392066420664207</v>
      </c>
      <c r="BM307" s="535">
        <f>IF(OR(Sheet1!EP305="FM", Sheet1!EP305="OTHER"),SUM(Sheet1!BG305:'Sheet1'!BI305),0)</f>
        <v>0</v>
      </c>
      <c r="BN307" s="1115">
        <v>0</v>
      </c>
      <c r="BO307" s="535">
        <f t="shared" si="712"/>
        <v>0</v>
      </c>
      <c r="BP307" s="521">
        <f t="shared" si="713"/>
        <v>3.2392066420664207</v>
      </c>
      <c r="BQ307" s="521">
        <f>IF(AND($O307&gt;0,Sheet1!EM305=1),(1-($O307-Sheet1!$L305)/$O307)*BL307,0)</f>
        <v>0</v>
      </c>
      <c r="BR307" s="521">
        <f>IF(AND(Sheet1!$L305=0,Sheet1!$L304=0, Calculation!BK307&lt;Sheet1!$EI305-0.1,Sheet1!$EI305=Sheet1!$EI304,Sheet1!$EI305=Sheet1!$EI306),BL307-BQ307,BL307-BQ307)</f>
        <v>3.2392066420664207</v>
      </c>
      <c r="BS307" s="1035" t="str">
        <f t="shared" si="672"/>
        <v/>
      </c>
      <c r="BT307" s="1035">
        <f t="shared" si="673"/>
        <v>12.568888888888889</v>
      </c>
      <c r="BU307" s="535">
        <f t="shared" si="714"/>
        <v>24.584534516318428</v>
      </c>
      <c r="BV307" s="535"/>
      <c r="BW307" s="535">
        <f ca="1">IF(B307&gt;(Summary!$A$1-1),#N/A,BU307*MGtoAF)</f>
        <v>75.425351896064939</v>
      </c>
      <c r="BX307" s="535">
        <f>Sheet1!BC305+Sheet1!BD305+Sheet1!BE305+Sheet1!BF305-CG307-CH307</f>
        <v>2.99</v>
      </c>
      <c r="BY307" s="535">
        <f t="shared" si="715"/>
        <v>2.9800701107011074</v>
      </c>
      <c r="BZ307" s="535">
        <f>IF(Sheet1!EQ305="FM",CH307,0)</f>
        <v>0</v>
      </c>
      <c r="CA307" s="535">
        <f t="shared" si="716"/>
        <v>0</v>
      </c>
      <c r="CB307" s="535">
        <f>IF(Sheet1!EQ305="OTHER",CH307,0)</f>
        <v>0</v>
      </c>
      <c r="CC307" s="535">
        <f t="shared" si="717"/>
        <v>0</v>
      </c>
      <c r="CD307" s="535">
        <f t="shared" si="718"/>
        <v>0</v>
      </c>
      <c r="CE307" s="535">
        <f t="shared" si="719"/>
        <v>2.99</v>
      </c>
      <c r="CF307" s="535">
        <f t="shared" si="720"/>
        <v>2.9800701107011074</v>
      </c>
      <c r="CG307" s="535">
        <f>IF(Sheet1!EQ305="CWA",SUM(Sheet1!BC305:'Sheet1'!BF305),0)</f>
        <v>0</v>
      </c>
      <c r="CH307" s="535">
        <f>IF(OR(Sheet1!EQ305="FM", Sheet1!EQ305="OTHER"),SUM(Sheet1!BC305:'Sheet1'!BF305),0)</f>
        <v>0</v>
      </c>
      <c r="CI307" s="1115">
        <v>0</v>
      </c>
      <c r="CJ307" s="535">
        <f t="shared" si="721"/>
        <v>0</v>
      </c>
      <c r="CK307" s="521">
        <f t="shared" si="722"/>
        <v>2.9800701107011074</v>
      </c>
      <c r="CL307" s="521">
        <f>IF(AND($O307&gt;0,Sheet1!EN305=1),(1-($O307-Sheet1!$L305)/$O307)*CF307,0)</f>
        <v>0</v>
      </c>
      <c r="CM307" s="521">
        <f>IF(AND(Sheet1!$L305=0,Sheet1!$L304=0, Calculation!CE307&lt;Sheet1!EJ305-0.1,Sheet1!EJ305=Sheet1!EJ304,Sheet1!EJ305=Sheet1!EJ306),CF307-CL307,CF307-CL307)</f>
        <v>2.9800701107011074</v>
      </c>
      <c r="CN307" s="1040" t="str">
        <f t="shared" si="674"/>
        <v/>
      </c>
      <c r="CO307" s="1035">
        <f t="shared" si="675"/>
        <v>12.568888888888889</v>
      </c>
      <c r="CP307" s="535">
        <f t="shared" si="723"/>
        <v>60.397440340713686</v>
      </c>
      <c r="CQ307" s="535"/>
      <c r="CR307" s="535">
        <f ca="1">IF(B307&gt;(Summary!$A$1-1),#N/A,CP307*MGtoAF)</f>
        <v>185.29934696530958</v>
      </c>
      <c r="CS307" s="535">
        <f>Sheet1!BK305+Sheet1!BL305+Sheet1!BM305-Sheet1!ER305-DA307</f>
        <v>6.5600000000000005</v>
      </c>
      <c r="CT307" s="535">
        <f t="shared" si="724"/>
        <v>6.5382140221402221</v>
      </c>
      <c r="CU307" s="535">
        <f>IF(Sheet1!ER305="FM",DA307,0)</f>
        <v>0</v>
      </c>
      <c r="CV307" s="535">
        <f t="shared" si="725"/>
        <v>0</v>
      </c>
      <c r="CW307" s="535">
        <f>IF(Sheet1!ER305="OTHER",DA307,0)</f>
        <v>0</v>
      </c>
      <c r="CX307" s="535">
        <f t="shared" si="726"/>
        <v>0</v>
      </c>
      <c r="CY307" s="535">
        <f t="shared" si="727"/>
        <v>6.5600000000000005</v>
      </c>
      <c r="CZ307" s="535">
        <f t="shared" si="728"/>
        <v>6.5382140221402221</v>
      </c>
      <c r="DA307" s="535">
        <f>IF(OR(Sheet1!ER305="FM", Sheet1!ER305="OTHER"),SUM(Sheet1!BK305:'Sheet1'!BM305),0)</f>
        <v>0</v>
      </c>
      <c r="DB307" s="1115">
        <v>0</v>
      </c>
      <c r="DC307" s="1012">
        <f t="shared" si="729"/>
        <v>0</v>
      </c>
      <c r="DD307" s="1011">
        <f t="shared" si="730"/>
        <v>6.5382140221402221</v>
      </c>
      <c r="DE307" s="521">
        <f>IF(AND($O307&gt;0,Sheet1!EO305=1),(1-($O307-Sheet1!$L305)/$O307)*CZ307,0)</f>
        <v>0</v>
      </c>
      <c r="DF307" s="521">
        <f>IF(AND(Sheet1!$L305=0,Sheet1!$L304=0, Calculation!CY307&lt;Sheet1!$EK305-0.1,Sheet1!$EK305=Sheet1!$EK304,Sheet1!$EK305=Sheet1!$EK306),CZ307-DE307,CZ307-DE307)</f>
        <v>6.5382140221402221</v>
      </c>
      <c r="DG307" s="1040">
        <f t="shared" si="676"/>
        <v>12.568888888888889</v>
      </c>
      <c r="DH307" s="649">
        <f t="shared" si="731"/>
        <v>12.8</v>
      </c>
      <c r="DI307" s="535">
        <f t="shared" si="732"/>
        <v>36.102680900221898</v>
      </c>
      <c r="DJ307" s="649">
        <f t="shared" si="733"/>
        <v>12.757490774907751</v>
      </c>
      <c r="DK307" s="535">
        <f ca="1">IF(B307&gt;(Summary!$A$1-1),#N/A,DI307*MGtoAF)</f>
        <v>110.76302500188079</v>
      </c>
      <c r="DL307" s="649">
        <f>CY307+CE307+BK307</f>
        <v>12.8</v>
      </c>
      <c r="DM307" s="535">
        <f t="shared" si="735"/>
        <v>27.1</v>
      </c>
      <c r="DN307" s="535">
        <f>Sheet1!AB305-DM307</f>
        <v>-8.9999999999999858E-2</v>
      </c>
      <c r="DO307" s="743">
        <f t="shared" si="736"/>
        <v>-3.3210332103320978E-3</v>
      </c>
      <c r="DP307" s="535">
        <f>(VLOOKUP(Sheet1!DC305,hhdcap_wcm,4)-(((VLOOKUP(Sheet1!DC305,hhdcap_wcm,3)-Sheet1!DC305)/(VLOOKUP(Sheet1!DC305,hhdcap_wcm,3)-VLOOKUP(Sheet1!DC305,hhdcap_wcm,1)))*(VLOOKUP(Sheet1!DC305,hhdcap_wcm,4)-VLOOKUP(Sheet1!DC305,hhdcap_wcm,2))))</f>
        <v>13875.000000032969</v>
      </c>
      <c r="DQ307" s="535">
        <f t="shared" si="737"/>
        <v>-2068.8000000059928</v>
      </c>
      <c r="DR307" s="535">
        <f t="shared" si="738"/>
        <v>-1043.2677760998449</v>
      </c>
      <c r="DS307" s="535">
        <f>Sheet1!EA305*AFtoMG</f>
        <v>0</v>
      </c>
      <c r="DT307" s="535">
        <f>Sheet1!EB305*AFtoMG</f>
        <v>0</v>
      </c>
      <c r="DU307" s="535">
        <f>Sheet1!EC305*AFtoMG</f>
        <v>0</v>
      </c>
      <c r="DV307" s="535">
        <f>Sheet1!ED305*AFtoMG</f>
        <v>0</v>
      </c>
      <c r="DW307" s="535">
        <f t="shared" si="739"/>
        <v>0</v>
      </c>
      <c r="DX307" s="535">
        <f t="shared" si="740"/>
        <v>0</v>
      </c>
      <c r="DY307" s="535">
        <f t="shared" si="741"/>
        <v>48.844162442694767</v>
      </c>
      <c r="DZ307" s="535">
        <f t="shared" si="742"/>
        <v>149.85389037418756</v>
      </c>
      <c r="EA307" s="535"/>
      <c r="EB307" s="521">
        <f>IF(OR(B307&lt;FV307,B307&gt;FW307),(MIN(BF307+BY307+CT307+MAX(Sheet1!AA305+AQ307-73,0),K307)),0)</f>
        <v>12.757490774907751</v>
      </c>
      <c r="EC307" s="535"/>
      <c r="ED307" s="535">
        <f t="shared" si="743"/>
        <v>12.757490774907751</v>
      </c>
      <c r="EE307" s="535"/>
      <c r="EF307" s="535">
        <f>Sheet1!EH305+Sheet1!EI305+Sheet1!EJ305+Sheet1!EK305</f>
        <v>13</v>
      </c>
      <c r="EG307" s="1019">
        <f t="shared" si="677"/>
        <v>20.111000000000001</v>
      </c>
      <c r="EH307" s="521">
        <f t="shared" si="744"/>
        <v>0</v>
      </c>
      <c r="EI307" s="535">
        <f>IF(Sheet1!ET305=1,SUM('Calculations II'!AT307:BA307)+'Calculations II'!BC307+Sheet1!BV305+'Calculations II'!BE307+AP307,'Calculations II'!BK307)</f>
        <v>46.68862322509225</v>
      </c>
      <c r="EJ307" s="535">
        <f ca="1">EI307+'Calculations II'!D307+'Calculations II'!E307+'Calculations II'!O307</f>
        <v>41.34656244661052</v>
      </c>
      <c r="EK307" s="535"/>
      <c r="EL307" s="535"/>
      <c r="EM307" s="535">
        <f t="shared" si="745"/>
        <v>43031</v>
      </c>
      <c r="EN307" s="535">
        <f t="shared" si="746"/>
        <v>-29.495018450184503</v>
      </c>
      <c r="EO307" s="535">
        <f t="shared" si="747"/>
        <v>-45.628793542435425</v>
      </c>
      <c r="EP307" s="535">
        <v>0</v>
      </c>
      <c r="EQ307" s="535">
        <v>0</v>
      </c>
      <c r="ER307" s="535">
        <v>0</v>
      </c>
      <c r="ES307" s="521">
        <f t="shared" si="643"/>
        <v>4.9869516545472443</v>
      </c>
      <c r="ET307" s="535">
        <f>-(VLOOKUP(Sheet1!BQ305,Lookup!$O$4:$Q$262,2)-VLOOKUP(Sheet1!BQ304,Lookup!$O$4:$Q$262,2))/1000000</f>
        <v>2.4930143631210289</v>
      </c>
      <c r="EU307" s="535">
        <f>-(VLOOKUP(Sheet1!BR305,Lookup!$O$4:$Q$262,3)-VLOOKUP(Sheet1!BR304,Lookup!$O$4:$Q$262,3))/1000000</f>
        <v>2.4939372914262155</v>
      </c>
      <c r="EV307" s="535"/>
      <c r="EW307" s="535"/>
      <c r="EX307" s="535"/>
      <c r="EY307" s="535"/>
      <c r="EZ307" s="535"/>
      <c r="FA307" s="535"/>
      <c r="FB307" s="535"/>
      <c r="FC307" s="535"/>
      <c r="FD307" s="567">
        <f t="shared" si="693"/>
        <v>1099.4759999999569</v>
      </c>
      <c r="FE307" s="567" t="e">
        <f t="shared" si="748"/>
        <v>#N/A</v>
      </c>
      <c r="FF307" s="568" t="e">
        <f t="shared" si="749"/>
        <v>#N/A</v>
      </c>
      <c r="FG307" s="569" t="s">
        <v>656</v>
      </c>
      <c r="FH307" s="569" t="s">
        <v>656</v>
      </c>
      <c r="FI307" s="567" t="e">
        <v>#N/A</v>
      </c>
      <c r="FJ307" s="725">
        <v>4587</v>
      </c>
      <c r="FK307" s="535"/>
      <c r="FL307" s="1015">
        <f t="shared" si="692"/>
        <v>105.90015128593041</v>
      </c>
      <c r="FM307" s="535"/>
      <c r="FN307" s="535"/>
      <c r="FO307" s="535">
        <f>O307+((Sheet1!CS305)*GPMtoMGD)</f>
        <v>55.010000000000005</v>
      </c>
      <c r="FP307" s="535">
        <f>IF(Sheet1!AA305+AQ307&lt;=Calculation!N307,AQ307,Calculation!N307-Sheet1!AA305)</f>
        <v>14.252509225092252</v>
      </c>
      <c r="FQ307" s="535">
        <f>(Sheet1!BP305+Sheet1!BO305)/694.4</f>
        <v>1.8711117511520736</v>
      </c>
      <c r="FR307" s="541"/>
      <c r="FS307" s="541"/>
      <c r="FT307" s="541"/>
      <c r="FU307" s="541"/>
      <c r="FV307" s="1109">
        <f t="shared" si="644"/>
        <v>42918</v>
      </c>
      <c r="FW307" s="1109">
        <f t="shared" si="645"/>
        <v>43027</v>
      </c>
      <c r="FX307" s="541"/>
      <c r="FY307" s="541">
        <f>Sheet1!DA305-Sheet1!CZ305-Sheet1!AE305</f>
        <v>713.14879999999971</v>
      </c>
      <c r="FZ307" s="535">
        <f t="shared" si="678"/>
        <v>0.21697806557351715</v>
      </c>
      <c r="GA307" s="535"/>
      <c r="GB307" s="535" t="str">
        <f t="shared" si="646"/>
        <v>n</v>
      </c>
      <c r="GC307" s="539">
        <f t="shared" si="647"/>
        <v>42782</v>
      </c>
      <c r="GD307" s="1109">
        <f t="shared" si="648"/>
        <v>42904</v>
      </c>
      <c r="GE307" s="535">
        <f t="shared" si="664"/>
        <v>6520</v>
      </c>
      <c r="GF307" s="1109">
        <f t="shared" si="649"/>
        <v>42909</v>
      </c>
      <c r="GG307" s="535">
        <f t="shared" si="691"/>
        <v>3260</v>
      </c>
      <c r="GH307" s="539">
        <f t="shared" si="650"/>
        <v>43040</v>
      </c>
      <c r="GJ307" s="521">
        <f t="shared" si="651"/>
        <v>0</v>
      </c>
      <c r="GK307" s="535" t="str">
        <f t="shared" si="750"/>
        <v/>
      </c>
      <c r="GL307" s="535">
        <f t="shared" si="652"/>
        <v>0</v>
      </c>
      <c r="GM307" s="535" t="str">
        <f t="shared" si="653"/>
        <v/>
      </c>
      <c r="GN307" s="535">
        <f>IF(GK307="P",Lookup!$M$12,IF(GK307="PP",Lookup!$M$13,IF(GK307="PPP",Lookup!$M$14,IF(GK307="T",Lookup!$M$15,IF(GK307="TP",Lookup!$M$16,IF(GK307="TPP",Lookup!$M$17,IF(GK307="TPPP",Lookup!$M$18,0)))))))*GJ307</f>
        <v>0</v>
      </c>
      <c r="GO307" s="535">
        <f t="shared" si="654"/>
        <v>0</v>
      </c>
      <c r="GP307" s="535">
        <f t="shared" si="751"/>
        <v>-221.63383348906777</v>
      </c>
      <c r="GQ307" s="974">
        <f t="shared" si="695"/>
        <v>-72.240493314559245</v>
      </c>
      <c r="GR307" s="535"/>
      <c r="GS307" s="535">
        <f t="shared" si="655"/>
        <v>0</v>
      </c>
      <c r="GT307" s="535" t="str">
        <f t="shared" si="656"/>
        <v/>
      </c>
      <c r="GU307" s="535">
        <f>IF(GK307="P",Lookup!$N$12,IF(GK307="PP",Lookup!$N$13,IF(GK307="PPP",Lookup!$N$14,IF(GK307="T",Lookup!$N$15,IF(GK307="TP",Lookup!$N$16,IF(GK307="TPP",Lookup!$N$17,IF(GK307="TPPP",Lookup!$N$18,0)))))))*GJ307</f>
        <v>0</v>
      </c>
      <c r="GV307" s="535">
        <f t="shared" si="657"/>
        <v>0</v>
      </c>
      <c r="GW307" s="535">
        <f t="shared" si="752"/>
        <v>75.425351896064939</v>
      </c>
      <c r="GX307" s="974">
        <f t="shared" si="696"/>
        <v>24.584534516318428</v>
      </c>
      <c r="GY307" s="535"/>
      <c r="GZ307" s="535">
        <f t="shared" si="658"/>
        <v>0</v>
      </c>
      <c r="HA307" s="535" t="str">
        <f t="shared" si="659"/>
        <v/>
      </c>
      <c r="HB307" s="535">
        <f>IF(GK307="P",Lookup!$N$12,IF(GK307="PP",Lookup!$N$13,IF(GK307="PPP",Lookup!$N$14,IF(GK307="T",Lookup!$N$15,IF(GK307="TP",Lookup!$N$16,IF(GK307="TPP",Lookup!$N$17,IF(GK307="TPPP",Lookup!$N$18,0)))))))*GJ307</f>
        <v>0</v>
      </c>
      <c r="HC307" s="521">
        <f t="shared" si="753"/>
        <v>0</v>
      </c>
      <c r="HD307" s="535">
        <f t="shared" si="754"/>
        <v>185.29934696530958</v>
      </c>
      <c r="HE307" s="535">
        <f t="shared" si="662"/>
        <v>60.397440340713686</v>
      </c>
      <c r="HF307" s="535"/>
      <c r="HG307" s="535">
        <f t="shared" si="660"/>
        <v>0</v>
      </c>
      <c r="HH307" s="535" t="str">
        <f t="shared" si="661"/>
        <v/>
      </c>
      <c r="HI307" s="535">
        <f>IF(GK307="P",Lookup!$N$12,IF(GK307="PP",Lookup!$N$13,IF(GK307="PPP",Lookup!$N$14,IF(GK307="T",Lookup!$N$15,IF(GK307="TP",Lookup!$N$16,IF(GK307="TPP",Lookup!$N$17,IF(GK307="TPPP",Lookup!$N$18,0)))))))*GJ307</f>
        <v>0</v>
      </c>
      <c r="HJ307" s="521">
        <f t="shared" si="755"/>
        <v>0</v>
      </c>
      <c r="HK307" s="535">
        <f t="shared" si="756"/>
        <v>110.76302500188079</v>
      </c>
      <c r="HL307" s="535">
        <f t="shared" si="663"/>
        <v>36.102680900221898</v>
      </c>
      <c r="HM307" s="535"/>
      <c r="HN307" s="541"/>
      <c r="HO307" s="541"/>
      <c r="HP307" s="541"/>
      <c r="HQ307" s="541">
        <f>IF(AND(B307&gt;=$FV$4,B307&lt;=$FW$4),MAX(110/1.02+$HQ$6+MIN(113/1.02,G307),IF($HV$6-(Sheet1!DA305-Sheet1!DB305)+MIN(113/1.02,G307)&lt;G307+FL307,$HV$6-(Sheet1!DA305-Sheet1!DB305)+MIN(113/1.02,G307),G307+FL307)),MIN(110/1.02+$HQ$6+113/1.02,G307))</f>
        <v>218.62745098039215</v>
      </c>
      <c r="HR307" s="541">
        <f t="shared" si="679"/>
        <v>223</v>
      </c>
      <c r="HS307" s="541">
        <f>HR307+(Sheet1!DA305-Sheet1!DB305)</f>
        <v>941</v>
      </c>
      <c r="HT307" s="541">
        <f t="shared" si="680"/>
        <v>0</v>
      </c>
      <c r="HU307" s="541">
        <f t="shared" si="681"/>
        <v>941</v>
      </c>
      <c r="HV307" s="541">
        <f t="shared" si="682"/>
        <v>0</v>
      </c>
      <c r="HW307" s="533" t="str">
        <f t="shared" si="683"/>
        <v/>
      </c>
      <c r="HX307" s="541">
        <f t="shared" si="684"/>
        <v>4065.7437554771727</v>
      </c>
      <c r="HY307" s="541">
        <f>Sheet1!CZ305</f>
        <v>4330</v>
      </c>
      <c r="HZ307" s="541">
        <f t="shared" si="685"/>
        <v>45.628793542435425</v>
      </c>
      <c r="IA307" s="541">
        <f t="shared" si="686"/>
        <v>0</v>
      </c>
      <c r="IB307" s="541">
        <f t="shared" si="687"/>
        <v>4284.3712064575648</v>
      </c>
      <c r="IC307" s="1019" t="str">
        <f t="shared" si="688"/>
        <v/>
      </c>
      <c r="ID307" s="541">
        <f t="shared" si="689"/>
        <v>4284.3712064575648</v>
      </c>
      <c r="IE307" s="541">
        <f>Sheet1!DB305</f>
        <v>4340</v>
      </c>
      <c r="IF307" s="533">
        <f>Sheet1!DA305</f>
        <v>5058</v>
      </c>
      <c r="IH307" s="541">
        <f>IF(AND($B307&gt;=$GC307,$B307&lt;=$GH307,$DR307&lt;0)+N("only adjusted when pool is drawn down during storage season"),Sheet1!$DB305+$DR307+N("Palmer minus all storage release"),Sheet1!$DB305)</f>
        <v>3296.7322239001551</v>
      </c>
      <c r="II307" s="541">
        <f>IF(AND($B307&gt;=$GC307,$B307&lt;=$GH307,$DR307&lt;0)+N("only adjusted when pool is drawn down during storage season"),Sheet1!$DA305+$DR307+N("Auburn minus all storage release"),Sheet1!$DA305)</f>
        <v>4014.7322239001551</v>
      </c>
    </row>
    <row r="308" spans="1:243" x14ac:dyDescent="0.25">
      <c r="A308" s="553" t="s">
        <v>5</v>
      </c>
      <c r="B308" s="531">
        <v>43032</v>
      </c>
      <c r="C308" s="536">
        <v>0</v>
      </c>
      <c r="D308" s="506">
        <f t="shared" si="633"/>
        <v>300</v>
      </c>
      <c r="E308" s="506">
        <f t="shared" si="634"/>
        <v>250</v>
      </c>
      <c r="F308" s="506">
        <v>250</v>
      </c>
      <c r="G308" s="535">
        <f>DR308+Sheet1!CZ306</f>
        <v>1474.7655068023516</v>
      </c>
      <c r="H308" s="1074">
        <f t="shared" si="690"/>
        <v>174.43136759704007</v>
      </c>
      <c r="I308" s="534">
        <f>IF(Sheet1!DA306&gt;=E308,(Sheet1!DA306-E308+P308)*CFStoMGD,0)</f>
        <v>1709.782944</v>
      </c>
      <c r="J308" s="995">
        <f>IF(Sheet1!DB306&gt;=D308,(Sheet1!DB306-D308+P308)*CFStoMGD,0)</f>
        <v>1431.830944</v>
      </c>
      <c r="K308" s="818">
        <f t="shared" si="665"/>
        <v>64.64</v>
      </c>
      <c r="L308" s="535">
        <f>Sheet1!AA306+Sheet1!AB306-Sheet1!L306+(Sheet1!DA306-F308)*CFStoMGD-S308-T308-U308</f>
        <v>1661.7806297117525</v>
      </c>
      <c r="M308" s="535">
        <f t="shared" si="697"/>
        <v>972.35419206898098</v>
      </c>
      <c r="N308" s="824">
        <f>IF(Sheet1!DA306&gt;=F308,MIN(113*CFStoMGD,MIN(MAX(L308,0),MAX(M308,0))),0)</f>
        <v>73.043199999999999</v>
      </c>
      <c r="O308" s="538">
        <f>Sheet1!AA306+Sheet1!AB306</f>
        <v>55</v>
      </c>
      <c r="P308" s="538">
        <f t="shared" si="698"/>
        <v>85.084999999999994</v>
      </c>
      <c r="Q308" s="812">
        <f t="shared" si="666"/>
        <v>0</v>
      </c>
      <c r="R308" s="812">
        <f t="shared" si="635"/>
        <v>13</v>
      </c>
      <c r="S308" s="1115">
        <f t="shared" si="757"/>
        <v>12.883370288248337</v>
      </c>
      <c r="T308" s="812">
        <f t="shared" si="637"/>
        <v>0</v>
      </c>
      <c r="U308" s="812">
        <f>IF(AND(B308&gt;=FV308,B308&lt;=FW308),ED308+Sheet1!EH306,0)</f>
        <v>0</v>
      </c>
      <c r="V308" s="812"/>
      <c r="W308" s="812">
        <f t="shared" si="638"/>
        <v>51.756629711751664</v>
      </c>
      <c r="X308" s="812">
        <f t="shared" si="639"/>
        <v>12.883370288248337</v>
      </c>
      <c r="Y308" s="812" t="str">
        <f t="shared" si="640"/>
        <v/>
      </c>
      <c r="Z308" s="812">
        <f t="shared" si="641"/>
        <v>55</v>
      </c>
      <c r="AA308" s="812">
        <f t="shared" si="642"/>
        <v>12.883370288248337</v>
      </c>
      <c r="AB308" s="1059">
        <f t="shared" si="667"/>
        <v>0</v>
      </c>
      <c r="AC308" s="538">
        <f>Sheet1!Y306*MGDtoCFS</f>
        <v>43.315999999999995</v>
      </c>
      <c r="AD308" s="538">
        <f>Sheet1!Z306*MGDtoCFS</f>
        <v>41.660709999999995</v>
      </c>
      <c r="AE308" s="538">
        <f>Sheet1!AA306*MGDtoCFS</f>
        <v>43.470700000000001</v>
      </c>
      <c r="AF308" s="538">
        <f>Sheet1!AB306*MGDtoCFS</f>
        <v>41.614299999999993</v>
      </c>
      <c r="AG308" s="538">
        <f>Sheet1!L306*MGDtoCFS</f>
        <v>54.330639999998425</v>
      </c>
      <c r="AH308" s="521">
        <f t="shared" si="699"/>
        <v>29.233259423503327</v>
      </c>
      <c r="AI308" s="1059">
        <f t="shared" si="700"/>
        <v>45.223852328159644</v>
      </c>
      <c r="AJ308" s="535">
        <f t="shared" si="701"/>
        <v>0</v>
      </c>
      <c r="AK308" s="535">
        <f t="shared" si="702"/>
        <v>0</v>
      </c>
      <c r="AL308" s="535">
        <f>(VLOOKUP(Sheet1!DC306,hhdcap_wcm,4)-(((VLOOKUP(Sheet1!DC306,hhdcap_wcm,3)-Sheet1!DC306)/(VLOOKUP(Sheet1!DC306,hhdcap_wcm,3)-VLOOKUP(Sheet1!DC306,hhdcap_wcm,1)))*(VLOOKUP(Sheet1!DC306,hhdcap_wcm,4)-VLOOKUP(Sheet1!DC306,hhdcap_wcm,2))))</f>
        <v>10017.600000022032</v>
      </c>
      <c r="AM308" s="535">
        <f t="shared" si="703"/>
        <v>-3857.4000000109372</v>
      </c>
      <c r="AN308" s="1035">
        <f t="shared" si="704"/>
        <v>19.61090301919144</v>
      </c>
      <c r="AO308" s="535">
        <f t="shared" si="705"/>
        <v>60.16625046287934</v>
      </c>
      <c r="AP308" s="535">
        <f>Sheet1!BA306+Sheet1!BB306+Sheet1!BN306+CD308</f>
        <v>14.1</v>
      </c>
      <c r="AQ308" s="535">
        <f>Sheet1!BN306+(DO308*Sheet1!BN306)</f>
        <v>14.01662971175166</v>
      </c>
      <c r="AR308" s="535">
        <f>Sheet1!BA306+CD308</f>
        <v>0</v>
      </c>
      <c r="AS308" s="535">
        <f>Sheet1!BA306+Sheet1!BB306+CD308</f>
        <v>0</v>
      </c>
      <c r="AT308" s="649">
        <f>0</f>
        <v>0</v>
      </c>
      <c r="AU308" s="974">
        <f>BA308+MAX(Sheet1!EH306,(O308-Q308-ED308-S308))</f>
        <v>29.233259423503327</v>
      </c>
      <c r="AV308" s="535">
        <f>IF(OR(B308&gt;=GD308,B308&lt;GC308),0,15/36*K308-MAX(0,64.6-(137.6-(Sheet1!AA306+Sheet1!AB306))))</f>
        <v>0</v>
      </c>
      <c r="AW308" s="1029"/>
      <c r="AX308" s="649"/>
      <c r="AY308" s="649">
        <f t="shared" si="668"/>
        <v>23.311716569431731</v>
      </c>
      <c r="AZ308" s="649">
        <f t="shared" si="669"/>
        <v>0</v>
      </c>
      <c r="BA308" s="1059">
        <f t="shared" si="670"/>
        <v>0</v>
      </c>
      <c r="BB308" s="1019">
        <f t="shared" si="706"/>
        <v>-101.47375273806257</v>
      </c>
      <c r="BC308" s="1041">
        <f t="shared" si="671"/>
        <v>26.933333333333334</v>
      </c>
      <c r="BD308" s="1019">
        <f ca="1">IF(B308&gt;(Summary!$A$1-1),#N/A,BB308*MGtoAF)</f>
        <v>-311.32147340037596</v>
      </c>
      <c r="BE308" s="535">
        <f>Sheet1!BG306+Sheet1!BH306+Sheet1!BI306-BM308</f>
        <v>3.4000000000000004</v>
      </c>
      <c r="BF308" s="535">
        <f t="shared" si="707"/>
        <v>3.3798965262379896</v>
      </c>
      <c r="BG308" s="535">
        <f>IF(Sheet1!EP306="FM",BM308,0)</f>
        <v>0</v>
      </c>
      <c r="BH308" s="535">
        <f t="shared" si="708"/>
        <v>0</v>
      </c>
      <c r="BI308" s="535">
        <f>IF(Sheet1!EP306="OTHER",BM308,0)</f>
        <v>0</v>
      </c>
      <c r="BJ308" s="535">
        <f t="shared" si="709"/>
        <v>0</v>
      </c>
      <c r="BK308" s="535">
        <f t="shared" si="710"/>
        <v>3.4000000000000004</v>
      </c>
      <c r="BL308" s="535">
        <f t="shared" si="711"/>
        <v>3.3798965262379896</v>
      </c>
      <c r="BM308" s="535">
        <f>IF(OR(Sheet1!EP306="FM", Sheet1!EP306="OTHER"),SUM(Sheet1!BG306:'Sheet1'!BI306),0)</f>
        <v>0</v>
      </c>
      <c r="BN308" s="1115">
        <v>0</v>
      </c>
      <c r="BO308" s="535">
        <f t="shared" si="712"/>
        <v>0</v>
      </c>
      <c r="BP308" s="521">
        <f t="shared" si="713"/>
        <v>3.3798965262379896</v>
      </c>
      <c r="BQ308" s="521">
        <f>IF(AND($O308&gt;0,Sheet1!EM306=1),(1-($O308-Sheet1!$L306)/$O308)*BL308,0)</f>
        <v>0</v>
      </c>
      <c r="BR308" s="521">
        <f>IF(AND(Sheet1!$L306=0,Sheet1!$L305=0, Calculation!BK308&lt;Sheet1!$EI306-0.1,Sheet1!$EI306=Sheet1!$EI305,Sheet1!$EI306=Sheet1!$EI307),BL308-BQ308,BL308-BQ308)</f>
        <v>3.3798965262379896</v>
      </c>
      <c r="BS308" s="1035" t="str">
        <f t="shared" si="672"/>
        <v/>
      </c>
      <c r="BT308" s="1035">
        <f t="shared" si="673"/>
        <v>12.568888888888889</v>
      </c>
      <c r="BU308" s="535">
        <f t="shared" si="714"/>
        <v>24.584534516318428</v>
      </c>
      <c r="BV308" s="535"/>
      <c r="BW308" s="535">
        <f ca="1">IF(B308&gt;(Summary!$A$1-1),#N/A,BU308*MGtoAF)</f>
        <v>75.425351896064939</v>
      </c>
      <c r="BX308" s="535">
        <f>Sheet1!BC306+Sheet1!BD306+Sheet1!BE306+Sheet1!BF306-CG308-CH308</f>
        <v>2.99</v>
      </c>
      <c r="BY308" s="535">
        <f t="shared" si="715"/>
        <v>2.9723207686622319</v>
      </c>
      <c r="BZ308" s="535">
        <f>IF(Sheet1!EQ306="FM",CH308,0)</f>
        <v>0</v>
      </c>
      <c r="CA308" s="535">
        <f t="shared" si="716"/>
        <v>0</v>
      </c>
      <c r="CB308" s="535">
        <f>IF(Sheet1!EQ306="OTHER",CH308,0)</f>
        <v>0</v>
      </c>
      <c r="CC308" s="535">
        <f t="shared" si="717"/>
        <v>0</v>
      </c>
      <c r="CD308" s="535">
        <f t="shared" si="718"/>
        <v>0</v>
      </c>
      <c r="CE308" s="535">
        <f t="shared" si="719"/>
        <v>2.99</v>
      </c>
      <c r="CF308" s="535">
        <f t="shared" si="720"/>
        <v>2.9723207686622319</v>
      </c>
      <c r="CG308" s="535">
        <f>IF(Sheet1!EQ306="CWA",SUM(Sheet1!BC306:'Sheet1'!BF306),0)</f>
        <v>0</v>
      </c>
      <c r="CH308" s="535">
        <f>IF(OR(Sheet1!EQ306="FM", Sheet1!EQ306="OTHER"),SUM(Sheet1!BC306:'Sheet1'!BF306),0)</f>
        <v>0</v>
      </c>
      <c r="CI308" s="1115">
        <v>0</v>
      </c>
      <c r="CJ308" s="535">
        <f t="shared" si="721"/>
        <v>0</v>
      </c>
      <c r="CK308" s="521">
        <f t="shared" si="722"/>
        <v>2.9723207686622319</v>
      </c>
      <c r="CL308" s="521">
        <f>IF(AND($O308&gt;0,Sheet1!EN306=1),(1-($O308-Sheet1!$L306)/$O308)*CF308,0)</f>
        <v>0</v>
      </c>
      <c r="CM308" s="521">
        <f>IF(AND(Sheet1!$L306=0,Sheet1!$L305=0, Calculation!CE308&lt;Sheet1!EJ306-0.1,Sheet1!EJ306=Sheet1!EJ305,Sheet1!EJ306=Sheet1!EJ307),CF308-CL308,CF308-CL308)</f>
        <v>2.9723207686622319</v>
      </c>
      <c r="CN308" s="1040" t="str">
        <f t="shared" si="674"/>
        <v/>
      </c>
      <c r="CO308" s="1035">
        <f t="shared" si="675"/>
        <v>12.568888888888889</v>
      </c>
      <c r="CP308" s="535">
        <f t="shared" si="723"/>
        <v>60.397440340713686</v>
      </c>
      <c r="CQ308" s="535"/>
      <c r="CR308" s="535">
        <f ca="1">IF(B308&gt;(Summary!$A$1-1),#N/A,CP308*MGtoAF)</f>
        <v>185.29934696530958</v>
      </c>
      <c r="CS308" s="535">
        <f>Sheet1!BK306+Sheet1!BL306+Sheet1!BM306-Sheet1!ER306-DA308</f>
        <v>6.57</v>
      </c>
      <c r="CT308" s="535">
        <f t="shared" si="724"/>
        <v>6.5311529933481145</v>
      </c>
      <c r="CU308" s="535">
        <f>IF(Sheet1!ER306="FM",DA308,0)</f>
        <v>0</v>
      </c>
      <c r="CV308" s="535">
        <f t="shared" si="725"/>
        <v>0</v>
      </c>
      <c r="CW308" s="535">
        <f>IF(Sheet1!ER306="OTHER",DA308,0)</f>
        <v>0</v>
      </c>
      <c r="CX308" s="535">
        <f t="shared" si="726"/>
        <v>0</v>
      </c>
      <c r="CY308" s="535">
        <f t="shared" si="727"/>
        <v>6.57</v>
      </c>
      <c r="CZ308" s="535">
        <f t="shared" si="728"/>
        <v>6.5311529933481145</v>
      </c>
      <c r="DA308" s="535">
        <f>IF(OR(Sheet1!ER306="FM", Sheet1!ER306="OTHER"),SUM(Sheet1!BK306:'Sheet1'!BM306),0)</f>
        <v>0</v>
      </c>
      <c r="DB308" s="1115">
        <v>0</v>
      </c>
      <c r="DC308" s="1012">
        <f t="shared" si="729"/>
        <v>0</v>
      </c>
      <c r="DD308" s="1011">
        <f t="shared" si="730"/>
        <v>6.5311529933481145</v>
      </c>
      <c r="DE308" s="521">
        <f>IF(AND($O308&gt;0,Sheet1!EO306=1),(1-($O308-Sheet1!$L306)/$O308)*CZ308,0)</f>
        <v>0</v>
      </c>
      <c r="DF308" s="521">
        <f>IF(AND(Sheet1!$L306=0,Sheet1!$L305=0, Calculation!CY308&lt;Sheet1!$EK306-0.1,Sheet1!$EK306=Sheet1!$EK305,Sheet1!$EK306=Sheet1!$EK307),CZ308-DE308,CZ308-DE308)</f>
        <v>6.5311529933481145</v>
      </c>
      <c r="DG308" s="1040">
        <f t="shared" si="676"/>
        <v>12.568888888888889</v>
      </c>
      <c r="DH308" s="649">
        <f t="shared" si="731"/>
        <v>12.96</v>
      </c>
      <c r="DI308" s="535">
        <f t="shared" si="732"/>
        <v>36.102680900221898</v>
      </c>
      <c r="DJ308" s="649">
        <f t="shared" si="733"/>
        <v>12.883370288248337</v>
      </c>
      <c r="DK308" s="535">
        <f ca="1">IF(B308&gt;(Summary!$A$1-1),#N/A,DI308*MGtoAF)</f>
        <v>110.76302500188079</v>
      </c>
      <c r="DL308" s="649">
        <f>CY308+CE308+BK308</f>
        <v>12.96</v>
      </c>
      <c r="DM308" s="535">
        <f t="shared" si="735"/>
        <v>27.060000000000002</v>
      </c>
      <c r="DN308" s="535">
        <f>Sheet1!AB306-DM308</f>
        <v>-0.16000000000000369</v>
      </c>
      <c r="DO308" s="743">
        <f t="shared" si="736"/>
        <v>-5.9127864005914148E-3</v>
      </c>
      <c r="DP308" s="535">
        <f>(VLOOKUP(Sheet1!DC306,hhdcap_wcm,4)-(((VLOOKUP(Sheet1!DC306,hhdcap_wcm,3)-Sheet1!DC306)/(VLOOKUP(Sheet1!DC306,hhdcap_wcm,3)-VLOOKUP(Sheet1!DC306,hhdcap_wcm,1)))*(VLOOKUP(Sheet1!DC306,hhdcap_wcm,4)-VLOOKUP(Sheet1!DC306,hhdcap_wcm,2))))</f>
        <v>10017.600000022032</v>
      </c>
      <c r="DQ308" s="535">
        <f t="shared" si="737"/>
        <v>-3857.4000000109372</v>
      </c>
      <c r="DR308" s="535">
        <f t="shared" si="738"/>
        <v>-1945.2344931976484</v>
      </c>
      <c r="DS308" s="535">
        <f>Sheet1!EA306*AFtoMG</f>
        <v>0</v>
      </c>
      <c r="DT308" s="535">
        <f>Sheet1!EB306*AFtoMG</f>
        <v>0</v>
      </c>
      <c r="DU308" s="535">
        <f>Sheet1!EC306*AFtoMG</f>
        <v>0</v>
      </c>
      <c r="DV308" s="535">
        <f>Sheet1!ED306*AFtoMG</f>
        <v>0</v>
      </c>
      <c r="DW308" s="535">
        <f t="shared" si="739"/>
        <v>0</v>
      </c>
      <c r="DX308" s="535">
        <f t="shared" si="740"/>
        <v>0</v>
      </c>
      <c r="DY308" s="535">
        <f t="shared" si="741"/>
        <v>19.61090301919144</v>
      </c>
      <c r="DZ308" s="535">
        <f t="shared" si="742"/>
        <v>60.16625046287934</v>
      </c>
      <c r="EA308" s="535"/>
      <c r="EB308" s="521">
        <f>IF(OR(B308&lt;FV308,B308&gt;FW308),(MIN(BF308+BY308+CT308+MAX(Sheet1!AA306+AQ308-73,0),K308)),0)</f>
        <v>12.883370288248337</v>
      </c>
      <c r="EC308" s="535"/>
      <c r="ED308" s="535">
        <f t="shared" si="743"/>
        <v>12.883370288248337</v>
      </c>
      <c r="EE308" s="535"/>
      <c r="EF308" s="535">
        <f>Sheet1!EH306+Sheet1!EI306+Sheet1!EJ306+Sheet1!EK306</f>
        <v>13</v>
      </c>
      <c r="EG308" s="1019">
        <f t="shared" si="677"/>
        <v>20.111000000000001</v>
      </c>
      <c r="EH308" s="521">
        <f t="shared" si="744"/>
        <v>0</v>
      </c>
      <c r="EI308" s="535">
        <f>IF(Sheet1!ET306=1,SUM('Calculations II'!AT308:BA308)+'Calculations II'!BC308+Sheet1!BV306+'Calculations II'!BE308+AP308,'Calculations II'!BK308)</f>
        <v>46.686669711751662</v>
      </c>
      <c r="EJ308" s="535">
        <f ca="1">EI308+'Calculations II'!D308+'Calculations II'!E308+'Calculations II'!O308</f>
        <v>43.629659562030682</v>
      </c>
      <c r="EK308" s="535"/>
      <c r="EL308" s="535"/>
      <c r="EM308" s="535">
        <f t="shared" si="745"/>
        <v>43032</v>
      </c>
      <c r="EN308" s="535">
        <f t="shared" si="746"/>
        <v>-29.233259423503327</v>
      </c>
      <c r="EO308" s="535">
        <f t="shared" si="747"/>
        <v>-45.223852328159644</v>
      </c>
      <c r="EP308" s="535">
        <v>0</v>
      </c>
      <c r="EQ308" s="535">
        <v>0</v>
      </c>
      <c r="ER308" s="535">
        <v>0</v>
      </c>
      <c r="ES308" s="521">
        <f t="shared" si="643"/>
        <v>2.6303008627922271</v>
      </c>
      <c r="ET308" s="535">
        <f>-(VLOOKUP(Sheet1!BQ306,Lookup!$O$4:$Q$262,2)-VLOOKUP(Sheet1!BQ305,Lookup!$O$4:$Q$262,2))/1000000</f>
        <v>1.3841109019212163</v>
      </c>
      <c r="EU308" s="535">
        <f>-(VLOOKUP(Sheet1!BR306,Lookup!$O$4:$Q$262,3)-VLOOKUP(Sheet1!BR305,Lookup!$O$4:$Q$262,3))/1000000</f>
        <v>1.246189960871011</v>
      </c>
      <c r="EV308" s="535"/>
      <c r="EW308" s="535"/>
      <c r="EX308" s="535"/>
      <c r="EY308" s="535"/>
      <c r="EZ308" s="535"/>
      <c r="FA308" s="535"/>
      <c r="FB308" s="535"/>
      <c r="FC308" s="535"/>
      <c r="FD308" s="567">
        <f t="shared" si="693"/>
        <v>1098.6374999999575</v>
      </c>
      <c r="FE308" s="567" t="e">
        <f t="shared" si="748"/>
        <v>#N/A</v>
      </c>
      <c r="FF308" s="568" t="e">
        <f t="shared" si="749"/>
        <v>#N/A</v>
      </c>
      <c r="FG308" s="569" t="s">
        <v>656</v>
      </c>
      <c r="FH308" s="569" t="s">
        <v>656</v>
      </c>
      <c r="FI308" s="567" t="e">
        <v>#N/A</v>
      </c>
      <c r="FJ308" s="725">
        <v>4377</v>
      </c>
      <c r="FK308" s="535"/>
      <c r="FL308" s="1015">
        <f t="shared" si="692"/>
        <v>105.90015128593041</v>
      </c>
      <c r="FM308" s="535"/>
      <c r="FN308" s="535"/>
      <c r="FO308" s="535">
        <f>O308+((Sheet1!CS306)*GPMtoMGD)</f>
        <v>57.393712000000001</v>
      </c>
      <c r="FP308" s="535">
        <f>IF(Sheet1!AA306+AQ308&lt;=Calculation!N308,AQ308,Calculation!N308-Sheet1!AA306)</f>
        <v>14.01662971175166</v>
      </c>
      <c r="FQ308" s="535">
        <f>(Sheet1!BP306+Sheet1!BO306)/694.4</f>
        <v>1.0780529953917051</v>
      </c>
      <c r="FR308" s="541"/>
      <c r="FS308" s="541"/>
      <c r="FT308" s="541"/>
      <c r="FU308" s="541"/>
      <c r="FV308" s="1109">
        <f t="shared" si="644"/>
        <v>42918</v>
      </c>
      <c r="FW308" s="1109">
        <f t="shared" si="645"/>
        <v>43027</v>
      </c>
      <c r="FX308" s="541"/>
      <c r="FY308" s="541">
        <f>Sheet1!DA306-Sheet1!CZ306-Sheet1!AE306</f>
        <v>-640.75436000000161</v>
      </c>
      <c r="FZ308" s="535">
        <f t="shared" si="678"/>
        <v>-0.43447880835598879</v>
      </c>
      <c r="GA308" s="535"/>
      <c r="GB308" s="535" t="str">
        <f t="shared" si="646"/>
        <v>n</v>
      </c>
      <c r="GC308" s="539">
        <f t="shared" si="647"/>
        <v>42782</v>
      </c>
      <c r="GD308" s="1109">
        <f t="shared" si="648"/>
        <v>42904</v>
      </c>
      <c r="GE308" s="535">
        <f t="shared" si="664"/>
        <v>6520</v>
      </c>
      <c r="GF308" s="1109">
        <f t="shared" si="649"/>
        <v>42909</v>
      </c>
      <c r="GG308" s="535">
        <f t="shared" si="691"/>
        <v>3260</v>
      </c>
      <c r="GH308" s="539">
        <f t="shared" si="650"/>
        <v>43040</v>
      </c>
      <c r="GJ308" s="521">
        <f t="shared" si="651"/>
        <v>0</v>
      </c>
      <c r="GK308" s="535" t="str">
        <f t="shared" si="750"/>
        <v/>
      </c>
      <c r="GL308" s="535">
        <f t="shared" si="652"/>
        <v>0</v>
      </c>
      <c r="GM308" s="535" t="str">
        <f t="shared" si="653"/>
        <v/>
      </c>
      <c r="GN308" s="535">
        <f>IF(GK308="P",Lookup!$M$12,IF(GK308="PP",Lookup!$M$13,IF(GK308="PPP",Lookup!$M$14,IF(GK308="T",Lookup!$M$15,IF(GK308="TP",Lookup!$M$16,IF(GK308="TPP",Lookup!$M$17,IF(GK308="TPPP",Lookup!$M$18,0)))))))*GJ308</f>
        <v>0</v>
      </c>
      <c r="GO308" s="535">
        <f t="shared" si="654"/>
        <v>0</v>
      </c>
      <c r="GP308" s="535">
        <f t="shared" si="751"/>
        <v>-311.32147340037596</v>
      </c>
      <c r="GQ308" s="974">
        <f t="shared" si="695"/>
        <v>-101.47375273806257</v>
      </c>
      <c r="GR308" s="535"/>
      <c r="GS308" s="535">
        <f t="shared" si="655"/>
        <v>0</v>
      </c>
      <c r="GT308" s="535" t="str">
        <f t="shared" si="656"/>
        <v/>
      </c>
      <c r="GU308" s="535">
        <f>IF(GK308="P",Lookup!$N$12,IF(GK308="PP",Lookup!$N$13,IF(GK308="PPP",Lookup!$N$14,IF(GK308="T",Lookup!$N$15,IF(GK308="TP",Lookup!$N$16,IF(GK308="TPP",Lookup!$N$17,IF(GK308="TPPP",Lookup!$N$18,0)))))))*GJ308</f>
        <v>0</v>
      </c>
      <c r="GV308" s="535">
        <f t="shared" si="657"/>
        <v>0</v>
      </c>
      <c r="GW308" s="535">
        <f t="shared" si="752"/>
        <v>75.425351896064939</v>
      </c>
      <c r="GX308" s="974">
        <f t="shared" si="696"/>
        <v>24.584534516318428</v>
      </c>
      <c r="GY308" s="535"/>
      <c r="GZ308" s="535">
        <f t="shared" si="658"/>
        <v>0</v>
      </c>
      <c r="HA308" s="535" t="str">
        <f t="shared" si="659"/>
        <v/>
      </c>
      <c r="HB308" s="535">
        <f>IF(GK308="P",Lookup!$N$12,IF(GK308="PP",Lookup!$N$13,IF(GK308="PPP",Lookup!$N$14,IF(GK308="T",Lookup!$N$15,IF(GK308="TP",Lookup!$N$16,IF(GK308="TPP",Lookup!$N$17,IF(GK308="TPPP",Lookup!$N$18,0)))))))*GJ308</f>
        <v>0</v>
      </c>
      <c r="HC308" s="521">
        <f t="shared" si="753"/>
        <v>0</v>
      </c>
      <c r="HD308" s="535">
        <f t="shared" si="754"/>
        <v>185.29934696530958</v>
      </c>
      <c r="HE308" s="535">
        <f t="shared" si="662"/>
        <v>60.397440340713686</v>
      </c>
      <c r="HF308" s="535"/>
      <c r="HG308" s="535">
        <f t="shared" si="660"/>
        <v>0</v>
      </c>
      <c r="HH308" s="535" t="str">
        <f t="shared" si="661"/>
        <v/>
      </c>
      <c r="HI308" s="535">
        <f>IF(GK308="P",Lookup!$N$12,IF(GK308="PP",Lookup!$N$13,IF(GK308="PPP",Lookup!$N$14,IF(GK308="T",Lookup!$N$15,IF(GK308="TP",Lookup!$N$16,IF(GK308="TPP",Lookup!$N$17,IF(GK308="TPPP",Lookup!$N$18,0)))))))*GJ308</f>
        <v>0</v>
      </c>
      <c r="HJ308" s="521">
        <f t="shared" si="755"/>
        <v>0</v>
      </c>
      <c r="HK308" s="535">
        <f t="shared" si="756"/>
        <v>110.76302500188079</v>
      </c>
      <c r="HL308" s="535">
        <f t="shared" si="663"/>
        <v>36.102680900221898</v>
      </c>
      <c r="HM308" s="535"/>
      <c r="HN308" s="541"/>
      <c r="HO308" s="541"/>
      <c r="HP308" s="541"/>
      <c r="HQ308" s="541">
        <f>IF(AND(B308&gt;=$FV$4,B308&lt;=$FW$4),MAX(110/1.02+$HQ$6+MIN(113/1.02,G308),IF($HV$6-(Sheet1!DA306-Sheet1!DB306)+MIN(113/1.02,G308)&lt;G308+FL308,$HV$6-(Sheet1!DA306-Sheet1!DB306)+MIN(113/1.02,G308),G308+FL308)),MIN(110/1.02+$HQ$6+113/1.02,G308))</f>
        <v>218.62745098039215</v>
      </c>
      <c r="HR308" s="541">
        <f t="shared" si="679"/>
        <v>223</v>
      </c>
      <c r="HS308" s="541">
        <f>HR308+(Sheet1!DA306-Sheet1!DB306)</f>
        <v>603</v>
      </c>
      <c r="HT308" s="541">
        <f t="shared" si="680"/>
        <v>0</v>
      </c>
      <c r="HU308" s="541">
        <f t="shared" si="681"/>
        <v>603</v>
      </c>
      <c r="HV308" s="541">
        <f t="shared" si="682"/>
        <v>0</v>
      </c>
      <c r="HW308" s="533" t="str">
        <f t="shared" si="683"/>
        <v/>
      </c>
      <c r="HX308" s="541">
        <f t="shared" si="684"/>
        <v>3156.1486966914481</v>
      </c>
      <c r="HY308" s="541">
        <f>Sheet1!CZ306</f>
        <v>3420</v>
      </c>
      <c r="HZ308" s="541">
        <f t="shared" si="685"/>
        <v>45.223852328159644</v>
      </c>
      <c r="IA308" s="541">
        <f t="shared" si="686"/>
        <v>0</v>
      </c>
      <c r="IB308" s="541">
        <f t="shared" si="687"/>
        <v>3374.7761476718401</v>
      </c>
      <c r="IC308" s="1019" t="str">
        <f t="shared" si="688"/>
        <v/>
      </c>
      <c r="ID308" s="541">
        <f t="shared" si="689"/>
        <v>3374.7761476718401</v>
      </c>
      <c r="IE308" s="541">
        <f>Sheet1!DB306</f>
        <v>2430</v>
      </c>
      <c r="IF308" s="533">
        <f>Sheet1!DA306</f>
        <v>2810</v>
      </c>
      <c r="IH308" s="541">
        <f>IF(AND($B308&gt;=$GC308,$B308&lt;=$GH308,$DR308&lt;0)+N("only adjusted when pool is drawn down during storage season"),Sheet1!$DB306+$DR308+N("Palmer minus all storage release"),Sheet1!$DB306)</f>
        <v>484.76550680235164</v>
      </c>
      <c r="II308" s="541">
        <f>IF(AND($B308&gt;=$GC308,$B308&lt;=$GH308,$DR308&lt;0)+N("only adjusted when pool is drawn down during storage season"),Sheet1!$DA306+$DR308+N("Auburn minus all storage release"),Sheet1!$DA306)</f>
        <v>864.76550680235164</v>
      </c>
    </row>
    <row r="309" spans="1:243" x14ac:dyDescent="0.25">
      <c r="A309" s="553" t="s">
        <v>6</v>
      </c>
      <c r="B309" s="531">
        <v>43033</v>
      </c>
      <c r="C309" s="536">
        <v>0</v>
      </c>
      <c r="D309" s="506">
        <f t="shared" si="633"/>
        <v>300</v>
      </c>
      <c r="E309" s="506">
        <f t="shared" si="634"/>
        <v>250</v>
      </c>
      <c r="F309" s="506">
        <v>250</v>
      </c>
      <c r="G309" s="535">
        <f>DR309+Sheet1!CZ307</f>
        <v>886.34392334495374</v>
      </c>
      <c r="H309" s="1074">
        <f t="shared" si="690"/>
        <v>802.55965413017816</v>
      </c>
      <c r="I309" s="534">
        <f>IF(Sheet1!DA307&gt;=E309,(Sheet1!DA307-E309+P309)*CFStoMGD,0)</f>
        <v>2175.2909420800001</v>
      </c>
      <c r="J309" s="995">
        <f>IF(Sheet1!DB307&gt;=D309,(Sheet1!DB307-D309+P309)*CFStoMGD,0)</f>
        <v>1742.20294208</v>
      </c>
      <c r="K309" s="818">
        <f t="shared" si="665"/>
        <v>64.64</v>
      </c>
      <c r="L309" s="535">
        <f>Sheet1!AA307+Sheet1!AB307-Sheet1!L307+(Sheet1!DA307-F309)*CFStoMGD-S309-T309-U309</f>
        <v>2139.3311420118334</v>
      </c>
      <c r="M309" s="535">
        <f t="shared" si="697"/>
        <v>584.39136629118173</v>
      </c>
      <c r="N309" s="824">
        <f>IF(Sheet1!DA307&gt;=F309,MIN(113*CFStoMGD,MIN(MAX(L309,0),MAX(M309,0))),0)</f>
        <v>73.043199999999999</v>
      </c>
      <c r="O309" s="538">
        <f>Sheet1!AA307+Sheet1!AB307</f>
        <v>55.1</v>
      </c>
      <c r="P309" s="538">
        <f t="shared" si="698"/>
        <v>85.239699999999999</v>
      </c>
      <c r="Q309" s="812">
        <f t="shared" si="666"/>
        <v>0</v>
      </c>
      <c r="R309" s="812">
        <f t="shared" si="635"/>
        <v>13</v>
      </c>
      <c r="S309" s="1115">
        <f t="shared" si="757"/>
        <v>12.920857988165682</v>
      </c>
      <c r="T309" s="812">
        <f t="shared" si="637"/>
        <v>0</v>
      </c>
      <c r="U309" s="812">
        <f>IF(AND(B309&gt;=FV309,B309&lt;=FW309),ED309+Sheet1!EH307,0)</f>
        <v>0</v>
      </c>
      <c r="V309" s="812"/>
      <c r="W309" s="812">
        <f t="shared" si="638"/>
        <v>51.719142011834322</v>
      </c>
      <c r="X309" s="812">
        <f t="shared" si="639"/>
        <v>12.920857988165682</v>
      </c>
      <c r="Y309" s="812" t="str">
        <f t="shared" si="640"/>
        <v/>
      </c>
      <c r="Z309" s="812">
        <f t="shared" si="641"/>
        <v>55.1</v>
      </c>
      <c r="AA309" s="812">
        <f t="shared" si="642"/>
        <v>12.920857988165682</v>
      </c>
      <c r="AB309" s="1059">
        <f t="shared" si="667"/>
        <v>0</v>
      </c>
      <c r="AC309" s="538">
        <f>Sheet1!Y307*MGDtoCFS</f>
        <v>43.470700000000001</v>
      </c>
      <c r="AD309" s="538">
        <f>Sheet1!Z307*MGDtoCFS</f>
        <v>41.614299999999993</v>
      </c>
      <c r="AE309" s="538">
        <f>Sheet1!AA307*MGDtoCFS</f>
        <v>43.470700000000001</v>
      </c>
      <c r="AF309" s="538">
        <f>Sheet1!AB307*MGDtoCFS</f>
        <v>41.768999999999998</v>
      </c>
      <c r="AG309" s="538">
        <f>Sheet1!L307*MGDtoCFS</f>
        <v>35.642880000001348</v>
      </c>
      <c r="AH309" s="521">
        <f t="shared" si="699"/>
        <v>29.258284023668633</v>
      </c>
      <c r="AI309" s="1059">
        <f t="shared" si="700"/>
        <v>45.262565384615371</v>
      </c>
      <c r="AJ309" s="535">
        <f t="shared" si="701"/>
        <v>0</v>
      </c>
      <c r="AK309" s="535">
        <f t="shared" si="702"/>
        <v>0</v>
      </c>
      <c r="AL309" s="535">
        <f>(VLOOKUP(Sheet1!DC307,hhdcap_wcm,4)-(((VLOOKUP(Sheet1!DC307,hhdcap_wcm,3)-Sheet1!DC307)/(VLOOKUP(Sheet1!DC307,hhdcap_wcm,3)-VLOOKUP(Sheet1!DC307,hhdcap_wcm,1)))*(VLOOKUP(Sheet1!DC307,hhdcap_wcm,4)-VLOOKUP(Sheet1!DC307,hhdcap_wcm,2))))</f>
        <v>7135.0000000150749</v>
      </c>
      <c r="AM309" s="535">
        <f t="shared" si="703"/>
        <v>-2882.6000000069571</v>
      </c>
      <c r="AN309" s="1035">
        <f t="shared" si="704"/>
        <v>-9.6473810044771824</v>
      </c>
      <c r="AO309" s="535">
        <f t="shared" si="705"/>
        <v>-29.598164921735997</v>
      </c>
      <c r="AP309" s="535">
        <f>Sheet1!BA307+Sheet1!BB307+Sheet1!BN307+CD309</f>
        <v>14.1</v>
      </c>
      <c r="AQ309" s="535">
        <f>Sheet1!BN307+(DO309*Sheet1!BN307)</f>
        <v>14.079142011834319</v>
      </c>
      <c r="AR309" s="535">
        <f>Sheet1!BA307+CD309</f>
        <v>0</v>
      </c>
      <c r="AS309" s="535">
        <f>Sheet1!BA307+Sheet1!BB307+CD309</f>
        <v>0</v>
      </c>
      <c r="AT309" s="649">
        <f>0</f>
        <v>0</v>
      </c>
      <c r="AU309" s="974">
        <f>BA309+MAX(Sheet1!EH307,(O309-Q309-ED309-S309))</f>
        <v>29.258284023668633</v>
      </c>
      <c r="AV309" s="535">
        <f>IF(OR(B309&gt;=GD309,B309&lt;GC309),0,15/36*K309-MAX(0,64.6-(137.6-(Sheet1!AA307+Sheet1!AB307))))</f>
        <v>0</v>
      </c>
      <c r="AW309" s="1029"/>
      <c r="AX309" s="649"/>
      <c r="AY309" s="649">
        <f t="shared" si="668"/>
        <v>23.311716569431731</v>
      </c>
      <c r="AZ309" s="649">
        <f t="shared" si="669"/>
        <v>0</v>
      </c>
      <c r="BA309" s="1059">
        <f t="shared" si="670"/>
        <v>0</v>
      </c>
      <c r="BB309" s="1019">
        <f t="shared" si="706"/>
        <v>-130.73203676173119</v>
      </c>
      <c r="BC309" s="1041">
        <f t="shared" si="671"/>
        <v>26.933333333333334</v>
      </c>
      <c r="BD309" s="1019">
        <f ca="1">IF(B309&gt;(Summary!$A$1-1),#N/A,BB309*MGtoAF)</f>
        <v>-401.08588878499131</v>
      </c>
      <c r="BE309" s="535">
        <f>Sheet1!BG307+Sheet1!BH307+Sheet1!BI307-BM309</f>
        <v>3.4000000000000004</v>
      </c>
      <c r="BF309" s="535">
        <f t="shared" si="707"/>
        <v>3.3949704142011838</v>
      </c>
      <c r="BG309" s="535">
        <f>IF(Sheet1!EP307="FM",BM309,0)</f>
        <v>0</v>
      </c>
      <c r="BH309" s="535">
        <f t="shared" si="708"/>
        <v>0</v>
      </c>
      <c r="BI309" s="535">
        <f>IF(Sheet1!EP307="OTHER",BM309,0)</f>
        <v>0</v>
      </c>
      <c r="BJ309" s="535">
        <f t="shared" si="709"/>
        <v>0</v>
      </c>
      <c r="BK309" s="535">
        <f t="shared" si="710"/>
        <v>3.4000000000000004</v>
      </c>
      <c r="BL309" s="535">
        <f t="shared" si="711"/>
        <v>3.3949704142011838</v>
      </c>
      <c r="BM309" s="535">
        <f>IF(OR(Sheet1!EP307="FM", Sheet1!EP307="OTHER"),SUM(Sheet1!BG307:'Sheet1'!BI307),0)</f>
        <v>0</v>
      </c>
      <c r="BN309" s="1115">
        <v>0</v>
      </c>
      <c r="BO309" s="535">
        <f t="shared" si="712"/>
        <v>0</v>
      </c>
      <c r="BP309" s="521">
        <f t="shared" si="713"/>
        <v>3.3949704142011838</v>
      </c>
      <c r="BQ309" s="521">
        <f>IF(AND($O309&gt;0,Sheet1!EM307=1),(1-($O309-Sheet1!$L307)/$O309)*BL309,0)</f>
        <v>0</v>
      </c>
      <c r="BR309" s="521">
        <f>IF(AND(Sheet1!$L307=0,Sheet1!$L306=0, Calculation!BK309&lt;Sheet1!$EI307-0.1,Sheet1!$EI307=Sheet1!$EI306,Sheet1!$EI307=Sheet1!$EI308),BL309-BQ309,BL309-BQ309)</f>
        <v>3.3949704142011838</v>
      </c>
      <c r="BS309" s="1035" t="str">
        <f t="shared" si="672"/>
        <v/>
      </c>
      <c r="BT309" s="1035">
        <f t="shared" si="673"/>
        <v>12.568888888888889</v>
      </c>
      <c r="BU309" s="535">
        <f t="shared" si="714"/>
        <v>24.584534516318428</v>
      </c>
      <c r="BV309" s="535"/>
      <c r="BW309" s="535">
        <f ca="1">IF(B309&gt;(Summary!$A$1-1),#N/A,BU309*MGtoAF)</f>
        <v>75.425351896064939</v>
      </c>
      <c r="BX309" s="535">
        <f>Sheet1!BC307+Sheet1!BD307+Sheet1!BE307+Sheet1!BF307-CG309-CH309</f>
        <v>2.99</v>
      </c>
      <c r="BY309" s="535">
        <f t="shared" si="715"/>
        <v>2.9855769230769234</v>
      </c>
      <c r="BZ309" s="535">
        <f>IF(Sheet1!EQ307="FM",CH309,0)</f>
        <v>0</v>
      </c>
      <c r="CA309" s="535">
        <f t="shared" si="716"/>
        <v>0</v>
      </c>
      <c r="CB309" s="535">
        <f>IF(Sheet1!EQ307="OTHER",CH309,0)</f>
        <v>0</v>
      </c>
      <c r="CC309" s="535">
        <f t="shared" si="717"/>
        <v>0</v>
      </c>
      <c r="CD309" s="535">
        <f t="shared" si="718"/>
        <v>0</v>
      </c>
      <c r="CE309" s="535">
        <f t="shared" si="719"/>
        <v>2.99</v>
      </c>
      <c r="CF309" s="535">
        <f t="shared" si="720"/>
        <v>2.9855769230769234</v>
      </c>
      <c r="CG309" s="535">
        <f>IF(Sheet1!EQ307="CWA",SUM(Sheet1!BC307:'Sheet1'!BF307),0)</f>
        <v>0</v>
      </c>
      <c r="CH309" s="535">
        <f>IF(OR(Sheet1!EQ307="FM", Sheet1!EQ307="OTHER"),SUM(Sheet1!BC307:'Sheet1'!BF307),0)</f>
        <v>0</v>
      </c>
      <c r="CI309" s="1115">
        <v>0</v>
      </c>
      <c r="CJ309" s="535">
        <f t="shared" si="721"/>
        <v>0</v>
      </c>
      <c r="CK309" s="521">
        <f t="shared" si="722"/>
        <v>2.9855769230769234</v>
      </c>
      <c r="CL309" s="521">
        <f>IF(AND($O309&gt;0,Sheet1!EN307=1),(1-($O309-Sheet1!$L307)/$O309)*CF309,0)</f>
        <v>0</v>
      </c>
      <c r="CM309" s="521">
        <f>IF(AND(Sheet1!$L307=0,Sheet1!$L306=0, Calculation!CE309&lt;Sheet1!EJ307-0.1,Sheet1!EJ307=Sheet1!EJ306,Sheet1!EJ307=Sheet1!EJ308),CF309-CL309,CF309-CL309)</f>
        <v>2.9855769230769234</v>
      </c>
      <c r="CN309" s="1040" t="str">
        <f t="shared" si="674"/>
        <v/>
      </c>
      <c r="CO309" s="1035">
        <f t="shared" si="675"/>
        <v>12.568888888888889</v>
      </c>
      <c r="CP309" s="535">
        <f t="shared" si="723"/>
        <v>60.397440340713686</v>
      </c>
      <c r="CQ309" s="535"/>
      <c r="CR309" s="535">
        <f ca="1">IF(B309&gt;(Summary!$A$1-1),#N/A,CP309*MGtoAF)</f>
        <v>185.29934696530958</v>
      </c>
      <c r="CS309" s="535">
        <f>Sheet1!BK307+Sheet1!BL307+Sheet1!BM307-Sheet1!ER307-DA309</f>
        <v>6.5500000000000007</v>
      </c>
      <c r="CT309" s="535">
        <f t="shared" si="724"/>
        <v>6.5403106508875748</v>
      </c>
      <c r="CU309" s="535">
        <f>IF(Sheet1!ER307="FM",DA309,0)</f>
        <v>0</v>
      </c>
      <c r="CV309" s="535">
        <f t="shared" si="725"/>
        <v>0</v>
      </c>
      <c r="CW309" s="535">
        <f>IF(Sheet1!ER307="OTHER",DA309,0)</f>
        <v>0</v>
      </c>
      <c r="CX309" s="535">
        <f t="shared" si="726"/>
        <v>0</v>
      </c>
      <c r="CY309" s="535">
        <f t="shared" si="727"/>
        <v>6.5500000000000007</v>
      </c>
      <c r="CZ309" s="535">
        <f t="shared" si="728"/>
        <v>6.5403106508875748</v>
      </c>
      <c r="DA309" s="535">
        <f>IF(OR(Sheet1!ER307="FM", Sheet1!ER307="OTHER"),SUM(Sheet1!BK307:'Sheet1'!BM307),0)</f>
        <v>0</v>
      </c>
      <c r="DB309" s="1115">
        <v>0</v>
      </c>
      <c r="DC309" s="1012">
        <f t="shared" si="729"/>
        <v>0</v>
      </c>
      <c r="DD309" s="1011">
        <f t="shared" si="730"/>
        <v>6.5403106508875748</v>
      </c>
      <c r="DE309" s="521">
        <f>IF(AND($O309&gt;0,Sheet1!EO307=1),(1-($O309-Sheet1!$L307)/$O309)*CZ309,0)</f>
        <v>0</v>
      </c>
      <c r="DF309" s="521">
        <f>IF(AND(Sheet1!$L307=0,Sheet1!$L306=0, Calculation!CY309&lt;Sheet1!$EK307-0.1,Sheet1!$EK307=Sheet1!$EK306,Sheet1!$EK307=Sheet1!$EK308),CZ309-DE309,CZ309-DE309)</f>
        <v>6.5403106508875748</v>
      </c>
      <c r="DG309" s="1040">
        <f t="shared" si="676"/>
        <v>12.568888888888889</v>
      </c>
      <c r="DH309" s="649">
        <f t="shared" si="731"/>
        <v>12.940000000000001</v>
      </c>
      <c r="DI309" s="535">
        <f t="shared" si="732"/>
        <v>36.102680900221898</v>
      </c>
      <c r="DJ309" s="649">
        <f t="shared" si="733"/>
        <v>12.920857988165682</v>
      </c>
      <c r="DK309" s="535">
        <f ca="1">IF(B309&gt;(Summary!$A$1-1),#N/A,DI309*MGtoAF)</f>
        <v>110.76302500188079</v>
      </c>
      <c r="DL309" s="649">
        <f t="shared" si="734"/>
        <v>12.940000000000001</v>
      </c>
      <c r="DM309" s="535">
        <f t="shared" si="735"/>
        <v>27.04</v>
      </c>
      <c r="DN309" s="535">
        <f>Sheet1!AB307-DM309</f>
        <v>-3.9999999999999147E-2</v>
      </c>
      <c r="DO309" s="743">
        <f t="shared" si="736"/>
        <v>-1.4792899408283709E-3</v>
      </c>
      <c r="DP309" s="535">
        <f>(VLOOKUP(Sheet1!DC307,hhdcap_wcm,4)-(((VLOOKUP(Sheet1!DC307,hhdcap_wcm,3)-Sheet1!DC307)/(VLOOKUP(Sheet1!DC307,hhdcap_wcm,3)-VLOOKUP(Sheet1!DC307,hhdcap_wcm,1)))*(VLOOKUP(Sheet1!DC307,hhdcap_wcm,4)-VLOOKUP(Sheet1!DC307,hhdcap_wcm,2))))</f>
        <v>7135.0000000150749</v>
      </c>
      <c r="DQ309" s="535">
        <f t="shared" si="737"/>
        <v>-2882.6000000069571</v>
      </c>
      <c r="DR309" s="535">
        <f t="shared" si="738"/>
        <v>-1453.6560766550463</v>
      </c>
      <c r="DS309" s="535">
        <f>Sheet1!EA307*AFtoMG</f>
        <v>0</v>
      </c>
      <c r="DT309" s="535">
        <f>Sheet1!EB307*AFtoMG</f>
        <v>0</v>
      </c>
      <c r="DU309" s="535">
        <f>Sheet1!EC307*AFtoMG</f>
        <v>0</v>
      </c>
      <c r="DV309" s="535">
        <f>Sheet1!ED307*AFtoMG</f>
        <v>0</v>
      </c>
      <c r="DW309" s="535">
        <f t="shared" si="739"/>
        <v>0</v>
      </c>
      <c r="DX309" s="535">
        <f t="shared" si="740"/>
        <v>0</v>
      </c>
      <c r="DY309" s="535">
        <f t="shared" si="741"/>
        <v>-9.6473810044771824</v>
      </c>
      <c r="DZ309" s="535">
        <f t="shared" si="742"/>
        <v>-29.598164921735997</v>
      </c>
      <c r="EA309" s="535"/>
      <c r="EB309" s="521">
        <f>IF(OR(B309&lt;FV309,B309&gt;FW309),(MIN(BF309+BY309+CT309+MAX(Sheet1!AA307+AQ309-73,0),K309)),0)</f>
        <v>12.920857988165682</v>
      </c>
      <c r="EC309" s="535"/>
      <c r="ED309" s="535">
        <f t="shared" si="743"/>
        <v>12.920857988165682</v>
      </c>
      <c r="EE309" s="535"/>
      <c r="EF309" s="535">
        <f>Sheet1!EH307+Sheet1!EI307+Sheet1!EJ307+Sheet1!EK307</f>
        <v>13</v>
      </c>
      <c r="EG309" s="1019">
        <f t="shared" si="677"/>
        <v>20.111000000000001</v>
      </c>
      <c r="EH309" s="521">
        <f t="shared" si="744"/>
        <v>0</v>
      </c>
      <c r="EI309" s="535">
        <f>IF(Sheet1!ET307=1,SUM('Calculations II'!AT309:BA309)+'Calculations II'!BC309+Sheet1!BV307+'Calculations II'!BE309+AP309,'Calculations II'!BK309)</f>
        <v>45.524786011834316</v>
      </c>
      <c r="EJ309" s="535">
        <f ca="1">EI309+'Calculations II'!D309+'Calculations II'!E309+'Calculations II'!O309</f>
        <v>47.118838280778647</v>
      </c>
      <c r="EK309" s="535"/>
      <c r="EL309" s="535"/>
      <c r="EM309" s="535">
        <f t="shared" si="745"/>
        <v>43033</v>
      </c>
      <c r="EN309" s="535">
        <f t="shared" si="746"/>
        <v>-29.258284023668633</v>
      </c>
      <c r="EO309" s="535">
        <f t="shared" si="747"/>
        <v>-45.262565384615371</v>
      </c>
      <c r="EP309" s="535">
        <v>0</v>
      </c>
      <c r="EQ309" s="535">
        <v>0</v>
      </c>
      <c r="ER309" s="535">
        <v>0</v>
      </c>
      <c r="ES309" s="521">
        <f t="shared" si="643"/>
        <v>-0.41521084967177363</v>
      </c>
      <c r="ET309" s="535">
        <f>-(VLOOKUP(Sheet1!BQ307,Lookup!$O$4:$Q$262,2)-VLOOKUP(Sheet1!BQ306,Lookup!$O$4:$Q$262,2))/1000000</f>
        <v>-0.27677092905511336</v>
      </c>
      <c r="EU309" s="535">
        <f>-(VLOOKUP(Sheet1!BR307,Lookup!$O$4:$Q$262,3)-VLOOKUP(Sheet1!BR306,Lookup!$O$4:$Q$262,3))/1000000</f>
        <v>-0.13843992061666027</v>
      </c>
      <c r="EV309" s="535"/>
      <c r="EW309" s="535"/>
      <c r="EX309" s="535"/>
      <c r="EY309" s="535"/>
      <c r="EZ309" s="535"/>
      <c r="FA309" s="535"/>
      <c r="FB309" s="535"/>
      <c r="FC309" s="535"/>
      <c r="FD309" s="567">
        <f t="shared" si="693"/>
        <v>1097.7916666666251</v>
      </c>
      <c r="FE309" s="567" t="e">
        <f t="shared" si="748"/>
        <v>#N/A</v>
      </c>
      <c r="FF309" s="568" t="e">
        <f t="shared" si="749"/>
        <v>#N/A</v>
      </c>
      <c r="FG309" s="569" t="s">
        <v>656</v>
      </c>
      <c r="FH309" s="569" t="s">
        <v>656</v>
      </c>
      <c r="FI309" s="567" t="e">
        <v>#N/A</v>
      </c>
      <c r="FJ309" s="725">
        <v>4167</v>
      </c>
      <c r="FK309" s="535"/>
      <c r="FL309" s="1015">
        <f t="shared" si="692"/>
        <v>105.3958648512355</v>
      </c>
      <c r="FM309" s="535"/>
      <c r="FN309" s="535"/>
      <c r="FO309" s="535">
        <f>O309+((Sheet1!CS307)*GPMtoMGD)</f>
        <v>59.499200000000002</v>
      </c>
      <c r="FP309" s="535">
        <f>IF(Sheet1!AA307+AQ309&lt;=Calculation!N309,AQ309,Calculation!N309-Sheet1!AA307)</f>
        <v>14.079142011834319</v>
      </c>
      <c r="FQ309" s="535">
        <f>(Sheet1!BP307+Sheet1!BO307)/694.4</f>
        <v>1.908266129032258</v>
      </c>
      <c r="FR309" s="541"/>
      <c r="FS309" s="541"/>
      <c r="FT309" s="541"/>
      <c r="FU309" s="541"/>
      <c r="FV309" s="1109">
        <f t="shared" si="644"/>
        <v>42918</v>
      </c>
      <c r="FW309" s="1109">
        <f t="shared" si="645"/>
        <v>43027</v>
      </c>
      <c r="FX309" s="541"/>
      <c r="FY309" s="541">
        <f>Sheet1!DA307-Sheet1!CZ307-Sheet1!AE307</f>
        <v>1140.4031800000014</v>
      </c>
      <c r="FZ309" s="535">
        <f t="shared" si="678"/>
        <v>1.2866373311346899</v>
      </c>
      <c r="GA309" s="535"/>
      <c r="GB309" s="535" t="str">
        <f t="shared" si="646"/>
        <v>n</v>
      </c>
      <c r="GC309" s="539">
        <f t="shared" si="647"/>
        <v>42782</v>
      </c>
      <c r="GD309" s="1109">
        <f t="shared" si="648"/>
        <v>42904</v>
      </c>
      <c r="GE309" s="535">
        <f t="shared" si="664"/>
        <v>6520</v>
      </c>
      <c r="GF309" s="1109">
        <f t="shared" si="649"/>
        <v>42909</v>
      </c>
      <c r="GG309" s="535">
        <f t="shared" si="691"/>
        <v>3260</v>
      </c>
      <c r="GH309" s="539">
        <f t="shared" si="650"/>
        <v>43040</v>
      </c>
      <c r="GJ309" s="521">
        <f t="shared" si="651"/>
        <v>0</v>
      </c>
      <c r="GK309" s="535" t="str">
        <f t="shared" si="750"/>
        <v/>
      </c>
      <c r="GL309" s="535">
        <f t="shared" si="652"/>
        <v>0</v>
      </c>
      <c r="GM309" s="535" t="str">
        <f t="shared" si="653"/>
        <v/>
      </c>
      <c r="GN309" s="535">
        <f>IF(GK309="P",Lookup!$M$12,IF(GK309="PP",Lookup!$M$13,IF(GK309="PPP",Lookup!$M$14,IF(GK309="T",Lookup!$M$15,IF(GK309="TP",Lookup!$M$16,IF(GK309="TPP",Lookup!$M$17,IF(GK309="TPPP",Lookup!$M$18,0)))))))*GJ309</f>
        <v>0</v>
      </c>
      <c r="GO309" s="535">
        <f t="shared" si="654"/>
        <v>0</v>
      </c>
      <c r="GP309" s="535">
        <f t="shared" si="751"/>
        <v>-401.08588878499131</v>
      </c>
      <c r="GQ309" s="974">
        <f t="shared" si="695"/>
        <v>-130.73203676173119</v>
      </c>
      <c r="GR309" s="535"/>
      <c r="GS309" s="535">
        <f t="shared" si="655"/>
        <v>0</v>
      </c>
      <c r="GT309" s="535" t="str">
        <f t="shared" si="656"/>
        <v/>
      </c>
      <c r="GU309" s="535">
        <f>IF(GK309="P",Lookup!$N$12,IF(GK309="PP",Lookup!$N$13,IF(GK309="PPP",Lookup!$N$14,IF(GK309="T",Lookup!$N$15,IF(GK309="TP",Lookup!$N$16,IF(GK309="TPP",Lookup!$N$17,IF(GK309="TPPP",Lookup!$N$18,0)))))))*GJ309</f>
        <v>0</v>
      </c>
      <c r="GV309" s="535">
        <f t="shared" si="657"/>
        <v>0</v>
      </c>
      <c r="GW309" s="535">
        <f t="shared" si="752"/>
        <v>75.425351896064939</v>
      </c>
      <c r="GX309" s="974">
        <f t="shared" si="696"/>
        <v>24.584534516318428</v>
      </c>
      <c r="GY309" s="535"/>
      <c r="GZ309" s="535">
        <f t="shared" si="658"/>
        <v>0</v>
      </c>
      <c r="HA309" s="535" t="str">
        <f t="shared" si="659"/>
        <v/>
      </c>
      <c r="HB309" s="535">
        <f>IF(GK309="P",Lookup!$N$12,IF(GK309="PP",Lookup!$N$13,IF(GK309="PPP",Lookup!$N$14,IF(GK309="T",Lookup!$N$15,IF(GK309="TP",Lookup!$N$16,IF(GK309="TPP",Lookup!$N$17,IF(GK309="TPPP",Lookup!$N$18,0)))))))*GJ309</f>
        <v>0</v>
      </c>
      <c r="HC309" s="521">
        <f t="shared" si="753"/>
        <v>0</v>
      </c>
      <c r="HD309" s="535">
        <f t="shared" si="754"/>
        <v>185.29934696530958</v>
      </c>
      <c r="HE309" s="535">
        <f t="shared" si="662"/>
        <v>60.397440340713686</v>
      </c>
      <c r="HF309" s="535"/>
      <c r="HG309" s="535">
        <f t="shared" si="660"/>
        <v>0</v>
      </c>
      <c r="HH309" s="535" t="str">
        <f t="shared" si="661"/>
        <v/>
      </c>
      <c r="HI309" s="535">
        <f>IF(GK309="P",Lookup!$N$12,IF(GK309="PP",Lookup!$N$13,IF(GK309="PPP",Lookup!$N$14,IF(GK309="T",Lookup!$N$15,IF(GK309="TP",Lookup!$N$16,IF(GK309="TPP",Lookup!$N$17,IF(GK309="TPPP",Lookup!$N$18,0)))))))*GJ309</f>
        <v>0</v>
      </c>
      <c r="HJ309" s="521">
        <f t="shared" si="755"/>
        <v>0</v>
      </c>
      <c r="HK309" s="535">
        <f t="shared" si="756"/>
        <v>110.76302500188079</v>
      </c>
      <c r="HL309" s="535">
        <f t="shared" si="663"/>
        <v>36.102680900221898</v>
      </c>
      <c r="HM309" s="535"/>
      <c r="HN309" s="541"/>
      <c r="HO309" s="541"/>
      <c r="HP309" s="541"/>
      <c r="HQ309" s="541">
        <f>IF(AND(B309&gt;=$FV$4,B309&lt;=$FW$4),MAX(110/1.02+$HQ$6+MIN(113/1.02,G309),IF($HV$6-(Sheet1!DA307-Sheet1!DB307)+MIN(113/1.02,G309)&lt;G309+FL309,$HV$6-(Sheet1!DA307-Sheet1!DB307)+MIN(113/1.02,G309),G309+FL309)),MIN(110/1.02+$HQ$6+113/1.02,G309))</f>
        <v>218.62745098039215</v>
      </c>
      <c r="HR309" s="541">
        <f t="shared" si="679"/>
        <v>223</v>
      </c>
      <c r="HS309" s="541">
        <f>HR309+(Sheet1!DA307-Sheet1!DB307)</f>
        <v>843</v>
      </c>
      <c r="HT309" s="541">
        <f t="shared" si="680"/>
        <v>0</v>
      </c>
      <c r="HU309" s="541">
        <f t="shared" si="681"/>
        <v>843</v>
      </c>
      <c r="HV309" s="541">
        <f t="shared" si="682"/>
        <v>0</v>
      </c>
      <c r="HW309" s="533" t="str">
        <f t="shared" si="683"/>
        <v/>
      </c>
      <c r="HX309" s="541">
        <f t="shared" si="684"/>
        <v>2076.1099836349927</v>
      </c>
      <c r="HY309" s="541">
        <f>Sheet1!CZ307</f>
        <v>2340</v>
      </c>
      <c r="HZ309" s="541">
        <f t="shared" si="685"/>
        <v>45.262565384615371</v>
      </c>
      <c r="IA309" s="541">
        <f t="shared" si="686"/>
        <v>0</v>
      </c>
      <c r="IB309" s="541">
        <f t="shared" si="687"/>
        <v>2294.7374346153847</v>
      </c>
      <c r="IC309" s="1019" t="str">
        <f t="shared" si="688"/>
        <v/>
      </c>
      <c r="ID309" s="541">
        <f t="shared" si="689"/>
        <v>2294.7374346153847</v>
      </c>
      <c r="IE309" s="541">
        <f>Sheet1!DB307</f>
        <v>2910</v>
      </c>
      <c r="IF309" s="533">
        <f>Sheet1!DA307</f>
        <v>3530</v>
      </c>
      <c r="IH309" s="541">
        <f>IF(AND($B309&gt;=$GC309,$B309&lt;=$GH309,$DR309&lt;0)+N("only adjusted when pool is drawn down during storage season"),Sheet1!$DB307+$DR309+N("Palmer minus all storage release"),Sheet1!$DB307)</f>
        <v>1456.3439233449537</v>
      </c>
      <c r="II309" s="541">
        <f>IF(AND($B309&gt;=$GC309,$B309&lt;=$GH309,$DR309&lt;0)+N("only adjusted when pool is drawn down during storage season"),Sheet1!$DA307+$DR309+N("Auburn minus all storage release"),Sheet1!$DA307)</f>
        <v>2076.3439233449535</v>
      </c>
    </row>
    <row r="310" spans="1:243" x14ac:dyDescent="0.25">
      <c r="A310" s="553" t="s">
        <v>7</v>
      </c>
      <c r="B310" s="531">
        <v>43034</v>
      </c>
      <c r="C310" s="536">
        <v>0</v>
      </c>
      <c r="D310" s="506">
        <f t="shared" si="633"/>
        <v>300</v>
      </c>
      <c r="E310" s="506">
        <f t="shared" si="634"/>
        <v>250</v>
      </c>
      <c r="F310" s="506">
        <v>250</v>
      </c>
      <c r="G310" s="535">
        <f>DR310+Sheet1!CZ308</f>
        <v>724.07463439069534</v>
      </c>
      <c r="H310" s="1074">
        <f t="shared" si="690"/>
        <v>658.79478747814539</v>
      </c>
      <c r="I310" s="534">
        <f>IF(Sheet1!DA308&gt;=E310,(Sheet1!DA308-E310+P310)*CFStoMGD,0)</f>
        <v>1522.3369438079999</v>
      </c>
      <c r="J310" s="995">
        <f>IF(Sheet1!DB308&gt;=D310,(Sheet1!DB308-D310+P310)*CFStoMGD,0)</f>
        <v>1147.4249438080001</v>
      </c>
      <c r="K310" s="818">
        <f t="shared" si="665"/>
        <v>64.64</v>
      </c>
      <c r="L310" s="535">
        <f>Sheet1!AA308+Sheet1!AB308-Sheet1!L308+(Sheet1!DA308-F310)*CFStoMGD-S310-T310-U310</f>
        <v>1486.7663043960085</v>
      </c>
      <c r="M310" s="535">
        <f t="shared" si="697"/>
        <v>477.4026805435484</v>
      </c>
      <c r="N310" s="824">
        <f>IF(Sheet1!DA308&gt;=F310,MIN(113*CFStoMGD,MIN(MAX(L310,0),MAX(M310,0))),0)</f>
        <v>73.043199999999999</v>
      </c>
      <c r="O310" s="538">
        <f>Sheet1!AA308+Sheet1!AB308</f>
        <v>55.010000000000005</v>
      </c>
      <c r="P310" s="538">
        <f t="shared" si="698"/>
        <v>85.100470000000001</v>
      </c>
      <c r="Q310" s="812">
        <f t="shared" si="666"/>
        <v>0</v>
      </c>
      <c r="R310" s="812">
        <f t="shared" si="635"/>
        <v>13</v>
      </c>
      <c r="S310" s="1115">
        <f t="shared" si="757"/>
        <v>12.741695603989658</v>
      </c>
      <c r="T310" s="812">
        <f t="shared" si="637"/>
        <v>0</v>
      </c>
      <c r="U310" s="812">
        <f>IF(AND(B310&gt;=FV310,B310&lt;=FW310),ED310+Sheet1!EH308,0)</f>
        <v>0</v>
      </c>
      <c r="V310" s="812"/>
      <c r="W310" s="812">
        <f t="shared" si="638"/>
        <v>51.898304396010346</v>
      </c>
      <c r="X310" s="812">
        <f t="shared" si="639"/>
        <v>12.741695603989658</v>
      </c>
      <c r="Y310" s="812" t="str">
        <f t="shared" si="640"/>
        <v/>
      </c>
      <c r="Z310" s="812">
        <f t="shared" si="641"/>
        <v>55.010000000000005</v>
      </c>
      <c r="AA310" s="812">
        <f t="shared" si="642"/>
        <v>12.741695603989658</v>
      </c>
      <c r="AB310" s="1059">
        <f t="shared" si="667"/>
        <v>0</v>
      </c>
      <c r="AC310" s="538">
        <f>Sheet1!Y308*MGDtoCFS</f>
        <v>43.470700000000001</v>
      </c>
      <c r="AD310" s="538">
        <f>Sheet1!Z308*MGDtoCFS</f>
        <v>41.768999999999998</v>
      </c>
      <c r="AE310" s="538">
        <f>Sheet1!AA308*MGDtoCFS</f>
        <v>43.315999999999995</v>
      </c>
      <c r="AF310" s="538">
        <f>Sheet1!AB308*MGDtoCFS</f>
        <v>41.784469999999999</v>
      </c>
      <c r="AG310" s="538">
        <f>Sheet1!L308*MGDtoCFS</f>
        <v>35.318010000002701</v>
      </c>
      <c r="AH310" s="521">
        <f t="shared" si="699"/>
        <v>29.526608792020692</v>
      </c>
      <c r="AI310" s="1059">
        <f t="shared" si="700"/>
        <v>45.67766380125601</v>
      </c>
      <c r="AJ310" s="535">
        <f t="shared" si="701"/>
        <v>0</v>
      </c>
      <c r="AK310" s="535">
        <f t="shared" si="702"/>
        <v>0</v>
      </c>
      <c r="AL310" s="535">
        <f>(VLOOKUP(Sheet1!DC308,hhdcap_wcm,4)-(((VLOOKUP(Sheet1!DC308,hhdcap_wcm,3)-Sheet1!DC308)/(VLOOKUP(Sheet1!DC308,hhdcap_wcm,3)-VLOOKUP(Sheet1!DC308,hhdcap_wcm,1)))*(VLOOKUP(Sheet1!DC308,hhdcap_wcm,4)-VLOOKUP(Sheet1!DC308,hhdcap_wcm,2))))</f>
        <v>5636.0000000118234</v>
      </c>
      <c r="AM310" s="535">
        <f t="shared" si="703"/>
        <v>-1499.0000000032514</v>
      </c>
      <c r="AN310" s="1035">
        <f t="shared" si="704"/>
        <v>-39.173989796497864</v>
      </c>
      <c r="AO310" s="535">
        <f t="shared" si="705"/>
        <v>-120.18580069565544</v>
      </c>
      <c r="AP310" s="535">
        <f>Sheet1!BA308+Sheet1!BB308+Sheet1!BN308+CD310</f>
        <v>14.3</v>
      </c>
      <c r="AQ310" s="535">
        <f>Sheet1!BN308+(DO310*Sheet1!BN308)</f>
        <v>14.268304396010345</v>
      </c>
      <c r="AR310" s="535">
        <f>Sheet1!BA308+CD310</f>
        <v>0</v>
      </c>
      <c r="AS310" s="535">
        <f>Sheet1!BA308+Sheet1!BB308+CD310</f>
        <v>0</v>
      </c>
      <c r="AT310" s="649">
        <f>0</f>
        <v>0</v>
      </c>
      <c r="AU310" s="974">
        <f>BA310+MAX(Sheet1!EH308,(O310-Q310-ED310-S310))</f>
        <v>29.526608792020692</v>
      </c>
      <c r="AV310" s="535">
        <f>IF(OR(B310&gt;=GD310,B310&lt;GC310),0,15/36*K310-MAX(0,64.6-(137.6-(Sheet1!AA308+Sheet1!AB308))))</f>
        <v>0</v>
      </c>
      <c r="AW310" s="1029"/>
      <c r="AX310" s="649"/>
      <c r="AY310" s="649">
        <f t="shared" si="668"/>
        <v>23.311716569431731</v>
      </c>
      <c r="AZ310" s="649">
        <f t="shared" si="669"/>
        <v>0</v>
      </c>
      <c r="BA310" s="1059">
        <f t="shared" si="670"/>
        <v>0</v>
      </c>
      <c r="BB310" s="1019">
        <f t="shared" si="706"/>
        <v>-160.25864555375188</v>
      </c>
      <c r="BC310" s="1041">
        <f t="shared" si="671"/>
        <v>26.933333333333334</v>
      </c>
      <c r="BD310" s="1019">
        <f ca="1">IF(B310&gt;(Summary!$A$1-1),#N/A,BB310*MGtoAF)</f>
        <v>-491.67352455891074</v>
      </c>
      <c r="BE310" s="535">
        <f>Sheet1!BG308+Sheet1!BH308+Sheet1!BI308-BM310</f>
        <v>3.24</v>
      </c>
      <c r="BF310" s="535">
        <f t="shared" si="707"/>
        <v>3.2328186183967493</v>
      </c>
      <c r="BG310" s="535">
        <f>IF(Sheet1!EP308="FM",BM310,0)</f>
        <v>0</v>
      </c>
      <c r="BH310" s="535">
        <f t="shared" si="708"/>
        <v>0</v>
      </c>
      <c r="BI310" s="535">
        <f>IF(Sheet1!EP308="OTHER",BM310,0)</f>
        <v>0</v>
      </c>
      <c r="BJ310" s="535">
        <f t="shared" si="709"/>
        <v>0</v>
      </c>
      <c r="BK310" s="535">
        <f t="shared" si="710"/>
        <v>3.24</v>
      </c>
      <c r="BL310" s="535">
        <f t="shared" si="711"/>
        <v>3.2328186183967493</v>
      </c>
      <c r="BM310" s="535">
        <f>IF(OR(Sheet1!EP308="FM", Sheet1!EP308="OTHER"),SUM(Sheet1!BG308:'Sheet1'!BI308),0)</f>
        <v>0</v>
      </c>
      <c r="BN310" s="1115">
        <v>0</v>
      </c>
      <c r="BO310" s="535">
        <f t="shared" si="712"/>
        <v>0</v>
      </c>
      <c r="BP310" s="521">
        <f t="shared" si="713"/>
        <v>3.2328186183967493</v>
      </c>
      <c r="BQ310" s="521">
        <f>IF(AND($O310&gt;0,Sheet1!EM308=1),(1-($O310-Sheet1!$L308)/$O310)*BL310,0)</f>
        <v>0</v>
      </c>
      <c r="BR310" s="521">
        <f>IF(AND(Sheet1!$L308=0,Sheet1!$L307=0, Calculation!BK310&lt;Sheet1!$EI308-0.1,Sheet1!$EI308=Sheet1!$EI307,Sheet1!$EI308=Sheet1!$EI309),BL310-BQ310,BL310-BQ310)</f>
        <v>3.2328186183967493</v>
      </c>
      <c r="BS310" s="1035" t="str">
        <f t="shared" si="672"/>
        <v/>
      </c>
      <c r="BT310" s="1035">
        <f t="shared" si="673"/>
        <v>12.568888888888889</v>
      </c>
      <c r="BU310" s="535">
        <f t="shared" si="714"/>
        <v>24.584534516318428</v>
      </c>
      <c r="BV310" s="535"/>
      <c r="BW310" s="535">
        <f ca="1">IF(B310&gt;(Summary!$A$1-1),#N/A,BU310*MGtoAF)</f>
        <v>75.425351896064939</v>
      </c>
      <c r="BX310" s="535">
        <f>Sheet1!BC308+Sheet1!BD308+Sheet1!BE308+Sheet1!BF308-CG310-CH310</f>
        <v>2.99</v>
      </c>
      <c r="BY310" s="535">
        <f t="shared" si="715"/>
        <v>2.9833727373476178</v>
      </c>
      <c r="BZ310" s="535">
        <f>IF(Sheet1!EQ308="FM",CH310,0)</f>
        <v>0</v>
      </c>
      <c r="CA310" s="535">
        <f t="shared" si="716"/>
        <v>0</v>
      </c>
      <c r="CB310" s="535">
        <f>IF(Sheet1!EQ308="OTHER",CH310,0)</f>
        <v>0</v>
      </c>
      <c r="CC310" s="535">
        <f t="shared" si="717"/>
        <v>0</v>
      </c>
      <c r="CD310" s="535">
        <f t="shared" si="718"/>
        <v>0</v>
      </c>
      <c r="CE310" s="535">
        <f t="shared" si="719"/>
        <v>2.99</v>
      </c>
      <c r="CF310" s="535">
        <f t="shared" si="720"/>
        <v>2.9833727373476178</v>
      </c>
      <c r="CG310" s="535">
        <f>IF(Sheet1!EQ308="CWA",SUM(Sheet1!BC308:'Sheet1'!BF308),0)</f>
        <v>0</v>
      </c>
      <c r="CH310" s="535">
        <f>IF(OR(Sheet1!EQ308="FM", Sheet1!EQ308="OTHER"),SUM(Sheet1!BC308:'Sheet1'!BF308),0)</f>
        <v>0</v>
      </c>
      <c r="CI310" s="1115">
        <v>0</v>
      </c>
      <c r="CJ310" s="535">
        <f t="shared" si="721"/>
        <v>0</v>
      </c>
      <c r="CK310" s="521">
        <f t="shared" si="722"/>
        <v>2.9833727373476178</v>
      </c>
      <c r="CL310" s="521">
        <f>IF(AND($O310&gt;0,Sheet1!EN308=1),(1-($O310-Sheet1!$L308)/$O310)*CF310,0)</f>
        <v>0</v>
      </c>
      <c r="CM310" s="521">
        <f>IF(AND(Sheet1!$L308=0,Sheet1!$L307=0, Calculation!CE310&lt;Sheet1!EJ308-0.1,Sheet1!EJ308=Sheet1!EJ307,Sheet1!EJ308=Sheet1!EJ309),CF310-CL310,CF310-CL310)</f>
        <v>2.9833727373476178</v>
      </c>
      <c r="CN310" s="1040" t="str">
        <f t="shared" si="674"/>
        <v/>
      </c>
      <c r="CO310" s="1035">
        <f t="shared" si="675"/>
        <v>12.568888888888889</v>
      </c>
      <c r="CP310" s="535">
        <f t="shared" si="723"/>
        <v>60.397440340713686</v>
      </c>
      <c r="CQ310" s="535"/>
      <c r="CR310" s="535">
        <f ca="1">IF(B310&gt;(Summary!$A$1-1),#N/A,CP310*MGtoAF)</f>
        <v>185.29934696530958</v>
      </c>
      <c r="CS310" s="535">
        <f>Sheet1!BK308+Sheet1!BL308+Sheet1!BM308-Sheet1!ER308-DA310</f>
        <v>6.54</v>
      </c>
      <c r="CT310" s="535">
        <f t="shared" si="724"/>
        <v>6.5255042482452907</v>
      </c>
      <c r="CU310" s="535">
        <f>IF(Sheet1!ER308="FM",DA310,0)</f>
        <v>0</v>
      </c>
      <c r="CV310" s="535">
        <f t="shared" si="725"/>
        <v>0</v>
      </c>
      <c r="CW310" s="535">
        <f>IF(Sheet1!ER308="OTHER",DA310,0)</f>
        <v>0</v>
      </c>
      <c r="CX310" s="535">
        <f t="shared" si="726"/>
        <v>0</v>
      </c>
      <c r="CY310" s="535">
        <f t="shared" si="727"/>
        <v>6.54</v>
      </c>
      <c r="CZ310" s="535">
        <f t="shared" si="728"/>
        <v>6.5255042482452907</v>
      </c>
      <c r="DA310" s="535">
        <f>IF(OR(Sheet1!ER308="FM", Sheet1!ER308="OTHER"),SUM(Sheet1!BK308:'Sheet1'!BM308),0)</f>
        <v>0</v>
      </c>
      <c r="DB310" s="1115">
        <v>0</v>
      </c>
      <c r="DC310" s="1012">
        <f t="shared" si="729"/>
        <v>0</v>
      </c>
      <c r="DD310" s="1011">
        <f t="shared" si="730"/>
        <v>6.5255042482452907</v>
      </c>
      <c r="DE310" s="521">
        <f>IF(AND($O310&gt;0,Sheet1!EO308=1),(1-($O310-Sheet1!$L308)/$O310)*CZ310,0)</f>
        <v>0</v>
      </c>
      <c r="DF310" s="521">
        <f>IF(AND(Sheet1!$L308=0,Sheet1!$L307=0, Calculation!CY310&lt;Sheet1!$EK308-0.1,Sheet1!$EK308=Sheet1!$EK307,Sheet1!$EK308=Sheet1!$EK309),CZ310-DE310,CZ310-DE310)</f>
        <v>6.5255042482452907</v>
      </c>
      <c r="DG310" s="1040">
        <f t="shared" si="676"/>
        <v>12.568888888888889</v>
      </c>
      <c r="DH310" s="649">
        <f t="shared" si="731"/>
        <v>12.77</v>
      </c>
      <c r="DI310" s="535">
        <f t="shared" si="732"/>
        <v>36.102680900221898</v>
      </c>
      <c r="DJ310" s="649">
        <f t="shared" si="733"/>
        <v>12.741695603989658</v>
      </c>
      <c r="DK310" s="535">
        <f ca="1">IF(B310&gt;(Summary!$A$1-1),#N/A,DI310*MGtoAF)</f>
        <v>110.76302500188079</v>
      </c>
      <c r="DL310" s="649">
        <f t="shared" si="734"/>
        <v>12.770000000000001</v>
      </c>
      <c r="DM310" s="535">
        <f t="shared" si="735"/>
        <v>27.07</v>
      </c>
      <c r="DN310" s="535">
        <f>Sheet1!AB308-DM310</f>
        <v>-5.9999999999998721E-2</v>
      </c>
      <c r="DO310" s="743">
        <f t="shared" si="736"/>
        <v>-2.2164758034724317E-3</v>
      </c>
      <c r="DP310" s="535">
        <f>(VLOOKUP(Sheet1!DC308,hhdcap_wcm,4)-(((VLOOKUP(Sheet1!DC308,hhdcap_wcm,3)-Sheet1!DC308)/(VLOOKUP(Sheet1!DC308,hhdcap_wcm,3)-VLOOKUP(Sheet1!DC308,hhdcap_wcm,1)))*(VLOOKUP(Sheet1!DC308,hhdcap_wcm,4)-VLOOKUP(Sheet1!DC308,hhdcap_wcm,2))))</f>
        <v>5636.0000000118234</v>
      </c>
      <c r="DQ310" s="535">
        <f t="shared" si="737"/>
        <v>-1499.0000000032514</v>
      </c>
      <c r="DR310" s="535">
        <f t="shared" si="738"/>
        <v>-755.92536560930466</v>
      </c>
      <c r="DS310" s="535">
        <f>Sheet1!EA308*AFtoMG</f>
        <v>0</v>
      </c>
      <c r="DT310" s="535">
        <f>Sheet1!EB308*AFtoMG</f>
        <v>0</v>
      </c>
      <c r="DU310" s="535">
        <f>Sheet1!EC308*AFtoMG</f>
        <v>0</v>
      </c>
      <c r="DV310" s="535">
        <f>Sheet1!ED308*AFtoMG</f>
        <v>0</v>
      </c>
      <c r="DW310" s="535">
        <f t="shared" si="739"/>
        <v>0</v>
      </c>
      <c r="DX310" s="535">
        <f t="shared" si="740"/>
        <v>0</v>
      </c>
      <c r="DY310" s="535">
        <f t="shared" si="741"/>
        <v>-39.173989796497864</v>
      </c>
      <c r="DZ310" s="535">
        <f t="shared" si="742"/>
        <v>-120.18580069565544</v>
      </c>
      <c r="EA310" s="535"/>
      <c r="EB310" s="521">
        <f>IF(OR(B310&lt;FV310,B310&gt;FW310),(MIN(BF310+BY310+CT310+MAX(Sheet1!AA308+AQ310-73,0),K310)),0)</f>
        <v>12.741695603989658</v>
      </c>
      <c r="EC310" s="535"/>
      <c r="ED310" s="535">
        <f t="shared" si="743"/>
        <v>12.741695603989658</v>
      </c>
      <c r="EE310" s="535"/>
      <c r="EF310" s="535">
        <f>Sheet1!EH308+Sheet1!EI308+Sheet1!EJ308+Sheet1!EK308</f>
        <v>13</v>
      </c>
      <c r="EG310" s="1019">
        <f t="shared" si="677"/>
        <v>20.111000000000001</v>
      </c>
      <c r="EH310" s="521">
        <f t="shared" si="744"/>
        <v>0</v>
      </c>
      <c r="EI310" s="535">
        <f>IF(Sheet1!ET308=1,SUM('Calculations II'!AT310:BA310)+'Calculations II'!BC310+Sheet1!BV308+'Calculations II'!BE310+AP310,'Calculations II'!BK310)</f>
        <v>48.396800396010342</v>
      </c>
      <c r="EJ310" s="535">
        <f ca="1">EI310+'Calculations II'!D310+'Calculations II'!E310+'Calculations II'!O310</f>
        <v>42.952252705997687</v>
      </c>
      <c r="EK310" s="535"/>
      <c r="EL310" s="535"/>
      <c r="EM310" s="535">
        <f t="shared" si="745"/>
        <v>43034</v>
      </c>
      <c r="EN310" s="535">
        <f t="shared" si="746"/>
        <v>-29.526608792020692</v>
      </c>
      <c r="EO310" s="535">
        <f t="shared" si="747"/>
        <v>-45.67766380125601</v>
      </c>
      <c r="EP310" s="535">
        <v>0</v>
      </c>
      <c r="EQ310" s="535">
        <v>0</v>
      </c>
      <c r="ER310" s="535">
        <v>0</v>
      </c>
      <c r="ES310" s="521">
        <f t="shared" si="643"/>
        <v>1.9375310515745581</v>
      </c>
      <c r="ET310" s="535">
        <f>-(VLOOKUP(Sheet1!BQ308,Lookup!$O$4:$Q$262,2)-VLOOKUP(Sheet1!BQ307,Lookup!$O$4:$Q$262,2))/1000000</f>
        <v>0.968586152342923</v>
      </c>
      <c r="EU310" s="535">
        <f>-(VLOOKUP(Sheet1!BR308,Lookup!$O$4:$Q$262,3)-VLOOKUP(Sheet1!BR307,Lookup!$O$4:$Q$262,3))/1000000</f>
        <v>0.96894489923163507</v>
      </c>
      <c r="EV310" s="535"/>
      <c r="EW310" s="535"/>
      <c r="EX310" s="535"/>
      <c r="EY310" s="535"/>
      <c r="EZ310" s="535"/>
      <c r="FA310" s="535"/>
      <c r="FB310" s="535"/>
      <c r="FC310" s="535"/>
      <c r="FD310" s="567">
        <f t="shared" si="693"/>
        <v>1096.9249999999593</v>
      </c>
      <c r="FE310" s="567" t="e">
        <f t="shared" si="748"/>
        <v>#N/A</v>
      </c>
      <c r="FF310" s="568" t="e">
        <f t="shared" si="749"/>
        <v>#N/A</v>
      </c>
      <c r="FG310" s="569" t="s">
        <v>656</v>
      </c>
      <c r="FH310" s="569" t="s">
        <v>656</v>
      </c>
      <c r="FI310" s="567" t="e">
        <v>#N/A</v>
      </c>
      <c r="FJ310" s="725">
        <v>3958</v>
      </c>
      <c r="FK310" s="535"/>
      <c r="FL310" s="1015">
        <f t="shared" si="692"/>
        <v>105.90015128593041</v>
      </c>
      <c r="FM310" s="535"/>
      <c r="FN310" s="535"/>
      <c r="FO310" s="535">
        <f>O310+((Sheet1!CS308)*GPMtoMGD)</f>
        <v>59.435552000000008</v>
      </c>
      <c r="FP310" s="535">
        <f>IF(Sheet1!AA308+AQ310&lt;=Calculation!N310,AQ310,Calculation!N310-Sheet1!AA308)</f>
        <v>14.268304396010345</v>
      </c>
      <c r="FQ310" s="535">
        <f>(Sheet1!BP308+Sheet1!BO308)/694.4</f>
        <v>1.1880760368663594</v>
      </c>
      <c r="FR310" s="541"/>
      <c r="FS310" s="541"/>
      <c r="FT310" s="541"/>
      <c r="FU310" s="541"/>
      <c r="FV310" s="1109">
        <f t="shared" si="644"/>
        <v>42918</v>
      </c>
      <c r="FW310" s="1109">
        <f t="shared" si="645"/>
        <v>43027</v>
      </c>
      <c r="FX310" s="541"/>
      <c r="FY310" s="541">
        <f>Sheet1!DA308-Sheet1!CZ308-Sheet1!AE308</f>
        <v>990.21754000000271</v>
      </c>
      <c r="FZ310" s="535">
        <f t="shared" si="678"/>
        <v>1.3675628077114801</v>
      </c>
      <c r="GA310" s="535"/>
      <c r="GB310" s="535" t="str">
        <f t="shared" si="646"/>
        <v>n</v>
      </c>
      <c r="GC310" s="539">
        <f t="shared" si="647"/>
        <v>42782</v>
      </c>
      <c r="GD310" s="1109">
        <f t="shared" si="648"/>
        <v>42904</v>
      </c>
      <c r="GE310" s="535">
        <f t="shared" si="664"/>
        <v>6520</v>
      </c>
      <c r="GF310" s="1109">
        <f t="shared" si="649"/>
        <v>42909</v>
      </c>
      <c r="GG310" s="535">
        <f t="shared" si="691"/>
        <v>3260</v>
      </c>
      <c r="GH310" s="539">
        <f t="shared" si="650"/>
        <v>43040</v>
      </c>
      <c r="GJ310" s="521">
        <f t="shared" si="651"/>
        <v>0</v>
      </c>
      <c r="GK310" s="535" t="str">
        <f t="shared" si="750"/>
        <v/>
      </c>
      <c r="GL310" s="535">
        <f t="shared" si="652"/>
        <v>0</v>
      </c>
      <c r="GM310" s="535" t="str">
        <f t="shared" si="653"/>
        <v/>
      </c>
      <c r="GN310" s="535">
        <f>IF(GK310="P",Lookup!$M$12,IF(GK310="PP",Lookup!$M$13,IF(GK310="PPP",Lookup!$M$14,IF(GK310="T",Lookup!$M$15,IF(GK310="TP",Lookup!$M$16,IF(GK310="TPP",Lookup!$M$17,IF(GK310="TPPP",Lookup!$M$18,0)))))))*GJ310</f>
        <v>0</v>
      </c>
      <c r="GO310" s="535">
        <f t="shared" si="654"/>
        <v>0</v>
      </c>
      <c r="GP310" s="535">
        <f t="shared" si="751"/>
        <v>-491.67352455891074</v>
      </c>
      <c r="GQ310" s="974">
        <f t="shared" si="695"/>
        <v>-160.25864555375188</v>
      </c>
      <c r="GR310" s="535"/>
      <c r="GS310" s="535">
        <f t="shared" si="655"/>
        <v>0</v>
      </c>
      <c r="GT310" s="535" t="str">
        <f t="shared" si="656"/>
        <v/>
      </c>
      <c r="GU310" s="535">
        <f>IF(GK310="P",Lookup!$N$12,IF(GK310="PP",Lookup!$N$13,IF(GK310="PPP",Lookup!$N$14,IF(GK310="T",Lookup!$N$15,IF(GK310="TP",Lookup!$N$16,IF(GK310="TPP",Lookup!$N$17,IF(GK310="TPPP",Lookup!$N$18,0)))))))*GJ310</f>
        <v>0</v>
      </c>
      <c r="GV310" s="535">
        <f t="shared" si="657"/>
        <v>0</v>
      </c>
      <c r="GW310" s="535">
        <f t="shared" si="752"/>
        <v>75.425351896064939</v>
      </c>
      <c r="GX310" s="974">
        <f t="shared" si="696"/>
        <v>24.584534516318428</v>
      </c>
      <c r="GY310" s="535"/>
      <c r="GZ310" s="535">
        <f t="shared" si="658"/>
        <v>0</v>
      </c>
      <c r="HA310" s="535" t="str">
        <f t="shared" si="659"/>
        <v/>
      </c>
      <c r="HB310" s="535">
        <f>IF(GK310="P",Lookup!$N$12,IF(GK310="PP",Lookup!$N$13,IF(GK310="PPP",Lookup!$N$14,IF(GK310="T",Lookup!$N$15,IF(GK310="TP",Lookup!$N$16,IF(GK310="TPP",Lookup!$N$17,IF(GK310="TPPP",Lookup!$N$18,0)))))))*GJ310</f>
        <v>0</v>
      </c>
      <c r="HC310" s="521">
        <f t="shared" si="753"/>
        <v>0</v>
      </c>
      <c r="HD310" s="535">
        <f t="shared" si="754"/>
        <v>185.29934696530958</v>
      </c>
      <c r="HE310" s="535">
        <f t="shared" si="662"/>
        <v>60.397440340713686</v>
      </c>
      <c r="HF310" s="535"/>
      <c r="HG310" s="535">
        <f t="shared" si="660"/>
        <v>0</v>
      </c>
      <c r="HH310" s="535" t="str">
        <f t="shared" si="661"/>
        <v/>
      </c>
      <c r="HI310" s="535">
        <f>IF(GK310="P",Lookup!$N$12,IF(GK310="PP",Lookup!$N$13,IF(GK310="PPP",Lookup!$N$14,IF(GK310="T",Lookup!$N$15,IF(GK310="TP",Lookup!$N$16,IF(GK310="TPP",Lookup!$N$17,IF(GK310="TPPP",Lookup!$N$18,0)))))))*GJ310</f>
        <v>0</v>
      </c>
      <c r="HJ310" s="521">
        <f t="shared" si="755"/>
        <v>0</v>
      </c>
      <c r="HK310" s="535">
        <f t="shared" si="756"/>
        <v>110.76302500188079</v>
      </c>
      <c r="HL310" s="535">
        <f t="shared" si="663"/>
        <v>36.102680900221898</v>
      </c>
      <c r="HM310" s="535"/>
      <c r="HN310" s="541"/>
      <c r="HO310" s="541"/>
      <c r="HP310" s="541"/>
      <c r="HQ310" s="541">
        <f>IF(AND(B310&gt;=$FV$4,B310&lt;=$FW$4),MAX(110/1.02+$HQ$6+MIN(113/1.02,G310),IF($HV$6-(Sheet1!DA308-Sheet1!DB308)+MIN(113/1.02,G310)&lt;G310+FL310,$HV$6-(Sheet1!DA308-Sheet1!DB308)+MIN(113/1.02,G310),G310+FL310)),MIN(110/1.02+$HQ$6+113/1.02,G310))</f>
        <v>218.62745098039215</v>
      </c>
      <c r="HR310" s="541">
        <f t="shared" si="679"/>
        <v>223</v>
      </c>
      <c r="HS310" s="541">
        <f>HR310+(Sheet1!DA308-Sheet1!DB308)</f>
        <v>753</v>
      </c>
      <c r="HT310" s="541">
        <f t="shared" si="680"/>
        <v>0</v>
      </c>
      <c r="HU310" s="541">
        <f t="shared" si="681"/>
        <v>753</v>
      </c>
      <c r="HV310" s="541">
        <f t="shared" si="682"/>
        <v>0</v>
      </c>
      <c r="HW310" s="533" t="str">
        <f t="shared" si="683"/>
        <v/>
      </c>
      <c r="HX310" s="541">
        <f t="shared" si="684"/>
        <v>1215.6948852183518</v>
      </c>
      <c r="HY310" s="541">
        <f>Sheet1!CZ308</f>
        <v>1480</v>
      </c>
      <c r="HZ310" s="541">
        <f t="shared" si="685"/>
        <v>45.67766380125601</v>
      </c>
      <c r="IA310" s="541">
        <f t="shared" si="686"/>
        <v>0</v>
      </c>
      <c r="IB310" s="541">
        <f t="shared" si="687"/>
        <v>1434.3223361987441</v>
      </c>
      <c r="IC310" s="1019" t="str">
        <f t="shared" si="688"/>
        <v/>
      </c>
      <c r="ID310" s="541">
        <f t="shared" si="689"/>
        <v>1434.3223361987441</v>
      </c>
      <c r="IE310" s="541">
        <f>Sheet1!DB308</f>
        <v>1990</v>
      </c>
      <c r="IF310" s="533">
        <f>Sheet1!DA308</f>
        <v>2520</v>
      </c>
      <c r="IH310" s="541">
        <f>IF(AND($B310&gt;=$GC310,$B310&lt;=$GH310,$DR310&lt;0)+N("only adjusted when pool is drawn down during storage season"),Sheet1!$DB308+$DR310+N("Palmer minus all storage release"),Sheet1!$DB308)</f>
        <v>1234.0746343906953</v>
      </c>
      <c r="II310" s="541">
        <f>IF(AND($B310&gt;=$GC310,$B310&lt;=$GH310,$DR310&lt;0)+N("only adjusted when pool is drawn down during storage season"),Sheet1!$DA308+$DR310+N("Auburn minus all storage release"),Sheet1!$DA308)</f>
        <v>1764.0746343906953</v>
      </c>
    </row>
    <row r="311" spans="1:243" x14ac:dyDescent="0.25">
      <c r="A311" s="553" t="s">
        <v>8</v>
      </c>
      <c r="B311" s="531">
        <v>43035</v>
      </c>
      <c r="C311" s="536">
        <v>0</v>
      </c>
      <c r="D311" s="506">
        <f t="shared" si="633"/>
        <v>300</v>
      </c>
      <c r="E311" s="506">
        <f t="shared" si="634"/>
        <v>250</v>
      </c>
      <c r="F311" s="506">
        <v>250</v>
      </c>
      <c r="G311" s="535">
        <f>DR311+Sheet1!CZ309</f>
        <v>775.39586485063387</v>
      </c>
      <c r="H311" s="1074">
        <f t="shared" si="690"/>
        <v>467.91878879944971</v>
      </c>
      <c r="I311" s="534">
        <f>IF(Sheet1!DA309&gt;=E311,(Sheet1!DA309-E311+P311)*CFStoMGD,0)</f>
        <v>1026.79890176</v>
      </c>
      <c r="J311" s="995">
        <f>IF(Sheet1!DB309&gt;=D311,(Sheet1!DB309-D311+P311)*CFStoMGD,0)</f>
        <v>722.99090175999993</v>
      </c>
      <c r="K311" s="818">
        <f t="shared" si="665"/>
        <v>64.64</v>
      </c>
      <c r="L311" s="535">
        <f>Sheet1!AA309+Sheet1!AB309-Sheet1!L309+(Sheet1!DA309-F311)*CFStoMGD-S311-T311-U311</f>
        <v>1007.6838356164413</v>
      </c>
      <c r="M311" s="535">
        <f t="shared" si="697"/>
        <v>511.24020478023874</v>
      </c>
      <c r="N311" s="824">
        <f>IF(Sheet1!DA309&gt;=F311,MIN(113*CFStoMGD,MIN(MAX(L311,0),MAX(M311,0))),0)</f>
        <v>73.043199999999999</v>
      </c>
      <c r="O311" s="538">
        <f>Sheet1!AA309+Sheet1!AB309</f>
        <v>57.2</v>
      </c>
      <c r="P311" s="538">
        <f t="shared" si="698"/>
        <v>88.488399999999999</v>
      </c>
      <c r="Q311" s="812">
        <f t="shared" si="666"/>
        <v>0</v>
      </c>
      <c r="R311" s="812">
        <f t="shared" si="635"/>
        <v>13</v>
      </c>
      <c r="S311" s="1115">
        <f t="shared" si="757"/>
        <v>12.756164383561647</v>
      </c>
      <c r="T311" s="812">
        <f t="shared" si="637"/>
        <v>0</v>
      </c>
      <c r="U311" s="812">
        <f>IF(AND(B311&gt;=FV311,B311&lt;=FW311),ED311+Sheet1!EH309,0)</f>
        <v>0</v>
      </c>
      <c r="V311" s="812"/>
      <c r="W311" s="812">
        <f t="shared" si="638"/>
        <v>51.883835616438354</v>
      </c>
      <c r="X311" s="812">
        <f t="shared" si="639"/>
        <v>12.756164383561647</v>
      </c>
      <c r="Y311" s="812" t="str">
        <f t="shared" si="640"/>
        <v/>
      </c>
      <c r="Z311" s="812">
        <f t="shared" si="641"/>
        <v>57.2</v>
      </c>
      <c r="AA311" s="812">
        <f t="shared" si="642"/>
        <v>12.756164383561647</v>
      </c>
      <c r="AB311" s="1059">
        <f t="shared" si="667"/>
        <v>0</v>
      </c>
      <c r="AC311" s="538">
        <f>Sheet1!Y309*MGDtoCFS</f>
        <v>43.315999999999995</v>
      </c>
      <c r="AD311" s="538">
        <f>Sheet1!Z309*MGDtoCFS</f>
        <v>41.614299999999993</v>
      </c>
      <c r="AE311" s="538">
        <f>Sheet1!AA309*MGDtoCFS</f>
        <v>43.470700000000001</v>
      </c>
      <c r="AF311" s="538">
        <f>Sheet1!AB309*MGDtoCFS</f>
        <v>45.017699999999998</v>
      </c>
      <c r="AG311" s="538">
        <f>Sheet1!L309*MGDtoCFS</f>
        <v>9.8389199999952712</v>
      </c>
      <c r="AH311" s="521">
        <f t="shared" si="699"/>
        <v>31.68767123287671</v>
      </c>
      <c r="AI311" s="1059">
        <f t="shared" si="700"/>
        <v>49.02082739726027</v>
      </c>
      <c r="AJ311" s="535">
        <f t="shared" si="701"/>
        <v>0</v>
      </c>
      <c r="AK311" s="535">
        <f t="shared" si="702"/>
        <v>0</v>
      </c>
      <c r="AL311" s="535">
        <f>(VLOOKUP(Sheet1!DC309,hhdcap_wcm,4)-(((VLOOKUP(Sheet1!DC309,hhdcap_wcm,3)-Sheet1!DC309)/(VLOOKUP(Sheet1!DC309,hhdcap_wcm,3)-VLOOKUP(Sheet1!DC309,hhdcap_wcm,1)))*(VLOOKUP(Sheet1!DC309,hhdcap_wcm,4)-VLOOKUP(Sheet1!DC309,hhdcap_wcm,2))))</f>
        <v>4853.5000000106302</v>
      </c>
      <c r="AM311" s="535">
        <f t="shared" si="703"/>
        <v>-782.50000000119326</v>
      </c>
      <c r="AN311" s="1035">
        <f t="shared" si="704"/>
        <v>-70.861661029374574</v>
      </c>
      <c r="AO311" s="535">
        <f t="shared" si="705"/>
        <v>-217.4035760381212</v>
      </c>
      <c r="AP311" s="535">
        <f>Sheet1!BA309+Sheet1!BB309+Sheet1!BN309+CD311</f>
        <v>16.399999999999999</v>
      </c>
      <c r="AQ311" s="535">
        <f>Sheet1!BN309+(DO311*Sheet1!BN309)</f>
        <v>16.343835616438358</v>
      </c>
      <c r="AR311" s="535">
        <f>Sheet1!BA309+CD311</f>
        <v>0</v>
      </c>
      <c r="AS311" s="535">
        <f>Sheet1!BA309+Sheet1!BB309+CD311</f>
        <v>0</v>
      </c>
      <c r="AT311" s="649">
        <f>0</f>
        <v>0</v>
      </c>
      <c r="AU311" s="974">
        <f>BA311+MAX(Sheet1!EH309,(O311-Q311-ED311-S311))</f>
        <v>31.68767123287671</v>
      </c>
      <c r="AV311" s="535">
        <f>IF(OR(B311&gt;=GD311,B311&lt;GC311),0,15/36*K311-MAX(0,64.6-(137.6-(Sheet1!AA309+Sheet1!AB309))))</f>
        <v>0</v>
      </c>
      <c r="AW311" s="1029"/>
      <c r="AX311" s="649"/>
      <c r="AY311" s="649">
        <f t="shared" si="668"/>
        <v>23.311716569431731</v>
      </c>
      <c r="AZ311" s="649">
        <f t="shared" si="669"/>
        <v>0</v>
      </c>
      <c r="BA311" s="1059">
        <f t="shared" si="670"/>
        <v>0</v>
      </c>
      <c r="BB311" s="1019">
        <f t="shared" si="706"/>
        <v>-191.94631678662859</v>
      </c>
      <c r="BC311" s="1041">
        <f t="shared" si="671"/>
        <v>26.933333333333334</v>
      </c>
      <c r="BD311" s="1019">
        <f ca="1">IF(B311&gt;(Summary!$A$1-1),#N/A,BB311*MGtoAF)</f>
        <v>-588.89129990137656</v>
      </c>
      <c r="BE311" s="535">
        <f>Sheet1!BG309+Sheet1!BH309+Sheet1!BI309-BM311</f>
        <v>2.94</v>
      </c>
      <c r="BF311" s="535">
        <f t="shared" si="707"/>
        <v>2.9299315068493157</v>
      </c>
      <c r="BG311" s="535">
        <f>IF(Sheet1!EP309="FM",BM311,0)</f>
        <v>0</v>
      </c>
      <c r="BH311" s="535">
        <f t="shared" si="708"/>
        <v>0</v>
      </c>
      <c r="BI311" s="535">
        <f>IF(Sheet1!EP309="OTHER",BM311,0)</f>
        <v>0</v>
      </c>
      <c r="BJ311" s="535">
        <f t="shared" si="709"/>
        <v>0</v>
      </c>
      <c r="BK311" s="535">
        <f t="shared" si="710"/>
        <v>2.94</v>
      </c>
      <c r="BL311" s="535">
        <f t="shared" si="711"/>
        <v>2.9299315068493157</v>
      </c>
      <c r="BM311" s="535">
        <f>IF(OR(Sheet1!EP309="FM", Sheet1!EP309="OTHER"),SUM(Sheet1!BG309:'Sheet1'!BI309),0)</f>
        <v>0</v>
      </c>
      <c r="BN311" s="1115">
        <v>0</v>
      </c>
      <c r="BO311" s="535">
        <f t="shared" si="712"/>
        <v>0</v>
      </c>
      <c r="BP311" s="521">
        <f t="shared" si="713"/>
        <v>2.9299315068493157</v>
      </c>
      <c r="BQ311" s="521">
        <f>IF(AND($O311&gt;0,Sheet1!EM309=1),(1-($O311-Sheet1!$L309)/$O311)*BL311,0)</f>
        <v>0</v>
      </c>
      <c r="BR311" s="521">
        <f>IF(AND(Sheet1!$L309=0,Sheet1!$L308=0, Calculation!BK311&lt;Sheet1!$EI309-0.1,Sheet1!$EI309=Sheet1!$EI308,Sheet1!$EI309=Sheet1!$EI310),BL311-BQ311,BL311-BQ311)</f>
        <v>2.9299315068493157</v>
      </c>
      <c r="BS311" s="1035" t="str">
        <f t="shared" si="672"/>
        <v/>
      </c>
      <c r="BT311" s="1035">
        <f t="shared" si="673"/>
        <v>12.568888888888889</v>
      </c>
      <c r="BU311" s="535">
        <f t="shared" si="714"/>
        <v>24.584534516318428</v>
      </c>
      <c r="BV311" s="535"/>
      <c r="BW311" s="535">
        <f ca="1">IF(B311&gt;(Summary!$A$1-1),#N/A,BU311*MGtoAF)</f>
        <v>75.425351896064939</v>
      </c>
      <c r="BX311" s="535">
        <f>Sheet1!BC309+Sheet1!BD309+Sheet1!BE309+Sheet1!BF309-CG311-CH311</f>
        <v>3.3</v>
      </c>
      <c r="BY311" s="535">
        <f t="shared" si="715"/>
        <v>3.2886986301369867</v>
      </c>
      <c r="BZ311" s="535">
        <f>IF(Sheet1!EQ309="FM",CH311,0)</f>
        <v>0</v>
      </c>
      <c r="CA311" s="535">
        <f t="shared" si="716"/>
        <v>0</v>
      </c>
      <c r="CB311" s="535">
        <f>IF(Sheet1!EQ309="OTHER",CH311,0)</f>
        <v>0</v>
      </c>
      <c r="CC311" s="535">
        <f t="shared" si="717"/>
        <v>0</v>
      </c>
      <c r="CD311" s="535">
        <f t="shared" si="718"/>
        <v>0</v>
      </c>
      <c r="CE311" s="535">
        <f t="shared" si="719"/>
        <v>3.3</v>
      </c>
      <c r="CF311" s="535">
        <f t="shared" si="720"/>
        <v>3.2886986301369867</v>
      </c>
      <c r="CG311" s="535">
        <f>IF(Sheet1!EQ309="CWA",SUM(Sheet1!BC309:'Sheet1'!BF309),0)</f>
        <v>0</v>
      </c>
      <c r="CH311" s="535">
        <f>IF(OR(Sheet1!EQ309="FM", Sheet1!EQ309="OTHER"),SUM(Sheet1!BC309:'Sheet1'!BF309),0)</f>
        <v>0</v>
      </c>
      <c r="CI311" s="1115">
        <v>0</v>
      </c>
      <c r="CJ311" s="535">
        <f t="shared" si="721"/>
        <v>0</v>
      </c>
      <c r="CK311" s="521">
        <f t="shared" si="722"/>
        <v>3.2886986301369867</v>
      </c>
      <c r="CL311" s="521">
        <f>IF(AND($O311&gt;0,Sheet1!EN309=1),(1-($O311-Sheet1!$L309)/$O311)*CF311,0)</f>
        <v>0</v>
      </c>
      <c r="CM311" s="521">
        <f>IF(AND(Sheet1!$L309=0,Sheet1!$L308=0, Calculation!CE311&lt;Sheet1!EJ309-0.1,Sheet1!EJ309=Sheet1!EJ308,Sheet1!EJ309=Sheet1!EJ310),CF311-CL311,CF311-CL311)</f>
        <v>3.2886986301369867</v>
      </c>
      <c r="CN311" s="1040" t="str">
        <f t="shared" si="674"/>
        <v/>
      </c>
      <c r="CO311" s="1035">
        <f t="shared" si="675"/>
        <v>12.568888888888889</v>
      </c>
      <c r="CP311" s="535">
        <f t="shared" si="723"/>
        <v>60.397440340713686</v>
      </c>
      <c r="CQ311" s="535"/>
      <c r="CR311" s="535">
        <f ca="1">IF(B311&gt;(Summary!$A$1-1),#N/A,CP311*MGtoAF)</f>
        <v>185.29934696530958</v>
      </c>
      <c r="CS311" s="535">
        <f>Sheet1!BK309+Sheet1!BL309+Sheet1!BM309-Sheet1!ER309-DA311</f>
        <v>6.5600000000000005</v>
      </c>
      <c r="CT311" s="535">
        <f t="shared" si="724"/>
        <v>6.5375342465753441</v>
      </c>
      <c r="CU311" s="535">
        <f>IF(Sheet1!ER309="FM",DA311,0)</f>
        <v>0</v>
      </c>
      <c r="CV311" s="535">
        <f t="shared" si="725"/>
        <v>0</v>
      </c>
      <c r="CW311" s="535">
        <f>IF(Sheet1!ER309="OTHER",DA311,0)</f>
        <v>0</v>
      </c>
      <c r="CX311" s="535">
        <f t="shared" si="726"/>
        <v>0</v>
      </c>
      <c r="CY311" s="535">
        <f t="shared" si="727"/>
        <v>6.5600000000000005</v>
      </c>
      <c r="CZ311" s="535">
        <f t="shared" si="728"/>
        <v>6.5375342465753441</v>
      </c>
      <c r="DA311" s="535">
        <f>IF(OR(Sheet1!ER309="FM", Sheet1!ER309="OTHER"),SUM(Sheet1!BK309:'Sheet1'!BM309),0)</f>
        <v>0</v>
      </c>
      <c r="DB311" s="1115">
        <v>0</v>
      </c>
      <c r="DC311" s="1012">
        <f t="shared" si="729"/>
        <v>0</v>
      </c>
      <c r="DD311" s="1011">
        <f t="shared" si="730"/>
        <v>6.5375342465753441</v>
      </c>
      <c r="DE311" s="521">
        <f>IF(AND($O311&gt;0,Sheet1!EO309=1),(1-($O311-Sheet1!$L309)/$O311)*CZ311,0)</f>
        <v>0</v>
      </c>
      <c r="DF311" s="521">
        <f>IF(AND(Sheet1!$L309=0,Sheet1!$L308=0, Calculation!CY311&lt;Sheet1!$EK309-0.1,Sheet1!$EK309=Sheet1!$EK308,Sheet1!$EK309=Sheet1!$EK310),CZ311-DE311,CZ311-DE311)</f>
        <v>6.5375342465753441</v>
      </c>
      <c r="DG311" s="1040">
        <f t="shared" si="676"/>
        <v>12.568888888888889</v>
      </c>
      <c r="DH311" s="649">
        <f t="shared" si="731"/>
        <v>12.8</v>
      </c>
      <c r="DI311" s="535">
        <f t="shared" si="732"/>
        <v>36.102680900221898</v>
      </c>
      <c r="DJ311" s="649">
        <f t="shared" si="733"/>
        <v>12.756164383561647</v>
      </c>
      <c r="DK311" s="535">
        <f ca="1">IF(B311&gt;(Summary!$A$1-1),#N/A,DI311*MGtoAF)</f>
        <v>110.76302500188079</v>
      </c>
      <c r="DL311" s="649">
        <f t="shared" si="734"/>
        <v>12.799999999999999</v>
      </c>
      <c r="DM311" s="535">
        <f t="shared" si="735"/>
        <v>29.199999999999996</v>
      </c>
      <c r="DN311" s="535">
        <f>Sheet1!AB309-DM311</f>
        <v>-9.9999999999994316E-2</v>
      </c>
      <c r="DO311" s="743">
        <f t="shared" si="736"/>
        <v>-3.4246575342463813E-3</v>
      </c>
      <c r="DP311" s="535">
        <f>(VLOOKUP(Sheet1!DC309,hhdcap_wcm,4)-(((VLOOKUP(Sheet1!DC309,hhdcap_wcm,3)-Sheet1!DC309)/(VLOOKUP(Sheet1!DC309,hhdcap_wcm,3)-VLOOKUP(Sheet1!DC309,hhdcap_wcm,1)))*(VLOOKUP(Sheet1!DC309,hhdcap_wcm,4)-VLOOKUP(Sheet1!DC309,hhdcap_wcm,2))))</f>
        <v>4853.5000000106302</v>
      </c>
      <c r="DQ311" s="535">
        <f t="shared" si="737"/>
        <v>-782.50000000119326</v>
      </c>
      <c r="DR311" s="535">
        <f t="shared" si="738"/>
        <v>-394.60413514936619</v>
      </c>
      <c r="DS311" s="535">
        <f>Sheet1!EA309*AFtoMG</f>
        <v>0</v>
      </c>
      <c r="DT311" s="535">
        <f>Sheet1!EB309*AFtoMG</f>
        <v>0</v>
      </c>
      <c r="DU311" s="535">
        <f>Sheet1!EC309*AFtoMG</f>
        <v>0</v>
      </c>
      <c r="DV311" s="535">
        <f>Sheet1!ED309*AFtoMG</f>
        <v>0</v>
      </c>
      <c r="DW311" s="535">
        <f t="shared" si="739"/>
        <v>0</v>
      </c>
      <c r="DX311" s="535">
        <f t="shared" si="740"/>
        <v>0</v>
      </c>
      <c r="DY311" s="535">
        <f t="shared" si="741"/>
        <v>-70.861661029374574</v>
      </c>
      <c r="DZ311" s="535">
        <f t="shared" si="742"/>
        <v>-217.4035760381212</v>
      </c>
      <c r="EA311" s="535"/>
      <c r="EB311" s="521">
        <f>IF(OR(B311&lt;FV311,B311&gt;FW311),(MIN(BF311+BY311+CT311+MAX(Sheet1!AA309+AQ311-73,0),K311)),0)</f>
        <v>12.756164383561647</v>
      </c>
      <c r="EC311" s="535"/>
      <c r="ED311" s="535">
        <f t="shared" si="743"/>
        <v>12.756164383561647</v>
      </c>
      <c r="EE311" s="535"/>
      <c r="EF311" s="535">
        <f>Sheet1!EH309+Sheet1!EI309+Sheet1!EJ309+Sheet1!EK309</f>
        <v>13</v>
      </c>
      <c r="EG311" s="1019">
        <f t="shared" si="677"/>
        <v>20.111000000000001</v>
      </c>
      <c r="EH311" s="521">
        <f t="shared" si="744"/>
        <v>0</v>
      </c>
      <c r="EI311" s="535">
        <f>IF(Sheet1!ET309=1,SUM('Calculations II'!AT311:BA311)+'Calculations II'!BC311+Sheet1!BV309+'Calculations II'!BE311+AP311,'Calculations II'!BK311)</f>
        <v>46.633457616438363</v>
      </c>
      <c r="EJ311" s="535">
        <f ca="1">EI311+'Calculations II'!D311+'Calculations II'!E311+'Calculations II'!O311</f>
        <v>49.041052589849514</v>
      </c>
      <c r="EK311" s="535"/>
      <c r="EL311" s="535"/>
      <c r="EM311" s="535">
        <f t="shared" si="745"/>
        <v>43035</v>
      </c>
      <c r="EN311" s="535">
        <f t="shared" si="746"/>
        <v>-31.68767123287671</v>
      </c>
      <c r="EO311" s="535">
        <f t="shared" si="747"/>
        <v>-49.02082739726027</v>
      </c>
      <c r="EP311" s="535">
        <v>0</v>
      </c>
      <c r="EQ311" s="535">
        <v>0</v>
      </c>
      <c r="ER311" s="535">
        <v>0</v>
      </c>
      <c r="ES311" s="521">
        <f t="shared" si="643"/>
        <v>0.83017827444856618</v>
      </c>
      <c r="ET311" s="535">
        <f>-(VLOOKUP(Sheet1!BQ309,Lookup!$O$4:$Q$262,2)-VLOOKUP(Sheet1!BQ308,Lookup!$O$4:$Q$262,2))/1000000</f>
        <v>0.41501227175898475</v>
      </c>
      <c r="EU311" s="535">
        <f>-(VLOOKUP(Sheet1!BR309,Lookup!$O$4:$Q$262,3)-VLOOKUP(Sheet1!BR308,Lookup!$O$4:$Q$262,3))/1000000</f>
        <v>0.41516600268958137</v>
      </c>
      <c r="EV311" s="535"/>
      <c r="EW311" s="535"/>
      <c r="EX311" s="535"/>
      <c r="EY311" s="535"/>
      <c r="EZ311" s="535"/>
      <c r="FA311" s="535"/>
      <c r="FB311" s="535"/>
      <c r="FC311" s="535"/>
      <c r="FD311" s="567">
        <f t="shared" si="693"/>
        <v>1096.0416666666265</v>
      </c>
      <c r="FE311" s="567" t="e">
        <f t="shared" si="748"/>
        <v>#N/A</v>
      </c>
      <c r="FF311" s="568" t="e">
        <f t="shared" si="749"/>
        <v>#N/A</v>
      </c>
      <c r="FG311" s="569" t="s">
        <v>656</v>
      </c>
      <c r="FH311" s="569" t="s">
        <v>656</v>
      </c>
      <c r="FI311" s="567" t="e">
        <v>#N/A</v>
      </c>
      <c r="FJ311" s="725">
        <v>3748</v>
      </c>
      <c r="FK311" s="535"/>
      <c r="FL311" s="1015">
        <f t="shared" si="692"/>
        <v>105.90015128593041</v>
      </c>
      <c r="FM311" s="535"/>
      <c r="FN311" s="535"/>
      <c r="FO311" s="535">
        <f>O311+((Sheet1!CS309)*GPMtoMGD)</f>
        <v>59.145440000000001</v>
      </c>
      <c r="FP311" s="535">
        <f>IF(Sheet1!AA309+AQ311&lt;=Calculation!N311,AQ311,Calculation!N311-Sheet1!AA309)</f>
        <v>16.343835616438358</v>
      </c>
      <c r="FQ311" s="535">
        <f>(Sheet1!BP309+Sheet1!BO309)/694.4</f>
        <v>1.6394009216589864</v>
      </c>
      <c r="FR311" s="541"/>
      <c r="FS311" s="541"/>
      <c r="FT311" s="541"/>
      <c r="FU311" s="541"/>
      <c r="FV311" s="1109">
        <f t="shared" si="644"/>
        <v>42918</v>
      </c>
      <c r="FW311" s="1109">
        <f t="shared" si="645"/>
        <v>43027</v>
      </c>
      <c r="FX311" s="541"/>
      <c r="FY311" s="541">
        <f>Sheet1!DA309-Sheet1!CZ309-Sheet1!AE309</f>
        <v>501.3505199999953</v>
      </c>
      <c r="FZ311" s="535">
        <f t="shared" si="678"/>
        <v>0.64657363125939737</v>
      </c>
      <c r="GA311" s="535"/>
      <c r="GB311" s="535" t="str">
        <f t="shared" si="646"/>
        <v>n</v>
      </c>
      <c r="GC311" s="539">
        <f t="shared" si="647"/>
        <v>42782</v>
      </c>
      <c r="GD311" s="1109">
        <f t="shared" si="648"/>
        <v>42904</v>
      </c>
      <c r="GE311" s="535">
        <f t="shared" si="664"/>
        <v>6520</v>
      </c>
      <c r="GF311" s="1109">
        <f t="shared" si="649"/>
        <v>42909</v>
      </c>
      <c r="GG311" s="535">
        <f t="shared" si="691"/>
        <v>3260</v>
      </c>
      <c r="GH311" s="539">
        <f t="shared" si="650"/>
        <v>43040</v>
      </c>
      <c r="GJ311" s="521">
        <f t="shared" si="651"/>
        <v>0</v>
      </c>
      <c r="GK311" s="535" t="str">
        <f t="shared" si="750"/>
        <v/>
      </c>
      <c r="GL311" s="535">
        <f t="shared" si="652"/>
        <v>0</v>
      </c>
      <c r="GM311" s="535" t="str">
        <f t="shared" si="653"/>
        <v/>
      </c>
      <c r="GN311" s="535">
        <f>IF(GK311="P",Lookup!$M$12,IF(GK311="PP",Lookup!$M$13,IF(GK311="PPP",Lookup!$M$14,IF(GK311="T",Lookup!$M$15,IF(GK311="TP",Lookup!$M$16,IF(GK311="TPP",Lookup!$M$17,IF(GK311="TPPP",Lookup!$M$18,0)))))))*GJ311</f>
        <v>0</v>
      </c>
      <c r="GO311" s="535">
        <f t="shared" si="654"/>
        <v>0</v>
      </c>
      <c r="GP311" s="535">
        <f t="shared" si="751"/>
        <v>-588.89129990137656</v>
      </c>
      <c r="GQ311" s="974">
        <f t="shared" si="695"/>
        <v>-191.94631678662859</v>
      </c>
      <c r="GR311" s="535"/>
      <c r="GS311" s="535">
        <f t="shared" si="655"/>
        <v>0</v>
      </c>
      <c r="GT311" s="535" t="str">
        <f t="shared" si="656"/>
        <v/>
      </c>
      <c r="GU311" s="535">
        <f>IF(GK311="P",Lookup!$N$12,IF(GK311="PP",Lookup!$N$13,IF(GK311="PPP",Lookup!$N$14,IF(GK311="T",Lookup!$N$15,IF(GK311="TP",Lookup!$N$16,IF(GK311="TPP",Lookup!$N$17,IF(GK311="TPPP",Lookup!$N$18,0)))))))*GJ311</f>
        <v>0</v>
      </c>
      <c r="GV311" s="535">
        <f t="shared" si="657"/>
        <v>0</v>
      </c>
      <c r="GW311" s="535">
        <f t="shared" si="752"/>
        <v>75.425351896064939</v>
      </c>
      <c r="GX311" s="974">
        <f t="shared" si="696"/>
        <v>24.584534516318428</v>
      </c>
      <c r="GY311" s="535"/>
      <c r="GZ311" s="535">
        <f t="shared" si="658"/>
        <v>0</v>
      </c>
      <c r="HA311" s="535" t="str">
        <f t="shared" si="659"/>
        <v/>
      </c>
      <c r="HB311" s="535">
        <f>IF(GK311="P",Lookup!$N$12,IF(GK311="PP",Lookup!$N$13,IF(GK311="PPP",Lookup!$N$14,IF(GK311="T",Lookup!$N$15,IF(GK311="TP",Lookup!$N$16,IF(GK311="TPP",Lookup!$N$17,IF(GK311="TPPP",Lookup!$N$18,0)))))))*GJ311</f>
        <v>0</v>
      </c>
      <c r="HC311" s="521">
        <f t="shared" si="753"/>
        <v>0</v>
      </c>
      <c r="HD311" s="535">
        <f t="shared" si="754"/>
        <v>185.29934696530958</v>
      </c>
      <c r="HE311" s="535">
        <f t="shared" si="662"/>
        <v>60.397440340713686</v>
      </c>
      <c r="HF311" s="535"/>
      <c r="HG311" s="535">
        <f t="shared" si="660"/>
        <v>0</v>
      </c>
      <c r="HH311" s="535" t="str">
        <f t="shared" si="661"/>
        <v/>
      </c>
      <c r="HI311" s="535">
        <f>IF(GK311="P",Lookup!$N$12,IF(GK311="PP",Lookup!$N$13,IF(GK311="PPP",Lookup!$N$14,IF(GK311="T",Lookup!$N$15,IF(GK311="TP",Lookup!$N$16,IF(GK311="TPP",Lookup!$N$17,IF(GK311="TPPP",Lookup!$N$18,0)))))))*GJ311</f>
        <v>0</v>
      </c>
      <c r="HJ311" s="521">
        <f t="shared" si="755"/>
        <v>0</v>
      </c>
      <c r="HK311" s="535">
        <f t="shared" si="756"/>
        <v>110.76302500188079</v>
      </c>
      <c r="HL311" s="535">
        <f t="shared" si="663"/>
        <v>36.102680900221898</v>
      </c>
      <c r="HM311" s="535"/>
      <c r="HN311" s="541"/>
      <c r="HO311" s="541"/>
      <c r="HP311" s="541"/>
      <c r="HQ311" s="541">
        <f>IF(AND(B311&gt;=$FV$4,B311&lt;=$FW$4),MAX(110/1.02+$HQ$6+MIN(113/1.02,G311),IF($HV$6-(Sheet1!DA309-Sheet1!DB309)+MIN(113/1.02,G311)&lt;G311+FL311,$HV$6-(Sheet1!DA309-Sheet1!DB309)+MIN(113/1.02,G311),G311+FL311)),MIN(110/1.02+$HQ$6+113/1.02,G311))</f>
        <v>218.62745098039215</v>
      </c>
      <c r="HR311" s="541">
        <f t="shared" si="679"/>
        <v>223</v>
      </c>
      <c r="HS311" s="541">
        <f>HR311+(Sheet1!DA309-Sheet1!DB309)</f>
        <v>643</v>
      </c>
      <c r="HT311" s="541">
        <f t="shared" si="680"/>
        <v>0</v>
      </c>
      <c r="HU311" s="541">
        <f t="shared" si="681"/>
        <v>643</v>
      </c>
      <c r="HV311" s="541">
        <f t="shared" si="682"/>
        <v>0</v>
      </c>
      <c r="HW311" s="533" t="str">
        <f t="shared" si="683"/>
        <v/>
      </c>
      <c r="HX311" s="541">
        <f t="shared" si="684"/>
        <v>902.35172162234755</v>
      </c>
      <c r="HY311" s="541">
        <f>Sheet1!CZ309</f>
        <v>1170</v>
      </c>
      <c r="HZ311" s="541">
        <f t="shared" si="685"/>
        <v>49.02082739726027</v>
      </c>
      <c r="IA311" s="541">
        <f t="shared" si="686"/>
        <v>0</v>
      </c>
      <c r="IB311" s="541">
        <f t="shared" si="687"/>
        <v>1120.9791726027397</v>
      </c>
      <c r="IC311" s="1019" t="str">
        <f t="shared" si="688"/>
        <v/>
      </c>
      <c r="ID311" s="541">
        <f t="shared" si="689"/>
        <v>1120.9791726027397</v>
      </c>
      <c r="IE311" s="541">
        <f>Sheet1!DB309</f>
        <v>1330</v>
      </c>
      <c r="IF311" s="533">
        <f>Sheet1!DA309</f>
        <v>1750</v>
      </c>
      <c r="IH311" s="541">
        <f>IF(AND($B311&gt;=$GC311,$B311&lt;=$GH311,$DR311&lt;0)+N("only adjusted when pool is drawn down during storage season"),Sheet1!$DB309+$DR311+N("Palmer minus all storage release"),Sheet1!$DB309)</f>
        <v>935.39586485063387</v>
      </c>
      <c r="II311" s="541">
        <f>IF(AND($B311&gt;=$GC311,$B311&lt;=$GH311,$DR311&lt;0)+N("only adjusted when pool is drawn down during storage season"),Sheet1!$DA309+$DR311+N("Auburn minus all storage release"),Sheet1!$DA309)</f>
        <v>1355.3958648506339</v>
      </c>
    </row>
    <row r="312" spans="1:243" x14ac:dyDescent="0.25">
      <c r="A312" s="553" t="s">
        <v>9</v>
      </c>
      <c r="B312" s="531">
        <v>43036</v>
      </c>
      <c r="C312" s="536">
        <v>0</v>
      </c>
      <c r="D312" s="506">
        <f t="shared" si="633"/>
        <v>300</v>
      </c>
      <c r="E312" s="506">
        <f t="shared" si="634"/>
        <v>250</v>
      </c>
      <c r="F312" s="506">
        <v>250</v>
      </c>
      <c r="G312" s="535">
        <f>DR312+Sheet1!CZ310</f>
        <v>775.56732223828612</v>
      </c>
      <c r="H312" s="1074">
        <f t="shared" si="690"/>
        <v>368.40554589482809</v>
      </c>
      <c r="I312" s="534">
        <f>IF(Sheet1!DA310&gt;=E312,(Sheet1!DA310-E312+P312)*CFStoMGD,0)</f>
        <v>836.67882879999991</v>
      </c>
      <c r="J312" s="995">
        <f>IF(Sheet1!DB310&gt;=D312,(Sheet1!DB310-D312+P312)*CFStoMGD,0)</f>
        <v>610.4388287999999</v>
      </c>
      <c r="K312" s="818">
        <f t="shared" si="665"/>
        <v>64.64</v>
      </c>
      <c r="L312" s="535">
        <f>Sheet1!AA310+Sheet1!AB310-Sheet1!L310+(Sheet1!DA310-F312)*CFStoMGD-S312-T312-U312</f>
        <v>823.70128368150165</v>
      </c>
      <c r="M312" s="535">
        <f t="shared" si="697"/>
        <v>511.35325143672475</v>
      </c>
      <c r="N312" s="824">
        <f>IF(Sheet1!DA310&gt;=F312,MIN(113*CFStoMGD,MIN(MAX(L312,0),MAX(M312,0))),0)</f>
        <v>73.043199999999999</v>
      </c>
      <c r="O312" s="538">
        <f>Sheet1!AA310+Sheet1!AB310</f>
        <v>61</v>
      </c>
      <c r="P312" s="538">
        <f t="shared" si="698"/>
        <v>94.36699999999999</v>
      </c>
      <c r="Q312" s="812">
        <f t="shared" si="666"/>
        <v>0</v>
      </c>
      <c r="R312" s="812">
        <f t="shared" si="635"/>
        <v>13</v>
      </c>
      <c r="S312" s="1115">
        <f t="shared" si="757"/>
        <v>12.978716318498334</v>
      </c>
      <c r="T312" s="812">
        <f t="shared" si="637"/>
        <v>0</v>
      </c>
      <c r="U312" s="812">
        <f>IF(AND(B312&gt;=FV312,B312&lt;=FW312),ED312+Sheet1!EH310,0)</f>
        <v>0</v>
      </c>
      <c r="V312" s="812"/>
      <c r="W312" s="812">
        <f t="shared" si="638"/>
        <v>51.661283681501665</v>
      </c>
      <c r="X312" s="812">
        <f t="shared" si="639"/>
        <v>12.978716318498334</v>
      </c>
      <c r="Y312" s="812" t="str">
        <f t="shared" si="640"/>
        <v/>
      </c>
      <c r="Z312" s="812">
        <f t="shared" si="641"/>
        <v>61</v>
      </c>
      <c r="AA312" s="812">
        <f t="shared" si="642"/>
        <v>12.978716318498334</v>
      </c>
      <c r="AB312" s="1059">
        <f t="shared" si="667"/>
        <v>0</v>
      </c>
      <c r="AC312" s="538">
        <f>Sheet1!Y310*MGDtoCFS</f>
        <v>43.470700000000001</v>
      </c>
      <c r="AD312" s="538">
        <f>Sheet1!Z310*MGDtoCFS</f>
        <v>45.017699999999998</v>
      </c>
      <c r="AE312" s="538">
        <f>Sheet1!AA310*MGDtoCFS</f>
        <v>43.470700000000001</v>
      </c>
      <c r="AF312" s="538">
        <f>Sheet1!AB310*MGDtoCFS</f>
        <v>50.896299999999997</v>
      </c>
      <c r="AG312" s="538">
        <f>Sheet1!L310*MGDtoCFS</f>
        <v>0</v>
      </c>
      <c r="AH312" s="521">
        <f t="shared" si="699"/>
        <v>35.042567363003329</v>
      </c>
      <c r="AI312" s="1059">
        <f t="shared" si="700"/>
        <v>54.210851710566146</v>
      </c>
      <c r="AJ312" s="535">
        <f t="shared" si="701"/>
        <v>0</v>
      </c>
      <c r="AK312" s="535">
        <f t="shared" si="702"/>
        <v>0</v>
      </c>
      <c r="AL312" s="535">
        <f>(VLOOKUP(Sheet1!DC310,hhdcap_wcm,4)-(((VLOOKUP(Sheet1!DC310,hhdcap_wcm,3)-Sheet1!DC310)/(VLOOKUP(Sheet1!DC310,hhdcap_wcm,3)-VLOOKUP(Sheet1!DC310,hhdcap_wcm,1)))*(VLOOKUP(Sheet1!DC310,hhdcap_wcm,4)-VLOOKUP(Sheet1!DC310,hhdcap_wcm,2))))</f>
        <v>4111.0000000091513</v>
      </c>
      <c r="AM312" s="535">
        <f t="shared" si="703"/>
        <v>-742.50000000147884</v>
      </c>
      <c r="AN312" s="1035">
        <f t="shared" si="704"/>
        <v>-105.9042283923779</v>
      </c>
      <c r="AO312" s="535">
        <f t="shared" si="705"/>
        <v>-324.9141727078154</v>
      </c>
      <c r="AP312" s="535">
        <f>Sheet1!BA310+Sheet1!BB310+Sheet1!BN310+CD312</f>
        <v>20</v>
      </c>
      <c r="AQ312" s="535">
        <f>Sheet1!BN310+(DO312*Sheet1!BN310)</f>
        <v>19.921283681501663</v>
      </c>
      <c r="AR312" s="535">
        <f>Sheet1!BA310+CD312</f>
        <v>0</v>
      </c>
      <c r="AS312" s="535">
        <f>Sheet1!BA310+Sheet1!BB310+CD312</f>
        <v>0</v>
      </c>
      <c r="AT312" s="649">
        <f>0</f>
        <v>0</v>
      </c>
      <c r="AU312" s="974">
        <f>BA312+MAX(Sheet1!EH310,(O312-Q312-ED312-S312))</f>
        <v>35.042567363003329</v>
      </c>
      <c r="AV312" s="535">
        <f>IF(OR(B312&gt;=GD312,B312&lt;GC312),0,15/36*K312-MAX(0,64.6-(137.6-(Sheet1!AA310+Sheet1!AB310))))</f>
        <v>0</v>
      </c>
      <c r="AW312" s="1029"/>
      <c r="AX312" s="649"/>
      <c r="AY312" s="649">
        <f t="shared" si="668"/>
        <v>23.311716569431731</v>
      </c>
      <c r="AZ312" s="649">
        <f t="shared" si="669"/>
        <v>0</v>
      </c>
      <c r="BA312" s="1059">
        <f t="shared" si="670"/>
        <v>0</v>
      </c>
      <c r="BB312" s="1019">
        <f t="shared" si="706"/>
        <v>-226.98888414963193</v>
      </c>
      <c r="BC312" s="1041">
        <f t="shared" si="671"/>
        <v>26.933333333333334</v>
      </c>
      <c r="BD312" s="1019">
        <f ca="1">IF(B312&gt;(Summary!$A$1-1),#N/A,BB312*MGtoAF)</f>
        <v>-696.40189657107078</v>
      </c>
      <c r="BE312" s="535">
        <f>Sheet1!BG310+Sheet1!BH310+Sheet1!BI310-BM312</f>
        <v>2.9299999999999997</v>
      </c>
      <c r="BF312" s="535">
        <f t="shared" si="707"/>
        <v>2.9184680593399936</v>
      </c>
      <c r="BG312" s="535">
        <f>IF(Sheet1!EP310="FM",BM312,0)</f>
        <v>0</v>
      </c>
      <c r="BH312" s="535">
        <f t="shared" si="708"/>
        <v>0</v>
      </c>
      <c r="BI312" s="535">
        <f>IF(Sheet1!EP310="OTHER",BM312,0)</f>
        <v>0</v>
      </c>
      <c r="BJ312" s="535">
        <f t="shared" si="709"/>
        <v>0</v>
      </c>
      <c r="BK312" s="535">
        <f t="shared" si="710"/>
        <v>2.9299999999999997</v>
      </c>
      <c r="BL312" s="535">
        <f t="shared" si="711"/>
        <v>2.9184680593399936</v>
      </c>
      <c r="BM312" s="535">
        <f>IF(OR(Sheet1!EP310="FM", Sheet1!EP310="OTHER"),SUM(Sheet1!BG310:'Sheet1'!BI310),0)</f>
        <v>0</v>
      </c>
      <c r="BN312" s="1115">
        <v>0</v>
      </c>
      <c r="BO312" s="535">
        <f t="shared" si="712"/>
        <v>0</v>
      </c>
      <c r="BP312" s="521">
        <f t="shared" si="713"/>
        <v>2.9184680593399936</v>
      </c>
      <c r="BQ312" s="521">
        <f>IF(AND($O312&gt;0,Sheet1!EM310=1),(1-($O312-Sheet1!$L310)/$O312)*BL312,0)</f>
        <v>0</v>
      </c>
      <c r="BR312" s="521">
        <f>IF(AND(Sheet1!$L310=0,Sheet1!$L309=0, Calculation!BK312&lt;Sheet1!$EI310-0.1,Sheet1!$EI310=Sheet1!$EI309,Sheet1!$EI310=Sheet1!$EI311),BL312-BQ312,BL312-BQ312)</f>
        <v>2.9184680593399936</v>
      </c>
      <c r="BS312" s="1035" t="str">
        <f t="shared" si="672"/>
        <v/>
      </c>
      <c r="BT312" s="1035">
        <f t="shared" si="673"/>
        <v>12.568888888888889</v>
      </c>
      <c r="BU312" s="535">
        <f t="shared" si="714"/>
        <v>24.584534516318428</v>
      </c>
      <c r="BV312" s="535"/>
      <c r="BW312" s="535">
        <f ca="1">IF(B312&gt;(Summary!$A$1-1),#N/A,BU312*MGtoAF)</f>
        <v>75.425351896064939</v>
      </c>
      <c r="BX312" s="535">
        <f>Sheet1!BC310+Sheet1!BD310+Sheet1!BE310+Sheet1!BF310-CG312-CH312</f>
        <v>3.49</v>
      </c>
      <c r="BY312" s="535">
        <f t="shared" si="715"/>
        <v>3.4762640024220404</v>
      </c>
      <c r="BZ312" s="535">
        <f>IF(Sheet1!EQ310="FM",CH312,0)</f>
        <v>0</v>
      </c>
      <c r="CA312" s="535">
        <f t="shared" si="716"/>
        <v>0</v>
      </c>
      <c r="CB312" s="535">
        <f>IF(Sheet1!EQ310="OTHER",CH312,0)</f>
        <v>0</v>
      </c>
      <c r="CC312" s="535">
        <f t="shared" si="717"/>
        <v>0</v>
      </c>
      <c r="CD312" s="535">
        <f t="shared" si="718"/>
        <v>0</v>
      </c>
      <c r="CE312" s="535">
        <f t="shared" si="719"/>
        <v>3.49</v>
      </c>
      <c r="CF312" s="535">
        <f t="shared" si="720"/>
        <v>3.4762640024220404</v>
      </c>
      <c r="CG312" s="535">
        <f>IF(Sheet1!EQ310="CWA",SUM(Sheet1!BC310:'Sheet1'!BF310),0)</f>
        <v>0</v>
      </c>
      <c r="CH312" s="535">
        <f>IF(OR(Sheet1!EQ310="FM", Sheet1!EQ310="OTHER"),SUM(Sheet1!BC310:'Sheet1'!BF310),0)</f>
        <v>0</v>
      </c>
      <c r="CI312" s="1115">
        <v>0</v>
      </c>
      <c r="CJ312" s="535">
        <f t="shared" si="721"/>
        <v>0</v>
      </c>
      <c r="CK312" s="521">
        <f t="shared" si="722"/>
        <v>3.4762640024220404</v>
      </c>
      <c r="CL312" s="521">
        <f>IF(AND($O312&gt;0,Sheet1!EN310=1),(1-($O312-Sheet1!$L310)/$O312)*CF312,0)</f>
        <v>0</v>
      </c>
      <c r="CM312" s="521">
        <f>IF(AND(Sheet1!$L310=0,Sheet1!$L309=0, Calculation!CE312&lt;Sheet1!EJ310-0.1,Sheet1!EJ310=Sheet1!EJ309,Sheet1!EJ310=Sheet1!EJ311),CF312-CL312,CF312-CL312)</f>
        <v>3.4762640024220404</v>
      </c>
      <c r="CN312" s="1040" t="str">
        <f t="shared" si="674"/>
        <v/>
      </c>
      <c r="CO312" s="1035">
        <f t="shared" si="675"/>
        <v>12.568888888888889</v>
      </c>
      <c r="CP312" s="535">
        <f t="shared" si="723"/>
        <v>60.397440340713686</v>
      </c>
      <c r="CQ312" s="535"/>
      <c r="CR312" s="535">
        <f ca="1">IF(B312&gt;(Summary!$A$1-1),#N/A,CP312*MGtoAF)</f>
        <v>185.29934696530958</v>
      </c>
      <c r="CS312" s="535">
        <f>Sheet1!BK310+Sheet1!BL310+Sheet1!BM310-Sheet1!ER310-DA312</f>
        <v>6.61</v>
      </c>
      <c r="CT312" s="535">
        <f t="shared" si="724"/>
        <v>6.5839842567362998</v>
      </c>
      <c r="CU312" s="535">
        <f>IF(Sheet1!ER310="FM",DA312,0)</f>
        <v>0</v>
      </c>
      <c r="CV312" s="535">
        <f t="shared" si="725"/>
        <v>0</v>
      </c>
      <c r="CW312" s="535">
        <f>IF(Sheet1!ER310="OTHER",DA312,0)</f>
        <v>0</v>
      </c>
      <c r="CX312" s="535">
        <f t="shared" si="726"/>
        <v>0</v>
      </c>
      <c r="CY312" s="535">
        <f t="shared" si="727"/>
        <v>6.61</v>
      </c>
      <c r="CZ312" s="535">
        <f t="shared" si="728"/>
        <v>6.5839842567362998</v>
      </c>
      <c r="DA312" s="535">
        <f>IF(OR(Sheet1!ER310="FM", Sheet1!ER310="OTHER"),SUM(Sheet1!BK310:'Sheet1'!BM310),0)</f>
        <v>0</v>
      </c>
      <c r="DB312" s="1115">
        <v>0</v>
      </c>
      <c r="DC312" s="1012">
        <f t="shared" si="729"/>
        <v>0</v>
      </c>
      <c r="DD312" s="1011">
        <f t="shared" si="730"/>
        <v>6.5839842567362998</v>
      </c>
      <c r="DE312" s="521">
        <f>IF(AND($O312&gt;0,Sheet1!EO310=1),(1-($O312-Sheet1!$L310)/$O312)*CZ312,0)</f>
        <v>0</v>
      </c>
      <c r="DF312" s="521">
        <f>IF(AND(Sheet1!$L310=0,Sheet1!$L309=0, Calculation!CY312&lt;Sheet1!$EK310-0.1,Sheet1!$EK310=Sheet1!$EK309,Sheet1!$EK310=Sheet1!$EK311),CZ312-DE312,CZ312-DE312)</f>
        <v>6.5839842567362998</v>
      </c>
      <c r="DG312" s="1040">
        <f t="shared" si="676"/>
        <v>12.568888888888889</v>
      </c>
      <c r="DH312" s="649">
        <f t="shared" si="731"/>
        <v>13.030000000000001</v>
      </c>
      <c r="DI312" s="535">
        <f t="shared" si="732"/>
        <v>36.102680900221898</v>
      </c>
      <c r="DJ312" s="649">
        <f t="shared" si="733"/>
        <v>12.978716318498334</v>
      </c>
      <c r="DK312" s="535">
        <f ca="1">IF(B312&gt;(Summary!$A$1-1),#N/A,DI312*MGtoAF)</f>
        <v>110.76302500188079</v>
      </c>
      <c r="DL312" s="649">
        <f t="shared" si="734"/>
        <v>13.030000000000001</v>
      </c>
      <c r="DM312" s="535">
        <f t="shared" si="735"/>
        <v>33.03</v>
      </c>
      <c r="DN312" s="535">
        <f>Sheet1!AB310-DM312</f>
        <v>-0.13000000000000256</v>
      </c>
      <c r="DO312" s="743">
        <f t="shared" si="736"/>
        <v>-3.9358159249168198E-3</v>
      </c>
      <c r="DP312" s="535">
        <f>(VLOOKUP(Sheet1!DC310,hhdcap_wcm,4)-(((VLOOKUP(Sheet1!DC310,hhdcap_wcm,3)-Sheet1!DC310)/(VLOOKUP(Sheet1!DC310,hhdcap_wcm,3)-VLOOKUP(Sheet1!DC310,hhdcap_wcm,1)))*(VLOOKUP(Sheet1!DC310,hhdcap_wcm,4)-VLOOKUP(Sheet1!DC310,hhdcap_wcm,2))))</f>
        <v>4111.0000000091513</v>
      </c>
      <c r="DQ312" s="535">
        <f t="shared" si="737"/>
        <v>-742.50000000147884</v>
      </c>
      <c r="DR312" s="535">
        <f t="shared" si="738"/>
        <v>-374.43267776171393</v>
      </c>
      <c r="DS312" s="535">
        <f>Sheet1!EA310*AFtoMG</f>
        <v>0</v>
      </c>
      <c r="DT312" s="535">
        <f>Sheet1!EB310*AFtoMG</f>
        <v>0</v>
      </c>
      <c r="DU312" s="535">
        <f>Sheet1!EC310*AFtoMG</f>
        <v>0</v>
      </c>
      <c r="DV312" s="535">
        <f>Sheet1!ED310*AFtoMG</f>
        <v>0</v>
      </c>
      <c r="DW312" s="535">
        <f t="shared" si="739"/>
        <v>0</v>
      </c>
      <c r="DX312" s="535">
        <f t="shared" si="740"/>
        <v>0</v>
      </c>
      <c r="DY312" s="535">
        <f t="shared" si="741"/>
        <v>-105.9042283923779</v>
      </c>
      <c r="DZ312" s="535">
        <f t="shared" si="742"/>
        <v>-324.9141727078154</v>
      </c>
      <c r="EA312" s="535"/>
      <c r="EB312" s="521">
        <f>IF(OR(B312&lt;FV312,B312&gt;FW312),(MIN(BF312+BY312+CT312+MAX(Sheet1!AA310+AQ312-73,0),K312)),0)</f>
        <v>12.978716318498334</v>
      </c>
      <c r="EC312" s="535"/>
      <c r="ED312" s="535">
        <f t="shared" si="743"/>
        <v>12.978716318498334</v>
      </c>
      <c r="EE312" s="535"/>
      <c r="EF312" s="535">
        <f>Sheet1!EH310+Sheet1!EI310+Sheet1!EJ310+Sheet1!EK310</f>
        <v>13</v>
      </c>
      <c r="EG312" s="1019">
        <f t="shared" si="677"/>
        <v>20.111000000000001</v>
      </c>
      <c r="EH312" s="521">
        <f t="shared" si="744"/>
        <v>0</v>
      </c>
      <c r="EI312" s="535">
        <f>IF(Sheet1!ET310=1,SUM('Calculations II'!AT312:BA312)+'Calculations II'!BC312+Sheet1!BV310+'Calculations II'!BE312+AP312,'Calculations II'!BK312)</f>
        <v>47.872201681501664</v>
      </c>
      <c r="EJ312" s="535">
        <f ca="1">EI312+'Calculations II'!D312+'Calculations II'!E312+'Calculations II'!O312</f>
        <v>46.375157839587118</v>
      </c>
      <c r="EK312" s="535"/>
      <c r="EL312" s="535"/>
      <c r="EM312" s="535">
        <f t="shared" si="745"/>
        <v>43036</v>
      </c>
      <c r="EN312" s="535">
        <f t="shared" si="746"/>
        <v>-35.042567363003329</v>
      </c>
      <c r="EO312" s="535">
        <f t="shared" si="747"/>
        <v>-54.210851710566146</v>
      </c>
      <c r="EP312" s="535">
        <v>0</v>
      </c>
      <c r="EQ312" s="535">
        <v>0</v>
      </c>
      <c r="ER312" s="535">
        <v>0</v>
      </c>
      <c r="ES312" s="521">
        <f t="shared" si="643"/>
        <v>0.27670047015374155</v>
      </c>
      <c r="ET312" s="535">
        <f>-(VLOOKUP(Sheet1!BQ310,Lookup!$O$4:$Q$262,2)-VLOOKUP(Sheet1!BQ309,Lookup!$O$4:$Q$262,2))/1000000</f>
        <v>0.13832461443750188</v>
      </c>
      <c r="EU312" s="535">
        <f>-(VLOOKUP(Sheet1!BR310,Lookup!$O$4:$Q$262,3)-VLOOKUP(Sheet1!BR309,Lookup!$O$4:$Q$262,3))/1000000</f>
        <v>0.13837585571623967</v>
      </c>
      <c r="EV312" s="535"/>
      <c r="EW312" s="535"/>
      <c r="EX312" s="535"/>
      <c r="EY312" s="535"/>
      <c r="EZ312" s="535"/>
      <c r="FA312" s="535"/>
      <c r="FB312" s="535"/>
      <c r="FC312" s="535"/>
      <c r="FD312" s="567">
        <f t="shared" si="693"/>
        <v>1095.1434782608303</v>
      </c>
      <c r="FE312" s="567" t="e">
        <f t="shared" si="748"/>
        <v>#N/A</v>
      </c>
      <c r="FF312" s="568" t="e">
        <f t="shared" si="749"/>
        <v>#N/A</v>
      </c>
      <c r="FG312" s="569" t="s">
        <v>656</v>
      </c>
      <c r="FH312" s="569" t="s">
        <v>656</v>
      </c>
      <c r="FI312" s="567" t="e">
        <v>#N/A</v>
      </c>
      <c r="FJ312" s="725">
        <v>3538</v>
      </c>
      <c r="FK312" s="535"/>
      <c r="FL312" s="1015">
        <f t="shared" si="692"/>
        <v>105.3958648512355</v>
      </c>
      <c r="FM312" s="535"/>
      <c r="FN312" s="535"/>
      <c r="FO312" s="535">
        <f>O312+((Sheet1!CS310)*GPMtoMGD)</f>
        <v>61</v>
      </c>
      <c r="FP312" s="535">
        <f>IF(Sheet1!AA310+AQ312&lt;=Calculation!N312,AQ312,Calculation!N312-Sheet1!AA310)</f>
        <v>19.921283681501663</v>
      </c>
      <c r="FQ312" s="535">
        <f>(Sheet1!BP310+Sheet1!BO310)/694.4</f>
        <v>2.1722350230414746</v>
      </c>
      <c r="FR312" s="541"/>
      <c r="FS312" s="541"/>
      <c r="FT312" s="541"/>
      <c r="FU312" s="541"/>
      <c r="FV312" s="1109">
        <f t="shared" si="644"/>
        <v>42918</v>
      </c>
      <c r="FW312" s="1109">
        <f t="shared" si="645"/>
        <v>43027</v>
      </c>
      <c r="FX312" s="541"/>
      <c r="FY312" s="541">
        <f>Sheet1!DA310-Sheet1!CZ310-Sheet1!AE310</f>
        <v>205.63300000000001</v>
      </c>
      <c r="FZ312" s="535">
        <f t="shared" si="678"/>
        <v>0.26513881400591183</v>
      </c>
      <c r="GA312" s="535"/>
      <c r="GB312" s="535" t="str">
        <f t="shared" si="646"/>
        <v>n</v>
      </c>
      <c r="GC312" s="539">
        <f t="shared" si="647"/>
        <v>42782</v>
      </c>
      <c r="GD312" s="1109">
        <f t="shared" si="648"/>
        <v>42904</v>
      </c>
      <c r="GE312" s="535">
        <f t="shared" si="664"/>
        <v>6520</v>
      </c>
      <c r="GF312" s="1109">
        <f t="shared" si="649"/>
        <v>42909</v>
      </c>
      <c r="GG312" s="535">
        <f t="shared" si="691"/>
        <v>3260</v>
      </c>
      <c r="GH312" s="539">
        <f t="shared" si="650"/>
        <v>43040</v>
      </c>
      <c r="GJ312" s="521">
        <f t="shared" si="651"/>
        <v>0</v>
      </c>
      <c r="GK312" s="535" t="str">
        <f t="shared" si="750"/>
        <v/>
      </c>
      <c r="GL312" s="535">
        <f t="shared" si="652"/>
        <v>0</v>
      </c>
      <c r="GM312" s="535" t="str">
        <f t="shared" si="653"/>
        <v/>
      </c>
      <c r="GN312" s="535">
        <f>IF(GK312="P",Lookup!$M$12,IF(GK312="PP",Lookup!$M$13,IF(GK312="PPP",Lookup!$M$14,IF(GK312="T",Lookup!$M$15,IF(GK312="TP",Lookup!$M$16,IF(GK312="TPP",Lookup!$M$17,IF(GK312="TPPP",Lookup!$M$18,0)))))))*GJ312</f>
        <v>0</v>
      </c>
      <c r="GO312" s="535">
        <f t="shared" si="654"/>
        <v>0</v>
      </c>
      <c r="GP312" s="535">
        <f t="shared" si="751"/>
        <v>-696.40189657107078</v>
      </c>
      <c r="GQ312" s="974">
        <f t="shared" si="695"/>
        <v>-226.98888414963193</v>
      </c>
      <c r="GR312" s="535"/>
      <c r="GS312" s="535">
        <f t="shared" si="655"/>
        <v>0</v>
      </c>
      <c r="GT312" s="535" t="str">
        <f t="shared" si="656"/>
        <v/>
      </c>
      <c r="GU312" s="535">
        <f>IF(GK312="P",Lookup!$N$12,IF(GK312="PP",Lookup!$N$13,IF(GK312="PPP",Lookup!$N$14,IF(GK312="T",Lookup!$N$15,IF(GK312="TP",Lookup!$N$16,IF(GK312="TPP",Lookup!$N$17,IF(GK312="TPPP",Lookup!$N$18,0)))))))*GJ312</f>
        <v>0</v>
      </c>
      <c r="GV312" s="535">
        <f t="shared" si="657"/>
        <v>0</v>
      </c>
      <c r="GW312" s="535">
        <f t="shared" si="752"/>
        <v>75.425351896064939</v>
      </c>
      <c r="GX312" s="974">
        <f t="shared" si="696"/>
        <v>24.584534516318428</v>
      </c>
      <c r="GY312" s="535"/>
      <c r="GZ312" s="535">
        <f t="shared" si="658"/>
        <v>0</v>
      </c>
      <c r="HA312" s="535" t="str">
        <f t="shared" si="659"/>
        <v/>
      </c>
      <c r="HB312" s="535">
        <f>IF(GK312="P",Lookup!$N$12,IF(GK312="PP",Lookup!$N$13,IF(GK312="PPP",Lookup!$N$14,IF(GK312="T",Lookup!$N$15,IF(GK312="TP",Lookup!$N$16,IF(GK312="TPP",Lookup!$N$17,IF(GK312="TPPP",Lookup!$N$18,0)))))))*GJ312</f>
        <v>0</v>
      </c>
      <c r="HC312" s="521">
        <f t="shared" si="753"/>
        <v>0</v>
      </c>
      <c r="HD312" s="535">
        <f t="shared" si="754"/>
        <v>185.29934696530958</v>
      </c>
      <c r="HE312" s="535">
        <f t="shared" si="662"/>
        <v>60.397440340713686</v>
      </c>
      <c r="HF312" s="535"/>
      <c r="HG312" s="535">
        <f t="shared" si="660"/>
        <v>0</v>
      </c>
      <c r="HH312" s="535" t="str">
        <f t="shared" si="661"/>
        <v/>
      </c>
      <c r="HI312" s="535">
        <f>IF(GK312="P",Lookup!$N$12,IF(GK312="PP",Lookup!$N$13,IF(GK312="PPP",Lookup!$N$14,IF(GK312="T",Lookup!$N$15,IF(GK312="TP",Lookup!$N$16,IF(GK312="TPP",Lookup!$N$17,IF(GK312="TPPP",Lookup!$N$18,0)))))))*GJ312</f>
        <v>0</v>
      </c>
      <c r="HJ312" s="521">
        <f t="shared" si="755"/>
        <v>0</v>
      </c>
      <c r="HK312" s="535">
        <f t="shared" si="756"/>
        <v>110.76302500188079</v>
      </c>
      <c r="HL312" s="535">
        <f t="shared" si="663"/>
        <v>36.102680900221898</v>
      </c>
      <c r="HM312" s="535"/>
      <c r="HN312" s="541"/>
      <c r="HO312" s="541"/>
      <c r="HP312" s="541"/>
      <c r="HQ312" s="541">
        <f>IF(AND(B312&gt;=$FV$4,B312&lt;=$FW$4),MAX(110/1.02+$HQ$6+MIN(113/1.02,G312),IF($HV$6-(Sheet1!DA310-Sheet1!DB310)+MIN(113/1.02,G312)&lt;G312+FL312,$HV$6-(Sheet1!DA310-Sheet1!DB310)+MIN(113/1.02,G312),G312+FL312)),MIN(110/1.02+$HQ$6+113/1.02,G312))</f>
        <v>218.62745098039215</v>
      </c>
      <c r="HR312" s="541">
        <f t="shared" si="679"/>
        <v>223</v>
      </c>
      <c r="HS312" s="541">
        <f>HR312+(Sheet1!DA310-Sheet1!DB310)</f>
        <v>523</v>
      </c>
      <c r="HT312" s="541">
        <f t="shared" si="680"/>
        <v>0</v>
      </c>
      <c r="HU312" s="541">
        <f t="shared" si="681"/>
        <v>523</v>
      </c>
      <c r="HV312" s="541">
        <f t="shared" si="682"/>
        <v>0</v>
      </c>
      <c r="HW312" s="533" t="str">
        <f t="shared" si="683"/>
        <v/>
      </c>
      <c r="HX312" s="541">
        <f t="shared" si="684"/>
        <v>877.16169730904164</v>
      </c>
      <c r="HY312" s="541">
        <f>Sheet1!CZ310</f>
        <v>1150</v>
      </c>
      <c r="HZ312" s="541">
        <f t="shared" si="685"/>
        <v>54.210851710566146</v>
      </c>
      <c r="IA312" s="541">
        <f t="shared" si="686"/>
        <v>0</v>
      </c>
      <c r="IB312" s="541">
        <f t="shared" si="687"/>
        <v>1095.7891482894338</v>
      </c>
      <c r="IC312" s="1019" t="str">
        <f t="shared" si="688"/>
        <v/>
      </c>
      <c r="ID312" s="541">
        <f t="shared" si="689"/>
        <v>1095.7891482894338</v>
      </c>
      <c r="IE312" s="541">
        <f>Sheet1!DB310</f>
        <v>1150</v>
      </c>
      <c r="IF312" s="533">
        <f>Sheet1!DA310</f>
        <v>1450</v>
      </c>
      <c r="IH312" s="541">
        <f>IF(AND($B312&gt;=$GC312,$B312&lt;=$GH312,$DR312&lt;0)+N("only adjusted when pool is drawn down during storage season"),Sheet1!$DB310+$DR312+N("Palmer minus all storage release"),Sheet1!$DB310)</f>
        <v>775.56732223828612</v>
      </c>
      <c r="II312" s="541">
        <f>IF(AND($B312&gt;=$GC312,$B312&lt;=$GH312,$DR312&lt;0)+N("only adjusted when pool is drawn down during storage season"),Sheet1!$DA310+$DR312+N("Auburn minus all storage release"),Sheet1!$DA310)</f>
        <v>1075.5673222382861</v>
      </c>
    </row>
    <row r="313" spans="1:243" x14ac:dyDescent="0.25">
      <c r="A313" s="553" t="s">
        <v>3</v>
      </c>
      <c r="B313" s="531">
        <v>43037</v>
      </c>
      <c r="C313" s="536">
        <v>0</v>
      </c>
      <c r="D313" s="506">
        <f t="shared" si="633"/>
        <v>300</v>
      </c>
      <c r="E313" s="506">
        <f t="shared" si="634"/>
        <v>250</v>
      </c>
      <c r="F313" s="506">
        <v>250</v>
      </c>
      <c r="G313" s="535">
        <f>DR313+Sheet1!CZ311</f>
        <v>658.698940997725</v>
      </c>
      <c r="H313" s="1074">
        <f t="shared" si="690"/>
        <v>292.91182330092943</v>
      </c>
      <c r="I313" s="534">
        <f>IF(Sheet1!DA311&gt;=E313,(Sheet1!DA311-E313+P313)*CFStoMGD,0)</f>
        <v>797.94482784000002</v>
      </c>
      <c r="J313" s="995">
        <f>IF(Sheet1!DB311&gt;=D313,(Sheet1!DB311-D313+P313)*CFStoMGD,0)</f>
        <v>578.16882783999995</v>
      </c>
      <c r="K313" s="818">
        <f t="shared" si="665"/>
        <v>64.64</v>
      </c>
      <c r="L313" s="535">
        <f>Sheet1!AA311+Sheet1!AB311-Sheet1!L311+(Sheet1!DA311-F313)*CFStoMGD-S313-T313-U313</f>
        <v>784.80159566786995</v>
      </c>
      <c r="M313" s="535">
        <f t="shared" si="697"/>
        <v>434.29865537014803</v>
      </c>
      <c r="N313" s="824">
        <f>IF(Sheet1!DA311&gt;=F313,MIN(113*CFStoMGD,MIN(MAX(L313,0),MAX(M313,0))),0)</f>
        <v>73.043199999999999</v>
      </c>
      <c r="O313" s="538">
        <f>Sheet1!AA311+Sheet1!AB311</f>
        <v>61.05</v>
      </c>
      <c r="P313" s="538">
        <f t="shared" si="698"/>
        <v>94.444349999999986</v>
      </c>
      <c r="Q313" s="812">
        <f t="shared" si="666"/>
        <v>0</v>
      </c>
      <c r="R313" s="812">
        <f t="shared" si="635"/>
        <v>13.144404332129962</v>
      </c>
      <c r="S313" s="1115">
        <f t="shared" si="757"/>
        <v>13.144404332129962</v>
      </c>
      <c r="T313" s="812">
        <f t="shared" si="637"/>
        <v>0</v>
      </c>
      <c r="U313" s="812">
        <f>IF(AND(B313&gt;=FV313,B313&lt;=FW313),ED313+Sheet1!EH311,0)</f>
        <v>0</v>
      </c>
      <c r="V313" s="812"/>
      <c r="W313" s="812">
        <f t="shared" si="638"/>
        <v>51.495595667870035</v>
      </c>
      <c r="X313" s="812">
        <f t="shared" si="639"/>
        <v>13.144404332129962</v>
      </c>
      <c r="Y313" s="812" t="str">
        <f t="shared" si="640"/>
        <v/>
      </c>
      <c r="Z313" s="812">
        <f t="shared" si="641"/>
        <v>61.05</v>
      </c>
      <c r="AA313" s="812">
        <f t="shared" si="642"/>
        <v>13.144404332129962</v>
      </c>
      <c r="AB313" s="1059">
        <f t="shared" si="667"/>
        <v>0</v>
      </c>
      <c r="AC313" s="538">
        <f>Sheet1!Y311*MGDtoCFS</f>
        <v>43.470700000000001</v>
      </c>
      <c r="AD313" s="538">
        <f>Sheet1!Z311*MGDtoCFS</f>
        <v>50.896299999999997</v>
      </c>
      <c r="AE313" s="538">
        <f>Sheet1!AA311*MGDtoCFS</f>
        <v>43.393349999999998</v>
      </c>
      <c r="AF313" s="538">
        <f>Sheet1!AB311*MGDtoCFS</f>
        <v>51.050999999999995</v>
      </c>
      <c r="AG313" s="538">
        <f>Sheet1!L311*MGDtoCFS</f>
        <v>0</v>
      </c>
      <c r="AH313" s="521">
        <f t="shared" si="699"/>
        <v>34.761191335740065</v>
      </c>
      <c r="AI313" s="1059">
        <f t="shared" si="700"/>
        <v>53.77556299638988</v>
      </c>
      <c r="AJ313" s="535">
        <f t="shared" si="701"/>
        <v>0</v>
      </c>
      <c r="AK313" s="535">
        <f t="shared" si="702"/>
        <v>0</v>
      </c>
      <c r="AL313" s="535">
        <f>(VLOOKUP(Sheet1!DC311,hhdcap_wcm,4)-(((VLOOKUP(Sheet1!DC311,hhdcap_wcm,3)-Sheet1!DC311)/(VLOOKUP(Sheet1!DC311,hhdcap_wcm,3)-VLOOKUP(Sheet1!DC311,hhdcap_wcm,1)))*(VLOOKUP(Sheet1!DC311,hhdcap_wcm,4)-VLOOKUP(Sheet1!DC311,hhdcap_wcm,2))))</f>
        <v>3235.9000000076398</v>
      </c>
      <c r="AM313" s="535">
        <f t="shared" si="703"/>
        <v>-875.10000000151149</v>
      </c>
      <c r="AN313" s="1035">
        <f t="shared" si="704"/>
        <v>-140.66541972811797</v>
      </c>
      <c r="AO313" s="535">
        <f t="shared" si="705"/>
        <v>-431.56150772586591</v>
      </c>
      <c r="AP313" s="535">
        <f>Sheet1!BA311+Sheet1!BB311+Sheet1!BN311+CD313</f>
        <v>20</v>
      </c>
      <c r="AQ313" s="535">
        <f>Sheet1!BN311+(DO313*Sheet1!BN311)</f>
        <v>19.855595667870034</v>
      </c>
      <c r="AR313" s="535">
        <f>Sheet1!BA311+CD313</f>
        <v>0</v>
      </c>
      <c r="AS313" s="535">
        <f>Sheet1!BA311+Sheet1!BB311+CD313</f>
        <v>0</v>
      </c>
      <c r="AT313" s="649">
        <f>0</f>
        <v>0</v>
      </c>
      <c r="AU313" s="974">
        <f>BA313+MAX(Sheet1!EH311,(O313-Q313-ED313-S313))</f>
        <v>34.761191335740065</v>
      </c>
      <c r="AV313" s="535">
        <f>IF(OR(B313&gt;=GD313,B313&lt;GC313),0,15/36*K313-MAX(0,64.6-(137.6-(Sheet1!AA311+Sheet1!AB311))))</f>
        <v>0</v>
      </c>
      <c r="AW313" s="1029"/>
      <c r="AX313" s="649"/>
      <c r="AY313" s="649">
        <f t="shared" si="668"/>
        <v>23.311716569431731</v>
      </c>
      <c r="AZ313" s="649">
        <f t="shared" si="669"/>
        <v>0</v>
      </c>
      <c r="BA313" s="1059">
        <f t="shared" si="670"/>
        <v>0</v>
      </c>
      <c r="BB313" s="1019">
        <f t="shared" si="706"/>
        <v>-261.75007548537201</v>
      </c>
      <c r="BC313" s="1041">
        <f t="shared" si="671"/>
        <v>26.933333333333334</v>
      </c>
      <c r="BD313" s="1019">
        <f ca="1">IF(B313&gt;(Summary!$A$1-1),#N/A,BB313*MGtoAF)</f>
        <v>-803.04923158912129</v>
      </c>
      <c r="BE313" s="535">
        <f>Sheet1!BG311+Sheet1!BH311+Sheet1!BI311-BM313</f>
        <v>2.9</v>
      </c>
      <c r="BF313" s="535">
        <f t="shared" si="707"/>
        <v>2.8790613718411548</v>
      </c>
      <c r="BG313" s="535">
        <f>IF(Sheet1!EP311="FM",BM313,0)</f>
        <v>0</v>
      </c>
      <c r="BH313" s="535">
        <f t="shared" si="708"/>
        <v>0</v>
      </c>
      <c r="BI313" s="535">
        <f>IF(Sheet1!EP311="OTHER",BM313,0)</f>
        <v>0</v>
      </c>
      <c r="BJ313" s="535">
        <f t="shared" si="709"/>
        <v>0</v>
      </c>
      <c r="BK313" s="535">
        <f t="shared" si="710"/>
        <v>2.9</v>
      </c>
      <c r="BL313" s="535">
        <f t="shared" si="711"/>
        <v>2.8790613718411548</v>
      </c>
      <c r="BM313" s="535">
        <f>IF(OR(Sheet1!EP311="FM", Sheet1!EP311="OTHER"),SUM(Sheet1!BG311:'Sheet1'!BI311),0)</f>
        <v>0</v>
      </c>
      <c r="BN313" s="1115">
        <v>0</v>
      </c>
      <c r="BO313" s="535">
        <f t="shared" si="712"/>
        <v>0</v>
      </c>
      <c r="BP313" s="521">
        <f t="shared" si="713"/>
        <v>2.8790613718411548</v>
      </c>
      <c r="BQ313" s="521">
        <f>IF(AND($O313&gt;0,Sheet1!EM311=1),(1-($O313-Sheet1!$L311)/$O313)*BL313,0)</f>
        <v>0</v>
      </c>
      <c r="BR313" s="521">
        <f>IF(AND(Sheet1!$L311=0,Sheet1!$L310=0, Calculation!BK313&lt;Sheet1!$EI311-0.1,Sheet1!$EI311=Sheet1!$EI310,Sheet1!$EI311=Sheet1!$EI312),BL313-BQ313,BL313-BQ313)</f>
        <v>2.8790613718411548</v>
      </c>
      <c r="BS313" s="1035" t="str">
        <f t="shared" si="672"/>
        <v/>
      </c>
      <c r="BT313" s="1035">
        <f t="shared" si="673"/>
        <v>12.568888888888889</v>
      </c>
      <c r="BU313" s="535">
        <f t="shared" si="714"/>
        <v>24.584534516318428</v>
      </c>
      <c r="BV313" s="535"/>
      <c r="BW313" s="535">
        <f ca="1">IF(B313&gt;(Summary!$A$1-1),#N/A,BU313*MGtoAF)</f>
        <v>75.425351896064939</v>
      </c>
      <c r="BX313" s="535">
        <f>Sheet1!BC311+Sheet1!BD311+Sheet1!BE311+Sheet1!BF311-CG313-CH313</f>
        <v>3.4800000000000004</v>
      </c>
      <c r="BY313" s="535">
        <f t="shared" si="715"/>
        <v>3.4548736462093865</v>
      </c>
      <c r="BZ313" s="535">
        <f>IF(Sheet1!EQ311="FM",CH313,0)</f>
        <v>0</v>
      </c>
      <c r="CA313" s="535">
        <f t="shared" si="716"/>
        <v>0</v>
      </c>
      <c r="CB313" s="535">
        <f>IF(Sheet1!EQ311="OTHER",CH313,0)</f>
        <v>0</v>
      </c>
      <c r="CC313" s="535">
        <f t="shared" si="717"/>
        <v>0</v>
      </c>
      <c r="CD313" s="535">
        <f t="shared" si="718"/>
        <v>0</v>
      </c>
      <c r="CE313" s="535">
        <f t="shared" si="719"/>
        <v>3.4800000000000004</v>
      </c>
      <c r="CF313" s="535">
        <f t="shared" si="720"/>
        <v>3.4548736462093865</v>
      </c>
      <c r="CG313" s="535">
        <f>IF(Sheet1!EQ311="CWA",SUM(Sheet1!BC311:'Sheet1'!BF311),0)</f>
        <v>0</v>
      </c>
      <c r="CH313" s="535">
        <f>IF(OR(Sheet1!EQ311="FM", Sheet1!EQ311="OTHER"),SUM(Sheet1!BC311:'Sheet1'!BF311),0)</f>
        <v>0</v>
      </c>
      <c r="CI313" s="1115">
        <v>0</v>
      </c>
      <c r="CJ313" s="535">
        <f t="shared" si="721"/>
        <v>0</v>
      </c>
      <c r="CK313" s="521">
        <f t="shared" si="722"/>
        <v>3.4548736462093865</v>
      </c>
      <c r="CL313" s="521">
        <f>IF(AND($O313&gt;0,Sheet1!EN311=1),(1-($O313-Sheet1!$L311)/$O313)*CF313,0)</f>
        <v>0</v>
      </c>
      <c r="CM313" s="521">
        <f>IF(AND(Sheet1!$L311=0,Sheet1!$L310=0, Calculation!CE313&lt;Sheet1!EJ311-0.1,Sheet1!EJ311=Sheet1!EJ310,Sheet1!EJ311=Sheet1!EJ312),CF313-CL313,CF313-CL313)</f>
        <v>3.4548736462093865</v>
      </c>
      <c r="CN313" s="1040" t="str">
        <f t="shared" si="674"/>
        <v/>
      </c>
      <c r="CO313" s="1035">
        <f t="shared" si="675"/>
        <v>12.568888888888889</v>
      </c>
      <c r="CP313" s="535">
        <f t="shared" si="723"/>
        <v>60.397440340713686</v>
      </c>
      <c r="CQ313" s="535"/>
      <c r="CR313" s="535">
        <f ca="1">IF(B313&gt;(Summary!$A$1-1),#N/A,CP313*MGtoAF)</f>
        <v>185.29934696530958</v>
      </c>
      <c r="CS313" s="535">
        <f>Sheet1!BK311+Sheet1!BL311+Sheet1!BM311-Sheet1!ER311-DA313</f>
        <v>6.86</v>
      </c>
      <c r="CT313" s="535">
        <f t="shared" si="724"/>
        <v>6.8104693140794224</v>
      </c>
      <c r="CU313" s="535">
        <f>IF(Sheet1!ER311="FM",DA313,0)</f>
        <v>0</v>
      </c>
      <c r="CV313" s="535">
        <f t="shared" si="725"/>
        <v>0</v>
      </c>
      <c r="CW313" s="535">
        <f>IF(Sheet1!ER311="OTHER",DA313,0)</f>
        <v>0</v>
      </c>
      <c r="CX313" s="535">
        <f t="shared" si="726"/>
        <v>0</v>
      </c>
      <c r="CY313" s="535">
        <f t="shared" si="727"/>
        <v>6.86</v>
      </c>
      <c r="CZ313" s="535">
        <f t="shared" si="728"/>
        <v>6.8104693140794224</v>
      </c>
      <c r="DA313" s="535">
        <f>IF(OR(Sheet1!ER311="FM", Sheet1!ER311="OTHER"),SUM(Sheet1!BK311:'Sheet1'!BM311),0)</f>
        <v>0</v>
      </c>
      <c r="DB313" s="1115">
        <v>0</v>
      </c>
      <c r="DC313" s="1012">
        <f t="shared" si="729"/>
        <v>0</v>
      </c>
      <c r="DD313" s="1011">
        <f t="shared" si="730"/>
        <v>6.8104693140794224</v>
      </c>
      <c r="DE313" s="521">
        <f>IF(AND($O313&gt;0,Sheet1!EO311=1),(1-($O313-Sheet1!$L311)/$O313)*CZ313,0)</f>
        <v>0</v>
      </c>
      <c r="DF313" s="521">
        <f>IF(AND(Sheet1!$L311=0,Sheet1!$L310=0, Calculation!CY313&lt;Sheet1!$EK311-0.1,Sheet1!$EK311=Sheet1!$EK310,Sheet1!$EK311=Sheet1!$EK312),CZ313-DE313,CZ313-DE313)</f>
        <v>6.8104693140794224</v>
      </c>
      <c r="DG313" s="1040">
        <f t="shared" si="676"/>
        <v>12.568888888888889</v>
      </c>
      <c r="DH313" s="649">
        <f t="shared" si="731"/>
        <v>13.240000000000002</v>
      </c>
      <c r="DI313" s="535">
        <f t="shared" si="732"/>
        <v>36.102680900221898</v>
      </c>
      <c r="DJ313" s="649">
        <f t="shared" si="733"/>
        <v>13.144404332129962</v>
      </c>
      <c r="DK313" s="535">
        <f ca="1">IF(B313&gt;(Summary!$A$1-1),#N/A,DI313*MGtoAF)</f>
        <v>110.76302500188079</v>
      </c>
      <c r="DL313" s="649">
        <f t="shared" si="734"/>
        <v>13.24</v>
      </c>
      <c r="DM313" s="535">
        <f t="shared" si="735"/>
        <v>33.24</v>
      </c>
      <c r="DN313" s="535">
        <f>Sheet1!AB311-DM313</f>
        <v>-0.24000000000000199</v>
      </c>
      <c r="DO313" s="743">
        <f t="shared" si="736"/>
        <v>-7.2202166064982542E-3</v>
      </c>
      <c r="DP313" s="535">
        <f>(VLOOKUP(Sheet1!DC311,hhdcap_wcm,4)-(((VLOOKUP(Sheet1!DC311,hhdcap_wcm,3)-Sheet1!DC311)/(VLOOKUP(Sheet1!DC311,hhdcap_wcm,3)-VLOOKUP(Sheet1!DC311,hhdcap_wcm,1)))*(VLOOKUP(Sheet1!DC311,hhdcap_wcm,4)-VLOOKUP(Sheet1!DC311,hhdcap_wcm,2))))</f>
        <v>3235.9000000076398</v>
      </c>
      <c r="DQ313" s="535">
        <f t="shared" si="737"/>
        <v>-875.10000000151149</v>
      </c>
      <c r="DR313" s="535">
        <f t="shared" si="738"/>
        <v>-441.301059002275</v>
      </c>
      <c r="DS313" s="535">
        <f>Sheet1!EA311*AFtoMG</f>
        <v>0</v>
      </c>
      <c r="DT313" s="535">
        <f>Sheet1!EB311*AFtoMG</f>
        <v>0</v>
      </c>
      <c r="DU313" s="535">
        <f>Sheet1!EC311*AFtoMG</f>
        <v>0</v>
      </c>
      <c r="DV313" s="535">
        <f>Sheet1!ED311*AFtoMG</f>
        <v>0</v>
      </c>
      <c r="DW313" s="535">
        <f t="shared" si="739"/>
        <v>0</v>
      </c>
      <c r="DX313" s="535">
        <f t="shared" si="740"/>
        <v>0</v>
      </c>
      <c r="DY313" s="535">
        <f t="shared" si="741"/>
        <v>-140.66541972811797</v>
      </c>
      <c r="DZ313" s="535">
        <f t="shared" si="742"/>
        <v>-431.56150772586591</v>
      </c>
      <c r="EA313" s="535"/>
      <c r="EB313" s="521">
        <f>IF(OR(B313&lt;FV313,B313&gt;FW313),(MIN(BF313+BY313+CT313+MAX(Sheet1!AA311+AQ313-73,0),K313)),0)</f>
        <v>13.144404332129962</v>
      </c>
      <c r="EC313" s="535"/>
      <c r="ED313" s="535">
        <f t="shared" si="743"/>
        <v>13.144404332129962</v>
      </c>
      <c r="EE313" s="535"/>
      <c r="EF313" s="535">
        <f>Sheet1!EH311+Sheet1!EI311+Sheet1!EJ311+Sheet1!EK311</f>
        <v>13</v>
      </c>
      <c r="EG313" s="1019">
        <f t="shared" si="677"/>
        <v>20.111000000000001</v>
      </c>
      <c r="EH313" s="521">
        <f t="shared" si="744"/>
        <v>0</v>
      </c>
      <c r="EI313" s="535">
        <f>IF(Sheet1!ET311=1,SUM('Calculations II'!AT313:BA313)+'Calculations II'!BC313+Sheet1!BV311+'Calculations II'!BE313+AP313,'Calculations II'!BK313)</f>
        <v>44.534251667870038</v>
      </c>
      <c r="EJ313" s="535">
        <f ca="1">EI313+'Calculations II'!D313+'Calculations II'!E313+'Calculations II'!O313</f>
        <v>49.333405033296962</v>
      </c>
      <c r="EK313" s="535"/>
      <c r="EL313" s="535"/>
      <c r="EM313" s="535">
        <f t="shared" si="745"/>
        <v>43037</v>
      </c>
      <c r="EN313" s="535">
        <f t="shared" si="746"/>
        <v>-34.761191335740065</v>
      </c>
      <c r="EO313" s="535">
        <f t="shared" si="747"/>
        <v>-53.77556299638988</v>
      </c>
      <c r="EP313" s="535">
        <v>0</v>
      </c>
      <c r="EQ313" s="535">
        <v>0</v>
      </c>
      <c r="ER313" s="535">
        <v>0</v>
      </c>
      <c r="ES313" s="521">
        <f t="shared" si="643"/>
        <v>-2.7675812080462801</v>
      </c>
      <c r="ET313" s="535">
        <f>-(VLOOKUP(Sheet1!BQ311,Lookup!$O$4:$Q$262,2)-VLOOKUP(Sheet1!BQ310,Lookup!$O$4:$Q$262,2))/1000000</f>
        <v>-1.3835343710254842</v>
      </c>
      <c r="EU313" s="535">
        <f>-(VLOOKUP(Sheet1!BR311,Lookup!$O$4:$Q$262,3)-VLOOKUP(Sheet1!BR310,Lookup!$O$4:$Q$262,3))/1000000</f>
        <v>-1.3840468370207959</v>
      </c>
      <c r="EV313" s="535"/>
      <c r="EW313" s="535"/>
      <c r="EX313" s="535"/>
      <c r="EY313" s="535"/>
      <c r="EZ313" s="535"/>
      <c r="FA313" s="535"/>
      <c r="FB313" s="535"/>
      <c r="FC313" s="535"/>
      <c r="FD313" s="567">
        <f t="shared" si="693"/>
        <v>1094.2260869564834</v>
      </c>
      <c r="FE313" s="567" t="e">
        <f t="shared" si="748"/>
        <v>#N/A</v>
      </c>
      <c r="FF313" s="568" t="e">
        <f t="shared" si="749"/>
        <v>#N/A</v>
      </c>
      <c r="FG313" s="569" t="s">
        <v>656</v>
      </c>
      <c r="FH313" s="569" t="s">
        <v>656</v>
      </c>
      <c r="FI313" s="567" t="e">
        <v>#N/A</v>
      </c>
      <c r="FJ313" s="725">
        <v>3329</v>
      </c>
      <c r="FK313" s="535"/>
      <c r="FL313" s="1015">
        <f t="shared" si="692"/>
        <v>105.90015128593041</v>
      </c>
      <c r="FM313" s="535"/>
      <c r="FN313" s="535"/>
      <c r="FO313" s="535">
        <f>O313+((Sheet1!CS311)*GPMtoMGD)</f>
        <v>61.05</v>
      </c>
      <c r="FP313" s="535">
        <f>IF(Sheet1!AA311+AQ313&lt;=Calculation!N313,AQ313,Calculation!N313-Sheet1!AA311)</f>
        <v>19.855595667870034</v>
      </c>
      <c r="FQ313" s="535">
        <f>(Sheet1!BP311+Sheet1!BO311)/694.4</f>
        <v>1.3251728110599077</v>
      </c>
      <c r="FR313" s="541"/>
      <c r="FS313" s="541"/>
      <c r="FT313" s="541"/>
      <c r="FU313" s="541"/>
      <c r="FV313" s="1109">
        <f t="shared" si="644"/>
        <v>42918</v>
      </c>
      <c r="FW313" s="1109">
        <f t="shared" si="645"/>
        <v>43027</v>
      </c>
      <c r="FX313" s="541"/>
      <c r="FY313" s="541">
        <f>Sheet1!DA311-Sheet1!CZ311-Sheet1!AE311</f>
        <v>195.55565000000001</v>
      </c>
      <c r="FZ313" s="535">
        <f t="shared" si="678"/>
        <v>0.29688168270590165</v>
      </c>
      <c r="GA313" s="535"/>
      <c r="GB313" s="535" t="str">
        <f t="shared" si="646"/>
        <v>n</v>
      </c>
      <c r="GC313" s="539">
        <f t="shared" si="647"/>
        <v>42782</v>
      </c>
      <c r="GD313" s="1109">
        <f t="shared" si="648"/>
        <v>42904</v>
      </c>
      <c r="GE313" s="535">
        <f t="shared" si="664"/>
        <v>6520</v>
      </c>
      <c r="GF313" s="1109">
        <f t="shared" si="649"/>
        <v>42909</v>
      </c>
      <c r="GG313" s="535">
        <f t="shared" si="691"/>
        <v>3260</v>
      </c>
      <c r="GH313" s="539">
        <f t="shared" si="650"/>
        <v>43040</v>
      </c>
      <c r="GJ313" s="521">
        <f t="shared" si="651"/>
        <v>0</v>
      </c>
      <c r="GK313" s="535" t="str">
        <f t="shared" si="750"/>
        <v/>
      </c>
      <c r="GL313" s="535">
        <f t="shared" si="652"/>
        <v>0</v>
      </c>
      <c r="GM313" s="535" t="str">
        <f t="shared" si="653"/>
        <v/>
      </c>
      <c r="GN313" s="535">
        <f>IF(GK313="P",Lookup!$M$12,IF(GK313="PP",Lookup!$M$13,IF(GK313="PPP",Lookup!$M$14,IF(GK313="T",Lookup!$M$15,IF(GK313="TP",Lookup!$M$16,IF(GK313="TPP",Lookup!$M$17,IF(GK313="TPPP",Lookup!$M$18,0)))))))*GJ313</f>
        <v>0</v>
      </c>
      <c r="GO313" s="535">
        <f t="shared" si="654"/>
        <v>0</v>
      </c>
      <c r="GP313" s="535">
        <f t="shared" si="751"/>
        <v>-803.04923158912129</v>
      </c>
      <c r="GQ313" s="974">
        <f t="shared" si="695"/>
        <v>-261.75007548537201</v>
      </c>
      <c r="GR313" s="535"/>
      <c r="GS313" s="535">
        <f t="shared" si="655"/>
        <v>0</v>
      </c>
      <c r="GT313" s="535" t="str">
        <f t="shared" si="656"/>
        <v/>
      </c>
      <c r="GU313" s="535">
        <f>IF(GK313="P",Lookup!$N$12,IF(GK313="PP",Lookup!$N$13,IF(GK313="PPP",Lookup!$N$14,IF(GK313="T",Lookup!$N$15,IF(GK313="TP",Lookup!$N$16,IF(GK313="TPP",Lookup!$N$17,IF(GK313="TPPP",Lookup!$N$18,0)))))))*GJ313</f>
        <v>0</v>
      </c>
      <c r="GV313" s="535">
        <f t="shared" si="657"/>
        <v>0</v>
      </c>
      <c r="GW313" s="535">
        <f t="shared" si="752"/>
        <v>75.425351896064939</v>
      </c>
      <c r="GX313" s="974">
        <f t="shared" si="696"/>
        <v>24.584534516318428</v>
      </c>
      <c r="GY313" s="535"/>
      <c r="GZ313" s="535">
        <f t="shared" si="658"/>
        <v>0</v>
      </c>
      <c r="HA313" s="535" t="str">
        <f t="shared" si="659"/>
        <v/>
      </c>
      <c r="HB313" s="535">
        <f>IF(GK313="P",Lookup!$N$12,IF(GK313="PP",Lookup!$N$13,IF(GK313="PPP",Lookup!$N$14,IF(GK313="T",Lookup!$N$15,IF(GK313="TP",Lookup!$N$16,IF(GK313="TPP",Lookup!$N$17,IF(GK313="TPPP",Lookup!$N$18,0)))))))*GJ313</f>
        <v>0</v>
      </c>
      <c r="HC313" s="521">
        <f t="shared" si="753"/>
        <v>0</v>
      </c>
      <c r="HD313" s="535">
        <f t="shared" si="754"/>
        <v>185.29934696530958</v>
      </c>
      <c r="HE313" s="535">
        <f t="shared" si="662"/>
        <v>60.397440340713686</v>
      </c>
      <c r="HF313" s="535"/>
      <c r="HG313" s="535">
        <f t="shared" si="660"/>
        <v>0</v>
      </c>
      <c r="HH313" s="535" t="str">
        <f t="shared" si="661"/>
        <v/>
      </c>
      <c r="HI313" s="535">
        <f>IF(GK313="P",Lookup!$N$12,IF(GK313="PP",Lookup!$N$13,IF(GK313="PPP",Lookup!$N$14,IF(GK313="T",Lookup!$N$15,IF(GK313="TP",Lookup!$N$16,IF(GK313="TPP",Lookup!$N$17,IF(GK313="TPPP",Lookup!$N$18,0)))))))*GJ313</f>
        <v>0</v>
      </c>
      <c r="HJ313" s="521">
        <f t="shared" si="755"/>
        <v>0</v>
      </c>
      <c r="HK313" s="535">
        <f t="shared" si="756"/>
        <v>110.76302500188079</v>
      </c>
      <c r="HL313" s="535">
        <f t="shared" si="663"/>
        <v>36.102680900221898</v>
      </c>
      <c r="HM313" s="535"/>
      <c r="HN313" s="541"/>
      <c r="HO313" s="541"/>
      <c r="HP313" s="541"/>
      <c r="HQ313" s="541">
        <f>IF(AND(B313&gt;=$FV$4,B313&lt;=$FW$4),MAX(110/1.02+$HQ$6+MIN(113/1.02,G313),IF($HV$6-(Sheet1!DA311-Sheet1!DB311)+MIN(113/1.02,G313)&lt;G313+FL313,$HV$6-(Sheet1!DA311-Sheet1!DB311)+MIN(113/1.02,G313),G313+FL313)),MIN(110/1.02+$HQ$6+113/1.02,G313))</f>
        <v>218.62745098039215</v>
      </c>
      <c r="HR313" s="541">
        <f t="shared" si="679"/>
        <v>223</v>
      </c>
      <c r="HS313" s="541">
        <f>HR313+(Sheet1!DA311-Sheet1!DB311)</f>
        <v>513</v>
      </c>
      <c r="HT313" s="541">
        <f t="shared" si="680"/>
        <v>0</v>
      </c>
      <c r="HU313" s="541">
        <f t="shared" si="681"/>
        <v>513</v>
      </c>
      <c r="HV313" s="541">
        <f t="shared" si="682"/>
        <v>0</v>
      </c>
      <c r="HW313" s="533" t="str">
        <f t="shared" si="683"/>
        <v/>
      </c>
      <c r="HX313" s="541">
        <f t="shared" si="684"/>
        <v>827.59698602321794</v>
      </c>
      <c r="HY313" s="541">
        <f>Sheet1!CZ311</f>
        <v>1100</v>
      </c>
      <c r="HZ313" s="541">
        <f t="shared" si="685"/>
        <v>53.77556299638988</v>
      </c>
      <c r="IA313" s="541">
        <f t="shared" si="686"/>
        <v>0</v>
      </c>
      <c r="IB313" s="541">
        <f t="shared" si="687"/>
        <v>1046.2244370036101</v>
      </c>
      <c r="IC313" s="1019" t="str">
        <f t="shared" si="688"/>
        <v/>
      </c>
      <c r="ID313" s="541">
        <f t="shared" si="689"/>
        <v>1046.2244370036101</v>
      </c>
      <c r="IE313" s="541">
        <f>Sheet1!DB311</f>
        <v>1100</v>
      </c>
      <c r="IF313" s="533">
        <f>Sheet1!DA311</f>
        <v>1390</v>
      </c>
      <c r="IH313" s="541">
        <f>IF(AND($B313&gt;=$GC313,$B313&lt;=$GH313,$DR313&lt;0)+N("only adjusted when pool is drawn down during storage season"),Sheet1!$DB311+$DR313+N("Palmer minus all storage release"),Sheet1!$DB311)</f>
        <v>658.698940997725</v>
      </c>
      <c r="II313" s="541">
        <f>IF(AND($B313&gt;=$GC313,$B313&lt;=$GH313,$DR313&lt;0)+N("only adjusted when pool is drawn down during storage season"),Sheet1!$DA311+$DR313+N("Auburn minus all storage release"),Sheet1!$DA311)</f>
        <v>948.698940997725</v>
      </c>
    </row>
    <row r="314" spans="1:243" x14ac:dyDescent="0.25">
      <c r="A314" s="553" t="s">
        <v>4</v>
      </c>
      <c r="B314" s="531">
        <v>43038</v>
      </c>
      <c r="C314" s="536">
        <v>0</v>
      </c>
      <c r="D314" s="506">
        <f t="shared" si="633"/>
        <v>300</v>
      </c>
      <c r="E314" s="506">
        <f t="shared" si="634"/>
        <v>250</v>
      </c>
      <c r="F314" s="506">
        <v>250</v>
      </c>
      <c r="G314" s="535">
        <f>DR314+Sheet1!CZ312</f>
        <v>484.00050428533052</v>
      </c>
      <c r="H314" s="1074">
        <f t="shared" si="690"/>
        <v>231.06235361803763</v>
      </c>
      <c r="I314" s="534">
        <f>IF(Sheet1!DA312&gt;=E314,(Sheet1!DA312-E314+P314)*CFStoMGD,0)</f>
        <v>752.70682764799994</v>
      </c>
      <c r="J314" s="995">
        <f>IF(Sheet1!DB312&gt;=D314,(Sheet1!DB312-D314+P314)*CFStoMGD,0)</f>
        <v>520.00282764799999</v>
      </c>
      <c r="K314" s="818">
        <f t="shared" si="665"/>
        <v>64.64</v>
      </c>
      <c r="L314" s="535">
        <f>Sheet1!AA312+Sheet1!AB312-Sheet1!L312+(Sheet1!DA312-F314)*CFStoMGD-S314-T314-U314</f>
        <v>734.71588996372429</v>
      </c>
      <c r="M314" s="535">
        <f t="shared" si="697"/>
        <v>319.1150844894384</v>
      </c>
      <c r="N314" s="824">
        <f>IF(Sheet1!DA312&gt;=F314,MIN(113*CFStoMGD,MIN(MAX(L314,0),MAX(M314,0))),0)</f>
        <v>73.043199999999999</v>
      </c>
      <c r="O314" s="538">
        <f>Sheet1!AA312+Sheet1!AB312</f>
        <v>61.06</v>
      </c>
      <c r="P314" s="538">
        <f t="shared" si="698"/>
        <v>94.459819999999993</v>
      </c>
      <c r="Q314" s="812">
        <f t="shared" si="666"/>
        <v>0</v>
      </c>
      <c r="R314" s="812">
        <f t="shared" si="635"/>
        <v>13.152110036275696</v>
      </c>
      <c r="S314" s="1115">
        <f t="shared" si="757"/>
        <v>13.152110036275696</v>
      </c>
      <c r="T314" s="812">
        <f t="shared" si="637"/>
        <v>0</v>
      </c>
      <c r="U314" s="812">
        <f>IF(AND(B314&gt;=FV314,B314&lt;=FW314),ED314+Sheet1!EH312,0)</f>
        <v>0</v>
      </c>
      <c r="V314" s="812"/>
      <c r="W314" s="812">
        <f t="shared" si="638"/>
        <v>51.487889963724307</v>
      </c>
      <c r="X314" s="812">
        <f t="shared" si="639"/>
        <v>13.152110036275696</v>
      </c>
      <c r="Y314" s="812" t="str">
        <f t="shared" si="640"/>
        <v/>
      </c>
      <c r="Z314" s="812">
        <f t="shared" si="641"/>
        <v>61.06</v>
      </c>
      <c r="AA314" s="812">
        <f t="shared" si="642"/>
        <v>13.152110036275696</v>
      </c>
      <c r="AB314" s="1059">
        <f t="shared" si="667"/>
        <v>0</v>
      </c>
      <c r="AC314" s="538">
        <f>Sheet1!Y312*MGDtoCFS</f>
        <v>43.393349999999998</v>
      </c>
      <c r="AD314" s="538">
        <f>Sheet1!Z312*MGDtoCFS</f>
        <v>51.050999999999995</v>
      </c>
      <c r="AE314" s="538">
        <f>Sheet1!AA312*MGDtoCFS</f>
        <v>43.393349999999998</v>
      </c>
      <c r="AF314" s="538">
        <f>Sheet1!AB312*MGDtoCFS</f>
        <v>51.066469999999995</v>
      </c>
      <c r="AG314" s="538">
        <f>Sheet1!L312*MGDtoCFS</f>
        <v>7.4874800000002244</v>
      </c>
      <c r="AH314" s="521">
        <f t="shared" si="699"/>
        <v>34.755779927448614</v>
      </c>
      <c r="AI314" s="1059">
        <f t="shared" si="700"/>
        <v>53.767191547763005</v>
      </c>
      <c r="AJ314" s="535">
        <f t="shared" si="701"/>
        <v>0</v>
      </c>
      <c r="AK314" s="535">
        <f t="shared" si="702"/>
        <v>0</v>
      </c>
      <c r="AL314" s="535">
        <f>(VLOOKUP(Sheet1!DC312,hhdcap_wcm,4)-(((VLOOKUP(Sheet1!DC312,hhdcap_wcm,3)-Sheet1!DC312)/(VLOOKUP(Sheet1!DC312,hhdcap_wcm,3)-VLOOKUP(Sheet1!DC312,hhdcap_wcm,1)))*(VLOOKUP(Sheet1!DC312,hhdcap_wcm,4)-VLOOKUP(Sheet1!DC312,hhdcap_wcm,2))))</f>
        <v>2349.5000000054501</v>
      </c>
      <c r="AM314" s="535">
        <f t="shared" si="703"/>
        <v>-886.4000000021897</v>
      </c>
      <c r="AN314" s="1035">
        <f t="shared" si="704"/>
        <v>-175.42119965556657</v>
      </c>
      <c r="AO314" s="535">
        <f t="shared" si="705"/>
        <v>-538.19224054327822</v>
      </c>
      <c r="AP314" s="535">
        <f>Sheet1!BA312+Sheet1!BB312+Sheet1!BN312+CD314</f>
        <v>19.899999999999999</v>
      </c>
      <c r="AQ314" s="535">
        <f>Sheet1!BN312+(DO314*Sheet1!BN312)</f>
        <v>19.857889963724304</v>
      </c>
      <c r="AR314" s="535">
        <f>Sheet1!BA312+CD314</f>
        <v>0</v>
      </c>
      <c r="AS314" s="535">
        <f>Sheet1!BA312+Sheet1!BB312+CD314</f>
        <v>0</v>
      </c>
      <c r="AT314" s="649">
        <f>0</f>
        <v>0</v>
      </c>
      <c r="AU314" s="974">
        <f>BA314+MAX(Sheet1!EH312,(O314-Q314-ED314-S314))</f>
        <v>34.755779927448614</v>
      </c>
      <c r="AV314" s="535">
        <f>IF(OR(B314&gt;=GD314,B314&lt;GC314),0,15/36*K314-MAX(0,64.6-(137.6-(Sheet1!AA312+Sheet1!AB312))))</f>
        <v>0</v>
      </c>
      <c r="AW314" s="1029"/>
      <c r="AX314" s="649"/>
      <c r="AY314" s="649">
        <f t="shared" si="668"/>
        <v>23.311716569431731</v>
      </c>
      <c r="AZ314" s="649">
        <f t="shared" si="669"/>
        <v>0</v>
      </c>
      <c r="BA314" s="1059">
        <f t="shared" si="670"/>
        <v>0</v>
      </c>
      <c r="BB314" s="1019">
        <f t="shared" si="706"/>
        <v>-296.50585541282061</v>
      </c>
      <c r="BC314" s="1041">
        <f t="shared" si="671"/>
        <v>26.933333333333334</v>
      </c>
      <c r="BD314" s="1019">
        <f ca="1">IF(B314&gt;(Summary!$A$1-1),#N/A,BB314*MGtoAF)</f>
        <v>-909.6799644065336</v>
      </c>
      <c r="BE314" s="535">
        <f>Sheet1!BG312+Sheet1!BH312+Sheet1!BI312-BM314</f>
        <v>2.96</v>
      </c>
      <c r="BF314" s="535">
        <f t="shared" si="707"/>
        <v>2.9537363966142682</v>
      </c>
      <c r="BG314" s="535">
        <f>IF(Sheet1!EP312="FM",BM314,0)</f>
        <v>0</v>
      </c>
      <c r="BH314" s="535">
        <f t="shared" si="708"/>
        <v>0</v>
      </c>
      <c r="BI314" s="535">
        <f>IF(Sheet1!EP312="OTHER",BM314,0)</f>
        <v>0</v>
      </c>
      <c r="BJ314" s="535">
        <f t="shared" si="709"/>
        <v>0</v>
      </c>
      <c r="BK314" s="535">
        <f t="shared" si="710"/>
        <v>2.96</v>
      </c>
      <c r="BL314" s="535">
        <f t="shared" si="711"/>
        <v>2.9537363966142682</v>
      </c>
      <c r="BM314" s="535">
        <f>IF(OR(Sheet1!EP312="FM", Sheet1!EP312="OTHER"),SUM(Sheet1!BG312:'Sheet1'!BI312),0)</f>
        <v>0</v>
      </c>
      <c r="BN314" s="1115">
        <v>0</v>
      </c>
      <c r="BO314" s="535">
        <f t="shared" si="712"/>
        <v>0</v>
      </c>
      <c r="BP314" s="521">
        <f t="shared" si="713"/>
        <v>2.9537363966142682</v>
      </c>
      <c r="BQ314" s="521">
        <f>IF(AND($O314&gt;0,Sheet1!EM312=1),(1-($O314-Sheet1!$L312)/$O314)*BL314,0)</f>
        <v>0</v>
      </c>
      <c r="BR314" s="521">
        <f>IF(AND(Sheet1!$L312=0,Sheet1!$L311=0, Calculation!BK314&lt;Sheet1!$EI312-0.1,Sheet1!$EI312=Sheet1!$EI311,Sheet1!$EI312=Sheet1!$EI313),BL314-BQ314,BL314-BQ314)</f>
        <v>2.9537363966142682</v>
      </c>
      <c r="BS314" s="1035" t="str">
        <f t="shared" si="672"/>
        <v/>
      </c>
      <c r="BT314" s="1035">
        <f t="shared" si="673"/>
        <v>12.568888888888889</v>
      </c>
      <c r="BU314" s="535">
        <f t="shared" si="714"/>
        <v>24.584534516318428</v>
      </c>
      <c r="BV314" s="535"/>
      <c r="BW314" s="535">
        <f ca="1">IF(B314&gt;(Summary!$A$1-1),#N/A,BU314*MGtoAF)</f>
        <v>75.425351896064939</v>
      </c>
      <c r="BX314" s="535">
        <f>Sheet1!BC312+Sheet1!BD312+Sheet1!BE312+Sheet1!BF312-CG314-CH314</f>
        <v>3.4800000000000004</v>
      </c>
      <c r="BY314" s="535">
        <f t="shared" si="715"/>
        <v>3.4726360338573161</v>
      </c>
      <c r="BZ314" s="535">
        <f>IF(Sheet1!EQ312="FM",CH314,0)</f>
        <v>0</v>
      </c>
      <c r="CA314" s="535">
        <f t="shared" si="716"/>
        <v>0</v>
      </c>
      <c r="CB314" s="535">
        <f>IF(Sheet1!EQ312="OTHER",CH314,0)</f>
        <v>0</v>
      </c>
      <c r="CC314" s="535">
        <f t="shared" si="717"/>
        <v>0</v>
      </c>
      <c r="CD314" s="535">
        <f t="shared" si="718"/>
        <v>0</v>
      </c>
      <c r="CE314" s="535">
        <f t="shared" si="719"/>
        <v>3.4800000000000004</v>
      </c>
      <c r="CF314" s="535">
        <f t="shared" si="720"/>
        <v>3.4726360338573161</v>
      </c>
      <c r="CG314" s="535">
        <f>IF(Sheet1!EQ312="CWA",SUM(Sheet1!BC312:'Sheet1'!BF312),0)</f>
        <v>0</v>
      </c>
      <c r="CH314" s="535">
        <f>IF(OR(Sheet1!EQ312="FM", Sheet1!EQ312="OTHER"),SUM(Sheet1!BC312:'Sheet1'!BF312),0)</f>
        <v>0</v>
      </c>
      <c r="CI314" s="1115">
        <v>0</v>
      </c>
      <c r="CJ314" s="535">
        <f t="shared" si="721"/>
        <v>0</v>
      </c>
      <c r="CK314" s="521">
        <f t="shared" si="722"/>
        <v>3.4726360338573161</v>
      </c>
      <c r="CL314" s="521">
        <f>IF(AND($O314&gt;0,Sheet1!EN312=1),(1-($O314-Sheet1!$L312)/$O314)*CF314,0)</f>
        <v>0</v>
      </c>
      <c r="CM314" s="521">
        <f>IF(AND(Sheet1!$L312=0,Sheet1!$L311=0, Calculation!CE314&lt;Sheet1!EJ312-0.1,Sheet1!EJ312=Sheet1!EJ311,Sheet1!EJ312=Sheet1!EJ313),CF314-CL314,CF314-CL314)</f>
        <v>3.4726360338573161</v>
      </c>
      <c r="CN314" s="1040" t="str">
        <f t="shared" si="674"/>
        <v/>
      </c>
      <c r="CO314" s="1035">
        <f t="shared" si="675"/>
        <v>12.568888888888889</v>
      </c>
      <c r="CP314" s="535">
        <f t="shared" si="723"/>
        <v>60.397440340713686</v>
      </c>
      <c r="CQ314" s="535"/>
      <c r="CR314" s="535">
        <f ca="1">IF(B314&gt;(Summary!$A$1-1),#N/A,CP314*MGtoAF)</f>
        <v>185.29934696530958</v>
      </c>
      <c r="CS314" s="535">
        <f>Sheet1!BK312+Sheet1!BL312+Sheet1!BM312-Sheet1!ER312-DA314</f>
        <v>6.74</v>
      </c>
      <c r="CT314" s="535">
        <f t="shared" si="724"/>
        <v>6.7257376058041114</v>
      </c>
      <c r="CU314" s="535">
        <f>IF(Sheet1!ER312="FM",DA314,0)</f>
        <v>0</v>
      </c>
      <c r="CV314" s="535">
        <f t="shared" si="725"/>
        <v>0</v>
      </c>
      <c r="CW314" s="535">
        <f>IF(Sheet1!ER312="OTHER",DA314,0)</f>
        <v>0</v>
      </c>
      <c r="CX314" s="535">
        <f t="shared" si="726"/>
        <v>0</v>
      </c>
      <c r="CY314" s="535">
        <f t="shared" si="727"/>
        <v>6.74</v>
      </c>
      <c r="CZ314" s="535">
        <f t="shared" si="728"/>
        <v>6.7257376058041114</v>
      </c>
      <c r="DA314" s="535">
        <f>IF(OR(Sheet1!ER312="FM", Sheet1!ER312="OTHER"),SUM(Sheet1!BK312:'Sheet1'!BM312),0)</f>
        <v>0</v>
      </c>
      <c r="DB314" s="1115">
        <v>0</v>
      </c>
      <c r="DC314" s="1012">
        <f t="shared" si="729"/>
        <v>0</v>
      </c>
      <c r="DD314" s="1011">
        <f t="shared" si="730"/>
        <v>6.7257376058041114</v>
      </c>
      <c r="DE314" s="521">
        <f>IF(AND($O314&gt;0,Sheet1!EO312=1),(1-($O314-Sheet1!$L312)/$O314)*CZ314,0)</f>
        <v>0</v>
      </c>
      <c r="DF314" s="521">
        <f>IF(AND(Sheet1!$L312=0,Sheet1!$L311=0, Calculation!CY314&lt;Sheet1!$EK312-0.1,Sheet1!$EK312=Sheet1!$EK311,Sheet1!$EK312=Sheet1!$EK313),CZ314-DE314,CZ314-DE314)</f>
        <v>6.7257376058041114</v>
      </c>
      <c r="DG314" s="1040">
        <f t="shared" si="676"/>
        <v>12.568888888888889</v>
      </c>
      <c r="DH314" s="649">
        <f t="shared" si="731"/>
        <v>13.18</v>
      </c>
      <c r="DI314" s="535">
        <f t="shared" si="732"/>
        <v>36.102680900221898</v>
      </c>
      <c r="DJ314" s="649">
        <f t="shared" si="733"/>
        <v>13.152110036275696</v>
      </c>
      <c r="DK314" s="535">
        <f ca="1">IF(B314&gt;(Summary!$A$1-1),#N/A,DI314*MGtoAF)</f>
        <v>110.76302500188079</v>
      </c>
      <c r="DL314" s="649">
        <f t="shared" si="734"/>
        <v>13.18</v>
      </c>
      <c r="DM314" s="535">
        <f t="shared" si="735"/>
        <v>33.08</v>
      </c>
      <c r="DN314" s="535">
        <f>Sheet1!AB312-DM314</f>
        <v>-7.0000000000000284E-2</v>
      </c>
      <c r="DO314" s="743">
        <f t="shared" si="736"/>
        <v>-2.1160822249093195E-3</v>
      </c>
      <c r="DP314" s="535">
        <f>(VLOOKUP(Sheet1!DC312,hhdcap_wcm,4)-(((VLOOKUP(Sheet1!DC312,hhdcap_wcm,3)-Sheet1!DC312)/(VLOOKUP(Sheet1!DC312,hhdcap_wcm,3)-VLOOKUP(Sheet1!DC312,hhdcap_wcm,1)))*(VLOOKUP(Sheet1!DC312,hhdcap_wcm,4)-VLOOKUP(Sheet1!DC312,hhdcap_wcm,2))))</f>
        <v>2349.5000000054501</v>
      </c>
      <c r="DQ314" s="535">
        <f t="shared" si="737"/>
        <v>-886.4000000021897</v>
      </c>
      <c r="DR314" s="535">
        <f t="shared" si="738"/>
        <v>-446.99949571466948</v>
      </c>
      <c r="DS314" s="535">
        <f>Sheet1!EA312*AFtoMG</f>
        <v>0</v>
      </c>
      <c r="DT314" s="535">
        <f>Sheet1!EB312*AFtoMG</f>
        <v>0</v>
      </c>
      <c r="DU314" s="535">
        <f>Sheet1!EC312*AFtoMG</f>
        <v>0</v>
      </c>
      <c r="DV314" s="535">
        <f>Sheet1!ED312*AFtoMG</f>
        <v>0</v>
      </c>
      <c r="DW314" s="535">
        <f t="shared" si="739"/>
        <v>0</v>
      </c>
      <c r="DX314" s="535">
        <f t="shared" si="740"/>
        <v>0</v>
      </c>
      <c r="DY314" s="535">
        <f t="shared" si="741"/>
        <v>-175.42119965556657</v>
      </c>
      <c r="DZ314" s="535">
        <f t="shared" si="742"/>
        <v>-538.19224054327822</v>
      </c>
      <c r="EA314" s="535"/>
      <c r="EB314" s="521">
        <f>IF(OR(B314&lt;FV314,B314&gt;FW314),(MIN(BF314+BY314+CT314+MAX(Sheet1!AA312+AQ314-73,0),K314)),0)</f>
        <v>13.152110036275696</v>
      </c>
      <c r="EC314" s="535"/>
      <c r="ED314" s="535">
        <f t="shared" si="743"/>
        <v>13.152110036275696</v>
      </c>
      <c r="EE314" s="535"/>
      <c r="EF314" s="535">
        <f>Sheet1!EH312+Sheet1!EI312+Sheet1!EJ312+Sheet1!EK312</f>
        <v>13</v>
      </c>
      <c r="EG314" s="1019">
        <f t="shared" si="677"/>
        <v>20.111000000000001</v>
      </c>
      <c r="EH314" s="521">
        <f t="shared" si="744"/>
        <v>0</v>
      </c>
      <c r="EI314" s="535">
        <f>IF(Sheet1!ET312=1,SUM('Calculations II'!AT314:BA314)+'Calculations II'!BC314+Sheet1!BV312+'Calculations II'!BE314+AP314,'Calculations II'!BK314)</f>
        <v>49.247179963724307</v>
      </c>
      <c r="EJ314" s="535">
        <f ca="1">EI314+'Calculations II'!D314+'Calculations II'!E314+'Calculations II'!O314</f>
        <v>47.182398937936185</v>
      </c>
      <c r="EK314" s="535"/>
      <c r="EL314" s="535"/>
      <c r="EM314" s="535">
        <f t="shared" si="745"/>
        <v>43038</v>
      </c>
      <c r="EN314" s="535">
        <f t="shared" si="746"/>
        <v>-34.755779927448614</v>
      </c>
      <c r="EO314" s="535">
        <f t="shared" si="747"/>
        <v>-53.767191547763005</v>
      </c>
      <c r="EP314" s="535">
        <v>0</v>
      </c>
      <c r="EQ314" s="535">
        <v>0</v>
      </c>
      <c r="ER314" s="535">
        <v>0</v>
      </c>
      <c r="ES314" s="521">
        <f t="shared" si="643"/>
        <v>1.6607024634439722</v>
      </c>
      <c r="ET314" s="535">
        <f>-(VLOOKUP(Sheet1!BQ312,Lookup!$O$4:$Q$262,2)-VLOOKUP(Sheet1!BQ311,Lookup!$O$4:$Q$262,2))/1000000</f>
        <v>0.83019748482899736</v>
      </c>
      <c r="EU314" s="535">
        <f>-(VLOOKUP(Sheet1!BR312,Lookup!$O$4:$Q$262,3)-VLOOKUP(Sheet1!BR311,Lookup!$O$4:$Q$262,3))/1000000</f>
        <v>0.83050497861497474</v>
      </c>
      <c r="EV314" s="535"/>
      <c r="EW314" s="535"/>
      <c r="EX314" s="535"/>
      <c r="EY314" s="535"/>
      <c r="EZ314" s="535"/>
      <c r="FA314" s="535"/>
      <c r="FB314" s="535"/>
      <c r="FC314" s="535"/>
      <c r="FD314" s="567">
        <f t="shared" si="693"/>
        <v>1093.2826086956147</v>
      </c>
      <c r="FE314" s="567" t="e">
        <f t="shared" si="748"/>
        <v>#N/A</v>
      </c>
      <c r="FF314" s="568" t="e">
        <f t="shared" si="749"/>
        <v>#N/A</v>
      </c>
      <c r="FG314" s="569" t="s">
        <v>656</v>
      </c>
      <c r="FH314" s="569" t="s">
        <v>656</v>
      </c>
      <c r="FI314" s="567" t="e">
        <v>#N/A</v>
      </c>
      <c r="FJ314" s="725">
        <v>3119</v>
      </c>
      <c r="FK314" s="535"/>
      <c r="FL314" s="1015">
        <f t="shared" si="692"/>
        <v>105.90015128593041</v>
      </c>
      <c r="FM314" s="535"/>
      <c r="FN314" s="535"/>
      <c r="FO314" s="535">
        <f>O314+((Sheet1!CS312)*GPMtoMGD)</f>
        <v>61.06</v>
      </c>
      <c r="FP314" s="535">
        <f>IF(Sheet1!AA312+AQ314&lt;=Calculation!N314,AQ314,Calculation!N314-Sheet1!AA312)</f>
        <v>19.857889963724304</v>
      </c>
      <c r="FQ314" s="535">
        <f>(Sheet1!BP312+Sheet1!BO312)/694.4</f>
        <v>1.7452476958525347</v>
      </c>
      <c r="FR314" s="541"/>
      <c r="FS314" s="541"/>
      <c r="FT314" s="541"/>
      <c r="FU314" s="541"/>
      <c r="FV314" s="1109">
        <f t="shared" si="644"/>
        <v>42918</v>
      </c>
      <c r="FW314" s="1109">
        <f t="shared" si="645"/>
        <v>43027</v>
      </c>
      <c r="FX314" s="541"/>
      <c r="FY314" s="541">
        <f>Sheet1!DA312-Sheet1!CZ312-Sheet1!AE312</f>
        <v>302.0276600000002</v>
      </c>
      <c r="FZ314" s="535">
        <f t="shared" si="678"/>
        <v>0.62402344073168003</v>
      </c>
      <c r="GA314" s="535"/>
      <c r="GB314" s="535" t="str">
        <f t="shared" si="646"/>
        <v>n</v>
      </c>
      <c r="GC314" s="539">
        <f t="shared" si="647"/>
        <v>42782</v>
      </c>
      <c r="GD314" s="1109">
        <f t="shared" si="648"/>
        <v>42904</v>
      </c>
      <c r="GE314" s="535">
        <f t="shared" si="664"/>
        <v>6520</v>
      </c>
      <c r="GF314" s="1109">
        <f t="shared" si="649"/>
        <v>42909</v>
      </c>
      <c r="GG314" s="535">
        <f t="shared" si="691"/>
        <v>3260</v>
      </c>
      <c r="GH314" s="539">
        <f t="shared" si="650"/>
        <v>43040</v>
      </c>
      <c r="GJ314" s="521">
        <f t="shared" si="651"/>
        <v>0</v>
      </c>
      <c r="GK314" s="535" t="str">
        <f t="shared" si="750"/>
        <v/>
      </c>
      <c r="GL314" s="535">
        <f t="shared" si="652"/>
        <v>0</v>
      </c>
      <c r="GM314" s="535" t="str">
        <f t="shared" si="653"/>
        <v/>
      </c>
      <c r="GN314" s="535">
        <f>IF(GK314="P",Lookup!$M$12,IF(GK314="PP",Lookup!$M$13,IF(GK314="PPP",Lookup!$M$14,IF(GK314="T",Lookup!$M$15,IF(GK314="TP",Lookup!$M$16,IF(GK314="TPP",Lookup!$M$17,IF(GK314="TPPP",Lookup!$M$18,0)))))))*GJ314</f>
        <v>0</v>
      </c>
      <c r="GO314" s="535">
        <f t="shared" si="654"/>
        <v>0</v>
      </c>
      <c r="GP314" s="535">
        <f t="shared" si="751"/>
        <v>-909.6799644065336</v>
      </c>
      <c r="GQ314" s="974">
        <f t="shared" si="695"/>
        <v>-296.50585541282061</v>
      </c>
      <c r="GR314" s="535"/>
      <c r="GS314" s="535">
        <f t="shared" si="655"/>
        <v>0</v>
      </c>
      <c r="GT314" s="535" t="str">
        <f t="shared" si="656"/>
        <v/>
      </c>
      <c r="GU314" s="535">
        <f>IF(GK314="P",Lookup!$N$12,IF(GK314="PP",Lookup!$N$13,IF(GK314="PPP",Lookup!$N$14,IF(GK314="T",Lookup!$N$15,IF(GK314="TP",Lookup!$N$16,IF(GK314="TPP",Lookup!$N$17,IF(GK314="TPPP",Lookup!$N$18,0)))))))*GJ314</f>
        <v>0</v>
      </c>
      <c r="GV314" s="535">
        <f t="shared" si="657"/>
        <v>0</v>
      </c>
      <c r="GW314" s="535">
        <f t="shared" si="752"/>
        <v>75.425351896064939</v>
      </c>
      <c r="GX314" s="974">
        <f t="shared" si="696"/>
        <v>24.584534516318428</v>
      </c>
      <c r="GY314" s="535"/>
      <c r="GZ314" s="535">
        <f t="shared" si="658"/>
        <v>0</v>
      </c>
      <c r="HA314" s="535" t="str">
        <f t="shared" si="659"/>
        <v/>
      </c>
      <c r="HB314" s="535">
        <f>IF(GK314="P",Lookup!$N$12,IF(GK314="PP",Lookup!$N$13,IF(GK314="PPP",Lookup!$N$14,IF(GK314="T",Lookup!$N$15,IF(GK314="TP",Lookup!$N$16,IF(GK314="TPP",Lookup!$N$17,IF(GK314="TPPP",Lookup!$N$18,0)))))))*GJ314</f>
        <v>0</v>
      </c>
      <c r="HC314" s="521">
        <f t="shared" si="753"/>
        <v>0</v>
      </c>
      <c r="HD314" s="535">
        <f t="shared" si="754"/>
        <v>185.29934696530958</v>
      </c>
      <c r="HE314" s="535">
        <f t="shared" si="662"/>
        <v>60.397440340713686</v>
      </c>
      <c r="HF314" s="535"/>
      <c r="HG314" s="535">
        <f t="shared" si="660"/>
        <v>0</v>
      </c>
      <c r="HH314" s="535" t="str">
        <f t="shared" si="661"/>
        <v/>
      </c>
      <c r="HI314" s="535">
        <f>IF(GK314="P",Lookup!$N$12,IF(GK314="PP",Lookup!$N$13,IF(GK314="PPP",Lookup!$N$14,IF(GK314="T",Lookup!$N$15,IF(GK314="TP",Lookup!$N$16,IF(GK314="TPP",Lookup!$N$17,IF(GK314="TPPP",Lookup!$N$18,0)))))))*GJ314</f>
        <v>0</v>
      </c>
      <c r="HJ314" s="521">
        <f t="shared" si="755"/>
        <v>0</v>
      </c>
      <c r="HK314" s="535">
        <f t="shared" si="756"/>
        <v>110.76302500188079</v>
      </c>
      <c r="HL314" s="535">
        <f t="shared" si="663"/>
        <v>36.102680900221898</v>
      </c>
      <c r="HM314" s="535"/>
      <c r="HN314" s="541"/>
      <c r="HO314" s="541"/>
      <c r="HP314" s="541"/>
      <c r="HQ314" s="541">
        <f>IF(AND(B314&gt;=$FV$4,B314&lt;=$FW$4),MAX(110/1.02+$HQ$6+MIN(113/1.02,G314),IF($HV$6-(Sheet1!DA312-Sheet1!DB312)+MIN(113/1.02,G314)&lt;G314+FL314,$HV$6-(Sheet1!DA312-Sheet1!DB312)+MIN(113/1.02,G314),G314+FL314)),MIN(110/1.02+$HQ$6+113/1.02,G314))</f>
        <v>218.62745098039215</v>
      </c>
      <c r="HR314" s="541">
        <f t="shared" si="679"/>
        <v>223</v>
      </c>
      <c r="HS314" s="541">
        <f>HR314+(Sheet1!DA312-Sheet1!DB312)</f>
        <v>533</v>
      </c>
      <c r="HT314" s="541">
        <f t="shared" si="680"/>
        <v>0</v>
      </c>
      <c r="HU314" s="541">
        <f t="shared" si="681"/>
        <v>533</v>
      </c>
      <c r="HV314" s="541">
        <f t="shared" si="682"/>
        <v>0</v>
      </c>
      <c r="HW314" s="533" t="str">
        <f t="shared" si="683"/>
        <v/>
      </c>
      <c r="HX314" s="541">
        <f t="shared" si="684"/>
        <v>658.60535747184485</v>
      </c>
      <c r="HY314" s="541">
        <f>Sheet1!CZ312</f>
        <v>931</v>
      </c>
      <c r="HZ314" s="541">
        <f t="shared" si="685"/>
        <v>53.767191547763005</v>
      </c>
      <c r="IA314" s="541">
        <f t="shared" si="686"/>
        <v>0</v>
      </c>
      <c r="IB314" s="541">
        <f t="shared" si="687"/>
        <v>877.23280845223701</v>
      </c>
      <c r="IC314" s="1019" t="str">
        <f t="shared" si="688"/>
        <v/>
      </c>
      <c r="ID314" s="541">
        <f t="shared" si="689"/>
        <v>877.23280845223701</v>
      </c>
      <c r="IE314" s="541">
        <f>Sheet1!DB312</f>
        <v>1010</v>
      </c>
      <c r="IF314" s="533">
        <f>Sheet1!DA312</f>
        <v>1320</v>
      </c>
      <c r="IH314" s="541">
        <f>IF(AND($B314&gt;=$GC314,$B314&lt;=$GH314,$DR314&lt;0)+N("only adjusted when pool is drawn down during storage season"),Sheet1!$DB312+$DR314+N("Palmer minus all storage release"),Sheet1!$DB312)</f>
        <v>563.00050428533052</v>
      </c>
      <c r="II314" s="541">
        <f>IF(AND($B314&gt;=$GC314,$B314&lt;=$GH314,$DR314&lt;0)+N("only adjusted when pool is drawn down during storage season"),Sheet1!$DA312+$DR314+N("Auburn minus all storage release"),Sheet1!$DA312)</f>
        <v>873.00050428533052</v>
      </c>
    </row>
    <row r="315" spans="1:243" x14ac:dyDescent="0.25">
      <c r="A315" s="553" t="s">
        <v>5</v>
      </c>
      <c r="B315" s="531">
        <v>43039</v>
      </c>
      <c r="C315" s="536">
        <v>0</v>
      </c>
      <c r="D315" s="506">
        <f t="shared" si="633"/>
        <v>300</v>
      </c>
      <c r="E315" s="506">
        <f t="shared" si="634"/>
        <v>250</v>
      </c>
      <c r="F315" s="506">
        <v>250</v>
      </c>
      <c r="G315" s="535">
        <f>DR315+Sheet1!CZ313</f>
        <v>439.81139687298725</v>
      </c>
      <c r="H315" s="1074">
        <f t="shared" si="690"/>
        <v>180.51450229869894</v>
      </c>
      <c r="I315" s="534">
        <f>IF(Sheet1!DA313&gt;=E315,(Sheet1!DA313-E315+P315)*CFStoMGD,0)</f>
        <v>636.99481535999996</v>
      </c>
      <c r="J315" s="995">
        <f>IF(Sheet1!DB313&gt;=D315,(Sheet1!DB313-D315+P315)*CFStoMGD,0)</f>
        <v>388.77721535999996</v>
      </c>
      <c r="K315" s="818">
        <f t="shared" si="665"/>
        <v>64.64</v>
      </c>
      <c r="L315" s="535">
        <f>Sheet1!AA313+Sheet1!AB313-Sheet1!L313+(Sheet1!DA313-F315)*CFStoMGD-S315-T315-U315</f>
        <v>613.59789573459568</v>
      </c>
      <c r="M315" s="535">
        <f t="shared" si="697"/>
        <v>289.97996867747293</v>
      </c>
      <c r="N315" s="824">
        <f>IF(Sheet1!DA313&gt;=F315,MIN(113*CFStoMGD,MIN(MAX(L315,0),MAX(M315,0))),0)</f>
        <v>73.043199999999999</v>
      </c>
      <c r="O315" s="538">
        <f>Sheet1!AA313+Sheet1!AB313</f>
        <v>61.7</v>
      </c>
      <c r="P315" s="538">
        <f t="shared" si="698"/>
        <v>95.4499</v>
      </c>
      <c r="Q315" s="812">
        <f t="shared" si="666"/>
        <v>0</v>
      </c>
      <c r="R315" s="812">
        <f t="shared" si="635"/>
        <v>13</v>
      </c>
      <c r="S315" s="1115">
        <f t="shared" si="757"/>
        <v>12.998104265402844</v>
      </c>
      <c r="T315" s="812">
        <f t="shared" si="637"/>
        <v>0</v>
      </c>
      <c r="U315" s="812">
        <f>IF(AND(B315&gt;=FV315,B315&lt;=FW315),ED315+Sheet1!EH313,0)</f>
        <v>0</v>
      </c>
      <c r="V315" s="812"/>
      <c r="W315" s="812">
        <f t="shared" si="638"/>
        <v>51.641895734597156</v>
      </c>
      <c r="X315" s="812">
        <f t="shared" si="639"/>
        <v>12.998104265402844</v>
      </c>
      <c r="Y315" s="812" t="str">
        <f t="shared" si="640"/>
        <v/>
      </c>
      <c r="Z315" s="812">
        <f t="shared" si="641"/>
        <v>61.7</v>
      </c>
      <c r="AA315" s="812">
        <f t="shared" si="642"/>
        <v>12.998104265402844</v>
      </c>
      <c r="AB315" s="1059">
        <f t="shared" si="667"/>
        <v>0</v>
      </c>
      <c r="AC315" s="538">
        <f>Sheet1!Y313*MGDtoCFS</f>
        <v>43.393349999999998</v>
      </c>
      <c r="AD315" s="538">
        <f>Sheet1!Z313*MGDtoCFS</f>
        <v>50.896299999999997</v>
      </c>
      <c r="AE315" s="538">
        <f>Sheet1!AA313*MGDtoCFS</f>
        <v>43.470700000000001</v>
      </c>
      <c r="AF315" s="538">
        <f>Sheet1!AB313*MGDtoCFS</f>
        <v>51.979199999999999</v>
      </c>
      <c r="AG315" s="538">
        <f>Sheet1!L313*MGDtoCFS</f>
        <v>16.088800000002252</v>
      </c>
      <c r="AH315" s="521">
        <f t="shared" si="699"/>
        <v>35.703791469194314</v>
      </c>
      <c r="AI315" s="1059">
        <f t="shared" si="700"/>
        <v>55.233765402843602</v>
      </c>
      <c r="AJ315" s="535">
        <f t="shared" si="701"/>
        <v>0</v>
      </c>
      <c r="AK315" s="535">
        <f t="shared" si="702"/>
        <v>0</v>
      </c>
      <c r="AL315" s="535">
        <f>(VLOOKUP(Sheet1!DC313,hhdcap_wcm,4)-(((VLOOKUP(Sheet1!DC313,hhdcap_wcm,3)-Sheet1!DC313)/(VLOOKUP(Sheet1!DC313,hhdcap_wcm,3)-VLOOKUP(Sheet1!DC313,hhdcap_wcm,1)))*(VLOOKUP(Sheet1!DC313,hhdcap_wcm,4)-VLOOKUP(Sheet1!DC313,hhdcap_wcm,2))))</f>
        <v>1710.6000000045838</v>
      </c>
      <c r="AM315" s="535">
        <f t="shared" si="703"/>
        <v>-638.90000000086638</v>
      </c>
      <c r="AN315" s="1035">
        <f t="shared" si="704"/>
        <v>-211.12499112476092</v>
      </c>
      <c r="AO315" s="535">
        <f t="shared" si="705"/>
        <v>-647.73147277076657</v>
      </c>
      <c r="AP315" s="535">
        <f>Sheet1!BA313+Sheet1!BB313+Sheet1!BN313+CD315</f>
        <v>20.7</v>
      </c>
      <c r="AQ315" s="535">
        <f>Sheet1!BN313+(DO315*Sheet1!BN313)</f>
        <v>20.601895734597157</v>
      </c>
      <c r="AR315" s="535">
        <f>Sheet1!BA313+CD315</f>
        <v>0</v>
      </c>
      <c r="AS315" s="535">
        <f>Sheet1!BA313+Sheet1!BB313+CD315</f>
        <v>0</v>
      </c>
      <c r="AT315" s="649">
        <f>0</f>
        <v>0</v>
      </c>
      <c r="AU315" s="974">
        <f>BA315+MAX(Sheet1!EH313,(O315-Q315-ED315-S315))</f>
        <v>35.703791469194314</v>
      </c>
      <c r="AV315" s="535">
        <f>IF(OR(B315&gt;=GD315,B315&lt;GC315),0,15/36*K315-MAX(0,64.6-(137.6-(Sheet1!AA313+Sheet1!AB313))))</f>
        <v>0</v>
      </c>
      <c r="AW315" s="1029"/>
      <c r="AX315" s="649"/>
      <c r="AY315" s="649">
        <f t="shared" si="668"/>
        <v>23.311716569431731</v>
      </c>
      <c r="AZ315" s="649">
        <f t="shared" si="669"/>
        <v>0</v>
      </c>
      <c r="BA315" s="1059">
        <f t="shared" si="670"/>
        <v>0</v>
      </c>
      <c r="BB315" s="1019">
        <f t="shared" si="706"/>
        <v>-332.20964688201491</v>
      </c>
      <c r="BC315" s="1041">
        <f t="shared" si="671"/>
        <v>26.933333333333334</v>
      </c>
      <c r="BD315" s="1019">
        <f ca="1">IF(B315&gt;(Summary!$A$1-1),#N/A,BB315*MGtoAF)</f>
        <v>-1019.2191966340217</v>
      </c>
      <c r="BE315" s="535">
        <f>Sheet1!BG313+Sheet1!BH313+Sheet1!BI313-BM315</f>
        <v>2.94</v>
      </c>
      <c r="BF315" s="535">
        <f t="shared" si="707"/>
        <v>2.9260663507109008</v>
      </c>
      <c r="BG315" s="535">
        <f>IF(Sheet1!EP313="FM",BM315,0)</f>
        <v>0</v>
      </c>
      <c r="BH315" s="535">
        <f t="shared" si="708"/>
        <v>0</v>
      </c>
      <c r="BI315" s="535">
        <f>IF(Sheet1!EP313="OTHER",BM315,0)</f>
        <v>0</v>
      </c>
      <c r="BJ315" s="535">
        <f t="shared" si="709"/>
        <v>0</v>
      </c>
      <c r="BK315" s="535">
        <f t="shared" si="710"/>
        <v>2.94</v>
      </c>
      <c r="BL315" s="535">
        <f t="shared" si="711"/>
        <v>2.9260663507109008</v>
      </c>
      <c r="BM315" s="535">
        <f>IF(OR(Sheet1!EP313="FM", Sheet1!EP313="OTHER"),SUM(Sheet1!BG313:'Sheet1'!BI313),0)</f>
        <v>0</v>
      </c>
      <c r="BN315" s="1115">
        <v>0</v>
      </c>
      <c r="BO315" s="535">
        <f t="shared" si="712"/>
        <v>0</v>
      </c>
      <c r="BP315" s="521">
        <f t="shared" si="713"/>
        <v>2.9260663507109008</v>
      </c>
      <c r="BQ315" s="521">
        <f>IF(AND($O315&gt;0,Sheet1!EM313=1),(1-($O315-Sheet1!$L313)/$O315)*BL315,0)</f>
        <v>0</v>
      </c>
      <c r="BR315" s="521">
        <f>IF(AND(Sheet1!$L313=0,Sheet1!$L312=0, Calculation!BK315&lt;Sheet1!$EI313-0.1,Sheet1!$EI313=Sheet1!$EI312,Sheet1!$EI313=Sheet1!$EI314),BL315-BQ315,BL315-BQ315)</f>
        <v>2.9260663507109008</v>
      </c>
      <c r="BS315" s="1035" t="str">
        <f t="shared" si="672"/>
        <v/>
      </c>
      <c r="BT315" s="1035">
        <f t="shared" si="673"/>
        <v>12.568888888888889</v>
      </c>
      <c r="BU315" s="535">
        <f t="shared" si="714"/>
        <v>24.584534516318428</v>
      </c>
      <c r="BV315" s="535"/>
      <c r="BW315" s="535">
        <f ca="1">IF(B315&gt;(Summary!$A$1-1),#N/A,BU315*MGtoAF)</f>
        <v>75.425351896064939</v>
      </c>
      <c r="BX315" s="535">
        <f>Sheet1!BC313+Sheet1!BD313+Sheet1!BE313+Sheet1!BF313-CG315-CH315</f>
        <v>3.49</v>
      </c>
      <c r="BY315" s="535">
        <f t="shared" si="715"/>
        <v>3.473459715639811</v>
      </c>
      <c r="BZ315" s="535">
        <f>IF(Sheet1!EQ313="FM",CH315,0)</f>
        <v>0</v>
      </c>
      <c r="CA315" s="535">
        <f t="shared" si="716"/>
        <v>0</v>
      </c>
      <c r="CB315" s="535">
        <f>IF(Sheet1!EQ313="OTHER",CH315,0)</f>
        <v>0</v>
      </c>
      <c r="CC315" s="535">
        <f t="shared" si="717"/>
        <v>0</v>
      </c>
      <c r="CD315" s="535">
        <f t="shared" si="718"/>
        <v>0</v>
      </c>
      <c r="CE315" s="535">
        <f t="shared" si="719"/>
        <v>3.49</v>
      </c>
      <c r="CF315" s="535">
        <f t="shared" si="720"/>
        <v>3.473459715639811</v>
      </c>
      <c r="CG315" s="535">
        <f>IF(Sheet1!EQ313="CWA",SUM(Sheet1!BC313:'Sheet1'!BF313),0)</f>
        <v>0</v>
      </c>
      <c r="CH315" s="535">
        <f>IF(OR(Sheet1!EQ313="FM", Sheet1!EQ313="OTHER"),SUM(Sheet1!BC313:'Sheet1'!BF313),0)</f>
        <v>0</v>
      </c>
      <c r="CI315" s="1115">
        <v>0</v>
      </c>
      <c r="CJ315" s="535">
        <f t="shared" si="721"/>
        <v>0</v>
      </c>
      <c r="CK315" s="521">
        <f t="shared" si="722"/>
        <v>3.473459715639811</v>
      </c>
      <c r="CL315" s="521">
        <f>IF(AND($O315&gt;0,Sheet1!EN313=1),(1-($O315-Sheet1!$L313)/$O315)*CF315,0)</f>
        <v>0</v>
      </c>
      <c r="CM315" s="521">
        <f>IF(AND(Sheet1!$L313=0,Sheet1!$L312=0, Calculation!CE315&lt;Sheet1!EJ313-0.1,Sheet1!EJ313=Sheet1!EJ312,Sheet1!EJ313=Sheet1!EJ314),CF315-CL315,CF315-CL315)</f>
        <v>3.473459715639811</v>
      </c>
      <c r="CN315" s="1040" t="str">
        <f t="shared" si="674"/>
        <v/>
      </c>
      <c r="CO315" s="1035">
        <f t="shared" si="675"/>
        <v>12.568888888888889</v>
      </c>
      <c r="CP315" s="535">
        <f t="shared" si="723"/>
        <v>60.397440340713686</v>
      </c>
      <c r="CQ315" s="535"/>
      <c r="CR315" s="535">
        <f ca="1">IF(B315&gt;(Summary!$A$1-1),#N/A,CP315*MGtoAF)</f>
        <v>185.29934696530958</v>
      </c>
      <c r="CS315" s="535">
        <f>Sheet1!BK313+Sheet1!BL313+Sheet1!BM313-Sheet1!ER313-DA315</f>
        <v>6.63</v>
      </c>
      <c r="CT315" s="535">
        <f t="shared" si="724"/>
        <v>6.5985781990521328</v>
      </c>
      <c r="CU315" s="535">
        <f>IF(Sheet1!ER313="FM",DA315,0)</f>
        <v>0</v>
      </c>
      <c r="CV315" s="535">
        <f t="shared" si="725"/>
        <v>0</v>
      </c>
      <c r="CW315" s="535">
        <f>IF(Sheet1!ER313="OTHER",DA315,0)</f>
        <v>0</v>
      </c>
      <c r="CX315" s="535">
        <f t="shared" si="726"/>
        <v>0</v>
      </c>
      <c r="CY315" s="535">
        <f t="shared" si="727"/>
        <v>6.63</v>
      </c>
      <c r="CZ315" s="535">
        <f t="shared" si="728"/>
        <v>6.5985781990521328</v>
      </c>
      <c r="DA315" s="535">
        <f>IF(OR(Sheet1!ER313="FM", Sheet1!ER313="OTHER"),SUM(Sheet1!BK313:'Sheet1'!BM313),0)</f>
        <v>0</v>
      </c>
      <c r="DB315" s="1115">
        <v>0</v>
      </c>
      <c r="DC315" s="1012">
        <f t="shared" si="729"/>
        <v>0</v>
      </c>
      <c r="DD315" s="1011">
        <f t="shared" si="730"/>
        <v>6.5985781990521328</v>
      </c>
      <c r="DE315" s="521">
        <f>IF(AND($O315&gt;0,Sheet1!EO313=1),(1-($O315-Sheet1!$L313)/$O315)*CZ315,0)</f>
        <v>0</v>
      </c>
      <c r="DF315" s="521">
        <f>IF(AND(Sheet1!$L313=0,Sheet1!$L312=0, Calculation!CY315&lt;Sheet1!$EK313-0.1,Sheet1!$EK313=Sheet1!$EK312,Sheet1!$EK313=Sheet1!$EK314),CZ315-DE315,CZ315-DE315)</f>
        <v>6.5985781990521328</v>
      </c>
      <c r="DG315" s="1040">
        <f t="shared" si="676"/>
        <v>12.568888888888889</v>
      </c>
      <c r="DH315" s="649">
        <f t="shared" si="731"/>
        <v>13.059999999999999</v>
      </c>
      <c r="DI315" s="535">
        <f t="shared" si="732"/>
        <v>36.102680900221898</v>
      </c>
      <c r="DJ315" s="649">
        <f t="shared" si="733"/>
        <v>12.998104265402844</v>
      </c>
      <c r="DK315" s="535">
        <f ca="1">IF(B315&gt;(Summary!$A$1-1),#N/A,DI315*MGtoAF)</f>
        <v>110.76302500188079</v>
      </c>
      <c r="DL315" s="649">
        <f t="shared" si="734"/>
        <v>13.06</v>
      </c>
      <c r="DM315" s="535">
        <f t="shared" si="735"/>
        <v>33.76</v>
      </c>
      <c r="DN315" s="535">
        <f>Sheet1!AB313-DM315</f>
        <v>-0.15999999999999659</v>
      </c>
      <c r="DO315" s="743">
        <f t="shared" si="736"/>
        <v>-4.7393364928908941E-3</v>
      </c>
      <c r="DP315" s="535">
        <f>(VLOOKUP(Sheet1!DC313,hhdcap_wcm,4)-(((VLOOKUP(Sheet1!DC313,hhdcap_wcm,3)-Sheet1!DC313)/(VLOOKUP(Sheet1!DC313,hhdcap_wcm,3)-VLOOKUP(Sheet1!DC313,hhdcap_wcm,1)))*(VLOOKUP(Sheet1!DC313,hhdcap_wcm,4)-VLOOKUP(Sheet1!DC313,hhdcap_wcm,2))))</f>
        <v>1710.6000000045838</v>
      </c>
      <c r="DQ315" s="535">
        <f t="shared" si="737"/>
        <v>-638.90000000086638</v>
      </c>
      <c r="DR315" s="535">
        <f t="shared" si="738"/>
        <v>-322.18860312701275</v>
      </c>
      <c r="DS315" s="535">
        <f>Sheet1!EA313*AFtoMG</f>
        <v>0</v>
      </c>
      <c r="DT315" s="535">
        <f>Sheet1!EB313*AFtoMG</f>
        <v>0</v>
      </c>
      <c r="DU315" s="535">
        <f>Sheet1!EC313*AFtoMG</f>
        <v>0</v>
      </c>
      <c r="DV315" s="535">
        <f>Sheet1!ED313*AFtoMG</f>
        <v>0</v>
      </c>
      <c r="DW315" s="535">
        <f t="shared" si="739"/>
        <v>0</v>
      </c>
      <c r="DX315" s="535">
        <f t="shared" si="740"/>
        <v>0</v>
      </c>
      <c r="DY315" s="535">
        <f t="shared" si="741"/>
        <v>-211.12499112476092</v>
      </c>
      <c r="DZ315" s="535">
        <f t="shared" si="742"/>
        <v>-647.73147277076657</v>
      </c>
      <c r="EA315" s="535"/>
      <c r="EB315" s="521">
        <f>IF(OR(B315&lt;FV315,B315&gt;FW315),(MIN(BF315+BY315+CT315+MAX(Sheet1!AA313+AQ315-73,0),K315)),0)</f>
        <v>12.998104265402844</v>
      </c>
      <c r="EC315" s="535"/>
      <c r="ED315" s="535">
        <f t="shared" si="743"/>
        <v>12.998104265402844</v>
      </c>
      <c r="EE315" s="535"/>
      <c r="EF315" s="535">
        <f>Sheet1!EH313+Sheet1!EI313+Sheet1!EJ313+Sheet1!EK313</f>
        <v>13</v>
      </c>
      <c r="EG315" s="1019">
        <f t="shared" si="677"/>
        <v>20.111000000000001</v>
      </c>
      <c r="EH315" s="521">
        <f t="shared" si="744"/>
        <v>0</v>
      </c>
      <c r="EI315" s="535">
        <f>IF(Sheet1!ET313=1,SUM('Calculations II'!AT315:BA315)+'Calculations II'!BC315+Sheet1!BV313+'Calculations II'!BE315+AP315,'Calculations II'!BK315)</f>
        <v>47.65327373459715</v>
      </c>
      <c r="EJ315" s="535">
        <f ca="1">EI315+'Calculations II'!D315+'Calculations II'!E315+'Calculations II'!O315</f>
        <v>47.466879943637515</v>
      </c>
      <c r="EK315" s="535"/>
      <c r="EL315" s="535"/>
      <c r="EM315" s="535">
        <f t="shared" si="745"/>
        <v>43039</v>
      </c>
      <c r="EN315" s="535">
        <f t="shared" si="746"/>
        <v>-35.703791469194314</v>
      </c>
      <c r="EO315" s="535">
        <f t="shared" si="747"/>
        <v>-55.233765402843602</v>
      </c>
      <c r="EP315" s="535">
        <v>0</v>
      </c>
      <c r="EQ315" s="535">
        <v>0</v>
      </c>
      <c r="ER315" s="535">
        <v>0</v>
      </c>
      <c r="ES315" s="521">
        <f t="shared" si="643"/>
        <v>-0.4151596001162417</v>
      </c>
      <c r="ET315" s="535">
        <f>-(VLOOKUP(Sheet1!BQ313,Lookup!$O$4:$Q$262,2)-VLOOKUP(Sheet1!BQ312,Lookup!$O$4:$Q$262,2))/1000000</f>
        <v>-0.13835023389448226</v>
      </c>
      <c r="EU315" s="535">
        <f>-(VLOOKUP(Sheet1!BR313,Lookup!$O$4:$Q$262,3)-VLOOKUP(Sheet1!BR312,Lookup!$O$4:$Q$262,3))/1000000</f>
        <v>-0.27680936622175945</v>
      </c>
      <c r="EV315" s="535"/>
      <c r="EW315" s="535"/>
      <c r="EX315" s="535"/>
      <c r="EY315" s="535"/>
      <c r="EZ315" s="535"/>
      <c r="FA315" s="535"/>
      <c r="FB315" s="535"/>
      <c r="FC315" s="535"/>
      <c r="FD315" s="567">
        <f t="shared" si="693"/>
        <v>1092.3238095237728</v>
      </c>
      <c r="FE315" s="567" t="e">
        <f t="shared" si="748"/>
        <v>#N/A</v>
      </c>
      <c r="FF315" s="568" t="e">
        <f t="shared" si="749"/>
        <v>#N/A</v>
      </c>
      <c r="FG315" s="569" t="s">
        <v>656</v>
      </c>
      <c r="FH315" s="569" t="s">
        <v>656</v>
      </c>
      <c r="FI315" s="567" t="e">
        <v>#N/A</v>
      </c>
      <c r="FJ315" s="725">
        <v>2909</v>
      </c>
      <c r="FK315" s="535"/>
      <c r="FL315" s="1015">
        <f t="shared" si="692"/>
        <v>105.3958648512355</v>
      </c>
      <c r="FM315" s="535"/>
      <c r="FN315" s="535"/>
      <c r="FO315" s="535">
        <f>O315+((Sheet1!CS313)*GPMtoMGD)</f>
        <v>61.7</v>
      </c>
      <c r="FP315" s="535">
        <f>IF(Sheet1!AA313+AQ315&lt;=Calculation!N315,AQ315,Calculation!N315-Sheet1!AA313)</f>
        <v>20.601895734597157</v>
      </c>
      <c r="FQ315" s="535">
        <f>(Sheet1!BP313+Sheet1!BO313)/694.4</f>
        <v>1.8479262672811061</v>
      </c>
      <c r="FR315" s="541"/>
      <c r="FS315" s="541"/>
      <c r="FT315" s="541"/>
      <c r="FU315" s="541"/>
      <c r="FV315" s="1109">
        <f t="shared" si="644"/>
        <v>42918</v>
      </c>
      <c r="FW315" s="1109">
        <f t="shared" si="645"/>
        <v>43027</v>
      </c>
      <c r="FX315" s="541"/>
      <c r="FY315" s="541">
        <f>Sheet1!DA313-Sheet1!CZ313-Sheet1!AE313</f>
        <v>298.63890000000225</v>
      </c>
      <c r="FZ315" s="535">
        <f t="shared" si="678"/>
        <v>0.67901582842848873</v>
      </c>
      <c r="GA315" s="535"/>
      <c r="GB315" s="535" t="str">
        <f t="shared" si="646"/>
        <v>n</v>
      </c>
      <c r="GC315" s="539">
        <f t="shared" si="647"/>
        <v>42782</v>
      </c>
      <c r="GD315" s="1109">
        <f t="shared" si="648"/>
        <v>42904</v>
      </c>
      <c r="GE315" s="535">
        <f t="shared" si="664"/>
        <v>6520</v>
      </c>
      <c r="GF315" s="1109">
        <f t="shared" si="649"/>
        <v>42909</v>
      </c>
      <c r="GG315" s="535">
        <f t="shared" si="691"/>
        <v>3260</v>
      </c>
      <c r="GH315" s="539">
        <f t="shared" si="650"/>
        <v>43040</v>
      </c>
      <c r="GJ315" s="521">
        <f t="shared" si="651"/>
        <v>0</v>
      </c>
      <c r="GK315" s="535" t="str">
        <f t="shared" si="750"/>
        <v/>
      </c>
      <c r="GL315" s="535">
        <f t="shared" si="652"/>
        <v>0</v>
      </c>
      <c r="GM315" s="535" t="str">
        <f t="shared" si="653"/>
        <v/>
      </c>
      <c r="GN315" s="535">
        <f>IF(GK315="P",Lookup!$M$12,IF(GK315="PP",Lookup!$M$13,IF(GK315="PPP",Lookup!$M$14,IF(GK315="T",Lookup!$M$15,IF(GK315="TP",Lookup!$M$16,IF(GK315="TPP",Lookup!$M$17,IF(GK315="TPPP",Lookup!$M$18,0)))))))*GJ315</f>
        <v>0</v>
      </c>
      <c r="GO315" s="535">
        <f t="shared" si="654"/>
        <v>0</v>
      </c>
      <c r="GP315" s="535">
        <f t="shared" si="751"/>
        <v>-1019.2191966340217</v>
      </c>
      <c r="GQ315" s="974">
        <f t="shared" si="695"/>
        <v>-332.20964688201491</v>
      </c>
      <c r="GR315" s="535"/>
      <c r="GS315" s="535">
        <f t="shared" si="655"/>
        <v>0</v>
      </c>
      <c r="GT315" s="535" t="str">
        <f t="shared" si="656"/>
        <v/>
      </c>
      <c r="GU315" s="535">
        <f>IF(GK315="P",Lookup!$N$12,IF(GK315="PP",Lookup!$N$13,IF(GK315="PPP",Lookup!$N$14,IF(GK315="T",Lookup!$N$15,IF(GK315="TP",Lookup!$N$16,IF(GK315="TPP",Lookup!$N$17,IF(GK315="TPPP",Lookup!$N$18,0)))))))*GJ315</f>
        <v>0</v>
      </c>
      <c r="GV315" s="535">
        <f t="shared" si="657"/>
        <v>0</v>
      </c>
      <c r="GW315" s="535">
        <f t="shared" si="752"/>
        <v>75.425351896064939</v>
      </c>
      <c r="GX315" s="974">
        <f t="shared" si="696"/>
        <v>24.584534516318428</v>
      </c>
      <c r="GY315" s="535"/>
      <c r="GZ315" s="535">
        <f t="shared" si="658"/>
        <v>0</v>
      </c>
      <c r="HA315" s="535" t="str">
        <f t="shared" si="659"/>
        <v/>
      </c>
      <c r="HB315" s="535">
        <f>IF(GK315="P",Lookup!$N$12,IF(GK315="PP",Lookup!$N$13,IF(GK315="PPP",Lookup!$N$14,IF(GK315="T",Lookup!$N$15,IF(GK315="TP",Lookup!$N$16,IF(GK315="TPP",Lookup!$N$17,IF(GK315="TPPP",Lookup!$N$18,0)))))))*GJ315</f>
        <v>0</v>
      </c>
      <c r="HC315" s="521">
        <f t="shared" si="753"/>
        <v>0</v>
      </c>
      <c r="HD315" s="535">
        <f t="shared" si="754"/>
        <v>185.29934696530958</v>
      </c>
      <c r="HE315" s="535">
        <f t="shared" si="662"/>
        <v>60.397440340713686</v>
      </c>
      <c r="HF315" s="535"/>
      <c r="HG315" s="535">
        <f t="shared" si="660"/>
        <v>0</v>
      </c>
      <c r="HH315" s="535" t="str">
        <f t="shared" si="661"/>
        <v/>
      </c>
      <c r="HI315" s="535">
        <f>IF(GK315="P",Lookup!$N$12,IF(GK315="PP",Lookup!$N$13,IF(GK315="PPP",Lookup!$N$14,IF(GK315="T",Lookup!$N$15,IF(GK315="TP",Lookup!$N$16,IF(GK315="TPP",Lookup!$N$17,IF(GK315="TPPP",Lookup!$N$18,0)))))))*GJ315</f>
        <v>0</v>
      </c>
      <c r="HJ315" s="521">
        <f t="shared" si="755"/>
        <v>0</v>
      </c>
      <c r="HK315" s="535">
        <f t="shared" si="756"/>
        <v>110.76302500188079</v>
      </c>
      <c r="HL315" s="535">
        <f t="shared" si="663"/>
        <v>36.102680900221898</v>
      </c>
      <c r="HM315" s="535"/>
      <c r="HN315" s="541"/>
      <c r="HO315" s="541"/>
      <c r="HP315" s="541"/>
      <c r="HQ315" s="541">
        <f>IF(AND(B315&gt;=$FV$4,B315&lt;=$FW$4),MAX(110/1.02+$HQ$6+MIN(113/1.02,G315),IF($HV$6-(Sheet1!DA313-Sheet1!DB313)+MIN(113/1.02,G315)&lt;G315+FL315,$HV$6-(Sheet1!DA313-Sheet1!DB313)+MIN(113/1.02,G315),G315+FL315)),MIN(110/1.02+$HQ$6+113/1.02,G315))</f>
        <v>218.62745098039215</v>
      </c>
      <c r="HR315" s="541">
        <f t="shared" si="679"/>
        <v>223</v>
      </c>
      <c r="HS315" s="541">
        <f>HR315+(Sheet1!DA313-Sheet1!DB313)</f>
        <v>557</v>
      </c>
      <c r="HT315" s="541">
        <f t="shared" si="680"/>
        <v>0</v>
      </c>
      <c r="HU315" s="541">
        <f t="shared" si="681"/>
        <v>557</v>
      </c>
      <c r="HV315" s="541">
        <f t="shared" si="682"/>
        <v>0</v>
      </c>
      <c r="HW315" s="533" t="str">
        <f t="shared" si="683"/>
        <v/>
      </c>
      <c r="HX315" s="541">
        <f t="shared" si="684"/>
        <v>488.13878361676427</v>
      </c>
      <c r="HY315" s="541">
        <f>Sheet1!CZ313</f>
        <v>762</v>
      </c>
      <c r="HZ315" s="541">
        <f t="shared" si="685"/>
        <v>55.233765402843602</v>
      </c>
      <c r="IA315" s="541">
        <f t="shared" si="686"/>
        <v>0</v>
      </c>
      <c r="IB315" s="541">
        <f t="shared" si="687"/>
        <v>706.76623459715643</v>
      </c>
      <c r="IC315" s="1019" t="str">
        <f t="shared" si="688"/>
        <v/>
      </c>
      <c r="ID315" s="541">
        <f t="shared" si="689"/>
        <v>706.76623459715643</v>
      </c>
      <c r="IE315" s="541">
        <f>Sheet1!DB313</f>
        <v>806</v>
      </c>
      <c r="IF315" s="533">
        <f>Sheet1!DA313</f>
        <v>1140</v>
      </c>
      <c r="IH315" s="541">
        <f>IF(AND($B315&gt;=$GC315,$B315&lt;=$GH315,$DR315&lt;0)+N("only adjusted when pool is drawn down during storage season"),Sheet1!$DB313+$DR315+N("Palmer minus all storage release"),Sheet1!$DB313)</f>
        <v>483.81139687298725</v>
      </c>
      <c r="II315" s="541">
        <f>IF(AND($B315&gt;=$GC315,$B315&lt;=$GH315,$DR315&lt;0)+N("only adjusted when pool is drawn down during storage season"),Sheet1!$DA313+$DR315+N("Auburn minus all storage release"),Sheet1!$DA313)</f>
        <v>817.81139687298719</v>
      </c>
    </row>
    <row r="316" spans="1:243" x14ac:dyDescent="0.25">
      <c r="A316" s="553" t="s">
        <v>6</v>
      </c>
      <c r="B316" s="531">
        <v>43040</v>
      </c>
      <c r="C316" s="536">
        <v>0</v>
      </c>
      <c r="D316" s="506">
        <f t="shared" si="633"/>
        <v>300</v>
      </c>
      <c r="E316" s="506">
        <f t="shared" si="634"/>
        <v>250</v>
      </c>
      <c r="F316" s="506">
        <v>250</v>
      </c>
      <c r="G316" s="535">
        <f>DR316+Sheet1!CZ314</f>
        <v>494.60665658031087</v>
      </c>
      <c r="H316" s="1074">
        <f t="shared" si="690"/>
        <v>140.31253321351295</v>
      </c>
      <c r="I316" s="534">
        <f>IF(Sheet1!DA314&gt;=E316,(Sheet1!DA314-E316+P316)*CFStoMGD,0)</f>
        <v>516.12519039999995</v>
      </c>
      <c r="J316" s="995">
        <f>IF(Sheet1!DB314&gt;=D316,(Sheet1!DB314-D316+P316)*CFStoMGD,0)</f>
        <v>295.70279039999997</v>
      </c>
      <c r="K316" s="818">
        <f t="shared" si="665"/>
        <v>64.64</v>
      </c>
      <c r="L316" s="535">
        <f>Sheet1!AA314+Sheet1!AB314-Sheet1!L314+(Sheet1!DA314-F316)*CFStoMGD-S316-T316-U316</f>
        <v>499.14182082738927</v>
      </c>
      <c r="M316" s="535">
        <f t="shared" si="697"/>
        <v>326.10801766978324</v>
      </c>
      <c r="N316" s="824">
        <f>IF(Sheet1!DA314&gt;=F316,MIN(113*CFStoMGD,MIN(MAX(L316,0),MAX(M316,0))),0)</f>
        <v>73.043199999999999</v>
      </c>
      <c r="O316" s="538">
        <f>Sheet1!AA314+Sheet1!AB314</f>
        <v>63</v>
      </c>
      <c r="P316" s="538">
        <f t="shared" si="698"/>
        <v>97.460999999999999</v>
      </c>
      <c r="Q316" s="812">
        <f t="shared" si="666"/>
        <v>0</v>
      </c>
      <c r="R316" s="812">
        <f t="shared" si="635"/>
        <v>13</v>
      </c>
      <c r="S316" s="1115">
        <f t="shared" si="757"/>
        <v>12.894579172610557</v>
      </c>
      <c r="T316" s="812">
        <f t="shared" si="637"/>
        <v>0</v>
      </c>
      <c r="U316" s="812">
        <f>IF(AND(B316&gt;=FV316,B316&lt;=FW316),ED316+Sheet1!EH314,0)</f>
        <v>0</v>
      </c>
      <c r="V316" s="812"/>
      <c r="W316" s="812">
        <f t="shared" si="638"/>
        <v>51.745420827389445</v>
      </c>
      <c r="X316" s="812">
        <f t="shared" si="639"/>
        <v>12.894579172610557</v>
      </c>
      <c r="Y316" s="812" t="str">
        <f t="shared" si="640"/>
        <v/>
      </c>
      <c r="Z316" s="812">
        <f t="shared" si="641"/>
        <v>63</v>
      </c>
      <c r="AA316" s="812">
        <f t="shared" si="642"/>
        <v>12.894579172610557</v>
      </c>
      <c r="AB316" s="1059">
        <f t="shared" si="667"/>
        <v>0</v>
      </c>
      <c r="AC316" s="538">
        <f>Sheet1!Y314*MGDtoCFS</f>
        <v>43.470700000000001</v>
      </c>
      <c r="AD316" s="538">
        <f>Sheet1!Z314*MGDtoCFS</f>
        <v>51.979199999999999</v>
      </c>
      <c r="AE316" s="538">
        <f>Sheet1!AA314*MGDtoCFS</f>
        <v>43.470700000000001</v>
      </c>
      <c r="AF316" s="538">
        <f>Sheet1!AB314*MGDtoCFS</f>
        <v>53.990299999999998</v>
      </c>
      <c r="AG316" s="538">
        <f>Sheet1!L314*MGDtoCFS</f>
        <v>6.3272300000002248</v>
      </c>
      <c r="AH316" s="521">
        <f t="shared" si="699"/>
        <v>37.210841654778889</v>
      </c>
      <c r="AI316" s="1059">
        <f t="shared" si="700"/>
        <v>57.565172039942937</v>
      </c>
      <c r="AJ316" s="535">
        <f t="shared" si="701"/>
        <v>0</v>
      </c>
      <c r="AK316" s="535">
        <f t="shared" si="702"/>
        <v>0</v>
      </c>
      <c r="AL316" s="535">
        <f>(VLOOKUP(Sheet1!DC314,hhdcap_wcm,4)-(((VLOOKUP(Sheet1!DC314,hhdcap_wcm,3)-Sheet1!DC314)/(VLOOKUP(Sheet1!DC314,hhdcap_wcm,3)-VLOOKUP(Sheet1!DC314,hhdcap_wcm,1)))*(VLOOKUP(Sheet1!DC314,hhdcap_wcm,4)-VLOOKUP(Sheet1!DC314,hhdcap_wcm,2))))</f>
        <v>1233.9000000033402</v>
      </c>
      <c r="AM316" s="535">
        <f t="shared" si="703"/>
        <v>-476.70000000124355</v>
      </c>
      <c r="AN316" s="1035">
        <f t="shared" si="704"/>
        <v>0</v>
      </c>
      <c r="AO316" s="535">
        <f t="shared" si="705"/>
        <v>0</v>
      </c>
      <c r="AP316" s="535">
        <f>Sheet1!BA314+Sheet1!BB314+Sheet1!BN314+CD316</f>
        <v>22.1</v>
      </c>
      <c r="AQ316" s="535">
        <f>Sheet1!BN314+(DO316*Sheet1!BN314)</f>
        <v>22.005420827389447</v>
      </c>
      <c r="AR316" s="535">
        <f>Sheet1!BA314+CD316</f>
        <v>0</v>
      </c>
      <c r="AS316" s="535">
        <f>Sheet1!BA314+Sheet1!BB314+CD316</f>
        <v>0</v>
      </c>
      <c r="AT316" s="649">
        <f>0</f>
        <v>0</v>
      </c>
      <c r="AU316" s="974">
        <f>BA316+MAX(Sheet1!EH314,(O316-Q316-ED316-S316))</f>
        <v>37.210841654778889</v>
      </c>
      <c r="AV316" s="535">
        <f>IF(OR(B316&gt;=GD316,B316&lt;GC316),0,15/36*K316-MAX(0,64.6-(137.6-(Sheet1!AA314+Sheet1!AB314))))</f>
        <v>0</v>
      </c>
      <c r="AW316" s="1029"/>
      <c r="AX316" s="649"/>
      <c r="AY316" s="649">
        <f t="shared" si="668"/>
        <v>23.311716569431731</v>
      </c>
      <c r="AZ316" s="649">
        <f t="shared" si="669"/>
        <v>0</v>
      </c>
      <c r="BA316" s="1059">
        <f t="shared" si="670"/>
        <v>0</v>
      </c>
      <c r="BB316" s="1019">
        <f t="shared" si="706"/>
        <v>0</v>
      </c>
      <c r="BC316" s="1041">
        <f t="shared" si="671"/>
        <v>26.933333333333334</v>
      </c>
      <c r="BD316" s="1019">
        <f ca="1">IF(B316&gt;(Summary!$A$1-1),#N/A,BB316*MGtoAF)</f>
        <v>0</v>
      </c>
      <c r="BE316" s="535">
        <f>Sheet1!BG314+Sheet1!BH314+Sheet1!BI314-BM316</f>
        <v>2.94</v>
      </c>
      <c r="BF316" s="535">
        <f t="shared" si="707"/>
        <v>2.9274179743223967</v>
      </c>
      <c r="BG316" s="535">
        <f>IF(Sheet1!EP314="FM",BM316,0)</f>
        <v>0</v>
      </c>
      <c r="BH316" s="535">
        <f t="shared" si="708"/>
        <v>0</v>
      </c>
      <c r="BI316" s="535">
        <f>IF(Sheet1!EP314="OTHER",BM316,0)</f>
        <v>0</v>
      </c>
      <c r="BJ316" s="535">
        <f t="shared" si="709"/>
        <v>0</v>
      </c>
      <c r="BK316" s="535">
        <f t="shared" si="710"/>
        <v>2.94</v>
      </c>
      <c r="BL316" s="535">
        <f t="shared" si="711"/>
        <v>2.9274179743223967</v>
      </c>
      <c r="BM316" s="535">
        <f>IF(OR(Sheet1!EP314="FM", Sheet1!EP314="OTHER"),SUM(Sheet1!BG314:'Sheet1'!BI314),0)</f>
        <v>0</v>
      </c>
      <c r="BN316" s="1115">
        <v>0</v>
      </c>
      <c r="BO316" s="535">
        <f t="shared" si="712"/>
        <v>0</v>
      </c>
      <c r="BP316" s="521">
        <f t="shared" si="713"/>
        <v>2.9274179743223967</v>
      </c>
      <c r="BQ316" s="521">
        <f>IF(AND($O316&gt;0,Sheet1!EM314=1),(1-($O316-Sheet1!$L314)/$O316)*BL316,0)</f>
        <v>0</v>
      </c>
      <c r="BR316" s="521">
        <f>IF(AND(Sheet1!$L314=0,Sheet1!$L313=0, Calculation!BK316&lt;Sheet1!$EI314-0.1,Sheet1!$EI314=Sheet1!$EI313,Sheet1!$EI314=Sheet1!$EI315),BL316-BQ316,BL316-BQ316)</f>
        <v>2.9274179743223967</v>
      </c>
      <c r="BS316" s="1035" t="str">
        <f t="shared" si="672"/>
        <v/>
      </c>
      <c r="BT316" s="1035">
        <f t="shared" si="673"/>
        <v>12.568888888888889</v>
      </c>
      <c r="BU316" s="535">
        <f t="shared" si="714"/>
        <v>0</v>
      </c>
      <c r="BV316" s="535"/>
      <c r="BW316" s="535">
        <f ca="1">IF(B316&gt;(Summary!$A$1-1),#N/A,BU316*MGtoAF)</f>
        <v>0</v>
      </c>
      <c r="BX316" s="535">
        <f>Sheet1!BC314+Sheet1!BD314+Sheet1!BE314+Sheet1!BF314-CG316-CH316</f>
        <v>3.49</v>
      </c>
      <c r="BY316" s="535">
        <f t="shared" si="715"/>
        <v>3.4750641940085596</v>
      </c>
      <c r="BZ316" s="535">
        <f>IF(Sheet1!EQ314="FM",CH316,0)</f>
        <v>0</v>
      </c>
      <c r="CA316" s="535">
        <f t="shared" si="716"/>
        <v>0</v>
      </c>
      <c r="CB316" s="535">
        <f>IF(Sheet1!EQ314="OTHER",CH316,0)</f>
        <v>0</v>
      </c>
      <c r="CC316" s="535">
        <f t="shared" si="717"/>
        <v>0</v>
      </c>
      <c r="CD316" s="535">
        <f t="shared" si="718"/>
        <v>0</v>
      </c>
      <c r="CE316" s="535">
        <f t="shared" si="719"/>
        <v>3.49</v>
      </c>
      <c r="CF316" s="535">
        <f t="shared" si="720"/>
        <v>3.4750641940085596</v>
      </c>
      <c r="CG316" s="535">
        <f>IF(Sheet1!EQ314="CWA",SUM(Sheet1!BC314:'Sheet1'!BF314),0)</f>
        <v>0</v>
      </c>
      <c r="CH316" s="535">
        <f>IF(OR(Sheet1!EQ314="FM", Sheet1!EQ314="OTHER"),SUM(Sheet1!BC314:'Sheet1'!BF314),0)</f>
        <v>0</v>
      </c>
      <c r="CI316" s="1115">
        <v>0</v>
      </c>
      <c r="CJ316" s="535">
        <f t="shared" si="721"/>
        <v>0</v>
      </c>
      <c r="CK316" s="521">
        <f t="shared" si="722"/>
        <v>3.4750641940085596</v>
      </c>
      <c r="CL316" s="521">
        <f>IF(AND($O316&gt;0,Sheet1!EN314=1),(1-($O316-Sheet1!$L314)/$O316)*CF316,0)</f>
        <v>0</v>
      </c>
      <c r="CM316" s="521">
        <f>IF(AND(Sheet1!$L314=0,Sheet1!$L313=0, Calculation!CE316&lt;Sheet1!EJ314-0.1,Sheet1!EJ314=Sheet1!EJ313,Sheet1!EJ314=Sheet1!EJ315),CF316-CL316,CF316-CL316)</f>
        <v>3.4750641940085596</v>
      </c>
      <c r="CN316" s="1040" t="str">
        <f t="shared" si="674"/>
        <v/>
      </c>
      <c r="CO316" s="1035">
        <f t="shared" si="675"/>
        <v>12.568888888888889</v>
      </c>
      <c r="CP316" s="535">
        <f t="shared" si="723"/>
        <v>0</v>
      </c>
      <c r="CQ316" s="535"/>
      <c r="CR316" s="535">
        <f ca="1">IF(B316&gt;(Summary!$A$1-1),#N/A,CP316*MGtoAF)</f>
        <v>0</v>
      </c>
      <c r="CS316" s="535">
        <f>Sheet1!BK314+Sheet1!BL314+Sheet1!BM314-Sheet1!ER314-DA316</f>
        <v>6.52</v>
      </c>
      <c r="CT316" s="535">
        <f t="shared" si="724"/>
        <v>6.4920970042796</v>
      </c>
      <c r="CU316" s="535">
        <f>IF(Sheet1!ER314="FM",DA316,0)</f>
        <v>0</v>
      </c>
      <c r="CV316" s="535">
        <f t="shared" si="725"/>
        <v>0</v>
      </c>
      <c r="CW316" s="535">
        <f>IF(Sheet1!ER314="OTHER",DA316,0)</f>
        <v>0</v>
      </c>
      <c r="CX316" s="535">
        <f t="shared" si="726"/>
        <v>0</v>
      </c>
      <c r="CY316" s="535">
        <f t="shared" si="727"/>
        <v>6.52</v>
      </c>
      <c r="CZ316" s="535">
        <f t="shared" si="728"/>
        <v>6.4920970042796</v>
      </c>
      <c r="DA316" s="535">
        <f>IF(OR(Sheet1!ER314="FM", Sheet1!ER314="OTHER"),SUM(Sheet1!BK314:'Sheet1'!BM314),0)</f>
        <v>0</v>
      </c>
      <c r="DB316" s="1115">
        <v>0</v>
      </c>
      <c r="DC316" s="1012">
        <f t="shared" si="729"/>
        <v>0</v>
      </c>
      <c r="DD316" s="1011">
        <f t="shared" si="730"/>
        <v>6.4920970042796</v>
      </c>
      <c r="DE316" s="521">
        <f>IF(AND($O316&gt;0,Sheet1!EO314=1),(1-($O316-Sheet1!$L314)/$O316)*CZ316,0)</f>
        <v>0</v>
      </c>
      <c r="DF316" s="521">
        <f>IF(AND(Sheet1!$L314=0,Sheet1!$L313=0, Calculation!CY316&lt;Sheet1!$EK314-0.1,Sheet1!$EK314=Sheet1!$EK313,Sheet1!$EK314=Sheet1!$EK315),CZ316-DE316,CZ316-DE316)</f>
        <v>6.4920970042796</v>
      </c>
      <c r="DG316" s="1040">
        <f t="shared" si="676"/>
        <v>12.568888888888889</v>
      </c>
      <c r="DH316" s="649">
        <f t="shared" si="731"/>
        <v>12.95</v>
      </c>
      <c r="DI316" s="535">
        <f t="shared" si="732"/>
        <v>0</v>
      </c>
      <c r="DJ316" s="649">
        <f t="shared" si="733"/>
        <v>12.894579172610555</v>
      </c>
      <c r="DK316" s="535">
        <f ca="1">IF(B316&gt;(Summary!$A$1-1),#N/A,DI316*MGtoAF)</f>
        <v>0</v>
      </c>
      <c r="DL316" s="649">
        <f t="shared" si="734"/>
        <v>12.95</v>
      </c>
      <c r="DM316" s="535">
        <f t="shared" si="735"/>
        <v>35.049999999999997</v>
      </c>
      <c r="DN316" s="535">
        <f>Sheet1!AB314-DM316</f>
        <v>-0.14999999999999858</v>
      </c>
      <c r="DO316" s="743">
        <f t="shared" si="736"/>
        <v>-4.2796005706133696E-3</v>
      </c>
      <c r="DP316" s="535">
        <f>(VLOOKUP(Sheet1!DC314,hhdcap_wcm,4)-(((VLOOKUP(Sheet1!DC314,hhdcap_wcm,3)-Sheet1!DC314)/(VLOOKUP(Sheet1!DC314,hhdcap_wcm,3)-VLOOKUP(Sheet1!DC314,hhdcap_wcm,1)))*(VLOOKUP(Sheet1!DC314,hhdcap_wcm,4)-VLOOKUP(Sheet1!DC314,hhdcap_wcm,2))))</f>
        <v>1233.9000000033402</v>
      </c>
      <c r="DQ316" s="535">
        <f t="shared" si="737"/>
        <v>-476.70000000124355</v>
      </c>
      <c r="DR316" s="535">
        <f t="shared" si="738"/>
        <v>-240.3933434196891</v>
      </c>
      <c r="DS316" s="535">
        <f>Sheet1!EA314*AFtoMG</f>
        <v>0</v>
      </c>
      <c r="DT316" s="535">
        <f>Sheet1!EB314*AFtoMG</f>
        <v>0</v>
      </c>
      <c r="DU316" s="535">
        <f>Sheet1!EC314*AFtoMG</f>
        <v>0</v>
      </c>
      <c r="DV316" s="535">
        <f>Sheet1!ED314*AFtoMG</f>
        <v>0</v>
      </c>
      <c r="DW316" s="535">
        <f t="shared" si="739"/>
        <v>0</v>
      </c>
      <c r="DX316" s="535">
        <f t="shared" si="740"/>
        <v>0</v>
      </c>
      <c r="DY316" s="535">
        <f t="shared" si="741"/>
        <v>0</v>
      </c>
      <c r="DZ316" s="535">
        <f t="shared" si="742"/>
        <v>0</v>
      </c>
      <c r="EA316" s="535"/>
      <c r="EB316" s="521">
        <f>IF(OR(B316&lt;FV316,B316&gt;FW316),(MIN(BF316+BY316+CT316+MAX(Sheet1!AA314+AQ316-73,0),K316)),0)</f>
        <v>12.894579172610555</v>
      </c>
      <c r="EC316" s="535"/>
      <c r="ED316" s="535">
        <f t="shared" si="743"/>
        <v>12.894579172610557</v>
      </c>
      <c r="EE316" s="535"/>
      <c r="EF316" s="535">
        <f>Sheet1!EH314+Sheet1!EI314+Sheet1!EJ314+Sheet1!EK314</f>
        <v>13</v>
      </c>
      <c r="EG316" s="1019">
        <f t="shared" si="677"/>
        <v>20.111000000000001</v>
      </c>
      <c r="EH316" s="521">
        <f t="shared" si="744"/>
        <v>0</v>
      </c>
      <c r="EI316" s="535">
        <f>IF(Sheet1!ET314=1,SUM('Calculations II'!AT316:BA316)+'Calculations II'!BC316+Sheet1!BV314+'Calculations II'!BE316+AP316,'Calculations II'!BK316)</f>
        <v>45.896362827389446</v>
      </c>
      <c r="EJ316" s="535">
        <f ca="1">EI316+'Calculations II'!D316+'Calculations II'!E316+'Calculations II'!O316</f>
        <v>50.707573227093398</v>
      </c>
      <c r="EK316" s="535"/>
      <c r="EL316" s="535"/>
      <c r="EM316" s="535">
        <f t="shared" si="745"/>
        <v>43040</v>
      </c>
      <c r="EN316" s="535">
        <f t="shared" si="746"/>
        <v>-37.210841654778889</v>
      </c>
      <c r="EO316" s="535">
        <f t="shared" si="747"/>
        <v>-57.565172039942937</v>
      </c>
      <c r="EP316" s="535">
        <v>0</v>
      </c>
      <c r="EQ316" s="535">
        <v>0</v>
      </c>
      <c r="ER316" s="535">
        <v>0</v>
      </c>
      <c r="ES316" s="521">
        <f t="shared" si="643"/>
        <v>-3.8759590562427007</v>
      </c>
      <c r="ET316" s="535">
        <f>-(VLOOKUP(Sheet1!BQ314,Lookup!$O$4:$Q$262,2)-VLOOKUP(Sheet1!BQ313,Lookup!$O$4:$Q$262,2))/1000000</f>
        <v>-1.9375758913145438</v>
      </c>
      <c r="EU316" s="535">
        <f>-(VLOOKUP(Sheet1!BR314,Lookup!$O$4:$Q$262,3)-VLOOKUP(Sheet1!BR313,Lookup!$O$4:$Q$262,3))/1000000</f>
        <v>-1.9383831649281569</v>
      </c>
      <c r="EV316" s="535"/>
      <c r="EW316" s="535"/>
      <c r="EX316" s="535"/>
      <c r="EY316" s="535"/>
      <c r="EZ316" s="535"/>
      <c r="FA316" s="535"/>
      <c r="FB316" s="535"/>
      <c r="FC316" s="535"/>
      <c r="FD316" s="567">
        <f t="shared" si="693"/>
        <v>1091.3333333332976</v>
      </c>
      <c r="FE316" s="567" t="e">
        <f t="shared" si="748"/>
        <v>#N/A</v>
      </c>
      <c r="FF316" s="568" t="e">
        <f t="shared" si="749"/>
        <v>#N/A</v>
      </c>
      <c r="FG316" s="569" t="s">
        <v>656</v>
      </c>
      <c r="FH316" s="569" t="s">
        <v>656</v>
      </c>
      <c r="FI316" s="567" t="e">
        <v>#N/A</v>
      </c>
      <c r="FJ316" s="725">
        <v>2700</v>
      </c>
      <c r="FK316" s="535"/>
      <c r="FL316" s="1015">
        <f t="shared" si="692"/>
        <v>45.385779122541599</v>
      </c>
      <c r="FM316" s="535"/>
      <c r="FN316" s="535"/>
      <c r="FO316" s="535">
        <f>O316+((Sheet1!CS314)*GPMtoMGD)</f>
        <v>63</v>
      </c>
      <c r="FP316" s="535">
        <f>IF(Sheet1!AA314+AQ316&lt;=Calculation!N316,AQ316,Calculation!N316-Sheet1!AA314)</f>
        <v>22.005420827389447</v>
      </c>
      <c r="FQ316" s="535">
        <f>(Sheet1!BP314+Sheet1!BO314)/694.4</f>
        <v>1.4802707373271891</v>
      </c>
      <c r="FR316" s="541"/>
      <c r="FS316" s="541"/>
      <c r="FT316" s="541"/>
      <c r="FU316" s="541"/>
      <c r="FV316" s="1109">
        <f t="shared" si="644"/>
        <v>42918</v>
      </c>
      <c r="FW316" s="1109">
        <f t="shared" si="645"/>
        <v>43027</v>
      </c>
      <c r="FX316" s="541"/>
      <c r="FY316" s="541">
        <f>Sheet1!DA314-Sheet1!CZ314-Sheet1!AE314</f>
        <v>124.86623000000023</v>
      </c>
      <c r="FZ316" s="535">
        <f t="shared" si="678"/>
        <v>0.25245561971066055</v>
      </c>
      <c r="GA316" s="535"/>
      <c r="GB316" s="535" t="str">
        <f t="shared" si="646"/>
        <v>n</v>
      </c>
      <c r="GC316" s="539">
        <f t="shared" si="647"/>
        <v>42782</v>
      </c>
      <c r="GD316" s="1109">
        <f t="shared" si="648"/>
        <v>42904</v>
      </c>
      <c r="GE316" s="535">
        <f t="shared" si="664"/>
        <v>6520</v>
      </c>
      <c r="GF316" s="1109">
        <f t="shared" si="649"/>
        <v>42909</v>
      </c>
      <c r="GG316" s="535">
        <f t="shared" si="691"/>
        <v>3260</v>
      </c>
      <c r="GH316" s="539">
        <f t="shared" si="650"/>
        <v>43040</v>
      </c>
      <c r="GJ316" s="521">
        <f t="shared" si="651"/>
        <v>0</v>
      </c>
      <c r="GK316" s="535" t="str">
        <f t="shared" si="750"/>
        <v/>
      </c>
      <c r="GL316" s="535">
        <f t="shared" si="652"/>
        <v>0</v>
      </c>
      <c r="GM316" s="535" t="str">
        <f t="shared" si="653"/>
        <v/>
      </c>
      <c r="GN316" s="535">
        <f>IF(GK316="P",Lookup!$M$12,IF(GK316="PP",Lookup!$M$13,IF(GK316="PPP",Lookup!$M$14,IF(GK316="T",Lookup!$M$15,IF(GK316="TP",Lookup!$M$16,IF(GK316="TPP",Lookup!$M$17,IF(GK316="TPPP",Lookup!$M$18,0)))))))*GJ316</f>
        <v>0</v>
      </c>
      <c r="GO316" s="535">
        <f t="shared" si="654"/>
        <v>0</v>
      </c>
      <c r="GP316" s="535">
        <f t="shared" si="751"/>
        <v>0</v>
      </c>
      <c r="GQ316" s="974">
        <f t="shared" si="695"/>
        <v>0</v>
      </c>
      <c r="GR316" s="535"/>
      <c r="GS316" s="535">
        <f t="shared" si="655"/>
        <v>0</v>
      </c>
      <c r="GT316" s="535" t="str">
        <f t="shared" si="656"/>
        <v/>
      </c>
      <c r="GU316" s="535">
        <f>IF(GK316="P",Lookup!$N$12,IF(GK316="PP",Lookup!$N$13,IF(GK316="PPP",Lookup!$N$14,IF(GK316="T",Lookup!$N$15,IF(GK316="TP",Lookup!$N$16,IF(GK316="TPP",Lookup!$N$17,IF(GK316="TPPP",Lookup!$N$18,0)))))))*GJ316</f>
        <v>0</v>
      </c>
      <c r="GV316" s="535">
        <f t="shared" si="657"/>
        <v>0</v>
      </c>
      <c r="GW316" s="535">
        <f t="shared" si="752"/>
        <v>0</v>
      </c>
      <c r="GX316" s="974">
        <f t="shared" si="696"/>
        <v>0</v>
      </c>
      <c r="GY316" s="535"/>
      <c r="GZ316" s="535">
        <f t="shared" si="658"/>
        <v>0</v>
      </c>
      <c r="HA316" s="535" t="str">
        <f t="shared" si="659"/>
        <v/>
      </c>
      <c r="HB316" s="535">
        <f>IF(GK316="P",Lookup!$N$12,IF(GK316="PP",Lookup!$N$13,IF(GK316="PPP",Lookup!$N$14,IF(GK316="T",Lookup!$N$15,IF(GK316="TP",Lookup!$N$16,IF(GK316="TPP",Lookup!$N$17,IF(GK316="TPPP",Lookup!$N$18,0)))))))*GJ316</f>
        <v>0</v>
      </c>
      <c r="HC316" s="521">
        <f t="shared" si="753"/>
        <v>0</v>
      </c>
      <c r="HD316" s="535">
        <f t="shared" si="754"/>
        <v>0</v>
      </c>
      <c r="HE316" s="535">
        <f t="shared" si="662"/>
        <v>0</v>
      </c>
      <c r="HF316" s="535"/>
      <c r="HG316" s="535">
        <f t="shared" si="660"/>
        <v>0</v>
      </c>
      <c r="HH316" s="535" t="str">
        <f t="shared" si="661"/>
        <v/>
      </c>
      <c r="HI316" s="535">
        <f>IF(GK316="P",Lookup!$N$12,IF(GK316="PP",Lookup!$N$13,IF(GK316="PPP",Lookup!$N$14,IF(GK316="T",Lookup!$N$15,IF(GK316="TP",Lookup!$N$16,IF(GK316="TPP",Lookup!$N$17,IF(GK316="TPPP",Lookup!$N$18,0)))))))*GJ316</f>
        <v>0</v>
      </c>
      <c r="HJ316" s="521">
        <f t="shared" si="755"/>
        <v>0</v>
      </c>
      <c r="HK316" s="535">
        <f t="shared" si="756"/>
        <v>0</v>
      </c>
      <c r="HL316" s="535">
        <f t="shared" si="663"/>
        <v>0</v>
      </c>
      <c r="HM316" s="535"/>
      <c r="HN316" s="541"/>
      <c r="HO316" s="541"/>
      <c r="HP316" s="541"/>
      <c r="HQ316" s="541">
        <f>IF(AND(B316&gt;=$FV$4,B316&lt;=$FW$4),MAX(110/1.02+$HQ$6+MIN(113/1.02,G316),IF($HV$6-(Sheet1!DA314-Sheet1!DB314)+MIN(113/1.02,G316)&lt;G316+FL316,$HV$6-(Sheet1!DA314-Sheet1!DB314)+MIN(113/1.02,G316),G316+FL316)),MIN(110/1.02+$HQ$6+113/1.02,G316))</f>
        <v>218.62745098039215</v>
      </c>
      <c r="HR316" s="541">
        <f t="shared" si="679"/>
        <v>223</v>
      </c>
      <c r="HS316" s="541">
        <f>HR316+(Sheet1!DA314-Sheet1!DB314)</f>
        <v>514</v>
      </c>
      <c r="HT316" s="541">
        <f t="shared" si="680"/>
        <v>0</v>
      </c>
      <c r="HU316" s="541">
        <f t="shared" si="681"/>
        <v>514</v>
      </c>
      <c r="HV316" s="541">
        <f t="shared" si="682"/>
        <v>0</v>
      </c>
      <c r="HW316" s="533" t="str">
        <f t="shared" si="683"/>
        <v/>
      </c>
      <c r="HX316" s="541">
        <f t="shared" si="684"/>
        <v>458.80737697966492</v>
      </c>
      <c r="HY316" s="541">
        <f>Sheet1!CZ314</f>
        <v>735</v>
      </c>
      <c r="HZ316" s="541">
        <f t="shared" si="685"/>
        <v>57.565172039942937</v>
      </c>
      <c r="IA316" s="541">
        <f t="shared" si="686"/>
        <v>0</v>
      </c>
      <c r="IB316" s="541">
        <f t="shared" si="687"/>
        <v>677.43482796005708</v>
      </c>
      <c r="IC316" s="1019" t="str">
        <f t="shared" si="688"/>
        <v/>
      </c>
      <c r="ID316" s="541">
        <f t="shared" si="689"/>
        <v>677.43482796005708</v>
      </c>
      <c r="IE316" s="541">
        <f>Sheet1!DB314</f>
        <v>660</v>
      </c>
      <c r="IF316" s="533">
        <f>Sheet1!DA314</f>
        <v>951</v>
      </c>
      <c r="IH316" s="541">
        <f>IF(AND($B316&gt;=$GC316,$B316&lt;=$GH316,$DR316&lt;0)+N("only adjusted when pool is drawn down during storage season"),Sheet1!$DB314+$DR316+N("Palmer minus all storage release"),Sheet1!$DB314)</f>
        <v>419.60665658031087</v>
      </c>
      <c r="II316" s="541">
        <f>IF(AND($B316&gt;=$GC316,$B316&lt;=$GH316,$DR316&lt;0)+N("only adjusted when pool is drawn down during storage season"),Sheet1!$DA314+$DR316+N("Auburn minus all storage release"),Sheet1!$DA314)</f>
        <v>710.60665658031087</v>
      </c>
    </row>
    <row r="317" spans="1:243" x14ac:dyDescent="0.25">
      <c r="A317" s="553" t="s">
        <v>7</v>
      </c>
      <c r="B317" s="531">
        <v>43041</v>
      </c>
      <c r="C317" s="536">
        <v>0</v>
      </c>
      <c r="D317" s="506">
        <f t="shared" si="633"/>
        <v>300</v>
      </c>
      <c r="E317" s="506">
        <f t="shared" si="634"/>
        <v>250</v>
      </c>
      <c r="F317" s="506">
        <v>250</v>
      </c>
      <c r="G317" s="535">
        <f>DR317+Sheet1!CZ315</f>
        <v>467.88905698408615</v>
      </c>
      <c r="H317" s="1074">
        <f t="shared" si="690"/>
        <v>260.74360383999999</v>
      </c>
      <c r="I317" s="534">
        <f>IF(Sheet1!DA315&gt;=E317,(Sheet1!DA315-E317+P317)*CFStoMGD,0)</f>
        <v>519.95000384000002</v>
      </c>
      <c r="J317" s="995">
        <f>IF(Sheet1!DB315&gt;=D317,(Sheet1!DB315-D317+P317)*CFStoMGD,0)</f>
        <v>260.74360383999999</v>
      </c>
      <c r="K317" s="818">
        <f t="shared" si="665"/>
        <v>64.64</v>
      </c>
      <c r="L317" s="535">
        <f>Sheet1!AA315+Sheet1!AB315-Sheet1!L315+(Sheet1!DA315-F317)*CFStoMGD-S317-T317-U317</f>
        <v>503.93631682242972</v>
      </c>
      <c r="M317" s="535">
        <f t="shared" si="697"/>
        <v>308.49235616320357</v>
      </c>
      <c r="N317" s="824">
        <f>IF(Sheet1!DA315&gt;=F317,MIN(113*CFStoMGD,MIN(MAX(L317,0),MAX(M317,0))),0)</f>
        <v>73.043199999999999</v>
      </c>
      <c r="O317" s="538">
        <f>Sheet1!AA315+Sheet1!AB315</f>
        <v>62.300000000000004</v>
      </c>
      <c r="P317" s="538">
        <f t="shared" si="698"/>
        <v>96.378100000000003</v>
      </c>
      <c r="Q317" s="812">
        <f t="shared" si="666"/>
        <v>0</v>
      </c>
      <c r="R317" s="812">
        <f t="shared" si="635"/>
        <v>12.924883177570093</v>
      </c>
      <c r="S317" s="1115">
        <f t="shared" si="757"/>
        <v>12.924883177570093</v>
      </c>
      <c r="T317" s="812">
        <f t="shared" si="637"/>
        <v>0</v>
      </c>
      <c r="U317" s="812">
        <f>IF(AND(B317&gt;=FV317,B317&lt;=FW317),ED317+Sheet1!EH315,0)</f>
        <v>0</v>
      </c>
      <c r="V317" s="812"/>
      <c r="W317" s="812">
        <f t="shared" si="638"/>
        <v>51.715116822429906</v>
      </c>
      <c r="X317" s="812">
        <f t="shared" si="639"/>
        <v>12.924883177570093</v>
      </c>
      <c r="Y317" s="812" t="str">
        <f t="shared" si="640"/>
        <v/>
      </c>
      <c r="Z317" s="812">
        <f t="shared" si="641"/>
        <v>62.300000000000004</v>
      </c>
      <c r="AA317" s="812">
        <f t="shared" si="642"/>
        <v>12.924883177570093</v>
      </c>
      <c r="AB317" s="1059">
        <f t="shared" si="667"/>
        <v>0</v>
      </c>
      <c r="AC317" s="538">
        <f>Sheet1!Y315*MGDtoCFS</f>
        <v>43.470700000000001</v>
      </c>
      <c r="AD317" s="538">
        <f>Sheet1!Z315*MGDtoCFS</f>
        <v>53.990299999999998</v>
      </c>
      <c r="AE317" s="538">
        <f>Sheet1!AA315*MGDtoCFS</f>
        <v>43.470700000000001</v>
      </c>
      <c r="AF317" s="538">
        <f>Sheet1!AB315*MGDtoCFS</f>
        <v>52.907400000000003</v>
      </c>
      <c r="AG317" s="538">
        <f>Sheet1!L315*MGDtoCFS</f>
        <v>4.7802300000002251</v>
      </c>
      <c r="AH317" s="521">
        <f t="shared" si="699"/>
        <v>36.450233644859814</v>
      </c>
      <c r="AI317" s="1059">
        <f t="shared" si="700"/>
        <v>56.38851144859813</v>
      </c>
      <c r="AJ317" s="535">
        <f t="shared" si="701"/>
        <v>0</v>
      </c>
      <c r="AK317" s="535">
        <f t="shared" si="702"/>
        <v>0</v>
      </c>
      <c r="AL317" s="535">
        <f>(VLOOKUP(Sheet1!DC315,hhdcap_wcm,4)-(((VLOOKUP(Sheet1!DC315,hhdcap_wcm,3)-Sheet1!DC315)/(VLOOKUP(Sheet1!DC315,hhdcap_wcm,3)-VLOOKUP(Sheet1!DC315,hhdcap_wcm,1)))*(VLOOKUP(Sheet1!DC315,hhdcap_wcm,4)-VLOOKUP(Sheet1!DC315,hhdcap_wcm,2))))</f>
        <v>916.40000000278303</v>
      </c>
      <c r="AM317" s="535">
        <f t="shared" si="703"/>
        <v>-317.50000000055718</v>
      </c>
      <c r="AN317" s="1035">
        <f t="shared" si="704"/>
        <v>0</v>
      </c>
      <c r="AO317" s="535">
        <f t="shared" si="705"/>
        <v>0</v>
      </c>
      <c r="AP317" s="535">
        <f>Sheet1!BA315+Sheet1!BB315+Sheet1!BN315+CD317</f>
        <v>21.3</v>
      </c>
      <c r="AQ317" s="535">
        <f>Sheet1!BN315+(DO317*Sheet1!BN315)</f>
        <v>21.275116822429908</v>
      </c>
      <c r="AR317" s="535">
        <f>Sheet1!BA315+CD317</f>
        <v>0</v>
      </c>
      <c r="AS317" s="535">
        <f>Sheet1!BA315+Sheet1!BB315+CD317</f>
        <v>0</v>
      </c>
      <c r="AT317" s="649">
        <f>0</f>
        <v>0</v>
      </c>
      <c r="AU317" s="974">
        <f>BA317+MAX(Sheet1!EH315,(O317-Q317-ED317-S317))</f>
        <v>36.450233644859814</v>
      </c>
      <c r="AV317" s="535">
        <f>IF(OR(B317&gt;=GD317,B317&lt;GC317),0,15/36*K317-MAX(0,64.6-(137.6-(Sheet1!AA315+Sheet1!AB315))))</f>
        <v>0</v>
      </c>
      <c r="AW317" s="1029"/>
      <c r="AX317" s="649"/>
      <c r="AY317" s="649">
        <f t="shared" si="668"/>
        <v>23.311716569431731</v>
      </c>
      <c r="AZ317" s="649">
        <f t="shared" si="669"/>
        <v>0</v>
      </c>
      <c r="BA317" s="1059">
        <f t="shared" si="670"/>
        <v>0</v>
      </c>
      <c r="BB317" s="1019">
        <f t="shared" si="706"/>
        <v>0</v>
      </c>
      <c r="BC317" s="1041">
        <f t="shared" si="671"/>
        <v>26.933333333333334</v>
      </c>
      <c r="BD317" s="1019">
        <f ca="1">IF(B317&gt;(Summary!$A$1-1),#N/A,BB317*MGtoAF)</f>
        <v>0</v>
      </c>
      <c r="BE317" s="535">
        <f>Sheet1!BG315+Sheet1!BH315+Sheet1!BI315-BM317</f>
        <v>2.94</v>
      </c>
      <c r="BF317" s="535">
        <f t="shared" si="707"/>
        <v>2.9365654205607479</v>
      </c>
      <c r="BG317" s="535">
        <f>IF(Sheet1!EP315="FM",BM317,0)</f>
        <v>0</v>
      </c>
      <c r="BH317" s="535">
        <f t="shared" si="708"/>
        <v>0</v>
      </c>
      <c r="BI317" s="535">
        <f>IF(Sheet1!EP315="OTHER",BM317,0)</f>
        <v>0</v>
      </c>
      <c r="BJ317" s="535">
        <f t="shared" si="709"/>
        <v>0</v>
      </c>
      <c r="BK317" s="535">
        <f t="shared" si="710"/>
        <v>2.94</v>
      </c>
      <c r="BL317" s="535">
        <f t="shared" si="711"/>
        <v>2.9365654205607479</v>
      </c>
      <c r="BM317" s="535">
        <f>IF(OR(Sheet1!EP315="FM", Sheet1!EP315="OTHER"),SUM(Sheet1!BG315:'Sheet1'!BI315),0)</f>
        <v>0</v>
      </c>
      <c r="BN317" s="1115">
        <v>0</v>
      </c>
      <c r="BO317" s="535">
        <f t="shared" si="712"/>
        <v>0</v>
      </c>
      <c r="BP317" s="521">
        <f t="shared" si="713"/>
        <v>2.9365654205607479</v>
      </c>
      <c r="BQ317" s="521">
        <f>IF(AND($O317&gt;0,Sheet1!EM315=1),(1-($O317-Sheet1!$L315)/$O317)*BL317,0)</f>
        <v>0</v>
      </c>
      <c r="BR317" s="521">
        <f>IF(AND(Sheet1!$L315=0,Sheet1!$L314=0, Calculation!BK317&lt;Sheet1!$EI315-0.1,Sheet1!$EI315=Sheet1!$EI314,Sheet1!$EI315=Sheet1!$EI316),BL317-BQ317,BL317-BQ317)</f>
        <v>2.9365654205607479</v>
      </c>
      <c r="BS317" s="1035" t="str">
        <f t="shared" si="672"/>
        <v/>
      </c>
      <c r="BT317" s="1035">
        <f t="shared" si="673"/>
        <v>12.568888888888889</v>
      </c>
      <c r="BU317" s="535">
        <f t="shared" si="714"/>
        <v>0</v>
      </c>
      <c r="BV317" s="535"/>
      <c r="BW317" s="535">
        <f ca="1">IF(B317&gt;(Summary!$A$1-1),#N/A,BU317*MGtoAF)</f>
        <v>0</v>
      </c>
      <c r="BX317" s="535">
        <f>Sheet1!BC315+Sheet1!BD315+Sheet1!BE315+Sheet1!BF315-CG317-CH317</f>
        <v>3.4699999999999998</v>
      </c>
      <c r="BY317" s="535">
        <f t="shared" si="715"/>
        <v>3.4659462616822427</v>
      </c>
      <c r="BZ317" s="535">
        <f>IF(Sheet1!EQ315="FM",CH317,0)</f>
        <v>0</v>
      </c>
      <c r="CA317" s="535">
        <f t="shared" si="716"/>
        <v>0</v>
      </c>
      <c r="CB317" s="535">
        <f>IF(Sheet1!EQ315="OTHER",CH317,0)</f>
        <v>0</v>
      </c>
      <c r="CC317" s="535">
        <f t="shared" si="717"/>
        <v>0</v>
      </c>
      <c r="CD317" s="535">
        <f t="shared" si="718"/>
        <v>0</v>
      </c>
      <c r="CE317" s="535">
        <f t="shared" si="719"/>
        <v>3.4699999999999998</v>
      </c>
      <c r="CF317" s="535">
        <f t="shared" si="720"/>
        <v>3.4659462616822427</v>
      </c>
      <c r="CG317" s="535">
        <f>IF(Sheet1!EQ315="CWA",SUM(Sheet1!BC315:'Sheet1'!BF315),0)</f>
        <v>0</v>
      </c>
      <c r="CH317" s="535">
        <f>IF(OR(Sheet1!EQ315="FM", Sheet1!EQ315="OTHER"),SUM(Sheet1!BC315:'Sheet1'!BF315),0)</f>
        <v>0</v>
      </c>
      <c r="CI317" s="1115">
        <v>0</v>
      </c>
      <c r="CJ317" s="535">
        <f t="shared" si="721"/>
        <v>0</v>
      </c>
      <c r="CK317" s="521">
        <f t="shared" si="722"/>
        <v>3.4659462616822427</v>
      </c>
      <c r="CL317" s="521">
        <f>IF(AND($O317&gt;0,Sheet1!EN315=1),(1-($O317-Sheet1!$L315)/$O317)*CF317,0)</f>
        <v>0</v>
      </c>
      <c r="CM317" s="521">
        <f>IF(AND(Sheet1!$L315=0,Sheet1!$L314=0, Calculation!CE317&lt;Sheet1!EJ315-0.1,Sheet1!EJ315=Sheet1!EJ314,Sheet1!EJ315=Sheet1!EJ316),CF317-CL317,CF317-CL317)</f>
        <v>3.4659462616822427</v>
      </c>
      <c r="CN317" s="1040" t="str">
        <f t="shared" si="674"/>
        <v/>
      </c>
      <c r="CO317" s="1035">
        <f t="shared" si="675"/>
        <v>12.568888888888889</v>
      </c>
      <c r="CP317" s="535">
        <f t="shared" si="723"/>
        <v>0</v>
      </c>
      <c r="CQ317" s="535"/>
      <c r="CR317" s="535">
        <f ca="1">IF(B317&gt;(Summary!$A$1-1),#N/A,CP317*MGtoAF)</f>
        <v>0</v>
      </c>
      <c r="CS317" s="535">
        <f>Sheet1!BK315+Sheet1!BL315+Sheet1!BM315-Sheet1!ER315-DA317</f>
        <v>6.5299999999999994</v>
      </c>
      <c r="CT317" s="535">
        <f t="shared" si="724"/>
        <v>6.5223714953271026</v>
      </c>
      <c r="CU317" s="535">
        <f>IF(Sheet1!ER315="FM",DA317,0)</f>
        <v>0</v>
      </c>
      <c r="CV317" s="535">
        <f t="shared" si="725"/>
        <v>0</v>
      </c>
      <c r="CW317" s="535">
        <f>IF(Sheet1!ER315="OTHER",DA317,0)</f>
        <v>0</v>
      </c>
      <c r="CX317" s="535">
        <f t="shared" si="726"/>
        <v>0</v>
      </c>
      <c r="CY317" s="535">
        <f t="shared" si="727"/>
        <v>6.5299999999999994</v>
      </c>
      <c r="CZ317" s="535">
        <f t="shared" si="728"/>
        <v>6.5223714953271026</v>
      </c>
      <c r="DA317" s="535">
        <f>IF(OR(Sheet1!ER315="FM", Sheet1!ER315="OTHER"),SUM(Sheet1!BK315:'Sheet1'!BM315),0)</f>
        <v>0</v>
      </c>
      <c r="DB317" s="1115">
        <v>0</v>
      </c>
      <c r="DC317" s="1012">
        <f t="shared" si="729"/>
        <v>0</v>
      </c>
      <c r="DD317" s="1011">
        <f t="shared" si="730"/>
        <v>6.5223714953271026</v>
      </c>
      <c r="DE317" s="521">
        <f>IF(AND($O317&gt;0,Sheet1!EO315=1),(1-($O317-Sheet1!$L315)/$O317)*CZ317,0)</f>
        <v>0</v>
      </c>
      <c r="DF317" s="521">
        <f>IF(AND(Sheet1!$L315=0,Sheet1!$L314=0, Calculation!CY317&lt;Sheet1!$EK315-0.1,Sheet1!$EK315=Sheet1!$EK314,Sheet1!$EK315=Sheet1!$EK316),CZ317-DE317,CZ317-DE317)</f>
        <v>6.5223714953271026</v>
      </c>
      <c r="DG317" s="1040">
        <f t="shared" si="676"/>
        <v>12.568888888888889</v>
      </c>
      <c r="DH317" s="649">
        <f t="shared" si="731"/>
        <v>12.94</v>
      </c>
      <c r="DI317" s="535">
        <f t="shared" si="732"/>
        <v>0</v>
      </c>
      <c r="DJ317" s="649">
        <f t="shared" si="733"/>
        <v>12.924883177570093</v>
      </c>
      <c r="DK317" s="535">
        <f ca="1">IF(B317&gt;(Summary!$A$1-1),#N/A,DI317*MGtoAF)</f>
        <v>0</v>
      </c>
      <c r="DL317" s="649">
        <f t="shared" si="734"/>
        <v>12.94</v>
      </c>
      <c r="DM317" s="535">
        <f t="shared" si="735"/>
        <v>34.24</v>
      </c>
      <c r="DN317" s="535">
        <f>Sheet1!AB315-DM317</f>
        <v>-3.9999999999999147E-2</v>
      </c>
      <c r="DO317" s="743">
        <f t="shared" si="736"/>
        <v>-1.1682242990653955E-3</v>
      </c>
      <c r="DP317" s="535">
        <f>(VLOOKUP(Sheet1!DC315,hhdcap_wcm,4)-(((VLOOKUP(Sheet1!DC315,hhdcap_wcm,3)-Sheet1!DC315)/(VLOOKUP(Sheet1!DC315,hhdcap_wcm,3)-VLOOKUP(Sheet1!DC315,hhdcap_wcm,1)))*(VLOOKUP(Sheet1!DC315,hhdcap_wcm,4)-VLOOKUP(Sheet1!DC315,hhdcap_wcm,2))))</f>
        <v>916.40000000278303</v>
      </c>
      <c r="DQ317" s="535">
        <f t="shared" si="737"/>
        <v>-317.50000000055718</v>
      </c>
      <c r="DR317" s="535">
        <f t="shared" si="738"/>
        <v>-160.11094301591385</v>
      </c>
      <c r="DS317" s="535">
        <f>Sheet1!EA315*AFtoMG</f>
        <v>0</v>
      </c>
      <c r="DT317" s="535">
        <f>Sheet1!EB315*AFtoMG</f>
        <v>0</v>
      </c>
      <c r="DU317" s="535">
        <f>Sheet1!EC315*AFtoMG</f>
        <v>0</v>
      </c>
      <c r="DV317" s="535">
        <f>Sheet1!ED315*AFtoMG</f>
        <v>0</v>
      </c>
      <c r="DW317" s="535">
        <f t="shared" si="739"/>
        <v>0</v>
      </c>
      <c r="DX317" s="535">
        <f t="shared" si="740"/>
        <v>0</v>
      </c>
      <c r="DY317" s="535">
        <f t="shared" si="741"/>
        <v>0</v>
      </c>
      <c r="DZ317" s="535">
        <f t="shared" si="742"/>
        <v>0</v>
      </c>
      <c r="EA317" s="535"/>
      <c r="EB317" s="521">
        <f>IF(OR(B317&lt;FV317,B317&gt;FW317),(MIN(BF317+BY317+CT317+MAX(Sheet1!AA315+AQ317-73,0),K317)),0)</f>
        <v>12.924883177570093</v>
      </c>
      <c r="EC317" s="535"/>
      <c r="ED317" s="535">
        <f t="shared" si="743"/>
        <v>12.924883177570093</v>
      </c>
      <c r="EE317" s="535"/>
      <c r="EF317" s="535">
        <f>Sheet1!EH315+Sheet1!EI315+Sheet1!EJ315+Sheet1!EK315</f>
        <v>13</v>
      </c>
      <c r="EG317" s="1019">
        <f t="shared" si="677"/>
        <v>20.111000000000001</v>
      </c>
      <c r="EH317" s="521">
        <f t="shared" si="744"/>
        <v>0</v>
      </c>
      <c r="EI317" s="535">
        <f>IF(Sheet1!ET315=1,SUM('Calculations II'!AT317:BA317)+'Calculations II'!BC317+Sheet1!BV315+'Calculations II'!BE317+AP317,'Calculations II'!BK317)</f>
        <v>46.943580822429908</v>
      </c>
      <c r="EJ317" s="535">
        <f ca="1">EI317+'Calculations II'!D317+'Calculations II'!E317+'Calculations II'!O317</f>
        <v>48.01984332614559</v>
      </c>
      <c r="EK317" s="535"/>
      <c r="EL317" s="535"/>
      <c r="EM317" s="535">
        <f t="shared" si="745"/>
        <v>43041</v>
      </c>
      <c r="EN317" s="535">
        <f t="shared" si="746"/>
        <v>-36.450233644859814</v>
      </c>
      <c r="EO317" s="535">
        <f t="shared" si="747"/>
        <v>-56.38851144859813</v>
      </c>
      <c r="EP317" s="535">
        <v>0</v>
      </c>
      <c r="EQ317" s="535">
        <v>0</v>
      </c>
      <c r="ER317" s="535">
        <v>0</v>
      </c>
      <c r="ES317" s="521">
        <f t="shared" si="643"/>
        <v>-1.8003789935283139</v>
      </c>
      <c r="ET317" s="535">
        <f>-(VLOOKUP(Sheet1!BQ315,Lookup!$O$4:$Q$262,2)-VLOOKUP(Sheet1!BQ314,Lookup!$O$4:$Q$262,2))/1000000</f>
        <v>-0.96925885707576198</v>
      </c>
      <c r="EU317" s="535">
        <f>-(VLOOKUP(Sheet1!BR315,Lookup!$O$4:$Q$262,3)-VLOOKUP(Sheet1!BR314,Lookup!$O$4:$Q$262,3))/1000000</f>
        <v>-0.83112013645255189</v>
      </c>
      <c r="EV317" s="535"/>
      <c r="EW317" s="535"/>
      <c r="EX317" s="535"/>
      <c r="EY317" s="535"/>
      <c r="EZ317" s="535"/>
      <c r="FA317" s="535"/>
      <c r="FB317" s="535"/>
      <c r="FC317" s="535"/>
      <c r="FD317" s="567">
        <f t="shared" si="693"/>
        <v>1090.3099999999652</v>
      </c>
      <c r="FE317" s="567" t="e">
        <f t="shared" si="748"/>
        <v>#N/A</v>
      </c>
      <c r="FF317" s="568" t="e">
        <f t="shared" si="749"/>
        <v>#N/A</v>
      </c>
      <c r="FG317" s="569" t="s">
        <v>656</v>
      </c>
      <c r="FH317" s="569" t="s">
        <v>656</v>
      </c>
      <c r="FI317" s="567" t="e">
        <v>#N/A</v>
      </c>
      <c r="FJ317" s="725">
        <v>2610</v>
      </c>
      <c r="FK317" s="535"/>
      <c r="FL317" s="1015">
        <f t="shared" si="692"/>
        <v>45.385779122541599</v>
      </c>
      <c r="FM317" s="535"/>
      <c r="FN317" s="535"/>
      <c r="FO317" s="535">
        <f>O317+((Sheet1!CS315)*GPMtoMGD)</f>
        <v>62.300000000000004</v>
      </c>
      <c r="FP317" s="535">
        <f>IF(Sheet1!AA315+AQ317&lt;=Calculation!N317,AQ317,Calculation!N317-Sheet1!AA315)</f>
        <v>21.275116822429908</v>
      </c>
      <c r="FQ317" s="535">
        <f>(Sheet1!BP315+Sheet1!BO315)/694.4</f>
        <v>1.7033410138248848</v>
      </c>
      <c r="FR317" s="541"/>
      <c r="FS317" s="541"/>
      <c r="FT317" s="541"/>
      <c r="FU317" s="541"/>
      <c r="FV317" s="1109">
        <f t="shared" si="644"/>
        <v>42918</v>
      </c>
      <c r="FW317" s="1109">
        <f t="shared" si="645"/>
        <v>43027</v>
      </c>
      <c r="FX317" s="541"/>
      <c r="FY317" s="541">
        <f>Sheet1!DA315-Sheet1!CZ315-Sheet1!AE315</f>
        <v>238.40213000000023</v>
      </c>
      <c r="FZ317" s="535">
        <f t="shared" si="678"/>
        <v>0.50952704800725601</v>
      </c>
      <c r="GA317" s="535"/>
      <c r="GB317" s="535" t="str">
        <f t="shared" si="646"/>
        <v>n</v>
      </c>
      <c r="GC317" s="539">
        <f t="shared" si="647"/>
        <v>42782</v>
      </c>
      <c r="GD317" s="1109">
        <f t="shared" si="648"/>
        <v>42904</v>
      </c>
      <c r="GE317" s="535">
        <f t="shared" si="664"/>
        <v>6520</v>
      </c>
      <c r="GF317" s="1109">
        <f t="shared" si="649"/>
        <v>42909</v>
      </c>
      <c r="GG317" s="535">
        <f t="shared" si="691"/>
        <v>3260</v>
      </c>
      <c r="GH317" s="539">
        <f t="shared" si="650"/>
        <v>43040</v>
      </c>
      <c r="GJ317" s="521">
        <f t="shared" si="651"/>
        <v>0</v>
      </c>
      <c r="GK317" s="535" t="str">
        <f t="shared" si="750"/>
        <v/>
      </c>
      <c r="GL317" s="535">
        <f t="shared" si="652"/>
        <v>0</v>
      </c>
      <c r="GM317" s="535" t="str">
        <f t="shared" si="653"/>
        <v/>
      </c>
      <c r="GN317" s="535">
        <f>IF(GK317="P",Lookup!$M$12,IF(GK317="PP",Lookup!$M$13,IF(GK317="PPP",Lookup!$M$14,IF(GK317="T",Lookup!$M$15,IF(GK317="TP",Lookup!$M$16,IF(GK317="TPP",Lookup!$M$17,IF(GK317="TPPP",Lookup!$M$18,0)))))))*GJ317</f>
        <v>0</v>
      </c>
      <c r="GO317" s="535">
        <f t="shared" si="654"/>
        <v>0</v>
      </c>
      <c r="GP317" s="535">
        <f t="shared" si="751"/>
        <v>0</v>
      </c>
      <c r="GQ317" s="974">
        <f t="shared" si="695"/>
        <v>0</v>
      </c>
      <c r="GR317" s="535"/>
      <c r="GS317" s="535">
        <f t="shared" si="655"/>
        <v>0</v>
      </c>
      <c r="GT317" s="535" t="str">
        <f t="shared" si="656"/>
        <v/>
      </c>
      <c r="GU317" s="535">
        <f>IF(GK317="P",Lookup!$N$12,IF(GK317="PP",Lookup!$N$13,IF(GK317="PPP",Lookup!$N$14,IF(GK317="T",Lookup!$N$15,IF(GK317="TP",Lookup!$N$16,IF(GK317="TPP",Lookup!$N$17,IF(GK317="TPPP",Lookup!$N$18,0)))))))*GJ317</f>
        <v>0</v>
      </c>
      <c r="GV317" s="535">
        <f t="shared" si="657"/>
        <v>0</v>
      </c>
      <c r="GW317" s="535">
        <f t="shared" si="752"/>
        <v>0</v>
      </c>
      <c r="GX317" s="974">
        <f t="shared" si="696"/>
        <v>0</v>
      </c>
      <c r="GY317" s="535"/>
      <c r="GZ317" s="535">
        <f t="shared" si="658"/>
        <v>0</v>
      </c>
      <c r="HA317" s="535" t="str">
        <f t="shared" si="659"/>
        <v/>
      </c>
      <c r="HB317" s="535">
        <f>IF(GK317="P",Lookup!$N$12,IF(GK317="PP",Lookup!$N$13,IF(GK317="PPP",Lookup!$N$14,IF(GK317="T",Lookup!$N$15,IF(GK317="TP",Lookup!$N$16,IF(GK317="TPP",Lookup!$N$17,IF(GK317="TPPP",Lookup!$N$18,0)))))))*GJ317</f>
        <v>0</v>
      </c>
      <c r="HC317" s="521">
        <f t="shared" si="753"/>
        <v>0</v>
      </c>
      <c r="HD317" s="535">
        <f t="shared" si="754"/>
        <v>0</v>
      </c>
      <c r="HE317" s="535">
        <f t="shared" si="662"/>
        <v>0</v>
      </c>
      <c r="HF317" s="535"/>
      <c r="HG317" s="535">
        <f t="shared" si="660"/>
        <v>0</v>
      </c>
      <c r="HH317" s="535" t="str">
        <f t="shared" si="661"/>
        <v/>
      </c>
      <c r="HI317" s="535">
        <f>IF(GK317="P",Lookup!$N$12,IF(GK317="PP",Lookup!$N$13,IF(GK317="PPP",Lookup!$N$14,IF(GK317="T",Lookup!$N$15,IF(GK317="TP",Lookup!$N$16,IF(GK317="TPP",Lookup!$N$17,IF(GK317="TPPP",Lookup!$N$18,0)))))))*GJ317</f>
        <v>0</v>
      </c>
      <c r="HJ317" s="521">
        <f t="shared" si="755"/>
        <v>0</v>
      </c>
      <c r="HK317" s="535">
        <f t="shared" si="756"/>
        <v>0</v>
      </c>
      <c r="HL317" s="535">
        <f t="shared" si="663"/>
        <v>0</v>
      </c>
      <c r="HM317" s="535"/>
      <c r="HN317" s="541"/>
      <c r="HO317" s="541"/>
      <c r="HP317" s="541"/>
      <c r="HQ317" s="541">
        <f>IF(AND(B317&gt;=$FV$4,B317&lt;=$FW$4),MAX(110/1.02+$HQ$6+MIN(113/1.02,G317),IF($HV$6-(Sheet1!DA315-Sheet1!DB315)+MIN(113/1.02,G317)&lt;G317+FL317,$HV$6-(Sheet1!DA315-Sheet1!DB315)+MIN(113/1.02,G317),G317+FL317)),MIN(110/1.02+$HQ$6+113/1.02,G317))</f>
        <v>218.62745098039215</v>
      </c>
      <c r="HR317" s="541">
        <f t="shared" si="679"/>
        <v>223</v>
      </c>
      <c r="HS317" s="541">
        <f>HR317+(Sheet1!DA315-Sheet1!DB315)</f>
        <v>574</v>
      </c>
      <c r="HT317" s="541">
        <f t="shared" si="680"/>
        <v>0</v>
      </c>
      <c r="HU317" s="541">
        <f t="shared" si="681"/>
        <v>574</v>
      </c>
      <c r="HV317" s="541">
        <f t="shared" si="682"/>
        <v>0</v>
      </c>
      <c r="HW317" s="533" t="str">
        <f t="shared" si="683"/>
        <v/>
      </c>
      <c r="HX317" s="541">
        <f t="shared" si="684"/>
        <v>352.98403757100971</v>
      </c>
      <c r="HY317" s="541">
        <f>Sheet1!CZ315</f>
        <v>628</v>
      </c>
      <c r="HZ317" s="541">
        <f t="shared" si="685"/>
        <v>56.38851144859813</v>
      </c>
      <c r="IA317" s="541">
        <f t="shared" si="686"/>
        <v>0</v>
      </c>
      <c r="IB317" s="541">
        <f t="shared" si="687"/>
        <v>571.61148855140186</v>
      </c>
      <c r="IC317" s="1019" t="str">
        <f t="shared" si="688"/>
        <v/>
      </c>
      <c r="ID317" s="541">
        <f t="shared" si="689"/>
        <v>571.61148855140186</v>
      </c>
      <c r="IE317" s="541">
        <f>Sheet1!DB315</f>
        <v>607</v>
      </c>
      <c r="IF317" s="533">
        <f>Sheet1!DA315</f>
        <v>958</v>
      </c>
      <c r="IH317" s="541">
        <f>IF(AND($B317&gt;=$GC317,$B317&lt;=$GH317,$DR317&lt;0)+N("only adjusted when pool is drawn down during storage season"),Sheet1!$DB315+$DR317+N("Palmer minus all storage release"),Sheet1!$DB315)</f>
        <v>607</v>
      </c>
      <c r="II317" s="541">
        <f>IF(AND($B317&gt;=$GC317,$B317&lt;=$GH317,$DR317&lt;0)+N("only adjusted when pool is drawn down during storage season"),Sheet1!$DA315+$DR317+N("Auburn minus all storage release"),Sheet1!$DA315)</f>
        <v>958</v>
      </c>
    </row>
    <row r="318" spans="1:243" x14ac:dyDescent="0.25">
      <c r="A318" s="553" t="s">
        <v>8</v>
      </c>
      <c r="B318" s="531">
        <v>43042</v>
      </c>
      <c r="C318" s="536">
        <v>0</v>
      </c>
      <c r="D318" s="506">
        <f t="shared" si="633"/>
        <v>300</v>
      </c>
      <c r="E318" s="506">
        <f t="shared" si="634"/>
        <v>250</v>
      </c>
      <c r="F318" s="506">
        <v>250</v>
      </c>
      <c r="G318" s="535">
        <f>DR318+Sheet1!CZ316</f>
        <v>411.16944024195317</v>
      </c>
      <c r="H318" s="1074">
        <f t="shared" si="690"/>
        <v>100.72922303999999</v>
      </c>
      <c r="I318" s="534">
        <f>IF(Sheet1!DA316&gt;=E318,(Sheet1!DA316-E318+P318)*CFStoMGD,0)</f>
        <v>379.97402303999996</v>
      </c>
      <c r="J318" s="995">
        <f>IF(Sheet1!DB316&gt;=D318,(Sheet1!DB316-D318+P318)*CFStoMGD,0)</f>
        <v>100.72922303999999</v>
      </c>
      <c r="K318" s="818">
        <f t="shared" si="665"/>
        <v>64.64</v>
      </c>
      <c r="L318" s="535">
        <f>Sheet1!AA316+Sheet1!AB316-Sheet1!L316+(Sheet1!DA316-F318)*CFStoMGD-S318-T318-U318</f>
        <v>344.1619264573979</v>
      </c>
      <c r="M318" s="535">
        <f t="shared" si="697"/>
        <v>271.09552469584651</v>
      </c>
      <c r="N318" s="824">
        <f>IF(Sheet1!DA316&gt;=F318,MIN(113*CFStoMGD,MIN(MAX(L318,0),MAX(M318,0))),0)</f>
        <v>73.043199999999999</v>
      </c>
      <c r="O318" s="538">
        <f>Sheet1!AA316+Sheet1!AB316</f>
        <v>61.3</v>
      </c>
      <c r="P318" s="538">
        <f t="shared" si="698"/>
        <v>94.831099999999992</v>
      </c>
      <c r="Q318" s="812">
        <f t="shared" si="666"/>
        <v>0</v>
      </c>
      <c r="R318" s="812">
        <f t="shared" si="635"/>
        <v>12.593273542600894</v>
      </c>
      <c r="S318" s="1115">
        <f t="shared" si="757"/>
        <v>12.593273542600894</v>
      </c>
      <c r="T318" s="812">
        <f t="shared" si="637"/>
        <v>0</v>
      </c>
      <c r="U318" s="812">
        <f>IF(AND(B318&gt;=FV318,B318&lt;=FW318),ED318+Sheet1!EH316,0)</f>
        <v>0</v>
      </c>
      <c r="V318" s="812"/>
      <c r="W318" s="812">
        <f t="shared" si="638"/>
        <v>52.046726457399103</v>
      </c>
      <c r="X318" s="812">
        <f t="shared" si="639"/>
        <v>12.593273542600894</v>
      </c>
      <c r="Y318" s="812" t="str">
        <f t="shared" si="640"/>
        <v/>
      </c>
      <c r="Z318" s="812">
        <f t="shared" si="641"/>
        <v>61.3</v>
      </c>
      <c r="AA318" s="812">
        <f t="shared" si="642"/>
        <v>12.593273542600894</v>
      </c>
      <c r="AB318" s="1059">
        <f t="shared" si="667"/>
        <v>0</v>
      </c>
      <c r="AC318" s="538">
        <f>Sheet1!Y316*MGDtoCFS</f>
        <v>43.470700000000001</v>
      </c>
      <c r="AD318" s="538">
        <f>Sheet1!Z316*MGDtoCFS</f>
        <v>52.907400000000003</v>
      </c>
      <c r="AE318" s="538">
        <f>Sheet1!AA316*MGDtoCFS</f>
        <v>43.315999999999995</v>
      </c>
      <c r="AF318" s="538">
        <f>Sheet1!AB316*MGDtoCFS</f>
        <v>51.515099999999997</v>
      </c>
      <c r="AG318" s="538">
        <f>Sheet1!L316*MGDtoCFS</f>
        <v>35.921340000001798</v>
      </c>
      <c r="AH318" s="521">
        <f t="shared" si="699"/>
        <v>36.113452914798202</v>
      </c>
      <c r="AI318" s="1059">
        <f t="shared" si="700"/>
        <v>55.867511659192814</v>
      </c>
      <c r="AJ318" s="535">
        <f t="shared" si="701"/>
        <v>0</v>
      </c>
      <c r="AK318" s="535">
        <f t="shared" si="702"/>
        <v>0</v>
      </c>
      <c r="AL318" s="535">
        <f>(VLOOKUP(Sheet1!DC316,hhdcap_wcm,4)-(((VLOOKUP(Sheet1!DC316,hhdcap_wcm,3)-Sheet1!DC316)/(VLOOKUP(Sheet1!DC316,hhdcap_wcm,3)-VLOOKUP(Sheet1!DC316,hhdcap_wcm,1)))*(VLOOKUP(Sheet1!DC316,hhdcap_wcm,4)-VLOOKUP(Sheet1!DC316,hhdcap_wcm,2))))</f>
        <v>932.60000000257617</v>
      </c>
      <c r="AM318" s="535">
        <f t="shared" si="703"/>
        <v>16.199999999793135</v>
      </c>
      <c r="AN318" s="1035">
        <f t="shared" si="704"/>
        <v>0</v>
      </c>
      <c r="AO318" s="535">
        <f t="shared" si="705"/>
        <v>0</v>
      </c>
      <c r="AP318" s="535">
        <f>Sheet1!BA316+Sheet1!BB316+Sheet1!BN316+CD318</f>
        <v>20.8</v>
      </c>
      <c r="AQ318" s="535">
        <f>Sheet1!BN316+(DO318*Sheet1!BN316)</f>
        <v>20.7067264573991</v>
      </c>
      <c r="AR318" s="535">
        <f>Sheet1!BA316+CD318</f>
        <v>0</v>
      </c>
      <c r="AS318" s="535">
        <f>Sheet1!BA316+Sheet1!BB316+CD318</f>
        <v>0</v>
      </c>
      <c r="AT318" s="649">
        <f>0</f>
        <v>0</v>
      </c>
      <c r="AU318" s="974">
        <f>BA318+MAX(Sheet1!EH316,(O318-Q318-ED318-S318))</f>
        <v>36.113452914798202</v>
      </c>
      <c r="AV318" s="535">
        <f>IF(OR(B318&gt;=GD318,B318&lt;GC318),0,15/36*K318-MAX(0,64.6-(137.6-(Sheet1!AA316+Sheet1!AB316))))</f>
        <v>0</v>
      </c>
      <c r="AW318" s="1029"/>
      <c r="AX318" s="649"/>
      <c r="AY318" s="649">
        <f t="shared" si="668"/>
        <v>23.311716569431731</v>
      </c>
      <c r="AZ318" s="649">
        <f t="shared" si="669"/>
        <v>0</v>
      </c>
      <c r="BA318" s="1059">
        <f t="shared" si="670"/>
        <v>0</v>
      </c>
      <c r="BB318" s="1019">
        <f t="shared" si="706"/>
        <v>0</v>
      </c>
      <c r="BC318" s="1041">
        <f t="shared" si="671"/>
        <v>26.933333333333334</v>
      </c>
      <c r="BD318" s="1019">
        <f ca="1">IF(B318&gt;(Summary!$A$1-1),#N/A,BB318*MGtoAF)</f>
        <v>0</v>
      </c>
      <c r="BE318" s="535">
        <f>Sheet1!BG316+Sheet1!BH316+Sheet1!BI316-BM318</f>
        <v>2.94</v>
      </c>
      <c r="BF318" s="535">
        <f t="shared" si="707"/>
        <v>2.9268161434977573</v>
      </c>
      <c r="BG318" s="535">
        <f>IF(Sheet1!EP316="FM",BM318,0)</f>
        <v>0</v>
      </c>
      <c r="BH318" s="535">
        <f t="shared" si="708"/>
        <v>0</v>
      </c>
      <c r="BI318" s="535">
        <f>IF(Sheet1!EP316="OTHER",BM318,0)</f>
        <v>0</v>
      </c>
      <c r="BJ318" s="535">
        <f t="shared" si="709"/>
        <v>0</v>
      </c>
      <c r="BK318" s="535">
        <f t="shared" si="710"/>
        <v>2.94</v>
      </c>
      <c r="BL318" s="535">
        <f t="shared" si="711"/>
        <v>2.9268161434977573</v>
      </c>
      <c r="BM318" s="535">
        <f>IF(OR(Sheet1!EP316="FM", Sheet1!EP316="OTHER"),SUM(Sheet1!BG316:'Sheet1'!BI316),0)</f>
        <v>0</v>
      </c>
      <c r="BN318" s="521">
        <f>IF(AND($B318&gt;=$FV318,$B318&lt;=$FW318),MAX(BF318,Sheet1!EI316,0),MAX(BF318-(7/36)*$K318,0))</f>
        <v>0</v>
      </c>
      <c r="BO318" s="535">
        <f t="shared" si="712"/>
        <v>0</v>
      </c>
      <c r="BP318" s="521">
        <f t="shared" si="713"/>
        <v>2.9268161434977573</v>
      </c>
      <c r="BQ318" s="521">
        <f>IF(AND($O318&gt;0,Sheet1!EM316=1),(1-($O318-Sheet1!$L316)/$O318)*BL318,0)</f>
        <v>0</v>
      </c>
      <c r="BR318" s="521">
        <f>IF(AND(Sheet1!$L316=0,Sheet1!$L315=0, Calculation!BK318&lt;Sheet1!$EI316-0.1,Sheet1!$EI316=Sheet1!$EI315,Sheet1!$EI316=Sheet1!$EI317),BL318-BQ318,BL318-BQ318)</f>
        <v>2.9268161434977573</v>
      </c>
      <c r="BS318" s="1035" t="str">
        <f t="shared" si="672"/>
        <v/>
      </c>
      <c r="BT318" s="1035">
        <f t="shared" si="673"/>
        <v>12.568888888888889</v>
      </c>
      <c r="BU318" s="535">
        <f t="shared" si="714"/>
        <v>0</v>
      </c>
      <c r="BV318" s="535"/>
      <c r="BW318" s="535">
        <f ca="1">IF(B318&gt;(Summary!$A$1-1),#N/A,BU318*MGtoAF)</f>
        <v>0</v>
      </c>
      <c r="BX318" s="535">
        <f>Sheet1!BC316+Sheet1!BD316+Sheet1!BE316+Sheet1!BF316-CG318-CH318</f>
        <v>3.17</v>
      </c>
      <c r="BY318" s="535">
        <f t="shared" si="715"/>
        <v>3.1557847533632279</v>
      </c>
      <c r="BZ318" s="535">
        <f>IF(Sheet1!EQ316="FM",CH318,0)</f>
        <v>0</v>
      </c>
      <c r="CA318" s="535">
        <f t="shared" si="716"/>
        <v>0</v>
      </c>
      <c r="CB318" s="535">
        <f>IF(Sheet1!EQ316="OTHER",CH318,0)</f>
        <v>0</v>
      </c>
      <c r="CC318" s="535">
        <f t="shared" si="717"/>
        <v>0</v>
      </c>
      <c r="CD318" s="535">
        <f t="shared" si="718"/>
        <v>0</v>
      </c>
      <c r="CE318" s="535">
        <f t="shared" si="719"/>
        <v>3.17</v>
      </c>
      <c r="CF318" s="535">
        <f t="shared" si="720"/>
        <v>3.1557847533632279</v>
      </c>
      <c r="CG318" s="535">
        <f>IF(Sheet1!EQ316="CWA",SUM(Sheet1!BC316:'Sheet1'!BF316),0)</f>
        <v>0</v>
      </c>
      <c r="CH318" s="535">
        <f>IF(OR(Sheet1!EQ316="FM", Sheet1!EQ316="OTHER"),SUM(Sheet1!BC316:'Sheet1'!BF316),0)</f>
        <v>0</v>
      </c>
      <c r="CI318" s="521">
        <f>IF(AND($B318&gt;=$FV318,$B318&lt;=$FW318),MAX(CF318,Sheet1!EJ316,0),MAX(CF318-(7/36)*$K318,0))</f>
        <v>0</v>
      </c>
      <c r="CJ318" s="535">
        <f t="shared" si="721"/>
        <v>0</v>
      </c>
      <c r="CK318" s="521">
        <f t="shared" si="722"/>
        <v>3.1557847533632279</v>
      </c>
      <c r="CL318" s="521">
        <f>IF(AND($O318&gt;0,Sheet1!EN316=1),(1-($O318-Sheet1!$L316)/$O318)*CF318,0)</f>
        <v>0</v>
      </c>
      <c r="CM318" s="521">
        <f>IF(AND(Sheet1!$L316=0,Sheet1!$L315=0, Calculation!CE318&lt;Sheet1!EJ316-0.1,Sheet1!EJ316=Sheet1!EJ315,Sheet1!EJ316=Sheet1!EJ317),CF318-CL318,CF318-CL318)</f>
        <v>3.1557847533632279</v>
      </c>
      <c r="CN318" s="1040" t="str">
        <f t="shared" si="674"/>
        <v/>
      </c>
      <c r="CO318" s="1035">
        <f t="shared" si="675"/>
        <v>12.568888888888889</v>
      </c>
      <c r="CP318" s="535">
        <f t="shared" si="723"/>
        <v>0</v>
      </c>
      <c r="CQ318" s="535"/>
      <c r="CR318" s="535">
        <f ca="1">IF(B318&gt;(Summary!$A$1-1),#N/A,CP318*MGtoAF)</f>
        <v>0</v>
      </c>
      <c r="CS318" s="535">
        <f>Sheet1!BK316+Sheet1!BL316+Sheet1!BM316-Sheet1!ER316-DA318</f>
        <v>6.54</v>
      </c>
      <c r="CT318" s="535">
        <f t="shared" si="724"/>
        <v>6.5106726457399091</v>
      </c>
      <c r="CU318" s="535">
        <f>IF(Sheet1!ER316="FM",DA318,0)</f>
        <v>0</v>
      </c>
      <c r="CV318" s="535">
        <f t="shared" si="725"/>
        <v>0</v>
      </c>
      <c r="CW318" s="535">
        <f>IF(Sheet1!ER316="OTHER",DA318,0)</f>
        <v>0</v>
      </c>
      <c r="CX318" s="535">
        <f t="shared" si="726"/>
        <v>0</v>
      </c>
      <c r="CY318" s="535">
        <f t="shared" si="727"/>
        <v>6.54</v>
      </c>
      <c r="CZ318" s="535">
        <f t="shared" si="728"/>
        <v>6.5106726457399091</v>
      </c>
      <c r="DA318" s="535">
        <f>IF(OR(Sheet1!ER316="FM", Sheet1!ER316="OTHER"),SUM(Sheet1!BK316:'Sheet1'!BM316),0)</f>
        <v>0</v>
      </c>
      <c r="DB318" s="1011">
        <f>IF(AND($B318&gt;=$FV318,$B318&lt;=$FW318),MAX($CT318,Sheet1!EK316,0),MAX($CT318-(7/36)*$K318,0))</f>
        <v>0</v>
      </c>
      <c r="DC318" s="1012">
        <f t="shared" si="729"/>
        <v>0</v>
      </c>
      <c r="DD318" s="1011">
        <f t="shared" si="730"/>
        <v>6.5106726457399091</v>
      </c>
      <c r="DE318" s="521">
        <f>IF(AND($O318&gt;0,Sheet1!EO316=1),(1-($O318-Sheet1!$L316)/$O318)*CZ318,0)</f>
        <v>0</v>
      </c>
      <c r="DF318" s="521">
        <f>IF(AND(Sheet1!$L316=0,Sheet1!$L315=0, Calculation!CY318&lt;Sheet1!$EK316-0.1,Sheet1!$EK316=Sheet1!$EK315,Sheet1!$EK316=Sheet1!$EK317),CZ318-DE318,CZ318-DE318)</f>
        <v>6.5106726457399091</v>
      </c>
      <c r="DG318" s="1040">
        <f t="shared" si="676"/>
        <v>12.568888888888889</v>
      </c>
      <c r="DH318" s="649">
        <f t="shared" si="731"/>
        <v>12.649999999999999</v>
      </c>
      <c r="DI318" s="535">
        <f t="shared" si="732"/>
        <v>0</v>
      </c>
      <c r="DJ318" s="649">
        <f t="shared" si="733"/>
        <v>12.593273542600894</v>
      </c>
      <c r="DK318" s="535">
        <f ca="1">IF(B318&gt;(Summary!$A$1-1),#N/A,DI318*MGtoAF)</f>
        <v>0</v>
      </c>
      <c r="DL318" s="649">
        <f t="shared" si="734"/>
        <v>12.65</v>
      </c>
      <c r="DM318" s="535">
        <f t="shared" si="735"/>
        <v>33.450000000000003</v>
      </c>
      <c r="DN318" s="535">
        <f>Sheet1!AB316-DM318</f>
        <v>-0.15000000000000568</v>
      </c>
      <c r="DO318" s="743">
        <f t="shared" si="736"/>
        <v>-4.4843049327355959E-3</v>
      </c>
      <c r="DP318" s="535">
        <f>(VLOOKUP(Sheet1!DC316,hhdcap_wcm,4)-(((VLOOKUP(Sheet1!DC316,hhdcap_wcm,3)-Sheet1!DC316)/(VLOOKUP(Sheet1!DC316,hhdcap_wcm,3)-VLOOKUP(Sheet1!DC316,hhdcap_wcm,1)))*(VLOOKUP(Sheet1!DC316,hhdcap_wcm,4)-VLOOKUP(Sheet1!DC316,hhdcap_wcm,2))))</f>
        <v>932.60000000257617</v>
      </c>
      <c r="DQ318" s="535">
        <f t="shared" si="737"/>
        <v>16.199999999793135</v>
      </c>
      <c r="DR318" s="535">
        <f t="shared" si="738"/>
        <v>8.1694402419531684</v>
      </c>
      <c r="DS318" s="535">
        <f>Sheet1!EA316*AFtoMG</f>
        <v>0</v>
      </c>
      <c r="DT318" s="535">
        <f>Sheet1!EB316*AFtoMG</f>
        <v>0</v>
      </c>
      <c r="DU318" s="535">
        <f>Sheet1!EC316*AFtoMG</f>
        <v>0</v>
      </c>
      <c r="DV318" s="535">
        <f>Sheet1!ED316*AFtoMG</f>
        <v>0</v>
      </c>
      <c r="DW318" s="535">
        <f t="shared" si="739"/>
        <v>0</v>
      </c>
      <c r="DX318" s="535">
        <f t="shared" si="740"/>
        <v>0</v>
      </c>
      <c r="DY318" s="535">
        <f t="shared" si="741"/>
        <v>0</v>
      </c>
      <c r="DZ318" s="535">
        <f t="shared" si="742"/>
        <v>0</v>
      </c>
      <c r="EA318" s="535"/>
      <c r="EB318" s="521">
        <f>IF(OR(B318&lt;FV318,B318&gt;FW318),(MIN(BF318+BY318+CT318+MAX(Sheet1!AA316+AQ318-73,0),K318)),0)</f>
        <v>12.593273542600894</v>
      </c>
      <c r="EC318" s="535"/>
      <c r="ED318" s="535">
        <f t="shared" si="743"/>
        <v>12.593273542600894</v>
      </c>
      <c r="EE318" s="535"/>
      <c r="EF318" s="535">
        <f>Sheet1!EH316+Sheet1!EI316+Sheet1!EJ316+Sheet1!EK316</f>
        <v>12.5</v>
      </c>
      <c r="EG318" s="1019">
        <f t="shared" si="677"/>
        <v>19.337499999999999</v>
      </c>
      <c r="EH318" s="521">
        <f t="shared" si="744"/>
        <v>0</v>
      </c>
      <c r="EI318" s="535">
        <f>IF(Sheet1!ET316=1,SUM('Calculations II'!AT318:BA318)+'Calculations II'!BC318+Sheet1!BV316+'Calculations II'!BE318+AP318,'Calculations II'!BK318)</f>
        <v>46.977534457399102</v>
      </c>
      <c r="EJ318" s="535">
        <f ca="1">EI318+'Calculations II'!D318+'Calculations II'!E318+'Calculations II'!O318</f>
        <v>47.367050570806263</v>
      </c>
      <c r="EK318" s="535"/>
      <c r="EL318" s="535"/>
      <c r="EM318" s="535">
        <f t="shared" si="745"/>
        <v>43042</v>
      </c>
      <c r="EN318" s="535">
        <f t="shared" si="746"/>
        <v>-36.113452914798202</v>
      </c>
      <c r="EO318" s="535">
        <f t="shared" si="747"/>
        <v>-55.867511659192814</v>
      </c>
      <c r="EP318" s="535">
        <v>0</v>
      </c>
      <c r="EQ318" s="535">
        <v>0</v>
      </c>
      <c r="ER318" s="535">
        <v>0</v>
      </c>
      <c r="ES318" s="521">
        <f t="shared" si="643"/>
        <v>-1.3852963763783945</v>
      </c>
      <c r="ET318" s="535">
        <f>-(VLOOKUP(Sheet1!BQ316,Lookup!$O$4:$Q$262,2)-VLOOKUP(Sheet1!BQ315,Lookup!$O$4:$Q$262,2))/1000000</f>
        <v>-0.69252000222436338</v>
      </c>
      <c r="EU318" s="535">
        <f>-(VLOOKUP(Sheet1!BR316,Lookup!$O$4:$Q$262,3)-VLOOKUP(Sheet1!BR315,Lookup!$O$4:$Q$262,3))/1000000</f>
        <v>-0.69277637415403126</v>
      </c>
      <c r="EV318" s="535"/>
      <c r="EW318" s="535"/>
      <c r="EX318" s="535"/>
      <c r="EY318" s="535"/>
      <c r="EZ318" s="535"/>
      <c r="FA318" s="535"/>
      <c r="FB318" s="535"/>
      <c r="FC318" s="535"/>
      <c r="FD318" s="567">
        <f t="shared" si="693"/>
        <v>1089.2499999999661</v>
      </c>
      <c r="FE318" s="567" t="e">
        <f t="shared" si="748"/>
        <v>#N/A</v>
      </c>
      <c r="FF318" s="568" t="e">
        <f t="shared" si="749"/>
        <v>#N/A</v>
      </c>
      <c r="FG318" s="569" t="s">
        <v>656</v>
      </c>
      <c r="FH318" s="569" t="s">
        <v>656</v>
      </c>
      <c r="FI318" s="567" t="e">
        <v>#N/A</v>
      </c>
      <c r="FJ318" s="725">
        <v>2520</v>
      </c>
      <c r="FK318" s="535"/>
      <c r="FL318" s="1015">
        <f t="shared" si="692"/>
        <v>45.385779122541599</v>
      </c>
      <c r="FM318" s="535"/>
      <c r="FN318" s="535"/>
      <c r="FO318" s="535">
        <f>O318+((Sheet1!CS316)*GPMtoMGD)</f>
        <v>61.3</v>
      </c>
      <c r="FP318" s="535">
        <f>IF(Sheet1!AA316+AQ318&lt;=Calculation!N318,AQ318,Calculation!N318-Sheet1!AA316)</f>
        <v>20.7067264573991</v>
      </c>
      <c r="FQ318" s="535">
        <f>(Sheet1!BP316+Sheet1!BO316)/694.4</f>
        <v>1.4665898617511524</v>
      </c>
      <c r="FR318" s="541"/>
      <c r="FS318" s="541"/>
      <c r="FT318" s="541"/>
      <c r="FU318" s="541"/>
      <c r="FV318" s="1109">
        <f t="shared" si="644"/>
        <v>42918</v>
      </c>
      <c r="FW318" s="1109">
        <f t="shared" si="645"/>
        <v>43027</v>
      </c>
      <c r="FX318" s="541"/>
      <c r="FY318" s="541">
        <f>Sheet1!DA316-Sheet1!CZ316-Sheet1!AE316</f>
        <v>281.09024000000181</v>
      </c>
      <c r="FZ318" s="535">
        <f t="shared" si="678"/>
        <v>0.68363602079618058</v>
      </c>
      <c r="GA318" s="535"/>
      <c r="GB318" s="535" t="str">
        <f t="shared" si="646"/>
        <v>n</v>
      </c>
      <c r="GC318" s="539">
        <f t="shared" si="647"/>
        <v>42782</v>
      </c>
      <c r="GD318" s="1109">
        <f t="shared" si="648"/>
        <v>42904</v>
      </c>
      <c r="GE318" s="535">
        <f t="shared" si="664"/>
        <v>6520</v>
      </c>
      <c r="GF318" s="1109">
        <f t="shared" si="649"/>
        <v>42909</v>
      </c>
      <c r="GG318" s="535">
        <f t="shared" si="691"/>
        <v>3260</v>
      </c>
      <c r="GH318" s="539">
        <f t="shared" si="650"/>
        <v>43040</v>
      </c>
      <c r="GJ318" s="521">
        <f t="shared" si="651"/>
        <v>0</v>
      </c>
      <c r="GK318" s="535" t="str">
        <f t="shared" si="750"/>
        <v/>
      </c>
      <c r="GL318" s="535">
        <f t="shared" si="652"/>
        <v>0</v>
      </c>
      <c r="GM318" s="535" t="str">
        <f t="shared" si="653"/>
        <v/>
      </c>
      <c r="GN318" s="535">
        <f>IF(GK318="P",Lookup!$M$12,IF(GK318="PP",Lookup!$M$13,IF(GK318="PPP",Lookup!$M$14,IF(GK318="T",Lookup!$M$15,IF(GK318="TP",Lookup!$M$16,IF(GK318="TPP",Lookup!$M$17,IF(GK318="TPPP",Lookup!$M$18,0)))))))*GJ318</f>
        <v>0</v>
      </c>
      <c r="GO318" s="535">
        <f t="shared" si="654"/>
        <v>0</v>
      </c>
      <c r="GP318" s="535">
        <f t="shared" si="751"/>
        <v>0</v>
      </c>
      <c r="GQ318" s="974">
        <f t="shared" si="695"/>
        <v>0</v>
      </c>
      <c r="GR318" s="535"/>
      <c r="GS318" s="535">
        <f t="shared" si="655"/>
        <v>0</v>
      </c>
      <c r="GT318" s="535" t="str">
        <f t="shared" si="656"/>
        <v/>
      </c>
      <c r="GU318" s="535">
        <f>IF(GK318="P",Lookup!$N$12,IF(GK318="PP",Lookup!$N$13,IF(GK318="PPP",Lookup!$N$14,IF(GK318="T",Lookup!$N$15,IF(GK318="TP",Lookup!$N$16,IF(GK318="TPP",Lookup!$N$17,IF(GK318="TPPP",Lookup!$N$18,0)))))))*GJ318</f>
        <v>0</v>
      </c>
      <c r="GV318" s="535">
        <f t="shared" si="657"/>
        <v>0</v>
      </c>
      <c r="GW318" s="535">
        <f t="shared" si="752"/>
        <v>0</v>
      </c>
      <c r="GX318" s="974">
        <f t="shared" si="696"/>
        <v>0</v>
      </c>
      <c r="GY318" s="535"/>
      <c r="GZ318" s="535">
        <f t="shared" si="658"/>
        <v>0</v>
      </c>
      <c r="HA318" s="535" t="str">
        <f t="shared" si="659"/>
        <v/>
      </c>
      <c r="HB318" s="535">
        <f>IF(GK318="P",Lookup!$N$12,IF(GK318="PP",Lookup!$N$13,IF(GK318="PPP",Lookup!$N$14,IF(GK318="T",Lookup!$N$15,IF(GK318="TP",Lookup!$N$16,IF(GK318="TPP",Lookup!$N$17,IF(GK318="TPPP",Lookup!$N$18,0)))))))*GJ318</f>
        <v>0</v>
      </c>
      <c r="HC318" s="521">
        <f t="shared" si="753"/>
        <v>0</v>
      </c>
      <c r="HD318" s="535">
        <f t="shared" si="754"/>
        <v>0</v>
      </c>
      <c r="HE318" s="535">
        <f t="shared" si="662"/>
        <v>0</v>
      </c>
      <c r="HF318" s="535"/>
      <c r="HG318" s="535">
        <f t="shared" si="660"/>
        <v>0</v>
      </c>
      <c r="HH318" s="535" t="str">
        <f t="shared" si="661"/>
        <v/>
      </c>
      <c r="HI318" s="535">
        <f>IF(GK318="P",Lookup!$N$12,IF(GK318="PP",Lookup!$N$13,IF(GK318="PPP",Lookup!$N$14,IF(GK318="T",Lookup!$N$15,IF(GK318="TP",Lookup!$N$16,IF(GK318="TPP",Lookup!$N$17,IF(GK318="TPPP",Lookup!$N$18,0)))))))*GJ318</f>
        <v>0</v>
      </c>
      <c r="HJ318" s="521">
        <f t="shared" si="755"/>
        <v>0</v>
      </c>
      <c r="HK318" s="535">
        <f t="shared" si="756"/>
        <v>0</v>
      </c>
      <c r="HL318" s="535">
        <f t="shared" si="663"/>
        <v>0</v>
      </c>
      <c r="HM318" s="535"/>
      <c r="HN318" s="541"/>
      <c r="HO318" s="541"/>
      <c r="HP318" s="541"/>
      <c r="HQ318" s="541">
        <f>IF(AND(B318&gt;=$FV$4,B318&lt;=$FW$4),MAX(110/1.02+$HQ$6+MIN(113/1.02,G318),IF($HV$6-(Sheet1!DA316-Sheet1!DB316)+MIN(113/1.02,G318)&lt;G318+FL318,$HV$6-(Sheet1!DA316-Sheet1!DB316)+MIN(113/1.02,G318),G318+FL318)),MIN(110/1.02+$HQ$6+113/1.02,G318))</f>
        <v>218.62745098039215</v>
      </c>
      <c r="HR318" s="541">
        <f t="shared" si="679"/>
        <v>223</v>
      </c>
      <c r="HS318" s="541">
        <f>HR318+(Sheet1!DA316-Sheet1!DB316)</f>
        <v>605</v>
      </c>
      <c r="HT318" s="541">
        <f t="shared" si="680"/>
        <v>0</v>
      </c>
      <c r="HU318" s="541">
        <f t="shared" si="681"/>
        <v>605</v>
      </c>
      <c r="HV318" s="541">
        <f t="shared" si="682"/>
        <v>0</v>
      </c>
      <c r="HW318" s="533" t="str">
        <f t="shared" si="683"/>
        <v/>
      </c>
      <c r="HX318" s="541">
        <f t="shared" si="684"/>
        <v>128.50503736041503</v>
      </c>
      <c r="HY318" s="541">
        <f>Sheet1!CZ316</f>
        <v>403</v>
      </c>
      <c r="HZ318" s="541">
        <f t="shared" si="685"/>
        <v>55.867511659192814</v>
      </c>
      <c r="IA318" s="541">
        <f t="shared" si="686"/>
        <v>0</v>
      </c>
      <c r="IB318" s="541">
        <f t="shared" si="687"/>
        <v>347.13248834080719</v>
      </c>
      <c r="IC318" s="1019" t="str">
        <f t="shared" si="688"/>
        <v/>
      </c>
      <c r="ID318" s="541">
        <f t="shared" si="689"/>
        <v>347.13248834080719</v>
      </c>
      <c r="IE318" s="541">
        <f>Sheet1!DB316</f>
        <v>361</v>
      </c>
      <c r="IF318" s="533">
        <f>Sheet1!DA316</f>
        <v>743</v>
      </c>
      <c r="IH318" s="541">
        <f>IF(AND($B318&gt;=$GC318,$B318&lt;=$GH318,$DR318&lt;0)+N("only adjusted when pool is drawn down during storage season"),Sheet1!$DB316+$DR318+N("Palmer minus all storage release"),Sheet1!$DB316)</f>
        <v>361</v>
      </c>
      <c r="II318" s="541">
        <f>IF(AND($B318&gt;=$GC318,$B318&lt;=$GH318,$DR318&lt;0)+N("only adjusted when pool is drawn down during storage season"),Sheet1!$DA316+$DR318+N("Auburn minus all storage release"),Sheet1!$DA316)</f>
        <v>743</v>
      </c>
    </row>
    <row r="319" spans="1:243" x14ac:dyDescent="0.25">
      <c r="A319" s="553" t="s">
        <v>9</v>
      </c>
      <c r="B319" s="531">
        <v>43043</v>
      </c>
      <c r="C319" s="536">
        <v>0</v>
      </c>
      <c r="D319" s="506">
        <f t="shared" si="633"/>
        <v>300</v>
      </c>
      <c r="E319" s="506">
        <f t="shared" si="634"/>
        <v>250</v>
      </c>
      <c r="F319" s="506">
        <v>250</v>
      </c>
      <c r="G319" s="535">
        <f>DR319+Sheet1!CZ317</f>
        <v>495.6021180033365</v>
      </c>
      <c r="H319" s="1074">
        <f t="shared" si="690"/>
        <v>95.33802726399999</v>
      </c>
      <c r="I319" s="534">
        <f>IF(Sheet1!DA317&gt;=E319,(Sheet1!DA317-E319+P319)*CFStoMGD,0)</f>
        <v>339.03082726399998</v>
      </c>
      <c r="J319" s="995">
        <f>IF(Sheet1!DB317&gt;=D319,(Sheet1!DB317-D319+P319)*CFStoMGD,0)</f>
        <v>95.33802726399999</v>
      </c>
      <c r="K319" s="818">
        <f t="shared" si="665"/>
        <v>64.64</v>
      </c>
      <c r="L319" s="535">
        <f>Sheet1!AA317+Sheet1!AB317-Sheet1!L317+(Sheet1!DA317-F319)*CFStoMGD-S319-T319-U319</f>
        <v>263.952</v>
      </c>
      <c r="M319" s="535">
        <f t="shared" si="697"/>
        <v>326.76435325890384</v>
      </c>
      <c r="N319" s="824">
        <f>IF(Sheet1!DA317&gt;=F319,MIN(113*CFStoMGD,MIN(MAX(L319,0),MAX(M319,0))),0)</f>
        <v>73.043199999999999</v>
      </c>
      <c r="O319" s="538">
        <f>Sheet1!AA317+Sheet1!AB317</f>
        <v>61.08</v>
      </c>
      <c r="P319" s="538">
        <f t="shared" si="698"/>
        <v>94.490759999999995</v>
      </c>
      <c r="Q319" s="812">
        <f t="shared" si="666"/>
        <v>0</v>
      </c>
      <c r="R319" s="812">
        <f t="shared" si="635"/>
        <v>12.298812481066342</v>
      </c>
      <c r="S319" s="812">
        <f t="shared" si="636"/>
        <v>61.08</v>
      </c>
      <c r="T319" s="812">
        <f t="shared" si="637"/>
        <v>0</v>
      </c>
      <c r="U319" s="812">
        <f>IF(AND(B319&gt;=FV319,B319&lt;=FW319),ED319+Sheet1!EH317,0)</f>
        <v>0</v>
      </c>
      <c r="V319" s="812"/>
      <c r="W319" s="812">
        <f t="shared" si="638"/>
        <v>52.341187518933658</v>
      </c>
      <c r="X319" s="812">
        <f t="shared" si="639"/>
        <v>61.08</v>
      </c>
      <c r="Y319" s="812" t="str">
        <f t="shared" si="640"/>
        <v/>
      </c>
      <c r="Z319" s="812">
        <f t="shared" si="641"/>
        <v>61.08</v>
      </c>
      <c r="AA319" s="812">
        <f t="shared" si="642"/>
        <v>61.08</v>
      </c>
      <c r="AB319" s="1059">
        <f t="shared" si="667"/>
        <v>0</v>
      </c>
      <c r="AC319" s="538">
        <f>Sheet1!Y317*MGDtoCFS</f>
        <v>43.315999999999995</v>
      </c>
      <c r="AD319" s="538">
        <f>Sheet1!Z317*MGDtoCFS</f>
        <v>51.515099999999997</v>
      </c>
      <c r="AE319" s="538">
        <f>Sheet1!AA317*MGDtoCFS</f>
        <v>43.470700000000001</v>
      </c>
      <c r="AF319" s="538">
        <f>Sheet1!AB317*MGDtoCFS</f>
        <v>51.020059999999994</v>
      </c>
      <c r="AG319" s="538">
        <f>Sheet1!L317*MGDtoCFS</f>
        <v>21.657999999999998</v>
      </c>
      <c r="AH319" s="521">
        <f t="shared" si="699"/>
        <v>0</v>
      </c>
      <c r="AI319" s="1059">
        <f t="shared" si="700"/>
        <v>0</v>
      </c>
      <c r="AJ319" s="535">
        <f t="shared" si="701"/>
        <v>0</v>
      </c>
      <c r="AK319" s="535">
        <f t="shared" si="702"/>
        <v>0</v>
      </c>
      <c r="AL319" s="535">
        <f>(VLOOKUP(Sheet1!DC317,hhdcap_wcm,4)-(((VLOOKUP(Sheet1!DC317,hhdcap_wcm,3)-Sheet1!DC317)/(VLOOKUP(Sheet1!DC317,hhdcap_wcm,3)-VLOOKUP(Sheet1!DC317,hhdcap_wcm,1)))*(VLOOKUP(Sheet1!DC317,hhdcap_wcm,4)-VLOOKUP(Sheet1!DC317,hhdcap_wcm,2))))</f>
        <v>1096.4000000031924</v>
      </c>
      <c r="AM319" s="535">
        <f t="shared" si="703"/>
        <v>163.80000000061625</v>
      </c>
      <c r="AN319" s="1035">
        <f t="shared" si="704"/>
        <v>0</v>
      </c>
      <c r="AO319" s="535">
        <f t="shared" si="705"/>
        <v>0</v>
      </c>
      <c r="AP319" s="535">
        <f>Sheet1!BA317+Sheet1!BB317+Sheet1!BN317+CD319</f>
        <v>20.7</v>
      </c>
      <c r="AQ319" s="535">
        <f>Sheet1!BN317+(DO319*Sheet1!BN317)</f>
        <v>20.681187518933655</v>
      </c>
      <c r="AR319" s="535">
        <f>Sheet1!BA317+CD319</f>
        <v>0</v>
      </c>
      <c r="AS319" s="535">
        <f>Sheet1!BA317+Sheet1!BB317+CD319</f>
        <v>0</v>
      </c>
      <c r="AT319" s="649">
        <f>0</f>
        <v>0</v>
      </c>
      <c r="AU319" s="974">
        <f>BA319+MAX(Sheet1!EH317,(O319-Q319-ED319-S319))</f>
        <v>0</v>
      </c>
      <c r="AV319" s="535">
        <f>IF(OR(B319&gt;=GD319,B319&lt;GC319),0,15/36*K319-MAX(0,64.6-(137.6-(Sheet1!AA317+Sheet1!AB317))))</f>
        <v>0</v>
      </c>
      <c r="AW319" s="1029"/>
      <c r="AX319" s="649"/>
      <c r="AY319" s="649">
        <f t="shared" si="668"/>
        <v>23.311716569431731</v>
      </c>
      <c r="AZ319" s="649">
        <f t="shared" si="669"/>
        <v>0</v>
      </c>
      <c r="BA319" s="1059">
        <f t="shared" si="670"/>
        <v>0</v>
      </c>
      <c r="BB319" s="1019">
        <f t="shared" si="706"/>
        <v>0</v>
      </c>
      <c r="BC319" s="1041">
        <f t="shared" si="671"/>
        <v>26.933333333333334</v>
      </c>
      <c r="BD319" s="1019">
        <f ca="1">IF(B319&gt;(Summary!$A$1-1),#N/A,BB319*MGtoAF)</f>
        <v>0</v>
      </c>
      <c r="BE319" s="535">
        <f>Sheet1!BG317+Sheet1!BH317+Sheet1!BI317-BM319</f>
        <v>2.88</v>
      </c>
      <c r="BF319" s="535">
        <f t="shared" si="707"/>
        <v>2.8773826113298999</v>
      </c>
      <c r="BG319" s="535">
        <f>IF(Sheet1!EP317="FM",BM319,0)</f>
        <v>0</v>
      </c>
      <c r="BH319" s="535">
        <f t="shared" si="708"/>
        <v>0</v>
      </c>
      <c r="BI319" s="535">
        <f>IF(Sheet1!EP317="OTHER",BM319,0)</f>
        <v>0</v>
      </c>
      <c r="BJ319" s="535">
        <f t="shared" si="709"/>
        <v>0</v>
      </c>
      <c r="BK319" s="535">
        <f t="shared" si="710"/>
        <v>2.88</v>
      </c>
      <c r="BL319" s="535">
        <f t="shared" si="711"/>
        <v>2.8773826113298999</v>
      </c>
      <c r="BM319" s="535">
        <f>IF(OR(Sheet1!EP317="FM", Sheet1!EP317="OTHER"),SUM(Sheet1!BG317:'Sheet1'!BI317),0)</f>
        <v>0</v>
      </c>
      <c r="BN319" s="521">
        <f>IF(AND($B319&gt;=$FV319,$B319&lt;=$FW319),MAX(BF319,Sheet1!EI317,0),MAX(BF319-(7/36)*$K319,0))</f>
        <v>0</v>
      </c>
      <c r="BO319" s="535">
        <f t="shared" si="712"/>
        <v>0</v>
      </c>
      <c r="BP319" s="521">
        <f t="shared" si="713"/>
        <v>2.8773826113298999</v>
      </c>
      <c r="BQ319" s="521">
        <f>IF(AND($O319&gt;0,Sheet1!EM317=1),(1-($O319-Sheet1!$L317)/$O319)*BL319,0)</f>
        <v>0</v>
      </c>
      <c r="BR319" s="521">
        <f>IF(AND(Sheet1!$L317=0,Sheet1!$L316=0, Calculation!BK319&lt;Sheet1!$EI317-0.1,Sheet1!$EI317=Sheet1!$EI316,Sheet1!$EI317=Sheet1!$EI318),BL319-BQ319,BL319-BQ319)</f>
        <v>2.8773826113298999</v>
      </c>
      <c r="BS319" s="1035" t="str">
        <f t="shared" si="672"/>
        <v/>
      </c>
      <c r="BT319" s="1035">
        <f t="shared" si="673"/>
        <v>12.568888888888889</v>
      </c>
      <c r="BU319" s="535">
        <f t="shared" si="714"/>
        <v>0</v>
      </c>
      <c r="BV319" s="535"/>
      <c r="BW319" s="535">
        <f ca="1">IF(B319&gt;(Summary!$A$1-1),#N/A,BU319*MGtoAF)</f>
        <v>0</v>
      </c>
      <c r="BX319" s="535">
        <f>Sheet1!BC317+Sheet1!BD317+Sheet1!BE317+Sheet1!BF317-CG319-CH319</f>
        <v>2.99</v>
      </c>
      <c r="BY319" s="535">
        <f t="shared" si="715"/>
        <v>2.9872826416237506</v>
      </c>
      <c r="BZ319" s="535">
        <f>IF(Sheet1!EQ317="FM",CH319,0)</f>
        <v>0</v>
      </c>
      <c r="CA319" s="535">
        <f t="shared" si="716"/>
        <v>0</v>
      </c>
      <c r="CB319" s="535">
        <f>IF(Sheet1!EQ317="OTHER",CH319,0)</f>
        <v>0</v>
      </c>
      <c r="CC319" s="535">
        <f t="shared" si="717"/>
        <v>0</v>
      </c>
      <c r="CD319" s="535">
        <f t="shared" si="718"/>
        <v>0</v>
      </c>
      <c r="CE319" s="535">
        <f t="shared" si="719"/>
        <v>2.99</v>
      </c>
      <c r="CF319" s="535">
        <f t="shared" si="720"/>
        <v>2.9872826416237506</v>
      </c>
      <c r="CG319" s="535">
        <f>IF(Sheet1!EQ317="CWA",SUM(Sheet1!BC317:'Sheet1'!BF317),0)</f>
        <v>0</v>
      </c>
      <c r="CH319" s="535">
        <f>IF(OR(Sheet1!EQ317="FM", Sheet1!EQ317="OTHER"),SUM(Sheet1!BC317:'Sheet1'!BF317),0)</f>
        <v>0</v>
      </c>
      <c r="CI319" s="521">
        <f>IF(AND($B319&gt;=$FV319,$B319&lt;=$FW319),MAX(CF319,Sheet1!EJ317,0),MAX(CF319-(7/36)*$K319,0))</f>
        <v>0</v>
      </c>
      <c r="CJ319" s="535">
        <f t="shared" si="721"/>
        <v>0</v>
      </c>
      <c r="CK319" s="521">
        <f t="shared" si="722"/>
        <v>2.9872826416237506</v>
      </c>
      <c r="CL319" s="521">
        <f>IF(AND($O319&gt;0,Sheet1!EN317=1),(1-($O319-Sheet1!$L317)/$O319)*CF319,0)</f>
        <v>0</v>
      </c>
      <c r="CM319" s="521">
        <f>IF(AND(Sheet1!$L317=0,Sheet1!$L316=0, Calculation!CE319&lt;Sheet1!EJ317-0.1,Sheet1!EJ317=Sheet1!EJ316,Sheet1!EJ317=Sheet1!EJ318),CF319-CL319,CF319-CL319)</f>
        <v>2.9872826416237506</v>
      </c>
      <c r="CN319" s="1040" t="str">
        <f t="shared" si="674"/>
        <v/>
      </c>
      <c r="CO319" s="1035">
        <f t="shared" si="675"/>
        <v>12.568888888888889</v>
      </c>
      <c r="CP319" s="535">
        <f t="shared" si="723"/>
        <v>0</v>
      </c>
      <c r="CQ319" s="535"/>
      <c r="CR319" s="535">
        <f ca="1">IF(B319&gt;(Summary!$A$1-1),#N/A,CP319*MGtoAF)</f>
        <v>0</v>
      </c>
      <c r="CS319" s="535">
        <f>Sheet1!BK317+Sheet1!BL317+Sheet1!BM317-Sheet1!ER317-DA319</f>
        <v>6.4399999999999995</v>
      </c>
      <c r="CT319" s="535">
        <f t="shared" si="724"/>
        <v>6.4341472281126926</v>
      </c>
      <c r="CU319" s="535">
        <f>IF(Sheet1!ER317="FM",DA319,0)</f>
        <v>0</v>
      </c>
      <c r="CV319" s="535">
        <f t="shared" si="725"/>
        <v>0</v>
      </c>
      <c r="CW319" s="535">
        <f>IF(Sheet1!ER317="OTHER",DA319,0)</f>
        <v>0</v>
      </c>
      <c r="CX319" s="535">
        <f t="shared" si="726"/>
        <v>0</v>
      </c>
      <c r="CY319" s="535">
        <f t="shared" si="727"/>
        <v>6.4399999999999995</v>
      </c>
      <c r="CZ319" s="535">
        <f t="shared" si="728"/>
        <v>6.4341472281126926</v>
      </c>
      <c r="DA319" s="535">
        <f>IF(OR(Sheet1!ER317="FM", Sheet1!ER317="OTHER"),SUM(Sheet1!BK317:'Sheet1'!BM317),0)</f>
        <v>0</v>
      </c>
      <c r="DB319" s="1011">
        <f>IF(AND($B319&gt;=$FV319,$B319&lt;=$FW319),MAX($CT319,Sheet1!EK317,0),MAX($CT319-(7/36)*$K319,0))</f>
        <v>0</v>
      </c>
      <c r="DC319" s="1012">
        <f t="shared" si="729"/>
        <v>0</v>
      </c>
      <c r="DD319" s="1011">
        <f t="shared" si="730"/>
        <v>6.4341472281126926</v>
      </c>
      <c r="DE319" s="521">
        <f>IF(AND($O319&gt;0,Sheet1!EO317=1),(1-($O319-Sheet1!$L317)/$O319)*CZ319,0)</f>
        <v>0</v>
      </c>
      <c r="DF319" s="521">
        <f>IF(AND(Sheet1!$L317=0,Sheet1!$L316=0, Calculation!CY319&lt;Sheet1!$EK317-0.1,Sheet1!$EK317=Sheet1!$EK316,Sheet1!$EK317=Sheet1!$EK318),CZ319-DE319,CZ319-DE319)</f>
        <v>6.4341472281126926</v>
      </c>
      <c r="DG319" s="1040">
        <f t="shared" si="676"/>
        <v>12.568888888888889</v>
      </c>
      <c r="DH319" s="649">
        <f t="shared" si="731"/>
        <v>12.309999999999999</v>
      </c>
      <c r="DI319" s="535">
        <f t="shared" si="732"/>
        <v>0</v>
      </c>
      <c r="DJ319" s="649">
        <f t="shared" si="733"/>
        <v>12.298812481066342</v>
      </c>
      <c r="DK319" s="535">
        <f ca="1">IF(B319&gt;(Summary!$A$1-1),#N/A,DI319*MGtoAF)</f>
        <v>0</v>
      </c>
      <c r="DL319" s="649">
        <f t="shared" si="734"/>
        <v>12.309999999999999</v>
      </c>
      <c r="DM319" s="535">
        <f t="shared" si="735"/>
        <v>33.01</v>
      </c>
      <c r="DN319" s="535">
        <f>Sheet1!AB317-DM319</f>
        <v>-3.0000000000001137E-2</v>
      </c>
      <c r="DO319" s="743">
        <f t="shared" si="736"/>
        <v>-9.088155104514129E-4</v>
      </c>
      <c r="DP319" s="535">
        <f>(VLOOKUP(Sheet1!DC317,hhdcap_wcm,4)-(((VLOOKUP(Sheet1!DC317,hhdcap_wcm,3)-Sheet1!DC317)/(VLOOKUP(Sheet1!DC317,hhdcap_wcm,3)-VLOOKUP(Sheet1!DC317,hhdcap_wcm,1)))*(VLOOKUP(Sheet1!DC317,hhdcap_wcm,4)-VLOOKUP(Sheet1!DC317,hhdcap_wcm,2))))</f>
        <v>1096.4000000031924</v>
      </c>
      <c r="DQ319" s="535">
        <f t="shared" si="737"/>
        <v>163.80000000061625</v>
      </c>
      <c r="DR319" s="535">
        <f t="shared" si="738"/>
        <v>82.602118003336471</v>
      </c>
      <c r="DS319" s="535">
        <f>Sheet1!EA317*AFtoMG</f>
        <v>0</v>
      </c>
      <c r="DT319" s="535">
        <f>Sheet1!EB317*AFtoMG</f>
        <v>0</v>
      </c>
      <c r="DU319" s="535">
        <f>Sheet1!EC317*AFtoMG</f>
        <v>0</v>
      </c>
      <c r="DV319" s="535">
        <f>Sheet1!ED317*AFtoMG</f>
        <v>0</v>
      </c>
      <c r="DW319" s="535">
        <f t="shared" si="739"/>
        <v>0</v>
      </c>
      <c r="DX319" s="535">
        <f t="shared" si="740"/>
        <v>0</v>
      </c>
      <c r="DY319" s="535">
        <f t="shared" si="741"/>
        <v>0</v>
      </c>
      <c r="DZ319" s="535">
        <f t="shared" si="742"/>
        <v>0</v>
      </c>
      <c r="EA319" s="535"/>
      <c r="EB319" s="521">
        <f>IF(OR(B319&lt;FV319,B319&gt;FW319),(MIN(BF319+BY319+CT319+MAX(Sheet1!AA317+AQ319-73,0),K319)),0)</f>
        <v>12.298812481066342</v>
      </c>
      <c r="EC319" s="535"/>
      <c r="ED319" s="535">
        <f t="shared" si="743"/>
        <v>12.298812481066342</v>
      </c>
      <c r="EE319" s="535"/>
      <c r="EF319" s="535">
        <f>Sheet1!EH317+Sheet1!EI317+Sheet1!EJ317+Sheet1!EK317</f>
        <v>12.5</v>
      </c>
      <c r="EG319" s="1019">
        <f t="shared" si="677"/>
        <v>19.337499999999999</v>
      </c>
      <c r="EH319" s="521">
        <f t="shared" si="744"/>
        <v>0</v>
      </c>
      <c r="EI319" s="535">
        <f>IF(Sheet1!ET317=1,SUM('Calculations II'!AT319:BA319)+'Calculations II'!BC319+Sheet1!BV317+'Calculations II'!BE319+AP319,'Calculations II'!BK319)</f>
        <v>45.648575518933647</v>
      </c>
      <c r="EJ319" s="535">
        <f ca="1">EI319+'Calculations II'!D319+'Calculations II'!E319+'Calculations II'!O319</f>
        <v>49.170021430790385</v>
      </c>
      <c r="EK319" s="535"/>
      <c r="EL319" s="535"/>
      <c r="EM319" s="535">
        <f t="shared" si="745"/>
        <v>43043</v>
      </c>
      <c r="EN319" s="535">
        <f t="shared" si="746"/>
        <v>0</v>
      </c>
      <c r="EO319" s="535">
        <f t="shared" si="747"/>
        <v>0</v>
      </c>
      <c r="EP319" s="535">
        <v>0</v>
      </c>
      <c r="EQ319" s="535">
        <v>0</v>
      </c>
      <c r="ER319" s="535">
        <v>0</v>
      </c>
      <c r="ES319" s="521">
        <f t="shared" si="643"/>
        <v>-2.3557666154305075</v>
      </c>
      <c r="ET319" s="535">
        <f>-(VLOOKUP(Sheet1!BQ317,Lookup!$O$4:$Q$262,2)-VLOOKUP(Sheet1!BQ316,Lookup!$O$4:$Q$262,2))/1000000</f>
        <v>-1.108365283224739</v>
      </c>
      <c r="EU319" s="535">
        <f>-(VLOOKUP(Sheet1!BR317,Lookup!$O$4:$Q$262,3)-VLOOKUP(Sheet1!BR316,Lookup!$O$4:$Q$262,3))/1000000</f>
        <v>-1.2474013322057687</v>
      </c>
      <c r="EV319" s="535"/>
      <c r="EW319" s="535"/>
      <c r="EX319" s="535"/>
      <c r="EY319" s="535"/>
      <c r="EZ319" s="535"/>
      <c r="FA319" s="535"/>
      <c r="FB319" s="535"/>
      <c r="FC319" s="535"/>
      <c r="FD319" s="567">
        <f t="shared" si="693"/>
        <v>1088.7789473683877</v>
      </c>
      <c r="FE319" s="567" t="e">
        <f t="shared" si="748"/>
        <v>#N/A</v>
      </c>
      <c r="FF319" s="568" t="e">
        <f t="shared" si="749"/>
        <v>#N/A</v>
      </c>
      <c r="FG319" s="569" t="s">
        <v>656</v>
      </c>
      <c r="FH319" s="569" t="s">
        <v>656</v>
      </c>
      <c r="FI319" s="567" t="e">
        <v>#N/A</v>
      </c>
      <c r="FJ319" s="725">
        <v>2430</v>
      </c>
      <c r="FK319" s="535"/>
      <c r="FL319" s="1015">
        <f t="shared" si="692"/>
        <v>45.385779122541599</v>
      </c>
      <c r="FM319" s="535"/>
      <c r="FN319" s="535"/>
      <c r="FO319" s="535">
        <f>O319+((Sheet1!CS317)*GPMtoMGD)</f>
        <v>61.08</v>
      </c>
      <c r="FP319" s="535">
        <f>IF(Sheet1!AA317+AQ319&lt;=Calculation!N319,AQ319,Calculation!N319-Sheet1!AA317)</f>
        <v>20.681187518933655</v>
      </c>
      <c r="FQ319" s="535">
        <f>(Sheet1!BP317+Sheet1!BO317)/694.4</f>
        <v>1.3895449308755763</v>
      </c>
      <c r="FR319" s="541"/>
      <c r="FS319" s="541"/>
      <c r="FT319" s="541"/>
      <c r="FU319" s="541"/>
      <c r="FV319" s="1109">
        <f t="shared" si="644"/>
        <v>42918</v>
      </c>
      <c r="FW319" s="1109">
        <f t="shared" si="645"/>
        <v>43027</v>
      </c>
      <c r="FX319" s="541"/>
      <c r="FY319" s="541">
        <f>Sheet1!DA317-Sheet1!CZ317-Sheet1!AE317</f>
        <v>194.16723999999999</v>
      </c>
      <c r="FZ319" s="535">
        <f t="shared" si="678"/>
        <v>0.39178048871593568</v>
      </c>
      <c r="GA319" s="535"/>
      <c r="GB319" s="535" t="str">
        <f t="shared" si="646"/>
        <v>n</v>
      </c>
      <c r="GC319" s="539">
        <f t="shared" si="647"/>
        <v>42782</v>
      </c>
      <c r="GD319" s="1109">
        <f t="shared" si="648"/>
        <v>42904</v>
      </c>
      <c r="GE319" s="535">
        <f t="shared" si="664"/>
        <v>6520</v>
      </c>
      <c r="GF319" s="1109">
        <f t="shared" si="649"/>
        <v>42909</v>
      </c>
      <c r="GG319" s="535">
        <f t="shared" si="691"/>
        <v>3260</v>
      </c>
      <c r="GH319" s="539">
        <f t="shared" si="650"/>
        <v>43040</v>
      </c>
      <c r="GJ319" s="521">
        <f t="shared" si="651"/>
        <v>0</v>
      </c>
      <c r="GK319" s="535" t="str">
        <f t="shared" si="750"/>
        <v/>
      </c>
      <c r="GL319" s="535">
        <f t="shared" si="652"/>
        <v>0</v>
      </c>
      <c r="GM319" s="535" t="str">
        <f t="shared" si="653"/>
        <v/>
      </c>
      <c r="GN319" s="535">
        <f>IF(GK319="P",Lookup!$M$12,IF(GK319="PP",Lookup!$M$13,IF(GK319="PPP",Lookup!$M$14,IF(GK319="T",Lookup!$M$15,IF(GK319="TP",Lookup!$M$16,IF(GK319="TPP",Lookup!$M$17,IF(GK319="TPPP",Lookup!$M$18,0)))))))*GJ319</f>
        <v>0</v>
      </c>
      <c r="GO319" s="535">
        <f t="shared" si="654"/>
        <v>0</v>
      </c>
      <c r="GP319" s="535">
        <f t="shared" si="751"/>
        <v>0</v>
      </c>
      <c r="GQ319" s="974">
        <f t="shared" si="695"/>
        <v>0</v>
      </c>
      <c r="GR319" s="535"/>
      <c r="GS319" s="535">
        <f t="shared" si="655"/>
        <v>0</v>
      </c>
      <c r="GT319" s="535" t="str">
        <f t="shared" si="656"/>
        <v/>
      </c>
      <c r="GU319" s="535">
        <f>IF(GK319="P",Lookup!$N$12,IF(GK319="PP",Lookup!$N$13,IF(GK319="PPP",Lookup!$N$14,IF(GK319="T",Lookup!$N$15,IF(GK319="TP",Lookup!$N$16,IF(GK319="TPP",Lookup!$N$17,IF(GK319="TPPP",Lookup!$N$18,0)))))))*GJ319</f>
        <v>0</v>
      </c>
      <c r="GV319" s="535">
        <f t="shared" si="657"/>
        <v>0</v>
      </c>
      <c r="GW319" s="535">
        <f t="shared" si="752"/>
        <v>0</v>
      </c>
      <c r="GX319" s="974">
        <f t="shared" si="696"/>
        <v>0</v>
      </c>
      <c r="GY319" s="535"/>
      <c r="GZ319" s="535">
        <f t="shared" si="658"/>
        <v>0</v>
      </c>
      <c r="HA319" s="535" t="str">
        <f t="shared" si="659"/>
        <v/>
      </c>
      <c r="HB319" s="535">
        <f>IF(GK319="P",Lookup!$N$12,IF(GK319="PP",Lookup!$N$13,IF(GK319="PPP",Lookup!$N$14,IF(GK319="T",Lookup!$N$15,IF(GK319="TP",Lookup!$N$16,IF(GK319="TPP",Lookup!$N$17,IF(GK319="TPPP",Lookup!$N$18,0)))))))*GJ319</f>
        <v>0</v>
      </c>
      <c r="HC319" s="521">
        <f t="shared" si="753"/>
        <v>0</v>
      </c>
      <c r="HD319" s="535">
        <f t="shared" si="754"/>
        <v>0</v>
      </c>
      <c r="HE319" s="535">
        <f t="shared" si="662"/>
        <v>0</v>
      </c>
      <c r="HF319" s="535"/>
      <c r="HG319" s="535">
        <f t="shared" si="660"/>
        <v>0</v>
      </c>
      <c r="HH319" s="535" t="str">
        <f t="shared" si="661"/>
        <v/>
      </c>
      <c r="HI319" s="535">
        <f>IF(GK319="P",Lookup!$N$12,IF(GK319="PP",Lookup!$N$13,IF(GK319="PPP",Lookup!$N$14,IF(GK319="T",Lookup!$N$15,IF(GK319="TP",Lookup!$N$16,IF(GK319="TPP",Lookup!$N$17,IF(GK319="TPPP",Lookup!$N$18,0)))))))*GJ319</f>
        <v>0</v>
      </c>
      <c r="HJ319" s="521">
        <f t="shared" si="755"/>
        <v>0</v>
      </c>
      <c r="HK319" s="535">
        <f t="shared" si="756"/>
        <v>0</v>
      </c>
      <c r="HL319" s="535">
        <f t="shared" si="663"/>
        <v>0</v>
      </c>
      <c r="HM319" s="535"/>
      <c r="HN319" s="541"/>
      <c r="HO319" s="541"/>
      <c r="HP319" s="541"/>
      <c r="HQ319" s="541">
        <f>IF(AND(B319&gt;=$FV$4,B319&lt;=$FW$4),MAX(110/1.02+$HQ$6+MIN(113/1.02,G319),IF($HV$6-(Sheet1!DA317-Sheet1!DB317)+MIN(113/1.02,G319)&lt;G319+FL319,$HV$6-(Sheet1!DA317-Sheet1!DB317)+MIN(113/1.02,G319),G319+FL319)),MIN(110/1.02+$HQ$6+113/1.02,G319))</f>
        <v>218.62745098039215</v>
      </c>
      <c r="HR319" s="541">
        <f t="shared" si="679"/>
        <v>223</v>
      </c>
      <c r="HS319" s="541">
        <f>HR319+(Sheet1!DA317-Sheet1!DB317)</f>
        <v>550</v>
      </c>
      <c r="HT319" s="541">
        <f t="shared" si="680"/>
        <v>0</v>
      </c>
      <c r="HU319" s="541">
        <f t="shared" si="681"/>
        <v>550</v>
      </c>
      <c r="HV319" s="541">
        <f t="shared" si="682"/>
        <v>0</v>
      </c>
      <c r="HW319" s="533" t="str">
        <f t="shared" si="683"/>
        <v/>
      </c>
      <c r="HX319" s="541">
        <f t="shared" si="684"/>
        <v>194.37254901960785</v>
      </c>
      <c r="HY319" s="541">
        <f>Sheet1!CZ317</f>
        <v>413</v>
      </c>
      <c r="HZ319" s="541">
        <f t="shared" si="685"/>
        <v>0</v>
      </c>
      <c r="IA319" s="541">
        <f t="shared" si="686"/>
        <v>0</v>
      </c>
      <c r="IB319" s="541">
        <f t="shared" si="687"/>
        <v>413</v>
      </c>
      <c r="IC319" s="1019" t="str">
        <f t="shared" si="688"/>
        <v/>
      </c>
      <c r="ID319" s="541">
        <f t="shared" si="689"/>
        <v>413</v>
      </c>
      <c r="IE319" s="541">
        <f>Sheet1!DB317</f>
        <v>353</v>
      </c>
      <c r="IF319" s="533">
        <f>Sheet1!DA317</f>
        <v>680</v>
      </c>
      <c r="IH319" s="541">
        <f>IF(AND($B319&gt;=$GC319,$B319&lt;=$GH319,$DR319&lt;0)+N("only adjusted when pool is drawn down during storage season"),Sheet1!$DB317+$DR319+N("Palmer minus all storage release"),Sheet1!$DB317)</f>
        <v>353</v>
      </c>
      <c r="II319" s="541">
        <f>IF(AND($B319&gt;=$GC319,$B319&lt;=$GH319,$DR319&lt;0)+N("only adjusted when pool is drawn down during storage season"),Sheet1!$DA317+$DR319+N("Auburn minus all storage release"),Sheet1!$DA317)</f>
        <v>680</v>
      </c>
    </row>
    <row r="320" spans="1:243" x14ac:dyDescent="0.25">
      <c r="A320" s="553" t="s">
        <v>3</v>
      </c>
      <c r="B320" s="531">
        <v>43044</v>
      </c>
      <c r="C320" s="536">
        <v>0</v>
      </c>
      <c r="D320" s="506">
        <f t="shared" si="633"/>
        <v>300</v>
      </c>
      <c r="E320" s="506">
        <f t="shared" si="634"/>
        <v>250</v>
      </c>
      <c r="F320" s="506">
        <v>250</v>
      </c>
      <c r="G320" s="535">
        <f>DR320+Sheet1!CZ318</f>
        <v>504.70398386292345</v>
      </c>
      <c r="H320" s="1074">
        <f t="shared" si="690"/>
        <v>88.266863743999991</v>
      </c>
      <c r="I320" s="534">
        <f>IF(Sheet1!DA318&gt;=E320,(Sheet1!DA318-E320+P320)*CFStoMGD,0)</f>
        <v>396.599663744</v>
      </c>
      <c r="J320" s="995">
        <f>IF(Sheet1!DB318&gt;=D320,(Sheet1!DB318-D320+P320)*CFStoMGD,0)</f>
        <v>88.266863743999991</v>
      </c>
      <c r="K320" s="818">
        <f t="shared" si="665"/>
        <v>64.64</v>
      </c>
      <c r="L320" s="535">
        <f>Sheet1!AA318+Sheet1!AB318-Sheet1!L318+(Sheet1!DA318-F320)*CFStoMGD-S320-T320-U320</f>
        <v>331.92079999999999</v>
      </c>
      <c r="M320" s="535">
        <f t="shared" si="697"/>
        <v>332.7654682723736</v>
      </c>
      <c r="N320" s="824">
        <f>IF(Sheet1!DA318&gt;=F320,MIN(113*CFStoMGD,MIN(MAX(L320,0),MAX(M320,0))),0)</f>
        <v>73.043199999999999</v>
      </c>
      <c r="O320" s="538">
        <f>Sheet1!AA318+Sheet1!AB318</f>
        <v>59.18</v>
      </c>
      <c r="P320" s="538">
        <f t="shared" si="698"/>
        <v>91.551459999999992</v>
      </c>
      <c r="Q320" s="812">
        <f t="shared" si="666"/>
        <v>0</v>
      </c>
      <c r="R320" s="812">
        <f t="shared" si="635"/>
        <v>12.28387401574803</v>
      </c>
      <c r="S320" s="812">
        <f t="shared" si="636"/>
        <v>59.18</v>
      </c>
      <c r="T320" s="812">
        <f t="shared" si="637"/>
        <v>0</v>
      </c>
      <c r="U320" s="812">
        <f>IF(AND(B320&gt;=FV320,B320&lt;=FW320),ED320+Sheet1!EH318,0)</f>
        <v>0</v>
      </c>
      <c r="V320" s="812"/>
      <c r="W320" s="812">
        <f t="shared" si="638"/>
        <v>52.356125984251975</v>
      </c>
      <c r="X320" s="812">
        <f t="shared" si="639"/>
        <v>59.18</v>
      </c>
      <c r="Y320" s="812" t="str">
        <f t="shared" si="640"/>
        <v/>
      </c>
      <c r="Z320" s="812">
        <f t="shared" si="641"/>
        <v>59.18</v>
      </c>
      <c r="AA320" s="812">
        <f t="shared" si="642"/>
        <v>59.18</v>
      </c>
      <c r="AB320" s="1059">
        <f t="shared" si="667"/>
        <v>0</v>
      </c>
      <c r="AC320" s="538">
        <f>Sheet1!Y318*MGDtoCFS</f>
        <v>43.470700000000001</v>
      </c>
      <c r="AD320" s="538">
        <f>Sheet1!Z318*MGDtoCFS</f>
        <v>51.020059999999994</v>
      </c>
      <c r="AE320" s="538">
        <f>Sheet1!AA318*MGDtoCFS</f>
        <v>42.697200000000002</v>
      </c>
      <c r="AF320" s="538">
        <f>Sheet1!AB318*MGDtoCFS</f>
        <v>48.854259999999996</v>
      </c>
      <c r="AG320" s="538">
        <f>Sheet1!L318*MGDtoCFS</f>
        <v>8.5084999999999997</v>
      </c>
      <c r="AH320" s="521">
        <f t="shared" si="699"/>
        <v>0</v>
      </c>
      <c r="AI320" s="1059">
        <f t="shared" si="700"/>
        <v>0</v>
      </c>
      <c r="AJ320" s="535">
        <f t="shared" si="701"/>
        <v>0</v>
      </c>
      <c r="AK320" s="535">
        <f t="shared" si="702"/>
        <v>0</v>
      </c>
      <c r="AL320" s="535">
        <f>(VLOOKUP(Sheet1!DC318,hhdcap_wcm,4)-(((VLOOKUP(Sheet1!DC318,hhdcap_wcm,3)-Sheet1!DC318)/(VLOOKUP(Sheet1!DC318,hhdcap_wcm,3)-VLOOKUP(Sheet1!DC318,hhdcap_wcm,1)))*(VLOOKUP(Sheet1!DC318,hhdcap_wcm,4)-VLOOKUP(Sheet1!DC318,hhdcap_wcm,2))))</f>
        <v>1272.3000000033696</v>
      </c>
      <c r="AM320" s="535">
        <f t="shared" si="703"/>
        <v>175.90000000017722</v>
      </c>
      <c r="AN320" s="1035">
        <f t="shared" si="704"/>
        <v>0</v>
      </c>
      <c r="AO320" s="535">
        <f t="shared" si="705"/>
        <v>0</v>
      </c>
      <c r="AP320" s="535">
        <f>Sheet1!BA318+Sheet1!BB318+Sheet1!BN318+CD320</f>
        <v>19.399999999999999</v>
      </c>
      <c r="AQ320" s="535">
        <f>Sheet1!BN318+(DO320*Sheet1!BN318)</f>
        <v>19.296125984251965</v>
      </c>
      <c r="AR320" s="535">
        <f>Sheet1!BA318+CD320</f>
        <v>0</v>
      </c>
      <c r="AS320" s="535">
        <f>Sheet1!BA318+Sheet1!BB318+CD320</f>
        <v>0</v>
      </c>
      <c r="AT320" s="649">
        <f>0</f>
        <v>0</v>
      </c>
      <c r="AU320" s="974">
        <f>BA320+MAX(Sheet1!EH318,(O320-Q320-ED320-S320))</f>
        <v>0</v>
      </c>
      <c r="AV320" s="535">
        <f>IF(OR(B320&gt;=GD320,B320&lt;GC320),0,15/36*K320-MAX(0,64.6-(137.6-(Sheet1!AA318+Sheet1!AB318))))</f>
        <v>0</v>
      </c>
      <c r="AW320" s="1029"/>
      <c r="AX320" s="649"/>
      <c r="AY320" s="649">
        <f t="shared" si="668"/>
        <v>23.311716569431731</v>
      </c>
      <c r="AZ320" s="649">
        <f t="shared" si="669"/>
        <v>0</v>
      </c>
      <c r="BA320" s="1059">
        <f t="shared" si="670"/>
        <v>0</v>
      </c>
      <c r="BB320" s="1019">
        <f t="shared" si="706"/>
        <v>0</v>
      </c>
      <c r="BC320" s="1041">
        <f t="shared" si="671"/>
        <v>26.933333333333334</v>
      </c>
      <c r="BD320" s="1019">
        <f ca="1">IF(B320&gt;(Summary!$A$1-1),#N/A,BB320*MGtoAF)</f>
        <v>0</v>
      </c>
      <c r="BE320" s="535">
        <f>Sheet1!BG318+Sheet1!BH318+Sheet1!BI318-BM320</f>
        <v>2.94</v>
      </c>
      <c r="BF320" s="535">
        <f t="shared" si="707"/>
        <v>2.9242582677165352</v>
      </c>
      <c r="BG320" s="535">
        <f>IF(Sheet1!EP318="FM",BM320,0)</f>
        <v>0</v>
      </c>
      <c r="BH320" s="535">
        <f t="shared" si="708"/>
        <v>0</v>
      </c>
      <c r="BI320" s="535">
        <f>IF(Sheet1!EP318="OTHER",BM320,0)</f>
        <v>0</v>
      </c>
      <c r="BJ320" s="535">
        <f t="shared" si="709"/>
        <v>0</v>
      </c>
      <c r="BK320" s="535">
        <f t="shared" si="710"/>
        <v>2.94</v>
      </c>
      <c r="BL320" s="535">
        <f t="shared" si="711"/>
        <v>2.9242582677165352</v>
      </c>
      <c r="BM320" s="535">
        <f>IF(OR(Sheet1!EP318="FM", Sheet1!EP318="OTHER"),SUM(Sheet1!BG318:'Sheet1'!BI318),0)</f>
        <v>0</v>
      </c>
      <c r="BN320" s="521">
        <f>IF(AND($B320&gt;=$FV320,$B320&lt;=$FW320),MAX(BF320,Sheet1!EI318,0),MAX(BF320-(7/36)*$K320,0))</f>
        <v>0</v>
      </c>
      <c r="BO320" s="535">
        <f t="shared" si="712"/>
        <v>0</v>
      </c>
      <c r="BP320" s="521">
        <f t="shared" si="713"/>
        <v>2.9242582677165352</v>
      </c>
      <c r="BQ320" s="521">
        <f>IF(AND($O320&gt;0,Sheet1!EM318=1),(1-($O320-Sheet1!$L318)/$O320)*BL320,0)</f>
        <v>0</v>
      </c>
      <c r="BR320" s="521">
        <f>IF(AND(Sheet1!$L318=0,Sheet1!$L317=0, Calculation!BK320&lt;Sheet1!$EI318-0.1,Sheet1!$EI318=Sheet1!$EI317,Sheet1!$EI318=Sheet1!$EI319),BL320-BQ320,BL320-BQ320)</f>
        <v>2.9242582677165352</v>
      </c>
      <c r="BS320" s="1035" t="str">
        <f t="shared" si="672"/>
        <v/>
      </c>
      <c r="BT320" s="1035">
        <f t="shared" si="673"/>
        <v>12.568888888888889</v>
      </c>
      <c r="BU320" s="535">
        <f t="shared" si="714"/>
        <v>0</v>
      </c>
      <c r="BV320" s="535"/>
      <c r="BW320" s="535">
        <f ca="1">IF(B320&gt;(Summary!$A$1-1),#N/A,BU320*MGtoAF)</f>
        <v>0</v>
      </c>
      <c r="BX320" s="535">
        <f>Sheet1!BC318+Sheet1!BD318+Sheet1!BE318+Sheet1!BF318-CG320-CH320</f>
        <v>3.09</v>
      </c>
      <c r="BY320" s="535">
        <f t="shared" si="715"/>
        <v>3.0734551181102359</v>
      </c>
      <c r="BZ320" s="535">
        <f>IF(Sheet1!EQ318="FM",CH320,0)</f>
        <v>0</v>
      </c>
      <c r="CA320" s="535">
        <f t="shared" si="716"/>
        <v>0</v>
      </c>
      <c r="CB320" s="535">
        <f>IF(Sheet1!EQ318="OTHER",CH320,0)</f>
        <v>0</v>
      </c>
      <c r="CC320" s="535">
        <f t="shared" si="717"/>
        <v>0</v>
      </c>
      <c r="CD320" s="535">
        <f t="shared" si="718"/>
        <v>0</v>
      </c>
      <c r="CE320" s="535">
        <f t="shared" si="719"/>
        <v>3.09</v>
      </c>
      <c r="CF320" s="535">
        <f t="shared" si="720"/>
        <v>3.0734551181102359</v>
      </c>
      <c r="CG320" s="535">
        <f>IF(Sheet1!EQ318="CWA",SUM(Sheet1!BC318:'Sheet1'!BF318),0)</f>
        <v>0</v>
      </c>
      <c r="CH320" s="535">
        <f>IF(OR(Sheet1!EQ318="FM", Sheet1!EQ318="OTHER"),SUM(Sheet1!BC318:'Sheet1'!BF318),0)</f>
        <v>0</v>
      </c>
      <c r="CI320" s="521">
        <f>IF(AND($B320&gt;=$FV320,$B320&lt;=$FW320),MAX(CF320,Sheet1!EJ318,0),MAX(CF320-(7/36)*$K320,0))</f>
        <v>0</v>
      </c>
      <c r="CJ320" s="535">
        <f t="shared" si="721"/>
        <v>0</v>
      </c>
      <c r="CK320" s="521">
        <f t="shared" si="722"/>
        <v>3.0734551181102359</v>
      </c>
      <c r="CL320" s="521">
        <f>IF(AND($O320&gt;0,Sheet1!EN318=1),(1-($O320-Sheet1!$L318)/$O320)*CF320,0)</f>
        <v>0</v>
      </c>
      <c r="CM320" s="521">
        <f>IF(AND(Sheet1!$L318=0,Sheet1!$L317=0, Calculation!CE320&lt;Sheet1!EJ318-0.1,Sheet1!EJ318=Sheet1!EJ317,Sheet1!EJ318=Sheet1!EJ319),CF320-CL320,CF320-CL320)</f>
        <v>3.0734551181102359</v>
      </c>
      <c r="CN320" s="1040" t="str">
        <f t="shared" si="674"/>
        <v/>
      </c>
      <c r="CO320" s="1035">
        <f t="shared" si="675"/>
        <v>12.568888888888889</v>
      </c>
      <c r="CP320" s="535">
        <f t="shared" si="723"/>
        <v>0</v>
      </c>
      <c r="CQ320" s="535"/>
      <c r="CR320" s="535">
        <f ca="1">IF(B320&gt;(Summary!$A$1-1),#N/A,CP320*MGtoAF)</f>
        <v>0</v>
      </c>
      <c r="CS320" s="535">
        <f>Sheet1!BK318+Sheet1!BL318+Sheet1!BM318-Sheet1!ER318-DA320</f>
        <v>6.32</v>
      </c>
      <c r="CT320" s="535">
        <f t="shared" si="724"/>
        <v>6.2861606299212598</v>
      </c>
      <c r="CU320" s="535">
        <f>IF(Sheet1!ER318="FM",DA320,0)</f>
        <v>0</v>
      </c>
      <c r="CV320" s="535">
        <f t="shared" si="725"/>
        <v>0</v>
      </c>
      <c r="CW320" s="535">
        <f>IF(Sheet1!ER318="OTHER",DA320,0)</f>
        <v>0</v>
      </c>
      <c r="CX320" s="535">
        <f t="shared" si="726"/>
        <v>0</v>
      </c>
      <c r="CY320" s="535">
        <f t="shared" si="727"/>
        <v>6.32</v>
      </c>
      <c r="CZ320" s="535">
        <f t="shared" si="728"/>
        <v>6.2861606299212598</v>
      </c>
      <c r="DA320" s="535">
        <f>IF(OR(Sheet1!ER318="FM", Sheet1!ER318="OTHER"),SUM(Sheet1!BK318:'Sheet1'!BM318),0)</f>
        <v>0</v>
      </c>
      <c r="DB320" s="1011">
        <f>IF(AND($B320&gt;=$FV320,$B320&lt;=$FW320),MAX($CT320,Sheet1!EK318,0),MAX($CT320-(7/36)*$K320,0))</f>
        <v>0</v>
      </c>
      <c r="DC320" s="1012">
        <f t="shared" si="729"/>
        <v>0</v>
      </c>
      <c r="DD320" s="1011">
        <f t="shared" si="730"/>
        <v>6.2861606299212598</v>
      </c>
      <c r="DE320" s="521">
        <f>IF(AND($O320&gt;0,Sheet1!EO318=1),(1-($O320-Sheet1!$L318)/$O320)*CZ320,0)</f>
        <v>0</v>
      </c>
      <c r="DF320" s="521">
        <f>IF(AND(Sheet1!$L318=0,Sheet1!$L317=0, Calculation!CY320&lt;Sheet1!$EK318-0.1,Sheet1!$EK318=Sheet1!$EK317,Sheet1!$EK318=Sheet1!$EK319),CZ320-DE320,CZ320-DE320)</f>
        <v>6.2861606299212598</v>
      </c>
      <c r="DG320" s="1040">
        <f t="shared" si="676"/>
        <v>12.568888888888889</v>
      </c>
      <c r="DH320" s="649">
        <f t="shared" si="731"/>
        <v>12.35</v>
      </c>
      <c r="DI320" s="535">
        <f t="shared" si="732"/>
        <v>0</v>
      </c>
      <c r="DJ320" s="649">
        <f t="shared" si="733"/>
        <v>12.28387401574803</v>
      </c>
      <c r="DK320" s="535">
        <f ca="1">IF(B320&gt;(Summary!$A$1-1),#N/A,DI320*MGtoAF)</f>
        <v>0</v>
      </c>
      <c r="DL320" s="649">
        <f t="shared" si="734"/>
        <v>12.35</v>
      </c>
      <c r="DM320" s="535">
        <f t="shared" si="735"/>
        <v>31.75</v>
      </c>
      <c r="DN320" s="535">
        <f>Sheet1!AB318-DM320</f>
        <v>-0.17000000000000171</v>
      </c>
      <c r="DO320" s="743">
        <f t="shared" si="736"/>
        <v>-5.3543307086614707E-3</v>
      </c>
      <c r="DP320" s="535">
        <f>(VLOOKUP(Sheet1!DC318,hhdcap_wcm,4)-(((VLOOKUP(Sheet1!DC318,hhdcap_wcm,3)-Sheet1!DC318)/(VLOOKUP(Sheet1!DC318,hhdcap_wcm,3)-VLOOKUP(Sheet1!DC318,hhdcap_wcm,1)))*(VLOOKUP(Sheet1!DC318,hhdcap_wcm,4)-VLOOKUP(Sheet1!DC318,hhdcap_wcm,2))))</f>
        <v>1272.3000000033696</v>
      </c>
      <c r="DQ320" s="535">
        <f t="shared" si="737"/>
        <v>175.90000000017722</v>
      </c>
      <c r="DR320" s="535">
        <f t="shared" si="738"/>
        <v>88.703983862923451</v>
      </c>
      <c r="DS320" s="535">
        <f>Sheet1!EA318*AFtoMG</f>
        <v>0</v>
      </c>
      <c r="DT320" s="535">
        <f>Sheet1!EB318*AFtoMG</f>
        <v>0</v>
      </c>
      <c r="DU320" s="535">
        <f>Sheet1!EC318*AFtoMG</f>
        <v>0</v>
      </c>
      <c r="DV320" s="535">
        <f>Sheet1!ED318*AFtoMG</f>
        <v>0</v>
      </c>
      <c r="DW320" s="535">
        <f t="shared" si="739"/>
        <v>0</v>
      </c>
      <c r="DX320" s="535">
        <f t="shared" si="740"/>
        <v>0</v>
      </c>
      <c r="DY320" s="535">
        <f t="shared" si="741"/>
        <v>0</v>
      </c>
      <c r="DZ320" s="535">
        <f t="shared" si="742"/>
        <v>0</v>
      </c>
      <c r="EA320" s="535"/>
      <c r="EB320" s="521">
        <f>IF(OR(B320&lt;FV320,B320&gt;FW320),(MIN(BF320+BY320+CT320+MAX(Sheet1!AA318+AQ320-73,0),K320)),0)</f>
        <v>12.28387401574803</v>
      </c>
      <c r="EC320" s="535"/>
      <c r="ED320" s="535">
        <f t="shared" si="743"/>
        <v>12.28387401574803</v>
      </c>
      <c r="EE320" s="535"/>
      <c r="EF320" s="535">
        <f>Sheet1!EH318+Sheet1!EI318+Sheet1!EJ318+Sheet1!EK318</f>
        <v>12.5</v>
      </c>
      <c r="EG320" s="1019">
        <f t="shared" si="677"/>
        <v>19.337499999999999</v>
      </c>
      <c r="EH320" s="521">
        <f t="shared" si="744"/>
        <v>0</v>
      </c>
      <c r="EI320" s="535">
        <f>IF(Sheet1!ET318=1,SUM('Calculations II'!AT320:BA320)+'Calculations II'!BC320+Sheet1!BV318+'Calculations II'!BE320+AP320,'Calculations II'!BK320)</f>
        <v>46.472381984251967</v>
      </c>
      <c r="EJ320" s="535">
        <f ca="1">EI320+'Calculations II'!D320+'Calculations II'!E320+'Calculations II'!O320</f>
        <v>46.68289841966633</v>
      </c>
      <c r="EK320" s="535"/>
      <c r="EL320" s="535"/>
      <c r="EM320" s="535">
        <f t="shared" si="745"/>
        <v>43044</v>
      </c>
      <c r="EN320" s="535">
        <f t="shared" si="746"/>
        <v>0</v>
      </c>
      <c r="EO320" s="535">
        <f t="shared" si="747"/>
        <v>0</v>
      </c>
      <c r="EP320" s="535">
        <v>0</v>
      </c>
      <c r="EQ320" s="535">
        <v>0</v>
      </c>
      <c r="ER320" s="535">
        <v>0</v>
      </c>
      <c r="ES320" s="521">
        <f t="shared" si="643"/>
        <v>-0.41578762443751471</v>
      </c>
      <c r="ET320" s="535">
        <f>-(VLOOKUP(Sheet1!BQ318,Lookup!$O$4:$Q$262,2)-VLOOKUP(Sheet1!BQ317,Lookup!$O$4:$Q$262,2))/1000000</f>
        <v>-0.27715542043960095</v>
      </c>
      <c r="EU320" s="535">
        <f>-(VLOOKUP(Sheet1!BR318,Lookup!$O$4:$Q$262,3)-VLOOKUP(Sheet1!BR317,Lookup!$O$4:$Q$262,3))/1000000</f>
        <v>-0.13863220399791376</v>
      </c>
      <c r="EV320" s="535"/>
      <c r="EW320" s="535"/>
      <c r="EX320" s="535"/>
      <c r="EY320" s="535"/>
      <c r="EZ320" s="535"/>
      <c r="FA320" s="535"/>
      <c r="FB320" s="535"/>
      <c r="FC320" s="535"/>
      <c r="FD320" s="567">
        <f t="shared" si="693"/>
        <v>1088.2947368420723</v>
      </c>
      <c r="FE320" s="567" t="e">
        <f t="shared" si="748"/>
        <v>#N/A</v>
      </c>
      <c r="FF320" s="568" t="e">
        <f t="shared" si="749"/>
        <v>#N/A</v>
      </c>
      <c r="FG320" s="569" t="s">
        <v>656</v>
      </c>
      <c r="FH320" s="569" t="s">
        <v>656</v>
      </c>
      <c r="FI320" s="567" t="e">
        <v>#N/A</v>
      </c>
      <c r="FJ320" s="725">
        <v>2340</v>
      </c>
      <c r="FK320" s="535"/>
      <c r="FL320" s="1015">
        <f t="shared" si="692"/>
        <v>45.385779122541599</v>
      </c>
      <c r="FM320" s="535"/>
      <c r="FN320" s="535"/>
      <c r="FO320" s="535">
        <f>O320+((Sheet1!CS318)*GPMtoMGD)</f>
        <v>59.18</v>
      </c>
      <c r="FP320" s="535">
        <f>IF(Sheet1!AA318+AQ320&lt;=Calculation!N320,AQ320,Calculation!N320-Sheet1!AA318)</f>
        <v>19.296125984251965</v>
      </c>
      <c r="FQ320" s="535">
        <f>(Sheet1!BP318+Sheet1!BO318)/694.4</f>
        <v>2.0067684331797238</v>
      </c>
      <c r="FR320" s="541"/>
      <c r="FS320" s="541"/>
      <c r="FT320" s="541"/>
      <c r="FU320" s="541"/>
      <c r="FV320" s="1109">
        <f t="shared" si="644"/>
        <v>42918</v>
      </c>
      <c r="FW320" s="1109">
        <f t="shared" si="645"/>
        <v>43027</v>
      </c>
      <c r="FX320" s="541"/>
      <c r="FY320" s="541">
        <f>Sheet1!DA318-Sheet1!CZ318-Sheet1!AE318</f>
        <v>272.95704000000001</v>
      </c>
      <c r="FZ320" s="535">
        <f t="shared" si="678"/>
        <v>0.54082600638661604</v>
      </c>
      <c r="GA320" s="535"/>
      <c r="GB320" s="535" t="str">
        <f t="shared" si="646"/>
        <v>n</v>
      </c>
      <c r="GC320" s="539">
        <f t="shared" si="647"/>
        <v>42782</v>
      </c>
      <c r="GD320" s="1109">
        <f t="shared" si="648"/>
        <v>42904</v>
      </c>
      <c r="GE320" s="535">
        <f t="shared" si="664"/>
        <v>6520</v>
      </c>
      <c r="GF320" s="1109">
        <f t="shared" si="649"/>
        <v>42909</v>
      </c>
      <c r="GG320" s="535">
        <f t="shared" si="691"/>
        <v>3260</v>
      </c>
      <c r="GH320" s="539">
        <f t="shared" si="650"/>
        <v>43040</v>
      </c>
      <c r="GJ320" s="521">
        <f t="shared" si="651"/>
        <v>0</v>
      </c>
      <c r="GK320" s="535" t="str">
        <f t="shared" si="750"/>
        <v/>
      </c>
      <c r="GL320" s="535">
        <f t="shared" si="652"/>
        <v>0</v>
      </c>
      <c r="GM320" s="535" t="str">
        <f t="shared" si="653"/>
        <v/>
      </c>
      <c r="GN320" s="535">
        <f>IF(GK320="P",Lookup!$M$12,IF(GK320="PP",Lookup!$M$13,IF(GK320="PPP",Lookup!$M$14,IF(GK320="T",Lookup!$M$15,IF(GK320="TP",Lookup!$M$16,IF(GK320="TPP",Lookup!$M$17,IF(GK320="TPPP",Lookup!$M$18,0)))))))*GJ320</f>
        <v>0</v>
      </c>
      <c r="GO320" s="535">
        <f t="shared" si="654"/>
        <v>0</v>
      </c>
      <c r="GP320" s="535">
        <f t="shared" si="751"/>
        <v>0</v>
      </c>
      <c r="GQ320" s="974">
        <f t="shared" si="695"/>
        <v>0</v>
      </c>
      <c r="GR320" s="535"/>
      <c r="GS320" s="535">
        <f t="shared" si="655"/>
        <v>0</v>
      </c>
      <c r="GT320" s="535" t="str">
        <f t="shared" si="656"/>
        <v/>
      </c>
      <c r="GU320" s="535">
        <f>IF(GK320="P",Lookup!$N$12,IF(GK320="PP",Lookup!$N$13,IF(GK320="PPP",Lookup!$N$14,IF(GK320="T",Lookup!$N$15,IF(GK320="TP",Lookup!$N$16,IF(GK320="TPP",Lookup!$N$17,IF(GK320="TPPP",Lookup!$N$18,0)))))))*GJ320</f>
        <v>0</v>
      </c>
      <c r="GV320" s="535">
        <f t="shared" si="657"/>
        <v>0</v>
      </c>
      <c r="GW320" s="535">
        <f t="shared" si="752"/>
        <v>0</v>
      </c>
      <c r="GX320" s="974">
        <f t="shared" si="696"/>
        <v>0</v>
      </c>
      <c r="GY320" s="535"/>
      <c r="GZ320" s="535">
        <f t="shared" si="658"/>
        <v>0</v>
      </c>
      <c r="HA320" s="535" t="str">
        <f t="shared" si="659"/>
        <v/>
      </c>
      <c r="HB320" s="535">
        <f>IF(GK320="P",Lookup!$N$12,IF(GK320="PP",Lookup!$N$13,IF(GK320="PPP",Lookup!$N$14,IF(GK320="T",Lookup!$N$15,IF(GK320="TP",Lookup!$N$16,IF(GK320="TPP",Lookup!$N$17,IF(GK320="TPPP",Lookup!$N$18,0)))))))*GJ320</f>
        <v>0</v>
      </c>
      <c r="HC320" s="521">
        <f t="shared" si="753"/>
        <v>0</v>
      </c>
      <c r="HD320" s="535">
        <f t="shared" si="754"/>
        <v>0</v>
      </c>
      <c r="HE320" s="535">
        <f t="shared" si="662"/>
        <v>0</v>
      </c>
      <c r="HF320" s="535"/>
      <c r="HG320" s="535">
        <f t="shared" si="660"/>
        <v>0</v>
      </c>
      <c r="HH320" s="535" t="str">
        <f t="shared" si="661"/>
        <v/>
      </c>
      <c r="HI320" s="535">
        <f>IF(GK320="P",Lookup!$N$12,IF(GK320="PP",Lookup!$N$13,IF(GK320="PPP",Lookup!$N$14,IF(GK320="T",Lookup!$N$15,IF(GK320="TP",Lookup!$N$16,IF(GK320="TPP",Lookup!$N$17,IF(GK320="TPPP",Lookup!$N$18,0)))))))*GJ320</f>
        <v>0</v>
      </c>
      <c r="HJ320" s="521">
        <f t="shared" si="755"/>
        <v>0</v>
      </c>
      <c r="HK320" s="535">
        <f t="shared" si="756"/>
        <v>0</v>
      </c>
      <c r="HL320" s="535">
        <f t="shared" si="663"/>
        <v>0</v>
      </c>
      <c r="HM320" s="535"/>
      <c r="HN320" s="541"/>
      <c r="HO320" s="541"/>
      <c r="HP320" s="541"/>
      <c r="HQ320" s="541">
        <f>IF(AND(B320&gt;=$FV$4,B320&lt;=$FW$4),MAX(110/1.02+$HQ$6+MIN(113/1.02,G320),IF($HV$6-(Sheet1!DA318-Sheet1!DB318)+MIN(113/1.02,G320)&lt;G320+FL320,$HV$6-(Sheet1!DA318-Sheet1!DB318)+MIN(113/1.02,G320),G320+FL320)),MIN(110/1.02+$HQ$6+113/1.02,G320))</f>
        <v>218.62745098039215</v>
      </c>
      <c r="HR320" s="541">
        <f t="shared" si="679"/>
        <v>223</v>
      </c>
      <c r="HS320" s="541">
        <f>HR320+(Sheet1!DA318-Sheet1!DB318)</f>
        <v>650</v>
      </c>
      <c r="HT320" s="541">
        <f t="shared" si="680"/>
        <v>0</v>
      </c>
      <c r="HU320" s="541">
        <f t="shared" si="681"/>
        <v>650</v>
      </c>
      <c r="HV320" s="541">
        <f t="shared" si="682"/>
        <v>0</v>
      </c>
      <c r="HW320" s="533" t="str">
        <f t="shared" si="683"/>
        <v/>
      </c>
      <c r="HX320" s="541">
        <f t="shared" si="684"/>
        <v>197.37254901960785</v>
      </c>
      <c r="HY320" s="541">
        <f>Sheet1!CZ318</f>
        <v>416</v>
      </c>
      <c r="HZ320" s="541">
        <f t="shared" si="685"/>
        <v>0</v>
      </c>
      <c r="IA320" s="541">
        <f t="shared" si="686"/>
        <v>0</v>
      </c>
      <c r="IB320" s="541">
        <f t="shared" si="687"/>
        <v>416</v>
      </c>
      <c r="IC320" s="1019" t="str">
        <f t="shared" si="688"/>
        <v/>
      </c>
      <c r="ID320" s="541">
        <f t="shared" si="689"/>
        <v>416</v>
      </c>
      <c r="IE320" s="541">
        <f>Sheet1!DB318</f>
        <v>345</v>
      </c>
      <c r="IF320" s="533">
        <f>Sheet1!DA318</f>
        <v>772</v>
      </c>
      <c r="IH320" s="541">
        <f>IF(AND($B320&gt;=$GC320,$B320&lt;=$GH320,$DR320&lt;0)+N("only adjusted when pool is drawn down during storage season"),Sheet1!$DB318+$DR320+N("Palmer minus all storage release"),Sheet1!$DB318)</f>
        <v>345</v>
      </c>
      <c r="II320" s="541">
        <f>IF(AND($B320&gt;=$GC320,$B320&lt;=$GH320,$DR320&lt;0)+N("only adjusted when pool is drawn down during storage season"),Sheet1!$DA318+$DR320+N("Auburn minus all storage release"),Sheet1!$DA318)</f>
        <v>772</v>
      </c>
    </row>
    <row r="321" spans="1:243" x14ac:dyDescent="0.25">
      <c r="A321" s="553" t="s">
        <v>4</v>
      </c>
      <c r="B321" s="531">
        <v>43045</v>
      </c>
      <c r="C321" s="536">
        <v>0</v>
      </c>
      <c r="D321" s="506">
        <f t="shared" si="633"/>
        <v>300</v>
      </c>
      <c r="E321" s="506">
        <f t="shared" si="634"/>
        <v>250</v>
      </c>
      <c r="F321" s="506">
        <v>250</v>
      </c>
      <c r="G321" s="535">
        <f>DR321+Sheet1!CZ319</f>
        <v>507.44074634384884</v>
      </c>
      <c r="H321" s="1074">
        <f t="shared" si="690"/>
        <v>200.91328524799997</v>
      </c>
      <c r="I321" s="534">
        <f>IF(Sheet1!DA319&gt;=E321,(Sheet1!DA319-E321+P321)*CFStoMGD,0)</f>
        <v>460.11968524799994</v>
      </c>
      <c r="J321" s="995">
        <f>IF(Sheet1!DB319&gt;=D321,(Sheet1!DB319-D321+P321)*CFStoMGD,0)</f>
        <v>200.91328524799997</v>
      </c>
      <c r="K321" s="818">
        <f t="shared" si="665"/>
        <v>64.64</v>
      </c>
      <c r="L321" s="535">
        <f>Sheet1!AA319+Sheet1!AB319-Sheet1!L319+(Sheet1!DA319-F321)*CFStoMGD-S321-T321-U321</f>
        <v>402.06079999999997</v>
      </c>
      <c r="M321" s="535">
        <f t="shared" si="697"/>
        <v>334.56989240539718</v>
      </c>
      <c r="N321" s="824">
        <f>IF(Sheet1!DA319&gt;=F321,MIN(113*CFStoMGD,MIN(MAX(L321,0),MAX(M321,0))),0)</f>
        <v>73.043199999999999</v>
      </c>
      <c r="O321" s="538">
        <f>Sheet1!AA319+Sheet1!AB319</f>
        <v>58.06</v>
      </c>
      <c r="P321" s="538">
        <f t="shared" si="698"/>
        <v>89.818819999999988</v>
      </c>
      <c r="Q321" s="812">
        <f t="shared" si="666"/>
        <v>0</v>
      </c>
      <c r="R321" s="812">
        <f t="shared" si="635"/>
        <v>12.511658894070621</v>
      </c>
      <c r="S321" s="812">
        <f t="shared" si="636"/>
        <v>58.06</v>
      </c>
      <c r="T321" s="812">
        <f t="shared" si="637"/>
        <v>0</v>
      </c>
      <c r="U321" s="812">
        <f>IF(AND(B321&gt;=FV321,B321&lt;=FW321),ED321+Sheet1!EH319,0)</f>
        <v>0</v>
      </c>
      <c r="V321" s="812"/>
      <c r="W321" s="812">
        <f t="shared" si="638"/>
        <v>52.12834110592938</v>
      </c>
      <c r="X321" s="812">
        <f t="shared" si="639"/>
        <v>58.06</v>
      </c>
      <c r="Y321" s="812" t="str">
        <f t="shared" si="640"/>
        <v/>
      </c>
      <c r="Z321" s="812">
        <f t="shared" si="641"/>
        <v>58.06</v>
      </c>
      <c r="AA321" s="812">
        <f t="shared" si="642"/>
        <v>58.06</v>
      </c>
      <c r="AB321" s="1059">
        <f t="shared" si="667"/>
        <v>0</v>
      </c>
      <c r="AC321" s="538">
        <f>Sheet1!Y319*MGDtoCFS</f>
        <v>42.697200000000002</v>
      </c>
      <c r="AD321" s="538">
        <f>Sheet1!Z319*MGDtoCFS</f>
        <v>48.854259999999996</v>
      </c>
      <c r="AE321" s="538">
        <f>Sheet1!AA319*MGDtoCFS</f>
        <v>43.408819999999999</v>
      </c>
      <c r="AF321" s="538">
        <f>Sheet1!AB319*MGDtoCFS</f>
        <v>46.41</v>
      </c>
      <c r="AG321" s="538">
        <f>Sheet1!L319*MGDtoCFS</f>
        <v>0</v>
      </c>
      <c r="AH321" s="521">
        <f t="shared" si="699"/>
        <v>0</v>
      </c>
      <c r="AI321" s="1059">
        <f t="shared" si="700"/>
        <v>0</v>
      </c>
      <c r="AJ321" s="535">
        <f t="shared" si="701"/>
        <v>0</v>
      </c>
      <c r="AK321" s="535">
        <f t="shared" si="702"/>
        <v>0</v>
      </c>
      <c r="AL321" s="535">
        <f>(VLOOKUP(Sheet1!DC319,hhdcap_wcm,4)-(((VLOOKUP(Sheet1!DC319,hhdcap_wcm,3)-Sheet1!DC319)/(VLOOKUP(Sheet1!DC319,hhdcap_wcm,3)-VLOOKUP(Sheet1!DC319,hhdcap_wcm,1)))*(VLOOKUP(Sheet1!DC319,hhdcap_wcm,4)-VLOOKUP(Sheet1!DC319,hhdcap_wcm,2))))</f>
        <v>1118.5000000032219</v>
      </c>
      <c r="AM321" s="535">
        <f t="shared" si="703"/>
        <v>-153.80000000014775</v>
      </c>
      <c r="AN321" s="1035">
        <f t="shared" si="704"/>
        <v>0</v>
      </c>
      <c r="AO321" s="535">
        <f t="shared" si="705"/>
        <v>0</v>
      </c>
      <c r="AP321" s="535">
        <f>Sheet1!BA319+Sheet1!BB319+Sheet1!BN319+CD321</f>
        <v>17.5</v>
      </c>
      <c r="AQ321" s="535">
        <f>Sheet1!BN319+(DO321*Sheet1!BN319)</f>
        <v>17.488341105929379</v>
      </c>
      <c r="AR321" s="535">
        <f>Sheet1!BA319+CD321</f>
        <v>0</v>
      </c>
      <c r="AS321" s="535">
        <f>Sheet1!BA319+Sheet1!BB319+CD321</f>
        <v>0</v>
      </c>
      <c r="AT321" s="649">
        <f>0</f>
        <v>0</v>
      </c>
      <c r="AU321" s="974">
        <f>BA321+MAX(Sheet1!EH319,(O321-Q321-ED321-S321))</f>
        <v>0</v>
      </c>
      <c r="AV321" s="535">
        <f>IF(OR(B321&gt;=GD321,B321&lt;GC321),0,15/36*K321-MAX(0,64.6-(137.6-(Sheet1!AA319+Sheet1!AB319))))</f>
        <v>0</v>
      </c>
      <c r="AW321" s="1029"/>
      <c r="AX321" s="649"/>
      <c r="AY321" s="649">
        <f t="shared" si="668"/>
        <v>23.311716569431731</v>
      </c>
      <c r="AZ321" s="649">
        <f t="shared" si="669"/>
        <v>0</v>
      </c>
      <c r="BA321" s="1059">
        <f t="shared" si="670"/>
        <v>0</v>
      </c>
      <c r="BB321" s="1019">
        <f t="shared" si="706"/>
        <v>0</v>
      </c>
      <c r="BC321" s="1041">
        <f t="shared" si="671"/>
        <v>26.933333333333334</v>
      </c>
      <c r="BD321" s="1019">
        <f ca="1">IF(B321&gt;(Summary!$A$1-1),#N/A,BB321*MGtoAF)</f>
        <v>0</v>
      </c>
      <c r="BE321" s="535">
        <f>Sheet1!BG319+Sheet1!BH319+Sheet1!BI319-BM321</f>
        <v>3.0300000000000002</v>
      </c>
      <c r="BF321" s="535">
        <f t="shared" si="707"/>
        <v>3.0279813457694873</v>
      </c>
      <c r="BG321" s="535">
        <f>IF(Sheet1!EP319="FM",BM321,0)</f>
        <v>0</v>
      </c>
      <c r="BH321" s="535">
        <f t="shared" si="708"/>
        <v>0</v>
      </c>
      <c r="BI321" s="535">
        <f>IF(Sheet1!EP319="OTHER",BM321,0)</f>
        <v>0</v>
      </c>
      <c r="BJ321" s="535">
        <f t="shared" si="709"/>
        <v>0</v>
      </c>
      <c r="BK321" s="535">
        <f t="shared" si="710"/>
        <v>3.0300000000000002</v>
      </c>
      <c r="BL321" s="535">
        <f t="shared" si="711"/>
        <v>3.0279813457694873</v>
      </c>
      <c r="BM321" s="535">
        <f>IF(OR(Sheet1!EP319="FM", Sheet1!EP319="OTHER"),SUM(Sheet1!BG319:'Sheet1'!BI319),0)</f>
        <v>0</v>
      </c>
      <c r="BN321" s="521">
        <f>IF(AND($B321&gt;=$FV321,$B321&lt;=$FW321),MAX(BF321,Sheet1!EI319,0),MAX(BF321-(7/36)*$K321,0))</f>
        <v>0</v>
      </c>
      <c r="BO321" s="535">
        <f t="shared" si="712"/>
        <v>0</v>
      </c>
      <c r="BP321" s="521">
        <f t="shared" si="713"/>
        <v>3.0279813457694873</v>
      </c>
      <c r="BQ321" s="521">
        <f>IF(AND($O321&gt;0,Sheet1!EM319=1),(1-($O321-Sheet1!$L319)/$O321)*BL321,0)</f>
        <v>0</v>
      </c>
      <c r="BR321" s="521">
        <f>IF(AND(Sheet1!$L319=0,Sheet1!$L318=0, Calculation!BK321&lt;Sheet1!$EI319-0.1,Sheet1!$EI319=Sheet1!$EI318,Sheet1!$EI319=Sheet1!$EI320),BL321-BQ321,BL321-BQ321)</f>
        <v>3.0279813457694873</v>
      </c>
      <c r="BS321" s="1035" t="str">
        <f t="shared" si="672"/>
        <v/>
      </c>
      <c r="BT321" s="1035">
        <f t="shared" si="673"/>
        <v>12.568888888888889</v>
      </c>
      <c r="BU321" s="535">
        <f t="shared" si="714"/>
        <v>0</v>
      </c>
      <c r="BV321" s="535"/>
      <c r="BW321" s="535">
        <f ca="1">IF(B321&gt;(Summary!$A$1-1),#N/A,BU321*MGtoAF)</f>
        <v>0</v>
      </c>
      <c r="BX321" s="535">
        <f>Sheet1!BC319+Sheet1!BD319+Sheet1!BE319+Sheet1!BF319-CG321-CH321</f>
        <v>3</v>
      </c>
      <c r="BY321" s="535">
        <f t="shared" si="715"/>
        <v>2.9980013324450367</v>
      </c>
      <c r="BZ321" s="535">
        <f>IF(Sheet1!EQ319="FM",CH321,0)</f>
        <v>0</v>
      </c>
      <c r="CA321" s="535">
        <f t="shared" si="716"/>
        <v>0</v>
      </c>
      <c r="CB321" s="535">
        <f>IF(Sheet1!EQ319="OTHER",CH321,0)</f>
        <v>0</v>
      </c>
      <c r="CC321" s="535">
        <f t="shared" si="717"/>
        <v>0</v>
      </c>
      <c r="CD321" s="535">
        <f t="shared" si="718"/>
        <v>0</v>
      </c>
      <c r="CE321" s="535">
        <f t="shared" si="719"/>
        <v>3</v>
      </c>
      <c r="CF321" s="535">
        <f t="shared" si="720"/>
        <v>2.9980013324450367</v>
      </c>
      <c r="CG321" s="535">
        <f>IF(Sheet1!EQ319="CWA",SUM(Sheet1!BC319:'Sheet1'!BF319),0)</f>
        <v>0</v>
      </c>
      <c r="CH321" s="535">
        <f>IF(OR(Sheet1!EQ319="FM", Sheet1!EQ319="OTHER"),SUM(Sheet1!BC319:'Sheet1'!BF319),0)</f>
        <v>0</v>
      </c>
      <c r="CI321" s="521">
        <f>IF(AND($B321&gt;=$FV321,$B321&lt;=$FW321),MAX(CF321,Sheet1!EJ319,0),MAX(CF321-(7/36)*$K321,0))</f>
        <v>0</v>
      </c>
      <c r="CJ321" s="535">
        <f t="shared" si="721"/>
        <v>0</v>
      </c>
      <c r="CK321" s="521">
        <f t="shared" si="722"/>
        <v>2.9980013324450367</v>
      </c>
      <c r="CL321" s="521">
        <f>IF(AND($O321&gt;0,Sheet1!EN319=1),(1-($O321-Sheet1!$L319)/$O321)*CF321,0)</f>
        <v>0</v>
      </c>
      <c r="CM321" s="521">
        <f>IF(AND(Sheet1!$L319=0,Sheet1!$L318=0, Calculation!CE321&lt;Sheet1!EJ319-0.1,Sheet1!EJ319=Sheet1!EJ318,Sheet1!EJ319=Sheet1!EJ320),CF321-CL321,CF321-CL321)</f>
        <v>2.9980013324450367</v>
      </c>
      <c r="CN321" s="1040" t="str">
        <f t="shared" si="674"/>
        <v/>
      </c>
      <c r="CO321" s="1035">
        <f t="shared" si="675"/>
        <v>12.568888888888889</v>
      </c>
      <c r="CP321" s="535">
        <f t="shared" si="723"/>
        <v>0</v>
      </c>
      <c r="CQ321" s="535"/>
      <c r="CR321" s="535">
        <f ca="1">IF(B321&gt;(Summary!$A$1-1),#N/A,CP321*MGtoAF)</f>
        <v>0</v>
      </c>
      <c r="CS321" s="535">
        <f>Sheet1!BK319+Sheet1!BL319+Sheet1!BM319-Sheet1!ER319-DA321</f>
        <v>6.49</v>
      </c>
      <c r="CT321" s="535">
        <f t="shared" si="724"/>
        <v>6.4856762158560963</v>
      </c>
      <c r="CU321" s="535">
        <f>IF(Sheet1!ER319="FM",DA321,0)</f>
        <v>0</v>
      </c>
      <c r="CV321" s="535">
        <f t="shared" si="725"/>
        <v>0</v>
      </c>
      <c r="CW321" s="535">
        <f>IF(Sheet1!ER319="OTHER",DA321,0)</f>
        <v>0</v>
      </c>
      <c r="CX321" s="535">
        <f t="shared" si="726"/>
        <v>0</v>
      </c>
      <c r="CY321" s="535">
        <f t="shared" si="727"/>
        <v>6.49</v>
      </c>
      <c r="CZ321" s="535">
        <f t="shared" si="728"/>
        <v>6.4856762158560963</v>
      </c>
      <c r="DA321" s="535">
        <f>IF(OR(Sheet1!ER319="FM", Sheet1!ER319="OTHER"),SUM(Sheet1!BK319:'Sheet1'!BM319),0)</f>
        <v>0</v>
      </c>
      <c r="DB321" s="1011">
        <f>IF(AND($B321&gt;=$FV321,$B321&lt;=$FW321),MAX($CT321,Sheet1!EK319,0),MAX($CT321-(7/36)*$K321,0))</f>
        <v>0</v>
      </c>
      <c r="DC321" s="1012">
        <f t="shared" si="729"/>
        <v>0</v>
      </c>
      <c r="DD321" s="1011">
        <f t="shared" si="730"/>
        <v>6.4856762158560963</v>
      </c>
      <c r="DE321" s="521">
        <f>IF(AND($O321&gt;0,Sheet1!EO319=1),(1-($O321-Sheet1!$L319)/$O321)*CZ321,0)</f>
        <v>0</v>
      </c>
      <c r="DF321" s="521">
        <f>IF(AND(Sheet1!$L319=0,Sheet1!$L318=0, Calculation!CY321&lt;Sheet1!$EK319-0.1,Sheet1!$EK319=Sheet1!$EK318,Sheet1!$EK319=Sheet1!$EK320),CZ321-DE321,CZ321-DE321)</f>
        <v>6.4856762158560963</v>
      </c>
      <c r="DG321" s="1040">
        <f t="shared" si="676"/>
        <v>12.568888888888889</v>
      </c>
      <c r="DH321" s="649">
        <f t="shared" si="731"/>
        <v>12.52</v>
      </c>
      <c r="DI321" s="535">
        <f t="shared" si="732"/>
        <v>0</v>
      </c>
      <c r="DJ321" s="649">
        <f t="shared" si="733"/>
        <v>12.511658894070621</v>
      </c>
      <c r="DK321" s="535">
        <f ca="1">IF(B321&gt;(Summary!$A$1-1),#N/A,DI321*MGtoAF)</f>
        <v>0</v>
      </c>
      <c r="DL321" s="649">
        <f t="shared" si="734"/>
        <v>12.52</v>
      </c>
      <c r="DM321" s="535">
        <f t="shared" si="735"/>
        <v>30.02</v>
      </c>
      <c r="DN321" s="535">
        <f>Sheet1!AB319-DM321</f>
        <v>-1.9999999999999574E-2</v>
      </c>
      <c r="DO321" s="743">
        <f t="shared" si="736"/>
        <v>-6.6622251832110506E-4</v>
      </c>
      <c r="DP321" s="535">
        <f>(VLOOKUP(Sheet1!DC319,hhdcap_wcm,4)-(((VLOOKUP(Sheet1!DC319,hhdcap_wcm,3)-Sheet1!DC319)/(VLOOKUP(Sheet1!DC319,hhdcap_wcm,3)-VLOOKUP(Sheet1!DC319,hhdcap_wcm,1)))*(VLOOKUP(Sheet1!DC319,hhdcap_wcm,4)-VLOOKUP(Sheet1!DC319,hhdcap_wcm,2))))</f>
        <v>1118.5000000032219</v>
      </c>
      <c r="DQ321" s="535">
        <f t="shared" si="737"/>
        <v>-153.80000000014775</v>
      </c>
      <c r="DR321" s="535">
        <f t="shared" si="738"/>
        <v>-77.559253656151142</v>
      </c>
      <c r="DS321" s="535">
        <f>Sheet1!EA319*AFtoMG</f>
        <v>0</v>
      </c>
      <c r="DT321" s="535">
        <f>Sheet1!EB319*AFtoMG</f>
        <v>0</v>
      </c>
      <c r="DU321" s="535">
        <f>Sheet1!EC319*AFtoMG</f>
        <v>0</v>
      </c>
      <c r="DV321" s="535">
        <f>Sheet1!ED319*AFtoMG</f>
        <v>0</v>
      </c>
      <c r="DW321" s="535">
        <f t="shared" si="739"/>
        <v>0</v>
      </c>
      <c r="DX321" s="535">
        <f t="shared" si="740"/>
        <v>0</v>
      </c>
      <c r="DY321" s="535">
        <f t="shared" si="741"/>
        <v>0</v>
      </c>
      <c r="DZ321" s="535">
        <f t="shared" si="742"/>
        <v>0</v>
      </c>
      <c r="EA321" s="535"/>
      <c r="EB321" s="521">
        <f>IF(OR(B321&lt;FV321,B321&gt;FW321),(MIN(BF321+BY321+CT321+MAX(Sheet1!AA319+AQ321-73,0),K321)),0)</f>
        <v>12.511658894070621</v>
      </c>
      <c r="EC321" s="535"/>
      <c r="ED321" s="535">
        <f t="shared" si="743"/>
        <v>12.511658894070621</v>
      </c>
      <c r="EE321" s="535"/>
      <c r="EF321" s="535">
        <f>Sheet1!EH319+Sheet1!EI319+Sheet1!EJ319+Sheet1!EK319</f>
        <v>12.5</v>
      </c>
      <c r="EG321" s="1019">
        <f t="shared" si="677"/>
        <v>19.337499999999999</v>
      </c>
      <c r="EH321" s="521">
        <f t="shared" si="744"/>
        <v>0</v>
      </c>
      <c r="EI321" s="535">
        <f>IF(Sheet1!ET319=1,SUM('Calculations II'!AT321:BA321)+'Calculations II'!BC321+Sheet1!BV319+'Calculations II'!BE321+AP321,'Calculations II'!BK321)</f>
        <v>47.928747105929375</v>
      </c>
      <c r="EJ321" s="535">
        <f ca="1">EI321+'Calculations II'!D321+'Calculations II'!E321+'Calculations II'!O321</f>
        <v>43.417241440407558</v>
      </c>
      <c r="EK321" s="535"/>
      <c r="EL321" s="535"/>
      <c r="EM321" s="535">
        <f t="shared" si="745"/>
        <v>43045</v>
      </c>
      <c r="EN321" s="535">
        <f t="shared" si="746"/>
        <v>0</v>
      </c>
      <c r="EO321" s="535">
        <f t="shared" si="747"/>
        <v>0</v>
      </c>
      <c r="EP321" s="535">
        <v>0</v>
      </c>
      <c r="EQ321" s="535">
        <v>0</v>
      </c>
      <c r="ER321" s="535">
        <v>0</v>
      </c>
      <c r="ES321" s="521">
        <f t="shared" si="643"/>
        <v>3.325711246356633</v>
      </c>
      <c r="ET321" s="535">
        <f>-(VLOOKUP(Sheet1!BQ319,Lookup!$O$4:$Q$262,2)-VLOOKUP(Sheet1!BQ318,Lookup!$O$4:$Q$262,2))/1000000</f>
        <v>1.6625479307491147</v>
      </c>
      <c r="EU321" s="535">
        <f>-(VLOOKUP(Sheet1!BR319,Lookup!$O$4:$Q$262,3)-VLOOKUP(Sheet1!BR318,Lookup!$O$4:$Q$262,3))/1000000</f>
        <v>1.6631633156075181</v>
      </c>
      <c r="EV321" s="535"/>
      <c r="EW321" s="535"/>
      <c r="EX321" s="535"/>
      <c r="EY321" s="535"/>
      <c r="EZ321" s="535"/>
      <c r="FA321" s="535"/>
      <c r="FB321" s="535"/>
      <c r="FC321" s="535"/>
      <c r="FD321" s="567">
        <f t="shared" si="693"/>
        <v>1087.7999999999674</v>
      </c>
      <c r="FE321" s="567" t="e">
        <f t="shared" si="748"/>
        <v>#N/A</v>
      </c>
      <c r="FF321" s="568" t="e">
        <f t="shared" si="749"/>
        <v>#N/A</v>
      </c>
      <c r="FG321" s="569" t="s">
        <v>656</v>
      </c>
      <c r="FH321" s="569" t="s">
        <v>656</v>
      </c>
      <c r="FI321" s="567" t="e">
        <v>#N/A</v>
      </c>
      <c r="FJ321" s="725">
        <v>2250</v>
      </c>
      <c r="FK321" s="535"/>
      <c r="FL321" s="1015">
        <f t="shared" si="692"/>
        <v>45.385779122541599</v>
      </c>
      <c r="FM321" s="535"/>
      <c r="FN321" s="535"/>
      <c r="FO321" s="535">
        <f>O321+((Sheet1!CS319)*GPMtoMGD)</f>
        <v>58.06</v>
      </c>
      <c r="FP321" s="535">
        <f>IF(Sheet1!AA319+AQ321&lt;=Calculation!N321,AQ321,Calculation!N321-Sheet1!AA319)</f>
        <v>17.488341105929379</v>
      </c>
      <c r="FQ321" s="535">
        <f>(Sheet1!BP319+Sheet1!BO319)/694.4</f>
        <v>1.1507776497695854</v>
      </c>
      <c r="FR321" s="541"/>
      <c r="FS321" s="541"/>
      <c r="FT321" s="541"/>
      <c r="FU321" s="541"/>
      <c r="FV321" s="1109">
        <f t="shared" si="644"/>
        <v>42918</v>
      </c>
      <c r="FW321" s="1109">
        <f t="shared" si="645"/>
        <v>43027</v>
      </c>
      <c r="FX321" s="541"/>
      <c r="FY321" s="541">
        <f>Sheet1!DA319-Sheet1!CZ319-Sheet1!AE319</f>
        <v>197.18117999999998</v>
      </c>
      <c r="FZ321" s="535">
        <f t="shared" si="678"/>
        <v>0.38857971383005041</v>
      </c>
      <c r="GA321" s="535"/>
      <c r="GB321" s="535" t="str">
        <f t="shared" si="646"/>
        <v>n</v>
      </c>
      <c r="GC321" s="539">
        <f t="shared" si="647"/>
        <v>42782</v>
      </c>
      <c r="GD321" s="1109">
        <f t="shared" si="648"/>
        <v>42904</v>
      </c>
      <c r="GE321" s="535">
        <f t="shared" si="664"/>
        <v>6520</v>
      </c>
      <c r="GF321" s="1109">
        <f t="shared" si="649"/>
        <v>42909</v>
      </c>
      <c r="GG321" s="535">
        <f t="shared" si="691"/>
        <v>3260</v>
      </c>
      <c r="GH321" s="539">
        <f t="shared" si="650"/>
        <v>43040</v>
      </c>
      <c r="GJ321" s="521">
        <f t="shared" si="651"/>
        <v>0</v>
      </c>
      <c r="GK321" s="535" t="str">
        <f t="shared" si="750"/>
        <v/>
      </c>
      <c r="GL321" s="535">
        <f t="shared" si="652"/>
        <v>0</v>
      </c>
      <c r="GM321" s="535" t="str">
        <f t="shared" si="653"/>
        <v/>
      </c>
      <c r="GN321" s="535">
        <f>IF(GK321="P",Lookup!$M$12,IF(GK321="PP",Lookup!$M$13,IF(GK321="PPP",Lookup!$M$14,IF(GK321="T",Lookup!$M$15,IF(GK321="TP",Lookup!$M$16,IF(GK321="TPP",Lookup!$M$17,IF(GK321="TPPP",Lookup!$M$18,0)))))))*GJ321</f>
        <v>0</v>
      </c>
      <c r="GO321" s="535">
        <f t="shared" si="654"/>
        <v>0</v>
      </c>
      <c r="GP321" s="535">
        <f t="shared" si="751"/>
        <v>0</v>
      </c>
      <c r="GQ321" s="974">
        <f t="shared" si="695"/>
        <v>0</v>
      </c>
      <c r="GR321" s="535"/>
      <c r="GS321" s="535">
        <f t="shared" si="655"/>
        <v>0</v>
      </c>
      <c r="GT321" s="535" t="str">
        <f t="shared" si="656"/>
        <v/>
      </c>
      <c r="GU321" s="535">
        <f>IF(GK321="P",Lookup!$N$12,IF(GK321="PP",Lookup!$N$13,IF(GK321="PPP",Lookup!$N$14,IF(GK321="T",Lookup!$N$15,IF(GK321="TP",Lookup!$N$16,IF(GK321="TPP",Lookup!$N$17,IF(GK321="TPPP",Lookup!$N$18,0)))))))*GJ321</f>
        <v>0</v>
      </c>
      <c r="GV321" s="535">
        <f t="shared" si="657"/>
        <v>0</v>
      </c>
      <c r="GW321" s="535">
        <f t="shared" si="752"/>
        <v>0</v>
      </c>
      <c r="GX321" s="974">
        <f t="shared" si="696"/>
        <v>0</v>
      </c>
      <c r="GY321" s="535"/>
      <c r="GZ321" s="535">
        <f t="shared" si="658"/>
        <v>0</v>
      </c>
      <c r="HA321" s="535" t="str">
        <f t="shared" si="659"/>
        <v/>
      </c>
      <c r="HB321" s="535">
        <f>IF(GK321="P",Lookup!$N$12,IF(GK321="PP",Lookup!$N$13,IF(GK321="PPP",Lookup!$N$14,IF(GK321="T",Lookup!$N$15,IF(GK321="TP",Lookup!$N$16,IF(GK321="TPP",Lookup!$N$17,IF(GK321="TPPP",Lookup!$N$18,0)))))))*GJ321</f>
        <v>0</v>
      </c>
      <c r="HC321" s="521">
        <f t="shared" si="753"/>
        <v>0</v>
      </c>
      <c r="HD321" s="535">
        <f t="shared" si="754"/>
        <v>0</v>
      </c>
      <c r="HE321" s="535">
        <f t="shared" si="662"/>
        <v>0</v>
      </c>
      <c r="HF321" s="535"/>
      <c r="HG321" s="535">
        <f t="shared" si="660"/>
        <v>0</v>
      </c>
      <c r="HH321" s="535" t="str">
        <f t="shared" si="661"/>
        <v/>
      </c>
      <c r="HI321" s="535">
        <f>IF(GK321="P",Lookup!$N$12,IF(GK321="PP",Lookup!$N$13,IF(GK321="PPP",Lookup!$N$14,IF(GK321="T",Lookup!$N$15,IF(GK321="TP",Lookup!$N$16,IF(GK321="TPP",Lookup!$N$17,IF(GK321="TPPP",Lookup!$N$18,0)))))))*GJ321</f>
        <v>0</v>
      </c>
      <c r="HJ321" s="521">
        <f t="shared" si="755"/>
        <v>0</v>
      </c>
      <c r="HK321" s="535">
        <f t="shared" si="756"/>
        <v>0</v>
      </c>
      <c r="HL321" s="535">
        <f t="shared" si="663"/>
        <v>0</v>
      </c>
      <c r="HM321" s="535"/>
      <c r="HN321" s="541"/>
      <c r="HO321" s="541"/>
      <c r="HP321" s="541"/>
      <c r="HQ321" s="541">
        <f>IF(AND(B321&gt;=$FV$4,B321&lt;=$FW$4),MAX(110/1.02+$HQ$6+MIN(113/1.02,G321),IF($HV$6-(Sheet1!DA319-Sheet1!DB319)+MIN(113/1.02,G321)&lt;G321+FL321,$HV$6-(Sheet1!DA319-Sheet1!DB319)+MIN(113/1.02,G321),G321+FL321)),MIN(110/1.02+$HQ$6+113/1.02,G321))</f>
        <v>218.62745098039215</v>
      </c>
      <c r="HR321" s="541">
        <f t="shared" si="679"/>
        <v>223</v>
      </c>
      <c r="HS321" s="541">
        <f>HR321+(Sheet1!DA319-Sheet1!DB319)</f>
        <v>574</v>
      </c>
      <c r="HT321" s="541">
        <f t="shared" si="680"/>
        <v>0</v>
      </c>
      <c r="HU321" s="541">
        <f t="shared" si="681"/>
        <v>574</v>
      </c>
      <c r="HV321" s="541">
        <f t="shared" si="682"/>
        <v>0</v>
      </c>
      <c r="HW321" s="533" t="str">
        <f t="shared" si="683"/>
        <v/>
      </c>
      <c r="HX321" s="541">
        <f t="shared" si="684"/>
        <v>366.37254901960785</v>
      </c>
      <c r="HY321" s="541">
        <f>Sheet1!CZ319</f>
        <v>585</v>
      </c>
      <c r="HZ321" s="541">
        <f t="shared" si="685"/>
        <v>0</v>
      </c>
      <c r="IA321" s="541">
        <f t="shared" si="686"/>
        <v>0</v>
      </c>
      <c r="IB321" s="541">
        <f t="shared" si="687"/>
        <v>585</v>
      </c>
      <c r="IC321" s="1019" t="str">
        <f t="shared" si="688"/>
        <v/>
      </c>
      <c r="ID321" s="541">
        <f t="shared" si="689"/>
        <v>585</v>
      </c>
      <c r="IE321" s="541">
        <f>Sheet1!DB319</f>
        <v>521</v>
      </c>
      <c r="IF321" s="533">
        <f>Sheet1!DA319</f>
        <v>872</v>
      </c>
      <c r="IH321" s="541">
        <f>IF(AND($B321&gt;=$GC321,$B321&lt;=$GH321,$DR321&lt;0)+N("only adjusted when pool is drawn down during storage season"),Sheet1!$DB319+$DR321+N("Palmer minus all storage release"),Sheet1!$DB319)</f>
        <v>521</v>
      </c>
      <c r="II321" s="541">
        <f>IF(AND($B321&gt;=$GC321,$B321&lt;=$GH321,$DR321&lt;0)+N("only adjusted when pool is drawn down during storage season"),Sheet1!$DA319+$DR321+N("Auburn minus all storage release"),Sheet1!$DA319)</f>
        <v>872</v>
      </c>
    </row>
    <row r="322" spans="1:243" x14ac:dyDescent="0.25">
      <c r="A322" s="553" t="s">
        <v>5</v>
      </c>
      <c r="B322" s="531">
        <v>43046</v>
      </c>
      <c r="C322" s="536">
        <v>0</v>
      </c>
      <c r="D322" s="506">
        <f t="shared" si="633"/>
        <v>300</v>
      </c>
      <c r="E322" s="506">
        <f t="shared" si="634"/>
        <v>250</v>
      </c>
      <c r="F322" s="506">
        <v>250</v>
      </c>
      <c r="G322" s="535">
        <f>DR322+Sheet1!CZ320</f>
        <v>344.19616742280624</v>
      </c>
      <c r="H322" s="1074">
        <f t="shared" si="690"/>
        <v>152.31405030399998</v>
      </c>
      <c r="I322" s="534">
        <f>IF(Sheet1!DA320&gt;=E322,(Sheet1!DA320-E322+P322)*CFStoMGD,0)</f>
        <v>430.912450304</v>
      </c>
      <c r="J322" s="995">
        <f>IF(Sheet1!DB320&gt;=D322,(Sheet1!DB320-D322+P322)*CFStoMGD,0)</f>
        <v>152.31405030399998</v>
      </c>
      <c r="K322" s="818">
        <f t="shared" si="665"/>
        <v>64.64</v>
      </c>
      <c r="L322" s="535">
        <f>Sheet1!AA320+Sheet1!AB320-Sheet1!L320+(Sheet1!DA320-F322)*CFStoMGD-S322-T322-U322</f>
        <v>371.03359999999998</v>
      </c>
      <c r="M322" s="535">
        <f t="shared" si="697"/>
        <v>226.93817067454401</v>
      </c>
      <c r="N322" s="824">
        <f>IF(Sheet1!DA320&gt;=F322,MIN(113*CFStoMGD,MIN(MAX(L322,0),MAX(M322,0))),0)</f>
        <v>73.043199999999999</v>
      </c>
      <c r="O322" s="538">
        <f>Sheet1!AA320+Sheet1!AB320</f>
        <v>59.879999999999995</v>
      </c>
      <c r="P322" s="538">
        <f t="shared" si="698"/>
        <v>92.634359999999987</v>
      </c>
      <c r="Q322" s="812">
        <f t="shared" si="666"/>
        <v>0</v>
      </c>
      <c r="R322" s="812">
        <f t="shared" si="635"/>
        <v>12.696090225563911</v>
      </c>
      <c r="S322" s="812">
        <f t="shared" si="636"/>
        <v>59.879999999999995</v>
      </c>
      <c r="T322" s="812">
        <f t="shared" si="637"/>
        <v>0</v>
      </c>
      <c r="U322" s="812">
        <f>IF(AND(B322&gt;=FV322,B322&lt;=FW322),ED322+Sheet1!EH320,0)</f>
        <v>0</v>
      </c>
      <c r="V322" s="812"/>
      <c r="W322" s="812">
        <f t="shared" si="638"/>
        <v>51.943909774436094</v>
      </c>
      <c r="X322" s="812">
        <f t="shared" si="639"/>
        <v>59.879999999999995</v>
      </c>
      <c r="Y322" s="812" t="str">
        <f t="shared" si="640"/>
        <v/>
      </c>
      <c r="Z322" s="812">
        <f t="shared" si="641"/>
        <v>59.879999999999995</v>
      </c>
      <c r="AA322" s="812">
        <f t="shared" si="642"/>
        <v>59.879999999999995</v>
      </c>
      <c r="AB322" s="1059">
        <f t="shared" si="667"/>
        <v>0</v>
      </c>
      <c r="AC322" s="538">
        <f>Sheet1!Y320*MGDtoCFS</f>
        <v>45.172399999999996</v>
      </c>
      <c r="AD322" s="538">
        <f>Sheet1!Z320*MGDtoCFS</f>
        <v>48.328279999999992</v>
      </c>
      <c r="AE322" s="538">
        <f>Sheet1!AA320*MGDtoCFS</f>
        <v>43.346939999999996</v>
      </c>
      <c r="AF322" s="538">
        <f>Sheet1!AB320*MGDtoCFS</f>
        <v>49.287419999999997</v>
      </c>
      <c r="AG322" s="538">
        <f>Sheet1!L320*MGDtoCFS</f>
        <v>0</v>
      </c>
      <c r="AH322" s="521">
        <f t="shared" si="699"/>
        <v>0</v>
      </c>
      <c r="AI322" s="1059">
        <f t="shared" si="700"/>
        <v>0</v>
      </c>
      <c r="AJ322" s="535">
        <f t="shared" si="701"/>
        <v>0</v>
      </c>
      <c r="AK322" s="535">
        <f t="shared" si="702"/>
        <v>0</v>
      </c>
      <c r="AL322" s="535">
        <f>(VLOOKUP(Sheet1!DC320,hhdcap_wcm,4)-(((VLOOKUP(Sheet1!DC320,hhdcap_wcm,3)-Sheet1!DC320)/(VLOOKUP(Sheet1!DC320,hhdcap_wcm,3)-VLOOKUP(Sheet1!DC320,hhdcap_wcm,1)))*(VLOOKUP(Sheet1!DC320,hhdcap_wcm,4)-VLOOKUP(Sheet1!DC320,hhdcap_wcm,2))))</f>
        <v>756.00000000264663</v>
      </c>
      <c r="AM322" s="535">
        <f t="shared" si="703"/>
        <v>-362.50000000057526</v>
      </c>
      <c r="AN322" s="1035">
        <f t="shared" si="704"/>
        <v>0</v>
      </c>
      <c r="AO322" s="535">
        <f t="shared" si="705"/>
        <v>0</v>
      </c>
      <c r="AP322" s="535">
        <f>Sheet1!BA320+Sheet1!BB320+Sheet1!BN320+CD322</f>
        <v>19.2</v>
      </c>
      <c r="AQ322" s="535">
        <f>Sheet1!BN320+(DO322*Sheet1!BN320)</f>
        <v>19.163909774436089</v>
      </c>
      <c r="AR322" s="535">
        <f>Sheet1!BA320+CD322</f>
        <v>0</v>
      </c>
      <c r="AS322" s="535">
        <f>Sheet1!BA320+Sheet1!BB320+CD322</f>
        <v>0</v>
      </c>
      <c r="AT322" s="649">
        <f>0</f>
        <v>0</v>
      </c>
      <c r="AU322" s="974">
        <f>BA322+MAX(Sheet1!EH320,(O322-Q322-ED322-S322))</f>
        <v>0</v>
      </c>
      <c r="AV322" s="535">
        <f>IF(OR(B322&gt;=GD322,B322&lt;GC322),0,15/36*K322-MAX(0,64.6-(137.6-(Sheet1!AA320+Sheet1!AB320))))</f>
        <v>0</v>
      </c>
      <c r="AW322" s="1029"/>
      <c r="AX322" s="649"/>
      <c r="AY322" s="649">
        <f t="shared" si="668"/>
        <v>23.311716569431731</v>
      </c>
      <c r="AZ322" s="649">
        <f t="shared" si="669"/>
        <v>0</v>
      </c>
      <c r="BA322" s="1059">
        <f t="shared" si="670"/>
        <v>0</v>
      </c>
      <c r="BB322" s="1019">
        <f t="shared" si="706"/>
        <v>0</v>
      </c>
      <c r="BC322" s="1041">
        <f t="shared" si="671"/>
        <v>26.933333333333334</v>
      </c>
      <c r="BD322" s="1019">
        <f ca="1">IF(B322&gt;(Summary!$A$1-1),#N/A,BB322*MGtoAF)</f>
        <v>0</v>
      </c>
      <c r="BE322" s="535">
        <f>Sheet1!BG320+Sheet1!BH320+Sheet1!BI320-BM322</f>
        <v>2.92</v>
      </c>
      <c r="BF322" s="535">
        <f t="shared" si="707"/>
        <v>2.9145112781954885</v>
      </c>
      <c r="BG322" s="535">
        <f>IF(Sheet1!EP320="FM",BM322,0)</f>
        <v>0</v>
      </c>
      <c r="BH322" s="535">
        <f t="shared" ref="BH322:BH323" si="758">BG322+(DO322*BG322)</f>
        <v>0</v>
      </c>
      <c r="BI322" s="535">
        <f>IF(Sheet1!EP320="OTHER",BM322,0)</f>
        <v>0</v>
      </c>
      <c r="BJ322" s="535">
        <f t="shared" ref="BJ322:BJ323" si="759">BI322+(DO322*BI322)</f>
        <v>0</v>
      </c>
      <c r="BK322" s="535">
        <f t="shared" ref="BK322:BK323" si="760">MAX(BE322,BG322,BI322)</f>
        <v>2.92</v>
      </c>
      <c r="BL322" s="535">
        <f t="shared" ref="BL322:BL323" si="761">MAX(BF322,BH322,BJ322)</f>
        <v>2.9145112781954885</v>
      </c>
      <c r="BM322" s="535">
        <f>IF(OR(Sheet1!EP320="FM", Sheet1!EP320="OTHER"),SUM(Sheet1!BG320:'Sheet1'!BI320),0)</f>
        <v>0</v>
      </c>
      <c r="BN322" s="521">
        <f>IF(AND($B322&gt;=$FV322,$B322&lt;=$FW322),MAX(BF322,Sheet1!EI320,0),MAX(BF322-(7/36)*$K322,0))</f>
        <v>0</v>
      </c>
      <c r="BO322" s="535">
        <f t="shared" ref="BO322:BO323" si="762">IF(B322&gt;=GC322,IF(B322&lt;=GD322,(7/36)*K322-BF322,0),0)</f>
        <v>0</v>
      </c>
      <c r="BP322" s="521">
        <f t="shared" ref="BP322:BP323" si="763">MAX(BL322-BN322,0)</f>
        <v>2.9145112781954885</v>
      </c>
      <c r="BQ322" s="521">
        <f>IF(AND($O322&gt;0,Sheet1!EM320=1),(1-($O322-Sheet1!$L320)/$O322)*BL322,0)</f>
        <v>0</v>
      </c>
      <c r="BR322" s="521">
        <f>IF(AND(Sheet1!$L320=0,Sheet1!$L319=0, Calculation!BK322&lt;Sheet1!$EI320-0.1,Sheet1!$EI320=Sheet1!$EI319,Sheet1!$EI320=Sheet1!$EI321),BL322-BQ322,BL322-BQ322)</f>
        <v>2.9145112781954885</v>
      </c>
      <c r="BS322" s="1035" t="str">
        <f t="shared" ref="BS322:BS323" si="764">IF(AND(B322&lt;=FV322,BR322&gt;BT322),BR322-BT322,"")</f>
        <v/>
      </c>
      <c r="BT322" s="1035">
        <f t="shared" ref="BT322:BT323" si="765">(7/36)*K322</f>
        <v>12.568888888888889</v>
      </c>
      <c r="BU322" s="535">
        <f t="shared" ref="BU322:BU323" si="766">GV322+GX322</f>
        <v>0</v>
      </c>
      <c r="BV322" s="535"/>
      <c r="BW322" s="535">
        <f ca="1">IF(B322&gt;(Summary!$A$1-1),#N/A,BU322*MGtoAF)</f>
        <v>0</v>
      </c>
      <c r="BX322" s="535">
        <f>Sheet1!BC320+Sheet1!BD320+Sheet1!BE320+Sheet1!BF320-CG322-CH322</f>
        <v>2.99</v>
      </c>
      <c r="BY322" s="535">
        <f t="shared" ref="BY322:BY323" si="767">BX322+(DO322*BX322)</f>
        <v>2.9843796992481204</v>
      </c>
      <c r="BZ322" s="535">
        <f>IF(Sheet1!EQ320="FM",CH322,0)</f>
        <v>0</v>
      </c>
      <c r="CA322" s="535">
        <f t="shared" ref="CA322:CA323" si="768">BZ322+(DO322*BZ322)</f>
        <v>0</v>
      </c>
      <c r="CB322" s="535">
        <f>IF(Sheet1!EQ320="OTHER",CH322,0)</f>
        <v>0</v>
      </c>
      <c r="CC322" s="535">
        <f t="shared" ref="CC322:CC323" si="769">CB322+(DO322*CB322)</f>
        <v>0</v>
      </c>
      <c r="CD322" s="535">
        <f t="shared" ref="CD322:CD323" si="770">CG322</f>
        <v>0</v>
      </c>
      <c r="CE322" s="535">
        <f t="shared" ref="CE322:CE323" si="771">MAX(BX322,BZ322,CB322)</f>
        <v>2.99</v>
      </c>
      <c r="CF322" s="535">
        <f t="shared" ref="CF322:CF323" si="772">MAX(BY322,CA322, CC322)</f>
        <v>2.9843796992481204</v>
      </c>
      <c r="CG322" s="535">
        <f>IF(Sheet1!EQ320="CWA",SUM(Sheet1!BC320:'Sheet1'!BF320),0)</f>
        <v>0</v>
      </c>
      <c r="CH322" s="535">
        <f>IF(OR(Sheet1!EQ320="FM", Sheet1!EQ320="OTHER"),SUM(Sheet1!BC320:'Sheet1'!BF320),0)</f>
        <v>0</v>
      </c>
      <c r="CI322" s="521">
        <f>IF(AND($B322&gt;=$FV322,$B322&lt;=$FW322),MAX(CF322,Sheet1!EJ320,0),MAX(CF322-(7/36)*$K322,0))</f>
        <v>0</v>
      </c>
      <c r="CJ322" s="535">
        <f t="shared" ref="CJ322:CJ323" si="773">IF(B322&gt;=GC322,IF(B322&lt;=GD322,(7/36)*K322-BY322,0),0)</f>
        <v>0</v>
      </c>
      <c r="CK322" s="521">
        <f t="shared" ref="CK322:CK323" si="774">MAX(CF322-CI322,0)</f>
        <v>2.9843796992481204</v>
      </c>
      <c r="CL322" s="521">
        <f>IF(AND($O322&gt;0,Sheet1!EN320=1),(1-($O322-Sheet1!$L320)/$O322)*CF322,0)</f>
        <v>0</v>
      </c>
      <c r="CM322" s="521">
        <f>IF(AND(Sheet1!$L320=0,Sheet1!$L319=0, Calculation!CE322&lt;Sheet1!EJ320-0.1,Sheet1!EJ320=Sheet1!EJ319,Sheet1!EJ320=Sheet1!EJ321),CF322-CL322,CF322-CL322)</f>
        <v>2.9843796992481204</v>
      </c>
      <c r="CN322" s="1040" t="str">
        <f t="shared" ref="CN322:CN323" si="775">IF(AND(B322&lt;=FV322,CM322&gt;CO322),CM322-CO322,"")</f>
        <v/>
      </c>
      <c r="CO322" s="1035">
        <f t="shared" ref="CO322:CO323" si="776">(7/36)*K322</f>
        <v>12.568888888888889</v>
      </c>
      <c r="CP322" s="535">
        <f t="shared" ref="CP322:CP323" si="777">HC322+HE322</f>
        <v>0</v>
      </c>
      <c r="CQ322" s="535"/>
      <c r="CR322" s="535">
        <f ca="1">IF(B322&gt;(Summary!$A$1-1),#N/A,CP322*MGtoAF)</f>
        <v>0</v>
      </c>
      <c r="CS322" s="535">
        <f>Sheet1!BK320+Sheet1!BL320+Sheet1!BM320-Sheet1!ER320-DA322</f>
        <v>6.8100000000000005</v>
      </c>
      <c r="CT322" s="535">
        <f t="shared" ref="CT322:CT323" si="778">CS322+(DO322*CS322)</f>
        <v>6.7971992481203012</v>
      </c>
      <c r="CU322" s="535">
        <f>IF(Sheet1!ER320="FM",DA322,0)</f>
        <v>0</v>
      </c>
      <c r="CV322" s="535">
        <f t="shared" ref="CV322:CV323" si="779">CU322+(DO322*CU322)</f>
        <v>0</v>
      </c>
      <c r="CW322" s="535">
        <f>IF(Sheet1!ER320="OTHER",DA322,0)</f>
        <v>0</v>
      </c>
      <c r="CX322" s="535">
        <f t="shared" ref="CX322:CX323" si="780">CW322+(DO322*CW322)</f>
        <v>0</v>
      </c>
      <c r="CY322" s="535">
        <f t="shared" ref="CY322:CY323" si="781">MAX(CS322,CU322)</f>
        <v>6.8100000000000005</v>
      </c>
      <c r="CZ322" s="535">
        <f t="shared" ref="CZ322:CZ323" si="782">MAX(CT322,CV322)</f>
        <v>6.7971992481203012</v>
      </c>
      <c r="DA322" s="535">
        <f>IF(OR(Sheet1!ER320="FM", Sheet1!ER320="OTHER"),SUM(Sheet1!BK320:'Sheet1'!BM320),0)</f>
        <v>0</v>
      </c>
      <c r="DB322" s="1011">
        <f>IF(AND($B322&gt;=$FV322,$B322&lt;=$FW322),MAX($CT322,Sheet1!EK320,0),MAX($CT322-(7/36)*$K322,0))</f>
        <v>0</v>
      </c>
      <c r="DC322" s="1012">
        <f t="shared" ref="DC322:DC323" si="783">IF(B322&gt;=GC322,IF(B322&lt;=GD322,(7/36)*K322-CT322,0),0)</f>
        <v>0</v>
      </c>
      <c r="DD322" s="1011">
        <f t="shared" ref="DD322:DD323" si="784">MAX(CZ322-DB322,0)</f>
        <v>6.7971992481203012</v>
      </c>
      <c r="DE322" s="521">
        <f>IF(AND($O322&gt;0,Sheet1!EO320=1),(1-($O322-Sheet1!$L320)/$O322)*CZ322,0)</f>
        <v>0</v>
      </c>
      <c r="DF322" s="521">
        <f>IF(AND(Sheet1!$L320=0,Sheet1!$L319=0, Calculation!CY322&lt;Sheet1!$EK320-0.1,Sheet1!$EK320=Sheet1!$EK319,Sheet1!$EK320=Sheet1!$EK321),CZ322-DE322,CZ322-DE322)</f>
        <v>6.7971992481203012</v>
      </c>
      <c r="DG322" s="1040">
        <f t="shared" si="676"/>
        <v>12.568888888888889</v>
      </c>
      <c r="DH322" s="649">
        <f t="shared" si="731"/>
        <v>12.72</v>
      </c>
      <c r="DI322" s="535">
        <f t="shared" si="732"/>
        <v>0</v>
      </c>
      <c r="DJ322" s="649">
        <f t="shared" si="733"/>
        <v>12.696090225563911</v>
      </c>
      <c r="DK322" s="535">
        <f ca="1">IF(B322&gt;(Summary!$A$1-1),#N/A,DI322*MGtoAF)</f>
        <v>0</v>
      </c>
      <c r="DL322" s="649">
        <f t="shared" si="734"/>
        <v>12.72</v>
      </c>
      <c r="DM322" s="535">
        <f t="shared" si="735"/>
        <v>31.92</v>
      </c>
      <c r="DN322" s="535">
        <f>Sheet1!AB320-DM322</f>
        <v>-6.0000000000002274E-2</v>
      </c>
      <c r="DO322" s="743">
        <f t="shared" si="736"/>
        <v>-1.879699248120372E-3</v>
      </c>
      <c r="DP322" s="535">
        <f>(VLOOKUP(Sheet1!DC320,hhdcap_wcm,4)-(((VLOOKUP(Sheet1!DC320,hhdcap_wcm,3)-Sheet1!DC320)/(VLOOKUP(Sheet1!DC320,hhdcap_wcm,3)-VLOOKUP(Sheet1!DC320,hhdcap_wcm,1)))*(VLOOKUP(Sheet1!DC320,hhdcap_wcm,4)-VLOOKUP(Sheet1!DC320,hhdcap_wcm,2))))</f>
        <v>756.00000000264663</v>
      </c>
      <c r="DQ322" s="535">
        <f t="shared" si="737"/>
        <v>-362.50000000057526</v>
      </c>
      <c r="DR322" s="535">
        <f t="shared" si="738"/>
        <v>-182.80383257719376</v>
      </c>
      <c r="DS322" s="535">
        <f>Sheet1!EA320*AFtoMG</f>
        <v>0</v>
      </c>
      <c r="DT322" s="535">
        <f>Sheet1!EB320*AFtoMG</f>
        <v>0</v>
      </c>
      <c r="DU322" s="535">
        <f>Sheet1!EC320*AFtoMG</f>
        <v>0</v>
      </c>
      <c r="DV322" s="535">
        <f>Sheet1!ED320*AFtoMG</f>
        <v>0</v>
      </c>
      <c r="DW322" s="535">
        <f t="shared" si="739"/>
        <v>0</v>
      </c>
      <c r="DX322" s="535">
        <f t="shared" si="740"/>
        <v>0</v>
      </c>
      <c r="DY322" s="535">
        <f t="shared" si="741"/>
        <v>0</v>
      </c>
      <c r="DZ322" s="535">
        <f t="shared" si="742"/>
        <v>0</v>
      </c>
      <c r="EA322" s="535"/>
      <c r="EB322" s="521">
        <f>IF(OR(B322&lt;FV322,B322&gt;FW322),(MIN(BF322+BY322+CT322+MAX(Sheet1!AA320+AQ322-73,0),K322)),0)</f>
        <v>12.696090225563911</v>
      </c>
      <c r="EC322" s="535"/>
      <c r="ED322" s="535">
        <f t="shared" si="743"/>
        <v>12.696090225563911</v>
      </c>
      <c r="EE322" s="535"/>
      <c r="EF322" s="535">
        <f>Sheet1!EH320+Sheet1!EI320+Sheet1!EJ320+Sheet1!EK320</f>
        <v>12.5</v>
      </c>
      <c r="EG322" s="1019">
        <f t="shared" si="677"/>
        <v>19.337499999999999</v>
      </c>
      <c r="EH322" s="521">
        <f t="shared" si="744"/>
        <v>0</v>
      </c>
      <c r="EI322" s="535">
        <f>IF(Sheet1!ET320=1,SUM('Calculations II'!AT322:BA322)+'Calculations II'!BC322+Sheet1!BV320+'Calculations II'!BE322+AP322,'Calculations II'!BK322)</f>
        <v>45.60009377443609</v>
      </c>
      <c r="EJ322" s="535">
        <f ca="1">EI322+'Calculations II'!D322+'Calculations II'!E322+'Calculations II'!O322</f>
        <v>46.812958570435306</v>
      </c>
      <c r="EK322" s="535"/>
      <c r="EL322" s="535"/>
      <c r="EM322" s="535">
        <f t="shared" si="745"/>
        <v>43046</v>
      </c>
      <c r="EN322" s="535">
        <f t="shared" si="746"/>
        <v>0</v>
      </c>
      <c r="EO322" s="535">
        <f t="shared" si="747"/>
        <v>0</v>
      </c>
      <c r="EP322" s="535">
        <v>0</v>
      </c>
      <c r="EQ322" s="535">
        <v>0</v>
      </c>
      <c r="ER322" s="535">
        <v>0</v>
      </c>
      <c r="ES322" s="521">
        <f t="shared" si="643"/>
        <v>-0.96983565401151028</v>
      </c>
      <c r="ET322" s="535">
        <f>-(VLOOKUP(Sheet1!BQ320,Lookup!$O$4:$Q$262,2)-VLOOKUP(Sheet1!BQ319,Lookup!$O$4:$Q$262,2))/1000000</f>
        <v>-0.41555045416807385</v>
      </c>
      <c r="EU322" s="535">
        <f>-(VLOOKUP(Sheet1!BR320,Lookup!$O$4:$Q$262,3)-VLOOKUP(Sheet1!BR319,Lookup!$O$4:$Q$262,3))/1000000</f>
        <v>-0.55428519984343649</v>
      </c>
      <c r="EV322" s="535"/>
      <c r="EW322" s="535"/>
      <c r="EX322" s="535"/>
      <c r="EY322" s="535"/>
      <c r="EZ322" s="535"/>
      <c r="FA322" s="535"/>
      <c r="FB322" s="535"/>
      <c r="FC322" s="535"/>
      <c r="FD322" s="567">
        <f t="shared" si="693"/>
        <v>1087.2944444444124</v>
      </c>
      <c r="FE322" s="567" t="e">
        <f t="shared" si="748"/>
        <v>#N/A</v>
      </c>
      <c r="FF322" s="568" t="e">
        <f t="shared" si="749"/>
        <v>#N/A</v>
      </c>
      <c r="FG322" s="569" t="s">
        <v>656</v>
      </c>
      <c r="FH322" s="569" t="s">
        <v>656</v>
      </c>
      <c r="FI322" s="567" t="e">
        <v>#N/A</v>
      </c>
      <c r="FJ322" s="725">
        <v>2160</v>
      </c>
      <c r="FK322" s="535"/>
      <c r="FL322" s="1015">
        <f t="shared" ref="FL322:FL353" si="785">(FJ322-FJ323)/1.983</f>
        <v>45.385779122541599</v>
      </c>
      <c r="FM322" s="535"/>
      <c r="FN322" s="535"/>
      <c r="FO322" s="535">
        <f>O322+((Sheet1!CS320)*GPMtoMGD)</f>
        <v>59.879999999999995</v>
      </c>
      <c r="FP322" s="535">
        <f>IF(Sheet1!AA320+AQ322&lt;=Calculation!N322,AQ322,Calculation!N322-Sheet1!AA320)</f>
        <v>19.163909774436089</v>
      </c>
      <c r="FQ322" s="535">
        <f>(Sheet1!BP320+Sheet1!BO320)/694.4</f>
        <v>1.9935195852534562</v>
      </c>
      <c r="FR322" s="541"/>
      <c r="FS322" s="541"/>
      <c r="FT322" s="541"/>
      <c r="FU322" s="541"/>
      <c r="FV322" s="1109">
        <f t="shared" si="644"/>
        <v>42918</v>
      </c>
      <c r="FW322" s="1109">
        <f t="shared" si="645"/>
        <v>43027</v>
      </c>
      <c r="FX322" s="541"/>
      <c r="FY322" s="541">
        <f>Sheet1!DA320-Sheet1!CZ320-Sheet1!AE320</f>
        <v>204.36564000000001</v>
      </c>
      <c r="FZ322" s="535">
        <f t="shared" si="678"/>
        <v>0.59374757577983095</v>
      </c>
      <c r="GA322" s="535"/>
      <c r="GB322" s="535" t="str">
        <f t="shared" si="646"/>
        <v>n</v>
      </c>
      <c r="GC322" s="539">
        <f t="shared" si="647"/>
        <v>42782</v>
      </c>
      <c r="GD322" s="1109">
        <f t="shared" si="648"/>
        <v>42904</v>
      </c>
      <c r="GE322" s="535">
        <f t="shared" si="664"/>
        <v>6520</v>
      </c>
      <c r="GF322" s="1109">
        <f t="shared" si="649"/>
        <v>42909</v>
      </c>
      <c r="GG322" s="535">
        <f t="shared" si="691"/>
        <v>3260</v>
      </c>
      <c r="GH322" s="539">
        <f t="shared" si="650"/>
        <v>43040</v>
      </c>
      <c r="GJ322" s="521">
        <f t="shared" si="651"/>
        <v>0</v>
      </c>
      <c r="GK322" s="535" t="str">
        <f t="shared" si="750"/>
        <v/>
      </c>
      <c r="GL322" s="535">
        <f t="shared" si="652"/>
        <v>0</v>
      </c>
      <c r="GM322" s="535" t="str">
        <f t="shared" si="653"/>
        <v/>
      </c>
      <c r="GN322" s="535">
        <f>IF(GK322="P",Lookup!$M$12,IF(GK322="PP",Lookup!$M$13,IF(GK322="PPP",Lookup!$M$14,IF(GK322="T",Lookup!$M$15,IF(GK322="TP",Lookup!$M$16,IF(GK322="TPP",Lookup!$M$17,IF(GK322="TPPP",Lookup!$M$18,0)))))))*GJ322</f>
        <v>0</v>
      </c>
      <c r="GO322" s="535">
        <f t="shared" si="654"/>
        <v>0</v>
      </c>
      <c r="GP322" s="535">
        <f t="shared" si="751"/>
        <v>0</v>
      </c>
      <c r="GQ322" s="974">
        <f t="shared" si="695"/>
        <v>0</v>
      </c>
      <c r="GR322" s="535"/>
      <c r="GS322" s="535">
        <f t="shared" si="655"/>
        <v>0</v>
      </c>
      <c r="GT322" s="535" t="str">
        <f t="shared" si="656"/>
        <v/>
      </c>
      <c r="GU322" s="535">
        <f>IF(GK322="P",Lookup!$N$12,IF(GK322="PP",Lookup!$N$13,IF(GK322="PPP",Lookup!$N$14,IF(GK322="T",Lookup!$N$15,IF(GK322="TP",Lookup!$N$16,IF(GK322="TPP",Lookup!$N$17,IF(GK322="TPPP",Lookup!$N$18,0)))))))*GJ322</f>
        <v>0</v>
      </c>
      <c r="GV322" s="535">
        <f t="shared" si="657"/>
        <v>0</v>
      </c>
      <c r="GW322" s="535">
        <f t="shared" si="752"/>
        <v>0</v>
      </c>
      <c r="GX322" s="974">
        <f t="shared" si="696"/>
        <v>0</v>
      </c>
      <c r="GY322" s="535"/>
      <c r="GZ322" s="535">
        <f t="shared" si="658"/>
        <v>0</v>
      </c>
      <c r="HA322" s="535" t="str">
        <f t="shared" si="659"/>
        <v/>
      </c>
      <c r="HB322" s="535">
        <f>IF(GK322="P",Lookup!$N$12,IF(GK322="PP",Lookup!$N$13,IF(GK322="PPP",Lookup!$N$14,IF(GK322="T",Lookup!$N$15,IF(GK322="TP",Lookup!$N$16,IF(GK322="TPP",Lookup!$N$17,IF(GK322="TPPP",Lookup!$N$18,0)))))))*GJ322</f>
        <v>0</v>
      </c>
      <c r="HC322" s="521">
        <f t="shared" si="753"/>
        <v>0</v>
      </c>
      <c r="HD322" s="535">
        <f t="shared" si="754"/>
        <v>0</v>
      </c>
      <c r="HE322" s="535">
        <f t="shared" si="662"/>
        <v>0</v>
      </c>
      <c r="HF322" s="535"/>
      <c r="HG322" s="535">
        <f t="shared" si="660"/>
        <v>0</v>
      </c>
      <c r="HH322" s="535" t="str">
        <f t="shared" si="661"/>
        <v/>
      </c>
      <c r="HI322" s="535">
        <f>IF(GK322="P",Lookup!$N$12,IF(GK322="PP",Lookup!$N$13,IF(GK322="PPP",Lookup!$N$14,IF(GK322="T",Lookup!$N$15,IF(GK322="TP",Lookup!$N$16,IF(GK322="TPP",Lookup!$N$17,IF(GK322="TPPP",Lookup!$N$18,0)))))))*GJ322</f>
        <v>0</v>
      </c>
      <c r="HJ322" s="521">
        <f t="shared" si="755"/>
        <v>0</v>
      </c>
      <c r="HK322" s="535">
        <f t="shared" si="756"/>
        <v>0</v>
      </c>
      <c r="HL322" s="535">
        <f t="shared" si="663"/>
        <v>0</v>
      </c>
      <c r="HM322" s="535"/>
      <c r="HN322" s="541"/>
      <c r="HO322" s="541"/>
      <c r="HP322" s="541"/>
      <c r="HQ322" s="541">
        <f>IF(AND(B322&gt;=$FV$4,B322&lt;=$FW$4),MAX(110/1.02+$HQ$6+MIN(113/1.02,G322),IF($HV$6-(Sheet1!DA320-Sheet1!DB320)+MIN(113/1.02,G322)&lt;G322+FL322,$HV$6-(Sheet1!DA320-Sheet1!DB320)+MIN(113/1.02,G322),G322+FL322)),MIN(110/1.02+$HQ$6+113/1.02,G322))</f>
        <v>218.62745098039215</v>
      </c>
      <c r="HR322" s="541">
        <f t="shared" si="679"/>
        <v>223</v>
      </c>
      <c r="HS322" s="541">
        <f>HR322+(Sheet1!DA320-Sheet1!DB320)</f>
        <v>604</v>
      </c>
      <c r="HT322" s="541">
        <f t="shared" si="680"/>
        <v>0</v>
      </c>
      <c r="HU322" s="541">
        <f t="shared" si="681"/>
        <v>604</v>
      </c>
      <c r="HV322" s="541">
        <f t="shared" si="682"/>
        <v>0</v>
      </c>
      <c r="HW322" s="533" t="str">
        <f t="shared" si="683"/>
        <v/>
      </c>
      <c r="HX322" s="541">
        <f t="shared" si="684"/>
        <v>308.37254901960785</v>
      </c>
      <c r="HY322" s="541">
        <f>Sheet1!CZ320</f>
        <v>527</v>
      </c>
      <c r="HZ322" s="541">
        <f t="shared" si="685"/>
        <v>0</v>
      </c>
      <c r="IA322" s="541">
        <f t="shared" si="686"/>
        <v>0</v>
      </c>
      <c r="IB322" s="541">
        <f t="shared" si="687"/>
        <v>527</v>
      </c>
      <c r="IC322" s="1019" t="str">
        <f t="shared" si="688"/>
        <v/>
      </c>
      <c r="ID322" s="541">
        <f t="shared" si="689"/>
        <v>527</v>
      </c>
      <c r="IE322" s="541">
        <f>Sheet1!DB320</f>
        <v>443</v>
      </c>
      <c r="IF322" s="533">
        <f>Sheet1!DA320</f>
        <v>824</v>
      </c>
      <c r="IH322" s="541">
        <f>IF(AND($B322&gt;=$GC322,$B322&lt;=$GH322,$DR322&lt;0)+N("only adjusted when pool is drawn down during storage season"),Sheet1!$DB320+$DR322+N("Palmer minus all storage release"),Sheet1!$DB320)</f>
        <v>443</v>
      </c>
      <c r="II322" s="541">
        <f>IF(AND($B322&gt;=$GC322,$B322&lt;=$GH322,$DR322&lt;0)+N("only adjusted when pool is drawn down during storage season"),Sheet1!$DA320+$DR322+N("Auburn minus all storage release"),Sheet1!$DA320)</f>
        <v>824</v>
      </c>
    </row>
    <row r="323" spans="1:243" x14ac:dyDescent="0.25">
      <c r="A323" s="553" t="s">
        <v>6</v>
      </c>
      <c r="B323" s="531">
        <v>43047</v>
      </c>
      <c r="C323" s="536">
        <v>0</v>
      </c>
      <c r="D323" s="506">
        <f t="shared" si="633"/>
        <v>300</v>
      </c>
      <c r="E323" s="506">
        <f t="shared" si="634"/>
        <v>250</v>
      </c>
      <c r="F323" s="506">
        <v>250</v>
      </c>
      <c r="G323" s="535">
        <f>DR323+Sheet1!CZ321</f>
        <v>299.00706000981745</v>
      </c>
      <c r="H323" s="1074">
        <f t="shared" si="690"/>
        <v>80.510826495999993</v>
      </c>
      <c r="I323" s="534">
        <f>IF(Sheet1!DA321&gt;=E323,(Sheet1!DA321-E323+P323)*CFStoMGD,0)</f>
        <v>335.83882649599997</v>
      </c>
      <c r="J323" s="995">
        <f>IF(Sheet1!DB321&gt;=D323,(Sheet1!DB321-D323+P323)*CFStoMGD,0)</f>
        <v>80.510826495999993</v>
      </c>
      <c r="K323" s="818">
        <f t="shared" si="665"/>
        <v>64.64</v>
      </c>
      <c r="L323" s="535">
        <f>Sheet1!AA321+Sheet1!AB321-Sheet1!L321+(Sheet1!DA321-F323)*CFStoMGD-S323-T323-U323</f>
        <v>249.12000000000143</v>
      </c>
      <c r="M323" s="535">
        <f t="shared" si="697"/>
        <v>197.14372686215293</v>
      </c>
      <c r="N323" s="824">
        <f>IF(Sheet1!DA321&gt;=F323,MIN(113*CFStoMGD,MIN(MAX(L323,0),MAX(M323,0))),0)</f>
        <v>73.043199999999999</v>
      </c>
      <c r="O323" s="538">
        <f>Sheet1!AA321+Sheet1!AB321</f>
        <v>61.12</v>
      </c>
      <c r="P323" s="538">
        <f t="shared" si="698"/>
        <v>94.552639999999997</v>
      </c>
      <c r="Q323" s="812">
        <f t="shared" si="666"/>
        <v>0</v>
      </c>
      <c r="R323" s="812">
        <f t="shared" si="635"/>
        <v>12.526759371221281</v>
      </c>
      <c r="S323" s="812">
        <f t="shared" si="636"/>
        <v>61.12</v>
      </c>
      <c r="T323" s="812">
        <f t="shared" si="637"/>
        <v>0</v>
      </c>
      <c r="U323" s="812">
        <f>IF(AND(B323&gt;=FV323,B323&lt;=FW323),ED323+Sheet1!EH321,0)</f>
        <v>0</v>
      </c>
      <c r="V323" s="812"/>
      <c r="W323" s="812">
        <f t="shared" si="638"/>
        <v>52.113240628778719</v>
      </c>
      <c r="X323" s="812">
        <f t="shared" si="639"/>
        <v>61.12</v>
      </c>
      <c r="Y323" s="812" t="str">
        <f t="shared" si="640"/>
        <v/>
      </c>
      <c r="Z323" s="812">
        <f t="shared" si="641"/>
        <v>61.12</v>
      </c>
      <c r="AA323" s="812">
        <f t="shared" si="642"/>
        <v>61.12</v>
      </c>
      <c r="AB323" s="1059">
        <f t="shared" si="667"/>
        <v>0</v>
      </c>
      <c r="AC323" s="538">
        <f>Sheet1!Y321*MGDtoCFS</f>
        <v>43.346939999999996</v>
      </c>
      <c r="AD323" s="538">
        <f>Sheet1!Z321*MGDtoCFS</f>
        <v>49.287419999999997</v>
      </c>
      <c r="AE323" s="538">
        <f>Sheet1!AA321*MGDtoCFS</f>
        <v>43.594459999999998</v>
      </c>
      <c r="AF323" s="538">
        <f>Sheet1!AB321*MGDtoCFS</f>
        <v>50.958179999999992</v>
      </c>
      <c r="AG323" s="538">
        <f>Sheet1!L321*MGDtoCFS</f>
        <v>39.603199999997749</v>
      </c>
      <c r="AH323" s="521">
        <f t="shared" si="699"/>
        <v>0</v>
      </c>
      <c r="AI323" s="1059">
        <f t="shared" si="700"/>
        <v>0</v>
      </c>
      <c r="AJ323" s="535">
        <f t="shared" si="701"/>
        <v>0</v>
      </c>
      <c r="AK323" s="535">
        <f t="shared" si="702"/>
        <v>0</v>
      </c>
      <c r="AL323" s="535">
        <f>(VLOOKUP(Sheet1!DC321,hhdcap_wcm,4)-(((VLOOKUP(Sheet1!DC321,hhdcap_wcm,3)-Sheet1!DC321)/(VLOOKUP(Sheet1!DC321,hhdcap_wcm,3)-VLOOKUP(Sheet1!DC321,hhdcap_wcm,1)))*(VLOOKUP(Sheet1!DC321,hhdcap_wcm,4)-VLOOKUP(Sheet1!DC321,hhdcap_wcm,2))))</f>
        <v>641.00000000211458</v>
      </c>
      <c r="AM323" s="535">
        <f t="shared" si="703"/>
        <v>-115.00000000053205</v>
      </c>
      <c r="AN323" s="1035">
        <f t="shared" si="704"/>
        <v>0</v>
      </c>
      <c r="AO323" s="535">
        <f t="shared" si="705"/>
        <v>0</v>
      </c>
      <c r="AP323" s="535">
        <f>Sheet1!BA321+Sheet1!BB321+Sheet1!BN321+CD323</f>
        <v>20.5</v>
      </c>
      <c r="AQ323" s="535">
        <f>Sheet1!BN321+(DO323*Sheet1!BN321)</f>
        <v>20.413240628778716</v>
      </c>
      <c r="AR323" s="535">
        <f>Sheet1!BA321+CD323</f>
        <v>0</v>
      </c>
      <c r="AS323" s="535">
        <f>Sheet1!BA321+Sheet1!BB321+CD323</f>
        <v>0</v>
      </c>
      <c r="AT323" s="649">
        <f>0</f>
        <v>0</v>
      </c>
      <c r="AU323" s="974">
        <f>BA323+MAX(Sheet1!EH321,(O323-Q323-ED323-S323))</f>
        <v>0</v>
      </c>
      <c r="AV323" s="535">
        <f>IF(OR(B323&gt;=GD323,B323&lt;GC323),0,15/36*K323-MAX(0,64.6-(137.6-(Sheet1!AA321+Sheet1!AB321))))</f>
        <v>0</v>
      </c>
      <c r="AW323" s="1029"/>
      <c r="AX323" s="649"/>
      <c r="AY323" s="649">
        <f t="shared" si="668"/>
        <v>23.311716569431731</v>
      </c>
      <c r="AZ323" s="649">
        <f t="shared" si="669"/>
        <v>0</v>
      </c>
      <c r="BA323" s="1059">
        <f t="shared" si="670"/>
        <v>0</v>
      </c>
      <c r="BB323" s="1019">
        <f t="shared" si="706"/>
        <v>0</v>
      </c>
      <c r="BC323" s="1041">
        <f t="shared" si="671"/>
        <v>26.933333333333334</v>
      </c>
      <c r="BD323" s="1019">
        <f ca="1">IF(B323&gt;(Summary!$A$1-1),#N/A,BB323*MGtoAF)</f>
        <v>0</v>
      </c>
      <c r="BE323" s="535">
        <f>Sheet1!BG321+Sheet1!BH321+Sheet1!BI321-BM323</f>
        <v>2.84</v>
      </c>
      <c r="BF323" s="535">
        <f t="shared" si="707"/>
        <v>2.8279806529625149</v>
      </c>
      <c r="BG323" s="535">
        <f>IF(Sheet1!EP321="FM",BM323,0)</f>
        <v>0</v>
      </c>
      <c r="BH323" s="535">
        <f t="shared" si="758"/>
        <v>0</v>
      </c>
      <c r="BI323" s="535">
        <f>IF(Sheet1!EP321="OTHER",BM323,0)</f>
        <v>0</v>
      </c>
      <c r="BJ323" s="535">
        <f t="shared" si="759"/>
        <v>0</v>
      </c>
      <c r="BK323" s="535">
        <f t="shared" si="760"/>
        <v>2.84</v>
      </c>
      <c r="BL323" s="535">
        <f t="shared" si="761"/>
        <v>2.8279806529625149</v>
      </c>
      <c r="BM323" s="535">
        <f>IF(OR(Sheet1!EP321="FM", Sheet1!EP321="OTHER"),SUM(Sheet1!BG321:'Sheet1'!BI321),0)</f>
        <v>0</v>
      </c>
      <c r="BN323" s="521">
        <f>IF(AND($B323&gt;=$FV323,$B323&lt;=$FW323),MAX(BF323,Sheet1!EI321,0),MAX(BF323-(7/36)*$K323,0))</f>
        <v>0</v>
      </c>
      <c r="BO323" s="535">
        <f t="shared" si="762"/>
        <v>0</v>
      </c>
      <c r="BP323" s="521">
        <f t="shared" si="763"/>
        <v>2.8279806529625149</v>
      </c>
      <c r="BQ323" s="521">
        <f>IF(AND($O323&gt;0,Sheet1!EM321=1),(1-($O323-Sheet1!$L321)/$O323)*BL323,0)</f>
        <v>0</v>
      </c>
      <c r="BR323" s="521">
        <f>IF(AND(Sheet1!$L321=0,Sheet1!$L320=0, Calculation!BK323&lt;Sheet1!$EI321-0.1,Sheet1!$EI321=Sheet1!$EI320,Sheet1!$EI321=Sheet1!$EI322),BL323-BQ323,BL323-BQ323)</f>
        <v>2.8279806529625149</v>
      </c>
      <c r="BS323" s="1035" t="str">
        <f t="shared" si="764"/>
        <v/>
      </c>
      <c r="BT323" s="1035">
        <f t="shared" si="765"/>
        <v>12.568888888888889</v>
      </c>
      <c r="BU323" s="535">
        <f t="shared" si="766"/>
        <v>0</v>
      </c>
      <c r="BV323" s="535"/>
      <c r="BW323" s="535">
        <f ca="1">IF(B323&gt;(Summary!$A$1-1),#N/A,BU323*MGtoAF)</f>
        <v>0</v>
      </c>
      <c r="BX323" s="535">
        <f>Sheet1!BC321+Sheet1!BD321+Sheet1!BE321+Sheet1!BF321-CG323-CH323</f>
        <v>2.99</v>
      </c>
      <c r="BY323" s="535">
        <f t="shared" si="767"/>
        <v>2.9773458282950425</v>
      </c>
      <c r="BZ323" s="535">
        <f>IF(Sheet1!EQ321="FM",CH323,0)</f>
        <v>0</v>
      </c>
      <c r="CA323" s="535">
        <f t="shared" si="768"/>
        <v>0</v>
      </c>
      <c r="CB323" s="535">
        <f>IF(Sheet1!EQ321="OTHER",CH323,0)</f>
        <v>0</v>
      </c>
      <c r="CC323" s="535">
        <f t="shared" si="769"/>
        <v>0</v>
      </c>
      <c r="CD323" s="535">
        <f t="shared" si="770"/>
        <v>0</v>
      </c>
      <c r="CE323" s="535">
        <f t="shared" si="771"/>
        <v>2.99</v>
      </c>
      <c r="CF323" s="535">
        <f t="shared" si="772"/>
        <v>2.9773458282950425</v>
      </c>
      <c r="CG323" s="535">
        <f>IF(Sheet1!EQ321="CWA",SUM(Sheet1!BC321:'Sheet1'!BF321),0)</f>
        <v>0</v>
      </c>
      <c r="CH323" s="535">
        <f>IF(OR(Sheet1!EQ321="FM", Sheet1!EQ321="OTHER"),SUM(Sheet1!BC321:'Sheet1'!BF321),0)</f>
        <v>0</v>
      </c>
      <c r="CI323" s="521">
        <f>IF(AND($B323&gt;=$FV323,$B323&lt;=$FW323),MAX(CF323,Sheet1!EJ321,0),MAX(CF323-(7/36)*$K323,0))</f>
        <v>0</v>
      </c>
      <c r="CJ323" s="535">
        <f t="shared" si="773"/>
        <v>0</v>
      </c>
      <c r="CK323" s="521">
        <f t="shared" si="774"/>
        <v>2.9773458282950425</v>
      </c>
      <c r="CL323" s="521">
        <f>IF(AND($O323&gt;0,Sheet1!EN321=1),(1-($O323-Sheet1!$L321)/$O323)*CF323,0)</f>
        <v>0</v>
      </c>
      <c r="CM323" s="521">
        <f>IF(AND(Sheet1!$L321=0,Sheet1!$L320=0, Calculation!CE323&lt;Sheet1!EJ321-0.1,Sheet1!EJ321=Sheet1!EJ320,Sheet1!EJ321=Sheet1!EJ322),CF323-CL323,CF323-CL323)</f>
        <v>2.9773458282950425</v>
      </c>
      <c r="CN323" s="1040" t="str">
        <f t="shared" si="775"/>
        <v/>
      </c>
      <c r="CO323" s="1035">
        <f t="shared" si="776"/>
        <v>12.568888888888889</v>
      </c>
      <c r="CP323" s="535">
        <f t="shared" si="777"/>
        <v>0</v>
      </c>
      <c r="CQ323" s="535"/>
      <c r="CR323" s="535">
        <f ca="1">IF(B323&gt;(Summary!$A$1-1),#N/A,CP323*MGtoAF)</f>
        <v>0</v>
      </c>
      <c r="CS323" s="535">
        <f>Sheet1!BK321+Sheet1!BL321+Sheet1!BM321-Sheet1!ER321-DA323</f>
        <v>6.75</v>
      </c>
      <c r="CT323" s="535">
        <f t="shared" si="778"/>
        <v>6.7214328899637241</v>
      </c>
      <c r="CU323" s="535">
        <f>IF(Sheet1!ER321="FM",DA323,0)</f>
        <v>0</v>
      </c>
      <c r="CV323" s="535">
        <f t="shared" si="779"/>
        <v>0</v>
      </c>
      <c r="CW323" s="535">
        <f>IF(Sheet1!ER321="OTHER",DA323,0)</f>
        <v>0</v>
      </c>
      <c r="CX323" s="535">
        <f t="shared" si="780"/>
        <v>0</v>
      </c>
      <c r="CY323" s="535">
        <f t="shared" si="781"/>
        <v>6.75</v>
      </c>
      <c r="CZ323" s="535">
        <f t="shared" si="782"/>
        <v>6.7214328899637241</v>
      </c>
      <c r="DA323" s="535">
        <f>IF(OR(Sheet1!ER321="FM", Sheet1!ER321="OTHER"),SUM(Sheet1!BK321:'Sheet1'!BM321),0)</f>
        <v>0</v>
      </c>
      <c r="DB323" s="1011">
        <f>IF(AND($B323&gt;=$FV323,$B323&lt;=$FW323),MAX($CT323,Sheet1!EK321,0),MAX($CT323-(7/36)*$K323,0))</f>
        <v>0</v>
      </c>
      <c r="DC323" s="1012">
        <f t="shared" si="783"/>
        <v>0</v>
      </c>
      <c r="DD323" s="1011">
        <f t="shared" si="784"/>
        <v>6.7214328899637241</v>
      </c>
      <c r="DE323" s="521">
        <f>IF(AND($O323&gt;0,Sheet1!EO321=1),(1-($O323-Sheet1!$L321)/$O323)*CZ323,0)</f>
        <v>0</v>
      </c>
      <c r="DF323" s="521">
        <f>IF(AND(Sheet1!$L321=0,Sheet1!$L320=0, Calculation!CY323&lt;Sheet1!$EK321-0.1,Sheet1!$EK321=Sheet1!$EK320,Sheet1!$EK321=Sheet1!$EK322),CZ323-DE323,CZ323-DE323)</f>
        <v>6.7214328899637241</v>
      </c>
      <c r="DG323" s="1040">
        <f t="shared" si="676"/>
        <v>12.568888888888889</v>
      </c>
      <c r="DH323" s="649">
        <f t="shared" si="731"/>
        <v>12.58</v>
      </c>
      <c r="DI323" s="535">
        <f t="shared" si="732"/>
        <v>0</v>
      </c>
      <c r="DJ323" s="649">
        <f t="shared" si="733"/>
        <v>12.526759371221281</v>
      </c>
      <c r="DK323" s="535">
        <f ca="1">IF(B323&gt;(Summary!$A$1-1),#N/A,DI323*MGtoAF)</f>
        <v>0</v>
      </c>
      <c r="DL323" s="649">
        <f t="shared" si="734"/>
        <v>12.58</v>
      </c>
      <c r="DM323" s="535">
        <f t="shared" si="735"/>
        <v>33.08</v>
      </c>
      <c r="DN323" s="535">
        <f>Sheet1!AB321-DM323</f>
        <v>-0.14000000000000057</v>
      </c>
      <c r="DO323" s="743">
        <f t="shared" si="736"/>
        <v>-4.232164449818639E-3</v>
      </c>
      <c r="DP323" s="535">
        <f>(VLOOKUP(Sheet1!DC321,hhdcap_wcm,4)-(((VLOOKUP(Sheet1!DC321,hhdcap_wcm,3)-Sheet1!DC321)/(VLOOKUP(Sheet1!DC321,hhdcap_wcm,3)-VLOOKUP(Sheet1!DC321,hhdcap_wcm,1)))*(VLOOKUP(Sheet1!DC321,hhdcap_wcm,4)-VLOOKUP(Sheet1!DC321,hhdcap_wcm,2))))</f>
        <v>641.00000000211458</v>
      </c>
      <c r="DQ323" s="535">
        <f t="shared" si="737"/>
        <v>-115.00000000053205</v>
      </c>
      <c r="DR323" s="535">
        <f t="shared" si="738"/>
        <v>-57.99293999018257</v>
      </c>
      <c r="DS323" s="535">
        <f>Sheet1!EA321*AFtoMG</f>
        <v>0</v>
      </c>
      <c r="DT323" s="535">
        <f>Sheet1!EB321*AFtoMG</f>
        <v>0</v>
      </c>
      <c r="DU323" s="535">
        <f>Sheet1!EC321*AFtoMG</f>
        <v>0</v>
      </c>
      <c r="DV323" s="535">
        <f>Sheet1!ED321*AFtoMG</f>
        <v>0</v>
      </c>
      <c r="DW323" s="535">
        <f t="shared" si="739"/>
        <v>0</v>
      </c>
      <c r="DX323" s="535">
        <f t="shared" si="740"/>
        <v>0</v>
      </c>
      <c r="DY323" s="535">
        <f t="shared" si="741"/>
        <v>0</v>
      </c>
      <c r="DZ323" s="535">
        <f t="shared" si="742"/>
        <v>0</v>
      </c>
      <c r="EA323" s="535"/>
      <c r="EB323" s="521">
        <f>IF(OR(B323&lt;FV323,B323&gt;FW323),(MIN(BF323+BY323+CT323+MAX(Sheet1!AA321+AQ323-73,0),K323)),0)</f>
        <v>12.526759371221281</v>
      </c>
      <c r="EC323" s="535"/>
      <c r="ED323" s="535">
        <f t="shared" si="743"/>
        <v>12.526759371221281</v>
      </c>
      <c r="EE323" s="535"/>
      <c r="EF323" s="535">
        <f>Sheet1!EH321+Sheet1!EI321+Sheet1!EJ321+Sheet1!EK321</f>
        <v>12.5</v>
      </c>
      <c r="EG323" s="1019">
        <f t="shared" si="677"/>
        <v>19.337499999999999</v>
      </c>
      <c r="EH323" s="521">
        <f t="shared" si="744"/>
        <v>0</v>
      </c>
      <c r="EI323" s="535">
        <f>IF(Sheet1!ET321=1,SUM('Calculations II'!AT323:BA323)+'Calculations II'!BC323+Sheet1!BV321+'Calculations II'!BE323+AP323,'Calculations II'!BK323)</f>
        <v>45.562712628778712</v>
      </c>
      <c r="EJ323" s="535">
        <f ca="1">EI323+'Calculations II'!D323+'Calculations II'!E323+'Calculations II'!O323</f>
        <v>48.336901273737283</v>
      </c>
      <c r="EK323" s="535"/>
      <c r="EL323" s="535"/>
      <c r="EM323" s="535">
        <f t="shared" si="745"/>
        <v>43047</v>
      </c>
      <c r="EN323" s="535">
        <f t="shared" si="746"/>
        <v>0</v>
      </c>
      <c r="EO323" s="535">
        <f t="shared" si="747"/>
        <v>0</v>
      </c>
      <c r="EP323" s="535">
        <v>0</v>
      </c>
      <c r="EQ323" s="535">
        <v>0</v>
      </c>
      <c r="ER323" s="535">
        <v>0</v>
      </c>
      <c r="ES323" s="521">
        <f t="shared" si="643"/>
        <v>-2.2172946769219486</v>
      </c>
      <c r="ET323" s="535">
        <f>-(VLOOKUP(Sheet1!BQ321,Lookup!$O$4:$Q$262,2)-VLOOKUP(Sheet1!BQ320,Lookup!$O$4:$Q$262,2))/1000000</f>
        <v>-1.1084165611578674</v>
      </c>
      <c r="EU323" s="535">
        <f>-(VLOOKUP(Sheet1!BR321,Lookup!$O$4:$Q$262,3)-VLOOKUP(Sheet1!BR320,Lookup!$O$4:$Q$262,3))/1000000</f>
        <v>-1.1088781157640815</v>
      </c>
      <c r="EV323" s="535"/>
      <c r="EW323" s="535"/>
      <c r="EX323" s="535"/>
      <c r="EY323" s="535"/>
      <c r="EZ323" s="535"/>
      <c r="FA323" s="535"/>
      <c r="FB323" s="535"/>
      <c r="FC323" s="535"/>
      <c r="FD323" s="567">
        <f t="shared" ref="FD323:FD354" si="786">VLOOKUP(FJ321,hhdelev_wcm,4) -(((VLOOKUP(FJ321,hhdelev_wcm,3)-FJ321)/(VLOOKUP(FJ321,hhdelev_wcm,3)-VLOOKUP(FJ321,hhdelev_wcm,1)))*(VLOOKUP(FJ321,hhdelev_wcm,4)-VLOOKUP(FJ321,hhdelev_wcm,2)))</f>
        <v>1086.7823529411448</v>
      </c>
      <c r="FE323" s="567" t="e">
        <f t="shared" si="748"/>
        <v>#N/A</v>
      </c>
      <c r="FF323" s="568" t="e">
        <f t="shared" si="749"/>
        <v>#N/A</v>
      </c>
      <c r="FG323" s="569" t="s">
        <v>656</v>
      </c>
      <c r="FH323" s="569" t="s">
        <v>656</v>
      </c>
      <c r="FI323" s="567" t="e">
        <v>#N/A</v>
      </c>
      <c r="FJ323" s="725">
        <v>2070</v>
      </c>
      <c r="FK323" s="535"/>
      <c r="FL323" s="1015">
        <f t="shared" si="785"/>
        <v>45.385779122541599</v>
      </c>
      <c r="FM323" s="535"/>
      <c r="FN323" s="535"/>
      <c r="FO323" s="535">
        <f>O323+((Sheet1!CS321)*GPMtoMGD)</f>
        <v>61.12</v>
      </c>
      <c r="FP323" s="535">
        <f>IF(Sheet1!AA321+AQ323&lt;=Calculation!N323,AQ323,Calculation!N323-Sheet1!AA321)</f>
        <v>20.413240628778716</v>
      </c>
      <c r="FQ323" s="535">
        <f>(Sheet1!BP321+Sheet1!BO321)/694.4</f>
        <v>1.1520737327188941</v>
      </c>
      <c r="FR323" s="541"/>
      <c r="FS323" s="541"/>
      <c r="FT323" s="541"/>
      <c r="FU323" s="541"/>
      <c r="FV323" s="1109">
        <f t="shared" si="644"/>
        <v>42918</v>
      </c>
      <c r="FW323" s="1109">
        <f t="shared" si="645"/>
        <v>43027</v>
      </c>
      <c r="FX323" s="541"/>
      <c r="FY323" s="541">
        <f>Sheet1!DA321-Sheet1!CZ321-Sheet1!AE321</f>
        <v>263.05055999999774</v>
      </c>
      <c r="FZ323" s="535">
        <f t="shared" si="678"/>
        <v>0.87974698654727712</v>
      </c>
      <c r="GA323" s="535"/>
      <c r="GB323" s="535" t="str">
        <f t="shared" si="646"/>
        <v>n</v>
      </c>
      <c r="GC323" s="539">
        <f t="shared" si="647"/>
        <v>42782</v>
      </c>
      <c r="GD323" s="1109">
        <f t="shared" si="648"/>
        <v>42904</v>
      </c>
      <c r="GE323" s="535">
        <f t="shared" si="664"/>
        <v>6520</v>
      </c>
      <c r="GF323" s="1109">
        <f t="shared" si="649"/>
        <v>42909</v>
      </c>
      <c r="GG323" s="535">
        <f t="shared" si="691"/>
        <v>3260</v>
      </c>
      <c r="GH323" s="539">
        <f t="shared" si="650"/>
        <v>43040</v>
      </c>
      <c r="GJ323" s="521">
        <f t="shared" si="651"/>
        <v>0</v>
      </c>
      <c r="GK323" s="535" t="str">
        <f t="shared" si="750"/>
        <v/>
      </c>
      <c r="GL323" s="535">
        <f t="shared" si="652"/>
        <v>0</v>
      </c>
      <c r="GM323" s="535" t="str">
        <f t="shared" si="653"/>
        <v/>
      </c>
      <c r="GN323" s="535">
        <f>IF(GK323="P",Lookup!$M$12,IF(GK323="PP",Lookup!$M$13,IF(GK323="PPP",Lookup!$M$14,IF(GK323="T",Lookup!$M$15,IF(GK323="TP",Lookup!$M$16,IF(GK323="TPP",Lookup!$M$17,IF(GK323="TPPP",Lookup!$M$18,0)))))))*GJ323</f>
        <v>0</v>
      </c>
      <c r="GO323" s="535">
        <f t="shared" si="654"/>
        <v>0</v>
      </c>
      <c r="GP323" s="535">
        <f t="shared" si="751"/>
        <v>0</v>
      </c>
      <c r="GQ323" s="974">
        <f t="shared" si="695"/>
        <v>0</v>
      </c>
      <c r="GR323" s="535"/>
      <c r="GS323" s="535">
        <f t="shared" si="655"/>
        <v>0</v>
      </c>
      <c r="GT323" s="535" t="str">
        <f t="shared" si="656"/>
        <v/>
      </c>
      <c r="GU323" s="535">
        <f>IF(GK323="P",Lookup!$N$12,IF(GK323="PP",Lookup!$N$13,IF(GK323="PPP",Lookup!$N$14,IF(GK323="T",Lookup!$N$15,IF(GK323="TP",Lookup!$N$16,IF(GK323="TPP",Lookup!$N$17,IF(GK323="TPPP",Lookup!$N$18,0)))))))*GJ323</f>
        <v>0</v>
      </c>
      <c r="GV323" s="535">
        <f t="shared" si="657"/>
        <v>0</v>
      </c>
      <c r="GW323" s="535">
        <f t="shared" si="752"/>
        <v>0</v>
      </c>
      <c r="GX323" s="974">
        <f t="shared" si="696"/>
        <v>0</v>
      </c>
      <c r="GY323" s="535"/>
      <c r="GZ323" s="535">
        <f t="shared" si="658"/>
        <v>0</v>
      </c>
      <c r="HA323" s="535" t="str">
        <f t="shared" si="659"/>
        <v/>
      </c>
      <c r="HB323" s="535">
        <f>IF(GK323="P",Lookup!$N$12,IF(GK323="PP",Lookup!$N$13,IF(GK323="PPP",Lookup!$N$14,IF(GK323="T",Lookup!$N$15,IF(GK323="TP",Lookup!$N$16,IF(GK323="TPP",Lookup!$N$17,IF(GK323="TPPP",Lookup!$N$18,0)))))))*GJ323</f>
        <v>0</v>
      </c>
      <c r="HC323" s="521">
        <f t="shared" si="753"/>
        <v>0</v>
      </c>
      <c r="HD323" s="535">
        <f t="shared" si="754"/>
        <v>0</v>
      </c>
      <c r="HE323" s="535">
        <f t="shared" si="662"/>
        <v>0</v>
      </c>
      <c r="HF323" s="535"/>
      <c r="HG323" s="535">
        <f t="shared" si="660"/>
        <v>0</v>
      </c>
      <c r="HH323" s="535" t="str">
        <f t="shared" si="661"/>
        <v/>
      </c>
      <c r="HI323" s="535">
        <f>IF(GK323="P",Lookup!$N$12,IF(GK323="PP",Lookup!$N$13,IF(GK323="PPP",Lookup!$N$14,IF(GK323="T",Lookup!$N$15,IF(GK323="TP",Lookup!$N$16,IF(GK323="TPP",Lookup!$N$17,IF(GK323="TPPP",Lookup!$N$18,0)))))))*GJ323</f>
        <v>0</v>
      </c>
      <c r="HJ323" s="521">
        <f t="shared" si="755"/>
        <v>0</v>
      </c>
      <c r="HK323" s="535">
        <f t="shared" si="756"/>
        <v>0</v>
      </c>
      <c r="HL323" s="535">
        <f t="shared" si="663"/>
        <v>0</v>
      </c>
      <c r="HM323" s="535"/>
      <c r="HN323" s="541"/>
      <c r="HO323" s="541"/>
      <c r="HP323" s="541"/>
      <c r="HQ323" s="541">
        <f>IF(AND(B323&gt;=$FV$4,B323&lt;=$FW$4),MAX(110/1.02+$HQ$6+MIN(113/1.02,G323),IF($HV$6-(Sheet1!DA321-Sheet1!DB321)+MIN(113/1.02,G323)&lt;G323+FL323,$HV$6-(Sheet1!DA321-Sheet1!DB321)+MIN(113/1.02,G323),G323+FL323)),MIN(110/1.02+$HQ$6+113/1.02,G323))</f>
        <v>218.62745098039215</v>
      </c>
      <c r="HR323" s="541">
        <f t="shared" si="679"/>
        <v>223</v>
      </c>
      <c r="HS323" s="541">
        <f>HR323+(Sheet1!DA321-Sheet1!DB321)</f>
        <v>568</v>
      </c>
      <c r="HT323" s="541">
        <f t="shared" si="680"/>
        <v>0</v>
      </c>
      <c r="HU323" s="541">
        <f t="shared" si="681"/>
        <v>568</v>
      </c>
      <c r="HV323" s="541">
        <f t="shared" si="682"/>
        <v>0</v>
      </c>
      <c r="HW323" s="533" t="str">
        <f t="shared" si="683"/>
        <v/>
      </c>
      <c r="HX323" s="541">
        <f t="shared" si="684"/>
        <v>138.37254901960785</v>
      </c>
      <c r="HY323" s="541">
        <f>Sheet1!CZ321</f>
        <v>357</v>
      </c>
      <c r="HZ323" s="541">
        <f t="shared" si="685"/>
        <v>0</v>
      </c>
      <c r="IA323" s="541">
        <f t="shared" si="686"/>
        <v>0</v>
      </c>
      <c r="IB323" s="541">
        <f t="shared" si="687"/>
        <v>357</v>
      </c>
      <c r="IC323" s="1019" t="str">
        <f t="shared" si="688"/>
        <v/>
      </c>
      <c r="ID323" s="541">
        <f t="shared" si="689"/>
        <v>357</v>
      </c>
      <c r="IE323" s="541">
        <f>Sheet1!DB321</f>
        <v>330</v>
      </c>
      <c r="IF323" s="533">
        <f>Sheet1!DA321</f>
        <v>675</v>
      </c>
      <c r="IH323" s="541">
        <f>IF(AND($B323&gt;=$GC323,$B323&lt;=$GH323,$DR323&lt;0)+N("only adjusted when pool is drawn down during storage season"),Sheet1!$DB321+$DR323+N("Palmer minus all storage release"),Sheet1!$DB321)</f>
        <v>330</v>
      </c>
      <c r="II323" s="541">
        <f>IF(AND($B323&gt;=$GC323,$B323&lt;=$GH323,$DR323&lt;0)+N("only adjusted when pool is drawn down during storage season"),Sheet1!$DA321+$DR323+N("Auburn minus all storage release"),Sheet1!$DA321)</f>
        <v>675</v>
      </c>
    </row>
    <row r="324" spans="1:243" x14ac:dyDescent="0.25">
      <c r="A324" s="553" t="s">
        <v>7</v>
      </c>
      <c r="B324" s="531">
        <v>43048</v>
      </c>
      <c r="C324" s="536">
        <v>0</v>
      </c>
      <c r="D324" s="506">
        <f t="shared" si="633"/>
        <v>300</v>
      </c>
      <c r="E324" s="506">
        <f t="shared" si="634"/>
        <v>250</v>
      </c>
      <c r="F324" s="506">
        <v>250</v>
      </c>
      <c r="G324" s="535">
        <f>DR324+Sheet1!CZ322</f>
        <v>457.98184568853327</v>
      </c>
      <c r="H324" s="1074">
        <f t="shared" si="690"/>
        <v>78.551626880000001</v>
      </c>
      <c r="I324" s="534">
        <f>IF(Sheet1!DA322&gt;=E324,(Sheet1!DA322-E324+P324)*CFStoMGD,0)</f>
        <v>331.94042688000002</v>
      </c>
      <c r="J324" s="995">
        <f>IF(Sheet1!DB322&gt;=D324,(Sheet1!DB322-D324+P324)*CFStoMGD,0)</f>
        <v>78.551626880000001</v>
      </c>
      <c r="K324" s="818">
        <f t="shared" si="665"/>
        <v>64.64</v>
      </c>
      <c r="L324" s="535">
        <f>Sheet1!AA322+Sheet1!AB322-Sheet1!L322+(Sheet1!DA322-F324)*CFStoMGD-S324-T324-U324</f>
        <v>244.3416</v>
      </c>
      <c r="M324" s="535">
        <f t="shared" si="697"/>
        <v>301.96025435412929</v>
      </c>
      <c r="N324" s="824">
        <f>IF(Sheet1!DA322&gt;=F324,MIN(113*CFStoMGD,MIN(MAX(L324,0),MAX(M324,0))),0)</f>
        <v>73.043199999999999</v>
      </c>
      <c r="O324" s="538">
        <f>Sheet1!AA322+Sheet1!AB322</f>
        <v>61.1</v>
      </c>
      <c r="P324" s="538">
        <f t="shared" si="698"/>
        <v>94.521699999999996</v>
      </c>
      <c r="Q324" s="812">
        <f t="shared" si="666"/>
        <v>0</v>
      </c>
      <c r="R324" s="812">
        <f t="shared" si="635"/>
        <v>12.692307692307693</v>
      </c>
      <c r="S324" s="812">
        <f t="shared" si="636"/>
        <v>61.1</v>
      </c>
      <c r="T324" s="812">
        <f t="shared" si="637"/>
        <v>0</v>
      </c>
      <c r="U324" s="812">
        <f>IF(AND(B324&gt;=FV324,B324&lt;=FW324),ED324+Sheet1!EH322,0)</f>
        <v>0</v>
      </c>
      <c r="V324" s="812"/>
      <c r="W324" s="812">
        <f t="shared" si="638"/>
        <v>51.947692307692307</v>
      </c>
      <c r="X324" s="812">
        <f t="shared" si="639"/>
        <v>61.1</v>
      </c>
      <c r="Y324" s="812" t="str">
        <f t="shared" si="640"/>
        <v/>
      </c>
      <c r="Z324" s="812">
        <f t="shared" si="641"/>
        <v>61.1</v>
      </c>
      <c r="AA324" s="812">
        <f t="shared" si="642"/>
        <v>61.1</v>
      </c>
      <c r="AB324" s="1059">
        <f t="shared" si="667"/>
        <v>0</v>
      </c>
      <c r="AC324" s="538">
        <f>Sheet1!Y322*MGDtoCFS</f>
        <v>43.594459999999998</v>
      </c>
      <c r="AD324" s="538">
        <f>Sheet1!Z322*MGDtoCFS</f>
        <v>50.958179999999992</v>
      </c>
      <c r="AE324" s="538">
        <f>Sheet1!AA322*MGDtoCFS</f>
        <v>43.470700000000001</v>
      </c>
      <c r="AF324" s="538">
        <f>Sheet1!AB322*MGDtoCFS</f>
        <v>51.050999999999995</v>
      </c>
      <c r="AG324" s="538">
        <f>Sheet1!L322*MGDtoCFS</f>
        <v>40.9955</v>
      </c>
      <c r="AH324" s="521">
        <f t="shared" si="699"/>
        <v>0</v>
      </c>
      <c r="AI324" s="1059">
        <f t="shared" si="700"/>
        <v>0</v>
      </c>
      <c r="AJ324" s="535">
        <f t="shared" si="701"/>
        <v>0</v>
      </c>
      <c r="AK324" s="535">
        <f t="shared" si="702"/>
        <v>0</v>
      </c>
      <c r="AL324" s="535">
        <f>(VLOOKUP(Sheet1!DC322,hhdcap_wcm,4)-(((VLOOKUP(Sheet1!DC322,hhdcap_wcm,3)-Sheet1!DC322)/(VLOOKUP(Sheet1!DC322,hhdcap_wcm,3)-VLOOKUP(Sheet1!DC322,hhdcap_wcm,1)))*(VLOOKUP(Sheet1!DC322,hhdcap_wcm,4)-VLOOKUP(Sheet1!DC322,hhdcap_wcm,2))))</f>
        <v>823.40000000247608</v>
      </c>
      <c r="AM324" s="535">
        <f t="shared" si="703"/>
        <v>182.4000000003615</v>
      </c>
      <c r="AN324" s="1035">
        <f t="shared" si="704"/>
        <v>0</v>
      </c>
      <c r="AO324" s="535">
        <f t="shared" si="705"/>
        <v>0</v>
      </c>
      <c r="AP324" s="535">
        <f>Sheet1!BA322+Sheet1!BB322+Sheet1!BN322+CD324</f>
        <v>20.399999999999999</v>
      </c>
      <c r="AQ324" s="535">
        <f>Sheet1!BN322+(DO324*Sheet1!BN322)</f>
        <v>20.307692307692307</v>
      </c>
      <c r="AR324" s="535">
        <f>Sheet1!BA322+CD324</f>
        <v>0</v>
      </c>
      <c r="AS324" s="535">
        <f>Sheet1!BA322+Sheet1!BB322+CD324</f>
        <v>0</v>
      </c>
      <c r="AT324" s="649">
        <f>0</f>
        <v>0</v>
      </c>
      <c r="AU324" s="974">
        <f>BA324+MAX(Sheet1!EH322,(O324-Q324-ED324-S324))</f>
        <v>0</v>
      </c>
      <c r="AV324" s="535">
        <f>IF(OR(B324&gt;=GD324,B324&lt;GC324),0,15/36*K324-MAX(0,64.6-(137.6-(Sheet1!AA322+Sheet1!AB322))))</f>
        <v>0</v>
      </c>
      <c r="AW324" s="1029"/>
      <c r="AX324" s="649"/>
      <c r="AY324" s="649">
        <f t="shared" si="668"/>
        <v>23.311716569431731</v>
      </c>
      <c r="AZ324" s="649">
        <f t="shared" si="669"/>
        <v>0</v>
      </c>
      <c r="BA324" s="1059">
        <f t="shared" si="670"/>
        <v>0</v>
      </c>
      <c r="BB324" s="1019">
        <f t="shared" si="706"/>
        <v>0</v>
      </c>
      <c r="BC324" s="1041">
        <f t="shared" si="671"/>
        <v>26.933333333333334</v>
      </c>
      <c r="BD324" s="1019">
        <f ca="1">IF(B324&gt;(Summary!$A$1-1),#N/A,BB324*MGtoAF)</f>
        <v>0</v>
      </c>
      <c r="BE324" s="535">
        <f>Sheet1!BG322+Sheet1!BH322+Sheet1!BI322-BM324</f>
        <v>2.91</v>
      </c>
      <c r="BF324" s="535">
        <f t="shared" si="707"/>
        <v>2.8968325791855207</v>
      </c>
      <c r="BG324" s="535">
        <f>IF(Sheet1!EP322="FM",BM324,0)</f>
        <v>0</v>
      </c>
      <c r="BH324" s="535">
        <f t="shared" si="708"/>
        <v>0</v>
      </c>
      <c r="BI324" s="535">
        <f>IF(Sheet1!EP322="OTHER",BM324,0)</f>
        <v>0</v>
      </c>
      <c r="BJ324" s="535">
        <f t="shared" si="709"/>
        <v>0</v>
      </c>
      <c r="BK324" s="535">
        <f t="shared" si="710"/>
        <v>2.91</v>
      </c>
      <c r="BL324" s="535">
        <f t="shared" si="711"/>
        <v>2.8968325791855207</v>
      </c>
      <c r="BM324" s="535">
        <f>IF(OR(Sheet1!EP322="FM", Sheet1!EP322="OTHER"),SUM(Sheet1!BG322:'Sheet1'!BI322),0)</f>
        <v>0</v>
      </c>
      <c r="BN324" s="521">
        <f>IF(AND($B324&gt;=$FV324,$B324&lt;=$FW324),MAX(BF324,Sheet1!EI322,0),MAX(BF324-(7/36)*$K324,0))</f>
        <v>0</v>
      </c>
      <c r="BO324" s="535">
        <f t="shared" si="712"/>
        <v>0</v>
      </c>
      <c r="BP324" s="521">
        <f t="shared" si="713"/>
        <v>2.8968325791855207</v>
      </c>
      <c r="BQ324" s="521">
        <f>IF(AND($O324&gt;0,Sheet1!EM322=1),(1-($O324-Sheet1!$L322)/$O324)*BL324,0)</f>
        <v>0</v>
      </c>
      <c r="BR324" s="521">
        <f>IF(AND(Sheet1!$L322=0,Sheet1!$L321=0, Calculation!BK324&lt;Sheet1!$EI322-0.1,Sheet1!$EI322=Sheet1!$EI321,Sheet1!$EI322=Sheet1!$EI323),BL324-BQ324,BL324-BQ324)</f>
        <v>2.8968325791855207</v>
      </c>
      <c r="BS324" s="1035" t="str">
        <f t="shared" si="672"/>
        <v/>
      </c>
      <c r="BT324" s="1035">
        <f t="shared" si="673"/>
        <v>12.568888888888889</v>
      </c>
      <c r="BU324" s="535">
        <f t="shared" si="714"/>
        <v>0</v>
      </c>
      <c r="BV324" s="535"/>
      <c r="BW324" s="535">
        <f ca="1">IF(B324&gt;(Summary!$A$1-1),#N/A,BU324*MGtoAF)</f>
        <v>0</v>
      </c>
      <c r="BX324" s="535">
        <f>Sheet1!BC322+Sheet1!BD322+Sheet1!BE322+Sheet1!BF322-CG324-CH324</f>
        <v>3.05</v>
      </c>
      <c r="BY324" s="535">
        <f t="shared" si="715"/>
        <v>3.0361990950226243</v>
      </c>
      <c r="BZ324" s="535">
        <f>IF(Sheet1!EQ322="FM",CH324,0)</f>
        <v>0</v>
      </c>
      <c r="CA324" s="535">
        <f t="shared" si="716"/>
        <v>0</v>
      </c>
      <c r="CB324" s="535">
        <f>IF(Sheet1!EQ322="OTHER",CH324,0)</f>
        <v>0</v>
      </c>
      <c r="CC324" s="535">
        <f t="shared" si="717"/>
        <v>0</v>
      </c>
      <c r="CD324" s="535">
        <f t="shared" si="718"/>
        <v>0</v>
      </c>
      <c r="CE324" s="535">
        <f t="shared" si="719"/>
        <v>3.05</v>
      </c>
      <c r="CF324" s="535">
        <f t="shared" si="720"/>
        <v>3.0361990950226243</v>
      </c>
      <c r="CG324" s="535">
        <f>IF(Sheet1!EQ322="CWA",SUM(Sheet1!BC322:'Sheet1'!BF322),0)</f>
        <v>0</v>
      </c>
      <c r="CH324" s="535">
        <f>IF(OR(Sheet1!EQ322="FM", Sheet1!EQ322="OTHER"),SUM(Sheet1!BC322:'Sheet1'!BF322),0)</f>
        <v>0</v>
      </c>
      <c r="CI324" s="521">
        <f>IF(AND($B324&gt;=$FV324,$B324&lt;=$FW324),MAX(CF324,Sheet1!EJ322,0),MAX(CF324-(7/36)*$K324,0))</f>
        <v>0</v>
      </c>
      <c r="CJ324" s="535">
        <f t="shared" si="721"/>
        <v>0</v>
      </c>
      <c r="CK324" s="521">
        <f t="shared" si="722"/>
        <v>3.0361990950226243</v>
      </c>
      <c r="CL324" s="521">
        <f>IF(AND($O324&gt;0,Sheet1!EN322=1),(1-($O324-Sheet1!$L322)/$O324)*CF324,0)</f>
        <v>0</v>
      </c>
      <c r="CM324" s="521">
        <f>IF(AND(Sheet1!$L322=0,Sheet1!$L321=0, Calculation!CE324&lt;Sheet1!EJ322-0.1,Sheet1!EJ322=Sheet1!EJ321,Sheet1!EJ322=Sheet1!EJ323),CF324-CL324,CF324-CL324)</f>
        <v>3.0361990950226243</v>
      </c>
      <c r="CN324" s="1040" t="str">
        <f t="shared" si="674"/>
        <v/>
      </c>
      <c r="CO324" s="1035">
        <f t="shared" si="675"/>
        <v>12.568888888888889</v>
      </c>
      <c r="CP324" s="535">
        <f t="shared" si="723"/>
        <v>0</v>
      </c>
      <c r="CQ324" s="535"/>
      <c r="CR324" s="535">
        <f ca="1">IF(B324&gt;(Summary!$A$1-1),#N/A,CP324*MGtoAF)</f>
        <v>0</v>
      </c>
      <c r="CS324" s="535">
        <f>Sheet1!BK322+Sheet1!BL322+Sheet1!BM322-Sheet1!ER322-DA324</f>
        <v>6.79</v>
      </c>
      <c r="CT324" s="535">
        <f t="shared" si="724"/>
        <v>6.7592760180995475</v>
      </c>
      <c r="CU324" s="535">
        <f>IF(Sheet1!ER322="FM",DA324,0)</f>
        <v>0</v>
      </c>
      <c r="CV324" s="535">
        <f t="shared" si="725"/>
        <v>0</v>
      </c>
      <c r="CW324" s="535">
        <f>IF(Sheet1!ER322="OTHER",DA324,0)</f>
        <v>0</v>
      </c>
      <c r="CX324" s="535">
        <f t="shared" si="726"/>
        <v>0</v>
      </c>
      <c r="CY324" s="535">
        <f t="shared" si="727"/>
        <v>6.79</v>
      </c>
      <c r="CZ324" s="535">
        <f t="shared" si="728"/>
        <v>6.7592760180995475</v>
      </c>
      <c r="DA324" s="535">
        <f>IF(OR(Sheet1!ER322="FM", Sheet1!ER322="OTHER"),SUM(Sheet1!BK322:'Sheet1'!BM322),0)</f>
        <v>0</v>
      </c>
      <c r="DB324" s="1011">
        <f>IF(AND($B324&gt;=$FV324,$B324&lt;=$FW324),MAX($CT324,Sheet1!EK322,0),MAX($CT324-(7/36)*$K324,0))</f>
        <v>0</v>
      </c>
      <c r="DC324" s="1012">
        <f t="shared" si="729"/>
        <v>0</v>
      </c>
      <c r="DD324" s="1011">
        <f t="shared" si="730"/>
        <v>6.7592760180995475</v>
      </c>
      <c r="DE324" s="521">
        <f>IF(AND($O324&gt;0,Sheet1!EO322=1),(1-($O324-Sheet1!$L322)/$O324)*CZ324,0)</f>
        <v>0</v>
      </c>
      <c r="DF324" s="521">
        <f>IF(AND(Sheet1!$L322=0,Sheet1!$L321=0, Calculation!CY324&lt;Sheet1!$EK322-0.1,Sheet1!$EK322=Sheet1!$EK321,Sheet1!$EK322=Sheet1!$EK323),CZ324-DE324,CZ324-DE324)</f>
        <v>6.7592760180995475</v>
      </c>
      <c r="DG324" s="1040">
        <f t="shared" si="676"/>
        <v>12.568888888888889</v>
      </c>
      <c r="DH324" s="649">
        <f t="shared" si="731"/>
        <v>12.75</v>
      </c>
      <c r="DI324" s="535">
        <f t="shared" si="732"/>
        <v>0</v>
      </c>
      <c r="DJ324" s="649">
        <f t="shared" si="733"/>
        <v>12.692307692307693</v>
      </c>
      <c r="DK324" s="535">
        <f ca="1">IF(B324&gt;(Summary!$A$1-1),#N/A,DI324*MGtoAF)</f>
        <v>0</v>
      </c>
      <c r="DL324" s="649">
        <f t="shared" si="734"/>
        <v>12.75</v>
      </c>
      <c r="DM324" s="535">
        <f t="shared" si="735"/>
        <v>33.15</v>
      </c>
      <c r="DN324" s="535">
        <f>Sheet1!AB322-DM324</f>
        <v>-0.14999999999999858</v>
      </c>
      <c r="DO324" s="743">
        <f t="shared" si="736"/>
        <v>-4.5248868778280113E-3</v>
      </c>
      <c r="DP324" s="535">
        <f>(VLOOKUP(Sheet1!DC322,hhdcap_wcm,4)-(((VLOOKUP(Sheet1!DC322,hhdcap_wcm,3)-Sheet1!DC322)/(VLOOKUP(Sheet1!DC322,hhdcap_wcm,3)-VLOOKUP(Sheet1!DC322,hhdcap_wcm,1)))*(VLOOKUP(Sheet1!DC322,hhdcap_wcm,4)-VLOOKUP(Sheet1!DC322,hhdcap_wcm,2))))</f>
        <v>823.40000000247608</v>
      </c>
      <c r="DQ324" s="535">
        <f t="shared" si="737"/>
        <v>182.4000000003615</v>
      </c>
      <c r="DR324" s="535">
        <f t="shared" si="738"/>
        <v>91.981845688533269</v>
      </c>
      <c r="DS324" s="535">
        <f>Sheet1!EA322*AFtoMG</f>
        <v>0</v>
      </c>
      <c r="DT324" s="535">
        <f>Sheet1!EB322*AFtoMG</f>
        <v>0</v>
      </c>
      <c r="DU324" s="535">
        <f>Sheet1!EC322*AFtoMG</f>
        <v>0</v>
      </c>
      <c r="DV324" s="535">
        <f>Sheet1!ED322*AFtoMG</f>
        <v>0</v>
      </c>
      <c r="DW324" s="535">
        <f t="shared" si="739"/>
        <v>0</v>
      </c>
      <c r="DX324" s="535">
        <f t="shared" si="740"/>
        <v>0</v>
      </c>
      <c r="DY324" s="535">
        <f t="shared" si="741"/>
        <v>0</v>
      </c>
      <c r="DZ324" s="535">
        <f t="shared" si="742"/>
        <v>0</v>
      </c>
      <c r="EA324" s="535"/>
      <c r="EB324" s="521">
        <f>IF(OR(B324&lt;FV324,B324&gt;FW324),(MIN(BF324+BY324+CT324+MAX(Sheet1!AA322+AQ324-73,0),K324)),0)</f>
        <v>12.692307692307693</v>
      </c>
      <c r="EC324" s="535"/>
      <c r="ED324" s="535">
        <f t="shared" si="743"/>
        <v>12.692307692307693</v>
      </c>
      <c r="EE324" s="535"/>
      <c r="EF324" s="535">
        <f>Sheet1!EH322+Sheet1!EI322+Sheet1!EJ322+Sheet1!EK322</f>
        <v>12.5</v>
      </c>
      <c r="EG324" s="1019">
        <f t="shared" si="677"/>
        <v>19.337499999999999</v>
      </c>
      <c r="EH324" s="521">
        <f t="shared" si="744"/>
        <v>0</v>
      </c>
      <c r="EI324" s="535">
        <f>IF(Sheet1!ET322=1,SUM('Calculations II'!AT324:BA324)+'Calculations II'!BC324+Sheet1!BV322+'Calculations II'!BE324+AP324,'Calculations II'!BK324)</f>
        <v>48.397132307692317</v>
      </c>
      <c r="EJ324" s="535">
        <f ca="1">EI324+'Calculations II'!D324+'Calculations II'!E324+'Calculations II'!O324</f>
        <v>46.407434275491113</v>
      </c>
      <c r="EK324" s="535"/>
      <c r="EL324" s="535"/>
      <c r="EM324" s="535">
        <f t="shared" si="745"/>
        <v>43048</v>
      </c>
      <c r="EN324" s="535">
        <f t="shared" si="746"/>
        <v>0</v>
      </c>
      <c r="EO324" s="535">
        <f t="shared" si="747"/>
        <v>0</v>
      </c>
      <c r="EP324" s="535">
        <v>0</v>
      </c>
      <c r="EQ324" s="535">
        <v>0</v>
      </c>
      <c r="ER324" s="535">
        <v>0</v>
      </c>
      <c r="ES324" s="521">
        <f t="shared" si="643"/>
        <v>0.55440059618058424</v>
      </c>
      <c r="ET324" s="535">
        <f>-(VLOOKUP(Sheet1!BQ322,Lookup!$O$4:$Q$262,2)-VLOOKUP(Sheet1!BQ321,Lookup!$O$4:$Q$262,2))/1000000</f>
        <v>0.27714259977391364</v>
      </c>
      <c r="EU324" s="535">
        <f>-(VLOOKUP(Sheet1!BR322,Lookup!$O$4:$Q$262,3)-VLOOKUP(Sheet1!BR321,Lookup!$O$4:$Q$262,3))/1000000</f>
        <v>0.27725799640667065</v>
      </c>
      <c r="EV324" s="535"/>
      <c r="EW324" s="535"/>
      <c r="EX324" s="535"/>
      <c r="EY324" s="535"/>
      <c r="EZ324" s="535"/>
      <c r="FA324" s="535"/>
      <c r="FB324" s="535"/>
      <c r="FC324" s="535"/>
      <c r="FD324" s="567">
        <f t="shared" si="786"/>
        <v>1086.2529411764394</v>
      </c>
      <c r="FE324" s="567" t="e">
        <f t="shared" si="748"/>
        <v>#N/A</v>
      </c>
      <c r="FF324" s="568" t="e">
        <f t="shared" si="749"/>
        <v>#N/A</v>
      </c>
      <c r="FG324" s="569" t="s">
        <v>656</v>
      </c>
      <c r="FH324" s="569" t="s">
        <v>656</v>
      </c>
      <c r="FI324" s="567" t="e">
        <v>#N/A</v>
      </c>
      <c r="FJ324" s="725">
        <v>1980</v>
      </c>
      <c r="FK324" s="535"/>
      <c r="FL324" s="1015">
        <f t="shared" si="785"/>
        <v>45.385779122541599</v>
      </c>
      <c r="FM324" s="535"/>
      <c r="FN324" s="535"/>
      <c r="FO324" s="535">
        <f>O324+((Sheet1!CS322)*GPMtoMGD)</f>
        <v>61.1</v>
      </c>
      <c r="FP324" s="535">
        <f>IF(Sheet1!AA322+AQ324&lt;=Calculation!N324,AQ324,Calculation!N324-Sheet1!AA322)</f>
        <v>20.307692307692307</v>
      </c>
      <c r="FQ324" s="535">
        <f>(Sheet1!BP322+Sheet1!BO322)/694.4</f>
        <v>1.8649193548387097</v>
      </c>
      <c r="FR324" s="541"/>
      <c r="FS324" s="541"/>
      <c r="FT324" s="541"/>
      <c r="FU324" s="541"/>
      <c r="FV324" s="1109">
        <f t="shared" si="644"/>
        <v>42918</v>
      </c>
      <c r="FW324" s="1109">
        <f t="shared" si="645"/>
        <v>43027</v>
      </c>
      <c r="FX324" s="541"/>
      <c r="FY324" s="541">
        <f>Sheet1!DA322-Sheet1!CZ322-Sheet1!AE322</f>
        <v>249.47380000000001</v>
      </c>
      <c r="FZ324" s="535">
        <f t="shared" si="678"/>
        <v>0.54472421199346732</v>
      </c>
      <c r="GA324" s="535"/>
      <c r="GB324" s="535" t="str">
        <f t="shared" si="646"/>
        <v>n</v>
      </c>
      <c r="GC324" s="539">
        <f t="shared" si="647"/>
        <v>42782</v>
      </c>
      <c r="GD324" s="1109">
        <f t="shared" si="648"/>
        <v>42904</v>
      </c>
      <c r="GE324" s="535">
        <f t="shared" si="664"/>
        <v>6520</v>
      </c>
      <c r="GF324" s="1109">
        <f t="shared" si="649"/>
        <v>42909</v>
      </c>
      <c r="GG324" s="535">
        <f t="shared" si="691"/>
        <v>3260</v>
      </c>
      <c r="GH324" s="539">
        <f t="shared" si="650"/>
        <v>43040</v>
      </c>
      <c r="GJ324" s="521">
        <f t="shared" si="651"/>
        <v>0</v>
      </c>
      <c r="GK324" s="535" t="str">
        <f t="shared" si="750"/>
        <v/>
      </c>
      <c r="GL324" s="535">
        <f t="shared" si="652"/>
        <v>0</v>
      </c>
      <c r="GM324" s="535" t="str">
        <f t="shared" si="653"/>
        <v/>
      </c>
      <c r="GN324" s="535">
        <f>IF(GK324="P",Lookup!$M$12,IF(GK324="PP",Lookup!$M$13,IF(GK324="PPP",Lookup!$M$14,IF(GK324="T",Lookup!$M$15,IF(GK324="TP",Lookup!$M$16,IF(GK324="TPP",Lookup!$M$17,IF(GK324="TPPP",Lookup!$M$18,0)))))))*GJ324</f>
        <v>0</v>
      </c>
      <c r="GO324" s="535">
        <f t="shared" si="654"/>
        <v>0</v>
      </c>
      <c r="GP324" s="535">
        <f t="shared" si="751"/>
        <v>0</v>
      </c>
      <c r="GQ324" s="974">
        <f t="shared" si="695"/>
        <v>0</v>
      </c>
      <c r="GR324" s="535"/>
      <c r="GS324" s="535">
        <f t="shared" si="655"/>
        <v>0</v>
      </c>
      <c r="GT324" s="535" t="str">
        <f t="shared" si="656"/>
        <v/>
      </c>
      <c r="GU324" s="535">
        <f>IF(GK324="P",Lookup!$N$12,IF(GK324="PP",Lookup!$N$13,IF(GK324="PPP",Lookup!$N$14,IF(GK324="T",Lookup!$N$15,IF(GK324="TP",Lookup!$N$16,IF(GK324="TPP",Lookup!$N$17,IF(GK324="TPPP",Lookup!$N$18,0)))))))*GJ324</f>
        <v>0</v>
      </c>
      <c r="GV324" s="535">
        <f t="shared" si="657"/>
        <v>0</v>
      </c>
      <c r="GW324" s="535">
        <f t="shared" si="752"/>
        <v>0</v>
      </c>
      <c r="GX324" s="974">
        <f t="shared" si="696"/>
        <v>0</v>
      </c>
      <c r="GY324" s="535"/>
      <c r="GZ324" s="535">
        <f t="shared" si="658"/>
        <v>0</v>
      </c>
      <c r="HA324" s="535" t="str">
        <f t="shared" si="659"/>
        <v/>
      </c>
      <c r="HB324" s="535">
        <f>IF(GK324="P",Lookup!$N$12,IF(GK324="PP",Lookup!$N$13,IF(GK324="PPP",Lookup!$N$14,IF(GK324="T",Lookup!$N$15,IF(GK324="TP",Lookup!$N$16,IF(GK324="TPP",Lookup!$N$17,IF(GK324="TPPP",Lookup!$N$18,0)))))))*GJ324</f>
        <v>0</v>
      </c>
      <c r="HC324" s="521">
        <f t="shared" si="753"/>
        <v>0</v>
      </c>
      <c r="HD324" s="535">
        <f t="shared" si="754"/>
        <v>0</v>
      </c>
      <c r="HE324" s="535">
        <f t="shared" si="662"/>
        <v>0</v>
      </c>
      <c r="HF324" s="535"/>
      <c r="HG324" s="535">
        <f t="shared" si="660"/>
        <v>0</v>
      </c>
      <c r="HH324" s="535" t="str">
        <f t="shared" si="661"/>
        <v/>
      </c>
      <c r="HI324" s="535">
        <f>IF(GK324="P",Lookup!$N$12,IF(GK324="PP",Lookup!$N$13,IF(GK324="PPP",Lookup!$N$14,IF(GK324="T",Lookup!$N$15,IF(GK324="TP",Lookup!$N$16,IF(GK324="TPP",Lookup!$N$17,IF(GK324="TPPP",Lookup!$N$18,0)))))))*GJ324</f>
        <v>0</v>
      </c>
      <c r="HJ324" s="521">
        <f t="shared" si="755"/>
        <v>0</v>
      </c>
      <c r="HK324" s="535">
        <f t="shared" si="756"/>
        <v>0</v>
      </c>
      <c r="HL324" s="535">
        <f t="shared" si="663"/>
        <v>0</v>
      </c>
      <c r="HM324" s="535"/>
      <c r="HN324" s="541"/>
      <c r="HO324" s="541"/>
      <c r="HP324" s="541"/>
      <c r="HQ324" s="541">
        <f>IF(AND(B324&gt;=$FV$4,B324&lt;=$FW$4),MAX(110/1.02+$HQ$6+MIN(113/1.02,G324),IF($HV$6-(Sheet1!DA322-Sheet1!DB322)+MIN(113/1.02,G324)&lt;G324+FL324,$HV$6-(Sheet1!DA322-Sheet1!DB322)+MIN(113/1.02,G324),G324+FL324)),MIN(110/1.02+$HQ$6+113/1.02,G324))</f>
        <v>218.62745098039215</v>
      </c>
      <c r="HR324" s="541">
        <f t="shared" si="679"/>
        <v>223</v>
      </c>
      <c r="HS324" s="541">
        <f>HR324+(Sheet1!DA322-Sheet1!DB322)</f>
        <v>565</v>
      </c>
      <c r="HT324" s="541">
        <f t="shared" si="680"/>
        <v>0</v>
      </c>
      <c r="HU324" s="541">
        <f t="shared" si="681"/>
        <v>565</v>
      </c>
      <c r="HV324" s="541">
        <f t="shared" si="682"/>
        <v>0</v>
      </c>
      <c r="HW324" s="533" t="str">
        <f t="shared" si="683"/>
        <v/>
      </c>
      <c r="HX324" s="541">
        <f t="shared" si="684"/>
        <v>147.37254901960785</v>
      </c>
      <c r="HY324" s="541">
        <f>Sheet1!CZ322</f>
        <v>366</v>
      </c>
      <c r="HZ324" s="541">
        <f t="shared" si="685"/>
        <v>0</v>
      </c>
      <c r="IA324" s="541">
        <f t="shared" si="686"/>
        <v>0</v>
      </c>
      <c r="IB324" s="541">
        <f t="shared" si="687"/>
        <v>366</v>
      </c>
      <c r="IC324" s="1019" t="str">
        <f t="shared" si="688"/>
        <v/>
      </c>
      <c r="ID324" s="541">
        <f t="shared" si="689"/>
        <v>366</v>
      </c>
      <c r="IE324" s="541">
        <f>Sheet1!DB322</f>
        <v>327</v>
      </c>
      <c r="IF324" s="533">
        <f>Sheet1!DA322</f>
        <v>669</v>
      </c>
      <c r="IH324" s="541">
        <f>IF(AND($B324&gt;=$GC324,$B324&lt;=$GH324,$DR324&lt;0)+N("only adjusted when pool is drawn down during storage season"),Sheet1!$DB322+$DR324+N("Palmer minus all storage release"),Sheet1!$DB322)</f>
        <v>327</v>
      </c>
      <c r="II324" s="541">
        <f>IF(AND($B324&gt;=$GC324,$B324&lt;=$GH324,$DR324&lt;0)+N("only adjusted when pool is drawn down during storage season"),Sheet1!$DA322+$DR324+N("Auburn minus all storage release"),Sheet1!$DA322)</f>
        <v>669</v>
      </c>
    </row>
    <row r="325" spans="1:243" x14ac:dyDescent="0.25">
      <c r="A325" s="553" t="s">
        <v>8</v>
      </c>
      <c r="B325" s="531">
        <v>43049</v>
      </c>
      <c r="C325" s="536">
        <v>0</v>
      </c>
      <c r="D325" s="506">
        <f t="shared" si="633"/>
        <v>300</v>
      </c>
      <c r="E325" s="506">
        <f t="shared" si="634"/>
        <v>250</v>
      </c>
      <c r="F325" s="506">
        <v>250</v>
      </c>
      <c r="G325" s="535">
        <f>DR325+Sheet1!CZ323</f>
        <v>491.2133131620995</v>
      </c>
      <c r="H325" s="1074">
        <f t="shared" si="690"/>
        <v>59.59885568</v>
      </c>
      <c r="I325" s="534">
        <f>IF(Sheet1!DA323&gt;=E325,(Sheet1!DA323-E325+P325)*CFStoMGD,0)</f>
        <v>294.88845567999999</v>
      </c>
      <c r="J325" s="995">
        <f>IF(Sheet1!DB323&gt;=D325,(Sheet1!DB323-D325+P325)*CFStoMGD,0)</f>
        <v>59.59885568</v>
      </c>
      <c r="K325" s="818">
        <f t="shared" si="665"/>
        <v>59.59885568</v>
      </c>
      <c r="L325" s="535">
        <f>Sheet1!AA323+Sheet1!AB323-Sheet1!L323+(Sheet1!DA323-F325)*CFStoMGD-S325-T325-U325</f>
        <v>227.20074431999984</v>
      </c>
      <c r="M325" s="535">
        <f t="shared" si="697"/>
        <v>323.87069134054076</v>
      </c>
      <c r="N325" s="824">
        <f>IF(Sheet1!DA323&gt;=F325,MIN(113*CFStoMGD,MIN(MAX(L325,0),MAX(M325,0))),0)</f>
        <v>73.043199999999999</v>
      </c>
      <c r="O325" s="538">
        <f>Sheet1!AA323+Sheet1!AB323</f>
        <v>59.6</v>
      </c>
      <c r="P325" s="538">
        <f t="shared" si="698"/>
        <v>92.2012</v>
      </c>
      <c r="Q325" s="812">
        <f t="shared" si="666"/>
        <v>1.1443200000016418E-3</v>
      </c>
      <c r="R325" s="812">
        <f t="shared" si="635"/>
        <v>12.132232454747541</v>
      </c>
      <c r="S325" s="812">
        <f t="shared" si="636"/>
        <v>59.59885568</v>
      </c>
      <c r="T325" s="812">
        <f t="shared" si="637"/>
        <v>0</v>
      </c>
      <c r="U325" s="812">
        <f>IF(AND(B325&gt;=FV325,B325&lt;=FW325),ED325+Sheet1!EH323,0)</f>
        <v>0</v>
      </c>
      <c r="V325" s="812"/>
      <c r="W325" s="812">
        <f t="shared" si="638"/>
        <v>47.466623225252462</v>
      </c>
      <c r="X325" s="812">
        <f t="shared" si="639"/>
        <v>59.59885568</v>
      </c>
      <c r="Y325" s="812" t="str">
        <f t="shared" si="640"/>
        <v>FALSE</v>
      </c>
      <c r="Z325" s="812">
        <f t="shared" si="641"/>
        <v>59.6</v>
      </c>
      <c r="AA325" s="812">
        <f t="shared" si="642"/>
        <v>59.6</v>
      </c>
      <c r="AB325" s="1059">
        <f t="shared" si="667"/>
        <v>1.7702630400025397E-3</v>
      </c>
      <c r="AC325" s="538">
        <f>Sheet1!Y323*MGDtoCFS</f>
        <v>43.470700000000001</v>
      </c>
      <c r="AD325" s="538">
        <f>Sheet1!Z323*MGDtoCFS</f>
        <v>51.050999999999995</v>
      </c>
      <c r="AE325" s="538">
        <f>Sheet1!AA323*MGDtoCFS</f>
        <v>43.315999999999995</v>
      </c>
      <c r="AF325" s="538">
        <f>Sheet1!AB323*MGDtoCFS</f>
        <v>48.885199999999998</v>
      </c>
      <c r="AG325" s="538">
        <f>Sheet1!L323*MGDtoCFS</f>
        <v>12.515230000000225</v>
      </c>
      <c r="AH325" s="521">
        <f t="shared" si="699"/>
        <v>0</v>
      </c>
      <c r="AI325" s="1059">
        <f t="shared" si="700"/>
        <v>0</v>
      </c>
      <c r="AJ325" s="535">
        <f t="shared" si="701"/>
        <v>0</v>
      </c>
      <c r="AK325" s="535">
        <f t="shared" si="702"/>
        <v>0</v>
      </c>
      <c r="AL325" s="535">
        <f>(VLOOKUP(Sheet1!DC323,hhdcap_wcm,4)-(((VLOOKUP(Sheet1!DC323,hhdcap_wcm,3)-Sheet1!DC323)/(VLOOKUP(Sheet1!DC323,hhdcap_wcm,3)-VLOOKUP(Sheet1!DC323,hhdcap_wcm,1)))*(VLOOKUP(Sheet1!DC323,hhdcap_wcm,4)-VLOOKUP(Sheet1!DC323,hhdcap_wcm,2))))</f>
        <v>1059.8000000029194</v>
      </c>
      <c r="AM325" s="535">
        <f t="shared" si="703"/>
        <v>236.40000000044336</v>
      </c>
      <c r="AN325" s="1035">
        <f t="shared" si="704"/>
        <v>0</v>
      </c>
      <c r="AO325" s="535">
        <f t="shared" si="705"/>
        <v>0</v>
      </c>
      <c r="AP325" s="535">
        <f>Sheet1!BA323+Sheet1!BB323+Sheet1!BN323+CD325</f>
        <v>19.399999999999999</v>
      </c>
      <c r="AQ325" s="535">
        <f>Sheet1!BN323+(DO325*Sheet1!BN323)</f>
        <v>19.46776754525246</v>
      </c>
      <c r="AR325" s="535">
        <f>Sheet1!BA323+CD325</f>
        <v>0</v>
      </c>
      <c r="AS325" s="535">
        <f>Sheet1!BA323+Sheet1!BB323+CD325</f>
        <v>0</v>
      </c>
      <c r="AT325" s="649">
        <f>0</f>
        <v>0</v>
      </c>
      <c r="AU325" s="974">
        <f>BA325+MAX(Sheet1!EH323,(O325-Q325-ED325-S325))</f>
        <v>0</v>
      </c>
      <c r="AV325" s="535">
        <f>IF(OR(B325&gt;=GD325,B325&lt;GC325),0,15/36*K325-MAX(0,64.6-(137.6-(Sheet1!AA323+Sheet1!AB323))))</f>
        <v>0</v>
      </c>
      <c r="AW325" s="1029"/>
      <c r="AX325" s="649"/>
      <c r="AY325" s="649">
        <f t="shared" si="668"/>
        <v>23.311716569431731</v>
      </c>
      <c r="AZ325" s="649">
        <f t="shared" si="669"/>
        <v>0</v>
      </c>
      <c r="BA325" s="1059">
        <f t="shared" si="670"/>
        <v>0</v>
      </c>
      <c r="BB325" s="1019">
        <f t="shared" si="706"/>
        <v>0</v>
      </c>
      <c r="BC325" s="1041">
        <f t="shared" si="671"/>
        <v>24.832856533333334</v>
      </c>
      <c r="BD325" s="1019">
        <f ca="1">IF(B325&gt;(Summary!$A$1-1),#N/A,BB325*MGtoAF)</f>
        <v>0</v>
      </c>
      <c r="BE325" s="535">
        <f>Sheet1!BG323+Sheet1!BH323+Sheet1!BI323-BM325</f>
        <v>2.91</v>
      </c>
      <c r="BF325" s="535">
        <f t="shared" si="707"/>
        <v>2.9201651317878694</v>
      </c>
      <c r="BG325" s="535">
        <f>IF(Sheet1!EP323="FM",BM325,0)</f>
        <v>0</v>
      </c>
      <c r="BH325" s="535">
        <f t="shared" si="708"/>
        <v>0</v>
      </c>
      <c r="BI325" s="535">
        <f>IF(Sheet1!EP323="OTHER",BM325,0)</f>
        <v>0</v>
      </c>
      <c r="BJ325" s="535">
        <f t="shared" si="709"/>
        <v>0</v>
      </c>
      <c r="BK325" s="535">
        <f t="shared" si="710"/>
        <v>2.91</v>
      </c>
      <c r="BL325" s="535">
        <f t="shared" si="711"/>
        <v>2.9201651317878694</v>
      </c>
      <c r="BM325" s="535">
        <f>IF(OR(Sheet1!EP323="FM", Sheet1!EP323="OTHER"),SUM(Sheet1!BG323:'Sheet1'!BI323),0)</f>
        <v>0</v>
      </c>
      <c r="BN325" s="521">
        <f>IF(AND($B325&gt;=$FV325,$B325&lt;=$FW325),MAX(BF325,Sheet1!EI323,0),MAX(BF325-(7/36)*$K325,0))</f>
        <v>0</v>
      </c>
      <c r="BO325" s="535">
        <f t="shared" si="712"/>
        <v>0</v>
      </c>
      <c r="BP325" s="521">
        <f t="shared" si="713"/>
        <v>2.9201651317878694</v>
      </c>
      <c r="BQ325" s="521">
        <f>IF(AND($O325&gt;0,Sheet1!EM323=1),(1-($O325-Sheet1!$L323)/$O325)*BL325,0)</f>
        <v>0</v>
      </c>
      <c r="BR325" s="521">
        <f>IF(AND(Sheet1!$L323=0,Sheet1!$L322=0, Calculation!BK325&lt;Sheet1!$EI323-0.1,Sheet1!$EI323=Sheet1!$EI322,Sheet1!$EI323=Sheet1!$EI324),BL325-BQ325,BL325-BQ325)</f>
        <v>2.9201651317878694</v>
      </c>
      <c r="BS325" s="1035" t="str">
        <f t="shared" si="672"/>
        <v/>
      </c>
      <c r="BT325" s="1035">
        <f t="shared" si="673"/>
        <v>11.588666382222222</v>
      </c>
      <c r="BU325" s="535">
        <f t="shared" si="714"/>
        <v>0</v>
      </c>
      <c r="BV325" s="535"/>
      <c r="BW325" s="535">
        <f ca="1">IF(B325&gt;(Summary!$A$1-1),#N/A,BU325*MGtoAF)</f>
        <v>0</v>
      </c>
      <c r="BX325" s="535">
        <f>Sheet1!BC323+Sheet1!BD323+Sheet1!BE323+Sheet1!BF323-CG325-CH325</f>
        <v>2.6799999999999997</v>
      </c>
      <c r="BY325" s="535">
        <f t="shared" si="715"/>
        <v>2.6893617021276595</v>
      </c>
      <c r="BZ325" s="535">
        <f>IF(Sheet1!EQ323="FM",CH325,0)</f>
        <v>0</v>
      </c>
      <c r="CA325" s="535">
        <f t="shared" si="716"/>
        <v>0</v>
      </c>
      <c r="CB325" s="535">
        <f>IF(Sheet1!EQ323="OTHER",CH325,0)</f>
        <v>0</v>
      </c>
      <c r="CC325" s="535">
        <f t="shared" si="717"/>
        <v>0</v>
      </c>
      <c r="CD325" s="535">
        <f t="shared" si="718"/>
        <v>0</v>
      </c>
      <c r="CE325" s="535">
        <f t="shared" si="719"/>
        <v>2.6799999999999997</v>
      </c>
      <c r="CF325" s="535">
        <f t="shared" si="720"/>
        <v>2.6893617021276595</v>
      </c>
      <c r="CG325" s="535">
        <f>IF(Sheet1!EQ323="CWA",SUM(Sheet1!BC323:'Sheet1'!BF323),0)</f>
        <v>0</v>
      </c>
      <c r="CH325" s="535">
        <f>IF(OR(Sheet1!EQ323="FM", Sheet1!EQ323="OTHER"),SUM(Sheet1!BC323:'Sheet1'!BF323),0)</f>
        <v>0</v>
      </c>
      <c r="CI325" s="521">
        <f>IF(AND($B325&gt;=$FV325,$B325&lt;=$FW325),MAX(CF325,Sheet1!EJ323,0),MAX(CF325-(7/36)*$K325,0))</f>
        <v>0</v>
      </c>
      <c r="CJ325" s="535">
        <f t="shared" si="721"/>
        <v>0</v>
      </c>
      <c r="CK325" s="521">
        <f t="shared" si="722"/>
        <v>2.6893617021276595</v>
      </c>
      <c r="CL325" s="521">
        <f>IF(AND($O325&gt;0,Sheet1!EN323=1),(1-($O325-Sheet1!$L323)/$O325)*CF325,0)</f>
        <v>0</v>
      </c>
      <c r="CM325" s="521">
        <f>IF(AND(Sheet1!$L323=0,Sheet1!$L322=0, Calculation!CE325&lt;Sheet1!EJ323-0.1,Sheet1!EJ323=Sheet1!EJ322,Sheet1!EJ323=Sheet1!EJ324),CF325-CL325,CF325-CL325)</f>
        <v>2.6893617021276595</v>
      </c>
      <c r="CN325" s="1040" t="str">
        <f t="shared" si="674"/>
        <v/>
      </c>
      <c r="CO325" s="1035">
        <f t="shared" si="675"/>
        <v>11.588666382222222</v>
      </c>
      <c r="CP325" s="535">
        <f t="shared" si="723"/>
        <v>0</v>
      </c>
      <c r="CQ325" s="535"/>
      <c r="CR325" s="535">
        <f ca="1">IF(B325&gt;(Summary!$A$1-1),#N/A,CP325*MGtoAF)</f>
        <v>0</v>
      </c>
      <c r="CS325" s="535">
        <f>Sheet1!BK323+Sheet1!BL323+Sheet1!BM323-Sheet1!ER323-DA325</f>
        <v>6.5</v>
      </c>
      <c r="CT325" s="535">
        <f t="shared" si="724"/>
        <v>6.5227056208320109</v>
      </c>
      <c r="CU325" s="535">
        <f>IF(Sheet1!ER323="FM",DA325,0)</f>
        <v>0</v>
      </c>
      <c r="CV325" s="535">
        <f t="shared" si="725"/>
        <v>0</v>
      </c>
      <c r="CW325" s="535">
        <f>IF(Sheet1!ER323="OTHER",DA325,0)</f>
        <v>0</v>
      </c>
      <c r="CX325" s="535">
        <f t="shared" si="726"/>
        <v>0</v>
      </c>
      <c r="CY325" s="535">
        <f t="shared" si="727"/>
        <v>6.5</v>
      </c>
      <c r="CZ325" s="535">
        <f t="shared" si="728"/>
        <v>6.5227056208320109</v>
      </c>
      <c r="DA325" s="535">
        <f>IF(OR(Sheet1!ER323="FM", Sheet1!ER323="OTHER"),SUM(Sheet1!BK323:'Sheet1'!BM323),0)</f>
        <v>0</v>
      </c>
      <c r="DB325" s="1011">
        <f>IF(AND($B325&gt;=$FV325,$B325&lt;=$FW325),MAX($CT325,Sheet1!EK323,0),MAX($CT325-(7/36)*$K325,0))</f>
        <v>0</v>
      </c>
      <c r="DC325" s="1012">
        <f t="shared" si="729"/>
        <v>0</v>
      </c>
      <c r="DD325" s="1011">
        <f t="shared" si="730"/>
        <v>6.5227056208320109</v>
      </c>
      <c r="DE325" s="521">
        <f>IF(AND($O325&gt;0,Sheet1!EO323=1),(1-($O325-Sheet1!$L323)/$O325)*CZ325,0)</f>
        <v>0</v>
      </c>
      <c r="DF325" s="521">
        <f>IF(AND(Sheet1!$L323=0,Sheet1!$L322=0, Calculation!CY325&lt;Sheet1!$EK323-0.1,Sheet1!$EK323=Sheet1!$EK322,Sheet1!$EK323=Sheet1!$EK324),CZ325-DE325,CZ325-DE325)</f>
        <v>6.5227056208320109</v>
      </c>
      <c r="DG325" s="1040">
        <f t="shared" si="676"/>
        <v>11.588666382222222</v>
      </c>
      <c r="DH325" s="649">
        <f t="shared" si="731"/>
        <v>12.09</v>
      </c>
      <c r="DI325" s="535">
        <f t="shared" si="732"/>
        <v>0</v>
      </c>
      <c r="DJ325" s="649">
        <f t="shared" si="733"/>
        <v>12.132232454747541</v>
      </c>
      <c r="DK325" s="535">
        <f ca="1">IF(B325&gt;(Summary!$A$1-1),#N/A,DI325*MGtoAF)</f>
        <v>0</v>
      </c>
      <c r="DL325" s="649">
        <f t="shared" si="734"/>
        <v>12.09</v>
      </c>
      <c r="DM325" s="535">
        <f t="shared" si="735"/>
        <v>31.49</v>
      </c>
      <c r="DN325" s="535">
        <f>Sheet1!AB323-DM325</f>
        <v>0.11000000000000298</v>
      </c>
      <c r="DO325" s="743">
        <f t="shared" si="736"/>
        <v>3.4931724356939658E-3</v>
      </c>
      <c r="DP325" s="535">
        <f>(VLOOKUP(Sheet1!DC323,hhdcap_wcm,4)-(((VLOOKUP(Sheet1!DC323,hhdcap_wcm,3)-Sheet1!DC323)/(VLOOKUP(Sheet1!DC323,hhdcap_wcm,3)-VLOOKUP(Sheet1!DC323,hhdcap_wcm,1)))*(VLOOKUP(Sheet1!DC323,hhdcap_wcm,4)-VLOOKUP(Sheet1!DC323,hhdcap_wcm,2))))</f>
        <v>1059.8000000029194</v>
      </c>
      <c r="DQ325" s="535">
        <f t="shared" si="737"/>
        <v>236.40000000044336</v>
      </c>
      <c r="DR325" s="535">
        <f t="shared" si="738"/>
        <v>119.21331316209951</v>
      </c>
      <c r="DS325" s="535">
        <f>Sheet1!EA323*AFtoMG</f>
        <v>0</v>
      </c>
      <c r="DT325" s="535">
        <f>Sheet1!EB323*AFtoMG</f>
        <v>0</v>
      </c>
      <c r="DU325" s="535">
        <f>Sheet1!EC323*AFtoMG</f>
        <v>0</v>
      </c>
      <c r="DV325" s="535">
        <f>Sheet1!ED323*AFtoMG</f>
        <v>0</v>
      </c>
      <c r="DW325" s="535">
        <f t="shared" si="739"/>
        <v>0</v>
      </c>
      <c r="DX325" s="535">
        <f t="shared" si="740"/>
        <v>0</v>
      </c>
      <c r="DY325" s="535">
        <f t="shared" si="741"/>
        <v>0</v>
      </c>
      <c r="DZ325" s="535">
        <f t="shared" si="742"/>
        <v>0</v>
      </c>
      <c r="EA325" s="535"/>
      <c r="EB325" s="521">
        <f>IF(OR(B325&lt;FV325,B325&gt;FW325),(MIN(BF325+BY325+CT325+MAX(Sheet1!AA323+AQ325-73,0),K325)),0)</f>
        <v>12.132232454747541</v>
      </c>
      <c r="EC325" s="535"/>
      <c r="ED325" s="535">
        <f t="shared" si="743"/>
        <v>12.132232454747539</v>
      </c>
      <c r="EE325" s="535"/>
      <c r="EF325" s="535">
        <f>Sheet1!EH323+Sheet1!EI323+Sheet1!EJ323+Sheet1!EK323</f>
        <v>12.5</v>
      </c>
      <c r="EG325" s="1019">
        <f t="shared" si="677"/>
        <v>19.337499999999999</v>
      </c>
      <c r="EH325" s="521">
        <f t="shared" si="744"/>
        <v>0</v>
      </c>
      <c r="EI325" s="535">
        <f>IF(Sheet1!ET323=1,SUM('Calculations II'!AT325:BA325)+'Calculations II'!BC325+Sheet1!BV323+'Calculations II'!BE325+AP325,'Calculations II'!BK325)</f>
        <v>44.319527545252456</v>
      </c>
      <c r="EJ325" s="535">
        <f ca="1">EI325+'Calculations II'!D325+'Calculations II'!E325+'Calculations II'!O325</f>
        <v>47.188290022804537</v>
      </c>
      <c r="EK325" s="535"/>
      <c r="EL325" s="535"/>
      <c r="EM325" s="535">
        <f t="shared" si="745"/>
        <v>43049</v>
      </c>
      <c r="EN325" s="535">
        <f t="shared" si="746"/>
        <v>0</v>
      </c>
      <c r="EO325" s="535">
        <f t="shared" si="747"/>
        <v>0</v>
      </c>
      <c r="EP325" s="535">
        <v>0</v>
      </c>
      <c r="EQ325" s="535">
        <v>0</v>
      </c>
      <c r="ER325" s="535">
        <v>0</v>
      </c>
      <c r="ES325" s="521">
        <f t="shared" si="643"/>
        <v>-2.3565295065973739</v>
      </c>
      <c r="ET325" s="535">
        <f>-(VLOOKUP(Sheet1!BQ323,Lookup!$O$4:$Q$262,2)-VLOOKUP(Sheet1!BQ322,Lookup!$O$4:$Q$262,2))/1000000</f>
        <v>-1.2473436345544979</v>
      </c>
      <c r="EU325" s="535">
        <f>-(VLOOKUP(Sheet1!BR323,Lookup!$O$4:$Q$262,3)-VLOOKUP(Sheet1!BR322,Lookup!$O$4:$Q$262,3))/1000000</f>
        <v>-1.1091858720428758</v>
      </c>
      <c r="EV325" s="535"/>
      <c r="EW325" s="535"/>
      <c r="EX325" s="535"/>
      <c r="EY325" s="535"/>
      <c r="EZ325" s="535"/>
      <c r="FA325" s="535"/>
      <c r="FB325" s="535"/>
      <c r="FC325" s="535"/>
      <c r="FD325" s="567">
        <f t="shared" si="786"/>
        <v>1085.7187499999693</v>
      </c>
      <c r="FE325" s="567" t="e">
        <f t="shared" si="748"/>
        <v>#N/A</v>
      </c>
      <c r="FF325" s="568" t="e">
        <f t="shared" si="749"/>
        <v>#N/A</v>
      </c>
      <c r="FG325" s="569" t="s">
        <v>656</v>
      </c>
      <c r="FH325" s="569" t="s">
        <v>656</v>
      </c>
      <c r="FI325" s="567" t="e">
        <v>#N/A</v>
      </c>
      <c r="FJ325" s="725">
        <v>1890</v>
      </c>
      <c r="FK325" s="535"/>
      <c r="FL325" s="1015">
        <f t="shared" si="785"/>
        <v>45.385779122541599</v>
      </c>
      <c r="FM325" s="535"/>
      <c r="FN325" s="535"/>
      <c r="FO325" s="535">
        <f>O325+((Sheet1!CS323)*GPMtoMGD)</f>
        <v>59.6</v>
      </c>
      <c r="FP325" s="535">
        <f>IF(Sheet1!AA323+AQ325&lt;=Calculation!N325,AQ325,Calculation!N325-Sheet1!AA323)</f>
        <v>19.46776754525246</v>
      </c>
      <c r="FQ325" s="535">
        <f>(Sheet1!BP323+Sheet1!BO323)/694.4</f>
        <v>1.2229262672811061</v>
      </c>
      <c r="FR325" s="541"/>
      <c r="FS325" s="541"/>
      <c r="FT325" s="541"/>
      <c r="FU325" s="541"/>
      <c r="FV325" s="1109">
        <f t="shared" si="644"/>
        <v>42918</v>
      </c>
      <c r="FW325" s="1109">
        <f t="shared" si="645"/>
        <v>43027</v>
      </c>
      <c r="FX325" s="541"/>
      <c r="FY325" s="541">
        <f>Sheet1!DA323-Sheet1!CZ323-Sheet1!AE323</f>
        <v>162.31403000000023</v>
      </c>
      <c r="FZ325" s="535">
        <f t="shared" si="678"/>
        <v>0.33043491625895099</v>
      </c>
      <c r="GA325" s="535"/>
      <c r="GB325" s="535" t="str">
        <f t="shared" si="646"/>
        <v>n</v>
      </c>
      <c r="GC325" s="539">
        <f t="shared" si="647"/>
        <v>42782</v>
      </c>
      <c r="GD325" s="1109">
        <f t="shared" si="648"/>
        <v>42904</v>
      </c>
      <c r="GE325" s="535">
        <f t="shared" si="664"/>
        <v>6520</v>
      </c>
      <c r="GF325" s="1109">
        <f t="shared" si="649"/>
        <v>42909</v>
      </c>
      <c r="GG325" s="535">
        <f t="shared" si="691"/>
        <v>3260</v>
      </c>
      <c r="GH325" s="539">
        <f t="shared" si="650"/>
        <v>43040</v>
      </c>
      <c r="GJ325" s="521">
        <f t="shared" si="651"/>
        <v>0</v>
      </c>
      <c r="GK325" s="535" t="str">
        <f t="shared" si="750"/>
        <v/>
      </c>
      <c r="GL325" s="535">
        <f t="shared" si="652"/>
        <v>0</v>
      </c>
      <c r="GM325" s="535" t="str">
        <f t="shared" si="653"/>
        <v/>
      </c>
      <c r="GN325" s="535">
        <f>IF(GK325="P",Lookup!$M$12,IF(GK325="PP",Lookup!$M$13,IF(GK325="PPP",Lookup!$M$14,IF(GK325="T",Lookup!$M$15,IF(GK325="TP",Lookup!$M$16,IF(GK325="TPP",Lookup!$M$17,IF(GK325="TPPP",Lookup!$M$18,0)))))))*GJ325</f>
        <v>0</v>
      </c>
      <c r="GO325" s="535">
        <f t="shared" si="654"/>
        <v>0</v>
      </c>
      <c r="GP325" s="535">
        <f t="shared" si="751"/>
        <v>0</v>
      </c>
      <c r="GQ325" s="974">
        <f t="shared" si="695"/>
        <v>0</v>
      </c>
      <c r="GR325" s="535"/>
      <c r="GS325" s="535">
        <f t="shared" si="655"/>
        <v>0</v>
      </c>
      <c r="GT325" s="535" t="str">
        <f t="shared" si="656"/>
        <v/>
      </c>
      <c r="GU325" s="535">
        <f>IF(GK325="P",Lookup!$N$12,IF(GK325="PP",Lookup!$N$13,IF(GK325="PPP",Lookup!$N$14,IF(GK325="T",Lookup!$N$15,IF(GK325="TP",Lookup!$N$16,IF(GK325="TPP",Lookup!$N$17,IF(GK325="TPPP",Lookup!$N$18,0)))))))*GJ325</f>
        <v>0</v>
      </c>
      <c r="GV325" s="535">
        <f t="shared" si="657"/>
        <v>0</v>
      </c>
      <c r="GW325" s="535">
        <f t="shared" si="752"/>
        <v>0</v>
      </c>
      <c r="GX325" s="974">
        <f t="shared" si="696"/>
        <v>0</v>
      </c>
      <c r="GY325" s="535"/>
      <c r="GZ325" s="535">
        <f t="shared" si="658"/>
        <v>0</v>
      </c>
      <c r="HA325" s="535" t="str">
        <f t="shared" si="659"/>
        <v/>
      </c>
      <c r="HB325" s="535">
        <f>IF(GK325="P",Lookup!$N$12,IF(GK325="PP",Lookup!$N$13,IF(GK325="PPP",Lookup!$N$14,IF(GK325="T",Lookup!$N$15,IF(GK325="TP",Lookup!$N$16,IF(GK325="TPP",Lookup!$N$17,IF(GK325="TPPP",Lookup!$N$18,0)))))))*GJ325</f>
        <v>0</v>
      </c>
      <c r="HC325" s="521">
        <f t="shared" si="753"/>
        <v>0</v>
      </c>
      <c r="HD325" s="535">
        <f t="shared" si="754"/>
        <v>0</v>
      </c>
      <c r="HE325" s="535">
        <f t="shared" si="662"/>
        <v>0</v>
      </c>
      <c r="HF325" s="535"/>
      <c r="HG325" s="535">
        <f t="shared" si="660"/>
        <v>0</v>
      </c>
      <c r="HH325" s="535" t="str">
        <f t="shared" si="661"/>
        <v/>
      </c>
      <c r="HI325" s="535">
        <f>IF(GK325="P",Lookup!$N$12,IF(GK325="PP",Lookup!$N$13,IF(GK325="PPP",Lookup!$N$14,IF(GK325="T",Lookup!$N$15,IF(GK325="TP",Lookup!$N$16,IF(GK325="TPP",Lookup!$N$17,IF(GK325="TPPP",Lookup!$N$18,0)))))))*GJ325</f>
        <v>0</v>
      </c>
      <c r="HJ325" s="521">
        <f t="shared" si="755"/>
        <v>0</v>
      </c>
      <c r="HK325" s="535">
        <f t="shared" si="756"/>
        <v>0</v>
      </c>
      <c r="HL325" s="535">
        <f t="shared" si="663"/>
        <v>0</v>
      </c>
      <c r="HM325" s="535"/>
      <c r="HN325" s="541"/>
      <c r="HO325" s="541"/>
      <c r="HP325" s="541"/>
      <c r="HQ325" s="541">
        <f>IF(AND(B325&gt;=$FV$4,B325&lt;=$FW$4),MAX(110/1.02+$HQ$6+MIN(113/1.02,G325),IF($HV$6-(Sheet1!DA323-Sheet1!DB323)+MIN(113/1.02,G325)&lt;G325+FL325,$HV$6-(Sheet1!DA323-Sheet1!DB323)+MIN(113/1.02,G325),G325+FL325)),MIN(110/1.02+$HQ$6+113/1.02,G325))</f>
        <v>218.62745098039215</v>
      </c>
      <c r="HR325" s="541">
        <f t="shared" si="679"/>
        <v>223</v>
      </c>
      <c r="HS325" s="541">
        <f>HR325+(Sheet1!DA323-Sheet1!DB323)</f>
        <v>537</v>
      </c>
      <c r="HT325" s="541">
        <f t="shared" si="680"/>
        <v>1.7702630400025397E-3</v>
      </c>
      <c r="HU325" s="541">
        <f t="shared" si="681"/>
        <v>536.99822973695996</v>
      </c>
      <c r="HV325" s="541">
        <f t="shared" si="682"/>
        <v>0</v>
      </c>
      <c r="HW325" s="533" t="str">
        <f t="shared" si="683"/>
        <v/>
      </c>
      <c r="HX325" s="541">
        <f t="shared" si="684"/>
        <v>153.37254901960785</v>
      </c>
      <c r="HY325" s="541">
        <f>Sheet1!CZ323</f>
        <v>372</v>
      </c>
      <c r="HZ325" s="541">
        <f t="shared" si="685"/>
        <v>0</v>
      </c>
      <c r="IA325" s="541">
        <f t="shared" si="686"/>
        <v>1.7702630400025397E-3</v>
      </c>
      <c r="IB325" s="541">
        <f t="shared" si="687"/>
        <v>372</v>
      </c>
      <c r="IC325" s="1019" t="str">
        <f t="shared" si="688"/>
        <v/>
      </c>
      <c r="ID325" s="541">
        <f t="shared" si="689"/>
        <v>371.99822973696001</v>
      </c>
      <c r="IE325" s="541">
        <f>Sheet1!DB323</f>
        <v>300</v>
      </c>
      <c r="IF325" s="533">
        <f>Sheet1!DA323</f>
        <v>614</v>
      </c>
      <c r="IH325" s="541">
        <f>IF(AND($B325&gt;=$GC325,$B325&lt;=$GH325,$DR325&lt;0)+N("only adjusted when pool is drawn down during storage season"),Sheet1!$DB323+$DR325+N("Palmer minus all storage release"),Sheet1!$DB323)</f>
        <v>300</v>
      </c>
      <c r="II325" s="541">
        <f>IF(AND($B325&gt;=$GC325,$B325&lt;=$GH325,$DR325&lt;0)+N("only adjusted when pool is drawn down during storage season"),Sheet1!$DA323+$DR325+N("Auburn minus all storage release"),Sheet1!$DA323)</f>
        <v>614</v>
      </c>
    </row>
    <row r="326" spans="1:243" x14ac:dyDescent="0.25">
      <c r="A326" s="553" t="s">
        <v>9</v>
      </c>
      <c r="B326" s="531">
        <v>43050</v>
      </c>
      <c r="C326" s="536">
        <v>0</v>
      </c>
      <c r="D326" s="506">
        <f t="shared" si="633"/>
        <v>300</v>
      </c>
      <c r="E326" s="506">
        <f t="shared" si="634"/>
        <v>250</v>
      </c>
      <c r="F326" s="506">
        <v>250</v>
      </c>
      <c r="G326" s="535">
        <f>DR326+Sheet1!CZ324</f>
        <v>471.09127584502153</v>
      </c>
      <c r="H326" s="1074">
        <f t="shared" si="690"/>
        <v>67.087722880000001</v>
      </c>
      <c r="I326" s="534">
        <f>IF(Sheet1!DA324&gt;=E326,(Sheet1!DA324-E326+P326)*CFStoMGD,0)</f>
        <v>288.15652288000001</v>
      </c>
      <c r="J326" s="995">
        <f>IF(Sheet1!DB324&gt;=D326,(Sheet1!DB324-D326+P326)*CFStoMGD,0)</f>
        <v>67.087722880000001</v>
      </c>
      <c r="K326" s="818">
        <f t="shared" si="665"/>
        <v>64.64</v>
      </c>
      <c r="L326" s="535">
        <f>Sheet1!AA324+Sheet1!AB324-Sheet1!L324+(Sheet1!DA324-F326)*CFStoMGD-S326-T326-U326</f>
        <v>232.05760000000001</v>
      </c>
      <c r="M326" s="535">
        <f t="shared" si="697"/>
        <v>310.60366872034638</v>
      </c>
      <c r="N326" s="824">
        <f>IF(Sheet1!DA324&gt;=F326,MIN(113*CFStoMGD,MIN(MAX(L326,0),MAX(M326,0))),0)</f>
        <v>73.043199999999999</v>
      </c>
      <c r="O326" s="538">
        <f>Sheet1!AA324+Sheet1!AB324</f>
        <v>56.1</v>
      </c>
      <c r="P326" s="538">
        <f t="shared" si="698"/>
        <v>86.786699999999996</v>
      </c>
      <c r="Q326" s="812">
        <f t="shared" si="666"/>
        <v>0</v>
      </c>
      <c r="R326" s="812">
        <f t="shared" si="635"/>
        <v>12.333664772727275</v>
      </c>
      <c r="S326" s="812">
        <f t="shared" si="636"/>
        <v>56.1</v>
      </c>
      <c r="T326" s="812">
        <f t="shared" si="637"/>
        <v>0</v>
      </c>
      <c r="U326" s="812">
        <f>IF(AND(B326&gt;=FV326,B326&lt;=FW326),ED326+Sheet1!EH324,0)</f>
        <v>0</v>
      </c>
      <c r="V326" s="812"/>
      <c r="W326" s="812">
        <f t="shared" si="638"/>
        <v>52.306335227272726</v>
      </c>
      <c r="X326" s="812">
        <f t="shared" si="639"/>
        <v>56.1</v>
      </c>
      <c r="Y326" s="812" t="str">
        <f t="shared" si="640"/>
        <v/>
      </c>
      <c r="Z326" s="812">
        <f t="shared" si="641"/>
        <v>56.1</v>
      </c>
      <c r="AA326" s="812">
        <f t="shared" si="642"/>
        <v>56.1</v>
      </c>
      <c r="AB326" s="1059">
        <f t="shared" si="667"/>
        <v>0</v>
      </c>
      <c r="AC326" s="538">
        <f>Sheet1!Y324*MGDtoCFS</f>
        <v>43.315999999999995</v>
      </c>
      <c r="AD326" s="538">
        <f>Sheet1!Z324*MGDtoCFS</f>
        <v>48.885199999999998</v>
      </c>
      <c r="AE326" s="538">
        <f>Sheet1!AA324*MGDtoCFS</f>
        <v>43.315999999999995</v>
      </c>
      <c r="AF326" s="538">
        <f>Sheet1!AB324*MGDtoCFS</f>
        <v>43.470700000000001</v>
      </c>
      <c r="AG326" s="538">
        <f>Sheet1!L324*MGDtoCFS</f>
        <v>0</v>
      </c>
      <c r="AH326" s="521">
        <f t="shared" si="699"/>
        <v>0</v>
      </c>
      <c r="AI326" s="1059">
        <f t="shared" si="700"/>
        <v>0</v>
      </c>
      <c r="AJ326" s="535">
        <f t="shared" si="701"/>
        <v>0</v>
      </c>
      <c r="AK326" s="535">
        <f t="shared" si="702"/>
        <v>0</v>
      </c>
      <c r="AL326" s="535">
        <f>(VLOOKUP(Sheet1!DC324,hhdcap_wcm,4)-(((VLOOKUP(Sheet1!DC324,hhdcap_wcm,3)-Sheet1!DC324)/(VLOOKUP(Sheet1!DC324,hhdcap_wcm,3)-VLOOKUP(Sheet1!DC324,hhdcap_wcm,1)))*(VLOOKUP(Sheet1!DC324,hhdcap_wcm,4)-VLOOKUP(Sheet1!DC324,hhdcap_wcm,2))))</f>
        <v>1244.4000000035971</v>
      </c>
      <c r="AM326" s="535">
        <f t="shared" si="703"/>
        <v>184.60000000067771</v>
      </c>
      <c r="AN326" s="1035">
        <f t="shared" si="704"/>
        <v>0</v>
      </c>
      <c r="AO326" s="535">
        <f t="shared" si="705"/>
        <v>0</v>
      </c>
      <c r="AP326" s="535">
        <f>Sheet1!BA324+Sheet1!BB324+Sheet1!BN324+CD326</f>
        <v>15.8</v>
      </c>
      <c r="AQ326" s="535">
        <f>Sheet1!BN324+(DO326*Sheet1!BN324)</f>
        <v>15.766335227272728</v>
      </c>
      <c r="AR326" s="535">
        <f>Sheet1!BA324+CD326</f>
        <v>0</v>
      </c>
      <c r="AS326" s="535">
        <f>Sheet1!BA324+Sheet1!BB324+CD326</f>
        <v>0</v>
      </c>
      <c r="AT326" s="649">
        <f>0</f>
        <v>0</v>
      </c>
      <c r="AU326" s="974">
        <f>BA326+MAX(Sheet1!EH324,(O326-Q326-ED326-S326))</f>
        <v>0</v>
      </c>
      <c r="AV326" s="535">
        <f>IF(OR(B326&gt;=GD326,B326&lt;GC326),0,15/36*K326-MAX(0,64.6-(137.6-(Sheet1!AA324+Sheet1!AB324))))</f>
        <v>0</v>
      </c>
      <c r="AW326" s="1029"/>
      <c r="AX326" s="649"/>
      <c r="AY326" s="649">
        <f t="shared" si="668"/>
        <v>23.311716569431731</v>
      </c>
      <c r="AZ326" s="649">
        <f t="shared" si="669"/>
        <v>0</v>
      </c>
      <c r="BA326" s="1059">
        <f t="shared" si="670"/>
        <v>0</v>
      </c>
      <c r="BB326" s="1019">
        <f t="shared" si="706"/>
        <v>0</v>
      </c>
      <c r="BC326" s="1041">
        <f t="shared" si="671"/>
        <v>26.933333333333334</v>
      </c>
      <c r="BD326" s="1019">
        <f ca="1">IF(B326&gt;(Summary!$A$1-1),#N/A,BB326*MGtoAF)</f>
        <v>0</v>
      </c>
      <c r="BE326" s="535">
        <f>Sheet1!BG324+Sheet1!BH324+Sheet1!BI324-BM326</f>
        <v>2.75</v>
      </c>
      <c r="BF326" s="535">
        <f t="shared" si="707"/>
        <v>2.744140625</v>
      </c>
      <c r="BG326" s="535">
        <f>IF(Sheet1!EP324="FM",BM326,0)</f>
        <v>0</v>
      </c>
      <c r="BH326" s="535">
        <f t="shared" si="708"/>
        <v>0</v>
      </c>
      <c r="BI326" s="535">
        <f>IF(Sheet1!EP324="OTHER",BM326,0)</f>
        <v>0</v>
      </c>
      <c r="BJ326" s="535">
        <f t="shared" si="709"/>
        <v>0</v>
      </c>
      <c r="BK326" s="535">
        <f t="shared" si="710"/>
        <v>2.75</v>
      </c>
      <c r="BL326" s="535">
        <f t="shared" si="711"/>
        <v>2.744140625</v>
      </c>
      <c r="BM326" s="535">
        <f>IF(OR(Sheet1!EP324="FM", Sheet1!EP324="OTHER"),SUM(Sheet1!BG324:'Sheet1'!BI324),0)</f>
        <v>0</v>
      </c>
      <c r="BN326" s="521">
        <f>IF(AND($B326&gt;=$FV326,$B326&lt;=$FW326),MAX(BF326,Sheet1!EI324,0),MAX(BF326-(7/36)*$K326,0))</f>
        <v>0</v>
      </c>
      <c r="BO326" s="535">
        <f t="shared" si="712"/>
        <v>0</v>
      </c>
      <c r="BP326" s="521">
        <f t="shared" si="713"/>
        <v>2.744140625</v>
      </c>
      <c r="BQ326" s="521">
        <f>IF(AND($O326&gt;0,Sheet1!EM324=1),(1-($O326-Sheet1!$L324)/$O326)*BL326,0)</f>
        <v>0</v>
      </c>
      <c r="BR326" s="521">
        <f>IF(AND(Sheet1!$L324=0,Sheet1!$L323=0, Calculation!BK326&lt;Sheet1!$EI324-0.1,Sheet1!$EI324=Sheet1!$EI323,Sheet1!$EI324=Sheet1!$EI325),BL326-BQ326,BL326-BQ326)</f>
        <v>2.744140625</v>
      </c>
      <c r="BS326" s="1035" t="str">
        <f t="shared" si="672"/>
        <v/>
      </c>
      <c r="BT326" s="1035">
        <f t="shared" si="673"/>
        <v>12.568888888888889</v>
      </c>
      <c r="BU326" s="535">
        <f t="shared" si="714"/>
        <v>0</v>
      </c>
      <c r="BV326" s="535"/>
      <c r="BW326" s="535">
        <f ca="1">IF(B326&gt;(Summary!$A$1-1),#N/A,BU326*MGtoAF)</f>
        <v>0</v>
      </c>
      <c r="BX326" s="535">
        <f>Sheet1!BC324+Sheet1!BD324+Sheet1!BE324+Sheet1!BF324-CG326-CH326</f>
        <v>3</v>
      </c>
      <c r="BY326" s="535">
        <f t="shared" si="715"/>
        <v>2.9936079545454546</v>
      </c>
      <c r="BZ326" s="535">
        <f>IF(Sheet1!EQ324="FM",CH326,0)</f>
        <v>0</v>
      </c>
      <c r="CA326" s="535">
        <f t="shared" si="716"/>
        <v>0</v>
      </c>
      <c r="CB326" s="535">
        <f>IF(Sheet1!EQ324="OTHER",CH326,0)</f>
        <v>0</v>
      </c>
      <c r="CC326" s="535">
        <f t="shared" si="717"/>
        <v>0</v>
      </c>
      <c r="CD326" s="535">
        <f t="shared" si="718"/>
        <v>0</v>
      </c>
      <c r="CE326" s="535">
        <f t="shared" si="719"/>
        <v>3</v>
      </c>
      <c r="CF326" s="535">
        <f t="shared" si="720"/>
        <v>2.9936079545454546</v>
      </c>
      <c r="CG326" s="535">
        <f>IF(Sheet1!EQ324="CWA",SUM(Sheet1!BC324:'Sheet1'!BF324),0)</f>
        <v>0</v>
      </c>
      <c r="CH326" s="535">
        <f>IF(OR(Sheet1!EQ324="FM", Sheet1!EQ324="OTHER"),SUM(Sheet1!BC324:'Sheet1'!BF324),0)</f>
        <v>0</v>
      </c>
      <c r="CI326" s="521">
        <f>IF(AND($B326&gt;=$FV326,$B326&lt;=$FW326),MAX(CF326,Sheet1!EJ324,0),MAX(CF326-(7/36)*$K326,0))</f>
        <v>0</v>
      </c>
      <c r="CJ326" s="535">
        <f t="shared" si="721"/>
        <v>0</v>
      </c>
      <c r="CK326" s="521">
        <f t="shared" si="722"/>
        <v>2.9936079545454546</v>
      </c>
      <c r="CL326" s="521">
        <f>IF(AND($O326&gt;0,Sheet1!EN324=1),(1-($O326-Sheet1!$L324)/$O326)*CF326,0)</f>
        <v>0</v>
      </c>
      <c r="CM326" s="521">
        <f>IF(AND(Sheet1!$L324=0,Sheet1!$L323=0, Calculation!CE326&lt;Sheet1!EJ324-0.1,Sheet1!EJ324=Sheet1!EJ323,Sheet1!EJ324=Sheet1!EJ325),CF326-CL326,CF326-CL326)</f>
        <v>2.9936079545454546</v>
      </c>
      <c r="CN326" s="1040" t="str">
        <f t="shared" si="674"/>
        <v/>
      </c>
      <c r="CO326" s="1035">
        <f t="shared" si="675"/>
        <v>12.568888888888889</v>
      </c>
      <c r="CP326" s="535">
        <f t="shared" si="723"/>
        <v>0</v>
      </c>
      <c r="CQ326" s="535"/>
      <c r="CR326" s="535">
        <f ca="1">IF(B326&gt;(Summary!$A$1-1),#N/A,CP326*MGtoAF)</f>
        <v>0</v>
      </c>
      <c r="CS326" s="535">
        <f>Sheet1!BK324+Sheet1!BL324+Sheet1!BM324-Sheet1!ER324-DA326</f>
        <v>6.61</v>
      </c>
      <c r="CT326" s="535">
        <f t="shared" si="724"/>
        <v>6.5959161931818189</v>
      </c>
      <c r="CU326" s="535">
        <f>IF(Sheet1!ER324="FM",DA326,0)</f>
        <v>0</v>
      </c>
      <c r="CV326" s="535">
        <f t="shared" si="725"/>
        <v>0</v>
      </c>
      <c r="CW326" s="535">
        <f>IF(Sheet1!ER324="OTHER",DA326,0)</f>
        <v>0</v>
      </c>
      <c r="CX326" s="535">
        <f t="shared" si="726"/>
        <v>0</v>
      </c>
      <c r="CY326" s="535">
        <f t="shared" si="727"/>
        <v>6.61</v>
      </c>
      <c r="CZ326" s="535">
        <f t="shared" si="728"/>
        <v>6.5959161931818189</v>
      </c>
      <c r="DA326" s="535">
        <f>IF(OR(Sheet1!ER324="FM", Sheet1!ER324="OTHER"),SUM(Sheet1!BK324:'Sheet1'!BM324),0)</f>
        <v>0</v>
      </c>
      <c r="DB326" s="1011">
        <f>IF(AND($B326&gt;=$FV326,$B326&lt;=$FW326),MAX($CT326,Sheet1!EK324,0),MAX($CT326-(7/36)*$K326,0))</f>
        <v>0</v>
      </c>
      <c r="DC326" s="1012">
        <f t="shared" si="729"/>
        <v>0</v>
      </c>
      <c r="DD326" s="1011">
        <f t="shared" si="730"/>
        <v>6.5959161931818189</v>
      </c>
      <c r="DE326" s="521">
        <f>IF(AND($O326&gt;0,Sheet1!EO324=1),(1-($O326-Sheet1!$L324)/$O326)*CZ326,0)</f>
        <v>0</v>
      </c>
      <c r="DF326" s="521">
        <f>IF(AND(Sheet1!$L324=0,Sheet1!$L323=0, Calculation!CY326&lt;Sheet1!$EK324-0.1,Sheet1!$EK324=Sheet1!$EK323,Sheet1!$EK324=Sheet1!$EK325),CZ326-DE326,CZ326-DE326)</f>
        <v>6.5959161931818189</v>
      </c>
      <c r="DG326" s="1040">
        <f t="shared" si="676"/>
        <v>12.568888888888889</v>
      </c>
      <c r="DH326" s="649">
        <f t="shared" si="731"/>
        <v>12.36</v>
      </c>
      <c r="DI326" s="535">
        <f t="shared" si="732"/>
        <v>0</v>
      </c>
      <c r="DJ326" s="649">
        <f t="shared" si="733"/>
        <v>12.333664772727275</v>
      </c>
      <c r="DK326" s="535">
        <f ca="1">IF(B326&gt;(Summary!$A$1-1),#N/A,DI326*MGtoAF)</f>
        <v>0</v>
      </c>
      <c r="DL326" s="649">
        <f t="shared" si="734"/>
        <v>12.36</v>
      </c>
      <c r="DM326" s="535">
        <f t="shared" si="735"/>
        <v>28.16</v>
      </c>
      <c r="DN326" s="535">
        <f>Sheet1!AB324-DM326</f>
        <v>-5.9999999999998721E-2</v>
      </c>
      <c r="DO326" s="743">
        <f t="shared" si="736"/>
        <v>-2.1306818181817729E-3</v>
      </c>
      <c r="DP326" s="535">
        <f>(VLOOKUP(Sheet1!DC324,hhdcap_wcm,4)-(((VLOOKUP(Sheet1!DC324,hhdcap_wcm,3)-Sheet1!DC324)/(VLOOKUP(Sheet1!DC324,hhdcap_wcm,3)-VLOOKUP(Sheet1!DC324,hhdcap_wcm,1)))*(VLOOKUP(Sheet1!DC324,hhdcap_wcm,4)-VLOOKUP(Sheet1!DC324,hhdcap_wcm,2))))</f>
        <v>1244.4000000035971</v>
      </c>
      <c r="DQ326" s="535">
        <f t="shared" si="737"/>
        <v>184.60000000067771</v>
      </c>
      <c r="DR326" s="535">
        <f t="shared" si="738"/>
        <v>93.091275845021528</v>
      </c>
      <c r="DS326" s="535">
        <f>Sheet1!EA324*AFtoMG</f>
        <v>0</v>
      </c>
      <c r="DT326" s="535">
        <f>Sheet1!EB324*AFtoMG</f>
        <v>0</v>
      </c>
      <c r="DU326" s="535">
        <f>Sheet1!EC324*AFtoMG</f>
        <v>0</v>
      </c>
      <c r="DV326" s="535">
        <f>Sheet1!ED324*AFtoMG</f>
        <v>0</v>
      </c>
      <c r="DW326" s="535">
        <f t="shared" si="739"/>
        <v>0</v>
      </c>
      <c r="DX326" s="535">
        <f t="shared" si="740"/>
        <v>0</v>
      </c>
      <c r="DY326" s="535">
        <f t="shared" si="741"/>
        <v>0</v>
      </c>
      <c r="DZ326" s="535">
        <f t="shared" si="742"/>
        <v>0</v>
      </c>
      <c r="EA326" s="535"/>
      <c r="EB326" s="521">
        <f>IF(OR(B326&lt;FV326,B326&gt;FW326),(MIN(BF326+BY326+CT326+MAX(Sheet1!AA324+AQ326-73,0),K326)),0)</f>
        <v>12.333664772727275</v>
      </c>
      <c r="EC326" s="535"/>
      <c r="ED326" s="535">
        <f t="shared" si="743"/>
        <v>12.333664772727273</v>
      </c>
      <c r="EE326" s="535"/>
      <c r="EF326" s="535">
        <f>Sheet1!EH324+Sheet1!EI324+Sheet1!EJ324+Sheet1!EK324</f>
        <v>12.5</v>
      </c>
      <c r="EG326" s="1019">
        <f t="shared" si="677"/>
        <v>19.337499999999999</v>
      </c>
      <c r="EH326" s="521">
        <f t="shared" si="744"/>
        <v>0</v>
      </c>
      <c r="EI326" s="535">
        <f>IF(Sheet1!ET324=1,SUM('Calculations II'!AT326:BA326)+'Calculations II'!BC326+Sheet1!BV324+'Calculations II'!BE326+AP326,'Calculations II'!BK326)</f>
        <v>44.128083227272725</v>
      </c>
      <c r="EJ326" s="535">
        <f ca="1">EI326+'Calculations II'!D326+'Calculations II'!E326+'Calculations II'!O326</f>
        <v>44.576018238269022</v>
      </c>
      <c r="EK326" s="535"/>
      <c r="EL326" s="535"/>
      <c r="EM326" s="535">
        <f t="shared" si="745"/>
        <v>43050</v>
      </c>
      <c r="EN326" s="535">
        <f t="shared" si="746"/>
        <v>0</v>
      </c>
      <c r="EO326" s="535">
        <f t="shared" si="747"/>
        <v>0</v>
      </c>
      <c r="EP326" s="535">
        <v>0</v>
      </c>
      <c r="EQ326" s="535">
        <v>0</v>
      </c>
      <c r="ER326" s="535">
        <v>0</v>
      </c>
      <c r="ES326" s="521">
        <f t="shared" si="643"/>
        <v>1.2476770256614684</v>
      </c>
      <c r="ET326" s="535">
        <f>-(VLOOKUP(Sheet1!BQ324,Lookup!$O$4:$Q$262,2)-VLOOKUP(Sheet1!BQ323,Lookup!$O$4:$Q$262,2))/1000000</f>
        <v>0.69303279337969426</v>
      </c>
      <c r="EU326" s="535">
        <f>-(VLOOKUP(Sheet1!BR324,Lookup!$O$4:$Q$262,3)-VLOOKUP(Sheet1!BR323,Lookup!$O$4:$Q$262,3))/1000000</f>
        <v>0.55464423228177429</v>
      </c>
      <c r="EV326" s="535"/>
      <c r="EW326" s="535"/>
      <c r="EX326" s="535"/>
      <c r="EY326" s="535"/>
      <c r="EZ326" s="535"/>
      <c r="FA326" s="535"/>
      <c r="FB326" s="535"/>
      <c r="FC326" s="535"/>
      <c r="FD326" s="567">
        <f t="shared" si="786"/>
        <v>1085.1749999999697</v>
      </c>
      <c r="FE326" s="567" t="e">
        <f t="shared" si="748"/>
        <v>#N/A</v>
      </c>
      <c r="FF326" s="568" t="e">
        <f t="shared" si="749"/>
        <v>#N/A</v>
      </c>
      <c r="FG326" s="569" t="s">
        <v>656</v>
      </c>
      <c r="FH326" s="569" t="s">
        <v>656</v>
      </c>
      <c r="FI326" s="567" t="e">
        <v>#N/A</v>
      </c>
      <c r="FJ326" s="725">
        <v>1800</v>
      </c>
      <c r="FK326" s="535"/>
      <c r="FL326" s="1015">
        <f t="shared" si="785"/>
        <v>45.385779122541599</v>
      </c>
      <c r="FM326" s="535"/>
      <c r="FN326" s="535"/>
      <c r="FO326" s="535">
        <f>O326+((Sheet1!CS324)*GPMtoMGD)</f>
        <v>56.1</v>
      </c>
      <c r="FP326" s="535">
        <f>IF(Sheet1!AA324+AQ326&lt;=Calculation!N326,AQ326,Calculation!N326-Sheet1!AA324)</f>
        <v>15.766335227272728</v>
      </c>
      <c r="FQ326" s="535">
        <f>(Sheet1!BP324+Sheet1!BO324)/694.4</f>
        <v>2.0678283410138252</v>
      </c>
      <c r="FR326" s="541"/>
      <c r="FS326" s="541"/>
      <c r="FT326" s="541"/>
      <c r="FU326" s="541"/>
      <c r="FV326" s="1109">
        <f t="shared" si="644"/>
        <v>42918</v>
      </c>
      <c r="FW326" s="1109">
        <f t="shared" si="645"/>
        <v>43027</v>
      </c>
      <c r="FX326" s="541"/>
      <c r="FY326" s="541">
        <f>Sheet1!DA324-Sheet1!CZ324-Sheet1!AE324</f>
        <v>144.2133</v>
      </c>
      <c r="FZ326" s="535">
        <f t="shared" si="678"/>
        <v>0.30612602566523212</v>
      </c>
      <c r="GA326" s="535"/>
      <c r="GB326" s="535" t="str">
        <f t="shared" si="646"/>
        <v>n</v>
      </c>
      <c r="GC326" s="539">
        <f t="shared" si="647"/>
        <v>42782</v>
      </c>
      <c r="GD326" s="1109">
        <f t="shared" si="648"/>
        <v>42904</v>
      </c>
      <c r="GE326" s="535">
        <f t="shared" si="664"/>
        <v>6520</v>
      </c>
      <c r="GF326" s="1109">
        <f t="shared" si="649"/>
        <v>42909</v>
      </c>
      <c r="GG326" s="535">
        <f t="shared" si="691"/>
        <v>3260</v>
      </c>
      <c r="GH326" s="539">
        <f t="shared" si="650"/>
        <v>43040</v>
      </c>
      <c r="GJ326" s="521">
        <f t="shared" si="651"/>
        <v>0</v>
      </c>
      <c r="GK326" s="535" t="str">
        <f t="shared" si="750"/>
        <v/>
      </c>
      <c r="GL326" s="535">
        <f t="shared" si="652"/>
        <v>0</v>
      </c>
      <c r="GM326" s="535" t="str">
        <f t="shared" si="653"/>
        <v/>
      </c>
      <c r="GN326" s="535">
        <f>IF(GK326="P",Lookup!$M$12,IF(GK326="PP",Lookup!$M$13,IF(GK326="PPP",Lookup!$M$14,IF(GK326="T",Lookup!$M$15,IF(GK326="TP",Lookup!$M$16,IF(GK326="TPP",Lookup!$M$17,IF(GK326="TPPP",Lookup!$M$18,0)))))))*GJ326</f>
        <v>0</v>
      </c>
      <c r="GO326" s="535">
        <f t="shared" si="654"/>
        <v>0</v>
      </c>
      <c r="GP326" s="535">
        <f t="shared" si="751"/>
        <v>0</v>
      </c>
      <c r="GQ326" s="974">
        <f t="shared" si="695"/>
        <v>0</v>
      </c>
      <c r="GR326" s="535"/>
      <c r="GS326" s="535">
        <f t="shared" si="655"/>
        <v>0</v>
      </c>
      <c r="GT326" s="535" t="str">
        <f t="shared" si="656"/>
        <v/>
      </c>
      <c r="GU326" s="535">
        <f>IF(GK326="P",Lookup!$N$12,IF(GK326="PP",Lookup!$N$13,IF(GK326="PPP",Lookup!$N$14,IF(GK326="T",Lookup!$N$15,IF(GK326="TP",Lookup!$N$16,IF(GK326="TPP",Lookup!$N$17,IF(GK326="TPPP",Lookup!$N$18,0)))))))*GJ326</f>
        <v>0</v>
      </c>
      <c r="GV326" s="535">
        <f t="shared" si="657"/>
        <v>0</v>
      </c>
      <c r="GW326" s="535">
        <f t="shared" si="752"/>
        <v>0</v>
      </c>
      <c r="GX326" s="974">
        <f t="shared" si="696"/>
        <v>0</v>
      </c>
      <c r="GY326" s="535"/>
      <c r="GZ326" s="535">
        <f t="shared" si="658"/>
        <v>0</v>
      </c>
      <c r="HA326" s="535" t="str">
        <f t="shared" si="659"/>
        <v/>
      </c>
      <c r="HB326" s="535">
        <f>IF(GK326="P",Lookup!$N$12,IF(GK326="PP",Lookup!$N$13,IF(GK326="PPP",Lookup!$N$14,IF(GK326="T",Lookup!$N$15,IF(GK326="TP",Lookup!$N$16,IF(GK326="TPP",Lookup!$N$17,IF(GK326="TPPP",Lookup!$N$18,0)))))))*GJ326</f>
        <v>0</v>
      </c>
      <c r="HC326" s="521">
        <f t="shared" si="753"/>
        <v>0</v>
      </c>
      <c r="HD326" s="535">
        <f t="shared" si="754"/>
        <v>0</v>
      </c>
      <c r="HE326" s="535">
        <f t="shared" si="662"/>
        <v>0</v>
      </c>
      <c r="HF326" s="535"/>
      <c r="HG326" s="535">
        <f t="shared" si="660"/>
        <v>0</v>
      </c>
      <c r="HH326" s="535" t="str">
        <f t="shared" si="661"/>
        <v/>
      </c>
      <c r="HI326" s="535">
        <f>IF(GK326="P",Lookup!$N$12,IF(GK326="PP",Lookup!$N$13,IF(GK326="PPP",Lookup!$N$14,IF(GK326="T",Lookup!$N$15,IF(GK326="TP",Lookup!$N$16,IF(GK326="TPP",Lookup!$N$17,IF(GK326="TPPP",Lookup!$N$18,0)))))))*GJ326</f>
        <v>0</v>
      </c>
      <c r="HJ326" s="521">
        <f t="shared" si="755"/>
        <v>0</v>
      </c>
      <c r="HK326" s="535">
        <f t="shared" si="756"/>
        <v>0</v>
      </c>
      <c r="HL326" s="535">
        <f t="shared" si="663"/>
        <v>0</v>
      </c>
      <c r="HM326" s="535"/>
      <c r="HN326" s="541"/>
      <c r="HO326" s="541"/>
      <c r="HP326" s="541"/>
      <c r="HQ326" s="541">
        <f>IF(AND(B326&gt;=$FV$4,B326&lt;=$FW$4),MAX(110/1.02+$HQ$6+MIN(113/1.02,G326),IF($HV$6-(Sheet1!DA324-Sheet1!DB324)+MIN(113/1.02,G326)&lt;G326+FL326,$HV$6-(Sheet1!DA324-Sheet1!DB324)+MIN(113/1.02,G326),G326+FL326)),MIN(110/1.02+$HQ$6+113/1.02,G326))</f>
        <v>218.62745098039215</v>
      </c>
      <c r="HR326" s="541">
        <f t="shared" si="679"/>
        <v>223</v>
      </c>
      <c r="HS326" s="541">
        <f>HR326+(Sheet1!DA324-Sheet1!DB324)</f>
        <v>515</v>
      </c>
      <c r="HT326" s="541">
        <f t="shared" si="680"/>
        <v>0</v>
      </c>
      <c r="HU326" s="541">
        <f t="shared" si="681"/>
        <v>515</v>
      </c>
      <c r="HV326" s="541">
        <f t="shared" si="682"/>
        <v>0</v>
      </c>
      <c r="HW326" s="533" t="str">
        <f t="shared" si="683"/>
        <v/>
      </c>
      <c r="HX326" s="541">
        <f t="shared" si="684"/>
        <v>159.37254901960785</v>
      </c>
      <c r="HY326" s="541">
        <f>Sheet1!CZ324</f>
        <v>378</v>
      </c>
      <c r="HZ326" s="541">
        <f t="shared" si="685"/>
        <v>0</v>
      </c>
      <c r="IA326" s="541">
        <f t="shared" si="686"/>
        <v>0</v>
      </c>
      <c r="IB326" s="541">
        <f t="shared" si="687"/>
        <v>378</v>
      </c>
      <c r="IC326" s="1019" t="str">
        <f t="shared" si="688"/>
        <v/>
      </c>
      <c r="ID326" s="541">
        <f t="shared" si="689"/>
        <v>378</v>
      </c>
      <c r="IE326" s="541">
        <f>Sheet1!DB324</f>
        <v>317</v>
      </c>
      <c r="IF326" s="533">
        <f>Sheet1!DA324</f>
        <v>609</v>
      </c>
      <c r="IH326" s="541">
        <f>IF(AND($B326&gt;=$GC326,$B326&lt;=$GH326,$DR326&lt;0)+N("only adjusted when pool is drawn down during storage season"),Sheet1!$DB324+$DR326+N("Palmer minus all storage release"),Sheet1!$DB324)</f>
        <v>317</v>
      </c>
      <c r="II326" s="541">
        <f>IF(AND($B326&gt;=$GC326,$B326&lt;=$GH326,$DR326&lt;0)+N("only adjusted when pool is drawn down during storage season"),Sheet1!$DA324+$DR326+N("Auburn minus all storage release"),Sheet1!$DA324)</f>
        <v>609</v>
      </c>
    </row>
    <row r="327" spans="1:243" x14ac:dyDescent="0.25">
      <c r="A327" s="553" t="s">
        <v>3</v>
      </c>
      <c r="B327" s="531">
        <v>43051</v>
      </c>
      <c r="C327" s="536">
        <v>0</v>
      </c>
      <c r="D327" s="506">
        <f t="shared" si="633"/>
        <v>300</v>
      </c>
      <c r="E327" s="506">
        <f t="shared" si="634"/>
        <v>250</v>
      </c>
      <c r="F327" s="506">
        <v>250</v>
      </c>
      <c r="G327" s="535">
        <f>DR327+Sheet1!CZ325</f>
        <v>481.12556732231923</v>
      </c>
      <c r="H327" s="1074">
        <f t="shared" si="690"/>
        <v>71.858930560000005</v>
      </c>
      <c r="I327" s="534">
        <f>IF(Sheet1!DA325&gt;=E327,(Sheet1!DA325-E327+P327)*CFStoMGD,0)</f>
        <v>294.86693056000001</v>
      </c>
      <c r="J327" s="995">
        <f>IF(Sheet1!DB325&gt;=D327,(Sheet1!DB325-D327+P327)*CFStoMGD,0)</f>
        <v>71.858930560000005</v>
      </c>
      <c r="K327" s="818">
        <f t="shared" si="665"/>
        <v>64.64</v>
      </c>
      <c r="L327" s="535">
        <f>Sheet1!AA325+Sheet1!AB325-Sheet1!L325+(Sheet1!DA325-F327)*CFStoMGD-S327-T327-U327</f>
        <v>239.16800000000001</v>
      </c>
      <c r="M327" s="535">
        <f t="shared" si="697"/>
        <v>317.21955805149008</v>
      </c>
      <c r="N327" s="824">
        <f>IF(Sheet1!DA325&gt;=F327,MIN(113*CFStoMGD,MIN(MAX(L327,0),MAX(M327,0))),0)</f>
        <v>73.043199999999999</v>
      </c>
      <c r="O327" s="538">
        <f>Sheet1!AA325+Sheet1!AB325</f>
        <v>55.7</v>
      </c>
      <c r="P327" s="538">
        <f t="shared" si="698"/>
        <v>86.167900000000003</v>
      </c>
      <c r="Q327" s="812">
        <f t="shared" si="666"/>
        <v>0</v>
      </c>
      <c r="R327" s="812">
        <f t="shared" si="635"/>
        <v>12.061927102129196</v>
      </c>
      <c r="S327" s="812">
        <f t="shared" si="636"/>
        <v>55.7</v>
      </c>
      <c r="T327" s="812">
        <f t="shared" si="637"/>
        <v>0</v>
      </c>
      <c r="U327" s="812">
        <f>IF(AND(B327&gt;=FV327,B327&lt;=FW327),ED327+Sheet1!EH325,0)</f>
        <v>0</v>
      </c>
      <c r="V327" s="812"/>
      <c r="W327" s="812">
        <f t="shared" si="638"/>
        <v>52.578072897870804</v>
      </c>
      <c r="X327" s="812">
        <f t="shared" si="639"/>
        <v>55.7</v>
      </c>
      <c r="Y327" s="812" t="str">
        <f t="shared" si="640"/>
        <v/>
      </c>
      <c r="Z327" s="812">
        <f t="shared" si="641"/>
        <v>55.7</v>
      </c>
      <c r="AA327" s="812">
        <f t="shared" si="642"/>
        <v>55.7</v>
      </c>
      <c r="AB327" s="1059">
        <f t="shared" si="667"/>
        <v>0</v>
      </c>
      <c r="AC327" s="538">
        <f>Sheet1!Y325*MGDtoCFS</f>
        <v>43.315999999999995</v>
      </c>
      <c r="AD327" s="538">
        <f>Sheet1!Z325*MGDtoCFS</f>
        <v>43.470700000000001</v>
      </c>
      <c r="AE327" s="538">
        <f>Sheet1!AA325*MGDtoCFS</f>
        <v>43.470700000000001</v>
      </c>
      <c r="AF327" s="538">
        <f>Sheet1!AB325*MGDtoCFS</f>
        <v>42.697200000000002</v>
      </c>
      <c r="AG327" s="538">
        <f>Sheet1!L325*MGDtoCFS</f>
        <v>0</v>
      </c>
      <c r="AH327" s="521">
        <f t="shared" si="699"/>
        <v>0</v>
      </c>
      <c r="AI327" s="1059">
        <f t="shared" si="700"/>
        <v>0</v>
      </c>
      <c r="AJ327" s="535">
        <f t="shared" si="701"/>
        <v>0</v>
      </c>
      <c r="AK327" s="535">
        <f t="shared" si="702"/>
        <v>0</v>
      </c>
      <c r="AL327" s="535">
        <f>(VLOOKUP(Sheet1!DC325,hhdcap_wcm,4)-(((VLOOKUP(Sheet1!DC325,hhdcap_wcm,3)-Sheet1!DC325)/(VLOOKUP(Sheet1!DC325,hhdcap_wcm,3)-VLOOKUP(Sheet1!DC325,hhdcap_wcm,1)))*(VLOOKUP(Sheet1!DC325,hhdcap_wcm,4)-VLOOKUP(Sheet1!DC325,hhdcap_wcm,2))))</f>
        <v>1437.0000000037562</v>
      </c>
      <c r="AM327" s="535">
        <f t="shared" si="703"/>
        <v>192.60000000015907</v>
      </c>
      <c r="AN327" s="1035">
        <f t="shared" si="704"/>
        <v>0</v>
      </c>
      <c r="AO327" s="535">
        <f t="shared" si="705"/>
        <v>0</v>
      </c>
      <c r="AP327" s="535">
        <f>Sheet1!BA325+Sheet1!BB325+Sheet1!BN325+CD327</f>
        <v>15.6</v>
      </c>
      <c r="AQ327" s="535">
        <f>Sheet1!BN325+(DO327*Sheet1!BN325)</f>
        <v>15.538072897870805</v>
      </c>
      <c r="AR327" s="535">
        <f>Sheet1!BA325+CD327</f>
        <v>0</v>
      </c>
      <c r="AS327" s="535">
        <f>Sheet1!BA325+Sheet1!BB325+CD327</f>
        <v>0</v>
      </c>
      <c r="AT327" s="649">
        <f>0</f>
        <v>0</v>
      </c>
      <c r="AU327" s="974">
        <f>BA327+MAX(Sheet1!EH325,(O327-Q327-ED327-S327))</f>
        <v>0</v>
      </c>
      <c r="AV327" s="535">
        <f>IF(OR(B327&gt;=GD327,B327&lt;GC327),0,15/36*K327-MAX(0,64.6-(137.6-(Sheet1!AA325+Sheet1!AB325))))</f>
        <v>0</v>
      </c>
      <c r="AW327" s="1029"/>
      <c r="AX327" s="649"/>
      <c r="AY327" s="649">
        <f t="shared" si="668"/>
        <v>23.311716569431731</v>
      </c>
      <c r="AZ327" s="649">
        <f t="shared" si="669"/>
        <v>0</v>
      </c>
      <c r="BA327" s="1059">
        <f t="shared" si="670"/>
        <v>0</v>
      </c>
      <c r="BB327" s="1019">
        <f t="shared" si="706"/>
        <v>0</v>
      </c>
      <c r="BC327" s="1041">
        <f t="shared" si="671"/>
        <v>26.933333333333334</v>
      </c>
      <c r="BD327" s="1019">
        <f ca="1">IF(B327&gt;(Summary!$A$1-1),#N/A,BB327*MGtoAF)</f>
        <v>0</v>
      </c>
      <c r="BE327" s="535">
        <f>Sheet1!BG325+Sheet1!BH325+Sheet1!BI325-BM327</f>
        <v>2.59</v>
      </c>
      <c r="BF327" s="535">
        <f t="shared" si="707"/>
        <v>2.5797185131721401</v>
      </c>
      <c r="BG327" s="535">
        <f>IF(Sheet1!EP325="FM",BM327,0)</f>
        <v>0</v>
      </c>
      <c r="BH327" s="535">
        <f t="shared" si="708"/>
        <v>0</v>
      </c>
      <c r="BI327" s="535">
        <f>IF(Sheet1!EP325="OTHER",BM327,0)</f>
        <v>0</v>
      </c>
      <c r="BJ327" s="535">
        <f t="shared" si="709"/>
        <v>0</v>
      </c>
      <c r="BK327" s="535">
        <f t="shared" si="710"/>
        <v>2.59</v>
      </c>
      <c r="BL327" s="535">
        <f t="shared" si="711"/>
        <v>2.5797185131721401</v>
      </c>
      <c r="BM327" s="535">
        <f>IF(OR(Sheet1!EP325="FM", Sheet1!EP325="OTHER"),SUM(Sheet1!BG325:'Sheet1'!BI325),0)</f>
        <v>0</v>
      </c>
      <c r="BN327" s="521">
        <f>IF(AND($B327&gt;=$FV327,$B327&lt;=$FW327),MAX(BF327,Sheet1!EI325,0),MAX(BF327-(7/36)*$K327,0))</f>
        <v>0</v>
      </c>
      <c r="BO327" s="535">
        <f t="shared" si="712"/>
        <v>0</v>
      </c>
      <c r="BP327" s="521">
        <f t="shared" si="713"/>
        <v>2.5797185131721401</v>
      </c>
      <c r="BQ327" s="521">
        <f>IF(AND($O327&gt;0,Sheet1!EM325=1),(1-($O327-Sheet1!$L325)/$O327)*BL327,0)</f>
        <v>0</v>
      </c>
      <c r="BR327" s="521">
        <f>IF(AND(Sheet1!$L325=0,Sheet1!$L324=0, Calculation!BK327&lt;Sheet1!$EI325-0.1,Sheet1!$EI325=Sheet1!$EI324,Sheet1!$EI325=Sheet1!$EI326),BL327-BQ327,BL327-BQ327)</f>
        <v>2.5797185131721401</v>
      </c>
      <c r="BS327" s="1035" t="str">
        <f t="shared" si="672"/>
        <v/>
      </c>
      <c r="BT327" s="1035">
        <f t="shared" si="673"/>
        <v>12.568888888888889</v>
      </c>
      <c r="BU327" s="535">
        <f t="shared" si="714"/>
        <v>0</v>
      </c>
      <c r="BV327" s="535"/>
      <c r="BW327" s="535">
        <f ca="1">IF(B327&gt;(Summary!$A$1-1),#N/A,BU327*MGtoAF)</f>
        <v>0</v>
      </c>
      <c r="BX327" s="535">
        <f>Sheet1!BC325+Sheet1!BD325+Sheet1!BE325+Sheet1!BF325-CG327-CH327</f>
        <v>2.99</v>
      </c>
      <c r="BY327" s="535">
        <f t="shared" si="715"/>
        <v>2.9781306387585711</v>
      </c>
      <c r="BZ327" s="535">
        <f>IF(Sheet1!EQ325="FM",CH327,0)</f>
        <v>0</v>
      </c>
      <c r="CA327" s="535">
        <f t="shared" si="716"/>
        <v>0</v>
      </c>
      <c r="CB327" s="535">
        <f>IF(Sheet1!EQ325="OTHER",CH327,0)</f>
        <v>0</v>
      </c>
      <c r="CC327" s="535">
        <f t="shared" si="717"/>
        <v>0</v>
      </c>
      <c r="CD327" s="535">
        <f t="shared" si="718"/>
        <v>0</v>
      </c>
      <c r="CE327" s="535">
        <f t="shared" si="719"/>
        <v>2.99</v>
      </c>
      <c r="CF327" s="535">
        <f t="shared" si="720"/>
        <v>2.9781306387585711</v>
      </c>
      <c r="CG327" s="535">
        <f>IF(Sheet1!EQ325="CWA",SUM(Sheet1!BC325:'Sheet1'!BF325),0)</f>
        <v>0</v>
      </c>
      <c r="CH327" s="535">
        <f>IF(OR(Sheet1!EQ325="FM", Sheet1!EQ325="OTHER"),SUM(Sheet1!BC325:'Sheet1'!BF325),0)</f>
        <v>0</v>
      </c>
      <c r="CI327" s="521">
        <f>IF(AND($B327&gt;=$FV327,$B327&lt;=$FW327),MAX(CF327,Sheet1!EJ325,0),MAX(CF327-(7/36)*$K327,0))</f>
        <v>0</v>
      </c>
      <c r="CJ327" s="535">
        <f t="shared" si="721"/>
        <v>0</v>
      </c>
      <c r="CK327" s="521">
        <f t="shared" si="722"/>
        <v>2.9781306387585711</v>
      </c>
      <c r="CL327" s="521">
        <f>IF(AND($O327&gt;0,Sheet1!EN325=1),(1-($O327-Sheet1!$L325)/$O327)*CF327,0)</f>
        <v>0</v>
      </c>
      <c r="CM327" s="521">
        <f>IF(AND(Sheet1!$L325=0,Sheet1!$L324=0, Calculation!CE327&lt;Sheet1!EJ325-0.1,Sheet1!EJ325=Sheet1!EJ324,Sheet1!EJ325=Sheet1!EJ326),CF327-CL327,CF327-CL327)</f>
        <v>2.9781306387585711</v>
      </c>
      <c r="CN327" s="1040" t="str">
        <f t="shared" si="674"/>
        <v/>
      </c>
      <c r="CO327" s="1035">
        <f t="shared" si="675"/>
        <v>12.568888888888889</v>
      </c>
      <c r="CP327" s="535">
        <f t="shared" si="723"/>
        <v>0</v>
      </c>
      <c r="CQ327" s="535"/>
      <c r="CR327" s="535">
        <f ca="1">IF(B327&gt;(Summary!$A$1-1),#N/A,CP327*MGtoAF)</f>
        <v>0</v>
      </c>
      <c r="CS327" s="535">
        <f>Sheet1!BK325+Sheet1!BL325+Sheet1!BM325-Sheet1!ER325-DA327</f>
        <v>6.53</v>
      </c>
      <c r="CT327" s="535">
        <f t="shared" si="724"/>
        <v>6.5040779501984849</v>
      </c>
      <c r="CU327" s="535">
        <f>IF(Sheet1!ER325="FM",DA327,0)</f>
        <v>0</v>
      </c>
      <c r="CV327" s="535">
        <f t="shared" si="725"/>
        <v>0</v>
      </c>
      <c r="CW327" s="535">
        <f>IF(Sheet1!ER325="OTHER",DA327,0)</f>
        <v>0</v>
      </c>
      <c r="CX327" s="535">
        <f t="shared" si="726"/>
        <v>0</v>
      </c>
      <c r="CY327" s="535">
        <f t="shared" si="727"/>
        <v>6.53</v>
      </c>
      <c r="CZ327" s="535">
        <f t="shared" si="728"/>
        <v>6.5040779501984849</v>
      </c>
      <c r="DA327" s="535">
        <f>IF(OR(Sheet1!ER325="FM", Sheet1!ER325="OTHER"),SUM(Sheet1!BK325:'Sheet1'!BM325),0)</f>
        <v>0</v>
      </c>
      <c r="DB327" s="1011">
        <f>IF(AND($B327&gt;=$FV327,$B327&lt;=$FW327),MAX($CT327,Sheet1!EK325,0),MAX($CT327-(7/36)*$K327,0))</f>
        <v>0</v>
      </c>
      <c r="DC327" s="1012">
        <f t="shared" si="729"/>
        <v>0</v>
      </c>
      <c r="DD327" s="1011">
        <f t="shared" si="730"/>
        <v>6.5040779501984849</v>
      </c>
      <c r="DE327" s="521">
        <f>IF(AND($O327&gt;0,Sheet1!EO325=1),(1-($O327-Sheet1!$L325)/$O327)*CZ327,0)</f>
        <v>0</v>
      </c>
      <c r="DF327" s="521">
        <f>IF(AND(Sheet1!$L325=0,Sheet1!$L324=0, Calculation!CY327&lt;Sheet1!$EK325-0.1,Sheet1!$EK325=Sheet1!$EK324,Sheet1!$EK325=Sheet1!$EK326),CZ327-DE327,CZ327-DE327)</f>
        <v>6.5040779501984849</v>
      </c>
      <c r="DG327" s="1040">
        <f t="shared" si="676"/>
        <v>12.568888888888889</v>
      </c>
      <c r="DH327" s="649">
        <f t="shared" si="731"/>
        <v>12.11</v>
      </c>
      <c r="DI327" s="535">
        <f t="shared" si="732"/>
        <v>0</v>
      </c>
      <c r="DJ327" s="649">
        <f t="shared" si="733"/>
        <v>12.061927102129196</v>
      </c>
      <c r="DK327" s="535">
        <f ca="1">IF(B327&gt;(Summary!$A$1-1),#N/A,DI327*MGtoAF)</f>
        <v>0</v>
      </c>
      <c r="DL327" s="649">
        <f t="shared" si="734"/>
        <v>12.11</v>
      </c>
      <c r="DM327" s="535">
        <f t="shared" si="735"/>
        <v>27.71</v>
      </c>
      <c r="DN327" s="535">
        <f>Sheet1!AB325-DM327</f>
        <v>-0.10999999999999943</v>
      </c>
      <c r="DO327" s="743">
        <f t="shared" si="736"/>
        <v>-3.9696860339227509E-3</v>
      </c>
      <c r="DP327" s="535">
        <f>(VLOOKUP(Sheet1!DC325,hhdcap_wcm,4)-(((VLOOKUP(Sheet1!DC325,hhdcap_wcm,3)-Sheet1!DC325)/(VLOOKUP(Sheet1!DC325,hhdcap_wcm,3)-VLOOKUP(Sheet1!DC325,hhdcap_wcm,1)))*(VLOOKUP(Sheet1!DC325,hhdcap_wcm,4)-VLOOKUP(Sheet1!DC325,hhdcap_wcm,2))))</f>
        <v>1437.0000000037562</v>
      </c>
      <c r="DQ327" s="535">
        <f t="shared" si="737"/>
        <v>192.60000000015907</v>
      </c>
      <c r="DR327" s="535">
        <f t="shared" si="738"/>
        <v>97.125567322319242</v>
      </c>
      <c r="DS327" s="535">
        <f>Sheet1!EA325*AFtoMG</f>
        <v>0</v>
      </c>
      <c r="DT327" s="535">
        <f>Sheet1!EB325*AFtoMG</f>
        <v>0</v>
      </c>
      <c r="DU327" s="535">
        <f>Sheet1!EC325*AFtoMG</f>
        <v>0</v>
      </c>
      <c r="DV327" s="535">
        <f>Sheet1!ED325*AFtoMG</f>
        <v>0</v>
      </c>
      <c r="DW327" s="535">
        <f t="shared" si="739"/>
        <v>0</v>
      </c>
      <c r="DX327" s="535">
        <f t="shared" si="740"/>
        <v>0</v>
      </c>
      <c r="DY327" s="535">
        <f t="shared" si="741"/>
        <v>0</v>
      </c>
      <c r="DZ327" s="535">
        <f t="shared" si="742"/>
        <v>0</v>
      </c>
      <c r="EA327" s="535"/>
      <c r="EB327" s="521">
        <f>IF(OR(B327&lt;FV327,B327&gt;FW327),(MIN(BF327+BY327+CT327+MAX(Sheet1!AA325+AQ327-73,0),K327)),0)</f>
        <v>12.061927102129196</v>
      </c>
      <c r="EC327" s="535"/>
      <c r="ED327" s="535">
        <f t="shared" si="743"/>
        <v>12.061927102129196</v>
      </c>
      <c r="EE327" s="535"/>
      <c r="EF327" s="535">
        <f>Sheet1!EH325+Sheet1!EI325+Sheet1!EJ325+Sheet1!EK325</f>
        <v>12.5</v>
      </c>
      <c r="EG327" s="1019">
        <f t="shared" si="677"/>
        <v>19.337499999999999</v>
      </c>
      <c r="EH327" s="521">
        <f t="shared" si="744"/>
        <v>0</v>
      </c>
      <c r="EI327" s="535">
        <f>IF(Sheet1!ET325=1,SUM('Calculations II'!AT327:BA327)+'Calculations II'!BC327+Sheet1!BV325+'Calculations II'!BE327+AP327,'Calculations II'!BK327)</f>
        <v>49.200572897870799</v>
      </c>
      <c r="EJ327" s="535">
        <f ca="1">EI327+'Calculations II'!D327+'Calculations II'!E327+'Calculations II'!O327</f>
        <v>42.196113324390474</v>
      </c>
      <c r="EK327" s="535"/>
      <c r="EL327" s="535"/>
      <c r="EM327" s="535">
        <f t="shared" si="745"/>
        <v>43051</v>
      </c>
      <c r="EN327" s="535">
        <f t="shared" si="746"/>
        <v>0</v>
      </c>
      <c r="EO327" s="535">
        <f t="shared" si="747"/>
        <v>0</v>
      </c>
      <c r="EP327" s="535">
        <v>0</v>
      </c>
      <c r="EQ327" s="535">
        <v>0</v>
      </c>
      <c r="ER327" s="535">
        <v>0</v>
      </c>
      <c r="ES327" s="521">
        <f t="shared" si="643"/>
        <v>6.2345965788098088</v>
      </c>
      <c r="ET327" s="535">
        <f>-(VLOOKUP(Sheet1!BQ325,Lookup!$O$4:$Q$262,2)-VLOOKUP(Sheet1!BQ324,Lookup!$O$4:$Q$262,2))/1000000</f>
        <v>3.1858868889421821</v>
      </c>
      <c r="EU327" s="535">
        <f>-(VLOOKUP(Sheet1!BR325,Lookup!$O$4:$Q$262,3)-VLOOKUP(Sheet1!BR324,Lookup!$O$4:$Q$262,3))/1000000</f>
        <v>3.0487096898676267</v>
      </c>
      <c r="EV327" s="535"/>
      <c r="EW327" s="535"/>
      <c r="EX327" s="535"/>
      <c r="EY327" s="535"/>
      <c r="EZ327" s="535"/>
      <c r="FA327" s="535"/>
      <c r="FB327" s="535"/>
      <c r="FC327" s="535"/>
      <c r="FD327" s="567">
        <f t="shared" si="786"/>
        <v>1084.6124999999704</v>
      </c>
      <c r="FE327" s="567" t="e">
        <f t="shared" si="748"/>
        <v>#N/A</v>
      </c>
      <c r="FF327" s="568" t="e">
        <f t="shared" si="749"/>
        <v>#N/A</v>
      </c>
      <c r="FG327" s="569" t="s">
        <v>656</v>
      </c>
      <c r="FH327" s="569" t="s">
        <v>656</v>
      </c>
      <c r="FI327" s="567" t="e">
        <v>#N/A</v>
      </c>
      <c r="FJ327" s="725">
        <v>1710</v>
      </c>
      <c r="FK327" s="535"/>
      <c r="FL327" s="1015">
        <f t="shared" si="785"/>
        <v>45.385779122541599</v>
      </c>
      <c r="FM327" s="535"/>
      <c r="FN327" s="535"/>
      <c r="FO327" s="535">
        <f>O327+((Sheet1!CS325)*GPMtoMGD)</f>
        <v>55.7</v>
      </c>
      <c r="FP327" s="535">
        <f>IF(Sheet1!AA325+AQ327&lt;=Calculation!N327,AQ327,Calculation!N327-Sheet1!AA325)</f>
        <v>15.538072897870805</v>
      </c>
      <c r="FQ327" s="535">
        <f>(Sheet1!BP325+Sheet1!BO325)/694.4</f>
        <v>1.8777361751152075</v>
      </c>
      <c r="FR327" s="541"/>
      <c r="FS327" s="541"/>
      <c r="FT327" s="541"/>
      <c r="FU327" s="541"/>
      <c r="FV327" s="1109">
        <f t="shared" si="644"/>
        <v>42918</v>
      </c>
      <c r="FW327" s="1109">
        <f t="shared" si="645"/>
        <v>43027</v>
      </c>
      <c r="FX327" s="541"/>
      <c r="FY327" s="541">
        <f>Sheet1!DA325-Sheet1!CZ325-Sheet1!AE325</f>
        <v>149.8321</v>
      </c>
      <c r="FZ327" s="535">
        <f t="shared" si="678"/>
        <v>0.31141994975216802</v>
      </c>
      <c r="GA327" s="535"/>
      <c r="GB327" s="535" t="str">
        <f t="shared" si="646"/>
        <v>n</v>
      </c>
      <c r="GC327" s="539">
        <f t="shared" si="647"/>
        <v>42782</v>
      </c>
      <c r="GD327" s="1109">
        <f t="shared" si="648"/>
        <v>42904</v>
      </c>
      <c r="GE327" s="535">
        <f t="shared" si="664"/>
        <v>6520</v>
      </c>
      <c r="GF327" s="1109">
        <f t="shared" si="649"/>
        <v>42909</v>
      </c>
      <c r="GG327" s="535">
        <f t="shared" si="691"/>
        <v>3260</v>
      </c>
      <c r="GH327" s="539">
        <f t="shared" si="650"/>
        <v>43040</v>
      </c>
      <c r="GJ327" s="521">
        <f t="shared" si="651"/>
        <v>0</v>
      </c>
      <c r="GK327" s="535" t="str">
        <f t="shared" si="750"/>
        <v/>
      </c>
      <c r="GL327" s="535">
        <f t="shared" si="652"/>
        <v>0</v>
      </c>
      <c r="GM327" s="535" t="str">
        <f t="shared" si="653"/>
        <v/>
      </c>
      <c r="GN327" s="535">
        <f>IF(GK327="P",Lookup!$M$12,IF(GK327="PP",Lookup!$M$13,IF(GK327="PPP",Lookup!$M$14,IF(GK327="T",Lookup!$M$15,IF(GK327="TP",Lookup!$M$16,IF(GK327="TPP",Lookup!$M$17,IF(GK327="TPPP",Lookup!$M$18,0)))))))*GJ327</f>
        <v>0</v>
      </c>
      <c r="GO327" s="535">
        <f t="shared" si="654"/>
        <v>0</v>
      </c>
      <c r="GP327" s="535">
        <f t="shared" si="751"/>
        <v>0</v>
      </c>
      <c r="GQ327" s="974">
        <f t="shared" si="695"/>
        <v>0</v>
      </c>
      <c r="GR327" s="535"/>
      <c r="GS327" s="535">
        <f t="shared" si="655"/>
        <v>0</v>
      </c>
      <c r="GT327" s="535" t="str">
        <f t="shared" si="656"/>
        <v/>
      </c>
      <c r="GU327" s="535">
        <f>IF(GK327="P",Lookup!$N$12,IF(GK327="PP",Lookup!$N$13,IF(GK327="PPP",Lookup!$N$14,IF(GK327="T",Lookup!$N$15,IF(GK327="TP",Lookup!$N$16,IF(GK327="TPP",Lookup!$N$17,IF(GK327="TPPP",Lookup!$N$18,0)))))))*GJ327</f>
        <v>0</v>
      </c>
      <c r="GV327" s="535">
        <f t="shared" si="657"/>
        <v>0</v>
      </c>
      <c r="GW327" s="535">
        <f t="shared" si="752"/>
        <v>0</v>
      </c>
      <c r="GX327" s="974">
        <f t="shared" si="696"/>
        <v>0</v>
      </c>
      <c r="GY327" s="535"/>
      <c r="GZ327" s="535">
        <f t="shared" si="658"/>
        <v>0</v>
      </c>
      <c r="HA327" s="535" t="str">
        <f t="shared" si="659"/>
        <v/>
      </c>
      <c r="HB327" s="535">
        <f>IF(GK327="P",Lookup!$N$12,IF(GK327="PP",Lookup!$N$13,IF(GK327="PPP",Lookup!$N$14,IF(GK327="T",Lookup!$N$15,IF(GK327="TP",Lookup!$N$16,IF(GK327="TPP",Lookup!$N$17,IF(GK327="TPPP",Lookup!$N$18,0)))))))*GJ327</f>
        <v>0</v>
      </c>
      <c r="HC327" s="521">
        <f t="shared" si="753"/>
        <v>0</v>
      </c>
      <c r="HD327" s="535">
        <f t="shared" si="754"/>
        <v>0</v>
      </c>
      <c r="HE327" s="535">
        <f t="shared" si="662"/>
        <v>0</v>
      </c>
      <c r="HF327" s="535"/>
      <c r="HG327" s="535">
        <f t="shared" si="660"/>
        <v>0</v>
      </c>
      <c r="HH327" s="535" t="str">
        <f t="shared" si="661"/>
        <v/>
      </c>
      <c r="HI327" s="535">
        <f>IF(GK327="P",Lookup!$N$12,IF(GK327="PP",Lookup!$N$13,IF(GK327="PPP",Lookup!$N$14,IF(GK327="T",Lookup!$N$15,IF(GK327="TP",Lookup!$N$16,IF(GK327="TPP",Lookup!$N$17,IF(GK327="TPPP",Lookup!$N$18,0)))))))*GJ327</f>
        <v>0</v>
      </c>
      <c r="HJ327" s="521">
        <f t="shared" si="755"/>
        <v>0</v>
      </c>
      <c r="HK327" s="535">
        <f t="shared" si="756"/>
        <v>0</v>
      </c>
      <c r="HL327" s="535">
        <f t="shared" si="663"/>
        <v>0</v>
      </c>
      <c r="HM327" s="535"/>
      <c r="HN327" s="541"/>
      <c r="HO327" s="541"/>
      <c r="HP327" s="541"/>
      <c r="HQ327" s="541">
        <f>IF(AND(B327&gt;=$FV$4,B327&lt;=$FW$4),MAX(110/1.02+$HQ$6+MIN(113/1.02,G327),IF($HV$6-(Sheet1!DA325-Sheet1!DB325)+MIN(113/1.02,G327)&lt;G327+FL327,$HV$6-(Sheet1!DA325-Sheet1!DB325)+MIN(113/1.02,G327),G327+FL327)),MIN(110/1.02+$HQ$6+113/1.02,G327))</f>
        <v>218.62745098039215</v>
      </c>
      <c r="HR327" s="541">
        <f t="shared" si="679"/>
        <v>223</v>
      </c>
      <c r="HS327" s="541">
        <f>HR327+(Sheet1!DA325-Sheet1!DB325)</f>
        <v>518</v>
      </c>
      <c r="HT327" s="541">
        <f t="shared" si="680"/>
        <v>0</v>
      </c>
      <c r="HU327" s="541">
        <f t="shared" si="681"/>
        <v>518</v>
      </c>
      <c r="HV327" s="541">
        <f t="shared" si="682"/>
        <v>0</v>
      </c>
      <c r="HW327" s="533" t="str">
        <f t="shared" si="683"/>
        <v/>
      </c>
      <c r="HX327" s="541">
        <f t="shared" si="684"/>
        <v>165.37254901960785</v>
      </c>
      <c r="HY327" s="541">
        <f>Sheet1!CZ325</f>
        <v>384</v>
      </c>
      <c r="HZ327" s="541">
        <f t="shared" si="685"/>
        <v>0</v>
      </c>
      <c r="IA327" s="541">
        <f t="shared" si="686"/>
        <v>0</v>
      </c>
      <c r="IB327" s="541">
        <f t="shared" si="687"/>
        <v>384</v>
      </c>
      <c r="IC327" s="1019" t="str">
        <f t="shared" si="688"/>
        <v/>
      </c>
      <c r="ID327" s="541">
        <f t="shared" si="689"/>
        <v>384</v>
      </c>
      <c r="IE327" s="541">
        <f>Sheet1!DB325</f>
        <v>325</v>
      </c>
      <c r="IF327" s="533">
        <f>Sheet1!DA325</f>
        <v>620</v>
      </c>
      <c r="IH327" s="541">
        <f>IF(AND($B327&gt;=$GC327,$B327&lt;=$GH327,$DR327&lt;0)+N("only adjusted when pool is drawn down during storage season"),Sheet1!$DB325+$DR327+N("Palmer minus all storage release"),Sheet1!$DB325)</f>
        <v>325</v>
      </c>
      <c r="II327" s="541">
        <f>IF(AND($B327&gt;=$GC327,$B327&lt;=$GH327,$DR327&lt;0)+N("only adjusted when pool is drawn down during storage season"),Sheet1!$DA325+$DR327+N("Auburn minus all storage release"),Sheet1!$DA325)</f>
        <v>620</v>
      </c>
    </row>
    <row r="328" spans="1:243" x14ac:dyDescent="0.25">
      <c r="A328" s="553" t="s">
        <v>4</v>
      </c>
      <c r="B328" s="531">
        <v>43052</v>
      </c>
      <c r="C328" s="536">
        <v>0</v>
      </c>
      <c r="D328" s="506">
        <f t="shared" ref="D328:D381" si="787">IF(AND(B328&gt;=DATE($A$1,7,15),B328&lt;=DATE($A$1,9,15)),200,300)</f>
        <v>300</v>
      </c>
      <c r="E328" s="506">
        <f t="shared" ref="E328:E381" si="788">IF(AND(B328&gt;=DATE($A$1,7,15),B328&lt;=DATE($A$1,9,15)),400,250)</f>
        <v>250</v>
      </c>
      <c r="F328" s="506">
        <v>250</v>
      </c>
      <c r="G328" s="535">
        <f>DR328+Sheet1!CZ326</f>
        <v>720.75289964716922</v>
      </c>
      <c r="H328" s="1074">
        <f t="shared" si="690"/>
        <v>314.71968447999996</v>
      </c>
      <c r="I328" s="534">
        <f>IF(Sheet1!DA326&gt;=E328,(Sheet1!DA326-E328+P328)*CFStoMGD,0)</f>
        <v>487.30848447999995</v>
      </c>
      <c r="J328" s="995">
        <f>IF(Sheet1!DB326&gt;=D328,(Sheet1!DB326-D328+P328)*CFStoMGD,0)</f>
        <v>314.71968447999996</v>
      </c>
      <c r="K328" s="818">
        <f t="shared" si="665"/>
        <v>64.64</v>
      </c>
      <c r="L328" s="535">
        <f>Sheet1!AA326+Sheet1!AB326-Sheet1!L326+(Sheet1!DA326-F328)*CFStoMGD-S328-T328-U328</f>
        <v>429.20959999999997</v>
      </c>
      <c r="M328" s="535">
        <f t="shared" si="697"/>
        <v>475.2125678185688</v>
      </c>
      <c r="N328" s="824">
        <f>IF(Sheet1!DA326&gt;=F328,MIN(113*CFStoMGD,MIN(MAX(L328,0),MAX(M328,0))),0)</f>
        <v>73.043199999999999</v>
      </c>
      <c r="O328" s="538">
        <f>Sheet1!AA326+Sheet1!AB326</f>
        <v>58.1</v>
      </c>
      <c r="P328" s="538">
        <f t="shared" si="698"/>
        <v>89.88069999999999</v>
      </c>
      <c r="Q328" s="812">
        <f t="shared" si="666"/>
        <v>0</v>
      </c>
      <c r="R328" s="812">
        <f t="shared" si="635"/>
        <v>12.123888520238888</v>
      </c>
      <c r="S328" s="812">
        <f t="shared" si="636"/>
        <v>58.1</v>
      </c>
      <c r="T328" s="812">
        <f t="shared" si="637"/>
        <v>0</v>
      </c>
      <c r="U328" s="812">
        <f>IF(AND(B328&gt;=FV328,B328&lt;=FW328),ED328+Sheet1!EH326,0)</f>
        <v>0</v>
      </c>
      <c r="V328" s="812"/>
      <c r="W328" s="812">
        <f t="shared" si="638"/>
        <v>52.516111479761115</v>
      </c>
      <c r="X328" s="812">
        <f t="shared" si="639"/>
        <v>58.1</v>
      </c>
      <c r="Y328" s="812" t="str">
        <f t="shared" si="640"/>
        <v/>
      </c>
      <c r="Z328" s="812">
        <f t="shared" si="641"/>
        <v>58.1</v>
      </c>
      <c r="AA328" s="812">
        <f t="shared" si="642"/>
        <v>58.1</v>
      </c>
      <c r="AB328" s="1059">
        <f t="shared" si="667"/>
        <v>0</v>
      </c>
      <c r="AC328" s="538">
        <f>Sheet1!Y326*MGDtoCFS</f>
        <v>43.470700000000001</v>
      </c>
      <c r="AD328" s="538">
        <f>Sheet1!Z326*MGDtoCFS</f>
        <v>42.697200000000002</v>
      </c>
      <c r="AE328" s="538">
        <f>Sheet1!AA326*MGDtoCFS</f>
        <v>43.315999999999995</v>
      </c>
      <c r="AF328" s="538">
        <f>Sheet1!AB326*MGDtoCFS</f>
        <v>46.564700000000002</v>
      </c>
      <c r="AG328" s="538">
        <f>Sheet1!L326*MGDtoCFS</f>
        <v>0</v>
      </c>
      <c r="AH328" s="521">
        <f t="shared" si="699"/>
        <v>0</v>
      </c>
      <c r="AI328" s="1059">
        <f t="shared" si="700"/>
        <v>0</v>
      </c>
      <c r="AJ328" s="535">
        <f t="shared" si="701"/>
        <v>0</v>
      </c>
      <c r="AK328" s="535">
        <f t="shared" si="702"/>
        <v>0</v>
      </c>
      <c r="AL328" s="535">
        <f>(VLOOKUP(Sheet1!DC326,hhdcap_wcm,4)-(((VLOOKUP(Sheet1!DC326,hhdcap_wcm,3)-Sheet1!DC326)/(VLOOKUP(Sheet1!DC326,hhdcap_wcm,3)-VLOOKUP(Sheet1!DC326,hhdcap_wcm,1)))*(VLOOKUP(Sheet1!DC326,hhdcap_wcm,4)-VLOOKUP(Sheet1!DC326,hhdcap_wcm,2))))</f>
        <v>1496.0000000040927</v>
      </c>
      <c r="AM328" s="535">
        <f t="shared" si="703"/>
        <v>59.000000000336513</v>
      </c>
      <c r="AN328" s="1035">
        <f t="shared" si="704"/>
        <v>0</v>
      </c>
      <c r="AO328" s="535">
        <f t="shared" si="705"/>
        <v>0</v>
      </c>
      <c r="AP328" s="535">
        <f>Sheet1!BA326+Sheet1!BB326+Sheet1!BN326+CD328</f>
        <v>18</v>
      </c>
      <c r="AQ328" s="535">
        <f>Sheet1!BN326+(DO328*Sheet1!BN326)</f>
        <v>17.976111479761116</v>
      </c>
      <c r="AR328" s="535">
        <f>Sheet1!BA326+CD328</f>
        <v>0</v>
      </c>
      <c r="AS328" s="535">
        <f>Sheet1!BA326+Sheet1!BB326+CD328</f>
        <v>0</v>
      </c>
      <c r="AT328" s="649">
        <f>0</f>
        <v>0</v>
      </c>
      <c r="AU328" s="974">
        <f>BA328+MAX(Sheet1!EH326,(O328-Q328-ED328-S328))</f>
        <v>0</v>
      </c>
      <c r="AV328" s="535">
        <f>IF(OR(B328&gt;=GD328,B328&lt;GC328),0,15/36*K328-MAX(0,64.6-(137.6-(Sheet1!AA326+Sheet1!AB326))))</f>
        <v>0</v>
      </c>
      <c r="AW328" s="1029"/>
      <c r="AX328" s="649"/>
      <c r="AY328" s="649">
        <f t="shared" si="668"/>
        <v>23.311716569431731</v>
      </c>
      <c r="AZ328" s="649">
        <f t="shared" si="669"/>
        <v>0</v>
      </c>
      <c r="BA328" s="1059">
        <f>HV328/1.547</f>
        <v>0</v>
      </c>
      <c r="BB328" s="1019">
        <f t="shared" si="706"/>
        <v>0</v>
      </c>
      <c r="BC328" s="1041">
        <f t="shared" si="671"/>
        <v>26.933333333333334</v>
      </c>
      <c r="BD328" s="1019">
        <f ca="1">IF(B328&gt;(Summary!$A$1-1),#N/A,BB328*MGtoAF)</f>
        <v>0</v>
      </c>
      <c r="BE328" s="535">
        <f>Sheet1!BG326+Sheet1!BH326+Sheet1!BI326-BM328</f>
        <v>2.69</v>
      </c>
      <c r="BF328" s="535">
        <f t="shared" si="707"/>
        <v>2.6864299933643001</v>
      </c>
      <c r="BG328" s="535">
        <f>IF(Sheet1!EP326="FM",BM328,0)</f>
        <v>0</v>
      </c>
      <c r="BH328" s="535">
        <f t="shared" si="708"/>
        <v>0</v>
      </c>
      <c r="BI328" s="535">
        <f>IF(Sheet1!EP326="OTHER",BM328,0)</f>
        <v>0</v>
      </c>
      <c r="BJ328" s="535">
        <f t="shared" si="709"/>
        <v>0</v>
      </c>
      <c r="BK328" s="535">
        <f t="shared" si="710"/>
        <v>2.69</v>
      </c>
      <c r="BL328" s="535">
        <f t="shared" si="711"/>
        <v>2.6864299933643001</v>
      </c>
      <c r="BM328" s="535">
        <f>IF(OR(Sheet1!EP326="FM", Sheet1!EP326="OTHER"),SUM(Sheet1!BG326:'Sheet1'!BI326),0)</f>
        <v>0</v>
      </c>
      <c r="BN328" s="521">
        <f>IF(AND($B328&gt;=$FV328,$B328&lt;=$FW328),MAX(BF328,Sheet1!EI326,0),MAX(BF328-(7/36)*$K328,0))</f>
        <v>0</v>
      </c>
      <c r="BO328" s="535">
        <f t="shared" si="712"/>
        <v>0</v>
      </c>
      <c r="BP328" s="521">
        <f t="shared" si="713"/>
        <v>2.6864299933643001</v>
      </c>
      <c r="BQ328" s="521">
        <f>IF(AND($O328&gt;0,Sheet1!EM326=1),(1-($O328-Sheet1!$L326)/$O328)*BL328,0)</f>
        <v>0</v>
      </c>
      <c r="BR328" s="521">
        <f>IF(AND(Sheet1!$L326=0,Sheet1!$L325=0, Calculation!BK328&lt;Sheet1!$EI326-0.1,Sheet1!$EI326=Sheet1!$EI325,Sheet1!$EI326=Sheet1!$EI327),BL328-BQ328,BL328-BQ328)</f>
        <v>2.6864299933643001</v>
      </c>
      <c r="BS328" s="1035" t="str">
        <f t="shared" si="672"/>
        <v/>
      </c>
      <c r="BT328" s="1035">
        <f t="shared" si="673"/>
        <v>12.568888888888889</v>
      </c>
      <c r="BU328" s="535">
        <f t="shared" si="714"/>
        <v>0</v>
      </c>
      <c r="BV328" s="535"/>
      <c r="BW328" s="535">
        <f ca="1">IF(B328&gt;(Summary!$A$1-1),#N/A,BU328*MGtoAF)</f>
        <v>0</v>
      </c>
      <c r="BX328" s="535">
        <f>Sheet1!BC326+Sheet1!BD326+Sheet1!BE326+Sheet1!BF326-CG328-CH328</f>
        <v>2.99</v>
      </c>
      <c r="BY328" s="535">
        <f t="shared" si="715"/>
        <v>2.9860318513603188</v>
      </c>
      <c r="BZ328" s="535">
        <f>IF(Sheet1!EQ326="FM",CH328,0)</f>
        <v>0</v>
      </c>
      <c r="CA328" s="535">
        <f t="shared" si="716"/>
        <v>0</v>
      </c>
      <c r="CB328" s="535">
        <f>IF(Sheet1!EQ326="OTHER",CH328,0)</f>
        <v>0</v>
      </c>
      <c r="CC328" s="535">
        <f t="shared" si="717"/>
        <v>0</v>
      </c>
      <c r="CD328" s="535">
        <f t="shared" si="718"/>
        <v>0</v>
      </c>
      <c r="CE328" s="535">
        <f t="shared" si="719"/>
        <v>2.99</v>
      </c>
      <c r="CF328" s="535">
        <f t="shared" si="720"/>
        <v>2.9860318513603188</v>
      </c>
      <c r="CG328" s="535">
        <f>IF(Sheet1!EQ326="CWA",SUM(Sheet1!BC326:'Sheet1'!BF326),0)</f>
        <v>0</v>
      </c>
      <c r="CH328" s="535">
        <f>IF(OR(Sheet1!EQ326="FM", Sheet1!EQ326="OTHER"),SUM(Sheet1!BC326:'Sheet1'!BF326),0)</f>
        <v>0</v>
      </c>
      <c r="CI328" s="521">
        <f>IF(AND($B328&gt;=$FV328,$B328&lt;=$FW328),MAX(CF328,Sheet1!EJ326,0),MAX(CF328-(7/36)*$K328,0))</f>
        <v>0</v>
      </c>
      <c r="CJ328" s="535">
        <f t="shared" si="721"/>
        <v>0</v>
      </c>
      <c r="CK328" s="521">
        <f t="shared" si="722"/>
        <v>2.9860318513603188</v>
      </c>
      <c r="CL328" s="521">
        <f>IF(AND($O328&gt;0,Sheet1!EN326=1),(1-($O328-Sheet1!$L326)/$O328)*CF328,0)</f>
        <v>0</v>
      </c>
      <c r="CM328" s="521">
        <f>IF(AND(Sheet1!$L326=0,Sheet1!$L325=0, Calculation!CE328&lt;Sheet1!EJ326-0.1,Sheet1!EJ326=Sheet1!EJ325,Sheet1!EJ326=Sheet1!EJ327),CF328-CL328,CF328-CL328)</f>
        <v>2.9860318513603188</v>
      </c>
      <c r="CN328" s="1040" t="str">
        <f t="shared" si="674"/>
        <v/>
      </c>
      <c r="CO328" s="1035">
        <f t="shared" si="675"/>
        <v>12.568888888888889</v>
      </c>
      <c r="CP328" s="535">
        <f t="shared" si="723"/>
        <v>0</v>
      </c>
      <c r="CQ328" s="535"/>
      <c r="CR328" s="535">
        <f ca="1">IF(B328&gt;(Summary!$A$1-1),#N/A,CP328*MGtoAF)</f>
        <v>0</v>
      </c>
      <c r="CS328" s="535">
        <f>Sheet1!BK326+Sheet1!BL326+Sheet1!BM326-Sheet1!ER326-DA328</f>
        <v>6.4600000000000009</v>
      </c>
      <c r="CT328" s="535">
        <f t="shared" si="724"/>
        <v>6.4514266755142682</v>
      </c>
      <c r="CU328" s="535">
        <f>IF(Sheet1!ER326="FM",DA328,0)</f>
        <v>0</v>
      </c>
      <c r="CV328" s="535">
        <f t="shared" si="725"/>
        <v>0</v>
      </c>
      <c r="CW328" s="535">
        <f>IF(Sheet1!ER326="OTHER",DA328,0)</f>
        <v>0</v>
      </c>
      <c r="CX328" s="535">
        <f t="shared" si="726"/>
        <v>0</v>
      </c>
      <c r="CY328" s="535">
        <f t="shared" si="727"/>
        <v>6.4600000000000009</v>
      </c>
      <c r="CZ328" s="535">
        <f t="shared" si="728"/>
        <v>6.4514266755142682</v>
      </c>
      <c r="DA328" s="535">
        <f>IF(OR(Sheet1!ER326="FM", Sheet1!ER326="OTHER"),SUM(Sheet1!BK326:'Sheet1'!BM326),0)</f>
        <v>0</v>
      </c>
      <c r="DB328" s="1011">
        <f>IF(AND($B328&gt;=$FV328,$B328&lt;=$FW328),MAX($CT328,Sheet1!EK326,0),MAX($CT328-(7/36)*$K328,0))</f>
        <v>0</v>
      </c>
      <c r="DC328" s="1012">
        <f t="shared" si="729"/>
        <v>0</v>
      </c>
      <c r="DD328" s="1011">
        <f t="shared" si="730"/>
        <v>6.4514266755142682</v>
      </c>
      <c r="DE328" s="521">
        <f>IF(AND($O328&gt;0,Sheet1!EO326=1),(1-($O328-Sheet1!$L326)/$O328)*CZ328,0)</f>
        <v>0</v>
      </c>
      <c r="DF328" s="521">
        <f>IF(AND(Sheet1!$L326=0,Sheet1!$L325=0, Calculation!CY328&lt;Sheet1!$EK326-0.1,Sheet1!$EK326=Sheet1!$EK325,Sheet1!$EK326=Sheet1!$EK327),CZ328-DE328,CZ328-DE328)</f>
        <v>6.4514266755142682</v>
      </c>
      <c r="DG328" s="1040">
        <f t="shared" si="676"/>
        <v>12.568888888888889</v>
      </c>
      <c r="DH328" s="649">
        <f t="shared" si="731"/>
        <v>12.14</v>
      </c>
      <c r="DI328" s="535">
        <f t="shared" si="732"/>
        <v>0</v>
      </c>
      <c r="DJ328" s="649">
        <f t="shared" si="733"/>
        <v>12.123888520238888</v>
      </c>
      <c r="DK328" s="535">
        <f ca="1">IF(B328&gt;(Summary!$A$1-1),#N/A,DI328*MGtoAF)</f>
        <v>0</v>
      </c>
      <c r="DL328" s="649">
        <f t="shared" si="734"/>
        <v>12.14</v>
      </c>
      <c r="DM328" s="535">
        <f t="shared" si="735"/>
        <v>30.14</v>
      </c>
      <c r="DN328" s="535">
        <f>Sheet1!AB326-DM328</f>
        <v>-3.9999999999999147E-2</v>
      </c>
      <c r="DO328" s="743">
        <f t="shared" si="736"/>
        <v>-1.3271400132713717E-3</v>
      </c>
      <c r="DP328" s="535">
        <f>(VLOOKUP(Sheet1!DC326,hhdcap_wcm,4)-(((VLOOKUP(Sheet1!DC326,hhdcap_wcm,3)-Sheet1!DC326)/(VLOOKUP(Sheet1!DC326,hhdcap_wcm,3)-VLOOKUP(Sheet1!DC326,hhdcap_wcm,1)))*(VLOOKUP(Sheet1!DC326,hhdcap_wcm,4)-VLOOKUP(Sheet1!DC326,hhdcap_wcm,2))))</f>
        <v>1496.0000000040927</v>
      </c>
      <c r="DQ328" s="535">
        <f t="shared" si="737"/>
        <v>59.000000000336513</v>
      </c>
      <c r="DR328" s="535">
        <f t="shared" si="738"/>
        <v>29.75289964716919</v>
      </c>
      <c r="DS328" s="535">
        <f>Sheet1!EA326*AFtoMG</f>
        <v>0</v>
      </c>
      <c r="DT328" s="535">
        <f>Sheet1!EB326*AFtoMG</f>
        <v>0</v>
      </c>
      <c r="DU328" s="535">
        <f>Sheet1!EC326*AFtoMG</f>
        <v>0</v>
      </c>
      <c r="DV328" s="535">
        <f>Sheet1!ED326*AFtoMG</f>
        <v>0</v>
      </c>
      <c r="DW328" s="535">
        <f t="shared" si="739"/>
        <v>0</v>
      </c>
      <c r="DX328" s="535">
        <f t="shared" si="740"/>
        <v>0</v>
      </c>
      <c r="DY328" s="535">
        <f t="shared" si="741"/>
        <v>0</v>
      </c>
      <c r="DZ328" s="535">
        <f t="shared" si="742"/>
        <v>0</v>
      </c>
      <c r="EA328" s="535"/>
      <c r="EB328" s="521">
        <f>IF(OR(B328&lt;FV328,B328&gt;FW328),(MIN(BF328+BY328+CT328+MAX(Sheet1!AA326+AQ328-73,0),K328)),0)</f>
        <v>12.123888520238888</v>
      </c>
      <c r="EC328" s="535"/>
      <c r="ED328" s="535">
        <f t="shared" si="743"/>
        <v>12.123888520238886</v>
      </c>
      <c r="EE328" s="535"/>
      <c r="EF328" s="535">
        <f>Sheet1!EH326+Sheet1!EI326+Sheet1!EJ326+Sheet1!EK326</f>
        <v>12.5</v>
      </c>
      <c r="EG328" s="1019">
        <f t="shared" si="677"/>
        <v>19.337499999999999</v>
      </c>
      <c r="EH328" s="521">
        <f t="shared" si="744"/>
        <v>0</v>
      </c>
      <c r="EI328" s="535">
        <f>IF(Sheet1!ET326=1,SUM('Calculations II'!AT328:BA328)+'Calculations II'!BC328+Sheet1!BV326+'Calculations II'!BE328+AP328,'Calculations II'!BK328)</f>
        <v>46.698667479761113</v>
      </c>
      <c r="EJ328" s="535">
        <f ca="1">EI328+'Calculations II'!D328+'Calculations II'!E328+'Calculations II'!O328</f>
        <v>45.745163776199021</v>
      </c>
      <c r="EK328" s="535"/>
      <c r="EL328" s="535"/>
      <c r="EM328" s="535">
        <f t="shared" si="745"/>
        <v>43052</v>
      </c>
      <c r="EN328" s="535">
        <f t="shared" si="746"/>
        <v>0</v>
      </c>
      <c r="EO328" s="535">
        <f t="shared" si="747"/>
        <v>0</v>
      </c>
      <c r="EP328" s="535">
        <v>0</v>
      </c>
      <c r="EQ328" s="535">
        <v>0</v>
      </c>
      <c r="ER328" s="535">
        <v>0</v>
      </c>
      <c r="ES328" s="521">
        <f t="shared" si="643"/>
        <v>1.5230634082511849</v>
      </c>
      <c r="ET328" s="535">
        <f>-(VLOOKUP(Sheet1!BQ326,Lookup!$O$4:$Q$262,2)-VLOOKUP(Sheet1!BQ325,Lookup!$O$4:$Q$262,2))/1000000</f>
        <v>0.69213553300987551</v>
      </c>
      <c r="EU328" s="535">
        <f>-(VLOOKUP(Sheet1!BR326,Lookup!$O$4:$Q$262,3)-VLOOKUP(Sheet1!BR325,Lookup!$O$4:$Q$262,3))/1000000</f>
        <v>0.8309278752413094</v>
      </c>
      <c r="EV328" s="535"/>
      <c r="EW328" s="535"/>
      <c r="EX328" s="535"/>
      <c r="EY328" s="535"/>
      <c r="EZ328" s="535"/>
      <c r="FA328" s="535"/>
      <c r="FB328" s="535"/>
      <c r="FC328" s="535"/>
      <c r="FD328" s="567">
        <f t="shared" si="786"/>
        <v>1084.0437499999709</v>
      </c>
      <c r="FE328" s="567" t="e">
        <f t="shared" si="748"/>
        <v>#N/A</v>
      </c>
      <c r="FF328" s="568" t="e">
        <f t="shared" si="749"/>
        <v>#N/A</v>
      </c>
      <c r="FG328" s="569" t="s">
        <v>656</v>
      </c>
      <c r="FH328" s="569" t="s">
        <v>656</v>
      </c>
      <c r="FI328" s="567" t="e">
        <v>#N/A</v>
      </c>
      <c r="FJ328" s="725">
        <v>1620</v>
      </c>
      <c r="FK328" s="535"/>
      <c r="FL328" s="1015">
        <f t="shared" si="785"/>
        <v>45.385779122541599</v>
      </c>
      <c r="FM328" s="535"/>
      <c r="FN328" s="535"/>
      <c r="FO328" s="535">
        <f>O328+((Sheet1!CS326)*GPMtoMGD)</f>
        <v>58.1</v>
      </c>
      <c r="FP328" s="535">
        <f>IF(Sheet1!AA326+AQ328&lt;=Calculation!N328,AQ328,Calculation!N328-Sheet1!AA326)</f>
        <v>17.976111479761116</v>
      </c>
      <c r="FQ328" s="535">
        <f>(Sheet1!BP326+Sheet1!BO326)/694.4</f>
        <v>1.1676267281105992</v>
      </c>
      <c r="FR328" s="541"/>
      <c r="FS328" s="541"/>
      <c r="FT328" s="541"/>
      <c r="FU328" s="541"/>
      <c r="FV328" s="1109">
        <f t="shared" si="644"/>
        <v>42918</v>
      </c>
      <c r="FW328" s="1109">
        <f t="shared" si="645"/>
        <v>43027</v>
      </c>
      <c r="FX328" s="541"/>
      <c r="FY328" s="541">
        <f>Sheet1!DA326-Sheet1!CZ326-Sheet1!AE326</f>
        <v>133.11930000000001</v>
      </c>
      <c r="FZ328" s="535">
        <f t="shared" si="678"/>
        <v>0.18469478244924997</v>
      </c>
      <c r="GA328" s="535"/>
      <c r="GB328" s="535" t="str">
        <f t="shared" si="646"/>
        <v>n</v>
      </c>
      <c r="GC328" s="539">
        <f t="shared" si="647"/>
        <v>42782</v>
      </c>
      <c r="GD328" s="1109">
        <f t="shared" si="648"/>
        <v>42904</v>
      </c>
      <c r="GE328" s="535">
        <f t="shared" si="664"/>
        <v>6520</v>
      </c>
      <c r="GF328" s="1109">
        <f t="shared" si="649"/>
        <v>42909</v>
      </c>
      <c r="GG328" s="535">
        <f t="shared" si="691"/>
        <v>3260</v>
      </c>
      <c r="GH328" s="539">
        <f t="shared" si="650"/>
        <v>43040</v>
      </c>
      <c r="GJ328" s="521">
        <f t="shared" si="651"/>
        <v>0</v>
      </c>
      <c r="GK328" s="535" t="str">
        <f t="shared" si="750"/>
        <v/>
      </c>
      <c r="GL328" s="535">
        <f t="shared" si="652"/>
        <v>0</v>
      </c>
      <c r="GM328" s="535" t="str">
        <f t="shared" si="653"/>
        <v/>
      </c>
      <c r="GN328" s="535">
        <f>IF(GK328="P",Lookup!$M$12,IF(GK328="PP",Lookup!$M$13,IF(GK328="PPP",Lookup!$M$14,IF(GK328="T",Lookup!$M$15,IF(GK328="TP",Lookup!$M$16,IF(GK328="TPP",Lookup!$M$17,IF(GK328="TPPP",Lookup!$M$18,0)))))))*GJ328</f>
        <v>0</v>
      </c>
      <c r="GO328" s="535">
        <f t="shared" si="654"/>
        <v>0</v>
      </c>
      <c r="GP328" s="535">
        <f t="shared" si="751"/>
        <v>0</v>
      </c>
      <c r="GQ328" s="974">
        <f t="shared" si="695"/>
        <v>0</v>
      </c>
      <c r="GR328" s="535"/>
      <c r="GS328" s="535">
        <f t="shared" si="655"/>
        <v>0</v>
      </c>
      <c r="GT328" s="535" t="str">
        <f t="shared" si="656"/>
        <v/>
      </c>
      <c r="GU328" s="535">
        <f>IF(GK328="P",Lookup!$N$12,IF(GK328="PP",Lookup!$N$13,IF(GK328="PPP",Lookup!$N$14,IF(GK328="T",Lookup!$N$15,IF(GK328="TP",Lookup!$N$16,IF(GK328="TPP",Lookup!$N$17,IF(GK328="TPPP",Lookup!$N$18,0)))))))*GJ328</f>
        <v>0</v>
      </c>
      <c r="GV328" s="535">
        <f t="shared" si="657"/>
        <v>0</v>
      </c>
      <c r="GW328" s="535">
        <f t="shared" si="752"/>
        <v>0</v>
      </c>
      <c r="GX328" s="974">
        <f t="shared" si="696"/>
        <v>0</v>
      </c>
      <c r="GY328" s="535"/>
      <c r="GZ328" s="535">
        <f t="shared" si="658"/>
        <v>0</v>
      </c>
      <c r="HA328" s="535" t="str">
        <f t="shared" si="659"/>
        <v/>
      </c>
      <c r="HB328" s="535">
        <f>IF(GK328="P",Lookup!$N$12,IF(GK328="PP",Lookup!$N$13,IF(GK328="PPP",Lookup!$N$14,IF(GK328="T",Lookup!$N$15,IF(GK328="TP",Lookup!$N$16,IF(GK328="TPP",Lookup!$N$17,IF(GK328="TPPP",Lookup!$N$18,0)))))))*GJ328</f>
        <v>0</v>
      </c>
      <c r="HC328" s="521">
        <f t="shared" si="753"/>
        <v>0</v>
      </c>
      <c r="HD328" s="535">
        <f t="shared" si="754"/>
        <v>0</v>
      </c>
      <c r="HE328" s="535">
        <f t="shared" si="662"/>
        <v>0</v>
      </c>
      <c r="HF328" s="535"/>
      <c r="HG328" s="535">
        <f t="shared" si="660"/>
        <v>0</v>
      </c>
      <c r="HH328" s="535" t="str">
        <f t="shared" si="661"/>
        <v/>
      </c>
      <c r="HI328" s="535">
        <f>IF(GK328="P",Lookup!$N$12,IF(GK328="PP",Lookup!$N$13,IF(GK328="PPP",Lookup!$N$14,IF(GK328="T",Lookup!$N$15,IF(GK328="TP",Lookup!$N$16,IF(GK328="TPP",Lookup!$N$17,IF(GK328="TPPP",Lookup!$N$18,0)))))))*GJ328</f>
        <v>0</v>
      </c>
      <c r="HJ328" s="521">
        <f t="shared" si="755"/>
        <v>0</v>
      </c>
      <c r="HK328" s="535">
        <f t="shared" si="756"/>
        <v>0</v>
      </c>
      <c r="HL328" s="535">
        <f t="shared" si="663"/>
        <v>0</v>
      </c>
      <c r="HM328" s="535"/>
      <c r="HN328" s="541"/>
      <c r="HO328" s="541"/>
      <c r="HP328" s="541"/>
      <c r="HQ328" s="541">
        <f>IF(AND(B328&gt;=$FV$4,B328&lt;=$FW$4),MAX(110/1.02+$HQ$6+MIN(113/1.02,G328),IF($HV$6-(Sheet1!DA326-Sheet1!DB326)+MIN(113/1.02,G328)&lt;G328+FL328,$HV$6-(Sheet1!DA326-Sheet1!DB326)+MIN(113/1.02,G328),G328+FL328)),MIN(110/1.02+$HQ$6+113/1.02,G328))</f>
        <v>218.62745098039215</v>
      </c>
      <c r="HR328" s="541">
        <f t="shared" si="679"/>
        <v>223</v>
      </c>
      <c r="HS328" s="541">
        <f>HR328+(Sheet1!DA326-Sheet1!DB326)</f>
        <v>440</v>
      </c>
      <c r="HT328" s="541">
        <f t="shared" si="680"/>
        <v>0</v>
      </c>
      <c r="HU328" s="541">
        <f t="shared" si="681"/>
        <v>440</v>
      </c>
      <c r="HV328" s="541">
        <f t="shared" si="682"/>
        <v>0</v>
      </c>
      <c r="HW328" s="533" t="str">
        <f t="shared" si="683"/>
        <v/>
      </c>
      <c r="HX328" s="541">
        <f t="shared" si="684"/>
        <v>472.37254901960785</v>
      </c>
      <c r="HY328" s="541">
        <f>Sheet1!CZ326</f>
        <v>691</v>
      </c>
      <c r="HZ328" s="541">
        <f t="shared" si="685"/>
        <v>0</v>
      </c>
      <c r="IA328" s="541">
        <f t="shared" si="686"/>
        <v>0</v>
      </c>
      <c r="IB328" s="541">
        <f t="shared" si="687"/>
        <v>691</v>
      </c>
      <c r="IC328" s="1019" t="str">
        <f t="shared" si="688"/>
        <v/>
      </c>
      <c r="ID328" s="541">
        <f t="shared" si="689"/>
        <v>691</v>
      </c>
      <c r="IE328" s="541">
        <f>Sheet1!DB326</f>
        <v>697</v>
      </c>
      <c r="IF328" s="533">
        <f>Sheet1!DA326</f>
        <v>914</v>
      </c>
      <c r="IH328" s="541">
        <f>IF(AND($B328&gt;=$GC328,$B328&lt;=$GH328,$DR328&lt;0)+N("only adjusted when pool is drawn down during storage season"),Sheet1!$DB326+$DR328+N("Palmer minus all storage release"),Sheet1!$DB326)</f>
        <v>697</v>
      </c>
      <c r="II328" s="541">
        <f>IF(AND($B328&gt;=$GC328,$B328&lt;=$GH328,$DR328&lt;0)+N("only adjusted when pool is drawn down during storage season"),Sheet1!$DA326+$DR328+N("Auburn minus all storage release"),Sheet1!$DA326)</f>
        <v>914</v>
      </c>
    </row>
    <row r="329" spans="1:243" x14ac:dyDescent="0.25">
      <c r="A329" s="553" t="s">
        <v>5</v>
      </c>
      <c r="B329" s="531">
        <v>43053</v>
      </c>
      <c r="C329" s="536">
        <v>0</v>
      </c>
      <c r="D329" s="506">
        <f t="shared" si="787"/>
        <v>300</v>
      </c>
      <c r="E329" s="506">
        <f t="shared" si="788"/>
        <v>250</v>
      </c>
      <c r="F329" s="506">
        <v>250</v>
      </c>
      <c r="G329" s="535">
        <f>DR329+Sheet1!CZ327</f>
        <v>922.91275844659594</v>
      </c>
      <c r="H329" s="1074">
        <f t="shared" si="690"/>
        <v>525.82683993599994</v>
      </c>
      <c r="I329" s="534">
        <f>IF(Sheet1!DA327&gt;=E329,(Sheet1!DA327-E329+P329)*CFStoMGD,0)</f>
        <v>772.75163993599995</v>
      </c>
      <c r="J329" s="995">
        <f>IF(Sheet1!DB327&gt;=D329,(Sheet1!DB327-D329+P329)*CFStoMGD,0)</f>
        <v>525.82683993599994</v>
      </c>
      <c r="K329" s="818">
        <f t="shared" si="665"/>
        <v>64.64</v>
      </c>
      <c r="L329" s="535">
        <f>Sheet1!AA327+Sheet1!AB327-Sheet1!L327+(Sheet1!DA327-F329)*CFStoMGD-S329-T329-U329</f>
        <v>699.62280000000089</v>
      </c>
      <c r="M329" s="535">
        <f t="shared" si="697"/>
        <v>608.50222320107719</v>
      </c>
      <c r="N329" s="824">
        <f>IF(Sheet1!DA327&gt;=F329,MIN(113*CFStoMGD,MIN(MAX(L329,0),MAX(M329,0))),0)</f>
        <v>73.043199999999999</v>
      </c>
      <c r="O329" s="538">
        <f>Sheet1!AA327+Sheet1!AB327</f>
        <v>60.42</v>
      </c>
      <c r="P329" s="538">
        <f t="shared" si="698"/>
        <v>93.469740000000002</v>
      </c>
      <c r="Q329" s="812">
        <f t="shared" si="666"/>
        <v>0</v>
      </c>
      <c r="R329" s="812">
        <f t="shared" ref="R329:R381" si="789">IF(AND(B329&gt;=GF329,B329&lt;=GH329),MAX(EB329,EF329),EB329)</f>
        <v>12.207122612446087</v>
      </c>
      <c r="S329" s="812">
        <f t="shared" ref="S329:S381" si="790">IF(OR(B329&lt;GC329,B329&gt;GH329),MIN(O329,K329),IF(AND(B329&gt;=FV329,B329&lt;=FW329),0,IF(AND(B329&gt;=GC329,B329&lt;=GD329),DL329,IF(AND(B329&gt;GD329,B329&lt;FV329),MIN(K329,O329),0))))</f>
        <v>60.42</v>
      </c>
      <c r="T329" s="812">
        <f t="shared" ref="T329:T381" si="791">IF(OR(B329&lt;GC329,B329&gt;GD329),0, K329-DL329)</f>
        <v>0</v>
      </c>
      <c r="U329" s="812">
        <f>IF(AND(B329&gt;=FV329,B329&lt;=FW329),ED329+Sheet1!EH327,0)</f>
        <v>0</v>
      </c>
      <c r="V329" s="812"/>
      <c r="W329" s="812">
        <f t="shared" ref="W329:W381" si="792">MAX(K329-DJ329,0)</f>
        <v>52.432877387553916</v>
      </c>
      <c r="X329" s="812">
        <f t="shared" ref="X329:X381" si="793">S329+T329</f>
        <v>60.42</v>
      </c>
      <c r="Y329" s="812" t="str">
        <f t="shared" ref="Y329:Y381" si="794">IF(OR(O329&gt;K329,AND(B329&gt;=GC329,B329&lt;=GD329),), "FALSE","")</f>
        <v/>
      </c>
      <c r="Z329" s="812">
        <f t="shared" ref="Z329:Z381" si="795">O329</f>
        <v>60.42</v>
      </c>
      <c r="AA329" s="812">
        <f t="shared" ref="AA329:AA381" si="796">Q329+S329+U329</f>
        <v>60.42</v>
      </c>
      <c r="AB329" s="1059">
        <f t="shared" si="667"/>
        <v>0</v>
      </c>
      <c r="AC329" s="538">
        <f>Sheet1!Y327*MGDtoCFS</f>
        <v>43.315999999999995</v>
      </c>
      <c r="AD329" s="538">
        <f>Sheet1!Z327*MGDtoCFS</f>
        <v>46.564700000000002</v>
      </c>
      <c r="AE329" s="538">
        <f>Sheet1!AA327*MGDtoCFS</f>
        <v>43.470700000000001</v>
      </c>
      <c r="AF329" s="538">
        <f>Sheet1!AB327*MGDtoCFS</f>
        <v>49.999040000000001</v>
      </c>
      <c r="AG329" s="538">
        <f>Sheet1!L327*MGDtoCFS</f>
        <v>19.662369999998649</v>
      </c>
      <c r="AH329" s="521">
        <f t="shared" si="699"/>
        <v>0</v>
      </c>
      <c r="AI329" s="1059">
        <f t="shared" si="700"/>
        <v>0</v>
      </c>
      <c r="AJ329" s="535">
        <f t="shared" si="701"/>
        <v>0</v>
      </c>
      <c r="AK329" s="535">
        <f t="shared" si="702"/>
        <v>0</v>
      </c>
      <c r="AL329" s="535">
        <f>(VLOOKUP(Sheet1!DC327,hhdcap_wcm,4)-(((VLOOKUP(Sheet1!DC327,hhdcap_wcm,3)-Sheet1!DC327)/(VLOOKUP(Sheet1!DC327,hhdcap_wcm,3)-VLOOKUP(Sheet1!DC327,hhdcap_wcm,1)))*(VLOOKUP(Sheet1!DC327,hhdcap_wcm,4)-VLOOKUP(Sheet1!DC327,hhdcap_wcm,2))))</f>
        <v>1359.0000000036925</v>
      </c>
      <c r="AM329" s="535">
        <f t="shared" si="703"/>
        <v>-137.00000000040018</v>
      </c>
      <c r="AN329" s="1035">
        <f t="shared" si="704"/>
        <v>0</v>
      </c>
      <c r="AO329" s="535">
        <f t="shared" si="705"/>
        <v>0</v>
      </c>
      <c r="AP329" s="535">
        <f>Sheet1!BA327+Sheet1!BB327+Sheet1!BN327+CD329</f>
        <v>20.2</v>
      </c>
      <c r="AQ329" s="535">
        <f>Sheet1!BN327+(DO329*Sheet1!BN327)</f>
        <v>20.112877387553912</v>
      </c>
      <c r="AR329" s="535">
        <f>Sheet1!BA327+CD329</f>
        <v>0</v>
      </c>
      <c r="AS329" s="535">
        <f>Sheet1!BA327+Sheet1!BB327+CD329</f>
        <v>0</v>
      </c>
      <c r="AT329" s="649">
        <f>0</f>
        <v>0</v>
      </c>
      <c r="AU329" s="974">
        <f>BA329+MAX(Sheet1!EH327,(O329-Q329-ED329-S329))</f>
        <v>0</v>
      </c>
      <c r="AV329" s="535">
        <f>IF(OR(B329&gt;=GD329,B329&lt;GC329),0,15/36*K329-MAX(0,64.6-(137.6-(Sheet1!AA327+Sheet1!AB327))))</f>
        <v>0</v>
      </c>
      <c r="AW329" s="1029"/>
      <c r="AX329" s="649"/>
      <c r="AY329" s="649">
        <f t="shared" si="668"/>
        <v>23.311716569431731</v>
      </c>
      <c r="AZ329" s="649">
        <f t="shared" si="669"/>
        <v>0</v>
      </c>
      <c r="BA329" s="1059">
        <f t="shared" si="670"/>
        <v>0</v>
      </c>
      <c r="BB329" s="1019">
        <f t="shared" si="706"/>
        <v>0</v>
      </c>
      <c r="BC329" s="1041">
        <f t="shared" si="671"/>
        <v>26.933333333333334</v>
      </c>
      <c r="BD329" s="1019">
        <f ca="1">IF(B329&gt;(Summary!$A$1-1),#N/A,BB329*MGtoAF)</f>
        <v>0</v>
      </c>
      <c r="BE329" s="535">
        <f>Sheet1!BG327+Sheet1!BH327+Sheet1!BI327-BM329</f>
        <v>2.84</v>
      </c>
      <c r="BF329" s="535">
        <f t="shared" si="707"/>
        <v>2.827751078250154</v>
      </c>
      <c r="BG329" s="535">
        <f>IF(Sheet1!EP327="FM",BM329,0)</f>
        <v>0</v>
      </c>
      <c r="BH329" s="535">
        <f t="shared" si="708"/>
        <v>0</v>
      </c>
      <c r="BI329" s="535">
        <f>IF(Sheet1!EP327="OTHER",BM329,0)</f>
        <v>0</v>
      </c>
      <c r="BJ329" s="535">
        <f t="shared" si="709"/>
        <v>0</v>
      </c>
      <c r="BK329" s="535">
        <f t="shared" si="710"/>
        <v>2.84</v>
      </c>
      <c r="BL329" s="535">
        <f t="shared" si="711"/>
        <v>2.827751078250154</v>
      </c>
      <c r="BM329" s="535">
        <f>IF(OR(Sheet1!EP327="FM", Sheet1!EP327="OTHER"),SUM(Sheet1!BG327:'Sheet1'!BI327),0)</f>
        <v>0</v>
      </c>
      <c r="BN329" s="521">
        <f>IF(AND($B329&gt;=$FV329,$B329&lt;=$FW329),MAX(BF329,Sheet1!EI327,0),MAX(BF329-(7/36)*$K329,0))</f>
        <v>0</v>
      </c>
      <c r="BO329" s="535">
        <f t="shared" si="712"/>
        <v>0</v>
      </c>
      <c r="BP329" s="521">
        <f t="shared" si="713"/>
        <v>2.827751078250154</v>
      </c>
      <c r="BQ329" s="521">
        <f>IF(AND($O329&gt;0,Sheet1!EM327=1),(1-($O329-Sheet1!$L327)/$O329)*BL329,0)</f>
        <v>0</v>
      </c>
      <c r="BR329" s="521">
        <f>IF(AND(Sheet1!$L327=0,Sheet1!$L326=0, Calculation!BK329&lt;Sheet1!$EI327-0.1,Sheet1!$EI327=Sheet1!$EI326,Sheet1!$EI327=Sheet1!$EI328),BL329-BQ329,BL329-BQ329)</f>
        <v>2.827751078250154</v>
      </c>
      <c r="BS329" s="1035" t="str">
        <f t="shared" si="672"/>
        <v/>
      </c>
      <c r="BT329" s="1035">
        <f t="shared" si="673"/>
        <v>12.568888888888889</v>
      </c>
      <c r="BU329" s="535">
        <f t="shared" si="714"/>
        <v>0</v>
      </c>
      <c r="BV329" s="535"/>
      <c r="BW329" s="535">
        <f ca="1">IF(B329&gt;(Summary!$A$1-1),#N/A,BU329*MGtoAF)</f>
        <v>0</v>
      </c>
      <c r="BX329" s="535">
        <f>Sheet1!BC327+Sheet1!BD327+Sheet1!BE327+Sheet1!BF327-CG329-CH329</f>
        <v>2.9699999999999998</v>
      </c>
      <c r="BY329" s="535">
        <f t="shared" si="715"/>
        <v>2.957190388170055</v>
      </c>
      <c r="BZ329" s="535">
        <f>IF(Sheet1!EQ327="FM",CH329,0)</f>
        <v>0</v>
      </c>
      <c r="CA329" s="535">
        <f t="shared" si="716"/>
        <v>0</v>
      </c>
      <c r="CB329" s="535">
        <f>IF(Sheet1!EQ327="OTHER",CH329,0)</f>
        <v>0</v>
      </c>
      <c r="CC329" s="535">
        <f t="shared" si="717"/>
        <v>0</v>
      </c>
      <c r="CD329" s="535">
        <f t="shared" si="718"/>
        <v>0</v>
      </c>
      <c r="CE329" s="535">
        <f t="shared" si="719"/>
        <v>2.9699999999999998</v>
      </c>
      <c r="CF329" s="535">
        <f t="shared" si="720"/>
        <v>2.957190388170055</v>
      </c>
      <c r="CG329" s="535">
        <f>IF(Sheet1!EQ327="CWA",SUM(Sheet1!BC327:'Sheet1'!BF327),0)</f>
        <v>0</v>
      </c>
      <c r="CH329" s="535">
        <f>IF(OR(Sheet1!EQ327="FM", Sheet1!EQ327="OTHER"),SUM(Sheet1!BC327:'Sheet1'!BF327),0)</f>
        <v>0</v>
      </c>
      <c r="CI329" s="521">
        <f>IF(AND($B329&gt;=$FV329,$B329&lt;=$FW329),MAX(CF329,Sheet1!EJ327,0),MAX(CF329-(7/36)*$K329,0))</f>
        <v>0</v>
      </c>
      <c r="CJ329" s="535">
        <f t="shared" si="721"/>
        <v>0</v>
      </c>
      <c r="CK329" s="521">
        <f t="shared" si="722"/>
        <v>2.957190388170055</v>
      </c>
      <c r="CL329" s="521">
        <f>IF(AND($O329&gt;0,Sheet1!EN327=1),(1-($O329-Sheet1!$L327)/$O329)*CF329,0)</f>
        <v>0</v>
      </c>
      <c r="CM329" s="521">
        <f>IF(AND(Sheet1!$L327=0,Sheet1!$L326=0, Calculation!CE329&lt;Sheet1!EJ327-0.1,Sheet1!EJ327=Sheet1!EJ326,Sheet1!EJ327=Sheet1!EJ328),CF329-CL329,CF329-CL329)</f>
        <v>2.957190388170055</v>
      </c>
      <c r="CN329" s="1040" t="str">
        <f t="shared" si="674"/>
        <v/>
      </c>
      <c r="CO329" s="1035">
        <f t="shared" si="675"/>
        <v>12.568888888888889</v>
      </c>
      <c r="CP329" s="535">
        <f t="shared" si="723"/>
        <v>0</v>
      </c>
      <c r="CQ329" s="535"/>
      <c r="CR329" s="535">
        <f ca="1">IF(B329&gt;(Summary!$A$1-1),#N/A,CP329*MGtoAF)</f>
        <v>0</v>
      </c>
      <c r="CS329" s="535">
        <f>Sheet1!BK327+Sheet1!BL327+Sheet1!BM327-Sheet1!ER327-DA329</f>
        <v>6.45</v>
      </c>
      <c r="CT329" s="535">
        <f t="shared" si="724"/>
        <v>6.4221811460258778</v>
      </c>
      <c r="CU329" s="535">
        <f>IF(Sheet1!ER327="FM",DA329,0)</f>
        <v>0</v>
      </c>
      <c r="CV329" s="535">
        <f t="shared" si="725"/>
        <v>0</v>
      </c>
      <c r="CW329" s="535">
        <f>IF(Sheet1!ER327="OTHER",DA329,0)</f>
        <v>0</v>
      </c>
      <c r="CX329" s="535">
        <f t="shared" si="726"/>
        <v>0</v>
      </c>
      <c r="CY329" s="535">
        <f t="shared" si="727"/>
        <v>6.45</v>
      </c>
      <c r="CZ329" s="535">
        <f t="shared" si="728"/>
        <v>6.4221811460258778</v>
      </c>
      <c r="DA329" s="535">
        <f>IF(OR(Sheet1!ER327="FM", Sheet1!ER327="OTHER"),SUM(Sheet1!BK327:'Sheet1'!BM327),0)</f>
        <v>0</v>
      </c>
      <c r="DB329" s="1011">
        <f>IF(AND($B329&gt;=$FV329,$B329&lt;=$FW329),MAX($CT329,Sheet1!EK327,0),MAX($CT329-(7/36)*$K329,0))</f>
        <v>0</v>
      </c>
      <c r="DC329" s="1012">
        <f t="shared" si="729"/>
        <v>0</v>
      </c>
      <c r="DD329" s="1011">
        <f t="shared" si="730"/>
        <v>6.4221811460258778</v>
      </c>
      <c r="DE329" s="521">
        <f>IF(AND($O329&gt;0,Sheet1!EO327=1),(1-($O329-Sheet1!$L327)/$O329)*CZ329,0)</f>
        <v>0</v>
      </c>
      <c r="DF329" s="521">
        <f>IF(AND(Sheet1!$L327=0,Sheet1!$L326=0, Calculation!CY329&lt;Sheet1!$EK327-0.1,Sheet1!$EK327=Sheet1!$EK326,Sheet1!$EK327=Sheet1!$EK328),CZ329-DE329,CZ329-DE329)</f>
        <v>6.4221811460258778</v>
      </c>
      <c r="DG329" s="1040">
        <f t="shared" si="676"/>
        <v>12.568888888888889</v>
      </c>
      <c r="DH329" s="649">
        <f t="shared" si="731"/>
        <v>12.26</v>
      </c>
      <c r="DI329" s="535">
        <f t="shared" si="732"/>
        <v>0</v>
      </c>
      <c r="DJ329" s="649">
        <f t="shared" si="733"/>
        <v>12.207122612446087</v>
      </c>
      <c r="DK329" s="535">
        <f ca="1">IF(B329&gt;(Summary!$A$1-1),#N/A,DI329*MGtoAF)</f>
        <v>0</v>
      </c>
      <c r="DL329" s="649">
        <f t="shared" si="734"/>
        <v>12.26</v>
      </c>
      <c r="DM329" s="535">
        <f t="shared" si="735"/>
        <v>32.46</v>
      </c>
      <c r="DN329" s="535">
        <f>Sheet1!AB327-DM329</f>
        <v>-0.14000000000000057</v>
      </c>
      <c r="DO329" s="743">
        <f t="shared" si="736"/>
        <v>-4.3130006161429622E-3</v>
      </c>
      <c r="DP329" s="535">
        <f>(VLOOKUP(Sheet1!DC327,hhdcap_wcm,4)-(((VLOOKUP(Sheet1!DC327,hhdcap_wcm,3)-Sheet1!DC327)/(VLOOKUP(Sheet1!DC327,hhdcap_wcm,3)-VLOOKUP(Sheet1!DC327,hhdcap_wcm,1)))*(VLOOKUP(Sheet1!DC327,hhdcap_wcm,4)-VLOOKUP(Sheet1!DC327,hhdcap_wcm,2))))</f>
        <v>1359.0000000036925</v>
      </c>
      <c r="DQ329" s="535">
        <f t="shared" si="737"/>
        <v>-137.00000000040018</v>
      </c>
      <c r="DR329" s="535">
        <f t="shared" si="738"/>
        <v>-69.087241553404013</v>
      </c>
      <c r="DS329" s="535">
        <f>Sheet1!EA327*AFtoMG</f>
        <v>0</v>
      </c>
      <c r="DT329" s="535">
        <f>Sheet1!EB327*AFtoMG</f>
        <v>0</v>
      </c>
      <c r="DU329" s="535">
        <f>Sheet1!EC327*AFtoMG</f>
        <v>0</v>
      </c>
      <c r="DV329" s="535">
        <f>Sheet1!ED327*AFtoMG</f>
        <v>0</v>
      </c>
      <c r="DW329" s="535">
        <f t="shared" si="739"/>
        <v>0</v>
      </c>
      <c r="DX329" s="535">
        <f t="shared" si="740"/>
        <v>0</v>
      </c>
      <c r="DY329" s="535">
        <f t="shared" si="741"/>
        <v>0</v>
      </c>
      <c r="DZ329" s="535">
        <f t="shared" si="742"/>
        <v>0</v>
      </c>
      <c r="EA329" s="535"/>
      <c r="EB329" s="521">
        <f>IF(OR(B329&lt;FV329,B329&gt;FW329),(MIN(BF329+BY329+CT329+MAX(Sheet1!AA327+AQ329-73,0),K329)),0)</f>
        <v>12.207122612446087</v>
      </c>
      <c r="EC329" s="535"/>
      <c r="ED329" s="535">
        <f t="shared" si="743"/>
        <v>12.207122612446087</v>
      </c>
      <c r="EE329" s="535"/>
      <c r="EF329" s="535">
        <f>Sheet1!EH327+Sheet1!EI327+Sheet1!EJ327+Sheet1!EK327</f>
        <v>12.5</v>
      </c>
      <c r="EG329" s="1019">
        <f t="shared" si="677"/>
        <v>19.337499999999999</v>
      </c>
      <c r="EH329" s="521">
        <f t="shared" si="744"/>
        <v>0</v>
      </c>
      <c r="EI329" s="535">
        <f>IF(Sheet1!ET327=1,SUM('Calculations II'!AT329:BA329)+'Calculations II'!BC329+Sheet1!BV327+'Calculations II'!BE329+AP329,'Calculations II'!BK329)</f>
        <v>49.546505387553907</v>
      </c>
      <c r="EJ329" s="535">
        <f ca="1">EI329+'Calculations II'!D329+'Calculations II'!E329+'Calculations II'!O329</f>
        <v>46.589818457150578</v>
      </c>
      <c r="EK329" s="535"/>
      <c r="EL329" s="535"/>
      <c r="EM329" s="535">
        <f t="shared" si="745"/>
        <v>43053</v>
      </c>
      <c r="EN329" s="535">
        <f t="shared" si="746"/>
        <v>0</v>
      </c>
      <c r="EO329" s="535">
        <f t="shared" si="747"/>
        <v>0</v>
      </c>
      <c r="EP329" s="535">
        <v>0</v>
      </c>
      <c r="EQ329" s="535">
        <v>0</v>
      </c>
      <c r="ER329" s="535">
        <v>0</v>
      </c>
      <c r="ES329" s="521">
        <f t="shared" ref="ES329:ES381" si="797">ET329+EU329</f>
        <v>2.0762080166828332</v>
      </c>
      <c r="ET329" s="535">
        <f>-(VLOOKUP(Sheet1!BQ327,Lookup!$O$4:$Q$262,2)-VLOOKUP(Sheet1!BQ326,Lookup!$O$4:$Q$262,2))/1000000</f>
        <v>1.1070837191764451</v>
      </c>
      <c r="EU329" s="535">
        <f>-(VLOOKUP(Sheet1!BR327,Lookup!$O$4:$Q$262,3)-VLOOKUP(Sheet1!BR326,Lookup!$O$4:$Q$262,3))/1000000</f>
        <v>0.96912429750638829</v>
      </c>
      <c r="EV329" s="535"/>
      <c r="EW329" s="535"/>
      <c r="EX329" s="535"/>
      <c r="EY329" s="535"/>
      <c r="EZ329" s="535"/>
      <c r="FA329" s="535"/>
      <c r="FB329" s="535"/>
      <c r="FC329" s="535"/>
      <c r="FD329" s="567">
        <f t="shared" si="786"/>
        <v>1083.4562499999713</v>
      </c>
      <c r="FE329" s="567" t="e">
        <f t="shared" si="748"/>
        <v>#N/A</v>
      </c>
      <c r="FF329" s="568" t="e">
        <f t="shared" si="749"/>
        <v>#N/A</v>
      </c>
      <c r="FG329" s="569" t="s">
        <v>656</v>
      </c>
      <c r="FH329" s="569" t="s">
        <v>656</v>
      </c>
      <c r="FI329" s="567" t="e">
        <v>#N/A</v>
      </c>
      <c r="FJ329" s="725">
        <v>1530</v>
      </c>
      <c r="FK329" s="535"/>
      <c r="FL329" s="1015">
        <f t="shared" si="785"/>
        <v>45.385779122541599</v>
      </c>
      <c r="FM329" s="535"/>
      <c r="FN329" s="535"/>
      <c r="FO329" s="535">
        <f>O329+((Sheet1!CS327)*GPMtoMGD)</f>
        <v>60.42</v>
      </c>
      <c r="FP329" s="535">
        <f>IF(Sheet1!AA327+AQ329&lt;=Calculation!N329,AQ329,Calculation!N329-Sheet1!AA327)</f>
        <v>20.112877387553912</v>
      </c>
      <c r="FQ329" s="535">
        <f>(Sheet1!BP327+Sheet1!BO327)/694.4</f>
        <v>1.375</v>
      </c>
      <c r="FR329" s="541"/>
      <c r="FS329" s="541"/>
      <c r="FT329" s="541"/>
      <c r="FU329" s="541"/>
      <c r="FV329" s="1109">
        <f t="shared" ref="FV329:FV381" si="798">$FV$4</f>
        <v>42918</v>
      </c>
      <c r="FW329" s="1109">
        <f t="shared" ref="FW329:FW381" si="799">$FW$4</f>
        <v>43027</v>
      </c>
      <c r="FX329" s="541"/>
      <c r="FY329" s="541">
        <f>Sheet1!DA327-Sheet1!CZ327-Sheet1!AE327</f>
        <v>286.19262999999864</v>
      </c>
      <c r="FZ329" s="535">
        <f t="shared" si="678"/>
        <v>0.3100971650686733</v>
      </c>
      <c r="GA329" s="535"/>
      <c r="GB329" s="535" t="str">
        <f t="shared" ref="GB329:GB381" si="800">$GB$4</f>
        <v>n</v>
      </c>
      <c r="GC329" s="539">
        <f t="shared" ref="GC329:GC381" si="801">$GC$4</f>
        <v>42782</v>
      </c>
      <c r="GD329" s="1109">
        <f t="shared" ref="GD329:GD381" si="802">$GD$4</f>
        <v>42904</v>
      </c>
      <c r="GE329" s="535">
        <f t="shared" si="664"/>
        <v>6520</v>
      </c>
      <c r="GF329" s="1109">
        <f t="shared" ref="GF329:GF381" si="803">$GF$4</f>
        <v>42909</v>
      </c>
      <c r="GG329" s="535">
        <f t="shared" si="691"/>
        <v>3260</v>
      </c>
      <c r="GH329" s="539">
        <f t="shared" ref="GH329:GH381" si="804">$GH$4</f>
        <v>43040</v>
      </c>
      <c r="GJ329" s="521">
        <f t="shared" ref="GJ329:GJ381" si="805">IF(AND(B329&gt;=GD329,B329&lt;GF329),AFtoMG*(20000-AO328),GL329+GZ329+GS329+HG329)</f>
        <v>0</v>
      </c>
      <c r="GK329" s="535" t="str">
        <f t="shared" si="750"/>
        <v/>
      </c>
      <c r="GL329" s="535">
        <f t="shared" ref="GL329:GL381" si="806">IF(GP329&gt;=8333.3,AV329,0)</f>
        <v>0</v>
      </c>
      <c r="GM329" s="535" t="str">
        <f t="shared" ref="GM329:GM381" si="807">IF(AND(GP329&lt;8333.3,GJ329&gt;0),"T","")</f>
        <v/>
      </c>
      <c r="GN329" s="535">
        <f>IF(GK329="P",Lookup!$M$12,IF(GK329="PP",Lookup!$M$13,IF(GK329="PPP",Lookup!$M$14,IF(GK329="T",Lookup!$M$15,IF(GK329="TP",Lookup!$M$16,IF(GK329="TPP",Lookup!$M$17,IF(GK329="TPPP",Lookup!$M$18,0)))))))*GJ329</f>
        <v>0</v>
      </c>
      <c r="GO329" s="535">
        <f t="shared" ref="GO329:GO381" si="808">IF(GM329="T", MIN(GN329, 2716.2-$GQ329),0)</f>
        <v>0</v>
      </c>
      <c r="GP329" s="535">
        <f t="shared" si="751"/>
        <v>0</v>
      </c>
      <c r="GQ329" s="974">
        <f t="shared" si="695"/>
        <v>0</v>
      </c>
      <c r="GR329" s="535"/>
      <c r="GS329" s="535">
        <f t="shared" ref="GS329:GS381" si="809">IF(GW329&gt;=3888.8,BO329,0)</f>
        <v>0</v>
      </c>
      <c r="GT329" s="535" t="str">
        <f t="shared" ref="GT329:GT381" si="810">IF(AND(GW329&lt;3888.8,GJ329&gt;0),"P","")</f>
        <v/>
      </c>
      <c r="GU329" s="535">
        <f>IF(GK329="P",Lookup!$N$12,IF(GK329="PP",Lookup!$N$13,IF(GK329="PPP",Lookup!$N$14,IF(GK329="T",Lookup!$N$15,IF(GK329="TP",Lookup!$N$16,IF(GK329="TPP",Lookup!$N$17,IF(GK329="TPPP",Lookup!$N$18,0)))))))*GJ329</f>
        <v>0</v>
      </c>
      <c r="GV329" s="535">
        <f t="shared" ref="GV329:GV381" si="811">IF(GT329="P",MIN(GU329,7/36*GE329-GX329),0)</f>
        <v>0</v>
      </c>
      <c r="GW329" s="535">
        <f t="shared" si="752"/>
        <v>0</v>
      </c>
      <c r="GX329" s="974">
        <f t="shared" si="696"/>
        <v>0</v>
      </c>
      <c r="GY329" s="535"/>
      <c r="GZ329" s="535">
        <f t="shared" ref="GZ329:GZ381" si="812">IF(HD329&gt;=3888.8,CJ329,0)</f>
        <v>0</v>
      </c>
      <c r="HA329" s="535" t="str">
        <f t="shared" ref="HA329:HA381" si="813">IF(AND(HD329&lt;3888.8,GJ329&gt;0),"P","")</f>
        <v/>
      </c>
      <c r="HB329" s="535">
        <f>IF(GK329="P",Lookup!$N$12,IF(GK329="PP",Lookup!$N$13,IF(GK329="PPP",Lookup!$N$14,IF(GK329="T",Lookup!$N$15,IF(GK329="TP",Lookup!$N$16,IF(GK329="TPP",Lookup!$N$17,IF(GK329="TPPP",Lookup!$N$18,0)))))))*GJ329</f>
        <v>0</v>
      </c>
      <c r="HC329" s="521">
        <f t="shared" si="753"/>
        <v>0</v>
      </c>
      <c r="HD329" s="535">
        <f t="shared" si="754"/>
        <v>0</v>
      </c>
      <c r="HE329" s="535">
        <f t="shared" si="662"/>
        <v>0</v>
      </c>
      <c r="HF329" s="535"/>
      <c r="HG329" s="535">
        <f t="shared" ref="HG329:HG381" si="814">IF(HK329&gt;=3888.8,DC329,0)</f>
        <v>0</v>
      </c>
      <c r="HH329" s="535" t="str">
        <f t="shared" ref="HH329:HH381" si="815">IF(AND(HK329&lt;3888.8,GJ329&gt;0),"P","")</f>
        <v/>
      </c>
      <c r="HI329" s="535">
        <f>IF(GK329="P",Lookup!$N$12,IF(GK329="PP",Lookup!$N$13,IF(GK329="PPP",Lookup!$N$14,IF(GK329="T",Lookup!$N$15,IF(GK329="TP",Lookup!$N$16,IF(GK329="TPP",Lookup!$N$17,IF(GK329="TPPP",Lookup!$N$18,0)))))))*GJ329</f>
        <v>0</v>
      </c>
      <c r="HJ329" s="521">
        <f t="shared" si="755"/>
        <v>0</v>
      </c>
      <c r="HK329" s="535">
        <f t="shared" si="756"/>
        <v>0</v>
      </c>
      <c r="HL329" s="535">
        <f t="shared" si="663"/>
        <v>0</v>
      </c>
      <c r="HM329" s="535"/>
      <c r="HN329" s="541"/>
      <c r="HO329" s="541"/>
      <c r="HP329" s="541"/>
      <c r="HQ329" s="541">
        <f>IF(AND(B329&gt;=$FV$4,B329&lt;=$FW$4),MAX(110/1.02+$HQ$6+MIN(113/1.02,G329),IF($HV$6-(Sheet1!DA327-Sheet1!DB327)+MIN(113/1.02,G329)&lt;G329+FL329,$HV$6-(Sheet1!DA327-Sheet1!DB327)+MIN(113/1.02,G329),G329+FL329)),MIN(110/1.02+$HQ$6+113/1.02,G329))</f>
        <v>218.62745098039215</v>
      </c>
      <c r="HR329" s="541">
        <f t="shared" si="679"/>
        <v>223</v>
      </c>
      <c r="HS329" s="541">
        <f>HR329+(Sheet1!DA327-Sheet1!DB327)</f>
        <v>555</v>
      </c>
      <c r="HT329" s="541">
        <f t="shared" si="680"/>
        <v>0</v>
      </c>
      <c r="HU329" s="541">
        <f t="shared" si="681"/>
        <v>555</v>
      </c>
      <c r="HV329" s="541">
        <f t="shared" si="682"/>
        <v>0</v>
      </c>
      <c r="HW329" s="533" t="str">
        <f t="shared" si="683"/>
        <v/>
      </c>
      <c r="HX329" s="541">
        <f t="shared" si="684"/>
        <v>773.37254901960785</v>
      </c>
      <c r="HY329" s="541">
        <f>Sheet1!CZ327</f>
        <v>992</v>
      </c>
      <c r="HZ329" s="541">
        <f t="shared" si="685"/>
        <v>0</v>
      </c>
      <c r="IA329" s="541">
        <f t="shared" si="686"/>
        <v>0</v>
      </c>
      <c r="IB329" s="541">
        <f t="shared" si="687"/>
        <v>992</v>
      </c>
      <c r="IC329" s="1019" t="str">
        <f t="shared" si="688"/>
        <v/>
      </c>
      <c r="ID329" s="541">
        <f t="shared" si="689"/>
        <v>992</v>
      </c>
      <c r="IE329" s="541">
        <f>Sheet1!DB327</f>
        <v>1020</v>
      </c>
      <c r="IF329" s="533">
        <f>Sheet1!DA327</f>
        <v>1352</v>
      </c>
      <c r="IH329" s="541">
        <f>IF(AND($B329&gt;=$GC329,$B329&lt;=$GH329,$DR329&lt;0)+N("only adjusted when pool is drawn down during storage season"),Sheet1!$DB327+$DR329+N("Palmer minus all storage release"),Sheet1!$DB327)</f>
        <v>1020</v>
      </c>
      <c r="II329" s="541">
        <f>IF(AND($B329&gt;=$GC329,$B329&lt;=$GH329,$DR329&lt;0)+N("only adjusted when pool is drawn down during storage season"),Sheet1!$DA327+$DR329+N("Auburn minus all storage release"),Sheet1!$DA327)</f>
        <v>1352</v>
      </c>
    </row>
    <row r="330" spans="1:243" x14ac:dyDescent="0.25">
      <c r="A330" s="553" t="s">
        <v>6</v>
      </c>
      <c r="B330" s="531">
        <v>43054</v>
      </c>
      <c r="C330" s="536">
        <v>0</v>
      </c>
      <c r="D330" s="506">
        <f t="shared" si="787"/>
        <v>300</v>
      </c>
      <c r="E330" s="506">
        <f t="shared" si="788"/>
        <v>250</v>
      </c>
      <c r="F330" s="506">
        <v>250</v>
      </c>
      <c r="G330" s="535">
        <f>DR330+Sheet1!CZ328</f>
        <v>865.32980332803822</v>
      </c>
      <c r="H330" s="1074">
        <f t="shared" si="690"/>
        <v>558.80682726400005</v>
      </c>
      <c r="I330" s="534">
        <f>IF(Sheet1!DA328&gt;=E330,(Sheet1!DA328-E330+P330)*CFStoMGD,0)</f>
        <v>827.70922726399988</v>
      </c>
      <c r="J330" s="995">
        <f>IF(Sheet1!DB328&gt;=D330,(Sheet1!DB328-D330+P330)*CFStoMGD,0)</f>
        <v>558.80682726400005</v>
      </c>
      <c r="K330" s="818">
        <f t="shared" si="665"/>
        <v>64.64</v>
      </c>
      <c r="L330" s="535">
        <f>Sheet1!AA328+Sheet1!AB328-Sheet1!L328+(Sheet1!DA328-F330)*CFStoMGD-S330-T330-U330</f>
        <v>758.25039999999899</v>
      </c>
      <c r="M330" s="535">
        <f t="shared" si="697"/>
        <v>570.53616856866881</v>
      </c>
      <c r="N330" s="824">
        <f>IF(Sheet1!DA328&gt;=F330,MIN(113*CFStoMGD,MIN(MAX(L330,0),MAX(M330,0))),0)</f>
        <v>73.043199999999999</v>
      </c>
      <c r="O330" s="538">
        <f>Sheet1!AA328+Sheet1!AB328</f>
        <v>61.08</v>
      </c>
      <c r="P330" s="538">
        <f t="shared" si="698"/>
        <v>94.490759999999995</v>
      </c>
      <c r="Q330" s="812">
        <f t="shared" si="666"/>
        <v>0</v>
      </c>
      <c r="R330" s="812">
        <f t="shared" si="789"/>
        <v>12.267922705314007</v>
      </c>
      <c r="S330" s="812">
        <f t="shared" si="790"/>
        <v>61.08</v>
      </c>
      <c r="T330" s="812">
        <f t="shared" si="791"/>
        <v>0</v>
      </c>
      <c r="U330" s="812">
        <f>IF(AND(B330&gt;=FV330,B330&lt;=FW330),ED330+Sheet1!EH328,0)</f>
        <v>0</v>
      </c>
      <c r="V330" s="812"/>
      <c r="W330" s="812">
        <f t="shared" si="792"/>
        <v>52.372077294685994</v>
      </c>
      <c r="X330" s="812">
        <f t="shared" si="793"/>
        <v>61.08</v>
      </c>
      <c r="Y330" s="812" t="str">
        <f t="shared" si="794"/>
        <v/>
      </c>
      <c r="Z330" s="812">
        <f t="shared" si="795"/>
        <v>61.08</v>
      </c>
      <c r="AA330" s="812">
        <f t="shared" si="796"/>
        <v>61.08</v>
      </c>
      <c r="AB330" s="1059">
        <f t="shared" si="667"/>
        <v>0</v>
      </c>
      <c r="AC330" s="538">
        <f>Sheet1!Y328*MGDtoCFS</f>
        <v>43.470700000000001</v>
      </c>
      <c r="AD330" s="538">
        <f>Sheet1!Z328*MGDtoCFS</f>
        <v>49.999040000000001</v>
      </c>
      <c r="AE330" s="538">
        <f>Sheet1!AA328*MGDtoCFS</f>
        <v>43.470700000000001</v>
      </c>
      <c r="AF330" s="538">
        <f>Sheet1!AB328*MGDtoCFS</f>
        <v>51.020059999999994</v>
      </c>
      <c r="AG330" s="538">
        <f>Sheet1!L328*MGDtoCFS</f>
        <v>12.963860000001576</v>
      </c>
      <c r="AH330" s="521">
        <f t="shared" si="699"/>
        <v>0</v>
      </c>
      <c r="AI330" s="1059">
        <f t="shared" si="700"/>
        <v>0</v>
      </c>
      <c r="AJ330" s="535">
        <f t="shared" si="701"/>
        <v>0</v>
      </c>
      <c r="AK330" s="535">
        <f t="shared" si="702"/>
        <v>0</v>
      </c>
      <c r="AL330" s="535">
        <f>(VLOOKUP(Sheet1!DC328,hhdcap_wcm,4)-(((VLOOKUP(Sheet1!DC328,hhdcap_wcm,3)-Sheet1!DC328)/(VLOOKUP(Sheet1!DC328,hhdcap_wcm,3)-VLOOKUP(Sheet1!DC328,hhdcap_wcm,1)))*(VLOOKUP(Sheet1!DC328,hhdcap_wcm,4)-VLOOKUP(Sheet1!DC328,hhdcap_wcm,2))))</f>
        <v>1086.0000000031923</v>
      </c>
      <c r="AM330" s="535">
        <f t="shared" si="703"/>
        <v>-273.00000000050022</v>
      </c>
      <c r="AN330" s="1035">
        <f t="shared" si="704"/>
        <v>0</v>
      </c>
      <c r="AO330" s="535">
        <f t="shared" si="705"/>
        <v>0</v>
      </c>
      <c r="AP330" s="535">
        <f>Sheet1!BA328+Sheet1!BB328+Sheet1!BN328+CD330</f>
        <v>20.8</v>
      </c>
      <c r="AQ330" s="535">
        <f>Sheet1!BN328+(DO330*Sheet1!BN328)</f>
        <v>20.712077294685987</v>
      </c>
      <c r="AR330" s="535">
        <f>Sheet1!BA328+CD330</f>
        <v>0</v>
      </c>
      <c r="AS330" s="535">
        <f>Sheet1!BA328+Sheet1!BB328+CD330</f>
        <v>0</v>
      </c>
      <c r="AT330" s="649">
        <f>0</f>
        <v>0</v>
      </c>
      <c r="AU330" s="974">
        <f>BA330+MAX(Sheet1!EH328,(O330-Q330-ED330-S330))</f>
        <v>0</v>
      </c>
      <c r="AV330" s="535">
        <f>IF(OR(B330&gt;=GD330,B330&lt;GC330),0,15/36*K330-MAX(0,64.6-(137.6-(Sheet1!AA328+Sheet1!AB328))))</f>
        <v>0</v>
      </c>
      <c r="AW330" s="1029"/>
      <c r="AX330" s="649"/>
      <c r="AY330" s="649">
        <f t="shared" si="668"/>
        <v>23.311716569431731</v>
      </c>
      <c r="AZ330" s="649">
        <f t="shared" si="669"/>
        <v>0</v>
      </c>
      <c r="BA330" s="1059">
        <f t="shared" si="670"/>
        <v>0</v>
      </c>
      <c r="BB330" s="1019">
        <f t="shared" si="706"/>
        <v>0</v>
      </c>
      <c r="BC330" s="1041">
        <f t="shared" si="671"/>
        <v>26.933333333333334</v>
      </c>
      <c r="BD330" s="1019">
        <f ca="1">IF(B330&gt;(Summary!$A$1-1),#N/A,BB330*MGtoAF)</f>
        <v>0</v>
      </c>
      <c r="BE330" s="535">
        <f>Sheet1!BG328+Sheet1!BH328+Sheet1!BI328-BM330</f>
        <v>2.91</v>
      </c>
      <c r="BF330" s="535">
        <f t="shared" si="707"/>
        <v>2.8976992753623185</v>
      </c>
      <c r="BG330" s="535">
        <f>IF(Sheet1!EP328="FM",BM330,0)</f>
        <v>0</v>
      </c>
      <c r="BH330" s="535">
        <f t="shared" si="708"/>
        <v>0</v>
      </c>
      <c r="BI330" s="535">
        <f>IF(Sheet1!EP328="OTHER",BM330,0)</f>
        <v>0</v>
      </c>
      <c r="BJ330" s="535">
        <f t="shared" si="709"/>
        <v>0</v>
      </c>
      <c r="BK330" s="535">
        <f t="shared" si="710"/>
        <v>2.91</v>
      </c>
      <c r="BL330" s="535">
        <f t="shared" si="711"/>
        <v>2.8976992753623185</v>
      </c>
      <c r="BM330" s="535">
        <f>IF(OR(Sheet1!EP328="FM", Sheet1!EP328="OTHER"),SUM(Sheet1!BG328:'Sheet1'!BI328),0)</f>
        <v>0</v>
      </c>
      <c r="BN330" s="521">
        <f>IF(AND($B330&gt;=$FV330,$B330&lt;=$FW330),MAX(BF330,Sheet1!EI328,0),MAX(BF330-(7/36)*$K330,0))</f>
        <v>0</v>
      </c>
      <c r="BO330" s="535">
        <f t="shared" si="712"/>
        <v>0</v>
      </c>
      <c r="BP330" s="521">
        <f t="shared" si="713"/>
        <v>2.8976992753623185</v>
      </c>
      <c r="BQ330" s="521">
        <f>IF(AND($O330&gt;0,Sheet1!EM328=1),(1-($O330-Sheet1!$L328)/$O330)*BL330,0)</f>
        <v>0</v>
      </c>
      <c r="BR330" s="521">
        <f>IF(AND(Sheet1!$L328=0,Sheet1!$L327=0, Calculation!BK330&lt;Sheet1!$EI328-0.1,Sheet1!$EI328=Sheet1!$EI327,Sheet1!$EI328=Sheet1!$EI329),BL330-BQ330,BL330-BQ330)</f>
        <v>2.8976992753623185</v>
      </c>
      <c r="BS330" s="1035" t="str">
        <f t="shared" si="672"/>
        <v/>
      </c>
      <c r="BT330" s="1035">
        <f t="shared" si="673"/>
        <v>12.568888888888889</v>
      </c>
      <c r="BU330" s="535">
        <f t="shared" si="714"/>
        <v>0</v>
      </c>
      <c r="BV330" s="535"/>
      <c r="BW330" s="535">
        <f ca="1">IF(B330&gt;(Summary!$A$1-1),#N/A,BU330*MGtoAF)</f>
        <v>0</v>
      </c>
      <c r="BX330" s="535">
        <f>Sheet1!BC328+Sheet1!BD328+Sheet1!BE328+Sheet1!BF328-CG330-CH330</f>
        <v>3</v>
      </c>
      <c r="BY330" s="535">
        <f t="shared" si="715"/>
        <v>2.9873188405797095</v>
      </c>
      <c r="BZ330" s="535">
        <f>IF(Sheet1!EQ328="FM",CH330,0)</f>
        <v>0</v>
      </c>
      <c r="CA330" s="535">
        <f t="shared" si="716"/>
        <v>0</v>
      </c>
      <c r="CB330" s="535">
        <f>IF(Sheet1!EQ328="OTHER",CH330,0)</f>
        <v>0</v>
      </c>
      <c r="CC330" s="535">
        <f t="shared" si="717"/>
        <v>0</v>
      </c>
      <c r="CD330" s="535">
        <f t="shared" si="718"/>
        <v>0</v>
      </c>
      <c r="CE330" s="535">
        <f t="shared" si="719"/>
        <v>3</v>
      </c>
      <c r="CF330" s="535">
        <f t="shared" si="720"/>
        <v>2.9873188405797095</v>
      </c>
      <c r="CG330" s="535">
        <f>IF(Sheet1!EQ328="CWA",SUM(Sheet1!BC328:'Sheet1'!BF328),0)</f>
        <v>0</v>
      </c>
      <c r="CH330" s="535">
        <f>IF(OR(Sheet1!EQ328="FM", Sheet1!EQ328="OTHER"),SUM(Sheet1!BC328:'Sheet1'!BF328),0)</f>
        <v>0</v>
      </c>
      <c r="CI330" s="521">
        <f>IF(AND($B330&gt;=$FV330,$B330&lt;=$FW330),MAX(CF330,Sheet1!EJ328,0),MAX(CF330-(7/36)*$K330,0))</f>
        <v>0</v>
      </c>
      <c r="CJ330" s="535">
        <f t="shared" si="721"/>
        <v>0</v>
      </c>
      <c r="CK330" s="521">
        <f t="shared" si="722"/>
        <v>2.9873188405797095</v>
      </c>
      <c r="CL330" s="521">
        <f>IF(AND($O330&gt;0,Sheet1!EN328=1),(1-($O330-Sheet1!$L328)/$O330)*CF330,0)</f>
        <v>0</v>
      </c>
      <c r="CM330" s="521">
        <f>IF(AND(Sheet1!$L328=0,Sheet1!$L327=0, Calculation!CE330&lt;Sheet1!EJ328-0.1,Sheet1!EJ328=Sheet1!EJ327,Sheet1!EJ328=Sheet1!EJ329),CF330-CL330,CF330-CL330)</f>
        <v>2.9873188405797095</v>
      </c>
      <c r="CN330" s="1040" t="str">
        <f t="shared" si="674"/>
        <v/>
      </c>
      <c r="CO330" s="1035">
        <f t="shared" si="675"/>
        <v>12.568888888888889</v>
      </c>
      <c r="CP330" s="535">
        <f t="shared" si="723"/>
        <v>0</v>
      </c>
      <c r="CQ330" s="535"/>
      <c r="CR330" s="535">
        <f ca="1">IF(B330&gt;(Summary!$A$1-1),#N/A,CP330*MGtoAF)</f>
        <v>0</v>
      </c>
      <c r="CS330" s="535">
        <f>Sheet1!BK328+Sheet1!BL328+Sheet1!BM328-Sheet1!ER328-DA330</f>
        <v>6.41</v>
      </c>
      <c r="CT330" s="535">
        <f t="shared" si="724"/>
        <v>6.3829045893719796</v>
      </c>
      <c r="CU330" s="535">
        <f>IF(Sheet1!ER328="FM",DA330,0)</f>
        <v>0</v>
      </c>
      <c r="CV330" s="535">
        <f t="shared" si="725"/>
        <v>0</v>
      </c>
      <c r="CW330" s="535">
        <f>IF(Sheet1!ER328="OTHER",DA330,0)</f>
        <v>0</v>
      </c>
      <c r="CX330" s="535">
        <f t="shared" si="726"/>
        <v>0</v>
      </c>
      <c r="CY330" s="535">
        <f t="shared" si="727"/>
        <v>6.41</v>
      </c>
      <c r="CZ330" s="535">
        <f t="shared" si="728"/>
        <v>6.3829045893719796</v>
      </c>
      <c r="DA330" s="535">
        <f>IF(OR(Sheet1!ER328="FM", Sheet1!ER328="OTHER"),SUM(Sheet1!BK328:'Sheet1'!BM328),0)</f>
        <v>0</v>
      </c>
      <c r="DB330" s="1011">
        <f>IF(AND($B330&gt;=$FV330,$B330&lt;=$FW330),MAX($CT330,Sheet1!EK328,0),MAX($CT330-(7/36)*$K330,0))</f>
        <v>0</v>
      </c>
      <c r="DC330" s="1012">
        <f t="shared" si="729"/>
        <v>0</v>
      </c>
      <c r="DD330" s="1011">
        <f t="shared" si="730"/>
        <v>6.3829045893719796</v>
      </c>
      <c r="DE330" s="521">
        <f>IF(AND($O330&gt;0,Sheet1!EO328=1),(1-($O330-Sheet1!$L328)/$O330)*CZ330,0)</f>
        <v>0</v>
      </c>
      <c r="DF330" s="521">
        <f>IF(AND(Sheet1!$L328=0,Sheet1!$L327=0, Calculation!CY330&lt;Sheet1!$EK328-0.1,Sheet1!$EK328=Sheet1!$EK327,Sheet1!$EK328=Sheet1!$EK329),CZ330-DE330,CZ330-DE330)</f>
        <v>6.3829045893719796</v>
      </c>
      <c r="DG330" s="1040">
        <f t="shared" si="676"/>
        <v>12.568888888888889</v>
      </c>
      <c r="DH330" s="649">
        <f t="shared" si="731"/>
        <v>12.32</v>
      </c>
      <c r="DI330" s="535">
        <f t="shared" si="732"/>
        <v>0</v>
      </c>
      <c r="DJ330" s="649">
        <f t="shared" si="733"/>
        <v>12.267922705314007</v>
      </c>
      <c r="DK330" s="535">
        <f ca="1">IF(B330&gt;(Summary!$A$1-1),#N/A,DI330*MGtoAF)</f>
        <v>0</v>
      </c>
      <c r="DL330" s="649">
        <f t="shared" si="734"/>
        <v>12.32</v>
      </c>
      <c r="DM330" s="535">
        <f t="shared" si="735"/>
        <v>33.120000000000005</v>
      </c>
      <c r="DN330" s="535">
        <f>Sheet1!AB328-DM330</f>
        <v>-0.14000000000000767</v>
      </c>
      <c r="DO330" s="743">
        <f t="shared" si="736"/>
        <v>-4.2270531400968496E-3</v>
      </c>
      <c r="DP330" s="535">
        <f>(VLOOKUP(Sheet1!DC328,hhdcap_wcm,4)-(((VLOOKUP(Sheet1!DC328,hhdcap_wcm,3)-Sheet1!DC328)/(VLOOKUP(Sheet1!DC328,hhdcap_wcm,3)-VLOOKUP(Sheet1!DC328,hhdcap_wcm,1)))*(VLOOKUP(Sheet1!DC328,hhdcap_wcm,4)-VLOOKUP(Sheet1!DC328,hhdcap_wcm,2))))</f>
        <v>1086.0000000031923</v>
      </c>
      <c r="DQ330" s="535">
        <f t="shared" si="737"/>
        <v>-273.00000000050022</v>
      </c>
      <c r="DR330" s="535">
        <f t="shared" si="738"/>
        <v>-137.67019667196178</v>
      </c>
      <c r="DS330" s="535">
        <f>Sheet1!EA328*AFtoMG</f>
        <v>0</v>
      </c>
      <c r="DT330" s="535">
        <f>Sheet1!EB328*AFtoMG</f>
        <v>0</v>
      </c>
      <c r="DU330" s="535">
        <f>Sheet1!EC328*AFtoMG</f>
        <v>0</v>
      </c>
      <c r="DV330" s="535">
        <f>Sheet1!ED328*AFtoMG</f>
        <v>0</v>
      </c>
      <c r="DW330" s="535">
        <f t="shared" si="739"/>
        <v>0</v>
      </c>
      <c r="DX330" s="535">
        <f t="shared" si="740"/>
        <v>0</v>
      </c>
      <c r="DY330" s="535">
        <f t="shared" si="741"/>
        <v>0</v>
      </c>
      <c r="DZ330" s="535">
        <f t="shared" si="742"/>
        <v>0</v>
      </c>
      <c r="EA330" s="535"/>
      <c r="EB330" s="521">
        <f>IF(OR(B330&lt;FV330,B330&gt;FW330),(MIN(BF330+BY330+CT330+MAX(Sheet1!AA328+AQ330-73,0),K330)),0)</f>
        <v>12.267922705314007</v>
      </c>
      <c r="EC330" s="535"/>
      <c r="ED330" s="535">
        <f t="shared" si="743"/>
        <v>12.267922705314007</v>
      </c>
      <c r="EE330" s="535"/>
      <c r="EF330" s="535">
        <f>Sheet1!EH328+Sheet1!EI328+Sheet1!EJ328+Sheet1!EK328</f>
        <v>12.5</v>
      </c>
      <c r="EG330" s="1019">
        <f t="shared" si="677"/>
        <v>19.337499999999999</v>
      </c>
      <c r="EH330" s="521">
        <f t="shared" si="744"/>
        <v>0</v>
      </c>
      <c r="EI330" s="535">
        <f>IF(Sheet1!ET328=1,SUM('Calculations II'!AT330:BA330)+'Calculations II'!BC330+Sheet1!BV328+'Calculations II'!BE330+AP330,'Calculations II'!BK330)</f>
        <v>45.614169294685986</v>
      </c>
      <c r="EJ330" s="535">
        <f ca="1">EI330+'Calculations II'!D330+'Calculations II'!E330+'Calculations II'!O330</f>
        <v>48.433389873494967</v>
      </c>
      <c r="EK330" s="535"/>
      <c r="EL330" s="535"/>
      <c r="EM330" s="535">
        <f t="shared" si="745"/>
        <v>43054</v>
      </c>
      <c r="EN330" s="535">
        <f t="shared" si="746"/>
        <v>0</v>
      </c>
      <c r="EO330" s="535">
        <f t="shared" si="747"/>
        <v>0</v>
      </c>
      <c r="EP330" s="535">
        <v>0</v>
      </c>
      <c r="EQ330" s="535">
        <v>0</v>
      </c>
      <c r="ER330" s="535">
        <v>0</v>
      </c>
      <c r="ES330" s="521">
        <f t="shared" si="797"/>
        <v>-2.6300574096674434</v>
      </c>
      <c r="ET330" s="535">
        <f>-(VLOOKUP(Sheet1!BQ328,Lookup!$O$4:$Q$262,2)-VLOOKUP(Sheet1!BQ327,Lookup!$O$4:$Q$262,2))/1000000</f>
        <v>-1.2454980120593346</v>
      </c>
      <c r="EU330" s="535">
        <f>-(VLOOKUP(Sheet1!BR328,Lookup!$O$4:$Q$262,3)-VLOOKUP(Sheet1!BR327,Lookup!$O$4:$Q$262,3))/1000000</f>
        <v>-1.3845593976081088</v>
      </c>
      <c r="EV330" s="535"/>
      <c r="EW330" s="535"/>
      <c r="EX330" s="535"/>
      <c r="EY330" s="535"/>
      <c r="EZ330" s="535"/>
      <c r="FA330" s="535"/>
      <c r="FB330" s="535"/>
      <c r="FC330" s="535"/>
      <c r="FD330" s="567">
        <f t="shared" si="786"/>
        <v>1082.8642857142577</v>
      </c>
      <c r="FE330" s="567" t="e">
        <f t="shared" si="748"/>
        <v>#N/A</v>
      </c>
      <c r="FF330" s="568" t="e">
        <f t="shared" si="749"/>
        <v>#N/A</v>
      </c>
      <c r="FG330" s="569" t="s">
        <v>656</v>
      </c>
      <c r="FH330" s="569" t="s">
        <v>656</v>
      </c>
      <c r="FI330" s="567" t="e">
        <v>#N/A</v>
      </c>
      <c r="FJ330" s="725">
        <v>1440</v>
      </c>
      <c r="FK330" s="535"/>
      <c r="FL330" s="1015">
        <f t="shared" si="785"/>
        <v>45.385779122541599</v>
      </c>
      <c r="FM330" s="535"/>
      <c r="FN330" s="535"/>
      <c r="FO330" s="535">
        <f>O330+((Sheet1!CS328)*GPMtoMGD)</f>
        <v>61.08</v>
      </c>
      <c r="FP330" s="535">
        <f>IF(Sheet1!AA328+AQ330&lt;=Calculation!N330,AQ330,Calculation!N330-Sheet1!AA328)</f>
        <v>20.712077294685987</v>
      </c>
      <c r="FQ330" s="535">
        <f>(Sheet1!BP328+Sheet1!BO328)/694.4</f>
        <v>1.5413306451612903</v>
      </c>
      <c r="FR330" s="541"/>
      <c r="FS330" s="541"/>
      <c r="FT330" s="541"/>
      <c r="FU330" s="541"/>
      <c r="FV330" s="1109">
        <f t="shared" si="798"/>
        <v>42918</v>
      </c>
      <c r="FW330" s="1109">
        <f t="shared" si="799"/>
        <v>43027</v>
      </c>
      <c r="FX330" s="541"/>
      <c r="FY330" s="541">
        <f>Sheet1!DA328-Sheet1!CZ328-Sheet1!AE328</f>
        <v>351.47310000000158</v>
      </c>
      <c r="FZ330" s="535">
        <f t="shared" si="678"/>
        <v>0.40617241963496953</v>
      </c>
      <c r="GA330" s="535"/>
      <c r="GB330" s="535" t="str">
        <f t="shared" si="800"/>
        <v>n</v>
      </c>
      <c r="GC330" s="539">
        <f t="shared" si="801"/>
        <v>42782</v>
      </c>
      <c r="GD330" s="1109">
        <f t="shared" si="802"/>
        <v>42904</v>
      </c>
      <c r="GE330" s="535">
        <f t="shared" si="664"/>
        <v>6520</v>
      </c>
      <c r="GF330" s="1109">
        <f t="shared" si="803"/>
        <v>42909</v>
      </c>
      <c r="GG330" s="535">
        <f t="shared" si="691"/>
        <v>3260</v>
      </c>
      <c r="GH330" s="539">
        <f t="shared" si="804"/>
        <v>43040</v>
      </c>
      <c r="GJ330" s="521">
        <f t="shared" si="805"/>
        <v>0</v>
      </c>
      <c r="GK330" s="535" t="str">
        <f t="shared" si="750"/>
        <v/>
      </c>
      <c r="GL330" s="535">
        <f t="shared" si="806"/>
        <v>0</v>
      </c>
      <c r="GM330" s="535" t="str">
        <f t="shared" si="807"/>
        <v/>
      </c>
      <c r="GN330" s="535">
        <f>IF(GK330="P",Lookup!$M$12,IF(GK330="PP",Lookup!$M$13,IF(GK330="PPP",Lookup!$M$14,IF(GK330="T",Lookup!$M$15,IF(GK330="TP",Lookup!$M$16,IF(GK330="TPP",Lookup!$M$17,IF(GK330="TPPP",Lookup!$M$18,0)))))))*GJ330</f>
        <v>0</v>
      </c>
      <c r="GO330" s="535">
        <f t="shared" si="808"/>
        <v>0</v>
      </c>
      <c r="GP330" s="535">
        <f t="shared" si="751"/>
        <v>0</v>
      </c>
      <c r="GQ330" s="974">
        <f t="shared" si="695"/>
        <v>0</v>
      </c>
      <c r="GR330" s="535"/>
      <c r="GS330" s="535">
        <f t="shared" si="809"/>
        <v>0</v>
      </c>
      <c r="GT330" s="535" t="str">
        <f t="shared" si="810"/>
        <v/>
      </c>
      <c r="GU330" s="535">
        <f>IF(GK330="P",Lookup!$N$12,IF(GK330="PP",Lookup!$N$13,IF(GK330="PPP",Lookup!$N$14,IF(GK330="T",Lookup!$N$15,IF(GK330="TP",Lookup!$N$16,IF(GK330="TPP",Lookup!$N$17,IF(GK330="TPPP",Lookup!$N$18,0)))))))*GJ330</f>
        <v>0</v>
      </c>
      <c r="GV330" s="535">
        <f t="shared" si="811"/>
        <v>0</v>
      </c>
      <c r="GW330" s="535">
        <f t="shared" si="752"/>
        <v>0</v>
      </c>
      <c r="GX330" s="974">
        <f t="shared" si="696"/>
        <v>0</v>
      </c>
      <c r="GY330" s="535"/>
      <c r="GZ330" s="535">
        <f t="shared" si="812"/>
        <v>0</v>
      </c>
      <c r="HA330" s="535" t="str">
        <f t="shared" si="813"/>
        <v/>
      </c>
      <c r="HB330" s="535">
        <f>IF(GK330="P",Lookup!$N$12,IF(GK330="PP",Lookup!$N$13,IF(GK330="PPP",Lookup!$N$14,IF(GK330="T",Lookup!$N$15,IF(GK330="TP",Lookup!$N$16,IF(GK330="TPP",Lookup!$N$17,IF(GK330="TPPP",Lookup!$N$18,0)))))))*GJ330</f>
        <v>0</v>
      </c>
      <c r="HC330" s="521">
        <f t="shared" si="753"/>
        <v>0</v>
      </c>
      <c r="HD330" s="535">
        <f t="shared" si="754"/>
        <v>0</v>
      </c>
      <c r="HE330" s="535">
        <f t="shared" ref="HE330:HE381" si="816">(IF(AND(GB330="Y",B330=GD330),1267.5,IF(AND(B330&lt;GF330,B330&gt;=GC330),MIN(CP329+CJ330-CI330,7/36*GE330),IF(B330=GF330,7/36*GG330,IF(AND(B330&gt;GF330,B330&lt;GH330),MIN(CP329+CJ330-CI330,7/36*GG330),IF(B330&gt;=GH330,0,0))))))+DU330</f>
        <v>0</v>
      </c>
      <c r="HF330" s="535"/>
      <c r="HG330" s="535">
        <f t="shared" si="814"/>
        <v>0</v>
      </c>
      <c r="HH330" s="535" t="str">
        <f t="shared" si="815"/>
        <v/>
      </c>
      <c r="HI330" s="535">
        <f>IF(GK330="P",Lookup!$N$12,IF(GK330="PP",Lookup!$N$13,IF(GK330="PPP",Lookup!$N$14,IF(GK330="T",Lookup!$N$15,IF(GK330="TP",Lookup!$N$16,IF(GK330="TPP",Lookup!$N$17,IF(GK330="TPPP",Lookup!$N$18,0)))))))*GJ330</f>
        <v>0</v>
      </c>
      <c r="HJ330" s="521">
        <f t="shared" si="755"/>
        <v>0</v>
      </c>
      <c r="HK330" s="535">
        <f t="shared" si="756"/>
        <v>0</v>
      </c>
      <c r="HL330" s="535">
        <f t="shared" ref="HL330:HL381" si="817">(IF(AND(GB330="Y",B330=GD330),1267.5,(IF(AND(B330&lt;GF330,B330&gt;=GC330),MIN(DI329+DC330-DB330,7/36*GE330),IF(B330=GF330,7/36*GG330,IF(AND(B330&gt;GF330,B330&lt;GH330),MIN(DI329+DC330-DB330,7/36*GG330),IF(B330&gt;=GH330,0,0)))))))+DV330</f>
        <v>0</v>
      </c>
      <c r="HM330" s="535"/>
      <c r="HN330" s="541"/>
      <c r="HO330" s="541"/>
      <c r="HP330" s="541"/>
      <c r="HQ330" s="541">
        <f>IF(AND(B330&gt;=$FV$4,B330&lt;=$FW$4),MAX(110/1.02+$HQ$6+MIN(113/1.02,G330),IF($HV$6-(Sheet1!DA328-Sheet1!DB328)+MIN(113/1.02,G330)&lt;G330+FL330,$HV$6-(Sheet1!DA328-Sheet1!DB328)+MIN(113/1.02,G330),G330+FL330)),MIN(110/1.02+$HQ$6+113/1.02,G330))</f>
        <v>218.62745098039215</v>
      </c>
      <c r="HR330" s="541">
        <f t="shared" si="679"/>
        <v>223</v>
      </c>
      <c r="HS330" s="541">
        <f>HR330+(Sheet1!DA328-Sheet1!DB328)</f>
        <v>589</v>
      </c>
      <c r="HT330" s="541">
        <f t="shared" si="680"/>
        <v>0</v>
      </c>
      <c r="HU330" s="541">
        <f t="shared" si="681"/>
        <v>589</v>
      </c>
      <c r="HV330" s="541">
        <f t="shared" si="682"/>
        <v>0</v>
      </c>
      <c r="HW330" s="533" t="str">
        <f t="shared" si="683"/>
        <v/>
      </c>
      <c r="HX330" s="541">
        <f t="shared" si="684"/>
        <v>784.37254901960785</v>
      </c>
      <c r="HY330" s="541">
        <f>Sheet1!CZ328</f>
        <v>1003</v>
      </c>
      <c r="HZ330" s="541">
        <f t="shared" si="685"/>
        <v>0</v>
      </c>
      <c r="IA330" s="541">
        <f t="shared" si="686"/>
        <v>0</v>
      </c>
      <c r="IB330" s="541">
        <f t="shared" si="687"/>
        <v>1003</v>
      </c>
      <c r="IC330" s="1019" t="str">
        <f t="shared" si="688"/>
        <v/>
      </c>
      <c r="ID330" s="541">
        <f t="shared" si="689"/>
        <v>1003</v>
      </c>
      <c r="IE330" s="541">
        <f>Sheet1!DB328</f>
        <v>1070</v>
      </c>
      <c r="IF330" s="533">
        <f>Sheet1!DA328</f>
        <v>1436</v>
      </c>
      <c r="IH330" s="541">
        <f>IF(AND($B330&gt;=$GC330,$B330&lt;=$GH330,$DR330&lt;0)+N("only adjusted when pool is drawn down during storage season"),Sheet1!$DB328+$DR330+N("Palmer minus all storage release"),Sheet1!$DB328)</f>
        <v>1070</v>
      </c>
      <c r="II330" s="541">
        <f>IF(AND($B330&gt;=$GC330,$B330&lt;=$GH330,$DR330&lt;0)+N("only adjusted when pool is drawn down during storage season"),Sheet1!$DA328+$DR330+N("Auburn minus all storage release"),Sheet1!$DA328)</f>
        <v>1436</v>
      </c>
    </row>
    <row r="331" spans="1:243" x14ac:dyDescent="0.25">
      <c r="A331" s="553" t="s">
        <v>7</v>
      </c>
      <c r="B331" s="531">
        <v>43055</v>
      </c>
      <c r="C331" s="536">
        <v>0</v>
      </c>
      <c r="D331" s="506">
        <f t="shared" si="787"/>
        <v>300</v>
      </c>
      <c r="E331" s="506">
        <f t="shared" si="788"/>
        <v>250</v>
      </c>
      <c r="F331" s="506">
        <v>250</v>
      </c>
      <c r="G331" s="535">
        <f>DR331+Sheet1!CZ329</f>
        <v>828.17851739785215</v>
      </c>
      <c r="H331" s="1074">
        <f t="shared" si="690"/>
        <v>459.31046355199993</v>
      </c>
      <c r="I331" s="534">
        <f>IF(Sheet1!DA329&gt;=E331,(Sheet1!DA329-E331+P331)*CFStoMGD,0)</f>
        <v>780.57126355199989</v>
      </c>
      <c r="J331" s="995">
        <f>IF(Sheet1!DB329&gt;=D331,(Sheet1!DB329-D331+P331)*CFStoMGD,0)</f>
        <v>459.31046355199993</v>
      </c>
      <c r="K331" s="818">
        <f t="shared" si="665"/>
        <v>64.64</v>
      </c>
      <c r="L331" s="535">
        <f>Sheet1!AA329+Sheet1!AB329-Sheet1!L329+(Sheet1!DA329-F331)*CFStoMGD-S331-T331-U331</f>
        <v>713.09239999999909</v>
      </c>
      <c r="M331" s="535">
        <f t="shared" si="697"/>
        <v>546.04128551889107</v>
      </c>
      <c r="N331" s="824">
        <f>IF(Sheet1!DA329&gt;=F331,MIN(113*CFStoMGD,MIN(MAX(L331,0),MAX(M331,0))),0)</f>
        <v>73.043199999999999</v>
      </c>
      <c r="O331" s="538">
        <f>Sheet1!AA329+Sheet1!AB329</f>
        <v>59.19</v>
      </c>
      <c r="P331" s="538">
        <f t="shared" si="698"/>
        <v>91.566929999999999</v>
      </c>
      <c r="Q331" s="812">
        <f t="shared" si="666"/>
        <v>0</v>
      </c>
      <c r="R331" s="812">
        <f t="shared" si="789"/>
        <v>12.44797947402181</v>
      </c>
      <c r="S331" s="812">
        <f t="shared" si="790"/>
        <v>59.19</v>
      </c>
      <c r="T331" s="812">
        <f t="shared" si="791"/>
        <v>0</v>
      </c>
      <c r="U331" s="812">
        <f>IF(AND(B331&gt;=FV331,B331&lt;=FW331),ED331+Sheet1!EH329,0)</f>
        <v>0</v>
      </c>
      <c r="V331" s="812"/>
      <c r="W331" s="812">
        <f t="shared" si="792"/>
        <v>52.192020525978194</v>
      </c>
      <c r="X331" s="812">
        <f t="shared" si="793"/>
        <v>59.19</v>
      </c>
      <c r="Y331" s="812" t="str">
        <f t="shared" si="794"/>
        <v/>
      </c>
      <c r="Z331" s="812">
        <f t="shared" si="795"/>
        <v>59.19</v>
      </c>
      <c r="AA331" s="812">
        <f t="shared" si="796"/>
        <v>59.19</v>
      </c>
      <c r="AB331" s="1059">
        <f t="shared" si="667"/>
        <v>0</v>
      </c>
      <c r="AC331" s="538">
        <f>Sheet1!Y329*MGDtoCFS</f>
        <v>43.470700000000001</v>
      </c>
      <c r="AD331" s="538">
        <f>Sheet1!Z329*MGDtoCFS</f>
        <v>51.020059999999994</v>
      </c>
      <c r="AE331" s="538">
        <f>Sheet1!AA329*MGDtoCFS</f>
        <v>43.45523</v>
      </c>
      <c r="AF331" s="538">
        <f>Sheet1!AB329*MGDtoCFS</f>
        <v>48.111699999999999</v>
      </c>
      <c r="AG331" s="538">
        <f>Sheet1!L329*MGDtoCFS</f>
        <v>12.824630000001351</v>
      </c>
      <c r="AH331" s="521">
        <f t="shared" si="699"/>
        <v>0</v>
      </c>
      <c r="AI331" s="1059">
        <f t="shared" si="700"/>
        <v>0</v>
      </c>
      <c r="AJ331" s="535">
        <f t="shared" si="701"/>
        <v>0</v>
      </c>
      <c r="AK331" s="535">
        <f t="shared" si="702"/>
        <v>0</v>
      </c>
      <c r="AL331" s="535">
        <f>(VLOOKUP(Sheet1!DC329,hhdcap_wcm,4)-(((VLOOKUP(Sheet1!DC329,hhdcap_wcm,3)-Sheet1!DC329)/(VLOOKUP(Sheet1!DC329,hhdcap_wcm,3)-VLOOKUP(Sheet1!DC329,hhdcap_wcm,1)))*(VLOOKUP(Sheet1!DC329,hhdcap_wcm,4)-VLOOKUP(Sheet1!DC329,hhdcap_wcm,2))))</f>
        <v>1011.0000000031332</v>
      </c>
      <c r="AM331" s="535">
        <f t="shared" si="703"/>
        <v>-75.000000000059117</v>
      </c>
      <c r="AN331" s="1035">
        <f t="shared" si="704"/>
        <v>0</v>
      </c>
      <c r="AO331" s="535">
        <f t="shared" si="705"/>
        <v>0</v>
      </c>
      <c r="AP331" s="535">
        <f>Sheet1!BA329+Sheet1!BB329+Sheet1!BN329+CD331</f>
        <v>18.7</v>
      </c>
      <c r="AQ331" s="535">
        <f>Sheet1!BN329+(DO331*Sheet1!BN329)</f>
        <v>18.652020525978191</v>
      </c>
      <c r="AR331" s="535">
        <f>Sheet1!BA329+CD331</f>
        <v>0</v>
      </c>
      <c r="AS331" s="535">
        <f>Sheet1!BA329+Sheet1!BB329+CD331</f>
        <v>0</v>
      </c>
      <c r="AT331" s="649">
        <f>0</f>
        <v>0</v>
      </c>
      <c r="AU331" s="974">
        <f>BA331+MAX(Sheet1!EH329,(O331-Q331-ED331-S331))</f>
        <v>0</v>
      </c>
      <c r="AV331" s="535">
        <f>IF(OR(B331&gt;=GD331,B331&lt;GC331),0,15/36*K331-MAX(0,64.6-(137.6-(Sheet1!AA329+Sheet1!AB329))))</f>
        <v>0</v>
      </c>
      <c r="AW331" s="1029"/>
      <c r="AX331" s="649"/>
      <c r="AY331" s="649">
        <f t="shared" si="668"/>
        <v>23.311716569431731</v>
      </c>
      <c r="AZ331" s="649">
        <f t="shared" si="669"/>
        <v>0</v>
      </c>
      <c r="BA331" s="1059">
        <f t="shared" si="670"/>
        <v>0</v>
      </c>
      <c r="BB331" s="1019">
        <f t="shared" si="706"/>
        <v>0</v>
      </c>
      <c r="BC331" s="1041">
        <f t="shared" si="671"/>
        <v>26.933333333333334</v>
      </c>
      <c r="BD331" s="1019">
        <f ca="1">IF(B331&gt;(Summary!$A$1-1),#N/A,BB331*MGtoAF)</f>
        <v>0</v>
      </c>
      <c r="BE331" s="535">
        <f>Sheet1!BG329+Sheet1!BH329+Sheet1!BI329-BM331</f>
        <v>2.9299999999999997</v>
      </c>
      <c r="BF331" s="535">
        <f t="shared" si="707"/>
        <v>2.9224823604874919</v>
      </c>
      <c r="BG331" s="535">
        <f>IF(Sheet1!EP329="FM",BM331,0)</f>
        <v>0</v>
      </c>
      <c r="BH331" s="535">
        <f t="shared" si="708"/>
        <v>0</v>
      </c>
      <c r="BI331" s="535">
        <f>IF(Sheet1!EP329="OTHER",BM331,0)</f>
        <v>0</v>
      </c>
      <c r="BJ331" s="535">
        <f t="shared" si="709"/>
        <v>0</v>
      </c>
      <c r="BK331" s="535">
        <f t="shared" si="710"/>
        <v>2.9299999999999997</v>
      </c>
      <c r="BL331" s="535">
        <f t="shared" si="711"/>
        <v>2.9224823604874919</v>
      </c>
      <c r="BM331" s="535">
        <f>IF(OR(Sheet1!EP329="FM", Sheet1!EP329="OTHER"),SUM(Sheet1!BG329:'Sheet1'!BI329),0)</f>
        <v>0</v>
      </c>
      <c r="BN331" s="521">
        <f>IF(AND($B331&gt;=$FV331,$B331&lt;=$FW331),MAX(BF331,Sheet1!EI329,0),MAX(BF331-(7/36)*$K331,0))</f>
        <v>0</v>
      </c>
      <c r="BO331" s="535">
        <f t="shared" si="712"/>
        <v>0</v>
      </c>
      <c r="BP331" s="521">
        <f t="shared" si="713"/>
        <v>2.9224823604874919</v>
      </c>
      <c r="BQ331" s="521">
        <f>IF(AND($O331&gt;0,Sheet1!EM329=1),(1-($O331-Sheet1!$L329)/$O331)*BL331,0)</f>
        <v>0</v>
      </c>
      <c r="BR331" s="521">
        <f>IF(AND(Sheet1!$L329=0,Sheet1!$L328=0, Calculation!BK331&lt;Sheet1!$EI329-0.1,Sheet1!$EI329=Sheet1!$EI328,Sheet1!$EI329=Sheet1!$EI330),BL331-BQ331,BL331-BQ331)</f>
        <v>2.9224823604874919</v>
      </c>
      <c r="BS331" s="1035" t="str">
        <f t="shared" si="672"/>
        <v/>
      </c>
      <c r="BT331" s="1035">
        <f t="shared" si="673"/>
        <v>12.568888888888889</v>
      </c>
      <c r="BU331" s="535">
        <f t="shared" si="714"/>
        <v>0</v>
      </c>
      <c r="BV331" s="535"/>
      <c r="BW331" s="535">
        <f ca="1">IF(B331&gt;(Summary!$A$1-1),#N/A,BU331*MGtoAF)</f>
        <v>0</v>
      </c>
      <c r="BX331" s="535">
        <f>Sheet1!BC329+Sheet1!BD329+Sheet1!BE329+Sheet1!BF329-CG331-CH331</f>
        <v>3</v>
      </c>
      <c r="BY331" s="535">
        <f t="shared" si="715"/>
        <v>2.9923027581783197</v>
      </c>
      <c r="BZ331" s="535">
        <f>IF(Sheet1!EQ329="FM",CH331,0)</f>
        <v>0</v>
      </c>
      <c r="CA331" s="535">
        <f t="shared" si="716"/>
        <v>0</v>
      </c>
      <c r="CB331" s="535">
        <f>IF(Sheet1!EQ329="OTHER",CH331,0)</f>
        <v>0</v>
      </c>
      <c r="CC331" s="535">
        <f t="shared" si="717"/>
        <v>0</v>
      </c>
      <c r="CD331" s="535">
        <f t="shared" si="718"/>
        <v>0</v>
      </c>
      <c r="CE331" s="535">
        <f t="shared" si="719"/>
        <v>3</v>
      </c>
      <c r="CF331" s="535">
        <f t="shared" si="720"/>
        <v>2.9923027581783197</v>
      </c>
      <c r="CG331" s="535">
        <f>IF(Sheet1!EQ329="CWA",SUM(Sheet1!BC329:'Sheet1'!BF329),0)</f>
        <v>0</v>
      </c>
      <c r="CH331" s="535">
        <f>IF(OR(Sheet1!EQ329="FM", Sheet1!EQ329="OTHER"),SUM(Sheet1!BC329:'Sheet1'!BF329),0)</f>
        <v>0</v>
      </c>
      <c r="CI331" s="521">
        <f>IF(AND($B331&gt;=$FV331,$B331&lt;=$FW331),MAX(CF331,Sheet1!EJ329,0),MAX(CF331-(7/36)*$K331,0))</f>
        <v>0</v>
      </c>
      <c r="CJ331" s="535">
        <f t="shared" si="721"/>
        <v>0</v>
      </c>
      <c r="CK331" s="521">
        <f t="shared" si="722"/>
        <v>2.9923027581783197</v>
      </c>
      <c r="CL331" s="521">
        <f>IF(AND($O331&gt;0,Sheet1!EN329=1),(1-($O331-Sheet1!$L329)/$O331)*CF331,0)</f>
        <v>0</v>
      </c>
      <c r="CM331" s="521">
        <f>IF(AND(Sheet1!$L329=0,Sheet1!$L328=0, Calculation!CE331&lt;Sheet1!EJ329-0.1,Sheet1!EJ329=Sheet1!EJ328,Sheet1!EJ329=Sheet1!EJ330),CF331-CL331,CF331-CL331)</f>
        <v>2.9923027581783197</v>
      </c>
      <c r="CN331" s="1040" t="str">
        <f t="shared" si="674"/>
        <v/>
      </c>
      <c r="CO331" s="1035">
        <f t="shared" si="675"/>
        <v>12.568888888888889</v>
      </c>
      <c r="CP331" s="535">
        <f t="shared" si="723"/>
        <v>0</v>
      </c>
      <c r="CQ331" s="535"/>
      <c r="CR331" s="535">
        <f ca="1">IF(B331&gt;(Summary!$A$1-1),#N/A,CP331*MGtoAF)</f>
        <v>0</v>
      </c>
      <c r="CS331" s="535">
        <f>Sheet1!BK329+Sheet1!BL329+Sheet1!BM329-Sheet1!ER329-DA331</f>
        <v>6.5500000000000007</v>
      </c>
      <c r="CT331" s="535">
        <f t="shared" si="724"/>
        <v>6.5331943553559988</v>
      </c>
      <c r="CU331" s="535">
        <f>IF(Sheet1!ER329="FM",DA331,0)</f>
        <v>0</v>
      </c>
      <c r="CV331" s="535">
        <f t="shared" si="725"/>
        <v>0</v>
      </c>
      <c r="CW331" s="535">
        <f>IF(Sheet1!ER329="OTHER",DA331,0)</f>
        <v>0</v>
      </c>
      <c r="CX331" s="535">
        <f t="shared" si="726"/>
        <v>0</v>
      </c>
      <c r="CY331" s="535">
        <f t="shared" si="727"/>
        <v>6.5500000000000007</v>
      </c>
      <c r="CZ331" s="535">
        <f t="shared" si="728"/>
        <v>6.5331943553559988</v>
      </c>
      <c r="DA331" s="535">
        <f>IF(OR(Sheet1!ER329="FM", Sheet1!ER329="OTHER"),SUM(Sheet1!BK329:'Sheet1'!BM329),0)</f>
        <v>0</v>
      </c>
      <c r="DB331" s="1011">
        <f>IF(AND($B331&gt;=$FV331,$B331&lt;=$FW331),MAX($CT331,Sheet1!EK329,0),MAX($CT331-(7/36)*$K331,0))</f>
        <v>0</v>
      </c>
      <c r="DC331" s="1012">
        <f t="shared" si="729"/>
        <v>0</v>
      </c>
      <c r="DD331" s="1011">
        <f t="shared" si="730"/>
        <v>6.5331943553559988</v>
      </c>
      <c r="DE331" s="521">
        <f>IF(AND($O331&gt;0,Sheet1!EO329=1),(1-($O331-Sheet1!$L329)/$O331)*CZ331,0)</f>
        <v>0</v>
      </c>
      <c r="DF331" s="521">
        <f>IF(AND(Sheet1!$L329=0,Sheet1!$L328=0, Calculation!CY331&lt;Sheet1!$EK329-0.1,Sheet1!$EK329=Sheet1!$EK328,Sheet1!$EK329=Sheet1!$EK330),CZ331-DE331,CZ331-DE331)</f>
        <v>6.5331943553559988</v>
      </c>
      <c r="DG331" s="1040">
        <f t="shared" si="676"/>
        <v>12.568888888888889</v>
      </c>
      <c r="DH331" s="649">
        <f t="shared" si="731"/>
        <v>12.48</v>
      </c>
      <c r="DI331" s="535">
        <f t="shared" si="732"/>
        <v>0</v>
      </c>
      <c r="DJ331" s="649">
        <f t="shared" si="733"/>
        <v>12.44797947402181</v>
      </c>
      <c r="DK331" s="535">
        <f ca="1">IF(B331&gt;(Summary!$A$1-1),#N/A,DI331*MGtoAF)</f>
        <v>0</v>
      </c>
      <c r="DL331" s="649">
        <f t="shared" si="734"/>
        <v>12.48</v>
      </c>
      <c r="DM331" s="535">
        <f t="shared" si="735"/>
        <v>31.18</v>
      </c>
      <c r="DN331" s="535">
        <f>Sheet1!AB329-DM331</f>
        <v>-7.9999999999998295E-2</v>
      </c>
      <c r="DO331" s="743">
        <f t="shared" si="736"/>
        <v>-2.5657472738934667E-3</v>
      </c>
      <c r="DP331" s="535">
        <f>(VLOOKUP(Sheet1!DC329,hhdcap_wcm,4)-(((VLOOKUP(Sheet1!DC329,hhdcap_wcm,3)-Sheet1!DC329)/(VLOOKUP(Sheet1!DC329,hhdcap_wcm,3)-VLOOKUP(Sheet1!DC329,hhdcap_wcm,1)))*(VLOOKUP(Sheet1!DC329,hhdcap_wcm,4)-VLOOKUP(Sheet1!DC329,hhdcap_wcm,2))))</f>
        <v>1011.0000000031332</v>
      </c>
      <c r="DQ331" s="535">
        <f t="shared" si="737"/>
        <v>-75.000000000059117</v>
      </c>
      <c r="DR331" s="535">
        <f t="shared" si="738"/>
        <v>-37.82148260214781</v>
      </c>
      <c r="DS331" s="535">
        <f>Sheet1!EA329*AFtoMG</f>
        <v>0</v>
      </c>
      <c r="DT331" s="535">
        <f>Sheet1!EB329*AFtoMG</f>
        <v>0</v>
      </c>
      <c r="DU331" s="535">
        <f>Sheet1!EC329*AFtoMG</f>
        <v>0</v>
      </c>
      <c r="DV331" s="535">
        <f>Sheet1!ED329*AFtoMG</f>
        <v>0</v>
      </c>
      <c r="DW331" s="535">
        <f t="shared" si="739"/>
        <v>0</v>
      </c>
      <c r="DX331" s="535">
        <f t="shared" si="740"/>
        <v>0</v>
      </c>
      <c r="DY331" s="535">
        <f t="shared" si="741"/>
        <v>0</v>
      </c>
      <c r="DZ331" s="535">
        <f t="shared" si="742"/>
        <v>0</v>
      </c>
      <c r="EA331" s="535"/>
      <c r="EB331" s="521">
        <f>IF(OR(B331&lt;FV331,B331&gt;FW331),(MIN(BF331+BY331+CT331+MAX(Sheet1!AA329+AQ331-73,0),K331)),0)</f>
        <v>12.44797947402181</v>
      </c>
      <c r="EC331" s="535"/>
      <c r="ED331" s="535">
        <f t="shared" si="743"/>
        <v>12.44797947402181</v>
      </c>
      <c r="EE331" s="535"/>
      <c r="EF331" s="535">
        <f>Sheet1!EH329+Sheet1!EI329+Sheet1!EJ329+Sheet1!EK329</f>
        <v>12.5</v>
      </c>
      <c r="EG331" s="1019">
        <f t="shared" si="677"/>
        <v>19.337499999999999</v>
      </c>
      <c r="EH331" s="521">
        <f t="shared" si="744"/>
        <v>0</v>
      </c>
      <c r="EI331" s="535">
        <f>IF(Sheet1!ET329=1,SUM('Calculations II'!AT331:BA331)+'Calculations II'!BC331+Sheet1!BV329+'Calculations II'!BE331+AP331,'Calculations II'!BK331)</f>
        <v>44.922860525978194</v>
      </c>
      <c r="EJ331" s="535">
        <f ca="1">EI331+'Calculations II'!D331+'Calculations II'!E331+'Calculations II'!O331</f>
        <v>46.161577406382591</v>
      </c>
      <c r="EK331" s="535"/>
      <c r="EL331" s="535"/>
      <c r="EM331" s="535">
        <f t="shared" si="745"/>
        <v>43055</v>
      </c>
      <c r="EN331" s="535">
        <f t="shared" si="746"/>
        <v>0</v>
      </c>
      <c r="EO331" s="535">
        <f t="shared" si="747"/>
        <v>0</v>
      </c>
      <c r="EP331" s="535">
        <v>0</v>
      </c>
      <c r="EQ331" s="535">
        <v>0</v>
      </c>
      <c r="ER331" s="535">
        <v>0</v>
      </c>
      <c r="ES331" s="521">
        <f t="shared" si="797"/>
        <v>-1.2461130785565078</v>
      </c>
      <c r="ET331" s="535">
        <f>-(VLOOKUP(Sheet1!BQ329,Lookup!$O$4:$Q$262,2)-VLOOKUP(Sheet1!BQ328,Lookup!$O$4:$Q$262,2))/1000000</f>
        <v>-0.83062030341691895</v>
      </c>
      <c r="EU331" s="535">
        <f>-(VLOOKUP(Sheet1!BR329,Lookup!$O$4:$Q$262,3)-VLOOKUP(Sheet1!BR328,Lookup!$O$4:$Q$262,3))/1000000</f>
        <v>-0.41549277513958888</v>
      </c>
      <c r="EV331" s="535"/>
      <c r="EW331" s="535"/>
      <c r="EX331" s="535"/>
      <c r="EY331" s="535"/>
      <c r="EZ331" s="535"/>
      <c r="FA331" s="535"/>
      <c r="FB331" s="535"/>
      <c r="FC331" s="535"/>
      <c r="FD331" s="567">
        <f t="shared" si="786"/>
        <v>1082.2499999999725</v>
      </c>
      <c r="FE331" s="567" t="e">
        <f t="shared" si="748"/>
        <v>#N/A</v>
      </c>
      <c r="FF331" s="568" t="e">
        <f t="shared" si="749"/>
        <v>#N/A</v>
      </c>
      <c r="FG331" s="569" t="s">
        <v>656</v>
      </c>
      <c r="FH331" s="569" t="s">
        <v>656</v>
      </c>
      <c r="FI331" s="567" t="e">
        <v>#N/A</v>
      </c>
      <c r="FJ331" s="725">
        <v>1350</v>
      </c>
      <c r="FK331" s="535"/>
      <c r="FL331" s="1015">
        <f t="shared" si="785"/>
        <v>45.385779122541599</v>
      </c>
      <c r="FM331" s="535"/>
      <c r="FN331" s="535"/>
      <c r="FO331" s="535">
        <f>O331+((Sheet1!CS329)*GPMtoMGD)</f>
        <v>59.19</v>
      </c>
      <c r="FP331" s="535">
        <f>IF(Sheet1!AA329+AQ331&lt;=Calculation!N331,AQ331,Calculation!N331-Sheet1!AA329)</f>
        <v>18.652020525978191</v>
      </c>
      <c r="FQ331" s="535">
        <f>(Sheet1!BP329+Sheet1!BO329)/694.4</f>
        <v>0.87010368663594484</v>
      </c>
      <c r="FR331" s="541"/>
      <c r="FS331" s="541"/>
      <c r="FT331" s="541"/>
      <c r="FU331" s="541"/>
      <c r="FV331" s="1109">
        <f t="shared" si="798"/>
        <v>42918</v>
      </c>
      <c r="FW331" s="1109">
        <f t="shared" si="799"/>
        <v>43027</v>
      </c>
      <c r="FX331" s="541"/>
      <c r="FY331" s="541">
        <f>Sheet1!DA329-Sheet1!CZ329-Sheet1!AE329</f>
        <v>421.25770000000136</v>
      </c>
      <c r="FZ331" s="535">
        <f t="shared" si="678"/>
        <v>0.50865567163417691</v>
      </c>
      <c r="GA331" s="535"/>
      <c r="GB331" s="535" t="str">
        <f t="shared" si="800"/>
        <v>n</v>
      </c>
      <c r="GC331" s="539">
        <f t="shared" si="801"/>
        <v>42782</v>
      </c>
      <c r="GD331" s="1109">
        <f t="shared" si="802"/>
        <v>42904</v>
      </c>
      <c r="GE331" s="535">
        <f t="shared" si="664"/>
        <v>6520</v>
      </c>
      <c r="GF331" s="1109">
        <f t="shared" si="803"/>
        <v>42909</v>
      </c>
      <c r="GG331" s="535">
        <f t="shared" si="691"/>
        <v>3260</v>
      </c>
      <c r="GH331" s="539">
        <f t="shared" si="804"/>
        <v>43040</v>
      </c>
      <c r="GJ331" s="521">
        <f t="shared" si="805"/>
        <v>0</v>
      </c>
      <c r="GK331" s="535" t="str">
        <f t="shared" si="750"/>
        <v/>
      </c>
      <c r="GL331" s="535">
        <f t="shared" si="806"/>
        <v>0</v>
      </c>
      <c r="GM331" s="535" t="str">
        <f t="shared" si="807"/>
        <v/>
      </c>
      <c r="GN331" s="535">
        <f>IF(GK331="P",Lookup!$M$12,IF(GK331="PP",Lookup!$M$13,IF(GK331="PPP",Lookup!$M$14,IF(GK331="T",Lookup!$M$15,IF(GK331="TP",Lookup!$M$16,IF(GK331="TPP",Lookup!$M$17,IF(GK331="TPPP",Lookup!$M$18,0)))))))*GJ331</f>
        <v>0</v>
      </c>
      <c r="GO331" s="535">
        <f t="shared" si="808"/>
        <v>0</v>
      </c>
      <c r="GP331" s="535">
        <f t="shared" si="751"/>
        <v>0</v>
      </c>
      <c r="GQ331" s="974">
        <f t="shared" si="695"/>
        <v>0</v>
      </c>
      <c r="GR331" s="535"/>
      <c r="GS331" s="535">
        <f t="shared" si="809"/>
        <v>0</v>
      </c>
      <c r="GT331" s="535" t="str">
        <f t="shared" si="810"/>
        <v/>
      </c>
      <c r="GU331" s="535">
        <f>IF(GK331="P",Lookup!$N$12,IF(GK331="PP",Lookup!$N$13,IF(GK331="PPP",Lookup!$N$14,IF(GK331="T",Lookup!$N$15,IF(GK331="TP",Lookup!$N$16,IF(GK331="TPP",Lookup!$N$17,IF(GK331="TPPP",Lookup!$N$18,0)))))))*GJ331</f>
        <v>0</v>
      </c>
      <c r="GV331" s="535">
        <f t="shared" si="811"/>
        <v>0</v>
      </c>
      <c r="GW331" s="535">
        <f t="shared" si="752"/>
        <v>0</v>
      </c>
      <c r="GX331" s="974">
        <f t="shared" si="696"/>
        <v>0</v>
      </c>
      <c r="GY331" s="535"/>
      <c r="GZ331" s="535">
        <f t="shared" si="812"/>
        <v>0</v>
      </c>
      <c r="HA331" s="535" t="str">
        <f t="shared" si="813"/>
        <v/>
      </c>
      <c r="HB331" s="535">
        <f>IF(GK331="P",Lookup!$N$12,IF(GK331="PP",Lookup!$N$13,IF(GK331="PPP",Lookup!$N$14,IF(GK331="T",Lookup!$N$15,IF(GK331="TP",Lookup!$N$16,IF(GK331="TPP",Lookup!$N$17,IF(GK331="TPPP",Lookup!$N$18,0)))))))*GJ331</f>
        <v>0</v>
      </c>
      <c r="HC331" s="521">
        <f t="shared" si="753"/>
        <v>0</v>
      </c>
      <c r="HD331" s="535">
        <f t="shared" si="754"/>
        <v>0</v>
      </c>
      <c r="HE331" s="535">
        <f t="shared" si="816"/>
        <v>0</v>
      </c>
      <c r="HF331" s="535"/>
      <c r="HG331" s="535">
        <f t="shared" si="814"/>
        <v>0</v>
      </c>
      <c r="HH331" s="535" t="str">
        <f t="shared" si="815"/>
        <v/>
      </c>
      <c r="HI331" s="535">
        <f>IF(GK331="P",Lookup!$N$12,IF(GK331="PP",Lookup!$N$13,IF(GK331="PPP",Lookup!$N$14,IF(GK331="T",Lookup!$N$15,IF(GK331="TP",Lookup!$N$16,IF(GK331="TPP",Lookup!$N$17,IF(GK331="TPPP",Lookup!$N$18,0)))))))*GJ331</f>
        <v>0</v>
      </c>
      <c r="HJ331" s="521">
        <f t="shared" si="755"/>
        <v>0</v>
      </c>
      <c r="HK331" s="535">
        <f t="shared" si="756"/>
        <v>0</v>
      </c>
      <c r="HL331" s="535">
        <f t="shared" si="817"/>
        <v>0</v>
      </c>
      <c r="HM331" s="535"/>
      <c r="HN331" s="541"/>
      <c r="HO331" s="541"/>
      <c r="HP331" s="541"/>
      <c r="HQ331" s="541">
        <f>IF(AND(B331&gt;=$FV$4,B331&lt;=$FW$4),MAX(110/1.02+$HQ$6+MIN(113/1.02,G331),IF($HV$6-(Sheet1!DA329-Sheet1!DB329)+MIN(113/1.02,G331)&lt;G331+FL331,$HV$6-(Sheet1!DA329-Sheet1!DB329)+MIN(113/1.02,G331),G331+FL331)),MIN(110/1.02+$HQ$6+113/1.02,G331))</f>
        <v>218.62745098039215</v>
      </c>
      <c r="HR331" s="541">
        <f t="shared" si="679"/>
        <v>223</v>
      </c>
      <c r="HS331" s="541">
        <f>HR331+(Sheet1!DA329-Sheet1!DB329)</f>
        <v>670</v>
      </c>
      <c r="HT331" s="541">
        <f t="shared" si="680"/>
        <v>0</v>
      </c>
      <c r="HU331" s="541">
        <f t="shared" si="681"/>
        <v>670</v>
      </c>
      <c r="HV331" s="541">
        <f t="shared" si="682"/>
        <v>0</v>
      </c>
      <c r="HW331" s="533" t="str">
        <f t="shared" si="683"/>
        <v/>
      </c>
      <c r="HX331" s="541">
        <f t="shared" si="684"/>
        <v>647.37254901960785</v>
      </c>
      <c r="HY331" s="541">
        <f>Sheet1!CZ329</f>
        <v>866</v>
      </c>
      <c r="HZ331" s="541">
        <f t="shared" si="685"/>
        <v>0</v>
      </c>
      <c r="IA331" s="541">
        <f t="shared" si="686"/>
        <v>0</v>
      </c>
      <c r="IB331" s="541">
        <f t="shared" si="687"/>
        <v>866</v>
      </c>
      <c r="IC331" s="1019" t="str">
        <f t="shared" si="688"/>
        <v/>
      </c>
      <c r="ID331" s="541">
        <f t="shared" si="689"/>
        <v>866</v>
      </c>
      <c r="IE331" s="541">
        <f>Sheet1!DB329</f>
        <v>919</v>
      </c>
      <c r="IF331" s="533">
        <f>Sheet1!DA329</f>
        <v>1366</v>
      </c>
      <c r="IH331" s="541">
        <f>IF(AND($B331&gt;=$GC331,$B331&lt;=$GH331,$DR331&lt;0)+N("only adjusted when pool is drawn down during storage season"),Sheet1!$DB329+$DR331+N("Palmer minus all storage release"),Sheet1!$DB329)</f>
        <v>919</v>
      </c>
      <c r="II331" s="541">
        <f>IF(AND($B331&gt;=$GC331,$B331&lt;=$GH331,$DR331&lt;0)+N("only adjusted when pool is drawn down during storage season"),Sheet1!$DA329+$DR331+N("Auburn minus all storage release"),Sheet1!$DA329)</f>
        <v>1366</v>
      </c>
    </row>
    <row r="332" spans="1:243" x14ac:dyDescent="0.25">
      <c r="A332" s="553" t="s">
        <v>8</v>
      </c>
      <c r="B332" s="531">
        <v>43056</v>
      </c>
      <c r="C332" s="536">
        <v>0</v>
      </c>
      <c r="D332" s="506">
        <f t="shared" si="787"/>
        <v>300</v>
      </c>
      <c r="E332" s="506">
        <f t="shared" si="788"/>
        <v>250</v>
      </c>
      <c r="F332" s="506">
        <v>250</v>
      </c>
      <c r="G332" s="535">
        <f>DR332+Sheet1!CZ330</f>
        <v>838.97024710020389</v>
      </c>
      <c r="H332" s="1074">
        <f t="shared" si="690"/>
        <v>415.55808447999993</v>
      </c>
      <c r="I332" s="534">
        <f>IF(Sheet1!DA330&gt;=E332,(Sheet1!DA330-E332+P332)*CFStoMGD,0)</f>
        <v>723.89088447999995</v>
      </c>
      <c r="J332" s="995">
        <f>IF(Sheet1!DB330&gt;=D332,(Sheet1!DB330-D332+P332)*CFStoMGD,0)</f>
        <v>415.55808447999993</v>
      </c>
      <c r="K332" s="818">
        <f t="shared" si="665"/>
        <v>64.64</v>
      </c>
      <c r="L332" s="535">
        <f>Sheet1!AA330+Sheet1!AB330-Sheet1!L330+(Sheet1!DA330-F332)*CFStoMGD-S332-T332-U332</f>
        <v>658.36199999999974</v>
      </c>
      <c r="M332" s="535">
        <f t="shared" si="697"/>
        <v>553.15657508008326</v>
      </c>
      <c r="N332" s="824">
        <f>IF(Sheet1!DA330&gt;=F332,MIN(113*CFStoMGD,MIN(MAX(L332,0),MAX(M332,0))),0)</f>
        <v>73.043199999999999</v>
      </c>
      <c r="O332" s="538">
        <f>Sheet1!AA330+Sheet1!AB330</f>
        <v>58.1</v>
      </c>
      <c r="P332" s="538">
        <f t="shared" si="698"/>
        <v>89.88069999999999</v>
      </c>
      <c r="Q332" s="812">
        <f t="shared" si="666"/>
        <v>0</v>
      </c>
      <c r="R332" s="812">
        <f t="shared" si="789"/>
        <v>12.257324692588901</v>
      </c>
      <c r="S332" s="812">
        <f t="shared" si="790"/>
        <v>58.1</v>
      </c>
      <c r="T332" s="812">
        <f t="shared" si="791"/>
        <v>0</v>
      </c>
      <c r="U332" s="812">
        <f>IF(AND(B332&gt;=FV332,B332&lt;=FW332),ED332+Sheet1!EH330,0)</f>
        <v>0</v>
      </c>
      <c r="V332" s="812"/>
      <c r="W332" s="812">
        <f t="shared" si="792"/>
        <v>52.382675307411098</v>
      </c>
      <c r="X332" s="812">
        <f t="shared" si="793"/>
        <v>58.1</v>
      </c>
      <c r="Y332" s="812" t="str">
        <f t="shared" si="794"/>
        <v/>
      </c>
      <c r="Z332" s="812">
        <f t="shared" si="795"/>
        <v>58.1</v>
      </c>
      <c r="AA332" s="812">
        <f t="shared" si="796"/>
        <v>58.1</v>
      </c>
      <c r="AB332" s="1059">
        <f t="shared" si="667"/>
        <v>0</v>
      </c>
      <c r="AC332" s="538">
        <f>Sheet1!Y330*MGDtoCFS</f>
        <v>43.45523</v>
      </c>
      <c r="AD332" s="538">
        <f>Sheet1!Z330*MGDtoCFS</f>
        <v>48.111699999999999</v>
      </c>
      <c r="AE332" s="538">
        <f>Sheet1!AA330*MGDtoCFS</f>
        <v>43.45523</v>
      </c>
      <c r="AF332" s="538">
        <f>Sheet1!AB330*MGDtoCFS</f>
        <v>46.425469999999997</v>
      </c>
      <c r="AG332" s="538">
        <f>Sheet1!L330*MGDtoCFS</f>
        <v>11.49421000000045</v>
      </c>
      <c r="AH332" s="521">
        <f t="shared" si="699"/>
        <v>0</v>
      </c>
      <c r="AI332" s="1059">
        <f t="shared" si="700"/>
        <v>0</v>
      </c>
      <c r="AJ332" s="535">
        <f t="shared" si="701"/>
        <v>0</v>
      </c>
      <c r="AK332" s="535">
        <f t="shared" si="702"/>
        <v>0</v>
      </c>
      <c r="AL332" s="535">
        <f>(VLOOKUP(Sheet1!DC330,hhdcap_wcm,4)-(((VLOOKUP(Sheet1!DC330,hhdcap_wcm,3)-Sheet1!DC330)/(VLOOKUP(Sheet1!DC330,hhdcap_wcm,3)-VLOOKUP(Sheet1!DC330,hhdcap_wcm,1)))*(VLOOKUP(Sheet1!DC330,hhdcap_wcm,4)-VLOOKUP(Sheet1!DC330,hhdcap_wcm,2))))</f>
        <v>957.4000000028376</v>
      </c>
      <c r="AM332" s="535">
        <f t="shared" si="703"/>
        <v>-53.600000000295609</v>
      </c>
      <c r="AN332" s="1035">
        <f t="shared" si="704"/>
        <v>0</v>
      </c>
      <c r="AO332" s="535">
        <f t="shared" si="705"/>
        <v>0</v>
      </c>
      <c r="AP332" s="535">
        <f>Sheet1!BA330+Sheet1!BB330+Sheet1!BN330+CD332</f>
        <v>17.8</v>
      </c>
      <c r="AQ332" s="535">
        <f>Sheet1!BN330+(DO332*Sheet1!BN330)</f>
        <v>17.752675307411103</v>
      </c>
      <c r="AR332" s="535">
        <f>Sheet1!BA330+CD332</f>
        <v>0</v>
      </c>
      <c r="AS332" s="535">
        <f>Sheet1!BA330+Sheet1!BB330+CD332</f>
        <v>0</v>
      </c>
      <c r="AT332" s="649">
        <f>0</f>
        <v>0</v>
      </c>
      <c r="AU332" s="974">
        <f>BA332+MAX(Sheet1!EH330,(O332-Q332-ED332-S332))</f>
        <v>0</v>
      </c>
      <c r="AV332" s="535">
        <f>IF(OR(B332&gt;=GD332,B332&lt;GC332),0,15/36*K332-MAX(0,64.6-(137.6-(Sheet1!AA330+Sheet1!AB330))))</f>
        <v>0</v>
      </c>
      <c r="AW332" s="1029"/>
      <c r="AX332" s="649"/>
      <c r="AY332" s="649">
        <f t="shared" si="668"/>
        <v>23.311716569431731</v>
      </c>
      <c r="AZ332" s="649">
        <f t="shared" si="669"/>
        <v>0</v>
      </c>
      <c r="BA332" s="1059">
        <f t="shared" si="670"/>
        <v>0</v>
      </c>
      <c r="BB332" s="1019">
        <f t="shared" si="706"/>
        <v>0</v>
      </c>
      <c r="BC332" s="1041">
        <f t="shared" si="671"/>
        <v>26.933333333333334</v>
      </c>
      <c r="BD332" s="1019">
        <f ca="1">IF(B332&gt;(Summary!$A$1-1),#N/A,BB332*MGtoAF)</f>
        <v>0</v>
      </c>
      <c r="BE332" s="535">
        <f>Sheet1!BG330+Sheet1!BH330+Sheet1!BI330-BM332</f>
        <v>2.9400000000000004</v>
      </c>
      <c r="BF332" s="535">
        <f t="shared" si="707"/>
        <v>2.9321834496510473</v>
      </c>
      <c r="BG332" s="535">
        <f>IF(Sheet1!EP330="FM",BM332,0)</f>
        <v>0</v>
      </c>
      <c r="BH332" s="535">
        <f t="shared" si="708"/>
        <v>0</v>
      </c>
      <c r="BI332" s="535">
        <f>IF(Sheet1!EP330="OTHER",BM332,0)</f>
        <v>0</v>
      </c>
      <c r="BJ332" s="535">
        <f t="shared" si="709"/>
        <v>0</v>
      </c>
      <c r="BK332" s="535">
        <f t="shared" si="710"/>
        <v>2.9400000000000004</v>
      </c>
      <c r="BL332" s="535">
        <f t="shared" si="711"/>
        <v>2.9321834496510473</v>
      </c>
      <c r="BM332" s="535">
        <f>IF(OR(Sheet1!EP330="FM", Sheet1!EP330="OTHER"),SUM(Sheet1!BG330:'Sheet1'!BI330),0)</f>
        <v>0</v>
      </c>
      <c r="BN332" s="521">
        <f>IF(AND($B332&gt;=$FV332,$B332&lt;=$FW332),MAX(BF332,Sheet1!EI330,0),MAX(BF332-(7/36)*$K332,0))</f>
        <v>0</v>
      </c>
      <c r="BO332" s="535">
        <f t="shared" si="712"/>
        <v>0</v>
      </c>
      <c r="BP332" s="521">
        <f t="shared" si="713"/>
        <v>2.9321834496510473</v>
      </c>
      <c r="BQ332" s="521">
        <f>IF(AND($O332&gt;0,Sheet1!EM330=1),(1-($O332-Sheet1!$L330)/$O332)*BL332,0)</f>
        <v>0</v>
      </c>
      <c r="BR332" s="521">
        <f>IF(AND(Sheet1!$L330=0,Sheet1!$L329=0, Calculation!BK332&lt;Sheet1!$EI330-0.1,Sheet1!$EI330=Sheet1!$EI329,Sheet1!$EI330=Sheet1!$EI331),BL332-BQ332,BL332-BQ332)</f>
        <v>2.9321834496510473</v>
      </c>
      <c r="BS332" s="1035" t="str">
        <f t="shared" si="672"/>
        <v/>
      </c>
      <c r="BT332" s="1035">
        <f t="shared" si="673"/>
        <v>12.568888888888889</v>
      </c>
      <c r="BU332" s="535">
        <f t="shared" si="714"/>
        <v>0</v>
      </c>
      <c r="BV332" s="535"/>
      <c r="BW332" s="535">
        <f ca="1">IF(B332&gt;(Summary!$A$1-1),#N/A,BU332*MGtoAF)</f>
        <v>0</v>
      </c>
      <c r="BX332" s="535">
        <f>Sheet1!BC330+Sheet1!BD330+Sheet1!BE330+Sheet1!BF330-CG332-CH332</f>
        <v>2.9799999999999995</v>
      </c>
      <c r="BY332" s="535">
        <f t="shared" si="715"/>
        <v>2.9720771020272512</v>
      </c>
      <c r="BZ332" s="535">
        <f>IF(Sheet1!EQ330="FM",CH332,0)</f>
        <v>0</v>
      </c>
      <c r="CA332" s="535">
        <f t="shared" si="716"/>
        <v>0</v>
      </c>
      <c r="CB332" s="535">
        <f>IF(Sheet1!EQ330="OTHER",CH332,0)</f>
        <v>0</v>
      </c>
      <c r="CC332" s="535">
        <f t="shared" si="717"/>
        <v>0</v>
      </c>
      <c r="CD332" s="535">
        <f t="shared" si="718"/>
        <v>0</v>
      </c>
      <c r="CE332" s="535">
        <f t="shared" si="719"/>
        <v>2.9799999999999995</v>
      </c>
      <c r="CF332" s="535">
        <f t="shared" si="720"/>
        <v>2.9720771020272512</v>
      </c>
      <c r="CG332" s="535">
        <f>IF(Sheet1!EQ330="CWA",SUM(Sheet1!BC330:'Sheet1'!BF330),0)</f>
        <v>0</v>
      </c>
      <c r="CH332" s="535">
        <f>IF(OR(Sheet1!EQ330="FM", Sheet1!EQ330="OTHER"),SUM(Sheet1!BC330:'Sheet1'!BF330),0)</f>
        <v>0</v>
      </c>
      <c r="CI332" s="521">
        <f>IF(AND($B332&gt;=$FV332,$B332&lt;=$FW332),MAX(CF332,Sheet1!EJ330,0),MAX(CF332-(7/36)*$K332,0))</f>
        <v>0</v>
      </c>
      <c r="CJ332" s="535">
        <f t="shared" si="721"/>
        <v>0</v>
      </c>
      <c r="CK332" s="521">
        <f t="shared" si="722"/>
        <v>2.9720771020272512</v>
      </c>
      <c r="CL332" s="521">
        <f>IF(AND($O332&gt;0,Sheet1!EN330=1),(1-($O332-Sheet1!$L330)/$O332)*CF332,0)</f>
        <v>0</v>
      </c>
      <c r="CM332" s="521">
        <f>IF(AND(Sheet1!$L330=0,Sheet1!$L329=0, Calculation!CE332&lt;Sheet1!EJ330-0.1,Sheet1!EJ330=Sheet1!EJ329,Sheet1!EJ330=Sheet1!EJ331),CF332-CL332,CF332-CL332)</f>
        <v>2.9720771020272512</v>
      </c>
      <c r="CN332" s="1040" t="str">
        <f t="shared" si="674"/>
        <v/>
      </c>
      <c r="CO332" s="1035">
        <f t="shared" si="675"/>
        <v>12.568888888888889</v>
      </c>
      <c r="CP332" s="535">
        <f t="shared" si="723"/>
        <v>0</v>
      </c>
      <c r="CQ332" s="535"/>
      <c r="CR332" s="535">
        <f ca="1">IF(B332&gt;(Summary!$A$1-1),#N/A,CP332*MGtoAF)</f>
        <v>0</v>
      </c>
      <c r="CS332" s="535">
        <f>Sheet1!BK330+Sheet1!BL330+Sheet1!BM330-Sheet1!ER330-DA332</f>
        <v>6.37</v>
      </c>
      <c r="CT332" s="535">
        <f t="shared" si="724"/>
        <v>6.3530641409106021</v>
      </c>
      <c r="CU332" s="535">
        <f>IF(Sheet1!ER330="FM",DA332,0)</f>
        <v>0</v>
      </c>
      <c r="CV332" s="535">
        <f t="shared" si="725"/>
        <v>0</v>
      </c>
      <c r="CW332" s="535">
        <f>IF(Sheet1!ER330="OTHER",DA332,0)</f>
        <v>0</v>
      </c>
      <c r="CX332" s="535">
        <f t="shared" si="726"/>
        <v>0</v>
      </c>
      <c r="CY332" s="535">
        <f t="shared" si="727"/>
        <v>6.37</v>
      </c>
      <c r="CZ332" s="535">
        <f t="shared" si="728"/>
        <v>6.3530641409106021</v>
      </c>
      <c r="DA332" s="535">
        <f>IF(OR(Sheet1!ER330="FM", Sheet1!ER330="OTHER"),SUM(Sheet1!BK330:'Sheet1'!BM330),0)</f>
        <v>0</v>
      </c>
      <c r="DB332" s="1011">
        <f>IF(AND($B332&gt;=$FV332,$B332&lt;=$FW332),MAX($CT332,Sheet1!EK330,0),MAX($CT332-(7/36)*$K332,0))</f>
        <v>0</v>
      </c>
      <c r="DC332" s="1012">
        <f t="shared" si="729"/>
        <v>0</v>
      </c>
      <c r="DD332" s="1011">
        <f t="shared" si="730"/>
        <v>6.3530641409106021</v>
      </c>
      <c r="DE332" s="521">
        <f>IF(AND($O332&gt;0,Sheet1!EO330=1),(1-($O332-Sheet1!$L330)/$O332)*CZ332,0)</f>
        <v>0</v>
      </c>
      <c r="DF332" s="521">
        <f>IF(AND(Sheet1!$L330=0,Sheet1!$L329=0, Calculation!CY332&lt;Sheet1!$EK330-0.1,Sheet1!$EK330=Sheet1!$EK329,Sheet1!$EK330=Sheet1!$EK331),CZ332-DE332,CZ332-DE332)</f>
        <v>6.3530641409106021</v>
      </c>
      <c r="DG332" s="1040">
        <f t="shared" si="676"/>
        <v>12.568888888888889</v>
      </c>
      <c r="DH332" s="649">
        <f t="shared" si="731"/>
        <v>12.29</v>
      </c>
      <c r="DI332" s="535">
        <f t="shared" si="732"/>
        <v>0</v>
      </c>
      <c r="DJ332" s="649">
        <f t="shared" si="733"/>
        <v>12.257324692588901</v>
      </c>
      <c r="DK332" s="535">
        <f ca="1">IF(B332&gt;(Summary!$A$1-1),#N/A,DI332*MGtoAF)</f>
        <v>0</v>
      </c>
      <c r="DL332" s="649">
        <f t="shared" si="734"/>
        <v>12.29</v>
      </c>
      <c r="DM332" s="535">
        <f t="shared" si="735"/>
        <v>30.09</v>
      </c>
      <c r="DN332" s="535">
        <f>Sheet1!AB330-DM332</f>
        <v>-7.9999999999998295E-2</v>
      </c>
      <c r="DO332" s="743">
        <f t="shared" si="736"/>
        <v>-2.658690594881964E-3</v>
      </c>
      <c r="DP332" s="535">
        <f>(VLOOKUP(Sheet1!DC330,hhdcap_wcm,4)-(((VLOOKUP(Sheet1!DC330,hhdcap_wcm,3)-Sheet1!DC330)/(VLOOKUP(Sheet1!DC330,hhdcap_wcm,3)-VLOOKUP(Sheet1!DC330,hhdcap_wcm,1)))*(VLOOKUP(Sheet1!DC330,hhdcap_wcm,4)-VLOOKUP(Sheet1!DC330,hhdcap_wcm,2))))</f>
        <v>957.4000000028376</v>
      </c>
      <c r="DQ332" s="535">
        <f t="shared" si="737"/>
        <v>-53.600000000295609</v>
      </c>
      <c r="DR332" s="535">
        <f t="shared" si="738"/>
        <v>-27.029752899796065</v>
      </c>
      <c r="DS332" s="535">
        <f>Sheet1!EA330*AFtoMG</f>
        <v>0</v>
      </c>
      <c r="DT332" s="535">
        <f>Sheet1!EB330*AFtoMG</f>
        <v>0</v>
      </c>
      <c r="DU332" s="535">
        <f>Sheet1!EC330*AFtoMG</f>
        <v>0</v>
      </c>
      <c r="DV332" s="535">
        <f>Sheet1!ED330*AFtoMG</f>
        <v>0</v>
      </c>
      <c r="DW332" s="535">
        <f t="shared" si="739"/>
        <v>0</v>
      </c>
      <c r="DX332" s="535">
        <f t="shared" si="740"/>
        <v>0</v>
      </c>
      <c r="DY332" s="535">
        <f t="shared" si="741"/>
        <v>0</v>
      </c>
      <c r="DZ332" s="535">
        <f t="shared" si="742"/>
        <v>0</v>
      </c>
      <c r="EA332" s="535"/>
      <c r="EB332" s="521">
        <f>IF(OR(B332&lt;FV332,B332&gt;FW332),(MIN(BF332+BY332+CT332+MAX(Sheet1!AA330+AQ332-73,0),K332)),0)</f>
        <v>12.257324692588901</v>
      </c>
      <c r="EC332" s="535"/>
      <c r="ED332" s="535">
        <f t="shared" si="743"/>
        <v>12.257324692588901</v>
      </c>
      <c r="EE332" s="535"/>
      <c r="EF332" s="535">
        <f>Sheet1!EH330+Sheet1!EI330+Sheet1!EJ330+Sheet1!EK330</f>
        <v>11.5</v>
      </c>
      <c r="EG332" s="1019">
        <f t="shared" si="677"/>
        <v>17.790499999999998</v>
      </c>
      <c r="EH332" s="521">
        <f t="shared" si="744"/>
        <v>0</v>
      </c>
      <c r="EI332" s="535">
        <f>IF(Sheet1!ET330=1,SUM('Calculations II'!AT332:BA332)+'Calculations II'!BC332+Sheet1!BV330+'Calculations II'!BE332+AP332,'Calculations II'!BK332)</f>
        <v>43.648875307411103</v>
      </c>
      <c r="EJ332" s="535">
        <f ca="1">EI332+'Calculations II'!D332+'Calculations II'!E332+'Calculations II'!O332</f>
        <v>45.237567475656945</v>
      </c>
      <c r="EK332" s="535"/>
      <c r="EL332" s="535"/>
      <c r="EM332" s="535">
        <f t="shared" si="745"/>
        <v>43056</v>
      </c>
      <c r="EN332" s="535">
        <f t="shared" si="746"/>
        <v>0</v>
      </c>
      <c r="EO332" s="535">
        <f t="shared" si="747"/>
        <v>0</v>
      </c>
      <c r="EP332" s="535">
        <v>0</v>
      </c>
      <c r="EQ332" s="535">
        <v>0</v>
      </c>
      <c r="ER332" s="535">
        <v>0</v>
      </c>
      <c r="ES332" s="521">
        <f t="shared" si="797"/>
        <v>-1.3849759299413114</v>
      </c>
      <c r="ET332" s="535">
        <f>-(VLOOKUP(Sheet1!BQ330,Lookup!$O$4:$Q$262,2)-VLOOKUP(Sheet1!BQ329,Lookup!$O$4:$Q$262,2))/1000000</f>
        <v>-0.69235979378582913</v>
      </c>
      <c r="EU332" s="535">
        <f>-(VLOOKUP(Sheet1!BR330,Lookup!$O$4:$Q$262,3)-VLOOKUP(Sheet1!BR329,Lookup!$O$4:$Q$262,3))/1000000</f>
        <v>-0.69261613615548234</v>
      </c>
      <c r="EV332" s="535"/>
      <c r="EW332" s="535"/>
      <c r="EX332" s="535"/>
      <c r="EY332" s="535"/>
      <c r="EZ332" s="535"/>
      <c r="FA332" s="535"/>
      <c r="FB332" s="535"/>
      <c r="FC332" s="535"/>
      <c r="FD332" s="567">
        <f t="shared" si="786"/>
        <v>1081.6214285714016</v>
      </c>
      <c r="FE332" s="567" t="e">
        <f t="shared" si="748"/>
        <v>#N/A</v>
      </c>
      <c r="FF332" s="568" t="e">
        <f t="shared" si="749"/>
        <v>#N/A</v>
      </c>
      <c r="FG332" s="569" t="s">
        <v>656</v>
      </c>
      <c r="FH332" s="569" t="s">
        <v>656</v>
      </c>
      <c r="FI332" s="567" t="e">
        <v>#N/A</v>
      </c>
      <c r="FJ332" s="725">
        <v>1260</v>
      </c>
      <c r="FK332" s="535"/>
      <c r="FL332" s="1015">
        <f t="shared" si="785"/>
        <v>45.385779122541599</v>
      </c>
      <c r="FM332" s="535"/>
      <c r="FN332" s="535"/>
      <c r="FO332" s="535">
        <f>O332+((Sheet1!CS330)*GPMtoMGD)</f>
        <v>58.1</v>
      </c>
      <c r="FP332" s="535">
        <f>IF(Sheet1!AA330+AQ332&lt;=Calculation!N332,AQ332,Calculation!N332-Sheet1!AA330)</f>
        <v>17.752675307411103</v>
      </c>
      <c r="FQ332" s="535">
        <f>(Sheet1!BP330+Sheet1!BO330)/694.4</f>
        <v>2.2203341013824884</v>
      </c>
      <c r="FR332" s="541"/>
      <c r="FS332" s="541"/>
      <c r="FT332" s="541"/>
      <c r="FU332" s="541"/>
      <c r="FV332" s="1109">
        <f t="shared" si="798"/>
        <v>42918</v>
      </c>
      <c r="FW332" s="1109">
        <f t="shared" si="799"/>
        <v>43027</v>
      </c>
      <c r="FX332" s="541"/>
      <c r="FY332" s="541">
        <f>Sheet1!DA330-Sheet1!CZ330-Sheet1!AE330</f>
        <v>335.61351000000047</v>
      </c>
      <c r="FZ332" s="535">
        <f t="shared" si="678"/>
        <v>0.40003028851143024</v>
      </c>
      <c r="GA332" s="535"/>
      <c r="GB332" s="535" t="str">
        <f t="shared" si="800"/>
        <v>n</v>
      </c>
      <c r="GC332" s="539">
        <f t="shared" si="801"/>
        <v>42782</v>
      </c>
      <c r="GD332" s="1109">
        <f t="shared" si="802"/>
        <v>42904</v>
      </c>
      <c r="GE332" s="535">
        <f t="shared" ref="GE332:GE381" si="818">$GE$4</f>
        <v>6520</v>
      </c>
      <c r="GF332" s="1109">
        <f t="shared" si="803"/>
        <v>42909</v>
      </c>
      <c r="GG332" s="535">
        <f t="shared" si="691"/>
        <v>3260</v>
      </c>
      <c r="GH332" s="539">
        <f t="shared" si="804"/>
        <v>43040</v>
      </c>
      <c r="GJ332" s="521">
        <f t="shared" si="805"/>
        <v>0</v>
      </c>
      <c r="GK332" s="535" t="str">
        <f t="shared" si="750"/>
        <v/>
      </c>
      <c r="GL332" s="535">
        <f t="shared" si="806"/>
        <v>0</v>
      </c>
      <c r="GM332" s="535" t="str">
        <f t="shared" si="807"/>
        <v/>
      </c>
      <c r="GN332" s="535">
        <f>IF(GK332="P",Lookup!$M$12,IF(GK332="PP",Lookup!$M$13,IF(GK332="PPP",Lookup!$M$14,IF(GK332="T",Lookup!$M$15,IF(GK332="TP",Lookup!$M$16,IF(GK332="TPP",Lookup!$M$17,IF(GK332="TPPP",Lookup!$M$18,0)))))))*GJ332</f>
        <v>0</v>
      </c>
      <c r="GO332" s="535">
        <f t="shared" si="808"/>
        <v>0</v>
      </c>
      <c r="GP332" s="535">
        <f t="shared" si="751"/>
        <v>0</v>
      </c>
      <c r="GQ332" s="974">
        <f t="shared" si="695"/>
        <v>0</v>
      </c>
      <c r="GR332" s="535"/>
      <c r="GS332" s="535">
        <f t="shared" si="809"/>
        <v>0</v>
      </c>
      <c r="GT332" s="535" t="str">
        <f t="shared" si="810"/>
        <v/>
      </c>
      <c r="GU332" s="535">
        <f>IF(GK332="P",Lookup!$N$12,IF(GK332="PP",Lookup!$N$13,IF(GK332="PPP",Lookup!$N$14,IF(GK332="T",Lookup!$N$15,IF(GK332="TP",Lookup!$N$16,IF(GK332="TPP",Lookup!$N$17,IF(GK332="TPPP",Lookup!$N$18,0)))))))*GJ332</f>
        <v>0</v>
      </c>
      <c r="GV332" s="535">
        <f t="shared" si="811"/>
        <v>0</v>
      </c>
      <c r="GW332" s="535">
        <f t="shared" si="752"/>
        <v>0</v>
      </c>
      <c r="GX332" s="974">
        <f t="shared" si="696"/>
        <v>0</v>
      </c>
      <c r="GY332" s="535"/>
      <c r="GZ332" s="535">
        <f t="shared" si="812"/>
        <v>0</v>
      </c>
      <c r="HA332" s="535" t="str">
        <f t="shared" si="813"/>
        <v/>
      </c>
      <c r="HB332" s="535">
        <f>IF(GK332="P",Lookup!$N$12,IF(GK332="PP",Lookup!$N$13,IF(GK332="PPP",Lookup!$N$14,IF(GK332="T",Lookup!$N$15,IF(GK332="TP",Lookup!$N$16,IF(GK332="TPP",Lookup!$N$17,IF(GK332="TPPP",Lookup!$N$18,0)))))))*GJ332</f>
        <v>0</v>
      </c>
      <c r="HC332" s="521">
        <f t="shared" si="753"/>
        <v>0</v>
      </c>
      <c r="HD332" s="535">
        <f t="shared" si="754"/>
        <v>0</v>
      </c>
      <c r="HE332" s="535">
        <f t="shared" si="816"/>
        <v>0</v>
      </c>
      <c r="HF332" s="535"/>
      <c r="HG332" s="535">
        <f t="shared" si="814"/>
        <v>0</v>
      </c>
      <c r="HH332" s="535" t="str">
        <f t="shared" si="815"/>
        <v/>
      </c>
      <c r="HI332" s="535">
        <f>IF(GK332="P",Lookup!$N$12,IF(GK332="PP",Lookup!$N$13,IF(GK332="PPP",Lookup!$N$14,IF(GK332="T",Lookup!$N$15,IF(GK332="TP",Lookup!$N$16,IF(GK332="TPP",Lookup!$N$17,IF(GK332="TPPP",Lookup!$N$18,0)))))))*GJ332</f>
        <v>0</v>
      </c>
      <c r="HJ332" s="521">
        <f t="shared" si="755"/>
        <v>0</v>
      </c>
      <c r="HK332" s="535">
        <f t="shared" si="756"/>
        <v>0</v>
      </c>
      <c r="HL332" s="535">
        <f t="shared" si="817"/>
        <v>0</v>
      </c>
      <c r="HM332" s="535"/>
      <c r="HN332" s="541"/>
      <c r="HO332" s="541"/>
      <c r="HP332" s="541"/>
      <c r="HQ332" s="541">
        <f>IF(AND(B332&gt;=$FV$4,B332&lt;=$FW$4),MAX(110/1.02+$HQ$6+MIN(113/1.02,G332),IF($HV$6-(Sheet1!DA330-Sheet1!DB330)+MIN(113/1.02,G332)&lt;G332+FL332,$HV$6-(Sheet1!DA330-Sheet1!DB330)+MIN(113/1.02,G332),G332+FL332)),MIN(110/1.02+$HQ$6+113/1.02,G332))</f>
        <v>218.62745098039215</v>
      </c>
      <c r="HR332" s="541">
        <f t="shared" si="679"/>
        <v>223</v>
      </c>
      <c r="HS332" s="541">
        <f>HR332+(Sheet1!DA330-Sheet1!DB330)</f>
        <v>650</v>
      </c>
      <c r="HT332" s="541">
        <f t="shared" si="680"/>
        <v>0</v>
      </c>
      <c r="HU332" s="541">
        <f t="shared" si="681"/>
        <v>650</v>
      </c>
      <c r="HV332" s="541">
        <f t="shared" si="682"/>
        <v>0</v>
      </c>
      <c r="HW332" s="533" t="str">
        <f t="shared" si="683"/>
        <v/>
      </c>
      <c r="HX332" s="541">
        <f t="shared" si="684"/>
        <v>647.37254901960785</v>
      </c>
      <c r="HY332" s="541">
        <f>Sheet1!CZ330</f>
        <v>866</v>
      </c>
      <c r="HZ332" s="541">
        <f t="shared" si="685"/>
        <v>0</v>
      </c>
      <c r="IA332" s="541">
        <f t="shared" si="686"/>
        <v>0</v>
      </c>
      <c r="IB332" s="541">
        <f t="shared" si="687"/>
        <v>866</v>
      </c>
      <c r="IC332" s="1019" t="str">
        <f t="shared" si="688"/>
        <v/>
      </c>
      <c r="ID332" s="541">
        <f t="shared" si="689"/>
        <v>866</v>
      </c>
      <c r="IE332" s="541">
        <f>Sheet1!DB330</f>
        <v>853</v>
      </c>
      <c r="IF332" s="533">
        <f>Sheet1!DA330</f>
        <v>1280</v>
      </c>
      <c r="IH332" s="541">
        <f>IF(AND($B332&gt;=$GC332,$B332&lt;=$GH332,$DR332&lt;0)+N("only adjusted when pool is drawn down during storage season"),Sheet1!$DB330+$DR332+N("Palmer minus all storage release"),Sheet1!$DB330)</f>
        <v>853</v>
      </c>
      <c r="II332" s="541">
        <f>IF(AND($B332&gt;=$GC332,$B332&lt;=$GH332,$DR332&lt;0)+N("only adjusted when pool is drawn down during storage season"),Sheet1!$DA330+$DR332+N("Auburn minus all storage release"),Sheet1!$DA330)</f>
        <v>1280</v>
      </c>
    </row>
    <row r="333" spans="1:243" x14ac:dyDescent="0.25">
      <c r="A333" s="553" t="s">
        <v>9</v>
      </c>
      <c r="B333" s="531">
        <v>43057</v>
      </c>
      <c r="C333" s="536">
        <v>0</v>
      </c>
      <c r="D333" s="506">
        <f t="shared" si="787"/>
        <v>300</v>
      </c>
      <c r="E333" s="506">
        <f t="shared" si="788"/>
        <v>250</v>
      </c>
      <c r="F333" s="506">
        <v>250</v>
      </c>
      <c r="G333" s="535">
        <f>DR333+Sheet1!CZ331</f>
        <v>724.70297528974459</v>
      </c>
      <c r="H333" s="1074">
        <f t="shared" si="690"/>
        <v>408.37768582400003</v>
      </c>
      <c r="I333" s="534">
        <f>IF(Sheet1!DA331&gt;=E333,(Sheet1!DA331-E333+P333)*CFStoMGD,0)</f>
        <v>672.10888582400003</v>
      </c>
      <c r="J333" s="995">
        <f>IF(Sheet1!DB331&gt;=D333,(Sheet1!DB331-D333+P333)*CFStoMGD,0)</f>
        <v>408.37768582400003</v>
      </c>
      <c r="K333" s="818">
        <f t="shared" ref="K333:K381" si="819">MAX(MIN(H333:J333,100*CFStoMGD),0)</f>
        <v>64.64</v>
      </c>
      <c r="L333" s="535">
        <f>Sheet1!AA331+Sheet1!AB331-Sheet1!L331+(Sheet1!DA331-F333)*CFStoMGD-S333-T333-U333</f>
        <v>611.44000000000051</v>
      </c>
      <c r="M333" s="535">
        <f t="shared" si="697"/>
        <v>477.81696329183671</v>
      </c>
      <c r="N333" s="824">
        <f>IF(Sheet1!DA331&gt;=F333,MIN(113*CFStoMGD,MIN(MAX(L333,0),MAX(M333,0))),0)</f>
        <v>73.043199999999999</v>
      </c>
      <c r="O333" s="538">
        <f>Sheet1!AA331+Sheet1!AB331</f>
        <v>58.03</v>
      </c>
      <c r="P333" s="538">
        <f t="shared" si="698"/>
        <v>89.772410000000008</v>
      </c>
      <c r="Q333" s="812">
        <f t="shared" ref="Q333:Q381" si="820">IF(OR(Y333="FALSE",AND(B333&gt;=FV333,B333&lt;=FW333)),MIN(O333-S333-U333,N333),0)</f>
        <v>0</v>
      </c>
      <c r="R333" s="812">
        <f t="shared" si="789"/>
        <v>12.254555112881807</v>
      </c>
      <c r="S333" s="812">
        <f t="shared" si="790"/>
        <v>58.03</v>
      </c>
      <c r="T333" s="812">
        <f t="shared" si="791"/>
        <v>0</v>
      </c>
      <c r="U333" s="812">
        <f>IF(AND(B333&gt;=FV333,B333&lt;=FW333),ED333+Sheet1!EH331,0)</f>
        <v>0</v>
      </c>
      <c r="V333" s="812"/>
      <c r="W333" s="812">
        <f t="shared" si="792"/>
        <v>52.385444887118197</v>
      </c>
      <c r="X333" s="812">
        <f t="shared" si="793"/>
        <v>58.03</v>
      </c>
      <c r="Y333" s="812" t="str">
        <f t="shared" si="794"/>
        <v/>
      </c>
      <c r="Z333" s="812">
        <f t="shared" si="795"/>
        <v>58.03</v>
      </c>
      <c r="AA333" s="812">
        <f t="shared" si="796"/>
        <v>58.03</v>
      </c>
      <c r="AB333" s="1059">
        <f t="shared" ref="AB333:AB381" si="821">Q333*MGDtoCFS</f>
        <v>0</v>
      </c>
      <c r="AC333" s="538">
        <f>Sheet1!Y331*MGDtoCFS</f>
        <v>43.45523</v>
      </c>
      <c r="AD333" s="538">
        <f>Sheet1!Z331*MGDtoCFS</f>
        <v>46.255299999999998</v>
      </c>
      <c r="AE333" s="538">
        <f>Sheet1!AA331*MGDtoCFS</f>
        <v>43.424289999999999</v>
      </c>
      <c r="AF333" s="538">
        <f>Sheet1!AB331*MGDtoCFS</f>
        <v>46.348120000000002</v>
      </c>
      <c r="AG333" s="538">
        <f>Sheet1!L331*MGDtoCFS</f>
        <v>4.0840799999990995</v>
      </c>
      <c r="AH333" s="521">
        <f t="shared" si="699"/>
        <v>0</v>
      </c>
      <c r="AI333" s="1059">
        <f t="shared" si="700"/>
        <v>0</v>
      </c>
      <c r="AJ333" s="535">
        <f t="shared" si="701"/>
        <v>0</v>
      </c>
      <c r="AK333" s="535">
        <f t="shared" si="702"/>
        <v>0</v>
      </c>
      <c r="AL333" s="535">
        <f>(VLOOKUP(Sheet1!DC331,hhdcap_wcm,4)-(((VLOOKUP(Sheet1!DC331,hhdcap_wcm,3)-Sheet1!DC331)/(VLOOKUP(Sheet1!DC331,hhdcap_wcm,3)-VLOOKUP(Sheet1!DC331,hhdcap_wcm,1)))*(VLOOKUP(Sheet1!DC331,hhdcap_wcm,4)-VLOOKUP(Sheet1!DC331,hhdcap_wcm,2))))</f>
        <v>724.80000000240102</v>
      </c>
      <c r="AM333" s="535">
        <f t="shared" si="703"/>
        <v>-232.60000000043658</v>
      </c>
      <c r="AN333" s="1035">
        <f t="shared" si="704"/>
        <v>0</v>
      </c>
      <c r="AO333" s="535">
        <f t="shared" si="705"/>
        <v>0</v>
      </c>
      <c r="AP333" s="535">
        <f>Sheet1!BA331+Sheet1!BB331+Sheet1!BN331+CD333</f>
        <v>17.8</v>
      </c>
      <c r="AQ333" s="535">
        <f>Sheet1!BN331+(DO333*Sheet1!BN331)</f>
        <v>17.705444887118194</v>
      </c>
      <c r="AR333" s="535">
        <f>Sheet1!BA331+CD333</f>
        <v>0</v>
      </c>
      <c r="AS333" s="535">
        <f>Sheet1!BA331+Sheet1!BB331+CD333</f>
        <v>0</v>
      </c>
      <c r="AT333" s="649">
        <f>0</f>
        <v>0</v>
      </c>
      <c r="AU333" s="974">
        <f>BA333+MAX(Sheet1!EH331,(O333-Q333-ED333-S333))</f>
        <v>0</v>
      </c>
      <c r="AV333" s="535">
        <f>IF(OR(B333&gt;=GD333,B333&lt;GC333),0,15/36*K333-MAX(0,64.6-(137.6-(Sheet1!AA331+Sheet1!AB331))))</f>
        <v>0</v>
      </c>
      <c r="AW333" s="1029"/>
      <c r="AX333" s="649"/>
      <c r="AY333" s="649">
        <f t="shared" ref="AY333:AY381" si="822">AY332+BA333*MGtoAF</f>
        <v>23.311716569431731</v>
      </c>
      <c r="AZ333" s="649">
        <f t="shared" ref="AZ333:AZ381" si="823">BA333*1.547</f>
        <v>0</v>
      </c>
      <c r="BA333" s="1059">
        <f t="shared" ref="BA333:BA381" si="824">HV333/1.547</f>
        <v>0</v>
      </c>
      <c r="BB333" s="1019">
        <f t="shared" si="706"/>
        <v>0</v>
      </c>
      <c r="BC333" s="1041">
        <f t="shared" ref="BC333:BC381" si="825">K333*(15/36)</f>
        <v>26.933333333333334</v>
      </c>
      <c r="BD333" s="1019">
        <f ca="1">IF(B333&gt;(Summary!$A$1-1),#N/A,BB333*MGtoAF)</f>
        <v>0</v>
      </c>
      <c r="BE333" s="535">
        <f>Sheet1!BG331+Sheet1!BH331+Sheet1!BI331-BM333</f>
        <v>2.73</v>
      </c>
      <c r="BF333" s="535">
        <f t="shared" si="707"/>
        <v>2.7154980079681277</v>
      </c>
      <c r="BG333" s="535">
        <f>IF(Sheet1!EP331="FM",BM333,0)</f>
        <v>0</v>
      </c>
      <c r="BH333" s="535">
        <f t="shared" si="708"/>
        <v>0</v>
      </c>
      <c r="BI333" s="535">
        <f>IF(Sheet1!EP331="OTHER",BM333,0)</f>
        <v>0</v>
      </c>
      <c r="BJ333" s="535">
        <f t="shared" si="709"/>
        <v>0</v>
      </c>
      <c r="BK333" s="535">
        <f t="shared" si="710"/>
        <v>2.73</v>
      </c>
      <c r="BL333" s="535">
        <f t="shared" si="711"/>
        <v>2.7154980079681277</v>
      </c>
      <c r="BM333" s="535">
        <f>IF(OR(Sheet1!EP331="FM", Sheet1!EP331="OTHER"),SUM(Sheet1!BG331:'Sheet1'!BI331),0)</f>
        <v>0</v>
      </c>
      <c r="BN333" s="521">
        <f>IF(AND($B333&gt;=$FV333,$B333&lt;=$FW333),MAX(BF333,Sheet1!EI331,0),MAX(BF333-(7/36)*$K333,0))</f>
        <v>0</v>
      </c>
      <c r="BO333" s="535">
        <f t="shared" si="712"/>
        <v>0</v>
      </c>
      <c r="BP333" s="521">
        <f t="shared" si="713"/>
        <v>2.7154980079681277</v>
      </c>
      <c r="BQ333" s="521">
        <f>IF(AND($O333&gt;0,Sheet1!EM331=1),(1-($O333-Sheet1!$L331)/$O333)*BL333,0)</f>
        <v>0</v>
      </c>
      <c r="BR333" s="521">
        <f>IF(AND(Sheet1!$L331=0,Sheet1!$L330=0, Calculation!BK333&lt;Sheet1!$EI331-0.1,Sheet1!$EI331=Sheet1!$EI330,Sheet1!$EI331=Sheet1!$EI332),BL333-BQ333,BL333-BQ333)</f>
        <v>2.7154980079681277</v>
      </c>
      <c r="BS333" s="1035" t="str">
        <f t="shared" ref="BS333:BS381" si="826">IF(AND(B333&lt;=FV333,BR333&gt;BT333),BR333-BT333,"")</f>
        <v/>
      </c>
      <c r="BT333" s="1035">
        <f t="shared" ref="BT333:BT381" si="827">(7/36)*K333</f>
        <v>12.568888888888889</v>
      </c>
      <c r="BU333" s="535">
        <f t="shared" si="714"/>
        <v>0</v>
      </c>
      <c r="BV333" s="535"/>
      <c r="BW333" s="535">
        <f ca="1">IF(B333&gt;(Summary!$A$1-1),#N/A,BU333*MGtoAF)</f>
        <v>0</v>
      </c>
      <c r="BX333" s="535">
        <f>Sheet1!BC331+Sheet1!BD331+Sheet1!BE331+Sheet1!BF331-CG333-CH333</f>
        <v>2.99</v>
      </c>
      <c r="BY333" s="535">
        <f t="shared" si="715"/>
        <v>2.974116865869854</v>
      </c>
      <c r="BZ333" s="535">
        <f>IF(Sheet1!EQ331="FM",CH333,0)</f>
        <v>0</v>
      </c>
      <c r="CA333" s="535">
        <f t="shared" si="716"/>
        <v>0</v>
      </c>
      <c r="CB333" s="535">
        <f>IF(Sheet1!EQ331="OTHER",CH333,0)</f>
        <v>0</v>
      </c>
      <c r="CC333" s="535">
        <f t="shared" si="717"/>
        <v>0</v>
      </c>
      <c r="CD333" s="535">
        <f t="shared" si="718"/>
        <v>0</v>
      </c>
      <c r="CE333" s="535">
        <f t="shared" si="719"/>
        <v>2.99</v>
      </c>
      <c r="CF333" s="535">
        <f t="shared" si="720"/>
        <v>2.974116865869854</v>
      </c>
      <c r="CG333" s="535">
        <f>IF(Sheet1!EQ331="CWA",SUM(Sheet1!BC331:'Sheet1'!BF331),0)</f>
        <v>0</v>
      </c>
      <c r="CH333" s="535">
        <f>IF(OR(Sheet1!EQ331="FM", Sheet1!EQ331="OTHER"),SUM(Sheet1!BC331:'Sheet1'!BF331),0)</f>
        <v>0</v>
      </c>
      <c r="CI333" s="521">
        <f>IF(AND($B333&gt;=$FV333,$B333&lt;=$FW333),MAX(CF333,Sheet1!EJ331,0),MAX(CF333-(7/36)*$K333,0))</f>
        <v>0</v>
      </c>
      <c r="CJ333" s="535">
        <f t="shared" si="721"/>
        <v>0</v>
      </c>
      <c r="CK333" s="521">
        <f t="shared" si="722"/>
        <v>2.974116865869854</v>
      </c>
      <c r="CL333" s="521">
        <f>IF(AND($O333&gt;0,Sheet1!EN331=1),(1-($O333-Sheet1!$L331)/$O333)*CF333,0)</f>
        <v>0</v>
      </c>
      <c r="CM333" s="521">
        <f>IF(AND(Sheet1!$L331=0,Sheet1!$L330=0, Calculation!CE333&lt;Sheet1!EJ331-0.1,Sheet1!EJ331=Sheet1!EJ330,Sheet1!EJ331=Sheet1!EJ332),CF333-CL333,CF333-CL333)</f>
        <v>2.974116865869854</v>
      </c>
      <c r="CN333" s="1040" t="str">
        <f t="shared" ref="CN333:CN381" si="828">IF(AND(B333&lt;=FV333,CM333&gt;CO333),CM333-CO333,"")</f>
        <v/>
      </c>
      <c r="CO333" s="1035">
        <f t="shared" ref="CO333:CO381" si="829">(7/36)*K333</f>
        <v>12.568888888888889</v>
      </c>
      <c r="CP333" s="535">
        <f t="shared" si="723"/>
        <v>0</v>
      </c>
      <c r="CQ333" s="535"/>
      <c r="CR333" s="535">
        <f ca="1">IF(B333&gt;(Summary!$A$1-1),#N/A,CP333*MGtoAF)</f>
        <v>0</v>
      </c>
      <c r="CS333" s="535">
        <f>Sheet1!BK331+Sheet1!BL331+Sheet1!BM331-Sheet1!ER331-DA333</f>
        <v>6.6</v>
      </c>
      <c r="CT333" s="535">
        <f t="shared" si="724"/>
        <v>6.5649402390438247</v>
      </c>
      <c r="CU333" s="535">
        <f>IF(Sheet1!ER331="FM",DA333,0)</f>
        <v>0</v>
      </c>
      <c r="CV333" s="535">
        <f t="shared" si="725"/>
        <v>0</v>
      </c>
      <c r="CW333" s="535">
        <f>IF(Sheet1!ER331="OTHER",DA333,0)</f>
        <v>0</v>
      </c>
      <c r="CX333" s="535">
        <f t="shared" si="726"/>
        <v>0</v>
      </c>
      <c r="CY333" s="535">
        <f t="shared" si="727"/>
        <v>6.6</v>
      </c>
      <c r="CZ333" s="535">
        <f t="shared" si="728"/>
        <v>6.5649402390438247</v>
      </c>
      <c r="DA333" s="535">
        <f>IF(OR(Sheet1!ER331="FM", Sheet1!ER331="OTHER"),SUM(Sheet1!BK331:'Sheet1'!BM331),0)</f>
        <v>0</v>
      </c>
      <c r="DB333" s="1011">
        <f>IF(AND($B333&gt;=$FV333,$B333&lt;=$FW333),MAX($CT333,Sheet1!EK331,0),MAX($CT333-(7/36)*$K333,0))</f>
        <v>0</v>
      </c>
      <c r="DC333" s="1012">
        <f t="shared" si="729"/>
        <v>0</v>
      </c>
      <c r="DD333" s="1011">
        <f t="shared" si="730"/>
        <v>6.5649402390438247</v>
      </c>
      <c r="DE333" s="521">
        <f>IF(AND($O333&gt;0,Sheet1!EO331=1),(1-($O333-Sheet1!$L331)/$O333)*CZ333,0)</f>
        <v>0</v>
      </c>
      <c r="DF333" s="521">
        <f>IF(AND(Sheet1!$L331=0,Sheet1!$L330=0, Calculation!CY333&lt;Sheet1!$EK331-0.1,Sheet1!$EK331=Sheet1!$EK330,Sheet1!$EK331=Sheet1!$EK332),CZ333-DE333,CZ333-DE333)</f>
        <v>6.5649402390438247</v>
      </c>
      <c r="DG333" s="1040">
        <f t="shared" ref="DG333:DG381" si="830">(7/36)*K333</f>
        <v>12.568888888888889</v>
      </c>
      <c r="DH333" s="649">
        <f t="shared" si="731"/>
        <v>12.32</v>
      </c>
      <c r="DI333" s="535">
        <f t="shared" si="732"/>
        <v>0</v>
      </c>
      <c r="DJ333" s="649">
        <f t="shared" si="733"/>
        <v>12.254555112881807</v>
      </c>
      <c r="DK333" s="535">
        <f ca="1">IF(B333&gt;(Summary!$A$1-1),#N/A,DI333*MGtoAF)</f>
        <v>0</v>
      </c>
      <c r="DL333" s="649">
        <f t="shared" si="734"/>
        <v>12.32</v>
      </c>
      <c r="DM333" s="535">
        <f t="shared" si="735"/>
        <v>30.12</v>
      </c>
      <c r="DN333" s="535">
        <f>Sheet1!AB331-DM333</f>
        <v>-0.16000000000000014</v>
      </c>
      <c r="DO333" s="743">
        <f t="shared" si="736"/>
        <v>-5.3120849933598986E-3</v>
      </c>
      <c r="DP333" s="535">
        <f>(VLOOKUP(Sheet1!DC331,hhdcap_wcm,4)-(((VLOOKUP(Sheet1!DC331,hhdcap_wcm,3)-Sheet1!DC331)/(VLOOKUP(Sheet1!DC331,hhdcap_wcm,3)-VLOOKUP(Sheet1!DC331,hhdcap_wcm,1)))*(VLOOKUP(Sheet1!DC331,hhdcap_wcm,4)-VLOOKUP(Sheet1!DC331,hhdcap_wcm,2))))</f>
        <v>724.80000000240102</v>
      </c>
      <c r="DQ333" s="535">
        <f t="shared" si="737"/>
        <v>-232.60000000043658</v>
      </c>
      <c r="DR333" s="535">
        <f t="shared" si="738"/>
        <v>-117.29702471025544</v>
      </c>
      <c r="DS333" s="535">
        <f>Sheet1!EA331*AFtoMG</f>
        <v>0</v>
      </c>
      <c r="DT333" s="535">
        <f>Sheet1!EB331*AFtoMG</f>
        <v>0</v>
      </c>
      <c r="DU333" s="535">
        <f>Sheet1!EC331*AFtoMG</f>
        <v>0</v>
      </c>
      <c r="DV333" s="535">
        <f>Sheet1!ED331*AFtoMG</f>
        <v>0</v>
      </c>
      <c r="DW333" s="535">
        <f t="shared" si="739"/>
        <v>0</v>
      </c>
      <c r="DX333" s="535">
        <f t="shared" si="740"/>
        <v>0</v>
      </c>
      <c r="DY333" s="535">
        <f t="shared" si="741"/>
        <v>0</v>
      </c>
      <c r="DZ333" s="535">
        <f t="shared" si="742"/>
        <v>0</v>
      </c>
      <c r="EA333" s="535"/>
      <c r="EB333" s="521">
        <f>IF(OR(B333&lt;FV333,B333&gt;FW333),(MIN(BF333+BY333+CT333+MAX(Sheet1!AA331+AQ333-73,0),K333)),0)</f>
        <v>12.254555112881807</v>
      </c>
      <c r="EC333" s="535"/>
      <c r="ED333" s="535">
        <f t="shared" si="743"/>
        <v>12.254555112881807</v>
      </c>
      <c r="EE333" s="535"/>
      <c r="EF333" s="535">
        <f>Sheet1!EH331+Sheet1!EI331+Sheet1!EJ331+Sheet1!EK331</f>
        <v>11.5</v>
      </c>
      <c r="EG333" s="1019">
        <f t="shared" ref="EG333:EG381" si="831">EF333*1.547</f>
        <v>17.790499999999998</v>
      </c>
      <c r="EH333" s="521">
        <f t="shared" si="744"/>
        <v>0</v>
      </c>
      <c r="EI333" s="535">
        <f>IF(Sheet1!ET331=1,SUM('Calculations II'!AT333:BA333)+'Calculations II'!BC333+Sheet1!BV331+'Calculations II'!BE333+AP333,'Calculations II'!BK333)</f>
        <v>44.105794887118194</v>
      </c>
      <c r="EJ333" s="535">
        <f ca="1">EI333+'Calculations II'!D333+'Calculations II'!E333+'Calculations II'!O333</f>
        <v>46.440486560830529</v>
      </c>
      <c r="EK333" s="535"/>
      <c r="EL333" s="535"/>
      <c r="EM333" s="535">
        <f t="shared" si="745"/>
        <v>43057</v>
      </c>
      <c r="EN333" s="535">
        <f t="shared" si="746"/>
        <v>0</v>
      </c>
      <c r="EO333" s="535">
        <f t="shared" si="747"/>
        <v>0</v>
      </c>
      <c r="EP333" s="535">
        <v>0</v>
      </c>
      <c r="EQ333" s="535">
        <v>0</v>
      </c>
      <c r="ER333" s="535">
        <v>0</v>
      </c>
      <c r="ES333" s="521">
        <f t="shared" si="797"/>
        <v>-0.83113936988978465</v>
      </c>
      <c r="ET333" s="535">
        <f>-(VLOOKUP(Sheet1!BQ331,Lookup!$O$4:$Q$262,2)-VLOOKUP(Sheet1!BQ330,Lookup!$O$4:$Q$262,2))/1000000</f>
        <v>-0.41549277513958888</v>
      </c>
      <c r="EU333" s="535">
        <f>-(VLOOKUP(Sheet1!BR331,Lookup!$O$4:$Q$262,3)-VLOOKUP(Sheet1!BR330,Lookup!$O$4:$Q$262,3))/1000000</f>
        <v>-0.41564659475019572</v>
      </c>
      <c r="EV333" s="535"/>
      <c r="EW333" s="535"/>
      <c r="EX333" s="535"/>
      <c r="EY333" s="535"/>
      <c r="EZ333" s="535"/>
      <c r="FA333" s="535"/>
      <c r="FB333" s="535"/>
      <c r="FC333" s="535"/>
      <c r="FD333" s="567">
        <f t="shared" si="786"/>
        <v>1080.984615384589</v>
      </c>
      <c r="FE333" s="567" t="e">
        <f t="shared" si="748"/>
        <v>#N/A</v>
      </c>
      <c r="FF333" s="568" t="e">
        <f t="shared" si="749"/>
        <v>#N/A</v>
      </c>
      <c r="FG333" s="569" t="s">
        <v>656</v>
      </c>
      <c r="FH333" s="569" t="s">
        <v>656</v>
      </c>
      <c r="FI333" s="567" t="e">
        <v>#N/A</v>
      </c>
      <c r="FJ333" s="725">
        <v>1170</v>
      </c>
      <c r="FK333" s="535"/>
      <c r="FL333" s="1015">
        <f t="shared" si="785"/>
        <v>45.385779122541599</v>
      </c>
      <c r="FM333" s="535"/>
      <c r="FN333" s="535"/>
      <c r="FO333" s="535">
        <f>O333+((Sheet1!CS331)*GPMtoMGD)</f>
        <v>58.03</v>
      </c>
      <c r="FP333" s="535">
        <f>IF(Sheet1!AA331+AQ333&lt;=Calculation!N333,AQ333,Calculation!N333-Sheet1!AA331)</f>
        <v>17.705444887118194</v>
      </c>
      <c r="FQ333" s="535">
        <f>(Sheet1!BP331+Sheet1!BO331)/694.4</f>
        <v>1.6697868663594471</v>
      </c>
      <c r="FR333" s="541"/>
      <c r="FS333" s="541"/>
      <c r="FT333" s="541"/>
      <c r="FU333" s="541"/>
      <c r="FV333" s="1109">
        <f t="shared" si="798"/>
        <v>42918</v>
      </c>
      <c r="FW333" s="1109">
        <f t="shared" si="799"/>
        <v>43027</v>
      </c>
      <c r="FX333" s="541"/>
      <c r="FY333" s="541">
        <f>Sheet1!DA331-Sheet1!CZ331-Sheet1!AE331</f>
        <v>272.31166999999914</v>
      </c>
      <c r="FZ333" s="535">
        <f t="shared" ref="FZ333:FZ381" si="832">FY333/G333</f>
        <v>0.37575624674526248</v>
      </c>
      <c r="GA333" s="535"/>
      <c r="GB333" s="535" t="str">
        <f t="shared" si="800"/>
        <v>n</v>
      </c>
      <c r="GC333" s="539">
        <f t="shared" si="801"/>
        <v>42782</v>
      </c>
      <c r="GD333" s="1109">
        <f t="shared" si="802"/>
        <v>42904</v>
      </c>
      <c r="GE333" s="535">
        <f t="shared" si="818"/>
        <v>6520</v>
      </c>
      <c r="GF333" s="1109">
        <f t="shared" si="803"/>
        <v>42909</v>
      </c>
      <c r="GG333" s="535">
        <f t="shared" si="691"/>
        <v>3260</v>
      </c>
      <c r="GH333" s="539">
        <f t="shared" si="804"/>
        <v>43040</v>
      </c>
      <c r="GJ333" s="521">
        <f t="shared" si="805"/>
        <v>0</v>
      </c>
      <c r="GK333" s="535" t="str">
        <f t="shared" si="750"/>
        <v/>
      </c>
      <c r="GL333" s="535">
        <f t="shared" si="806"/>
        <v>0</v>
      </c>
      <c r="GM333" s="535" t="str">
        <f t="shared" si="807"/>
        <v/>
      </c>
      <c r="GN333" s="535">
        <f>IF(GK333="P",Lookup!$M$12,IF(GK333="PP",Lookup!$M$13,IF(GK333="PPP",Lookup!$M$14,IF(GK333="T",Lookup!$M$15,IF(GK333="TP",Lookup!$M$16,IF(GK333="TPP",Lookup!$M$17,IF(GK333="TPPP",Lookup!$M$18,0)))))))*GJ333</f>
        <v>0</v>
      </c>
      <c r="GO333" s="535">
        <f t="shared" si="808"/>
        <v>0</v>
      </c>
      <c r="GP333" s="535">
        <f t="shared" si="751"/>
        <v>0</v>
      </c>
      <c r="GQ333" s="974">
        <f t="shared" si="695"/>
        <v>0</v>
      </c>
      <c r="GR333" s="535"/>
      <c r="GS333" s="535">
        <f t="shared" si="809"/>
        <v>0</v>
      </c>
      <c r="GT333" s="535" t="str">
        <f t="shared" si="810"/>
        <v/>
      </c>
      <c r="GU333" s="535">
        <f>IF(GK333="P",Lookup!$N$12,IF(GK333="PP",Lookup!$N$13,IF(GK333="PPP",Lookup!$N$14,IF(GK333="T",Lookup!$N$15,IF(GK333="TP",Lookup!$N$16,IF(GK333="TPP",Lookup!$N$17,IF(GK333="TPPP",Lookup!$N$18,0)))))))*GJ333</f>
        <v>0</v>
      </c>
      <c r="GV333" s="535">
        <f t="shared" si="811"/>
        <v>0</v>
      </c>
      <c r="GW333" s="535">
        <f t="shared" si="752"/>
        <v>0</v>
      </c>
      <c r="GX333" s="974">
        <f t="shared" si="696"/>
        <v>0</v>
      </c>
      <c r="GY333" s="535"/>
      <c r="GZ333" s="535">
        <f t="shared" si="812"/>
        <v>0</v>
      </c>
      <c r="HA333" s="535" t="str">
        <f t="shared" si="813"/>
        <v/>
      </c>
      <c r="HB333" s="535">
        <f>IF(GK333="P",Lookup!$N$12,IF(GK333="PP",Lookup!$N$13,IF(GK333="PPP",Lookup!$N$14,IF(GK333="T",Lookup!$N$15,IF(GK333="TP",Lookup!$N$16,IF(GK333="TPP",Lookup!$N$17,IF(GK333="TPPP",Lookup!$N$18,0)))))))*GJ333</f>
        <v>0</v>
      </c>
      <c r="HC333" s="521">
        <f t="shared" si="753"/>
        <v>0</v>
      </c>
      <c r="HD333" s="535">
        <f t="shared" si="754"/>
        <v>0</v>
      </c>
      <c r="HE333" s="535">
        <f t="shared" si="816"/>
        <v>0</v>
      </c>
      <c r="HF333" s="535"/>
      <c r="HG333" s="535">
        <f t="shared" si="814"/>
        <v>0</v>
      </c>
      <c r="HH333" s="535" t="str">
        <f t="shared" si="815"/>
        <v/>
      </c>
      <c r="HI333" s="535">
        <f>IF(GK333="P",Lookup!$N$12,IF(GK333="PP",Lookup!$N$13,IF(GK333="PPP",Lookup!$N$14,IF(GK333="T",Lookup!$N$15,IF(GK333="TP",Lookup!$N$16,IF(GK333="TPP",Lookup!$N$17,IF(GK333="TPPP",Lookup!$N$18,0)))))))*GJ333</f>
        <v>0</v>
      </c>
      <c r="HJ333" s="521">
        <f t="shared" si="755"/>
        <v>0</v>
      </c>
      <c r="HK333" s="535">
        <f t="shared" si="756"/>
        <v>0</v>
      </c>
      <c r="HL333" s="535">
        <f t="shared" si="817"/>
        <v>0</v>
      </c>
      <c r="HM333" s="535"/>
      <c r="HN333" s="541"/>
      <c r="HO333" s="541"/>
      <c r="HP333" s="541"/>
      <c r="HQ333" s="541">
        <f>IF(AND(B333&gt;=$FV$4,B333&lt;=$FW$4),MAX(110/1.02+$HQ$6+MIN(113/1.02,G333),IF($HV$6-(Sheet1!DA331-Sheet1!DB331)+MIN(113/1.02,G333)&lt;G333+FL333,$HV$6-(Sheet1!DA331-Sheet1!DB331)+MIN(113/1.02,G333),G333+FL333)),MIN(110/1.02+$HQ$6+113/1.02,G333))</f>
        <v>218.62745098039215</v>
      </c>
      <c r="HR333" s="541">
        <f t="shared" ref="HR333:HR376" si="833">HQ333*1.02</f>
        <v>223</v>
      </c>
      <c r="HS333" s="541">
        <f>HR333+(Sheet1!DA331-Sheet1!DB331)</f>
        <v>581</v>
      </c>
      <c r="HT333" s="541">
        <f t="shared" ref="HT333:HT376" si="834">AB333</f>
        <v>0</v>
      </c>
      <c r="HU333" s="541">
        <f t="shared" ref="HU333:HU376" si="835">HS333-HT333</f>
        <v>581</v>
      </c>
      <c r="HV333" s="541">
        <f t="shared" ref="HV333:HV376" si="836">MAX($HV$6-HU333,0)</f>
        <v>0</v>
      </c>
      <c r="HW333" s="533" t="str">
        <f t="shared" ref="HW333:HW376" si="837">IF(IB333-HQ333&lt;0,HQ333-IB333,"")</f>
        <v/>
      </c>
      <c r="HX333" s="541">
        <f t="shared" ref="HX333:HX376" si="838">IF(IB333-HQ333&gt;0,IB333-HQ333,"")</f>
        <v>623.37254901960785</v>
      </c>
      <c r="HY333" s="541">
        <f>Sheet1!CZ331</f>
        <v>842</v>
      </c>
      <c r="HZ333" s="541">
        <f t="shared" ref="HZ333:HZ376" si="839">AI333</f>
        <v>0</v>
      </c>
      <c r="IA333" s="541">
        <f t="shared" ref="IA333:IA376" si="840">AB333</f>
        <v>0</v>
      </c>
      <c r="IB333" s="541">
        <f t="shared" ref="IB333:IB376" si="841">HY333-HZ333</f>
        <v>842</v>
      </c>
      <c r="IC333" s="1019" t="str">
        <f t="shared" ref="IC333:IC376" si="842">IF(IB333-HQ333&lt;0,"YES","")</f>
        <v/>
      </c>
      <c r="ID333" s="541">
        <f t="shared" ref="ID333:ID376" si="843">HY333-HZ333-IA333</f>
        <v>842</v>
      </c>
      <c r="IE333" s="541">
        <f>Sheet1!DB331</f>
        <v>842</v>
      </c>
      <c r="IF333" s="533">
        <f>Sheet1!DA331</f>
        <v>1200</v>
      </c>
      <c r="IH333" s="541">
        <f>IF(AND($B333&gt;=$GC333,$B333&lt;=$GH333,$DR333&lt;0)+N("only adjusted when pool is drawn down during storage season"),Sheet1!$DB331+$DR333+N("Palmer minus all storage release"),Sheet1!$DB331)</f>
        <v>842</v>
      </c>
      <c r="II333" s="541">
        <f>IF(AND($B333&gt;=$GC333,$B333&lt;=$GH333,$DR333&lt;0)+N("only adjusted when pool is drawn down during storage season"),Sheet1!$DA331+$DR333+N("Auburn minus all storage release"),Sheet1!$DA331)</f>
        <v>1200</v>
      </c>
    </row>
    <row r="334" spans="1:243" x14ac:dyDescent="0.25">
      <c r="A334" s="553" t="s">
        <v>3</v>
      </c>
      <c r="B334" s="531">
        <v>43058</v>
      </c>
      <c r="C334" s="536">
        <v>0</v>
      </c>
      <c r="D334" s="506">
        <f t="shared" si="787"/>
        <v>300</v>
      </c>
      <c r="E334" s="506">
        <f t="shared" si="788"/>
        <v>250</v>
      </c>
      <c r="F334" s="506">
        <v>250</v>
      </c>
      <c r="G334" s="535">
        <f>DR334+Sheet1!CZ332</f>
        <v>703.68129097336111</v>
      </c>
      <c r="H334" s="1074">
        <f t="shared" ref="H334:H381" si="844">MIN(IF($II334&gt;=$E334,($II334-$E334+$P334)*CFStoMGD,0),IF($IH334&gt;=$D334,($IH334-$D334+$P334)*CFStoMGD,0))</f>
        <v>262.36128447999999</v>
      </c>
      <c r="I334" s="534">
        <f>IF(Sheet1!DA332&gt;=E334,(Sheet1!DA332-E334+P334)*CFStoMGD,0)</f>
        <v>562.29088447999993</v>
      </c>
      <c r="J334" s="995">
        <f>IF(Sheet1!DB332&gt;=D334,(Sheet1!DB332-D334+P334)*CFStoMGD,0)</f>
        <v>262.36128447999999</v>
      </c>
      <c r="K334" s="818">
        <f t="shared" si="819"/>
        <v>64.64</v>
      </c>
      <c r="L334" s="535">
        <f>Sheet1!AA332+Sheet1!AB332-Sheet1!L332+(Sheet1!DA332-F334)*CFStoMGD-S334-T334-U334</f>
        <v>476.90199999999913</v>
      </c>
      <c r="M334" s="535">
        <f t="shared" si="697"/>
        <v>463.95677821488425</v>
      </c>
      <c r="N334" s="824">
        <f>IF(Sheet1!DA332&gt;=F334,MIN(113*CFStoMGD,MIN(MAX(L334,0),MAX(M334,0))),0)</f>
        <v>73.043199999999999</v>
      </c>
      <c r="O334" s="538">
        <f>Sheet1!AA332+Sheet1!AB332</f>
        <v>58.1</v>
      </c>
      <c r="P334" s="538">
        <f t="shared" si="698"/>
        <v>89.88069999999999</v>
      </c>
      <c r="Q334" s="812">
        <f t="shared" si="820"/>
        <v>0</v>
      </c>
      <c r="R334" s="812">
        <f t="shared" si="789"/>
        <v>11.547619047619047</v>
      </c>
      <c r="S334" s="812">
        <f t="shared" si="790"/>
        <v>58.1</v>
      </c>
      <c r="T334" s="812">
        <f t="shared" si="791"/>
        <v>0</v>
      </c>
      <c r="U334" s="812">
        <f>IF(AND(B334&gt;=FV334,B334&lt;=FW334),ED334+Sheet1!EH332,0)</f>
        <v>0</v>
      </c>
      <c r="V334" s="812"/>
      <c r="W334" s="812">
        <f t="shared" si="792"/>
        <v>53.09238095238095</v>
      </c>
      <c r="X334" s="812">
        <f t="shared" si="793"/>
        <v>58.1</v>
      </c>
      <c r="Y334" s="812" t="str">
        <f t="shared" si="794"/>
        <v/>
      </c>
      <c r="Z334" s="812">
        <f t="shared" si="795"/>
        <v>58.1</v>
      </c>
      <c r="AA334" s="812">
        <f t="shared" si="796"/>
        <v>58.1</v>
      </c>
      <c r="AB334" s="1059">
        <f t="shared" si="821"/>
        <v>0</v>
      </c>
      <c r="AC334" s="538">
        <f>Sheet1!Y332*MGDtoCFS</f>
        <v>43.424289999999999</v>
      </c>
      <c r="AD334" s="538">
        <f>Sheet1!Z332*MGDtoCFS</f>
        <v>46.348120000000002</v>
      </c>
      <c r="AE334" s="538">
        <f>Sheet1!AA332*MGDtoCFS</f>
        <v>43.470700000000001</v>
      </c>
      <c r="AF334" s="538">
        <f>Sheet1!AB332*MGDtoCFS</f>
        <v>46.41</v>
      </c>
      <c r="AG334" s="538">
        <f>Sheet1!L332*MGDtoCFS</f>
        <v>42.21763000000135</v>
      </c>
      <c r="AH334" s="521">
        <f t="shared" si="699"/>
        <v>0</v>
      </c>
      <c r="AI334" s="1059">
        <f t="shared" si="700"/>
        <v>0</v>
      </c>
      <c r="AJ334" s="535">
        <f t="shared" si="701"/>
        <v>0</v>
      </c>
      <c r="AK334" s="535">
        <f t="shared" si="702"/>
        <v>0</v>
      </c>
      <c r="AL334" s="535">
        <f>(VLOOKUP(Sheet1!DC332,hhdcap_wcm,4)-(((VLOOKUP(Sheet1!DC332,hhdcap_wcm,3)-Sheet1!DC332)/(VLOOKUP(Sheet1!DC332,hhdcap_wcm,3)-VLOOKUP(Sheet1!DC332,hhdcap_wcm,1)))*(VLOOKUP(Sheet1!DC332,hhdcap_wcm,4)-VLOOKUP(Sheet1!DC332,hhdcap_wcm,2))))</f>
        <v>930.40000000257612</v>
      </c>
      <c r="AM334" s="535">
        <f t="shared" si="703"/>
        <v>205.6000000001751</v>
      </c>
      <c r="AN334" s="1035">
        <f t="shared" si="704"/>
        <v>0</v>
      </c>
      <c r="AO334" s="535">
        <f t="shared" si="705"/>
        <v>0</v>
      </c>
      <c r="AP334" s="535">
        <f>Sheet1!BA332+Sheet1!BB332+Sheet1!BN332+CD334</f>
        <v>18.600000000000001</v>
      </c>
      <c r="AQ334" s="535">
        <f>Sheet1!BN332+(DO334*Sheet1!BN332)</f>
        <v>18.452380952380953</v>
      </c>
      <c r="AR334" s="535">
        <f>Sheet1!BA332+CD334</f>
        <v>0</v>
      </c>
      <c r="AS334" s="535">
        <f>Sheet1!BA332+Sheet1!BB332+CD334</f>
        <v>0</v>
      </c>
      <c r="AT334" s="649">
        <f>0</f>
        <v>0</v>
      </c>
      <c r="AU334" s="974">
        <f>BA334+MAX(Sheet1!EH332,(O334-Q334-ED334-S334))</f>
        <v>0</v>
      </c>
      <c r="AV334" s="535">
        <f>IF(OR(B334&gt;=GD334,B334&lt;GC334),0,15/36*K334-MAX(0,64.6-(137.6-(Sheet1!AA332+Sheet1!AB332))))</f>
        <v>0</v>
      </c>
      <c r="AW334" s="1029"/>
      <c r="AX334" s="649"/>
      <c r="AY334" s="649">
        <f t="shared" si="822"/>
        <v>23.311716569431731</v>
      </c>
      <c r="AZ334" s="649">
        <f t="shared" si="823"/>
        <v>0</v>
      </c>
      <c r="BA334" s="1059">
        <f t="shared" si="824"/>
        <v>0</v>
      </c>
      <c r="BB334" s="1019">
        <f t="shared" si="706"/>
        <v>0</v>
      </c>
      <c r="BC334" s="1041">
        <f t="shared" si="825"/>
        <v>26.933333333333334</v>
      </c>
      <c r="BD334" s="1019">
        <f ca="1">IF(B334&gt;(Summary!$A$1-1),#N/A,BB334*MGtoAF)</f>
        <v>0</v>
      </c>
      <c r="BE334" s="535">
        <f>Sheet1!BG332+Sheet1!BH332+Sheet1!BI332-BM334</f>
        <v>2.79</v>
      </c>
      <c r="BF334" s="535">
        <f t="shared" si="707"/>
        <v>2.7678571428571428</v>
      </c>
      <c r="BG334" s="535">
        <f>IF(Sheet1!EP332="FM",BM334,0)</f>
        <v>0</v>
      </c>
      <c r="BH334" s="535">
        <f t="shared" si="708"/>
        <v>0</v>
      </c>
      <c r="BI334" s="535">
        <f>IF(Sheet1!EP332="OTHER",BM334,0)</f>
        <v>0</v>
      </c>
      <c r="BJ334" s="535">
        <f t="shared" si="709"/>
        <v>0</v>
      </c>
      <c r="BK334" s="535">
        <f t="shared" si="710"/>
        <v>2.79</v>
      </c>
      <c r="BL334" s="535">
        <f t="shared" si="711"/>
        <v>2.7678571428571428</v>
      </c>
      <c r="BM334" s="535">
        <f>IF(OR(Sheet1!EP332="FM", Sheet1!EP332="OTHER"),SUM(Sheet1!BG332:'Sheet1'!BI332),0)</f>
        <v>0</v>
      </c>
      <c r="BN334" s="521">
        <f>IF(AND($B334&gt;=$FV334,$B334&lt;=$FW334),MAX(BF334,Sheet1!EI332,0),MAX(BF334-(7/36)*$K334,0))</f>
        <v>0</v>
      </c>
      <c r="BO334" s="535">
        <f t="shared" si="712"/>
        <v>0</v>
      </c>
      <c r="BP334" s="521">
        <f t="shared" si="713"/>
        <v>2.7678571428571428</v>
      </c>
      <c r="BQ334" s="521">
        <f>IF(AND($O334&gt;0,Sheet1!EM332=1),(1-($O334-Sheet1!$L332)/$O334)*BL334,0)</f>
        <v>0</v>
      </c>
      <c r="BR334" s="521">
        <f>IF(AND(Sheet1!$L332=0,Sheet1!$L331=0, Calculation!BK334&lt;Sheet1!$EI332-0.1,Sheet1!$EI332=Sheet1!$EI331,Sheet1!$EI332=Sheet1!$EI333),BL334-BQ334,BL334-BQ334)</f>
        <v>2.7678571428571428</v>
      </c>
      <c r="BS334" s="1035" t="str">
        <f t="shared" si="826"/>
        <v/>
      </c>
      <c r="BT334" s="1035">
        <f t="shared" si="827"/>
        <v>12.568888888888889</v>
      </c>
      <c r="BU334" s="535">
        <f t="shared" si="714"/>
        <v>0</v>
      </c>
      <c r="BV334" s="535"/>
      <c r="BW334" s="535">
        <f ca="1">IF(B334&gt;(Summary!$A$1-1),#N/A,BU334*MGtoAF)</f>
        <v>0</v>
      </c>
      <c r="BX334" s="535">
        <f>Sheet1!BC332+Sheet1!BD332+Sheet1!BE332+Sheet1!BF332-CG334-CH334</f>
        <v>2.99</v>
      </c>
      <c r="BY334" s="535">
        <f t="shared" si="715"/>
        <v>2.9662698412698414</v>
      </c>
      <c r="BZ334" s="535">
        <f>IF(Sheet1!EQ332="FM",CH334,0)</f>
        <v>0</v>
      </c>
      <c r="CA334" s="535">
        <f t="shared" si="716"/>
        <v>0</v>
      </c>
      <c r="CB334" s="535">
        <f>IF(Sheet1!EQ332="OTHER",CH334,0)</f>
        <v>0</v>
      </c>
      <c r="CC334" s="535">
        <f t="shared" si="717"/>
        <v>0</v>
      </c>
      <c r="CD334" s="535">
        <f t="shared" si="718"/>
        <v>0</v>
      </c>
      <c r="CE334" s="535">
        <f t="shared" si="719"/>
        <v>2.99</v>
      </c>
      <c r="CF334" s="535">
        <f t="shared" si="720"/>
        <v>2.9662698412698414</v>
      </c>
      <c r="CG334" s="535">
        <f>IF(Sheet1!EQ332="CWA",SUM(Sheet1!BC332:'Sheet1'!BF332),0)</f>
        <v>0</v>
      </c>
      <c r="CH334" s="535">
        <f>IF(OR(Sheet1!EQ332="FM", Sheet1!EQ332="OTHER"),SUM(Sheet1!BC332:'Sheet1'!BF332),0)</f>
        <v>0</v>
      </c>
      <c r="CI334" s="521">
        <f>IF(AND($B334&gt;=$FV334,$B334&lt;=$FW334),MAX(CF334,Sheet1!EJ332,0),MAX(CF334-(7/36)*$K334,0))</f>
        <v>0</v>
      </c>
      <c r="CJ334" s="535">
        <f t="shared" si="721"/>
        <v>0</v>
      </c>
      <c r="CK334" s="521">
        <f t="shared" si="722"/>
        <v>2.9662698412698414</v>
      </c>
      <c r="CL334" s="521">
        <f>IF(AND($O334&gt;0,Sheet1!EN332=1),(1-($O334-Sheet1!$L332)/$O334)*CF334,0)</f>
        <v>0</v>
      </c>
      <c r="CM334" s="521">
        <f>IF(AND(Sheet1!$L332=0,Sheet1!$L331=0, Calculation!CE334&lt;Sheet1!EJ332-0.1,Sheet1!EJ332=Sheet1!EJ331,Sheet1!EJ332=Sheet1!EJ333),CF334-CL334,CF334-CL334)</f>
        <v>2.9662698412698414</v>
      </c>
      <c r="CN334" s="1040" t="str">
        <f t="shared" si="828"/>
        <v/>
      </c>
      <c r="CO334" s="1035">
        <f t="shared" si="829"/>
        <v>12.568888888888889</v>
      </c>
      <c r="CP334" s="535">
        <f t="shared" si="723"/>
        <v>0</v>
      </c>
      <c r="CQ334" s="535"/>
      <c r="CR334" s="535">
        <f ca="1">IF(B334&gt;(Summary!$A$1-1),#N/A,CP334*MGtoAF)</f>
        <v>0</v>
      </c>
      <c r="CS334" s="535">
        <f>Sheet1!BK332+Sheet1!BL332+Sheet1!BM332-Sheet1!ER332-DA334</f>
        <v>5.8599999999999994</v>
      </c>
      <c r="CT334" s="535">
        <f t="shared" si="724"/>
        <v>5.8134920634920624</v>
      </c>
      <c r="CU334" s="535">
        <f>IF(Sheet1!ER332="FM",DA334,0)</f>
        <v>0</v>
      </c>
      <c r="CV334" s="535">
        <f t="shared" si="725"/>
        <v>0</v>
      </c>
      <c r="CW334" s="535">
        <f>IF(Sheet1!ER332="OTHER",DA334,0)</f>
        <v>0</v>
      </c>
      <c r="CX334" s="535">
        <f t="shared" si="726"/>
        <v>0</v>
      </c>
      <c r="CY334" s="535">
        <f t="shared" si="727"/>
        <v>5.8599999999999994</v>
      </c>
      <c r="CZ334" s="535">
        <f t="shared" si="728"/>
        <v>5.8134920634920624</v>
      </c>
      <c r="DA334" s="535">
        <f>IF(OR(Sheet1!ER332="FM", Sheet1!ER332="OTHER"),SUM(Sheet1!BK332:'Sheet1'!BM332),0)</f>
        <v>0</v>
      </c>
      <c r="DB334" s="1011">
        <f>IF(AND($B334&gt;=$FV334,$B334&lt;=$FW334),MAX($CT334,Sheet1!EK332,0),MAX($CT334-(7/36)*$K334,0))</f>
        <v>0</v>
      </c>
      <c r="DC334" s="1012">
        <f t="shared" si="729"/>
        <v>0</v>
      </c>
      <c r="DD334" s="1011">
        <f t="shared" si="730"/>
        <v>5.8134920634920624</v>
      </c>
      <c r="DE334" s="521">
        <f>IF(AND($O334&gt;0,Sheet1!EO332=1),(1-($O334-Sheet1!$L332)/$O334)*CZ334,0)</f>
        <v>0</v>
      </c>
      <c r="DF334" s="521">
        <f>IF(AND(Sheet1!$L332=0,Sheet1!$L331=0, Calculation!CY334&lt;Sheet1!$EK332-0.1,Sheet1!$EK332=Sheet1!$EK331,Sheet1!$EK332=Sheet1!$EK333),CZ334-DE334,CZ334-DE334)</f>
        <v>5.8134920634920624</v>
      </c>
      <c r="DG334" s="1040">
        <f t="shared" si="830"/>
        <v>12.568888888888889</v>
      </c>
      <c r="DH334" s="649">
        <f t="shared" si="731"/>
        <v>11.64</v>
      </c>
      <c r="DI334" s="535">
        <f t="shared" si="732"/>
        <v>0</v>
      </c>
      <c r="DJ334" s="649">
        <f t="shared" si="733"/>
        <v>11.547619047619047</v>
      </c>
      <c r="DK334" s="535">
        <f ca="1">IF(B334&gt;(Summary!$A$1-1),#N/A,DI334*MGtoAF)</f>
        <v>0</v>
      </c>
      <c r="DL334" s="649">
        <f t="shared" si="734"/>
        <v>11.64</v>
      </c>
      <c r="DM334" s="535">
        <f t="shared" si="735"/>
        <v>30.240000000000002</v>
      </c>
      <c r="DN334" s="535">
        <f>Sheet1!AB332-DM334</f>
        <v>-0.24000000000000199</v>
      </c>
      <c r="DO334" s="743">
        <f t="shared" si="736"/>
        <v>-7.936507936508002E-3</v>
      </c>
      <c r="DP334" s="535">
        <f>(VLOOKUP(Sheet1!DC332,hhdcap_wcm,4)-(((VLOOKUP(Sheet1!DC332,hhdcap_wcm,3)-Sheet1!DC332)/(VLOOKUP(Sheet1!DC332,hhdcap_wcm,3)-VLOOKUP(Sheet1!DC332,hhdcap_wcm,1)))*(VLOOKUP(Sheet1!DC332,hhdcap_wcm,4)-VLOOKUP(Sheet1!DC332,hhdcap_wcm,2))))</f>
        <v>930.40000000257612</v>
      </c>
      <c r="DQ334" s="535">
        <f t="shared" si="737"/>
        <v>205.6000000001751</v>
      </c>
      <c r="DR334" s="535">
        <f t="shared" si="738"/>
        <v>103.6812909733611</v>
      </c>
      <c r="DS334" s="535">
        <f>Sheet1!EA332*AFtoMG</f>
        <v>0</v>
      </c>
      <c r="DT334" s="535">
        <f>Sheet1!EB332*AFtoMG</f>
        <v>0</v>
      </c>
      <c r="DU334" s="535">
        <f>Sheet1!EC332*AFtoMG</f>
        <v>0</v>
      </c>
      <c r="DV334" s="535">
        <f>Sheet1!ED332*AFtoMG</f>
        <v>0</v>
      </c>
      <c r="DW334" s="535">
        <f t="shared" si="739"/>
        <v>0</v>
      </c>
      <c r="DX334" s="535">
        <f t="shared" si="740"/>
        <v>0</v>
      </c>
      <c r="DY334" s="535">
        <f t="shared" si="741"/>
        <v>0</v>
      </c>
      <c r="DZ334" s="535">
        <f t="shared" si="742"/>
        <v>0</v>
      </c>
      <c r="EA334" s="535"/>
      <c r="EB334" s="521">
        <f>IF(OR(B334&lt;FV334,B334&gt;FW334),(MIN(BF334+BY334+CT334+MAX(Sheet1!AA332+AQ334-73,0),K334)),0)</f>
        <v>11.547619047619047</v>
      </c>
      <c r="EC334" s="535"/>
      <c r="ED334" s="535">
        <f t="shared" si="743"/>
        <v>11.547619047619047</v>
      </c>
      <c r="EE334" s="535"/>
      <c r="EF334" s="535">
        <f>Sheet1!EH332+Sheet1!EI332+Sheet1!EJ332+Sheet1!EK332</f>
        <v>11.5</v>
      </c>
      <c r="EG334" s="1019">
        <f t="shared" si="831"/>
        <v>17.790499999999998</v>
      </c>
      <c r="EH334" s="521">
        <f t="shared" si="744"/>
        <v>0</v>
      </c>
      <c r="EI334" s="535">
        <f>IF(Sheet1!ET332=1,SUM('Calculations II'!AT334:BA334)+'Calculations II'!BC334+Sheet1!BV332+'Calculations II'!BE334+AP334,'Calculations II'!BK334)</f>
        <v>49.123790952380958</v>
      </c>
      <c r="EJ334" s="535">
        <f ca="1">EI334+'Calculations II'!D334+'Calculations II'!E334+'Calculations II'!O334</f>
        <v>43.947061285038714</v>
      </c>
      <c r="EK334" s="535"/>
      <c r="EL334" s="535"/>
      <c r="EM334" s="535">
        <f t="shared" si="745"/>
        <v>43058</v>
      </c>
      <c r="EN334" s="535">
        <f t="shared" si="746"/>
        <v>0</v>
      </c>
      <c r="EO334" s="535">
        <f t="shared" si="747"/>
        <v>0</v>
      </c>
      <c r="EP334" s="535">
        <v>0</v>
      </c>
      <c r="EQ334" s="535">
        <v>0</v>
      </c>
      <c r="ER334" s="535">
        <v>0</v>
      </c>
      <c r="ES334" s="521">
        <f t="shared" si="797"/>
        <v>3.18538057233879</v>
      </c>
      <c r="ET334" s="535">
        <f>-(VLOOKUP(Sheet1!BQ332,Lookup!$O$4:$Q$262,2)-VLOOKUP(Sheet1!BQ331,Lookup!$O$4:$Q$262,2))/1000000</f>
        <v>1.6616250662935228</v>
      </c>
      <c r="EU334" s="535">
        <f>-(VLOOKUP(Sheet1!BR332,Lookup!$O$4:$Q$262,3)-VLOOKUP(Sheet1!BR331,Lookup!$O$4:$Q$262,3))/1000000</f>
        <v>1.523755506045267</v>
      </c>
      <c r="EV334" s="535"/>
      <c r="EW334" s="535"/>
      <c r="EX334" s="535"/>
      <c r="EY334" s="535"/>
      <c r="EZ334" s="535"/>
      <c r="FA334" s="535"/>
      <c r="FB334" s="535"/>
      <c r="FC334" s="535"/>
      <c r="FD334" s="567">
        <f t="shared" si="786"/>
        <v>1080.3214285714027</v>
      </c>
      <c r="FE334" s="567" t="e">
        <f t="shared" si="748"/>
        <v>#N/A</v>
      </c>
      <c r="FF334" s="568" t="e">
        <f t="shared" si="749"/>
        <v>#N/A</v>
      </c>
      <c r="FG334" s="569" t="s">
        <v>656</v>
      </c>
      <c r="FH334" s="569" t="s">
        <v>656</v>
      </c>
      <c r="FI334" s="567" t="e">
        <v>#N/A</v>
      </c>
      <c r="FJ334" s="725">
        <v>1080</v>
      </c>
      <c r="FK334" s="535"/>
      <c r="FL334" s="1015">
        <f t="shared" si="785"/>
        <v>45.385779122541599</v>
      </c>
      <c r="FM334" s="535"/>
      <c r="FN334" s="535"/>
      <c r="FO334" s="535">
        <f>O334+((Sheet1!CS332)*GPMtoMGD)</f>
        <v>58.1</v>
      </c>
      <c r="FP334" s="535">
        <f>IF(Sheet1!AA332+AQ334&lt;=Calculation!N334,AQ334,Calculation!N334-Sheet1!AA332)</f>
        <v>18.452380952380953</v>
      </c>
      <c r="FQ334" s="535">
        <f>(Sheet1!BP332+Sheet1!BO332)/694.4</f>
        <v>1.679147465437788</v>
      </c>
      <c r="FR334" s="541"/>
      <c r="FS334" s="541"/>
      <c r="FT334" s="541"/>
      <c r="FU334" s="541"/>
      <c r="FV334" s="1109">
        <f t="shared" si="798"/>
        <v>42918</v>
      </c>
      <c r="FW334" s="1109">
        <f t="shared" si="799"/>
        <v>43027</v>
      </c>
      <c r="FX334" s="541"/>
      <c r="FY334" s="541">
        <f>Sheet1!DA332-Sheet1!CZ332-Sheet1!AE332</f>
        <v>382.33693000000136</v>
      </c>
      <c r="FZ334" s="535">
        <f t="shared" si="832"/>
        <v>0.54333820566855928</v>
      </c>
      <c r="GA334" s="535"/>
      <c r="GB334" s="535" t="str">
        <f t="shared" si="800"/>
        <v>n</v>
      </c>
      <c r="GC334" s="539">
        <f t="shared" si="801"/>
        <v>42782</v>
      </c>
      <c r="GD334" s="1109">
        <f t="shared" si="802"/>
        <v>42904</v>
      </c>
      <c r="GE334" s="535">
        <f t="shared" si="818"/>
        <v>6520</v>
      </c>
      <c r="GF334" s="1109">
        <f t="shared" si="803"/>
        <v>42909</v>
      </c>
      <c r="GG334" s="535">
        <f t="shared" si="691"/>
        <v>3260</v>
      </c>
      <c r="GH334" s="539">
        <f t="shared" si="804"/>
        <v>43040</v>
      </c>
      <c r="GJ334" s="521">
        <f t="shared" si="805"/>
        <v>0</v>
      </c>
      <c r="GK334" s="535" t="str">
        <f t="shared" si="750"/>
        <v/>
      </c>
      <c r="GL334" s="535">
        <f t="shared" si="806"/>
        <v>0</v>
      </c>
      <c r="GM334" s="535" t="str">
        <f t="shared" si="807"/>
        <v/>
      </c>
      <c r="GN334" s="535">
        <f>IF(GK334="P",Lookup!$M$12,IF(GK334="PP",Lookup!$M$13,IF(GK334="PPP",Lookup!$M$14,IF(GK334="T",Lookup!$M$15,IF(GK334="TP",Lookup!$M$16,IF(GK334="TPP",Lookup!$M$17,IF(GK334="TPPP",Lookup!$M$18,0)))))))*GJ334</f>
        <v>0</v>
      </c>
      <c r="GO334" s="535">
        <f t="shared" si="808"/>
        <v>0</v>
      </c>
      <c r="GP334" s="535">
        <f t="shared" si="751"/>
        <v>0</v>
      </c>
      <c r="GQ334" s="974">
        <f t="shared" si="695"/>
        <v>0</v>
      </c>
      <c r="GR334" s="535"/>
      <c r="GS334" s="535">
        <f t="shared" si="809"/>
        <v>0</v>
      </c>
      <c r="GT334" s="535" t="str">
        <f t="shared" si="810"/>
        <v/>
      </c>
      <c r="GU334" s="535">
        <f>IF(GK334="P",Lookup!$N$12,IF(GK334="PP",Lookup!$N$13,IF(GK334="PPP",Lookup!$N$14,IF(GK334="T",Lookup!$N$15,IF(GK334="TP",Lookup!$N$16,IF(GK334="TPP",Lookup!$N$17,IF(GK334="TPPP",Lookup!$N$18,0)))))))*GJ334</f>
        <v>0</v>
      </c>
      <c r="GV334" s="535">
        <f t="shared" si="811"/>
        <v>0</v>
      </c>
      <c r="GW334" s="535">
        <f t="shared" si="752"/>
        <v>0</v>
      </c>
      <c r="GX334" s="974">
        <f t="shared" si="696"/>
        <v>0</v>
      </c>
      <c r="GY334" s="535"/>
      <c r="GZ334" s="535">
        <f t="shared" si="812"/>
        <v>0</v>
      </c>
      <c r="HA334" s="535" t="str">
        <f t="shared" si="813"/>
        <v/>
      </c>
      <c r="HB334" s="535">
        <f>IF(GK334="P",Lookup!$N$12,IF(GK334="PP",Lookup!$N$13,IF(GK334="PPP",Lookup!$N$14,IF(GK334="T",Lookup!$N$15,IF(GK334="TP",Lookup!$N$16,IF(GK334="TPP",Lookup!$N$17,IF(GK334="TPPP",Lookup!$N$18,0)))))))*GJ334</f>
        <v>0</v>
      </c>
      <c r="HC334" s="521">
        <f t="shared" si="753"/>
        <v>0</v>
      </c>
      <c r="HD334" s="535">
        <f t="shared" si="754"/>
        <v>0</v>
      </c>
      <c r="HE334" s="535">
        <f t="shared" si="816"/>
        <v>0</v>
      </c>
      <c r="HF334" s="535"/>
      <c r="HG334" s="535">
        <f t="shared" si="814"/>
        <v>0</v>
      </c>
      <c r="HH334" s="535" t="str">
        <f t="shared" si="815"/>
        <v/>
      </c>
      <c r="HI334" s="535">
        <f>IF(GK334="P",Lookup!$N$12,IF(GK334="PP",Lookup!$N$13,IF(GK334="PPP",Lookup!$N$14,IF(GK334="T",Lookup!$N$15,IF(GK334="TP",Lookup!$N$16,IF(GK334="TPP",Lookup!$N$17,IF(GK334="TPPP",Lookup!$N$18,0)))))))*GJ334</f>
        <v>0</v>
      </c>
      <c r="HJ334" s="521">
        <f t="shared" si="755"/>
        <v>0</v>
      </c>
      <c r="HK334" s="535">
        <f t="shared" si="756"/>
        <v>0</v>
      </c>
      <c r="HL334" s="535">
        <f t="shared" si="817"/>
        <v>0</v>
      </c>
      <c r="HM334" s="535"/>
      <c r="HN334" s="541"/>
      <c r="HO334" s="541"/>
      <c r="HP334" s="541"/>
      <c r="HQ334" s="541">
        <f>IF(AND(B334&gt;=$FV$4,B334&lt;=$FW$4),MAX(110/1.02+$HQ$6+MIN(113/1.02,G334),IF($HV$6-(Sheet1!DA332-Sheet1!DB332)+MIN(113/1.02,G334)&lt;G334+FL334,$HV$6-(Sheet1!DA332-Sheet1!DB332)+MIN(113/1.02,G334),G334+FL334)),MIN(110/1.02+$HQ$6+113/1.02,G334))</f>
        <v>218.62745098039215</v>
      </c>
      <c r="HR334" s="541">
        <f t="shared" si="833"/>
        <v>223</v>
      </c>
      <c r="HS334" s="541">
        <f>HR334+(Sheet1!DA332-Sheet1!DB332)</f>
        <v>637</v>
      </c>
      <c r="HT334" s="541">
        <f t="shared" si="834"/>
        <v>0</v>
      </c>
      <c r="HU334" s="541">
        <f t="shared" si="835"/>
        <v>637</v>
      </c>
      <c r="HV334" s="541">
        <f t="shared" si="836"/>
        <v>0</v>
      </c>
      <c r="HW334" s="533" t="str">
        <f t="shared" si="837"/>
        <v/>
      </c>
      <c r="HX334" s="541">
        <f t="shared" si="838"/>
        <v>381.37254901960785</v>
      </c>
      <c r="HY334" s="541">
        <f>Sheet1!CZ332</f>
        <v>600</v>
      </c>
      <c r="HZ334" s="541">
        <f t="shared" si="839"/>
        <v>0</v>
      </c>
      <c r="IA334" s="541">
        <f t="shared" si="840"/>
        <v>0</v>
      </c>
      <c r="IB334" s="541">
        <f t="shared" si="841"/>
        <v>600</v>
      </c>
      <c r="IC334" s="1019" t="str">
        <f t="shared" si="842"/>
        <v/>
      </c>
      <c r="ID334" s="541">
        <f t="shared" si="843"/>
        <v>600</v>
      </c>
      <c r="IE334" s="541">
        <f>Sheet1!DB332</f>
        <v>616</v>
      </c>
      <c r="IF334" s="533">
        <f>Sheet1!DA332</f>
        <v>1030</v>
      </c>
      <c r="IH334" s="541">
        <f>IF(AND($B334&gt;=$GC334,$B334&lt;=$GH334,$DR334&lt;0)+N("only adjusted when pool is drawn down during storage season"),Sheet1!$DB332+$DR334+N("Palmer minus all storage release"),Sheet1!$DB332)</f>
        <v>616</v>
      </c>
      <c r="II334" s="541">
        <f>IF(AND($B334&gt;=$GC334,$B334&lt;=$GH334,$DR334&lt;0)+N("only adjusted when pool is drawn down during storage season"),Sheet1!$DA332+$DR334+N("Auburn minus all storage release"),Sheet1!$DA332)</f>
        <v>1030</v>
      </c>
    </row>
    <row r="335" spans="1:243" x14ac:dyDescent="0.25">
      <c r="A335" s="553" t="s">
        <v>4</v>
      </c>
      <c r="B335" s="531">
        <v>43059</v>
      </c>
      <c r="C335" s="536">
        <v>0</v>
      </c>
      <c r="D335" s="506">
        <f t="shared" si="787"/>
        <v>300</v>
      </c>
      <c r="E335" s="506">
        <f t="shared" si="788"/>
        <v>250</v>
      </c>
      <c r="F335" s="506">
        <v>250</v>
      </c>
      <c r="G335" s="535">
        <f>DR335+Sheet1!CZ333</f>
        <v>5750.958144229051</v>
      </c>
      <c r="H335" s="1074">
        <f t="shared" si="844"/>
        <v>2048.920886208</v>
      </c>
      <c r="I335" s="534">
        <f>IF(Sheet1!DA333&gt;=E335,(Sheet1!DA333-E335+P335)*CFStoMGD,0)</f>
        <v>2048.920886208</v>
      </c>
      <c r="J335" s="995">
        <f>IF(Sheet1!DB333&gt;=D335,(Sheet1!DB333-D335+P335)*CFStoMGD,0)</f>
        <v>2740.5688862079996</v>
      </c>
      <c r="K335" s="818">
        <f t="shared" si="819"/>
        <v>64.64</v>
      </c>
      <c r="L335" s="535">
        <f>Sheet1!AA333+Sheet1!AB333-Sheet1!L333+(Sheet1!DA333-F335)*CFStoMGD-S335-T335-U335</f>
        <v>1990.912</v>
      </c>
      <c r="M335" s="535">
        <f t="shared" si="697"/>
        <v>3791.7677313182517</v>
      </c>
      <c r="N335" s="824">
        <f>IF(Sheet1!DA333&gt;=F335,MIN(113*CFStoMGD,MIN(MAX(L335,0),MAX(M335,0))),0)</f>
        <v>73.043199999999999</v>
      </c>
      <c r="O335" s="538">
        <f>Sheet1!AA333+Sheet1!AB333</f>
        <v>58.01</v>
      </c>
      <c r="P335" s="538">
        <f t="shared" si="698"/>
        <v>89.741469999999993</v>
      </c>
      <c r="Q335" s="812">
        <f t="shared" si="820"/>
        <v>0</v>
      </c>
      <c r="R335" s="812">
        <f t="shared" si="789"/>
        <v>11.632847638057218</v>
      </c>
      <c r="S335" s="812">
        <f t="shared" si="790"/>
        <v>58.01</v>
      </c>
      <c r="T335" s="812">
        <f t="shared" si="791"/>
        <v>0</v>
      </c>
      <c r="U335" s="812">
        <f>IF(AND(B335&gt;=FV335,B335&lt;=FW335),ED335+Sheet1!EH333,0)</f>
        <v>0</v>
      </c>
      <c r="V335" s="812"/>
      <c r="W335" s="812">
        <f t="shared" si="792"/>
        <v>53.007152361942786</v>
      </c>
      <c r="X335" s="812">
        <f t="shared" si="793"/>
        <v>58.01</v>
      </c>
      <c r="Y335" s="812" t="str">
        <f t="shared" si="794"/>
        <v/>
      </c>
      <c r="Z335" s="812">
        <f t="shared" si="795"/>
        <v>58.01</v>
      </c>
      <c r="AA335" s="812">
        <f t="shared" si="796"/>
        <v>58.01</v>
      </c>
      <c r="AB335" s="1059">
        <f t="shared" si="821"/>
        <v>0</v>
      </c>
      <c r="AC335" s="538">
        <f>Sheet1!Y333*MGDtoCFS</f>
        <v>43.470700000000001</v>
      </c>
      <c r="AD335" s="538">
        <f>Sheet1!Z333*MGDtoCFS</f>
        <v>46.255299999999998</v>
      </c>
      <c r="AE335" s="538">
        <f>Sheet1!AA333*MGDtoCFS</f>
        <v>43.346939999999996</v>
      </c>
      <c r="AF335" s="538">
        <f>Sheet1!AB333*MGDtoCFS</f>
        <v>46.394529999999996</v>
      </c>
      <c r="AG335" s="538">
        <f>Sheet1!L333*MGDtoCFS</f>
        <v>0</v>
      </c>
      <c r="AH335" s="521">
        <f t="shared" si="699"/>
        <v>0</v>
      </c>
      <c r="AI335" s="1059">
        <f t="shared" si="700"/>
        <v>0</v>
      </c>
      <c r="AJ335" s="535">
        <f t="shared" si="701"/>
        <v>0</v>
      </c>
      <c r="AK335" s="535">
        <f t="shared" si="702"/>
        <v>0</v>
      </c>
      <c r="AL335" s="535">
        <f>(VLOOKUP(Sheet1!DC333,hhdcap_wcm,4)-(((VLOOKUP(Sheet1!DC333,hhdcap_wcm,3)-Sheet1!DC333)/(VLOOKUP(Sheet1!DC333,hhdcap_wcm,3)-VLOOKUP(Sheet1!DC333,hhdcap_wcm,1)))*(VLOOKUP(Sheet1!DC333,hhdcap_wcm,4)-VLOOKUP(Sheet1!DC333,hhdcap_wcm,2))))</f>
        <v>3708.5000000087857</v>
      </c>
      <c r="AM335" s="535">
        <f t="shared" si="703"/>
        <v>2778.1000000062095</v>
      </c>
      <c r="AN335" s="1035">
        <f t="shared" si="704"/>
        <v>0</v>
      </c>
      <c r="AO335" s="535">
        <f t="shared" si="705"/>
        <v>0</v>
      </c>
      <c r="AP335" s="535">
        <f>Sheet1!BA333+Sheet1!BB333+Sheet1!BN333+CD335</f>
        <v>18.399999999999999</v>
      </c>
      <c r="AQ335" s="535">
        <f>Sheet1!BN333+(DO335*Sheet1!BN333)</f>
        <v>18.357152361942781</v>
      </c>
      <c r="AR335" s="535">
        <f>Sheet1!BA333+CD335</f>
        <v>0</v>
      </c>
      <c r="AS335" s="535">
        <f>Sheet1!BA333+Sheet1!BB333+CD335</f>
        <v>0</v>
      </c>
      <c r="AT335" s="649">
        <f>0</f>
        <v>0</v>
      </c>
      <c r="AU335" s="974">
        <f>BA335+MAX(Sheet1!EH333,(O335-Q335-ED335-S335))</f>
        <v>0</v>
      </c>
      <c r="AV335" s="535">
        <f>IF(OR(B335&gt;=GD335,B335&lt;GC335),0,15/36*K335-MAX(0,64.6-(137.6-(Sheet1!AA333+Sheet1!AB333))))</f>
        <v>0</v>
      </c>
      <c r="AW335" s="1029"/>
      <c r="AX335" s="649"/>
      <c r="AY335" s="649">
        <f t="shared" si="822"/>
        <v>23.311716569431731</v>
      </c>
      <c r="AZ335" s="649">
        <f t="shared" si="823"/>
        <v>0</v>
      </c>
      <c r="BA335" s="1059">
        <f t="shared" si="824"/>
        <v>0</v>
      </c>
      <c r="BB335" s="1019">
        <f t="shared" si="706"/>
        <v>0</v>
      </c>
      <c r="BC335" s="1041">
        <f t="shared" si="825"/>
        <v>26.933333333333334</v>
      </c>
      <c r="BD335" s="1019">
        <f ca="1">IF(B335&gt;(Summary!$A$1-1),#N/A,BB335*MGtoAF)</f>
        <v>0</v>
      </c>
      <c r="BE335" s="535">
        <f>Sheet1!BG333+Sheet1!BH333+Sheet1!BI333-BM335</f>
        <v>2.84</v>
      </c>
      <c r="BF335" s="535">
        <f t="shared" si="707"/>
        <v>2.8333865602129071</v>
      </c>
      <c r="BG335" s="535">
        <f>IF(Sheet1!EP333="FM",BM335,0)</f>
        <v>0</v>
      </c>
      <c r="BH335" s="535">
        <f t="shared" si="708"/>
        <v>0</v>
      </c>
      <c r="BI335" s="535">
        <f>IF(Sheet1!EP333="OTHER",BM335,0)</f>
        <v>0</v>
      </c>
      <c r="BJ335" s="535">
        <f t="shared" si="709"/>
        <v>0</v>
      </c>
      <c r="BK335" s="535">
        <f t="shared" si="710"/>
        <v>2.84</v>
      </c>
      <c r="BL335" s="535">
        <f t="shared" si="711"/>
        <v>2.8333865602129071</v>
      </c>
      <c r="BM335" s="535">
        <f>IF(OR(Sheet1!EP333="FM", Sheet1!EP333="OTHER"),SUM(Sheet1!BG333:'Sheet1'!BI333),0)</f>
        <v>0</v>
      </c>
      <c r="BN335" s="521">
        <f>IF(AND($B335&gt;=$FV335,$B335&lt;=$FW335),MAX(BF335,Sheet1!EI333,0),MAX(BF335-(7/36)*$K335,0))</f>
        <v>0</v>
      </c>
      <c r="BO335" s="535">
        <f t="shared" si="712"/>
        <v>0</v>
      </c>
      <c r="BP335" s="521">
        <f t="shared" si="713"/>
        <v>2.8333865602129071</v>
      </c>
      <c r="BQ335" s="521">
        <f>IF(AND($O335&gt;0,Sheet1!EM333=1),(1-($O335-Sheet1!$L333)/$O335)*BL335,0)</f>
        <v>0</v>
      </c>
      <c r="BR335" s="521">
        <f>IF(AND(Sheet1!$L333=0,Sheet1!$L332=0, Calculation!BK335&lt;Sheet1!$EI333-0.1,Sheet1!$EI333=Sheet1!$EI332,Sheet1!$EI333=Sheet1!$EI334),BL335-BQ335,BL335-BQ335)</f>
        <v>2.8333865602129071</v>
      </c>
      <c r="BS335" s="1035" t="str">
        <f t="shared" si="826"/>
        <v/>
      </c>
      <c r="BT335" s="1035">
        <f t="shared" si="827"/>
        <v>12.568888888888889</v>
      </c>
      <c r="BU335" s="535">
        <f t="shared" si="714"/>
        <v>0</v>
      </c>
      <c r="BV335" s="535"/>
      <c r="BW335" s="535">
        <f ca="1">IF(B335&gt;(Summary!$A$1-1),#N/A,BU335*MGtoAF)</f>
        <v>0</v>
      </c>
      <c r="BX335" s="535">
        <f>Sheet1!BC333+Sheet1!BD333+Sheet1!BE333+Sheet1!BF333-CG335-CH335</f>
        <v>2.99</v>
      </c>
      <c r="BY335" s="535">
        <f t="shared" si="715"/>
        <v>2.9830372588157021</v>
      </c>
      <c r="BZ335" s="535">
        <f>IF(Sheet1!EQ333="FM",CH335,0)</f>
        <v>0</v>
      </c>
      <c r="CA335" s="535">
        <f t="shared" si="716"/>
        <v>0</v>
      </c>
      <c r="CB335" s="535">
        <f>IF(Sheet1!EQ333="OTHER",CH335,0)</f>
        <v>0</v>
      </c>
      <c r="CC335" s="535">
        <f t="shared" si="717"/>
        <v>0</v>
      </c>
      <c r="CD335" s="535">
        <f t="shared" si="718"/>
        <v>0</v>
      </c>
      <c r="CE335" s="535">
        <f t="shared" si="719"/>
        <v>2.99</v>
      </c>
      <c r="CF335" s="535">
        <f t="shared" si="720"/>
        <v>2.9830372588157021</v>
      </c>
      <c r="CG335" s="535">
        <f>IF(Sheet1!EQ333="CWA",SUM(Sheet1!BC333:'Sheet1'!BF333),0)</f>
        <v>0</v>
      </c>
      <c r="CH335" s="535">
        <f>IF(OR(Sheet1!EQ333="FM", Sheet1!EQ333="OTHER"),SUM(Sheet1!BC333:'Sheet1'!BF333),0)</f>
        <v>0</v>
      </c>
      <c r="CI335" s="521">
        <f>IF(AND($B335&gt;=$FV335,$B335&lt;=$FW335),MAX(CF335,Sheet1!EJ333,0),MAX(CF335-(7/36)*$K335,0))</f>
        <v>0</v>
      </c>
      <c r="CJ335" s="535">
        <f t="shared" si="721"/>
        <v>0</v>
      </c>
      <c r="CK335" s="521">
        <f t="shared" si="722"/>
        <v>2.9830372588157021</v>
      </c>
      <c r="CL335" s="521">
        <f>IF(AND($O335&gt;0,Sheet1!EN333=1),(1-($O335-Sheet1!$L333)/$O335)*CF335,0)</f>
        <v>0</v>
      </c>
      <c r="CM335" s="521">
        <f>IF(AND(Sheet1!$L333=0,Sheet1!$L332=0, Calculation!CE335&lt;Sheet1!EJ333-0.1,Sheet1!EJ333=Sheet1!EJ332,Sheet1!EJ333=Sheet1!EJ334),CF335-CL335,CF335-CL335)</f>
        <v>2.9830372588157021</v>
      </c>
      <c r="CN335" s="1040" t="str">
        <f t="shared" si="828"/>
        <v/>
      </c>
      <c r="CO335" s="1035">
        <f t="shared" si="829"/>
        <v>12.568888888888889</v>
      </c>
      <c r="CP335" s="535">
        <f t="shared" si="723"/>
        <v>0</v>
      </c>
      <c r="CQ335" s="535"/>
      <c r="CR335" s="535">
        <f ca="1">IF(B335&gt;(Summary!$A$1-1),#N/A,CP335*MGtoAF)</f>
        <v>0</v>
      </c>
      <c r="CS335" s="535">
        <f>Sheet1!BK333+Sheet1!BL333+Sheet1!BM333-Sheet1!ER333-DA335</f>
        <v>5.83</v>
      </c>
      <c r="CT335" s="535">
        <f t="shared" si="724"/>
        <v>5.8164238190286097</v>
      </c>
      <c r="CU335" s="535">
        <f>IF(Sheet1!ER333="FM",DA335,0)</f>
        <v>0</v>
      </c>
      <c r="CV335" s="535">
        <f t="shared" si="725"/>
        <v>0</v>
      </c>
      <c r="CW335" s="535">
        <f>IF(Sheet1!ER333="OTHER",DA335,0)</f>
        <v>0</v>
      </c>
      <c r="CX335" s="535">
        <f t="shared" si="726"/>
        <v>0</v>
      </c>
      <c r="CY335" s="535">
        <f t="shared" si="727"/>
        <v>5.83</v>
      </c>
      <c r="CZ335" s="535">
        <f t="shared" si="728"/>
        <v>5.8164238190286097</v>
      </c>
      <c r="DA335" s="535">
        <f>IF(OR(Sheet1!ER333="FM", Sheet1!ER333="OTHER"),SUM(Sheet1!BK333:'Sheet1'!BM333),0)</f>
        <v>0</v>
      </c>
      <c r="DB335" s="1011">
        <f>IF(AND($B335&gt;=$FV335,$B335&lt;=$FW335),MAX($CT335,Sheet1!EK333,0),MAX($CT335-(7/36)*$K335,0))</f>
        <v>0</v>
      </c>
      <c r="DC335" s="1012">
        <f t="shared" si="729"/>
        <v>0</v>
      </c>
      <c r="DD335" s="1011">
        <f t="shared" si="730"/>
        <v>5.8164238190286097</v>
      </c>
      <c r="DE335" s="521">
        <f>IF(AND($O335&gt;0,Sheet1!EO333=1),(1-($O335-Sheet1!$L333)/$O335)*CZ335,0)</f>
        <v>0</v>
      </c>
      <c r="DF335" s="521">
        <f>IF(AND(Sheet1!$L333=0,Sheet1!$L332=0, Calculation!CY335&lt;Sheet1!$EK333-0.1,Sheet1!$EK333=Sheet1!$EK332,Sheet1!$EK333=Sheet1!$EK334),CZ335-DE335,CZ335-DE335)</f>
        <v>5.8164238190286097</v>
      </c>
      <c r="DG335" s="1040">
        <f t="shared" si="830"/>
        <v>12.568888888888889</v>
      </c>
      <c r="DH335" s="649">
        <f t="shared" si="731"/>
        <v>11.66</v>
      </c>
      <c r="DI335" s="535">
        <f t="shared" si="732"/>
        <v>0</v>
      </c>
      <c r="DJ335" s="649">
        <f t="shared" si="733"/>
        <v>11.632847638057218</v>
      </c>
      <c r="DK335" s="535">
        <f ca="1">IF(B335&gt;(Summary!$A$1-1),#N/A,DI335*MGtoAF)</f>
        <v>0</v>
      </c>
      <c r="DL335" s="649">
        <f t="shared" si="734"/>
        <v>11.66</v>
      </c>
      <c r="DM335" s="535">
        <f t="shared" si="735"/>
        <v>30.06</v>
      </c>
      <c r="DN335" s="535">
        <f>Sheet1!AB333-DM335</f>
        <v>-7.0000000000000284E-2</v>
      </c>
      <c r="DO335" s="743">
        <f t="shared" si="736"/>
        <v>-2.3286759813706016E-3</v>
      </c>
      <c r="DP335" s="535">
        <f>(VLOOKUP(Sheet1!DC333,hhdcap_wcm,4)-(((VLOOKUP(Sheet1!DC333,hhdcap_wcm,3)-Sheet1!DC333)/(VLOOKUP(Sheet1!DC333,hhdcap_wcm,3)-VLOOKUP(Sheet1!DC333,hhdcap_wcm,1)))*(VLOOKUP(Sheet1!DC333,hhdcap_wcm,4)-VLOOKUP(Sheet1!DC333,hhdcap_wcm,2))))</f>
        <v>3708.5000000087857</v>
      </c>
      <c r="DQ335" s="535">
        <f t="shared" si="737"/>
        <v>2778.1000000062095</v>
      </c>
      <c r="DR335" s="535">
        <f t="shared" si="738"/>
        <v>1400.9581442290514</v>
      </c>
      <c r="DS335" s="535">
        <f>Sheet1!EA333*AFtoMG</f>
        <v>0</v>
      </c>
      <c r="DT335" s="535">
        <f>Sheet1!EB333*AFtoMG</f>
        <v>0</v>
      </c>
      <c r="DU335" s="535">
        <f>Sheet1!EC333*AFtoMG</f>
        <v>0</v>
      </c>
      <c r="DV335" s="535">
        <f>Sheet1!ED333*AFtoMG</f>
        <v>0</v>
      </c>
      <c r="DW335" s="535">
        <f t="shared" si="739"/>
        <v>0</v>
      </c>
      <c r="DX335" s="535">
        <f t="shared" si="740"/>
        <v>0</v>
      </c>
      <c r="DY335" s="535">
        <f t="shared" si="741"/>
        <v>0</v>
      </c>
      <c r="DZ335" s="535">
        <f t="shared" si="742"/>
        <v>0</v>
      </c>
      <c r="EA335" s="535"/>
      <c r="EB335" s="521">
        <f>IF(OR(B335&lt;FV335,B335&gt;FW335),(MIN(BF335+BY335+CT335+MAX(Sheet1!AA333+AQ335-73,0),K335)),0)</f>
        <v>11.632847638057218</v>
      </c>
      <c r="EC335" s="535"/>
      <c r="ED335" s="535">
        <f t="shared" si="743"/>
        <v>11.632847638057219</v>
      </c>
      <c r="EE335" s="535"/>
      <c r="EF335" s="535">
        <f>Sheet1!EH333+Sheet1!EI333+Sheet1!EJ333+Sheet1!EK333</f>
        <v>11.5</v>
      </c>
      <c r="EG335" s="1019">
        <f t="shared" si="831"/>
        <v>17.790499999999998</v>
      </c>
      <c r="EH335" s="521">
        <f t="shared" si="744"/>
        <v>0</v>
      </c>
      <c r="EI335" s="535">
        <f>IF(Sheet1!ET333=1,SUM('Calculations II'!AT335:BA335)+'Calculations II'!BC335+Sheet1!BV333+'Calculations II'!BE335+AP335,'Calculations II'!BK335)</f>
        <v>44.933298361942775</v>
      </c>
      <c r="EJ335" s="535">
        <f ca="1">EI335+'Calculations II'!D335+'Calculations II'!E335+'Calculations II'!O335</f>
        <v>45.788339464082881</v>
      </c>
      <c r="EK335" s="535"/>
      <c r="EL335" s="535"/>
      <c r="EM335" s="535">
        <f t="shared" si="745"/>
        <v>43059</v>
      </c>
      <c r="EN335" s="535">
        <f t="shared" si="746"/>
        <v>0</v>
      </c>
      <c r="EO335" s="535">
        <f t="shared" si="747"/>
        <v>0</v>
      </c>
      <c r="EP335" s="535">
        <v>0</v>
      </c>
      <c r="EQ335" s="535">
        <v>0</v>
      </c>
      <c r="ER335" s="535">
        <v>0</v>
      </c>
      <c r="ES335" s="521">
        <f t="shared" si="797"/>
        <v>-0.69230853684028615</v>
      </c>
      <c r="ET335" s="535">
        <f>-(VLOOKUP(Sheet1!BQ333,Lookup!$O$4:$Q$262,2)-VLOOKUP(Sheet1!BQ332,Lookup!$O$4:$Q$262,2))/1000000</f>
        <v>-0.41531976199776677</v>
      </c>
      <c r="EU335" s="535">
        <f>-(VLOOKUP(Sheet1!BR333,Lookup!$O$4:$Q$262,3)-VLOOKUP(Sheet1!BR332,Lookup!$O$4:$Q$262,3))/1000000</f>
        <v>-0.27698877484251933</v>
      </c>
      <c r="EV335" s="535"/>
      <c r="EW335" s="535"/>
      <c r="EX335" s="535"/>
      <c r="EY335" s="535"/>
      <c r="EZ335" s="535"/>
      <c r="FA335" s="535"/>
      <c r="FB335" s="535"/>
      <c r="FC335" s="535"/>
      <c r="FD335" s="567">
        <f t="shared" si="786"/>
        <v>1079.6461538461288</v>
      </c>
      <c r="FE335" s="567" t="e">
        <f t="shared" si="748"/>
        <v>#N/A</v>
      </c>
      <c r="FF335" s="568" t="e">
        <f t="shared" si="749"/>
        <v>#N/A</v>
      </c>
      <c r="FG335" s="569" t="s">
        <v>656</v>
      </c>
      <c r="FH335" s="569" t="s">
        <v>656</v>
      </c>
      <c r="FI335" s="567" t="e">
        <v>#N/A</v>
      </c>
      <c r="FJ335" s="725">
        <v>990</v>
      </c>
      <c r="FK335" s="535"/>
      <c r="FL335" s="1015">
        <f t="shared" si="785"/>
        <v>45.385779122541599</v>
      </c>
      <c r="FM335" s="535"/>
      <c r="FN335" s="535"/>
      <c r="FO335" s="535">
        <f>O335+((Sheet1!CS333)*GPMtoMGD)</f>
        <v>58.01</v>
      </c>
      <c r="FP335" s="535">
        <f>IF(Sheet1!AA333+AQ335&lt;=Calculation!N335,AQ335,Calculation!N335-Sheet1!AA333)</f>
        <v>18.357152361942781</v>
      </c>
      <c r="FQ335" s="535">
        <f>(Sheet1!BP333+Sheet1!BO333)/694.4</f>
        <v>1.474798387096774</v>
      </c>
      <c r="FR335" s="541"/>
      <c r="FS335" s="541"/>
      <c r="FT335" s="541"/>
      <c r="FU335" s="541"/>
      <c r="FV335" s="1109">
        <f t="shared" si="798"/>
        <v>42918</v>
      </c>
      <c r="FW335" s="1109">
        <f t="shared" si="799"/>
        <v>43027</v>
      </c>
      <c r="FX335" s="541"/>
      <c r="FY335" s="541">
        <f>Sheet1!DA333-Sheet1!CZ333-Sheet1!AE333</f>
        <v>-1109.7414699999999</v>
      </c>
      <c r="FZ335" s="535">
        <f t="shared" si="832"/>
        <v>-0.19296636180765792</v>
      </c>
      <c r="GA335" s="535"/>
      <c r="GB335" s="535" t="str">
        <f t="shared" si="800"/>
        <v>n</v>
      </c>
      <c r="GC335" s="539">
        <f t="shared" si="801"/>
        <v>42782</v>
      </c>
      <c r="GD335" s="1109">
        <f t="shared" si="802"/>
        <v>42904</v>
      </c>
      <c r="GE335" s="535">
        <f t="shared" si="818"/>
        <v>6520</v>
      </c>
      <c r="GF335" s="1109">
        <f t="shared" si="803"/>
        <v>42909</v>
      </c>
      <c r="GG335" s="535">
        <f t="shared" si="691"/>
        <v>3260</v>
      </c>
      <c r="GH335" s="539">
        <f t="shared" si="804"/>
        <v>43040</v>
      </c>
      <c r="GJ335" s="521">
        <f t="shared" si="805"/>
        <v>0</v>
      </c>
      <c r="GK335" s="535" t="str">
        <f t="shared" si="750"/>
        <v/>
      </c>
      <c r="GL335" s="535">
        <f t="shared" si="806"/>
        <v>0</v>
      </c>
      <c r="GM335" s="535" t="str">
        <f t="shared" si="807"/>
        <v/>
      </c>
      <c r="GN335" s="535">
        <f>IF(GK335="P",Lookup!$M$12,IF(GK335="PP",Lookup!$M$13,IF(GK335="PPP",Lookup!$M$14,IF(GK335="T",Lookup!$M$15,IF(GK335="TP",Lookup!$M$16,IF(GK335="TPP",Lookup!$M$17,IF(GK335="TPPP",Lookup!$M$18,0)))))))*GJ335</f>
        <v>0</v>
      </c>
      <c r="GO335" s="535">
        <f t="shared" si="808"/>
        <v>0</v>
      </c>
      <c r="GP335" s="535">
        <f t="shared" si="751"/>
        <v>0</v>
      </c>
      <c r="GQ335" s="974">
        <f t="shared" si="695"/>
        <v>0</v>
      </c>
      <c r="GR335" s="535"/>
      <c r="GS335" s="535">
        <f t="shared" si="809"/>
        <v>0</v>
      </c>
      <c r="GT335" s="535" t="str">
        <f t="shared" si="810"/>
        <v/>
      </c>
      <c r="GU335" s="535">
        <f>IF(GK335="P",Lookup!$N$12,IF(GK335="PP",Lookup!$N$13,IF(GK335="PPP",Lookup!$N$14,IF(GK335="T",Lookup!$N$15,IF(GK335="TP",Lookup!$N$16,IF(GK335="TPP",Lookup!$N$17,IF(GK335="TPPP",Lookup!$N$18,0)))))))*GJ335</f>
        <v>0</v>
      </c>
      <c r="GV335" s="535">
        <f t="shared" si="811"/>
        <v>0</v>
      </c>
      <c r="GW335" s="535">
        <f t="shared" si="752"/>
        <v>0</v>
      </c>
      <c r="GX335" s="974">
        <f t="shared" si="696"/>
        <v>0</v>
      </c>
      <c r="GY335" s="535"/>
      <c r="GZ335" s="535">
        <f t="shared" si="812"/>
        <v>0</v>
      </c>
      <c r="HA335" s="535" t="str">
        <f t="shared" si="813"/>
        <v/>
      </c>
      <c r="HB335" s="535">
        <f>IF(GK335="P",Lookup!$N$12,IF(GK335="PP",Lookup!$N$13,IF(GK335="PPP",Lookup!$N$14,IF(GK335="T",Lookup!$N$15,IF(GK335="TP",Lookup!$N$16,IF(GK335="TPP",Lookup!$N$17,IF(GK335="TPPP",Lookup!$N$18,0)))))))*GJ335</f>
        <v>0</v>
      </c>
      <c r="HC335" s="521">
        <f t="shared" si="753"/>
        <v>0</v>
      </c>
      <c r="HD335" s="535">
        <f t="shared" si="754"/>
        <v>0</v>
      </c>
      <c r="HE335" s="535">
        <f t="shared" si="816"/>
        <v>0</v>
      </c>
      <c r="HF335" s="535"/>
      <c r="HG335" s="535">
        <f t="shared" si="814"/>
        <v>0</v>
      </c>
      <c r="HH335" s="535" t="str">
        <f t="shared" si="815"/>
        <v/>
      </c>
      <c r="HI335" s="535">
        <f>IF(GK335="P",Lookup!$N$12,IF(GK335="PP",Lookup!$N$13,IF(GK335="PPP",Lookup!$N$14,IF(GK335="T",Lookup!$N$15,IF(GK335="TP",Lookup!$N$16,IF(GK335="TPP",Lookup!$N$17,IF(GK335="TPPP",Lookup!$N$18,0)))))))*GJ335</f>
        <v>0</v>
      </c>
      <c r="HJ335" s="521">
        <f t="shared" si="755"/>
        <v>0</v>
      </c>
      <c r="HK335" s="535">
        <f t="shared" si="756"/>
        <v>0</v>
      </c>
      <c r="HL335" s="535">
        <f t="shared" si="817"/>
        <v>0</v>
      </c>
      <c r="HM335" s="535"/>
      <c r="HN335" s="541"/>
      <c r="HO335" s="541"/>
      <c r="HP335" s="541"/>
      <c r="HQ335" s="541">
        <f>IF(AND(B335&gt;=$FV$4,B335&lt;=$FW$4),MAX(110/1.02+$HQ$6+MIN(113/1.02,G335),IF($HV$6-(Sheet1!DA333-Sheet1!DB333)+MIN(113/1.02,G335)&lt;G335+FL335,$HV$6-(Sheet1!DA333-Sheet1!DB333)+MIN(113/1.02,G335),G335+FL335)),MIN(110/1.02+$HQ$6+113/1.02,G335))</f>
        <v>218.62745098039215</v>
      </c>
      <c r="HR335" s="541">
        <f t="shared" si="833"/>
        <v>223</v>
      </c>
      <c r="HS335" s="541">
        <f>HR335+(Sheet1!DA333-Sheet1!DB333)</f>
        <v>-897</v>
      </c>
      <c r="HT335" s="541">
        <f t="shared" si="834"/>
        <v>0</v>
      </c>
      <c r="HU335" s="541">
        <f t="shared" si="835"/>
        <v>-897</v>
      </c>
      <c r="HV335" s="541">
        <v>0</v>
      </c>
      <c r="HW335" s="533" t="str">
        <f t="shared" si="837"/>
        <v/>
      </c>
      <c r="HX335" s="541">
        <f t="shared" si="838"/>
        <v>4131.3725490196075</v>
      </c>
      <c r="HY335" s="541">
        <f>Sheet1!CZ333</f>
        <v>4350</v>
      </c>
      <c r="HZ335" s="541">
        <f t="shared" si="839"/>
        <v>0</v>
      </c>
      <c r="IA335" s="541">
        <f t="shared" si="840"/>
        <v>0</v>
      </c>
      <c r="IB335" s="541">
        <f t="shared" si="841"/>
        <v>4350</v>
      </c>
      <c r="IC335" s="1019" t="str">
        <f t="shared" si="842"/>
        <v/>
      </c>
      <c r="ID335" s="541">
        <f t="shared" si="843"/>
        <v>4350</v>
      </c>
      <c r="IE335" s="541">
        <f>Sheet1!DB333</f>
        <v>4450</v>
      </c>
      <c r="IF335" s="533">
        <f>Sheet1!DA333</f>
        <v>3330</v>
      </c>
      <c r="IH335" s="541">
        <f>IF(AND($B335&gt;=$GC335,$B335&lt;=$GH335,$DR335&lt;0)+N("only adjusted when pool is drawn down during storage season"),Sheet1!$DB333+$DR335+N("Palmer minus all storage release"),Sheet1!$DB333)</f>
        <v>4450</v>
      </c>
      <c r="II335" s="541">
        <f>IF(AND($B335&gt;=$GC335,$B335&lt;=$GH335,$DR335&lt;0)+N("only adjusted when pool is drawn down during storage season"),Sheet1!$DA333+$DR335+N("Auburn minus all storage release"),Sheet1!$DA333)</f>
        <v>3330</v>
      </c>
    </row>
    <row r="336" spans="1:243" x14ac:dyDescent="0.25">
      <c r="A336" s="553" t="s">
        <v>5</v>
      </c>
      <c r="B336" s="531">
        <v>43060</v>
      </c>
      <c r="C336" s="536">
        <v>0</v>
      </c>
      <c r="D336" s="506">
        <f t="shared" si="787"/>
        <v>300</v>
      </c>
      <c r="E336" s="506">
        <f t="shared" si="788"/>
        <v>250</v>
      </c>
      <c r="F336" s="506">
        <v>250</v>
      </c>
      <c r="G336" s="535">
        <f>DR336+Sheet1!CZ334</f>
        <v>3762.9853756917705</v>
      </c>
      <c r="H336" s="1074">
        <f t="shared" si="844"/>
        <v>2779.3328865920002</v>
      </c>
      <c r="I336" s="534">
        <f>IF(Sheet1!DA334&gt;=E336,(Sheet1!DA334-E336+P336)*CFStoMGD,0)</f>
        <v>3341.7008865920002</v>
      </c>
      <c r="J336" s="995">
        <f>IF(Sheet1!DB334&gt;=D336,(Sheet1!DB334-D336+P336)*CFStoMGD,0)</f>
        <v>2779.3328865920002</v>
      </c>
      <c r="K336" s="818">
        <f t="shared" si="819"/>
        <v>64.64</v>
      </c>
      <c r="L336" s="535">
        <f>Sheet1!AA334+Sheet1!AB334-Sheet1!L334+(Sheet1!DA334-F336)*CFStoMGD-S336-T336-U336</f>
        <v>3255.3120000000004</v>
      </c>
      <c r="M336" s="535">
        <f t="shared" si="697"/>
        <v>2481.0416217841039</v>
      </c>
      <c r="N336" s="824">
        <f>IF(Sheet1!DA334&gt;=F336,MIN(113*CFStoMGD,MIN(MAX(L336,0),MAX(M336,0))),0)</f>
        <v>73.043199999999999</v>
      </c>
      <c r="O336" s="538">
        <f>Sheet1!AA334+Sheet1!AB334</f>
        <v>57.989999999999995</v>
      </c>
      <c r="P336" s="538">
        <f t="shared" si="698"/>
        <v>89.710529999999991</v>
      </c>
      <c r="Q336" s="812">
        <f t="shared" si="820"/>
        <v>0</v>
      </c>
      <c r="R336" s="812">
        <f t="shared" si="789"/>
        <v>11.595723793677205</v>
      </c>
      <c r="S336" s="812">
        <f t="shared" si="790"/>
        <v>57.989999999999995</v>
      </c>
      <c r="T336" s="812">
        <f t="shared" si="791"/>
        <v>0</v>
      </c>
      <c r="U336" s="812">
        <f>IF(AND(B336&gt;=FV336,B336&lt;=FW336),ED336+Sheet1!EH334,0)</f>
        <v>0</v>
      </c>
      <c r="V336" s="812"/>
      <c r="W336" s="812">
        <f t="shared" si="792"/>
        <v>53.044276206322792</v>
      </c>
      <c r="X336" s="812">
        <f t="shared" si="793"/>
        <v>57.989999999999995</v>
      </c>
      <c r="Y336" s="812" t="str">
        <f t="shared" si="794"/>
        <v/>
      </c>
      <c r="Z336" s="812">
        <f t="shared" si="795"/>
        <v>57.989999999999995</v>
      </c>
      <c r="AA336" s="812">
        <f t="shared" si="796"/>
        <v>57.989999999999995</v>
      </c>
      <c r="AB336" s="1059">
        <f t="shared" si="821"/>
        <v>0</v>
      </c>
      <c r="AC336" s="538">
        <f>Sheet1!Y334*MGDtoCFS</f>
        <v>43.346939999999996</v>
      </c>
      <c r="AD336" s="538">
        <f>Sheet1!Z334*MGDtoCFS</f>
        <v>46.394529999999996</v>
      </c>
      <c r="AE336" s="538">
        <f>Sheet1!AA334*MGDtoCFS</f>
        <v>43.439759999999993</v>
      </c>
      <c r="AF336" s="538">
        <f>Sheet1!AB334*MGDtoCFS</f>
        <v>46.270769999999999</v>
      </c>
      <c r="AG336" s="538">
        <f>Sheet1!L334*MGDtoCFS</f>
        <v>43.934799999999996</v>
      </c>
      <c r="AH336" s="521">
        <f t="shared" si="699"/>
        <v>0</v>
      </c>
      <c r="AI336" s="1059">
        <f t="shared" si="700"/>
        <v>0</v>
      </c>
      <c r="AJ336" s="535">
        <f t="shared" si="701"/>
        <v>0</v>
      </c>
      <c r="AK336" s="535">
        <f t="shared" si="702"/>
        <v>0</v>
      </c>
      <c r="AL336" s="535">
        <f>(VLOOKUP(Sheet1!DC334,hhdcap_wcm,4)-(((VLOOKUP(Sheet1!DC334,hhdcap_wcm,3)-Sheet1!DC334)/(VLOOKUP(Sheet1!DC334,hhdcap_wcm,3)-VLOOKUP(Sheet1!DC334,hhdcap_wcm,1)))*(VLOOKUP(Sheet1!DC334,hhdcap_wcm,4)-VLOOKUP(Sheet1!DC334,hhdcap_wcm,2))))</f>
        <v>2445.3000000055663</v>
      </c>
      <c r="AM336" s="535">
        <f t="shared" si="703"/>
        <v>-1263.2000000032194</v>
      </c>
      <c r="AN336" s="1035">
        <f t="shared" si="704"/>
        <v>0</v>
      </c>
      <c r="AO336" s="535">
        <f t="shared" si="705"/>
        <v>0</v>
      </c>
      <c r="AP336" s="535">
        <f>Sheet1!BA334+Sheet1!BB334+Sheet1!BN334+CD336</f>
        <v>18.399999999999999</v>
      </c>
      <c r="AQ336" s="535">
        <f>Sheet1!BN334+(DO336*Sheet1!BN334)</f>
        <v>18.314276206322795</v>
      </c>
      <c r="AR336" s="535">
        <f>Sheet1!BA334+CD336</f>
        <v>0</v>
      </c>
      <c r="AS336" s="535">
        <f>Sheet1!BA334+Sheet1!BB334+CD336</f>
        <v>0</v>
      </c>
      <c r="AT336" s="649">
        <f>0</f>
        <v>0</v>
      </c>
      <c r="AU336" s="974">
        <f>BA336+MAX(Sheet1!EH334,(O336-Q336-ED336-S336))</f>
        <v>0</v>
      </c>
      <c r="AV336" s="535">
        <f>IF(OR(B336&gt;=GD336,B336&lt;GC336),0,15/36*K336-MAX(0,64.6-(137.6-(Sheet1!AA334+Sheet1!AB334))))</f>
        <v>0</v>
      </c>
      <c r="AW336" s="1029"/>
      <c r="AX336" s="649"/>
      <c r="AY336" s="649">
        <f t="shared" si="822"/>
        <v>23.311716569431731</v>
      </c>
      <c r="AZ336" s="649">
        <f t="shared" si="823"/>
        <v>0</v>
      </c>
      <c r="BA336" s="1059">
        <f t="shared" si="824"/>
        <v>0</v>
      </c>
      <c r="BB336" s="1019">
        <f t="shared" si="706"/>
        <v>0</v>
      </c>
      <c r="BC336" s="1041">
        <f t="shared" si="825"/>
        <v>26.933333333333334</v>
      </c>
      <c r="BD336" s="1019">
        <f ca="1">IF(B336&gt;(Summary!$A$1-1),#N/A,BB336*MGtoAF)</f>
        <v>0</v>
      </c>
      <c r="BE336" s="535">
        <f>Sheet1!BG334+Sheet1!BH334+Sheet1!BI334-BM336</f>
        <v>2.76</v>
      </c>
      <c r="BF336" s="535">
        <f t="shared" si="707"/>
        <v>2.7471414309484192</v>
      </c>
      <c r="BG336" s="535">
        <f>IF(Sheet1!EP334="FM",BM336,0)</f>
        <v>0</v>
      </c>
      <c r="BH336" s="535">
        <f t="shared" si="708"/>
        <v>0</v>
      </c>
      <c r="BI336" s="535">
        <f>IF(Sheet1!EP334="OTHER",BM336,0)</f>
        <v>0</v>
      </c>
      <c r="BJ336" s="535">
        <f t="shared" si="709"/>
        <v>0</v>
      </c>
      <c r="BK336" s="535">
        <f t="shared" si="710"/>
        <v>2.76</v>
      </c>
      <c r="BL336" s="535">
        <f t="shared" si="711"/>
        <v>2.7471414309484192</v>
      </c>
      <c r="BM336" s="535">
        <f>IF(OR(Sheet1!EP334="FM", Sheet1!EP334="OTHER"),SUM(Sheet1!BG334:'Sheet1'!BI334),0)</f>
        <v>0</v>
      </c>
      <c r="BN336" s="521">
        <f>IF(AND($B336&gt;=$FV336,$B336&lt;=$FW336),MAX(BF336,Sheet1!EI334,0),MAX(BF336-(7/36)*$K336,0))</f>
        <v>0</v>
      </c>
      <c r="BO336" s="535">
        <f t="shared" si="712"/>
        <v>0</v>
      </c>
      <c r="BP336" s="521">
        <f t="shared" si="713"/>
        <v>2.7471414309484192</v>
      </c>
      <c r="BQ336" s="521">
        <f>IF(AND($O336&gt;0,Sheet1!EM334=1),(1-($O336-Sheet1!$L334)/$O336)*BL336,0)</f>
        <v>0</v>
      </c>
      <c r="BR336" s="521">
        <f>IF(AND(Sheet1!$L334=0,Sheet1!$L333=0, Calculation!BK336&lt;Sheet1!$EI334-0.1,Sheet1!$EI334=Sheet1!$EI333,Sheet1!$EI334=Sheet1!$EI335),BL336-BQ336,BL336-BQ336)</f>
        <v>2.7471414309484192</v>
      </c>
      <c r="BS336" s="1035" t="str">
        <f t="shared" si="826"/>
        <v/>
      </c>
      <c r="BT336" s="1035">
        <f t="shared" si="827"/>
        <v>12.568888888888889</v>
      </c>
      <c r="BU336" s="535">
        <f t="shared" si="714"/>
        <v>0</v>
      </c>
      <c r="BV336" s="535"/>
      <c r="BW336" s="535">
        <f ca="1">IF(B336&gt;(Summary!$A$1-1),#N/A,BU336*MGtoAF)</f>
        <v>0</v>
      </c>
      <c r="BX336" s="535">
        <f>Sheet1!BC334+Sheet1!BD334+Sheet1!BE334+Sheet1!BF334-CG336-CH336</f>
        <v>2.9799999999999995</v>
      </c>
      <c r="BY336" s="535">
        <f t="shared" si="715"/>
        <v>2.9661164725457567</v>
      </c>
      <c r="BZ336" s="535">
        <f>IF(Sheet1!EQ334="FM",CH336,0)</f>
        <v>0</v>
      </c>
      <c r="CA336" s="535">
        <f t="shared" si="716"/>
        <v>0</v>
      </c>
      <c r="CB336" s="535">
        <f>IF(Sheet1!EQ334="OTHER",CH336,0)</f>
        <v>0</v>
      </c>
      <c r="CC336" s="535">
        <f t="shared" si="717"/>
        <v>0</v>
      </c>
      <c r="CD336" s="535">
        <f t="shared" si="718"/>
        <v>0</v>
      </c>
      <c r="CE336" s="535">
        <f t="shared" si="719"/>
        <v>2.9799999999999995</v>
      </c>
      <c r="CF336" s="535">
        <f t="shared" si="720"/>
        <v>2.9661164725457567</v>
      </c>
      <c r="CG336" s="535">
        <f>IF(Sheet1!EQ334="CWA",SUM(Sheet1!BC334:'Sheet1'!BF334),0)</f>
        <v>0</v>
      </c>
      <c r="CH336" s="535">
        <f>IF(OR(Sheet1!EQ334="FM", Sheet1!EQ334="OTHER"),SUM(Sheet1!BC334:'Sheet1'!BF334),0)</f>
        <v>0</v>
      </c>
      <c r="CI336" s="521">
        <f>IF(AND($B336&gt;=$FV336,$B336&lt;=$FW336),MAX(CF336,Sheet1!EJ334,0),MAX(CF336-(7/36)*$K336,0))</f>
        <v>0</v>
      </c>
      <c r="CJ336" s="535">
        <f t="shared" si="721"/>
        <v>0</v>
      </c>
      <c r="CK336" s="521">
        <f t="shared" si="722"/>
        <v>2.9661164725457567</v>
      </c>
      <c r="CL336" s="521">
        <f>IF(AND($O336&gt;0,Sheet1!EN334=1),(1-($O336-Sheet1!$L334)/$O336)*CF336,0)</f>
        <v>0</v>
      </c>
      <c r="CM336" s="521">
        <f>IF(AND(Sheet1!$L334=0,Sheet1!$L333=0, Calculation!CE336&lt;Sheet1!EJ334-0.1,Sheet1!EJ334=Sheet1!EJ333,Sheet1!EJ334=Sheet1!EJ335),CF336-CL336,CF336-CL336)</f>
        <v>2.9661164725457567</v>
      </c>
      <c r="CN336" s="1040" t="str">
        <f t="shared" si="828"/>
        <v/>
      </c>
      <c r="CO336" s="1035">
        <f t="shared" si="829"/>
        <v>12.568888888888889</v>
      </c>
      <c r="CP336" s="535">
        <f t="shared" si="723"/>
        <v>0</v>
      </c>
      <c r="CQ336" s="535"/>
      <c r="CR336" s="535">
        <f ca="1">IF(B336&gt;(Summary!$A$1-1),#N/A,CP336*MGtoAF)</f>
        <v>0</v>
      </c>
      <c r="CS336" s="535">
        <f>Sheet1!BK334+Sheet1!BL334+Sheet1!BM334-Sheet1!ER334-DA336</f>
        <v>5.91</v>
      </c>
      <c r="CT336" s="535">
        <f t="shared" si="724"/>
        <v>5.8824658901830293</v>
      </c>
      <c r="CU336" s="535">
        <f>IF(Sheet1!ER334="FM",DA336,0)</f>
        <v>0</v>
      </c>
      <c r="CV336" s="535">
        <f t="shared" si="725"/>
        <v>0</v>
      </c>
      <c r="CW336" s="535">
        <f>IF(Sheet1!ER334="OTHER",DA336,0)</f>
        <v>0</v>
      </c>
      <c r="CX336" s="535">
        <f t="shared" si="726"/>
        <v>0</v>
      </c>
      <c r="CY336" s="535">
        <f t="shared" si="727"/>
        <v>5.91</v>
      </c>
      <c r="CZ336" s="535">
        <f t="shared" si="728"/>
        <v>5.8824658901830293</v>
      </c>
      <c r="DA336" s="535">
        <f>IF(OR(Sheet1!ER334="FM", Sheet1!ER334="OTHER"),SUM(Sheet1!BK334:'Sheet1'!BM334),0)</f>
        <v>0</v>
      </c>
      <c r="DB336" s="1011">
        <f>IF(AND($B336&gt;=$FV336,$B336&lt;=$FW336),MAX($CT336,Sheet1!EK334,0),MAX($CT336-(7/36)*$K336,0))</f>
        <v>0</v>
      </c>
      <c r="DC336" s="1012">
        <f t="shared" si="729"/>
        <v>0</v>
      </c>
      <c r="DD336" s="1011">
        <f t="shared" si="730"/>
        <v>5.8824658901830293</v>
      </c>
      <c r="DE336" s="521">
        <f>IF(AND($O336&gt;0,Sheet1!EO334=1),(1-($O336-Sheet1!$L334)/$O336)*CZ336,0)</f>
        <v>0</v>
      </c>
      <c r="DF336" s="521">
        <f>IF(AND(Sheet1!$L334=0,Sheet1!$L333=0, Calculation!CY336&lt;Sheet1!$EK334-0.1,Sheet1!$EK334=Sheet1!$EK333,Sheet1!$EK334=Sheet1!$EK335),CZ336-DE336,CZ336-DE336)</f>
        <v>5.8824658901830293</v>
      </c>
      <c r="DG336" s="1040">
        <f t="shared" si="830"/>
        <v>12.568888888888889</v>
      </c>
      <c r="DH336" s="649">
        <f t="shared" si="731"/>
        <v>11.649999999999999</v>
      </c>
      <c r="DI336" s="535">
        <f t="shared" si="732"/>
        <v>0</v>
      </c>
      <c r="DJ336" s="649">
        <f t="shared" si="733"/>
        <v>11.595723793677205</v>
      </c>
      <c r="DK336" s="535">
        <f ca="1">IF(B336&gt;(Summary!$A$1-1),#N/A,DI336*MGtoAF)</f>
        <v>0</v>
      </c>
      <c r="DL336" s="649">
        <f t="shared" si="734"/>
        <v>11.65</v>
      </c>
      <c r="DM336" s="535">
        <f t="shared" si="735"/>
        <v>30.049999999999997</v>
      </c>
      <c r="DN336" s="535">
        <f>Sheet1!AB334-DM336</f>
        <v>-0.13999999999999702</v>
      </c>
      <c r="DO336" s="743">
        <f t="shared" si="736"/>
        <v>-4.6589018302827627E-3</v>
      </c>
      <c r="DP336" s="535">
        <f>(VLOOKUP(Sheet1!DC334,hhdcap_wcm,4)-(((VLOOKUP(Sheet1!DC334,hhdcap_wcm,3)-Sheet1!DC334)/(VLOOKUP(Sheet1!DC334,hhdcap_wcm,3)-VLOOKUP(Sheet1!DC334,hhdcap_wcm,1)))*(VLOOKUP(Sheet1!DC334,hhdcap_wcm,4)-VLOOKUP(Sheet1!DC334,hhdcap_wcm,2))))</f>
        <v>2445.3000000055663</v>
      </c>
      <c r="DQ336" s="535">
        <f t="shared" si="737"/>
        <v>-1263.2000000032194</v>
      </c>
      <c r="DR336" s="535">
        <f t="shared" si="738"/>
        <v>-637.0146243082296</v>
      </c>
      <c r="DS336" s="535">
        <f>Sheet1!EA334*AFtoMG</f>
        <v>0</v>
      </c>
      <c r="DT336" s="535">
        <f>Sheet1!EB334*AFtoMG</f>
        <v>0</v>
      </c>
      <c r="DU336" s="535">
        <f>Sheet1!EC334*AFtoMG</f>
        <v>0</v>
      </c>
      <c r="DV336" s="535">
        <f>Sheet1!ED334*AFtoMG</f>
        <v>0</v>
      </c>
      <c r="DW336" s="535">
        <f t="shared" si="739"/>
        <v>0</v>
      </c>
      <c r="DX336" s="535">
        <f t="shared" si="740"/>
        <v>0</v>
      </c>
      <c r="DY336" s="535">
        <f t="shared" si="741"/>
        <v>0</v>
      </c>
      <c r="DZ336" s="535">
        <f t="shared" si="742"/>
        <v>0</v>
      </c>
      <c r="EA336" s="535"/>
      <c r="EB336" s="521">
        <f>IF(OR(B336&lt;FV336,B336&gt;FW336),(MIN(BF336+BY336+CT336+MAX(Sheet1!AA334+AQ336-73,0),K336)),0)</f>
        <v>11.595723793677205</v>
      </c>
      <c r="EC336" s="535"/>
      <c r="ED336" s="535">
        <f t="shared" si="743"/>
        <v>11.595723793677205</v>
      </c>
      <c r="EE336" s="535"/>
      <c r="EF336" s="535">
        <f>Sheet1!EH334+Sheet1!EI334+Sheet1!EJ334+Sheet1!EK334</f>
        <v>11.5</v>
      </c>
      <c r="EG336" s="1019">
        <f t="shared" si="831"/>
        <v>17.790499999999998</v>
      </c>
      <c r="EH336" s="521">
        <f t="shared" si="744"/>
        <v>0</v>
      </c>
      <c r="EI336" s="535">
        <f>IF(Sheet1!ET334=1,SUM('Calculations II'!AT336:BA336)+'Calculations II'!BC336+Sheet1!BV334+'Calculations II'!BE336+AP336,'Calculations II'!BK336)</f>
        <v>45.931956206322795</v>
      </c>
      <c r="EJ336" s="535">
        <f ca="1">EI336+'Calculations II'!D336+'Calculations II'!E336+'Calculations II'!O336</f>
        <v>45.667014224925815</v>
      </c>
      <c r="EK336" s="535"/>
      <c r="EL336" s="535"/>
      <c r="EM336" s="535">
        <f t="shared" si="745"/>
        <v>43060</v>
      </c>
      <c r="EN336" s="535">
        <f t="shared" si="746"/>
        <v>0</v>
      </c>
      <c r="EO336" s="535">
        <f t="shared" si="747"/>
        <v>0</v>
      </c>
      <c r="EP336" s="535">
        <v>0</v>
      </c>
      <c r="EQ336" s="535">
        <v>0</v>
      </c>
      <c r="ER336" s="535">
        <v>0</v>
      </c>
      <c r="ES336" s="521">
        <f t="shared" si="797"/>
        <v>0</v>
      </c>
      <c r="ET336" s="535">
        <f>-(VLOOKUP(Sheet1!BQ334,Lookup!$O$4:$Q$262,2)-VLOOKUP(Sheet1!BQ333,Lookup!$O$4:$Q$262,2))/1000000</f>
        <v>0</v>
      </c>
      <c r="EU336" s="535">
        <f>-(VLOOKUP(Sheet1!BR334,Lookup!$O$4:$Q$262,3)-VLOOKUP(Sheet1!BR333,Lookup!$O$4:$Q$262,3))/1000000</f>
        <v>0</v>
      </c>
      <c r="EV336" s="535"/>
      <c r="EW336" s="535"/>
      <c r="EX336" s="535"/>
      <c r="EY336" s="535"/>
      <c r="EZ336" s="535"/>
      <c r="FA336" s="535"/>
      <c r="FB336" s="535"/>
      <c r="FC336" s="535"/>
      <c r="FD336" s="567">
        <f t="shared" si="786"/>
        <v>1078.9499999999755</v>
      </c>
      <c r="FE336" s="567" t="e">
        <f t="shared" si="748"/>
        <v>#N/A</v>
      </c>
      <c r="FF336" s="568" t="e">
        <f t="shared" si="749"/>
        <v>#N/A</v>
      </c>
      <c r="FG336" s="569" t="s">
        <v>656</v>
      </c>
      <c r="FH336" s="569" t="s">
        <v>656</v>
      </c>
      <c r="FI336" s="567" t="e">
        <v>#N/A</v>
      </c>
      <c r="FJ336" s="725">
        <v>900</v>
      </c>
      <c r="FK336" s="535"/>
      <c r="FL336" s="1015">
        <f t="shared" si="785"/>
        <v>45.385779122541599</v>
      </c>
      <c r="FM336" s="535"/>
      <c r="FN336" s="535"/>
      <c r="FO336" s="535">
        <f>O336+((Sheet1!CS334)*GPMtoMGD)</f>
        <v>57.989999999999995</v>
      </c>
      <c r="FP336" s="535">
        <f>IF(Sheet1!AA334+AQ336&lt;=Calculation!N336,AQ336,Calculation!N336-Sheet1!AA334)</f>
        <v>18.314276206322795</v>
      </c>
      <c r="FQ336" s="535">
        <f>(Sheet1!BP334+Sheet1!BO334)/694.4</f>
        <v>1.7088133640552994</v>
      </c>
      <c r="FR336" s="541"/>
      <c r="FS336" s="541"/>
      <c r="FT336" s="541"/>
      <c r="FU336" s="541"/>
      <c r="FV336" s="1109">
        <f t="shared" si="798"/>
        <v>42918</v>
      </c>
      <c r="FW336" s="1109">
        <f t="shared" si="799"/>
        <v>43027</v>
      </c>
      <c r="FX336" s="541"/>
      <c r="FY336" s="541">
        <f>Sheet1!DA334-Sheet1!CZ334-Sheet1!AE334</f>
        <v>884.22427000000005</v>
      </c>
      <c r="FZ336" s="535">
        <f t="shared" si="832"/>
        <v>0.23497945958332303</v>
      </c>
      <c r="GA336" s="535"/>
      <c r="GB336" s="535" t="str">
        <f t="shared" si="800"/>
        <v>n</v>
      </c>
      <c r="GC336" s="539">
        <f t="shared" si="801"/>
        <v>42782</v>
      </c>
      <c r="GD336" s="1109">
        <f t="shared" si="802"/>
        <v>42904</v>
      </c>
      <c r="GE336" s="535">
        <f t="shared" si="818"/>
        <v>6520</v>
      </c>
      <c r="GF336" s="1109">
        <f t="shared" si="803"/>
        <v>42909</v>
      </c>
      <c r="GG336" s="535">
        <f t="shared" si="691"/>
        <v>3260</v>
      </c>
      <c r="GH336" s="539">
        <f t="shared" si="804"/>
        <v>43040</v>
      </c>
      <c r="GJ336" s="521">
        <f t="shared" si="805"/>
        <v>0</v>
      </c>
      <c r="GK336" s="535" t="str">
        <f t="shared" si="750"/>
        <v/>
      </c>
      <c r="GL336" s="535">
        <f t="shared" si="806"/>
        <v>0</v>
      </c>
      <c r="GM336" s="535" t="str">
        <f t="shared" si="807"/>
        <v/>
      </c>
      <c r="GN336" s="535">
        <f>IF(GK336="P",Lookup!$M$12,IF(GK336="PP",Lookup!$M$13,IF(GK336="PPP",Lookup!$M$14,IF(GK336="T",Lookup!$M$15,IF(GK336="TP",Lookup!$M$16,IF(GK336="TPP",Lookup!$M$17,IF(GK336="TPPP",Lookup!$M$18,0)))))))*GJ336</f>
        <v>0</v>
      </c>
      <c r="GO336" s="535">
        <f t="shared" si="808"/>
        <v>0</v>
      </c>
      <c r="GP336" s="535">
        <f t="shared" si="751"/>
        <v>0</v>
      </c>
      <c r="GQ336" s="974">
        <f t="shared" si="695"/>
        <v>0</v>
      </c>
      <c r="GR336" s="535"/>
      <c r="GS336" s="535">
        <f t="shared" si="809"/>
        <v>0</v>
      </c>
      <c r="GT336" s="535" t="str">
        <f t="shared" si="810"/>
        <v/>
      </c>
      <c r="GU336" s="535">
        <f>IF(GK336="P",Lookup!$N$12,IF(GK336="PP",Lookup!$N$13,IF(GK336="PPP",Lookup!$N$14,IF(GK336="T",Lookup!$N$15,IF(GK336="TP",Lookup!$N$16,IF(GK336="TPP",Lookup!$N$17,IF(GK336="TPPP",Lookup!$N$18,0)))))))*GJ336</f>
        <v>0</v>
      </c>
      <c r="GV336" s="535">
        <f t="shared" si="811"/>
        <v>0</v>
      </c>
      <c r="GW336" s="535">
        <f t="shared" si="752"/>
        <v>0</v>
      </c>
      <c r="GX336" s="974">
        <f t="shared" si="696"/>
        <v>0</v>
      </c>
      <c r="GY336" s="535"/>
      <c r="GZ336" s="535">
        <f t="shared" si="812"/>
        <v>0</v>
      </c>
      <c r="HA336" s="535" t="str">
        <f t="shared" si="813"/>
        <v/>
      </c>
      <c r="HB336" s="535">
        <f>IF(GK336="P",Lookup!$N$12,IF(GK336="PP",Lookup!$N$13,IF(GK336="PPP",Lookup!$N$14,IF(GK336="T",Lookup!$N$15,IF(GK336="TP",Lookup!$N$16,IF(GK336="TPP",Lookup!$N$17,IF(GK336="TPPP",Lookup!$N$18,0)))))))*GJ336</f>
        <v>0</v>
      </c>
      <c r="HC336" s="521">
        <f t="shared" si="753"/>
        <v>0</v>
      </c>
      <c r="HD336" s="535">
        <f t="shared" si="754"/>
        <v>0</v>
      </c>
      <c r="HE336" s="535">
        <f t="shared" si="816"/>
        <v>0</v>
      </c>
      <c r="HF336" s="535"/>
      <c r="HG336" s="535">
        <f t="shared" si="814"/>
        <v>0</v>
      </c>
      <c r="HH336" s="535" t="str">
        <f t="shared" si="815"/>
        <v/>
      </c>
      <c r="HI336" s="535">
        <f>IF(GK336="P",Lookup!$N$12,IF(GK336="PP",Lookup!$N$13,IF(GK336="PPP",Lookup!$N$14,IF(GK336="T",Lookup!$N$15,IF(GK336="TP",Lookup!$N$16,IF(GK336="TPP",Lookup!$N$17,IF(GK336="TPPP",Lookup!$N$18,0)))))))*GJ336</f>
        <v>0</v>
      </c>
      <c r="HJ336" s="521">
        <f t="shared" si="755"/>
        <v>0</v>
      </c>
      <c r="HK336" s="535">
        <f t="shared" si="756"/>
        <v>0</v>
      </c>
      <c r="HL336" s="535">
        <f t="shared" si="817"/>
        <v>0</v>
      </c>
      <c r="HM336" s="535"/>
      <c r="HN336" s="541"/>
      <c r="HO336" s="541"/>
      <c r="HP336" s="541"/>
      <c r="HQ336" s="541">
        <f>IF(AND(B336&gt;=$FV$4,B336&lt;=$FW$4),MAX(110/1.02+$HQ$6+MIN(113/1.02,G336),IF($HV$6-(Sheet1!DA334-Sheet1!DB334)+MIN(113/1.02,G336)&lt;G336+FL336,$HV$6-(Sheet1!DA334-Sheet1!DB334)+MIN(113/1.02,G336),G336+FL336)),MIN(110/1.02+$HQ$6+113/1.02,G336))</f>
        <v>218.62745098039215</v>
      </c>
      <c r="HR336" s="541">
        <f t="shared" si="833"/>
        <v>223</v>
      </c>
      <c r="HS336" s="541">
        <f>HR336+(Sheet1!DA334-Sheet1!DB334)</f>
        <v>1043</v>
      </c>
      <c r="HT336" s="541">
        <f t="shared" si="834"/>
        <v>0</v>
      </c>
      <c r="HU336" s="541">
        <f t="shared" si="835"/>
        <v>1043</v>
      </c>
      <c r="HV336" s="541">
        <f t="shared" si="836"/>
        <v>0</v>
      </c>
      <c r="HW336" s="533" t="str">
        <f t="shared" si="837"/>
        <v/>
      </c>
      <c r="HX336" s="541">
        <f t="shared" si="838"/>
        <v>4181.3725490196075</v>
      </c>
      <c r="HY336" s="541">
        <f>Sheet1!CZ334</f>
        <v>4400</v>
      </c>
      <c r="HZ336" s="541">
        <f t="shared" si="839"/>
        <v>0</v>
      </c>
      <c r="IA336" s="541">
        <f t="shared" si="840"/>
        <v>0</v>
      </c>
      <c r="IB336" s="541">
        <f t="shared" si="841"/>
        <v>4400</v>
      </c>
      <c r="IC336" s="1019" t="str">
        <f t="shared" si="842"/>
        <v/>
      </c>
      <c r="ID336" s="541">
        <f t="shared" si="843"/>
        <v>4400</v>
      </c>
      <c r="IE336" s="541">
        <f>Sheet1!DB334</f>
        <v>4510</v>
      </c>
      <c r="IF336" s="533">
        <f>Sheet1!DA334</f>
        <v>5330</v>
      </c>
      <c r="IH336" s="541">
        <f>IF(AND($B336&gt;=$GC336,$B336&lt;=$GH336,$DR336&lt;0)+N("only adjusted when pool is drawn down during storage season"),Sheet1!$DB334+$DR336+N("Palmer minus all storage release"),Sheet1!$DB334)</f>
        <v>4510</v>
      </c>
      <c r="II336" s="541">
        <f>IF(AND($B336&gt;=$GC336,$B336&lt;=$GH336,$DR336&lt;0)+N("only adjusted when pool is drawn down during storage season"),Sheet1!$DA334+$DR336+N("Auburn minus all storage release"),Sheet1!$DA334)</f>
        <v>5330</v>
      </c>
    </row>
    <row r="337" spans="1:243" x14ac:dyDescent="0.25">
      <c r="A337" s="553" t="s">
        <v>6</v>
      </c>
      <c r="B337" s="531">
        <v>43061</v>
      </c>
      <c r="C337" s="536">
        <v>0</v>
      </c>
      <c r="D337" s="506">
        <f t="shared" si="787"/>
        <v>300</v>
      </c>
      <c r="E337" s="506">
        <f t="shared" si="788"/>
        <v>250</v>
      </c>
      <c r="F337" s="506">
        <v>250</v>
      </c>
      <c r="G337" s="535">
        <f>DR337+Sheet1!CZ335</f>
        <v>4603.0257186080717</v>
      </c>
      <c r="H337" s="1074">
        <f t="shared" si="844"/>
        <v>2947.5068844799998</v>
      </c>
      <c r="I337" s="534">
        <f>IF(Sheet1!DA335&gt;=E337,(Sheet1!DA335-E337+P337)*CFStoMGD,0)</f>
        <v>3561.5868844799998</v>
      </c>
      <c r="J337" s="995">
        <f>IF(Sheet1!DB335&gt;=D337,(Sheet1!DB335-D337+P337)*CFStoMGD,0)</f>
        <v>2947.5068844799998</v>
      </c>
      <c r="K337" s="818">
        <f t="shared" si="819"/>
        <v>64.64</v>
      </c>
      <c r="L337" s="535">
        <f>Sheet1!AA335+Sheet1!AB335-Sheet1!L335+(Sheet1!DA335-F337)*CFStoMGD-S337-T337-U337</f>
        <v>3471.2379999999998</v>
      </c>
      <c r="M337" s="535">
        <f t="shared" si="697"/>
        <v>3034.9037409984226</v>
      </c>
      <c r="N337" s="824">
        <f>IF(Sheet1!DA335&gt;=F337,MIN(113*CFStoMGD,MIN(MAX(L337,0),MAX(M337,0))),0)</f>
        <v>73.043199999999999</v>
      </c>
      <c r="O337" s="538">
        <f>Sheet1!AA335+Sheet1!AB335</f>
        <v>58.1</v>
      </c>
      <c r="P337" s="538">
        <f t="shared" si="698"/>
        <v>89.88069999999999</v>
      </c>
      <c r="Q337" s="812">
        <f t="shared" si="820"/>
        <v>0</v>
      </c>
      <c r="R337" s="812">
        <f t="shared" si="789"/>
        <v>11.772908366533866</v>
      </c>
      <c r="S337" s="812">
        <f t="shared" si="790"/>
        <v>58.1</v>
      </c>
      <c r="T337" s="812">
        <f t="shared" si="791"/>
        <v>0</v>
      </c>
      <c r="U337" s="812">
        <f>IF(AND(B337&gt;=FV337,B337&lt;=FW337),ED337+Sheet1!EH335,0)</f>
        <v>0</v>
      </c>
      <c r="V337" s="812"/>
      <c r="W337" s="812">
        <f t="shared" si="792"/>
        <v>52.867091633466131</v>
      </c>
      <c r="X337" s="812">
        <f t="shared" si="793"/>
        <v>58.1</v>
      </c>
      <c r="Y337" s="812" t="str">
        <f t="shared" si="794"/>
        <v/>
      </c>
      <c r="Z337" s="812">
        <f t="shared" si="795"/>
        <v>58.1</v>
      </c>
      <c r="AA337" s="812">
        <f t="shared" si="796"/>
        <v>58.1</v>
      </c>
      <c r="AB337" s="1059">
        <f t="shared" si="821"/>
        <v>0</v>
      </c>
      <c r="AC337" s="538">
        <f>Sheet1!Y335*MGDtoCFS</f>
        <v>43.439759999999993</v>
      </c>
      <c r="AD337" s="538">
        <f>Sheet1!Z335*MGDtoCFS</f>
        <v>46.270769999999999</v>
      </c>
      <c r="AE337" s="538">
        <f>Sheet1!AA335*MGDtoCFS</f>
        <v>43.470700000000001</v>
      </c>
      <c r="AF337" s="538">
        <f>Sheet1!AB335*MGDtoCFS</f>
        <v>46.41</v>
      </c>
      <c r="AG337" s="538">
        <f>Sheet1!L335*MGDtoCFS</f>
        <v>49.890749999999997</v>
      </c>
      <c r="AH337" s="521">
        <f t="shared" si="699"/>
        <v>0</v>
      </c>
      <c r="AI337" s="1059">
        <f t="shared" si="700"/>
        <v>0</v>
      </c>
      <c r="AJ337" s="535">
        <f t="shared" si="701"/>
        <v>0</v>
      </c>
      <c r="AK337" s="535">
        <f t="shared" si="702"/>
        <v>0</v>
      </c>
      <c r="AL337" s="535">
        <f>(VLOOKUP(Sheet1!DC335,hhdcap_wcm,4)-(((VLOOKUP(Sheet1!DC335,hhdcap_wcm,3)-Sheet1!DC335)/(VLOOKUP(Sheet1!DC335,hhdcap_wcm,3)-VLOOKUP(Sheet1!DC335,hhdcap_wcm,1)))*(VLOOKUP(Sheet1!DC335,hhdcap_wcm,4)-VLOOKUP(Sheet1!DC335,hhdcap_wcm,2))))</f>
        <v>2253.0000000053728</v>
      </c>
      <c r="AM337" s="535">
        <f t="shared" si="703"/>
        <v>-192.30000000019345</v>
      </c>
      <c r="AN337" s="1035">
        <f t="shared" si="704"/>
        <v>0</v>
      </c>
      <c r="AO337" s="535">
        <f t="shared" si="705"/>
        <v>0</v>
      </c>
      <c r="AP337" s="535">
        <f>Sheet1!BA335+Sheet1!BB335+Sheet1!BN335+CD337</f>
        <v>18.3</v>
      </c>
      <c r="AQ337" s="535">
        <f>Sheet1!BN335+(DO337*Sheet1!BN335)</f>
        <v>18.227091633466134</v>
      </c>
      <c r="AR337" s="535">
        <f>Sheet1!BA335+CD337</f>
        <v>0</v>
      </c>
      <c r="AS337" s="535">
        <f>Sheet1!BA335+Sheet1!BB335+CD337</f>
        <v>0</v>
      </c>
      <c r="AT337" s="649">
        <f>0</f>
        <v>0</v>
      </c>
      <c r="AU337" s="974">
        <f>BA337+MAX(Sheet1!EH335,(O337-Q337-ED337-S337))</f>
        <v>0</v>
      </c>
      <c r="AV337" s="535">
        <f>IF(OR(B337&gt;=GD337,B337&lt;GC337),0,15/36*K337-MAX(0,64.6-(137.6-(Sheet1!AA335+Sheet1!AB335))))</f>
        <v>0</v>
      </c>
      <c r="AW337" s="1029"/>
      <c r="AX337" s="649"/>
      <c r="AY337" s="649">
        <f t="shared" si="822"/>
        <v>23.311716569431731</v>
      </c>
      <c r="AZ337" s="649">
        <f t="shared" si="823"/>
        <v>0</v>
      </c>
      <c r="BA337" s="1059">
        <f t="shared" si="824"/>
        <v>0</v>
      </c>
      <c r="BB337" s="1019">
        <f t="shared" si="706"/>
        <v>0</v>
      </c>
      <c r="BC337" s="1041">
        <f t="shared" si="825"/>
        <v>26.933333333333334</v>
      </c>
      <c r="BD337" s="1019">
        <f ca="1">IF(B337&gt;(Summary!$A$1-1),#N/A,BB337*MGtoAF)</f>
        <v>0</v>
      </c>
      <c r="BE337" s="535">
        <f>Sheet1!BG335+Sheet1!BH335+Sheet1!BI335-BM337</f>
        <v>2.95</v>
      </c>
      <c r="BF337" s="535">
        <f t="shared" si="707"/>
        <v>2.9382470119521913</v>
      </c>
      <c r="BG337" s="535">
        <f>IF(Sheet1!EP335="FM",BM337,0)</f>
        <v>0</v>
      </c>
      <c r="BH337" s="535">
        <f t="shared" si="708"/>
        <v>0</v>
      </c>
      <c r="BI337" s="535">
        <f>IF(Sheet1!EP335="OTHER",BM337,0)</f>
        <v>0</v>
      </c>
      <c r="BJ337" s="535">
        <f t="shared" si="709"/>
        <v>0</v>
      </c>
      <c r="BK337" s="535">
        <f t="shared" si="710"/>
        <v>2.95</v>
      </c>
      <c r="BL337" s="535">
        <f t="shared" si="711"/>
        <v>2.9382470119521913</v>
      </c>
      <c r="BM337" s="535">
        <f>IF(OR(Sheet1!EP335="FM", Sheet1!EP335="OTHER"),SUM(Sheet1!BG335:'Sheet1'!BI335),0)</f>
        <v>0</v>
      </c>
      <c r="BN337" s="521">
        <f>IF(AND($B337&gt;=$FV337,$B337&lt;=$FW337),MAX(BF337,Sheet1!EI335,0),MAX(BF337-(7/36)*$K337,0))</f>
        <v>0</v>
      </c>
      <c r="BO337" s="535">
        <f t="shared" si="712"/>
        <v>0</v>
      </c>
      <c r="BP337" s="521">
        <f t="shared" si="713"/>
        <v>2.9382470119521913</v>
      </c>
      <c r="BQ337" s="521">
        <f>IF(AND($O337&gt;0,Sheet1!EM335=1),(1-($O337-Sheet1!$L335)/$O337)*BL337,0)</f>
        <v>0</v>
      </c>
      <c r="BR337" s="521">
        <f>IF(AND(Sheet1!$L335=0,Sheet1!$L334=0, Calculation!BK337&lt;Sheet1!$EI335-0.1,Sheet1!$EI335=Sheet1!$EI334,Sheet1!$EI335=Sheet1!$EI336),BL337-BQ337,BL337-BQ337)</f>
        <v>2.9382470119521913</v>
      </c>
      <c r="BS337" s="1035" t="str">
        <f t="shared" si="826"/>
        <v/>
      </c>
      <c r="BT337" s="1035">
        <f t="shared" si="827"/>
        <v>12.568888888888889</v>
      </c>
      <c r="BU337" s="535">
        <f t="shared" si="714"/>
        <v>0</v>
      </c>
      <c r="BV337" s="535"/>
      <c r="BW337" s="535">
        <f ca="1">IF(B337&gt;(Summary!$A$1-1),#N/A,BU337*MGtoAF)</f>
        <v>0</v>
      </c>
      <c r="BX337" s="535">
        <f>Sheet1!BC335+Sheet1!BD335+Sheet1!BE335+Sheet1!BF335-CG337-CH337</f>
        <v>2.98</v>
      </c>
      <c r="BY337" s="535">
        <f t="shared" si="715"/>
        <v>2.9681274900398407</v>
      </c>
      <c r="BZ337" s="535">
        <f>IF(Sheet1!EQ335="FM",CH337,0)</f>
        <v>0</v>
      </c>
      <c r="CA337" s="535">
        <f t="shared" si="716"/>
        <v>0</v>
      </c>
      <c r="CB337" s="535">
        <f>IF(Sheet1!EQ335="OTHER",CH337,0)</f>
        <v>0</v>
      </c>
      <c r="CC337" s="535">
        <f t="shared" si="717"/>
        <v>0</v>
      </c>
      <c r="CD337" s="535">
        <f t="shared" si="718"/>
        <v>0</v>
      </c>
      <c r="CE337" s="535">
        <f t="shared" si="719"/>
        <v>2.98</v>
      </c>
      <c r="CF337" s="535">
        <f t="shared" si="720"/>
        <v>2.9681274900398407</v>
      </c>
      <c r="CG337" s="535">
        <f>IF(Sheet1!EQ335="CWA",SUM(Sheet1!BC335:'Sheet1'!BF335),0)</f>
        <v>0</v>
      </c>
      <c r="CH337" s="535">
        <f>IF(OR(Sheet1!EQ335="FM", Sheet1!EQ335="OTHER"),SUM(Sheet1!BC335:'Sheet1'!BF335),0)</f>
        <v>0</v>
      </c>
      <c r="CI337" s="521">
        <f>IF(AND($B337&gt;=$FV337,$B337&lt;=$FW337),MAX(CF337,Sheet1!EJ335,0),MAX(CF337-(7/36)*$K337,0))</f>
        <v>0</v>
      </c>
      <c r="CJ337" s="535">
        <f t="shared" si="721"/>
        <v>0</v>
      </c>
      <c r="CK337" s="521">
        <f t="shared" si="722"/>
        <v>2.9681274900398407</v>
      </c>
      <c r="CL337" s="521">
        <f>IF(AND($O337&gt;0,Sheet1!EN335=1),(1-($O337-Sheet1!$L335)/$O337)*CF337,0)</f>
        <v>0</v>
      </c>
      <c r="CM337" s="521">
        <f>IF(AND(Sheet1!$L335=0,Sheet1!$L334=0, Calculation!CE337&lt;Sheet1!EJ335-0.1,Sheet1!EJ335=Sheet1!EJ334,Sheet1!EJ335=Sheet1!EJ336),CF337-CL337,CF337-CL337)</f>
        <v>2.9681274900398407</v>
      </c>
      <c r="CN337" s="1040" t="str">
        <f t="shared" si="828"/>
        <v/>
      </c>
      <c r="CO337" s="1035">
        <f t="shared" si="829"/>
        <v>12.568888888888889</v>
      </c>
      <c r="CP337" s="535">
        <f t="shared" si="723"/>
        <v>0</v>
      </c>
      <c r="CQ337" s="535"/>
      <c r="CR337" s="535">
        <f ca="1">IF(B337&gt;(Summary!$A$1-1),#N/A,CP337*MGtoAF)</f>
        <v>0</v>
      </c>
      <c r="CS337" s="535">
        <f>Sheet1!BK335+Sheet1!BL335+Sheet1!BM335-Sheet1!ER335-DA337</f>
        <v>5.8900000000000006</v>
      </c>
      <c r="CT337" s="535">
        <f t="shared" si="724"/>
        <v>5.8665338645418332</v>
      </c>
      <c r="CU337" s="535">
        <f>IF(Sheet1!ER335="FM",DA337,0)</f>
        <v>0</v>
      </c>
      <c r="CV337" s="535">
        <f t="shared" si="725"/>
        <v>0</v>
      </c>
      <c r="CW337" s="535">
        <f>IF(Sheet1!ER335="OTHER",DA337,0)</f>
        <v>0</v>
      </c>
      <c r="CX337" s="535">
        <f t="shared" si="726"/>
        <v>0</v>
      </c>
      <c r="CY337" s="535">
        <f t="shared" si="727"/>
        <v>5.8900000000000006</v>
      </c>
      <c r="CZ337" s="535">
        <f t="shared" si="728"/>
        <v>5.8665338645418332</v>
      </c>
      <c r="DA337" s="535">
        <f>IF(OR(Sheet1!ER335="FM", Sheet1!ER335="OTHER"),SUM(Sheet1!BK335:'Sheet1'!BM335),0)</f>
        <v>0</v>
      </c>
      <c r="DB337" s="1011">
        <f>IF(AND($B337&gt;=$FV337,$B337&lt;=$FW337),MAX($CT337,Sheet1!EK335,0),MAX($CT337-(7/36)*$K337,0))</f>
        <v>0</v>
      </c>
      <c r="DC337" s="1012">
        <f t="shared" si="729"/>
        <v>0</v>
      </c>
      <c r="DD337" s="1011">
        <f t="shared" si="730"/>
        <v>5.8665338645418332</v>
      </c>
      <c r="DE337" s="521">
        <f>IF(AND($O337&gt;0,Sheet1!EO335=1),(1-($O337-Sheet1!$L335)/$O337)*CZ337,0)</f>
        <v>0</v>
      </c>
      <c r="DF337" s="521">
        <f>IF(AND(Sheet1!$L335=0,Sheet1!$L334=0, Calculation!CY337&lt;Sheet1!$EK335-0.1,Sheet1!$EK335=Sheet1!$EK334,Sheet1!$EK335=Sheet1!$EK336),CZ337-DE337,CZ337-DE337)</f>
        <v>5.8665338645418332</v>
      </c>
      <c r="DG337" s="1040">
        <f t="shared" si="830"/>
        <v>12.568888888888889</v>
      </c>
      <c r="DH337" s="649">
        <f t="shared" si="731"/>
        <v>11.82</v>
      </c>
      <c r="DI337" s="535">
        <f t="shared" si="732"/>
        <v>0</v>
      </c>
      <c r="DJ337" s="649">
        <f t="shared" si="733"/>
        <v>11.772908366533866</v>
      </c>
      <c r="DK337" s="535">
        <f ca="1">IF(B337&gt;(Summary!$A$1-1),#N/A,DI337*MGtoAF)</f>
        <v>0</v>
      </c>
      <c r="DL337" s="649">
        <f t="shared" si="734"/>
        <v>11.82</v>
      </c>
      <c r="DM337" s="535">
        <f t="shared" si="735"/>
        <v>30.12</v>
      </c>
      <c r="DN337" s="535">
        <f>Sheet1!AB335-DM337</f>
        <v>-0.12000000000000099</v>
      </c>
      <c r="DO337" s="743">
        <f t="shared" si="736"/>
        <v>-3.9840637450199532E-3</v>
      </c>
      <c r="DP337" s="535">
        <f>(VLOOKUP(Sheet1!DC335,hhdcap_wcm,4)-(((VLOOKUP(Sheet1!DC335,hhdcap_wcm,3)-Sheet1!DC335)/(VLOOKUP(Sheet1!DC335,hhdcap_wcm,3)-VLOOKUP(Sheet1!DC335,hhdcap_wcm,1)))*(VLOOKUP(Sheet1!DC335,hhdcap_wcm,4)-VLOOKUP(Sheet1!DC335,hhdcap_wcm,2))))</f>
        <v>2253.0000000053728</v>
      </c>
      <c r="DQ337" s="535">
        <f t="shared" si="737"/>
        <v>-192.30000000019345</v>
      </c>
      <c r="DR337" s="535">
        <f t="shared" si="738"/>
        <v>-96.974281391928102</v>
      </c>
      <c r="DS337" s="535">
        <f>Sheet1!EA335*AFtoMG</f>
        <v>0</v>
      </c>
      <c r="DT337" s="535">
        <f>Sheet1!EB335*AFtoMG</f>
        <v>0</v>
      </c>
      <c r="DU337" s="535">
        <f>Sheet1!EC335*AFtoMG</f>
        <v>0</v>
      </c>
      <c r="DV337" s="535">
        <f>Sheet1!ED335*AFtoMG</f>
        <v>0</v>
      </c>
      <c r="DW337" s="535">
        <f t="shared" si="739"/>
        <v>0</v>
      </c>
      <c r="DX337" s="535">
        <f t="shared" si="740"/>
        <v>0</v>
      </c>
      <c r="DY337" s="535">
        <f t="shared" si="741"/>
        <v>0</v>
      </c>
      <c r="DZ337" s="535">
        <f t="shared" si="742"/>
        <v>0</v>
      </c>
      <c r="EA337" s="535"/>
      <c r="EB337" s="521">
        <f>IF(OR(B337&lt;FV337,B337&gt;FW337),(MIN(BF337+BY337+CT337+MAX(Sheet1!AA335+AQ337-73,0),K337)),0)</f>
        <v>11.772908366533866</v>
      </c>
      <c r="EC337" s="535"/>
      <c r="ED337" s="535">
        <f t="shared" si="743"/>
        <v>11.772908366533866</v>
      </c>
      <c r="EE337" s="535"/>
      <c r="EF337" s="535">
        <f>Sheet1!EH335+Sheet1!EI335+Sheet1!EJ335+Sheet1!EK335</f>
        <v>11.5</v>
      </c>
      <c r="EG337" s="1019">
        <f t="shared" si="831"/>
        <v>17.790499999999998</v>
      </c>
      <c r="EH337" s="521">
        <f t="shared" si="744"/>
        <v>0</v>
      </c>
      <c r="EI337" s="535">
        <f>IF(Sheet1!ET335=1,SUM('Calculations II'!AT337:BA337)+'Calculations II'!BC337+Sheet1!BV335+'Calculations II'!BE337+AP337,'Calculations II'!BK337)</f>
        <v>45.971353633466137</v>
      </c>
      <c r="EJ337" s="535">
        <f ca="1">EI337+'Calculations II'!D337+'Calculations II'!E337+'Calculations II'!O337</f>
        <v>46.791785547149736</v>
      </c>
      <c r="EK337" s="535"/>
      <c r="EL337" s="535"/>
      <c r="EM337" s="535">
        <f t="shared" si="745"/>
        <v>43061</v>
      </c>
      <c r="EN337" s="535">
        <f t="shared" si="746"/>
        <v>0</v>
      </c>
      <c r="EO337" s="535">
        <f t="shared" si="747"/>
        <v>0</v>
      </c>
      <c r="EP337" s="535">
        <v>0</v>
      </c>
      <c r="EQ337" s="535">
        <v>0</v>
      </c>
      <c r="ER337" s="535">
        <v>0</v>
      </c>
      <c r="ES337" s="521">
        <f t="shared" si="797"/>
        <v>0.41538384020018576</v>
      </c>
      <c r="ET337" s="535">
        <f>-(VLOOKUP(Sheet1!BQ335,Lookup!$O$4:$Q$262,2)-VLOOKUP(Sheet1!BQ334,Lookup!$O$4:$Q$262,2))/1000000</f>
        <v>0.27688624853625521</v>
      </c>
      <c r="EU337" s="535">
        <f>-(VLOOKUP(Sheet1!BR335,Lookup!$O$4:$Q$262,3)-VLOOKUP(Sheet1!BR334,Lookup!$O$4:$Q$262,3))/1000000</f>
        <v>0.13849759166393055</v>
      </c>
      <c r="EV337" s="535"/>
      <c r="EW337" s="535"/>
      <c r="EX337" s="535"/>
      <c r="EY337" s="535"/>
      <c r="EZ337" s="535"/>
      <c r="FA337" s="535"/>
      <c r="FB337" s="535"/>
      <c r="FC337" s="535"/>
      <c r="FD337" s="567">
        <f t="shared" si="786"/>
        <v>1078.2307692307454</v>
      </c>
      <c r="FE337" s="567" t="e">
        <f t="shared" si="748"/>
        <v>#N/A</v>
      </c>
      <c r="FF337" s="568" t="e">
        <f t="shared" si="749"/>
        <v>#N/A</v>
      </c>
      <c r="FG337" s="569" t="s">
        <v>656</v>
      </c>
      <c r="FH337" s="569" t="s">
        <v>656</v>
      </c>
      <c r="FI337" s="567" t="e">
        <v>#N/A</v>
      </c>
      <c r="FJ337" s="725">
        <v>810</v>
      </c>
      <c r="FK337" s="535"/>
      <c r="FL337" s="1015">
        <f t="shared" si="785"/>
        <v>45.385779122541599</v>
      </c>
      <c r="FM337" s="535"/>
      <c r="FN337" s="535"/>
      <c r="FO337" s="535">
        <f>O337+((Sheet1!CS335)*GPMtoMGD)</f>
        <v>58.1</v>
      </c>
      <c r="FP337" s="535">
        <f>IF(Sheet1!AA335+AQ337&lt;=Calculation!N337,AQ337,Calculation!N337-Sheet1!AA335)</f>
        <v>18.227091633466134</v>
      </c>
      <c r="FQ337" s="535">
        <f>(Sheet1!BP335+Sheet1!BO335)/694.4</f>
        <v>1.6031105990783412</v>
      </c>
      <c r="FR337" s="541"/>
      <c r="FS337" s="541"/>
      <c r="FT337" s="541"/>
      <c r="FU337" s="541"/>
      <c r="FV337" s="1109">
        <f t="shared" si="798"/>
        <v>42918</v>
      </c>
      <c r="FW337" s="1109">
        <f t="shared" si="799"/>
        <v>43027</v>
      </c>
      <c r="FX337" s="541"/>
      <c r="FY337" s="541">
        <f>Sheet1!DA335-Sheet1!CZ335-Sheet1!AE335</f>
        <v>930.01004999999998</v>
      </c>
      <c r="FZ337" s="535">
        <f t="shared" si="832"/>
        <v>0.20204320089726321</v>
      </c>
      <c r="GA337" s="535"/>
      <c r="GB337" s="535" t="str">
        <f t="shared" si="800"/>
        <v>n</v>
      </c>
      <c r="GC337" s="539">
        <f t="shared" si="801"/>
        <v>42782</v>
      </c>
      <c r="GD337" s="1109">
        <f t="shared" si="802"/>
        <v>42904</v>
      </c>
      <c r="GE337" s="535">
        <f t="shared" si="818"/>
        <v>6520</v>
      </c>
      <c r="GF337" s="1109">
        <f t="shared" si="803"/>
        <v>42909</v>
      </c>
      <c r="GG337" s="535">
        <f t="shared" si="691"/>
        <v>3260</v>
      </c>
      <c r="GH337" s="539">
        <f t="shared" si="804"/>
        <v>43040</v>
      </c>
      <c r="GJ337" s="521">
        <f t="shared" si="805"/>
        <v>0</v>
      </c>
      <c r="GK337" s="535" t="str">
        <f t="shared" si="750"/>
        <v/>
      </c>
      <c r="GL337" s="535">
        <f t="shared" si="806"/>
        <v>0</v>
      </c>
      <c r="GM337" s="535" t="str">
        <f t="shared" si="807"/>
        <v/>
      </c>
      <c r="GN337" s="535">
        <f>IF(GK337="P",Lookup!$M$12,IF(GK337="PP",Lookup!$M$13,IF(GK337="PPP",Lookup!$M$14,IF(GK337="T",Lookup!$M$15,IF(GK337="TP",Lookup!$M$16,IF(GK337="TPP",Lookup!$M$17,IF(GK337="TPPP",Lookup!$M$18,0)))))))*GJ337</f>
        <v>0</v>
      </c>
      <c r="GO337" s="535">
        <f t="shared" si="808"/>
        <v>0</v>
      </c>
      <c r="GP337" s="535">
        <f t="shared" si="751"/>
        <v>0</v>
      </c>
      <c r="GQ337" s="974">
        <f t="shared" si="695"/>
        <v>0</v>
      </c>
      <c r="GR337" s="535"/>
      <c r="GS337" s="535">
        <f t="shared" si="809"/>
        <v>0</v>
      </c>
      <c r="GT337" s="535" t="str">
        <f t="shared" si="810"/>
        <v/>
      </c>
      <c r="GU337" s="535">
        <f>IF(GK337="P",Lookup!$N$12,IF(GK337="PP",Lookup!$N$13,IF(GK337="PPP",Lookup!$N$14,IF(GK337="T",Lookup!$N$15,IF(GK337="TP",Lookup!$N$16,IF(GK337="TPP",Lookup!$N$17,IF(GK337="TPPP",Lookup!$N$18,0)))))))*GJ337</f>
        <v>0</v>
      </c>
      <c r="GV337" s="535">
        <f t="shared" si="811"/>
        <v>0</v>
      </c>
      <c r="GW337" s="535">
        <f t="shared" si="752"/>
        <v>0</v>
      </c>
      <c r="GX337" s="974">
        <f t="shared" si="696"/>
        <v>0</v>
      </c>
      <c r="GY337" s="535"/>
      <c r="GZ337" s="535">
        <f t="shared" si="812"/>
        <v>0</v>
      </c>
      <c r="HA337" s="535" t="str">
        <f t="shared" si="813"/>
        <v/>
      </c>
      <c r="HB337" s="535">
        <f>IF(GK337="P",Lookup!$N$12,IF(GK337="PP",Lookup!$N$13,IF(GK337="PPP",Lookup!$N$14,IF(GK337="T",Lookup!$N$15,IF(GK337="TP",Lookup!$N$16,IF(GK337="TPP",Lookup!$N$17,IF(GK337="TPPP",Lookup!$N$18,0)))))))*GJ337</f>
        <v>0</v>
      </c>
      <c r="HC337" s="521">
        <f t="shared" si="753"/>
        <v>0</v>
      </c>
      <c r="HD337" s="535">
        <f t="shared" si="754"/>
        <v>0</v>
      </c>
      <c r="HE337" s="535">
        <f t="shared" si="816"/>
        <v>0</v>
      </c>
      <c r="HF337" s="535"/>
      <c r="HG337" s="535">
        <f t="shared" si="814"/>
        <v>0</v>
      </c>
      <c r="HH337" s="535" t="str">
        <f t="shared" si="815"/>
        <v/>
      </c>
      <c r="HI337" s="535">
        <f>IF(GK337="P",Lookup!$N$12,IF(GK337="PP",Lookup!$N$13,IF(GK337="PPP",Lookup!$N$14,IF(GK337="T",Lookup!$N$15,IF(GK337="TP",Lookup!$N$16,IF(GK337="TPP",Lookup!$N$17,IF(GK337="TPPP",Lookup!$N$18,0)))))))*GJ337</f>
        <v>0</v>
      </c>
      <c r="HJ337" s="521">
        <f t="shared" si="755"/>
        <v>0</v>
      </c>
      <c r="HK337" s="535">
        <f t="shared" si="756"/>
        <v>0</v>
      </c>
      <c r="HL337" s="535">
        <f t="shared" si="817"/>
        <v>0</v>
      </c>
      <c r="HM337" s="535"/>
      <c r="HN337" s="541"/>
      <c r="HO337" s="541"/>
      <c r="HP337" s="541"/>
      <c r="HQ337" s="541">
        <f>IF(AND(B337&gt;=$FV$4,B337&lt;=$FW$4),MAX(110/1.02+$HQ$6+MIN(113/1.02,G337),IF($HV$6-(Sheet1!DA335-Sheet1!DB335)+MIN(113/1.02,G337)&lt;G337+FL337,$HV$6-(Sheet1!DA335-Sheet1!DB335)+MIN(113/1.02,G337),G337+FL337)),MIN(110/1.02+$HQ$6+113/1.02,G337))</f>
        <v>218.62745098039215</v>
      </c>
      <c r="HR337" s="541">
        <f t="shared" si="833"/>
        <v>223</v>
      </c>
      <c r="HS337" s="541">
        <f>HR337+(Sheet1!DA335-Sheet1!DB335)</f>
        <v>1123</v>
      </c>
      <c r="HT337" s="541">
        <f t="shared" si="834"/>
        <v>0</v>
      </c>
      <c r="HU337" s="541">
        <f t="shared" si="835"/>
        <v>1123</v>
      </c>
      <c r="HV337" s="541">
        <f t="shared" si="836"/>
        <v>0</v>
      </c>
      <c r="HW337" s="533" t="str">
        <f t="shared" si="837"/>
        <v/>
      </c>
      <c r="HX337" s="541">
        <f t="shared" si="838"/>
        <v>4481.3725490196075</v>
      </c>
      <c r="HY337" s="541">
        <f>Sheet1!CZ335</f>
        <v>4700</v>
      </c>
      <c r="HZ337" s="541">
        <f t="shared" si="839"/>
        <v>0</v>
      </c>
      <c r="IA337" s="541">
        <f t="shared" si="840"/>
        <v>0</v>
      </c>
      <c r="IB337" s="541">
        <f t="shared" si="841"/>
        <v>4700</v>
      </c>
      <c r="IC337" s="1019" t="str">
        <f t="shared" si="842"/>
        <v/>
      </c>
      <c r="ID337" s="541">
        <f t="shared" si="843"/>
        <v>4700</v>
      </c>
      <c r="IE337" s="541">
        <f>Sheet1!DB335</f>
        <v>4770</v>
      </c>
      <c r="IF337" s="533">
        <f>Sheet1!DA335</f>
        <v>5670</v>
      </c>
      <c r="IH337" s="541">
        <f>IF(AND($B337&gt;=$GC337,$B337&lt;=$GH337,$DR337&lt;0)+N("only adjusted when pool is drawn down during storage season"),Sheet1!$DB335+$DR337+N("Palmer minus all storage release"),Sheet1!$DB335)</f>
        <v>4770</v>
      </c>
      <c r="II337" s="541">
        <f>IF(AND($B337&gt;=$GC337,$B337&lt;=$GH337,$DR337&lt;0)+N("only adjusted when pool is drawn down during storage season"),Sheet1!$DA335+$DR337+N("Auburn minus all storage release"),Sheet1!$DA335)</f>
        <v>5670</v>
      </c>
    </row>
    <row r="338" spans="1:243" x14ac:dyDescent="0.25">
      <c r="A338" s="553" t="s">
        <v>7</v>
      </c>
      <c r="B338" s="531">
        <v>43062</v>
      </c>
      <c r="C338" s="536">
        <v>0</v>
      </c>
      <c r="D338" s="506">
        <f t="shared" si="787"/>
        <v>300</v>
      </c>
      <c r="E338" s="506">
        <f t="shared" si="788"/>
        <v>250</v>
      </c>
      <c r="F338" s="506">
        <v>250</v>
      </c>
      <c r="G338" s="535">
        <f>DR338+Sheet1!CZ336</f>
        <v>7969.899142717567</v>
      </c>
      <c r="H338" s="1074">
        <f t="shared" si="844"/>
        <v>3619.6328869759996</v>
      </c>
      <c r="I338" s="534">
        <f>IF(Sheet1!DA336&gt;=E338,(Sheet1!DA336-E338+P338)*CFStoMGD,0)</f>
        <v>4324.208886976</v>
      </c>
      <c r="J338" s="995">
        <f>IF(Sheet1!DB336&gt;=D338,(Sheet1!DB336-D338+P338)*CFStoMGD,0)</f>
        <v>3619.6328869759996</v>
      </c>
      <c r="K338" s="818">
        <f t="shared" si="819"/>
        <v>64.64</v>
      </c>
      <c r="L338" s="535">
        <f>Sheet1!AA336+Sheet1!AB336-Sheet1!L336+(Sheet1!DA336-F338)*CFStoMGD-S338-T338-U338</f>
        <v>4226.1200000000008</v>
      </c>
      <c r="M338" s="535">
        <f t="shared" si="697"/>
        <v>5254.7776619696879</v>
      </c>
      <c r="N338" s="824">
        <f>IF(Sheet1!DA336&gt;=F338,MIN(113*CFStoMGD,MIN(MAX(L338,0),MAX(M338,0))),0)</f>
        <v>73.043199999999999</v>
      </c>
      <c r="O338" s="538">
        <f>Sheet1!AA336+Sheet1!AB336</f>
        <v>57.97</v>
      </c>
      <c r="P338" s="538">
        <f t="shared" si="698"/>
        <v>89.67958999999999</v>
      </c>
      <c r="Q338" s="812">
        <f t="shared" si="820"/>
        <v>0</v>
      </c>
      <c r="R338" s="812">
        <f t="shared" si="789"/>
        <v>11.169141531322506</v>
      </c>
      <c r="S338" s="812">
        <f t="shared" si="790"/>
        <v>57.97</v>
      </c>
      <c r="T338" s="812">
        <f t="shared" si="791"/>
        <v>0</v>
      </c>
      <c r="U338" s="812">
        <f>IF(AND(B338&gt;=FV338,B338&lt;=FW338),ED338+Sheet1!EH336,0)</f>
        <v>0</v>
      </c>
      <c r="V338" s="812"/>
      <c r="W338" s="812">
        <f t="shared" si="792"/>
        <v>53.470858468677491</v>
      </c>
      <c r="X338" s="812">
        <f t="shared" si="793"/>
        <v>57.97</v>
      </c>
      <c r="Y338" s="812" t="str">
        <f t="shared" si="794"/>
        <v/>
      </c>
      <c r="Z338" s="812">
        <f t="shared" si="795"/>
        <v>57.97</v>
      </c>
      <c r="AA338" s="812">
        <f t="shared" si="796"/>
        <v>57.97</v>
      </c>
      <c r="AB338" s="1059">
        <f t="shared" si="821"/>
        <v>0</v>
      </c>
      <c r="AC338" s="538">
        <f>Sheet1!Y336*MGDtoCFS</f>
        <v>43.470700000000001</v>
      </c>
      <c r="AD338" s="538">
        <f>Sheet1!Z336*MGDtoCFS</f>
        <v>46.41</v>
      </c>
      <c r="AE338" s="538">
        <f>Sheet1!AA336*MGDtoCFS</f>
        <v>43.424289999999999</v>
      </c>
      <c r="AF338" s="538">
        <f>Sheet1!AB336*MGDtoCFS</f>
        <v>46.255299999999998</v>
      </c>
      <c r="AG338" s="538">
        <f>Sheet1!L336*MGDtoCFS</f>
        <v>62.065639999998425</v>
      </c>
      <c r="AH338" s="521">
        <f t="shared" si="699"/>
        <v>0</v>
      </c>
      <c r="AI338" s="1059">
        <f t="shared" si="700"/>
        <v>0</v>
      </c>
      <c r="AJ338" s="535">
        <f t="shared" si="701"/>
        <v>0</v>
      </c>
      <c r="AK338" s="535">
        <f t="shared" si="702"/>
        <v>0</v>
      </c>
      <c r="AL338" s="535">
        <f>(VLOOKUP(Sheet1!DC336,hhdcap_wcm,4)-(((VLOOKUP(Sheet1!DC336,hhdcap_wcm,3)-Sheet1!DC336)/(VLOOKUP(Sheet1!DC336,hhdcap_wcm,3)-VLOOKUP(Sheet1!DC336,hhdcap_wcm,1)))*(VLOOKUP(Sheet1!DC336,hhdcap_wcm,4)-VLOOKUP(Sheet1!DC336,hhdcap_wcm,2))))</f>
        <v>6813.7000000143089</v>
      </c>
      <c r="AM338" s="535">
        <f t="shared" si="703"/>
        <v>4560.7000000089356</v>
      </c>
      <c r="AN338" s="1035">
        <f t="shared" si="704"/>
        <v>0</v>
      </c>
      <c r="AO338" s="535">
        <f t="shared" si="705"/>
        <v>0</v>
      </c>
      <c r="AP338" s="535">
        <f>Sheet1!BA336+Sheet1!BB336+Sheet1!BN336+CD338</f>
        <v>18.899999999999999</v>
      </c>
      <c r="AQ338" s="535">
        <f>Sheet1!BN336+(DO338*Sheet1!BN336)</f>
        <v>18.730858468677493</v>
      </c>
      <c r="AR338" s="535">
        <f>Sheet1!BA336+CD338</f>
        <v>0</v>
      </c>
      <c r="AS338" s="535">
        <f>Sheet1!BA336+Sheet1!BB336+CD338</f>
        <v>0</v>
      </c>
      <c r="AT338" s="649">
        <f>0</f>
        <v>0</v>
      </c>
      <c r="AU338" s="974">
        <f>BA338+MAX(Sheet1!EH336,(O338-Q338-ED338-S338))</f>
        <v>0</v>
      </c>
      <c r="AV338" s="535">
        <f>IF(OR(B338&gt;=GD338,B338&lt;GC338),0,15/36*K338-MAX(0,64.6-(137.6-(Sheet1!AA336+Sheet1!AB336))))</f>
        <v>0</v>
      </c>
      <c r="AW338" s="1029"/>
      <c r="AX338" s="649"/>
      <c r="AY338" s="649">
        <f t="shared" si="822"/>
        <v>23.311716569431731</v>
      </c>
      <c r="AZ338" s="649">
        <f t="shared" si="823"/>
        <v>0</v>
      </c>
      <c r="BA338" s="1059">
        <f t="shared" si="824"/>
        <v>0</v>
      </c>
      <c r="BB338" s="1019">
        <f t="shared" si="706"/>
        <v>0</v>
      </c>
      <c r="BC338" s="1041">
        <f t="shared" si="825"/>
        <v>26.933333333333334</v>
      </c>
      <c r="BD338" s="1019">
        <f ca="1">IF(B338&gt;(Summary!$A$1-1),#N/A,BB338*MGtoAF)</f>
        <v>0</v>
      </c>
      <c r="BE338" s="535">
        <f>Sheet1!BG336+Sheet1!BH336+Sheet1!BI336-BM338</f>
        <v>2.75</v>
      </c>
      <c r="BF338" s="535">
        <f t="shared" si="707"/>
        <v>2.7253894597282069</v>
      </c>
      <c r="BG338" s="535">
        <f>IF(Sheet1!EP336="FM",BM338,0)</f>
        <v>0</v>
      </c>
      <c r="BH338" s="535">
        <f t="shared" si="708"/>
        <v>0</v>
      </c>
      <c r="BI338" s="535">
        <f>IF(Sheet1!EP336="OTHER",BM338,0)</f>
        <v>0</v>
      </c>
      <c r="BJ338" s="535">
        <f t="shared" si="709"/>
        <v>0</v>
      </c>
      <c r="BK338" s="535">
        <f t="shared" si="710"/>
        <v>2.75</v>
      </c>
      <c r="BL338" s="535">
        <f t="shared" si="711"/>
        <v>2.7253894597282069</v>
      </c>
      <c r="BM338" s="535">
        <f>IF(OR(Sheet1!EP336="FM", Sheet1!EP336="OTHER"),SUM(Sheet1!BG336:'Sheet1'!BI336),0)</f>
        <v>0</v>
      </c>
      <c r="BN338" s="521">
        <f>IF(AND($B338&gt;=$FV338,$B338&lt;=$FW338),MAX(BF338,Sheet1!EI336,0),MAX(BF338-(7/36)*$K338,0))</f>
        <v>0</v>
      </c>
      <c r="BO338" s="535">
        <f t="shared" si="712"/>
        <v>0</v>
      </c>
      <c r="BP338" s="521">
        <f t="shared" si="713"/>
        <v>2.7253894597282069</v>
      </c>
      <c r="BQ338" s="521">
        <f>IF(AND($O338&gt;0,Sheet1!EM336=1),(1-($O338-Sheet1!$L336)/$O338)*BL338,0)</f>
        <v>0</v>
      </c>
      <c r="BR338" s="521">
        <f>IF(AND(Sheet1!$L336=0,Sheet1!$L335=0, Calculation!BK338&lt;Sheet1!$EI336-0.1,Sheet1!$EI336=Sheet1!$EI335,Sheet1!$EI336=Sheet1!$EI337),BL338-BQ338,BL338-BQ338)</f>
        <v>2.7253894597282069</v>
      </c>
      <c r="BS338" s="1035" t="str">
        <f t="shared" si="826"/>
        <v/>
      </c>
      <c r="BT338" s="1035">
        <f t="shared" si="827"/>
        <v>12.568888888888889</v>
      </c>
      <c r="BU338" s="535">
        <f t="shared" si="714"/>
        <v>0</v>
      </c>
      <c r="BV338" s="535"/>
      <c r="BW338" s="535">
        <f ca="1">IF(B338&gt;(Summary!$A$1-1),#N/A,BU338*MGtoAF)</f>
        <v>0</v>
      </c>
      <c r="BX338" s="535">
        <f>Sheet1!BC336+Sheet1!BD336+Sheet1!BE336+Sheet1!BF336-CG338-CH338</f>
        <v>2.99</v>
      </c>
      <c r="BY338" s="535">
        <f t="shared" si="715"/>
        <v>2.9632416307590326</v>
      </c>
      <c r="BZ338" s="535">
        <f>IF(Sheet1!EQ336="FM",CH338,0)</f>
        <v>0</v>
      </c>
      <c r="CA338" s="535">
        <f t="shared" si="716"/>
        <v>0</v>
      </c>
      <c r="CB338" s="535">
        <f>IF(Sheet1!EQ336="OTHER",CH338,0)</f>
        <v>0</v>
      </c>
      <c r="CC338" s="535">
        <f t="shared" si="717"/>
        <v>0</v>
      </c>
      <c r="CD338" s="535">
        <f t="shared" si="718"/>
        <v>0</v>
      </c>
      <c r="CE338" s="535">
        <f t="shared" si="719"/>
        <v>2.99</v>
      </c>
      <c r="CF338" s="535">
        <f t="shared" si="720"/>
        <v>2.9632416307590326</v>
      </c>
      <c r="CG338" s="535">
        <f>IF(Sheet1!EQ336="CWA",SUM(Sheet1!BC336:'Sheet1'!BF336),0)</f>
        <v>0</v>
      </c>
      <c r="CH338" s="535">
        <f>IF(OR(Sheet1!EQ336="FM", Sheet1!EQ336="OTHER"),SUM(Sheet1!BC336:'Sheet1'!BF336),0)</f>
        <v>0</v>
      </c>
      <c r="CI338" s="521">
        <f>IF(AND($B338&gt;=$FV338,$B338&lt;=$FW338),MAX(CF338,Sheet1!EJ336,0),MAX(CF338-(7/36)*$K338,0))</f>
        <v>0</v>
      </c>
      <c r="CJ338" s="535">
        <f t="shared" si="721"/>
        <v>0</v>
      </c>
      <c r="CK338" s="521">
        <f t="shared" si="722"/>
        <v>2.9632416307590326</v>
      </c>
      <c r="CL338" s="521">
        <f>IF(AND($O338&gt;0,Sheet1!EN336=1),(1-($O338-Sheet1!$L336)/$O338)*CF338,0)</f>
        <v>0</v>
      </c>
      <c r="CM338" s="521">
        <f>IF(AND(Sheet1!$L336=0,Sheet1!$L335=0, Calculation!CE338&lt;Sheet1!EJ336-0.1,Sheet1!EJ336=Sheet1!EJ335,Sheet1!EJ336=Sheet1!EJ337),CF338-CL338,CF338-CL338)</f>
        <v>2.9632416307590326</v>
      </c>
      <c r="CN338" s="1040" t="str">
        <f t="shared" si="828"/>
        <v/>
      </c>
      <c r="CO338" s="1035">
        <f t="shared" si="829"/>
        <v>12.568888888888889</v>
      </c>
      <c r="CP338" s="535">
        <f t="shared" si="723"/>
        <v>0</v>
      </c>
      <c r="CQ338" s="535"/>
      <c r="CR338" s="535">
        <f ca="1">IF(B338&gt;(Summary!$A$1-1),#N/A,CP338*MGtoAF)</f>
        <v>0</v>
      </c>
      <c r="CS338" s="535">
        <f>Sheet1!BK336+Sheet1!BL336+Sheet1!BM336-Sheet1!ER336-DA338</f>
        <v>5.53</v>
      </c>
      <c r="CT338" s="535">
        <f t="shared" si="724"/>
        <v>5.4805104408352667</v>
      </c>
      <c r="CU338" s="535">
        <f>IF(Sheet1!ER336="FM",DA338,0)</f>
        <v>0</v>
      </c>
      <c r="CV338" s="535">
        <f t="shared" si="725"/>
        <v>0</v>
      </c>
      <c r="CW338" s="535">
        <f>IF(Sheet1!ER336="OTHER",DA338,0)</f>
        <v>0</v>
      </c>
      <c r="CX338" s="535">
        <f t="shared" si="726"/>
        <v>0</v>
      </c>
      <c r="CY338" s="535">
        <f t="shared" si="727"/>
        <v>5.53</v>
      </c>
      <c r="CZ338" s="535">
        <f t="shared" si="728"/>
        <v>5.4805104408352667</v>
      </c>
      <c r="DA338" s="535">
        <f>IF(OR(Sheet1!ER336="FM", Sheet1!ER336="OTHER"),SUM(Sheet1!BK336:'Sheet1'!BM336),0)</f>
        <v>0</v>
      </c>
      <c r="DB338" s="1011">
        <f>IF(AND($B338&gt;=$FV338,$B338&lt;=$FW338),MAX($CT338,Sheet1!EK336,0),MAX($CT338-(7/36)*$K338,0))</f>
        <v>0</v>
      </c>
      <c r="DC338" s="1012">
        <f t="shared" si="729"/>
        <v>0</v>
      </c>
      <c r="DD338" s="1011">
        <f t="shared" si="730"/>
        <v>5.4805104408352667</v>
      </c>
      <c r="DE338" s="521">
        <f>IF(AND($O338&gt;0,Sheet1!EO336=1),(1-($O338-Sheet1!$L336)/$O338)*CZ338,0)</f>
        <v>0</v>
      </c>
      <c r="DF338" s="521">
        <f>IF(AND(Sheet1!$L336=0,Sheet1!$L335=0, Calculation!CY338&lt;Sheet1!$EK336-0.1,Sheet1!$EK336=Sheet1!$EK335,Sheet1!$EK336=Sheet1!$EK337),CZ338-DE338,CZ338-DE338)</f>
        <v>5.4805104408352667</v>
      </c>
      <c r="DG338" s="1040">
        <f t="shared" si="830"/>
        <v>12.568888888888889</v>
      </c>
      <c r="DH338" s="649">
        <f t="shared" si="731"/>
        <v>11.27</v>
      </c>
      <c r="DI338" s="535">
        <f t="shared" si="732"/>
        <v>0</v>
      </c>
      <c r="DJ338" s="649">
        <f t="shared" si="733"/>
        <v>11.169141531322506</v>
      </c>
      <c r="DK338" s="535">
        <f ca="1">IF(B338&gt;(Summary!$A$1-1),#N/A,DI338*MGtoAF)</f>
        <v>0</v>
      </c>
      <c r="DL338" s="649">
        <f t="shared" si="734"/>
        <v>11.27</v>
      </c>
      <c r="DM338" s="535">
        <f t="shared" si="735"/>
        <v>30.169999999999998</v>
      </c>
      <c r="DN338" s="535">
        <f>Sheet1!AB336-DM338</f>
        <v>-0.26999999999999957</v>
      </c>
      <c r="DO338" s="743">
        <f t="shared" si="736"/>
        <v>-8.9492873715611397E-3</v>
      </c>
      <c r="DP338" s="535">
        <f>(VLOOKUP(Sheet1!DC336,hhdcap_wcm,4)-(((VLOOKUP(Sheet1!DC336,hhdcap_wcm,3)-Sheet1!DC336)/(VLOOKUP(Sheet1!DC336,hhdcap_wcm,3)-VLOOKUP(Sheet1!DC336,hhdcap_wcm,1)))*(VLOOKUP(Sheet1!DC336,hhdcap_wcm,4)-VLOOKUP(Sheet1!DC336,hhdcap_wcm,2))))</f>
        <v>6813.7000000143089</v>
      </c>
      <c r="DQ338" s="535">
        <f t="shared" si="737"/>
        <v>4560.7000000089356</v>
      </c>
      <c r="DR338" s="535">
        <f t="shared" si="738"/>
        <v>2299.899142717567</v>
      </c>
      <c r="DS338" s="535">
        <f>Sheet1!EA336*AFtoMG</f>
        <v>0</v>
      </c>
      <c r="DT338" s="535">
        <f>Sheet1!EB336*AFtoMG</f>
        <v>0</v>
      </c>
      <c r="DU338" s="535">
        <f>Sheet1!EC336*AFtoMG</f>
        <v>0</v>
      </c>
      <c r="DV338" s="535">
        <f>Sheet1!ED336*AFtoMG</f>
        <v>0</v>
      </c>
      <c r="DW338" s="535">
        <f t="shared" si="739"/>
        <v>0</v>
      </c>
      <c r="DX338" s="535">
        <f t="shared" si="740"/>
        <v>0</v>
      </c>
      <c r="DY338" s="535">
        <f t="shared" si="741"/>
        <v>0</v>
      </c>
      <c r="DZ338" s="535">
        <f t="shared" si="742"/>
        <v>0</v>
      </c>
      <c r="EA338" s="535"/>
      <c r="EB338" s="521">
        <f>IF(OR(B338&lt;FV338,B338&gt;FW338),(MIN(BF338+BY338+CT338+MAX(Sheet1!AA336+AQ338-73,0),K338)),0)</f>
        <v>11.169141531322506</v>
      </c>
      <c r="EC338" s="535"/>
      <c r="ED338" s="535">
        <f t="shared" si="743"/>
        <v>11.169141531322506</v>
      </c>
      <c r="EE338" s="535"/>
      <c r="EF338" s="535">
        <f>Sheet1!EH336+Sheet1!EI336+Sheet1!EJ336+Sheet1!EK336</f>
        <v>11.5</v>
      </c>
      <c r="EG338" s="1019">
        <f t="shared" si="831"/>
        <v>17.790499999999998</v>
      </c>
      <c r="EH338" s="521">
        <f t="shared" si="744"/>
        <v>0</v>
      </c>
      <c r="EI338" s="535">
        <f>IF(Sheet1!ET336=1,SUM('Calculations II'!AT338:BA338)+'Calculations II'!BC338+Sheet1!BV336+'Calculations II'!BE338+AP338,'Calculations II'!BK338)</f>
        <v>44.893552468677498</v>
      </c>
      <c r="EJ338" s="535">
        <f ca="1">EI338+'Calculations II'!D338+'Calculations II'!E338+'Calculations II'!O338</f>
        <v>45.823116047362177</v>
      </c>
      <c r="EK338" s="535"/>
      <c r="EL338" s="535"/>
      <c r="EM338" s="535">
        <f t="shared" si="745"/>
        <v>43062</v>
      </c>
      <c r="EN338" s="535">
        <f t="shared" si="746"/>
        <v>0</v>
      </c>
      <c r="EO338" s="535">
        <f t="shared" si="747"/>
        <v>0</v>
      </c>
      <c r="EP338" s="535">
        <v>0</v>
      </c>
      <c r="EQ338" s="535">
        <v>0</v>
      </c>
      <c r="ER338" s="535">
        <v>0</v>
      </c>
      <c r="ES338" s="521">
        <f t="shared" si="797"/>
        <v>-1.3848157237197758</v>
      </c>
      <c r="ET338" s="535">
        <f>-(VLOOKUP(Sheet1!BQ336,Lookup!$O$4:$Q$262,2)-VLOOKUP(Sheet1!BQ335,Lookup!$O$4:$Q$262,2))/1000000</f>
        <v>-0.69226367759070173</v>
      </c>
      <c r="EU338" s="535">
        <f>-(VLOOKUP(Sheet1!BR336,Lookup!$O$4:$Q$262,3)-VLOOKUP(Sheet1!BR335,Lookup!$O$4:$Q$262,3))/1000000</f>
        <v>-0.69255204612907395</v>
      </c>
      <c r="EV338" s="535"/>
      <c r="EW338" s="535"/>
      <c r="EX338" s="535"/>
      <c r="EY338" s="535"/>
      <c r="EZ338" s="535"/>
      <c r="FA338" s="535"/>
      <c r="FB338" s="535"/>
      <c r="FC338" s="535"/>
      <c r="FD338" s="567">
        <f t="shared" si="786"/>
        <v>1077.4833333333102</v>
      </c>
      <c r="FE338" s="567" t="e">
        <f t="shared" si="748"/>
        <v>#N/A</v>
      </c>
      <c r="FF338" s="568" t="e">
        <f t="shared" si="749"/>
        <v>#N/A</v>
      </c>
      <c r="FG338" s="569" t="s">
        <v>656</v>
      </c>
      <c r="FH338" s="569" t="s">
        <v>656</v>
      </c>
      <c r="FI338" s="567" t="e">
        <v>#N/A</v>
      </c>
      <c r="FJ338" s="725">
        <v>720</v>
      </c>
      <c r="FK338" s="535"/>
      <c r="FL338" s="1015">
        <f t="shared" si="785"/>
        <v>45.385779122541599</v>
      </c>
      <c r="FM338" s="535"/>
      <c r="FN338" s="535"/>
      <c r="FO338" s="535">
        <f>O338+((Sheet1!CS336)*GPMtoMGD)</f>
        <v>57.97</v>
      </c>
      <c r="FP338" s="535">
        <f>IF(Sheet1!AA336+AQ338&lt;=Calculation!N338,AQ338,Calculation!N338-Sheet1!AA336)</f>
        <v>18.730858468677493</v>
      </c>
      <c r="FQ338" s="535">
        <f>(Sheet1!BP336+Sheet1!BO336)/694.4</f>
        <v>1.8015552995391706</v>
      </c>
      <c r="FR338" s="541"/>
      <c r="FS338" s="541"/>
      <c r="FT338" s="541"/>
      <c r="FU338" s="541"/>
      <c r="FV338" s="1109">
        <f t="shared" si="798"/>
        <v>42918</v>
      </c>
      <c r="FW338" s="1109">
        <f t="shared" si="799"/>
        <v>43027</v>
      </c>
      <c r="FX338" s="541"/>
      <c r="FY338" s="541">
        <f>Sheet1!DA336-Sheet1!CZ336-Sheet1!AE336</f>
        <v>1152.3860499999985</v>
      </c>
      <c r="FZ338" s="535">
        <f t="shared" si="832"/>
        <v>0.14459230027433687</v>
      </c>
      <c r="GA338" s="535"/>
      <c r="GB338" s="535" t="str">
        <f t="shared" si="800"/>
        <v>n</v>
      </c>
      <c r="GC338" s="539">
        <f t="shared" si="801"/>
        <v>42782</v>
      </c>
      <c r="GD338" s="1109">
        <f t="shared" si="802"/>
        <v>42904</v>
      </c>
      <c r="GE338" s="535">
        <f t="shared" si="818"/>
        <v>6520</v>
      </c>
      <c r="GF338" s="1109">
        <f t="shared" si="803"/>
        <v>42909</v>
      </c>
      <c r="GG338" s="535">
        <f t="shared" ref="GG338:GG381" si="845">GG337</f>
        <v>3260</v>
      </c>
      <c r="GH338" s="539">
        <f t="shared" si="804"/>
        <v>43040</v>
      </c>
      <c r="GJ338" s="521">
        <f t="shared" si="805"/>
        <v>0</v>
      </c>
      <c r="GK338" s="535" t="str">
        <f t="shared" si="750"/>
        <v/>
      </c>
      <c r="GL338" s="535">
        <f t="shared" si="806"/>
        <v>0</v>
      </c>
      <c r="GM338" s="535" t="str">
        <f t="shared" si="807"/>
        <v/>
      </c>
      <c r="GN338" s="535">
        <f>IF(GK338="P",Lookup!$M$12,IF(GK338="PP",Lookup!$M$13,IF(GK338="PPP",Lookup!$M$14,IF(GK338="T",Lookup!$M$15,IF(GK338="TP",Lookup!$M$16,IF(GK338="TPP",Lookup!$M$17,IF(GK338="TPPP",Lookup!$M$18,0)))))))*GJ338</f>
        <v>0</v>
      </c>
      <c r="GO338" s="535">
        <f t="shared" si="808"/>
        <v>0</v>
      </c>
      <c r="GP338" s="535">
        <f t="shared" si="751"/>
        <v>0</v>
      </c>
      <c r="GQ338" s="974">
        <f t="shared" si="695"/>
        <v>0</v>
      </c>
      <c r="GR338" s="535"/>
      <c r="GS338" s="535">
        <f t="shared" si="809"/>
        <v>0</v>
      </c>
      <c r="GT338" s="535" t="str">
        <f t="shared" si="810"/>
        <v/>
      </c>
      <c r="GU338" s="535">
        <f>IF(GK338="P",Lookup!$N$12,IF(GK338="PP",Lookup!$N$13,IF(GK338="PPP",Lookup!$N$14,IF(GK338="T",Lookup!$N$15,IF(GK338="TP",Lookup!$N$16,IF(GK338="TPP",Lookup!$N$17,IF(GK338="TPPP",Lookup!$N$18,0)))))))*GJ338</f>
        <v>0</v>
      </c>
      <c r="GV338" s="535">
        <f t="shared" si="811"/>
        <v>0</v>
      </c>
      <c r="GW338" s="535">
        <f t="shared" si="752"/>
        <v>0</v>
      </c>
      <c r="GX338" s="974">
        <f t="shared" si="696"/>
        <v>0</v>
      </c>
      <c r="GY338" s="535"/>
      <c r="GZ338" s="535">
        <f t="shared" si="812"/>
        <v>0</v>
      </c>
      <c r="HA338" s="535" t="str">
        <f t="shared" si="813"/>
        <v/>
      </c>
      <c r="HB338" s="535">
        <f>IF(GK338="P",Lookup!$N$12,IF(GK338="PP",Lookup!$N$13,IF(GK338="PPP",Lookup!$N$14,IF(GK338="T",Lookup!$N$15,IF(GK338="TP",Lookup!$N$16,IF(GK338="TPP",Lookup!$N$17,IF(GK338="TPPP",Lookup!$N$18,0)))))))*GJ338</f>
        <v>0</v>
      </c>
      <c r="HC338" s="521">
        <f t="shared" si="753"/>
        <v>0</v>
      </c>
      <c r="HD338" s="535">
        <f t="shared" si="754"/>
        <v>0</v>
      </c>
      <c r="HE338" s="535">
        <f t="shared" si="816"/>
        <v>0</v>
      </c>
      <c r="HF338" s="535"/>
      <c r="HG338" s="535">
        <f t="shared" si="814"/>
        <v>0</v>
      </c>
      <c r="HH338" s="535" t="str">
        <f t="shared" si="815"/>
        <v/>
      </c>
      <c r="HI338" s="535">
        <f>IF(GK338="P",Lookup!$N$12,IF(GK338="PP",Lookup!$N$13,IF(GK338="PPP",Lookup!$N$14,IF(GK338="T",Lookup!$N$15,IF(GK338="TP",Lookup!$N$16,IF(GK338="TPP",Lookup!$N$17,IF(GK338="TPPP",Lookup!$N$18,0)))))))*GJ338</f>
        <v>0</v>
      </c>
      <c r="HJ338" s="521">
        <f t="shared" si="755"/>
        <v>0</v>
      </c>
      <c r="HK338" s="535">
        <f t="shared" si="756"/>
        <v>0</v>
      </c>
      <c r="HL338" s="535">
        <f t="shared" si="817"/>
        <v>0</v>
      </c>
      <c r="HM338" s="535"/>
      <c r="HN338" s="541"/>
      <c r="HO338" s="541"/>
      <c r="HP338" s="541"/>
      <c r="HQ338" s="541">
        <f>IF(AND(B338&gt;=$FV$4,B338&lt;=$FW$4),MAX(110/1.02+$HQ$6+MIN(113/1.02,G338),IF($HV$6-(Sheet1!DA336-Sheet1!DB336)+MIN(113/1.02,G338)&lt;G338+FL338,$HV$6-(Sheet1!DA336-Sheet1!DB336)+MIN(113/1.02,G338),G338+FL338)),MIN(110/1.02+$HQ$6+113/1.02,G338))</f>
        <v>218.62745098039215</v>
      </c>
      <c r="HR338" s="541">
        <f t="shared" si="833"/>
        <v>223</v>
      </c>
      <c r="HS338" s="541">
        <f>HR338+(Sheet1!DA336-Sheet1!DB336)</f>
        <v>1263</v>
      </c>
      <c r="HT338" s="541">
        <f t="shared" si="834"/>
        <v>0</v>
      </c>
      <c r="HU338" s="541">
        <f t="shared" si="835"/>
        <v>1263</v>
      </c>
      <c r="HV338" s="541">
        <f t="shared" si="836"/>
        <v>0</v>
      </c>
      <c r="HW338" s="533" t="str">
        <f t="shared" si="837"/>
        <v/>
      </c>
      <c r="HX338" s="541">
        <f t="shared" si="838"/>
        <v>5451.3725490196075</v>
      </c>
      <c r="HY338" s="541">
        <f>Sheet1!CZ336</f>
        <v>5670</v>
      </c>
      <c r="HZ338" s="541">
        <f t="shared" si="839"/>
        <v>0</v>
      </c>
      <c r="IA338" s="541">
        <f t="shared" si="840"/>
        <v>0</v>
      </c>
      <c r="IB338" s="541">
        <f t="shared" si="841"/>
        <v>5670</v>
      </c>
      <c r="IC338" s="1019" t="str">
        <f t="shared" si="842"/>
        <v/>
      </c>
      <c r="ID338" s="541">
        <f t="shared" si="843"/>
        <v>5670</v>
      </c>
      <c r="IE338" s="541">
        <f>Sheet1!DB336</f>
        <v>5810</v>
      </c>
      <c r="IF338" s="533">
        <f>Sheet1!DA336</f>
        <v>6850</v>
      </c>
      <c r="IH338" s="541">
        <f>IF(AND($B338&gt;=$GC338,$B338&lt;=$GH338,$DR338&lt;0)+N("only adjusted when pool is drawn down during storage season"),Sheet1!$DB336+$DR338+N("Palmer minus all storage release"),Sheet1!$DB336)</f>
        <v>5810</v>
      </c>
      <c r="II338" s="541">
        <f>IF(AND($B338&gt;=$GC338,$B338&lt;=$GH338,$DR338&lt;0)+N("only adjusted when pool is drawn down during storage season"),Sheet1!$DA336+$DR338+N("Auburn minus all storage release"),Sheet1!$DA336)</f>
        <v>6850</v>
      </c>
    </row>
    <row r="339" spans="1:243" x14ac:dyDescent="0.25">
      <c r="A339" s="553" t="s">
        <v>8</v>
      </c>
      <c r="B339" s="531">
        <v>43063</v>
      </c>
      <c r="C339" s="536">
        <v>0</v>
      </c>
      <c r="D339" s="506">
        <f t="shared" si="787"/>
        <v>300</v>
      </c>
      <c r="E339" s="506">
        <f t="shared" si="788"/>
        <v>250</v>
      </c>
      <c r="F339" s="506">
        <v>250</v>
      </c>
      <c r="G339" s="535">
        <f>DR339+Sheet1!CZ337</f>
        <v>5657.1053958682405</v>
      </c>
      <c r="H339" s="1074">
        <f t="shared" si="844"/>
        <v>2733.5348971519998</v>
      </c>
      <c r="I339" s="534">
        <f>IF(Sheet1!DA337&gt;=E339,(Sheet1!DA337-E339+P339)*CFStoMGD,0)</f>
        <v>3470.4308971519995</v>
      </c>
      <c r="J339" s="995">
        <f>IF(Sheet1!DB337&gt;=D339,(Sheet1!DB337-D339+P339)*CFStoMGD,0)</f>
        <v>2733.5348971519998</v>
      </c>
      <c r="K339" s="818">
        <f t="shared" si="819"/>
        <v>64.64</v>
      </c>
      <c r="L339" s="535">
        <f>Sheet1!AA337+Sheet1!AB337-Sheet1!L337+(Sheet1!DA337-F339)*CFStoMGD-S339-T339-U339</f>
        <v>3371.161999999998</v>
      </c>
      <c r="M339" s="535">
        <f t="shared" si="697"/>
        <v>3729.8879864470155</v>
      </c>
      <c r="N339" s="824">
        <f>IF(Sheet1!DA337&gt;=F339,MIN(113*CFStoMGD,MIN(MAX(L339,0),MAX(M339,0))),0)</f>
        <v>73.043199999999999</v>
      </c>
      <c r="O339" s="538">
        <f>Sheet1!AA337+Sheet1!AB337</f>
        <v>57.44</v>
      </c>
      <c r="P339" s="538">
        <f t="shared" si="698"/>
        <v>88.859679999999997</v>
      </c>
      <c r="Q339" s="812">
        <f t="shared" si="820"/>
        <v>0</v>
      </c>
      <c r="R339" s="812">
        <f t="shared" si="789"/>
        <v>10.561271617497457</v>
      </c>
      <c r="S339" s="812">
        <f t="shared" si="790"/>
        <v>57.44</v>
      </c>
      <c r="T339" s="812">
        <f t="shared" si="791"/>
        <v>0</v>
      </c>
      <c r="U339" s="812">
        <f>IF(AND(B339&gt;=FV339,B339&lt;=FW339),ED339+Sheet1!EH337,0)</f>
        <v>0</v>
      </c>
      <c r="V339" s="812"/>
      <c r="W339" s="812">
        <f t="shared" si="792"/>
        <v>54.078728382502547</v>
      </c>
      <c r="X339" s="812">
        <f t="shared" si="793"/>
        <v>57.44</v>
      </c>
      <c r="Y339" s="812" t="str">
        <f t="shared" si="794"/>
        <v/>
      </c>
      <c r="Z339" s="812">
        <f t="shared" si="795"/>
        <v>57.44</v>
      </c>
      <c r="AA339" s="812">
        <f t="shared" si="796"/>
        <v>57.44</v>
      </c>
      <c r="AB339" s="1059">
        <f t="shared" si="821"/>
        <v>0</v>
      </c>
      <c r="AC339" s="538">
        <f>Sheet1!Y337*MGDtoCFS</f>
        <v>43.424289999999999</v>
      </c>
      <c r="AD339" s="538">
        <f>Sheet1!Z337*MGDtoCFS</f>
        <v>46.255299999999998</v>
      </c>
      <c r="AE339" s="538">
        <f>Sheet1!AA337*MGDtoCFS</f>
        <v>43.362409999999997</v>
      </c>
      <c r="AF339" s="538">
        <f>Sheet1!AB337*MGDtoCFS</f>
        <v>45.49727</v>
      </c>
      <c r="AG339" s="538">
        <f>Sheet1!L337*MGDtoCFS</f>
        <v>64.711010000002702</v>
      </c>
      <c r="AH339" s="521">
        <f t="shared" si="699"/>
        <v>0</v>
      </c>
      <c r="AI339" s="1059">
        <f t="shared" si="700"/>
        <v>0</v>
      </c>
      <c r="AJ339" s="535">
        <f t="shared" si="701"/>
        <v>0</v>
      </c>
      <c r="AK339" s="535">
        <f t="shared" si="702"/>
        <v>0</v>
      </c>
      <c r="AL339" s="535">
        <f>(VLOOKUP(Sheet1!DC337,hhdcap_wcm,4)-(((VLOOKUP(Sheet1!DC337,hhdcap_wcm,3)-Sheet1!DC337)/(VLOOKUP(Sheet1!DC337,hhdcap_wcm,3)-VLOOKUP(Sheet1!DC337,hhdcap_wcm,1)))*(VLOOKUP(Sheet1!DC337,hhdcap_wcm,4)-VLOOKUP(Sheet1!DC337,hhdcap_wcm,2))))</f>
        <v>9544.5000000210312</v>
      </c>
      <c r="AM339" s="535">
        <f t="shared" si="703"/>
        <v>2730.8000000067223</v>
      </c>
      <c r="AN339" s="1035">
        <f t="shared" si="704"/>
        <v>0</v>
      </c>
      <c r="AO339" s="535">
        <f t="shared" si="705"/>
        <v>0</v>
      </c>
      <c r="AP339" s="535">
        <f>Sheet1!BA337+Sheet1!BB337+Sheet1!BN337+CD339</f>
        <v>18.899999999999999</v>
      </c>
      <c r="AQ339" s="535">
        <f>Sheet1!BN337+(DO339*Sheet1!BN337)</f>
        <v>18.848728382502539</v>
      </c>
      <c r="AR339" s="535">
        <f>Sheet1!BA337+CD339</f>
        <v>0</v>
      </c>
      <c r="AS339" s="535">
        <f>Sheet1!BA337+Sheet1!BB337+CD339</f>
        <v>0</v>
      </c>
      <c r="AT339" s="649">
        <f>0</f>
        <v>0</v>
      </c>
      <c r="AU339" s="974">
        <f>BA339+MAX(Sheet1!EH337,(O339-Q339-ED339-S339))</f>
        <v>0</v>
      </c>
      <c r="AV339" s="535">
        <f>IF(OR(B339&gt;=GD339,B339&lt;GC339),0,15/36*K339-MAX(0,64.6-(137.6-(Sheet1!AA337+Sheet1!AB337))))</f>
        <v>0</v>
      </c>
      <c r="AW339" s="1029"/>
      <c r="AX339" s="649"/>
      <c r="AY339" s="649">
        <f t="shared" si="822"/>
        <v>23.311716569431731</v>
      </c>
      <c r="AZ339" s="649">
        <f t="shared" si="823"/>
        <v>0</v>
      </c>
      <c r="BA339" s="1059">
        <f t="shared" si="824"/>
        <v>0</v>
      </c>
      <c r="BB339" s="1019">
        <f t="shared" si="706"/>
        <v>0</v>
      </c>
      <c r="BC339" s="1041">
        <f t="shared" si="825"/>
        <v>26.933333333333334</v>
      </c>
      <c r="BD339" s="1019">
        <f ca="1">IF(B339&gt;(Summary!$A$1-1),#N/A,BB339*MGtoAF)</f>
        <v>0</v>
      </c>
      <c r="BE339" s="535">
        <f>Sheet1!BG337+Sheet1!BH337+Sheet1!BI337-BM339</f>
        <v>2.4900000000000002</v>
      </c>
      <c r="BF339" s="535">
        <f t="shared" si="707"/>
        <v>2.4832451678535099</v>
      </c>
      <c r="BG339" s="535">
        <f>IF(Sheet1!EP337="FM",BM339,0)</f>
        <v>0</v>
      </c>
      <c r="BH339" s="535">
        <f t="shared" si="708"/>
        <v>0</v>
      </c>
      <c r="BI339" s="535">
        <f>IF(Sheet1!EP337="OTHER",BM339,0)</f>
        <v>0</v>
      </c>
      <c r="BJ339" s="535">
        <f t="shared" si="709"/>
        <v>0</v>
      </c>
      <c r="BK339" s="535">
        <f t="shared" si="710"/>
        <v>2.4900000000000002</v>
      </c>
      <c r="BL339" s="535">
        <f t="shared" si="711"/>
        <v>2.4832451678535099</v>
      </c>
      <c r="BM339" s="535">
        <f>IF(OR(Sheet1!EP337="FM", Sheet1!EP337="OTHER"),SUM(Sheet1!BG337:'Sheet1'!BI337),0)</f>
        <v>0</v>
      </c>
      <c r="BN339" s="521">
        <f>IF(AND($B339&gt;=$FV339,$B339&lt;=$FW339),MAX(BF339,Sheet1!EI337,0),MAX(BF339-(7/36)*$K339,0))</f>
        <v>0</v>
      </c>
      <c r="BO339" s="535">
        <f t="shared" si="712"/>
        <v>0</v>
      </c>
      <c r="BP339" s="521">
        <f t="shared" si="713"/>
        <v>2.4832451678535099</v>
      </c>
      <c r="BQ339" s="521">
        <f>IF(AND($O339&gt;0,Sheet1!EM337=1),(1-($O339-Sheet1!$L337)/$O339)*BL339,0)</f>
        <v>0</v>
      </c>
      <c r="BR339" s="521">
        <f>IF(AND(Sheet1!$L337=0,Sheet1!$L336=0, Calculation!BK339&lt;Sheet1!$EI337-0.1,Sheet1!$EI337=Sheet1!$EI336,Sheet1!$EI337=Sheet1!$EI338),BL339-BQ339,BL339-BQ339)</f>
        <v>2.4832451678535099</v>
      </c>
      <c r="BS339" s="1035" t="str">
        <f t="shared" si="826"/>
        <v/>
      </c>
      <c r="BT339" s="1035">
        <f t="shared" si="827"/>
        <v>12.568888888888889</v>
      </c>
      <c r="BU339" s="535">
        <f t="shared" si="714"/>
        <v>0</v>
      </c>
      <c r="BV339" s="535"/>
      <c r="BW339" s="535">
        <f ca="1">IF(B339&gt;(Summary!$A$1-1),#N/A,BU339*MGtoAF)</f>
        <v>0</v>
      </c>
      <c r="BX339" s="535">
        <f>Sheet1!BC337+Sheet1!BD337+Sheet1!BE337+Sheet1!BF337-CG339-CH339</f>
        <v>2.99</v>
      </c>
      <c r="BY339" s="535">
        <f t="shared" si="715"/>
        <v>2.9818887758562225</v>
      </c>
      <c r="BZ339" s="535">
        <f>IF(Sheet1!EQ337="FM",CH339,0)</f>
        <v>0</v>
      </c>
      <c r="CA339" s="535">
        <f t="shared" si="716"/>
        <v>0</v>
      </c>
      <c r="CB339" s="535">
        <f>IF(Sheet1!EQ337="OTHER",CH339,0)</f>
        <v>0</v>
      </c>
      <c r="CC339" s="535">
        <f t="shared" si="717"/>
        <v>0</v>
      </c>
      <c r="CD339" s="535">
        <f t="shared" si="718"/>
        <v>0</v>
      </c>
      <c r="CE339" s="535">
        <f t="shared" si="719"/>
        <v>2.99</v>
      </c>
      <c r="CF339" s="535">
        <f t="shared" si="720"/>
        <v>2.9818887758562225</v>
      </c>
      <c r="CG339" s="535">
        <f>IF(Sheet1!EQ337="CWA",SUM(Sheet1!BC337:'Sheet1'!BF337),0)</f>
        <v>0</v>
      </c>
      <c r="CH339" s="535">
        <f>IF(OR(Sheet1!EQ337="FM", Sheet1!EQ337="OTHER"),SUM(Sheet1!BC337:'Sheet1'!BF337),0)</f>
        <v>0</v>
      </c>
      <c r="CI339" s="521">
        <f>IF(AND($B339&gt;=$FV339,$B339&lt;=$FW339),MAX(CF339,Sheet1!EJ337,0),MAX(CF339-(7/36)*$K339,0))</f>
        <v>0</v>
      </c>
      <c r="CJ339" s="535">
        <f t="shared" si="721"/>
        <v>0</v>
      </c>
      <c r="CK339" s="521">
        <f t="shared" si="722"/>
        <v>2.9818887758562225</v>
      </c>
      <c r="CL339" s="521">
        <f>IF(AND($O339&gt;0,Sheet1!EN337=1),(1-($O339-Sheet1!$L337)/$O339)*CF339,0)</f>
        <v>0</v>
      </c>
      <c r="CM339" s="521">
        <f>IF(AND(Sheet1!$L337=0,Sheet1!$L336=0, Calculation!CE339&lt;Sheet1!EJ337-0.1,Sheet1!EJ337=Sheet1!EJ336,Sheet1!EJ337=Sheet1!EJ338),CF339-CL339,CF339-CL339)</f>
        <v>2.9818887758562225</v>
      </c>
      <c r="CN339" s="1040" t="str">
        <f t="shared" si="828"/>
        <v/>
      </c>
      <c r="CO339" s="1035">
        <f t="shared" si="829"/>
        <v>12.568888888888889</v>
      </c>
      <c r="CP339" s="535">
        <f t="shared" si="723"/>
        <v>0</v>
      </c>
      <c r="CQ339" s="535"/>
      <c r="CR339" s="535">
        <f ca="1">IF(B339&gt;(Summary!$A$1-1),#N/A,CP339*MGtoAF)</f>
        <v>0</v>
      </c>
      <c r="CS339" s="535">
        <f>Sheet1!BK337+Sheet1!BL337+Sheet1!BM337-Sheet1!ER337-DA339</f>
        <v>5.1100000000000003</v>
      </c>
      <c r="CT339" s="535">
        <f t="shared" si="724"/>
        <v>5.0961376737877249</v>
      </c>
      <c r="CU339" s="535">
        <f>IF(Sheet1!ER337="FM",DA339,0)</f>
        <v>0</v>
      </c>
      <c r="CV339" s="535">
        <f t="shared" si="725"/>
        <v>0</v>
      </c>
      <c r="CW339" s="535">
        <f>IF(Sheet1!ER337="OTHER",DA339,0)</f>
        <v>0</v>
      </c>
      <c r="CX339" s="535">
        <f t="shared" si="726"/>
        <v>0</v>
      </c>
      <c r="CY339" s="535">
        <f t="shared" si="727"/>
        <v>5.1100000000000003</v>
      </c>
      <c r="CZ339" s="535">
        <f t="shared" si="728"/>
        <v>5.0961376737877249</v>
      </c>
      <c r="DA339" s="535">
        <f>IF(OR(Sheet1!ER337="FM", Sheet1!ER337="OTHER"),SUM(Sheet1!BK337:'Sheet1'!BM337),0)</f>
        <v>0</v>
      </c>
      <c r="DB339" s="1011">
        <f>IF(AND($B339&gt;=$FV339,$B339&lt;=$FW339),MAX($CT339,Sheet1!EK337,0),MAX($CT339-(7/36)*$K339,0))</f>
        <v>0</v>
      </c>
      <c r="DC339" s="1012">
        <f t="shared" si="729"/>
        <v>0</v>
      </c>
      <c r="DD339" s="1011">
        <f t="shared" si="730"/>
        <v>5.0961376737877249</v>
      </c>
      <c r="DE339" s="521">
        <f>IF(AND($O339&gt;0,Sheet1!EO337=1),(1-($O339-Sheet1!$L337)/$O339)*CZ339,0)</f>
        <v>0</v>
      </c>
      <c r="DF339" s="521">
        <f>IF(AND(Sheet1!$L337=0,Sheet1!$L336=0, Calculation!CY339&lt;Sheet1!$EK337-0.1,Sheet1!$EK337=Sheet1!$EK336,Sheet1!$EK337=Sheet1!$EK338),CZ339-DE339,CZ339-DE339)</f>
        <v>5.0961376737877249</v>
      </c>
      <c r="DG339" s="1040">
        <f t="shared" si="830"/>
        <v>12.568888888888889</v>
      </c>
      <c r="DH339" s="649">
        <f t="shared" si="731"/>
        <v>10.59</v>
      </c>
      <c r="DI339" s="535">
        <f t="shared" si="732"/>
        <v>0</v>
      </c>
      <c r="DJ339" s="649">
        <f t="shared" si="733"/>
        <v>10.561271617497457</v>
      </c>
      <c r="DK339" s="535">
        <f ca="1">IF(B339&gt;(Summary!$A$1-1),#N/A,DI339*MGtoAF)</f>
        <v>0</v>
      </c>
      <c r="DL339" s="649">
        <f t="shared" si="734"/>
        <v>10.590000000000002</v>
      </c>
      <c r="DM339" s="535">
        <f t="shared" si="735"/>
        <v>29.490000000000002</v>
      </c>
      <c r="DN339" s="535">
        <f>Sheet1!AB337-DM339</f>
        <v>-8.0000000000001847E-2</v>
      </c>
      <c r="DO339" s="743">
        <f t="shared" si="736"/>
        <v>-2.7127839945744947E-3</v>
      </c>
      <c r="DP339" s="535">
        <f>(VLOOKUP(Sheet1!DC337,hhdcap_wcm,4)-(((VLOOKUP(Sheet1!DC337,hhdcap_wcm,3)-Sheet1!DC337)/(VLOOKUP(Sheet1!DC337,hhdcap_wcm,3)-VLOOKUP(Sheet1!DC337,hhdcap_wcm,1)))*(VLOOKUP(Sheet1!DC337,hhdcap_wcm,4)-VLOOKUP(Sheet1!DC337,hhdcap_wcm,2))))</f>
        <v>9544.5000000210312</v>
      </c>
      <c r="DQ339" s="535">
        <f t="shared" si="737"/>
        <v>2730.8000000067223</v>
      </c>
      <c r="DR339" s="535">
        <f t="shared" si="738"/>
        <v>1377.105395868241</v>
      </c>
      <c r="DS339" s="535">
        <f>Sheet1!EA337*AFtoMG</f>
        <v>0</v>
      </c>
      <c r="DT339" s="535">
        <f>Sheet1!EB337*AFtoMG</f>
        <v>0</v>
      </c>
      <c r="DU339" s="535">
        <f>Sheet1!EC337*AFtoMG</f>
        <v>0</v>
      </c>
      <c r="DV339" s="535">
        <f>Sheet1!ED337*AFtoMG</f>
        <v>0</v>
      </c>
      <c r="DW339" s="535">
        <f t="shared" si="739"/>
        <v>0</v>
      </c>
      <c r="DX339" s="535">
        <f t="shared" si="740"/>
        <v>0</v>
      </c>
      <c r="DY339" s="535">
        <f t="shared" si="741"/>
        <v>0</v>
      </c>
      <c r="DZ339" s="535">
        <f t="shared" si="742"/>
        <v>0</v>
      </c>
      <c r="EA339" s="535"/>
      <c r="EB339" s="521">
        <f>IF(OR(B339&lt;FV339,B339&gt;FW339),(MIN(BF339+BY339+CT339+MAX(Sheet1!AA337+AQ339-73,0),K339)),0)</f>
        <v>10.561271617497457</v>
      </c>
      <c r="EC339" s="535"/>
      <c r="ED339" s="535">
        <f t="shared" si="743"/>
        <v>10.561271617497457</v>
      </c>
      <c r="EE339" s="535"/>
      <c r="EF339" s="535">
        <f>Sheet1!EH337+Sheet1!EI337+Sheet1!EJ337+Sheet1!EK337</f>
        <v>11.5</v>
      </c>
      <c r="EG339" s="1019">
        <f t="shared" si="831"/>
        <v>17.790499999999998</v>
      </c>
      <c r="EH339" s="521">
        <f t="shared" si="744"/>
        <v>0</v>
      </c>
      <c r="EI339" s="535">
        <f>IF(Sheet1!ET337=1,SUM('Calculations II'!AT339:BA339)+'Calculations II'!BC339+Sheet1!BV337+'Calculations II'!BE339+AP339,'Calculations II'!BK339)</f>
        <v>43.363880382502543</v>
      </c>
      <c r="EJ339" s="535">
        <f ca="1">EI339+'Calculations II'!D339+'Calculations II'!E339+'Calculations II'!O339</f>
        <v>46.477653131112504</v>
      </c>
      <c r="EK339" s="535"/>
      <c r="EL339" s="535"/>
      <c r="EM339" s="535">
        <f t="shared" si="745"/>
        <v>43063</v>
      </c>
      <c r="EN339" s="535">
        <f t="shared" si="746"/>
        <v>0</v>
      </c>
      <c r="EO339" s="535">
        <f t="shared" si="747"/>
        <v>0</v>
      </c>
      <c r="EP339" s="535">
        <v>0</v>
      </c>
      <c r="EQ339" s="535">
        <v>0</v>
      </c>
      <c r="ER339" s="535">
        <v>0</v>
      </c>
      <c r="ES339" s="521">
        <f t="shared" si="797"/>
        <v>-2.7705927682757752</v>
      </c>
      <c r="ET339" s="535">
        <f>-(VLOOKUP(Sheet1!BQ337,Lookup!$O$4:$Q$262,2)-VLOOKUP(Sheet1!BQ336,Lookup!$O$4:$Q$262,2))/1000000</f>
        <v>-1.3850079657170176</v>
      </c>
      <c r="EU339" s="535">
        <f>-(VLOOKUP(Sheet1!BR337,Lookup!$O$4:$Q$262,3)-VLOOKUP(Sheet1!BR336,Lookup!$O$4:$Q$262,3))/1000000</f>
        <v>-1.3855848025587574</v>
      </c>
      <c r="EV339" s="535"/>
      <c r="EW339" s="535"/>
      <c r="EX339" s="535"/>
      <c r="EY339" s="535"/>
      <c r="EZ339" s="535"/>
      <c r="FA339" s="535"/>
      <c r="FB339" s="535"/>
      <c r="FC339" s="535"/>
      <c r="FD339" s="567">
        <f t="shared" si="786"/>
        <v>1076.7249999999776</v>
      </c>
      <c r="FE339" s="567" t="e">
        <f t="shared" si="748"/>
        <v>#N/A</v>
      </c>
      <c r="FF339" s="568" t="e">
        <f t="shared" si="749"/>
        <v>#N/A</v>
      </c>
      <c r="FG339" s="569" t="s">
        <v>656</v>
      </c>
      <c r="FH339" s="569" t="s">
        <v>656</v>
      </c>
      <c r="FI339" s="567" t="e">
        <v>#N/A</v>
      </c>
      <c r="FJ339" s="725">
        <v>630</v>
      </c>
      <c r="FK339" s="535"/>
      <c r="FL339" s="1015">
        <f t="shared" si="785"/>
        <v>45.385779122541599</v>
      </c>
      <c r="FM339" s="535"/>
      <c r="FN339" s="535"/>
      <c r="FO339" s="535">
        <f>O339+((Sheet1!CS337)*GPMtoMGD)</f>
        <v>57.44</v>
      </c>
      <c r="FP339" s="535">
        <f>IF(Sheet1!AA337+AQ339&lt;=Calculation!N339,AQ339,Calculation!N339-Sheet1!AA337)</f>
        <v>18.848728382502539</v>
      </c>
      <c r="FQ339" s="535">
        <f>(Sheet1!BP337+Sheet1!BO337)/694.4</f>
        <v>1.5511232718894008</v>
      </c>
      <c r="FR339" s="541"/>
      <c r="FS339" s="541"/>
      <c r="FT339" s="541"/>
      <c r="FU339" s="541"/>
      <c r="FV339" s="1109">
        <f t="shared" si="798"/>
        <v>42918</v>
      </c>
      <c r="FW339" s="1109">
        <f t="shared" si="799"/>
        <v>43027</v>
      </c>
      <c r="FX339" s="541"/>
      <c r="FY339" s="541">
        <f>Sheet1!DA337-Sheet1!CZ337-Sheet1!AE337</f>
        <v>1225.8513300000027</v>
      </c>
      <c r="FZ339" s="535">
        <f t="shared" si="832"/>
        <v>0.21669232659079027</v>
      </c>
      <c r="GA339" s="535"/>
      <c r="GB339" s="535" t="str">
        <f t="shared" si="800"/>
        <v>n</v>
      </c>
      <c r="GC339" s="539">
        <f t="shared" si="801"/>
        <v>42782</v>
      </c>
      <c r="GD339" s="1109">
        <f t="shared" si="802"/>
        <v>42904</v>
      </c>
      <c r="GE339" s="535">
        <f t="shared" si="818"/>
        <v>6520</v>
      </c>
      <c r="GF339" s="1109">
        <f t="shared" si="803"/>
        <v>42909</v>
      </c>
      <c r="GG339" s="535">
        <f t="shared" si="845"/>
        <v>3260</v>
      </c>
      <c r="GH339" s="539">
        <f t="shared" si="804"/>
        <v>43040</v>
      </c>
      <c r="GJ339" s="521">
        <f t="shared" si="805"/>
        <v>0</v>
      </c>
      <c r="GK339" s="535" t="str">
        <f t="shared" si="750"/>
        <v/>
      </c>
      <c r="GL339" s="535">
        <f t="shared" si="806"/>
        <v>0</v>
      </c>
      <c r="GM339" s="535" t="str">
        <f t="shared" si="807"/>
        <v/>
      </c>
      <c r="GN339" s="535">
        <f>IF(GK339="P",Lookup!$M$12,IF(GK339="PP",Lookup!$M$13,IF(GK339="PPP",Lookup!$M$14,IF(GK339="T",Lookup!$M$15,IF(GK339="TP",Lookup!$M$16,IF(GK339="TPP",Lookup!$M$17,IF(GK339="TPPP",Lookup!$M$18,0)))))))*GJ339</f>
        <v>0</v>
      </c>
      <c r="GO339" s="535">
        <f t="shared" si="808"/>
        <v>0</v>
      </c>
      <c r="GP339" s="535">
        <f t="shared" si="751"/>
        <v>0</v>
      </c>
      <c r="GQ339" s="974">
        <f t="shared" si="695"/>
        <v>0</v>
      </c>
      <c r="GR339" s="535"/>
      <c r="GS339" s="535">
        <f t="shared" si="809"/>
        <v>0</v>
      </c>
      <c r="GT339" s="535" t="str">
        <f t="shared" si="810"/>
        <v/>
      </c>
      <c r="GU339" s="535">
        <f>IF(GK339="P",Lookup!$N$12,IF(GK339="PP",Lookup!$N$13,IF(GK339="PPP",Lookup!$N$14,IF(GK339="T",Lookup!$N$15,IF(GK339="TP",Lookup!$N$16,IF(GK339="TPP",Lookup!$N$17,IF(GK339="TPPP",Lookup!$N$18,0)))))))*GJ339</f>
        <v>0</v>
      </c>
      <c r="GV339" s="535">
        <f t="shared" si="811"/>
        <v>0</v>
      </c>
      <c r="GW339" s="535">
        <f t="shared" si="752"/>
        <v>0</v>
      </c>
      <c r="GX339" s="974">
        <f t="shared" si="696"/>
        <v>0</v>
      </c>
      <c r="GY339" s="535"/>
      <c r="GZ339" s="535">
        <f t="shared" si="812"/>
        <v>0</v>
      </c>
      <c r="HA339" s="535" t="str">
        <f t="shared" si="813"/>
        <v/>
      </c>
      <c r="HB339" s="535">
        <f>IF(GK339="P",Lookup!$N$12,IF(GK339="PP",Lookup!$N$13,IF(GK339="PPP",Lookup!$N$14,IF(GK339="T",Lookup!$N$15,IF(GK339="TP",Lookup!$N$16,IF(GK339="TPP",Lookup!$N$17,IF(GK339="TPPP",Lookup!$N$18,0)))))))*GJ339</f>
        <v>0</v>
      </c>
      <c r="HC339" s="521">
        <f t="shared" si="753"/>
        <v>0</v>
      </c>
      <c r="HD339" s="535">
        <f t="shared" si="754"/>
        <v>0</v>
      </c>
      <c r="HE339" s="535">
        <f t="shared" si="816"/>
        <v>0</v>
      </c>
      <c r="HF339" s="535"/>
      <c r="HG339" s="535">
        <f t="shared" si="814"/>
        <v>0</v>
      </c>
      <c r="HH339" s="535" t="str">
        <f t="shared" si="815"/>
        <v/>
      </c>
      <c r="HI339" s="535">
        <f>IF(GK339="P",Lookup!$N$12,IF(GK339="PP",Lookup!$N$13,IF(GK339="PPP",Lookup!$N$14,IF(GK339="T",Lookup!$N$15,IF(GK339="TP",Lookup!$N$16,IF(GK339="TPP",Lookup!$N$17,IF(GK339="TPPP",Lookup!$N$18,0)))))))*GJ339</f>
        <v>0</v>
      </c>
      <c r="HJ339" s="521">
        <f t="shared" si="755"/>
        <v>0</v>
      </c>
      <c r="HK339" s="535">
        <f t="shared" si="756"/>
        <v>0</v>
      </c>
      <c r="HL339" s="535">
        <f t="shared" si="817"/>
        <v>0</v>
      </c>
      <c r="HM339" s="535"/>
      <c r="HN339" s="541"/>
      <c r="HO339" s="541"/>
      <c r="HP339" s="541"/>
      <c r="HQ339" s="541">
        <f>IF(AND(B339&gt;=$FV$4,B339&lt;=$FW$4),MAX(110/1.02+$HQ$6+MIN(113/1.02,G339),IF($HV$6-(Sheet1!DA337-Sheet1!DB337)+MIN(113/1.02,G339)&lt;G339+FL339,$HV$6-(Sheet1!DA337-Sheet1!DB337)+MIN(113/1.02,G339),G339+FL339)),MIN(110/1.02+$HQ$6+113/1.02,G339))</f>
        <v>218.62745098039215</v>
      </c>
      <c r="HR339" s="541">
        <f t="shared" si="833"/>
        <v>223</v>
      </c>
      <c r="HS339" s="541">
        <f>HR339+(Sheet1!DA337-Sheet1!DB337)</f>
        <v>1313</v>
      </c>
      <c r="HT339" s="541">
        <f t="shared" si="834"/>
        <v>0</v>
      </c>
      <c r="HU339" s="541">
        <f t="shared" si="835"/>
        <v>1313</v>
      </c>
      <c r="HV339" s="541">
        <f t="shared" si="836"/>
        <v>0</v>
      </c>
      <c r="HW339" s="533" t="str">
        <f t="shared" si="837"/>
        <v/>
      </c>
      <c r="HX339" s="541">
        <f t="shared" si="838"/>
        <v>4061.372549019608</v>
      </c>
      <c r="HY339" s="541">
        <f>Sheet1!CZ337</f>
        <v>4280</v>
      </c>
      <c r="HZ339" s="541">
        <f t="shared" si="839"/>
        <v>0</v>
      </c>
      <c r="IA339" s="541">
        <f t="shared" si="840"/>
        <v>0</v>
      </c>
      <c r="IB339" s="541">
        <f t="shared" si="841"/>
        <v>4280</v>
      </c>
      <c r="IC339" s="1019" t="str">
        <f t="shared" si="842"/>
        <v/>
      </c>
      <c r="ID339" s="541">
        <f t="shared" si="843"/>
        <v>4280</v>
      </c>
      <c r="IE339" s="541">
        <f>Sheet1!DB337</f>
        <v>4440</v>
      </c>
      <c r="IF339" s="533">
        <f>Sheet1!DA337</f>
        <v>5530</v>
      </c>
      <c r="IH339" s="541">
        <f>IF(AND($B339&gt;=$GC339,$B339&lt;=$GH339,$DR339&lt;0)+N("only adjusted when pool is drawn down during storage season"),Sheet1!$DB337+$DR339+N("Palmer minus all storage release"),Sheet1!$DB337)</f>
        <v>4440</v>
      </c>
      <c r="II339" s="541">
        <f>IF(AND($B339&gt;=$GC339,$B339&lt;=$GH339,$DR339&lt;0)+N("only adjusted when pool is drawn down during storage season"),Sheet1!$DA337+$DR339+N("Auburn minus all storage release"),Sheet1!$DA337)</f>
        <v>5530</v>
      </c>
    </row>
    <row r="340" spans="1:243" x14ac:dyDescent="0.25">
      <c r="A340" s="553" t="s">
        <v>9</v>
      </c>
      <c r="B340" s="531">
        <v>43064</v>
      </c>
      <c r="C340" s="536">
        <v>0</v>
      </c>
      <c r="D340" s="506">
        <f t="shared" si="787"/>
        <v>300</v>
      </c>
      <c r="E340" s="506">
        <f t="shared" si="788"/>
        <v>250</v>
      </c>
      <c r="F340" s="506">
        <v>250</v>
      </c>
      <c r="G340" s="535">
        <f>DR340+Sheet1!CZ338</f>
        <v>3424.6848209762593</v>
      </c>
      <c r="H340" s="1074">
        <f t="shared" si="844"/>
        <v>2622.2869232640001</v>
      </c>
      <c r="I340" s="534">
        <f>IF(Sheet1!DA338&gt;=E340,(Sheet1!DA338-E340+P340)*CFStoMGD,0)</f>
        <v>3184.654923264</v>
      </c>
      <c r="J340" s="995">
        <f>IF(Sheet1!DB338&gt;=D340,(Sheet1!DB338-D340+P340)*CFStoMGD,0)</f>
        <v>2622.2869232640001</v>
      </c>
      <c r="K340" s="818">
        <f t="shared" si="819"/>
        <v>64.64</v>
      </c>
      <c r="L340" s="535">
        <f>Sheet1!AA338+Sheet1!AB338-Sheet1!L338+(Sheet1!DA338-F340)*CFStoMGD-S340-T340-U340</f>
        <v>3093.8860000000013</v>
      </c>
      <c r="M340" s="535">
        <f t="shared" si="697"/>
        <v>2257.9905936446353</v>
      </c>
      <c r="N340" s="824">
        <f>IF(Sheet1!DA338&gt;=F340,MIN(113*CFStoMGD,MIN(MAX(L340,0),MAX(M340,0))),0)</f>
        <v>73.043199999999999</v>
      </c>
      <c r="O340" s="538">
        <f>Sheet1!AA338+Sheet1!AB338</f>
        <v>56.08</v>
      </c>
      <c r="P340" s="538">
        <f t="shared" si="698"/>
        <v>86.755760000000009</v>
      </c>
      <c r="Q340" s="812">
        <f t="shared" si="820"/>
        <v>0</v>
      </c>
      <c r="R340" s="812">
        <f t="shared" si="789"/>
        <v>11.445005339978641</v>
      </c>
      <c r="S340" s="812">
        <f t="shared" si="790"/>
        <v>56.08</v>
      </c>
      <c r="T340" s="812">
        <f t="shared" si="791"/>
        <v>0</v>
      </c>
      <c r="U340" s="812">
        <f>IF(AND(B340&gt;=FV340,B340&lt;=FW340),ED340+Sheet1!EH338,0)</f>
        <v>0</v>
      </c>
      <c r="V340" s="812"/>
      <c r="W340" s="812">
        <f t="shared" si="792"/>
        <v>53.194994660021358</v>
      </c>
      <c r="X340" s="812">
        <f t="shared" si="793"/>
        <v>56.08</v>
      </c>
      <c r="Y340" s="812" t="str">
        <f t="shared" si="794"/>
        <v/>
      </c>
      <c r="Z340" s="812">
        <f t="shared" si="795"/>
        <v>56.08</v>
      </c>
      <c r="AA340" s="812">
        <f t="shared" si="796"/>
        <v>56.08</v>
      </c>
      <c r="AB340" s="1059">
        <f t="shared" si="821"/>
        <v>0</v>
      </c>
      <c r="AC340" s="538">
        <f>Sheet1!Y338*MGDtoCFS</f>
        <v>43.362409999999997</v>
      </c>
      <c r="AD340" s="538">
        <f>Sheet1!Z338*MGDtoCFS</f>
        <v>46.255299999999998</v>
      </c>
      <c r="AE340" s="538">
        <f>Sheet1!AA338*MGDtoCFS</f>
        <v>43.470700000000001</v>
      </c>
      <c r="AF340" s="538">
        <f>Sheet1!AB338*MGDtoCFS</f>
        <v>43.285060000000001</v>
      </c>
      <c r="AG340" s="538">
        <f>Sheet1!L338*MGDtoCFS</f>
        <v>53.665429999997968</v>
      </c>
      <c r="AH340" s="521">
        <f t="shared" si="699"/>
        <v>0</v>
      </c>
      <c r="AI340" s="1059">
        <f t="shared" si="700"/>
        <v>0</v>
      </c>
      <c r="AJ340" s="535">
        <f t="shared" si="701"/>
        <v>0</v>
      </c>
      <c r="AK340" s="535">
        <f t="shared" si="702"/>
        <v>0</v>
      </c>
      <c r="AL340" s="535">
        <f>(VLOOKUP(Sheet1!DC338,hhdcap_wcm,4)-(((VLOOKUP(Sheet1!DC338,hhdcap_wcm,3)-Sheet1!DC338)/(VLOOKUP(Sheet1!DC338,hhdcap_wcm,3)-VLOOKUP(Sheet1!DC338,hhdcap_wcm,1)))*(VLOOKUP(Sheet1!DC338,hhdcap_wcm,4)-VLOOKUP(Sheet1!DC338,hhdcap_wcm,2))))</f>
        <v>8106.2000000169528</v>
      </c>
      <c r="AM340" s="535">
        <f t="shared" si="703"/>
        <v>-1438.3000000040784</v>
      </c>
      <c r="AN340" s="1035">
        <f t="shared" si="704"/>
        <v>0</v>
      </c>
      <c r="AO340" s="535">
        <f t="shared" si="705"/>
        <v>0</v>
      </c>
      <c r="AP340" s="535">
        <f>Sheet1!BA338+Sheet1!BB338+Sheet1!BN338+CD340</f>
        <v>16.600000000000001</v>
      </c>
      <c r="AQ340" s="535">
        <f>Sheet1!BN338+(DO340*Sheet1!BN338)</f>
        <v>16.534994660021361</v>
      </c>
      <c r="AR340" s="535">
        <f>Sheet1!BA338+CD340</f>
        <v>0</v>
      </c>
      <c r="AS340" s="535">
        <f>Sheet1!BA338+Sheet1!BB338+CD340</f>
        <v>0</v>
      </c>
      <c r="AT340" s="649">
        <f>0</f>
        <v>0</v>
      </c>
      <c r="AU340" s="974">
        <f>BA340+MAX(Sheet1!EH338,(O340-Q340-ED340-S340))</f>
        <v>0</v>
      </c>
      <c r="AV340" s="535">
        <f>IF(OR(B340&gt;=GD340,B340&lt;GC340),0,15/36*K340-MAX(0,64.6-(137.6-(Sheet1!AA338+Sheet1!AB338))))</f>
        <v>0</v>
      </c>
      <c r="AW340" s="1029"/>
      <c r="AX340" s="649"/>
      <c r="AY340" s="649">
        <f t="shared" si="822"/>
        <v>23.311716569431731</v>
      </c>
      <c r="AZ340" s="649">
        <f t="shared" si="823"/>
        <v>0</v>
      </c>
      <c r="BA340" s="1059">
        <f t="shared" si="824"/>
        <v>0</v>
      </c>
      <c r="BB340" s="1019">
        <f t="shared" si="706"/>
        <v>0</v>
      </c>
      <c r="BC340" s="1041">
        <f t="shared" si="825"/>
        <v>26.933333333333334</v>
      </c>
      <c r="BD340" s="1019">
        <f ca="1">IF(B340&gt;(Summary!$A$1-1),#N/A,BB340*MGtoAF)</f>
        <v>0</v>
      </c>
      <c r="BE340" s="535">
        <f>Sheet1!BG338+Sheet1!BH338+Sheet1!BI338-BM340</f>
        <v>2.63</v>
      </c>
      <c r="BF340" s="535">
        <f t="shared" si="707"/>
        <v>2.619700961196155</v>
      </c>
      <c r="BG340" s="535">
        <f>IF(Sheet1!EP338="FM",BM340,0)</f>
        <v>0</v>
      </c>
      <c r="BH340" s="535">
        <f t="shared" si="708"/>
        <v>0</v>
      </c>
      <c r="BI340" s="535">
        <f>IF(Sheet1!EP338="OTHER",BM340,0)</f>
        <v>0</v>
      </c>
      <c r="BJ340" s="535">
        <f t="shared" si="709"/>
        <v>0</v>
      </c>
      <c r="BK340" s="535">
        <f t="shared" si="710"/>
        <v>2.63</v>
      </c>
      <c r="BL340" s="535">
        <f t="shared" si="711"/>
        <v>2.619700961196155</v>
      </c>
      <c r="BM340" s="535">
        <f>IF(OR(Sheet1!EP338="FM", Sheet1!EP338="OTHER"),SUM(Sheet1!BG338:'Sheet1'!BI338),0)</f>
        <v>0</v>
      </c>
      <c r="BN340" s="521">
        <f>IF(AND($B340&gt;=$FV340,$B340&lt;=$FW340),MAX(BF340,Sheet1!EI338,0),MAX(BF340-(7/36)*$K340,0))</f>
        <v>0</v>
      </c>
      <c r="BO340" s="535">
        <f t="shared" si="712"/>
        <v>0</v>
      </c>
      <c r="BP340" s="521">
        <f t="shared" si="713"/>
        <v>2.619700961196155</v>
      </c>
      <c r="BQ340" s="521">
        <f>IF(AND($O340&gt;0,Sheet1!EM338=1),(1-($O340-Sheet1!$L338)/$O340)*BL340,0)</f>
        <v>0</v>
      </c>
      <c r="BR340" s="521">
        <f>IF(AND(Sheet1!$L338=0,Sheet1!$L337=0, Calculation!BK340&lt;Sheet1!$EI338-0.1,Sheet1!$EI338=Sheet1!$EI337,Sheet1!$EI338=Sheet1!$EI339),BL340-BQ340,BL340-BQ340)</f>
        <v>2.619700961196155</v>
      </c>
      <c r="BS340" s="1035" t="str">
        <f t="shared" si="826"/>
        <v/>
      </c>
      <c r="BT340" s="1035">
        <f t="shared" si="827"/>
        <v>12.568888888888889</v>
      </c>
      <c r="BU340" s="535">
        <f t="shared" si="714"/>
        <v>0</v>
      </c>
      <c r="BV340" s="535"/>
      <c r="BW340" s="535">
        <f ca="1">IF(B340&gt;(Summary!$A$1-1),#N/A,BU340*MGtoAF)</f>
        <v>0</v>
      </c>
      <c r="BX340" s="535">
        <f>Sheet1!BC338+Sheet1!BD338+Sheet1!BE338+Sheet1!BF338-CG340-CH340</f>
        <v>2.9699999999999998</v>
      </c>
      <c r="BY340" s="535">
        <f t="shared" si="715"/>
        <v>2.9583695265218939</v>
      </c>
      <c r="BZ340" s="535">
        <f>IF(Sheet1!EQ338="FM",CH340,0)</f>
        <v>0</v>
      </c>
      <c r="CA340" s="535">
        <f t="shared" si="716"/>
        <v>0</v>
      </c>
      <c r="CB340" s="535">
        <f>IF(Sheet1!EQ338="OTHER",CH340,0)</f>
        <v>0</v>
      </c>
      <c r="CC340" s="535">
        <f t="shared" si="717"/>
        <v>0</v>
      </c>
      <c r="CD340" s="535">
        <f t="shared" si="718"/>
        <v>0</v>
      </c>
      <c r="CE340" s="535">
        <f t="shared" si="719"/>
        <v>2.9699999999999998</v>
      </c>
      <c r="CF340" s="535">
        <f t="shared" si="720"/>
        <v>2.9583695265218939</v>
      </c>
      <c r="CG340" s="535">
        <f>IF(Sheet1!EQ338="CWA",SUM(Sheet1!BC338:'Sheet1'!BF338),0)</f>
        <v>0</v>
      </c>
      <c r="CH340" s="535">
        <f>IF(OR(Sheet1!EQ338="FM", Sheet1!EQ338="OTHER"),SUM(Sheet1!BC338:'Sheet1'!BF338),0)</f>
        <v>0</v>
      </c>
      <c r="CI340" s="521">
        <f>IF(AND($B340&gt;=$FV340,$B340&lt;=$FW340),MAX(CF340,Sheet1!EJ338,0),MAX(CF340-(7/36)*$K340,0))</f>
        <v>0</v>
      </c>
      <c r="CJ340" s="535">
        <f t="shared" si="721"/>
        <v>0</v>
      </c>
      <c r="CK340" s="521">
        <f t="shared" si="722"/>
        <v>2.9583695265218939</v>
      </c>
      <c r="CL340" s="521">
        <f>IF(AND($O340&gt;0,Sheet1!EN338=1),(1-($O340-Sheet1!$L338)/$O340)*CF340,0)</f>
        <v>0</v>
      </c>
      <c r="CM340" s="521">
        <f>IF(AND(Sheet1!$L338=0,Sheet1!$L337=0, Calculation!CE340&lt;Sheet1!EJ338-0.1,Sheet1!EJ338=Sheet1!EJ337,Sheet1!EJ338=Sheet1!EJ339),CF340-CL340,CF340-CL340)</f>
        <v>2.9583695265218939</v>
      </c>
      <c r="CN340" s="1040" t="str">
        <f t="shared" si="828"/>
        <v/>
      </c>
      <c r="CO340" s="1035">
        <f t="shared" si="829"/>
        <v>12.568888888888889</v>
      </c>
      <c r="CP340" s="535">
        <f t="shared" si="723"/>
        <v>0</v>
      </c>
      <c r="CQ340" s="535"/>
      <c r="CR340" s="535">
        <f ca="1">IF(B340&gt;(Summary!$A$1-1),#N/A,CP340*MGtoAF)</f>
        <v>0</v>
      </c>
      <c r="CS340" s="535">
        <f>Sheet1!BK338+Sheet1!BL338+Sheet1!BM338-Sheet1!ER338-DA340</f>
        <v>5.8900000000000006</v>
      </c>
      <c r="CT340" s="535">
        <f t="shared" si="724"/>
        <v>5.8669348522605915</v>
      </c>
      <c r="CU340" s="535">
        <f>IF(Sheet1!ER338="FM",DA340,0)</f>
        <v>0</v>
      </c>
      <c r="CV340" s="535">
        <f t="shared" si="725"/>
        <v>0</v>
      </c>
      <c r="CW340" s="535">
        <f>IF(Sheet1!ER338="OTHER",DA340,0)</f>
        <v>0</v>
      </c>
      <c r="CX340" s="535">
        <f t="shared" si="726"/>
        <v>0</v>
      </c>
      <c r="CY340" s="535">
        <f t="shared" si="727"/>
        <v>5.8900000000000006</v>
      </c>
      <c r="CZ340" s="535">
        <f t="shared" si="728"/>
        <v>5.8669348522605915</v>
      </c>
      <c r="DA340" s="535">
        <f>IF(OR(Sheet1!ER338="FM", Sheet1!ER338="OTHER"),SUM(Sheet1!BK338:'Sheet1'!BM338),0)</f>
        <v>0</v>
      </c>
      <c r="DB340" s="1011">
        <f>IF(AND($B340&gt;=$FV340,$B340&lt;=$FW340),MAX($CT340,Sheet1!EK338,0),MAX($CT340-(7/36)*$K340,0))</f>
        <v>0</v>
      </c>
      <c r="DC340" s="1012">
        <f t="shared" si="729"/>
        <v>0</v>
      </c>
      <c r="DD340" s="1011">
        <f t="shared" si="730"/>
        <v>5.8669348522605915</v>
      </c>
      <c r="DE340" s="521">
        <f>IF(AND($O340&gt;0,Sheet1!EO338=1),(1-($O340-Sheet1!$L338)/$O340)*CZ340,0)</f>
        <v>0</v>
      </c>
      <c r="DF340" s="521">
        <f>IF(AND(Sheet1!$L338=0,Sheet1!$L337=0, Calculation!CY340&lt;Sheet1!$EK338-0.1,Sheet1!$EK338=Sheet1!$EK337,Sheet1!$EK338=Sheet1!$EK339),CZ340-DE340,CZ340-DE340)</f>
        <v>5.8669348522605915</v>
      </c>
      <c r="DG340" s="1040">
        <f t="shared" si="830"/>
        <v>12.568888888888889</v>
      </c>
      <c r="DH340" s="649">
        <f t="shared" si="731"/>
        <v>11.49</v>
      </c>
      <c r="DI340" s="535">
        <f t="shared" si="732"/>
        <v>0</v>
      </c>
      <c r="DJ340" s="649">
        <f t="shared" si="733"/>
        <v>11.445005339978641</v>
      </c>
      <c r="DK340" s="535">
        <f ca="1">IF(B340&gt;(Summary!$A$1-1),#N/A,DI340*MGtoAF)</f>
        <v>0</v>
      </c>
      <c r="DL340" s="649">
        <f t="shared" si="734"/>
        <v>11.489999999999998</v>
      </c>
      <c r="DM340" s="535">
        <f t="shared" si="735"/>
        <v>28.09</v>
      </c>
      <c r="DN340" s="535">
        <f>Sheet1!AB338-DM340</f>
        <v>-0.10999999999999943</v>
      </c>
      <c r="DO340" s="743">
        <f t="shared" si="736"/>
        <v>-3.9159843360626351E-3</v>
      </c>
      <c r="DP340" s="535">
        <f>(VLOOKUP(Sheet1!DC338,hhdcap_wcm,4)-(((VLOOKUP(Sheet1!DC338,hhdcap_wcm,3)-Sheet1!DC338)/(VLOOKUP(Sheet1!DC338,hhdcap_wcm,3)-VLOOKUP(Sheet1!DC338,hhdcap_wcm,1)))*(VLOOKUP(Sheet1!DC338,hhdcap_wcm,4)-VLOOKUP(Sheet1!DC338,hhdcap_wcm,2))))</f>
        <v>8106.2000000169528</v>
      </c>
      <c r="DQ340" s="535">
        <f t="shared" si="737"/>
        <v>-1438.3000000040784</v>
      </c>
      <c r="DR340" s="535">
        <f t="shared" si="738"/>
        <v>-725.31517902374082</v>
      </c>
      <c r="DS340" s="535">
        <f>Sheet1!EA338*AFtoMG</f>
        <v>0</v>
      </c>
      <c r="DT340" s="535">
        <f>Sheet1!EB338*AFtoMG</f>
        <v>0</v>
      </c>
      <c r="DU340" s="535">
        <f>Sheet1!EC338*AFtoMG</f>
        <v>0</v>
      </c>
      <c r="DV340" s="535">
        <f>Sheet1!ED338*AFtoMG</f>
        <v>0</v>
      </c>
      <c r="DW340" s="535">
        <f t="shared" si="739"/>
        <v>0</v>
      </c>
      <c r="DX340" s="535">
        <f t="shared" si="740"/>
        <v>0</v>
      </c>
      <c r="DY340" s="535">
        <f t="shared" si="741"/>
        <v>0</v>
      </c>
      <c r="DZ340" s="535">
        <f t="shared" si="742"/>
        <v>0</v>
      </c>
      <c r="EA340" s="535"/>
      <c r="EB340" s="521">
        <f>IF(OR(B340&lt;FV340,B340&gt;FW340),(MIN(BF340+BY340+CT340+MAX(Sheet1!AA338+AQ340-73,0),K340)),0)</f>
        <v>11.445005339978641</v>
      </c>
      <c r="EC340" s="535"/>
      <c r="ED340" s="535">
        <f t="shared" si="743"/>
        <v>11.445005339978641</v>
      </c>
      <c r="EE340" s="535"/>
      <c r="EF340" s="535">
        <f>Sheet1!EH338+Sheet1!EI338+Sheet1!EJ338+Sheet1!EK338</f>
        <v>11.5</v>
      </c>
      <c r="EG340" s="1019">
        <f t="shared" si="831"/>
        <v>17.790499999999998</v>
      </c>
      <c r="EH340" s="521">
        <f t="shared" si="744"/>
        <v>0</v>
      </c>
      <c r="EI340" s="535">
        <f>IF(Sheet1!ET338=1,SUM('Calculations II'!AT340:BA340)+'Calculations II'!BC340+Sheet1!BV338+'Calculations II'!BE340+AP340,'Calculations II'!BK340)</f>
        <v>46.017814660021358</v>
      </c>
      <c r="EJ340" s="535">
        <f ca="1">EI340+'Calculations II'!D340+'Calculations II'!E340+'Calculations II'!O340</f>
        <v>44.453349027974923</v>
      </c>
      <c r="EK340" s="535"/>
      <c r="EL340" s="535"/>
      <c r="EM340" s="535">
        <f t="shared" si="745"/>
        <v>43064</v>
      </c>
      <c r="EN340" s="535">
        <f t="shared" si="746"/>
        <v>0</v>
      </c>
      <c r="EO340" s="535">
        <f t="shared" si="747"/>
        <v>0</v>
      </c>
      <c r="EP340" s="535">
        <v>0</v>
      </c>
      <c r="EQ340" s="535">
        <v>0</v>
      </c>
      <c r="ER340" s="535">
        <v>0</v>
      </c>
      <c r="ES340" s="521">
        <f t="shared" si="797"/>
        <v>1.8010006661194526</v>
      </c>
      <c r="ET340" s="535">
        <f>-(VLOOKUP(Sheet1!BQ338,Lookup!$O$4:$Q$262,2)-VLOOKUP(Sheet1!BQ337,Lookup!$O$4:$Q$262,2))/1000000</f>
        <v>0.9695728656152971</v>
      </c>
      <c r="EU340" s="535">
        <f>-(VLOOKUP(Sheet1!BR338,Lookup!$O$4:$Q$262,3)-VLOOKUP(Sheet1!BR337,Lookup!$O$4:$Q$262,3))/1000000</f>
        <v>0.83142780050415543</v>
      </c>
      <c r="EV340" s="535"/>
      <c r="EW340" s="535"/>
      <c r="EX340" s="535"/>
      <c r="EY340" s="535"/>
      <c r="EZ340" s="535"/>
      <c r="FA340" s="535"/>
      <c r="FB340" s="535"/>
      <c r="FC340" s="535"/>
      <c r="FD340" s="567">
        <f t="shared" si="786"/>
        <v>1075.9363636363419</v>
      </c>
      <c r="FE340" s="567" t="e">
        <f t="shared" si="748"/>
        <v>#N/A</v>
      </c>
      <c r="FF340" s="568" t="e">
        <f t="shared" si="749"/>
        <v>#N/A</v>
      </c>
      <c r="FG340" s="569" t="s">
        <v>656</v>
      </c>
      <c r="FH340" s="569" t="s">
        <v>656</v>
      </c>
      <c r="FI340" s="567" t="e">
        <v>#N/A</v>
      </c>
      <c r="FJ340" s="725">
        <v>540</v>
      </c>
      <c r="FK340" s="535"/>
      <c r="FL340" s="1015">
        <f t="shared" si="785"/>
        <v>45.385779122541599</v>
      </c>
      <c r="FM340" s="535"/>
      <c r="FN340" s="535"/>
      <c r="FO340" s="535">
        <f>O340+((Sheet1!CS338)*GPMtoMGD)</f>
        <v>56.08</v>
      </c>
      <c r="FP340" s="535">
        <f>IF(Sheet1!AA338+AQ340&lt;=Calculation!N340,AQ340,Calculation!N340-Sheet1!AA338)</f>
        <v>16.534994660021361</v>
      </c>
      <c r="FQ340" s="535">
        <f>(Sheet1!BP338+Sheet1!BO338)/694.4</f>
        <v>1.5414746543778803</v>
      </c>
      <c r="FR340" s="541"/>
      <c r="FS340" s="541"/>
      <c r="FT340" s="541"/>
      <c r="FU340" s="541"/>
      <c r="FV340" s="1109">
        <f t="shared" si="798"/>
        <v>42918</v>
      </c>
      <c r="FW340" s="1109">
        <f t="shared" si="799"/>
        <v>43027</v>
      </c>
      <c r="FX340" s="541"/>
      <c r="FY340" s="541">
        <f>Sheet1!DA338-Sheet1!CZ338-Sheet1!AE338</f>
        <v>906.90966999999796</v>
      </c>
      <c r="FZ340" s="535">
        <f t="shared" si="832"/>
        <v>0.26481551366279288</v>
      </c>
      <c r="GA340" s="535"/>
      <c r="GB340" s="535" t="str">
        <f t="shared" si="800"/>
        <v>n</v>
      </c>
      <c r="GC340" s="539">
        <f t="shared" si="801"/>
        <v>42782</v>
      </c>
      <c r="GD340" s="1109">
        <f t="shared" si="802"/>
        <v>42904</v>
      </c>
      <c r="GE340" s="535">
        <f t="shared" si="818"/>
        <v>6520</v>
      </c>
      <c r="GF340" s="1109">
        <f t="shared" si="803"/>
        <v>42909</v>
      </c>
      <c r="GG340" s="535">
        <f t="shared" si="845"/>
        <v>3260</v>
      </c>
      <c r="GH340" s="539">
        <f t="shared" si="804"/>
        <v>43040</v>
      </c>
      <c r="GJ340" s="521">
        <f t="shared" si="805"/>
        <v>0</v>
      </c>
      <c r="GK340" s="535" t="str">
        <f t="shared" si="750"/>
        <v/>
      </c>
      <c r="GL340" s="535">
        <f t="shared" si="806"/>
        <v>0</v>
      </c>
      <c r="GM340" s="535" t="str">
        <f t="shared" si="807"/>
        <v/>
      </c>
      <c r="GN340" s="535">
        <f>IF(GK340="P",Lookup!$M$12,IF(GK340="PP",Lookup!$M$13,IF(GK340="PPP",Lookup!$M$14,IF(GK340="T",Lookup!$M$15,IF(GK340="TP",Lookup!$M$16,IF(GK340="TPP",Lookup!$M$17,IF(GK340="TPPP",Lookup!$M$18,0)))))))*GJ340</f>
        <v>0</v>
      </c>
      <c r="GO340" s="535">
        <f t="shared" si="808"/>
        <v>0</v>
      </c>
      <c r="GP340" s="535">
        <f t="shared" si="751"/>
        <v>0</v>
      </c>
      <c r="GQ340" s="974">
        <f t="shared" si="695"/>
        <v>0</v>
      </c>
      <c r="GR340" s="535"/>
      <c r="GS340" s="535">
        <f t="shared" si="809"/>
        <v>0</v>
      </c>
      <c r="GT340" s="535" t="str">
        <f t="shared" si="810"/>
        <v/>
      </c>
      <c r="GU340" s="535">
        <f>IF(GK340="P",Lookup!$N$12,IF(GK340="PP",Lookup!$N$13,IF(GK340="PPP",Lookup!$N$14,IF(GK340="T",Lookup!$N$15,IF(GK340="TP",Lookup!$N$16,IF(GK340="TPP",Lookup!$N$17,IF(GK340="TPPP",Lookup!$N$18,0)))))))*GJ340</f>
        <v>0</v>
      </c>
      <c r="GV340" s="535">
        <f t="shared" si="811"/>
        <v>0</v>
      </c>
      <c r="GW340" s="535">
        <f t="shared" si="752"/>
        <v>0</v>
      </c>
      <c r="GX340" s="974">
        <f t="shared" si="696"/>
        <v>0</v>
      </c>
      <c r="GY340" s="535"/>
      <c r="GZ340" s="535">
        <f t="shared" si="812"/>
        <v>0</v>
      </c>
      <c r="HA340" s="535" t="str">
        <f t="shared" si="813"/>
        <v/>
      </c>
      <c r="HB340" s="535">
        <f>IF(GK340="P",Lookup!$N$12,IF(GK340="PP",Lookup!$N$13,IF(GK340="PPP",Lookup!$N$14,IF(GK340="T",Lookup!$N$15,IF(GK340="TP",Lookup!$N$16,IF(GK340="TPP",Lookup!$N$17,IF(GK340="TPPP",Lookup!$N$18,0)))))))*GJ340</f>
        <v>0</v>
      </c>
      <c r="HC340" s="521">
        <f t="shared" si="753"/>
        <v>0</v>
      </c>
      <c r="HD340" s="535">
        <f t="shared" si="754"/>
        <v>0</v>
      </c>
      <c r="HE340" s="535">
        <f t="shared" si="816"/>
        <v>0</v>
      </c>
      <c r="HF340" s="535"/>
      <c r="HG340" s="535">
        <f t="shared" si="814"/>
        <v>0</v>
      </c>
      <c r="HH340" s="535" t="str">
        <f t="shared" si="815"/>
        <v/>
      </c>
      <c r="HI340" s="535">
        <f>IF(GK340="P",Lookup!$N$12,IF(GK340="PP",Lookup!$N$13,IF(GK340="PPP",Lookup!$N$14,IF(GK340="T",Lookup!$N$15,IF(GK340="TP",Lookup!$N$16,IF(GK340="TPP",Lookup!$N$17,IF(GK340="TPPP",Lookup!$N$18,0)))))))*GJ340</f>
        <v>0</v>
      </c>
      <c r="HJ340" s="521">
        <f t="shared" si="755"/>
        <v>0</v>
      </c>
      <c r="HK340" s="535">
        <f t="shared" si="756"/>
        <v>0</v>
      </c>
      <c r="HL340" s="535">
        <f t="shared" si="817"/>
        <v>0</v>
      </c>
      <c r="HM340" s="535"/>
      <c r="HN340" s="541"/>
      <c r="HO340" s="541"/>
      <c r="HP340" s="541"/>
      <c r="HQ340" s="541">
        <f>IF(AND(B340&gt;=$FV$4,B340&lt;=$FW$4),MAX(110/1.02+$HQ$6+MIN(113/1.02,G340),IF($HV$6-(Sheet1!DA338-Sheet1!DB338)+MIN(113/1.02,G340)&lt;G340+FL340,$HV$6-(Sheet1!DA338-Sheet1!DB338)+MIN(113/1.02,G340),G340+FL340)),MIN(110/1.02+$HQ$6+113/1.02,G340))</f>
        <v>218.62745098039215</v>
      </c>
      <c r="HR340" s="541">
        <f t="shared" si="833"/>
        <v>223</v>
      </c>
      <c r="HS340" s="541">
        <f>HR340+(Sheet1!DA338-Sheet1!DB338)</f>
        <v>1043</v>
      </c>
      <c r="HT340" s="541">
        <f t="shared" si="834"/>
        <v>0</v>
      </c>
      <c r="HU340" s="541">
        <f t="shared" si="835"/>
        <v>1043</v>
      </c>
      <c r="HV340" s="541">
        <f t="shared" si="836"/>
        <v>0</v>
      </c>
      <c r="HW340" s="533" t="str">
        <f t="shared" si="837"/>
        <v/>
      </c>
      <c r="HX340" s="541">
        <f t="shared" si="838"/>
        <v>3931.372549019608</v>
      </c>
      <c r="HY340" s="541">
        <f>Sheet1!CZ338</f>
        <v>4150</v>
      </c>
      <c r="HZ340" s="541">
        <f t="shared" si="839"/>
        <v>0</v>
      </c>
      <c r="IA340" s="541">
        <f t="shared" si="840"/>
        <v>0</v>
      </c>
      <c r="IB340" s="541">
        <f t="shared" si="841"/>
        <v>4150</v>
      </c>
      <c r="IC340" s="1019" t="str">
        <f t="shared" si="842"/>
        <v/>
      </c>
      <c r="ID340" s="541">
        <f t="shared" si="843"/>
        <v>4150</v>
      </c>
      <c r="IE340" s="541">
        <f>Sheet1!DB338</f>
        <v>4270</v>
      </c>
      <c r="IF340" s="533">
        <f>Sheet1!DA338</f>
        <v>5090</v>
      </c>
      <c r="IH340" s="541">
        <f>IF(AND($B340&gt;=$GC340,$B340&lt;=$GH340,$DR340&lt;0)+N("only adjusted when pool is drawn down during storage season"),Sheet1!$DB338+$DR340+N("Palmer minus all storage release"),Sheet1!$DB338)</f>
        <v>4270</v>
      </c>
      <c r="II340" s="541">
        <f>IF(AND($B340&gt;=$GC340,$B340&lt;=$GH340,$DR340&lt;0)+N("only adjusted when pool is drawn down during storage season"),Sheet1!$DA338+$DR340+N("Auburn minus all storage release"),Sheet1!$DA338)</f>
        <v>5090</v>
      </c>
    </row>
    <row r="341" spans="1:243" x14ac:dyDescent="0.25">
      <c r="A341" s="553" t="s">
        <v>3</v>
      </c>
      <c r="B341" s="531">
        <v>43065</v>
      </c>
      <c r="C341" s="536">
        <v>0</v>
      </c>
      <c r="D341" s="506">
        <f t="shared" si="787"/>
        <v>300</v>
      </c>
      <c r="E341" s="506">
        <f t="shared" si="788"/>
        <v>250</v>
      </c>
      <c r="F341" s="506">
        <v>250</v>
      </c>
      <c r="G341" s="535">
        <f>DR341+Sheet1!CZ339</f>
        <v>2407.4230963159434</v>
      </c>
      <c r="H341" s="1074">
        <f t="shared" si="844"/>
        <v>2447.7389236479999</v>
      </c>
      <c r="I341" s="534">
        <f>IF(Sheet1!DA339&gt;=E341,(Sheet1!DA339-E341+P341)*CFStoMGD,0)</f>
        <v>3074.7469236480001</v>
      </c>
      <c r="J341" s="995">
        <f>IF(Sheet1!DB339&gt;=D341,(Sheet1!DB339-D341+P341)*CFStoMGD,0)</f>
        <v>2447.7389236479999</v>
      </c>
      <c r="K341" s="818">
        <f t="shared" si="819"/>
        <v>64.64</v>
      </c>
      <c r="L341" s="535">
        <f>Sheet1!AA339+Sheet1!AB339-Sheet1!L339+(Sheet1!DA339-F341)*CFStoMGD-S341-T341-U341</f>
        <v>2992.0079999999998</v>
      </c>
      <c r="M341" s="535">
        <f t="shared" si="697"/>
        <v>1587.2814552477985</v>
      </c>
      <c r="N341" s="824">
        <f>IF(Sheet1!DA339&gt;=F341,MIN(113*CFStoMGD,MIN(MAX(L341,0),MAX(M341,0))),0)</f>
        <v>73.043199999999999</v>
      </c>
      <c r="O341" s="538">
        <f>Sheet1!AA339+Sheet1!AB339</f>
        <v>56.06</v>
      </c>
      <c r="P341" s="538">
        <f t="shared" si="698"/>
        <v>86.724819999999994</v>
      </c>
      <c r="Q341" s="812">
        <f t="shared" si="820"/>
        <v>0</v>
      </c>
      <c r="R341" s="812">
        <f t="shared" si="789"/>
        <v>11.355373665480426</v>
      </c>
      <c r="S341" s="812">
        <f t="shared" si="790"/>
        <v>56.06</v>
      </c>
      <c r="T341" s="812">
        <f t="shared" si="791"/>
        <v>0</v>
      </c>
      <c r="U341" s="812">
        <f>IF(AND(B341&gt;=FV341,B341&lt;=FW341),ED341+Sheet1!EH339,0)</f>
        <v>0</v>
      </c>
      <c r="V341" s="812"/>
      <c r="W341" s="812">
        <f t="shared" si="792"/>
        <v>53.284626334519572</v>
      </c>
      <c r="X341" s="812">
        <f t="shared" si="793"/>
        <v>56.06</v>
      </c>
      <c r="Y341" s="812" t="str">
        <f t="shared" si="794"/>
        <v/>
      </c>
      <c r="Z341" s="812">
        <f t="shared" si="795"/>
        <v>56.06</v>
      </c>
      <c r="AA341" s="812">
        <f t="shared" si="796"/>
        <v>56.06</v>
      </c>
      <c r="AB341" s="1059">
        <f t="shared" si="821"/>
        <v>0</v>
      </c>
      <c r="AC341" s="538">
        <f>Sheet1!Y339*MGDtoCFS</f>
        <v>43.470700000000001</v>
      </c>
      <c r="AD341" s="538">
        <f>Sheet1!Z339*MGDtoCFS</f>
        <v>43.285060000000001</v>
      </c>
      <c r="AE341" s="538">
        <f>Sheet1!AA339*MGDtoCFS</f>
        <v>43.424289999999999</v>
      </c>
      <c r="AF341" s="538">
        <f>Sheet1!AB339*MGDtoCFS</f>
        <v>43.300529999999995</v>
      </c>
      <c r="AG341" s="538">
        <f>Sheet1!L339*MGDtoCFS</f>
        <v>41.27396000000045</v>
      </c>
      <c r="AH341" s="521">
        <f t="shared" si="699"/>
        <v>0</v>
      </c>
      <c r="AI341" s="1059">
        <f t="shared" si="700"/>
        <v>0</v>
      </c>
      <c r="AJ341" s="535">
        <f t="shared" si="701"/>
        <v>0</v>
      </c>
      <c r="AK341" s="535">
        <f t="shared" si="702"/>
        <v>0</v>
      </c>
      <c r="AL341" s="535">
        <f>(VLOOKUP(Sheet1!DC339,hhdcap_wcm,4)-(((VLOOKUP(Sheet1!DC339,hhdcap_wcm,3)-Sheet1!DC339)/(VLOOKUP(Sheet1!DC339,hhdcap_wcm,3)-VLOOKUP(Sheet1!DC339,hhdcap_wcm,1)))*(VLOOKUP(Sheet1!DC339,hhdcap_wcm,4)-VLOOKUP(Sheet1!DC339,hhdcap_wcm,2))))</f>
        <v>5265.4000000114684</v>
      </c>
      <c r="AM341" s="535">
        <f t="shared" si="703"/>
        <v>-2840.8000000054844</v>
      </c>
      <c r="AN341" s="1035">
        <f t="shared" si="704"/>
        <v>0</v>
      </c>
      <c r="AO341" s="535">
        <f t="shared" si="705"/>
        <v>0</v>
      </c>
      <c r="AP341" s="535">
        <f>Sheet1!BA339+Sheet1!BB339+Sheet1!BN339+CD341</f>
        <v>16.7</v>
      </c>
      <c r="AQ341" s="535">
        <f>Sheet1!BN339+(DO341*Sheet1!BN339)</f>
        <v>16.63462633451957</v>
      </c>
      <c r="AR341" s="535">
        <f>Sheet1!BA339+CD341</f>
        <v>0</v>
      </c>
      <c r="AS341" s="535">
        <f>Sheet1!BA339+Sheet1!BB339+CD341</f>
        <v>0</v>
      </c>
      <c r="AT341" s="649">
        <f>0</f>
        <v>0</v>
      </c>
      <c r="AU341" s="974">
        <f>BA341+MAX(Sheet1!EH339,(O341-Q341-ED341-S341))</f>
        <v>0</v>
      </c>
      <c r="AV341" s="535">
        <f>IF(OR(B341&gt;=GD341,B341&lt;GC341),0,15/36*K341-MAX(0,64.6-(137.6-(Sheet1!AA339+Sheet1!AB339))))</f>
        <v>0</v>
      </c>
      <c r="AW341" s="1029"/>
      <c r="AX341" s="649"/>
      <c r="AY341" s="649">
        <f t="shared" si="822"/>
        <v>23.311716569431731</v>
      </c>
      <c r="AZ341" s="649">
        <f t="shared" si="823"/>
        <v>0</v>
      </c>
      <c r="BA341" s="1059">
        <f t="shared" si="824"/>
        <v>0</v>
      </c>
      <c r="BB341" s="1019">
        <f t="shared" si="706"/>
        <v>0</v>
      </c>
      <c r="BC341" s="1041">
        <f t="shared" si="825"/>
        <v>26.933333333333334</v>
      </c>
      <c r="BD341" s="1019">
        <f ca="1">IF(B341&gt;(Summary!$A$1-1),#N/A,BB341*MGtoAF)</f>
        <v>0</v>
      </c>
      <c r="BE341" s="535">
        <f>Sheet1!BG339+Sheet1!BH339+Sheet1!BI339-BM341</f>
        <v>2.71</v>
      </c>
      <c r="BF341" s="535">
        <f t="shared" si="707"/>
        <v>2.6993914590747328</v>
      </c>
      <c r="BG341" s="535">
        <f>IF(Sheet1!EP339="FM",BM341,0)</f>
        <v>0</v>
      </c>
      <c r="BH341" s="535">
        <f t="shared" si="708"/>
        <v>0</v>
      </c>
      <c r="BI341" s="535">
        <f>IF(Sheet1!EP339="OTHER",BM341,0)</f>
        <v>0</v>
      </c>
      <c r="BJ341" s="535">
        <f t="shared" si="709"/>
        <v>0</v>
      </c>
      <c r="BK341" s="535">
        <f t="shared" si="710"/>
        <v>2.71</v>
      </c>
      <c r="BL341" s="535">
        <f t="shared" si="711"/>
        <v>2.6993914590747328</v>
      </c>
      <c r="BM341" s="535">
        <f>IF(OR(Sheet1!EP339="FM", Sheet1!EP339="OTHER"),SUM(Sheet1!BG339:'Sheet1'!BI339),0)</f>
        <v>0</v>
      </c>
      <c r="BN341" s="521">
        <f>IF(AND($B341&gt;=$FV341,$B341&lt;=$FW341),MAX(BF341,Sheet1!EI339,0),MAX(BF341-(7/36)*$K341,0))</f>
        <v>0</v>
      </c>
      <c r="BO341" s="535">
        <f t="shared" si="712"/>
        <v>0</v>
      </c>
      <c r="BP341" s="521">
        <f t="shared" si="713"/>
        <v>2.6993914590747328</v>
      </c>
      <c r="BQ341" s="521">
        <f>IF(AND($O341&gt;0,Sheet1!EM339=1),(1-($O341-Sheet1!$L339)/$O341)*BL341,0)</f>
        <v>0</v>
      </c>
      <c r="BR341" s="521">
        <f>IF(AND(Sheet1!$L339=0,Sheet1!$L338=0, Calculation!BK341&lt;Sheet1!$EI339-0.1,Sheet1!$EI339=Sheet1!$EI338,Sheet1!$EI339=Sheet1!$EI340),BL341-BQ341,BL341-BQ341)</f>
        <v>2.6993914590747328</v>
      </c>
      <c r="BS341" s="1035" t="str">
        <f t="shared" si="826"/>
        <v/>
      </c>
      <c r="BT341" s="1035">
        <f t="shared" si="827"/>
        <v>12.568888888888889</v>
      </c>
      <c r="BU341" s="535">
        <f t="shared" si="714"/>
        <v>0</v>
      </c>
      <c r="BV341" s="535"/>
      <c r="BW341" s="535">
        <f ca="1">IF(B341&gt;(Summary!$A$1-1),#N/A,BU341*MGtoAF)</f>
        <v>0</v>
      </c>
      <c r="BX341" s="535">
        <f>Sheet1!BC339+Sheet1!BD339+Sheet1!BE339+Sheet1!BF339-CG341-CH341</f>
        <v>2.99</v>
      </c>
      <c r="BY341" s="535">
        <f t="shared" si="715"/>
        <v>2.9782953736654805</v>
      </c>
      <c r="BZ341" s="535">
        <f>IF(Sheet1!EQ339="FM",CH341,0)</f>
        <v>0</v>
      </c>
      <c r="CA341" s="535">
        <f t="shared" si="716"/>
        <v>0</v>
      </c>
      <c r="CB341" s="535">
        <f>IF(Sheet1!EQ339="OTHER",CH341,0)</f>
        <v>0</v>
      </c>
      <c r="CC341" s="535">
        <f t="shared" si="717"/>
        <v>0</v>
      </c>
      <c r="CD341" s="535">
        <f t="shared" si="718"/>
        <v>0</v>
      </c>
      <c r="CE341" s="535">
        <f t="shared" si="719"/>
        <v>2.99</v>
      </c>
      <c r="CF341" s="535">
        <f t="shared" si="720"/>
        <v>2.9782953736654805</v>
      </c>
      <c r="CG341" s="535">
        <f>IF(Sheet1!EQ339="CWA",SUM(Sheet1!BC339:'Sheet1'!BF339),0)</f>
        <v>0</v>
      </c>
      <c r="CH341" s="535">
        <f>IF(OR(Sheet1!EQ339="FM", Sheet1!EQ339="OTHER"),SUM(Sheet1!BC339:'Sheet1'!BF339),0)</f>
        <v>0</v>
      </c>
      <c r="CI341" s="521">
        <f>IF(AND($B341&gt;=$FV341,$B341&lt;=$FW341),MAX(CF341,Sheet1!EJ339,0),MAX(CF341-(7/36)*$K341,0))</f>
        <v>0</v>
      </c>
      <c r="CJ341" s="535">
        <f t="shared" si="721"/>
        <v>0</v>
      </c>
      <c r="CK341" s="521">
        <f t="shared" si="722"/>
        <v>2.9782953736654805</v>
      </c>
      <c r="CL341" s="521">
        <f>IF(AND($O341&gt;0,Sheet1!EN339=1),(1-($O341-Sheet1!$L339)/$O341)*CF341,0)</f>
        <v>0</v>
      </c>
      <c r="CM341" s="521">
        <f>IF(AND(Sheet1!$L339=0,Sheet1!$L338=0, Calculation!CE341&lt;Sheet1!EJ339-0.1,Sheet1!EJ339=Sheet1!EJ338,Sheet1!EJ339=Sheet1!EJ340),CF341-CL341,CF341-CL341)</f>
        <v>2.9782953736654805</v>
      </c>
      <c r="CN341" s="1040" t="str">
        <f t="shared" si="828"/>
        <v/>
      </c>
      <c r="CO341" s="1035">
        <f t="shared" si="829"/>
        <v>12.568888888888889</v>
      </c>
      <c r="CP341" s="535">
        <f t="shared" si="723"/>
        <v>0</v>
      </c>
      <c r="CQ341" s="535"/>
      <c r="CR341" s="535">
        <f ca="1">IF(B341&gt;(Summary!$A$1-1),#N/A,CP341*MGtoAF)</f>
        <v>0</v>
      </c>
      <c r="CS341" s="535">
        <f>Sheet1!BK339+Sheet1!BL339+Sheet1!BM339-Sheet1!ER339-DA341</f>
        <v>5.7</v>
      </c>
      <c r="CT341" s="535">
        <f t="shared" si="724"/>
        <v>5.6776868327402132</v>
      </c>
      <c r="CU341" s="535">
        <f>IF(Sheet1!ER339="FM",DA341,0)</f>
        <v>0</v>
      </c>
      <c r="CV341" s="535">
        <f t="shared" si="725"/>
        <v>0</v>
      </c>
      <c r="CW341" s="535">
        <f>IF(Sheet1!ER339="OTHER",DA341,0)</f>
        <v>0</v>
      </c>
      <c r="CX341" s="535">
        <f t="shared" si="726"/>
        <v>0</v>
      </c>
      <c r="CY341" s="535">
        <f t="shared" si="727"/>
        <v>5.7</v>
      </c>
      <c r="CZ341" s="535">
        <f t="shared" si="728"/>
        <v>5.6776868327402132</v>
      </c>
      <c r="DA341" s="535">
        <f>IF(OR(Sheet1!ER339="FM", Sheet1!ER339="OTHER"),SUM(Sheet1!BK339:'Sheet1'!BM339),0)</f>
        <v>0</v>
      </c>
      <c r="DB341" s="1011">
        <f>IF(AND($B341&gt;=$FV341,$B341&lt;=$FW341),MAX($CT341,Sheet1!EK339,0),MAX($CT341-(7/36)*$K341,0))</f>
        <v>0</v>
      </c>
      <c r="DC341" s="1012">
        <f t="shared" si="729"/>
        <v>0</v>
      </c>
      <c r="DD341" s="1011">
        <f t="shared" si="730"/>
        <v>5.6776868327402132</v>
      </c>
      <c r="DE341" s="521">
        <f>IF(AND($O341&gt;0,Sheet1!EO339=1),(1-($O341-Sheet1!$L339)/$O341)*CZ341,0)</f>
        <v>0</v>
      </c>
      <c r="DF341" s="521">
        <f>IF(AND(Sheet1!$L339=0,Sheet1!$L338=0, Calculation!CY341&lt;Sheet1!$EK339-0.1,Sheet1!$EK339=Sheet1!$EK338,Sheet1!$EK339=Sheet1!$EK340),CZ341-DE341,CZ341-DE341)</f>
        <v>5.6776868327402132</v>
      </c>
      <c r="DG341" s="1040">
        <f t="shared" si="830"/>
        <v>12.568888888888889</v>
      </c>
      <c r="DH341" s="649">
        <f t="shared" si="731"/>
        <v>11.4</v>
      </c>
      <c r="DI341" s="535">
        <f t="shared" si="732"/>
        <v>0</v>
      </c>
      <c r="DJ341" s="649">
        <f t="shared" si="733"/>
        <v>11.355373665480426</v>
      </c>
      <c r="DK341" s="535">
        <f ca="1">IF(B341&gt;(Summary!$A$1-1),#N/A,DI341*MGtoAF)</f>
        <v>0</v>
      </c>
      <c r="DL341" s="649">
        <f t="shared" si="734"/>
        <v>11.400000000000002</v>
      </c>
      <c r="DM341" s="535">
        <f t="shared" si="735"/>
        <v>28.1</v>
      </c>
      <c r="DN341" s="535">
        <f>Sheet1!AB339-DM341</f>
        <v>-0.11000000000000298</v>
      </c>
      <c r="DO341" s="743">
        <f t="shared" si="736"/>
        <v>-3.9145907473310667E-3</v>
      </c>
      <c r="DP341" s="535">
        <f>(VLOOKUP(Sheet1!DC339,hhdcap_wcm,4)-(((VLOOKUP(Sheet1!DC339,hhdcap_wcm,3)-Sheet1!DC339)/(VLOOKUP(Sheet1!DC339,hhdcap_wcm,3)-VLOOKUP(Sheet1!DC339,hhdcap_wcm,1)))*(VLOOKUP(Sheet1!DC339,hhdcap_wcm,4)-VLOOKUP(Sheet1!DC339,hhdcap_wcm,2))))</f>
        <v>5265.4000000114684</v>
      </c>
      <c r="DQ341" s="535">
        <f t="shared" si="737"/>
        <v>-2840.8000000054844</v>
      </c>
      <c r="DR341" s="535">
        <f t="shared" si="738"/>
        <v>-1432.5769036840566</v>
      </c>
      <c r="DS341" s="535">
        <f>Sheet1!EA339*AFtoMG</f>
        <v>0</v>
      </c>
      <c r="DT341" s="535">
        <f>Sheet1!EB339*AFtoMG</f>
        <v>0</v>
      </c>
      <c r="DU341" s="535">
        <f>Sheet1!EC339*AFtoMG</f>
        <v>0</v>
      </c>
      <c r="DV341" s="535">
        <f>Sheet1!ED339*AFtoMG</f>
        <v>0</v>
      </c>
      <c r="DW341" s="535">
        <f t="shared" si="739"/>
        <v>0</v>
      </c>
      <c r="DX341" s="535">
        <f t="shared" si="740"/>
        <v>0</v>
      </c>
      <c r="DY341" s="535">
        <f t="shared" si="741"/>
        <v>0</v>
      </c>
      <c r="DZ341" s="535">
        <f t="shared" si="742"/>
        <v>0</v>
      </c>
      <c r="EA341" s="535"/>
      <c r="EB341" s="521">
        <f>IF(OR(B341&lt;FV341,B341&gt;FW341),(MIN(BF341+BY341+CT341+MAX(Sheet1!AA339+AQ341-73,0),K341)),0)</f>
        <v>11.355373665480426</v>
      </c>
      <c r="EC341" s="535"/>
      <c r="ED341" s="535">
        <f t="shared" si="743"/>
        <v>11.355373665480426</v>
      </c>
      <c r="EE341" s="535"/>
      <c r="EF341" s="535">
        <f>Sheet1!EH339+Sheet1!EI339+Sheet1!EJ339+Sheet1!EK339</f>
        <v>11.5</v>
      </c>
      <c r="EG341" s="1019">
        <f t="shared" si="831"/>
        <v>17.790499999999998</v>
      </c>
      <c r="EH341" s="521">
        <f t="shared" si="744"/>
        <v>0</v>
      </c>
      <c r="EI341" s="535">
        <f>IF(Sheet1!ET339=1,SUM('Calculations II'!AT341:BA341)+'Calculations II'!BC341+Sheet1!BV339+'Calculations II'!BE341+AP341,'Calculations II'!BK341)</f>
        <v>47.451376334519573</v>
      </c>
      <c r="EJ341" s="535">
        <f ca="1">EI341+'Calculations II'!D341+'Calculations II'!E341+'Calculations II'!O341</f>
        <v>42.541677041250367</v>
      </c>
      <c r="EK341" s="535"/>
      <c r="EL341" s="535"/>
      <c r="EM341" s="535">
        <f t="shared" si="745"/>
        <v>43065</v>
      </c>
      <c r="EN341" s="535">
        <f t="shared" si="746"/>
        <v>0</v>
      </c>
      <c r="EO341" s="535">
        <f t="shared" si="747"/>
        <v>0</v>
      </c>
      <c r="EP341" s="535">
        <v>0</v>
      </c>
      <c r="EQ341" s="535">
        <v>0</v>
      </c>
      <c r="ER341" s="535">
        <v>0</v>
      </c>
      <c r="ES341" s="521">
        <f t="shared" si="797"/>
        <v>3.1851434700573646</v>
      </c>
      <c r="ET341" s="535">
        <f>-(VLOOKUP(Sheet1!BQ339,Lookup!$O$4:$Q$262,2)-VLOOKUP(Sheet1!BQ338,Lookup!$O$4:$Q$262,2))/1000000</f>
        <v>1.5229800972027481</v>
      </c>
      <c r="EU341" s="535">
        <f>-(VLOOKUP(Sheet1!BR339,Lookup!$O$4:$Q$262,3)-VLOOKUP(Sheet1!BR338,Lookup!$O$4:$Q$262,3))/1000000</f>
        <v>1.6621633728546166</v>
      </c>
      <c r="EV341" s="535"/>
      <c r="EW341" s="535"/>
      <c r="EX341" s="535"/>
      <c r="EY341" s="535"/>
      <c r="EZ341" s="535"/>
      <c r="FA341" s="535"/>
      <c r="FB341" s="535"/>
      <c r="FC341" s="535"/>
      <c r="FD341" s="567">
        <f t="shared" si="786"/>
        <v>1075.099999999979</v>
      </c>
      <c r="FE341" s="567" t="e">
        <f t="shared" si="748"/>
        <v>#N/A</v>
      </c>
      <c r="FF341" s="568" t="e">
        <f t="shared" si="749"/>
        <v>#N/A</v>
      </c>
      <c r="FG341" s="569" t="s">
        <v>656</v>
      </c>
      <c r="FH341" s="569" t="s">
        <v>656</v>
      </c>
      <c r="FI341" s="567" t="e">
        <v>#N/A</v>
      </c>
      <c r="FJ341" s="725">
        <v>450</v>
      </c>
      <c r="FK341" s="535"/>
      <c r="FL341" s="1015">
        <f t="shared" si="785"/>
        <v>45.385779122541599</v>
      </c>
      <c r="FM341" s="535"/>
      <c r="FN341" s="535"/>
      <c r="FO341" s="535">
        <f>O341+((Sheet1!CS339)*GPMtoMGD)</f>
        <v>56.06</v>
      </c>
      <c r="FP341" s="535">
        <f>IF(Sheet1!AA339+AQ341&lt;=Calculation!N341,AQ341,Calculation!N341-Sheet1!AA339)</f>
        <v>16.63462633451957</v>
      </c>
      <c r="FQ341" s="535">
        <f>(Sheet1!BP339+Sheet1!BO339)/694.4</f>
        <v>1.9213709677419357</v>
      </c>
      <c r="FR341" s="541"/>
      <c r="FS341" s="541"/>
      <c r="FT341" s="541"/>
      <c r="FU341" s="541"/>
      <c r="FV341" s="1109">
        <f t="shared" si="798"/>
        <v>42918</v>
      </c>
      <c r="FW341" s="1109">
        <f t="shared" si="799"/>
        <v>43027</v>
      </c>
      <c r="FX341" s="541"/>
      <c r="FY341" s="541">
        <f>Sheet1!DA339-Sheet1!CZ339-Sheet1!AE339</f>
        <v>1034.5491400000005</v>
      </c>
      <c r="FZ341" s="535">
        <f t="shared" si="832"/>
        <v>0.42973299607499871</v>
      </c>
      <c r="GA341" s="535"/>
      <c r="GB341" s="535" t="str">
        <f t="shared" si="800"/>
        <v>n</v>
      </c>
      <c r="GC341" s="539">
        <f t="shared" si="801"/>
        <v>42782</v>
      </c>
      <c r="GD341" s="1109">
        <f t="shared" si="802"/>
        <v>42904</v>
      </c>
      <c r="GE341" s="535">
        <f t="shared" si="818"/>
        <v>6520</v>
      </c>
      <c r="GF341" s="1109">
        <f t="shared" si="803"/>
        <v>42909</v>
      </c>
      <c r="GG341" s="535">
        <f t="shared" si="845"/>
        <v>3260</v>
      </c>
      <c r="GH341" s="539">
        <f t="shared" si="804"/>
        <v>43040</v>
      </c>
      <c r="GJ341" s="521">
        <f t="shared" si="805"/>
        <v>0</v>
      </c>
      <c r="GK341" s="535" t="str">
        <f t="shared" si="750"/>
        <v/>
      </c>
      <c r="GL341" s="535">
        <f t="shared" si="806"/>
        <v>0</v>
      </c>
      <c r="GM341" s="535" t="str">
        <f t="shared" si="807"/>
        <v/>
      </c>
      <c r="GN341" s="535">
        <f>IF(GK341="P",Lookup!$M$12,IF(GK341="PP",Lookup!$M$13,IF(GK341="PPP",Lookup!$M$14,IF(GK341="T",Lookup!$M$15,IF(GK341="TP",Lookup!$M$16,IF(GK341="TPP",Lookup!$M$17,IF(GK341="TPPP",Lookup!$M$18,0)))))))*GJ341</f>
        <v>0</v>
      </c>
      <c r="GO341" s="535">
        <f t="shared" si="808"/>
        <v>0</v>
      </c>
      <c r="GP341" s="535">
        <f t="shared" si="751"/>
        <v>0</v>
      </c>
      <c r="GQ341" s="974">
        <f t="shared" si="695"/>
        <v>0</v>
      </c>
      <c r="GR341" s="535"/>
      <c r="GS341" s="535">
        <f t="shared" si="809"/>
        <v>0</v>
      </c>
      <c r="GT341" s="535" t="str">
        <f t="shared" si="810"/>
        <v/>
      </c>
      <c r="GU341" s="535">
        <f>IF(GK341="P",Lookup!$N$12,IF(GK341="PP",Lookup!$N$13,IF(GK341="PPP",Lookup!$N$14,IF(GK341="T",Lookup!$N$15,IF(GK341="TP",Lookup!$N$16,IF(GK341="TPP",Lookup!$N$17,IF(GK341="TPPP",Lookup!$N$18,0)))))))*GJ341</f>
        <v>0</v>
      </c>
      <c r="GV341" s="535">
        <f t="shared" si="811"/>
        <v>0</v>
      </c>
      <c r="GW341" s="535">
        <f t="shared" si="752"/>
        <v>0</v>
      </c>
      <c r="GX341" s="974">
        <f t="shared" si="696"/>
        <v>0</v>
      </c>
      <c r="GY341" s="535"/>
      <c r="GZ341" s="535">
        <f t="shared" si="812"/>
        <v>0</v>
      </c>
      <c r="HA341" s="535" t="str">
        <f t="shared" si="813"/>
        <v/>
      </c>
      <c r="HB341" s="535">
        <f>IF(GK341="P",Lookup!$N$12,IF(GK341="PP",Lookup!$N$13,IF(GK341="PPP",Lookup!$N$14,IF(GK341="T",Lookup!$N$15,IF(GK341="TP",Lookup!$N$16,IF(GK341="TPP",Lookup!$N$17,IF(GK341="TPPP",Lookup!$N$18,0)))))))*GJ341</f>
        <v>0</v>
      </c>
      <c r="HC341" s="521">
        <f t="shared" si="753"/>
        <v>0</v>
      </c>
      <c r="HD341" s="535">
        <f t="shared" si="754"/>
        <v>0</v>
      </c>
      <c r="HE341" s="535">
        <f t="shared" si="816"/>
        <v>0</v>
      </c>
      <c r="HF341" s="535"/>
      <c r="HG341" s="535">
        <f t="shared" si="814"/>
        <v>0</v>
      </c>
      <c r="HH341" s="535" t="str">
        <f t="shared" si="815"/>
        <v/>
      </c>
      <c r="HI341" s="535">
        <f>IF(GK341="P",Lookup!$N$12,IF(GK341="PP",Lookup!$N$13,IF(GK341="PPP",Lookup!$N$14,IF(GK341="T",Lookup!$N$15,IF(GK341="TP",Lookup!$N$16,IF(GK341="TPP",Lookup!$N$17,IF(GK341="TPPP",Lookup!$N$18,0)))))))*GJ341</f>
        <v>0</v>
      </c>
      <c r="HJ341" s="521">
        <f t="shared" si="755"/>
        <v>0</v>
      </c>
      <c r="HK341" s="535">
        <f t="shared" si="756"/>
        <v>0</v>
      </c>
      <c r="HL341" s="535">
        <f t="shared" si="817"/>
        <v>0</v>
      </c>
      <c r="HM341" s="535"/>
      <c r="HN341" s="541"/>
      <c r="HO341" s="541"/>
      <c r="HP341" s="541"/>
      <c r="HQ341" s="541">
        <f>IF(AND(B341&gt;=$FV$4,B341&lt;=$FW$4),MAX(110/1.02+$HQ$6+MIN(113/1.02,G341),IF($HV$6-(Sheet1!DA339-Sheet1!DB339)+MIN(113/1.02,G341)&lt;G341+FL341,$HV$6-(Sheet1!DA339-Sheet1!DB339)+MIN(113/1.02,G341),G341+FL341)),MIN(110/1.02+$HQ$6+113/1.02,G341))</f>
        <v>218.62745098039215</v>
      </c>
      <c r="HR341" s="541">
        <f t="shared" si="833"/>
        <v>223</v>
      </c>
      <c r="HS341" s="541">
        <f>HR341+(Sheet1!DA339-Sheet1!DB339)</f>
        <v>1143</v>
      </c>
      <c r="HT341" s="541">
        <f t="shared" si="834"/>
        <v>0</v>
      </c>
      <c r="HU341" s="541">
        <f t="shared" si="835"/>
        <v>1143</v>
      </c>
      <c r="HV341" s="541">
        <f t="shared" si="836"/>
        <v>0</v>
      </c>
      <c r="HW341" s="533" t="str">
        <f t="shared" si="837"/>
        <v/>
      </c>
      <c r="HX341" s="541">
        <f t="shared" si="838"/>
        <v>3621.372549019608</v>
      </c>
      <c r="HY341" s="541">
        <f>Sheet1!CZ339</f>
        <v>3840</v>
      </c>
      <c r="HZ341" s="541">
        <f t="shared" si="839"/>
        <v>0</v>
      </c>
      <c r="IA341" s="541">
        <f t="shared" si="840"/>
        <v>0</v>
      </c>
      <c r="IB341" s="541">
        <f t="shared" si="841"/>
        <v>3840</v>
      </c>
      <c r="IC341" s="1019" t="str">
        <f t="shared" si="842"/>
        <v/>
      </c>
      <c r="ID341" s="541">
        <f t="shared" si="843"/>
        <v>3840</v>
      </c>
      <c r="IE341" s="541">
        <f>Sheet1!DB339</f>
        <v>4000</v>
      </c>
      <c r="IF341" s="533">
        <f>Sheet1!DA339</f>
        <v>4920</v>
      </c>
      <c r="IH341" s="541">
        <f>IF(AND($B341&gt;=$GC341,$B341&lt;=$GH341,$DR341&lt;0)+N("only adjusted when pool is drawn down during storage season"),Sheet1!$DB339+$DR341+N("Palmer minus all storage release"),Sheet1!$DB339)</f>
        <v>4000</v>
      </c>
      <c r="II341" s="541">
        <f>IF(AND($B341&gt;=$GC341,$B341&lt;=$GH341,$DR341&lt;0)+N("only adjusted when pool is drawn down during storage season"),Sheet1!$DA339+$DR341+N("Auburn minus all storage release"),Sheet1!$DA339)</f>
        <v>4920</v>
      </c>
    </row>
    <row r="342" spans="1:243" x14ac:dyDescent="0.25">
      <c r="A342" s="553" t="s">
        <v>4</v>
      </c>
      <c r="B342" s="531">
        <v>43066</v>
      </c>
      <c r="C342" s="536">
        <v>0</v>
      </c>
      <c r="D342" s="506">
        <f t="shared" si="787"/>
        <v>300</v>
      </c>
      <c r="E342" s="506">
        <f t="shared" si="788"/>
        <v>250</v>
      </c>
      <c r="F342" s="506">
        <v>250</v>
      </c>
      <c r="G342" s="535">
        <f>DR342+Sheet1!CZ340</f>
        <v>1547.553202216345</v>
      </c>
      <c r="H342" s="1074">
        <f t="shared" si="844"/>
        <v>1776.8228979199998</v>
      </c>
      <c r="I342" s="534">
        <f>IF(Sheet1!DA340&gt;=E342,(Sheet1!DA340-E342+P342)*CFStoMGD,0)</f>
        <v>2392.1956979199999</v>
      </c>
      <c r="J342" s="995">
        <f>IF(Sheet1!DB340&gt;=D342,(Sheet1!DB340-D342+P342)*CFStoMGD,0)</f>
        <v>1776.8228979199998</v>
      </c>
      <c r="K342" s="818">
        <f t="shared" si="819"/>
        <v>64.64</v>
      </c>
      <c r="L342" s="535">
        <f>Sheet1!AA340+Sheet1!AB340-Sheet1!L340+(Sheet1!DA340-F342)*CFStoMGD-S342-T342-U342</f>
        <v>2311.9268000000011</v>
      </c>
      <c r="M342" s="535">
        <f t="shared" si="697"/>
        <v>1020.3451577108983</v>
      </c>
      <c r="N342" s="824">
        <f>IF(Sheet1!DA340&gt;=F342,MIN(113*CFStoMGD,MIN(MAX(L342,0),MAX(M342,0))),0)</f>
        <v>73.043199999999999</v>
      </c>
      <c r="O342" s="538">
        <f>Sheet1!AA340+Sheet1!AB340</f>
        <v>57.4</v>
      </c>
      <c r="P342" s="538">
        <f t="shared" si="698"/>
        <v>88.797799999999995</v>
      </c>
      <c r="Q342" s="812">
        <f t="shared" si="820"/>
        <v>0</v>
      </c>
      <c r="R342" s="812">
        <f t="shared" si="789"/>
        <v>10.351647058823529</v>
      </c>
      <c r="S342" s="812">
        <f t="shared" si="790"/>
        <v>57.4</v>
      </c>
      <c r="T342" s="812">
        <f t="shared" si="791"/>
        <v>0</v>
      </c>
      <c r="U342" s="812">
        <f>IF(AND(B342&gt;=FV342,B342&lt;=FW342),ED342+Sheet1!EH340,0)</f>
        <v>0</v>
      </c>
      <c r="V342" s="812"/>
      <c r="W342" s="812">
        <f t="shared" si="792"/>
        <v>54.28835294117647</v>
      </c>
      <c r="X342" s="812">
        <f t="shared" si="793"/>
        <v>57.4</v>
      </c>
      <c r="Y342" s="812" t="str">
        <f t="shared" si="794"/>
        <v/>
      </c>
      <c r="Z342" s="812">
        <f t="shared" si="795"/>
        <v>57.4</v>
      </c>
      <c r="AA342" s="812">
        <f t="shared" si="796"/>
        <v>57.4</v>
      </c>
      <c r="AB342" s="1059">
        <f t="shared" si="821"/>
        <v>0</v>
      </c>
      <c r="AC342" s="538">
        <f>Sheet1!Y340*MGDtoCFS</f>
        <v>43.424289999999999</v>
      </c>
      <c r="AD342" s="538">
        <f>Sheet1!Z340*MGDtoCFS</f>
        <v>43.161299999999997</v>
      </c>
      <c r="AE342" s="538">
        <f>Sheet1!AA340*MGDtoCFS</f>
        <v>43.207709999999999</v>
      </c>
      <c r="AF342" s="538">
        <f>Sheet1!AB340*MGDtoCFS</f>
        <v>45.590089999999996</v>
      </c>
      <c r="AG342" s="538">
        <f>Sheet1!L340*MGDtoCFS</f>
        <v>35.379889999998426</v>
      </c>
      <c r="AH342" s="521">
        <f t="shared" si="699"/>
        <v>0</v>
      </c>
      <c r="AI342" s="1059">
        <f t="shared" si="700"/>
        <v>0</v>
      </c>
      <c r="AJ342" s="535">
        <f t="shared" si="701"/>
        <v>0</v>
      </c>
      <c r="AK342" s="535">
        <f t="shared" si="702"/>
        <v>0</v>
      </c>
      <c r="AL342" s="535">
        <f>(VLOOKUP(Sheet1!DC340,hhdcap_wcm,4)-(((VLOOKUP(Sheet1!DC340,hhdcap_wcm,3)-Sheet1!DC340)/(VLOOKUP(Sheet1!DC340,hhdcap_wcm,3)-VLOOKUP(Sheet1!DC340,hhdcap_wcm,1)))*(VLOOKUP(Sheet1!DC340,hhdcap_wcm,4)-VLOOKUP(Sheet1!DC340,hhdcap_wcm,2))))</f>
        <v>2769.9000000064802</v>
      </c>
      <c r="AM342" s="535">
        <f t="shared" si="703"/>
        <v>-2495.5000000049881</v>
      </c>
      <c r="AN342" s="1035">
        <f t="shared" si="704"/>
        <v>0</v>
      </c>
      <c r="AO342" s="535">
        <f t="shared" si="705"/>
        <v>0</v>
      </c>
      <c r="AP342" s="535">
        <f>Sheet1!BA340+Sheet1!BB340+Sheet1!BN340+CD342</f>
        <v>19.3</v>
      </c>
      <c r="AQ342" s="535">
        <f>Sheet1!BN340+(DO342*Sheet1!BN340)</f>
        <v>19.118352941176472</v>
      </c>
      <c r="AR342" s="535">
        <f>Sheet1!BA340+CD342</f>
        <v>0</v>
      </c>
      <c r="AS342" s="535">
        <f>Sheet1!BA340+Sheet1!BB340+CD342</f>
        <v>0</v>
      </c>
      <c r="AT342" s="649">
        <f>0</f>
        <v>0</v>
      </c>
      <c r="AU342" s="974">
        <f>BA342+MAX(Sheet1!EH340,(O342-Q342-ED342-S342))</f>
        <v>0</v>
      </c>
      <c r="AV342" s="535">
        <f>IF(OR(B342&gt;=GD342,B342&lt;GC342),0,15/36*K342-MAX(0,64.6-(137.6-(Sheet1!AA340+Sheet1!AB340))))</f>
        <v>0</v>
      </c>
      <c r="AW342" s="1029"/>
      <c r="AX342" s="649"/>
      <c r="AY342" s="649">
        <f t="shared" si="822"/>
        <v>23.311716569431731</v>
      </c>
      <c r="AZ342" s="649">
        <f t="shared" si="823"/>
        <v>0</v>
      </c>
      <c r="BA342" s="1059">
        <f t="shared" si="824"/>
        <v>0</v>
      </c>
      <c r="BB342" s="1019">
        <f t="shared" si="706"/>
        <v>0</v>
      </c>
      <c r="BC342" s="1041">
        <f t="shared" si="825"/>
        <v>26.933333333333334</v>
      </c>
      <c r="BD342" s="1019">
        <f ca="1">IF(B342&gt;(Summary!$A$1-1),#N/A,BB342*MGtoAF)</f>
        <v>0</v>
      </c>
      <c r="BE342" s="535">
        <f>Sheet1!BG340+Sheet1!BH340+Sheet1!BI340-BM342</f>
        <v>2.81</v>
      </c>
      <c r="BF342" s="535">
        <f t="shared" si="707"/>
        <v>2.7835529411764703</v>
      </c>
      <c r="BG342" s="535">
        <f>IF(Sheet1!EP340="FM",BM342,0)</f>
        <v>0</v>
      </c>
      <c r="BH342" s="535">
        <f t="shared" si="708"/>
        <v>0</v>
      </c>
      <c r="BI342" s="535">
        <f>IF(Sheet1!EP340="OTHER",BM342,0)</f>
        <v>0</v>
      </c>
      <c r="BJ342" s="535">
        <f t="shared" si="709"/>
        <v>0</v>
      </c>
      <c r="BK342" s="535">
        <f t="shared" si="710"/>
        <v>2.81</v>
      </c>
      <c r="BL342" s="535">
        <f t="shared" si="711"/>
        <v>2.7835529411764703</v>
      </c>
      <c r="BM342" s="535">
        <f>IF(OR(Sheet1!EP340="FM", Sheet1!EP340="OTHER"),SUM(Sheet1!BG340:'Sheet1'!BI340),0)</f>
        <v>0</v>
      </c>
      <c r="BN342" s="521">
        <f>IF(AND($B342&gt;=$FV342,$B342&lt;=$FW342),MAX(BF342,Sheet1!EI340,0),MAX(BF342-(7/36)*$K342,0))</f>
        <v>0</v>
      </c>
      <c r="BO342" s="535">
        <f t="shared" si="712"/>
        <v>0</v>
      </c>
      <c r="BP342" s="521">
        <f t="shared" si="713"/>
        <v>2.7835529411764703</v>
      </c>
      <c r="BQ342" s="521">
        <f>IF(AND($O342&gt;0,Sheet1!EM340=1),(1-($O342-Sheet1!$L340)/$O342)*BL342,0)</f>
        <v>0</v>
      </c>
      <c r="BR342" s="521">
        <f>IF(AND(Sheet1!$L340=0,Sheet1!$L339=0, Calculation!BK342&lt;Sheet1!$EI340-0.1,Sheet1!$EI340=Sheet1!$EI339,Sheet1!$EI340=Sheet1!$EI341),BL342-BQ342,BL342-BQ342)</f>
        <v>2.7835529411764703</v>
      </c>
      <c r="BS342" s="1035" t="str">
        <f t="shared" si="826"/>
        <v/>
      </c>
      <c r="BT342" s="1035">
        <f t="shared" si="827"/>
        <v>12.568888888888889</v>
      </c>
      <c r="BU342" s="535">
        <f t="shared" si="714"/>
        <v>0</v>
      </c>
      <c r="BV342" s="535"/>
      <c r="BW342" s="535">
        <f ca="1">IF(B342&gt;(Summary!$A$1-1),#N/A,BU342*MGtoAF)</f>
        <v>0</v>
      </c>
      <c r="BX342" s="535">
        <f>Sheet1!BC340+Sheet1!BD340+Sheet1!BE340+Sheet1!BF340-CG342-CH342</f>
        <v>2.99</v>
      </c>
      <c r="BY342" s="535">
        <f t="shared" si="715"/>
        <v>2.9618588235294117</v>
      </c>
      <c r="BZ342" s="535">
        <f>IF(Sheet1!EQ340="FM",CH342,0)</f>
        <v>0</v>
      </c>
      <c r="CA342" s="535">
        <f t="shared" si="716"/>
        <v>0</v>
      </c>
      <c r="CB342" s="535">
        <f>IF(Sheet1!EQ340="OTHER",CH342,0)</f>
        <v>0</v>
      </c>
      <c r="CC342" s="535">
        <f t="shared" si="717"/>
        <v>0</v>
      </c>
      <c r="CD342" s="535">
        <f t="shared" si="718"/>
        <v>0</v>
      </c>
      <c r="CE342" s="535">
        <f t="shared" si="719"/>
        <v>2.99</v>
      </c>
      <c r="CF342" s="535">
        <f t="shared" si="720"/>
        <v>2.9618588235294117</v>
      </c>
      <c r="CG342" s="535">
        <f>IF(Sheet1!EQ340="CWA",SUM(Sheet1!BC340:'Sheet1'!BF340),0)</f>
        <v>0</v>
      </c>
      <c r="CH342" s="535">
        <f>IF(OR(Sheet1!EQ340="FM", Sheet1!EQ340="OTHER"),SUM(Sheet1!BC340:'Sheet1'!BF340),0)</f>
        <v>0</v>
      </c>
      <c r="CI342" s="521">
        <f>IF(AND($B342&gt;=$FV342,$B342&lt;=$FW342),MAX(CF342,Sheet1!EJ340,0),MAX(CF342-(7/36)*$K342,0))</f>
        <v>0</v>
      </c>
      <c r="CJ342" s="535">
        <f t="shared" si="721"/>
        <v>0</v>
      </c>
      <c r="CK342" s="521">
        <f t="shared" si="722"/>
        <v>2.9618588235294117</v>
      </c>
      <c r="CL342" s="521">
        <f>IF(AND($O342&gt;0,Sheet1!EN340=1),(1-($O342-Sheet1!$L340)/$O342)*CF342,0)</f>
        <v>0</v>
      </c>
      <c r="CM342" s="521">
        <f>IF(AND(Sheet1!$L340=0,Sheet1!$L339=0, Calculation!CE342&lt;Sheet1!EJ340-0.1,Sheet1!EJ340=Sheet1!EJ339,Sheet1!EJ340=Sheet1!EJ341),CF342-CL342,CF342-CL342)</f>
        <v>2.9618588235294117</v>
      </c>
      <c r="CN342" s="1040" t="str">
        <f t="shared" si="828"/>
        <v/>
      </c>
      <c r="CO342" s="1035">
        <f t="shared" si="829"/>
        <v>12.568888888888889</v>
      </c>
      <c r="CP342" s="535">
        <f t="shared" si="723"/>
        <v>0</v>
      </c>
      <c r="CQ342" s="535"/>
      <c r="CR342" s="535">
        <f ca="1">IF(B342&gt;(Summary!$A$1-1),#N/A,CP342*MGtoAF)</f>
        <v>0</v>
      </c>
      <c r="CS342" s="535">
        <f>Sheet1!BK340+Sheet1!BL340+Sheet1!BM340-Sheet1!ER340-DA342</f>
        <v>4.6500000000000004</v>
      </c>
      <c r="CT342" s="535">
        <f t="shared" si="724"/>
        <v>4.6062352941176474</v>
      </c>
      <c r="CU342" s="535">
        <f>IF(Sheet1!ER340="FM",DA342,0)</f>
        <v>0</v>
      </c>
      <c r="CV342" s="535">
        <f t="shared" si="725"/>
        <v>0</v>
      </c>
      <c r="CW342" s="535">
        <f>IF(Sheet1!ER340="OTHER",DA342,0)</f>
        <v>0</v>
      </c>
      <c r="CX342" s="535">
        <f t="shared" si="726"/>
        <v>0</v>
      </c>
      <c r="CY342" s="535">
        <f t="shared" si="727"/>
        <v>4.6500000000000004</v>
      </c>
      <c r="CZ342" s="535">
        <f t="shared" si="728"/>
        <v>4.6062352941176474</v>
      </c>
      <c r="DA342" s="535">
        <f>IF(OR(Sheet1!ER340="FM", Sheet1!ER340="OTHER"),SUM(Sheet1!BK340:'Sheet1'!BM340),0)</f>
        <v>0</v>
      </c>
      <c r="DB342" s="1011">
        <f>IF(AND($B342&gt;=$FV342,$B342&lt;=$FW342),MAX($CT342,Sheet1!EK340,0),MAX($CT342-(7/36)*$K342,0))</f>
        <v>0</v>
      </c>
      <c r="DC342" s="1012">
        <f t="shared" si="729"/>
        <v>0</v>
      </c>
      <c r="DD342" s="1011">
        <f t="shared" si="730"/>
        <v>4.6062352941176474</v>
      </c>
      <c r="DE342" s="521">
        <f>IF(AND($O342&gt;0,Sheet1!EO340=1),(1-($O342-Sheet1!$L340)/$O342)*CZ342,0)</f>
        <v>0</v>
      </c>
      <c r="DF342" s="521">
        <f>IF(AND(Sheet1!$L340=0,Sheet1!$L339=0, Calculation!CY342&lt;Sheet1!$EK340-0.1,Sheet1!$EK340=Sheet1!$EK339,Sheet1!$EK340=Sheet1!$EK341),CZ342-DE342,CZ342-DE342)</f>
        <v>4.6062352941176474</v>
      </c>
      <c r="DG342" s="1040">
        <f t="shared" si="830"/>
        <v>12.568888888888889</v>
      </c>
      <c r="DH342" s="649">
        <f t="shared" si="731"/>
        <v>10.450000000000001</v>
      </c>
      <c r="DI342" s="535">
        <f t="shared" si="732"/>
        <v>0</v>
      </c>
      <c r="DJ342" s="649">
        <f t="shared" si="733"/>
        <v>10.351647058823529</v>
      </c>
      <c r="DK342" s="535">
        <f ca="1">IF(B342&gt;(Summary!$A$1-1),#N/A,DI342*MGtoAF)</f>
        <v>0</v>
      </c>
      <c r="DL342" s="649">
        <f t="shared" si="734"/>
        <v>10.450000000000001</v>
      </c>
      <c r="DM342" s="535">
        <f t="shared" si="735"/>
        <v>29.75</v>
      </c>
      <c r="DN342" s="535">
        <f>Sheet1!AB340-DM342</f>
        <v>-0.28000000000000114</v>
      </c>
      <c r="DO342" s="743">
        <f t="shared" si="736"/>
        <v>-9.411764705882392E-3</v>
      </c>
      <c r="DP342" s="535">
        <f>(VLOOKUP(Sheet1!DC340,hhdcap_wcm,4)-(((VLOOKUP(Sheet1!DC340,hhdcap_wcm,3)-Sheet1!DC340)/(VLOOKUP(Sheet1!DC340,hhdcap_wcm,3)-VLOOKUP(Sheet1!DC340,hhdcap_wcm,1)))*(VLOOKUP(Sheet1!DC340,hhdcap_wcm,4)-VLOOKUP(Sheet1!DC340,hhdcap_wcm,2))))</f>
        <v>2769.9000000064802</v>
      </c>
      <c r="DQ342" s="535">
        <f t="shared" si="737"/>
        <v>-2495.5000000049881</v>
      </c>
      <c r="DR342" s="535">
        <f t="shared" si="738"/>
        <v>-1258.446797783655</v>
      </c>
      <c r="DS342" s="535">
        <f>Sheet1!EA340*AFtoMG</f>
        <v>0</v>
      </c>
      <c r="DT342" s="535">
        <f>Sheet1!EB340*AFtoMG</f>
        <v>0</v>
      </c>
      <c r="DU342" s="535">
        <f>Sheet1!EC340*AFtoMG</f>
        <v>0</v>
      </c>
      <c r="DV342" s="535">
        <f>Sheet1!ED340*AFtoMG</f>
        <v>0</v>
      </c>
      <c r="DW342" s="535">
        <f t="shared" si="739"/>
        <v>0</v>
      </c>
      <c r="DX342" s="535">
        <f t="shared" si="740"/>
        <v>0</v>
      </c>
      <c r="DY342" s="535">
        <f t="shared" si="741"/>
        <v>0</v>
      </c>
      <c r="DZ342" s="535">
        <f t="shared" si="742"/>
        <v>0</v>
      </c>
      <c r="EA342" s="535"/>
      <c r="EB342" s="521">
        <f>IF(OR(B342&lt;FV342,B342&gt;FW342),(MIN(BF342+BY342+CT342+MAX(Sheet1!AA340+AQ342-73,0),K342)),0)</f>
        <v>10.351647058823529</v>
      </c>
      <c r="EC342" s="535"/>
      <c r="ED342" s="535">
        <f t="shared" si="743"/>
        <v>10.351647058823529</v>
      </c>
      <c r="EE342" s="535"/>
      <c r="EF342" s="535">
        <f>Sheet1!EH340+Sheet1!EI340+Sheet1!EJ340+Sheet1!EK340</f>
        <v>11.5</v>
      </c>
      <c r="EG342" s="1019">
        <f t="shared" si="831"/>
        <v>17.790499999999998</v>
      </c>
      <c r="EH342" s="521">
        <f t="shared" si="744"/>
        <v>0</v>
      </c>
      <c r="EI342" s="535">
        <f>IF(Sheet1!ET340=1,SUM('Calculations II'!AT342:BA342)+'Calculations II'!BC342+Sheet1!BV340+'Calculations II'!BE342+AP342,'Calculations II'!BK342)</f>
        <v>45.944500941176472</v>
      </c>
      <c r="EJ342" s="535">
        <f ca="1">EI342+'Calculations II'!D342+'Calculations II'!E342+'Calculations II'!O342</f>
        <v>47.133944271090755</v>
      </c>
      <c r="EK342" s="535"/>
      <c r="EL342" s="535"/>
      <c r="EM342" s="535">
        <f t="shared" si="745"/>
        <v>43066</v>
      </c>
      <c r="EN342" s="535">
        <f t="shared" si="746"/>
        <v>0</v>
      </c>
      <c r="EO342" s="535">
        <f t="shared" si="747"/>
        <v>0</v>
      </c>
      <c r="EP342" s="535">
        <v>0</v>
      </c>
      <c r="EQ342" s="535">
        <v>0</v>
      </c>
      <c r="ER342" s="535">
        <v>0</v>
      </c>
      <c r="ES342" s="521">
        <f t="shared" si="797"/>
        <v>-0.41532617270012201</v>
      </c>
      <c r="ET342" s="535">
        <f>-(VLOOKUP(Sheet1!BQ340,Lookup!$O$4:$Q$262,2)-VLOOKUP(Sheet1!BQ339,Lookup!$O$4:$Q$262,2))/1000000</f>
        <v>-0.2768478060488142</v>
      </c>
      <c r="EU342" s="535">
        <f>-(VLOOKUP(Sheet1!BR340,Lookup!$O$4:$Q$262,3)-VLOOKUP(Sheet1!BR339,Lookup!$O$4:$Q$262,3))/1000000</f>
        <v>-0.1384783666513078</v>
      </c>
      <c r="EV342" s="535"/>
      <c r="EW342" s="535"/>
      <c r="EX342" s="535"/>
      <c r="EY342" s="535"/>
      <c r="EZ342" s="535"/>
      <c r="FA342" s="535"/>
      <c r="FB342" s="535"/>
      <c r="FC342" s="535"/>
      <c r="FD342" s="567">
        <f t="shared" si="786"/>
        <v>1074.2199999999798</v>
      </c>
      <c r="FE342" s="567" t="e">
        <f t="shared" si="748"/>
        <v>#N/A</v>
      </c>
      <c r="FF342" s="568" t="e">
        <f t="shared" si="749"/>
        <v>#N/A</v>
      </c>
      <c r="FG342" s="569" t="s">
        <v>656</v>
      </c>
      <c r="FH342" s="569" t="s">
        <v>656</v>
      </c>
      <c r="FI342" s="567" t="e">
        <v>#N/A</v>
      </c>
      <c r="FJ342" s="725">
        <v>360</v>
      </c>
      <c r="FK342" s="535"/>
      <c r="FL342" s="1015">
        <f t="shared" si="785"/>
        <v>45.385779122541599</v>
      </c>
      <c r="FM342" s="535"/>
      <c r="FN342" s="535"/>
      <c r="FO342" s="535">
        <f>O342+((Sheet1!CS340)*GPMtoMGD)</f>
        <v>57.4</v>
      </c>
      <c r="FP342" s="535">
        <f>IF(Sheet1!AA340+AQ342&lt;=Calculation!N342,AQ342,Calculation!N342-Sheet1!AA340)</f>
        <v>19.118352941176472</v>
      </c>
      <c r="FQ342" s="535">
        <f>(Sheet1!BP340+Sheet1!BO340)/694.4</f>
        <v>1.5192972350230416</v>
      </c>
      <c r="FR342" s="541"/>
      <c r="FS342" s="541"/>
      <c r="FT342" s="541"/>
      <c r="FU342" s="541"/>
      <c r="FV342" s="1109">
        <f t="shared" si="798"/>
        <v>42918</v>
      </c>
      <c r="FW342" s="1109">
        <f t="shared" si="799"/>
        <v>43027</v>
      </c>
      <c r="FX342" s="541"/>
      <c r="FY342" s="541">
        <f>Sheet1!DA340-Sheet1!CZ340-Sheet1!AE340</f>
        <v>1002.5820899999984</v>
      </c>
      <c r="FZ342" s="535">
        <f t="shared" si="832"/>
        <v>0.64784983712620647</v>
      </c>
      <c r="GA342" s="535"/>
      <c r="GB342" s="535" t="str">
        <f t="shared" si="800"/>
        <v>n</v>
      </c>
      <c r="GC342" s="539">
        <f t="shared" si="801"/>
        <v>42782</v>
      </c>
      <c r="GD342" s="1109">
        <f t="shared" si="802"/>
        <v>42904</v>
      </c>
      <c r="GE342" s="535">
        <f t="shared" si="818"/>
        <v>6520</v>
      </c>
      <c r="GF342" s="1109">
        <f t="shared" si="803"/>
        <v>42909</v>
      </c>
      <c r="GG342" s="535">
        <f t="shared" si="845"/>
        <v>3260</v>
      </c>
      <c r="GH342" s="539">
        <f t="shared" si="804"/>
        <v>43040</v>
      </c>
      <c r="GJ342" s="521">
        <f t="shared" si="805"/>
        <v>0</v>
      </c>
      <c r="GK342" s="535" t="str">
        <f t="shared" si="750"/>
        <v/>
      </c>
      <c r="GL342" s="535">
        <f t="shared" si="806"/>
        <v>0</v>
      </c>
      <c r="GM342" s="535" t="str">
        <f t="shared" si="807"/>
        <v/>
      </c>
      <c r="GN342" s="535">
        <f>IF(GK342="P",Lookup!$M$12,IF(GK342="PP",Lookup!$M$13,IF(GK342="PPP",Lookup!$M$14,IF(GK342="T",Lookup!$M$15,IF(GK342="TP",Lookup!$M$16,IF(GK342="TPP",Lookup!$M$17,IF(GK342="TPPP",Lookup!$M$18,0)))))))*GJ342</f>
        <v>0</v>
      </c>
      <c r="GO342" s="535">
        <f t="shared" si="808"/>
        <v>0</v>
      </c>
      <c r="GP342" s="535">
        <f t="shared" si="751"/>
        <v>0</v>
      </c>
      <c r="GQ342" s="974">
        <f t="shared" si="695"/>
        <v>0</v>
      </c>
      <c r="GR342" s="535"/>
      <c r="GS342" s="535">
        <f t="shared" si="809"/>
        <v>0</v>
      </c>
      <c r="GT342" s="535" t="str">
        <f t="shared" si="810"/>
        <v/>
      </c>
      <c r="GU342" s="535">
        <f>IF(GK342="P",Lookup!$N$12,IF(GK342="PP",Lookup!$N$13,IF(GK342="PPP",Lookup!$N$14,IF(GK342="T",Lookup!$N$15,IF(GK342="TP",Lookup!$N$16,IF(GK342="TPP",Lookup!$N$17,IF(GK342="TPPP",Lookup!$N$18,0)))))))*GJ342</f>
        <v>0</v>
      </c>
      <c r="GV342" s="535">
        <f t="shared" si="811"/>
        <v>0</v>
      </c>
      <c r="GW342" s="535">
        <f t="shared" si="752"/>
        <v>0</v>
      </c>
      <c r="GX342" s="974">
        <f t="shared" si="696"/>
        <v>0</v>
      </c>
      <c r="GY342" s="535"/>
      <c r="GZ342" s="535">
        <f t="shared" si="812"/>
        <v>0</v>
      </c>
      <c r="HA342" s="535" t="str">
        <f t="shared" si="813"/>
        <v/>
      </c>
      <c r="HB342" s="535">
        <f>IF(GK342="P",Lookup!$N$12,IF(GK342="PP",Lookup!$N$13,IF(GK342="PPP",Lookup!$N$14,IF(GK342="T",Lookup!$N$15,IF(GK342="TP",Lookup!$N$16,IF(GK342="TPP",Lookup!$N$17,IF(GK342="TPPP",Lookup!$N$18,0)))))))*GJ342</f>
        <v>0</v>
      </c>
      <c r="HC342" s="521">
        <f t="shared" si="753"/>
        <v>0</v>
      </c>
      <c r="HD342" s="535">
        <f t="shared" si="754"/>
        <v>0</v>
      </c>
      <c r="HE342" s="535">
        <f t="shared" si="816"/>
        <v>0</v>
      </c>
      <c r="HF342" s="535"/>
      <c r="HG342" s="535">
        <f t="shared" si="814"/>
        <v>0</v>
      </c>
      <c r="HH342" s="535" t="str">
        <f t="shared" si="815"/>
        <v/>
      </c>
      <c r="HI342" s="535">
        <f>IF(GK342="P",Lookup!$N$12,IF(GK342="PP",Lookup!$N$13,IF(GK342="PPP",Lookup!$N$14,IF(GK342="T",Lookup!$N$15,IF(GK342="TP",Lookup!$N$16,IF(GK342="TPP",Lookup!$N$17,IF(GK342="TPPP",Lookup!$N$18,0)))))))*GJ342</f>
        <v>0</v>
      </c>
      <c r="HJ342" s="521">
        <f t="shared" si="755"/>
        <v>0</v>
      </c>
      <c r="HK342" s="535">
        <f t="shared" si="756"/>
        <v>0</v>
      </c>
      <c r="HL342" s="535">
        <f t="shared" si="817"/>
        <v>0</v>
      </c>
      <c r="HM342" s="535"/>
      <c r="HN342" s="541"/>
      <c r="HO342" s="541"/>
      <c r="HP342" s="541"/>
      <c r="HQ342" s="541">
        <f>IF(AND(B342&gt;=$FV$4,B342&lt;=$FW$4),MAX(110/1.02+$HQ$6+MIN(113/1.02,G342),IF($HV$6-(Sheet1!DA340-Sheet1!DB340)+MIN(113/1.02,G342)&lt;G342+FL342,$HV$6-(Sheet1!DA340-Sheet1!DB340)+MIN(113/1.02,G342),G342+FL342)),MIN(110/1.02+$HQ$6+113/1.02,G342))</f>
        <v>218.62745098039215</v>
      </c>
      <c r="HR342" s="541">
        <f t="shared" si="833"/>
        <v>223</v>
      </c>
      <c r="HS342" s="541">
        <f>HR342+(Sheet1!DA340-Sheet1!DB340)</f>
        <v>1125</v>
      </c>
      <c r="HT342" s="541">
        <f t="shared" si="834"/>
        <v>0</v>
      </c>
      <c r="HU342" s="541">
        <f t="shared" si="835"/>
        <v>1125</v>
      </c>
      <c r="HV342" s="541">
        <f t="shared" si="836"/>
        <v>0</v>
      </c>
      <c r="HW342" s="533" t="str">
        <f t="shared" si="837"/>
        <v/>
      </c>
      <c r="HX342" s="541">
        <f t="shared" si="838"/>
        <v>2587.372549019608</v>
      </c>
      <c r="HY342" s="541">
        <f>Sheet1!CZ340</f>
        <v>2806</v>
      </c>
      <c r="HZ342" s="541">
        <f t="shared" si="839"/>
        <v>0</v>
      </c>
      <c r="IA342" s="541">
        <f t="shared" si="840"/>
        <v>0</v>
      </c>
      <c r="IB342" s="541">
        <f t="shared" si="841"/>
        <v>2806</v>
      </c>
      <c r="IC342" s="1019" t="str">
        <f t="shared" si="842"/>
        <v/>
      </c>
      <c r="ID342" s="541">
        <f t="shared" si="843"/>
        <v>2806</v>
      </c>
      <c r="IE342" s="541">
        <f>Sheet1!DB340</f>
        <v>2960</v>
      </c>
      <c r="IF342" s="533">
        <f>Sheet1!DA340</f>
        <v>3862</v>
      </c>
      <c r="IH342" s="541">
        <f>IF(AND($B342&gt;=$GC342,$B342&lt;=$GH342,$DR342&lt;0)+N("only adjusted when pool is drawn down during storage season"),Sheet1!$DB340+$DR342+N("Palmer minus all storage release"),Sheet1!$DB340)</f>
        <v>2960</v>
      </c>
      <c r="II342" s="541">
        <f>IF(AND($B342&gt;=$GC342,$B342&lt;=$GH342,$DR342&lt;0)+N("only adjusted when pool is drawn down during storage season"),Sheet1!$DA340+$DR342+N("Auburn minus all storage release"),Sheet1!$DA340)</f>
        <v>3862</v>
      </c>
    </row>
    <row r="343" spans="1:243" x14ac:dyDescent="0.25">
      <c r="A343" s="553" t="s">
        <v>5</v>
      </c>
      <c r="B343" s="531">
        <v>43067</v>
      </c>
      <c r="C343" s="536">
        <v>0</v>
      </c>
      <c r="D343" s="506">
        <f t="shared" si="787"/>
        <v>300</v>
      </c>
      <c r="E343" s="506">
        <f t="shared" si="788"/>
        <v>250</v>
      </c>
      <c r="F343" s="506">
        <v>250</v>
      </c>
      <c r="G343" s="535">
        <f>DR343+Sheet1!CZ341</f>
        <v>1657.5547150770981</v>
      </c>
      <c r="H343" s="1074">
        <f t="shared" si="844"/>
        <v>1389.4928881279998</v>
      </c>
      <c r="I343" s="534">
        <f>IF(Sheet1!DA341&gt;=E343,(Sheet1!DA341-E343+P343)*CFStoMGD,0)</f>
        <v>1983.5344881279998</v>
      </c>
      <c r="J343" s="995">
        <f>IF(Sheet1!DB341&gt;=D343,(Sheet1!DB341-D343+P343)*CFStoMGD,0)</f>
        <v>1389.4928881279998</v>
      </c>
      <c r="K343" s="818">
        <f t="shared" si="819"/>
        <v>64.64</v>
      </c>
      <c r="L343" s="535">
        <f>Sheet1!AA341+Sheet1!AB341-Sheet1!L341+(Sheet1!DA341-F343)*CFStoMGD-S343-T343-U343</f>
        <v>1902.6055999999994</v>
      </c>
      <c r="M343" s="535">
        <f t="shared" si="697"/>
        <v>1092.8722351823531</v>
      </c>
      <c r="N343" s="824">
        <f>IF(Sheet1!DA341&gt;=F343,MIN(113*CFStoMGD,MIN(MAX(L343,0),MAX(M343,0))),0)</f>
        <v>73.043199999999999</v>
      </c>
      <c r="O343" s="538">
        <f>Sheet1!AA341+Sheet1!AB341</f>
        <v>57.91</v>
      </c>
      <c r="P343" s="538">
        <f t="shared" si="698"/>
        <v>89.586770000000001</v>
      </c>
      <c r="Q343" s="812">
        <f t="shared" si="820"/>
        <v>0</v>
      </c>
      <c r="R343" s="812">
        <f t="shared" si="789"/>
        <v>9.7437116154873156</v>
      </c>
      <c r="S343" s="812">
        <f t="shared" si="790"/>
        <v>57.91</v>
      </c>
      <c r="T343" s="812">
        <f t="shared" si="791"/>
        <v>0</v>
      </c>
      <c r="U343" s="812">
        <f>IF(AND(B343&gt;=FV343,B343&lt;=FW343),ED343+Sheet1!EH341,0)</f>
        <v>0</v>
      </c>
      <c r="V343" s="812"/>
      <c r="W343" s="812">
        <f t="shared" si="792"/>
        <v>54.896288384512687</v>
      </c>
      <c r="X343" s="812">
        <f t="shared" si="793"/>
        <v>57.91</v>
      </c>
      <c r="Y343" s="812" t="str">
        <f t="shared" si="794"/>
        <v/>
      </c>
      <c r="Z343" s="812">
        <f t="shared" si="795"/>
        <v>57.91</v>
      </c>
      <c r="AA343" s="812">
        <f t="shared" si="796"/>
        <v>57.91</v>
      </c>
      <c r="AB343" s="1059">
        <f t="shared" si="821"/>
        <v>0</v>
      </c>
      <c r="AC343" s="538">
        <f>Sheet1!Y341*MGDtoCFS</f>
        <v>43.207709999999999</v>
      </c>
      <c r="AD343" s="538">
        <f>Sheet1!Z341*MGDtoCFS</f>
        <v>45.481799999999993</v>
      </c>
      <c r="AE343" s="538">
        <f>Sheet1!AA341*MGDtoCFS</f>
        <v>43.315999999999995</v>
      </c>
      <c r="AF343" s="538">
        <f>Sheet1!AB341*MGDtoCFS</f>
        <v>46.270769999999999</v>
      </c>
      <c r="AG343" s="538">
        <f>Sheet1!L341*MGDtoCFS</f>
        <v>35.611940000000672</v>
      </c>
      <c r="AH343" s="521">
        <f t="shared" si="699"/>
        <v>0</v>
      </c>
      <c r="AI343" s="1059">
        <f t="shared" si="700"/>
        <v>0</v>
      </c>
      <c r="AJ343" s="535">
        <f t="shared" si="701"/>
        <v>0</v>
      </c>
      <c r="AK343" s="535">
        <f t="shared" si="702"/>
        <v>0</v>
      </c>
      <c r="AL343" s="535">
        <f>(VLOOKUP(Sheet1!DC341,hhdcap_wcm,4)-(((VLOOKUP(Sheet1!DC341,hhdcap_wcm,3)-Sheet1!DC341)/(VLOOKUP(Sheet1!DC341,hhdcap_wcm,3)-VLOOKUP(Sheet1!DC341,hhdcap_wcm,1)))*(VLOOKUP(Sheet1!DC341,hhdcap_wcm,4)-VLOOKUP(Sheet1!DC341,hhdcap_wcm,2))))</f>
        <v>1779.5000000043656</v>
      </c>
      <c r="AM343" s="535">
        <f t="shared" si="703"/>
        <v>-990.40000000211467</v>
      </c>
      <c r="AN343" s="1035">
        <f t="shared" si="704"/>
        <v>0</v>
      </c>
      <c r="AO343" s="535">
        <f t="shared" si="705"/>
        <v>0</v>
      </c>
      <c r="AP343" s="535">
        <f>Sheet1!BA341+Sheet1!BB341+Sheet1!BN341+CD343</f>
        <v>20.2</v>
      </c>
      <c r="AQ343" s="535">
        <f>Sheet1!BN341+(DO343*Sheet1!BN341)</f>
        <v>20.166288384512683</v>
      </c>
      <c r="AR343" s="535">
        <f>Sheet1!BA341+CD343</f>
        <v>0</v>
      </c>
      <c r="AS343" s="535">
        <f>Sheet1!BA341+Sheet1!BB341+CD343</f>
        <v>0</v>
      </c>
      <c r="AT343" s="649">
        <f>0</f>
        <v>0</v>
      </c>
      <c r="AU343" s="974">
        <f>BA343+MAX(Sheet1!EH341,(O343-Q343-ED343-S343))</f>
        <v>0</v>
      </c>
      <c r="AV343" s="535">
        <f>IF(OR(B343&gt;=GD343,B343&lt;GC343),0,15/36*K343-MAX(0,64.6-(137.6-(Sheet1!AA341+Sheet1!AB341))))</f>
        <v>0</v>
      </c>
      <c r="AW343" s="1029"/>
      <c r="AX343" s="649"/>
      <c r="AY343" s="649">
        <f t="shared" si="822"/>
        <v>23.311716569431731</v>
      </c>
      <c r="AZ343" s="649">
        <f t="shared" si="823"/>
        <v>0</v>
      </c>
      <c r="BA343" s="1059">
        <f t="shared" si="824"/>
        <v>0</v>
      </c>
      <c r="BB343" s="1019">
        <f t="shared" si="706"/>
        <v>0</v>
      </c>
      <c r="BC343" s="1041">
        <f t="shared" si="825"/>
        <v>26.933333333333334</v>
      </c>
      <c r="BD343" s="1019">
        <f ca="1">IF(B343&gt;(Summary!$A$1-1),#N/A,BB343*MGtoAF)</f>
        <v>0</v>
      </c>
      <c r="BE343" s="535">
        <f>Sheet1!BG341+Sheet1!BH341+Sheet1!BI341-BM343</f>
        <v>1.65</v>
      </c>
      <c r="BF343" s="535">
        <f t="shared" si="707"/>
        <v>1.6472463284379171</v>
      </c>
      <c r="BG343" s="535">
        <f>IF(Sheet1!EP341="FM",BM343,0)</f>
        <v>0</v>
      </c>
      <c r="BH343" s="535">
        <f t="shared" si="708"/>
        <v>0</v>
      </c>
      <c r="BI343" s="535">
        <f>IF(Sheet1!EP341="OTHER",BM343,0)</f>
        <v>0</v>
      </c>
      <c r="BJ343" s="535">
        <f t="shared" si="709"/>
        <v>0</v>
      </c>
      <c r="BK343" s="535">
        <f t="shared" si="710"/>
        <v>1.65</v>
      </c>
      <c r="BL343" s="535">
        <f t="shared" si="711"/>
        <v>1.6472463284379171</v>
      </c>
      <c r="BM343" s="535">
        <f>IF(OR(Sheet1!EP341="FM", Sheet1!EP341="OTHER"),SUM(Sheet1!BG341:'Sheet1'!BI341),0)</f>
        <v>0</v>
      </c>
      <c r="BN343" s="521">
        <f>IF(AND($B343&gt;=$FV343,$B343&lt;=$FW343),MAX(BF343,Sheet1!EI341,0),MAX(BF343-(7/36)*$K343,0))</f>
        <v>0</v>
      </c>
      <c r="BO343" s="535">
        <f t="shared" si="712"/>
        <v>0</v>
      </c>
      <c r="BP343" s="521">
        <f t="shared" si="713"/>
        <v>1.6472463284379171</v>
      </c>
      <c r="BQ343" s="521">
        <f>IF(AND($O343&gt;0,Sheet1!EM341=1),(1-($O343-Sheet1!$L341)/$O343)*BL343,0)</f>
        <v>0</v>
      </c>
      <c r="BR343" s="521">
        <f>IF(AND(Sheet1!$L341=0,Sheet1!$L340=0, Calculation!BK343&lt;Sheet1!$EI341-0.1,Sheet1!$EI341=Sheet1!$EI340,Sheet1!$EI341=Sheet1!$EI342),BL343-BQ343,BL343-BQ343)</f>
        <v>1.6472463284379171</v>
      </c>
      <c r="BS343" s="1035" t="str">
        <f t="shared" si="826"/>
        <v/>
      </c>
      <c r="BT343" s="1035">
        <f t="shared" si="827"/>
        <v>12.568888888888889</v>
      </c>
      <c r="BU343" s="535">
        <f t="shared" si="714"/>
        <v>0</v>
      </c>
      <c r="BV343" s="535"/>
      <c r="BW343" s="535">
        <f ca="1">IF(B343&gt;(Summary!$A$1-1),#N/A,BU343*MGtoAF)</f>
        <v>0</v>
      </c>
      <c r="BX343" s="535">
        <f>Sheet1!BC341+Sheet1!BD341+Sheet1!BE341+Sheet1!BF341-CG343-CH343</f>
        <v>2.96</v>
      </c>
      <c r="BY343" s="535">
        <f t="shared" si="715"/>
        <v>2.9550600801068088</v>
      </c>
      <c r="BZ343" s="535">
        <f>IF(Sheet1!EQ341="FM",CH343,0)</f>
        <v>0</v>
      </c>
      <c r="CA343" s="535">
        <f t="shared" si="716"/>
        <v>0</v>
      </c>
      <c r="CB343" s="535">
        <f>IF(Sheet1!EQ341="OTHER",CH343,0)</f>
        <v>0</v>
      </c>
      <c r="CC343" s="535">
        <f t="shared" si="717"/>
        <v>0</v>
      </c>
      <c r="CD343" s="535">
        <f t="shared" si="718"/>
        <v>0</v>
      </c>
      <c r="CE343" s="535">
        <f t="shared" si="719"/>
        <v>2.96</v>
      </c>
      <c r="CF343" s="535">
        <f t="shared" si="720"/>
        <v>2.9550600801068088</v>
      </c>
      <c r="CG343" s="535">
        <f>IF(Sheet1!EQ341="CWA",SUM(Sheet1!BC341:'Sheet1'!BF341),0)</f>
        <v>0</v>
      </c>
      <c r="CH343" s="535">
        <f>IF(OR(Sheet1!EQ341="FM", Sheet1!EQ341="OTHER"),SUM(Sheet1!BC341:'Sheet1'!BF341),0)</f>
        <v>0</v>
      </c>
      <c r="CI343" s="521">
        <f>IF(AND($B343&gt;=$FV343,$B343&lt;=$FW343),MAX(CF343,Sheet1!EJ341,0),MAX(CF343-(7/36)*$K343,0))</f>
        <v>0</v>
      </c>
      <c r="CJ343" s="535">
        <f t="shared" si="721"/>
        <v>0</v>
      </c>
      <c r="CK343" s="521">
        <f t="shared" si="722"/>
        <v>2.9550600801068088</v>
      </c>
      <c r="CL343" s="521">
        <f>IF(AND($O343&gt;0,Sheet1!EN341=1),(1-($O343-Sheet1!$L341)/$O343)*CF343,0)</f>
        <v>0</v>
      </c>
      <c r="CM343" s="521">
        <f>IF(AND(Sheet1!$L341=0,Sheet1!$L340=0, Calculation!CE343&lt;Sheet1!EJ341-0.1,Sheet1!EJ341=Sheet1!EJ340,Sheet1!EJ341=Sheet1!EJ342),CF343-CL343,CF343-CL343)</f>
        <v>2.9550600801068088</v>
      </c>
      <c r="CN343" s="1040" t="str">
        <f t="shared" si="828"/>
        <v/>
      </c>
      <c r="CO343" s="1035">
        <f t="shared" si="829"/>
        <v>12.568888888888889</v>
      </c>
      <c r="CP343" s="535">
        <f t="shared" si="723"/>
        <v>0</v>
      </c>
      <c r="CQ343" s="535"/>
      <c r="CR343" s="535">
        <f ca="1">IF(B343&gt;(Summary!$A$1-1),#N/A,CP343*MGtoAF)</f>
        <v>0</v>
      </c>
      <c r="CS343" s="535">
        <f>Sheet1!BK341+Sheet1!BL341+Sheet1!BM341-Sheet1!ER341-DA343</f>
        <v>5.15</v>
      </c>
      <c r="CT343" s="535">
        <f t="shared" si="724"/>
        <v>5.14140520694259</v>
      </c>
      <c r="CU343" s="535">
        <f>IF(Sheet1!ER341="FM",DA343,0)</f>
        <v>0</v>
      </c>
      <c r="CV343" s="535">
        <f t="shared" si="725"/>
        <v>0</v>
      </c>
      <c r="CW343" s="535">
        <f>IF(Sheet1!ER341="OTHER",DA343,0)</f>
        <v>0</v>
      </c>
      <c r="CX343" s="535">
        <f t="shared" si="726"/>
        <v>0</v>
      </c>
      <c r="CY343" s="535">
        <f t="shared" si="727"/>
        <v>5.15</v>
      </c>
      <c r="CZ343" s="535">
        <f t="shared" si="728"/>
        <v>5.14140520694259</v>
      </c>
      <c r="DA343" s="535">
        <f>IF(OR(Sheet1!ER341="FM", Sheet1!ER341="OTHER"),SUM(Sheet1!BK341:'Sheet1'!BM341),0)</f>
        <v>0</v>
      </c>
      <c r="DB343" s="1011">
        <f>IF(AND($B343&gt;=$FV343,$B343&lt;=$FW343),MAX($CT343,Sheet1!EK341,0),MAX($CT343-(7/36)*$K343,0))</f>
        <v>0</v>
      </c>
      <c r="DC343" s="1012">
        <f t="shared" si="729"/>
        <v>0</v>
      </c>
      <c r="DD343" s="1011">
        <f t="shared" si="730"/>
        <v>5.14140520694259</v>
      </c>
      <c r="DE343" s="521">
        <f>IF(AND($O343&gt;0,Sheet1!EO341=1),(1-($O343-Sheet1!$L341)/$O343)*CZ343,0)</f>
        <v>0</v>
      </c>
      <c r="DF343" s="521">
        <f>IF(AND(Sheet1!$L341=0,Sheet1!$L340=0, Calculation!CY343&lt;Sheet1!$EK341-0.1,Sheet1!$EK341=Sheet1!$EK340,Sheet1!$EK341=Sheet1!$EK342),CZ343-DE343,CZ343-DE343)</f>
        <v>5.14140520694259</v>
      </c>
      <c r="DG343" s="1040">
        <f t="shared" si="830"/>
        <v>12.568888888888889</v>
      </c>
      <c r="DH343" s="649">
        <f t="shared" si="731"/>
        <v>9.76</v>
      </c>
      <c r="DI343" s="535">
        <f t="shared" si="732"/>
        <v>0</v>
      </c>
      <c r="DJ343" s="649">
        <f t="shared" si="733"/>
        <v>9.7437116154873156</v>
      </c>
      <c r="DK343" s="535">
        <f ca="1">IF(B343&gt;(Summary!$A$1-1),#N/A,DI343*MGtoAF)</f>
        <v>0</v>
      </c>
      <c r="DL343" s="649">
        <f t="shared" si="734"/>
        <v>9.76</v>
      </c>
      <c r="DM343" s="535">
        <f t="shared" si="735"/>
        <v>29.96</v>
      </c>
      <c r="DN343" s="535">
        <f>Sheet1!AB341-DM343</f>
        <v>-5.0000000000000711E-2</v>
      </c>
      <c r="DO343" s="743">
        <f t="shared" si="736"/>
        <v>-1.6688918558077674E-3</v>
      </c>
      <c r="DP343" s="535">
        <f>(VLOOKUP(Sheet1!DC341,hhdcap_wcm,4)-(((VLOOKUP(Sheet1!DC341,hhdcap_wcm,3)-Sheet1!DC341)/(VLOOKUP(Sheet1!DC341,hhdcap_wcm,3)-VLOOKUP(Sheet1!DC341,hhdcap_wcm,1)))*(VLOOKUP(Sheet1!DC341,hhdcap_wcm,4)-VLOOKUP(Sheet1!DC341,hhdcap_wcm,2))))</f>
        <v>1779.5000000043656</v>
      </c>
      <c r="DQ343" s="535">
        <f t="shared" si="737"/>
        <v>-990.40000000211467</v>
      </c>
      <c r="DR343" s="535">
        <f t="shared" si="738"/>
        <v>-499.44528492290192</v>
      </c>
      <c r="DS343" s="535">
        <f>Sheet1!EA341*AFtoMG</f>
        <v>0</v>
      </c>
      <c r="DT343" s="535">
        <f>Sheet1!EB341*AFtoMG</f>
        <v>0</v>
      </c>
      <c r="DU343" s="535">
        <f>Sheet1!EC341*AFtoMG</f>
        <v>0</v>
      </c>
      <c r="DV343" s="535">
        <f>Sheet1!ED341*AFtoMG</f>
        <v>0</v>
      </c>
      <c r="DW343" s="535">
        <f t="shared" si="739"/>
        <v>0</v>
      </c>
      <c r="DX343" s="535">
        <f t="shared" si="740"/>
        <v>0</v>
      </c>
      <c r="DY343" s="535">
        <f t="shared" si="741"/>
        <v>0</v>
      </c>
      <c r="DZ343" s="535">
        <f t="shared" si="742"/>
        <v>0</v>
      </c>
      <c r="EA343" s="535"/>
      <c r="EB343" s="521">
        <f>IF(OR(B343&lt;FV343,B343&gt;FW343),(MIN(BF343+BY343+CT343+MAX(Sheet1!AA341+AQ343-73,0),K343)),0)</f>
        <v>9.7437116154873156</v>
      </c>
      <c r="EC343" s="535"/>
      <c r="ED343" s="535">
        <f t="shared" si="743"/>
        <v>9.7437116154873156</v>
      </c>
      <c r="EE343" s="535"/>
      <c r="EF343" s="535">
        <f>Sheet1!EH341+Sheet1!EI341+Sheet1!EJ341+Sheet1!EK341</f>
        <v>9.5</v>
      </c>
      <c r="EG343" s="1019">
        <f t="shared" si="831"/>
        <v>14.696499999999999</v>
      </c>
      <c r="EH343" s="521">
        <f t="shared" si="744"/>
        <v>0</v>
      </c>
      <c r="EI343" s="535">
        <f>IF(Sheet1!ET341=1,SUM('Calculations II'!AT343:BA343)+'Calculations II'!BC343+Sheet1!BV341+'Calculations II'!BE343+AP343,'Calculations II'!BK343)</f>
        <v>44.576038384512685</v>
      </c>
      <c r="EJ343" s="535">
        <f ca="1">EI343+'Calculations II'!D343+'Calculations II'!E343+'Calculations II'!O343</f>
        <v>48.141382055495953</v>
      </c>
      <c r="EK343" s="535"/>
      <c r="EL343" s="535"/>
      <c r="EM343" s="535">
        <f t="shared" si="745"/>
        <v>43067</v>
      </c>
      <c r="EN343" s="535">
        <f t="shared" si="746"/>
        <v>0</v>
      </c>
      <c r="EO343" s="535">
        <f t="shared" si="747"/>
        <v>0</v>
      </c>
      <c r="EP343" s="535">
        <v>0</v>
      </c>
      <c r="EQ343" s="535">
        <v>0</v>
      </c>
      <c r="ER343" s="535">
        <v>0</v>
      </c>
      <c r="ES343" s="521">
        <f t="shared" si="797"/>
        <v>-3.3238653471798338</v>
      </c>
      <c r="ET343" s="535">
        <f>-(VLOOKUP(Sheet1!BQ341,Lookup!$O$4:$Q$262,2)-VLOOKUP(Sheet1!BQ340,Lookup!$O$4:$Q$262,2))/1000000</f>
        <v>-1.6616250662935228</v>
      </c>
      <c r="EU343" s="535">
        <f>-(VLOOKUP(Sheet1!BR341,Lookup!$O$4:$Q$262,3)-VLOOKUP(Sheet1!BR340,Lookup!$O$4:$Q$262,3))/1000000</f>
        <v>-1.662240280886311</v>
      </c>
      <c r="EV343" s="535"/>
      <c r="EW343" s="535"/>
      <c r="EX343" s="535"/>
      <c r="EY343" s="535"/>
      <c r="EZ343" s="535"/>
      <c r="FA343" s="535"/>
      <c r="FB343" s="535"/>
      <c r="FC343" s="535"/>
      <c r="FD343" s="567">
        <f t="shared" si="786"/>
        <v>1073.2899999999806</v>
      </c>
      <c r="FE343" s="567" t="e">
        <f t="shared" si="748"/>
        <v>#N/A</v>
      </c>
      <c r="FF343" s="568" t="e">
        <f t="shared" si="749"/>
        <v>#N/A</v>
      </c>
      <c r="FG343" s="569" t="s">
        <v>656</v>
      </c>
      <c r="FH343" s="569" t="s">
        <v>656</v>
      </c>
      <c r="FI343" s="567" t="e">
        <v>#N/A</v>
      </c>
      <c r="FJ343" s="725">
        <v>270</v>
      </c>
      <c r="FK343" s="535"/>
      <c r="FL343" s="1015">
        <f t="shared" si="785"/>
        <v>45.385779122541599</v>
      </c>
      <c r="FM343" s="535"/>
      <c r="FN343" s="535"/>
      <c r="FO343" s="535">
        <f>O343+((Sheet1!CS341)*GPMtoMGD)</f>
        <v>57.91</v>
      </c>
      <c r="FP343" s="535">
        <f>IF(Sheet1!AA341+AQ343&lt;=Calculation!N343,AQ343,Calculation!N343-Sheet1!AA341)</f>
        <v>20.166288384512683</v>
      </c>
      <c r="FQ343" s="535">
        <f>(Sheet1!BP341+Sheet1!BO341)/694.4</f>
        <v>1.5699884792626726</v>
      </c>
      <c r="FR343" s="541"/>
      <c r="FS343" s="541"/>
      <c r="FT343" s="541"/>
      <c r="FU343" s="541"/>
      <c r="FV343" s="1109">
        <f t="shared" si="798"/>
        <v>42918</v>
      </c>
      <c r="FW343" s="1109">
        <f t="shared" si="799"/>
        <v>43027</v>
      </c>
      <c r="FX343" s="541"/>
      <c r="FY343" s="541">
        <f>Sheet1!DA341-Sheet1!CZ341-Sheet1!AE341</f>
        <v>1018.0251700000007</v>
      </c>
      <c r="FZ343" s="535">
        <f t="shared" si="832"/>
        <v>0.61417289018579946</v>
      </c>
      <c r="GA343" s="535"/>
      <c r="GB343" s="535" t="str">
        <f t="shared" si="800"/>
        <v>n</v>
      </c>
      <c r="GC343" s="539">
        <f t="shared" si="801"/>
        <v>42782</v>
      </c>
      <c r="GD343" s="1109">
        <f t="shared" si="802"/>
        <v>42904</v>
      </c>
      <c r="GE343" s="535">
        <f t="shared" si="818"/>
        <v>6520</v>
      </c>
      <c r="GF343" s="1109">
        <f t="shared" si="803"/>
        <v>42909</v>
      </c>
      <c r="GG343" s="535">
        <f t="shared" si="845"/>
        <v>3260</v>
      </c>
      <c r="GH343" s="539">
        <f t="shared" si="804"/>
        <v>43040</v>
      </c>
      <c r="GJ343" s="521">
        <f t="shared" si="805"/>
        <v>0</v>
      </c>
      <c r="GK343" s="535" t="str">
        <f t="shared" si="750"/>
        <v/>
      </c>
      <c r="GL343" s="535">
        <f t="shared" si="806"/>
        <v>0</v>
      </c>
      <c r="GM343" s="535" t="str">
        <f t="shared" si="807"/>
        <v/>
      </c>
      <c r="GN343" s="535">
        <f>IF(GK343="P",Lookup!$M$12,IF(GK343="PP",Lookup!$M$13,IF(GK343="PPP",Lookup!$M$14,IF(GK343="T",Lookup!$M$15,IF(GK343="TP",Lookup!$M$16,IF(GK343="TPP",Lookup!$M$17,IF(GK343="TPPP",Lookup!$M$18,0)))))))*GJ343</f>
        <v>0</v>
      </c>
      <c r="GO343" s="535">
        <f t="shared" si="808"/>
        <v>0</v>
      </c>
      <c r="GP343" s="535">
        <f t="shared" si="751"/>
        <v>0</v>
      </c>
      <c r="GQ343" s="974">
        <f t="shared" si="695"/>
        <v>0</v>
      </c>
      <c r="GR343" s="535"/>
      <c r="GS343" s="535">
        <f t="shared" si="809"/>
        <v>0</v>
      </c>
      <c r="GT343" s="535" t="str">
        <f t="shared" si="810"/>
        <v/>
      </c>
      <c r="GU343" s="535">
        <f>IF(GK343="P",Lookup!$N$12,IF(GK343="PP",Lookup!$N$13,IF(GK343="PPP",Lookup!$N$14,IF(GK343="T",Lookup!$N$15,IF(GK343="TP",Lookup!$N$16,IF(GK343="TPP",Lookup!$N$17,IF(GK343="TPPP",Lookup!$N$18,0)))))))*GJ343</f>
        <v>0</v>
      </c>
      <c r="GV343" s="535">
        <f t="shared" si="811"/>
        <v>0</v>
      </c>
      <c r="GW343" s="535">
        <f t="shared" si="752"/>
        <v>0</v>
      </c>
      <c r="GX343" s="974">
        <f t="shared" si="696"/>
        <v>0</v>
      </c>
      <c r="GY343" s="535"/>
      <c r="GZ343" s="535">
        <f t="shared" si="812"/>
        <v>0</v>
      </c>
      <c r="HA343" s="535" t="str">
        <f t="shared" si="813"/>
        <v/>
      </c>
      <c r="HB343" s="535">
        <f>IF(GK343="P",Lookup!$N$12,IF(GK343="PP",Lookup!$N$13,IF(GK343="PPP",Lookup!$N$14,IF(GK343="T",Lookup!$N$15,IF(GK343="TP",Lookup!$N$16,IF(GK343="TPP",Lookup!$N$17,IF(GK343="TPPP",Lookup!$N$18,0)))))))*GJ343</f>
        <v>0</v>
      </c>
      <c r="HC343" s="521">
        <f t="shared" si="753"/>
        <v>0</v>
      </c>
      <c r="HD343" s="535">
        <f t="shared" si="754"/>
        <v>0</v>
      </c>
      <c r="HE343" s="535">
        <f t="shared" si="816"/>
        <v>0</v>
      </c>
      <c r="HF343" s="535"/>
      <c r="HG343" s="535">
        <f t="shared" si="814"/>
        <v>0</v>
      </c>
      <c r="HH343" s="535" t="str">
        <f t="shared" si="815"/>
        <v/>
      </c>
      <c r="HI343" s="535">
        <f>IF(GK343="P",Lookup!$N$12,IF(GK343="PP",Lookup!$N$13,IF(GK343="PPP",Lookup!$N$14,IF(GK343="T",Lookup!$N$15,IF(GK343="TP",Lookup!$N$16,IF(GK343="TPP",Lookup!$N$17,IF(GK343="TPPP",Lookup!$N$18,0)))))))*GJ343</f>
        <v>0</v>
      </c>
      <c r="HJ343" s="521">
        <f t="shared" si="755"/>
        <v>0</v>
      </c>
      <c r="HK343" s="535">
        <f t="shared" si="756"/>
        <v>0</v>
      </c>
      <c r="HL343" s="535">
        <f t="shared" si="817"/>
        <v>0</v>
      </c>
      <c r="HM343" s="535"/>
      <c r="HN343" s="541"/>
      <c r="HO343" s="541"/>
      <c r="HP343" s="541"/>
      <c r="HQ343" s="541">
        <f>IF(AND(B343&gt;=$FV$4,B343&lt;=$FW$4),MAX(110/1.02+$HQ$6+MIN(113/1.02,G343),IF($HV$6-(Sheet1!DA341-Sheet1!DB341)+MIN(113/1.02,G343)&lt;G343+FL343,$HV$6-(Sheet1!DA341-Sheet1!DB341)+MIN(113/1.02,G343),G343+FL343)),MIN(110/1.02+$HQ$6+113/1.02,G343))</f>
        <v>218.62745098039215</v>
      </c>
      <c r="HR343" s="541">
        <f t="shared" si="833"/>
        <v>223</v>
      </c>
      <c r="HS343" s="541">
        <f>HR343+(Sheet1!DA341-Sheet1!DB341)</f>
        <v>1092</v>
      </c>
      <c r="HT343" s="541">
        <f t="shared" si="834"/>
        <v>0</v>
      </c>
      <c r="HU343" s="541">
        <f t="shared" si="835"/>
        <v>1092</v>
      </c>
      <c r="HV343" s="541">
        <f t="shared" si="836"/>
        <v>0</v>
      </c>
      <c r="HW343" s="533" t="str">
        <f t="shared" si="837"/>
        <v/>
      </c>
      <c r="HX343" s="541">
        <f t="shared" si="838"/>
        <v>1938.372549019608</v>
      </c>
      <c r="HY343" s="541">
        <f>Sheet1!CZ341</f>
        <v>2157</v>
      </c>
      <c r="HZ343" s="541">
        <f t="shared" si="839"/>
        <v>0</v>
      </c>
      <c r="IA343" s="541">
        <f t="shared" si="840"/>
        <v>0</v>
      </c>
      <c r="IB343" s="541">
        <f t="shared" si="841"/>
        <v>2157</v>
      </c>
      <c r="IC343" s="1019" t="str">
        <f t="shared" si="842"/>
        <v/>
      </c>
      <c r="ID343" s="541">
        <f t="shared" si="843"/>
        <v>2157</v>
      </c>
      <c r="IE343" s="541">
        <f>Sheet1!DB341</f>
        <v>2360</v>
      </c>
      <c r="IF343" s="533">
        <f>Sheet1!DA341</f>
        <v>3229</v>
      </c>
      <c r="IH343" s="541">
        <f>IF(AND($B343&gt;=$GC343,$B343&lt;=$GH343,$DR343&lt;0)+N("only adjusted when pool is drawn down during storage season"),Sheet1!$DB341+$DR343+N("Palmer minus all storage release"),Sheet1!$DB341)</f>
        <v>2360</v>
      </c>
      <c r="II343" s="541">
        <f>IF(AND($B343&gt;=$GC343,$B343&lt;=$GH343,$DR343&lt;0)+N("only adjusted when pool is drawn down during storage season"),Sheet1!$DA341+$DR343+N("Auburn minus all storage release"),Sheet1!$DA341)</f>
        <v>3229</v>
      </c>
    </row>
    <row r="344" spans="1:243" x14ac:dyDescent="0.25">
      <c r="A344" s="553" t="s">
        <v>6</v>
      </c>
      <c r="B344" s="531">
        <v>43068</v>
      </c>
      <c r="C344" s="536">
        <v>0</v>
      </c>
      <c r="D344" s="506">
        <f t="shared" si="787"/>
        <v>300</v>
      </c>
      <c r="E344" s="506">
        <f t="shared" si="788"/>
        <v>250</v>
      </c>
      <c r="F344" s="506">
        <v>250</v>
      </c>
      <c r="G344" s="535">
        <f>DR344+Sheet1!CZ342</f>
        <v>1678.3998991424219</v>
      </c>
      <c r="H344" s="1074">
        <f t="shared" si="844"/>
        <v>1137.476886592</v>
      </c>
      <c r="I344" s="534">
        <f>IF(Sheet1!DA342&gt;=E344,(Sheet1!DA342-E344+P344)*CFStoMGD,0)</f>
        <v>1664.2928865919998</v>
      </c>
      <c r="J344" s="995">
        <f>IF(Sheet1!DB342&gt;=D344,(Sheet1!DB342-D344+P344)*CFStoMGD,0)</f>
        <v>1137.476886592</v>
      </c>
      <c r="K344" s="818">
        <f t="shared" si="819"/>
        <v>64.64</v>
      </c>
      <c r="L344" s="535">
        <f>Sheet1!AA342+Sheet1!AB342-Sheet1!L342+(Sheet1!DA342-F344)*CFStoMGD-S344-T344-U344</f>
        <v>1592.4739999999981</v>
      </c>
      <c r="M344" s="535">
        <f t="shared" si="697"/>
        <v>1106.6160487017748</v>
      </c>
      <c r="N344" s="824">
        <f>IF(Sheet1!DA342&gt;=F344,MIN(113*CFStoMGD,MIN(MAX(L344,0),MAX(M344,0))),0)</f>
        <v>73.043199999999999</v>
      </c>
      <c r="O344" s="538">
        <f>Sheet1!AA342+Sheet1!AB342</f>
        <v>57.989999999999995</v>
      </c>
      <c r="P344" s="538">
        <f t="shared" si="698"/>
        <v>89.710529999999991</v>
      </c>
      <c r="Q344" s="812">
        <f t="shared" si="820"/>
        <v>0</v>
      </c>
      <c r="R344" s="812">
        <f t="shared" si="789"/>
        <v>9.6510372340425548</v>
      </c>
      <c r="S344" s="812">
        <f t="shared" si="790"/>
        <v>57.989999999999995</v>
      </c>
      <c r="T344" s="812">
        <f t="shared" si="791"/>
        <v>0</v>
      </c>
      <c r="U344" s="812">
        <f>IF(AND(B344&gt;=FV344,B344&lt;=FW344),ED344+Sheet1!EH342,0)</f>
        <v>0</v>
      </c>
      <c r="V344" s="812"/>
      <c r="W344" s="812">
        <f t="shared" si="792"/>
        <v>54.988962765957446</v>
      </c>
      <c r="X344" s="812">
        <f t="shared" si="793"/>
        <v>57.989999999999995</v>
      </c>
      <c r="Y344" s="812" t="str">
        <f t="shared" si="794"/>
        <v/>
      </c>
      <c r="Z344" s="812">
        <f t="shared" si="795"/>
        <v>57.989999999999995</v>
      </c>
      <c r="AA344" s="812">
        <f t="shared" si="796"/>
        <v>57.989999999999995</v>
      </c>
      <c r="AB344" s="1059">
        <f t="shared" si="821"/>
        <v>0</v>
      </c>
      <c r="AC344" s="538">
        <f>Sheet1!Y342*MGDtoCFS</f>
        <v>43.315999999999995</v>
      </c>
      <c r="AD344" s="538">
        <f>Sheet1!Z342*MGDtoCFS</f>
        <v>46.270769999999999</v>
      </c>
      <c r="AE344" s="538">
        <f>Sheet1!AA342*MGDtoCFS</f>
        <v>43.315999999999995</v>
      </c>
      <c r="AF344" s="538">
        <f>Sheet1!AB342*MGDtoCFS</f>
        <v>46.394529999999996</v>
      </c>
      <c r="AG344" s="538">
        <f>Sheet1!L342*MGDtoCFS</f>
        <v>21.395010000002699</v>
      </c>
      <c r="AH344" s="521">
        <f t="shared" si="699"/>
        <v>0</v>
      </c>
      <c r="AI344" s="1059">
        <f t="shared" si="700"/>
        <v>0</v>
      </c>
      <c r="AJ344" s="535">
        <f t="shared" si="701"/>
        <v>0</v>
      </c>
      <c r="AK344" s="535">
        <f t="shared" si="702"/>
        <v>0</v>
      </c>
      <c r="AL344" s="535">
        <f>(VLOOKUP(Sheet1!DC342,hhdcap_wcm,4)-(((VLOOKUP(Sheet1!DC342,hhdcap_wcm,3)-Sheet1!DC342)/(VLOOKUP(Sheet1!DC342,hhdcap_wcm,3)-VLOOKUP(Sheet1!DC342,hhdcap_wcm,1)))*(VLOOKUP(Sheet1!DC342,hhdcap_wcm,4)-VLOOKUP(Sheet1!DC342,hhdcap_wcm,2))))</f>
        <v>1441.2000000037881</v>
      </c>
      <c r="AM344" s="535">
        <f t="shared" si="703"/>
        <v>-338.30000000057748</v>
      </c>
      <c r="AN344" s="1035">
        <f t="shared" si="704"/>
        <v>0</v>
      </c>
      <c r="AO344" s="535">
        <f t="shared" si="705"/>
        <v>0</v>
      </c>
      <c r="AP344" s="535">
        <f>Sheet1!BA342+Sheet1!BB342+Sheet1!BN342+CD344</f>
        <v>20.399999999999999</v>
      </c>
      <c r="AQ344" s="535">
        <f>Sheet1!BN342+(DO344*Sheet1!BN342)</f>
        <v>20.338962765957447</v>
      </c>
      <c r="AR344" s="535">
        <f>Sheet1!BA342+CD344</f>
        <v>0</v>
      </c>
      <c r="AS344" s="535">
        <f>Sheet1!BA342+Sheet1!BB342+CD344</f>
        <v>0</v>
      </c>
      <c r="AT344" s="649">
        <f>0</f>
        <v>0</v>
      </c>
      <c r="AU344" s="974">
        <f>BA344+MAX(Sheet1!EH342,(O344-Q344-ED344-S344))</f>
        <v>0</v>
      </c>
      <c r="AV344" s="535">
        <f>IF(OR(B344&gt;=GD344,B344&lt;GC344),0,15/36*K344-MAX(0,64.6-(137.6-(Sheet1!AA342+Sheet1!AB342))))</f>
        <v>0</v>
      </c>
      <c r="AW344" s="1029"/>
      <c r="AX344" s="649"/>
      <c r="AY344" s="649">
        <f t="shared" si="822"/>
        <v>23.311716569431731</v>
      </c>
      <c r="AZ344" s="649">
        <f t="shared" si="823"/>
        <v>0</v>
      </c>
      <c r="BA344" s="1059">
        <f t="shared" si="824"/>
        <v>0</v>
      </c>
      <c r="BB344" s="1019">
        <f t="shared" si="706"/>
        <v>0</v>
      </c>
      <c r="BC344" s="1041">
        <f t="shared" si="825"/>
        <v>26.933333333333334</v>
      </c>
      <c r="BD344" s="1019">
        <f ca="1">IF(B344&gt;(Summary!$A$1-1),#N/A,BB344*MGtoAF)</f>
        <v>0</v>
      </c>
      <c r="BE344" s="535">
        <f>Sheet1!BG342+Sheet1!BH342+Sheet1!BI342-BM344</f>
        <v>1</v>
      </c>
      <c r="BF344" s="535">
        <f t="shared" si="707"/>
        <v>0.9970079787234043</v>
      </c>
      <c r="BG344" s="535">
        <f>IF(Sheet1!EP342="FM",BM344,0)</f>
        <v>0</v>
      </c>
      <c r="BH344" s="535">
        <f t="shared" si="708"/>
        <v>0</v>
      </c>
      <c r="BI344" s="535">
        <f>IF(Sheet1!EP342="OTHER",BM344,0)</f>
        <v>0</v>
      </c>
      <c r="BJ344" s="535">
        <f t="shared" si="709"/>
        <v>0</v>
      </c>
      <c r="BK344" s="535">
        <f t="shared" si="710"/>
        <v>1</v>
      </c>
      <c r="BL344" s="535">
        <f t="shared" si="711"/>
        <v>0.9970079787234043</v>
      </c>
      <c r="BM344" s="535">
        <f>IF(OR(Sheet1!EP342="FM", Sheet1!EP342="OTHER"),SUM(Sheet1!BG342:'Sheet1'!BI342),0)</f>
        <v>0</v>
      </c>
      <c r="BN344" s="521">
        <f>IF(AND($B344&gt;=$FV344,$B344&lt;=$FW344),MAX(BF344,Sheet1!EI342,0),MAX(BF344-(7/36)*$K344,0))</f>
        <v>0</v>
      </c>
      <c r="BO344" s="535">
        <f t="shared" si="712"/>
        <v>0</v>
      </c>
      <c r="BP344" s="521">
        <f t="shared" si="713"/>
        <v>0.9970079787234043</v>
      </c>
      <c r="BQ344" s="521">
        <f>IF(AND($O344&gt;0,Sheet1!EM342=1),(1-($O344-Sheet1!$L342)/$O344)*BL344,0)</f>
        <v>0</v>
      </c>
      <c r="BR344" s="521">
        <f>IF(AND(Sheet1!$L342=0,Sheet1!$L341=0, Calculation!BK344&lt;Sheet1!$EI342-0.1,Sheet1!$EI342=Sheet1!$EI341,Sheet1!$EI342=Sheet1!$EI343),BL344-BQ344,BL344-BQ344)</f>
        <v>0.9970079787234043</v>
      </c>
      <c r="BS344" s="1035" t="str">
        <f t="shared" si="826"/>
        <v/>
      </c>
      <c r="BT344" s="1035">
        <f t="shared" si="827"/>
        <v>12.568888888888889</v>
      </c>
      <c r="BU344" s="535">
        <f t="shared" si="714"/>
        <v>0</v>
      </c>
      <c r="BV344" s="535"/>
      <c r="BW344" s="535">
        <f ca="1">IF(B344&gt;(Summary!$A$1-1),#N/A,BU344*MGtoAF)</f>
        <v>0</v>
      </c>
      <c r="BX344" s="535">
        <f>Sheet1!BC342+Sheet1!BD342+Sheet1!BE342+Sheet1!BF342-CG344-CH344</f>
        <v>3</v>
      </c>
      <c r="BY344" s="535">
        <f t="shared" si="715"/>
        <v>2.9910239361702127</v>
      </c>
      <c r="BZ344" s="535">
        <f>IF(Sheet1!EQ342="FM",CH344,0)</f>
        <v>0</v>
      </c>
      <c r="CA344" s="535">
        <f t="shared" si="716"/>
        <v>0</v>
      </c>
      <c r="CB344" s="535">
        <f>IF(Sheet1!EQ342="OTHER",CH344,0)</f>
        <v>0</v>
      </c>
      <c r="CC344" s="535">
        <f t="shared" si="717"/>
        <v>0</v>
      </c>
      <c r="CD344" s="535">
        <f t="shared" si="718"/>
        <v>0</v>
      </c>
      <c r="CE344" s="535">
        <f t="shared" si="719"/>
        <v>3</v>
      </c>
      <c r="CF344" s="535">
        <f t="shared" si="720"/>
        <v>2.9910239361702127</v>
      </c>
      <c r="CG344" s="535">
        <f>IF(Sheet1!EQ342="CWA",SUM(Sheet1!BC342:'Sheet1'!BF342),0)</f>
        <v>0</v>
      </c>
      <c r="CH344" s="535">
        <f>IF(OR(Sheet1!EQ342="FM", Sheet1!EQ342="OTHER"),SUM(Sheet1!BC342:'Sheet1'!BF342),0)</f>
        <v>0</v>
      </c>
      <c r="CI344" s="521">
        <f>IF(AND($B344&gt;=$FV344,$B344&lt;=$FW344),MAX(CF344,Sheet1!EJ342,0),MAX(CF344-(7/36)*$K344,0))</f>
        <v>0</v>
      </c>
      <c r="CJ344" s="535">
        <f t="shared" si="721"/>
        <v>0</v>
      </c>
      <c r="CK344" s="521">
        <f t="shared" si="722"/>
        <v>2.9910239361702127</v>
      </c>
      <c r="CL344" s="521">
        <f>IF(AND($O344&gt;0,Sheet1!EN342=1),(1-($O344-Sheet1!$L342)/$O344)*CF344,0)</f>
        <v>0</v>
      </c>
      <c r="CM344" s="521">
        <f>IF(AND(Sheet1!$L342=0,Sheet1!$L341=0, Calculation!CE344&lt;Sheet1!EJ342-0.1,Sheet1!EJ342=Sheet1!EJ341,Sheet1!EJ342=Sheet1!EJ343),CF344-CL344,CF344-CL344)</f>
        <v>2.9910239361702127</v>
      </c>
      <c r="CN344" s="1040" t="str">
        <f t="shared" si="828"/>
        <v/>
      </c>
      <c r="CO344" s="1035">
        <f t="shared" si="829"/>
        <v>12.568888888888889</v>
      </c>
      <c r="CP344" s="535">
        <f t="shared" si="723"/>
        <v>0</v>
      </c>
      <c r="CQ344" s="535"/>
      <c r="CR344" s="535">
        <f ca="1">IF(B344&gt;(Summary!$A$1-1),#N/A,CP344*MGtoAF)</f>
        <v>0</v>
      </c>
      <c r="CS344" s="535">
        <f>Sheet1!BK342+Sheet1!BL342+Sheet1!BM342-Sheet1!ER342-DA344</f>
        <v>5.6800000000000006</v>
      </c>
      <c r="CT344" s="535">
        <f t="shared" si="724"/>
        <v>5.6630053191489367</v>
      </c>
      <c r="CU344" s="535">
        <f>IF(Sheet1!ER342="FM",DA344,0)</f>
        <v>0</v>
      </c>
      <c r="CV344" s="535">
        <f t="shared" si="725"/>
        <v>0</v>
      </c>
      <c r="CW344" s="535">
        <f>IF(Sheet1!ER342="OTHER",DA344,0)</f>
        <v>0</v>
      </c>
      <c r="CX344" s="535">
        <f t="shared" si="726"/>
        <v>0</v>
      </c>
      <c r="CY344" s="535">
        <f t="shared" si="727"/>
        <v>5.6800000000000006</v>
      </c>
      <c r="CZ344" s="535">
        <f t="shared" si="728"/>
        <v>5.6630053191489367</v>
      </c>
      <c r="DA344" s="535">
        <f>IF(OR(Sheet1!ER342="FM", Sheet1!ER342="OTHER"),SUM(Sheet1!BK342:'Sheet1'!BM342),0)</f>
        <v>0</v>
      </c>
      <c r="DB344" s="1011">
        <f>IF(AND($B344&gt;=$FV344,$B344&lt;=$FW344),MAX($CT344,Sheet1!EK342,0),MAX($CT344-(7/36)*$K344,0))</f>
        <v>0</v>
      </c>
      <c r="DC344" s="1012">
        <f t="shared" si="729"/>
        <v>0</v>
      </c>
      <c r="DD344" s="1011">
        <f t="shared" si="730"/>
        <v>5.6630053191489367</v>
      </c>
      <c r="DE344" s="521">
        <f>IF(AND($O344&gt;0,Sheet1!EO342=1),(1-($O344-Sheet1!$L342)/$O344)*CZ344,0)</f>
        <v>0</v>
      </c>
      <c r="DF344" s="521">
        <f>IF(AND(Sheet1!$L342=0,Sheet1!$L341=0, Calculation!CY344&lt;Sheet1!$EK342-0.1,Sheet1!$EK342=Sheet1!$EK341,Sheet1!$EK342=Sheet1!$EK343),CZ344-DE344,CZ344-DE344)</f>
        <v>5.6630053191489367</v>
      </c>
      <c r="DG344" s="1040">
        <f t="shared" si="830"/>
        <v>12.568888888888889</v>
      </c>
      <c r="DH344" s="649">
        <f t="shared" si="731"/>
        <v>9.68</v>
      </c>
      <c r="DI344" s="535">
        <f t="shared" si="732"/>
        <v>0</v>
      </c>
      <c r="DJ344" s="649">
        <f t="shared" si="733"/>
        <v>9.6510372340425548</v>
      </c>
      <c r="DK344" s="535">
        <f ca="1">IF(B344&gt;(Summary!$A$1-1),#N/A,DI344*MGtoAF)</f>
        <v>0</v>
      </c>
      <c r="DL344" s="649">
        <f t="shared" si="734"/>
        <v>9.68</v>
      </c>
      <c r="DM344" s="535">
        <f t="shared" si="735"/>
        <v>30.08</v>
      </c>
      <c r="DN344" s="535">
        <f>Sheet1!AB342-DM344</f>
        <v>-8.9999999999999858E-2</v>
      </c>
      <c r="DO344" s="743">
        <f t="shared" si="736"/>
        <v>-2.9920212765957403E-3</v>
      </c>
      <c r="DP344" s="535">
        <f>(VLOOKUP(Sheet1!DC342,hhdcap_wcm,4)-(((VLOOKUP(Sheet1!DC342,hhdcap_wcm,3)-Sheet1!DC342)/(VLOOKUP(Sheet1!DC342,hhdcap_wcm,3)-VLOOKUP(Sheet1!DC342,hhdcap_wcm,1)))*(VLOOKUP(Sheet1!DC342,hhdcap_wcm,4)-VLOOKUP(Sheet1!DC342,hhdcap_wcm,2))))</f>
        <v>1441.2000000037881</v>
      </c>
      <c r="DQ344" s="535">
        <f t="shared" si="737"/>
        <v>-338.30000000057748</v>
      </c>
      <c r="DR344" s="535">
        <f t="shared" si="738"/>
        <v>-170.60010085757813</v>
      </c>
      <c r="DS344" s="535">
        <f>Sheet1!EA342*AFtoMG</f>
        <v>0</v>
      </c>
      <c r="DT344" s="535">
        <f>Sheet1!EB342*AFtoMG</f>
        <v>0</v>
      </c>
      <c r="DU344" s="535">
        <f>Sheet1!EC342*AFtoMG</f>
        <v>0</v>
      </c>
      <c r="DV344" s="535">
        <f>Sheet1!ED342*AFtoMG</f>
        <v>0</v>
      </c>
      <c r="DW344" s="535">
        <f t="shared" si="739"/>
        <v>0</v>
      </c>
      <c r="DX344" s="535">
        <f t="shared" si="740"/>
        <v>0</v>
      </c>
      <c r="DY344" s="535">
        <f t="shared" si="741"/>
        <v>0</v>
      </c>
      <c r="DZ344" s="535">
        <f t="shared" si="742"/>
        <v>0</v>
      </c>
      <c r="EA344" s="535"/>
      <c r="EB344" s="521">
        <f>IF(OR(B344&lt;FV344,B344&gt;FW344),(MIN(BF344+BY344+CT344+MAX(Sheet1!AA342+AQ344-73,0),K344)),0)</f>
        <v>9.6510372340425548</v>
      </c>
      <c r="EC344" s="535"/>
      <c r="ED344" s="535">
        <f t="shared" si="743"/>
        <v>9.6510372340425548</v>
      </c>
      <c r="EE344" s="535"/>
      <c r="EF344" s="535">
        <f>Sheet1!EH342+Sheet1!EI342+Sheet1!EJ342+Sheet1!EK342</f>
        <v>9.5</v>
      </c>
      <c r="EG344" s="1019">
        <f t="shared" si="831"/>
        <v>14.696499999999999</v>
      </c>
      <c r="EH344" s="521">
        <f t="shared" si="744"/>
        <v>0</v>
      </c>
      <c r="EI344" s="535">
        <f>IF(Sheet1!ET342=1,SUM('Calculations II'!AT344:BA344)+'Calculations II'!BC344+Sheet1!BV342+'Calculations II'!BE344+AP344,'Calculations II'!BK344)</f>
        <v>47.21132476595745</v>
      </c>
      <c r="EJ344" s="535">
        <f ca="1">EI344+'Calculations II'!D344+'Calculations II'!E344+'Calculations II'!O344</f>
        <v>48.197468048193471</v>
      </c>
      <c r="EK344" s="535"/>
      <c r="EL344" s="535"/>
      <c r="EM344" s="535">
        <f t="shared" si="745"/>
        <v>43068</v>
      </c>
      <c r="EN344" s="535">
        <f t="shared" si="746"/>
        <v>0</v>
      </c>
      <c r="EO344" s="535">
        <f t="shared" si="747"/>
        <v>0</v>
      </c>
      <c r="EP344" s="535">
        <v>0</v>
      </c>
      <c r="EQ344" s="535">
        <v>0</v>
      </c>
      <c r="ER344" s="535">
        <v>0</v>
      </c>
      <c r="ES344" s="521">
        <f t="shared" si="797"/>
        <v>-0.69273151150503753</v>
      </c>
      <c r="ET344" s="535">
        <f>-(VLOOKUP(Sheet1!BQ342,Lookup!$O$4:$Q$262,2)-VLOOKUP(Sheet1!BQ341,Lookup!$O$4:$Q$262,2))/1000000</f>
        <v>-0.27702722708477451</v>
      </c>
      <c r="EU344" s="535">
        <f>-(VLOOKUP(Sheet1!BR342,Lookup!$O$4:$Q$262,3)-VLOOKUP(Sheet1!BR341,Lookup!$O$4:$Q$262,3))/1000000</f>
        <v>-0.41570428442026303</v>
      </c>
      <c r="EV344" s="535"/>
      <c r="EW344" s="535"/>
      <c r="EX344" s="535"/>
      <c r="EY344" s="535"/>
      <c r="EZ344" s="535"/>
      <c r="FA344" s="535"/>
      <c r="FB344" s="535"/>
      <c r="FC344" s="535"/>
      <c r="FD344" s="567">
        <f t="shared" si="786"/>
        <v>1072.2624999999816</v>
      </c>
      <c r="FE344" s="567" t="e">
        <f t="shared" si="748"/>
        <v>#N/A</v>
      </c>
      <c r="FF344" s="568" t="e">
        <f t="shared" si="749"/>
        <v>#N/A</v>
      </c>
      <c r="FG344" s="569" t="s">
        <v>656</v>
      </c>
      <c r="FH344" s="569" t="s">
        <v>656</v>
      </c>
      <c r="FI344" s="567" t="e">
        <v>#N/A</v>
      </c>
      <c r="FJ344" s="725">
        <v>180</v>
      </c>
      <c r="FK344" s="535"/>
      <c r="FL344" s="1015">
        <f t="shared" si="785"/>
        <v>45.385779122541599</v>
      </c>
      <c r="FM344" s="535"/>
      <c r="FN344" s="535"/>
      <c r="FO344" s="535">
        <f>O344+((Sheet1!CS342)*GPMtoMGD)</f>
        <v>57.989999999999995</v>
      </c>
      <c r="FP344" s="535">
        <f>IF(Sheet1!AA342+AQ344&lt;=Calculation!N344,AQ344,Calculation!N344-Sheet1!AA342)</f>
        <v>20.338962765957447</v>
      </c>
      <c r="FQ344" s="535">
        <f>(Sheet1!BP342+Sheet1!BO342)/694.4</f>
        <v>1.4331797235023043</v>
      </c>
      <c r="FR344" s="541"/>
      <c r="FS344" s="541"/>
      <c r="FT344" s="541"/>
      <c r="FU344" s="541"/>
      <c r="FV344" s="1109">
        <f t="shared" si="798"/>
        <v>42918</v>
      </c>
      <c r="FW344" s="1109">
        <f t="shared" si="799"/>
        <v>43027</v>
      </c>
      <c r="FX344" s="541"/>
      <c r="FY344" s="541">
        <f>Sheet1!DA342-Sheet1!CZ342-Sheet1!AE342</f>
        <v>817.68448000000274</v>
      </c>
      <c r="FZ344" s="535">
        <f t="shared" si="832"/>
        <v>0.48718096349850742</v>
      </c>
      <c r="GA344" s="535"/>
      <c r="GB344" s="535" t="str">
        <f t="shared" si="800"/>
        <v>n</v>
      </c>
      <c r="GC344" s="539">
        <f t="shared" si="801"/>
        <v>42782</v>
      </c>
      <c r="GD344" s="1109">
        <f t="shared" si="802"/>
        <v>42904</v>
      </c>
      <c r="GE344" s="535">
        <f t="shared" si="818"/>
        <v>6520</v>
      </c>
      <c r="GF344" s="1109">
        <f t="shared" si="803"/>
        <v>42909</v>
      </c>
      <c r="GG344" s="535">
        <f t="shared" si="845"/>
        <v>3260</v>
      </c>
      <c r="GH344" s="539">
        <f t="shared" si="804"/>
        <v>43040</v>
      </c>
      <c r="GJ344" s="521">
        <f t="shared" si="805"/>
        <v>0</v>
      </c>
      <c r="GK344" s="535" t="str">
        <f t="shared" si="750"/>
        <v/>
      </c>
      <c r="GL344" s="535">
        <f t="shared" si="806"/>
        <v>0</v>
      </c>
      <c r="GM344" s="535" t="str">
        <f t="shared" si="807"/>
        <v/>
      </c>
      <c r="GN344" s="535">
        <f>IF(GK344="P",Lookup!$M$12,IF(GK344="PP",Lookup!$M$13,IF(GK344="PPP",Lookup!$M$14,IF(GK344="T",Lookup!$M$15,IF(GK344="TP",Lookup!$M$16,IF(GK344="TPP",Lookup!$M$17,IF(GK344="TPPP",Lookup!$M$18,0)))))))*GJ344</f>
        <v>0</v>
      </c>
      <c r="GO344" s="535">
        <f t="shared" si="808"/>
        <v>0</v>
      </c>
      <c r="GP344" s="535">
        <f t="shared" si="751"/>
        <v>0</v>
      </c>
      <c r="GQ344" s="974">
        <f t="shared" si="695"/>
        <v>0</v>
      </c>
      <c r="GR344" s="535"/>
      <c r="GS344" s="535">
        <f t="shared" si="809"/>
        <v>0</v>
      </c>
      <c r="GT344" s="535" t="str">
        <f t="shared" si="810"/>
        <v/>
      </c>
      <c r="GU344" s="535">
        <f>IF(GK344="P",Lookup!$N$12,IF(GK344="PP",Lookup!$N$13,IF(GK344="PPP",Lookup!$N$14,IF(GK344="T",Lookup!$N$15,IF(GK344="TP",Lookup!$N$16,IF(GK344="TPP",Lookup!$N$17,IF(GK344="TPPP",Lookup!$N$18,0)))))))*GJ344</f>
        <v>0</v>
      </c>
      <c r="GV344" s="535">
        <f t="shared" si="811"/>
        <v>0</v>
      </c>
      <c r="GW344" s="535">
        <f t="shared" si="752"/>
        <v>0</v>
      </c>
      <c r="GX344" s="974">
        <f t="shared" si="696"/>
        <v>0</v>
      </c>
      <c r="GY344" s="535"/>
      <c r="GZ344" s="535">
        <f t="shared" si="812"/>
        <v>0</v>
      </c>
      <c r="HA344" s="535" t="str">
        <f t="shared" si="813"/>
        <v/>
      </c>
      <c r="HB344" s="535">
        <f>IF(GK344="P",Lookup!$N$12,IF(GK344="PP",Lookup!$N$13,IF(GK344="PPP",Lookup!$N$14,IF(GK344="T",Lookup!$N$15,IF(GK344="TP",Lookup!$N$16,IF(GK344="TPP",Lookup!$N$17,IF(GK344="TPPP",Lookup!$N$18,0)))))))*GJ344</f>
        <v>0</v>
      </c>
      <c r="HC344" s="521">
        <f t="shared" si="753"/>
        <v>0</v>
      </c>
      <c r="HD344" s="535">
        <f t="shared" si="754"/>
        <v>0</v>
      </c>
      <c r="HE344" s="535">
        <f t="shared" si="816"/>
        <v>0</v>
      </c>
      <c r="HF344" s="535"/>
      <c r="HG344" s="535">
        <f t="shared" si="814"/>
        <v>0</v>
      </c>
      <c r="HH344" s="535" t="str">
        <f t="shared" si="815"/>
        <v/>
      </c>
      <c r="HI344" s="535">
        <f>IF(GK344="P",Lookup!$N$12,IF(GK344="PP",Lookup!$N$13,IF(GK344="PPP",Lookup!$N$14,IF(GK344="T",Lookup!$N$15,IF(GK344="TP",Lookup!$N$16,IF(GK344="TPP",Lookup!$N$17,IF(GK344="TPPP",Lookup!$N$18,0)))))))*GJ344</f>
        <v>0</v>
      </c>
      <c r="HJ344" s="521">
        <f t="shared" si="755"/>
        <v>0</v>
      </c>
      <c r="HK344" s="535">
        <f t="shared" si="756"/>
        <v>0</v>
      </c>
      <c r="HL344" s="535">
        <f t="shared" si="817"/>
        <v>0</v>
      </c>
      <c r="HM344" s="535"/>
      <c r="HN344" s="541"/>
      <c r="HO344" s="541"/>
      <c r="HP344" s="541"/>
      <c r="HQ344" s="541">
        <f>IF(AND(B344&gt;=$FV$4,B344&lt;=$FW$4),MAX(110/1.02+$HQ$6+MIN(113/1.02,G344),IF($HV$6-(Sheet1!DA342-Sheet1!DB342)+MIN(113/1.02,G344)&lt;G344+FL344,$HV$6-(Sheet1!DA342-Sheet1!DB342)+MIN(113/1.02,G344),G344+FL344)),MIN(110/1.02+$HQ$6+113/1.02,G344))</f>
        <v>218.62745098039215</v>
      </c>
      <c r="HR344" s="541">
        <f t="shared" si="833"/>
        <v>223</v>
      </c>
      <c r="HS344" s="541">
        <f>HR344+(Sheet1!DA342-Sheet1!DB342)</f>
        <v>988</v>
      </c>
      <c r="HT344" s="541">
        <f t="shared" si="834"/>
        <v>0</v>
      </c>
      <c r="HU344" s="541">
        <f t="shared" si="835"/>
        <v>988</v>
      </c>
      <c r="HV344" s="541">
        <f t="shared" si="836"/>
        <v>0</v>
      </c>
      <c r="HW344" s="533" t="str">
        <f t="shared" si="837"/>
        <v/>
      </c>
      <c r="HX344" s="541">
        <f t="shared" si="838"/>
        <v>1630.372549019608</v>
      </c>
      <c r="HY344" s="541">
        <f>Sheet1!CZ342</f>
        <v>1849</v>
      </c>
      <c r="HZ344" s="541">
        <f t="shared" si="839"/>
        <v>0</v>
      </c>
      <c r="IA344" s="541">
        <f t="shared" si="840"/>
        <v>0</v>
      </c>
      <c r="IB344" s="541">
        <f t="shared" si="841"/>
        <v>1849</v>
      </c>
      <c r="IC344" s="1019" t="str">
        <f t="shared" si="842"/>
        <v/>
      </c>
      <c r="ID344" s="541">
        <f t="shared" si="843"/>
        <v>1849</v>
      </c>
      <c r="IE344" s="541">
        <f>Sheet1!DB342</f>
        <v>1970</v>
      </c>
      <c r="IF344" s="533">
        <f>Sheet1!DA342</f>
        <v>2735</v>
      </c>
      <c r="IH344" s="541">
        <f>IF(AND($B344&gt;=$GC344,$B344&lt;=$GH344,$DR344&lt;0)+N("only adjusted when pool is drawn down during storage season"),Sheet1!$DB342+$DR344+N("Palmer minus all storage release"),Sheet1!$DB342)</f>
        <v>1970</v>
      </c>
      <c r="II344" s="541">
        <f>IF(AND($B344&gt;=$GC344,$B344&lt;=$GH344,$DR344&lt;0)+N("only adjusted when pool is drawn down during storage season"),Sheet1!$DA342+$DR344+N("Auburn minus all storage release"),Sheet1!$DA342)</f>
        <v>2735</v>
      </c>
    </row>
    <row r="345" spans="1:243" x14ac:dyDescent="0.25">
      <c r="A345" s="553" t="s">
        <v>7</v>
      </c>
      <c r="B345" s="531">
        <v>43069</v>
      </c>
      <c r="C345" s="536">
        <v>0</v>
      </c>
      <c r="D345" s="506">
        <f t="shared" si="787"/>
        <v>300</v>
      </c>
      <c r="E345" s="506">
        <f t="shared" si="788"/>
        <v>250</v>
      </c>
      <c r="F345" s="506">
        <v>250</v>
      </c>
      <c r="G345" s="535">
        <f>DR345+Sheet1!CZ343</f>
        <v>1555.3716591023219</v>
      </c>
      <c r="H345" s="1074">
        <f t="shared" si="844"/>
        <v>1008.1968865920001</v>
      </c>
      <c r="I345" s="534">
        <f>IF(Sheet1!DA343&gt;=E345,(Sheet1!DA343-E345+P345)*CFStoMGD,0)</f>
        <v>1486.5328865919998</v>
      </c>
      <c r="J345" s="995">
        <f>IF(Sheet1!DB343&gt;=D345,(Sheet1!DB343-D345+P345)*CFStoMGD,0)</f>
        <v>1008.1968865920001</v>
      </c>
      <c r="K345" s="818">
        <f t="shared" si="819"/>
        <v>64.64</v>
      </c>
      <c r="L345" s="535">
        <f>Sheet1!AA343+Sheet1!AB343-Sheet1!L343+(Sheet1!DA343-F345)*CFStoMGD-S345-T345-U345</f>
        <v>1418.0740000000023</v>
      </c>
      <c r="M345" s="535">
        <f t="shared" si="697"/>
        <v>1025.5000852526157</v>
      </c>
      <c r="N345" s="824">
        <f>IF(Sheet1!DA343&gt;=F345,MIN(113*CFStoMGD,MIN(MAX(L345,0),MAX(M345,0))),0)</f>
        <v>73.043199999999999</v>
      </c>
      <c r="O345" s="538">
        <f>Sheet1!AA343+Sheet1!AB343</f>
        <v>57.989999999999995</v>
      </c>
      <c r="P345" s="538">
        <f t="shared" si="698"/>
        <v>89.710529999999991</v>
      </c>
      <c r="Q345" s="812">
        <f t="shared" si="820"/>
        <v>0</v>
      </c>
      <c r="R345" s="812">
        <f t="shared" si="789"/>
        <v>9.4007501674480913</v>
      </c>
      <c r="S345" s="812">
        <f t="shared" si="790"/>
        <v>57.989999999999995</v>
      </c>
      <c r="T345" s="812">
        <f t="shared" si="791"/>
        <v>0</v>
      </c>
      <c r="U345" s="812">
        <f>IF(AND(B345&gt;=FV345,B345&lt;=FW345),ED345+Sheet1!EH343,0)</f>
        <v>0</v>
      </c>
      <c r="V345" s="812"/>
      <c r="W345" s="812">
        <f t="shared" si="792"/>
        <v>55.239249832551906</v>
      </c>
      <c r="X345" s="812">
        <f t="shared" si="793"/>
        <v>57.989999999999995</v>
      </c>
      <c r="Y345" s="812" t="str">
        <f t="shared" si="794"/>
        <v/>
      </c>
      <c r="Z345" s="812">
        <f t="shared" si="795"/>
        <v>57.989999999999995</v>
      </c>
      <c r="AA345" s="812">
        <f t="shared" si="796"/>
        <v>57.989999999999995</v>
      </c>
      <c r="AB345" s="1059">
        <f t="shared" si="821"/>
        <v>0</v>
      </c>
      <c r="AC345" s="538">
        <f>Sheet1!Y343*MGDtoCFS</f>
        <v>43.315999999999995</v>
      </c>
      <c r="AD345" s="538">
        <f>Sheet1!Z343*MGDtoCFS</f>
        <v>46.394529999999996</v>
      </c>
      <c r="AE345" s="538">
        <f>Sheet1!AA343*MGDtoCFS</f>
        <v>43.315999999999995</v>
      </c>
      <c r="AF345" s="538">
        <f>Sheet1!AB343*MGDtoCFS</f>
        <v>46.394529999999996</v>
      </c>
      <c r="AG345" s="538">
        <f>Sheet1!L343*MGDtoCFS</f>
        <v>16.197089999996173</v>
      </c>
      <c r="AH345" s="521">
        <f t="shared" si="699"/>
        <v>0</v>
      </c>
      <c r="AI345" s="1059">
        <f t="shared" si="700"/>
        <v>0</v>
      </c>
      <c r="AJ345" s="535">
        <f t="shared" si="701"/>
        <v>0</v>
      </c>
      <c r="AK345" s="535">
        <f t="shared" si="702"/>
        <v>0</v>
      </c>
      <c r="AL345" s="535">
        <f>(VLOOKUP(Sheet1!DC343,hhdcap_wcm,4)-(((VLOOKUP(Sheet1!DC343,hhdcap_wcm,3)-Sheet1!DC343)/(VLOOKUP(Sheet1!DC343,hhdcap_wcm,3)-VLOOKUP(Sheet1!DC343,hhdcap_wcm,1)))*(VLOOKUP(Sheet1!DC343,hhdcap_wcm,4)-VLOOKUP(Sheet1!DC343,hhdcap_wcm,2))))</f>
        <v>1364.6000000036925</v>
      </c>
      <c r="AM345" s="535">
        <f t="shared" si="703"/>
        <v>-76.600000000095633</v>
      </c>
      <c r="AN345" s="1035">
        <f t="shared" si="704"/>
        <v>0</v>
      </c>
      <c r="AO345" s="535">
        <f t="shared" si="705"/>
        <v>0</v>
      </c>
      <c r="AP345" s="535">
        <f>Sheet1!BA343+Sheet1!BB343+Sheet1!BN343+CD345</f>
        <v>20.5</v>
      </c>
      <c r="AQ345" s="535">
        <f>Sheet1!BN343+(DO345*Sheet1!BN343)</f>
        <v>20.589249832551907</v>
      </c>
      <c r="AR345" s="535">
        <f>Sheet1!BA343+CD345</f>
        <v>0</v>
      </c>
      <c r="AS345" s="535">
        <f>Sheet1!BA343+Sheet1!BB343+CD345</f>
        <v>0</v>
      </c>
      <c r="AT345" s="649">
        <f>0</f>
        <v>0</v>
      </c>
      <c r="AU345" s="974">
        <f>BA345+MAX(Sheet1!EH343,(O345-Q345-ED345-S345))</f>
        <v>0</v>
      </c>
      <c r="AV345" s="535">
        <f>IF(OR(B345&gt;=GD345,B345&lt;GC345),0,15/36*K345-MAX(0,64.6-(137.6-(Sheet1!AA343+Sheet1!AB343))))</f>
        <v>0</v>
      </c>
      <c r="AW345" s="1029"/>
      <c r="AX345" s="649"/>
      <c r="AY345" s="649">
        <f t="shared" si="822"/>
        <v>23.311716569431731</v>
      </c>
      <c r="AZ345" s="649">
        <f t="shared" si="823"/>
        <v>0</v>
      </c>
      <c r="BA345" s="1059">
        <f t="shared" si="824"/>
        <v>0</v>
      </c>
      <c r="BB345" s="1019">
        <f t="shared" si="706"/>
        <v>0</v>
      </c>
      <c r="BC345" s="1041">
        <f t="shared" si="825"/>
        <v>26.933333333333334</v>
      </c>
      <c r="BD345" s="1019">
        <f ca="1">IF(B345&gt;(Summary!$A$1-1),#N/A,BB345*MGtoAF)</f>
        <v>0</v>
      </c>
      <c r="BE345" s="535">
        <f>Sheet1!BG343+Sheet1!BH343+Sheet1!BI343-BM345</f>
        <v>1</v>
      </c>
      <c r="BF345" s="535">
        <f t="shared" si="707"/>
        <v>1.0043536503683859</v>
      </c>
      <c r="BG345" s="535">
        <f>IF(Sheet1!EP343="FM",BM345,0)</f>
        <v>0</v>
      </c>
      <c r="BH345" s="535">
        <f t="shared" si="708"/>
        <v>0</v>
      </c>
      <c r="BI345" s="535">
        <f>IF(Sheet1!EP343="OTHER",BM345,0)</f>
        <v>0</v>
      </c>
      <c r="BJ345" s="535">
        <f t="shared" si="709"/>
        <v>0</v>
      </c>
      <c r="BK345" s="535">
        <f t="shared" si="710"/>
        <v>1</v>
      </c>
      <c r="BL345" s="535">
        <f t="shared" si="711"/>
        <v>1.0043536503683859</v>
      </c>
      <c r="BM345" s="535">
        <f>IF(OR(Sheet1!EP343="FM", Sheet1!EP343="OTHER"),SUM(Sheet1!BG343:'Sheet1'!BI343),0)</f>
        <v>0</v>
      </c>
      <c r="BN345" s="521">
        <f>IF(AND($B345&gt;=$FV345,$B345&lt;=$FW345),MAX(BF345,Sheet1!EI343,0),MAX(BF345-(7/36)*$K345,0))</f>
        <v>0</v>
      </c>
      <c r="BO345" s="535">
        <f t="shared" si="712"/>
        <v>0</v>
      </c>
      <c r="BP345" s="521">
        <f t="shared" si="713"/>
        <v>1.0043536503683859</v>
      </c>
      <c r="BQ345" s="521">
        <f>IF(AND($O345&gt;0,Sheet1!EM343=1),(1-($O345-Sheet1!$L343)/$O345)*BL345,0)</f>
        <v>0</v>
      </c>
      <c r="BR345" s="521">
        <f>IF(AND(Sheet1!$L343=0,Sheet1!$L342=0, Calculation!BK345&lt;Sheet1!$EI343-0.1,Sheet1!$EI343=Sheet1!$EI342,Sheet1!$EI343=Sheet1!$EI344),BL345-BQ345,BL345-BQ345)</f>
        <v>1.0043536503683859</v>
      </c>
      <c r="BS345" s="1035" t="str">
        <f t="shared" si="826"/>
        <v/>
      </c>
      <c r="BT345" s="1035">
        <f t="shared" si="827"/>
        <v>12.568888888888889</v>
      </c>
      <c r="BU345" s="535">
        <f t="shared" si="714"/>
        <v>0</v>
      </c>
      <c r="BV345" s="535"/>
      <c r="BW345" s="535">
        <f ca="1">IF(B345&gt;(Summary!$A$1-1),#N/A,BU345*MGtoAF)</f>
        <v>0</v>
      </c>
      <c r="BX345" s="535">
        <f>Sheet1!BC343+Sheet1!BD343+Sheet1!BE343+Sheet1!BF343-CG345-CH345</f>
        <v>2.8600000000000003</v>
      </c>
      <c r="BY345" s="535">
        <f t="shared" si="715"/>
        <v>2.8724514400535837</v>
      </c>
      <c r="BZ345" s="535">
        <f>IF(Sheet1!EQ343="FM",CH345,0)</f>
        <v>0</v>
      </c>
      <c r="CA345" s="535">
        <f t="shared" si="716"/>
        <v>0</v>
      </c>
      <c r="CB345" s="535">
        <f>IF(Sheet1!EQ343="OTHER",CH345,0)</f>
        <v>0</v>
      </c>
      <c r="CC345" s="535">
        <f t="shared" si="717"/>
        <v>0</v>
      </c>
      <c r="CD345" s="535">
        <f t="shared" si="718"/>
        <v>0</v>
      </c>
      <c r="CE345" s="535">
        <f t="shared" si="719"/>
        <v>2.8600000000000003</v>
      </c>
      <c r="CF345" s="535">
        <f t="shared" si="720"/>
        <v>2.8724514400535837</v>
      </c>
      <c r="CG345" s="535">
        <f>IF(Sheet1!EQ343="CWA",SUM(Sheet1!BC343:'Sheet1'!BF343),0)</f>
        <v>0</v>
      </c>
      <c r="CH345" s="535">
        <f>IF(OR(Sheet1!EQ343="FM", Sheet1!EQ343="OTHER"),SUM(Sheet1!BC343:'Sheet1'!BF343),0)</f>
        <v>0</v>
      </c>
      <c r="CI345" s="521">
        <f>IF(AND($B345&gt;=$FV345,$B345&lt;=$FW345),MAX(CF345,Sheet1!EJ343,0),MAX(CF345-(7/36)*$K345,0))</f>
        <v>0</v>
      </c>
      <c r="CJ345" s="535">
        <f t="shared" si="721"/>
        <v>0</v>
      </c>
      <c r="CK345" s="521">
        <f t="shared" si="722"/>
        <v>2.8724514400535837</v>
      </c>
      <c r="CL345" s="521">
        <f>IF(AND($O345&gt;0,Sheet1!EN343=1),(1-($O345-Sheet1!$L343)/$O345)*CF345,0)</f>
        <v>0</v>
      </c>
      <c r="CM345" s="521">
        <f>IF(AND(Sheet1!$L343=0,Sheet1!$L342=0, Calculation!CE345&lt;Sheet1!EJ343-0.1,Sheet1!EJ343=Sheet1!EJ342,Sheet1!EJ343=Sheet1!EJ344),CF345-CL345,CF345-CL345)</f>
        <v>2.8724514400535837</v>
      </c>
      <c r="CN345" s="1040" t="str">
        <f t="shared" si="828"/>
        <v/>
      </c>
      <c r="CO345" s="1035">
        <f t="shared" si="829"/>
        <v>12.568888888888889</v>
      </c>
      <c r="CP345" s="535">
        <f t="shared" si="723"/>
        <v>0</v>
      </c>
      <c r="CQ345" s="535"/>
      <c r="CR345" s="535">
        <f ca="1">IF(B345&gt;(Summary!$A$1-1),#N/A,CP345*MGtoAF)</f>
        <v>0</v>
      </c>
      <c r="CS345" s="535">
        <f>Sheet1!BK343+Sheet1!BL343+Sheet1!BM343-Sheet1!ER343-DA345</f>
        <v>5.5</v>
      </c>
      <c r="CT345" s="535">
        <f t="shared" si="724"/>
        <v>5.5239450770261218</v>
      </c>
      <c r="CU345" s="535">
        <f>IF(Sheet1!ER343="FM",DA345,0)</f>
        <v>0</v>
      </c>
      <c r="CV345" s="535">
        <f t="shared" si="725"/>
        <v>0</v>
      </c>
      <c r="CW345" s="535">
        <f>IF(Sheet1!ER343="OTHER",DA345,0)</f>
        <v>0</v>
      </c>
      <c r="CX345" s="535">
        <f t="shared" si="726"/>
        <v>0</v>
      </c>
      <c r="CY345" s="535">
        <f t="shared" si="727"/>
        <v>5.5</v>
      </c>
      <c r="CZ345" s="535">
        <f t="shared" si="728"/>
        <v>5.5239450770261218</v>
      </c>
      <c r="DA345" s="535">
        <f>IF(OR(Sheet1!ER343="FM", Sheet1!ER343="OTHER"),SUM(Sheet1!BK343:'Sheet1'!BM343),0)</f>
        <v>0</v>
      </c>
      <c r="DB345" s="1011">
        <f>IF(AND($B345&gt;=$FV345,$B345&lt;=$FW345),MAX($CT345,Sheet1!EK343,0),MAX($CT345-(7/36)*$K345,0))</f>
        <v>0</v>
      </c>
      <c r="DC345" s="1012">
        <f t="shared" si="729"/>
        <v>0</v>
      </c>
      <c r="DD345" s="1011">
        <f t="shared" si="730"/>
        <v>5.5239450770261218</v>
      </c>
      <c r="DE345" s="521">
        <f>IF(AND($O345&gt;0,Sheet1!EO343=1),(1-($O345-Sheet1!$L343)/$O345)*CZ345,0)</f>
        <v>0</v>
      </c>
      <c r="DF345" s="521">
        <f>IF(AND(Sheet1!$L343=0,Sheet1!$L342=0, Calculation!CY345&lt;Sheet1!$EK343-0.1,Sheet1!$EK343=Sheet1!$EK342,Sheet1!$EK343=Sheet1!$EK344),CZ345-DE345,CZ345-DE345)</f>
        <v>5.5239450770261218</v>
      </c>
      <c r="DG345" s="1040">
        <f t="shared" si="830"/>
        <v>12.568888888888889</v>
      </c>
      <c r="DH345" s="649">
        <f t="shared" si="731"/>
        <v>9.36</v>
      </c>
      <c r="DI345" s="535">
        <f t="shared" si="732"/>
        <v>0</v>
      </c>
      <c r="DJ345" s="649">
        <f t="shared" si="733"/>
        <v>9.4007501674480913</v>
      </c>
      <c r="DK345" s="535">
        <f ca="1">IF(B345&gt;(Summary!$A$1-1),#N/A,DI345*MGtoAF)</f>
        <v>0</v>
      </c>
      <c r="DL345" s="649">
        <f t="shared" si="734"/>
        <v>9.36</v>
      </c>
      <c r="DM345" s="535">
        <f t="shared" si="735"/>
        <v>29.86</v>
      </c>
      <c r="DN345" s="535">
        <f>Sheet1!AB343-DM345</f>
        <v>0.12999999999999901</v>
      </c>
      <c r="DO345" s="743">
        <f t="shared" si="736"/>
        <v>4.3536503683857669E-3</v>
      </c>
      <c r="DP345" s="535">
        <f>(VLOOKUP(Sheet1!DC343,hhdcap_wcm,4)-(((VLOOKUP(Sheet1!DC343,hhdcap_wcm,3)-Sheet1!DC343)/(VLOOKUP(Sheet1!DC343,hhdcap_wcm,3)-VLOOKUP(Sheet1!DC343,hhdcap_wcm,1)))*(VLOOKUP(Sheet1!DC343,hhdcap_wcm,4)-VLOOKUP(Sheet1!DC343,hhdcap_wcm,2))))</f>
        <v>1364.6000000036925</v>
      </c>
      <c r="DQ345" s="535">
        <f t="shared" si="737"/>
        <v>-76.600000000095633</v>
      </c>
      <c r="DR345" s="535">
        <f t="shared" si="738"/>
        <v>-38.628340897678072</v>
      </c>
      <c r="DS345" s="535">
        <f>Sheet1!EA343*AFtoMG</f>
        <v>0</v>
      </c>
      <c r="DT345" s="535">
        <f>Sheet1!EB343*AFtoMG</f>
        <v>0</v>
      </c>
      <c r="DU345" s="535">
        <f>Sheet1!EC343*AFtoMG</f>
        <v>0</v>
      </c>
      <c r="DV345" s="535">
        <f>Sheet1!ED343*AFtoMG</f>
        <v>0</v>
      </c>
      <c r="DW345" s="535">
        <f t="shared" si="739"/>
        <v>0</v>
      </c>
      <c r="DX345" s="535">
        <f t="shared" si="740"/>
        <v>0</v>
      </c>
      <c r="DY345" s="535">
        <f t="shared" si="741"/>
        <v>0</v>
      </c>
      <c r="DZ345" s="535">
        <f t="shared" si="742"/>
        <v>0</v>
      </c>
      <c r="EA345" s="535"/>
      <c r="EB345" s="521">
        <f>IF(OR(B345&lt;FV345,B345&gt;FW345),(MIN(BF345+BY345+CT345+MAX(Sheet1!AA343+AQ345-73,0),K345)),0)</f>
        <v>9.4007501674480913</v>
      </c>
      <c r="EC345" s="535"/>
      <c r="ED345" s="535">
        <f t="shared" si="743"/>
        <v>9.4007501674480913</v>
      </c>
      <c r="EE345" s="535"/>
      <c r="EF345" s="535">
        <f>Sheet1!EH343+Sheet1!EI343+Sheet1!EJ343+Sheet1!EK343</f>
        <v>9.5</v>
      </c>
      <c r="EG345" s="1019">
        <f t="shared" si="831"/>
        <v>14.696499999999999</v>
      </c>
      <c r="EH345" s="521">
        <f t="shared" si="744"/>
        <v>0</v>
      </c>
      <c r="EI345" s="535">
        <f>IF(Sheet1!ET343=1,SUM('Calculations II'!AT345:BA345)+'Calculations II'!BC345+Sheet1!BV343+'Calculations II'!BE345+AP345,'Calculations II'!BK345)</f>
        <v>45.514837832551905</v>
      </c>
      <c r="EJ345" s="535">
        <f ca="1">EI345+'Calculations II'!D345+'Calculations II'!E345+'Calculations II'!O345</f>
        <v>47.815120917098248</v>
      </c>
      <c r="EK345" s="535"/>
      <c r="EL345" s="535"/>
      <c r="EM345" s="535">
        <f t="shared" si="745"/>
        <v>43069</v>
      </c>
      <c r="EN345" s="535">
        <f t="shared" si="746"/>
        <v>0</v>
      </c>
      <c r="EO345" s="535">
        <f t="shared" si="747"/>
        <v>0</v>
      </c>
      <c r="EP345" s="535">
        <v>0</v>
      </c>
      <c r="EQ345" s="535">
        <v>0</v>
      </c>
      <c r="ER345" s="535">
        <v>0</v>
      </c>
      <c r="ES345" s="521">
        <f t="shared" si="797"/>
        <v>-2.4943988194284215</v>
      </c>
      <c r="ET345" s="535">
        <f>-(VLOOKUP(Sheet1!BQ343,Lookup!$O$4:$Q$262,2)-VLOOKUP(Sheet1!BQ342,Lookup!$O$4:$Q$262,2))/1000000</f>
        <v>-1.2469397882411666</v>
      </c>
      <c r="EU345" s="535">
        <f>-(VLOOKUP(Sheet1!BR343,Lookup!$O$4:$Q$262,3)-VLOOKUP(Sheet1!BR342,Lookup!$O$4:$Q$262,3))/1000000</f>
        <v>-1.2474590311872549</v>
      </c>
      <c r="EV345" s="535"/>
      <c r="EW345" s="535"/>
      <c r="EX345" s="535"/>
      <c r="EY345" s="535"/>
      <c r="EZ345" s="535"/>
      <c r="FA345" s="535"/>
      <c r="FB345" s="535"/>
      <c r="FC345" s="535"/>
      <c r="FD345" s="567">
        <f t="shared" si="786"/>
        <v>1070.9999999999827</v>
      </c>
      <c r="FE345" s="567" t="e">
        <f t="shared" si="748"/>
        <v>#N/A</v>
      </c>
      <c r="FF345" s="568" t="e">
        <f t="shared" si="749"/>
        <v>#N/A</v>
      </c>
      <c r="FG345" s="569" t="s">
        <v>656</v>
      </c>
      <c r="FH345" s="569" t="s">
        <v>656</v>
      </c>
      <c r="FI345" s="567" t="e">
        <v>#N/A</v>
      </c>
      <c r="FJ345" s="725">
        <v>90</v>
      </c>
      <c r="FK345" s="535"/>
      <c r="FL345" s="1015">
        <f t="shared" si="785"/>
        <v>45.385779122541599</v>
      </c>
      <c r="FM345" s="535"/>
      <c r="FN345" s="535"/>
      <c r="FO345" s="535">
        <f>O345+((Sheet1!CS343)*GPMtoMGD)</f>
        <v>57.989999999999995</v>
      </c>
      <c r="FP345" s="535">
        <f>IF(Sheet1!AA343+AQ345&lt;=Calculation!N345,AQ345,Calculation!N345-Sheet1!AA343)</f>
        <v>20.589249832551907</v>
      </c>
      <c r="FQ345" s="535">
        <f>(Sheet1!BP343+Sheet1!BO343)/694.4</f>
        <v>2.5063364055299537</v>
      </c>
      <c r="FR345" s="541"/>
      <c r="FS345" s="541"/>
      <c r="FT345" s="541"/>
      <c r="FU345" s="541"/>
      <c r="FV345" s="1109">
        <f t="shared" si="798"/>
        <v>42918</v>
      </c>
      <c r="FW345" s="1109">
        <f t="shared" si="799"/>
        <v>43027</v>
      </c>
      <c r="FX345" s="541"/>
      <c r="FY345" s="541">
        <f>Sheet1!DA343-Sheet1!CZ343-Sheet1!AE343</f>
        <v>792.48655999999619</v>
      </c>
      <c r="FZ345" s="535">
        <f t="shared" si="832"/>
        <v>0.50951588024779715</v>
      </c>
      <c r="GA345" s="535"/>
      <c r="GB345" s="535" t="str">
        <f t="shared" si="800"/>
        <v>n</v>
      </c>
      <c r="GC345" s="539">
        <f t="shared" si="801"/>
        <v>42782</v>
      </c>
      <c r="GD345" s="1109">
        <f t="shared" si="802"/>
        <v>42904</v>
      </c>
      <c r="GE345" s="535">
        <f t="shared" si="818"/>
        <v>6520</v>
      </c>
      <c r="GF345" s="1109">
        <f t="shared" si="803"/>
        <v>42909</v>
      </c>
      <c r="GG345" s="535">
        <f t="shared" si="845"/>
        <v>3260</v>
      </c>
      <c r="GH345" s="539">
        <f t="shared" si="804"/>
        <v>43040</v>
      </c>
      <c r="GJ345" s="521">
        <f t="shared" si="805"/>
        <v>0</v>
      </c>
      <c r="GK345" s="535" t="str">
        <f t="shared" si="750"/>
        <v/>
      </c>
      <c r="GL345" s="535">
        <f t="shared" si="806"/>
        <v>0</v>
      </c>
      <c r="GM345" s="535" t="str">
        <f t="shared" si="807"/>
        <v/>
      </c>
      <c r="GN345" s="535">
        <f>IF(GK345="P",Lookup!$M$12,IF(GK345="PP",Lookup!$M$13,IF(GK345="PPP",Lookup!$M$14,IF(GK345="T",Lookup!$M$15,IF(GK345="TP",Lookup!$M$16,IF(GK345="TPP",Lookup!$M$17,IF(GK345="TPPP",Lookup!$M$18,0)))))))*GJ345</f>
        <v>0</v>
      </c>
      <c r="GO345" s="535">
        <f t="shared" si="808"/>
        <v>0</v>
      </c>
      <c r="GP345" s="535">
        <f t="shared" si="751"/>
        <v>0</v>
      </c>
      <c r="GQ345" s="974">
        <f t="shared" si="695"/>
        <v>0</v>
      </c>
      <c r="GR345" s="535"/>
      <c r="GS345" s="535">
        <f t="shared" si="809"/>
        <v>0</v>
      </c>
      <c r="GT345" s="535" t="str">
        <f t="shared" si="810"/>
        <v/>
      </c>
      <c r="GU345" s="535">
        <f>IF(GK345="P",Lookup!$N$12,IF(GK345="PP",Lookup!$N$13,IF(GK345="PPP",Lookup!$N$14,IF(GK345="T",Lookup!$N$15,IF(GK345="TP",Lookup!$N$16,IF(GK345="TPP",Lookup!$N$17,IF(GK345="TPPP",Lookup!$N$18,0)))))))*GJ345</f>
        <v>0</v>
      </c>
      <c r="GV345" s="535">
        <f t="shared" si="811"/>
        <v>0</v>
      </c>
      <c r="GW345" s="535">
        <f t="shared" si="752"/>
        <v>0</v>
      </c>
      <c r="GX345" s="974">
        <f t="shared" si="696"/>
        <v>0</v>
      </c>
      <c r="GY345" s="535"/>
      <c r="GZ345" s="535">
        <f t="shared" si="812"/>
        <v>0</v>
      </c>
      <c r="HA345" s="535" t="str">
        <f t="shared" si="813"/>
        <v/>
      </c>
      <c r="HB345" s="535">
        <f>IF(GK345="P",Lookup!$N$12,IF(GK345="PP",Lookup!$N$13,IF(GK345="PPP",Lookup!$N$14,IF(GK345="T",Lookup!$N$15,IF(GK345="TP",Lookup!$N$16,IF(GK345="TPP",Lookup!$N$17,IF(GK345="TPPP",Lookup!$N$18,0)))))))*GJ345</f>
        <v>0</v>
      </c>
      <c r="HC345" s="521">
        <f t="shared" si="753"/>
        <v>0</v>
      </c>
      <c r="HD345" s="535">
        <f t="shared" si="754"/>
        <v>0</v>
      </c>
      <c r="HE345" s="535">
        <f t="shared" si="816"/>
        <v>0</v>
      </c>
      <c r="HF345" s="535"/>
      <c r="HG345" s="535">
        <f t="shared" si="814"/>
        <v>0</v>
      </c>
      <c r="HH345" s="535" t="str">
        <f t="shared" si="815"/>
        <v/>
      </c>
      <c r="HI345" s="535">
        <f>IF(GK345="P",Lookup!$N$12,IF(GK345="PP",Lookup!$N$13,IF(GK345="PPP",Lookup!$N$14,IF(GK345="T",Lookup!$N$15,IF(GK345="TP",Lookup!$N$16,IF(GK345="TPP",Lookup!$N$17,IF(GK345="TPPP",Lookup!$N$18,0)))))))*GJ345</f>
        <v>0</v>
      </c>
      <c r="HJ345" s="521">
        <f t="shared" si="755"/>
        <v>0</v>
      </c>
      <c r="HK345" s="535">
        <f t="shared" si="756"/>
        <v>0</v>
      </c>
      <c r="HL345" s="535">
        <f t="shared" si="817"/>
        <v>0</v>
      </c>
      <c r="HM345" s="535"/>
      <c r="HN345" s="541"/>
      <c r="HO345" s="541"/>
      <c r="HP345" s="541"/>
      <c r="HQ345" s="541">
        <f>IF(AND(B345&gt;=$FV$4,B345&lt;=$FW$4),MAX(110/1.02+$HQ$6+MIN(113/1.02,G345),IF($HV$6-(Sheet1!DA343-Sheet1!DB343)+MIN(113/1.02,G345)&lt;G345+FL345,$HV$6-(Sheet1!DA343-Sheet1!DB343)+MIN(113/1.02,G345),G345+FL345)),MIN(110/1.02+$HQ$6+113/1.02,G345))</f>
        <v>218.62745098039215</v>
      </c>
      <c r="HR345" s="541">
        <f t="shared" si="833"/>
        <v>223</v>
      </c>
      <c r="HS345" s="541">
        <f>HR345+(Sheet1!DA343-Sheet1!DB343)</f>
        <v>913</v>
      </c>
      <c r="HT345" s="541">
        <f t="shared" si="834"/>
        <v>0</v>
      </c>
      <c r="HU345" s="541">
        <f t="shared" si="835"/>
        <v>913</v>
      </c>
      <c r="HV345" s="541">
        <f t="shared" si="836"/>
        <v>0</v>
      </c>
      <c r="HW345" s="533" t="str">
        <f t="shared" si="837"/>
        <v/>
      </c>
      <c r="HX345" s="541">
        <f t="shared" si="838"/>
        <v>1375.372549019608</v>
      </c>
      <c r="HY345" s="541">
        <f>Sheet1!CZ343</f>
        <v>1594</v>
      </c>
      <c r="HZ345" s="541">
        <f t="shared" si="839"/>
        <v>0</v>
      </c>
      <c r="IA345" s="541">
        <f t="shared" si="840"/>
        <v>0</v>
      </c>
      <c r="IB345" s="541">
        <f t="shared" si="841"/>
        <v>1594</v>
      </c>
      <c r="IC345" s="1019" t="str">
        <f t="shared" si="842"/>
        <v/>
      </c>
      <c r="ID345" s="541">
        <f t="shared" si="843"/>
        <v>1594</v>
      </c>
      <c r="IE345" s="541">
        <f>Sheet1!DB343</f>
        <v>1770</v>
      </c>
      <c r="IF345" s="533">
        <f>Sheet1!DA343</f>
        <v>2460</v>
      </c>
      <c r="IH345" s="541">
        <f>IF(AND($B345&gt;=$GC345,$B345&lt;=$GH345,$DR345&lt;0)+N("only adjusted when pool is drawn down during storage season"),Sheet1!$DB343+$DR345+N("Palmer minus all storage release"),Sheet1!$DB343)</f>
        <v>1770</v>
      </c>
      <c r="II345" s="541">
        <f>IF(AND($B345&gt;=$GC345,$B345&lt;=$GH345,$DR345&lt;0)+N("only adjusted when pool is drawn down during storage season"),Sheet1!$DA343+$DR345+N("Auburn minus all storage release"),Sheet1!$DA343)</f>
        <v>2460</v>
      </c>
    </row>
    <row r="346" spans="1:243" x14ac:dyDescent="0.25">
      <c r="A346" s="553" t="s">
        <v>8</v>
      </c>
      <c r="B346" s="531">
        <v>43070</v>
      </c>
      <c r="C346" s="536">
        <v>0</v>
      </c>
      <c r="D346" s="506">
        <f t="shared" si="787"/>
        <v>300</v>
      </c>
      <c r="E346" s="506">
        <f t="shared" si="788"/>
        <v>250</v>
      </c>
      <c r="F346" s="506">
        <v>250</v>
      </c>
      <c r="G346" s="535">
        <f>DR346+Sheet1!CZ344</f>
        <v>1540.1210287444769</v>
      </c>
      <c r="H346" s="1074">
        <f t="shared" si="844"/>
        <v>948.43091712</v>
      </c>
      <c r="I346" s="534">
        <f>IF(Sheet1!DA344&gt;=E346,(Sheet1!DA344-E346+P346)*CFStoMGD,0)</f>
        <v>1362.1269171199999</v>
      </c>
      <c r="J346" s="995">
        <f>IF(Sheet1!DB344&gt;=D346,(Sheet1!DB344-D346+P346)*CFStoMGD,0)</f>
        <v>948.43091712</v>
      </c>
      <c r="K346" s="818">
        <f t="shared" si="819"/>
        <v>64.64</v>
      </c>
      <c r="L346" s="535">
        <f>Sheet1!AA344+Sheet1!AB344-Sheet1!L344+(Sheet1!DA344-F346)*CFStoMGD-S346-T346-U346</f>
        <v>1303.6379999999997</v>
      </c>
      <c r="M346" s="535">
        <f t="shared" si="697"/>
        <v>1015.4449176400385</v>
      </c>
      <c r="N346" s="824">
        <f>IF(Sheet1!DA344&gt;=F346,MIN(113*CFStoMGD,MIN(MAX(L346,0),MAX(M346,0))),0)</f>
        <v>73.043199999999999</v>
      </c>
      <c r="O346" s="538">
        <f>Sheet1!AA344+Sheet1!AB344</f>
        <v>56.4</v>
      </c>
      <c r="P346" s="538">
        <f t="shared" si="698"/>
        <v>87.250799999999998</v>
      </c>
      <c r="Q346" s="812">
        <f t="shared" si="820"/>
        <v>0</v>
      </c>
      <c r="R346" s="812">
        <f t="shared" si="789"/>
        <v>10.525175808720114</v>
      </c>
      <c r="S346" s="812">
        <f t="shared" si="790"/>
        <v>56.4</v>
      </c>
      <c r="T346" s="812">
        <f t="shared" si="791"/>
        <v>0</v>
      </c>
      <c r="U346" s="812">
        <f>IF(AND(B346&gt;=FV346,B346&lt;=FW346),ED346+Sheet1!EH344,0)</f>
        <v>0</v>
      </c>
      <c r="V346" s="812"/>
      <c r="W346" s="812">
        <f t="shared" si="792"/>
        <v>54.114824191279887</v>
      </c>
      <c r="X346" s="812">
        <f t="shared" si="793"/>
        <v>56.4</v>
      </c>
      <c r="Y346" s="812" t="str">
        <f t="shared" si="794"/>
        <v/>
      </c>
      <c r="Z346" s="812">
        <f t="shared" si="795"/>
        <v>56.4</v>
      </c>
      <c r="AA346" s="812">
        <f t="shared" si="796"/>
        <v>56.4</v>
      </c>
      <c r="AB346" s="1059">
        <f t="shared" si="821"/>
        <v>0</v>
      </c>
      <c r="AC346" s="538">
        <f>Sheet1!Y344*MGDtoCFS</f>
        <v>43.315999999999995</v>
      </c>
      <c r="AD346" s="538">
        <f>Sheet1!Z344*MGDtoCFS</f>
        <v>46.394529999999996</v>
      </c>
      <c r="AE346" s="538">
        <f>Sheet1!AA344*MGDtoCFS</f>
        <v>43.315999999999995</v>
      </c>
      <c r="AF346" s="538">
        <f>Sheet1!AB344*MGDtoCFS</f>
        <v>43.934799999999996</v>
      </c>
      <c r="AG346" s="538">
        <f>Sheet1!L344*MGDtoCFS</f>
        <v>3.233230000000225</v>
      </c>
      <c r="AH346" s="521">
        <f t="shared" si="699"/>
        <v>0</v>
      </c>
      <c r="AI346" s="1059">
        <f t="shared" si="700"/>
        <v>0</v>
      </c>
      <c r="AJ346" s="535">
        <f t="shared" si="701"/>
        <v>0</v>
      </c>
      <c r="AK346" s="535">
        <f t="shared" si="702"/>
        <v>0</v>
      </c>
      <c r="AL346" s="535">
        <f>(VLOOKUP(Sheet1!DC344,hhdcap_wcm,4)-(((VLOOKUP(Sheet1!DC344,hhdcap_wcm,3)-Sheet1!DC344)/(VLOOKUP(Sheet1!DC344,hhdcap_wcm,3)-VLOOKUP(Sheet1!DC344,hhdcap_wcm,1)))*(VLOOKUP(Sheet1!DC344,hhdcap_wcm,4)-VLOOKUP(Sheet1!DC344,hhdcap_wcm,2))))</f>
        <v>1404.5000000039904</v>
      </c>
      <c r="AM346" s="535">
        <f t="shared" si="703"/>
        <v>39.90000000029795</v>
      </c>
      <c r="AN346" s="1035">
        <f t="shared" si="704"/>
        <v>0</v>
      </c>
      <c r="AO346" s="535">
        <f t="shared" si="705"/>
        <v>0</v>
      </c>
      <c r="AP346" s="535">
        <f>Sheet1!BA344+Sheet1!BB344+Sheet1!BN344+CD346</f>
        <v>17.899999999999999</v>
      </c>
      <c r="AQ346" s="535">
        <f>Sheet1!BN344+(DO346*Sheet1!BN344)</f>
        <v>17.874824191279888</v>
      </c>
      <c r="AR346" s="535">
        <f>Sheet1!BA344+CD346</f>
        <v>0</v>
      </c>
      <c r="AS346" s="535">
        <f>Sheet1!BA344+Sheet1!BB344+CD346</f>
        <v>0</v>
      </c>
      <c r="AT346" s="649">
        <f>0</f>
        <v>0</v>
      </c>
      <c r="AU346" s="974">
        <f>BA346+MAX(Sheet1!EH344,(O346-Q346-ED346-S346))</f>
        <v>0</v>
      </c>
      <c r="AV346" s="535">
        <f>IF(OR(B346&gt;=GD346,B346&lt;GC346),0,15/36*K346-MAX(0,64.6-(137.6-(Sheet1!AA344+Sheet1!AB344))))</f>
        <v>0</v>
      </c>
      <c r="AW346" s="1029"/>
      <c r="AX346" s="649"/>
      <c r="AY346" s="649">
        <f t="shared" si="822"/>
        <v>23.311716569431731</v>
      </c>
      <c r="AZ346" s="649">
        <f t="shared" si="823"/>
        <v>0</v>
      </c>
      <c r="BA346" s="1059">
        <f t="shared" si="824"/>
        <v>0</v>
      </c>
      <c r="BB346" s="1019">
        <f t="shared" si="706"/>
        <v>0</v>
      </c>
      <c r="BC346" s="1041">
        <f t="shared" si="825"/>
        <v>26.933333333333334</v>
      </c>
      <c r="BD346" s="1019">
        <f ca="1">IF(B346&gt;(Summary!$A$1-1),#N/A,BB346*MGtoAF)</f>
        <v>0</v>
      </c>
      <c r="BE346" s="535">
        <f>Sheet1!BG344+Sheet1!BH344+Sheet1!BI344-BM346</f>
        <v>1</v>
      </c>
      <c r="BF346" s="535">
        <f t="shared" si="707"/>
        <v>0.99859353023909991</v>
      </c>
      <c r="BG346" s="535">
        <f>IF(Sheet1!EP344="FM",BM346,0)</f>
        <v>0</v>
      </c>
      <c r="BH346" s="535">
        <f t="shared" si="708"/>
        <v>0</v>
      </c>
      <c r="BI346" s="535">
        <f>IF(Sheet1!EP344="OTHER",BM346,0)</f>
        <v>0</v>
      </c>
      <c r="BJ346" s="535">
        <f t="shared" si="709"/>
        <v>0</v>
      </c>
      <c r="BK346" s="535">
        <f t="shared" si="710"/>
        <v>1</v>
      </c>
      <c r="BL346" s="535">
        <f t="shared" si="711"/>
        <v>0.99859353023909991</v>
      </c>
      <c r="BM346" s="535">
        <f>IF(OR(Sheet1!EP344="FM", Sheet1!EP344="OTHER"),SUM(Sheet1!BG344:'Sheet1'!BI344),0)</f>
        <v>0</v>
      </c>
      <c r="BN346" s="521">
        <f>IF(AND($B346&gt;=$FV346,$B346&lt;=$FW346),MAX(BF346,Sheet1!EI344,0),MAX(BF346-(7/36)*$K346,0))</f>
        <v>0</v>
      </c>
      <c r="BO346" s="535">
        <f t="shared" si="712"/>
        <v>0</v>
      </c>
      <c r="BP346" s="521">
        <f t="shared" si="713"/>
        <v>0.99859353023909991</v>
      </c>
      <c r="BQ346" s="521">
        <f>IF(AND($O346&gt;0,Sheet1!EM344=1),(1-($O346-Sheet1!$L344)/$O346)*BL346,0)</f>
        <v>0</v>
      </c>
      <c r="BR346" s="521">
        <f>IF(AND(Sheet1!$L344=0,Sheet1!$L343=0, Calculation!BK346&lt;Sheet1!$EI344-0.1,Sheet1!$EI344=Sheet1!$EI343,Sheet1!$EI344=Sheet1!$EI345),BL346-BQ346,BL346-BQ346)</f>
        <v>0.99859353023909991</v>
      </c>
      <c r="BS346" s="1035" t="str">
        <f t="shared" si="826"/>
        <v/>
      </c>
      <c r="BT346" s="1035">
        <f t="shared" si="827"/>
        <v>12.568888888888889</v>
      </c>
      <c r="BU346" s="535">
        <f t="shared" si="714"/>
        <v>0</v>
      </c>
      <c r="BV346" s="535"/>
      <c r="BW346" s="535">
        <f ca="1">IF(B346&gt;(Summary!$A$1-1),#N/A,BU346*MGtoAF)</f>
        <v>0</v>
      </c>
      <c r="BX346" s="535">
        <f>Sheet1!BC344+Sheet1!BD344+Sheet1!BE344+Sheet1!BF344-CG346-CH346</f>
        <v>2.99</v>
      </c>
      <c r="BY346" s="535">
        <f t="shared" si="715"/>
        <v>2.9857946554149088</v>
      </c>
      <c r="BZ346" s="535">
        <f>IF(Sheet1!EQ344="FM",CH346,0)</f>
        <v>0</v>
      </c>
      <c r="CA346" s="535">
        <f t="shared" si="716"/>
        <v>0</v>
      </c>
      <c r="CB346" s="535">
        <f>IF(Sheet1!EQ344="OTHER",CH346,0)</f>
        <v>0</v>
      </c>
      <c r="CC346" s="535">
        <f t="shared" si="717"/>
        <v>0</v>
      </c>
      <c r="CD346" s="535">
        <f t="shared" si="718"/>
        <v>0</v>
      </c>
      <c r="CE346" s="535">
        <f t="shared" si="719"/>
        <v>2.99</v>
      </c>
      <c r="CF346" s="535">
        <f t="shared" si="720"/>
        <v>2.9857946554149088</v>
      </c>
      <c r="CG346" s="535">
        <f>IF(Sheet1!EQ344="CWA",SUM(Sheet1!BC344:'Sheet1'!BF344),0)</f>
        <v>0</v>
      </c>
      <c r="CH346" s="535">
        <f>IF(OR(Sheet1!EQ344="FM", Sheet1!EQ344="OTHER"),SUM(Sheet1!BC344:'Sheet1'!BF344),0)</f>
        <v>0</v>
      </c>
      <c r="CI346" s="521">
        <f>IF(AND($B346&gt;=$FV346,$B346&lt;=$FW346),MAX(CF346,Sheet1!EJ344,0),MAX(CF346-(7/36)*$K346,0))</f>
        <v>0</v>
      </c>
      <c r="CJ346" s="535">
        <f t="shared" si="721"/>
        <v>0</v>
      </c>
      <c r="CK346" s="521">
        <f t="shared" si="722"/>
        <v>2.9857946554149088</v>
      </c>
      <c r="CL346" s="521">
        <f>IF(AND($O346&gt;0,Sheet1!EN344=1),(1-($O346-Sheet1!$L344)/$O346)*CF346,0)</f>
        <v>0</v>
      </c>
      <c r="CM346" s="521">
        <f>IF(AND(Sheet1!$L344=0,Sheet1!$L343=0, Calculation!CE346&lt;Sheet1!EJ344-0.1,Sheet1!EJ344=Sheet1!EJ343,Sheet1!EJ344=Sheet1!EJ345),CF346-CL346,CF346-CL346)</f>
        <v>2.9857946554149088</v>
      </c>
      <c r="CN346" s="1040" t="str">
        <f t="shared" si="828"/>
        <v/>
      </c>
      <c r="CO346" s="1035">
        <f t="shared" si="829"/>
        <v>12.568888888888889</v>
      </c>
      <c r="CP346" s="535">
        <f t="shared" si="723"/>
        <v>0</v>
      </c>
      <c r="CQ346" s="535"/>
      <c r="CR346" s="535">
        <f ca="1">IF(B346&gt;(Summary!$A$1-1),#N/A,CP346*MGtoAF)</f>
        <v>0</v>
      </c>
      <c r="CS346" s="535">
        <f>Sheet1!BK344+Sheet1!BL344+Sheet1!BM344-Sheet1!ER344-DA346</f>
        <v>6.5500000000000007</v>
      </c>
      <c r="CT346" s="535">
        <f t="shared" si="724"/>
        <v>6.5407876230661053</v>
      </c>
      <c r="CU346" s="535">
        <f>IF(Sheet1!ER344="FM",DA346,0)</f>
        <v>0</v>
      </c>
      <c r="CV346" s="535">
        <f t="shared" si="725"/>
        <v>0</v>
      </c>
      <c r="CW346" s="535">
        <f>IF(Sheet1!ER344="OTHER",DA346,0)</f>
        <v>0</v>
      </c>
      <c r="CX346" s="535">
        <f t="shared" si="726"/>
        <v>0</v>
      </c>
      <c r="CY346" s="535">
        <f t="shared" si="727"/>
        <v>6.5500000000000007</v>
      </c>
      <c r="CZ346" s="535">
        <f t="shared" si="728"/>
        <v>6.5407876230661053</v>
      </c>
      <c r="DA346" s="535">
        <f>IF(OR(Sheet1!ER344="FM", Sheet1!ER344="OTHER"),SUM(Sheet1!BK344:'Sheet1'!BM344),0)</f>
        <v>0</v>
      </c>
      <c r="DB346" s="1011">
        <f>IF(AND($B346&gt;=$FV346,$B346&lt;=$FW346),MAX($CT346,Sheet1!EK344,0),MAX($CT346-(7/36)*$K346,0))</f>
        <v>0</v>
      </c>
      <c r="DC346" s="1012">
        <f t="shared" si="729"/>
        <v>0</v>
      </c>
      <c r="DD346" s="1011">
        <f t="shared" si="730"/>
        <v>6.5407876230661053</v>
      </c>
      <c r="DE346" s="521">
        <f>IF(AND($O346&gt;0,Sheet1!EO344=1),(1-($O346-Sheet1!$L344)/$O346)*CZ346,0)</f>
        <v>0</v>
      </c>
      <c r="DF346" s="521">
        <f>IF(AND(Sheet1!$L344=0,Sheet1!$L343=0, Calculation!CY346&lt;Sheet1!$EK344-0.1,Sheet1!$EK344=Sheet1!$EK343,Sheet1!$EK344=Sheet1!$EK345),CZ346-DE346,CZ346-DE346)</f>
        <v>6.5407876230661053</v>
      </c>
      <c r="DG346" s="1040">
        <f t="shared" si="830"/>
        <v>12.568888888888889</v>
      </c>
      <c r="DH346" s="649">
        <f t="shared" si="731"/>
        <v>10.540000000000001</v>
      </c>
      <c r="DI346" s="535">
        <f t="shared" si="732"/>
        <v>0</v>
      </c>
      <c r="DJ346" s="649">
        <f t="shared" si="733"/>
        <v>10.525175808720114</v>
      </c>
      <c r="DK346" s="535">
        <f ca="1">IF(B346&gt;(Summary!$A$1-1),#N/A,DI346*MGtoAF)</f>
        <v>0</v>
      </c>
      <c r="DL346" s="649">
        <f t="shared" si="734"/>
        <v>10.540000000000001</v>
      </c>
      <c r="DM346" s="535">
        <f t="shared" si="735"/>
        <v>28.439999999999998</v>
      </c>
      <c r="DN346" s="535">
        <f>Sheet1!AB344-DM346</f>
        <v>-3.9999999999999147E-2</v>
      </c>
      <c r="DO346" s="743">
        <f t="shared" si="736"/>
        <v>-1.4064697609001107E-3</v>
      </c>
      <c r="DP346" s="535">
        <f>(VLOOKUP(Sheet1!DC344,hhdcap_wcm,4)-(((VLOOKUP(Sheet1!DC344,hhdcap_wcm,3)-Sheet1!DC344)/(VLOOKUP(Sheet1!DC344,hhdcap_wcm,3)-VLOOKUP(Sheet1!DC344,hhdcap_wcm,1)))*(VLOOKUP(Sheet1!DC344,hhdcap_wcm,4)-VLOOKUP(Sheet1!DC344,hhdcap_wcm,2))))</f>
        <v>1404.5000000039904</v>
      </c>
      <c r="DQ346" s="535">
        <f t="shared" si="737"/>
        <v>39.90000000029795</v>
      </c>
      <c r="DR346" s="535">
        <f t="shared" si="738"/>
        <v>20.121028744477027</v>
      </c>
      <c r="DS346" s="535">
        <f>Sheet1!EA344*AFtoMG</f>
        <v>0</v>
      </c>
      <c r="DT346" s="535">
        <f>Sheet1!EB344*AFtoMG</f>
        <v>0</v>
      </c>
      <c r="DU346" s="535">
        <f>Sheet1!EC344*AFtoMG</f>
        <v>0</v>
      </c>
      <c r="DV346" s="535">
        <f>Sheet1!ED344*AFtoMG</f>
        <v>0</v>
      </c>
      <c r="DW346" s="535">
        <f t="shared" si="739"/>
        <v>0</v>
      </c>
      <c r="DX346" s="535">
        <f t="shared" si="740"/>
        <v>0</v>
      </c>
      <c r="DY346" s="535">
        <f t="shared" si="741"/>
        <v>0</v>
      </c>
      <c r="DZ346" s="535">
        <f t="shared" si="742"/>
        <v>0</v>
      </c>
      <c r="EA346" s="535"/>
      <c r="EB346" s="521">
        <f>IF(OR(B346&lt;FV346,B346&gt;FW346),(MIN(BF346+BY346+CT346+MAX(Sheet1!AA344+AQ346-73,0),K346)),0)</f>
        <v>10.525175808720114</v>
      </c>
      <c r="EC346" s="535"/>
      <c r="ED346" s="535">
        <f t="shared" si="743"/>
        <v>10.525175808720114</v>
      </c>
      <c r="EE346" s="535"/>
      <c r="EF346" s="535">
        <f>Sheet1!EH344+Sheet1!EI344+Sheet1!EJ344+Sheet1!EK344</f>
        <v>10.5</v>
      </c>
      <c r="EG346" s="1019">
        <f t="shared" si="831"/>
        <v>16.243500000000001</v>
      </c>
      <c r="EH346" s="521">
        <f t="shared" si="744"/>
        <v>0</v>
      </c>
      <c r="EI346" s="535">
        <f>IF(Sheet1!ET344=1,SUM('Calculations II'!AT346:BA346)+'Calculations II'!BC346+Sheet1!BV344+'Calculations II'!BE346+AP346,'Calculations II'!BK346)</f>
        <v>42.227396191279894</v>
      </c>
      <c r="EJ346" s="535">
        <f ca="1">EI346+'Calculations II'!D346+'Calculations II'!E346+'Calculations II'!O346</f>
        <v>46.695174400727552</v>
      </c>
      <c r="EK346" s="535"/>
      <c r="EL346" s="535"/>
      <c r="EM346" s="535">
        <f t="shared" si="745"/>
        <v>43070</v>
      </c>
      <c r="EN346" s="535">
        <f t="shared" si="746"/>
        <v>0</v>
      </c>
      <c r="EO346" s="535">
        <f t="shared" si="747"/>
        <v>0</v>
      </c>
      <c r="EP346" s="535">
        <v>0</v>
      </c>
      <c r="EQ346" s="535">
        <v>0</v>
      </c>
      <c r="ER346" s="535">
        <v>0</v>
      </c>
      <c r="ES346" s="521">
        <f t="shared" si="797"/>
        <v>-3.0501201256728061</v>
      </c>
      <c r="ET346" s="535">
        <f>-(VLOOKUP(Sheet1!BQ344,Lookup!$O$4:$Q$262,2)-VLOOKUP(Sheet1!BQ343,Lookup!$O$4:$Q$262,2))/1000000</f>
        <v>-1.5247426745416857</v>
      </c>
      <c r="EU346" s="535">
        <f>-(VLOOKUP(Sheet1!BR344,Lookup!$O$4:$Q$262,3)-VLOOKUP(Sheet1!BR343,Lookup!$O$4:$Q$262,3))/1000000</f>
        <v>-1.5253774511311202</v>
      </c>
      <c r="EV346" s="535"/>
      <c r="EW346" s="535"/>
      <c r="EX346" s="535"/>
      <c r="EY346" s="535"/>
      <c r="EZ346" s="535"/>
      <c r="FA346" s="535"/>
      <c r="FB346" s="535"/>
      <c r="FC346" s="535"/>
      <c r="FD346" s="567">
        <f t="shared" si="786"/>
        <v>1069.2199999999843</v>
      </c>
      <c r="FE346" s="567" t="e">
        <f t="shared" si="748"/>
        <v>#N/A</v>
      </c>
      <c r="FF346" s="568" t="e">
        <f t="shared" si="749"/>
        <v>#N/A</v>
      </c>
      <c r="FG346" s="569" t="s">
        <v>656</v>
      </c>
      <c r="FH346" s="569" t="s">
        <v>656</v>
      </c>
      <c r="FI346" s="567" t="e">
        <v>#N/A</v>
      </c>
      <c r="FJ346" s="725">
        <v>0</v>
      </c>
      <c r="FK346" s="535"/>
      <c r="FL346" s="1015" t="e">
        <f t="shared" si="785"/>
        <v>#N/A</v>
      </c>
      <c r="FM346" s="535"/>
      <c r="FN346" s="535"/>
      <c r="FO346" s="535">
        <f>O346+((Sheet1!CS344)*GPMtoMGD)</f>
        <v>56.4</v>
      </c>
      <c r="FP346" s="535">
        <f>IF(Sheet1!AA344+AQ346&lt;=Calculation!N346,AQ346,Calculation!N346-Sheet1!AA344)</f>
        <v>17.874824191279888</v>
      </c>
      <c r="FQ346" s="535">
        <f>(Sheet1!BP344+Sheet1!BO344)/694.4</f>
        <v>1.5155529953917048</v>
      </c>
      <c r="FR346" s="541"/>
      <c r="FS346" s="541"/>
      <c r="FT346" s="541"/>
      <c r="FU346" s="541"/>
      <c r="FV346" s="1109">
        <f t="shared" si="798"/>
        <v>42918</v>
      </c>
      <c r="FW346" s="1109">
        <f t="shared" si="799"/>
        <v>43027</v>
      </c>
      <c r="FX346" s="541"/>
      <c r="FY346" s="541">
        <f>Sheet1!DA344-Sheet1!CZ344-Sheet1!AE344</f>
        <v>665.98243000000025</v>
      </c>
      <c r="FZ346" s="535">
        <f t="shared" si="832"/>
        <v>0.43242213928012935</v>
      </c>
      <c r="GA346" s="535"/>
      <c r="GB346" s="535" t="str">
        <f t="shared" si="800"/>
        <v>n</v>
      </c>
      <c r="GC346" s="539">
        <f t="shared" si="801"/>
        <v>42782</v>
      </c>
      <c r="GD346" s="1109">
        <f t="shared" si="802"/>
        <v>42904</v>
      </c>
      <c r="GE346" s="535">
        <f t="shared" si="818"/>
        <v>6520</v>
      </c>
      <c r="GF346" s="1109">
        <f t="shared" si="803"/>
        <v>42909</v>
      </c>
      <c r="GG346" s="535">
        <f t="shared" si="845"/>
        <v>3260</v>
      </c>
      <c r="GH346" s="539">
        <f t="shared" si="804"/>
        <v>43040</v>
      </c>
      <c r="GJ346" s="521">
        <f t="shared" si="805"/>
        <v>0</v>
      </c>
      <c r="GK346" s="535" t="str">
        <f t="shared" si="750"/>
        <v/>
      </c>
      <c r="GL346" s="535">
        <f t="shared" si="806"/>
        <v>0</v>
      </c>
      <c r="GM346" s="535" t="str">
        <f t="shared" si="807"/>
        <v/>
      </c>
      <c r="GN346" s="535">
        <f>IF(GK346="P",Lookup!$M$12,IF(GK346="PP",Lookup!$M$13,IF(GK346="PPP",Lookup!$M$14,IF(GK346="T",Lookup!$M$15,IF(GK346="TP",Lookup!$M$16,IF(GK346="TPP",Lookup!$M$17,IF(GK346="TPPP",Lookup!$M$18,0)))))))*GJ346</f>
        <v>0</v>
      </c>
      <c r="GO346" s="535">
        <f t="shared" si="808"/>
        <v>0</v>
      </c>
      <c r="GP346" s="535">
        <f t="shared" si="751"/>
        <v>0</v>
      </c>
      <c r="GQ346" s="974">
        <f t="shared" si="695"/>
        <v>0</v>
      </c>
      <c r="GR346" s="535"/>
      <c r="GS346" s="535">
        <f t="shared" si="809"/>
        <v>0</v>
      </c>
      <c r="GT346" s="535" t="str">
        <f t="shared" si="810"/>
        <v/>
      </c>
      <c r="GU346" s="535">
        <f>IF(GK346="P",Lookup!$N$12,IF(GK346="PP",Lookup!$N$13,IF(GK346="PPP",Lookup!$N$14,IF(GK346="T",Lookup!$N$15,IF(GK346="TP",Lookup!$N$16,IF(GK346="TPP",Lookup!$N$17,IF(GK346="TPPP",Lookup!$N$18,0)))))))*GJ346</f>
        <v>0</v>
      </c>
      <c r="GV346" s="535">
        <f t="shared" si="811"/>
        <v>0</v>
      </c>
      <c r="GW346" s="535">
        <f t="shared" si="752"/>
        <v>0</v>
      </c>
      <c r="GX346" s="974">
        <f t="shared" si="696"/>
        <v>0</v>
      </c>
      <c r="GY346" s="535"/>
      <c r="GZ346" s="535">
        <f t="shared" si="812"/>
        <v>0</v>
      </c>
      <c r="HA346" s="535" t="str">
        <f t="shared" si="813"/>
        <v/>
      </c>
      <c r="HB346" s="535">
        <f>IF(GK346="P",Lookup!$N$12,IF(GK346="PP",Lookup!$N$13,IF(GK346="PPP",Lookup!$N$14,IF(GK346="T",Lookup!$N$15,IF(GK346="TP",Lookup!$N$16,IF(GK346="TPP",Lookup!$N$17,IF(GK346="TPPP",Lookup!$N$18,0)))))))*GJ346</f>
        <v>0</v>
      </c>
      <c r="HC346" s="521">
        <f t="shared" si="753"/>
        <v>0</v>
      </c>
      <c r="HD346" s="535">
        <f t="shared" si="754"/>
        <v>0</v>
      </c>
      <c r="HE346" s="535">
        <f t="shared" si="816"/>
        <v>0</v>
      </c>
      <c r="HF346" s="535"/>
      <c r="HG346" s="535">
        <f t="shared" si="814"/>
        <v>0</v>
      </c>
      <c r="HH346" s="535" t="str">
        <f t="shared" si="815"/>
        <v/>
      </c>
      <c r="HI346" s="535">
        <f>IF(GK346="P",Lookup!$N$12,IF(GK346="PP",Lookup!$N$13,IF(GK346="PPP",Lookup!$N$14,IF(GK346="T",Lookup!$N$15,IF(GK346="TP",Lookup!$N$16,IF(GK346="TPP",Lookup!$N$17,IF(GK346="TPPP",Lookup!$N$18,0)))))))*GJ346</f>
        <v>0</v>
      </c>
      <c r="HJ346" s="521">
        <f t="shared" si="755"/>
        <v>0</v>
      </c>
      <c r="HK346" s="535">
        <f t="shared" si="756"/>
        <v>0</v>
      </c>
      <c r="HL346" s="535">
        <f t="shared" si="817"/>
        <v>0</v>
      </c>
      <c r="HM346" s="535"/>
      <c r="HN346" s="541"/>
      <c r="HO346" s="541"/>
      <c r="HP346" s="541"/>
      <c r="HQ346" s="541">
        <f>IF(AND(B346&gt;=$FV$4,B346&lt;=$FW$4),MAX(110/1.02+$HQ$6+MIN(113/1.02,G346),IF($HV$6-(Sheet1!DA344-Sheet1!DB344)+MIN(113/1.02,G346)&lt;G346+FL346,$HV$6-(Sheet1!DA344-Sheet1!DB344)+MIN(113/1.02,G346),G346+FL346)),MIN(110/1.02+$HQ$6+113/1.02,G346))</f>
        <v>218.62745098039215</v>
      </c>
      <c r="HR346" s="541">
        <f t="shared" si="833"/>
        <v>223</v>
      </c>
      <c r="HS346" s="541">
        <f>HR346+(Sheet1!DA344-Sheet1!DB344)</f>
        <v>813</v>
      </c>
      <c r="HT346" s="541">
        <f t="shared" si="834"/>
        <v>0</v>
      </c>
      <c r="HU346" s="541">
        <f t="shared" si="835"/>
        <v>813</v>
      </c>
      <c r="HV346" s="541">
        <f t="shared" si="836"/>
        <v>0</v>
      </c>
      <c r="HW346" s="533" t="str">
        <f t="shared" si="837"/>
        <v/>
      </c>
      <c r="HX346" s="541">
        <f t="shared" si="838"/>
        <v>1301.372549019608</v>
      </c>
      <c r="HY346" s="541">
        <f>Sheet1!CZ344</f>
        <v>1520</v>
      </c>
      <c r="HZ346" s="541">
        <f t="shared" si="839"/>
        <v>0</v>
      </c>
      <c r="IA346" s="541">
        <f t="shared" si="840"/>
        <v>0</v>
      </c>
      <c r="IB346" s="541">
        <f t="shared" si="841"/>
        <v>1520</v>
      </c>
      <c r="IC346" s="1019" t="str">
        <f t="shared" si="842"/>
        <v/>
      </c>
      <c r="ID346" s="541">
        <f t="shared" si="843"/>
        <v>1520</v>
      </c>
      <c r="IE346" s="541">
        <f>Sheet1!DB344</f>
        <v>1680</v>
      </c>
      <c r="IF346" s="533">
        <f>Sheet1!DA344</f>
        <v>2270</v>
      </c>
      <c r="IH346" s="541">
        <f>IF(AND($B346&gt;=$GC346,$B346&lt;=$GH346,$DR346&lt;0)+N("only adjusted when pool is drawn down during storage season"),Sheet1!$DB344+$DR346+N("Palmer minus all storage release"),Sheet1!$DB344)</f>
        <v>1680</v>
      </c>
      <c r="II346" s="541">
        <f>IF(AND($B346&gt;=$GC346,$B346&lt;=$GH346,$DR346&lt;0)+N("only adjusted when pool is drawn down during storage season"),Sheet1!$DA344+$DR346+N("Auburn minus all storage release"),Sheet1!$DA344)</f>
        <v>2270</v>
      </c>
    </row>
    <row r="347" spans="1:243" x14ac:dyDescent="0.25">
      <c r="A347" s="553" t="s">
        <v>9</v>
      </c>
      <c r="B347" s="531">
        <v>43071</v>
      </c>
      <c r="C347" s="536">
        <v>0</v>
      </c>
      <c r="D347" s="506">
        <f t="shared" si="787"/>
        <v>300</v>
      </c>
      <c r="E347" s="506">
        <f t="shared" si="788"/>
        <v>250</v>
      </c>
      <c r="F347" s="506">
        <v>250</v>
      </c>
      <c r="G347" s="535">
        <f>DR347+Sheet1!CZ345</f>
        <v>1467.0852244072971</v>
      </c>
      <c r="H347" s="1074">
        <f t="shared" si="844"/>
        <v>951.75497740799995</v>
      </c>
      <c r="I347" s="534">
        <f>IF(Sheet1!DA345&gt;=E347,(Sheet1!DA345-E347+P347)*CFStoMGD,0)</f>
        <v>1520.5869774079999</v>
      </c>
      <c r="J347" s="995">
        <f>IF(Sheet1!DB345&gt;=D347,(Sheet1!DB345-D347+P347)*CFStoMGD,0)</f>
        <v>951.75497740799995</v>
      </c>
      <c r="K347" s="818">
        <f t="shared" si="819"/>
        <v>64.64</v>
      </c>
      <c r="L347" s="535">
        <f>Sheet1!AA345+Sheet1!AB345-Sheet1!L345+(Sheet1!DA345-F347)*CFStoMGD-S347-T347-U347</f>
        <v>1467.328</v>
      </c>
      <c r="M347" s="535">
        <f t="shared" si="697"/>
        <v>967.29036683801439</v>
      </c>
      <c r="N347" s="824">
        <f>IF(Sheet1!DA345&gt;=F347,MIN(113*CFStoMGD,MIN(MAX(L347,0),MAX(M347,0))),0)</f>
        <v>73.043199999999999</v>
      </c>
      <c r="O347" s="538">
        <f>Sheet1!AA345+Sheet1!AB345</f>
        <v>53.260000000000005</v>
      </c>
      <c r="P347" s="538">
        <f t="shared" si="698"/>
        <v>82.393219999999999</v>
      </c>
      <c r="Q347" s="812">
        <f t="shared" si="820"/>
        <v>0</v>
      </c>
      <c r="R347" s="812">
        <f t="shared" si="789"/>
        <v>10.500784780023784</v>
      </c>
      <c r="S347" s="812">
        <f t="shared" si="790"/>
        <v>53.260000000000005</v>
      </c>
      <c r="T347" s="812">
        <f t="shared" si="791"/>
        <v>0</v>
      </c>
      <c r="U347" s="812">
        <f>IF(AND(B347&gt;=FV347,B347&lt;=FW347),ED347+Sheet1!EH345,0)</f>
        <v>0</v>
      </c>
      <c r="V347" s="812"/>
      <c r="W347" s="812">
        <f t="shared" si="792"/>
        <v>54.139215219976215</v>
      </c>
      <c r="X347" s="812">
        <f t="shared" si="793"/>
        <v>53.260000000000005</v>
      </c>
      <c r="Y347" s="812" t="str">
        <f t="shared" si="794"/>
        <v/>
      </c>
      <c r="Z347" s="812">
        <f t="shared" si="795"/>
        <v>53.260000000000005</v>
      </c>
      <c r="AA347" s="812">
        <f t="shared" si="796"/>
        <v>53.260000000000005</v>
      </c>
      <c r="AB347" s="1059">
        <f t="shared" si="821"/>
        <v>0</v>
      </c>
      <c r="AC347" s="538">
        <f>Sheet1!Y345*MGDtoCFS</f>
        <v>43.315999999999995</v>
      </c>
      <c r="AD347" s="538">
        <f>Sheet1!Z345*MGDtoCFS</f>
        <v>43.934799999999996</v>
      </c>
      <c r="AE347" s="538">
        <f>Sheet1!AA345*MGDtoCFS</f>
        <v>43.470700000000001</v>
      </c>
      <c r="AF347" s="538">
        <f>Sheet1!AB345*MGDtoCFS</f>
        <v>38.922519999999999</v>
      </c>
      <c r="AG347" s="538">
        <f>Sheet1!L345*MGDtoCFS</f>
        <v>0</v>
      </c>
      <c r="AH347" s="521">
        <f t="shared" si="699"/>
        <v>0</v>
      </c>
      <c r="AI347" s="1059">
        <f t="shared" si="700"/>
        <v>0</v>
      </c>
      <c r="AJ347" s="535">
        <f t="shared" si="701"/>
        <v>0</v>
      </c>
      <c r="AK347" s="535">
        <f t="shared" si="702"/>
        <v>0</v>
      </c>
      <c r="AL347" s="535">
        <f>(VLOOKUP(Sheet1!DC345,hhdcap_wcm,4)-(((VLOOKUP(Sheet1!DC345,hhdcap_wcm,3)-Sheet1!DC345)/(VLOOKUP(Sheet1!DC345,hhdcap_wcm,3)-VLOOKUP(Sheet1!DC345,hhdcap_wcm,1)))*(VLOOKUP(Sheet1!DC345,hhdcap_wcm,4)-VLOOKUP(Sheet1!DC345,hhdcap_wcm,2))))</f>
        <v>1319.4000000036608</v>
      </c>
      <c r="AM347" s="535">
        <f t="shared" si="703"/>
        <v>-85.100000000329601</v>
      </c>
      <c r="AN347" s="1035">
        <f t="shared" si="704"/>
        <v>0</v>
      </c>
      <c r="AO347" s="535">
        <f t="shared" si="705"/>
        <v>0</v>
      </c>
      <c r="AP347" s="535">
        <f>Sheet1!BA345+Sheet1!BB345+Sheet1!BN345+CD347</f>
        <v>14.7</v>
      </c>
      <c r="AQ347" s="535">
        <f>Sheet1!BN345+(DO347*Sheet1!BN345)</f>
        <v>14.65921521997622</v>
      </c>
      <c r="AR347" s="535">
        <f>Sheet1!BA345+CD347</f>
        <v>0</v>
      </c>
      <c r="AS347" s="535">
        <f>Sheet1!BA345+Sheet1!BB345+CD347</f>
        <v>0</v>
      </c>
      <c r="AT347" s="649">
        <f>0</f>
        <v>0</v>
      </c>
      <c r="AU347" s="974">
        <f>BA347+MAX(Sheet1!EH345,(O347-Q347-ED347-S347))</f>
        <v>0</v>
      </c>
      <c r="AV347" s="535">
        <f>IF(OR(B347&gt;=GD347,B347&lt;GC347),0,15/36*K347-MAX(0,64.6-(137.6-(Sheet1!AA345+Sheet1!AB345))))</f>
        <v>0</v>
      </c>
      <c r="AW347" s="1029"/>
      <c r="AX347" s="649"/>
      <c r="AY347" s="649">
        <f t="shared" si="822"/>
        <v>23.311716569431731</v>
      </c>
      <c r="AZ347" s="649">
        <f t="shared" si="823"/>
        <v>0</v>
      </c>
      <c r="BA347" s="1059">
        <f t="shared" si="824"/>
        <v>0</v>
      </c>
      <c r="BB347" s="1019">
        <f t="shared" si="706"/>
        <v>0</v>
      </c>
      <c r="BC347" s="1041">
        <f t="shared" si="825"/>
        <v>26.933333333333334</v>
      </c>
      <c r="BD347" s="1019">
        <f ca="1">IF(B347&gt;(Summary!$A$1-1),#N/A,BB347*MGtoAF)</f>
        <v>0</v>
      </c>
      <c r="BE347" s="535">
        <f>Sheet1!BG345+Sheet1!BH345+Sheet1!BI345-BM347</f>
        <v>1.01</v>
      </c>
      <c r="BF347" s="535">
        <f t="shared" si="707"/>
        <v>1.0071977804201349</v>
      </c>
      <c r="BG347" s="535">
        <f>IF(Sheet1!EP345="FM",BM347,0)</f>
        <v>0</v>
      </c>
      <c r="BH347" s="535">
        <f t="shared" si="708"/>
        <v>0</v>
      </c>
      <c r="BI347" s="535">
        <f>IF(Sheet1!EP345="OTHER",BM347,0)</f>
        <v>0</v>
      </c>
      <c r="BJ347" s="535">
        <f t="shared" si="709"/>
        <v>0</v>
      </c>
      <c r="BK347" s="535">
        <f t="shared" si="710"/>
        <v>1.01</v>
      </c>
      <c r="BL347" s="535">
        <f t="shared" si="711"/>
        <v>1.0071977804201349</v>
      </c>
      <c r="BM347" s="535">
        <f>IF(OR(Sheet1!EP345="FM", Sheet1!EP345="OTHER"),SUM(Sheet1!BG345:'Sheet1'!BI345),0)</f>
        <v>0</v>
      </c>
      <c r="BN347" s="521">
        <f>IF(AND($B347&gt;=$FV347,$B347&lt;=$FW347),MAX(BF347,Sheet1!EI345,0),MAX(BF347-(7/36)*$K347,0))</f>
        <v>0</v>
      </c>
      <c r="BO347" s="535">
        <f t="shared" si="712"/>
        <v>0</v>
      </c>
      <c r="BP347" s="521">
        <f t="shared" si="713"/>
        <v>1.0071977804201349</v>
      </c>
      <c r="BQ347" s="521">
        <f>IF(AND($O347&gt;0,Sheet1!EM345=1),(1-($O347-Sheet1!$L345)/$O347)*BL347,0)</f>
        <v>0</v>
      </c>
      <c r="BR347" s="521">
        <f>IF(AND(Sheet1!$L345=0,Sheet1!$L344=0, Calculation!BK347&lt;Sheet1!$EI345-0.1,Sheet1!$EI345=Sheet1!$EI344,Sheet1!$EI345=Sheet1!$EI346),BL347-BQ347,BL347-BQ347)</f>
        <v>1.0071977804201349</v>
      </c>
      <c r="BS347" s="1035" t="str">
        <f t="shared" si="826"/>
        <v/>
      </c>
      <c r="BT347" s="1035">
        <f t="shared" si="827"/>
        <v>12.568888888888889</v>
      </c>
      <c r="BU347" s="535">
        <f t="shared" si="714"/>
        <v>0</v>
      </c>
      <c r="BV347" s="535"/>
      <c r="BW347" s="535">
        <f ca="1">IF(B347&gt;(Summary!$A$1-1),#N/A,BU347*MGtoAF)</f>
        <v>0</v>
      </c>
      <c r="BX347" s="535">
        <f>Sheet1!BC345+Sheet1!BD345+Sheet1!BE345+Sheet1!BF345-CG347-CH347</f>
        <v>2.99</v>
      </c>
      <c r="BY347" s="535">
        <f t="shared" si="715"/>
        <v>2.9817043202536668</v>
      </c>
      <c r="BZ347" s="535">
        <f>IF(Sheet1!EQ345="FM",CH347,0)</f>
        <v>0</v>
      </c>
      <c r="CA347" s="535">
        <f t="shared" si="716"/>
        <v>0</v>
      </c>
      <c r="CB347" s="535">
        <f>IF(Sheet1!EQ345="OTHER",CH347,0)</f>
        <v>0</v>
      </c>
      <c r="CC347" s="535">
        <f t="shared" si="717"/>
        <v>0</v>
      </c>
      <c r="CD347" s="535">
        <f t="shared" si="718"/>
        <v>0</v>
      </c>
      <c r="CE347" s="535">
        <f t="shared" si="719"/>
        <v>2.99</v>
      </c>
      <c r="CF347" s="535">
        <f t="shared" si="720"/>
        <v>2.9817043202536668</v>
      </c>
      <c r="CG347" s="535">
        <f>IF(Sheet1!EQ345="CWA",SUM(Sheet1!BC345:'Sheet1'!BF345),0)</f>
        <v>0</v>
      </c>
      <c r="CH347" s="535">
        <f>IF(OR(Sheet1!EQ345="FM", Sheet1!EQ345="OTHER"),SUM(Sheet1!BC345:'Sheet1'!BF345),0)</f>
        <v>0</v>
      </c>
      <c r="CI347" s="521">
        <f>IF(AND($B347&gt;=$FV347,$B347&lt;=$FW347),MAX(CF347,Sheet1!EJ345,0),MAX(CF347-(7/36)*$K347,0))</f>
        <v>0</v>
      </c>
      <c r="CJ347" s="535">
        <f t="shared" si="721"/>
        <v>0</v>
      </c>
      <c r="CK347" s="521">
        <f t="shared" si="722"/>
        <v>2.9817043202536668</v>
      </c>
      <c r="CL347" s="521">
        <f>IF(AND($O347&gt;0,Sheet1!EN345=1),(1-($O347-Sheet1!$L345)/$O347)*CF347,0)</f>
        <v>0</v>
      </c>
      <c r="CM347" s="521">
        <f>IF(AND(Sheet1!$L345=0,Sheet1!$L344=0, Calculation!CE347&lt;Sheet1!EJ345-0.1,Sheet1!EJ345=Sheet1!EJ344,Sheet1!EJ345=Sheet1!EJ346),CF347-CL347,CF347-CL347)</f>
        <v>2.9817043202536668</v>
      </c>
      <c r="CN347" s="1040" t="str">
        <f t="shared" si="828"/>
        <v/>
      </c>
      <c r="CO347" s="1035">
        <f t="shared" si="829"/>
        <v>12.568888888888889</v>
      </c>
      <c r="CP347" s="535">
        <f t="shared" si="723"/>
        <v>0</v>
      </c>
      <c r="CQ347" s="535"/>
      <c r="CR347" s="535">
        <f ca="1">IF(B347&gt;(Summary!$A$1-1),#N/A,CP347*MGtoAF)</f>
        <v>0</v>
      </c>
      <c r="CS347" s="535">
        <f>Sheet1!BK345+Sheet1!BL345+Sheet1!BM345-Sheet1!ER345-DA347</f>
        <v>6.53</v>
      </c>
      <c r="CT347" s="535">
        <f t="shared" si="724"/>
        <v>6.5118826793499816</v>
      </c>
      <c r="CU347" s="535">
        <f>IF(Sheet1!ER345="FM",DA347,0)</f>
        <v>0</v>
      </c>
      <c r="CV347" s="535">
        <f t="shared" si="725"/>
        <v>0</v>
      </c>
      <c r="CW347" s="535">
        <f>IF(Sheet1!ER345="OTHER",DA347,0)</f>
        <v>0</v>
      </c>
      <c r="CX347" s="535">
        <f t="shared" si="726"/>
        <v>0</v>
      </c>
      <c r="CY347" s="535">
        <f t="shared" si="727"/>
        <v>6.53</v>
      </c>
      <c r="CZ347" s="535">
        <f t="shared" si="728"/>
        <v>6.5118826793499816</v>
      </c>
      <c r="DA347" s="535">
        <f>IF(OR(Sheet1!ER345="FM", Sheet1!ER345="OTHER"),SUM(Sheet1!BK345:'Sheet1'!BM345),0)</f>
        <v>0</v>
      </c>
      <c r="DB347" s="1011">
        <f>IF(AND($B347&gt;=$FV347,$B347&lt;=$FW347),MAX($CT347,Sheet1!EK345,0),MAX($CT347-(7/36)*$K347,0))</f>
        <v>0</v>
      </c>
      <c r="DC347" s="1012">
        <f t="shared" si="729"/>
        <v>0</v>
      </c>
      <c r="DD347" s="1011">
        <f t="shared" si="730"/>
        <v>6.5118826793499816</v>
      </c>
      <c r="DE347" s="521">
        <f>IF(AND($O347&gt;0,Sheet1!EO345=1),(1-($O347-Sheet1!$L345)/$O347)*CZ347,0)</f>
        <v>0</v>
      </c>
      <c r="DF347" s="521">
        <f>IF(AND(Sheet1!$L345=0,Sheet1!$L344=0, Calculation!CY347&lt;Sheet1!$EK345-0.1,Sheet1!$EK345=Sheet1!$EK344,Sheet1!$EK345=Sheet1!$EK346),CZ347-DE347,CZ347-DE347)</f>
        <v>6.5118826793499816</v>
      </c>
      <c r="DG347" s="1040">
        <f t="shared" si="830"/>
        <v>12.568888888888889</v>
      </c>
      <c r="DH347" s="649">
        <f t="shared" si="731"/>
        <v>10.530000000000001</v>
      </c>
      <c r="DI347" s="535">
        <f t="shared" si="732"/>
        <v>0</v>
      </c>
      <c r="DJ347" s="649">
        <f t="shared" si="733"/>
        <v>10.500784780023784</v>
      </c>
      <c r="DK347" s="535">
        <f ca="1">IF(B347&gt;(Summary!$A$1-1),#N/A,DI347*MGtoAF)</f>
        <v>0</v>
      </c>
      <c r="DL347" s="649">
        <f t="shared" si="734"/>
        <v>10.53</v>
      </c>
      <c r="DM347" s="535">
        <f t="shared" si="735"/>
        <v>25.229999999999997</v>
      </c>
      <c r="DN347" s="535">
        <f>Sheet1!AB345-DM347</f>
        <v>-6.9999999999996732E-2</v>
      </c>
      <c r="DO347" s="743">
        <f t="shared" si="736"/>
        <v>-2.7744748315496133E-3</v>
      </c>
      <c r="DP347" s="535">
        <f>(VLOOKUP(Sheet1!DC345,hhdcap_wcm,4)-(((VLOOKUP(Sheet1!DC345,hhdcap_wcm,3)-Sheet1!DC345)/(VLOOKUP(Sheet1!DC345,hhdcap_wcm,3)-VLOOKUP(Sheet1!DC345,hhdcap_wcm,1)))*(VLOOKUP(Sheet1!DC345,hhdcap_wcm,4)-VLOOKUP(Sheet1!DC345,hhdcap_wcm,2))))</f>
        <v>1319.4000000036608</v>
      </c>
      <c r="DQ347" s="535">
        <f t="shared" si="737"/>
        <v>-85.100000000329601</v>
      </c>
      <c r="DR347" s="535">
        <f t="shared" si="738"/>
        <v>-42.914775592702767</v>
      </c>
      <c r="DS347" s="535">
        <f>Sheet1!EA345*AFtoMG</f>
        <v>0</v>
      </c>
      <c r="DT347" s="535">
        <f>Sheet1!EB345*AFtoMG</f>
        <v>0</v>
      </c>
      <c r="DU347" s="535">
        <f>Sheet1!EC345*AFtoMG</f>
        <v>0</v>
      </c>
      <c r="DV347" s="535">
        <f>Sheet1!ED345*AFtoMG</f>
        <v>0</v>
      </c>
      <c r="DW347" s="535">
        <f t="shared" si="739"/>
        <v>0</v>
      </c>
      <c r="DX347" s="535">
        <f t="shared" si="740"/>
        <v>0</v>
      </c>
      <c r="DY347" s="535">
        <f t="shared" si="741"/>
        <v>0</v>
      </c>
      <c r="DZ347" s="535">
        <f t="shared" si="742"/>
        <v>0</v>
      </c>
      <c r="EA347" s="535"/>
      <c r="EB347" s="521">
        <f>IF(OR(B347&lt;FV347,B347&gt;FW347),(MIN(BF347+BY347+CT347+MAX(Sheet1!AA345+AQ347-73,0),K347)),0)</f>
        <v>10.500784780023784</v>
      </c>
      <c r="EC347" s="535"/>
      <c r="ED347" s="535">
        <f t="shared" si="743"/>
        <v>10.500784780023782</v>
      </c>
      <c r="EE347" s="535"/>
      <c r="EF347" s="535">
        <f>Sheet1!EH345+Sheet1!EI345+Sheet1!EJ345+Sheet1!EK345</f>
        <v>10.5</v>
      </c>
      <c r="EG347" s="1019">
        <f t="shared" si="831"/>
        <v>16.243500000000001</v>
      </c>
      <c r="EH347" s="521">
        <f t="shared" si="744"/>
        <v>0</v>
      </c>
      <c r="EI347" s="535">
        <f>IF(Sheet1!ET345=1,SUM('Calculations II'!AT347:BA347)+'Calculations II'!BC347+Sheet1!BV345+'Calculations II'!BE347+AP347,'Calculations II'!BK347)</f>
        <v>44.128861219976223</v>
      </c>
      <c r="EJ347" s="535">
        <f ca="1">EI347+'Calculations II'!D347+'Calculations II'!E347+'Calculations II'!O347</f>
        <v>42.288323022248335</v>
      </c>
      <c r="EK347" s="535"/>
      <c r="EL347" s="535"/>
      <c r="EM347" s="535">
        <f t="shared" si="745"/>
        <v>43071</v>
      </c>
      <c r="EN347" s="535">
        <f t="shared" si="746"/>
        <v>0</v>
      </c>
      <c r="EO347" s="535">
        <f t="shared" si="747"/>
        <v>0</v>
      </c>
      <c r="EP347" s="535">
        <v>0</v>
      </c>
      <c r="EQ347" s="535">
        <v>0</v>
      </c>
      <c r="ER347" s="535">
        <v>0</v>
      </c>
      <c r="ES347" s="521">
        <f t="shared" si="797"/>
        <v>1.941165065222636</v>
      </c>
      <c r="ET347" s="535">
        <f>-(VLOOKUP(Sheet1!BQ345,Lookup!$O$4:$Q$262,2)-VLOOKUP(Sheet1!BQ344,Lookup!$O$4:$Q$262,2))/1000000</f>
        <v>0.97038054893054815</v>
      </c>
      <c r="EU347" s="535">
        <f>-(VLOOKUP(Sheet1!BR345,Lookup!$O$4:$Q$262,3)-VLOOKUP(Sheet1!BR344,Lookup!$O$4:$Q$262,3))/1000000</f>
        <v>0.97078451629208773</v>
      </c>
      <c r="EV347" s="535"/>
      <c r="EW347" s="535"/>
      <c r="EX347" s="535"/>
      <c r="EY347" s="535"/>
      <c r="EZ347" s="535"/>
      <c r="FA347" s="535"/>
      <c r="FB347" s="535"/>
      <c r="FC347" s="535"/>
      <c r="FD347" s="567">
        <f t="shared" si="786"/>
        <v>1066.3999999999869</v>
      </c>
      <c r="FE347" s="567" t="e">
        <f t="shared" si="748"/>
        <v>#N/A</v>
      </c>
      <c r="FF347" s="568" t="e">
        <f t="shared" si="749"/>
        <v>#N/A</v>
      </c>
      <c r="FG347" s="569" t="s">
        <v>656</v>
      </c>
      <c r="FH347" s="569" t="s">
        <v>656</v>
      </c>
      <c r="FI347" s="567" t="e">
        <v>#N/A</v>
      </c>
      <c r="FJ347" s="567" t="e">
        <v>#N/A</v>
      </c>
      <c r="FK347" s="535"/>
      <c r="FL347" s="1015" t="e">
        <f t="shared" si="785"/>
        <v>#N/A</v>
      </c>
      <c r="FM347" s="535"/>
      <c r="FN347" s="535"/>
      <c r="FO347" s="535">
        <f>O347+((Sheet1!CS345)*GPMtoMGD)</f>
        <v>53.260000000000005</v>
      </c>
      <c r="FP347" s="535">
        <f>IF(Sheet1!AA345+AQ347&lt;=Calculation!N347,AQ347,Calculation!N347-Sheet1!AA345)</f>
        <v>14.65921521997622</v>
      </c>
      <c r="FQ347" s="535">
        <f>(Sheet1!BP345+Sheet1!BO345)/694.4</f>
        <v>1.8641993087557605</v>
      </c>
      <c r="FR347" s="541"/>
      <c r="FS347" s="541"/>
      <c r="FT347" s="541"/>
      <c r="FU347" s="541"/>
      <c r="FV347" s="1109">
        <f t="shared" si="798"/>
        <v>42918</v>
      </c>
      <c r="FW347" s="1109">
        <f t="shared" si="799"/>
        <v>43027</v>
      </c>
      <c r="FX347" s="541"/>
      <c r="FY347" s="541">
        <f>Sheet1!DA345-Sheet1!CZ345-Sheet1!AE345</f>
        <v>927.60677999999996</v>
      </c>
      <c r="FZ347" s="535">
        <f t="shared" si="832"/>
        <v>0.63227872830274967</v>
      </c>
      <c r="GA347" s="535"/>
      <c r="GB347" s="535" t="str">
        <f t="shared" si="800"/>
        <v>n</v>
      </c>
      <c r="GC347" s="539">
        <f t="shared" si="801"/>
        <v>42782</v>
      </c>
      <c r="GD347" s="1109">
        <f t="shared" si="802"/>
        <v>42904</v>
      </c>
      <c r="GE347" s="535">
        <f t="shared" si="818"/>
        <v>6520</v>
      </c>
      <c r="GF347" s="1109">
        <f t="shared" si="803"/>
        <v>42909</v>
      </c>
      <c r="GG347" s="535">
        <f t="shared" si="845"/>
        <v>3260</v>
      </c>
      <c r="GH347" s="539">
        <f t="shared" si="804"/>
        <v>43040</v>
      </c>
      <c r="GJ347" s="521">
        <f t="shared" si="805"/>
        <v>0</v>
      </c>
      <c r="GK347" s="535" t="str">
        <f t="shared" si="750"/>
        <v/>
      </c>
      <c r="GL347" s="535">
        <f t="shared" si="806"/>
        <v>0</v>
      </c>
      <c r="GM347" s="535" t="str">
        <f t="shared" si="807"/>
        <v/>
      </c>
      <c r="GN347" s="535">
        <f>IF(GK347="P",Lookup!$M$12,IF(GK347="PP",Lookup!$M$13,IF(GK347="PPP",Lookup!$M$14,IF(GK347="T",Lookup!$M$15,IF(GK347="TP",Lookup!$M$16,IF(GK347="TPP",Lookup!$M$17,IF(GK347="TPPP",Lookup!$M$18,0)))))))*GJ347</f>
        <v>0</v>
      </c>
      <c r="GO347" s="535">
        <f t="shared" si="808"/>
        <v>0</v>
      </c>
      <c r="GP347" s="535">
        <f t="shared" si="751"/>
        <v>0</v>
      </c>
      <c r="GQ347" s="974">
        <f t="shared" si="695"/>
        <v>0</v>
      </c>
      <c r="GR347" s="535"/>
      <c r="GS347" s="535">
        <f t="shared" si="809"/>
        <v>0</v>
      </c>
      <c r="GT347" s="535" t="str">
        <f t="shared" si="810"/>
        <v/>
      </c>
      <c r="GU347" s="535">
        <f>IF(GK347="P",Lookup!$N$12,IF(GK347="PP",Lookup!$N$13,IF(GK347="PPP",Lookup!$N$14,IF(GK347="T",Lookup!$N$15,IF(GK347="TP",Lookup!$N$16,IF(GK347="TPP",Lookup!$N$17,IF(GK347="TPPP",Lookup!$N$18,0)))))))*GJ347</f>
        <v>0</v>
      </c>
      <c r="GV347" s="535">
        <f t="shared" si="811"/>
        <v>0</v>
      </c>
      <c r="GW347" s="535">
        <f t="shared" si="752"/>
        <v>0</v>
      </c>
      <c r="GX347" s="974">
        <f t="shared" si="696"/>
        <v>0</v>
      </c>
      <c r="GY347" s="535"/>
      <c r="GZ347" s="535">
        <f t="shared" si="812"/>
        <v>0</v>
      </c>
      <c r="HA347" s="535" t="str">
        <f t="shared" si="813"/>
        <v/>
      </c>
      <c r="HB347" s="535">
        <f>IF(GK347="P",Lookup!$N$12,IF(GK347="PP",Lookup!$N$13,IF(GK347="PPP",Lookup!$N$14,IF(GK347="T",Lookup!$N$15,IF(GK347="TP",Lookup!$N$16,IF(GK347="TPP",Lookup!$N$17,IF(GK347="TPPP",Lookup!$N$18,0)))))))*GJ347</f>
        <v>0</v>
      </c>
      <c r="HC347" s="521">
        <f t="shared" si="753"/>
        <v>0</v>
      </c>
      <c r="HD347" s="535">
        <f t="shared" si="754"/>
        <v>0</v>
      </c>
      <c r="HE347" s="535">
        <f t="shared" si="816"/>
        <v>0</v>
      </c>
      <c r="HF347" s="535"/>
      <c r="HG347" s="535">
        <f t="shared" si="814"/>
        <v>0</v>
      </c>
      <c r="HH347" s="535" t="str">
        <f t="shared" si="815"/>
        <v/>
      </c>
      <c r="HI347" s="535">
        <f>IF(GK347="P",Lookup!$N$12,IF(GK347="PP",Lookup!$N$13,IF(GK347="PPP",Lookup!$N$14,IF(GK347="T",Lookup!$N$15,IF(GK347="TP",Lookup!$N$16,IF(GK347="TPP",Lookup!$N$17,IF(GK347="TPPP",Lookup!$N$18,0)))))))*GJ347</f>
        <v>0</v>
      </c>
      <c r="HJ347" s="521">
        <f t="shared" si="755"/>
        <v>0</v>
      </c>
      <c r="HK347" s="535">
        <f t="shared" si="756"/>
        <v>0</v>
      </c>
      <c r="HL347" s="535">
        <f t="shared" si="817"/>
        <v>0</v>
      </c>
      <c r="HM347" s="535"/>
      <c r="HN347" s="541"/>
      <c r="HO347" s="541"/>
      <c r="HP347" s="541"/>
      <c r="HQ347" s="541">
        <f>IF(AND(B347&gt;=$FV$4,B347&lt;=$FW$4),MAX(110/1.02+$HQ$6+MIN(113/1.02,G347),IF($HV$6-(Sheet1!DA345-Sheet1!DB345)+MIN(113/1.02,G347)&lt;G347+FL347,$HV$6-(Sheet1!DA345-Sheet1!DB345)+MIN(113/1.02,G347),G347+FL347)),MIN(110/1.02+$HQ$6+113/1.02,G347))</f>
        <v>218.62745098039215</v>
      </c>
      <c r="HR347" s="541">
        <f t="shared" si="833"/>
        <v>223</v>
      </c>
      <c r="HS347" s="541">
        <f>HR347+(Sheet1!DA345-Sheet1!DB345)</f>
        <v>1053</v>
      </c>
      <c r="HT347" s="541">
        <f t="shared" si="834"/>
        <v>0</v>
      </c>
      <c r="HU347" s="541">
        <f t="shared" si="835"/>
        <v>1053</v>
      </c>
      <c r="HV347" s="541">
        <f t="shared" si="836"/>
        <v>0</v>
      </c>
      <c r="HW347" s="533" t="str">
        <f t="shared" si="837"/>
        <v/>
      </c>
      <c r="HX347" s="541">
        <f t="shared" si="838"/>
        <v>1291.372549019608</v>
      </c>
      <c r="HY347" s="541">
        <f>Sheet1!CZ345</f>
        <v>1510</v>
      </c>
      <c r="HZ347" s="541">
        <f t="shared" si="839"/>
        <v>0</v>
      </c>
      <c r="IA347" s="541">
        <f t="shared" si="840"/>
        <v>0</v>
      </c>
      <c r="IB347" s="541">
        <f t="shared" si="841"/>
        <v>1510</v>
      </c>
      <c r="IC347" s="1019" t="str">
        <f t="shared" si="842"/>
        <v/>
      </c>
      <c r="ID347" s="541">
        <f t="shared" si="843"/>
        <v>1510</v>
      </c>
      <c r="IE347" s="541">
        <f>Sheet1!DB345</f>
        <v>1690</v>
      </c>
      <c r="IF347" s="533">
        <f>Sheet1!DA345</f>
        <v>2520</v>
      </c>
      <c r="IH347" s="541">
        <f>IF(AND($B347&gt;=$GC347,$B347&lt;=$GH347,$DR347&lt;0)+N("only adjusted when pool is drawn down during storage season"),Sheet1!$DB345+$DR347+N("Palmer minus all storage release"),Sheet1!$DB345)</f>
        <v>1690</v>
      </c>
      <c r="II347" s="541">
        <f>IF(AND($B347&gt;=$GC347,$B347&lt;=$GH347,$DR347&lt;0)+N("only adjusted when pool is drawn down during storage season"),Sheet1!$DA345+$DR347+N("Auburn minus all storage release"),Sheet1!$DA345)</f>
        <v>2520</v>
      </c>
    </row>
    <row r="348" spans="1:243" x14ac:dyDescent="0.25">
      <c r="A348" s="553" t="s">
        <v>3</v>
      </c>
      <c r="B348" s="531">
        <v>43072</v>
      </c>
      <c r="C348" s="536">
        <v>0</v>
      </c>
      <c r="D348" s="506">
        <f t="shared" si="787"/>
        <v>300</v>
      </c>
      <c r="E348" s="506">
        <f t="shared" si="788"/>
        <v>250</v>
      </c>
      <c r="F348" s="506">
        <v>250</v>
      </c>
      <c r="G348" s="535">
        <f>DR348+Sheet1!CZ346</f>
        <v>1374.0998487138484</v>
      </c>
      <c r="H348" s="1074">
        <f t="shared" si="844"/>
        <v>919.17498239999998</v>
      </c>
      <c r="I348" s="534">
        <f>IF(Sheet1!DA346&gt;=E348,(Sheet1!DA346-E348+P348)*CFStoMGD,0)</f>
        <v>1468.6149823999999</v>
      </c>
      <c r="J348" s="995">
        <f>IF(Sheet1!DB346&gt;=D348,(Sheet1!DB346-D348+P348)*CFStoMGD,0)</f>
        <v>919.17498239999998</v>
      </c>
      <c r="K348" s="818">
        <f t="shared" si="819"/>
        <v>64.64</v>
      </c>
      <c r="L348" s="535">
        <f>Sheet1!AA346+Sheet1!AB346-Sheet1!L346+(Sheet1!DA346-F348)*CFStoMGD-S348-T348-U348</f>
        <v>1415.616</v>
      </c>
      <c r="M348" s="535">
        <f t="shared" si="697"/>
        <v>905.9825050528043</v>
      </c>
      <c r="N348" s="824">
        <f>IF(Sheet1!DA346&gt;=F348,MIN(113*CFStoMGD,MIN(MAX(L348,0),MAX(M348,0))),0)</f>
        <v>73.043199999999999</v>
      </c>
      <c r="O348" s="538">
        <f>Sheet1!AA346+Sheet1!AB346</f>
        <v>53</v>
      </c>
      <c r="P348" s="538">
        <f t="shared" si="698"/>
        <v>81.991</v>
      </c>
      <c r="Q348" s="812">
        <f t="shared" si="820"/>
        <v>0</v>
      </c>
      <c r="R348" s="812">
        <f t="shared" si="789"/>
        <v>10.446703733121527</v>
      </c>
      <c r="S348" s="812">
        <f t="shared" si="790"/>
        <v>53</v>
      </c>
      <c r="T348" s="812">
        <f t="shared" si="791"/>
        <v>0</v>
      </c>
      <c r="U348" s="812">
        <f>IF(AND(B348&gt;=FV348,B348&lt;=FW348),ED348+Sheet1!EH346,0)</f>
        <v>0</v>
      </c>
      <c r="V348" s="812"/>
      <c r="W348" s="812">
        <f t="shared" si="792"/>
        <v>54.193296266878477</v>
      </c>
      <c r="X348" s="812">
        <f t="shared" si="793"/>
        <v>53</v>
      </c>
      <c r="Y348" s="812" t="str">
        <f t="shared" si="794"/>
        <v/>
      </c>
      <c r="Z348" s="812">
        <f t="shared" si="795"/>
        <v>53</v>
      </c>
      <c r="AA348" s="812">
        <f t="shared" si="796"/>
        <v>53</v>
      </c>
      <c r="AB348" s="1059">
        <f t="shared" si="821"/>
        <v>0</v>
      </c>
      <c r="AC348" s="538">
        <f>Sheet1!Y346*MGDtoCFS</f>
        <v>43.470700000000001</v>
      </c>
      <c r="AD348" s="538">
        <f>Sheet1!Z346*MGDtoCFS</f>
        <v>38.922519999999999</v>
      </c>
      <c r="AE348" s="538">
        <f>Sheet1!AA346*MGDtoCFS</f>
        <v>43.161299999999997</v>
      </c>
      <c r="AF348" s="538">
        <f>Sheet1!AB346*MGDtoCFS</f>
        <v>38.829700000000003</v>
      </c>
      <c r="AG348" s="538">
        <f>Sheet1!L346*MGDtoCFS</f>
        <v>0</v>
      </c>
      <c r="AH348" s="521">
        <f t="shared" si="699"/>
        <v>0</v>
      </c>
      <c r="AI348" s="1059">
        <f t="shared" si="700"/>
        <v>0</v>
      </c>
      <c r="AJ348" s="535">
        <f t="shared" si="701"/>
        <v>0</v>
      </c>
      <c r="AK348" s="535">
        <f t="shared" si="702"/>
        <v>0</v>
      </c>
      <c r="AL348" s="535">
        <f>(VLOOKUP(Sheet1!DC346,hhdcap_wcm,4)-(((VLOOKUP(Sheet1!DC346,hhdcap_wcm,3)-Sheet1!DC346)/(VLOOKUP(Sheet1!DC346,hhdcap_wcm,3)-VLOOKUP(Sheet1!DC346,hhdcap_wcm,1)))*(VLOOKUP(Sheet1!DC346,hhdcap_wcm,4)-VLOOKUP(Sheet1!DC346,hhdcap_wcm,2))))</f>
        <v>1109.400000003222</v>
      </c>
      <c r="AM348" s="535">
        <f t="shared" si="703"/>
        <v>-210.00000000043883</v>
      </c>
      <c r="AN348" s="1035">
        <f t="shared" si="704"/>
        <v>0</v>
      </c>
      <c r="AO348" s="535">
        <f t="shared" si="705"/>
        <v>0</v>
      </c>
      <c r="AP348" s="535">
        <f>Sheet1!BA346+Sheet1!BB346+Sheet1!BN346+CD348</f>
        <v>14.7</v>
      </c>
      <c r="AQ348" s="535">
        <f>Sheet1!BN346+(DO348*Sheet1!BN346)</f>
        <v>14.653296266878476</v>
      </c>
      <c r="AR348" s="535">
        <f>Sheet1!BA346+CD348</f>
        <v>0</v>
      </c>
      <c r="AS348" s="535">
        <f>Sheet1!BA346+Sheet1!BB346+CD348</f>
        <v>0</v>
      </c>
      <c r="AT348" s="649">
        <f>0</f>
        <v>0</v>
      </c>
      <c r="AU348" s="974">
        <f>BA348+MAX(Sheet1!EH346,(O348-Q348-ED348-S348))</f>
        <v>0</v>
      </c>
      <c r="AV348" s="535">
        <f>IF(OR(B348&gt;=GD348,B348&lt;GC348),0,15/36*K348-MAX(0,64.6-(137.6-(Sheet1!AA346+Sheet1!AB346))))</f>
        <v>0</v>
      </c>
      <c r="AW348" s="1029"/>
      <c r="AX348" s="649"/>
      <c r="AY348" s="649">
        <f t="shared" si="822"/>
        <v>23.311716569431731</v>
      </c>
      <c r="AZ348" s="649">
        <f t="shared" si="823"/>
        <v>0</v>
      </c>
      <c r="BA348" s="1059">
        <f t="shared" si="824"/>
        <v>0</v>
      </c>
      <c r="BB348" s="1019">
        <f t="shared" si="706"/>
        <v>0</v>
      </c>
      <c r="BC348" s="1041">
        <f t="shared" si="825"/>
        <v>26.933333333333334</v>
      </c>
      <c r="BD348" s="1019">
        <f ca="1">IF(B348&gt;(Summary!$A$1-1),#N/A,BB348*MGtoAF)</f>
        <v>0</v>
      </c>
      <c r="BE348" s="535">
        <f>Sheet1!BG346+Sheet1!BH346+Sheet1!BI346-BM348</f>
        <v>1.01</v>
      </c>
      <c r="BF348" s="535">
        <f t="shared" si="707"/>
        <v>1.0067911040508342</v>
      </c>
      <c r="BG348" s="535">
        <f>IF(Sheet1!EP346="FM",BM348,0)</f>
        <v>0</v>
      </c>
      <c r="BH348" s="535">
        <f t="shared" si="708"/>
        <v>0</v>
      </c>
      <c r="BI348" s="535">
        <f>IF(Sheet1!EP346="OTHER",BM348,0)</f>
        <v>0</v>
      </c>
      <c r="BJ348" s="535">
        <f t="shared" si="709"/>
        <v>0</v>
      </c>
      <c r="BK348" s="535">
        <f t="shared" si="710"/>
        <v>1.01</v>
      </c>
      <c r="BL348" s="535">
        <f t="shared" si="711"/>
        <v>1.0067911040508342</v>
      </c>
      <c r="BM348" s="535">
        <f>IF(OR(Sheet1!EP346="FM", Sheet1!EP346="OTHER"),SUM(Sheet1!BG346:'Sheet1'!BI346),0)</f>
        <v>0</v>
      </c>
      <c r="BN348" s="521">
        <f>IF(AND($B348&gt;=$FV348,$B348&lt;=$FW348),MAX(BF348,Sheet1!EI346,0),MAX(BF348-(7/36)*$K348,0))</f>
        <v>0</v>
      </c>
      <c r="BO348" s="535">
        <f t="shared" si="712"/>
        <v>0</v>
      </c>
      <c r="BP348" s="521">
        <f t="shared" si="713"/>
        <v>1.0067911040508342</v>
      </c>
      <c r="BQ348" s="521">
        <f>IF(AND($O348&gt;0,Sheet1!EM346=1),(1-($O348-Sheet1!$L346)/$O348)*BL348,0)</f>
        <v>0</v>
      </c>
      <c r="BR348" s="521">
        <f>IF(AND(Sheet1!$L346=0,Sheet1!$L345=0, Calculation!BK348&lt;Sheet1!$EI346-0.1,Sheet1!$EI346=Sheet1!$EI345,Sheet1!$EI346=Sheet1!$EI347),BL348-BQ348,BL348-BQ348)</f>
        <v>1.0067911040508342</v>
      </c>
      <c r="BS348" s="1035" t="str">
        <f t="shared" si="826"/>
        <v/>
      </c>
      <c r="BT348" s="1035">
        <f t="shared" si="827"/>
        <v>12.568888888888889</v>
      </c>
      <c r="BU348" s="535">
        <f t="shared" si="714"/>
        <v>0</v>
      </c>
      <c r="BV348" s="535"/>
      <c r="BW348" s="535">
        <f ca="1">IF(B348&gt;(Summary!$A$1-1),#N/A,BU348*MGtoAF)</f>
        <v>0</v>
      </c>
      <c r="BX348" s="535">
        <f>Sheet1!BC346+Sheet1!BD346+Sheet1!BE346+Sheet1!BF346-CG348-CH348</f>
        <v>2.99</v>
      </c>
      <c r="BY348" s="535">
        <f t="shared" si="715"/>
        <v>2.9805003971405881</v>
      </c>
      <c r="BZ348" s="535">
        <f>IF(Sheet1!EQ346="FM",CH348,0)</f>
        <v>0</v>
      </c>
      <c r="CA348" s="535">
        <f t="shared" si="716"/>
        <v>0</v>
      </c>
      <c r="CB348" s="535">
        <f>IF(Sheet1!EQ346="OTHER",CH348,0)</f>
        <v>0</v>
      </c>
      <c r="CC348" s="535">
        <f t="shared" si="717"/>
        <v>0</v>
      </c>
      <c r="CD348" s="535">
        <f t="shared" si="718"/>
        <v>0</v>
      </c>
      <c r="CE348" s="535">
        <f t="shared" si="719"/>
        <v>2.99</v>
      </c>
      <c r="CF348" s="535">
        <f t="shared" si="720"/>
        <v>2.9805003971405881</v>
      </c>
      <c r="CG348" s="535">
        <f>IF(Sheet1!EQ346="CWA",SUM(Sheet1!BC346:'Sheet1'!BF346),0)</f>
        <v>0</v>
      </c>
      <c r="CH348" s="535">
        <f>IF(OR(Sheet1!EQ346="FM", Sheet1!EQ346="OTHER"),SUM(Sheet1!BC346:'Sheet1'!BF346),0)</f>
        <v>0</v>
      </c>
      <c r="CI348" s="521">
        <f>IF(AND($B348&gt;=$FV348,$B348&lt;=$FW348),MAX(CF348,Sheet1!EJ346,0),MAX(CF348-(7/36)*$K348,0))</f>
        <v>0</v>
      </c>
      <c r="CJ348" s="535">
        <f t="shared" si="721"/>
        <v>0</v>
      </c>
      <c r="CK348" s="521">
        <f t="shared" si="722"/>
        <v>2.9805003971405881</v>
      </c>
      <c r="CL348" s="521">
        <f>IF(AND($O348&gt;0,Sheet1!EN346=1),(1-($O348-Sheet1!$L346)/$O348)*CF348,0)</f>
        <v>0</v>
      </c>
      <c r="CM348" s="521">
        <f>IF(AND(Sheet1!$L346=0,Sheet1!$L345=0, Calculation!CE348&lt;Sheet1!EJ346-0.1,Sheet1!EJ346=Sheet1!EJ345,Sheet1!EJ346=Sheet1!EJ347),CF348-CL348,CF348-CL348)</f>
        <v>2.9805003971405881</v>
      </c>
      <c r="CN348" s="1040" t="str">
        <f t="shared" si="828"/>
        <v/>
      </c>
      <c r="CO348" s="1035">
        <f t="shared" si="829"/>
        <v>12.568888888888889</v>
      </c>
      <c r="CP348" s="535">
        <f t="shared" si="723"/>
        <v>0</v>
      </c>
      <c r="CQ348" s="535"/>
      <c r="CR348" s="535">
        <f ca="1">IF(B348&gt;(Summary!$A$1-1),#N/A,CP348*MGtoAF)</f>
        <v>0</v>
      </c>
      <c r="CS348" s="535">
        <f>Sheet1!BK346+Sheet1!BL346+Sheet1!BM346-Sheet1!ER346-DA348</f>
        <v>6.48</v>
      </c>
      <c r="CT348" s="535">
        <f t="shared" si="724"/>
        <v>6.4594122319301039</v>
      </c>
      <c r="CU348" s="535">
        <f>IF(Sheet1!ER346="FM",DA348,0)</f>
        <v>0</v>
      </c>
      <c r="CV348" s="535">
        <f t="shared" si="725"/>
        <v>0</v>
      </c>
      <c r="CW348" s="535">
        <f>IF(Sheet1!ER346="OTHER",DA348,0)</f>
        <v>0</v>
      </c>
      <c r="CX348" s="535">
        <f t="shared" si="726"/>
        <v>0</v>
      </c>
      <c r="CY348" s="535">
        <f t="shared" si="727"/>
        <v>6.48</v>
      </c>
      <c r="CZ348" s="535">
        <f t="shared" si="728"/>
        <v>6.4594122319301039</v>
      </c>
      <c r="DA348" s="535">
        <f>IF(OR(Sheet1!ER346="FM", Sheet1!ER346="OTHER"),SUM(Sheet1!BK346:'Sheet1'!BM346),0)</f>
        <v>0</v>
      </c>
      <c r="DB348" s="1011">
        <f>IF(AND($B348&gt;=$FV348,$B348&lt;=$FW348),MAX($CT348,Sheet1!EK346,0),MAX($CT348-(7/36)*$K348,0))</f>
        <v>0</v>
      </c>
      <c r="DC348" s="1012">
        <f t="shared" si="729"/>
        <v>0</v>
      </c>
      <c r="DD348" s="1011">
        <f t="shared" si="730"/>
        <v>6.4594122319301039</v>
      </c>
      <c r="DE348" s="521">
        <f>IF(AND($O348&gt;0,Sheet1!EO346=1),(1-($O348-Sheet1!$L346)/$O348)*CZ348,0)</f>
        <v>0</v>
      </c>
      <c r="DF348" s="521">
        <f>IF(AND(Sheet1!$L346=0,Sheet1!$L345=0, Calculation!CY348&lt;Sheet1!$EK346-0.1,Sheet1!$EK346=Sheet1!$EK345,Sheet1!$EK346=Sheet1!$EK347),CZ348-DE348,CZ348-DE348)</f>
        <v>6.4594122319301039</v>
      </c>
      <c r="DG348" s="1040">
        <f t="shared" si="830"/>
        <v>12.568888888888889</v>
      </c>
      <c r="DH348" s="649">
        <f t="shared" si="731"/>
        <v>10.48</v>
      </c>
      <c r="DI348" s="535">
        <f t="shared" si="732"/>
        <v>0</v>
      </c>
      <c r="DJ348" s="649">
        <f t="shared" si="733"/>
        <v>10.446703733121527</v>
      </c>
      <c r="DK348" s="535">
        <f ca="1">IF(B348&gt;(Summary!$A$1-1),#N/A,DI348*MGtoAF)</f>
        <v>0</v>
      </c>
      <c r="DL348" s="649">
        <f t="shared" si="734"/>
        <v>10.48</v>
      </c>
      <c r="DM348" s="535">
        <f t="shared" si="735"/>
        <v>25.18</v>
      </c>
      <c r="DN348" s="535">
        <f>Sheet1!AB346-DM348</f>
        <v>-7.9999999999998295E-2</v>
      </c>
      <c r="DO348" s="743">
        <f t="shared" si="736"/>
        <v>-3.1771247021444913E-3</v>
      </c>
      <c r="DP348" s="535">
        <f>(VLOOKUP(Sheet1!DC346,hhdcap_wcm,4)-(((VLOOKUP(Sheet1!DC346,hhdcap_wcm,3)-Sheet1!DC346)/(VLOOKUP(Sheet1!DC346,hhdcap_wcm,3)-VLOOKUP(Sheet1!DC346,hhdcap_wcm,1)))*(VLOOKUP(Sheet1!DC346,hhdcap_wcm,4)-VLOOKUP(Sheet1!DC346,hhdcap_wcm,2))))</f>
        <v>1109.400000003222</v>
      </c>
      <c r="DQ348" s="535">
        <f t="shared" si="737"/>
        <v>-210.00000000043883</v>
      </c>
      <c r="DR348" s="535">
        <f t="shared" si="738"/>
        <v>-105.9001512861517</v>
      </c>
      <c r="DS348" s="535">
        <f>Sheet1!EA346*AFtoMG</f>
        <v>0</v>
      </c>
      <c r="DT348" s="535">
        <f>Sheet1!EB346*AFtoMG</f>
        <v>0</v>
      </c>
      <c r="DU348" s="535">
        <f>Sheet1!EC346*AFtoMG</f>
        <v>0</v>
      </c>
      <c r="DV348" s="535">
        <f>Sheet1!ED346*AFtoMG</f>
        <v>0</v>
      </c>
      <c r="DW348" s="535">
        <f t="shared" si="739"/>
        <v>0</v>
      </c>
      <c r="DX348" s="535">
        <f t="shared" si="740"/>
        <v>0</v>
      </c>
      <c r="DY348" s="535">
        <f t="shared" si="741"/>
        <v>0</v>
      </c>
      <c r="DZ348" s="535">
        <f t="shared" si="742"/>
        <v>0</v>
      </c>
      <c r="EA348" s="535"/>
      <c r="EB348" s="521">
        <f>IF(OR(B348&lt;FV348,B348&gt;FW348),(MIN(BF348+BY348+CT348+MAX(Sheet1!AA346+AQ348-73,0),K348)),0)</f>
        <v>10.446703733121527</v>
      </c>
      <c r="EC348" s="535"/>
      <c r="ED348" s="535">
        <f t="shared" si="743"/>
        <v>10.446703733121527</v>
      </c>
      <c r="EE348" s="535"/>
      <c r="EF348" s="535">
        <f>Sheet1!EH346+Sheet1!EI346+Sheet1!EJ346+Sheet1!EK346</f>
        <v>10.5</v>
      </c>
      <c r="EG348" s="1019">
        <f t="shared" si="831"/>
        <v>16.243500000000001</v>
      </c>
      <c r="EH348" s="521">
        <f t="shared" si="744"/>
        <v>0</v>
      </c>
      <c r="EI348" s="535">
        <f>IF(Sheet1!ET346=1,SUM('Calculations II'!AT348:BA348)+'Calculations II'!BC348+Sheet1!BV346+'Calculations II'!BE348+AP348,'Calculations II'!BK348)</f>
        <v>46.996680266878471</v>
      </c>
      <c r="EJ348" s="535">
        <f ca="1">EI348+'Calculations II'!D348+'Calculations II'!E348+'Calculations II'!O348</f>
        <v>41.424651475029606</v>
      </c>
      <c r="EK348" s="535"/>
      <c r="EL348" s="535"/>
      <c r="EM348" s="535">
        <f t="shared" si="745"/>
        <v>43072</v>
      </c>
      <c r="EN348" s="535">
        <f t="shared" si="746"/>
        <v>0</v>
      </c>
      <c r="EO348" s="535">
        <f t="shared" si="747"/>
        <v>0</v>
      </c>
      <c r="EP348" s="535">
        <v>0</v>
      </c>
      <c r="EQ348" s="535">
        <v>0</v>
      </c>
      <c r="ER348" s="535">
        <v>0</v>
      </c>
      <c r="ES348" s="521">
        <f t="shared" si="797"/>
        <v>4.988682306073688</v>
      </c>
      <c r="ET348" s="535">
        <f>-(VLOOKUP(Sheet1!BQ346,Lookup!$O$4:$Q$262,2)-VLOOKUP(Sheet1!BQ345,Lookup!$O$4:$Q$262,2))/1000000</f>
        <v>2.4938219160766675</v>
      </c>
      <c r="EU348" s="535">
        <f>-(VLOOKUP(Sheet1!BR346,Lookup!$O$4:$Q$262,3)-VLOOKUP(Sheet1!BR345,Lookup!$O$4:$Q$262,3))/1000000</f>
        <v>2.4948603899970205</v>
      </c>
      <c r="EV348" s="535"/>
      <c r="EW348" s="535"/>
      <c r="EX348" s="535"/>
      <c r="EY348" s="535"/>
      <c r="EZ348" s="535"/>
      <c r="FA348" s="535"/>
      <c r="FB348" s="535"/>
      <c r="FC348" s="535"/>
      <c r="FD348" s="567">
        <f t="shared" si="786"/>
        <v>1049</v>
      </c>
      <c r="FE348" s="567" t="e">
        <f t="shared" si="748"/>
        <v>#N/A</v>
      </c>
      <c r="FF348" s="568" t="e">
        <f t="shared" si="749"/>
        <v>#N/A</v>
      </c>
      <c r="FG348" s="569" t="s">
        <v>656</v>
      </c>
      <c r="FH348" s="569" t="s">
        <v>656</v>
      </c>
      <c r="FI348" s="567" t="e">
        <v>#N/A</v>
      </c>
      <c r="FJ348" s="567" t="e">
        <v>#N/A</v>
      </c>
      <c r="FK348" s="535"/>
      <c r="FL348" s="1015" t="e">
        <f t="shared" si="785"/>
        <v>#N/A</v>
      </c>
      <c r="FM348" s="535"/>
      <c r="FN348" s="535"/>
      <c r="FO348" s="535">
        <f>O348+((Sheet1!CS346)*GPMtoMGD)</f>
        <v>53</v>
      </c>
      <c r="FP348" s="535">
        <f>IF(Sheet1!AA346+AQ348&lt;=Calculation!N348,AQ348,Calculation!N348-Sheet1!AA346)</f>
        <v>14.653296266878476</v>
      </c>
      <c r="FQ348" s="535">
        <f>(Sheet1!BP346+Sheet1!BO346)/694.4</f>
        <v>1.9235311059907831</v>
      </c>
      <c r="FR348" s="541"/>
      <c r="FS348" s="541"/>
      <c r="FT348" s="541"/>
      <c r="FU348" s="541"/>
      <c r="FV348" s="1109">
        <f t="shared" si="798"/>
        <v>42918</v>
      </c>
      <c r="FW348" s="1109">
        <f t="shared" si="799"/>
        <v>43027</v>
      </c>
      <c r="FX348" s="541"/>
      <c r="FY348" s="541">
        <f>Sheet1!DA346-Sheet1!CZ346-Sheet1!AE346</f>
        <v>878.00900000000001</v>
      </c>
      <c r="FZ348" s="535">
        <f t="shared" si="832"/>
        <v>0.63897030541253075</v>
      </c>
      <c r="GA348" s="535"/>
      <c r="GB348" s="535" t="str">
        <f t="shared" si="800"/>
        <v>n</v>
      </c>
      <c r="GC348" s="539">
        <f t="shared" si="801"/>
        <v>42782</v>
      </c>
      <c r="GD348" s="1109">
        <f t="shared" si="802"/>
        <v>42904</v>
      </c>
      <c r="GE348" s="535">
        <f t="shared" si="818"/>
        <v>6520</v>
      </c>
      <c r="GF348" s="1109">
        <f t="shared" si="803"/>
        <v>42909</v>
      </c>
      <c r="GG348" s="535">
        <f t="shared" si="845"/>
        <v>3260</v>
      </c>
      <c r="GH348" s="539">
        <f t="shared" si="804"/>
        <v>43040</v>
      </c>
      <c r="GJ348" s="521">
        <f t="shared" si="805"/>
        <v>0</v>
      </c>
      <c r="GK348" s="535" t="str">
        <f t="shared" si="750"/>
        <v/>
      </c>
      <c r="GL348" s="535">
        <f t="shared" si="806"/>
        <v>0</v>
      </c>
      <c r="GM348" s="535" t="str">
        <f t="shared" si="807"/>
        <v/>
      </c>
      <c r="GN348" s="535">
        <f>IF(GK348="P",Lookup!$M$12,IF(GK348="PP",Lookup!$M$13,IF(GK348="PPP",Lookup!$M$14,IF(GK348="T",Lookup!$M$15,IF(GK348="TP",Lookup!$M$16,IF(GK348="TPP",Lookup!$M$17,IF(GK348="TPPP",Lookup!$M$18,0)))))))*GJ348</f>
        <v>0</v>
      </c>
      <c r="GO348" s="535">
        <f t="shared" si="808"/>
        <v>0</v>
      </c>
      <c r="GP348" s="535">
        <f t="shared" si="751"/>
        <v>0</v>
      </c>
      <c r="GQ348" s="974">
        <f t="shared" si="695"/>
        <v>0</v>
      </c>
      <c r="GR348" s="535"/>
      <c r="GS348" s="535">
        <f t="shared" si="809"/>
        <v>0</v>
      </c>
      <c r="GT348" s="535" t="str">
        <f t="shared" si="810"/>
        <v/>
      </c>
      <c r="GU348" s="535">
        <f>IF(GK348="P",Lookup!$N$12,IF(GK348="PP",Lookup!$N$13,IF(GK348="PPP",Lookup!$N$14,IF(GK348="T",Lookup!$N$15,IF(GK348="TP",Lookup!$N$16,IF(GK348="TPP",Lookup!$N$17,IF(GK348="TPPP",Lookup!$N$18,0)))))))*GJ348</f>
        <v>0</v>
      </c>
      <c r="GV348" s="535">
        <f t="shared" si="811"/>
        <v>0</v>
      </c>
      <c r="GW348" s="535">
        <f t="shared" si="752"/>
        <v>0</v>
      </c>
      <c r="GX348" s="974">
        <f t="shared" si="696"/>
        <v>0</v>
      </c>
      <c r="GY348" s="535"/>
      <c r="GZ348" s="535">
        <f t="shared" si="812"/>
        <v>0</v>
      </c>
      <c r="HA348" s="535" t="str">
        <f t="shared" si="813"/>
        <v/>
      </c>
      <c r="HB348" s="535">
        <f>IF(GK348="P",Lookup!$N$12,IF(GK348="PP",Lookup!$N$13,IF(GK348="PPP",Lookup!$N$14,IF(GK348="T",Lookup!$N$15,IF(GK348="TP",Lookup!$N$16,IF(GK348="TPP",Lookup!$N$17,IF(GK348="TPPP",Lookup!$N$18,0)))))))*GJ348</f>
        <v>0</v>
      </c>
      <c r="HC348" s="521">
        <f t="shared" si="753"/>
        <v>0</v>
      </c>
      <c r="HD348" s="535">
        <f t="shared" si="754"/>
        <v>0</v>
      </c>
      <c r="HE348" s="535">
        <f t="shared" si="816"/>
        <v>0</v>
      </c>
      <c r="HF348" s="535"/>
      <c r="HG348" s="535">
        <f t="shared" si="814"/>
        <v>0</v>
      </c>
      <c r="HH348" s="535" t="str">
        <f t="shared" si="815"/>
        <v/>
      </c>
      <c r="HI348" s="535">
        <f>IF(GK348="P",Lookup!$N$12,IF(GK348="PP",Lookup!$N$13,IF(GK348="PPP",Lookup!$N$14,IF(GK348="T",Lookup!$N$15,IF(GK348="TP",Lookup!$N$16,IF(GK348="TPP",Lookup!$N$17,IF(GK348="TPPP",Lookup!$N$18,0)))))))*GJ348</f>
        <v>0</v>
      </c>
      <c r="HJ348" s="521">
        <f t="shared" si="755"/>
        <v>0</v>
      </c>
      <c r="HK348" s="535">
        <f t="shared" si="756"/>
        <v>0</v>
      </c>
      <c r="HL348" s="535">
        <f t="shared" si="817"/>
        <v>0</v>
      </c>
      <c r="HM348" s="535"/>
      <c r="HN348" s="541"/>
      <c r="HO348" s="541"/>
      <c r="HP348" s="541"/>
      <c r="HQ348" s="541">
        <f>IF(AND(B348&gt;=$FV$4,B348&lt;=$FW$4),MAX(110/1.02+$HQ$6+MIN(113/1.02,G348),IF($HV$6-(Sheet1!DA346-Sheet1!DB346)+MIN(113/1.02,G348)&lt;G348+FL348,$HV$6-(Sheet1!DA346-Sheet1!DB346)+MIN(113/1.02,G348),G348+FL348)),MIN(110/1.02+$HQ$6+113/1.02,G348))</f>
        <v>218.62745098039215</v>
      </c>
      <c r="HR348" s="541">
        <f t="shared" si="833"/>
        <v>223</v>
      </c>
      <c r="HS348" s="541">
        <f>HR348+(Sheet1!DA346-Sheet1!DB346)</f>
        <v>1023</v>
      </c>
      <c r="HT348" s="541">
        <f t="shared" si="834"/>
        <v>0</v>
      </c>
      <c r="HU348" s="541">
        <f t="shared" si="835"/>
        <v>1023</v>
      </c>
      <c r="HV348" s="541">
        <f t="shared" si="836"/>
        <v>0</v>
      </c>
      <c r="HW348" s="533" t="str">
        <f t="shared" si="837"/>
        <v/>
      </c>
      <c r="HX348" s="541">
        <f t="shared" si="838"/>
        <v>1261.372549019608</v>
      </c>
      <c r="HY348" s="541">
        <f>Sheet1!CZ346</f>
        <v>1480</v>
      </c>
      <c r="HZ348" s="541">
        <f t="shared" si="839"/>
        <v>0</v>
      </c>
      <c r="IA348" s="541">
        <f t="shared" si="840"/>
        <v>0</v>
      </c>
      <c r="IB348" s="541">
        <f t="shared" si="841"/>
        <v>1480</v>
      </c>
      <c r="IC348" s="1019" t="str">
        <f t="shared" si="842"/>
        <v/>
      </c>
      <c r="ID348" s="541">
        <f t="shared" si="843"/>
        <v>1480</v>
      </c>
      <c r="IE348" s="541">
        <f>Sheet1!DB346</f>
        <v>1640</v>
      </c>
      <c r="IF348" s="533">
        <f>Sheet1!DA346</f>
        <v>2440</v>
      </c>
      <c r="IH348" s="541">
        <f>IF(AND($B348&gt;=$GC348,$B348&lt;=$GH348,$DR348&lt;0)+N("only adjusted when pool is drawn down during storage season"),Sheet1!$DB346+$DR348+N("Palmer minus all storage release"),Sheet1!$DB346)</f>
        <v>1640</v>
      </c>
      <c r="II348" s="541">
        <f>IF(AND($B348&gt;=$GC348,$B348&lt;=$GH348,$DR348&lt;0)+N("only adjusted when pool is drawn down during storage season"),Sheet1!$DA346+$DR348+N("Auburn minus all storage release"),Sheet1!$DA346)</f>
        <v>2440</v>
      </c>
    </row>
    <row r="349" spans="1:243" x14ac:dyDescent="0.25">
      <c r="A349" s="553" t="s">
        <v>4</v>
      </c>
      <c r="B349" s="531">
        <v>43073</v>
      </c>
      <c r="C349" s="536">
        <v>0</v>
      </c>
      <c r="D349" s="506">
        <f t="shared" si="787"/>
        <v>300</v>
      </c>
      <c r="E349" s="506">
        <f t="shared" si="788"/>
        <v>250</v>
      </c>
      <c r="F349" s="506">
        <v>250</v>
      </c>
      <c r="G349" s="535">
        <f>DR349+Sheet1!CZ347</f>
        <v>1103.6863338372311</v>
      </c>
      <c r="H349" s="1074">
        <f t="shared" si="844"/>
        <v>772.20294975999991</v>
      </c>
      <c r="I349" s="534">
        <f>IF(Sheet1!DA347&gt;=E349,(Sheet1!DA347-E349+P349)*CFStoMGD,0)</f>
        <v>1282.8589497599999</v>
      </c>
      <c r="J349" s="995">
        <f>IF(Sheet1!DB347&gt;=D349,(Sheet1!DB347-D349+P349)*CFStoMGD,0)</f>
        <v>772.20294975999991</v>
      </c>
      <c r="K349" s="818">
        <f t="shared" si="819"/>
        <v>64.64</v>
      </c>
      <c r="L349" s="535">
        <f>Sheet1!AA347+Sheet1!AB347-Sheet1!L347+(Sheet1!DA347-F349)*CFStoMGD-S349-T349-U349</f>
        <v>1216.6699999999983</v>
      </c>
      <c r="M349" s="535">
        <f t="shared" si="697"/>
        <v>727.69130311623394</v>
      </c>
      <c r="N349" s="824">
        <f>IF(Sheet1!DA347&gt;=F349,MIN(113*CFStoMGD,MIN(MAX(L349,0),MAX(M349,0))),0)</f>
        <v>73.043199999999999</v>
      </c>
      <c r="O349" s="538">
        <f>Sheet1!AA347+Sheet1!AB347</f>
        <v>54.7</v>
      </c>
      <c r="P349" s="538">
        <f t="shared" si="698"/>
        <v>84.620899999999992</v>
      </c>
      <c r="Q349" s="812">
        <f t="shared" si="820"/>
        <v>0</v>
      </c>
      <c r="R349" s="812">
        <f t="shared" si="789"/>
        <v>10.243895241608262</v>
      </c>
      <c r="S349" s="812">
        <f t="shared" si="790"/>
        <v>54.7</v>
      </c>
      <c r="T349" s="812">
        <f t="shared" si="791"/>
        <v>0</v>
      </c>
      <c r="U349" s="812">
        <f>IF(AND(B349&gt;=FV349,B349&lt;=FW349),ED349+Sheet1!EH347,0)</f>
        <v>0</v>
      </c>
      <c r="V349" s="812"/>
      <c r="W349" s="812">
        <f t="shared" si="792"/>
        <v>54.396104758391736</v>
      </c>
      <c r="X349" s="812">
        <f t="shared" si="793"/>
        <v>54.7</v>
      </c>
      <c r="Y349" s="812" t="str">
        <f t="shared" si="794"/>
        <v/>
      </c>
      <c r="Z349" s="812">
        <f t="shared" si="795"/>
        <v>54.7</v>
      </c>
      <c r="AA349" s="812">
        <f t="shared" si="796"/>
        <v>54.7</v>
      </c>
      <c r="AB349" s="1059">
        <f t="shared" si="821"/>
        <v>0</v>
      </c>
      <c r="AC349" s="538">
        <f>Sheet1!Y347*MGDtoCFS</f>
        <v>43.161299999999997</v>
      </c>
      <c r="AD349" s="538">
        <f>Sheet1!Z347*MGDtoCFS</f>
        <v>38.736879999999999</v>
      </c>
      <c r="AE349" s="538">
        <f>Sheet1!AA347*MGDtoCFS</f>
        <v>42.542499999999997</v>
      </c>
      <c r="AF349" s="538">
        <f>Sheet1!AB347*MGDtoCFS</f>
        <v>42.078399999999995</v>
      </c>
      <c r="AG349" s="538">
        <f>Sheet1!L347*MGDtoCFS</f>
        <v>17.775030000002477</v>
      </c>
      <c r="AH349" s="521">
        <f t="shared" si="699"/>
        <v>0</v>
      </c>
      <c r="AI349" s="1059">
        <f t="shared" si="700"/>
        <v>0</v>
      </c>
      <c r="AJ349" s="535">
        <f t="shared" si="701"/>
        <v>0</v>
      </c>
      <c r="AK349" s="535">
        <f t="shared" si="702"/>
        <v>0</v>
      </c>
      <c r="AL349" s="535">
        <f>(VLOOKUP(Sheet1!DC347,hhdcap_wcm,4)-(((VLOOKUP(Sheet1!DC347,hhdcap_wcm,3)-Sheet1!DC347)/(VLOOKUP(Sheet1!DC347,hhdcap_wcm,3)-VLOOKUP(Sheet1!DC347,hhdcap_wcm,1)))*(VLOOKUP(Sheet1!DC347,hhdcap_wcm,4)-VLOOKUP(Sheet1!DC347,hhdcap_wcm,2))))</f>
        <v>779.60000000245111</v>
      </c>
      <c r="AM349" s="535">
        <f t="shared" si="703"/>
        <v>-329.80000000077086</v>
      </c>
      <c r="AN349" s="1035">
        <f t="shared" si="704"/>
        <v>0</v>
      </c>
      <c r="AO349" s="535">
        <f t="shared" si="705"/>
        <v>0</v>
      </c>
      <c r="AP349" s="535">
        <f>Sheet1!BA347+Sheet1!BB347+Sheet1!BN347+CD349</f>
        <v>16.899999999999999</v>
      </c>
      <c r="AQ349" s="535">
        <f>Sheet1!BN347+(DO349*Sheet1!BN347)</f>
        <v>16.956104758391735</v>
      </c>
      <c r="AR349" s="535">
        <f>Sheet1!BA347+CD349</f>
        <v>0</v>
      </c>
      <c r="AS349" s="535">
        <f>Sheet1!BA347+Sheet1!BB347+CD349</f>
        <v>0</v>
      </c>
      <c r="AT349" s="649">
        <f>0</f>
        <v>0</v>
      </c>
      <c r="AU349" s="974">
        <f>BA349+MAX(Sheet1!EH347,(O349-Q349-ED349-S349))</f>
        <v>0</v>
      </c>
      <c r="AV349" s="535">
        <f>IF(OR(B349&gt;=GD349,B349&lt;GC349),0,15/36*K349-MAX(0,64.6-(137.6-(Sheet1!AA347+Sheet1!AB347))))</f>
        <v>0</v>
      </c>
      <c r="AW349" s="1029"/>
      <c r="AX349" s="649"/>
      <c r="AY349" s="649">
        <f t="shared" si="822"/>
        <v>23.311716569431731</v>
      </c>
      <c r="AZ349" s="649">
        <f t="shared" si="823"/>
        <v>0</v>
      </c>
      <c r="BA349" s="1059">
        <f t="shared" si="824"/>
        <v>0</v>
      </c>
      <c r="BB349" s="1019">
        <f t="shared" si="706"/>
        <v>0</v>
      </c>
      <c r="BC349" s="1041">
        <f t="shared" si="825"/>
        <v>26.933333333333334</v>
      </c>
      <c r="BD349" s="1019">
        <f ca="1">IF(B349&gt;(Summary!$A$1-1),#N/A,BB349*MGtoAF)</f>
        <v>0</v>
      </c>
      <c r="BE349" s="535">
        <f>Sheet1!BG347+Sheet1!BH347+Sheet1!BI347-BM349</f>
        <v>1</v>
      </c>
      <c r="BF349" s="535">
        <f t="shared" si="707"/>
        <v>1.0033198081888601</v>
      </c>
      <c r="BG349" s="535">
        <f>IF(Sheet1!EP347="FM",BM349,0)</f>
        <v>0</v>
      </c>
      <c r="BH349" s="535">
        <f t="shared" si="708"/>
        <v>0</v>
      </c>
      <c r="BI349" s="535">
        <f>IF(Sheet1!EP347="OTHER",BM349,0)</f>
        <v>0</v>
      </c>
      <c r="BJ349" s="535">
        <f t="shared" si="709"/>
        <v>0</v>
      </c>
      <c r="BK349" s="535">
        <f t="shared" si="710"/>
        <v>1</v>
      </c>
      <c r="BL349" s="535">
        <f t="shared" si="711"/>
        <v>1.0033198081888601</v>
      </c>
      <c r="BM349" s="535">
        <f>IF(OR(Sheet1!EP347="FM", Sheet1!EP347="OTHER"),SUM(Sheet1!BG347:'Sheet1'!BI347),0)</f>
        <v>0</v>
      </c>
      <c r="BN349" s="521">
        <f>IF(AND($B349&gt;=$FV349,$B349&lt;=$FW349),MAX(BF349,Sheet1!EI347,0),MAX(BF349-(7/36)*$K349,0))</f>
        <v>0</v>
      </c>
      <c r="BO349" s="535">
        <f t="shared" si="712"/>
        <v>0</v>
      </c>
      <c r="BP349" s="521">
        <f t="shared" si="713"/>
        <v>1.0033198081888601</v>
      </c>
      <c r="BQ349" s="521">
        <f>IF(AND($O349&gt;0,Sheet1!EM347=1),(1-($O349-Sheet1!$L347)/$O349)*BL349,0)</f>
        <v>0</v>
      </c>
      <c r="BR349" s="521">
        <f>IF(AND(Sheet1!$L347=0,Sheet1!$L346=0, Calculation!BK349&lt;Sheet1!$EI347-0.1,Sheet1!$EI347=Sheet1!$EI346,Sheet1!$EI347=Sheet1!$EI348),BL349-BQ349,BL349-BQ349)</f>
        <v>1.0033198081888601</v>
      </c>
      <c r="BS349" s="1035" t="str">
        <f t="shared" si="826"/>
        <v/>
      </c>
      <c r="BT349" s="1035">
        <f t="shared" si="827"/>
        <v>12.568888888888889</v>
      </c>
      <c r="BU349" s="535">
        <f t="shared" si="714"/>
        <v>0</v>
      </c>
      <c r="BV349" s="535"/>
      <c r="BW349" s="535">
        <f ca="1">IF(B349&gt;(Summary!$A$1-1),#N/A,BU349*MGtoAF)</f>
        <v>0</v>
      </c>
      <c r="BX349" s="535">
        <f>Sheet1!BC347+Sheet1!BD347+Sheet1!BE347+Sheet1!BF347-CG349-CH349</f>
        <v>2.79</v>
      </c>
      <c r="BY349" s="535">
        <f t="shared" si="715"/>
        <v>2.7992622648469201</v>
      </c>
      <c r="BZ349" s="535">
        <f>IF(Sheet1!EQ347="FM",CH349,0)</f>
        <v>0</v>
      </c>
      <c r="CA349" s="535">
        <f t="shared" si="716"/>
        <v>0</v>
      </c>
      <c r="CB349" s="535">
        <f>IF(Sheet1!EQ347="OTHER",CH349,0)</f>
        <v>0</v>
      </c>
      <c r="CC349" s="535">
        <f t="shared" si="717"/>
        <v>0</v>
      </c>
      <c r="CD349" s="535">
        <f t="shared" si="718"/>
        <v>0</v>
      </c>
      <c r="CE349" s="535">
        <f t="shared" si="719"/>
        <v>2.79</v>
      </c>
      <c r="CF349" s="535">
        <f t="shared" si="720"/>
        <v>2.7992622648469201</v>
      </c>
      <c r="CG349" s="535">
        <f>IF(Sheet1!EQ347="CWA",SUM(Sheet1!BC347:'Sheet1'!BF347),0)</f>
        <v>0</v>
      </c>
      <c r="CH349" s="535">
        <f>IF(OR(Sheet1!EQ347="FM", Sheet1!EQ347="OTHER"),SUM(Sheet1!BC347:'Sheet1'!BF347),0)</f>
        <v>0</v>
      </c>
      <c r="CI349" s="521">
        <f>IF(AND($B349&gt;=$FV349,$B349&lt;=$FW349),MAX(CF349,Sheet1!EJ347,0),MAX(CF349-(7/36)*$K349,0))</f>
        <v>0</v>
      </c>
      <c r="CJ349" s="535">
        <f t="shared" si="721"/>
        <v>0</v>
      </c>
      <c r="CK349" s="521">
        <f t="shared" si="722"/>
        <v>2.7992622648469201</v>
      </c>
      <c r="CL349" s="521">
        <f>IF(AND($O349&gt;0,Sheet1!EN347=1),(1-($O349-Sheet1!$L347)/$O349)*CF349,0)</f>
        <v>0</v>
      </c>
      <c r="CM349" s="521">
        <f>IF(AND(Sheet1!$L347=0,Sheet1!$L346=0, Calculation!CE349&lt;Sheet1!EJ347-0.1,Sheet1!EJ347=Sheet1!EJ346,Sheet1!EJ347=Sheet1!EJ348),CF349-CL349,CF349-CL349)</f>
        <v>2.7992622648469201</v>
      </c>
      <c r="CN349" s="1040" t="str">
        <f t="shared" si="828"/>
        <v/>
      </c>
      <c r="CO349" s="1035">
        <f t="shared" si="829"/>
        <v>12.568888888888889</v>
      </c>
      <c r="CP349" s="535">
        <f t="shared" si="723"/>
        <v>0</v>
      </c>
      <c r="CQ349" s="535"/>
      <c r="CR349" s="535">
        <f ca="1">IF(B349&gt;(Summary!$A$1-1),#N/A,CP349*MGtoAF)</f>
        <v>0</v>
      </c>
      <c r="CS349" s="535">
        <f>Sheet1!BK347+Sheet1!BL347+Sheet1!BM347-Sheet1!ER347-DA349</f>
        <v>6.42</v>
      </c>
      <c r="CT349" s="535">
        <f t="shared" si="724"/>
        <v>6.4413131685724823</v>
      </c>
      <c r="CU349" s="535">
        <f>IF(Sheet1!ER347="FM",DA349,0)</f>
        <v>0</v>
      </c>
      <c r="CV349" s="535">
        <f t="shared" si="725"/>
        <v>0</v>
      </c>
      <c r="CW349" s="535">
        <f>IF(Sheet1!ER347="OTHER",DA349,0)</f>
        <v>0</v>
      </c>
      <c r="CX349" s="535">
        <f t="shared" si="726"/>
        <v>0</v>
      </c>
      <c r="CY349" s="535">
        <f t="shared" si="727"/>
        <v>6.42</v>
      </c>
      <c r="CZ349" s="535">
        <f t="shared" si="728"/>
        <v>6.4413131685724823</v>
      </c>
      <c r="DA349" s="535">
        <f>IF(OR(Sheet1!ER347="FM", Sheet1!ER347="OTHER"),SUM(Sheet1!BK347:'Sheet1'!BM347),0)</f>
        <v>0</v>
      </c>
      <c r="DB349" s="1011">
        <f>IF(AND($B349&gt;=$FV349,$B349&lt;=$FW349),MAX($CT349,Sheet1!EK347,0),MAX($CT349-(7/36)*$K349,0))</f>
        <v>0</v>
      </c>
      <c r="DC349" s="1012">
        <f t="shared" si="729"/>
        <v>0</v>
      </c>
      <c r="DD349" s="1011">
        <f t="shared" si="730"/>
        <v>6.4413131685724823</v>
      </c>
      <c r="DE349" s="521">
        <f>IF(AND($O349&gt;0,Sheet1!EO347=1),(1-($O349-Sheet1!$L347)/$O349)*CZ349,0)</f>
        <v>0</v>
      </c>
      <c r="DF349" s="521">
        <f>IF(AND(Sheet1!$L347=0,Sheet1!$L346=0, Calculation!CY349&lt;Sheet1!$EK347-0.1,Sheet1!$EK347=Sheet1!$EK346,Sheet1!$EK347=Sheet1!$EK348),CZ349-DE349,CZ349-DE349)</f>
        <v>6.4413131685724823</v>
      </c>
      <c r="DG349" s="1040">
        <f t="shared" si="830"/>
        <v>12.568888888888889</v>
      </c>
      <c r="DH349" s="649">
        <f t="shared" si="731"/>
        <v>10.210000000000001</v>
      </c>
      <c r="DI349" s="535">
        <f t="shared" si="732"/>
        <v>0</v>
      </c>
      <c r="DJ349" s="649">
        <f t="shared" si="733"/>
        <v>10.243895241608262</v>
      </c>
      <c r="DK349" s="535">
        <f ca="1">IF(B349&gt;(Summary!$A$1-1),#N/A,DI349*MGtoAF)</f>
        <v>0</v>
      </c>
      <c r="DL349" s="649">
        <f t="shared" si="734"/>
        <v>10.210000000000001</v>
      </c>
      <c r="DM349" s="535">
        <f t="shared" si="735"/>
        <v>27.11</v>
      </c>
      <c r="DN349" s="535">
        <f>Sheet1!AB347-DM349</f>
        <v>8.9999999999999858E-2</v>
      </c>
      <c r="DO349" s="743">
        <f t="shared" si="736"/>
        <v>3.319808188860194E-3</v>
      </c>
      <c r="DP349" s="535">
        <f>(VLOOKUP(Sheet1!DC347,hhdcap_wcm,4)-(((VLOOKUP(Sheet1!DC347,hhdcap_wcm,3)-Sheet1!DC347)/(VLOOKUP(Sheet1!DC347,hhdcap_wcm,3)-VLOOKUP(Sheet1!DC347,hhdcap_wcm,1)))*(VLOOKUP(Sheet1!DC347,hhdcap_wcm,4)-VLOOKUP(Sheet1!DC347,hhdcap_wcm,2))))</f>
        <v>779.60000000245111</v>
      </c>
      <c r="DQ349" s="535">
        <f t="shared" si="737"/>
        <v>-329.80000000077086</v>
      </c>
      <c r="DR349" s="535">
        <f t="shared" si="738"/>
        <v>-166.31366616276895</v>
      </c>
      <c r="DS349" s="535">
        <f>Sheet1!EA347*AFtoMG</f>
        <v>0</v>
      </c>
      <c r="DT349" s="535">
        <f>Sheet1!EB347*AFtoMG</f>
        <v>0</v>
      </c>
      <c r="DU349" s="535">
        <f>Sheet1!EC347*AFtoMG</f>
        <v>0</v>
      </c>
      <c r="DV349" s="535">
        <f>Sheet1!ED347*AFtoMG</f>
        <v>0</v>
      </c>
      <c r="DW349" s="535">
        <f t="shared" si="739"/>
        <v>0</v>
      </c>
      <c r="DX349" s="535">
        <f t="shared" si="740"/>
        <v>0</v>
      </c>
      <c r="DY349" s="535">
        <f t="shared" si="741"/>
        <v>0</v>
      </c>
      <c r="DZ349" s="535">
        <f t="shared" si="742"/>
        <v>0</v>
      </c>
      <c r="EA349" s="535"/>
      <c r="EB349" s="521">
        <f>IF(OR(B349&lt;FV349,B349&gt;FW349),(MIN(BF349+BY349+CT349+MAX(Sheet1!AA347+AQ349-73,0),K349)),0)</f>
        <v>10.243895241608262</v>
      </c>
      <c r="EC349" s="535"/>
      <c r="ED349" s="535">
        <f t="shared" si="743"/>
        <v>10.243895241608262</v>
      </c>
      <c r="EE349" s="535"/>
      <c r="EF349" s="535">
        <f>Sheet1!EH347+Sheet1!EI347+Sheet1!EJ347+Sheet1!EK347</f>
        <v>10.5</v>
      </c>
      <c r="EG349" s="1019">
        <f t="shared" si="831"/>
        <v>16.243500000000001</v>
      </c>
      <c r="EH349" s="521">
        <f t="shared" si="744"/>
        <v>0</v>
      </c>
      <c r="EI349" s="535">
        <f>IF(Sheet1!ET347=1,SUM('Calculations II'!AT349:BA349)+'Calculations II'!BC349+Sheet1!BV347+'Calculations II'!BE349+AP349,'Calculations II'!BK349)</f>
        <v>43.833832758391736</v>
      </c>
      <c r="EJ349" s="535">
        <f ca="1">EI349+'Calculations II'!D349+'Calculations II'!E349+'Calculations II'!O349</f>
        <v>43.417122400051483</v>
      </c>
      <c r="EK349" s="535"/>
      <c r="EL349" s="535"/>
      <c r="EM349" s="535">
        <f t="shared" si="745"/>
        <v>43073</v>
      </c>
      <c r="EN349" s="535">
        <f t="shared" si="746"/>
        <v>0</v>
      </c>
      <c r="EO349" s="535">
        <f t="shared" si="747"/>
        <v>0</v>
      </c>
      <c r="EP349" s="535">
        <v>0</v>
      </c>
      <c r="EQ349" s="535">
        <v>0</v>
      </c>
      <c r="ER349" s="535">
        <v>0</v>
      </c>
      <c r="ES349" s="521">
        <f t="shared" si="797"/>
        <v>-0.13849118317858874</v>
      </c>
      <c r="ET349" s="535">
        <f>-(VLOOKUP(Sheet1!BQ347,Lookup!$O$4:$Q$262,2)-VLOOKUP(Sheet1!BQ346,Lookup!$O$4:$Q$262,2))/1000000</f>
        <v>-0.13849118317858874</v>
      </c>
      <c r="EU349" s="535">
        <f>-(VLOOKUP(Sheet1!BR347,Lookup!$O$4:$Q$262,3)-VLOOKUP(Sheet1!BR346,Lookup!$O$4:$Q$262,3))/1000000</f>
        <v>0</v>
      </c>
      <c r="EV349" s="535"/>
      <c r="EW349" s="535"/>
      <c r="EX349" s="535"/>
      <c r="EY349" s="535"/>
      <c r="EZ349" s="535"/>
      <c r="FA349" s="535"/>
      <c r="FB349" s="535"/>
      <c r="FC349" s="535"/>
      <c r="FD349" s="567" t="e">
        <f t="shared" si="786"/>
        <v>#N/A</v>
      </c>
      <c r="FE349" s="567" t="e">
        <f t="shared" si="748"/>
        <v>#N/A</v>
      </c>
      <c r="FF349" s="568" t="e">
        <f t="shared" si="749"/>
        <v>#N/A</v>
      </c>
      <c r="FG349" s="569" t="s">
        <v>656</v>
      </c>
      <c r="FH349" s="569" t="s">
        <v>656</v>
      </c>
      <c r="FI349" s="567" t="e">
        <v>#N/A</v>
      </c>
      <c r="FJ349" s="567" t="e">
        <v>#N/A</v>
      </c>
      <c r="FK349" s="535"/>
      <c r="FL349" s="1015" t="e">
        <f t="shared" si="785"/>
        <v>#N/A</v>
      </c>
      <c r="FM349" s="535"/>
      <c r="FN349" s="535"/>
      <c r="FO349" s="535">
        <f>O349+((Sheet1!CS347)*GPMtoMGD)</f>
        <v>54.7</v>
      </c>
      <c r="FP349" s="535">
        <f>IF(Sheet1!AA347+AQ349&lt;=Calculation!N349,AQ349,Calculation!N349-Sheet1!AA347)</f>
        <v>16.956104758391735</v>
      </c>
      <c r="FQ349" s="535">
        <f>(Sheet1!BP347+Sheet1!BO347)/694.4</f>
        <v>1.5702764976958528</v>
      </c>
      <c r="FR349" s="541"/>
      <c r="FS349" s="541"/>
      <c r="FT349" s="541"/>
      <c r="FU349" s="541"/>
      <c r="FV349" s="1109">
        <f t="shared" si="798"/>
        <v>42918</v>
      </c>
      <c r="FW349" s="1109">
        <f t="shared" si="799"/>
        <v>43027</v>
      </c>
      <c r="FX349" s="541"/>
      <c r="FY349" s="541">
        <f>Sheet1!DA347-Sheet1!CZ347-Sheet1!AE347</f>
        <v>813.15413000000251</v>
      </c>
      <c r="FZ349" s="535">
        <f t="shared" si="832"/>
        <v>0.73676198125320302</v>
      </c>
      <c r="GA349" s="535"/>
      <c r="GB349" s="535" t="str">
        <f t="shared" si="800"/>
        <v>n</v>
      </c>
      <c r="GC349" s="539">
        <f t="shared" si="801"/>
        <v>42782</v>
      </c>
      <c r="GD349" s="1109">
        <f t="shared" si="802"/>
        <v>42904</v>
      </c>
      <c r="GE349" s="535">
        <f t="shared" si="818"/>
        <v>6520</v>
      </c>
      <c r="GF349" s="1109">
        <f t="shared" si="803"/>
        <v>42909</v>
      </c>
      <c r="GG349" s="535">
        <f t="shared" si="845"/>
        <v>3260</v>
      </c>
      <c r="GH349" s="539">
        <f t="shared" si="804"/>
        <v>43040</v>
      </c>
      <c r="GJ349" s="521">
        <f t="shared" si="805"/>
        <v>0</v>
      </c>
      <c r="GK349" s="535" t="str">
        <f t="shared" si="750"/>
        <v/>
      </c>
      <c r="GL349" s="535">
        <f t="shared" si="806"/>
        <v>0</v>
      </c>
      <c r="GM349" s="535" t="str">
        <f t="shared" si="807"/>
        <v/>
      </c>
      <c r="GN349" s="535">
        <f>IF(GK349="P",Lookup!$M$12,IF(GK349="PP",Lookup!$M$13,IF(GK349="PPP",Lookup!$M$14,IF(GK349="T",Lookup!$M$15,IF(GK349="TP",Lookup!$M$16,IF(GK349="TPP",Lookup!$M$17,IF(GK349="TPPP",Lookup!$M$18,0)))))))*GJ349</f>
        <v>0</v>
      </c>
      <c r="GO349" s="535">
        <f t="shared" si="808"/>
        <v>0</v>
      </c>
      <c r="GP349" s="535">
        <f t="shared" si="751"/>
        <v>0</v>
      </c>
      <c r="GQ349" s="974">
        <f t="shared" si="695"/>
        <v>0</v>
      </c>
      <c r="GR349" s="535"/>
      <c r="GS349" s="535">
        <f t="shared" si="809"/>
        <v>0</v>
      </c>
      <c r="GT349" s="535" t="str">
        <f t="shared" si="810"/>
        <v/>
      </c>
      <c r="GU349" s="535">
        <f>IF(GK349="P",Lookup!$N$12,IF(GK349="PP",Lookup!$N$13,IF(GK349="PPP",Lookup!$N$14,IF(GK349="T",Lookup!$N$15,IF(GK349="TP",Lookup!$N$16,IF(GK349="TPP",Lookup!$N$17,IF(GK349="TPPP",Lookup!$N$18,0)))))))*GJ349</f>
        <v>0</v>
      </c>
      <c r="GV349" s="535">
        <f t="shared" si="811"/>
        <v>0</v>
      </c>
      <c r="GW349" s="535">
        <f t="shared" si="752"/>
        <v>0</v>
      </c>
      <c r="GX349" s="974">
        <f t="shared" si="696"/>
        <v>0</v>
      </c>
      <c r="GY349" s="535"/>
      <c r="GZ349" s="535">
        <f t="shared" si="812"/>
        <v>0</v>
      </c>
      <c r="HA349" s="535" t="str">
        <f t="shared" si="813"/>
        <v/>
      </c>
      <c r="HB349" s="535">
        <f>IF(GK349="P",Lookup!$N$12,IF(GK349="PP",Lookup!$N$13,IF(GK349="PPP",Lookup!$N$14,IF(GK349="T",Lookup!$N$15,IF(GK349="TP",Lookup!$N$16,IF(GK349="TPP",Lookup!$N$17,IF(GK349="TPPP",Lookup!$N$18,0)))))))*GJ349</f>
        <v>0</v>
      </c>
      <c r="HC349" s="521">
        <f t="shared" si="753"/>
        <v>0</v>
      </c>
      <c r="HD349" s="535">
        <f t="shared" si="754"/>
        <v>0</v>
      </c>
      <c r="HE349" s="535">
        <f t="shared" si="816"/>
        <v>0</v>
      </c>
      <c r="HF349" s="535"/>
      <c r="HG349" s="535">
        <f t="shared" si="814"/>
        <v>0</v>
      </c>
      <c r="HH349" s="535" t="str">
        <f t="shared" si="815"/>
        <v/>
      </c>
      <c r="HI349" s="535">
        <f>IF(GK349="P",Lookup!$N$12,IF(GK349="PP",Lookup!$N$13,IF(GK349="PPP",Lookup!$N$14,IF(GK349="T",Lookup!$N$15,IF(GK349="TP",Lookup!$N$16,IF(GK349="TPP",Lookup!$N$17,IF(GK349="TPPP",Lookup!$N$18,0)))))))*GJ349</f>
        <v>0</v>
      </c>
      <c r="HJ349" s="521">
        <f t="shared" si="755"/>
        <v>0</v>
      </c>
      <c r="HK349" s="535">
        <f t="shared" si="756"/>
        <v>0</v>
      </c>
      <c r="HL349" s="535">
        <f t="shared" si="817"/>
        <v>0</v>
      </c>
      <c r="HM349" s="535"/>
      <c r="HN349" s="541"/>
      <c r="HO349" s="541"/>
      <c r="HP349" s="541"/>
      <c r="HQ349" s="541">
        <f>IF(AND(B349&gt;=$FV$4,B349&lt;=$FW$4),MAX(110/1.02+$HQ$6+MIN(113/1.02,G349),IF($HV$6-(Sheet1!DA347-Sheet1!DB347)+MIN(113/1.02,G349)&lt;G349+FL349,$HV$6-(Sheet1!DA347-Sheet1!DB347)+MIN(113/1.02,G349),G349+FL349)),MIN(110/1.02+$HQ$6+113/1.02,G349))</f>
        <v>218.62745098039215</v>
      </c>
      <c r="HR349" s="541">
        <f t="shared" si="833"/>
        <v>223</v>
      </c>
      <c r="HS349" s="541">
        <f>HR349+(Sheet1!DA347-Sheet1!DB347)</f>
        <v>963</v>
      </c>
      <c r="HT349" s="541">
        <f t="shared" si="834"/>
        <v>0</v>
      </c>
      <c r="HU349" s="541">
        <f t="shared" si="835"/>
        <v>963</v>
      </c>
      <c r="HV349" s="541">
        <f t="shared" si="836"/>
        <v>0</v>
      </c>
      <c r="HW349" s="533" t="str">
        <f t="shared" si="837"/>
        <v/>
      </c>
      <c r="HX349" s="541">
        <f t="shared" si="838"/>
        <v>1051.372549019608</v>
      </c>
      <c r="HY349" s="541">
        <f>Sheet1!CZ347</f>
        <v>1270</v>
      </c>
      <c r="HZ349" s="541">
        <f t="shared" si="839"/>
        <v>0</v>
      </c>
      <c r="IA349" s="541">
        <f t="shared" si="840"/>
        <v>0</v>
      </c>
      <c r="IB349" s="541">
        <f t="shared" si="841"/>
        <v>1270</v>
      </c>
      <c r="IC349" s="1019" t="str">
        <f t="shared" si="842"/>
        <v/>
      </c>
      <c r="ID349" s="541">
        <f t="shared" si="843"/>
        <v>1270</v>
      </c>
      <c r="IE349" s="541">
        <f>Sheet1!DB347</f>
        <v>1410</v>
      </c>
      <c r="IF349" s="533">
        <f>Sheet1!DA347</f>
        <v>2150</v>
      </c>
      <c r="IH349" s="541">
        <f>IF(AND($B349&gt;=$GC349,$B349&lt;=$GH349,$DR349&lt;0)+N("only adjusted when pool is drawn down during storage season"),Sheet1!$DB347+$DR349+N("Palmer minus all storage release"),Sheet1!$DB347)</f>
        <v>1410</v>
      </c>
      <c r="II349" s="541">
        <f>IF(AND($B349&gt;=$GC349,$B349&lt;=$GH349,$DR349&lt;0)+N("only adjusted when pool is drawn down during storage season"),Sheet1!$DA347+$DR349+N("Auburn minus all storage release"),Sheet1!$DA347)</f>
        <v>2150</v>
      </c>
    </row>
    <row r="350" spans="1:243" x14ac:dyDescent="0.25">
      <c r="A350" s="553" t="s">
        <v>5</v>
      </c>
      <c r="B350" s="531">
        <v>43074</v>
      </c>
      <c r="C350" s="536">
        <v>0</v>
      </c>
      <c r="D350" s="506">
        <f t="shared" si="787"/>
        <v>300</v>
      </c>
      <c r="E350" s="506">
        <f t="shared" si="788"/>
        <v>250</v>
      </c>
      <c r="F350" s="506">
        <v>250</v>
      </c>
      <c r="G350" s="535">
        <f>DR350+Sheet1!CZ348</f>
        <v>949.79021684311647</v>
      </c>
      <c r="H350" s="1074">
        <f t="shared" si="844"/>
        <v>585.73693075199992</v>
      </c>
      <c r="I350" s="534">
        <f>IF(Sheet1!DA348&gt;=E350,(Sheet1!DA348-E350+P350)*CFStoMGD,0)</f>
        <v>1064.072930752</v>
      </c>
      <c r="J350" s="995">
        <f>IF(Sheet1!DB348&gt;=D350,(Sheet1!DB348-D350+P350)*CFStoMGD,0)</f>
        <v>585.73693075199992</v>
      </c>
      <c r="K350" s="818">
        <f t="shared" si="819"/>
        <v>64.64</v>
      </c>
      <c r="L350" s="535">
        <f>Sheet1!AA348+Sheet1!AB348-Sheet1!L348+(Sheet1!DA348-F350)*CFStoMGD-S350-T350-U350</f>
        <v>964.88400000000001</v>
      </c>
      <c r="M350" s="535">
        <f t="shared" si="697"/>
        <v>626.22328409073828</v>
      </c>
      <c r="N350" s="824">
        <f>IF(Sheet1!DA348&gt;=F350,MIN(113*CFStoMGD,MIN(MAX(L350,0),MAX(M350,0))),0)</f>
        <v>73.043199999999999</v>
      </c>
      <c r="O350" s="538">
        <f>Sheet1!AA348+Sheet1!AB348</f>
        <v>55.69</v>
      </c>
      <c r="P350" s="538">
        <f t="shared" si="698"/>
        <v>86.152429999999995</v>
      </c>
      <c r="Q350" s="812">
        <f t="shared" si="820"/>
        <v>0</v>
      </c>
      <c r="R350" s="812">
        <f t="shared" si="789"/>
        <v>10.651595744680851</v>
      </c>
      <c r="S350" s="812">
        <f t="shared" si="790"/>
        <v>55.69</v>
      </c>
      <c r="T350" s="812">
        <f t="shared" si="791"/>
        <v>0</v>
      </c>
      <c r="U350" s="812">
        <f>IF(AND(B350&gt;=FV350,B350&lt;=FW350),ED350+Sheet1!EH348,0)</f>
        <v>0</v>
      </c>
      <c r="V350" s="812"/>
      <c r="W350" s="812">
        <f t="shared" si="792"/>
        <v>53.988404255319153</v>
      </c>
      <c r="X350" s="812">
        <f t="shared" si="793"/>
        <v>55.69</v>
      </c>
      <c r="Y350" s="812" t="str">
        <f t="shared" si="794"/>
        <v/>
      </c>
      <c r="Z350" s="812">
        <f t="shared" si="795"/>
        <v>55.69</v>
      </c>
      <c r="AA350" s="812">
        <f t="shared" si="796"/>
        <v>55.69</v>
      </c>
      <c r="AB350" s="1059">
        <f t="shared" si="821"/>
        <v>0</v>
      </c>
      <c r="AC350" s="538">
        <f>Sheet1!Y348*MGDtoCFS</f>
        <v>42.542499999999997</v>
      </c>
      <c r="AD350" s="538">
        <f>Sheet1!Z348*MGDtoCFS</f>
        <v>42.078399999999995</v>
      </c>
      <c r="AE350" s="538">
        <f>Sheet1!AA348*MGDtoCFS</f>
        <v>39.742429999999999</v>
      </c>
      <c r="AF350" s="538">
        <f>Sheet1!AB348*MGDtoCFS</f>
        <v>46.41</v>
      </c>
      <c r="AG350" s="538">
        <f>Sheet1!L348*MGDtoCFS</f>
        <v>67.294499999999999</v>
      </c>
      <c r="AH350" s="521">
        <f t="shared" si="699"/>
        <v>0</v>
      </c>
      <c r="AI350" s="1059">
        <f t="shared" si="700"/>
        <v>0</v>
      </c>
      <c r="AJ350" s="535">
        <f t="shared" si="701"/>
        <v>0</v>
      </c>
      <c r="AK350" s="535">
        <f t="shared" si="702"/>
        <v>0</v>
      </c>
      <c r="AL350" s="535">
        <f>(VLOOKUP(Sheet1!DC348,hhdcap_wcm,4)-(((VLOOKUP(Sheet1!DC348,hhdcap_wcm,3)-Sheet1!DC348)/(VLOOKUP(Sheet1!DC348,hhdcap_wcm,3)-VLOOKUP(Sheet1!DC348,hhdcap_wcm,1)))*(VLOOKUP(Sheet1!DC348,hhdcap_wcm,4)-VLOOKUP(Sheet1!DC348,hhdcap_wcm,2))))</f>
        <v>684.00000000235104</v>
      </c>
      <c r="AM350" s="535">
        <f t="shared" si="703"/>
        <v>-95.600000000100067</v>
      </c>
      <c r="AN350" s="1035">
        <f t="shared" si="704"/>
        <v>0</v>
      </c>
      <c r="AO350" s="535">
        <f t="shared" si="705"/>
        <v>0</v>
      </c>
      <c r="AP350" s="535">
        <f>Sheet1!BA348+Sheet1!BB348+Sheet1!BN348+CD350</f>
        <v>19.399999999999999</v>
      </c>
      <c r="AQ350" s="535">
        <f>Sheet1!BN348+(DO350*Sheet1!BN348)</f>
        <v>19.348404255319149</v>
      </c>
      <c r="AR350" s="535">
        <f>Sheet1!BA348+CD350</f>
        <v>0</v>
      </c>
      <c r="AS350" s="535">
        <f>Sheet1!BA348+Sheet1!BB348+CD350</f>
        <v>0</v>
      </c>
      <c r="AT350" s="649">
        <f>0</f>
        <v>0</v>
      </c>
      <c r="AU350" s="974">
        <f>BA350+MAX(Sheet1!EH348,(O350-Q350-ED350-S350))</f>
        <v>0</v>
      </c>
      <c r="AV350" s="535">
        <f>IF(OR(B350&gt;=GD350,B350&lt;GC350),0,15/36*K350-MAX(0,64.6-(137.6-(Sheet1!AA348+Sheet1!AB348))))</f>
        <v>0</v>
      </c>
      <c r="AW350" s="1029"/>
      <c r="AX350" s="649"/>
      <c r="AY350" s="649">
        <f t="shared" si="822"/>
        <v>23.311716569431731</v>
      </c>
      <c r="AZ350" s="649">
        <f t="shared" si="823"/>
        <v>0</v>
      </c>
      <c r="BA350" s="1059">
        <f t="shared" si="824"/>
        <v>0</v>
      </c>
      <c r="BB350" s="1019">
        <f t="shared" si="706"/>
        <v>0</v>
      </c>
      <c r="BC350" s="1041">
        <f t="shared" si="825"/>
        <v>26.933333333333334</v>
      </c>
      <c r="BD350" s="1019">
        <f ca="1">IF(B350&gt;(Summary!$A$1-1),#N/A,BB350*MGtoAF)</f>
        <v>0</v>
      </c>
      <c r="BE350" s="535">
        <f>Sheet1!BG348+Sheet1!BH348+Sheet1!BI348-BM350</f>
        <v>1.01</v>
      </c>
      <c r="BF350" s="535">
        <f t="shared" si="707"/>
        <v>1.0073138297872342</v>
      </c>
      <c r="BG350" s="535">
        <f>IF(Sheet1!EP348="FM",BM350,0)</f>
        <v>0</v>
      </c>
      <c r="BH350" s="535">
        <f t="shared" si="708"/>
        <v>0</v>
      </c>
      <c r="BI350" s="535">
        <f>IF(Sheet1!EP348="OTHER",BM350,0)</f>
        <v>0</v>
      </c>
      <c r="BJ350" s="535">
        <f t="shared" si="709"/>
        <v>0</v>
      </c>
      <c r="BK350" s="535">
        <f t="shared" si="710"/>
        <v>1.01</v>
      </c>
      <c r="BL350" s="535">
        <f t="shared" si="711"/>
        <v>1.0073138297872342</v>
      </c>
      <c r="BM350" s="535">
        <f>IF(OR(Sheet1!EP348="FM", Sheet1!EP348="OTHER"),SUM(Sheet1!BG348:'Sheet1'!BI348),0)</f>
        <v>0</v>
      </c>
      <c r="BN350" s="521">
        <f>IF(AND($B350&gt;=$FV350,$B350&lt;=$FW350),MAX(BF350,Sheet1!EI348,0),MAX(BF350-(7/36)*$K350,0))</f>
        <v>0</v>
      </c>
      <c r="BO350" s="535">
        <f t="shared" si="712"/>
        <v>0</v>
      </c>
      <c r="BP350" s="521">
        <f t="shared" si="713"/>
        <v>1.0073138297872342</v>
      </c>
      <c r="BQ350" s="521">
        <f>IF(AND($O350&gt;0,Sheet1!EM348=1),(1-($O350-Sheet1!$L348)/$O350)*BL350,0)</f>
        <v>0</v>
      </c>
      <c r="BR350" s="521">
        <f>IF(AND(Sheet1!$L348=0,Sheet1!$L347=0, Calculation!BK350&lt;Sheet1!$EI348-0.1,Sheet1!$EI348=Sheet1!$EI347,Sheet1!$EI348=Sheet1!$EI349),BL350-BQ350,BL350-BQ350)</f>
        <v>1.0073138297872342</v>
      </c>
      <c r="BS350" s="1035" t="str">
        <f t="shared" si="826"/>
        <v/>
      </c>
      <c r="BT350" s="1035">
        <f t="shared" si="827"/>
        <v>12.568888888888889</v>
      </c>
      <c r="BU350" s="535">
        <f t="shared" si="714"/>
        <v>0</v>
      </c>
      <c r="BV350" s="535"/>
      <c r="BW350" s="535">
        <f ca="1">IF(B350&gt;(Summary!$A$1-1),#N/A,BU350*MGtoAF)</f>
        <v>0</v>
      </c>
      <c r="BX350" s="535">
        <f>Sheet1!BC348+Sheet1!BD348+Sheet1!BE348+Sheet1!BF348-CG350-CH350</f>
        <v>2.99</v>
      </c>
      <c r="BY350" s="535">
        <f t="shared" si="715"/>
        <v>2.9820478723404258</v>
      </c>
      <c r="BZ350" s="535">
        <f>IF(Sheet1!EQ348="FM",CH350,0)</f>
        <v>0</v>
      </c>
      <c r="CA350" s="535">
        <f t="shared" si="716"/>
        <v>0</v>
      </c>
      <c r="CB350" s="535">
        <f>IF(Sheet1!EQ348="OTHER",CH350,0)</f>
        <v>0</v>
      </c>
      <c r="CC350" s="535">
        <f t="shared" si="717"/>
        <v>0</v>
      </c>
      <c r="CD350" s="535">
        <f t="shared" si="718"/>
        <v>0</v>
      </c>
      <c r="CE350" s="535">
        <f t="shared" si="719"/>
        <v>2.99</v>
      </c>
      <c r="CF350" s="535">
        <f t="shared" si="720"/>
        <v>2.9820478723404258</v>
      </c>
      <c r="CG350" s="535">
        <f>IF(Sheet1!EQ348="CWA",SUM(Sheet1!BC348:'Sheet1'!BF348),0)</f>
        <v>0</v>
      </c>
      <c r="CH350" s="535">
        <f>IF(OR(Sheet1!EQ348="FM", Sheet1!EQ348="OTHER"),SUM(Sheet1!BC348:'Sheet1'!BF348),0)</f>
        <v>0</v>
      </c>
      <c r="CI350" s="521">
        <f>IF(AND($B350&gt;=$FV350,$B350&lt;=$FW350),MAX(CF350,Sheet1!EJ348,0),MAX(CF350-(7/36)*$K350,0))</f>
        <v>0</v>
      </c>
      <c r="CJ350" s="535">
        <f t="shared" si="721"/>
        <v>0</v>
      </c>
      <c r="CK350" s="521">
        <f t="shared" si="722"/>
        <v>2.9820478723404258</v>
      </c>
      <c r="CL350" s="521">
        <f>IF(AND($O350&gt;0,Sheet1!EN348=1),(1-($O350-Sheet1!$L348)/$O350)*CF350,0)</f>
        <v>0</v>
      </c>
      <c r="CM350" s="521">
        <f>IF(AND(Sheet1!$L348=0,Sheet1!$L347=0, Calculation!CE350&lt;Sheet1!EJ348-0.1,Sheet1!EJ348=Sheet1!EJ347,Sheet1!EJ348=Sheet1!EJ349),CF350-CL350,CF350-CL350)</f>
        <v>2.9820478723404258</v>
      </c>
      <c r="CN350" s="1040" t="str">
        <f t="shared" si="828"/>
        <v/>
      </c>
      <c r="CO350" s="1035">
        <f t="shared" si="829"/>
        <v>12.568888888888889</v>
      </c>
      <c r="CP350" s="535">
        <f t="shared" si="723"/>
        <v>0</v>
      </c>
      <c r="CQ350" s="535"/>
      <c r="CR350" s="535">
        <f ca="1">IF(B350&gt;(Summary!$A$1-1),#N/A,CP350*MGtoAF)</f>
        <v>0</v>
      </c>
      <c r="CS350" s="535">
        <f>Sheet1!BK348+Sheet1!BL348+Sheet1!BM348-Sheet1!ER348-DA350</f>
        <v>6.68</v>
      </c>
      <c r="CT350" s="535">
        <f t="shared" si="724"/>
        <v>6.6622340425531918</v>
      </c>
      <c r="CU350" s="535">
        <f>IF(Sheet1!ER348="FM",DA350,0)</f>
        <v>0</v>
      </c>
      <c r="CV350" s="535">
        <f t="shared" si="725"/>
        <v>0</v>
      </c>
      <c r="CW350" s="535">
        <f>IF(Sheet1!ER348="OTHER",DA350,0)</f>
        <v>0</v>
      </c>
      <c r="CX350" s="535">
        <f t="shared" si="726"/>
        <v>0</v>
      </c>
      <c r="CY350" s="535">
        <f t="shared" si="727"/>
        <v>6.68</v>
      </c>
      <c r="CZ350" s="535">
        <f t="shared" si="728"/>
        <v>6.6622340425531918</v>
      </c>
      <c r="DA350" s="535">
        <f>IF(OR(Sheet1!ER348="FM", Sheet1!ER348="OTHER"),SUM(Sheet1!BK348:'Sheet1'!BM348),0)</f>
        <v>0</v>
      </c>
      <c r="DB350" s="1011">
        <f>IF(AND($B350&gt;=$FV350,$B350&lt;=$FW350),MAX($CT350,Sheet1!EK348,0),MAX($CT350-(7/36)*$K350,0))</f>
        <v>0</v>
      </c>
      <c r="DC350" s="1012">
        <f t="shared" si="729"/>
        <v>0</v>
      </c>
      <c r="DD350" s="1011">
        <f t="shared" si="730"/>
        <v>6.6622340425531918</v>
      </c>
      <c r="DE350" s="521">
        <f>IF(AND($O350&gt;0,Sheet1!EO348=1),(1-($O350-Sheet1!$L348)/$O350)*CZ350,0)</f>
        <v>0</v>
      </c>
      <c r="DF350" s="521">
        <f>IF(AND(Sheet1!$L348=0,Sheet1!$L347=0, Calculation!CY350&lt;Sheet1!$EK348-0.1,Sheet1!$EK348=Sheet1!$EK347,Sheet1!$EK348=Sheet1!$EK349),CZ350-DE350,CZ350-DE350)</f>
        <v>6.6622340425531918</v>
      </c>
      <c r="DG350" s="1040">
        <f t="shared" si="830"/>
        <v>12.568888888888889</v>
      </c>
      <c r="DH350" s="649">
        <f t="shared" si="731"/>
        <v>10.68</v>
      </c>
      <c r="DI350" s="535">
        <f t="shared" si="732"/>
        <v>0</v>
      </c>
      <c r="DJ350" s="649">
        <f t="shared" si="733"/>
        <v>10.651595744680851</v>
      </c>
      <c r="DK350" s="535">
        <f ca="1">IF(B350&gt;(Summary!$A$1-1),#N/A,DI350*MGtoAF)</f>
        <v>0</v>
      </c>
      <c r="DL350" s="649">
        <f t="shared" si="734"/>
        <v>10.68</v>
      </c>
      <c r="DM350" s="535">
        <f t="shared" si="735"/>
        <v>30.08</v>
      </c>
      <c r="DN350" s="535">
        <f>Sheet1!AB348-DM350</f>
        <v>-7.9999999999998295E-2</v>
      </c>
      <c r="DO350" s="743">
        <f t="shared" si="736"/>
        <v>-2.6595744680850499E-3</v>
      </c>
      <c r="DP350" s="535">
        <f>(VLOOKUP(Sheet1!DC348,hhdcap_wcm,4)-(((VLOOKUP(Sheet1!DC348,hhdcap_wcm,3)-Sheet1!DC348)/(VLOOKUP(Sheet1!DC348,hhdcap_wcm,3)-VLOOKUP(Sheet1!DC348,hhdcap_wcm,1)))*(VLOOKUP(Sheet1!DC348,hhdcap_wcm,4)-VLOOKUP(Sheet1!DC348,hhdcap_wcm,2))))</f>
        <v>684.00000000235104</v>
      </c>
      <c r="DQ350" s="535">
        <f t="shared" si="737"/>
        <v>-95.600000000100067</v>
      </c>
      <c r="DR350" s="535">
        <f t="shared" si="738"/>
        <v>-48.209783156883539</v>
      </c>
      <c r="DS350" s="535">
        <f>Sheet1!EA348*AFtoMG</f>
        <v>0</v>
      </c>
      <c r="DT350" s="535">
        <f>Sheet1!EB348*AFtoMG</f>
        <v>0</v>
      </c>
      <c r="DU350" s="535">
        <f>Sheet1!EC348*AFtoMG</f>
        <v>0</v>
      </c>
      <c r="DV350" s="535">
        <f>Sheet1!ED348*AFtoMG</f>
        <v>0</v>
      </c>
      <c r="DW350" s="535">
        <f t="shared" si="739"/>
        <v>0</v>
      </c>
      <c r="DX350" s="535">
        <f t="shared" si="740"/>
        <v>0</v>
      </c>
      <c r="DY350" s="535">
        <f t="shared" si="741"/>
        <v>0</v>
      </c>
      <c r="DZ350" s="535">
        <f t="shared" si="742"/>
        <v>0</v>
      </c>
      <c r="EA350" s="535"/>
      <c r="EB350" s="521">
        <f>IF(OR(B350&lt;FV350,B350&gt;FW350),(MIN(BF350+BY350+CT350+MAX(Sheet1!AA348+AQ350-73,0),K350)),0)</f>
        <v>10.651595744680851</v>
      </c>
      <c r="EC350" s="535"/>
      <c r="ED350" s="535">
        <f t="shared" si="743"/>
        <v>10.651595744680852</v>
      </c>
      <c r="EE350" s="535"/>
      <c r="EF350" s="535">
        <f>Sheet1!EH348+Sheet1!EI348+Sheet1!EJ348+Sheet1!EK348</f>
        <v>10.5</v>
      </c>
      <c r="EG350" s="1019">
        <f t="shared" si="831"/>
        <v>16.243500000000001</v>
      </c>
      <c r="EH350" s="521">
        <f t="shared" si="744"/>
        <v>0</v>
      </c>
      <c r="EI350" s="535">
        <f>IF(Sheet1!ET348=1,SUM('Calculations II'!AT350:BA350)+'Calculations II'!BC350+Sheet1!BV348+'Calculations II'!BE350+AP350,'Calculations II'!BK350)</f>
        <v>46.828978255319143</v>
      </c>
      <c r="EJ350" s="535">
        <f ca="1">EI350+'Calculations II'!D350+'Calculations II'!E350+'Calculations II'!O350</f>
        <v>44.314503926118221</v>
      </c>
      <c r="EK350" s="535"/>
      <c r="EL350" s="535"/>
      <c r="EM350" s="535">
        <f t="shared" si="745"/>
        <v>43074</v>
      </c>
      <c r="EN350" s="535">
        <f t="shared" si="746"/>
        <v>0</v>
      </c>
      <c r="EO350" s="535">
        <f t="shared" si="747"/>
        <v>0</v>
      </c>
      <c r="EP350" s="535">
        <v>0</v>
      </c>
      <c r="EQ350" s="535">
        <v>0</v>
      </c>
      <c r="ER350" s="535">
        <v>0</v>
      </c>
      <c r="ES350" s="521">
        <f t="shared" si="797"/>
        <v>1.8004623036899641</v>
      </c>
      <c r="ET350" s="535">
        <f>-(VLOOKUP(Sheet1!BQ348,Lookup!$O$4:$Q$262,2)-VLOOKUP(Sheet1!BQ347,Lookup!$O$4:$Q$262,2))/1000000</f>
        <v>0.96930371233475576</v>
      </c>
      <c r="EU350" s="535">
        <f>-(VLOOKUP(Sheet1!BR348,Lookup!$O$4:$Q$262,3)-VLOOKUP(Sheet1!BR347,Lookup!$O$4:$Q$262,3))/1000000</f>
        <v>0.83115859135520831</v>
      </c>
      <c r="EV350" s="535"/>
      <c r="EW350" s="535"/>
      <c r="EX350" s="535"/>
      <c r="EY350" s="535"/>
      <c r="EZ350" s="535"/>
      <c r="FA350" s="535"/>
      <c r="FB350" s="535"/>
      <c r="FC350" s="535"/>
      <c r="FD350" s="567" t="e">
        <f t="shared" si="786"/>
        <v>#N/A</v>
      </c>
      <c r="FE350" s="567" t="e">
        <f t="shared" si="748"/>
        <v>#N/A</v>
      </c>
      <c r="FF350" s="568" t="e">
        <f t="shared" si="749"/>
        <v>#N/A</v>
      </c>
      <c r="FG350" s="569" t="s">
        <v>656</v>
      </c>
      <c r="FH350" s="569" t="s">
        <v>656</v>
      </c>
      <c r="FI350" s="567" t="e">
        <v>#N/A</v>
      </c>
      <c r="FJ350" s="567" t="e">
        <v>#N/A</v>
      </c>
      <c r="FK350" s="535"/>
      <c r="FL350" s="1015" t="e">
        <f t="shared" si="785"/>
        <v>#N/A</v>
      </c>
      <c r="FM350" s="535"/>
      <c r="FN350" s="535"/>
      <c r="FO350" s="535">
        <f>O350+((Sheet1!CS348)*GPMtoMGD)</f>
        <v>55.69</v>
      </c>
      <c r="FP350" s="535">
        <f>IF(Sheet1!AA348+AQ350&lt;=Calculation!N350,AQ350,Calculation!N350-Sheet1!AA348)</f>
        <v>19.348404255319149</v>
      </c>
      <c r="FQ350" s="535">
        <f>(Sheet1!BP348+Sheet1!BO348)/694.4</f>
        <v>1.5413306451612903</v>
      </c>
      <c r="FR350" s="541"/>
      <c r="FS350" s="541"/>
      <c r="FT350" s="541"/>
      <c r="FU350" s="541"/>
      <c r="FV350" s="1109">
        <f t="shared" si="798"/>
        <v>42918</v>
      </c>
      <c r="FW350" s="1109">
        <f t="shared" si="799"/>
        <v>43027</v>
      </c>
      <c r="FX350" s="541"/>
      <c r="FY350" s="541">
        <f>Sheet1!DA348-Sheet1!CZ348-Sheet1!AE348</f>
        <v>793.14206999999999</v>
      </c>
      <c r="FZ350" s="535">
        <f t="shared" si="832"/>
        <v>0.83507079346028767</v>
      </c>
      <c r="GA350" s="535"/>
      <c r="GB350" s="535" t="str">
        <f t="shared" si="800"/>
        <v>n</v>
      </c>
      <c r="GC350" s="539">
        <f t="shared" si="801"/>
        <v>42782</v>
      </c>
      <c r="GD350" s="1109">
        <f t="shared" si="802"/>
        <v>42904</v>
      </c>
      <c r="GE350" s="535">
        <f t="shared" si="818"/>
        <v>6520</v>
      </c>
      <c r="GF350" s="1109">
        <f t="shared" si="803"/>
        <v>42909</v>
      </c>
      <c r="GG350" s="535">
        <f t="shared" si="845"/>
        <v>3260</v>
      </c>
      <c r="GH350" s="539">
        <f t="shared" si="804"/>
        <v>43040</v>
      </c>
      <c r="GJ350" s="521">
        <f t="shared" si="805"/>
        <v>0</v>
      </c>
      <c r="GK350" s="535" t="str">
        <f t="shared" si="750"/>
        <v/>
      </c>
      <c r="GL350" s="535">
        <f t="shared" si="806"/>
        <v>0</v>
      </c>
      <c r="GM350" s="535" t="str">
        <f t="shared" si="807"/>
        <v/>
      </c>
      <c r="GN350" s="535">
        <f>IF(GK350="P",Lookup!$M$12,IF(GK350="PP",Lookup!$M$13,IF(GK350="PPP",Lookup!$M$14,IF(GK350="T",Lookup!$M$15,IF(GK350="TP",Lookup!$M$16,IF(GK350="TPP",Lookup!$M$17,IF(GK350="TPPP",Lookup!$M$18,0)))))))*GJ350</f>
        <v>0</v>
      </c>
      <c r="GO350" s="535">
        <f t="shared" si="808"/>
        <v>0</v>
      </c>
      <c r="GP350" s="535">
        <f t="shared" si="751"/>
        <v>0</v>
      </c>
      <c r="GQ350" s="974">
        <f t="shared" si="695"/>
        <v>0</v>
      </c>
      <c r="GR350" s="535"/>
      <c r="GS350" s="535">
        <f t="shared" si="809"/>
        <v>0</v>
      </c>
      <c r="GT350" s="535" t="str">
        <f t="shared" si="810"/>
        <v/>
      </c>
      <c r="GU350" s="535">
        <f>IF(GK350="P",Lookup!$N$12,IF(GK350="PP",Lookup!$N$13,IF(GK350="PPP",Lookup!$N$14,IF(GK350="T",Lookup!$N$15,IF(GK350="TP",Lookup!$N$16,IF(GK350="TPP",Lookup!$N$17,IF(GK350="TPPP",Lookup!$N$18,0)))))))*GJ350</f>
        <v>0</v>
      </c>
      <c r="GV350" s="535">
        <f t="shared" si="811"/>
        <v>0</v>
      </c>
      <c r="GW350" s="535">
        <f t="shared" si="752"/>
        <v>0</v>
      </c>
      <c r="GX350" s="974">
        <f t="shared" si="696"/>
        <v>0</v>
      </c>
      <c r="GY350" s="535"/>
      <c r="GZ350" s="535">
        <f t="shared" si="812"/>
        <v>0</v>
      </c>
      <c r="HA350" s="535" t="str">
        <f t="shared" si="813"/>
        <v/>
      </c>
      <c r="HB350" s="535">
        <f>IF(GK350="P",Lookup!$N$12,IF(GK350="PP",Lookup!$N$13,IF(GK350="PPP",Lookup!$N$14,IF(GK350="T",Lookup!$N$15,IF(GK350="TP",Lookup!$N$16,IF(GK350="TPP",Lookup!$N$17,IF(GK350="TPPP",Lookup!$N$18,0)))))))*GJ350</f>
        <v>0</v>
      </c>
      <c r="HC350" s="521">
        <f t="shared" si="753"/>
        <v>0</v>
      </c>
      <c r="HD350" s="535">
        <f t="shared" si="754"/>
        <v>0</v>
      </c>
      <c r="HE350" s="535">
        <f t="shared" si="816"/>
        <v>0</v>
      </c>
      <c r="HF350" s="535"/>
      <c r="HG350" s="535">
        <f t="shared" si="814"/>
        <v>0</v>
      </c>
      <c r="HH350" s="535" t="str">
        <f t="shared" si="815"/>
        <v/>
      </c>
      <c r="HI350" s="535">
        <f>IF(GK350="P",Lookup!$N$12,IF(GK350="PP",Lookup!$N$13,IF(GK350="PPP",Lookup!$N$14,IF(GK350="T",Lookup!$N$15,IF(GK350="TP",Lookup!$N$16,IF(GK350="TPP",Lookup!$N$17,IF(GK350="TPPP",Lookup!$N$18,0)))))))*GJ350</f>
        <v>0</v>
      </c>
      <c r="HJ350" s="521">
        <f t="shared" si="755"/>
        <v>0</v>
      </c>
      <c r="HK350" s="535">
        <f t="shared" si="756"/>
        <v>0</v>
      </c>
      <c r="HL350" s="535">
        <f t="shared" si="817"/>
        <v>0</v>
      </c>
      <c r="HM350" s="535"/>
      <c r="HN350" s="541"/>
      <c r="HO350" s="541"/>
      <c r="HP350" s="541"/>
      <c r="HQ350" s="541">
        <f>IF(AND(B350&gt;=$FV$4,B350&lt;=$FW$4),MAX(110/1.02+$HQ$6+MIN(113/1.02,G350),IF($HV$6-(Sheet1!DA348-Sheet1!DB348)+MIN(113/1.02,G350)&lt;G350+FL350,$HV$6-(Sheet1!DA348-Sheet1!DB348)+MIN(113/1.02,G350),G350+FL350)),MIN(110/1.02+$HQ$6+113/1.02,G350))</f>
        <v>218.62745098039215</v>
      </c>
      <c r="HR350" s="541">
        <f t="shared" si="833"/>
        <v>223</v>
      </c>
      <c r="HS350" s="541">
        <f>HR350+(Sheet1!DA348-Sheet1!DB348)</f>
        <v>913</v>
      </c>
      <c r="HT350" s="541">
        <f t="shared" si="834"/>
        <v>0</v>
      </c>
      <c r="HU350" s="541">
        <f t="shared" si="835"/>
        <v>913</v>
      </c>
      <c r="HV350" s="541">
        <f t="shared" si="836"/>
        <v>0</v>
      </c>
      <c r="HW350" s="533" t="str">
        <f t="shared" si="837"/>
        <v/>
      </c>
      <c r="HX350" s="541">
        <f t="shared" si="838"/>
        <v>779.37254901960785</v>
      </c>
      <c r="HY350" s="541">
        <f>Sheet1!CZ348</f>
        <v>998</v>
      </c>
      <c r="HZ350" s="541">
        <f t="shared" si="839"/>
        <v>0</v>
      </c>
      <c r="IA350" s="541">
        <f t="shared" si="840"/>
        <v>0</v>
      </c>
      <c r="IB350" s="541">
        <f t="shared" si="841"/>
        <v>998</v>
      </c>
      <c r="IC350" s="1019" t="str">
        <f t="shared" si="842"/>
        <v/>
      </c>
      <c r="ID350" s="541">
        <f t="shared" si="843"/>
        <v>998</v>
      </c>
      <c r="IE350" s="541">
        <f>Sheet1!DB348</f>
        <v>1120</v>
      </c>
      <c r="IF350" s="533">
        <f>Sheet1!DA348</f>
        <v>1810</v>
      </c>
      <c r="IH350" s="541">
        <f>IF(AND($B350&gt;=$GC350,$B350&lt;=$GH350,$DR350&lt;0)+N("only adjusted when pool is drawn down during storage season"),Sheet1!$DB348+$DR350+N("Palmer minus all storage release"),Sheet1!$DB348)</f>
        <v>1120</v>
      </c>
      <c r="II350" s="541">
        <f>IF(AND($B350&gt;=$GC350,$B350&lt;=$GH350,$DR350&lt;0)+N("only adjusted when pool is drawn down during storage season"),Sheet1!$DA348+$DR350+N("Auburn minus all storage release"),Sheet1!$DA348)</f>
        <v>1810</v>
      </c>
    </row>
    <row r="351" spans="1:243" x14ac:dyDescent="0.25">
      <c r="A351" s="553" t="s">
        <v>6</v>
      </c>
      <c r="B351" s="531">
        <v>43075</v>
      </c>
      <c r="C351" s="536">
        <v>0</v>
      </c>
      <c r="D351" s="506">
        <f t="shared" si="787"/>
        <v>300</v>
      </c>
      <c r="E351" s="506">
        <f t="shared" si="788"/>
        <v>250</v>
      </c>
      <c r="F351" s="506">
        <v>250</v>
      </c>
      <c r="G351" s="535">
        <f>DR351+Sheet1!CZ349</f>
        <v>908.849218356189</v>
      </c>
      <c r="H351" s="1074">
        <f t="shared" si="844"/>
        <v>463.89373689599995</v>
      </c>
      <c r="I351" s="534">
        <f>IF(Sheet1!DA349&gt;=E351,(Sheet1!DA349-E351+P351)*CFStoMGD,0)</f>
        <v>921.54493689599997</v>
      </c>
      <c r="J351" s="995">
        <f>IF(Sheet1!DB349&gt;=D351,(Sheet1!DB349-D351+P351)*CFStoMGD,0)</f>
        <v>463.89373689599995</v>
      </c>
      <c r="K351" s="818">
        <f t="shared" si="819"/>
        <v>64.64</v>
      </c>
      <c r="L351" s="535">
        <f>Sheet1!AA349+Sheet1!AB349-Sheet1!L349+(Sheet1!DA349-F351)*CFStoMGD-S351-T351-U351</f>
        <v>820.70599999999877</v>
      </c>
      <c r="M351" s="535">
        <f t="shared" si="697"/>
        <v>599.22973744034937</v>
      </c>
      <c r="N351" s="824">
        <f>IF(Sheet1!DA349&gt;=F351,MIN(113*CFStoMGD,MIN(MAX(L351,0),MAX(M351,0))),0)</f>
        <v>73.043199999999999</v>
      </c>
      <c r="O351" s="538">
        <f>Sheet1!AA349+Sheet1!AB349</f>
        <v>55.370000000000005</v>
      </c>
      <c r="P351" s="538">
        <f t="shared" si="698"/>
        <v>85.657389999999992</v>
      </c>
      <c r="Q351" s="812">
        <f t="shared" si="820"/>
        <v>0</v>
      </c>
      <c r="R351" s="812">
        <f t="shared" si="789"/>
        <v>10.626863537457258</v>
      </c>
      <c r="S351" s="812">
        <f t="shared" si="790"/>
        <v>55.370000000000005</v>
      </c>
      <c r="T351" s="812">
        <f t="shared" si="791"/>
        <v>0</v>
      </c>
      <c r="U351" s="812">
        <f>IF(AND(B351&gt;=FV351,B351&lt;=FW351),ED351+Sheet1!EH349,0)</f>
        <v>0</v>
      </c>
      <c r="V351" s="812"/>
      <c r="W351" s="812">
        <f t="shared" si="792"/>
        <v>54.013136462542747</v>
      </c>
      <c r="X351" s="812">
        <f t="shared" si="793"/>
        <v>55.370000000000005</v>
      </c>
      <c r="Y351" s="812" t="str">
        <f t="shared" si="794"/>
        <v/>
      </c>
      <c r="Z351" s="812">
        <f t="shared" si="795"/>
        <v>55.370000000000005</v>
      </c>
      <c r="AA351" s="812">
        <f t="shared" si="796"/>
        <v>55.370000000000005</v>
      </c>
      <c r="AB351" s="1059">
        <f t="shared" si="821"/>
        <v>0</v>
      </c>
      <c r="AC351" s="538">
        <f>Sheet1!Y349*MGDtoCFS</f>
        <v>43.315999999999995</v>
      </c>
      <c r="AD351" s="538">
        <f>Sheet1!Z349*MGDtoCFS</f>
        <v>42.078399999999995</v>
      </c>
      <c r="AE351" s="538">
        <f>Sheet1!AA349*MGDtoCFS</f>
        <v>36.045099999999998</v>
      </c>
      <c r="AF351" s="538">
        <f>Sheet1!AB349*MGDtoCFS</f>
        <v>49.612290000000002</v>
      </c>
      <c r="AG351" s="538">
        <f>Sheet1!L349*MGDtoCFS</f>
        <v>70.342090000001804</v>
      </c>
      <c r="AH351" s="521">
        <f t="shared" si="699"/>
        <v>0</v>
      </c>
      <c r="AI351" s="1059">
        <f t="shared" si="700"/>
        <v>0</v>
      </c>
      <c r="AJ351" s="535">
        <f t="shared" si="701"/>
        <v>0</v>
      </c>
      <c r="AK351" s="535">
        <f t="shared" si="702"/>
        <v>0</v>
      </c>
      <c r="AL351" s="535">
        <f>(VLOOKUP(Sheet1!DC349,hhdcap_wcm,4)-(((VLOOKUP(Sheet1!DC349,hhdcap_wcm,3)-Sheet1!DC349)/(VLOOKUP(Sheet1!DC349,hhdcap_wcm,3)-VLOOKUP(Sheet1!DC349,hhdcap_wcm,1)))*(VLOOKUP(Sheet1!DC349,hhdcap_wcm,4)-VLOOKUP(Sheet1!DC349,hhdcap_wcm,2))))</f>
        <v>788.80000000267387</v>
      </c>
      <c r="AM351" s="535">
        <f t="shared" si="703"/>
        <v>104.80000000032283</v>
      </c>
      <c r="AN351" s="1035">
        <f t="shared" si="704"/>
        <v>0</v>
      </c>
      <c r="AO351" s="535">
        <f t="shared" si="705"/>
        <v>0</v>
      </c>
      <c r="AP351" s="535">
        <f>Sheet1!BA349+Sheet1!BB349+Sheet1!BN349+CD351</f>
        <v>21.51</v>
      </c>
      <c r="AQ351" s="535">
        <f>Sheet1!BN349+(DO351*Sheet1!BN349)</f>
        <v>21.443136462542743</v>
      </c>
      <c r="AR351" s="535">
        <f>Sheet1!BA349+CD351</f>
        <v>0</v>
      </c>
      <c r="AS351" s="535">
        <f>Sheet1!BA349+Sheet1!BB349+CD351</f>
        <v>0</v>
      </c>
      <c r="AT351" s="649">
        <f>0</f>
        <v>0</v>
      </c>
      <c r="AU351" s="974">
        <f>BA351+MAX(Sheet1!EH349,(O351-Q351-ED351-S351))</f>
        <v>0</v>
      </c>
      <c r="AV351" s="535">
        <f>IF(OR(B351&gt;=GD351,B351&lt;GC351),0,15/36*K351-MAX(0,64.6-(137.6-(Sheet1!AA349+Sheet1!AB349))))</f>
        <v>0</v>
      </c>
      <c r="AW351" s="1029"/>
      <c r="AX351" s="649"/>
      <c r="AY351" s="649">
        <f t="shared" si="822"/>
        <v>23.311716569431731</v>
      </c>
      <c r="AZ351" s="649">
        <f t="shared" si="823"/>
        <v>0</v>
      </c>
      <c r="BA351" s="1059">
        <f t="shared" si="824"/>
        <v>0</v>
      </c>
      <c r="BB351" s="1019">
        <f t="shared" si="706"/>
        <v>0</v>
      </c>
      <c r="BC351" s="1041">
        <f t="shared" si="825"/>
        <v>26.933333333333334</v>
      </c>
      <c r="BD351" s="1019">
        <f ca="1">IF(B351&gt;(Summary!$A$1-1),#N/A,BB351*MGtoAF)</f>
        <v>0</v>
      </c>
      <c r="BE351" s="535">
        <f>Sheet1!BG349+Sheet1!BH349+Sheet1!BI349-BM351</f>
        <v>1.01</v>
      </c>
      <c r="BF351" s="535">
        <f t="shared" si="707"/>
        <v>1.006860428971091</v>
      </c>
      <c r="BG351" s="535">
        <f>IF(Sheet1!EP349="FM",BM351,0)</f>
        <v>0</v>
      </c>
      <c r="BH351" s="535">
        <f t="shared" si="708"/>
        <v>0</v>
      </c>
      <c r="BI351" s="535">
        <f>IF(Sheet1!EP349="OTHER",BM351,0)</f>
        <v>0</v>
      </c>
      <c r="BJ351" s="535">
        <f t="shared" si="709"/>
        <v>0</v>
      </c>
      <c r="BK351" s="535">
        <f t="shared" si="710"/>
        <v>1.01</v>
      </c>
      <c r="BL351" s="535">
        <f t="shared" si="711"/>
        <v>1.006860428971091</v>
      </c>
      <c r="BM351" s="535">
        <f>IF(OR(Sheet1!EP349="FM", Sheet1!EP349="OTHER"),SUM(Sheet1!BG349:'Sheet1'!BI349),0)</f>
        <v>0</v>
      </c>
      <c r="BN351" s="521">
        <f>IF(AND($B351&gt;=$FV351,$B351&lt;=$FW351),MAX(BF351,Sheet1!EI349,0),MAX(BF351-(7/36)*$K351,0))</f>
        <v>0</v>
      </c>
      <c r="BO351" s="535">
        <f t="shared" si="712"/>
        <v>0</v>
      </c>
      <c r="BP351" s="521">
        <f t="shared" si="713"/>
        <v>1.006860428971091</v>
      </c>
      <c r="BQ351" s="521">
        <f>IF(AND($O351&gt;0,Sheet1!EM349=1),(1-($O351-Sheet1!$L349)/$O351)*BL351,0)</f>
        <v>0</v>
      </c>
      <c r="BR351" s="521">
        <f>IF(AND(Sheet1!$L349=0,Sheet1!$L348=0, Calculation!BK351&lt;Sheet1!$EI349-0.1,Sheet1!$EI349=Sheet1!$EI348,Sheet1!$EI349=Sheet1!$EI350),BL351-BQ351,BL351-BQ351)</f>
        <v>1.006860428971091</v>
      </c>
      <c r="BS351" s="1035" t="str">
        <f t="shared" si="826"/>
        <v/>
      </c>
      <c r="BT351" s="1035">
        <f t="shared" si="827"/>
        <v>12.568888888888889</v>
      </c>
      <c r="BU351" s="535">
        <f t="shared" si="714"/>
        <v>0</v>
      </c>
      <c r="BV351" s="535"/>
      <c r="BW351" s="535">
        <f ca="1">IF(B351&gt;(Summary!$A$1-1),#N/A,BU351*MGtoAF)</f>
        <v>0</v>
      </c>
      <c r="BX351" s="535">
        <f>Sheet1!BC349+Sheet1!BD349+Sheet1!BE349+Sheet1!BF349-CG351-CH351</f>
        <v>2.76</v>
      </c>
      <c r="BY351" s="535">
        <f t="shared" si="715"/>
        <v>2.7514205781784269</v>
      </c>
      <c r="BZ351" s="535">
        <f>IF(Sheet1!EQ349="FM",CH351,0)</f>
        <v>0</v>
      </c>
      <c r="CA351" s="535">
        <f t="shared" si="716"/>
        <v>0</v>
      </c>
      <c r="CB351" s="535">
        <f>IF(Sheet1!EQ349="OTHER",CH351,0)</f>
        <v>0</v>
      </c>
      <c r="CC351" s="535">
        <f t="shared" si="717"/>
        <v>0</v>
      </c>
      <c r="CD351" s="535">
        <f t="shared" si="718"/>
        <v>0</v>
      </c>
      <c r="CE351" s="535">
        <f t="shared" si="719"/>
        <v>2.76</v>
      </c>
      <c r="CF351" s="535">
        <f t="shared" si="720"/>
        <v>2.7514205781784269</v>
      </c>
      <c r="CG351" s="535">
        <f>IF(Sheet1!EQ349="CWA",SUM(Sheet1!BC349:'Sheet1'!BF349),0)</f>
        <v>0</v>
      </c>
      <c r="CH351" s="535">
        <f>IF(OR(Sheet1!EQ349="FM", Sheet1!EQ349="OTHER"),SUM(Sheet1!BC349:'Sheet1'!BF349),0)</f>
        <v>0</v>
      </c>
      <c r="CI351" s="521">
        <f>IF(AND($B351&gt;=$FV351,$B351&lt;=$FW351),MAX(CF351,Sheet1!EJ349,0),MAX(CF351-(7/36)*$K351,0))</f>
        <v>0</v>
      </c>
      <c r="CJ351" s="535">
        <f t="shared" si="721"/>
        <v>0</v>
      </c>
      <c r="CK351" s="521">
        <f t="shared" si="722"/>
        <v>2.7514205781784269</v>
      </c>
      <c r="CL351" s="521">
        <f>IF(AND($O351&gt;0,Sheet1!EN349=1),(1-($O351-Sheet1!$L349)/$O351)*CF351,0)</f>
        <v>0</v>
      </c>
      <c r="CM351" s="521">
        <f>IF(AND(Sheet1!$L349=0,Sheet1!$L348=0, Calculation!CE351&lt;Sheet1!EJ349-0.1,Sheet1!EJ349=Sheet1!EJ348,Sheet1!EJ349=Sheet1!EJ350),CF351-CL351,CF351-CL351)</f>
        <v>2.7514205781784269</v>
      </c>
      <c r="CN351" s="1040" t="str">
        <f t="shared" si="828"/>
        <v/>
      </c>
      <c r="CO351" s="1035">
        <f t="shared" si="829"/>
        <v>12.568888888888889</v>
      </c>
      <c r="CP351" s="535">
        <f t="shared" si="723"/>
        <v>0</v>
      </c>
      <c r="CQ351" s="535"/>
      <c r="CR351" s="535">
        <f ca="1">IF(B351&gt;(Summary!$A$1-1),#N/A,CP351*MGtoAF)</f>
        <v>0</v>
      </c>
      <c r="CS351" s="535">
        <f>Sheet1!BK349+Sheet1!BL349+Sheet1!BM349-Sheet1!ER349-DA351</f>
        <v>6.89</v>
      </c>
      <c r="CT351" s="535">
        <f t="shared" si="724"/>
        <v>6.8685825303077399</v>
      </c>
      <c r="CU351" s="535">
        <f>IF(Sheet1!ER349="FM",DA351,0)</f>
        <v>0</v>
      </c>
      <c r="CV351" s="535">
        <f t="shared" si="725"/>
        <v>0</v>
      </c>
      <c r="CW351" s="535">
        <f>IF(Sheet1!ER349="OTHER",DA351,0)</f>
        <v>0</v>
      </c>
      <c r="CX351" s="535">
        <f t="shared" si="726"/>
        <v>0</v>
      </c>
      <c r="CY351" s="535">
        <f t="shared" si="727"/>
        <v>6.89</v>
      </c>
      <c r="CZ351" s="535">
        <f t="shared" si="728"/>
        <v>6.8685825303077399</v>
      </c>
      <c r="DA351" s="535">
        <f>IF(OR(Sheet1!ER349="FM", Sheet1!ER349="OTHER"),SUM(Sheet1!BK349:'Sheet1'!BM349),0)</f>
        <v>0</v>
      </c>
      <c r="DB351" s="1011">
        <f>IF(AND($B351&gt;=$FV351,$B351&lt;=$FW351),MAX($CT351,Sheet1!EK349,0),MAX($CT351-(7/36)*$K351,0))</f>
        <v>0</v>
      </c>
      <c r="DC351" s="1012">
        <f t="shared" si="729"/>
        <v>0</v>
      </c>
      <c r="DD351" s="1011">
        <f t="shared" si="730"/>
        <v>6.8685825303077399</v>
      </c>
      <c r="DE351" s="521">
        <f>IF(AND($O351&gt;0,Sheet1!EO349=1),(1-($O351-Sheet1!$L349)/$O351)*CZ351,0)</f>
        <v>0</v>
      </c>
      <c r="DF351" s="521">
        <f>IF(AND(Sheet1!$L349=0,Sheet1!$L348=0, Calculation!CY351&lt;Sheet1!$EK349-0.1,Sheet1!$EK349=Sheet1!$EK348,Sheet1!$EK349=Sheet1!$EK350),CZ351-DE351,CZ351-DE351)</f>
        <v>6.8685825303077399</v>
      </c>
      <c r="DG351" s="1040">
        <f t="shared" si="830"/>
        <v>12.568888888888889</v>
      </c>
      <c r="DH351" s="649">
        <f t="shared" si="731"/>
        <v>10.66</v>
      </c>
      <c r="DI351" s="535">
        <f t="shared" si="732"/>
        <v>0</v>
      </c>
      <c r="DJ351" s="649">
        <f t="shared" si="733"/>
        <v>10.626863537457258</v>
      </c>
      <c r="DK351" s="535">
        <f ca="1">IF(B351&gt;(Summary!$A$1-1),#N/A,DI351*MGtoAF)</f>
        <v>0</v>
      </c>
      <c r="DL351" s="649">
        <f t="shared" si="734"/>
        <v>10.659999999999998</v>
      </c>
      <c r="DM351" s="535">
        <f t="shared" si="735"/>
        <v>32.17</v>
      </c>
      <c r="DN351" s="535">
        <f>Sheet1!AB349-DM351</f>
        <v>-0.10000000000000142</v>
      </c>
      <c r="DO351" s="743">
        <f t="shared" si="736"/>
        <v>-3.1084861672365997E-3</v>
      </c>
      <c r="DP351" s="535">
        <f>(VLOOKUP(Sheet1!DC349,hhdcap_wcm,4)-(((VLOOKUP(Sheet1!DC349,hhdcap_wcm,3)-Sheet1!DC349)/(VLOOKUP(Sheet1!DC349,hhdcap_wcm,3)-VLOOKUP(Sheet1!DC349,hhdcap_wcm,1)))*(VLOOKUP(Sheet1!DC349,hhdcap_wcm,4)-VLOOKUP(Sheet1!DC349,hhdcap_wcm,2))))</f>
        <v>788.80000000267387</v>
      </c>
      <c r="DQ351" s="535">
        <f t="shared" si="737"/>
        <v>104.80000000032283</v>
      </c>
      <c r="DR351" s="535">
        <f t="shared" si="738"/>
        <v>52.849218356189013</v>
      </c>
      <c r="DS351" s="535">
        <f>Sheet1!EA349*AFtoMG</f>
        <v>0</v>
      </c>
      <c r="DT351" s="535">
        <f>Sheet1!EB349*AFtoMG</f>
        <v>0</v>
      </c>
      <c r="DU351" s="535">
        <f>Sheet1!EC349*AFtoMG</f>
        <v>0</v>
      </c>
      <c r="DV351" s="535">
        <f>Sheet1!ED349*AFtoMG</f>
        <v>0</v>
      </c>
      <c r="DW351" s="535">
        <f t="shared" si="739"/>
        <v>0</v>
      </c>
      <c r="DX351" s="535">
        <f t="shared" si="740"/>
        <v>0</v>
      </c>
      <c r="DY351" s="535">
        <f t="shared" si="741"/>
        <v>0</v>
      </c>
      <c r="DZ351" s="535">
        <f t="shared" si="742"/>
        <v>0</v>
      </c>
      <c r="EA351" s="535"/>
      <c r="EB351" s="521">
        <f>IF(OR(B351&lt;FV351,B351&gt;FW351),(MIN(BF351+BY351+CT351+MAX(Sheet1!AA349+AQ351-73,0),K351)),0)</f>
        <v>10.626863537457258</v>
      </c>
      <c r="EC351" s="535"/>
      <c r="ED351" s="535">
        <f t="shared" si="743"/>
        <v>10.626863537457258</v>
      </c>
      <c r="EE351" s="535"/>
      <c r="EF351" s="535">
        <f>Sheet1!EH349+Sheet1!EI349+Sheet1!EJ349+Sheet1!EK349</f>
        <v>10.5</v>
      </c>
      <c r="EG351" s="1019">
        <f t="shared" si="831"/>
        <v>16.243500000000001</v>
      </c>
      <c r="EH351" s="521">
        <f t="shared" si="744"/>
        <v>0</v>
      </c>
      <c r="EI351" s="535">
        <f>IF(Sheet1!ET349=1,SUM('Calculations II'!AT351:BA351)+'Calculations II'!BC351+Sheet1!BV349+'Calculations II'!BE351+AP351,'Calculations II'!BK351)</f>
        <v>45.552372462542749</v>
      </c>
      <c r="EJ351" s="535">
        <f ca="1">EI351+'Calculations II'!D351+'Calculations II'!E351+'Calculations II'!O351</f>
        <v>44.638563846720025</v>
      </c>
      <c r="EK351" s="535"/>
      <c r="EL351" s="535"/>
      <c r="EM351" s="535">
        <f t="shared" si="745"/>
        <v>43075</v>
      </c>
      <c r="EN351" s="535">
        <f t="shared" si="746"/>
        <v>0</v>
      </c>
      <c r="EO351" s="535">
        <f t="shared" si="747"/>
        <v>0</v>
      </c>
      <c r="EP351" s="535">
        <v>0</v>
      </c>
      <c r="EQ351" s="535">
        <v>0</v>
      </c>
      <c r="ER351" s="535">
        <v>0</v>
      </c>
      <c r="ES351" s="521">
        <f t="shared" si="797"/>
        <v>1.1077244184325747</v>
      </c>
      <c r="ET351" s="535">
        <f>-(VLOOKUP(Sheet1!BQ349,Lookup!$O$4:$Q$262,2)-VLOOKUP(Sheet1!BQ348,Lookup!$O$4:$Q$262,2))/1000000</f>
        <v>0.55374686845194176</v>
      </c>
      <c r="EU351" s="535">
        <f>-(VLOOKUP(Sheet1!BR349,Lookup!$O$4:$Q$262,3)-VLOOKUP(Sheet1!BR348,Lookup!$O$4:$Q$262,3))/1000000</f>
        <v>0.55397754998063298</v>
      </c>
      <c r="EV351" s="535"/>
      <c r="EW351" s="535"/>
      <c r="EX351" s="535"/>
      <c r="EY351" s="535"/>
      <c r="EZ351" s="535"/>
      <c r="FA351" s="535"/>
      <c r="FB351" s="535"/>
      <c r="FC351" s="535"/>
      <c r="FD351" s="567" t="e">
        <f t="shared" si="786"/>
        <v>#N/A</v>
      </c>
      <c r="FE351" s="567" t="e">
        <f t="shared" si="748"/>
        <v>#N/A</v>
      </c>
      <c r="FF351" s="568" t="e">
        <f t="shared" si="749"/>
        <v>#N/A</v>
      </c>
      <c r="FG351" s="569" t="s">
        <v>656</v>
      </c>
      <c r="FH351" s="569" t="s">
        <v>656</v>
      </c>
      <c r="FI351" s="567" t="e">
        <v>#N/A</v>
      </c>
      <c r="FJ351" s="567" t="e">
        <v>#N/A</v>
      </c>
      <c r="FK351" s="535"/>
      <c r="FL351" s="1015" t="e">
        <f t="shared" si="785"/>
        <v>#N/A</v>
      </c>
      <c r="FM351" s="535"/>
      <c r="FN351" s="535"/>
      <c r="FO351" s="535">
        <f>O351+((Sheet1!CS349)*GPMtoMGD)</f>
        <v>55.370000000000005</v>
      </c>
      <c r="FP351" s="535">
        <f>IF(Sheet1!AA349+AQ351&lt;=Calculation!N351,AQ351,Calculation!N351-Sheet1!AA349)</f>
        <v>21.443136462542743</v>
      </c>
      <c r="FQ351" s="535">
        <f>(Sheet1!BP349+Sheet1!BO349)/694.4</f>
        <v>1.4984158986175116</v>
      </c>
      <c r="FR351" s="541"/>
      <c r="FS351" s="541"/>
      <c r="FT351" s="541"/>
      <c r="FU351" s="541"/>
      <c r="FV351" s="1109">
        <f t="shared" si="798"/>
        <v>42918</v>
      </c>
      <c r="FW351" s="1109">
        <f t="shared" si="799"/>
        <v>43027</v>
      </c>
      <c r="FX351" s="541"/>
      <c r="FY351" s="541">
        <f>Sheet1!DA349-Sheet1!CZ349-Sheet1!AE349</f>
        <v>718.68470000000184</v>
      </c>
      <c r="FZ351" s="535">
        <f t="shared" si="832"/>
        <v>0.79076340220643793</v>
      </c>
      <c r="GA351" s="535"/>
      <c r="GB351" s="535" t="str">
        <f t="shared" si="800"/>
        <v>n</v>
      </c>
      <c r="GC351" s="539">
        <f t="shared" si="801"/>
        <v>42782</v>
      </c>
      <c r="GD351" s="1109">
        <f t="shared" si="802"/>
        <v>42904</v>
      </c>
      <c r="GE351" s="535">
        <f t="shared" si="818"/>
        <v>6520</v>
      </c>
      <c r="GF351" s="1109">
        <f t="shared" si="803"/>
        <v>42909</v>
      </c>
      <c r="GG351" s="535">
        <f t="shared" si="845"/>
        <v>3260</v>
      </c>
      <c r="GH351" s="539">
        <f t="shared" si="804"/>
        <v>43040</v>
      </c>
      <c r="GJ351" s="521">
        <f t="shared" si="805"/>
        <v>0</v>
      </c>
      <c r="GK351" s="535" t="str">
        <f t="shared" si="750"/>
        <v/>
      </c>
      <c r="GL351" s="535">
        <f t="shared" si="806"/>
        <v>0</v>
      </c>
      <c r="GM351" s="535" t="str">
        <f t="shared" si="807"/>
        <v/>
      </c>
      <c r="GN351" s="535">
        <f>IF(GK351="P",Lookup!$M$12,IF(GK351="PP",Lookup!$M$13,IF(GK351="PPP",Lookup!$M$14,IF(GK351="T",Lookup!$M$15,IF(GK351="TP",Lookup!$M$16,IF(GK351="TPP",Lookup!$M$17,IF(GK351="TPPP",Lookup!$M$18,0)))))))*GJ351</f>
        <v>0</v>
      </c>
      <c r="GO351" s="535">
        <f t="shared" si="808"/>
        <v>0</v>
      </c>
      <c r="GP351" s="535">
        <f t="shared" si="751"/>
        <v>0</v>
      </c>
      <c r="GQ351" s="974">
        <f t="shared" si="695"/>
        <v>0</v>
      </c>
      <c r="GR351" s="535"/>
      <c r="GS351" s="535">
        <f t="shared" si="809"/>
        <v>0</v>
      </c>
      <c r="GT351" s="535" t="str">
        <f t="shared" si="810"/>
        <v/>
      </c>
      <c r="GU351" s="535">
        <f>IF(GK351="P",Lookup!$N$12,IF(GK351="PP",Lookup!$N$13,IF(GK351="PPP",Lookup!$N$14,IF(GK351="T",Lookup!$N$15,IF(GK351="TP",Lookup!$N$16,IF(GK351="TPP",Lookup!$N$17,IF(GK351="TPPP",Lookup!$N$18,0)))))))*GJ351</f>
        <v>0</v>
      </c>
      <c r="GV351" s="535">
        <f t="shared" si="811"/>
        <v>0</v>
      </c>
      <c r="GW351" s="535">
        <f t="shared" si="752"/>
        <v>0</v>
      </c>
      <c r="GX351" s="974">
        <f t="shared" si="696"/>
        <v>0</v>
      </c>
      <c r="GY351" s="535"/>
      <c r="GZ351" s="535">
        <f t="shared" si="812"/>
        <v>0</v>
      </c>
      <c r="HA351" s="535" t="str">
        <f t="shared" si="813"/>
        <v/>
      </c>
      <c r="HB351" s="535">
        <f>IF(GK351="P",Lookup!$N$12,IF(GK351="PP",Lookup!$N$13,IF(GK351="PPP",Lookup!$N$14,IF(GK351="T",Lookup!$N$15,IF(GK351="TP",Lookup!$N$16,IF(GK351="TPP",Lookup!$N$17,IF(GK351="TPPP",Lookup!$N$18,0)))))))*GJ351</f>
        <v>0</v>
      </c>
      <c r="HC351" s="521">
        <f t="shared" si="753"/>
        <v>0</v>
      </c>
      <c r="HD351" s="535">
        <f t="shared" si="754"/>
        <v>0</v>
      </c>
      <c r="HE351" s="535">
        <f t="shared" si="816"/>
        <v>0</v>
      </c>
      <c r="HF351" s="535"/>
      <c r="HG351" s="535">
        <f t="shared" si="814"/>
        <v>0</v>
      </c>
      <c r="HH351" s="535" t="str">
        <f t="shared" si="815"/>
        <v/>
      </c>
      <c r="HI351" s="535">
        <f>IF(GK351="P",Lookup!$N$12,IF(GK351="PP",Lookup!$N$13,IF(GK351="PPP",Lookup!$N$14,IF(GK351="T",Lookup!$N$15,IF(GK351="TP",Lookup!$N$16,IF(GK351="TPP",Lookup!$N$17,IF(GK351="TPPP",Lookup!$N$18,0)))))))*GJ351</f>
        <v>0</v>
      </c>
      <c r="HJ351" s="521">
        <f t="shared" si="755"/>
        <v>0</v>
      </c>
      <c r="HK351" s="535">
        <f t="shared" si="756"/>
        <v>0</v>
      </c>
      <c r="HL351" s="535">
        <f t="shared" si="817"/>
        <v>0</v>
      </c>
      <c r="HM351" s="535"/>
      <c r="HN351" s="541"/>
      <c r="HO351" s="541"/>
      <c r="HP351" s="541"/>
      <c r="HQ351" s="541">
        <f>IF(AND(B351&gt;=$FV$4,B351&lt;=$FW$4),MAX(110/1.02+$HQ$6+MIN(113/1.02,G351),IF($HV$6-(Sheet1!DA349-Sheet1!DB349)+MIN(113/1.02,G351)&lt;G351+FL351,$HV$6-(Sheet1!DA349-Sheet1!DB349)+MIN(113/1.02,G351),G351+FL351)),MIN(110/1.02+$HQ$6+113/1.02,G351))</f>
        <v>218.62745098039215</v>
      </c>
      <c r="HR351" s="541">
        <f t="shared" si="833"/>
        <v>223</v>
      </c>
      <c r="HS351" s="541">
        <f>HR351+(Sheet1!DA349-Sheet1!DB349)</f>
        <v>881</v>
      </c>
      <c r="HT351" s="541">
        <f t="shared" si="834"/>
        <v>0</v>
      </c>
      <c r="HU351" s="541">
        <f t="shared" si="835"/>
        <v>881</v>
      </c>
      <c r="HV351" s="541">
        <f t="shared" si="836"/>
        <v>0</v>
      </c>
      <c r="HW351" s="533" t="str">
        <f t="shared" si="837"/>
        <v/>
      </c>
      <c r="HX351" s="541">
        <f t="shared" si="838"/>
        <v>637.37254901960785</v>
      </c>
      <c r="HY351" s="541">
        <f>Sheet1!CZ349</f>
        <v>856</v>
      </c>
      <c r="HZ351" s="541">
        <f t="shared" si="839"/>
        <v>0</v>
      </c>
      <c r="IA351" s="541">
        <f t="shared" si="840"/>
        <v>0</v>
      </c>
      <c r="IB351" s="541">
        <f t="shared" si="841"/>
        <v>856</v>
      </c>
      <c r="IC351" s="1019" t="str">
        <f t="shared" si="842"/>
        <v/>
      </c>
      <c r="ID351" s="541">
        <f t="shared" si="843"/>
        <v>856</v>
      </c>
      <c r="IE351" s="541">
        <f>Sheet1!DB349</f>
        <v>932</v>
      </c>
      <c r="IF351" s="533">
        <f>Sheet1!DA349</f>
        <v>1590</v>
      </c>
      <c r="IH351" s="541">
        <f>IF(AND($B351&gt;=$GC351,$B351&lt;=$GH351,$DR351&lt;0)+N("only adjusted when pool is drawn down during storage season"),Sheet1!$DB349+$DR351+N("Palmer minus all storage release"),Sheet1!$DB349)</f>
        <v>932</v>
      </c>
      <c r="II351" s="541">
        <f>IF(AND($B351&gt;=$GC351,$B351&lt;=$GH351,$DR351&lt;0)+N("only adjusted when pool is drawn down during storage season"),Sheet1!$DA349+$DR351+N("Auburn minus all storage release"),Sheet1!$DA349)</f>
        <v>1590</v>
      </c>
    </row>
    <row r="352" spans="1:243" x14ac:dyDescent="0.25">
      <c r="A352" s="553" t="s">
        <v>7</v>
      </c>
      <c r="B352" s="531">
        <v>43076</v>
      </c>
      <c r="C352" s="536">
        <v>0</v>
      </c>
      <c r="D352" s="506">
        <f t="shared" si="787"/>
        <v>300</v>
      </c>
      <c r="E352" s="506">
        <f t="shared" si="788"/>
        <v>250</v>
      </c>
      <c r="F352" s="506">
        <v>250</v>
      </c>
      <c r="G352" s="535">
        <f>DR352+Sheet1!CZ350</f>
        <v>875.77206253155919</v>
      </c>
      <c r="H352" s="1074">
        <f t="shared" si="844"/>
        <v>396.26608255999997</v>
      </c>
      <c r="I352" s="534">
        <f>IF(Sheet1!DA350&gt;=E352,(Sheet1!DA350-E352+P352)*CFStoMGD,0)</f>
        <v>840.34288255999991</v>
      </c>
      <c r="J352" s="995">
        <f>IF(Sheet1!DB350&gt;=D352,(Sheet1!DB350-D352+P352)*CFStoMGD,0)</f>
        <v>396.26608255999997</v>
      </c>
      <c r="K352" s="818">
        <f t="shared" si="819"/>
        <v>64.64</v>
      </c>
      <c r="L352" s="535">
        <f>Sheet1!AA350+Sheet1!AB350-Sheet1!L350+(Sheet1!DA350-F352)*CFStoMGD-S352-T352-U352</f>
        <v>763.61400000000117</v>
      </c>
      <c r="M352" s="535">
        <f t="shared" si="697"/>
        <v>577.42104244480788</v>
      </c>
      <c r="N352" s="824">
        <f>IF(Sheet1!DA350&gt;=F352,MIN(113*CFStoMGD,MIN(MAX(L352,0),MAX(M352,0))),0)</f>
        <v>73.043199999999999</v>
      </c>
      <c r="O352" s="538">
        <f>Sheet1!AA350+Sheet1!AB350</f>
        <v>58.2</v>
      </c>
      <c r="P352" s="538">
        <f t="shared" si="698"/>
        <v>90.035399999999981</v>
      </c>
      <c r="Q352" s="812">
        <f t="shared" si="820"/>
        <v>0</v>
      </c>
      <c r="R352" s="812">
        <f t="shared" si="789"/>
        <v>10.441016333938293</v>
      </c>
      <c r="S352" s="812">
        <f t="shared" si="790"/>
        <v>58.2</v>
      </c>
      <c r="T352" s="812">
        <f t="shared" si="791"/>
        <v>0</v>
      </c>
      <c r="U352" s="812">
        <f>IF(AND(B352&gt;=FV352,B352&lt;=FW352),ED352+Sheet1!EH350,0)</f>
        <v>0</v>
      </c>
      <c r="V352" s="812"/>
      <c r="W352" s="812">
        <f t="shared" si="792"/>
        <v>54.198983666061707</v>
      </c>
      <c r="X352" s="812">
        <f t="shared" si="793"/>
        <v>58.2</v>
      </c>
      <c r="Y352" s="812" t="str">
        <f t="shared" si="794"/>
        <v/>
      </c>
      <c r="Z352" s="812">
        <f t="shared" si="795"/>
        <v>58.2</v>
      </c>
      <c r="AA352" s="812">
        <f t="shared" si="796"/>
        <v>58.2</v>
      </c>
      <c r="AB352" s="1059">
        <f t="shared" si="821"/>
        <v>0</v>
      </c>
      <c r="AC352" s="538">
        <f>Sheet1!Y350*MGDtoCFS</f>
        <v>36.045099999999998</v>
      </c>
      <c r="AD352" s="538">
        <f>Sheet1!Z350*MGDtoCFS</f>
        <v>49.503999999999998</v>
      </c>
      <c r="AE352" s="538">
        <f>Sheet1!AA350*MGDtoCFS</f>
        <v>38.984399999999994</v>
      </c>
      <c r="AF352" s="538">
        <f>Sheet1!AB350*MGDtoCFS</f>
        <v>51.050999999999995</v>
      </c>
      <c r="AG352" s="538">
        <f>Sheet1!L350*MGDtoCFS</f>
        <v>28.665909999998199</v>
      </c>
      <c r="AH352" s="521">
        <f t="shared" si="699"/>
        <v>0</v>
      </c>
      <c r="AI352" s="1059">
        <f t="shared" si="700"/>
        <v>0</v>
      </c>
      <c r="AJ352" s="535">
        <f t="shared" si="701"/>
        <v>0</v>
      </c>
      <c r="AK352" s="535">
        <f t="shared" si="702"/>
        <v>0</v>
      </c>
      <c r="AL352" s="535">
        <f>(VLOOKUP(Sheet1!DC350,hhdcap_wcm,4)-(((VLOOKUP(Sheet1!DC350,hhdcap_wcm,3)-Sheet1!DC350)/(VLOOKUP(Sheet1!DC350,hhdcap_wcm,3)-VLOOKUP(Sheet1!DC350,hhdcap_wcm,1)))*(VLOOKUP(Sheet1!DC350,hhdcap_wcm,4)-VLOOKUP(Sheet1!DC350,hhdcap_wcm,2))))</f>
        <v>875.60000000275579</v>
      </c>
      <c r="AM352" s="535">
        <f t="shared" si="703"/>
        <v>86.800000000081923</v>
      </c>
      <c r="AN352" s="1035">
        <f t="shared" si="704"/>
        <v>0</v>
      </c>
      <c r="AO352" s="535">
        <f t="shared" si="705"/>
        <v>0</v>
      </c>
      <c r="AP352" s="535">
        <f>Sheet1!BA350+Sheet1!BB350+Sheet1!BN350+CD352</f>
        <v>22.6</v>
      </c>
      <c r="AQ352" s="535">
        <f>Sheet1!BN350+(DO352*Sheet1!BN350)</f>
        <v>22.558983666061707</v>
      </c>
      <c r="AR352" s="535">
        <f>Sheet1!BA350+CD352</f>
        <v>0</v>
      </c>
      <c r="AS352" s="535">
        <f>Sheet1!BA350+Sheet1!BB350+CD352</f>
        <v>0</v>
      </c>
      <c r="AT352" s="649">
        <f>0</f>
        <v>0</v>
      </c>
      <c r="AU352" s="974">
        <f>BA352+MAX(Sheet1!EH350,(O352-Q352-ED352-S352))</f>
        <v>0</v>
      </c>
      <c r="AV352" s="535">
        <f>IF(OR(B352&gt;=GD352,B352&lt;GC352),0,15/36*K352-MAX(0,64.6-(137.6-(Sheet1!AA350+Sheet1!AB350))))</f>
        <v>0</v>
      </c>
      <c r="AW352" s="1029"/>
      <c r="AX352" s="649"/>
      <c r="AY352" s="649">
        <f t="shared" si="822"/>
        <v>23.311716569431731</v>
      </c>
      <c r="AZ352" s="649">
        <f t="shared" si="823"/>
        <v>0</v>
      </c>
      <c r="BA352" s="1059">
        <f t="shared" si="824"/>
        <v>0</v>
      </c>
      <c r="BB352" s="1019">
        <f t="shared" si="706"/>
        <v>0</v>
      </c>
      <c r="BC352" s="1041">
        <f t="shared" si="825"/>
        <v>26.933333333333334</v>
      </c>
      <c r="BD352" s="1019">
        <f ca="1">IF(B352&gt;(Summary!$A$1-1),#N/A,BB352*MGtoAF)</f>
        <v>0</v>
      </c>
      <c r="BE352" s="535">
        <f>Sheet1!BG350+Sheet1!BH350+Sheet1!BI350-BM352</f>
        <v>1.01</v>
      </c>
      <c r="BF352" s="535">
        <f t="shared" si="707"/>
        <v>1.0081669691470054</v>
      </c>
      <c r="BG352" s="535">
        <f>IF(Sheet1!EP350="FM",BM352,0)</f>
        <v>0</v>
      </c>
      <c r="BH352" s="535">
        <f t="shared" si="708"/>
        <v>0</v>
      </c>
      <c r="BI352" s="535">
        <f>IF(Sheet1!EP350="OTHER",BM352,0)</f>
        <v>0</v>
      </c>
      <c r="BJ352" s="535">
        <f t="shared" si="709"/>
        <v>0</v>
      </c>
      <c r="BK352" s="535">
        <f t="shared" si="710"/>
        <v>1.01</v>
      </c>
      <c r="BL352" s="535">
        <f t="shared" si="711"/>
        <v>1.0081669691470054</v>
      </c>
      <c r="BM352" s="535">
        <f>IF(OR(Sheet1!EP350="FM", Sheet1!EP350="OTHER"),SUM(Sheet1!BG350:'Sheet1'!BI350),0)</f>
        <v>0</v>
      </c>
      <c r="BN352" s="521">
        <f>IF(AND($B352&gt;=$FV352,$B352&lt;=$FW352),MAX(BF352,Sheet1!EI350,0),MAX(BF352-(7/36)*$K352,0))</f>
        <v>0</v>
      </c>
      <c r="BO352" s="535">
        <f t="shared" si="712"/>
        <v>0</v>
      </c>
      <c r="BP352" s="521">
        <f t="shared" si="713"/>
        <v>1.0081669691470054</v>
      </c>
      <c r="BQ352" s="521">
        <f>IF(AND($O352&gt;0,Sheet1!EM350=1),(1-($O352-Sheet1!$L350)/$O352)*BL352,0)</f>
        <v>0</v>
      </c>
      <c r="BR352" s="521">
        <f>IF(AND(Sheet1!$L350=0,Sheet1!$L349=0, Calculation!BK352&lt;Sheet1!$EI350-0.1,Sheet1!$EI350=Sheet1!$EI349,Sheet1!$EI350=Sheet1!$EI351),BL352-BQ352,BL352-BQ352)</f>
        <v>1.0081669691470054</v>
      </c>
      <c r="BS352" s="1035" t="str">
        <f t="shared" si="826"/>
        <v/>
      </c>
      <c r="BT352" s="1035">
        <f t="shared" si="827"/>
        <v>12.568888888888889</v>
      </c>
      <c r="BU352" s="535">
        <f t="shared" si="714"/>
        <v>0</v>
      </c>
      <c r="BV352" s="535"/>
      <c r="BW352" s="535">
        <f ca="1">IF(B352&gt;(Summary!$A$1-1),#N/A,BU352*MGtoAF)</f>
        <v>0</v>
      </c>
      <c r="BX352" s="535">
        <f>Sheet1!BC350+Sheet1!BD350+Sheet1!BE350+Sheet1!BF350-CG352-CH352</f>
        <v>3</v>
      </c>
      <c r="BY352" s="535">
        <f t="shared" si="715"/>
        <v>2.9945553539019962</v>
      </c>
      <c r="BZ352" s="535">
        <f>IF(Sheet1!EQ350="FM",CH352,0)</f>
        <v>0</v>
      </c>
      <c r="CA352" s="535">
        <f t="shared" si="716"/>
        <v>0</v>
      </c>
      <c r="CB352" s="535">
        <f>IF(Sheet1!EQ350="OTHER",CH352,0)</f>
        <v>0</v>
      </c>
      <c r="CC352" s="535">
        <f t="shared" si="717"/>
        <v>0</v>
      </c>
      <c r="CD352" s="535">
        <f t="shared" si="718"/>
        <v>0</v>
      </c>
      <c r="CE352" s="535">
        <f t="shared" si="719"/>
        <v>3</v>
      </c>
      <c r="CF352" s="535">
        <f t="shared" si="720"/>
        <v>2.9945553539019962</v>
      </c>
      <c r="CG352" s="535">
        <f>IF(Sheet1!EQ350="CWA",SUM(Sheet1!BC350:'Sheet1'!BF350),0)</f>
        <v>0</v>
      </c>
      <c r="CH352" s="535">
        <f>IF(OR(Sheet1!EQ350="FM", Sheet1!EQ350="OTHER"),SUM(Sheet1!BC350:'Sheet1'!BF350),0)</f>
        <v>0</v>
      </c>
      <c r="CI352" s="521">
        <f>IF(AND($B352&gt;=$FV352,$B352&lt;=$FW352),MAX(CF352,Sheet1!EJ350,0),MAX(CF352-(7/36)*$K352,0))</f>
        <v>0</v>
      </c>
      <c r="CJ352" s="535">
        <f t="shared" si="721"/>
        <v>0</v>
      </c>
      <c r="CK352" s="521">
        <f t="shared" si="722"/>
        <v>2.9945553539019962</v>
      </c>
      <c r="CL352" s="521">
        <f>IF(AND($O352&gt;0,Sheet1!EN350=1),(1-($O352-Sheet1!$L350)/$O352)*CF352,0)</f>
        <v>0</v>
      </c>
      <c r="CM352" s="521">
        <f>IF(AND(Sheet1!$L350=0,Sheet1!$L349=0, Calculation!CE352&lt;Sheet1!EJ350-0.1,Sheet1!EJ350=Sheet1!EJ349,Sheet1!EJ350=Sheet1!EJ351),CF352-CL352,CF352-CL352)</f>
        <v>2.9945553539019962</v>
      </c>
      <c r="CN352" s="1040" t="str">
        <f t="shared" si="828"/>
        <v/>
      </c>
      <c r="CO352" s="1035">
        <f t="shared" si="829"/>
        <v>12.568888888888889</v>
      </c>
      <c r="CP352" s="535">
        <f t="shared" si="723"/>
        <v>0</v>
      </c>
      <c r="CQ352" s="535"/>
      <c r="CR352" s="535">
        <f ca="1">IF(B352&gt;(Summary!$A$1-1),#N/A,CP352*MGtoAF)</f>
        <v>0</v>
      </c>
      <c r="CS352" s="535">
        <f>Sheet1!BK350+Sheet1!BL350+Sheet1!BM350-Sheet1!ER350-DA352</f>
        <v>6.4499999999999993</v>
      </c>
      <c r="CT352" s="535">
        <f t="shared" si="724"/>
        <v>6.4382940108892912</v>
      </c>
      <c r="CU352" s="535">
        <f>IF(Sheet1!ER350="FM",DA352,0)</f>
        <v>0</v>
      </c>
      <c r="CV352" s="535">
        <f t="shared" si="725"/>
        <v>0</v>
      </c>
      <c r="CW352" s="535">
        <f>IF(Sheet1!ER350="OTHER",DA352,0)</f>
        <v>0</v>
      </c>
      <c r="CX352" s="535">
        <f t="shared" si="726"/>
        <v>0</v>
      </c>
      <c r="CY352" s="535">
        <f t="shared" si="727"/>
        <v>6.4499999999999993</v>
      </c>
      <c r="CZ352" s="535">
        <f t="shared" si="728"/>
        <v>6.4382940108892912</v>
      </c>
      <c r="DA352" s="535">
        <f>IF(OR(Sheet1!ER350="FM", Sheet1!ER350="OTHER"),SUM(Sheet1!BK350:'Sheet1'!BM350),0)</f>
        <v>0</v>
      </c>
      <c r="DB352" s="1011">
        <f>IF(AND($B352&gt;=$FV352,$B352&lt;=$FW352),MAX($CT352,Sheet1!EK350,0),MAX($CT352-(7/36)*$K352,0))</f>
        <v>0</v>
      </c>
      <c r="DC352" s="1012">
        <f t="shared" si="729"/>
        <v>0</v>
      </c>
      <c r="DD352" s="1011">
        <f t="shared" si="730"/>
        <v>6.4382940108892912</v>
      </c>
      <c r="DE352" s="521">
        <f>IF(AND($O352&gt;0,Sheet1!EO350=1),(1-($O352-Sheet1!$L350)/$O352)*CZ352,0)</f>
        <v>0</v>
      </c>
      <c r="DF352" s="521">
        <f>IF(AND(Sheet1!$L350=0,Sheet1!$L349=0, Calculation!CY352&lt;Sheet1!$EK350-0.1,Sheet1!$EK350=Sheet1!$EK349,Sheet1!$EK350=Sheet1!$EK351),CZ352-DE352,CZ352-DE352)</f>
        <v>6.4382940108892912</v>
      </c>
      <c r="DG352" s="1040">
        <f t="shared" si="830"/>
        <v>12.568888888888889</v>
      </c>
      <c r="DH352" s="649">
        <f t="shared" si="731"/>
        <v>10.459999999999999</v>
      </c>
      <c r="DI352" s="535">
        <f t="shared" si="732"/>
        <v>0</v>
      </c>
      <c r="DJ352" s="649">
        <f t="shared" si="733"/>
        <v>10.441016333938293</v>
      </c>
      <c r="DK352" s="535">
        <f ca="1">IF(B352&gt;(Summary!$A$1-1),#N/A,DI352*MGtoAF)</f>
        <v>0</v>
      </c>
      <c r="DL352" s="649">
        <f t="shared" si="734"/>
        <v>10.459999999999999</v>
      </c>
      <c r="DM352" s="535">
        <f t="shared" si="735"/>
        <v>33.06</v>
      </c>
      <c r="DN352" s="535">
        <f>Sheet1!AB350-DM352</f>
        <v>-6.0000000000002274E-2</v>
      </c>
      <c r="DO352" s="743">
        <f t="shared" si="736"/>
        <v>-1.8148820326679453E-3</v>
      </c>
      <c r="DP352" s="535">
        <f>(VLOOKUP(Sheet1!DC350,hhdcap_wcm,4)-(((VLOOKUP(Sheet1!DC350,hhdcap_wcm,3)-Sheet1!DC350)/(VLOOKUP(Sheet1!DC350,hhdcap_wcm,3)-VLOOKUP(Sheet1!DC350,hhdcap_wcm,1)))*(VLOOKUP(Sheet1!DC350,hhdcap_wcm,4)-VLOOKUP(Sheet1!DC350,hhdcap_wcm,2))))</f>
        <v>875.60000000275579</v>
      </c>
      <c r="DQ352" s="535">
        <f t="shared" si="737"/>
        <v>86.800000000081923</v>
      </c>
      <c r="DR352" s="535">
        <f t="shared" si="738"/>
        <v>43.772062531559207</v>
      </c>
      <c r="DS352" s="535">
        <f>Sheet1!EA350*AFtoMG</f>
        <v>0</v>
      </c>
      <c r="DT352" s="535">
        <f>Sheet1!EB350*AFtoMG</f>
        <v>0</v>
      </c>
      <c r="DU352" s="535">
        <f>Sheet1!EC350*AFtoMG</f>
        <v>0</v>
      </c>
      <c r="DV352" s="535">
        <f>Sheet1!ED350*AFtoMG</f>
        <v>0</v>
      </c>
      <c r="DW352" s="535">
        <f t="shared" si="739"/>
        <v>0</v>
      </c>
      <c r="DX352" s="535">
        <f t="shared" si="740"/>
        <v>0</v>
      </c>
      <c r="DY352" s="535">
        <f t="shared" si="741"/>
        <v>0</v>
      </c>
      <c r="DZ352" s="535">
        <f t="shared" si="742"/>
        <v>0</v>
      </c>
      <c r="EA352" s="535"/>
      <c r="EB352" s="521">
        <f>IF(OR(B352&lt;FV352,B352&gt;FW352),(MIN(BF352+BY352+CT352+MAX(Sheet1!AA350+AQ352-73,0),K352)),0)</f>
        <v>10.441016333938293</v>
      </c>
      <c r="EC352" s="535"/>
      <c r="ED352" s="535">
        <f t="shared" si="743"/>
        <v>10.441016333938293</v>
      </c>
      <c r="EE352" s="535"/>
      <c r="EF352" s="535">
        <f>Sheet1!EH350+Sheet1!EI350+Sheet1!EJ350+Sheet1!EK350</f>
        <v>10.5</v>
      </c>
      <c r="EG352" s="1019">
        <f t="shared" si="831"/>
        <v>16.243500000000001</v>
      </c>
      <c r="EH352" s="521">
        <f t="shared" si="744"/>
        <v>0</v>
      </c>
      <c r="EI352" s="535">
        <f>IF(Sheet1!ET350=1,SUM('Calculations II'!AT352:BA352)+'Calculations II'!BC352+Sheet1!BV350+'Calculations II'!BE352+AP352,'Calculations II'!BK352)</f>
        <v>46.071653666061707</v>
      </c>
      <c r="EJ352" s="535">
        <f ca="1">EI352+'Calculations II'!D352+'Calculations II'!E352+'Calculations II'!O352</f>
        <v>47.549373912031832</v>
      </c>
      <c r="EK352" s="535"/>
      <c r="EL352" s="535"/>
      <c r="EM352" s="535">
        <f t="shared" si="745"/>
        <v>43076</v>
      </c>
      <c r="EN352" s="535">
        <f t="shared" si="746"/>
        <v>0</v>
      </c>
      <c r="EO352" s="535">
        <f t="shared" si="747"/>
        <v>0</v>
      </c>
      <c r="EP352" s="535">
        <v>0</v>
      </c>
      <c r="EQ352" s="535">
        <v>0</v>
      </c>
      <c r="ER352" s="535">
        <v>0</v>
      </c>
      <c r="ES352" s="521">
        <f t="shared" si="797"/>
        <v>-0.6922764985519797</v>
      </c>
      <c r="ET352" s="535">
        <f>-(VLOOKUP(Sheet1!BQ350,Lookup!$O$4:$Q$262,2)-VLOOKUP(Sheet1!BQ349,Lookup!$O$4:$Q$262,2))/1000000</f>
        <v>-0.41530054053234683</v>
      </c>
      <c r="EU352" s="535">
        <f>-(VLOOKUP(Sheet1!BR350,Lookup!$O$4:$Q$262,3)-VLOOKUP(Sheet1!BR349,Lookup!$O$4:$Q$262,3))/1000000</f>
        <v>-0.27697595801963287</v>
      </c>
      <c r="EV352" s="535"/>
      <c r="EW352" s="535"/>
      <c r="EX352" s="535"/>
      <c r="EY352" s="535"/>
      <c r="EZ352" s="535"/>
      <c r="FA352" s="535"/>
      <c r="FB352" s="535"/>
      <c r="FC352" s="535"/>
      <c r="FD352" s="567" t="e">
        <f t="shared" si="786"/>
        <v>#N/A</v>
      </c>
      <c r="FE352" s="567" t="e">
        <f t="shared" si="748"/>
        <v>#N/A</v>
      </c>
      <c r="FF352" s="568" t="e">
        <f t="shared" si="749"/>
        <v>#N/A</v>
      </c>
      <c r="FG352" s="569" t="s">
        <v>656</v>
      </c>
      <c r="FH352" s="569" t="s">
        <v>656</v>
      </c>
      <c r="FI352" s="567" t="e">
        <v>#N/A</v>
      </c>
      <c r="FJ352" s="567" t="e">
        <v>#N/A</v>
      </c>
      <c r="FK352" s="535"/>
      <c r="FL352" s="1015" t="e">
        <f t="shared" si="785"/>
        <v>#N/A</v>
      </c>
      <c r="FM352" s="535"/>
      <c r="FN352" s="535"/>
      <c r="FO352" s="535">
        <f>O352+((Sheet1!CS350)*GPMtoMGD)</f>
        <v>58.2</v>
      </c>
      <c r="FP352" s="535">
        <f>IF(Sheet1!AA350+AQ352&lt;=Calculation!N352,AQ352,Calculation!N352-Sheet1!AA350)</f>
        <v>22.558983666061707</v>
      </c>
      <c r="FQ352" s="535">
        <f>(Sheet1!BP350+Sheet1!BO350)/694.4</f>
        <v>1.5213133640552998</v>
      </c>
      <c r="FR352" s="541"/>
      <c r="FS352" s="541"/>
      <c r="FT352" s="541"/>
      <c r="FU352" s="541"/>
      <c r="FV352" s="1109">
        <f t="shared" si="798"/>
        <v>42918</v>
      </c>
      <c r="FW352" s="1109">
        <f t="shared" si="799"/>
        <v>43027</v>
      </c>
      <c r="FX352" s="541"/>
      <c r="FY352" s="541">
        <f>Sheet1!DA350-Sheet1!CZ350-Sheet1!AE350</f>
        <v>566.63050999999825</v>
      </c>
      <c r="FZ352" s="535">
        <f t="shared" si="832"/>
        <v>0.64700683458897079</v>
      </c>
      <c r="GA352" s="535"/>
      <c r="GB352" s="535" t="str">
        <f t="shared" si="800"/>
        <v>n</v>
      </c>
      <c r="GC352" s="539">
        <f t="shared" si="801"/>
        <v>42782</v>
      </c>
      <c r="GD352" s="1109">
        <f t="shared" si="802"/>
        <v>42904</v>
      </c>
      <c r="GE352" s="535">
        <f t="shared" si="818"/>
        <v>6520</v>
      </c>
      <c r="GF352" s="1109">
        <f t="shared" si="803"/>
        <v>42909</v>
      </c>
      <c r="GG352" s="535">
        <f t="shared" si="845"/>
        <v>3260</v>
      </c>
      <c r="GH352" s="539">
        <f t="shared" si="804"/>
        <v>43040</v>
      </c>
      <c r="GJ352" s="521">
        <f t="shared" si="805"/>
        <v>0</v>
      </c>
      <c r="GK352" s="535" t="str">
        <f t="shared" si="750"/>
        <v/>
      </c>
      <c r="GL352" s="535">
        <f t="shared" si="806"/>
        <v>0</v>
      </c>
      <c r="GM352" s="535" t="str">
        <f t="shared" si="807"/>
        <v/>
      </c>
      <c r="GN352" s="535">
        <f>IF(GK352="P",Lookup!$M$12,IF(GK352="PP",Lookup!$M$13,IF(GK352="PPP",Lookup!$M$14,IF(GK352="T",Lookup!$M$15,IF(GK352="TP",Lookup!$M$16,IF(GK352="TPP",Lookup!$M$17,IF(GK352="TPPP",Lookup!$M$18,0)))))))*GJ352</f>
        <v>0</v>
      </c>
      <c r="GO352" s="535">
        <f t="shared" si="808"/>
        <v>0</v>
      </c>
      <c r="GP352" s="535">
        <f t="shared" si="751"/>
        <v>0</v>
      </c>
      <c r="GQ352" s="974">
        <f t="shared" si="695"/>
        <v>0</v>
      </c>
      <c r="GR352" s="535"/>
      <c r="GS352" s="535">
        <f t="shared" si="809"/>
        <v>0</v>
      </c>
      <c r="GT352" s="535" t="str">
        <f t="shared" si="810"/>
        <v/>
      </c>
      <c r="GU352" s="535">
        <f>IF(GK352="P",Lookup!$N$12,IF(GK352="PP",Lookup!$N$13,IF(GK352="PPP",Lookup!$N$14,IF(GK352="T",Lookup!$N$15,IF(GK352="TP",Lookup!$N$16,IF(GK352="TPP",Lookup!$N$17,IF(GK352="TPPP",Lookup!$N$18,0)))))))*GJ352</f>
        <v>0</v>
      </c>
      <c r="GV352" s="535">
        <f t="shared" si="811"/>
        <v>0</v>
      </c>
      <c r="GW352" s="535">
        <f t="shared" si="752"/>
        <v>0</v>
      </c>
      <c r="GX352" s="974">
        <f t="shared" si="696"/>
        <v>0</v>
      </c>
      <c r="GY352" s="535"/>
      <c r="GZ352" s="535">
        <f t="shared" si="812"/>
        <v>0</v>
      </c>
      <c r="HA352" s="535" t="str">
        <f t="shared" si="813"/>
        <v/>
      </c>
      <c r="HB352" s="535">
        <f>IF(GK352="P",Lookup!$N$12,IF(GK352="PP",Lookup!$N$13,IF(GK352="PPP",Lookup!$N$14,IF(GK352="T",Lookup!$N$15,IF(GK352="TP",Lookup!$N$16,IF(GK352="TPP",Lookup!$N$17,IF(GK352="TPPP",Lookup!$N$18,0)))))))*GJ352</f>
        <v>0</v>
      </c>
      <c r="HC352" s="521">
        <f t="shared" si="753"/>
        <v>0</v>
      </c>
      <c r="HD352" s="535">
        <f t="shared" si="754"/>
        <v>0</v>
      </c>
      <c r="HE352" s="535">
        <f t="shared" si="816"/>
        <v>0</v>
      </c>
      <c r="HF352" s="535"/>
      <c r="HG352" s="535">
        <f t="shared" si="814"/>
        <v>0</v>
      </c>
      <c r="HH352" s="535" t="str">
        <f t="shared" si="815"/>
        <v/>
      </c>
      <c r="HI352" s="535">
        <f>IF(GK352="P",Lookup!$N$12,IF(GK352="PP",Lookup!$N$13,IF(GK352="PPP",Lookup!$N$14,IF(GK352="T",Lookup!$N$15,IF(GK352="TP",Lookup!$N$16,IF(GK352="TPP",Lookup!$N$17,IF(GK352="TPPP",Lookup!$N$18,0)))))))*GJ352</f>
        <v>0</v>
      </c>
      <c r="HJ352" s="521">
        <f t="shared" si="755"/>
        <v>0</v>
      </c>
      <c r="HK352" s="535">
        <f t="shared" si="756"/>
        <v>0</v>
      </c>
      <c r="HL352" s="535">
        <f t="shared" si="817"/>
        <v>0</v>
      </c>
      <c r="HM352" s="535"/>
      <c r="HN352" s="541"/>
      <c r="HO352" s="541"/>
      <c r="HP352" s="541"/>
      <c r="HQ352" s="541">
        <f>IF(AND(B352&gt;=$FV$4,B352&lt;=$FW$4),MAX(110/1.02+$HQ$6+MIN(113/1.02,G352),IF($HV$6-(Sheet1!DA350-Sheet1!DB350)+MIN(113/1.02,G352)&lt;G352+FL352,$HV$6-(Sheet1!DA350-Sheet1!DB350)+MIN(113/1.02,G352),G352+FL352)),MIN(110/1.02+$HQ$6+113/1.02,G352))</f>
        <v>218.62745098039215</v>
      </c>
      <c r="HR352" s="541">
        <f t="shared" si="833"/>
        <v>223</v>
      </c>
      <c r="HS352" s="541">
        <f>HR352+(Sheet1!DA350-Sheet1!DB350)</f>
        <v>860</v>
      </c>
      <c r="HT352" s="541">
        <f t="shared" si="834"/>
        <v>0</v>
      </c>
      <c r="HU352" s="541">
        <f t="shared" si="835"/>
        <v>860</v>
      </c>
      <c r="HV352" s="541">
        <f t="shared" si="836"/>
        <v>0</v>
      </c>
      <c r="HW352" s="533" t="str">
        <f t="shared" si="837"/>
        <v/>
      </c>
      <c r="HX352" s="541">
        <f t="shared" si="838"/>
        <v>613.37254901960785</v>
      </c>
      <c r="HY352" s="541">
        <f>Sheet1!CZ350</f>
        <v>832</v>
      </c>
      <c r="HZ352" s="541">
        <f t="shared" si="839"/>
        <v>0</v>
      </c>
      <c r="IA352" s="541">
        <f t="shared" si="840"/>
        <v>0</v>
      </c>
      <c r="IB352" s="541">
        <f t="shared" si="841"/>
        <v>832</v>
      </c>
      <c r="IC352" s="1019" t="str">
        <f t="shared" si="842"/>
        <v/>
      </c>
      <c r="ID352" s="541">
        <f t="shared" si="843"/>
        <v>832</v>
      </c>
      <c r="IE352" s="541">
        <f>Sheet1!DB350</f>
        <v>823</v>
      </c>
      <c r="IF352" s="533">
        <f>Sheet1!DA350</f>
        <v>1460</v>
      </c>
      <c r="IH352" s="541">
        <f>IF(AND($B352&gt;=$GC352,$B352&lt;=$GH352,$DR352&lt;0)+N("only adjusted when pool is drawn down during storage season"),Sheet1!$DB350+$DR352+N("Palmer minus all storage release"),Sheet1!$DB350)</f>
        <v>823</v>
      </c>
      <c r="II352" s="541">
        <f>IF(AND($B352&gt;=$GC352,$B352&lt;=$GH352,$DR352&lt;0)+N("only adjusted when pool is drawn down during storage season"),Sheet1!$DA350+$DR352+N("Auburn minus all storage release"),Sheet1!$DA350)</f>
        <v>1460</v>
      </c>
    </row>
    <row r="353" spans="1:243" x14ac:dyDescent="0.25">
      <c r="A353" s="553" t="s">
        <v>8</v>
      </c>
      <c r="B353" s="531">
        <v>43077</v>
      </c>
      <c r="C353" s="536">
        <v>0</v>
      </c>
      <c r="D353" s="506">
        <f t="shared" si="787"/>
        <v>300</v>
      </c>
      <c r="E353" s="506">
        <f t="shared" si="788"/>
        <v>250</v>
      </c>
      <c r="F353" s="506">
        <v>250</v>
      </c>
      <c r="G353" s="535">
        <f>DR353+Sheet1!CZ351</f>
        <v>790.61976802828133</v>
      </c>
      <c r="H353" s="1074">
        <f t="shared" si="844"/>
        <v>342.07565567999995</v>
      </c>
      <c r="I353" s="534">
        <f>IF(Sheet1!DA351&gt;=E353,(Sheet1!DA351-E353+P353)*CFStoMGD,0)</f>
        <v>770.63885568000001</v>
      </c>
      <c r="J353" s="995">
        <f>IF(Sheet1!DB351&gt;=D353,(Sheet1!DB351-D353+P353)*CFStoMGD,0)</f>
        <v>342.07565567999995</v>
      </c>
      <c r="K353" s="818">
        <f t="shared" si="819"/>
        <v>64.64</v>
      </c>
      <c r="L353" s="535">
        <f>Sheet1!AA351+Sheet1!AB351-Sheet1!L351+(Sheet1!DA351-F353)*CFStoMGD-S353-T353-U353</f>
        <v>711.04</v>
      </c>
      <c r="M353" s="535">
        <f t="shared" si="697"/>
        <v>521.27775041455072</v>
      </c>
      <c r="N353" s="824">
        <f>IF(Sheet1!DA351&gt;=F353,MIN(113*CFStoMGD,MIN(MAX(L353,0),MAX(M353,0))),0)</f>
        <v>73.043199999999999</v>
      </c>
      <c r="O353" s="538">
        <f>Sheet1!AA351+Sheet1!AB351</f>
        <v>59.6</v>
      </c>
      <c r="P353" s="538">
        <f t="shared" si="698"/>
        <v>92.2012</v>
      </c>
      <c r="Q353" s="812">
        <f t="shared" si="820"/>
        <v>0</v>
      </c>
      <c r="R353" s="812">
        <f t="shared" si="789"/>
        <v>10.513628104179286</v>
      </c>
      <c r="S353" s="812">
        <f t="shared" si="790"/>
        <v>59.6</v>
      </c>
      <c r="T353" s="812">
        <f t="shared" si="791"/>
        <v>0</v>
      </c>
      <c r="U353" s="812">
        <f>IF(AND(B353&gt;=FV353,B353&lt;=FW353),ED353+Sheet1!EH351,0)</f>
        <v>0</v>
      </c>
      <c r="V353" s="812"/>
      <c r="W353" s="812">
        <f t="shared" si="792"/>
        <v>54.126371895820711</v>
      </c>
      <c r="X353" s="812">
        <f t="shared" si="793"/>
        <v>59.6</v>
      </c>
      <c r="Y353" s="812" t="str">
        <f t="shared" si="794"/>
        <v/>
      </c>
      <c r="Z353" s="812">
        <f t="shared" si="795"/>
        <v>59.6</v>
      </c>
      <c r="AA353" s="812">
        <f t="shared" si="796"/>
        <v>59.6</v>
      </c>
      <c r="AB353" s="1059">
        <f t="shared" si="821"/>
        <v>0</v>
      </c>
      <c r="AC353" s="538">
        <f>Sheet1!Y351*MGDtoCFS</f>
        <v>38.984399999999994</v>
      </c>
      <c r="AD353" s="538">
        <f>Sheet1!Z351*MGDtoCFS</f>
        <v>50.896299999999997</v>
      </c>
      <c r="AE353" s="538">
        <f>Sheet1!AA351*MGDtoCFS</f>
        <v>41.150199999999998</v>
      </c>
      <c r="AF353" s="538">
        <f>Sheet1!AB351*MGDtoCFS</f>
        <v>51.050999999999995</v>
      </c>
      <c r="AG353" s="538">
        <f>Sheet1!L351*MGDtoCFS</f>
        <v>0</v>
      </c>
      <c r="AH353" s="521">
        <f t="shared" si="699"/>
        <v>0</v>
      </c>
      <c r="AI353" s="1059">
        <f t="shared" si="700"/>
        <v>0</v>
      </c>
      <c r="AJ353" s="535">
        <f t="shared" si="701"/>
        <v>0</v>
      </c>
      <c r="AK353" s="535">
        <f t="shared" si="702"/>
        <v>0</v>
      </c>
      <c r="AL353" s="535">
        <f>(VLOOKUP(Sheet1!DC351,hhdcap_wcm,4)-(((VLOOKUP(Sheet1!DC351,hhdcap_wcm,3)-Sheet1!DC351)/(VLOOKUP(Sheet1!DC351,hhdcap_wcm,3)-VLOOKUP(Sheet1!DC351,hhdcap_wcm,1)))*(VLOOKUP(Sheet1!DC351,hhdcap_wcm,4)-VLOOKUP(Sheet1!DC351,hhdcap_wcm,2))))</f>
        <v>950.20000000283767</v>
      </c>
      <c r="AM353" s="535">
        <f t="shared" si="703"/>
        <v>74.600000000081877</v>
      </c>
      <c r="AN353" s="1035">
        <f t="shared" si="704"/>
        <v>0</v>
      </c>
      <c r="AO353" s="535">
        <f t="shared" si="705"/>
        <v>0</v>
      </c>
      <c r="AP353" s="535">
        <f>Sheet1!BA351+Sheet1!BB351+Sheet1!BN351+CD353</f>
        <v>22.5</v>
      </c>
      <c r="AQ353" s="535">
        <f>Sheet1!BN351+(DO353*Sheet1!BN351)</f>
        <v>22.486371895820717</v>
      </c>
      <c r="AR353" s="535">
        <f>Sheet1!BA351+CD353</f>
        <v>0</v>
      </c>
      <c r="AS353" s="535">
        <f>Sheet1!BA351+Sheet1!BB351+CD353</f>
        <v>0</v>
      </c>
      <c r="AT353" s="649">
        <f>0</f>
        <v>0</v>
      </c>
      <c r="AU353" s="974">
        <f>BA353+MAX(Sheet1!EH351,(O353-Q353-ED353-S353))</f>
        <v>0</v>
      </c>
      <c r="AV353" s="535">
        <f>IF(OR(B353&gt;=GD353,B353&lt;GC353),0,15/36*K353-MAX(0,64.6-(137.6-(Sheet1!AA351+Sheet1!AB351))))</f>
        <v>0</v>
      </c>
      <c r="AW353" s="1029"/>
      <c r="AX353" s="649"/>
      <c r="AY353" s="649">
        <f t="shared" si="822"/>
        <v>23.311716569431731</v>
      </c>
      <c r="AZ353" s="649">
        <f t="shared" si="823"/>
        <v>0</v>
      </c>
      <c r="BA353" s="1059">
        <f t="shared" si="824"/>
        <v>0</v>
      </c>
      <c r="BB353" s="1019">
        <f t="shared" si="706"/>
        <v>0</v>
      </c>
      <c r="BC353" s="1041">
        <f t="shared" si="825"/>
        <v>26.933333333333334</v>
      </c>
      <c r="BD353" s="1019">
        <f ca="1">IF(B353&gt;(Summary!$A$1-1),#N/A,BB353*MGtoAF)</f>
        <v>0</v>
      </c>
      <c r="BE353" s="535">
        <f>Sheet1!BG351+Sheet1!BH351+Sheet1!BI351-BM353</f>
        <v>1.01</v>
      </c>
      <c r="BF353" s="535">
        <f t="shared" si="707"/>
        <v>1.00938824954573</v>
      </c>
      <c r="BG353" s="535">
        <f>IF(Sheet1!EP351="FM",BM353,0)</f>
        <v>0</v>
      </c>
      <c r="BH353" s="535">
        <f t="shared" si="708"/>
        <v>0</v>
      </c>
      <c r="BI353" s="535">
        <f>IF(Sheet1!EP351="OTHER",BM353,0)</f>
        <v>0</v>
      </c>
      <c r="BJ353" s="535">
        <f t="shared" si="709"/>
        <v>0</v>
      </c>
      <c r="BK353" s="535">
        <f t="shared" si="710"/>
        <v>1.01</v>
      </c>
      <c r="BL353" s="535">
        <f t="shared" si="711"/>
        <v>1.00938824954573</v>
      </c>
      <c r="BM353" s="535">
        <f>IF(OR(Sheet1!EP351="FM", Sheet1!EP351="OTHER"),SUM(Sheet1!BG351:'Sheet1'!BI351),0)</f>
        <v>0</v>
      </c>
      <c r="BN353" s="521">
        <f>IF(AND($B353&gt;=$FV353,$B353&lt;=$FW353),MAX(BF353,Sheet1!EI351,0),MAX(BF353-(7/36)*$K353,0))</f>
        <v>0</v>
      </c>
      <c r="BO353" s="535">
        <f t="shared" si="712"/>
        <v>0</v>
      </c>
      <c r="BP353" s="521">
        <f t="shared" si="713"/>
        <v>1.00938824954573</v>
      </c>
      <c r="BQ353" s="521">
        <f>IF(AND($O353&gt;0,Sheet1!EM351=1),(1-($O353-Sheet1!$L351)/$O353)*BL353,0)</f>
        <v>0</v>
      </c>
      <c r="BR353" s="521">
        <f>IF(AND(Sheet1!$L351=0,Sheet1!$L350=0, Calculation!BK353&lt;Sheet1!$EI351-0.1,Sheet1!$EI351=Sheet1!$EI350,Sheet1!$EI351=Sheet1!$EI352),BL353-BQ353,BL353-BQ353)</f>
        <v>1.00938824954573</v>
      </c>
      <c r="BS353" s="1035" t="str">
        <f t="shared" si="826"/>
        <v/>
      </c>
      <c r="BT353" s="1035">
        <f t="shared" si="827"/>
        <v>12.568888888888889</v>
      </c>
      <c r="BU353" s="535">
        <f t="shared" si="714"/>
        <v>0</v>
      </c>
      <c r="BV353" s="535"/>
      <c r="BW353" s="535">
        <f ca="1">IF(B353&gt;(Summary!$A$1-1),#N/A,BU353*MGtoAF)</f>
        <v>0</v>
      </c>
      <c r="BX353" s="535">
        <f>Sheet1!BC351+Sheet1!BD351+Sheet1!BE351+Sheet1!BF351-CG353-CH353</f>
        <v>3.08</v>
      </c>
      <c r="BY353" s="535">
        <f t="shared" si="715"/>
        <v>3.078134463961236</v>
      </c>
      <c r="BZ353" s="535">
        <f>IF(Sheet1!EQ351="FM",CH353,0)</f>
        <v>0</v>
      </c>
      <c r="CA353" s="535">
        <f t="shared" si="716"/>
        <v>0</v>
      </c>
      <c r="CB353" s="535">
        <f>IF(Sheet1!EQ351="OTHER",CH353,0)</f>
        <v>0</v>
      </c>
      <c r="CC353" s="535">
        <f t="shared" si="717"/>
        <v>0</v>
      </c>
      <c r="CD353" s="535">
        <f t="shared" si="718"/>
        <v>0</v>
      </c>
      <c r="CE353" s="535">
        <f t="shared" si="719"/>
        <v>3.08</v>
      </c>
      <c r="CF353" s="535">
        <f t="shared" si="720"/>
        <v>3.078134463961236</v>
      </c>
      <c r="CG353" s="535">
        <f>IF(Sheet1!EQ351="CWA",SUM(Sheet1!BC351:'Sheet1'!BF351),0)</f>
        <v>0</v>
      </c>
      <c r="CH353" s="535">
        <f>IF(OR(Sheet1!EQ351="FM", Sheet1!EQ351="OTHER"),SUM(Sheet1!BC351:'Sheet1'!BF351),0)</f>
        <v>0</v>
      </c>
      <c r="CI353" s="521">
        <f>IF(AND($B353&gt;=$FV353,$B353&lt;=$FW353),MAX(CF353,Sheet1!EJ351,0),MAX(CF353-(7/36)*$K353,0))</f>
        <v>0</v>
      </c>
      <c r="CJ353" s="535">
        <f t="shared" si="721"/>
        <v>0</v>
      </c>
      <c r="CK353" s="521">
        <f t="shared" si="722"/>
        <v>3.078134463961236</v>
      </c>
      <c r="CL353" s="521">
        <f>IF(AND($O353&gt;0,Sheet1!EN351=1),(1-($O353-Sheet1!$L351)/$O353)*CF353,0)</f>
        <v>0</v>
      </c>
      <c r="CM353" s="521">
        <f>IF(AND(Sheet1!$L351=0,Sheet1!$L350=0, Calculation!CE353&lt;Sheet1!EJ351-0.1,Sheet1!EJ351=Sheet1!EJ350,Sheet1!EJ351=Sheet1!EJ352),CF353-CL353,CF353-CL353)</f>
        <v>3.078134463961236</v>
      </c>
      <c r="CN353" s="1040" t="str">
        <f t="shared" si="828"/>
        <v/>
      </c>
      <c r="CO353" s="1035">
        <f t="shared" si="829"/>
        <v>12.568888888888889</v>
      </c>
      <c r="CP353" s="535">
        <f t="shared" si="723"/>
        <v>0</v>
      </c>
      <c r="CQ353" s="535"/>
      <c r="CR353" s="535">
        <f ca="1">IF(B353&gt;(Summary!$A$1-1),#N/A,CP353*MGtoAF)</f>
        <v>0</v>
      </c>
      <c r="CS353" s="535">
        <f>Sheet1!BK351+Sheet1!BL351+Sheet1!BM351-Sheet1!ER351-DA353</f>
        <v>6.43</v>
      </c>
      <c r="CT353" s="535">
        <f t="shared" si="724"/>
        <v>6.42610539067232</v>
      </c>
      <c r="CU353" s="535">
        <f>IF(Sheet1!ER351="FM",DA353,0)</f>
        <v>0</v>
      </c>
      <c r="CV353" s="535">
        <f t="shared" si="725"/>
        <v>0</v>
      </c>
      <c r="CW353" s="535">
        <f>IF(Sheet1!ER351="OTHER",DA353,0)</f>
        <v>0</v>
      </c>
      <c r="CX353" s="535">
        <f t="shared" si="726"/>
        <v>0</v>
      </c>
      <c r="CY353" s="535">
        <f t="shared" si="727"/>
        <v>6.43</v>
      </c>
      <c r="CZ353" s="535">
        <f t="shared" si="728"/>
        <v>6.42610539067232</v>
      </c>
      <c r="DA353" s="535">
        <f>IF(OR(Sheet1!ER351="FM", Sheet1!ER351="OTHER"),SUM(Sheet1!BK351:'Sheet1'!BM351),0)</f>
        <v>0</v>
      </c>
      <c r="DB353" s="1011">
        <f>IF(AND($B353&gt;=$FV353,$B353&lt;=$FW353),MAX($CT353,Sheet1!EK351,0),MAX($CT353-(7/36)*$K353,0))</f>
        <v>0</v>
      </c>
      <c r="DC353" s="1012">
        <f t="shared" si="729"/>
        <v>0</v>
      </c>
      <c r="DD353" s="1011">
        <f t="shared" si="730"/>
        <v>6.42610539067232</v>
      </c>
      <c r="DE353" s="521">
        <f>IF(AND($O353&gt;0,Sheet1!EO351=1),(1-($O353-Sheet1!$L351)/$O353)*CZ353,0)</f>
        <v>0</v>
      </c>
      <c r="DF353" s="521">
        <f>IF(AND(Sheet1!$L351=0,Sheet1!$L350=0, Calculation!CY353&lt;Sheet1!$EK351-0.1,Sheet1!$EK351=Sheet1!$EK350,Sheet1!$EK351=Sheet1!$EK352),CZ353-DE353,CZ353-DE353)</f>
        <v>6.42610539067232</v>
      </c>
      <c r="DG353" s="1040">
        <f t="shared" si="830"/>
        <v>12.568888888888889</v>
      </c>
      <c r="DH353" s="649">
        <f t="shared" si="731"/>
        <v>10.52</v>
      </c>
      <c r="DI353" s="535">
        <f t="shared" si="732"/>
        <v>0</v>
      </c>
      <c r="DJ353" s="649">
        <f t="shared" si="733"/>
        <v>10.513628104179286</v>
      </c>
      <c r="DK353" s="535">
        <f ca="1">IF(B353&gt;(Summary!$A$1-1),#N/A,DI353*MGtoAF)</f>
        <v>0</v>
      </c>
      <c r="DL353" s="649">
        <f t="shared" si="734"/>
        <v>10.52</v>
      </c>
      <c r="DM353" s="535">
        <f t="shared" si="735"/>
        <v>33.019999999999996</v>
      </c>
      <c r="DN353" s="535">
        <f>Sheet1!AB351-DM353</f>
        <v>-1.9999999999996021E-2</v>
      </c>
      <c r="DO353" s="743">
        <f t="shared" si="736"/>
        <v>-6.0569351907922538E-4</v>
      </c>
      <c r="DP353" s="535">
        <f>(VLOOKUP(Sheet1!DC351,hhdcap_wcm,4)-(((VLOOKUP(Sheet1!DC351,hhdcap_wcm,3)-Sheet1!DC351)/(VLOOKUP(Sheet1!DC351,hhdcap_wcm,3)-VLOOKUP(Sheet1!DC351,hhdcap_wcm,1)))*(VLOOKUP(Sheet1!DC351,hhdcap_wcm,4)-VLOOKUP(Sheet1!DC351,hhdcap_wcm,2))))</f>
        <v>950.20000000283767</v>
      </c>
      <c r="DQ353" s="535">
        <f t="shared" si="737"/>
        <v>74.600000000081877</v>
      </c>
      <c r="DR353" s="535">
        <f t="shared" si="738"/>
        <v>37.619768028281328</v>
      </c>
      <c r="DS353" s="535">
        <f>Sheet1!EA351*AFtoMG</f>
        <v>0</v>
      </c>
      <c r="DT353" s="535">
        <f>Sheet1!EB351*AFtoMG</f>
        <v>0</v>
      </c>
      <c r="DU353" s="535">
        <f>Sheet1!EC351*AFtoMG</f>
        <v>0</v>
      </c>
      <c r="DV353" s="535">
        <f>Sheet1!ED351*AFtoMG</f>
        <v>0</v>
      </c>
      <c r="DW353" s="535">
        <f t="shared" si="739"/>
        <v>0</v>
      </c>
      <c r="DX353" s="535">
        <f t="shared" si="740"/>
        <v>0</v>
      </c>
      <c r="DY353" s="535">
        <f t="shared" si="741"/>
        <v>0</v>
      </c>
      <c r="DZ353" s="535">
        <f t="shared" si="742"/>
        <v>0</v>
      </c>
      <c r="EA353" s="535"/>
      <c r="EB353" s="521">
        <f>IF(OR(B353&lt;FV353,B353&gt;FW353),(MIN(BF353+BY353+CT353+MAX(Sheet1!AA351+AQ353-73,0),K353)),0)</f>
        <v>10.513628104179286</v>
      </c>
      <c r="EC353" s="535"/>
      <c r="ED353" s="535">
        <f t="shared" si="743"/>
        <v>10.513628104179286</v>
      </c>
      <c r="EE353" s="535"/>
      <c r="EF353" s="535">
        <f>Sheet1!EH351+Sheet1!EI351+Sheet1!EJ351+Sheet1!EK351</f>
        <v>10.5</v>
      </c>
      <c r="EG353" s="1019">
        <f t="shared" si="831"/>
        <v>16.243500000000001</v>
      </c>
      <c r="EH353" s="521">
        <f t="shared" si="744"/>
        <v>0</v>
      </c>
      <c r="EI353" s="535">
        <f>IF(Sheet1!ET351=1,SUM('Calculations II'!AT353:BA353)+'Calculations II'!BC353+Sheet1!BV351+'Calculations II'!BE353+AP353,'Calculations II'!BK353)</f>
        <v>46.475505895820717</v>
      </c>
      <c r="EJ353" s="535">
        <f ca="1">EI353+'Calculations II'!D353+'Calculations II'!E353+'Calculations II'!O353</f>
        <v>48.337819980699891</v>
      </c>
      <c r="EK353" s="535"/>
      <c r="EL353" s="535"/>
      <c r="EM353" s="535">
        <f t="shared" si="745"/>
        <v>43077</v>
      </c>
      <c r="EN353" s="535">
        <f t="shared" si="746"/>
        <v>0</v>
      </c>
      <c r="EO353" s="535">
        <f t="shared" si="747"/>
        <v>0</v>
      </c>
      <c r="EP353" s="535">
        <v>0</v>
      </c>
      <c r="EQ353" s="535">
        <v>0</v>
      </c>
      <c r="ER353" s="535">
        <v>0</v>
      </c>
      <c r="ES353" s="521">
        <f t="shared" si="797"/>
        <v>-1.8003918103512004</v>
      </c>
      <c r="ET353" s="535">
        <f>-(VLOOKUP(Sheet1!BQ351,Lookup!$O$4:$Q$262,2)-VLOOKUP(Sheet1!BQ350,Lookup!$O$4:$Q$262,2))/1000000</f>
        <v>-0.83077408223471794</v>
      </c>
      <c r="EU353" s="535">
        <f>-(VLOOKUP(Sheet1!BR351,Lookup!$O$4:$Q$262,3)-VLOOKUP(Sheet1!BR350,Lookup!$O$4:$Q$262,3))/1000000</f>
        <v>-0.9696177281164825</v>
      </c>
      <c r="EV353" s="535"/>
      <c r="EW353" s="535"/>
      <c r="EX353" s="535"/>
      <c r="EY353" s="535"/>
      <c r="EZ353" s="535"/>
      <c r="FA353" s="535"/>
      <c r="FB353" s="535"/>
      <c r="FC353" s="535"/>
      <c r="FD353" s="567" t="e">
        <f t="shared" si="786"/>
        <v>#N/A</v>
      </c>
      <c r="FE353" s="567" t="e">
        <f t="shared" si="748"/>
        <v>#N/A</v>
      </c>
      <c r="FF353" s="568" t="e">
        <f t="shared" si="749"/>
        <v>#N/A</v>
      </c>
      <c r="FG353" s="569" t="s">
        <v>656</v>
      </c>
      <c r="FH353" s="569" t="s">
        <v>656</v>
      </c>
      <c r="FI353" s="567" t="e">
        <v>#N/A</v>
      </c>
      <c r="FJ353" s="567" t="e">
        <v>#N/A</v>
      </c>
      <c r="FK353" s="535"/>
      <c r="FL353" s="1015" t="e">
        <f t="shared" si="785"/>
        <v>#N/A</v>
      </c>
      <c r="FM353" s="535"/>
      <c r="FN353" s="535"/>
      <c r="FO353" s="535">
        <f>O353+((Sheet1!CS351)*GPMtoMGD)</f>
        <v>59.6</v>
      </c>
      <c r="FP353" s="535">
        <f>IF(Sheet1!AA351+AQ353&lt;=Calculation!N353,AQ353,Calculation!N353-Sheet1!AA351)</f>
        <v>22.486371895820717</v>
      </c>
      <c r="FQ353" s="535">
        <f>(Sheet1!BP351+Sheet1!BO351)/694.4</f>
        <v>1.5430587557603688</v>
      </c>
      <c r="FR353" s="541"/>
      <c r="FS353" s="541"/>
      <c r="FT353" s="541"/>
      <c r="FU353" s="541"/>
      <c r="FV353" s="1109">
        <f t="shared" si="798"/>
        <v>42918</v>
      </c>
      <c r="FW353" s="1109">
        <f t="shared" si="799"/>
        <v>43027</v>
      </c>
      <c r="FX353" s="541"/>
      <c r="FY353" s="541">
        <f>Sheet1!DA351-Sheet1!CZ351-Sheet1!AE351</f>
        <v>504.79880000000003</v>
      </c>
      <c r="FZ353" s="535">
        <f t="shared" si="832"/>
        <v>0.63848492083484409</v>
      </c>
      <c r="GA353" s="535"/>
      <c r="GB353" s="535" t="str">
        <f t="shared" si="800"/>
        <v>n</v>
      </c>
      <c r="GC353" s="539">
        <f t="shared" si="801"/>
        <v>42782</v>
      </c>
      <c r="GD353" s="1109">
        <f t="shared" si="802"/>
        <v>42904</v>
      </c>
      <c r="GE353" s="535">
        <f t="shared" si="818"/>
        <v>6520</v>
      </c>
      <c r="GF353" s="1109">
        <f t="shared" si="803"/>
        <v>42909</v>
      </c>
      <c r="GG353" s="535">
        <f t="shared" si="845"/>
        <v>3260</v>
      </c>
      <c r="GH353" s="539">
        <f t="shared" si="804"/>
        <v>43040</v>
      </c>
      <c r="GJ353" s="521">
        <f t="shared" si="805"/>
        <v>0</v>
      </c>
      <c r="GK353" s="535" t="str">
        <f t="shared" si="750"/>
        <v/>
      </c>
      <c r="GL353" s="535">
        <f t="shared" si="806"/>
        <v>0</v>
      </c>
      <c r="GM353" s="535" t="str">
        <f t="shared" si="807"/>
        <v/>
      </c>
      <c r="GN353" s="535">
        <f>IF(GK353="P",Lookup!$M$12,IF(GK353="PP",Lookup!$M$13,IF(GK353="PPP",Lookup!$M$14,IF(GK353="T",Lookup!$M$15,IF(GK353="TP",Lookup!$M$16,IF(GK353="TPP",Lookup!$M$17,IF(GK353="TPPP",Lookup!$M$18,0)))))))*GJ353</f>
        <v>0</v>
      </c>
      <c r="GO353" s="535">
        <f t="shared" si="808"/>
        <v>0</v>
      </c>
      <c r="GP353" s="535">
        <f t="shared" si="751"/>
        <v>0</v>
      </c>
      <c r="GQ353" s="974">
        <f t="shared" si="695"/>
        <v>0</v>
      </c>
      <c r="GR353" s="535"/>
      <c r="GS353" s="535">
        <f t="shared" si="809"/>
        <v>0</v>
      </c>
      <c r="GT353" s="535" t="str">
        <f t="shared" si="810"/>
        <v/>
      </c>
      <c r="GU353" s="535">
        <f>IF(GK353="P",Lookup!$N$12,IF(GK353="PP",Lookup!$N$13,IF(GK353="PPP",Lookup!$N$14,IF(GK353="T",Lookup!$N$15,IF(GK353="TP",Lookup!$N$16,IF(GK353="TPP",Lookup!$N$17,IF(GK353="TPPP",Lookup!$N$18,0)))))))*GJ353</f>
        <v>0</v>
      </c>
      <c r="GV353" s="535">
        <f t="shared" si="811"/>
        <v>0</v>
      </c>
      <c r="GW353" s="535">
        <f t="shared" si="752"/>
        <v>0</v>
      </c>
      <c r="GX353" s="974">
        <f t="shared" si="696"/>
        <v>0</v>
      </c>
      <c r="GY353" s="535"/>
      <c r="GZ353" s="535">
        <f t="shared" si="812"/>
        <v>0</v>
      </c>
      <c r="HA353" s="535" t="str">
        <f t="shared" si="813"/>
        <v/>
      </c>
      <c r="HB353" s="535">
        <f>IF(GK353="P",Lookup!$N$12,IF(GK353="PP",Lookup!$N$13,IF(GK353="PPP",Lookup!$N$14,IF(GK353="T",Lookup!$N$15,IF(GK353="TP",Lookup!$N$16,IF(GK353="TPP",Lookup!$N$17,IF(GK353="TPPP",Lookup!$N$18,0)))))))*GJ353</f>
        <v>0</v>
      </c>
      <c r="HC353" s="521">
        <f t="shared" si="753"/>
        <v>0</v>
      </c>
      <c r="HD353" s="535">
        <f t="shared" si="754"/>
        <v>0</v>
      </c>
      <c r="HE353" s="535">
        <f t="shared" si="816"/>
        <v>0</v>
      </c>
      <c r="HF353" s="535"/>
      <c r="HG353" s="535">
        <f t="shared" si="814"/>
        <v>0</v>
      </c>
      <c r="HH353" s="535" t="str">
        <f t="shared" si="815"/>
        <v/>
      </c>
      <c r="HI353" s="535">
        <f>IF(GK353="P",Lookup!$N$12,IF(GK353="PP",Lookup!$N$13,IF(GK353="PPP",Lookup!$N$14,IF(GK353="T",Lookup!$N$15,IF(GK353="TP",Lookup!$N$16,IF(GK353="TPP",Lookup!$N$17,IF(GK353="TPPP",Lookup!$N$18,0)))))))*GJ353</f>
        <v>0</v>
      </c>
      <c r="HJ353" s="521">
        <f t="shared" si="755"/>
        <v>0</v>
      </c>
      <c r="HK353" s="535">
        <f t="shared" si="756"/>
        <v>0</v>
      </c>
      <c r="HL353" s="535">
        <f t="shared" si="817"/>
        <v>0</v>
      </c>
      <c r="HM353" s="535"/>
      <c r="HN353" s="541"/>
      <c r="HO353" s="541"/>
      <c r="HP353" s="541"/>
      <c r="HQ353" s="541">
        <f>IF(AND(B353&gt;=$FV$4,B353&lt;=$FW$4),MAX(110/1.02+$HQ$6+MIN(113/1.02,G353),IF($HV$6-(Sheet1!DA351-Sheet1!DB351)+MIN(113/1.02,G353)&lt;G353+FL353,$HV$6-(Sheet1!DA351-Sheet1!DB351)+MIN(113/1.02,G353),G353+FL353)),MIN(110/1.02+$HQ$6+113/1.02,G353))</f>
        <v>218.62745098039215</v>
      </c>
      <c r="HR353" s="541">
        <f t="shared" si="833"/>
        <v>223</v>
      </c>
      <c r="HS353" s="541">
        <f>HR353+(Sheet1!DA351-Sheet1!DB351)</f>
        <v>836</v>
      </c>
      <c r="HT353" s="541">
        <f t="shared" si="834"/>
        <v>0</v>
      </c>
      <c r="HU353" s="541">
        <f t="shared" si="835"/>
        <v>836</v>
      </c>
      <c r="HV353" s="541">
        <f t="shared" si="836"/>
        <v>0</v>
      </c>
      <c r="HW353" s="533" t="str">
        <f t="shared" si="837"/>
        <v/>
      </c>
      <c r="HX353" s="541">
        <f t="shared" si="838"/>
        <v>534.37254901960785</v>
      </c>
      <c r="HY353" s="541">
        <f>Sheet1!CZ351</f>
        <v>753</v>
      </c>
      <c r="HZ353" s="541">
        <f t="shared" si="839"/>
        <v>0</v>
      </c>
      <c r="IA353" s="541">
        <f t="shared" si="840"/>
        <v>0</v>
      </c>
      <c r="IB353" s="541">
        <f t="shared" si="841"/>
        <v>753</v>
      </c>
      <c r="IC353" s="1019" t="str">
        <f t="shared" si="842"/>
        <v/>
      </c>
      <c r="ID353" s="541">
        <f t="shared" si="843"/>
        <v>753</v>
      </c>
      <c r="IE353" s="541">
        <f>Sheet1!DB351</f>
        <v>737</v>
      </c>
      <c r="IF353" s="533">
        <f>Sheet1!DA351</f>
        <v>1350</v>
      </c>
      <c r="IH353" s="541">
        <f>IF(AND($B353&gt;=$GC353,$B353&lt;=$GH353,$DR353&lt;0)+N("only adjusted when pool is drawn down during storage season"),Sheet1!$DB351+$DR353+N("Palmer minus all storage release"),Sheet1!$DB351)</f>
        <v>737</v>
      </c>
      <c r="II353" s="541">
        <f>IF(AND($B353&gt;=$GC353,$B353&lt;=$GH353,$DR353&lt;0)+N("only adjusted when pool is drawn down during storage season"),Sheet1!$DA351+$DR353+N("Auburn minus all storage release"),Sheet1!$DA351)</f>
        <v>1350</v>
      </c>
    </row>
    <row r="354" spans="1:243" x14ac:dyDescent="0.25">
      <c r="A354" s="553" t="s">
        <v>9</v>
      </c>
      <c r="B354" s="531">
        <v>43078</v>
      </c>
      <c r="C354" s="536">
        <v>0</v>
      </c>
      <c r="D354" s="506">
        <f t="shared" si="787"/>
        <v>300</v>
      </c>
      <c r="E354" s="506">
        <f t="shared" si="788"/>
        <v>250</v>
      </c>
      <c r="F354" s="506">
        <v>250</v>
      </c>
      <c r="G354" s="535">
        <f>DR354+Sheet1!CZ352</f>
        <v>778.02017145752188</v>
      </c>
      <c r="H354" s="1074">
        <f t="shared" si="844"/>
        <v>346.93968639999997</v>
      </c>
      <c r="I354" s="534">
        <f>IF(Sheet1!DA352&gt;=E354,(Sheet1!DA352-E354+P354)*CFStoMGD,0)</f>
        <v>710.86288640000009</v>
      </c>
      <c r="J354" s="995">
        <f>IF(Sheet1!DB352&gt;=D354,(Sheet1!DB352-D354+P354)*CFStoMGD,0)</f>
        <v>346.93968639999997</v>
      </c>
      <c r="K354" s="818">
        <f t="shared" si="819"/>
        <v>64.64</v>
      </c>
      <c r="L354" s="535">
        <f>Sheet1!AA352+Sheet1!AB352-Sheet1!L352+(Sheet1!DA352-F354)*CFStoMGD-S354-T354-U354</f>
        <v>652.86399999999992</v>
      </c>
      <c r="M354" s="535">
        <f t="shared" si="697"/>
        <v>512.97048360674501</v>
      </c>
      <c r="N354" s="824">
        <f>IF(Sheet1!DA352&gt;=F354,MIN(113*CFStoMGD,MIN(MAX(L354,0),MAX(M354,0))),0)</f>
        <v>73.043199999999999</v>
      </c>
      <c r="O354" s="538">
        <f>Sheet1!AA352+Sheet1!AB352</f>
        <v>58</v>
      </c>
      <c r="P354" s="538">
        <f t="shared" si="698"/>
        <v>89.725999999999999</v>
      </c>
      <c r="Q354" s="812">
        <f t="shared" si="820"/>
        <v>0</v>
      </c>
      <c r="R354" s="812">
        <f t="shared" si="789"/>
        <v>10.399999999999999</v>
      </c>
      <c r="S354" s="812">
        <f t="shared" si="790"/>
        <v>58</v>
      </c>
      <c r="T354" s="812">
        <f t="shared" si="791"/>
        <v>0</v>
      </c>
      <c r="U354" s="812">
        <f>IF(AND(B354&gt;=FV354,B354&lt;=FW354),ED354+Sheet1!EH352,0)</f>
        <v>0</v>
      </c>
      <c r="V354" s="812"/>
      <c r="W354" s="812">
        <f t="shared" si="792"/>
        <v>54.24</v>
      </c>
      <c r="X354" s="812">
        <f t="shared" si="793"/>
        <v>58</v>
      </c>
      <c r="Y354" s="812" t="str">
        <f t="shared" si="794"/>
        <v/>
      </c>
      <c r="Z354" s="812">
        <f t="shared" si="795"/>
        <v>58</v>
      </c>
      <c r="AA354" s="812">
        <f t="shared" si="796"/>
        <v>58</v>
      </c>
      <c r="AB354" s="1059">
        <f t="shared" si="821"/>
        <v>0</v>
      </c>
      <c r="AC354" s="538">
        <f>Sheet1!Y352*MGDtoCFS</f>
        <v>41.150199999999998</v>
      </c>
      <c r="AD354" s="538">
        <f>Sheet1!Z352*MGDtoCFS</f>
        <v>51.050999999999995</v>
      </c>
      <c r="AE354" s="538">
        <f>Sheet1!AA352*MGDtoCFS</f>
        <v>38.829700000000003</v>
      </c>
      <c r="AF354" s="538">
        <f>Sheet1!AB352*MGDtoCFS</f>
        <v>50.896299999999997</v>
      </c>
      <c r="AG354" s="538">
        <f>Sheet1!L352*MGDtoCFS</f>
        <v>0</v>
      </c>
      <c r="AH354" s="521">
        <f t="shared" si="699"/>
        <v>0</v>
      </c>
      <c r="AI354" s="1059">
        <f t="shared" si="700"/>
        <v>0</v>
      </c>
      <c r="AJ354" s="535">
        <f t="shared" si="701"/>
        <v>0</v>
      </c>
      <c r="AK354" s="535">
        <f t="shared" si="702"/>
        <v>0</v>
      </c>
      <c r="AL354" s="535">
        <f>(VLOOKUP(Sheet1!DC352,hhdcap_wcm,4)-(((VLOOKUP(Sheet1!DC352,hhdcap_wcm,3)-Sheet1!DC352)/(VLOOKUP(Sheet1!DC352,hhdcap_wcm,3)-VLOOKUP(Sheet1!DC352,hhdcap_wcm,1)))*(VLOOKUP(Sheet1!DC352,hhdcap_wcm,4)-VLOOKUP(Sheet1!DC352,hhdcap_wcm,2))))</f>
        <v>989.90000000310363</v>
      </c>
      <c r="AM354" s="535">
        <f t="shared" si="703"/>
        <v>39.700000000265959</v>
      </c>
      <c r="AN354" s="1035">
        <f t="shared" si="704"/>
        <v>0</v>
      </c>
      <c r="AO354" s="535">
        <f t="shared" si="705"/>
        <v>0</v>
      </c>
      <c r="AP354" s="535">
        <f>Sheet1!BA352+Sheet1!BB352+Sheet1!BN352+CD354</f>
        <v>22.5</v>
      </c>
      <c r="AQ354" s="535">
        <f>Sheet1!BN352+(DO354*Sheet1!BN352)</f>
        <v>22.5</v>
      </c>
      <c r="AR354" s="535">
        <f>Sheet1!BA352+CD354</f>
        <v>0</v>
      </c>
      <c r="AS354" s="535">
        <f>Sheet1!BA352+Sheet1!BB352+CD354</f>
        <v>0</v>
      </c>
      <c r="AT354" s="649">
        <f>0</f>
        <v>0</v>
      </c>
      <c r="AU354" s="974">
        <f>BA354+MAX(Sheet1!EH352,(O354-Q354-ED354-S354))</f>
        <v>0</v>
      </c>
      <c r="AV354" s="535">
        <f>IF(OR(B354&gt;=GD354,B354&lt;GC354),0,15/36*K354-MAX(0,64.6-(137.6-(Sheet1!AA352+Sheet1!AB352))))</f>
        <v>0</v>
      </c>
      <c r="AW354" s="1029"/>
      <c r="AX354" s="649"/>
      <c r="AY354" s="649">
        <f t="shared" si="822"/>
        <v>23.311716569431731</v>
      </c>
      <c r="AZ354" s="649">
        <f t="shared" si="823"/>
        <v>0</v>
      </c>
      <c r="BA354" s="1059">
        <f t="shared" si="824"/>
        <v>0</v>
      </c>
      <c r="BB354" s="1019">
        <f t="shared" si="706"/>
        <v>0</v>
      </c>
      <c r="BC354" s="1041">
        <f t="shared" si="825"/>
        <v>26.933333333333334</v>
      </c>
      <c r="BD354" s="1019">
        <f ca="1">IF(B354&gt;(Summary!$A$1-1),#N/A,BB354*MGtoAF)</f>
        <v>0</v>
      </c>
      <c r="BE354" s="535">
        <f>Sheet1!BG352+Sheet1!BH352+Sheet1!BI352-BM354</f>
        <v>1.01</v>
      </c>
      <c r="BF354" s="535">
        <f t="shared" si="707"/>
        <v>1.01</v>
      </c>
      <c r="BG354" s="535">
        <f>IF(Sheet1!EP352="FM",BM354,0)</f>
        <v>0</v>
      </c>
      <c r="BH354" s="535">
        <f t="shared" si="708"/>
        <v>0</v>
      </c>
      <c r="BI354" s="535">
        <f>IF(Sheet1!EP352="OTHER",BM354,0)</f>
        <v>0</v>
      </c>
      <c r="BJ354" s="535">
        <f t="shared" si="709"/>
        <v>0</v>
      </c>
      <c r="BK354" s="535">
        <f t="shared" si="710"/>
        <v>1.01</v>
      </c>
      <c r="BL354" s="535">
        <f t="shared" si="711"/>
        <v>1.01</v>
      </c>
      <c r="BM354" s="535">
        <f>IF(OR(Sheet1!EP352="FM", Sheet1!EP352="OTHER"),SUM(Sheet1!BG352:'Sheet1'!BI352),0)</f>
        <v>0</v>
      </c>
      <c r="BN354" s="521">
        <f>IF(AND($B354&gt;=$FV354,$B354&lt;=$FW354),MAX(BF354,Sheet1!EI352,0),MAX(BF354-(7/36)*$K354,0))</f>
        <v>0</v>
      </c>
      <c r="BO354" s="535">
        <f t="shared" si="712"/>
        <v>0</v>
      </c>
      <c r="BP354" s="521">
        <f t="shared" si="713"/>
        <v>1.01</v>
      </c>
      <c r="BQ354" s="521">
        <f>IF(AND($O354&gt;0,Sheet1!EM352=1),(1-($O354-Sheet1!$L352)/$O354)*BL354,0)</f>
        <v>0</v>
      </c>
      <c r="BR354" s="521">
        <f>IF(AND(Sheet1!$L352=0,Sheet1!$L351=0, Calculation!BK354&lt;Sheet1!$EI352-0.1,Sheet1!$EI352=Sheet1!$EI351,Sheet1!$EI352=Sheet1!$EI353),BL354-BQ354,BL354-BQ354)</f>
        <v>1.01</v>
      </c>
      <c r="BS354" s="1035" t="str">
        <f t="shared" si="826"/>
        <v/>
      </c>
      <c r="BT354" s="1035">
        <f t="shared" si="827"/>
        <v>12.568888888888889</v>
      </c>
      <c r="BU354" s="535">
        <f t="shared" si="714"/>
        <v>0</v>
      </c>
      <c r="BV354" s="535"/>
      <c r="BW354" s="535">
        <f ca="1">IF(B354&gt;(Summary!$A$1-1),#N/A,BU354*MGtoAF)</f>
        <v>0</v>
      </c>
      <c r="BX354" s="535">
        <f>Sheet1!BC352+Sheet1!BD352+Sheet1!BE352+Sheet1!BF352-CG354-CH354</f>
        <v>3</v>
      </c>
      <c r="BY354" s="535">
        <f t="shared" si="715"/>
        <v>3</v>
      </c>
      <c r="BZ354" s="535">
        <f>IF(Sheet1!EQ352="FM",CH354,0)</f>
        <v>0</v>
      </c>
      <c r="CA354" s="535">
        <f t="shared" si="716"/>
        <v>0</v>
      </c>
      <c r="CB354" s="535">
        <f>IF(Sheet1!EQ352="OTHER",CH354,0)</f>
        <v>0</v>
      </c>
      <c r="CC354" s="535">
        <f t="shared" si="717"/>
        <v>0</v>
      </c>
      <c r="CD354" s="535">
        <f t="shared" si="718"/>
        <v>0</v>
      </c>
      <c r="CE354" s="535">
        <f t="shared" si="719"/>
        <v>3</v>
      </c>
      <c r="CF354" s="535">
        <f t="shared" si="720"/>
        <v>3</v>
      </c>
      <c r="CG354" s="535">
        <f>IF(Sheet1!EQ352="CWA",SUM(Sheet1!BC352:'Sheet1'!BF352),0)</f>
        <v>0</v>
      </c>
      <c r="CH354" s="535">
        <f>IF(OR(Sheet1!EQ352="FM", Sheet1!EQ352="OTHER"),SUM(Sheet1!BC352:'Sheet1'!BF352),0)</f>
        <v>0</v>
      </c>
      <c r="CI354" s="521">
        <f>IF(AND($B354&gt;=$FV354,$B354&lt;=$FW354),MAX(CF354,Sheet1!EJ352,0),MAX(CF354-(7/36)*$K354,0))</f>
        <v>0</v>
      </c>
      <c r="CJ354" s="535">
        <f t="shared" si="721"/>
        <v>0</v>
      </c>
      <c r="CK354" s="521">
        <f t="shared" si="722"/>
        <v>3</v>
      </c>
      <c r="CL354" s="521">
        <f>IF(AND($O354&gt;0,Sheet1!EN352=1),(1-($O354-Sheet1!$L352)/$O354)*CF354,0)</f>
        <v>0</v>
      </c>
      <c r="CM354" s="521">
        <f>IF(AND(Sheet1!$L352=0,Sheet1!$L351=0, Calculation!CE354&lt;Sheet1!EJ352-0.1,Sheet1!EJ352=Sheet1!EJ351,Sheet1!EJ352=Sheet1!EJ353),CF354-CL354,CF354-CL354)</f>
        <v>3</v>
      </c>
      <c r="CN354" s="1040" t="str">
        <f t="shared" si="828"/>
        <v/>
      </c>
      <c r="CO354" s="1035">
        <f t="shared" si="829"/>
        <v>12.568888888888889</v>
      </c>
      <c r="CP354" s="535">
        <f t="shared" si="723"/>
        <v>0</v>
      </c>
      <c r="CQ354" s="535"/>
      <c r="CR354" s="535">
        <f ca="1">IF(B354&gt;(Summary!$A$1-1),#N/A,CP354*MGtoAF)</f>
        <v>0</v>
      </c>
      <c r="CS354" s="535">
        <f>Sheet1!BK352+Sheet1!BL352+Sheet1!BM352-Sheet1!ER352-DA354</f>
        <v>6.39</v>
      </c>
      <c r="CT354" s="535">
        <f t="shared" si="724"/>
        <v>6.39</v>
      </c>
      <c r="CU354" s="535">
        <f>IF(Sheet1!ER352="FM",DA354,0)</f>
        <v>0</v>
      </c>
      <c r="CV354" s="535">
        <f t="shared" si="725"/>
        <v>0</v>
      </c>
      <c r="CW354" s="535">
        <f>IF(Sheet1!ER352="OTHER",DA354,0)</f>
        <v>0</v>
      </c>
      <c r="CX354" s="535">
        <f t="shared" si="726"/>
        <v>0</v>
      </c>
      <c r="CY354" s="535">
        <f t="shared" si="727"/>
        <v>6.39</v>
      </c>
      <c r="CZ354" s="535">
        <f t="shared" si="728"/>
        <v>6.39</v>
      </c>
      <c r="DA354" s="535">
        <f>IF(OR(Sheet1!ER352="FM", Sheet1!ER352="OTHER"),SUM(Sheet1!BK352:'Sheet1'!BM352),0)</f>
        <v>0</v>
      </c>
      <c r="DB354" s="1011">
        <f>IF(AND($B354&gt;=$FV354,$B354&lt;=$FW354),MAX($CT354,Sheet1!EK352,0),MAX($CT354-(7/36)*$K354,0))</f>
        <v>0</v>
      </c>
      <c r="DC354" s="1012">
        <f t="shared" si="729"/>
        <v>0</v>
      </c>
      <c r="DD354" s="1011">
        <f t="shared" si="730"/>
        <v>6.39</v>
      </c>
      <c r="DE354" s="521">
        <f>IF(AND($O354&gt;0,Sheet1!EO352=1),(1-($O354-Sheet1!$L352)/$O354)*CZ354,0)</f>
        <v>0</v>
      </c>
      <c r="DF354" s="521">
        <f>IF(AND(Sheet1!$L352=0,Sheet1!$L351=0, Calculation!CY354&lt;Sheet1!$EK352-0.1,Sheet1!$EK352=Sheet1!$EK351,Sheet1!$EK352=Sheet1!$EK353),CZ354-DE354,CZ354-DE354)</f>
        <v>6.39</v>
      </c>
      <c r="DG354" s="1040">
        <f t="shared" si="830"/>
        <v>12.568888888888889</v>
      </c>
      <c r="DH354" s="649">
        <f t="shared" si="731"/>
        <v>10.399999999999999</v>
      </c>
      <c r="DI354" s="535">
        <f t="shared" si="732"/>
        <v>0</v>
      </c>
      <c r="DJ354" s="649">
        <f t="shared" si="733"/>
        <v>10.399999999999999</v>
      </c>
      <c r="DK354" s="535">
        <f ca="1">IF(B354&gt;(Summary!$A$1-1),#N/A,DI354*MGtoAF)</f>
        <v>0</v>
      </c>
      <c r="DL354" s="649">
        <f t="shared" si="734"/>
        <v>10.4</v>
      </c>
      <c r="DM354" s="535">
        <f t="shared" si="735"/>
        <v>32.9</v>
      </c>
      <c r="DN354" s="535">
        <f>Sheet1!AB352-DM354</f>
        <v>0</v>
      </c>
      <c r="DO354" s="743">
        <f t="shared" si="736"/>
        <v>0</v>
      </c>
      <c r="DP354" s="535">
        <f>(VLOOKUP(Sheet1!DC352,hhdcap_wcm,4)-(((VLOOKUP(Sheet1!DC352,hhdcap_wcm,3)-Sheet1!DC352)/(VLOOKUP(Sheet1!DC352,hhdcap_wcm,3)-VLOOKUP(Sheet1!DC352,hhdcap_wcm,1)))*(VLOOKUP(Sheet1!DC352,hhdcap_wcm,4)-VLOOKUP(Sheet1!DC352,hhdcap_wcm,2))))</f>
        <v>989.90000000310363</v>
      </c>
      <c r="DQ354" s="535">
        <f t="shared" si="737"/>
        <v>39.700000000265959</v>
      </c>
      <c r="DR354" s="535">
        <f t="shared" si="738"/>
        <v>20.020171457521911</v>
      </c>
      <c r="DS354" s="535">
        <f>Sheet1!EA352*AFtoMG</f>
        <v>0</v>
      </c>
      <c r="DT354" s="535">
        <f>Sheet1!EB352*AFtoMG</f>
        <v>0</v>
      </c>
      <c r="DU354" s="535">
        <f>Sheet1!EC352*AFtoMG</f>
        <v>0</v>
      </c>
      <c r="DV354" s="535">
        <f>Sheet1!ED352*AFtoMG</f>
        <v>0</v>
      </c>
      <c r="DW354" s="535">
        <f t="shared" si="739"/>
        <v>0</v>
      </c>
      <c r="DX354" s="535">
        <f t="shared" si="740"/>
        <v>0</v>
      </c>
      <c r="DY354" s="535">
        <f t="shared" si="741"/>
        <v>0</v>
      </c>
      <c r="DZ354" s="535">
        <f t="shared" si="742"/>
        <v>0</v>
      </c>
      <c r="EA354" s="535"/>
      <c r="EB354" s="521">
        <f>IF(OR(B354&lt;FV354,B354&gt;FW354),(MIN(BF354+BY354+CT354+MAX(Sheet1!AA352+AQ354-73,0),K354)),0)</f>
        <v>10.399999999999999</v>
      </c>
      <c r="EC354" s="535"/>
      <c r="ED354" s="535">
        <f t="shared" si="743"/>
        <v>10.399999999999999</v>
      </c>
      <c r="EE354" s="535"/>
      <c r="EF354" s="535">
        <f>Sheet1!EH352+Sheet1!EI352+Sheet1!EJ352+Sheet1!EK352</f>
        <v>10.5</v>
      </c>
      <c r="EG354" s="1019">
        <f t="shared" si="831"/>
        <v>16.243500000000001</v>
      </c>
      <c r="EH354" s="521">
        <f t="shared" si="744"/>
        <v>0</v>
      </c>
      <c r="EI354" s="535">
        <f>IF(Sheet1!ET352=1,SUM('Calculations II'!AT354:BA354)+'Calculations II'!BC354+Sheet1!BV352+'Calculations II'!BE354+AP354,'Calculations II'!BK354)</f>
        <v>48.051096000000001</v>
      </c>
      <c r="EJ354" s="535">
        <f ca="1">EI354+'Calculations II'!D354+'Calculations II'!E354+'Calculations II'!O354</f>
        <v>46.100623807888248</v>
      </c>
      <c r="EK354" s="535"/>
      <c r="EL354" s="535"/>
      <c r="EM354" s="535">
        <f t="shared" si="745"/>
        <v>43078</v>
      </c>
      <c r="EN354" s="535">
        <f t="shared" si="746"/>
        <v>0</v>
      </c>
      <c r="EO354" s="535">
        <f t="shared" si="747"/>
        <v>0</v>
      </c>
      <c r="EP354" s="535">
        <v>0</v>
      </c>
      <c r="EQ354" s="535">
        <v>0</v>
      </c>
      <c r="ER354" s="535">
        <v>0</v>
      </c>
      <c r="ES354" s="521">
        <f t="shared" si="797"/>
        <v>1.1079807460222542</v>
      </c>
      <c r="ET354" s="535">
        <f>-(VLOOKUP(Sheet1!BQ352,Lookup!$O$4:$Q$262,2)-VLOOKUP(Sheet1!BQ351,Lookup!$O$4:$Q$262,2))/1000000</f>
        <v>0.55387501894478497</v>
      </c>
      <c r="EU354" s="535">
        <f>-(VLOOKUP(Sheet1!BR352,Lookup!$O$4:$Q$262,3)-VLOOKUP(Sheet1!BR351,Lookup!$O$4:$Q$262,3))/1000000</f>
        <v>0.55410572707746919</v>
      </c>
      <c r="EV354" s="535"/>
      <c r="EW354" s="535"/>
      <c r="EX354" s="535"/>
      <c r="EY354" s="535"/>
      <c r="EZ354" s="535"/>
      <c r="FA354" s="535"/>
      <c r="FB354" s="535"/>
      <c r="FC354" s="535"/>
      <c r="FD354" s="567" t="e">
        <f t="shared" si="786"/>
        <v>#N/A</v>
      </c>
      <c r="FE354" s="567" t="e">
        <f t="shared" si="748"/>
        <v>#N/A</v>
      </c>
      <c r="FF354" s="568" t="e">
        <f t="shared" si="749"/>
        <v>#N/A</v>
      </c>
      <c r="FG354" s="569" t="s">
        <v>656</v>
      </c>
      <c r="FH354" s="569" t="s">
        <v>656</v>
      </c>
      <c r="FI354" s="567" t="e">
        <v>#N/A</v>
      </c>
      <c r="FJ354" s="567" t="e">
        <v>#N/A</v>
      </c>
      <c r="FK354" s="535"/>
      <c r="FL354" s="1015" t="e">
        <f t="shared" ref="FL354:FL381" si="846">(FJ354-FJ355)/1.983</f>
        <v>#N/A</v>
      </c>
      <c r="FM354" s="535"/>
      <c r="FN354" s="535"/>
      <c r="FO354" s="535">
        <f>O354+((Sheet1!CS352)*GPMtoMGD)</f>
        <v>58</v>
      </c>
      <c r="FP354" s="535">
        <f>IF(Sheet1!AA352+AQ354&lt;=Calculation!N354,AQ354,Calculation!N354-Sheet1!AA352)</f>
        <v>22.5</v>
      </c>
      <c r="FQ354" s="535">
        <f>(Sheet1!BP352+Sheet1!BO352)/694.4</f>
        <v>1.7279665898617511</v>
      </c>
      <c r="FR354" s="541"/>
      <c r="FS354" s="541"/>
      <c r="FT354" s="541"/>
      <c r="FU354" s="541"/>
      <c r="FV354" s="1109">
        <f t="shared" si="798"/>
        <v>42918</v>
      </c>
      <c r="FW354" s="1109">
        <f t="shared" si="799"/>
        <v>43027</v>
      </c>
      <c r="FX354" s="541"/>
      <c r="FY354" s="541">
        <f>Sheet1!DA352-Sheet1!CZ352-Sheet1!AE352</f>
        <v>412.274</v>
      </c>
      <c r="FZ354" s="535">
        <f t="shared" si="832"/>
        <v>0.52990142816947416</v>
      </c>
      <c r="GA354" s="535"/>
      <c r="GB354" s="535" t="str">
        <f t="shared" si="800"/>
        <v>n</v>
      </c>
      <c r="GC354" s="539">
        <f t="shared" si="801"/>
        <v>42782</v>
      </c>
      <c r="GD354" s="1109">
        <f t="shared" si="802"/>
        <v>42904</v>
      </c>
      <c r="GE354" s="535">
        <f t="shared" si="818"/>
        <v>6520</v>
      </c>
      <c r="GF354" s="1109">
        <f t="shared" si="803"/>
        <v>42909</v>
      </c>
      <c r="GG354" s="535">
        <f t="shared" si="845"/>
        <v>3260</v>
      </c>
      <c r="GH354" s="539">
        <f t="shared" si="804"/>
        <v>43040</v>
      </c>
      <c r="GJ354" s="521">
        <f t="shared" si="805"/>
        <v>0</v>
      </c>
      <c r="GK354" s="535" t="str">
        <f t="shared" si="750"/>
        <v/>
      </c>
      <c r="GL354" s="535">
        <f t="shared" si="806"/>
        <v>0</v>
      </c>
      <c r="GM354" s="535" t="str">
        <f t="shared" si="807"/>
        <v/>
      </c>
      <c r="GN354" s="535">
        <f>IF(GK354="P",Lookup!$M$12,IF(GK354="PP",Lookup!$M$13,IF(GK354="PPP",Lookup!$M$14,IF(GK354="T",Lookup!$M$15,IF(GK354="TP",Lookup!$M$16,IF(GK354="TPP",Lookup!$M$17,IF(GK354="TPPP",Lookup!$M$18,0)))))))*GJ354</f>
        <v>0</v>
      </c>
      <c r="GO354" s="535">
        <f t="shared" si="808"/>
        <v>0</v>
      </c>
      <c r="GP354" s="535">
        <f t="shared" si="751"/>
        <v>0</v>
      </c>
      <c r="GQ354" s="974">
        <f t="shared" si="695"/>
        <v>0</v>
      </c>
      <c r="GR354" s="535"/>
      <c r="GS354" s="535">
        <f t="shared" si="809"/>
        <v>0</v>
      </c>
      <c r="GT354" s="535" t="str">
        <f t="shared" si="810"/>
        <v/>
      </c>
      <c r="GU354" s="535">
        <f>IF(GK354="P",Lookup!$N$12,IF(GK354="PP",Lookup!$N$13,IF(GK354="PPP",Lookup!$N$14,IF(GK354="T",Lookup!$N$15,IF(GK354="TP",Lookup!$N$16,IF(GK354="TPP",Lookup!$N$17,IF(GK354="TPPP",Lookup!$N$18,0)))))))*GJ354</f>
        <v>0</v>
      </c>
      <c r="GV354" s="535">
        <f t="shared" si="811"/>
        <v>0</v>
      </c>
      <c r="GW354" s="535">
        <f t="shared" si="752"/>
        <v>0</v>
      </c>
      <c r="GX354" s="974">
        <f t="shared" si="696"/>
        <v>0</v>
      </c>
      <c r="GY354" s="535"/>
      <c r="GZ354" s="535">
        <f t="shared" si="812"/>
        <v>0</v>
      </c>
      <c r="HA354" s="535" t="str">
        <f t="shared" si="813"/>
        <v/>
      </c>
      <c r="HB354" s="535">
        <f>IF(GK354="P",Lookup!$N$12,IF(GK354="PP",Lookup!$N$13,IF(GK354="PPP",Lookup!$N$14,IF(GK354="T",Lookup!$N$15,IF(GK354="TP",Lookup!$N$16,IF(GK354="TPP",Lookup!$N$17,IF(GK354="TPPP",Lookup!$N$18,0)))))))*GJ354</f>
        <v>0</v>
      </c>
      <c r="HC354" s="521">
        <f t="shared" si="753"/>
        <v>0</v>
      </c>
      <c r="HD354" s="535">
        <f t="shared" si="754"/>
        <v>0</v>
      </c>
      <c r="HE354" s="535">
        <f t="shared" si="816"/>
        <v>0</v>
      </c>
      <c r="HF354" s="535"/>
      <c r="HG354" s="535">
        <f t="shared" si="814"/>
        <v>0</v>
      </c>
      <c r="HH354" s="535" t="str">
        <f t="shared" si="815"/>
        <v/>
      </c>
      <c r="HI354" s="535">
        <f>IF(GK354="P",Lookup!$N$12,IF(GK354="PP",Lookup!$N$13,IF(GK354="PPP",Lookup!$N$14,IF(GK354="T",Lookup!$N$15,IF(GK354="TP",Lookup!$N$16,IF(GK354="TPP",Lookup!$N$17,IF(GK354="TPPP",Lookup!$N$18,0)))))))*GJ354</f>
        <v>0</v>
      </c>
      <c r="HJ354" s="521">
        <f t="shared" si="755"/>
        <v>0</v>
      </c>
      <c r="HK354" s="535">
        <f t="shared" si="756"/>
        <v>0</v>
      </c>
      <c r="HL354" s="535">
        <f t="shared" si="817"/>
        <v>0</v>
      </c>
      <c r="HM354" s="535"/>
      <c r="HN354" s="541"/>
      <c r="HO354" s="541"/>
      <c r="HP354" s="541"/>
      <c r="HQ354" s="541">
        <f>IF(AND(B354&gt;=$FV$4,B354&lt;=$FW$4),MAX(110/1.02+$HQ$6+MIN(113/1.02,G354),IF($HV$6-(Sheet1!DA352-Sheet1!DB352)+MIN(113/1.02,G354)&lt;G354+FL354,$HV$6-(Sheet1!DA352-Sheet1!DB352)+MIN(113/1.02,G354),G354+FL354)),MIN(110/1.02+$HQ$6+113/1.02,G354))</f>
        <v>218.62745098039215</v>
      </c>
      <c r="HR354" s="541">
        <f t="shared" si="833"/>
        <v>223</v>
      </c>
      <c r="HS354" s="541">
        <f>HR354+(Sheet1!DA352-Sheet1!DB352)</f>
        <v>736</v>
      </c>
      <c r="HT354" s="541">
        <f t="shared" si="834"/>
        <v>0</v>
      </c>
      <c r="HU354" s="541">
        <f t="shared" si="835"/>
        <v>736</v>
      </c>
      <c r="HV354" s="541">
        <f t="shared" si="836"/>
        <v>0</v>
      </c>
      <c r="HW354" s="533" t="str">
        <f t="shared" si="837"/>
        <v/>
      </c>
      <c r="HX354" s="541">
        <f t="shared" si="838"/>
        <v>539.37254901960785</v>
      </c>
      <c r="HY354" s="541">
        <f>Sheet1!CZ352</f>
        <v>758</v>
      </c>
      <c r="HZ354" s="541">
        <f t="shared" si="839"/>
        <v>0</v>
      </c>
      <c r="IA354" s="541">
        <f t="shared" si="840"/>
        <v>0</v>
      </c>
      <c r="IB354" s="541">
        <f t="shared" si="841"/>
        <v>758</v>
      </c>
      <c r="IC354" s="1019" t="str">
        <f t="shared" si="842"/>
        <v/>
      </c>
      <c r="ID354" s="541">
        <f t="shared" si="843"/>
        <v>758</v>
      </c>
      <c r="IE354" s="541">
        <f>Sheet1!DB352</f>
        <v>747</v>
      </c>
      <c r="IF354" s="533">
        <f>Sheet1!DA352</f>
        <v>1260</v>
      </c>
      <c r="IH354" s="541">
        <f>IF(AND($B354&gt;=$GC354,$B354&lt;=$GH354,$DR354&lt;0)+N("only adjusted when pool is drawn down during storage season"),Sheet1!$DB352+$DR354+N("Palmer minus all storage release"),Sheet1!$DB352)</f>
        <v>747</v>
      </c>
      <c r="II354" s="541">
        <f>IF(AND($B354&gt;=$GC354,$B354&lt;=$GH354,$DR354&lt;0)+N("only adjusted when pool is drawn down during storage season"),Sheet1!$DA352+$DR354+N("Auburn minus all storage release"),Sheet1!$DA352)</f>
        <v>1260</v>
      </c>
    </row>
    <row r="355" spans="1:243" x14ac:dyDescent="0.25">
      <c r="A355" s="553" t="s">
        <v>3</v>
      </c>
      <c r="B355" s="531">
        <v>43079</v>
      </c>
      <c r="C355" s="536">
        <v>0</v>
      </c>
      <c r="D355" s="506">
        <f t="shared" si="787"/>
        <v>300</v>
      </c>
      <c r="E355" s="506">
        <f t="shared" si="788"/>
        <v>250</v>
      </c>
      <c r="F355" s="506">
        <v>250</v>
      </c>
      <c r="G355" s="535">
        <f>DR355+Sheet1!CZ353</f>
        <v>704.06807866852216</v>
      </c>
      <c r="H355" s="1074">
        <f t="shared" si="844"/>
        <v>330.92609599999997</v>
      </c>
      <c r="I355" s="534">
        <f>IF(Sheet1!DA353&gt;=E355,(Sheet1!DA353-E355+P355)*CFStoMGD,0)</f>
        <v>684.50689599999987</v>
      </c>
      <c r="J355" s="995">
        <f>IF(Sheet1!DB353&gt;=D355,(Sheet1!DB353-D355+P355)*CFStoMGD,0)</f>
        <v>330.92609599999997</v>
      </c>
      <c r="K355" s="818">
        <f t="shared" si="819"/>
        <v>64.64</v>
      </c>
      <c r="L355" s="535">
        <f>Sheet1!AA353+Sheet1!AB353-Sheet1!L353+(Sheet1!DA353-F355)*CFStoMGD-S355-T355-U355</f>
        <v>627.00799999999992</v>
      </c>
      <c r="M355" s="535">
        <f t="shared" si="697"/>
        <v>464.21179817235941</v>
      </c>
      <c r="N355" s="824">
        <f>IF(Sheet1!DA353&gt;=F355,MIN(113*CFStoMGD,MIN(MAX(L355,0),MAX(M355,0))),0)</f>
        <v>73.043199999999999</v>
      </c>
      <c r="O355" s="538">
        <f>Sheet1!AA353+Sheet1!AB353</f>
        <v>57.5</v>
      </c>
      <c r="P355" s="538">
        <f t="shared" si="698"/>
        <v>88.952499999999986</v>
      </c>
      <c r="Q355" s="812">
        <f t="shared" si="820"/>
        <v>0</v>
      </c>
      <c r="R355" s="812">
        <f t="shared" si="789"/>
        <v>10.531914893617021</v>
      </c>
      <c r="S355" s="812">
        <f t="shared" si="790"/>
        <v>57.5</v>
      </c>
      <c r="T355" s="812">
        <f t="shared" si="791"/>
        <v>0</v>
      </c>
      <c r="U355" s="812">
        <f>IF(AND(B355&gt;=FV355,B355&lt;=FW355),ED355+Sheet1!EH353,0)</f>
        <v>0</v>
      </c>
      <c r="V355" s="812"/>
      <c r="W355" s="812">
        <f t="shared" si="792"/>
        <v>54.10808510638298</v>
      </c>
      <c r="X355" s="812">
        <f t="shared" si="793"/>
        <v>57.5</v>
      </c>
      <c r="Y355" s="812" t="str">
        <f t="shared" si="794"/>
        <v/>
      </c>
      <c r="Z355" s="812">
        <f t="shared" si="795"/>
        <v>57.5</v>
      </c>
      <c r="AA355" s="812">
        <f t="shared" si="796"/>
        <v>57.5</v>
      </c>
      <c r="AB355" s="1059">
        <f t="shared" si="821"/>
        <v>0</v>
      </c>
      <c r="AC355" s="538">
        <f>Sheet1!Y353*MGDtoCFS</f>
        <v>38.829700000000003</v>
      </c>
      <c r="AD355" s="538">
        <f>Sheet1!Z353*MGDtoCFS</f>
        <v>50.896299999999997</v>
      </c>
      <c r="AE355" s="538">
        <f>Sheet1!AA353*MGDtoCFS</f>
        <v>37.901499999999999</v>
      </c>
      <c r="AF355" s="538">
        <f>Sheet1!AB353*MGDtoCFS</f>
        <v>51.050999999999995</v>
      </c>
      <c r="AG355" s="538">
        <f>Sheet1!L353*MGDtoCFS</f>
        <v>0</v>
      </c>
      <c r="AH355" s="521">
        <f t="shared" si="699"/>
        <v>0</v>
      </c>
      <c r="AI355" s="1059">
        <f t="shared" si="700"/>
        <v>0</v>
      </c>
      <c r="AJ355" s="535">
        <f t="shared" si="701"/>
        <v>0</v>
      </c>
      <c r="AK355" s="535">
        <f t="shared" si="702"/>
        <v>0</v>
      </c>
      <c r="AL355" s="535">
        <f>(VLOOKUP(Sheet1!DC353,hhdcap_wcm,4)-(((VLOOKUP(Sheet1!DC353,hhdcap_wcm,3)-Sheet1!DC353)/(VLOOKUP(Sheet1!DC353,hhdcap_wcm,3)-VLOOKUP(Sheet1!DC353,hhdcap_wcm,1)))*(VLOOKUP(Sheet1!DC353,hhdcap_wcm,4)-VLOOKUP(Sheet1!DC353,hhdcap_wcm,2))))</f>
        <v>900.80000000278301</v>
      </c>
      <c r="AM355" s="535">
        <f t="shared" si="703"/>
        <v>-89.10000000032062</v>
      </c>
      <c r="AN355" s="1035">
        <f t="shared" si="704"/>
        <v>0</v>
      </c>
      <c r="AO355" s="535">
        <f t="shared" si="705"/>
        <v>0</v>
      </c>
      <c r="AP355" s="535">
        <f>Sheet1!BA353+Sheet1!BB353+Sheet1!BN353+CD355</f>
        <v>22.4</v>
      </c>
      <c r="AQ355" s="535">
        <f>Sheet1!BN353+(DO355*Sheet1!BN353)</f>
        <v>22.468085106382979</v>
      </c>
      <c r="AR355" s="535">
        <f>Sheet1!BA353+CD355</f>
        <v>0</v>
      </c>
      <c r="AS355" s="535">
        <f>Sheet1!BA353+Sheet1!BB353+CD355</f>
        <v>0</v>
      </c>
      <c r="AT355" s="649">
        <f>0</f>
        <v>0</v>
      </c>
      <c r="AU355" s="974">
        <f>BA355+MAX(Sheet1!EH353,(O355-Q355-ED355-S355))</f>
        <v>0</v>
      </c>
      <c r="AV355" s="535">
        <f>IF(OR(B355&gt;=GD355,B355&lt;GC355),0,15/36*K355-MAX(0,64.6-(137.6-(Sheet1!AA353+Sheet1!AB353))))</f>
        <v>0</v>
      </c>
      <c r="AW355" s="1029"/>
      <c r="AX355" s="649"/>
      <c r="AY355" s="649">
        <f t="shared" si="822"/>
        <v>23.311716569431731</v>
      </c>
      <c r="AZ355" s="649">
        <f t="shared" si="823"/>
        <v>0</v>
      </c>
      <c r="BA355" s="1059">
        <f t="shared" si="824"/>
        <v>0</v>
      </c>
      <c r="BB355" s="1019">
        <f t="shared" si="706"/>
        <v>0</v>
      </c>
      <c r="BC355" s="1041">
        <f t="shared" si="825"/>
        <v>26.933333333333334</v>
      </c>
      <c r="BD355" s="1019">
        <f ca="1">IF(B355&gt;(Summary!$A$1-1),#N/A,BB355*MGtoAF)</f>
        <v>0</v>
      </c>
      <c r="BE355" s="535">
        <f>Sheet1!BG353+Sheet1!BH353+Sheet1!BI353-BM355</f>
        <v>1.01</v>
      </c>
      <c r="BF355" s="535">
        <f t="shared" si="707"/>
        <v>1.0130699088145898</v>
      </c>
      <c r="BG355" s="535">
        <f>IF(Sheet1!EP353="FM",BM355,0)</f>
        <v>0</v>
      </c>
      <c r="BH355" s="535">
        <f t="shared" si="708"/>
        <v>0</v>
      </c>
      <c r="BI355" s="535">
        <f>IF(Sheet1!EP353="OTHER",BM355,0)</f>
        <v>0</v>
      </c>
      <c r="BJ355" s="535">
        <f t="shared" si="709"/>
        <v>0</v>
      </c>
      <c r="BK355" s="535">
        <f t="shared" si="710"/>
        <v>1.01</v>
      </c>
      <c r="BL355" s="535">
        <f t="shared" si="711"/>
        <v>1.0130699088145898</v>
      </c>
      <c r="BM355" s="535">
        <f>IF(OR(Sheet1!EP353="FM", Sheet1!EP353="OTHER"),SUM(Sheet1!BG353:'Sheet1'!BI353),0)</f>
        <v>0</v>
      </c>
      <c r="BN355" s="521">
        <f>IF(AND($B355&gt;=$FV355,$B355&lt;=$FW355),MAX(BF355,Sheet1!EI353,0),MAX(BF355-(7/36)*$K355,0))</f>
        <v>0</v>
      </c>
      <c r="BO355" s="535">
        <f t="shared" si="712"/>
        <v>0</v>
      </c>
      <c r="BP355" s="521">
        <f t="shared" si="713"/>
        <v>1.0130699088145898</v>
      </c>
      <c r="BQ355" s="521">
        <f>IF(AND($O355&gt;0,Sheet1!EM353=1),(1-($O355-Sheet1!$L353)/$O355)*BL355,0)</f>
        <v>0</v>
      </c>
      <c r="BR355" s="521">
        <f>IF(AND(Sheet1!$L353=0,Sheet1!$L352=0, Calculation!BK355&lt;Sheet1!$EI353-0.1,Sheet1!$EI353=Sheet1!$EI352,Sheet1!$EI353=Sheet1!$EI354),BL355-BQ355,BL355-BQ355)</f>
        <v>1.0130699088145898</v>
      </c>
      <c r="BS355" s="1035" t="str">
        <f t="shared" si="826"/>
        <v/>
      </c>
      <c r="BT355" s="1035">
        <f t="shared" si="827"/>
        <v>12.568888888888889</v>
      </c>
      <c r="BU355" s="535">
        <f t="shared" si="714"/>
        <v>0</v>
      </c>
      <c r="BV355" s="535"/>
      <c r="BW355" s="535">
        <f ca="1">IF(B355&gt;(Summary!$A$1-1),#N/A,BU355*MGtoAF)</f>
        <v>0</v>
      </c>
      <c r="BX355" s="535">
        <f>Sheet1!BC353+Sheet1!BD353+Sheet1!BE353+Sheet1!BF353-CG355-CH355</f>
        <v>3</v>
      </c>
      <c r="BY355" s="535">
        <f t="shared" si="715"/>
        <v>3.0091185410334349</v>
      </c>
      <c r="BZ355" s="535">
        <f>IF(Sheet1!EQ353="FM",CH355,0)</f>
        <v>0</v>
      </c>
      <c r="CA355" s="535">
        <f t="shared" si="716"/>
        <v>0</v>
      </c>
      <c r="CB355" s="535">
        <f>IF(Sheet1!EQ353="OTHER",CH355,0)</f>
        <v>0</v>
      </c>
      <c r="CC355" s="535">
        <f t="shared" si="717"/>
        <v>0</v>
      </c>
      <c r="CD355" s="535">
        <f t="shared" si="718"/>
        <v>0</v>
      </c>
      <c r="CE355" s="535">
        <f t="shared" si="719"/>
        <v>3</v>
      </c>
      <c r="CF355" s="535">
        <f t="shared" si="720"/>
        <v>3.0091185410334349</v>
      </c>
      <c r="CG355" s="535">
        <f>IF(Sheet1!EQ353="CWA",SUM(Sheet1!BC353:'Sheet1'!BF353),0)</f>
        <v>0</v>
      </c>
      <c r="CH355" s="535">
        <f>IF(OR(Sheet1!EQ353="FM", Sheet1!EQ353="OTHER"),SUM(Sheet1!BC353:'Sheet1'!BF353),0)</f>
        <v>0</v>
      </c>
      <c r="CI355" s="521">
        <f>IF(AND($B355&gt;=$FV355,$B355&lt;=$FW355),MAX(CF355,Sheet1!EJ353,0),MAX(CF355-(7/36)*$K355,0))</f>
        <v>0</v>
      </c>
      <c r="CJ355" s="535">
        <f t="shared" si="721"/>
        <v>0</v>
      </c>
      <c r="CK355" s="521">
        <f t="shared" si="722"/>
        <v>3.0091185410334349</v>
      </c>
      <c r="CL355" s="521">
        <f>IF(AND($O355&gt;0,Sheet1!EN353=1),(1-($O355-Sheet1!$L353)/$O355)*CF355,0)</f>
        <v>0</v>
      </c>
      <c r="CM355" s="521">
        <f>IF(AND(Sheet1!$L353=0,Sheet1!$L352=0, Calculation!CE355&lt;Sheet1!EJ353-0.1,Sheet1!EJ353=Sheet1!EJ352,Sheet1!EJ353=Sheet1!EJ354),CF355-CL355,CF355-CL355)</f>
        <v>3.0091185410334349</v>
      </c>
      <c r="CN355" s="1040" t="str">
        <f t="shared" si="828"/>
        <v/>
      </c>
      <c r="CO355" s="1035">
        <f t="shared" si="829"/>
        <v>12.568888888888889</v>
      </c>
      <c r="CP355" s="535">
        <f t="shared" si="723"/>
        <v>0</v>
      </c>
      <c r="CQ355" s="535"/>
      <c r="CR355" s="535">
        <f ca="1">IF(B355&gt;(Summary!$A$1-1),#N/A,CP355*MGtoAF)</f>
        <v>0</v>
      </c>
      <c r="CS355" s="535">
        <f>Sheet1!BK353+Sheet1!BL353+Sheet1!BM353-Sheet1!ER353-DA355</f>
        <v>6.49</v>
      </c>
      <c r="CT355" s="535">
        <f t="shared" si="724"/>
        <v>6.5097264437689972</v>
      </c>
      <c r="CU355" s="535">
        <f>IF(Sheet1!ER353="FM",DA355,0)</f>
        <v>0</v>
      </c>
      <c r="CV355" s="535">
        <f t="shared" si="725"/>
        <v>0</v>
      </c>
      <c r="CW355" s="535">
        <f>IF(Sheet1!ER353="OTHER",DA355,0)</f>
        <v>0</v>
      </c>
      <c r="CX355" s="535">
        <f t="shared" si="726"/>
        <v>0</v>
      </c>
      <c r="CY355" s="535">
        <f t="shared" si="727"/>
        <v>6.49</v>
      </c>
      <c r="CZ355" s="535">
        <f t="shared" si="728"/>
        <v>6.5097264437689972</v>
      </c>
      <c r="DA355" s="535">
        <f>IF(OR(Sheet1!ER353="FM", Sheet1!ER353="OTHER"),SUM(Sheet1!BK353:'Sheet1'!BM353),0)</f>
        <v>0</v>
      </c>
      <c r="DB355" s="1011">
        <f>IF(AND($B355&gt;=$FV355,$B355&lt;=$FW355),MAX($CT355,Sheet1!EK353,0),MAX($CT355-(7/36)*$K355,0))</f>
        <v>0</v>
      </c>
      <c r="DC355" s="1012">
        <f t="shared" si="729"/>
        <v>0</v>
      </c>
      <c r="DD355" s="1011">
        <f t="shared" si="730"/>
        <v>6.5097264437689972</v>
      </c>
      <c r="DE355" s="521">
        <f>IF(AND($O355&gt;0,Sheet1!EO353=1),(1-($O355-Sheet1!$L353)/$O355)*CZ355,0)</f>
        <v>0</v>
      </c>
      <c r="DF355" s="521">
        <f>IF(AND(Sheet1!$L353=0,Sheet1!$L352=0, Calculation!CY355&lt;Sheet1!$EK353-0.1,Sheet1!$EK353=Sheet1!$EK352,Sheet1!$EK353=Sheet1!$EK354),CZ355-DE355,CZ355-DE355)</f>
        <v>6.5097264437689972</v>
      </c>
      <c r="DG355" s="1040">
        <f t="shared" si="830"/>
        <v>12.568888888888889</v>
      </c>
      <c r="DH355" s="649">
        <f t="shared" si="731"/>
        <v>10.5</v>
      </c>
      <c r="DI355" s="535">
        <f t="shared" si="732"/>
        <v>0</v>
      </c>
      <c r="DJ355" s="649">
        <f t="shared" si="733"/>
        <v>10.531914893617021</v>
      </c>
      <c r="DK355" s="535">
        <f ca="1">IF(B355&gt;(Summary!$A$1-1),#N/A,DI355*MGtoAF)</f>
        <v>0</v>
      </c>
      <c r="DL355" s="649">
        <f t="shared" si="734"/>
        <v>10.5</v>
      </c>
      <c r="DM355" s="535">
        <f t="shared" si="735"/>
        <v>32.9</v>
      </c>
      <c r="DN355" s="535">
        <f>Sheet1!AB353-DM355</f>
        <v>0.10000000000000142</v>
      </c>
      <c r="DO355" s="743">
        <f t="shared" si="736"/>
        <v>3.0395136778115935E-3</v>
      </c>
      <c r="DP355" s="535">
        <f>(VLOOKUP(Sheet1!DC353,hhdcap_wcm,4)-(((VLOOKUP(Sheet1!DC353,hhdcap_wcm,3)-Sheet1!DC353)/(VLOOKUP(Sheet1!DC353,hhdcap_wcm,3)-VLOOKUP(Sheet1!DC353,hhdcap_wcm,1)))*(VLOOKUP(Sheet1!DC353,hhdcap_wcm,4)-VLOOKUP(Sheet1!DC353,hhdcap_wcm,2))))</f>
        <v>900.80000000278301</v>
      </c>
      <c r="DQ355" s="535">
        <f t="shared" si="737"/>
        <v>-89.10000000032062</v>
      </c>
      <c r="DR355" s="535">
        <f t="shared" si="738"/>
        <v>-44.931921331477866</v>
      </c>
      <c r="DS355" s="535">
        <f>Sheet1!EA353*AFtoMG</f>
        <v>0</v>
      </c>
      <c r="DT355" s="535">
        <f>Sheet1!EB353*AFtoMG</f>
        <v>0</v>
      </c>
      <c r="DU355" s="535">
        <f>Sheet1!EC353*AFtoMG</f>
        <v>0</v>
      </c>
      <c r="DV355" s="535">
        <f>Sheet1!ED353*AFtoMG</f>
        <v>0</v>
      </c>
      <c r="DW355" s="535">
        <f t="shared" si="739"/>
        <v>0</v>
      </c>
      <c r="DX355" s="535">
        <f t="shared" si="740"/>
        <v>0</v>
      </c>
      <c r="DY355" s="535">
        <f t="shared" si="741"/>
        <v>0</v>
      </c>
      <c r="DZ355" s="535">
        <f t="shared" si="742"/>
        <v>0</v>
      </c>
      <c r="EA355" s="535"/>
      <c r="EB355" s="521">
        <f>IF(OR(B355&lt;FV355,B355&gt;FW355),(MIN(BF355+BY355+CT355+MAX(Sheet1!AA353+AQ355-73,0),K355)),0)</f>
        <v>10.531914893617021</v>
      </c>
      <c r="EC355" s="535"/>
      <c r="ED355" s="535">
        <f t="shared" si="743"/>
        <v>10.531914893617021</v>
      </c>
      <c r="EE355" s="535"/>
      <c r="EF355" s="535">
        <f>Sheet1!EH353+Sheet1!EI353+Sheet1!EJ353+Sheet1!EK353</f>
        <v>10.5</v>
      </c>
      <c r="EG355" s="1019">
        <f t="shared" si="831"/>
        <v>16.243500000000001</v>
      </c>
      <c r="EH355" s="521">
        <f t="shared" si="744"/>
        <v>0</v>
      </c>
      <c r="EI355" s="535">
        <f>IF(Sheet1!ET353=1,SUM('Calculations II'!AT355:BA355)+'Calculations II'!BC355+Sheet1!BV353+'Calculations II'!BE355+AP355,'Calculations II'!BK355)</f>
        <v>47.955101106382976</v>
      </c>
      <c r="EJ355" s="535">
        <f ca="1">EI355+'Calculations II'!D355+'Calculations II'!E355+'Calculations II'!O355</f>
        <v>45.447658105932135</v>
      </c>
      <c r="EK355" s="535"/>
      <c r="EL355" s="535"/>
      <c r="EM355" s="535">
        <f t="shared" si="745"/>
        <v>43079</v>
      </c>
      <c r="EN355" s="535">
        <f t="shared" si="746"/>
        <v>0</v>
      </c>
      <c r="EO355" s="535">
        <f t="shared" si="747"/>
        <v>0</v>
      </c>
      <c r="EP355" s="535">
        <v>0</v>
      </c>
      <c r="EQ355" s="535">
        <v>0</v>
      </c>
      <c r="ER355" s="535">
        <v>0</v>
      </c>
      <c r="ES355" s="521">
        <f t="shared" si="797"/>
        <v>1.9384728806191309</v>
      </c>
      <c r="ET355" s="535">
        <f>-(VLOOKUP(Sheet1!BQ353,Lookup!$O$4:$Q$262,2)-VLOOKUP(Sheet1!BQ352,Lookup!$O$4:$Q$262,2))/1000000</f>
        <v>0.96903459629980848</v>
      </c>
      <c r="EU355" s="535">
        <f>-(VLOOKUP(Sheet1!BR353,Lookup!$O$4:$Q$262,3)-VLOOKUP(Sheet1!BR352,Lookup!$O$4:$Q$262,3))/1000000</f>
        <v>0.96943828431932255</v>
      </c>
      <c r="EV355" s="535"/>
      <c r="EW355" s="535"/>
      <c r="EX355" s="535"/>
      <c r="EY355" s="535"/>
      <c r="EZ355" s="535"/>
      <c r="FA355" s="535"/>
      <c r="FB355" s="535"/>
      <c r="FC355" s="535"/>
      <c r="FD355" s="567" t="e">
        <f t="shared" ref="FD355:FD381" si="847">VLOOKUP(FJ353,hhdelev_wcm,4) -(((VLOOKUP(FJ353,hhdelev_wcm,3)-FJ353)/(VLOOKUP(FJ353,hhdelev_wcm,3)-VLOOKUP(FJ353,hhdelev_wcm,1)))*(VLOOKUP(FJ353,hhdelev_wcm,4)-VLOOKUP(FJ353,hhdelev_wcm,2)))</f>
        <v>#N/A</v>
      </c>
      <c r="FE355" s="567" t="e">
        <f t="shared" si="748"/>
        <v>#N/A</v>
      </c>
      <c r="FF355" s="568" t="e">
        <f t="shared" si="749"/>
        <v>#N/A</v>
      </c>
      <c r="FG355" s="569" t="s">
        <v>656</v>
      </c>
      <c r="FH355" s="569" t="s">
        <v>656</v>
      </c>
      <c r="FI355" s="567" t="e">
        <v>#N/A</v>
      </c>
      <c r="FJ355" s="567" t="e">
        <v>#N/A</v>
      </c>
      <c r="FK355" s="535"/>
      <c r="FL355" s="1015" t="e">
        <f t="shared" si="846"/>
        <v>#N/A</v>
      </c>
      <c r="FM355" s="535"/>
      <c r="FN355" s="535"/>
      <c r="FO355" s="535">
        <f>O355+((Sheet1!CS353)*GPMtoMGD)</f>
        <v>57.5</v>
      </c>
      <c r="FP355" s="535">
        <f>IF(Sheet1!AA353+AQ355&lt;=Calculation!N355,AQ355,Calculation!N355-Sheet1!AA353)</f>
        <v>22.468085106382979</v>
      </c>
      <c r="FQ355" s="535">
        <f>(Sheet1!BP353+Sheet1!BO353)/694.4</f>
        <v>1.7361751152073734</v>
      </c>
      <c r="FR355" s="541"/>
      <c r="FS355" s="541"/>
      <c r="FT355" s="541"/>
      <c r="FU355" s="541"/>
      <c r="FV355" s="1109">
        <f t="shared" si="798"/>
        <v>42918</v>
      </c>
      <c r="FW355" s="1109">
        <f t="shared" si="799"/>
        <v>43027</v>
      </c>
      <c r="FX355" s="541"/>
      <c r="FY355" s="541">
        <f>Sheet1!DA353-Sheet1!CZ353-Sheet1!AE353</f>
        <v>382.04750000000001</v>
      </c>
      <c r="FZ355" s="535">
        <f t="shared" si="832"/>
        <v>0.54262863432538799</v>
      </c>
      <c r="GA355" s="535"/>
      <c r="GB355" s="535" t="str">
        <f t="shared" si="800"/>
        <v>n</v>
      </c>
      <c r="GC355" s="539">
        <f t="shared" si="801"/>
        <v>42782</v>
      </c>
      <c r="GD355" s="1109">
        <f t="shared" si="802"/>
        <v>42904</v>
      </c>
      <c r="GE355" s="535">
        <f t="shared" si="818"/>
        <v>6520</v>
      </c>
      <c r="GF355" s="1109">
        <f t="shared" si="803"/>
        <v>42909</v>
      </c>
      <c r="GG355" s="535">
        <f t="shared" si="845"/>
        <v>3260</v>
      </c>
      <c r="GH355" s="539">
        <f t="shared" si="804"/>
        <v>43040</v>
      </c>
      <c r="GJ355" s="521">
        <f t="shared" si="805"/>
        <v>0</v>
      </c>
      <c r="GK355" s="535" t="str">
        <f t="shared" si="750"/>
        <v/>
      </c>
      <c r="GL355" s="535">
        <f t="shared" si="806"/>
        <v>0</v>
      </c>
      <c r="GM355" s="535" t="str">
        <f t="shared" si="807"/>
        <v/>
      </c>
      <c r="GN355" s="535">
        <f>IF(GK355="P",Lookup!$M$12,IF(GK355="PP",Lookup!$M$13,IF(GK355="PPP",Lookup!$M$14,IF(GK355="T",Lookup!$M$15,IF(GK355="TP",Lookup!$M$16,IF(GK355="TPP",Lookup!$M$17,IF(GK355="TPPP",Lookup!$M$18,0)))))))*GJ355</f>
        <v>0</v>
      </c>
      <c r="GO355" s="535">
        <f t="shared" si="808"/>
        <v>0</v>
      </c>
      <c r="GP355" s="535">
        <f t="shared" si="751"/>
        <v>0</v>
      </c>
      <c r="GQ355" s="974">
        <f t="shared" si="695"/>
        <v>0</v>
      </c>
      <c r="GR355" s="535"/>
      <c r="GS355" s="535">
        <f t="shared" si="809"/>
        <v>0</v>
      </c>
      <c r="GT355" s="535" t="str">
        <f t="shared" si="810"/>
        <v/>
      </c>
      <c r="GU355" s="535">
        <f>IF(GK355="P",Lookup!$N$12,IF(GK355="PP",Lookup!$N$13,IF(GK355="PPP",Lookup!$N$14,IF(GK355="T",Lookup!$N$15,IF(GK355="TP",Lookup!$N$16,IF(GK355="TPP",Lookup!$N$17,IF(GK355="TPPP",Lookup!$N$18,0)))))))*GJ355</f>
        <v>0</v>
      </c>
      <c r="GV355" s="535">
        <f t="shared" si="811"/>
        <v>0</v>
      </c>
      <c r="GW355" s="535">
        <f t="shared" si="752"/>
        <v>0</v>
      </c>
      <c r="GX355" s="974">
        <f t="shared" si="696"/>
        <v>0</v>
      </c>
      <c r="GY355" s="535"/>
      <c r="GZ355" s="535">
        <f t="shared" si="812"/>
        <v>0</v>
      </c>
      <c r="HA355" s="535" t="str">
        <f t="shared" si="813"/>
        <v/>
      </c>
      <c r="HB355" s="535">
        <f>IF(GK355="P",Lookup!$N$12,IF(GK355="PP",Lookup!$N$13,IF(GK355="PPP",Lookup!$N$14,IF(GK355="T",Lookup!$N$15,IF(GK355="TP",Lookup!$N$16,IF(GK355="TPP",Lookup!$N$17,IF(GK355="TPPP",Lookup!$N$18,0)))))))*GJ355</f>
        <v>0</v>
      </c>
      <c r="HC355" s="521">
        <f t="shared" si="753"/>
        <v>0</v>
      </c>
      <c r="HD355" s="535">
        <f t="shared" si="754"/>
        <v>0</v>
      </c>
      <c r="HE355" s="535">
        <f t="shared" si="816"/>
        <v>0</v>
      </c>
      <c r="HF355" s="535"/>
      <c r="HG355" s="535">
        <f t="shared" si="814"/>
        <v>0</v>
      </c>
      <c r="HH355" s="535" t="str">
        <f t="shared" si="815"/>
        <v/>
      </c>
      <c r="HI355" s="535">
        <f>IF(GK355="P",Lookup!$N$12,IF(GK355="PP",Lookup!$N$13,IF(GK355="PPP",Lookup!$N$14,IF(GK355="T",Lookup!$N$15,IF(GK355="TP",Lookup!$N$16,IF(GK355="TPP",Lookup!$N$17,IF(GK355="TPPP",Lookup!$N$18,0)))))))*GJ355</f>
        <v>0</v>
      </c>
      <c r="HJ355" s="521">
        <f t="shared" si="755"/>
        <v>0</v>
      </c>
      <c r="HK355" s="535">
        <f t="shared" si="756"/>
        <v>0</v>
      </c>
      <c r="HL355" s="535">
        <f t="shared" si="817"/>
        <v>0</v>
      </c>
      <c r="HM355" s="535"/>
      <c r="HN355" s="541"/>
      <c r="HO355" s="541"/>
      <c r="HP355" s="541"/>
      <c r="HQ355" s="541">
        <f>IF(AND(B355&gt;=$FV$4,B355&lt;=$FW$4),MAX(110/1.02+$HQ$6+MIN(113/1.02,G355),IF($HV$6-(Sheet1!DA353-Sheet1!DB353)+MIN(113/1.02,G355)&lt;G355+FL355,$HV$6-(Sheet1!DA353-Sheet1!DB353)+MIN(113/1.02,G355),G355+FL355)),MIN(110/1.02+$HQ$6+113/1.02,G355))</f>
        <v>218.62745098039215</v>
      </c>
      <c r="HR355" s="541">
        <f t="shared" si="833"/>
        <v>223</v>
      </c>
      <c r="HS355" s="541">
        <f>HR355+(Sheet1!DA353-Sheet1!DB353)</f>
        <v>720</v>
      </c>
      <c r="HT355" s="541">
        <f t="shared" si="834"/>
        <v>0</v>
      </c>
      <c r="HU355" s="541">
        <f t="shared" si="835"/>
        <v>720</v>
      </c>
      <c r="HV355" s="541">
        <f t="shared" si="836"/>
        <v>0</v>
      </c>
      <c r="HW355" s="533" t="str">
        <f t="shared" si="837"/>
        <v/>
      </c>
      <c r="HX355" s="541">
        <f t="shared" si="838"/>
        <v>530.37254901960785</v>
      </c>
      <c r="HY355" s="541">
        <f>Sheet1!CZ353</f>
        <v>749</v>
      </c>
      <c r="HZ355" s="541">
        <f t="shared" si="839"/>
        <v>0</v>
      </c>
      <c r="IA355" s="541">
        <f t="shared" si="840"/>
        <v>0</v>
      </c>
      <c r="IB355" s="541">
        <f t="shared" si="841"/>
        <v>749</v>
      </c>
      <c r="IC355" s="1019" t="str">
        <f t="shared" si="842"/>
        <v/>
      </c>
      <c r="ID355" s="541">
        <f t="shared" si="843"/>
        <v>749</v>
      </c>
      <c r="IE355" s="541">
        <f>Sheet1!DB353</f>
        <v>723</v>
      </c>
      <c r="IF355" s="533">
        <f>Sheet1!DA353</f>
        <v>1220</v>
      </c>
      <c r="IH355" s="541">
        <f>IF(AND($B355&gt;=$GC355,$B355&lt;=$GH355,$DR355&lt;0)+N("only adjusted when pool is drawn down during storage season"),Sheet1!$DB353+$DR355+N("Palmer minus all storage release"),Sheet1!$DB353)</f>
        <v>723</v>
      </c>
      <c r="II355" s="541">
        <f>IF(AND($B355&gt;=$GC355,$B355&lt;=$GH355,$DR355&lt;0)+N("only adjusted when pool is drawn down during storage season"),Sheet1!$DA353+$DR355+N("Auburn minus all storage release"),Sheet1!$DA353)</f>
        <v>1220</v>
      </c>
    </row>
    <row r="356" spans="1:243" x14ac:dyDescent="0.25">
      <c r="A356" s="553" t="s">
        <v>4</v>
      </c>
      <c r="B356" s="531">
        <v>43080</v>
      </c>
      <c r="C356" s="536">
        <v>0</v>
      </c>
      <c r="D356" s="506">
        <f t="shared" si="787"/>
        <v>300</v>
      </c>
      <c r="E356" s="506">
        <f t="shared" si="788"/>
        <v>250</v>
      </c>
      <c r="F356" s="506">
        <v>250</v>
      </c>
      <c r="G356" s="535">
        <f>DR356+Sheet1!CZ354</f>
        <v>600.60514372163391</v>
      </c>
      <c r="H356" s="1074">
        <f t="shared" si="844"/>
        <v>215.72766143999999</v>
      </c>
      <c r="I356" s="534">
        <f>IF(Sheet1!DA354&gt;=E356,(Sheet1!DA354-E356+P356)*CFStoMGD,0)</f>
        <v>606.79966144000002</v>
      </c>
      <c r="J356" s="995">
        <f>IF(Sheet1!DB354&gt;=D356,(Sheet1!DB354-D356+P356)*CFStoMGD,0)</f>
        <v>215.72766143999999</v>
      </c>
      <c r="K356" s="818">
        <f t="shared" si="819"/>
        <v>64.64</v>
      </c>
      <c r="L356" s="535">
        <f>Sheet1!AA354+Sheet1!AB354-Sheet1!L354+(Sheet1!DA354-F356)*CFStoMGD-S356-T356-U356</f>
        <v>547.50080000000003</v>
      </c>
      <c r="M356" s="535">
        <f t="shared" si="697"/>
        <v>395.99578819969747</v>
      </c>
      <c r="N356" s="824">
        <f>IF(Sheet1!DA354&gt;=F356,MIN(113*CFStoMGD,MIN(MAX(L356,0),MAX(M356,0))),0)</f>
        <v>73.043199999999999</v>
      </c>
      <c r="O356" s="538">
        <f>Sheet1!AA354+Sheet1!AB354</f>
        <v>59.3</v>
      </c>
      <c r="P356" s="538">
        <f t="shared" si="698"/>
        <v>91.737099999999998</v>
      </c>
      <c r="Q356" s="812">
        <f t="shared" si="820"/>
        <v>0</v>
      </c>
      <c r="R356" s="812">
        <f t="shared" si="789"/>
        <v>10.5</v>
      </c>
      <c r="S356" s="812">
        <f t="shared" si="790"/>
        <v>59.3</v>
      </c>
      <c r="T356" s="812">
        <f t="shared" si="791"/>
        <v>0</v>
      </c>
      <c r="U356" s="812">
        <f>IF(AND(B356&gt;=FV356,B356&lt;=FW356),ED356+Sheet1!EH354,0)</f>
        <v>0</v>
      </c>
      <c r="V356" s="812"/>
      <c r="W356" s="812">
        <f t="shared" si="792"/>
        <v>54.14</v>
      </c>
      <c r="X356" s="812">
        <f t="shared" si="793"/>
        <v>59.3</v>
      </c>
      <c r="Y356" s="812" t="str">
        <f t="shared" si="794"/>
        <v/>
      </c>
      <c r="Z356" s="812">
        <f t="shared" si="795"/>
        <v>59.3</v>
      </c>
      <c r="AA356" s="812">
        <f t="shared" si="796"/>
        <v>59.3</v>
      </c>
      <c r="AB356" s="1059">
        <f t="shared" si="821"/>
        <v>0</v>
      </c>
      <c r="AC356" s="538">
        <f>Sheet1!Y354*MGDtoCFS</f>
        <v>37.901499999999999</v>
      </c>
      <c r="AD356" s="538">
        <f>Sheet1!Z354*MGDtoCFS</f>
        <v>51.050999999999995</v>
      </c>
      <c r="AE356" s="538">
        <f>Sheet1!AA354*MGDtoCFS</f>
        <v>37.592100000000002</v>
      </c>
      <c r="AF356" s="538">
        <f>Sheet1!AB354*MGDtoCFS</f>
        <v>54.144999999999996</v>
      </c>
      <c r="AG356" s="538">
        <f>Sheet1!L354*MGDtoCFS</f>
        <v>0</v>
      </c>
      <c r="AH356" s="521">
        <f t="shared" si="699"/>
        <v>0</v>
      </c>
      <c r="AI356" s="1059">
        <f t="shared" si="700"/>
        <v>0</v>
      </c>
      <c r="AJ356" s="535">
        <f t="shared" si="701"/>
        <v>0</v>
      </c>
      <c r="AK356" s="535">
        <f t="shared" si="702"/>
        <v>0</v>
      </c>
      <c r="AL356" s="535">
        <f>(VLOOKUP(Sheet1!DC354,hhdcap_wcm,4)-(((VLOOKUP(Sheet1!DC354,hhdcap_wcm,3)-Sheet1!DC354)/(VLOOKUP(Sheet1!DC354,hhdcap_wcm,3)-VLOOKUP(Sheet1!DC354,hhdcap_wcm,1)))*(VLOOKUP(Sheet1!DC354,hhdcap_wcm,4)-VLOOKUP(Sheet1!DC354,hhdcap_wcm,2))))</f>
        <v>902.00000000278305</v>
      </c>
      <c r="AM356" s="535">
        <f t="shared" si="703"/>
        <v>1.2000000000000455</v>
      </c>
      <c r="AN356" s="1035">
        <f t="shared" si="704"/>
        <v>0</v>
      </c>
      <c r="AO356" s="535">
        <f t="shared" si="705"/>
        <v>0</v>
      </c>
      <c r="AP356" s="535">
        <f>Sheet1!BA354+Sheet1!BB354+Sheet1!BN354+CD356</f>
        <v>24.5</v>
      </c>
      <c r="AQ356" s="535">
        <f>Sheet1!BN354+(DO356*Sheet1!BN354)</f>
        <v>24.5</v>
      </c>
      <c r="AR356" s="535">
        <f>Sheet1!BA354+CD356</f>
        <v>0</v>
      </c>
      <c r="AS356" s="535">
        <f>Sheet1!BA354+Sheet1!BB354+CD356</f>
        <v>0</v>
      </c>
      <c r="AT356" s="649">
        <f>0</f>
        <v>0</v>
      </c>
      <c r="AU356" s="974">
        <f>BA356+MAX(Sheet1!EH354,(O356-Q356-ED356-S356))</f>
        <v>0</v>
      </c>
      <c r="AV356" s="535">
        <f>IF(OR(B356&gt;=GD356,B356&lt;GC356),0,15/36*K356-MAX(0,64.6-(137.6-(Sheet1!AA354+Sheet1!AB354))))</f>
        <v>0</v>
      </c>
      <c r="AW356" s="1029"/>
      <c r="AX356" s="649"/>
      <c r="AY356" s="649">
        <f t="shared" si="822"/>
        <v>23.311716569431731</v>
      </c>
      <c r="AZ356" s="649">
        <f t="shared" si="823"/>
        <v>0</v>
      </c>
      <c r="BA356" s="1059">
        <f t="shared" si="824"/>
        <v>0</v>
      </c>
      <c r="BB356" s="1019">
        <f t="shared" si="706"/>
        <v>0</v>
      </c>
      <c r="BC356" s="1041">
        <f t="shared" si="825"/>
        <v>26.933333333333334</v>
      </c>
      <c r="BD356" s="1019">
        <f ca="1">IF(B356&gt;(Summary!$A$1-1),#N/A,BB356*MGtoAF)</f>
        <v>0</v>
      </c>
      <c r="BE356" s="535">
        <f>Sheet1!BG354+Sheet1!BH354+Sheet1!BI354-BM356</f>
        <v>1.01</v>
      </c>
      <c r="BF356" s="535">
        <f t="shared" si="707"/>
        <v>1.01</v>
      </c>
      <c r="BG356" s="535">
        <f>IF(Sheet1!EP354="FM",BM356,0)</f>
        <v>0</v>
      </c>
      <c r="BH356" s="535">
        <f t="shared" si="708"/>
        <v>0</v>
      </c>
      <c r="BI356" s="535">
        <f>IF(Sheet1!EP354="OTHER",BM356,0)</f>
        <v>0</v>
      </c>
      <c r="BJ356" s="535">
        <f t="shared" si="709"/>
        <v>0</v>
      </c>
      <c r="BK356" s="535">
        <f t="shared" si="710"/>
        <v>1.01</v>
      </c>
      <c r="BL356" s="535">
        <f t="shared" si="711"/>
        <v>1.01</v>
      </c>
      <c r="BM356" s="535">
        <f>IF(OR(Sheet1!EP354="FM", Sheet1!EP354="OTHER"),SUM(Sheet1!BG354:'Sheet1'!BI354),0)</f>
        <v>0</v>
      </c>
      <c r="BN356" s="521">
        <f>IF(AND($B356&gt;=$FV356,$B356&lt;=$FW356),MAX(BF356,Sheet1!EI354,0),MAX(BF356-(7/36)*$K356,0))</f>
        <v>0</v>
      </c>
      <c r="BO356" s="535">
        <f t="shared" si="712"/>
        <v>0</v>
      </c>
      <c r="BP356" s="521">
        <f t="shared" si="713"/>
        <v>1.01</v>
      </c>
      <c r="BQ356" s="521">
        <f>IF(AND($O356&gt;0,Sheet1!EM354=1),(1-($O356-Sheet1!$L354)/$O356)*BL356,0)</f>
        <v>0</v>
      </c>
      <c r="BR356" s="521">
        <f>IF(AND(Sheet1!$L354=0,Sheet1!$L353=0, Calculation!BK356&lt;Sheet1!$EI354-0.1,Sheet1!$EI354=Sheet1!$EI353,Sheet1!$EI354=Sheet1!$EI355),BL356-BQ356,BL356-BQ356)</f>
        <v>1.01</v>
      </c>
      <c r="BS356" s="1035" t="str">
        <f t="shared" si="826"/>
        <v/>
      </c>
      <c r="BT356" s="1035">
        <f t="shared" si="827"/>
        <v>12.568888888888889</v>
      </c>
      <c r="BU356" s="535">
        <f t="shared" si="714"/>
        <v>0</v>
      </c>
      <c r="BV356" s="535"/>
      <c r="BW356" s="535">
        <f ca="1">IF(B356&gt;(Summary!$A$1-1),#N/A,BU356*MGtoAF)</f>
        <v>0</v>
      </c>
      <c r="BX356" s="535">
        <f>Sheet1!BC354+Sheet1!BD354+Sheet1!BE354+Sheet1!BF354-CG356-CH356</f>
        <v>3</v>
      </c>
      <c r="BY356" s="535">
        <f t="shared" si="715"/>
        <v>3</v>
      </c>
      <c r="BZ356" s="535">
        <f>IF(Sheet1!EQ354="FM",CH356,0)</f>
        <v>0</v>
      </c>
      <c r="CA356" s="535">
        <f t="shared" si="716"/>
        <v>0</v>
      </c>
      <c r="CB356" s="535">
        <f>IF(Sheet1!EQ354="OTHER",CH356,0)</f>
        <v>0</v>
      </c>
      <c r="CC356" s="535">
        <f t="shared" si="717"/>
        <v>0</v>
      </c>
      <c r="CD356" s="535">
        <f t="shared" si="718"/>
        <v>0</v>
      </c>
      <c r="CE356" s="535">
        <f t="shared" si="719"/>
        <v>3</v>
      </c>
      <c r="CF356" s="535">
        <f t="shared" si="720"/>
        <v>3</v>
      </c>
      <c r="CG356" s="535">
        <f>IF(Sheet1!EQ354="CWA",SUM(Sheet1!BC354:'Sheet1'!BF354),0)</f>
        <v>0</v>
      </c>
      <c r="CH356" s="535">
        <f>IF(OR(Sheet1!EQ354="FM", Sheet1!EQ354="OTHER"),SUM(Sheet1!BC354:'Sheet1'!BF354),0)</f>
        <v>0</v>
      </c>
      <c r="CI356" s="521">
        <f>IF(AND($B356&gt;=$FV356,$B356&lt;=$FW356),MAX(CF356,Sheet1!EJ354,0),MAX(CF356-(7/36)*$K356,0))</f>
        <v>0</v>
      </c>
      <c r="CJ356" s="535">
        <f t="shared" si="721"/>
        <v>0</v>
      </c>
      <c r="CK356" s="521">
        <f t="shared" si="722"/>
        <v>3</v>
      </c>
      <c r="CL356" s="521">
        <f>IF(AND($O356&gt;0,Sheet1!EN354=1),(1-($O356-Sheet1!$L354)/$O356)*CF356,0)</f>
        <v>0</v>
      </c>
      <c r="CM356" s="521">
        <f>IF(AND(Sheet1!$L354=0,Sheet1!$L353=0, Calculation!CE356&lt;Sheet1!EJ354-0.1,Sheet1!EJ354=Sheet1!EJ353,Sheet1!EJ354=Sheet1!EJ355),CF356-CL356,CF356-CL356)</f>
        <v>3</v>
      </c>
      <c r="CN356" s="1040" t="str">
        <f t="shared" si="828"/>
        <v/>
      </c>
      <c r="CO356" s="1035">
        <f t="shared" si="829"/>
        <v>12.568888888888889</v>
      </c>
      <c r="CP356" s="535">
        <f t="shared" si="723"/>
        <v>0</v>
      </c>
      <c r="CQ356" s="535"/>
      <c r="CR356" s="535">
        <f ca="1">IF(B356&gt;(Summary!$A$1-1),#N/A,CP356*MGtoAF)</f>
        <v>0</v>
      </c>
      <c r="CS356" s="535">
        <f>Sheet1!BK354+Sheet1!BL354+Sheet1!BM354-Sheet1!ER354-DA356</f>
        <v>6.49</v>
      </c>
      <c r="CT356" s="535">
        <f t="shared" si="724"/>
        <v>6.49</v>
      </c>
      <c r="CU356" s="535">
        <f>IF(Sheet1!ER354="FM",DA356,0)</f>
        <v>0</v>
      </c>
      <c r="CV356" s="535">
        <f t="shared" si="725"/>
        <v>0</v>
      </c>
      <c r="CW356" s="535">
        <f>IF(Sheet1!ER354="OTHER",DA356,0)</f>
        <v>0</v>
      </c>
      <c r="CX356" s="535">
        <f t="shared" si="726"/>
        <v>0</v>
      </c>
      <c r="CY356" s="535">
        <f t="shared" si="727"/>
        <v>6.49</v>
      </c>
      <c r="CZ356" s="535">
        <f t="shared" si="728"/>
        <v>6.49</v>
      </c>
      <c r="DA356" s="535">
        <f>IF(OR(Sheet1!ER354="FM", Sheet1!ER354="OTHER"),SUM(Sheet1!BK354:'Sheet1'!BM354),0)</f>
        <v>0</v>
      </c>
      <c r="DB356" s="1011">
        <f>IF(AND($B356&gt;=$FV356,$B356&lt;=$FW356),MAX($CT356,Sheet1!EK354,0),MAX($CT356-(7/36)*$K356,0))</f>
        <v>0</v>
      </c>
      <c r="DC356" s="1012">
        <f t="shared" si="729"/>
        <v>0</v>
      </c>
      <c r="DD356" s="1011">
        <f t="shared" si="730"/>
        <v>6.49</v>
      </c>
      <c r="DE356" s="521">
        <f>IF(AND($O356&gt;0,Sheet1!EO354=1),(1-($O356-Sheet1!$L354)/$O356)*CZ356,0)</f>
        <v>0</v>
      </c>
      <c r="DF356" s="521">
        <f>IF(AND(Sheet1!$L354=0,Sheet1!$L353=0, Calculation!CY356&lt;Sheet1!$EK354-0.1,Sheet1!$EK354=Sheet1!$EK353,Sheet1!$EK354=Sheet1!$EK355),CZ356-DE356,CZ356-DE356)</f>
        <v>6.49</v>
      </c>
      <c r="DG356" s="1040">
        <f t="shared" si="830"/>
        <v>12.568888888888889</v>
      </c>
      <c r="DH356" s="649">
        <f t="shared" si="731"/>
        <v>10.5</v>
      </c>
      <c r="DI356" s="535">
        <f t="shared" si="732"/>
        <v>0</v>
      </c>
      <c r="DJ356" s="649">
        <f t="shared" si="733"/>
        <v>10.5</v>
      </c>
      <c r="DK356" s="535">
        <f ca="1">IF(B356&gt;(Summary!$A$1-1),#N/A,DI356*MGtoAF)</f>
        <v>0</v>
      </c>
      <c r="DL356" s="649">
        <f t="shared" si="734"/>
        <v>10.5</v>
      </c>
      <c r="DM356" s="535">
        <f t="shared" si="735"/>
        <v>35</v>
      </c>
      <c r="DN356" s="535">
        <f>Sheet1!AB354-DM356</f>
        <v>0</v>
      </c>
      <c r="DO356" s="743">
        <f t="shared" si="736"/>
        <v>0</v>
      </c>
      <c r="DP356" s="535">
        <f>(VLOOKUP(Sheet1!DC354,hhdcap_wcm,4)-(((VLOOKUP(Sheet1!DC354,hhdcap_wcm,3)-Sheet1!DC354)/(VLOOKUP(Sheet1!DC354,hhdcap_wcm,3)-VLOOKUP(Sheet1!DC354,hhdcap_wcm,1)))*(VLOOKUP(Sheet1!DC354,hhdcap_wcm,4)-VLOOKUP(Sheet1!DC354,hhdcap_wcm,2))))</f>
        <v>902.00000000278305</v>
      </c>
      <c r="DQ356" s="535">
        <f t="shared" si="737"/>
        <v>1.2000000000000455</v>
      </c>
      <c r="DR356" s="535">
        <f t="shared" si="738"/>
        <v>0.60514372163391095</v>
      </c>
      <c r="DS356" s="535">
        <f>Sheet1!EA354*AFtoMG</f>
        <v>0</v>
      </c>
      <c r="DT356" s="535">
        <f>Sheet1!EB354*AFtoMG</f>
        <v>0</v>
      </c>
      <c r="DU356" s="535">
        <f>Sheet1!EC354*AFtoMG</f>
        <v>0</v>
      </c>
      <c r="DV356" s="535">
        <f>Sheet1!ED354*AFtoMG</f>
        <v>0</v>
      </c>
      <c r="DW356" s="535">
        <f t="shared" si="739"/>
        <v>0</v>
      </c>
      <c r="DX356" s="535">
        <f t="shared" si="740"/>
        <v>0</v>
      </c>
      <c r="DY356" s="535">
        <f t="shared" si="741"/>
        <v>0</v>
      </c>
      <c r="DZ356" s="535">
        <f t="shared" si="742"/>
        <v>0</v>
      </c>
      <c r="EA356" s="535"/>
      <c r="EB356" s="521">
        <f>IF(OR(B356&lt;FV356,B356&gt;FW356),(MIN(BF356+BY356+CT356+MAX(Sheet1!AA354+AQ356-73,0),K356)),0)</f>
        <v>10.5</v>
      </c>
      <c r="EC356" s="535"/>
      <c r="ED356" s="535">
        <f t="shared" si="743"/>
        <v>10.5</v>
      </c>
      <c r="EE356" s="535"/>
      <c r="EF356" s="535">
        <f>Sheet1!EH354+Sheet1!EI354+Sheet1!EJ354+Sheet1!EK354</f>
        <v>10.5</v>
      </c>
      <c r="EG356" s="1019">
        <f t="shared" si="831"/>
        <v>16.243500000000001</v>
      </c>
      <c r="EH356" s="521">
        <f t="shared" si="744"/>
        <v>0</v>
      </c>
      <c r="EI356" s="535">
        <f>IF(Sheet1!ET354=1,SUM('Calculations II'!AT356:BA356)+'Calculations II'!BC356+Sheet1!BV354+'Calculations II'!BE356+AP356,'Calculations II'!BK356)</f>
        <v>45.304928000000004</v>
      </c>
      <c r="EJ356" s="535">
        <f ca="1">EI356+'Calculations II'!D356+'Calculations II'!E356+'Calculations II'!O356</f>
        <v>49.865951024058411</v>
      </c>
      <c r="EK356" s="535"/>
      <c r="EL356" s="535"/>
      <c r="EM356" s="535">
        <f t="shared" si="745"/>
        <v>43080</v>
      </c>
      <c r="EN356" s="535">
        <f t="shared" si="746"/>
        <v>0</v>
      </c>
      <c r="EO356" s="535">
        <f t="shared" si="747"/>
        <v>0</v>
      </c>
      <c r="EP356" s="535">
        <v>0</v>
      </c>
      <c r="EQ356" s="535">
        <v>0</v>
      </c>
      <c r="ER356" s="535">
        <v>0</v>
      </c>
      <c r="ES356" s="521">
        <f t="shared" si="797"/>
        <v>-2.769439214310303</v>
      </c>
      <c r="ET356" s="535">
        <f>-(VLOOKUP(Sheet1!BQ354,Lookup!$O$4:$Q$262,2)-VLOOKUP(Sheet1!BQ353,Lookup!$O$4:$Q$262,2))/1000000</f>
        <v>-1.3844312485932857</v>
      </c>
      <c r="EU356" s="535">
        <f>-(VLOOKUP(Sheet1!BR354,Lookup!$O$4:$Q$262,3)-VLOOKUP(Sheet1!BR353,Lookup!$O$4:$Q$262,3))/1000000</f>
        <v>-1.3850079657170176</v>
      </c>
      <c r="EV356" s="535"/>
      <c r="EW356" s="535"/>
      <c r="EX356" s="535"/>
      <c r="EY356" s="535"/>
      <c r="EZ356" s="535"/>
      <c r="FA356" s="535"/>
      <c r="FB356" s="535"/>
      <c r="FC356" s="535"/>
      <c r="FD356" s="567" t="e">
        <f t="shared" si="847"/>
        <v>#N/A</v>
      </c>
      <c r="FE356" s="567" t="e">
        <f t="shared" si="748"/>
        <v>#N/A</v>
      </c>
      <c r="FF356" s="568" t="e">
        <f t="shared" si="749"/>
        <v>#N/A</v>
      </c>
      <c r="FG356" s="569" t="s">
        <v>656</v>
      </c>
      <c r="FH356" s="569" t="s">
        <v>656</v>
      </c>
      <c r="FI356" s="567" t="e">
        <v>#N/A</v>
      </c>
      <c r="FJ356" s="567" t="e">
        <v>#N/A</v>
      </c>
      <c r="FK356" s="535"/>
      <c r="FL356" s="1015" t="e">
        <f t="shared" si="846"/>
        <v>#N/A</v>
      </c>
      <c r="FM356" s="535"/>
      <c r="FN356" s="535"/>
      <c r="FO356" s="535">
        <f>O356+((Sheet1!CS354)*GPMtoMGD)</f>
        <v>59.3</v>
      </c>
      <c r="FP356" s="535">
        <f>IF(Sheet1!AA354+AQ356&lt;=Calculation!N356,AQ356,Calculation!N356-Sheet1!AA354)</f>
        <v>24.5</v>
      </c>
      <c r="FQ356" s="535">
        <f>(Sheet1!BP354+Sheet1!BO354)/694.4</f>
        <v>1.601094470046083</v>
      </c>
      <c r="FR356" s="541"/>
      <c r="FS356" s="541"/>
      <c r="FT356" s="541"/>
      <c r="FU356" s="541"/>
      <c r="FV356" s="1109">
        <f t="shared" si="798"/>
        <v>42918</v>
      </c>
      <c r="FW356" s="1109">
        <f t="shared" si="799"/>
        <v>43027</v>
      </c>
      <c r="FX356" s="541"/>
      <c r="FY356" s="541">
        <f>Sheet1!DA354-Sheet1!CZ354-Sheet1!AE354</f>
        <v>405.2629</v>
      </c>
      <c r="FZ356" s="535">
        <f t="shared" si="832"/>
        <v>0.67475762443324938</v>
      </c>
      <c r="GA356" s="535"/>
      <c r="GB356" s="535" t="str">
        <f t="shared" si="800"/>
        <v>n</v>
      </c>
      <c r="GC356" s="539">
        <f t="shared" si="801"/>
        <v>42782</v>
      </c>
      <c r="GD356" s="1109">
        <f t="shared" si="802"/>
        <v>42904</v>
      </c>
      <c r="GE356" s="535">
        <f t="shared" si="818"/>
        <v>6520</v>
      </c>
      <c r="GF356" s="1109">
        <f t="shared" si="803"/>
        <v>42909</v>
      </c>
      <c r="GG356" s="535">
        <f t="shared" si="845"/>
        <v>3260</v>
      </c>
      <c r="GH356" s="539">
        <f t="shared" si="804"/>
        <v>43040</v>
      </c>
      <c r="GJ356" s="521">
        <f t="shared" si="805"/>
        <v>0</v>
      </c>
      <c r="GK356" s="535" t="str">
        <f t="shared" si="750"/>
        <v/>
      </c>
      <c r="GL356" s="535">
        <f t="shared" si="806"/>
        <v>0</v>
      </c>
      <c r="GM356" s="535" t="str">
        <f t="shared" si="807"/>
        <v/>
      </c>
      <c r="GN356" s="535">
        <f>IF(GK356="P",Lookup!$M$12,IF(GK356="PP",Lookup!$M$13,IF(GK356="PPP",Lookup!$M$14,IF(GK356="T",Lookup!$M$15,IF(GK356="TP",Lookup!$M$16,IF(GK356="TPP",Lookup!$M$17,IF(GK356="TPPP",Lookup!$M$18,0)))))))*GJ356</f>
        <v>0</v>
      </c>
      <c r="GO356" s="535">
        <f t="shared" si="808"/>
        <v>0</v>
      </c>
      <c r="GP356" s="535">
        <f t="shared" si="751"/>
        <v>0</v>
      </c>
      <c r="GQ356" s="974">
        <f t="shared" si="695"/>
        <v>0</v>
      </c>
      <c r="GR356" s="535"/>
      <c r="GS356" s="535">
        <f t="shared" si="809"/>
        <v>0</v>
      </c>
      <c r="GT356" s="535" t="str">
        <f t="shared" si="810"/>
        <v/>
      </c>
      <c r="GU356" s="535">
        <f>IF(GK356="P",Lookup!$N$12,IF(GK356="PP",Lookup!$N$13,IF(GK356="PPP",Lookup!$N$14,IF(GK356="T",Lookup!$N$15,IF(GK356="TP",Lookup!$N$16,IF(GK356="TPP",Lookup!$N$17,IF(GK356="TPPP",Lookup!$N$18,0)))))))*GJ356</f>
        <v>0</v>
      </c>
      <c r="GV356" s="535">
        <f t="shared" si="811"/>
        <v>0</v>
      </c>
      <c r="GW356" s="535">
        <f t="shared" si="752"/>
        <v>0</v>
      </c>
      <c r="GX356" s="974">
        <f t="shared" si="696"/>
        <v>0</v>
      </c>
      <c r="GY356" s="535"/>
      <c r="GZ356" s="535">
        <f t="shared" si="812"/>
        <v>0</v>
      </c>
      <c r="HA356" s="535" t="str">
        <f t="shared" si="813"/>
        <v/>
      </c>
      <c r="HB356" s="535">
        <f>IF(GK356="P",Lookup!$N$12,IF(GK356="PP",Lookup!$N$13,IF(GK356="PPP",Lookup!$N$14,IF(GK356="T",Lookup!$N$15,IF(GK356="TP",Lookup!$N$16,IF(GK356="TPP",Lookup!$N$17,IF(GK356="TPPP",Lookup!$N$18,0)))))))*GJ356</f>
        <v>0</v>
      </c>
      <c r="HC356" s="521">
        <f t="shared" si="753"/>
        <v>0</v>
      </c>
      <c r="HD356" s="535">
        <f t="shared" si="754"/>
        <v>0</v>
      </c>
      <c r="HE356" s="535">
        <f t="shared" si="816"/>
        <v>0</v>
      </c>
      <c r="HF356" s="535"/>
      <c r="HG356" s="535">
        <f t="shared" si="814"/>
        <v>0</v>
      </c>
      <c r="HH356" s="535" t="str">
        <f t="shared" si="815"/>
        <v/>
      </c>
      <c r="HI356" s="535">
        <f>IF(GK356="P",Lookup!$N$12,IF(GK356="PP",Lookup!$N$13,IF(GK356="PPP",Lookup!$N$14,IF(GK356="T",Lookup!$N$15,IF(GK356="TP",Lookup!$N$16,IF(GK356="TPP",Lookup!$N$17,IF(GK356="TPPP",Lookup!$N$18,0)))))))*GJ356</f>
        <v>0</v>
      </c>
      <c r="HJ356" s="521">
        <f t="shared" si="755"/>
        <v>0</v>
      </c>
      <c r="HK356" s="535">
        <f t="shared" si="756"/>
        <v>0</v>
      </c>
      <c r="HL356" s="535">
        <f t="shared" si="817"/>
        <v>0</v>
      </c>
      <c r="HM356" s="535"/>
      <c r="HN356" s="541"/>
      <c r="HO356" s="541"/>
      <c r="HP356" s="541"/>
      <c r="HQ356" s="541">
        <f>IF(AND(B356&gt;=$FV$4,B356&lt;=$FW$4),MAX(110/1.02+$HQ$6+MIN(113/1.02,G356),IF($HV$6-(Sheet1!DA354-Sheet1!DB354)+MIN(113/1.02,G356)&lt;G356+FL356,$HV$6-(Sheet1!DA354-Sheet1!DB354)+MIN(113/1.02,G356),G356+FL356)),MIN(110/1.02+$HQ$6+113/1.02,G356))</f>
        <v>218.62745098039215</v>
      </c>
      <c r="HR356" s="541">
        <f t="shared" si="833"/>
        <v>223</v>
      </c>
      <c r="HS356" s="541">
        <f>HR356+(Sheet1!DA354-Sheet1!DB354)</f>
        <v>778</v>
      </c>
      <c r="HT356" s="541">
        <f t="shared" si="834"/>
        <v>0</v>
      </c>
      <c r="HU356" s="541">
        <f t="shared" si="835"/>
        <v>778</v>
      </c>
      <c r="HV356" s="541">
        <f t="shared" si="836"/>
        <v>0</v>
      </c>
      <c r="HW356" s="533" t="str">
        <f t="shared" si="837"/>
        <v/>
      </c>
      <c r="HX356" s="541">
        <f t="shared" si="838"/>
        <v>381.37254901960785</v>
      </c>
      <c r="HY356" s="541">
        <f>Sheet1!CZ354</f>
        <v>600</v>
      </c>
      <c r="HZ356" s="541">
        <f t="shared" si="839"/>
        <v>0</v>
      </c>
      <c r="IA356" s="541">
        <f t="shared" si="840"/>
        <v>0</v>
      </c>
      <c r="IB356" s="541">
        <f t="shared" si="841"/>
        <v>600</v>
      </c>
      <c r="IC356" s="1019" t="str">
        <f t="shared" si="842"/>
        <v/>
      </c>
      <c r="ID356" s="541">
        <f t="shared" si="843"/>
        <v>600</v>
      </c>
      <c r="IE356" s="541">
        <f>Sheet1!DB354</f>
        <v>542</v>
      </c>
      <c r="IF356" s="533">
        <f>Sheet1!DA354</f>
        <v>1097</v>
      </c>
      <c r="IH356" s="541">
        <f>IF(AND($B356&gt;=$GC356,$B356&lt;=$GH356,$DR356&lt;0)+N("only adjusted when pool is drawn down during storage season"),Sheet1!$DB354+$DR356+N("Palmer minus all storage release"),Sheet1!$DB354)</f>
        <v>542</v>
      </c>
      <c r="II356" s="541">
        <f>IF(AND($B356&gt;=$GC356,$B356&lt;=$GH356,$DR356&lt;0)+N("only adjusted when pool is drawn down during storage season"),Sheet1!$DA354+$DR356+N("Auburn minus all storage release"),Sheet1!$DA354)</f>
        <v>1097</v>
      </c>
    </row>
    <row r="357" spans="1:243" x14ac:dyDescent="0.25">
      <c r="A357" s="553" t="s">
        <v>5</v>
      </c>
      <c r="B357" s="531">
        <v>43081</v>
      </c>
      <c r="C357" s="536">
        <v>0</v>
      </c>
      <c r="D357" s="506">
        <f t="shared" si="787"/>
        <v>300</v>
      </c>
      <c r="E357" s="506">
        <f t="shared" si="788"/>
        <v>250</v>
      </c>
      <c r="F357" s="506">
        <v>250</v>
      </c>
      <c r="G357" s="535">
        <f>DR357+Sheet1!CZ355</f>
        <v>656.15885022692885</v>
      </c>
      <c r="H357" s="1074">
        <f t="shared" si="844"/>
        <v>260.33643647999997</v>
      </c>
      <c r="I357" s="534">
        <f>IF(Sheet1!DA355&gt;=E357,(Sheet1!DA355-E357+P357)*CFStoMGD,0)</f>
        <v>599.69643647999999</v>
      </c>
      <c r="J357" s="995">
        <f>IF(Sheet1!DB355&gt;=D357,(Sheet1!DB355-D357+P357)*CFStoMGD,0)</f>
        <v>260.33643647999997</v>
      </c>
      <c r="K357" s="818">
        <f t="shared" si="819"/>
        <v>64.64</v>
      </c>
      <c r="L357" s="535">
        <f>Sheet1!AA355+Sheet1!AB355-Sheet1!L355+(Sheet1!DA355-F357)*CFStoMGD-S357-T357-U357</f>
        <v>539.09759999999994</v>
      </c>
      <c r="M357" s="535">
        <f t="shared" si="697"/>
        <v>432.62390240242058</v>
      </c>
      <c r="N357" s="824">
        <f>IF(Sheet1!DA355&gt;=F357,MIN(113*CFStoMGD,MIN(MAX(L357,0),MAX(M357,0))),0)</f>
        <v>73.043199999999999</v>
      </c>
      <c r="O357" s="538">
        <f>Sheet1!AA355+Sheet1!AB355</f>
        <v>60.6</v>
      </c>
      <c r="P357" s="538">
        <f t="shared" si="698"/>
        <v>93.748199999999997</v>
      </c>
      <c r="Q357" s="812">
        <f t="shared" si="820"/>
        <v>0</v>
      </c>
      <c r="R357" s="812">
        <f t="shared" si="789"/>
        <v>10.442643805309737</v>
      </c>
      <c r="S357" s="812">
        <f t="shared" si="790"/>
        <v>60.6</v>
      </c>
      <c r="T357" s="812">
        <f t="shared" si="791"/>
        <v>0</v>
      </c>
      <c r="U357" s="812">
        <f>IF(AND(B357&gt;=FV357,B357&lt;=FW357),ED357+Sheet1!EH355,0)</f>
        <v>0</v>
      </c>
      <c r="V357" s="812"/>
      <c r="W357" s="812">
        <f t="shared" si="792"/>
        <v>54.197356194690265</v>
      </c>
      <c r="X357" s="812">
        <f t="shared" si="793"/>
        <v>60.6</v>
      </c>
      <c r="Y357" s="812" t="str">
        <f t="shared" si="794"/>
        <v/>
      </c>
      <c r="Z357" s="812">
        <f t="shared" si="795"/>
        <v>60.6</v>
      </c>
      <c r="AA357" s="812">
        <f t="shared" si="796"/>
        <v>60.6</v>
      </c>
      <c r="AB357" s="1059">
        <f t="shared" si="821"/>
        <v>0</v>
      </c>
      <c r="AC357" s="538">
        <f>Sheet1!Y355*MGDtoCFS</f>
        <v>37.592100000000002</v>
      </c>
      <c r="AD357" s="538">
        <f>Sheet1!Z355*MGDtoCFS</f>
        <v>54.144999999999996</v>
      </c>
      <c r="AE357" s="538">
        <f>Sheet1!AA355*MGDtoCFS</f>
        <v>37.901499999999999</v>
      </c>
      <c r="AF357" s="538">
        <f>Sheet1!AB355*MGDtoCFS</f>
        <v>55.846699999999998</v>
      </c>
      <c r="AG357" s="538">
        <f>Sheet1!L355*MGDtoCFS</f>
        <v>0</v>
      </c>
      <c r="AH357" s="521">
        <f t="shared" si="699"/>
        <v>0</v>
      </c>
      <c r="AI357" s="1059">
        <f t="shared" si="700"/>
        <v>0</v>
      </c>
      <c r="AJ357" s="535">
        <f t="shared" si="701"/>
        <v>0</v>
      </c>
      <c r="AK357" s="535">
        <f t="shared" si="702"/>
        <v>0</v>
      </c>
      <c r="AL357" s="535">
        <f>(VLOOKUP(Sheet1!DC355,hhdcap_wcm,4)-(((VLOOKUP(Sheet1!DC355,hhdcap_wcm,3)-Sheet1!DC355)/(VLOOKUP(Sheet1!DC355,hhdcap_wcm,3)-VLOOKUP(Sheet1!DC355,hhdcap_wcm,1)))*(VLOOKUP(Sheet1!DC355,hhdcap_wcm,4)-VLOOKUP(Sheet1!DC355,hhdcap_wcm,2))))</f>
        <v>892.40000000278303</v>
      </c>
      <c r="AM357" s="535">
        <f t="shared" si="703"/>
        <v>-9.6000000000000227</v>
      </c>
      <c r="AN357" s="1035">
        <f t="shared" si="704"/>
        <v>0</v>
      </c>
      <c r="AO357" s="535">
        <f t="shared" si="705"/>
        <v>0</v>
      </c>
      <c r="AP357" s="535">
        <f>Sheet1!BA355+Sheet1!BB355+Sheet1!BN355+CD357</f>
        <v>25.7</v>
      </c>
      <c r="AQ357" s="535">
        <f>Sheet1!BN355+(DO357*Sheet1!BN355)</f>
        <v>25.657356194690269</v>
      </c>
      <c r="AR357" s="535">
        <f>Sheet1!BA355+CD357</f>
        <v>0</v>
      </c>
      <c r="AS357" s="535">
        <f>Sheet1!BA355+Sheet1!BB355+CD357</f>
        <v>0</v>
      </c>
      <c r="AT357" s="649">
        <f>0</f>
        <v>0</v>
      </c>
      <c r="AU357" s="974">
        <f>BA357+MAX(Sheet1!EH355,(O357-Q357-ED357-S357))</f>
        <v>0</v>
      </c>
      <c r="AV357" s="535">
        <f>IF(OR(B357&gt;=GD357,B357&lt;GC357),0,15/36*K357-MAX(0,64.6-(137.6-(Sheet1!AA355+Sheet1!AB355))))</f>
        <v>0</v>
      </c>
      <c r="AW357" s="1029"/>
      <c r="AX357" s="649"/>
      <c r="AY357" s="649">
        <f t="shared" si="822"/>
        <v>23.311716569431731</v>
      </c>
      <c r="AZ357" s="649">
        <f t="shared" si="823"/>
        <v>0</v>
      </c>
      <c r="BA357" s="1059">
        <f t="shared" si="824"/>
        <v>0</v>
      </c>
      <c r="BB357" s="1019">
        <f t="shared" si="706"/>
        <v>0</v>
      </c>
      <c r="BC357" s="1041">
        <f t="shared" si="825"/>
        <v>26.933333333333334</v>
      </c>
      <c r="BD357" s="1019">
        <f ca="1">IF(B357&gt;(Summary!$A$1-1),#N/A,BB357*MGtoAF)</f>
        <v>0</v>
      </c>
      <c r="BE357" s="535">
        <f>Sheet1!BG355+Sheet1!BH355+Sheet1!BI355-BM357</f>
        <v>1.01</v>
      </c>
      <c r="BF357" s="535">
        <f t="shared" si="707"/>
        <v>1.0083241150442479</v>
      </c>
      <c r="BG357" s="535">
        <f>IF(Sheet1!EP355="FM",BM357,0)</f>
        <v>0</v>
      </c>
      <c r="BH357" s="535">
        <f t="shared" si="708"/>
        <v>0</v>
      </c>
      <c r="BI357" s="535">
        <f>IF(Sheet1!EP355="OTHER",BM357,0)</f>
        <v>0</v>
      </c>
      <c r="BJ357" s="535">
        <f t="shared" si="709"/>
        <v>0</v>
      </c>
      <c r="BK357" s="535">
        <f t="shared" si="710"/>
        <v>1.01</v>
      </c>
      <c r="BL357" s="535">
        <f t="shared" si="711"/>
        <v>1.0083241150442479</v>
      </c>
      <c r="BM357" s="535">
        <f>IF(OR(Sheet1!EP355="FM", Sheet1!EP355="OTHER"),SUM(Sheet1!BG355:'Sheet1'!BI355),0)</f>
        <v>0</v>
      </c>
      <c r="BN357" s="521">
        <f>IF(AND($B357&gt;=$FV357,$B357&lt;=$FW357),MAX(BF357,Sheet1!EI355,0),MAX(BF357-(7/36)*$K357,0))</f>
        <v>0</v>
      </c>
      <c r="BO357" s="535">
        <f t="shared" si="712"/>
        <v>0</v>
      </c>
      <c r="BP357" s="521">
        <f t="shared" si="713"/>
        <v>1.0083241150442479</v>
      </c>
      <c r="BQ357" s="521">
        <f>IF(AND($O357&gt;0,Sheet1!EM355=1),(1-($O357-Sheet1!$L355)/$O357)*BL357,0)</f>
        <v>0</v>
      </c>
      <c r="BR357" s="521">
        <f>IF(AND(Sheet1!$L355=0,Sheet1!$L354=0, Calculation!BK357&lt;Sheet1!$EI355-0.1,Sheet1!$EI355=Sheet1!$EI354,Sheet1!$EI355=Sheet1!$EI356),BL357-BQ357,BL357-BQ357)</f>
        <v>1.0083241150442479</v>
      </c>
      <c r="BS357" s="1035" t="str">
        <f t="shared" si="826"/>
        <v/>
      </c>
      <c r="BT357" s="1035">
        <f t="shared" si="827"/>
        <v>12.568888888888889</v>
      </c>
      <c r="BU357" s="535">
        <f t="shared" si="714"/>
        <v>0</v>
      </c>
      <c r="BV357" s="535"/>
      <c r="BW357" s="535">
        <f ca="1">IF(B357&gt;(Summary!$A$1-1),#N/A,BU357*MGtoAF)</f>
        <v>0</v>
      </c>
      <c r="BX357" s="535">
        <f>Sheet1!BC355+Sheet1!BD355+Sheet1!BE355+Sheet1!BF355-CG357-CH357</f>
        <v>2.99</v>
      </c>
      <c r="BY357" s="535">
        <f t="shared" si="715"/>
        <v>2.9850387168141599</v>
      </c>
      <c r="BZ357" s="535">
        <f>IF(Sheet1!EQ355="FM",CH357,0)</f>
        <v>0</v>
      </c>
      <c r="CA357" s="535">
        <f t="shared" si="716"/>
        <v>0</v>
      </c>
      <c r="CB357" s="535">
        <f>IF(Sheet1!EQ355="OTHER",CH357,0)</f>
        <v>0</v>
      </c>
      <c r="CC357" s="535">
        <f t="shared" si="717"/>
        <v>0</v>
      </c>
      <c r="CD357" s="535">
        <f t="shared" si="718"/>
        <v>0</v>
      </c>
      <c r="CE357" s="535">
        <f t="shared" si="719"/>
        <v>2.99</v>
      </c>
      <c r="CF357" s="535">
        <f t="shared" si="720"/>
        <v>2.9850387168141599</v>
      </c>
      <c r="CG357" s="535">
        <f>IF(Sheet1!EQ355="CWA",SUM(Sheet1!BC355:'Sheet1'!BF355),0)</f>
        <v>0</v>
      </c>
      <c r="CH357" s="535">
        <f>IF(OR(Sheet1!EQ355="FM", Sheet1!EQ355="OTHER"),SUM(Sheet1!BC355:'Sheet1'!BF355),0)</f>
        <v>0</v>
      </c>
      <c r="CI357" s="521">
        <f>IF(AND($B357&gt;=$FV357,$B357&lt;=$FW357),MAX(CF357,Sheet1!EJ355,0),MAX(CF357-(7/36)*$K357,0))</f>
        <v>0</v>
      </c>
      <c r="CJ357" s="535">
        <f t="shared" si="721"/>
        <v>0</v>
      </c>
      <c r="CK357" s="521">
        <f t="shared" si="722"/>
        <v>2.9850387168141599</v>
      </c>
      <c r="CL357" s="521">
        <f>IF(AND($O357&gt;0,Sheet1!EN355=1),(1-($O357-Sheet1!$L355)/$O357)*CF357,0)</f>
        <v>0</v>
      </c>
      <c r="CM357" s="521">
        <f>IF(AND(Sheet1!$L355=0,Sheet1!$L354=0, Calculation!CE357&lt;Sheet1!EJ355-0.1,Sheet1!EJ355=Sheet1!EJ354,Sheet1!EJ355=Sheet1!EJ356),CF357-CL357,CF357-CL357)</f>
        <v>2.9850387168141599</v>
      </c>
      <c r="CN357" s="1040" t="str">
        <f t="shared" si="828"/>
        <v/>
      </c>
      <c r="CO357" s="1035">
        <f t="shared" si="829"/>
        <v>12.568888888888889</v>
      </c>
      <c r="CP357" s="535">
        <f t="shared" si="723"/>
        <v>0</v>
      </c>
      <c r="CQ357" s="535"/>
      <c r="CR357" s="535">
        <f ca="1">IF(B357&gt;(Summary!$A$1-1),#N/A,CP357*MGtoAF)</f>
        <v>0</v>
      </c>
      <c r="CS357" s="535">
        <f>Sheet1!BK355+Sheet1!BL355+Sheet1!BM355-Sheet1!ER355-DA357</f>
        <v>6.4600000000000009</v>
      </c>
      <c r="CT357" s="535">
        <f t="shared" si="724"/>
        <v>6.4492809734513292</v>
      </c>
      <c r="CU357" s="535">
        <f>IF(Sheet1!ER355="FM",DA357,0)</f>
        <v>0</v>
      </c>
      <c r="CV357" s="535">
        <f t="shared" si="725"/>
        <v>0</v>
      </c>
      <c r="CW357" s="535">
        <f>IF(Sheet1!ER355="OTHER",DA357,0)</f>
        <v>0</v>
      </c>
      <c r="CX357" s="535">
        <f t="shared" si="726"/>
        <v>0</v>
      </c>
      <c r="CY357" s="535">
        <f t="shared" si="727"/>
        <v>6.4600000000000009</v>
      </c>
      <c r="CZ357" s="535">
        <f t="shared" si="728"/>
        <v>6.4492809734513292</v>
      </c>
      <c r="DA357" s="535">
        <f>IF(OR(Sheet1!ER355="FM", Sheet1!ER355="OTHER"),SUM(Sheet1!BK355:'Sheet1'!BM355),0)</f>
        <v>0</v>
      </c>
      <c r="DB357" s="1011">
        <f>IF(AND($B357&gt;=$FV357,$B357&lt;=$FW357),MAX($CT357,Sheet1!EK355,0),MAX($CT357-(7/36)*$K357,0))</f>
        <v>0</v>
      </c>
      <c r="DC357" s="1012">
        <f t="shared" si="729"/>
        <v>0</v>
      </c>
      <c r="DD357" s="1011">
        <f t="shared" si="730"/>
        <v>6.4492809734513292</v>
      </c>
      <c r="DE357" s="521">
        <f>IF(AND($O357&gt;0,Sheet1!EO355=1),(1-($O357-Sheet1!$L355)/$O357)*CZ357,0)</f>
        <v>0</v>
      </c>
      <c r="DF357" s="521">
        <f>IF(AND(Sheet1!$L355=0,Sheet1!$L354=0, Calculation!CY357&lt;Sheet1!$EK355-0.1,Sheet1!$EK355=Sheet1!$EK354,Sheet1!$EK355=Sheet1!$EK356),CZ357-DE357,CZ357-DE357)</f>
        <v>6.4492809734513292</v>
      </c>
      <c r="DG357" s="1040">
        <f t="shared" si="830"/>
        <v>12.568888888888889</v>
      </c>
      <c r="DH357" s="649">
        <f t="shared" si="731"/>
        <v>10.46</v>
      </c>
      <c r="DI357" s="535">
        <f t="shared" si="732"/>
        <v>0</v>
      </c>
      <c r="DJ357" s="649">
        <f t="shared" si="733"/>
        <v>10.442643805309737</v>
      </c>
      <c r="DK357" s="535">
        <f ca="1">IF(B357&gt;(Summary!$A$1-1),#N/A,DI357*MGtoAF)</f>
        <v>0</v>
      </c>
      <c r="DL357" s="649">
        <f t="shared" si="734"/>
        <v>10.46</v>
      </c>
      <c r="DM357" s="535">
        <f t="shared" si="735"/>
        <v>36.159999999999997</v>
      </c>
      <c r="DN357" s="535">
        <f>Sheet1!AB355-DM357</f>
        <v>-5.9999999999995168E-2</v>
      </c>
      <c r="DO357" s="743">
        <f t="shared" si="736"/>
        <v>-1.6592920353980967E-3</v>
      </c>
      <c r="DP357" s="535">
        <f>(VLOOKUP(Sheet1!DC355,hhdcap_wcm,4)-(((VLOOKUP(Sheet1!DC355,hhdcap_wcm,3)-Sheet1!DC355)/(VLOOKUP(Sheet1!DC355,hhdcap_wcm,3)-VLOOKUP(Sheet1!DC355,hhdcap_wcm,1)))*(VLOOKUP(Sheet1!DC355,hhdcap_wcm,4)-VLOOKUP(Sheet1!DC355,hhdcap_wcm,2))))</f>
        <v>892.40000000278303</v>
      </c>
      <c r="DQ357" s="535">
        <f t="shared" si="737"/>
        <v>-9.6000000000000227</v>
      </c>
      <c r="DR357" s="535">
        <f t="shared" si="738"/>
        <v>-4.8411497730711153</v>
      </c>
      <c r="DS357" s="535">
        <f>Sheet1!EA355*AFtoMG</f>
        <v>0</v>
      </c>
      <c r="DT357" s="535">
        <f>Sheet1!EB355*AFtoMG</f>
        <v>0</v>
      </c>
      <c r="DU357" s="535">
        <f>Sheet1!EC355*AFtoMG</f>
        <v>0</v>
      </c>
      <c r="DV357" s="535">
        <f>Sheet1!ED355*AFtoMG</f>
        <v>0</v>
      </c>
      <c r="DW357" s="535">
        <f t="shared" si="739"/>
        <v>0</v>
      </c>
      <c r="DX357" s="535">
        <f t="shared" si="740"/>
        <v>0</v>
      </c>
      <c r="DY357" s="535">
        <f t="shared" si="741"/>
        <v>0</v>
      </c>
      <c r="DZ357" s="535">
        <f t="shared" si="742"/>
        <v>0</v>
      </c>
      <c r="EA357" s="535"/>
      <c r="EB357" s="521">
        <f>IF(OR(B357&lt;FV357,B357&gt;FW357),(MIN(BF357+BY357+CT357+MAX(Sheet1!AA355+AQ357-73,0),K357)),0)</f>
        <v>10.442643805309737</v>
      </c>
      <c r="EC357" s="535"/>
      <c r="ED357" s="535">
        <f t="shared" si="743"/>
        <v>10.442643805309737</v>
      </c>
      <c r="EE357" s="535"/>
      <c r="EF357" s="535">
        <f>Sheet1!EH355+Sheet1!EI355+Sheet1!EJ355+Sheet1!EK355</f>
        <v>10.5</v>
      </c>
      <c r="EG357" s="1019">
        <f t="shared" si="831"/>
        <v>16.243500000000001</v>
      </c>
      <c r="EH357" s="521">
        <f t="shared" si="744"/>
        <v>0</v>
      </c>
      <c r="EI357" s="535">
        <f>IF(Sheet1!ET355=1,SUM('Calculations II'!AT357:BA357)+'Calculations II'!BC357+Sheet1!BV355+'Calculations II'!BE357+AP357,'Calculations II'!BK357)</f>
        <v>47.791812194690266</v>
      </c>
      <c r="EJ357" s="535">
        <f ca="1">EI357+'Calculations II'!D357+'Calculations II'!E357+'Calculations II'!O357</f>
        <v>49.632955264919275</v>
      </c>
      <c r="EK357" s="535"/>
      <c r="EL357" s="535"/>
      <c r="EM357" s="535">
        <f t="shared" si="745"/>
        <v>43081</v>
      </c>
      <c r="EN357" s="535">
        <f t="shared" si="746"/>
        <v>0</v>
      </c>
      <c r="EO357" s="535">
        <f t="shared" si="747"/>
        <v>0</v>
      </c>
      <c r="EP357" s="535">
        <v>0</v>
      </c>
      <c r="EQ357" s="535">
        <v>0</v>
      </c>
      <c r="ER357" s="535">
        <v>0</v>
      </c>
      <c r="ES357" s="521">
        <f t="shared" si="797"/>
        <v>-1.3852002417082598</v>
      </c>
      <c r="ET357" s="535">
        <f>-(VLOOKUP(Sheet1!BQ355,Lookup!$O$4:$Q$262,2)-VLOOKUP(Sheet1!BQ354,Lookup!$O$4:$Q$262,2))/1000000</f>
        <v>-0.69245591663194073</v>
      </c>
      <c r="EU357" s="535">
        <f>-(VLOOKUP(Sheet1!BR355,Lookup!$O$4:$Q$262,3)-VLOOKUP(Sheet1!BR354,Lookup!$O$4:$Q$262,3))/1000000</f>
        <v>-0.69274432507631922</v>
      </c>
      <c r="EV357" s="535"/>
      <c r="EW357" s="535"/>
      <c r="EX357" s="535"/>
      <c r="EY357" s="535"/>
      <c r="EZ357" s="535"/>
      <c r="FA357" s="535"/>
      <c r="FB357" s="535"/>
      <c r="FC357" s="535"/>
      <c r="FD357" s="567" t="e">
        <f t="shared" si="847"/>
        <v>#N/A</v>
      </c>
      <c r="FE357" s="567" t="e">
        <f t="shared" si="748"/>
        <v>#N/A</v>
      </c>
      <c r="FF357" s="568" t="e">
        <f t="shared" si="749"/>
        <v>#N/A</v>
      </c>
      <c r="FG357" s="569" t="s">
        <v>656</v>
      </c>
      <c r="FH357" s="569" t="s">
        <v>656</v>
      </c>
      <c r="FI357" s="567" t="e">
        <v>#N/A</v>
      </c>
      <c r="FJ357" s="567" t="e">
        <v>#N/A</v>
      </c>
      <c r="FK357" s="535"/>
      <c r="FL357" s="1015" t="e">
        <f t="shared" si="846"/>
        <v>#N/A</v>
      </c>
      <c r="FM357" s="535"/>
      <c r="FN357" s="535"/>
      <c r="FO357" s="535">
        <f>O357+((Sheet1!CS355)*GPMtoMGD)</f>
        <v>60.6</v>
      </c>
      <c r="FP357" s="535">
        <f>IF(Sheet1!AA355+AQ357&lt;=Calculation!N357,AQ357,Calculation!N357-Sheet1!AA355)</f>
        <v>25.657356194690269</v>
      </c>
      <c r="FQ357" s="535">
        <f>(Sheet1!BP355+Sheet1!BO355)/694.4</f>
        <v>1.4317396313364055</v>
      </c>
      <c r="FR357" s="541"/>
      <c r="FS357" s="541"/>
      <c r="FT357" s="541"/>
      <c r="FU357" s="541"/>
      <c r="FV357" s="1109">
        <f t="shared" si="798"/>
        <v>42918</v>
      </c>
      <c r="FW357" s="1109">
        <f t="shared" si="799"/>
        <v>43027</v>
      </c>
      <c r="FX357" s="541"/>
      <c r="FY357" s="541">
        <f>Sheet1!DA355-Sheet1!CZ355-Sheet1!AE355</f>
        <v>329.2518</v>
      </c>
      <c r="FZ357" s="535">
        <f t="shared" si="832"/>
        <v>0.50178672418444115</v>
      </c>
      <c r="GA357" s="535"/>
      <c r="GB357" s="535" t="str">
        <f t="shared" si="800"/>
        <v>n</v>
      </c>
      <c r="GC357" s="539">
        <f t="shared" si="801"/>
        <v>42782</v>
      </c>
      <c r="GD357" s="1109">
        <f t="shared" si="802"/>
        <v>42904</v>
      </c>
      <c r="GE357" s="535">
        <f t="shared" si="818"/>
        <v>6520</v>
      </c>
      <c r="GF357" s="1109">
        <f t="shared" si="803"/>
        <v>42909</v>
      </c>
      <c r="GG357" s="535">
        <f t="shared" si="845"/>
        <v>3260</v>
      </c>
      <c r="GH357" s="539">
        <f t="shared" si="804"/>
        <v>43040</v>
      </c>
      <c r="GJ357" s="521">
        <f t="shared" si="805"/>
        <v>0</v>
      </c>
      <c r="GK357" s="535" t="str">
        <f t="shared" si="750"/>
        <v/>
      </c>
      <c r="GL357" s="535">
        <f t="shared" si="806"/>
        <v>0</v>
      </c>
      <c r="GM357" s="535" t="str">
        <f t="shared" si="807"/>
        <v/>
      </c>
      <c r="GN357" s="535">
        <f>IF(GK357="P",Lookup!$M$12,IF(GK357="PP",Lookup!$M$13,IF(GK357="PPP",Lookup!$M$14,IF(GK357="T",Lookup!$M$15,IF(GK357="TP",Lookup!$M$16,IF(GK357="TPP",Lookup!$M$17,IF(GK357="TPPP",Lookup!$M$18,0)))))))*GJ357</f>
        <v>0</v>
      </c>
      <c r="GO357" s="535">
        <f t="shared" si="808"/>
        <v>0</v>
      </c>
      <c r="GP357" s="535">
        <f t="shared" si="751"/>
        <v>0</v>
      </c>
      <c r="GQ357" s="974">
        <f t="shared" si="695"/>
        <v>0</v>
      </c>
      <c r="GR357" s="535"/>
      <c r="GS357" s="535">
        <f t="shared" si="809"/>
        <v>0</v>
      </c>
      <c r="GT357" s="535" t="str">
        <f t="shared" si="810"/>
        <v/>
      </c>
      <c r="GU357" s="535">
        <f>IF(GK357="P",Lookup!$N$12,IF(GK357="PP",Lookup!$N$13,IF(GK357="PPP",Lookup!$N$14,IF(GK357="T",Lookup!$N$15,IF(GK357="TP",Lookup!$N$16,IF(GK357="TPP",Lookup!$N$17,IF(GK357="TPPP",Lookup!$N$18,0)))))))*GJ357</f>
        <v>0</v>
      </c>
      <c r="GV357" s="535">
        <f t="shared" si="811"/>
        <v>0</v>
      </c>
      <c r="GW357" s="535">
        <f t="shared" si="752"/>
        <v>0</v>
      </c>
      <c r="GX357" s="974">
        <f t="shared" si="696"/>
        <v>0</v>
      </c>
      <c r="GY357" s="535"/>
      <c r="GZ357" s="535">
        <f t="shared" si="812"/>
        <v>0</v>
      </c>
      <c r="HA357" s="535" t="str">
        <f t="shared" si="813"/>
        <v/>
      </c>
      <c r="HB357" s="535">
        <f>IF(GK357="P",Lookup!$N$12,IF(GK357="PP",Lookup!$N$13,IF(GK357="PPP",Lookup!$N$14,IF(GK357="T",Lookup!$N$15,IF(GK357="TP",Lookup!$N$16,IF(GK357="TPP",Lookup!$N$17,IF(GK357="TPPP",Lookup!$N$18,0)))))))*GJ357</f>
        <v>0</v>
      </c>
      <c r="HC357" s="521">
        <f t="shared" si="753"/>
        <v>0</v>
      </c>
      <c r="HD357" s="535">
        <f t="shared" si="754"/>
        <v>0</v>
      </c>
      <c r="HE357" s="535">
        <f t="shared" si="816"/>
        <v>0</v>
      </c>
      <c r="HF357" s="535"/>
      <c r="HG357" s="535">
        <f t="shared" si="814"/>
        <v>0</v>
      </c>
      <c r="HH357" s="535" t="str">
        <f t="shared" si="815"/>
        <v/>
      </c>
      <c r="HI357" s="535">
        <f>IF(GK357="P",Lookup!$N$12,IF(GK357="PP",Lookup!$N$13,IF(GK357="PPP",Lookup!$N$14,IF(GK357="T",Lookup!$N$15,IF(GK357="TP",Lookup!$N$16,IF(GK357="TPP",Lookup!$N$17,IF(GK357="TPPP",Lookup!$N$18,0)))))))*GJ357</f>
        <v>0</v>
      </c>
      <c r="HJ357" s="521">
        <f t="shared" si="755"/>
        <v>0</v>
      </c>
      <c r="HK357" s="535">
        <f t="shared" si="756"/>
        <v>0</v>
      </c>
      <c r="HL357" s="535">
        <f t="shared" si="817"/>
        <v>0</v>
      </c>
      <c r="HM357" s="535"/>
      <c r="HN357" s="541"/>
      <c r="HO357" s="541"/>
      <c r="HP357" s="541"/>
      <c r="HQ357" s="541">
        <f>IF(AND(B357&gt;=$FV$4,B357&lt;=$FW$4),MAX(110/1.02+$HQ$6+MIN(113/1.02,G357),IF($HV$6-(Sheet1!DA355-Sheet1!DB355)+MIN(113/1.02,G357)&lt;G357+FL357,$HV$6-(Sheet1!DA355-Sheet1!DB355)+MIN(113/1.02,G357),G357+FL357)),MIN(110/1.02+$HQ$6+113/1.02,G357))</f>
        <v>218.62745098039215</v>
      </c>
      <c r="HR357" s="541">
        <f t="shared" si="833"/>
        <v>223</v>
      </c>
      <c r="HS357" s="541">
        <f>HR357+(Sheet1!DA355-Sheet1!DB355)</f>
        <v>698</v>
      </c>
      <c r="HT357" s="541">
        <f t="shared" si="834"/>
        <v>0</v>
      </c>
      <c r="HU357" s="541">
        <f t="shared" si="835"/>
        <v>698</v>
      </c>
      <c r="HV357" s="541">
        <f t="shared" si="836"/>
        <v>0</v>
      </c>
      <c r="HW357" s="533" t="str">
        <f t="shared" si="837"/>
        <v/>
      </c>
      <c r="HX357" s="541">
        <f t="shared" si="838"/>
        <v>442.37254901960785</v>
      </c>
      <c r="HY357" s="541">
        <f>Sheet1!CZ355</f>
        <v>661</v>
      </c>
      <c r="HZ357" s="541">
        <f t="shared" si="839"/>
        <v>0</v>
      </c>
      <c r="IA357" s="541">
        <f t="shared" si="840"/>
        <v>0</v>
      </c>
      <c r="IB357" s="541">
        <f t="shared" si="841"/>
        <v>661</v>
      </c>
      <c r="IC357" s="1019" t="str">
        <f t="shared" si="842"/>
        <v/>
      </c>
      <c r="ID357" s="541">
        <f t="shared" si="843"/>
        <v>661</v>
      </c>
      <c r="IE357" s="541">
        <f>Sheet1!DB355</f>
        <v>609</v>
      </c>
      <c r="IF357" s="533">
        <f>Sheet1!DA355</f>
        <v>1084</v>
      </c>
      <c r="IH357" s="541">
        <f>IF(AND($B357&gt;=$GC357,$B357&lt;=$GH357,$DR357&lt;0)+N("only adjusted when pool is drawn down during storage season"),Sheet1!$DB355+$DR357+N("Palmer minus all storage release"),Sheet1!$DB355)</f>
        <v>609</v>
      </c>
      <c r="II357" s="541">
        <f>IF(AND($B357&gt;=$GC357,$B357&lt;=$GH357,$DR357&lt;0)+N("only adjusted when pool is drawn down during storage season"),Sheet1!$DA355+$DR357+N("Auburn minus all storage release"),Sheet1!$DA355)</f>
        <v>1084</v>
      </c>
    </row>
    <row r="358" spans="1:243" x14ac:dyDescent="0.25">
      <c r="A358" s="553" t="s">
        <v>6</v>
      </c>
      <c r="B358" s="531">
        <v>43082</v>
      </c>
      <c r="C358" s="536">
        <v>0</v>
      </c>
      <c r="D358" s="506">
        <f t="shared" si="787"/>
        <v>300</v>
      </c>
      <c r="E358" s="506">
        <f t="shared" si="788"/>
        <v>250</v>
      </c>
      <c r="F358" s="506">
        <v>250</v>
      </c>
      <c r="G358" s="535">
        <f>DR358+Sheet1!CZ356</f>
        <v>591.18910741298316</v>
      </c>
      <c r="H358" s="1074">
        <f t="shared" si="844"/>
        <v>256.19575321600001</v>
      </c>
      <c r="I358" s="534">
        <f>IF(Sheet1!DA356&gt;=E358,(Sheet1!DA356-E358+P358)*CFStoMGD,0)</f>
        <v>580.68855321599995</v>
      </c>
      <c r="J358" s="995">
        <f>IF(Sheet1!DB356&gt;=D358,(Sheet1!DB356-D358+P358)*CFStoMGD,0)</f>
        <v>256.19575321600001</v>
      </c>
      <c r="K358" s="818">
        <f t="shared" si="819"/>
        <v>64.64</v>
      </c>
      <c r="L358" s="535">
        <f>Sheet1!AA356+Sheet1!AB356-Sheet1!L356+(Sheet1!DA356-F358)*CFStoMGD-S358-T358-U358</f>
        <v>526.16959999999995</v>
      </c>
      <c r="M358" s="535">
        <f t="shared" si="697"/>
        <v>389.78753181238739</v>
      </c>
      <c r="N358" s="824">
        <f>IF(Sheet1!DA356&gt;=F358,MIN(113*CFStoMGD,MIN(MAX(L358,0),MAX(M358,0))),0)</f>
        <v>73.043199999999999</v>
      </c>
      <c r="O358" s="538">
        <f>Sheet1!AA356+Sheet1!AB356</f>
        <v>54.519999999999996</v>
      </c>
      <c r="P358" s="538">
        <f t="shared" si="698"/>
        <v>84.342439999999982</v>
      </c>
      <c r="Q358" s="812">
        <f t="shared" si="820"/>
        <v>0</v>
      </c>
      <c r="R358" s="812">
        <f t="shared" si="789"/>
        <v>10.378987090367428</v>
      </c>
      <c r="S358" s="812">
        <f t="shared" si="790"/>
        <v>54.519999999999996</v>
      </c>
      <c r="T358" s="812">
        <f t="shared" si="791"/>
        <v>0</v>
      </c>
      <c r="U358" s="812">
        <f>IF(AND(B358&gt;=FV358,B358&lt;=FW358),ED358+Sheet1!EH356,0)</f>
        <v>0</v>
      </c>
      <c r="V358" s="812"/>
      <c r="W358" s="812">
        <f t="shared" si="792"/>
        <v>54.261012909632569</v>
      </c>
      <c r="X358" s="812">
        <f t="shared" si="793"/>
        <v>54.519999999999996</v>
      </c>
      <c r="Y358" s="812" t="str">
        <f t="shared" si="794"/>
        <v/>
      </c>
      <c r="Z358" s="812">
        <f t="shared" si="795"/>
        <v>54.519999999999996</v>
      </c>
      <c r="AA358" s="812">
        <f t="shared" si="796"/>
        <v>54.519999999999996</v>
      </c>
      <c r="AB358" s="1059">
        <f t="shared" si="821"/>
        <v>0</v>
      </c>
      <c r="AC358" s="538">
        <f>Sheet1!Y356*MGDtoCFS</f>
        <v>37.901499999999999</v>
      </c>
      <c r="AD358" s="538">
        <f>Sheet1!Z356*MGDtoCFS</f>
        <v>55.846699999999998</v>
      </c>
      <c r="AE358" s="538">
        <f>Sheet1!AA356*MGDtoCFS</f>
        <v>37.746799999999993</v>
      </c>
      <c r="AF358" s="538">
        <f>Sheet1!AB356*MGDtoCFS</f>
        <v>46.595639999999996</v>
      </c>
      <c r="AG358" s="538">
        <f>Sheet1!L356*MGDtoCFS</f>
        <v>0</v>
      </c>
      <c r="AH358" s="521">
        <f t="shared" si="699"/>
        <v>0</v>
      </c>
      <c r="AI358" s="1059">
        <f t="shared" si="700"/>
        <v>0</v>
      </c>
      <c r="AJ358" s="535">
        <f t="shared" si="701"/>
        <v>0</v>
      </c>
      <c r="AK358" s="535">
        <f t="shared" si="702"/>
        <v>0</v>
      </c>
      <c r="AL358" s="535">
        <f>(VLOOKUP(Sheet1!DC356,hhdcap_wcm,4)-(((VLOOKUP(Sheet1!DC356,hhdcap_wcm,3)-Sheet1!DC356)/(VLOOKUP(Sheet1!DC356,hhdcap_wcm,3)-VLOOKUP(Sheet1!DC356,hhdcap_wcm,1)))*(VLOOKUP(Sheet1!DC356,hhdcap_wcm,4)-VLOOKUP(Sheet1!DC356,hhdcap_wcm,2))))</f>
        <v>843.20000000272853</v>
      </c>
      <c r="AM358" s="535">
        <f t="shared" si="703"/>
        <v>-49.200000000054501</v>
      </c>
      <c r="AN358" s="1035">
        <f t="shared" si="704"/>
        <v>0</v>
      </c>
      <c r="AO358" s="535">
        <f t="shared" si="705"/>
        <v>0</v>
      </c>
      <c r="AP358" s="535">
        <f>Sheet1!BA356+Sheet1!BB356+Sheet1!BN356+CD358</f>
        <v>19.8</v>
      </c>
      <c r="AQ358" s="535">
        <f>Sheet1!BN356+(DO358*Sheet1!BN356)</f>
        <v>19.741012909632573</v>
      </c>
      <c r="AR358" s="535">
        <f>Sheet1!BA356+CD358</f>
        <v>0</v>
      </c>
      <c r="AS358" s="535">
        <f>Sheet1!BA356+Sheet1!BB356+CD358</f>
        <v>0</v>
      </c>
      <c r="AT358" s="649">
        <f>0</f>
        <v>0</v>
      </c>
      <c r="AU358" s="974">
        <f>BA358+MAX(Sheet1!EH356,(O358-Q358-ED358-S358))</f>
        <v>0</v>
      </c>
      <c r="AV358" s="535">
        <f>IF(OR(B358&gt;=GD358,B358&lt;GC358),0,15/36*K358-MAX(0,64.6-(137.6-(Sheet1!AA356+Sheet1!AB356))))</f>
        <v>0</v>
      </c>
      <c r="AW358" s="1029"/>
      <c r="AX358" s="649"/>
      <c r="AY358" s="649">
        <f t="shared" si="822"/>
        <v>23.311716569431731</v>
      </c>
      <c r="AZ358" s="649">
        <f t="shared" si="823"/>
        <v>0</v>
      </c>
      <c r="BA358" s="1059">
        <f t="shared" si="824"/>
        <v>0</v>
      </c>
      <c r="BB358" s="1019">
        <f t="shared" si="706"/>
        <v>0</v>
      </c>
      <c r="BC358" s="1041">
        <f t="shared" si="825"/>
        <v>26.933333333333334</v>
      </c>
      <c r="BD358" s="1019">
        <f ca="1">IF(B358&gt;(Summary!$A$1-1),#N/A,BB358*MGtoAF)</f>
        <v>0</v>
      </c>
      <c r="BE358" s="535">
        <f>Sheet1!BG356+Sheet1!BH356+Sheet1!BI356-BM358</f>
        <v>1</v>
      </c>
      <c r="BF358" s="535">
        <f t="shared" si="707"/>
        <v>0.99702085402184704</v>
      </c>
      <c r="BG358" s="535">
        <f>IF(Sheet1!EP356="FM",BM358,0)</f>
        <v>0</v>
      </c>
      <c r="BH358" s="535">
        <f t="shared" si="708"/>
        <v>0</v>
      </c>
      <c r="BI358" s="535">
        <f>IF(Sheet1!EP356="OTHER",BM358,0)</f>
        <v>0</v>
      </c>
      <c r="BJ358" s="535">
        <f t="shared" si="709"/>
        <v>0</v>
      </c>
      <c r="BK358" s="535">
        <f t="shared" si="710"/>
        <v>1</v>
      </c>
      <c r="BL358" s="535">
        <f t="shared" si="711"/>
        <v>0.99702085402184704</v>
      </c>
      <c r="BM358" s="535">
        <f>IF(OR(Sheet1!EP356="FM", Sheet1!EP356="OTHER"),SUM(Sheet1!BG356:'Sheet1'!BI356),0)</f>
        <v>0</v>
      </c>
      <c r="BN358" s="521">
        <f>IF(AND($B358&gt;=$FV358,$B358&lt;=$FW358),MAX(BF358,Sheet1!EI356,0),MAX(BF358-(7/36)*$K358,0))</f>
        <v>0</v>
      </c>
      <c r="BO358" s="535">
        <f t="shared" si="712"/>
        <v>0</v>
      </c>
      <c r="BP358" s="521">
        <f t="shared" si="713"/>
        <v>0.99702085402184704</v>
      </c>
      <c r="BQ358" s="521">
        <f>IF(AND($O358&gt;0,Sheet1!EM356=1),(1-($O358-Sheet1!$L356)/$O358)*BL358,0)</f>
        <v>0</v>
      </c>
      <c r="BR358" s="521">
        <f>IF(AND(Sheet1!$L356=0,Sheet1!$L355=0, Calculation!BK358&lt;Sheet1!$EI356-0.1,Sheet1!$EI356=Sheet1!$EI355,Sheet1!$EI356=Sheet1!$EI357),BL358-BQ358,BL358-BQ358)</f>
        <v>0.99702085402184704</v>
      </c>
      <c r="BS358" s="1035" t="str">
        <f t="shared" si="826"/>
        <v/>
      </c>
      <c r="BT358" s="1035">
        <f t="shared" si="827"/>
        <v>12.568888888888889</v>
      </c>
      <c r="BU358" s="535">
        <f t="shared" si="714"/>
        <v>0</v>
      </c>
      <c r="BV358" s="535"/>
      <c r="BW358" s="535">
        <f ca="1">IF(B358&gt;(Summary!$A$1-1),#N/A,BU358*MGtoAF)</f>
        <v>0</v>
      </c>
      <c r="BX358" s="535">
        <f>Sheet1!BC356+Sheet1!BD356+Sheet1!BE356+Sheet1!BF356-CG358-CH358</f>
        <v>2.9799999999999995</v>
      </c>
      <c r="BY358" s="535">
        <f t="shared" si="715"/>
        <v>2.9711221449851037</v>
      </c>
      <c r="BZ358" s="535">
        <f>IF(Sheet1!EQ356="FM",CH358,0)</f>
        <v>0</v>
      </c>
      <c r="CA358" s="535">
        <f t="shared" si="716"/>
        <v>0</v>
      </c>
      <c r="CB358" s="535">
        <f>IF(Sheet1!EQ356="OTHER",CH358,0)</f>
        <v>0</v>
      </c>
      <c r="CC358" s="535">
        <f t="shared" si="717"/>
        <v>0</v>
      </c>
      <c r="CD358" s="535">
        <f t="shared" si="718"/>
        <v>0</v>
      </c>
      <c r="CE358" s="535">
        <f t="shared" si="719"/>
        <v>2.9799999999999995</v>
      </c>
      <c r="CF358" s="535">
        <f t="shared" si="720"/>
        <v>2.9711221449851037</v>
      </c>
      <c r="CG358" s="535">
        <f>IF(Sheet1!EQ356="CWA",SUM(Sheet1!BC356:'Sheet1'!BF356),0)</f>
        <v>0</v>
      </c>
      <c r="CH358" s="535">
        <f>IF(OR(Sheet1!EQ356="FM", Sheet1!EQ356="OTHER"),SUM(Sheet1!BC356:'Sheet1'!BF356),0)</f>
        <v>0</v>
      </c>
      <c r="CI358" s="521">
        <f>IF(AND($B358&gt;=$FV358,$B358&lt;=$FW358),MAX(CF358,Sheet1!EJ356,0),MAX(CF358-(7/36)*$K358,0))</f>
        <v>0</v>
      </c>
      <c r="CJ358" s="535">
        <f t="shared" si="721"/>
        <v>0</v>
      </c>
      <c r="CK358" s="521">
        <f t="shared" si="722"/>
        <v>2.9711221449851037</v>
      </c>
      <c r="CL358" s="521">
        <f>IF(AND($O358&gt;0,Sheet1!EN356=1),(1-($O358-Sheet1!$L356)/$O358)*CF358,0)</f>
        <v>0</v>
      </c>
      <c r="CM358" s="521">
        <f>IF(AND(Sheet1!$L356=0,Sheet1!$L355=0, Calculation!CE358&lt;Sheet1!EJ356-0.1,Sheet1!EJ356=Sheet1!EJ355,Sheet1!EJ356=Sheet1!EJ357),CF358-CL358,CF358-CL358)</f>
        <v>2.9711221449851037</v>
      </c>
      <c r="CN358" s="1040" t="str">
        <f t="shared" si="828"/>
        <v/>
      </c>
      <c r="CO358" s="1035">
        <f t="shared" si="829"/>
        <v>12.568888888888889</v>
      </c>
      <c r="CP358" s="535">
        <f t="shared" si="723"/>
        <v>0</v>
      </c>
      <c r="CQ358" s="535"/>
      <c r="CR358" s="535">
        <f ca="1">IF(B358&gt;(Summary!$A$1-1),#N/A,CP358*MGtoAF)</f>
        <v>0</v>
      </c>
      <c r="CS358" s="535">
        <f>Sheet1!BK356+Sheet1!BL356+Sheet1!BM356-Sheet1!ER356-DA358</f>
        <v>6.43</v>
      </c>
      <c r="CT358" s="535">
        <f t="shared" si="724"/>
        <v>6.4108440913604765</v>
      </c>
      <c r="CU358" s="535">
        <f>IF(Sheet1!ER356="FM",DA358,0)</f>
        <v>0</v>
      </c>
      <c r="CV358" s="535">
        <f t="shared" si="725"/>
        <v>0</v>
      </c>
      <c r="CW358" s="535">
        <f>IF(Sheet1!ER356="OTHER",DA358,0)</f>
        <v>0</v>
      </c>
      <c r="CX358" s="535">
        <f t="shared" si="726"/>
        <v>0</v>
      </c>
      <c r="CY358" s="535">
        <f t="shared" si="727"/>
        <v>6.43</v>
      </c>
      <c r="CZ358" s="535">
        <f t="shared" si="728"/>
        <v>6.4108440913604765</v>
      </c>
      <c r="DA358" s="535">
        <f>IF(OR(Sheet1!ER356="FM", Sheet1!ER356="OTHER"),SUM(Sheet1!BK356:'Sheet1'!BM356),0)</f>
        <v>0</v>
      </c>
      <c r="DB358" s="1011">
        <f>IF(AND($B358&gt;=$FV358,$B358&lt;=$FW358),MAX($CT358,Sheet1!EK356,0),MAX($CT358-(7/36)*$K358,0))</f>
        <v>0</v>
      </c>
      <c r="DC358" s="1012">
        <f t="shared" si="729"/>
        <v>0</v>
      </c>
      <c r="DD358" s="1011">
        <f t="shared" si="730"/>
        <v>6.4108440913604765</v>
      </c>
      <c r="DE358" s="521">
        <f>IF(AND($O358&gt;0,Sheet1!EO356=1),(1-($O358-Sheet1!$L356)/$O358)*CZ358,0)</f>
        <v>0</v>
      </c>
      <c r="DF358" s="521">
        <f>IF(AND(Sheet1!$L356=0,Sheet1!$L355=0, Calculation!CY358&lt;Sheet1!$EK356-0.1,Sheet1!$EK356=Sheet1!$EK355,Sheet1!$EK356=Sheet1!$EK357),CZ358-DE358,CZ358-DE358)</f>
        <v>6.4108440913604765</v>
      </c>
      <c r="DG358" s="1040">
        <f t="shared" si="830"/>
        <v>12.568888888888889</v>
      </c>
      <c r="DH358" s="649">
        <f t="shared" si="731"/>
        <v>10.41</v>
      </c>
      <c r="DI358" s="535">
        <f t="shared" si="732"/>
        <v>0</v>
      </c>
      <c r="DJ358" s="649">
        <f t="shared" si="733"/>
        <v>10.378987090367428</v>
      </c>
      <c r="DK358" s="535">
        <f ca="1">IF(B358&gt;(Summary!$A$1-1),#N/A,DI358*MGtoAF)</f>
        <v>0</v>
      </c>
      <c r="DL358" s="649">
        <f t="shared" si="734"/>
        <v>10.41</v>
      </c>
      <c r="DM358" s="535">
        <f t="shared" si="735"/>
        <v>30.21</v>
      </c>
      <c r="DN358" s="535">
        <f>Sheet1!AB356-DM358</f>
        <v>-8.9999999999999858E-2</v>
      </c>
      <c r="DO358" s="743">
        <f t="shared" si="736"/>
        <v>-2.9791459781529249E-3</v>
      </c>
      <c r="DP358" s="535">
        <f>(VLOOKUP(Sheet1!DC356,hhdcap_wcm,4)-(((VLOOKUP(Sheet1!DC356,hhdcap_wcm,3)-Sheet1!DC356)/(VLOOKUP(Sheet1!DC356,hhdcap_wcm,3)-VLOOKUP(Sheet1!DC356,hhdcap_wcm,1)))*(VLOOKUP(Sheet1!DC356,hhdcap_wcm,4)-VLOOKUP(Sheet1!DC356,hhdcap_wcm,2))))</f>
        <v>843.20000000272853</v>
      </c>
      <c r="DQ358" s="535">
        <f t="shared" si="737"/>
        <v>-49.200000000054501</v>
      </c>
      <c r="DR358" s="535">
        <f t="shared" si="738"/>
        <v>-24.810892587016891</v>
      </c>
      <c r="DS358" s="535">
        <f>Sheet1!EA356*AFtoMG</f>
        <v>0</v>
      </c>
      <c r="DT358" s="535">
        <f>Sheet1!EB356*AFtoMG</f>
        <v>0</v>
      </c>
      <c r="DU358" s="535">
        <f>Sheet1!EC356*AFtoMG</f>
        <v>0</v>
      </c>
      <c r="DV358" s="535">
        <f>Sheet1!ED356*AFtoMG</f>
        <v>0</v>
      </c>
      <c r="DW358" s="535">
        <f t="shared" si="739"/>
        <v>0</v>
      </c>
      <c r="DX358" s="535">
        <f t="shared" si="740"/>
        <v>0</v>
      </c>
      <c r="DY358" s="535">
        <f t="shared" si="741"/>
        <v>0</v>
      </c>
      <c r="DZ358" s="535">
        <f t="shared" si="742"/>
        <v>0</v>
      </c>
      <c r="EA358" s="535"/>
      <c r="EB358" s="521">
        <f>IF(OR(B358&lt;FV358,B358&gt;FW358),(MIN(BF358+BY358+CT358+MAX(Sheet1!AA356+AQ358-73,0),K358)),0)</f>
        <v>10.378987090367428</v>
      </c>
      <c r="EC358" s="535"/>
      <c r="ED358" s="535">
        <f t="shared" si="743"/>
        <v>10.378987090367428</v>
      </c>
      <c r="EE358" s="535"/>
      <c r="EF358" s="535">
        <f>Sheet1!EH356+Sheet1!EI356+Sheet1!EJ356+Sheet1!EK356</f>
        <v>10.5</v>
      </c>
      <c r="EG358" s="1019">
        <f t="shared" si="831"/>
        <v>16.243500000000001</v>
      </c>
      <c r="EH358" s="521">
        <f t="shared" si="744"/>
        <v>0</v>
      </c>
      <c r="EI358" s="535">
        <f>IF(Sheet1!ET356=1,SUM('Calculations II'!AT358:BA358)+'Calculations II'!BC358+Sheet1!BV356+'Calculations II'!BE358+AP358,'Calculations II'!BK358)</f>
        <v>48.930360909632569</v>
      </c>
      <c r="EJ358" s="535">
        <f ca="1">EI358+'Calculations II'!D358+'Calculations II'!E358+'Calculations II'!O358</f>
        <v>41.439126739713743</v>
      </c>
      <c r="EK358" s="535"/>
      <c r="EL358" s="535"/>
      <c r="EM358" s="535">
        <f t="shared" si="745"/>
        <v>43082</v>
      </c>
      <c r="EN358" s="535">
        <f t="shared" si="746"/>
        <v>0</v>
      </c>
      <c r="EO358" s="535">
        <f t="shared" si="747"/>
        <v>0</v>
      </c>
      <c r="EP358" s="535">
        <v>0</v>
      </c>
      <c r="EQ358" s="535">
        <v>0</v>
      </c>
      <c r="ER358" s="535">
        <v>0</v>
      </c>
      <c r="ES358" s="521">
        <f t="shared" si="797"/>
        <v>5.677254358236846</v>
      </c>
      <c r="ET358" s="535">
        <f>-(VLOOKUP(Sheet1!BQ356,Lookup!$O$4:$Q$262,2)-VLOOKUP(Sheet1!BQ355,Lookup!$O$4:$Q$262,2))/1000000</f>
        <v>2.9072383898528069</v>
      </c>
      <c r="EU358" s="535">
        <f>-(VLOOKUP(Sheet1!BR356,Lookup!$O$4:$Q$262,3)-VLOOKUP(Sheet1!BR355,Lookup!$O$4:$Q$262,3))/1000000</f>
        <v>2.7700159683840386</v>
      </c>
      <c r="EV358" s="535"/>
      <c r="EW358" s="535"/>
      <c r="EX358" s="535"/>
      <c r="EY358" s="535"/>
      <c r="EZ358" s="535"/>
      <c r="FA358" s="535"/>
      <c r="FB358" s="535"/>
      <c r="FC358" s="535"/>
      <c r="FD358" s="567" t="e">
        <f t="shared" si="847"/>
        <v>#N/A</v>
      </c>
      <c r="FE358" s="567" t="e">
        <f t="shared" si="748"/>
        <v>#N/A</v>
      </c>
      <c r="FF358" s="568" t="e">
        <f t="shared" si="749"/>
        <v>#N/A</v>
      </c>
      <c r="FG358" s="569" t="s">
        <v>656</v>
      </c>
      <c r="FH358" s="569" t="s">
        <v>656</v>
      </c>
      <c r="FI358" s="567" t="e">
        <v>#N/A</v>
      </c>
      <c r="FJ358" s="567" t="e">
        <v>#N/A</v>
      </c>
      <c r="FK358" s="535"/>
      <c r="FL358" s="1015" t="e">
        <f t="shared" si="846"/>
        <v>#N/A</v>
      </c>
      <c r="FM358" s="535"/>
      <c r="FN358" s="535"/>
      <c r="FO358" s="535">
        <f>O358+((Sheet1!CS356)*GPMtoMGD)</f>
        <v>54.519999999999996</v>
      </c>
      <c r="FP358" s="535">
        <f>IF(Sheet1!AA356+AQ358&lt;=Calculation!N358,AQ358,Calculation!N358-Sheet1!AA356)</f>
        <v>19.741012909632573</v>
      </c>
      <c r="FQ358" s="535">
        <f>(Sheet1!BP356+Sheet1!BO356)/694.4</f>
        <v>1.4641417050691246</v>
      </c>
      <c r="FR358" s="541"/>
      <c r="FS358" s="541"/>
      <c r="FT358" s="541"/>
      <c r="FU358" s="541"/>
      <c r="FV358" s="1109">
        <f t="shared" si="798"/>
        <v>42918</v>
      </c>
      <c r="FW358" s="1109">
        <f t="shared" si="799"/>
        <v>43027</v>
      </c>
      <c r="FX358" s="541"/>
      <c r="FY358" s="541">
        <f>Sheet1!DA356-Sheet1!CZ356-Sheet1!AE356</f>
        <v>363.65755999999999</v>
      </c>
      <c r="FZ358" s="535">
        <f t="shared" si="832"/>
        <v>0.61512899246630071</v>
      </c>
      <c r="GA358" s="535"/>
      <c r="GB358" s="535" t="str">
        <f t="shared" si="800"/>
        <v>n</v>
      </c>
      <c r="GC358" s="539">
        <f t="shared" si="801"/>
        <v>42782</v>
      </c>
      <c r="GD358" s="1109">
        <f t="shared" si="802"/>
        <v>42904</v>
      </c>
      <c r="GE358" s="535">
        <f t="shared" si="818"/>
        <v>6520</v>
      </c>
      <c r="GF358" s="1109">
        <f t="shared" si="803"/>
        <v>42909</v>
      </c>
      <c r="GG358" s="535">
        <f t="shared" si="845"/>
        <v>3260</v>
      </c>
      <c r="GH358" s="539">
        <f t="shared" si="804"/>
        <v>43040</v>
      </c>
      <c r="GJ358" s="521">
        <f t="shared" si="805"/>
        <v>0</v>
      </c>
      <c r="GK358" s="535" t="str">
        <f t="shared" si="750"/>
        <v/>
      </c>
      <c r="GL358" s="535">
        <f t="shared" si="806"/>
        <v>0</v>
      </c>
      <c r="GM358" s="535" t="str">
        <f t="shared" si="807"/>
        <v/>
      </c>
      <c r="GN358" s="535">
        <f>IF(GK358="P",Lookup!$M$12,IF(GK358="PP",Lookup!$M$13,IF(GK358="PPP",Lookup!$M$14,IF(GK358="T",Lookup!$M$15,IF(GK358="TP",Lookup!$M$16,IF(GK358="TPP",Lookup!$M$17,IF(GK358="TPPP",Lookup!$M$18,0)))))))*GJ358</f>
        <v>0</v>
      </c>
      <c r="GO358" s="535">
        <f t="shared" si="808"/>
        <v>0</v>
      </c>
      <c r="GP358" s="535">
        <f t="shared" si="751"/>
        <v>0</v>
      </c>
      <c r="GQ358" s="974">
        <f t="shared" si="695"/>
        <v>0</v>
      </c>
      <c r="GR358" s="535"/>
      <c r="GS358" s="535">
        <f t="shared" si="809"/>
        <v>0</v>
      </c>
      <c r="GT358" s="535" t="str">
        <f t="shared" si="810"/>
        <v/>
      </c>
      <c r="GU358" s="535">
        <f>IF(GK358="P",Lookup!$N$12,IF(GK358="PP",Lookup!$N$13,IF(GK358="PPP",Lookup!$N$14,IF(GK358="T",Lookup!$N$15,IF(GK358="TP",Lookup!$N$16,IF(GK358="TPP",Lookup!$N$17,IF(GK358="TPPP",Lookup!$N$18,0)))))))*GJ358</f>
        <v>0</v>
      </c>
      <c r="GV358" s="535">
        <f t="shared" si="811"/>
        <v>0</v>
      </c>
      <c r="GW358" s="535">
        <f t="shared" si="752"/>
        <v>0</v>
      </c>
      <c r="GX358" s="974">
        <f t="shared" si="696"/>
        <v>0</v>
      </c>
      <c r="GY358" s="535"/>
      <c r="GZ358" s="535">
        <f t="shared" si="812"/>
        <v>0</v>
      </c>
      <c r="HA358" s="535" t="str">
        <f t="shared" si="813"/>
        <v/>
      </c>
      <c r="HB358" s="535">
        <f>IF(GK358="P",Lookup!$N$12,IF(GK358="PP",Lookup!$N$13,IF(GK358="PPP",Lookup!$N$14,IF(GK358="T",Lookup!$N$15,IF(GK358="TP",Lookup!$N$16,IF(GK358="TPP",Lookup!$N$17,IF(GK358="TPPP",Lookup!$N$18,0)))))))*GJ358</f>
        <v>0</v>
      </c>
      <c r="HC358" s="521">
        <f t="shared" si="753"/>
        <v>0</v>
      </c>
      <c r="HD358" s="535">
        <f t="shared" si="754"/>
        <v>0</v>
      </c>
      <c r="HE358" s="535">
        <f t="shared" si="816"/>
        <v>0</v>
      </c>
      <c r="HF358" s="535"/>
      <c r="HG358" s="535">
        <f t="shared" si="814"/>
        <v>0</v>
      </c>
      <c r="HH358" s="535" t="str">
        <f t="shared" si="815"/>
        <v/>
      </c>
      <c r="HI358" s="535">
        <f>IF(GK358="P",Lookup!$N$12,IF(GK358="PP",Lookup!$N$13,IF(GK358="PPP",Lookup!$N$14,IF(GK358="T",Lookup!$N$15,IF(GK358="TP",Lookup!$N$16,IF(GK358="TPP",Lookup!$N$17,IF(GK358="TPPP",Lookup!$N$18,0)))))))*GJ358</f>
        <v>0</v>
      </c>
      <c r="HJ358" s="521">
        <f t="shared" si="755"/>
        <v>0</v>
      </c>
      <c r="HK358" s="535">
        <f t="shared" si="756"/>
        <v>0</v>
      </c>
      <c r="HL358" s="535">
        <f t="shared" si="817"/>
        <v>0</v>
      </c>
      <c r="HM358" s="535"/>
      <c r="HN358" s="541"/>
      <c r="HO358" s="541"/>
      <c r="HP358" s="541"/>
      <c r="HQ358" s="541">
        <f>IF(AND(B358&gt;=$FV$4,B358&lt;=$FW$4),MAX(110/1.02+$HQ$6+MIN(113/1.02,G358),IF($HV$6-(Sheet1!DA356-Sheet1!DB356)+MIN(113/1.02,G358)&lt;G358+FL358,$HV$6-(Sheet1!DA356-Sheet1!DB356)+MIN(113/1.02,G358),G358+FL358)),MIN(110/1.02+$HQ$6+113/1.02,G358))</f>
        <v>218.62745098039215</v>
      </c>
      <c r="HR358" s="541">
        <f t="shared" si="833"/>
        <v>223</v>
      </c>
      <c r="HS358" s="541">
        <f>HR358+(Sheet1!DA356-Sheet1!DB356)</f>
        <v>675</v>
      </c>
      <c r="HT358" s="541">
        <f t="shared" si="834"/>
        <v>0</v>
      </c>
      <c r="HU358" s="541">
        <f t="shared" si="835"/>
        <v>675</v>
      </c>
      <c r="HV358" s="541">
        <f t="shared" si="836"/>
        <v>0</v>
      </c>
      <c r="HW358" s="533" t="str">
        <f t="shared" si="837"/>
        <v/>
      </c>
      <c r="HX358" s="541">
        <f t="shared" si="838"/>
        <v>397.37254901960785</v>
      </c>
      <c r="HY358" s="541">
        <f>Sheet1!CZ356</f>
        <v>616</v>
      </c>
      <c r="HZ358" s="541">
        <f t="shared" si="839"/>
        <v>0</v>
      </c>
      <c r="IA358" s="541">
        <f t="shared" si="840"/>
        <v>0</v>
      </c>
      <c r="IB358" s="541">
        <f t="shared" si="841"/>
        <v>616</v>
      </c>
      <c r="IC358" s="1019" t="str">
        <f t="shared" si="842"/>
        <v/>
      </c>
      <c r="ID358" s="541">
        <f t="shared" si="843"/>
        <v>616</v>
      </c>
      <c r="IE358" s="541">
        <f>Sheet1!DB356</f>
        <v>612</v>
      </c>
      <c r="IF358" s="533">
        <f>Sheet1!DA356</f>
        <v>1064</v>
      </c>
      <c r="IH358" s="541">
        <f>IF(AND($B358&gt;=$GC358,$B358&lt;=$GH358,$DR358&lt;0)+N("only adjusted when pool is drawn down during storage season"),Sheet1!$DB356+$DR358+N("Palmer minus all storage release"),Sheet1!$DB356)</f>
        <v>612</v>
      </c>
      <c r="II358" s="541">
        <f>IF(AND($B358&gt;=$GC358,$B358&lt;=$GH358,$DR358&lt;0)+N("only adjusted when pool is drawn down during storage season"),Sheet1!$DA356+$DR358+N("Auburn minus all storage release"),Sheet1!$DA356)</f>
        <v>1064</v>
      </c>
    </row>
    <row r="359" spans="1:243" x14ac:dyDescent="0.25">
      <c r="A359" s="553" t="s">
        <v>7</v>
      </c>
      <c r="B359" s="531">
        <v>43083</v>
      </c>
      <c r="C359" s="536">
        <v>0</v>
      </c>
      <c r="D359" s="506">
        <f t="shared" si="787"/>
        <v>300</v>
      </c>
      <c r="E359" s="506">
        <f t="shared" si="788"/>
        <v>250</v>
      </c>
      <c r="F359" s="506">
        <v>250</v>
      </c>
      <c r="G359" s="535">
        <f>DR359+Sheet1!CZ357</f>
        <v>556.02571860816943</v>
      </c>
      <c r="H359" s="1074">
        <f t="shared" si="844"/>
        <v>164.63824806400001</v>
      </c>
      <c r="I359" s="534">
        <f>IF(Sheet1!DA357&gt;=E359,(Sheet1!DA357-E359+P359)*CFStoMGD,0)</f>
        <v>529.85424806399999</v>
      </c>
      <c r="J359" s="995">
        <f>IF(Sheet1!DB357&gt;=D359,(Sheet1!DB357-D359+P359)*CFStoMGD,0)</f>
        <v>164.63824806400001</v>
      </c>
      <c r="K359" s="818">
        <f t="shared" si="819"/>
        <v>64.64</v>
      </c>
      <c r="L359" s="535">
        <f>Sheet1!AA357+Sheet1!AB357-Sheet1!L357+(Sheet1!DA357-F359)*CFStoMGD-S359-T359-U359</f>
        <v>480.27519999999998</v>
      </c>
      <c r="M359" s="535">
        <f t="shared" si="697"/>
        <v>366.60332499848715</v>
      </c>
      <c r="N359" s="824">
        <f>IF(Sheet1!DA357&gt;=F359,MIN(113*CFStoMGD,MIN(MAX(L359,0),MAX(M359,0))),0)</f>
        <v>73.043199999999999</v>
      </c>
      <c r="O359" s="538">
        <f>Sheet1!AA357+Sheet1!AB357</f>
        <v>49.58</v>
      </c>
      <c r="P359" s="538">
        <f t="shared" si="698"/>
        <v>76.70026</v>
      </c>
      <c r="Q359" s="812">
        <f t="shared" si="820"/>
        <v>0</v>
      </c>
      <c r="R359" s="812">
        <f t="shared" si="789"/>
        <v>10.437707828894268</v>
      </c>
      <c r="S359" s="812">
        <f t="shared" si="790"/>
        <v>49.58</v>
      </c>
      <c r="T359" s="812">
        <f t="shared" si="791"/>
        <v>0</v>
      </c>
      <c r="U359" s="812">
        <f>IF(AND(B359&gt;=FV359,B359&lt;=FW359),ED359+Sheet1!EH357,0)</f>
        <v>0</v>
      </c>
      <c r="V359" s="812"/>
      <c r="W359" s="812">
        <f t="shared" si="792"/>
        <v>54.202292171105732</v>
      </c>
      <c r="X359" s="812">
        <f t="shared" si="793"/>
        <v>49.58</v>
      </c>
      <c r="Y359" s="812" t="str">
        <f t="shared" si="794"/>
        <v/>
      </c>
      <c r="Z359" s="812">
        <f t="shared" si="795"/>
        <v>49.58</v>
      </c>
      <c r="AA359" s="812">
        <f t="shared" si="796"/>
        <v>49.58</v>
      </c>
      <c r="AB359" s="1059">
        <f t="shared" si="821"/>
        <v>0</v>
      </c>
      <c r="AC359" s="538">
        <f>Sheet1!Y357*MGDtoCFS</f>
        <v>37.746799999999993</v>
      </c>
      <c r="AD359" s="538">
        <f>Sheet1!Z357*MGDtoCFS</f>
        <v>46.595639999999996</v>
      </c>
      <c r="AE359" s="538">
        <f>Sheet1!AA357*MGDtoCFS</f>
        <v>38.520299999999999</v>
      </c>
      <c r="AF359" s="538">
        <f>Sheet1!AB357*MGDtoCFS</f>
        <v>38.179960000000001</v>
      </c>
      <c r="AG359" s="538">
        <f>Sheet1!L357*MGDtoCFS</f>
        <v>0</v>
      </c>
      <c r="AH359" s="521">
        <f t="shared" si="699"/>
        <v>0</v>
      </c>
      <c r="AI359" s="1059">
        <f t="shared" si="700"/>
        <v>0</v>
      </c>
      <c r="AJ359" s="535">
        <f t="shared" si="701"/>
        <v>0</v>
      </c>
      <c r="AK359" s="535">
        <f t="shared" si="702"/>
        <v>0</v>
      </c>
      <c r="AL359" s="535">
        <f>(VLOOKUP(Sheet1!DC357,hhdcap_wcm,4)-(((VLOOKUP(Sheet1!DC357,hhdcap_wcm,3)-Sheet1!DC357)/(VLOOKUP(Sheet1!DC357,hhdcap_wcm,3)-VLOOKUP(Sheet1!DC357,hhdcap_wcm,1)))*(VLOOKUP(Sheet1!DC357,hhdcap_wcm,4)-VLOOKUP(Sheet1!DC357,hhdcap_wcm,2))))</f>
        <v>849.20000000272853</v>
      </c>
      <c r="AM359" s="535">
        <f t="shared" si="703"/>
        <v>6</v>
      </c>
      <c r="AN359" s="1035">
        <f t="shared" si="704"/>
        <v>0</v>
      </c>
      <c r="AO359" s="535">
        <f t="shared" si="705"/>
        <v>0</v>
      </c>
      <c r="AP359" s="535">
        <f>Sheet1!BA357+Sheet1!BB357+Sheet1!BN357+CD359</f>
        <v>14.3</v>
      </c>
      <c r="AQ359" s="535">
        <f>Sheet1!BN357+(DO359*Sheet1!BN357)</f>
        <v>14.24229217110573</v>
      </c>
      <c r="AR359" s="535">
        <f>Sheet1!BA357+CD359</f>
        <v>0</v>
      </c>
      <c r="AS359" s="535">
        <f>Sheet1!BA357+Sheet1!BB357+CD359</f>
        <v>0</v>
      </c>
      <c r="AT359" s="649">
        <f>0</f>
        <v>0</v>
      </c>
      <c r="AU359" s="974">
        <f>BA359+MAX(Sheet1!EH357,(O359-Q359-ED359-S359))</f>
        <v>0</v>
      </c>
      <c r="AV359" s="535">
        <f>IF(OR(B359&gt;=GD359,B359&lt;GC359),0,15/36*K359-MAX(0,64.6-(137.6-(Sheet1!AA357+Sheet1!AB357))))</f>
        <v>0</v>
      </c>
      <c r="AW359" s="1029"/>
      <c r="AX359" s="649"/>
      <c r="AY359" s="649">
        <f t="shared" si="822"/>
        <v>23.311716569431731</v>
      </c>
      <c r="AZ359" s="649">
        <f t="shared" si="823"/>
        <v>0</v>
      </c>
      <c r="BA359" s="1059">
        <f t="shared" si="824"/>
        <v>0</v>
      </c>
      <c r="BB359" s="1019">
        <f t="shared" si="706"/>
        <v>0</v>
      </c>
      <c r="BC359" s="1041">
        <f t="shared" si="825"/>
        <v>26.933333333333334</v>
      </c>
      <c r="BD359" s="1019">
        <f ca="1">IF(B359&gt;(Summary!$A$1-1),#N/A,BB359*MGtoAF)</f>
        <v>0</v>
      </c>
      <c r="BE359" s="535">
        <f>Sheet1!BG357+Sheet1!BH357+Sheet1!BI357-BM359</f>
        <v>1.01</v>
      </c>
      <c r="BF359" s="535">
        <f t="shared" si="707"/>
        <v>1.0059241323648103</v>
      </c>
      <c r="BG359" s="535">
        <f>IF(Sheet1!EP357="FM",BM359,0)</f>
        <v>0</v>
      </c>
      <c r="BH359" s="535">
        <f t="shared" si="708"/>
        <v>0</v>
      </c>
      <c r="BI359" s="535">
        <f>IF(Sheet1!EP357="OTHER",BM359,0)</f>
        <v>0</v>
      </c>
      <c r="BJ359" s="535">
        <f t="shared" si="709"/>
        <v>0</v>
      </c>
      <c r="BK359" s="535">
        <f t="shared" si="710"/>
        <v>1.01</v>
      </c>
      <c r="BL359" s="535">
        <f t="shared" si="711"/>
        <v>1.0059241323648103</v>
      </c>
      <c r="BM359" s="535">
        <f>IF(OR(Sheet1!EP357="FM", Sheet1!EP357="OTHER"),SUM(Sheet1!BG357:'Sheet1'!BI357),0)</f>
        <v>0</v>
      </c>
      <c r="BN359" s="521">
        <f>IF(AND($B359&gt;=$FV359,$B359&lt;=$FW359),MAX(BF359,Sheet1!EI357,0),MAX(BF359-(7/36)*$K359,0))</f>
        <v>0</v>
      </c>
      <c r="BO359" s="535">
        <f t="shared" si="712"/>
        <v>0</v>
      </c>
      <c r="BP359" s="521">
        <f t="shared" si="713"/>
        <v>1.0059241323648103</v>
      </c>
      <c r="BQ359" s="521">
        <f>IF(AND($O359&gt;0,Sheet1!EM357=1),(1-($O359-Sheet1!$L357)/$O359)*BL359,0)</f>
        <v>0</v>
      </c>
      <c r="BR359" s="521">
        <f>IF(AND(Sheet1!$L357=0,Sheet1!$L356=0, Calculation!BK359&lt;Sheet1!$EI357-0.1,Sheet1!$EI357=Sheet1!$EI356,Sheet1!$EI357=Sheet1!$EI358),BL359-BQ359,BL359-BQ359)</f>
        <v>1.0059241323648103</v>
      </c>
      <c r="BS359" s="1035" t="str">
        <f t="shared" si="826"/>
        <v/>
      </c>
      <c r="BT359" s="1035">
        <f t="shared" si="827"/>
        <v>12.568888888888889</v>
      </c>
      <c r="BU359" s="535">
        <f t="shared" si="714"/>
        <v>0</v>
      </c>
      <c r="BV359" s="535"/>
      <c r="BW359" s="535">
        <f ca="1">IF(B359&gt;(Summary!$A$1-1),#N/A,BU359*MGtoAF)</f>
        <v>0</v>
      </c>
      <c r="BX359" s="535">
        <f>Sheet1!BC357+Sheet1!BD357+Sheet1!BE357+Sheet1!BF357-CG359-CH359</f>
        <v>2.99</v>
      </c>
      <c r="BY359" s="535">
        <f t="shared" si="715"/>
        <v>2.9779338175948347</v>
      </c>
      <c r="BZ359" s="535">
        <f>IF(Sheet1!EQ357="FM",CH359,0)</f>
        <v>0</v>
      </c>
      <c r="CA359" s="535">
        <f t="shared" si="716"/>
        <v>0</v>
      </c>
      <c r="CB359" s="535">
        <f>IF(Sheet1!EQ357="OTHER",CH359,0)</f>
        <v>0</v>
      </c>
      <c r="CC359" s="535">
        <f t="shared" si="717"/>
        <v>0</v>
      </c>
      <c r="CD359" s="535">
        <f t="shared" si="718"/>
        <v>0</v>
      </c>
      <c r="CE359" s="535">
        <f t="shared" si="719"/>
        <v>2.99</v>
      </c>
      <c r="CF359" s="535">
        <f t="shared" si="720"/>
        <v>2.9779338175948347</v>
      </c>
      <c r="CG359" s="535">
        <f>IF(Sheet1!EQ357="CWA",SUM(Sheet1!BC357:'Sheet1'!BF357),0)</f>
        <v>0</v>
      </c>
      <c r="CH359" s="535">
        <f>IF(OR(Sheet1!EQ357="FM", Sheet1!EQ357="OTHER"),SUM(Sheet1!BC357:'Sheet1'!BF357),0)</f>
        <v>0</v>
      </c>
      <c r="CI359" s="521">
        <f>IF(AND($B359&gt;=$FV359,$B359&lt;=$FW359),MAX(CF359,Sheet1!EJ357,0),MAX(CF359-(7/36)*$K359,0))</f>
        <v>0</v>
      </c>
      <c r="CJ359" s="535">
        <f t="shared" si="721"/>
        <v>0</v>
      </c>
      <c r="CK359" s="521">
        <f t="shared" si="722"/>
        <v>2.9779338175948347</v>
      </c>
      <c r="CL359" s="521">
        <f>IF(AND($O359&gt;0,Sheet1!EN357=1),(1-($O359-Sheet1!$L357)/$O359)*CF359,0)</f>
        <v>0</v>
      </c>
      <c r="CM359" s="521">
        <f>IF(AND(Sheet1!$L357=0,Sheet1!$L356=0, Calculation!CE359&lt;Sheet1!EJ357-0.1,Sheet1!EJ357=Sheet1!EJ356,Sheet1!EJ357=Sheet1!EJ358),CF359-CL359,CF359-CL359)</f>
        <v>2.9779338175948347</v>
      </c>
      <c r="CN359" s="1040" t="str">
        <f t="shared" si="828"/>
        <v/>
      </c>
      <c r="CO359" s="1035">
        <f t="shared" si="829"/>
        <v>12.568888888888889</v>
      </c>
      <c r="CP359" s="535">
        <f t="shared" si="723"/>
        <v>0</v>
      </c>
      <c r="CQ359" s="535"/>
      <c r="CR359" s="535">
        <f ca="1">IF(B359&gt;(Summary!$A$1-1),#N/A,CP359*MGtoAF)</f>
        <v>0</v>
      </c>
      <c r="CS359" s="535">
        <f>Sheet1!BK357+Sheet1!BL357+Sheet1!BM357-Sheet1!ER357-DA359</f>
        <v>6.48</v>
      </c>
      <c r="CT359" s="535">
        <f t="shared" si="724"/>
        <v>6.4538498789346246</v>
      </c>
      <c r="CU359" s="535">
        <f>IF(Sheet1!ER357="FM",DA359,0)</f>
        <v>0</v>
      </c>
      <c r="CV359" s="535">
        <f t="shared" si="725"/>
        <v>0</v>
      </c>
      <c r="CW359" s="535">
        <f>IF(Sheet1!ER357="OTHER",DA359,0)</f>
        <v>0</v>
      </c>
      <c r="CX359" s="535">
        <f t="shared" si="726"/>
        <v>0</v>
      </c>
      <c r="CY359" s="535">
        <f t="shared" si="727"/>
        <v>6.48</v>
      </c>
      <c r="CZ359" s="535">
        <f t="shared" si="728"/>
        <v>6.4538498789346246</v>
      </c>
      <c r="DA359" s="535">
        <f>IF(OR(Sheet1!ER357="FM", Sheet1!ER357="OTHER"),SUM(Sheet1!BK357:'Sheet1'!BM357),0)</f>
        <v>0</v>
      </c>
      <c r="DB359" s="1011">
        <f>IF(AND($B359&gt;=$FV359,$B359&lt;=$FW359),MAX($CT359,Sheet1!EK357,0),MAX($CT359-(7/36)*$K359,0))</f>
        <v>0</v>
      </c>
      <c r="DC359" s="1012">
        <f t="shared" si="729"/>
        <v>0</v>
      </c>
      <c r="DD359" s="1011">
        <f t="shared" si="730"/>
        <v>6.4538498789346246</v>
      </c>
      <c r="DE359" s="521">
        <f>IF(AND($O359&gt;0,Sheet1!EO357=1),(1-($O359-Sheet1!$L357)/$O359)*CZ359,0)</f>
        <v>0</v>
      </c>
      <c r="DF359" s="521">
        <f>IF(AND(Sheet1!$L357=0,Sheet1!$L356=0, Calculation!CY359&lt;Sheet1!$EK357-0.1,Sheet1!$EK357=Sheet1!$EK356,Sheet1!$EK357=Sheet1!$EK358),CZ359-DE359,CZ359-DE359)</f>
        <v>6.4538498789346246</v>
      </c>
      <c r="DG359" s="1040">
        <f t="shared" si="830"/>
        <v>12.568888888888889</v>
      </c>
      <c r="DH359" s="649">
        <f t="shared" si="731"/>
        <v>10.48</v>
      </c>
      <c r="DI359" s="535">
        <f t="shared" si="732"/>
        <v>0</v>
      </c>
      <c r="DJ359" s="649">
        <f t="shared" si="733"/>
        <v>10.437707828894268</v>
      </c>
      <c r="DK359" s="535">
        <f ca="1">IF(B359&gt;(Summary!$A$1-1),#N/A,DI359*MGtoAF)</f>
        <v>0</v>
      </c>
      <c r="DL359" s="649">
        <f t="shared" si="734"/>
        <v>10.48</v>
      </c>
      <c r="DM359" s="535">
        <f t="shared" si="735"/>
        <v>24.78</v>
      </c>
      <c r="DN359" s="535">
        <f>Sheet1!AB357-DM359</f>
        <v>-0.10000000000000142</v>
      </c>
      <c r="DO359" s="743">
        <f t="shared" si="736"/>
        <v>-4.0355125100888381E-3</v>
      </c>
      <c r="DP359" s="535">
        <f>(VLOOKUP(Sheet1!DC357,hhdcap_wcm,4)-(((VLOOKUP(Sheet1!DC357,hhdcap_wcm,3)-Sheet1!DC357)/(VLOOKUP(Sheet1!DC357,hhdcap_wcm,3)-VLOOKUP(Sheet1!DC357,hhdcap_wcm,1)))*(VLOOKUP(Sheet1!DC357,hhdcap_wcm,4)-VLOOKUP(Sheet1!DC357,hhdcap_wcm,2))))</f>
        <v>849.20000000272853</v>
      </c>
      <c r="DQ359" s="535">
        <f t="shared" si="737"/>
        <v>6</v>
      </c>
      <c r="DR359" s="535">
        <f t="shared" si="738"/>
        <v>3.0257186081694396</v>
      </c>
      <c r="DS359" s="535">
        <f>Sheet1!EA357*AFtoMG</f>
        <v>0</v>
      </c>
      <c r="DT359" s="535">
        <f>Sheet1!EB357*AFtoMG</f>
        <v>0</v>
      </c>
      <c r="DU359" s="535">
        <f>Sheet1!EC357*AFtoMG</f>
        <v>0</v>
      </c>
      <c r="DV359" s="535">
        <f>Sheet1!ED357*AFtoMG</f>
        <v>0</v>
      </c>
      <c r="DW359" s="535">
        <f t="shared" si="739"/>
        <v>0</v>
      </c>
      <c r="DX359" s="535">
        <f t="shared" si="740"/>
        <v>0</v>
      </c>
      <c r="DY359" s="535">
        <f t="shared" si="741"/>
        <v>0</v>
      </c>
      <c r="DZ359" s="535">
        <f t="shared" si="742"/>
        <v>0</v>
      </c>
      <c r="EA359" s="535"/>
      <c r="EB359" s="521">
        <f>IF(OR(B359&lt;FV359,B359&gt;FW359),(MIN(BF359+BY359+CT359+MAX(Sheet1!AA357+AQ359-73,0),K359)),0)</f>
        <v>10.437707828894268</v>
      </c>
      <c r="EC359" s="535"/>
      <c r="ED359" s="535">
        <f t="shared" si="743"/>
        <v>10.437707828894268</v>
      </c>
      <c r="EE359" s="535"/>
      <c r="EF359" s="535">
        <f>Sheet1!EH357+Sheet1!EI357+Sheet1!EJ357+Sheet1!EK357</f>
        <v>10.5</v>
      </c>
      <c r="EG359" s="1019">
        <f t="shared" si="831"/>
        <v>16.243500000000001</v>
      </c>
      <c r="EH359" s="521">
        <f t="shared" si="744"/>
        <v>0</v>
      </c>
      <c r="EI359" s="535">
        <f>IF(Sheet1!ET357=1,SUM('Calculations II'!AT359:BA359)+'Calculations II'!BC359+Sheet1!BV357+'Calculations II'!BE359+AP359,'Calculations II'!BK359)</f>
        <v>45.930252171105728</v>
      </c>
      <c r="EJ359" s="535">
        <f ca="1">EI359+'Calculations II'!D359+'Calculations II'!E359+'Calculations II'!O359</f>
        <v>40.357503125138365</v>
      </c>
      <c r="EK359" s="535"/>
      <c r="EL359" s="535"/>
      <c r="EM359" s="535">
        <f t="shared" si="745"/>
        <v>43083</v>
      </c>
      <c r="EN359" s="535">
        <f t="shared" si="746"/>
        <v>0</v>
      </c>
      <c r="EO359" s="535">
        <f t="shared" si="747"/>
        <v>0</v>
      </c>
      <c r="EP359" s="535">
        <v>0</v>
      </c>
      <c r="EQ359" s="535">
        <v>0</v>
      </c>
      <c r="ER359" s="535">
        <v>0</v>
      </c>
      <c r="ES359" s="521">
        <f t="shared" si="797"/>
        <v>7.469183678771131</v>
      </c>
      <c r="ET359" s="535">
        <f>-(VLOOKUP(Sheet1!BQ357,Lookup!$O$4:$Q$262,2)-VLOOKUP(Sheet1!BQ356,Lookup!$O$4:$Q$262,2))/1000000</f>
        <v>3.7337272425719985</v>
      </c>
      <c r="EU359" s="535">
        <f>-(VLOOKUP(Sheet1!BR357,Lookup!$O$4:$Q$262,3)-VLOOKUP(Sheet1!BR356,Lookup!$O$4:$Q$262,3))/1000000</f>
        <v>3.7354564361991325</v>
      </c>
      <c r="EV359" s="535"/>
      <c r="EW359" s="535"/>
      <c r="EX359" s="535"/>
      <c r="EY359" s="535"/>
      <c r="EZ359" s="535"/>
      <c r="FA359" s="535"/>
      <c r="FB359" s="535"/>
      <c r="FC359" s="535"/>
      <c r="FD359" s="567" t="e">
        <f t="shared" si="847"/>
        <v>#N/A</v>
      </c>
      <c r="FE359" s="567" t="e">
        <f t="shared" si="748"/>
        <v>#N/A</v>
      </c>
      <c r="FF359" s="568" t="e">
        <f t="shared" si="749"/>
        <v>#N/A</v>
      </c>
      <c r="FG359" s="569" t="s">
        <v>656</v>
      </c>
      <c r="FH359" s="569" t="s">
        <v>656</v>
      </c>
      <c r="FI359" s="567" t="e">
        <v>#N/A</v>
      </c>
      <c r="FJ359" s="567" t="e">
        <v>#N/A</v>
      </c>
      <c r="FK359" s="535"/>
      <c r="FL359" s="1015" t="e">
        <f t="shared" si="846"/>
        <v>#N/A</v>
      </c>
      <c r="FM359" s="535"/>
      <c r="FN359" s="535"/>
      <c r="FO359" s="535">
        <f>O359+((Sheet1!CS357)*GPMtoMGD)</f>
        <v>49.58</v>
      </c>
      <c r="FP359" s="535">
        <f>IF(Sheet1!AA357+AQ359&lt;=Calculation!N359,AQ359,Calculation!N359-Sheet1!AA357)</f>
        <v>14.24229217110573</v>
      </c>
      <c r="FQ359" s="535">
        <f>(Sheet1!BP357+Sheet1!BO357)/694.4</f>
        <v>1.7070852534562211</v>
      </c>
      <c r="FR359" s="541"/>
      <c r="FS359" s="541"/>
      <c r="FT359" s="541"/>
      <c r="FU359" s="541"/>
      <c r="FV359" s="1109">
        <f t="shared" si="798"/>
        <v>42918</v>
      </c>
      <c r="FW359" s="1109">
        <f t="shared" si="799"/>
        <v>43027</v>
      </c>
      <c r="FX359" s="541"/>
      <c r="FY359" s="541">
        <f>Sheet1!DA357-Sheet1!CZ357-Sheet1!AE357</f>
        <v>363.29973999999999</v>
      </c>
      <c r="FZ359" s="535">
        <f t="shared" si="832"/>
        <v>0.65338657519188748</v>
      </c>
      <c r="GA359" s="535"/>
      <c r="GB359" s="535" t="str">
        <f t="shared" si="800"/>
        <v>n</v>
      </c>
      <c r="GC359" s="539">
        <f t="shared" si="801"/>
        <v>42782</v>
      </c>
      <c r="GD359" s="1109">
        <f t="shared" si="802"/>
        <v>42904</v>
      </c>
      <c r="GE359" s="535">
        <f t="shared" si="818"/>
        <v>6520</v>
      </c>
      <c r="GF359" s="1109">
        <f t="shared" si="803"/>
        <v>42909</v>
      </c>
      <c r="GG359" s="535">
        <f t="shared" si="845"/>
        <v>3260</v>
      </c>
      <c r="GH359" s="539">
        <f t="shared" si="804"/>
        <v>43040</v>
      </c>
      <c r="GJ359" s="521">
        <f t="shared" si="805"/>
        <v>0</v>
      </c>
      <c r="GK359" s="535" t="str">
        <f t="shared" si="750"/>
        <v/>
      </c>
      <c r="GL359" s="535">
        <f t="shared" si="806"/>
        <v>0</v>
      </c>
      <c r="GM359" s="535" t="str">
        <f t="shared" si="807"/>
        <v/>
      </c>
      <c r="GN359" s="535">
        <f>IF(GK359="P",Lookup!$M$12,IF(GK359="PP",Lookup!$M$13,IF(GK359="PPP",Lookup!$M$14,IF(GK359="T",Lookup!$M$15,IF(GK359="TP",Lookup!$M$16,IF(GK359="TPP",Lookup!$M$17,IF(GK359="TPPP",Lookup!$M$18,0)))))))*GJ359</f>
        <v>0</v>
      </c>
      <c r="GO359" s="535">
        <f t="shared" si="808"/>
        <v>0</v>
      </c>
      <c r="GP359" s="535">
        <f t="shared" si="751"/>
        <v>0</v>
      </c>
      <c r="GQ359" s="974">
        <f t="shared" si="695"/>
        <v>0</v>
      </c>
      <c r="GR359" s="535"/>
      <c r="GS359" s="535">
        <f t="shared" si="809"/>
        <v>0</v>
      </c>
      <c r="GT359" s="535" t="str">
        <f t="shared" si="810"/>
        <v/>
      </c>
      <c r="GU359" s="535">
        <f>IF(GK359="P",Lookup!$N$12,IF(GK359="PP",Lookup!$N$13,IF(GK359="PPP",Lookup!$N$14,IF(GK359="T",Lookup!$N$15,IF(GK359="TP",Lookup!$N$16,IF(GK359="TPP",Lookup!$N$17,IF(GK359="TPPP",Lookup!$N$18,0)))))))*GJ359</f>
        <v>0</v>
      </c>
      <c r="GV359" s="535">
        <f t="shared" si="811"/>
        <v>0</v>
      </c>
      <c r="GW359" s="535">
        <f t="shared" si="752"/>
        <v>0</v>
      </c>
      <c r="GX359" s="974">
        <f t="shared" si="696"/>
        <v>0</v>
      </c>
      <c r="GY359" s="535"/>
      <c r="GZ359" s="535">
        <f t="shared" si="812"/>
        <v>0</v>
      </c>
      <c r="HA359" s="535" t="str">
        <f t="shared" si="813"/>
        <v/>
      </c>
      <c r="HB359" s="535">
        <f>IF(GK359="P",Lookup!$N$12,IF(GK359="PP",Lookup!$N$13,IF(GK359="PPP",Lookup!$N$14,IF(GK359="T",Lookup!$N$15,IF(GK359="TP",Lookup!$N$16,IF(GK359="TPP",Lookup!$N$17,IF(GK359="TPPP",Lookup!$N$18,0)))))))*GJ359</f>
        <v>0</v>
      </c>
      <c r="HC359" s="521">
        <f t="shared" si="753"/>
        <v>0</v>
      </c>
      <c r="HD359" s="535">
        <f t="shared" si="754"/>
        <v>0</v>
      </c>
      <c r="HE359" s="535">
        <f t="shared" si="816"/>
        <v>0</v>
      </c>
      <c r="HF359" s="535"/>
      <c r="HG359" s="535">
        <f t="shared" si="814"/>
        <v>0</v>
      </c>
      <c r="HH359" s="535" t="str">
        <f t="shared" si="815"/>
        <v/>
      </c>
      <c r="HI359" s="535">
        <f>IF(GK359="P",Lookup!$N$12,IF(GK359="PP",Lookup!$N$13,IF(GK359="PPP",Lookup!$N$14,IF(GK359="T",Lookup!$N$15,IF(GK359="TP",Lookup!$N$16,IF(GK359="TPP",Lookup!$N$17,IF(GK359="TPPP",Lookup!$N$18,0)))))))*GJ359</f>
        <v>0</v>
      </c>
      <c r="HJ359" s="521">
        <f t="shared" si="755"/>
        <v>0</v>
      </c>
      <c r="HK359" s="535">
        <f t="shared" si="756"/>
        <v>0</v>
      </c>
      <c r="HL359" s="535">
        <f t="shared" si="817"/>
        <v>0</v>
      </c>
      <c r="HM359" s="535"/>
      <c r="HN359" s="541"/>
      <c r="HO359" s="541"/>
      <c r="HP359" s="541"/>
      <c r="HQ359" s="541">
        <f>IF(AND(B359&gt;=$FV$4,B359&lt;=$FW$4),MAX(110/1.02+$HQ$6+MIN(113/1.02,G359),IF($HV$6-(Sheet1!DA357-Sheet1!DB357)+MIN(113/1.02,G359)&lt;G359+FL359,$HV$6-(Sheet1!DA357-Sheet1!DB357)+MIN(113/1.02,G359),G359+FL359)),MIN(110/1.02+$HQ$6+113/1.02,G359))</f>
        <v>218.62745098039215</v>
      </c>
      <c r="HR359" s="541">
        <f t="shared" si="833"/>
        <v>223</v>
      </c>
      <c r="HS359" s="541">
        <f>HR359+(Sheet1!DA357-Sheet1!DB357)</f>
        <v>738</v>
      </c>
      <c r="HT359" s="541">
        <f t="shared" si="834"/>
        <v>0</v>
      </c>
      <c r="HU359" s="541">
        <f t="shared" si="835"/>
        <v>738</v>
      </c>
      <c r="HV359" s="541">
        <f t="shared" si="836"/>
        <v>0</v>
      </c>
      <c r="HW359" s="533" t="str">
        <f t="shared" si="837"/>
        <v/>
      </c>
      <c r="HX359" s="541">
        <f t="shared" si="838"/>
        <v>334.37254901960785</v>
      </c>
      <c r="HY359" s="541">
        <f>Sheet1!CZ357</f>
        <v>553</v>
      </c>
      <c r="HZ359" s="541">
        <f t="shared" si="839"/>
        <v>0</v>
      </c>
      <c r="IA359" s="541">
        <f t="shared" si="840"/>
        <v>0</v>
      </c>
      <c r="IB359" s="541">
        <f t="shared" si="841"/>
        <v>553</v>
      </c>
      <c r="IC359" s="1019" t="str">
        <f t="shared" si="842"/>
        <v/>
      </c>
      <c r="ID359" s="541">
        <f t="shared" si="843"/>
        <v>553</v>
      </c>
      <c r="IE359" s="541">
        <f>Sheet1!DB357</f>
        <v>478</v>
      </c>
      <c r="IF359" s="533">
        <f>Sheet1!DA357</f>
        <v>993</v>
      </c>
      <c r="IH359" s="541">
        <f>IF(AND($B359&gt;=$GC359,$B359&lt;=$GH359,$DR359&lt;0)+N("only adjusted when pool is drawn down during storage season"),Sheet1!$DB357+$DR359+N("Palmer minus all storage release"),Sheet1!$DB357)</f>
        <v>478</v>
      </c>
      <c r="II359" s="541">
        <f>IF(AND($B359&gt;=$GC359,$B359&lt;=$GH359,$DR359&lt;0)+N("only adjusted when pool is drawn down during storage season"),Sheet1!$DA357+$DR359+N("Auburn minus all storage release"),Sheet1!$DA357)</f>
        <v>993</v>
      </c>
    </row>
    <row r="360" spans="1:243" x14ac:dyDescent="0.25">
      <c r="A360" s="553" t="s">
        <v>8</v>
      </c>
      <c r="B360" s="531">
        <v>43084</v>
      </c>
      <c r="C360" s="536">
        <v>0</v>
      </c>
      <c r="D360" s="506">
        <f t="shared" si="787"/>
        <v>300</v>
      </c>
      <c r="E360" s="506">
        <f t="shared" si="788"/>
        <v>250</v>
      </c>
      <c r="F360" s="506">
        <v>250</v>
      </c>
      <c r="G360" s="535">
        <f>DR360+Sheet1!CZ358</f>
        <v>609.14321734750843</v>
      </c>
      <c r="H360" s="1074">
        <f t="shared" si="844"/>
        <v>186.31325529599997</v>
      </c>
      <c r="I360" s="534">
        <f>IF(Sheet1!DA358&gt;=E360,(Sheet1!DA358-E360+P360)*CFStoMGD,0)</f>
        <v>515.97725529599995</v>
      </c>
      <c r="J360" s="995">
        <f>IF(Sheet1!DB358&gt;=D360,(Sheet1!DB358-D360+P360)*CFStoMGD,0)</f>
        <v>186.31325529599997</v>
      </c>
      <c r="K360" s="818">
        <f t="shared" si="819"/>
        <v>64.64</v>
      </c>
      <c r="L360" s="535">
        <f>Sheet1!AA358+Sheet1!AB358-Sheet1!L358+(Sheet1!DA358-F360)*CFStoMGD-S360-T360-U360</f>
        <v>456.35839999999996</v>
      </c>
      <c r="M360" s="535">
        <f t="shared" si="697"/>
        <v>401.62517920729806</v>
      </c>
      <c r="N360" s="824">
        <f>IF(Sheet1!DA358&gt;=F360,MIN(113*CFStoMGD,MIN(MAX(L360,0),MAX(M360,0))),0)</f>
        <v>73.043199999999999</v>
      </c>
      <c r="O360" s="538">
        <f>Sheet1!AA358+Sheet1!AB358</f>
        <v>59.62</v>
      </c>
      <c r="P360" s="538">
        <f t="shared" si="698"/>
        <v>92.232139999999987</v>
      </c>
      <c r="Q360" s="812">
        <f t="shared" si="820"/>
        <v>0</v>
      </c>
      <c r="R360" s="812">
        <f t="shared" si="789"/>
        <v>10.478880407124683</v>
      </c>
      <c r="S360" s="812">
        <f t="shared" si="790"/>
        <v>59.62</v>
      </c>
      <c r="T360" s="812">
        <f t="shared" si="791"/>
        <v>0</v>
      </c>
      <c r="U360" s="812">
        <f>IF(AND(B360&gt;=FV360,B360&lt;=FW360),ED360+Sheet1!EH358,0)</f>
        <v>0</v>
      </c>
      <c r="V360" s="812"/>
      <c r="W360" s="812">
        <f t="shared" si="792"/>
        <v>54.161119592875316</v>
      </c>
      <c r="X360" s="812">
        <f t="shared" si="793"/>
        <v>59.62</v>
      </c>
      <c r="Y360" s="812" t="str">
        <f t="shared" si="794"/>
        <v/>
      </c>
      <c r="Z360" s="812">
        <f t="shared" si="795"/>
        <v>59.62</v>
      </c>
      <c r="AA360" s="812">
        <f t="shared" si="796"/>
        <v>59.62</v>
      </c>
      <c r="AB360" s="1059">
        <f t="shared" si="821"/>
        <v>0</v>
      </c>
      <c r="AC360" s="538">
        <f>Sheet1!Y358*MGDtoCFS</f>
        <v>38.520299999999999</v>
      </c>
      <c r="AD360" s="538">
        <f>Sheet1!Z358*MGDtoCFS</f>
        <v>38.179960000000001</v>
      </c>
      <c r="AE360" s="538">
        <f>Sheet1!AA358*MGDtoCFS</f>
        <v>37.468339999999998</v>
      </c>
      <c r="AF360" s="538">
        <f>Sheet1!AB358*MGDtoCFS</f>
        <v>54.763799999999996</v>
      </c>
      <c r="AG360" s="538">
        <f>Sheet1!L358*MGDtoCFS</f>
        <v>0</v>
      </c>
      <c r="AH360" s="521">
        <f t="shared" si="699"/>
        <v>0</v>
      </c>
      <c r="AI360" s="1059">
        <f t="shared" si="700"/>
        <v>0</v>
      </c>
      <c r="AJ360" s="535">
        <f t="shared" si="701"/>
        <v>0</v>
      </c>
      <c r="AK360" s="535">
        <f t="shared" si="702"/>
        <v>0</v>
      </c>
      <c r="AL360" s="535">
        <f>(VLOOKUP(Sheet1!DC358,hhdcap_wcm,4)-(((VLOOKUP(Sheet1!DC358,hhdcap_wcm,3)-Sheet1!DC358)/(VLOOKUP(Sheet1!DC358,hhdcap_wcm,3)-VLOOKUP(Sheet1!DC358,hhdcap_wcm,1)))*(VLOOKUP(Sheet1!DC358,hhdcap_wcm,4)-VLOOKUP(Sheet1!DC358,hhdcap_wcm,2))))</f>
        <v>952.60000000283765</v>
      </c>
      <c r="AM360" s="535">
        <f t="shared" si="703"/>
        <v>103.40000000010912</v>
      </c>
      <c r="AN360" s="1035">
        <f t="shared" si="704"/>
        <v>0</v>
      </c>
      <c r="AO360" s="535">
        <f t="shared" si="705"/>
        <v>0</v>
      </c>
      <c r="AP360" s="535">
        <f>Sheet1!BA358+Sheet1!BB358+Sheet1!BN358+CD360</f>
        <v>24.9</v>
      </c>
      <c r="AQ360" s="535">
        <f>Sheet1!BN358+(DO360*Sheet1!BN358)</f>
        <v>24.921119592875318</v>
      </c>
      <c r="AR360" s="535">
        <f>Sheet1!BA358+CD360</f>
        <v>0</v>
      </c>
      <c r="AS360" s="535">
        <f>Sheet1!BA358+Sheet1!BB358+CD360</f>
        <v>0</v>
      </c>
      <c r="AT360" s="649">
        <f>0</f>
        <v>0</v>
      </c>
      <c r="AU360" s="974">
        <f>BA360+MAX(Sheet1!EH358,(O360-Q360-ED360-S360))</f>
        <v>0</v>
      </c>
      <c r="AV360" s="535">
        <f>IF(OR(B360&gt;=GD360,B360&lt;GC360),0,15/36*K360-MAX(0,64.6-(137.6-(Sheet1!AA358+Sheet1!AB358))))</f>
        <v>0</v>
      </c>
      <c r="AW360" s="1029"/>
      <c r="AX360" s="649"/>
      <c r="AY360" s="649">
        <f t="shared" si="822"/>
        <v>23.311716569431731</v>
      </c>
      <c r="AZ360" s="649">
        <f t="shared" si="823"/>
        <v>0</v>
      </c>
      <c r="BA360" s="1059">
        <f t="shared" si="824"/>
        <v>0</v>
      </c>
      <c r="BB360" s="1019">
        <f t="shared" si="706"/>
        <v>0</v>
      </c>
      <c r="BC360" s="1041">
        <f t="shared" si="825"/>
        <v>26.933333333333334</v>
      </c>
      <c r="BD360" s="1019">
        <f ca="1">IF(B360&gt;(Summary!$A$1-1),#N/A,BB360*MGtoAF)</f>
        <v>0</v>
      </c>
      <c r="BE360" s="535">
        <f>Sheet1!BG358+Sheet1!BH358+Sheet1!BI358-BM360</f>
        <v>1.01</v>
      </c>
      <c r="BF360" s="535">
        <f t="shared" si="707"/>
        <v>1.0108566581849026</v>
      </c>
      <c r="BG360" s="535">
        <f>IF(Sheet1!EP358="FM",BM360,0)</f>
        <v>0</v>
      </c>
      <c r="BH360" s="535">
        <f t="shared" si="708"/>
        <v>0</v>
      </c>
      <c r="BI360" s="535">
        <f>IF(Sheet1!EP358="OTHER",BM360,0)</f>
        <v>0</v>
      </c>
      <c r="BJ360" s="535">
        <f t="shared" si="709"/>
        <v>0</v>
      </c>
      <c r="BK360" s="535">
        <f t="shared" si="710"/>
        <v>1.01</v>
      </c>
      <c r="BL360" s="535">
        <f t="shared" si="711"/>
        <v>1.0108566581849026</v>
      </c>
      <c r="BM360" s="535">
        <f>IF(OR(Sheet1!EP358="FM", Sheet1!EP358="OTHER"),SUM(Sheet1!BG358:'Sheet1'!BI358),0)</f>
        <v>0</v>
      </c>
      <c r="BN360" s="521">
        <f>IF(AND($B360&gt;=$FV360,$B360&lt;=$FW360),MAX(BF360,Sheet1!EI358,0),MAX(BF360-(7/36)*$K360,0))</f>
        <v>0</v>
      </c>
      <c r="BO360" s="535">
        <f t="shared" si="712"/>
        <v>0</v>
      </c>
      <c r="BP360" s="521">
        <f t="shared" si="713"/>
        <v>1.0108566581849026</v>
      </c>
      <c r="BQ360" s="521">
        <f>IF(AND($O360&gt;0,Sheet1!EM358=1),(1-($O360-Sheet1!$L358)/$O360)*BL360,0)</f>
        <v>0</v>
      </c>
      <c r="BR360" s="521">
        <f>IF(AND(Sheet1!$L358=0,Sheet1!$L357=0, Calculation!BK360&lt;Sheet1!$EI358-0.1,Sheet1!$EI358=Sheet1!$EI357,Sheet1!$EI358=Sheet1!$EI359),BL360-BQ360,BL360-BQ360)</f>
        <v>1.0108566581849026</v>
      </c>
      <c r="BS360" s="1035" t="str">
        <f t="shared" si="826"/>
        <v/>
      </c>
      <c r="BT360" s="1035">
        <f t="shared" si="827"/>
        <v>12.568888888888889</v>
      </c>
      <c r="BU360" s="535">
        <f t="shared" si="714"/>
        <v>0</v>
      </c>
      <c r="BV360" s="535"/>
      <c r="BW360" s="535">
        <f ca="1">IF(B360&gt;(Summary!$A$1-1),#N/A,BU360*MGtoAF)</f>
        <v>0</v>
      </c>
      <c r="BX360" s="535">
        <f>Sheet1!BC358+Sheet1!BD358+Sheet1!BE358+Sheet1!BF358-CG360-CH360</f>
        <v>2.99</v>
      </c>
      <c r="BY360" s="535">
        <f t="shared" si="715"/>
        <v>2.9925360474978797</v>
      </c>
      <c r="BZ360" s="535">
        <f>IF(Sheet1!EQ358="FM",CH360,0)</f>
        <v>0</v>
      </c>
      <c r="CA360" s="535">
        <f t="shared" si="716"/>
        <v>0</v>
      </c>
      <c r="CB360" s="535">
        <f>IF(Sheet1!EQ358="OTHER",CH360,0)</f>
        <v>0</v>
      </c>
      <c r="CC360" s="535">
        <f t="shared" si="717"/>
        <v>0</v>
      </c>
      <c r="CD360" s="535">
        <f t="shared" si="718"/>
        <v>0</v>
      </c>
      <c r="CE360" s="535">
        <f t="shared" si="719"/>
        <v>2.99</v>
      </c>
      <c r="CF360" s="535">
        <f t="shared" si="720"/>
        <v>2.9925360474978797</v>
      </c>
      <c r="CG360" s="535">
        <f>IF(Sheet1!EQ358="CWA",SUM(Sheet1!BC358:'Sheet1'!BF358),0)</f>
        <v>0</v>
      </c>
      <c r="CH360" s="535">
        <f>IF(OR(Sheet1!EQ358="FM", Sheet1!EQ358="OTHER"),SUM(Sheet1!BC358:'Sheet1'!BF358),0)</f>
        <v>0</v>
      </c>
      <c r="CI360" s="521">
        <f>IF(AND($B360&gt;=$FV360,$B360&lt;=$FW360),MAX(CF360,Sheet1!EJ358,0),MAX(CF360-(7/36)*$K360,0))</f>
        <v>0</v>
      </c>
      <c r="CJ360" s="535">
        <f t="shared" si="721"/>
        <v>0</v>
      </c>
      <c r="CK360" s="521">
        <f t="shared" si="722"/>
        <v>2.9925360474978797</v>
      </c>
      <c r="CL360" s="521">
        <f>IF(AND($O360&gt;0,Sheet1!EN358=1),(1-($O360-Sheet1!$L358)/$O360)*CF360,0)</f>
        <v>0</v>
      </c>
      <c r="CM360" s="521">
        <f>IF(AND(Sheet1!$L358=0,Sheet1!$L357=0, Calculation!CE360&lt;Sheet1!EJ358-0.1,Sheet1!EJ358=Sheet1!EJ357,Sheet1!EJ358=Sheet1!EJ359),CF360-CL360,CF360-CL360)</f>
        <v>2.9925360474978797</v>
      </c>
      <c r="CN360" s="1040" t="str">
        <f t="shared" si="828"/>
        <v/>
      </c>
      <c r="CO360" s="1035">
        <f t="shared" si="829"/>
        <v>12.568888888888889</v>
      </c>
      <c r="CP360" s="535">
        <f t="shared" si="723"/>
        <v>0</v>
      </c>
      <c r="CQ360" s="535"/>
      <c r="CR360" s="535">
        <f ca="1">IF(B360&gt;(Summary!$A$1-1),#N/A,CP360*MGtoAF)</f>
        <v>0</v>
      </c>
      <c r="CS360" s="535">
        <f>Sheet1!BK358+Sheet1!BL358+Sheet1!BM358-Sheet1!ER358-DA360</f>
        <v>6.4700000000000006</v>
      </c>
      <c r="CT360" s="535">
        <f t="shared" si="724"/>
        <v>6.4754877014419003</v>
      </c>
      <c r="CU360" s="535">
        <f>IF(Sheet1!ER358="FM",DA360,0)</f>
        <v>0</v>
      </c>
      <c r="CV360" s="535">
        <f t="shared" si="725"/>
        <v>0</v>
      </c>
      <c r="CW360" s="535">
        <f>IF(Sheet1!ER358="OTHER",DA360,0)</f>
        <v>0</v>
      </c>
      <c r="CX360" s="535">
        <f t="shared" si="726"/>
        <v>0</v>
      </c>
      <c r="CY360" s="535">
        <f t="shared" si="727"/>
        <v>6.4700000000000006</v>
      </c>
      <c r="CZ360" s="535">
        <f t="shared" si="728"/>
        <v>6.4754877014419003</v>
      </c>
      <c r="DA360" s="535">
        <f>IF(OR(Sheet1!ER358="FM", Sheet1!ER358="OTHER"),SUM(Sheet1!BK358:'Sheet1'!BM358),0)</f>
        <v>0</v>
      </c>
      <c r="DB360" s="1011">
        <f>IF(AND($B360&gt;=$FV360,$B360&lt;=$FW360),MAX($CT360,Sheet1!EK358,0),MAX($CT360-(7/36)*$K360,0))</f>
        <v>0</v>
      </c>
      <c r="DC360" s="1012">
        <f t="shared" si="729"/>
        <v>0</v>
      </c>
      <c r="DD360" s="1011">
        <f t="shared" si="730"/>
        <v>6.4754877014419003</v>
      </c>
      <c r="DE360" s="521">
        <f>IF(AND($O360&gt;0,Sheet1!EO358=1),(1-($O360-Sheet1!$L358)/$O360)*CZ360,0)</f>
        <v>0</v>
      </c>
      <c r="DF360" s="521">
        <f>IF(AND(Sheet1!$L358=0,Sheet1!$L357=0, Calculation!CY360&lt;Sheet1!$EK358-0.1,Sheet1!$EK358=Sheet1!$EK357,Sheet1!$EK358=Sheet1!$EK359),CZ360-DE360,CZ360-DE360)</f>
        <v>6.4754877014419003</v>
      </c>
      <c r="DG360" s="1040">
        <f t="shared" si="830"/>
        <v>12.568888888888889</v>
      </c>
      <c r="DH360" s="649">
        <f t="shared" si="731"/>
        <v>10.47</v>
      </c>
      <c r="DI360" s="535">
        <f t="shared" si="732"/>
        <v>0</v>
      </c>
      <c r="DJ360" s="649">
        <f t="shared" si="733"/>
        <v>10.478880407124683</v>
      </c>
      <c r="DK360" s="535">
        <f ca="1">IF(B360&gt;(Summary!$A$1-1),#N/A,DI360*MGtoAF)</f>
        <v>0</v>
      </c>
      <c r="DL360" s="649">
        <f t="shared" si="734"/>
        <v>10.47</v>
      </c>
      <c r="DM360" s="535">
        <f t="shared" si="735"/>
        <v>35.369999999999997</v>
      </c>
      <c r="DN360" s="535">
        <f>Sheet1!AB358-DM360</f>
        <v>3.0000000000001137E-2</v>
      </c>
      <c r="DO360" s="743">
        <f t="shared" si="736"/>
        <v>8.4817642069553686E-4</v>
      </c>
      <c r="DP360" s="535">
        <f>(VLOOKUP(Sheet1!DC358,hhdcap_wcm,4)-(((VLOOKUP(Sheet1!DC358,hhdcap_wcm,3)-Sheet1!DC358)/(VLOOKUP(Sheet1!DC358,hhdcap_wcm,3)-VLOOKUP(Sheet1!DC358,hhdcap_wcm,1)))*(VLOOKUP(Sheet1!DC358,hhdcap_wcm,4)-VLOOKUP(Sheet1!DC358,hhdcap_wcm,2))))</f>
        <v>952.60000000283765</v>
      </c>
      <c r="DQ360" s="535">
        <f t="shared" si="737"/>
        <v>103.40000000010912</v>
      </c>
      <c r="DR360" s="535">
        <f t="shared" si="738"/>
        <v>52.143217347508376</v>
      </c>
      <c r="DS360" s="535">
        <f>Sheet1!EA358*AFtoMG</f>
        <v>0</v>
      </c>
      <c r="DT360" s="535">
        <f>Sheet1!EB358*AFtoMG</f>
        <v>0</v>
      </c>
      <c r="DU360" s="535">
        <f>Sheet1!EC358*AFtoMG</f>
        <v>0</v>
      </c>
      <c r="DV360" s="535">
        <f>Sheet1!ED358*AFtoMG</f>
        <v>0</v>
      </c>
      <c r="DW360" s="535">
        <f t="shared" si="739"/>
        <v>0</v>
      </c>
      <c r="DX360" s="535">
        <f t="shared" si="740"/>
        <v>0</v>
      </c>
      <c r="DY360" s="535">
        <f t="shared" si="741"/>
        <v>0</v>
      </c>
      <c r="DZ360" s="535">
        <f t="shared" si="742"/>
        <v>0</v>
      </c>
      <c r="EA360" s="535"/>
      <c r="EB360" s="521">
        <f>IF(OR(B360&lt;FV360,B360&gt;FW360),(MIN(BF360+BY360+CT360+MAX(Sheet1!AA358+AQ360-73,0),K360)),0)</f>
        <v>10.478880407124683</v>
      </c>
      <c r="EC360" s="535"/>
      <c r="ED360" s="535">
        <f t="shared" si="743"/>
        <v>10.478880407124683</v>
      </c>
      <c r="EE360" s="535"/>
      <c r="EF360" s="535">
        <f>Sheet1!EH358+Sheet1!EI358+Sheet1!EJ358+Sheet1!EK358</f>
        <v>10.5</v>
      </c>
      <c r="EG360" s="1019">
        <f t="shared" si="831"/>
        <v>16.243500000000001</v>
      </c>
      <c r="EH360" s="521">
        <f t="shared" si="744"/>
        <v>0</v>
      </c>
      <c r="EI360" s="535">
        <f>IF(Sheet1!ET358=1,SUM('Calculations II'!AT360:BA360)+'Calculations II'!BC360+Sheet1!BV358+'Calculations II'!BE360+AP360,'Calculations II'!BK360)</f>
        <v>47.365655592875328</v>
      </c>
      <c r="EJ360" s="535">
        <f ca="1">EI360+'Calculations II'!D360+'Calculations II'!E360+'Calculations II'!O360</f>
        <v>47.209587594169037</v>
      </c>
      <c r="EK360" s="535"/>
      <c r="EL360" s="535"/>
      <c r="EM360" s="535">
        <f t="shared" si="745"/>
        <v>43084</v>
      </c>
      <c r="EN360" s="535">
        <f t="shared" si="746"/>
        <v>0</v>
      </c>
      <c r="EO360" s="535">
        <f t="shared" si="747"/>
        <v>0</v>
      </c>
      <c r="EP360" s="535">
        <v>0</v>
      </c>
      <c r="EQ360" s="535">
        <v>0</v>
      </c>
      <c r="ER360" s="535">
        <v>0</v>
      </c>
      <c r="ES360" s="521">
        <f t="shared" si="797"/>
        <v>-1.3824777225071863</v>
      </c>
      <c r="ET360" s="535">
        <f>-(VLOOKUP(Sheet1!BQ358,Lookup!$O$4:$Q$262,2)-VLOOKUP(Sheet1!BQ357,Lookup!$O$4:$Q$262,2))/1000000</f>
        <v>-0.69107879137756678</v>
      </c>
      <c r="EU360" s="535">
        <f>-(VLOOKUP(Sheet1!BR358,Lookup!$O$4:$Q$262,3)-VLOOKUP(Sheet1!BR357,Lookup!$O$4:$Q$262,3))/1000000</f>
        <v>-0.69139893112961948</v>
      </c>
      <c r="EV360" s="535"/>
      <c r="EW360" s="535"/>
      <c r="EX360" s="535"/>
      <c r="EY360" s="535"/>
      <c r="EZ360" s="535"/>
      <c r="FA360" s="535"/>
      <c r="FB360" s="535"/>
      <c r="FC360" s="535"/>
      <c r="FD360" s="567" t="e">
        <f t="shared" si="847"/>
        <v>#N/A</v>
      </c>
      <c r="FE360" s="567" t="e">
        <f t="shared" si="748"/>
        <v>#N/A</v>
      </c>
      <c r="FF360" s="568" t="e">
        <f t="shared" si="749"/>
        <v>#N/A</v>
      </c>
      <c r="FG360" s="569" t="s">
        <v>656</v>
      </c>
      <c r="FH360" s="569" t="s">
        <v>656</v>
      </c>
      <c r="FI360" s="567" t="e">
        <v>#N/A</v>
      </c>
      <c r="FJ360" s="567" t="e">
        <v>#N/A</v>
      </c>
      <c r="FK360" s="535"/>
      <c r="FL360" s="1015" t="e">
        <f t="shared" si="846"/>
        <v>#N/A</v>
      </c>
      <c r="FM360" s="535"/>
      <c r="FN360" s="535"/>
      <c r="FO360" s="535">
        <f>O360+((Sheet1!CS358)*GPMtoMGD)</f>
        <v>59.62</v>
      </c>
      <c r="FP360" s="535">
        <f>IF(Sheet1!AA358+AQ360&lt;=Calculation!N360,AQ360,Calculation!N360-Sheet1!AA358)</f>
        <v>24.921119592875318</v>
      </c>
      <c r="FQ360" s="535">
        <f>(Sheet1!BP358+Sheet1!BO358)/694.4</f>
        <v>1.3042914746543779</v>
      </c>
      <c r="FR360" s="541"/>
      <c r="FS360" s="541"/>
      <c r="FT360" s="541"/>
      <c r="FU360" s="541"/>
      <c r="FV360" s="1109">
        <f t="shared" si="798"/>
        <v>42918</v>
      </c>
      <c r="FW360" s="1109">
        <f t="shared" si="799"/>
        <v>43027</v>
      </c>
      <c r="FX360" s="541"/>
      <c r="FY360" s="541">
        <f>Sheet1!DA358-Sheet1!CZ358-Sheet1!AE358</f>
        <v>306.76786000000004</v>
      </c>
      <c r="FZ360" s="535">
        <f t="shared" si="832"/>
        <v>0.50360547612400464</v>
      </c>
      <c r="GA360" s="535"/>
      <c r="GB360" s="535" t="str">
        <f t="shared" si="800"/>
        <v>n</v>
      </c>
      <c r="GC360" s="539">
        <f t="shared" si="801"/>
        <v>42782</v>
      </c>
      <c r="GD360" s="1109">
        <f t="shared" si="802"/>
        <v>42904</v>
      </c>
      <c r="GE360" s="535">
        <f t="shared" si="818"/>
        <v>6520</v>
      </c>
      <c r="GF360" s="1109">
        <f t="shared" si="803"/>
        <v>42909</v>
      </c>
      <c r="GG360" s="535">
        <f t="shared" si="845"/>
        <v>3260</v>
      </c>
      <c r="GH360" s="539">
        <f t="shared" si="804"/>
        <v>43040</v>
      </c>
      <c r="GJ360" s="521">
        <f t="shared" si="805"/>
        <v>0</v>
      </c>
      <c r="GK360" s="535" t="str">
        <f t="shared" si="750"/>
        <v/>
      </c>
      <c r="GL360" s="535">
        <f t="shared" si="806"/>
        <v>0</v>
      </c>
      <c r="GM360" s="535" t="str">
        <f t="shared" si="807"/>
        <v/>
      </c>
      <c r="GN360" s="535">
        <f>IF(GK360="P",Lookup!$M$12,IF(GK360="PP",Lookup!$M$13,IF(GK360="PPP",Lookup!$M$14,IF(GK360="T",Lookup!$M$15,IF(GK360="TP",Lookup!$M$16,IF(GK360="TPP",Lookup!$M$17,IF(GK360="TPPP",Lookup!$M$18,0)))))))*GJ360</f>
        <v>0</v>
      </c>
      <c r="GO360" s="535">
        <f t="shared" si="808"/>
        <v>0</v>
      </c>
      <c r="GP360" s="535">
        <f t="shared" si="751"/>
        <v>0</v>
      </c>
      <c r="GQ360" s="974">
        <f t="shared" si="695"/>
        <v>0</v>
      </c>
      <c r="GR360" s="535"/>
      <c r="GS360" s="535">
        <f t="shared" si="809"/>
        <v>0</v>
      </c>
      <c r="GT360" s="535" t="str">
        <f t="shared" si="810"/>
        <v/>
      </c>
      <c r="GU360" s="535">
        <f>IF(GK360="P",Lookup!$N$12,IF(GK360="PP",Lookup!$N$13,IF(GK360="PPP",Lookup!$N$14,IF(GK360="T",Lookup!$N$15,IF(GK360="TP",Lookup!$N$16,IF(GK360="TPP",Lookup!$N$17,IF(GK360="TPPP",Lookup!$N$18,0)))))))*GJ360</f>
        <v>0</v>
      </c>
      <c r="GV360" s="535">
        <f t="shared" si="811"/>
        <v>0</v>
      </c>
      <c r="GW360" s="535">
        <f t="shared" si="752"/>
        <v>0</v>
      </c>
      <c r="GX360" s="974">
        <f t="shared" si="696"/>
        <v>0</v>
      </c>
      <c r="GY360" s="535"/>
      <c r="GZ360" s="535">
        <f t="shared" si="812"/>
        <v>0</v>
      </c>
      <c r="HA360" s="535" t="str">
        <f t="shared" si="813"/>
        <v/>
      </c>
      <c r="HB360" s="535">
        <f>IF(GK360="P",Lookup!$N$12,IF(GK360="PP",Lookup!$N$13,IF(GK360="PPP",Lookup!$N$14,IF(GK360="T",Lookup!$N$15,IF(GK360="TP",Lookup!$N$16,IF(GK360="TPP",Lookup!$N$17,IF(GK360="TPPP",Lookup!$N$18,0)))))))*GJ360</f>
        <v>0</v>
      </c>
      <c r="HC360" s="521">
        <f t="shared" si="753"/>
        <v>0</v>
      </c>
      <c r="HD360" s="535">
        <f t="shared" si="754"/>
        <v>0</v>
      </c>
      <c r="HE360" s="535">
        <f t="shared" si="816"/>
        <v>0</v>
      </c>
      <c r="HF360" s="535"/>
      <c r="HG360" s="535">
        <f t="shared" si="814"/>
        <v>0</v>
      </c>
      <c r="HH360" s="535" t="str">
        <f t="shared" si="815"/>
        <v/>
      </c>
      <c r="HI360" s="535">
        <f>IF(GK360="P",Lookup!$N$12,IF(GK360="PP",Lookup!$N$13,IF(GK360="PPP",Lookup!$N$14,IF(GK360="T",Lookup!$N$15,IF(GK360="TP",Lookup!$N$16,IF(GK360="TPP",Lookup!$N$17,IF(GK360="TPPP",Lookup!$N$18,0)))))))*GJ360</f>
        <v>0</v>
      </c>
      <c r="HJ360" s="521">
        <f t="shared" si="755"/>
        <v>0</v>
      </c>
      <c r="HK360" s="535">
        <f t="shared" si="756"/>
        <v>0</v>
      </c>
      <c r="HL360" s="535">
        <f t="shared" si="817"/>
        <v>0</v>
      </c>
      <c r="HM360" s="535"/>
      <c r="HN360" s="541"/>
      <c r="HO360" s="541"/>
      <c r="HP360" s="541"/>
      <c r="HQ360" s="541">
        <f>IF(AND(B360&gt;=$FV$4,B360&lt;=$FW$4),MAX(110/1.02+$HQ$6+MIN(113/1.02,G360),IF($HV$6-(Sheet1!DA358-Sheet1!DB358)+MIN(113/1.02,G360)&lt;G360+FL360,$HV$6-(Sheet1!DA358-Sheet1!DB358)+MIN(113/1.02,G360),G360+FL360)),MIN(110/1.02+$HQ$6+113/1.02,G360))</f>
        <v>218.62745098039215</v>
      </c>
      <c r="HR360" s="541">
        <f t="shared" si="833"/>
        <v>223</v>
      </c>
      <c r="HS360" s="541">
        <f>HR360+(Sheet1!DA358-Sheet1!DB358)</f>
        <v>683</v>
      </c>
      <c r="HT360" s="541">
        <f t="shared" si="834"/>
        <v>0</v>
      </c>
      <c r="HU360" s="541">
        <f t="shared" si="835"/>
        <v>683</v>
      </c>
      <c r="HV360" s="541">
        <f t="shared" si="836"/>
        <v>0</v>
      </c>
      <c r="HW360" s="533" t="str">
        <f t="shared" si="837"/>
        <v/>
      </c>
      <c r="HX360" s="541">
        <f t="shared" si="838"/>
        <v>338.37254901960785</v>
      </c>
      <c r="HY360" s="541">
        <f>Sheet1!CZ358</f>
        <v>557</v>
      </c>
      <c r="HZ360" s="541">
        <f t="shared" si="839"/>
        <v>0</v>
      </c>
      <c r="IA360" s="541">
        <f t="shared" si="840"/>
        <v>0</v>
      </c>
      <c r="IB360" s="541">
        <f t="shared" si="841"/>
        <v>557</v>
      </c>
      <c r="IC360" s="1019" t="str">
        <f t="shared" si="842"/>
        <v/>
      </c>
      <c r="ID360" s="541">
        <f t="shared" si="843"/>
        <v>557</v>
      </c>
      <c r="IE360" s="541">
        <f>Sheet1!DB358</f>
        <v>496</v>
      </c>
      <c r="IF360" s="533">
        <f>Sheet1!DA358</f>
        <v>956</v>
      </c>
      <c r="IH360" s="541">
        <f>IF(AND($B360&gt;=$GC360,$B360&lt;=$GH360,$DR360&lt;0)+N("only adjusted when pool is drawn down during storage season"),Sheet1!$DB358+$DR360+N("Palmer minus all storage release"),Sheet1!$DB358)</f>
        <v>496</v>
      </c>
      <c r="II360" s="541">
        <f>IF(AND($B360&gt;=$GC360,$B360&lt;=$GH360,$DR360&lt;0)+N("only adjusted when pool is drawn down during storage season"),Sheet1!$DA358+$DR360+N("Auburn minus all storage release"),Sheet1!$DA358)</f>
        <v>956</v>
      </c>
    </row>
    <row r="361" spans="1:243" x14ac:dyDescent="0.25">
      <c r="A361" s="553" t="s">
        <v>9</v>
      </c>
      <c r="B361" s="531">
        <v>43085</v>
      </c>
      <c r="C361" s="536">
        <v>0</v>
      </c>
      <c r="D361" s="506">
        <f t="shared" si="787"/>
        <v>300</v>
      </c>
      <c r="E361" s="506">
        <f t="shared" si="788"/>
        <v>250</v>
      </c>
      <c r="F361" s="506">
        <v>250</v>
      </c>
      <c r="G361" s="535">
        <f>DR361+Sheet1!CZ359</f>
        <v>598.82148260214547</v>
      </c>
      <c r="H361" s="1074">
        <f t="shared" si="844"/>
        <v>179.66284646399998</v>
      </c>
      <c r="I361" s="534">
        <f>IF(Sheet1!DA359&gt;=E361,(Sheet1!DA359-E361+P361)*CFStoMGD,0)</f>
        <v>508.03404646399997</v>
      </c>
      <c r="J361" s="995">
        <f>IF(Sheet1!DB359&gt;=D361,(Sheet1!DB359-D361+P361)*CFStoMGD,0)</f>
        <v>179.66284646399998</v>
      </c>
      <c r="K361" s="818">
        <f t="shared" si="819"/>
        <v>64.64</v>
      </c>
      <c r="L361" s="535">
        <f>Sheet1!AA359+Sheet1!AB359-Sheet1!L359+(Sheet1!DA359-F361)*CFStoMGD-S361-T361-U361</f>
        <v>447.95519999999999</v>
      </c>
      <c r="M361" s="535">
        <f t="shared" si="697"/>
        <v>394.81977048110735</v>
      </c>
      <c r="N361" s="824">
        <f>IF(Sheet1!DA359&gt;=F361,MIN(113*CFStoMGD,MIN(MAX(L361,0),MAX(M361,0))),0)</f>
        <v>73.043199999999999</v>
      </c>
      <c r="O361" s="538">
        <f>Sheet1!AA359+Sheet1!AB359</f>
        <v>60.08</v>
      </c>
      <c r="P361" s="538">
        <f t="shared" si="698"/>
        <v>92.943759999999997</v>
      </c>
      <c r="Q361" s="812">
        <f t="shared" si="820"/>
        <v>0</v>
      </c>
      <c r="R361" s="812">
        <f t="shared" si="789"/>
        <v>10.449624687239368</v>
      </c>
      <c r="S361" s="812">
        <f t="shared" si="790"/>
        <v>60.08</v>
      </c>
      <c r="T361" s="812">
        <f t="shared" si="791"/>
        <v>0</v>
      </c>
      <c r="U361" s="812">
        <f>IF(AND(B361&gt;=FV361,B361&lt;=FW361),ED361+Sheet1!EH359,0)</f>
        <v>0</v>
      </c>
      <c r="V361" s="812"/>
      <c r="W361" s="812">
        <f t="shared" si="792"/>
        <v>54.190375312760636</v>
      </c>
      <c r="X361" s="812">
        <f t="shared" si="793"/>
        <v>60.08</v>
      </c>
      <c r="Y361" s="812" t="str">
        <f t="shared" si="794"/>
        <v/>
      </c>
      <c r="Z361" s="812">
        <f t="shared" si="795"/>
        <v>60.08</v>
      </c>
      <c r="AA361" s="812">
        <f t="shared" si="796"/>
        <v>60.08</v>
      </c>
      <c r="AB361" s="1059">
        <f t="shared" si="821"/>
        <v>0</v>
      </c>
      <c r="AC361" s="538">
        <f>Sheet1!Y359*MGDtoCFS</f>
        <v>37.468339999999998</v>
      </c>
      <c r="AD361" s="538">
        <f>Sheet1!Z359*MGDtoCFS</f>
        <v>54.763799999999996</v>
      </c>
      <c r="AE361" s="538">
        <f>Sheet1!AA359*MGDtoCFS</f>
        <v>37.406459999999996</v>
      </c>
      <c r="AF361" s="538">
        <f>Sheet1!AB359*MGDtoCFS</f>
        <v>55.537299999999995</v>
      </c>
      <c r="AG361" s="538">
        <f>Sheet1!L359*MGDtoCFS</f>
        <v>0</v>
      </c>
      <c r="AH361" s="521">
        <f t="shared" si="699"/>
        <v>0</v>
      </c>
      <c r="AI361" s="1059">
        <f t="shared" si="700"/>
        <v>0</v>
      </c>
      <c r="AJ361" s="535">
        <f t="shared" si="701"/>
        <v>0</v>
      </c>
      <c r="AK361" s="535">
        <f t="shared" si="702"/>
        <v>0</v>
      </c>
      <c r="AL361" s="535">
        <f>(VLOOKUP(Sheet1!DC359,hhdcap_wcm,4)-(((VLOOKUP(Sheet1!DC359,hhdcap_wcm,3)-Sheet1!DC359)/(VLOOKUP(Sheet1!DC359,hhdcap_wcm,3)-VLOOKUP(Sheet1!DC359,hhdcap_wcm,1)))*(VLOOKUP(Sheet1!DC359,hhdcap_wcm,4)-VLOOKUP(Sheet1!DC359,hhdcap_wcm,2))))</f>
        <v>1027.6000000028921</v>
      </c>
      <c r="AM361" s="535">
        <f t="shared" si="703"/>
        <v>75.000000000054456</v>
      </c>
      <c r="AN361" s="1035">
        <f t="shared" si="704"/>
        <v>0</v>
      </c>
      <c r="AO361" s="535">
        <f t="shared" si="705"/>
        <v>0</v>
      </c>
      <c r="AP361" s="535">
        <f>Sheet1!BA359+Sheet1!BB359+Sheet1!BN359+CD361</f>
        <v>25.5</v>
      </c>
      <c r="AQ361" s="535">
        <f>Sheet1!BN359+(DO361*Sheet1!BN359)</f>
        <v>25.450375312760634</v>
      </c>
      <c r="AR361" s="535">
        <f>Sheet1!BA359+CD361</f>
        <v>0</v>
      </c>
      <c r="AS361" s="535">
        <f>Sheet1!BA359+Sheet1!BB359+CD361</f>
        <v>0</v>
      </c>
      <c r="AT361" s="649">
        <f>0</f>
        <v>0</v>
      </c>
      <c r="AU361" s="974">
        <f>BA361+MAX(Sheet1!EH359,(O361-Q361-ED361-S361))</f>
        <v>0</v>
      </c>
      <c r="AV361" s="535">
        <f>IF(OR(B361&gt;=GD361,B361&lt;GC361),0,15/36*K361-MAX(0,64.6-(137.6-(Sheet1!AA359+Sheet1!AB359))))</f>
        <v>0</v>
      </c>
      <c r="AW361" s="1029"/>
      <c r="AX361" s="649"/>
      <c r="AY361" s="649">
        <f t="shared" si="822"/>
        <v>23.311716569431731</v>
      </c>
      <c r="AZ361" s="649">
        <f t="shared" si="823"/>
        <v>0</v>
      </c>
      <c r="BA361" s="1059">
        <f t="shared" si="824"/>
        <v>0</v>
      </c>
      <c r="BB361" s="1019">
        <f t="shared" si="706"/>
        <v>0</v>
      </c>
      <c r="BC361" s="1041">
        <f t="shared" si="825"/>
        <v>26.933333333333334</v>
      </c>
      <c r="BD361" s="1019">
        <f ca="1">IF(B361&gt;(Summary!$A$1-1),#N/A,BB361*MGtoAF)</f>
        <v>0</v>
      </c>
      <c r="BE361" s="535">
        <f>Sheet1!BG359+Sheet1!BH359+Sheet1!BI359-BM361</f>
        <v>1.01</v>
      </c>
      <c r="BF361" s="535">
        <f t="shared" si="707"/>
        <v>1.0080344731720878</v>
      </c>
      <c r="BG361" s="535">
        <f>IF(Sheet1!EP359="FM",BM361,0)</f>
        <v>0</v>
      </c>
      <c r="BH361" s="535">
        <f t="shared" si="708"/>
        <v>0</v>
      </c>
      <c r="BI361" s="535">
        <f>IF(Sheet1!EP359="OTHER",BM361,0)</f>
        <v>0</v>
      </c>
      <c r="BJ361" s="535">
        <f t="shared" si="709"/>
        <v>0</v>
      </c>
      <c r="BK361" s="535">
        <f t="shared" si="710"/>
        <v>1.01</v>
      </c>
      <c r="BL361" s="535">
        <f t="shared" si="711"/>
        <v>1.0080344731720878</v>
      </c>
      <c r="BM361" s="535">
        <f>IF(OR(Sheet1!EP359="FM", Sheet1!EP359="OTHER"),SUM(Sheet1!BG359:'Sheet1'!BI359),0)</f>
        <v>0</v>
      </c>
      <c r="BN361" s="521">
        <f>IF(AND($B361&gt;=$FV361,$B361&lt;=$FW361),MAX(BF361,Sheet1!EI359,0),MAX(BF361-(7/36)*$K361,0))</f>
        <v>0</v>
      </c>
      <c r="BO361" s="535">
        <f t="shared" si="712"/>
        <v>0</v>
      </c>
      <c r="BP361" s="521">
        <f t="shared" si="713"/>
        <v>1.0080344731720878</v>
      </c>
      <c r="BQ361" s="521">
        <f>IF(AND($O361&gt;0,Sheet1!EM359=1),(1-($O361-Sheet1!$L359)/$O361)*BL361,0)</f>
        <v>0</v>
      </c>
      <c r="BR361" s="521">
        <f>IF(AND(Sheet1!$L359=0,Sheet1!$L358=0, Calculation!BK361&lt;Sheet1!$EI359-0.1,Sheet1!$EI359=Sheet1!$EI358,Sheet1!$EI359=Sheet1!$EI360),BL361-BQ361,BL361-BQ361)</f>
        <v>1.0080344731720878</v>
      </c>
      <c r="BS361" s="1035" t="str">
        <f t="shared" si="826"/>
        <v/>
      </c>
      <c r="BT361" s="1035">
        <f t="shared" si="827"/>
        <v>12.568888888888889</v>
      </c>
      <c r="BU361" s="535">
        <f t="shared" si="714"/>
        <v>0</v>
      </c>
      <c r="BV361" s="535"/>
      <c r="BW361" s="535">
        <f ca="1">IF(B361&gt;(Summary!$A$1-1),#N/A,BU361*MGtoAF)</f>
        <v>0</v>
      </c>
      <c r="BX361" s="535">
        <f>Sheet1!BC359+Sheet1!BD359+Sheet1!BE359+Sheet1!BF359-CG361-CH361</f>
        <v>2.99</v>
      </c>
      <c r="BY361" s="535">
        <f t="shared" si="715"/>
        <v>2.9841812621629136</v>
      </c>
      <c r="BZ361" s="535">
        <f>IF(Sheet1!EQ359="FM",CH361,0)</f>
        <v>0</v>
      </c>
      <c r="CA361" s="535">
        <f t="shared" si="716"/>
        <v>0</v>
      </c>
      <c r="CB361" s="535">
        <f>IF(Sheet1!EQ359="OTHER",CH361,0)</f>
        <v>0</v>
      </c>
      <c r="CC361" s="535">
        <f t="shared" si="717"/>
        <v>0</v>
      </c>
      <c r="CD361" s="535">
        <f t="shared" si="718"/>
        <v>0</v>
      </c>
      <c r="CE361" s="535">
        <f t="shared" si="719"/>
        <v>2.99</v>
      </c>
      <c r="CF361" s="535">
        <f t="shared" si="720"/>
        <v>2.9841812621629136</v>
      </c>
      <c r="CG361" s="535">
        <f>IF(Sheet1!EQ359="CWA",SUM(Sheet1!BC359:'Sheet1'!BF359),0)</f>
        <v>0</v>
      </c>
      <c r="CH361" s="535">
        <f>IF(OR(Sheet1!EQ359="FM", Sheet1!EQ359="OTHER"),SUM(Sheet1!BC359:'Sheet1'!BF359),0)</f>
        <v>0</v>
      </c>
      <c r="CI361" s="521">
        <f>IF(AND($B361&gt;=$FV361,$B361&lt;=$FW361),MAX(CF361,Sheet1!EJ359,0),MAX(CF361-(7/36)*$K361,0))</f>
        <v>0</v>
      </c>
      <c r="CJ361" s="535">
        <f t="shared" si="721"/>
        <v>0</v>
      </c>
      <c r="CK361" s="521">
        <f t="shared" si="722"/>
        <v>2.9841812621629136</v>
      </c>
      <c r="CL361" s="521">
        <f>IF(AND($O361&gt;0,Sheet1!EN359=1),(1-($O361-Sheet1!$L359)/$O361)*CF361,0)</f>
        <v>0</v>
      </c>
      <c r="CM361" s="521">
        <f>IF(AND(Sheet1!$L359=0,Sheet1!$L358=0, Calculation!CE361&lt;Sheet1!EJ359-0.1,Sheet1!EJ359=Sheet1!EJ358,Sheet1!EJ359=Sheet1!EJ360),CF361-CL361,CF361-CL361)</f>
        <v>2.9841812621629136</v>
      </c>
      <c r="CN361" s="1040" t="str">
        <f t="shared" si="828"/>
        <v/>
      </c>
      <c r="CO361" s="1035">
        <f t="shared" si="829"/>
        <v>12.568888888888889</v>
      </c>
      <c r="CP361" s="535">
        <f t="shared" si="723"/>
        <v>0</v>
      </c>
      <c r="CQ361" s="535"/>
      <c r="CR361" s="535">
        <f ca="1">IF(B361&gt;(Summary!$A$1-1),#N/A,CP361*MGtoAF)</f>
        <v>0</v>
      </c>
      <c r="CS361" s="535">
        <f>Sheet1!BK359+Sheet1!BL359+Sheet1!BM359-Sheet1!ER359-DA361</f>
        <v>6.4700000000000006</v>
      </c>
      <c r="CT361" s="535">
        <f t="shared" si="724"/>
        <v>6.4574089519043651</v>
      </c>
      <c r="CU361" s="535">
        <f>IF(Sheet1!ER359="FM",DA361,0)</f>
        <v>0</v>
      </c>
      <c r="CV361" s="535">
        <f t="shared" si="725"/>
        <v>0</v>
      </c>
      <c r="CW361" s="535">
        <f>IF(Sheet1!ER359="OTHER",DA361,0)</f>
        <v>0</v>
      </c>
      <c r="CX361" s="535">
        <f t="shared" si="726"/>
        <v>0</v>
      </c>
      <c r="CY361" s="535">
        <f t="shared" si="727"/>
        <v>6.4700000000000006</v>
      </c>
      <c r="CZ361" s="535">
        <f t="shared" si="728"/>
        <v>6.4574089519043651</v>
      </c>
      <c r="DA361" s="535">
        <f>IF(OR(Sheet1!ER359="FM", Sheet1!ER359="OTHER"),SUM(Sheet1!BK359:'Sheet1'!BM359),0)</f>
        <v>0</v>
      </c>
      <c r="DB361" s="1011">
        <f>IF(AND($B361&gt;=$FV361,$B361&lt;=$FW361),MAX($CT361,Sheet1!EK359,0),MAX($CT361-(7/36)*$K361,0))</f>
        <v>0</v>
      </c>
      <c r="DC361" s="1012">
        <f t="shared" si="729"/>
        <v>0</v>
      </c>
      <c r="DD361" s="1011">
        <f t="shared" si="730"/>
        <v>6.4574089519043651</v>
      </c>
      <c r="DE361" s="521">
        <f>IF(AND($O361&gt;0,Sheet1!EO359=1),(1-($O361-Sheet1!$L359)/$O361)*CZ361,0)</f>
        <v>0</v>
      </c>
      <c r="DF361" s="521">
        <f>IF(AND(Sheet1!$L359=0,Sheet1!$L358=0, Calculation!CY361&lt;Sheet1!$EK359-0.1,Sheet1!$EK359=Sheet1!$EK358,Sheet1!$EK359=Sheet1!$EK360),CZ361-DE361,CZ361-DE361)</f>
        <v>6.4574089519043651</v>
      </c>
      <c r="DG361" s="1040">
        <f t="shared" si="830"/>
        <v>12.568888888888889</v>
      </c>
      <c r="DH361" s="649">
        <f t="shared" si="731"/>
        <v>10.47</v>
      </c>
      <c r="DI361" s="535">
        <f t="shared" si="732"/>
        <v>0</v>
      </c>
      <c r="DJ361" s="649">
        <f t="shared" si="733"/>
        <v>10.449624687239368</v>
      </c>
      <c r="DK361" s="535">
        <f ca="1">IF(B361&gt;(Summary!$A$1-1),#N/A,DI361*MGtoAF)</f>
        <v>0</v>
      </c>
      <c r="DL361" s="649">
        <f t="shared" si="734"/>
        <v>10.47</v>
      </c>
      <c r="DM361" s="535">
        <f t="shared" si="735"/>
        <v>35.97</v>
      </c>
      <c r="DN361" s="535">
        <f>Sheet1!AB359-DM361</f>
        <v>-7.0000000000000284E-2</v>
      </c>
      <c r="DO361" s="743">
        <f t="shared" si="736"/>
        <v>-1.9460661662496605E-3</v>
      </c>
      <c r="DP361" s="535">
        <f>(VLOOKUP(Sheet1!DC359,hhdcap_wcm,4)-(((VLOOKUP(Sheet1!DC359,hhdcap_wcm,3)-Sheet1!DC359)/(VLOOKUP(Sheet1!DC359,hhdcap_wcm,3)-VLOOKUP(Sheet1!DC359,hhdcap_wcm,1)))*(VLOOKUP(Sheet1!DC359,hhdcap_wcm,4)-VLOOKUP(Sheet1!DC359,hhdcap_wcm,2))))</f>
        <v>1027.6000000028921</v>
      </c>
      <c r="DQ361" s="535">
        <f t="shared" si="737"/>
        <v>75.000000000054456</v>
      </c>
      <c r="DR361" s="535">
        <f t="shared" si="738"/>
        <v>37.821482602145458</v>
      </c>
      <c r="DS361" s="535">
        <f>Sheet1!EA359*AFtoMG</f>
        <v>0</v>
      </c>
      <c r="DT361" s="535">
        <f>Sheet1!EB359*AFtoMG</f>
        <v>0</v>
      </c>
      <c r="DU361" s="535">
        <f>Sheet1!EC359*AFtoMG</f>
        <v>0</v>
      </c>
      <c r="DV361" s="535">
        <f>Sheet1!ED359*AFtoMG</f>
        <v>0</v>
      </c>
      <c r="DW361" s="535">
        <f t="shared" si="739"/>
        <v>0</v>
      </c>
      <c r="DX361" s="535">
        <f t="shared" si="740"/>
        <v>0</v>
      </c>
      <c r="DY361" s="535">
        <f t="shared" si="741"/>
        <v>0</v>
      </c>
      <c r="DZ361" s="535">
        <f t="shared" si="742"/>
        <v>0</v>
      </c>
      <c r="EA361" s="535"/>
      <c r="EB361" s="521">
        <f>IF(OR(B361&lt;FV361,B361&gt;FW361),(MIN(BF361+BY361+CT361+MAX(Sheet1!AA359+AQ361-73,0),K361)),0)</f>
        <v>10.449624687239368</v>
      </c>
      <c r="EC361" s="535"/>
      <c r="ED361" s="535">
        <f t="shared" si="743"/>
        <v>10.449624687239366</v>
      </c>
      <c r="EE361" s="535"/>
      <c r="EF361" s="535">
        <f>Sheet1!EH359+Sheet1!EI359+Sheet1!EJ359+Sheet1!EK359</f>
        <v>10.5</v>
      </c>
      <c r="EG361" s="1019">
        <f t="shared" si="831"/>
        <v>16.243500000000001</v>
      </c>
      <c r="EH361" s="521">
        <f t="shared" si="744"/>
        <v>0</v>
      </c>
      <c r="EI361" s="535">
        <f>IF(Sheet1!ET359=1,SUM('Calculations II'!AT361:BA361)+'Calculations II'!BC361+Sheet1!BV359+'Calculations II'!BE361+AP361,'Calculations II'!BK361)</f>
        <v>45.952221312760635</v>
      </c>
      <c r="EJ361" s="535">
        <f ca="1">EI361+'Calculations II'!D361+'Calculations II'!E361+'Calculations II'!O361</f>
        <v>50.360668829518865</v>
      </c>
      <c r="EK361" s="535"/>
      <c r="EL361" s="535"/>
      <c r="EM361" s="535">
        <f t="shared" si="745"/>
        <v>43085</v>
      </c>
      <c r="EN361" s="535">
        <f t="shared" si="746"/>
        <v>0</v>
      </c>
      <c r="EO361" s="535">
        <f t="shared" si="747"/>
        <v>0</v>
      </c>
      <c r="EP361" s="535">
        <v>0</v>
      </c>
      <c r="EQ361" s="535">
        <v>0</v>
      </c>
      <c r="ER361" s="535">
        <v>0</v>
      </c>
      <c r="ES361" s="521">
        <f t="shared" si="797"/>
        <v>-3.180883399897378</v>
      </c>
      <c r="ET361" s="535">
        <f>-(VLOOKUP(Sheet1!BQ359,Lookup!$O$4:$Q$262,2)-VLOOKUP(Sheet1!BQ358,Lookup!$O$4:$Q$262,2))/1000000</f>
        <v>-1.6592421818877645</v>
      </c>
      <c r="EU361" s="535">
        <f>-(VLOOKUP(Sheet1!BR359,Lookup!$O$4:$Q$262,3)-VLOOKUP(Sheet1!BR358,Lookup!$O$4:$Q$262,3))/1000000</f>
        <v>-1.5216412180096135</v>
      </c>
      <c r="EV361" s="535"/>
      <c r="EW361" s="535"/>
      <c r="EX361" s="535"/>
      <c r="EY361" s="535"/>
      <c r="EZ361" s="535"/>
      <c r="FA361" s="535"/>
      <c r="FB361" s="535"/>
      <c r="FC361" s="535"/>
      <c r="FD361" s="567" t="e">
        <f t="shared" si="847"/>
        <v>#N/A</v>
      </c>
      <c r="FE361" s="567" t="e">
        <f t="shared" si="748"/>
        <v>#N/A</v>
      </c>
      <c r="FF361" s="568" t="e">
        <f t="shared" si="749"/>
        <v>#N/A</v>
      </c>
      <c r="FG361" s="569" t="s">
        <v>656</v>
      </c>
      <c r="FH361" s="569" t="s">
        <v>656</v>
      </c>
      <c r="FI361" s="567" t="e">
        <v>#N/A</v>
      </c>
      <c r="FJ361" s="567" t="e">
        <v>#N/A</v>
      </c>
      <c r="FK361" s="535"/>
      <c r="FL361" s="1015" t="e">
        <f t="shared" si="846"/>
        <v>#N/A</v>
      </c>
      <c r="FM361" s="535"/>
      <c r="FN361" s="535"/>
      <c r="FO361" s="535">
        <f>O361+((Sheet1!CS359)*GPMtoMGD)</f>
        <v>60.08</v>
      </c>
      <c r="FP361" s="535">
        <f>IF(Sheet1!AA359+AQ361&lt;=Calculation!N361,AQ361,Calculation!N361-Sheet1!AA359)</f>
        <v>25.450375312760634</v>
      </c>
      <c r="FQ361" s="535">
        <f>(Sheet1!BP359+Sheet1!BO359)/694.4</f>
        <v>1.5620679723502304</v>
      </c>
      <c r="FR361" s="541"/>
      <c r="FS361" s="541"/>
      <c r="FT361" s="541"/>
      <c r="FU361" s="541"/>
      <c r="FV361" s="1109">
        <f t="shared" si="798"/>
        <v>42918</v>
      </c>
      <c r="FW361" s="1109">
        <f t="shared" si="799"/>
        <v>43027</v>
      </c>
      <c r="FX361" s="541"/>
      <c r="FY361" s="541">
        <f>Sheet1!DA359-Sheet1!CZ359-Sheet1!AE359</f>
        <v>289.05624</v>
      </c>
      <c r="FZ361" s="535">
        <f t="shared" si="832"/>
        <v>0.48270853400903752</v>
      </c>
      <c r="GA361" s="535"/>
      <c r="GB361" s="535" t="str">
        <f t="shared" si="800"/>
        <v>n</v>
      </c>
      <c r="GC361" s="539">
        <f t="shared" si="801"/>
        <v>42782</v>
      </c>
      <c r="GD361" s="1109">
        <f t="shared" si="802"/>
        <v>42904</v>
      </c>
      <c r="GE361" s="535">
        <f t="shared" si="818"/>
        <v>6520</v>
      </c>
      <c r="GF361" s="1109">
        <f t="shared" si="803"/>
        <v>42909</v>
      </c>
      <c r="GG361" s="535">
        <f t="shared" si="845"/>
        <v>3260</v>
      </c>
      <c r="GH361" s="539">
        <f t="shared" si="804"/>
        <v>43040</v>
      </c>
      <c r="GJ361" s="521">
        <f t="shared" si="805"/>
        <v>0</v>
      </c>
      <c r="GK361" s="535" t="str">
        <f t="shared" si="750"/>
        <v/>
      </c>
      <c r="GL361" s="535">
        <f t="shared" si="806"/>
        <v>0</v>
      </c>
      <c r="GM361" s="535" t="str">
        <f t="shared" si="807"/>
        <v/>
      </c>
      <c r="GN361" s="535">
        <f>IF(GK361="P",Lookup!$M$12,IF(GK361="PP",Lookup!$M$13,IF(GK361="PPP",Lookup!$M$14,IF(GK361="T",Lookup!$M$15,IF(GK361="TP",Lookup!$M$16,IF(GK361="TPP",Lookup!$M$17,IF(GK361="TPPP",Lookup!$M$18,0)))))))*GJ361</f>
        <v>0</v>
      </c>
      <c r="GO361" s="535">
        <f t="shared" si="808"/>
        <v>0</v>
      </c>
      <c r="GP361" s="535">
        <f t="shared" si="751"/>
        <v>0</v>
      </c>
      <c r="GQ361" s="974">
        <f t="shared" si="695"/>
        <v>0</v>
      </c>
      <c r="GR361" s="535"/>
      <c r="GS361" s="535">
        <f t="shared" si="809"/>
        <v>0</v>
      </c>
      <c r="GT361" s="535" t="str">
        <f t="shared" si="810"/>
        <v/>
      </c>
      <c r="GU361" s="535">
        <f>IF(GK361="P",Lookup!$N$12,IF(GK361="PP",Lookup!$N$13,IF(GK361="PPP",Lookup!$N$14,IF(GK361="T",Lookup!$N$15,IF(GK361="TP",Lookup!$N$16,IF(GK361="TPP",Lookup!$N$17,IF(GK361="TPPP",Lookup!$N$18,0)))))))*GJ361</f>
        <v>0</v>
      </c>
      <c r="GV361" s="535">
        <f t="shared" si="811"/>
        <v>0</v>
      </c>
      <c r="GW361" s="535">
        <f t="shared" si="752"/>
        <v>0</v>
      </c>
      <c r="GX361" s="974">
        <f t="shared" si="696"/>
        <v>0</v>
      </c>
      <c r="GY361" s="535"/>
      <c r="GZ361" s="535">
        <f t="shared" si="812"/>
        <v>0</v>
      </c>
      <c r="HA361" s="535" t="str">
        <f t="shared" si="813"/>
        <v/>
      </c>
      <c r="HB361" s="535">
        <f>IF(GK361="P",Lookup!$N$12,IF(GK361="PP",Lookup!$N$13,IF(GK361="PPP",Lookup!$N$14,IF(GK361="T",Lookup!$N$15,IF(GK361="TP",Lookup!$N$16,IF(GK361="TPP",Lookup!$N$17,IF(GK361="TPPP",Lookup!$N$18,0)))))))*GJ361</f>
        <v>0</v>
      </c>
      <c r="HC361" s="521">
        <f t="shared" si="753"/>
        <v>0</v>
      </c>
      <c r="HD361" s="535">
        <f t="shared" si="754"/>
        <v>0</v>
      </c>
      <c r="HE361" s="535">
        <f t="shared" si="816"/>
        <v>0</v>
      </c>
      <c r="HF361" s="535"/>
      <c r="HG361" s="535">
        <f t="shared" si="814"/>
        <v>0</v>
      </c>
      <c r="HH361" s="535" t="str">
        <f t="shared" si="815"/>
        <v/>
      </c>
      <c r="HI361" s="535">
        <f>IF(GK361="P",Lookup!$N$12,IF(GK361="PP",Lookup!$N$13,IF(GK361="PPP",Lookup!$N$14,IF(GK361="T",Lookup!$N$15,IF(GK361="TP",Lookup!$N$16,IF(GK361="TPP",Lookup!$N$17,IF(GK361="TPPP",Lookup!$N$18,0)))))))*GJ361</f>
        <v>0</v>
      </c>
      <c r="HJ361" s="521">
        <f t="shared" si="755"/>
        <v>0</v>
      </c>
      <c r="HK361" s="535">
        <f t="shared" si="756"/>
        <v>0</v>
      </c>
      <c r="HL361" s="535">
        <f t="shared" si="817"/>
        <v>0</v>
      </c>
      <c r="HM361" s="535"/>
      <c r="HN361" s="541"/>
      <c r="HO361" s="541"/>
      <c r="HP361" s="541"/>
      <c r="HQ361" s="541">
        <f>IF(AND(B361&gt;=$FV$4,B361&lt;=$FW$4),MAX(110/1.02+$HQ$6+MIN(113/1.02,G361),IF($HV$6-(Sheet1!DA359-Sheet1!DB359)+MIN(113/1.02,G361)&lt;G361+FL361,$HV$6-(Sheet1!DA359-Sheet1!DB359)+MIN(113/1.02,G361),G361+FL361)),MIN(110/1.02+$HQ$6+113/1.02,G361))</f>
        <v>218.62745098039215</v>
      </c>
      <c r="HR361" s="541">
        <f t="shared" si="833"/>
        <v>223</v>
      </c>
      <c r="HS361" s="541">
        <f>HR361+(Sheet1!DA359-Sheet1!DB359)</f>
        <v>681</v>
      </c>
      <c r="HT361" s="541">
        <f t="shared" si="834"/>
        <v>0</v>
      </c>
      <c r="HU361" s="541">
        <f t="shared" si="835"/>
        <v>681</v>
      </c>
      <c r="HV361" s="541">
        <f t="shared" si="836"/>
        <v>0</v>
      </c>
      <c r="HW361" s="533" t="str">
        <f t="shared" si="837"/>
        <v/>
      </c>
      <c r="HX361" s="541">
        <f t="shared" si="838"/>
        <v>342.37254901960785</v>
      </c>
      <c r="HY361" s="541">
        <f>Sheet1!CZ359</f>
        <v>561</v>
      </c>
      <c r="HZ361" s="541">
        <f t="shared" si="839"/>
        <v>0</v>
      </c>
      <c r="IA361" s="541">
        <f t="shared" si="840"/>
        <v>0</v>
      </c>
      <c r="IB361" s="541">
        <f t="shared" si="841"/>
        <v>561</v>
      </c>
      <c r="IC361" s="1019" t="str">
        <f t="shared" si="842"/>
        <v/>
      </c>
      <c r="ID361" s="541">
        <f t="shared" si="843"/>
        <v>561</v>
      </c>
      <c r="IE361" s="541">
        <f>Sheet1!DB359</f>
        <v>485</v>
      </c>
      <c r="IF361" s="533">
        <f>Sheet1!DA359</f>
        <v>943</v>
      </c>
      <c r="IH361" s="541">
        <f>IF(AND($B361&gt;=$GC361,$B361&lt;=$GH361,$DR361&lt;0)+N("only adjusted when pool is drawn down during storage season"),Sheet1!$DB359+$DR361+N("Palmer minus all storage release"),Sheet1!$DB359)</f>
        <v>485</v>
      </c>
      <c r="II361" s="541">
        <f>IF(AND($B361&gt;=$GC361,$B361&lt;=$GH361,$DR361&lt;0)+N("only adjusted when pool is drawn down during storage season"),Sheet1!$DA359+$DR361+N("Auburn minus all storage release"),Sheet1!$DA359)</f>
        <v>943</v>
      </c>
    </row>
    <row r="362" spans="1:243" x14ac:dyDescent="0.25">
      <c r="A362" s="553" t="s">
        <v>3</v>
      </c>
      <c r="B362" s="531">
        <v>43086</v>
      </c>
      <c r="C362" s="536">
        <v>0</v>
      </c>
      <c r="D362" s="506">
        <f t="shared" si="787"/>
        <v>300</v>
      </c>
      <c r="E362" s="506">
        <f t="shared" si="788"/>
        <v>250</v>
      </c>
      <c r="F362" s="506">
        <v>250</v>
      </c>
      <c r="G362" s="535">
        <f>DR362+Sheet1!CZ360</f>
        <v>724.15078164436136</v>
      </c>
      <c r="H362" s="1074">
        <f t="shared" si="844"/>
        <v>218.56684416000002</v>
      </c>
      <c r="I362" s="534">
        <f>IF(Sheet1!DA360&gt;=E362,(Sheet1!DA360-E362+P362)*CFStoMGD,0)</f>
        <v>536.59564416000001</v>
      </c>
      <c r="J362" s="995">
        <f>IF(Sheet1!DB360&gt;=D362,(Sheet1!DB360-D362+P362)*CFStoMGD,0)</f>
        <v>218.56684416000002</v>
      </c>
      <c r="K362" s="818">
        <f t="shared" si="819"/>
        <v>64.64</v>
      </c>
      <c r="L362" s="535">
        <f>Sheet1!AA360+Sheet1!AB360-Sheet1!L360+(Sheet1!DA360-F362)*CFStoMGD-S362-T362-U362</f>
        <v>476.39680000000004</v>
      </c>
      <c r="M362" s="535">
        <f t="shared" si="697"/>
        <v>477.4528865600135</v>
      </c>
      <c r="N362" s="824">
        <f>IF(Sheet1!DA360&gt;=F362,MIN(113*CFStoMGD,MIN(MAX(L362,0),MAX(M362,0))),0)</f>
        <v>73.043199999999999</v>
      </c>
      <c r="O362" s="538">
        <f>Sheet1!AA360+Sheet1!AB360</f>
        <v>60.2</v>
      </c>
      <c r="P362" s="538">
        <f t="shared" si="698"/>
        <v>93.129400000000004</v>
      </c>
      <c r="Q362" s="812">
        <f t="shared" si="820"/>
        <v>0</v>
      </c>
      <c r="R362" s="812">
        <f t="shared" si="789"/>
        <v>10.435465924895688</v>
      </c>
      <c r="S362" s="812">
        <f t="shared" si="790"/>
        <v>60.2</v>
      </c>
      <c r="T362" s="812">
        <f t="shared" si="791"/>
        <v>0</v>
      </c>
      <c r="U362" s="812">
        <f>IF(AND(B362&gt;=FV362,B362&lt;=FW362),ED362+Sheet1!EH360,0)</f>
        <v>0</v>
      </c>
      <c r="V362" s="812"/>
      <c r="W362" s="812">
        <f t="shared" si="792"/>
        <v>54.204534075104313</v>
      </c>
      <c r="X362" s="812">
        <f t="shared" si="793"/>
        <v>60.2</v>
      </c>
      <c r="Y362" s="812" t="str">
        <f t="shared" si="794"/>
        <v/>
      </c>
      <c r="Z362" s="812">
        <f t="shared" si="795"/>
        <v>60.2</v>
      </c>
      <c r="AA362" s="812">
        <f t="shared" si="796"/>
        <v>60.2</v>
      </c>
      <c r="AB362" s="1059">
        <f t="shared" si="821"/>
        <v>0</v>
      </c>
      <c r="AC362" s="538">
        <f>Sheet1!Y360*MGDtoCFS</f>
        <v>37.406459999999996</v>
      </c>
      <c r="AD362" s="538">
        <f>Sheet1!Z360*MGDtoCFS</f>
        <v>55.537299999999995</v>
      </c>
      <c r="AE362" s="538">
        <f>Sheet1!AA360*MGDtoCFS</f>
        <v>37.592100000000002</v>
      </c>
      <c r="AF362" s="538">
        <f>Sheet1!AB360*MGDtoCFS</f>
        <v>55.537299999999995</v>
      </c>
      <c r="AG362" s="538">
        <f>Sheet1!L360*MGDtoCFS</f>
        <v>0</v>
      </c>
      <c r="AH362" s="521">
        <f t="shared" si="699"/>
        <v>0</v>
      </c>
      <c r="AI362" s="1059">
        <f t="shared" si="700"/>
        <v>0</v>
      </c>
      <c r="AJ362" s="535">
        <f t="shared" si="701"/>
        <v>0</v>
      </c>
      <c r="AK362" s="535">
        <f t="shared" si="702"/>
        <v>0</v>
      </c>
      <c r="AL362" s="535">
        <f>(VLOOKUP(Sheet1!DC360,hhdcap_wcm,4)-(((VLOOKUP(Sheet1!DC360,hhdcap_wcm,3)-Sheet1!DC360)/(VLOOKUP(Sheet1!DC360,hhdcap_wcm,3)-VLOOKUP(Sheet1!DC360,hhdcap_wcm,1)))*(VLOOKUP(Sheet1!DC360,hhdcap_wcm,4)-VLOOKUP(Sheet1!DC360,hhdcap_wcm,2))))</f>
        <v>1319.4000000036608</v>
      </c>
      <c r="AM362" s="535">
        <f t="shared" si="703"/>
        <v>291.8000000007687</v>
      </c>
      <c r="AN362" s="1035">
        <f t="shared" si="704"/>
        <v>0</v>
      </c>
      <c r="AO362" s="535">
        <f t="shared" si="705"/>
        <v>0</v>
      </c>
      <c r="AP362" s="535">
        <f>Sheet1!BA360+Sheet1!BB360+Sheet1!BN360+CD362</f>
        <v>25.5</v>
      </c>
      <c r="AQ362" s="535">
        <f>Sheet1!BN360+(DO362*Sheet1!BN360)</f>
        <v>25.464534075104307</v>
      </c>
      <c r="AR362" s="535">
        <f>Sheet1!BA360+CD362</f>
        <v>0</v>
      </c>
      <c r="AS362" s="535">
        <f>Sheet1!BA360+Sheet1!BB360+CD362</f>
        <v>0</v>
      </c>
      <c r="AT362" s="649">
        <f>0</f>
        <v>0</v>
      </c>
      <c r="AU362" s="974">
        <f>BA362+MAX(Sheet1!EH360,(O362-Q362-ED362-S362))</f>
        <v>0</v>
      </c>
      <c r="AV362" s="535">
        <f>IF(OR(B362&gt;=GD362,B362&lt;GC362),0,15/36*K362-MAX(0,64.6-(137.6-(Sheet1!AA360+Sheet1!AB360))))</f>
        <v>0</v>
      </c>
      <c r="AW362" s="1029"/>
      <c r="AX362" s="649"/>
      <c r="AY362" s="649">
        <f t="shared" si="822"/>
        <v>23.311716569431731</v>
      </c>
      <c r="AZ362" s="649">
        <f t="shared" si="823"/>
        <v>0</v>
      </c>
      <c r="BA362" s="1059">
        <f t="shared" si="824"/>
        <v>0</v>
      </c>
      <c r="BB362" s="1019">
        <f t="shared" si="706"/>
        <v>0</v>
      </c>
      <c r="BC362" s="1041">
        <f t="shared" si="825"/>
        <v>26.933333333333334</v>
      </c>
      <c r="BD362" s="1019">
        <f ca="1">IF(B362&gt;(Summary!$A$1-1),#N/A,BB362*MGtoAF)</f>
        <v>0</v>
      </c>
      <c r="BE362" s="535">
        <f>Sheet1!BG360+Sheet1!BH360+Sheet1!BI360-BM362</f>
        <v>1.01</v>
      </c>
      <c r="BF362" s="535">
        <f t="shared" si="707"/>
        <v>1.0085952712100137</v>
      </c>
      <c r="BG362" s="535">
        <f>IF(Sheet1!EP360="FM",BM362,0)</f>
        <v>0</v>
      </c>
      <c r="BH362" s="535">
        <f t="shared" si="708"/>
        <v>0</v>
      </c>
      <c r="BI362" s="535">
        <f>IF(Sheet1!EP360="OTHER",BM362,0)</f>
        <v>0</v>
      </c>
      <c r="BJ362" s="535">
        <f t="shared" si="709"/>
        <v>0</v>
      </c>
      <c r="BK362" s="535">
        <f t="shared" si="710"/>
        <v>1.01</v>
      </c>
      <c r="BL362" s="535">
        <f t="shared" si="711"/>
        <v>1.0085952712100137</v>
      </c>
      <c r="BM362" s="535">
        <f>IF(OR(Sheet1!EP360="FM", Sheet1!EP360="OTHER"),SUM(Sheet1!BG360:'Sheet1'!BI360),0)</f>
        <v>0</v>
      </c>
      <c r="BN362" s="521">
        <f>IF(AND($B362&gt;=$FV362,$B362&lt;=$FW362),MAX(BF362,Sheet1!EI360,0),MAX(BF362-(7/36)*$K362,0))</f>
        <v>0</v>
      </c>
      <c r="BO362" s="535">
        <f t="shared" si="712"/>
        <v>0</v>
      </c>
      <c r="BP362" s="521">
        <f t="shared" si="713"/>
        <v>1.0085952712100137</v>
      </c>
      <c r="BQ362" s="521">
        <f>IF(AND($O362&gt;0,Sheet1!EM360=1),(1-($O362-Sheet1!$L360)/$O362)*BL362,0)</f>
        <v>0</v>
      </c>
      <c r="BR362" s="521">
        <f>IF(AND(Sheet1!$L360=0,Sheet1!$L359=0, Calculation!BK362&lt;Sheet1!$EI360-0.1,Sheet1!$EI360=Sheet1!$EI359,Sheet1!$EI360=Sheet1!$EI361),BL362-BQ362,BL362-BQ362)</f>
        <v>1.0085952712100137</v>
      </c>
      <c r="BS362" s="1035" t="str">
        <f t="shared" si="826"/>
        <v/>
      </c>
      <c r="BT362" s="1035">
        <f t="shared" si="827"/>
        <v>12.568888888888889</v>
      </c>
      <c r="BU362" s="535">
        <f t="shared" si="714"/>
        <v>0</v>
      </c>
      <c r="BV362" s="535"/>
      <c r="BW362" s="535">
        <f ca="1">IF(B362&gt;(Summary!$A$1-1),#N/A,BU362*MGtoAF)</f>
        <v>0</v>
      </c>
      <c r="BX362" s="535">
        <f>Sheet1!BC360+Sheet1!BD360+Sheet1!BE360+Sheet1!BF360-CG362-CH362</f>
        <v>2.99</v>
      </c>
      <c r="BY362" s="535">
        <f t="shared" si="715"/>
        <v>2.9858414464534073</v>
      </c>
      <c r="BZ362" s="535">
        <f>IF(Sheet1!EQ360="FM",CH362,0)</f>
        <v>0</v>
      </c>
      <c r="CA362" s="535">
        <f t="shared" si="716"/>
        <v>0</v>
      </c>
      <c r="CB362" s="535">
        <f>IF(Sheet1!EQ360="OTHER",CH362,0)</f>
        <v>0</v>
      </c>
      <c r="CC362" s="535">
        <f t="shared" si="717"/>
        <v>0</v>
      </c>
      <c r="CD362" s="535">
        <f t="shared" si="718"/>
        <v>0</v>
      </c>
      <c r="CE362" s="535">
        <f t="shared" si="719"/>
        <v>2.99</v>
      </c>
      <c r="CF362" s="535">
        <f t="shared" si="720"/>
        <v>2.9858414464534073</v>
      </c>
      <c r="CG362" s="535">
        <f>IF(Sheet1!EQ360="CWA",SUM(Sheet1!BC360:'Sheet1'!BF360),0)</f>
        <v>0</v>
      </c>
      <c r="CH362" s="535">
        <f>IF(OR(Sheet1!EQ360="FM", Sheet1!EQ360="OTHER"),SUM(Sheet1!BC360:'Sheet1'!BF360),0)</f>
        <v>0</v>
      </c>
      <c r="CI362" s="521">
        <f>IF(AND($B362&gt;=$FV362,$B362&lt;=$FW362),MAX(CF362,Sheet1!EJ360,0),MAX(CF362-(7/36)*$K362,0))</f>
        <v>0</v>
      </c>
      <c r="CJ362" s="535">
        <f t="shared" si="721"/>
        <v>0</v>
      </c>
      <c r="CK362" s="521">
        <f t="shared" si="722"/>
        <v>2.9858414464534073</v>
      </c>
      <c r="CL362" s="521">
        <f>IF(AND($O362&gt;0,Sheet1!EN360=1),(1-($O362-Sheet1!$L360)/$O362)*CF362,0)</f>
        <v>0</v>
      </c>
      <c r="CM362" s="521">
        <f>IF(AND(Sheet1!$L360=0,Sheet1!$L359=0, Calculation!CE362&lt;Sheet1!EJ360-0.1,Sheet1!EJ360=Sheet1!EJ359,Sheet1!EJ360=Sheet1!EJ361),CF362-CL362,CF362-CL362)</f>
        <v>2.9858414464534073</v>
      </c>
      <c r="CN362" s="1040" t="str">
        <f t="shared" si="828"/>
        <v/>
      </c>
      <c r="CO362" s="1035">
        <f t="shared" si="829"/>
        <v>12.568888888888889</v>
      </c>
      <c r="CP362" s="535">
        <f t="shared" si="723"/>
        <v>0</v>
      </c>
      <c r="CQ362" s="535"/>
      <c r="CR362" s="535">
        <f ca="1">IF(B362&gt;(Summary!$A$1-1),#N/A,CP362*MGtoAF)</f>
        <v>0</v>
      </c>
      <c r="CS362" s="535">
        <f>Sheet1!BK360+Sheet1!BL360+Sheet1!BM360-Sheet1!ER360-DA362</f>
        <v>6.45</v>
      </c>
      <c r="CT362" s="535">
        <f t="shared" si="724"/>
        <v>6.4410292072322664</v>
      </c>
      <c r="CU362" s="535">
        <f>IF(Sheet1!ER360="FM",DA362,0)</f>
        <v>0</v>
      </c>
      <c r="CV362" s="535">
        <f t="shared" si="725"/>
        <v>0</v>
      </c>
      <c r="CW362" s="535">
        <f>IF(Sheet1!ER360="OTHER",DA362,0)</f>
        <v>0</v>
      </c>
      <c r="CX362" s="535">
        <f t="shared" si="726"/>
        <v>0</v>
      </c>
      <c r="CY362" s="535">
        <f t="shared" si="727"/>
        <v>6.45</v>
      </c>
      <c r="CZ362" s="535">
        <f t="shared" si="728"/>
        <v>6.4410292072322664</v>
      </c>
      <c r="DA362" s="535">
        <f>IF(OR(Sheet1!ER360="FM", Sheet1!ER360="OTHER"),SUM(Sheet1!BK360:'Sheet1'!BM360),0)</f>
        <v>0</v>
      </c>
      <c r="DB362" s="1011">
        <f>IF(AND($B362&gt;=$FV362,$B362&lt;=$FW362),MAX($CT362,Sheet1!EK360,0),MAX($CT362-(7/36)*$K362,0))</f>
        <v>0</v>
      </c>
      <c r="DC362" s="1012">
        <f t="shared" si="729"/>
        <v>0</v>
      </c>
      <c r="DD362" s="1011">
        <f t="shared" si="730"/>
        <v>6.4410292072322664</v>
      </c>
      <c r="DE362" s="521">
        <f>IF(AND($O362&gt;0,Sheet1!EO360=1),(1-($O362-Sheet1!$L360)/$O362)*CZ362,0)</f>
        <v>0</v>
      </c>
      <c r="DF362" s="521">
        <f>IF(AND(Sheet1!$L360=0,Sheet1!$L359=0, Calculation!CY362&lt;Sheet1!$EK360-0.1,Sheet1!$EK360=Sheet1!$EK359,Sheet1!$EK360=Sheet1!$EK361),CZ362-DE362,CZ362-DE362)</f>
        <v>6.4410292072322664</v>
      </c>
      <c r="DG362" s="1040">
        <f t="shared" si="830"/>
        <v>12.568888888888889</v>
      </c>
      <c r="DH362" s="649">
        <f t="shared" si="731"/>
        <v>10.45</v>
      </c>
      <c r="DI362" s="535">
        <f t="shared" si="732"/>
        <v>0</v>
      </c>
      <c r="DJ362" s="649">
        <f t="shared" si="733"/>
        <v>10.435465924895688</v>
      </c>
      <c r="DK362" s="535">
        <f ca="1">IF(B362&gt;(Summary!$A$1-1),#N/A,DI362*MGtoAF)</f>
        <v>0</v>
      </c>
      <c r="DL362" s="649">
        <f t="shared" si="734"/>
        <v>10.450000000000001</v>
      </c>
      <c r="DM362" s="535">
        <f t="shared" si="735"/>
        <v>35.950000000000003</v>
      </c>
      <c r="DN362" s="535">
        <f>Sheet1!AB360-DM362</f>
        <v>-5.0000000000004263E-2</v>
      </c>
      <c r="DO362" s="743">
        <f t="shared" si="736"/>
        <v>-1.3908205841447639E-3</v>
      </c>
      <c r="DP362" s="535">
        <f>(VLOOKUP(Sheet1!DC360,hhdcap_wcm,4)-(((VLOOKUP(Sheet1!DC360,hhdcap_wcm,3)-Sheet1!DC360)/(VLOOKUP(Sheet1!DC360,hhdcap_wcm,3)-VLOOKUP(Sheet1!DC360,hhdcap_wcm,1)))*(VLOOKUP(Sheet1!DC360,hhdcap_wcm,4)-VLOOKUP(Sheet1!DC360,hhdcap_wcm,2))))</f>
        <v>1319.4000000036608</v>
      </c>
      <c r="DQ362" s="535">
        <f t="shared" si="737"/>
        <v>291.8000000007687</v>
      </c>
      <c r="DR362" s="535">
        <f t="shared" si="738"/>
        <v>147.15078164436142</v>
      </c>
      <c r="DS362" s="535">
        <f>Sheet1!EA360*AFtoMG</f>
        <v>0</v>
      </c>
      <c r="DT362" s="535">
        <f>Sheet1!EB360*AFtoMG</f>
        <v>0</v>
      </c>
      <c r="DU362" s="535">
        <f>Sheet1!EC360*AFtoMG</f>
        <v>0</v>
      </c>
      <c r="DV362" s="535">
        <f>Sheet1!ED360*AFtoMG</f>
        <v>0</v>
      </c>
      <c r="DW362" s="535">
        <f t="shared" si="739"/>
        <v>0</v>
      </c>
      <c r="DX362" s="535">
        <f t="shared" si="740"/>
        <v>0</v>
      </c>
      <c r="DY362" s="535">
        <f t="shared" si="741"/>
        <v>0</v>
      </c>
      <c r="DZ362" s="535">
        <f t="shared" si="742"/>
        <v>0</v>
      </c>
      <c r="EA362" s="535"/>
      <c r="EB362" s="521">
        <f>IF(OR(B362&lt;FV362,B362&gt;FW362),(MIN(BF362+BY362+CT362+MAX(Sheet1!AA360+AQ362-73,0),K362)),0)</f>
        <v>10.435465924895688</v>
      </c>
      <c r="EC362" s="535"/>
      <c r="ED362" s="535">
        <f t="shared" si="743"/>
        <v>10.435465924895688</v>
      </c>
      <c r="EE362" s="535"/>
      <c r="EF362" s="535">
        <f>Sheet1!EH360+Sheet1!EI360+Sheet1!EJ360+Sheet1!EK360</f>
        <v>10.5</v>
      </c>
      <c r="EG362" s="1019">
        <f t="shared" si="831"/>
        <v>16.243500000000001</v>
      </c>
      <c r="EH362" s="521">
        <f t="shared" si="744"/>
        <v>0</v>
      </c>
      <c r="EI362" s="535">
        <f>IF(Sheet1!ET360=1,SUM('Calculations II'!AT362:BA362)+'Calculations II'!BC362+Sheet1!BV360+'Calculations II'!BE362+AP362,'Calculations II'!BK362)</f>
        <v>46.490736075104309</v>
      </c>
      <c r="EJ362" s="535">
        <f ca="1">EI362+'Calculations II'!D362+'Calculations II'!E362+'Calculations II'!O362</f>
        <v>48.556080359792901</v>
      </c>
      <c r="EK362" s="535"/>
      <c r="EL362" s="535"/>
      <c r="EM362" s="535">
        <f t="shared" si="745"/>
        <v>43086</v>
      </c>
      <c r="EN362" s="535">
        <f t="shared" si="746"/>
        <v>0</v>
      </c>
      <c r="EO362" s="535">
        <f t="shared" si="747"/>
        <v>0</v>
      </c>
      <c r="EP362" s="535">
        <v>0</v>
      </c>
      <c r="EQ362" s="535">
        <v>0</v>
      </c>
      <c r="ER362" s="535">
        <v>0</v>
      </c>
      <c r="ES362" s="521">
        <f t="shared" si="797"/>
        <v>-2.6290195928659514</v>
      </c>
      <c r="ET362" s="535">
        <f>-(VLOOKUP(Sheet1!BQ360,Lookup!$O$4:$Q$262,2)-VLOOKUP(Sheet1!BQ359,Lookup!$O$4:$Q$262,2))/1000000</f>
        <v>-1.2450368192675636</v>
      </c>
      <c r="EU362" s="535">
        <f>-(VLOOKUP(Sheet1!BR360,Lookup!$O$4:$Q$262,3)-VLOOKUP(Sheet1!BR359,Lookup!$O$4:$Q$262,3))/1000000</f>
        <v>-1.3839827735983878</v>
      </c>
      <c r="EV362" s="535"/>
      <c r="EW362" s="535"/>
      <c r="EX362" s="535"/>
      <c r="EY362" s="535"/>
      <c r="EZ362" s="535"/>
      <c r="FA362" s="535"/>
      <c r="FB362" s="535"/>
      <c r="FC362" s="535"/>
      <c r="FD362" s="567" t="e">
        <f t="shared" si="847"/>
        <v>#N/A</v>
      </c>
      <c r="FE362" s="567" t="e">
        <f t="shared" si="748"/>
        <v>#N/A</v>
      </c>
      <c r="FF362" s="568" t="e">
        <f t="shared" si="749"/>
        <v>#N/A</v>
      </c>
      <c r="FG362" s="569" t="s">
        <v>656</v>
      </c>
      <c r="FH362" s="569" t="s">
        <v>656</v>
      </c>
      <c r="FI362" s="567" t="e">
        <v>#N/A</v>
      </c>
      <c r="FJ362" s="567" t="e">
        <v>#N/A</v>
      </c>
      <c r="FK362" s="535"/>
      <c r="FL362" s="1015" t="e">
        <f t="shared" si="846"/>
        <v>#N/A</v>
      </c>
      <c r="FM362" s="535"/>
      <c r="FN362" s="535"/>
      <c r="FO362" s="535">
        <f>O362+((Sheet1!CS360)*GPMtoMGD)</f>
        <v>60.2</v>
      </c>
      <c r="FP362" s="535">
        <f>IF(Sheet1!AA360+AQ362&lt;=Calculation!N362,AQ362,Calculation!N362-Sheet1!AA360)</f>
        <v>25.464534075104307</v>
      </c>
      <c r="FQ362" s="535">
        <f>(Sheet1!BP360+Sheet1!BO360)/694.4</f>
        <v>1.5275057603686637</v>
      </c>
      <c r="FR362" s="541"/>
      <c r="FS362" s="541"/>
      <c r="FT362" s="541"/>
      <c r="FU362" s="541"/>
      <c r="FV362" s="1109">
        <f t="shared" si="798"/>
        <v>42918</v>
      </c>
      <c r="FW362" s="1109">
        <f t="shared" si="799"/>
        <v>43027</v>
      </c>
      <c r="FX362" s="541"/>
      <c r="FY362" s="541">
        <f>Sheet1!DA360-Sheet1!CZ360-Sheet1!AE360</f>
        <v>316.87059999999997</v>
      </c>
      <c r="FZ362" s="535">
        <f t="shared" si="832"/>
        <v>0.43757544427483436</v>
      </c>
      <c r="GA362" s="535"/>
      <c r="GB362" s="535" t="str">
        <f t="shared" si="800"/>
        <v>n</v>
      </c>
      <c r="GC362" s="539">
        <f t="shared" si="801"/>
        <v>42782</v>
      </c>
      <c r="GD362" s="1109">
        <f t="shared" si="802"/>
        <v>42904</v>
      </c>
      <c r="GE362" s="535">
        <f t="shared" si="818"/>
        <v>6520</v>
      </c>
      <c r="GF362" s="1109">
        <f t="shared" si="803"/>
        <v>42909</v>
      </c>
      <c r="GG362" s="535">
        <f t="shared" si="845"/>
        <v>3260</v>
      </c>
      <c r="GH362" s="539">
        <f t="shared" si="804"/>
        <v>43040</v>
      </c>
      <c r="GJ362" s="521">
        <f t="shared" si="805"/>
        <v>0</v>
      </c>
      <c r="GK362" s="535" t="str">
        <f t="shared" si="750"/>
        <v/>
      </c>
      <c r="GL362" s="535">
        <f t="shared" si="806"/>
        <v>0</v>
      </c>
      <c r="GM362" s="535" t="str">
        <f t="shared" si="807"/>
        <v/>
      </c>
      <c r="GN362" s="535">
        <f>IF(GK362="P",Lookup!$M$12,IF(GK362="PP",Lookup!$M$13,IF(GK362="PPP",Lookup!$M$14,IF(GK362="T",Lookup!$M$15,IF(GK362="TP",Lookup!$M$16,IF(GK362="TPP",Lookup!$M$17,IF(GK362="TPPP",Lookup!$M$18,0)))))))*GJ362</f>
        <v>0</v>
      </c>
      <c r="GO362" s="535">
        <f t="shared" si="808"/>
        <v>0</v>
      </c>
      <c r="GP362" s="535">
        <f t="shared" si="751"/>
        <v>0</v>
      </c>
      <c r="GQ362" s="974">
        <f t="shared" ref="GQ362:GQ381" si="848">(IF(AND(GB361="Y",B362=GD362),1392.1,(IF(AND(B362&lt;GF362,B362&gt;=GC362),MIN(BB361+AV362-AU362,15/36*GE362),IF(B362=GF362,15/36*GG362,IF(AND(B362&gt;GF362,B362&lt;GH362),(BB361+AV362-AU362),IF(B362&gt;=GH362,0,0)))))))+DS362</f>
        <v>0</v>
      </c>
      <c r="GR362" s="535"/>
      <c r="GS362" s="535">
        <f t="shared" si="809"/>
        <v>0</v>
      </c>
      <c r="GT362" s="535" t="str">
        <f t="shared" si="810"/>
        <v/>
      </c>
      <c r="GU362" s="535">
        <f>IF(GK362="P",Lookup!$N$12,IF(GK362="PP",Lookup!$N$13,IF(GK362="PPP",Lookup!$N$14,IF(GK362="T",Lookup!$N$15,IF(GK362="TP",Lookup!$N$16,IF(GK362="TPP",Lookup!$N$17,IF(GK362="TPPP",Lookup!$N$18,0)))))))*GJ362</f>
        <v>0</v>
      </c>
      <c r="GV362" s="535">
        <f t="shared" si="811"/>
        <v>0</v>
      </c>
      <c r="GW362" s="535">
        <f t="shared" si="752"/>
        <v>0</v>
      </c>
      <c r="GX362" s="974">
        <f t="shared" ref="GX362:GX381" si="849">(IF(AND(GB362="Y",B362=GD362),1267.5,(IF(AND(B362&lt;GF362,B362&gt;=GC362),MIN(BU361+BO362-BN362,7/36*GE362),IF(B362=GF362,7/36*GG362,IF(AND(B362&gt;GF362,B362&lt;GH362),(BU361+BO362-BN362),IF(B362&gt;=GH362,0,0)))))))+DT362</f>
        <v>0</v>
      </c>
      <c r="GY362" s="535"/>
      <c r="GZ362" s="535">
        <f t="shared" si="812"/>
        <v>0</v>
      </c>
      <c r="HA362" s="535" t="str">
        <f t="shared" si="813"/>
        <v/>
      </c>
      <c r="HB362" s="535">
        <f>IF(GK362="P",Lookup!$N$12,IF(GK362="PP",Lookup!$N$13,IF(GK362="PPP",Lookup!$N$14,IF(GK362="T",Lookup!$N$15,IF(GK362="TP",Lookup!$N$16,IF(GK362="TPP",Lookup!$N$17,IF(GK362="TPPP",Lookup!$N$18,0)))))))*GJ362</f>
        <v>0</v>
      </c>
      <c r="HC362" s="521">
        <f t="shared" si="753"/>
        <v>0</v>
      </c>
      <c r="HD362" s="535">
        <f t="shared" si="754"/>
        <v>0</v>
      </c>
      <c r="HE362" s="535">
        <f t="shared" si="816"/>
        <v>0</v>
      </c>
      <c r="HF362" s="535"/>
      <c r="HG362" s="535">
        <f t="shared" si="814"/>
        <v>0</v>
      </c>
      <c r="HH362" s="535" t="str">
        <f t="shared" si="815"/>
        <v/>
      </c>
      <c r="HI362" s="535">
        <f>IF(GK362="P",Lookup!$N$12,IF(GK362="PP",Lookup!$N$13,IF(GK362="PPP",Lookup!$N$14,IF(GK362="T",Lookup!$N$15,IF(GK362="TP",Lookup!$N$16,IF(GK362="TPP",Lookup!$N$17,IF(GK362="TPPP",Lookup!$N$18,0)))))))*GJ362</f>
        <v>0</v>
      </c>
      <c r="HJ362" s="521">
        <f t="shared" si="755"/>
        <v>0</v>
      </c>
      <c r="HK362" s="535">
        <f t="shared" si="756"/>
        <v>0</v>
      </c>
      <c r="HL362" s="535">
        <f t="shared" si="817"/>
        <v>0</v>
      </c>
      <c r="HM362" s="535"/>
      <c r="HN362" s="541"/>
      <c r="HO362" s="541"/>
      <c r="HP362" s="541"/>
      <c r="HQ362" s="541">
        <f>IF(AND(B362&gt;=$FV$4,B362&lt;=$FW$4),MAX(110/1.02+$HQ$6+MIN(113/1.02,G362),IF($HV$6-(Sheet1!DA360-Sheet1!DB360)+MIN(113/1.02,G362)&lt;G362+FL362,$HV$6-(Sheet1!DA360-Sheet1!DB360)+MIN(113/1.02,G362),G362+FL362)),MIN(110/1.02+$HQ$6+113/1.02,G362))</f>
        <v>218.62745098039215</v>
      </c>
      <c r="HR362" s="541">
        <f t="shared" si="833"/>
        <v>223</v>
      </c>
      <c r="HS362" s="541">
        <f>HR362+(Sheet1!DA360-Sheet1!DB360)</f>
        <v>665</v>
      </c>
      <c r="HT362" s="541">
        <f t="shared" si="834"/>
        <v>0</v>
      </c>
      <c r="HU362" s="541">
        <f t="shared" si="835"/>
        <v>665</v>
      </c>
      <c r="HV362" s="541">
        <f t="shared" si="836"/>
        <v>0</v>
      </c>
      <c r="HW362" s="533" t="str">
        <f t="shared" si="837"/>
        <v/>
      </c>
      <c r="HX362" s="541">
        <f t="shared" si="838"/>
        <v>358.37254901960785</v>
      </c>
      <c r="HY362" s="541">
        <f>Sheet1!CZ360</f>
        <v>577</v>
      </c>
      <c r="HZ362" s="541">
        <f t="shared" si="839"/>
        <v>0</v>
      </c>
      <c r="IA362" s="541">
        <f t="shared" si="840"/>
        <v>0</v>
      </c>
      <c r="IB362" s="541">
        <f t="shared" si="841"/>
        <v>577</v>
      </c>
      <c r="IC362" s="1019" t="str">
        <f t="shared" si="842"/>
        <v/>
      </c>
      <c r="ID362" s="541">
        <f t="shared" si="843"/>
        <v>577</v>
      </c>
      <c r="IE362" s="541">
        <f>Sheet1!DB360</f>
        <v>545</v>
      </c>
      <c r="IF362" s="533">
        <f>Sheet1!DA360</f>
        <v>987</v>
      </c>
      <c r="IH362" s="541">
        <f>IF(AND($B362&gt;=$GC362,$B362&lt;=$GH362,$DR362&lt;0)+N("only adjusted when pool is drawn down during storage season"),Sheet1!$DB360+$DR362+N("Palmer minus all storage release"),Sheet1!$DB360)</f>
        <v>545</v>
      </c>
      <c r="II362" s="541">
        <f>IF(AND($B362&gt;=$GC362,$B362&lt;=$GH362,$DR362&lt;0)+N("only adjusted when pool is drawn down during storage season"),Sheet1!$DA360+$DR362+N("Auburn minus all storage release"),Sheet1!$DA360)</f>
        <v>987</v>
      </c>
    </row>
    <row r="363" spans="1:243" x14ac:dyDescent="0.25">
      <c r="A363" s="553" t="s">
        <v>4</v>
      </c>
      <c r="B363" s="531">
        <v>43087</v>
      </c>
      <c r="C363" s="536">
        <v>0</v>
      </c>
      <c r="D363" s="506">
        <f t="shared" si="787"/>
        <v>300</v>
      </c>
      <c r="E363" s="506">
        <f t="shared" si="788"/>
        <v>250</v>
      </c>
      <c r="F363" s="506">
        <v>250</v>
      </c>
      <c r="G363" s="535">
        <f>DR363+Sheet1!CZ361</f>
        <v>3458.8905698463345</v>
      </c>
      <c r="H363" s="1074">
        <f t="shared" si="844"/>
        <v>1429.6668614399998</v>
      </c>
      <c r="I363" s="534">
        <f>IF(Sheet1!DA361&gt;=E363,(Sheet1!DA361-E363+P363)*CFStoMGD,0)</f>
        <v>1565.4108614399997</v>
      </c>
      <c r="J363" s="995">
        <f>IF(Sheet1!DB361&gt;=D363,(Sheet1!DB361-D363+P363)*CFStoMGD,0)</f>
        <v>1429.6668614399998</v>
      </c>
      <c r="K363" s="818">
        <f t="shared" si="819"/>
        <v>64.64</v>
      </c>
      <c r="L363" s="535">
        <f>Sheet1!AA361+Sheet1!AB361-Sheet1!L361+(Sheet1!DA361-F363)*CFStoMGD-S363-T363-U363</f>
        <v>1497.0120000000013</v>
      </c>
      <c r="M363" s="535">
        <f t="shared" ref="M363:M381" si="850">1.02*CFStoMGD*G363</f>
        <v>2280.5434016356439</v>
      </c>
      <c r="N363" s="824">
        <f>IF(Sheet1!DA361&gt;=F363,MIN(113*CFStoMGD,MIN(MAX(L363,0),MAX(M363,0))),0)</f>
        <v>73.043199999999999</v>
      </c>
      <c r="O363" s="538">
        <f>Sheet1!AA361+Sheet1!AB361</f>
        <v>59.3</v>
      </c>
      <c r="P363" s="538">
        <f t="shared" ref="P363:P381" si="851">AE363+AF363</f>
        <v>91.737099999999998</v>
      </c>
      <c r="Q363" s="812">
        <f t="shared" si="820"/>
        <v>0</v>
      </c>
      <c r="R363" s="812">
        <f t="shared" si="789"/>
        <v>10.493041461293128</v>
      </c>
      <c r="S363" s="812">
        <f t="shared" si="790"/>
        <v>59.3</v>
      </c>
      <c r="T363" s="812">
        <f t="shared" si="791"/>
        <v>0</v>
      </c>
      <c r="U363" s="812">
        <f>IF(AND(B363&gt;=FV363,B363&lt;=FW363),ED363+Sheet1!EH361,0)</f>
        <v>0</v>
      </c>
      <c r="V363" s="812"/>
      <c r="W363" s="812">
        <f t="shared" si="792"/>
        <v>54.146958538706869</v>
      </c>
      <c r="X363" s="812">
        <f t="shared" si="793"/>
        <v>59.3</v>
      </c>
      <c r="Y363" s="812" t="str">
        <f t="shared" si="794"/>
        <v/>
      </c>
      <c r="Z363" s="812">
        <f t="shared" si="795"/>
        <v>59.3</v>
      </c>
      <c r="AA363" s="812">
        <f t="shared" si="796"/>
        <v>59.3</v>
      </c>
      <c r="AB363" s="1059">
        <f t="shared" si="821"/>
        <v>0</v>
      </c>
      <c r="AC363" s="538">
        <f>Sheet1!Y361*MGDtoCFS</f>
        <v>37.592100000000002</v>
      </c>
      <c r="AD363" s="538">
        <f>Sheet1!Z361*MGDtoCFS</f>
        <v>55.537299999999995</v>
      </c>
      <c r="AE363" s="538">
        <f>Sheet1!AA361*MGDtoCFS</f>
        <v>38.365600000000001</v>
      </c>
      <c r="AF363" s="538">
        <f>Sheet1!AB361*MGDtoCFS</f>
        <v>53.371499999999997</v>
      </c>
      <c r="AG363" s="538">
        <f>Sheet1!L361*MGDtoCFS</f>
        <v>14.077699999997748</v>
      </c>
      <c r="AH363" s="521">
        <f t="shared" ref="AH363:AH381" si="852">AU363+BN363+CI363+DB363</f>
        <v>0</v>
      </c>
      <c r="AI363" s="1059">
        <f t="shared" ref="AI363:AI381" si="853">AH363*MGDtoCFS</f>
        <v>0</v>
      </c>
      <c r="AJ363" s="535">
        <f t="shared" ref="AJ363:AJ381" si="854">IF(B363&gt;=GC363,IF(B363&lt;=GD363,K363-EB363,0),0)</f>
        <v>0</v>
      </c>
      <c r="AK363" s="535">
        <f t="shared" ref="AK363:AK381" si="855">AJ363*MGDtoCFS</f>
        <v>0</v>
      </c>
      <c r="AL363" s="535">
        <f>(VLOOKUP(Sheet1!DC361,hhdcap_wcm,4)-(((VLOOKUP(Sheet1!DC361,hhdcap_wcm,3)-Sheet1!DC361)/(VLOOKUP(Sheet1!DC361,hhdcap_wcm,3)-VLOOKUP(Sheet1!DC361,hhdcap_wcm,1)))*(VLOOKUP(Sheet1!DC361,hhdcap_wcm,4)-VLOOKUP(Sheet1!DC361,hhdcap_wcm,2))))</f>
        <v>3895.1000000089425</v>
      </c>
      <c r="AM363" s="535">
        <f t="shared" ref="AM363:AM381" si="856">AL363-AL362</f>
        <v>2575.7000000052817</v>
      </c>
      <c r="AN363" s="1035">
        <f t="shared" ref="AN363:AN381" si="857">(IF(AND(B363&gt;=GC363,B363&lt;GF363),MIN(BB363+BU363+CP363+DI363,GE363),IF(B363=GF363,GG363,IF(AND(B363&gt;GF363,B363&lt;GH363),BB363+BU363+CP363+DI363,IF(B363&gt;=GH363,0,0)))))</f>
        <v>0</v>
      </c>
      <c r="AO363" s="535">
        <f t="shared" ref="AO363:AO381" si="858">AN363*MGtoAF</f>
        <v>0</v>
      </c>
      <c r="AP363" s="535">
        <f>Sheet1!BA361+Sheet1!BB361+Sheet1!BN361+CD363</f>
        <v>24</v>
      </c>
      <c r="AQ363" s="535">
        <f>Sheet1!BN361+(DO363*Sheet1!BN361)</f>
        <v>24.006958538706868</v>
      </c>
      <c r="AR363" s="535">
        <f>Sheet1!BA361+CD363</f>
        <v>0</v>
      </c>
      <c r="AS363" s="535">
        <f>Sheet1!BA361+Sheet1!BB361+CD363</f>
        <v>0</v>
      </c>
      <c r="AT363" s="649">
        <f>0</f>
        <v>0</v>
      </c>
      <c r="AU363" s="974">
        <f>BA363+MAX(Sheet1!EH361,(O363-Q363-ED363-S363))</f>
        <v>0</v>
      </c>
      <c r="AV363" s="535">
        <f>IF(OR(B363&gt;=GD363,B363&lt;GC363),0,15/36*K363-MAX(0,64.6-(137.6-(Sheet1!AA361+Sheet1!AB361))))</f>
        <v>0</v>
      </c>
      <c r="AW363" s="1029"/>
      <c r="AX363" s="649"/>
      <c r="AY363" s="649">
        <f t="shared" si="822"/>
        <v>23.311716569431731</v>
      </c>
      <c r="AZ363" s="649">
        <f t="shared" si="823"/>
        <v>0</v>
      </c>
      <c r="BA363" s="1059">
        <f t="shared" si="824"/>
        <v>0</v>
      </c>
      <c r="BB363" s="1019">
        <f t="shared" ref="BB363:BB381" si="859">GO363+GQ363</f>
        <v>0</v>
      </c>
      <c r="BC363" s="1041">
        <f t="shared" si="825"/>
        <v>26.933333333333334</v>
      </c>
      <c r="BD363" s="1019">
        <f ca="1">IF(B363&gt;(Summary!$A$1-1),#N/A,BB363*MGtoAF)</f>
        <v>0</v>
      </c>
      <c r="BE363" s="535">
        <f>Sheet1!BG361+Sheet1!BH361+Sheet1!BI361-BM363</f>
        <v>1.01</v>
      </c>
      <c r="BF363" s="535">
        <f t="shared" ref="BF363:BF381" si="860">BE363+(DO363*BE363)</f>
        <v>1.010292838503914</v>
      </c>
      <c r="BG363" s="535">
        <f>IF(Sheet1!EP361="FM",BM363,0)</f>
        <v>0</v>
      </c>
      <c r="BH363" s="535">
        <f t="shared" ref="BH363:BH381" si="861">BG363+(DO363*BG363)</f>
        <v>0</v>
      </c>
      <c r="BI363" s="535">
        <f>IF(Sheet1!EP361="OTHER",BM363,0)</f>
        <v>0</v>
      </c>
      <c r="BJ363" s="535">
        <f t="shared" ref="BJ363:BJ381" si="862">BI363+(DO363*BI363)</f>
        <v>0</v>
      </c>
      <c r="BK363" s="535">
        <f t="shared" ref="BK363:BK381" si="863">MAX(BE363,BG363,BI363)</f>
        <v>1.01</v>
      </c>
      <c r="BL363" s="535">
        <f t="shared" ref="BL363:BL381" si="864">MAX(BF363,BH363,BJ363)</f>
        <v>1.010292838503914</v>
      </c>
      <c r="BM363" s="535">
        <f>IF(OR(Sheet1!EP361="FM", Sheet1!EP361="OTHER"),SUM(Sheet1!BG361:'Sheet1'!BI361),0)</f>
        <v>0</v>
      </c>
      <c r="BN363" s="521">
        <f>IF(AND($B363&gt;=$FV363,$B363&lt;=$FW363),MAX(BF363,Sheet1!EI361,0),MAX(BF363-(7/36)*$K363,0))</f>
        <v>0</v>
      </c>
      <c r="BO363" s="535">
        <f t="shared" ref="BO363:BO381" si="865">IF(B363&gt;=GC363,IF(B363&lt;=GD363,(7/36)*K363-BF363,0),0)</f>
        <v>0</v>
      </c>
      <c r="BP363" s="521">
        <f t="shared" ref="BP363:BP381" si="866">MAX(BL363-BN363,0)</f>
        <v>1.010292838503914</v>
      </c>
      <c r="BQ363" s="521">
        <f>IF(AND($O363&gt;0,Sheet1!EM361=1),(1-($O363-Sheet1!$L361)/$O363)*BL363,0)</f>
        <v>0</v>
      </c>
      <c r="BR363" s="521">
        <f>IF(AND(Sheet1!$L361=0,Sheet1!$L360=0, Calculation!BK363&lt;Sheet1!$EI361-0.1,Sheet1!$EI361=Sheet1!$EI360,Sheet1!$EI361=Sheet1!$EI362),BL363-BQ363,BL363-BQ363)</f>
        <v>1.010292838503914</v>
      </c>
      <c r="BS363" s="1035" t="str">
        <f t="shared" si="826"/>
        <v/>
      </c>
      <c r="BT363" s="1035">
        <f t="shared" si="827"/>
        <v>12.568888888888889</v>
      </c>
      <c r="BU363" s="535">
        <f t="shared" ref="BU363:BU381" si="867">GV363+GX363</f>
        <v>0</v>
      </c>
      <c r="BV363" s="535"/>
      <c r="BW363" s="535">
        <f ca="1">IF(B363&gt;(Summary!$A$1-1),#N/A,BU363*MGtoAF)</f>
        <v>0</v>
      </c>
      <c r="BX363" s="535">
        <f>Sheet1!BC361+Sheet1!BD361+Sheet1!BE361+Sheet1!BF361-CG363-CH363</f>
        <v>3</v>
      </c>
      <c r="BY363" s="535">
        <f t="shared" ref="BY363:BY381" si="868">BX363+(DO363*BX363)</f>
        <v>3.0008698173383586</v>
      </c>
      <c r="BZ363" s="535">
        <f>IF(Sheet1!EQ361="FM",CH363,0)</f>
        <v>0</v>
      </c>
      <c r="CA363" s="535">
        <f t="shared" ref="CA363:CA381" si="869">BZ363+(DO363*BZ363)</f>
        <v>0</v>
      </c>
      <c r="CB363" s="535">
        <f>IF(Sheet1!EQ361="OTHER",CH363,0)</f>
        <v>0</v>
      </c>
      <c r="CC363" s="535">
        <f t="shared" ref="CC363:CC381" si="870">CB363+(DO363*CB363)</f>
        <v>0</v>
      </c>
      <c r="CD363" s="535">
        <f t="shared" ref="CD363:CD381" si="871">CG363</f>
        <v>0</v>
      </c>
      <c r="CE363" s="535">
        <f t="shared" ref="CE363:CE381" si="872">MAX(BX363,BZ363,CB363)</f>
        <v>3</v>
      </c>
      <c r="CF363" s="535">
        <f t="shared" ref="CF363:CF381" si="873">MAX(BY363,CA363, CC363)</f>
        <v>3.0008698173383586</v>
      </c>
      <c r="CG363" s="535">
        <f>IF(Sheet1!EQ361="CWA",SUM(Sheet1!BC361:'Sheet1'!BF361),0)</f>
        <v>0</v>
      </c>
      <c r="CH363" s="535">
        <f>IF(OR(Sheet1!EQ361="FM", Sheet1!EQ361="OTHER"),SUM(Sheet1!BC361:'Sheet1'!BF361),0)</f>
        <v>0</v>
      </c>
      <c r="CI363" s="521">
        <f>IF(AND($B363&gt;=$FV363,$B363&lt;=$FW363),MAX(CF363,Sheet1!EJ361,0),MAX(CF363-(7/36)*$K363,0))</f>
        <v>0</v>
      </c>
      <c r="CJ363" s="535">
        <f t="shared" ref="CJ363:CJ381" si="874">IF(B363&gt;=GC363,IF(B363&lt;=GD363,(7/36)*K363-BY363,0),0)</f>
        <v>0</v>
      </c>
      <c r="CK363" s="521">
        <f t="shared" ref="CK363:CK381" si="875">MAX(CF363-CI363,0)</f>
        <v>3.0008698173383586</v>
      </c>
      <c r="CL363" s="521">
        <f>IF(AND($O363&gt;0,Sheet1!EN361=1),(1-($O363-Sheet1!$L361)/$O363)*CF363,0)</f>
        <v>0</v>
      </c>
      <c r="CM363" s="521">
        <f>IF(AND(Sheet1!$L361=0,Sheet1!$L360=0, Calculation!CE363&lt;Sheet1!EJ361-0.1,Sheet1!EJ361=Sheet1!EJ360,Sheet1!EJ361=Sheet1!EJ362),CF363-CL363,CF363-CL363)</f>
        <v>3.0008698173383586</v>
      </c>
      <c r="CN363" s="1040" t="str">
        <f t="shared" si="828"/>
        <v/>
      </c>
      <c r="CO363" s="1035">
        <f t="shared" si="829"/>
        <v>12.568888888888889</v>
      </c>
      <c r="CP363" s="535">
        <f t="shared" ref="CP363:CP381" si="876">HC363+HE363</f>
        <v>0</v>
      </c>
      <c r="CQ363" s="535"/>
      <c r="CR363" s="535">
        <f ca="1">IF(B363&gt;(Summary!$A$1-1),#N/A,CP363*MGtoAF)</f>
        <v>0</v>
      </c>
      <c r="CS363" s="535">
        <f>Sheet1!BK361+Sheet1!BL361+Sheet1!BM361-Sheet1!ER361-DA363</f>
        <v>6.48</v>
      </c>
      <c r="CT363" s="535">
        <f t="shared" ref="CT363:CT381" si="877">CS363+(DO363*CS363)</f>
        <v>6.4818788054508554</v>
      </c>
      <c r="CU363" s="535">
        <f>IF(Sheet1!ER361="FM",DA363,0)</f>
        <v>0</v>
      </c>
      <c r="CV363" s="535">
        <f t="shared" ref="CV363:CV381" si="878">CU363+(DO363*CU363)</f>
        <v>0</v>
      </c>
      <c r="CW363" s="535">
        <f>IF(Sheet1!ER361="OTHER",DA363,0)</f>
        <v>0</v>
      </c>
      <c r="CX363" s="535">
        <f t="shared" ref="CX363:CX381" si="879">CW363+(DO363*CW363)</f>
        <v>0</v>
      </c>
      <c r="CY363" s="535">
        <f t="shared" ref="CY363:CY381" si="880">MAX(CS363,CU363)</f>
        <v>6.48</v>
      </c>
      <c r="CZ363" s="535">
        <f t="shared" ref="CZ363:CZ381" si="881">MAX(CT363,CV363)</f>
        <v>6.4818788054508554</v>
      </c>
      <c r="DA363" s="535">
        <f>IF(OR(Sheet1!ER361="FM", Sheet1!ER361="OTHER"),SUM(Sheet1!BK361:'Sheet1'!BM361),0)</f>
        <v>0</v>
      </c>
      <c r="DB363" s="1011">
        <f>IF(AND($B363&gt;=$FV363,$B363&lt;=$FW363),MAX($CT363,Sheet1!EK361,0),MAX($CT363-(7/36)*$K363,0))</f>
        <v>0</v>
      </c>
      <c r="DC363" s="1012">
        <f t="shared" ref="DC363:DC381" si="882">IF(B363&gt;=GC363,IF(B363&lt;=GD363,(7/36)*K363-CT363,0),0)</f>
        <v>0</v>
      </c>
      <c r="DD363" s="1011">
        <f t="shared" ref="DD363:DD381" si="883">MAX(CZ363-DB363,0)</f>
        <v>6.4818788054508554</v>
      </c>
      <c r="DE363" s="521">
        <f>IF(AND($O363&gt;0,Sheet1!EO361=1),(1-($O363-Sheet1!$L361)/$O363)*CZ363,0)</f>
        <v>0</v>
      </c>
      <c r="DF363" s="521">
        <f>IF(AND(Sheet1!$L361=0,Sheet1!$L360=0, Calculation!CY363&lt;Sheet1!$EK361-0.1,Sheet1!$EK361=Sheet1!$EK360,Sheet1!$EK361=Sheet1!$EK362),CZ363-DE363,CZ363-DE363)</f>
        <v>6.4818788054508554</v>
      </c>
      <c r="DG363" s="1040">
        <f t="shared" si="830"/>
        <v>12.568888888888889</v>
      </c>
      <c r="DH363" s="649">
        <f t="shared" ref="DH363:DH381" si="884">BK363+CE363+CY363</f>
        <v>10.49</v>
      </c>
      <c r="DI363" s="535">
        <f t="shared" ref="DI363:DI381" si="885">HJ363+HL363</f>
        <v>0</v>
      </c>
      <c r="DJ363" s="649">
        <f t="shared" ref="DJ363:DJ381" si="886">BL363+CF363+CZ363</f>
        <v>10.493041461293128</v>
      </c>
      <c r="DK363" s="535">
        <f ca="1">IF(B363&gt;(Summary!$A$1-1),#N/A,DI363*MGtoAF)</f>
        <v>0</v>
      </c>
      <c r="DL363" s="649">
        <f t="shared" ref="DL363:DL381" si="887">CY363+CE363+BK363</f>
        <v>10.49</v>
      </c>
      <c r="DM363" s="535">
        <f t="shared" ref="DM363:DM381" si="888">DL363+AP363</f>
        <v>34.49</v>
      </c>
      <c r="DN363" s="535">
        <f>Sheet1!AB361-DM363</f>
        <v>9.9999999999980105E-3</v>
      </c>
      <c r="DO363" s="743">
        <f t="shared" ref="DO363:DO381" si="889">IF(DM363=0,0,DN363/DM363)</f>
        <v>2.8993911278625718E-4</v>
      </c>
      <c r="DP363" s="535">
        <f>(VLOOKUP(Sheet1!DC361,hhdcap_wcm,4)-(((VLOOKUP(Sheet1!DC361,hhdcap_wcm,3)-Sheet1!DC361)/(VLOOKUP(Sheet1!DC361,hhdcap_wcm,3)-VLOOKUP(Sheet1!DC361,hhdcap_wcm,1)))*(VLOOKUP(Sheet1!DC361,hhdcap_wcm,4)-VLOOKUP(Sheet1!DC361,hhdcap_wcm,2))))</f>
        <v>3895.1000000089425</v>
      </c>
      <c r="DQ363" s="535">
        <f t="shared" ref="DQ363:DQ381" si="890">DP363-DP362</f>
        <v>2575.7000000052817</v>
      </c>
      <c r="DR363" s="535">
        <f t="shared" ref="DR363:DR381" si="891">DQ363*AFtoCFS</f>
        <v>1298.8905698463345</v>
      </c>
      <c r="DS363" s="535">
        <f>Sheet1!EA361*AFtoMG</f>
        <v>0</v>
      </c>
      <c r="DT363" s="535">
        <f>Sheet1!EB361*AFtoMG</f>
        <v>0</v>
      </c>
      <c r="DU363" s="535">
        <f>Sheet1!EC361*AFtoMG</f>
        <v>0</v>
      </c>
      <c r="DV363" s="535">
        <f>Sheet1!ED361*AFtoMG</f>
        <v>0</v>
      </c>
      <c r="DW363" s="535">
        <f t="shared" ref="DW363:DW381" si="892">SUM(DS363:DV363)</f>
        <v>0</v>
      </c>
      <c r="DX363" s="535">
        <f t="shared" ref="DX363:DX381" si="893">DW363*MGtoAF</f>
        <v>0</v>
      </c>
      <c r="DY363" s="535">
        <f t="shared" ref="DY363:DY381" si="894">AN363</f>
        <v>0</v>
      </c>
      <c r="DZ363" s="535">
        <f t="shared" ref="DZ363:DZ381" si="895">DY363*MGtoAF</f>
        <v>0</v>
      </c>
      <c r="EA363" s="535"/>
      <c r="EB363" s="521">
        <f>IF(OR(B363&lt;FV363,B363&gt;FW363),(MIN(BF363+BY363+CT363+MAX(Sheet1!AA361+AQ363-73,0),K363)),0)</f>
        <v>10.493041461293128</v>
      </c>
      <c r="EC363" s="535"/>
      <c r="ED363" s="535">
        <f t="shared" ref="ED363:ED381" si="896">CT363+BF363+BY363</f>
        <v>10.493041461293128</v>
      </c>
      <c r="EE363" s="535"/>
      <c r="EF363" s="535">
        <f>Sheet1!EH361+Sheet1!EI361+Sheet1!EJ361+Sheet1!EK361</f>
        <v>10.5</v>
      </c>
      <c r="EG363" s="1019">
        <f t="shared" si="831"/>
        <v>16.243500000000001</v>
      </c>
      <c r="EH363" s="521">
        <f t="shared" ref="EH363:EH381" si="897">EB363-BP363-CK363-DD363</f>
        <v>0</v>
      </c>
      <c r="EI363" s="535">
        <f>IF(Sheet1!ET361=1,SUM('Calculations II'!AT363:BA363)+'Calculations II'!BC363+Sheet1!BV361+'Calculations II'!BE363+AP363,'Calculations II'!BK363)</f>
        <v>45.999930538706863</v>
      </c>
      <c r="EJ363" s="535">
        <f ca="1">EI363+'Calculations II'!D363+'Calculations II'!E363+'Calculations II'!O363</f>
        <v>48.40834455435629</v>
      </c>
      <c r="EK363" s="535"/>
      <c r="EL363" s="535"/>
      <c r="EM363" s="535">
        <f t="shared" ref="EM363:EM381" si="898">B363</f>
        <v>43087</v>
      </c>
      <c r="EN363" s="535">
        <f t="shared" ref="EN363:EN381" si="899">AJ363-AH363</f>
        <v>0</v>
      </c>
      <c r="EO363" s="535">
        <f t="shared" ref="EO363:EO381" si="900">AK363-AI363</f>
        <v>0</v>
      </c>
      <c r="EP363" s="535">
        <v>0</v>
      </c>
      <c r="EQ363" s="535">
        <v>0</v>
      </c>
      <c r="ER363" s="535">
        <v>0</v>
      </c>
      <c r="ES363" s="521">
        <f t="shared" si="797"/>
        <v>-2.0763681909795739</v>
      </c>
      <c r="ET363" s="535">
        <f>-(VLOOKUP(Sheet1!BQ361,Lookup!$O$4:$Q$262,2)-VLOOKUP(Sheet1!BQ360,Lookup!$O$4:$Q$262,2))/1000000</f>
        <v>-0.9687206746666841</v>
      </c>
      <c r="EU363" s="535">
        <f>-(VLOOKUP(Sheet1!BR361,Lookup!$O$4:$Q$262,3)-VLOOKUP(Sheet1!BR360,Lookup!$O$4:$Q$262,3))/1000000</f>
        <v>-1.1076475163128898</v>
      </c>
      <c r="EV363" s="535"/>
      <c r="EW363" s="535"/>
      <c r="EX363" s="535"/>
      <c r="EY363" s="535"/>
      <c r="EZ363" s="535"/>
      <c r="FA363" s="535"/>
      <c r="FB363" s="535"/>
      <c r="FC363" s="535"/>
      <c r="FD363" s="567" t="e">
        <f t="shared" si="847"/>
        <v>#N/A</v>
      </c>
      <c r="FE363" s="567" t="e">
        <f t="shared" ref="FE363:FE381" si="901">MAX((FE362-FI363*1.983),0)</f>
        <v>#N/A</v>
      </c>
      <c r="FF363" s="568" t="e">
        <f t="shared" ref="FF363:FF381" si="902">IF(DP363-AO363-FE363-1220&lt;0,0,DP363-AO363-FE363-1220)</f>
        <v>#N/A</v>
      </c>
      <c r="FG363" s="569" t="s">
        <v>656</v>
      </c>
      <c r="FH363" s="569" t="s">
        <v>656</v>
      </c>
      <c r="FI363" s="567" t="e">
        <v>#N/A</v>
      </c>
      <c r="FJ363" s="567" t="e">
        <v>#N/A</v>
      </c>
      <c r="FK363" s="535"/>
      <c r="FL363" s="1015" t="e">
        <f t="shared" si="846"/>
        <v>#N/A</v>
      </c>
      <c r="FM363" s="535"/>
      <c r="FN363" s="535"/>
      <c r="FO363" s="535">
        <f>O363+((Sheet1!CS361)*GPMtoMGD)</f>
        <v>59.3</v>
      </c>
      <c r="FP363" s="535">
        <f>IF(Sheet1!AA361+AQ363&lt;=Calculation!N363,AQ363,Calculation!N363-Sheet1!AA361)</f>
        <v>24.006958538706868</v>
      </c>
      <c r="FQ363" s="535">
        <f>(Sheet1!BP361+Sheet1!BO361)/694.4</f>
        <v>1.5489631336405529</v>
      </c>
      <c r="FR363" s="541"/>
      <c r="FS363" s="541"/>
      <c r="FT363" s="541"/>
      <c r="FU363" s="541"/>
      <c r="FV363" s="1109">
        <f t="shared" si="798"/>
        <v>42918</v>
      </c>
      <c r="FW363" s="1109">
        <f t="shared" si="799"/>
        <v>43027</v>
      </c>
      <c r="FX363" s="541"/>
      <c r="FY363" s="541">
        <f>Sheet1!DA361-Sheet1!CZ361-Sheet1!AE361</f>
        <v>342.34059999999772</v>
      </c>
      <c r="FZ363" s="535">
        <f t="shared" si="832"/>
        <v>9.8974105450004637E-2</v>
      </c>
      <c r="GA363" s="535"/>
      <c r="GB363" s="535" t="str">
        <f t="shared" si="800"/>
        <v>n</v>
      </c>
      <c r="GC363" s="539">
        <f t="shared" si="801"/>
        <v>42782</v>
      </c>
      <c r="GD363" s="1109">
        <f t="shared" si="802"/>
        <v>42904</v>
      </c>
      <c r="GE363" s="535">
        <f t="shared" si="818"/>
        <v>6520</v>
      </c>
      <c r="GF363" s="1109">
        <f t="shared" si="803"/>
        <v>42909</v>
      </c>
      <c r="GG363" s="535">
        <f t="shared" si="845"/>
        <v>3260</v>
      </c>
      <c r="GH363" s="539">
        <f t="shared" si="804"/>
        <v>43040</v>
      </c>
      <c r="GJ363" s="521">
        <f t="shared" si="805"/>
        <v>0</v>
      </c>
      <c r="GK363" s="535" t="str">
        <f t="shared" ref="GK363:GK381" si="903">CONCATENATE(GM363,HA363,GT363,HH363)</f>
        <v/>
      </c>
      <c r="GL363" s="535">
        <f t="shared" si="806"/>
        <v>0</v>
      </c>
      <c r="GM363" s="535" t="str">
        <f t="shared" si="807"/>
        <v/>
      </c>
      <c r="GN363" s="535">
        <f>IF(GK363="P",Lookup!$M$12,IF(GK363="PP",Lookup!$M$13,IF(GK363="PPP",Lookup!$M$14,IF(GK363="T",Lookup!$M$15,IF(GK363="TP",Lookup!$M$16,IF(GK363="TPP",Lookup!$M$17,IF(GK363="TPPP",Lookup!$M$18,0)))))))*GJ363</f>
        <v>0</v>
      </c>
      <c r="GO363" s="535">
        <f t="shared" si="808"/>
        <v>0</v>
      </c>
      <c r="GP363" s="535">
        <f t="shared" ref="GP363:GP381" si="904">GQ363*MGtoAF</f>
        <v>0</v>
      </c>
      <c r="GQ363" s="974">
        <f t="shared" si="848"/>
        <v>0</v>
      </c>
      <c r="GR363" s="535"/>
      <c r="GS363" s="535">
        <f t="shared" si="809"/>
        <v>0</v>
      </c>
      <c r="GT363" s="535" t="str">
        <f t="shared" si="810"/>
        <v/>
      </c>
      <c r="GU363" s="535">
        <f>IF(GK363="P",Lookup!$N$12,IF(GK363="PP",Lookup!$N$13,IF(GK363="PPP",Lookup!$N$14,IF(GK363="T",Lookup!$N$15,IF(GK363="TP",Lookup!$N$16,IF(GK363="TPP",Lookup!$N$17,IF(GK363="TPPP",Lookup!$N$18,0)))))))*GJ363</f>
        <v>0</v>
      </c>
      <c r="GV363" s="535">
        <f t="shared" si="811"/>
        <v>0</v>
      </c>
      <c r="GW363" s="535">
        <f t="shared" ref="GW363:GW381" si="905">GX363*MGtoAF</f>
        <v>0</v>
      </c>
      <c r="GX363" s="974">
        <f t="shared" si="849"/>
        <v>0</v>
      </c>
      <c r="GY363" s="535"/>
      <c r="GZ363" s="535">
        <f t="shared" si="812"/>
        <v>0</v>
      </c>
      <c r="HA363" s="535" t="str">
        <f t="shared" si="813"/>
        <v/>
      </c>
      <c r="HB363" s="535">
        <f>IF(GK363="P",Lookup!$N$12,IF(GK363="PP",Lookup!$N$13,IF(GK363="PPP",Lookup!$N$14,IF(GK363="T",Lookup!$N$15,IF(GK363="TP",Lookup!$N$16,IF(GK363="TPP",Lookup!$N$17,IF(GK363="TPPP",Lookup!$N$18,0)))))))*GJ363</f>
        <v>0</v>
      </c>
      <c r="HC363" s="521">
        <f t="shared" ref="HC363:HC381" si="906">IF(HA363="P",MIN(HB363,7/36*GE363-HE363),0)</f>
        <v>0</v>
      </c>
      <c r="HD363" s="535">
        <f t="shared" ref="HD363:HD381" si="907">HE363*MGtoAF</f>
        <v>0</v>
      </c>
      <c r="HE363" s="535">
        <f t="shared" si="816"/>
        <v>0</v>
      </c>
      <c r="HF363" s="535"/>
      <c r="HG363" s="535">
        <f t="shared" si="814"/>
        <v>0</v>
      </c>
      <c r="HH363" s="535" t="str">
        <f t="shared" si="815"/>
        <v/>
      </c>
      <c r="HI363" s="535">
        <f>IF(GK363="P",Lookup!$N$12,IF(GK363="PP",Lookup!$N$13,IF(GK363="PPP",Lookup!$N$14,IF(GK363="T",Lookup!$N$15,IF(GK363="TP",Lookup!$N$16,IF(GK363="TPP",Lookup!$N$17,IF(GK363="TPPP",Lookup!$N$18,0)))))))*GJ363</f>
        <v>0</v>
      </c>
      <c r="HJ363" s="521">
        <f t="shared" ref="HJ363:HJ381" si="908">IF(HH363="P",MIN(HI363,7/36*GE363-HL363),0)</f>
        <v>0</v>
      </c>
      <c r="HK363" s="535">
        <f t="shared" ref="HK363:HK381" si="909">HL363*MGtoAF</f>
        <v>0</v>
      </c>
      <c r="HL363" s="535">
        <f t="shared" si="817"/>
        <v>0</v>
      </c>
      <c r="HM363" s="535"/>
      <c r="HN363" s="541"/>
      <c r="HO363" s="541"/>
      <c r="HP363" s="541"/>
      <c r="HQ363" s="541">
        <f>IF(AND(B363&gt;=$FV$4,B363&lt;=$FW$4),MAX(110/1.02+$HQ$6+MIN(113/1.02,G363),IF($HV$6-(Sheet1!DA361-Sheet1!DB361)+MIN(113/1.02,G363)&lt;G363+FL363,$HV$6-(Sheet1!DA361-Sheet1!DB361)+MIN(113/1.02,G363),G363+FL363)),MIN(110/1.02+$HQ$6+113/1.02,G363))</f>
        <v>218.62745098039215</v>
      </c>
      <c r="HR363" s="541">
        <f t="shared" si="833"/>
        <v>223</v>
      </c>
      <c r="HS363" s="541">
        <f>HR363+(Sheet1!DA361-Sheet1!DB361)</f>
        <v>383</v>
      </c>
      <c r="HT363" s="541">
        <f t="shared" si="834"/>
        <v>0</v>
      </c>
      <c r="HU363" s="541">
        <f t="shared" si="835"/>
        <v>383</v>
      </c>
      <c r="HV363" s="541">
        <f t="shared" si="836"/>
        <v>0</v>
      </c>
      <c r="HW363" s="533" t="str">
        <f t="shared" si="837"/>
        <v/>
      </c>
      <c r="HX363" s="541">
        <f t="shared" si="838"/>
        <v>1941.372549019608</v>
      </c>
      <c r="HY363" s="541">
        <f>Sheet1!CZ361</f>
        <v>2160</v>
      </c>
      <c r="HZ363" s="541">
        <f t="shared" si="839"/>
        <v>0</v>
      </c>
      <c r="IA363" s="541">
        <f t="shared" si="840"/>
        <v>0</v>
      </c>
      <c r="IB363" s="541">
        <f t="shared" si="841"/>
        <v>2160</v>
      </c>
      <c r="IC363" s="1019" t="str">
        <f t="shared" si="842"/>
        <v/>
      </c>
      <c r="ID363" s="541">
        <f t="shared" si="843"/>
        <v>2160</v>
      </c>
      <c r="IE363" s="541">
        <f>Sheet1!DB361</f>
        <v>2420</v>
      </c>
      <c r="IF363" s="533">
        <f>Sheet1!DA361</f>
        <v>2580</v>
      </c>
      <c r="IH363" s="541">
        <f>IF(AND($B363&gt;=$GC363,$B363&lt;=$GH363,$DR363&lt;0)+N("only adjusted when pool is drawn down during storage season"),Sheet1!$DB361+$DR363+N("Palmer minus all storage release"),Sheet1!$DB361)</f>
        <v>2420</v>
      </c>
      <c r="II363" s="541">
        <f>IF(AND($B363&gt;=$GC363,$B363&lt;=$GH363,$DR363&lt;0)+N("only adjusted when pool is drawn down during storage season"),Sheet1!$DA361+$DR363+N("Auburn minus all storage release"),Sheet1!$DA361)</f>
        <v>2580</v>
      </c>
    </row>
    <row r="364" spans="1:243" x14ac:dyDescent="0.25">
      <c r="A364" s="553" t="s">
        <v>5</v>
      </c>
      <c r="B364" s="531">
        <v>43088</v>
      </c>
      <c r="C364" s="536">
        <v>0</v>
      </c>
      <c r="D364" s="506">
        <f t="shared" si="787"/>
        <v>300</v>
      </c>
      <c r="E364" s="506">
        <f t="shared" si="788"/>
        <v>250</v>
      </c>
      <c r="F364" s="506">
        <v>250</v>
      </c>
      <c r="G364" s="535">
        <f>DR364+Sheet1!CZ362</f>
        <v>3958.6333837637203</v>
      </c>
      <c r="H364" s="1074">
        <f t="shared" si="844"/>
        <v>1953.2508614399999</v>
      </c>
      <c r="I364" s="534">
        <f>IF(Sheet1!DA362&gt;=E364,(Sheet1!DA362-E364+P364)*CFStoMGD,0)</f>
        <v>2509.1548614399999</v>
      </c>
      <c r="J364" s="995">
        <f>IF(Sheet1!DB362&gt;=D364,(Sheet1!DB362-D364+P364)*CFStoMGD,0)</f>
        <v>1953.2508614399999</v>
      </c>
      <c r="K364" s="818">
        <f t="shared" si="819"/>
        <v>64.64</v>
      </c>
      <c r="L364" s="535">
        <f>Sheet1!AA362+Sheet1!AB362-Sheet1!L362+(Sheet1!DA362-F364)*CFStoMGD-S364-T364-U364</f>
        <v>2429.6260000000002</v>
      </c>
      <c r="M364" s="535">
        <f t="shared" si="850"/>
        <v>2610.0378316501665</v>
      </c>
      <c r="N364" s="824">
        <f>IF(Sheet1!DA362&gt;=F364,MIN(113*CFStoMGD,MIN(MAX(L364,0),MAX(M364,0))),0)</f>
        <v>73.043199999999999</v>
      </c>
      <c r="O364" s="538">
        <f>Sheet1!AA362+Sheet1!AB362</f>
        <v>59.3</v>
      </c>
      <c r="P364" s="538">
        <f t="shared" si="851"/>
        <v>91.737099999999998</v>
      </c>
      <c r="Q364" s="812">
        <f t="shared" si="820"/>
        <v>0</v>
      </c>
      <c r="R364" s="812">
        <f t="shared" si="789"/>
        <v>10.441573693482091</v>
      </c>
      <c r="S364" s="812">
        <f t="shared" si="790"/>
        <v>59.3</v>
      </c>
      <c r="T364" s="812">
        <f t="shared" si="791"/>
        <v>0</v>
      </c>
      <c r="U364" s="812">
        <f>IF(AND(B364&gt;=FV364,B364&lt;=FW364),ED364+Sheet1!EH362,0)</f>
        <v>0</v>
      </c>
      <c r="V364" s="812"/>
      <c r="W364" s="812">
        <f t="shared" si="792"/>
        <v>54.198426306517909</v>
      </c>
      <c r="X364" s="812">
        <f t="shared" si="793"/>
        <v>59.3</v>
      </c>
      <c r="Y364" s="812" t="str">
        <f t="shared" si="794"/>
        <v/>
      </c>
      <c r="Z364" s="812">
        <f t="shared" si="795"/>
        <v>59.3</v>
      </c>
      <c r="AA364" s="812">
        <f t="shared" si="796"/>
        <v>59.3</v>
      </c>
      <c r="AB364" s="1059">
        <f t="shared" si="821"/>
        <v>0</v>
      </c>
      <c r="AC364" s="538">
        <f>Sheet1!Y362*MGDtoCFS</f>
        <v>38.365600000000001</v>
      </c>
      <c r="AD364" s="538">
        <f>Sheet1!Z362*MGDtoCFS</f>
        <v>53.371499999999997</v>
      </c>
      <c r="AE364" s="538">
        <f>Sheet1!AA362*MGDtoCFS</f>
        <v>39.139099999999999</v>
      </c>
      <c r="AF364" s="538">
        <f>Sheet1!AB362*MGDtoCFS</f>
        <v>52.597999999999999</v>
      </c>
      <c r="AG364" s="538">
        <f>Sheet1!L362*MGDtoCFS</f>
        <v>31.295809999999324</v>
      </c>
      <c r="AH364" s="521">
        <f t="shared" si="852"/>
        <v>0</v>
      </c>
      <c r="AI364" s="1059">
        <f t="shared" si="853"/>
        <v>0</v>
      </c>
      <c r="AJ364" s="535">
        <f t="shared" si="854"/>
        <v>0</v>
      </c>
      <c r="AK364" s="535">
        <f t="shared" si="855"/>
        <v>0</v>
      </c>
      <c r="AL364" s="535">
        <f>(VLOOKUP(Sheet1!DC362,hhdcap_wcm,4)-(((VLOOKUP(Sheet1!DC362,hhdcap_wcm,3)-Sheet1!DC362)/(VLOOKUP(Sheet1!DC362,hhdcap_wcm,3)-VLOOKUP(Sheet1!DC362,hhdcap_wcm,1)))*(VLOOKUP(Sheet1!DC362,hhdcap_wcm,4)-VLOOKUP(Sheet1!DC362,hhdcap_wcm,2))))</f>
        <v>5815.9000000124006</v>
      </c>
      <c r="AM364" s="535">
        <f t="shared" si="856"/>
        <v>1920.8000000034581</v>
      </c>
      <c r="AN364" s="1035">
        <f t="shared" si="857"/>
        <v>0</v>
      </c>
      <c r="AO364" s="535">
        <f t="shared" si="858"/>
        <v>0</v>
      </c>
      <c r="AP364" s="535">
        <f>Sheet1!BA362+Sheet1!BB362+Sheet1!BN362+CD364</f>
        <v>23.6</v>
      </c>
      <c r="AQ364" s="535">
        <f>Sheet1!BN362+(DO364*Sheet1!BN362)</f>
        <v>23.558426306517909</v>
      </c>
      <c r="AR364" s="535">
        <f>Sheet1!BA362+CD364</f>
        <v>0</v>
      </c>
      <c r="AS364" s="535">
        <f>Sheet1!BA362+Sheet1!BB362+CD364</f>
        <v>0</v>
      </c>
      <c r="AT364" s="649">
        <f>0</f>
        <v>0</v>
      </c>
      <c r="AU364" s="974">
        <f>BA364+MAX(Sheet1!EH362,(O364-Q364-ED364-S364))</f>
        <v>0</v>
      </c>
      <c r="AV364" s="535">
        <f>IF(OR(B364&gt;=GD364,B364&lt;GC364),0,15/36*K364-MAX(0,64.6-(137.6-(Sheet1!AA362+Sheet1!AB362))))</f>
        <v>0</v>
      </c>
      <c r="AW364" s="1029"/>
      <c r="AX364" s="649"/>
      <c r="AY364" s="649">
        <f t="shared" si="822"/>
        <v>23.311716569431731</v>
      </c>
      <c r="AZ364" s="649">
        <f t="shared" si="823"/>
        <v>0</v>
      </c>
      <c r="BA364" s="1059">
        <f t="shared" si="824"/>
        <v>0</v>
      </c>
      <c r="BB364" s="1019">
        <f t="shared" si="859"/>
        <v>0</v>
      </c>
      <c r="BC364" s="1041">
        <f t="shared" si="825"/>
        <v>26.933333333333334</v>
      </c>
      <c r="BD364" s="1019">
        <f ca="1">IF(B364&gt;(Summary!$A$1-1),#N/A,BB364*MGtoAF)</f>
        <v>0</v>
      </c>
      <c r="BE364" s="535">
        <f>Sheet1!BG362+Sheet1!BH362+Sheet1!BI362-BM364</f>
        <v>1</v>
      </c>
      <c r="BF364" s="535">
        <f t="shared" si="860"/>
        <v>0.99823840281855547</v>
      </c>
      <c r="BG364" s="535">
        <f>IF(Sheet1!EP362="FM",BM364,0)</f>
        <v>0</v>
      </c>
      <c r="BH364" s="535">
        <f t="shared" si="861"/>
        <v>0</v>
      </c>
      <c r="BI364" s="535">
        <f>IF(Sheet1!EP362="OTHER",BM364,0)</f>
        <v>0</v>
      </c>
      <c r="BJ364" s="535">
        <f t="shared" si="862"/>
        <v>0</v>
      </c>
      <c r="BK364" s="535">
        <f t="shared" si="863"/>
        <v>1</v>
      </c>
      <c r="BL364" s="535">
        <f t="shared" si="864"/>
        <v>0.99823840281855547</v>
      </c>
      <c r="BM364" s="535">
        <f>IF(OR(Sheet1!EP362="FM", Sheet1!EP362="OTHER"),SUM(Sheet1!BG362:'Sheet1'!BI362),0)</f>
        <v>0</v>
      </c>
      <c r="BN364" s="521">
        <f>IF(AND($B364&gt;=$FV364,$B364&lt;=$FW364),MAX(BF364,Sheet1!EI362,0),MAX(BF364-(7/36)*$K364,0))</f>
        <v>0</v>
      </c>
      <c r="BO364" s="535">
        <f t="shared" si="865"/>
        <v>0</v>
      </c>
      <c r="BP364" s="521">
        <f t="shared" si="866"/>
        <v>0.99823840281855547</v>
      </c>
      <c r="BQ364" s="521">
        <f>IF(AND($O364&gt;0,Sheet1!EM362=1),(1-($O364-Sheet1!$L362)/$O364)*BL364,0)</f>
        <v>0</v>
      </c>
      <c r="BR364" s="521">
        <f>IF(AND(Sheet1!$L362=0,Sheet1!$L361=0, Calculation!BK364&lt;Sheet1!$EI362-0.1,Sheet1!$EI362=Sheet1!$EI361,Sheet1!$EI362=Sheet1!$EI363),BL364-BQ364,BL364-BQ364)</f>
        <v>0.99823840281855547</v>
      </c>
      <c r="BS364" s="1035" t="str">
        <f t="shared" si="826"/>
        <v/>
      </c>
      <c r="BT364" s="1035">
        <f t="shared" si="827"/>
        <v>12.568888888888889</v>
      </c>
      <c r="BU364" s="535">
        <f t="shared" si="867"/>
        <v>0</v>
      </c>
      <c r="BV364" s="535"/>
      <c r="BW364" s="535">
        <f ca="1">IF(B364&gt;(Summary!$A$1-1),#N/A,BU364*MGtoAF)</f>
        <v>0</v>
      </c>
      <c r="BX364" s="535">
        <f>Sheet1!BC362+Sheet1!BD362+Sheet1!BE362+Sheet1!BF362-CG364-CH364</f>
        <v>2.99</v>
      </c>
      <c r="BY364" s="535">
        <f t="shared" si="868"/>
        <v>2.9847328244274811</v>
      </c>
      <c r="BZ364" s="535">
        <f>IF(Sheet1!EQ362="FM",CH364,0)</f>
        <v>0</v>
      </c>
      <c r="CA364" s="535">
        <f t="shared" si="869"/>
        <v>0</v>
      </c>
      <c r="CB364" s="535">
        <f>IF(Sheet1!EQ362="OTHER",CH364,0)</f>
        <v>0</v>
      </c>
      <c r="CC364" s="535">
        <f t="shared" si="870"/>
        <v>0</v>
      </c>
      <c r="CD364" s="535">
        <f t="shared" si="871"/>
        <v>0</v>
      </c>
      <c r="CE364" s="535">
        <f t="shared" si="872"/>
        <v>2.99</v>
      </c>
      <c r="CF364" s="535">
        <f t="shared" si="873"/>
        <v>2.9847328244274811</v>
      </c>
      <c r="CG364" s="535">
        <f>IF(Sheet1!EQ362="CWA",SUM(Sheet1!BC362:'Sheet1'!BF362),0)</f>
        <v>0</v>
      </c>
      <c r="CH364" s="535">
        <f>IF(OR(Sheet1!EQ362="FM", Sheet1!EQ362="OTHER"),SUM(Sheet1!BC362:'Sheet1'!BF362),0)</f>
        <v>0</v>
      </c>
      <c r="CI364" s="521">
        <f>IF(AND($B364&gt;=$FV364,$B364&lt;=$FW364),MAX(CF364,Sheet1!EJ362,0),MAX(CF364-(7/36)*$K364,0))</f>
        <v>0</v>
      </c>
      <c r="CJ364" s="535">
        <f t="shared" si="874"/>
        <v>0</v>
      </c>
      <c r="CK364" s="521">
        <f t="shared" si="875"/>
        <v>2.9847328244274811</v>
      </c>
      <c r="CL364" s="521">
        <f>IF(AND($O364&gt;0,Sheet1!EN362=1),(1-($O364-Sheet1!$L362)/$O364)*CF364,0)</f>
        <v>0</v>
      </c>
      <c r="CM364" s="521">
        <f>IF(AND(Sheet1!$L362=0,Sheet1!$L361=0, Calculation!CE364&lt;Sheet1!EJ362-0.1,Sheet1!EJ362=Sheet1!EJ361,Sheet1!EJ362=Sheet1!EJ363),CF364-CL364,CF364-CL364)</f>
        <v>2.9847328244274811</v>
      </c>
      <c r="CN364" s="1040" t="str">
        <f t="shared" si="828"/>
        <v/>
      </c>
      <c r="CO364" s="1035">
        <f t="shared" si="829"/>
        <v>12.568888888888889</v>
      </c>
      <c r="CP364" s="535">
        <f t="shared" si="876"/>
        <v>0</v>
      </c>
      <c r="CQ364" s="535"/>
      <c r="CR364" s="535">
        <f ca="1">IF(B364&gt;(Summary!$A$1-1),#N/A,CP364*MGtoAF)</f>
        <v>0</v>
      </c>
      <c r="CS364" s="535">
        <f>Sheet1!BK362+Sheet1!BL362+Sheet1!BM362-Sheet1!ER362-DA364</f>
        <v>6.4700000000000006</v>
      </c>
      <c r="CT364" s="535">
        <f t="shared" si="877"/>
        <v>6.4586024662360542</v>
      </c>
      <c r="CU364" s="535">
        <f>IF(Sheet1!ER362="FM",DA364,0)</f>
        <v>0</v>
      </c>
      <c r="CV364" s="535">
        <f t="shared" si="878"/>
        <v>0</v>
      </c>
      <c r="CW364" s="535">
        <f>IF(Sheet1!ER362="OTHER",DA364,0)</f>
        <v>0</v>
      </c>
      <c r="CX364" s="535">
        <f t="shared" si="879"/>
        <v>0</v>
      </c>
      <c r="CY364" s="535">
        <f t="shared" si="880"/>
        <v>6.4700000000000006</v>
      </c>
      <c r="CZ364" s="535">
        <f t="shared" si="881"/>
        <v>6.4586024662360542</v>
      </c>
      <c r="DA364" s="535">
        <f>IF(OR(Sheet1!ER362="FM", Sheet1!ER362="OTHER"),SUM(Sheet1!BK362:'Sheet1'!BM362),0)</f>
        <v>0</v>
      </c>
      <c r="DB364" s="1011">
        <f>IF(AND($B364&gt;=$FV364,$B364&lt;=$FW364),MAX($CT364,Sheet1!EK362,0),MAX($CT364-(7/36)*$K364,0))</f>
        <v>0</v>
      </c>
      <c r="DC364" s="1012">
        <f t="shared" si="882"/>
        <v>0</v>
      </c>
      <c r="DD364" s="1011">
        <f t="shared" si="883"/>
        <v>6.4586024662360542</v>
      </c>
      <c r="DE364" s="521">
        <f>IF(AND($O364&gt;0,Sheet1!EO362=1),(1-($O364-Sheet1!$L362)/$O364)*CZ364,0)</f>
        <v>0</v>
      </c>
      <c r="DF364" s="521">
        <f>IF(AND(Sheet1!$L362=0,Sheet1!$L361=0, Calculation!CY364&lt;Sheet1!$EK362-0.1,Sheet1!$EK362=Sheet1!$EK361,Sheet1!$EK362=Sheet1!$EK363),CZ364-DE364,CZ364-DE364)</f>
        <v>6.4586024662360542</v>
      </c>
      <c r="DG364" s="1040">
        <f t="shared" si="830"/>
        <v>12.568888888888889</v>
      </c>
      <c r="DH364" s="649">
        <f t="shared" si="884"/>
        <v>10.46</v>
      </c>
      <c r="DI364" s="535">
        <f t="shared" si="885"/>
        <v>0</v>
      </c>
      <c r="DJ364" s="649">
        <f t="shared" si="886"/>
        <v>10.441573693482091</v>
      </c>
      <c r="DK364" s="535">
        <f ca="1">IF(B364&gt;(Summary!$A$1-1),#N/A,DI364*MGtoAF)</f>
        <v>0</v>
      </c>
      <c r="DL364" s="649">
        <f t="shared" si="887"/>
        <v>10.46</v>
      </c>
      <c r="DM364" s="535">
        <f t="shared" si="888"/>
        <v>34.06</v>
      </c>
      <c r="DN364" s="535">
        <f>Sheet1!AB362-DM364</f>
        <v>-6.0000000000002274E-2</v>
      </c>
      <c r="DO364" s="743">
        <f t="shared" si="889"/>
        <v>-1.7615971814445763E-3</v>
      </c>
      <c r="DP364" s="535">
        <f>(VLOOKUP(Sheet1!DC362,hhdcap_wcm,4)-(((VLOOKUP(Sheet1!DC362,hhdcap_wcm,3)-Sheet1!DC362)/(VLOOKUP(Sheet1!DC362,hhdcap_wcm,3)-VLOOKUP(Sheet1!DC362,hhdcap_wcm,1)))*(VLOOKUP(Sheet1!DC362,hhdcap_wcm,4)-VLOOKUP(Sheet1!DC362,hhdcap_wcm,2))))</f>
        <v>5815.9000000124006</v>
      </c>
      <c r="DQ364" s="535">
        <f t="shared" si="890"/>
        <v>1920.8000000034581</v>
      </c>
      <c r="DR364" s="535">
        <f t="shared" si="891"/>
        <v>968.63338376372053</v>
      </c>
      <c r="DS364" s="535">
        <f>Sheet1!EA362*AFtoMG</f>
        <v>0</v>
      </c>
      <c r="DT364" s="535">
        <f>Sheet1!EB362*AFtoMG</f>
        <v>0</v>
      </c>
      <c r="DU364" s="535">
        <f>Sheet1!EC362*AFtoMG</f>
        <v>0</v>
      </c>
      <c r="DV364" s="535">
        <f>Sheet1!ED362*AFtoMG</f>
        <v>0</v>
      </c>
      <c r="DW364" s="535">
        <f t="shared" si="892"/>
        <v>0</v>
      </c>
      <c r="DX364" s="535">
        <f t="shared" si="893"/>
        <v>0</v>
      </c>
      <c r="DY364" s="535">
        <f t="shared" si="894"/>
        <v>0</v>
      </c>
      <c r="DZ364" s="535">
        <f t="shared" si="895"/>
        <v>0</v>
      </c>
      <c r="EA364" s="535"/>
      <c r="EB364" s="521">
        <f>IF(OR(B364&lt;FV364,B364&gt;FW364),(MIN(BF364+BY364+CT364+MAX(Sheet1!AA362+AQ364-73,0),K364)),0)</f>
        <v>10.441573693482091</v>
      </c>
      <c r="EC364" s="535"/>
      <c r="ED364" s="535">
        <f t="shared" si="896"/>
        <v>10.441573693482091</v>
      </c>
      <c r="EE364" s="535"/>
      <c r="EF364" s="535">
        <f>Sheet1!EH362+Sheet1!EI362+Sheet1!EJ362+Sheet1!EK362</f>
        <v>10.5</v>
      </c>
      <c r="EG364" s="1019">
        <f t="shared" si="831"/>
        <v>16.243500000000001</v>
      </c>
      <c r="EH364" s="521">
        <f t="shared" si="897"/>
        <v>0</v>
      </c>
      <c r="EI364" s="535">
        <f>IF(Sheet1!ET362=1,SUM('Calculations II'!AT364:BA364)+'Calculations II'!BC364+Sheet1!BV362+'Calculations II'!BE364+AP364,'Calculations II'!BK364)</f>
        <v>45.910936306517911</v>
      </c>
      <c r="EJ364" s="535">
        <f ca="1">EI364+'Calculations II'!D364+'Calculations II'!E364+'Calculations II'!O364</f>
        <v>49.162184629447061</v>
      </c>
      <c r="EK364" s="535"/>
      <c r="EL364" s="535"/>
      <c r="EM364" s="535">
        <f t="shared" si="898"/>
        <v>43088</v>
      </c>
      <c r="EN364" s="535">
        <f t="shared" si="899"/>
        <v>0</v>
      </c>
      <c r="EO364" s="535">
        <f t="shared" si="900"/>
        <v>0</v>
      </c>
      <c r="EP364" s="535">
        <v>0</v>
      </c>
      <c r="EQ364" s="535">
        <v>0</v>
      </c>
      <c r="ER364" s="535">
        <v>0</v>
      </c>
      <c r="ES364" s="521">
        <f t="shared" si="797"/>
        <v>-2.4924888890496266</v>
      </c>
      <c r="ET364" s="535">
        <f>-(VLOOKUP(Sheet1!BQ362,Lookup!$O$4:$Q$262,2)-VLOOKUP(Sheet1!BQ361,Lookup!$O$4:$Q$262,2))/1000000</f>
        <v>-1.3844312485932857</v>
      </c>
      <c r="EU364" s="535">
        <f>-(VLOOKUP(Sheet1!BR362,Lookup!$O$4:$Q$262,3)-VLOOKUP(Sheet1!BR361,Lookup!$O$4:$Q$262,3))/1000000</f>
        <v>-1.1080576404563411</v>
      </c>
      <c r="EV364" s="535"/>
      <c r="EW364" s="535"/>
      <c r="EX364" s="535"/>
      <c r="EY364" s="535"/>
      <c r="EZ364" s="535"/>
      <c r="FA364" s="535"/>
      <c r="FB364" s="535"/>
      <c r="FC364" s="535"/>
      <c r="FD364" s="567" t="e">
        <f t="shared" si="847"/>
        <v>#N/A</v>
      </c>
      <c r="FE364" s="567" t="e">
        <f t="shared" si="901"/>
        <v>#N/A</v>
      </c>
      <c r="FF364" s="568" t="e">
        <f t="shared" si="902"/>
        <v>#N/A</v>
      </c>
      <c r="FG364" s="569" t="s">
        <v>656</v>
      </c>
      <c r="FH364" s="569" t="s">
        <v>656</v>
      </c>
      <c r="FI364" s="567" t="e">
        <v>#N/A</v>
      </c>
      <c r="FJ364" s="567" t="e">
        <v>#N/A</v>
      </c>
      <c r="FK364" s="535"/>
      <c r="FL364" s="1015" t="e">
        <f t="shared" si="846"/>
        <v>#N/A</v>
      </c>
      <c r="FM364" s="535"/>
      <c r="FN364" s="535"/>
      <c r="FO364" s="535">
        <f>O364+((Sheet1!CS362)*GPMtoMGD)</f>
        <v>59.3</v>
      </c>
      <c r="FP364" s="535">
        <f>IF(Sheet1!AA362+AQ364&lt;=Calculation!N364,AQ364,Calculation!N364-Sheet1!AA362)</f>
        <v>23.558426306517909</v>
      </c>
      <c r="FQ364" s="535">
        <f>(Sheet1!BP362+Sheet1!BO362)/694.4</f>
        <v>1.4190668202764978</v>
      </c>
      <c r="FR364" s="541"/>
      <c r="FS364" s="541"/>
      <c r="FT364" s="541"/>
      <c r="FU364" s="541"/>
      <c r="FV364" s="1109">
        <f t="shared" si="798"/>
        <v>42918</v>
      </c>
      <c r="FW364" s="1109">
        <f t="shared" si="799"/>
        <v>43027</v>
      </c>
      <c r="FX364" s="541"/>
      <c r="FY364" s="541">
        <f>Sheet1!DA362-Sheet1!CZ362-Sheet1!AE362</f>
        <v>989.55870999999934</v>
      </c>
      <c r="FZ364" s="535">
        <f t="shared" si="832"/>
        <v>0.24997483072280971</v>
      </c>
      <c r="GA364" s="535"/>
      <c r="GB364" s="535" t="str">
        <f t="shared" si="800"/>
        <v>n</v>
      </c>
      <c r="GC364" s="539">
        <f t="shared" si="801"/>
        <v>42782</v>
      </c>
      <c r="GD364" s="1109">
        <f t="shared" si="802"/>
        <v>42904</v>
      </c>
      <c r="GE364" s="535">
        <f t="shared" si="818"/>
        <v>6520</v>
      </c>
      <c r="GF364" s="1109">
        <f t="shared" si="803"/>
        <v>42909</v>
      </c>
      <c r="GG364" s="535">
        <f t="shared" si="845"/>
        <v>3260</v>
      </c>
      <c r="GH364" s="539">
        <f t="shared" si="804"/>
        <v>43040</v>
      </c>
      <c r="GJ364" s="521">
        <f t="shared" si="805"/>
        <v>0</v>
      </c>
      <c r="GK364" s="535" t="str">
        <f t="shared" si="903"/>
        <v/>
      </c>
      <c r="GL364" s="535">
        <f t="shared" si="806"/>
        <v>0</v>
      </c>
      <c r="GM364" s="535" t="str">
        <f t="shared" si="807"/>
        <v/>
      </c>
      <c r="GN364" s="535">
        <f>IF(GK364="P",Lookup!$M$12,IF(GK364="PP",Lookup!$M$13,IF(GK364="PPP",Lookup!$M$14,IF(GK364="T",Lookup!$M$15,IF(GK364="TP",Lookup!$M$16,IF(GK364="TPP",Lookup!$M$17,IF(GK364="TPPP",Lookup!$M$18,0)))))))*GJ364</f>
        <v>0</v>
      </c>
      <c r="GO364" s="535">
        <f t="shared" si="808"/>
        <v>0</v>
      </c>
      <c r="GP364" s="535">
        <f t="shared" si="904"/>
        <v>0</v>
      </c>
      <c r="GQ364" s="974">
        <f t="shared" si="848"/>
        <v>0</v>
      </c>
      <c r="GR364" s="535"/>
      <c r="GS364" s="535">
        <f t="shared" si="809"/>
        <v>0</v>
      </c>
      <c r="GT364" s="535" t="str">
        <f t="shared" si="810"/>
        <v/>
      </c>
      <c r="GU364" s="535">
        <f>IF(GK364="P",Lookup!$N$12,IF(GK364="PP",Lookup!$N$13,IF(GK364="PPP",Lookup!$N$14,IF(GK364="T",Lookup!$N$15,IF(GK364="TP",Lookup!$N$16,IF(GK364="TPP",Lookup!$N$17,IF(GK364="TPPP",Lookup!$N$18,0)))))))*GJ364</f>
        <v>0</v>
      </c>
      <c r="GV364" s="535">
        <f t="shared" si="811"/>
        <v>0</v>
      </c>
      <c r="GW364" s="535">
        <f t="shared" si="905"/>
        <v>0</v>
      </c>
      <c r="GX364" s="974">
        <f t="shared" si="849"/>
        <v>0</v>
      </c>
      <c r="GY364" s="535"/>
      <c r="GZ364" s="535">
        <f t="shared" si="812"/>
        <v>0</v>
      </c>
      <c r="HA364" s="535" t="str">
        <f t="shared" si="813"/>
        <v/>
      </c>
      <c r="HB364" s="535">
        <f>IF(GK364="P",Lookup!$N$12,IF(GK364="PP",Lookup!$N$13,IF(GK364="PPP",Lookup!$N$14,IF(GK364="T",Lookup!$N$15,IF(GK364="TP",Lookup!$N$16,IF(GK364="TPP",Lookup!$N$17,IF(GK364="TPPP",Lookup!$N$18,0)))))))*GJ364</f>
        <v>0</v>
      </c>
      <c r="HC364" s="521">
        <f t="shared" si="906"/>
        <v>0</v>
      </c>
      <c r="HD364" s="535">
        <f t="shared" si="907"/>
        <v>0</v>
      </c>
      <c r="HE364" s="535">
        <f t="shared" si="816"/>
        <v>0</v>
      </c>
      <c r="HF364" s="535"/>
      <c r="HG364" s="535">
        <f t="shared" si="814"/>
        <v>0</v>
      </c>
      <c r="HH364" s="535" t="str">
        <f t="shared" si="815"/>
        <v/>
      </c>
      <c r="HI364" s="535">
        <f>IF(GK364="P",Lookup!$N$12,IF(GK364="PP",Lookup!$N$13,IF(GK364="PPP",Lookup!$N$14,IF(GK364="T",Lookup!$N$15,IF(GK364="TP",Lookup!$N$16,IF(GK364="TPP",Lookup!$N$17,IF(GK364="TPPP",Lookup!$N$18,0)))))))*GJ364</f>
        <v>0</v>
      </c>
      <c r="HJ364" s="521">
        <f t="shared" si="908"/>
        <v>0</v>
      </c>
      <c r="HK364" s="535">
        <f t="shared" si="909"/>
        <v>0</v>
      </c>
      <c r="HL364" s="535">
        <f t="shared" si="817"/>
        <v>0</v>
      </c>
      <c r="HM364" s="535"/>
      <c r="HN364" s="541"/>
      <c r="HO364" s="541"/>
      <c r="HP364" s="541"/>
      <c r="HQ364" s="541">
        <f>IF(AND(B364&gt;=$FV$4,B364&lt;=$FW$4),MAX(110/1.02+$HQ$6+MIN(113/1.02,G364),IF($HV$6-(Sheet1!DA362-Sheet1!DB362)+MIN(113/1.02,G364)&lt;G364+FL364,$HV$6-(Sheet1!DA362-Sheet1!DB362)+MIN(113/1.02,G364),G364+FL364)),MIN(110/1.02+$HQ$6+113/1.02,G364))</f>
        <v>218.62745098039215</v>
      </c>
      <c r="HR364" s="541">
        <f t="shared" si="833"/>
        <v>223</v>
      </c>
      <c r="HS364" s="541">
        <f>HR364+(Sheet1!DA362-Sheet1!DB362)</f>
        <v>1033</v>
      </c>
      <c r="HT364" s="541">
        <f t="shared" si="834"/>
        <v>0</v>
      </c>
      <c r="HU364" s="541">
        <f t="shared" si="835"/>
        <v>1033</v>
      </c>
      <c r="HV364" s="541">
        <f t="shared" si="836"/>
        <v>0</v>
      </c>
      <c r="HW364" s="533" t="str">
        <f t="shared" si="837"/>
        <v/>
      </c>
      <c r="HX364" s="541">
        <f t="shared" si="838"/>
        <v>2771.372549019608</v>
      </c>
      <c r="HY364" s="541">
        <f>Sheet1!CZ362</f>
        <v>2990</v>
      </c>
      <c r="HZ364" s="541">
        <f t="shared" si="839"/>
        <v>0</v>
      </c>
      <c r="IA364" s="541">
        <f t="shared" si="840"/>
        <v>0</v>
      </c>
      <c r="IB364" s="541">
        <f t="shared" si="841"/>
        <v>2990</v>
      </c>
      <c r="IC364" s="1019" t="str">
        <f t="shared" si="842"/>
        <v/>
      </c>
      <c r="ID364" s="541">
        <f t="shared" si="843"/>
        <v>2990</v>
      </c>
      <c r="IE364" s="541">
        <f>Sheet1!DB362</f>
        <v>3230</v>
      </c>
      <c r="IF364" s="533">
        <f>Sheet1!DA362</f>
        <v>4040</v>
      </c>
      <c r="IH364" s="541">
        <f>IF(AND($B364&gt;=$GC364,$B364&lt;=$GH364,$DR364&lt;0)+N("only adjusted when pool is drawn down during storage season"),Sheet1!$DB362+$DR364+N("Palmer minus all storage release"),Sheet1!$DB362)</f>
        <v>3230</v>
      </c>
      <c r="II364" s="541">
        <f>IF(AND($B364&gt;=$GC364,$B364&lt;=$GH364,$DR364&lt;0)+N("only adjusted when pool is drawn down during storage season"),Sheet1!$DA362+$DR364+N("Auburn minus all storage release"),Sheet1!$DA362)</f>
        <v>4040</v>
      </c>
    </row>
    <row r="365" spans="1:243" x14ac:dyDescent="0.25">
      <c r="A365" s="553" t="s">
        <v>6</v>
      </c>
      <c r="B365" s="531">
        <v>43089</v>
      </c>
      <c r="C365" s="536">
        <v>0</v>
      </c>
      <c r="D365" s="506">
        <f t="shared" si="787"/>
        <v>300</v>
      </c>
      <c r="E365" s="506">
        <f t="shared" si="788"/>
        <v>250</v>
      </c>
      <c r="F365" s="506">
        <v>250</v>
      </c>
      <c r="G365" s="535">
        <f>DR365+Sheet1!CZ363</f>
        <v>2609.0973272815158</v>
      </c>
      <c r="H365" s="1074">
        <f t="shared" si="844"/>
        <v>1733.3348641279999</v>
      </c>
      <c r="I365" s="534">
        <f>IF(Sheet1!DA363&gt;=E365,(Sheet1!DA363-E365+P365)*CFStoMGD,0)</f>
        <v>2243.9908641279999</v>
      </c>
      <c r="J365" s="995">
        <f>IF(Sheet1!DB363&gt;=D365,(Sheet1!DB363-D365+P365)*CFStoMGD,0)</f>
        <v>1733.3348641279999</v>
      </c>
      <c r="K365" s="818">
        <f t="shared" si="819"/>
        <v>64.64</v>
      </c>
      <c r="L365" s="535">
        <f>Sheet1!AA363+Sheet1!AB363-Sheet1!L363+(Sheet1!DA363-F365)*CFStoMGD-S365-T365-U365</f>
        <v>2174.5019999999981</v>
      </c>
      <c r="M365" s="535">
        <f t="shared" si="850"/>
        <v>1720.2509226018674</v>
      </c>
      <c r="N365" s="824">
        <f>IF(Sheet1!DA363&gt;=F365,MIN(113*CFStoMGD,MIN(MAX(L365,0),MAX(M365,0))),0)</f>
        <v>73.043199999999999</v>
      </c>
      <c r="O365" s="538">
        <f>Sheet1!AA363+Sheet1!AB363</f>
        <v>59.16</v>
      </c>
      <c r="P365" s="538">
        <f t="shared" si="851"/>
        <v>91.520519999999991</v>
      </c>
      <c r="Q365" s="812">
        <f t="shared" si="820"/>
        <v>0</v>
      </c>
      <c r="R365" s="812">
        <f t="shared" si="789"/>
        <v>10.432287735849055</v>
      </c>
      <c r="S365" s="812">
        <f t="shared" si="790"/>
        <v>59.16</v>
      </c>
      <c r="T365" s="812">
        <f t="shared" si="791"/>
        <v>0</v>
      </c>
      <c r="U365" s="812">
        <f>IF(AND(B365&gt;=FV365,B365&lt;=FW365),ED365+Sheet1!EH363,0)</f>
        <v>0</v>
      </c>
      <c r="V365" s="812"/>
      <c r="W365" s="812">
        <f t="shared" si="792"/>
        <v>54.207712264150942</v>
      </c>
      <c r="X365" s="812">
        <f t="shared" si="793"/>
        <v>59.16</v>
      </c>
      <c r="Y365" s="812" t="str">
        <f t="shared" si="794"/>
        <v/>
      </c>
      <c r="Z365" s="812">
        <f t="shared" si="795"/>
        <v>59.16</v>
      </c>
      <c r="AA365" s="812">
        <f t="shared" si="796"/>
        <v>59.16</v>
      </c>
      <c r="AB365" s="1059">
        <f t="shared" si="821"/>
        <v>0</v>
      </c>
      <c r="AC365" s="538">
        <f>Sheet1!Y363*MGDtoCFS</f>
        <v>39.139099999999999</v>
      </c>
      <c r="AD365" s="538">
        <f>Sheet1!Z363*MGDtoCFS</f>
        <v>52.597999999999999</v>
      </c>
      <c r="AE365" s="538">
        <f>Sheet1!AA363*MGDtoCFS</f>
        <v>38.984399999999994</v>
      </c>
      <c r="AF365" s="538">
        <f>Sheet1!AB363*MGDtoCFS</f>
        <v>52.536119999999997</v>
      </c>
      <c r="AG365" s="538">
        <f>Sheet1!L363*MGDtoCFS</f>
        <v>15.980510000002701</v>
      </c>
      <c r="AH365" s="521">
        <f t="shared" si="852"/>
        <v>0</v>
      </c>
      <c r="AI365" s="1059">
        <f t="shared" si="853"/>
        <v>0</v>
      </c>
      <c r="AJ365" s="535">
        <f t="shared" si="854"/>
        <v>0</v>
      </c>
      <c r="AK365" s="535">
        <f t="shared" si="855"/>
        <v>0</v>
      </c>
      <c r="AL365" s="535">
        <f>(VLOOKUP(Sheet1!DC363,hhdcap_wcm,4)-(((VLOOKUP(Sheet1!DC363,hhdcap_wcm,3)-Sheet1!DC363)/(VLOOKUP(Sheet1!DC363,hhdcap_wcm,3)-VLOOKUP(Sheet1!DC363,hhdcap_wcm,1)))*(VLOOKUP(Sheet1!DC363,hhdcap_wcm,4)-VLOOKUP(Sheet1!DC363,hhdcap_wcm,2))))</f>
        <v>5477.0000000116461</v>
      </c>
      <c r="AM365" s="535">
        <f t="shared" si="856"/>
        <v>-338.90000000075452</v>
      </c>
      <c r="AN365" s="1035">
        <f t="shared" si="857"/>
        <v>0</v>
      </c>
      <c r="AO365" s="535">
        <f t="shared" si="858"/>
        <v>0</v>
      </c>
      <c r="AP365" s="535">
        <f>Sheet1!BA363+Sheet1!BB363+Sheet1!BN363+CD365</f>
        <v>23.5</v>
      </c>
      <c r="AQ365" s="535">
        <f>Sheet1!BN363+(DO365*Sheet1!BN363)</f>
        <v>23.527712264150942</v>
      </c>
      <c r="AR365" s="535">
        <f>Sheet1!BA363+CD365</f>
        <v>0</v>
      </c>
      <c r="AS365" s="535">
        <f>Sheet1!BA363+Sheet1!BB363+CD365</f>
        <v>0</v>
      </c>
      <c r="AT365" s="649">
        <f>0</f>
        <v>0</v>
      </c>
      <c r="AU365" s="974">
        <f>BA365+MAX(Sheet1!EH363,(O365-Q365-ED365-S365))</f>
        <v>0</v>
      </c>
      <c r="AV365" s="535">
        <f>IF(OR(B365&gt;=GD365,B365&lt;GC365),0,15/36*K365-MAX(0,64.6-(137.6-(Sheet1!AA363+Sheet1!AB363))))</f>
        <v>0</v>
      </c>
      <c r="AW365" s="1029"/>
      <c r="AX365" s="649"/>
      <c r="AY365" s="649">
        <f t="shared" si="822"/>
        <v>23.311716569431731</v>
      </c>
      <c r="AZ365" s="649">
        <f t="shared" si="823"/>
        <v>0</v>
      </c>
      <c r="BA365" s="1059">
        <f t="shared" si="824"/>
        <v>0</v>
      </c>
      <c r="BB365" s="1019">
        <f t="shared" si="859"/>
        <v>0</v>
      </c>
      <c r="BC365" s="1041">
        <f t="shared" si="825"/>
        <v>26.933333333333334</v>
      </c>
      <c r="BD365" s="1019">
        <f ca="1">IF(B365&gt;(Summary!$A$1-1),#N/A,BB365*MGtoAF)</f>
        <v>0</v>
      </c>
      <c r="BE365" s="535">
        <f>Sheet1!BG363+Sheet1!BH363+Sheet1!BI363-BM365</f>
        <v>1.01</v>
      </c>
      <c r="BF365" s="535">
        <f t="shared" si="860"/>
        <v>1.0111910377358491</v>
      </c>
      <c r="BG365" s="535">
        <f>IF(Sheet1!EP363="FM",BM365,0)</f>
        <v>0</v>
      </c>
      <c r="BH365" s="535">
        <f t="shared" si="861"/>
        <v>0</v>
      </c>
      <c r="BI365" s="535">
        <f>IF(Sheet1!EP363="OTHER",BM365,0)</f>
        <v>0</v>
      </c>
      <c r="BJ365" s="535">
        <f t="shared" si="862"/>
        <v>0</v>
      </c>
      <c r="BK365" s="535">
        <f t="shared" si="863"/>
        <v>1.01</v>
      </c>
      <c r="BL365" s="535">
        <f t="shared" si="864"/>
        <v>1.0111910377358491</v>
      </c>
      <c r="BM365" s="535">
        <f>IF(OR(Sheet1!EP363="FM", Sheet1!EP363="OTHER"),SUM(Sheet1!BG363:'Sheet1'!BI363),0)</f>
        <v>0</v>
      </c>
      <c r="BN365" s="521">
        <f>IF(AND($B365&gt;=$FV365,$B365&lt;=$FW365),MAX(BF365,Sheet1!EI363,0),MAX(BF365-(7/36)*$K365,0))</f>
        <v>0</v>
      </c>
      <c r="BO365" s="535">
        <f t="shared" si="865"/>
        <v>0</v>
      </c>
      <c r="BP365" s="521">
        <f t="shared" si="866"/>
        <v>1.0111910377358491</v>
      </c>
      <c r="BQ365" s="521">
        <f>IF(AND($O365&gt;0,Sheet1!EM363=1),(1-($O365-Sheet1!$L363)/$O365)*BL365,0)</f>
        <v>0</v>
      </c>
      <c r="BR365" s="521">
        <f>IF(AND(Sheet1!$L363=0,Sheet1!$L362=0, Calculation!BK365&lt;Sheet1!$EI363-0.1,Sheet1!$EI363=Sheet1!$EI362,Sheet1!$EI363=Sheet1!$EI364),BL365-BQ365,BL365-BQ365)</f>
        <v>1.0111910377358491</v>
      </c>
      <c r="BS365" s="1035" t="str">
        <f t="shared" si="826"/>
        <v/>
      </c>
      <c r="BT365" s="1035">
        <f t="shared" si="827"/>
        <v>12.568888888888889</v>
      </c>
      <c r="BU365" s="535">
        <f t="shared" si="867"/>
        <v>0</v>
      </c>
      <c r="BV365" s="535"/>
      <c r="BW365" s="535">
        <f ca="1">IF(B365&gt;(Summary!$A$1-1),#N/A,BU365*MGtoAF)</f>
        <v>0</v>
      </c>
      <c r="BX365" s="535">
        <f>Sheet1!BC363+Sheet1!BD363+Sheet1!BE363+Sheet1!BF363-CG365-CH365</f>
        <v>2.99</v>
      </c>
      <c r="BY365" s="535">
        <f t="shared" si="868"/>
        <v>2.9935259433962265</v>
      </c>
      <c r="BZ365" s="535">
        <f>IF(Sheet1!EQ363="FM",CH365,0)</f>
        <v>0</v>
      </c>
      <c r="CA365" s="535">
        <f t="shared" si="869"/>
        <v>0</v>
      </c>
      <c r="CB365" s="535">
        <f>IF(Sheet1!EQ363="OTHER",CH365,0)</f>
        <v>0</v>
      </c>
      <c r="CC365" s="535">
        <f t="shared" si="870"/>
        <v>0</v>
      </c>
      <c r="CD365" s="535">
        <f t="shared" si="871"/>
        <v>0</v>
      </c>
      <c r="CE365" s="535">
        <f t="shared" si="872"/>
        <v>2.99</v>
      </c>
      <c r="CF365" s="535">
        <f t="shared" si="873"/>
        <v>2.9935259433962265</v>
      </c>
      <c r="CG365" s="535">
        <f>IF(Sheet1!EQ363="CWA",SUM(Sheet1!BC363:'Sheet1'!BF363),0)</f>
        <v>0</v>
      </c>
      <c r="CH365" s="535">
        <f>IF(OR(Sheet1!EQ363="FM", Sheet1!EQ363="OTHER"),SUM(Sheet1!BC363:'Sheet1'!BF363),0)</f>
        <v>0</v>
      </c>
      <c r="CI365" s="521">
        <f>IF(AND($B365&gt;=$FV365,$B365&lt;=$FW365),MAX(CF365,Sheet1!EJ363,0),MAX(CF365-(7/36)*$K365,0))</f>
        <v>0</v>
      </c>
      <c r="CJ365" s="535">
        <f t="shared" si="874"/>
        <v>0</v>
      </c>
      <c r="CK365" s="521">
        <f t="shared" si="875"/>
        <v>2.9935259433962265</v>
      </c>
      <c r="CL365" s="521">
        <f>IF(AND($O365&gt;0,Sheet1!EN363=1),(1-($O365-Sheet1!$L363)/$O365)*CF365,0)</f>
        <v>0</v>
      </c>
      <c r="CM365" s="521">
        <f>IF(AND(Sheet1!$L363=0,Sheet1!$L362=0, Calculation!CE365&lt;Sheet1!EJ363-0.1,Sheet1!EJ363=Sheet1!EJ362,Sheet1!EJ363=Sheet1!EJ364),CF365-CL365,CF365-CL365)</f>
        <v>2.9935259433962265</v>
      </c>
      <c r="CN365" s="1040" t="str">
        <f t="shared" si="828"/>
        <v/>
      </c>
      <c r="CO365" s="1035">
        <f t="shared" si="829"/>
        <v>12.568888888888889</v>
      </c>
      <c r="CP365" s="535">
        <f t="shared" si="876"/>
        <v>0</v>
      </c>
      <c r="CQ365" s="535"/>
      <c r="CR365" s="535">
        <f ca="1">IF(B365&gt;(Summary!$A$1-1),#N/A,CP365*MGtoAF)</f>
        <v>0</v>
      </c>
      <c r="CS365" s="535">
        <f>Sheet1!BK363+Sheet1!BL363+Sheet1!BM363-Sheet1!ER363-DA365</f>
        <v>6.42</v>
      </c>
      <c r="CT365" s="535">
        <f t="shared" si="877"/>
        <v>6.4275707547169807</v>
      </c>
      <c r="CU365" s="535">
        <f>IF(Sheet1!ER363="FM",DA365,0)</f>
        <v>0</v>
      </c>
      <c r="CV365" s="535">
        <f t="shared" si="878"/>
        <v>0</v>
      </c>
      <c r="CW365" s="535">
        <f>IF(Sheet1!ER363="OTHER",DA365,0)</f>
        <v>0</v>
      </c>
      <c r="CX365" s="535">
        <f t="shared" si="879"/>
        <v>0</v>
      </c>
      <c r="CY365" s="535">
        <f t="shared" si="880"/>
        <v>6.42</v>
      </c>
      <c r="CZ365" s="535">
        <f t="shared" si="881"/>
        <v>6.4275707547169807</v>
      </c>
      <c r="DA365" s="535">
        <f>IF(OR(Sheet1!ER363="FM", Sheet1!ER363="OTHER"),SUM(Sheet1!BK363:'Sheet1'!BM363),0)</f>
        <v>0</v>
      </c>
      <c r="DB365" s="1011">
        <f>IF(AND($B365&gt;=$FV365,$B365&lt;=$FW365),MAX($CT365,Sheet1!EK363,0),MAX($CT365-(7/36)*$K365,0))</f>
        <v>0</v>
      </c>
      <c r="DC365" s="1012">
        <f t="shared" si="882"/>
        <v>0</v>
      </c>
      <c r="DD365" s="1011">
        <f t="shared" si="883"/>
        <v>6.4275707547169807</v>
      </c>
      <c r="DE365" s="521">
        <f>IF(AND($O365&gt;0,Sheet1!EO363=1),(1-($O365-Sheet1!$L363)/$O365)*CZ365,0)</f>
        <v>0</v>
      </c>
      <c r="DF365" s="521">
        <f>IF(AND(Sheet1!$L363=0,Sheet1!$L362=0, Calculation!CY365&lt;Sheet1!$EK363-0.1,Sheet1!$EK363=Sheet1!$EK362,Sheet1!$EK363=Sheet1!$EK364),CZ365-DE365,CZ365-DE365)</f>
        <v>6.4275707547169807</v>
      </c>
      <c r="DG365" s="1040">
        <f t="shared" si="830"/>
        <v>12.568888888888889</v>
      </c>
      <c r="DH365" s="649">
        <f t="shared" si="884"/>
        <v>10.42</v>
      </c>
      <c r="DI365" s="535">
        <f t="shared" si="885"/>
        <v>0</v>
      </c>
      <c r="DJ365" s="649">
        <f t="shared" si="886"/>
        <v>10.432287735849055</v>
      </c>
      <c r="DK365" s="535">
        <f ca="1">IF(B365&gt;(Summary!$A$1-1),#N/A,DI365*MGtoAF)</f>
        <v>0</v>
      </c>
      <c r="DL365" s="649">
        <f t="shared" si="887"/>
        <v>10.42</v>
      </c>
      <c r="DM365" s="535">
        <f t="shared" si="888"/>
        <v>33.92</v>
      </c>
      <c r="DN365" s="535">
        <f>Sheet1!AB363-DM365</f>
        <v>3.9999999999999147E-2</v>
      </c>
      <c r="DO365" s="743">
        <f t="shared" si="889"/>
        <v>1.1792452830188427E-3</v>
      </c>
      <c r="DP365" s="535">
        <f>(VLOOKUP(Sheet1!DC363,hhdcap_wcm,4)-(((VLOOKUP(Sheet1!DC363,hhdcap_wcm,3)-Sheet1!DC363)/(VLOOKUP(Sheet1!DC363,hhdcap_wcm,3)-VLOOKUP(Sheet1!DC363,hhdcap_wcm,1)))*(VLOOKUP(Sheet1!DC363,hhdcap_wcm,4)-VLOOKUP(Sheet1!DC363,hhdcap_wcm,2))))</f>
        <v>5477.0000000116461</v>
      </c>
      <c r="DQ365" s="535">
        <f t="shared" si="890"/>
        <v>-338.90000000075452</v>
      </c>
      <c r="DR365" s="535">
        <f t="shared" si="891"/>
        <v>-170.90267271848435</v>
      </c>
      <c r="DS365" s="535">
        <f>Sheet1!EA363*AFtoMG</f>
        <v>0</v>
      </c>
      <c r="DT365" s="535">
        <f>Sheet1!EB363*AFtoMG</f>
        <v>0</v>
      </c>
      <c r="DU365" s="535">
        <f>Sheet1!EC363*AFtoMG</f>
        <v>0</v>
      </c>
      <c r="DV365" s="535">
        <f>Sheet1!ED363*AFtoMG</f>
        <v>0</v>
      </c>
      <c r="DW365" s="535">
        <f t="shared" si="892"/>
        <v>0</v>
      </c>
      <c r="DX365" s="535">
        <f t="shared" si="893"/>
        <v>0</v>
      </c>
      <c r="DY365" s="535">
        <f t="shared" si="894"/>
        <v>0</v>
      </c>
      <c r="DZ365" s="535">
        <f t="shared" si="895"/>
        <v>0</v>
      </c>
      <c r="EA365" s="535"/>
      <c r="EB365" s="521">
        <f>IF(OR(B365&lt;FV365,B365&gt;FW365),(MIN(BF365+BY365+CT365+MAX(Sheet1!AA363+AQ365-73,0),K365)),0)</f>
        <v>10.432287735849055</v>
      </c>
      <c r="EC365" s="535"/>
      <c r="ED365" s="535">
        <f t="shared" si="896"/>
        <v>10.432287735849057</v>
      </c>
      <c r="EE365" s="535"/>
      <c r="EF365" s="535">
        <f>Sheet1!EH363+Sheet1!EI363+Sheet1!EJ363+Sheet1!EK363</f>
        <v>10.5</v>
      </c>
      <c r="EG365" s="1019">
        <f t="shared" si="831"/>
        <v>16.243500000000001</v>
      </c>
      <c r="EH365" s="521">
        <f t="shared" si="897"/>
        <v>0</v>
      </c>
      <c r="EI365" s="535">
        <f>IF(Sheet1!ET363=1,SUM('Calculations II'!AT365:BA365)+'Calculations II'!BC365+Sheet1!BV363+'Calculations II'!BE365+AP365,'Calculations II'!BK365)</f>
        <v>49.477550264150949</v>
      </c>
      <c r="EJ365" s="535">
        <f ca="1">EI365+'Calculations II'!D365+'Calculations II'!E365+'Calculations II'!O365</f>
        <v>46.010010444688547</v>
      </c>
      <c r="EK365" s="535"/>
      <c r="EL365" s="535"/>
      <c r="EM365" s="535">
        <f t="shared" si="898"/>
        <v>43089</v>
      </c>
      <c r="EN365" s="535">
        <f t="shared" si="899"/>
        <v>0</v>
      </c>
      <c r="EO365" s="535">
        <f t="shared" si="900"/>
        <v>0</v>
      </c>
      <c r="EP365" s="535">
        <v>0</v>
      </c>
      <c r="EQ365" s="535">
        <v>0</v>
      </c>
      <c r="ER365" s="535">
        <v>0</v>
      </c>
      <c r="ES365" s="521">
        <f t="shared" si="797"/>
        <v>1.5233773980201184</v>
      </c>
      <c r="ET365" s="535">
        <f>-(VLOOKUP(Sheet1!BQ363,Lookup!$O$4:$Q$262,2)-VLOOKUP(Sheet1!BQ362,Lookup!$O$4:$Q$262,2))/1000000</f>
        <v>0.69229571558341008</v>
      </c>
      <c r="EU365" s="535">
        <f>-(VLOOKUP(Sheet1!BR363,Lookup!$O$4:$Q$262,3)-VLOOKUP(Sheet1!BR362,Lookup!$O$4:$Q$262,3))/1000000</f>
        <v>0.83108168243670832</v>
      </c>
      <c r="EV365" s="535"/>
      <c r="EW365" s="535"/>
      <c r="EX365" s="535"/>
      <c r="EY365" s="535"/>
      <c r="EZ365" s="535"/>
      <c r="FA365" s="535"/>
      <c r="FB365" s="535"/>
      <c r="FC365" s="535"/>
      <c r="FD365" s="567" t="e">
        <f t="shared" si="847"/>
        <v>#N/A</v>
      </c>
      <c r="FE365" s="567" t="e">
        <f t="shared" si="901"/>
        <v>#N/A</v>
      </c>
      <c r="FF365" s="568" t="e">
        <f t="shared" si="902"/>
        <v>#N/A</v>
      </c>
      <c r="FG365" s="569" t="s">
        <v>656</v>
      </c>
      <c r="FH365" s="569" t="s">
        <v>656</v>
      </c>
      <c r="FI365" s="567" t="e">
        <v>#N/A</v>
      </c>
      <c r="FJ365" s="567" t="e">
        <v>#N/A</v>
      </c>
      <c r="FK365" s="535"/>
      <c r="FL365" s="1015" t="e">
        <f t="shared" si="846"/>
        <v>#N/A</v>
      </c>
      <c r="FM365" s="535"/>
      <c r="FN365" s="535"/>
      <c r="FO365" s="535">
        <f>O365+((Sheet1!CS363)*GPMtoMGD)</f>
        <v>59.16</v>
      </c>
      <c r="FP365" s="535">
        <f>IF(Sheet1!AA363+AQ365&lt;=Calculation!N365,AQ365,Calculation!N365-Sheet1!AA363)</f>
        <v>23.527712264150942</v>
      </c>
      <c r="FQ365" s="535">
        <f>(Sheet1!BP363+Sheet1!BO363)/694.4</f>
        <v>2.1409850230414746</v>
      </c>
      <c r="FR365" s="541"/>
      <c r="FS365" s="541"/>
      <c r="FT365" s="541"/>
      <c r="FU365" s="541"/>
      <c r="FV365" s="1109">
        <f t="shared" si="798"/>
        <v>42918</v>
      </c>
      <c r="FW365" s="1109">
        <f t="shared" si="799"/>
        <v>43027</v>
      </c>
      <c r="FX365" s="541"/>
      <c r="FY365" s="541">
        <f>Sheet1!DA363-Sheet1!CZ363-Sheet1!AE363</f>
        <v>774.45999000000268</v>
      </c>
      <c r="FZ365" s="535">
        <f t="shared" si="832"/>
        <v>0.29683062486861383</v>
      </c>
      <c r="GA365" s="535"/>
      <c r="GB365" s="535" t="str">
        <f t="shared" si="800"/>
        <v>n</v>
      </c>
      <c r="GC365" s="539">
        <f t="shared" si="801"/>
        <v>42782</v>
      </c>
      <c r="GD365" s="1109">
        <f t="shared" si="802"/>
        <v>42904</v>
      </c>
      <c r="GE365" s="535">
        <f t="shared" si="818"/>
        <v>6520</v>
      </c>
      <c r="GF365" s="1109">
        <f t="shared" si="803"/>
        <v>42909</v>
      </c>
      <c r="GG365" s="535">
        <f t="shared" si="845"/>
        <v>3260</v>
      </c>
      <c r="GH365" s="539">
        <f t="shared" si="804"/>
        <v>43040</v>
      </c>
      <c r="GJ365" s="521">
        <f t="shared" si="805"/>
        <v>0</v>
      </c>
      <c r="GK365" s="535" t="str">
        <f t="shared" si="903"/>
        <v/>
      </c>
      <c r="GL365" s="535">
        <f t="shared" si="806"/>
        <v>0</v>
      </c>
      <c r="GM365" s="535" t="str">
        <f t="shared" si="807"/>
        <v/>
      </c>
      <c r="GN365" s="535">
        <f>IF(GK365="P",Lookup!$M$12,IF(GK365="PP",Lookup!$M$13,IF(GK365="PPP",Lookup!$M$14,IF(GK365="T",Lookup!$M$15,IF(GK365="TP",Lookup!$M$16,IF(GK365="TPP",Lookup!$M$17,IF(GK365="TPPP",Lookup!$M$18,0)))))))*GJ365</f>
        <v>0</v>
      </c>
      <c r="GO365" s="535">
        <f t="shared" si="808"/>
        <v>0</v>
      </c>
      <c r="GP365" s="535">
        <f t="shared" si="904"/>
        <v>0</v>
      </c>
      <c r="GQ365" s="974">
        <f t="shared" si="848"/>
        <v>0</v>
      </c>
      <c r="GR365" s="535"/>
      <c r="GS365" s="535">
        <f t="shared" si="809"/>
        <v>0</v>
      </c>
      <c r="GT365" s="535" t="str">
        <f t="shared" si="810"/>
        <v/>
      </c>
      <c r="GU365" s="535">
        <f>IF(GK365="P",Lookup!$N$12,IF(GK365="PP",Lookup!$N$13,IF(GK365="PPP",Lookup!$N$14,IF(GK365="T",Lookup!$N$15,IF(GK365="TP",Lookup!$N$16,IF(GK365="TPP",Lookup!$N$17,IF(GK365="TPPP",Lookup!$N$18,0)))))))*GJ365</f>
        <v>0</v>
      </c>
      <c r="GV365" s="535">
        <f t="shared" si="811"/>
        <v>0</v>
      </c>
      <c r="GW365" s="535">
        <f t="shared" si="905"/>
        <v>0</v>
      </c>
      <c r="GX365" s="974">
        <f t="shared" si="849"/>
        <v>0</v>
      </c>
      <c r="GY365" s="535"/>
      <c r="GZ365" s="535">
        <f t="shared" si="812"/>
        <v>0</v>
      </c>
      <c r="HA365" s="535" t="str">
        <f t="shared" si="813"/>
        <v/>
      </c>
      <c r="HB365" s="535">
        <f>IF(GK365="P",Lookup!$N$12,IF(GK365="PP",Lookup!$N$13,IF(GK365="PPP",Lookup!$N$14,IF(GK365="T",Lookup!$N$15,IF(GK365="TP",Lookup!$N$16,IF(GK365="TPP",Lookup!$N$17,IF(GK365="TPPP",Lookup!$N$18,0)))))))*GJ365</f>
        <v>0</v>
      </c>
      <c r="HC365" s="521">
        <f t="shared" si="906"/>
        <v>0</v>
      </c>
      <c r="HD365" s="535">
        <f t="shared" si="907"/>
        <v>0</v>
      </c>
      <c r="HE365" s="535">
        <f t="shared" si="816"/>
        <v>0</v>
      </c>
      <c r="HF365" s="535"/>
      <c r="HG365" s="535">
        <f t="shared" si="814"/>
        <v>0</v>
      </c>
      <c r="HH365" s="535" t="str">
        <f t="shared" si="815"/>
        <v/>
      </c>
      <c r="HI365" s="535">
        <f>IF(GK365="P",Lookup!$N$12,IF(GK365="PP",Lookup!$N$13,IF(GK365="PPP",Lookup!$N$14,IF(GK365="T",Lookup!$N$15,IF(GK365="TP",Lookup!$N$16,IF(GK365="TPP",Lookup!$N$17,IF(GK365="TPPP",Lookup!$N$18,0)))))))*GJ365</f>
        <v>0</v>
      </c>
      <c r="HJ365" s="521">
        <f t="shared" si="908"/>
        <v>0</v>
      </c>
      <c r="HK365" s="535">
        <f t="shared" si="909"/>
        <v>0</v>
      </c>
      <c r="HL365" s="535">
        <f t="shared" si="817"/>
        <v>0</v>
      </c>
      <c r="HM365" s="535"/>
      <c r="HN365" s="541"/>
      <c r="HO365" s="541"/>
      <c r="HP365" s="541"/>
      <c r="HQ365" s="541">
        <f>IF(AND(B365&gt;=$FV$4,B365&lt;=$FW$4),MAX(110/1.02+$HQ$6+MIN(113/1.02,G365),IF($HV$6-(Sheet1!DA363-Sheet1!DB363)+MIN(113/1.02,G365)&lt;G365+FL365,$HV$6-(Sheet1!DA363-Sheet1!DB363)+MIN(113/1.02,G365),G365+FL365)),MIN(110/1.02+$HQ$6+113/1.02,G365))</f>
        <v>218.62745098039215</v>
      </c>
      <c r="HR365" s="541">
        <f t="shared" si="833"/>
        <v>223</v>
      </c>
      <c r="HS365" s="541">
        <f>HR365+(Sheet1!DA363-Sheet1!DB363)</f>
        <v>963</v>
      </c>
      <c r="HT365" s="541">
        <f t="shared" si="834"/>
        <v>0</v>
      </c>
      <c r="HU365" s="541">
        <f t="shared" si="835"/>
        <v>963</v>
      </c>
      <c r="HV365" s="541">
        <f t="shared" si="836"/>
        <v>0</v>
      </c>
      <c r="HW365" s="533" t="str">
        <f t="shared" si="837"/>
        <v/>
      </c>
      <c r="HX365" s="541">
        <f t="shared" si="838"/>
        <v>2561.372549019608</v>
      </c>
      <c r="HY365" s="541">
        <f>Sheet1!CZ363</f>
        <v>2780</v>
      </c>
      <c r="HZ365" s="541">
        <f t="shared" si="839"/>
        <v>0</v>
      </c>
      <c r="IA365" s="541">
        <f t="shared" si="840"/>
        <v>0</v>
      </c>
      <c r="IB365" s="541">
        <f t="shared" si="841"/>
        <v>2780</v>
      </c>
      <c r="IC365" s="1019" t="str">
        <f t="shared" si="842"/>
        <v/>
      </c>
      <c r="ID365" s="541">
        <f t="shared" si="843"/>
        <v>2780</v>
      </c>
      <c r="IE365" s="541">
        <f>Sheet1!DB363</f>
        <v>2890</v>
      </c>
      <c r="IF365" s="533">
        <f>Sheet1!DA363</f>
        <v>3630</v>
      </c>
      <c r="IH365" s="541">
        <f>IF(AND($B365&gt;=$GC365,$B365&lt;=$GH365,$DR365&lt;0)+N("only adjusted when pool is drawn down during storage season"),Sheet1!$DB363+$DR365+N("Palmer minus all storage release"),Sheet1!$DB363)</f>
        <v>2890</v>
      </c>
      <c r="II365" s="541">
        <f>IF(AND($B365&gt;=$GC365,$B365&lt;=$GH365,$DR365&lt;0)+N("only adjusted when pool is drawn down during storage season"),Sheet1!$DA363+$DR365+N("Auburn minus all storage release"),Sheet1!$DA363)</f>
        <v>3630</v>
      </c>
    </row>
    <row r="366" spans="1:243" x14ac:dyDescent="0.25">
      <c r="A366" s="553" t="s">
        <v>7</v>
      </c>
      <c r="B366" s="531">
        <v>43090</v>
      </c>
      <c r="C366" s="536">
        <v>0</v>
      </c>
      <c r="D366" s="506">
        <f t="shared" si="787"/>
        <v>300</v>
      </c>
      <c r="E366" s="506">
        <f t="shared" si="788"/>
        <v>250</v>
      </c>
      <c r="F366" s="506">
        <v>250</v>
      </c>
      <c r="G366" s="535">
        <f>DR366+Sheet1!CZ364</f>
        <v>1560.4034291469743</v>
      </c>
      <c r="H366" s="1074">
        <f t="shared" si="844"/>
        <v>1177.410864512</v>
      </c>
      <c r="I366" s="534">
        <f>IF(Sheet1!DA364&gt;=E366,(Sheet1!DA364-E366+P366)*CFStoMGD,0)</f>
        <v>1610.498864512</v>
      </c>
      <c r="J366" s="995">
        <f>IF(Sheet1!DB364&gt;=D366,(Sheet1!DB364-D366+P366)*CFStoMGD,0)</f>
        <v>1177.410864512</v>
      </c>
      <c r="K366" s="818">
        <f t="shared" si="819"/>
        <v>64.64</v>
      </c>
      <c r="L366" s="535">
        <f>Sheet1!AA364+Sheet1!AB364-Sheet1!L364+(Sheet1!DA364-F366)*CFStoMGD-S366-T366-U366</f>
        <v>1549.7900000000002</v>
      </c>
      <c r="M366" s="535">
        <f t="shared" si="850"/>
        <v>1028.8176721326163</v>
      </c>
      <c r="N366" s="824">
        <f>IF(Sheet1!DA364&gt;=F366,MIN(113*CFStoMGD,MIN(MAX(L366,0),MAX(M366,0))),0)</f>
        <v>73.043199999999999</v>
      </c>
      <c r="O366" s="538">
        <f>Sheet1!AA364+Sheet1!AB364</f>
        <v>59.14</v>
      </c>
      <c r="P366" s="538">
        <f t="shared" si="851"/>
        <v>91.489579999999989</v>
      </c>
      <c r="Q366" s="812">
        <f t="shared" si="820"/>
        <v>0</v>
      </c>
      <c r="R366" s="812">
        <f t="shared" si="789"/>
        <v>10.44</v>
      </c>
      <c r="S366" s="812">
        <f t="shared" si="790"/>
        <v>59.14</v>
      </c>
      <c r="T366" s="812">
        <f t="shared" si="791"/>
        <v>0</v>
      </c>
      <c r="U366" s="812">
        <f>IF(AND(B366&gt;=FV366,B366&lt;=FW366),ED366+Sheet1!EH364,0)</f>
        <v>0</v>
      </c>
      <c r="V366" s="812"/>
      <c r="W366" s="812">
        <f t="shared" si="792"/>
        <v>54.2</v>
      </c>
      <c r="X366" s="812">
        <f t="shared" si="793"/>
        <v>59.14</v>
      </c>
      <c r="Y366" s="812" t="str">
        <f t="shared" si="794"/>
        <v/>
      </c>
      <c r="Z366" s="812">
        <f t="shared" si="795"/>
        <v>59.14</v>
      </c>
      <c r="AA366" s="812">
        <f t="shared" si="796"/>
        <v>59.14</v>
      </c>
      <c r="AB366" s="1059">
        <f t="shared" si="821"/>
        <v>0</v>
      </c>
      <c r="AC366" s="538">
        <f>Sheet1!Y364*MGDtoCFS</f>
        <v>38.984399999999994</v>
      </c>
      <c r="AD366" s="538">
        <f>Sheet1!Z364*MGDtoCFS</f>
        <v>52.536119999999997</v>
      </c>
      <c r="AE366" s="538">
        <f>Sheet1!AA364*MGDtoCFS</f>
        <v>38.984399999999994</v>
      </c>
      <c r="AF366" s="538">
        <f>Sheet1!AB364*MGDtoCFS</f>
        <v>52.505179999999996</v>
      </c>
      <c r="AG366" s="538">
        <f>Sheet1!L364*MGDtoCFS</f>
        <v>2.4287899999995495</v>
      </c>
      <c r="AH366" s="521">
        <f t="shared" si="852"/>
        <v>0</v>
      </c>
      <c r="AI366" s="1059">
        <f t="shared" si="853"/>
        <v>0</v>
      </c>
      <c r="AJ366" s="535">
        <f t="shared" si="854"/>
        <v>0</v>
      </c>
      <c r="AK366" s="535">
        <f t="shared" si="855"/>
        <v>0</v>
      </c>
      <c r="AL366" s="535">
        <f>(VLOOKUP(Sheet1!DC364,hhdcap_wcm,4)-(((VLOOKUP(Sheet1!DC364,hhdcap_wcm,3)-Sheet1!DC364)/(VLOOKUP(Sheet1!DC364,hhdcap_wcm,3)-VLOOKUP(Sheet1!DC364,hhdcap_wcm,1)))*(VLOOKUP(Sheet1!DC364,hhdcap_wcm,4)-VLOOKUP(Sheet1!DC364,hhdcap_wcm,2))))</f>
        <v>4684.6000000100958</v>
      </c>
      <c r="AM366" s="535">
        <f t="shared" si="856"/>
        <v>-792.40000000155032</v>
      </c>
      <c r="AN366" s="1035">
        <f t="shared" si="857"/>
        <v>0</v>
      </c>
      <c r="AO366" s="535">
        <f t="shared" si="858"/>
        <v>0</v>
      </c>
      <c r="AP366" s="535">
        <f>Sheet1!BA364+Sheet1!BB364+Sheet1!BN364+CD366</f>
        <v>23.5</v>
      </c>
      <c r="AQ366" s="535">
        <f>Sheet1!BN364+(DO366*Sheet1!BN364)</f>
        <v>23.5</v>
      </c>
      <c r="AR366" s="535">
        <f>Sheet1!BA364+CD366</f>
        <v>0</v>
      </c>
      <c r="AS366" s="535">
        <f>Sheet1!BA364+Sheet1!BB364+CD366</f>
        <v>0</v>
      </c>
      <c r="AT366" s="649">
        <f>0</f>
        <v>0</v>
      </c>
      <c r="AU366" s="974">
        <f>BA366+MAX(Sheet1!EH364,(O366-Q366-ED366-S366))</f>
        <v>0</v>
      </c>
      <c r="AV366" s="535">
        <f>IF(OR(B366&gt;=GD366,B366&lt;GC366),0,15/36*K366-MAX(0,64.6-(137.6-(Sheet1!AA364+Sheet1!AB364))))</f>
        <v>0</v>
      </c>
      <c r="AW366" s="1029"/>
      <c r="AX366" s="649"/>
      <c r="AY366" s="649">
        <f t="shared" si="822"/>
        <v>23.311716569431731</v>
      </c>
      <c r="AZ366" s="649">
        <f t="shared" si="823"/>
        <v>0</v>
      </c>
      <c r="BA366" s="1059">
        <f t="shared" si="824"/>
        <v>0</v>
      </c>
      <c r="BB366" s="1019">
        <f t="shared" si="859"/>
        <v>0</v>
      </c>
      <c r="BC366" s="1041">
        <f t="shared" si="825"/>
        <v>26.933333333333334</v>
      </c>
      <c r="BD366" s="1019">
        <f ca="1">IF(B366&gt;(Summary!$A$1-1),#N/A,BB366*MGtoAF)</f>
        <v>0</v>
      </c>
      <c r="BE366" s="535">
        <f>Sheet1!BG364+Sheet1!BH364+Sheet1!BI364-BM366</f>
        <v>1.01</v>
      </c>
      <c r="BF366" s="535">
        <f t="shared" si="860"/>
        <v>1.01</v>
      </c>
      <c r="BG366" s="535">
        <f>IF(Sheet1!EP364="FM",BM366,0)</f>
        <v>0</v>
      </c>
      <c r="BH366" s="535">
        <f t="shared" si="861"/>
        <v>0</v>
      </c>
      <c r="BI366" s="535">
        <f>IF(Sheet1!EP364="OTHER",BM366,0)</f>
        <v>0</v>
      </c>
      <c r="BJ366" s="535">
        <f t="shared" si="862"/>
        <v>0</v>
      </c>
      <c r="BK366" s="535">
        <f t="shared" si="863"/>
        <v>1.01</v>
      </c>
      <c r="BL366" s="535">
        <f t="shared" si="864"/>
        <v>1.01</v>
      </c>
      <c r="BM366" s="535">
        <f>IF(OR(Sheet1!EP364="FM", Sheet1!EP364="OTHER"),SUM(Sheet1!BG364:'Sheet1'!BI364),0)</f>
        <v>0</v>
      </c>
      <c r="BN366" s="521">
        <f>IF(AND($B366&gt;=$FV366,$B366&lt;=$FW366),MAX(BF366,Sheet1!EI364,0),MAX(BF366-(7/36)*$K366,0))</f>
        <v>0</v>
      </c>
      <c r="BO366" s="535">
        <f t="shared" si="865"/>
        <v>0</v>
      </c>
      <c r="BP366" s="521">
        <f t="shared" si="866"/>
        <v>1.01</v>
      </c>
      <c r="BQ366" s="521">
        <f>IF(AND($O366&gt;0,Sheet1!EM364=1),(1-($O366-Sheet1!$L364)/$O366)*BL366,0)</f>
        <v>0</v>
      </c>
      <c r="BR366" s="521">
        <f>IF(AND(Sheet1!$L364=0,Sheet1!$L363=0, Calculation!BK366&lt;Sheet1!$EI364-0.1,Sheet1!$EI364=Sheet1!$EI363,Sheet1!$EI364=Sheet1!$EI365),BL366-BQ366,BL366-BQ366)</f>
        <v>1.01</v>
      </c>
      <c r="BS366" s="1035" t="str">
        <f t="shared" si="826"/>
        <v/>
      </c>
      <c r="BT366" s="1035">
        <f t="shared" si="827"/>
        <v>12.568888888888889</v>
      </c>
      <c r="BU366" s="535">
        <f t="shared" si="867"/>
        <v>0</v>
      </c>
      <c r="BV366" s="535"/>
      <c r="BW366" s="535">
        <f ca="1">IF(B366&gt;(Summary!$A$1-1),#N/A,BU366*MGtoAF)</f>
        <v>0</v>
      </c>
      <c r="BX366" s="535">
        <f>Sheet1!BC364+Sheet1!BD364+Sheet1!BE364+Sheet1!BF364-CG366-CH366</f>
        <v>2.99</v>
      </c>
      <c r="BY366" s="535">
        <f t="shared" si="868"/>
        <v>2.99</v>
      </c>
      <c r="BZ366" s="535">
        <f>IF(Sheet1!EQ364="FM",CH366,0)</f>
        <v>0</v>
      </c>
      <c r="CA366" s="535">
        <f t="shared" si="869"/>
        <v>0</v>
      </c>
      <c r="CB366" s="535">
        <f>IF(Sheet1!EQ364="OTHER",CH366,0)</f>
        <v>0</v>
      </c>
      <c r="CC366" s="535">
        <f t="shared" si="870"/>
        <v>0</v>
      </c>
      <c r="CD366" s="535">
        <f t="shared" si="871"/>
        <v>0</v>
      </c>
      <c r="CE366" s="535">
        <f t="shared" si="872"/>
        <v>2.99</v>
      </c>
      <c r="CF366" s="535">
        <f t="shared" si="873"/>
        <v>2.99</v>
      </c>
      <c r="CG366" s="535">
        <f>IF(Sheet1!EQ364="CWA",SUM(Sheet1!BC364:'Sheet1'!BF364),0)</f>
        <v>0</v>
      </c>
      <c r="CH366" s="535">
        <f>IF(OR(Sheet1!EQ364="FM", Sheet1!EQ364="OTHER"),SUM(Sheet1!BC364:'Sheet1'!BF364),0)</f>
        <v>0</v>
      </c>
      <c r="CI366" s="521">
        <f>IF(AND($B366&gt;=$FV366,$B366&lt;=$FW366),MAX(CF366,Sheet1!EJ364,0),MAX(CF366-(7/36)*$K366,0))</f>
        <v>0</v>
      </c>
      <c r="CJ366" s="535">
        <f t="shared" si="874"/>
        <v>0</v>
      </c>
      <c r="CK366" s="521">
        <f t="shared" si="875"/>
        <v>2.99</v>
      </c>
      <c r="CL366" s="521">
        <f>IF(AND($O366&gt;0,Sheet1!EN364=1),(1-($O366-Sheet1!$L364)/$O366)*CF366,0)</f>
        <v>0</v>
      </c>
      <c r="CM366" s="521">
        <f>IF(AND(Sheet1!$L364=0,Sheet1!$L363=0, Calculation!CE366&lt;Sheet1!EJ364-0.1,Sheet1!EJ364=Sheet1!EJ363,Sheet1!EJ364=Sheet1!EJ365),CF366-CL366,CF366-CL366)</f>
        <v>2.99</v>
      </c>
      <c r="CN366" s="1040" t="str">
        <f t="shared" si="828"/>
        <v/>
      </c>
      <c r="CO366" s="1035">
        <f t="shared" si="829"/>
        <v>12.568888888888889</v>
      </c>
      <c r="CP366" s="535">
        <f t="shared" si="876"/>
        <v>0</v>
      </c>
      <c r="CQ366" s="535"/>
      <c r="CR366" s="535">
        <f ca="1">IF(B366&gt;(Summary!$A$1-1),#N/A,CP366*MGtoAF)</f>
        <v>0</v>
      </c>
      <c r="CS366" s="535">
        <f>Sheet1!BK364+Sheet1!BL364+Sheet1!BM364-Sheet1!ER364-DA366</f>
        <v>6.4399999999999995</v>
      </c>
      <c r="CT366" s="535">
        <f t="shared" si="877"/>
        <v>6.4399999999999995</v>
      </c>
      <c r="CU366" s="535">
        <f>IF(Sheet1!ER364="FM",DA366,0)</f>
        <v>0</v>
      </c>
      <c r="CV366" s="535">
        <f t="shared" si="878"/>
        <v>0</v>
      </c>
      <c r="CW366" s="535">
        <f>IF(Sheet1!ER364="OTHER",DA366,0)</f>
        <v>0</v>
      </c>
      <c r="CX366" s="535">
        <f t="shared" si="879"/>
        <v>0</v>
      </c>
      <c r="CY366" s="535">
        <f t="shared" si="880"/>
        <v>6.4399999999999995</v>
      </c>
      <c r="CZ366" s="535">
        <f t="shared" si="881"/>
        <v>6.4399999999999995</v>
      </c>
      <c r="DA366" s="535">
        <f>IF(OR(Sheet1!ER364="FM", Sheet1!ER364="OTHER"),SUM(Sheet1!BK364:'Sheet1'!BM364),0)</f>
        <v>0</v>
      </c>
      <c r="DB366" s="1011">
        <f>IF(AND($B366&gt;=$FV366,$B366&lt;=$FW366),MAX($CT366,Sheet1!EK364,0),MAX($CT366-(7/36)*$K366,0))</f>
        <v>0</v>
      </c>
      <c r="DC366" s="1012">
        <f t="shared" si="882"/>
        <v>0</v>
      </c>
      <c r="DD366" s="1011">
        <f t="shared" si="883"/>
        <v>6.4399999999999995</v>
      </c>
      <c r="DE366" s="521">
        <f>IF(AND($O366&gt;0,Sheet1!EO364=1),(1-($O366-Sheet1!$L364)/$O366)*CZ366,0)</f>
        <v>0</v>
      </c>
      <c r="DF366" s="521">
        <f>IF(AND(Sheet1!$L364=0,Sheet1!$L363=0, Calculation!CY366&lt;Sheet1!$EK364-0.1,Sheet1!$EK364=Sheet1!$EK363,Sheet1!$EK364=Sheet1!$EK365),CZ366-DE366,CZ366-DE366)</f>
        <v>6.4399999999999995</v>
      </c>
      <c r="DG366" s="1040">
        <f t="shared" si="830"/>
        <v>12.568888888888889</v>
      </c>
      <c r="DH366" s="649">
        <f t="shared" si="884"/>
        <v>10.44</v>
      </c>
      <c r="DI366" s="535">
        <f t="shared" si="885"/>
        <v>0</v>
      </c>
      <c r="DJ366" s="649">
        <f t="shared" si="886"/>
        <v>10.44</v>
      </c>
      <c r="DK366" s="535">
        <f ca="1">IF(B366&gt;(Summary!$A$1-1),#N/A,DI366*MGtoAF)</f>
        <v>0</v>
      </c>
      <c r="DL366" s="649">
        <f t="shared" si="887"/>
        <v>10.44</v>
      </c>
      <c r="DM366" s="535">
        <f t="shared" si="888"/>
        <v>33.94</v>
      </c>
      <c r="DN366" s="535">
        <f>Sheet1!AB364-DM366</f>
        <v>0</v>
      </c>
      <c r="DO366" s="743">
        <f t="shared" si="889"/>
        <v>0</v>
      </c>
      <c r="DP366" s="535">
        <f>(VLOOKUP(Sheet1!DC364,hhdcap_wcm,4)-(((VLOOKUP(Sheet1!DC364,hhdcap_wcm,3)-Sheet1!DC364)/(VLOOKUP(Sheet1!DC364,hhdcap_wcm,3)-VLOOKUP(Sheet1!DC364,hhdcap_wcm,1)))*(VLOOKUP(Sheet1!DC364,hhdcap_wcm,4)-VLOOKUP(Sheet1!DC364,hhdcap_wcm,2))))</f>
        <v>4684.6000000100958</v>
      </c>
      <c r="DQ366" s="535">
        <f t="shared" si="890"/>
        <v>-792.40000000155032</v>
      </c>
      <c r="DR366" s="535">
        <f t="shared" si="891"/>
        <v>-399.59657085302581</v>
      </c>
      <c r="DS366" s="535">
        <f>Sheet1!EA364*AFtoMG</f>
        <v>0</v>
      </c>
      <c r="DT366" s="535">
        <f>Sheet1!EB364*AFtoMG</f>
        <v>0</v>
      </c>
      <c r="DU366" s="535">
        <f>Sheet1!EC364*AFtoMG</f>
        <v>0</v>
      </c>
      <c r="DV366" s="535">
        <f>Sheet1!ED364*AFtoMG</f>
        <v>0</v>
      </c>
      <c r="DW366" s="535">
        <f t="shared" si="892"/>
        <v>0</v>
      </c>
      <c r="DX366" s="535">
        <f t="shared" si="893"/>
        <v>0</v>
      </c>
      <c r="DY366" s="535">
        <f t="shared" si="894"/>
        <v>0</v>
      </c>
      <c r="DZ366" s="535">
        <f t="shared" si="895"/>
        <v>0</v>
      </c>
      <c r="EA366" s="535"/>
      <c r="EB366" s="521">
        <f>IF(OR(B366&lt;FV366,B366&gt;FW366),(MIN(BF366+BY366+CT366+MAX(Sheet1!AA364+AQ366-73,0),K366)),0)</f>
        <v>10.44</v>
      </c>
      <c r="EC366" s="535"/>
      <c r="ED366" s="535">
        <f t="shared" si="896"/>
        <v>10.44</v>
      </c>
      <c r="EE366" s="535"/>
      <c r="EF366" s="535">
        <f>Sheet1!EH364+Sheet1!EI364+Sheet1!EJ364+Sheet1!EK364</f>
        <v>10.5</v>
      </c>
      <c r="EG366" s="1019">
        <f t="shared" si="831"/>
        <v>16.243500000000001</v>
      </c>
      <c r="EH366" s="521">
        <f t="shared" si="897"/>
        <v>0</v>
      </c>
      <c r="EI366" s="535">
        <f>IF(Sheet1!ET364=1,SUM('Calculations II'!AT366:BA366)+'Calculations II'!BC366+Sheet1!BV364+'Calculations II'!BE366+AP366,'Calculations II'!BK366)</f>
        <v>47.708667999999996</v>
      </c>
      <c r="EJ366" s="535">
        <f ca="1">EI366+'Calculations II'!D366+'Calculations II'!E366+'Calculations II'!O366</f>
        <v>47.69801526579225</v>
      </c>
      <c r="EK366" s="535"/>
      <c r="EL366" s="535"/>
      <c r="EM366" s="535">
        <f t="shared" si="898"/>
        <v>43090</v>
      </c>
      <c r="EN366" s="535">
        <f t="shared" si="899"/>
        <v>0</v>
      </c>
      <c r="EO366" s="535">
        <f t="shared" si="900"/>
        <v>0</v>
      </c>
      <c r="EP366" s="535">
        <v>0</v>
      </c>
      <c r="EQ366" s="535">
        <v>0</v>
      </c>
      <c r="ER366" s="535">
        <v>0</v>
      </c>
      <c r="ES366" s="521">
        <f t="shared" si="797"/>
        <v>-0.55395832895860819</v>
      </c>
      <c r="ET366" s="535">
        <f>-(VLOOKUP(Sheet1!BQ364,Lookup!$O$4:$Q$262,2)-VLOOKUP(Sheet1!BQ363,Lookup!$O$4:$Q$262,2))/1000000</f>
        <v>-0.13844632791959494</v>
      </c>
      <c r="EU366" s="535">
        <f>-(VLOOKUP(Sheet1!BR364,Lookup!$O$4:$Q$262,3)-VLOOKUP(Sheet1!BR363,Lookup!$O$4:$Q$262,3))/1000000</f>
        <v>-0.41551200103901326</v>
      </c>
      <c r="EV366" s="535"/>
      <c r="EW366" s="535"/>
      <c r="EX366" s="535"/>
      <c r="EY366" s="535"/>
      <c r="EZ366" s="535"/>
      <c r="FA366" s="535"/>
      <c r="FB366" s="535"/>
      <c r="FC366" s="535"/>
      <c r="FD366" s="567" t="e">
        <f t="shared" si="847"/>
        <v>#N/A</v>
      </c>
      <c r="FE366" s="567" t="e">
        <f t="shared" si="901"/>
        <v>#N/A</v>
      </c>
      <c r="FF366" s="568" t="e">
        <f t="shared" si="902"/>
        <v>#N/A</v>
      </c>
      <c r="FG366" s="569" t="s">
        <v>656</v>
      </c>
      <c r="FH366" s="569" t="s">
        <v>656</v>
      </c>
      <c r="FI366" s="567" t="e">
        <v>#N/A</v>
      </c>
      <c r="FJ366" s="567" t="e">
        <v>#N/A</v>
      </c>
      <c r="FK366" s="535"/>
      <c r="FL366" s="1015" t="e">
        <f t="shared" si="846"/>
        <v>#N/A</v>
      </c>
      <c r="FM366" s="535"/>
      <c r="FN366" s="535"/>
      <c r="FO366" s="535">
        <f>O366+((Sheet1!CS364)*GPMtoMGD)</f>
        <v>59.14</v>
      </c>
      <c r="FP366" s="535">
        <f>IF(Sheet1!AA364+AQ366&lt;=Calculation!N366,AQ366,Calculation!N366-Sheet1!AA364)</f>
        <v>23.5</v>
      </c>
      <c r="FQ366" s="535">
        <f>(Sheet1!BP364+Sheet1!BO364)/694.4</f>
        <v>1.7861463133640554</v>
      </c>
      <c r="FR366" s="541"/>
      <c r="FS366" s="541"/>
      <c r="FT366" s="541"/>
      <c r="FU366" s="541"/>
      <c r="FV366" s="1109">
        <f t="shared" si="798"/>
        <v>42918</v>
      </c>
      <c r="FW366" s="1109">
        <f t="shared" si="799"/>
        <v>43027</v>
      </c>
      <c r="FX366" s="541"/>
      <c r="FY366" s="541">
        <f>Sheet1!DA364-Sheet1!CZ364-Sheet1!AE364</f>
        <v>600.93920999999955</v>
      </c>
      <c r="FZ366" s="535">
        <f t="shared" si="832"/>
        <v>0.38511784758670708</v>
      </c>
      <c r="GA366" s="535"/>
      <c r="GB366" s="535" t="str">
        <f t="shared" si="800"/>
        <v>n</v>
      </c>
      <c r="GC366" s="539">
        <f t="shared" si="801"/>
        <v>42782</v>
      </c>
      <c r="GD366" s="1109">
        <f t="shared" si="802"/>
        <v>42904</v>
      </c>
      <c r="GE366" s="535">
        <f t="shared" si="818"/>
        <v>6520</v>
      </c>
      <c r="GF366" s="1109">
        <f t="shared" si="803"/>
        <v>42909</v>
      </c>
      <c r="GG366" s="535">
        <f t="shared" si="845"/>
        <v>3260</v>
      </c>
      <c r="GH366" s="539">
        <f t="shared" si="804"/>
        <v>43040</v>
      </c>
      <c r="GJ366" s="521">
        <f t="shared" si="805"/>
        <v>0</v>
      </c>
      <c r="GK366" s="535" t="str">
        <f t="shared" si="903"/>
        <v/>
      </c>
      <c r="GL366" s="535">
        <f t="shared" si="806"/>
        <v>0</v>
      </c>
      <c r="GM366" s="535" t="str">
        <f t="shared" si="807"/>
        <v/>
      </c>
      <c r="GN366" s="535">
        <f>IF(GK366="P",Lookup!$M$12,IF(GK366="PP",Lookup!$M$13,IF(GK366="PPP",Lookup!$M$14,IF(GK366="T",Lookup!$M$15,IF(GK366="TP",Lookup!$M$16,IF(GK366="TPP",Lookup!$M$17,IF(GK366="TPPP",Lookup!$M$18,0)))))))*GJ366</f>
        <v>0</v>
      </c>
      <c r="GO366" s="535">
        <f t="shared" si="808"/>
        <v>0</v>
      </c>
      <c r="GP366" s="535">
        <f t="shared" si="904"/>
        <v>0</v>
      </c>
      <c r="GQ366" s="974">
        <f t="shared" si="848"/>
        <v>0</v>
      </c>
      <c r="GR366" s="535"/>
      <c r="GS366" s="535">
        <f t="shared" si="809"/>
        <v>0</v>
      </c>
      <c r="GT366" s="535" t="str">
        <f t="shared" si="810"/>
        <v/>
      </c>
      <c r="GU366" s="535">
        <f>IF(GK366="P",Lookup!$N$12,IF(GK366="PP",Lookup!$N$13,IF(GK366="PPP",Lookup!$N$14,IF(GK366="T",Lookup!$N$15,IF(GK366="TP",Lookup!$N$16,IF(GK366="TPP",Lookup!$N$17,IF(GK366="TPPP",Lookup!$N$18,0)))))))*GJ366</f>
        <v>0</v>
      </c>
      <c r="GV366" s="535">
        <f t="shared" si="811"/>
        <v>0</v>
      </c>
      <c r="GW366" s="535">
        <f t="shared" si="905"/>
        <v>0</v>
      </c>
      <c r="GX366" s="974">
        <f t="shared" si="849"/>
        <v>0</v>
      </c>
      <c r="GY366" s="535"/>
      <c r="GZ366" s="535">
        <f t="shared" si="812"/>
        <v>0</v>
      </c>
      <c r="HA366" s="535" t="str">
        <f t="shared" si="813"/>
        <v/>
      </c>
      <c r="HB366" s="535">
        <f>IF(GK366="P",Lookup!$N$12,IF(GK366="PP",Lookup!$N$13,IF(GK366="PPP",Lookup!$N$14,IF(GK366="T",Lookup!$N$15,IF(GK366="TP",Lookup!$N$16,IF(GK366="TPP",Lookup!$N$17,IF(GK366="TPPP",Lookup!$N$18,0)))))))*GJ366</f>
        <v>0</v>
      </c>
      <c r="HC366" s="521">
        <f t="shared" si="906"/>
        <v>0</v>
      </c>
      <c r="HD366" s="535">
        <f t="shared" si="907"/>
        <v>0</v>
      </c>
      <c r="HE366" s="535">
        <f t="shared" si="816"/>
        <v>0</v>
      </c>
      <c r="HF366" s="535"/>
      <c r="HG366" s="535">
        <f t="shared" si="814"/>
        <v>0</v>
      </c>
      <c r="HH366" s="535" t="str">
        <f t="shared" si="815"/>
        <v/>
      </c>
      <c r="HI366" s="535">
        <f>IF(GK366="P",Lookup!$N$12,IF(GK366="PP",Lookup!$N$13,IF(GK366="PPP",Lookup!$N$14,IF(GK366="T",Lookup!$N$15,IF(GK366="TP",Lookup!$N$16,IF(GK366="TPP",Lookup!$N$17,IF(GK366="TPPP",Lookup!$N$18,0)))))))*GJ366</f>
        <v>0</v>
      </c>
      <c r="HJ366" s="521">
        <f t="shared" si="908"/>
        <v>0</v>
      </c>
      <c r="HK366" s="535">
        <f t="shared" si="909"/>
        <v>0</v>
      </c>
      <c r="HL366" s="535">
        <f t="shared" si="817"/>
        <v>0</v>
      </c>
      <c r="HM366" s="535"/>
      <c r="HN366" s="541"/>
      <c r="HO366" s="541"/>
      <c r="HP366" s="541"/>
      <c r="HQ366" s="541">
        <f>IF(AND(B366&gt;=$FV$4,B366&lt;=$FW$4),MAX(110/1.02+$HQ$6+MIN(113/1.02,G366),IF($HV$6-(Sheet1!DA364-Sheet1!DB364)+MIN(113/1.02,G366)&lt;G366+FL366,$HV$6-(Sheet1!DA364-Sheet1!DB364)+MIN(113/1.02,G366),G366+FL366)),MIN(110/1.02+$HQ$6+113/1.02,G366))</f>
        <v>218.62745098039215</v>
      </c>
      <c r="HR366" s="541">
        <f t="shared" si="833"/>
        <v>223</v>
      </c>
      <c r="HS366" s="541">
        <f>HR366+(Sheet1!DA364-Sheet1!DB364)</f>
        <v>843</v>
      </c>
      <c r="HT366" s="541">
        <f t="shared" si="834"/>
        <v>0</v>
      </c>
      <c r="HU366" s="541">
        <f t="shared" si="835"/>
        <v>843</v>
      </c>
      <c r="HV366" s="541">
        <f t="shared" si="836"/>
        <v>0</v>
      </c>
      <c r="HW366" s="533" t="str">
        <f t="shared" si="837"/>
        <v/>
      </c>
      <c r="HX366" s="541">
        <f t="shared" si="838"/>
        <v>1741.372549019608</v>
      </c>
      <c r="HY366" s="541">
        <f>Sheet1!CZ364</f>
        <v>1960</v>
      </c>
      <c r="HZ366" s="541">
        <f t="shared" si="839"/>
        <v>0</v>
      </c>
      <c r="IA366" s="541">
        <f t="shared" si="840"/>
        <v>0</v>
      </c>
      <c r="IB366" s="541">
        <f t="shared" si="841"/>
        <v>1960</v>
      </c>
      <c r="IC366" s="1019" t="str">
        <f t="shared" si="842"/>
        <v/>
      </c>
      <c r="ID366" s="541">
        <f t="shared" si="843"/>
        <v>1960</v>
      </c>
      <c r="IE366" s="541">
        <f>Sheet1!DB364</f>
        <v>2030</v>
      </c>
      <c r="IF366" s="533">
        <f>Sheet1!DA364</f>
        <v>2650</v>
      </c>
      <c r="IH366" s="541">
        <f>IF(AND($B366&gt;=$GC366,$B366&lt;=$GH366,$DR366&lt;0)+N("only adjusted when pool is drawn down during storage season"),Sheet1!$DB364+$DR366+N("Palmer minus all storage release"),Sheet1!$DB364)</f>
        <v>2030</v>
      </c>
      <c r="II366" s="541">
        <f>IF(AND($B366&gt;=$GC366,$B366&lt;=$GH366,$DR366&lt;0)+N("only adjusted when pool is drawn down during storage season"),Sheet1!$DA364+$DR366+N("Auburn minus all storage release"),Sheet1!$DA364)</f>
        <v>2650</v>
      </c>
    </row>
    <row r="367" spans="1:243" x14ac:dyDescent="0.25">
      <c r="A367" s="553" t="s">
        <v>8</v>
      </c>
      <c r="B367" s="531">
        <v>43091</v>
      </c>
      <c r="C367" s="536">
        <v>0</v>
      </c>
      <c r="D367" s="506">
        <f t="shared" si="787"/>
        <v>300</v>
      </c>
      <c r="E367" s="506">
        <f t="shared" si="788"/>
        <v>250</v>
      </c>
      <c r="F367" s="506">
        <v>250</v>
      </c>
      <c r="G367" s="535">
        <f>DR367+Sheet1!CZ365</f>
        <v>1344.4024205747762</v>
      </c>
      <c r="H367" s="1074">
        <f t="shared" si="844"/>
        <v>834.77886527999999</v>
      </c>
      <c r="I367" s="534">
        <f>IF(Sheet1!DA365&gt;=E367,(Sheet1!DA365-E367+P367)*CFStoMGD,0)</f>
        <v>1261.40286528</v>
      </c>
      <c r="J367" s="995">
        <f>IF(Sheet1!DB365&gt;=D367,(Sheet1!DB365-D367+P367)*CFStoMGD,0)</f>
        <v>834.77886527999999</v>
      </c>
      <c r="K367" s="818">
        <f t="shared" si="819"/>
        <v>64.64</v>
      </c>
      <c r="L367" s="535">
        <f>Sheet1!AA365+Sheet1!AB365-Sheet1!L365+(Sheet1!DA365-F367)*CFStoMGD-S367-T367-U367</f>
        <v>1202.3039999999999</v>
      </c>
      <c r="M367" s="535">
        <f t="shared" si="850"/>
        <v>886.40215915272609</v>
      </c>
      <c r="N367" s="824">
        <f>IF(Sheet1!DA365&gt;=F367,MIN(113*CFStoMGD,MIN(MAX(L367,0),MAX(M367,0))),0)</f>
        <v>73.043199999999999</v>
      </c>
      <c r="O367" s="538">
        <f>Sheet1!AA365+Sheet1!AB365</f>
        <v>59.099999999999994</v>
      </c>
      <c r="P367" s="538">
        <f t="shared" si="851"/>
        <v>91.427699999999987</v>
      </c>
      <c r="Q367" s="812">
        <f t="shared" si="820"/>
        <v>0</v>
      </c>
      <c r="R367" s="812">
        <f t="shared" si="789"/>
        <v>10.476007056748015</v>
      </c>
      <c r="S367" s="812">
        <f t="shared" si="790"/>
        <v>59.099999999999994</v>
      </c>
      <c r="T367" s="812">
        <f t="shared" si="791"/>
        <v>0</v>
      </c>
      <c r="U367" s="812">
        <f>IF(AND(B367&gt;=FV367,B367&lt;=FW367),ED367+Sheet1!EH365,0)</f>
        <v>0</v>
      </c>
      <c r="V367" s="812"/>
      <c r="W367" s="812">
        <f t="shared" si="792"/>
        <v>54.163992943251984</v>
      </c>
      <c r="X367" s="812">
        <f t="shared" si="793"/>
        <v>59.099999999999994</v>
      </c>
      <c r="Y367" s="812" t="str">
        <f t="shared" si="794"/>
        <v/>
      </c>
      <c r="Z367" s="812">
        <f t="shared" si="795"/>
        <v>59.099999999999994</v>
      </c>
      <c r="AA367" s="812">
        <f t="shared" si="796"/>
        <v>59.099999999999994</v>
      </c>
      <c r="AB367" s="1059">
        <f t="shared" si="821"/>
        <v>0</v>
      </c>
      <c r="AC367" s="538">
        <f>Sheet1!Y365*MGDtoCFS</f>
        <v>38.984399999999994</v>
      </c>
      <c r="AD367" s="538">
        <f>Sheet1!Z365*MGDtoCFS</f>
        <v>52.505179999999996</v>
      </c>
      <c r="AE367" s="538">
        <f>Sheet1!AA365*MGDtoCFS</f>
        <v>38.984399999999994</v>
      </c>
      <c r="AF367" s="538">
        <f>Sheet1!AB365*MGDtoCFS</f>
        <v>52.443299999999994</v>
      </c>
      <c r="AG367" s="538">
        <f>Sheet1!L365*MGDtoCFS</f>
        <v>0</v>
      </c>
      <c r="AH367" s="521">
        <f t="shared" si="852"/>
        <v>0</v>
      </c>
      <c r="AI367" s="1059">
        <f t="shared" si="853"/>
        <v>0</v>
      </c>
      <c r="AJ367" s="535">
        <f t="shared" si="854"/>
        <v>0</v>
      </c>
      <c r="AK367" s="535">
        <f t="shared" si="855"/>
        <v>0</v>
      </c>
      <c r="AL367" s="535">
        <f>(VLOOKUP(Sheet1!DC365,hhdcap_wcm,4)-(((VLOOKUP(Sheet1!DC365,hhdcap_wcm,3)-Sheet1!DC365)/(VLOOKUP(Sheet1!DC365,hhdcap_wcm,3)-VLOOKUP(Sheet1!DC365,hhdcap_wcm,1)))*(VLOOKUP(Sheet1!DC365,hhdcap_wcm,4)-VLOOKUP(Sheet1!DC365,hhdcap_wcm,2))))</f>
        <v>4475.2000000098769</v>
      </c>
      <c r="AM367" s="535">
        <f t="shared" si="856"/>
        <v>-209.40000000021882</v>
      </c>
      <c r="AN367" s="1035">
        <f t="shared" si="857"/>
        <v>0</v>
      </c>
      <c r="AO367" s="535">
        <f t="shared" si="858"/>
        <v>0</v>
      </c>
      <c r="AP367" s="535">
        <f>Sheet1!BA365+Sheet1!BB365+Sheet1!BN365+CD367</f>
        <v>23.5</v>
      </c>
      <c r="AQ367" s="535">
        <f>Sheet1!BN365+(DO367*Sheet1!BN365)</f>
        <v>23.423992943251985</v>
      </c>
      <c r="AR367" s="535">
        <f>Sheet1!BA365+CD367</f>
        <v>0</v>
      </c>
      <c r="AS367" s="535">
        <f>Sheet1!BA365+Sheet1!BB365+CD367</f>
        <v>0</v>
      </c>
      <c r="AT367" s="649">
        <f>0</f>
        <v>0</v>
      </c>
      <c r="AU367" s="974">
        <f>BA367+MAX(Sheet1!EH365,(O367-Q367-ED367-S367))</f>
        <v>0</v>
      </c>
      <c r="AV367" s="535">
        <f>IF(OR(B367&gt;=GD367,B367&lt;GC367),0,15/36*K367-MAX(0,64.6-(137.6-(Sheet1!AA365+Sheet1!AB365))))</f>
        <v>0</v>
      </c>
      <c r="AW367" s="1029"/>
      <c r="AX367" s="649"/>
      <c r="AY367" s="649">
        <f t="shared" si="822"/>
        <v>23.311716569431731</v>
      </c>
      <c r="AZ367" s="649">
        <f t="shared" si="823"/>
        <v>0</v>
      </c>
      <c r="BA367" s="1059">
        <f t="shared" si="824"/>
        <v>0</v>
      </c>
      <c r="BB367" s="1019">
        <f t="shared" si="859"/>
        <v>0</v>
      </c>
      <c r="BC367" s="1041">
        <f t="shared" si="825"/>
        <v>26.933333333333334</v>
      </c>
      <c r="BD367" s="1019">
        <f ca="1">IF(B367&gt;(Summary!$A$1-1),#N/A,BB367*MGtoAF)</f>
        <v>0</v>
      </c>
      <c r="BE367" s="535">
        <f>Sheet1!BG365+Sheet1!BH365+Sheet1!BI365-BM367</f>
        <v>1.01</v>
      </c>
      <c r="BF367" s="535">
        <f t="shared" si="860"/>
        <v>1.0067333137312555</v>
      </c>
      <c r="BG367" s="535">
        <f>IF(Sheet1!EP365="FM",BM367,0)</f>
        <v>0</v>
      </c>
      <c r="BH367" s="535">
        <f t="shared" si="861"/>
        <v>0</v>
      </c>
      <c r="BI367" s="535">
        <f>IF(Sheet1!EP365="OTHER",BM367,0)</f>
        <v>0</v>
      </c>
      <c r="BJ367" s="535">
        <f t="shared" si="862"/>
        <v>0</v>
      </c>
      <c r="BK367" s="535">
        <f t="shared" si="863"/>
        <v>1.01</v>
      </c>
      <c r="BL367" s="535">
        <f t="shared" si="864"/>
        <v>1.0067333137312555</v>
      </c>
      <c r="BM367" s="535">
        <f>IF(OR(Sheet1!EP365="FM", Sheet1!EP365="OTHER"),SUM(Sheet1!BG365:'Sheet1'!BI365),0)</f>
        <v>0</v>
      </c>
      <c r="BN367" s="521">
        <f>IF(AND($B367&gt;=$FV367,$B367&lt;=$FW367),MAX(BF367,Sheet1!EI365,0),MAX(BF367-(7/36)*$K367,0))</f>
        <v>0</v>
      </c>
      <c r="BO367" s="535">
        <f t="shared" si="865"/>
        <v>0</v>
      </c>
      <c r="BP367" s="521">
        <f t="shared" si="866"/>
        <v>1.0067333137312555</v>
      </c>
      <c r="BQ367" s="521">
        <f>IF(AND($O367&gt;0,Sheet1!EM365=1),(1-($O367-Sheet1!$L365)/$O367)*BL367,0)</f>
        <v>0</v>
      </c>
      <c r="BR367" s="521">
        <f>IF(AND(Sheet1!$L365=0,Sheet1!$L364=0, Calculation!BK367&lt;Sheet1!$EI365-0.1,Sheet1!$EI365=Sheet1!$EI364,Sheet1!$EI365=Sheet1!$EI366),BL367-BQ367,BL367-BQ367)</f>
        <v>1.0067333137312555</v>
      </c>
      <c r="BS367" s="1035" t="str">
        <f t="shared" si="826"/>
        <v/>
      </c>
      <c r="BT367" s="1035">
        <f t="shared" si="827"/>
        <v>12.568888888888889</v>
      </c>
      <c r="BU367" s="535">
        <f t="shared" si="867"/>
        <v>0</v>
      </c>
      <c r="BV367" s="535"/>
      <c r="BW367" s="535">
        <f ca="1">IF(B367&gt;(Summary!$A$1-1),#N/A,BU367*MGtoAF)</f>
        <v>0</v>
      </c>
      <c r="BX367" s="535">
        <f>Sheet1!BC365+Sheet1!BD365+Sheet1!BE365+Sheet1!BF365-CG367-CH367</f>
        <v>2.99</v>
      </c>
      <c r="BY367" s="535">
        <f t="shared" si="868"/>
        <v>2.9803293149073804</v>
      </c>
      <c r="BZ367" s="535">
        <f>IF(Sheet1!EQ365="FM",CH367,0)</f>
        <v>0</v>
      </c>
      <c r="CA367" s="535">
        <f t="shared" si="869"/>
        <v>0</v>
      </c>
      <c r="CB367" s="535">
        <f>IF(Sheet1!EQ365="OTHER",CH367,0)</f>
        <v>0</v>
      </c>
      <c r="CC367" s="535">
        <f t="shared" si="870"/>
        <v>0</v>
      </c>
      <c r="CD367" s="535">
        <f t="shared" si="871"/>
        <v>0</v>
      </c>
      <c r="CE367" s="535">
        <f t="shared" si="872"/>
        <v>2.99</v>
      </c>
      <c r="CF367" s="535">
        <f t="shared" si="873"/>
        <v>2.9803293149073804</v>
      </c>
      <c r="CG367" s="535">
        <f>IF(Sheet1!EQ365="CWA",SUM(Sheet1!BC365:'Sheet1'!BF365),0)</f>
        <v>0</v>
      </c>
      <c r="CH367" s="535">
        <f>IF(OR(Sheet1!EQ365="FM", Sheet1!EQ365="OTHER"),SUM(Sheet1!BC365:'Sheet1'!BF365),0)</f>
        <v>0</v>
      </c>
      <c r="CI367" s="521">
        <f>IF(AND($B367&gt;=$FV367,$B367&lt;=$FW367),MAX(CF367,Sheet1!EJ365,0),MAX(CF367-(7/36)*$K367,0))</f>
        <v>0</v>
      </c>
      <c r="CJ367" s="535">
        <f t="shared" si="874"/>
        <v>0</v>
      </c>
      <c r="CK367" s="521">
        <f t="shared" si="875"/>
        <v>2.9803293149073804</v>
      </c>
      <c r="CL367" s="521">
        <f>IF(AND($O367&gt;0,Sheet1!EN365=1),(1-($O367-Sheet1!$L365)/$O367)*CF367,0)</f>
        <v>0</v>
      </c>
      <c r="CM367" s="521">
        <f>IF(AND(Sheet1!$L365=0,Sheet1!$L364=0, Calculation!CE367&lt;Sheet1!EJ365-0.1,Sheet1!EJ365=Sheet1!EJ364,Sheet1!EJ365=Sheet1!EJ366),CF367-CL367,CF367-CL367)</f>
        <v>2.9803293149073804</v>
      </c>
      <c r="CN367" s="1040" t="str">
        <f t="shared" si="828"/>
        <v/>
      </c>
      <c r="CO367" s="1035">
        <f t="shared" si="829"/>
        <v>12.568888888888889</v>
      </c>
      <c r="CP367" s="535">
        <f t="shared" si="876"/>
        <v>0</v>
      </c>
      <c r="CQ367" s="535"/>
      <c r="CR367" s="535">
        <f ca="1">IF(B367&gt;(Summary!$A$1-1),#N/A,CP367*MGtoAF)</f>
        <v>0</v>
      </c>
      <c r="CS367" s="535">
        <f>Sheet1!BK365+Sheet1!BL365+Sheet1!BM365-Sheet1!ER365-DA367</f>
        <v>6.51</v>
      </c>
      <c r="CT367" s="535">
        <f t="shared" si="877"/>
        <v>6.4889444281093791</v>
      </c>
      <c r="CU367" s="535">
        <f>IF(Sheet1!ER365="FM",DA367,0)</f>
        <v>0</v>
      </c>
      <c r="CV367" s="535">
        <f t="shared" si="878"/>
        <v>0</v>
      </c>
      <c r="CW367" s="535">
        <f>IF(Sheet1!ER365="OTHER",DA367,0)</f>
        <v>0</v>
      </c>
      <c r="CX367" s="535">
        <f t="shared" si="879"/>
        <v>0</v>
      </c>
      <c r="CY367" s="535">
        <f t="shared" si="880"/>
        <v>6.51</v>
      </c>
      <c r="CZ367" s="535">
        <f t="shared" si="881"/>
        <v>6.4889444281093791</v>
      </c>
      <c r="DA367" s="535">
        <f>IF(OR(Sheet1!ER365="FM", Sheet1!ER365="OTHER"),SUM(Sheet1!BK365:'Sheet1'!BM365),0)</f>
        <v>0</v>
      </c>
      <c r="DB367" s="1011">
        <f>IF(AND($B367&gt;=$FV367,$B367&lt;=$FW367),MAX($CT367,Sheet1!EK365,0),MAX($CT367-(7/36)*$K367,0))</f>
        <v>0</v>
      </c>
      <c r="DC367" s="1012">
        <f t="shared" si="882"/>
        <v>0</v>
      </c>
      <c r="DD367" s="1011">
        <f t="shared" si="883"/>
        <v>6.4889444281093791</v>
      </c>
      <c r="DE367" s="521">
        <f>IF(AND($O367&gt;0,Sheet1!EO365=1),(1-($O367-Sheet1!$L365)/$O367)*CZ367,0)</f>
        <v>0</v>
      </c>
      <c r="DF367" s="521">
        <f>IF(AND(Sheet1!$L365=0,Sheet1!$L364=0, Calculation!CY367&lt;Sheet1!$EK365-0.1,Sheet1!$EK365=Sheet1!$EK364,Sheet1!$EK365=Sheet1!$EK366),CZ367-DE367,CZ367-DE367)</f>
        <v>6.4889444281093791</v>
      </c>
      <c r="DG367" s="1040">
        <f t="shared" si="830"/>
        <v>12.568888888888889</v>
      </c>
      <c r="DH367" s="649">
        <f t="shared" si="884"/>
        <v>10.51</v>
      </c>
      <c r="DI367" s="535">
        <f t="shared" si="885"/>
        <v>0</v>
      </c>
      <c r="DJ367" s="649">
        <f t="shared" si="886"/>
        <v>10.476007056748015</v>
      </c>
      <c r="DK367" s="535">
        <f ca="1">IF(B367&gt;(Summary!$A$1-1),#N/A,DI367*MGtoAF)</f>
        <v>0</v>
      </c>
      <c r="DL367" s="649">
        <f t="shared" si="887"/>
        <v>10.51</v>
      </c>
      <c r="DM367" s="535">
        <f t="shared" si="888"/>
        <v>34.01</v>
      </c>
      <c r="DN367" s="535">
        <f>Sheet1!AB365-DM367</f>
        <v>-0.10999999999999943</v>
      </c>
      <c r="DO367" s="743">
        <f t="shared" si="889"/>
        <v>-3.2343428403410596E-3</v>
      </c>
      <c r="DP367" s="535">
        <f>(VLOOKUP(Sheet1!DC365,hhdcap_wcm,4)-(((VLOOKUP(Sheet1!DC365,hhdcap_wcm,3)-Sheet1!DC365)/(VLOOKUP(Sheet1!DC365,hhdcap_wcm,3)-VLOOKUP(Sheet1!DC365,hhdcap_wcm,1)))*(VLOOKUP(Sheet1!DC365,hhdcap_wcm,4)-VLOOKUP(Sheet1!DC365,hhdcap_wcm,2))))</f>
        <v>4475.2000000098769</v>
      </c>
      <c r="DQ367" s="535">
        <f t="shared" si="890"/>
        <v>-209.40000000021882</v>
      </c>
      <c r="DR367" s="535">
        <f t="shared" si="891"/>
        <v>-105.5975794252238</v>
      </c>
      <c r="DS367" s="535">
        <f>Sheet1!EA365*AFtoMG</f>
        <v>0</v>
      </c>
      <c r="DT367" s="535">
        <f>Sheet1!EB365*AFtoMG</f>
        <v>0</v>
      </c>
      <c r="DU367" s="535">
        <f>Sheet1!EC365*AFtoMG</f>
        <v>0</v>
      </c>
      <c r="DV367" s="535">
        <f>Sheet1!ED365*AFtoMG</f>
        <v>0</v>
      </c>
      <c r="DW367" s="535">
        <f t="shared" si="892"/>
        <v>0</v>
      </c>
      <c r="DX367" s="535">
        <f t="shared" si="893"/>
        <v>0</v>
      </c>
      <c r="DY367" s="535">
        <f t="shared" si="894"/>
        <v>0</v>
      </c>
      <c r="DZ367" s="535">
        <f t="shared" si="895"/>
        <v>0</v>
      </c>
      <c r="EA367" s="535"/>
      <c r="EB367" s="521">
        <f>IF(OR(B367&lt;FV367,B367&gt;FW367),(MIN(BF367+BY367+CT367+MAX(Sheet1!AA365+AQ367-73,0),K367)),0)</f>
        <v>10.476007056748015</v>
      </c>
      <c r="EC367" s="535"/>
      <c r="ED367" s="535">
        <f t="shared" si="896"/>
        <v>10.476007056748015</v>
      </c>
      <c r="EE367" s="535"/>
      <c r="EF367" s="535">
        <f>Sheet1!EH365+Sheet1!EI365+Sheet1!EJ365+Sheet1!EK365</f>
        <v>10.5</v>
      </c>
      <c r="EG367" s="1019">
        <f t="shared" si="831"/>
        <v>16.243500000000001</v>
      </c>
      <c r="EH367" s="521">
        <f t="shared" si="897"/>
        <v>0</v>
      </c>
      <c r="EI367" s="535">
        <f>IF(Sheet1!ET365=1,SUM('Calculations II'!AT367:BA367)+'Calculations II'!BC367+Sheet1!BV365+'Calculations II'!BE367+AP367,'Calculations II'!BK367)</f>
        <v>44.833776943251976</v>
      </c>
      <c r="EJ367" s="535">
        <f ca="1">EI367+'Calculations II'!D367+'Calculations II'!E367+'Calculations II'!O367</f>
        <v>47.881873238461836</v>
      </c>
      <c r="EK367" s="535"/>
      <c r="EL367" s="535"/>
      <c r="EM367" s="535">
        <f t="shared" si="898"/>
        <v>43091</v>
      </c>
      <c r="EN367" s="535">
        <f t="shared" si="899"/>
        <v>0</v>
      </c>
      <c r="EO367" s="535">
        <f t="shared" si="900"/>
        <v>0</v>
      </c>
      <c r="EP367" s="535">
        <v>0</v>
      </c>
      <c r="EQ367" s="535">
        <v>0</v>
      </c>
      <c r="ER367" s="535">
        <v>0</v>
      </c>
      <c r="ES367" s="521">
        <f t="shared" si="797"/>
        <v>-2.9087891376284585</v>
      </c>
      <c r="ET367" s="535">
        <f>-(VLOOKUP(Sheet1!BQ365,Lookup!$O$4:$Q$262,2)-VLOOKUP(Sheet1!BQ364,Lookup!$O$4:$Q$262,2))/1000000</f>
        <v>-1.5233325313805304</v>
      </c>
      <c r="EU367" s="535">
        <f>-(VLOOKUP(Sheet1!BR365,Lookup!$O$4:$Q$262,3)-VLOOKUP(Sheet1!BR364,Lookup!$O$4:$Q$262,3))/1000000</f>
        <v>-1.3854566062479281</v>
      </c>
      <c r="EV367" s="535"/>
      <c r="EW367" s="535"/>
      <c r="EX367" s="535"/>
      <c r="EY367" s="535"/>
      <c r="EZ367" s="535"/>
      <c r="FA367" s="535"/>
      <c r="FB367" s="535"/>
      <c r="FC367" s="535"/>
      <c r="FD367" s="567" t="e">
        <f t="shared" si="847"/>
        <v>#N/A</v>
      </c>
      <c r="FE367" s="567" t="e">
        <f t="shared" si="901"/>
        <v>#N/A</v>
      </c>
      <c r="FF367" s="568" t="e">
        <f t="shared" si="902"/>
        <v>#N/A</v>
      </c>
      <c r="FG367" s="569" t="s">
        <v>656</v>
      </c>
      <c r="FH367" s="569" t="s">
        <v>656</v>
      </c>
      <c r="FI367" s="567" t="e">
        <v>#N/A</v>
      </c>
      <c r="FJ367" s="567" t="e">
        <v>#N/A</v>
      </c>
      <c r="FK367" s="535"/>
      <c r="FL367" s="1015" t="e">
        <f t="shared" si="846"/>
        <v>#N/A</v>
      </c>
      <c r="FM367" s="535"/>
      <c r="FN367" s="535"/>
      <c r="FO367" s="535">
        <f>O367+((Sheet1!CS365)*GPMtoMGD)</f>
        <v>59.099999999999994</v>
      </c>
      <c r="FP367" s="535">
        <f>IF(Sheet1!AA365+AQ367&lt;=Calculation!N367,AQ367,Calculation!N367-Sheet1!AA365)</f>
        <v>23.423992943251985</v>
      </c>
      <c r="FQ367" s="535">
        <f>(Sheet1!BP365+Sheet1!BO365)/694.4</f>
        <v>1.4330357142857144</v>
      </c>
      <c r="FR367" s="541"/>
      <c r="FS367" s="541"/>
      <c r="FT367" s="541"/>
      <c r="FU367" s="541"/>
      <c r="FV367" s="1109">
        <f t="shared" si="798"/>
        <v>42918</v>
      </c>
      <c r="FW367" s="1109">
        <f t="shared" si="799"/>
        <v>43027</v>
      </c>
      <c r="FX367" s="541"/>
      <c r="FY367" s="541">
        <f>Sheet1!DA365-Sheet1!CZ365-Sheet1!AE365</f>
        <v>568.57230000000004</v>
      </c>
      <c r="FZ367" s="535">
        <f t="shared" si="832"/>
        <v>0.42291823586342303</v>
      </c>
      <c r="GA367" s="535"/>
      <c r="GB367" s="535" t="str">
        <f t="shared" si="800"/>
        <v>n</v>
      </c>
      <c r="GC367" s="539">
        <f t="shared" si="801"/>
        <v>42782</v>
      </c>
      <c r="GD367" s="1109">
        <f t="shared" si="802"/>
        <v>42904</v>
      </c>
      <c r="GE367" s="535">
        <f t="shared" si="818"/>
        <v>6520</v>
      </c>
      <c r="GF367" s="1109">
        <f t="shared" si="803"/>
        <v>42909</v>
      </c>
      <c r="GG367" s="535">
        <f t="shared" si="845"/>
        <v>3260</v>
      </c>
      <c r="GH367" s="539">
        <f t="shared" si="804"/>
        <v>43040</v>
      </c>
      <c r="GJ367" s="521">
        <f t="shared" si="805"/>
        <v>0</v>
      </c>
      <c r="GK367" s="535" t="str">
        <f t="shared" si="903"/>
        <v/>
      </c>
      <c r="GL367" s="535">
        <f t="shared" si="806"/>
        <v>0</v>
      </c>
      <c r="GM367" s="535" t="str">
        <f t="shared" si="807"/>
        <v/>
      </c>
      <c r="GN367" s="535">
        <f>IF(GK367="P",Lookup!$M$12,IF(GK367="PP",Lookup!$M$13,IF(GK367="PPP",Lookup!$M$14,IF(GK367="T",Lookup!$M$15,IF(GK367="TP",Lookup!$M$16,IF(GK367="TPP",Lookup!$M$17,IF(GK367="TPPP",Lookup!$M$18,0)))))))*GJ367</f>
        <v>0</v>
      </c>
      <c r="GO367" s="535">
        <f t="shared" si="808"/>
        <v>0</v>
      </c>
      <c r="GP367" s="535">
        <f t="shared" si="904"/>
        <v>0</v>
      </c>
      <c r="GQ367" s="974">
        <f t="shared" si="848"/>
        <v>0</v>
      </c>
      <c r="GR367" s="535"/>
      <c r="GS367" s="535">
        <f t="shared" si="809"/>
        <v>0</v>
      </c>
      <c r="GT367" s="535" t="str">
        <f t="shared" si="810"/>
        <v/>
      </c>
      <c r="GU367" s="535">
        <f>IF(GK367="P",Lookup!$N$12,IF(GK367="PP",Lookup!$N$13,IF(GK367="PPP",Lookup!$N$14,IF(GK367="T",Lookup!$N$15,IF(GK367="TP",Lookup!$N$16,IF(GK367="TPP",Lookup!$N$17,IF(GK367="TPPP",Lookup!$N$18,0)))))))*GJ367</f>
        <v>0</v>
      </c>
      <c r="GV367" s="535">
        <f t="shared" si="811"/>
        <v>0</v>
      </c>
      <c r="GW367" s="535">
        <f t="shared" si="905"/>
        <v>0</v>
      </c>
      <c r="GX367" s="974">
        <f t="shared" si="849"/>
        <v>0</v>
      </c>
      <c r="GY367" s="535"/>
      <c r="GZ367" s="535">
        <f t="shared" si="812"/>
        <v>0</v>
      </c>
      <c r="HA367" s="535" t="str">
        <f t="shared" si="813"/>
        <v/>
      </c>
      <c r="HB367" s="535">
        <f>IF(GK367="P",Lookup!$N$12,IF(GK367="PP",Lookup!$N$13,IF(GK367="PPP",Lookup!$N$14,IF(GK367="T",Lookup!$N$15,IF(GK367="TP",Lookup!$N$16,IF(GK367="TPP",Lookup!$N$17,IF(GK367="TPPP",Lookup!$N$18,0)))))))*GJ367</f>
        <v>0</v>
      </c>
      <c r="HC367" s="521">
        <f t="shared" si="906"/>
        <v>0</v>
      </c>
      <c r="HD367" s="535">
        <f t="shared" si="907"/>
        <v>0</v>
      </c>
      <c r="HE367" s="535">
        <f t="shared" si="816"/>
        <v>0</v>
      </c>
      <c r="HF367" s="535"/>
      <c r="HG367" s="535">
        <f t="shared" si="814"/>
        <v>0</v>
      </c>
      <c r="HH367" s="535" t="str">
        <f t="shared" si="815"/>
        <v/>
      </c>
      <c r="HI367" s="535">
        <f>IF(GK367="P",Lookup!$N$12,IF(GK367="PP",Lookup!$N$13,IF(GK367="PPP",Lookup!$N$14,IF(GK367="T",Lookup!$N$15,IF(GK367="TP",Lookup!$N$16,IF(GK367="TPP",Lookup!$N$17,IF(GK367="TPPP",Lookup!$N$18,0)))))))*GJ367</f>
        <v>0</v>
      </c>
      <c r="HJ367" s="521">
        <f t="shared" si="908"/>
        <v>0</v>
      </c>
      <c r="HK367" s="535">
        <f t="shared" si="909"/>
        <v>0</v>
      </c>
      <c r="HL367" s="535">
        <f t="shared" si="817"/>
        <v>0</v>
      </c>
      <c r="HM367" s="535"/>
      <c r="HN367" s="541"/>
      <c r="HO367" s="541"/>
      <c r="HP367" s="541"/>
      <c r="HQ367" s="541">
        <f>IF(AND(B367&gt;=$FV$4,B367&lt;=$FW$4),MAX(110/1.02+$HQ$6+MIN(113/1.02,G367),IF($HV$6-(Sheet1!DA365-Sheet1!DB365)+MIN(113/1.02,G367)&lt;G367+FL367,$HV$6-(Sheet1!DA365-Sheet1!DB365)+MIN(113/1.02,G367),G367+FL367)),MIN(110/1.02+$HQ$6+113/1.02,G367))</f>
        <v>218.62745098039215</v>
      </c>
      <c r="HR367" s="541">
        <f t="shared" si="833"/>
        <v>223</v>
      </c>
      <c r="HS367" s="541">
        <f>HR367+(Sheet1!DA365-Sheet1!DB365)</f>
        <v>833</v>
      </c>
      <c r="HT367" s="541">
        <f t="shared" si="834"/>
        <v>0</v>
      </c>
      <c r="HU367" s="541">
        <f t="shared" si="835"/>
        <v>833</v>
      </c>
      <c r="HV367" s="541">
        <f t="shared" si="836"/>
        <v>0</v>
      </c>
      <c r="HW367" s="533" t="str">
        <f t="shared" si="837"/>
        <v/>
      </c>
      <c r="HX367" s="541">
        <f t="shared" si="838"/>
        <v>1231.372549019608</v>
      </c>
      <c r="HY367" s="541">
        <f>Sheet1!CZ365</f>
        <v>1450</v>
      </c>
      <c r="HZ367" s="541">
        <f t="shared" si="839"/>
        <v>0</v>
      </c>
      <c r="IA367" s="541">
        <f t="shared" si="840"/>
        <v>0</v>
      </c>
      <c r="IB367" s="541">
        <f t="shared" si="841"/>
        <v>1450</v>
      </c>
      <c r="IC367" s="1019" t="str">
        <f t="shared" si="842"/>
        <v/>
      </c>
      <c r="ID367" s="541">
        <f t="shared" si="843"/>
        <v>1450</v>
      </c>
      <c r="IE367" s="541">
        <f>Sheet1!DB365</f>
        <v>1500</v>
      </c>
      <c r="IF367" s="533">
        <f>Sheet1!DA365</f>
        <v>2110</v>
      </c>
      <c r="IH367" s="541">
        <f>IF(AND($B367&gt;=$GC367,$B367&lt;=$GH367,$DR367&lt;0)+N("only adjusted when pool is drawn down during storage season"),Sheet1!$DB365+$DR367+N("Palmer minus all storage release"),Sheet1!$DB365)</f>
        <v>1500</v>
      </c>
      <c r="II367" s="541">
        <f>IF(AND($B367&gt;=$GC367,$B367&lt;=$GH367,$DR367&lt;0)+N("only adjusted when pool is drawn down during storage season"),Sheet1!$DA365+$DR367+N("Auburn minus all storage release"),Sheet1!$DA365)</f>
        <v>2110</v>
      </c>
    </row>
    <row r="368" spans="1:243" x14ac:dyDescent="0.25">
      <c r="A368" s="553" t="s">
        <v>9</v>
      </c>
      <c r="B368" s="531">
        <v>43092</v>
      </c>
      <c r="C368" s="536">
        <v>0</v>
      </c>
      <c r="D368" s="506">
        <f t="shared" si="787"/>
        <v>300</v>
      </c>
      <c r="E368" s="506">
        <f t="shared" si="788"/>
        <v>250</v>
      </c>
      <c r="F368" s="506">
        <v>250</v>
      </c>
      <c r="G368" s="535">
        <f>DR368+Sheet1!CZ366</f>
        <v>1280.7463439232108</v>
      </c>
      <c r="H368" s="1074">
        <f t="shared" si="844"/>
        <v>812.46692134399996</v>
      </c>
      <c r="I368" s="534">
        <f>IF(Sheet1!DA366&gt;=E368,(Sheet1!DA366-E368+P368)*CFStoMGD,0)</f>
        <v>1200.3069213440001</v>
      </c>
      <c r="J368" s="995">
        <f>IF(Sheet1!DB366&gt;=D368,(Sheet1!DB366-D368+P368)*CFStoMGD,0)</f>
        <v>812.46692134399996</v>
      </c>
      <c r="K368" s="818">
        <f t="shared" si="819"/>
        <v>64.64</v>
      </c>
      <c r="L368" s="535">
        <f>Sheet1!AA366+Sheet1!AB366-Sheet1!L366+(Sheet1!DA366-F368)*CFStoMGD-S368-T368-U368</f>
        <v>1144.1279999999999</v>
      </c>
      <c r="M368" s="535">
        <f t="shared" si="850"/>
        <v>844.43192544620274</v>
      </c>
      <c r="N368" s="824">
        <f>IF(Sheet1!DA366&gt;=F368,MIN(113*CFStoMGD,MIN(MAX(L368,0),MAX(M368,0))),0)</f>
        <v>73.043199999999999</v>
      </c>
      <c r="O368" s="538">
        <f>Sheet1!AA366+Sheet1!AB366</f>
        <v>56.18</v>
      </c>
      <c r="P368" s="538">
        <f t="shared" si="851"/>
        <v>86.91046</v>
      </c>
      <c r="Q368" s="812">
        <f t="shared" si="820"/>
        <v>0</v>
      </c>
      <c r="R368" s="812">
        <f t="shared" si="789"/>
        <v>10.565663773706204</v>
      </c>
      <c r="S368" s="812">
        <f t="shared" si="790"/>
        <v>56.18</v>
      </c>
      <c r="T368" s="812">
        <f t="shared" si="791"/>
        <v>0</v>
      </c>
      <c r="U368" s="812">
        <f>IF(AND(B368&gt;=FV368,B368&lt;=FW368),ED368+Sheet1!EH366,0)</f>
        <v>0</v>
      </c>
      <c r="V368" s="812"/>
      <c r="W368" s="812">
        <f t="shared" si="792"/>
        <v>54.074336226293795</v>
      </c>
      <c r="X368" s="812">
        <f t="shared" si="793"/>
        <v>56.18</v>
      </c>
      <c r="Y368" s="812" t="str">
        <f t="shared" si="794"/>
        <v/>
      </c>
      <c r="Z368" s="812">
        <f t="shared" si="795"/>
        <v>56.18</v>
      </c>
      <c r="AA368" s="812">
        <f t="shared" si="796"/>
        <v>56.18</v>
      </c>
      <c r="AB368" s="1059">
        <f t="shared" si="821"/>
        <v>0</v>
      </c>
      <c r="AC368" s="538">
        <f>Sheet1!Y366*MGDtoCFS</f>
        <v>38.984399999999994</v>
      </c>
      <c r="AD368" s="538">
        <f>Sheet1!Z366*MGDtoCFS</f>
        <v>52.443299999999994</v>
      </c>
      <c r="AE368" s="538">
        <f>Sheet1!AA366*MGDtoCFS</f>
        <v>38.984399999999994</v>
      </c>
      <c r="AF368" s="538">
        <f>Sheet1!AB366*MGDtoCFS</f>
        <v>47.92606</v>
      </c>
      <c r="AG368" s="538">
        <f>Sheet1!L366*MGDtoCFS</f>
        <v>0</v>
      </c>
      <c r="AH368" s="521">
        <f t="shared" si="852"/>
        <v>0</v>
      </c>
      <c r="AI368" s="1059">
        <f t="shared" si="853"/>
        <v>0</v>
      </c>
      <c r="AJ368" s="535">
        <f t="shared" si="854"/>
        <v>0</v>
      </c>
      <c r="AK368" s="535">
        <f t="shared" si="855"/>
        <v>0</v>
      </c>
      <c r="AL368" s="535">
        <f>(VLOOKUP(Sheet1!DC366,hhdcap_wcm,4)-(((VLOOKUP(Sheet1!DC366,hhdcap_wcm,3)-Sheet1!DC366)/(VLOOKUP(Sheet1!DC366,hhdcap_wcm,3)-VLOOKUP(Sheet1!DC366,hhdcap_wcm,1)))*(VLOOKUP(Sheet1!DC366,hhdcap_wcm,4)-VLOOKUP(Sheet1!DC366,hhdcap_wcm,2))))</f>
        <v>4159.4000000096039</v>
      </c>
      <c r="AM368" s="535">
        <f t="shared" si="856"/>
        <v>-315.80000000027303</v>
      </c>
      <c r="AN368" s="1035">
        <f t="shared" si="857"/>
        <v>0</v>
      </c>
      <c r="AO368" s="535">
        <f t="shared" si="858"/>
        <v>0</v>
      </c>
      <c r="AP368" s="535">
        <f>Sheet1!BA366+Sheet1!BB366+Sheet1!BN366+CD368</f>
        <v>20.5</v>
      </c>
      <c r="AQ368" s="535">
        <f>Sheet1!BN366+(DO368*Sheet1!BN366)</f>
        <v>20.414336226293798</v>
      </c>
      <c r="AR368" s="535">
        <f>Sheet1!BA366+CD368</f>
        <v>0</v>
      </c>
      <c r="AS368" s="535">
        <f>Sheet1!BA366+Sheet1!BB366+CD368</f>
        <v>0</v>
      </c>
      <c r="AT368" s="649">
        <f>0</f>
        <v>0</v>
      </c>
      <c r="AU368" s="974">
        <f>BA368+MAX(Sheet1!EH366,(O368-Q368-ED368-S368))</f>
        <v>0</v>
      </c>
      <c r="AV368" s="535">
        <f>IF(OR(B368&gt;=GD368,B368&lt;GC368),0,15/36*K368-MAX(0,64.6-(137.6-(Sheet1!AA366+Sheet1!AB366))))</f>
        <v>0</v>
      </c>
      <c r="AW368" s="1029"/>
      <c r="AX368" s="649"/>
      <c r="AY368" s="649">
        <f t="shared" si="822"/>
        <v>23.311716569431731</v>
      </c>
      <c r="AZ368" s="649">
        <f t="shared" si="823"/>
        <v>0</v>
      </c>
      <c r="BA368" s="1059">
        <f t="shared" si="824"/>
        <v>0</v>
      </c>
      <c r="BB368" s="1019">
        <f t="shared" si="859"/>
        <v>0</v>
      </c>
      <c r="BC368" s="1041">
        <f t="shared" si="825"/>
        <v>26.933333333333334</v>
      </c>
      <c r="BD368" s="1019">
        <f ca="1">IF(B368&gt;(Summary!$A$1-1),#N/A,BB368*MGtoAF)</f>
        <v>0</v>
      </c>
      <c r="BE368" s="535">
        <f>Sheet1!BG366+Sheet1!BH366+Sheet1!BI366-BM368</f>
        <v>1.01</v>
      </c>
      <c r="BF368" s="535">
        <f t="shared" si="860"/>
        <v>1.0057794921247187</v>
      </c>
      <c r="BG368" s="535">
        <f>IF(Sheet1!EP366="FM",BM368,0)</f>
        <v>0</v>
      </c>
      <c r="BH368" s="535">
        <f t="shared" si="861"/>
        <v>0</v>
      </c>
      <c r="BI368" s="535">
        <f>IF(Sheet1!EP366="OTHER",BM368,0)</f>
        <v>0</v>
      </c>
      <c r="BJ368" s="535">
        <f t="shared" si="862"/>
        <v>0</v>
      </c>
      <c r="BK368" s="535">
        <f t="shared" si="863"/>
        <v>1.01</v>
      </c>
      <c r="BL368" s="535">
        <f t="shared" si="864"/>
        <v>1.0057794921247187</v>
      </c>
      <c r="BM368" s="535">
        <f>IF(OR(Sheet1!EP366="FM", Sheet1!EP366="OTHER"),SUM(Sheet1!BG366:'Sheet1'!BI366),0)</f>
        <v>0</v>
      </c>
      <c r="BN368" s="521">
        <f>IF(AND($B368&gt;=$FV368,$B368&lt;=$FW368),MAX(BF368,Sheet1!EI366,0),MAX(BF368-(7/36)*$K368,0))</f>
        <v>0</v>
      </c>
      <c r="BO368" s="535">
        <f t="shared" si="865"/>
        <v>0</v>
      </c>
      <c r="BP368" s="521">
        <f t="shared" si="866"/>
        <v>1.0057794921247187</v>
      </c>
      <c r="BQ368" s="521">
        <f>IF(AND($O368&gt;0,Sheet1!EM366=1),(1-($O368-Sheet1!$L366)/$O368)*BL368,0)</f>
        <v>0</v>
      </c>
      <c r="BR368" s="521">
        <f>IF(AND(Sheet1!$L366=0,Sheet1!$L365=0, Calculation!BK368&lt;Sheet1!$EI366-0.1,Sheet1!$EI366=Sheet1!$EI365,Sheet1!$EI366=Sheet1!$EI367),BL368-BQ368,BL368-BQ368)</f>
        <v>1.0057794921247187</v>
      </c>
      <c r="BS368" s="1035" t="str">
        <f t="shared" si="826"/>
        <v/>
      </c>
      <c r="BT368" s="1035">
        <f t="shared" si="827"/>
        <v>12.568888888888889</v>
      </c>
      <c r="BU368" s="535">
        <f t="shared" si="867"/>
        <v>0</v>
      </c>
      <c r="BV368" s="535"/>
      <c r="BW368" s="535">
        <f ca="1">IF(B368&gt;(Summary!$A$1-1),#N/A,BU368*MGtoAF)</f>
        <v>0</v>
      </c>
      <c r="BX368" s="535">
        <f>Sheet1!BC366+Sheet1!BD366+Sheet1!BE366+Sheet1!BF366-CG368-CH368</f>
        <v>2.99</v>
      </c>
      <c r="BY368" s="535">
        <f t="shared" si="868"/>
        <v>2.9775056252009002</v>
      </c>
      <c r="BZ368" s="535">
        <f>IF(Sheet1!EQ366="FM",CH368,0)</f>
        <v>0</v>
      </c>
      <c r="CA368" s="535">
        <f t="shared" si="869"/>
        <v>0</v>
      </c>
      <c r="CB368" s="535">
        <f>IF(Sheet1!EQ366="OTHER",CH368,0)</f>
        <v>0</v>
      </c>
      <c r="CC368" s="535">
        <f t="shared" si="870"/>
        <v>0</v>
      </c>
      <c r="CD368" s="535">
        <f t="shared" si="871"/>
        <v>0</v>
      </c>
      <c r="CE368" s="535">
        <f t="shared" si="872"/>
        <v>2.99</v>
      </c>
      <c r="CF368" s="535">
        <f t="shared" si="873"/>
        <v>2.9775056252009002</v>
      </c>
      <c r="CG368" s="535">
        <f>IF(Sheet1!EQ366="CWA",SUM(Sheet1!BC366:'Sheet1'!BF366),0)</f>
        <v>0</v>
      </c>
      <c r="CH368" s="535">
        <f>IF(OR(Sheet1!EQ366="FM", Sheet1!EQ366="OTHER"),SUM(Sheet1!BC366:'Sheet1'!BF366),0)</f>
        <v>0</v>
      </c>
      <c r="CI368" s="521">
        <f>IF(AND($B368&gt;=$FV368,$B368&lt;=$FW368),MAX(CF368,Sheet1!EJ366,0),MAX(CF368-(7/36)*$K368,0))</f>
        <v>0</v>
      </c>
      <c r="CJ368" s="535">
        <f t="shared" si="874"/>
        <v>0</v>
      </c>
      <c r="CK368" s="521">
        <f t="shared" si="875"/>
        <v>2.9775056252009002</v>
      </c>
      <c r="CL368" s="521">
        <f>IF(AND($O368&gt;0,Sheet1!EN366=1),(1-($O368-Sheet1!$L366)/$O368)*CF368,0)</f>
        <v>0</v>
      </c>
      <c r="CM368" s="521">
        <f>IF(AND(Sheet1!$L366=0,Sheet1!$L365=0, Calculation!CE368&lt;Sheet1!EJ366-0.1,Sheet1!EJ366=Sheet1!EJ365,Sheet1!EJ366=Sheet1!EJ367),CF368-CL368,CF368-CL368)</f>
        <v>2.9775056252009002</v>
      </c>
      <c r="CN368" s="1040" t="str">
        <f t="shared" si="828"/>
        <v/>
      </c>
      <c r="CO368" s="1035">
        <f t="shared" si="829"/>
        <v>12.568888888888889</v>
      </c>
      <c r="CP368" s="535">
        <f t="shared" si="876"/>
        <v>0</v>
      </c>
      <c r="CQ368" s="535"/>
      <c r="CR368" s="535">
        <f ca="1">IF(B368&gt;(Summary!$A$1-1),#N/A,CP368*MGtoAF)</f>
        <v>0</v>
      </c>
      <c r="CS368" s="535">
        <f>Sheet1!BK366+Sheet1!BL366+Sheet1!BM366-Sheet1!ER366-DA368</f>
        <v>6.6099999999999994</v>
      </c>
      <c r="CT368" s="535">
        <f t="shared" si="877"/>
        <v>6.5823786563805848</v>
      </c>
      <c r="CU368" s="535">
        <f>IF(Sheet1!ER366="FM",DA368,0)</f>
        <v>0</v>
      </c>
      <c r="CV368" s="535">
        <f t="shared" si="878"/>
        <v>0</v>
      </c>
      <c r="CW368" s="535">
        <f>IF(Sheet1!ER366="OTHER",DA368,0)</f>
        <v>0</v>
      </c>
      <c r="CX368" s="535">
        <f t="shared" si="879"/>
        <v>0</v>
      </c>
      <c r="CY368" s="535">
        <f t="shared" si="880"/>
        <v>6.6099999999999994</v>
      </c>
      <c r="CZ368" s="535">
        <f t="shared" si="881"/>
        <v>6.5823786563805848</v>
      </c>
      <c r="DA368" s="535">
        <f>IF(OR(Sheet1!ER366="FM", Sheet1!ER366="OTHER"),SUM(Sheet1!BK366:'Sheet1'!BM366),0)</f>
        <v>0</v>
      </c>
      <c r="DB368" s="1011">
        <f>IF(AND($B368&gt;=$FV368,$B368&lt;=$FW368),MAX($CT368,Sheet1!EK366,0),MAX($CT368-(7/36)*$K368,0))</f>
        <v>0</v>
      </c>
      <c r="DC368" s="1012">
        <f t="shared" si="882"/>
        <v>0</v>
      </c>
      <c r="DD368" s="1011">
        <f t="shared" si="883"/>
        <v>6.5823786563805848</v>
      </c>
      <c r="DE368" s="521">
        <f>IF(AND($O368&gt;0,Sheet1!EO366=1),(1-($O368-Sheet1!$L366)/$O368)*CZ368,0)</f>
        <v>0</v>
      </c>
      <c r="DF368" s="521">
        <f>IF(AND(Sheet1!$L366=0,Sheet1!$L365=0, Calculation!CY368&lt;Sheet1!$EK366-0.1,Sheet1!$EK366=Sheet1!$EK365,Sheet1!$EK366=Sheet1!$EK367),CZ368-DE368,CZ368-DE368)</f>
        <v>6.5823786563805848</v>
      </c>
      <c r="DG368" s="1040">
        <f t="shared" si="830"/>
        <v>12.568888888888889</v>
      </c>
      <c r="DH368" s="649">
        <f t="shared" si="884"/>
        <v>10.61</v>
      </c>
      <c r="DI368" s="535">
        <f t="shared" si="885"/>
        <v>0</v>
      </c>
      <c r="DJ368" s="649">
        <f t="shared" si="886"/>
        <v>10.565663773706204</v>
      </c>
      <c r="DK368" s="535">
        <f ca="1">IF(B368&gt;(Summary!$A$1-1),#N/A,DI368*MGtoAF)</f>
        <v>0</v>
      </c>
      <c r="DL368" s="649">
        <f t="shared" si="887"/>
        <v>10.61</v>
      </c>
      <c r="DM368" s="535">
        <f t="shared" si="888"/>
        <v>31.11</v>
      </c>
      <c r="DN368" s="535">
        <f>Sheet1!AB366-DM368</f>
        <v>-0.12999999999999901</v>
      </c>
      <c r="DO368" s="743">
        <f t="shared" si="889"/>
        <v>-4.178720668595275E-3</v>
      </c>
      <c r="DP368" s="535">
        <f>(VLOOKUP(Sheet1!DC366,hhdcap_wcm,4)-(((VLOOKUP(Sheet1!DC366,hhdcap_wcm,3)-Sheet1!DC366)/(VLOOKUP(Sheet1!DC366,hhdcap_wcm,3)-VLOOKUP(Sheet1!DC366,hhdcap_wcm,1)))*(VLOOKUP(Sheet1!DC366,hhdcap_wcm,4)-VLOOKUP(Sheet1!DC366,hhdcap_wcm,2))))</f>
        <v>4159.4000000096039</v>
      </c>
      <c r="DQ368" s="535">
        <f t="shared" si="890"/>
        <v>-315.80000000027303</v>
      </c>
      <c r="DR368" s="535">
        <f t="shared" si="891"/>
        <v>-159.25365607678921</v>
      </c>
      <c r="DS368" s="535">
        <f>Sheet1!EA366*AFtoMG</f>
        <v>0</v>
      </c>
      <c r="DT368" s="535">
        <f>Sheet1!EB366*AFtoMG</f>
        <v>0</v>
      </c>
      <c r="DU368" s="535">
        <f>Sheet1!EC366*AFtoMG</f>
        <v>0</v>
      </c>
      <c r="DV368" s="535">
        <f>Sheet1!ED366*AFtoMG</f>
        <v>0</v>
      </c>
      <c r="DW368" s="535">
        <f t="shared" si="892"/>
        <v>0</v>
      </c>
      <c r="DX368" s="535">
        <f t="shared" si="893"/>
        <v>0</v>
      </c>
      <c r="DY368" s="535">
        <f t="shared" si="894"/>
        <v>0</v>
      </c>
      <c r="DZ368" s="535">
        <f t="shared" si="895"/>
        <v>0</v>
      </c>
      <c r="EA368" s="535"/>
      <c r="EB368" s="521">
        <f>IF(OR(B368&lt;FV368,B368&gt;FW368),(MIN(BF368+BY368+CT368+MAX(Sheet1!AA366+AQ368-73,0),K368)),0)</f>
        <v>10.565663773706204</v>
      </c>
      <c r="EC368" s="535"/>
      <c r="ED368" s="535">
        <f t="shared" si="896"/>
        <v>10.565663773706204</v>
      </c>
      <c r="EE368" s="535"/>
      <c r="EF368" s="535">
        <f>Sheet1!EH366+Sheet1!EI366+Sheet1!EJ366+Sheet1!EK366</f>
        <v>10.5</v>
      </c>
      <c r="EG368" s="1019">
        <f t="shared" si="831"/>
        <v>16.243500000000001</v>
      </c>
      <c r="EH368" s="521">
        <f t="shared" si="897"/>
        <v>0</v>
      </c>
      <c r="EI368" s="535">
        <f>IF(Sheet1!ET366=1,SUM('Calculations II'!AT368:BA368)+'Calculations II'!BC368+Sheet1!BV366+'Calculations II'!BE368+AP368,'Calculations II'!BK368)</f>
        <v>46.0409622262938</v>
      </c>
      <c r="EJ368" s="535">
        <f ca="1">EI368+'Calculations II'!D368+'Calculations II'!E368+'Calculations II'!O368</f>
        <v>44.728736279342478</v>
      </c>
      <c r="EK368" s="535"/>
      <c r="EL368" s="535"/>
      <c r="EM368" s="535">
        <f t="shared" si="898"/>
        <v>43092</v>
      </c>
      <c r="EN368" s="535">
        <f t="shared" si="899"/>
        <v>0</v>
      </c>
      <c r="EO368" s="535">
        <f t="shared" si="900"/>
        <v>0</v>
      </c>
      <c r="EP368" s="535">
        <v>0</v>
      </c>
      <c r="EQ368" s="535">
        <v>0</v>
      </c>
      <c r="ER368" s="535">
        <v>0</v>
      </c>
      <c r="ES368" s="521">
        <f t="shared" si="797"/>
        <v>1.2468372430165076</v>
      </c>
      <c r="ET368" s="535">
        <f>-(VLOOKUP(Sheet1!BQ366,Lookup!$O$4:$Q$262,2)-VLOOKUP(Sheet1!BQ365,Lookup!$O$4:$Q$262,2))/1000000</f>
        <v>0.55402881904577461</v>
      </c>
      <c r="EU368" s="535">
        <f>-(VLOOKUP(Sheet1!BR366,Lookup!$O$4:$Q$262,3)-VLOOKUP(Sheet1!BR365,Lookup!$O$4:$Q$262,3))/1000000</f>
        <v>0.69280842397073283</v>
      </c>
      <c r="EV368" s="535"/>
      <c r="EW368" s="535"/>
      <c r="EX368" s="535"/>
      <c r="EY368" s="535"/>
      <c r="EZ368" s="535"/>
      <c r="FA368" s="535"/>
      <c r="FB368" s="535"/>
      <c r="FC368" s="535"/>
      <c r="FD368" s="567" t="e">
        <f t="shared" si="847"/>
        <v>#N/A</v>
      </c>
      <c r="FE368" s="567" t="e">
        <f t="shared" si="901"/>
        <v>#N/A</v>
      </c>
      <c r="FF368" s="568" t="e">
        <f t="shared" si="902"/>
        <v>#N/A</v>
      </c>
      <c r="FG368" s="569" t="s">
        <v>656</v>
      </c>
      <c r="FH368" s="569" t="s">
        <v>656</v>
      </c>
      <c r="FI368" s="567" t="e">
        <v>#N/A</v>
      </c>
      <c r="FJ368" s="567" t="e">
        <v>#N/A</v>
      </c>
      <c r="FK368" s="535"/>
      <c r="FL368" s="1015" t="e">
        <f t="shared" si="846"/>
        <v>#N/A</v>
      </c>
      <c r="FM368" s="535"/>
      <c r="FN368" s="535"/>
      <c r="FO368" s="535">
        <f>O368+((Sheet1!CS366)*GPMtoMGD)</f>
        <v>56.18</v>
      </c>
      <c r="FP368" s="535">
        <f>IF(Sheet1!AA366+AQ368&lt;=Calculation!N368,AQ368,Calculation!N368-Sheet1!AA366)</f>
        <v>20.414336226293798</v>
      </c>
      <c r="FQ368" s="535">
        <f>(Sheet1!BP366+Sheet1!BO366)/694.4</f>
        <v>1.6222638248847927</v>
      </c>
      <c r="FR368" s="541"/>
      <c r="FS368" s="541"/>
      <c r="FT368" s="541"/>
      <c r="FU368" s="541"/>
      <c r="FV368" s="1109">
        <f t="shared" si="798"/>
        <v>42918</v>
      </c>
      <c r="FW368" s="1109">
        <f t="shared" si="799"/>
        <v>43027</v>
      </c>
      <c r="FX368" s="541"/>
      <c r="FY368" s="541">
        <f>Sheet1!DA366-Sheet1!CZ366-Sheet1!AE366</f>
        <v>493.08954</v>
      </c>
      <c r="FZ368" s="535">
        <f t="shared" si="832"/>
        <v>0.38500171586635734</v>
      </c>
      <c r="GA368" s="535"/>
      <c r="GB368" s="535" t="str">
        <f t="shared" si="800"/>
        <v>n</v>
      </c>
      <c r="GC368" s="539">
        <f t="shared" si="801"/>
        <v>42782</v>
      </c>
      <c r="GD368" s="1109">
        <f t="shared" si="802"/>
        <v>42904</v>
      </c>
      <c r="GE368" s="535">
        <f t="shared" si="818"/>
        <v>6520</v>
      </c>
      <c r="GF368" s="1109">
        <f t="shared" si="803"/>
        <v>42909</v>
      </c>
      <c r="GG368" s="535">
        <f t="shared" si="845"/>
        <v>3260</v>
      </c>
      <c r="GH368" s="539">
        <f t="shared" si="804"/>
        <v>43040</v>
      </c>
      <c r="GJ368" s="521">
        <f t="shared" si="805"/>
        <v>0</v>
      </c>
      <c r="GK368" s="535" t="str">
        <f t="shared" si="903"/>
        <v/>
      </c>
      <c r="GL368" s="535">
        <f t="shared" si="806"/>
        <v>0</v>
      </c>
      <c r="GM368" s="535" t="str">
        <f t="shared" si="807"/>
        <v/>
      </c>
      <c r="GN368" s="535">
        <f>IF(GK368="P",Lookup!$M$12,IF(GK368="PP",Lookup!$M$13,IF(GK368="PPP",Lookup!$M$14,IF(GK368="T",Lookup!$M$15,IF(GK368="TP",Lookup!$M$16,IF(GK368="TPP",Lookup!$M$17,IF(GK368="TPPP",Lookup!$M$18,0)))))))*GJ368</f>
        <v>0</v>
      </c>
      <c r="GO368" s="535">
        <f t="shared" si="808"/>
        <v>0</v>
      </c>
      <c r="GP368" s="535">
        <f t="shared" si="904"/>
        <v>0</v>
      </c>
      <c r="GQ368" s="974">
        <f t="shared" si="848"/>
        <v>0</v>
      </c>
      <c r="GR368" s="535"/>
      <c r="GS368" s="535">
        <f t="shared" si="809"/>
        <v>0</v>
      </c>
      <c r="GT368" s="535" t="str">
        <f t="shared" si="810"/>
        <v/>
      </c>
      <c r="GU368" s="535">
        <f>IF(GK368="P",Lookup!$N$12,IF(GK368="PP",Lookup!$N$13,IF(GK368="PPP",Lookup!$N$14,IF(GK368="T",Lookup!$N$15,IF(GK368="TP",Lookup!$N$16,IF(GK368="TPP",Lookup!$N$17,IF(GK368="TPPP",Lookup!$N$18,0)))))))*GJ368</f>
        <v>0</v>
      </c>
      <c r="GV368" s="535">
        <f t="shared" si="811"/>
        <v>0</v>
      </c>
      <c r="GW368" s="535">
        <f t="shared" si="905"/>
        <v>0</v>
      </c>
      <c r="GX368" s="974">
        <f t="shared" si="849"/>
        <v>0</v>
      </c>
      <c r="GY368" s="535"/>
      <c r="GZ368" s="535">
        <f t="shared" si="812"/>
        <v>0</v>
      </c>
      <c r="HA368" s="535" t="str">
        <f t="shared" si="813"/>
        <v/>
      </c>
      <c r="HB368" s="535">
        <f>IF(GK368="P",Lookup!$N$12,IF(GK368="PP",Lookup!$N$13,IF(GK368="PPP",Lookup!$N$14,IF(GK368="T",Lookup!$N$15,IF(GK368="TP",Lookup!$N$16,IF(GK368="TPP",Lookup!$N$17,IF(GK368="TPPP",Lookup!$N$18,0)))))))*GJ368</f>
        <v>0</v>
      </c>
      <c r="HC368" s="521">
        <f t="shared" si="906"/>
        <v>0</v>
      </c>
      <c r="HD368" s="535">
        <f t="shared" si="907"/>
        <v>0</v>
      </c>
      <c r="HE368" s="535">
        <f t="shared" si="816"/>
        <v>0</v>
      </c>
      <c r="HF368" s="535"/>
      <c r="HG368" s="535">
        <f t="shared" si="814"/>
        <v>0</v>
      </c>
      <c r="HH368" s="535" t="str">
        <f t="shared" si="815"/>
        <v/>
      </c>
      <c r="HI368" s="535">
        <f>IF(GK368="P",Lookup!$N$12,IF(GK368="PP",Lookup!$N$13,IF(GK368="PPP",Lookup!$N$14,IF(GK368="T",Lookup!$N$15,IF(GK368="TP",Lookup!$N$16,IF(GK368="TPP",Lookup!$N$17,IF(GK368="TPPP",Lookup!$N$18,0)))))))*GJ368</f>
        <v>0</v>
      </c>
      <c r="HJ368" s="521">
        <f t="shared" si="908"/>
        <v>0</v>
      </c>
      <c r="HK368" s="535">
        <f t="shared" si="909"/>
        <v>0</v>
      </c>
      <c r="HL368" s="535">
        <f t="shared" si="817"/>
        <v>0</v>
      </c>
      <c r="HM368" s="535"/>
      <c r="HN368" s="541"/>
      <c r="HO368" s="541"/>
      <c r="HP368" s="541"/>
      <c r="HQ368" s="541">
        <f>IF(AND(B368&gt;=$FV$4,B368&lt;=$FW$4),MAX(110/1.02+$HQ$6+MIN(113/1.02,G368),IF($HV$6-(Sheet1!DA366-Sheet1!DB366)+MIN(113/1.02,G368)&lt;G368+FL368,$HV$6-(Sheet1!DA366-Sheet1!DB366)+MIN(113/1.02,G368),G368+FL368)),MIN(110/1.02+$HQ$6+113/1.02,G368))</f>
        <v>218.62745098039215</v>
      </c>
      <c r="HR368" s="541">
        <f t="shared" si="833"/>
        <v>223</v>
      </c>
      <c r="HS368" s="541">
        <f>HR368+(Sheet1!DA366-Sheet1!DB366)</f>
        <v>773</v>
      </c>
      <c r="HT368" s="541">
        <f t="shared" si="834"/>
        <v>0</v>
      </c>
      <c r="HU368" s="541">
        <f t="shared" si="835"/>
        <v>773</v>
      </c>
      <c r="HV368" s="541">
        <f t="shared" si="836"/>
        <v>0</v>
      </c>
      <c r="HW368" s="533" t="str">
        <f t="shared" si="837"/>
        <v/>
      </c>
      <c r="HX368" s="541">
        <f t="shared" si="838"/>
        <v>1221.372549019608</v>
      </c>
      <c r="HY368" s="541">
        <f>Sheet1!CZ366</f>
        <v>1440</v>
      </c>
      <c r="HZ368" s="541">
        <f t="shared" si="839"/>
        <v>0</v>
      </c>
      <c r="IA368" s="541">
        <f t="shared" si="840"/>
        <v>0</v>
      </c>
      <c r="IB368" s="541">
        <f t="shared" si="841"/>
        <v>1440</v>
      </c>
      <c r="IC368" s="1019" t="str">
        <f t="shared" si="842"/>
        <v/>
      </c>
      <c r="ID368" s="541">
        <f t="shared" si="843"/>
        <v>1440</v>
      </c>
      <c r="IE368" s="541">
        <f>Sheet1!DB366</f>
        <v>1470</v>
      </c>
      <c r="IF368" s="533">
        <f>Sheet1!DA366</f>
        <v>2020</v>
      </c>
      <c r="IH368" s="541">
        <f>IF(AND($B368&gt;=$GC368,$B368&lt;=$GH368,$DR368&lt;0)+N("only adjusted when pool is drawn down during storage season"),Sheet1!$DB366+$DR368+N("Palmer minus all storage release"),Sheet1!$DB366)</f>
        <v>1470</v>
      </c>
      <c r="II368" s="541">
        <f>IF(AND($B368&gt;=$GC368,$B368&lt;=$GH368,$DR368&lt;0)+N("only adjusted when pool is drawn down during storage season"),Sheet1!$DA366+$DR368+N("Auburn minus all storage release"),Sheet1!$DA366)</f>
        <v>2020</v>
      </c>
    </row>
    <row r="369" spans="1:243" x14ac:dyDescent="0.25">
      <c r="A369" s="553" t="s">
        <v>3</v>
      </c>
      <c r="B369" s="531">
        <v>43093</v>
      </c>
      <c r="C369" s="536">
        <v>0</v>
      </c>
      <c r="D369" s="506">
        <f t="shared" si="787"/>
        <v>300</v>
      </c>
      <c r="E369" s="506">
        <f t="shared" si="788"/>
        <v>250</v>
      </c>
      <c r="F369" s="506">
        <v>250</v>
      </c>
      <c r="G369" s="535">
        <f>DR369+Sheet1!CZ367</f>
        <v>1101.9818456876701</v>
      </c>
      <c r="H369" s="1074">
        <f t="shared" si="844"/>
        <v>779.26693823999994</v>
      </c>
      <c r="I369" s="534">
        <f>IF(Sheet1!DA367&gt;=E369,(Sheet1!DA367-E369+P369)*CFStoMGD,0)</f>
        <v>1147.71493824</v>
      </c>
      <c r="J369" s="995">
        <f>IF(Sheet1!DB367&gt;=D369,(Sheet1!DB367-D369+P369)*CFStoMGD,0)</f>
        <v>779.26693823999994</v>
      </c>
      <c r="K369" s="818">
        <f t="shared" si="819"/>
        <v>64.64</v>
      </c>
      <c r="L369" s="535">
        <f>Sheet1!AA367+Sheet1!AB367-Sheet1!L367+(Sheet1!DA367-F369)*CFStoMGD-S369-T369-U369</f>
        <v>1092.4159999999999</v>
      </c>
      <c r="M369" s="535">
        <f t="shared" si="850"/>
        <v>726.56748635356018</v>
      </c>
      <c r="N369" s="824">
        <f>IF(Sheet1!DA367&gt;=F369,MIN(113*CFStoMGD,MIN(MAX(L369,0),MAX(M369,0))),0)</f>
        <v>73.043199999999999</v>
      </c>
      <c r="O369" s="538">
        <f>Sheet1!AA367+Sheet1!AB367</f>
        <v>55.3</v>
      </c>
      <c r="P369" s="538">
        <f t="shared" si="851"/>
        <v>85.549099999999996</v>
      </c>
      <c r="Q369" s="812">
        <f t="shared" si="820"/>
        <v>0</v>
      </c>
      <c r="R369" s="812">
        <f t="shared" si="789"/>
        <v>10.690277777777776</v>
      </c>
      <c r="S369" s="812">
        <f t="shared" si="790"/>
        <v>55.3</v>
      </c>
      <c r="T369" s="812">
        <f t="shared" si="791"/>
        <v>0</v>
      </c>
      <c r="U369" s="812">
        <f>IF(AND(B369&gt;=FV369,B369&lt;=FW369),ED369+Sheet1!EH367,0)</f>
        <v>0</v>
      </c>
      <c r="V369" s="812"/>
      <c r="W369" s="812">
        <f t="shared" si="792"/>
        <v>53.949722222222221</v>
      </c>
      <c r="X369" s="812">
        <f t="shared" si="793"/>
        <v>55.3</v>
      </c>
      <c r="Y369" s="812" t="str">
        <f t="shared" si="794"/>
        <v/>
      </c>
      <c r="Z369" s="812">
        <f t="shared" si="795"/>
        <v>55.3</v>
      </c>
      <c r="AA369" s="812">
        <f t="shared" si="796"/>
        <v>55.3</v>
      </c>
      <c r="AB369" s="1059">
        <f t="shared" si="821"/>
        <v>0</v>
      </c>
      <c r="AC369" s="538">
        <f>Sheet1!Y367*MGDtoCFS</f>
        <v>38.984399999999994</v>
      </c>
      <c r="AD369" s="538">
        <f>Sheet1!Z367*MGDtoCFS</f>
        <v>47.92606</v>
      </c>
      <c r="AE369" s="538">
        <f>Sheet1!AA367*MGDtoCFS</f>
        <v>38.984399999999994</v>
      </c>
      <c r="AF369" s="538">
        <f>Sheet1!AB367*MGDtoCFS</f>
        <v>46.564700000000002</v>
      </c>
      <c r="AG369" s="538">
        <f>Sheet1!L367*MGDtoCFS</f>
        <v>0</v>
      </c>
      <c r="AH369" s="521">
        <f t="shared" si="852"/>
        <v>0</v>
      </c>
      <c r="AI369" s="1059">
        <f t="shared" si="853"/>
        <v>0</v>
      </c>
      <c r="AJ369" s="535">
        <f t="shared" si="854"/>
        <v>0</v>
      </c>
      <c r="AK369" s="535">
        <f t="shared" si="855"/>
        <v>0</v>
      </c>
      <c r="AL369" s="535">
        <f>(VLOOKUP(Sheet1!DC367,hhdcap_wcm,4)-(((VLOOKUP(Sheet1!DC367,hhdcap_wcm,3)-Sheet1!DC367)/(VLOOKUP(Sheet1!DC367,hhdcap_wcm,3)-VLOOKUP(Sheet1!DC367,hhdcap_wcm,1)))*(VLOOKUP(Sheet1!DC367,hhdcap_wcm,4)-VLOOKUP(Sheet1!DC367,hhdcap_wcm,2))))</f>
        <v>3548.6000000082536</v>
      </c>
      <c r="AM369" s="535">
        <f t="shared" si="856"/>
        <v>-610.80000000135033</v>
      </c>
      <c r="AN369" s="1035">
        <f t="shared" si="857"/>
        <v>0</v>
      </c>
      <c r="AO369" s="535">
        <f t="shared" si="858"/>
        <v>0</v>
      </c>
      <c r="AP369" s="535">
        <f>Sheet1!BA367+Sheet1!BB367+Sheet1!BN367+CD369</f>
        <v>19.5</v>
      </c>
      <c r="AQ369" s="535">
        <f>Sheet1!BN367+(DO369*Sheet1!BN367)</f>
        <v>19.409722222222221</v>
      </c>
      <c r="AR369" s="535">
        <f>Sheet1!BA367+CD369</f>
        <v>0</v>
      </c>
      <c r="AS369" s="535">
        <f>Sheet1!BA367+Sheet1!BB367+CD369</f>
        <v>0</v>
      </c>
      <c r="AT369" s="649">
        <f>0</f>
        <v>0</v>
      </c>
      <c r="AU369" s="974">
        <f>BA369+MAX(Sheet1!EH367,(O369-Q369-ED369-S369))</f>
        <v>0</v>
      </c>
      <c r="AV369" s="535">
        <f>IF(OR(B369&gt;=GD369,B369&lt;GC369),0,15/36*K369-MAX(0,64.6-(137.6-(Sheet1!AA367+Sheet1!AB367))))</f>
        <v>0</v>
      </c>
      <c r="AW369" s="1029"/>
      <c r="AX369" s="649"/>
      <c r="AY369" s="649">
        <f t="shared" si="822"/>
        <v>23.311716569431731</v>
      </c>
      <c r="AZ369" s="649">
        <f t="shared" si="823"/>
        <v>0</v>
      </c>
      <c r="BA369" s="1059">
        <f t="shared" si="824"/>
        <v>0</v>
      </c>
      <c r="BB369" s="1019">
        <f t="shared" si="859"/>
        <v>0</v>
      </c>
      <c r="BC369" s="1041">
        <f t="shared" si="825"/>
        <v>26.933333333333334</v>
      </c>
      <c r="BD369" s="1019">
        <f ca="1">IF(B369&gt;(Summary!$A$1-1),#N/A,BB369*MGtoAF)</f>
        <v>0</v>
      </c>
      <c r="BE369" s="535">
        <f>Sheet1!BG367+Sheet1!BH367+Sheet1!BI367-BM369</f>
        <v>1.02</v>
      </c>
      <c r="BF369" s="535">
        <f t="shared" si="860"/>
        <v>1.0152777777777777</v>
      </c>
      <c r="BG369" s="535">
        <f>IF(Sheet1!EP367="FM",BM369,0)</f>
        <v>0</v>
      </c>
      <c r="BH369" s="535">
        <f t="shared" si="861"/>
        <v>0</v>
      </c>
      <c r="BI369" s="535">
        <f>IF(Sheet1!EP367="OTHER",BM369,0)</f>
        <v>0</v>
      </c>
      <c r="BJ369" s="535">
        <f t="shared" si="862"/>
        <v>0</v>
      </c>
      <c r="BK369" s="535">
        <f t="shared" si="863"/>
        <v>1.02</v>
      </c>
      <c r="BL369" s="535">
        <f t="shared" si="864"/>
        <v>1.0152777777777777</v>
      </c>
      <c r="BM369" s="535">
        <f>IF(OR(Sheet1!EP367="FM", Sheet1!EP367="OTHER"),SUM(Sheet1!BG367:'Sheet1'!BI367),0)</f>
        <v>0</v>
      </c>
      <c r="BN369" s="521">
        <f>IF(AND($B369&gt;=$FV369,$B369&lt;=$FW369),MAX(BF369,Sheet1!EI367,0),MAX(BF369-(7/36)*$K369,0))</f>
        <v>0</v>
      </c>
      <c r="BO369" s="535">
        <f t="shared" si="865"/>
        <v>0</v>
      </c>
      <c r="BP369" s="521">
        <f t="shared" si="866"/>
        <v>1.0152777777777777</v>
      </c>
      <c r="BQ369" s="521">
        <f>IF(AND($O369&gt;0,Sheet1!EM367=1),(1-($O369-Sheet1!$L367)/$O369)*BL369,0)</f>
        <v>0</v>
      </c>
      <c r="BR369" s="521">
        <f>IF(AND(Sheet1!$L367=0,Sheet1!$L366=0, Calculation!BK369&lt;Sheet1!$EI367-0.1,Sheet1!$EI367=Sheet1!$EI366,Sheet1!$EI367=Sheet1!$EI368),BL369-BQ369,BL369-BQ369)</f>
        <v>1.0152777777777777</v>
      </c>
      <c r="BS369" s="1035" t="str">
        <f t="shared" si="826"/>
        <v/>
      </c>
      <c r="BT369" s="1035">
        <f t="shared" si="827"/>
        <v>12.568888888888889</v>
      </c>
      <c r="BU369" s="535">
        <f t="shared" si="867"/>
        <v>0</v>
      </c>
      <c r="BV369" s="535"/>
      <c r="BW369" s="535">
        <f ca="1">IF(B369&gt;(Summary!$A$1-1),#N/A,BU369*MGtoAF)</f>
        <v>0</v>
      </c>
      <c r="BX369" s="535">
        <f>Sheet1!BC367+Sheet1!BD367+Sheet1!BE367+Sheet1!BF367-CG369-CH369</f>
        <v>2.98</v>
      </c>
      <c r="BY369" s="535">
        <f t="shared" si="868"/>
        <v>2.9662037037037035</v>
      </c>
      <c r="BZ369" s="535">
        <f>IF(Sheet1!EQ367="FM",CH369,0)</f>
        <v>0</v>
      </c>
      <c r="CA369" s="535">
        <f t="shared" si="869"/>
        <v>0</v>
      </c>
      <c r="CB369" s="535">
        <f>IF(Sheet1!EQ367="OTHER",CH369,0)</f>
        <v>0</v>
      </c>
      <c r="CC369" s="535">
        <f t="shared" si="870"/>
        <v>0</v>
      </c>
      <c r="CD369" s="535">
        <f t="shared" si="871"/>
        <v>0</v>
      </c>
      <c r="CE369" s="535">
        <f t="shared" si="872"/>
        <v>2.98</v>
      </c>
      <c r="CF369" s="535">
        <f t="shared" si="873"/>
        <v>2.9662037037037035</v>
      </c>
      <c r="CG369" s="535">
        <f>IF(Sheet1!EQ367="CWA",SUM(Sheet1!BC367:'Sheet1'!BF367),0)</f>
        <v>0</v>
      </c>
      <c r="CH369" s="535">
        <f>IF(OR(Sheet1!EQ367="FM", Sheet1!EQ367="OTHER"),SUM(Sheet1!BC367:'Sheet1'!BF367),0)</f>
        <v>0</v>
      </c>
      <c r="CI369" s="521">
        <f>IF(AND($B369&gt;=$FV369,$B369&lt;=$FW369),MAX(CF369,Sheet1!EJ367,0),MAX(CF369-(7/36)*$K369,0))</f>
        <v>0</v>
      </c>
      <c r="CJ369" s="535">
        <f t="shared" si="874"/>
        <v>0</v>
      </c>
      <c r="CK369" s="521">
        <f t="shared" si="875"/>
        <v>2.9662037037037035</v>
      </c>
      <c r="CL369" s="521">
        <f>IF(AND($O369&gt;0,Sheet1!EN367=1),(1-($O369-Sheet1!$L367)/$O369)*CF369,0)</f>
        <v>0</v>
      </c>
      <c r="CM369" s="521">
        <f>IF(AND(Sheet1!$L367=0,Sheet1!$L366=0, Calculation!CE369&lt;Sheet1!EJ367-0.1,Sheet1!EJ367=Sheet1!EJ366,Sheet1!EJ367=Sheet1!EJ368),CF369-CL369,CF369-CL369)</f>
        <v>2.9662037037037035</v>
      </c>
      <c r="CN369" s="1040" t="str">
        <f t="shared" si="828"/>
        <v/>
      </c>
      <c r="CO369" s="1035">
        <f t="shared" si="829"/>
        <v>12.568888888888889</v>
      </c>
      <c r="CP369" s="535">
        <f t="shared" si="876"/>
        <v>0</v>
      </c>
      <c r="CQ369" s="535"/>
      <c r="CR369" s="535">
        <f ca="1">IF(B369&gt;(Summary!$A$1-1),#N/A,CP369*MGtoAF)</f>
        <v>0</v>
      </c>
      <c r="CS369" s="535">
        <f>Sheet1!BK367+Sheet1!BL367+Sheet1!BM367-Sheet1!ER367-DA369</f>
        <v>6.74</v>
      </c>
      <c r="CT369" s="535">
        <f t="shared" si="877"/>
        <v>6.7087962962962964</v>
      </c>
      <c r="CU369" s="535">
        <f>IF(Sheet1!ER367="FM",DA369,0)</f>
        <v>0</v>
      </c>
      <c r="CV369" s="535">
        <f t="shared" si="878"/>
        <v>0</v>
      </c>
      <c r="CW369" s="535">
        <f>IF(Sheet1!ER367="OTHER",DA369,0)</f>
        <v>0</v>
      </c>
      <c r="CX369" s="535">
        <f t="shared" si="879"/>
        <v>0</v>
      </c>
      <c r="CY369" s="535">
        <f t="shared" si="880"/>
        <v>6.74</v>
      </c>
      <c r="CZ369" s="535">
        <f t="shared" si="881"/>
        <v>6.7087962962962964</v>
      </c>
      <c r="DA369" s="535">
        <f>IF(OR(Sheet1!ER367="FM", Sheet1!ER367="OTHER"),SUM(Sheet1!BK367:'Sheet1'!BM367),0)</f>
        <v>0</v>
      </c>
      <c r="DB369" s="1011">
        <f>IF(AND($B369&gt;=$FV369,$B369&lt;=$FW369),MAX($CT369,Sheet1!EK367,0),MAX($CT369-(7/36)*$K369,0))</f>
        <v>0</v>
      </c>
      <c r="DC369" s="1012">
        <f t="shared" si="882"/>
        <v>0</v>
      </c>
      <c r="DD369" s="1011">
        <f t="shared" si="883"/>
        <v>6.7087962962962964</v>
      </c>
      <c r="DE369" s="521">
        <f>IF(AND($O369&gt;0,Sheet1!EO367=1),(1-($O369-Sheet1!$L367)/$O369)*CZ369,0)</f>
        <v>0</v>
      </c>
      <c r="DF369" s="521">
        <f>IF(AND(Sheet1!$L367=0,Sheet1!$L366=0, Calculation!CY369&lt;Sheet1!$EK367-0.1,Sheet1!$EK367=Sheet1!$EK366,Sheet1!$EK367=Sheet1!$EK368),CZ369-DE369,CZ369-DE369)</f>
        <v>6.7087962962962964</v>
      </c>
      <c r="DG369" s="1040">
        <f t="shared" si="830"/>
        <v>12.568888888888889</v>
      </c>
      <c r="DH369" s="649">
        <f t="shared" si="884"/>
        <v>10.74</v>
      </c>
      <c r="DI369" s="535">
        <f t="shared" si="885"/>
        <v>0</v>
      </c>
      <c r="DJ369" s="649">
        <f t="shared" si="886"/>
        <v>10.690277777777776</v>
      </c>
      <c r="DK369" s="535">
        <f ca="1">IF(B369&gt;(Summary!$A$1-1),#N/A,DI369*MGtoAF)</f>
        <v>0</v>
      </c>
      <c r="DL369" s="649">
        <f t="shared" si="887"/>
        <v>10.74</v>
      </c>
      <c r="DM369" s="535">
        <f t="shared" si="888"/>
        <v>30.240000000000002</v>
      </c>
      <c r="DN369" s="535">
        <f>Sheet1!AB367-DM369</f>
        <v>-0.14000000000000057</v>
      </c>
      <c r="DO369" s="743">
        <f t="shared" si="889"/>
        <v>-4.6296296296296485E-3</v>
      </c>
      <c r="DP369" s="535">
        <f>(VLOOKUP(Sheet1!DC367,hhdcap_wcm,4)-(((VLOOKUP(Sheet1!DC367,hhdcap_wcm,3)-Sheet1!DC367)/(VLOOKUP(Sheet1!DC367,hhdcap_wcm,3)-VLOOKUP(Sheet1!DC367,hhdcap_wcm,1)))*(VLOOKUP(Sheet1!DC367,hhdcap_wcm,4)-VLOOKUP(Sheet1!DC367,hhdcap_wcm,2))))</f>
        <v>3548.6000000082536</v>
      </c>
      <c r="DQ369" s="535">
        <f t="shared" si="890"/>
        <v>-610.80000000135033</v>
      </c>
      <c r="DR369" s="535">
        <f t="shared" si="891"/>
        <v>-308.0181543123299</v>
      </c>
      <c r="DS369" s="535">
        <f>Sheet1!EA367*AFtoMG</f>
        <v>0</v>
      </c>
      <c r="DT369" s="535">
        <f>Sheet1!EB367*AFtoMG</f>
        <v>0</v>
      </c>
      <c r="DU369" s="535">
        <f>Sheet1!EC367*AFtoMG</f>
        <v>0</v>
      </c>
      <c r="DV369" s="535">
        <f>Sheet1!ED367*AFtoMG</f>
        <v>0</v>
      </c>
      <c r="DW369" s="535">
        <f t="shared" si="892"/>
        <v>0</v>
      </c>
      <c r="DX369" s="535">
        <f t="shared" si="893"/>
        <v>0</v>
      </c>
      <c r="DY369" s="535">
        <f t="shared" si="894"/>
        <v>0</v>
      </c>
      <c r="DZ369" s="535">
        <f t="shared" si="895"/>
        <v>0</v>
      </c>
      <c r="EA369" s="535"/>
      <c r="EB369" s="521">
        <f>IF(OR(B369&lt;FV369,B369&gt;FW369),(MIN(BF369+BY369+CT369+MAX(Sheet1!AA367+AQ369-73,0),K369)),0)</f>
        <v>10.690277777777776</v>
      </c>
      <c r="EC369" s="535"/>
      <c r="ED369" s="535">
        <f t="shared" si="896"/>
        <v>10.690277777777776</v>
      </c>
      <c r="EE369" s="535"/>
      <c r="EF369" s="535">
        <f>Sheet1!EH367+Sheet1!EI367+Sheet1!EJ367+Sheet1!EK367</f>
        <v>10.5</v>
      </c>
      <c r="EG369" s="1019">
        <f t="shared" si="831"/>
        <v>16.243500000000001</v>
      </c>
      <c r="EH369" s="521">
        <f t="shared" si="897"/>
        <v>0</v>
      </c>
      <c r="EI369" s="535">
        <f>IF(Sheet1!ET367=1,SUM('Calculations II'!AT369:BA369)+'Calculations II'!BC369+Sheet1!BV367+'Calculations II'!BE369+AP369,'Calculations II'!BK369)</f>
        <v>45.332612222222224</v>
      </c>
      <c r="EJ369" s="535">
        <f ca="1">EI369+'Calculations II'!D369+'Calculations II'!E369+'Calculations II'!O369</f>
        <v>43.871856270516723</v>
      </c>
      <c r="EK369" s="535"/>
      <c r="EL369" s="535"/>
      <c r="EM369" s="535">
        <f t="shared" si="898"/>
        <v>43093</v>
      </c>
      <c r="EN369" s="535">
        <f t="shared" si="899"/>
        <v>0</v>
      </c>
      <c r="EO369" s="535">
        <f t="shared" si="900"/>
        <v>0</v>
      </c>
      <c r="EP369" s="535">
        <v>0</v>
      </c>
      <c r="EQ369" s="535">
        <v>0</v>
      </c>
      <c r="ER369" s="535">
        <v>0</v>
      </c>
      <c r="ES369" s="521">
        <f t="shared" si="797"/>
        <v>1.5234991592416129</v>
      </c>
      <c r="ET369" s="535">
        <f>-(VLOOKUP(Sheet1!BQ367,Lookup!$O$4:$Q$262,2)-VLOOKUP(Sheet1!BQ366,Lookup!$O$4:$Q$262,2))/1000000</f>
        <v>0.8308509769644179</v>
      </c>
      <c r="EU369" s="535">
        <f>-(VLOOKUP(Sheet1!BR367,Lookup!$O$4:$Q$262,3)-VLOOKUP(Sheet1!BR366,Lookup!$O$4:$Q$262,3))/1000000</f>
        <v>0.69264818227719516</v>
      </c>
      <c r="EV369" s="535"/>
      <c r="EW369" s="535"/>
      <c r="EX369" s="535"/>
      <c r="EY369" s="535"/>
      <c r="EZ369" s="535"/>
      <c r="FA369" s="535"/>
      <c r="FB369" s="535"/>
      <c r="FC369" s="535"/>
      <c r="FD369" s="567" t="e">
        <f t="shared" si="847"/>
        <v>#N/A</v>
      </c>
      <c r="FE369" s="567" t="e">
        <f t="shared" si="901"/>
        <v>#N/A</v>
      </c>
      <c r="FF369" s="568" t="e">
        <f t="shared" si="902"/>
        <v>#N/A</v>
      </c>
      <c r="FG369" s="569" t="s">
        <v>656</v>
      </c>
      <c r="FH369" s="569" t="s">
        <v>656</v>
      </c>
      <c r="FI369" s="567" t="e">
        <v>#N/A</v>
      </c>
      <c r="FJ369" s="567" t="e">
        <v>#N/A</v>
      </c>
      <c r="FK369" s="535"/>
      <c r="FL369" s="1015" t="e">
        <f t="shared" si="846"/>
        <v>#N/A</v>
      </c>
      <c r="FM369" s="535"/>
      <c r="FN369" s="535"/>
      <c r="FO369" s="535">
        <f>O369+((Sheet1!CS367)*GPMtoMGD)</f>
        <v>55.3</v>
      </c>
      <c r="FP369" s="535">
        <f>IF(Sheet1!AA367+AQ369&lt;=Calculation!N369,AQ369,Calculation!N369-Sheet1!AA367)</f>
        <v>19.409722222222221</v>
      </c>
      <c r="FQ369" s="535">
        <f>(Sheet1!BP367+Sheet1!BO367)/694.4</f>
        <v>1.6758352534562213</v>
      </c>
      <c r="FR369" s="541"/>
      <c r="FS369" s="541"/>
      <c r="FT369" s="541"/>
      <c r="FU369" s="541"/>
      <c r="FV369" s="1109">
        <f t="shared" si="798"/>
        <v>42918</v>
      </c>
      <c r="FW369" s="1109">
        <f t="shared" si="799"/>
        <v>43027</v>
      </c>
      <c r="FX369" s="541"/>
      <c r="FY369" s="541">
        <f>Sheet1!DA367-Sheet1!CZ367-Sheet1!AE367</f>
        <v>444.45089999999999</v>
      </c>
      <c r="FZ369" s="535">
        <f t="shared" si="832"/>
        <v>0.40331962068090982</v>
      </c>
      <c r="GA369" s="535"/>
      <c r="GB369" s="535" t="str">
        <f t="shared" si="800"/>
        <v>n</v>
      </c>
      <c r="GC369" s="539">
        <f t="shared" si="801"/>
        <v>42782</v>
      </c>
      <c r="GD369" s="1109">
        <f t="shared" si="802"/>
        <v>42904</v>
      </c>
      <c r="GE369" s="535">
        <f t="shared" si="818"/>
        <v>6520</v>
      </c>
      <c r="GF369" s="1109">
        <f t="shared" si="803"/>
        <v>42909</v>
      </c>
      <c r="GG369" s="535">
        <f t="shared" si="845"/>
        <v>3260</v>
      </c>
      <c r="GH369" s="539">
        <f t="shared" si="804"/>
        <v>43040</v>
      </c>
      <c r="GJ369" s="521">
        <f t="shared" si="805"/>
        <v>0</v>
      </c>
      <c r="GK369" s="535" t="str">
        <f t="shared" si="903"/>
        <v/>
      </c>
      <c r="GL369" s="535">
        <f t="shared" si="806"/>
        <v>0</v>
      </c>
      <c r="GM369" s="535" t="str">
        <f t="shared" si="807"/>
        <v/>
      </c>
      <c r="GN369" s="535">
        <f>IF(GK369="P",Lookup!$M$12,IF(GK369="PP",Lookup!$M$13,IF(GK369="PPP",Lookup!$M$14,IF(GK369="T",Lookup!$M$15,IF(GK369="TP",Lookup!$M$16,IF(GK369="TPP",Lookup!$M$17,IF(GK369="TPPP",Lookup!$M$18,0)))))))*GJ369</f>
        <v>0</v>
      </c>
      <c r="GO369" s="535">
        <f t="shared" si="808"/>
        <v>0</v>
      </c>
      <c r="GP369" s="535">
        <f t="shared" si="904"/>
        <v>0</v>
      </c>
      <c r="GQ369" s="974">
        <f t="shared" si="848"/>
        <v>0</v>
      </c>
      <c r="GR369" s="535"/>
      <c r="GS369" s="535">
        <f t="shared" si="809"/>
        <v>0</v>
      </c>
      <c r="GT369" s="535" t="str">
        <f t="shared" si="810"/>
        <v/>
      </c>
      <c r="GU369" s="535">
        <f>IF(GK369="P",Lookup!$N$12,IF(GK369="PP",Lookup!$N$13,IF(GK369="PPP",Lookup!$N$14,IF(GK369="T",Lookup!$N$15,IF(GK369="TP",Lookup!$N$16,IF(GK369="TPP",Lookup!$N$17,IF(GK369="TPPP",Lookup!$N$18,0)))))))*GJ369</f>
        <v>0</v>
      </c>
      <c r="GV369" s="535">
        <f t="shared" si="811"/>
        <v>0</v>
      </c>
      <c r="GW369" s="535">
        <f t="shared" si="905"/>
        <v>0</v>
      </c>
      <c r="GX369" s="974">
        <f t="shared" si="849"/>
        <v>0</v>
      </c>
      <c r="GY369" s="535"/>
      <c r="GZ369" s="535">
        <f t="shared" si="812"/>
        <v>0</v>
      </c>
      <c r="HA369" s="535" t="str">
        <f t="shared" si="813"/>
        <v/>
      </c>
      <c r="HB369" s="535">
        <f>IF(GK369="P",Lookup!$N$12,IF(GK369="PP",Lookup!$N$13,IF(GK369="PPP",Lookup!$N$14,IF(GK369="T",Lookup!$N$15,IF(GK369="TP",Lookup!$N$16,IF(GK369="TPP",Lookup!$N$17,IF(GK369="TPPP",Lookup!$N$18,0)))))))*GJ369</f>
        <v>0</v>
      </c>
      <c r="HC369" s="521">
        <f t="shared" si="906"/>
        <v>0</v>
      </c>
      <c r="HD369" s="535">
        <f t="shared" si="907"/>
        <v>0</v>
      </c>
      <c r="HE369" s="535">
        <f t="shared" si="816"/>
        <v>0</v>
      </c>
      <c r="HF369" s="535"/>
      <c r="HG369" s="535">
        <f t="shared" si="814"/>
        <v>0</v>
      </c>
      <c r="HH369" s="535" t="str">
        <f t="shared" si="815"/>
        <v/>
      </c>
      <c r="HI369" s="535">
        <f>IF(GK369="P",Lookup!$N$12,IF(GK369="PP",Lookup!$N$13,IF(GK369="PPP",Lookup!$N$14,IF(GK369="T",Lookup!$N$15,IF(GK369="TP",Lookup!$N$16,IF(GK369="TPP",Lookup!$N$17,IF(GK369="TPPP",Lookup!$N$18,0)))))))*GJ369</f>
        <v>0</v>
      </c>
      <c r="HJ369" s="521">
        <f t="shared" si="908"/>
        <v>0</v>
      </c>
      <c r="HK369" s="535">
        <f t="shared" si="909"/>
        <v>0</v>
      </c>
      <c r="HL369" s="535">
        <f t="shared" si="817"/>
        <v>0</v>
      </c>
      <c r="HM369" s="535"/>
      <c r="HN369" s="541"/>
      <c r="HO369" s="541"/>
      <c r="HP369" s="541"/>
      <c r="HQ369" s="541">
        <f>IF(AND(B369&gt;=$FV$4,B369&lt;=$FW$4),MAX(110/1.02+$HQ$6+MIN(113/1.02,G369),IF($HV$6-(Sheet1!DA367-Sheet1!DB367)+MIN(113/1.02,G369)&lt;G369+FL369,$HV$6-(Sheet1!DA367-Sheet1!DB367)+MIN(113/1.02,G369),G369+FL369)),MIN(110/1.02+$HQ$6+113/1.02,G369))</f>
        <v>218.62745098039215</v>
      </c>
      <c r="HR369" s="541">
        <f t="shared" si="833"/>
        <v>223</v>
      </c>
      <c r="HS369" s="541">
        <f>HR369+(Sheet1!DA367-Sheet1!DB367)</f>
        <v>743</v>
      </c>
      <c r="HT369" s="541">
        <f t="shared" si="834"/>
        <v>0</v>
      </c>
      <c r="HU369" s="541">
        <f t="shared" si="835"/>
        <v>743</v>
      </c>
      <c r="HV369" s="541">
        <f t="shared" si="836"/>
        <v>0</v>
      </c>
      <c r="HW369" s="533" t="str">
        <f t="shared" si="837"/>
        <v/>
      </c>
      <c r="HX369" s="541">
        <f t="shared" si="838"/>
        <v>1191.372549019608</v>
      </c>
      <c r="HY369" s="541">
        <f>Sheet1!CZ367</f>
        <v>1410</v>
      </c>
      <c r="HZ369" s="541">
        <f t="shared" si="839"/>
        <v>0</v>
      </c>
      <c r="IA369" s="541">
        <f t="shared" si="840"/>
        <v>0</v>
      </c>
      <c r="IB369" s="541">
        <f t="shared" si="841"/>
        <v>1410</v>
      </c>
      <c r="IC369" s="1019" t="str">
        <f t="shared" si="842"/>
        <v/>
      </c>
      <c r="ID369" s="541">
        <f t="shared" si="843"/>
        <v>1410</v>
      </c>
      <c r="IE369" s="541">
        <f>Sheet1!DB367</f>
        <v>1420</v>
      </c>
      <c r="IF369" s="533">
        <f>Sheet1!DA367</f>
        <v>1940</v>
      </c>
      <c r="IH369" s="541">
        <f>IF(AND($B369&gt;=$GC369,$B369&lt;=$GH369,$DR369&lt;0)+N("only adjusted when pool is drawn down during storage season"),Sheet1!$DB367+$DR369+N("Palmer minus all storage release"),Sheet1!$DB367)</f>
        <v>1420</v>
      </c>
      <c r="II369" s="541">
        <f>IF(AND($B369&gt;=$GC369,$B369&lt;=$GH369,$DR369&lt;0)+N("only adjusted when pool is drawn down during storage season"),Sheet1!$DA367+$DR369+N("Auburn minus all storage release"),Sheet1!$DA367)</f>
        <v>1940</v>
      </c>
    </row>
    <row r="370" spans="1:243" x14ac:dyDescent="0.25">
      <c r="A370" s="553" t="s">
        <v>4</v>
      </c>
      <c r="B370" s="531">
        <v>43094</v>
      </c>
      <c r="C370" s="536">
        <v>0</v>
      </c>
      <c r="D370" s="506">
        <f t="shared" si="787"/>
        <v>300</v>
      </c>
      <c r="E370" s="506">
        <f t="shared" si="788"/>
        <v>250</v>
      </c>
      <c r="F370" s="506">
        <v>250</v>
      </c>
      <c r="G370" s="535">
        <f>DR370+Sheet1!CZ368</f>
        <v>984.00403429077824</v>
      </c>
      <c r="H370" s="1074">
        <f t="shared" si="844"/>
        <v>742.35290233599994</v>
      </c>
      <c r="I370" s="534">
        <f>IF(Sheet1!DA368&gt;=E370,(Sheet1!DA368-E370+P370)*CFStoMGD,0)</f>
        <v>1097.8729023359999</v>
      </c>
      <c r="J370" s="995">
        <f>IF(Sheet1!DB368&gt;=D370,(Sheet1!DB368-D370+P370)*CFStoMGD,0)</f>
        <v>742.35290233599994</v>
      </c>
      <c r="K370" s="818">
        <f t="shared" si="819"/>
        <v>64.64</v>
      </c>
      <c r="L370" s="535">
        <f>Sheet1!AA368+Sheet1!AB368-Sheet1!L368+(Sheet1!DA368-F370)*CFStoMGD-S370-T370-U370</f>
        <v>1040.704</v>
      </c>
      <c r="M370" s="535">
        <f t="shared" si="850"/>
        <v>648.78141192087026</v>
      </c>
      <c r="N370" s="824">
        <f>IF(Sheet1!DA368&gt;=F370,MIN(113*CFStoMGD,MIN(MAX(L370,0),MAX(M370,0))),0)</f>
        <v>73.043199999999999</v>
      </c>
      <c r="O370" s="538">
        <f>Sheet1!AA368+Sheet1!AB368</f>
        <v>57.17</v>
      </c>
      <c r="P370" s="538">
        <f t="shared" si="851"/>
        <v>88.44198999999999</v>
      </c>
      <c r="Q370" s="812">
        <f t="shared" si="820"/>
        <v>0</v>
      </c>
      <c r="R370" s="812">
        <f t="shared" si="789"/>
        <v>10.463272841051314</v>
      </c>
      <c r="S370" s="812">
        <f t="shared" si="790"/>
        <v>57.17</v>
      </c>
      <c r="T370" s="812">
        <f t="shared" si="791"/>
        <v>0</v>
      </c>
      <c r="U370" s="812">
        <f>IF(AND(B370&gt;=FV370,B370&lt;=FW370),ED370+Sheet1!EH368,0)</f>
        <v>0</v>
      </c>
      <c r="V370" s="812"/>
      <c r="W370" s="812">
        <f t="shared" si="792"/>
        <v>54.176727158948687</v>
      </c>
      <c r="X370" s="812">
        <f t="shared" si="793"/>
        <v>57.17</v>
      </c>
      <c r="Y370" s="812" t="str">
        <f t="shared" si="794"/>
        <v/>
      </c>
      <c r="Z370" s="812">
        <f t="shared" si="795"/>
        <v>57.17</v>
      </c>
      <c r="AA370" s="812">
        <f t="shared" si="796"/>
        <v>57.17</v>
      </c>
      <c r="AB370" s="1059">
        <f t="shared" si="821"/>
        <v>0</v>
      </c>
      <c r="AC370" s="538">
        <f>Sheet1!Y368*MGDtoCFS</f>
        <v>38.984399999999994</v>
      </c>
      <c r="AD370" s="538">
        <f>Sheet1!Z368*MGDtoCFS</f>
        <v>46.564700000000002</v>
      </c>
      <c r="AE370" s="538">
        <f>Sheet1!AA368*MGDtoCFS</f>
        <v>38.984399999999994</v>
      </c>
      <c r="AF370" s="538">
        <f>Sheet1!AB368*MGDtoCFS</f>
        <v>49.457589999999996</v>
      </c>
      <c r="AG370" s="538">
        <f>Sheet1!L368*MGDtoCFS</f>
        <v>0</v>
      </c>
      <c r="AH370" s="521">
        <f t="shared" si="852"/>
        <v>0</v>
      </c>
      <c r="AI370" s="1059">
        <f t="shared" si="853"/>
        <v>0</v>
      </c>
      <c r="AJ370" s="535">
        <f t="shared" si="854"/>
        <v>0</v>
      </c>
      <c r="AK370" s="535">
        <f t="shared" si="855"/>
        <v>0</v>
      </c>
      <c r="AL370" s="535">
        <f>(VLOOKUP(Sheet1!DC368,hhdcap_wcm,4)-(((VLOOKUP(Sheet1!DC368,hhdcap_wcm,3)-Sheet1!DC368)/(VLOOKUP(Sheet1!DC368,hhdcap_wcm,3)-VLOOKUP(Sheet1!DC368,hhdcap_wcm,1)))*(VLOOKUP(Sheet1!DC368,hhdcap_wcm,4)-VLOOKUP(Sheet1!DC368,hhdcap_wcm,2))))</f>
        <v>2803.0000000068667</v>
      </c>
      <c r="AM370" s="535">
        <f t="shared" si="856"/>
        <v>-745.60000000138689</v>
      </c>
      <c r="AN370" s="1035">
        <f t="shared" si="857"/>
        <v>0</v>
      </c>
      <c r="AO370" s="535">
        <f t="shared" si="858"/>
        <v>0</v>
      </c>
      <c r="AP370" s="535">
        <f>Sheet1!BA368+Sheet1!BB368+Sheet1!BN368+CD370</f>
        <v>21.5</v>
      </c>
      <c r="AQ370" s="535">
        <f>Sheet1!BN368+(DO370*Sheet1!BN368)</f>
        <v>21.506727158948685</v>
      </c>
      <c r="AR370" s="535">
        <f>Sheet1!BA368+CD370</f>
        <v>0</v>
      </c>
      <c r="AS370" s="535">
        <f>Sheet1!BA368+Sheet1!BB368+CD370</f>
        <v>0</v>
      </c>
      <c r="AT370" s="649">
        <f>0</f>
        <v>0</v>
      </c>
      <c r="AU370" s="974">
        <f>BA370+MAX(Sheet1!EH368,(O370-Q370-ED370-S370))</f>
        <v>0</v>
      </c>
      <c r="AV370" s="535">
        <f>IF(OR(B370&gt;=GD370,B370&lt;GC370),0,15/36*K370-MAX(0,64.6-(137.6-(Sheet1!AA368+Sheet1!AB368))))</f>
        <v>0</v>
      </c>
      <c r="AW370" s="1029"/>
      <c r="AX370" s="649"/>
      <c r="AY370" s="649">
        <f t="shared" si="822"/>
        <v>23.311716569431731</v>
      </c>
      <c r="AZ370" s="649">
        <f t="shared" si="823"/>
        <v>0</v>
      </c>
      <c r="BA370" s="1059">
        <f t="shared" si="824"/>
        <v>0</v>
      </c>
      <c r="BB370" s="1019">
        <f t="shared" si="859"/>
        <v>0</v>
      </c>
      <c r="BC370" s="1041">
        <f t="shared" si="825"/>
        <v>26.933333333333334</v>
      </c>
      <c r="BD370" s="1019">
        <f ca="1">IF(B370&gt;(Summary!$A$1-1),#N/A,BB370*MGtoAF)</f>
        <v>0</v>
      </c>
      <c r="BE370" s="535">
        <f>Sheet1!BG368+Sheet1!BH368+Sheet1!BI368-BM370</f>
        <v>1.01</v>
      </c>
      <c r="BF370" s="535">
        <f t="shared" si="860"/>
        <v>1.0103160200250312</v>
      </c>
      <c r="BG370" s="535">
        <f>IF(Sheet1!EP368="FM",BM370,0)</f>
        <v>0</v>
      </c>
      <c r="BH370" s="535">
        <f t="shared" si="861"/>
        <v>0</v>
      </c>
      <c r="BI370" s="535">
        <f>IF(Sheet1!EP368="OTHER",BM370,0)</f>
        <v>0</v>
      </c>
      <c r="BJ370" s="535">
        <f t="shared" si="862"/>
        <v>0</v>
      </c>
      <c r="BK370" s="535">
        <f t="shared" si="863"/>
        <v>1.01</v>
      </c>
      <c r="BL370" s="535">
        <f t="shared" si="864"/>
        <v>1.0103160200250312</v>
      </c>
      <c r="BM370" s="535">
        <f>IF(OR(Sheet1!EP368="FM", Sheet1!EP368="OTHER"),SUM(Sheet1!BG368:'Sheet1'!BI368),0)</f>
        <v>0</v>
      </c>
      <c r="BN370" s="521">
        <f>IF(AND($B370&gt;=$FV370,$B370&lt;=$FW370),MAX(BF370,Sheet1!EI368,0),MAX(BF370-(7/36)*$K370,0))</f>
        <v>0</v>
      </c>
      <c r="BO370" s="535">
        <f t="shared" si="865"/>
        <v>0</v>
      </c>
      <c r="BP370" s="521">
        <f t="shared" si="866"/>
        <v>1.0103160200250312</v>
      </c>
      <c r="BQ370" s="521">
        <f>IF(AND($O370&gt;0,Sheet1!EM368=1),(1-($O370-Sheet1!$L368)/$O370)*BL370,0)</f>
        <v>0</v>
      </c>
      <c r="BR370" s="521">
        <f>IF(AND(Sheet1!$L368=0,Sheet1!$L367=0, Calculation!BK370&lt;Sheet1!$EI368-0.1,Sheet1!$EI368=Sheet1!$EI367,Sheet1!$EI368=Sheet1!$EI369),BL370-BQ370,BL370-BQ370)</f>
        <v>1.0103160200250312</v>
      </c>
      <c r="BS370" s="1035" t="str">
        <f t="shared" si="826"/>
        <v/>
      </c>
      <c r="BT370" s="1035">
        <f t="shared" si="827"/>
        <v>12.568888888888889</v>
      </c>
      <c r="BU370" s="535">
        <f t="shared" si="867"/>
        <v>0</v>
      </c>
      <c r="BV370" s="535"/>
      <c r="BW370" s="535">
        <f ca="1">IF(B370&gt;(Summary!$A$1-1),#N/A,BU370*MGtoAF)</f>
        <v>0</v>
      </c>
      <c r="BX370" s="535">
        <f>Sheet1!BC368+Sheet1!BD368+Sheet1!BE368+Sheet1!BF368-CG370-CH370</f>
        <v>2.99</v>
      </c>
      <c r="BY370" s="535">
        <f t="shared" si="868"/>
        <v>2.9909355444305383</v>
      </c>
      <c r="BZ370" s="535">
        <f>IF(Sheet1!EQ368="FM",CH370,0)</f>
        <v>0</v>
      </c>
      <c r="CA370" s="535">
        <f t="shared" si="869"/>
        <v>0</v>
      </c>
      <c r="CB370" s="535">
        <f>IF(Sheet1!EQ368="OTHER",CH370,0)</f>
        <v>0</v>
      </c>
      <c r="CC370" s="535">
        <f t="shared" si="870"/>
        <v>0</v>
      </c>
      <c r="CD370" s="535">
        <f t="shared" si="871"/>
        <v>0</v>
      </c>
      <c r="CE370" s="535">
        <f t="shared" si="872"/>
        <v>2.99</v>
      </c>
      <c r="CF370" s="535">
        <f t="shared" si="873"/>
        <v>2.9909355444305383</v>
      </c>
      <c r="CG370" s="535">
        <f>IF(Sheet1!EQ368="CWA",SUM(Sheet1!BC368:'Sheet1'!BF368),0)</f>
        <v>0</v>
      </c>
      <c r="CH370" s="535">
        <f>IF(OR(Sheet1!EQ368="FM", Sheet1!EQ368="OTHER"),SUM(Sheet1!BC368:'Sheet1'!BF368),0)</f>
        <v>0</v>
      </c>
      <c r="CI370" s="521">
        <f>IF(AND($B370&gt;=$FV370,$B370&lt;=$FW370),MAX(CF370,Sheet1!EJ368,0),MAX(CF370-(7/36)*$K370,0))</f>
        <v>0</v>
      </c>
      <c r="CJ370" s="535">
        <f t="shared" si="874"/>
        <v>0</v>
      </c>
      <c r="CK370" s="521">
        <f t="shared" si="875"/>
        <v>2.9909355444305383</v>
      </c>
      <c r="CL370" s="521">
        <f>IF(AND($O370&gt;0,Sheet1!EN368=1),(1-($O370-Sheet1!$L368)/$O370)*CF370,0)</f>
        <v>0</v>
      </c>
      <c r="CM370" s="521">
        <f>IF(AND(Sheet1!$L368=0,Sheet1!$L367=0, Calculation!CE370&lt;Sheet1!EJ368-0.1,Sheet1!EJ368=Sheet1!EJ367,Sheet1!EJ368=Sheet1!EJ369),CF370-CL370,CF370-CL370)</f>
        <v>2.9909355444305383</v>
      </c>
      <c r="CN370" s="1040" t="str">
        <f t="shared" si="828"/>
        <v/>
      </c>
      <c r="CO370" s="1035">
        <f t="shared" si="829"/>
        <v>12.568888888888889</v>
      </c>
      <c r="CP370" s="535">
        <f t="shared" si="876"/>
        <v>0</v>
      </c>
      <c r="CQ370" s="535"/>
      <c r="CR370" s="535">
        <f ca="1">IF(B370&gt;(Summary!$A$1-1),#N/A,CP370*MGtoAF)</f>
        <v>0</v>
      </c>
      <c r="CS370" s="535">
        <f>Sheet1!BK368+Sheet1!BL368+Sheet1!BM368-Sheet1!ER368-DA370</f>
        <v>6.46</v>
      </c>
      <c r="CT370" s="535">
        <f t="shared" si="877"/>
        <v>6.4620212765957445</v>
      </c>
      <c r="CU370" s="535">
        <f>IF(Sheet1!ER368="FM",DA370,0)</f>
        <v>0</v>
      </c>
      <c r="CV370" s="535">
        <f t="shared" si="878"/>
        <v>0</v>
      </c>
      <c r="CW370" s="535">
        <f>IF(Sheet1!ER368="OTHER",DA370,0)</f>
        <v>0</v>
      </c>
      <c r="CX370" s="535">
        <f t="shared" si="879"/>
        <v>0</v>
      </c>
      <c r="CY370" s="535">
        <f t="shared" si="880"/>
        <v>6.46</v>
      </c>
      <c r="CZ370" s="535">
        <f t="shared" si="881"/>
        <v>6.4620212765957445</v>
      </c>
      <c r="DA370" s="535">
        <f>IF(OR(Sheet1!ER368="FM", Sheet1!ER368="OTHER"),SUM(Sheet1!BK368:'Sheet1'!BM368),0)</f>
        <v>0</v>
      </c>
      <c r="DB370" s="1011">
        <f>IF(AND($B370&gt;=$FV370,$B370&lt;=$FW370),MAX($CT370,Sheet1!EK368,0),MAX($CT370-(7/36)*$K370,0))</f>
        <v>0</v>
      </c>
      <c r="DC370" s="1012">
        <f t="shared" si="882"/>
        <v>0</v>
      </c>
      <c r="DD370" s="1011">
        <f t="shared" si="883"/>
        <v>6.4620212765957445</v>
      </c>
      <c r="DE370" s="521">
        <f>IF(AND($O370&gt;0,Sheet1!EO368=1),(1-($O370-Sheet1!$L368)/$O370)*CZ370,0)</f>
        <v>0</v>
      </c>
      <c r="DF370" s="521">
        <f>IF(AND(Sheet1!$L368=0,Sheet1!$L367=0, Calculation!CY370&lt;Sheet1!$EK368-0.1,Sheet1!$EK368=Sheet1!$EK367,Sheet1!$EK368=Sheet1!$EK369),CZ370-DE370,CZ370-DE370)</f>
        <v>6.4620212765957445</v>
      </c>
      <c r="DG370" s="1040">
        <f t="shared" si="830"/>
        <v>12.568888888888889</v>
      </c>
      <c r="DH370" s="649">
        <f t="shared" si="884"/>
        <v>10.46</v>
      </c>
      <c r="DI370" s="535">
        <f t="shared" si="885"/>
        <v>0</v>
      </c>
      <c r="DJ370" s="649">
        <f t="shared" si="886"/>
        <v>10.463272841051314</v>
      </c>
      <c r="DK370" s="535">
        <f ca="1">IF(B370&gt;(Summary!$A$1-1),#N/A,DI370*MGtoAF)</f>
        <v>0</v>
      </c>
      <c r="DL370" s="649">
        <f t="shared" si="887"/>
        <v>10.459999999999999</v>
      </c>
      <c r="DM370" s="535">
        <f t="shared" si="888"/>
        <v>31.96</v>
      </c>
      <c r="DN370" s="535">
        <f>Sheet1!AB368-DM370</f>
        <v>9.9999999999980105E-3</v>
      </c>
      <c r="DO370" s="743">
        <f t="shared" si="889"/>
        <v>3.1289111389230318E-4</v>
      </c>
      <c r="DP370" s="535">
        <f>(VLOOKUP(Sheet1!DC368,hhdcap_wcm,4)-(((VLOOKUP(Sheet1!DC368,hhdcap_wcm,3)-Sheet1!DC368)/(VLOOKUP(Sheet1!DC368,hhdcap_wcm,3)-VLOOKUP(Sheet1!DC368,hhdcap_wcm,1)))*(VLOOKUP(Sheet1!DC368,hhdcap_wcm,4)-VLOOKUP(Sheet1!DC368,hhdcap_wcm,2))))</f>
        <v>2803.0000000068667</v>
      </c>
      <c r="DQ370" s="535">
        <f t="shared" si="890"/>
        <v>-745.60000000138689</v>
      </c>
      <c r="DR370" s="535">
        <f t="shared" si="891"/>
        <v>-375.99596570922176</v>
      </c>
      <c r="DS370" s="535">
        <f>Sheet1!EA368*AFtoMG</f>
        <v>0</v>
      </c>
      <c r="DT370" s="535">
        <f>Sheet1!EB368*AFtoMG</f>
        <v>0</v>
      </c>
      <c r="DU370" s="535">
        <f>Sheet1!EC368*AFtoMG</f>
        <v>0</v>
      </c>
      <c r="DV370" s="535">
        <f>Sheet1!ED368*AFtoMG</f>
        <v>0</v>
      </c>
      <c r="DW370" s="535">
        <f t="shared" si="892"/>
        <v>0</v>
      </c>
      <c r="DX370" s="535">
        <f t="shared" si="893"/>
        <v>0</v>
      </c>
      <c r="DY370" s="535">
        <f t="shared" si="894"/>
        <v>0</v>
      </c>
      <c r="DZ370" s="535">
        <f t="shared" si="895"/>
        <v>0</v>
      </c>
      <c r="EA370" s="535"/>
      <c r="EB370" s="521">
        <f>IF(OR(B370&lt;FV370,B370&gt;FW370),(MIN(BF370+BY370+CT370+MAX(Sheet1!AA368+AQ370-73,0),K370)),0)</f>
        <v>10.463272841051314</v>
      </c>
      <c r="EC370" s="535"/>
      <c r="ED370" s="535">
        <f t="shared" si="896"/>
        <v>10.463272841051314</v>
      </c>
      <c r="EE370" s="535"/>
      <c r="EF370" s="535">
        <f>Sheet1!EH368+Sheet1!EI368+Sheet1!EJ368+Sheet1!EK368</f>
        <v>10.5</v>
      </c>
      <c r="EG370" s="1019">
        <f t="shared" si="831"/>
        <v>16.243500000000001</v>
      </c>
      <c r="EH370" s="521">
        <f t="shared" si="897"/>
        <v>0</v>
      </c>
      <c r="EI370" s="535">
        <f>IF(Sheet1!ET368=1,SUM('Calculations II'!AT370:BA370)+'Calculations II'!BC370+Sheet1!BV368+'Calculations II'!BE370+AP370,'Calculations II'!BK370)</f>
        <v>42.835729158948681</v>
      </c>
      <c r="EJ370" s="535">
        <f ca="1">EI370+'Calculations II'!D370+'Calculations II'!E370+'Calculations II'!O370</f>
        <v>46.378574455830879</v>
      </c>
      <c r="EK370" s="535"/>
      <c r="EL370" s="535"/>
      <c r="EM370" s="535">
        <f t="shared" si="898"/>
        <v>43094</v>
      </c>
      <c r="EN370" s="535">
        <f t="shared" si="899"/>
        <v>0</v>
      </c>
      <c r="EO370" s="535">
        <f t="shared" si="900"/>
        <v>0</v>
      </c>
      <c r="EP370" s="535">
        <v>0</v>
      </c>
      <c r="EQ370" s="535">
        <v>0</v>
      </c>
      <c r="ER370" s="535">
        <v>0</v>
      </c>
      <c r="ES370" s="521">
        <f t="shared" si="797"/>
        <v>-2.631761897241693</v>
      </c>
      <c r="ET370" s="535">
        <f>-(VLOOKUP(Sheet1!BQ368,Lookup!$O$4:$Q$262,2)-VLOOKUP(Sheet1!BQ367,Lookup!$O$4:$Q$262,2))/1000000</f>
        <v>-1.3848797960101924</v>
      </c>
      <c r="EU370" s="535">
        <f>-(VLOOKUP(Sheet1!BR368,Lookup!$O$4:$Q$262,3)-VLOOKUP(Sheet1!BR367,Lookup!$O$4:$Q$262,3))/1000000</f>
        <v>-1.2468821012315006</v>
      </c>
      <c r="EV370" s="535"/>
      <c r="EW370" s="535"/>
      <c r="EX370" s="535"/>
      <c r="EY370" s="535"/>
      <c r="EZ370" s="535"/>
      <c r="FA370" s="535"/>
      <c r="FB370" s="535"/>
      <c r="FC370" s="535"/>
      <c r="FD370" s="567" t="e">
        <f t="shared" si="847"/>
        <v>#N/A</v>
      </c>
      <c r="FE370" s="567" t="e">
        <f t="shared" si="901"/>
        <v>#N/A</v>
      </c>
      <c r="FF370" s="568" t="e">
        <f t="shared" si="902"/>
        <v>#N/A</v>
      </c>
      <c r="FG370" s="569" t="s">
        <v>656</v>
      </c>
      <c r="FH370" s="569" t="s">
        <v>656</v>
      </c>
      <c r="FI370" s="567" t="e">
        <v>#N/A</v>
      </c>
      <c r="FJ370" s="567" t="e">
        <v>#N/A</v>
      </c>
      <c r="FK370" s="535"/>
      <c r="FL370" s="1015" t="e">
        <f t="shared" si="846"/>
        <v>#N/A</v>
      </c>
      <c r="FM370" s="535"/>
      <c r="FN370" s="535"/>
      <c r="FO370" s="535">
        <f>O370+((Sheet1!CS368)*GPMtoMGD)</f>
        <v>57.17</v>
      </c>
      <c r="FP370" s="535">
        <f>IF(Sheet1!AA368+AQ370&lt;=Calculation!N370,AQ370,Calculation!N370-Sheet1!AA368)</f>
        <v>21.506727158948685</v>
      </c>
      <c r="FQ370" s="535">
        <f>(Sheet1!BP368+Sheet1!BO368)/694.4</f>
        <v>1.6404089861751152</v>
      </c>
      <c r="FR370" s="541"/>
      <c r="FS370" s="541"/>
      <c r="FT370" s="541"/>
      <c r="FU370" s="541"/>
      <c r="FV370" s="1109">
        <f t="shared" si="798"/>
        <v>42918</v>
      </c>
      <c r="FW370" s="1109">
        <f t="shared" si="799"/>
        <v>43027</v>
      </c>
      <c r="FX370" s="541"/>
      <c r="FY370" s="541">
        <f>Sheet1!DA368-Sheet1!CZ368-Sheet1!AE368</f>
        <v>411.55800999999997</v>
      </c>
      <c r="FZ370" s="535">
        <f t="shared" si="832"/>
        <v>0.4182482953910151</v>
      </c>
      <c r="GA370" s="535"/>
      <c r="GB370" s="535" t="str">
        <f t="shared" si="800"/>
        <v>n</v>
      </c>
      <c r="GC370" s="539">
        <f t="shared" si="801"/>
        <v>42782</v>
      </c>
      <c r="GD370" s="1109">
        <f t="shared" si="802"/>
        <v>42904</v>
      </c>
      <c r="GE370" s="535">
        <f t="shared" si="818"/>
        <v>6520</v>
      </c>
      <c r="GF370" s="1109">
        <f t="shared" si="803"/>
        <v>42909</v>
      </c>
      <c r="GG370" s="535">
        <f t="shared" si="845"/>
        <v>3260</v>
      </c>
      <c r="GH370" s="539">
        <f t="shared" si="804"/>
        <v>43040</v>
      </c>
      <c r="GJ370" s="521">
        <f t="shared" si="805"/>
        <v>0</v>
      </c>
      <c r="GK370" s="535" t="str">
        <f t="shared" si="903"/>
        <v/>
      </c>
      <c r="GL370" s="535">
        <f t="shared" si="806"/>
        <v>0</v>
      </c>
      <c r="GM370" s="535" t="str">
        <f t="shared" si="807"/>
        <v/>
      </c>
      <c r="GN370" s="535">
        <f>IF(GK370="P",Lookup!$M$12,IF(GK370="PP",Lookup!$M$13,IF(GK370="PPP",Lookup!$M$14,IF(GK370="T",Lookup!$M$15,IF(GK370="TP",Lookup!$M$16,IF(GK370="TPP",Lookup!$M$17,IF(GK370="TPPP",Lookup!$M$18,0)))))))*GJ370</f>
        <v>0</v>
      </c>
      <c r="GO370" s="535">
        <f t="shared" si="808"/>
        <v>0</v>
      </c>
      <c r="GP370" s="535">
        <f t="shared" si="904"/>
        <v>0</v>
      </c>
      <c r="GQ370" s="974">
        <f t="shared" si="848"/>
        <v>0</v>
      </c>
      <c r="GR370" s="535"/>
      <c r="GS370" s="535">
        <f t="shared" si="809"/>
        <v>0</v>
      </c>
      <c r="GT370" s="535" t="str">
        <f t="shared" si="810"/>
        <v/>
      </c>
      <c r="GU370" s="535">
        <f>IF(GK370="P",Lookup!$N$12,IF(GK370="PP",Lookup!$N$13,IF(GK370="PPP",Lookup!$N$14,IF(GK370="T",Lookup!$N$15,IF(GK370="TP",Lookup!$N$16,IF(GK370="TPP",Lookup!$N$17,IF(GK370="TPPP",Lookup!$N$18,0)))))))*GJ370</f>
        <v>0</v>
      </c>
      <c r="GV370" s="535">
        <f t="shared" si="811"/>
        <v>0</v>
      </c>
      <c r="GW370" s="535">
        <f t="shared" si="905"/>
        <v>0</v>
      </c>
      <c r="GX370" s="974">
        <f t="shared" si="849"/>
        <v>0</v>
      </c>
      <c r="GY370" s="535"/>
      <c r="GZ370" s="535">
        <f t="shared" si="812"/>
        <v>0</v>
      </c>
      <c r="HA370" s="535" t="str">
        <f t="shared" si="813"/>
        <v/>
      </c>
      <c r="HB370" s="535">
        <f>IF(GK370="P",Lookup!$N$12,IF(GK370="PP",Lookup!$N$13,IF(GK370="PPP",Lookup!$N$14,IF(GK370="T",Lookup!$N$15,IF(GK370="TP",Lookup!$N$16,IF(GK370="TPP",Lookup!$N$17,IF(GK370="TPPP",Lookup!$N$18,0)))))))*GJ370</f>
        <v>0</v>
      </c>
      <c r="HC370" s="521">
        <f t="shared" si="906"/>
        <v>0</v>
      </c>
      <c r="HD370" s="535">
        <f t="shared" si="907"/>
        <v>0</v>
      </c>
      <c r="HE370" s="535">
        <f t="shared" si="816"/>
        <v>0</v>
      </c>
      <c r="HF370" s="535"/>
      <c r="HG370" s="535">
        <f t="shared" si="814"/>
        <v>0</v>
      </c>
      <c r="HH370" s="535" t="str">
        <f t="shared" si="815"/>
        <v/>
      </c>
      <c r="HI370" s="535">
        <f>IF(GK370="P",Lookup!$N$12,IF(GK370="PP",Lookup!$N$13,IF(GK370="PPP",Lookup!$N$14,IF(GK370="T",Lookup!$N$15,IF(GK370="TP",Lookup!$N$16,IF(GK370="TPP",Lookup!$N$17,IF(GK370="TPPP",Lookup!$N$18,0)))))))*GJ370</f>
        <v>0</v>
      </c>
      <c r="HJ370" s="521">
        <f t="shared" si="908"/>
        <v>0</v>
      </c>
      <c r="HK370" s="535">
        <f t="shared" si="909"/>
        <v>0</v>
      </c>
      <c r="HL370" s="535">
        <f t="shared" si="817"/>
        <v>0</v>
      </c>
      <c r="HM370" s="535"/>
      <c r="HN370" s="541"/>
      <c r="HO370" s="541"/>
      <c r="HP370" s="541"/>
      <c r="HQ370" s="541">
        <f>IF(AND(B370&gt;=$FV$4,B370&lt;=$FW$4),MAX(110/1.02+$HQ$6+MIN(113/1.02,G370),IF($HV$6-(Sheet1!DA368-Sheet1!DB368)+MIN(113/1.02,G370)&lt;G370+FL370,$HV$6-(Sheet1!DA368-Sheet1!DB368)+MIN(113/1.02,G370),G370+FL370)),MIN(110/1.02+$HQ$6+113/1.02,G370))</f>
        <v>218.62745098039215</v>
      </c>
      <c r="HR370" s="541">
        <f t="shared" si="833"/>
        <v>223</v>
      </c>
      <c r="HS370" s="541">
        <f>HR370+(Sheet1!DA368-Sheet1!DB368)</f>
        <v>723</v>
      </c>
      <c r="HT370" s="541">
        <f t="shared" si="834"/>
        <v>0</v>
      </c>
      <c r="HU370" s="541">
        <f t="shared" si="835"/>
        <v>723</v>
      </c>
      <c r="HV370" s="541">
        <f t="shared" si="836"/>
        <v>0</v>
      </c>
      <c r="HW370" s="533" t="str">
        <f t="shared" si="837"/>
        <v/>
      </c>
      <c r="HX370" s="541">
        <f t="shared" si="838"/>
        <v>1141.372549019608</v>
      </c>
      <c r="HY370" s="541">
        <f>Sheet1!CZ368</f>
        <v>1360</v>
      </c>
      <c r="HZ370" s="541">
        <f t="shared" si="839"/>
        <v>0</v>
      </c>
      <c r="IA370" s="541">
        <f t="shared" si="840"/>
        <v>0</v>
      </c>
      <c r="IB370" s="541">
        <f t="shared" si="841"/>
        <v>1360</v>
      </c>
      <c r="IC370" s="1019" t="str">
        <f t="shared" si="842"/>
        <v/>
      </c>
      <c r="ID370" s="541">
        <f t="shared" si="843"/>
        <v>1360</v>
      </c>
      <c r="IE370" s="541">
        <f>Sheet1!DB368</f>
        <v>1360</v>
      </c>
      <c r="IF370" s="533">
        <f>Sheet1!DA368</f>
        <v>1860</v>
      </c>
      <c r="IH370" s="541">
        <f>IF(AND($B370&gt;=$GC370,$B370&lt;=$GH370,$DR370&lt;0)+N("only adjusted when pool is drawn down during storage season"),Sheet1!$DB368+$DR370+N("Palmer minus all storage release"),Sheet1!$DB368)</f>
        <v>1360</v>
      </c>
      <c r="II370" s="541">
        <f>IF(AND($B370&gt;=$GC370,$B370&lt;=$GH370,$DR370&lt;0)+N("only adjusted when pool is drawn down during storage season"),Sheet1!$DA368+$DR370+N("Auburn minus all storage release"),Sheet1!$DA368)</f>
        <v>1860</v>
      </c>
    </row>
    <row r="371" spans="1:243" x14ac:dyDescent="0.25">
      <c r="A371" s="553" t="s">
        <v>5</v>
      </c>
      <c r="B371" s="531">
        <v>43095</v>
      </c>
      <c r="C371" s="536">
        <v>0</v>
      </c>
      <c r="D371" s="506">
        <f t="shared" si="787"/>
        <v>300</v>
      </c>
      <c r="E371" s="506">
        <f t="shared" si="788"/>
        <v>250</v>
      </c>
      <c r="F371" s="506">
        <v>250</v>
      </c>
      <c r="G371" s="535">
        <f>DR371+Sheet1!CZ369</f>
        <v>835.82400403328711</v>
      </c>
      <c r="H371" s="1074">
        <f t="shared" si="844"/>
        <v>665.41489023999998</v>
      </c>
      <c r="I371" s="534">
        <f>IF(Sheet1!DA369&gt;=E371,(Sheet1!DA369-E371+P371)*CFStoMGD,0)</f>
        <v>1018.34929024</v>
      </c>
      <c r="J371" s="995">
        <f>IF(Sheet1!DB369&gt;=D371,(Sheet1!DB369-D371+P371)*CFStoMGD,0)</f>
        <v>665.41489023999998</v>
      </c>
      <c r="K371" s="818">
        <f t="shared" si="819"/>
        <v>64.64</v>
      </c>
      <c r="L371" s="535">
        <f>Sheet1!AA369+Sheet1!AB369-Sheet1!L369+(Sheet1!DA369-F371)*CFStoMGD-S371-T371-U371</f>
        <v>960.55039999999997</v>
      </c>
      <c r="M371" s="535">
        <f t="shared" si="850"/>
        <v>551.08216893125916</v>
      </c>
      <c r="N371" s="824">
        <f>IF(Sheet1!DA369&gt;=F371,MIN(113*CFStoMGD,MIN(MAX(L371,0),MAX(M371,0))),0)</f>
        <v>73.043199999999999</v>
      </c>
      <c r="O371" s="538">
        <f>Sheet1!AA369+Sheet1!AB369</f>
        <v>57.8</v>
      </c>
      <c r="P371" s="538">
        <f t="shared" si="851"/>
        <v>89.416599999999988</v>
      </c>
      <c r="Q371" s="812">
        <f t="shared" si="820"/>
        <v>0</v>
      </c>
      <c r="R371" s="812">
        <f t="shared" si="789"/>
        <v>10.440783833435397</v>
      </c>
      <c r="S371" s="812">
        <f t="shared" si="790"/>
        <v>57.8</v>
      </c>
      <c r="T371" s="812">
        <f t="shared" si="791"/>
        <v>0</v>
      </c>
      <c r="U371" s="812">
        <f>IF(AND(B371&gt;=FV371,B371&lt;=FW371),ED371+Sheet1!EH369,0)</f>
        <v>0</v>
      </c>
      <c r="V371" s="812"/>
      <c r="W371" s="812">
        <f t="shared" si="792"/>
        <v>54.199216166564604</v>
      </c>
      <c r="X371" s="812">
        <f t="shared" si="793"/>
        <v>57.8</v>
      </c>
      <c r="Y371" s="812" t="str">
        <f t="shared" si="794"/>
        <v/>
      </c>
      <c r="Z371" s="812">
        <f t="shared" si="795"/>
        <v>57.8</v>
      </c>
      <c r="AA371" s="812">
        <f t="shared" si="796"/>
        <v>57.8</v>
      </c>
      <c r="AB371" s="1059">
        <f t="shared" si="821"/>
        <v>0</v>
      </c>
      <c r="AC371" s="538">
        <f>Sheet1!Y369*MGDtoCFS</f>
        <v>38.984399999999994</v>
      </c>
      <c r="AD371" s="538">
        <f>Sheet1!Z369*MGDtoCFS</f>
        <v>49.457589999999996</v>
      </c>
      <c r="AE371" s="538">
        <f>Sheet1!AA369*MGDtoCFS</f>
        <v>38.984399999999994</v>
      </c>
      <c r="AF371" s="538">
        <f>Sheet1!AB369*MGDtoCFS</f>
        <v>50.432200000000002</v>
      </c>
      <c r="AG371" s="538">
        <f>Sheet1!L369*MGDtoCFS</f>
        <v>0</v>
      </c>
      <c r="AH371" s="521">
        <f t="shared" si="852"/>
        <v>0</v>
      </c>
      <c r="AI371" s="1059">
        <f t="shared" si="853"/>
        <v>0</v>
      </c>
      <c r="AJ371" s="535">
        <f t="shared" si="854"/>
        <v>0</v>
      </c>
      <c r="AK371" s="535">
        <f t="shared" si="855"/>
        <v>0</v>
      </c>
      <c r="AL371" s="535">
        <f>(VLOOKUP(Sheet1!DC369,hhdcap_wcm,4)-(((VLOOKUP(Sheet1!DC369,hhdcap_wcm,3)-Sheet1!DC369)/(VLOOKUP(Sheet1!DC369,hhdcap_wcm,3)-VLOOKUP(Sheet1!DC369,hhdcap_wcm,1)))*(VLOOKUP(Sheet1!DC369,hhdcap_wcm,4)-VLOOKUP(Sheet1!DC369,hhdcap_wcm,2))))</f>
        <v>2015.400000004875</v>
      </c>
      <c r="AM371" s="535">
        <f t="shared" si="856"/>
        <v>-787.6000000019917</v>
      </c>
      <c r="AN371" s="1035">
        <f t="shared" si="857"/>
        <v>0</v>
      </c>
      <c r="AO371" s="535">
        <f t="shared" si="858"/>
        <v>0</v>
      </c>
      <c r="AP371" s="535">
        <f>Sheet1!BA369+Sheet1!BB369+Sheet1!BN369+CD371</f>
        <v>22.2</v>
      </c>
      <c r="AQ371" s="535">
        <f>Sheet1!BN369+(DO371*Sheet1!BN369)</f>
        <v>22.159216166564608</v>
      </c>
      <c r="AR371" s="535">
        <f>Sheet1!BA369+CD371</f>
        <v>0</v>
      </c>
      <c r="AS371" s="535">
        <f>Sheet1!BA369+Sheet1!BB369+CD371</f>
        <v>0</v>
      </c>
      <c r="AT371" s="649">
        <f>0</f>
        <v>0</v>
      </c>
      <c r="AU371" s="974">
        <f>BA371+MAX(Sheet1!EH369,(O371-Q371-ED371-S371))</f>
        <v>0</v>
      </c>
      <c r="AV371" s="535">
        <f>IF(OR(B371&gt;=GD371,B371&lt;GC371),0,15/36*K371-MAX(0,64.6-(137.6-(Sheet1!AA369+Sheet1!AB369))))</f>
        <v>0</v>
      </c>
      <c r="AW371" s="1029"/>
      <c r="AX371" s="649"/>
      <c r="AY371" s="649">
        <f t="shared" si="822"/>
        <v>23.311716569431731</v>
      </c>
      <c r="AZ371" s="649">
        <f t="shared" si="823"/>
        <v>0</v>
      </c>
      <c r="BA371" s="1059">
        <f t="shared" si="824"/>
        <v>0</v>
      </c>
      <c r="BB371" s="1019">
        <f t="shared" si="859"/>
        <v>0</v>
      </c>
      <c r="BC371" s="1041">
        <f t="shared" si="825"/>
        <v>26.933333333333334</v>
      </c>
      <c r="BD371" s="1019">
        <f ca="1">IF(B371&gt;(Summary!$A$1-1),#N/A,BB371*MGtoAF)</f>
        <v>0</v>
      </c>
      <c r="BE371" s="535">
        <f>Sheet1!BG369+Sheet1!BH369+Sheet1!BI369-BM371</f>
        <v>1.01</v>
      </c>
      <c r="BF371" s="535">
        <f t="shared" si="860"/>
        <v>1.0081445192896512</v>
      </c>
      <c r="BG371" s="535">
        <f>IF(Sheet1!EP369="FM",BM371,0)</f>
        <v>0</v>
      </c>
      <c r="BH371" s="535">
        <f t="shared" si="861"/>
        <v>0</v>
      </c>
      <c r="BI371" s="535">
        <f>IF(Sheet1!EP369="OTHER",BM371,0)</f>
        <v>0</v>
      </c>
      <c r="BJ371" s="535">
        <f t="shared" si="862"/>
        <v>0</v>
      </c>
      <c r="BK371" s="535">
        <f t="shared" si="863"/>
        <v>1.01</v>
      </c>
      <c r="BL371" s="535">
        <f t="shared" si="864"/>
        <v>1.0081445192896512</v>
      </c>
      <c r="BM371" s="535">
        <f>IF(OR(Sheet1!EP369="FM", Sheet1!EP369="OTHER"),SUM(Sheet1!BG369:'Sheet1'!BI369),0)</f>
        <v>0</v>
      </c>
      <c r="BN371" s="521">
        <f>IF(AND($B371&gt;=$FV371,$B371&lt;=$FW371),MAX(BF371,Sheet1!EI369,0),MAX(BF371-(7/36)*$K371,0))</f>
        <v>0</v>
      </c>
      <c r="BO371" s="535">
        <f t="shared" si="865"/>
        <v>0</v>
      </c>
      <c r="BP371" s="521">
        <f t="shared" si="866"/>
        <v>1.0081445192896512</v>
      </c>
      <c r="BQ371" s="521">
        <f>IF(AND($O371&gt;0,Sheet1!EM369=1),(1-($O371-Sheet1!$L369)/$O371)*BL371,0)</f>
        <v>0</v>
      </c>
      <c r="BR371" s="521">
        <f>IF(AND(Sheet1!$L369=0,Sheet1!$L368=0, Calculation!BK371&lt;Sheet1!$EI369-0.1,Sheet1!$EI369=Sheet1!$EI368,Sheet1!$EI369=Sheet1!$EI370),BL371-BQ371,BL371-BQ371)</f>
        <v>1.0081445192896512</v>
      </c>
      <c r="BS371" s="1035" t="str">
        <f t="shared" si="826"/>
        <v/>
      </c>
      <c r="BT371" s="1035">
        <f t="shared" si="827"/>
        <v>12.568888888888889</v>
      </c>
      <c r="BU371" s="535">
        <f t="shared" si="867"/>
        <v>0</v>
      </c>
      <c r="BV371" s="535"/>
      <c r="BW371" s="535">
        <f ca="1">IF(B371&gt;(Summary!$A$1-1),#N/A,BU371*MGtoAF)</f>
        <v>0</v>
      </c>
      <c r="BX371" s="535">
        <f>Sheet1!BC369+Sheet1!BD369+Sheet1!BE369+Sheet1!BF369-CG371-CH371</f>
        <v>2.9800000000000004</v>
      </c>
      <c r="BY371" s="535">
        <f t="shared" si="868"/>
        <v>2.9745254133496641</v>
      </c>
      <c r="BZ371" s="535">
        <f>IF(Sheet1!EQ369="FM",CH371,0)</f>
        <v>0</v>
      </c>
      <c r="CA371" s="535">
        <f t="shared" si="869"/>
        <v>0</v>
      </c>
      <c r="CB371" s="535">
        <f>IF(Sheet1!EQ369="OTHER",CH371,0)</f>
        <v>0</v>
      </c>
      <c r="CC371" s="535">
        <f t="shared" si="870"/>
        <v>0</v>
      </c>
      <c r="CD371" s="535">
        <f t="shared" si="871"/>
        <v>0</v>
      </c>
      <c r="CE371" s="535">
        <f t="shared" si="872"/>
        <v>2.9800000000000004</v>
      </c>
      <c r="CF371" s="535">
        <f t="shared" si="873"/>
        <v>2.9745254133496641</v>
      </c>
      <c r="CG371" s="535">
        <f>IF(Sheet1!EQ369="CWA",SUM(Sheet1!BC369:'Sheet1'!BF369),0)</f>
        <v>0</v>
      </c>
      <c r="CH371" s="535">
        <f>IF(OR(Sheet1!EQ369="FM", Sheet1!EQ369="OTHER"),SUM(Sheet1!BC369:'Sheet1'!BF369),0)</f>
        <v>0</v>
      </c>
      <c r="CI371" s="521">
        <f>IF(AND($B371&gt;=$FV371,$B371&lt;=$FW371),MAX(CF371,Sheet1!EJ369,0),MAX(CF371-(7/36)*$K371,0))</f>
        <v>0</v>
      </c>
      <c r="CJ371" s="535">
        <f t="shared" si="874"/>
        <v>0</v>
      </c>
      <c r="CK371" s="521">
        <f t="shared" si="875"/>
        <v>2.9745254133496641</v>
      </c>
      <c r="CL371" s="521">
        <f>IF(AND($O371&gt;0,Sheet1!EN369=1),(1-($O371-Sheet1!$L369)/$O371)*CF371,0)</f>
        <v>0</v>
      </c>
      <c r="CM371" s="521">
        <f>IF(AND(Sheet1!$L369=0,Sheet1!$L368=0, Calculation!CE371&lt;Sheet1!EJ369-0.1,Sheet1!EJ369=Sheet1!EJ368,Sheet1!EJ369=Sheet1!EJ370),CF371-CL371,CF371-CL371)</f>
        <v>2.9745254133496641</v>
      </c>
      <c r="CN371" s="1040" t="str">
        <f t="shared" si="828"/>
        <v/>
      </c>
      <c r="CO371" s="1035">
        <f t="shared" si="829"/>
        <v>12.568888888888889</v>
      </c>
      <c r="CP371" s="535">
        <f t="shared" si="876"/>
        <v>0</v>
      </c>
      <c r="CQ371" s="535"/>
      <c r="CR371" s="535">
        <f ca="1">IF(B371&gt;(Summary!$A$1-1),#N/A,CP371*MGtoAF)</f>
        <v>0</v>
      </c>
      <c r="CS371" s="535">
        <f>Sheet1!BK369+Sheet1!BL369+Sheet1!BM369-Sheet1!ER369-DA371</f>
        <v>6.4700000000000006</v>
      </c>
      <c r="CT371" s="535">
        <f t="shared" si="877"/>
        <v>6.4581139007960822</v>
      </c>
      <c r="CU371" s="535">
        <f>IF(Sheet1!ER369="FM",DA371,0)</f>
        <v>0</v>
      </c>
      <c r="CV371" s="535">
        <f t="shared" si="878"/>
        <v>0</v>
      </c>
      <c r="CW371" s="535">
        <f>IF(Sheet1!ER369="OTHER",DA371,0)</f>
        <v>0</v>
      </c>
      <c r="CX371" s="535">
        <f t="shared" si="879"/>
        <v>0</v>
      </c>
      <c r="CY371" s="535">
        <f t="shared" si="880"/>
        <v>6.4700000000000006</v>
      </c>
      <c r="CZ371" s="535">
        <f t="shared" si="881"/>
        <v>6.4581139007960822</v>
      </c>
      <c r="DA371" s="535">
        <f>IF(OR(Sheet1!ER369="FM", Sheet1!ER369="OTHER"),SUM(Sheet1!BK369:'Sheet1'!BM369),0)</f>
        <v>0</v>
      </c>
      <c r="DB371" s="1011">
        <f>IF(AND($B371&gt;=$FV371,$B371&lt;=$FW371),MAX($CT371,Sheet1!EK369,0),MAX($CT371-(7/36)*$K371,0))</f>
        <v>0</v>
      </c>
      <c r="DC371" s="1012">
        <f t="shared" si="882"/>
        <v>0</v>
      </c>
      <c r="DD371" s="1011">
        <f t="shared" si="883"/>
        <v>6.4581139007960822</v>
      </c>
      <c r="DE371" s="521">
        <f>IF(AND($O371&gt;0,Sheet1!EO369=1),(1-($O371-Sheet1!$L369)/$O371)*CZ371,0)</f>
        <v>0</v>
      </c>
      <c r="DF371" s="521">
        <f>IF(AND(Sheet1!$L369=0,Sheet1!$L368=0, Calculation!CY371&lt;Sheet1!$EK369-0.1,Sheet1!$EK369=Sheet1!$EK368,Sheet1!$EK369=Sheet1!$EK370),CZ371-DE371,CZ371-DE371)</f>
        <v>6.4581139007960822</v>
      </c>
      <c r="DG371" s="1040">
        <f t="shared" si="830"/>
        <v>12.568888888888889</v>
      </c>
      <c r="DH371" s="649">
        <f t="shared" si="884"/>
        <v>10.46</v>
      </c>
      <c r="DI371" s="535">
        <f t="shared" si="885"/>
        <v>0</v>
      </c>
      <c r="DJ371" s="649">
        <f t="shared" si="886"/>
        <v>10.440783833435397</v>
      </c>
      <c r="DK371" s="535">
        <f ca="1">IF(B371&gt;(Summary!$A$1-1),#N/A,DI371*MGtoAF)</f>
        <v>0</v>
      </c>
      <c r="DL371" s="649">
        <f t="shared" si="887"/>
        <v>10.46</v>
      </c>
      <c r="DM371" s="535">
        <f t="shared" si="888"/>
        <v>32.659999999999997</v>
      </c>
      <c r="DN371" s="535">
        <f>Sheet1!AB369-DM371</f>
        <v>-5.9999999999995168E-2</v>
      </c>
      <c r="DO371" s="743">
        <f t="shared" si="889"/>
        <v>-1.8371096142068334E-3</v>
      </c>
      <c r="DP371" s="535">
        <f>(VLOOKUP(Sheet1!DC369,hhdcap_wcm,4)-(((VLOOKUP(Sheet1!DC369,hhdcap_wcm,3)-Sheet1!DC369)/(VLOOKUP(Sheet1!DC369,hhdcap_wcm,3)-VLOOKUP(Sheet1!DC369,hhdcap_wcm,1)))*(VLOOKUP(Sheet1!DC369,hhdcap_wcm,4)-VLOOKUP(Sheet1!DC369,hhdcap_wcm,2))))</f>
        <v>2015.400000004875</v>
      </c>
      <c r="DQ371" s="535">
        <f t="shared" si="890"/>
        <v>-787.6000000019917</v>
      </c>
      <c r="DR371" s="535">
        <f t="shared" si="891"/>
        <v>-397.17599596671283</v>
      </c>
      <c r="DS371" s="535">
        <f>Sheet1!EA369*AFtoMG</f>
        <v>0</v>
      </c>
      <c r="DT371" s="535">
        <f>Sheet1!EB369*AFtoMG</f>
        <v>0</v>
      </c>
      <c r="DU371" s="535">
        <f>Sheet1!EC369*AFtoMG</f>
        <v>0</v>
      </c>
      <c r="DV371" s="535">
        <f>Sheet1!ED369*AFtoMG</f>
        <v>0</v>
      </c>
      <c r="DW371" s="535">
        <f t="shared" si="892"/>
        <v>0</v>
      </c>
      <c r="DX371" s="535">
        <f t="shared" si="893"/>
        <v>0</v>
      </c>
      <c r="DY371" s="535">
        <f t="shared" si="894"/>
        <v>0</v>
      </c>
      <c r="DZ371" s="535">
        <f t="shared" si="895"/>
        <v>0</v>
      </c>
      <c r="EA371" s="535"/>
      <c r="EB371" s="521">
        <f>IF(OR(B371&lt;FV371,B371&gt;FW371),(MIN(BF371+BY371+CT371+MAX(Sheet1!AA369+AQ371-73,0),K371)),0)</f>
        <v>10.440783833435397</v>
      </c>
      <c r="EC371" s="535"/>
      <c r="ED371" s="535">
        <f t="shared" si="896"/>
        <v>10.440783833435397</v>
      </c>
      <c r="EE371" s="535"/>
      <c r="EF371" s="535">
        <f>Sheet1!EH369+Sheet1!EI369+Sheet1!EJ369+Sheet1!EK369</f>
        <v>10.5</v>
      </c>
      <c r="EG371" s="1019">
        <f t="shared" si="831"/>
        <v>16.243500000000001</v>
      </c>
      <c r="EH371" s="521">
        <f t="shared" si="897"/>
        <v>0</v>
      </c>
      <c r="EI371" s="535">
        <f>IF(Sheet1!ET369=1,SUM('Calculations II'!AT371:BA371)+'Calculations II'!BC371+Sheet1!BV369+'Calculations II'!BE371+AP371,'Calculations II'!BK371)</f>
        <v>45.901286166564603</v>
      </c>
      <c r="EJ371" s="535">
        <f ca="1">EI371+'Calculations II'!D371+'Calculations II'!E371+'Calculations II'!O371</f>
        <v>46.200565988769348</v>
      </c>
      <c r="EK371" s="535"/>
      <c r="EL371" s="535"/>
      <c r="EM371" s="535">
        <f t="shared" si="898"/>
        <v>43095</v>
      </c>
      <c r="EN371" s="535">
        <f t="shared" si="899"/>
        <v>0</v>
      </c>
      <c r="EO371" s="535">
        <f t="shared" si="900"/>
        <v>0</v>
      </c>
      <c r="EP371" s="535">
        <v>0</v>
      </c>
      <c r="EQ371" s="535">
        <v>0</v>
      </c>
      <c r="ER371" s="535">
        <v>0</v>
      </c>
      <c r="ES371" s="521">
        <f t="shared" si="797"/>
        <v>-0.27709773209972677</v>
      </c>
      <c r="ET371" s="535">
        <f>-(VLOOKUP(Sheet1!BQ369,Lookup!$O$4:$Q$262,2)-VLOOKUP(Sheet1!BQ368,Lookup!$O$4:$Q$262,2))/1000000</f>
        <v>-0.13852322708329931</v>
      </c>
      <c r="EU371" s="535">
        <f>-(VLOOKUP(Sheet1!BR369,Lookup!$O$4:$Q$262,3)-VLOOKUP(Sheet1!BR368,Lookup!$O$4:$Q$262,3))/1000000</f>
        <v>-0.13857450501642748</v>
      </c>
      <c r="EV371" s="535"/>
      <c r="EW371" s="535"/>
      <c r="EX371" s="535"/>
      <c r="EY371" s="535"/>
      <c r="EZ371" s="535"/>
      <c r="FA371" s="535"/>
      <c r="FB371" s="535"/>
      <c r="FC371" s="535"/>
      <c r="FD371" s="567" t="e">
        <f t="shared" si="847"/>
        <v>#N/A</v>
      </c>
      <c r="FE371" s="567" t="e">
        <f t="shared" si="901"/>
        <v>#N/A</v>
      </c>
      <c r="FF371" s="568" t="e">
        <f t="shared" si="902"/>
        <v>#N/A</v>
      </c>
      <c r="FG371" s="569" t="s">
        <v>656</v>
      </c>
      <c r="FH371" s="569" t="s">
        <v>656</v>
      </c>
      <c r="FI371" s="567" t="e">
        <v>#N/A</v>
      </c>
      <c r="FJ371" s="567" t="e">
        <v>#N/A</v>
      </c>
      <c r="FK371" s="535"/>
      <c r="FL371" s="1015" t="e">
        <f t="shared" si="846"/>
        <v>#N/A</v>
      </c>
      <c r="FM371" s="535"/>
      <c r="FN371" s="535"/>
      <c r="FO371" s="535">
        <f>O371+((Sheet1!CS369)*GPMtoMGD)</f>
        <v>57.8</v>
      </c>
      <c r="FP371" s="535">
        <f>IF(Sheet1!AA369+AQ371&lt;=Calculation!N371,AQ371,Calculation!N371-Sheet1!AA369)</f>
        <v>22.159216166564608</v>
      </c>
      <c r="FQ371" s="535">
        <f>(Sheet1!BP369+Sheet1!BO369)/694.4</f>
        <v>1.5555875576036864</v>
      </c>
      <c r="FR371" s="541"/>
      <c r="FS371" s="541"/>
      <c r="FT371" s="541"/>
      <c r="FU371" s="541"/>
      <c r="FV371" s="1109">
        <f t="shared" si="798"/>
        <v>42918</v>
      </c>
      <c r="FW371" s="1109">
        <f t="shared" si="799"/>
        <v>43027</v>
      </c>
      <c r="FX371" s="541"/>
      <c r="FY371" s="541">
        <f>Sheet1!DA369-Sheet1!CZ369-Sheet1!AE369</f>
        <v>413.58339999999998</v>
      </c>
      <c r="FZ371" s="535">
        <f t="shared" si="832"/>
        <v>0.4948211561336408</v>
      </c>
      <c r="GA371" s="535"/>
      <c r="GB371" s="535" t="str">
        <f t="shared" si="800"/>
        <v>n</v>
      </c>
      <c r="GC371" s="539">
        <f t="shared" si="801"/>
        <v>42782</v>
      </c>
      <c r="GD371" s="1109">
        <f t="shared" si="802"/>
        <v>42904</v>
      </c>
      <c r="GE371" s="535">
        <f t="shared" si="818"/>
        <v>6520</v>
      </c>
      <c r="GF371" s="1109">
        <f t="shared" si="803"/>
        <v>42909</v>
      </c>
      <c r="GG371" s="535">
        <f t="shared" si="845"/>
        <v>3260</v>
      </c>
      <c r="GH371" s="539">
        <f t="shared" si="804"/>
        <v>43040</v>
      </c>
      <c r="GJ371" s="521">
        <f t="shared" si="805"/>
        <v>0</v>
      </c>
      <c r="GK371" s="535" t="str">
        <f t="shared" si="903"/>
        <v/>
      </c>
      <c r="GL371" s="535">
        <f t="shared" si="806"/>
        <v>0</v>
      </c>
      <c r="GM371" s="535" t="str">
        <f t="shared" si="807"/>
        <v/>
      </c>
      <c r="GN371" s="535">
        <f>IF(GK371="P",Lookup!$M$12,IF(GK371="PP",Lookup!$M$13,IF(GK371="PPP",Lookup!$M$14,IF(GK371="T",Lookup!$M$15,IF(GK371="TP",Lookup!$M$16,IF(GK371="TPP",Lookup!$M$17,IF(GK371="TPPP",Lookup!$M$18,0)))))))*GJ371</f>
        <v>0</v>
      </c>
      <c r="GO371" s="535">
        <f t="shared" si="808"/>
        <v>0</v>
      </c>
      <c r="GP371" s="535">
        <f t="shared" si="904"/>
        <v>0</v>
      </c>
      <c r="GQ371" s="974">
        <f t="shared" si="848"/>
        <v>0</v>
      </c>
      <c r="GR371" s="535"/>
      <c r="GS371" s="535">
        <f t="shared" si="809"/>
        <v>0</v>
      </c>
      <c r="GT371" s="535" t="str">
        <f t="shared" si="810"/>
        <v/>
      </c>
      <c r="GU371" s="535">
        <f>IF(GK371="P",Lookup!$N$12,IF(GK371="PP",Lookup!$N$13,IF(GK371="PPP",Lookup!$N$14,IF(GK371="T",Lookup!$N$15,IF(GK371="TP",Lookup!$N$16,IF(GK371="TPP",Lookup!$N$17,IF(GK371="TPPP",Lookup!$N$18,0)))))))*GJ371</f>
        <v>0</v>
      </c>
      <c r="GV371" s="535">
        <f t="shared" si="811"/>
        <v>0</v>
      </c>
      <c r="GW371" s="535">
        <f t="shared" si="905"/>
        <v>0</v>
      </c>
      <c r="GX371" s="974">
        <f t="shared" si="849"/>
        <v>0</v>
      </c>
      <c r="GY371" s="535"/>
      <c r="GZ371" s="535">
        <f t="shared" si="812"/>
        <v>0</v>
      </c>
      <c r="HA371" s="535" t="str">
        <f t="shared" si="813"/>
        <v/>
      </c>
      <c r="HB371" s="535">
        <f>IF(GK371="P",Lookup!$N$12,IF(GK371="PP",Lookup!$N$13,IF(GK371="PPP",Lookup!$N$14,IF(GK371="T",Lookup!$N$15,IF(GK371="TP",Lookup!$N$16,IF(GK371="TPP",Lookup!$N$17,IF(GK371="TPPP",Lookup!$N$18,0)))))))*GJ371</f>
        <v>0</v>
      </c>
      <c r="HC371" s="521">
        <f t="shared" si="906"/>
        <v>0</v>
      </c>
      <c r="HD371" s="535">
        <f t="shared" si="907"/>
        <v>0</v>
      </c>
      <c r="HE371" s="535">
        <f t="shared" si="816"/>
        <v>0</v>
      </c>
      <c r="HF371" s="535"/>
      <c r="HG371" s="535">
        <f t="shared" si="814"/>
        <v>0</v>
      </c>
      <c r="HH371" s="535" t="str">
        <f t="shared" si="815"/>
        <v/>
      </c>
      <c r="HI371" s="535">
        <f>IF(GK371="P",Lookup!$N$12,IF(GK371="PP",Lookup!$N$13,IF(GK371="PPP",Lookup!$N$14,IF(GK371="T",Lookup!$N$15,IF(GK371="TP",Lookup!$N$16,IF(GK371="TPP",Lookup!$N$17,IF(GK371="TPPP",Lookup!$N$18,0)))))))*GJ371</f>
        <v>0</v>
      </c>
      <c r="HJ371" s="521">
        <f t="shared" si="908"/>
        <v>0</v>
      </c>
      <c r="HK371" s="535">
        <f t="shared" si="909"/>
        <v>0</v>
      </c>
      <c r="HL371" s="535">
        <f t="shared" si="817"/>
        <v>0</v>
      </c>
      <c r="HM371" s="535"/>
      <c r="HN371" s="541"/>
      <c r="HO371" s="541"/>
      <c r="HP371" s="541"/>
      <c r="HQ371" s="541">
        <f>IF(AND(B371&gt;=$FV$4,B371&lt;=$FW$4),MAX(110/1.02+$HQ$6+MIN(113/1.02,G371),IF($HV$6-(Sheet1!DA369-Sheet1!DB369)+MIN(113/1.02,G371)&lt;G371+FL371,$HV$6-(Sheet1!DA369-Sheet1!DB369)+MIN(113/1.02,G371),G371+FL371)),MIN(110/1.02+$HQ$6+113/1.02,G371))</f>
        <v>218.62745098039215</v>
      </c>
      <c r="HR371" s="541">
        <f t="shared" si="833"/>
        <v>223</v>
      </c>
      <c r="HS371" s="541">
        <f>HR371+(Sheet1!DA369-Sheet1!DB369)</f>
        <v>719</v>
      </c>
      <c r="HT371" s="541">
        <f t="shared" si="834"/>
        <v>0</v>
      </c>
      <c r="HU371" s="541">
        <f t="shared" si="835"/>
        <v>719</v>
      </c>
      <c r="HV371" s="541">
        <f t="shared" si="836"/>
        <v>0</v>
      </c>
      <c r="HW371" s="533" t="str">
        <f t="shared" si="837"/>
        <v/>
      </c>
      <c r="HX371" s="541">
        <f t="shared" si="838"/>
        <v>1014.3725490196078</v>
      </c>
      <c r="HY371" s="541">
        <f>Sheet1!CZ369</f>
        <v>1233</v>
      </c>
      <c r="HZ371" s="541">
        <f t="shared" si="839"/>
        <v>0</v>
      </c>
      <c r="IA371" s="541">
        <f t="shared" si="840"/>
        <v>0</v>
      </c>
      <c r="IB371" s="541">
        <f t="shared" si="841"/>
        <v>1233</v>
      </c>
      <c r="IC371" s="1019" t="str">
        <f t="shared" si="842"/>
        <v/>
      </c>
      <c r="ID371" s="541">
        <f t="shared" si="843"/>
        <v>1233</v>
      </c>
      <c r="IE371" s="541">
        <f>Sheet1!DB369</f>
        <v>1240</v>
      </c>
      <c r="IF371" s="533">
        <f>Sheet1!DA369</f>
        <v>1736</v>
      </c>
      <c r="IH371" s="541">
        <f>IF(AND($B371&gt;=$GC371,$B371&lt;=$GH371,$DR371&lt;0)+N("only adjusted when pool is drawn down during storage season"),Sheet1!$DB369+$DR371+N("Palmer minus all storage release"),Sheet1!$DB369)</f>
        <v>1240</v>
      </c>
      <c r="II371" s="541">
        <f>IF(AND($B371&gt;=$GC371,$B371&lt;=$GH371,$DR371&lt;0)+N("only adjusted when pool is drawn down during storage season"),Sheet1!$DA369+$DR371+N("Auburn minus all storage release"),Sheet1!$DA369)</f>
        <v>1736</v>
      </c>
    </row>
    <row r="372" spans="1:243" x14ac:dyDescent="0.25">
      <c r="A372" s="553" t="s">
        <v>6</v>
      </c>
      <c r="B372" s="531">
        <v>43096</v>
      </c>
      <c r="C372" s="536">
        <v>0</v>
      </c>
      <c r="D372" s="506">
        <f t="shared" si="787"/>
        <v>300</v>
      </c>
      <c r="E372" s="506">
        <f t="shared" si="788"/>
        <v>250</v>
      </c>
      <c r="F372" s="506">
        <v>250</v>
      </c>
      <c r="G372" s="535">
        <f>DR372+Sheet1!CZ370</f>
        <v>747.17498739239318</v>
      </c>
      <c r="H372" s="1074">
        <f t="shared" si="844"/>
        <v>543.89886528</v>
      </c>
      <c r="I372" s="534">
        <f>IF(Sheet1!DA370&gt;=E372,(Sheet1!DA370-E372+P372)*CFStoMGD,0)</f>
        <v>894.24766527999998</v>
      </c>
      <c r="J372" s="995">
        <f>IF(Sheet1!DB370&gt;=D372,(Sheet1!DB370-D372+P372)*CFStoMGD,0)</f>
        <v>543.89886528</v>
      </c>
      <c r="K372" s="818">
        <f t="shared" si="819"/>
        <v>64.64</v>
      </c>
      <c r="L372" s="535">
        <f>Sheet1!AA370+Sheet1!AB370-Sheet1!L370+(Sheet1!DA370-F372)*CFStoMGD-S372-T372-U372</f>
        <v>835.14879999999994</v>
      </c>
      <c r="M372" s="535">
        <f t="shared" si="850"/>
        <v>492.6333900874518</v>
      </c>
      <c r="N372" s="824">
        <f>IF(Sheet1!DA370&gt;=F372,MIN(113*CFStoMGD,MIN(MAX(L372,0),MAX(M372,0))),0)</f>
        <v>73.043199999999999</v>
      </c>
      <c r="O372" s="538">
        <f>Sheet1!AA370+Sheet1!AB370</f>
        <v>59.099999999999994</v>
      </c>
      <c r="P372" s="538">
        <f t="shared" si="851"/>
        <v>91.427699999999987</v>
      </c>
      <c r="Q372" s="812">
        <f t="shared" si="820"/>
        <v>0</v>
      </c>
      <c r="R372" s="812">
        <f t="shared" si="789"/>
        <v>10.462224183583405</v>
      </c>
      <c r="S372" s="812">
        <f t="shared" si="790"/>
        <v>59.099999999999994</v>
      </c>
      <c r="T372" s="812">
        <f t="shared" si="791"/>
        <v>0</v>
      </c>
      <c r="U372" s="812">
        <f>IF(AND(B372&gt;=FV372,B372&lt;=FW372),ED372+Sheet1!EH370,0)</f>
        <v>0</v>
      </c>
      <c r="V372" s="812"/>
      <c r="W372" s="812">
        <f t="shared" si="792"/>
        <v>54.177775816416599</v>
      </c>
      <c r="X372" s="812">
        <f t="shared" si="793"/>
        <v>59.099999999999994</v>
      </c>
      <c r="Y372" s="812" t="str">
        <f t="shared" si="794"/>
        <v/>
      </c>
      <c r="Z372" s="812">
        <f t="shared" si="795"/>
        <v>59.099999999999994</v>
      </c>
      <c r="AA372" s="812">
        <f t="shared" si="796"/>
        <v>59.099999999999994</v>
      </c>
      <c r="AB372" s="1059">
        <f t="shared" si="821"/>
        <v>0</v>
      </c>
      <c r="AC372" s="538">
        <f>Sheet1!Y370*MGDtoCFS</f>
        <v>38.984399999999994</v>
      </c>
      <c r="AD372" s="538">
        <f>Sheet1!Z370*MGDtoCFS</f>
        <v>50.432200000000002</v>
      </c>
      <c r="AE372" s="538">
        <f>Sheet1!AA370*MGDtoCFS</f>
        <v>38.984399999999994</v>
      </c>
      <c r="AF372" s="538">
        <f>Sheet1!AB370*MGDtoCFS</f>
        <v>52.443299999999994</v>
      </c>
      <c r="AG372" s="538">
        <f>Sheet1!L370*MGDtoCFS</f>
        <v>0</v>
      </c>
      <c r="AH372" s="521">
        <f t="shared" si="852"/>
        <v>0</v>
      </c>
      <c r="AI372" s="1059">
        <f t="shared" si="853"/>
        <v>0</v>
      </c>
      <c r="AJ372" s="535">
        <f t="shared" si="854"/>
        <v>0</v>
      </c>
      <c r="AK372" s="535">
        <f t="shared" si="855"/>
        <v>0</v>
      </c>
      <c r="AL372" s="535">
        <f>(VLOOKUP(Sheet1!DC370,hhdcap_wcm,4)-(((VLOOKUP(Sheet1!DC370,hhdcap_wcm,3)-Sheet1!DC370)/(VLOOKUP(Sheet1!DC370,hhdcap_wcm,3)-VLOOKUP(Sheet1!DC370,hhdcap_wcm,1)))*(VLOOKUP(Sheet1!DC370,hhdcap_wcm,4)-VLOOKUP(Sheet1!DC370,hhdcap_wcm,2))))</f>
        <v>1403.0000000039904</v>
      </c>
      <c r="AM372" s="535">
        <f t="shared" si="856"/>
        <v>-612.40000000088457</v>
      </c>
      <c r="AN372" s="1035">
        <f t="shared" si="857"/>
        <v>0</v>
      </c>
      <c r="AO372" s="535">
        <f t="shared" si="858"/>
        <v>0</v>
      </c>
      <c r="AP372" s="535">
        <f>Sheet1!BA370+Sheet1!BB370+Sheet1!BN370+CD372</f>
        <v>23.5</v>
      </c>
      <c r="AQ372" s="535">
        <f>Sheet1!BN370+(DO372*Sheet1!BN370)</f>
        <v>23.43777581641659</v>
      </c>
      <c r="AR372" s="535">
        <f>Sheet1!BA370+CD372</f>
        <v>0</v>
      </c>
      <c r="AS372" s="535">
        <f>Sheet1!BA370+Sheet1!BB370+CD372</f>
        <v>0</v>
      </c>
      <c r="AT372" s="649">
        <f>0</f>
        <v>0</v>
      </c>
      <c r="AU372" s="974">
        <f>BA372+MAX(Sheet1!EH370,(O372-Q372-ED372-S372))</f>
        <v>0</v>
      </c>
      <c r="AV372" s="535">
        <f>IF(OR(B372&gt;=GD372,B372&lt;GC372),0,15/36*K372-MAX(0,64.6-(137.6-(Sheet1!AA370+Sheet1!AB370))))</f>
        <v>0</v>
      </c>
      <c r="AW372" s="1029"/>
      <c r="AX372" s="649"/>
      <c r="AY372" s="649">
        <f t="shared" si="822"/>
        <v>23.311716569431731</v>
      </c>
      <c r="AZ372" s="649">
        <f t="shared" si="823"/>
        <v>0</v>
      </c>
      <c r="BA372" s="1059">
        <f t="shared" si="824"/>
        <v>0</v>
      </c>
      <c r="BB372" s="1019">
        <f t="shared" si="859"/>
        <v>0</v>
      </c>
      <c r="BC372" s="1041">
        <f t="shared" si="825"/>
        <v>26.933333333333334</v>
      </c>
      <c r="BD372" s="1019">
        <f ca="1">IF(B372&gt;(Summary!$A$1-1),#N/A,BB372*MGtoAF)</f>
        <v>0</v>
      </c>
      <c r="BE372" s="535">
        <f>Sheet1!BG370+Sheet1!BH370+Sheet1!BI370-BM372</f>
        <v>1.01</v>
      </c>
      <c r="BF372" s="535">
        <f t="shared" si="860"/>
        <v>1.0073256840247131</v>
      </c>
      <c r="BG372" s="535">
        <f>IF(Sheet1!EP370="FM",BM372,0)</f>
        <v>0</v>
      </c>
      <c r="BH372" s="535">
        <f t="shared" si="861"/>
        <v>0</v>
      </c>
      <c r="BI372" s="535">
        <f>IF(Sheet1!EP370="OTHER",BM372,0)</f>
        <v>0</v>
      </c>
      <c r="BJ372" s="535">
        <f t="shared" si="862"/>
        <v>0</v>
      </c>
      <c r="BK372" s="535">
        <f t="shared" si="863"/>
        <v>1.01</v>
      </c>
      <c r="BL372" s="535">
        <f t="shared" si="864"/>
        <v>1.0073256840247131</v>
      </c>
      <c r="BM372" s="535">
        <f>IF(OR(Sheet1!EP370="FM", Sheet1!EP370="OTHER"),SUM(Sheet1!BG370:'Sheet1'!BI370),0)</f>
        <v>0</v>
      </c>
      <c r="BN372" s="521">
        <f>IF(AND($B372&gt;=$FV372,$B372&lt;=$FW372),MAX(BF372,Sheet1!EI370,0),MAX(BF372-(7/36)*$K372,0))</f>
        <v>0</v>
      </c>
      <c r="BO372" s="535">
        <f t="shared" si="865"/>
        <v>0</v>
      </c>
      <c r="BP372" s="521">
        <f t="shared" si="866"/>
        <v>1.0073256840247131</v>
      </c>
      <c r="BQ372" s="521">
        <f>IF(AND($O372&gt;0,Sheet1!EM370=1),(1-($O372-Sheet1!$L370)/$O372)*BL372,0)</f>
        <v>0</v>
      </c>
      <c r="BR372" s="521">
        <f>IF(AND(Sheet1!$L370=0,Sheet1!$L369=0, Calculation!BK372&lt;Sheet1!$EI370-0.1,Sheet1!$EI370=Sheet1!$EI369,Sheet1!$EI370=Sheet1!$EI371),BL372-BQ372,BL372-BQ372)</f>
        <v>1.0073256840247131</v>
      </c>
      <c r="BS372" s="1035" t="str">
        <f t="shared" si="826"/>
        <v/>
      </c>
      <c r="BT372" s="1035">
        <f t="shared" si="827"/>
        <v>12.568888888888889</v>
      </c>
      <c r="BU372" s="535">
        <f t="shared" si="867"/>
        <v>0</v>
      </c>
      <c r="BV372" s="535"/>
      <c r="BW372" s="535">
        <f ca="1">IF(B372&gt;(Summary!$A$1-1),#N/A,BU372*MGtoAF)</f>
        <v>0</v>
      </c>
      <c r="BX372" s="535">
        <f>Sheet1!BC370+Sheet1!BD370+Sheet1!BE370+Sheet1!BF370-CG372-CH372</f>
        <v>2.99</v>
      </c>
      <c r="BY372" s="535">
        <f t="shared" si="868"/>
        <v>2.9820829655781109</v>
      </c>
      <c r="BZ372" s="535">
        <f>IF(Sheet1!EQ370="FM",CH372,0)</f>
        <v>0</v>
      </c>
      <c r="CA372" s="535">
        <f t="shared" si="869"/>
        <v>0</v>
      </c>
      <c r="CB372" s="535">
        <f>IF(Sheet1!EQ370="OTHER",CH372,0)</f>
        <v>0</v>
      </c>
      <c r="CC372" s="535">
        <f t="shared" si="870"/>
        <v>0</v>
      </c>
      <c r="CD372" s="535">
        <f t="shared" si="871"/>
        <v>0</v>
      </c>
      <c r="CE372" s="535">
        <f t="shared" si="872"/>
        <v>2.99</v>
      </c>
      <c r="CF372" s="535">
        <f t="shared" si="873"/>
        <v>2.9820829655781109</v>
      </c>
      <c r="CG372" s="535">
        <f>IF(Sheet1!EQ370="CWA",SUM(Sheet1!BC370:'Sheet1'!BF370),0)</f>
        <v>0</v>
      </c>
      <c r="CH372" s="535">
        <f>IF(OR(Sheet1!EQ370="FM", Sheet1!EQ370="OTHER"),SUM(Sheet1!BC370:'Sheet1'!BF370),0)</f>
        <v>0</v>
      </c>
      <c r="CI372" s="521">
        <f>IF(AND($B372&gt;=$FV372,$B372&lt;=$FW372),MAX(CF372,Sheet1!EJ370,0),MAX(CF372-(7/36)*$K372,0))</f>
        <v>0</v>
      </c>
      <c r="CJ372" s="535">
        <f t="shared" si="874"/>
        <v>0</v>
      </c>
      <c r="CK372" s="521">
        <f t="shared" si="875"/>
        <v>2.9820829655781109</v>
      </c>
      <c r="CL372" s="521">
        <f>IF(AND($O372&gt;0,Sheet1!EN370=1),(1-($O372-Sheet1!$L370)/$O372)*CF372,0)</f>
        <v>0</v>
      </c>
      <c r="CM372" s="521">
        <f>IF(AND(Sheet1!$L370=0,Sheet1!$L369=0, Calculation!CE372&lt;Sheet1!EJ370-0.1,Sheet1!EJ370=Sheet1!EJ369,Sheet1!EJ370=Sheet1!EJ371),CF372-CL372,CF372-CL372)</f>
        <v>2.9820829655781109</v>
      </c>
      <c r="CN372" s="1040" t="str">
        <f t="shared" si="828"/>
        <v/>
      </c>
      <c r="CO372" s="1035">
        <f t="shared" si="829"/>
        <v>12.568888888888889</v>
      </c>
      <c r="CP372" s="535">
        <f t="shared" si="876"/>
        <v>0</v>
      </c>
      <c r="CQ372" s="535"/>
      <c r="CR372" s="535">
        <f ca="1">IF(B372&gt;(Summary!$A$1-1),#N/A,CP372*MGtoAF)</f>
        <v>0</v>
      </c>
      <c r="CS372" s="535">
        <f>Sheet1!BK370+Sheet1!BL370+Sheet1!BM370-Sheet1!ER370-DA372</f>
        <v>6.49</v>
      </c>
      <c r="CT372" s="535">
        <f t="shared" si="877"/>
        <v>6.4728155339805822</v>
      </c>
      <c r="CU372" s="535">
        <f>IF(Sheet1!ER370="FM",DA372,0)</f>
        <v>0</v>
      </c>
      <c r="CV372" s="535">
        <f t="shared" si="878"/>
        <v>0</v>
      </c>
      <c r="CW372" s="535">
        <f>IF(Sheet1!ER370="OTHER",DA372,0)</f>
        <v>0</v>
      </c>
      <c r="CX372" s="535">
        <f t="shared" si="879"/>
        <v>0</v>
      </c>
      <c r="CY372" s="535">
        <f t="shared" si="880"/>
        <v>6.49</v>
      </c>
      <c r="CZ372" s="535">
        <f t="shared" si="881"/>
        <v>6.4728155339805822</v>
      </c>
      <c r="DA372" s="535">
        <f>IF(OR(Sheet1!ER370="FM", Sheet1!ER370="OTHER"),SUM(Sheet1!BK370:'Sheet1'!BM370),0)</f>
        <v>0</v>
      </c>
      <c r="DB372" s="1011">
        <f>IF(AND($B372&gt;=$FV372,$B372&lt;=$FW372),MAX($CT372,Sheet1!EK370,0),MAX($CT372-(7/36)*$K372,0))</f>
        <v>0</v>
      </c>
      <c r="DC372" s="1012">
        <f t="shared" si="882"/>
        <v>0</v>
      </c>
      <c r="DD372" s="1011">
        <f t="shared" si="883"/>
        <v>6.4728155339805822</v>
      </c>
      <c r="DE372" s="521">
        <f>IF(AND($O372&gt;0,Sheet1!EO370=1),(1-($O372-Sheet1!$L370)/$O372)*CZ372,0)</f>
        <v>0</v>
      </c>
      <c r="DF372" s="521">
        <f>IF(AND(Sheet1!$L370=0,Sheet1!$L369=0, Calculation!CY372&lt;Sheet1!$EK370-0.1,Sheet1!$EK370=Sheet1!$EK369,Sheet1!$EK370=Sheet1!$EK371),CZ372-DE372,CZ372-DE372)</f>
        <v>6.4728155339805822</v>
      </c>
      <c r="DG372" s="1040">
        <f t="shared" si="830"/>
        <v>12.568888888888889</v>
      </c>
      <c r="DH372" s="649">
        <f t="shared" si="884"/>
        <v>10.49</v>
      </c>
      <c r="DI372" s="535">
        <f t="shared" si="885"/>
        <v>0</v>
      </c>
      <c r="DJ372" s="649">
        <f t="shared" si="886"/>
        <v>10.462224183583405</v>
      </c>
      <c r="DK372" s="535">
        <f ca="1">IF(B372&gt;(Summary!$A$1-1),#N/A,DI372*MGtoAF)</f>
        <v>0</v>
      </c>
      <c r="DL372" s="649">
        <f t="shared" si="887"/>
        <v>10.49</v>
      </c>
      <c r="DM372" s="535">
        <f t="shared" si="888"/>
        <v>33.99</v>
      </c>
      <c r="DN372" s="535">
        <f>Sheet1!AB370-DM372</f>
        <v>-9.0000000000003411E-2</v>
      </c>
      <c r="DO372" s="743">
        <f t="shared" si="889"/>
        <v>-2.6478375992940104E-3</v>
      </c>
      <c r="DP372" s="535">
        <f>(VLOOKUP(Sheet1!DC370,hhdcap_wcm,4)-(((VLOOKUP(Sheet1!DC370,hhdcap_wcm,3)-Sheet1!DC370)/(VLOOKUP(Sheet1!DC370,hhdcap_wcm,3)-VLOOKUP(Sheet1!DC370,hhdcap_wcm,1)))*(VLOOKUP(Sheet1!DC370,hhdcap_wcm,4)-VLOOKUP(Sheet1!DC370,hhdcap_wcm,2))))</f>
        <v>1403.0000000039904</v>
      </c>
      <c r="DQ372" s="535">
        <f t="shared" si="890"/>
        <v>-612.40000000088457</v>
      </c>
      <c r="DR372" s="535">
        <f t="shared" si="891"/>
        <v>-308.82501260760688</v>
      </c>
      <c r="DS372" s="535">
        <f>Sheet1!EA370*AFtoMG</f>
        <v>0</v>
      </c>
      <c r="DT372" s="535">
        <f>Sheet1!EB370*AFtoMG</f>
        <v>0</v>
      </c>
      <c r="DU372" s="535">
        <f>Sheet1!EC370*AFtoMG</f>
        <v>0</v>
      </c>
      <c r="DV372" s="535">
        <f>Sheet1!ED370*AFtoMG</f>
        <v>0</v>
      </c>
      <c r="DW372" s="535">
        <f t="shared" si="892"/>
        <v>0</v>
      </c>
      <c r="DX372" s="535">
        <f t="shared" si="893"/>
        <v>0</v>
      </c>
      <c r="DY372" s="535">
        <f t="shared" si="894"/>
        <v>0</v>
      </c>
      <c r="DZ372" s="535">
        <f t="shared" si="895"/>
        <v>0</v>
      </c>
      <c r="EA372" s="535"/>
      <c r="EB372" s="521">
        <f>IF(OR(B372&lt;FV372,B372&gt;FW372),(MIN(BF372+BY372+CT372+MAX(Sheet1!AA370+AQ372-73,0),K372)),0)</f>
        <v>10.462224183583405</v>
      </c>
      <c r="EC372" s="535"/>
      <c r="ED372" s="535">
        <f t="shared" si="896"/>
        <v>10.462224183583405</v>
      </c>
      <c r="EE372" s="535"/>
      <c r="EF372" s="535">
        <f>Sheet1!EH370+Sheet1!EI370+Sheet1!EJ370+Sheet1!EK370</f>
        <v>10.5</v>
      </c>
      <c r="EG372" s="1019">
        <f t="shared" si="831"/>
        <v>16.243500000000001</v>
      </c>
      <c r="EH372" s="521">
        <f t="shared" si="897"/>
        <v>0</v>
      </c>
      <c r="EI372" s="535">
        <f>IF(Sheet1!ET370=1,SUM('Calculations II'!AT372:BA372)+'Calculations II'!BC372+Sheet1!BV370+'Calculations II'!BE372+AP372,'Calculations II'!BK372)</f>
        <v>45.899695816416589</v>
      </c>
      <c r="EJ372" s="535">
        <f ca="1">EI372+'Calculations II'!D372+'Calculations II'!E372+'Calculations II'!O372</f>
        <v>48.075190379594346</v>
      </c>
      <c r="EK372" s="535"/>
      <c r="EL372" s="535"/>
      <c r="EM372" s="535">
        <f t="shared" si="898"/>
        <v>43096</v>
      </c>
      <c r="EN372" s="535">
        <f t="shared" si="899"/>
        <v>0</v>
      </c>
      <c r="EO372" s="535">
        <f t="shared" si="900"/>
        <v>0</v>
      </c>
      <c r="EP372" s="535">
        <v>0</v>
      </c>
      <c r="EQ372" s="535">
        <v>0</v>
      </c>
      <c r="ER372" s="535">
        <v>0</v>
      </c>
      <c r="ES372" s="521">
        <f t="shared" si="797"/>
        <v>-1.3858091719677188</v>
      </c>
      <c r="ET372" s="535">
        <f>-(VLOOKUP(Sheet1!BQ370,Lookup!$O$4:$Q$262,2)-VLOOKUP(Sheet1!BQ369,Lookup!$O$4:$Q$262,2))/1000000</f>
        <v>-0.41560813718713446</v>
      </c>
      <c r="EU372" s="535">
        <f>-(VLOOKUP(Sheet1!BR370,Lookup!$O$4:$Q$262,3)-VLOOKUP(Sheet1!BR369,Lookup!$O$4:$Q$262,3))/1000000</f>
        <v>-0.97020103478058428</v>
      </c>
      <c r="EV372" s="535"/>
      <c r="EW372" s="535"/>
      <c r="EX372" s="535"/>
      <c r="EY372" s="535"/>
      <c r="EZ372" s="535"/>
      <c r="FA372" s="535"/>
      <c r="FB372" s="535"/>
      <c r="FC372" s="535"/>
      <c r="FD372" s="567" t="e">
        <f t="shared" si="847"/>
        <v>#N/A</v>
      </c>
      <c r="FE372" s="567" t="e">
        <f t="shared" si="901"/>
        <v>#N/A</v>
      </c>
      <c r="FF372" s="568" t="e">
        <f t="shared" si="902"/>
        <v>#N/A</v>
      </c>
      <c r="FG372" s="569" t="s">
        <v>656</v>
      </c>
      <c r="FH372" s="569" t="s">
        <v>656</v>
      </c>
      <c r="FI372" s="567" t="e">
        <v>#N/A</v>
      </c>
      <c r="FJ372" s="567" t="e">
        <v>#N/A</v>
      </c>
      <c r="FK372" s="535"/>
      <c r="FL372" s="1015" t="e">
        <f t="shared" si="846"/>
        <v>#N/A</v>
      </c>
      <c r="FM372" s="535"/>
      <c r="FN372" s="535"/>
      <c r="FO372" s="535">
        <f>O372+((Sheet1!CS370)*GPMtoMGD)</f>
        <v>59.099999999999994</v>
      </c>
      <c r="FP372" s="535">
        <f>IF(Sheet1!AA370+AQ372&lt;=Calculation!N372,AQ372,Calculation!N372-Sheet1!AA370)</f>
        <v>23.43777581641659</v>
      </c>
      <c r="FQ372" s="535">
        <f>(Sheet1!BP370+Sheet1!BO370)/694.4</f>
        <v>1.4951036866359448</v>
      </c>
      <c r="FR372" s="541"/>
      <c r="FS372" s="541"/>
      <c r="FT372" s="541"/>
      <c r="FU372" s="541"/>
      <c r="FV372" s="1109">
        <f t="shared" si="798"/>
        <v>42918</v>
      </c>
      <c r="FW372" s="1109">
        <f t="shared" si="799"/>
        <v>43027</v>
      </c>
      <c r="FX372" s="541"/>
      <c r="FY372" s="541">
        <f>Sheet1!DA370-Sheet1!CZ370-Sheet1!AE370</f>
        <v>394.57230000000004</v>
      </c>
      <c r="FZ372" s="535">
        <f t="shared" si="832"/>
        <v>0.52808553104412592</v>
      </c>
      <c r="GA372" s="535"/>
      <c r="GB372" s="535" t="str">
        <f t="shared" si="800"/>
        <v>n</v>
      </c>
      <c r="GC372" s="539">
        <f t="shared" si="801"/>
        <v>42782</v>
      </c>
      <c r="GD372" s="1109">
        <f t="shared" si="802"/>
        <v>42904</v>
      </c>
      <c r="GE372" s="535">
        <f t="shared" si="818"/>
        <v>6520</v>
      </c>
      <c r="GF372" s="1109">
        <f t="shared" si="803"/>
        <v>42909</v>
      </c>
      <c r="GG372" s="535">
        <f t="shared" si="845"/>
        <v>3260</v>
      </c>
      <c r="GH372" s="539">
        <f t="shared" si="804"/>
        <v>43040</v>
      </c>
      <c r="GJ372" s="521">
        <f t="shared" si="805"/>
        <v>0</v>
      </c>
      <c r="GK372" s="535" t="str">
        <f t="shared" si="903"/>
        <v/>
      </c>
      <c r="GL372" s="535">
        <f t="shared" si="806"/>
        <v>0</v>
      </c>
      <c r="GM372" s="535" t="str">
        <f t="shared" si="807"/>
        <v/>
      </c>
      <c r="GN372" s="535">
        <f>IF(GK372="P",Lookup!$M$12,IF(GK372="PP",Lookup!$M$13,IF(GK372="PPP",Lookup!$M$14,IF(GK372="T",Lookup!$M$15,IF(GK372="TP",Lookup!$M$16,IF(GK372="TPP",Lookup!$M$17,IF(GK372="TPPP",Lookup!$M$18,0)))))))*GJ372</f>
        <v>0</v>
      </c>
      <c r="GO372" s="535">
        <f t="shared" si="808"/>
        <v>0</v>
      </c>
      <c r="GP372" s="535">
        <f t="shared" si="904"/>
        <v>0</v>
      </c>
      <c r="GQ372" s="974">
        <f t="shared" si="848"/>
        <v>0</v>
      </c>
      <c r="GR372" s="535"/>
      <c r="GS372" s="535">
        <f t="shared" si="809"/>
        <v>0</v>
      </c>
      <c r="GT372" s="535" t="str">
        <f t="shared" si="810"/>
        <v/>
      </c>
      <c r="GU372" s="535">
        <f>IF(GK372="P",Lookup!$N$12,IF(GK372="PP",Lookup!$N$13,IF(GK372="PPP",Lookup!$N$14,IF(GK372="T",Lookup!$N$15,IF(GK372="TP",Lookup!$N$16,IF(GK372="TPP",Lookup!$N$17,IF(GK372="TPPP",Lookup!$N$18,0)))))))*GJ372</f>
        <v>0</v>
      </c>
      <c r="GV372" s="535">
        <f t="shared" si="811"/>
        <v>0</v>
      </c>
      <c r="GW372" s="535">
        <f t="shared" si="905"/>
        <v>0</v>
      </c>
      <c r="GX372" s="974">
        <f t="shared" si="849"/>
        <v>0</v>
      </c>
      <c r="GY372" s="535"/>
      <c r="GZ372" s="535">
        <f t="shared" si="812"/>
        <v>0</v>
      </c>
      <c r="HA372" s="535" t="str">
        <f t="shared" si="813"/>
        <v/>
      </c>
      <c r="HB372" s="535">
        <f>IF(GK372="P",Lookup!$N$12,IF(GK372="PP",Lookup!$N$13,IF(GK372="PPP",Lookup!$N$14,IF(GK372="T",Lookup!$N$15,IF(GK372="TP",Lookup!$N$16,IF(GK372="TPP",Lookup!$N$17,IF(GK372="TPPP",Lookup!$N$18,0)))))))*GJ372</f>
        <v>0</v>
      </c>
      <c r="HC372" s="521">
        <f t="shared" si="906"/>
        <v>0</v>
      </c>
      <c r="HD372" s="535">
        <f t="shared" si="907"/>
        <v>0</v>
      </c>
      <c r="HE372" s="535">
        <f t="shared" si="816"/>
        <v>0</v>
      </c>
      <c r="HF372" s="535"/>
      <c r="HG372" s="535">
        <f t="shared" si="814"/>
        <v>0</v>
      </c>
      <c r="HH372" s="535" t="str">
        <f t="shared" si="815"/>
        <v/>
      </c>
      <c r="HI372" s="535">
        <f>IF(GK372="P",Lookup!$N$12,IF(GK372="PP",Lookup!$N$13,IF(GK372="PPP",Lookup!$N$14,IF(GK372="T",Lookup!$N$15,IF(GK372="TP",Lookup!$N$16,IF(GK372="TPP",Lookup!$N$17,IF(GK372="TPPP",Lookup!$N$18,0)))))))*GJ372</f>
        <v>0</v>
      </c>
      <c r="HJ372" s="521">
        <f t="shared" si="908"/>
        <v>0</v>
      </c>
      <c r="HK372" s="535">
        <f t="shared" si="909"/>
        <v>0</v>
      </c>
      <c r="HL372" s="535">
        <f t="shared" si="817"/>
        <v>0</v>
      </c>
      <c r="HM372" s="535"/>
      <c r="HN372" s="541"/>
      <c r="HO372" s="541"/>
      <c r="HP372" s="541"/>
      <c r="HQ372" s="541">
        <f>IF(AND(B372&gt;=$FV$4,B372&lt;=$FW$4),MAX(110/1.02+$HQ$6+MIN(113/1.02,G372),IF($HV$6-(Sheet1!DA370-Sheet1!DB370)+MIN(113/1.02,G372)&lt;G372+FL372,$HV$6-(Sheet1!DA370-Sheet1!DB370)+MIN(113/1.02,G372),G372+FL372)),MIN(110/1.02+$HQ$6+113/1.02,G372))</f>
        <v>218.62745098039215</v>
      </c>
      <c r="HR372" s="541">
        <f t="shared" si="833"/>
        <v>223</v>
      </c>
      <c r="HS372" s="541">
        <f>HR372+(Sheet1!DA370-Sheet1!DB370)</f>
        <v>715</v>
      </c>
      <c r="HT372" s="541">
        <f t="shared" si="834"/>
        <v>0</v>
      </c>
      <c r="HU372" s="541">
        <f t="shared" si="835"/>
        <v>715</v>
      </c>
      <c r="HV372" s="541">
        <f t="shared" si="836"/>
        <v>0</v>
      </c>
      <c r="HW372" s="533" t="str">
        <f t="shared" si="837"/>
        <v/>
      </c>
      <c r="HX372" s="541">
        <f t="shared" si="838"/>
        <v>837.37254901960785</v>
      </c>
      <c r="HY372" s="541">
        <f>Sheet1!CZ370</f>
        <v>1056</v>
      </c>
      <c r="HZ372" s="541">
        <f t="shared" si="839"/>
        <v>0</v>
      </c>
      <c r="IA372" s="541">
        <f t="shared" si="840"/>
        <v>0</v>
      </c>
      <c r="IB372" s="541">
        <f t="shared" si="841"/>
        <v>1056</v>
      </c>
      <c r="IC372" s="1019" t="str">
        <f t="shared" si="842"/>
        <v/>
      </c>
      <c r="ID372" s="541">
        <f t="shared" si="843"/>
        <v>1056</v>
      </c>
      <c r="IE372" s="541">
        <f>Sheet1!DB370</f>
        <v>1050</v>
      </c>
      <c r="IF372" s="533">
        <f>Sheet1!DA370</f>
        <v>1542</v>
      </c>
      <c r="IH372" s="541">
        <f>IF(AND($B372&gt;=$GC372,$B372&lt;=$GH372,$DR372&lt;0)+N("only adjusted when pool is drawn down during storage season"),Sheet1!$DB370+$DR372+N("Palmer minus all storage release"),Sheet1!$DB370)</f>
        <v>1050</v>
      </c>
      <c r="II372" s="541">
        <f>IF(AND($B372&gt;=$GC372,$B372&lt;=$GH372,$DR372&lt;0)+N("only adjusted when pool is drawn down during storage season"),Sheet1!$DA370+$DR372+N("Auburn minus all storage release"),Sheet1!$DA370)</f>
        <v>1542</v>
      </c>
    </row>
    <row r="373" spans="1:243" x14ac:dyDescent="0.25">
      <c r="A373" s="553" t="s">
        <v>7</v>
      </c>
      <c r="B373" s="531">
        <v>43097</v>
      </c>
      <c r="C373" s="536">
        <v>0</v>
      </c>
      <c r="D373" s="506">
        <f t="shared" si="787"/>
        <v>300</v>
      </c>
      <c r="E373" s="506">
        <f t="shared" si="788"/>
        <v>250</v>
      </c>
      <c r="F373" s="506">
        <v>250</v>
      </c>
      <c r="G373" s="535">
        <f>DR373+Sheet1!CZ371</f>
        <v>1044.2975289960973</v>
      </c>
      <c r="H373" s="1074">
        <f t="shared" si="844"/>
        <v>690.82089887999996</v>
      </c>
      <c r="I373" s="534">
        <f>IF(Sheet1!DA371&gt;=E373,(Sheet1!DA371-E373+P373)*CFStoMGD,0)</f>
        <v>1023.0704988799999</v>
      </c>
      <c r="J373" s="995">
        <f>IF(Sheet1!DB371&gt;=D373,(Sheet1!DB371-D373+P373)*CFStoMGD,0)</f>
        <v>690.82089887999996</v>
      </c>
      <c r="K373" s="818">
        <f t="shared" si="819"/>
        <v>64.64</v>
      </c>
      <c r="L373" s="535">
        <f>Sheet1!AA371+Sheet1!AB371-Sheet1!L371+(Sheet1!DA371-F373)*CFStoMGD-S373-T373-U373</f>
        <v>965.72159999999997</v>
      </c>
      <c r="M373" s="535">
        <f t="shared" si="850"/>
        <v>688.53460119793885</v>
      </c>
      <c r="N373" s="824">
        <f>IF(Sheet1!DA371&gt;=F373,MIN(113*CFStoMGD,MIN(MAX(L373,0),MAX(M373,0))),0)</f>
        <v>73.043199999999999</v>
      </c>
      <c r="O373" s="538">
        <f>Sheet1!AA371+Sheet1!AB371</f>
        <v>57.349999999999994</v>
      </c>
      <c r="P373" s="538">
        <f t="shared" si="851"/>
        <v>88.72045</v>
      </c>
      <c r="Q373" s="812">
        <f t="shared" si="820"/>
        <v>0</v>
      </c>
      <c r="R373" s="812">
        <f t="shared" si="789"/>
        <v>10.470199501246883</v>
      </c>
      <c r="S373" s="812">
        <f t="shared" si="790"/>
        <v>57.349999999999994</v>
      </c>
      <c r="T373" s="812">
        <f t="shared" si="791"/>
        <v>0</v>
      </c>
      <c r="U373" s="812">
        <f>IF(AND(B373&gt;=FV373,B373&lt;=FW373),ED373+Sheet1!EH371,0)</f>
        <v>0</v>
      </c>
      <c r="V373" s="812"/>
      <c r="W373" s="812">
        <f t="shared" si="792"/>
        <v>54.169800498753119</v>
      </c>
      <c r="X373" s="812">
        <f t="shared" si="793"/>
        <v>57.349999999999994</v>
      </c>
      <c r="Y373" s="812" t="str">
        <f t="shared" si="794"/>
        <v/>
      </c>
      <c r="Z373" s="812">
        <f t="shared" si="795"/>
        <v>57.349999999999994</v>
      </c>
      <c r="AA373" s="812">
        <f t="shared" si="796"/>
        <v>57.349999999999994</v>
      </c>
      <c r="AB373" s="1059">
        <f t="shared" si="821"/>
        <v>0</v>
      </c>
      <c r="AC373" s="538">
        <f>Sheet1!Y371*MGDtoCFS</f>
        <v>38.984399999999994</v>
      </c>
      <c r="AD373" s="538">
        <f>Sheet1!Z371*MGDtoCFS</f>
        <v>52.443299999999994</v>
      </c>
      <c r="AE373" s="538">
        <f>Sheet1!AA371*MGDtoCFS</f>
        <v>39.139099999999999</v>
      </c>
      <c r="AF373" s="538">
        <f>Sheet1!AB371*MGDtoCFS</f>
        <v>49.581349999999993</v>
      </c>
      <c r="AG373" s="538">
        <f>Sheet1!L371*MGDtoCFS</f>
        <v>0</v>
      </c>
      <c r="AH373" s="521">
        <f t="shared" si="852"/>
        <v>0</v>
      </c>
      <c r="AI373" s="1059">
        <f t="shared" si="853"/>
        <v>0</v>
      </c>
      <c r="AJ373" s="535">
        <f t="shared" si="854"/>
        <v>0</v>
      </c>
      <c r="AK373" s="535">
        <f t="shared" si="855"/>
        <v>0</v>
      </c>
      <c r="AL373" s="535">
        <f>(VLOOKUP(Sheet1!DC371,hhdcap_wcm,4)-(((VLOOKUP(Sheet1!DC371,hhdcap_wcm,3)-Sheet1!DC371)/(VLOOKUP(Sheet1!DC371,hhdcap_wcm,3)-VLOOKUP(Sheet1!DC371,hhdcap_wcm,1)))*(VLOOKUP(Sheet1!DC371,hhdcap_wcm,4)-VLOOKUP(Sheet1!DC371,hhdcap_wcm,2))))</f>
        <v>1145.8000000032514</v>
      </c>
      <c r="AM373" s="535">
        <f t="shared" si="856"/>
        <v>-257.20000000073901</v>
      </c>
      <c r="AN373" s="1035">
        <f t="shared" si="857"/>
        <v>0</v>
      </c>
      <c r="AO373" s="535">
        <f t="shared" si="858"/>
        <v>0</v>
      </c>
      <c r="AP373" s="535">
        <f>Sheet1!BA371+Sheet1!BB371+Sheet1!BN371+CD373</f>
        <v>21.6</v>
      </c>
      <c r="AQ373" s="535">
        <f>Sheet1!BN371+(DO373*Sheet1!BN371)</f>
        <v>21.579800498753119</v>
      </c>
      <c r="AR373" s="535">
        <f>Sheet1!BA371+CD373</f>
        <v>0</v>
      </c>
      <c r="AS373" s="535">
        <f>Sheet1!BA371+Sheet1!BB371+CD373</f>
        <v>0</v>
      </c>
      <c r="AT373" s="649">
        <f>0</f>
        <v>0</v>
      </c>
      <c r="AU373" s="974">
        <f>BA373+MAX(Sheet1!EH371,(O373-Q373-ED373-S373))</f>
        <v>0</v>
      </c>
      <c r="AV373" s="535">
        <f>IF(OR(B373&gt;=GD373,B373&lt;GC373),0,15/36*K373-MAX(0,64.6-(137.6-(Sheet1!AA371+Sheet1!AB371))))</f>
        <v>0</v>
      </c>
      <c r="AW373" s="1029"/>
      <c r="AX373" s="649"/>
      <c r="AY373" s="649">
        <f t="shared" si="822"/>
        <v>23.311716569431731</v>
      </c>
      <c r="AZ373" s="649">
        <f t="shared" si="823"/>
        <v>0</v>
      </c>
      <c r="BA373" s="1059">
        <f t="shared" si="824"/>
        <v>0</v>
      </c>
      <c r="BB373" s="1019">
        <f t="shared" si="859"/>
        <v>0</v>
      </c>
      <c r="BC373" s="1035">
        <f t="shared" si="825"/>
        <v>26.933333333333334</v>
      </c>
      <c r="BD373" s="535">
        <f ca="1">IF(B373&gt;(Summary!$A$1-1),#N/A,BB373*MGtoAF)</f>
        <v>0</v>
      </c>
      <c r="BE373" s="535">
        <f>Sheet1!BG371+Sheet1!BH371+Sheet1!BI371-BM373</f>
        <v>1.02</v>
      </c>
      <c r="BF373" s="535">
        <f t="shared" si="860"/>
        <v>1.0190461346633417</v>
      </c>
      <c r="BG373" s="535">
        <f>IF(Sheet1!EP371="FM",BM373,0)</f>
        <v>0</v>
      </c>
      <c r="BH373" s="535">
        <f t="shared" si="861"/>
        <v>0</v>
      </c>
      <c r="BI373" s="535">
        <f>IF(Sheet1!EP371="OTHER",BM373,0)</f>
        <v>0</v>
      </c>
      <c r="BJ373" s="535">
        <f t="shared" si="862"/>
        <v>0</v>
      </c>
      <c r="BK373" s="535">
        <f t="shared" si="863"/>
        <v>1.02</v>
      </c>
      <c r="BL373" s="535">
        <f t="shared" si="864"/>
        <v>1.0190461346633417</v>
      </c>
      <c r="BM373" s="535">
        <f>IF(OR(Sheet1!EP371="FM", Sheet1!EP371="OTHER"),SUM(Sheet1!BG371:'Sheet1'!BI371),0)</f>
        <v>0</v>
      </c>
      <c r="BN373" s="521">
        <f>IF(AND($B373&gt;=$FV373,$B373&lt;=$FW373),MAX(BF373,Sheet1!EI371,0),MAX(BF373-(7/36)*$K373,0))</f>
        <v>0</v>
      </c>
      <c r="BO373" s="535">
        <f t="shared" si="865"/>
        <v>0</v>
      </c>
      <c r="BP373" s="521">
        <f t="shared" si="866"/>
        <v>1.0190461346633417</v>
      </c>
      <c r="BQ373" s="521">
        <f>IF(AND($O373&gt;0,Sheet1!EM371=1),(1-($O373-Sheet1!$L371)/$O373)*BL373,0)</f>
        <v>0</v>
      </c>
      <c r="BR373" s="521">
        <f>IF(AND(Sheet1!$L371=0,Sheet1!$L370=0, Calculation!BK373&lt;Sheet1!$EI371-0.1,Sheet1!$EI371=Sheet1!$EI370,Sheet1!$EI371=Sheet1!$EI372),BL373-BQ373,BL373-BQ373)</f>
        <v>1.0190461346633417</v>
      </c>
      <c r="BS373" s="1035" t="str">
        <f t="shared" si="826"/>
        <v/>
      </c>
      <c r="BT373" s="1035">
        <f t="shared" si="827"/>
        <v>12.568888888888889</v>
      </c>
      <c r="BU373" s="535">
        <f t="shared" si="867"/>
        <v>0</v>
      </c>
      <c r="BV373" s="535"/>
      <c r="BW373" s="535">
        <f ca="1">IF(B373&gt;(Summary!$A$1-1),#N/A,BU373*MGtoAF)</f>
        <v>0</v>
      </c>
      <c r="BX373" s="535">
        <f>Sheet1!BC371+Sheet1!BD371+Sheet1!BE371+Sheet1!BF371-CG373-CH373</f>
        <v>2.99</v>
      </c>
      <c r="BY373" s="535">
        <f t="shared" si="868"/>
        <v>2.9872038653366584</v>
      </c>
      <c r="BZ373" s="535">
        <f>IF(Sheet1!EQ371="FM",CH373,0)</f>
        <v>0</v>
      </c>
      <c r="CA373" s="535">
        <f t="shared" si="869"/>
        <v>0</v>
      </c>
      <c r="CB373" s="535">
        <f>IF(Sheet1!EQ371="OTHER",CH373,0)</f>
        <v>0</v>
      </c>
      <c r="CC373" s="535">
        <f t="shared" si="870"/>
        <v>0</v>
      </c>
      <c r="CD373" s="535">
        <f t="shared" si="871"/>
        <v>0</v>
      </c>
      <c r="CE373" s="535">
        <f t="shared" si="872"/>
        <v>2.99</v>
      </c>
      <c r="CF373" s="535">
        <f t="shared" si="873"/>
        <v>2.9872038653366584</v>
      </c>
      <c r="CG373" s="535">
        <f>IF(Sheet1!EQ371="CWA",SUM(Sheet1!BC371:'Sheet1'!BF371),0)</f>
        <v>0</v>
      </c>
      <c r="CH373" s="535">
        <f>IF(OR(Sheet1!EQ371="FM", Sheet1!EQ371="OTHER"),SUM(Sheet1!BC371:'Sheet1'!BF371),0)</f>
        <v>0</v>
      </c>
      <c r="CI373" s="521">
        <f>IF(AND($B373&gt;=$FV373,$B373&lt;=$FW373),MAX(CF373,Sheet1!EJ371,0),MAX(CF373-(7/36)*$K373,0))</f>
        <v>0</v>
      </c>
      <c r="CJ373" s="535">
        <f t="shared" si="874"/>
        <v>0</v>
      </c>
      <c r="CK373" s="521">
        <f t="shared" si="875"/>
        <v>2.9872038653366584</v>
      </c>
      <c r="CL373" s="521">
        <f>IF(AND($O373&gt;0,Sheet1!EN371=1),(1-($O373-Sheet1!$L371)/$O373)*CF373,0)</f>
        <v>0</v>
      </c>
      <c r="CM373" s="521">
        <f>IF(AND(Sheet1!$L371=0,Sheet1!$L370=0, Calculation!CE373&lt;Sheet1!EJ371-0.1,Sheet1!EJ371=Sheet1!EJ370,Sheet1!EJ371=Sheet1!EJ372),CF373-CL373,CF373-CL373)</f>
        <v>2.9872038653366584</v>
      </c>
      <c r="CN373" s="1040" t="str">
        <f t="shared" si="828"/>
        <v/>
      </c>
      <c r="CO373" s="1035">
        <f t="shared" si="829"/>
        <v>12.568888888888889</v>
      </c>
      <c r="CP373" s="535">
        <f t="shared" si="876"/>
        <v>0</v>
      </c>
      <c r="CQ373" s="535"/>
      <c r="CR373" s="535">
        <f ca="1">IF(B373&gt;(Summary!$A$1-1),#N/A,CP373*MGtoAF)</f>
        <v>0</v>
      </c>
      <c r="CS373" s="535">
        <f>Sheet1!BK371+Sheet1!BL371+Sheet1!BM371-Sheet1!ER371-DA373</f>
        <v>6.4700000000000006</v>
      </c>
      <c r="CT373" s="535">
        <f t="shared" si="877"/>
        <v>6.4639495012468835</v>
      </c>
      <c r="CU373" s="535">
        <f>IF(Sheet1!ER371="FM",DA373,0)</f>
        <v>0</v>
      </c>
      <c r="CV373" s="535">
        <f t="shared" si="878"/>
        <v>0</v>
      </c>
      <c r="CW373" s="535">
        <f>IF(Sheet1!ER371="OTHER",DA373,0)</f>
        <v>0</v>
      </c>
      <c r="CX373" s="535">
        <f t="shared" si="879"/>
        <v>0</v>
      </c>
      <c r="CY373" s="535">
        <f t="shared" si="880"/>
        <v>6.4700000000000006</v>
      </c>
      <c r="CZ373" s="535">
        <f t="shared" si="881"/>
        <v>6.4639495012468835</v>
      </c>
      <c r="DA373" s="535">
        <f>IF(OR(Sheet1!ER371="FM", Sheet1!ER371="OTHER"),SUM(Sheet1!BK371:'Sheet1'!BM371),0)</f>
        <v>0</v>
      </c>
      <c r="DB373" s="1011">
        <f>IF(AND($B373&gt;=$FV373,$B373&lt;=$FW373),MAX($CT373,Sheet1!EK371,0),MAX($CT373-(7/36)*$K373,0))</f>
        <v>0</v>
      </c>
      <c r="DC373" s="1012">
        <f t="shared" si="882"/>
        <v>0</v>
      </c>
      <c r="DD373" s="1011">
        <f t="shared" si="883"/>
        <v>6.4639495012468835</v>
      </c>
      <c r="DE373" s="521">
        <f>IF(AND($O373&gt;0,Sheet1!EO371=1),(1-($O373-Sheet1!$L371)/$O373)*CZ373,0)</f>
        <v>0</v>
      </c>
      <c r="DF373" s="521">
        <f>IF(AND(Sheet1!$L371=0,Sheet1!$L370=0, Calculation!CY373&lt;Sheet1!$EK371-0.1,Sheet1!$EK371=Sheet1!$EK370,Sheet1!$EK371=Sheet1!$EK372),CZ373-DE373,CZ373-DE373)</f>
        <v>6.4639495012468835</v>
      </c>
      <c r="DG373" s="1040">
        <f t="shared" si="830"/>
        <v>12.568888888888889</v>
      </c>
      <c r="DH373" s="649">
        <f t="shared" si="884"/>
        <v>10.48</v>
      </c>
      <c r="DI373" s="535">
        <f t="shared" si="885"/>
        <v>0</v>
      </c>
      <c r="DJ373" s="649">
        <f t="shared" si="886"/>
        <v>10.470199501246883</v>
      </c>
      <c r="DK373" s="535">
        <f ca="1">IF(B373&gt;(Summary!$A$1-1),#N/A,DI373*MGtoAF)</f>
        <v>0</v>
      </c>
      <c r="DL373" s="649">
        <f t="shared" si="887"/>
        <v>10.48</v>
      </c>
      <c r="DM373" s="535">
        <f t="shared" si="888"/>
        <v>32.08</v>
      </c>
      <c r="DN373" s="535">
        <f>Sheet1!AB371-DM373</f>
        <v>-3.0000000000001137E-2</v>
      </c>
      <c r="DO373" s="743">
        <f t="shared" si="889"/>
        <v>-9.3516209476312781E-4</v>
      </c>
      <c r="DP373" s="535">
        <f>(VLOOKUP(Sheet1!DC371,hhdcap_wcm,4)-(((VLOOKUP(Sheet1!DC371,hhdcap_wcm,3)-Sheet1!DC371)/(VLOOKUP(Sheet1!DC371,hhdcap_wcm,3)-VLOOKUP(Sheet1!DC371,hhdcap_wcm,1)))*(VLOOKUP(Sheet1!DC371,hhdcap_wcm,4)-VLOOKUP(Sheet1!DC371,hhdcap_wcm,2))))</f>
        <v>1145.8000000032514</v>
      </c>
      <c r="DQ373" s="535">
        <f t="shared" si="890"/>
        <v>-257.20000000073901</v>
      </c>
      <c r="DR373" s="535">
        <f t="shared" si="891"/>
        <v>-129.70247100390267</v>
      </c>
      <c r="DS373" s="535">
        <f>Sheet1!EA371*AFtoMG</f>
        <v>0</v>
      </c>
      <c r="DT373" s="535">
        <f>Sheet1!EB371*AFtoMG</f>
        <v>0</v>
      </c>
      <c r="DU373" s="535">
        <f>Sheet1!EC371*AFtoMG</f>
        <v>0</v>
      </c>
      <c r="DV373" s="535">
        <f>Sheet1!ED371*AFtoMG</f>
        <v>0</v>
      </c>
      <c r="DW373" s="535">
        <f t="shared" si="892"/>
        <v>0</v>
      </c>
      <c r="DX373" s="535">
        <f t="shared" si="893"/>
        <v>0</v>
      </c>
      <c r="DY373" s="535">
        <f t="shared" si="894"/>
        <v>0</v>
      </c>
      <c r="DZ373" s="535">
        <f t="shared" si="895"/>
        <v>0</v>
      </c>
      <c r="EA373" s="535"/>
      <c r="EB373" s="521">
        <f>IF(OR(B373&lt;FV373,B373&gt;FW373),(MIN(BF373+BY373+CT373+MAX(Sheet1!AA371+AQ373-73,0),K373)),0)</f>
        <v>10.470199501246883</v>
      </c>
      <c r="EC373" s="535"/>
      <c r="ED373" s="535">
        <f t="shared" si="896"/>
        <v>10.470199501246883</v>
      </c>
      <c r="EE373" s="535"/>
      <c r="EF373" s="535">
        <f>Sheet1!EH371+Sheet1!EI371+Sheet1!EJ371+Sheet1!EK371</f>
        <v>10.5</v>
      </c>
      <c r="EG373" s="1019">
        <f t="shared" si="831"/>
        <v>16.243500000000001</v>
      </c>
      <c r="EH373" s="521">
        <f t="shared" si="897"/>
        <v>0</v>
      </c>
      <c r="EI373" s="535">
        <f>IF(Sheet1!ET371=1,SUM('Calculations II'!AT373:BA373)+'Calculations II'!BC373+Sheet1!BV371+'Calculations II'!BE373+AP373,'Calculations II'!BK373)</f>
        <v>46.062360498753122</v>
      </c>
      <c r="EJ373" s="535">
        <f ca="1">EI373+'Calculations II'!D373+'Calculations II'!E373+'Calculations II'!O373</f>
        <v>45.702549722031193</v>
      </c>
      <c r="EK373" s="535"/>
      <c r="EL373" s="535"/>
      <c r="EM373" s="535">
        <f t="shared" si="898"/>
        <v>43097</v>
      </c>
      <c r="EN373" s="535">
        <f t="shared" si="899"/>
        <v>0</v>
      </c>
      <c r="EO373" s="535">
        <f t="shared" si="900"/>
        <v>0</v>
      </c>
      <c r="EP373" s="535">
        <v>0</v>
      </c>
      <c r="EQ373" s="535">
        <v>0</v>
      </c>
      <c r="ER373" s="535">
        <v>0</v>
      </c>
      <c r="ES373" s="521">
        <f t="shared" si="797"/>
        <v>0.27707850087950003</v>
      </c>
      <c r="ET373" s="535">
        <f>-(VLOOKUP(Sheet1!BQ371,Lookup!$O$4:$Q$262,2)-VLOOKUP(Sheet1!BQ370,Lookup!$O$4:$Q$262,2))/1000000</f>
        <v>0.27707850087950003</v>
      </c>
      <c r="EU373" s="535">
        <f>-(VLOOKUP(Sheet1!BR371,Lookup!$O$4:$Q$262,3)-VLOOKUP(Sheet1!BR370,Lookup!$O$4:$Q$262,3))/1000000</f>
        <v>0</v>
      </c>
      <c r="EV373" s="535"/>
      <c r="EW373" s="535"/>
      <c r="EX373" s="535"/>
      <c r="EY373" s="535"/>
      <c r="EZ373" s="535"/>
      <c r="FA373" s="535"/>
      <c r="FB373" s="535"/>
      <c r="FC373" s="535"/>
      <c r="FD373" s="567" t="e">
        <f t="shared" si="847"/>
        <v>#N/A</v>
      </c>
      <c r="FE373" s="567" t="e">
        <f t="shared" si="901"/>
        <v>#N/A</v>
      </c>
      <c r="FF373" s="568" t="e">
        <f t="shared" si="902"/>
        <v>#N/A</v>
      </c>
      <c r="FG373" s="569" t="s">
        <v>656</v>
      </c>
      <c r="FH373" s="569" t="s">
        <v>656</v>
      </c>
      <c r="FI373" s="567" t="e">
        <v>#N/A</v>
      </c>
      <c r="FJ373" s="567" t="e">
        <v>#N/A</v>
      </c>
      <c r="FK373" s="535"/>
      <c r="FL373" s="1015" t="e">
        <f t="shared" si="846"/>
        <v>#N/A</v>
      </c>
      <c r="FM373" s="535"/>
      <c r="FN373" s="535"/>
      <c r="FO373" s="535">
        <f>O373+((Sheet1!CS371)*GPMtoMGD)</f>
        <v>57.349999999999994</v>
      </c>
      <c r="FP373" s="535">
        <f>IF(Sheet1!AA371+AQ373&lt;=Calculation!N373,AQ373,Calculation!N373-Sheet1!AA371)</f>
        <v>21.579800498753119</v>
      </c>
      <c r="FQ373" s="535">
        <f>(Sheet1!BP371+Sheet1!BO371)/694.4</f>
        <v>1.5240495391705069</v>
      </c>
      <c r="FR373" s="541"/>
      <c r="FS373" s="541"/>
      <c r="FT373" s="541"/>
      <c r="FU373" s="541"/>
      <c r="FV373" s="1109">
        <f t="shared" si="798"/>
        <v>42918</v>
      </c>
      <c r="FW373" s="1109">
        <f t="shared" si="799"/>
        <v>43027</v>
      </c>
      <c r="FX373" s="541"/>
      <c r="FY373" s="541">
        <f>Sheet1!DA371-Sheet1!CZ371-Sheet1!AE371</f>
        <v>481.27955000000003</v>
      </c>
      <c r="FZ373" s="535">
        <f t="shared" si="832"/>
        <v>0.4608643960525915</v>
      </c>
      <c r="GA373" s="535"/>
      <c r="GB373" s="535" t="str">
        <f t="shared" si="800"/>
        <v>n</v>
      </c>
      <c r="GC373" s="539">
        <f t="shared" si="801"/>
        <v>42782</v>
      </c>
      <c r="GD373" s="1109">
        <f t="shared" si="802"/>
        <v>42904</v>
      </c>
      <c r="GE373" s="535">
        <f t="shared" si="818"/>
        <v>6520</v>
      </c>
      <c r="GF373" s="1109">
        <f t="shared" si="803"/>
        <v>42909</v>
      </c>
      <c r="GG373" s="535">
        <f t="shared" si="845"/>
        <v>3260</v>
      </c>
      <c r="GH373" s="539">
        <f t="shared" si="804"/>
        <v>43040</v>
      </c>
      <c r="GJ373" s="521">
        <f t="shared" si="805"/>
        <v>0</v>
      </c>
      <c r="GK373" s="535" t="str">
        <f t="shared" si="903"/>
        <v/>
      </c>
      <c r="GL373" s="535">
        <f t="shared" si="806"/>
        <v>0</v>
      </c>
      <c r="GM373" s="535" t="str">
        <f t="shared" si="807"/>
        <v/>
      </c>
      <c r="GN373" s="535">
        <f>IF(GK373="P",Lookup!$M$12,IF(GK373="PP",Lookup!$M$13,IF(GK373="PPP",Lookup!$M$14,IF(GK373="T",Lookup!$M$15,IF(GK373="TP",Lookup!$M$16,IF(GK373="TPP",Lookup!$M$17,IF(GK373="TPPP",Lookup!$M$18,0)))))))*GJ373</f>
        <v>0</v>
      </c>
      <c r="GO373" s="535">
        <f t="shared" si="808"/>
        <v>0</v>
      </c>
      <c r="GP373" s="535">
        <f t="shared" si="904"/>
        <v>0</v>
      </c>
      <c r="GQ373" s="974">
        <f t="shared" si="848"/>
        <v>0</v>
      </c>
      <c r="GR373" s="535"/>
      <c r="GS373" s="535">
        <f t="shared" si="809"/>
        <v>0</v>
      </c>
      <c r="GT373" s="535" t="str">
        <f t="shared" si="810"/>
        <v/>
      </c>
      <c r="GU373" s="535">
        <f>IF(GK373="P",Lookup!$N$12,IF(GK373="PP",Lookup!$N$13,IF(GK373="PPP",Lookup!$N$14,IF(GK373="T",Lookup!$N$15,IF(GK373="TP",Lookup!$N$16,IF(GK373="TPP",Lookup!$N$17,IF(GK373="TPPP",Lookup!$N$18,0)))))))*GJ373</f>
        <v>0</v>
      </c>
      <c r="GV373" s="535">
        <f t="shared" si="811"/>
        <v>0</v>
      </c>
      <c r="GW373" s="535">
        <f t="shared" si="905"/>
        <v>0</v>
      </c>
      <c r="GX373" s="974">
        <f t="shared" si="849"/>
        <v>0</v>
      </c>
      <c r="GY373" s="535"/>
      <c r="GZ373" s="535">
        <f t="shared" si="812"/>
        <v>0</v>
      </c>
      <c r="HA373" s="535" t="str">
        <f t="shared" si="813"/>
        <v/>
      </c>
      <c r="HB373" s="535">
        <f>IF(GK373="P",Lookup!$N$12,IF(GK373="PP",Lookup!$N$13,IF(GK373="PPP",Lookup!$N$14,IF(GK373="T",Lookup!$N$15,IF(GK373="TP",Lookup!$N$16,IF(GK373="TPP",Lookup!$N$17,IF(GK373="TPPP",Lookup!$N$18,0)))))))*GJ373</f>
        <v>0</v>
      </c>
      <c r="HC373" s="521">
        <f t="shared" si="906"/>
        <v>0</v>
      </c>
      <c r="HD373" s="535">
        <f t="shared" si="907"/>
        <v>0</v>
      </c>
      <c r="HE373" s="535">
        <f t="shared" si="816"/>
        <v>0</v>
      </c>
      <c r="HF373" s="535"/>
      <c r="HG373" s="535">
        <f t="shared" si="814"/>
        <v>0</v>
      </c>
      <c r="HH373" s="535" t="str">
        <f t="shared" si="815"/>
        <v/>
      </c>
      <c r="HI373" s="535">
        <f>IF(GK373="P",Lookup!$N$12,IF(GK373="PP",Lookup!$N$13,IF(GK373="PPP",Lookup!$N$14,IF(GK373="T",Lookup!$N$15,IF(GK373="TP",Lookup!$N$16,IF(GK373="TPP",Lookup!$N$17,IF(GK373="TPPP",Lookup!$N$18,0)))))))*GJ373</f>
        <v>0</v>
      </c>
      <c r="HJ373" s="521">
        <f t="shared" si="908"/>
        <v>0</v>
      </c>
      <c r="HK373" s="535">
        <f t="shared" si="909"/>
        <v>0</v>
      </c>
      <c r="HL373" s="535">
        <f t="shared" si="817"/>
        <v>0</v>
      </c>
      <c r="HM373" s="535"/>
      <c r="HN373" s="541"/>
      <c r="HO373" s="541"/>
      <c r="HP373" s="541"/>
      <c r="HQ373" s="541">
        <f>IF(AND(B373&gt;=$FV$4,B373&lt;=$FW$4),MAX(110/1.02+$HQ$6+MIN(113/1.02,G373),IF($HV$6-(Sheet1!DA371-Sheet1!DB371)+MIN(113/1.02,G373)&lt;G373+FL373,$HV$6-(Sheet1!DA371-Sheet1!DB371)+MIN(113/1.02,G373),G373+FL373)),MIN(110/1.02+$HQ$6+113/1.02,G373))</f>
        <v>218.62745098039215</v>
      </c>
      <c r="HR373" s="541">
        <f t="shared" si="833"/>
        <v>223</v>
      </c>
      <c r="HS373" s="541">
        <f>HR373+(Sheet1!DA371-Sheet1!DB371)</f>
        <v>687</v>
      </c>
      <c r="HT373" s="541">
        <f t="shared" si="834"/>
        <v>0</v>
      </c>
      <c r="HU373" s="541">
        <f t="shared" si="835"/>
        <v>687</v>
      </c>
      <c r="HV373" s="541">
        <f t="shared" si="836"/>
        <v>0</v>
      </c>
      <c r="HW373" s="533" t="str">
        <f t="shared" si="837"/>
        <v/>
      </c>
      <c r="HX373" s="541">
        <f t="shared" si="838"/>
        <v>955.37254901960785</v>
      </c>
      <c r="HY373" s="541">
        <f>Sheet1!CZ371</f>
        <v>1174</v>
      </c>
      <c r="HZ373" s="541">
        <f t="shared" si="839"/>
        <v>0</v>
      </c>
      <c r="IA373" s="541">
        <f t="shared" si="840"/>
        <v>0</v>
      </c>
      <c r="IB373" s="541">
        <f t="shared" si="841"/>
        <v>1174</v>
      </c>
      <c r="IC373" s="1019" t="str">
        <f t="shared" si="842"/>
        <v/>
      </c>
      <c r="ID373" s="541">
        <f t="shared" si="843"/>
        <v>1174</v>
      </c>
      <c r="IE373" s="541">
        <f>Sheet1!DB371</f>
        <v>1280</v>
      </c>
      <c r="IF373" s="533">
        <f>Sheet1!DA371</f>
        <v>1744</v>
      </c>
      <c r="IH373" s="541">
        <f>IF(AND($B373&gt;=$GC373,$B373&lt;=$GH373,$DR373&lt;0)+N("only adjusted when pool is drawn down during storage season"),Sheet1!$DB371+$DR373+N("Palmer minus all storage release"),Sheet1!$DB371)</f>
        <v>1280</v>
      </c>
      <c r="II373" s="541">
        <f>IF(AND($B373&gt;=$GC373,$B373&lt;=$GH373,$DR373&lt;0)+N("only adjusted when pool is drawn down during storage season"),Sheet1!$DA371+$DR373+N("Auburn minus all storage release"),Sheet1!$DA371)</f>
        <v>1744</v>
      </c>
    </row>
    <row r="374" spans="1:243" x14ac:dyDescent="0.25">
      <c r="A374" s="553" t="s">
        <v>8</v>
      </c>
      <c r="B374" s="531">
        <v>43098</v>
      </c>
      <c r="C374" s="536">
        <v>0</v>
      </c>
      <c r="D374" s="506">
        <f t="shared" si="787"/>
        <v>300</v>
      </c>
      <c r="E374" s="506">
        <f t="shared" si="788"/>
        <v>250</v>
      </c>
      <c r="F374" s="506">
        <v>250</v>
      </c>
      <c r="G374" s="535">
        <f>DR374+Sheet1!CZ372</f>
        <v>5694.6293494743059</v>
      </c>
      <c r="H374" s="1074">
        <f t="shared" si="844"/>
        <v>2513.5189017600001</v>
      </c>
      <c r="I374" s="534">
        <f>IF(Sheet1!DA372&gt;=E374,(Sheet1!DA372-E374+P374)*CFStoMGD,0)</f>
        <v>3302.1269017599998</v>
      </c>
      <c r="J374" s="995">
        <f>IF(Sheet1!DB372&gt;=D374,(Sheet1!DB372-D374+P374)*CFStoMGD,0)</f>
        <v>2513.5189017600001</v>
      </c>
      <c r="K374" s="818">
        <f t="shared" si="819"/>
        <v>64.64</v>
      </c>
      <c r="L374" s="535">
        <f>Sheet1!AA372+Sheet1!AB372-Sheet1!L372+(Sheet1!DA372-F374)*CFStoMGD-S374-T374-U374</f>
        <v>3231.1879999999983</v>
      </c>
      <c r="M374" s="535">
        <f t="shared" si="850"/>
        <v>3754.6285797301953</v>
      </c>
      <c r="N374" s="824">
        <f>IF(Sheet1!DA372&gt;=F374,MIN(113*CFStoMGD,MIN(MAX(L374,0),MAX(M374,0))),0)</f>
        <v>73.043199999999999</v>
      </c>
      <c r="O374" s="538">
        <f>Sheet1!AA372+Sheet1!AB372</f>
        <v>57.2</v>
      </c>
      <c r="P374" s="538">
        <f t="shared" si="851"/>
        <v>88.488399999999984</v>
      </c>
      <c r="Q374" s="812">
        <f t="shared" si="820"/>
        <v>0</v>
      </c>
      <c r="R374" s="812">
        <f t="shared" si="789"/>
        <v>10.453783614759224</v>
      </c>
      <c r="S374" s="812">
        <f t="shared" si="790"/>
        <v>57.2</v>
      </c>
      <c r="T374" s="812">
        <f t="shared" si="791"/>
        <v>0</v>
      </c>
      <c r="U374" s="812">
        <f>IF(AND(B374&gt;=FV374,B374&lt;=FW374),ED374+Sheet1!EH372,0)</f>
        <v>0</v>
      </c>
      <c r="V374" s="812"/>
      <c r="W374" s="812">
        <f t="shared" si="792"/>
        <v>54.186216385240776</v>
      </c>
      <c r="X374" s="812">
        <f t="shared" si="793"/>
        <v>57.2</v>
      </c>
      <c r="Y374" s="812" t="str">
        <f t="shared" si="794"/>
        <v/>
      </c>
      <c r="Z374" s="812">
        <f t="shared" si="795"/>
        <v>57.2</v>
      </c>
      <c r="AA374" s="812">
        <f t="shared" si="796"/>
        <v>57.2</v>
      </c>
      <c r="AB374" s="1059">
        <f t="shared" si="821"/>
        <v>0</v>
      </c>
      <c r="AC374" s="538">
        <f>Sheet1!Y372*MGDtoCFS</f>
        <v>39.139099999999999</v>
      </c>
      <c r="AD374" s="538">
        <f>Sheet1!Z372*MGDtoCFS</f>
        <v>49.581349999999993</v>
      </c>
      <c r="AE374" s="538">
        <f>Sheet1!AA372*MGDtoCFS</f>
        <v>39.139099999999999</v>
      </c>
      <c r="AF374" s="538">
        <f>Sheet1!AB372*MGDtoCFS</f>
        <v>49.349299999999992</v>
      </c>
      <c r="AG374" s="538">
        <f>Sheet1!L372*MGDtoCFS</f>
        <v>21.255780000002474</v>
      </c>
      <c r="AH374" s="521">
        <f t="shared" si="852"/>
        <v>0</v>
      </c>
      <c r="AI374" s="1059">
        <f t="shared" si="853"/>
        <v>0</v>
      </c>
      <c r="AJ374" s="535">
        <f t="shared" si="854"/>
        <v>0</v>
      </c>
      <c r="AK374" s="535">
        <f t="shared" si="855"/>
        <v>0</v>
      </c>
      <c r="AL374" s="535">
        <f>(VLOOKUP(Sheet1!DC372,hhdcap_wcm,4)-(((VLOOKUP(Sheet1!DC372,hhdcap_wcm,3)-Sheet1!DC372)/(VLOOKUP(Sheet1!DC372,hhdcap_wcm,3)-VLOOKUP(Sheet1!DC372,hhdcap_wcm,1)))*(VLOOKUP(Sheet1!DC372,hhdcap_wcm,4)-VLOOKUP(Sheet1!DC372,hhdcap_wcm,2))))</f>
        <v>5002.0000000108002</v>
      </c>
      <c r="AM374" s="535">
        <f t="shared" si="856"/>
        <v>3856.2000000075486</v>
      </c>
      <c r="AN374" s="1035">
        <f t="shared" si="857"/>
        <v>0</v>
      </c>
      <c r="AO374" s="535">
        <f t="shared" si="858"/>
        <v>0</v>
      </c>
      <c r="AP374" s="535">
        <f>Sheet1!BA372+Sheet1!BB372+Sheet1!BN372+CD374</f>
        <v>21.5</v>
      </c>
      <c r="AQ374" s="535">
        <f>Sheet1!BN372+(DO374*Sheet1!BN372)</f>
        <v>21.446216385240774</v>
      </c>
      <c r="AR374" s="535">
        <f>Sheet1!BA372+CD374</f>
        <v>0</v>
      </c>
      <c r="AS374" s="535">
        <f>Sheet1!BA372+Sheet1!BB372+CD374</f>
        <v>0</v>
      </c>
      <c r="AT374" s="649">
        <f>0</f>
        <v>0</v>
      </c>
      <c r="AU374" s="974">
        <f>BA374+MAX(Sheet1!EH372,(O374-Q374-ED374-S374))</f>
        <v>0</v>
      </c>
      <c r="AV374" s="535">
        <f>IF(OR(B374&gt;=GD374,B374&lt;GC374),0,15/36*K374-MAX(0,64.6-(137.6-(Sheet1!AA372+Sheet1!AB372))))</f>
        <v>0</v>
      </c>
      <c r="AW374" s="1029"/>
      <c r="AX374" s="649"/>
      <c r="AY374" s="649">
        <f t="shared" si="822"/>
        <v>23.311716569431731</v>
      </c>
      <c r="AZ374" s="649">
        <f t="shared" si="823"/>
        <v>0</v>
      </c>
      <c r="BA374" s="1059">
        <f t="shared" si="824"/>
        <v>0</v>
      </c>
      <c r="BB374" s="1019">
        <f t="shared" si="859"/>
        <v>0</v>
      </c>
      <c r="BC374" s="1035">
        <f t="shared" si="825"/>
        <v>26.933333333333334</v>
      </c>
      <c r="BD374" s="535">
        <f ca="1">IF(B374&gt;(Summary!$A$1-1),#N/A,BB374*MGtoAF)</f>
        <v>0</v>
      </c>
      <c r="BE374" s="535">
        <f>Sheet1!BG372+Sheet1!BH372+Sheet1!BI372-BM374</f>
        <v>1.01</v>
      </c>
      <c r="BF374" s="535">
        <f t="shared" si="860"/>
        <v>1.0074734208880549</v>
      </c>
      <c r="BG374" s="535">
        <f>IF(Sheet1!EP372="FM",BM374,0)</f>
        <v>0</v>
      </c>
      <c r="BH374" s="535">
        <f t="shared" si="861"/>
        <v>0</v>
      </c>
      <c r="BI374" s="535">
        <f>IF(Sheet1!EP372="OTHER",BM374,0)</f>
        <v>0</v>
      </c>
      <c r="BJ374" s="535">
        <f t="shared" si="862"/>
        <v>0</v>
      </c>
      <c r="BK374" s="535">
        <f t="shared" si="863"/>
        <v>1.01</v>
      </c>
      <c r="BL374" s="535">
        <f t="shared" si="864"/>
        <v>1.0074734208880549</v>
      </c>
      <c r="BM374" s="535">
        <f>IF(OR(Sheet1!EP372="FM", Sheet1!EP372="OTHER"),SUM(Sheet1!BG372:'Sheet1'!BI372),0)</f>
        <v>0</v>
      </c>
      <c r="BN374" s="521">
        <f>IF(AND($B374&gt;=$FV374,$B374&lt;=$FW374),MAX(BF374,Sheet1!EI372,0),MAX(BF374-(7/36)*$K374,0))</f>
        <v>0</v>
      </c>
      <c r="BO374" s="535">
        <f t="shared" si="865"/>
        <v>0</v>
      </c>
      <c r="BP374" s="521">
        <f t="shared" si="866"/>
        <v>1.0074734208880549</v>
      </c>
      <c r="BQ374" s="521">
        <f>IF(AND($O374&gt;0,Sheet1!EM372=1),(1-($O374-Sheet1!$L372)/$O374)*BL374,0)</f>
        <v>0</v>
      </c>
      <c r="BR374" s="521">
        <f>IF(AND(Sheet1!$L372=0,Sheet1!$L371=0, Calculation!BK374&lt;Sheet1!$EI372-0.1,Sheet1!$EI372=Sheet1!$EI371,Sheet1!$EI372=Sheet1!$EI373),BL374-BQ374,BL374-BQ374)</f>
        <v>1.0074734208880549</v>
      </c>
      <c r="BS374" s="1035" t="str">
        <f t="shared" si="826"/>
        <v/>
      </c>
      <c r="BT374" s="1035">
        <f t="shared" si="827"/>
        <v>12.568888888888889</v>
      </c>
      <c r="BU374" s="535">
        <f t="shared" si="867"/>
        <v>0</v>
      </c>
      <c r="BV374" s="535"/>
      <c r="BW374" s="535">
        <f ca="1">IF(B374&gt;(Summary!$A$1-1),#N/A,BU374*MGtoAF)</f>
        <v>0</v>
      </c>
      <c r="BX374" s="535">
        <f>Sheet1!BC372+Sheet1!BD372+Sheet1!BE372+Sheet1!BF372-CG374-CH374</f>
        <v>2.99</v>
      </c>
      <c r="BY374" s="535">
        <f t="shared" si="868"/>
        <v>2.9825203252032519</v>
      </c>
      <c r="BZ374" s="535">
        <f>IF(Sheet1!EQ372="FM",CH374,0)</f>
        <v>0</v>
      </c>
      <c r="CA374" s="535">
        <f t="shared" si="869"/>
        <v>0</v>
      </c>
      <c r="CB374" s="535">
        <f>IF(Sheet1!EQ372="OTHER",CH374,0)</f>
        <v>0</v>
      </c>
      <c r="CC374" s="535">
        <f t="shared" si="870"/>
        <v>0</v>
      </c>
      <c r="CD374" s="535">
        <f t="shared" si="871"/>
        <v>0</v>
      </c>
      <c r="CE374" s="535">
        <f t="shared" si="872"/>
        <v>2.99</v>
      </c>
      <c r="CF374" s="535">
        <f t="shared" si="873"/>
        <v>2.9825203252032519</v>
      </c>
      <c r="CG374" s="535">
        <f>IF(Sheet1!EQ372="CWA",SUM(Sheet1!BC372:'Sheet1'!BF372),0)</f>
        <v>0</v>
      </c>
      <c r="CH374" s="535">
        <f>IF(OR(Sheet1!EQ372="FM", Sheet1!EQ372="OTHER"),SUM(Sheet1!BC372:'Sheet1'!BF372),0)</f>
        <v>0</v>
      </c>
      <c r="CI374" s="521">
        <f>IF(AND($B374&gt;=$FV374,$B374&lt;=$FW374),MAX(CF374,Sheet1!EJ372,0),MAX(CF374-(7/36)*$K374,0))</f>
        <v>0</v>
      </c>
      <c r="CJ374" s="535">
        <f t="shared" si="874"/>
        <v>0</v>
      </c>
      <c r="CK374" s="521">
        <f t="shared" si="875"/>
        <v>2.9825203252032519</v>
      </c>
      <c r="CL374" s="521">
        <f>IF(AND($O374&gt;0,Sheet1!EN372=1),(1-($O374-Sheet1!$L372)/$O374)*CF374,0)</f>
        <v>0</v>
      </c>
      <c r="CM374" s="521">
        <f>IF(AND(Sheet1!$L372=0,Sheet1!$L371=0, Calculation!CE374&lt;Sheet1!EJ372-0.1,Sheet1!EJ372=Sheet1!EJ371,Sheet1!EJ372=Sheet1!EJ373),CF374-CL374,CF374-CL374)</f>
        <v>2.9825203252032519</v>
      </c>
      <c r="CN374" s="1040" t="str">
        <f t="shared" si="828"/>
        <v/>
      </c>
      <c r="CO374" s="1035">
        <f t="shared" si="829"/>
        <v>12.568888888888889</v>
      </c>
      <c r="CP374" s="535">
        <f t="shared" si="876"/>
        <v>0</v>
      </c>
      <c r="CQ374" s="535"/>
      <c r="CR374" s="535">
        <f ca="1">IF(B374&gt;(Summary!$A$1-1),#N/A,CP374*MGtoAF)</f>
        <v>0</v>
      </c>
      <c r="CS374" s="535">
        <f>Sheet1!BK372+Sheet1!BL372+Sheet1!BM372-Sheet1!ER372-DA374</f>
        <v>6.48</v>
      </c>
      <c r="CT374" s="535">
        <f t="shared" si="877"/>
        <v>6.4637898686679174</v>
      </c>
      <c r="CU374" s="535">
        <f>IF(Sheet1!ER372="FM",DA374,0)</f>
        <v>0</v>
      </c>
      <c r="CV374" s="535">
        <f t="shared" si="878"/>
        <v>0</v>
      </c>
      <c r="CW374" s="535">
        <f>IF(Sheet1!ER372="OTHER",DA374,0)</f>
        <v>0</v>
      </c>
      <c r="CX374" s="535">
        <f t="shared" si="879"/>
        <v>0</v>
      </c>
      <c r="CY374" s="535">
        <f t="shared" si="880"/>
        <v>6.48</v>
      </c>
      <c r="CZ374" s="535">
        <f t="shared" si="881"/>
        <v>6.4637898686679174</v>
      </c>
      <c r="DA374" s="535">
        <f>IF(OR(Sheet1!ER372="FM", Sheet1!ER372="OTHER"),SUM(Sheet1!BK372:'Sheet1'!BM372),0)</f>
        <v>0</v>
      </c>
      <c r="DB374" s="1011">
        <f>IF(AND($B374&gt;=$FV374,$B374&lt;=$FW374),MAX($CT374,Sheet1!EK372,0),MAX($CT374-(7/36)*$K374,0))</f>
        <v>0</v>
      </c>
      <c r="DC374" s="1012">
        <f t="shared" si="882"/>
        <v>0</v>
      </c>
      <c r="DD374" s="1011">
        <f t="shared" si="883"/>
        <v>6.4637898686679174</v>
      </c>
      <c r="DE374" s="521">
        <f>IF(AND($O374&gt;0,Sheet1!EO372=1),(1-($O374-Sheet1!$L372)/$O374)*CZ374,0)</f>
        <v>0</v>
      </c>
      <c r="DF374" s="521">
        <f>IF(AND(Sheet1!$L372=0,Sheet1!$L371=0, Calculation!CY374&lt;Sheet1!$EK372-0.1,Sheet1!$EK372=Sheet1!$EK371,Sheet1!$EK372=Sheet1!$EK373),CZ374-DE374,CZ374-DE374)</f>
        <v>6.4637898686679174</v>
      </c>
      <c r="DG374" s="1040">
        <f t="shared" si="830"/>
        <v>12.568888888888889</v>
      </c>
      <c r="DH374" s="649">
        <f t="shared" si="884"/>
        <v>10.48</v>
      </c>
      <c r="DI374" s="535">
        <f t="shared" si="885"/>
        <v>0</v>
      </c>
      <c r="DJ374" s="649">
        <f t="shared" si="886"/>
        <v>10.453783614759224</v>
      </c>
      <c r="DK374" s="535">
        <f ca="1">IF(B374&gt;(Summary!$A$1-1),#N/A,DI374*MGtoAF)</f>
        <v>0</v>
      </c>
      <c r="DL374" s="649">
        <f t="shared" si="887"/>
        <v>10.48</v>
      </c>
      <c r="DM374" s="535">
        <f t="shared" si="888"/>
        <v>31.98</v>
      </c>
      <c r="DN374" s="535">
        <f>Sheet1!AB372-DM374</f>
        <v>-8.0000000000001847E-2</v>
      </c>
      <c r="DO374" s="743">
        <f t="shared" si="889"/>
        <v>-2.5015634771732909E-3</v>
      </c>
      <c r="DP374" s="535">
        <f>(VLOOKUP(Sheet1!DC372,hhdcap_wcm,4)-(((VLOOKUP(Sheet1!DC372,hhdcap_wcm,3)-Sheet1!DC372)/(VLOOKUP(Sheet1!DC372,hhdcap_wcm,3)-VLOOKUP(Sheet1!DC372,hhdcap_wcm,1)))*(VLOOKUP(Sheet1!DC372,hhdcap_wcm,4)-VLOOKUP(Sheet1!DC372,hhdcap_wcm,2))))</f>
        <v>5002.0000000108002</v>
      </c>
      <c r="DQ374" s="535">
        <f t="shared" si="890"/>
        <v>3856.2000000075486</v>
      </c>
      <c r="DR374" s="535">
        <f t="shared" si="891"/>
        <v>1944.6293494743056</v>
      </c>
      <c r="DS374" s="535">
        <f>Sheet1!EA372*AFtoMG</f>
        <v>0</v>
      </c>
      <c r="DT374" s="535">
        <f>Sheet1!EB372*AFtoMG</f>
        <v>0</v>
      </c>
      <c r="DU374" s="535">
        <f>Sheet1!EC372*AFtoMG</f>
        <v>0</v>
      </c>
      <c r="DV374" s="535">
        <f>Sheet1!ED372*AFtoMG</f>
        <v>0</v>
      </c>
      <c r="DW374" s="535">
        <f t="shared" si="892"/>
        <v>0</v>
      </c>
      <c r="DX374" s="535">
        <f t="shared" si="893"/>
        <v>0</v>
      </c>
      <c r="DY374" s="535">
        <f t="shared" si="894"/>
        <v>0</v>
      </c>
      <c r="DZ374" s="535">
        <f t="shared" si="895"/>
        <v>0</v>
      </c>
      <c r="EA374" s="535"/>
      <c r="EB374" s="521">
        <f>IF(OR(B374&lt;FV374,B374&gt;FW374),(MIN(BF374+BY374+CT374+MAX(Sheet1!AA372+AQ374-73,0),K374)),0)</f>
        <v>10.453783614759224</v>
      </c>
      <c r="EC374" s="535"/>
      <c r="ED374" s="535">
        <f t="shared" si="896"/>
        <v>10.453783614759224</v>
      </c>
      <c r="EE374" s="535"/>
      <c r="EF374" s="535">
        <f>Sheet1!EH372+Sheet1!EI372+Sheet1!EJ372+Sheet1!EK372</f>
        <v>10.5</v>
      </c>
      <c r="EG374" s="1019">
        <f t="shared" si="831"/>
        <v>16.243500000000001</v>
      </c>
      <c r="EH374" s="521">
        <f t="shared" si="897"/>
        <v>0</v>
      </c>
      <c r="EI374" s="535">
        <f>IF(Sheet1!ET372=1,SUM('Calculations II'!AT374:BA374)+'Calculations II'!BC374+Sheet1!BV372+'Calculations II'!BE374+AP374,'Calculations II'!BK374)</f>
        <v>46.611328385240768</v>
      </c>
      <c r="EJ374" s="535">
        <f ca="1">EI374+'Calculations II'!D374+'Calculations II'!E374+'Calculations II'!O374</f>
        <v>46.208372261402623</v>
      </c>
      <c r="EK374" s="535"/>
      <c r="EL374" s="535"/>
      <c r="EM374" s="535">
        <f t="shared" si="898"/>
        <v>43098</v>
      </c>
      <c r="EN374" s="535">
        <f t="shared" si="899"/>
        <v>0</v>
      </c>
      <c r="EO374" s="535">
        <f t="shared" si="900"/>
        <v>0</v>
      </c>
      <c r="EP374" s="535">
        <v>0</v>
      </c>
      <c r="EQ374" s="535">
        <v>0</v>
      </c>
      <c r="ER374" s="535">
        <v>0</v>
      </c>
      <c r="ES374" s="521">
        <f t="shared" si="797"/>
        <v>0.69303279337969426</v>
      </c>
      <c r="ET374" s="535">
        <f>-(VLOOKUP(Sheet1!BQ372,Lookup!$O$4:$Q$262,2)-VLOOKUP(Sheet1!BQ371,Lookup!$O$4:$Q$262,2))/1000000</f>
        <v>0</v>
      </c>
      <c r="EU374" s="535">
        <f>-(VLOOKUP(Sheet1!BR372,Lookup!$O$4:$Q$262,3)-VLOOKUP(Sheet1!BR371,Lookup!$O$4:$Q$262,3))/1000000</f>
        <v>0.69303279337969426</v>
      </c>
      <c r="EV374" s="535"/>
      <c r="EW374" s="535"/>
      <c r="EX374" s="535"/>
      <c r="EY374" s="535"/>
      <c r="EZ374" s="535"/>
      <c r="FA374" s="535"/>
      <c r="FB374" s="535"/>
      <c r="FC374" s="535"/>
      <c r="FD374" s="567" t="e">
        <f t="shared" si="847"/>
        <v>#N/A</v>
      </c>
      <c r="FE374" s="567" t="e">
        <f t="shared" si="901"/>
        <v>#N/A</v>
      </c>
      <c r="FF374" s="568" t="e">
        <f t="shared" si="902"/>
        <v>#N/A</v>
      </c>
      <c r="FG374" s="569" t="s">
        <v>656</v>
      </c>
      <c r="FH374" s="569" t="s">
        <v>656</v>
      </c>
      <c r="FI374" s="567" t="e">
        <v>#N/A</v>
      </c>
      <c r="FJ374" s="567" t="e">
        <v>#N/A</v>
      </c>
      <c r="FK374" s="535"/>
      <c r="FL374" s="1015" t="e">
        <f t="shared" si="846"/>
        <v>#N/A</v>
      </c>
      <c r="FM374" s="535"/>
      <c r="FN374" s="535"/>
      <c r="FO374" s="535">
        <f>O374+((Sheet1!CS372)*GPMtoMGD)</f>
        <v>57.2</v>
      </c>
      <c r="FP374" s="535">
        <f>IF(Sheet1!AA372+AQ374&lt;=Calculation!N374,AQ374,Calculation!N374-Sheet1!AA372)</f>
        <v>21.446216385240774</v>
      </c>
      <c r="FQ374" s="535">
        <f>(Sheet1!BP372+Sheet1!BO372)/694.4</f>
        <v>1.571860599078341</v>
      </c>
      <c r="FR374" s="541"/>
      <c r="FS374" s="541"/>
      <c r="FT374" s="541"/>
      <c r="FU374" s="541"/>
      <c r="FV374" s="1109">
        <f t="shared" si="798"/>
        <v>42918</v>
      </c>
      <c r="FW374" s="1109">
        <f t="shared" si="799"/>
        <v>43027</v>
      </c>
      <c r="FX374" s="541"/>
      <c r="FY374" s="541">
        <f>Sheet1!DA372-Sheet1!CZ372-Sheet1!AE372</f>
        <v>1452.7673800000025</v>
      </c>
      <c r="FZ374" s="535">
        <f t="shared" si="832"/>
        <v>0.25511184149923882</v>
      </c>
      <c r="GA374" s="535"/>
      <c r="GB374" s="535" t="str">
        <f t="shared" si="800"/>
        <v>n</v>
      </c>
      <c r="GC374" s="539">
        <f t="shared" si="801"/>
        <v>42782</v>
      </c>
      <c r="GD374" s="1109">
        <f t="shared" si="802"/>
        <v>42904</v>
      </c>
      <c r="GE374" s="535">
        <f t="shared" si="818"/>
        <v>6520</v>
      </c>
      <c r="GF374" s="1109">
        <f t="shared" si="803"/>
        <v>42909</v>
      </c>
      <c r="GG374" s="535">
        <f t="shared" si="845"/>
        <v>3260</v>
      </c>
      <c r="GH374" s="539">
        <f t="shared" si="804"/>
        <v>43040</v>
      </c>
      <c r="GJ374" s="521">
        <f t="shared" si="805"/>
        <v>0</v>
      </c>
      <c r="GK374" s="535" t="str">
        <f t="shared" si="903"/>
        <v/>
      </c>
      <c r="GL374" s="535">
        <f t="shared" si="806"/>
        <v>0</v>
      </c>
      <c r="GM374" s="535" t="str">
        <f t="shared" si="807"/>
        <v/>
      </c>
      <c r="GN374" s="535">
        <f>IF(GK374="P",Lookup!$M$12,IF(GK374="PP",Lookup!$M$13,IF(GK374="PPP",Lookup!$M$14,IF(GK374="T",Lookup!$M$15,IF(GK374="TP",Lookup!$M$16,IF(GK374="TPP",Lookup!$M$17,IF(GK374="TPPP",Lookup!$M$18,0)))))))*GJ374</f>
        <v>0</v>
      </c>
      <c r="GO374" s="535">
        <f t="shared" si="808"/>
        <v>0</v>
      </c>
      <c r="GP374" s="535">
        <f t="shared" si="904"/>
        <v>0</v>
      </c>
      <c r="GQ374" s="974">
        <f t="shared" si="848"/>
        <v>0</v>
      </c>
      <c r="GR374" s="535"/>
      <c r="GS374" s="535">
        <f t="shared" si="809"/>
        <v>0</v>
      </c>
      <c r="GT374" s="535" t="str">
        <f t="shared" si="810"/>
        <v/>
      </c>
      <c r="GU374" s="535">
        <f>IF(GK374="P",Lookup!$N$12,IF(GK374="PP",Lookup!$N$13,IF(GK374="PPP",Lookup!$N$14,IF(GK374="T",Lookup!$N$15,IF(GK374="TP",Lookup!$N$16,IF(GK374="TPP",Lookup!$N$17,IF(GK374="TPPP",Lookup!$N$18,0)))))))*GJ374</f>
        <v>0</v>
      </c>
      <c r="GV374" s="535">
        <f t="shared" si="811"/>
        <v>0</v>
      </c>
      <c r="GW374" s="535">
        <f t="shared" si="905"/>
        <v>0</v>
      </c>
      <c r="GX374" s="974">
        <f t="shared" si="849"/>
        <v>0</v>
      </c>
      <c r="GY374" s="535"/>
      <c r="GZ374" s="535">
        <f t="shared" si="812"/>
        <v>0</v>
      </c>
      <c r="HA374" s="535" t="str">
        <f t="shared" si="813"/>
        <v/>
      </c>
      <c r="HB374" s="535">
        <f>IF(GK374="P",Lookup!$N$12,IF(GK374="PP",Lookup!$N$13,IF(GK374="PPP",Lookup!$N$14,IF(GK374="T",Lookup!$N$15,IF(GK374="TP",Lookup!$N$16,IF(GK374="TPP",Lookup!$N$17,IF(GK374="TPPP",Lookup!$N$18,0)))))))*GJ374</f>
        <v>0</v>
      </c>
      <c r="HC374" s="521">
        <f t="shared" si="906"/>
        <v>0</v>
      </c>
      <c r="HD374" s="535">
        <f t="shared" si="907"/>
        <v>0</v>
      </c>
      <c r="HE374" s="535">
        <f t="shared" si="816"/>
        <v>0</v>
      </c>
      <c r="HF374" s="535"/>
      <c r="HG374" s="535">
        <f t="shared" si="814"/>
        <v>0</v>
      </c>
      <c r="HH374" s="535" t="str">
        <f t="shared" si="815"/>
        <v/>
      </c>
      <c r="HI374" s="535">
        <f>IF(GK374="P",Lookup!$N$12,IF(GK374="PP",Lookup!$N$13,IF(GK374="PPP",Lookup!$N$14,IF(GK374="T",Lookup!$N$15,IF(GK374="TP",Lookup!$N$16,IF(GK374="TPP",Lookup!$N$17,IF(GK374="TPPP",Lookup!$N$18,0)))))))*GJ374</f>
        <v>0</v>
      </c>
      <c r="HJ374" s="521">
        <f t="shared" si="908"/>
        <v>0</v>
      </c>
      <c r="HK374" s="535">
        <f t="shared" si="909"/>
        <v>0</v>
      </c>
      <c r="HL374" s="535">
        <f t="shared" si="817"/>
        <v>0</v>
      </c>
      <c r="HM374" s="535"/>
      <c r="HN374" s="541"/>
      <c r="HO374" s="541"/>
      <c r="HP374" s="541"/>
      <c r="HQ374" s="541">
        <f>IF(AND(B374&gt;=$FV$4,B374&lt;=$FW$4),MAX(110/1.02+$HQ$6+MIN(113/1.02,G374),IF($HV$6-(Sheet1!DA372-Sheet1!DB372)+MIN(113/1.02,G374)&lt;G374+FL374,$HV$6-(Sheet1!DA372-Sheet1!DB372)+MIN(113/1.02,G374),G374+FL374)),MIN(110/1.02+$HQ$6+113/1.02,G374))</f>
        <v>218.62745098039215</v>
      </c>
      <c r="HR374" s="541">
        <f t="shared" si="833"/>
        <v>223</v>
      </c>
      <c r="HS374" s="541">
        <f>HR374+(Sheet1!DA372-Sheet1!DB372)</f>
        <v>1393</v>
      </c>
      <c r="HT374" s="541">
        <f t="shared" si="834"/>
        <v>0</v>
      </c>
      <c r="HU374" s="541">
        <f t="shared" si="835"/>
        <v>1393</v>
      </c>
      <c r="HV374" s="541">
        <f t="shared" si="836"/>
        <v>0</v>
      </c>
      <c r="HW374" s="533" t="str">
        <f t="shared" si="837"/>
        <v/>
      </c>
      <c r="HX374" s="541">
        <f t="shared" si="838"/>
        <v>3531.372549019608</v>
      </c>
      <c r="HY374" s="541">
        <f>Sheet1!CZ372</f>
        <v>3750</v>
      </c>
      <c r="HZ374" s="541">
        <f t="shared" si="839"/>
        <v>0</v>
      </c>
      <c r="IA374" s="541">
        <f t="shared" si="840"/>
        <v>0</v>
      </c>
      <c r="IB374" s="541">
        <f t="shared" si="841"/>
        <v>3750</v>
      </c>
      <c r="IC374" s="1019" t="str">
        <f t="shared" si="842"/>
        <v/>
      </c>
      <c r="ID374" s="541">
        <f t="shared" si="843"/>
        <v>3750</v>
      </c>
      <c r="IE374" s="541">
        <f>Sheet1!DB372</f>
        <v>4100</v>
      </c>
      <c r="IF374" s="533">
        <f>Sheet1!DA372</f>
        <v>5270</v>
      </c>
      <c r="IH374" s="541">
        <f>IF(AND($B374&gt;=$GC374,$B374&lt;=$GH374,$DR374&lt;0)+N("only adjusted when pool is drawn down during storage season"),Sheet1!$DB372+$DR374+N("Palmer minus all storage release"),Sheet1!$DB372)</f>
        <v>4100</v>
      </c>
      <c r="II374" s="541">
        <f>IF(AND($B374&gt;=$GC374,$B374&lt;=$GH374,$DR374&lt;0)+N("only adjusted when pool is drawn down during storage season"),Sheet1!$DA372+$DR374+N("Auburn minus all storage release"),Sheet1!$DA372)</f>
        <v>5270</v>
      </c>
    </row>
    <row r="375" spans="1:243" x14ac:dyDescent="0.25">
      <c r="A375" s="553" t="s">
        <v>9</v>
      </c>
      <c r="B375" s="531">
        <v>43099</v>
      </c>
      <c r="C375" s="536">
        <v>0</v>
      </c>
      <c r="D375" s="506">
        <f t="shared" si="787"/>
        <v>300</v>
      </c>
      <c r="E375" s="506">
        <f t="shared" si="788"/>
        <v>250</v>
      </c>
      <c r="F375" s="506">
        <v>250</v>
      </c>
      <c r="G375" s="535">
        <f>DR375+Sheet1!CZ373</f>
        <v>5062.2844175513237</v>
      </c>
      <c r="H375" s="1074">
        <f t="shared" si="844"/>
        <v>2539.3749017599998</v>
      </c>
      <c r="I375" s="534">
        <f>IF(Sheet1!DA373&gt;=E375,(Sheet1!DA373-E375+P375)*CFStoMGD,0)</f>
        <v>3302.1269017599998</v>
      </c>
      <c r="J375" s="995">
        <f>IF(Sheet1!DB373&gt;=D375,(Sheet1!DB373-D375+P375)*CFStoMGD,0)</f>
        <v>2539.3749017599998</v>
      </c>
      <c r="K375" s="818">
        <f t="shared" si="819"/>
        <v>64.64</v>
      </c>
      <c r="L375" s="535">
        <f>Sheet1!AA373+Sheet1!AB373-Sheet1!L373+(Sheet1!DA373-F375)*CFStoMGD-S375-T375-U375</f>
        <v>3210.6980000000003</v>
      </c>
      <c r="M375" s="535">
        <f t="shared" si="850"/>
        <v>3337.7058604552794</v>
      </c>
      <c r="N375" s="824">
        <f>IF(Sheet1!DA373&gt;=F375,MIN(113*CFStoMGD,MIN(MAX(L375,0),MAX(M375,0))),0)</f>
        <v>73.043199999999999</v>
      </c>
      <c r="O375" s="538">
        <f>Sheet1!AA373+Sheet1!AB373</f>
        <v>57.2</v>
      </c>
      <c r="P375" s="538">
        <f t="shared" si="851"/>
        <v>88.488399999999984</v>
      </c>
      <c r="Q375" s="812">
        <f t="shared" si="820"/>
        <v>0</v>
      </c>
      <c r="R375" s="812">
        <f t="shared" si="789"/>
        <v>10.473091364205256</v>
      </c>
      <c r="S375" s="812">
        <f t="shared" si="790"/>
        <v>57.2</v>
      </c>
      <c r="T375" s="812">
        <f t="shared" si="791"/>
        <v>0</v>
      </c>
      <c r="U375" s="812">
        <f>IF(AND(B375&gt;=FV375,B375&lt;=FW375),ED375+Sheet1!EH373,0)</f>
        <v>0</v>
      </c>
      <c r="V375" s="812"/>
      <c r="W375" s="812">
        <f t="shared" si="792"/>
        <v>54.166908635794741</v>
      </c>
      <c r="X375" s="812">
        <f t="shared" si="793"/>
        <v>57.2</v>
      </c>
      <c r="Y375" s="812" t="str">
        <f t="shared" si="794"/>
        <v/>
      </c>
      <c r="Z375" s="812">
        <f t="shared" si="795"/>
        <v>57.2</v>
      </c>
      <c r="AA375" s="812">
        <f t="shared" si="796"/>
        <v>57.2</v>
      </c>
      <c r="AB375" s="1059">
        <f t="shared" si="821"/>
        <v>0</v>
      </c>
      <c r="AC375" s="538">
        <f>Sheet1!Y373*MGDtoCFS</f>
        <v>39.139099999999999</v>
      </c>
      <c r="AD375" s="538">
        <f>Sheet1!Z373*MGDtoCFS</f>
        <v>49.349299999999992</v>
      </c>
      <c r="AE375" s="538">
        <f>Sheet1!AA373*MGDtoCFS</f>
        <v>38.984399999999994</v>
      </c>
      <c r="AF375" s="538">
        <f>Sheet1!AB373*MGDtoCFS</f>
        <v>49.503999999999998</v>
      </c>
      <c r="AG375" s="538">
        <f>Sheet1!L373*MGDtoCFS</f>
        <v>52.953809999999322</v>
      </c>
      <c r="AH375" s="521">
        <f t="shared" si="852"/>
        <v>0</v>
      </c>
      <c r="AI375" s="1059">
        <f t="shared" si="853"/>
        <v>0</v>
      </c>
      <c r="AJ375" s="535">
        <f t="shared" si="854"/>
        <v>0</v>
      </c>
      <c r="AK375" s="535">
        <f t="shared" si="855"/>
        <v>0</v>
      </c>
      <c r="AL375" s="535">
        <f>(VLOOKUP(Sheet1!DC373,hhdcap_wcm,4)-(((VLOOKUP(Sheet1!DC373,hhdcap_wcm,3)-Sheet1!DC373)/(VLOOKUP(Sheet1!DC373,hhdcap_wcm,3)-VLOOKUP(Sheet1!DC373,hhdcap_wcm,1)))*(VLOOKUP(Sheet1!DC373,hhdcap_wcm,4)-VLOOKUP(Sheet1!DC373,hhdcap_wcm,2))))</f>
        <v>7168.0000000150749</v>
      </c>
      <c r="AM375" s="535">
        <f t="shared" si="856"/>
        <v>2166.0000000042746</v>
      </c>
      <c r="AN375" s="1035">
        <f t="shared" si="857"/>
        <v>0</v>
      </c>
      <c r="AO375" s="535">
        <f t="shared" si="858"/>
        <v>0</v>
      </c>
      <c r="AP375" s="535">
        <f>Sheet1!BA373+Sheet1!BB373+Sheet1!BN373+CD375</f>
        <v>21.5</v>
      </c>
      <c r="AQ375" s="535">
        <f>Sheet1!BN373+(DO375*Sheet1!BN373)</f>
        <v>21.526908635794744</v>
      </c>
      <c r="AR375" s="535">
        <f>Sheet1!BA373+CD375</f>
        <v>0</v>
      </c>
      <c r="AS375" s="535">
        <f>Sheet1!BA373+Sheet1!BB373+CD375</f>
        <v>0</v>
      </c>
      <c r="AT375" s="649">
        <f>0</f>
        <v>0</v>
      </c>
      <c r="AU375" s="974">
        <f>BA375+MAX(Sheet1!EH373,(O375-Q375-ED375-S375))</f>
        <v>0</v>
      </c>
      <c r="AV375" s="535">
        <f>IF(OR(B375&gt;=GD375,B375&lt;GC375),0,15/36*K375-MAX(0,64.6-(137.6-(Sheet1!AA373+Sheet1!AB373))))</f>
        <v>0</v>
      </c>
      <c r="AW375" s="1029"/>
      <c r="AX375" s="649"/>
      <c r="AY375" s="649">
        <f t="shared" si="822"/>
        <v>23.311716569431731</v>
      </c>
      <c r="AZ375" s="649">
        <f t="shared" si="823"/>
        <v>0</v>
      </c>
      <c r="BA375" s="1059">
        <f t="shared" si="824"/>
        <v>0</v>
      </c>
      <c r="BB375" s="1019">
        <f t="shared" si="859"/>
        <v>0</v>
      </c>
      <c r="BC375" s="1035">
        <f t="shared" si="825"/>
        <v>26.933333333333334</v>
      </c>
      <c r="BD375" s="535">
        <f ca="1">IF(B375&gt;(Summary!$A$1-1),#N/A,BB375*MGtoAF)</f>
        <v>0</v>
      </c>
      <c r="BE375" s="535">
        <f>Sheet1!BG373+Sheet1!BH373+Sheet1!BI373-BM375</f>
        <v>1</v>
      </c>
      <c r="BF375" s="535">
        <f t="shared" si="860"/>
        <v>1.0012515644555695</v>
      </c>
      <c r="BG375" s="535">
        <f>IF(Sheet1!EP373="FM",BM375,0)</f>
        <v>0</v>
      </c>
      <c r="BH375" s="535">
        <f t="shared" si="861"/>
        <v>0</v>
      </c>
      <c r="BI375" s="535">
        <f>IF(Sheet1!EP373="OTHER",BM375,0)</f>
        <v>0</v>
      </c>
      <c r="BJ375" s="535">
        <f t="shared" si="862"/>
        <v>0</v>
      </c>
      <c r="BK375" s="535">
        <f t="shared" si="863"/>
        <v>1</v>
      </c>
      <c r="BL375" s="535">
        <f t="shared" si="864"/>
        <v>1.0012515644555695</v>
      </c>
      <c r="BM375" s="535">
        <f>IF(OR(Sheet1!EP373="FM", Sheet1!EP373="OTHER"),SUM(Sheet1!BG373:'Sheet1'!BI373),0)</f>
        <v>0</v>
      </c>
      <c r="BN375" s="521">
        <f>IF(AND($B375&gt;=$FV375,$B375&lt;=$FW375),MAX(BF375,Sheet1!EI373,0),MAX(BF375-(7/36)*$K375,0))</f>
        <v>0</v>
      </c>
      <c r="BO375" s="535">
        <f t="shared" si="865"/>
        <v>0</v>
      </c>
      <c r="BP375" s="521">
        <f t="shared" si="866"/>
        <v>1.0012515644555695</v>
      </c>
      <c r="BQ375" s="521">
        <f>IF(AND($O375&gt;0,Sheet1!EM373=1),(1-($O375-Sheet1!$L373)/$O375)*BL375,0)</f>
        <v>0</v>
      </c>
      <c r="BR375" s="521">
        <f>IF(AND(Sheet1!$L373=0,Sheet1!$L372=0, Calculation!BK375&lt;Sheet1!$EI373-0.1,Sheet1!$EI373=Sheet1!$EI372,Sheet1!$EI373=Sheet1!$EI374),BL375-BQ375,BL375-BQ375)</f>
        <v>1.0012515644555695</v>
      </c>
      <c r="BS375" s="1035" t="str">
        <f t="shared" si="826"/>
        <v/>
      </c>
      <c r="BT375" s="1035">
        <f t="shared" si="827"/>
        <v>12.568888888888889</v>
      </c>
      <c r="BU375" s="535">
        <f t="shared" si="867"/>
        <v>0</v>
      </c>
      <c r="BV375" s="535"/>
      <c r="BW375" s="535">
        <f ca="1">IF(B375&gt;(Summary!$A$1-1),#N/A,BU375*MGtoAF)</f>
        <v>0</v>
      </c>
      <c r="BX375" s="535">
        <f>Sheet1!BC373+Sheet1!BD373+Sheet1!BE373+Sheet1!BF373-CG375-CH375</f>
        <v>2.99</v>
      </c>
      <c r="BY375" s="535">
        <f t="shared" si="868"/>
        <v>2.9937421777221527</v>
      </c>
      <c r="BZ375" s="535">
        <f>IF(Sheet1!EQ373="FM",CH375,0)</f>
        <v>0</v>
      </c>
      <c r="CA375" s="535">
        <f t="shared" si="869"/>
        <v>0</v>
      </c>
      <c r="CB375" s="535">
        <f>IF(Sheet1!EQ373="OTHER",CH375,0)</f>
        <v>0</v>
      </c>
      <c r="CC375" s="535">
        <f t="shared" si="870"/>
        <v>0</v>
      </c>
      <c r="CD375" s="535">
        <f t="shared" si="871"/>
        <v>0</v>
      </c>
      <c r="CE375" s="535">
        <f t="shared" si="872"/>
        <v>2.99</v>
      </c>
      <c r="CF375" s="535">
        <f t="shared" si="873"/>
        <v>2.9937421777221527</v>
      </c>
      <c r="CG375" s="535">
        <f>IF(Sheet1!EQ373="CWA",SUM(Sheet1!BC373:'Sheet1'!BF373),0)</f>
        <v>0</v>
      </c>
      <c r="CH375" s="535">
        <f>IF(OR(Sheet1!EQ373="FM", Sheet1!EQ373="OTHER"),SUM(Sheet1!BC373:'Sheet1'!BF373),0)</f>
        <v>0</v>
      </c>
      <c r="CI375" s="521">
        <f>IF(AND($B375&gt;=$FV375,$B375&lt;=$FW375),MAX(CF375,Sheet1!EJ373,0),MAX(CF375-(7/36)*$K375,0))</f>
        <v>0</v>
      </c>
      <c r="CJ375" s="535">
        <f t="shared" si="874"/>
        <v>0</v>
      </c>
      <c r="CK375" s="521">
        <f t="shared" si="875"/>
        <v>2.9937421777221527</v>
      </c>
      <c r="CL375" s="521">
        <f>IF(AND($O375&gt;0,Sheet1!EN373=1),(1-($O375-Sheet1!$L373)/$O375)*CF375,0)</f>
        <v>0</v>
      </c>
      <c r="CM375" s="521">
        <f>IF(AND(Sheet1!$L373=0,Sheet1!$L372=0, Calculation!CE375&lt;Sheet1!EJ373-0.1,Sheet1!EJ373=Sheet1!EJ372,Sheet1!EJ373=Sheet1!EJ374),CF375-CL375,CF375-CL375)</f>
        <v>2.9937421777221527</v>
      </c>
      <c r="CN375" s="1040" t="str">
        <f t="shared" si="828"/>
        <v/>
      </c>
      <c r="CO375" s="1035">
        <f t="shared" si="829"/>
        <v>12.568888888888889</v>
      </c>
      <c r="CP375" s="535">
        <f t="shared" si="876"/>
        <v>0</v>
      </c>
      <c r="CQ375" s="535"/>
      <c r="CR375" s="535">
        <f ca="1">IF(B375&gt;(Summary!$A$1-1),#N/A,CP375*MGtoAF)</f>
        <v>0</v>
      </c>
      <c r="CS375" s="535">
        <f>Sheet1!BK373+Sheet1!BL373+Sheet1!BM373-Sheet1!ER373-DA375</f>
        <v>6.4700000000000006</v>
      </c>
      <c r="CT375" s="535">
        <f t="shared" si="877"/>
        <v>6.4780976220275353</v>
      </c>
      <c r="CU375" s="535">
        <f>IF(Sheet1!ER373="FM",DA375,0)</f>
        <v>0</v>
      </c>
      <c r="CV375" s="535">
        <f t="shared" si="878"/>
        <v>0</v>
      </c>
      <c r="CW375" s="535">
        <f>IF(Sheet1!ER373="OTHER",DA375,0)</f>
        <v>0</v>
      </c>
      <c r="CX375" s="535">
        <f t="shared" si="879"/>
        <v>0</v>
      </c>
      <c r="CY375" s="535">
        <f t="shared" si="880"/>
        <v>6.4700000000000006</v>
      </c>
      <c r="CZ375" s="535">
        <f t="shared" si="881"/>
        <v>6.4780976220275353</v>
      </c>
      <c r="DA375" s="535">
        <f>IF(OR(Sheet1!ER373="FM", Sheet1!ER373="OTHER"),SUM(Sheet1!BK373:'Sheet1'!BM373),0)</f>
        <v>0</v>
      </c>
      <c r="DB375" s="1011">
        <f>IF(AND($B375&gt;=$FV375,$B375&lt;=$FW375),MAX($CT375,Sheet1!EK373,0),MAX($CT375-(7/36)*$K375,0))</f>
        <v>0</v>
      </c>
      <c r="DC375" s="1012">
        <f t="shared" si="882"/>
        <v>0</v>
      </c>
      <c r="DD375" s="1011">
        <f t="shared" si="883"/>
        <v>6.4780976220275353</v>
      </c>
      <c r="DE375" s="521">
        <f>IF(AND($O375&gt;0,Sheet1!EO373=1),(1-($O375-Sheet1!$L373)/$O375)*CZ375,0)</f>
        <v>0</v>
      </c>
      <c r="DF375" s="521">
        <f>IF(AND(Sheet1!$L373=0,Sheet1!$L372=0, Calculation!CY375&lt;Sheet1!$EK373-0.1,Sheet1!$EK373=Sheet1!$EK372,Sheet1!$EK373=Sheet1!$EK374),CZ375-DE375,CZ375-DE375)</f>
        <v>6.4780976220275353</v>
      </c>
      <c r="DG375" s="1040">
        <f t="shared" si="830"/>
        <v>12.568888888888889</v>
      </c>
      <c r="DH375" s="649">
        <f t="shared" si="884"/>
        <v>10.46</v>
      </c>
      <c r="DI375" s="535">
        <f t="shared" si="885"/>
        <v>0</v>
      </c>
      <c r="DJ375" s="649">
        <f t="shared" si="886"/>
        <v>10.473091364205256</v>
      </c>
      <c r="DK375" s="535">
        <f ca="1">IF(B375&gt;(Summary!$A$1-1),#N/A,DI375*MGtoAF)</f>
        <v>0</v>
      </c>
      <c r="DL375" s="649">
        <f t="shared" si="887"/>
        <v>10.46</v>
      </c>
      <c r="DM375" s="535">
        <f t="shared" si="888"/>
        <v>31.96</v>
      </c>
      <c r="DN375" s="535">
        <f>Sheet1!AB373-DM375</f>
        <v>3.9999999999999147E-2</v>
      </c>
      <c r="DO375" s="743">
        <f t="shared" si="889"/>
        <v>1.2515644555694352E-3</v>
      </c>
      <c r="DP375" s="535">
        <f>(VLOOKUP(Sheet1!DC373,hhdcap_wcm,4)-(((VLOOKUP(Sheet1!DC373,hhdcap_wcm,3)-Sheet1!DC373)/(VLOOKUP(Sheet1!DC373,hhdcap_wcm,3)-VLOOKUP(Sheet1!DC373,hhdcap_wcm,1)))*(VLOOKUP(Sheet1!DC373,hhdcap_wcm,4)-VLOOKUP(Sheet1!DC373,hhdcap_wcm,2))))</f>
        <v>7168.0000000150749</v>
      </c>
      <c r="DQ375" s="535">
        <f t="shared" si="890"/>
        <v>2166.0000000042746</v>
      </c>
      <c r="DR375" s="535">
        <f t="shared" si="891"/>
        <v>1092.2844175513235</v>
      </c>
      <c r="DS375" s="535">
        <f>Sheet1!EA373*AFtoMG</f>
        <v>0</v>
      </c>
      <c r="DT375" s="535">
        <f>Sheet1!EB373*AFtoMG</f>
        <v>0</v>
      </c>
      <c r="DU375" s="535">
        <f>Sheet1!EC373*AFtoMG</f>
        <v>0</v>
      </c>
      <c r="DV375" s="535">
        <f>Sheet1!ED373*AFtoMG</f>
        <v>0</v>
      </c>
      <c r="DW375" s="535">
        <f t="shared" si="892"/>
        <v>0</v>
      </c>
      <c r="DX375" s="535">
        <f t="shared" si="893"/>
        <v>0</v>
      </c>
      <c r="DY375" s="535">
        <f t="shared" si="894"/>
        <v>0</v>
      </c>
      <c r="DZ375" s="535">
        <f t="shared" si="895"/>
        <v>0</v>
      </c>
      <c r="EA375" s="535"/>
      <c r="EB375" s="521">
        <f>IF(OR(B375&lt;FV375,B375&gt;FW375),(MIN(BF375+BY375+CT375+MAX(Sheet1!AA373+AQ375-73,0),K375)),0)</f>
        <v>10.473091364205256</v>
      </c>
      <c r="EC375" s="535"/>
      <c r="ED375" s="535">
        <f t="shared" si="896"/>
        <v>10.473091364205256</v>
      </c>
      <c r="EE375" s="535"/>
      <c r="EF375" s="535">
        <f>Sheet1!EH373+Sheet1!EI373+Sheet1!EJ373+Sheet1!EK373</f>
        <v>10.5</v>
      </c>
      <c r="EG375" s="1019">
        <f t="shared" si="831"/>
        <v>16.243500000000001</v>
      </c>
      <c r="EH375" s="521">
        <f t="shared" si="897"/>
        <v>0</v>
      </c>
      <c r="EI375" s="535">
        <f>IF(Sheet1!ET373=1,SUM('Calculations II'!AT375:BA375)+'Calculations II'!BC375+Sheet1!BV373+'Calculations II'!BE375+AP375,'Calculations II'!BK375)</f>
        <v>46.53932263579474</v>
      </c>
      <c r="EJ375" s="535">
        <f ca="1">EI375+'Calculations II'!D375+'Calculations II'!E375+'Calculations II'!O375</f>
        <v>45.885799933907421</v>
      </c>
      <c r="EK375" s="535"/>
      <c r="EL375" s="535"/>
      <c r="EM375" s="535">
        <f t="shared" si="898"/>
        <v>43099</v>
      </c>
      <c r="EN375" s="535">
        <f t="shared" si="899"/>
        <v>0</v>
      </c>
      <c r="EO375" s="535">
        <f t="shared" si="900"/>
        <v>0</v>
      </c>
      <c r="EP375" s="535">
        <v>0</v>
      </c>
      <c r="EQ375" s="535">
        <v>0</v>
      </c>
      <c r="ER375" s="535">
        <v>0</v>
      </c>
      <c r="ES375" s="521">
        <f t="shared" si="797"/>
        <v>0.27711696228535099</v>
      </c>
      <c r="ET375" s="535">
        <f>-(VLOOKUP(Sheet1!BQ373,Lookup!$O$4:$Q$262,2)-VLOOKUP(Sheet1!BQ372,Lookup!$O$4:$Q$262,2))/1000000</f>
        <v>0.1385296363076344</v>
      </c>
      <c r="EU375" s="535">
        <f>-(VLOOKUP(Sheet1!BR373,Lookup!$O$4:$Q$262,3)-VLOOKUP(Sheet1!BR372,Lookup!$O$4:$Q$262,3))/1000000</f>
        <v>0.13858732597771659</v>
      </c>
      <c r="EV375" s="535"/>
      <c r="EW375" s="535"/>
      <c r="EX375" s="535"/>
      <c r="EY375" s="535"/>
      <c r="EZ375" s="535"/>
      <c r="FA375" s="535"/>
      <c r="FB375" s="535"/>
      <c r="FC375" s="535"/>
      <c r="FD375" s="567" t="e">
        <f t="shared" si="847"/>
        <v>#N/A</v>
      </c>
      <c r="FE375" s="567" t="e">
        <f t="shared" si="901"/>
        <v>#N/A</v>
      </c>
      <c r="FF375" s="568" t="e">
        <f t="shared" si="902"/>
        <v>#N/A</v>
      </c>
      <c r="FG375" s="569" t="s">
        <v>656</v>
      </c>
      <c r="FH375" s="569" t="s">
        <v>656</v>
      </c>
      <c r="FI375" s="567" t="e">
        <v>#N/A</v>
      </c>
      <c r="FJ375" s="567" t="e">
        <v>#N/A</v>
      </c>
      <c r="FK375" s="535"/>
      <c r="FL375" s="1015" t="e">
        <f t="shared" si="846"/>
        <v>#N/A</v>
      </c>
      <c r="FM375" s="535"/>
      <c r="FN375" s="535"/>
      <c r="FO375" s="535">
        <f>O375+((Sheet1!CS373)*GPMtoMGD)</f>
        <v>57.2</v>
      </c>
      <c r="FP375" s="535">
        <f>IF(Sheet1!AA373+AQ375&lt;=Calculation!N375,AQ375,Calculation!N375-Sheet1!AA373)</f>
        <v>21.526908635794744</v>
      </c>
      <c r="FQ375" s="535">
        <f>(Sheet1!BP373+Sheet1!BO373)/694.4</f>
        <v>1.7154377880184333</v>
      </c>
      <c r="FR375" s="541"/>
      <c r="FS375" s="541"/>
      <c r="FT375" s="541"/>
      <c r="FU375" s="541"/>
      <c r="FV375" s="1109">
        <f t="shared" si="798"/>
        <v>42918</v>
      </c>
      <c r="FW375" s="1109">
        <f t="shared" si="799"/>
        <v>43027</v>
      </c>
      <c r="FX375" s="541"/>
      <c r="FY375" s="541">
        <f>Sheet1!DA373-Sheet1!CZ373-Sheet1!AE373</f>
        <v>1264.4654099999993</v>
      </c>
      <c r="FZ375" s="535">
        <f t="shared" si="832"/>
        <v>0.24978158193087727</v>
      </c>
      <c r="GA375" s="535"/>
      <c r="GB375" s="535" t="str">
        <f t="shared" si="800"/>
        <v>n</v>
      </c>
      <c r="GC375" s="539">
        <f t="shared" si="801"/>
        <v>42782</v>
      </c>
      <c r="GD375" s="1109">
        <f t="shared" si="802"/>
        <v>42904</v>
      </c>
      <c r="GE375" s="535">
        <f t="shared" si="818"/>
        <v>6520</v>
      </c>
      <c r="GF375" s="1109">
        <f t="shared" si="803"/>
        <v>42909</v>
      </c>
      <c r="GG375" s="535">
        <f t="shared" si="845"/>
        <v>3260</v>
      </c>
      <c r="GH375" s="539">
        <f t="shared" si="804"/>
        <v>43040</v>
      </c>
      <c r="GJ375" s="521">
        <f t="shared" si="805"/>
        <v>0</v>
      </c>
      <c r="GK375" s="535" t="str">
        <f t="shared" si="903"/>
        <v/>
      </c>
      <c r="GL375" s="535">
        <f t="shared" si="806"/>
        <v>0</v>
      </c>
      <c r="GM375" s="535" t="str">
        <f t="shared" si="807"/>
        <v/>
      </c>
      <c r="GN375" s="535">
        <f>IF(GK375="P",Lookup!$M$12,IF(GK375="PP",Lookup!$M$13,IF(GK375="PPP",Lookup!$M$14,IF(GK375="T",Lookup!$M$15,IF(GK375="TP",Lookup!$M$16,IF(GK375="TPP",Lookup!$M$17,IF(GK375="TPPP",Lookup!$M$18,0)))))))*GJ375</f>
        <v>0</v>
      </c>
      <c r="GO375" s="535">
        <f t="shared" si="808"/>
        <v>0</v>
      </c>
      <c r="GP375" s="535">
        <f t="shared" si="904"/>
        <v>0</v>
      </c>
      <c r="GQ375" s="974">
        <f t="shared" si="848"/>
        <v>0</v>
      </c>
      <c r="GR375" s="535"/>
      <c r="GS375" s="535">
        <f t="shared" si="809"/>
        <v>0</v>
      </c>
      <c r="GT375" s="535" t="str">
        <f t="shared" si="810"/>
        <v/>
      </c>
      <c r="GU375" s="535">
        <f>IF(GK375="P",Lookup!$N$12,IF(GK375="PP",Lookup!$N$13,IF(GK375="PPP",Lookup!$N$14,IF(GK375="T",Lookup!$N$15,IF(GK375="TP",Lookup!$N$16,IF(GK375="TPP",Lookup!$N$17,IF(GK375="TPPP",Lookup!$N$18,0)))))))*GJ375</f>
        <v>0</v>
      </c>
      <c r="GV375" s="535">
        <f t="shared" si="811"/>
        <v>0</v>
      </c>
      <c r="GW375" s="535">
        <f t="shared" si="905"/>
        <v>0</v>
      </c>
      <c r="GX375" s="974">
        <f t="shared" si="849"/>
        <v>0</v>
      </c>
      <c r="GY375" s="535"/>
      <c r="GZ375" s="535">
        <f t="shared" si="812"/>
        <v>0</v>
      </c>
      <c r="HA375" s="535" t="str">
        <f t="shared" si="813"/>
        <v/>
      </c>
      <c r="HB375" s="535">
        <f>IF(GK375="P",Lookup!$N$12,IF(GK375="PP",Lookup!$N$13,IF(GK375="PPP",Lookup!$N$14,IF(GK375="T",Lookup!$N$15,IF(GK375="TP",Lookup!$N$16,IF(GK375="TPP",Lookup!$N$17,IF(GK375="TPPP",Lookup!$N$18,0)))))))*GJ375</f>
        <v>0</v>
      </c>
      <c r="HC375" s="521">
        <f t="shared" si="906"/>
        <v>0</v>
      </c>
      <c r="HD375" s="535">
        <f t="shared" si="907"/>
        <v>0</v>
      </c>
      <c r="HE375" s="535">
        <f t="shared" si="816"/>
        <v>0</v>
      </c>
      <c r="HF375" s="535"/>
      <c r="HG375" s="535">
        <f t="shared" si="814"/>
        <v>0</v>
      </c>
      <c r="HH375" s="535" t="str">
        <f t="shared" si="815"/>
        <v/>
      </c>
      <c r="HI375" s="535">
        <f>IF(GK375="P",Lookup!$N$12,IF(GK375="PP",Lookup!$N$13,IF(GK375="PPP",Lookup!$N$14,IF(GK375="T",Lookup!$N$15,IF(GK375="TP",Lookup!$N$16,IF(GK375="TPP",Lookup!$N$17,IF(GK375="TPPP",Lookup!$N$18,0)))))))*GJ375</f>
        <v>0</v>
      </c>
      <c r="HJ375" s="521">
        <f t="shared" si="908"/>
        <v>0</v>
      </c>
      <c r="HK375" s="535">
        <f t="shared" si="909"/>
        <v>0</v>
      </c>
      <c r="HL375" s="535">
        <f t="shared" si="817"/>
        <v>0</v>
      </c>
      <c r="HM375" s="535"/>
      <c r="HN375" s="541"/>
      <c r="HO375" s="541"/>
      <c r="HP375" s="541"/>
      <c r="HQ375" s="541">
        <f>IF(AND(B375&gt;=$FV$4,B375&lt;=$FW$4),MAX(110/1.02+$HQ$6+MIN(113/1.02,G375),IF($HV$6-(Sheet1!DA373-Sheet1!DB373)+MIN(113/1.02,G375)&lt;G375+FL375,$HV$6-(Sheet1!DA373-Sheet1!DB373)+MIN(113/1.02,G375),G375+FL375)),MIN(110/1.02+$HQ$6+113/1.02,G375))</f>
        <v>218.62745098039215</v>
      </c>
      <c r="HR375" s="541">
        <f t="shared" si="833"/>
        <v>223</v>
      </c>
      <c r="HS375" s="541">
        <f>HR375+(Sheet1!DA373-Sheet1!DB373)</f>
        <v>1353</v>
      </c>
      <c r="HT375" s="541">
        <f t="shared" si="834"/>
        <v>0</v>
      </c>
      <c r="HU375" s="541">
        <f t="shared" si="835"/>
        <v>1353</v>
      </c>
      <c r="HV375" s="541">
        <f t="shared" si="836"/>
        <v>0</v>
      </c>
      <c r="HW375" s="533" t="str">
        <f t="shared" si="837"/>
        <v/>
      </c>
      <c r="HX375" s="541">
        <f t="shared" si="838"/>
        <v>3751.372549019608</v>
      </c>
      <c r="HY375" s="541">
        <f>Sheet1!CZ373</f>
        <v>3970</v>
      </c>
      <c r="HZ375" s="541">
        <f t="shared" si="839"/>
        <v>0</v>
      </c>
      <c r="IA375" s="541">
        <f t="shared" si="840"/>
        <v>0</v>
      </c>
      <c r="IB375" s="541">
        <f t="shared" si="841"/>
        <v>3970</v>
      </c>
      <c r="IC375" s="1019" t="str">
        <f t="shared" si="842"/>
        <v/>
      </c>
      <c r="ID375" s="541">
        <f t="shared" si="843"/>
        <v>3970</v>
      </c>
      <c r="IE375" s="541">
        <f>Sheet1!DB373</f>
        <v>4140</v>
      </c>
      <c r="IF375" s="533">
        <f>Sheet1!DA373</f>
        <v>5270</v>
      </c>
      <c r="IH375" s="541">
        <f>IF(AND($B375&gt;=$GC375,$B375&lt;=$GH375,$DR375&lt;0)+N("only adjusted when pool is drawn down during storage season"),Sheet1!$DB373+$DR375+N("Palmer minus all storage release"),Sheet1!$DB373)</f>
        <v>4140</v>
      </c>
      <c r="II375" s="541">
        <f>IF(AND($B375&gt;=$GC375,$B375&lt;=$GH375,$DR375&lt;0)+N("only adjusted when pool is drawn down during storage season"),Sheet1!$DA373+$DR375+N("Auburn minus all storage release"),Sheet1!$DA373)</f>
        <v>5270</v>
      </c>
    </row>
    <row r="376" spans="1:243" x14ac:dyDescent="0.25">
      <c r="A376" s="553" t="s">
        <v>3</v>
      </c>
      <c r="B376" s="531">
        <v>43100</v>
      </c>
      <c r="C376" s="536">
        <v>0</v>
      </c>
      <c r="D376" s="506">
        <f t="shared" si="787"/>
        <v>300</v>
      </c>
      <c r="E376" s="506">
        <f t="shared" si="788"/>
        <v>250</v>
      </c>
      <c r="F376" s="506">
        <v>250</v>
      </c>
      <c r="G376" s="535">
        <f>DR376+Sheet1!CZ374</f>
        <v>2761.9213313155019</v>
      </c>
      <c r="H376" s="1074">
        <f t="shared" si="844"/>
        <v>2060.9389036799998</v>
      </c>
      <c r="I376" s="534">
        <f>IF(Sheet1!DA374&gt;=E376,(Sheet1!DA374-E376+P376)*CFStoMGD,0)</f>
        <v>2687.9469036800001</v>
      </c>
      <c r="J376" s="995">
        <f>IF(Sheet1!DB374&gt;=D376,(Sheet1!DB374-D376+P376)*CFStoMGD,0)</f>
        <v>2060.9389036799998</v>
      </c>
      <c r="K376" s="818">
        <f t="shared" si="819"/>
        <v>64.64</v>
      </c>
      <c r="L376" s="535">
        <f>Sheet1!AA374+Sheet1!AB374-Sheet1!L374+(Sheet1!DA374-F376)*CFStoMGD-S376-T376-U376</f>
        <v>2602.9280000000017</v>
      </c>
      <c r="M376" s="535">
        <f t="shared" si="850"/>
        <v>1821.0120675335872</v>
      </c>
      <c r="N376" s="824">
        <f>IF(Sheet1!DA374&gt;=F376,MIN(113*CFStoMGD,MIN(MAX(L376,0),MAX(M376,0))),0)</f>
        <v>73.043199999999999</v>
      </c>
      <c r="O376" s="538">
        <f>Sheet1!AA374+Sheet1!AB374</f>
        <v>57.099999999999994</v>
      </c>
      <c r="P376" s="538">
        <f t="shared" si="851"/>
        <v>88.333699999999993</v>
      </c>
      <c r="Q376" s="812">
        <f t="shared" si="820"/>
        <v>0</v>
      </c>
      <c r="R376" s="812">
        <f t="shared" si="789"/>
        <v>10.533489827856027</v>
      </c>
      <c r="S376" s="812">
        <f t="shared" si="790"/>
        <v>57.099999999999994</v>
      </c>
      <c r="T376" s="812">
        <f t="shared" si="791"/>
        <v>0</v>
      </c>
      <c r="U376" s="812">
        <f>IF(AND(B376&gt;=FV376,B376&lt;=FW376),ED376+Sheet1!EH374,0)</f>
        <v>0</v>
      </c>
      <c r="V376" s="812"/>
      <c r="W376" s="812">
        <f t="shared" si="792"/>
        <v>54.10651017214397</v>
      </c>
      <c r="X376" s="812">
        <f t="shared" si="793"/>
        <v>57.099999999999994</v>
      </c>
      <c r="Y376" s="812" t="str">
        <f t="shared" si="794"/>
        <v/>
      </c>
      <c r="Z376" s="812">
        <f t="shared" si="795"/>
        <v>57.099999999999994</v>
      </c>
      <c r="AA376" s="812">
        <f t="shared" si="796"/>
        <v>57.099999999999994</v>
      </c>
      <c r="AB376" s="1059">
        <f t="shared" si="821"/>
        <v>0</v>
      </c>
      <c r="AC376" s="538">
        <f>Sheet1!Y374*MGDtoCFS</f>
        <v>38.984399999999994</v>
      </c>
      <c r="AD376" s="538">
        <f>Sheet1!Z374*MGDtoCFS</f>
        <v>49.503999999999998</v>
      </c>
      <c r="AE376" s="538">
        <f>Sheet1!AA374*MGDtoCFS</f>
        <v>38.984399999999994</v>
      </c>
      <c r="AF376" s="538">
        <f>Sheet1!AB374*MGDtoCFS</f>
        <v>49.349299999999992</v>
      </c>
      <c r="AG376" s="538">
        <f>Sheet1!L374*MGDtoCFS</f>
        <v>43.192239999997298</v>
      </c>
      <c r="AH376" s="521">
        <f t="shared" si="852"/>
        <v>0</v>
      </c>
      <c r="AI376" s="1059">
        <f t="shared" si="853"/>
        <v>0</v>
      </c>
      <c r="AJ376" s="535">
        <f t="shared" si="854"/>
        <v>0</v>
      </c>
      <c r="AK376" s="535">
        <f t="shared" si="855"/>
        <v>0</v>
      </c>
      <c r="AL376" s="535">
        <f>(VLOOKUP(Sheet1!DC374,hhdcap_wcm,4)-(((VLOOKUP(Sheet1!DC374,hhdcap_wcm,3)-Sheet1!DC374)/(VLOOKUP(Sheet1!DC374,hhdcap_wcm,3)-VLOOKUP(Sheet1!DC374,hhdcap_wcm,1)))*(VLOOKUP(Sheet1!DC374,hhdcap_wcm,4)-VLOOKUP(Sheet1!DC374,hhdcap_wcm,2))))</f>
        <v>6239.8000000137154</v>
      </c>
      <c r="AM376" s="535">
        <f t="shared" si="856"/>
        <v>-928.20000000135951</v>
      </c>
      <c r="AN376" s="1035">
        <f t="shared" si="857"/>
        <v>0</v>
      </c>
      <c r="AO376" s="535">
        <f t="shared" si="858"/>
        <v>0</v>
      </c>
      <c r="AP376" s="535">
        <f>Sheet1!BA374+Sheet1!BB374+Sheet1!BN374+CD376</f>
        <v>21.4</v>
      </c>
      <c r="AQ376" s="535">
        <f>Sheet1!BN374+(DO376*Sheet1!BN374)</f>
        <v>21.366510172143975</v>
      </c>
      <c r="AR376" s="535">
        <f>Sheet1!BA374+CD376</f>
        <v>0</v>
      </c>
      <c r="AS376" s="535">
        <f>Sheet1!BA374+Sheet1!BB374+CD376</f>
        <v>0</v>
      </c>
      <c r="AT376" s="649">
        <f>0</f>
        <v>0</v>
      </c>
      <c r="AU376" s="974">
        <f>BA376+MAX(Sheet1!EH374,(O376-Q376-ED376-S376))</f>
        <v>0</v>
      </c>
      <c r="AV376" s="535">
        <f>IF(OR(B376&gt;=GD376,B376&lt;GC376),0,15/36*K376-MAX(0,64.6-(137.6-(Sheet1!AA374+Sheet1!AB374))))</f>
        <v>0</v>
      </c>
      <c r="AW376" s="1029"/>
      <c r="AX376" s="649"/>
      <c r="AY376" s="649">
        <f t="shared" si="822"/>
        <v>23.311716569431731</v>
      </c>
      <c r="AZ376" s="649">
        <f t="shared" si="823"/>
        <v>0</v>
      </c>
      <c r="BA376" s="1059">
        <f t="shared" si="824"/>
        <v>0</v>
      </c>
      <c r="BB376" s="1019">
        <f t="shared" si="859"/>
        <v>0</v>
      </c>
      <c r="BC376" s="1035">
        <f t="shared" si="825"/>
        <v>26.933333333333334</v>
      </c>
      <c r="BD376" s="535">
        <f ca="1">IF(B376&gt;(Summary!$A$1-1),#N/A,BB376*MGtoAF)</f>
        <v>0</v>
      </c>
      <c r="BE376" s="535">
        <f>Sheet1!BG374+Sheet1!BH374+Sheet1!BI374-BM376</f>
        <v>1.01</v>
      </c>
      <c r="BF376" s="535">
        <f t="shared" si="860"/>
        <v>1.008419405320814</v>
      </c>
      <c r="BG376" s="535">
        <f>IF(Sheet1!EP374="FM",BM376,0)</f>
        <v>0</v>
      </c>
      <c r="BH376" s="535">
        <f t="shared" si="861"/>
        <v>0</v>
      </c>
      <c r="BI376" s="535">
        <f>IF(Sheet1!EP374="OTHER",BM376,0)</f>
        <v>0</v>
      </c>
      <c r="BJ376" s="535">
        <f t="shared" si="862"/>
        <v>0</v>
      </c>
      <c r="BK376" s="535">
        <f t="shared" si="863"/>
        <v>1.01</v>
      </c>
      <c r="BL376" s="535">
        <f t="shared" si="864"/>
        <v>1.008419405320814</v>
      </c>
      <c r="BM376" s="535">
        <f>IF(OR(Sheet1!EP374="FM", Sheet1!EP374="OTHER"),SUM(Sheet1!BG374:'Sheet1'!BI374),0)</f>
        <v>0</v>
      </c>
      <c r="BN376" s="521">
        <f>IF(AND($B376&gt;=$FV376,$B376&lt;=$FW376),MAX(BF376,Sheet1!EI374,0),MAX(BF376-(7/36)*$K376,0))</f>
        <v>0</v>
      </c>
      <c r="BO376" s="535">
        <f t="shared" si="865"/>
        <v>0</v>
      </c>
      <c r="BP376" s="521">
        <f t="shared" si="866"/>
        <v>1.008419405320814</v>
      </c>
      <c r="BQ376" s="521">
        <f>IF(AND($O376&gt;0,Sheet1!EM374=1),(1-($O376-Sheet1!$L374)/$O376)*BL376,0)</f>
        <v>0</v>
      </c>
      <c r="BR376" s="521">
        <f>IF(AND(Sheet1!$L374=0,Sheet1!$L373=0, Calculation!BK376&lt;Sheet1!$EI374-0.1,Sheet1!$EI374=Sheet1!$EI373,Sheet1!$EI374=Sheet1!$EI375),BL376-BQ376,BL376-BQ376)</f>
        <v>1.008419405320814</v>
      </c>
      <c r="BS376" s="1035" t="str">
        <f t="shared" si="826"/>
        <v/>
      </c>
      <c r="BT376" s="1035">
        <f t="shared" si="827"/>
        <v>12.568888888888889</v>
      </c>
      <c r="BU376" s="535">
        <f t="shared" si="867"/>
        <v>0</v>
      </c>
      <c r="BV376" s="535"/>
      <c r="BW376" s="535">
        <f ca="1">IF(B376&gt;(Summary!$A$1-1),#N/A,BU376*MGtoAF)</f>
        <v>0</v>
      </c>
      <c r="BX376" s="535">
        <f>Sheet1!BC374+Sheet1!BD374+Sheet1!BE374+Sheet1!BF374-CG376-CH376</f>
        <v>3</v>
      </c>
      <c r="BY376" s="535">
        <f t="shared" si="868"/>
        <v>2.995305164319249</v>
      </c>
      <c r="BZ376" s="535">
        <f>IF(Sheet1!EQ374="FM",CH376,0)</f>
        <v>0</v>
      </c>
      <c r="CA376" s="535">
        <f t="shared" si="869"/>
        <v>0</v>
      </c>
      <c r="CB376" s="535">
        <f>IF(Sheet1!EQ374="OTHER",CH376,0)</f>
        <v>0</v>
      </c>
      <c r="CC376" s="535">
        <f t="shared" si="870"/>
        <v>0</v>
      </c>
      <c r="CD376" s="535">
        <f t="shared" si="871"/>
        <v>0</v>
      </c>
      <c r="CE376" s="535">
        <f t="shared" si="872"/>
        <v>3</v>
      </c>
      <c r="CF376" s="535">
        <f t="shared" si="873"/>
        <v>2.995305164319249</v>
      </c>
      <c r="CG376" s="535">
        <f>IF(Sheet1!EQ374="CWA",SUM(Sheet1!BC374:'Sheet1'!BF374),0)</f>
        <v>0</v>
      </c>
      <c r="CH376" s="535">
        <f>IF(OR(Sheet1!EQ374="FM", Sheet1!EQ374="OTHER"),SUM(Sheet1!BC374:'Sheet1'!BF374),0)</f>
        <v>0</v>
      </c>
      <c r="CI376" s="521">
        <f>IF(AND($B376&gt;=$FV376,$B376&lt;=$FW376),MAX(CF376,Sheet1!EJ374,0),MAX(CF376-(7/36)*$K376,0))</f>
        <v>0</v>
      </c>
      <c r="CJ376" s="535">
        <f t="shared" si="874"/>
        <v>0</v>
      </c>
      <c r="CK376" s="521">
        <f t="shared" si="875"/>
        <v>2.995305164319249</v>
      </c>
      <c r="CL376" s="521">
        <f>IF(AND($O376&gt;0,Sheet1!EN374=1),(1-($O376-Sheet1!$L374)/$O376)*CF376,0)</f>
        <v>0</v>
      </c>
      <c r="CM376" s="521">
        <f>IF(AND(Sheet1!$L374=0,Sheet1!$L373=0, Calculation!CE376&lt;Sheet1!EJ374-0.1,Sheet1!EJ374=Sheet1!EJ373,Sheet1!EJ374=Sheet1!EJ375),CF376-CL376,CF376-CL376)</f>
        <v>2.995305164319249</v>
      </c>
      <c r="CN376" s="1040" t="str">
        <f t="shared" si="828"/>
        <v/>
      </c>
      <c r="CO376" s="1035">
        <f t="shared" si="829"/>
        <v>12.568888888888889</v>
      </c>
      <c r="CP376" s="535">
        <f t="shared" si="876"/>
        <v>0</v>
      </c>
      <c r="CQ376" s="535"/>
      <c r="CR376" s="535">
        <f ca="1">IF(B376&gt;(Summary!$A$1-1),#N/A,CP376*MGtoAF)</f>
        <v>0</v>
      </c>
      <c r="CS376" s="535">
        <f>Sheet1!BK374+Sheet1!BL374+Sheet1!BM374-Sheet1!ER374-DA376</f>
        <v>6.54</v>
      </c>
      <c r="CT376" s="535">
        <f t="shared" si="877"/>
        <v>6.5297652582159627</v>
      </c>
      <c r="CU376" s="535">
        <f>IF(Sheet1!ER374="FM",DA376,0)</f>
        <v>0</v>
      </c>
      <c r="CV376" s="535">
        <f t="shared" si="878"/>
        <v>0</v>
      </c>
      <c r="CW376" s="535">
        <f>IF(Sheet1!ER374="OTHER",DA376,0)</f>
        <v>0</v>
      </c>
      <c r="CX376" s="535">
        <f t="shared" si="879"/>
        <v>0</v>
      </c>
      <c r="CY376" s="535">
        <f t="shared" si="880"/>
        <v>6.54</v>
      </c>
      <c r="CZ376" s="535">
        <f t="shared" si="881"/>
        <v>6.5297652582159627</v>
      </c>
      <c r="DA376" s="535">
        <f>IF(OR(Sheet1!ER374="FM", Sheet1!ER374="OTHER"),SUM(Sheet1!BK374:'Sheet1'!BM374),0)</f>
        <v>0</v>
      </c>
      <c r="DB376" s="1011">
        <f>IF(AND($B376&gt;=$FV376,$B376&lt;=$FW376),MAX($CT376,Sheet1!EK374,0),MAX($CT376-(7/36)*$K376,0))</f>
        <v>0</v>
      </c>
      <c r="DC376" s="1012">
        <f t="shared" si="882"/>
        <v>0</v>
      </c>
      <c r="DD376" s="1011">
        <f t="shared" si="883"/>
        <v>6.5297652582159627</v>
      </c>
      <c r="DE376" s="521">
        <f>IF(AND($O376&gt;0,Sheet1!EO374=1),(1-($O376-Sheet1!$L374)/$O376)*CZ376,0)</f>
        <v>0</v>
      </c>
      <c r="DF376" s="521">
        <f>IF(AND(Sheet1!$L374=0,Sheet1!$L373=0, Calculation!CY376&lt;Sheet1!$EK374-0.1,Sheet1!$EK374=Sheet1!$EK373,Sheet1!$EK374=Sheet1!$EK375),CZ376-DE376,CZ376-DE376)</f>
        <v>6.5297652582159627</v>
      </c>
      <c r="DG376" s="1040">
        <f t="shared" si="830"/>
        <v>12.568888888888889</v>
      </c>
      <c r="DH376" s="649">
        <f t="shared" si="884"/>
        <v>10.55</v>
      </c>
      <c r="DI376" s="535">
        <f t="shared" si="885"/>
        <v>0</v>
      </c>
      <c r="DJ376" s="649">
        <f t="shared" si="886"/>
        <v>10.533489827856027</v>
      </c>
      <c r="DK376" s="535">
        <f ca="1">IF(B376&gt;(Summary!$A$1-1),#N/A,DI376*MGtoAF)</f>
        <v>0</v>
      </c>
      <c r="DL376" s="649">
        <f t="shared" si="887"/>
        <v>10.549999999999999</v>
      </c>
      <c r="DM376" s="535">
        <f t="shared" si="888"/>
        <v>31.949999999999996</v>
      </c>
      <c r="DN376" s="535">
        <f>Sheet1!AB374-DM376</f>
        <v>-4.9999999999997158E-2</v>
      </c>
      <c r="DO376" s="743">
        <f t="shared" si="889"/>
        <v>-1.5649452269169693E-3</v>
      </c>
      <c r="DP376" s="535">
        <f>(VLOOKUP(Sheet1!DC374,hhdcap_wcm,4)-(((VLOOKUP(Sheet1!DC374,hhdcap_wcm,3)-Sheet1!DC374)/(VLOOKUP(Sheet1!DC374,hhdcap_wcm,3)-VLOOKUP(Sheet1!DC374,hhdcap_wcm,1)))*(VLOOKUP(Sheet1!DC374,hhdcap_wcm,4)-VLOOKUP(Sheet1!DC374,hhdcap_wcm,2))))</f>
        <v>6239.8000000137154</v>
      </c>
      <c r="DQ376" s="535">
        <f t="shared" si="890"/>
        <v>-928.20000000135951</v>
      </c>
      <c r="DR376" s="535">
        <f t="shared" si="891"/>
        <v>-468.07866868449793</v>
      </c>
      <c r="DS376" s="535">
        <f>Sheet1!EA374*AFtoMG</f>
        <v>0</v>
      </c>
      <c r="DT376" s="535">
        <f>Sheet1!EB374*AFtoMG</f>
        <v>0</v>
      </c>
      <c r="DU376" s="535">
        <f>Sheet1!EC374*AFtoMG</f>
        <v>0</v>
      </c>
      <c r="DV376" s="535">
        <f>Sheet1!ED374*AFtoMG</f>
        <v>0</v>
      </c>
      <c r="DW376" s="535">
        <f t="shared" si="892"/>
        <v>0</v>
      </c>
      <c r="DX376" s="535">
        <f t="shared" si="893"/>
        <v>0</v>
      </c>
      <c r="DY376" s="535">
        <f t="shared" si="894"/>
        <v>0</v>
      </c>
      <c r="DZ376" s="535">
        <f t="shared" si="895"/>
        <v>0</v>
      </c>
      <c r="EA376" s="535"/>
      <c r="EB376" s="521">
        <f>IF(OR(B376&lt;FV376,B376&gt;FW376),(MIN(BF376+BY376+CT376+MAX(Sheet1!AA374+AQ376-73,0),K376)),0)</f>
        <v>10.533489827856027</v>
      </c>
      <c r="EC376" s="535"/>
      <c r="ED376" s="535">
        <f t="shared" si="896"/>
        <v>10.533489827856027</v>
      </c>
      <c r="EE376" s="535"/>
      <c r="EF376" s="535">
        <f>Sheet1!EH374+Sheet1!EI374+Sheet1!EJ374+Sheet1!EK374</f>
        <v>10.5</v>
      </c>
      <c r="EG376" s="1019">
        <f t="shared" si="831"/>
        <v>16.243500000000001</v>
      </c>
      <c r="EH376" s="521">
        <f t="shared" si="897"/>
        <v>0</v>
      </c>
      <c r="EI376" s="535">
        <f>IF(Sheet1!ET374=1,SUM('Calculations II'!AT376:BA376)+'Calculations II'!BC376+Sheet1!BV374+'Calculations II'!BE376+AP376,'Calculations II'!BK376)</f>
        <v>46.690144172143974</v>
      </c>
      <c r="EJ376" s="535">
        <f ca="1">EI376+'Calculations II'!D376+'Calculations II'!E376+'Calculations II'!O376</f>
        <v>44.789291079506484</v>
      </c>
      <c r="EK376" s="535"/>
      <c r="EL376" s="535"/>
      <c r="EM376" s="535">
        <f t="shared" si="898"/>
        <v>43100</v>
      </c>
      <c r="EN376" s="535">
        <f t="shared" si="899"/>
        <v>0</v>
      </c>
      <c r="EO376" s="535">
        <f t="shared" si="900"/>
        <v>0</v>
      </c>
      <c r="EP376" s="535">
        <v>0</v>
      </c>
      <c r="EQ376" s="535">
        <v>0</v>
      </c>
      <c r="ER376" s="535">
        <v>0</v>
      </c>
      <c r="ES376" s="521">
        <f t="shared" si="797"/>
        <v>0.96983565401151028</v>
      </c>
      <c r="ET376" s="535">
        <f>-(VLOOKUP(Sheet1!BQ374,Lookup!$O$4:$Q$262,2)-VLOOKUP(Sheet1!BQ373,Lookup!$O$4:$Q$262,2))/1000000</f>
        <v>0.41555045416807385</v>
      </c>
      <c r="EU376" s="535">
        <f>-(VLOOKUP(Sheet1!BR374,Lookup!$O$4:$Q$262,3)-VLOOKUP(Sheet1!BR373,Lookup!$O$4:$Q$262,3))/1000000</f>
        <v>0.55428519984343649</v>
      </c>
      <c r="EV376" s="535"/>
      <c r="EW376" s="535"/>
      <c r="EX376" s="535"/>
      <c r="EY376" s="535"/>
      <c r="EZ376" s="535"/>
      <c r="FA376" s="535"/>
      <c r="FB376" s="535"/>
      <c r="FC376" s="535"/>
      <c r="FD376" s="567" t="e">
        <f t="shared" si="847"/>
        <v>#N/A</v>
      </c>
      <c r="FE376" s="567" t="e">
        <f t="shared" si="901"/>
        <v>#N/A</v>
      </c>
      <c r="FF376" s="568" t="e">
        <f t="shared" si="902"/>
        <v>#N/A</v>
      </c>
      <c r="FG376" s="569" t="s">
        <v>656</v>
      </c>
      <c r="FH376" s="569" t="s">
        <v>656</v>
      </c>
      <c r="FI376" s="567" t="e">
        <v>#N/A</v>
      </c>
      <c r="FJ376" s="567" t="e">
        <v>#N/A</v>
      </c>
      <c r="FK376" s="535"/>
      <c r="FL376" s="1015" t="e">
        <f t="shared" si="846"/>
        <v>#N/A</v>
      </c>
      <c r="FM376" s="535"/>
      <c r="FN376" s="535"/>
      <c r="FO376" s="535">
        <f>O376+((Sheet1!CS374)*GPMtoMGD)</f>
        <v>57.099999999999994</v>
      </c>
      <c r="FP376" s="535">
        <f>IF(Sheet1!AA374+AQ376&lt;=Calculation!N376,AQ376,Calculation!N376-Sheet1!AA374)</f>
        <v>21.366510172143975</v>
      </c>
      <c r="FQ376" s="535">
        <f>(Sheet1!BP374+Sheet1!BO374)/694.4</f>
        <v>1.5493951612903225</v>
      </c>
      <c r="FR376" s="541"/>
      <c r="FS376" s="541"/>
      <c r="FT376" s="541"/>
      <c r="FU376" s="541"/>
      <c r="FV376" s="1109">
        <f t="shared" si="798"/>
        <v>42918</v>
      </c>
      <c r="FW376" s="1109">
        <f t="shared" si="799"/>
        <v>43027</v>
      </c>
      <c r="FX376" s="541"/>
      <c r="FY376" s="541">
        <f>Sheet1!DA374-Sheet1!CZ374-Sheet1!AE374</f>
        <v>1044.8585399999972</v>
      </c>
      <c r="FZ376" s="535">
        <f t="shared" si="832"/>
        <v>0.37830858111455751</v>
      </c>
      <c r="GA376" s="535"/>
      <c r="GB376" s="535" t="str">
        <f t="shared" si="800"/>
        <v>n</v>
      </c>
      <c r="GC376" s="539">
        <f t="shared" si="801"/>
        <v>42782</v>
      </c>
      <c r="GD376" s="1109">
        <f t="shared" si="802"/>
        <v>42904</v>
      </c>
      <c r="GE376" s="535">
        <f t="shared" si="818"/>
        <v>6520</v>
      </c>
      <c r="GF376" s="1109">
        <f t="shared" si="803"/>
        <v>42909</v>
      </c>
      <c r="GG376" s="535">
        <f t="shared" si="845"/>
        <v>3260</v>
      </c>
      <c r="GH376" s="539">
        <f t="shared" si="804"/>
        <v>43040</v>
      </c>
      <c r="GJ376" s="521">
        <f t="shared" si="805"/>
        <v>0</v>
      </c>
      <c r="GK376" s="535" t="str">
        <f t="shared" si="903"/>
        <v/>
      </c>
      <c r="GL376" s="535">
        <f t="shared" si="806"/>
        <v>0</v>
      </c>
      <c r="GM376" s="535" t="str">
        <f t="shared" si="807"/>
        <v/>
      </c>
      <c r="GN376" s="535">
        <f>IF(GK376="P",Lookup!$M$12,IF(GK376="PP",Lookup!$M$13,IF(GK376="PPP",Lookup!$M$14,IF(GK376="T",Lookup!$M$15,IF(GK376="TP",Lookup!$M$16,IF(GK376="TPP",Lookup!$M$17,IF(GK376="TPPP",Lookup!$M$18,0)))))))*GJ376</f>
        <v>0</v>
      </c>
      <c r="GO376" s="535">
        <f t="shared" si="808"/>
        <v>0</v>
      </c>
      <c r="GP376" s="535">
        <f t="shared" si="904"/>
        <v>0</v>
      </c>
      <c r="GQ376" s="974">
        <f t="shared" si="848"/>
        <v>0</v>
      </c>
      <c r="GR376" s="535"/>
      <c r="GS376" s="535">
        <f t="shared" si="809"/>
        <v>0</v>
      </c>
      <c r="GT376" s="535" t="str">
        <f t="shared" si="810"/>
        <v/>
      </c>
      <c r="GU376" s="535">
        <f>IF(GK376="P",Lookup!$N$12,IF(GK376="PP",Lookup!$N$13,IF(GK376="PPP",Lookup!$N$14,IF(GK376="T",Lookup!$N$15,IF(GK376="TP",Lookup!$N$16,IF(GK376="TPP",Lookup!$N$17,IF(GK376="TPPP",Lookup!$N$18,0)))))))*GJ376</f>
        <v>0</v>
      </c>
      <c r="GV376" s="535">
        <f t="shared" si="811"/>
        <v>0</v>
      </c>
      <c r="GW376" s="535">
        <f t="shared" si="905"/>
        <v>0</v>
      </c>
      <c r="GX376" s="974">
        <f t="shared" si="849"/>
        <v>0</v>
      </c>
      <c r="GY376" s="535"/>
      <c r="GZ376" s="535">
        <f t="shared" si="812"/>
        <v>0</v>
      </c>
      <c r="HA376" s="535" t="str">
        <f t="shared" si="813"/>
        <v/>
      </c>
      <c r="HB376" s="535">
        <f>IF(GK376="P",Lookup!$N$12,IF(GK376="PP",Lookup!$N$13,IF(GK376="PPP",Lookup!$N$14,IF(GK376="T",Lookup!$N$15,IF(GK376="TP",Lookup!$N$16,IF(GK376="TPP",Lookup!$N$17,IF(GK376="TPPP",Lookup!$N$18,0)))))))*GJ376</f>
        <v>0</v>
      </c>
      <c r="HC376" s="521">
        <f t="shared" si="906"/>
        <v>0</v>
      </c>
      <c r="HD376" s="535">
        <f t="shared" si="907"/>
        <v>0</v>
      </c>
      <c r="HE376" s="535">
        <f t="shared" si="816"/>
        <v>0</v>
      </c>
      <c r="HF376" s="535"/>
      <c r="HG376" s="535">
        <f t="shared" si="814"/>
        <v>0</v>
      </c>
      <c r="HH376" s="535" t="str">
        <f t="shared" si="815"/>
        <v/>
      </c>
      <c r="HI376" s="535">
        <f>IF(GK376="P",Lookup!$N$12,IF(GK376="PP",Lookup!$N$13,IF(GK376="PPP",Lookup!$N$14,IF(GK376="T",Lookup!$N$15,IF(GK376="TP",Lookup!$N$16,IF(GK376="TPP",Lookup!$N$17,IF(GK376="TPPP",Lookup!$N$18,0)))))))*GJ376</f>
        <v>0</v>
      </c>
      <c r="HJ376" s="521">
        <f t="shared" si="908"/>
        <v>0</v>
      </c>
      <c r="HK376" s="535">
        <f t="shared" si="909"/>
        <v>0</v>
      </c>
      <c r="HL376" s="535">
        <f t="shared" si="817"/>
        <v>0</v>
      </c>
      <c r="HM376" s="535"/>
      <c r="HN376" s="541"/>
      <c r="HO376" s="541"/>
      <c r="HP376" s="541"/>
      <c r="HQ376" s="541">
        <f>IF(AND(B376&gt;=$FV$4,B376&lt;=$FW$4),MAX(110/1.02+$HQ$6+MIN(113/1.02,G376),IF($HV$6-(Sheet1!DA374-Sheet1!DB374)+MIN(113/1.02,G376)&lt;G376+FL376,$HV$6-(Sheet1!DA374-Sheet1!DB374)+MIN(113/1.02,G376),G376+FL376)),MIN(110/1.02+$HQ$6+113/1.02,G376))</f>
        <v>218.62745098039215</v>
      </c>
      <c r="HR376" s="541">
        <f t="shared" si="833"/>
        <v>223</v>
      </c>
      <c r="HS376" s="541">
        <f>HR376+(Sheet1!DA374-Sheet1!DB374)</f>
        <v>1143</v>
      </c>
      <c r="HT376" s="541">
        <f t="shared" si="834"/>
        <v>0</v>
      </c>
      <c r="HU376" s="541">
        <f t="shared" si="835"/>
        <v>1143</v>
      </c>
      <c r="HV376" s="541">
        <f t="shared" si="836"/>
        <v>0</v>
      </c>
      <c r="HW376" s="533" t="str">
        <f t="shared" si="837"/>
        <v/>
      </c>
      <c r="HX376" s="541">
        <f t="shared" si="838"/>
        <v>3011.372549019608</v>
      </c>
      <c r="HY376" s="541">
        <f>Sheet1!CZ374</f>
        <v>3230</v>
      </c>
      <c r="HZ376" s="541">
        <f t="shared" si="839"/>
        <v>0</v>
      </c>
      <c r="IA376" s="541">
        <f t="shared" si="840"/>
        <v>0</v>
      </c>
      <c r="IB376" s="541">
        <f t="shared" si="841"/>
        <v>3230</v>
      </c>
      <c r="IC376" s="1019" t="str">
        <f t="shared" si="842"/>
        <v/>
      </c>
      <c r="ID376" s="541">
        <f t="shared" si="843"/>
        <v>3230</v>
      </c>
      <c r="IE376" s="541">
        <f>Sheet1!DB374</f>
        <v>3400</v>
      </c>
      <c r="IF376" s="533">
        <f>Sheet1!DA374</f>
        <v>4320</v>
      </c>
      <c r="IH376" s="541">
        <f>IF(AND($B376&gt;=$GC376,$B376&lt;=$GH376,$DR376&lt;0)+N("only adjusted when pool is drawn down during storage season"),Sheet1!$DB374+$DR376+N("Palmer minus all storage release"),Sheet1!$DB374)</f>
        <v>3400</v>
      </c>
      <c r="II376" s="541">
        <f>IF(AND($B376&gt;=$GC376,$B376&lt;=$GH376,$DR376&lt;0)+N("only adjusted when pool is drawn down during storage season"),Sheet1!$DA374+$DR376+N("Auburn minus all storage release"),Sheet1!$DA374)</f>
        <v>4320</v>
      </c>
    </row>
    <row r="377" spans="1:243" x14ac:dyDescent="0.25">
      <c r="A377" s="553" t="s">
        <v>4</v>
      </c>
      <c r="B377" s="531">
        <v>43101</v>
      </c>
      <c r="C377" s="536">
        <v>0</v>
      </c>
      <c r="D377" s="506">
        <f t="shared" si="787"/>
        <v>300</v>
      </c>
      <c r="E377" s="506">
        <f t="shared" si="788"/>
        <v>250</v>
      </c>
      <c r="F377" s="506">
        <v>250</v>
      </c>
      <c r="G377" s="535">
        <f>DR377+Sheet1!CZ375</f>
        <v>2058.1543116469988</v>
      </c>
      <c r="H377" s="1074">
        <f t="shared" si="844"/>
        <v>1899.2389056</v>
      </c>
      <c r="I377" s="534">
        <f>IF(Sheet1!DA375&gt;=E377,(Sheet1!DA375-E377+P377)*CFStoMGD,0)</f>
        <v>2461.6069056000001</v>
      </c>
      <c r="J377" s="995">
        <f>IF(Sheet1!DB375&gt;=D377,(Sheet1!DB375-D377+P377)*CFStoMGD,0)</f>
        <v>1899.2389056</v>
      </c>
      <c r="K377" s="818">
        <f t="shared" si="819"/>
        <v>64.64</v>
      </c>
      <c r="L377" s="535">
        <f>Sheet1!AA375+Sheet1!AB375-Sheet1!L375+(Sheet1!DA375-F377)*CFStoMGD-S377-T377-U377</f>
        <v>2398.288</v>
      </c>
      <c r="M377" s="535">
        <f t="shared" si="850"/>
        <v>1356.9987659895926</v>
      </c>
      <c r="N377" s="824">
        <f>IF(Sheet1!DA375&gt;=F377,MIN(113*CFStoMGD,MIN(MAX(L377,0),MAX(M377,0))),0)</f>
        <v>73.043199999999999</v>
      </c>
      <c r="O377" s="538">
        <f>Sheet1!AA375+Sheet1!AB375</f>
        <v>57</v>
      </c>
      <c r="P377" s="538">
        <f t="shared" si="851"/>
        <v>88.179000000000002</v>
      </c>
      <c r="Q377" s="812">
        <f t="shared" si="820"/>
        <v>0</v>
      </c>
      <c r="R377" s="812">
        <f t="shared" si="789"/>
        <v>10.620012527403695</v>
      </c>
      <c r="S377" s="812">
        <f t="shared" si="790"/>
        <v>57</v>
      </c>
      <c r="T377" s="812">
        <f t="shared" si="791"/>
        <v>0</v>
      </c>
      <c r="U377" s="812">
        <f>IF(AND(B377&gt;=FV377,B377&lt;=FW377),ED377+Sheet1!EH375,0)</f>
        <v>0</v>
      </c>
      <c r="V377" s="812"/>
      <c r="W377" s="812">
        <f t="shared" si="792"/>
        <v>54.019987472596306</v>
      </c>
      <c r="X377" s="812">
        <f t="shared" si="793"/>
        <v>57</v>
      </c>
      <c r="Y377" s="812" t="str">
        <f t="shared" si="794"/>
        <v/>
      </c>
      <c r="Z377" s="812">
        <f t="shared" si="795"/>
        <v>57</v>
      </c>
      <c r="AA377" s="812">
        <f t="shared" si="796"/>
        <v>57</v>
      </c>
      <c r="AB377" s="1059">
        <f t="shared" si="821"/>
        <v>0</v>
      </c>
      <c r="AC377" s="538">
        <f>Sheet1!Y375*MGDtoCFS</f>
        <v>38.984399999999994</v>
      </c>
      <c r="AD377" s="538">
        <f>Sheet1!Z375*MGDtoCFS</f>
        <v>49.349299999999992</v>
      </c>
      <c r="AE377" s="538">
        <f>Sheet1!AA375*MGDtoCFS</f>
        <v>38.829700000000003</v>
      </c>
      <c r="AF377" s="538">
        <f>Sheet1!AB375*MGDtoCFS</f>
        <v>49.349299999999992</v>
      </c>
      <c r="AG377" s="538">
        <f>Sheet1!L375*MGDtoCFS</f>
        <v>9.7770399999995501</v>
      </c>
      <c r="AH377" s="521">
        <f t="shared" si="852"/>
        <v>0</v>
      </c>
      <c r="AI377" s="1059">
        <f t="shared" si="853"/>
        <v>0</v>
      </c>
      <c r="AJ377" s="535">
        <f t="shared" si="854"/>
        <v>0</v>
      </c>
      <c r="AK377" s="535">
        <f t="shared" si="855"/>
        <v>0</v>
      </c>
      <c r="AL377" s="535">
        <f>(VLOOKUP(Sheet1!DC375,hhdcap_wcm,4)-(((VLOOKUP(Sheet1!DC375,hhdcap_wcm,3)-Sheet1!DC375)/(VLOOKUP(Sheet1!DC375,hhdcap_wcm,3)-VLOOKUP(Sheet1!DC375,hhdcap_wcm,1)))*(VLOOKUP(Sheet1!DC375,hhdcap_wcm,4)-VLOOKUP(Sheet1!DC375,hhdcap_wcm,2))))</f>
        <v>4292.8000000097136</v>
      </c>
      <c r="AM377" s="535">
        <f t="shared" si="856"/>
        <v>-1947.0000000040018</v>
      </c>
      <c r="AN377" s="1035">
        <f t="shared" si="857"/>
        <v>0</v>
      </c>
      <c r="AO377" s="535">
        <f t="shared" si="858"/>
        <v>0</v>
      </c>
      <c r="AP377" s="535">
        <f>Sheet1!BA375+Sheet1!BB375+Sheet1!BN375+CD377</f>
        <v>21.3</v>
      </c>
      <c r="AQ377" s="535">
        <f>Sheet1!BN375+(DO377*Sheet1!BN375)</f>
        <v>21.279987472596304</v>
      </c>
      <c r="AR377" s="535">
        <f>Sheet1!BA375+CD377</f>
        <v>0</v>
      </c>
      <c r="AS377" s="535">
        <f>Sheet1!BA375+Sheet1!BB375+CD377</f>
        <v>0</v>
      </c>
      <c r="AT377" s="649">
        <f>0</f>
        <v>0</v>
      </c>
      <c r="AU377" s="974">
        <f>BA377+MAX(Sheet1!EH375,(O377-Q377-ED377-S377))</f>
        <v>0</v>
      </c>
      <c r="AV377" s="535">
        <f>IF(OR(B377&gt;=GD377,B377&lt;GC377),0,15/36*K377-MAX(0,64.6-(137.6-(Sheet1!AA375+Sheet1!AB375))))</f>
        <v>0</v>
      </c>
      <c r="AW377" s="1029"/>
      <c r="AX377" s="649"/>
      <c r="AY377" s="649">
        <f t="shared" si="822"/>
        <v>23.311716569431731</v>
      </c>
      <c r="AZ377" s="649">
        <f t="shared" si="823"/>
        <v>0</v>
      </c>
      <c r="BA377" s="1059">
        <f t="shared" si="824"/>
        <v>0</v>
      </c>
      <c r="BB377" s="1019">
        <f t="shared" si="859"/>
        <v>0</v>
      </c>
      <c r="BC377" s="1035">
        <f t="shared" si="825"/>
        <v>26.933333333333334</v>
      </c>
      <c r="BD377" s="535">
        <f ca="1">IF(B377&gt;(Summary!$A$1-1),#N/A,BB377*MGtoAF)</f>
        <v>0</v>
      </c>
      <c r="BE377" s="535">
        <f>Sheet1!BG375+Sheet1!BH375+Sheet1!BI375-BM377</f>
        <v>1.01</v>
      </c>
      <c r="BF377" s="535">
        <f t="shared" si="860"/>
        <v>1.0090510491700595</v>
      </c>
      <c r="BG377" s="535">
        <f>IF(Sheet1!EP375="FM",BM377,0)</f>
        <v>0</v>
      </c>
      <c r="BH377" s="535">
        <f t="shared" si="861"/>
        <v>0</v>
      </c>
      <c r="BI377" s="535">
        <f>IF(Sheet1!EP375="OTHER",BM377,0)</f>
        <v>0</v>
      </c>
      <c r="BJ377" s="535">
        <f t="shared" si="862"/>
        <v>0</v>
      </c>
      <c r="BK377" s="535">
        <f t="shared" si="863"/>
        <v>1.01</v>
      </c>
      <c r="BL377" s="535">
        <f t="shared" si="864"/>
        <v>1.0090510491700595</v>
      </c>
      <c r="BM377" s="535">
        <f>IF(OR(Sheet1!EP375="FM", Sheet1!EP375="OTHER"),SUM(Sheet1!BG375:'Sheet1'!BI375),0)</f>
        <v>0</v>
      </c>
      <c r="BN377" s="521">
        <f>IF(AND($B377&gt;=$FV377,$B377&lt;=$FW377),MAX(BF377,Sheet1!EI375,0),MAX(BF377-(7/36)*$K377,0))</f>
        <v>0</v>
      </c>
      <c r="BO377" s="535">
        <f t="shared" si="865"/>
        <v>0</v>
      </c>
      <c r="BP377" s="521">
        <f t="shared" si="866"/>
        <v>1.0090510491700595</v>
      </c>
      <c r="BQ377" s="521">
        <f>IF(AND($O377&gt;0,Sheet1!EM375=1),(1-($O377-Sheet1!$L375)/$O377)*BL377,0)</f>
        <v>0</v>
      </c>
      <c r="BR377" s="521">
        <f>IF(AND(Sheet1!$L375=0,Sheet1!$L374=0, Calculation!BK377&lt;Sheet1!$EI375-0.1,Sheet1!$EI375=Sheet1!$EI374,Sheet1!$EI375=Sheet1!$EI376),BL377-BQ377,BL377-BQ377)</f>
        <v>1.0090510491700595</v>
      </c>
      <c r="BS377" s="1035" t="str">
        <f t="shared" si="826"/>
        <v/>
      </c>
      <c r="BT377" s="1035">
        <f t="shared" si="827"/>
        <v>12.568888888888889</v>
      </c>
      <c r="BU377" s="535">
        <f t="shared" si="867"/>
        <v>0</v>
      </c>
      <c r="BV377" s="535"/>
      <c r="BW377" s="535">
        <f ca="1">IF(B377&gt;(Summary!$A$1-1),#N/A,BU377*MGtoAF)</f>
        <v>0</v>
      </c>
      <c r="BX377" s="535">
        <f>Sheet1!BC375+Sheet1!BD375+Sheet1!BE375+Sheet1!BF375-CG377-CH377</f>
        <v>3</v>
      </c>
      <c r="BY377" s="535">
        <f t="shared" si="868"/>
        <v>2.9971813341684936</v>
      </c>
      <c r="BZ377" s="535">
        <f>IF(Sheet1!EQ375="FM",CH377,0)</f>
        <v>0</v>
      </c>
      <c r="CA377" s="535">
        <f t="shared" si="869"/>
        <v>0</v>
      </c>
      <c r="CB377" s="535">
        <f>IF(Sheet1!EQ375="OTHER",CH377,0)</f>
        <v>0</v>
      </c>
      <c r="CC377" s="535">
        <f t="shared" si="870"/>
        <v>0</v>
      </c>
      <c r="CD377" s="535">
        <f t="shared" si="871"/>
        <v>0</v>
      </c>
      <c r="CE377" s="535">
        <f t="shared" si="872"/>
        <v>3</v>
      </c>
      <c r="CF377" s="535">
        <f t="shared" si="873"/>
        <v>2.9971813341684936</v>
      </c>
      <c r="CG377" s="535">
        <f>IF(Sheet1!EQ375="CWA",SUM(Sheet1!BC375:'Sheet1'!BF375),0)</f>
        <v>0</v>
      </c>
      <c r="CH377" s="535">
        <f>IF(OR(Sheet1!EQ375="FM", Sheet1!EQ375="OTHER"),SUM(Sheet1!BC375:'Sheet1'!BF375),0)</f>
        <v>0</v>
      </c>
      <c r="CI377" s="521">
        <f>IF(AND($B377&gt;=$FV377,$B377&lt;=$FW377),MAX(CF377,Sheet1!EJ375,0),MAX(CF377-(7/36)*$K377,0))</f>
        <v>0</v>
      </c>
      <c r="CJ377" s="535">
        <f t="shared" si="874"/>
        <v>0</v>
      </c>
      <c r="CK377" s="521">
        <f t="shared" si="875"/>
        <v>2.9971813341684936</v>
      </c>
      <c r="CL377" s="521">
        <f>IF(AND($O377&gt;0,Sheet1!EN375=1),(1-($O377-Sheet1!$L375)/$O377)*CF377,0)</f>
        <v>0</v>
      </c>
      <c r="CM377" s="521">
        <f>IF(AND(Sheet1!$L375=0,Sheet1!$L374=0, Calculation!CE377&lt;Sheet1!EJ375-0.1,Sheet1!EJ375=Sheet1!EJ374,Sheet1!EJ375=Sheet1!EJ376),CF377-CL377,CF377-CL377)</f>
        <v>2.9971813341684936</v>
      </c>
      <c r="CN377" s="1040" t="str">
        <f t="shared" si="828"/>
        <v/>
      </c>
      <c r="CO377" s="1035">
        <f t="shared" si="829"/>
        <v>12.568888888888889</v>
      </c>
      <c r="CP377" s="535">
        <f t="shared" si="876"/>
        <v>0</v>
      </c>
      <c r="CQ377" s="535"/>
      <c r="CR377" s="535">
        <f ca="1">IF(B377&gt;(Summary!$A$1-1),#N/A,CP377*MGtoAF)</f>
        <v>0</v>
      </c>
      <c r="CS377" s="535">
        <f>Sheet1!BK375+Sheet1!BL375+Sheet1!BM375-Sheet1!ER375-DA377</f>
        <v>6.6199999999999992</v>
      </c>
      <c r="CT377" s="535">
        <f t="shared" si="877"/>
        <v>6.6137801440651414</v>
      </c>
      <c r="CU377" s="535">
        <f>IF(Sheet1!ER375="FM",DA377,0)</f>
        <v>0</v>
      </c>
      <c r="CV377" s="535">
        <f t="shared" si="878"/>
        <v>0</v>
      </c>
      <c r="CW377" s="535">
        <f>IF(Sheet1!ER375="OTHER",DA377,0)</f>
        <v>0</v>
      </c>
      <c r="CX377" s="535">
        <f t="shared" si="879"/>
        <v>0</v>
      </c>
      <c r="CY377" s="535">
        <f t="shared" si="880"/>
        <v>6.6199999999999992</v>
      </c>
      <c r="CZ377" s="535">
        <f t="shared" si="881"/>
        <v>6.6137801440651414</v>
      </c>
      <c r="DA377" s="535">
        <f>IF(OR(Sheet1!ER375="FM", Sheet1!ER375="OTHER"),SUM(Sheet1!BK375:'Sheet1'!BM375),0)</f>
        <v>0</v>
      </c>
      <c r="DB377" s="1011">
        <f>IF(AND($B377&gt;=$FV377,$B377&lt;=$FW377),MAX($CT377,Sheet1!EK375,0),MAX($CT377-(7/36)*$K377,0))</f>
        <v>0</v>
      </c>
      <c r="DC377" s="1012">
        <f t="shared" si="882"/>
        <v>0</v>
      </c>
      <c r="DD377" s="1011">
        <f t="shared" si="883"/>
        <v>6.6137801440651414</v>
      </c>
      <c r="DE377" s="521">
        <f>IF(AND($O377&gt;0,Sheet1!EO375=1),(1-($O377-Sheet1!$L375)/$O377)*CZ377,0)</f>
        <v>0</v>
      </c>
      <c r="DF377" s="521">
        <f>IF(AND(Sheet1!$L375=0,Sheet1!$L374=0, Calculation!CY377&lt;Sheet1!$EK375-0.1,Sheet1!$EK375=Sheet1!$EK374,Sheet1!$EK375=Sheet1!$EK376),CZ377-DE377,CZ377-DE377)</f>
        <v>6.6137801440651414</v>
      </c>
      <c r="DG377" s="1040">
        <f t="shared" si="830"/>
        <v>12.568888888888889</v>
      </c>
      <c r="DH377" s="649">
        <f t="shared" si="884"/>
        <v>10.629999999999999</v>
      </c>
      <c r="DI377" s="535">
        <f t="shared" si="885"/>
        <v>0</v>
      </c>
      <c r="DJ377" s="649">
        <f t="shared" si="886"/>
        <v>10.620012527403695</v>
      </c>
      <c r="DK377" s="535">
        <f ca="1">IF(B377&gt;(Summary!$A$1-1),#N/A,DI377*MGtoAF)</f>
        <v>0</v>
      </c>
      <c r="DL377" s="649">
        <f t="shared" si="887"/>
        <v>10.629999999999999</v>
      </c>
      <c r="DM377" s="535">
        <f t="shared" si="888"/>
        <v>31.93</v>
      </c>
      <c r="DN377" s="535">
        <f>Sheet1!AB375-DM377</f>
        <v>-3.0000000000001137E-2</v>
      </c>
      <c r="DO377" s="743">
        <f t="shared" si="889"/>
        <v>-9.3955527716884236E-4</v>
      </c>
      <c r="DP377" s="535">
        <f>(VLOOKUP(Sheet1!DC375,hhdcap_wcm,4)-(((VLOOKUP(Sheet1!DC375,hhdcap_wcm,3)-Sheet1!DC375)/(VLOOKUP(Sheet1!DC375,hhdcap_wcm,3)-VLOOKUP(Sheet1!DC375,hhdcap_wcm,1)))*(VLOOKUP(Sheet1!DC375,hhdcap_wcm,4)-VLOOKUP(Sheet1!DC375,hhdcap_wcm,2))))</f>
        <v>4292.8000000097136</v>
      </c>
      <c r="DQ377" s="535">
        <f t="shared" si="890"/>
        <v>-1947.0000000040018</v>
      </c>
      <c r="DR377" s="535">
        <f t="shared" si="891"/>
        <v>-981.84568835300126</v>
      </c>
      <c r="DS377" s="535">
        <f>Sheet1!EA375*AFtoMG</f>
        <v>0</v>
      </c>
      <c r="DT377" s="535">
        <f>Sheet1!EB375*AFtoMG</f>
        <v>0</v>
      </c>
      <c r="DU377" s="535">
        <f>Sheet1!EC375*AFtoMG</f>
        <v>0</v>
      </c>
      <c r="DV377" s="535">
        <f>Sheet1!ED375*AFtoMG</f>
        <v>0</v>
      </c>
      <c r="DW377" s="535">
        <f t="shared" si="892"/>
        <v>0</v>
      </c>
      <c r="DX377" s="535">
        <f t="shared" si="893"/>
        <v>0</v>
      </c>
      <c r="DY377" s="535">
        <f t="shared" si="894"/>
        <v>0</v>
      </c>
      <c r="DZ377" s="535">
        <f t="shared" si="895"/>
        <v>0</v>
      </c>
      <c r="EA377" s="535"/>
      <c r="EB377" s="521">
        <f>IF(OR(B377&lt;FV377,B377&gt;FW377),(MIN(BF377+BY377+CT377+MAX(Sheet1!AA375+AQ377-73,0),K377)),0)</f>
        <v>10.620012527403695</v>
      </c>
      <c r="EC377" s="535"/>
      <c r="ED377" s="535">
        <f t="shared" si="896"/>
        <v>10.620012527403695</v>
      </c>
      <c r="EE377" s="535"/>
      <c r="EF377" s="535">
        <f>Sheet1!EH375+Sheet1!EI375+Sheet1!EJ375+Sheet1!EK375</f>
        <v>10.5</v>
      </c>
      <c r="EG377" s="1019">
        <f t="shared" si="831"/>
        <v>16.243500000000001</v>
      </c>
      <c r="EH377" s="521">
        <f t="shared" si="897"/>
        <v>0</v>
      </c>
      <c r="EI377" s="535">
        <f>IF(Sheet1!ET375=1,SUM('Calculations II'!AT377:BA377)+'Calculations II'!BC377+Sheet1!BV375+'Calculations II'!BE377+AP377,'Calculations II'!BK377)</f>
        <v>46.096807472596311</v>
      </c>
      <c r="EJ377" s="535">
        <f ca="1">EI377+'Calculations II'!D377+'Calculations II'!E377+'Calculations II'!O377</f>
        <v>46.655531317366005</v>
      </c>
      <c r="EK377" s="535"/>
      <c r="EL377" s="535"/>
      <c r="EM377" s="535">
        <f t="shared" si="898"/>
        <v>43101</v>
      </c>
      <c r="EN377" s="535">
        <f t="shared" si="899"/>
        <v>0</v>
      </c>
      <c r="EO377" s="535">
        <f t="shared" si="900"/>
        <v>0</v>
      </c>
      <c r="EP377" s="535">
        <v>0</v>
      </c>
      <c r="EQ377" s="535">
        <v>0</v>
      </c>
      <c r="ER377" s="535">
        <v>0</v>
      </c>
      <c r="ES377" s="521">
        <f t="shared" si="797"/>
        <v>0.41555686664400249</v>
      </c>
      <c r="ET377" s="535">
        <f>-(VLOOKUP(Sheet1!BQ375,Lookup!$O$4:$Q$262,2)-VLOOKUP(Sheet1!BQ374,Lookup!$O$4:$Q$262,2))/1000000</f>
        <v>0.2770015919610001</v>
      </c>
      <c r="EU377" s="535">
        <f>-(VLOOKUP(Sheet1!BR375,Lookup!$O$4:$Q$262,3)-VLOOKUP(Sheet1!BR374,Lookup!$O$4:$Q$262,3))/1000000</f>
        <v>0.13855527468300238</v>
      </c>
      <c r="EV377" s="535"/>
      <c r="EW377" s="535"/>
      <c r="EX377" s="535"/>
      <c r="EY377" s="535"/>
      <c r="EZ377" s="535"/>
      <c r="FA377" s="535"/>
      <c r="FB377" s="535"/>
      <c r="FC377" s="535"/>
      <c r="FD377" s="567" t="e">
        <f t="shared" si="847"/>
        <v>#N/A</v>
      </c>
      <c r="FE377" s="567" t="e">
        <f t="shared" si="901"/>
        <v>#N/A</v>
      </c>
      <c r="FF377" s="568" t="e">
        <f t="shared" si="902"/>
        <v>#N/A</v>
      </c>
      <c r="FG377" s="569" t="s">
        <v>656</v>
      </c>
      <c r="FH377" s="569" t="s">
        <v>656</v>
      </c>
      <c r="FI377" s="567" t="e">
        <v>#N/A</v>
      </c>
      <c r="FJ377" s="567" t="e">
        <v>#N/A</v>
      </c>
      <c r="FK377" s="535"/>
      <c r="FL377" s="1015" t="e">
        <f t="shared" si="846"/>
        <v>#N/A</v>
      </c>
      <c r="FM377" s="535"/>
      <c r="FN377" s="535"/>
      <c r="FO377" s="535">
        <f>O377+((Sheet1!CS375)*GPMtoMGD)</f>
        <v>57</v>
      </c>
      <c r="FP377" s="535">
        <f>IF(Sheet1!AA375+AQ377&lt;=Calculation!N377,AQ377,Calculation!N377-Sheet1!AA375)</f>
        <v>21.279987472596304</v>
      </c>
      <c r="FQ377" s="535">
        <f>(Sheet1!BP375+Sheet1!BO375)/694.4</f>
        <v>1.6180875576036868</v>
      </c>
      <c r="FR377" s="541"/>
      <c r="FS377" s="541"/>
      <c r="FT377" s="541"/>
      <c r="FU377" s="541"/>
      <c r="FV377" s="1109">
        <f t="shared" si="798"/>
        <v>42918</v>
      </c>
      <c r="FW377" s="1109">
        <f t="shared" si="799"/>
        <v>43027</v>
      </c>
      <c r="FX377" s="541"/>
      <c r="FY377" s="541">
        <f>Sheet1!DA375-Sheet1!CZ375-Sheet1!AE375</f>
        <v>851.59803999999951</v>
      </c>
      <c r="FZ377" s="535">
        <f t="shared" si="832"/>
        <v>0.41376782837945925</v>
      </c>
      <c r="GA377" s="535"/>
      <c r="GB377" s="535" t="str">
        <f t="shared" si="800"/>
        <v>n</v>
      </c>
      <c r="GC377" s="539">
        <f t="shared" si="801"/>
        <v>42782</v>
      </c>
      <c r="GD377" s="1109">
        <f t="shared" si="802"/>
        <v>42904</v>
      </c>
      <c r="GE377" s="535">
        <f t="shared" si="818"/>
        <v>6520</v>
      </c>
      <c r="GF377" s="1109">
        <f t="shared" si="803"/>
        <v>42909</v>
      </c>
      <c r="GG377" s="535">
        <f t="shared" si="845"/>
        <v>3260</v>
      </c>
      <c r="GH377" s="539">
        <f t="shared" si="804"/>
        <v>43040</v>
      </c>
      <c r="GJ377" s="521">
        <f t="shared" si="805"/>
        <v>0</v>
      </c>
      <c r="GK377" s="535" t="str">
        <f t="shared" si="903"/>
        <v/>
      </c>
      <c r="GL377" s="535">
        <f t="shared" si="806"/>
        <v>0</v>
      </c>
      <c r="GM377" s="535" t="str">
        <f t="shared" si="807"/>
        <v/>
      </c>
      <c r="GN377" s="535">
        <f>IF(GK377="P",Lookup!$M$12,IF(GK377="PP",Lookup!$M$13,IF(GK377="PPP",Lookup!$M$14,IF(GK377="T",Lookup!$M$15,IF(GK377="TP",Lookup!$M$16,IF(GK377="TPP",Lookup!$M$17,IF(GK377="TPPP",Lookup!$M$18,0)))))))*GJ377</f>
        <v>0</v>
      </c>
      <c r="GO377" s="535">
        <f t="shared" si="808"/>
        <v>0</v>
      </c>
      <c r="GP377" s="535">
        <f t="shared" si="904"/>
        <v>0</v>
      </c>
      <c r="GQ377" s="974">
        <f t="shared" si="848"/>
        <v>0</v>
      </c>
      <c r="GR377" s="535"/>
      <c r="GS377" s="535">
        <f t="shared" si="809"/>
        <v>0</v>
      </c>
      <c r="GT377" s="535" t="str">
        <f t="shared" si="810"/>
        <v/>
      </c>
      <c r="GU377" s="535">
        <f>IF(GK377="P",Lookup!$N$12,IF(GK377="PP",Lookup!$N$13,IF(GK377="PPP",Lookup!$N$14,IF(GK377="T",Lookup!$N$15,IF(GK377="TP",Lookup!$N$16,IF(GK377="TPP",Lookup!$N$17,IF(GK377="TPPP",Lookup!$N$18,0)))))))*GJ377</f>
        <v>0</v>
      </c>
      <c r="GV377" s="535">
        <f t="shared" si="811"/>
        <v>0</v>
      </c>
      <c r="GW377" s="535">
        <f t="shared" si="905"/>
        <v>0</v>
      </c>
      <c r="GX377" s="974">
        <f t="shared" si="849"/>
        <v>0</v>
      </c>
      <c r="GY377" s="535"/>
      <c r="GZ377" s="535">
        <f t="shared" si="812"/>
        <v>0</v>
      </c>
      <c r="HA377" s="535" t="str">
        <f t="shared" si="813"/>
        <v/>
      </c>
      <c r="HB377" s="535">
        <f>IF(GK377="P",Lookup!$N$12,IF(GK377="PP",Lookup!$N$13,IF(GK377="PPP",Lookup!$N$14,IF(GK377="T",Lookup!$N$15,IF(GK377="TP",Lookup!$N$16,IF(GK377="TPP",Lookup!$N$17,IF(GK377="TPPP",Lookup!$N$18,0)))))))*GJ377</f>
        <v>0</v>
      </c>
      <c r="HC377" s="521">
        <f t="shared" si="906"/>
        <v>0</v>
      </c>
      <c r="HD377" s="535">
        <f t="shared" si="907"/>
        <v>0</v>
      </c>
      <c r="HE377" s="535">
        <f t="shared" si="816"/>
        <v>0</v>
      </c>
      <c r="HF377" s="535"/>
      <c r="HG377" s="535">
        <f t="shared" si="814"/>
        <v>0</v>
      </c>
      <c r="HH377" s="535" t="str">
        <f t="shared" si="815"/>
        <v/>
      </c>
      <c r="HI377" s="535">
        <f>IF(GK377="P",Lookup!$N$12,IF(GK377="PP",Lookup!$N$13,IF(GK377="PPP",Lookup!$N$14,IF(GK377="T",Lookup!$N$15,IF(GK377="TP",Lookup!$N$16,IF(GK377="TPP",Lookup!$N$17,IF(GK377="TPPP",Lookup!$N$18,0)))))))*GJ377</f>
        <v>0</v>
      </c>
      <c r="HJ377" s="521">
        <f t="shared" si="908"/>
        <v>0</v>
      </c>
      <c r="HK377" s="535">
        <f t="shared" si="909"/>
        <v>0</v>
      </c>
      <c r="HL377" s="535">
        <f t="shared" si="817"/>
        <v>0</v>
      </c>
      <c r="HM377" s="535"/>
      <c r="HN377" s="541"/>
      <c r="HO377" s="541"/>
      <c r="HP377" s="541"/>
      <c r="HQ377" s="541"/>
      <c r="HR377" s="535"/>
      <c r="HT377" s="541"/>
      <c r="HU377" s="1019"/>
      <c r="HV377" s="541"/>
      <c r="HY377" s="541"/>
      <c r="HZ377" s="541"/>
      <c r="IA377" s="541"/>
      <c r="IB377" s="541"/>
      <c r="IC377" s="1019"/>
      <c r="ID377" s="1019"/>
      <c r="IH377" s="541">
        <f>IF(AND($B377&gt;=$GC377,$B377&lt;=$GH377,$DR377&lt;0)+N("only adjusted when pool is drawn down during storage season"),Sheet1!$DB375+$DR377+N("Palmer minus all storage release"),Sheet1!$DB375)</f>
        <v>3150</v>
      </c>
      <c r="II377" s="541">
        <f>IF(AND($B377&gt;=$GC377,$B377&lt;=$GH377,$DR377&lt;0)+N("only adjusted when pool is drawn down during storage season"),Sheet1!$DA375+$DR377+N("Auburn minus all storage release"),Sheet1!$DA375)</f>
        <v>3970</v>
      </c>
    </row>
    <row r="378" spans="1:243" x14ac:dyDescent="0.25">
      <c r="A378" s="553" t="s">
        <v>5</v>
      </c>
      <c r="B378" s="531">
        <v>43102</v>
      </c>
      <c r="C378" s="536">
        <v>0</v>
      </c>
      <c r="D378" s="506">
        <f t="shared" si="787"/>
        <v>300</v>
      </c>
      <c r="E378" s="506">
        <f t="shared" si="788"/>
        <v>250</v>
      </c>
      <c r="F378" s="506">
        <v>250</v>
      </c>
      <c r="G378" s="535">
        <f>DR378+Sheet1!CZ376</f>
        <v>1271.9112455855675</v>
      </c>
      <c r="H378" s="1074">
        <f t="shared" si="844"/>
        <v>1343.4649031040001</v>
      </c>
      <c r="I378" s="534">
        <f>IF(Sheet1!DA376&gt;=E378,(Sheet1!DA376-E378+P378)*CFStoMGD,0)</f>
        <v>1841.1929031039999</v>
      </c>
      <c r="J378" s="995">
        <f>IF(Sheet1!DB376&gt;=D378,(Sheet1!DB376-D378+P378)*CFStoMGD,0)</f>
        <v>1343.4649031040001</v>
      </c>
      <c r="K378" s="818">
        <f t="shared" si="819"/>
        <v>64.64</v>
      </c>
      <c r="L378" s="535">
        <f>Sheet1!AA376+Sheet1!AB376-Sheet1!L376+(Sheet1!DA376-F378)*CFStoMGD-S378-T378-U378</f>
        <v>1784.0639999999999</v>
      </c>
      <c r="M378" s="535">
        <f t="shared" si="850"/>
        <v>838.60669772944107</v>
      </c>
      <c r="N378" s="824">
        <f>IF(Sheet1!DA376&gt;=F378,MIN(113*CFStoMGD,MIN(MAX(L378,0),MAX(M378,0))),0)</f>
        <v>73.043199999999999</v>
      </c>
      <c r="O378" s="538">
        <f>Sheet1!AA376+Sheet1!AB376</f>
        <v>57.129999999999995</v>
      </c>
      <c r="P378" s="538">
        <f t="shared" si="851"/>
        <v>88.380109999999988</v>
      </c>
      <c r="Q378" s="812">
        <f t="shared" si="820"/>
        <v>0</v>
      </c>
      <c r="R378" s="812">
        <f t="shared" si="789"/>
        <v>10.710062695924766</v>
      </c>
      <c r="S378" s="812">
        <f t="shared" si="790"/>
        <v>57.129999999999995</v>
      </c>
      <c r="T378" s="812">
        <f t="shared" si="791"/>
        <v>0</v>
      </c>
      <c r="U378" s="812">
        <f>IF(AND(B378&gt;=FV378,B378&lt;=FW378),ED378+Sheet1!EH376,0)</f>
        <v>0</v>
      </c>
      <c r="V378" s="812"/>
      <c r="W378" s="812">
        <f t="shared" si="792"/>
        <v>53.929937304075239</v>
      </c>
      <c r="X378" s="812">
        <f t="shared" si="793"/>
        <v>57.129999999999995</v>
      </c>
      <c r="Y378" s="812" t="str">
        <f t="shared" si="794"/>
        <v/>
      </c>
      <c r="Z378" s="812">
        <f t="shared" si="795"/>
        <v>57.129999999999995</v>
      </c>
      <c r="AA378" s="812">
        <f t="shared" si="796"/>
        <v>57.129999999999995</v>
      </c>
      <c r="AB378" s="1059">
        <f t="shared" si="821"/>
        <v>0</v>
      </c>
      <c r="AC378" s="538">
        <f>Sheet1!Y376*MGDtoCFS</f>
        <v>38.829700000000003</v>
      </c>
      <c r="AD378" s="538">
        <f>Sheet1!Z376*MGDtoCFS</f>
        <v>49.349299999999992</v>
      </c>
      <c r="AE378" s="538">
        <f>Sheet1!AA376*MGDtoCFS</f>
        <v>38.984399999999994</v>
      </c>
      <c r="AF378" s="538">
        <f>Sheet1!AB376*MGDtoCFS</f>
        <v>49.395709999999994</v>
      </c>
      <c r="AG378" s="538">
        <f>Sheet1!L376*MGDtoCFS</f>
        <v>0</v>
      </c>
      <c r="AH378" s="521">
        <f t="shared" si="852"/>
        <v>0</v>
      </c>
      <c r="AI378" s="1059">
        <f t="shared" si="853"/>
        <v>0</v>
      </c>
      <c r="AJ378" s="535">
        <f t="shared" si="854"/>
        <v>0</v>
      </c>
      <c r="AK378" s="535">
        <f t="shared" si="855"/>
        <v>0</v>
      </c>
      <c r="AL378" s="535">
        <f>(VLOOKUP(Sheet1!DC376,hhdcap_wcm,4)-(((VLOOKUP(Sheet1!DC376,hhdcap_wcm,3)-Sheet1!DC376)/(VLOOKUP(Sheet1!DC376,hhdcap_wcm,3)-VLOOKUP(Sheet1!DC376,hhdcap_wcm,1)))*(VLOOKUP(Sheet1!DC376,hhdcap_wcm,4)-VLOOKUP(Sheet1!DC376,hhdcap_wcm,2))))</f>
        <v>2452.4000000058936</v>
      </c>
      <c r="AM378" s="535">
        <f t="shared" si="856"/>
        <v>-1840.40000000382</v>
      </c>
      <c r="AN378" s="1035">
        <f t="shared" si="857"/>
        <v>0</v>
      </c>
      <c r="AO378" s="535">
        <f t="shared" si="858"/>
        <v>0</v>
      </c>
      <c r="AP378" s="535">
        <f>Sheet1!BA376+Sheet1!BB376+Sheet1!BN376+CD378</f>
        <v>21.2</v>
      </c>
      <c r="AQ378" s="535">
        <f>Sheet1!BN376+(DO378*Sheet1!BN376)</f>
        <v>21.219937304075234</v>
      </c>
      <c r="AR378" s="535">
        <f>Sheet1!BA376+CD378</f>
        <v>0</v>
      </c>
      <c r="AS378" s="535">
        <f>Sheet1!BA376+Sheet1!BB376+CD378</f>
        <v>0</v>
      </c>
      <c r="AT378" s="649">
        <f>0</f>
        <v>0</v>
      </c>
      <c r="AU378" s="974">
        <f>BA378+MAX(Sheet1!EH376,(O378-Q378-ED378-S378))</f>
        <v>0</v>
      </c>
      <c r="AV378" s="535">
        <f>IF(OR(B378&gt;=GD378,B378&lt;GC378),0,15/36*K378-MAX(0,64.6-(137.6-(Sheet1!AA376+Sheet1!AB376))))</f>
        <v>0</v>
      </c>
      <c r="AW378" s="1029"/>
      <c r="AX378" s="649"/>
      <c r="AY378" s="649">
        <f t="shared" si="822"/>
        <v>23.311716569431731</v>
      </c>
      <c r="AZ378" s="649">
        <f t="shared" si="823"/>
        <v>0</v>
      </c>
      <c r="BA378" s="1059">
        <f t="shared" si="824"/>
        <v>0</v>
      </c>
      <c r="BB378" s="1019">
        <f t="shared" si="859"/>
        <v>0</v>
      </c>
      <c r="BC378" s="1035">
        <f t="shared" si="825"/>
        <v>26.933333333333334</v>
      </c>
      <c r="BD378" s="535">
        <f ca="1">IF(B378&gt;(Summary!$A$1-1),#N/A,BB378*MGtoAF)</f>
        <v>0</v>
      </c>
      <c r="BE378" s="535">
        <f>Sheet1!BG376+Sheet1!BH376+Sheet1!BI376-BM378</f>
        <v>1.01</v>
      </c>
      <c r="BF378" s="535">
        <f t="shared" si="860"/>
        <v>1.0109498432601882</v>
      </c>
      <c r="BG378" s="535">
        <f>IF(Sheet1!EP376="FM",BM378,0)</f>
        <v>0</v>
      </c>
      <c r="BH378" s="535">
        <f t="shared" si="861"/>
        <v>0</v>
      </c>
      <c r="BI378" s="535">
        <f>IF(Sheet1!EP376="OTHER",BM378,0)</f>
        <v>0</v>
      </c>
      <c r="BJ378" s="535">
        <f t="shared" si="862"/>
        <v>0</v>
      </c>
      <c r="BK378" s="535">
        <f t="shared" si="863"/>
        <v>1.01</v>
      </c>
      <c r="BL378" s="535">
        <f t="shared" si="864"/>
        <v>1.0109498432601882</v>
      </c>
      <c r="BM378" s="535">
        <f>IF(OR(Sheet1!EP376="FM", Sheet1!EP376="OTHER"),SUM(Sheet1!BG376:'Sheet1'!BI376),0)</f>
        <v>0</v>
      </c>
      <c r="BN378" s="521">
        <f>IF(AND($B378&gt;=$FV378,$B378&lt;=$FW378),MAX(BF378,Sheet1!EI376,0),MAX(BF378-(7/36)*$K378,0))</f>
        <v>0</v>
      </c>
      <c r="BO378" s="535">
        <f t="shared" si="865"/>
        <v>0</v>
      </c>
      <c r="BP378" s="521">
        <f t="shared" si="866"/>
        <v>1.0109498432601882</v>
      </c>
      <c r="BQ378" s="521">
        <f>IF(AND($O378&gt;0,Sheet1!EM376=1),(1-($O378-Sheet1!$L376)/$O378)*BL378,0)</f>
        <v>0</v>
      </c>
      <c r="BR378" s="521">
        <f>IF(AND(Sheet1!$L376=0,Sheet1!$L375=0, Calculation!BK378&lt;Sheet1!$EI376-0.1,Sheet1!$EI376=Sheet1!$EI375,Sheet1!$EI376=Sheet1!$EI377),BL378-BQ378,BL378-BQ378)</f>
        <v>1.0109498432601882</v>
      </c>
      <c r="BS378" s="1035" t="str">
        <f t="shared" si="826"/>
        <v/>
      </c>
      <c r="BT378" s="1035">
        <f t="shared" si="827"/>
        <v>12.568888888888889</v>
      </c>
      <c r="BU378" s="535">
        <f t="shared" si="867"/>
        <v>0</v>
      </c>
      <c r="BV378" s="535"/>
      <c r="BW378" s="535">
        <f ca="1">IF(B378&gt;(Summary!$A$1-1),#N/A,BU378*MGtoAF)</f>
        <v>0</v>
      </c>
      <c r="BX378" s="535">
        <f>Sheet1!BC376+Sheet1!BD376+Sheet1!BE376+Sheet1!BF376-CG378-CH378</f>
        <v>2.99</v>
      </c>
      <c r="BY378" s="535">
        <f t="shared" si="868"/>
        <v>2.9928119122257058</v>
      </c>
      <c r="BZ378" s="535">
        <f>IF(Sheet1!EQ376="FM",CH378,0)</f>
        <v>0</v>
      </c>
      <c r="CA378" s="535">
        <f t="shared" si="869"/>
        <v>0</v>
      </c>
      <c r="CB378" s="535">
        <f>IF(Sheet1!EQ376="OTHER",CH378,0)</f>
        <v>0</v>
      </c>
      <c r="CC378" s="535">
        <f t="shared" si="870"/>
        <v>0</v>
      </c>
      <c r="CD378" s="535">
        <f t="shared" si="871"/>
        <v>0</v>
      </c>
      <c r="CE378" s="535">
        <f t="shared" si="872"/>
        <v>2.99</v>
      </c>
      <c r="CF378" s="535">
        <f t="shared" si="873"/>
        <v>2.9928119122257058</v>
      </c>
      <c r="CG378" s="535">
        <f>IF(Sheet1!EQ376="CWA",SUM(Sheet1!BC376:'Sheet1'!BF376),0)</f>
        <v>0</v>
      </c>
      <c r="CH378" s="535">
        <f>IF(OR(Sheet1!EQ376="FM", Sheet1!EQ376="OTHER"),SUM(Sheet1!BC376:'Sheet1'!BF376),0)</f>
        <v>0</v>
      </c>
      <c r="CI378" s="521">
        <f>IF(AND($B378&gt;=$FV378,$B378&lt;=$FW378),MAX(CF378,Sheet1!EJ376,0),MAX(CF378-(7/36)*$K378,0))</f>
        <v>0</v>
      </c>
      <c r="CJ378" s="535">
        <f t="shared" si="874"/>
        <v>0</v>
      </c>
      <c r="CK378" s="521">
        <f t="shared" si="875"/>
        <v>2.9928119122257058</v>
      </c>
      <c r="CL378" s="521">
        <f>IF(AND($O378&gt;0,Sheet1!EN376=1),(1-($O378-Sheet1!$L376)/$O378)*CF378,0)</f>
        <v>0</v>
      </c>
      <c r="CM378" s="521">
        <f>IF(AND(Sheet1!$L376=0,Sheet1!$L375=0, Calculation!CE378&lt;Sheet1!EJ376-0.1,Sheet1!EJ376=Sheet1!EJ375,Sheet1!EJ376=Sheet1!EJ377),CF378-CL378,CF378-CL378)</f>
        <v>2.9928119122257058</v>
      </c>
      <c r="CN378" s="1040" t="str">
        <f t="shared" si="828"/>
        <v/>
      </c>
      <c r="CO378" s="1035">
        <f t="shared" si="829"/>
        <v>12.568888888888889</v>
      </c>
      <c r="CP378" s="535">
        <f t="shared" si="876"/>
        <v>0</v>
      </c>
      <c r="CQ378" s="535"/>
      <c r="CR378" s="535">
        <f ca="1">IF(B378&gt;(Summary!$A$1-1),#N/A,CP378*MGtoAF)</f>
        <v>0</v>
      </c>
      <c r="CS378" s="535">
        <f>Sheet1!BK376+Sheet1!BL376+Sheet1!BM376-Sheet1!ER376-DA378</f>
        <v>6.6999999999999993</v>
      </c>
      <c r="CT378" s="535">
        <f t="shared" si="877"/>
        <v>6.7063009404388714</v>
      </c>
      <c r="CU378" s="535">
        <f>IF(Sheet1!ER376="FM",DA378,0)</f>
        <v>0</v>
      </c>
      <c r="CV378" s="535">
        <f t="shared" si="878"/>
        <v>0</v>
      </c>
      <c r="CW378" s="535">
        <f>IF(Sheet1!ER376="OTHER",DA378,0)</f>
        <v>0</v>
      </c>
      <c r="CX378" s="535">
        <f t="shared" si="879"/>
        <v>0</v>
      </c>
      <c r="CY378" s="535">
        <f t="shared" si="880"/>
        <v>6.6999999999999993</v>
      </c>
      <c r="CZ378" s="535">
        <f t="shared" si="881"/>
        <v>6.7063009404388714</v>
      </c>
      <c r="DA378" s="535">
        <f>IF(OR(Sheet1!ER376="FM", Sheet1!ER376="OTHER"),SUM(Sheet1!BK376:'Sheet1'!BM376),0)</f>
        <v>0</v>
      </c>
      <c r="DB378" s="1011">
        <f>IF(AND($B378&gt;=$FV378,$B378&lt;=$FW378),MAX($CT378,Sheet1!EK376,0),MAX($CT378-(7/36)*$K378,0))</f>
        <v>0</v>
      </c>
      <c r="DC378" s="1012">
        <f t="shared" si="882"/>
        <v>0</v>
      </c>
      <c r="DD378" s="1011">
        <f t="shared" si="883"/>
        <v>6.7063009404388714</v>
      </c>
      <c r="DE378" s="521">
        <f>IF(AND($O378&gt;0,Sheet1!EO376=1),(1-($O378-Sheet1!$L376)/$O378)*CZ378,0)</f>
        <v>0</v>
      </c>
      <c r="DF378" s="521">
        <f>IF(AND(Sheet1!$L376=0,Sheet1!$L375=0, Calculation!CY378&lt;Sheet1!$EK376-0.1,Sheet1!$EK376=Sheet1!$EK375,Sheet1!$EK376=Sheet1!$EK377),CZ378-DE378,CZ378-DE378)</f>
        <v>6.7063009404388714</v>
      </c>
      <c r="DG378" s="1040">
        <f t="shared" si="830"/>
        <v>12.568888888888889</v>
      </c>
      <c r="DH378" s="649">
        <f t="shared" si="884"/>
        <v>10.7</v>
      </c>
      <c r="DI378" s="535">
        <f t="shared" si="885"/>
        <v>0</v>
      </c>
      <c r="DJ378" s="649">
        <f t="shared" si="886"/>
        <v>10.710062695924766</v>
      </c>
      <c r="DK378" s="535">
        <f ca="1">IF(B378&gt;(Summary!$A$1-1),#N/A,DI378*MGtoAF)</f>
        <v>0</v>
      </c>
      <c r="DL378" s="649">
        <f t="shared" si="887"/>
        <v>10.7</v>
      </c>
      <c r="DM378" s="535">
        <f t="shared" si="888"/>
        <v>31.9</v>
      </c>
      <c r="DN378" s="535">
        <f>Sheet1!AB376-DM378</f>
        <v>3.0000000000001137E-2</v>
      </c>
      <c r="DO378" s="743">
        <f t="shared" si="889"/>
        <v>9.4043887147338991E-4</v>
      </c>
      <c r="DP378" s="535">
        <f>(VLOOKUP(Sheet1!DC376,hhdcap_wcm,4)-(((VLOOKUP(Sheet1!DC376,hhdcap_wcm,3)-Sheet1!DC376)/(VLOOKUP(Sheet1!DC376,hhdcap_wcm,3)-VLOOKUP(Sheet1!DC376,hhdcap_wcm,1)))*(VLOOKUP(Sheet1!DC376,hhdcap_wcm,4)-VLOOKUP(Sheet1!DC376,hhdcap_wcm,2))))</f>
        <v>2452.4000000058936</v>
      </c>
      <c r="DQ378" s="535">
        <f t="shared" si="890"/>
        <v>-1840.40000000382</v>
      </c>
      <c r="DR378" s="535">
        <f t="shared" si="891"/>
        <v>-928.08875441443251</v>
      </c>
      <c r="DS378" s="535">
        <f>Sheet1!EA376*AFtoMG</f>
        <v>0</v>
      </c>
      <c r="DT378" s="535">
        <f>Sheet1!EB376*AFtoMG</f>
        <v>0</v>
      </c>
      <c r="DU378" s="535">
        <f>Sheet1!EC376*AFtoMG</f>
        <v>0</v>
      </c>
      <c r="DV378" s="535">
        <f>Sheet1!ED376*AFtoMG</f>
        <v>0</v>
      </c>
      <c r="DW378" s="535">
        <f t="shared" si="892"/>
        <v>0</v>
      </c>
      <c r="DX378" s="535">
        <f t="shared" si="893"/>
        <v>0</v>
      </c>
      <c r="DY378" s="535">
        <f t="shared" si="894"/>
        <v>0</v>
      </c>
      <c r="DZ378" s="535">
        <f t="shared" si="895"/>
        <v>0</v>
      </c>
      <c r="EA378" s="535"/>
      <c r="EB378" s="521">
        <f>IF(OR(B378&lt;FV378,B378&gt;FW378),(MIN(BF378+BY378+CT378+MAX(Sheet1!AA376+AQ378-73,0),K378)),0)</f>
        <v>10.710062695924766</v>
      </c>
      <c r="EC378" s="535"/>
      <c r="ED378" s="535">
        <f t="shared" si="896"/>
        <v>10.710062695924766</v>
      </c>
      <c r="EE378" s="535"/>
      <c r="EF378" s="535">
        <f>Sheet1!EH376+Sheet1!EI376+Sheet1!EJ376+Sheet1!EK376</f>
        <v>10.5</v>
      </c>
      <c r="EG378" s="1019">
        <f t="shared" si="831"/>
        <v>16.243500000000001</v>
      </c>
      <c r="EH378" s="521">
        <f t="shared" si="897"/>
        <v>0</v>
      </c>
      <c r="EI378" s="535">
        <f>IF(Sheet1!ET376=1,SUM('Calculations II'!AT378:BA378)+'Calculations II'!BC378+Sheet1!BV376+'Calculations II'!BE378+AP378,'Calculations II'!BK378)</f>
        <v>48.316723304075225</v>
      </c>
      <c r="EJ378" s="535">
        <f ca="1">EI378+'Calculations II'!D378+'Calculations II'!E378+'Calculations II'!O378</f>
        <v>44.44201365252448</v>
      </c>
      <c r="EK378" s="535"/>
      <c r="EL378" s="535"/>
      <c r="EM378" s="535">
        <f t="shared" si="898"/>
        <v>43102</v>
      </c>
      <c r="EN378" s="535">
        <f t="shared" si="899"/>
        <v>0</v>
      </c>
      <c r="EO378" s="535">
        <f t="shared" si="900"/>
        <v>0</v>
      </c>
      <c r="EP378" s="535">
        <v>0</v>
      </c>
      <c r="EQ378" s="535">
        <v>0</v>
      </c>
      <c r="ER378" s="535">
        <v>0</v>
      </c>
      <c r="ES378" s="521">
        <f t="shared" si="797"/>
        <v>2.9082508121489621</v>
      </c>
      <c r="ET378" s="535">
        <f>-(VLOOKUP(Sheet1!BQ376,Lookup!$O$4:$Q$262,2)-VLOOKUP(Sheet1!BQ375,Lookup!$O$4:$Q$262,2))/1000000</f>
        <v>1.5230505807866976</v>
      </c>
      <c r="EU378" s="535">
        <f>-(VLOOKUP(Sheet1!BR376,Lookup!$O$4:$Q$262,3)-VLOOKUP(Sheet1!BR375,Lookup!$O$4:$Q$262,3))/1000000</f>
        <v>1.3852002313622647</v>
      </c>
      <c r="EV378" s="535"/>
      <c r="EW378" s="535"/>
      <c r="EX378" s="535"/>
      <c r="EY378" s="535"/>
      <c r="EZ378" s="535"/>
      <c r="FA378" s="535"/>
      <c r="FB378" s="535"/>
      <c r="FC378" s="535"/>
      <c r="FD378" s="567" t="e">
        <f t="shared" si="847"/>
        <v>#N/A</v>
      </c>
      <c r="FE378" s="567" t="e">
        <f t="shared" si="901"/>
        <v>#N/A</v>
      </c>
      <c r="FF378" s="568" t="e">
        <f t="shared" si="902"/>
        <v>#N/A</v>
      </c>
      <c r="FG378" s="569" t="s">
        <v>656</v>
      </c>
      <c r="FH378" s="569" t="s">
        <v>656</v>
      </c>
      <c r="FI378" s="567" t="e">
        <v>#N/A</v>
      </c>
      <c r="FJ378" s="567" t="e">
        <v>#N/A</v>
      </c>
      <c r="FK378" s="535"/>
      <c r="FL378" s="1015" t="e">
        <f t="shared" si="846"/>
        <v>#N/A</v>
      </c>
      <c r="FM378" s="535"/>
      <c r="FN378" s="535"/>
      <c r="FO378" s="535">
        <f>O378+((Sheet1!CS376)*GPMtoMGD)</f>
        <v>57.129999999999995</v>
      </c>
      <c r="FP378" s="535">
        <f>IF(Sheet1!AA376+AQ378&lt;=Calculation!N378,AQ378,Calculation!N378-Sheet1!AA376)</f>
        <v>21.219937304075234</v>
      </c>
      <c r="FQ378" s="535">
        <f>(Sheet1!BP376+Sheet1!BO376)/694.4</f>
        <v>1.3122119815668203</v>
      </c>
      <c r="FR378" s="541"/>
      <c r="FS378" s="541"/>
      <c r="FT378" s="541"/>
      <c r="FU378" s="535"/>
      <c r="FV378" s="1109">
        <f t="shared" si="798"/>
        <v>42918</v>
      </c>
      <c r="FW378" s="1109">
        <f t="shared" si="799"/>
        <v>43027</v>
      </c>
      <c r="FX378" s="541"/>
      <c r="FY378" s="541">
        <f>Sheet1!DA376-Sheet1!CZ376-Sheet1!AE376</f>
        <v>721.61989000000005</v>
      </c>
      <c r="FZ378" s="535">
        <f t="shared" si="832"/>
        <v>0.56735082145435223</v>
      </c>
      <c r="GA378" s="535"/>
      <c r="GB378" s="535" t="str">
        <f t="shared" si="800"/>
        <v>n</v>
      </c>
      <c r="GC378" s="539">
        <f t="shared" si="801"/>
        <v>42782</v>
      </c>
      <c r="GD378" s="1109">
        <f t="shared" si="802"/>
        <v>42904</v>
      </c>
      <c r="GE378" s="535">
        <f t="shared" si="818"/>
        <v>6520</v>
      </c>
      <c r="GF378" s="1109">
        <f t="shared" si="803"/>
        <v>42909</v>
      </c>
      <c r="GG378" s="535">
        <f t="shared" si="845"/>
        <v>3260</v>
      </c>
      <c r="GH378" s="539">
        <f t="shared" si="804"/>
        <v>43040</v>
      </c>
      <c r="GJ378" s="521">
        <f t="shared" si="805"/>
        <v>0</v>
      </c>
      <c r="GK378" s="535" t="str">
        <f t="shared" si="903"/>
        <v/>
      </c>
      <c r="GL378" s="535">
        <f t="shared" si="806"/>
        <v>0</v>
      </c>
      <c r="GM378" s="535" t="str">
        <f t="shared" si="807"/>
        <v/>
      </c>
      <c r="GN378" s="535">
        <f>IF(GK378="P",Lookup!$M$12,IF(GK378="PP",Lookup!$M$13,IF(GK378="PPP",Lookup!$M$14,IF(GK378="T",Lookup!$M$15,IF(GK378="TP",Lookup!$M$16,IF(GK378="TPP",Lookup!$M$17,IF(GK378="TPPP",Lookup!$M$18,0)))))))*GJ378</f>
        <v>0</v>
      </c>
      <c r="GO378" s="535">
        <f t="shared" si="808"/>
        <v>0</v>
      </c>
      <c r="GP378" s="535">
        <f t="shared" si="904"/>
        <v>0</v>
      </c>
      <c r="GQ378" s="974">
        <f t="shared" si="848"/>
        <v>0</v>
      </c>
      <c r="GR378" s="535"/>
      <c r="GS378" s="535">
        <f t="shared" si="809"/>
        <v>0</v>
      </c>
      <c r="GT378" s="535" t="str">
        <f t="shared" si="810"/>
        <v/>
      </c>
      <c r="GU378" s="535">
        <f>IF(GK378="P",Lookup!$N$12,IF(GK378="PP",Lookup!$N$13,IF(GK378="PPP",Lookup!$N$14,IF(GK378="T",Lookup!$N$15,IF(GK378="TP",Lookup!$N$16,IF(GK378="TPP",Lookup!$N$17,IF(GK378="TPPP",Lookup!$N$18,0)))))))*GJ378</f>
        <v>0</v>
      </c>
      <c r="GV378" s="535">
        <f t="shared" si="811"/>
        <v>0</v>
      </c>
      <c r="GW378" s="535">
        <f t="shared" si="905"/>
        <v>0</v>
      </c>
      <c r="GX378" s="974">
        <f t="shared" si="849"/>
        <v>0</v>
      </c>
      <c r="GY378" s="535"/>
      <c r="GZ378" s="535">
        <f t="shared" si="812"/>
        <v>0</v>
      </c>
      <c r="HA378" s="535" t="str">
        <f t="shared" si="813"/>
        <v/>
      </c>
      <c r="HB378" s="535">
        <f>IF(GK378="P",Lookup!$N$12,IF(GK378="PP",Lookup!$N$13,IF(GK378="PPP",Lookup!$N$14,IF(GK378="T",Lookup!$N$15,IF(GK378="TP",Lookup!$N$16,IF(GK378="TPP",Lookup!$N$17,IF(GK378="TPPP",Lookup!$N$18,0)))))))*GJ378</f>
        <v>0</v>
      </c>
      <c r="HC378" s="521">
        <f t="shared" si="906"/>
        <v>0</v>
      </c>
      <c r="HD378" s="535">
        <f t="shared" si="907"/>
        <v>0</v>
      </c>
      <c r="HE378" s="535">
        <f t="shared" si="816"/>
        <v>0</v>
      </c>
      <c r="HF378" s="535"/>
      <c r="HG378" s="535">
        <f t="shared" si="814"/>
        <v>0</v>
      </c>
      <c r="HH378" s="535" t="str">
        <f t="shared" si="815"/>
        <v/>
      </c>
      <c r="HI378" s="535">
        <f>IF(GK378="P",Lookup!$N$12,IF(GK378="PP",Lookup!$N$13,IF(GK378="PPP",Lookup!$N$14,IF(GK378="T",Lookup!$N$15,IF(GK378="TP",Lookup!$N$16,IF(GK378="TPP",Lookup!$N$17,IF(GK378="TPPP",Lookup!$N$18,0)))))))*GJ378</f>
        <v>0</v>
      </c>
      <c r="HJ378" s="521">
        <f t="shared" si="908"/>
        <v>0</v>
      </c>
      <c r="HK378" s="535">
        <f t="shared" si="909"/>
        <v>0</v>
      </c>
      <c r="HL378" s="535">
        <f t="shared" si="817"/>
        <v>0</v>
      </c>
      <c r="HM378" s="535"/>
      <c r="HN378" s="541"/>
      <c r="HO378" s="541"/>
      <c r="HP378" s="541"/>
      <c r="HQ378" s="541"/>
      <c r="HR378" s="535"/>
      <c r="HT378" s="541"/>
      <c r="HU378" s="1019"/>
      <c r="HV378" s="541"/>
      <c r="HY378" s="541"/>
      <c r="HZ378" s="541"/>
      <c r="IA378" s="541"/>
      <c r="IB378" s="541"/>
      <c r="IC378" s="1019"/>
      <c r="ID378" s="1019"/>
      <c r="IH378" s="541">
        <f>IF(AND($B378&gt;=$GC378,$B378&lt;=$GH378,$DR378&lt;0)+N("only adjusted when pool is drawn down during storage season"),Sheet1!$DB376+$DR378+N("Palmer minus all storage release"),Sheet1!$DB376)</f>
        <v>2290</v>
      </c>
      <c r="II378" s="541">
        <f>IF(AND($B378&gt;=$GC378,$B378&lt;=$GH378,$DR378&lt;0)+N("only adjusted when pool is drawn down during storage season"),Sheet1!$DA376+$DR378+N("Auburn minus all storage release"),Sheet1!$DA376)</f>
        <v>3010</v>
      </c>
    </row>
    <row r="379" spans="1:243" x14ac:dyDescent="0.25">
      <c r="A379" s="553" t="s">
        <v>6</v>
      </c>
      <c r="B379" s="531">
        <v>43103</v>
      </c>
      <c r="C379" s="536">
        <v>0</v>
      </c>
      <c r="D379" s="506">
        <f t="shared" si="787"/>
        <v>300</v>
      </c>
      <c r="E379" s="506">
        <f t="shared" si="788"/>
        <v>250</v>
      </c>
      <c r="F379" s="506">
        <v>250</v>
      </c>
      <c r="G379" s="535">
        <f>DR379+Sheet1!CZ377</f>
        <v>1187.7155824497863</v>
      </c>
      <c r="H379" s="1074">
        <f t="shared" si="844"/>
        <v>1001.14289792</v>
      </c>
      <c r="I379" s="534">
        <f>IF(Sheet1!DA377&gt;=E379,(Sheet1!DA377-E379+P379)*CFStoMGD,0)</f>
        <v>1453.6228979199998</v>
      </c>
      <c r="J379" s="995">
        <f>IF(Sheet1!DB377&gt;=D379,(Sheet1!DB377-D379+P379)*CFStoMGD,0)</f>
        <v>1001.14289792</v>
      </c>
      <c r="K379" s="818">
        <f t="shared" si="819"/>
        <v>64.64</v>
      </c>
      <c r="L379" s="535">
        <f>Sheet1!AA377+Sheet1!AB377-Sheet1!L377+(Sheet1!DA377-F379)*CFStoMGD-S379-T379-U379</f>
        <v>1396.2239999999999</v>
      </c>
      <c r="M379" s="535">
        <f t="shared" si="850"/>
        <v>783.09413954545278</v>
      </c>
      <c r="N379" s="824">
        <f>IF(Sheet1!DA377&gt;=F379,MIN(113*CFStoMGD,MIN(MAX(L379,0),MAX(M379,0))),0)</f>
        <v>73.043199999999999</v>
      </c>
      <c r="O379" s="538">
        <f>Sheet1!AA377+Sheet1!AB377</f>
        <v>57.400000000000006</v>
      </c>
      <c r="P379" s="538">
        <f t="shared" si="851"/>
        <v>88.797799999999995</v>
      </c>
      <c r="Q379" s="812">
        <f t="shared" si="820"/>
        <v>0</v>
      </c>
      <c r="R379" s="812">
        <f t="shared" si="789"/>
        <v>10.899227202472954</v>
      </c>
      <c r="S379" s="812">
        <f t="shared" si="790"/>
        <v>57.400000000000006</v>
      </c>
      <c r="T379" s="812">
        <f t="shared" si="791"/>
        <v>0</v>
      </c>
      <c r="U379" s="812">
        <f>IF(AND(B379&gt;=FV379,B379&lt;=FW379),ED379+Sheet1!EH377,0)</f>
        <v>0</v>
      </c>
      <c r="V379" s="812"/>
      <c r="W379" s="812">
        <f t="shared" si="792"/>
        <v>53.740772797527043</v>
      </c>
      <c r="X379" s="812">
        <f t="shared" si="793"/>
        <v>57.400000000000006</v>
      </c>
      <c r="Y379" s="812" t="str">
        <f t="shared" si="794"/>
        <v/>
      </c>
      <c r="Z379" s="812">
        <f t="shared" si="795"/>
        <v>57.400000000000006</v>
      </c>
      <c r="AA379" s="812">
        <f t="shared" si="796"/>
        <v>57.400000000000006</v>
      </c>
      <c r="AB379" s="1059">
        <f t="shared" si="821"/>
        <v>0</v>
      </c>
      <c r="AC379" s="538">
        <f>Sheet1!Y377*MGDtoCFS</f>
        <v>38.984399999999994</v>
      </c>
      <c r="AD379" s="538">
        <f>Sheet1!Z377*MGDtoCFS</f>
        <v>49.395709999999994</v>
      </c>
      <c r="AE379" s="538">
        <f>Sheet1!AA377*MGDtoCFS</f>
        <v>38.984399999999994</v>
      </c>
      <c r="AF379" s="538">
        <f>Sheet1!AB377*MGDtoCFS</f>
        <v>49.813400000000001</v>
      </c>
      <c r="AG379" s="538">
        <f>Sheet1!L377*MGDtoCFS</f>
        <v>0</v>
      </c>
      <c r="AH379" s="521">
        <f t="shared" si="852"/>
        <v>0</v>
      </c>
      <c r="AI379" s="1059">
        <f t="shared" si="853"/>
        <v>0</v>
      </c>
      <c r="AJ379" s="535">
        <f t="shared" si="854"/>
        <v>0</v>
      </c>
      <c r="AK379" s="535">
        <f t="shared" si="855"/>
        <v>0</v>
      </c>
      <c r="AL379" s="535">
        <f>(VLOOKUP(Sheet1!DC377,hhdcap_wcm,4)-(((VLOOKUP(Sheet1!DC377,hhdcap_wcm,3)-Sheet1!DC377)/(VLOOKUP(Sheet1!DC377,hhdcap_wcm,3)-VLOOKUP(Sheet1!DC377,hhdcap_wcm,1)))*(VLOOKUP(Sheet1!DC377,hhdcap_wcm,4)-VLOOKUP(Sheet1!DC377,hhdcap_wcm,2))))</f>
        <v>1476.2000000038199</v>
      </c>
      <c r="AM379" s="535">
        <f t="shared" si="856"/>
        <v>-976.20000000207369</v>
      </c>
      <c r="AN379" s="1035">
        <f t="shared" si="857"/>
        <v>0</v>
      </c>
      <c r="AO379" s="535">
        <f t="shared" si="858"/>
        <v>0</v>
      </c>
      <c r="AP379" s="535">
        <f>Sheet1!BA377+Sheet1!BB377+Sheet1!BN377+CD379</f>
        <v>21.4</v>
      </c>
      <c r="AQ379" s="535">
        <f>Sheet1!BN377+(DO379*Sheet1!BN377)</f>
        <v>21.300772797527053</v>
      </c>
      <c r="AR379" s="535">
        <f>Sheet1!BA377+CD379</f>
        <v>0</v>
      </c>
      <c r="AS379" s="535">
        <f>Sheet1!BA377+Sheet1!BB377+CD379</f>
        <v>0</v>
      </c>
      <c r="AT379" s="649">
        <f>0</f>
        <v>0</v>
      </c>
      <c r="AU379" s="974">
        <f>BA379+MAX(Sheet1!EH377,(O379-Q379-ED379-S379))</f>
        <v>0</v>
      </c>
      <c r="AV379" s="535">
        <f>IF(OR(B379&gt;=GD379,B379&lt;GC379),0,15/36*K379-MAX(0,64.6-(137.6-(Sheet1!AA377+Sheet1!AB377))))</f>
        <v>0</v>
      </c>
      <c r="AW379" s="1029"/>
      <c r="AX379" s="649"/>
      <c r="AY379" s="649">
        <f t="shared" si="822"/>
        <v>23.311716569431731</v>
      </c>
      <c r="AZ379" s="649">
        <f t="shared" si="823"/>
        <v>0</v>
      </c>
      <c r="BA379" s="1059">
        <f t="shared" si="824"/>
        <v>0</v>
      </c>
      <c r="BB379" s="1019">
        <f t="shared" si="859"/>
        <v>0</v>
      </c>
      <c r="BC379" s="1035">
        <f t="shared" si="825"/>
        <v>26.933333333333334</v>
      </c>
      <c r="BD379" s="535">
        <f ca="1">IF(B379&gt;(Summary!$A$1-1),#N/A,BB379*MGtoAF)</f>
        <v>0</v>
      </c>
      <c r="BE379" s="535">
        <f>Sheet1!BG377+Sheet1!BH377+Sheet1!BI377-BM379</f>
        <v>1.01</v>
      </c>
      <c r="BF379" s="535">
        <f t="shared" si="860"/>
        <v>1.00531684698609</v>
      </c>
      <c r="BG379" s="535">
        <f>IF(Sheet1!EP377="FM",BM379,0)</f>
        <v>0</v>
      </c>
      <c r="BH379" s="535">
        <f t="shared" si="861"/>
        <v>0</v>
      </c>
      <c r="BI379" s="535">
        <f>IF(Sheet1!EP377="OTHER",BM379,0)</f>
        <v>0</v>
      </c>
      <c r="BJ379" s="535">
        <f t="shared" si="862"/>
        <v>0</v>
      </c>
      <c r="BK379" s="535">
        <f t="shared" si="863"/>
        <v>1.01</v>
      </c>
      <c r="BL379" s="535">
        <f t="shared" si="864"/>
        <v>1.00531684698609</v>
      </c>
      <c r="BM379" s="535">
        <f>IF(OR(Sheet1!EP377="FM", Sheet1!EP377="OTHER"),SUM(Sheet1!BG377:'Sheet1'!BI377),0)</f>
        <v>0</v>
      </c>
      <c r="BN379" s="521">
        <f>IF(AND($B379&gt;=$FV379,$B379&lt;=$FW379),MAX(BF379,Sheet1!EI377,0),MAX(BF379-(7/36)*$K379,0))</f>
        <v>0</v>
      </c>
      <c r="BO379" s="535">
        <f t="shared" si="865"/>
        <v>0</v>
      </c>
      <c r="BP379" s="521">
        <f t="shared" si="866"/>
        <v>1.00531684698609</v>
      </c>
      <c r="BQ379" s="521">
        <f>IF(AND($O379&gt;0,Sheet1!EM377=1),(1-($O379-Sheet1!$L377)/$O379)*BL379,0)</f>
        <v>0</v>
      </c>
      <c r="BR379" s="521">
        <f>IF(AND(Sheet1!$L377=0,Sheet1!$L376=0, Calculation!BK379&lt;Sheet1!$EI377-0.1,Sheet1!$EI377=Sheet1!$EI376,Sheet1!$EI377=Sheet1!$EI378),BL379-BQ379,BL379-BQ379)</f>
        <v>1.00531684698609</v>
      </c>
      <c r="BS379" s="1035" t="str">
        <f t="shared" si="826"/>
        <v/>
      </c>
      <c r="BT379" s="1035">
        <f t="shared" si="827"/>
        <v>12.568888888888889</v>
      </c>
      <c r="BU379" s="535">
        <f t="shared" si="867"/>
        <v>0</v>
      </c>
      <c r="BV379" s="535"/>
      <c r="BW379" s="535">
        <f ca="1">IF(B379&gt;(Summary!$A$1-1),#N/A,BU379*MGtoAF)</f>
        <v>0</v>
      </c>
      <c r="BX379" s="535">
        <f>Sheet1!BC377+Sheet1!BD377+Sheet1!BE377+Sheet1!BF377-CG379-CH379</f>
        <v>2.99</v>
      </c>
      <c r="BY379" s="535">
        <f t="shared" si="868"/>
        <v>2.9761360123647616</v>
      </c>
      <c r="BZ379" s="535">
        <f>IF(Sheet1!EQ377="FM",CH379,0)</f>
        <v>0</v>
      </c>
      <c r="CA379" s="535">
        <f t="shared" si="869"/>
        <v>0</v>
      </c>
      <c r="CB379" s="535">
        <f>IF(Sheet1!EQ377="OTHER",CH379,0)</f>
        <v>0</v>
      </c>
      <c r="CC379" s="535">
        <f t="shared" si="870"/>
        <v>0</v>
      </c>
      <c r="CD379" s="535">
        <f t="shared" si="871"/>
        <v>0</v>
      </c>
      <c r="CE379" s="535">
        <f t="shared" si="872"/>
        <v>2.99</v>
      </c>
      <c r="CF379" s="535">
        <f t="shared" si="873"/>
        <v>2.9761360123647616</v>
      </c>
      <c r="CG379" s="535">
        <f>IF(Sheet1!EQ377="CWA",SUM(Sheet1!BC377:'Sheet1'!BF377),0)</f>
        <v>0</v>
      </c>
      <c r="CH379" s="535">
        <f>IF(OR(Sheet1!EQ377="FM", Sheet1!EQ377="OTHER"),SUM(Sheet1!BC377:'Sheet1'!BF377),0)</f>
        <v>0</v>
      </c>
      <c r="CI379" s="521">
        <f>IF(AND($B379&gt;=$FV379,$B379&lt;=$FW379),MAX(CF379,Sheet1!EJ377,0),MAX(CF379-(7/36)*$K379,0))</f>
        <v>0</v>
      </c>
      <c r="CJ379" s="535">
        <f t="shared" si="874"/>
        <v>0</v>
      </c>
      <c r="CK379" s="521">
        <f t="shared" si="875"/>
        <v>2.9761360123647616</v>
      </c>
      <c r="CL379" s="521">
        <f>IF(AND($O379&gt;0,Sheet1!EN377=1),(1-($O379-Sheet1!$L377)/$O379)*CF379,0)</f>
        <v>0</v>
      </c>
      <c r="CM379" s="521">
        <f>IF(AND(Sheet1!$L377=0,Sheet1!$L376=0, Calculation!CE379&lt;Sheet1!EJ377-0.1,Sheet1!EJ377=Sheet1!EJ376,Sheet1!EJ377=Sheet1!EJ378),CF379-CL379,CF379-CL379)</f>
        <v>2.9761360123647616</v>
      </c>
      <c r="CN379" s="1040" t="str">
        <f t="shared" si="828"/>
        <v/>
      </c>
      <c r="CO379" s="1035">
        <f t="shared" si="829"/>
        <v>12.568888888888889</v>
      </c>
      <c r="CP379" s="535">
        <f t="shared" si="876"/>
        <v>0</v>
      </c>
      <c r="CQ379" s="535"/>
      <c r="CR379" s="535">
        <f ca="1">IF(B379&gt;(Summary!$A$1-1),#N/A,CP379*MGtoAF)</f>
        <v>0</v>
      </c>
      <c r="CS379" s="535">
        <f>Sheet1!BK377+Sheet1!BL377+Sheet1!BM377-Sheet1!ER377-DA379</f>
        <v>6.9499999999999993</v>
      </c>
      <c r="CT379" s="535">
        <f t="shared" si="877"/>
        <v>6.9177743431221028</v>
      </c>
      <c r="CU379" s="535">
        <f>IF(Sheet1!ER377="FM",DA379,0)</f>
        <v>0</v>
      </c>
      <c r="CV379" s="535">
        <f t="shared" si="878"/>
        <v>0</v>
      </c>
      <c r="CW379" s="535">
        <f>IF(Sheet1!ER377="OTHER",DA379,0)</f>
        <v>0</v>
      </c>
      <c r="CX379" s="535">
        <f t="shared" si="879"/>
        <v>0</v>
      </c>
      <c r="CY379" s="535">
        <f t="shared" si="880"/>
        <v>6.9499999999999993</v>
      </c>
      <c r="CZ379" s="535">
        <f t="shared" si="881"/>
        <v>6.9177743431221028</v>
      </c>
      <c r="DA379" s="535">
        <f>IF(OR(Sheet1!ER377="FM", Sheet1!ER377="OTHER"),SUM(Sheet1!BK377:'Sheet1'!BM377),0)</f>
        <v>0</v>
      </c>
      <c r="DB379" s="1011">
        <f>IF(AND($B379&gt;=$FV379,$B379&lt;=$FW379),MAX($CT379,Sheet1!EK377,0),MAX($CT379-(7/36)*$K379,0))</f>
        <v>0</v>
      </c>
      <c r="DC379" s="1012">
        <f t="shared" si="882"/>
        <v>0</v>
      </c>
      <c r="DD379" s="1011">
        <f t="shared" si="883"/>
        <v>6.9177743431221028</v>
      </c>
      <c r="DE379" s="521">
        <f>IF(AND($O379&gt;0,Sheet1!EO377=1),(1-($O379-Sheet1!$L377)/$O379)*CZ379,0)</f>
        <v>0</v>
      </c>
      <c r="DF379" s="521">
        <f>IF(AND(Sheet1!$L377=0,Sheet1!$L376=0, Calculation!CY379&lt;Sheet1!$EK377-0.1,Sheet1!$EK377=Sheet1!$EK376,Sheet1!$EK377=Sheet1!$EK378),CZ379-DE379,CZ379-DE379)</f>
        <v>6.9177743431221028</v>
      </c>
      <c r="DG379" s="1040">
        <f t="shared" si="830"/>
        <v>12.568888888888889</v>
      </c>
      <c r="DH379" s="649">
        <f t="shared" si="884"/>
        <v>10.95</v>
      </c>
      <c r="DI379" s="535">
        <f t="shared" si="885"/>
        <v>0</v>
      </c>
      <c r="DJ379" s="649">
        <f t="shared" si="886"/>
        <v>10.899227202472954</v>
      </c>
      <c r="DK379" s="535">
        <f ca="1">IF(B379&gt;(Summary!$A$1-1),#N/A,DI379*MGtoAF)</f>
        <v>0</v>
      </c>
      <c r="DL379" s="649">
        <f t="shared" si="887"/>
        <v>10.95</v>
      </c>
      <c r="DM379" s="535">
        <f t="shared" si="888"/>
        <v>32.349999999999994</v>
      </c>
      <c r="DN379" s="535">
        <f>Sheet1!AB377-DM379</f>
        <v>-0.14999999999999147</v>
      </c>
      <c r="DO379" s="743">
        <f t="shared" si="889"/>
        <v>-4.6367851622872176E-3</v>
      </c>
      <c r="DP379" s="535">
        <f>(VLOOKUP(Sheet1!DC377,hhdcap_wcm,4)-(((VLOOKUP(Sheet1!DC377,hhdcap_wcm,3)-Sheet1!DC377)/(VLOOKUP(Sheet1!DC377,hhdcap_wcm,3)-VLOOKUP(Sheet1!DC377,hhdcap_wcm,1)))*(VLOOKUP(Sheet1!DC377,hhdcap_wcm,4)-VLOOKUP(Sheet1!DC377,hhdcap_wcm,2))))</f>
        <v>1476.2000000038199</v>
      </c>
      <c r="DQ379" s="535">
        <f t="shared" si="890"/>
        <v>-976.20000000207369</v>
      </c>
      <c r="DR379" s="535">
        <f t="shared" si="891"/>
        <v>-492.28441755021362</v>
      </c>
      <c r="DS379" s="535">
        <f>Sheet1!EA377*AFtoMG</f>
        <v>0</v>
      </c>
      <c r="DT379" s="535">
        <f>Sheet1!EB377*AFtoMG</f>
        <v>0</v>
      </c>
      <c r="DU379" s="535">
        <f>Sheet1!EC377*AFtoMG</f>
        <v>0</v>
      </c>
      <c r="DV379" s="535">
        <f>Sheet1!ED377*AFtoMG</f>
        <v>0</v>
      </c>
      <c r="DW379" s="535">
        <f t="shared" si="892"/>
        <v>0</v>
      </c>
      <c r="DX379" s="535">
        <f t="shared" si="893"/>
        <v>0</v>
      </c>
      <c r="DY379" s="535">
        <f t="shared" si="894"/>
        <v>0</v>
      </c>
      <c r="DZ379" s="535">
        <f t="shared" si="895"/>
        <v>0</v>
      </c>
      <c r="EA379" s="535"/>
      <c r="EB379" s="521">
        <f>IF(OR(B379&lt;FV379,B379&gt;FW379),(MIN(BF379+BY379+CT379+MAX(Sheet1!AA377+AQ379-73,0),K379)),0)</f>
        <v>10.899227202472954</v>
      </c>
      <c r="EC379" s="535"/>
      <c r="ED379" s="535">
        <f t="shared" si="896"/>
        <v>10.899227202472954</v>
      </c>
      <c r="EE379" s="535"/>
      <c r="EF379" s="535">
        <f>Sheet1!EH377+Sheet1!EI377+Sheet1!EJ377+Sheet1!EK377</f>
        <v>10.5</v>
      </c>
      <c r="EG379" s="1019">
        <f t="shared" si="831"/>
        <v>16.243500000000001</v>
      </c>
      <c r="EH379" s="521">
        <f t="shared" si="897"/>
        <v>0</v>
      </c>
      <c r="EI379" s="535">
        <f>IF(Sheet1!ET377=1,SUM('Calculations II'!AT379:BA379)+'Calculations II'!BC379+Sheet1!BV377+'Calculations II'!BE379+AP379,'Calculations II'!BK379)</f>
        <v>46.906924797527054</v>
      </c>
      <c r="EJ379" s="535">
        <f ca="1">EI379+'Calculations II'!D379+'Calculations II'!E379+'Calculations II'!O379</f>
        <v>45.608371862732895</v>
      </c>
      <c r="EK379" s="535"/>
      <c r="EL379" s="535"/>
      <c r="EM379" s="535">
        <f t="shared" si="898"/>
        <v>43103</v>
      </c>
      <c r="EN379" s="535">
        <f t="shared" si="899"/>
        <v>0</v>
      </c>
      <c r="EO379" s="535">
        <f t="shared" si="900"/>
        <v>0</v>
      </c>
      <c r="EP379" s="535">
        <v>0</v>
      </c>
      <c r="EQ379" s="535">
        <v>0</v>
      </c>
      <c r="ER379" s="535">
        <v>0</v>
      </c>
      <c r="ES379" s="521">
        <f t="shared" si="797"/>
        <v>1.3843992261195854</v>
      </c>
      <c r="ET379" s="535">
        <f>-(VLOOKUP(Sheet1!BQ377,Lookup!$O$4:$Q$262,2)-VLOOKUP(Sheet1!BQ376,Lookup!$O$4:$Q$262,2))/1000000</f>
        <v>0.6920394323337562</v>
      </c>
      <c r="EU379" s="535">
        <f>-(VLOOKUP(Sheet1!BR377,Lookup!$O$4:$Q$262,3)-VLOOKUP(Sheet1!BR376,Lookup!$O$4:$Q$262,3))/1000000</f>
        <v>0.69235979378582913</v>
      </c>
      <c r="EV379" s="535"/>
      <c r="EW379" s="535"/>
      <c r="EX379" s="535"/>
      <c r="EY379" s="535"/>
      <c r="EZ379" s="535"/>
      <c r="FA379" s="535"/>
      <c r="FB379" s="535"/>
      <c r="FC379" s="535"/>
      <c r="FD379" s="567" t="e">
        <f t="shared" si="847"/>
        <v>#N/A</v>
      </c>
      <c r="FE379" s="567" t="e">
        <f t="shared" si="901"/>
        <v>#N/A</v>
      </c>
      <c r="FF379" s="568" t="e">
        <f t="shared" si="902"/>
        <v>#N/A</v>
      </c>
      <c r="FG379" s="569" t="s">
        <v>656</v>
      </c>
      <c r="FH379" s="569" t="s">
        <v>656</v>
      </c>
      <c r="FI379" s="567" t="e">
        <v>#N/A</v>
      </c>
      <c r="FJ379" s="567" t="e">
        <v>#N/A</v>
      </c>
      <c r="FK379" s="535"/>
      <c r="FL379" s="1015" t="e">
        <f t="shared" si="846"/>
        <v>#N/A</v>
      </c>
      <c r="FM379" s="535"/>
      <c r="FN379" s="535"/>
      <c r="FO379" s="535">
        <f>O379+((Sheet1!CS377)*GPMtoMGD)</f>
        <v>57.400000000000006</v>
      </c>
      <c r="FP379" s="535">
        <f>IF(Sheet1!AA377+AQ379&lt;=Calculation!N379,AQ379,Calculation!N379-Sheet1!AA377)</f>
        <v>21.300772797527053</v>
      </c>
      <c r="FQ379" s="535">
        <f>(Sheet1!BP377+Sheet1!BO377)/694.4</f>
        <v>1.3130760368663597</v>
      </c>
      <c r="FR379" s="541"/>
      <c r="FS379" s="541"/>
      <c r="FT379" s="541"/>
      <c r="FU379" s="535"/>
      <c r="FV379" s="1109">
        <f t="shared" si="798"/>
        <v>42918</v>
      </c>
      <c r="FW379" s="1109">
        <f t="shared" si="799"/>
        <v>43027</v>
      </c>
      <c r="FX379" s="541"/>
      <c r="FY379" s="541">
        <f>Sheet1!DA377-Sheet1!CZ377-Sheet1!AE377</f>
        <v>641.20219999999995</v>
      </c>
      <c r="FZ379" s="535">
        <f t="shared" si="832"/>
        <v>0.53986173918629077</v>
      </c>
      <c r="GA379" s="535"/>
      <c r="GB379" s="535" t="str">
        <f t="shared" si="800"/>
        <v>n</v>
      </c>
      <c r="GC379" s="539">
        <f t="shared" si="801"/>
        <v>42782</v>
      </c>
      <c r="GD379" s="1109">
        <f t="shared" si="802"/>
        <v>42904</v>
      </c>
      <c r="GE379" s="535">
        <f t="shared" si="818"/>
        <v>6520</v>
      </c>
      <c r="GF379" s="1109">
        <f t="shared" si="803"/>
        <v>42909</v>
      </c>
      <c r="GG379" s="535">
        <f t="shared" si="845"/>
        <v>3260</v>
      </c>
      <c r="GH379" s="539">
        <f t="shared" si="804"/>
        <v>43040</v>
      </c>
      <c r="GJ379" s="521">
        <f t="shared" si="805"/>
        <v>0</v>
      </c>
      <c r="GK379" s="535" t="str">
        <f t="shared" si="903"/>
        <v/>
      </c>
      <c r="GL379" s="535">
        <f t="shared" si="806"/>
        <v>0</v>
      </c>
      <c r="GM379" s="535" t="str">
        <f t="shared" si="807"/>
        <v/>
      </c>
      <c r="GN379" s="535">
        <f>IF(GK379="P",Lookup!$M$12,IF(GK379="PP",Lookup!$M$13,IF(GK379="PPP",Lookup!$M$14,IF(GK379="T",Lookup!$M$15,IF(GK379="TP",Lookup!$M$16,IF(GK379="TPP",Lookup!$M$17,IF(GK379="TPPP",Lookup!$M$18,0)))))))*GJ379</f>
        <v>0</v>
      </c>
      <c r="GO379" s="535">
        <f t="shared" si="808"/>
        <v>0</v>
      </c>
      <c r="GP379" s="535">
        <f t="shared" si="904"/>
        <v>0</v>
      </c>
      <c r="GQ379" s="974">
        <f t="shared" si="848"/>
        <v>0</v>
      </c>
      <c r="GR379" s="535"/>
      <c r="GS379" s="535">
        <f t="shared" si="809"/>
        <v>0</v>
      </c>
      <c r="GT379" s="535" t="str">
        <f t="shared" si="810"/>
        <v/>
      </c>
      <c r="GU379" s="535">
        <f>IF(GK379="P",Lookup!$N$12,IF(GK379="PP",Lookup!$N$13,IF(GK379="PPP",Lookup!$N$14,IF(GK379="T",Lookup!$N$15,IF(GK379="TP",Lookup!$N$16,IF(GK379="TPP",Lookup!$N$17,IF(GK379="TPPP",Lookup!$N$18,0)))))))*GJ379</f>
        <v>0</v>
      </c>
      <c r="GV379" s="535">
        <f t="shared" si="811"/>
        <v>0</v>
      </c>
      <c r="GW379" s="535">
        <f t="shared" si="905"/>
        <v>0</v>
      </c>
      <c r="GX379" s="974">
        <f t="shared" si="849"/>
        <v>0</v>
      </c>
      <c r="GY379" s="535"/>
      <c r="GZ379" s="535">
        <f t="shared" si="812"/>
        <v>0</v>
      </c>
      <c r="HA379" s="535" t="str">
        <f t="shared" si="813"/>
        <v/>
      </c>
      <c r="HB379" s="535">
        <f>IF(GK379="P",Lookup!$N$12,IF(GK379="PP",Lookup!$N$13,IF(GK379="PPP",Lookup!$N$14,IF(GK379="T",Lookup!$N$15,IF(GK379="TP",Lookup!$N$16,IF(GK379="TPP",Lookup!$N$17,IF(GK379="TPPP",Lookup!$N$18,0)))))))*GJ379</f>
        <v>0</v>
      </c>
      <c r="HC379" s="521">
        <f t="shared" si="906"/>
        <v>0</v>
      </c>
      <c r="HD379" s="535">
        <f t="shared" si="907"/>
        <v>0</v>
      </c>
      <c r="HE379" s="535">
        <f t="shared" si="816"/>
        <v>0</v>
      </c>
      <c r="HF379" s="535"/>
      <c r="HG379" s="535">
        <f t="shared" si="814"/>
        <v>0</v>
      </c>
      <c r="HH379" s="535" t="str">
        <f t="shared" si="815"/>
        <v/>
      </c>
      <c r="HI379" s="535">
        <f>IF(GK379="P",Lookup!$N$12,IF(GK379="PP",Lookup!$N$13,IF(GK379="PPP",Lookup!$N$14,IF(GK379="T",Lookup!$N$15,IF(GK379="TP",Lookup!$N$16,IF(GK379="TPP",Lookup!$N$17,IF(GK379="TPPP",Lookup!$N$18,0)))))))*GJ379</f>
        <v>0</v>
      </c>
      <c r="HJ379" s="521">
        <f t="shared" si="908"/>
        <v>0</v>
      </c>
      <c r="HK379" s="535">
        <f t="shared" si="909"/>
        <v>0</v>
      </c>
      <c r="HL379" s="535">
        <f t="shared" si="817"/>
        <v>0</v>
      </c>
      <c r="HM379" s="535"/>
      <c r="HN379" s="541"/>
      <c r="HO379" s="541"/>
      <c r="HP379" s="541"/>
      <c r="HQ379" s="541"/>
      <c r="HR379" s="535"/>
      <c r="HT379" s="541"/>
      <c r="HU379" s="1019"/>
      <c r="HV379" s="541"/>
      <c r="HY379" s="541"/>
      <c r="HZ379" s="541"/>
      <c r="IA379" s="541"/>
      <c r="IB379" s="541"/>
      <c r="IC379" s="1019"/>
      <c r="ID379" s="1019"/>
      <c r="IH379" s="541">
        <f>IF(AND($B379&gt;=$GC379,$B379&lt;=$GH379,$DR379&lt;0)+N("only adjusted when pool is drawn down during storage season"),Sheet1!$DB377+$DR379+N("Palmer minus all storage release"),Sheet1!$DB377)</f>
        <v>1760</v>
      </c>
      <c r="II379" s="541">
        <f>IF(AND($B379&gt;=$GC379,$B379&lt;=$GH379,$DR379&lt;0)+N("only adjusted when pool is drawn down during storage season"),Sheet1!$DA377+$DR379+N("Auburn minus all storage release"),Sheet1!$DA377)</f>
        <v>2410</v>
      </c>
    </row>
    <row r="380" spans="1:243" x14ac:dyDescent="0.25">
      <c r="A380" s="553" t="s">
        <v>7</v>
      </c>
      <c r="B380" s="531">
        <v>43104</v>
      </c>
      <c r="C380" s="536">
        <v>0</v>
      </c>
      <c r="D380" s="506">
        <f t="shared" si="787"/>
        <v>300</v>
      </c>
      <c r="E380" s="506">
        <f t="shared" si="788"/>
        <v>250</v>
      </c>
      <c r="F380" s="506">
        <v>250</v>
      </c>
      <c r="G380" s="535">
        <f>DR380+Sheet1!CZ378</f>
        <v>1053.1719616737632</v>
      </c>
      <c r="H380" s="1074">
        <f t="shared" si="844"/>
        <v>705.53886451199992</v>
      </c>
      <c r="I380" s="534">
        <f>IF(Sheet1!DA378&gt;=E380,(Sheet1!DA378-E380+P380)*CFStoMGD,0)</f>
        <v>1170.9468645119998</v>
      </c>
      <c r="J380" s="995">
        <f>IF(Sheet1!DB378&gt;=D380,(Sheet1!DB378-D380+P380)*CFStoMGD,0)</f>
        <v>705.53886451199992</v>
      </c>
      <c r="K380" s="818">
        <f t="shared" si="819"/>
        <v>64.64</v>
      </c>
      <c r="L380" s="535">
        <f>Sheet1!AA378+Sheet1!AB378-Sheet1!L378+(Sheet1!DA378-F380)*CFStoMGD-S380-T380-U380</f>
        <v>1111.808</v>
      </c>
      <c r="M380" s="535">
        <f t="shared" si="850"/>
        <v>694.38576314643899</v>
      </c>
      <c r="N380" s="824">
        <f>IF(Sheet1!DA378&gt;=F380,MIN(113*CFStoMGD,MIN(MAX(L380,0),MAX(M380,0))),0)</f>
        <v>73.043199999999999</v>
      </c>
      <c r="O380" s="538">
        <f>Sheet1!AA378+Sheet1!AB378</f>
        <v>59.14</v>
      </c>
      <c r="P380" s="538">
        <f t="shared" si="851"/>
        <v>91.489579999999989</v>
      </c>
      <c r="Q380" s="812">
        <f t="shared" si="820"/>
        <v>0</v>
      </c>
      <c r="R380" s="812">
        <f t="shared" si="789"/>
        <v>10.481470588235293</v>
      </c>
      <c r="S380" s="812">
        <f t="shared" si="790"/>
        <v>59.14</v>
      </c>
      <c r="T380" s="812">
        <f t="shared" si="791"/>
        <v>0</v>
      </c>
      <c r="U380" s="812">
        <f>IF(AND(B380&gt;=FV380,B380&lt;=FW380),ED380+Sheet1!EH378,0)</f>
        <v>0</v>
      </c>
      <c r="V380" s="812"/>
      <c r="W380" s="812">
        <f t="shared" si="792"/>
        <v>54.158529411764704</v>
      </c>
      <c r="X380" s="812">
        <f t="shared" si="793"/>
        <v>59.14</v>
      </c>
      <c r="Y380" s="812" t="str">
        <f t="shared" si="794"/>
        <v/>
      </c>
      <c r="Z380" s="812">
        <f t="shared" si="795"/>
        <v>59.14</v>
      </c>
      <c r="AA380" s="812">
        <f t="shared" si="796"/>
        <v>59.14</v>
      </c>
      <c r="AB380" s="1059">
        <f t="shared" si="821"/>
        <v>0</v>
      </c>
      <c r="AC380" s="538">
        <f>Sheet1!Y378*MGDtoCFS</f>
        <v>38.984399999999994</v>
      </c>
      <c r="AD380" s="538">
        <f>Sheet1!Z378*MGDtoCFS</f>
        <v>49.813400000000001</v>
      </c>
      <c r="AE380" s="538">
        <f>Sheet1!AA378*MGDtoCFS</f>
        <v>38.984399999999994</v>
      </c>
      <c r="AF380" s="538">
        <f>Sheet1!AB378*MGDtoCFS</f>
        <v>52.505179999999996</v>
      </c>
      <c r="AG380" s="538">
        <f>Sheet1!L378*MGDtoCFS</f>
        <v>0</v>
      </c>
      <c r="AH380" s="521">
        <f t="shared" si="852"/>
        <v>0</v>
      </c>
      <c r="AI380" s="1059">
        <f t="shared" si="853"/>
        <v>0</v>
      </c>
      <c r="AJ380" s="535">
        <f t="shared" si="854"/>
        <v>0</v>
      </c>
      <c r="AK380" s="535">
        <f t="shared" si="855"/>
        <v>0</v>
      </c>
      <c r="AL380" s="535">
        <f>(VLOOKUP(Sheet1!DC378,hhdcap_wcm,4)-(((VLOOKUP(Sheet1!DC378,hhdcap_wcm,3)-Sheet1!DC378)/(VLOOKUP(Sheet1!DC378,hhdcap_wcm,3)-VLOOKUP(Sheet1!DC378,hhdcap_wcm,1)))*(VLOOKUP(Sheet1!DC378,hhdcap_wcm,4)-VLOOKUP(Sheet1!DC378,hhdcap_wcm,2))))</f>
        <v>1026.4000000028923</v>
      </c>
      <c r="AM380" s="535">
        <f t="shared" si="856"/>
        <v>-449.80000000092764</v>
      </c>
      <c r="AN380" s="1035">
        <f t="shared" si="857"/>
        <v>0</v>
      </c>
      <c r="AO380" s="535">
        <f t="shared" si="858"/>
        <v>0</v>
      </c>
      <c r="AP380" s="535">
        <f>Sheet1!BA378+Sheet1!BB378+Sheet1!BN378+CD380</f>
        <v>23.5</v>
      </c>
      <c r="AQ380" s="535">
        <f>Sheet1!BN378+(DO380*Sheet1!BN378)</f>
        <v>23.458529411764705</v>
      </c>
      <c r="AR380" s="535">
        <f>Sheet1!BA378+CD380</f>
        <v>0</v>
      </c>
      <c r="AS380" s="535">
        <f>Sheet1!BA378+Sheet1!BB378+CD380</f>
        <v>0</v>
      </c>
      <c r="AT380" s="649">
        <f>0</f>
        <v>0</v>
      </c>
      <c r="AU380" s="974">
        <f>BA380+MAX(Sheet1!EH378,(O380-Q380-ED380-S380))</f>
        <v>0</v>
      </c>
      <c r="AV380" s="535">
        <f>IF(OR(B380&gt;=GD380,B380&lt;GC380),0,15/36*K380-MAX(0,64.6-(137.6-(Sheet1!AA378+Sheet1!AB378))))</f>
        <v>0</v>
      </c>
      <c r="AW380" s="1029"/>
      <c r="AX380" s="649"/>
      <c r="AY380" s="649">
        <f t="shared" si="822"/>
        <v>23.311716569431731</v>
      </c>
      <c r="AZ380" s="649">
        <f t="shared" si="823"/>
        <v>0</v>
      </c>
      <c r="BA380" s="1059">
        <f t="shared" si="824"/>
        <v>0</v>
      </c>
      <c r="BB380" s="1019">
        <f t="shared" si="859"/>
        <v>0</v>
      </c>
      <c r="BC380" s="1035">
        <f t="shared" si="825"/>
        <v>26.933333333333334</v>
      </c>
      <c r="BD380" s="535">
        <f ca="1">IF(B380&gt;(Summary!$A$1-1),#N/A,BB380*MGtoAF)</f>
        <v>0</v>
      </c>
      <c r="BE380" s="535">
        <f>Sheet1!BG378+Sheet1!BH378+Sheet1!BI378-BM380</f>
        <v>1.01</v>
      </c>
      <c r="BF380" s="535">
        <f t="shared" si="860"/>
        <v>1.0082176470588236</v>
      </c>
      <c r="BG380" s="535">
        <f>IF(Sheet1!EP378="FM",BM380,0)</f>
        <v>0</v>
      </c>
      <c r="BH380" s="535">
        <f t="shared" si="861"/>
        <v>0</v>
      </c>
      <c r="BI380" s="535">
        <f>IF(Sheet1!EP378="OTHER",BM380,0)</f>
        <v>0</v>
      </c>
      <c r="BJ380" s="535">
        <f t="shared" si="862"/>
        <v>0</v>
      </c>
      <c r="BK380" s="535">
        <f t="shared" si="863"/>
        <v>1.01</v>
      </c>
      <c r="BL380" s="535">
        <f t="shared" si="864"/>
        <v>1.0082176470588236</v>
      </c>
      <c r="BM380" s="535">
        <f>IF(OR(Sheet1!EP378="FM", Sheet1!EP378="OTHER"),SUM(Sheet1!BG378:'Sheet1'!BI378),0)</f>
        <v>0</v>
      </c>
      <c r="BN380" s="521">
        <f>IF(AND($B380&gt;=$FV380,$B380&lt;=$FW380),MAX(BF380,Sheet1!EI378,0),MAX(BF380-(7/36)*$K380,0))</f>
        <v>0</v>
      </c>
      <c r="BO380" s="535">
        <f t="shared" si="865"/>
        <v>0</v>
      </c>
      <c r="BP380" s="521">
        <f t="shared" si="866"/>
        <v>1.0082176470588236</v>
      </c>
      <c r="BQ380" s="521">
        <f>IF(AND($O380&gt;0,Sheet1!EM378=1),(1-($O380-Sheet1!$L378)/$O380)*BL380,0)</f>
        <v>0</v>
      </c>
      <c r="BR380" s="521">
        <f>IF(AND(Sheet1!$L378=0,Sheet1!$L377=0, Calculation!BK380&lt;Sheet1!$EI378-0.1,Sheet1!$EI378=Sheet1!$EI377,Sheet1!$EI378=Sheet1!$EI379),BL380-BQ380,BL380-BQ380)</f>
        <v>1.0082176470588236</v>
      </c>
      <c r="BS380" s="1035" t="str">
        <f t="shared" si="826"/>
        <v/>
      </c>
      <c r="BT380" s="1035">
        <f t="shared" si="827"/>
        <v>12.568888888888889</v>
      </c>
      <c r="BU380" s="535">
        <f t="shared" si="867"/>
        <v>0</v>
      </c>
      <c r="BV380" s="535"/>
      <c r="BW380" s="535">
        <f ca="1">IF(B380&gt;(Summary!$A$1-1),#N/A,BU380*MGtoAF)</f>
        <v>0</v>
      </c>
      <c r="BX380" s="535">
        <f>Sheet1!BC378+Sheet1!BD378+Sheet1!BE378+Sheet1!BF378-CG380-CH380</f>
        <v>2.99</v>
      </c>
      <c r="BY380" s="535">
        <f t="shared" si="868"/>
        <v>2.9847235294117649</v>
      </c>
      <c r="BZ380" s="535">
        <f>IF(Sheet1!EQ378="FM",CH380,0)</f>
        <v>0</v>
      </c>
      <c r="CA380" s="535">
        <f t="shared" si="869"/>
        <v>0</v>
      </c>
      <c r="CB380" s="535">
        <f>IF(Sheet1!EQ378="OTHER",CH380,0)</f>
        <v>0</v>
      </c>
      <c r="CC380" s="535">
        <f t="shared" si="870"/>
        <v>0</v>
      </c>
      <c r="CD380" s="535">
        <f t="shared" si="871"/>
        <v>0</v>
      </c>
      <c r="CE380" s="535">
        <f t="shared" si="872"/>
        <v>2.99</v>
      </c>
      <c r="CF380" s="535">
        <f t="shared" si="873"/>
        <v>2.9847235294117649</v>
      </c>
      <c r="CG380" s="535">
        <f>IF(Sheet1!EQ378="CWA",SUM(Sheet1!BC378:'Sheet1'!BF378),0)</f>
        <v>0</v>
      </c>
      <c r="CH380" s="535">
        <f>IF(OR(Sheet1!EQ378="FM", Sheet1!EQ378="OTHER"),SUM(Sheet1!BC378:'Sheet1'!BF378),0)</f>
        <v>0</v>
      </c>
      <c r="CI380" s="521">
        <f>IF(AND($B380&gt;=$FV380,$B380&lt;=$FW380),MAX(CF380,Sheet1!EJ378,0),MAX(CF380-(7/36)*$K380,0))</f>
        <v>0</v>
      </c>
      <c r="CJ380" s="535">
        <f t="shared" si="874"/>
        <v>0</v>
      </c>
      <c r="CK380" s="521">
        <f t="shared" si="875"/>
        <v>2.9847235294117649</v>
      </c>
      <c r="CL380" s="521">
        <f>IF(AND($O380&gt;0,Sheet1!EN378=1),(1-($O380-Sheet1!$L378)/$O380)*CF380,0)</f>
        <v>0</v>
      </c>
      <c r="CM380" s="521">
        <f>IF(AND(Sheet1!$L378=0,Sheet1!$L377=0, Calculation!CE380&lt;Sheet1!EJ378-0.1,Sheet1!EJ378=Sheet1!EJ377,Sheet1!EJ378=Sheet1!EJ379),CF380-CL380,CF380-CL380)</f>
        <v>2.9847235294117649</v>
      </c>
      <c r="CN380" s="1040" t="str">
        <f t="shared" si="828"/>
        <v/>
      </c>
      <c r="CO380" s="1035">
        <f t="shared" si="829"/>
        <v>12.568888888888889</v>
      </c>
      <c r="CP380" s="535">
        <f t="shared" si="876"/>
        <v>0</v>
      </c>
      <c r="CQ380" s="535"/>
      <c r="CR380" s="535">
        <f ca="1">IF(B380&gt;(Summary!$A$1-1),#N/A,CP380*MGtoAF)</f>
        <v>0</v>
      </c>
      <c r="CS380" s="535">
        <f>Sheet1!BK378+Sheet1!BL378+Sheet1!BM378-Sheet1!ER378-DA380</f>
        <v>6.5</v>
      </c>
      <c r="CT380" s="535">
        <f t="shared" si="877"/>
        <v>6.4885294117647057</v>
      </c>
      <c r="CU380" s="535">
        <f>IF(Sheet1!ER378="FM",DA380,0)</f>
        <v>0</v>
      </c>
      <c r="CV380" s="535">
        <f t="shared" si="878"/>
        <v>0</v>
      </c>
      <c r="CW380" s="535">
        <f>IF(Sheet1!ER378="OTHER",DA380,0)</f>
        <v>0</v>
      </c>
      <c r="CX380" s="535">
        <f t="shared" si="879"/>
        <v>0</v>
      </c>
      <c r="CY380" s="535">
        <f t="shared" si="880"/>
        <v>6.5</v>
      </c>
      <c r="CZ380" s="535">
        <f t="shared" si="881"/>
        <v>6.4885294117647057</v>
      </c>
      <c r="DA380" s="535">
        <f>IF(OR(Sheet1!ER378="FM", Sheet1!ER378="OTHER"),SUM(Sheet1!BK378:'Sheet1'!BM378),0)</f>
        <v>0</v>
      </c>
      <c r="DB380" s="1011">
        <f>IF(AND($B380&gt;=$FV380,$B380&lt;=$FW380),MAX($CT380,Sheet1!EK378,0),MAX($CT380-(7/36)*$K380,0))</f>
        <v>0</v>
      </c>
      <c r="DC380" s="1012">
        <f t="shared" si="882"/>
        <v>0</v>
      </c>
      <c r="DD380" s="1011">
        <f t="shared" si="883"/>
        <v>6.4885294117647057</v>
      </c>
      <c r="DE380" s="521">
        <f>IF(AND($O380&gt;0,Sheet1!EO378=1),(1-($O380-Sheet1!$L378)/$O380)*CZ380,0)</f>
        <v>0</v>
      </c>
      <c r="DF380" s="521">
        <f>IF(AND(Sheet1!$L378=0,Sheet1!$L377=0, Calculation!CY380&lt;Sheet1!$EK378-0.1,Sheet1!$EK378=Sheet1!$EK377,Sheet1!$EK378=Sheet1!$EK379),CZ380-DE380,CZ380-DE380)</f>
        <v>6.4885294117647057</v>
      </c>
      <c r="DG380" s="1040">
        <f t="shared" si="830"/>
        <v>12.568888888888889</v>
      </c>
      <c r="DH380" s="649">
        <f t="shared" si="884"/>
        <v>10.5</v>
      </c>
      <c r="DI380" s="535">
        <f t="shared" si="885"/>
        <v>0</v>
      </c>
      <c r="DJ380" s="649">
        <f t="shared" si="886"/>
        <v>10.481470588235293</v>
      </c>
      <c r="DK380" s="535">
        <f ca="1">IF(B380&gt;(Summary!$A$1-1),#N/A,DI380*MGtoAF)</f>
        <v>0</v>
      </c>
      <c r="DL380" s="649">
        <f t="shared" si="887"/>
        <v>10.5</v>
      </c>
      <c r="DM380" s="535">
        <f t="shared" si="888"/>
        <v>34</v>
      </c>
      <c r="DN380" s="535">
        <f>Sheet1!AB378-DM380</f>
        <v>-6.0000000000002274E-2</v>
      </c>
      <c r="DO380" s="743">
        <f t="shared" si="889"/>
        <v>-1.764705882353008E-3</v>
      </c>
      <c r="DP380" s="535">
        <f>(VLOOKUP(Sheet1!DC378,hhdcap_wcm,4)-(((VLOOKUP(Sheet1!DC378,hhdcap_wcm,3)-Sheet1!DC378)/(VLOOKUP(Sheet1!DC378,hhdcap_wcm,3)-VLOOKUP(Sheet1!DC378,hhdcap_wcm,1)))*(VLOOKUP(Sheet1!DC378,hhdcap_wcm,4)-VLOOKUP(Sheet1!DC378,hhdcap_wcm,2))))</f>
        <v>1026.4000000028923</v>
      </c>
      <c r="DQ380" s="535">
        <f t="shared" si="890"/>
        <v>-449.80000000092764</v>
      </c>
      <c r="DR380" s="535">
        <f t="shared" si="891"/>
        <v>-226.82803832623679</v>
      </c>
      <c r="DS380" s="535">
        <f>Sheet1!EA378*AFtoMG</f>
        <v>0</v>
      </c>
      <c r="DT380" s="535">
        <f>Sheet1!EB378*AFtoMG</f>
        <v>0</v>
      </c>
      <c r="DU380" s="535">
        <f>Sheet1!EC378*AFtoMG</f>
        <v>0</v>
      </c>
      <c r="DV380" s="535">
        <f>Sheet1!ED378*AFtoMG</f>
        <v>0</v>
      </c>
      <c r="DW380" s="535">
        <f t="shared" si="892"/>
        <v>0</v>
      </c>
      <c r="DX380" s="535">
        <f t="shared" si="893"/>
        <v>0</v>
      </c>
      <c r="DY380" s="535">
        <f t="shared" si="894"/>
        <v>0</v>
      </c>
      <c r="DZ380" s="535">
        <f t="shared" si="895"/>
        <v>0</v>
      </c>
      <c r="EA380" s="535"/>
      <c r="EB380" s="521">
        <f>IF(OR(B380&lt;FV380,B380&gt;FW380),(MIN(BF380+BY380+CT380+MAX(Sheet1!AA378+AQ380-73,0),K380)),0)</f>
        <v>10.481470588235293</v>
      </c>
      <c r="EC380" s="535"/>
      <c r="ED380" s="535">
        <f t="shared" si="896"/>
        <v>10.481470588235293</v>
      </c>
      <c r="EE380" s="535"/>
      <c r="EF380" s="535">
        <f>Sheet1!EH378+Sheet1!EI378+Sheet1!EJ378+Sheet1!EK378</f>
        <v>10.5</v>
      </c>
      <c r="EG380" s="1019">
        <f t="shared" si="831"/>
        <v>16.243500000000001</v>
      </c>
      <c r="EH380" s="521">
        <f t="shared" si="897"/>
        <v>0</v>
      </c>
      <c r="EI380" s="535">
        <f>IF(Sheet1!ET378=1,SUM('Calculations II'!AT380:BA380)+'Calculations II'!BC380+Sheet1!BV378+'Calculations II'!BE380+AP380,'Calculations II'!BK380)</f>
        <v>46.693423411764705</v>
      </c>
      <c r="EJ380" s="535">
        <f ca="1">EI380+'Calculations II'!D380+'Calculations II'!E380+'Calculations II'!O380</f>
        <v>48.682834046644089</v>
      </c>
      <c r="EK380" s="535"/>
      <c r="EL380" s="535"/>
      <c r="EM380" s="535">
        <f t="shared" si="898"/>
        <v>43104</v>
      </c>
      <c r="EN380" s="535">
        <f t="shared" si="899"/>
        <v>0</v>
      </c>
      <c r="EO380" s="535">
        <f t="shared" si="900"/>
        <v>0</v>
      </c>
      <c r="EP380" s="535">
        <v>0</v>
      </c>
      <c r="EQ380" s="535">
        <v>0</v>
      </c>
      <c r="ER380" s="535">
        <v>0</v>
      </c>
      <c r="ES380" s="521">
        <f t="shared" si="797"/>
        <v>-0.96901538503259421</v>
      </c>
      <c r="ET380" s="535">
        <f>-(VLOOKUP(Sheet1!BQ378,Lookup!$O$4:$Q$262,2)-VLOOKUP(Sheet1!BQ377,Lookup!$O$4:$Q$262,2))/1000000</f>
        <v>-0.55361873273911699</v>
      </c>
      <c r="EU380" s="535">
        <f>-(VLOOKUP(Sheet1!BR378,Lookup!$O$4:$Q$262,3)-VLOOKUP(Sheet1!BR377,Lookup!$O$4:$Q$262,3))/1000000</f>
        <v>-0.41539665229347722</v>
      </c>
      <c r="EV380" s="535"/>
      <c r="EW380" s="535"/>
      <c r="EX380" s="535"/>
      <c r="EY380" s="535"/>
      <c r="EZ380" s="535"/>
      <c r="FA380" s="535"/>
      <c r="FB380" s="535"/>
      <c r="FC380" s="535"/>
      <c r="FD380" s="567" t="e">
        <f t="shared" si="847"/>
        <v>#N/A</v>
      </c>
      <c r="FE380" s="567" t="e">
        <f t="shared" si="901"/>
        <v>#N/A</v>
      </c>
      <c r="FF380" s="568" t="e">
        <f t="shared" si="902"/>
        <v>#N/A</v>
      </c>
      <c r="FG380" s="569" t="s">
        <v>656</v>
      </c>
      <c r="FH380" s="569" t="s">
        <v>656</v>
      </c>
      <c r="FI380" s="567" t="e">
        <v>#N/A</v>
      </c>
      <c r="FJ380" s="567" t="e">
        <v>#N/A</v>
      </c>
      <c r="FK380" s="535"/>
      <c r="FL380" s="1015" t="e">
        <f t="shared" si="846"/>
        <v>#N/A</v>
      </c>
      <c r="FM380" s="535"/>
      <c r="FN380" s="535"/>
      <c r="FO380" s="535">
        <f>O380+((Sheet1!CS378)*GPMtoMGD)</f>
        <v>59.14</v>
      </c>
      <c r="FP380" s="535">
        <f>IF(Sheet1!AA378+AQ380&lt;=Calculation!N380,AQ380,Calculation!N380-Sheet1!AA378)</f>
        <v>23.458529411764705</v>
      </c>
      <c r="FQ380" s="535">
        <f>(Sheet1!BP378+Sheet1!BO378)/694.4</f>
        <v>1.6212557603686635</v>
      </c>
      <c r="FR380" s="541"/>
      <c r="FS380" s="541"/>
      <c r="FT380" s="541"/>
      <c r="FU380" s="535"/>
      <c r="FV380" s="1109">
        <f t="shared" si="798"/>
        <v>42918</v>
      </c>
      <c r="FW380" s="1109">
        <f t="shared" si="799"/>
        <v>43027</v>
      </c>
      <c r="FX380" s="541"/>
      <c r="FY380" s="541">
        <f>Sheet1!DA378-Sheet1!CZ378-Sheet1!AE378</f>
        <v>598.51041999999995</v>
      </c>
      <c r="FZ380" s="535">
        <f t="shared" si="832"/>
        <v>0.5682931579842021</v>
      </c>
      <c r="GA380" s="535"/>
      <c r="GB380" s="535" t="str">
        <f t="shared" si="800"/>
        <v>n</v>
      </c>
      <c r="GC380" s="539">
        <f t="shared" si="801"/>
        <v>42782</v>
      </c>
      <c r="GD380" s="1109">
        <f t="shared" si="802"/>
        <v>42904</v>
      </c>
      <c r="GE380" s="535">
        <f t="shared" si="818"/>
        <v>6520</v>
      </c>
      <c r="GF380" s="1109">
        <f t="shared" si="803"/>
        <v>42909</v>
      </c>
      <c r="GG380" s="535">
        <f t="shared" si="845"/>
        <v>3260</v>
      </c>
      <c r="GH380" s="539">
        <f t="shared" si="804"/>
        <v>43040</v>
      </c>
      <c r="GJ380" s="521">
        <f t="shared" si="805"/>
        <v>0</v>
      </c>
      <c r="GK380" s="535" t="str">
        <f t="shared" si="903"/>
        <v/>
      </c>
      <c r="GL380" s="535">
        <f t="shared" si="806"/>
        <v>0</v>
      </c>
      <c r="GM380" s="535" t="str">
        <f t="shared" si="807"/>
        <v/>
      </c>
      <c r="GN380" s="535">
        <f>IF(GK380="P",Lookup!$M$12,IF(GK380="PP",Lookup!$M$13,IF(GK380="PPP",Lookup!$M$14,IF(GK380="T",Lookup!$M$15,IF(GK380="TP",Lookup!$M$16,IF(GK380="TPP",Lookup!$M$17,IF(GK380="TPPP",Lookup!$M$18,0)))))))*GJ380</f>
        <v>0</v>
      </c>
      <c r="GO380" s="535">
        <f t="shared" si="808"/>
        <v>0</v>
      </c>
      <c r="GP380" s="535">
        <f t="shared" si="904"/>
        <v>0</v>
      </c>
      <c r="GQ380" s="974">
        <f t="shared" si="848"/>
        <v>0</v>
      </c>
      <c r="GR380" s="535"/>
      <c r="GS380" s="535">
        <f t="shared" si="809"/>
        <v>0</v>
      </c>
      <c r="GT380" s="535" t="str">
        <f t="shared" si="810"/>
        <v/>
      </c>
      <c r="GU380" s="535">
        <f>IF(GK380="P",Lookup!$N$12,IF(GK380="PP",Lookup!$N$13,IF(GK380="PPP",Lookup!$N$14,IF(GK380="T",Lookup!$N$15,IF(GK380="TP",Lookup!$N$16,IF(GK380="TPP",Lookup!$N$17,IF(GK380="TPPP",Lookup!$N$18,0)))))))*GJ380</f>
        <v>0</v>
      </c>
      <c r="GV380" s="535">
        <f t="shared" si="811"/>
        <v>0</v>
      </c>
      <c r="GW380" s="535">
        <f t="shared" si="905"/>
        <v>0</v>
      </c>
      <c r="GX380" s="974">
        <f t="shared" si="849"/>
        <v>0</v>
      </c>
      <c r="GY380" s="535"/>
      <c r="GZ380" s="535">
        <f t="shared" si="812"/>
        <v>0</v>
      </c>
      <c r="HA380" s="535" t="str">
        <f t="shared" si="813"/>
        <v/>
      </c>
      <c r="HB380" s="535">
        <f>IF(GK380="P",Lookup!$N$12,IF(GK380="PP",Lookup!$N$13,IF(GK380="PPP",Lookup!$N$14,IF(GK380="T",Lookup!$N$15,IF(GK380="TP",Lookup!$N$16,IF(GK380="TPP",Lookup!$N$17,IF(GK380="TPPP",Lookup!$N$18,0)))))))*GJ380</f>
        <v>0</v>
      </c>
      <c r="HC380" s="521">
        <f t="shared" si="906"/>
        <v>0</v>
      </c>
      <c r="HD380" s="535">
        <f t="shared" si="907"/>
        <v>0</v>
      </c>
      <c r="HE380" s="535">
        <f t="shared" si="816"/>
        <v>0</v>
      </c>
      <c r="HF380" s="535"/>
      <c r="HG380" s="535">
        <f t="shared" si="814"/>
        <v>0</v>
      </c>
      <c r="HH380" s="535" t="str">
        <f t="shared" si="815"/>
        <v/>
      </c>
      <c r="HI380" s="535">
        <f>IF(GK380="P",Lookup!$N$12,IF(GK380="PP",Lookup!$N$13,IF(GK380="PPP",Lookup!$N$14,IF(GK380="T",Lookup!$N$15,IF(GK380="TP",Lookup!$N$16,IF(GK380="TPP",Lookup!$N$17,IF(GK380="TPPP",Lookup!$N$18,0)))))))*GJ380</f>
        <v>0</v>
      </c>
      <c r="HJ380" s="521">
        <f t="shared" si="908"/>
        <v>0</v>
      </c>
      <c r="HK380" s="535">
        <f t="shared" si="909"/>
        <v>0</v>
      </c>
      <c r="HL380" s="535">
        <f t="shared" si="817"/>
        <v>0</v>
      </c>
      <c r="HM380" s="535"/>
      <c r="HN380" s="541"/>
      <c r="HO380" s="541"/>
      <c r="HP380" s="541"/>
      <c r="HQ380" s="541"/>
      <c r="HR380" s="535"/>
      <c r="HT380" s="541"/>
      <c r="HU380" s="1019"/>
      <c r="HV380" s="541"/>
      <c r="HY380" s="541"/>
      <c r="HZ380" s="541"/>
      <c r="IA380" s="541"/>
      <c r="IB380" s="541"/>
      <c r="IC380" s="1019"/>
      <c r="ID380" s="1019"/>
      <c r="IH380" s="541">
        <f>IF(AND($B380&gt;=$GC380,$B380&lt;=$GH380,$DR380&lt;0)+N("only adjusted when pool is drawn down during storage season"),Sheet1!$DB378+$DR380+N("Palmer minus all storage release"),Sheet1!$DB378)</f>
        <v>1300</v>
      </c>
      <c r="II380" s="541">
        <f>IF(AND($B380&gt;=$GC380,$B380&lt;=$GH380,$DR380&lt;0)+N("only adjusted when pool is drawn down during storage season"),Sheet1!$DA378+$DR380+N("Auburn minus all storage release"),Sheet1!$DA378)</f>
        <v>1970</v>
      </c>
    </row>
    <row r="381" spans="1:243" x14ac:dyDescent="0.25">
      <c r="A381" s="553" t="s">
        <v>8</v>
      </c>
      <c r="B381" s="531">
        <v>43105</v>
      </c>
      <c r="C381" s="536">
        <v>0</v>
      </c>
      <c r="D381" s="506">
        <f t="shared" si="787"/>
        <v>300</v>
      </c>
      <c r="E381" s="506">
        <f t="shared" si="788"/>
        <v>250</v>
      </c>
      <c r="F381" s="506">
        <v>250</v>
      </c>
      <c r="G381" s="535" t="e">
        <f>DR381+Sheet1!CZ379</f>
        <v>#N/A</v>
      </c>
      <c r="H381" s="1074" t="e">
        <f t="shared" si="844"/>
        <v>#N/A</v>
      </c>
      <c r="I381" s="534">
        <f>IF(Sheet1!DA379&gt;=E381,(Sheet1!DA379-E381+P381)*CFStoMGD,0)</f>
        <v>0</v>
      </c>
      <c r="J381" s="995">
        <f>IF(Sheet1!DB379&gt;=D381,(Sheet1!DB379-D381+P381)*CFStoMGD,0)</f>
        <v>0</v>
      </c>
      <c r="K381" s="818" t="e">
        <f t="shared" si="819"/>
        <v>#N/A</v>
      </c>
      <c r="L381" s="535" t="e">
        <f>Sheet1!AA379+Sheet1!AB379-Sheet1!L379+(Sheet1!DA379-F381)*CFStoMGD-S381-T381-U381</f>
        <v>#N/A</v>
      </c>
      <c r="M381" s="535" t="e">
        <f t="shared" si="850"/>
        <v>#N/A</v>
      </c>
      <c r="N381" s="824">
        <f>IF(Sheet1!DA379&gt;=F381,MIN(113*CFStoMGD,MIN(MAX(L381,0),MAX(M381,0))),0)</f>
        <v>0</v>
      </c>
      <c r="O381" s="538">
        <f>Sheet1!AA379+Sheet1!AB379</f>
        <v>0</v>
      </c>
      <c r="P381" s="538">
        <f t="shared" si="851"/>
        <v>0</v>
      </c>
      <c r="Q381" s="812" t="e">
        <f t="shared" si="820"/>
        <v>#N/A</v>
      </c>
      <c r="R381" s="812" t="e">
        <f t="shared" si="789"/>
        <v>#N/A</v>
      </c>
      <c r="S381" s="812" t="e">
        <f t="shared" si="790"/>
        <v>#N/A</v>
      </c>
      <c r="T381" s="812">
        <f t="shared" si="791"/>
        <v>0</v>
      </c>
      <c r="U381" s="812">
        <f>IF(AND(B381&gt;=FV381,B381&lt;=FW381),ED381+Sheet1!EH379,0)</f>
        <v>0</v>
      </c>
      <c r="V381" s="812"/>
      <c r="W381" s="812" t="e">
        <f t="shared" si="792"/>
        <v>#N/A</v>
      </c>
      <c r="X381" s="812" t="e">
        <f t="shared" si="793"/>
        <v>#N/A</v>
      </c>
      <c r="Y381" s="812" t="e">
        <f t="shared" si="794"/>
        <v>#N/A</v>
      </c>
      <c r="Z381" s="812">
        <f t="shared" si="795"/>
        <v>0</v>
      </c>
      <c r="AA381" s="812" t="e">
        <f t="shared" si="796"/>
        <v>#N/A</v>
      </c>
      <c r="AB381" s="1059" t="e">
        <f t="shared" si="821"/>
        <v>#N/A</v>
      </c>
      <c r="AC381" s="538">
        <f>Sheet1!Y379*MGDtoCFS</f>
        <v>0</v>
      </c>
      <c r="AD381" s="538">
        <f>Sheet1!Z379*MGDtoCFS</f>
        <v>0</v>
      </c>
      <c r="AE381" s="538">
        <f>Sheet1!AA379*MGDtoCFS</f>
        <v>0</v>
      </c>
      <c r="AF381" s="538">
        <f>Sheet1!AB379*MGDtoCFS</f>
        <v>0</v>
      </c>
      <c r="AG381" s="538">
        <f>Sheet1!L379*MGDtoCFS</f>
        <v>0</v>
      </c>
      <c r="AH381" s="521" t="e">
        <f t="shared" si="852"/>
        <v>#N/A</v>
      </c>
      <c r="AI381" s="1059" t="e">
        <f t="shared" si="853"/>
        <v>#N/A</v>
      </c>
      <c r="AJ381" s="535">
        <f t="shared" si="854"/>
        <v>0</v>
      </c>
      <c r="AK381" s="535">
        <f t="shared" si="855"/>
        <v>0</v>
      </c>
      <c r="AL381" s="535" t="e">
        <f>(VLOOKUP(Sheet1!DC379,hhdcap_wcm,4)-(((VLOOKUP(Sheet1!DC379,hhdcap_wcm,3)-Sheet1!DC379)/(VLOOKUP(Sheet1!DC379,hhdcap_wcm,3)-VLOOKUP(Sheet1!DC379,hhdcap_wcm,1)))*(VLOOKUP(Sheet1!DC379,hhdcap_wcm,4)-VLOOKUP(Sheet1!DC379,hhdcap_wcm,2))))</f>
        <v>#N/A</v>
      </c>
      <c r="AM381" s="535" t="e">
        <f t="shared" si="856"/>
        <v>#N/A</v>
      </c>
      <c r="AN381" s="1035">
        <f t="shared" si="857"/>
        <v>0</v>
      </c>
      <c r="AO381" s="535">
        <f t="shared" si="858"/>
        <v>0</v>
      </c>
      <c r="AP381" s="535">
        <f>Sheet1!BA379+Sheet1!BB379+Sheet1!BN379+CD381</f>
        <v>0</v>
      </c>
      <c r="AQ381" s="535">
        <f>Sheet1!BN379+(DO381*Sheet1!BN379)</f>
        <v>0</v>
      </c>
      <c r="AR381" s="535">
        <f>Sheet1!BA379+CD381</f>
        <v>0</v>
      </c>
      <c r="AS381" s="535">
        <f>Sheet1!BA379+Sheet1!BB379+CD381</f>
        <v>0</v>
      </c>
      <c r="AT381" s="649">
        <f>0</f>
        <v>0</v>
      </c>
      <c r="AU381" s="974" t="e">
        <f>BA381+MAX(Sheet1!EH379,(O381-Q381-ED381-S381))</f>
        <v>#N/A</v>
      </c>
      <c r="AV381" s="535">
        <f>IF(OR(B381&gt;=GD381,B381&lt;GC381),0,15/36*K381-MAX(0,64.6-(137.6-(Sheet1!AA379+Sheet1!AB379))))</f>
        <v>0</v>
      </c>
      <c r="AW381" s="1029"/>
      <c r="AX381" s="649"/>
      <c r="AY381" s="649">
        <f t="shared" si="822"/>
        <v>23.311716569431731</v>
      </c>
      <c r="AZ381" s="649">
        <f t="shared" si="823"/>
        <v>0</v>
      </c>
      <c r="BA381" s="1059">
        <f t="shared" si="824"/>
        <v>0</v>
      </c>
      <c r="BB381" s="1019">
        <f t="shared" si="859"/>
        <v>0</v>
      </c>
      <c r="BC381" s="1035" t="e">
        <f t="shared" si="825"/>
        <v>#N/A</v>
      </c>
      <c r="BD381" s="535">
        <f ca="1">IF(B381&gt;(Summary!$A$1-1),#N/A,BB381*MGtoAF)</f>
        <v>0</v>
      </c>
      <c r="BE381" s="535">
        <f>Sheet1!BG379+Sheet1!BH379+Sheet1!BI379-BM381</f>
        <v>0</v>
      </c>
      <c r="BF381" s="535">
        <f t="shared" si="860"/>
        <v>0</v>
      </c>
      <c r="BG381" s="535">
        <f>IF(Sheet1!EP379="FM",BM381,0)</f>
        <v>0</v>
      </c>
      <c r="BH381" s="535">
        <f t="shared" si="861"/>
        <v>0</v>
      </c>
      <c r="BI381" s="535">
        <f>IF(Sheet1!EP379="OTHER",BM381,0)</f>
        <v>0</v>
      </c>
      <c r="BJ381" s="535">
        <f t="shared" si="862"/>
        <v>0</v>
      </c>
      <c r="BK381" s="535">
        <f t="shared" si="863"/>
        <v>0</v>
      </c>
      <c r="BL381" s="535">
        <f t="shared" si="864"/>
        <v>0</v>
      </c>
      <c r="BM381" s="535">
        <f>IF(OR(Sheet1!EP379="FM", Sheet1!EP379="OTHER"),SUM(Sheet1!BG379:'Sheet1'!BI379),0)</f>
        <v>0</v>
      </c>
      <c r="BN381" s="521" t="e">
        <f>IF(AND($B381&gt;=$FV381,$B381&lt;=$FW381),MAX(BF381,Sheet1!EI379,0),MAX(BF381-(7/36)*$K381,0))</f>
        <v>#N/A</v>
      </c>
      <c r="BO381" s="535">
        <f t="shared" si="865"/>
        <v>0</v>
      </c>
      <c r="BP381" s="521" t="e">
        <f t="shared" si="866"/>
        <v>#N/A</v>
      </c>
      <c r="BQ381" s="521">
        <f>IF(AND($O381&gt;0,Sheet1!EM379=1),(1-($O381-Sheet1!$L379)/$O381)*BL381,0)</f>
        <v>0</v>
      </c>
      <c r="BR381" s="521">
        <f>IF(AND(Sheet1!$L379=0,Sheet1!$L378=0, Calculation!BK381&lt;Sheet1!$EI379-0.1,Sheet1!$EI379=Sheet1!$EI378,Sheet1!$EI379=Sheet1!$EI380),BL381-BQ381,BL381-BQ381)</f>
        <v>0</v>
      </c>
      <c r="BS381" s="1035" t="e">
        <f t="shared" si="826"/>
        <v>#N/A</v>
      </c>
      <c r="BT381" s="1035" t="e">
        <f t="shared" si="827"/>
        <v>#N/A</v>
      </c>
      <c r="BU381" s="535">
        <f t="shared" si="867"/>
        <v>0</v>
      </c>
      <c r="BV381" s="535"/>
      <c r="BW381" s="535">
        <f ca="1">IF(B381&gt;(Summary!$A$1-1),#N/A,BU381*MGtoAF)</f>
        <v>0</v>
      </c>
      <c r="BX381" s="535">
        <f>Sheet1!BC379+Sheet1!BD379+Sheet1!BE379+Sheet1!BF379-CG381-CH381</f>
        <v>0</v>
      </c>
      <c r="BY381" s="535">
        <f t="shared" si="868"/>
        <v>0</v>
      </c>
      <c r="BZ381" s="535">
        <f>IF(Sheet1!EQ379="FM",CH381,0)</f>
        <v>0</v>
      </c>
      <c r="CA381" s="535">
        <f t="shared" si="869"/>
        <v>0</v>
      </c>
      <c r="CB381" s="535">
        <f>IF(Sheet1!EQ379="OTHER",CH381,0)</f>
        <v>0</v>
      </c>
      <c r="CC381" s="535">
        <f t="shared" si="870"/>
        <v>0</v>
      </c>
      <c r="CD381" s="535">
        <f t="shared" si="871"/>
        <v>0</v>
      </c>
      <c r="CE381" s="535">
        <f t="shared" si="872"/>
        <v>0</v>
      </c>
      <c r="CF381" s="535">
        <f t="shared" si="873"/>
        <v>0</v>
      </c>
      <c r="CG381" s="535">
        <f>IF(Sheet1!EQ379="CWA",SUM(Sheet1!BC379:'Sheet1'!BF379),0)</f>
        <v>0</v>
      </c>
      <c r="CH381" s="535">
        <f>IF(OR(Sheet1!EQ379="FM", Sheet1!EQ379="OTHER"),SUM(Sheet1!BC379:'Sheet1'!BF379),0)</f>
        <v>0</v>
      </c>
      <c r="CI381" s="521" t="e">
        <f>IF(AND($B381&gt;=$FV381,$B381&lt;=$FW381),MAX(CF381,Sheet1!EJ379,0),MAX(CF381-(7/36)*$K381,0))</f>
        <v>#N/A</v>
      </c>
      <c r="CJ381" s="535">
        <f t="shared" si="874"/>
        <v>0</v>
      </c>
      <c r="CK381" s="521" t="e">
        <f t="shared" si="875"/>
        <v>#N/A</v>
      </c>
      <c r="CL381" s="521">
        <f>IF(AND($O381&gt;0,Sheet1!EN379=1),(1-($O381-Sheet1!$L379)/$O381)*CF381,0)</f>
        <v>0</v>
      </c>
      <c r="CM381" s="521">
        <f>IF(AND(Sheet1!$L379=0,Sheet1!$L378=0, Calculation!CE381&lt;Sheet1!EJ379-0.1,Sheet1!EJ379=Sheet1!EJ378,Sheet1!EJ379=Sheet1!EJ380),CF381-CL381,CF381-CL381)</f>
        <v>0</v>
      </c>
      <c r="CN381" s="1040" t="e">
        <f t="shared" si="828"/>
        <v>#N/A</v>
      </c>
      <c r="CO381" s="1035" t="e">
        <f t="shared" si="829"/>
        <v>#N/A</v>
      </c>
      <c r="CP381" s="535">
        <f t="shared" si="876"/>
        <v>0</v>
      </c>
      <c r="CQ381" s="535"/>
      <c r="CR381" s="535">
        <f ca="1">IF(B381&gt;(Summary!$A$1-1),#N/A,CP381*MGtoAF)</f>
        <v>0</v>
      </c>
      <c r="CS381" s="535">
        <f>Sheet1!BK379+Sheet1!BL379+Sheet1!BM379-Sheet1!ER379-DA381</f>
        <v>0</v>
      </c>
      <c r="CT381" s="535">
        <f t="shared" si="877"/>
        <v>0</v>
      </c>
      <c r="CU381" s="535">
        <f>IF(Sheet1!ER379="FM",DA381,0)</f>
        <v>0</v>
      </c>
      <c r="CV381" s="535">
        <f t="shared" si="878"/>
        <v>0</v>
      </c>
      <c r="CW381" s="535">
        <f>IF(Sheet1!ER379="OTHER",DA381,0)</f>
        <v>0</v>
      </c>
      <c r="CX381" s="535">
        <f t="shared" si="879"/>
        <v>0</v>
      </c>
      <c r="CY381" s="535">
        <f t="shared" si="880"/>
        <v>0</v>
      </c>
      <c r="CZ381" s="535">
        <f t="shared" si="881"/>
        <v>0</v>
      </c>
      <c r="DA381" s="535">
        <f>IF(OR(Sheet1!ER379="FM", Sheet1!ER379="OTHER"),SUM(Sheet1!BK379:'Sheet1'!BM379),0)</f>
        <v>0</v>
      </c>
      <c r="DB381" s="1011" t="e">
        <f>IF(AND($B381&gt;=$FV381,$B381&lt;=$FW381),MAX($CT381,Sheet1!EK379,0),MAX($CT381-(7/36)*$K381,0))</f>
        <v>#N/A</v>
      </c>
      <c r="DC381" s="1012">
        <f t="shared" si="882"/>
        <v>0</v>
      </c>
      <c r="DD381" s="1011" t="e">
        <f t="shared" si="883"/>
        <v>#N/A</v>
      </c>
      <c r="DE381" s="521">
        <f>IF(AND($O381&gt;0,Sheet1!EO379=1),(1-($O381-Sheet1!$L379)/$O381)*CZ381,0)</f>
        <v>0</v>
      </c>
      <c r="DF381" s="521">
        <f>IF(AND(Sheet1!$L379=0,Sheet1!$L378=0, Calculation!CY381&lt;Sheet1!$EK379-0.1,Sheet1!$EK379=Sheet1!$EK378,Sheet1!$EK379=Sheet1!$EK380),CZ381-DE381,CZ381-DE381)</f>
        <v>0</v>
      </c>
      <c r="DG381" s="1040" t="e">
        <f t="shared" si="830"/>
        <v>#N/A</v>
      </c>
      <c r="DH381" s="649">
        <f t="shared" si="884"/>
        <v>0</v>
      </c>
      <c r="DI381" s="535">
        <f t="shared" si="885"/>
        <v>0</v>
      </c>
      <c r="DJ381" s="649">
        <f t="shared" si="886"/>
        <v>0</v>
      </c>
      <c r="DK381" s="535">
        <f ca="1">IF(B381&gt;(Summary!$A$1-1),#N/A,DI381*MGtoAF)</f>
        <v>0</v>
      </c>
      <c r="DL381" s="649">
        <f t="shared" si="887"/>
        <v>0</v>
      </c>
      <c r="DM381" s="535">
        <f t="shared" si="888"/>
        <v>0</v>
      </c>
      <c r="DN381" s="535">
        <f>Sheet1!AB379-DM381</f>
        <v>0</v>
      </c>
      <c r="DO381" s="743">
        <f t="shared" si="889"/>
        <v>0</v>
      </c>
      <c r="DP381" s="535" t="e">
        <f>(VLOOKUP(Sheet1!DC379,hhdcap_wcm,4)-(((VLOOKUP(Sheet1!DC379,hhdcap_wcm,3)-Sheet1!DC379)/(VLOOKUP(Sheet1!DC379,hhdcap_wcm,3)-VLOOKUP(Sheet1!DC379,hhdcap_wcm,1)))*(VLOOKUP(Sheet1!DC379,hhdcap_wcm,4)-VLOOKUP(Sheet1!DC379,hhdcap_wcm,2))))</f>
        <v>#N/A</v>
      </c>
      <c r="DQ381" s="535" t="e">
        <f t="shared" si="890"/>
        <v>#N/A</v>
      </c>
      <c r="DR381" s="535" t="e">
        <f t="shared" si="891"/>
        <v>#N/A</v>
      </c>
      <c r="DS381" s="535">
        <f>Sheet1!EA379*AFtoMG</f>
        <v>0</v>
      </c>
      <c r="DT381" s="535">
        <f>Sheet1!EB379*AFtoMG</f>
        <v>0</v>
      </c>
      <c r="DU381" s="535">
        <f>Sheet1!EC379*AFtoMG</f>
        <v>0</v>
      </c>
      <c r="DV381" s="535">
        <f>Sheet1!ED379*AFtoMG</f>
        <v>0</v>
      </c>
      <c r="DW381" s="535">
        <f t="shared" si="892"/>
        <v>0</v>
      </c>
      <c r="DX381" s="535">
        <f t="shared" si="893"/>
        <v>0</v>
      </c>
      <c r="DY381" s="535">
        <f t="shared" si="894"/>
        <v>0</v>
      </c>
      <c r="DZ381" s="535">
        <f t="shared" si="895"/>
        <v>0</v>
      </c>
      <c r="EA381" s="535"/>
      <c r="EB381" s="521" t="e">
        <f>IF(OR(B381&lt;FV381,B381&gt;FW381),(MIN(BF381+BY381+CT381+MAX(Sheet1!AA379+AQ381-73,0),K381)),0)</f>
        <v>#N/A</v>
      </c>
      <c r="EC381" s="535"/>
      <c r="ED381" s="535">
        <f t="shared" si="896"/>
        <v>0</v>
      </c>
      <c r="EE381" s="535"/>
      <c r="EF381" s="535">
        <f>Sheet1!EH379+Sheet1!EI379+Sheet1!EJ379+Sheet1!EK379</f>
        <v>11</v>
      </c>
      <c r="EG381" s="1019">
        <f t="shared" si="831"/>
        <v>17.016999999999999</v>
      </c>
      <c r="EH381" s="521" t="e">
        <f t="shared" si="897"/>
        <v>#N/A</v>
      </c>
      <c r="EI381" s="535">
        <f>IF(Sheet1!ET379=1,SUM('Calculations II'!AT381:BA381)+'Calculations II'!BC381+Sheet1!BV379+'Calculations II'!BE381+AP381,'Calculations II'!BK381)</f>
        <v>54.430500000000002</v>
      </c>
      <c r="EJ381" s="535">
        <f ca="1">EI381+'Calculations II'!D381+'Calculations II'!E381+'Calculations II'!O381</f>
        <v>37.423336547957284</v>
      </c>
      <c r="EK381" s="535"/>
      <c r="EL381" s="535"/>
      <c r="EM381" s="535">
        <f t="shared" si="898"/>
        <v>43105</v>
      </c>
      <c r="EN381" s="535" t="e">
        <f t="shared" si="899"/>
        <v>#N/A</v>
      </c>
      <c r="EO381" s="535" t="e">
        <f t="shared" si="900"/>
        <v>#N/A</v>
      </c>
      <c r="EP381" s="535">
        <v>0</v>
      </c>
      <c r="EQ381" s="535">
        <v>0</v>
      </c>
      <c r="ER381" s="535">
        <v>0</v>
      </c>
      <c r="ES381" s="521">
        <f t="shared" si="797"/>
        <v>50.310253240475646</v>
      </c>
      <c r="ET381" s="535">
        <f>-(VLOOKUP(Sheet1!BQ379,Lookup!$O$4:$Q$262,2)-VLOOKUP(Sheet1!BQ378,Lookup!$O$4:$Q$262,2))/1000000</f>
        <v>24.532118142382625</v>
      </c>
      <c r="EU381" s="535">
        <f>-(VLOOKUP(Sheet1!BR379,Lookup!$O$4:$Q$262,3)-VLOOKUP(Sheet1!BR378,Lookup!$O$4:$Q$262,3))/1000000</f>
        <v>25.778135098093021</v>
      </c>
      <c r="EV381" s="535"/>
      <c r="EW381" s="535"/>
      <c r="EX381" s="535"/>
      <c r="EY381" s="535"/>
      <c r="EZ381" s="535"/>
      <c r="FA381" s="535"/>
      <c r="FB381" s="535"/>
      <c r="FC381" s="535"/>
      <c r="FD381" s="567" t="e">
        <f t="shared" si="847"/>
        <v>#N/A</v>
      </c>
      <c r="FE381" s="567" t="e">
        <f t="shared" si="901"/>
        <v>#N/A</v>
      </c>
      <c r="FF381" s="568" t="e">
        <f t="shared" si="902"/>
        <v>#N/A</v>
      </c>
      <c r="FG381" s="569" t="s">
        <v>656</v>
      </c>
      <c r="FH381" s="569" t="s">
        <v>656</v>
      </c>
      <c r="FI381" s="567" t="e">
        <v>#N/A</v>
      </c>
      <c r="FK381" s="535"/>
      <c r="FL381" s="1015">
        <f t="shared" si="846"/>
        <v>0</v>
      </c>
      <c r="FM381" s="535"/>
      <c r="FN381" s="535"/>
      <c r="FO381" s="535">
        <f>O381+((Sheet1!CS379)*GPMtoMGD)</f>
        <v>0</v>
      </c>
      <c r="FP381" s="535">
        <f>IF(Sheet1!AA379+AQ381&lt;=Calculation!N381,AQ381,Calculation!N381-Sheet1!AA379)</f>
        <v>0</v>
      </c>
      <c r="FQ381" s="535">
        <f>(Sheet1!BP379+Sheet1!BO379)/694.4</f>
        <v>0</v>
      </c>
      <c r="FR381" s="541"/>
      <c r="FS381" s="541"/>
      <c r="FT381" s="541"/>
      <c r="FU381" s="535"/>
      <c r="FV381" s="1109">
        <f t="shared" si="798"/>
        <v>42918</v>
      </c>
      <c r="FW381" s="1109">
        <f t="shared" si="799"/>
        <v>43027</v>
      </c>
      <c r="FX381" s="541"/>
      <c r="FY381" s="541">
        <f>Sheet1!DA379-Sheet1!CZ379-Sheet1!AE379</f>
        <v>0</v>
      </c>
      <c r="FZ381" s="535" t="e">
        <f t="shared" si="832"/>
        <v>#N/A</v>
      </c>
      <c r="GA381" s="535"/>
      <c r="GB381" s="535" t="str">
        <f t="shared" si="800"/>
        <v>n</v>
      </c>
      <c r="GC381" s="539">
        <f t="shared" si="801"/>
        <v>42782</v>
      </c>
      <c r="GD381" s="1109">
        <f t="shared" si="802"/>
        <v>42904</v>
      </c>
      <c r="GE381" s="535">
        <f t="shared" si="818"/>
        <v>6520</v>
      </c>
      <c r="GF381" s="1109">
        <f t="shared" si="803"/>
        <v>42909</v>
      </c>
      <c r="GG381" s="535">
        <f t="shared" si="845"/>
        <v>3260</v>
      </c>
      <c r="GH381" s="539">
        <f t="shared" si="804"/>
        <v>43040</v>
      </c>
      <c r="GJ381" s="521">
        <f t="shared" si="805"/>
        <v>0</v>
      </c>
      <c r="GK381" s="535" t="str">
        <f t="shared" si="903"/>
        <v/>
      </c>
      <c r="GL381" s="535">
        <f t="shared" si="806"/>
        <v>0</v>
      </c>
      <c r="GM381" s="535" t="str">
        <f t="shared" si="807"/>
        <v/>
      </c>
      <c r="GN381" s="535">
        <f>IF(GK381="P",Lookup!$M$12,IF(GK381="PP",Lookup!$M$13,IF(GK381="PPP",Lookup!$M$14,IF(GK381="T",Lookup!$M$15,IF(GK381="TP",Lookup!$M$16,IF(GK381="TPP",Lookup!$M$17,IF(GK381="TPPP",Lookup!$M$18,0)))))))*GJ381</f>
        <v>0</v>
      </c>
      <c r="GO381" s="535">
        <f t="shared" si="808"/>
        <v>0</v>
      </c>
      <c r="GP381" s="535">
        <f t="shared" si="904"/>
        <v>0</v>
      </c>
      <c r="GQ381" s="974">
        <f t="shared" si="848"/>
        <v>0</v>
      </c>
      <c r="GR381" s="535"/>
      <c r="GS381" s="535">
        <f t="shared" si="809"/>
        <v>0</v>
      </c>
      <c r="GT381" s="535" t="str">
        <f t="shared" si="810"/>
        <v/>
      </c>
      <c r="GU381" s="535">
        <f>IF(GK381="P",Lookup!$N$12,IF(GK381="PP",Lookup!$N$13,IF(GK381="PPP",Lookup!$N$14,IF(GK381="T",Lookup!$N$15,IF(GK381="TP",Lookup!$N$16,IF(GK381="TPP",Lookup!$N$17,IF(GK381="TPPP",Lookup!$N$18,0)))))))*GJ381</f>
        <v>0</v>
      </c>
      <c r="GV381" s="535">
        <f t="shared" si="811"/>
        <v>0</v>
      </c>
      <c r="GW381" s="535">
        <f t="shared" si="905"/>
        <v>0</v>
      </c>
      <c r="GX381" s="974">
        <f t="shared" si="849"/>
        <v>0</v>
      </c>
      <c r="GY381" s="535"/>
      <c r="GZ381" s="535">
        <f t="shared" si="812"/>
        <v>0</v>
      </c>
      <c r="HA381" s="535" t="str">
        <f t="shared" si="813"/>
        <v/>
      </c>
      <c r="HB381" s="535">
        <f>IF(GK381="P",Lookup!$N$12,IF(GK381="PP",Lookup!$N$13,IF(GK381="PPP",Lookup!$N$14,IF(GK381="T",Lookup!$N$15,IF(GK381="TP",Lookup!$N$16,IF(GK381="TPP",Lookup!$N$17,IF(GK381="TPPP",Lookup!$N$18,0)))))))*GJ381</f>
        <v>0</v>
      </c>
      <c r="HC381" s="521">
        <f t="shared" si="906"/>
        <v>0</v>
      </c>
      <c r="HD381" s="535">
        <f t="shared" si="907"/>
        <v>0</v>
      </c>
      <c r="HE381" s="535">
        <f t="shared" si="816"/>
        <v>0</v>
      </c>
      <c r="HF381" s="535"/>
      <c r="HG381" s="535">
        <f t="shared" si="814"/>
        <v>0</v>
      </c>
      <c r="HH381" s="535" t="str">
        <f t="shared" si="815"/>
        <v/>
      </c>
      <c r="HI381" s="535">
        <f>IF(GK381="P",Lookup!$N$12,IF(GK381="PP",Lookup!$N$13,IF(GK381="PPP",Lookup!$N$14,IF(GK381="T",Lookup!$N$15,IF(GK381="TP",Lookup!$N$16,IF(GK381="TPP",Lookup!$N$17,IF(GK381="TPPP",Lookup!$N$18,0)))))))*GJ381</f>
        <v>0</v>
      </c>
      <c r="HJ381" s="521">
        <f t="shared" si="908"/>
        <v>0</v>
      </c>
      <c r="HK381" s="535">
        <f t="shared" si="909"/>
        <v>0</v>
      </c>
      <c r="HL381" s="535">
        <f t="shared" si="817"/>
        <v>0</v>
      </c>
      <c r="HM381" s="535"/>
      <c r="HN381" s="541"/>
      <c r="HO381" s="541"/>
      <c r="HP381" s="541"/>
      <c r="HQ381" s="541"/>
      <c r="HR381" s="535"/>
      <c r="HT381" s="541"/>
      <c r="HU381" s="1019"/>
      <c r="HV381" s="541"/>
      <c r="HY381" s="541"/>
      <c r="HZ381" s="541"/>
      <c r="IA381" s="541"/>
      <c r="IB381" s="541"/>
      <c r="IC381" s="1019"/>
      <c r="ID381" s="1019"/>
      <c r="IH381" s="541" t="e">
        <f>IF(AND($B381&gt;=$GC381,$B381&lt;=$GH381,$DR381&lt;0)+N("only adjusted when pool is drawn down during storage season"),Sheet1!$DB379+$DR381+N("Palmer minus all storage release"),Sheet1!$DB379)</f>
        <v>#N/A</v>
      </c>
      <c r="II381" s="541" t="e">
        <f>IF(AND($B381&gt;=$GC381,$B381&lt;=$GH381,$DR381&lt;0)+N("only adjusted when pool is drawn down during storage season"),Sheet1!$DA379+$DR381+N("Auburn minus all storage release"),Sheet1!$DA379)</f>
        <v>#N/A</v>
      </c>
    </row>
    <row r="382" spans="1:243" x14ac:dyDescent="0.25">
      <c r="A382" s="530"/>
    </row>
    <row r="383" spans="1:243" x14ac:dyDescent="0.25">
      <c r="A383" s="530"/>
    </row>
    <row r="384" spans="1:243" x14ac:dyDescent="0.25">
      <c r="A384" s="530"/>
    </row>
    <row r="385" spans="1:1" x14ac:dyDescent="0.25">
      <c r="A385" s="530"/>
    </row>
    <row r="386" spans="1:1" x14ac:dyDescent="0.25">
      <c r="A386" s="530"/>
    </row>
    <row r="387" spans="1:1" x14ac:dyDescent="0.25">
      <c r="A387" s="530"/>
    </row>
    <row r="388" spans="1:1" x14ac:dyDescent="0.25">
      <c r="A388" s="530"/>
    </row>
    <row r="389" spans="1:1" x14ac:dyDescent="0.25">
      <c r="A389" s="530"/>
    </row>
    <row r="390" spans="1:1" x14ac:dyDescent="0.25">
      <c r="A390" s="530"/>
    </row>
    <row r="391" spans="1:1" x14ac:dyDescent="0.25">
      <c r="A391" s="530"/>
    </row>
    <row r="392" spans="1:1" x14ac:dyDescent="0.25">
      <c r="A392" s="530"/>
    </row>
    <row r="393" spans="1:1" x14ac:dyDescent="0.25">
      <c r="A393" s="530"/>
    </row>
    <row r="394" spans="1:1" x14ac:dyDescent="0.25">
      <c r="A394" s="530"/>
    </row>
    <row r="395" spans="1:1" x14ac:dyDescent="0.25">
      <c r="A395" s="530"/>
    </row>
    <row r="396" spans="1:1" x14ac:dyDescent="0.25">
      <c r="A396" s="530"/>
    </row>
    <row r="397" spans="1:1" x14ac:dyDescent="0.25">
      <c r="A397" s="530"/>
    </row>
    <row r="398" spans="1:1" x14ac:dyDescent="0.25">
      <c r="A398" s="530"/>
    </row>
    <row r="399" spans="1:1" x14ac:dyDescent="0.25">
      <c r="A399" s="530"/>
    </row>
    <row r="400" spans="1:1" x14ac:dyDescent="0.25">
      <c r="A400" s="530"/>
    </row>
    <row r="401" spans="1:1" x14ac:dyDescent="0.25">
      <c r="A401" s="530"/>
    </row>
    <row r="402" spans="1:1" x14ac:dyDescent="0.25">
      <c r="A402" s="530"/>
    </row>
    <row r="403" spans="1:1" x14ac:dyDescent="0.25">
      <c r="A403" s="530"/>
    </row>
    <row r="404" spans="1:1" x14ac:dyDescent="0.25">
      <c r="A404" s="530"/>
    </row>
    <row r="405" spans="1:1" x14ac:dyDescent="0.25">
      <c r="A405" s="530"/>
    </row>
    <row r="406" spans="1:1" x14ac:dyDescent="0.25">
      <c r="A406" s="530"/>
    </row>
    <row r="407" spans="1:1" x14ac:dyDescent="0.25">
      <c r="A407" s="530"/>
    </row>
    <row r="408" spans="1:1" x14ac:dyDescent="0.25">
      <c r="A408" s="530"/>
    </row>
    <row r="409" spans="1:1" x14ac:dyDescent="0.25">
      <c r="A409" s="530"/>
    </row>
    <row r="410" spans="1:1" x14ac:dyDescent="0.25">
      <c r="A410" s="530"/>
    </row>
    <row r="411" spans="1:1" x14ac:dyDescent="0.25">
      <c r="A411" s="530"/>
    </row>
    <row r="412" spans="1:1" x14ac:dyDescent="0.25">
      <c r="A412" s="530"/>
    </row>
    <row r="413" spans="1:1" x14ac:dyDescent="0.25">
      <c r="A413" s="530"/>
    </row>
    <row r="414" spans="1:1" x14ac:dyDescent="0.25">
      <c r="A414" s="530"/>
    </row>
    <row r="415" spans="1:1" x14ac:dyDescent="0.25">
      <c r="A415" s="530"/>
    </row>
    <row r="416" spans="1:1" x14ac:dyDescent="0.25">
      <c r="A416" s="530"/>
    </row>
    <row r="417" spans="1:1" x14ac:dyDescent="0.25">
      <c r="A417" s="530"/>
    </row>
    <row r="418" spans="1:1" x14ac:dyDescent="0.25">
      <c r="A418" s="530"/>
    </row>
    <row r="419" spans="1:1" x14ac:dyDescent="0.25">
      <c r="A419" s="530"/>
    </row>
    <row r="420" spans="1:1" x14ac:dyDescent="0.25">
      <c r="A420" s="530"/>
    </row>
    <row r="421" spans="1:1" x14ac:dyDescent="0.25">
      <c r="A421" s="530"/>
    </row>
    <row r="422" spans="1:1" x14ac:dyDescent="0.25">
      <c r="A422" s="530"/>
    </row>
    <row r="423" spans="1:1" x14ac:dyDescent="0.25">
      <c r="A423" s="530"/>
    </row>
    <row r="424" spans="1:1" x14ac:dyDescent="0.25">
      <c r="A424" s="530"/>
    </row>
    <row r="425" spans="1:1" x14ac:dyDescent="0.25">
      <c r="A425" s="530"/>
    </row>
    <row r="426" spans="1:1" x14ac:dyDescent="0.25">
      <c r="A426" s="530"/>
    </row>
    <row r="427" spans="1:1" x14ac:dyDescent="0.25">
      <c r="A427" s="530"/>
    </row>
    <row r="428" spans="1:1" x14ac:dyDescent="0.25">
      <c r="A428" s="530"/>
    </row>
    <row r="429" spans="1:1" x14ac:dyDescent="0.25">
      <c r="A429" s="530"/>
    </row>
    <row r="430" spans="1:1" x14ac:dyDescent="0.25">
      <c r="A430" s="530"/>
    </row>
    <row r="431" spans="1:1" x14ac:dyDescent="0.25">
      <c r="A431" s="530"/>
    </row>
    <row r="432" spans="1:1" x14ac:dyDescent="0.25">
      <c r="A432" s="530"/>
    </row>
    <row r="433" spans="1:1" x14ac:dyDescent="0.25">
      <c r="A433" s="530"/>
    </row>
    <row r="434" spans="1:1" x14ac:dyDescent="0.25">
      <c r="A434" s="530"/>
    </row>
    <row r="435" spans="1:1" x14ac:dyDescent="0.25">
      <c r="A435" s="530"/>
    </row>
    <row r="436" spans="1:1" x14ac:dyDescent="0.25">
      <c r="A436" s="530"/>
    </row>
    <row r="437" spans="1:1" x14ac:dyDescent="0.25">
      <c r="A437" s="530"/>
    </row>
    <row r="438" spans="1:1" x14ac:dyDescent="0.25">
      <c r="A438" s="530"/>
    </row>
    <row r="439" spans="1:1" x14ac:dyDescent="0.25">
      <c r="A439" s="530"/>
    </row>
    <row r="440" spans="1:1" x14ac:dyDescent="0.25">
      <c r="A440" s="530"/>
    </row>
    <row r="441" spans="1:1" x14ac:dyDescent="0.25">
      <c r="A441" s="530"/>
    </row>
    <row r="442" spans="1:1" x14ac:dyDescent="0.25">
      <c r="A442" s="530"/>
    </row>
    <row r="443" spans="1:1" x14ac:dyDescent="0.25">
      <c r="A443" s="530"/>
    </row>
    <row r="444" spans="1:1" x14ac:dyDescent="0.25">
      <c r="A444" s="530"/>
    </row>
    <row r="445" spans="1:1" x14ac:dyDescent="0.25">
      <c r="A445" s="530"/>
    </row>
    <row r="446" spans="1:1" x14ac:dyDescent="0.25">
      <c r="A446" s="530"/>
    </row>
    <row r="447" spans="1:1" x14ac:dyDescent="0.25">
      <c r="A447" s="530"/>
    </row>
    <row r="448" spans="1:1" x14ac:dyDescent="0.25">
      <c r="A448" s="530"/>
    </row>
    <row r="449" spans="1:1" x14ac:dyDescent="0.25">
      <c r="A449" s="530"/>
    </row>
    <row r="450" spans="1:1" x14ac:dyDescent="0.25">
      <c r="A450" s="530"/>
    </row>
    <row r="451" spans="1:1" x14ac:dyDescent="0.25">
      <c r="A451" s="530"/>
    </row>
    <row r="452" spans="1:1" x14ac:dyDescent="0.25">
      <c r="A452" s="530"/>
    </row>
    <row r="453" spans="1:1" x14ac:dyDescent="0.25">
      <c r="A453" s="530"/>
    </row>
    <row r="454" spans="1:1" x14ac:dyDescent="0.25">
      <c r="A454" s="530"/>
    </row>
    <row r="455" spans="1:1" x14ac:dyDescent="0.25">
      <c r="A455" s="530"/>
    </row>
    <row r="456" spans="1:1" x14ac:dyDescent="0.25">
      <c r="A456" s="530"/>
    </row>
    <row r="457" spans="1:1" x14ac:dyDescent="0.25">
      <c r="A457" s="530"/>
    </row>
    <row r="458" spans="1:1" x14ac:dyDescent="0.25">
      <c r="A458" s="530"/>
    </row>
    <row r="459" spans="1:1" x14ac:dyDescent="0.25">
      <c r="A459" s="530"/>
    </row>
    <row r="460" spans="1:1" x14ac:dyDescent="0.25">
      <c r="A460" s="530"/>
    </row>
    <row r="461" spans="1:1" x14ac:dyDescent="0.25">
      <c r="A461" s="530"/>
    </row>
    <row r="462" spans="1:1" x14ac:dyDescent="0.25">
      <c r="A462" s="530"/>
    </row>
    <row r="463" spans="1:1" x14ac:dyDescent="0.25">
      <c r="A463" s="530"/>
    </row>
    <row r="464" spans="1:1" x14ac:dyDescent="0.25">
      <c r="A464" s="530"/>
    </row>
    <row r="465" spans="1:1" x14ac:dyDescent="0.25">
      <c r="A465" s="530"/>
    </row>
    <row r="466" spans="1:1" x14ac:dyDescent="0.25">
      <c r="A466" s="530"/>
    </row>
    <row r="467" spans="1:1" x14ac:dyDescent="0.25">
      <c r="A467" s="530"/>
    </row>
    <row r="468" spans="1:1" x14ac:dyDescent="0.25">
      <c r="A468" s="530"/>
    </row>
    <row r="469" spans="1:1" x14ac:dyDescent="0.25">
      <c r="A469" s="530"/>
    </row>
    <row r="470" spans="1:1" x14ac:dyDescent="0.25">
      <c r="A470" s="530"/>
    </row>
    <row r="471" spans="1:1" x14ac:dyDescent="0.25">
      <c r="A471" s="530"/>
    </row>
    <row r="472" spans="1:1" x14ac:dyDescent="0.25">
      <c r="A472" s="530"/>
    </row>
    <row r="473" spans="1:1" x14ac:dyDescent="0.25">
      <c r="A473" s="530"/>
    </row>
    <row r="474" spans="1:1" x14ac:dyDescent="0.25">
      <c r="A474" s="530"/>
    </row>
    <row r="475" spans="1:1" x14ac:dyDescent="0.25">
      <c r="A475" s="530"/>
    </row>
    <row r="476" spans="1:1" x14ac:dyDescent="0.25">
      <c r="A476" s="530"/>
    </row>
    <row r="477" spans="1:1" x14ac:dyDescent="0.25">
      <c r="A477" s="530"/>
    </row>
    <row r="478" spans="1:1" x14ac:dyDescent="0.25">
      <c r="A478" s="530"/>
    </row>
    <row r="479" spans="1:1" x14ac:dyDescent="0.25">
      <c r="A479" s="530"/>
    </row>
    <row r="480" spans="1:1" x14ac:dyDescent="0.25">
      <c r="A480" s="530"/>
    </row>
    <row r="481" spans="1:1" x14ac:dyDescent="0.25">
      <c r="A481" s="530"/>
    </row>
    <row r="482" spans="1:1" x14ac:dyDescent="0.25">
      <c r="A482" s="530"/>
    </row>
    <row r="483" spans="1:1" x14ac:dyDescent="0.25">
      <c r="A483" s="530"/>
    </row>
    <row r="484" spans="1:1" x14ac:dyDescent="0.25">
      <c r="A484" s="530"/>
    </row>
    <row r="485" spans="1:1" x14ac:dyDescent="0.25">
      <c r="A485" s="530"/>
    </row>
    <row r="486" spans="1:1" x14ac:dyDescent="0.25">
      <c r="A486" s="530"/>
    </row>
    <row r="487" spans="1:1" x14ac:dyDescent="0.25">
      <c r="A487" s="530"/>
    </row>
    <row r="488" spans="1:1" x14ac:dyDescent="0.25">
      <c r="A488" s="530"/>
    </row>
    <row r="489" spans="1:1" x14ac:dyDescent="0.25">
      <c r="A489" s="530"/>
    </row>
    <row r="490" spans="1:1" x14ac:dyDescent="0.25">
      <c r="A490" s="530"/>
    </row>
    <row r="491" spans="1:1" x14ac:dyDescent="0.25">
      <c r="A491" s="530"/>
    </row>
    <row r="492" spans="1:1" x14ac:dyDescent="0.25">
      <c r="A492" s="530"/>
    </row>
    <row r="493" spans="1:1" x14ac:dyDescent="0.25">
      <c r="A493" s="530"/>
    </row>
    <row r="494" spans="1:1" x14ac:dyDescent="0.25">
      <c r="A494" s="530"/>
    </row>
    <row r="495" spans="1:1" x14ac:dyDescent="0.25">
      <c r="A495" s="530"/>
    </row>
    <row r="496" spans="1:1" x14ac:dyDescent="0.25">
      <c r="A496" s="530"/>
    </row>
    <row r="497" spans="1:1" x14ac:dyDescent="0.25">
      <c r="A497" s="530"/>
    </row>
    <row r="498" spans="1:1" x14ac:dyDescent="0.25">
      <c r="A498" s="530"/>
    </row>
    <row r="499" spans="1:1" x14ac:dyDescent="0.25">
      <c r="A499" s="530"/>
    </row>
    <row r="500" spans="1:1" x14ac:dyDescent="0.25">
      <c r="A500" s="530"/>
    </row>
    <row r="501" spans="1:1" x14ac:dyDescent="0.25">
      <c r="A501" s="530"/>
    </row>
    <row r="502" spans="1:1" x14ac:dyDescent="0.25">
      <c r="A502" s="530"/>
    </row>
    <row r="503" spans="1:1" x14ac:dyDescent="0.25">
      <c r="A503" s="530"/>
    </row>
    <row r="504" spans="1:1" x14ac:dyDescent="0.25">
      <c r="A504" s="530"/>
    </row>
    <row r="505" spans="1:1" x14ac:dyDescent="0.25">
      <c r="A505" s="530"/>
    </row>
    <row r="506" spans="1:1" x14ac:dyDescent="0.25">
      <c r="A506" s="530"/>
    </row>
  </sheetData>
  <mergeCells count="10">
    <mergeCell ref="B5:C5"/>
    <mergeCell ref="B6:C6"/>
    <mergeCell ref="Q5:Q7"/>
    <mergeCell ref="AP5:AP7"/>
    <mergeCell ref="GR5:GR7"/>
    <mergeCell ref="AQ5:AQ7"/>
    <mergeCell ref="AR5:AR7"/>
    <mergeCell ref="AT5:AT7"/>
    <mergeCell ref="GP5:GP7"/>
    <mergeCell ref="GQ5:GQ7"/>
  </mergeCells>
  <phoneticPr fontId="0" type="noConversion"/>
  <conditionalFormatting sqref="FF8:FH168 FF321:FH348 FF350:FH381 FF281:FH319 FF214:FH278 FF174:FH211">
    <cfRule type="expression" dxfId="62" priority="93" stopIfTrue="1">
      <formula>ISERROR(FF8)</formula>
    </cfRule>
    <cfRule type="expression" dxfId="61" priority="94" stopIfTrue="1">
      <formula>AND($B8&gt;0,FF8=0)</formula>
    </cfRule>
    <cfRule type="expression" dxfId="60" priority="95" stopIfTrue="1">
      <formula>OR(FF8=0,$B8&lt;=0)</formula>
    </cfRule>
  </conditionalFormatting>
  <conditionalFormatting sqref="FJ321:FJ346 FJ233:FJ278 FJ281:FJ319">
    <cfRule type="expression" dxfId="59" priority="66" stopIfTrue="1">
      <formula>ISERROR(FJ233)</formula>
    </cfRule>
    <cfRule type="expression" dxfId="58" priority="67" stopIfTrue="1">
      <formula>AND($B234&gt;0,FJ233=0)</formula>
    </cfRule>
    <cfRule type="expression" dxfId="57" priority="68" stopIfTrue="1">
      <formula>OR(FJ233=0,$B234&lt;=0)</formula>
    </cfRule>
  </conditionalFormatting>
  <conditionalFormatting sqref="FJ193:FJ211 FJ214:FJ232">
    <cfRule type="expression" dxfId="56" priority="63" stopIfTrue="1">
      <formula>ISERROR(FJ193)</formula>
    </cfRule>
    <cfRule type="expression" dxfId="55" priority="64" stopIfTrue="1">
      <formula>AND($B193&gt;0,FJ193=0)</formula>
    </cfRule>
    <cfRule type="expression" dxfId="54" priority="65" stopIfTrue="1">
      <formula>OR(FJ193=0,$B193&lt;=0)</formula>
    </cfRule>
  </conditionalFormatting>
  <conditionalFormatting sqref="FJ321:FJ346 FJ233:FJ278 FJ281:FJ319">
    <cfRule type="expression" dxfId="53" priority="60" stopIfTrue="1">
      <formula>ISERROR(FJ233)</formula>
    </cfRule>
    <cfRule type="expression" dxfId="52" priority="61" stopIfTrue="1">
      <formula>AND($B234&gt;0,FJ233=0)</formula>
    </cfRule>
    <cfRule type="expression" dxfId="51" priority="62" stopIfTrue="1">
      <formula>OR(FJ233=0,$B234&lt;=0)</formula>
    </cfRule>
  </conditionalFormatting>
  <conditionalFormatting sqref="FJ193:FJ211 FJ214:FJ232">
    <cfRule type="expression" dxfId="50" priority="57" stopIfTrue="1">
      <formula>ISERROR(FJ193)</formula>
    </cfRule>
    <cfRule type="expression" dxfId="49" priority="58" stopIfTrue="1">
      <formula>AND($B193&gt;0,FJ193=0)</formula>
    </cfRule>
    <cfRule type="expression" dxfId="48" priority="59" stopIfTrue="1">
      <formula>OR(FJ193=0,$B193&lt;=0)</formula>
    </cfRule>
  </conditionalFormatting>
  <conditionalFormatting sqref="Q12:Q381">
    <cfRule type="cellIs" dxfId="47" priority="56" operator="greaterThan">
      <formula>$N$12</formula>
    </cfRule>
  </conditionalFormatting>
  <conditionalFormatting sqref="FF320:FH320">
    <cfRule type="expression" dxfId="46" priority="52" stopIfTrue="1">
      <formula>ISERROR(FF320)</formula>
    </cfRule>
    <cfRule type="expression" dxfId="45" priority="53" stopIfTrue="1">
      <formula>AND($B320&gt;0,FF320=0)</formula>
    </cfRule>
    <cfRule type="expression" dxfId="44" priority="54" stopIfTrue="1">
      <formula>OR(FF320=0,$B320&lt;=0)</formula>
    </cfRule>
  </conditionalFormatting>
  <conditionalFormatting sqref="FJ320">
    <cfRule type="expression" dxfId="43" priority="49" stopIfTrue="1">
      <formula>ISERROR(FJ320)</formula>
    </cfRule>
    <cfRule type="expression" dxfId="42" priority="50" stopIfTrue="1">
      <formula>AND($B321&gt;0,FJ320=0)</formula>
    </cfRule>
    <cfRule type="expression" dxfId="41" priority="51" stopIfTrue="1">
      <formula>OR(FJ320=0,$B321&lt;=0)</formula>
    </cfRule>
  </conditionalFormatting>
  <conditionalFormatting sqref="FJ320">
    <cfRule type="expression" dxfId="40" priority="46" stopIfTrue="1">
      <formula>ISERROR(FJ320)</formula>
    </cfRule>
    <cfRule type="expression" dxfId="39" priority="47" stopIfTrue="1">
      <formula>AND($B321&gt;0,FJ320=0)</formula>
    </cfRule>
    <cfRule type="expression" dxfId="38" priority="48" stopIfTrue="1">
      <formula>OR(FJ320=0,$B321&lt;=0)</formula>
    </cfRule>
  </conditionalFormatting>
  <conditionalFormatting sqref="FF349:FH349">
    <cfRule type="expression" dxfId="37" priority="42" stopIfTrue="1">
      <formula>ISERROR(FF349)</formula>
    </cfRule>
    <cfRule type="expression" dxfId="36" priority="43" stopIfTrue="1">
      <formula>AND($B349&gt;0,FF349=0)</formula>
    </cfRule>
    <cfRule type="expression" dxfId="35" priority="44" stopIfTrue="1">
      <formula>OR(FF349=0,$B349&lt;=0)</formula>
    </cfRule>
  </conditionalFormatting>
  <conditionalFormatting sqref="FF279:FH280">
    <cfRule type="expression" dxfId="34" priority="38" stopIfTrue="1">
      <formula>ISERROR(FF279)</formula>
    </cfRule>
    <cfRule type="expression" dxfId="33" priority="39" stopIfTrue="1">
      <formula>AND($B279&gt;0,FF279=0)</formula>
    </cfRule>
    <cfRule type="expression" dxfId="32" priority="40" stopIfTrue="1">
      <formula>OR(FF279=0,$B279&lt;=0)</formula>
    </cfRule>
  </conditionalFormatting>
  <conditionalFormatting sqref="FJ279:FJ280">
    <cfRule type="expression" dxfId="31" priority="35" stopIfTrue="1">
      <formula>ISERROR(FJ279)</formula>
    </cfRule>
    <cfRule type="expression" dxfId="30" priority="36" stopIfTrue="1">
      <formula>AND($B280&gt;0,FJ279=0)</formula>
    </cfRule>
    <cfRule type="expression" dxfId="29" priority="37" stopIfTrue="1">
      <formula>OR(FJ279=0,$B280&lt;=0)</formula>
    </cfRule>
  </conditionalFormatting>
  <conditionalFormatting sqref="FJ279:FJ280">
    <cfRule type="expression" dxfId="28" priority="32" stopIfTrue="1">
      <formula>ISERROR(FJ279)</formula>
    </cfRule>
    <cfRule type="expression" dxfId="27" priority="33" stopIfTrue="1">
      <formula>AND($B280&gt;0,FJ279=0)</formula>
    </cfRule>
    <cfRule type="expression" dxfId="26" priority="34" stopIfTrue="1">
      <formula>OR(FJ279=0,$B280&lt;=0)</formula>
    </cfRule>
  </conditionalFormatting>
  <conditionalFormatting sqref="FF212:FH212">
    <cfRule type="expression" dxfId="25" priority="28" stopIfTrue="1">
      <formula>ISERROR(FF212)</formula>
    </cfRule>
    <cfRule type="expression" dxfId="24" priority="29" stopIfTrue="1">
      <formula>AND($B212&gt;0,FF212=0)</formula>
    </cfRule>
    <cfRule type="expression" dxfId="23" priority="30" stopIfTrue="1">
      <formula>OR(FF212=0,$B212&lt;=0)</formula>
    </cfRule>
  </conditionalFormatting>
  <conditionalFormatting sqref="FJ212">
    <cfRule type="expression" dxfId="22" priority="25" stopIfTrue="1">
      <formula>ISERROR(FJ212)</formula>
    </cfRule>
    <cfRule type="expression" dxfId="21" priority="26" stopIfTrue="1">
      <formula>AND($B212&gt;0,FJ212=0)</formula>
    </cfRule>
    <cfRule type="expression" dxfId="20" priority="27" stopIfTrue="1">
      <formula>OR(FJ212=0,$B212&lt;=0)</formula>
    </cfRule>
  </conditionalFormatting>
  <conditionalFormatting sqref="FJ212">
    <cfRule type="expression" dxfId="19" priority="22" stopIfTrue="1">
      <formula>ISERROR(FJ212)</formula>
    </cfRule>
    <cfRule type="expression" dxfId="18" priority="23" stopIfTrue="1">
      <formula>AND($B212&gt;0,FJ212=0)</formula>
    </cfRule>
    <cfRule type="expression" dxfId="17" priority="24" stopIfTrue="1">
      <formula>OR(FJ212=0,$B212&lt;=0)</formula>
    </cfRule>
  </conditionalFormatting>
  <conditionalFormatting sqref="FF213:FH213">
    <cfRule type="expression" dxfId="16" priority="18" stopIfTrue="1">
      <formula>ISERROR(FF213)</formula>
    </cfRule>
    <cfRule type="expression" dxfId="15" priority="19" stopIfTrue="1">
      <formula>AND($B213&gt;0,FF213=0)</formula>
    </cfRule>
    <cfRule type="expression" dxfId="14" priority="20" stopIfTrue="1">
      <formula>OR(FF213=0,$B213&lt;=0)</formula>
    </cfRule>
  </conditionalFormatting>
  <conditionalFormatting sqref="FJ213">
    <cfRule type="expression" dxfId="13" priority="15" stopIfTrue="1">
      <formula>ISERROR(FJ213)</formula>
    </cfRule>
    <cfRule type="expression" dxfId="12" priority="16" stopIfTrue="1">
      <formula>AND($B213&gt;0,FJ213=0)</formula>
    </cfRule>
    <cfRule type="expression" dxfId="11" priority="17" stopIfTrue="1">
      <formula>OR(FJ213=0,$B213&lt;=0)</formula>
    </cfRule>
  </conditionalFormatting>
  <conditionalFormatting sqref="FJ213">
    <cfRule type="expression" dxfId="10" priority="12" stopIfTrue="1">
      <formula>ISERROR(FJ213)</formula>
    </cfRule>
    <cfRule type="expression" dxfId="9" priority="13" stopIfTrue="1">
      <formula>AND($B213&gt;0,FJ213=0)</formula>
    </cfRule>
    <cfRule type="expression" dxfId="8" priority="14" stopIfTrue="1">
      <formula>OR(FJ213=0,$B213&lt;=0)</formula>
    </cfRule>
  </conditionalFormatting>
  <conditionalFormatting sqref="FF169:FH169">
    <cfRule type="expression" dxfId="7" priority="8" stopIfTrue="1">
      <formula>ISERROR(FF169)</formula>
    </cfRule>
    <cfRule type="expression" dxfId="6" priority="9" stopIfTrue="1">
      <formula>AND($B169&gt;0,FF169=0)</formula>
    </cfRule>
    <cfRule type="expression" dxfId="5" priority="10" stopIfTrue="1">
      <formula>OR(FF169=0,$B169&lt;=0)</formula>
    </cfRule>
  </conditionalFormatting>
  <conditionalFormatting sqref="FF170:FH173">
    <cfRule type="expression" dxfId="4" priority="4" stopIfTrue="1">
      <formula>ISERROR(FF170)</formula>
    </cfRule>
    <cfRule type="expression" dxfId="3" priority="5" stopIfTrue="1">
      <formula>AND($B170&gt;0,FF170=0)</formula>
    </cfRule>
    <cfRule type="expression" dxfId="2" priority="6" stopIfTrue="1">
      <formula>OR(FF170=0,$B170&lt;=0)</formula>
    </cfRule>
  </conditionalFormatting>
  <conditionalFormatting sqref="DO11:DO381">
    <cfRule type="cellIs" dxfId="1" priority="2" operator="notBetween">
      <formula>-0.01</formula>
      <formula>0.01</formula>
    </cfRule>
  </conditionalFormatting>
  <conditionalFormatting sqref="R11:R381">
    <cfRule type="cellIs" dxfId="0" priority="1" operator="greaterThan">
      <formula>$N$12</formula>
    </cfRule>
  </conditionalFormatting>
  <pageMargins left="0.2" right="0.2" top="0.25" bottom="0.25" header="0.05" footer="0.05"/>
  <pageSetup paperSize="3" orientation="landscape" r:id="rId1"/>
  <headerFooter alignWithMargins="0">
    <oddFooter>&amp;C&amp;P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IV434"/>
  <sheetViews>
    <sheetView workbookViewId="0">
      <pane xSplit="2" ySplit="7" topLeftCell="BO293" activePane="bottomRight" state="frozen"/>
      <selection activeCell="AS9" sqref="AS9"/>
      <selection pane="topRight" activeCell="AS9" sqref="AS9"/>
      <selection pane="bottomLeft" activeCell="AS9" sqref="AS9"/>
      <selection pane="bottomRight" activeCell="CG15" sqref="CG15"/>
    </sheetView>
  </sheetViews>
  <sheetFormatPr defaultRowHeight="13.2" x14ac:dyDescent="0.25"/>
  <cols>
    <col min="1" max="1" width="10.44140625" customWidth="1"/>
    <col min="2" max="2" width="12.5546875" customWidth="1"/>
    <col min="4" max="4" width="15.88671875" customWidth="1"/>
    <col min="10" max="10" width="1.5546875" customWidth="1"/>
    <col min="12" max="12" width="1.5546875" customWidth="1"/>
    <col min="15" max="15" width="10" customWidth="1"/>
    <col min="16" max="16" width="9.88671875" customWidth="1"/>
    <col min="27" max="27" width="12.88671875" customWidth="1"/>
    <col min="29" max="29" width="10.109375" customWidth="1"/>
    <col min="30" max="30" width="10" customWidth="1"/>
    <col min="33" max="33" width="10.44140625" customWidth="1"/>
    <col min="35" max="35" width="11.109375" customWidth="1"/>
    <col min="39" max="39" width="10.44140625" customWidth="1"/>
    <col min="43" max="43" width="9.88671875" style="740" customWidth="1"/>
    <col min="46" max="46" width="10" customWidth="1"/>
    <col min="47" max="47" width="11" customWidth="1"/>
    <col min="48" max="48" width="10.44140625" customWidth="1"/>
    <col min="68" max="68" width="9.109375" style="30"/>
    <col min="85" max="85" width="10.6640625" customWidth="1"/>
  </cols>
  <sheetData>
    <row r="1" spans="1:256" s="361" customFormat="1" x14ac:dyDescent="0.25">
      <c r="A1" s="2"/>
      <c r="B1" s="360">
        <v>1</v>
      </c>
      <c r="C1" s="360">
        <v>2</v>
      </c>
      <c r="D1" s="361">
        <v>3</v>
      </c>
      <c r="E1" s="361">
        <v>4</v>
      </c>
      <c r="F1" s="360">
        <v>5</v>
      </c>
      <c r="G1" s="360">
        <v>6</v>
      </c>
      <c r="H1" s="361">
        <v>7</v>
      </c>
      <c r="I1" s="361">
        <v>8</v>
      </c>
      <c r="J1" s="360">
        <v>9</v>
      </c>
      <c r="K1" s="360">
        <v>10</v>
      </c>
      <c r="L1" s="361">
        <v>11</v>
      </c>
      <c r="M1" s="361">
        <v>12</v>
      </c>
      <c r="N1" s="360">
        <v>13</v>
      </c>
      <c r="O1" s="360">
        <v>14</v>
      </c>
      <c r="P1" s="361">
        <v>15</v>
      </c>
      <c r="Q1" s="361">
        <v>16</v>
      </c>
      <c r="R1" s="360">
        <v>17</v>
      </c>
      <c r="S1" s="360">
        <v>18</v>
      </c>
      <c r="T1" s="361">
        <v>19</v>
      </c>
      <c r="U1" s="361">
        <v>20</v>
      </c>
      <c r="V1" s="360">
        <v>21</v>
      </c>
      <c r="W1" s="360">
        <v>22</v>
      </c>
      <c r="X1" s="361">
        <v>23</v>
      </c>
      <c r="Y1" s="361">
        <v>24</v>
      </c>
      <c r="Z1" s="360">
        <v>25</v>
      </c>
      <c r="AA1" s="360">
        <v>26</v>
      </c>
      <c r="AB1" s="361">
        <v>27</v>
      </c>
      <c r="AC1" s="361">
        <v>28</v>
      </c>
      <c r="AD1" s="360">
        <v>29</v>
      </c>
      <c r="AE1" s="360">
        <v>30</v>
      </c>
      <c r="AF1" s="361">
        <v>31</v>
      </c>
      <c r="AG1" s="361">
        <v>32</v>
      </c>
      <c r="AH1" s="360">
        <v>33</v>
      </c>
      <c r="AI1" s="360">
        <v>34</v>
      </c>
      <c r="AJ1" s="361">
        <v>35</v>
      </c>
      <c r="AK1" s="361">
        <v>36</v>
      </c>
      <c r="AL1" s="360">
        <v>37</v>
      </c>
      <c r="AM1" s="360">
        <v>38</v>
      </c>
      <c r="AN1" s="361">
        <v>39</v>
      </c>
      <c r="AO1" s="361">
        <v>40</v>
      </c>
      <c r="AP1" s="360">
        <v>41</v>
      </c>
      <c r="AQ1" s="1081">
        <v>42</v>
      </c>
      <c r="AR1" s="361">
        <v>43</v>
      </c>
      <c r="AS1" s="361">
        <v>44</v>
      </c>
      <c r="AT1" s="360">
        <v>45</v>
      </c>
      <c r="AU1" s="360">
        <v>46</v>
      </c>
      <c r="AV1" s="361">
        <v>47</v>
      </c>
      <c r="AW1" s="361">
        <v>48</v>
      </c>
      <c r="AX1" s="360">
        <v>49</v>
      </c>
      <c r="AY1" s="360">
        <v>50</v>
      </c>
      <c r="AZ1" s="361">
        <v>51</v>
      </c>
      <c r="BA1" s="361">
        <v>52</v>
      </c>
      <c r="BB1" s="360">
        <v>53</v>
      </c>
      <c r="BC1" s="360">
        <v>54</v>
      </c>
      <c r="BD1" s="361">
        <v>55</v>
      </c>
      <c r="BE1" s="361">
        <v>56</v>
      </c>
      <c r="BF1" s="360">
        <v>57</v>
      </c>
      <c r="BG1" s="360">
        <v>58</v>
      </c>
      <c r="BH1" s="361">
        <v>59</v>
      </c>
      <c r="BI1" s="361">
        <v>60</v>
      </c>
      <c r="BJ1" s="360">
        <v>61</v>
      </c>
      <c r="BK1" s="360">
        <v>62</v>
      </c>
      <c r="BL1" s="361">
        <v>63</v>
      </c>
      <c r="BM1" s="361">
        <v>64</v>
      </c>
      <c r="BN1" s="360">
        <v>65</v>
      </c>
      <c r="BO1" s="360">
        <v>66</v>
      </c>
      <c r="BP1" s="1076">
        <v>67</v>
      </c>
      <c r="BQ1" s="361">
        <v>68</v>
      </c>
      <c r="BR1" s="360">
        <v>69</v>
      </c>
      <c r="BS1" s="360">
        <v>70</v>
      </c>
      <c r="BT1" s="361">
        <v>71</v>
      </c>
      <c r="BU1" s="361">
        <v>72</v>
      </c>
      <c r="BV1" s="360">
        <v>73</v>
      </c>
      <c r="BW1" s="360">
        <v>74</v>
      </c>
      <c r="BX1" s="361">
        <v>75</v>
      </c>
      <c r="BY1" s="361">
        <v>76</v>
      </c>
      <c r="BZ1" s="360">
        <v>77</v>
      </c>
      <c r="CA1" s="360">
        <v>78</v>
      </c>
      <c r="CB1" s="361">
        <v>79</v>
      </c>
      <c r="CC1" s="361">
        <v>80</v>
      </c>
      <c r="CD1" s="360">
        <v>81</v>
      </c>
      <c r="CE1" s="360">
        <v>82</v>
      </c>
      <c r="CF1" s="361">
        <v>83</v>
      </c>
      <c r="CG1" s="361">
        <v>85</v>
      </c>
      <c r="CH1" s="360">
        <v>85</v>
      </c>
      <c r="CI1" s="360">
        <v>86</v>
      </c>
      <c r="CJ1" s="361">
        <v>87</v>
      </c>
      <c r="CK1" s="361">
        <v>88</v>
      </c>
      <c r="CL1" s="360">
        <v>89</v>
      </c>
      <c r="CM1" s="360">
        <v>90</v>
      </c>
      <c r="CN1" s="361">
        <v>91</v>
      </c>
      <c r="CO1" s="361">
        <v>92</v>
      </c>
      <c r="CP1" s="360">
        <v>93</v>
      </c>
      <c r="CQ1" s="360">
        <v>94</v>
      </c>
      <c r="CR1" s="361">
        <v>95</v>
      </c>
      <c r="CS1" s="361">
        <v>96</v>
      </c>
      <c r="CT1" s="360">
        <v>97</v>
      </c>
      <c r="CU1" s="360">
        <v>98</v>
      </c>
      <c r="CV1" s="361">
        <v>99</v>
      </c>
      <c r="CW1" s="361">
        <v>100</v>
      </c>
      <c r="CX1" s="360">
        <v>101</v>
      </c>
      <c r="CY1" s="360">
        <v>102</v>
      </c>
      <c r="CZ1" s="361">
        <v>103</v>
      </c>
      <c r="DA1" s="361">
        <v>104</v>
      </c>
      <c r="DB1" s="360">
        <v>105</v>
      </c>
      <c r="DC1" s="360">
        <v>106</v>
      </c>
      <c r="DD1" s="361">
        <v>107</v>
      </c>
      <c r="DE1" s="361">
        <v>108</v>
      </c>
      <c r="DF1" s="360">
        <v>109</v>
      </c>
      <c r="DG1" s="360">
        <v>110</v>
      </c>
      <c r="DH1" s="361">
        <v>111</v>
      </c>
      <c r="DI1" s="361">
        <v>112</v>
      </c>
      <c r="DJ1" s="360">
        <v>113</v>
      </c>
      <c r="DK1" s="360">
        <v>114</v>
      </c>
      <c r="DL1" s="361">
        <v>115</v>
      </c>
      <c r="DM1" s="361">
        <v>116</v>
      </c>
      <c r="DN1" s="360">
        <v>117</v>
      </c>
      <c r="DO1" s="360">
        <v>118</v>
      </c>
      <c r="DP1" s="361">
        <v>119</v>
      </c>
      <c r="DQ1" s="361">
        <v>120</v>
      </c>
      <c r="DR1" s="360">
        <v>121</v>
      </c>
      <c r="DS1" s="360">
        <v>122</v>
      </c>
      <c r="DT1" s="361">
        <v>123</v>
      </c>
      <c r="DU1" s="361">
        <v>124</v>
      </c>
      <c r="DV1" s="360">
        <v>125</v>
      </c>
      <c r="DW1" s="360">
        <v>126</v>
      </c>
      <c r="DX1" s="361">
        <v>127</v>
      </c>
      <c r="DY1" s="361">
        <v>128</v>
      </c>
      <c r="DZ1" s="360">
        <v>129</v>
      </c>
      <c r="EA1" s="360">
        <v>130</v>
      </c>
      <c r="EB1" s="361">
        <v>131</v>
      </c>
      <c r="EC1" s="361">
        <v>132</v>
      </c>
      <c r="ED1" s="360">
        <v>133</v>
      </c>
      <c r="EE1" s="360">
        <v>134</v>
      </c>
      <c r="EF1" s="361">
        <v>135</v>
      </c>
      <c r="EG1" s="361">
        <v>136</v>
      </c>
      <c r="EH1" s="360">
        <v>137</v>
      </c>
      <c r="EI1" s="360">
        <v>138</v>
      </c>
      <c r="EJ1" s="361">
        <v>139</v>
      </c>
      <c r="EK1" s="361">
        <v>140</v>
      </c>
      <c r="EL1" s="360">
        <v>141</v>
      </c>
      <c r="EM1" s="360">
        <v>142</v>
      </c>
      <c r="EN1" s="361">
        <v>143</v>
      </c>
      <c r="EO1" s="361">
        <v>144</v>
      </c>
      <c r="EP1" s="360">
        <v>145</v>
      </c>
      <c r="EQ1" s="360">
        <v>146</v>
      </c>
      <c r="ER1" s="361">
        <v>147</v>
      </c>
      <c r="ES1" s="361">
        <v>148</v>
      </c>
      <c r="ET1" s="360">
        <v>149</v>
      </c>
      <c r="EU1" s="360">
        <v>150</v>
      </c>
      <c r="EV1" s="361">
        <v>151</v>
      </c>
      <c r="EW1" s="361">
        <v>152</v>
      </c>
      <c r="EX1" s="360">
        <v>153</v>
      </c>
      <c r="EY1" s="360">
        <v>154</v>
      </c>
      <c r="EZ1" s="361">
        <v>155</v>
      </c>
      <c r="FA1" s="361">
        <v>156</v>
      </c>
      <c r="FB1" s="360">
        <v>157</v>
      </c>
      <c r="FC1" s="360">
        <v>158</v>
      </c>
      <c r="FD1" s="361">
        <v>159</v>
      </c>
      <c r="FE1" s="361">
        <v>160</v>
      </c>
      <c r="FF1" s="360">
        <v>161</v>
      </c>
      <c r="FG1" s="360">
        <v>162</v>
      </c>
      <c r="FH1" s="361">
        <v>163</v>
      </c>
      <c r="FI1" s="361">
        <v>164</v>
      </c>
      <c r="FJ1" s="360">
        <v>165</v>
      </c>
      <c r="FK1" s="360">
        <v>166</v>
      </c>
      <c r="FL1" s="361">
        <v>167</v>
      </c>
      <c r="FM1" s="361">
        <v>168</v>
      </c>
      <c r="FN1" s="360">
        <v>169</v>
      </c>
      <c r="FO1" s="360">
        <v>170</v>
      </c>
      <c r="FP1" s="361">
        <v>171</v>
      </c>
      <c r="FQ1" s="361">
        <v>172</v>
      </c>
      <c r="FR1" s="360">
        <v>173</v>
      </c>
      <c r="FS1" s="360">
        <v>174</v>
      </c>
      <c r="FT1" s="361">
        <v>175</v>
      </c>
      <c r="FU1" s="361">
        <v>176</v>
      </c>
      <c r="FV1" s="360">
        <v>177</v>
      </c>
      <c r="FW1" s="360">
        <v>178</v>
      </c>
      <c r="FX1" s="361">
        <v>179</v>
      </c>
      <c r="FY1" s="361">
        <v>180</v>
      </c>
      <c r="FZ1" s="360">
        <v>181</v>
      </c>
      <c r="GA1" s="360">
        <v>182</v>
      </c>
      <c r="GB1" s="361">
        <v>183</v>
      </c>
      <c r="GC1" s="361">
        <v>184</v>
      </c>
      <c r="GD1" s="360">
        <v>185</v>
      </c>
      <c r="GE1" s="360">
        <v>186</v>
      </c>
      <c r="GF1" s="361">
        <v>187</v>
      </c>
      <c r="GG1" s="361">
        <v>188</v>
      </c>
      <c r="GH1" s="360">
        <v>189</v>
      </c>
      <c r="GI1" s="360">
        <v>190</v>
      </c>
      <c r="GJ1" s="361">
        <v>191</v>
      </c>
      <c r="GK1" s="361">
        <v>192</v>
      </c>
      <c r="GL1" s="360">
        <v>193</v>
      </c>
      <c r="GM1" s="360">
        <v>194</v>
      </c>
      <c r="GN1" s="361">
        <v>195</v>
      </c>
      <c r="GO1" s="361">
        <v>196</v>
      </c>
      <c r="GP1" s="360">
        <v>197</v>
      </c>
      <c r="GQ1" s="360">
        <v>198</v>
      </c>
      <c r="GR1" s="361">
        <v>199</v>
      </c>
      <c r="GS1" s="361">
        <v>200</v>
      </c>
      <c r="GT1" s="360">
        <v>201</v>
      </c>
      <c r="GU1" s="360">
        <v>202</v>
      </c>
      <c r="GV1" s="361">
        <v>203</v>
      </c>
      <c r="GW1" s="361">
        <v>204</v>
      </c>
      <c r="GX1" s="360">
        <v>205</v>
      </c>
      <c r="GY1" s="360">
        <v>206</v>
      </c>
      <c r="GZ1" s="361">
        <v>207</v>
      </c>
      <c r="HA1" s="361">
        <v>208</v>
      </c>
      <c r="HB1" s="360">
        <v>209</v>
      </c>
      <c r="HC1" s="360">
        <v>210</v>
      </c>
      <c r="HD1" s="361">
        <v>211</v>
      </c>
      <c r="HE1" s="361">
        <v>212</v>
      </c>
      <c r="HF1" s="360">
        <v>213</v>
      </c>
      <c r="HG1" s="360">
        <v>214</v>
      </c>
      <c r="HH1" s="361">
        <v>215</v>
      </c>
      <c r="HI1" s="361">
        <v>216</v>
      </c>
      <c r="HJ1" s="360">
        <v>217</v>
      </c>
      <c r="HK1" s="360">
        <v>218</v>
      </c>
      <c r="HL1" s="361">
        <v>219</v>
      </c>
      <c r="HM1" s="361">
        <v>220</v>
      </c>
      <c r="HN1" s="360">
        <v>221</v>
      </c>
      <c r="HO1" s="360">
        <v>222</v>
      </c>
      <c r="HP1" s="361">
        <v>223</v>
      </c>
      <c r="HQ1" s="361">
        <v>224</v>
      </c>
      <c r="HR1" s="360">
        <v>225</v>
      </c>
      <c r="HS1" s="360">
        <v>226</v>
      </c>
      <c r="HT1" s="361">
        <v>227</v>
      </c>
      <c r="HU1" s="361">
        <v>228</v>
      </c>
      <c r="HV1" s="360">
        <v>229</v>
      </c>
      <c r="HW1" s="360">
        <v>230</v>
      </c>
      <c r="HX1" s="361">
        <v>231</v>
      </c>
      <c r="HY1" s="361">
        <v>232</v>
      </c>
      <c r="HZ1" s="360">
        <v>233</v>
      </c>
      <c r="IA1" s="360">
        <v>234</v>
      </c>
      <c r="IB1" s="361">
        <v>235</v>
      </c>
      <c r="IC1" s="361">
        <v>236</v>
      </c>
      <c r="ID1" s="360">
        <v>237</v>
      </c>
      <c r="IE1" s="360">
        <v>238</v>
      </c>
      <c r="IF1" s="361">
        <v>239</v>
      </c>
      <c r="IG1" s="361">
        <v>240</v>
      </c>
      <c r="IH1" s="360">
        <v>241</v>
      </c>
      <c r="II1" s="360">
        <v>242</v>
      </c>
      <c r="IJ1" s="361">
        <v>243</v>
      </c>
      <c r="IK1" s="361">
        <v>244</v>
      </c>
      <c r="IL1" s="360">
        <v>245</v>
      </c>
      <c r="IM1" s="360">
        <v>246</v>
      </c>
      <c r="IN1" s="361">
        <v>247</v>
      </c>
      <c r="IO1" s="361">
        <v>248</v>
      </c>
      <c r="IP1" s="360">
        <v>249</v>
      </c>
      <c r="IQ1" s="360">
        <v>250</v>
      </c>
      <c r="IR1" s="361">
        <v>251</v>
      </c>
      <c r="IS1" s="361">
        <v>252</v>
      </c>
      <c r="IT1" s="360">
        <v>253</v>
      </c>
      <c r="IU1" s="360">
        <v>254</v>
      </c>
      <c r="IV1" s="361">
        <v>255</v>
      </c>
    </row>
    <row r="2" spans="1:256" x14ac:dyDescent="0.25">
      <c r="A2" s="2"/>
      <c r="B2" s="2"/>
      <c r="C2" s="2"/>
      <c r="R2" s="2"/>
      <c r="S2" s="2"/>
      <c r="T2" s="2"/>
      <c r="U2" s="2"/>
      <c r="V2" s="2"/>
      <c r="W2" s="2"/>
      <c r="X2" s="2"/>
      <c r="Y2" s="2"/>
      <c r="Z2" s="2"/>
      <c r="AA2" s="2"/>
      <c r="AC2" s="2"/>
      <c r="AD2" s="2"/>
      <c r="AE2" s="2"/>
      <c r="AF2" s="2"/>
      <c r="AG2" s="2"/>
      <c r="AH2" s="2"/>
      <c r="AI2" s="2"/>
      <c r="AJ2" s="2"/>
      <c r="AK2" s="2"/>
      <c r="AL2" s="2"/>
      <c r="AM2" s="2"/>
      <c r="AN2" s="2"/>
      <c r="AO2" s="2"/>
      <c r="AP2" s="2"/>
      <c r="AQ2" s="1082"/>
      <c r="AR2" s="2"/>
      <c r="AS2" s="2"/>
    </row>
    <row r="3" spans="1:256" x14ac:dyDescent="0.25">
      <c r="A3" s="2"/>
      <c r="B3" s="2"/>
      <c r="C3" s="2"/>
      <c r="F3" t="s">
        <v>688</v>
      </c>
      <c r="G3" t="s">
        <v>689</v>
      </c>
      <c r="H3" t="s">
        <v>684</v>
      </c>
      <c r="I3" t="s">
        <v>691</v>
      </c>
      <c r="K3" t="s">
        <v>687</v>
      </c>
      <c r="M3" t="s">
        <v>686</v>
      </c>
      <c r="N3" t="s">
        <v>685</v>
      </c>
      <c r="R3" s="2"/>
      <c r="S3" s="2"/>
      <c r="T3" s="2"/>
      <c r="U3" s="2"/>
      <c r="V3" s="2"/>
      <c r="W3" s="2"/>
      <c r="X3" s="2"/>
      <c r="Y3" s="2"/>
      <c r="Z3" s="2"/>
      <c r="AA3" s="2"/>
      <c r="AC3" s="2"/>
      <c r="AD3" s="2"/>
      <c r="AE3" s="2"/>
      <c r="AF3" s="2"/>
      <c r="AG3" s="2"/>
      <c r="AH3" s="2"/>
      <c r="AI3" s="2"/>
      <c r="AJ3" s="2"/>
      <c r="AK3" s="2"/>
      <c r="AL3" s="2"/>
      <c r="AM3" s="2"/>
      <c r="AN3" s="2"/>
      <c r="AO3" s="2"/>
      <c r="AP3" s="2"/>
      <c r="AQ3" s="1082"/>
      <c r="AR3" s="2"/>
      <c r="AS3" s="2"/>
    </row>
    <row r="4" spans="1:256" ht="13.8" thickBot="1" x14ac:dyDescent="0.3">
      <c r="A4" s="1"/>
      <c r="B4" s="1"/>
      <c r="C4" s="1"/>
      <c r="D4" s="79" t="s">
        <v>257</v>
      </c>
      <c r="F4" s="2"/>
      <c r="G4" s="2"/>
      <c r="H4" s="2"/>
      <c r="I4" s="110">
        <v>77</v>
      </c>
      <c r="J4" s="81" t="s">
        <v>177</v>
      </c>
      <c r="K4" s="2"/>
      <c r="L4" s="81" t="s">
        <v>177</v>
      </c>
      <c r="M4" s="108"/>
      <c r="N4" s="2"/>
      <c r="P4" s="2"/>
      <c r="R4" s="2"/>
      <c r="S4" s="2"/>
      <c r="T4" s="2"/>
      <c r="U4" s="2"/>
      <c r="V4" s="2"/>
      <c r="W4" s="2"/>
      <c r="X4" s="2"/>
      <c r="Y4" s="2"/>
      <c r="Z4" s="2"/>
      <c r="AA4" s="2"/>
      <c r="AC4" s="2"/>
      <c r="AD4" s="2"/>
      <c r="AE4" s="2"/>
      <c r="AF4" s="2"/>
      <c r="AG4" s="2"/>
      <c r="AH4" s="2"/>
      <c r="AI4" s="2"/>
      <c r="AJ4" s="2"/>
      <c r="AK4" s="2"/>
      <c r="AL4" s="2"/>
      <c r="AM4" s="2"/>
      <c r="AN4" s="2"/>
      <c r="AO4" s="2"/>
      <c r="AP4" s="2"/>
      <c r="AQ4" s="1082"/>
      <c r="AR4" s="2"/>
      <c r="AS4" s="2"/>
      <c r="BZ4" t="s">
        <v>863</v>
      </c>
      <c r="CA4" s="30">
        <f ca="1">AVERAGE(CA261:CA267)</f>
        <v>66.458792800036207</v>
      </c>
    </row>
    <row r="5" spans="1:256" ht="13.8" thickBot="1" x14ac:dyDescent="0.3">
      <c r="A5" s="2"/>
      <c r="B5" s="1273"/>
      <c r="C5" s="1273"/>
      <c r="D5" s="79" t="s">
        <v>259</v>
      </c>
      <c r="F5" s="80">
        <v>421</v>
      </c>
      <c r="G5" s="80">
        <v>260</v>
      </c>
      <c r="H5" s="80">
        <v>160</v>
      </c>
      <c r="I5" s="109">
        <v>78</v>
      </c>
      <c r="J5" s="81" t="s">
        <v>177</v>
      </c>
      <c r="K5" s="82">
        <v>106.5</v>
      </c>
      <c r="L5" s="81" t="s">
        <v>177</v>
      </c>
      <c r="M5" s="107">
        <v>175</v>
      </c>
      <c r="N5" s="80">
        <v>325</v>
      </c>
      <c r="P5" s="2"/>
      <c r="R5" s="2"/>
      <c r="S5" s="2"/>
      <c r="T5" s="2"/>
      <c r="U5" s="2"/>
      <c r="V5" s="2"/>
      <c r="W5" s="2"/>
      <c r="X5" s="2"/>
      <c r="Y5" s="2"/>
      <c r="Z5" s="2"/>
      <c r="AA5" s="2"/>
      <c r="AC5" s="2"/>
      <c r="AD5" s="2"/>
      <c r="AE5" s="2"/>
      <c r="AF5" s="2"/>
      <c r="AG5" s="2"/>
      <c r="AH5" s="2"/>
      <c r="AI5" s="2"/>
      <c r="AJ5" s="2"/>
      <c r="AK5" s="2"/>
      <c r="AL5" s="2"/>
      <c r="AM5" s="2"/>
      <c r="AN5" s="2"/>
      <c r="AO5" s="2"/>
      <c r="AP5" s="2"/>
      <c r="AQ5" s="1082"/>
      <c r="AR5" s="2"/>
      <c r="AS5" s="2"/>
    </row>
    <row r="6" spans="1:256" ht="13.8" thickBot="1" x14ac:dyDescent="0.3">
      <c r="A6" s="2"/>
      <c r="B6" s="1274" t="s">
        <v>0</v>
      </c>
      <c r="C6" s="1275"/>
      <c r="D6" s="83" t="s">
        <v>178</v>
      </c>
      <c r="F6" s="84">
        <f>(PI()/4)*F5^2</f>
        <v>139204.75587872713</v>
      </c>
      <c r="G6" s="84">
        <f>(PI()/4)*G5^2</f>
        <v>53092.915845667507</v>
      </c>
      <c r="H6" s="84">
        <f>(PI()/4)*H5^2</f>
        <v>20106.192982974677</v>
      </c>
      <c r="I6" s="85">
        <f>I4*I5</f>
        <v>6006</v>
      </c>
      <c r="J6" s="86" t="s">
        <v>177</v>
      </c>
      <c r="K6" s="87">
        <f>(PI()/4)*(K5^2)</f>
        <v>8908.1823187947084</v>
      </c>
      <c r="L6" s="86" t="s">
        <v>177</v>
      </c>
      <c r="M6" s="85">
        <f>(PI()/4)*(M5^2)</f>
        <v>24052.818754046853</v>
      </c>
      <c r="N6" s="84">
        <f>(PI()/4)*(N5^2)</f>
        <v>82957.681008855478</v>
      </c>
      <c r="P6" s="2"/>
      <c r="R6" s="3"/>
      <c r="S6" s="3"/>
      <c r="T6" s="3"/>
      <c r="U6" s="3"/>
      <c r="V6" s="3"/>
      <c r="W6" s="3"/>
      <c r="X6" s="3"/>
      <c r="Y6" s="3"/>
      <c r="Z6" s="3"/>
      <c r="AA6" s="3"/>
      <c r="AC6" s="3"/>
      <c r="AD6" s="3"/>
      <c r="AE6" s="3"/>
      <c r="AF6" s="3"/>
      <c r="AG6" s="3"/>
      <c r="AH6" s="3"/>
      <c r="AI6" s="3"/>
      <c r="AJ6" s="3"/>
      <c r="AK6" s="3"/>
      <c r="AL6" s="3"/>
      <c r="AM6" s="3"/>
      <c r="AN6" s="3"/>
      <c r="AO6" s="3"/>
      <c r="AP6" s="3"/>
      <c r="AQ6" s="1083"/>
      <c r="AR6" s="3"/>
      <c r="AS6" s="3"/>
    </row>
    <row r="7" spans="1:256" ht="180" customHeight="1" x14ac:dyDescent="0.25">
      <c r="A7" s="4"/>
      <c r="B7" s="98" t="s">
        <v>1</v>
      </c>
      <c r="C7" s="98" t="s">
        <v>2</v>
      </c>
      <c r="D7" s="951" t="s">
        <v>788</v>
      </c>
      <c r="E7" s="950" t="s">
        <v>787</v>
      </c>
      <c r="F7" s="33" t="s">
        <v>186</v>
      </c>
      <c r="G7" s="31" t="s">
        <v>181</v>
      </c>
      <c r="H7" s="31" t="s">
        <v>180</v>
      </c>
      <c r="I7" s="88" t="s">
        <v>265</v>
      </c>
      <c r="J7" s="88"/>
      <c r="K7" s="32" t="s">
        <v>690</v>
      </c>
      <c r="L7" s="88"/>
      <c r="M7" s="88" t="s">
        <v>216</v>
      </c>
      <c r="N7" s="32" t="s">
        <v>179</v>
      </c>
      <c r="O7" s="32" t="s">
        <v>187</v>
      </c>
      <c r="P7" s="32" t="s">
        <v>406</v>
      </c>
      <c r="Q7" s="806" t="s">
        <v>705</v>
      </c>
      <c r="R7" s="32" t="s">
        <v>705</v>
      </c>
      <c r="S7" s="32" t="s">
        <v>706</v>
      </c>
      <c r="T7" s="32" t="s">
        <v>189</v>
      </c>
      <c r="U7" s="32" t="s">
        <v>188</v>
      </c>
      <c r="V7" s="32" t="s">
        <v>190</v>
      </c>
      <c r="W7" s="32" t="s">
        <v>191</v>
      </c>
      <c r="X7" s="32" t="s">
        <v>513</v>
      </c>
      <c r="Y7" s="32" t="s">
        <v>212</v>
      </c>
      <c r="Z7" s="32" t="s">
        <v>156</v>
      </c>
      <c r="AA7" s="32" t="s">
        <v>192</v>
      </c>
      <c r="AC7" s="32" t="s">
        <v>444</v>
      </c>
      <c r="AD7" s="32" t="s">
        <v>408</v>
      </c>
      <c r="AE7" s="32" t="s">
        <v>407</v>
      </c>
      <c r="AF7" s="32" t="s">
        <v>409</v>
      </c>
      <c r="AG7" s="32" t="s">
        <v>857</v>
      </c>
      <c r="AH7" s="32" t="s">
        <v>658</v>
      </c>
      <c r="AI7" s="32" t="s">
        <v>659</v>
      </c>
      <c r="AJ7" s="33"/>
      <c r="AK7" s="33"/>
      <c r="AL7" s="33"/>
      <c r="AM7" s="32" t="s">
        <v>1</v>
      </c>
      <c r="AN7" s="806" t="s">
        <v>595</v>
      </c>
      <c r="AO7" s="806" t="s">
        <v>790</v>
      </c>
      <c r="AP7" s="806" t="s">
        <v>789</v>
      </c>
      <c r="AQ7" s="1084" t="s">
        <v>795</v>
      </c>
      <c r="AR7" s="806" t="s">
        <v>791</v>
      </c>
      <c r="AS7" s="806" t="s">
        <v>794</v>
      </c>
      <c r="AT7" s="806" t="s">
        <v>770</v>
      </c>
      <c r="AU7" s="33" t="s">
        <v>327</v>
      </c>
      <c r="AV7" s="806" t="s">
        <v>769</v>
      </c>
      <c r="AW7" s="33" t="s">
        <v>328</v>
      </c>
      <c r="AX7" s="33" t="s">
        <v>329</v>
      </c>
      <c r="AY7" s="33" t="s">
        <v>330</v>
      </c>
      <c r="AZ7" s="33" t="s">
        <v>331</v>
      </c>
      <c r="BA7" s="33" t="s">
        <v>332</v>
      </c>
      <c r="BB7" s="47" t="s">
        <v>333</v>
      </c>
      <c r="BC7" s="47" t="s">
        <v>334</v>
      </c>
      <c r="BD7" s="32" t="s">
        <v>335</v>
      </c>
      <c r="BE7" s="32" t="s">
        <v>336</v>
      </c>
      <c r="BF7" s="32" t="s">
        <v>337</v>
      </c>
      <c r="BG7" s="32" t="s">
        <v>338</v>
      </c>
      <c r="BH7" s="32" t="s">
        <v>339</v>
      </c>
      <c r="BI7" s="32" t="s">
        <v>386</v>
      </c>
      <c r="BK7" s="32" t="s">
        <v>525</v>
      </c>
      <c r="BM7" s="32" t="s">
        <v>620</v>
      </c>
      <c r="BN7" s="32" t="s">
        <v>623</v>
      </c>
      <c r="BP7" s="724" t="s">
        <v>619</v>
      </c>
      <c r="BR7" s="806" t="s">
        <v>824</v>
      </c>
      <c r="BS7" s="806" t="s">
        <v>825</v>
      </c>
      <c r="BT7" s="806" t="s">
        <v>826</v>
      </c>
      <c r="BU7" s="806" t="s">
        <v>827</v>
      </c>
      <c r="BV7" s="806" t="s">
        <v>828</v>
      </c>
      <c r="BW7" s="806" t="s">
        <v>829</v>
      </c>
      <c r="BX7" s="806" t="s">
        <v>830</v>
      </c>
      <c r="BY7" s="32"/>
      <c r="CA7" s="1062" t="s">
        <v>831</v>
      </c>
      <c r="CB7" s="1062" t="s">
        <v>833</v>
      </c>
      <c r="CC7" s="806" t="s">
        <v>832</v>
      </c>
      <c r="CD7" s="806" t="s">
        <v>858</v>
      </c>
      <c r="CE7" s="806" t="s">
        <v>859</v>
      </c>
      <c r="CG7" s="806" t="s">
        <v>908</v>
      </c>
    </row>
    <row r="8" spans="1:256" s="89" customFormat="1" hidden="1" x14ac:dyDescent="0.25">
      <c r="A8" s="616" t="s">
        <v>6</v>
      </c>
      <c r="B8" s="91">
        <v>42732</v>
      </c>
      <c r="C8" s="92">
        <v>0</v>
      </c>
      <c r="E8" s="30"/>
      <c r="F8" s="30" t="e">
        <f ca="1">IF(B8=TODAY(),0,-(VLOOKUP(Sheet1!#REF!,Lookup!$I$4:$J$216,2)-VLOOKUP(Sheet1!#REF!,Lookup!$I$4:$J$216,2))/1000000)</f>
        <v>#REF!</v>
      </c>
      <c r="G8" s="94" t="e">
        <f ca="1">IF(B8=TODAY(),0,-$G$6*(Sheet1!#REF!-Sheet1!#REF!)*7.48/1000000)</f>
        <v>#REF!</v>
      </c>
      <c r="H8" s="94" t="e">
        <f ca="1">IF(B8=TODAY(),0,-$H$6*(Sheet1!#REF!-Sheet1!#REF!)*7.48/1000000)</f>
        <v>#REF!</v>
      </c>
      <c r="I8" s="94" t="e">
        <f ca="1">IF(B8=TODAY(),0,-$I$6*(Sheet1!#REF!-Sheet1!#REF!)*7.48/1000000)</f>
        <v>#REF!</v>
      </c>
      <c r="J8" s="95" t="s">
        <v>177</v>
      </c>
      <c r="K8" s="94" t="e">
        <f ca="1">IF(B8=TODAY(),0,-$K$6*(Sheet1!#REF!-Sheet1!#REF!)*7.48/1000000)</f>
        <v>#REF!</v>
      </c>
      <c r="L8" s="95" t="s">
        <v>177</v>
      </c>
      <c r="M8" s="94" t="e">
        <f ca="1">IF(B8=TODAY(),0,-$M$6*(Sheet1!#REF!-Sheet1!#REF!)*7.48/1000000)</f>
        <v>#REF!</v>
      </c>
      <c r="N8" s="94" t="e">
        <f ca="1">IF(B8=TODAY(),0,-$N$6*(Sheet1!#REF!-Sheet1!#REF!)*7.48/1000000)</f>
        <v>#REF!</v>
      </c>
      <c r="O8" s="94" t="e">
        <f ca="1">SUM(F8:I8)+K8+SUM(M8:N8)</f>
        <v>#REF!</v>
      </c>
      <c r="P8" s="94" t="e">
        <f ca="1">O8+Calculation!ES8</f>
        <v>#REF!</v>
      </c>
      <c r="Q8" s="89" t="e">
        <f>IF(Sheet1!#REF!&gt;25.75,"spill elevation","-")</f>
        <v>#REF!</v>
      </c>
      <c r="R8" s="89" t="e">
        <f>IF(Sheet1!#REF!&gt;25.75,"spill elevation","-")</f>
        <v>#REF!</v>
      </c>
      <c r="S8" s="89" t="e">
        <f>IF(Sheet1!#REF!&gt;25.75,"spill elevation","-")</f>
        <v>#REF!</v>
      </c>
      <c r="T8" s="93" t="e">
        <f>IF(Sheet1!#REF!=1,Sheet1!#REF!-(SUM(AT8:BA8)+BE8),Sheet1!#REF!-SUM(AT8:BA8))</f>
        <v>#REF!</v>
      </c>
      <c r="U8" s="93" t="e">
        <f>Sheet1!#REF!</f>
        <v>#REF!</v>
      </c>
      <c r="V8" s="93" t="e">
        <f>T8-U8</f>
        <v>#REF!</v>
      </c>
      <c r="W8" s="93">
        <f>0</f>
        <v>0</v>
      </c>
      <c r="X8" s="89">
        <f>0</f>
        <v>0</v>
      </c>
      <c r="Y8" s="94" t="e">
        <f ca="1">Calculation!EJ9+Calculation!ES8+'Calculations II'!O8-'Calculations II'!W8</f>
        <v>#REF!</v>
      </c>
      <c r="Z8" s="94" t="e">
        <f ca="1">Y8-Sheet1!#REF!</f>
        <v>#REF!</v>
      </c>
      <c r="AA8" s="94" t="e">
        <f ca="1">Y8+Calculation!DJ9+Calculation!AS9</f>
        <v>#REF!</v>
      </c>
      <c r="AC8" s="94" t="e">
        <f>Sheet1!#REF!+Sheet1!#REF!+BC8</f>
        <v>#REF!</v>
      </c>
      <c r="AD8" s="94" t="e">
        <f>Sheet1!#REF!+Sheet1!#REF!+'Calculations II'!BC8-Calculation!AS8-Calculation!DJ8</f>
        <v>#REF!</v>
      </c>
      <c r="AE8" s="94" t="e">
        <f>Sheet1!#REF!+Sheet1!#REF!+'Calculations II'!BC8-Calculation!AS8-Calculation!DJ8</f>
        <v>#REF!</v>
      </c>
      <c r="AF8" s="94" t="e">
        <f ca="1">Sheet1!#REF!+Sheet1!#REF!+P8+'Calculations II'!BC8+Calculation!AS8+Calculation!DJ8</f>
        <v>#REF!</v>
      </c>
      <c r="AG8" s="94" t="e">
        <f ca="1">IF(B8=TODAY(),0,Sheet1!#REF!+Sheet1!#REF!+'Calculations II'!BC8+'Calculations II'!P8-Sheet1!#REF!-BP8)</f>
        <v>#REF!</v>
      </c>
      <c r="AH8" s="94" t="e">
        <f ca="1">IF(B8=TODAY(),0,Sheet1!#REF!+Sheet1!#REF!+'Calculations II'!BC8+'Calculations II'!P8-BP8)</f>
        <v>#REF!</v>
      </c>
      <c r="AI8" s="94" t="e">
        <f ca="1">IF(B8=TODAY(),0,BC8+Sheet1!#REF!+Calculation!ES8+O8+W8+Sheet1!#REF!+Calculation!AS8+Calculation!DJ8-BP8)</f>
        <v>#REF!</v>
      </c>
      <c r="AJ8" s="94"/>
      <c r="AM8" s="90">
        <f t="shared" ref="AM8:AM17" si="0">B8</f>
        <v>42732</v>
      </c>
      <c r="AN8" s="94"/>
      <c r="AO8" s="94"/>
      <c r="AQ8" s="1085"/>
      <c r="AR8" s="94"/>
      <c r="AT8" s="89" t="e">
        <f>Sheet1!#REF!</f>
        <v>#REF!</v>
      </c>
      <c r="AU8" s="89" t="e">
        <f>Sheet1!#REF!*GPMtoMGD</f>
        <v>#REF!</v>
      </c>
      <c r="AV8" s="94" t="e">
        <f>Sheet1!#REF!</f>
        <v>#REF!</v>
      </c>
      <c r="AW8" s="89" t="e">
        <f>Sheet1!#REF!*GPMtoMGD</f>
        <v>#REF!</v>
      </c>
      <c r="AX8" s="89" t="e">
        <f>Sheet1!#REF!*GPMtoMGD</f>
        <v>#REF!</v>
      </c>
      <c r="AY8" s="89" t="e">
        <f>Sheet1!#REF!*GPMtoMGD</f>
        <v>#REF!</v>
      </c>
      <c r="AZ8" s="89" t="e">
        <f>Sheet1!#REF!*GPMtoMGD</f>
        <v>#REF!</v>
      </c>
      <c r="BA8" s="89" t="e">
        <f>Sheet1!#REF!*GPMtoMGD</f>
        <v>#REF!</v>
      </c>
      <c r="BB8" s="89" t="e">
        <f>Sheet1!#REF!*GPMtoMGD</f>
        <v>#REF!</v>
      </c>
      <c r="BC8" s="89" t="e">
        <f>Sheet1!#REF!*GPMtoMGD</f>
        <v>#REF!</v>
      </c>
      <c r="BD8" s="89" t="e">
        <f>Sheet1!#REF!*GPMtoMGD</f>
        <v>#REF!</v>
      </c>
      <c r="BE8" s="89" t="e">
        <f>Sheet1!#REF!*GPMtoMGD</f>
        <v>#REF!</v>
      </c>
      <c r="BF8" s="89" t="e">
        <f>Sheet1!#REF!*GPMtoMGD</f>
        <v>#REF!</v>
      </c>
      <c r="BG8" s="89" t="e">
        <f>Sheet1!#REF!*GPMtoMGD</f>
        <v>#REF!</v>
      </c>
      <c r="BH8" s="89" t="e">
        <f>Sheet1!#REF!*GPMtoMGD</f>
        <v>#REF!</v>
      </c>
      <c r="BI8" s="89" t="e">
        <f>BD8+BB8</f>
        <v>#REF!</v>
      </c>
      <c r="BK8" s="94" t="e">
        <f>SUM(AT8:BA8,AS8,BC8,Calculation!AQ8)</f>
        <v>#REF!</v>
      </c>
      <c r="BM8" s="358">
        <f>0</f>
        <v>0</v>
      </c>
      <c r="BN8" s="358">
        <f>0</f>
        <v>0</v>
      </c>
      <c r="BP8" s="94" t="e">
        <f>SUM(BM8:BN8,W8,Sheet1!#REF!)</f>
        <v>#REF!</v>
      </c>
    </row>
    <row r="9" spans="1:256" s="89" customFormat="1" hidden="1" x14ac:dyDescent="0.25">
      <c r="A9" s="616" t="s">
        <v>7</v>
      </c>
      <c r="B9" s="91">
        <v>42733</v>
      </c>
      <c r="C9" s="92">
        <v>0</v>
      </c>
      <c r="D9" s="94" t="e">
        <f>(Sheet1!#REF!-Sheet1!#REF!)*1.385</f>
        <v>#REF!</v>
      </c>
      <c r="E9" s="30" t="e">
        <f>(Sheet1!#REF!-Sheet1!#REF!)*1.385</f>
        <v>#REF!</v>
      </c>
      <c r="F9" s="30" t="e">
        <f ca="1">IF(B9=TODAY(),0,-(VLOOKUP(Sheet1!#REF!,Lookup!$I$4:$J$216,2)-VLOOKUP(Sheet1!#REF!,Lookup!$I$4:$J$216,2))/1000000)</f>
        <v>#REF!</v>
      </c>
      <c r="G9" s="94" t="e">
        <f ca="1">IF(B9=TODAY(),0,-$G$6*(Sheet1!#REF!-Sheet1!#REF!)*7.48/1000000)</f>
        <v>#REF!</v>
      </c>
      <c r="H9" s="94" t="e">
        <f ca="1">IF(B9=TODAY(),0,-$H$6*(Sheet1!#REF!-Sheet1!#REF!)*7.48/1000000)</f>
        <v>#REF!</v>
      </c>
      <c r="I9" s="94" t="e">
        <f ca="1">IF(B9=TODAY(),0,-$I$6*(Sheet1!#REF!-Sheet1!#REF!)*7.48/1000000)</f>
        <v>#REF!</v>
      </c>
      <c r="J9" s="95" t="s">
        <v>177</v>
      </c>
      <c r="K9" s="94" t="e">
        <f ca="1">IF(B9=TODAY(),0,-$K$6*(Sheet1!#REF!-Sheet1!#REF!)*7.48/1000000)</f>
        <v>#REF!</v>
      </c>
      <c r="L9" s="95" t="s">
        <v>177</v>
      </c>
      <c r="M9" s="94" t="e">
        <f ca="1">IF(B9=TODAY(),0,-$M$6*(Sheet1!#REF!-Sheet1!#REF!)*7.48/1000000)</f>
        <v>#REF!</v>
      </c>
      <c r="N9" s="94" t="e">
        <f ca="1">IF(B9=TODAY(),0,-$N$6*(Sheet1!#REF!-Sheet1!#REF!)*7.48/1000000)</f>
        <v>#REF!</v>
      </c>
      <c r="O9" s="94" t="e">
        <f ca="1">SUM(F9:I9)+K9+SUM(M9:N9)</f>
        <v>#REF!</v>
      </c>
      <c r="P9" s="94" t="e">
        <f ca="1">O9+Calculation!ES9</f>
        <v>#REF!</v>
      </c>
      <c r="Q9" s="89" t="e">
        <f>IF(Sheet1!#REF!&gt;25.75,"spill elevation","-")</f>
        <v>#REF!</v>
      </c>
      <c r="R9" s="89" t="e">
        <f>IF(Sheet1!#REF!&gt;25.75,"spill elevation","-")</f>
        <v>#REF!</v>
      </c>
      <c r="S9" s="89" t="e">
        <f>IF(Sheet1!#REF!&gt;25.75,"spill elevation","-")</f>
        <v>#REF!</v>
      </c>
      <c r="T9" s="93" t="e">
        <f>IF(Sheet1!#REF!=1,Sheet1!#REF!-(SUM(AT9:BA9)+BE9),Sheet1!#REF!-SUM(AT9:BA9))</f>
        <v>#REF!</v>
      </c>
      <c r="U9" s="93" t="e">
        <f>Sheet1!#REF!</f>
        <v>#REF!</v>
      </c>
      <c r="V9" s="93" t="e">
        <f>T9-U9</f>
        <v>#REF!</v>
      </c>
      <c r="W9" s="93">
        <f>0</f>
        <v>0</v>
      </c>
      <c r="X9" s="89">
        <f>0</f>
        <v>0</v>
      </c>
      <c r="Y9" s="94" t="e">
        <f ca="1">Calculation!EJ10+Calculation!ES9+'Calculations II'!O9-'Calculations II'!W9</f>
        <v>#REF!</v>
      </c>
      <c r="Z9" s="94" t="e">
        <f ca="1">Y9-Sheet1!CT8</f>
        <v>#REF!</v>
      </c>
      <c r="AA9" s="94" t="e">
        <f ca="1">Y9+Calculation!DJ10+Calculation!AS10</f>
        <v>#REF!</v>
      </c>
      <c r="AC9" s="94" t="e">
        <f>Sheet1!#REF!+Sheet1!#REF!+BC9</f>
        <v>#REF!</v>
      </c>
      <c r="AD9" s="94" t="e">
        <f>Sheet1!#REF!+Sheet1!#REF!+'Calculations II'!BC9-Calculation!AS9-Calculation!DJ9</f>
        <v>#REF!</v>
      </c>
      <c r="AE9" s="94" t="e">
        <f>Sheet1!#REF!+Sheet1!#REF!+'Calculations II'!BC9-Calculation!AS9-Calculation!DJ9</f>
        <v>#REF!</v>
      </c>
      <c r="AF9" s="94" t="e">
        <f ca="1">Sheet1!#REF!+Sheet1!#REF!+P9+'Calculations II'!BC9+Calculation!AS9+Calculation!DJ9</f>
        <v>#REF!</v>
      </c>
      <c r="AG9" s="94" t="e">
        <f ca="1">IF(B9=TODAY(),0,Sheet1!#REF!+Sheet1!#REF!+'Calculations II'!BC9+'Calculations II'!P9-Sheet1!#REF!-BP9)</f>
        <v>#REF!</v>
      </c>
      <c r="AH9" s="94" t="e">
        <f ca="1">IF(B9=TODAY(),0,Sheet1!#REF!+Sheet1!#REF!+'Calculations II'!BC9+'Calculations II'!P9-BP9)</f>
        <v>#REF!</v>
      </c>
      <c r="AI9" s="94" t="e">
        <f ca="1">IF(B9=TODAY(),0,BC9+Sheet1!#REF!+Calculation!ES9+O9+W9+Sheet1!#REF!+Calculation!AS9+Calculation!DJ9-BP9)</f>
        <v>#REF!</v>
      </c>
      <c r="AJ9" s="94"/>
      <c r="AM9" s="90">
        <f t="shared" si="0"/>
        <v>42733</v>
      </c>
      <c r="AN9" s="94" t="e">
        <f>Sheet1!#REF!</f>
        <v>#REF!</v>
      </c>
      <c r="AO9" s="94" t="e">
        <f>Sheet1!#REF!</f>
        <v>#REF!</v>
      </c>
      <c r="AP9" s="94" t="e">
        <f>D9+E9</f>
        <v>#REF!</v>
      </c>
      <c r="AQ9" s="1086" t="e">
        <f>((Sheet1!#REF!-(Sheet1!#REF!-AP9))/(Sheet1!#REF!-AP9))</f>
        <v>#REF!</v>
      </c>
      <c r="AR9" s="94" t="e">
        <f>AO9-AP9</f>
        <v>#REF!</v>
      </c>
      <c r="AS9" s="94" t="e">
        <f>AN9-AP9</f>
        <v>#REF!</v>
      </c>
      <c r="AT9" s="89" t="e">
        <f>Sheet1!#REF!</f>
        <v>#REF!</v>
      </c>
      <c r="AU9" s="89" t="e">
        <f>Sheet1!#REF!*GPMtoMGD</f>
        <v>#REF!</v>
      </c>
      <c r="AV9" s="94" t="e">
        <f>Sheet1!#REF!</f>
        <v>#REF!</v>
      </c>
      <c r="AW9" s="89" t="e">
        <f>Sheet1!#REF!*GPMtoMGD</f>
        <v>#REF!</v>
      </c>
      <c r="AX9" s="89" t="e">
        <f>Sheet1!#REF!*GPMtoMGD</f>
        <v>#REF!</v>
      </c>
      <c r="AY9" s="89" t="e">
        <f>Sheet1!#REF!*GPMtoMGD</f>
        <v>#REF!</v>
      </c>
      <c r="AZ9" s="89" t="e">
        <f>Sheet1!#REF!*GPMtoMGD</f>
        <v>#REF!</v>
      </c>
      <c r="BA9" s="89" t="e">
        <f>Sheet1!#REF!*GPMtoMGD</f>
        <v>#REF!</v>
      </c>
      <c r="BB9" s="89" t="e">
        <f>Sheet1!#REF!*GPMtoMGD</f>
        <v>#REF!</v>
      </c>
      <c r="BC9" s="89" t="e">
        <f>Sheet1!#REF!*GPMtoMGD</f>
        <v>#REF!</v>
      </c>
      <c r="BD9" s="89" t="e">
        <f>Sheet1!#REF!*GPMtoMGD</f>
        <v>#REF!</v>
      </c>
      <c r="BE9" s="89" t="e">
        <f>Sheet1!#REF!*GPMtoMGD</f>
        <v>#REF!</v>
      </c>
      <c r="BF9" s="89" t="e">
        <f>Sheet1!#REF!*GPMtoMGD</f>
        <v>#REF!</v>
      </c>
      <c r="BG9" s="89" t="e">
        <f>Sheet1!#REF!*GPMtoMGD</f>
        <v>#REF!</v>
      </c>
      <c r="BH9" s="89" t="e">
        <f>Sheet1!#REF!*GPMtoMGD</f>
        <v>#REF!</v>
      </c>
      <c r="BI9" s="89" t="e">
        <f>BD9+BB9</f>
        <v>#REF!</v>
      </c>
      <c r="BK9" s="94" t="e">
        <f>SUM(AT9:BA9,AS9,BC9,Calculation!AQ9)</f>
        <v>#REF!</v>
      </c>
      <c r="BM9" s="358">
        <f>0</f>
        <v>0</v>
      </c>
      <c r="BN9" s="358">
        <f>0</f>
        <v>0</v>
      </c>
      <c r="BP9" s="94" t="e">
        <f>SUM(BM9:BN9,W9,Sheet1!#REF!)</f>
        <v>#REF!</v>
      </c>
    </row>
    <row r="10" spans="1:256" s="89" customFormat="1" hidden="1" x14ac:dyDescent="0.25">
      <c r="A10" s="616" t="s">
        <v>8</v>
      </c>
      <c r="B10" s="91">
        <v>42734</v>
      </c>
      <c r="C10" s="92">
        <v>0</v>
      </c>
      <c r="D10" s="94" t="e">
        <f>(Sheet1!BQ8-Sheet1!#REF!)*1.385</f>
        <v>#REF!</v>
      </c>
      <c r="E10" s="30" t="e">
        <f>(Sheet1!BR8-Sheet1!#REF!)*1.385</f>
        <v>#REF!</v>
      </c>
      <c r="F10" s="30" t="e">
        <f ca="1">IF(B10=TODAY(),0,-(VLOOKUP(Sheet1!CD8,Lookup!$I$4:$J$216,2)-VLOOKUP(Sheet1!#REF!,Lookup!$I$4:$J$216,2))/1000000)</f>
        <v>#REF!</v>
      </c>
      <c r="G10" s="94" t="e">
        <f ca="1">IF(B10=TODAY(),0,-$G$6*(Sheet1!CF8-Sheet1!#REF!)*7.48/1000000)</f>
        <v>#REF!</v>
      </c>
      <c r="H10" s="94" t="e">
        <f ca="1">IF(B10=TODAY(),0,-$H$6*(Sheet1!CE8-Sheet1!#REF!)*7.48/1000000)</f>
        <v>#REF!</v>
      </c>
      <c r="I10" s="94" t="e">
        <f ca="1">IF(B10=TODAY(),0,-$I$6*(Sheet1!CG8-Sheet1!#REF!)*7.48/1000000)</f>
        <v>#REF!</v>
      </c>
      <c r="J10" s="95" t="s">
        <v>177</v>
      </c>
      <c r="K10" s="94" t="e">
        <f ca="1">IF(B10=TODAY(),0,-$K$6*(Sheet1!CH8-Sheet1!#REF!)*7.48/1000000)</f>
        <v>#REF!</v>
      </c>
      <c r="L10" s="95" t="s">
        <v>177</v>
      </c>
      <c r="M10" s="94" t="e">
        <f ca="1">IF(B10=TODAY(),0,-$M$6*(Sheet1!CI8-Sheet1!#REF!)*7.48/1000000)</f>
        <v>#REF!</v>
      </c>
      <c r="N10" s="94" t="e">
        <f ca="1">IF(B10=TODAY(),0,-$N$6*(Sheet1!CJ8-Sheet1!#REF!)*7.48/1000000)</f>
        <v>#REF!</v>
      </c>
      <c r="O10" s="94" t="e">
        <f ca="1">SUM(F10:I10)+K10+SUM(M10:N10)</f>
        <v>#REF!</v>
      </c>
      <c r="P10" s="94" t="e">
        <f ca="1">O10+Calculation!ES10</f>
        <v>#REF!</v>
      </c>
      <c r="Q10" s="89" t="str">
        <f>IF(Sheet1!BQ8&gt;25.75,"spill elevation","-")</f>
        <v>-</v>
      </c>
      <c r="R10" s="89" t="str">
        <f>IF(Sheet1!BQ8&gt;25.75,"spill elevation","-")</f>
        <v>-</v>
      </c>
      <c r="S10" s="89" t="str">
        <f>IF(Sheet1!BR8&gt;25.75,"spill elevation","-")</f>
        <v>-</v>
      </c>
      <c r="T10" s="93">
        <f>IF(Sheet1!DU8=1,Sheet1!AA8-(SUM(AT10:BA10)+BE10),Sheet1!AA8-SUM(AT10:BA10))</f>
        <v>25.539327999999998</v>
      </c>
      <c r="U10" s="93">
        <f>Sheet1!BV8</f>
        <v>28.3</v>
      </c>
      <c r="V10" s="93">
        <f>T10-U10</f>
        <v>-2.7606720000000031</v>
      </c>
      <c r="W10" s="93">
        <f>0</f>
        <v>0</v>
      </c>
      <c r="X10" s="89">
        <f>0</f>
        <v>0</v>
      </c>
      <c r="Y10" s="94" t="e">
        <f ca="1">Calculation!EJ11+Calculation!ES10+'Calculations II'!O10-'Calculations II'!W10</f>
        <v>#REF!</v>
      </c>
      <c r="Z10" s="94" t="e">
        <f ca="1">Y10-Sheet1!CT9</f>
        <v>#REF!</v>
      </c>
      <c r="AA10" s="94" t="e">
        <f ca="1">Y10+Calculation!DJ11+Calculation!AS11</f>
        <v>#REF!</v>
      </c>
      <c r="AC10" s="94">
        <f>Sheet1!AA8+Sheet1!AB8+BC10</f>
        <v>54.56</v>
      </c>
      <c r="AD10" s="94">
        <f>Sheet1!AA8+Sheet1!BN8+'Calculations II'!BC10-Calculation!AS10-Calculation!DJ10</f>
        <v>34.669950248756216</v>
      </c>
      <c r="AE10" s="94">
        <f>Sheet1!AA8+Sheet1!AB8+'Calculations II'!BC10-Calculation!AS10-Calculation!DJ10</f>
        <v>44.569950248756221</v>
      </c>
      <c r="AF10" s="94" t="e">
        <f ca="1">Sheet1!AA8+Sheet1!BN8+P10+'Calculations II'!BC10+Calculation!AS10+Calculation!DJ10</f>
        <v>#REF!</v>
      </c>
      <c r="AG10" s="94" t="e">
        <f ca="1">IF(B10=TODAY(),0,Sheet1!AA8+Sheet1!BN8+'Calculations II'!BC10+'Calculations II'!P10-Sheet1!CT8-BP10)</f>
        <v>#REF!</v>
      </c>
      <c r="AH10" s="94" t="e">
        <f ca="1">IF(B10=TODAY(),0,Sheet1!AA8+Sheet1!BN8+'Calculations II'!BC10+'Calculations II'!P10-BP10)</f>
        <v>#REF!</v>
      </c>
      <c r="AI10" s="94" t="e">
        <f ca="1">IF(B10=TODAY(),0,BC10+Sheet1!AA8+Calculation!ES10+O10+W10+Sheet1!BN8+Calculation!AS10+Calculation!DJ10-BP10)</f>
        <v>#REF!</v>
      </c>
      <c r="AJ10" s="94"/>
      <c r="AM10" s="90">
        <f t="shared" si="0"/>
        <v>42734</v>
      </c>
      <c r="AN10" s="94">
        <f>Sheet1!BU8</f>
        <v>25.1</v>
      </c>
      <c r="AO10" s="94">
        <f>Sheet1!AA8</f>
        <v>26.56</v>
      </c>
      <c r="AP10" s="94" t="e">
        <f t="shared" ref="AP10:AP73" si="1">D10+E10</f>
        <v>#REF!</v>
      </c>
      <c r="AQ10" s="1086" t="e">
        <f>((Sheet1!BV8-(Sheet1!BU8-AP10))/(Sheet1!BU8-AP10))</f>
        <v>#REF!</v>
      </c>
      <c r="AR10" s="94" t="e">
        <f t="shared" ref="AR10:AR73" si="2">AO10-AP10</f>
        <v>#REF!</v>
      </c>
      <c r="AS10" s="94" t="e">
        <f t="shared" ref="AS10:AS73" si="3">AN10-AP10</f>
        <v>#REF!</v>
      </c>
      <c r="AT10" s="89">
        <f>Sheet1!BB8</f>
        <v>0</v>
      </c>
      <c r="AU10" s="89">
        <f>Sheet1!AS8*GPMtoMGD</f>
        <v>3.0528E-2</v>
      </c>
      <c r="AV10" s="94">
        <f>Sheet1!AT8</f>
        <v>0</v>
      </c>
      <c r="AW10" s="89">
        <f>Sheet1!AV8*GPMtoMGD</f>
        <v>0.52257600000000004</v>
      </c>
      <c r="AX10" s="89">
        <f>Sheet1!AW8*GPMtoMGD</f>
        <v>0.46756800000000004</v>
      </c>
      <c r="AY10" s="89">
        <f>Sheet1!AX8*GPMtoMGD</f>
        <v>0</v>
      </c>
      <c r="AZ10" s="89">
        <f>Sheet1!AY8*GPMtoMGD</f>
        <v>0</v>
      </c>
      <c r="BA10" s="89">
        <f>Sheet1!AZ8*GPMtoMGD</f>
        <v>0</v>
      </c>
      <c r="BB10" s="89">
        <f>Sheet1!BP8*GPMtoMGD</f>
        <v>2.3040000000000001E-3</v>
      </c>
      <c r="BC10" s="89">
        <f>Sheet1!CS8*GPMtoMGD</f>
        <v>0</v>
      </c>
      <c r="BD10" s="89">
        <f>Sheet1!BO8*GPMtoMGD</f>
        <v>1.4428800000000002</v>
      </c>
      <c r="BE10" s="89">
        <f>Sheet1!BW8*GPMtoMGD</f>
        <v>0.75888</v>
      </c>
      <c r="BF10" s="89">
        <f>Sheet1!CN8*GPMtoMGD</f>
        <v>0.19454399999999999</v>
      </c>
      <c r="BG10" s="89">
        <f>Sheet1!CO8*GPMtoMGD</f>
        <v>0.55828800000000001</v>
      </c>
      <c r="BH10" s="89">
        <f>Sheet1!CP8*GPMtoMGD</f>
        <v>0.51940799999999998</v>
      </c>
      <c r="BI10" s="89">
        <f>BD10+BB10</f>
        <v>1.4451840000000002</v>
      </c>
      <c r="BK10" s="94" t="e">
        <f>SUM(AT10:BA10,AS10,BC10,Calculation!AQ10)</f>
        <v>#REF!</v>
      </c>
      <c r="BM10" s="358">
        <f>0</f>
        <v>0</v>
      </c>
      <c r="BN10" s="358">
        <f>0</f>
        <v>0</v>
      </c>
      <c r="BP10" s="94">
        <f>SUM(BM10:BN10,W10,Sheet1!DX8)</f>
        <v>0</v>
      </c>
    </row>
    <row r="11" spans="1:256" s="89" customFormat="1" x14ac:dyDescent="0.25">
      <c r="A11" s="616" t="s">
        <v>9</v>
      </c>
      <c r="B11" s="91">
        <v>42735</v>
      </c>
      <c r="C11" s="92">
        <v>0</v>
      </c>
      <c r="D11" s="94">
        <f>(Sheet1!BQ9-Sheet1!BQ8)*1.385</f>
        <v>0.5401500000000008</v>
      </c>
      <c r="E11" s="30">
        <f>(Sheet1!BR9-Sheet1!BR8)*1.385</f>
        <v>0.52630000000000354</v>
      </c>
      <c r="F11" s="30">
        <f ca="1">IF(B11=TODAY(),0,-(VLOOKUP(Sheet1!CD9,Lookup!$I$4:$J$216,2)-VLOOKUP(Sheet1!CD8,Lookup!$I$4:$J$216,2))/1000000)</f>
        <v>-0.20727387709559872</v>
      </c>
      <c r="G11" s="94">
        <f ca="1">IF(B11=TODAY(),0,-$G$6*(Sheet1!CF9-Sheet1!CF8)*7.48/1000000)</f>
        <v>0.31770800842047398</v>
      </c>
      <c r="H11" s="94">
        <f ca="1">IF(B11=TODAY(),0,-$H$6*(Sheet1!CE9-Sheet1!CE8)*7.48/1000000)</f>
        <v>-1.503943235126474E-2</v>
      </c>
      <c r="I11" s="94">
        <f ca="1">IF(B11=TODAY(),0,-$I$6*(Sheet1!CG9-Sheet1!CG8)*7.48/1000000)</f>
        <v>8.9849760000000074E-3</v>
      </c>
      <c r="J11" s="95" t="s">
        <v>177</v>
      </c>
      <c r="K11" s="94">
        <f ca="1">IF(B11=TODAY(),0,-$K$6*(Sheet1!CH9-Sheet1!CH8)*7.48/1000000)</f>
        <v>1.9323629085929543E-2</v>
      </c>
      <c r="L11" s="95" t="s">
        <v>177</v>
      </c>
      <c r="M11" s="94">
        <f ca="1">IF(B11=TODAY(),0,-$M$6*(Sheet1!CI9-Sheet1!CI8)*7.48/1000000)</f>
        <v>7.1966033712107941E-2</v>
      </c>
      <c r="N11" s="94">
        <f ca="1">IF(B11=TODAY(),0,-$N$6*(Sheet1!CJ9-Sheet1!CJ8)*7.48/1000000)</f>
        <v>-0.16133609802602314</v>
      </c>
      <c r="O11" s="94">
        <f ca="1">SUM(F11:I11)+K11+SUM(M11:N11)</f>
        <v>3.4333239745624855E-2</v>
      </c>
      <c r="P11" s="94">
        <f ca="1">O11+Calculation!ES11</f>
        <v>-1.0740576871752809</v>
      </c>
      <c r="Q11" s="89" t="str">
        <f>IF(Sheet1!BQ9&gt;25.75,"spill elevation","-")</f>
        <v>-</v>
      </c>
      <c r="R11" s="89" t="str">
        <f>IF(Sheet1!BQ9&gt;25.75,"spill elevation","-")</f>
        <v>-</v>
      </c>
      <c r="S11" s="89" t="str">
        <f>IF(Sheet1!BR9&gt;25.75,"spill elevation","-")</f>
        <v>-</v>
      </c>
      <c r="T11" s="93">
        <f>IF(Sheet1!DU9=1,Sheet1!AA9-(SUM(AT11:BA11)+BE11),Sheet1!AA9-SUM(AT11:BA11))</f>
        <v>22.78248</v>
      </c>
      <c r="U11" s="93">
        <f>Sheet1!BV9</f>
        <v>28.4</v>
      </c>
      <c r="V11" s="93">
        <f t="shared" ref="V11:V17" si="4">T11-U11</f>
        <v>-5.617519999999999</v>
      </c>
      <c r="W11" s="93">
        <f>0</f>
        <v>0</v>
      </c>
      <c r="X11" s="89">
        <f>0</f>
        <v>0</v>
      </c>
      <c r="Y11" s="94">
        <f ca="1">Calculation!EJ12+Calculation!ES11+'Calculations II'!O11-'Calculations II'!W11</f>
        <v>42.905886966778027</v>
      </c>
      <c r="Z11" s="94">
        <f ca="1">Y11-Sheet1!CT10</f>
        <v>28.463886966778027</v>
      </c>
      <c r="AA11" s="94">
        <f ca="1">Y11+Calculation!DJ12+Calculation!AS12</f>
        <v>52.929249987796908</v>
      </c>
      <c r="AC11" s="94">
        <f>Sheet1!AA9+Sheet1!AB9+BC11</f>
        <v>51.64</v>
      </c>
      <c r="AD11" s="94">
        <f>Sheet1!AA9+Sheet1!BN9+'Calculations II'!BC11-Calculation!AS11-Calculation!DJ11</f>
        <v>31.581188118811884</v>
      </c>
      <c r="AE11" s="94">
        <f>Sheet1!AA9+Sheet1!AB9+'Calculations II'!BC11-Calculation!AS11-Calculation!DJ11</f>
        <v>41.521188118811878</v>
      </c>
      <c r="AF11" s="94">
        <f ca="1">Sheet1!AA9+Sheet1!BN9+P11+'Calculations II'!BC11+Calculation!AS11+Calculation!DJ11</f>
        <v>50.744754194012842</v>
      </c>
      <c r="AG11" s="94">
        <f ca="1">IF(B11=TODAY(),0,Sheet1!AA9+Sheet1!BN9+'Calculations II'!BC11+'Calculations II'!P11-Sheet1!CT9-BP11)</f>
        <v>25.097942312824721</v>
      </c>
      <c r="AH11" s="94">
        <f ca="1">IF(B11=TODAY(),0,Sheet1!AA9+Sheet1!BN9+'Calculations II'!BC11+'Calculations II'!P11-BP11)</f>
        <v>40.625942312824719</v>
      </c>
      <c r="AI11" s="94">
        <f ca="1">IF(B11=TODAY(),0,BC11+Sheet1!AA9+Calculation!ES11+O11+W11+Sheet1!BN9+Calculation!AS11+Calculation!DJ11-BP11)</f>
        <v>50.744754194012842</v>
      </c>
      <c r="AJ11" s="94"/>
      <c r="AM11" s="90">
        <f t="shared" si="0"/>
        <v>42735</v>
      </c>
      <c r="AN11" s="94">
        <f>Sheet1!BU9</f>
        <v>25.1</v>
      </c>
      <c r="AO11" s="94">
        <f>Sheet1!AA9</f>
        <v>23.64</v>
      </c>
      <c r="AP11" s="94">
        <f t="shared" si="1"/>
        <v>1.0664500000000043</v>
      </c>
      <c r="AQ11" s="1086">
        <f>((Sheet1!BV9-(Sheet1!BU9-AP11))/(Sheet1!BU9-AP11))</f>
        <v>0.18168144115205623</v>
      </c>
      <c r="AR11" s="94">
        <f t="shared" si="2"/>
        <v>22.573549999999997</v>
      </c>
      <c r="AS11" s="94">
        <f t="shared" si="3"/>
        <v>24.033549999999998</v>
      </c>
      <c r="AT11" s="89">
        <f>Sheet1!BB9</f>
        <v>0</v>
      </c>
      <c r="AU11" s="89">
        <f>Sheet1!AS9*GPMtoMGD</f>
        <v>1.6128E-2</v>
      </c>
      <c r="AV11" s="94">
        <f>Sheet1!AT9</f>
        <v>0</v>
      </c>
      <c r="AW11" s="89">
        <f>Sheet1!AV9*GPMtoMGD</f>
        <v>0.32644800000000002</v>
      </c>
      <c r="AX11" s="89">
        <f>Sheet1!AW9*GPMtoMGD</f>
        <v>0.51494400000000007</v>
      </c>
      <c r="AY11" s="89">
        <f>Sheet1!AX9*GPMtoMGD</f>
        <v>0</v>
      </c>
      <c r="AZ11" s="89">
        <f>Sheet1!AY9*GPMtoMGD</f>
        <v>0</v>
      </c>
      <c r="BA11" s="89">
        <f>Sheet1!AZ9*GPMtoMGD</f>
        <v>0</v>
      </c>
      <c r="BB11" s="89">
        <f>Sheet1!BP9*GPMtoMGD</f>
        <v>2.3040000000000001E-3</v>
      </c>
      <c r="BC11" s="89">
        <f>Sheet1!CS9*GPMtoMGD</f>
        <v>0</v>
      </c>
      <c r="BD11" s="89">
        <f>Sheet1!BO9*GPMtoMGD</f>
        <v>1.5454080000000001</v>
      </c>
      <c r="BE11" s="89">
        <f>Sheet1!BW9*GPMtoMGD</f>
        <v>0.74851199999999996</v>
      </c>
      <c r="BF11" s="89">
        <f>Sheet1!CN9*GPMtoMGD</f>
        <v>0.37108800000000003</v>
      </c>
      <c r="BG11" s="89">
        <f>Sheet1!CO9*GPMtoMGD</f>
        <v>0.542736</v>
      </c>
      <c r="BH11" s="89">
        <f>Sheet1!CP9*GPMtoMGD</f>
        <v>0.50241599999999997</v>
      </c>
      <c r="BI11" s="89">
        <f t="shared" ref="BI11:BI17" si="5">BD11+BB11</f>
        <v>1.5477120000000002</v>
      </c>
      <c r="BK11" s="94">
        <f>SUM(AT11:BA11,AS11,BC11,Calculation!AQ11)</f>
        <v>42.772258118811877</v>
      </c>
      <c r="BM11" s="358">
        <f>0</f>
        <v>0</v>
      </c>
      <c r="BN11" s="358">
        <f>0</f>
        <v>0</v>
      </c>
      <c r="BP11" s="94">
        <f>SUM(BM11:BN11,W11,Sheet1!DX9)</f>
        <v>0</v>
      </c>
    </row>
    <row r="12" spans="1:256" s="89" customFormat="1" x14ac:dyDescent="0.25">
      <c r="A12" s="616" t="s">
        <v>3</v>
      </c>
      <c r="B12" s="91">
        <v>42736</v>
      </c>
      <c r="C12" s="92">
        <v>0</v>
      </c>
      <c r="D12" s="952">
        <f>(Sheet1!BQ10-Sheet1!BQ9)*1.385</f>
        <v>1.385</v>
      </c>
      <c r="E12" s="953">
        <f>(Sheet1!BR10-Sheet1!BR9)*1.385</f>
        <v>1.4126999999999994</v>
      </c>
      <c r="F12" s="30">
        <f ca="1">IF(B12=TODAY(),0,-(VLOOKUP(Sheet1!CD10,Lookup!$I$4:$J$216,2)-VLOOKUP(Sheet1!CD9,Lookup!$I$4:$J$216,2))/1000000)</f>
        <v>-0.62182163128680368</v>
      </c>
      <c r="G12" s="94">
        <f ca="1">IF(B12=TODAY(),0,-$G$6*(Sheet1!CF10-Sheet1!CF9)*7.48/1000000)</f>
        <v>0.3177080084204747</v>
      </c>
      <c r="H12" s="94">
        <f ca="1">IF(B12=TODAY(),0,-$H$6*(Sheet1!CE10-Sheet1!CE9)*7.48/1000000)</f>
        <v>-1.5039432351265274E-2</v>
      </c>
      <c r="I12" s="94">
        <f ca="1">IF(B12=TODAY(),0,-$I$6*(Sheet1!CG10-Sheet1!CG9)*7.48/1000000)</f>
        <v>2.2462440000000004E-2</v>
      </c>
      <c r="J12" s="95" t="s">
        <v>177</v>
      </c>
      <c r="K12" s="94">
        <f ca="1">IF(B12=TODAY(),0,-$K$6*(Sheet1!CH10-Sheet1!CH9)*7.48/1000000)</f>
        <v>3.3316601872292212E-2</v>
      </c>
      <c r="L12" s="95" t="s">
        <v>177</v>
      </c>
      <c r="M12" s="94">
        <f ca="1">IF(B12=TODAY(),0,-$M$6*(Sheet1!CI10-Sheet1!CI9)*7.48/1000000)</f>
        <v>7.1966033712107941E-2</v>
      </c>
      <c r="N12" s="94">
        <f ca="1">IF(B12=TODAY(),0,-$N$6*(Sheet1!CJ10-Sheet1!CJ9)*7.48/1000000)</f>
        <v>-6.2052345394623676E-2</v>
      </c>
      <c r="O12" s="94">
        <f t="shared" ref="O12:O17" ca="1" si="6">SUM(F12:I12)+K12+SUM(M12:N12)</f>
        <v>-0.25346032502781768</v>
      </c>
      <c r="P12" s="94">
        <f ca="1">O12+Calculation!ES12</f>
        <v>-3.0253350889279265</v>
      </c>
      <c r="Q12" s="89" t="str">
        <f>IF(Sheet1!BQ10&gt;25.75,"spill elevation","-")</f>
        <v>-</v>
      </c>
      <c r="R12" s="89" t="str">
        <f>IF(Sheet1!BQ10&gt;25.75,"spill elevation","-")</f>
        <v>-</v>
      </c>
      <c r="S12" s="89" t="str">
        <f>IF(Sheet1!BR10&gt;25.75,"spill elevation","-")</f>
        <v>-</v>
      </c>
      <c r="T12" s="93">
        <f>IF(Sheet1!DU10=1,Sheet1!AA10-(SUM(AT12:BA12)+BE12),Sheet1!AA10-SUM(AT12:BA12))</f>
        <v>24.873232000000002</v>
      </c>
      <c r="U12" s="93">
        <f>Sheet1!BV10</f>
        <v>25.9</v>
      </c>
      <c r="V12" s="93">
        <f t="shared" si="4"/>
        <v>-1.026767999999997</v>
      </c>
      <c r="W12" s="93">
        <f>0</f>
        <v>0</v>
      </c>
      <c r="X12" s="89">
        <f>0</f>
        <v>0</v>
      </c>
      <c r="Y12" s="94">
        <f ca="1">Calculation!EJ13+Calculation!ES12+'Calculations II'!O12-'Calculations II'!W12</f>
        <v>39.845874108916462</v>
      </c>
      <c r="Z12" s="94">
        <f ca="1">Y12-Sheet1!CT11</f>
        <v>24.503874108916463</v>
      </c>
      <c r="AA12" s="94">
        <f ca="1">Y12+Calculation!DJ13+Calculation!AS13</f>
        <v>49.826163853483749</v>
      </c>
      <c r="AC12" s="94">
        <f>Sheet1!AA10+Sheet1!AB10+BC12</f>
        <v>54.53</v>
      </c>
      <c r="AD12" s="94">
        <f>Sheet1!AA10+Sheet1!BN10+'Calculations II'!BC12-Calculation!AS12-Calculation!DJ12</f>
        <v>34.566636978981123</v>
      </c>
      <c r="AE12" s="94">
        <f>Sheet1!AA10+Sheet1!AB10+'Calculations II'!BC12-Calculation!AS12-Calculation!DJ12</f>
        <v>44.50663697898112</v>
      </c>
      <c r="AF12" s="94">
        <f ca="1">Sheet1!AA10+Sheet1!BN10+P12+'Calculations II'!BC12+Calculation!AS12+Calculation!DJ12</f>
        <v>51.588027932090959</v>
      </c>
      <c r="AG12" s="94">
        <f ca="1">IF(B12=TODAY(),0,Sheet1!AA10+Sheet1!BN10+'Calculations II'!BC12+'Calculations II'!P12-Sheet1!CT10-BP12)</f>
        <v>27.122664911072079</v>
      </c>
      <c r="AH12" s="94">
        <f ca="1">IF(B12=TODAY(),0,Sheet1!AA10+Sheet1!BN10+'Calculations II'!BC12+'Calculations II'!P12-BP12)</f>
        <v>41.564664911072079</v>
      </c>
      <c r="AI12" s="94">
        <f ca="1">IF(B12=TODAY(),0,BC12+Sheet1!AA10+Calculation!ES12+O12+W12+Sheet1!BN10+Calculation!AS12+Calculation!DJ12-BP12)</f>
        <v>51.588027932090952</v>
      </c>
      <c r="AJ12" s="94"/>
      <c r="AM12" s="90">
        <f t="shared" si="0"/>
        <v>42736</v>
      </c>
      <c r="AN12" s="94">
        <f>Sheet1!BU10</f>
        <v>24.6</v>
      </c>
      <c r="AO12" s="94">
        <f>Sheet1!AA10</f>
        <v>26.59</v>
      </c>
      <c r="AP12" s="952">
        <f t="shared" si="1"/>
        <v>2.7976999999999994</v>
      </c>
      <c r="AQ12" s="1087">
        <f>((Sheet1!BV10-(Sheet1!BU10-AP12))/(Sheet1!BU10-AP12))</f>
        <v>0.18794806052572416</v>
      </c>
      <c r="AR12" s="94">
        <f t="shared" si="2"/>
        <v>23.792300000000001</v>
      </c>
      <c r="AS12" s="94">
        <f t="shared" si="3"/>
        <v>21.802300000000002</v>
      </c>
      <c r="AT12" s="89">
        <f>Sheet1!BB10</f>
        <v>0</v>
      </c>
      <c r="AU12" s="89">
        <f>Sheet1!AS10*GPMtoMGD</f>
        <v>2.9664000000000003E-2</v>
      </c>
      <c r="AV12" s="94">
        <f>Sheet1!AT10</f>
        <v>0</v>
      </c>
      <c r="AW12" s="89">
        <f>Sheet1!AV10*GPMtoMGD</f>
        <v>0.85982400000000003</v>
      </c>
      <c r="AX12" s="89">
        <f>Sheet1!AW10*GPMtoMGD</f>
        <v>0.82728000000000002</v>
      </c>
      <c r="AY12" s="89">
        <f>Sheet1!AX10*GPMtoMGD</f>
        <v>0</v>
      </c>
      <c r="AZ12" s="89">
        <f>Sheet1!AY10*GPMtoMGD</f>
        <v>0</v>
      </c>
      <c r="BA12" s="89">
        <f>Sheet1!AZ10*GPMtoMGD</f>
        <v>0</v>
      </c>
      <c r="BB12" s="89">
        <f>Sheet1!BP10*GPMtoMGD</f>
        <v>2.4480000000000001E-3</v>
      </c>
      <c r="BC12" s="89">
        <f>Sheet1!CS10*GPMtoMGD</f>
        <v>0</v>
      </c>
      <c r="BD12" s="89">
        <f>Sheet1!BO10*GPMtoMGD</f>
        <v>1.4410080000000001</v>
      </c>
      <c r="BE12" s="89">
        <f>Sheet1!BW10*GPMtoMGD</f>
        <v>0.534528</v>
      </c>
      <c r="BF12" s="89">
        <f>Sheet1!CN10*GPMtoMGD</f>
        <v>0.20102400000000001</v>
      </c>
      <c r="BG12" s="89">
        <f>Sheet1!CO10*GPMtoMGD</f>
        <v>0.53294400000000008</v>
      </c>
      <c r="BH12" s="89">
        <f>Sheet1!CP10*GPMtoMGD</f>
        <v>0.53438400000000008</v>
      </c>
      <c r="BI12" s="89">
        <f t="shared" si="5"/>
        <v>1.4434560000000001</v>
      </c>
      <c r="BK12" s="94">
        <f>SUM(AT12:BA12,AS12,BC12,Calculation!AQ12)</f>
        <v>41.435704978981121</v>
      </c>
      <c r="BM12" s="358">
        <f>0</f>
        <v>0</v>
      </c>
      <c r="BN12" s="358">
        <f>0</f>
        <v>0</v>
      </c>
      <c r="BP12" s="94">
        <f>SUM(BM12:BN12,W12,Sheet1!DX10)</f>
        <v>0</v>
      </c>
      <c r="BR12" s="94">
        <f>Sheet1!AA10</f>
        <v>26.59</v>
      </c>
      <c r="BS12" s="94">
        <f>Sheet1!AB10</f>
        <v>27.94</v>
      </c>
      <c r="BT12" s="94">
        <f ca="1">P12</f>
        <v>-3.0253350889279265</v>
      </c>
      <c r="BU12" s="94">
        <f>Sheet1!AT10</f>
        <v>0</v>
      </c>
      <c r="BV12" s="89">
        <f>Sheet1!BB10</f>
        <v>0</v>
      </c>
      <c r="BW12" s="94">
        <f>Calculation!ED12</f>
        <v>10.023363021018882</v>
      </c>
      <c r="BX12" s="94">
        <f>(Sheet1!CS10*1440)/1000000</f>
        <v>0</v>
      </c>
      <c r="CA12" s="94">
        <f ca="1">Sheet1!AC10-Sheet1!BK10-Sheet1!BL10-Sheet1!BM10-Sheet1!BC10-Sheet1!BD10-Sheet1!BE10-Sheet1!BF10-Sheet1!BG10-Sheet1!BH10-Sheet1!BI10+BC12+P12</f>
        <v>41.434664911072076</v>
      </c>
      <c r="CB12" s="93">
        <f>(BR12+BS12-BW12)*1.547</f>
        <v>68.851767406483788</v>
      </c>
      <c r="CC12" s="94">
        <f>BU12+BV12</f>
        <v>0</v>
      </c>
      <c r="CD12" s="94">
        <f ca="1">CA12+BW12</f>
        <v>51.458027932090957</v>
      </c>
      <c r="CE12" s="1077">
        <f ca="1">CD12*1.547</f>
        <v>79.605569210944708</v>
      </c>
      <c r="CG12" s="1077">
        <f ca="1">CA12-BU12-BV12-BP12</f>
        <v>41.434664911072076</v>
      </c>
    </row>
    <row r="13" spans="1:256" s="89" customFormat="1" x14ac:dyDescent="0.25">
      <c r="A13" s="616" t="s">
        <v>4</v>
      </c>
      <c r="B13" s="91">
        <v>42737</v>
      </c>
      <c r="C13" s="92">
        <v>0</v>
      </c>
      <c r="D13" s="94">
        <f>(Sheet1!BQ11-Sheet1!BQ10)*1.385</f>
        <v>-0.78945000000000043</v>
      </c>
      <c r="E13" s="30">
        <f>(Sheet1!BR11-Sheet1!BR10)*1.385</f>
        <v>-0.83100000000000196</v>
      </c>
      <c r="F13" s="30">
        <f ca="1">IF(B13=TODAY(),0,-(VLOOKUP(Sheet1!CD11,Lookup!$I$4:$J$216,2)-VLOOKUP(Sheet1!CD10,Lookup!$I$4:$J$216,2))/1000000)</f>
        <v>0.62182163128680368</v>
      </c>
      <c r="G13" s="94">
        <f ca="1">IF(B13=TODAY(),0,-$G$6*(Sheet1!CF11-Sheet1!CF10)*7.48/1000000)</f>
        <v>0.3574215094730338</v>
      </c>
      <c r="H13" s="94">
        <f ca="1">IF(B13=TODAY(),0,-$H$6*(Sheet1!CE11-Sheet1!CE10)*7.48/1000000)</f>
        <v>0</v>
      </c>
      <c r="I13" s="94">
        <f ca="1">IF(B13=TODAY(),0,-$I$6*(Sheet1!CG11-Sheet1!CG10)*7.48/1000000)</f>
        <v>-4.4924880000000007E-2</v>
      </c>
      <c r="J13" s="95" t="s">
        <v>177</v>
      </c>
      <c r="K13" s="94">
        <f ca="1">IF(B13=TODAY(),0,-$K$6*(Sheet1!CH11-Sheet1!CH10)*7.48/1000000)</f>
        <v>-7.3296524119042847E-2</v>
      </c>
      <c r="L13" s="95" t="s">
        <v>177</v>
      </c>
      <c r="M13" s="94">
        <f ca="1">IF(B13=TODAY(),0,-$M$6*(Sheet1!CI11-Sheet1!CI10)*7.48/1000000)</f>
        <v>-0.21589810113632443</v>
      </c>
      <c r="N13" s="94">
        <f ca="1">IF(B13=TODAY(),0,-$N$6*(Sheet1!CJ11-Sheet1!CJ10)*7.48/1000000)</f>
        <v>0.37851930690720653</v>
      </c>
      <c r="O13" s="94">
        <f t="shared" ca="1" si="6"/>
        <v>1.0236429424116766</v>
      </c>
      <c r="P13" s="94">
        <f ca="1">O13+Calculation!ES13</f>
        <v>2.6869216581991395</v>
      </c>
      <c r="Q13" s="89" t="str">
        <f>IF(Sheet1!BQ11&gt;25.75,"spill elevation","-")</f>
        <v>-</v>
      </c>
      <c r="R13" s="89" t="str">
        <f>IF(Sheet1!BQ11&gt;25.75,"spill elevation","-")</f>
        <v>-</v>
      </c>
      <c r="S13" s="89" t="str">
        <f>IF(Sheet1!BR11&gt;25.75,"spill elevation","-")</f>
        <v>-</v>
      </c>
      <c r="T13" s="93">
        <f>IF(Sheet1!DU11=1,Sheet1!AA11-(SUM(AT13:BA13)+BE13),Sheet1!AA11-SUM(AT13:BA13))</f>
        <v>25.682144000000001</v>
      </c>
      <c r="U13" s="93">
        <f>Sheet1!BV11</f>
        <v>31.4</v>
      </c>
      <c r="V13" s="93">
        <f t="shared" si="4"/>
        <v>-5.7178559999999976</v>
      </c>
      <c r="W13" s="93">
        <f>0</f>
        <v>0</v>
      </c>
      <c r="X13" s="89">
        <f>0</f>
        <v>0</v>
      </c>
      <c r="Y13" s="94">
        <f ca="1">Calculation!EJ14+Calculation!ES13+'Calculations II'!O13-'Calculations II'!W13</f>
        <v>44.264652173580792</v>
      </c>
      <c r="Z13" s="94">
        <f ca="1">Y13-Sheet1!CT12</f>
        <v>28.142652173580792</v>
      </c>
      <c r="AA13" s="94">
        <f ca="1">Y13+Calculation!DJ14+Calculation!AS14</f>
        <v>54.177067523467926</v>
      </c>
      <c r="AC13" s="94">
        <f>Sheet1!AA11+Sheet1!AB11+BC13</f>
        <v>52.61</v>
      </c>
      <c r="AD13" s="94">
        <f>Sheet1!AA11+Sheet1!BN11+'Calculations II'!BC13-Calculation!AS13-Calculation!DJ13</f>
        <v>32.729710255432707</v>
      </c>
      <c r="AE13" s="94">
        <f>Sheet1!AA11+Sheet1!AB11+'Calculations II'!BC13-Calculation!AS13-Calculation!DJ13</f>
        <v>42.629710255432713</v>
      </c>
      <c r="AF13" s="94">
        <f ca="1">Sheet1!AA11+Sheet1!BN11+P13+'Calculations II'!BC13+Calculation!AS13+Calculation!DJ13</f>
        <v>55.377211402766434</v>
      </c>
      <c r="AG13" s="94">
        <f ca="1">IF(B13=TODAY(),0,Sheet1!AA11+Sheet1!BN11+'Calculations II'!BC13+'Calculations II'!P13-Sheet1!CT11-BP13)</f>
        <v>30.054921658199142</v>
      </c>
      <c r="AH13" s="94">
        <f ca="1">IF(B13=TODAY(),0,Sheet1!AA11+Sheet1!BN11+'Calculations II'!BC13+'Calculations II'!P13-BP13)</f>
        <v>45.39692165819914</v>
      </c>
      <c r="AI13" s="94">
        <f ca="1">IF(B13=TODAY(),0,BC13+Sheet1!AA11+Calculation!ES13+O13+W13+Sheet1!BN11+Calculation!AS13+Calculation!DJ13-BP13)</f>
        <v>55.377211402766434</v>
      </c>
      <c r="AJ13" s="94"/>
      <c r="AM13" s="90">
        <f t="shared" si="0"/>
        <v>42737</v>
      </c>
      <c r="AN13" s="94">
        <f>Sheet1!BU11</f>
        <v>24.9</v>
      </c>
      <c r="AO13" s="94">
        <f>Sheet1!AA11</f>
        <v>26.51</v>
      </c>
      <c r="AP13" s="94">
        <f t="shared" si="1"/>
        <v>-1.6204500000000024</v>
      </c>
      <c r="AQ13" s="1087">
        <f>((Sheet1!BV11-(Sheet1!BU11-AP13))/(Sheet1!BU11-AP13))</f>
        <v>0.18399197600342371</v>
      </c>
      <c r="AR13" s="94">
        <f t="shared" si="2"/>
        <v>28.130450000000003</v>
      </c>
      <c r="AS13" s="94">
        <f t="shared" si="3"/>
        <v>26.52045</v>
      </c>
      <c r="AT13" s="89">
        <f>Sheet1!BB11</f>
        <v>0</v>
      </c>
      <c r="AU13" s="89">
        <f>Sheet1!AS11*GPMtoMGD</f>
        <v>1.6416E-2</v>
      </c>
      <c r="AV13" s="94">
        <f>Sheet1!AT11</f>
        <v>0</v>
      </c>
      <c r="AW13" s="89">
        <f>Sheet1!AV11*GPMtoMGD</f>
        <v>0.31752000000000002</v>
      </c>
      <c r="AX13" s="89">
        <f>Sheet1!AW11*GPMtoMGD</f>
        <v>0.49392000000000003</v>
      </c>
      <c r="AY13" s="89">
        <f>Sheet1!AX11*GPMtoMGD</f>
        <v>0</v>
      </c>
      <c r="AZ13" s="89">
        <f>Sheet1!AY11*GPMtoMGD</f>
        <v>0</v>
      </c>
      <c r="BA13" s="89">
        <f>Sheet1!AZ11*GPMtoMGD</f>
        <v>0</v>
      </c>
      <c r="BB13" s="89">
        <f>Sheet1!BP11*GPMtoMGD</f>
        <v>2.3040000000000001E-3</v>
      </c>
      <c r="BC13" s="89">
        <f>Sheet1!CS11*GPMtoMGD</f>
        <v>0</v>
      </c>
      <c r="BD13" s="89">
        <f>Sheet1!BO11*GPMtoMGD</f>
        <v>1.9493280000000002</v>
      </c>
      <c r="BE13" s="89">
        <f>Sheet1!BW11*GPMtoMGD</f>
        <v>0.77328000000000008</v>
      </c>
      <c r="BF13" s="89">
        <f>Sheet1!CN11*GPMtoMGD</f>
        <v>0.33235200000000004</v>
      </c>
      <c r="BG13" s="89">
        <f>Sheet1!CO11*GPMtoMGD</f>
        <v>0.57902400000000009</v>
      </c>
      <c r="BH13" s="89">
        <f>Sheet1!CP11*GPMtoMGD</f>
        <v>0.56750400000000012</v>
      </c>
      <c r="BI13" s="89">
        <f t="shared" si="5"/>
        <v>1.9516320000000003</v>
      </c>
      <c r="BK13" s="94">
        <f>SUM(AT13:BA13,AS13,BC13,Calculation!AQ13)</f>
        <v>43.468016255432715</v>
      </c>
      <c r="BM13" s="358">
        <f>0</f>
        <v>0</v>
      </c>
      <c r="BN13" s="358">
        <f>0</f>
        <v>0</v>
      </c>
      <c r="BP13" s="94">
        <f>SUM(BM13:BN13,W13,Sheet1!DX11)</f>
        <v>0</v>
      </c>
      <c r="BR13" s="94">
        <f>Sheet1!AA11</f>
        <v>26.51</v>
      </c>
      <c r="BS13" s="94">
        <f>Sheet1!AB11</f>
        <v>26.1</v>
      </c>
      <c r="BT13" s="94">
        <f t="shared" ref="BT13:BT76" ca="1" si="7">P13</f>
        <v>2.6869216581991395</v>
      </c>
      <c r="BU13" s="94">
        <f>Sheet1!AT11</f>
        <v>0</v>
      </c>
      <c r="BV13" s="89">
        <f>Sheet1!BB11</f>
        <v>0</v>
      </c>
      <c r="BW13" s="94">
        <f>Calculation!ED13</f>
        <v>9.9802897445672905</v>
      </c>
      <c r="BX13" s="94">
        <f>(Sheet1!CS11*1440)/1000000</f>
        <v>0</v>
      </c>
      <c r="CA13" s="94">
        <f ca="1">Sheet1!AC11-Sheet1!BK11-Sheet1!BL11-Sheet1!BM11-Sheet1!BC11-Sheet1!BD11-Sheet1!BE11-Sheet1!BF11-Sheet1!BG11-Sheet1!BH11-Sheet1!BI11+BC13+P13</f>
        <v>45.266921658199145</v>
      </c>
      <c r="CB13" s="93">
        <f t="shared" ref="CB13:CB76" si="8">(BR13+BS13-BW13)*1.547</f>
        <v>65.94816176515441</v>
      </c>
      <c r="CC13" s="94">
        <f t="shared" ref="CC13:CC76" si="9">BU13+BV13</f>
        <v>0</v>
      </c>
      <c r="CD13" s="94">
        <f t="shared" ref="CD13:CD76" ca="1" si="10">CA13+BW13</f>
        <v>55.247211402766439</v>
      </c>
      <c r="CE13" s="1077">
        <f t="shared" ref="CE13:CE76" ca="1" si="11">CD13*1.547</f>
        <v>85.467436040079676</v>
      </c>
      <c r="CG13" s="1077">
        <f t="shared" ref="CG13:CG76" ca="1" si="12">CA13-BU13-BV13-BP13</f>
        <v>45.266921658199145</v>
      </c>
    </row>
    <row r="14" spans="1:256" s="89" customFormat="1" x14ac:dyDescent="0.25">
      <c r="A14" s="616" t="s">
        <v>5</v>
      </c>
      <c r="B14" s="91">
        <v>42738</v>
      </c>
      <c r="C14" s="92">
        <v>0</v>
      </c>
      <c r="D14" s="94">
        <f>(Sheet1!BQ12-Sheet1!BQ11)*1.385</f>
        <v>-1.9528500000000002</v>
      </c>
      <c r="E14" s="30">
        <f>(Sheet1!BR12-Sheet1!BR11)*1.385</f>
        <v>-1.9528500000000002</v>
      </c>
      <c r="F14" s="30">
        <f ca="1">IF(B14=TODAY(),0,-(VLOOKUP(Sheet1!CD12,Lookup!$I$4:$J$216,2)-VLOOKUP(Sheet1!CD11,Lookup!$I$4:$J$216,2))/1000000)</f>
        <v>0.20727387709559872</v>
      </c>
      <c r="G14" s="94">
        <f ca="1">IF(B14=TODAY(),0,-$G$6*(Sheet1!CF12-Sheet1!CF11)*7.48/1000000)</f>
        <v>-0.99283752631398237</v>
      </c>
      <c r="H14" s="94">
        <f ca="1">IF(B14=TODAY(),0,-$H$6*(Sheet1!CE12-Sheet1!CE11)*7.48/1000000)</f>
        <v>-1.503943235126474E-2</v>
      </c>
      <c r="I14" s="94">
        <f ca="1">IF(B14=TODAY(),0,-$I$6*(Sheet1!CG12-Sheet1!CG11)*7.48/1000000)</f>
        <v>6.7387320000000001E-2</v>
      </c>
      <c r="J14" s="95" t="s">
        <v>177</v>
      </c>
      <c r="K14" s="94">
        <f ca="1">IF(B14=TODAY(),0,-$K$6*(Sheet1!CH12-Sheet1!CH11)*7.48/1000000)</f>
        <v>0.1199397667402519</v>
      </c>
      <c r="L14" s="95" t="s">
        <v>177</v>
      </c>
      <c r="M14" s="94">
        <f ca="1">IF(B14=TODAY(),0,-$M$6*(Sheet1!CI12-Sheet1!CI11)*7.48/1000000)</f>
        <v>0.25188111799237906</v>
      </c>
      <c r="N14" s="94">
        <f ca="1">IF(B14=TODAY(),0,-$N$6*(Sheet1!CJ12-Sheet1!CJ11)*7.48/1000000)</f>
        <v>-0.29785125789419498</v>
      </c>
      <c r="O14" s="94">
        <f t="shared" ca="1" si="6"/>
        <v>-0.65924613473121241</v>
      </c>
      <c r="P14" s="94">
        <f ca="1">O14+Calculation!ES14</f>
        <v>3.2199426698331965</v>
      </c>
      <c r="Q14" s="89" t="str">
        <f>IF(Sheet1!BQ12&gt;25.75,"spill elevation","-")</f>
        <v>-</v>
      </c>
      <c r="R14" s="89" t="str">
        <f>IF(Sheet1!BQ12&gt;25.75,"spill elevation","-")</f>
        <v>-</v>
      </c>
      <c r="S14" s="89" t="str">
        <f>IF(Sheet1!BR12&gt;25.75,"spill elevation","-")</f>
        <v>-</v>
      </c>
      <c r="T14" s="93">
        <f>IF(Sheet1!DU12=1,Sheet1!AA12-(SUM(AT14:BA14)+BE14),Sheet1!AA12-SUM(AT14:BA14))</f>
        <v>25.550608</v>
      </c>
      <c r="U14" s="93">
        <f>Sheet1!BV12</f>
        <v>33.6</v>
      </c>
      <c r="V14" s="93">
        <f t="shared" si="4"/>
        <v>-8.049392000000001</v>
      </c>
      <c r="W14" s="93">
        <f>0</f>
        <v>0</v>
      </c>
      <c r="X14" s="89">
        <f>0</f>
        <v>0</v>
      </c>
      <c r="Y14" s="94">
        <f ca="1">Calculation!EJ15+Calculation!ES14+'Calculations II'!O14-'Calculations II'!W14</f>
        <v>47.04991253861197</v>
      </c>
      <c r="Z14" s="94">
        <f ca="1">Y14-Sheet1!CT13</f>
        <v>31.320912538611971</v>
      </c>
      <c r="AA14" s="94">
        <f ca="1">Y14+Calculation!DJ15+Calculation!AS15</f>
        <v>57.007904706643295</v>
      </c>
      <c r="AC14" s="94">
        <f>Sheet1!AA12+Sheet1!AB12+BC14</f>
        <v>52.9</v>
      </c>
      <c r="AD14" s="94">
        <f>Sheet1!AA12+Sheet1!BN12+'Calculations II'!BC14-Calculation!AS14-Calculation!DJ14</f>
        <v>33.187584650112868</v>
      </c>
      <c r="AE14" s="94">
        <f>Sheet1!AA12+Sheet1!AB12+'Calculations II'!BC14-Calculation!AS14-Calculation!DJ14</f>
        <v>42.987584650112865</v>
      </c>
      <c r="AF14" s="94">
        <f ca="1">Sheet1!AA12+Sheet1!BN12+P14+'Calculations II'!BC14+Calculation!AS14+Calculation!DJ14</f>
        <v>56.23235801972033</v>
      </c>
      <c r="AG14" s="94">
        <f ca="1">IF(B14=TODAY(),0,Sheet1!AA12+Sheet1!BN12+'Calculations II'!BC14+'Calculations II'!P14-Sheet1!CT12-BP14)</f>
        <v>30.197942669833196</v>
      </c>
      <c r="AH14" s="94">
        <f ca="1">IF(B14=TODAY(),0,Sheet1!AA12+Sheet1!BN12+'Calculations II'!BC14+'Calculations II'!P14-BP14)</f>
        <v>46.319942669833196</v>
      </c>
      <c r="AI14" s="94">
        <f ca="1">IF(B14=TODAY(),0,BC14+Sheet1!AA12+Calculation!ES14+O14+W14+Sheet1!BN12+Calculation!AS14+Calculation!DJ14-BP14)</f>
        <v>56.23235801972033</v>
      </c>
      <c r="AJ14" s="94"/>
      <c r="AM14" s="90">
        <f t="shared" si="0"/>
        <v>42738</v>
      </c>
      <c r="AN14" s="94">
        <f>Sheet1!BU12</f>
        <v>24.8</v>
      </c>
      <c r="AO14" s="94">
        <f>Sheet1!AA12</f>
        <v>26.5</v>
      </c>
      <c r="AP14" s="94">
        <f t="shared" si="1"/>
        <v>-3.9057000000000004</v>
      </c>
      <c r="AQ14" s="1087">
        <f>((Sheet1!BV12-(Sheet1!BU12-AP14))/(Sheet1!BU12-AP14))</f>
        <v>0.17049923882713194</v>
      </c>
      <c r="AR14" s="94">
        <f t="shared" si="2"/>
        <v>30.4057</v>
      </c>
      <c r="AS14" s="94">
        <f t="shared" si="3"/>
        <v>28.7057</v>
      </c>
      <c r="AT14" s="89">
        <f>Sheet1!BB12</f>
        <v>0</v>
      </c>
      <c r="AU14" s="89">
        <f>Sheet1!AS12*GPMtoMGD</f>
        <v>3.0096000000000001E-2</v>
      </c>
      <c r="AV14" s="94">
        <f>Sheet1!AT12</f>
        <v>0</v>
      </c>
      <c r="AW14" s="89">
        <f>Sheet1!AV12*GPMtoMGD</f>
        <v>0.46958400000000006</v>
      </c>
      <c r="AX14" s="89">
        <f>Sheet1!AW12*GPMtoMGD</f>
        <v>0.44971200000000006</v>
      </c>
      <c r="AY14" s="89">
        <f>Sheet1!AX12*GPMtoMGD</f>
        <v>0</v>
      </c>
      <c r="AZ14" s="89">
        <f>Sheet1!AY12*GPMtoMGD</f>
        <v>0</v>
      </c>
      <c r="BA14" s="89">
        <f>Sheet1!AZ12*GPMtoMGD</f>
        <v>0</v>
      </c>
      <c r="BB14" s="89">
        <f>Sheet1!BP12*GPMtoMGD</f>
        <v>2.16E-3</v>
      </c>
      <c r="BC14" s="89">
        <f>Sheet1!CS12*GPMtoMGD</f>
        <v>0</v>
      </c>
      <c r="BD14" s="89">
        <f>Sheet1!BO12*GPMtoMGD</f>
        <v>1.137456</v>
      </c>
      <c r="BE14" s="89">
        <f>Sheet1!BW12*GPMtoMGD</f>
        <v>0.53049599999999997</v>
      </c>
      <c r="BF14" s="89">
        <f>Sheet1!CN12*GPMtoMGD</f>
        <v>0.22795200000000004</v>
      </c>
      <c r="BG14" s="89">
        <f>Sheet1!CO12*GPMtoMGD</f>
        <v>0.54936000000000007</v>
      </c>
      <c r="BH14" s="89">
        <f>Sheet1!CP12*GPMtoMGD</f>
        <v>0.50068800000000002</v>
      </c>
      <c r="BI14" s="89">
        <f t="shared" si="5"/>
        <v>1.139616</v>
      </c>
      <c r="BK14" s="94">
        <f>SUM(AT14:BA14,AS14,BC14,Calculation!AQ14)</f>
        <v>46.142676650112861</v>
      </c>
      <c r="BM14" s="358">
        <f>0</f>
        <v>0</v>
      </c>
      <c r="BN14" s="358">
        <f>0</f>
        <v>0</v>
      </c>
      <c r="BP14" s="94">
        <f>SUM(BM14:BN14,W14,Sheet1!DX12)</f>
        <v>0</v>
      </c>
      <c r="BR14" s="94">
        <f>Sheet1!AA12</f>
        <v>26.5</v>
      </c>
      <c r="BS14" s="94">
        <f>Sheet1!AB12</f>
        <v>26.4</v>
      </c>
      <c r="BT14" s="94">
        <f t="shared" ca="1" si="7"/>
        <v>3.2199426698331965</v>
      </c>
      <c r="BU14" s="94">
        <f>Sheet1!AT12</f>
        <v>0</v>
      </c>
      <c r="BV14" s="89">
        <f>Sheet1!BB12</f>
        <v>0</v>
      </c>
      <c r="BW14" s="94">
        <f>Calculation!ED14</f>
        <v>9.9124153498871337</v>
      </c>
      <c r="BX14" s="94">
        <f>(Sheet1!CS12*1440)/1000000</f>
        <v>0</v>
      </c>
      <c r="CA14" s="94">
        <f ca="1">Sheet1!AC12-Sheet1!BK12-Sheet1!BL12-Sheet1!BM12-Sheet1!BC12-Sheet1!BD12-Sheet1!BE12-Sheet1!BF12-Sheet1!BG12-Sheet1!BH12-Sheet1!BI12+BC14+P14</f>
        <v>46.139942669833204</v>
      </c>
      <c r="CB14" s="93">
        <f t="shared" si="8"/>
        <v>66.501793453724602</v>
      </c>
      <c r="CC14" s="94">
        <f t="shared" si="9"/>
        <v>0</v>
      </c>
      <c r="CD14" s="94">
        <f t="shared" ca="1" si="10"/>
        <v>56.052358019720337</v>
      </c>
      <c r="CE14" s="1077">
        <f t="shared" ca="1" si="11"/>
        <v>86.712997856507357</v>
      </c>
      <c r="CG14" s="1077">
        <f t="shared" ca="1" si="12"/>
        <v>46.139942669833204</v>
      </c>
    </row>
    <row r="15" spans="1:256" s="89" customFormat="1" x14ac:dyDescent="0.25">
      <c r="A15" s="616" t="s">
        <v>6</v>
      </c>
      <c r="B15" s="91">
        <v>42739</v>
      </c>
      <c r="C15" s="92">
        <v>0</v>
      </c>
      <c r="D15" s="94">
        <f>(Sheet1!BQ13-Sheet1!BQ12)*1.385</f>
        <v>-0.7201999999999994</v>
      </c>
      <c r="E15" s="30">
        <f>(Sheet1!BR13-Sheet1!BR12)*1.385</f>
        <v>-0.73404999999999665</v>
      </c>
      <c r="F15" s="30">
        <f ca="1">IF(B15=TODAY(),0,-(VLOOKUP(Sheet1!CD13,Lookup!$I$4:$J$216,2)-VLOOKUP(Sheet1!CD12,Lookup!$I$4:$J$216,2))/1000000)</f>
        <v>-0.10363693854779936</v>
      </c>
      <c r="G15" s="94">
        <f ca="1">IF(B15=TODAY(),0,-$G$6*(Sheet1!CF13-Sheet1!CF12)*7.48/1000000)</f>
        <v>7.9427002105118313E-2</v>
      </c>
      <c r="H15" s="94">
        <f ca="1">IF(B15=TODAY(),0,-$H$6*(Sheet1!CE13-Sheet1!CE12)*7.48/1000000)</f>
        <v>-2.4063091762024116E-2</v>
      </c>
      <c r="I15" s="94">
        <f ca="1">IF(B15=TODAY(),0,-$I$6*(Sheet1!CG13-Sheet1!CG12)*7.48/1000000)</f>
        <v>-4.4924880000000007E-2</v>
      </c>
      <c r="J15" s="95" t="s">
        <v>177</v>
      </c>
      <c r="K15" s="94">
        <f ca="1">IF(B15=TODAY(),0,-$K$6*(Sheet1!CH13-Sheet1!CH12)*7.48/1000000)</f>
        <v>-7.3296524119042847E-2</v>
      </c>
      <c r="L15" s="95" t="s">
        <v>177</v>
      </c>
      <c r="M15" s="94">
        <f ca="1">IF(B15=TODAY(),0,-$M$6*(Sheet1!CI13-Sheet1!CI12)*7.48/1000000)</f>
        <v>-0.19790659270829777</v>
      </c>
      <c r="N15" s="94">
        <f ca="1">IF(B15=TODAY(),0,-$N$6*(Sheet1!CJ13-Sheet1!CJ12)*7.48/1000000)</f>
        <v>-2.482093815785013E-2</v>
      </c>
      <c r="O15" s="94">
        <f t="shared" ca="1" si="6"/>
        <v>-0.38922196318989588</v>
      </c>
      <c r="P15" s="94">
        <f ca="1">O15+Calculation!ES15</f>
        <v>1.1340785294589217</v>
      </c>
      <c r="Q15" s="89" t="str">
        <f>IF(Sheet1!BQ13&gt;25.75,"spill elevation","-")</f>
        <v>-</v>
      </c>
      <c r="R15" s="89" t="str">
        <f>IF(Sheet1!BQ13&gt;25.75,"spill elevation","-")</f>
        <v>-</v>
      </c>
      <c r="S15" s="89" t="str">
        <f>IF(Sheet1!BR13&gt;25.75,"spill elevation","-")</f>
        <v>-</v>
      </c>
      <c r="T15" s="93">
        <f>IF(Sheet1!DU13=1,Sheet1!AA13-(SUM(AT15:BA15)+BE15),Sheet1!AA13-SUM(AT15:BA15))</f>
        <v>24.722816000000002</v>
      </c>
      <c r="U15" s="93">
        <f>Sheet1!BV13</f>
        <v>30.2</v>
      </c>
      <c r="V15" s="93">
        <f t="shared" si="4"/>
        <v>-5.4771839999999976</v>
      </c>
      <c r="W15" s="93">
        <f>0</f>
        <v>0</v>
      </c>
      <c r="X15" s="89">
        <f>0</f>
        <v>0</v>
      </c>
      <c r="Y15" s="94">
        <f ca="1">Calculation!EJ16+Calculation!ES15+'Calculations II'!O15-'Calculations II'!W15</f>
        <v>43.533528780323913</v>
      </c>
      <c r="Z15" s="94">
        <f ca="1">Y15-Sheet1!CT14</f>
        <v>28.522528780323913</v>
      </c>
      <c r="AA15" s="94">
        <f ca="1">Y15+Calculation!DJ16+Calculation!AS16</f>
        <v>53.453803094538372</v>
      </c>
      <c r="AC15" s="94">
        <f>Sheet1!AA13+Sheet1!AB13+BC15</f>
        <v>54.6</v>
      </c>
      <c r="AD15" s="94">
        <f>Sheet1!AA13+Sheet1!BN13+'Calculations II'!BC15-Calculation!AS15-Calculation!DJ15</f>
        <v>34.742007831968678</v>
      </c>
      <c r="AE15" s="94">
        <f>Sheet1!AA13+Sheet1!AB13+'Calculations II'!BC15-Calculation!AS15-Calculation!DJ15</f>
        <v>44.642007831968677</v>
      </c>
      <c r="AF15" s="94">
        <f ca="1">Sheet1!AA13+Sheet1!BN13+P15+'Calculations II'!BC15+Calculation!AS15+Calculation!DJ15</f>
        <v>55.792070697490246</v>
      </c>
      <c r="AG15" s="94">
        <f ca="1">IF(B15=TODAY(),0,Sheet1!AA13+Sheet1!BN13+'Calculations II'!BC15+'Calculations II'!P15-Sheet1!CT13-BP15)</f>
        <v>30.105078529458922</v>
      </c>
      <c r="AH15" s="94">
        <f ca="1">IF(B15=TODAY(),0,Sheet1!AA13+Sheet1!BN13+'Calculations II'!BC15+'Calculations II'!P15-BP15)</f>
        <v>45.834078529458921</v>
      </c>
      <c r="AI15" s="94">
        <f ca="1">IF(B15=TODAY(),0,BC15+Sheet1!AA13+Calculation!ES15+O15+W15+Sheet1!BN13+Calculation!AS15+Calculation!DJ15-BP15)</f>
        <v>55.792070697490246</v>
      </c>
      <c r="AJ15" s="94"/>
      <c r="AM15" s="90">
        <f t="shared" si="0"/>
        <v>42739</v>
      </c>
      <c r="AN15" s="94">
        <f>Sheet1!BU13</f>
        <v>24.3</v>
      </c>
      <c r="AO15" s="94">
        <f>Sheet1!AA13</f>
        <v>26.6</v>
      </c>
      <c r="AP15" s="94">
        <f t="shared" si="1"/>
        <v>-1.454249999999996</v>
      </c>
      <c r="AQ15" s="1087">
        <f>((Sheet1!BV13-(Sheet1!BU13-AP15))/(Sheet1!BU13-AP15))</f>
        <v>0.17262199442810428</v>
      </c>
      <c r="AR15" s="94">
        <f t="shared" si="2"/>
        <v>28.054249999999996</v>
      </c>
      <c r="AS15" s="94">
        <f t="shared" si="3"/>
        <v>25.754249999999995</v>
      </c>
      <c r="AT15" s="89">
        <f>Sheet1!BB13</f>
        <v>0</v>
      </c>
      <c r="AU15" s="89">
        <f>Sheet1!AS13*GPMtoMGD</f>
        <v>2.1312000000000001E-2</v>
      </c>
      <c r="AV15" s="94">
        <f>Sheet1!AT13</f>
        <v>0</v>
      </c>
      <c r="AW15" s="89">
        <f>Sheet1!AV13*GPMtoMGD</f>
        <v>0.76752000000000009</v>
      </c>
      <c r="AX15" s="89">
        <f>Sheet1!AW13*GPMtoMGD</f>
        <v>1.088352</v>
      </c>
      <c r="AY15" s="89">
        <f>Sheet1!AX13*GPMtoMGD</f>
        <v>0</v>
      </c>
      <c r="AZ15" s="89">
        <f>Sheet1!AY13*GPMtoMGD</f>
        <v>0</v>
      </c>
      <c r="BA15" s="89">
        <f>Sheet1!AZ13*GPMtoMGD</f>
        <v>0</v>
      </c>
      <c r="BB15" s="89">
        <f>Sheet1!BP13*GPMtoMGD</f>
        <v>2.3040000000000001E-3</v>
      </c>
      <c r="BC15" s="89">
        <f>Sheet1!CS13*GPMtoMGD</f>
        <v>0</v>
      </c>
      <c r="BD15" s="89">
        <f>Sheet1!BO13*GPMtoMGD</f>
        <v>1.6921439999999999</v>
      </c>
      <c r="BE15" s="89">
        <f>Sheet1!BW13*GPMtoMGD</f>
        <v>0.77385599999999999</v>
      </c>
      <c r="BF15" s="89">
        <f>Sheet1!CN13*GPMtoMGD</f>
        <v>0.206928</v>
      </c>
      <c r="BG15" s="89">
        <f>Sheet1!CO13*GPMtoMGD</f>
        <v>1.1111040000000001</v>
      </c>
      <c r="BH15" s="89">
        <f>Sheet1!CP13*GPMtoMGD</f>
        <v>0.51436800000000005</v>
      </c>
      <c r="BI15" s="89">
        <f t="shared" si="5"/>
        <v>1.694448</v>
      </c>
      <c r="BK15" s="94">
        <f>SUM(AT15:BA15,AS15,BC15,Calculation!AQ15)</f>
        <v>45.673441831968667</v>
      </c>
      <c r="BM15" s="358">
        <f>0</f>
        <v>0</v>
      </c>
      <c r="BN15" s="358">
        <f>0</f>
        <v>0</v>
      </c>
      <c r="BP15" s="94">
        <f>SUM(BM15:BN15,W15,Sheet1!DX13)</f>
        <v>0</v>
      </c>
      <c r="BR15" s="94">
        <f>Sheet1!AA13</f>
        <v>26.6</v>
      </c>
      <c r="BS15" s="94">
        <f>Sheet1!AB13</f>
        <v>28</v>
      </c>
      <c r="BT15" s="94">
        <f t="shared" ca="1" si="7"/>
        <v>1.1340785294589217</v>
      </c>
      <c r="BU15" s="94">
        <f>Sheet1!AT13</f>
        <v>0</v>
      </c>
      <c r="BV15" s="89">
        <f>Sheet1!BB13</f>
        <v>0</v>
      </c>
      <c r="BW15" s="94">
        <f>Calculation!ED15</f>
        <v>9.9579921680313266</v>
      </c>
      <c r="BX15" s="94">
        <f>(Sheet1!CS13*1440)/1000000</f>
        <v>0</v>
      </c>
      <c r="CA15" s="94">
        <f ca="1">Sheet1!AC13-Sheet1!BK13-Sheet1!BL13-Sheet1!BM13-Sheet1!BC13-Sheet1!BD13-Sheet1!BE13-Sheet1!BF13-Sheet1!BG13-Sheet1!BH13-Sheet1!BI13+BC15+P15</f>
        <v>45.744078529458918</v>
      </c>
      <c r="CB15" s="93">
        <f t="shared" si="8"/>
        <v>69.061186116055538</v>
      </c>
      <c r="CC15" s="94">
        <f t="shared" si="9"/>
        <v>0</v>
      </c>
      <c r="CD15" s="94">
        <f t="shared" ca="1" si="10"/>
        <v>55.702070697490242</v>
      </c>
      <c r="CE15" s="1077">
        <f t="shared" ca="1" si="11"/>
        <v>86.171103369017402</v>
      </c>
      <c r="CG15" s="1077">
        <f t="shared" ca="1" si="12"/>
        <v>45.744078529458918</v>
      </c>
    </row>
    <row r="16" spans="1:256" s="89" customFormat="1" x14ac:dyDescent="0.25">
      <c r="A16" s="616" t="s">
        <v>7</v>
      </c>
      <c r="B16" s="91">
        <v>42740</v>
      </c>
      <c r="C16" s="92">
        <v>0</v>
      </c>
      <c r="D16" s="94">
        <f>(Sheet1!BQ14-Sheet1!BQ13)*1.385</f>
        <v>-0.22160000000000019</v>
      </c>
      <c r="E16" s="30">
        <f>(Sheet1!BR14-Sheet1!BR13)*1.385</f>
        <v>-0.16620000000000137</v>
      </c>
      <c r="F16" s="30">
        <f ca="1">IF(B16=TODAY(),0,-(VLOOKUP(Sheet1!CD14,Lookup!$I$4:$J$216,2)-VLOOKUP(Sheet1!CD13,Lookup!$I$4:$J$216,2))/1000000)</f>
        <v>-0.31091081564339806</v>
      </c>
      <c r="G16" s="94">
        <f ca="1">IF(B16=TODAY(),0,-$G$6*(Sheet1!CF14-Sheet1!CF13)*7.48/1000000)</f>
        <v>0.3574215094730338</v>
      </c>
      <c r="H16" s="94">
        <f ca="1">IF(B16=TODAY(),0,-$H$6*(Sheet1!CE14-Sheet1!CE13)*7.48/1000000)</f>
        <v>9.0236594107588417E-3</v>
      </c>
      <c r="I16" s="94">
        <f ca="1">IF(B16=TODAY(),0,-$I$6*(Sheet1!CG14-Sheet1!CG13)*7.48/1000000)</f>
        <v>-3.1447415999999971E-2</v>
      </c>
      <c r="J16" s="95" t="s">
        <v>177</v>
      </c>
      <c r="K16" s="94">
        <f ca="1">IF(B16=TODAY(),0,-$K$6*(Sheet1!CH14-Sheet1!CH13)*7.48/1000000)</f>
        <v>-6.6633203744584424E-2</v>
      </c>
      <c r="L16" s="95" t="s">
        <v>177</v>
      </c>
      <c r="M16" s="94">
        <f ca="1">IF(B16=TODAY(),0,-$M$6*(Sheet1!CI14-Sheet1!CI13)*7.48/1000000)</f>
        <v>1.7091933006625695</v>
      </c>
      <c r="N16" s="94">
        <f ca="1">IF(B16=TODAY(),0,-$N$6*(Sheet1!CJ14-Sheet1!CJ13)*7.48/1000000)</f>
        <v>-1.2410469078924517E-2</v>
      </c>
      <c r="O16" s="94">
        <f t="shared" ca="1" si="6"/>
        <v>1.654236565079455</v>
      </c>
      <c r="P16" s="94">
        <f ca="1">O16+Calculation!ES16</f>
        <v>2.0695883658089347</v>
      </c>
      <c r="Q16" s="89" t="str">
        <f>IF(Sheet1!BQ14&gt;25.75,"spill elevation","-")</f>
        <v>-</v>
      </c>
      <c r="R16" s="89" t="str">
        <f>IF(Sheet1!BQ14&gt;25.75,"spill elevation","-")</f>
        <v>-</v>
      </c>
      <c r="S16" s="89" t="str">
        <f>IF(Sheet1!BR14&gt;25.75,"spill elevation","-")</f>
        <v>-</v>
      </c>
      <c r="T16" s="93">
        <f>IF(Sheet1!DU14=1,Sheet1!AA14-(SUM(AT16:BA16)+BE16),Sheet1!AA14-SUM(AT16:BA16))</f>
        <v>25.764512</v>
      </c>
      <c r="U16" s="93">
        <f>Sheet1!BV14</f>
        <v>29.6</v>
      </c>
      <c r="V16" s="93">
        <f t="shared" si="4"/>
        <v>-3.8354880000000016</v>
      </c>
      <c r="W16" s="93">
        <f>0</f>
        <v>0</v>
      </c>
      <c r="X16" s="89">
        <f>0</f>
        <v>0</v>
      </c>
      <c r="Y16" s="94">
        <f ca="1">Calculation!EJ17+Calculation!ES16+'Calculations II'!O16-'Calculations II'!W16</f>
        <v>46.475016547954468</v>
      </c>
      <c r="Z16" s="94">
        <f ca="1">Y16-Sheet1!CT15</f>
        <v>30.805016547954466</v>
      </c>
      <c r="AA16" s="94">
        <f ca="1">Y16+Calculation!DJ17+Calculation!AS17</f>
        <v>56.415921106359022</v>
      </c>
      <c r="AC16" s="94">
        <f>Sheet1!AA14+Sheet1!AB14+BC16</f>
        <v>54.53</v>
      </c>
      <c r="AD16" s="94">
        <f>Sheet1!AA14+Sheet1!BN14+'Calculations II'!BC16-Calculation!AS16-Calculation!DJ16</f>
        <v>34.779725685785536</v>
      </c>
      <c r="AE16" s="94">
        <f>Sheet1!AA14+Sheet1!AB14+'Calculations II'!BC16-Calculation!AS16-Calculation!DJ16</f>
        <v>44.609725685785534</v>
      </c>
      <c r="AF16" s="94">
        <f ca="1">Sheet1!AA14+Sheet1!BN14+P16+'Calculations II'!BC16+Calculation!AS16+Calculation!DJ16</f>
        <v>56.689862680023396</v>
      </c>
      <c r="AG16" s="94">
        <f ca="1">IF(B16=TODAY(),0,Sheet1!AA14+Sheet1!BN14+'Calculations II'!BC16+'Calculations II'!P16-Sheet1!CT14-BP16)</f>
        <v>31.758588365808937</v>
      </c>
      <c r="AH16" s="94">
        <f ca="1">IF(B16=TODAY(),0,Sheet1!AA14+Sheet1!BN14+'Calculations II'!BC16+'Calculations II'!P16-BP16)</f>
        <v>46.769588365808936</v>
      </c>
      <c r="AI16" s="94">
        <f ca="1">IF(B16=TODAY(),0,BC16+Sheet1!AA14+Calculation!ES16+O16+W16+Sheet1!BN14+Calculation!AS16+Calculation!DJ16-BP16)</f>
        <v>56.689862680023396</v>
      </c>
      <c r="AJ16" s="94"/>
      <c r="AM16" s="90">
        <f t="shared" si="0"/>
        <v>42740</v>
      </c>
      <c r="AN16" s="94">
        <f>Sheet1!BU14</f>
        <v>21.9</v>
      </c>
      <c r="AO16" s="94">
        <f>Sheet1!AA14</f>
        <v>26.6</v>
      </c>
      <c r="AP16" s="94">
        <f t="shared" si="1"/>
        <v>-0.38780000000000159</v>
      </c>
      <c r="AQ16" s="1087">
        <f>((Sheet1!BV14-(Sheet1!BU14-AP16))/(Sheet1!BU14-AP16))</f>
        <v>0.32808083346045819</v>
      </c>
      <c r="AR16" s="94">
        <f t="shared" si="2"/>
        <v>26.987800000000004</v>
      </c>
      <c r="AS16" s="94">
        <f t="shared" si="3"/>
        <v>22.287800000000001</v>
      </c>
      <c r="AT16" s="89">
        <f>Sheet1!BB14</f>
        <v>0</v>
      </c>
      <c r="AU16" s="89">
        <f>Sheet1!AS14*GPMtoMGD</f>
        <v>2.4912000000000004E-2</v>
      </c>
      <c r="AV16" s="94">
        <f>Sheet1!AT14</f>
        <v>0</v>
      </c>
      <c r="AW16" s="89">
        <f>Sheet1!AV14*GPMtoMGD</f>
        <v>0.70243200000000006</v>
      </c>
      <c r="AX16" s="89">
        <f>Sheet1!AW14*GPMtoMGD</f>
        <v>0.108144</v>
      </c>
      <c r="AY16" s="89">
        <f>Sheet1!AX14*GPMtoMGD</f>
        <v>0</v>
      </c>
      <c r="AZ16" s="89">
        <f>Sheet1!AY14*GPMtoMGD</f>
        <v>0</v>
      </c>
      <c r="BA16" s="89">
        <f>Sheet1!AZ14*GPMtoMGD</f>
        <v>0</v>
      </c>
      <c r="BB16" s="89">
        <f>Sheet1!BP14*GPMtoMGD</f>
        <v>1.8720000000000002E-3</v>
      </c>
      <c r="BC16" s="89">
        <f>Sheet1!CS14*GPMtoMGD</f>
        <v>0</v>
      </c>
      <c r="BD16" s="89">
        <f>Sheet1!BO14*GPMtoMGD</f>
        <v>1.62</v>
      </c>
      <c r="BE16" s="89">
        <f>Sheet1!BW14*GPMtoMGD</f>
        <v>0.59457599999999999</v>
      </c>
      <c r="BF16" s="89">
        <f>Sheet1!CN14*GPMtoMGD</f>
        <v>0.21067200000000003</v>
      </c>
      <c r="BG16" s="89">
        <f>Sheet1!CO14*GPMtoMGD</f>
        <v>0.60321599999999997</v>
      </c>
      <c r="BH16" s="89">
        <f>Sheet1!CP14*GPMtoMGD</f>
        <v>0.56462400000000001</v>
      </c>
      <c r="BI16" s="89">
        <f t="shared" si="5"/>
        <v>1.6218720000000002</v>
      </c>
      <c r="BK16" s="94">
        <f>SUM(AT16:BA16,AS16,BC16,Calculation!AQ16)</f>
        <v>41.133013685785542</v>
      </c>
      <c r="BM16" s="358">
        <f>0</f>
        <v>0</v>
      </c>
      <c r="BN16" s="358">
        <f>0</f>
        <v>0</v>
      </c>
      <c r="BP16" s="94">
        <f>SUM(BM16:BN16,W16,Sheet1!DX14)</f>
        <v>0</v>
      </c>
      <c r="BR16" s="94">
        <f>Sheet1!AA14</f>
        <v>26.6</v>
      </c>
      <c r="BS16" s="94">
        <f>Sheet1!AB14</f>
        <v>27.93</v>
      </c>
      <c r="BT16" s="94">
        <f t="shared" ca="1" si="7"/>
        <v>2.0695883658089347</v>
      </c>
      <c r="BU16" s="94">
        <f>Sheet1!AT14</f>
        <v>0</v>
      </c>
      <c r="BV16" s="89">
        <f>Sheet1!BB14</f>
        <v>0</v>
      </c>
      <c r="BW16" s="94">
        <f>Calculation!ED16</f>
        <v>9.9202743142144634</v>
      </c>
      <c r="BX16" s="94">
        <f>(Sheet1!CS14*1440)/1000000</f>
        <v>0</v>
      </c>
      <c r="CA16" s="94">
        <f ca="1">Sheet1!AC14-Sheet1!BK14-Sheet1!BL14-Sheet1!BM14-Sheet1!BC14-Sheet1!BD14-Sheet1!BE14-Sheet1!BF14-Sheet1!BG14-Sheet1!BH14-Sheet1!BI14+BC16+P16</f>
        <v>46.629588365808935</v>
      </c>
      <c r="CB16" s="93">
        <f t="shared" si="8"/>
        <v>69.011245635910214</v>
      </c>
      <c r="CC16" s="94">
        <f t="shared" si="9"/>
        <v>0</v>
      </c>
      <c r="CD16" s="94">
        <f t="shared" ca="1" si="10"/>
        <v>56.549862680023395</v>
      </c>
      <c r="CE16" s="1077">
        <f t="shared" ca="1" si="11"/>
        <v>87.482637565996185</v>
      </c>
      <c r="CG16" s="1077">
        <f t="shared" ca="1" si="12"/>
        <v>46.629588365808935</v>
      </c>
    </row>
    <row r="17" spans="1:85" s="89" customFormat="1" x14ac:dyDescent="0.25">
      <c r="A17" s="616" t="s">
        <v>8</v>
      </c>
      <c r="B17" s="91">
        <v>42741</v>
      </c>
      <c r="C17" s="92">
        <v>0</v>
      </c>
      <c r="D17" s="94">
        <f>(Sheet1!BQ15-Sheet1!BQ14)*1.385</f>
        <v>0.44320000000000037</v>
      </c>
      <c r="E17" s="30">
        <f>(Sheet1!BR15-Sheet1!BR14)*1.385</f>
        <v>0.31855000000000061</v>
      </c>
      <c r="F17" s="30">
        <f ca="1">IF(B17=TODAY(),0,-(VLOOKUP(Sheet1!CD15,Lookup!$I$4:$J$216,2)-VLOOKUP(Sheet1!CD14,Lookup!$I$4:$J$216,2))/1000000)</f>
        <v>1.0363693854779992</v>
      </c>
      <c r="G17" s="94">
        <f ca="1">IF(B17=TODAY(),0,-$G$6*(Sheet1!CF15-Sheet1!CF14)*7.48/1000000)</f>
        <v>0.3574215094730338</v>
      </c>
      <c r="H17" s="94">
        <f ca="1">IF(B17=TODAY(),0,-$H$6*(Sheet1!CE15-Sheet1!CE14)*7.48/1000000)</f>
        <v>-1.5039432351265274E-2</v>
      </c>
      <c r="I17" s="94">
        <f ca="1">IF(B17=TODAY(),0,-$I$6*(Sheet1!CG15-Sheet1!CG14)*7.48/1000000)</f>
        <v>4.4924879999999837E-3</v>
      </c>
      <c r="J17" s="95" t="s">
        <v>177</v>
      </c>
      <c r="K17" s="94">
        <f ca="1">IF(B17=TODAY(),0,-$K$6*(Sheet1!CH15-Sheet1!CH14)*7.48/1000000)</f>
        <v>1.9989961123375376E-2</v>
      </c>
      <c r="L17" s="95" t="s">
        <v>177</v>
      </c>
      <c r="M17" s="94">
        <f ca="1">IF(B17=TODAY(),0,-$M$6*(Sheet1!CI15-Sheet1!CI14)*7.48/1000000)</f>
        <v>-1.8351338596587585</v>
      </c>
      <c r="N17" s="94">
        <f ca="1">IF(B17=TODAY(),0,-$N$6*(Sheet1!CJ15-Sheet1!CJ14)*7.48/1000000)</f>
        <v>0.62672868848570118</v>
      </c>
      <c r="O17" s="94">
        <f t="shared" ca="1" si="6"/>
        <v>0.19482874055008548</v>
      </c>
      <c r="P17" s="94">
        <f ca="1">O17+Calculation!ES17</f>
        <v>-0.4974541629400332</v>
      </c>
      <c r="Q17" s="89" t="str">
        <f>IF(Sheet1!BQ15&gt;25.75,"spill elevation","-")</f>
        <v>-</v>
      </c>
      <c r="R17" s="89" t="str">
        <f>IF(Sheet1!BQ15&gt;25.75,"spill elevation","-")</f>
        <v>-</v>
      </c>
      <c r="S17" s="89" t="str">
        <f>IF(Sheet1!BR15&gt;25.75,"spill elevation","-")</f>
        <v>-</v>
      </c>
      <c r="T17" s="93">
        <f>IF(Sheet1!DU15=1,Sheet1!AA15-(SUM(AT17:BA17)+BE17),Sheet1!AA15-SUM(AT17:BA17))</f>
        <v>25.618496</v>
      </c>
      <c r="U17" s="93">
        <f>Sheet1!BV15</f>
        <v>28.6</v>
      </c>
      <c r="V17" s="93">
        <f t="shared" si="4"/>
        <v>-2.981504000000001</v>
      </c>
      <c r="W17" s="93">
        <f>0</f>
        <v>0</v>
      </c>
      <c r="X17" s="89">
        <f>0</f>
        <v>0</v>
      </c>
      <c r="Y17" s="94">
        <f ca="1">Calculation!EJ18+Calculation!ES17+'Calculations II'!O17-'Calculations II'!W17</f>
        <v>42.194914170926751</v>
      </c>
      <c r="Z17" s="94">
        <f ca="1">Y17-Sheet1!CT16</f>
        <v>25.290914170926751</v>
      </c>
      <c r="AA17" s="94">
        <f ca="1">Y17+Calculation!DJ18+Calculation!AS18</f>
        <v>52.207762136665508</v>
      </c>
      <c r="AC17" s="94">
        <f>Sheet1!AA15+Sheet1!AB15+BC17</f>
        <v>54.57</v>
      </c>
      <c r="AD17" s="94">
        <f>Sheet1!AA15+Sheet1!BN15+'Calculations II'!BC17-Calculation!AS17-Calculation!DJ17</f>
        <v>34.759095441595449</v>
      </c>
      <c r="AE17" s="94">
        <f>Sheet1!AA15+Sheet1!AB15+'Calculations II'!BC17-Calculation!AS17-Calculation!DJ17</f>
        <v>44.629095441595439</v>
      </c>
      <c r="AF17" s="94">
        <f ca="1">Sheet1!AA15+Sheet1!BN15+P17+'Calculations II'!BC17+Calculation!AS17+Calculation!DJ17</f>
        <v>54.143450395464527</v>
      </c>
      <c r="AG17" s="94">
        <f ca="1">IF(B17=TODAY(),0,Sheet1!AA15+Sheet1!BN15+'Calculations II'!BC17+'Calculations II'!P17-Sheet1!CT15-BP17)</f>
        <v>28.53254583705997</v>
      </c>
      <c r="AH17" s="94">
        <f ca="1">IF(B17=TODAY(),0,Sheet1!AA15+Sheet1!BN15+'Calculations II'!BC17+'Calculations II'!P17-BP17)</f>
        <v>44.202545837059972</v>
      </c>
      <c r="AI17" s="94">
        <f ca="1">IF(B17=TODAY(),0,BC17+Sheet1!AA15+Calculation!ES17+O17+W17+Sheet1!BN15+Calculation!AS17+Calculation!DJ17-BP17)</f>
        <v>54.143450395464527</v>
      </c>
      <c r="AJ17" s="94"/>
      <c r="AM17" s="90">
        <f t="shared" si="0"/>
        <v>42741</v>
      </c>
      <c r="AN17" s="94">
        <f>Sheet1!BU15</f>
        <v>25.2</v>
      </c>
      <c r="AO17" s="94">
        <f>Sheet1!AA15</f>
        <v>26.6</v>
      </c>
      <c r="AP17" s="94">
        <f t="shared" si="1"/>
        <v>0.76175000000000104</v>
      </c>
      <c r="AQ17" s="1087">
        <f>((Sheet1!BV15-(Sheet1!BU15-AP17))/(Sheet1!BU15-AP17))</f>
        <v>0.17029656378832386</v>
      </c>
      <c r="AR17" s="94">
        <f t="shared" si="2"/>
        <v>25.838250000000002</v>
      </c>
      <c r="AS17" s="94">
        <f t="shared" si="3"/>
        <v>24.438249999999996</v>
      </c>
      <c r="AT17" s="89">
        <f>Sheet1!BB15</f>
        <v>0</v>
      </c>
      <c r="AU17" s="89">
        <f>Sheet1!AS15*GPMtoMGD</f>
        <v>3.2544000000000003E-2</v>
      </c>
      <c r="AV17" s="94">
        <f>Sheet1!AT15</f>
        <v>0</v>
      </c>
      <c r="AW17" s="89">
        <f>Sheet1!AV15*GPMtoMGD</f>
        <v>0.47865599999999997</v>
      </c>
      <c r="AX17" s="89">
        <f>Sheet1!AW15*GPMtoMGD</f>
        <v>0.47030400000000006</v>
      </c>
      <c r="AY17" s="89">
        <f>Sheet1!AX15*GPMtoMGD</f>
        <v>0</v>
      </c>
      <c r="AZ17" s="89">
        <f>Sheet1!AY15*GPMtoMGD</f>
        <v>0</v>
      </c>
      <c r="BA17" s="89">
        <f>Sheet1!AZ15*GPMtoMGD</f>
        <v>0</v>
      </c>
      <c r="BB17" s="89">
        <f>Sheet1!BP15*GPMtoMGD</f>
        <v>2.16E-3</v>
      </c>
      <c r="BC17" s="89">
        <f>Sheet1!CS15*GPMtoMGD</f>
        <v>0</v>
      </c>
      <c r="BD17" s="89">
        <f>Sheet1!BO15*GPMtoMGD</f>
        <v>1.4785920000000001</v>
      </c>
      <c r="BE17" s="89">
        <f>Sheet1!BW15*GPMtoMGD</f>
        <v>0.7632000000000001</v>
      </c>
      <c r="BF17" s="89">
        <f>Sheet1!CN15*GPMtoMGD</f>
        <v>0.180288</v>
      </c>
      <c r="BG17" s="89">
        <f>Sheet1!CO15*GPMtoMGD</f>
        <v>0.58017600000000003</v>
      </c>
      <c r="BH17" s="89">
        <f>Sheet1!CP15*GPMtoMGD</f>
        <v>0.51926400000000006</v>
      </c>
      <c r="BI17" s="89">
        <f t="shared" si="5"/>
        <v>1.4807520000000001</v>
      </c>
      <c r="BK17" s="94">
        <f>SUM(AT17:BA17,AS17,BC17,Calculation!AQ17)</f>
        <v>43.448849441595442</v>
      </c>
      <c r="BM17" s="358">
        <f>0</f>
        <v>0</v>
      </c>
      <c r="BN17" s="358">
        <f>0</f>
        <v>0</v>
      </c>
      <c r="BP17" s="94">
        <f>SUM(BM17:BN17,W17,Sheet1!DX15)</f>
        <v>0</v>
      </c>
      <c r="BR17" s="94">
        <f>Sheet1!AA15</f>
        <v>26.6</v>
      </c>
      <c r="BS17" s="94">
        <f>Sheet1!AB15</f>
        <v>27.97</v>
      </c>
      <c r="BT17" s="94">
        <f t="shared" ca="1" si="7"/>
        <v>-0.4974541629400332</v>
      </c>
      <c r="BU17" s="94">
        <f>Sheet1!AT15</f>
        <v>0</v>
      </c>
      <c r="BV17" s="89">
        <f>Sheet1!BB15</f>
        <v>0</v>
      </c>
      <c r="BW17" s="94">
        <f>Calculation!ED17</f>
        <v>0</v>
      </c>
      <c r="BX17" s="94">
        <f>(Sheet1!CS15*1440)/1000000</f>
        <v>0</v>
      </c>
      <c r="CA17" s="94">
        <f ca="1">Sheet1!AC15-Sheet1!BK15-Sheet1!BL15-Sheet1!BM15-Sheet1!BC15-Sheet1!BD15-Sheet1!BE15-Sheet1!BF15-Sheet1!BG15-Sheet1!BH15-Sheet1!BI15+BC17+P17</f>
        <v>44.092545837059973</v>
      </c>
      <c r="CB17" s="93">
        <f t="shared" si="8"/>
        <v>84.419789999999992</v>
      </c>
      <c r="CC17" s="94">
        <f t="shared" si="9"/>
        <v>0</v>
      </c>
      <c r="CD17" s="94">
        <f t="shared" ca="1" si="10"/>
        <v>44.092545837059973</v>
      </c>
      <c r="CE17" s="1077">
        <f t="shared" ca="1" si="11"/>
        <v>68.211168409931773</v>
      </c>
      <c r="CG17" s="1077">
        <f t="shared" ca="1" si="12"/>
        <v>44.092545837059973</v>
      </c>
    </row>
    <row r="18" spans="1:85" s="89" customFormat="1" x14ac:dyDescent="0.25">
      <c r="A18" s="616" t="s">
        <v>9</v>
      </c>
      <c r="B18" s="91">
        <v>42742</v>
      </c>
      <c r="C18" s="92">
        <v>0</v>
      </c>
      <c r="D18" s="94">
        <f>(Sheet1!BQ16-Sheet1!BQ15)*1.385</f>
        <v>-2.3544999999999989</v>
      </c>
      <c r="E18" s="30">
        <f>(Sheet1!BR16-Sheet1!BR15)*1.385</f>
        <v>-2.3544999999999989</v>
      </c>
      <c r="F18" s="30">
        <f ca="1">IF(B18=TODAY(),0,-(VLOOKUP(Sheet1!CD16,Lookup!$I$4:$J$216,2)-VLOOKUP(Sheet1!CD15,Lookup!$I$4:$J$216,2))/1000000)</f>
        <v>-0.31091081564340367</v>
      </c>
      <c r="G18" s="94">
        <f ca="1">IF(B18=TODAY(),0,-$G$6*(Sheet1!CF16-Sheet1!CF15)*7.48/1000000)</f>
        <v>-1.0325510273665424</v>
      </c>
      <c r="H18" s="94">
        <f ca="1">IF(B18=TODAY(),0,-$H$6*(Sheet1!CE16-Sheet1!CE15)*7.48/1000000)</f>
        <v>0.13535489116138585</v>
      </c>
      <c r="I18" s="94">
        <f ca="1">IF(B18=TODAY(),0,-$I$6*(Sheet1!CG16-Sheet1!CG15)*7.48/1000000)</f>
        <v>1.3477463999999995E-2</v>
      </c>
      <c r="J18" s="95" t="s">
        <v>177</v>
      </c>
      <c r="K18" s="94">
        <f ca="1">IF(B18=TODAY(),0,-$K$6*(Sheet1!CH16-Sheet1!CH15)*7.48/1000000)</f>
        <v>2.6653281497833674E-2</v>
      </c>
      <c r="L18" s="95" t="s">
        <v>177</v>
      </c>
      <c r="M18" s="94">
        <f ca="1">IF(B18=TODAY(),0,-$M$6*(Sheet1!CI16-Sheet1!CI15)*7.48/1000000)</f>
        <v>8.9957542140135238E-2</v>
      </c>
      <c r="N18" s="94">
        <f ca="1">IF(B18=TODAY(),0,-$N$6*(Sheet1!CJ16-Sheet1!CJ15)*7.48/1000000)</f>
        <v>-0.18615703618387103</v>
      </c>
      <c r="O18" s="94">
        <f t="shared" ref="O18:O81" ca="1" si="13">SUM(F18:I18)+K18+SUM(M18:N18)</f>
        <v>-1.2641757003944625</v>
      </c>
      <c r="P18" s="94">
        <f ca="1">O18+Calculation!ES18</f>
        <v>3.441910340539672</v>
      </c>
      <c r="Q18" s="89" t="str">
        <f>IF(Sheet1!BQ16&gt;25.75,"spill elevation","-")</f>
        <v>-</v>
      </c>
      <c r="R18" s="89" t="str">
        <f>IF(Sheet1!BQ16&gt;25.75,"spill elevation","-")</f>
        <v>-</v>
      </c>
      <c r="S18" s="89" t="str">
        <f>IF(Sheet1!BR16&gt;25.75,"spill elevation","-")</f>
        <v>-</v>
      </c>
      <c r="T18" s="93">
        <f>IF(Sheet1!DU16=1,Sheet1!AA16-(SUM(AT18:BA18)+BE18),Sheet1!AA16-SUM(AT18:BA18))</f>
        <v>24.930607999999999</v>
      </c>
      <c r="U18" s="93">
        <f>Sheet1!BV16</f>
        <v>34.200000000000003</v>
      </c>
      <c r="V18" s="93">
        <f t="shared" ref="V18:V81" si="14">T18-U18</f>
        <v>-9.2693920000000034</v>
      </c>
      <c r="W18" s="93">
        <f>0</f>
        <v>0</v>
      </c>
      <c r="X18" s="89">
        <f>0</f>
        <v>0</v>
      </c>
      <c r="Y18" s="94">
        <f ca="1">Calculation!EJ19+Calculation!ES18+'Calculations II'!O18-'Calculations II'!W18</f>
        <v>49.146121170996153</v>
      </c>
      <c r="Z18" s="94">
        <f ca="1">Y18-Sheet1!CT17</f>
        <v>33.058121170996152</v>
      </c>
      <c r="AA18" s="94">
        <f ca="1">Y18+Calculation!DJ19+Calculation!AS19</f>
        <v>59.099926945274369</v>
      </c>
      <c r="AC18" s="94">
        <f>Sheet1!AA16+Sheet1!AB16+BC18</f>
        <v>54.6</v>
      </c>
      <c r="AD18" s="94">
        <f>Sheet1!AA16+Sheet1!BN16+'Calculations II'!BC18-Calculation!AS18-Calculation!DJ18</f>
        <v>34.587152034261244</v>
      </c>
      <c r="AE18" s="94">
        <f>Sheet1!AA16+Sheet1!AB16+'Calculations II'!BC18-Calculation!AS18-Calculation!DJ18</f>
        <v>44.587152034261244</v>
      </c>
      <c r="AF18" s="94">
        <f ca="1">Sheet1!AA16+Sheet1!BN16+P18+'Calculations II'!BC18+Calculation!AS18+Calculation!DJ18</f>
        <v>58.05475830627843</v>
      </c>
      <c r="AG18" s="94">
        <f ca="1">IF(B18=TODAY(),0,Sheet1!AA16+Sheet1!BN16+'Calculations II'!BC18+'Calculations II'!P18-Sheet1!CT16-BP18)</f>
        <v>31.137910340539673</v>
      </c>
      <c r="AH18" s="94">
        <f ca="1">IF(B18=TODAY(),0,Sheet1!AA16+Sheet1!BN16+'Calculations II'!BC18+'Calculations II'!P18-BP18)</f>
        <v>48.041910340539673</v>
      </c>
      <c r="AI18" s="94">
        <f ca="1">IF(B18=TODAY(),0,BC18+Sheet1!AA16+Calculation!ES18+O18+W18+Sheet1!BN16+Calculation!AS18+Calculation!DJ18-BP18)</f>
        <v>58.05475830627843</v>
      </c>
      <c r="AJ18" s="94"/>
      <c r="AM18" s="90">
        <f t="shared" ref="AM18:AM81" si="15">B18</f>
        <v>42742</v>
      </c>
      <c r="AN18" s="94">
        <f>Sheet1!BU16</f>
        <v>24.3</v>
      </c>
      <c r="AO18" s="94">
        <f>Sheet1!AA16</f>
        <v>26.6</v>
      </c>
      <c r="AP18" s="94">
        <f t="shared" si="1"/>
        <v>-4.7089999999999979</v>
      </c>
      <c r="AQ18" s="1087">
        <f>((Sheet1!BV16-(Sheet1!BU16-AP18))/(Sheet1!BU16-AP18))</f>
        <v>0.17894446551070367</v>
      </c>
      <c r="AR18" s="94">
        <f t="shared" si="2"/>
        <v>31.308999999999997</v>
      </c>
      <c r="AS18" s="94">
        <f t="shared" si="3"/>
        <v>29.009</v>
      </c>
      <c r="AT18" s="89">
        <f>Sheet1!BB16</f>
        <v>0</v>
      </c>
      <c r="AU18" s="89">
        <f>Sheet1!AS16*GPMtoMGD</f>
        <v>2.0448000000000001E-2</v>
      </c>
      <c r="AV18" s="94">
        <f>Sheet1!AT16</f>
        <v>0</v>
      </c>
      <c r="AW18" s="89">
        <f>Sheet1!AV16*GPMtoMGD</f>
        <v>0.76046400000000003</v>
      </c>
      <c r="AX18" s="89">
        <f>Sheet1!AW16*GPMtoMGD</f>
        <v>0.88848000000000005</v>
      </c>
      <c r="AY18" s="89">
        <f>Sheet1!AX16*GPMtoMGD</f>
        <v>0</v>
      </c>
      <c r="AZ18" s="89">
        <f>Sheet1!AY16*GPMtoMGD</f>
        <v>0</v>
      </c>
      <c r="BA18" s="89">
        <f>Sheet1!AZ16*GPMtoMGD</f>
        <v>0</v>
      </c>
      <c r="BB18" s="89">
        <f>Sheet1!BP16*GPMtoMGD</f>
        <v>2.016E-3</v>
      </c>
      <c r="BC18" s="89">
        <f>Sheet1!CS16*GPMtoMGD</f>
        <v>0</v>
      </c>
      <c r="BD18" s="89">
        <f>Sheet1!BO16*GPMtoMGD</f>
        <v>1.5399360000000002</v>
      </c>
      <c r="BE18" s="89">
        <f>Sheet1!BW16*GPMtoMGD</f>
        <v>0.5829120000000001</v>
      </c>
      <c r="BF18" s="89">
        <f>Sheet1!CN16*GPMtoMGD</f>
        <v>0.40982400000000008</v>
      </c>
      <c r="BG18" s="89">
        <f>Sheet1!CO16*GPMtoMGD</f>
        <v>0.6081120000000001</v>
      </c>
      <c r="BH18" s="89">
        <f>Sheet1!CP16*GPMtoMGD</f>
        <v>0.50774400000000008</v>
      </c>
      <c r="BI18" s="89">
        <f t="shared" ref="BI18:BI81" si="16">BD18+BB18</f>
        <v>1.5419520000000002</v>
      </c>
      <c r="BK18" s="94">
        <f>SUM(AT18:BA18,AS18,BC18,Calculation!AQ18)</f>
        <v>48.665544034261245</v>
      </c>
      <c r="BM18" s="358">
        <f>0</f>
        <v>0</v>
      </c>
      <c r="BN18" s="358">
        <f>0</f>
        <v>0</v>
      </c>
      <c r="BP18" s="94">
        <f>SUM(BM18:BN18,W18,Sheet1!DX16)</f>
        <v>0</v>
      </c>
      <c r="BR18" s="94">
        <f>Sheet1!AA16</f>
        <v>26.6</v>
      </c>
      <c r="BS18" s="94">
        <f>Sheet1!AB16</f>
        <v>28</v>
      </c>
      <c r="BT18" s="94">
        <f t="shared" ca="1" si="7"/>
        <v>3.441910340539672</v>
      </c>
      <c r="BU18" s="94">
        <f>Sheet1!AT16</f>
        <v>0</v>
      </c>
      <c r="BV18" s="89">
        <f>Sheet1!BB16</f>
        <v>0</v>
      </c>
      <c r="BW18" s="94">
        <f>Calculation!ED18</f>
        <v>0</v>
      </c>
      <c r="BX18" s="94">
        <f>(Sheet1!CS16*1440)/1000000</f>
        <v>0</v>
      </c>
      <c r="CA18" s="94">
        <f ca="1">Sheet1!AC16-Sheet1!BK16-Sheet1!BL16-Sheet1!BM16-Sheet1!BC16-Sheet1!BD16-Sheet1!BE16-Sheet1!BF16-Sheet1!BG16-Sheet1!BH16-Sheet1!BI16+BC18+P18</f>
        <v>48.021910340539677</v>
      </c>
      <c r="CB18" s="93">
        <f t="shared" si="8"/>
        <v>84.466200000000001</v>
      </c>
      <c r="CC18" s="94">
        <f t="shared" si="9"/>
        <v>0</v>
      </c>
      <c r="CD18" s="94">
        <f t="shared" ca="1" si="10"/>
        <v>48.021910340539677</v>
      </c>
      <c r="CE18" s="1077">
        <f t="shared" ca="1" si="11"/>
        <v>74.289895296814876</v>
      </c>
      <c r="CG18" s="1077">
        <f t="shared" ca="1" si="12"/>
        <v>48.021910340539677</v>
      </c>
    </row>
    <row r="19" spans="1:85" s="89" customFormat="1" x14ac:dyDescent="0.25">
      <c r="A19" s="616" t="s">
        <v>3</v>
      </c>
      <c r="B19" s="91">
        <v>42743</v>
      </c>
      <c r="C19" s="92">
        <v>0</v>
      </c>
      <c r="D19" s="94">
        <f>(Sheet1!BQ17-Sheet1!BQ16)*1.385</f>
        <v>-0.83100000000000196</v>
      </c>
      <c r="E19" s="30">
        <f>(Sheet1!BR17-Sheet1!BR16)*1.385</f>
        <v>-0.55400000000000293</v>
      </c>
      <c r="F19" s="30">
        <f ca="1">IF(B19=TODAY(),0,-(VLOOKUP(Sheet1!CD17,Lookup!$I$4:$J$216,2)-VLOOKUP(Sheet1!CD16,Lookup!$I$4:$J$216,2))/1000000)</f>
        <v>-0.51818469273899681</v>
      </c>
      <c r="G19" s="94">
        <f ca="1">IF(B19=TODAY(),0,-$G$6*(Sheet1!CF17-Sheet1!CF16)*7.48/1000000)</f>
        <v>0.43684851157815285</v>
      </c>
      <c r="H19" s="94">
        <f ca="1">IF(B19=TODAY(),0,-$H$6*(Sheet1!CE17-Sheet1!CE16)*7.48/1000000)</f>
        <v>-4.5118297053795289E-2</v>
      </c>
      <c r="I19" s="94">
        <f ca="1">IF(B19=TODAY(),0,-$I$6*(Sheet1!CG17-Sheet1!CG16)*7.48/1000000)</f>
        <v>1.3477463999999995E-2</v>
      </c>
      <c r="J19" s="95" t="s">
        <v>177</v>
      </c>
      <c r="K19" s="94">
        <f ca="1">IF(B19=TODAY(),0,-$K$6*(Sheet1!CH17-Sheet1!CH16)*7.48/1000000)</f>
        <v>1.3326640748916953E-2</v>
      </c>
      <c r="L19" s="95" t="s">
        <v>177</v>
      </c>
      <c r="M19" s="94">
        <f ca="1">IF(B19=TODAY(),0,-$M$6*(Sheet1!CI17-Sheet1!CI16)*7.48/1000000)</f>
        <v>0.10794905056816191</v>
      </c>
      <c r="N19" s="94">
        <f ca="1">IF(B19=TODAY(),0,-$N$6*(Sheet1!CJ17-Sheet1!CJ16)*7.48/1000000)</f>
        <v>-0.37231407236774428</v>
      </c>
      <c r="O19" s="94">
        <f t="shared" ca="1" si="13"/>
        <v>-0.36401539526530469</v>
      </c>
      <c r="P19" s="94">
        <f ca="1">O19+Calculation!ES19</f>
        <v>1.0193780684512843</v>
      </c>
      <c r="Q19" s="89" t="str">
        <f>IF(Sheet1!BQ17&gt;25.75,"spill elevation","-")</f>
        <v>-</v>
      </c>
      <c r="R19" s="89" t="str">
        <f>IF(Sheet1!BQ17&gt;25.75,"spill elevation","-")</f>
        <v>-</v>
      </c>
      <c r="S19" s="89" t="str">
        <f>IF(Sheet1!BR17&gt;25.75,"spill elevation","-")</f>
        <v>-</v>
      </c>
      <c r="T19" s="93">
        <f>IF(Sheet1!DU17=1,Sheet1!AA17-(SUM(AT19:BA19)+BE19),Sheet1!AA17-SUM(AT19:BA19))</f>
        <v>25.677968</v>
      </c>
      <c r="U19" s="93">
        <f>Sheet1!BV17</f>
        <v>31</v>
      </c>
      <c r="V19" s="93">
        <f t="shared" si="14"/>
        <v>-5.3220320000000001</v>
      </c>
      <c r="W19" s="93">
        <f>0</f>
        <v>0</v>
      </c>
      <c r="X19" s="89">
        <f>0</f>
        <v>0</v>
      </c>
      <c r="Y19" s="94">
        <f ca="1">Calculation!EJ20+Calculation!ES19+'Calculations II'!O19-'Calculations II'!W19</f>
        <v>54.95136776201732</v>
      </c>
      <c r="Z19" s="94">
        <f ca="1">Y19-Sheet1!CT18</f>
        <v>38.44836776201732</v>
      </c>
      <c r="AA19" s="94">
        <f ca="1">Y19+Calculation!DJ20+Calculation!AS20</f>
        <v>64.965702624402638</v>
      </c>
      <c r="AC19" s="94">
        <f>Sheet1!AA17+Sheet1!AB17+BC19</f>
        <v>57</v>
      </c>
      <c r="AD19" s="94">
        <f>Sheet1!AA17+Sheet1!BN17+'Calculations II'!BC19-Calculation!AS19-Calculation!DJ19</f>
        <v>37.146194225721786</v>
      </c>
      <c r="AE19" s="94">
        <f>Sheet1!AA17+Sheet1!AB17+'Calculations II'!BC19-Calculation!AS19-Calculation!DJ19</f>
        <v>47.046194225721784</v>
      </c>
      <c r="AF19" s="94">
        <f ca="1">Sheet1!AA17+Sheet1!BN17+P19+'Calculations II'!BC19+Calculation!AS19+Calculation!DJ19</f>
        <v>58.073183842729499</v>
      </c>
      <c r="AG19" s="94">
        <f ca="1">IF(B19=TODAY(),0,Sheet1!AA17+Sheet1!BN17+'Calculations II'!BC19+'Calculations II'!P19-Sheet1!CT17-BP19)</f>
        <v>32.031378068451282</v>
      </c>
      <c r="AH19" s="94">
        <f ca="1">IF(B19=TODAY(),0,Sheet1!AA17+Sheet1!BN17+'Calculations II'!BC19+'Calculations II'!P19-BP19)</f>
        <v>48.119378068451283</v>
      </c>
      <c r="AI19" s="94">
        <f ca="1">IF(B19=TODAY(),0,BC19+Sheet1!AA17+Calculation!ES19+O19+W19+Sheet1!BN17+Calculation!AS19+Calculation!DJ19-BP19)</f>
        <v>58.073183842729499</v>
      </c>
      <c r="AJ19" s="94"/>
      <c r="AM19" s="90">
        <f t="shared" si="15"/>
        <v>42743</v>
      </c>
      <c r="AN19" s="94">
        <f>Sheet1!BU17</f>
        <v>24.7</v>
      </c>
      <c r="AO19" s="94">
        <f>Sheet1!AA17</f>
        <v>26.6</v>
      </c>
      <c r="AP19" s="94">
        <f t="shared" si="1"/>
        <v>-1.3850000000000049</v>
      </c>
      <c r="AQ19" s="1087">
        <f>((Sheet1!BV17-(Sheet1!BU17-AP19))/(Sheet1!BU17-AP19))</f>
        <v>0.1884224650182095</v>
      </c>
      <c r="AR19" s="94">
        <f t="shared" si="2"/>
        <v>27.985000000000007</v>
      </c>
      <c r="AS19" s="94">
        <f t="shared" si="3"/>
        <v>26.085000000000004</v>
      </c>
      <c r="AT19" s="89">
        <f>Sheet1!BB17</f>
        <v>0</v>
      </c>
      <c r="AU19" s="89">
        <f>Sheet1!AS17*GPMtoMGD</f>
        <v>2.7792000000000004E-2</v>
      </c>
      <c r="AV19" s="94">
        <f>Sheet1!AT17</f>
        <v>0</v>
      </c>
      <c r="AW19" s="89">
        <f>Sheet1!AV17*GPMtoMGD</f>
        <v>0.35092800000000002</v>
      </c>
      <c r="AX19" s="89">
        <f>Sheet1!AW17*GPMtoMGD</f>
        <v>0.54331200000000002</v>
      </c>
      <c r="AY19" s="89">
        <f>Sheet1!AX17*GPMtoMGD</f>
        <v>0</v>
      </c>
      <c r="AZ19" s="89">
        <f>Sheet1!AY17*GPMtoMGD</f>
        <v>0</v>
      </c>
      <c r="BA19" s="89">
        <f>Sheet1!AZ17*GPMtoMGD</f>
        <v>0</v>
      </c>
      <c r="BB19" s="89">
        <f>Sheet1!BP17*GPMtoMGD</f>
        <v>2.16E-3</v>
      </c>
      <c r="BC19" s="89">
        <f>Sheet1!CS17*GPMtoMGD</f>
        <v>0</v>
      </c>
      <c r="BD19" s="89">
        <f>Sheet1!BO17*GPMtoMGD</f>
        <v>1.5939360000000002</v>
      </c>
      <c r="BE19" s="89">
        <f>Sheet1!BW17*GPMtoMGD</f>
        <v>0.87048000000000003</v>
      </c>
      <c r="BF19" s="89">
        <f>Sheet1!CN17*GPMtoMGD</f>
        <v>0.24235200000000004</v>
      </c>
      <c r="BG19" s="89">
        <f>Sheet1!CO17*GPMtoMGD</f>
        <v>0.65462400000000009</v>
      </c>
      <c r="BH19" s="89">
        <f>Sheet1!CP17*GPMtoMGD</f>
        <v>0.39700800000000003</v>
      </c>
      <c r="BI19" s="89">
        <f t="shared" si="16"/>
        <v>1.5960960000000002</v>
      </c>
      <c r="BK19" s="94">
        <f>SUM(AT19:BA19,AS19,BC19,Calculation!AQ19)</f>
        <v>47.453226225721792</v>
      </c>
      <c r="BM19" s="358">
        <f>0</f>
        <v>0</v>
      </c>
      <c r="BN19" s="358">
        <f>0</f>
        <v>0</v>
      </c>
      <c r="BP19" s="94">
        <f>SUM(BM19:BN19,W19,Sheet1!DX17)</f>
        <v>0</v>
      </c>
      <c r="BR19" s="94">
        <f>Sheet1!AA17</f>
        <v>26.6</v>
      </c>
      <c r="BS19" s="94">
        <f>Sheet1!AB17</f>
        <v>30.4</v>
      </c>
      <c r="BT19" s="94">
        <f t="shared" ca="1" si="7"/>
        <v>1.0193780684512843</v>
      </c>
      <c r="BU19" s="94">
        <f>Sheet1!AT17</f>
        <v>0</v>
      </c>
      <c r="BV19" s="89">
        <f>Sheet1!BB17</f>
        <v>0</v>
      </c>
      <c r="BW19" s="94">
        <f>Calculation!ED19</f>
        <v>9.9538057742782158</v>
      </c>
      <c r="BX19" s="94">
        <f>(Sheet1!CS17*1440)/1000000</f>
        <v>0</v>
      </c>
      <c r="CA19" s="94">
        <f ca="1">Sheet1!AC17-Sheet1!BK17-Sheet1!BL17-Sheet1!BM17-Sheet1!BC17-Sheet1!BD17-Sheet1!BE17-Sheet1!BF17-Sheet1!BG17-Sheet1!BH17-Sheet1!BI17+BC19+P19</f>
        <v>48.039378068451278</v>
      </c>
      <c r="CB19" s="93">
        <f t="shared" si="8"/>
        <v>72.780462467191597</v>
      </c>
      <c r="CC19" s="94">
        <f t="shared" si="9"/>
        <v>0</v>
      </c>
      <c r="CD19" s="94">
        <f t="shared" ca="1" si="10"/>
        <v>57.993183842729493</v>
      </c>
      <c r="CE19" s="1077">
        <f t="shared" ca="1" si="11"/>
        <v>89.715455404702524</v>
      </c>
      <c r="CG19" s="1077">
        <f t="shared" ca="1" si="12"/>
        <v>48.039378068451278</v>
      </c>
    </row>
    <row r="20" spans="1:85" s="89" customFormat="1" x14ac:dyDescent="0.25">
      <c r="A20" s="616" t="s">
        <v>4</v>
      </c>
      <c r="B20" s="91">
        <v>42744</v>
      </c>
      <c r="C20" s="92">
        <v>0</v>
      </c>
      <c r="D20" s="94">
        <f>(Sheet1!BQ18-Sheet1!BQ17)*1.385</f>
        <v>2.9085000000000019</v>
      </c>
      <c r="E20" s="30">
        <f>(Sheet1!BR18-Sheet1!BR17)*1.385</f>
        <v>2.9085000000000019</v>
      </c>
      <c r="F20" s="30">
        <f ca="1">IF(B20=TODAY(),0,-(VLOOKUP(Sheet1!CD18,Lookup!$I$4:$J$216,2)-VLOOKUP(Sheet1!CD17,Lookup!$I$4:$J$216,2))/1000000)</f>
        <v>1.554554078216996</v>
      </c>
      <c r="G20" s="94">
        <f ca="1">IF(B20=TODAY(),0,-$G$6*(Sheet1!CF18-Sheet1!CF17)*7.48/1000000)</f>
        <v>0.39713501052559297</v>
      </c>
      <c r="H20" s="94">
        <f ca="1">IF(B20=TODAY(),0,-$H$6*(Sheet1!CE18-Sheet1!CE17)*7.48/1000000)</f>
        <v>4.5118297053795289E-2</v>
      </c>
      <c r="I20" s="94">
        <f ca="1">IF(B20=TODAY(),0,-$I$6*(Sheet1!CG18-Sheet1!CG17)*7.48/1000000)</f>
        <v>4.0432392000000018E-2</v>
      </c>
      <c r="J20" s="95" t="s">
        <v>177</v>
      </c>
      <c r="K20" s="94">
        <f ca="1">IF(B20=TODAY(),0,-$K$6*(Sheet1!CH18-Sheet1!CH17)*7.48/1000000)</f>
        <v>6.6633203744584424E-2</v>
      </c>
      <c r="L20" s="95" t="s">
        <v>177</v>
      </c>
      <c r="M20" s="94">
        <f ca="1">IF(B20=TODAY(),0,-$M$6*(Sheet1!CI18-Sheet1!CI17)*7.48/1000000)</f>
        <v>0.17991508428027048</v>
      </c>
      <c r="N20" s="94">
        <f ca="1">IF(B20=TODAY(),0,-$N$6*(Sheet1!CJ18-Sheet1!CJ17)*7.48/1000000)</f>
        <v>0.80668049013011112</v>
      </c>
      <c r="O20" s="94">
        <f t="shared" ca="1" si="13"/>
        <v>3.0904685559513503</v>
      </c>
      <c r="P20" s="94">
        <f ca="1">O20+Calculation!ES20</f>
        <v>-2.7221247001631177</v>
      </c>
      <c r="Q20" s="89" t="str">
        <f>IF(Sheet1!BQ18&gt;25.75,"spill elevation","-")</f>
        <v>-</v>
      </c>
      <c r="R20" s="89" t="str">
        <f>IF(Sheet1!BQ18&gt;25.75,"spill elevation","-")</f>
        <v>-</v>
      </c>
      <c r="S20" s="89" t="str">
        <f>IF(Sheet1!BR18&gt;25.75,"spill elevation","-")</f>
        <v>-</v>
      </c>
      <c r="T20" s="93">
        <f>IF(Sheet1!DU18=1,Sheet1!AA18-(SUM(AT20:BA20)+BE20),Sheet1!AA18-SUM(AT20:BA20))</f>
        <v>24.984144000000001</v>
      </c>
      <c r="U20" s="93">
        <f>Sheet1!BV18</f>
        <v>22</v>
      </c>
      <c r="V20" s="93">
        <f t="shared" si="14"/>
        <v>2.9841440000000006</v>
      </c>
      <c r="W20" s="93">
        <f>0</f>
        <v>0</v>
      </c>
      <c r="X20" s="89">
        <f>0</f>
        <v>0</v>
      </c>
      <c r="Y20" s="94">
        <f ca="1">Calculation!EJ21+Calculation!ES20+'Calculations II'!O20-'Calculations II'!W20</f>
        <v>45.013477941823908</v>
      </c>
      <c r="Z20" s="94">
        <f ca="1">Y20-Sheet1!CT19</f>
        <v>28.881477941823906</v>
      </c>
      <c r="AA20" s="94">
        <f ca="1">Y20+Calculation!DJ21+Calculation!AS21</f>
        <v>55.244480981337588</v>
      </c>
      <c r="AC20" s="94">
        <f>Sheet1!AA18+Sheet1!AB18+BC20</f>
        <v>61.64</v>
      </c>
      <c r="AD20" s="94">
        <f>Sheet1!AA18+Sheet1!BN18+'Calculations II'!BC20-Calculation!AS20-Calculation!DJ20</f>
        <v>41.525665137614681</v>
      </c>
      <c r="AE20" s="94">
        <f>Sheet1!AA18+Sheet1!AB18+'Calculations II'!BC20-Calculation!AS20-Calculation!DJ20</f>
        <v>51.625665137614675</v>
      </c>
      <c r="AF20" s="94">
        <f ca="1">Sheet1!AA18+Sheet1!BN18+P20+'Calculations II'!BC20+Calculation!AS20+Calculation!DJ20</f>
        <v>58.832210162222211</v>
      </c>
      <c r="AG20" s="94">
        <f ca="1">IF(B20=TODAY(),0,Sheet1!AA18+Sheet1!BN18+'Calculations II'!BC20+'Calculations II'!P20-Sheet1!CT18-BP20)</f>
        <v>32.314875299836885</v>
      </c>
      <c r="AH20" s="94">
        <f ca="1">IF(B20=TODAY(),0,Sheet1!AA18+Sheet1!BN18+'Calculations II'!BC20+'Calculations II'!P20-BP20)</f>
        <v>48.817875299836885</v>
      </c>
      <c r="AI20" s="94">
        <f ca="1">IF(B20=TODAY(),0,BC20+Sheet1!AA18+Calculation!ES20+O20+W20+Sheet1!BN18+Calculation!AS20+Calculation!DJ20-BP20)</f>
        <v>58.832210162222211</v>
      </c>
      <c r="AJ20" s="94"/>
      <c r="AM20" s="90">
        <f t="shared" si="15"/>
        <v>42744</v>
      </c>
      <c r="AN20" s="94">
        <f>Sheet1!BU18</f>
        <v>24.2</v>
      </c>
      <c r="AO20" s="94">
        <f>Sheet1!AA18</f>
        <v>26.64</v>
      </c>
      <c r="AP20" s="94">
        <f t="shared" si="1"/>
        <v>5.8170000000000037</v>
      </c>
      <c r="AQ20" s="1087">
        <f>((Sheet1!BV18-(Sheet1!BU18-AP20))/(Sheet1!BU18-AP20))</f>
        <v>0.19675787412283116</v>
      </c>
      <c r="AR20" s="94">
        <f t="shared" si="2"/>
        <v>20.822999999999997</v>
      </c>
      <c r="AS20" s="94">
        <f t="shared" si="3"/>
        <v>18.382999999999996</v>
      </c>
      <c r="AT20" s="89">
        <f>Sheet1!BB18</f>
        <v>0</v>
      </c>
      <c r="AU20" s="89">
        <f>Sheet1!AS18*GPMtoMGD</f>
        <v>3.1968000000000003E-2</v>
      </c>
      <c r="AV20" s="94">
        <f>Sheet1!AT18</f>
        <v>0</v>
      </c>
      <c r="AW20" s="89">
        <f>Sheet1!AV18*GPMtoMGD</f>
        <v>0.74131199999999997</v>
      </c>
      <c r="AX20" s="89">
        <f>Sheet1!AW18*GPMtoMGD</f>
        <v>0.88257600000000003</v>
      </c>
      <c r="AY20" s="89">
        <f>Sheet1!AX18*GPMtoMGD</f>
        <v>0</v>
      </c>
      <c r="AZ20" s="89">
        <f>Sheet1!AY18*GPMtoMGD</f>
        <v>0</v>
      </c>
      <c r="BA20" s="89">
        <f>Sheet1!AZ18*GPMtoMGD</f>
        <v>0</v>
      </c>
      <c r="BB20" s="89">
        <f>Sheet1!BP18*GPMtoMGD</f>
        <v>2.3040000000000001E-3</v>
      </c>
      <c r="BC20" s="89">
        <f>Sheet1!CS18*GPMtoMGD</f>
        <v>0</v>
      </c>
      <c r="BD20" s="89">
        <f>Sheet1!BO18*GPMtoMGD</f>
        <v>1.3055040000000002</v>
      </c>
      <c r="BE20" s="89">
        <f>Sheet1!BW18*GPMtoMGD</f>
        <v>0.81662400000000013</v>
      </c>
      <c r="BF20" s="89">
        <f>Sheet1!CN18*GPMtoMGD</f>
        <v>0.16041600000000003</v>
      </c>
      <c r="BG20" s="89">
        <f>Sheet1!CO18*GPMtoMGD</f>
        <v>0.62726400000000004</v>
      </c>
      <c r="BH20" s="89">
        <f>Sheet1!CP18*GPMtoMGD</f>
        <v>0.51969600000000005</v>
      </c>
      <c r="BI20" s="89">
        <f t="shared" si="16"/>
        <v>1.3078080000000003</v>
      </c>
      <c r="BK20" s="94">
        <f>SUM(AT20:BA20,AS20,BC20,Calculation!AQ20)</f>
        <v>45.024521137614677</v>
      </c>
      <c r="BM20" s="358">
        <f>0</f>
        <v>0</v>
      </c>
      <c r="BN20" s="358">
        <f>0</f>
        <v>0</v>
      </c>
      <c r="BP20" s="94">
        <f>SUM(BM20:BN20,W20,Sheet1!DX18)</f>
        <v>0</v>
      </c>
      <c r="BR20" s="94">
        <f>Sheet1!AA18</f>
        <v>26.64</v>
      </c>
      <c r="BS20" s="94">
        <f>Sheet1!AB18</f>
        <v>35</v>
      </c>
      <c r="BT20" s="94">
        <f t="shared" ca="1" si="7"/>
        <v>-2.7221247001631177</v>
      </c>
      <c r="BU20" s="94">
        <f>Sheet1!AT18</f>
        <v>0</v>
      </c>
      <c r="BV20" s="89">
        <f>Sheet1!BB18</f>
        <v>0</v>
      </c>
      <c r="BW20" s="94">
        <f>Calculation!ED20</f>
        <v>10.014334862385322</v>
      </c>
      <c r="BX20" s="94">
        <f>(Sheet1!CS18*1440)/1000000</f>
        <v>0</v>
      </c>
      <c r="CA20" s="94">
        <f ca="1">Sheet1!AC18-Sheet1!BK18-Sheet1!BL18-Sheet1!BM18-Sheet1!BC18-Sheet1!BD18-Sheet1!BE18-Sheet1!BF18-Sheet1!BG18-Sheet1!BH18-Sheet1!BI18+BC20+P20</f>
        <v>48.93787529983689</v>
      </c>
      <c r="CB20" s="93">
        <f t="shared" si="8"/>
        <v>79.864903967889902</v>
      </c>
      <c r="CC20" s="94">
        <f t="shared" si="9"/>
        <v>0</v>
      </c>
      <c r="CD20" s="94">
        <f t="shared" ca="1" si="10"/>
        <v>58.952210162222215</v>
      </c>
      <c r="CE20" s="1077">
        <f t="shared" ca="1" si="11"/>
        <v>91.199069120957759</v>
      </c>
      <c r="CG20" s="1077">
        <f t="shared" ca="1" si="12"/>
        <v>48.93787529983689</v>
      </c>
    </row>
    <row r="21" spans="1:85" s="89" customFormat="1" x14ac:dyDescent="0.25">
      <c r="A21" s="616" t="s">
        <v>5</v>
      </c>
      <c r="B21" s="91">
        <v>42745</v>
      </c>
      <c r="C21" s="92">
        <v>0</v>
      </c>
      <c r="D21" s="94">
        <f>(Sheet1!BQ19-Sheet1!BQ18)*1.385</f>
        <v>0.6925</v>
      </c>
      <c r="E21" s="30">
        <f>(Sheet1!BR19-Sheet1!BR18)*1.385</f>
        <v>0.55399999999999805</v>
      </c>
      <c r="F21" s="30">
        <f ca="1">IF(B21=TODAY(),0,-(VLOOKUP(Sheet1!CD19,Lookup!$I$4:$J$216,2)-VLOOKUP(Sheet1!CD18,Lookup!$I$4:$J$216,2))/1000000)</f>
        <v>-0.93273244693019985</v>
      </c>
      <c r="G21" s="94">
        <f ca="1">IF(B21=TODAY(),0,-$G$6*(Sheet1!CF19-Sheet1!CF18)*7.48/1000000)</f>
        <v>0.35742150947303314</v>
      </c>
      <c r="H21" s="94">
        <f ca="1">IF(B21=TODAY(),0,-$H$6*(Sheet1!CE19-Sheet1!CE18)*7.48/1000000)</f>
        <v>-1.5039432351265274E-2</v>
      </c>
      <c r="I21" s="94">
        <f ca="1">IF(B21=TODAY(),0,-$I$6*(Sheet1!CG19-Sheet1!CG18)*7.48/1000000)</f>
        <v>4.4924880000000007E-2</v>
      </c>
      <c r="J21" s="95" t="s">
        <v>177</v>
      </c>
      <c r="K21" s="94">
        <f ca="1">IF(B21=TODAY(),0,-$K$6*(Sheet1!CH19-Sheet1!CH18)*7.48/1000000)</f>
        <v>7.3296524119042847E-2</v>
      </c>
      <c r="L21" s="95" t="s">
        <v>177</v>
      </c>
      <c r="M21" s="94">
        <f ca="1">IF(B21=TODAY(),0,-$M$6*(Sheet1!CI19-Sheet1!CI18)*7.48/1000000)</f>
        <v>0.21589810113632477</v>
      </c>
      <c r="N21" s="94">
        <f ca="1">IF(B21=TODAY(),0,-$N$6*(Sheet1!CJ19-Sheet1!CJ18)*7.48/1000000)</f>
        <v>-0.62052345394623898</v>
      </c>
      <c r="O21" s="94">
        <f t="shared" ca="1" si="13"/>
        <v>-0.8767543184993033</v>
      </c>
      <c r="P21" s="94">
        <f ca="1">O21+Calculation!ES21</f>
        <v>-2.1230211803076071</v>
      </c>
      <c r="Q21" s="89" t="str">
        <f>IF(Sheet1!BQ19&gt;25.75,"spill elevation","-")</f>
        <v>-</v>
      </c>
      <c r="R21" s="89" t="str">
        <f>IF(Sheet1!BQ19&gt;25.75,"spill elevation","-")</f>
        <v>-</v>
      </c>
      <c r="S21" s="89" t="str">
        <f>IF(Sheet1!BR19&gt;25.75,"spill elevation","-")</f>
        <v>-</v>
      </c>
      <c r="T21" s="93">
        <f>IF(Sheet1!DU19=1,Sheet1!AA19-(SUM(AT21:BA21)+BE21),Sheet1!AA19-SUM(AT21:BA21))</f>
        <v>25.516639999999999</v>
      </c>
      <c r="U21" s="93">
        <f>Sheet1!BV19</f>
        <v>27.6</v>
      </c>
      <c r="V21" s="93">
        <f t="shared" si="14"/>
        <v>-2.0833600000000025</v>
      </c>
      <c r="W21" s="93">
        <f>0</f>
        <v>0</v>
      </c>
      <c r="X21" s="89">
        <f>0</f>
        <v>0</v>
      </c>
      <c r="Y21" s="94">
        <f ca="1">Calculation!EJ22+Calculation!ES21+'Calculations II'!O21-'Calculations II'!W21</f>
        <v>42.086385403747819</v>
      </c>
      <c r="Z21" s="94">
        <f ca="1">Y21-Sheet1!CT20</f>
        <v>27.331385403747817</v>
      </c>
      <c r="AA21" s="94">
        <f ca="1">Y21+Calculation!DJ22+Calculation!AS22</f>
        <v>51.879544487323166</v>
      </c>
      <c r="AC21" s="94">
        <f>Sheet1!AA19+Sheet1!AB19+BC21</f>
        <v>59.66</v>
      </c>
      <c r="AD21" s="94">
        <f>Sheet1!AA19+Sheet1!BN19+'Calculations II'!BC21-Calculation!AS21-Calculation!DJ21</f>
        <v>39.128996960486319</v>
      </c>
      <c r="AE21" s="94">
        <f>Sheet1!AA19+Sheet1!AB19+'Calculations II'!BC21-Calculation!AS21-Calculation!DJ21</f>
        <v>49.428996960486316</v>
      </c>
      <c r="AF21" s="94">
        <f ca="1">Sheet1!AA19+Sheet1!BN19+P21+'Calculations II'!BC21+Calculation!AS21+Calculation!DJ21</f>
        <v>57.467981859206063</v>
      </c>
      <c r="AG21" s="94">
        <f ca="1">IF(B21=TODAY(),0,Sheet1!AA19+Sheet1!BN19+'Calculations II'!BC21+'Calculations II'!P21-Sheet1!CT19-BP21)</f>
        <v>31.104978819692388</v>
      </c>
      <c r="AH21" s="94">
        <f ca="1">IF(B21=TODAY(),0,Sheet1!AA19+Sheet1!BN19+'Calculations II'!BC21+'Calculations II'!P21-BP21)</f>
        <v>47.236978819692389</v>
      </c>
      <c r="AI21" s="94">
        <f ca="1">IF(B21=TODAY(),0,BC21+Sheet1!AA19+Calculation!ES21+O21+W21+Sheet1!BN19+Calculation!AS21+Calculation!DJ21-BP21)</f>
        <v>57.467981859206077</v>
      </c>
      <c r="AJ21" s="94"/>
      <c r="AM21" s="90">
        <f t="shared" si="15"/>
        <v>42745</v>
      </c>
      <c r="AN21" s="94">
        <f>Sheet1!BU19</f>
        <v>24.7</v>
      </c>
      <c r="AO21" s="94">
        <f>Sheet1!AA19</f>
        <v>26.66</v>
      </c>
      <c r="AP21" s="94">
        <f t="shared" si="1"/>
        <v>1.2464999999999979</v>
      </c>
      <c r="AQ21" s="1087">
        <f>((Sheet1!BV19-(Sheet1!BU19-AP21))/(Sheet1!BU19-AP21))</f>
        <v>0.17679664016031718</v>
      </c>
      <c r="AR21" s="94">
        <f t="shared" si="2"/>
        <v>25.413500000000003</v>
      </c>
      <c r="AS21" s="94">
        <f t="shared" si="3"/>
        <v>23.453500000000002</v>
      </c>
      <c r="AT21" s="89">
        <f>Sheet1!BB19</f>
        <v>0</v>
      </c>
      <c r="AU21" s="89">
        <f>Sheet1!AS19*GPMtoMGD</f>
        <v>1.5552000000000002E-2</v>
      </c>
      <c r="AV21" s="94">
        <f>Sheet1!AT19</f>
        <v>0</v>
      </c>
      <c r="AW21" s="89">
        <f>Sheet1!AV19*GPMtoMGD</f>
        <v>0.63475200000000009</v>
      </c>
      <c r="AX21" s="89">
        <f>Sheet1!AW19*GPMtoMGD</f>
        <v>0.49305599999999999</v>
      </c>
      <c r="AY21" s="89">
        <f>Sheet1!AX19*GPMtoMGD</f>
        <v>0</v>
      </c>
      <c r="AZ21" s="89">
        <f>Sheet1!AY19*GPMtoMGD</f>
        <v>0</v>
      </c>
      <c r="BA21" s="89">
        <f>Sheet1!AZ19*GPMtoMGD</f>
        <v>0</v>
      </c>
      <c r="BB21" s="89">
        <f>Sheet1!BP19*GPMtoMGD</f>
        <v>8.352E-3</v>
      </c>
      <c r="BC21" s="89">
        <f>Sheet1!CS19*GPMtoMGD</f>
        <v>0</v>
      </c>
      <c r="BD21" s="89">
        <f>Sheet1!BO19*GPMtoMGD</f>
        <v>1.2983040000000001</v>
      </c>
      <c r="BE21" s="89">
        <f>Sheet1!BW19*GPMtoMGD</f>
        <v>0.7326720000000001</v>
      </c>
      <c r="BF21" s="89">
        <f>Sheet1!CN19*GPMtoMGD</f>
        <v>0.18460799999999999</v>
      </c>
      <c r="BG21" s="89">
        <f>Sheet1!CO19*GPMtoMGD</f>
        <v>0.58579200000000009</v>
      </c>
      <c r="BH21" s="89">
        <f>Sheet1!CP19*GPMtoMGD</f>
        <v>0.51566400000000001</v>
      </c>
      <c r="BI21" s="89">
        <f t="shared" si="16"/>
        <v>1.306656</v>
      </c>
      <c r="BK21" s="94">
        <f>SUM(AT21:BA21,AS21,BC21,Calculation!AQ21)</f>
        <v>47.365856960486326</v>
      </c>
      <c r="BM21" s="358">
        <f>0</f>
        <v>0</v>
      </c>
      <c r="BN21" s="358">
        <f>0</f>
        <v>0</v>
      </c>
      <c r="BP21" s="94">
        <f>SUM(BM21:BN21,W21,Sheet1!DX19)</f>
        <v>0</v>
      </c>
      <c r="BR21" s="94">
        <f>Sheet1!AA19</f>
        <v>26.66</v>
      </c>
      <c r="BS21" s="94">
        <f>Sheet1!AB19</f>
        <v>33</v>
      </c>
      <c r="BT21" s="94">
        <f t="shared" ca="1" si="7"/>
        <v>-2.1230211803076071</v>
      </c>
      <c r="BU21" s="94">
        <f>Sheet1!AT19</f>
        <v>0</v>
      </c>
      <c r="BV21" s="89">
        <f>Sheet1!BB19</f>
        <v>0</v>
      </c>
      <c r="BW21" s="94">
        <f>Calculation!ED21</f>
        <v>10.231003039513677</v>
      </c>
      <c r="BX21" s="94">
        <f>(Sheet1!CS19*1440)/1000000</f>
        <v>0</v>
      </c>
      <c r="CA21" s="94">
        <f ca="1">Sheet1!AC19-Sheet1!BK19-Sheet1!BL19-Sheet1!BM19-Sheet1!BC19-Sheet1!BD19-Sheet1!BE19-Sheet1!BF19-Sheet1!BG19-Sheet1!BH19-Sheet1!BI19+BC21+P21</f>
        <v>47.336978819692391</v>
      </c>
      <c r="CB21" s="93">
        <f t="shared" si="8"/>
        <v>76.466658297872328</v>
      </c>
      <c r="CC21" s="94">
        <f t="shared" si="9"/>
        <v>0</v>
      </c>
      <c r="CD21" s="94">
        <f t="shared" ca="1" si="10"/>
        <v>57.567981859206071</v>
      </c>
      <c r="CE21" s="1077">
        <f t="shared" ca="1" si="11"/>
        <v>89.057667936191791</v>
      </c>
      <c r="CG21" s="1077">
        <f t="shared" ca="1" si="12"/>
        <v>47.336978819692391</v>
      </c>
    </row>
    <row r="22" spans="1:85" s="89" customFormat="1" x14ac:dyDescent="0.25">
      <c r="A22" s="616" t="s">
        <v>6</v>
      </c>
      <c r="B22" s="91">
        <v>42746</v>
      </c>
      <c r="C22" s="92">
        <v>0</v>
      </c>
      <c r="D22" s="94">
        <f>(Sheet1!BQ20-Sheet1!BQ19)*1.385</f>
        <v>-0.13850000000000198</v>
      </c>
      <c r="E22" s="30">
        <f>(Sheet1!BR20-Sheet1!BR19)*1.385</f>
        <v>-0.13849999999999704</v>
      </c>
      <c r="F22" s="30">
        <f ca="1">IF(B22=TODAY(),0,-(VLOOKUP(Sheet1!CD20,Lookup!$I$4:$J$216,2)-VLOOKUP(Sheet1!CD19,Lookup!$I$4:$J$216,2))/1000000)</f>
        <v>-1.0363693854780012</v>
      </c>
      <c r="G22" s="94">
        <f ca="1">IF(B22=TODAY(),0,-$G$6*(Sheet1!CF20-Sheet1!CF19)*7.48/1000000)</f>
        <v>-1.2311185326293381</v>
      </c>
      <c r="H22" s="94">
        <f ca="1">IF(B22=TODAY(),0,-$H$6*(Sheet1!CE20-Sheet1!CE19)*7.48/1000000)</f>
        <v>-3.0078864702530014E-2</v>
      </c>
      <c r="I22" s="94">
        <f ca="1">IF(B22=TODAY(),0,-$I$6*(Sheet1!CG20-Sheet1!CG19)*7.48/1000000)</f>
        <v>2.2462440000000004E-2</v>
      </c>
      <c r="J22" s="95" t="s">
        <v>177</v>
      </c>
      <c r="K22" s="94">
        <f ca="1">IF(B22=TODAY(),0,-$K$6*(Sheet1!CH20-Sheet1!CH19)*7.48/1000000)</f>
        <v>3.9979922246750635E-2</v>
      </c>
      <c r="L22" s="95" t="s">
        <v>177</v>
      </c>
      <c r="M22" s="94">
        <f ca="1">IF(B22=TODAY(),0,-$M$6*(Sheet1!CI20-Sheet1!CI19)*7.48/1000000)</f>
        <v>8.9957542140135238E-2</v>
      </c>
      <c r="N22" s="94">
        <f ca="1">IF(B22=TODAY(),0,-$N$6*(Sheet1!CJ20-Sheet1!CJ19)*7.48/1000000)</f>
        <v>-0.62052345394623898</v>
      </c>
      <c r="O22" s="94">
        <f t="shared" ca="1" si="13"/>
        <v>-2.7656903323692226</v>
      </c>
      <c r="P22" s="94">
        <f ca="1">O22+Calculation!ES22</f>
        <v>-2.4887143725759864</v>
      </c>
      <c r="Q22" s="89" t="str">
        <f>IF(Sheet1!BQ20&gt;25.75,"spill elevation","-")</f>
        <v>-</v>
      </c>
      <c r="R22" s="89" t="str">
        <f>IF(Sheet1!BQ20&gt;25.75,"spill elevation","-")</f>
        <v>-</v>
      </c>
      <c r="S22" s="89" t="str">
        <f>IF(Sheet1!BR20&gt;25.75,"spill elevation","-")</f>
        <v>-</v>
      </c>
      <c r="T22" s="93">
        <f>IF(Sheet1!DU20=1,Sheet1!AA20-(SUM(AT22:BA22)+BE22),Sheet1!AA20-SUM(AT22:BA22))</f>
        <v>25.631744000000001</v>
      </c>
      <c r="U22" s="93">
        <f>Sheet1!BV20</f>
        <v>29.2</v>
      </c>
      <c r="V22" s="93">
        <f t="shared" si="14"/>
        <v>-3.5682559999999981</v>
      </c>
      <c r="W22" s="93">
        <f>0</f>
        <v>0</v>
      </c>
      <c r="X22" s="89">
        <f>0</f>
        <v>0</v>
      </c>
      <c r="Y22" s="94">
        <f ca="1">Calculation!EJ23+Calculation!ES22+'Calculations II'!O22-'Calculations II'!W22</f>
        <v>45.69430354276507</v>
      </c>
      <c r="Z22" s="94">
        <f ca="1">Y22-Sheet1!CT21</f>
        <v>30.88630354276507</v>
      </c>
      <c r="AA22" s="94">
        <f ca="1">Y22+Calculation!DJ23+Calculation!AS23</f>
        <v>55.616504314965837</v>
      </c>
      <c r="AC22" s="94">
        <f>Sheet1!AA20+Sheet1!AB20+BC22</f>
        <v>57.6</v>
      </c>
      <c r="AD22" s="94">
        <f>Sheet1!AA20+Sheet1!BN20+'Calculations II'!BC22-Calculation!AS22-Calculation!DJ22</f>
        <v>38.00684091642465</v>
      </c>
      <c r="AE22" s="94">
        <f>Sheet1!AA20+Sheet1!AB20+'Calculations II'!BC22-Calculation!AS22-Calculation!DJ22</f>
        <v>47.806840916424655</v>
      </c>
      <c r="AF22" s="94">
        <f ca="1">Sheet1!AA20+Sheet1!BN20+P22+'Calculations II'!BC22+Calculation!AS22+Calculation!DJ22</f>
        <v>55.10444471099936</v>
      </c>
      <c r="AG22" s="94">
        <f ca="1">IF(B22=TODAY(),0,Sheet1!AA20+Sheet1!BN20+'Calculations II'!BC22+'Calculations II'!P22-Sheet1!CT20-BP22)</f>
        <v>30.55628562742401</v>
      </c>
      <c r="AH22" s="94">
        <f ca="1">IF(B22=TODAY(),0,Sheet1!AA20+Sheet1!BN20+'Calculations II'!BC22+'Calculations II'!P22-BP22)</f>
        <v>45.311285627424013</v>
      </c>
      <c r="AI22" s="94">
        <f ca="1">IF(B22=TODAY(),0,BC22+Sheet1!AA20+Calculation!ES22+O22+W22+Sheet1!BN20+Calculation!AS22+Calculation!DJ22-BP22)</f>
        <v>55.10444471099936</v>
      </c>
      <c r="AJ22" s="94"/>
      <c r="AM22" s="90">
        <f t="shared" si="15"/>
        <v>42746</v>
      </c>
      <c r="AN22" s="94">
        <f>Sheet1!BU20</f>
        <v>24.8</v>
      </c>
      <c r="AO22" s="94">
        <f>Sheet1!AA20</f>
        <v>26.6</v>
      </c>
      <c r="AP22" s="94">
        <f t="shared" si="1"/>
        <v>-0.27699999999999902</v>
      </c>
      <c r="AQ22" s="1087">
        <f>((Sheet1!BV20-(Sheet1!BU20-AP22))/(Sheet1!BU20-AP22))</f>
        <v>0.16441360609323291</v>
      </c>
      <c r="AR22" s="94">
        <f t="shared" si="2"/>
        <v>26.876999999999999</v>
      </c>
      <c r="AS22" s="94">
        <f t="shared" si="3"/>
        <v>25.076999999999998</v>
      </c>
      <c r="AT22" s="89">
        <f>Sheet1!BB20</f>
        <v>0</v>
      </c>
      <c r="AU22" s="89">
        <f>Sheet1!AS20*GPMtoMGD</f>
        <v>3.1104000000000003E-2</v>
      </c>
      <c r="AV22" s="94">
        <f>Sheet1!AT20</f>
        <v>0</v>
      </c>
      <c r="AW22" s="89">
        <f>Sheet1!AV20*GPMtoMGD</f>
        <v>0.439776</v>
      </c>
      <c r="AX22" s="89">
        <f>Sheet1!AW20*GPMtoMGD</f>
        <v>0.49737599999999998</v>
      </c>
      <c r="AY22" s="89">
        <f>Sheet1!AX20*GPMtoMGD</f>
        <v>0</v>
      </c>
      <c r="AZ22" s="89">
        <f>Sheet1!AY20*GPMtoMGD</f>
        <v>0</v>
      </c>
      <c r="BA22" s="89">
        <f>Sheet1!AZ20*GPMtoMGD</f>
        <v>0</v>
      </c>
      <c r="BB22" s="89">
        <f>Sheet1!BP20*GPMtoMGD</f>
        <v>4.4640000000000001E-3</v>
      </c>
      <c r="BC22" s="89">
        <f>Sheet1!CS20*GPMtoMGD</f>
        <v>0</v>
      </c>
      <c r="BD22" s="89">
        <f>Sheet1!BO20*GPMtoMGD</f>
        <v>1.3697280000000001</v>
      </c>
      <c r="BE22" s="89">
        <f>Sheet1!BW20*GPMtoMGD</f>
        <v>0.62020799999999998</v>
      </c>
      <c r="BF22" s="89">
        <f>Sheet1!CN20*GPMtoMGD</f>
        <v>0.22507200000000002</v>
      </c>
      <c r="BG22" s="89">
        <f>Sheet1!CO20*GPMtoMGD</f>
        <v>0.57398400000000005</v>
      </c>
      <c r="BH22" s="89">
        <f>Sheet1!CP20*GPMtoMGD</f>
        <v>0.45936000000000005</v>
      </c>
      <c r="BI22" s="89">
        <f t="shared" si="16"/>
        <v>1.3741920000000001</v>
      </c>
      <c r="BK22" s="94">
        <f>SUM(AT22:BA22,AS22,BC22,Calculation!AQ22)</f>
        <v>47.252096916424648</v>
      </c>
      <c r="BM22" s="358">
        <f>0</f>
        <v>0</v>
      </c>
      <c r="BN22" s="358">
        <f>0</f>
        <v>0</v>
      </c>
      <c r="BP22" s="94">
        <f>SUM(BM22:BN22,W22,Sheet1!DX20)</f>
        <v>0</v>
      </c>
      <c r="BR22" s="94">
        <f>Sheet1!AA20</f>
        <v>26.6</v>
      </c>
      <c r="BS22" s="94">
        <f>Sheet1!AB20</f>
        <v>31</v>
      </c>
      <c r="BT22" s="94">
        <f t="shared" ca="1" si="7"/>
        <v>-2.4887143725759864</v>
      </c>
      <c r="BU22" s="94">
        <f>Sheet1!AT20</f>
        <v>0</v>
      </c>
      <c r="BV22" s="89">
        <f>Sheet1!BB20</f>
        <v>0</v>
      </c>
      <c r="BW22" s="94">
        <f>Calculation!ED22</f>
        <v>9.7931590835753468</v>
      </c>
      <c r="BX22" s="94">
        <f>(Sheet1!CS20*1440)/1000000</f>
        <v>0</v>
      </c>
      <c r="CA22" s="94">
        <f ca="1">Sheet1!AC20-Sheet1!BK20-Sheet1!BL20-Sheet1!BM20-Sheet1!BC20-Sheet1!BD20-Sheet1!BE20-Sheet1!BF20-Sheet1!BG20-Sheet1!BH20-Sheet1!BI20+BC22+P22</f>
        <v>45.321285627424018</v>
      </c>
      <c r="CB22" s="93">
        <f t="shared" si="8"/>
        <v>73.957182897708933</v>
      </c>
      <c r="CC22" s="94">
        <f t="shared" si="9"/>
        <v>0</v>
      </c>
      <c r="CD22" s="94">
        <f t="shared" ca="1" si="10"/>
        <v>55.114444710999365</v>
      </c>
      <c r="CE22" s="1077">
        <f t="shared" ca="1" si="11"/>
        <v>85.262045967916009</v>
      </c>
      <c r="CG22" s="1077">
        <f t="shared" ca="1" si="12"/>
        <v>45.321285627424018</v>
      </c>
    </row>
    <row r="23" spans="1:85" s="89" customFormat="1" x14ac:dyDescent="0.25">
      <c r="A23" s="616" t="s">
        <v>7</v>
      </c>
      <c r="B23" s="91">
        <v>42747</v>
      </c>
      <c r="C23" s="92">
        <v>0</v>
      </c>
      <c r="D23" s="94">
        <f>(Sheet1!BQ21-Sheet1!BQ20)*1.385</f>
        <v>1.8005000000000011</v>
      </c>
      <c r="E23" s="30">
        <f>(Sheet1!BR21-Sheet1!BR20)*1.385</f>
        <v>1.800499999999996</v>
      </c>
      <c r="F23" s="30">
        <f ca="1">IF(B23=TODAY(),0,-(VLOOKUP(Sheet1!CD21,Lookup!$I$4:$J$216,2)-VLOOKUP(Sheet1!CD20,Lookup!$I$4:$J$216,2))/1000000)</f>
        <v>0.41454775419120493</v>
      </c>
      <c r="G23" s="94">
        <f ca="1">IF(B23=TODAY(),0,-$G$6*(Sheet1!CF21-Sheet1!CF20)*7.48/1000000)</f>
        <v>0.3574215094730338</v>
      </c>
      <c r="H23" s="94">
        <f ca="1">IF(B23=TODAY(),0,-$H$6*(Sheet1!CE21-Sheet1!CE20)*7.48/1000000)</f>
        <v>3.0078864702530014E-2</v>
      </c>
      <c r="I23" s="94">
        <f ca="1">IF(B23=TODAY(),0,-$I$6*(Sheet1!CG21-Sheet1!CG20)*7.48/1000000)</f>
        <v>-3.1447416000000006E-2</v>
      </c>
      <c r="J23" s="95" t="s">
        <v>177</v>
      </c>
      <c r="K23" s="94">
        <f ca="1">IF(B23=TODAY(),0,-$K$6*(Sheet1!CH21-Sheet1!CH20)*7.48/1000000)</f>
        <v>-3.9979922246750635E-2</v>
      </c>
      <c r="L23" s="95" t="s">
        <v>177</v>
      </c>
      <c r="M23" s="94">
        <f ca="1">IF(B23=TODAY(),0,-$M$6*(Sheet1!CI21-Sheet1!CI20)*7.48/1000000)</f>
        <v>-0.19790659270829747</v>
      </c>
      <c r="N23" s="94">
        <f ca="1">IF(B23=TODAY(),0,-$N$6*(Sheet1!CJ21-Sheet1!CJ20)*7.48/1000000)</f>
        <v>0.80668049013011112</v>
      </c>
      <c r="O23" s="94">
        <f t="shared" ca="1" si="13"/>
        <v>1.3393946875418319</v>
      </c>
      <c r="P23" s="94">
        <f ca="1">O23+Calculation!ES23</f>
        <v>-2.26229258649674</v>
      </c>
      <c r="Q23" s="89" t="str">
        <f>IF(Sheet1!BQ21&gt;25.75,"spill elevation","-")</f>
        <v>-</v>
      </c>
      <c r="R23" s="89" t="str">
        <f>IF(Sheet1!BQ21&gt;25.75,"spill elevation","-")</f>
        <v>-</v>
      </c>
      <c r="S23" s="89" t="str">
        <f>IF(Sheet1!BR21&gt;25.75,"spill elevation","-")</f>
        <v>-</v>
      </c>
      <c r="T23" s="93">
        <f>IF(Sheet1!DU21=1,Sheet1!AA21-(SUM(AT23:BA23)+BE23),Sheet1!AA21-SUM(AT23:BA23))</f>
        <v>25.334175999999999</v>
      </c>
      <c r="U23" s="93">
        <f>Sheet1!BV21</f>
        <v>24.9</v>
      </c>
      <c r="V23" s="93">
        <f t="shared" si="14"/>
        <v>0.43417600000000078</v>
      </c>
      <c r="W23" s="93">
        <f>0</f>
        <v>0</v>
      </c>
      <c r="X23" s="89">
        <f>0</f>
        <v>0</v>
      </c>
      <c r="Y23" s="94">
        <f ca="1">Calculation!EJ24+Calculation!ES23+'Calculations II'!O23-'Calculations II'!W23</f>
        <v>43.504184079337598</v>
      </c>
      <c r="Z23" s="94">
        <f ca="1">Y23-Sheet1!CT22</f>
        <v>27.9331840793376</v>
      </c>
      <c r="AA23" s="94">
        <f ca="1">Y23+Calculation!DJ24+Calculation!AS24</f>
        <v>53.76320047278022</v>
      </c>
      <c r="AC23" s="94">
        <f>Sheet1!AA21+Sheet1!AB21+BC23</f>
        <v>57.4</v>
      </c>
      <c r="AD23" s="94">
        <f>Sheet1!AA21+Sheet1!BN21+'Calculations II'!BC23-Calculation!AS23-Calculation!DJ23</f>
        <v>37.677799227799227</v>
      </c>
      <c r="AE23" s="94">
        <f>Sheet1!AA21+Sheet1!AB21+'Calculations II'!BC23-Calculation!AS23-Calculation!DJ23</f>
        <v>47.477799227799224</v>
      </c>
      <c r="AF23" s="94">
        <f ca="1">Sheet1!AA21+Sheet1!BN21+P23+'Calculations II'!BC23+Calculation!AS23+Calculation!DJ23</f>
        <v>55.259908185704035</v>
      </c>
      <c r="AG23" s="94">
        <f ca="1">IF(B23=TODAY(),0,Sheet1!AA21+Sheet1!BN21+'Calculations II'!BC23+'Calculations II'!P23-Sheet1!CT21-BP23)</f>
        <v>30.52970741350326</v>
      </c>
      <c r="AH23" s="94">
        <f ca="1">IF(B23=TODAY(),0,Sheet1!AA21+Sheet1!BN21+'Calculations II'!BC23+'Calculations II'!P23-BP23)</f>
        <v>45.33770741350326</v>
      </c>
      <c r="AI23" s="94">
        <f ca="1">IF(B23=TODAY(),0,BC23+Sheet1!AA21+Calculation!ES23+O23+W23+Sheet1!BN21+Calculation!AS23+Calculation!DJ23-BP23)</f>
        <v>55.259908185704035</v>
      </c>
      <c r="AJ23" s="94"/>
      <c r="AM23" s="90">
        <f t="shared" si="15"/>
        <v>42747</v>
      </c>
      <c r="AN23" s="94">
        <f>Sheet1!BU21</f>
        <v>24.7</v>
      </c>
      <c r="AO23" s="94">
        <f>Sheet1!AA21</f>
        <v>26.5</v>
      </c>
      <c r="AP23" s="94">
        <f t="shared" si="1"/>
        <v>3.6009999999999973</v>
      </c>
      <c r="AQ23" s="1087">
        <f>((Sheet1!BV21-(Sheet1!BU21-AP23))/(Sheet1!BU21-AP23))</f>
        <v>0.18015071804350891</v>
      </c>
      <c r="AR23" s="94">
        <f t="shared" si="2"/>
        <v>22.899000000000001</v>
      </c>
      <c r="AS23" s="94">
        <f t="shared" si="3"/>
        <v>21.099000000000004</v>
      </c>
      <c r="AT23" s="89">
        <f>Sheet1!BB21</f>
        <v>0</v>
      </c>
      <c r="AU23" s="89">
        <f>Sheet1!AS21*GPMtoMGD</f>
        <v>2.4624000000000004E-2</v>
      </c>
      <c r="AV23" s="94">
        <f>Sheet1!AT21</f>
        <v>0</v>
      </c>
      <c r="AW23" s="89">
        <f>Sheet1!AV21*GPMtoMGD</f>
        <v>0.48211200000000004</v>
      </c>
      <c r="AX23" s="89">
        <f>Sheet1!AW21*GPMtoMGD</f>
        <v>0.65908800000000001</v>
      </c>
      <c r="AY23" s="89">
        <f>Sheet1!AX21*GPMtoMGD</f>
        <v>0</v>
      </c>
      <c r="AZ23" s="89">
        <f>Sheet1!AY21*GPMtoMGD</f>
        <v>0</v>
      </c>
      <c r="BA23" s="89">
        <f>Sheet1!AZ21*GPMtoMGD</f>
        <v>0</v>
      </c>
      <c r="BB23" s="89">
        <f>Sheet1!BP21*GPMtoMGD</f>
        <v>1.5984000000000002E-2</v>
      </c>
      <c r="BC23" s="89">
        <f>Sheet1!CS21*GPMtoMGD</f>
        <v>0</v>
      </c>
      <c r="BD23" s="89">
        <f>Sheet1!BO21*GPMtoMGD</f>
        <v>1.6879680000000001</v>
      </c>
      <c r="BE23" s="89">
        <f>Sheet1!BW21*GPMtoMGD</f>
        <v>0.75859199999999993</v>
      </c>
      <c r="BF23" s="89">
        <f>Sheet1!CN21*GPMtoMGD</f>
        <v>0.221328</v>
      </c>
      <c r="BG23" s="89">
        <f>Sheet1!CO21*GPMtoMGD</f>
        <v>0.56937599999999999</v>
      </c>
      <c r="BH23" s="89">
        <f>Sheet1!CP21*GPMtoMGD</f>
        <v>0.50630400000000009</v>
      </c>
      <c r="BI23" s="89">
        <f t="shared" si="16"/>
        <v>1.7039520000000001</v>
      </c>
      <c r="BK23" s="94">
        <f>SUM(AT23:BA23,AS23,BC23,Calculation!AQ23)</f>
        <v>43.242623227799228</v>
      </c>
      <c r="BM23" s="358">
        <f>0</f>
        <v>0</v>
      </c>
      <c r="BN23" s="358">
        <f>0</f>
        <v>0</v>
      </c>
      <c r="BP23" s="94">
        <f>SUM(BM23:BN23,W23,Sheet1!DX21)</f>
        <v>0</v>
      </c>
      <c r="BR23" s="94">
        <f>Sheet1!AA21</f>
        <v>26.5</v>
      </c>
      <c r="BS23" s="94">
        <f>Sheet1!AB21</f>
        <v>30.9</v>
      </c>
      <c r="BT23" s="94">
        <f t="shared" ca="1" si="7"/>
        <v>-2.26229258649674</v>
      </c>
      <c r="BU23" s="94">
        <f>Sheet1!AT21</f>
        <v>0</v>
      </c>
      <c r="BV23" s="89">
        <f>Sheet1!BB21</f>
        <v>0</v>
      </c>
      <c r="BW23" s="94">
        <f>Calculation!ED23</f>
        <v>9.922200772200771</v>
      </c>
      <c r="BX23" s="94">
        <f>(Sheet1!CS21*1440)/1000000</f>
        <v>0</v>
      </c>
      <c r="CA23" s="94">
        <f ca="1">Sheet1!AC21-Sheet1!BK21-Sheet1!BL21-Sheet1!BM21-Sheet1!BC21-Sheet1!BD21-Sheet1!BE21-Sheet1!BF21-Sheet1!BG21-Sheet1!BH21-Sheet1!BI21+BC23+P23</f>
        <v>45.157707413503253</v>
      </c>
      <c r="CB23" s="93">
        <f t="shared" si="8"/>
        <v>73.448155405405402</v>
      </c>
      <c r="CC23" s="94">
        <f t="shared" si="9"/>
        <v>0</v>
      </c>
      <c r="CD23" s="94">
        <f t="shared" ca="1" si="10"/>
        <v>55.079908185704028</v>
      </c>
      <c r="CE23" s="1077">
        <f t="shared" ca="1" si="11"/>
        <v>85.208617963284127</v>
      </c>
      <c r="CG23" s="1077">
        <f t="shared" ca="1" si="12"/>
        <v>45.157707413503253</v>
      </c>
    </row>
    <row r="24" spans="1:85" s="89" customFormat="1" x14ac:dyDescent="0.25">
      <c r="A24" s="616" t="s">
        <v>8</v>
      </c>
      <c r="B24" s="91">
        <v>42748</v>
      </c>
      <c r="C24" s="92">
        <v>0</v>
      </c>
      <c r="D24" s="94">
        <f>(Sheet1!BQ22-Sheet1!BQ21)*1.385</f>
        <v>0.13850000000000198</v>
      </c>
      <c r="E24" s="30">
        <f>(Sheet1!BR22-Sheet1!BR21)*1.385</f>
        <v>8.3100000000003144E-2</v>
      </c>
      <c r="F24" s="30">
        <f ca="1">IF(B24=TODAY(),0,-(VLOOKUP(Sheet1!CD22,Lookup!$I$4:$J$216,2)-VLOOKUP(Sheet1!CD21,Lookup!$I$4:$J$216,2))/1000000)</f>
        <v>0.82909550838240054</v>
      </c>
      <c r="G24" s="94">
        <f ca="1">IF(B24=TODAY(),0,-$G$6*(Sheet1!CF22-Sheet1!CF21)*7.48/1000000)</f>
        <v>0.3574215094730338</v>
      </c>
      <c r="H24" s="94">
        <f ca="1">IF(B24=TODAY(),0,-$H$6*(Sheet1!CE22-Sheet1!CE21)*7.48/1000000)</f>
        <v>-9.0236594107590037E-2</v>
      </c>
      <c r="I24" s="94">
        <f ca="1">IF(B24=TODAY(),0,-$I$6*(Sheet1!CG22-Sheet1!CG21)*7.48/1000000)</f>
        <v>-9.524074560000001E-2</v>
      </c>
      <c r="J24" s="95" t="s">
        <v>177</v>
      </c>
      <c r="K24" s="94">
        <f ca="1">IF(B24=TODAY(),0,-$K$6*(Sheet1!CH22-Sheet1!CH21)*7.48/1000000)</f>
        <v>-0.16658300936146106</v>
      </c>
      <c r="L24" s="95" t="s">
        <v>177</v>
      </c>
      <c r="M24" s="94">
        <f ca="1">IF(B24=TODAY(),0,-$M$6*(Sheet1!CI22-Sheet1!CI21)*7.48/1000000)</f>
        <v>-0.43179620227264887</v>
      </c>
      <c r="N24" s="94">
        <f ca="1">IF(B24=TODAY(),0,-$N$6*(Sheet1!CJ22-Sheet1!CJ21)*7.48/1000000)</f>
        <v>-3.723140723677465E-2</v>
      </c>
      <c r="O24" s="94">
        <f t="shared" ca="1" si="13"/>
        <v>0.36542905927695973</v>
      </c>
      <c r="P24" s="94">
        <f ca="1">O24+Calculation!ES24</f>
        <v>8.8286457729442824E-2</v>
      </c>
      <c r="Q24" s="89" t="str">
        <f>IF(Sheet1!BQ22&gt;25.75,"spill elevation","-")</f>
        <v>-</v>
      </c>
      <c r="R24" s="89" t="str">
        <f>IF(Sheet1!BQ22&gt;25.75,"spill elevation","-")</f>
        <v>-</v>
      </c>
      <c r="S24" s="89" t="str">
        <f>IF(Sheet1!BR22&gt;25.75,"spill elevation","-")</f>
        <v>-</v>
      </c>
      <c r="T24" s="93">
        <f>IF(Sheet1!DU22=1,Sheet1!AA22-(SUM(AT24:BA24)+BE24),Sheet1!AA22-SUM(AT24:BA24))</f>
        <v>25.409936000000002</v>
      </c>
      <c r="U24" s="93">
        <f>Sheet1!BV22</f>
        <v>29.1</v>
      </c>
      <c r="V24" s="93">
        <f t="shared" si="14"/>
        <v>-3.6900639999999996</v>
      </c>
      <c r="W24" s="93">
        <f>0</f>
        <v>0</v>
      </c>
      <c r="X24" s="89">
        <f>0</f>
        <v>0</v>
      </c>
      <c r="Y24" s="94">
        <f ca="1">Calculation!EJ25+Calculation!ES24+'Calculations II'!O24-'Calculations II'!W24</f>
        <v>41.782839898811147</v>
      </c>
      <c r="Z24" s="94">
        <f ca="1">Y24-Sheet1!CT23</f>
        <v>25.893839898811148</v>
      </c>
      <c r="AA24" s="94">
        <f ca="1">Y24+Calculation!DJ25+Calculation!AS25</f>
        <v>52.231879780642757</v>
      </c>
      <c r="AC24" s="94">
        <f>Sheet1!AA22+Sheet1!AB22+BC24</f>
        <v>56.370000000000005</v>
      </c>
      <c r="AD24" s="94">
        <f>Sheet1!AA22+Sheet1!BN22+'Calculations II'!BC24-Calculation!AS24-Calculation!DJ24</f>
        <v>35.91098360655738</v>
      </c>
      <c r="AE24" s="94">
        <f>Sheet1!AA22+Sheet1!AB22+'Calculations II'!BC24-Calculation!AS24-Calculation!DJ24</f>
        <v>46.110983606557383</v>
      </c>
      <c r="AF24" s="94">
        <f ca="1">Sheet1!AA22+Sheet1!BN22+P24+'Calculations II'!BC24+Calculation!AS24+Calculation!DJ24</f>
        <v>56.517302851172069</v>
      </c>
      <c r="AG24" s="94">
        <f ca="1">IF(B24=TODAY(),0,Sheet1!AA22+Sheet1!BN22+'Calculations II'!BC24+'Calculations II'!P24-Sheet1!CT22-BP24)</f>
        <v>30.687286457729449</v>
      </c>
      <c r="AH24" s="94">
        <f ca="1">IF(B24=TODAY(),0,Sheet1!AA22+Sheet1!BN22+'Calculations II'!BC24+'Calculations II'!P24-BP24)</f>
        <v>46.258286457729447</v>
      </c>
      <c r="AI24" s="94">
        <f ca="1">IF(B24=TODAY(),0,BC24+Sheet1!AA22+Calculation!ES24+O24+W24+Sheet1!BN22+Calculation!AS24+Calculation!DJ24-BP24)</f>
        <v>56.517302851172062</v>
      </c>
      <c r="AJ24" s="94"/>
      <c r="AM24" s="90">
        <f t="shared" si="15"/>
        <v>42748</v>
      </c>
      <c r="AN24" s="94">
        <f>Sheet1!BU22</f>
        <v>24.7</v>
      </c>
      <c r="AO24" s="94">
        <f>Sheet1!AA22</f>
        <v>26.57</v>
      </c>
      <c r="AP24" s="94">
        <f t="shared" si="1"/>
        <v>0.22160000000000513</v>
      </c>
      <c r="AQ24" s="1087">
        <f>((Sheet1!BV22-(Sheet1!BU22-AP24))/(Sheet1!BU22-AP24))</f>
        <v>0.1888031897509645</v>
      </c>
      <c r="AR24" s="94">
        <f t="shared" si="2"/>
        <v>26.348399999999994</v>
      </c>
      <c r="AS24" s="94">
        <f t="shared" si="3"/>
        <v>24.478399999999993</v>
      </c>
      <c r="AT24" s="89">
        <f>Sheet1!BB22</f>
        <v>0</v>
      </c>
      <c r="AU24" s="89">
        <f>Sheet1!AS22*GPMtoMGD</f>
        <v>2.0880000000000003E-2</v>
      </c>
      <c r="AV24" s="94">
        <f>Sheet1!AT22</f>
        <v>0</v>
      </c>
      <c r="AW24" s="89">
        <f>Sheet1!AV22*GPMtoMGD</f>
        <v>0.55454400000000004</v>
      </c>
      <c r="AX24" s="89">
        <f>Sheet1!AW22*GPMtoMGD</f>
        <v>0.58464000000000005</v>
      </c>
      <c r="AY24" s="89">
        <f>Sheet1!AX22*GPMtoMGD</f>
        <v>0</v>
      </c>
      <c r="AZ24" s="89">
        <f>Sheet1!AY22*GPMtoMGD</f>
        <v>0</v>
      </c>
      <c r="BA24" s="89">
        <f>Sheet1!AZ22*GPMtoMGD</f>
        <v>0</v>
      </c>
      <c r="BB24" s="89">
        <f>Sheet1!BP22*GPMtoMGD</f>
        <v>2.3040000000000001E-3</v>
      </c>
      <c r="BC24" s="89">
        <f>Sheet1!CS22*GPMtoMGD</f>
        <v>0</v>
      </c>
      <c r="BD24" s="89">
        <f>Sheet1!BO22*GPMtoMGD</f>
        <v>2.064384</v>
      </c>
      <c r="BE24" s="89">
        <f>Sheet1!BW22*GPMtoMGD</f>
        <v>0.7539840000000001</v>
      </c>
      <c r="BF24" s="89">
        <f>Sheet1!CN22*GPMtoMGD</f>
        <v>0.17150399999999999</v>
      </c>
      <c r="BG24" s="89">
        <f>Sheet1!CO22*GPMtoMGD</f>
        <v>0.59097600000000006</v>
      </c>
      <c r="BH24" s="89">
        <f>Sheet1!CP22*GPMtoMGD</f>
        <v>0.51984000000000008</v>
      </c>
      <c r="BI24" s="89">
        <f t="shared" si="16"/>
        <v>2.0666880000000001</v>
      </c>
      <c r="BK24" s="94">
        <f>SUM(AT24:BA24,AS24,BC24,Calculation!AQ24)</f>
        <v>45.179447606557375</v>
      </c>
      <c r="BM24" s="358">
        <f>0</f>
        <v>0</v>
      </c>
      <c r="BN24" s="358">
        <f>0</f>
        <v>0</v>
      </c>
      <c r="BP24" s="94">
        <f>SUM(BM24:BN24,W24,Sheet1!DX22)</f>
        <v>0</v>
      </c>
      <c r="BR24" s="94">
        <f>Sheet1!AA22</f>
        <v>26.57</v>
      </c>
      <c r="BS24" s="94">
        <f>Sheet1!AB22</f>
        <v>29.8</v>
      </c>
      <c r="BT24" s="94">
        <f t="shared" ca="1" si="7"/>
        <v>8.8286457729442824E-2</v>
      </c>
      <c r="BU24" s="94">
        <f>Sheet1!AT22</f>
        <v>0</v>
      </c>
      <c r="BV24" s="89">
        <f>Sheet1!BB22</f>
        <v>0</v>
      </c>
      <c r="BW24" s="94">
        <f>Calculation!ED24</f>
        <v>0</v>
      </c>
      <c r="BX24" s="94">
        <f>(Sheet1!CS22*1440)/1000000</f>
        <v>0</v>
      </c>
      <c r="CA24" s="94">
        <f ca="1">Sheet1!AC22-Sheet1!BK22-Sheet1!BL22-Sheet1!BM22-Sheet1!BC22-Sheet1!BD22-Sheet1!BE22-Sheet1!BF22-Sheet1!BG22-Sheet1!BH22-Sheet1!BI22+BC24+P24</f>
        <v>46.168286457729451</v>
      </c>
      <c r="CB24" s="93">
        <f t="shared" si="8"/>
        <v>87.204390000000004</v>
      </c>
      <c r="CC24" s="94">
        <f t="shared" si="9"/>
        <v>0</v>
      </c>
      <c r="CD24" s="94">
        <f t="shared" ca="1" si="10"/>
        <v>46.168286457729451</v>
      </c>
      <c r="CE24" s="1077">
        <f t="shared" ca="1" si="11"/>
        <v>71.422339150107462</v>
      </c>
      <c r="CG24" s="1077">
        <f t="shared" ca="1" si="12"/>
        <v>46.168286457729451</v>
      </c>
    </row>
    <row r="25" spans="1:85" s="89" customFormat="1" x14ac:dyDescent="0.25">
      <c r="A25" s="616" t="s">
        <v>9</v>
      </c>
      <c r="B25" s="91">
        <v>42749</v>
      </c>
      <c r="C25" s="92">
        <v>0</v>
      </c>
      <c r="D25" s="94">
        <f>(Sheet1!BQ23-Sheet1!BQ22)*1.385</f>
        <v>-1.9390000000000029</v>
      </c>
      <c r="E25" s="30">
        <f>(Sheet1!BR23-Sheet1!BR22)*1.385</f>
        <v>-1.9251500000000008</v>
      </c>
      <c r="F25" s="30">
        <f ca="1">IF(B25=TODAY(),0,-(VLOOKUP(Sheet1!CD23,Lookup!$I$4:$J$216,2)-VLOOKUP(Sheet1!CD22,Lookup!$I$4:$J$216,2))/1000000)</f>
        <v>-0.41454775419120304</v>
      </c>
      <c r="G25" s="94">
        <f ca="1">IF(B25=TODAY(),0,-$G$6*(Sheet1!CF23-Sheet1!CF22)*7.48/1000000)</f>
        <v>0.39713501052559297</v>
      </c>
      <c r="H25" s="94">
        <f ca="1">IF(B25=TODAY(),0,-$H$6*(Sheet1!CE23-Sheet1!CE22)*7.48/1000000)</f>
        <v>1.503943235126474E-2</v>
      </c>
      <c r="I25" s="94">
        <f ca="1">IF(B25=TODAY(),0,-$I$6*(Sheet1!CG23-Sheet1!CG22)*7.48/1000000)</f>
        <v>-2.1563942400000018E-2</v>
      </c>
      <c r="J25" s="95" t="s">
        <v>177</v>
      </c>
      <c r="K25" s="94">
        <f ca="1">IF(B25=TODAY(),0,-$K$6*(Sheet1!CH23-Sheet1!CH22)*7.48/1000000)</f>
        <v>-4.6643242621209044E-2</v>
      </c>
      <c r="L25" s="95" t="s">
        <v>177</v>
      </c>
      <c r="M25" s="94">
        <f ca="1">IF(B25=TODAY(),0,-$M$6*(Sheet1!CI23-Sheet1!CI22)*7.48/1000000)</f>
        <v>-7.1966033712108565E-2</v>
      </c>
      <c r="N25" s="94">
        <f ca="1">IF(B25=TODAY(),0,-$N$6*(Sheet1!CJ23-Sheet1!CJ22)*7.48/1000000)</f>
        <v>-0.24200414703903358</v>
      </c>
      <c r="O25" s="94">
        <f t="shared" ca="1" si="13"/>
        <v>-0.38455067708669655</v>
      </c>
      <c r="P25" s="94">
        <f ca="1">O25+Calculation!ES25</f>
        <v>3.4942791984993922</v>
      </c>
      <c r="Q25" s="89" t="str">
        <f>IF(Sheet1!BQ23&gt;25.75,"spill elevation","-")</f>
        <v>-</v>
      </c>
      <c r="R25" s="89" t="str">
        <f>IF(Sheet1!BQ23&gt;25.75,"spill elevation","-")</f>
        <v>-</v>
      </c>
      <c r="S25" s="89" t="str">
        <f>IF(Sheet1!BR23&gt;25.75,"spill elevation","-")</f>
        <v>-</v>
      </c>
      <c r="T25" s="93">
        <f>IF(Sheet1!DU23=1,Sheet1!AA23-(SUM(AT25:BA25)+BE25),Sheet1!AA23-SUM(AT25:BA25))</f>
        <v>25.801855999999997</v>
      </c>
      <c r="U25" s="93">
        <f>Sheet1!BV23</f>
        <v>33.9</v>
      </c>
      <c r="V25" s="93">
        <f t="shared" si="14"/>
        <v>-8.0981440000000013</v>
      </c>
      <c r="W25" s="93">
        <f>0</f>
        <v>0</v>
      </c>
      <c r="X25" s="89">
        <f>0</f>
        <v>0</v>
      </c>
      <c r="Y25" s="94">
        <f ca="1">Calculation!EJ26+Calculation!ES25+'Calculations II'!O25-'Calculations II'!W25</f>
        <v>45.21358615589358</v>
      </c>
      <c r="Z25" s="94">
        <f ca="1">Y25-Sheet1!CT24</f>
        <v>29.357586155893578</v>
      </c>
      <c r="AA25" s="94">
        <f ca="1">Y25+Calculation!DJ26+Calculation!AS26</f>
        <v>55.624436595776274</v>
      </c>
      <c r="AC25" s="94">
        <f>Sheet1!AA23+Sheet1!AB23+BC25</f>
        <v>53.629999999999995</v>
      </c>
      <c r="AD25" s="94">
        <f>Sheet1!AA23+Sheet1!BN23+'Calculations II'!BC25-Calculation!AS25-Calculation!DJ25</f>
        <v>32.780960118168395</v>
      </c>
      <c r="AE25" s="94">
        <f>Sheet1!AA23+Sheet1!AB23+'Calculations II'!BC25-Calculation!AS25-Calculation!DJ25</f>
        <v>43.180960118168386</v>
      </c>
      <c r="AF25" s="94">
        <f ca="1">Sheet1!AA23+Sheet1!BN23+P25+'Calculations II'!BC25+Calculation!AS25+Calculation!DJ25</f>
        <v>57.173319080331005</v>
      </c>
      <c r="AG25" s="94">
        <f ca="1">IF(B25=TODAY(),0,Sheet1!AA23+Sheet1!BN23+'Calculations II'!BC25+'Calculations II'!P25-Sheet1!CT23-BP25)</f>
        <v>30.835279198499396</v>
      </c>
      <c r="AH25" s="94">
        <f ca="1">IF(B25=TODAY(),0,Sheet1!AA23+Sheet1!BN23+'Calculations II'!BC25+'Calculations II'!P25-BP25)</f>
        <v>46.724279198499396</v>
      </c>
      <c r="AI25" s="94">
        <f ca="1">IF(B25=TODAY(),0,BC25+Sheet1!AA23+Calculation!ES25+O25+W25+Sheet1!BN23+Calculation!AS25+Calculation!DJ25-BP25)</f>
        <v>57.173319080330998</v>
      </c>
      <c r="AJ25" s="94"/>
      <c r="AM25" s="90">
        <f t="shared" si="15"/>
        <v>42749</v>
      </c>
      <c r="AN25" s="94">
        <f>Sheet1!BU23</f>
        <v>24.7</v>
      </c>
      <c r="AO25" s="94">
        <f>Sheet1!AA23</f>
        <v>26.63</v>
      </c>
      <c r="AP25" s="94">
        <f t="shared" si="1"/>
        <v>-3.864150000000004</v>
      </c>
      <c r="AQ25" s="1087">
        <f>((Sheet1!BV23-(Sheet1!BU23-AP25))/(Sheet1!BU23-AP25))</f>
        <v>0.18680233789557865</v>
      </c>
      <c r="AR25" s="94">
        <f t="shared" si="2"/>
        <v>30.494150000000005</v>
      </c>
      <c r="AS25" s="94">
        <f t="shared" si="3"/>
        <v>28.564150000000005</v>
      </c>
      <c r="AT25" s="89">
        <f>Sheet1!BB23</f>
        <v>0</v>
      </c>
      <c r="AU25" s="89">
        <f>Sheet1!AS23*GPMtoMGD</f>
        <v>1.8287999999999999E-2</v>
      </c>
      <c r="AV25" s="94">
        <f>Sheet1!AT23</f>
        <v>0</v>
      </c>
      <c r="AW25" s="89">
        <f>Sheet1!AV23*GPMtoMGD</f>
        <v>0.28843200000000002</v>
      </c>
      <c r="AX25" s="89">
        <f>Sheet1!AW23*GPMtoMGD</f>
        <v>0.52142400000000011</v>
      </c>
      <c r="AY25" s="89">
        <f>Sheet1!AX23*GPMtoMGD</f>
        <v>0</v>
      </c>
      <c r="AZ25" s="89">
        <f>Sheet1!AY23*GPMtoMGD</f>
        <v>0</v>
      </c>
      <c r="BA25" s="89">
        <f>Sheet1!AZ23*GPMtoMGD</f>
        <v>0</v>
      </c>
      <c r="BB25" s="89">
        <f>Sheet1!BP23*GPMtoMGD</f>
        <v>2.3040000000000001E-3</v>
      </c>
      <c r="BC25" s="89">
        <f>Sheet1!CS23*GPMtoMGD</f>
        <v>0</v>
      </c>
      <c r="BD25" s="89">
        <f>Sheet1!BO23*GPMtoMGD</f>
        <v>1.725552</v>
      </c>
      <c r="BE25" s="89">
        <f>Sheet1!BW23*GPMtoMGD</f>
        <v>0.78523199999999993</v>
      </c>
      <c r="BF25" s="89">
        <f>Sheet1!CN23*GPMtoMGD</f>
        <v>0.32572800000000002</v>
      </c>
      <c r="BG25" s="89">
        <f>Sheet1!CO23*GPMtoMGD</f>
        <v>0.59889599999999998</v>
      </c>
      <c r="BH25" s="89">
        <f>Sheet1!CP23*GPMtoMGD</f>
        <v>0.47980800000000001</v>
      </c>
      <c r="BI25" s="89">
        <f t="shared" si="16"/>
        <v>1.7278560000000001</v>
      </c>
      <c r="BK25" s="94">
        <f>SUM(AT25:BA25,AS25,BC25,Calculation!AQ25)</f>
        <v>45.943254118168397</v>
      </c>
      <c r="BM25" s="358">
        <f>0</f>
        <v>0</v>
      </c>
      <c r="BN25" s="358">
        <f>0</f>
        <v>0</v>
      </c>
      <c r="BP25" s="94">
        <f>SUM(BM25:BN25,W25,Sheet1!DX23)</f>
        <v>0</v>
      </c>
      <c r="BR25" s="94">
        <f>Sheet1!AA23</f>
        <v>26.63</v>
      </c>
      <c r="BS25" s="94">
        <f>Sheet1!AB23</f>
        <v>27</v>
      </c>
      <c r="BT25" s="94">
        <f t="shared" ca="1" si="7"/>
        <v>3.4942791984993922</v>
      </c>
      <c r="BU25" s="94">
        <f>Sheet1!AT23</f>
        <v>0</v>
      </c>
      <c r="BV25" s="89">
        <f>Sheet1!BB23</f>
        <v>0</v>
      </c>
      <c r="BW25" s="94">
        <f>Calculation!ED25</f>
        <v>0</v>
      </c>
      <c r="BX25" s="94">
        <f>(Sheet1!CS23*1440)/1000000</f>
        <v>0</v>
      </c>
      <c r="CA25" s="94">
        <f ca="1">Sheet1!AC23-Sheet1!BK23-Sheet1!BL23-Sheet1!BM23-Sheet1!BC23-Sheet1!BD23-Sheet1!BE23-Sheet1!BF23-Sheet1!BG23-Sheet1!BH23-Sheet1!BI23+BC25+P25</f>
        <v>46.644279198499383</v>
      </c>
      <c r="CB25" s="93">
        <f t="shared" si="8"/>
        <v>82.965609999999984</v>
      </c>
      <c r="CC25" s="94">
        <f t="shared" si="9"/>
        <v>0</v>
      </c>
      <c r="CD25" s="94">
        <f t="shared" ca="1" si="10"/>
        <v>46.644279198499383</v>
      </c>
      <c r="CE25" s="1077">
        <f t="shared" ca="1" si="11"/>
        <v>72.158699920078547</v>
      </c>
      <c r="CG25" s="1077">
        <f t="shared" ca="1" si="12"/>
        <v>46.644279198499383</v>
      </c>
    </row>
    <row r="26" spans="1:85" s="89" customFormat="1" x14ac:dyDescent="0.25">
      <c r="A26" s="616" t="s">
        <v>3</v>
      </c>
      <c r="B26" s="91">
        <v>42750</v>
      </c>
      <c r="C26" s="92">
        <v>0</v>
      </c>
      <c r="D26" s="94">
        <f>(Sheet1!BQ24-Sheet1!BQ23)*1.385</f>
        <v>-1.8558999999999999</v>
      </c>
      <c r="E26" s="30">
        <f>(Sheet1!BR24-Sheet1!BR23)*1.385</f>
        <v>-1.8282000000000005</v>
      </c>
      <c r="F26" s="30">
        <f ca="1">IF(B26=TODAY(),0,-(VLOOKUP(Sheet1!CD24,Lookup!$I$4:$J$216,2)-VLOOKUP(Sheet1!CD23,Lookup!$I$4:$J$216,2))/1000000)</f>
        <v>0.10363693854779936</v>
      </c>
      <c r="G26" s="94">
        <f ca="1">IF(B26=TODAY(),0,-$G$6*(Sheet1!CF24-Sheet1!CF23)*7.48/1000000)</f>
        <v>-1.191405031576779</v>
      </c>
      <c r="H26" s="94">
        <f ca="1">IF(B26=TODAY(),0,-$H$6*(Sheet1!CE24-Sheet1!CE23)*7.48/1000000)</f>
        <v>0</v>
      </c>
      <c r="I26" s="94">
        <f ca="1">IF(B26=TODAY(),0,-$I$6*(Sheet1!CG24-Sheet1!CG23)*7.48/1000000)</f>
        <v>4.0432392000000018E-2</v>
      </c>
      <c r="J26" s="95" t="s">
        <v>177</v>
      </c>
      <c r="K26" s="94">
        <f ca="1">IF(B26=TODAY(),0,-$K$6*(Sheet1!CH24-Sheet1!CH23)*7.48/1000000)</f>
        <v>7.995984449350127E-2</v>
      </c>
      <c r="L26" s="95" t="s">
        <v>177</v>
      </c>
      <c r="M26" s="94">
        <f ca="1">IF(B26=TODAY(),0,-$M$6*(Sheet1!CI24-Sheet1!CI23)*7.48/1000000)</f>
        <v>0.16192357585224382</v>
      </c>
      <c r="N26" s="94">
        <f ca="1">IF(B26=TODAY(),0,-$N$6*(Sheet1!CJ24-Sheet1!CJ23)*7.48/1000000)</f>
        <v>0.22959367796010904</v>
      </c>
      <c r="O26" s="94">
        <f t="shared" ca="1" si="13"/>
        <v>-0.57585860272312561</v>
      </c>
      <c r="P26" s="94">
        <f ca="1">O26+Calculation!ES26</f>
        <v>3.023662678204607</v>
      </c>
      <c r="Q26" s="89" t="str">
        <f>IF(Sheet1!BQ24&gt;25.75,"spill elevation","-")</f>
        <v>-</v>
      </c>
      <c r="R26" s="89" t="str">
        <f>IF(Sheet1!BQ24&gt;25.75,"spill elevation","-")</f>
        <v>-</v>
      </c>
      <c r="S26" s="89" t="str">
        <f>IF(Sheet1!BR24&gt;25.75,"spill elevation","-")</f>
        <v>-</v>
      </c>
      <c r="T26" s="93">
        <f>IF(Sheet1!DU24=1,Sheet1!AA24-(SUM(AT26:BA26)+BE26),Sheet1!AA24-SUM(AT26:BA26))</f>
        <v>25.093983999999999</v>
      </c>
      <c r="U26" s="93">
        <f>Sheet1!BV24</f>
        <v>32.9</v>
      </c>
      <c r="V26" s="93">
        <f t="shared" si="14"/>
        <v>-7.8060159999999996</v>
      </c>
      <c r="W26" s="93">
        <f>0</f>
        <v>0</v>
      </c>
      <c r="X26" s="89">
        <f>0</f>
        <v>0</v>
      </c>
      <c r="Y26" s="94">
        <f ca="1">Calculation!EJ27+Calculation!ES26+'Calculations II'!O26-'Calculations II'!W26</f>
        <v>48.410649129482614</v>
      </c>
      <c r="Z26" s="94">
        <f ca="1">Y26-Sheet1!CT25</f>
        <v>32.962649129482614</v>
      </c>
      <c r="AA26" s="94">
        <f ca="1">Y26+Calculation!DJ27+Calculation!AS27</f>
        <v>59.133410690650209</v>
      </c>
      <c r="AC26" s="94">
        <f>Sheet1!AA24+Sheet1!AB24+BC26</f>
        <v>53.6</v>
      </c>
      <c r="AD26" s="94">
        <f>Sheet1!AA24+Sheet1!BN24+'Calculations II'!BC26-Calculation!AS26-Calculation!DJ26</f>
        <v>32.889149560117303</v>
      </c>
      <c r="AE26" s="94">
        <f>Sheet1!AA24+Sheet1!AB24+'Calculations II'!BC26-Calculation!AS26-Calculation!DJ26</f>
        <v>43.189149560117301</v>
      </c>
      <c r="AF26" s="94">
        <f ca="1">Sheet1!AA24+Sheet1!BN24+P26+'Calculations II'!BC26+Calculation!AS26+Calculation!DJ26</f>
        <v>56.734513118087307</v>
      </c>
      <c r="AG26" s="94">
        <f ca="1">IF(B26=TODAY(),0,Sheet1!AA24+Sheet1!BN24+'Calculations II'!BC26+'Calculations II'!P26-Sheet1!CT24-BP26)</f>
        <v>30.467662678204604</v>
      </c>
      <c r="AH26" s="94">
        <f ca="1">IF(B26=TODAY(),0,Sheet1!AA24+Sheet1!BN24+'Calculations II'!BC26+'Calculations II'!P26-BP26)</f>
        <v>46.323662678204606</v>
      </c>
      <c r="AI26" s="94">
        <f ca="1">IF(B26=TODAY(),0,BC26+Sheet1!AA24+Calculation!ES26+O26+W26+Sheet1!BN24+Calculation!AS26+Calculation!DJ26-BP26)</f>
        <v>56.734513118087307</v>
      </c>
      <c r="AJ26" s="94"/>
      <c r="AM26" s="90">
        <f t="shared" si="15"/>
        <v>42750</v>
      </c>
      <c r="AN26" s="94">
        <f>Sheet1!BU24</f>
        <v>24.2</v>
      </c>
      <c r="AO26" s="94">
        <f>Sheet1!AA24</f>
        <v>26.5</v>
      </c>
      <c r="AP26" s="94">
        <f t="shared" si="1"/>
        <v>-3.6841000000000004</v>
      </c>
      <c r="AQ26" s="1087">
        <f>((Sheet1!BV24-(Sheet1!BU24-AP26))/(Sheet1!BU24-AP26))</f>
        <v>0.17988387647440651</v>
      </c>
      <c r="AR26" s="94">
        <f t="shared" si="2"/>
        <v>30.184100000000001</v>
      </c>
      <c r="AS26" s="94">
        <f t="shared" si="3"/>
        <v>27.8841</v>
      </c>
      <c r="AT26" s="89">
        <f>Sheet1!BB24</f>
        <v>0</v>
      </c>
      <c r="AU26" s="89">
        <f>Sheet1!AS24*GPMtoMGD</f>
        <v>2.8656000000000001E-2</v>
      </c>
      <c r="AV26" s="94">
        <f>Sheet1!AT24</f>
        <v>0</v>
      </c>
      <c r="AW26" s="89">
        <f>Sheet1!AV24*GPMtoMGD</f>
        <v>0.561168</v>
      </c>
      <c r="AX26" s="89">
        <f>Sheet1!AW24*GPMtoMGD</f>
        <v>0.81619200000000003</v>
      </c>
      <c r="AY26" s="89">
        <f>Sheet1!AX24*GPMtoMGD</f>
        <v>0</v>
      </c>
      <c r="AZ26" s="89">
        <f>Sheet1!AY24*GPMtoMGD</f>
        <v>0</v>
      </c>
      <c r="BA26" s="89">
        <f>Sheet1!AZ24*GPMtoMGD</f>
        <v>0</v>
      </c>
      <c r="BB26" s="89">
        <f>Sheet1!BP24*GPMtoMGD</f>
        <v>2.4480000000000001E-3</v>
      </c>
      <c r="BC26" s="89">
        <f>Sheet1!CS24*GPMtoMGD</f>
        <v>0</v>
      </c>
      <c r="BD26" s="89">
        <f>Sheet1!BO24*GPMtoMGD</f>
        <v>1.35144</v>
      </c>
      <c r="BE26" s="89">
        <f>Sheet1!BW24*GPMtoMGD</f>
        <v>0.63547200000000004</v>
      </c>
      <c r="BF26" s="89">
        <f>Sheet1!CN24*GPMtoMGD</f>
        <v>0.35049600000000003</v>
      </c>
      <c r="BG26" s="89">
        <f>Sheet1!CO24*GPMtoMGD</f>
        <v>0.60004800000000003</v>
      </c>
      <c r="BH26" s="89">
        <f>Sheet1!CP24*GPMtoMGD</f>
        <v>0.57009600000000005</v>
      </c>
      <c r="BI26" s="89">
        <f t="shared" si="16"/>
        <v>1.353888</v>
      </c>
      <c r="BK26" s="94">
        <f>SUM(AT26:BA26,AS26,BC26,Calculation!AQ26)</f>
        <v>45.979265560117305</v>
      </c>
      <c r="BM26" s="358">
        <f>0</f>
        <v>0</v>
      </c>
      <c r="BN26" s="358">
        <f>0</f>
        <v>0</v>
      </c>
      <c r="BP26" s="94">
        <f>SUM(BM26:BN26,W26,Sheet1!DX24)</f>
        <v>0</v>
      </c>
      <c r="BR26" s="94">
        <f>Sheet1!AA24</f>
        <v>26.5</v>
      </c>
      <c r="BS26" s="94">
        <f>Sheet1!AB24</f>
        <v>27.1</v>
      </c>
      <c r="BT26" s="94">
        <f t="shared" ca="1" si="7"/>
        <v>3.023662678204607</v>
      </c>
      <c r="BU26" s="94">
        <f>Sheet1!AT24</f>
        <v>0</v>
      </c>
      <c r="BV26" s="89">
        <f>Sheet1!BB24</f>
        <v>0</v>
      </c>
      <c r="BW26" s="94">
        <f>Calculation!ED26</f>
        <v>0</v>
      </c>
      <c r="BX26" s="94">
        <f>(Sheet1!CS24*1440)/1000000</f>
        <v>0</v>
      </c>
      <c r="CA26" s="94">
        <f ca="1">Sheet1!AC24-Sheet1!BK24-Sheet1!BL24-Sheet1!BM24-Sheet1!BC24-Sheet1!BD24-Sheet1!BE24-Sheet1!BF24-Sheet1!BG24-Sheet1!BH24-Sheet1!BI24+BC26+P26</f>
        <v>46.143662678204613</v>
      </c>
      <c r="CB26" s="93">
        <f t="shared" si="8"/>
        <v>82.919200000000004</v>
      </c>
      <c r="CC26" s="94">
        <f t="shared" si="9"/>
        <v>0</v>
      </c>
      <c r="CD26" s="94">
        <f t="shared" ca="1" si="10"/>
        <v>46.143662678204613</v>
      </c>
      <c r="CE26" s="1077">
        <f t="shared" ca="1" si="11"/>
        <v>71.384246163182539</v>
      </c>
      <c r="CG26" s="1077">
        <f t="shared" ca="1" si="12"/>
        <v>46.143662678204613</v>
      </c>
    </row>
    <row r="27" spans="1:85" s="89" customFormat="1" x14ac:dyDescent="0.25">
      <c r="A27" s="616" t="s">
        <v>4</v>
      </c>
      <c r="B27" s="91">
        <v>42751</v>
      </c>
      <c r="C27" s="92">
        <v>0</v>
      </c>
      <c r="D27" s="94">
        <f>(Sheet1!BQ25-Sheet1!BQ24)*1.385</f>
        <v>-0.44320000000000037</v>
      </c>
      <c r="E27" s="30">
        <f>(Sheet1!BR25-Sheet1!BR24)*1.385</f>
        <v>-0.41550000000000098</v>
      </c>
      <c r="F27" s="30">
        <f ca="1">IF(B27=TODAY(),0,-(VLOOKUP(Sheet1!CD25,Lookup!$I$4:$J$216,2)-VLOOKUP(Sheet1!CD24,Lookup!$I$4:$J$216,2))/1000000)</f>
        <v>-0.20727387709559872</v>
      </c>
      <c r="G27" s="94">
        <f ca="1">IF(B27=TODAY(),0,-$G$6*(Sheet1!CF25-Sheet1!CF24)*7.48/1000000)</f>
        <v>0.39713501052559297</v>
      </c>
      <c r="H27" s="94">
        <f ca="1">IF(B27=TODAY(),0,-$H$6*(Sheet1!CE25-Sheet1!CE24)*7.48/1000000)</f>
        <v>0</v>
      </c>
      <c r="I27" s="94">
        <f ca="1">IF(B27=TODAY(),0,-$I$6*(Sheet1!CG25-Sheet1!CG24)*7.48/1000000)</f>
        <v>-8.9849760000000074E-3</v>
      </c>
      <c r="J27" s="95" t="s">
        <v>177</v>
      </c>
      <c r="K27" s="94">
        <f ca="1">IF(B27=TODAY(),0,-$K$6*(Sheet1!CH25-Sheet1!CH24)*7.48/1000000)</f>
        <v>-2.6653281497833796E-2</v>
      </c>
      <c r="L27" s="95" t="s">
        <v>177</v>
      </c>
      <c r="M27" s="94">
        <f ca="1">IF(B27=TODAY(),0,-$M$6*(Sheet1!CI25-Sheet1!CI24)*7.48/1000000)</f>
        <v>0</v>
      </c>
      <c r="N27" s="94">
        <f ca="1">IF(B27=TODAY(),0,-$N$6*(Sheet1!CJ25-Sheet1!CJ24)*7.48/1000000)</f>
        <v>-0.15513086348655974</v>
      </c>
      <c r="O27" s="94">
        <f t="shared" ca="1" si="13"/>
        <v>-9.0798755439930323E-4</v>
      </c>
      <c r="P27" s="94">
        <f ca="1">O27+Calculation!ES27</f>
        <v>0.82944324150717819</v>
      </c>
      <c r="Q27" s="89" t="str">
        <f>IF(Sheet1!BQ25&gt;25.75,"spill elevation","-")</f>
        <v>-</v>
      </c>
      <c r="R27" s="89" t="str">
        <f>IF(Sheet1!BQ25&gt;25.75,"spill elevation","-")</f>
        <v>-</v>
      </c>
      <c r="S27" s="89" t="str">
        <f>IF(Sheet1!BR25&gt;25.75,"spill elevation","-")</f>
        <v>-</v>
      </c>
      <c r="T27" s="93">
        <f>IF(Sheet1!DU25=1,Sheet1!AA25-(SUM(AT27:BA27)+BE27),Sheet1!AA25-SUM(AT27:BA27))</f>
        <v>25.769344</v>
      </c>
      <c r="U27" s="93">
        <f>Sheet1!BV25</f>
        <v>30.4</v>
      </c>
      <c r="V27" s="93">
        <f t="shared" si="14"/>
        <v>-4.6306559999999983</v>
      </c>
      <c r="W27" s="93">
        <f>0</f>
        <v>0</v>
      </c>
      <c r="X27" s="89">
        <f>0</f>
        <v>0</v>
      </c>
      <c r="Y27" s="94">
        <f ca="1">Calculation!EJ28+Calculation!ES27+'Calculations II'!O27-'Calculations II'!W27</f>
        <v>45.78497057232584</v>
      </c>
      <c r="Z27" s="94">
        <f ca="1">Y27-Sheet1!CT26</f>
        <v>30.253970572325841</v>
      </c>
      <c r="AA27" s="94">
        <f ca="1">Y27+Calculation!DJ28+Calculation!AS28</f>
        <v>56.748425721827502</v>
      </c>
      <c r="AC27" s="94">
        <f>Sheet1!AA25+Sheet1!AB25+BC27</f>
        <v>56.980000000000004</v>
      </c>
      <c r="AD27" s="94">
        <f>Sheet1!AA25+Sheet1!BN25+'Calculations II'!BC27-Calculation!AS27-Calculation!DJ27</f>
        <v>35.657238438832401</v>
      </c>
      <c r="AE27" s="94">
        <f>Sheet1!AA25+Sheet1!AB25+'Calculations II'!BC27-Calculation!AS27-Calculation!DJ27</f>
        <v>46.25723843883241</v>
      </c>
      <c r="AF27" s="94">
        <f ca="1">Sheet1!AA25+Sheet1!BN25+P27+'Calculations II'!BC27+Calculation!AS27+Calculation!DJ27</f>
        <v>57.932204802674768</v>
      </c>
      <c r="AG27" s="94">
        <f ca="1">IF(B27=TODAY(),0,Sheet1!AA25+Sheet1!BN25+'Calculations II'!BC27+'Calculations II'!P27-Sheet1!CT25-BP27)</f>
        <v>31.761443241507173</v>
      </c>
      <c r="AH27" s="94">
        <f ca="1">IF(B27=TODAY(),0,Sheet1!AA25+Sheet1!BN25+'Calculations II'!BC27+'Calculations II'!P27-BP27)</f>
        <v>47.209443241507174</v>
      </c>
      <c r="AI27" s="94">
        <f ca="1">IF(B27=TODAY(),0,BC27+Sheet1!AA25+Calculation!ES27+O27+W27+Sheet1!BN25+Calculation!AS27+Calculation!DJ27-BP27)</f>
        <v>57.932204802674768</v>
      </c>
      <c r="AJ27" s="94"/>
      <c r="AM27" s="90">
        <f t="shared" si="15"/>
        <v>42751</v>
      </c>
      <c r="AN27" s="94">
        <f>Sheet1!BU25</f>
        <v>24.9</v>
      </c>
      <c r="AO27" s="94">
        <f>Sheet1!AA25</f>
        <v>26.68</v>
      </c>
      <c r="AP27" s="94">
        <f t="shared" si="1"/>
        <v>-0.85870000000000135</v>
      </c>
      <c r="AQ27" s="1087">
        <f>((Sheet1!BV25-(Sheet1!BU25-AP27))/(Sheet1!BU25-AP27))</f>
        <v>0.1801837825666667</v>
      </c>
      <c r="AR27" s="94">
        <f t="shared" si="2"/>
        <v>27.538700000000002</v>
      </c>
      <c r="AS27" s="94">
        <f t="shared" si="3"/>
        <v>25.758700000000001</v>
      </c>
      <c r="AT27" s="89">
        <f>Sheet1!BB25</f>
        <v>0</v>
      </c>
      <c r="AU27" s="89">
        <f>Sheet1!AS25*GPMtoMGD</f>
        <v>3.1824000000000005E-2</v>
      </c>
      <c r="AV27" s="94">
        <f>Sheet1!AT25</f>
        <v>0</v>
      </c>
      <c r="AW27" s="89">
        <f>Sheet1!AV25*GPMtoMGD</f>
        <v>0.40104000000000001</v>
      </c>
      <c r="AX27" s="89">
        <f>Sheet1!AW25*GPMtoMGD</f>
        <v>0.47779200000000005</v>
      </c>
      <c r="AY27" s="89">
        <f>Sheet1!AX25*GPMtoMGD</f>
        <v>0</v>
      </c>
      <c r="AZ27" s="89">
        <f>Sheet1!AY25*GPMtoMGD</f>
        <v>0</v>
      </c>
      <c r="BA27" s="89">
        <f>Sheet1!AZ25*GPMtoMGD</f>
        <v>0</v>
      </c>
      <c r="BB27" s="89">
        <f>Sheet1!BP25*GPMtoMGD</f>
        <v>2.5920000000000001E-3</v>
      </c>
      <c r="BC27" s="89">
        <f>Sheet1!CS25*GPMtoMGD</f>
        <v>0</v>
      </c>
      <c r="BD27" s="89">
        <f>Sheet1!BO25*GPMtoMGD</f>
        <v>1.6084800000000001</v>
      </c>
      <c r="BE27" s="89">
        <f>Sheet1!BW25*GPMtoMGD</f>
        <v>0.81057599999999996</v>
      </c>
      <c r="BF27" s="89">
        <f>Sheet1!CN25*GPMtoMGD</f>
        <v>0.84211199999999997</v>
      </c>
      <c r="BG27" s="89">
        <f>Sheet1!CO25*GPMtoMGD</f>
        <v>0.62928000000000006</v>
      </c>
      <c r="BH27" s="89">
        <f>Sheet1!CP25*GPMtoMGD</f>
        <v>0.54964800000000003</v>
      </c>
      <c r="BI27" s="89">
        <f t="shared" si="16"/>
        <v>1.6110720000000001</v>
      </c>
      <c r="BK27" s="94">
        <f>SUM(AT27:BA27,AS27,BC27,Calculation!AQ27)</f>
        <v>46.246594438832403</v>
      </c>
      <c r="BM27" s="358">
        <f>0</f>
        <v>0</v>
      </c>
      <c r="BN27" s="358">
        <f>0</f>
        <v>0</v>
      </c>
      <c r="BP27" s="94">
        <f>SUM(BM27:BN27,W27,Sheet1!DX25)</f>
        <v>0</v>
      </c>
      <c r="BR27" s="94">
        <f>Sheet1!AA25</f>
        <v>26.68</v>
      </c>
      <c r="BS27" s="94">
        <f>Sheet1!AB25</f>
        <v>30.3</v>
      </c>
      <c r="BT27" s="94">
        <f t="shared" ca="1" si="7"/>
        <v>0.82944324150717819</v>
      </c>
      <c r="BU27" s="94">
        <f>Sheet1!AT25</f>
        <v>0</v>
      </c>
      <c r="BV27" s="89">
        <f>Sheet1!BB25</f>
        <v>0</v>
      </c>
      <c r="BW27" s="94">
        <f>Calculation!ED27</f>
        <v>0</v>
      </c>
      <c r="BX27" s="94">
        <f>(Sheet1!CS25*1440)/1000000</f>
        <v>0</v>
      </c>
      <c r="CA27" s="94">
        <f ca="1">Sheet1!AC25-Sheet1!BK25-Sheet1!BL25-Sheet1!BM25-Sheet1!BC25-Sheet1!BD25-Sheet1!BE25-Sheet1!BF25-Sheet1!BG25-Sheet1!BH25-Sheet1!BI25+BC27+P27</f>
        <v>47.019443241507183</v>
      </c>
      <c r="CB27" s="93">
        <f t="shared" si="8"/>
        <v>88.148060000000001</v>
      </c>
      <c r="CC27" s="94">
        <f t="shared" si="9"/>
        <v>0</v>
      </c>
      <c r="CD27" s="94">
        <f t="shared" ca="1" si="10"/>
        <v>47.019443241507183</v>
      </c>
      <c r="CE27" s="1077">
        <f t="shared" ca="1" si="11"/>
        <v>72.739078694611607</v>
      </c>
      <c r="CG27" s="1077">
        <f t="shared" ca="1" si="12"/>
        <v>47.019443241507183</v>
      </c>
    </row>
    <row r="28" spans="1:85" s="89" customFormat="1" x14ac:dyDescent="0.25">
      <c r="A28" s="616" t="s">
        <v>5</v>
      </c>
      <c r="B28" s="91">
        <v>42752</v>
      </c>
      <c r="C28" s="92">
        <v>0</v>
      </c>
      <c r="D28" s="94">
        <f>(Sheet1!BQ26-Sheet1!BQ25)*1.385</f>
        <v>0.13850000000000198</v>
      </c>
      <c r="E28" s="30">
        <f>(Sheet1!BR26-Sheet1!BR25)*1.385</f>
        <v>9.6950000000000397E-2</v>
      </c>
      <c r="F28" s="30">
        <f ca="1">IF(B28=TODAY(),0,-(VLOOKUP(Sheet1!CD26,Lookup!$I$4:$J$216,2)-VLOOKUP(Sheet1!CD25,Lookup!$I$4:$J$216,2))/1000000)</f>
        <v>-0.20727387709559872</v>
      </c>
      <c r="G28" s="94">
        <f ca="1">IF(B28=TODAY(),0,-$G$6*(Sheet1!CF26-Sheet1!CF25)*7.48/1000000)</f>
        <v>0.3574215094730338</v>
      </c>
      <c r="H28" s="94">
        <f ca="1">IF(B28=TODAY(),0,-$H$6*(Sheet1!CE26-Sheet1!CE25)*7.48/1000000)</f>
        <v>1.5039432351265274E-2</v>
      </c>
      <c r="I28" s="94">
        <f ca="1">IF(B28=TODAY(),0,-$I$6*(Sheet1!CG26-Sheet1!CG25)*7.48/1000000)</f>
        <v>-1.3477463999999995E-2</v>
      </c>
      <c r="J28" s="95" t="s">
        <v>177</v>
      </c>
      <c r="K28" s="94">
        <f ca="1">IF(B28=TODAY(),0,-$K$6*(Sheet1!CH26-Sheet1!CH25)*7.48/1000000)</f>
        <v>-2.3987953348050352E-2</v>
      </c>
      <c r="L28" s="95" t="s">
        <v>177</v>
      </c>
      <c r="M28" s="94">
        <f ca="1">IF(B28=TODAY(),0,-$M$6*(Sheet1!CI26-Sheet1!CI25)*7.48/1000000)</f>
        <v>-5.3974525284081275E-2</v>
      </c>
      <c r="N28" s="94">
        <f ca="1">IF(B28=TODAY(),0,-$N$6*(Sheet1!CJ26-Sheet1!CJ25)*7.48/1000000)</f>
        <v>-4.3436641776236899E-2</v>
      </c>
      <c r="O28" s="94">
        <f t="shared" ca="1" si="13"/>
        <v>3.0310480320331859E-2</v>
      </c>
      <c r="P28" s="94">
        <f ca="1">O28+Calculation!ES28</f>
        <v>-0.24646045050837356</v>
      </c>
      <c r="Q28" s="89" t="str">
        <f>IF(Sheet1!BQ26&gt;25.75,"spill elevation","-")</f>
        <v>-</v>
      </c>
      <c r="R28" s="89" t="str">
        <f>IF(Sheet1!BQ26&gt;25.75,"spill elevation","-")</f>
        <v>-</v>
      </c>
      <c r="S28" s="89" t="str">
        <f>IF(Sheet1!BR26&gt;25.75,"spill elevation","-")</f>
        <v>-</v>
      </c>
      <c r="T28" s="93">
        <f>IF(Sheet1!DU26=1,Sheet1!AA26-(SUM(AT28:BA28)+BE28),Sheet1!AA26-SUM(AT28:BA28))</f>
        <v>25.211327999999998</v>
      </c>
      <c r="U28" s="93">
        <f>Sheet1!BV26</f>
        <v>28.5</v>
      </c>
      <c r="V28" s="93">
        <f t="shared" si="14"/>
        <v>-3.2886720000000018</v>
      </c>
      <c r="W28" s="93">
        <f>0</f>
        <v>0</v>
      </c>
      <c r="X28" s="89">
        <f>0</f>
        <v>0</v>
      </c>
      <c r="Y28" s="94">
        <f ca="1">Calculation!EJ29+Calculation!ES28+'Calculations II'!O28-'Calculations II'!W28</f>
        <v>45.525445688157333</v>
      </c>
      <c r="Z28" s="94">
        <f ca="1">Y28-Sheet1!CT27</f>
        <v>30.663445688157331</v>
      </c>
      <c r="AA28" s="94">
        <f ca="1">Y28+Calculation!DJ29+Calculation!AS29</f>
        <v>56.080721069710087</v>
      </c>
      <c r="AC28" s="94">
        <f>Sheet1!AA26+Sheet1!AB26+BC28</f>
        <v>56.7</v>
      </c>
      <c r="AD28" s="94">
        <f>Sheet1!AA26+Sheet1!BN26+'Calculations II'!BC28-Calculation!AS28-Calculation!DJ28</f>
        <v>34.836544850498335</v>
      </c>
      <c r="AE28" s="94">
        <f>Sheet1!AA26+Sheet1!AB26+'Calculations II'!BC28-Calculation!AS28-Calculation!DJ28</f>
        <v>45.736544850498341</v>
      </c>
      <c r="AF28" s="94">
        <f ca="1">Sheet1!AA26+Sheet1!BN26+P28+'Calculations II'!BC28+Calculation!AS28+Calculation!DJ28</f>
        <v>56.516994698993287</v>
      </c>
      <c r="AG28" s="94">
        <f ca="1">IF(B28=TODAY(),0,Sheet1!AA26+Sheet1!BN26+'Calculations II'!BC28+'Calculations II'!P28-Sheet1!CT26-BP28)</f>
        <v>30.022539549491626</v>
      </c>
      <c r="AH28" s="94">
        <f ca="1">IF(B28=TODAY(),0,Sheet1!AA26+Sheet1!BN26+'Calculations II'!BC28+'Calculations II'!P28-BP28)</f>
        <v>45.553539549491624</v>
      </c>
      <c r="AI28" s="94">
        <f ca="1">IF(B28=TODAY(),0,BC28+Sheet1!AA26+Calculation!ES28+O28+W28+Sheet1!BN26+Calculation!AS28+Calculation!DJ28-BP28)</f>
        <v>56.516994698993294</v>
      </c>
      <c r="AJ28" s="94"/>
      <c r="AM28" s="90">
        <f t="shared" si="15"/>
        <v>42752</v>
      </c>
      <c r="AN28" s="94">
        <f>Sheet1!BU26</f>
        <v>24.4</v>
      </c>
      <c r="AO28" s="94">
        <f>Sheet1!AA26</f>
        <v>26.7</v>
      </c>
      <c r="AP28" s="94">
        <f t="shared" si="1"/>
        <v>0.23545000000000238</v>
      </c>
      <c r="AQ28" s="1087">
        <f>((Sheet1!BV26-(Sheet1!BU26-AP28))/(Sheet1!BU26-AP28))</f>
        <v>0.17941364519513114</v>
      </c>
      <c r="AR28" s="94">
        <f t="shared" si="2"/>
        <v>26.464549999999996</v>
      </c>
      <c r="AS28" s="94">
        <f t="shared" si="3"/>
        <v>24.164549999999995</v>
      </c>
      <c r="AT28" s="89">
        <f>Sheet1!BB26</f>
        <v>0</v>
      </c>
      <c r="AU28" s="89">
        <f>Sheet1!AS26*GPMtoMGD</f>
        <v>1.5552000000000002E-2</v>
      </c>
      <c r="AV28" s="94">
        <f>Sheet1!AT26</f>
        <v>0</v>
      </c>
      <c r="AW28" s="89">
        <f>Sheet1!AV26*GPMtoMGD</f>
        <v>0.61574400000000007</v>
      </c>
      <c r="AX28" s="89">
        <f>Sheet1!AW26*GPMtoMGD</f>
        <v>0.85737600000000003</v>
      </c>
      <c r="AY28" s="89">
        <f>Sheet1!AX26*GPMtoMGD</f>
        <v>0</v>
      </c>
      <c r="AZ28" s="89">
        <f>Sheet1!AY26*GPMtoMGD</f>
        <v>0</v>
      </c>
      <c r="BA28" s="89">
        <f>Sheet1!AZ26*GPMtoMGD</f>
        <v>0</v>
      </c>
      <c r="BB28" s="89">
        <f>Sheet1!BP26*GPMtoMGD</f>
        <v>2.7360000000000002E-3</v>
      </c>
      <c r="BC28" s="89">
        <f>Sheet1!CS26*GPMtoMGD</f>
        <v>0</v>
      </c>
      <c r="BD28" s="89">
        <f>Sheet1!BO26*GPMtoMGD</f>
        <v>1.5016320000000001</v>
      </c>
      <c r="BE28" s="89">
        <f>Sheet1!BW26*GPMtoMGD</f>
        <v>0.73828800000000017</v>
      </c>
      <c r="BF28" s="89">
        <f>Sheet1!CN26*GPMtoMGD</f>
        <v>0.8455680000000001</v>
      </c>
      <c r="BG28" s="89">
        <f>Sheet1!CO26*GPMtoMGD</f>
        <v>0.57772800000000002</v>
      </c>
      <c r="BH28" s="89">
        <f>Sheet1!CP26*GPMtoMGD</f>
        <v>0.53884799999999999</v>
      </c>
      <c r="BI28" s="89">
        <f t="shared" si="16"/>
        <v>1.5043680000000001</v>
      </c>
      <c r="BK28" s="94">
        <f>SUM(AT28:BA28,AS28,BC28,Calculation!AQ28)</f>
        <v>44.68976685049833</v>
      </c>
      <c r="BM28" s="358">
        <f>0</f>
        <v>0</v>
      </c>
      <c r="BN28" s="358">
        <f>0</f>
        <v>0</v>
      </c>
      <c r="BP28" s="94">
        <f>SUM(BM28:BN28,W28,Sheet1!DX26)</f>
        <v>0</v>
      </c>
      <c r="BR28" s="94">
        <f>Sheet1!AA26</f>
        <v>26.7</v>
      </c>
      <c r="BS28" s="94">
        <f>Sheet1!AB26</f>
        <v>30</v>
      </c>
      <c r="BT28" s="94">
        <f t="shared" ca="1" si="7"/>
        <v>-0.24646045050837356</v>
      </c>
      <c r="BU28" s="94">
        <f>Sheet1!AT26</f>
        <v>0</v>
      </c>
      <c r="BV28" s="89">
        <f>Sheet1!BB26</f>
        <v>0</v>
      </c>
      <c r="BW28" s="94">
        <f>Calculation!ED28</f>
        <v>10.963455149501662</v>
      </c>
      <c r="BX28" s="94">
        <f>(Sheet1!CS26*1440)/1000000</f>
        <v>0</v>
      </c>
      <c r="CA28" s="94">
        <f ca="1">Sheet1!AC26-Sheet1!BK26-Sheet1!BL26-Sheet1!BM26-Sheet1!BC26-Sheet1!BD26-Sheet1!BE26-Sheet1!BF26-Sheet1!BG26-Sheet1!BH26-Sheet1!BI26+BC28+P28</f>
        <v>45.453539549491623</v>
      </c>
      <c r="CB28" s="93">
        <f t="shared" si="8"/>
        <v>70.754434883720933</v>
      </c>
      <c r="CC28" s="94">
        <f t="shared" si="9"/>
        <v>0</v>
      </c>
      <c r="CD28" s="94">
        <f t="shared" ca="1" si="10"/>
        <v>56.416994698993285</v>
      </c>
      <c r="CE28" s="1077">
        <f t="shared" ca="1" si="11"/>
        <v>87.277090799342602</v>
      </c>
      <c r="CG28" s="1077">
        <f t="shared" ca="1" si="12"/>
        <v>45.453539549491623</v>
      </c>
    </row>
    <row r="29" spans="1:85" s="89" customFormat="1" x14ac:dyDescent="0.25">
      <c r="A29" s="616" t="s">
        <v>6</v>
      </c>
      <c r="B29" s="91">
        <v>42753</v>
      </c>
      <c r="C29" s="92">
        <v>0</v>
      </c>
      <c r="D29" s="94">
        <f>(Sheet1!BQ27-Sheet1!BQ26)*1.385</f>
        <v>1.3157499999999991</v>
      </c>
      <c r="E29" s="30">
        <f>(Sheet1!BR27-Sheet1!BR26)*1.385</f>
        <v>1.3296000000000012</v>
      </c>
      <c r="F29" s="30">
        <f ca="1">IF(B29=TODAY(),0,-(VLOOKUP(Sheet1!CD27,Lookup!$I$4:$J$216,2)-VLOOKUP(Sheet1!CD26,Lookup!$I$4:$J$216,2))/1000000)</f>
        <v>0.20727387709559872</v>
      </c>
      <c r="G29" s="94">
        <f ca="1">IF(B29=TODAY(),0,-$G$6*(Sheet1!CF27-Sheet1!CF26)*7.48/1000000)</f>
        <v>0.35742150947303314</v>
      </c>
      <c r="H29" s="94">
        <f ca="1">IF(B29=TODAY(),0,-$H$6*(Sheet1!CE27-Sheet1!CE26)*7.48/1000000)</f>
        <v>-1.5039432351265274E-2</v>
      </c>
      <c r="I29" s="94">
        <f ca="1">IF(B29=TODAY(),0,-$I$6*(Sheet1!CG27-Sheet1!CG26)*7.48/1000000)</f>
        <v>-8.9849759999999675E-3</v>
      </c>
      <c r="J29" s="95" t="s">
        <v>177</v>
      </c>
      <c r="K29" s="94">
        <f ca="1">IF(B29=TODAY(),0,-$K$6*(Sheet1!CH27-Sheet1!CH26)*7.48/1000000)</f>
        <v>-1.5991968898700276E-2</v>
      </c>
      <c r="L29" s="95" t="s">
        <v>177</v>
      </c>
      <c r="M29" s="94">
        <f ca="1">IF(B29=TODAY(),0,-$M$6*(Sheet1!CI27-Sheet1!CI26)*7.48/1000000)</f>
        <v>-5.3974525284081275E-2</v>
      </c>
      <c r="N29" s="94">
        <f ca="1">IF(B29=TODAY(),0,-$N$6*(Sheet1!CJ27-Sheet1!CJ26)*7.48/1000000)</f>
        <v>0.18615703618387103</v>
      </c>
      <c r="O29" s="94">
        <f t="shared" ca="1" si="13"/>
        <v>0.65686152021845612</v>
      </c>
      <c r="P29" s="94">
        <f ca="1">O29+Calculation!ES29</f>
        <v>-1.8346534369096741</v>
      </c>
      <c r="Q29" s="89" t="str">
        <f>IF(Sheet1!BQ27&gt;25.75,"spill elevation","-")</f>
        <v>-</v>
      </c>
      <c r="R29" s="89" t="str">
        <f>IF(Sheet1!BQ27&gt;25.75,"spill elevation","-")</f>
        <v>-</v>
      </c>
      <c r="S29" s="89" t="str">
        <f>IF(Sheet1!BR27&gt;25.75,"spill elevation","-")</f>
        <v>-</v>
      </c>
      <c r="T29" s="93">
        <f>IF(Sheet1!DU27=1,Sheet1!AA27-(SUM(AT29:BA29)+BE29),Sheet1!AA27-SUM(AT29:BA29))</f>
        <v>26.029679999999999</v>
      </c>
      <c r="U29" s="93">
        <f>Sheet1!BV27</f>
        <v>26.7</v>
      </c>
      <c r="V29" s="93">
        <f t="shared" si="14"/>
        <v>-0.67032000000000025</v>
      </c>
      <c r="W29" s="93">
        <f>0</f>
        <v>0</v>
      </c>
      <c r="X29" s="89">
        <f>0</f>
        <v>0</v>
      </c>
      <c r="Y29" s="94">
        <f ca="1">Calculation!EJ30+Calculation!ES29+'Calculations II'!O29-'Calculations II'!W29</f>
        <v>42.840601015577072</v>
      </c>
      <c r="Z29" s="94">
        <f ca="1">Y29-Sheet1!CT28</f>
        <v>27.60360101557707</v>
      </c>
      <c r="AA29" s="94">
        <f ca="1">Y29+Calculation!DJ30+Calculation!AS30</f>
        <v>53.411839806676376</v>
      </c>
      <c r="AC29" s="94">
        <f>Sheet1!AA27+Sheet1!AB27+BC29</f>
        <v>56.599999999999994</v>
      </c>
      <c r="AD29" s="94">
        <f>Sheet1!AA27+Sheet1!BN27+'Calculations II'!BC29-Calculation!AS29-Calculation!DJ29</f>
        <v>35.644724618447249</v>
      </c>
      <c r="AE29" s="94">
        <f>Sheet1!AA27+Sheet1!AB27+'Calculations II'!BC29-Calculation!AS29-Calculation!DJ29</f>
        <v>46.044724618447241</v>
      </c>
      <c r="AF29" s="94">
        <f ca="1">Sheet1!AA27+Sheet1!BN27+P29+'Calculations II'!BC29+Calculation!AS29+Calculation!DJ29</f>
        <v>54.920621944643081</v>
      </c>
      <c r="AG29" s="94">
        <f ca="1">IF(B29=TODAY(),0,Sheet1!AA27+Sheet1!BN27+'Calculations II'!BC29+'Calculations II'!P29-Sheet1!CT27-BP29)</f>
        <v>29.503346563090325</v>
      </c>
      <c r="AH29" s="94">
        <f ca="1">IF(B29=TODAY(),0,Sheet1!AA27+Sheet1!BN27+'Calculations II'!BC29+'Calculations II'!P29-BP29)</f>
        <v>44.365346563090327</v>
      </c>
      <c r="AI29" s="94">
        <f ca="1">IF(B29=TODAY(),0,BC29+Sheet1!AA27+Calculation!ES29+O29+W29+Sheet1!BN27+Calculation!AS29+Calculation!DJ29-BP29)</f>
        <v>54.920621944643081</v>
      </c>
      <c r="AJ29" s="94"/>
      <c r="AM29" s="90">
        <f t="shared" si="15"/>
        <v>42753</v>
      </c>
      <c r="AN29" s="94">
        <f>Sheet1!BU27</f>
        <v>25.1</v>
      </c>
      <c r="AO29" s="94">
        <f>Sheet1!AA27</f>
        <v>26.7</v>
      </c>
      <c r="AP29" s="94">
        <f t="shared" si="1"/>
        <v>2.6453500000000005</v>
      </c>
      <c r="AQ29" s="1087">
        <f>((Sheet1!BV27-(Sheet1!BU27-AP29))/(Sheet1!BU27-AP29))</f>
        <v>0.18906328978630255</v>
      </c>
      <c r="AR29" s="94">
        <f t="shared" si="2"/>
        <v>24.054649999999999</v>
      </c>
      <c r="AS29" s="94">
        <f t="shared" si="3"/>
        <v>22.454650000000001</v>
      </c>
      <c r="AT29" s="89">
        <f>Sheet1!BB27</f>
        <v>0</v>
      </c>
      <c r="AU29" s="89">
        <f>Sheet1!AS27*GPMtoMGD</f>
        <v>2.2320000000000003E-2</v>
      </c>
      <c r="AV29" s="94">
        <f>Sheet1!AT27</f>
        <v>0</v>
      </c>
      <c r="AW29" s="89">
        <f>Sheet1!AV27*GPMtoMGD</f>
        <v>0.23616000000000001</v>
      </c>
      <c r="AX29" s="89">
        <f>Sheet1!AW27*GPMtoMGD</f>
        <v>0.41184000000000004</v>
      </c>
      <c r="AY29" s="89">
        <f>Sheet1!AX27*GPMtoMGD</f>
        <v>0</v>
      </c>
      <c r="AZ29" s="89">
        <f>Sheet1!AY27*GPMtoMGD</f>
        <v>0</v>
      </c>
      <c r="BA29" s="89">
        <f>Sheet1!AZ27*GPMtoMGD</f>
        <v>0</v>
      </c>
      <c r="BB29" s="89">
        <f>Sheet1!BP27*GPMtoMGD</f>
        <v>8.064E-3</v>
      </c>
      <c r="BC29" s="89">
        <f>Sheet1!CS27*GPMtoMGD</f>
        <v>0</v>
      </c>
      <c r="BD29" s="89">
        <f>Sheet1!BO27*GPMtoMGD</f>
        <v>1.4868000000000001</v>
      </c>
      <c r="BE29" s="89">
        <f>Sheet1!BW27*GPMtoMGD</f>
        <v>0.60350400000000004</v>
      </c>
      <c r="BF29" s="89">
        <f>Sheet1!CN27*GPMtoMGD</f>
        <v>0.95486400000000005</v>
      </c>
      <c r="BG29" s="89">
        <f>Sheet1!CO27*GPMtoMGD</f>
        <v>0.57801599999999997</v>
      </c>
      <c r="BH29" s="89">
        <f>Sheet1!CP27*GPMtoMGD</f>
        <v>0.43200000000000005</v>
      </c>
      <c r="BI29" s="89">
        <f t="shared" si="16"/>
        <v>1.4948640000000002</v>
      </c>
      <c r="BK29" s="94">
        <f>SUM(AT29:BA29,AS29,BC29,Calculation!AQ29)</f>
        <v>42.469694618447249</v>
      </c>
      <c r="BM29" s="358">
        <f>0</f>
        <v>0</v>
      </c>
      <c r="BN29" s="358">
        <f>0</f>
        <v>0</v>
      </c>
      <c r="BP29" s="94">
        <f>SUM(BM29:BN29,W29,Sheet1!DX27)</f>
        <v>0</v>
      </c>
      <c r="BR29" s="94">
        <f>Sheet1!AA27</f>
        <v>26.7</v>
      </c>
      <c r="BS29" s="94">
        <f>Sheet1!AB27</f>
        <v>29.9</v>
      </c>
      <c r="BT29" s="94">
        <f t="shared" ca="1" si="7"/>
        <v>-1.8346534369096741</v>
      </c>
      <c r="BU29" s="94">
        <f>Sheet1!AT27</f>
        <v>0</v>
      </c>
      <c r="BV29" s="89">
        <f>Sheet1!BB27</f>
        <v>0</v>
      </c>
      <c r="BW29" s="94">
        <f>Calculation!ED29</f>
        <v>10.555275381552754</v>
      </c>
      <c r="BX29" s="94">
        <f>(Sheet1!CS27*1440)/1000000</f>
        <v>0</v>
      </c>
      <c r="CA29" s="94">
        <f ca="1">Sheet1!AC27-Sheet1!BK27-Sheet1!BL27-Sheet1!BM27-Sheet1!BC27-Sheet1!BD27-Sheet1!BE27-Sheet1!BF27-Sheet1!BG27-Sheet1!BH27-Sheet1!BI27+BC29+P29</f>
        <v>44.125346563090318</v>
      </c>
      <c r="CB29" s="93">
        <f t="shared" si="8"/>
        <v>71.231188984737884</v>
      </c>
      <c r="CC29" s="94">
        <f t="shared" si="9"/>
        <v>0</v>
      </c>
      <c r="CD29" s="94">
        <f t="shared" ca="1" si="10"/>
        <v>54.680621944643072</v>
      </c>
      <c r="CE29" s="1077">
        <f t="shared" ca="1" si="11"/>
        <v>84.590922148362822</v>
      </c>
      <c r="CG29" s="1077">
        <f t="shared" ca="1" si="12"/>
        <v>44.125346563090318</v>
      </c>
    </row>
    <row r="30" spans="1:85" s="89" customFormat="1" x14ac:dyDescent="0.25">
      <c r="A30" s="616" t="s">
        <v>7</v>
      </c>
      <c r="B30" s="91">
        <v>42754</v>
      </c>
      <c r="C30" s="92">
        <v>0</v>
      </c>
      <c r="D30" s="94">
        <f>(Sheet1!BQ28-Sheet1!BQ27)*1.385</f>
        <v>6.9250000000000991E-2</v>
      </c>
      <c r="E30" s="30">
        <f>(Sheet1!BR28-Sheet1!BR27)*1.385</f>
        <v>5.5399999999998818E-2</v>
      </c>
      <c r="F30" s="30">
        <f ca="1">IF(B30=TODAY(),0,-(VLOOKUP(Sheet1!CD28,Lookup!$I$4:$J$216,2)-VLOOKUP(Sheet1!CD27,Lookup!$I$4:$J$216,2))/1000000)</f>
        <v>-0.20727387709559872</v>
      </c>
      <c r="G30" s="94">
        <f ca="1">IF(B30=TODAY(),0,-$G$6*(Sheet1!CF28-Sheet1!CF27)*7.48/1000000)</f>
        <v>-0.34550745915726555</v>
      </c>
      <c r="H30" s="94">
        <f ca="1">IF(B30=TODAY(),0,-$H$6*(Sheet1!CE28-Sheet1!CE27)*7.48/1000000)</f>
        <v>6.0157729405060562E-2</v>
      </c>
      <c r="I30" s="94">
        <f ca="1">IF(B30=TODAY(),0,-$I$6*(Sheet1!CG28-Sheet1!CG27)*7.48/1000000)</f>
        <v>0</v>
      </c>
      <c r="J30" s="95" t="s">
        <v>177</v>
      </c>
      <c r="K30" s="94">
        <f ca="1">IF(B30=TODAY(),0,-$K$6*(Sheet1!CH28-Sheet1!CH27)*7.48/1000000)</f>
        <v>6.6633203744584186E-3</v>
      </c>
      <c r="L30" s="95" t="s">
        <v>177</v>
      </c>
      <c r="M30" s="94">
        <f ca="1">IF(B30=TODAY(),0,-$M$6*(Sheet1!CI28-Sheet1!CI27)*7.48/1000000)</f>
        <v>-1.7991508428027301E-2</v>
      </c>
      <c r="N30" s="94">
        <f ca="1">IF(B30=TODAY(),0,-$N$6*(Sheet1!CJ28-Sheet1!CJ27)*7.48/1000000)</f>
        <v>-0.3164669615125818</v>
      </c>
      <c r="O30" s="94">
        <f t="shared" ca="1" si="13"/>
        <v>-0.82041875641395445</v>
      </c>
      <c r="P30" s="94">
        <f ca="1">O30+Calculation!ES30</f>
        <v>-1.0973178214774981</v>
      </c>
      <c r="Q30" s="89" t="str">
        <f>IF(Sheet1!BQ28&gt;25.75,"spill elevation","-")</f>
        <v>-</v>
      </c>
      <c r="R30" s="89" t="str">
        <f>IF(Sheet1!BQ28&gt;25.75,"spill elevation","-")</f>
        <v>-</v>
      </c>
      <c r="S30" s="89" t="str">
        <f>IF(Sheet1!BR28&gt;25.75,"spill elevation","-")</f>
        <v>-</v>
      </c>
      <c r="T30" s="93">
        <f>IF(Sheet1!DU28=1,Sheet1!AA28-(SUM(AT30:BA30)+BE30),Sheet1!AA28-SUM(AT30:BA30))</f>
        <v>25.313087999999997</v>
      </c>
      <c r="U30" s="93">
        <f>Sheet1!BV28</f>
        <v>28.9</v>
      </c>
      <c r="V30" s="93">
        <f t="shared" si="14"/>
        <v>-3.5869120000000017</v>
      </c>
      <c r="W30" s="93">
        <f>0</f>
        <v>0</v>
      </c>
      <c r="X30" s="89">
        <f>0</f>
        <v>0</v>
      </c>
      <c r="Y30" s="94">
        <f ca="1">Calculation!EJ31+Calculation!ES30+'Calculations II'!O30-'Calculations II'!W30</f>
        <v>42.928899780635255</v>
      </c>
      <c r="Z30" s="94">
        <f ca="1">Y30-Sheet1!CT29</f>
        <v>29.679899780635253</v>
      </c>
      <c r="AA30" s="94">
        <f ca="1">Y30+Calculation!DJ31+Calculation!AS31</f>
        <v>53.519477086541031</v>
      </c>
      <c r="AC30" s="94">
        <f>Sheet1!AA28+Sheet1!AB28+BC30</f>
        <v>56.58</v>
      </c>
      <c r="AD30" s="94">
        <f>Sheet1!AA28+Sheet1!BN28+'Calculations II'!BC30-Calculation!AS30-Calculation!DJ30</f>
        <v>35.508761208900694</v>
      </c>
      <c r="AE30" s="94">
        <f>Sheet1!AA28+Sheet1!AB28+'Calculations II'!BC30-Calculation!AS30-Calculation!DJ30</f>
        <v>46.008761208900694</v>
      </c>
      <c r="AF30" s="94">
        <f ca="1">Sheet1!AA28+Sheet1!BN28+P30+'Calculations II'!BC30+Calculation!AS30+Calculation!DJ30</f>
        <v>55.553920969621807</v>
      </c>
      <c r="AG30" s="94">
        <f ca="1">IF(B30=TODAY(),0,Sheet1!AA28+Sheet1!BN28+'Calculations II'!BC30+'Calculations II'!P30-Sheet1!CT28-BP30)</f>
        <v>29.7456821785225</v>
      </c>
      <c r="AH30" s="94">
        <f ca="1">IF(B30=TODAY(),0,Sheet1!AA28+Sheet1!BN28+'Calculations II'!BC30+'Calculations II'!P30-BP30)</f>
        <v>44.982682178522502</v>
      </c>
      <c r="AI30" s="94">
        <f ca="1">IF(B30=TODAY(),0,BC30+Sheet1!AA28+Calculation!ES30+O30+W30+Sheet1!BN28+Calculation!AS30+Calculation!DJ30-BP30)</f>
        <v>55.553920969621807</v>
      </c>
      <c r="AJ30" s="94"/>
      <c r="AM30" s="90">
        <f t="shared" si="15"/>
        <v>42754</v>
      </c>
      <c r="AN30" s="94">
        <f>Sheet1!BU28</f>
        <v>24.8</v>
      </c>
      <c r="AO30" s="94">
        <f>Sheet1!AA28</f>
        <v>26.58</v>
      </c>
      <c r="AP30" s="94">
        <f t="shared" si="1"/>
        <v>0.12464999999999982</v>
      </c>
      <c r="AQ30" s="1087">
        <f>((Sheet1!BV28-(Sheet1!BU28-AP30))/(Sheet1!BU28-AP30))</f>
        <v>0.17120932428516705</v>
      </c>
      <c r="AR30" s="94">
        <f t="shared" si="2"/>
        <v>26.455349999999999</v>
      </c>
      <c r="AS30" s="94">
        <f t="shared" si="3"/>
        <v>24.675350000000002</v>
      </c>
      <c r="AT30" s="89">
        <f>Sheet1!BB28</f>
        <v>0</v>
      </c>
      <c r="AU30" s="89">
        <f>Sheet1!AS28*GPMtoMGD</f>
        <v>2.4048E-2</v>
      </c>
      <c r="AV30" s="94">
        <f>Sheet1!AT28</f>
        <v>0</v>
      </c>
      <c r="AW30" s="89">
        <f>Sheet1!AV28*GPMtoMGD</f>
        <v>0.52516799999999997</v>
      </c>
      <c r="AX30" s="89">
        <f>Sheet1!AW28*GPMtoMGD</f>
        <v>0.717696</v>
      </c>
      <c r="AY30" s="89">
        <f>Sheet1!AX28*GPMtoMGD</f>
        <v>0</v>
      </c>
      <c r="AZ30" s="89">
        <f>Sheet1!AY28*GPMtoMGD</f>
        <v>0</v>
      </c>
      <c r="BA30" s="89">
        <f>Sheet1!AZ28*GPMtoMGD</f>
        <v>0</v>
      </c>
      <c r="BB30" s="89">
        <f>Sheet1!BP28*GPMtoMGD</f>
        <v>3.0384000000000005E-2</v>
      </c>
      <c r="BC30" s="89">
        <f>Sheet1!CS28*GPMtoMGD</f>
        <v>0</v>
      </c>
      <c r="BD30" s="89">
        <f>Sheet1!BO28*GPMtoMGD</f>
        <v>1.3857120000000001</v>
      </c>
      <c r="BE30" s="89">
        <f>Sheet1!BW28*GPMtoMGD</f>
        <v>0.78350400000000009</v>
      </c>
      <c r="BF30" s="89">
        <f>Sheet1!CN28*GPMtoMGD</f>
        <v>0.80236800000000008</v>
      </c>
      <c r="BG30" s="89">
        <f>Sheet1!CO28*GPMtoMGD</f>
        <v>0.58104</v>
      </c>
      <c r="BH30" s="89">
        <f>Sheet1!CP28*GPMtoMGD</f>
        <v>0.53495999999999999</v>
      </c>
      <c r="BI30" s="89">
        <f t="shared" si="16"/>
        <v>1.416096</v>
      </c>
      <c r="BK30" s="94">
        <f>SUM(AT30:BA30,AS30,BC30,Calculation!AQ30)</f>
        <v>45.371023208900702</v>
      </c>
      <c r="BM30" s="358">
        <f>0</f>
        <v>0</v>
      </c>
      <c r="BN30" s="358">
        <f>0</f>
        <v>0</v>
      </c>
      <c r="BP30" s="94">
        <f>SUM(BM30:BN30,W30,Sheet1!DX28)</f>
        <v>0</v>
      </c>
      <c r="BR30" s="94">
        <f>Sheet1!AA28</f>
        <v>26.58</v>
      </c>
      <c r="BS30" s="94">
        <f>Sheet1!AB28</f>
        <v>30</v>
      </c>
      <c r="BT30" s="94">
        <f t="shared" ca="1" si="7"/>
        <v>-1.0973178214774981</v>
      </c>
      <c r="BU30" s="94">
        <f>Sheet1!AT28</f>
        <v>0</v>
      </c>
      <c r="BV30" s="89">
        <f>Sheet1!BB28</f>
        <v>0</v>
      </c>
      <c r="BW30" s="94">
        <f>Calculation!ED30</f>
        <v>10.571238791099303</v>
      </c>
      <c r="BX30" s="94">
        <f>(Sheet1!CS28*1440)/1000000</f>
        <v>0</v>
      </c>
      <c r="CA30" s="94">
        <f ca="1">Sheet1!AC28-Sheet1!BK28-Sheet1!BL28-Sheet1!BM28-Sheet1!BC28-Sheet1!BD28-Sheet1!BE28-Sheet1!BF28-Sheet1!BG28-Sheet1!BH28-Sheet1!BI28+BC30+P30</f>
        <v>44.872682178522496</v>
      </c>
      <c r="CB30" s="93">
        <f t="shared" si="8"/>
        <v>71.175553590169372</v>
      </c>
      <c r="CC30" s="94">
        <f t="shared" si="9"/>
        <v>0</v>
      </c>
      <c r="CD30" s="94">
        <f t="shared" ca="1" si="10"/>
        <v>55.4439209696218</v>
      </c>
      <c r="CE30" s="1077">
        <f t="shared" ca="1" si="11"/>
        <v>85.771745740004917</v>
      </c>
      <c r="CG30" s="1077">
        <f t="shared" ca="1" si="12"/>
        <v>44.872682178522496</v>
      </c>
    </row>
    <row r="31" spans="1:85" s="89" customFormat="1" x14ac:dyDescent="0.25">
      <c r="A31" s="616" t="s">
        <v>8</v>
      </c>
      <c r="B31" s="91">
        <v>42755</v>
      </c>
      <c r="C31" s="92">
        <v>0</v>
      </c>
      <c r="D31" s="94">
        <f>(Sheet1!BQ29-Sheet1!BQ28)*1.385</f>
        <v>1.2049500000000013</v>
      </c>
      <c r="E31" s="30">
        <f>(Sheet1!BR29-Sheet1!BR28)*1.385</f>
        <v>1.2049500000000013</v>
      </c>
      <c r="F31" s="30">
        <f ca="1">IF(B31=TODAY(),0,-(VLOOKUP(Sheet1!CD29,Lookup!$I$4:$J$216,2)-VLOOKUP(Sheet1!CD28,Lookup!$I$4:$J$216,2))/1000000)</f>
        <v>-0.93273244693020174</v>
      </c>
      <c r="G31" s="94">
        <f ca="1">IF(B31=TODAY(),0,-$G$6*(Sheet1!CF29-Sheet1!CF28)*7.48/1000000)</f>
        <v>-0.36933555978880134</v>
      </c>
      <c r="H31" s="94">
        <f ca="1">IF(B31=TODAY(),0,-$H$6*(Sheet1!CE29-Sheet1!CE28)*7.48/1000000)</f>
        <v>3.0078864702530014E-2</v>
      </c>
      <c r="I31" s="94">
        <f ca="1">IF(B31=TODAY(),0,-$I$6*(Sheet1!CG29-Sheet1!CG28)*7.48/1000000)</f>
        <v>9.8834735999999476E-3</v>
      </c>
      <c r="J31" s="95" t="s">
        <v>177</v>
      </c>
      <c r="K31" s="94">
        <f ca="1">IF(B31=TODAY(),0,-$K$6*(Sheet1!CH29-Sheet1!CH28)*7.48/1000000)</f>
        <v>1.3326640748916953E-2</v>
      </c>
      <c r="L31" s="95" t="s">
        <v>177</v>
      </c>
      <c r="M31" s="94">
        <f ca="1">IF(B31=TODAY(),0,-$M$6*(Sheet1!CI29-Sheet1!CI28)*7.48/1000000)</f>
        <v>7.1966033712108565E-2</v>
      </c>
      <c r="N31" s="94">
        <f ca="1">IF(B31=TODAY(),0,-$N$6*(Sheet1!CJ29-Sheet1!CJ28)*7.48/1000000)</f>
        <v>-0.161336098026022</v>
      </c>
      <c r="O31" s="94">
        <f t="shared" ca="1" si="13"/>
        <v>-1.3381490919814696</v>
      </c>
      <c r="P31" s="94">
        <f ca="1">O31+Calculation!ES31</f>
        <v>-3.692287753935418</v>
      </c>
      <c r="Q31" s="89" t="str">
        <f>IF(Sheet1!BQ29&gt;25.75,"spill elevation","-")</f>
        <v>-</v>
      </c>
      <c r="R31" s="89" t="str">
        <f>IF(Sheet1!BQ29&gt;25.75,"spill elevation","-")</f>
        <v>-</v>
      </c>
      <c r="S31" s="89" t="str">
        <f>IF(Sheet1!BR29&gt;25.75,"spill elevation","-")</f>
        <v>-</v>
      </c>
      <c r="T31" s="93">
        <f>IF(Sheet1!DU29=1,Sheet1!AA29-(SUM(AT31:BA31)+BE31),Sheet1!AA29-SUM(AT31:BA31))</f>
        <v>25.565056000000002</v>
      </c>
      <c r="U31" s="93">
        <f>Sheet1!BV29</f>
        <v>26.4</v>
      </c>
      <c r="V31" s="93">
        <f t="shared" si="14"/>
        <v>-0.83494399999999658</v>
      </c>
      <c r="W31" s="93">
        <f>0</f>
        <v>0</v>
      </c>
      <c r="X31" s="89">
        <f>0</f>
        <v>0</v>
      </c>
      <c r="Y31" s="94">
        <f ca="1">Calculation!EJ32+Calculation!ES31+'Calculations II'!O31-'Calculations II'!W31</f>
        <v>38.225351546507149</v>
      </c>
      <c r="Z31" s="94">
        <f ca="1">Y31-Sheet1!CT30</f>
        <v>25.74635154650715</v>
      </c>
      <c r="AA31" s="94">
        <f ca="1">Y31+Calculation!DJ32+Calculation!AS32</f>
        <v>48.800439955151546</v>
      </c>
      <c r="AC31" s="94">
        <f>Sheet1!AA29+Sheet1!AB29+BC31</f>
        <v>56.620000000000005</v>
      </c>
      <c r="AD31" s="94">
        <f>Sheet1!AA29+Sheet1!BN29+'Calculations II'!BC31-Calculation!AS31-Calculation!DJ31</f>
        <v>35.529422694094229</v>
      </c>
      <c r="AE31" s="94">
        <f>Sheet1!AA29+Sheet1!AB29+'Calculations II'!BC31-Calculation!AS31-Calculation!DJ31</f>
        <v>46.029422694094229</v>
      </c>
      <c r="AF31" s="94">
        <f ca="1">Sheet1!AA29+Sheet1!BN29+P31+'Calculations II'!BC31+Calculation!AS31+Calculation!DJ31</f>
        <v>53.018289551970362</v>
      </c>
      <c r="AG31" s="94">
        <f ca="1">IF(B31=TODAY(),0,Sheet1!AA29+Sheet1!BN29+'Calculations II'!BC31+'Calculations II'!P31-Sheet1!CT29-BP31)</f>
        <v>29.178712246064585</v>
      </c>
      <c r="AH31" s="94">
        <f ca="1">IF(B31=TODAY(),0,Sheet1!AA29+Sheet1!BN29+'Calculations II'!BC31+'Calculations II'!P31-BP31)</f>
        <v>42.427712246064587</v>
      </c>
      <c r="AI31" s="94">
        <f ca="1">IF(B31=TODAY(),0,BC31+Sheet1!AA29+Calculation!ES31+O31+W31+Sheet1!BN29+Calculation!AS31+Calculation!DJ31-BP31)</f>
        <v>53.018289551970355</v>
      </c>
      <c r="AJ31" s="94"/>
      <c r="AM31" s="90">
        <f t="shared" si="15"/>
        <v>42755</v>
      </c>
      <c r="AN31" s="94">
        <f>Sheet1!BU29</f>
        <v>24.9</v>
      </c>
      <c r="AO31" s="94">
        <f>Sheet1!AA29</f>
        <v>26.62</v>
      </c>
      <c r="AP31" s="94">
        <f t="shared" si="1"/>
        <v>2.4099000000000026</v>
      </c>
      <c r="AQ31" s="1087">
        <f>((Sheet1!BV29-(Sheet1!BU29-AP31))/(Sheet1!BU29-AP31))</f>
        <v>0.17384982725732678</v>
      </c>
      <c r="AR31" s="94">
        <f t="shared" si="2"/>
        <v>24.210099999999997</v>
      </c>
      <c r="AS31" s="94">
        <f t="shared" si="3"/>
        <v>22.490099999999995</v>
      </c>
      <c r="AT31" s="89">
        <f>Sheet1!BB29</f>
        <v>0</v>
      </c>
      <c r="AU31" s="89">
        <f>Sheet1!AS29*GPMtoMGD</f>
        <v>1.5552000000000002E-2</v>
      </c>
      <c r="AV31" s="94">
        <f>Sheet1!AT29</f>
        <v>0</v>
      </c>
      <c r="AW31" s="89">
        <f>Sheet1!AV29*GPMtoMGD</f>
        <v>0.47635200000000005</v>
      </c>
      <c r="AX31" s="89">
        <f>Sheet1!AW29*GPMtoMGD</f>
        <v>0.56303999999999998</v>
      </c>
      <c r="AY31" s="89">
        <f>Sheet1!AX29*GPMtoMGD</f>
        <v>0</v>
      </c>
      <c r="AZ31" s="89">
        <f>Sheet1!AY29*GPMtoMGD</f>
        <v>0</v>
      </c>
      <c r="BA31" s="89">
        <f>Sheet1!AZ29*GPMtoMGD</f>
        <v>0</v>
      </c>
      <c r="BB31" s="89">
        <f>Sheet1!BP29*GPMtoMGD</f>
        <v>2.5920000000000001E-3</v>
      </c>
      <c r="BC31" s="89">
        <f>Sheet1!CS29*GPMtoMGD</f>
        <v>0</v>
      </c>
      <c r="BD31" s="89">
        <f>Sheet1!BO29*GPMtoMGD</f>
        <v>1.3111200000000001</v>
      </c>
      <c r="BE31" s="89">
        <f>Sheet1!BW29*GPMtoMGD</f>
        <v>0.75600000000000001</v>
      </c>
      <c r="BF31" s="89">
        <f>Sheet1!CN29*GPMtoMGD</f>
        <v>0.75052800000000008</v>
      </c>
      <c r="BG31" s="89">
        <f>Sheet1!CO29*GPMtoMGD</f>
        <v>0.55540800000000001</v>
      </c>
      <c r="BH31" s="89">
        <f>Sheet1!CP29*GPMtoMGD</f>
        <v>0.50284799999999996</v>
      </c>
      <c r="BI31" s="89">
        <f t="shared" si="16"/>
        <v>1.313712</v>
      </c>
      <c r="BK31" s="94">
        <f>SUM(AT31:BA31,AS31,BC31,Calculation!AQ31)</f>
        <v>42.954466694094222</v>
      </c>
      <c r="BM31" s="358">
        <f>0</f>
        <v>0</v>
      </c>
      <c r="BN31" s="358">
        <f>0</f>
        <v>0</v>
      </c>
      <c r="BP31" s="94">
        <f>SUM(BM31:BN31,W31,Sheet1!DX29)</f>
        <v>0</v>
      </c>
      <c r="BR31" s="94">
        <f>Sheet1!AA29</f>
        <v>26.62</v>
      </c>
      <c r="BS31" s="94">
        <f>Sheet1!AB29</f>
        <v>30</v>
      </c>
      <c r="BT31" s="94">
        <f t="shared" ca="1" si="7"/>
        <v>-3.692287753935418</v>
      </c>
      <c r="BU31" s="94">
        <f>Sheet1!AT29</f>
        <v>0</v>
      </c>
      <c r="BV31" s="89">
        <f>Sheet1!BB29</f>
        <v>0</v>
      </c>
      <c r="BW31" s="94">
        <f>Calculation!ED31</f>
        <v>10.590577305905773</v>
      </c>
      <c r="BX31" s="94">
        <f>(Sheet1!CS29*1440)/1000000</f>
        <v>0</v>
      </c>
      <c r="CA31" s="94">
        <f ca="1">Sheet1!AC29-Sheet1!BK29-Sheet1!BL29-Sheet1!BM29-Sheet1!BC29-Sheet1!BD29-Sheet1!BE29-Sheet1!BF29-Sheet1!BG29-Sheet1!BH29-Sheet1!BI29+BC31+P31</f>
        <v>42.287712246064579</v>
      </c>
      <c r="CB31" s="93">
        <f t="shared" si="8"/>
        <v>71.207516907763775</v>
      </c>
      <c r="CC31" s="94">
        <f t="shared" si="9"/>
        <v>0</v>
      </c>
      <c r="CD31" s="94">
        <f t="shared" ca="1" si="10"/>
        <v>52.878289551970354</v>
      </c>
      <c r="CE31" s="1077">
        <f t="shared" ca="1" si="11"/>
        <v>81.80271393689813</v>
      </c>
      <c r="CG31" s="1077">
        <f t="shared" ca="1" si="12"/>
        <v>42.287712246064579</v>
      </c>
    </row>
    <row r="32" spans="1:85" s="89" customFormat="1" x14ac:dyDescent="0.25">
      <c r="A32" s="616" t="s">
        <v>9</v>
      </c>
      <c r="B32" s="91">
        <v>42756</v>
      </c>
      <c r="C32" s="92">
        <v>0</v>
      </c>
      <c r="D32" s="94">
        <f>(Sheet1!BQ30-Sheet1!BQ29)*1.385</f>
        <v>1.0248999999999979</v>
      </c>
      <c r="E32" s="30">
        <f>(Sheet1!BR30-Sheet1!BR29)*1.385</f>
        <v>1.0387500000000001</v>
      </c>
      <c r="F32" s="30">
        <f ca="1">IF(B32=TODAY(),0,-(VLOOKUP(Sheet1!CD30,Lookup!$I$4:$J$216,2)-VLOOKUP(Sheet1!CD29,Lookup!$I$4:$J$216,2))/1000000)</f>
        <v>0.725458569834603</v>
      </c>
      <c r="G32" s="94">
        <f ca="1">IF(B32=TODAY(),0,-$G$6*(Sheet1!CF30-Sheet1!CF29)*7.48/1000000)</f>
        <v>0.31770800842047398</v>
      </c>
      <c r="H32" s="94">
        <f ca="1">IF(B32=TODAY(),0,-$H$6*(Sheet1!CE30-Sheet1!CE29)*7.48/1000000)</f>
        <v>3.0078864702530014E-2</v>
      </c>
      <c r="I32" s="94">
        <f ca="1">IF(B32=TODAY(),0,-$I$6*(Sheet1!CG30-Sheet1!CG29)*7.48/1000000)</f>
        <v>-5.3909855999999647E-3</v>
      </c>
      <c r="J32" s="95" t="s">
        <v>177</v>
      </c>
      <c r="K32" s="94">
        <f ca="1">IF(B32=TODAY(),0,-$K$6*(Sheet1!CH30-Sheet1!CH29)*7.48/1000000)</f>
        <v>-1.3326640748916953E-2</v>
      </c>
      <c r="L32" s="95" t="s">
        <v>177</v>
      </c>
      <c r="M32" s="94">
        <f ca="1">IF(B32=TODAY(),0,-$M$6*(Sheet1!CI30-Sheet1!CI29)*7.48/1000000)</f>
        <v>-5.3974525284081275E-2</v>
      </c>
      <c r="N32" s="94">
        <f ca="1">IF(B32=TODAY(),0,-$N$6*(Sheet1!CJ30-Sheet1!CJ29)*7.48/1000000)</f>
        <v>0.43436641776236795</v>
      </c>
      <c r="O32" s="94">
        <f t="shared" ca="1" si="13"/>
        <v>1.4349197090869767</v>
      </c>
      <c r="P32" s="94">
        <f ca="1">O32+Calculation!ES32</f>
        <v>-0.6430697176861877</v>
      </c>
      <c r="Q32" s="89" t="str">
        <f>IF(Sheet1!BQ30&gt;25.75,"spill elevation","-")</f>
        <v>-</v>
      </c>
      <c r="R32" s="89" t="str">
        <f>IF(Sheet1!BQ30&gt;25.75,"spill elevation","-")</f>
        <v>-</v>
      </c>
      <c r="S32" s="89" t="str">
        <f>IF(Sheet1!BR30&gt;25.75,"spill elevation","-")</f>
        <v>-</v>
      </c>
      <c r="T32" s="93">
        <f>IF(Sheet1!DU30=1,Sheet1!AA30-(SUM(AT32:BA32)+BE32),Sheet1!AA30-SUM(AT32:BA32))</f>
        <v>25.742192000000003</v>
      </c>
      <c r="U32" s="93">
        <f>Sheet1!BV30</f>
        <v>27.1</v>
      </c>
      <c r="V32" s="93">
        <f t="shared" si="14"/>
        <v>-1.3578079999999986</v>
      </c>
      <c r="W32" s="93">
        <f>0</f>
        <v>0</v>
      </c>
      <c r="X32" s="89">
        <f>0</f>
        <v>0</v>
      </c>
      <c r="Y32" s="94">
        <f ca="1">Calculation!EJ33+Calculation!ES32+'Calculations II'!O32-'Calculations II'!W32</f>
        <v>32.779697061530072</v>
      </c>
      <c r="Z32" s="94">
        <f ca="1">Y32-Sheet1!CT31</f>
        <v>24.980697061530073</v>
      </c>
      <c r="AA32" s="94">
        <f ca="1">Y32+Calculation!DJ33+Calculation!AS33</f>
        <v>43.184317211684956</v>
      </c>
      <c r="AC32" s="94">
        <f>Sheet1!AA30+Sheet1!AB30+BC32</f>
        <v>51.8</v>
      </c>
      <c r="AD32" s="94">
        <f>Sheet1!AA30+Sheet1!BN30+'Calculations II'!BC32-Calculation!AS32-Calculation!DJ32</f>
        <v>30.794911591355604</v>
      </c>
      <c r="AE32" s="94">
        <f>Sheet1!AA30+Sheet1!AB30+'Calculations II'!BC32-Calculation!AS32-Calculation!DJ32</f>
        <v>41.224911591355593</v>
      </c>
      <c r="AF32" s="94">
        <f ca="1">Sheet1!AA30+Sheet1!BN30+P32+'Calculations II'!BC32+Calculation!AS32+Calculation!DJ32</f>
        <v>51.302018690958221</v>
      </c>
      <c r="AG32" s="94">
        <f ca="1">IF(B32=TODAY(),0,Sheet1!AA30+Sheet1!BN30+'Calculations II'!BC32+'Calculations II'!P32-Sheet1!CT30-BP32)</f>
        <v>28.247930282313817</v>
      </c>
      <c r="AH32" s="94">
        <f ca="1">IF(B32=TODAY(),0,Sheet1!AA30+Sheet1!BN30+'Calculations II'!BC32+'Calculations II'!P32-BP32)</f>
        <v>40.726930282313816</v>
      </c>
      <c r="AI32" s="94">
        <f ca="1">IF(B32=TODAY(),0,BC32+Sheet1!AA30+Calculation!ES32+O32+W32+Sheet1!BN30+Calculation!AS32+Calculation!DJ32-BP32)</f>
        <v>51.302018690958221</v>
      </c>
      <c r="AJ32" s="94"/>
      <c r="AM32" s="90">
        <f t="shared" si="15"/>
        <v>42756</v>
      </c>
      <c r="AN32" s="94">
        <f>Sheet1!BU30</f>
        <v>25</v>
      </c>
      <c r="AO32" s="94">
        <f>Sheet1!AA30</f>
        <v>26.6</v>
      </c>
      <c r="AP32" s="94">
        <f t="shared" si="1"/>
        <v>2.0636499999999982</v>
      </c>
      <c r="AQ32" s="1087">
        <f>((Sheet1!BV30-(Sheet1!BU30-AP32))/(Sheet1!BU30-AP32))</f>
        <v>0.1815306271486091</v>
      </c>
      <c r="AR32" s="94">
        <f t="shared" si="2"/>
        <v>24.536350000000002</v>
      </c>
      <c r="AS32" s="94">
        <f t="shared" si="3"/>
        <v>22.936350000000001</v>
      </c>
      <c r="AT32" s="89">
        <f>Sheet1!BB30</f>
        <v>0</v>
      </c>
      <c r="AU32" s="89">
        <f>Sheet1!AS30*GPMtoMGD</f>
        <v>3.0096000000000001E-2</v>
      </c>
      <c r="AV32" s="94">
        <f>Sheet1!AT30</f>
        <v>0</v>
      </c>
      <c r="AW32" s="89">
        <f>Sheet1!AV30*GPMtoMGD</f>
        <v>0.29995200000000005</v>
      </c>
      <c r="AX32" s="89">
        <f>Sheet1!AW30*GPMtoMGD</f>
        <v>0.52776000000000001</v>
      </c>
      <c r="AY32" s="89">
        <f>Sheet1!AX30*GPMtoMGD</f>
        <v>0</v>
      </c>
      <c r="AZ32" s="89">
        <f>Sheet1!AY30*GPMtoMGD</f>
        <v>0</v>
      </c>
      <c r="BA32" s="89">
        <f>Sheet1!AZ30*GPMtoMGD</f>
        <v>0</v>
      </c>
      <c r="BB32" s="89">
        <f>Sheet1!BP30*GPMtoMGD</f>
        <v>2.8800000000000002E-3</v>
      </c>
      <c r="BC32" s="89">
        <f>Sheet1!CS30*GPMtoMGD</f>
        <v>0</v>
      </c>
      <c r="BD32" s="89">
        <f>Sheet1!BO30*GPMtoMGD</f>
        <v>1.5379200000000002</v>
      </c>
      <c r="BE32" s="89">
        <f>Sheet1!BW30*GPMtoMGD</f>
        <v>0.62784000000000006</v>
      </c>
      <c r="BF32" s="89">
        <f>Sheet1!CN30*GPMtoMGD</f>
        <v>0.93801600000000007</v>
      </c>
      <c r="BG32" s="89">
        <f>Sheet1!CO30*GPMtoMGD</f>
        <v>0.55756800000000006</v>
      </c>
      <c r="BH32" s="89">
        <f>Sheet1!CP30*GPMtoMGD</f>
        <v>0.49276800000000004</v>
      </c>
      <c r="BI32" s="89">
        <f t="shared" si="16"/>
        <v>1.5408000000000002</v>
      </c>
      <c r="BK32" s="94">
        <f>SUM(AT32:BA32,AS32,BC32,Calculation!AQ32)</f>
        <v>38.419069591355594</v>
      </c>
      <c r="BM32" s="358">
        <f>0</f>
        <v>0</v>
      </c>
      <c r="BN32" s="358">
        <f>0</f>
        <v>0</v>
      </c>
      <c r="BP32" s="94">
        <f>SUM(BM32:BN32,W32,Sheet1!DX30)</f>
        <v>0</v>
      </c>
      <c r="BR32" s="94">
        <f>Sheet1!AA30</f>
        <v>26.6</v>
      </c>
      <c r="BS32" s="94">
        <f>Sheet1!AB30</f>
        <v>25.2</v>
      </c>
      <c r="BT32" s="94">
        <f t="shared" ca="1" si="7"/>
        <v>-0.6430697176861877</v>
      </c>
      <c r="BU32" s="94">
        <f>Sheet1!AT30</f>
        <v>0</v>
      </c>
      <c r="BV32" s="89">
        <f>Sheet1!BB30</f>
        <v>0</v>
      </c>
      <c r="BW32" s="94">
        <f>Calculation!ED32</f>
        <v>10.575088408644401</v>
      </c>
      <c r="BX32" s="94">
        <f>(Sheet1!CS30*1440)/1000000</f>
        <v>0</v>
      </c>
      <c r="CA32" s="94">
        <f ca="1">Sheet1!AC30-Sheet1!BK30-Sheet1!BL30-Sheet1!BM30-Sheet1!BC30-Sheet1!BD30-Sheet1!BE30-Sheet1!BF30-Sheet1!BG30-Sheet1!BH30-Sheet1!BI30+BC32+P32</f>
        <v>40.476930282313802</v>
      </c>
      <c r="CB32" s="93">
        <f t="shared" si="8"/>
        <v>63.7749382318271</v>
      </c>
      <c r="CC32" s="94">
        <f t="shared" si="9"/>
        <v>0</v>
      </c>
      <c r="CD32" s="94">
        <f t="shared" ca="1" si="10"/>
        <v>51.052018690958207</v>
      </c>
      <c r="CE32" s="1077">
        <f t="shared" ca="1" si="11"/>
        <v>78.97747291491234</v>
      </c>
      <c r="CG32" s="1077">
        <f t="shared" ca="1" si="12"/>
        <v>40.476930282313802</v>
      </c>
    </row>
    <row r="33" spans="1:85" s="89" customFormat="1" x14ac:dyDescent="0.25">
      <c r="A33" s="616" t="s">
        <v>3</v>
      </c>
      <c r="B33" s="91">
        <v>42757</v>
      </c>
      <c r="C33" s="92">
        <v>0</v>
      </c>
      <c r="D33" s="94">
        <f>(Sheet1!BQ31-Sheet1!BQ30)*1.385</f>
        <v>-1.385</v>
      </c>
      <c r="E33" s="30">
        <f>(Sheet1!BR31-Sheet1!BR30)*1.385</f>
        <v>-1.4126999999999994</v>
      </c>
      <c r="F33" s="30">
        <f ca="1">IF(B33=TODAY(),0,-(VLOOKUP(Sheet1!CD31,Lookup!$I$4:$J$216,2)-VLOOKUP(Sheet1!CD30,Lookup!$I$4:$J$216,2))/1000000)</f>
        <v>-0.51818469273900425</v>
      </c>
      <c r="G33" s="94">
        <f ca="1">IF(B33=TODAY(),0,-$G$6*(Sheet1!CF31-Sheet1!CF30)*7.48/1000000)</f>
        <v>0.3574215094730338</v>
      </c>
      <c r="H33" s="94">
        <f ca="1">IF(B33=TODAY(),0,-$H$6*(Sheet1!CE31-Sheet1!CE30)*7.48/1000000)</f>
        <v>0</v>
      </c>
      <c r="I33" s="94">
        <f ca="1">IF(B33=TODAY(),0,-$I$6*(Sheet1!CG31-Sheet1!CG30)*7.48/1000000)</f>
        <v>1.3477463999999995E-2</v>
      </c>
      <c r="J33" s="95" t="s">
        <v>177</v>
      </c>
      <c r="K33" s="94">
        <f ca="1">IF(B33=TODAY(),0,-$K$6*(Sheet1!CH31-Sheet1!CH30)*7.48/1000000)</f>
        <v>2.6653281497833796E-2</v>
      </c>
      <c r="L33" s="95" t="s">
        <v>177</v>
      </c>
      <c r="M33" s="94">
        <f ca="1">IF(B33=TODAY(),0,-$M$6*(Sheet1!CI31-Sheet1!CI30)*7.48/1000000)</f>
        <v>8.9957542140135238E-2</v>
      </c>
      <c r="N33" s="94">
        <f ca="1">IF(B33=TODAY(),0,-$N$6*(Sheet1!CJ31-Sheet1!CJ30)*7.48/1000000)</f>
        <v>0.47159782499914149</v>
      </c>
      <c r="O33" s="94">
        <f t="shared" ca="1" si="13"/>
        <v>0.44092292937114014</v>
      </c>
      <c r="P33" s="94">
        <f ca="1">O33+Calculation!ES33</f>
        <v>3.2113875013360857</v>
      </c>
      <c r="Q33" s="89" t="str">
        <f>IF(Sheet1!BQ31&gt;25.75,"spill elevation","-")</f>
        <v>-</v>
      </c>
      <c r="R33" s="89" t="str">
        <f>IF(Sheet1!BQ31&gt;25.75,"spill elevation","-")</f>
        <v>-</v>
      </c>
      <c r="S33" s="89" t="str">
        <f>IF(Sheet1!BR31&gt;25.75,"spill elevation","-")</f>
        <v>-</v>
      </c>
      <c r="T33" s="93">
        <f>IF(Sheet1!DU31=1,Sheet1!AA31-(SUM(AT33:BA33)+BE33),Sheet1!AA31-SUM(AT33:BA33))</f>
        <v>24.223535999999999</v>
      </c>
      <c r="U33" s="93">
        <f>Sheet1!BV31</f>
        <v>30.9</v>
      </c>
      <c r="V33" s="93">
        <f t="shared" si="14"/>
        <v>-6.6764639999999993</v>
      </c>
      <c r="W33" s="93">
        <f>0</f>
        <v>0</v>
      </c>
      <c r="X33" s="89">
        <f>0</f>
        <v>0</v>
      </c>
      <c r="Y33" s="94">
        <f ca="1">Calculation!EJ34+Calculation!ES33+'Calculations II'!O33-'Calculations II'!W33</f>
        <v>35.118397004671486</v>
      </c>
      <c r="Z33" s="94">
        <f ca="1">Y33-Sheet1!CT32</f>
        <v>28.923397004671486</v>
      </c>
      <c r="AA33" s="94">
        <f ca="1">Y33+Calculation!DJ34+Calculation!AS34</f>
        <v>45.546737085643144</v>
      </c>
      <c r="AC33" s="94">
        <f>Sheet1!AA31+Sheet1!AB31+BC33</f>
        <v>44.11</v>
      </c>
      <c r="AD33" s="94">
        <f>Sheet1!AA31+Sheet1!BN31+'Calculations II'!BC33-Calculation!AS33-Calculation!DJ33</f>
        <v>23.362379849845116</v>
      </c>
      <c r="AE33" s="94">
        <f>Sheet1!AA31+Sheet1!AB31+'Calculations II'!BC33-Calculation!AS33-Calculation!DJ33</f>
        <v>33.705379849845116</v>
      </c>
      <c r="AF33" s="94">
        <f ca="1">Sheet1!AA31+Sheet1!BN31+P33+'Calculations II'!BC33+Calculation!AS33+Calculation!DJ33</f>
        <v>47.383007651490956</v>
      </c>
      <c r="AG33" s="94">
        <f ca="1">IF(B33=TODAY(),0,Sheet1!AA31+Sheet1!BN31+'Calculations II'!BC33+'Calculations II'!P33-Sheet1!CT31-BP33)</f>
        <v>29.17938750133608</v>
      </c>
      <c r="AH33" s="94">
        <f ca="1">IF(B33=TODAY(),0,Sheet1!AA31+Sheet1!BN31+'Calculations II'!BC33+'Calculations II'!P33-BP33)</f>
        <v>36.97838750133608</v>
      </c>
      <c r="AI33" s="94">
        <f ca="1">IF(B33=TODAY(),0,BC33+Sheet1!AA31+Calculation!ES33+O33+W33+Sheet1!BN31+Calculation!AS33+Calculation!DJ33-BP33)</f>
        <v>47.383007651490971</v>
      </c>
      <c r="AJ33" s="94"/>
      <c r="AM33" s="90">
        <f t="shared" si="15"/>
        <v>42757</v>
      </c>
      <c r="AN33" s="94">
        <f>Sheet1!BU31</f>
        <v>23.5</v>
      </c>
      <c r="AO33" s="94">
        <f>Sheet1!AA31</f>
        <v>25.2</v>
      </c>
      <c r="AP33" s="94">
        <f t="shared" si="1"/>
        <v>-2.7976999999999994</v>
      </c>
      <c r="AQ33" s="1087">
        <f>((Sheet1!BV31-(Sheet1!BU31-AP33))/(Sheet1!BU31-AP33))</f>
        <v>0.17500770029318152</v>
      </c>
      <c r="AR33" s="94">
        <f t="shared" si="2"/>
        <v>27.997699999999998</v>
      </c>
      <c r="AS33" s="94">
        <f t="shared" si="3"/>
        <v>26.297699999999999</v>
      </c>
      <c r="AT33" s="89">
        <f>Sheet1!BB31</f>
        <v>0</v>
      </c>
      <c r="AU33" s="89">
        <f>Sheet1!AS31*GPMtoMGD</f>
        <v>1.728E-2</v>
      </c>
      <c r="AV33" s="94">
        <f>Sheet1!AT31</f>
        <v>0</v>
      </c>
      <c r="AW33" s="89">
        <f>Sheet1!AV31*GPMtoMGD</f>
        <v>0.33854400000000001</v>
      </c>
      <c r="AX33" s="89">
        <f>Sheet1!AW31*GPMtoMGD</f>
        <v>0.62064000000000008</v>
      </c>
      <c r="AY33" s="89">
        <f>Sheet1!AX31*GPMtoMGD</f>
        <v>0</v>
      </c>
      <c r="AZ33" s="89">
        <f>Sheet1!AY31*GPMtoMGD</f>
        <v>0</v>
      </c>
      <c r="BA33" s="89">
        <f>Sheet1!AZ31*GPMtoMGD</f>
        <v>0</v>
      </c>
      <c r="BB33" s="89">
        <f>Sheet1!BP31*GPMtoMGD</f>
        <v>2.7360000000000002E-3</v>
      </c>
      <c r="BC33" s="89">
        <f>Sheet1!CS31*GPMtoMGD</f>
        <v>0</v>
      </c>
      <c r="BD33" s="89">
        <f>Sheet1!BO31*GPMtoMGD</f>
        <v>1.4077440000000001</v>
      </c>
      <c r="BE33" s="89">
        <f>Sheet1!BW31*GPMtoMGD</f>
        <v>0.83520000000000005</v>
      </c>
      <c r="BF33" s="89">
        <f>Sheet1!CN31*GPMtoMGD</f>
        <v>0.85680000000000001</v>
      </c>
      <c r="BG33" s="89">
        <f>Sheet1!CO31*GPMtoMGD</f>
        <v>0.57859200000000011</v>
      </c>
      <c r="BH33" s="89">
        <f>Sheet1!CP31*GPMtoMGD</f>
        <v>0.50385599999999997</v>
      </c>
      <c r="BI33" s="89">
        <f t="shared" si="16"/>
        <v>1.4104800000000002</v>
      </c>
      <c r="BK33" s="94">
        <f>SUM(AT33:BA33,AS33,BC33,Calculation!AQ33)</f>
        <v>35.779543849845119</v>
      </c>
      <c r="BM33" s="358">
        <f>0</f>
        <v>0</v>
      </c>
      <c r="BN33" s="358">
        <f>0</f>
        <v>0</v>
      </c>
      <c r="BP33" s="94">
        <f>SUM(BM33:BN33,W33,Sheet1!DX31)</f>
        <v>0</v>
      </c>
      <c r="BR33" s="94">
        <f>Sheet1!AA31</f>
        <v>25.2</v>
      </c>
      <c r="BS33" s="94">
        <f>Sheet1!AB31</f>
        <v>18.91</v>
      </c>
      <c r="BT33" s="94">
        <f t="shared" ca="1" si="7"/>
        <v>3.2113875013360857</v>
      </c>
      <c r="BU33" s="94">
        <f>Sheet1!AT31</f>
        <v>0</v>
      </c>
      <c r="BV33" s="89">
        <f>Sheet1!BB31</f>
        <v>0</v>
      </c>
      <c r="BW33" s="94">
        <f>Calculation!ED33</f>
        <v>10.40462015015488</v>
      </c>
      <c r="BX33" s="94">
        <f>(Sheet1!CS31*1440)/1000000</f>
        <v>0</v>
      </c>
      <c r="CA33" s="94">
        <f ca="1">Sheet1!AC31-Sheet1!BK31-Sheet1!BL31-Sheet1!BM31-Sheet1!BC31-Sheet1!BD31-Sheet1!BE31-Sheet1!BF31-Sheet1!BG31-Sheet1!BH31-Sheet1!BI31+BC33+P33</f>
        <v>36.841387501336079</v>
      </c>
      <c r="CB33" s="93">
        <f t="shared" si="8"/>
        <v>52.142222627710389</v>
      </c>
      <c r="CC33" s="94">
        <f t="shared" si="9"/>
        <v>0</v>
      </c>
      <c r="CD33" s="94">
        <f t="shared" ca="1" si="10"/>
        <v>47.246007651490956</v>
      </c>
      <c r="CE33" s="1077">
        <f t="shared" ca="1" si="11"/>
        <v>73.089573836856502</v>
      </c>
      <c r="CG33" s="1077">
        <f t="shared" ca="1" si="12"/>
        <v>36.841387501336079</v>
      </c>
    </row>
    <row r="34" spans="1:85" s="89" customFormat="1" x14ac:dyDescent="0.25">
      <c r="A34" s="616" t="s">
        <v>4</v>
      </c>
      <c r="B34" s="91">
        <v>42758</v>
      </c>
      <c r="C34" s="92">
        <v>0</v>
      </c>
      <c r="D34" s="94">
        <f>(Sheet1!BQ32-Sheet1!BQ31)*1.385</f>
        <v>-1.5789000000000009</v>
      </c>
      <c r="E34" s="30">
        <f>(Sheet1!BR32-Sheet1!BR31)*1.385</f>
        <v>-1.592750000000003</v>
      </c>
      <c r="F34" s="30">
        <f ca="1">IF(B34=TODAY(),0,-(VLOOKUP(Sheet1!CD32,Lookup!$I$4:$J$216,2)-VLOOKUP(Sheet1!CD31,Lookup!$I$4:$J$216,2))/1000000)</f>
        <v>0.82909550838240231</v>
      </c>
      <c r="G34" s="94">
        <f ca="1">IF(B34=TODAY(),0,-$G$6*(Sheet1!CF32-Sheet1!CF31)*7.48/1000000)</f>
        <v>0.11914050315767817</v>
      </c>
      <c r="H34" s="94">
        <f ca="1">IF(B34=TODAY(),0,-$H$6*(Sheet1!CE32-Sheet1!CE31)*7.48/1000000)</f>
        <v>0</v>
      </c>
      <c r="I34" s="94">
        <f ca="1">IF(B34=TODAY(),0,-$I$6*(Sheet1!CG32-Sheet1!CG31)*7.48/1000000)</f>
        <v>2.2462440000000004E-2</v>
      </c>
      <c r="J34" s="95" t="s">
        <v>177</v>
      </c>
      <c r="K34" s="94">
        <f ca="1">IF(B34=TODAY(),0,-$K$6*(Sheet1!CH32-Sheet1!CH31)*7.48/1000000)</f>
        <v>4.8642238733546658E-2</v>
      </c>
      <c r="L34" s="95" t="s">
        <v>177</v>
      </c>
      <c r="M34" s="94">
        <f ca="1">IF(B34=TODAY(),0,-$M$6*(Sheet1!CI32-Sheet1!CI31)*7.48/1000000)</f>
        <v>5.3974525284081275E-2</v>
      </c>
      <c r="N34" s="94">
        <f ca="1">IF(B34=TODAY(),0,-$N$6*(Sheet1!CJ32-Sheet1!CJ31)*7.48/1000000)</f>
        <v>0.3536983687493564</v>
      </c>
      <c r="O34" s="94">
        <f t="shared" ca="1" si="13"/>
        <v>1.4270135843070646</v>
      </c>
      <c r="P34" s="94">
        <f ca="1">O34+Calculation!ES34</f>
        <v>4.6114842024227656</v>
      </c>
      <c r="Q34" s="89" t="str">
        <f>IF(Sheet1!BQ32&gt;25.75,"spill elevation","-")</f>
        <v>-</v>
      </c>
      <c r="R34" s="89" t="str">
        <f>IF(Sheet1!BQ32&gt;25.75,"spill elevation","-")</f>
        <v>-</v>
      </c>
      <c r="S34" s="89" t="str">
        <f>IF(Sheet1!BR32&gt;25.75,"spill elevation","-")</f>
        <v>-</v>
      </c>
      <c r="T34" s="93">
        <f>IF(Sheet1!DU32=1,Sheet1!AA32-(SUM(AT34:BA34)+BE34),Sheet1!AA32-SUM(AT34:BA34))</f>
        <v>23.701664000000001</v>
      </c>
      <c r="U34" s="93">
        <f>Sheet1!BV32</f>
        <v>30.4</v>
      </c>
      <c r="V34" s="93">
        <f t="shared" si="14"/>
        <v>-6.6983359999999976</v>
      </c>
      <c r="W34" s="93">
        <f>0</f>
        <v>0</v>
      </c>
      <c r="X34" s="89">
        <f>0</f>
        <v>0</v>
      </c>
      <c r="Y34" s="94">
        <f ca="1">Calculation!EJ35+Calculation!ES34+'Calculations II'!O34-'Calculations II'!W34</f>
        <v>35.897379797155637</v>
      </c>
      <c r="Z34" s="94">
        <f ca="1">Y34-Sheet1!CT33</f>
        <v>33.052379797155638</v>
      </c>
      <c r="AA34" s="94">
        <f ca="1">Y34+Calculation!DJ35+Calculation!AS35</f>
        <v>46.332266614732205</v>
      </c>
      <c r="AC34" s="94">
        <f>Sheet1!AA32+Sheet1!AB32+BC34</f>
        <v>41.510000000000005</v>
      </c>
      <c r="AD34" s="94">
        <f>Sheet1!AA32+Sheet1!BN32+'Calculations II'!BC34-Calculation!AS34-Calculation!DJ34</f>
        <v>20.76165991902834</v>
      </c>
      <c r="AE34" s="94">
        <f>Sheet1!AA32+Sheet1!AB32+'Calculations II'!BC34-Calculation!AS34-Calculation!DJ34</f>
        <v>31.081659919028347</v>
      </c>
      <c r="AF34" s="94">
        <f ca="1">Sheet1!AA32+Sheet1!BN32+P34+'Calculations II'!BC34+Calculation!AS34+Calculation!DJ34</f>
        <v>46.229824283394429</v>
      </c>
      <c r="AG34" s="94">
        <f ca="1">IF(B34=TODAY(),0,Sheet1!AA32+Sheet1!BN32+'Calculations II'!BC34+'Calculations II'!P34-Sheet1!CT32-BP34)</f>
        <v>29.60648420242277</v>
      </c>
      <c r="AH34" s="94">
        <f ca="1">IF(B34=TODAY(),0,Sheet1!AA32+Sheet1!BN32+'Calculations II'!BC34+'Calculations II'!P34-BP34)</f>
        <v>35.80148420242277</v>
      </c>
      <c r="AI34" s="94">
        <f ca="1">IF(B34=TODAY(),0,BC34+Sheet1!AA32+Calculation!ES34+O34+W34+Sheet1!BN32+Calculation!AS34+Calculation!DJ34-BP34)</f>
        <v>46.229824283394422</v>
      </c>
      <c r="AJ34" s="94"/>
      <c r="AM34" s="90">
        <f t="shared" si="15"/>
        <v>42758</v>
      </c>
      <c r="AN34" s="94">
        <f>Sheet1!BU32</f>
        <v>23.1</v>
      </c>
      <c r="AO34" s="94">
        <f>Sheet1!AA32</f>
        <v>24.5</v>
      </c>
      <c r="AP34" s="94">
        <f t="shared" si="1"/>
        <v>-3.1716500000000041</v>
      </c>
      <c r="AQ34" s="1087">
        <f>((Sheet1!BV32-(Sheet1!BU32-AP34))/(Sheet1!BU32-AP34))</f>
        <v>0.15714087238525151</v>
      </c>
      <c r="AR34" s="94">
        <f t="shared" si="2"/>
        <v>27.671650000000003</v>
      </c>
      <c r="AS34" s="94">
        <f t="shared" si="3"/>
        <v>26.271650000000005</v>
      </c>
      <c r="AT34" s="89">
        <f>Sheet1!BB32</f>
        <v>0</v>
      </c>
      <c r="AU34" s="89">
        <f>Sheet1!AS32*GPMtoMGD</f>
        <v>2.8800000000000003E-2</v>
      </c>
      <c r="AV34" s="94">
        <f>Sheet1!AT32</f>
        <v>0</v>
      </c>
      <c r="AW34" s="89">
        <f>Sheet1!AV32*GPMtoMGD</f>
        <v>0.33696000000000004</v>
      </c>
      <c r="AX34" s="89">
        <f>Sheet1!AW32*GPMtoMGD</f>
        <v>0.43257600000000002</v>
      </c>
      <c r="AY34" s="89">
        <f>Sheet1!AX32*GPMtoMGD</f>
        <v>0</v>
      </c>
      <c r="AZ34" s="89">
        <f>Sheet1!AY32*GPMtoMGD</f>
        <v>0</v>
      </c>
      <c r="BA34" s="89">
        <f>Sheet1!AZ32*GPMtoMGD</f>
        <v>0</v>
      </c>
      <c r="BB34" s="89">
        <f>Sheet1!BP32*GPMtoMGD</f>
        <v>0.231408</v>
      </c>
      <c r="BC34" s="89">
        <f>Sheet1!CS32*GPMtoMGD</f>
        <v>0</v>
      </c>
      <c r="BD34" s="89">
        <f>Sheet1!BO32*GPMtoMGD</f>
        <v>0.99475199999999997</v>
      </c>
      <c r="BE34" s="89">
        <f>Sheet1!BW32*GPMtoMGD</f>
        <v>0.8058240000000001</v>
      </c>
      <c r="BF34" s="89">
        <f>Sheet1!CN32*GPMtoMGD</f>
        <v>1.092384</v>
      </c>
      <c r="BG34" s="89">
        <f>Sheet1!CO32*GPMtoMGD</f>
        <v>0.54028799999999999</v>
      </c>
      <c r="BH34" s="89">
        <f>Sheet1!CP32*GPMtoMGD</f>
        <v>0.48686400000000007</v>
      </c>
      <c r="BI34" s="89">
        <f t="shared" si="16"/>
        <v>1.2261599999999999</v>
      </c>
      <c r="BK34" s="94">
        <f>SUM(AT34:BA34,AS34,BC34,Calculation!AQ34)</f>
        <v>33.65164591902834</v>
      </c>
      <c r="BM34" s="358">
        <f>0</f>
        <v>0</v>
      </c>
      <c r="BN34" s="358">
        <f>0</f>
        <v>0</v>
      </c>
      <c r="BP34" s="94">
        <f>SUM(BM34:BN34,W34,Sheet1!DX32)</f>
        <v>0</v>
      </c>
      <c r="BR34" s="94">
        <f>Sheet1!AA32</f>
        <v>24.5</v>
      </c>
      <c r="BS34" s="94">
        <f>Sheet1!AB32</f>
        <v>17.010000000000002</v>
      </c>
      <c r="BT34" s="94">
        <f t="shared" ca="1" si="7"/>
        <v>4.6114842024227656</v>
      </c>
      <c r="BU34" s="94">
        <f>Sheet1!AT32</f>
        <v>0</v>
      </c>
      <c r="BV34" s="89">
        <f>Sheet1!BB32</f>
        <v>0</v>
      </c>
      <c r="BW34" s="94">
        <f>Calculation!ED34</f>
        <v>10.42834008097166</v>
      </c>
      <c r="BX34" s="94">
        <f>(Sheet1!CS32*1440)/1000000</f>
        <v>0</v>
      </c>
      <c r="CA34" s="94">
        <f ca="1">Sheet1!AC32-Sheet1!BK32-Sheet1!BL32-Sheet1!BM32-Sheet1!BC32-Sheet1!BD32-Sheet1!BE32-Sheet1!BF32-Sheet1!BG32-Sheet1!BH32-Sheet1!BI32+BC34+P34</f>
        <v>35.521484202422769</v>
      </c>
      <c r="CB34" s="93">
        <f t="shared" si="8"/>
        <v>48.083327894736847</v>
      </c>
      <c r="CC34" s="94">
        <f t="shared" si="9"/>
        <v>0</v>
      </c>
      <c r="CD34" s="94">
        <f t="shared" ca="1" si="10"/>
        <v>45.949824283394427</v>
      </c>
      <c r="CE34" s="1077">
        <f t="shared" ca="1" si="11"/>
        <v>71.08437816641117</v>
      </c>
      <c r="CG34" s="1077">
        <f t="shared" ca="1" si="12"/>
        <v>35.521484202422769</v>
      </c>
    </row>
    <row r="35" spans="1:85" s="89" customFormat="1" x14ac:dyDescent="0.25">
      <c r="A35" s="616" t="s">
        <v>5</v>
      </c>
      <c r="B35" s="91">
        <v>42759</v>
      </c>
      <c r="C35" s="92">
        <v>0</v>
      </c>
      <c r="D35" s="94">
        <f>(Sheet1!BQ33-Sheet1!BQ32)*1.385</f>
        <v>-0.42934999999999823</v>
      </c>
      <c r="E35" s="30">
        <f>(Sheet1!BR33-Sheet1!BR32)*1.385</f>
        <v>-0.38779999999999665</v>
      </c>
      <c r="F35" s="30">
        <f ca="1">IF(B35=TODAY(),0,-(VLOOKUP(Sheet1!CD33,Lookup!$I$4:$J$216,2)-VLOOKUP(Sheet1!CD32,Lookup!$I$4:$J$216,2))/1000000)</f>
        <v>0</v>
      </c>
      <c r="G35" s="94">
        <f ca="1">IF(B35=TODAY(),0,-$G$6*(Sheet1!CF33-Sheet1!CF32)*7.48/1000000)</f>
        <v>-0.11914050315767817</v>
      </c>
      <c r="H35" s="94">
        <f ca="1">IF(B35=TODAY(),0,-$H$6*(Sheet1!CE33-Sheet1!CE32)*7.48/1000000)</f>
        <v>0</v>
      </c>
      <c r="I35" s="94">
        <f ca="1">IF(B35=TODAY(),0,-$I$6*(Sheet1!CG33-Sheet1!CG32)*7.48/1000000)</f>
        <v>2.2462440000000004E-2</v>
      </c>
      <c r="J35" s="95" t="s">
        <v>177</v>
      </c>
      <c r="K35" s="94">
        <f ca="1">IF(B35=TODAY(),0,-$K$6*(Sheet1!CH33-Sheet1!CH32)*7.48/1000000)</f>
        <v>3.1317605759954598E-2</v>
      </c>
      <c r="L35" s="95" t="s">
        <v>177</v>
      </c>
      <c r="M35" s="94">
        <f ca="1">IF(B35=TODAY(),0,-$M$6*(Sheet1!CI33-Sheet1!CI32)*7.48/1000000)</f>
        <v>0.12773970983899219</v>
      </c>
      <c r="N35" s="94">
        <f ca="1">IF(B35=TODAY(),0,-$N$6*(Sheet1!CJ33-Sheet1!CJ32)*7.48/1000000)</f>
        <v>0.13651515986817186</v>
      </c>
      <c r="O35" s="94">
        <f t="shared" ca="1" si="13"/>
        <v>0.19889441230944049</v>
      </c>
      <c r="P35" s="94">
        <f ca="1">O35+Calculation!ES35</f>
        <v>1.1677175902255872</v>
      </c>
      <c r="Q35" s="89" t="str">
        <f>IF(Sheet1!BQ33&gt;25.75,"spill elevation","-")</f>
        <v>-</v>
      </c>
      <c r="R35" s="89" t="str">
        <f>IF(Sheet1!BQ33&gt;25.75,"spill elevation","-")</f>
        <v>-</v>
      </c>
      <c r="S35" s="89" t="str">
        <f>IF(Sheet1!BR33&gt;25.75,"spill elevation","-")</f>
        <v>-</v>
      </c>
      <c r="T35" s="93">
        <f>IF(Sheet1!DU33=1,Sheet1!AA33-(SUM(AT35:BA35)+BE35),Sheet1!AA33-SUM(AT35:BA35))</f>
        <v>22.914127999999998</v>
      </c>
      <c r="U35" s="93">
        <f>Sheet1!BV33</f>
        <v>27.2</v>
      </c>
      <c r="V35" s="93">
        <f t="shared" si="14"/>
        <v>-4.2858720000000012</v>
      </c>
      <c r="W35" s="93">
        <f>0</f>
        <v>0</v>
      </c>
      <c r="X35" s="89">
        <f>0</f>
        <v>0</v>
      </c>
      <c r="Y35" s="94">
        <f ca="1">Calculation!EJ36+Calculation!ES35+'Calculations II'!O35-'Calculations II'!W35</f>
        <v>31.875589584844196</v>
      </c>
      <c r="Z35" s="94">
        <f ca="1">Y35-Sheet1!CT34</f>
        <v>31.642589584844195</v>
      </c>
      <c r="AA35" s="94">
        <f ca="1">Y35+Calculation!DJ36+Calculation!AS36</f>
        <v>42.284954288006226</v>
      </c>
      <c r="AC35" s="94">
        <f>Sheet1!AA33+Sheet1!AB33+BC35</f>
        <v>41.936015999999995</v>
      </c>
      <c r="AD35" s="94">
        <f>Sheet1!AA33+Sheet1!BN33+'Calculations II'!BC35-Calculation!AS35-Calculation!DJ35</f>
        <v>21.164129182423434</v>
      </c>
      <c r="AE35" s="94">
        <f>Sheet1!AA33+Sheet1!AB33+'Calculations II'!BC35-Calculation!AS35-Calculation!DJ35</f>
        <v>31.50112918242343</v>
      </c>
      <c r="AF35" s="94">
        <f ca="1">Sheet1!AA33+Sheet1!BN33+P35+'Calculations II'!BC35+Calculation!AS35+Calculation!DJ35</f>
        <v>43.201620407802153</v>
      </c>
      <c r="AG35" s="94">
        <f ca="1">IF(B35=TODAY(),0,Sheet1!AA33+Sheet1!BN33+'Calculations II'!BC35+'Calculations II'!P35-Sheet1!CT33-BP35)</f>
        <v>29.921733590225585</v>
      </c>
      <c r="AH35" s="94">
        <f ca="1">IF(B35=TODAY(),0,Sheet1!AA33+Sheet1!BN33+'Calculations II'!BC35+'Calculations II'!P35-BP35)</f>
        <v>32.766733590225584</v>
      </c>
      <c r="AI35" s="94">
        <f ca="1">IF(B35=TODAY(),0,BC35+Sheet1!AA33+Calculation!ES35+O35+W35+Sheet1!BN33+Calculation!AS35+Calculation!DJ35-BP35)</f>
        <v>43.201620407802153</v>
      </c>
      <c r="AJ35" s="94"/>
      <c r="AM35" s="90">
        <f t="shared" si="15"/>
        <v>42759</v>
      </c>
      <c r="AN35" s="94">
        <f>Sheet1!BU33</f>
        <v>22.5</v>
      </c>
      <c r="AO35" s="94">
        <f>Sheet1!AA33</f>
        <v>24.5</v>
      </c>
      <c r="AP35" s="94">
        <f t="shared" si="1"/>
        <v>-0.81714999999999494</v>
      </c>
      <c r="AQ35" s="1087">
        <f>((Sheet1!BV33-(Sheet1!BU33-AP35))/(Sheet1!BU33-AP35))</f>
        <v>0.16652335298267609</v>
      </c>
      <c r="AR35" s="94">
        <f t="shared" si="2"/>
        <v>25.317149999999994</v>
      </c>
      <c r="AS35" s="94">
        <f t="shared" si="3"/>
        <v>23.317149999999994</v>
      </c>
      <c r="AT35" s="89">
        <f>Sheet1!BB33</f>
        <v>0</v>
      </c>
      <c r="AU35" s="89">
        <f>Sheet1!AS33*GPMtoMGD</f>
        <v>1.4976000000000001E-2</v>
      </c>
      <c r="AV35" s="94">
        <f>Sheet1!AT33</f>
        <v>0.54</v>
      </c>
      <c r="AW35" s="89">
        <f>Sheet1!AV33*GPMtoMGD</f>
        <v>0.34056000000000003</v>
      </c>
      <c r="AX35" s="89">
        <f>Sheet1!AW33*GPMtoMGD</f>
        <v>0.69033600000000006</v>
      </c>
      <c r="AY35" s="89">
        <f>Sheet1!AX33*GPMtoMGD</f>
        <v>0</v>
      </c>
      <c r="AZ35" s="89">
        <f>Sheet1!AY33*GPMtoMGD</f>
        <v>0</v>
      </c>
      <c r="BA35" s="89">
        <f>Sheet1!AZ33*GPMtoMGD</f>
        <v>0</v>
      </c>
      <c r="BB35" s="89">
        <f>Sheet1!BP33*GPMtoMGD</f>
        <v>0.70776000000000006</v>
      </c>
      <c r="BC35" s="89">
        <f>Sheet1!CS33*GPMtoMGD</f>
        <v>0.416016</v>
      </c>
      <c r="BD35" s="89">
        <f>Sheet1!BO33*GPMtoMGD</f>
        <v>0.24696000000000001</v>
      </c>
      <c r="BE35" s="89">
        <f>Sheet1!BW33*GPMtoMGD</f>
        <v>0.57009600000000005</v>
      </c>
      <c r="BF35" s="89">
        <f>Sheet1!CN33*GPMtoMGD</f>
        <v>0.84398400000000007</v>
      </c>
      <c r="BG35" s="89">
        <f>Sheet1!CO33*GPMtoMGD</f>
        <v>0.52819199999999999</v>
      </c>
      <c r="BH35" s="89">
        <f>Sheet1!CP33*GPMtoMGD</f>
        <v>0.48902400000000007</v>
      </c>
      <c r="BI35" s="89">
        <f t="shared" si="16"/>
        <v>0.95472000000000001</v>
      </c>
      <c r="BK35" s="94">
        <f>SUM(AT35:BA35,AS35,BC35,Calculation!AQ35)</f>
        <v>31.904151182423426</v>
      </c>
      <c r="BM35" s="358">
        <f>0</f>
        <v>0</v>
      </c>
      <c r="BN35" s="358">
        <f>0</f>
        <v>0</v>
      </c>
      <c r="BP35" s="94">
        <f>SUM(BM35:BN35,W35,Sheet1!DX33)</f>
        <v>0</v>
      </c>
      <c r="BR35" s="94">
        <f>Sheet1!AA33</f>
        <v>24.5</v>
      </c>
      <c r="BS35" s="94">
        <f>Sheet1!AB33</f>
        <v>17.02</v>
      </c>
      <c r="BT35" s="94">
        <f t="shared" ca="1" si="7"/>
        <v>1.1677175902255872</v>
      </c>
      <c r="BU35" s="94">
        <f>Sheet1!AT33</f>
        <v>0.54</v>
      </c>
      <c r="BV35" s="89">
        <f>Sheet1!BB33</f>
        <v>0</v>
      </c>
      <c r="BW35" s="94">
        <f>Calculation!ED35</f>
        <v>10.434886817576563</v>
      </c>
      <c r="BX35" s="94">
        <f>(Sheet1!CS33*1440)/1000000</f>
        <v>0.41601599999999994</v>
      </c>
      <c r="CA35" s="94">
        <f ca="1">Sheet1!AC33-Sheet1!BK33-Sheet1!BL33-Sheet1!BM33-Sheet1!BC33-Sheet1!BD33-Sheet1!BE33-Sheet1!BF33-Sheet1!BG33-Sheet1!BH33-Sheet1!BI33+BC35+P35</f>
        <v>32.513733590225584</v>
      </c>
      <c r="CB35" s="93">
        <f t="shared" si="8"/>
        <v>48.088670093209053</v>
      </c>
      <c r="CC35" s="94">
        <f t="shared" si="9"/>
        <v>0.54</v>
      </c>
      <c r="CD35" s="94">
        <f t="shared" ca="1" si="10"/>
        <v>42.948620407802146</v>
      </c>
      <c r="CE35" s="1077">
        <f t="shared" ca="1" si="11"/>
        <v>66.441515770869913</v>
      </c>
      <c r="CG35" s="1077">
        <f t="shared" ca="1" si="12"/>
        <v>31.973733590225585</v>
      </c>
    </row>
    <row r="36" spans="1:85" s="89" customFormat="1" x14ac:dyDescent="0.25">
      <c r="A36" s="616" t="s">
        <v>6</v>
      </c>
      <c r="B36" s="91">
        <v>42760</v>
      </c>
      <c r="C36" s="92">
        <v>0</v>
      </c>
      <c r="D36" s="94">
        <f>(Sheet1!BQ34-Sheet1!BQ33)*1.385</f>
        <v>0.70635000000000214</v>
      </c>
      <c r="E36" s="30">
        <f>(Sheet1!BR34-Sheet1!BR33)*1.385</f>
        <v>0.7201999999999994</v>
      </c>
      <c r="F36" s="30">
        <f ca="1">IF(B36=TODAY(),0,-(VLOOKUP(Sheet1!CD34,Lookup!$I$4:$J$216,2)-VLOOKUP(Sheet1!CD33,Lookup!$I$4:$J$216,2))/1000000)</f>
        <v>0.31091081564339806</v>
      </c>
      <c r="G36" s="94">
        <f ca="1">IF(B36=TODAY(),0,-$G$6*(Sheet1!CF34-Sheet1!CF33)*7.48/1000000)</f>
        <v>-0.95312402526142337</v>
      </c>
      <c r="H36" s="94">
        <f ca="1">IF(B36=TODAY(),0,-$H$6*(Sheet1!CE34-Sheet1!CE33)*7.48/1000000)</f>
        <v>-3.0078864702530014E-2</v>
      </c>
      <c r="I36" s="94">
        <f ca="1">IF(B36=TODAY(),0,-$I$6*(Sheet1!CG34-Sheet1!CG33)*7.48/1000000)</f>
        <v>5.525760239999998E-2</v>
      </c>
      <c r="J36" s="95" t="s">
        <v>177</v>
      </c>
      <c r="K36" s="94">
        <f ca="1">IF(B36=TODAY(),0,-$K$6*(Sheet1!CH34-Sheet1!CH33)*7.48/1000000)</f>
        <v>9.3286485242418213E-2</v>
      </c>
      <c r="L36" s="95" t="s">
        <v>177</v>
      </c>
      <c r="M36" s="94">
        <f ca="1">IF(B36=TODAY(),0,-$M$6*(Sheet1!CI34-Sheet1!CI33)*7.48/1000000)</f>
        <v>0.26807347557760275</v>
      </c>
      <c r="N36" s="94">
        <f ca="1">IF(B36=TODAY(),0,-$N$6*(Sheet1!CJ34-Sheet1!CJ33)*7.48/1000000)</f>
        <v>0.21718320888118345</v>
      </c>
      <c r="O36" s="94">
        <f t="shared" ca="1" si="13"/>
        <v>-3.849130221935082E-2</v>
      </c>
      <c r="P36" s="94">
        <f ca="1">O36+Calculation!ES36</f>
        <v>-1.6994628302638501</v>
      </c>
      <c r="Q36" s="89" t="str">
        <f>IF(Sheet1!BQ34&gt;25.75,"spill elevation","-")</f>
        <v>-</v>
      </c>
      <c r="R36" s="89" t="str">
        <f>IF(Sheet1!BQ34&gt;25.75,"spill elevation","-")</f>
        <v>-</v>
      </c>
      <c r="S36" s="89" t="str">
        <f>IF(Sheet1!BR34&gt;25.75,"spill elevation","-")</f>
        <v>-</v>
      </c>
      <c r="T36" s="93">
        <f>IF(Sheet1!DU34=1,Sheet1!AA34-(SUM(AT36:BA36)+BE36),Sheet1!AA34-SUM(AT36:BA36))</f>
        <v>22.164271999999997</v>
      </c>
      <c r="U36" s="93">
        <f>Sheet1!BV34</f>
        <v>24</v>
      </c>
      <c r="V36" s="93">
        <f t="shared" si="14"/>
        <v>-1.8357280000000031</v>
      </c>
      <c r="W36" s="93">
        <f>0</f>
        <v>0</v>
      </c>
      <c r="X36" s="89">
        <f>0</f>
        <v>0</v>
      </c>
      <c r="Y36" s="94">
        <f ca="1">Calculation!EJ37+Calculation!ES36+'Calculations II'!O36-'Calculations II'!W36</f>
        <v>27.924219098102206</v>
      </c>
      <c r="Z36" s="94">
        <f ca="1">Y36-Sheet1!CT35</f>
        <v>27.904219098102207</v>
      </c>
      <c r="AA36" s="94">
        <f ca="1">Y36+Calculation!DJ37+Calculation!AS37</f>
        <v>38.219970914759557</v>
      </c>
      <c r="AC36" s="94">
        <f>Sheet1!AA34+Sheet1!AB34+BC36</f>
        <v>41.42</v>
      </c>
      <c r="AD36" s="94">
        <f>Sheet1!AA34+Sheet1!BN34+'Calculations II'!BC36-Calculation!AS36-Calculation!DJ36</f>
        <v>20.709635296837966</v>
      </c>
      <c r="AE36" s="94">
        <f>Sheet1!AA34+Sheet1!AB34+'Calculations II'!BC36-Calculation!AS36-Calculation!DJ36</f>
        <v>31.010635296837968</v>
      </c>
      <c r="AF36" s="94">
        <f ca="1">Sheet1!AA34+Sheet1!BN34+P36+'Calculations II'!BC36+Calculation!AS36+Calculation!DJ36</f>
        <v>39.828901872898179</v>
      </c>
      <c r="AG36" s="94">
        <f ca="1">IF(B36=TODAY(),0,Sheet1!AA34+Sheet1!BN34+'Calculations II'!BC36+'Calculations II'!P36-Sheet1!CT34-BP36)</f>
        <v>29.186537169736148</v>
      </c>
      <c r="AH36" s="94">
        <f ca="1">IF(B36=TODAY(),0,Sheet1!AA34+Sheet1!BN34+'Calculations II'!BC36+'Calculations II'!P36-BP36)</f>
        <v>29.419537169736149</v>
      </c>
      <c r="AI36" s="94">
        <f ca="1">IF(B36=TODAY(),0,BC36+Sheet1!AA34+Calculation!ES36+O36+W36+Sheet1!BN34+Calculation!AS36+Calculation!DJ36-BP36)</f>
        <v>39.828901872898179</v>
      </c>
      <c r="AJ36" s="94"/>
      <c r="AM36" s="90">
        <f t="shared" si="15"/>
        <v>42760</v>
      </c>
      <c r="AN36" s="94">
        <f>Sheet1!BU34</f>
        <v>21.9</v>
      </c>
      <c r="AO36" s="94">
        <f>Sheet1!AA34</f>
        <v>24.4</v>
      </c>
      <c r="AP36" s="94">
        <f t="shared" si="1"/>
        <v>1.4265500000000015</v>
      </c>
      <c r="AQ36" s="1087">
        <f>((Sheet1!BV34-(Sheet1!BU34-AP36))/(Sheet1!BU34-AP36))</f>
        <v>0.17224991391289718</v>
      </c>
      <c r="AR36" s="94">
        <f t="shared" si="2"/>
        <v>22.973449999999996</v>
      </c>
      <c r="AS36" s="94">
        <f t="shared" si="3"/>
        <v>20.473449999999996</v>
      </c>
      <c r="AT36" s="89">
        <f>Sheet1!BB34</f>
        <v>0</v>
      </c>
      <c r="AU36" s="89">
        <f>Sheet1!AS34*GPMtoMGD</f>
        <v>3.0384000000000005E-2</v>
      </c>
      <c r="AV36" s="94">
        <f>Sheet1!AT34</f>
        <v>1.1000000000000001</v>
      </c>
      <c r="AW36" s="89">
        <f>Sheet1!AV34*GPMtoMGD</f>
        <v>0.44827200000000006</v>
      </c>
      <c r="AX36" s="89">
        <f>Sheet1!AW34*GPMtoMGD</f>
        <v>0.6570720000000001</v>
      </c>
      <c r="AY36" s="89">
        <f>Sheet1!AX34*GPMtoMGD</f>
        <v>0</v>
      </c>
      <c r="AZ36" s="89">
        <f>Sheet1!AY34*GPMtoMGD</f>
        <v>0</v>
      </c>
      <c r="BA36" s="89">
        <f>Sheet1!AZ34*GPMtoMGD</f>
        <v>0</v>
      </c>
      <c r="BB36" s="89">
        <f>Sheet1!BP34*GPMtoMGD</f>
        <v>0.67334400000000005</v>
      </c>
      <c r="BC36" s="89">
        <f>Sheet1!CS34*GPMtoMGD</f>
        <v>0</v>
      </c>
      <c r="BD36" s="89">
        <f>Sheet1!BO34*GPMtoMGD</f>
        <v>0</v>
      </c>
      <c r="BE36" s="89">
        <f>Sheet1!BW34*GPMtoMGD</f>
        <v>0.79099200000000003</v>
      </c>
      <c r="BF36" s="89">
        <f>Sheet1!CN34*GPMtoMGD</f>
        <v>0.61387200000000008</v>
      </c>
      <c r="BG36" s="89">
        <f>Sheet1!CO34*GPMtoMGD</f>
        <v>0.53582400000000008</v>
      </c>
      <c r="BH36" s="89">
        <f>Sheet1!CP34*GPMtoMGD</f>
        <v>0.47865599999999997</v>
      </c>
      <c r="BI36" s="89">
        <f t="shared" si="16"/>
        <v>0.67334400000000005</v>
      </c>
      <c r="BK36" s="94">
        <f>SUM(AT36:BA36,AS36,BC36,Calculation!AQ36)</f>
        <v>29.319813296837964</v>
      </c>
      <c r="BM36" s="358">
        <f>0</f>
        <v>0</v>
      </c>
      <c r="BN36" s="358">
        <f>0</f>
        <v>0</v>
      </c>
      <c r="BP36" s="94">
        <f>SUM(BM36:BN36,W36,Sheet1!DX34)</f>
        <v>0</v>
      </c>
      <c r="BR36" s="94">
        <f>Sheet1!AA34</f>
        <v>24.4</v>
      </c>
      <c r="BS36" s="94">
        <f>Sheet1!AB34</f>
        <v>17.02</v>
      </c>
      <c r="BT36" s="94">
        <f t="shared" ca="1" si="7"/>
        <v>-1.6994628302638501</v>
      </c>
      <c r="BU36" s="94">
        <f>Sheet1!AT34</f>
        <v>1.1000000000000001</v>
      </c>
      <c r="BV36" s="89">
        <f>Sheet1!BB34</f>
        <v>0</v>
      </c>
      <c r="BW36" s="94">
        <f>Calculation!ED36</f>
        <v>10.409364703162034</v>
      </c>
      <c r="BX36" s="94">
        <f>(Sheet1!CS34*1440)/1000000</f>
        <v>0</v>
      </c>
      <c r="CA36" s="94">
        <f ca="1">Sheet1!AC34-Sheet1!BK34-Sheet1!BL34-Sheet1!BM34-Sheet1!BC34-Sheet1!BD34-Sheet1!BE34-Sheet1!BF34-Sheet1!BG34-Sheet1!BH34-Sheet1!BI34+BC36+P36</f>
        <v>29.140537169736145</v>
      </c>
      <c r="CB36" s="93">
        <f t="shared" si="8"/>
        <v>47.973452804208335</v>
      </c>
      <c r="CC36" s="94">
        <f t="shared" si="9"/>
        <v>1.1000000000000001</v>
      </c>
      <c r="CD36" s="94">
        <f t="shared" ca="1" si="10"/>
        <v>39.549901872898175</v>
      </c>
      <c r="CE36" s="1077">
        <f t="shared" ca="1" si="11"/>
        <v>61.183698197373474</v>
      </c>
      <c r="CG36" s="1077">
        <f t="shared" ca="1" si="12"/>
        <v>28.040537169736144</v>
      </c>
    </row>
    <row r="37" spans="1:85" s="89" customFormat="1" x14ac:dyDescent="0.25">
      <c r="A37" s="616" t="s">
        <v>7</v>
      </c>
      <c r="B37" s="91">
        <v>42761</v>
      </c>
      <c r="C37" s="92">
        <v>0</v>
      </c>
      <c r="D37" s="94">
        <f>(Sheet1!BQ35-Sheet1!BQ34)*1.385</f>
        <v>0.63709999999999622</v>
      </c>
      <c r="E37" s="30">
        <f>(Sheet1!BR35-Sheet1!BR34)*1.385</f>
        <v>0.60939999999999683</v>
      </c>
      <c r="F37" s="30">
        <f ca="1">IF(B37=TODAY(),0,-(VLOOKUP(Sheet1!CD35,Lookup!$I$4:$J$216,2)-VLOOKUP(Sheet1!CD34,Lookup!$I$4:$J$216,2))/1000000)</f>
        <v>-0.62182163128679613</v>
      </c>
      <c r="G37" s="94">
        <f ca="1">IF(B37=TODAY(),0,-$G$6*(Sheet1!CF35-Sheet1!CF34)*7.48/1000000)</f>
        <v>0.3177080084204747</v>
      </c>
      <c r="H37" s="94">
        <f ca="1">IF(B37=TODAY(),0,-$H$6*(Sheet1!CE35-Sheet1!CE34)*7.48/1000000)</f>
        <v>-1.5039432351265274E-2</v>
      </c>
      <c r="I37" s="94">
        <f ca="1">IF(B37=TODAY(),0,-$I$6*(Sheet1!CG35-Sheet1!CG34)*7.48/1000000)</f>
        <v>-9.5689994399999992E-2</v>
      </c>
      <c r="J37" s="95" t="s">
        <v>177</v>
      </c>
      <c r="K37" s="94">
        <f ca="1">IF(B37=TODAY(),0,-$K$6*(Sheet1!CH35-Sheet1!CH34)*7.48/1000000)</f>
        <v>-0.15991968898700265</v>
      </c>
      <c r="L37" s="95" t="s">
        <v>177</v>
      </c>
      <c r="M37" s="94">
        <f ca="1">IF(B37=TODAY(),0,-$M$6*(Sheet1!CI35-Sheet1!CI34)*7.48/1000000)</f>
        <v>-0.48577072755673018</v>
      </c>
      <c r="N37" s="94">
        <f ca="1">IF(B37=TODAY(),0,-$N$6*(Sheet1!CJ35-Sheet1!CJ34)*7.48/1000000)</f>
        <v>-0.28544078881526935</v>
      </c>
      <c r="O37" s="94">
        <f t="shared" ca="1" si="13"/>
        <v>-1.3459742549765887</v>
      </c>
      <c r="P37" s="94">
        <f ca="1">O37+Calculation!ES37</f>
        <v>-2.4535448863145888</v>
      </c>
      <c r="Q37" s="89" t="str">
        <f>IF(Sheet1!BQ35&gt;25.75,"spill elevation","-")</f>
        <v>-</v>
      </c>
      <c r="R37" s="89" t="str">
        <f>IF(Sheet1!BQ35&gt;25.75,"spill elevation","-")</f>
        <v>-</v>
      </c>
      <c r="S37" s="89" t="str">
        <f>IF(Sheet1!BR35&gt;25.75,"spill elevation","-")</f>
        <v>-</v>
      </c>
      <c r="T37" s="93">
        <f>IF(Sheet1!DU35=1,Sheet1!AA35-(SUM(AT37:BA37)+BE37),Sheet1!AA35-SUM(AT37:BA37))</f>
        <v>24.034592</v>
      </c>
      <c r="U37" s="93">
        <f>Sheet1!BV35</f>
        <v>25.3</v>
      </c>
      <c r="V37" s="93">
        <f t="shared" si="14"/>
        <v>-1.2654080000000008</v>
      </c>
      <c r="W37" s="93">
        <f>0</f>
        <v>0</v>
      </c>
      <c r="X37" s="89">
        <f>0</f>
        <v>0</v>
      </c>
      <c r="Y37" s="94">
        <f ca="1">Calculation!EJ38+Calculation!ES37+'Calculations II'!O37-'Calculations II'!W37</f>
        <v>30.238699698795131</v>
      </c>
      <c r="Z37" s="94">
        <f ca="1">Y37-Sheet1!CT36</f>
        <v>29.225699698795133</v>
      </c>
      <c r="AA37" s="94">
        <f ca="1">Y37+Calculation!DJ38+Calculation!AS38</f>
        <v>40.696097984678296</v>
      </c>
      <c r="AC37" s="94">
        <f>Sheet1!AA35+Sheet1!AB35+BC37</f>
        <v>42.4</v>
      </c>
      <c r="AD37" s="94">
        <f>Sheet1!AA35+Sheet1!BN35+'Calculations II'!BC37-Calculation!AS37-Calculation!DJ37</f>
        <v>21.804248183342651</v>
      </c>
      <c r="AE37" s="94">
        <f>Sheet1!AA35+Sheet1!AB35+'Calculations II'!BC37-Calculation!AS37-Calculation!DJ37</f>
        <v>32.104248183342648</v>
      </c>
      <c r="AF37" s="94">
        <f ca="1">Sheet1!AA35+Sheet1!BN35+P37+'Calculations II'!BC37+Calculation!AS37+Calculation!DJ37</f>
        <v>39.942206930342763</v>
      </c>
      <c r="AG37" s="94">
        <f ca="1">IF(B37=TODAY(),0,Sheet1!AA35+Sheet1!BN35+'Calculations II'!BC37+'Calculations II'!P37-Sheet1!CT35-BP37)</f>
        <v>29.626455113685413</v>
      </c>
      <c r="AH37" s="94">
        <f ca="1">IF(B37=TODAY(),0,Sheet1!AA35+Sheet1!BN35+'Calculations II'!BC37+'Calculations II'!P37-BP37)</f>
        <v>29.646455113685413</v>
      </c>
      <c r="AI37" s="94">
        <f ca="1">IF(B37=TODAY(),0,BC37+Sheet1!AA35+Calculation!ES37+O37+W37+Sheet1!BN35+Calculation!AS37+Calculation!DJ37-BP37)</f>
        <v>39.942206930342763</v>
      </c>
      <c r="AJ37" s="94"/>
      <c r="AM37" s="90">
        <f t="shared" si="15"/>
        <v>42761</v>
      </c>
      <c r="AN37" s="94">
        <f>Sheet1!BU35</f>
        <v>22.9</v>
      </c>
      <c r="AO37" s="94">
        <f>Sheet1!AA35</f>
        <v>24.5</v>
      </c>
      <c r="AP37" s="94">
        <f t="shared" si="1"/>
        <v>1.2464999999999931</v>
      </c>
      <c r="AQ37" s="1087">
        <f>((Sheet1!BV35-(Sheet1!BU35-AP37))/(Sheet1!BU35-AP37))</f>
        <v>0.1684023368046734</v>
      </c>
      <c r="AR37" s="94">
        <f t="shared" si="2"/>
        <v>23.253500000000006</v>
      </c>
      <c r="AS37" s="94">
        <f t="shared" si="3"/>
        <v>21.653500000000005</v>
      </c>
      <c r="AT37" s="89">
        <f>Sheet1!BB35</f>
        <v>0</v>
      </c>
      <c r="AU37" s="89">
        <f>Sheet1!AS35*GPMtoMGD</f>
        <v>1.5408E-2</v>
      </c>
      <c r="AV37" s="94">
        <f>Sheet1!AT35</f>
        <v>0.45</v>
      </c>
      <c r="AW37" s="89">
        <f>Sheet1!AV35*GPMtoMGD</f>
        <v>0</v>
      </c>
      <c r="AX37" s="89">
        <f>Sheet1!AW35*GPMtoMGD</f>
        <v>0</v>
      </c>
      <c r="AY37" s="89">
        <f>Sheet1!AX35*GPMtoMGD</f>
        <v>0</v>
      </c>
      <c r="AZ37" s="89">
        <f>Sheet1!AY35*GPMtoMGD</f>
        <v>0</v>
      </c>
      <c r="BA37" s="89">
        <f>Sheet1!AZ35*GPMtoMGD</f>
        <v>0</v>
      </c>
      <c r="BB37" s="89">
        <f>Sheet1!BP35*GPMtoMGD</f>
        <v>0.43948799999999999</v>
      </c>
      <c r="BC37" s="89">
        <f>Sheet1!CS35*GPMtoMGD</f>
        <v>0</v>
      </c>
      <c r="BD37" s="89">
        <f>Sheet1!BO35*GPMtoMGD</f>
        <v>1.275552</v>
      </c>
      <c r="BE37" s="89">
        <f>Sheet1!BW35*GPMtoMGD</f>
        <v>0.81576000000000004</v>
      </c>
      <c r="BF37" s="89">
        <f>Sheet1!CN35*GPMtoMGD</f>
        <v>0.83160000000000001</v>
      </c>
      <c r="BG37" s="89">
        <f>Sheet1!CO35*GPMtoMGD</f>
        <v>0.53020800000000001</v>
      </c>
      <c r="BH37" s="89">
        <f>Sheet1!CP35*GPMtoMGD</f>
        <v>0.40262400000000004</v>
      </c>
      <c r="BI37" s="89">
        <f t="shared" si="16"/>
        <v>1.7150400000000001</v>
      </c>
      <c r="BK37" s="94">
        <f>SUM(AT37:BA37,AS37,BC37,Calculation!AQ37)</f>
        <v>29.723156183342653</v>
      </c>
      <c r="BM37" s="358">
        <f>0</f>
        <v>0</v>
      </c>
      <c r="BN37" s="358">
        <f>0</f>
        <v>0</v>
      </c>
      <c r="BP37" s="94">
        <f>SUM(BM37:BN37,W37,Sheet1!DX35)</f>
        <v>0</v>
      </c>
      <c r="BR37" s="94">
        <f>Sheet1!AA35</f>
        <v>24.5</v>
      </c>
      <c r="BS37" s="94">
        <f>Sheet1!AB35</f>
        <v>17.899999999999999</v>
      </c>
      <c r="BT37" s="94">
        <f t="shared" ca="1" si="7"/>
        <v>-2.4535448863145888</v>
      </c>
      <c r="BU37" s="94">
        <f>Sheet1!AT35</f>
        <v>0.45</v>
      </c>
      <c r="BV37" s="89">
        <f>Sheet1!BB35</f>
        <v>0</v>
      </c>
      <c r="BW37" s="94">
        <f>Calculation!ED37</f>
        <v>10.295751816657351</v>
      </c>
      <c r="BX37" s="94">
        <f>(Sheet1!CS35*1440)/1000000</f>
        <v>0</v>
      </c>
      <c r="CA37" s="94">
        <f ca="1">Sheet1!AC35-Sheet1!BK35-Sheet1!BL35-Sheet1!BM35-Sheet1!BC35-Sheet1!BD35-Sheet1!BE35-Sheet1!BF35-Sheet1!BG35-Sheet1!BH35-Sheet1!BI35+BC37+P37</f>
        <v>29.656455113685404</v>
      </c>
      <c r="CB37" s="93">
        <f t="shared" si="8"/>
        <v>49.665271939631076</v>
      </c>
      <c r="CC37" s="94">
        <f t="shared" si="9"/>
        <v>0.45</v>
      </c>
      <c r="CD37" s="94">
        <f t="shared" ca="1" si="10"/>
        <v>39.952206930342754</v>
      </c>
      <c r="CE37" s="1077">
        <f t="shared" ca="1" si="11"/>
        <v>61.80606412124024</v>
      </c>
      <c r="CG37" s="1077">
        <f t="shared" ca="1" si="12"/>
        <v>29.206455113685404</v>
      </c>
    </row>
    <row r="38" spans="1:85" s="89" customFormat="1" x14ac:dyDescent="0.25">
      <c r="A38" s="616" t="s">
        <v>8</v>
      </c>
      <c r="B38" s="91">
        <v>42762</v>
      </c>
      <c r="C38" s="92">
        <v>0</v>
      </c>
      <c r="D38" s="94">
        <f>(Sheet1!BQ36-Sheet1!BQ35)*1.385</f>
        <v>-0.23544999999999744</v>
      </c>
      <c r="E38" s="30">
        <f>(Sheet1!BR36-Sheet1!BR35)*1.385</f>
        <v>0.62325000000000397</v>
      </c>
      <c r="F38" s="30">
        <f ca="1">IF(B38=TODAY(),0,-(VLOOKUP(Sheet1!CD36,Lookup!$I$4:$J$216,2)-VLOOKUP(Sheet1!CD35,Lookup!$I$4:$J$216,2))/1000000)</f>
        <v>-1.0363693854780012</v>
      </c>
      <c r="G38" s="94">
        <f ca="1">IF(B38=TODAY(),0,-$G$6*(Sheet1!CF36-Sheet1!CF35)*7.48/1000000)</f>
        <v>0.27799450736791476</v>
      </c>
      <c r="H38" s="94">
        <f ca="1">IF(B38=TODAY(),0,-$H$6*(Sheet1!CE36-Sheet1!CE35)*7.48/1000000)</f>
        <v>1.5039432351265274E-2</v>
      </c>
      <c r="I38" s="94">
        <f ca="1">IF(B38=TODAY(),0,-$I$6*(Sheet1!CG36-Sheet1!CG35)*7.48/1000000)</f>
        <v>-4.4924879999999837E-3</v>
      </c>
      <c r="J38" s="95" t="s">
        <v>177</v>
      </c>
      <c r="K38" s="94">
        <f ca="1">IF(B38=TODAY(),0,-$K$6*(Sheet1!CH36-Sheet1!CH35)*7.48/1000000)</f>
        <v>-6.6633203744584186E-3</v>
      </c>
      <c r="L38" s="95" t="s">
        <v>177</v>
      </c>
      <c r="M38" s="94">
        <f ca="1">IF(B38=TODAY(),0,-$M$6*(Sheet1!CI36-Sheet1!CI35)*7.48/1000000)</f>
        <v>-1.7991508428027301E-2</v>
      </c>
      <c r="N38" s="94">
        <f ca="1">IF(B38=TODAY(),0,-$N$6*(Sheet1!CJ36-Sheet1!CJ35)*7.48/1000000)</f>
        <v>-0.85632236644581028</v>
      </c>
      <c r="O38" s="94">
        <f t="shared" ca="1" si="13"/>
        <v>-1.6288051290071173</v>
      </c>
      <c r="P38" s="94">
        <f ca="1">O38+Calculation!ES38</f>
        <v>-1.9059220590720636</v>
      </c>
      <c r="Q38" s="89" t="str">
        <f>IF(Sheet1!BQ36&gt;25.75,"spill elevation","-")</f>
        <v>-</v>
      </c>
      <c r="R38" s="89" t="str">
        <f>IF(Sheet1!BQ36&gt;25.75,"spill elevation","-")</f>
        <v>-</v>
      </c>
      <c r="S38" s="89" t="str">
        <f>IF(Sheet1!BR36&gt;25.75,"spill elevation","-")</f>
        <v>-</v>
      </c>
      <c r="T38" s="93">
        <f>IF(Sheet1!DU36=1,Sheet1!AA36-(SUM(AT38:BA38)+BE38),Sheet1!AA36-SUM(AT38:BA38))</f>
        <v>23.831551999999999</v>
      </c>
      <c r="U38" s="93">
        <f>Sheet1!BV36</f>
        <v>25.2</v>
      </c>
      <c r="V38" s="93">
        <f t="shared" si="14"/>
        <v>-1.3684480000000008</v>
      </c>
      <c r="W38" s="93">
        <f>0</f>
        <v>0</v>
      </c>
      <c r="X38" s="89">
        <f>0</f>
        <v>0</v>
      </c>
      <c r="Y38" s="94">
        <f ca="1">Calculation!EJ39+Calculation!ES38+'Calculations II'!O38-'Calculations II'!W38</f>
        <v>31.454889710863906</v>
      </c>
      <c r="Z38" s="94">
        <f ca="1">Y38-Sheet1!CT37</f>
        <v>27.921889710863905</v>
      </c>
      <c r="AA38" s="94">
        <f ca="1">Y38+Calculation!DJ39+Calculation!AS39</f>
        <v>41.876482981521995</v>
      </c>
      <c r="AC38" s="94">
        <f>Sheet1!AA36+Sheet1!AB36+BC38</f>
        <v>44.510000000000005</v>
      </c>
      <c r="AD38" s="94">
        <f>Sheet1!AA36+Sheet1!BN36+'Calculations II'!BC38-Calculation!AS38-Calculation!DJ38</f>
        <v>23.734601714116835</v>
      </c>
      <c r="AE38" s="94">
        <f>Sheet1!AA36+Sheet1!AB36+'Calculations II'!BC38-Calculation!AS38-Calculation!DJ38</f>
        <v>34.05260171411684</v>
      </c>
      <c r="AF38" s="94">
        <f ca="1">Sheet1!AA36+Sheet1!BN36+P38+'Calculations II'!BC38+Calculation!AS38+Calculation!DJ38</f>
        <v>42.743476226811104</v>
      </c>
      <c r="AG38" s="94">
        <f ca="1">IF(B38=TODAY(),0,Sheet1!AA36+Sheet1!BN36+'Calculations II'!BC38+'Calculations II'!P38-Sheet1!CT36-BP38)</f>
        <v>31.273077940927941</v>
      </c>
      <c r="AH38" s="94">
        <f ca="1">IF(B38=TODAY(),0,Sheet1!AA36+Sheet1!BN36+'Calculations II'!BC38+'Calculations II'!P38-BP38)</f>
        <v>32.286077940927939</v>
      </c>
      <c r="AI38" s="94">
        <f ca="1">IF(B38=TODAY(),0,BC38+Sheet1!AA36+Calculation!ES38+O38+W38+Sheet1!BN36+Calculation!AS38+Calculation!DJ38-BP38)</f>
        <v>42.743476226811104</v>
      </c>
      <c r="AJ38" s="94"/>
      <c r="AM38" s="90">
        <f t="shared" si="15"/>
        <v>42762</v>
      </c>
      <c r="AN38" s="94">
        <f>Sheet1!BU36</f>
        <v>24.1</v>
      </c>
      <c r="AO38" s="94">
        <f>Sheet1!AA36</f>
        <v>24.5</v>
      </c>
      <c r="AP38" s="94">
        <f t="shared" si="1"/>
        <v>0.38780000000000653</v>
      </c>
      <c r="AQ38" s="1087">
        <f>((Sheet1!BV36-(Sheet1!BU36-AP38))/(Sheet1!BU36-AP38))</f>
        <v>6.2744072671451989E-2</v>
      </c>
      <c r="AR38" s="94">
        <f t="shared" si="2"/>
        <v>24.112199999999994</v>
      </c>
      <c r="AS38" s="94">
        <f t="shared" si="3"/>
        <v>23.712199999999996</v>
      </c>
      <c r="AT38" s="89">
        <f>Sheet1!BB36</f>
        <v>0</v>
      </c>
      <c r="AU38" s="89">
        <f>Sheet1!AS36*GPMtoMGD</f>
        <v>2.5920000000000002E-2</v>
      </c>
      <c r="AV38" s="94">
        <f>Sheet1!AT36</f>
        <v>0</v>
      </c>
      <c r="AW38" s="89">
        <f>Sheet1!AV36*GPMtoMGD</f>
        <v>0.25934400000000002</v>
      </c>
      <c r="AX38" s="89">
        <f>Sheet1!AW36*GPMtoMGD</f>
        <v>0.38318400000000008</v>
      </c>
      <c r="AY38" s="89">
        <f>Sheet1!AX36*GPMtoMGD</f>
        <v>0</v>
      </c>
      <c r="AZ38" s="89">
        <f>Sheet1!AY36*GPMtoMGD</f>
        <v>0</v>
      </c>
      <c r="BA38" s="89">
        <f>Sheet1!AZ36*GPMtoMGD</f>
        <v>0</v>
      </c>
      <c r="BB38" s="89">
        <f>Sheet1!BP36*GPMtoMGD</f>
        <v>2.4480000000000001E-3</v>
      </c>
      <c r="BC38" s="89">
        <f>Sheet1!CS36*GPMtoMGD</f>
        <v>0</v>
      </c>
      <c r="BD38" s="89">
        <f>Sheet1!BO36*GPMtoMGD</f>
        <v>1.4652000000000001</v>
      </c>
      <c r="BE38" s="89">
        <f>Sheet1!BW36*GPMtoMGD</f>
        <v>0</v>
      </c>
      <c r="BF38" s="89">
        <f>Sheet1!CN36*GPMtoMGD</f>
        <v>0.79444800000000015</v>
      </c>
      <c r="BG38" s="89">
        <f>Sheet1!CO36*GPMtoMGD</f>
        <v>0.51105599999999995</v>
      </c>
      <c r="BH38" s="89">
        <f>Sheet1!CP36*GPMtoMGD</f>
        <v>0.39643200000000006</v>
      </c>
      <c r="BI38" s="89">
        <f t="shared" si="16"/>
        <v>1.4676480000000001</v>
      </c>
      <c r="BK38" s="94">
        <f>SUM(AT38:BA38,AS38,BC38,Calculation!AQ38)</f>
        <v>33.933249714116833</v>
      </c>
      <c r="BM38" s="358">
        <f>0</f>
        <v>0</v>
      </c>
      <c r="BN38" s="358">
        <f>0</f>
        <v>0</v>
      </c>
      <c r="BP38" s="94">
        <f>SUM(BM38:BN38,W38,Sheet1!DX36)</f>
        <v>0</v>
      </c>
      <c r="BR38" s="94">
        <f>Sheet1!AA36</f>
        <v>24.5</v>
      </c>
      <c r="BS38" s="94">
        <f>Sheet1!AB36</f>
        <v>20.010000000000002</v>
      </c>
      <c r="BT38" s="94">
        <f t="shared" ca="1" si="7"/>
        <v>-1.9059220590720636</v>
      </c>
      <c r="BU38" s="94">
        <f>Sheet1!AT36</f>
        <v>0</v>
      </c>
      <c r="BV38" s="89">
        <f>Sheet1!BB36</f>
        <v>0</v>
      </c>
      <c r="BW38" s="94">
        <f>Calculation!ED38</f>
        <v>10.457398285883166</v>
      </c>
      <c r="BX38" s="94">
        <f>(Sheet1!CS36*1440)/1000000</f>
        <v>0</v>
      </c>
      <c r="CA38" s="94">
        <f ca="1">Sheet1!AC36-Sheet1!BK36-Sheet1!BL36-Sheet1!BM36-Sheet1!BC36-Sheet1!BD36-Sheet1!BE36-Sheet1!BF36-Sheet1!BG36-Sheet1!BH36-Sheet1!BI36+BC38+P38</f>
        <v>31.994077940927934</v>
      </c>
      <c r="CB38" s="93">
        <f t="shared" si="8"/>
        <v>52.67937485173875</v>
      </c>
      <c r="CC38" s="94">
        <f t="shared" si="9"/>
        <v>0</v>
      </c>
      <c r="CD38" s="94">
        <f t="shared" ca="1" si="10"/>
        <v>42.451476226811096</v>
      </c>
      <c r="CE38" s="1077">
        <f t="shared" ca="1" si="11"/>
        <v>65.672433722876761</v>
      </c>
      <c r="CG38" s="1077">
        <f t="shared" ca="1" si="12"/>
        <v>31.994077940927934</v>
      </c>
    </row>
    <row r="39" spans="1:85" s="89" customFormat="1" x14ac:dyDescent="0.25">
      <c r="A39" s="616" t="s">
        <v>9</v>
      </c>
      <c r="B39" s="91">
        <v>42763</v>
      </c>
      <c r="C39" s="92">
        <v>0</v>
      </c>
      <c r="D39" s="94">
        <f>(Sheet1!BQ37-Sheet1!BQ36)*1.385</f>
        <v>0</v>
      </c>
      <c r="E39" s="30">
        <f>(Sheet1!BR37-Sheet1!BR36)*1.385</f>
        <v>-0.96950000000000391</v>
      </c>
      <c r="F39" s="30">
        <f ca="1">IF(B39=TODAY(),0,-(VLOOKUP(Sheet1!CD37,Lookup!$I$4:$J$216,2)-VLOOKUP(Sheet1!CD36,Lookup!$I$4:$J$216,2))/1000000)</f>
        <v>-0.41454775419120304</v>
      </c>
      <c r="G39" s="94">
        <f ca="1">IF(B39=TODAY(),0,-$G$6*(Sheet1!CF37-Sheet1!CF36)*7.48/1000000)</f>
        <v>0.3574215094730338</v>
      </c>
      <c r="H39" s="94">
        <f ca="1">IF(B39=TODAY(),0,-$H$6*(Sheet1!CE37-Sheet1!CE36)*7.48/1000000)</f>
        <v>1.503943235126474E-2</v>
      </c>
      <c r="I39" s="94">
        <f ca="1">IF(B39=TODAY(),0,-$I$6*(Sheet1!CG37-Sheet1!CG36)*7.48/1000000)</f>
        <v>0</v>
      </c>
      <c r="J39" s="95" t="s">
        <v>177</v>
      </c>
      <c r="K39" s="94">
        <f ca="1">IF(B39=TODAY(),0,-$K$6*(Sheet1!CH37-Sheet1!CH36)*7.48/1000000)</f>
        <v>0</v>
      </c>
      <c r="L39" s="95" t="s">
        <v>177</v>
      </c>
      <c r="M39" s="94">
        <f ca="1">IF(B39=TODAY(),0,-$M$6*(Sheet1!CI37-Sheet1!CI36)*7.48/1000000)</f>
        <v>0</v>
      </c>
      <c r="N39" s="94">
        <f ca="1">IF(B39=TODAY(),0,-$N$6*(Sheet1!CJ37-Sheet1!CJ36)*7.48/1000000)</f>
        <v>-0.24200414703903245</v>
      </c>
      <c r="O39" s="94">
        <f t="shared" ca="1" si="13"/>
        <v>-0.28409095940593693</v>
      </c>
      <c r="P39" s="94">
        <f ca="1">O39+Calculation!ES39</f>
        <v>0.68530246655059535</v>
      </c>
      <c r="Q39" s="89" t="str">
        <f>IF(Sheet1!BQ37&gt;25.75,"spill elevation","-")</f>
        <v>-</v>
      </c>
      <c r="R39" s="89" t="str">
        <f>IF(Sheet1!BQ37&gt;25.75,"spill elevation","-")</f>
        <v>-</v>
      </c>
      <c r="S39" s="89" t="str">
        <f>IF(Sheet1!BR37&gt;25.75,"spill elevation","-")</f>
        <v>-</v>
      </c>
      <c r="T39" s="93">
        <f>IF(Sheet1!DU37=1,Sheet1!AA37-(SUM(AT39:BA39)+BE39),Sheet1!AA37-SUM(AT39:BA39))</f>
        <v>23.643504</v>
      </c>
      <c r="U39" s="93">
        <f>Sheet1!BV37</f>
        <v>27.3</v>
      </c>
      <c r="V39" s="93">
        <f t="shared" si="14"/>
        <v>-3.6564960000000006</v>
      </c>
      <c r="W39" s="93">
        <f>0</f>
        <v>0</v>
      </c>
      <c r="X39" s="89">
        <f>0</f>
        <v>0</v>
      </c>
      <c r="Y39" s="94">
        <f ca="1">Calculation!EJ40+Calculation!ES39+'Calculations II'!O39-'Calculations II'!W39</f>
        <v>34.893678098230161</v>
      </c>
      <c r="Z39" s="94">
        <f ca="1">Y39-Sheet1!CT38</f>
        <v>31.08467809823016</v>
      </c>
      <c r="AA39" s="94">
        <f ca="1">Y39+Calculation!DJ40+Calculation!AS40</f>
        <v>45.35622984276003</v>
      </c>
      <c r="AC39" s="94">
        <f>Sheet1!AA37+Sheet1!AB37+BC39</f>
        <v>44.61</v>
      </c>
      <c r="AD39" s="94">
        <f>Sheet1!AA37+Sheet1!BN37+'Calculations II'!BC39-Calculation!AS39-Calculation!DJ39</f>
        <v>23.848406729341907</v>
      </c>
      <c r="AE39" s="94">
        <f>Sheet1!AA37+Sheet1!AB37+'Calculations II'!BC39-Calculation!AS39-Calculation!DJ39</f>
        <v>34.188406729341906</v>
      </c>
      <c r="AF39" s="94">
        <f ca="1">Sheet1!AA37+Sheet1!BN37+P39+'Calculations II'!BC39+Calculation!AS39+Calculation!DJ39</f>
        <v>45.376895737208685</v>
      </c>
      <c r="AG39" s="94">
        <f ca="1">IF(B39=TODAY(),0,Sheet1!AA37+Sheet1!BN37+'Calculations II'!BC39+'Calculations II'!P39-Sheet1!CT37-BP39)</f>
        <v>31.42230246655059</v>
      </c>
      <c r="AH39" s="94">
        <f ca="1">IF(B39=TODAY(),0,Sheet1!AA37+Sheet1!BN37+'Calculations II'!BC39+'Calculations II'!P39-BP39)</f>
        <v>34.955302466550592</v>
      </c>
      <c r="AI39" s="94">
        <f ca="1">IF(B39=TODAY(),0,BC39+Sheet1!AA37+Calculation!ES39+O39+W39+Sheet1!BN37+Calculation!AS39+Calculation!DJ39-BP39)</f>
        <v>45.376895737208685</v>
      </c>
      <c r="AJ39" s="94"/>
      <c r="AM39" s="90">
        <f t="shared" si="15"/>
        <v>42763</v>
      </c>
      <c r="AN39" s="94">
        <f>Sheet1!BU37</f>
        <v>23.1</v>
      </c>
      <c r="AO39" s="94">
        <f>Sheet1!AA37</f>
        <v>24.57</v>
      </c>
      <c r="AP39" s="94">
        <f t="shared" si="1"/>
        <v>-0.96950000000000391</v>
      </c>
      <c r="AQ39" s="1087">
        <f>((Sheet1!BV37-(Sheet1!BU37-AP39))/(Sheet1!BU37-AP39))</f>
        <v>0.13421550094517937</v>
      </c>
      <c r="AR39" s="94">
        <f t="shared" si="2"/>
        <v>25.539500000000004</v>
      </c>
      <c r="AS39" s="94">
        <f t="shared" si="3"/>
        <v>24.069500000000005</v>
      </c>
      <c r="AT39" s="89">
        <f>Sheet1!BB37</f>
        <v>0</v>
      </c>
      <c r="AU39" s="89">
        <f>Sheet1!AS37*GPMtoMGD</f>
        <v>1.9727999999999999E-2</v>
      </c>
      <c r="AV39" s="94">
        <f>Sheet1!AT37</f>
        <v>0</v>
      </c>
      <c r="AW39" s="89">
        <f>Sheet1!AV37*GPMtoMGD</f>
        <v>0.31996800000000003</v>
      </c>
      <c r="AX39" s="89">
        <f>Sheet1!AW37*GPMtoMGD</f>
        <v>0.58679999999999999</v>
      </c>
      <c r="AY39" s="89">
        <f>Sheet1!AX37*GPMtoMGD</f>
        <v>0</v>
      </c>
      <c r="AZ39" s="89">
        <f>Sheet1!AY37*GPMtoMGD</f>
        <v>0</v>
      </c>
      <c r="BA39" s="89">
        <f>Sheet1!AZ37*GPMtoMGD</f>
        <v>0</v>
      </c>
      <c r="BB39" s="89">
        <f>Sheet1!BP37*GPMtoMGD</f>
        <v>2.7360000000000002E-3</v>
      </c>
      <c r="BC39" s="89">
        <f>Sheet1!CS37*GPMtoMGD</f>
        <v>0</v>
      </c>
      <c r="BD39" s="89">
        <f>Sheet1!BO37*GPMtoMGD</f>
        <v>1.5137280000000002</v>
      </c>
      <c r="BE39" s="89">
        <f>Sheet1!BW37*GPMtoMGD</f>
        <v>0.81115199999999998</v>
      </c>
      <c r="BF39" s="89">
        <f>Sheet1!CN37*GPMtoMGD</f>
        <v>0.78868800000000017</v>
      </c>
      <c r="BG39" s="89">
        <f>Sheet1!CO37*GPMtoMGD</f>
        <v>0.54403200000000007</v>
      </c>
      <c r="BH39" s="89">
        <f>Sheet1!CP37*GPMtoMGD</f>
        <v>0.56908800000000004</v>
      </c>
      <c r="BI39" s="89">
        <f t="shared" si="16"/>
        <v>1.5164640000000003</v>
      </c>
      <c r="BK39" s="94">
        <f>SUM(AT39:BA39,AS39,BC39,Calculation!AQ39)</f>
        <v>34.614402729341911</v>
      </c>
      <c r="BM39" s="358">
        <f>0</f>
        <v>0</v>
      </c>
      <c r="BN39" s="358">
        <f>0</f>
        <v>0</v>
      </c>
      <c r="BP39" s="94">
        <f>SUM(BM39:BN39,W39,Sheet1!DX37)</f>
        <v>0</v>
      </c>
      <c r="BR39" s="94">
        <f>Sheet1!AA37</f>
        <v>24.57</v>
      </c>
      <c r="BS39" s="94">
        <f>Sheet1!AB37</f>
        <v>20.04</v>
      </c>
      <c r="BT39" s="94">
        <f t="shared" ca="1" si="7"/>
        <v>0.68530246655059535</v>
      </c>
      <c r="BU39" s="94">
        <f>Sheet1!AT37</f>
        <v>0</v>
      </c>
      <c r="BV39" s="89">
        <f>Sheet1!BB37</f>
        <v>0</v>
      </c>
      <c r="BW39" s="94">
        <f>Calculation!ED39</f>
        <v>10.421593270658089</v>
      </c>
      <c r="BX39" s="94">
        <f>(Sheet1!CS37*1440)/1000000</f>
        <v>0</v>
      </c>
      <c r="CA39" s="94">
        <f ca="1">Sheet1!AC37-Sheet1!BK37-Sheet1!BL37-Sheet1!BM37-Sheet1!BC37-Sheet1!BD37-Sheet1!BE37-Sheet1!BF37-Sheet1!BG37-Sheet1!BH37-Sheet1!BI37+BC39+P39</f>
        <v>34.785302466550597</v>
      </c>
      <c r="CB39" s="93">
        <f t="shared" si="8"/>
        <v>52.889465210291924</v>
      </c>
      <c r="CC39" s="94">
        <f t="shared" si="9"/>
        <v>0</v>
      </c>
      <c r="CD39" s="94">
        <f t="shared" ca="1" si="10"/>
        <v>45.206895737208683</v>
      </c>
      <c r="CE39" s="1077">
        <f t="shared" ca="1" si="11"/>
        <v>69.935067705461833</v>
      </c>
      <c r="CG39" s="1077">
        <f t="shared" ca="1" si="12"/>
        <v>34.785302466550597</v>
      </c>
    </row>
    <row r="40" spans="1:85" s="89" customFormat="1" x14ac:dyDescent="0.25">
      <c r="A40" s="616" t="s">
        <v>3</v>
      </c>
      <c r="B40" s="91">
        <v>42764</v>
      </c>
      <c r="C40" s="92">
        <v>0</v>
      </c>
      <c r="D40" s="94">
        <f>(Sheet1!BQ38-Sheet1!BQ37)*1.385</f>
        <v>0.30469999999999842</v>
      </c>
      <c r="E40" s="30">
        <f>(Sheet1!BR38-Sheet1!BR37)*1.385</f>
        <v>0.41550000000000098</v>
      </c>
      <c r="F40" s="30">
        <f ca="1">IF(B40=TODAY(),0,-(VLOOKUP(Sheet1!CD38,Lookup!$I$4:$J$216,2)-VLOOKUP(Sheet1!CD37,Lookup!$I$4:$J$216,2))/1000000)</f>
        <v>0.20727387709559872</v>
      </c>
      <c r="G40" s="94">
        <f ca="1">IF(B40=TODAY(),0,-$G$6*(Sheet1!CF38-Sheet1!CF37)*7.48/1000000)</f>
        <v>0.27799450736791548</v>
      </c>
      <c r="H40" s="94">
        <f ca="1">IF(B40=TODAY(),0,-$H$6*(Sheet1!CE38-Sheet1!CE37)*7.48/1000000)</f>
        <v>0</v>
      </c>
      <c r="I40" s="94">
        <f ca="1">IF(B40=TODAY(),0,-$I$6*(Sheet1!CG38-Sheet1!CG37)*7.48/1000000)</f>
        <v>8.9849760000000074E-3</v>
      </c>
      <c r="J40" s="95" t="s">
        <v>177</v>
      </c>
      <c r="K40" s="94">
        <f ca="1">IF(B40=TODAY(),0,-$K$6*(Sheet1!CH38-Sheet1!CH37)*7.48/1000000)</f>
        <v>1.9989961123375376E-2</v>
      </c>
      <c r="L40" s="95" t="s">
        <v>177</v>
      </c>
      <c r="M40" s="94">
        <f ca="1">IF(B40=TODAY(),0,-$M$6*(Sheet1!CI38-Sheet1!CI37)*7.48/1000000)</f>
        <v>4.4978771070067619E-2</v>
      </c>
      <c r="N40" s="94">
        <f ca="1">IF(B40=TODAY(),0,-$N$6*(Sheet1!CJ38-Sheet1!CJ37)*7.48/1000000)</f>
        <v>8.6873283552472716E-2</v>
      </c>
      <c r="O40" s="94">
        <f t="shared" ca="1" si="13"/>
        <v>0.64609537620942992</v>
      </c>
      <c r="P40" s="94">
        <f ca="1">O40+Calculation!ES40</f>
        <v>-0.18462104029881632</v>
      </c>
      <c r="Q40" s="89" t="str">
        <f>IF(Sheet1!BQ38&gt;25.75,"spill elevation","-")</f>
        <v>-</v>
      </c>
      <c r="R40" s="89" t="str">
        <f>IF(Sheet1!BQ38&gt;25.75,"spill elevation","-")</f>
        <v>-</v>
      </c>
      <c r="S40" s="89" t="str">
        <f>IF(Sheet1!BR38&gt;25.75,"spill elevation","-")</f>
        <v>-</v>
      </c>
      <c r="T40" s="93">
        <f>IF(Sheet1!DU38=1,Sheet1!AA38-(SUM(AT40:BA40)+BE40),Sheet1!AA38-SUM(AT40:BA40))</f>
        <v>23.615168000000001</v>
      </c>
      <c r="U40" s="93">
        <f>Sheet1!BV38</f>
        <v>26.4</v>
      </c>
      <c r="V40" s="93">
        <f t="shared" si="14"/>
        <v>-2.784831999999998</v>
      </c>
      <c r="W40" s="93">
        <f>0</f>
        <v>0</v>
      </c>
      <c r="X40" s="89">
        <f>0</f>
        <v>0</v>
      </c>
      <c r="Y40" s="94">
        <f ca="1">Calculation!EJ41+Calculation!ES40+'Calculations II'!O40-'Calculations II'!W40</f>
        <v>33.610331539004648</v>
      </c>
      <c r="Z40" s="94">
        <f ca="1">Y40-Sheet1!CT39</f>
        <v>29.887331539004649</v>
      </c>
      <c r="AA40" s="94">
        <f ca="1">Y40+Calculation!DJ41+Calculation!AS41</f>
        <v>43.991659586576503</v>
      </c>
      <c r="AC40" s="94">
        <f>Sheet1!AA38+Sheet1!AB38+BC40</f>
        <v>44.540000000000006</v>
      </c>
      <c r="AD40" s="94">
        <f>Sheet1!AA38+Sheet1!BN38+'Calculations II'!BC40-Calculation!AS40-Calculation!DJ40</f>
        <v>23.749448255470138</v>
      </c>
      <c r="AE40" s="94">
        <f>Sheet1!AA38+Sheet1!AB38+'Calculations II'!BC40-Calculation!AS40-Calculation!DJ40</f>
        <v>34.077448255470145</v>
      </c>
      <c r="AF40" s="94">
        <f ca="1">Sheet1!AA38+Sheet1!BN38+P40+'Calculations II'!BC40+Calculation!AS40+Calculation!DJ40</f>
        <v>44.489930704231057</v>
      </c>
      <c r="AG40" s="94">
        <f ca="1">IF(B40=TODAY(),0,Sheet1!AA38+Sheet1!BN38+'Calculations II'!BC40+'Calculations II'!P40-Sheet1!CT38-BP40)</f>
        <v>30.218378959701187</v>
      </c>
      <c r="AH40" s="94">
        <f ca="1">IF(B40=TODAY(),0,Sheet1!AA38+Sheet1!BN38+'Calculations II'!BC40+'Calculations II'!P40-BP40)</f>
        <v>34.027378959701188</v>
      </c>
      <c r="AI40" s="94">
        <f ca="1">IF(B40=TODAY(),0,BC40+Sheet1!AA38+Calculation!ES40+O40+W40+Sheet1!BN38+Calculation!AS40+Calculation!DJ40-BP40)</f>
        <v>44.489930704231057</v>
      </c>
      <c r="AJ40" s="94"/>
      <c r="AM40" s="90">
        <f t="shared" si="15"/>
        <v>42764</v>
      </c>
      <c r="AN40" s="94">
        <f>Sheet1!BU38</f>
        <v>23.1</v>
      </c>
      <c r="AO40" s="94">
        <f>Sheet1!AA38</f>
        <v>24.53</v>
      </c>
      <c r="AP40" s="94">
        <f t="shared" si="1"/>
        <v>0.7201999999999994</v>
      </c>
      <c r="AQ40" s="1087">
        <f>((Sheet1!BV38-(Sheet1!BU38-AP40))/(Sheet1!BU38-AP40))</f>
        <v>0.17963520674894301</v>
      </c>
      <c r="AR40" s="94">
        <f t="shared" si="2"/>
        <v>23.809800000000003</v>
      </c>
      <c r="AS40" s="94">
        <f t="shared" si="3"/>
        <v>22.379800000000003</v>
      </c>
      <c r="AT40" s="89">
        <f>Sheet1!BB38</f>
        <v>0</v>
      </c>
      <c r="AU40" s="89">
        <f>Sheet1!AS38*GPMtoMGD</f>
        <v>2.9087999999999999E-2</v>
      </c>
      <c r="AV40" s="94">
        <f>Sheet1!AT38</f>
        <v>0</v>
      </c>
      <c r="AW40" s="89">
        <f>Sheet1!AV38*GPMtoMGD</f>
        <v>0.34992000000000001</v>
      </c>
      <c r="AX40" s="89">
        <f>Sheet1!AW38*GPMtoMGD</f>
        <v>0.53582400000000008</v>
      </c>
      <c r="AY40" s="89">
        <f>Sheet1!AX38*GPMtoMGD</f>
        <v>0</v>
      </c>
      <c r="AZ40" s="89">
        <f>Sheet1!AY38*GPMtoMGD</f>
        <v>0</v>
      </c>
      <c r="BA40" s="89">
        <f>Sheet1!AZ38*GPMtoMGD</f>
        <v>0</v>
      </c>
      <c r="BB40" s="89">
        <f>Sheet1!BP38*GPMtoMGD</f>
        <v>2.7360000000000002E-3</v>
      </c>
      <c r="BC40" s="89">
        <f>Sheet1!CS38*GPMtoMGD</f>
        <v>0</v>
      </c>
      <c r="BD40" s="89">
        <f>Sheet1!BO38*GPMtoMGD</f>
        <v>1.489392</v>
      </c>
      <c r="BE40" s="89">
        <f>Sheet1!BW38*GPMtoMGD</f>
        <v>0.81028800000000012</v>
      </c>
      <c r="BF40" s="89">
        <f>Sheet1!CN38*GPMtoMGD</f>
        <v>1.1348640000000001</v>
      </c>
      <c r="BG40" s="89">
        <f>Sheet1!CO38*GPMtoMGD</f>
        <v>0.56736000000000009</v>
      </c>
      <c r="BH40" s="89">
        <f>Sheet1!CP38*GPMtoMGD</f>
        <v>0.47188800000000003</v>
      </c>
      <c r="BI40" s="89">
        <f t="shared" si="16"/>
        <v>1.4921280000000001</v>
      </c>
      <c r="BK40" s="94">
        <f>SUM(AT40:BA40,AS40,BC40,Calculation!AQ40)</f>
        <v>32.842080255470137</v>
      </c>
      <c r="BM40" s="358">
        <f>0</f>
        <v>0</v>
      </c>
      <c r="BN40" s="358">
        <f>0</f>
        <v>0</v>
      </c>
      <c r="BP40" s="94">
        <f>SUM(BM40:BN40,W40,Sheet1!DX38)</f>
        <v>0</v>
      </c>
      <c r="BR40" s="94">
        <f>Sheet1!AA38</f>
        <v>24.53</v>
      </c>
      <c r="BS40" s="94">
        <f>Sheet1!AB38</f>
        <v>20.010000000000002</v>
      </c>
      <c r="BT40" s="94">
        <f t="shared" ca="1" si="7"/>
        <v>-0.18462104029881632</v>
      </c>
      <c r="BU40" s="94">
        <f>Sheet1!AT38</f>
        <v>0</v>
      </c>
      <c r="BV40" s="89">
        <f>Sheet1!BB38</f>
        <v>0</v>
      </c>
      <c r="BW40" s="94">
        <f>Calculation!ED40</f>
        <v>10.462551744529865</v>
      </c>
      <c r="BX40" s="94">
        <f>(Sheet1!CS38*1440)/1000000</f>
        <v>0</v>
      </c>
      <c r="CA40" s="94">
        <f ca="1">Sheet1!AC38-Sheet1!BK38-Sheet1!BL38-Sheet1!BM38-Sheet1!BC38-Sheet1!BD38-Sheet1!BE38-Sheet1!BF38-Sheet1!BG38-Sheet1!BH38-Sheet1!BI38+BC40+P40</f>
        <v>33.745378959701185</v>
      </c>
      <c r="CB40" s="93">
        <f t="shared" si="8"/>
        <v>52.717812451212311</v>
      </c>
      <c r="CC40" s="94">
        <f t="shared" si="9"/>
        <v>0</v>
      </c>
      <c r="CD40" s="94">
        <f t="shared" ca="1" si="10"/>
        <v>44.207930704231046</v>
      </c>
      <c r="CE40" s="1077">
        <f t="shared" ca="1" si="11"/>
        <v>68.389668799445431</v>
      </c>
      <c r="CG40" s="1077">
        <f t="shared" ca="1" si="12"/>
        <v>33.745378959701185</v>
      </c>
    </row>
    <row r="41" spans="1:85" s="89" customFormat="1" x14ac:dyDescent="0.25">
      <c r="A41" s="616" t="s">
        <v>4</v>
      </c>
      <c r="B41" s="91">
        <v>42765</v>
      </c>
      <c r="C41" s="92">
        <v>0</v>
      </c>
      <c r="D41" s="94">
        <f>(Sheet1!BQ39-Sheet1!BQ38)*1.385</f>
        <v>-0.11079999999999764</v>
      </c>
      <c r="E41" s="30">
        <f>(Sheet1!BR39-Sheet1!BR38)*1.385</f>
        <v>-0.1246499999999998</v>
      </c>
      <c r="F41" s="30">
        <f ca="1">IF(B41=TODAY(),0,-(VLOOKUP(Sheet1!CD39,Lookup!$I$4:$J$216,2)-VLOOKUP(Sheet1!CD38,Lookup!$I$4:$J$216,2))/1000000)</f>
        <v>0.72545856983460111</v>
      </c>
      <c r="G41" s="94">
        <f ca="1">IF(B41=TODAY(),0,-$G$6*(Sheet1!CF39-Sheet1!CF38)*7.48/1000000)</f>
        <v>-0.91341052420886415</v>
      </c>
      <c r="H41" s="94">
        <f ca="1">IF(B41=TODAY(),0,-$H$6*(Sheet1!CE39-Sheet1!CE38)*7.48/1000000)</f>
        <v>-1.503943235126474E-2</v>
      </c>
      <c r="I41" s="94">
        <f ca="1">IF(B41=TODAY(),0,-$I$6*(Sheet1!CG39-Sheet1!CG38)*7.48/1000000)</f>
        <v>8.9849759999999675E-3</v>
      </c>
      <c r="J41" s="95" t="s">
        <v>177</v>
      </c>
      <c r="K41" s="94">
        <f ca="1">IF(B41=TODAY(),0,-$K$6*(Sheet1!CH39-Sheet1!CH38)*7.48/1000000)</f>
        <v>1.3326640748916837E-2</v>
      </c>
      <c r="L41" s="95" t="s">
        <v>177</v>
      </c>
      <c r="M41" s="94">
        <f ca="1">IF(B41=TODAY(),0,-$M$6*(Sheet1!CI39-Sheet1!CI38)*7.48/1000000)</f>
        <v>2.6987262642040957E-2</v>
      </c>
      <c r="N41" s="94">
        <f ca="1">IF(B41=TODAY(),0,-$N$6*(Sheet1!CJ39-Sheet1!CJ38)*7.48/1000000)</f>
        <v>0.34749313420989419</v>
      </c>
      <c r="O41" s="94">
        <f t="shared" ca="1" si="13"/>
        <v>0.19380062687532418</v>
      </c>
      <c r="P41" s="94">
        <f ca="1">O41+Calculation!ES41</f>
        <v>0.33224054749198445</v>
      </c>
      <c r="Q41" s="89" t="str">
        <f>IF(Sheet1!BQ39&gt;25.75,"spill elevation","-")</f>
        <v>-</v>
      </c>
      <c r="R41" s="89" t="str">
        <f>IF(Sheet1!BQ39&gt;25.75,"spill elevation","-")</f>
        <v>-</v>
      </c>
      <c r="S41" s="89" t="str">
        <f>IF(Sheet1!BR39&gt;25.75,"spill elevation","-")</f>
        <v>-</v>
      </c>
      <c r="T41" s="93">
        <f>IF(Sheet1!DU39=1,Sheet1!AA39-(SUM(AT41:BA41)+BE41),Sheet1!AA39-SUM(AT41:BA41))</f>
        <v>23.207520000000002</v>
      </c>
      <c r="U41" s="93">
        <f>Sheet1!BV39</f>
        <v>26.8</v>
      </c>
      <c r="V41" s="93">
        <f t="shared" si="14"/>
        <v>-3.5924799999999983</v>
      </c>
      <c r="W41" s="93">
        <f>0</f>
        <v>0</v>
      </c>
      <c r="X41" s="89">
        <f>0</f>
        <v>0</v>
      </c>
      <c r="Y41" s="94">
        <f ca="1">Calculation!EJ42+Calculation!ES41+'Calculations II'!O41-'Calculations II'!W41</f>
        <v>34.854741353378039</v>
      </c>
      <c r="Z41" s="94">
        <f ca="1">Y41-Sheet1!CT40</f>
        <v>28.827741353378038</v>
      </c>
      <c r="AA41" s="94">
        <f ca="1">Y41+Calculation!DJ42+Calculation!AS42</f>
        <v>45.231305557641797</v>
      </c>
      <c r="AC41" s="94">
        <f>Sheet1!AA39+Sheet1!AB39+BC41</f>
        <v>44.59</v>
      </c>
      <c r="AD41" s="94">
        <f>Sheet1!AA39+Sheet1!BN39+'Calculations II'!BC41-Calculation!AS41-Calculation!DJ41</f>
        <v>23.918671952428145</v>
      </c>
      <c r="AE41" s="94">
        <f>Sheet1!AA39+Sheet1!AB39+'Calculations II'!BC41-Calculation!AS41-Calculation!DJ41</f>
        <v>34.208671952428148</v>
      </c>
      <c r="AF41" s="94">
        <f ca="1">Sheet1!AA39+Sheet1!BN39+P41+'Calculations II'!BC41+Calculation!AS41+Calculation!DJ41</f>
        <v>45.01356859506383</v>
      </c>
      <c r="AG41" s="94">
        <f ca="1">IF(B41=TODAY(),0,Sheet1!AA39+Sheet1!BN39+'Calculations II'!BC41+'Calculations II'!P41-Sheet1!CT39-BP41)</f>
        <v>30.909240547491983</v>
      </c>
      <c r="AH41" s="94">
        <f ca="1">IF(B41=TODAY(),0,Sheet1!AA39+Sheet1!BN39+'Calculations II'!BC41+'Calculations II'!P41-BP41)</f>
        <v>34.632240547491982</v>
      </c>
      <c r="AI41" s="94">
        <f ca="1">IF(B41=TODAY(),0,BC41+Sheet1!AA39+Calculation!ES41+O41+W41+Sheet1!BN39+Calculation!AS41+Calculation!DJ41-BP41)</f>
        <v>45.013568595063845</v>
      </c>
      <c r="AJ41" s="94"/>
      <c r="AM41" s="90">
        <f t="shared" si="15"/>
        <v>42765</v>
      </c>
      <c r="AN41" s="94">
        <f>Sheet1!BU39</f>
        <v>22.6</v>
      </c>
      <c r="AO41" s="94">
        <f>Sheet1!AA39</f>
        <v>24.6</v>
      </c>
      <c r="AP41" s="94">
        <f t="shared" si="1"/>
        <v>-0.23544999999999744</v>
      </c>
      <c r="AQ41" s="1087">
        <f>((Sheet1!BV39-(Sheet1!BU39-AP41))/(Sheet1!BU39-AP41))</f>
        <v>0.17361383287826615</v>
      </c>
      <c r="AR41" s="94">
        <f t="shared" si="2"/>
        <v>24.835449999999998</v>
      </c>
      <c r="AS41" s="94">
        <f t="shared" si="3"/>
        <v>22.835449999999998</v>
      </c>
      <c r="AT41" s="89">
        <f>Sheet1!BB39</f>
        <v>0</v>
      </c>
      <c r="AU41" s="89">
        <f>Sheet1!AS39*GPMtoMGD</f>
        <v>3.0816E-2</v>
      </c>
      <c r="AV41" s="94">
        <f>Sheet1!AT39</f>
        <v>0</v>
      </c>
      <c r="AW41" s="89">
        <f>Sheet1!AV39*GPMtoMGD</f>
        <v>0.50544</v>
      </c>
      <c r="AX41" s="89">
        <f>Sheet1!AW39*GPMtoMGD</f>
        <v>0.8562240000000001</v>
      </c>
      <c r="AY41" s="89">
        <f>Sheet1!AX39*GPMtoMGD</f>
        <v>0</v>
      </c>
      <c r="AZ41" s="89">
        <f>Sheet1!AY39*GPMtoMGD</f>
        <v>0</v>
      </c>
      <c r="BA41" s="89">
        <f>Sheet1!AZ39*GPMtoMGD</f>
        <v>0</v>
      </c>
      <c r="BB41" s="89">
        <f>Sheet1!BP39*GPMtoMGD</f>
        <v>2.7360000000000002E-3</v>
      </c>
      <c r="BC41" s="89">
        <f>Sheet1!CS39*GPMtoMGD</f>
        <v>0</v>
      </c>
      <c r="BD41" s="89">
        <f>Sheet1!BO39*GPMtoMGD</f>
        <v>1.3825440000000002</v>
      </c>
      <c r="BE41" s="89">
        <f>Sheet1!BW39*GPMtoMGD</f>
        <v>0.59011200000000008</v>
      </c>
      <c r="BF41" s="89">
        <f>Sheet1!CN39*GPMtoMGD</f>
        <v>0.80985600000000002</v>
      </c>
      <c r="BG41" s="89">
        <f>Sheet1!CO39*GPMtoMGD</f>
        <v>0.54201600000000005</v>
      </c>
      <c r="BH41" s="89">
        <f>Sheet1!CP39*GPMtoMGD</f>
        <v>0.51811200000000002</v>
      </c>
      <c r="BI41" s="89">
        <f t="shared" si="16"/>
        <v>1.3852800000000003</v>
      </c>
      <c r="BK41" s="94">
        <f>SUM(AT41:BA41,AS41,BC41,Calculation!AQ41)</f>
        <v>33.83660195242814</v>
      </c>
      <c r="BM41" s="358">
        <f>0</f>
        <v>0</v>
      </c>
      <c r="BN41" s="358">
        <f>0</f>
        <v>0</v>
      </c>
      <c r="BP41" s="94">
        <f>SUM(BM41:BN41,W41,Sheet1!DX39)</f>
        <v>0</v>
      </c>
      <c r="BR41" s="94">
        <f>Sheet1!AA39</f>
        <v>24.6</v>
      </c>
      <c r="BS41" s="94">
        <f>Sheet1!AB39</f>
        <v>19.989999999999998</v>
      </c>
      <c r="BT41" s="94">
        <f t="shared" ca="1" si="7"/>
        <v>0.33224054749198445</v>
      </c>
      <c r="BU41" s="94">
        <f>Sheet1!AT39</f>
        <v>0</v>
      </c>
      <c r="BV41" s="89">
        <f>Sheet1!BB39</f>
        <v>0</v>
      </c>
      <c r="BW41" s="94">
        <f>Calculation!ED41</f>
        <v>10.381328047571852</v>
      </c>
      <c r="BX41" s="94">
        <f>(Sheet1!CS39*1440)/1000000</f>
        <v>0</v>
      </c>
      <c r="CA41" s="94">
        <f ca="1">Sheet1!AC39-Sheet1!BK39-Sheet1!BL39-Sheet1!BM39-Sheet1!BC39-Sheet1!BD39-Sheet1!BE39-Sheet1!BF39-Sheet1!BG39-Sheet1!BH39-Sheet1!BI39+BC41+P41</f>
        <v>34.442240547491984</v>
      </c>
      <c r="CB41" s="93">
        <f t="shared" si="8"/>
        <v>52.920815510406342</v>
      </c>
      <c r="CC41" s="94">
        <f t="shared" si="9"/>
        <v>0</v>
      </c>
      <c r="CD41" s="94">
        <f t="shared" ca="1" si="10"/>
        <v>44.823568595063833</v>
      </c>
      <c r="CE41" s="1077">
        <f t="shared" ca="1" si="11"/>
        <v>69.342060616563742</v>
      </c>
      <c r="CG41" s="1077">
        <f t="shared" ca="1" si="12"/>
        <v>34.442240547491984</v>
      </c>
    </row>
    <row r="42" spans="1:85" s="89" customFormat="1" x14ac:dyDescent="0.25">
      <c r="A42" s="616" t="s">
        <v>5</v>
      </c>
      <c r="B42" s="91">
        <v>42766</v>
      </c>
      <c r="C42" s="92">
        <v>0</v>
      </c>
      <c r="D42" s="94">
        <f>(Sheet1!BQ40-Sheet1!BQ39)*1.385</f>
        <v>-0.34625</v>
      </c>
      <c r="E42" s="30">
        <f>(Sheet1!BR40-Sheet1!BR39)*1.385</f>
        <v>-0.37394999999999939</v>
      </c>
      <c r="F42" s="30">
        <f ca="1">IF(B42=TODAY(),0,-(VLOOKUP(Sheet1!CD40,Lookup!$I$4:$J$216,2)-VLOOKUP(Sheet1!CD39,Lookup!$I$4:$J$216,2))/1000000)</f>
        <v>0.31091081564339806</v>
      </c>
      <c r="G42" s="94">
        <f ca="1">IF(B42=TODAY(),0,-$G$6*(Sheet1!CF40-Sheet1!CF39)*7.48/1000000)</f>
        <v>0.3177080084204747</v>
      </c>
      <c r="H42" s="94">
        <f ca="1">IF(B42=TODAY(),0,-$H$6*(Sheet1!CE40-Sheet1!CE39)*7.48/1000000)</f>
        <v>1.0527602645885583E-2</v>
      </c>
      <c r="I42" s="94">
        <f ca="1">IF(B42=TODAY(),0,-$I$6*(Sheet1!CG40-Sheet1!CG39)*7.48/1000000)</f>
        <v>2.6954928000000024E-2</v>
      </c>
      <c r="J42" s="95" t="s">
        <v>177</v>
      </c>
      <c r="K42" s="94">
        <f ca="1">IF(B42=TODAY(),0,-$K$6*(Sheet1!CH40-Sheet1!CH39)*7.48/1000000)</f>
        <v>4.6643242621209169E-2</v>
      </c>
      <c r="L42" s="95" t="s">
        <v>177</v>
      </c>
      <c r="M42" s="94">
        <f ca="1">IF(B42=TODAY(),0,-$M$6*(Sheet1!CI40-Sheet1!CI39)*7.48/1000000)</f>
        <v>0.14393206742421588</v>
      </c>
      <c r="N42" s="94">
        <f ca="1">IF(B42=TODAY(),0,-$N$6*(Sheet1!CJ40-Sheet1!CJ39)*7.48/1000000)</f>
        <v>6.2052345394623676E-2</v>
      </c>
      <c r="O42" s="94">
        <f t="shared" ca="1" si="13"/>
        <v>0.91872901014980712</v>
      </c>
      <c r="P42" s="94">
        <f ca="1">O42+Calculation!ES42</f>
        <v>1.7494262056360323</v>
      </c>
      <c r="Q42" s="89" t="str">
        <f>IF(Sheet1!BQ40&gt;25.75,"spill elevation","-")</f>
        <v>-</v>
      </c>
      <c r="R42" s="89" t="str">
        <f>IF(Sheet1!BQ40&gt;25.75,"spill elevation","-")</f>
        <v>-</v>
      </c>
      <c r="S42" s="89" t="str">
        <f>IF(Sheet1!BR40&gt;25.75,"spill elevation","-")</f>
        <v>-</v>
      </c>
      <c r="T42" s="93">
        <f>IF(Sheet1!DU40=1,Sheet1!AA40-(SUM(AT42:BA42)+BE42),Sheet1!AA40-SUM(AT42:BA42))</f>
        <v>23.909664000000003</v>
      </c>
      <c r="U42" s="93">
        <f>Sheet1!BV40</f>
        <v>28.2</v>
      </c>
      <c r="V42" s="93">
        <f t="shared" si="14"/>
        <v>-4.2903359999999964</v>
      </c>
      <c r="W42" s="93">
        <f>0</f>
        <v>0</v>
      </c>
      <c r="X42" s="89">
        <f>0</f>
        <v>0</v>
      </c>
      <c r="Y42" s="94">
        <f ca="1">Calculation!EJ43+Calculation!ES42+'Calculations II'!O42-'Calculations II'!W42</f>
        <v>37.22607262191238</v>
      </c>
      <c r="Z42" s="94">
        <f ca="1">Y42-Sheet1!CT41</f>
        <v>27.838072621912382</v>
      </c>
      <c r="AA42" s="94">
        <f ca="1">Y42+Calculation!DJ43+Calculation!AS43</f>
        <v>47.62498944976538</v>
      </c>
      <c r="AC42" s="94">
        <f>Sheet1!AA40+Sheet1!AB40+BC42</f>
        <v>44.59</v>
      </c>
      <c r="AD42" s="94">
        <f>Sheet1!AA40+Sheet1!BN40+'Calculations II'!BC42-Calculation!AS42-Calculation!DJ42</f>
        <v>23.923435795736239</v>
      </c>
      <c r="AE42" s="94">
        <f>Sheet1!AA40+Sheet1!AB40+'Calculations II'!BC42-Calculation!AS42-Calculation!DJ42</f>
        <v>34.213435795736245</v>
      </c>
      <c r="AF42" s="94">
        <f ca="1">Sheet1!AA40+Sheet1!BN40+P42+'Calculations II'!BC42+Calculation!AS42+Calculation!DJ42</f>
        <v>46.425990409899789</v>
      </c>
      <c r="AG42" s="94">
        <f ca="1">IF(B42=TODAY(),0,Sheet1!AA40+Sheet1!BN40+'Calculations II'!BC42+'Calculations II'!P42-Sheet1!CT40-BP42)</f>
        <v>30.02242620563603</v>
      </c>
      <c r="AH42" s="94">
        <f ca="1">IF(B42=TODAY(),0,Sheet1!AA40+Sheet1!BN40+'Calculations II'!BC42+'Calculations II'!P42-BP42)</f>
        <v>36.049426205636031</v>
      </c>
      <c r="AI42" s="94">
        <f ca="1">IF(B42=TODAY(),0,BC42+Sheet1!AA40+Calculation!ES42+O42+W42+Sheet1!BN40+Calculation!AS42+Calculation!DJ42-BP42)</f>
        <v>46.425990409899789</v>
      </c>
      <c r="AJ42" s="94"/>
      <c r="AM42" s="90">
        <f t="shared" si="15"/>
        <v>42766</v>
      </c>
      <c r="AN42" s="94">
        <f>Sheet1!BU40</f>
        <v>23.3</v>
      </c>
      <c r="AO42" s="94">
        <f>Sheet1!AA40</f>
        <v>24.6</v>
      </c>
      <c r="AP42" s="94">
        <f t="shared" si="1"/>
        <v>-0.7201999999999994</v>
      </c>
      <c r="AQ42" s="1087">
        <f>((Sheet1!BV40-(Sheet1!BU40-AP42))/(Sheet1!BU40-AP42))</f>
        <v>0.17401187333993889</v>
      </c>
      <c r="AR42" s="94">
        <f t="shared" si="2"/>
        <v>25.3202</v>
      </c>
      <c r="AS42" s="94">
        <f t="shared" si="3"/>
        <v>24.020199999999999</v>
      </c>
      <c r="AT42" s="89">
        <f>Sheet1!BB40</f>
        <v>0</v>
      </c>
      <c r="AU42" s="89">
        <f>Sheet1!AS40*GPMtoMGD</f>
        <v>1.5120000000000001E-2</v>
      </c>
      <c r="AV42" s="94">
        <f>Sheet1!AT40</f>
        <v>0</v>
      </c>
      <c r="AW42" s="89">
        <f>Sheet1!AV40*GPMtoMGD</f>
        <v>0.24710400000000002</v>
      </c>
      <c r="AX42" s="89">
        <f>Sheet1!AW40*GPMtoMGD</f>
        <v>0.42811200000000005</v>
      </c>
      <c r="AY42" s="89">
        <f>Sheet1!AX40*GPMtoMGD</f>
        <v>0</v>
      </c>
      <c r="AZ42" s="89">
        <f>Sheet1!AY40*GPMtoMGD</f>
        <v>0</v>
      </c>
      <c r="BA42" s="89">
        <f>Sheet1!AZ40*GPMtoMGD</f>
        <v>0</v>
      </c>
      <c r="BB42" s="89">
        <f>Sheet1!BP40*GPMtoMGD</f>
        <v>2.7360000000000002E-3</v>
      </c>
      <c r="BC42" s="89">
        <f>Sheet1!CS40*GPMtoMGD</f>
        <v>0</v>
      </c>
      <c r="BD42" s="89">
        <f>Sheet1!BO40*GPMtoMGD</f>
        <v>1.1982240000000002</v>
      </c>
      <c r="BE42" s="89">
        <f>Sheet1!BW40*GPMtoMGD</f>
        <v>0.78091199999999994</v>
      </c>
      <c r="BF42" s="89">
        <f>Sheet1!CN40*GPMtoMGD</f>
        <v>0.77976000000000001</v>
      </c>
      <c r="BG42" s="89">
        <f>Sheet1!CO40*GPMtoMGD</f>
        <v>0.53409600000000002</v>
      </c>
      <c r="BH42" s="89">
        <f>Sheet1!CP40*GPMtoMGD</f>
        <v>0.54892799999999997</v>
      </c>
      <c r="BI42" s="89">
        <f t="shared" si="16"/>
        <v>1.2009600000000002</v>
      </c>
      <c r="BK42" s="94">
        <f>SUM(AT42:BA42,AS42,BC42,Calculation!AQ42)</f>
        <v>34.323971795736242</v>
      </c>
      <c r="BM42" s="358">
        <f>0</f>
        <v>0</v>
      </c>
      <c r="BN42" s="358">
        <f>0</f>
        <v>0</v>
      </c>
      <c r="BP42" s="94">
        <f>SUM(BM42:BN42,W42,Sheet1!DX40)</f>
        <v>0</v>
      </c>
      <c r="BR42" s="94">
        <f>Sheet1!AA40</f>
        <v>24.6</v>
      </c>
      <c r="BS42" s="94">
        <f>Sheet1!AB40</f>
        <v>19.989999999999998</v>
      </c>
      <c r="BT42" s="94">
        <f t="shared" ca="1" si="7"/>
        <v>1.7494262056360323</v>
      </c>
      <c r="BU42" s="94">
        <f>Sheet1!AT40</f>
        <v>0</v>
      </c>
      <c r="BV42" s="89">
        <f>Sheet1!BB40</f>
        <v>0</v>
      </c>
      <c r="BW42" s="94">
        <f>Calculation!ED42</f>
        <v>10.376564204263756</v>
      </c>
      <c r="BX42" s="94">
        <f>(Sheet1!CS40*1440)/1000000</f>
        <v>0</v>
      </c>
      <c r="CA42" s="94">
        <f ca="1">Sheet1!AC40-Sheet1!BK40-Sheet1!BL40-Sheet1!BM40-Sheet1!BC40-Sheet1!BD40-Sheet1!BE40-Sheet1!BF40-Sheet1!BG40-Sheet1!BH40-Sheet1!BI40+BC42+P42</f>
        <v>35.869426205636039</v>
      </c>
      <c r="CB42" s="93">
        <f t="shared" si="8"/>
        <v>52.928185176003971</v>
      </c>
      <c r="CC42" s="94">
        <f t="shared" si="9"/>
        <v>0</v>
      </c>
      <c r="CD42" s="94">
        <f t="shared" ca="1" si="10"/>
        <v>46.245990409899797</v>
      </c>
      <c r="CE42" s="1077">
        <f t="shared" ca="1" si="11"/>
        <v>71.542547164114978</v>
      </c>
      <c r="CG42" s="1077">
        <f t="shared" ca="1" si="12"/>
        <v>35.869426205636039</v>
      </c>
    </row>
    <row r="43" spans="1:85" s="89" customFormat="1" x14ac:dyDescent="0.25">
      <c r="A43" s="616" t="s">
        <v>6</v>
      </c>
      <c r="B43" s="91">
        <v>42767</v>
      </c>
      <c r="C43" s="92">
        <v>0</v>
      </c>
      <c r="D43" s="94">
        <f>(Sheet1!BQ41-Sheet1!BQ40)*1.385</f>
        <v>-1.5789000000000009</v>
      </c>
      <c r="E43" s="30">
        <f>(Sheet1!BR41-Sheet1!BR40)*1.385</f>
        <v>-1.5512000000000015</v>
      </c>
      <c r="F43" s="30">
        <f ca="1">IF(B43=TODAY(),0,-(VLOOKUP(Sheet1!CD41,Lookup!$I$4:$J$216,2)-VLOOKUP(Sheet1!CD40,Lookup!$I$4:$J$216,2))/1000000)</f>
        <v>0.82909550838240231</v>
      </c>
      <c r="G43" s="94">
        <f ca="1">IF(B43=TODAY(),0,-$G$6*(Sheet1!CF41-Sheet1!CF40)*7.48/1000000)</f>
        <v>0.31770800842047398</v>
      </c>
      <c r="H43" s="94">
        <f ca="1">IF(B43=TODAY(),0,-$H$6*(Sheet1!CE41-Sheet1!CE40)*7.48/1000000)</f>
        <v>-1.0527602645885583E-2</v>
      </c>
      <c r="I43" s="94">
        <f ca="1">IF(B43=TODAY(),0,-$I$6*(Sheet1!CG41-Sheet1!CG40)*7.48/1000000)</f>
        <v>3.1447416000000006E-2</v>
      </c>
      <c r="J43" s="95" t="s">
        <v>177</v>
      </c>
      <c r="K43" s="94">
        <f ca="1">IF(B43=TODAY(),0,-$K$6*(Sheet1!CH41-Sheet1!CH40)*7.48/1000000)</f>
        <v>5.3306562995667467E-2</v>
      </c>
      <c r="L43" s="95" t="s">
        <v>177</v>
      </c>
      <c r="M43" s="94">
        <f ca="1">IF(B43=TODAY(),0,-$M$6*(Sheet1!CI41-Sheet1!CI40)*7.48/1000000)</f>
        <v>0.14393206742421652</v>
      </c>
      <c r="N43" s="94">
        <f ca="1">IF(B43=TODAY(),0,-$N$6*(Sheet1!CJ41-Sheet1!CJ40)*7.48/1000000)</f>
        <v>8.6873283552473798E-2</v>
      </c>
      <c r="O43" s="94">
        <f t="shared" ca="1" si="13"/>
        <v>1.4518352441293485</v>
      </c>
      <c r="P43" s="94">
        <f ca="1">O43+Calculation!ES43</f>
        <v>4.4967383083363099</v>
      </c>
      <c r="Q43" s="89" t="str">
        <f>IF(Sheet1!BQ41&gt;25.75,"spill elevation","-")</f>
        <v>-</v>
      </c>
      <c r="R43" s="89" t="str">
        <f>IF(Sheet1!BQ41&gt;25.75,"spill elevation","-")</f>
        <v>-</v>
      </c>
      <c r="S43" s="89" t="str">
        <f>IF(Sheet1!BR41&gt;25.75,"spill elevation","-")</f>
        <v>-</v>
      </c>
      <c r="T43" s="93">
        <f>IF(Sheet1!DU41=1,Sheet1!AA41-(SUM(AT43:BA43)+BE43),Sheet1!AA41-SUM(AT43:BA43))</f>
        <v>23.866271999999999</v>
      </c>
      <c r="U43" s="93">
        <f>Sheet1!BV41</f>
        <v>30.7</v>
      </c>
      <c r="V43" s="93">
        <f t="shared" si="14"/>
        <v>-6.8337280000000007</v>
      </c>
      <c r="W43" s="93">
        <f>0</f>
        <v>0</v>
      </c>
      <c r="X43" s="89">
        <f>0</f>
        <v>0</v>
      </c>
      <c r="Y43" s="94">
        <f ca="1">Calculation!EJ44+Calculation!ES43+'Calculations II'!O43-'Calculations II'!W43</f>
        <v>41.450247575905486</v>
      </c>
      <c r="Z43" s="94">
        <f ca="1">Y43-Sheet1!CT42</f>
        <v>30.450247575905486</v>
      </c>
      <c r="AA43" s="94">
        <f ca="1">Y43+Calculation!DJ44+Calculation!AS44</f>
        <v>51.969711208575134</v>
      </c>
      <c r="AC43" s="94">
        <f>Sheet1!AA41+Sheet1!AB41+BC43</f>
        <v>45.09</v>
      </c>
      <c r="AD43" s="94">
        <f>Sheet1!AA41+Sheet1!BN41+'Calculations II'!BC43-Calculation!AS43-Calculation!DJ43</f>
        <v>24.371083172146996</v>
      </c>
      <c r="AE43" s="94">
        <f>Sheet1!AA41+Sheet1!AB41+'Calculations II'!BC43-Calculation!AS43-Calculation!DJ43</f>
        <v>34.691083172147003</v>
      </c>
      <c r="AF43" s="94">
        <f ca="1">Sheet1!AA41+Sheet1!BN41+P43+'Calculations II'!BC43+Calculation!AS43+Calculation!DJ43</f>
        <v>49.665655136189308</v>
      </c>
      <c r="AG43" s="94">
        <f ca="1">IF(B43=TODAY(),0,Sheet1!AA41+Sheet1!BN41+'Calculations II'!BC43+'Calculations II'!P43-Sheet1!CT41-BP43)</f>
        <v>29.87873830833631</v>
      </c>
      <c r="AH43" s="94">
        <f ca="1">IF(B43=TODAY(),0,Sheet1!AA41+Sheet1!BN41+'Calculations II'!BC43+'Calculations II'!P43-BP43)</f>
        <v>39.266738308336308</v>
      </c>
      <c r="AI43" s="94">
        <f ca="1">IF(B43=TODAY(),0,BC43+Sheet1!AA41+Calculation!ES43+O43+W43+Sheet1!BN41+Calculation!AS43+Calculation!DJ43-BP43)</f>
        <v>49.665655136189315</v>
      </c>
      <c r="AJ43" s="94"/>
      <c r="AM43" s="90">
        <f t="shared" si="15"/>
        <v>42767</v>
      </c>
      <c r="AN43" s="94">
        <f>Sheet1!BU41</f>
        <v>23.2</v>
      </c>
      <c r="AO43" s="94">
        <f>Sheet1!AA41</f>
        <v>24.57</v>
      </c>
      <c r="AP43" s="94">
        <f t="shared" si="1"/>
        <v>-3.1301000000000023</v>
      </c>
      <c r="AQ43" s="1087">
        <f>((Sheet1!BV41-(Sheet1!BU41-AP43))/(Sheet1!BU41-AP43))</f>
        <v>0.16596594771763104</v>
      </c>
      <c r="AR43" s="94">
        <f t="shared" si="2"/>
        <v>27.700100000000003</v>
      </c>
      <c r="AS43" s="94">
        <f t="shared" si="3"/>
        <v>26.330100000000002</v>
      </c>
      <c r="AT43" s="89">
        <f>Sheet1!BB41</f>
        <v>0</v>
      </c>
      <c r="AU43" s="89">
        <f>Sheet1!AS41*GPMtoMGD</f>
        <v>2.4480000000000002E-2</v>
      </c>
      <c r="AV43" s="94">
        <f>Sheet1!AT41</f>
        <v>0</v>
      </c>
      <c r="AW43" s="89">
        <f>Sheet1!AV41*GPMtoMGD</f>
        <v>0.26913600000000004</v>
      </c>
      <c r="AX43" s="89">
        <f>Sheet1!AW41*GPMtoMGD</f>
        <v>0.41011200000000003</v>
      </c>
      <c r="AY43" s="89">
        <f>Sheet1!AX41*GPMtoMGD</f>
        <v>0</v>
      </c>
      <c r="AZ43" s="89">
        <f>Sheet1!AY41*GPMtoMGD</f>
        <v>0</v>
      </c>
      <c r="BA43" s="89">
        <f>Sheet1!AZ41*GPMtoMGD</f>
        <v>0</v>
      </c>
      <c r="BB43" s="89">
        <f>Sheet1!BP41*GPMtoMGD</f>
        <v>2.7360000000000002E-3</v>
      </c>
      <c r="BC43" s="89">
        <f>Sheet1!CS41*GPMtoMGD</f>
        <v>0</v>
      </c>
      <c r="BD43" s="89">
        <f>Sheet1!BO41*GPMtoMGD</f>
        <v>1.2196800000000001</v>
      </c>
      <c r="BE43" s="89">
        <f>Sheet1!BW41*GPMtoMGD</f>
        <v>0.80568000000000006</v>
      </c>
      <c r="BF43" s="89">
        <f>Sheet1!CN41*GPMtoMGD</f>
        <v>0.68803200000000009</v>
      </c>
      <c r="BG43" s="89">
        <f>Sheet1!CO41*GPMtoMGD</f>
        <v>0.55296000000000001</v>
      </c>
      <c r="BH43" s="89">
        <f>Sheet1!CP41*GPMtoMGD</f>
        <v>0.50068800000000002</v>
      </c>
      <c r="BI43" s="89">
        <f t="shared" si="16"/>
        <v>1.2224160000000002</v>
      </c>
      <c r="BK43" s="94">
        <f>SUM(AT43:BA43,AS43,BC43,Calculation!AQ43)</f>
        <v>37.154911172147003</v>
      </c>
      <c r="BM43" s="358">
        <f>0</f>
        <v>0</v>
      </c>
      <c r="BN43" s="358">
        <f>0</f>
        <v>0</v>
      </c>
      <c r="BP43" s="94">
        <f>SUM(BM43:BN43,W43,Sheet1!DX41)</f>
        <v>0</v>
      </c>
      <c r="BR43" s="94">
        <f>Sheet1!AA41</f>
        <v>24.57</v>
      </c>
      <c r="BS43" s="94">
        <f>Sheet1!AB41</f>
        <v>20.52</v>
      </c>
      <c r="BT43" s="94">
        <f t="shared" ca="1" si="7"/>
        <v>4.4967383083363099</v>
      </c>
      <c r="BU43" s="94">
        <f>Sheet1!AT41</f>
        <v>0</v>
      </c>
      <c r="BV43" s="89">
        <f>Sheet1!BB41</f>
        <v>0</v>
      </c>
      <c r="BW43" s="94">
        <f>Calculation!ED43</f>
        <v>10.398916827852998</v>
      </c>
      <c r="BX43" s="94">
        <f>(Sheet1!CS41*1440)/1000000</f>
        <v>0</v>
      </c>
      <c r="CA43" s="94">
        <f ca="1">Sheet1!AC41-Sheet1!BK41-Sheet1!BL41-Sheet1!BM41-Sheet1!BC41-Sheet1!BD41-Sheet1!BE41-Sheet1!BF41-Sheet1!BG41-Sheet1!BH41-Sheet1!BI41+BC43+P43</f>
        <v>39.106738308336311</v>
      </c>
      <c r="CB43" s="93">
        <f t="shared" si="8"/>
        <v>53.667105667311411</v>
      </c>
      <c r="CC43" s="94">
        <f t="shared" si="9"/>
        <v>0</v>
      </c>
      <c r="CD43" s="94">
        <f t="shared" ca="1" si="10"/>
        <v>49.505655136189311</v>
      </c>
      <c r="CE43" s="1077">
        <f t="shared" ca="1" si="11"/>
        <v>76.585248495684866</v>
      </c>
      <c r="CG43" s="1077">
        <f t="shared" ca="1" si="12"/>
        <v>39.106738308336311</v>
      </c>
    </row>
    <row r="44" spans="1:85" s="89" customFormat="1" x14ac:dyDescent="0.25">
      <c r="A44" s="616" t="s">
        <v>7</v>
      </c>
      <c r="B44" s="91">
        <v>42768</v>
      </c>
      <c r="C44" s="92">
        <v>0</v>
      </c>
      <c r="D44" s="94">
        <f>(Sheet1!BQ42-Sheet1!BQ41)*1.385</f>
        <v>-1.6758500000000012</v>
      </c>
      <c r="E44" s="30">
        <f>(Sheet1!BR42-Sheet1!BR41)*1.385</f>
        <v>-1.6204499999999975</v>
      </c>
      <c r="F44" s="30">
        <f ca="1">IF(B44=TODAY(),0,-(VLOOKUP(Sheet1!CD42,Lookup!$I$4:$J$216,2)-VLOOKUP(Sheet1!CD41,Lookup!$I$4:$J$216,2))/1000000)</f>
        <v>-0.51818469273899681</v>
      </c>
      <c r="G44" s="94">
        <f ca="1">IF(B44=TODAY(),0,-$G$6*(Sheet1!CF42-Sheet1!CF41)*7.48/1000000)</f>
        <v>0.32962205873624217</v>
      </c>
      <c r="H44" s="94">
        <f ca="1">IF(B44=TODAY(),0,-$H$6*(Sheet1!CE42-Sheet1!CE41)*7.48/1000000)</f>
        <v>-1.5039432351265274E-2</v>
      </c>
      <c r="I44" s="94">
        <f ca="1">IF(B44=TODAY(),0,-$I$6*(Sheet1!CG42-Sheet1!CG41)*7.48/1000000)</f>
        <v>-3.5939904000000029E-2</v>
      </c>
      <c r="J44" s="95" t="s">
        <v>177</v>
      </c>
      <c r="K44" s="94">
        <f ca="1">IF(B44=TODAY(),0,-$K$6*(Sheet1!CH42-Sheet1!CH41)*7.48/1000000)</f>
        <v>-6.396787559480098E-2</v>
      </c>
      <c r="L44" s="95" t="s">
        <v>177</v>
      </c>
      <c r="M44" s="94">
        <f ca="1">IF(B44=TODAY(),0,-$M$6*(Sheet1!CI42-Sheet1!CI41)*7.48/1000000)</f>
        <v>-0.16192357585224318</v>
      </c>
      <c r="N44" s="94">
        <f ca="1">IF(B44=TODAY(),0,-$N$6*(Sheet1!CJ42-Sheet1!CJ41)*7.48/1000000)</f>
        <v>-0.22959367796010904</v>
      </c>
      <c r="O44" s="94">
        <f t="shared" ca="1" si="13"/>
        <v>-0.69502709976117316</v>
      </c>
      <c r="P44" s="94">
        <f ca="1">O44+Calculation!ES44</f>
        <v>2.6249174010221399</v>
      </c>
      <c r="Q44" s="89" t="str">
        <f>IF(Sheet1!BQ42&gt;25.75,"spill elevation","-")</f>
        <v>-</v>
      </c>
      <c r="R44" s="89" t="str">
        <f>IF(Sheet1!BQ42&gt;25.75,"spill elevation","-")</f>
        <v>-</v>
      </c>
      <c r="S44" s="89" t="str">
        <f>IF(Sheet1!BR42&gt;25.75,"spill elevation","-")</f>
        <v>-</v>
      </c>
      <c r="T44" s="93">
        <f>IF(Sheet1!DU42=1,Sheet1!AA42-(SUM(AT44:BA44)+BE44),Sheet1!AA42-SUM(AT44:BA44))</f>
        <v>23.161999999999999</v>
      </c>
      <c r="U44" s="93">
        <f>Sheet1!BV42</f>
        <v>29.9</v>
      </c>
      <c r="V44" s="93">
        <f t="shared" si="14"/>
        <v>-6.7379999999999995</v>
      </c>
      <c r="W44" s="93">
        <f>0</f>
        <v>0</v>
      </c>
      <c r="X44" s="89">
        <f>0</f>
        <v>0</v>
      </c>
      <c r="Y44" s="94">
        <f ca="1">Calculation!EJ45+Calculation!ES44+'Calculations II'!O44-'Calculations II'!W44</f>
        <v>42.939973141229316</v>
      </c>
      <c r="Z44" s="94">
        <f ca="1">Y44-Sheet1!CT43</f>
        <v>29.130973141229319</v>
      </c>
      <c r="AA44" s="94">
        <f ca="1">Y44+Calculation!DJ45+Calculation!AS45</f>
        <v>53.399901763641878</v>
      </c>
      <c r="AC44" s="94">
        <f>Sheet1!AA42+Sheet1!AB42+BC44</f>
        <v>48.93</v>
      </c>
      <c r="AD44" s="94">
        <f>Sheet1!AA42+Sheet1!BN42+'Calculations II'!BC44-Calculation!AS44-Calculation!DJ44</f>
        <v>28.010536367330353</v>
      </c>
      <c r="AE44" s="94">
        <f>Sheet1!AA42+Sheet1!AB42+'Calculations II'!BC44-Calculation!AS44-Calculation!DJ44</f>
        <v>38.410536367330351</v>
      </c>
      <c r="AF44" s="94">
        <f ca="1">Sheet1!AA42+Sheet1!BN42+P44+'Calculations II'!BC44+Calculation!AS44+Calculation!DJ44</f>
        <v>51.674381033691787</v>
      </c>
      <c r="AG44" s="94">
        <f ca="1">IF(B44=TODAY(),0,Sheet1!AA42+Sheet1!BN42+'Calculations II'!BC44+'Calculations II'!P44-Sheet1!CT42-BP44)</f>
        <v>30.154917401022139</v>
      </c>
      <c r="AH44" s="94">
        <f ca="1">IF(B44=TODAY(),0,Sheet1!AA42+Sheet1!BN42+'Calculations II'!BC44+'Calculations II'!P44-BP44)</f>
        <v>41.154917401022139</v>
      </c>
      <c r="AI44" s="94">
        <f ca="1">IF(B44=TODAY(),0,BC44+Sheet1!AA42+Calculation!ES44+O44+W44+Sheet1!BN42+Calculation!AS44+Calculation!DJ44-BP44)</f>
        <v>51.674381033691795</v>
      </c>
      <c r="AJ44" s="94"/>
      <c r="AM44" s="90">
        <f t="shared" si="15"/>
        <v>42768</v>
      </c>
      <c r="AN44" s="94">
        <f>Sheet1!BU42</f>
        <v>22.4</v>
      </c>
      <c r="AO44" s="94">
        <f>Sheet1!AA42</f>
        <v>24.53</v>
      </c>
      <c r="AP44" s="94">
        <f t="shared" si="1"/>
        <v>-3.2962999999999987</v>
      </c>
      <c r="AQ44" s="1087">
        <f>((Sheet1!BV42-(Sheet1!BU42-AP44))/(Sheet1!BU42-AP44))</f>
        <v>0.16359164548981767</v>
      </c>
      <c r="AR44" s="94">
        <f t="shared" si="2"/>
        <v>27.8263</v>
      </c>
      <c r="AS44" s="94">
        <f t="shared" si="3"/>
        <v>25.696299999999997</v>
      </c>
      <c r="AT44" s="89">
        <f>Sheet1!BB42</f>
        <v>0</v>
      </c>
      <c r="AU44" s="89">
        <f>Sheet1!AS42*GPMtoMGD</f>
        <v>2.1024000000000001E-2</v>
      </c>
      <c r="AV44" s="94">
        <f>Sheet1!AT42</f>
        <v>0</v>
      </c>
      <c r="AW44" s="89">
        <f>Sheet1!AV42*GPMtoMGD</f>
        <v>0.5073120000000001</v>
      </c>
      <c r="AX44" s="89">
        <f>Sheet1!AW42*GPMtoMGD</f>
        <v>0.83966400000000008</v>
      </c>
      <c r="AY44" s="89">
        <f>Sheet1!AX42*GPMtoMGD</f>
        <v>0</v>
      </c>
      <c r="AZ44" s="89">
        <f>Sheet1!AY42*GPMtoMGD</f>
        <v>0</v>
      </c>
      <c r="BA44" s="89">
        <f>Sheet1!AZ42*GPMtoMGD</f>
        <v>0</v>
      </c>
      <c r="BB44" s="89">
        <f>Sheet1!BP42*GPMtoMGD</f>
        <v>2.7360000000000002E-3</v>
      </c>
      <c r="BC44" s="89">
        <f>Sheet1!CS42*GPMtoMGD</f>
        <v>0</v>
      </c>
      <c r="BD44" s="89">
        <f>Sheet1!BO42*GPMtoMGD</f>
        <v>1.6532640000000001</v>
      </c>
      <c r="BE44" s="89">
        <f>Sheet1!BW42*GPMtoMGD</f>
        <v>0.58060800000000001</v>
      </c>
      <c r="BF44" s="89">
        <f>Sheet1!CN42*GPMtoMGD</f>
        <v>0.71467200000000008</v>
      </c>
      <c r="BG44" s="89">
        <f>Sheet1!CO42*GPMtoMGD</f>
        <v>0.54979200000000006</v>
      </c>
      <c r="BH44" s="89">
        <f>Sheet1!CP42*GPMtoMGD</f>
        <v>0.51638400000000007</v>
      </c>
      <c r="BI44" s="89">
        <f t="shared" si="16"/>
        <v>1.6560000000000001</v>
      </c>
      <c r="BK44" s="94">
        <f>SUM(AT44:BA44,AS44,BC44,Calculation!AQ44)</f>
        <v>40.944836367330353</v>
      </c>
      <c r="BM44" s="358">
        <f>0</f>
        <v>0</v>
      </c>
      <c r="BN44" s="358">
        <f>0</f>
        <v>0</v>
      </c>
      <c r="BP44" s="94">
        <f>SUM(BM44:BN44,W44,Sheet1!DX42)</f>
        <v>0</v>
      </c>
      <c r="BR44" s="94">
        <f>Sheet1!AA42</f>
        <v>24.53</v>
      </c>
      <c r="BS44" s="94">
        <f>Sheet1!AB42</f>
        <v>24.4</v>
      </c>
      <c r="BT44" s="94">
        <f t="shared" ca="1" si="7"/>
        <v>2.6249174010221399</v>
      </c>
      <c r="BU44" s="94">
        <f>Sheet1!AT42</f>
        <v>0</v>
      </c>
      <c r="BV44" s="89">
        <f>Sheet1!BB42</f>
        <v>0</v>
      </c>
      <c r="BW44" s="94">
        <f>Calculation!ED44</f>
        <v>10.519463632669646</v>
      </c>
      <c r="BX44" s="94">
        <f>(Sheet1!CS42*1440)/1000000</f>
        <v>0</v>
      </c>
      <c r="CA44" s="94">
        <f ca="1">Sheet1!AC42-Sheet1!BK42-Sheet1!BL42-Sheet1!BM42-Sheet1!BC42-Sheet1!BD42-Sheet1!BE42-Sheet1!BF42-Sheet1!BG42-Sheet1!BH42-Sheet1!BI42+BC44+P44</f>
        <v>40.944917401022131</v>
      </c>
      <c r="CB44" s="93">
        <f t="shared" si="8"/>
        <v>59.421099760260049</v>
      </c>
      <c r="CC44" s="94">
        <f t="shared" si="9"/>
        <v>0</v>
      </c>
      <c r="CD44" s="94">
        <f t="shared" ca="1" si="10"/>
        <v>51.46438103369178</v>
      </c>
      <c r="CE44" s="1077">
        <f t="shared" ca="1" si="11"/>
        <v>79.615397459121183</v>
      </c>
      <c r="CG44" s="1077">
        <f t="shared" ca="1" si="12"/>
        <v>40.944917401022131</v>
      </c>
    </row>
    <row r="45" spans="1:85" s="89" customFormat="1" x14ac:dyDescent="0.25">
      <c r="A45" s="616" t="s">
        <v>8</v>
      </c>
      <c r="B45" s="91">
        <v>42769</v>
      </c>
      <c r="C45" s="92">
        <v>0</v>
      </c>
      <c r="D45" s="94">
        <f>(Sheet1!BQ43-Sheet1!BQ42)*1.385</f>
        <v>-1.0248999999999979</v>
      </c>
      <c r="E45" s="30">
        <f>(Sheet1!BR43-Sheet1!BR42)*1.385</f>
        <v>-1.0387500000000001</v>
      </c>
      <c r="F45" s="30">
        <f ca="1">IF(B45=TODAY(),0,-(VLOOKUP(Sheet1!CD43,Lookup!$I$4:$J$216,2)-VLOOKUP(Sheet1!CD42,Lookup!$I$4:$J$216,2))/1000000)</f>
        <v>0.72545856983459556</v>
      </c>
      <c r="G45" s="94">
        <f ca="1">IF(B45=TODAY(),0,-$G$6*(Sheet1!CF43-Sheet1!CF42)*7.48/1000000)</f>
        <v>-2.2358701092590882</v>
      </c>
      <c r="H45" s="94">
        <f ca="1">IF(B45=TODAY(),0,-$H$6*(Sheet1!CE43-Sheet1!CE42)*7.48/1000000)</f>
        <v>-1.503943235126474E-2</v>
      </c>
      <c r="I45" s="94">
        <f ca="1">IF(B45=TODAY(),0,-$I$6*(Sheet1!CG43-Sheet1!CG42)*7.48/1000000)</f>
        <v>-1.3477463999999995E-2</v>
      </c>
      <c r="J45" s="95" t="s">
        <v>177</v>
      </c>
      <c r="K45" s="94">
        <f ca="1">IF(B45=TODAY(),0,-$K$6*(Sheet1!CH43-Sheet1!CH42)*7.48/1000000)</f>
        <v>-2.2655289273158696E-2</v>
      </c>
      <c r="L45" s="95" t="s">
        <v>177</v>
      </c>
      <c r="M45" s="94">
        <f ca="1">IF(B45=TODAY(),0,-$M$6*(Sheet1!CI43-Sheet1!CI42)*7.48/1000000)</f>
        <v>-7.1966033712108565E-2</v>
      </c>
      <c r="N45" s="94">
        <f ca="1">IF(B45=TODAY(),0,-$N$6*(Sheet1!CJ43-Sheet1!CJ42)*7.48/1000000)</f>
        <v>0.45298212138075472</v>
      </c>
      <c r="O45" s="94">
        <f t="shared" ca="1" si="13"/>
        <v>-1.1805676373802698</v>
      </c>
      <c r="P45" s="94">
        <f ca="1">O45+Calculation!ES45</f>
        <v>1.0317040522020258</v>
      </c>
      <c r="Q45" s="89" t="str">
        <f>IF(Sheet1!BQ43&gt;25.75,"spill elevation","-")</f>
        <v>-</v>
      </c>
      <c r="R45" s="89" t="str">
        <f>IF(Sheet1!BQ43&gt;25.75,"spill elevation","-")</f>
        <v>-</v>
      </c>
      <c r="S45" s="89" t="str">
        <f>IF(Sheet1!BR43&gt;25.75,"spill elevation","-")</f>
        <v>-</v>
      </c>
      <c r="T45" s="93">
        <f>IF(Sheet1!DU43=1,Sheet1!AA43-(SUM(AT45:BA45)+BE45),Sheet1!AA43-SUM(AT45:BA45))</f>
        <v>23.504448</v>
      </c>
      <c r="U45" s="93">
        <f>Sheet1!BV43</f>
        <v>29.4</v>
      </c>
      <c r="V45" s="93">
        <f t="shared" si="14"/>
        <v>-5.8955519999999986</v>
      </c>
      <c r="W45" s="93">
        <f>0</f>
        <v>0</v>
      </c>
      <c r="X45" s="89">
        <f>0</f>
        <v>0</v>
      </c>
      <c r="Y45" s="94">
        <f ca="1">Calculation!EJ46+Calculation!ES45+'Calculations II'!O45-'Calculations II'!W45</f>
        <v>45.801997885573613</v>
      </c>
      <c r="Z45" s="94">
        <f ca="1">Y45-Sheet1!CT44</f>
        <v>28.988997885573614</v>
      </c>
      <c r="AA45" s="94">
        <f ca="1">Y45+Calculation!DJ46+Calculation!AS46</f>
        <v>56.261149556524771</v>
      </c>
      <c r="AC45" s="94">
        <f>Sheet1!AA43+Sheet1!AB43+BC45</f>
        <v>52.46</v>
      </c>
      <c r="AD45" s="94">
        <f>Sheet1!AA43+Sheet1!BN43+'Calculations II'!BC45-Calculation!AS45-Calculation!DJ45</f>
        <v>31.640071377587439</v>
      </c>
      <c r="AE45" s="94">
        <f>Sheet1!AA43+Sheet1!AB43+'Calculations II'!BC45-Calculation!AS45-Calculation!DJ45</f>
        <v>42.000071377587439</v>
      </c>
      <c r="AF45" s="94">
        <f ca="1">Sheet1!AA43+Sheet1!BN43+P45+'Calculations II'!BC45+Calculation!AS45+Calculation!DJ45</f>
        <v>53.591632674614587</v>
      </c>
      <c r="AG45" s="94">
        <f ca="1">IF(B45=TODAY(),0,Sheet1!AA43+Sheet1!BN43+'Calculations II'!BC45+'Calculations II'!P45-Sheet1!CT43-BP45)</f>
        <v>29.322704052202027</v>
      </c>
      <c r="AH45" s="94">
        <f ca="1">IF(B45=TODAY(),0,Sheet1!AA43+Sheet1!BN43+'Calculations II'!BC45+'Calculations II'!P45-BP45)</f>
        <v>43.131704052202025</v>
      </c>
      <c r="AI45" s="94">
        <f ca="1">IF(B45=TODAY(),0,BC45+Sheet1!AA43+Calculation!ES45+O45+W45+Sheet1!BN43+Calculation!AS45+Calculation!DJ45-BP45)</f>
        <v>53.591632674614587</v>
      </c>
      <c r="AJ45" s="94"/>
      <c r="AM45" s="90">
        <f t="shared" si="15"/>
        <v>42769</v>
      </c>
      <c r="AN45" s="94">
        <f>Sheet1!BU43</f>
        <v>23</v>
      </c>
      <c r="AO45" s="94">
        <f>Sheet1!AA43</f>
        <v>24.6</v>
      </c>
      <c r="AP45" s="94">
        <f t="shared" si="1"/>
        <v>-2.0636499999999982</v>
      </c>
      <c r="AQ45" s="1087">
        <f>((Sheet1!BV43-(Sheet1!BU43-AP45))/(Sheet1!BU43-AP45))</f>
        <v>0.17301350760962589</v>
      </c>
      <c r="AR45" s="94">
        <f t="shared" si="2"/>
        <v>26.663650000000001</v>
      </c>
      <c r="AS45" s="94">
        <f t="shared" si="3"/>
        <v>25.063649999999999</v>
      </c>
      <c r="AT45" s="89">
        <f>Sheet1!BB43</f>
        <v>0</v>
      </c>
      <c r="AU45" s="89">
        <f>Sheet1!AS43*GPMtoMGD</f>
        <v>1.5264E-2</v>
      </c>
      <c r="AV45" s="94">
        <f>Sheet1!AT43</f>
        <v>0</v>
      </c>
      <c r="AW45" s="89">
        <f>Sheet1!AV43*GPMtoMGD</f>
        <v>0</v>
      </c>
      <c r="AX45" s="89">
        <f>Sheet1!AW43*GPMtoMGD</f>
        <v>1.0802880000000001</v>
      </c>
      <c r="AY45" s="89">
        <f>Sheet1!AX43*GPMtoMGD</f>
        <v>0</v>
      </c>
      <c r="AZ45" s="89">
        <f>Sheet1!AY43*GPMtoMGD</f>
        <v>0</v>
      </c>
      <c r="BA45" s="89">
        <f>Sheet1!AZ43*GPMtoMGD</f>
        <v>0</v>
      </c>
      <c r="BB45" s="89">
        <f>Sheet1!BP43*GPMtoMGD</f>
        <v>2.8800000000000002E-3</v>
      </c>
      <c r="BC45" s="89">
        <f>Sheet1!CS43*GPMtoMGD</f>
        <v>0</v>
      </c>
      <c r="BD45" s="89">
        <f>Sheet1!BO43*GPMtoMGD</f>
        <v>1.4836320000000001</v>
      </c>
      <c r="BE45" s="89">
        <f>Sheet1!BW43*GPMtoMGD</f>
        <v>0.77990400000000004</v>
      </c>
      <c r="BF45" s="89">
        <f>Sheet1!CN43*GPMtoMGD</f>
        <v>0.69897600000000004</v>
      </c>
      <c r="BG45" s="89">
        <f>Sheet1!CO43*GPMtoMGD</f>
        <v>0.51494400000000007</v>
      </c>
      <c r="BH45" s="89">
        <f>Sheet1!CP43*GPMtoMGD</f>
        <v>0.55252800000000002</v>
      </c>
      <c r="BI45" s="89">
        <f t="shared" si="16"/>
        <v>1.4865120000000001</v>
      </c>
      <c r="BK45" s="94">
        <f>SUM(AT45:BA45,AS45,BC45,Calculation!AQ45)</f>
        <v>43.559273377587438</v>
      </c>
      <c r="BM45" s="358">
        <f>0</f>
        <v>0</v>
      </c>
      <c r="BN45" s="358">
        <f>0</f>
        <v>0</v>
      </c>
      <c r="BP45" s="94">
        <f>SUM(BM45:BN45,W45,Sheet1!DX43)</f>
        <v>0</v>
      </c>
      <c r="BR45" s="94">
        <f>Sheet1!AA43</f>
        <v>24.6</v>
      </c>
      <c r="BS45" s="94">
        <f>Sheet1!AB43</f>
        <v>27.86</v>
      </c>
      <c r="BT45" s="94">
        <f t="shared" ca="1" si="7"/>
        <v>1.0317040522020258</v>
      </c>
      <c r="BU45" s="94">
        <f>Sheet1!AT43</f>
        <v>0</v>
      </c>
      <c r="BV45" s="89">
        <f>Sheet1!BB43</f>
        <v>0</v>
      </c>
      <c r="BW45" s="94">
        <f>Calculation!ED45</f>
        <v>10.459928622412562</v>
      </c>
      <c r="BX45" s="94">
        <f>(Sheet1!CS43*1440)/1000000</f>
        <v>0</v>
      </c>
      <c r="CA45" s="94">
        <f ca="1">Sheet1!AC43-Sheet1!BK43-Sheet1!BL43-Sheet1!BM43-Sheet1!BC43-Sheet1!BD43-Sheet1!BE43-Sheet1!BF43-Sheet1!BG43-Sheet1!BH43-Sheet1!BI43+BC45+P45</f>
        <v>42.971704052202021</v>
      </c>
      <c r="CB45" s="93">
        <f t="shared" si="8"/>
        <v>64.974110421127762</v>
      </c>
      <c r="CC45" s="94">
        <f t="shared" si="9"/>
        <v>0</v>
      </c>
      <c r="CD45" s="94">
        <f t="shared" ca="1" si="10"/>
        <v>53.431632674614583</v>
      </c>
      <c r="CE45" s="1077">
        <f t="shared" ca="1" si="11"/>
        <v>82.658735747628754</v>
      </c>
      <c r="CG45" s="1077">
        <f t="shared" ca="1" si="12"/>
        <v>42.971704052202021</v>
      </c>
    </row>
    <row r="46" spans="1:85" s="89" customFormat="1" x14ac:dyDescent="0.25">
      <c r="A46" s="616" t="s">
        <v>9</v>
      </c>
      <c r="B46" s="91">
        <v>42770</v>
      </c>
      <c r="C46" s="92">
        <v>0</v>
      </c>
      <c r="D46" s="94">
        <f>(Sheet1!BQ44-Sheet1!BQ43)*1.385</f>
        <v>-0.69250000000000245</v>
      </c>
      <c r="E46" s="30">
        <f>(Sheet1!BR44-Sheet1!BR43)*1.385</f>
        <v>-0.6925</v>
      </c>
      <c r="F46" s="30">
        <f ca="1">IF(B46=TODAY(),0,-(VLOOKUP(Sheet1!CD44,Lookup!$I$4:$J$216,2)-VLOOKUP(Sheet1!CD43,Lookup!$I$4:$J$216,2))/1000000)</f>
        <v>0.31091081564340367</v>
      </c>
      <c r="G46" s="94">
        <f ca="1">IF(B46=TODAY(),0,-$G$6*(Sheet1!CF44-Sheet1!CF43)*7.48/1000000)</f>
        <v>0.35742150947303314</v>
      </c>
      <c r="H46" s="94">
        <f ca="1">IF(B46=TODAY(),0,-$H$6*(Sheet1!CE44-Sheet1!CE43)*7.48/1000000)</f>
        <v>3.0078864702530014E-2</v>
      </c>
      <c r="I46" s="94">
        <f ca="1">IF(B46=TODAY(),0,-$I$6*(Sheet1!CG44-Sheet1!CG43)*7.48/1000000)</f>
        <v>-4.0432391999999977E-2</v>
      </c>
      <c r="J46" s="95" t="s">
        <v>177</v>
      </c>
      <c r="K46" s="94">
        <f ca="1">IF(B46=TODAY(),0,-$K$6*(Sheet1!CH44-Sheet1!CH43)*7.48/1000000)</f>
        <v>-7.9959844493501367E-2</v>
      </c>
      <c r="L46" s="95" t="s">
        <v>177</v>
      </c>
      <c r="M46" s="94">
        <f ca="1">IF(B46=TODAY(),0,-$M$6*(Sheet1!CI44-Sheet1!CI43)*7.48/1000000)</f>
        <v>-0.14393206742421588</v>
      </c>
      <c r="N46" s="94">
        <f ca="1">IF(B46=TODAY(),0,-$N$6*(Sheet1!CJ44-Sheet1!CJ43)*7.48/1000000)</f>
        <v>-0.24820938157849581</v>
      </c>
      <c r="O46" s="94">
        <f t="shared" ca="1" si="13"/>
        <v>0.18587750432275379</v>
      </c>
      <c r="P46" s="94">
        <f ca="1">O46+Calculation!ES46</f>
        <v>1.5681311286339998</v>
      </c>
      <c r="Q46" s="89" t="str">
        <f>IF(Sheet1!BQ44&gt;25.75,"spill elevation","-")</f>
        <v>-</v>
      </c>
      <c r="R46" s="89" t="str">
        <f>IF(Sheet1!BQ44&gt;25.75,"spill elevation","-")</f>
        <v>-</v>
      </c>
      <c r="S46" s="89" t="str">
        <f>IF(Sheet1!BR44&gt;25.75,"spill elevation","-")</f>
        <v>-</v>
      </c>
      <c r="T46" s="93">
        <f>IF(Sheet1!DU44=1,Sheet1!AA44-(SUM(AT46:BA46)+BE46),Sheet1!AA44-SUM(AT46:BA46))</f>
        <v>23.096432</v>
      </c>
      <c r="U46" s="93">
        <f>Sheet1!BV44</f>
        <v>28.3</v>
      </c>
      <c r="V46" s="93">
        <f t="shared" si="14"/>
        <v>-5.2035680000000006</v>
      </c>
      <c r="W46" s="93">
        <f>0</f>
        <v>0</v>
      </c>
      <c r="X46" s="89">
        <f>0</f>
        <v>0</v>
      </c>
      <c r="Y46" s="94">
        <f ca="1">Calculation!EJ47+Calculation!ES46+'Calculations II'!O46-'Calculations II'!W46</f>
        <v>50.162390960799286</v>
      </c>
      <c r="Z46" s="94">
        <f ca="1">Y46-Sheet1!CT45</f>
        <v>32.725390960799288</v>
      </c>
      <c r="AA46" s="94">
        <f ca="1">Y46+Calculation!DJ47+Calculation!AS47</f>
        <v>60.745258093666422</v>
      </c>
      <c r="AC46" s="94">
        <f>Sheet1!AA44+Sheet1!AB44+BC46</f>
        <v>55.44</v>
      </c>
      <c r="AD46" s="94">
        <f>Sheet1!AA44+Sheet1!BN44+'Calculations II'!BC46-Calculation!AS46-Calculation!DJ46</f>
        <v>34.640848329048843</v>
      </c>
      <c r="AE46" s="94">
        <f>Sheet1!AA44+Sheet1!AB44+'Calculations II'!BC46-Calculation!AS46-Calculation!DJ46</f>
        <v>44.98084832904884</v>
      </c>
      <c r="AF46" s="94">
        <f ca="1">Sheet1!AA44+Sheet1!BN44+P46+'Calculations II'!BC46+Calculation!AS46+Calculation!DJ46</f>
        <v>57.12728279958516</v>
      </c>
      <c r="AG46" s="94">
        <f ca="1">IF(B46=TODAY(),0,Sheet1!AA44+Sheet1!BN44+'Calculations II'!BC46+'Calculations II'!P46-Sheet1!CT44-BP46)</f>
        <v>29.855131128634003</v>
      </c>
      <c r="AH46" s="94">
        <f ca="1">IF(B46=TODAY(),0,Sheet1!AA44+Sheet1!BN44+'Calculations II'!BC46+'Calculations II'!P46-BP46)</f>
        <v>46.668131128634002</v>
      </c>
      <c r="AI46" s="94">
        <f ca="1">IF(B46=TODAY(),0,BC46+Sheet1!AA44+Calculation!ES46+O46+W46+Sheet1!BN44+Calculation!AS46+Calculation!DJ46-BP46)</f>
        <v>57.12728279958516</v>
      </c>
      <c r="AJ46" s="94"/>
      <c r="AM46" s="90">
        <f t="shared" si="15"/>
        <v>42770</v>
      </c>
      <c r="AN46" s="94">
        <f>Sheet1!BU44</f>
        <v>22.7</v>
      </c>
      <c r="AO46" s="94">
        <f>Sheet1!AA44</f>
        <v>24.5</v>
      </c>
      <c r="AP46" s="94">
        <f t="shared" si="1"/>
        <v>-1.3850000000000025</v>
      </c>
      <c r="AQ46" s="1087">
        <f>((Sheet1!BV44-(Sheet1!BU44-AP46))/(Sheet1!BU44-AP46))</f>
        <v>0.17500518995225242</v>
      </c>
      <c r="AR46" s="94">
        <f t="shared" si="2"/>
        <v>25.885000000000002</v>
      </c>
      <c r="AS46" s="94">
        <f t="shared" si="3"/>
        <v>24.085000000000001</v>
      </c>
      <c r="AT46" s="89">
        <f>Sheet1!BB44</f>
        <v>0</v>
      </c>
      <c r="AU46" s="89">
        <f>Sheet1!AS44*GPMtoMGD</f>
        <v>2.9375999999999999E-2</v>
      </c>
      <c r="AV46" s="94">
        <f>Sheet1!AT44</f>
        <v>0</v>
      </c>
      <c r="AW46" s="89">
        <f>Sheet1!AV44*GPMtoMGD</f>
        <v>0</v>
      </c>
      <c r="AX46" s="89">
        <f>Sheet1!AW44*GPMtoMGD</f>
        <v>1.3741920000000001</v>
      </c>
      <c r="AY46" s="89">
        <f>Sheet1!AX44*GPMtoMGD</f>
        <v>0</v>
      </c>
      <c r="AZ46" s="89">
        <f>Sheet1!AY44*GPMtoMGD</f>
        <v>0</v>
      </c>
      <c r="BA46" s="89">
        <f>Sheet1!AZ44*GPMtoMGD</f>
        <v>0</v>
      </c>
      <c r="BB46" s="89">
        <f>Sheet1!BP44*GPMtoMGD</f>
        <v>2.8800000000000002E-3</v>
      </c>
      <c r="BC46" s="89">
        <f>Sheet1!CS44*GPMtoMGD</f>
        <v>0</v>
      </c>
      <c r="BD46" s="89">
        <f>Sheet1!BO44*GPMtoMGD</f>
        <v>1.7091360000000002</v>
      </c>
      <c r="BE46" s="89">
        <f>Sheet1!BW44*GPMtoMGD</f>
        <v>0.79718400000000011</v>
      </c>
      <c r="BF46" s="89">
        <f>Sheet1!CN44*GPMtoMGD</f>
        <v>0.79315199999999997</v>
      </c>
      <c r="BG46" s="89">
        <f>Sheet1!CO44*GPMtoMGD</f>
        <v>0.58017600000000003</v>
      </c>
      <c r="BH46" s="89">
        <f>Sheet1!CP44*GPMtoMGD</f>
        <v>0.53524800000000006</v>
      </c>
      <c r="BI46" s="89">
        <f t="shared" si="16"/>
        <v>1.7120160000000002</v>
      </c>
      <c r="BK46" s="94">
        <f>SUM(AT46:BA46,AS46,BC46,Calculation!AQ46)</f>
        <v>45.96941632904884</v>
      </c>
      <c r="BM46" s="358">
        <f>0</f>
        <v>0</v>
      </c>
      <c r="BN46" s="358">
        <f>0</f>
        <v>0</v>
      </c>
      <c r="BP46" s="94">
        <f>SUM(BM46:BN46,W46,Sheet1!DX44)</f>
        <v>0</v>
      </c>
      <c r="BR46" s="94">
        <f>Sheet1!AA44</f>
        <v>24.5</v>
      </c>
      <c r="BS46" s="94">
        <f>Sheet1!AB44</f>
        <v>30.94</v>
      </c>
      <c r="BT46" s="94">
        <f t="shared" ca="1" si="7"/>
        <v>1.5681311286339998</v>
      </c>
      <c r="BU46" s="94">
        <f>Sheet1!AT44</f>
        <v>0</v>
      </c>
      <c r="BV46" s="89">
        <f>Sheet1!BB44</f>
        <v>0</v>
      </c>
      <c r="BW46" s="94">
        <f>Calculation!ED46</f>
        <v>10.459151670951156</v>
      </c>
      <c r="BX46" s="94">
        <f>(Sheet1!CS44*1440)/1000000</f>
        <v>0</v>
      </c>
      <c r="CA46" s="94">
        <f ca="1">Sheet1!AC44-Sheet1!BK44-Sheet1!BL44-Sheet1!BM44-Sheet1!BC44-Sheet1!BD44-Sheet1!BE44-Sheet1!BF44-Sheet1!BG44-Sheet1!BH44-Sheet1!BI44+BC46+P46</f>
        <v>46.488131128633995</v>
      </c>
      <c r="CB46" s="93">
        <f t="shared" si="8"/>
        <v>69.585372365038552</v>
      </c>
      <c r="CC46" s="94">
        <f t="shared" si="9"/>
        <v>0</v>
      </c>
      <c r="CD46" s="94">
        <f t="shared" ca="1" si="10"/>
        <v>56.947282799585153</v>
      </c>
      <c r="CE46" s="1077">
        <f t="shared" ca="1" si="11"/>
        <v>88.097446490958234</v>
      </c>
      <c r="CG46" s="1077">
        <f t="shared" ca="1" si="12"/>
        <v>46.488131128633995</v>
      </c>
    </row>
    <row r="47" spans="1:85" s="89" customFormat="1" x14ac:dyDescent="0.25">
      <c r="A47" s="616" t="s">
        <v>3</v>
      </c>
      <c r="B47" s="91">
        <v>42771</v>
      </c>
      <c r="C47" s="92">
        <v>0</v>
      </c>
      <c r="D47" s="94">
        <f>(Sheet1!BQ45-Sheet1!BQ44)*1.385</f>
        <v>0.96950000000000147</v>
      </c>
      <c r="E47" s="30">
        <f>(Sheet1!BR45-Sheet1!BR44)*1.385</f>
        <v>0.96949999999999903</v>
      </c>
      <c r="F47" s="30">
        <f ca="1">IF(B47=TODAY(),0,-(VLOOKUP(Sheet1!CD45,Lookup!$I$4:$J$216,2)-VLOOKUP(Sheet1!CD44,Lookup!$I$4:$J$216,2))/1000000)</f>
        <v>-0.31091081564340367</v>
      </c>
      <c r="G47" s="94">
        <f ca="1">IF(B47=TODAY(),0,-$G$6*(Sheet1!CF45-Sheet1!CF44)*7.48/1000000)</f>
        <v>0.3574215094730338</v>
      </c>
      <c r="H47" s="94">
        <f ca="1">IF(B47=TODAY(),0,-$H$6*(Sheet1!CE45-Sheet1!CE44)*7.48/1000000)</f>
        <v>-4.5118297053795289E-2</v>
      </c>
      <c r="I47" s="94">
        <f ca="1">IF(B47=TODAY(),0,-$I$6*(Sheet1!CG45-Sheet1!CG44)*7.48/1000000)</f>
        <v>1.796995199999998E-2</v>
      </c>
      <c r="J47" s="95" t="s">
        <v>177</v>
      </c>
      <c r="K47" s="94">
        <f ca="1">IF(B47=TODAY(),0,-$K$6*(Sheet1!CH45-Sheet1!CH44)*7.48/1000000)</f>
        <v>3.3316601872292212E-2</v>
      </c>
      <c r="L47" s="95" t="s">
        <v>177</v>
      </c>
      <c r="M47" s="94">
        <f ca="1">IF(B47=TODAY(),0,-$M$6*(Sheet1!CI45-Sheet1!CI44)*7.48/1000000)</f>
        <v>0.10794905056816191</v>
      </c>
      <c r="N47" s="94">
        <f ca="1">IF(B47=TODAY(),0,-$N$6*(Sheet1!CJ45-Sheet1!CJ44)*7.48/1000000)</f>
        <v>-0.18615703618387103</v>
      </c>
      <c r="O47" s="94">
        <f t="shared" ca="1" si="13"/>
        <v>-2.5529034967582076E-2</v>
      </c>
      <c r="P47" s="94">
        <f ca="1">O47+Calculation!ES47</f>
        <v>-1.9607737439955168</v>
      </c>
      <c r="Q47" s="89" t="str">
        <f>IF(Sheet1!BQ45&gt;25.75,"spill elevation","-")</f>
        <v>-</v>
      </c>
      <c r="R47" s="89" t="str">
        <f>IF(Sheet1!BQ45&gt;25.75,"spill elevation","-")</f>
        <v>-</v>
      </c>
      <c r="S47" s="89" t="str">
        <f>IF(Sheet1!BR45&gt;25.75,"spill elevation","-")</f>
        <v>-</v>
      </c>
      <c r="T47" s="93">
        <f>IF(Sheet1!DU45=1,Sheet1!AA45-(SUM(AT47:BA47)+BE47),Sheet1!AA45-SUM(AT47:BA47))</f>
        <v>23.847344</v>
      </c>
      <c r="U47" s="93">
        <f>Sheet1!BV45</f>
        <v>25</v>
      </c>
      <c r="V47" s="93">
        <f t="shared" si="14"/>
        <v>-1.1526560000000003</v>
      </c>
      <c r="W47" s="93">
        <f>0</f>
        <v>0</v>
      </c>
      <c r="X47" s="89">
        <f>0</f>
        <v>0</v>
      </c>
      <c r="Y47" s="94">
        <f ca="1">Calculation!EJ48+Calculation!ES47+'Calculations II'!O47-'Calculations II'!W47</f>
        <v>48.978885367609216</v>
      </c>
      <c r="Z47" s="94">
        <f ca="1">Y47-Sheet1!CT46</f>
        <v>31.723885367609217</v>
      </c>
      <c r="AA47" s="94">
        <f ca="1">Y47+Calculation!DJ48+Calculation!AS48</f>
        <v>59.538935215296831</v>
      </c>
      <c r="AC47" s="94">
        <f>Sheet1!AA45+Sheet1!AB45+BC47</f>
        <v>59.75</v>
      </c>
      <c r="AD47" s="94">
        <f>Sheet1!AA45+Sheet1!BN45+'Calculations II'!BC47-Calculation!AS47-Calculation!DJ47</f>
        <v>38.667132867132864</v>
      </c>
      <c r="AE47" s="94">
        <f>Sheet1!AA45+Sheet1!AB45+'Calculations II'!BC47-Calculation!AS47-Calculation!DJ47</f>
        <v>49.167132867132864</v>
      </c>
      <c r="AF47" s="94">
        <f ca="1">Sheet1!AA45+Sheet1!BN45+P47+'Calculations II'!BC47+Calculation!AS47+Calculation!DJ47</f>
        <v>57.872093388871619</v>
      </c>
      <c r="AG47" s="94">
        <f ca="1">IF(B47=TODAY(),0,Sheet1!AA45+Sheet1!BN45+'Calculations II'!BC47+'Calculations II'!P47-Sheet1!CT45-BP47)</f>
        <v>29.852226256004482</v>
      </c>
      <c r="AH47" s="94">
        <f ca="1">IF(B47=TODAY(),0,Sheet1!AA45+Sheet1!BN45+'Calculations II'!BC47+'Calculations II'!P47-BP47)</f>
        <v>47.289226256004483</v>
      </c>
      <c r="AI47" s="94">
        <f ca="1">IF(B47=TODAY(),0,BC47+Sheet1!AA45+Calculation!ES47+O47+W47+Sheet1!BN45+Calculation!AS47+Calculation!DJ47-BP47)</f>
        <v>57.872093388871619</v>
      </c>
      <c r="AJ47" s="94"/>
      <c r="AM47" s="90">
        <f t="shared" si="15"/>
        <v>42771</v>
      </c>
      <c r="AN47" s="94">
        <f>Sheet1!BU45</f>
        <v>23.3</v>
      </c>
      <c r="AO47" s="94">
        <f>Sheet1!AA45</f>
        <v>25.55</v>
      </c>
      <c r="AP47" s="94">
        <f t="shared" si="1"/>
        <v>1.9390000000000005</v>
      </c>
      <c r="AQ47" s="1087">
        <f>((Sheet1!BV45-(Sheet1!BU45-AP47))/(Sheet1!BU45-AP47))</f>
        <v>0.17035719301530824</v>
      </c>
      <c r="AR47" s="94">
        <f t="shared" si="2"/>
        <v>23.611000000000001</v>
      </c>
      <c r="AS47" s="94">
        <f t="shared" si="3"/>
        <v>21.361000000000001</v>
      </c>
      <c r="AT47" s="89">
        <f>Sheet1!BB45</f>
        <v>0</v>
      </c>
      <c r="AU47" s="89">
        <f>Sheet1!AS45*GPMtoMGD</f>
        <v>1.6272000000000002E-2</v>
      </c>
      <c r="AV47" s="94">
        <f>Sheet1!AT45</f>
        <v>0</v>
      </c>
      <c r="AW47" s="89">
        <f>Sheet1!AV45*GPMtoMGD</f>
        <v>0.24595200000000003</v>
      </c>
      <c r="AX47" s="89">
        <f>Sheet1!AW45*GPMtoMGD</f>
        <v>1.4404319999999999</v>
      </c>
      <c r="AY47" s="89">
        <f>Sheet1!AX45*GPMtoMGD</f>
        <v>0</v>
      </c>
      <c r="AZ47" s="89">
        <f>Sheet1!AY45*GPMtoMGD</f>
        <v>0</v>
      </c>
      <c r="BA47" s="89">
        <f>Sheet1!AZ45*GPMtoMGD</f>
        <v>0</v>
      </c>
      <c r="BB47" s="89">
        <f>Sheet1!BP45*GPMtoMGD</f>
        <v>2.7360000000000002E-3</v>
      </c>
      <c r="BC47" s="89">
        <f>Sheet1!CS45*GPMtoMGD</f>
        <v>0</v>
      </c>
      <c r="BD47" s="89">
        <f>Sheet1!BO45*GPMtoMGD</f>
        <v>1.4870880000000002</v>
      </c>
      <c r="BE47" s="89">
        <f>Sheet1!BW45*GPMtoMGD</f>
        <v>0.60652800000000007</v>
      </c>
      <c r="BF47" s="89">
        <f>Sheet1!CN45*GPMtoMGD</f>
        <v>0.84672000000000003</v>
      </c>
      <c r="BG47" s="89">
        <f>Sheet1!CO45*GPMtoMGD</f>
        <v>0.57859200000000011</v>
      </c>
      <c r="BH47" s="89">
        <f>Sheet1!CP45*GPMtoMGD</f>
        <v>0.43185600000000002</v>
      </c>
      <c r="BI47" s="89">
        <f t="shared" si="16"/>
        <v>1.4898240000000003</v>
      </c>
      <c r="BK47" s="94">
        <f>SUM(AT47:BA47,AS47,BC47,Calculation!AQ47)</f>
        <v>46.680788867132868</v>
      </c>
      <c r="BM47" s="358">
        <f>0</f>
        <v>0</v>
      </c>
      <c r="BN47" s="358">
        <f>0</f>
        <v>0</v>
      </c>
      <c r="BP47" s="94">
        <f>SUM(BM47:BN47,W47,Sheet1!DX45)</f>
        <v>0</v>
      </c>
      <c r="BR47" s="94">
        <f>Sheet1!AA45</f>
        <v>25.55</v>
      </c>
      <c r="BS47" s="94">
        <f>Sheet1!AB45</f>
        <v>34.200000000000003</v>
      </c>
      <c r="BT47" s="94">
        <f t="shared" ca="1" si="7"/>
        <v>-1.9607737439955168</v>
      </c>
      <c r="BU47" s="94">
        <f>Sheet1!AT45</f>
        <v>0</v>
      </c>
      <c r="BV47" s="89">
        <f>Sheet1!BB45</f>
        <v>0</v>
      </c>
      <c r="BW47" s="94">
        <f>Calculation!ED47</f>
        <v>10.582867132867133</v>
      </c>
      <c r="BX47" s="94">
        <f>(Sheet1!CS45*1440)/1000000</f>
        <v>0</v>
      </c>
      <c r="CA47" s="94">
        <f ca="1">Sheet1!AC45-Sheet1!BK45-Sheet1!BL45-Sheet1!BM45-Sheet1!BC45-Sheet1!BD45-Sheet1!BE45-Sheet1!BF45-Sheet1!BG45-Sheet1!BH45-Sheet1!BI45+BC47+P47</f>
        <v>47.169226256004485</v>
      </c>
      <c r="CB47" s="93">
        <f t="shared" si="8"/>
        <v>76.061554545454541</v>
      </c>
      <c r="CC47" s="94">
        <f t="shared" si="9"/>
        <v>0</v>
      </c>
      <c r="CD47" s="94">
        <f t="shared" ca="1" si="10"/>
        <v>57.752093388871614</v>
      </c>
      <c r="CE47" s="1077">
        <f t="shared" ca="1" si="11"/>
        <v>89.342488472584378</v>
      </c>
      <c r="CG47" s="1077">
        <f t="shared" ca="1" si="12"/>
        <v>47.169226256004485</v>
      </c>
    </row>
    <row r="48" spans="1:85" s="89" customFormat="1" x14ac:dyDescent="0.25">
      <c r="A48" s="616" t="s">
        <v>4</v>
      </c>
      <c r="B48" s="91">
        <v>42772</v>
      </c>
      <c r="C48" s="92">
        <v>0</v>
      </c>
      <c r="D48" s="94">
        <f>(Sheet1!BQ46-Sheet1!BQ45)*1.385</f>
        <v>2.6314999999999982</v>
      </c>
      <c r="E48" s="30">
        <f>(Sheet1!BR46-Sheet1!BR45)*1.385</f>
        <v>2.7007499999999989</v>
      </c>
      <c r="F48" s="30">
        <f ca="1">IF(B48=TODAY(),0,-(VLOOKUP(Sheet1!CD46,Lookup!$I$4:$J$216,2)-VLOOKUP(Sheet1!CD45,Lookup!$I$4:$J$216,2))/1000000)</f>
        <v>-0.10363693854779936</v>
      </c>
      <c r="G48" s="94">
        <f ca="1">IF(B48=TODAY(),0,-$G$6*(Sheet1!CF46-Sheet1!CF45)*7.48/1000000)</f>
        <v>0.3574215094730338</v>
      </c>
      <c r="H48" s="94">
        <f ca="1">IF(B48=TODAY(),0,-$H$6*(Sheet1!CE46-Sheet1!CE45)*7.48/1000000)</f>
        <v>0</v>
      </c>
      <c r="I48" s="94">
        <f ca="1">IF(B48=TODAY(),0,-$I$6*(Sheet1!CG46-Sheet1!CG45)*7.48/1000000)</f>
        <v>1.7969952000000015E-2</v>
      </c>
      <c r="J48" s="95" t="s">
        <v>177</v>
      </c>
      <c r="K48" s="94">
        <f ca="1">IF(B48=TODAY(),0,-$K$6*(Sheet1!CH46-Sheet1!CH45)*7.48/1000000)</f>
        <v>3.3316601872292212E-2</v>
      </c>
      <c r="L48" s="95" t="s">
        <v>177</v>
      </c>
      <c r="M48" s="94">
        <f ca="1">IF(B48=TODAY(),0,-$M$6*(Sheet1!CI46-Sheet1!CI45)*7.48/1000000)</f>
        <v>5.3974525284081275E-2</v>
      </c>
      <c r="N48" s="94">
        <f ca="1">IF(B48=TODAY(),0,-$N$6*(Sheet1!CJ46-Sheet1!CJ45)*7.48/1000000)</f>
        <v>-0.12410469078924848</v>
      </c>
      <c r="O48" s="94">
        <f t="shared" ca="1" si="13"/>
        <v>0.23494095929235942</v>
      </c>
      <c r="P48" s="94">
        <f ca="1">O48+Calculation!ES48</f>
        <v>-5.1594309337883253</v>
      </c>
      <c r="Q48" s="89" t="str">
        <f>IF(Sheet1!BQ46&gt;25.75,"spill elevation","-")</f>
        <v>-</v>
      </c>
      <c r="R48" s="89" t="str">
        <f>IF(Sheet1!BQ46&gt;25.75,"spill elevation","-")</f>
        <v>-</v>
      </c>
      <c r="S48" s="89" t="str">
        <f>IF(Sheet1!BR46&gt;25.75,"spill elevation","-")</f>
        <v>-</v>
      </c>
      <c r="T48" s="93">
        <f>IF(Sheet1!DU46=1,Sheet1!AA46-(SUM(AT48:BA48)+BE48),Sheet1!AA46-SUM(AT48:BA48))</f>
        <v>25.075232</v>
      </c>
      <c r="U48" s="93">
        <f>Sheet1!BV46</f>
        <v>23</v>
      </c>
      <c r="V48" s="93">
        <f t="shared" si="14"/>
        <v>2.0752319999999997</v>
      </c>
      <c r="W48" s="93">
        <f>0</f>
        <v>0</v>
      </c>
      <c r="X48" s="89">
        <f>0</f>
        <v>0</v>
      </c>
      <c r="Y48" s="94">
        <f ca="1">Calculation!EJ49+Calculation!ES48+'Calculations II'!O48-'Calculations II'!W48</f>
        <v>44.403239710270029</v>
      </c>
      <c r="Z48" s="94">
        <f ca="1">Y48-Sheet1!CT47</f>
        <v>28.018239710270027</v>
      </c>
      <c r="AA48" s="94">
        <f ca="1">Y48+Calculation!DJ49+Calculation!AS49</f>
        <v>54.84621648113324</v>
      </c>
      <c r="AC48" s="94">
        <f>Sheet1!AA46+Sheet1!AB46+BC48</f>
        <v>61.94</v>
      </c>
      <c r="AD48" s="94">
        <f>Sheet1!AA46+Sheet1!BN46+'Calculations II'!BC48-Calculation!AS48-Calculation!DJ48</f>
        <v>40.939950152312377</v>
      </c>
      <c r="AE48" s="94">
        <f>Sheet1!AA46+Sheet1!AB46+'Calculations II'!BC48-Calculation!AS48-Calculation!DJ48</f>
        <v>51.379950152312375</v>
      </c>
      <c r="AF48" s="94">
        <f ca="1">Sheet1!AA46+Sheet1!BN46+P48+'Calculations II'!BC48+Calculation!AS48+Calculation!DJ48</f>
        <v>56.900618913899294</v>
      </c>
      <c r="AG48" s="94">
        <f ca="1">IF(B48=TODAY(),0,Sheet1!AA46+Sheet1!BN46+'Calculations II'!BC48+'Calculations II'!P48-Sheet1!CT46-BP48)</f>
        <v>29.085569066211672</v>
      </c>
      <c r="AH48" s="94">
        <f ca="1">IF(B48=TODAY(),0,Sheet1!AA46+Sheet1!BN46+'Calculations II'!BC48+'Calculations II'!P48-BP48)</f>
        <v>46.340569066211671</v>
      </c>
      <c r="AI48" s="94">
        <f ca="1">IF(B48=TODAY(),0,BC48+Sheet1!AA46+Calculation!ES48+O48+W48+Sheet1!BN46+Calculation!AS48+Calculation!DJ48-BP48)</f>
        <v>56.900618913899294</v>
      </c>
      <c r="AJ48" s="94"/>
      <c r="AM48" s="90">
        <f t="shared" si="15"/>
        <v>42772</v>
      </c>
      <c r="AN48" s="94">
        <f>Sheet1!BU46</f>
        <v>24.4</v>
      </c>
      <c r="AO48" s="94">
        <f>Sheet1!AA46</f>
        <v>26</v>
      </c>
      <c r="AP48" s="94">
        <f t="shared" si="1"/>
        <v>5.3322499999999966</v>
      </c>
      <c r="AQ48" s="1087">
        <f>((Sheet1!BV46-(Sheet1!BU46-AP48))/(Sheet1!BU46-AP48))</f>
        <v>0.20622517077263944</v>
      </c>
      <c r="AR48" s="94">
        <f t="shared" si="2"/>
        <v>20.667750000000005</v>
      </c>
      <c r="AS48" s="94">
        <f t="shared" si="3"/>
        <v>19.067750000000004</v>
      </c>
      <c r="AT48" s="89">
        <f>Sheet1!BB46</f>
        <v>0</v>
      </c>
      <c r="AU48" s="89">
        <f>Sheet1!AS46*GPMtoMGD</f>
        <v>3.0528E-2</v>
      </c>
      <c r="AV48" s="94">
        <f>Sheet1!AT46</f>
        <v>0</v>
      </c>
      <c r="AW48" s="89">
        <f>Sheet1!AV46*GPMtoMGD</f>
        <v>0.43099200000000004</v>
      </c>
      <c r="AX48" s="89">
        <f>Sheet1!AW46*GPMtoMGD</f>
        <v>0.46324799999999999</v>
      </c>
      <c r="AY48" s="89">
        <f>Sheet1!AX46*GPMtoMGD</f>
        <v>0</v>
      </c>
      <c r="AZ48" s="89">
        <f>Sheet1!AY46*GPMtoMGD</f>
        <v>0</v>
      </c>
      <c r="BA48" s="89">
        <f>Sheet1!AZ46*GPMtoMGD</f>
        <v>0</v>
      </c>
      <c r="BB48" s="89">
        <f>Sheet1!BP46*GPMtoMGD</f>
        <v>2.7360000000000002E-3</v>
      </c>
      <c r="BC48" s="89">
        <f>Sheet1!CS46*GPMtoMGD</f>
        <v>0</v>
      </c>
      <c r="BD48" s="89">
        <f>Sheet1!BO46*GPMtoMGD</f>
        <v>1.36944</v>
      </c>
      <c r="BE48" s="89">
        <f>Sheet1!BW46*GPMtoMGD</f>
        <v>0.81691199999999997</v>
      </c>
      <c r="BF48" s="89">
        <f>Sheet1!CN46*GPMtoMGD</f>
        <v>0.64641599999999999</v>
      </c>
      <c r="BG48" s="89">
        <f>Sheet1!CO46*GPMtoMGD</f>
        <v>0.54244800000000004</v>
      </c>
      <c r="BH48" s="89">
        <f>Sheet1!CP46*GPMtoMGD</f>
        <v>0.53956800000000005</v>
      </c>
      <c r="BI48" s="89">
        <f t="shared" si="16"/>
        <v>1.3721760000000001</v>
      </c>
      <c r="BK48" s="94">
        <f>SUM(AT48:BA48,AS48,BC48,Calculation!AQ48)</f>
        <v>45.372468152312379</v>
      </c>
      <c r="BM48" s="358">
        <f>0</f>
        <v>0</v>
      </c>
      <c r="BN48" s="358">
        <f>0</f>
        <v>0</v>
      </c>
      <c r="BP48" s="94">
        <f>SUM(BM48:BN48,W48,Sheet1!DX46)</f>
        <v>0</v>
      </c>
      <c r="BR48" s="94">
        <f>Sheet1!AA46</f>
        <v>26</v>
      </c>
      <c r="BS48" s="94">
        <f>Sheet1!AB46</f>
        <v>35.94</v>
      </c>
      <c r="BT48" s="94">
        <f t="shared" ca="1" si="7"/>
        <v>-5.1594309337883253</v>
      </c>
      <c r="BU48" s="94">
        <f>Sheet1!AT46</f>
        <v>0</v>
      </c>
      <c r="BV48" s="89">
        <f>Sheet1!BB46</f>
        <v>0</v>
      </c>
      <c r="BW48" s="94">
        <f>Calculation!ED48</f>
        <v>10.560049847687621</v>
      </c>
      <c r="BX48" s="94">
        <f>(Sheet1!CS46*1440)/1000000</f>
        <v>0</v>
      </c>
      <c r="CA48" s="94">
        <f ca="1">Sheet1!AC46-Sheet1!BK46-Sheet1!BL46-Sheet1!BM46-Sheet1!BC46-Sheet1!BD46-Sheet1!BE46-Sheet1!BF46-Sheet1!BG46-Sheet1!BH46-Sheet1!BI46+BC48+P48</f>
        <v>46.170569066211669</v>
      </c>
      <c r="CB48" s="93">
        <f t="shared" si="8"/>
        <v>79.48478288562724</v>
      </c>
      <c r="CC48" s="94">
        <f t="shared" si="9"/>
        <v>0</v>
      </c>
      <c r="CD48" s="94">
        <f t="shared" ca="1" si="10"/>
        <v>56.730618913899292</v>
      </c>
      <c r="CE48" s="1077">
        <f t="shared" ca="1" si="11"/>
        <v>87.762267459802203</v>
      </c>
      <c r="CG48" s="1077">
        <f t="shared" ca="1" si="12"/>
        <v>46.170569066211669</v>
      </c>
    </row>
    <row r="49" spans="1:85" s="89" customFormat="1" x14ac:dyDescent="0.25">
      <c r="A49" s="616" t="s">
        <v>5</v>
      </c>
      <c r="B49" s="91">
        <v>42773</v>
      </c>
      <c r="C49" s="92">
        <v>0</v>
      </c>
      <c r="D49" s="94">
        <f>(Sheet1!BQ47-Sheet1!BQ46)*1.385</f>
        <v>1.9390000000000029</v>
      </c>
      <c r="E49" s="30">
        <f>(Sheet1!BR47-Sheet1!BR46)*1.385</f>
        <v>1.869750000000002</v>
      </c>
      <c r="F49" s="30">
        <f ca="1">IF(B49=TODAY(),0,-(VLOOKUP(Sheet1!CD47,Lookup!$I$4:$J$216,2)-VLOOKUP(Sheet1!CD46,Lookup!$I$4:$J$216,2))/1000000)</f>
        <v>-0.41454775419119744</v>
      </c>
      <c r="G49" s="94">
        <f ca="1">IF(B49=TODAY(),0,-$G$6*(Sheet1!CF47-Sheet1!CF46)*7.48/1000000)</f>
        <v>0.5559890147358304</v>
      </c>
      <c r="H49" s="94">
        <f ca="1">IF(B49=TODAY(),0,-$H$6*(Sheet1!CE47-Sheet1!CE46)*7.48/1000000)</f>
        <v>1.5039432351265274E-2</v>
      </c>
      <c r="I49" s="94">
        <f ca="1">IF(B49=TODAY(),0,-$I$6*(Sheet1!CG47-Sheet1!CG46)*7.48/1000000)</f>
        <v>2.2462440000000004E-2</v>
      </c>
      <c r="J49" s="95" t="s">
        <v>177</v>
      </c>
      <c r="K49" s="94">
        <f ca="1">IF(B49=TODAY(),0,-$K$6*(Sheet1!CH47-Sheet1!CH46)*7.48/1000000)</f>
        <v>3.9979922246750635E-2</v>
      </c>
      <c r="L49" s="95" t="s">
        <v>177</v>
      </c>
      <c r="M49" s="94">
        <f ca="1">IF(B49=TODAY(),0,-$M$6*(Sheet1!CI47-Sheet1!CI46)*7.48/1000000)</f>
        <v>0.10794905056816255</v>
      </c>
      <c r="N49" s="94">
        <f ca="1">IF(B49=TODAY(),0,-$N$6*(Sheet1!CJ47-Sheet1!CJ46)*7.48/1000000)</f>
        <v>-0.12410469078924735</v>
      </c>
      <c r="O49" s="94">
        <f t="shared" ca="1" si="13"/>
        <v>0.20276741492156408</v>
      </c>
      <c r="P49" s="94">
        <f ca="1">O49+Calculation!ES49</f>
        <v>-3.5346107527975619</v>
      </c>
      <c r="Q49" s="89" t="str">
        <f>IF(Sheet1!BQ47&gt;25.75,"spill elevation","-")</f>
        <v>-</v>
      </c>
      <c r="R49" s="89" t="str">
        <f>IF(Sheet1!BQ47&gt;25.75,"spill elevation","-")</f>
        <v>-</v>
      </c>
      <c r="S49" s="89" t="str">
        <f>IF(Sheet1!BR47&gt;25.75,"spill elevation","-")</f>
        <v>-</v>
      </c>
      <c r="T49" s="93">
        <f>IF(Sheet1!DU47=1,Sheet1!AA47-(SUM(AT49:BA49)+BE49),Sheet1!AA47-SUM(AT49:BA49))</f>
        <v>25.27712</v>
      </c>
      <c r="U49" s="93">
        <f>Sheet1!BV47</f>
        <v>24.3</v>
      </c>
      <c r="V49" s="93">
        <f t="shared" si="14"/>
        <v>0.97711999999999932</v>
      </c>
      <c r="W49" s="93">
        <f>0</f>
        <v>0</v>
      </c>
      <c r="X49" s="89">
        <f>0</f>
        <v>0</v>
      </c>
      <c r="Y49" s="94">
        <f ca="1">Calculation!EJ50+Calculation!ES49+'Calculations II'!O49-'Calculations II'!W49</f>
        <v>44.375726517274273</v>
      </c>
      <c r="Z49" s="94">
        <f ca="1">Y49-Sheet1!CT48</f>
        <v>27.436726517274273</v>
      </c>
      <c r="AA49" s="94">
        <f ca="1">Y49+Calculation!DJ50+Calculation!AS50</f>
        <v>55.043004804736043</v>
      </c>
      <c r="AC49" s="94">
        <f>Sheet1!AA47+Sheet1!AB47+BC49</f>
        <v>60.78</v>
      </c>
      <c r="AD49" s="94">
        <f>Sheet1!AA47+Sheet1!BN47+'Calculations II'!BC49-Calculation!AS49-Calculation!DJ49</f>
        <v>39.957023229136794</v>
      </c>
      <c r="AE49" s="94">
        <f>Sheet1!AA47+Sheet1!AB47+'Calculations II'!BC49-Calculation!AS49-Calculation!DJ49</f>
        <v>50.33702322913679</v>
      </c>
      <c r="AF49" s="94">
        <f ca="1">Sheet1!AA47+Sheet1!BN47+P49+'Calculations II'!BC49+Calculation!AS49+Calculation!DJ49</f>
        <v>57.308366018065641</v>
      </c>
      <c r="AG49" s="94">
        <f ca="1">IF(B49=TODAY(),0,Sheet1!AA47+Sheet1!BN47+'Calculations II'!BC49+'Calculations II'!P49-Sheet1!CT47-BP49)</f>
        <v>30.480389247202435</v>
      </c>
      <c r="AH49" s="94">
        <f ca="1">IF(B49=TODAY(),0,Sheet1!AA47+Sheet1!BN47+'Calculations II'!BC49+'Calculations II'!P49-BP49)</f>
        <v>46.865389247202437</v>
      </c>
      <c r="AI49" s="94">
        <f ca="1">IF(B49=TODAY(),0,BC49+Sheet1!AA47+Calculation!ES49+O49+W49+Sheet1!BN47+Calculation!AS49+Calculation!DJ49-BP49)</f>
        <v>57.308366018065641</v>
      </c>
      <c r="AJ49" s="94"/>
      <c r="AM49" s="90">
        <f t="shared" si="15"/>
        <v>42773</v>
      </c>
      <c r="AN49" s="94">
        <f>Sheet1!BU47</f>
        <v>24.3</v>
      </c>
      <c r="AO49" s="94">
        <f>Sheet1!AA47</f>
        <v>26</v>
      </c>
      <c r="AP49" s="94">
        <f t="shared" si="1"/>
        <v>3.8087500000000052</v>
      </c>
      <c r="AQ49" s="1087">
        <f>((Sheet1!BV47-(Sheet1!BU47-AP49))/(Sheet1!BU47-AP49))</f>
        <v>0.18587201854450111</v>
      </c>
      <c r="AR49" s="94">
        <f t="shared" si="2"/>
        <v>22.191249999999997</v>
      </c>
      <c r="AS49" s="94">
        <f t="shared" si="3"/>
        <v>20.491249999999994</v>
      </c>
      <c r="AT49" s="89">
        <f>Sheet1!BB47</f>
        <v>0</v>
      </c>
      <c r="AU49" s="89">
        <f>Sheet1!AS47*GPMtoMGD</f>
        <v>1.5264E-2</v>
      </c>
      <c r="AV49" s="94">
        <f>Sheet1!AT47</f>
        <v>0</v>
      </c>
      <c r="AW49" s="89">
        <f>Sheet1!AV47*GPMtoMGD</f>
        <v>0.25502400000000003</v>
      </c>
      <c r="AX49" s="89">
        <f>Sheet1!AW47*GPMtoMGD</f>
        <v>0.45259200000000005</v>
      </c>
      <c r="AY49" s="89">
        <f>Sheet1!AX47*GPMtoMGD</f>
        <v>0</v>
      </c>
      <c r="AZ49" s="89">
        <f>Sheet1!AY47*GPMtoMGD</f>
        <v>0</v>
      </c>
      <c r="BA49" s="89">
        <f>Sheet1!AZ47*GPMtoMGD</f>
        <v>0</v>
      </c>
      <c r="BB49" s="89">
        <f>Sheet1!BP47*GPMtoMGD</f>
        <v>2.8800000000000002E-3</v>
      </c>
      <c r="BC49" s="89">
        <f>Sheet1!CS47*GPMtoMGD</f>
        <v>0</v>
      </c>
      <c r="BD49" s="89">
        <f>Sheet1!BO47*GPMtoMGD</f>
        <v>1.281312</v>
      </c>
      <c r="BE49" s="89">
        <f>Sheet1!BW47*GPMtoMGD</f>
        <v>0.78494400000000009</v>
      </c>
      <c r="BF49" s="89">
        <f>Sheet1!CN47*GPMtoMGD</f>
        <v>0.62409599999999998</v>
      </c>
      <c r="BG49" s="89">
        <f>Sheet1!CO47*GPMtoMGD</f>
        <v>0.76910400000000012</v>
      </c>
      <c r="BH49" s="89">
        <f>Sheet1!CP47*GPMtoMGD</f>
        <v>0.52286400000000011</v>
      </c>
      <c r="BI49" s="89">
        <f t="shared" si="16"/>
        <v>1.284192</v>
      </c>
      <c r="BK49" s="94">
        <f>SUM(AT49:BA49,AS49,BC49,Calculation!AQ49)</f>
        <v>45.551153229136787</v>
      </c>
      <c r="BM49" s="358">
        <f>0</f>
        <v>0</v>
      </c>
      <c r="BN49" s="358">
        <f>0</f>
        <v>0</v>
      </c>
      <c r="BP49" s="94">
        <f>SUM(BM49:BN49,W49,Sheet1!DX47)</f>
        <v>0</v>
      </c>
      <c r="BR49" s="94">
        <f>Sheet1!AA47</f>
        <v>26</v>
      </c>
      <c r="BS49" s="94">
        <f>Sheet1!AB47</f>
        <v>34.78</v>
      </c>
      <c r="BT49" s="94">
        <f t="shared" ca="1" si="7"/>
        <v>-3.5346107527975619</v>
      </c>
      <c r="BU49" s="94">
        <f>Sheet1!AT47</f>
        <v>0</v>
      </c>
      <c r="BV49" s="89">
        <f>Sheet1!BB47</f>
        <v>0</v>
      </c>
      <c r="BW49" s="94">
        <f>Calculation!ED49</f>
        <v>10.442976770863208</v>
      </c>
      <c r="BX49" s="94">
        <f>(Sheet1!CS47*1440)/1000000</f>
        <v>0</v>
      </c>
      <c r="CA49" s="94">
        <f ca="1">Sheet1!AC47-Sheet1!BK47-Sheet1!BL47-Sheet1!BM47-Sheet1!BC47-Sheet1!BD47-Sheet1!BE47-Sheet1!BF47-Sheet1!BG47-Sheet1!BH47-Sheet1!BI47+BC49+P49</f>
        <v>46.77538924720244</v>
      </c>
      <c r="CB49" s="93">
        <f t="shared" si="8"/>
        <v>77.871374935474606</v>
      </c>
      <c r="CC49" s="94">
        <f t="shared" si="9"/>
        <v>0</v>
      </c>
      <c r="CD49" s="94">
        <f t="shared" ca="1" si="10"/>
        <v>57.218366018065652</v>
      </c>
      <c r="CE49" s="1077">
        <f t="shared" ca="1" si="11"/>
        <v>88.516812229947561</v>
      </c>
      <c r="CG49" s="1077">
        <f t="shared" ca="1" si="12"/>
        <v>46.77538924720244</v>
      </c>
    </row>
    <row r="50" spans="1:85" s="89" customFormat="1" x14ac:dyDescent="0.25">
      <c r="A50" s="616" t="s">
        <v>6</v>
      </c>
      <c r="B50" s="91">
        <v>42774</v>
      </c>
      <c r="C50" s="92">
        <v>0</v>
      </c>
      <c r="D50" s="94">
        <f>(Sheet1!BQ48-Sheet1!BQ47)*1.385</f>
        <v>0.6925</v>
      </c>
      <c r="E50" s="30">
        <f>(Sheet1!BR48-Sheet1!BR47)*1.385</f>
        <v>0.6925</v>
      </c>
      <c r="F50" s="30">
        <f ca="1">IF(B50=TODAY(),0,-(VLOOKUP(Sheet1!CD48,Lookup!$I$4:$J$216,2)-VLOOKUP(Sheet1!CD47,Lookup!$I$4:$J$216,2))/1000000)</f>
        <v>0.10363693854779936</v>
      </c>
      <c r="G50" s="94">
        <f ca="1">IF(B50=TODAY(),0,-$G$6*(Sheet1!CF48-Sheet1!CF47)*7.48/1000000)</f>
        <v>0.39713501052559297</v>
      </c>
      <c r="H50" s="94">
        <f ca="1">IF(B50=TODAY(),0,-$H$6*(Sheet1!CE48-Sheet1!CE47)*7.48/1000000)</f>
        <v>0</v>
      </c>
      <c r="I50" s="94">
        <f ca="1">IF(B50=TODAY(),0,-$I$6*(Sheet1!CG48-Sheet1!CG47)*7.48/1000000)</f>
        <v>2.6954927999999989E-2</v>
      </c>
      <c r="J50" s="95" t="s">
        <v>177</v>
      </c>
      <c r="K50" s="94">
        <f ca="1">IF(B50=TODAY(),0,-$K$6*(Sheet1!CH48-Sheet1!CH47)*7.48/1000000)</f>
        <v>3.9979922246750753E-2</v>
      </c>
      <c r="L50" s="95" t="s">
        <v>177</v>
      </c>
      <c r="M50" s="94">
        <f ca="1">IF(B50=TODAY(),0,-$M$6*(Sheet1!CI48-Sheet1!CI47)*7.48/1000000)</f>
        <v>0.14393206742421619</v>
      </c>
      <c r="N50" s="94">
        <f ca="1">IF(B50=TODAY(),0,-$N$6*(Sheet1!CJ48-Sheet1!CJ47)*7.48/1000000)</f>
        <v>0.12410469078924735</v>
      </c>
      <c r="O50" s="94">
        <f t="shared" ca="1" si="13"/>
        <v>0.83574355753360652</v>
      </c>
      <c r="P50" s="94">
        <f ca="1">O50+Calculation!ES50</f>
        <v>-0.54907216027416683</v>
      </c>
      <c r="Q50" s="89" t="str">
        <f>IF(Sheet1!BQ48&gt;25.75,"spill elevation","-")</f>
        <v>-</v>
      </c>
      <c r="R50" s="89" t="str">
        <f>IF(Sheet1!BQ48&gt;25.75,"spill elevation","-")</f>
        <v>-</v>
      </c>
      <c r="S50" s="89" t="str">
        <f>IF(Sheet1!BR48&gt;25.75,"spill elevation","-")</f>
        <v>-</v>
      </c>
      <c r="T50" s="93">
        <f>IF(Sheet1!DU48=1,Sheet1!AA48-(SUM(AT50:BA50)+BE50),Sheet1!AA48-SUM(AT50:BA50))</f>
        <v>24.388127999999998</v>
      </c>
      <c r="U50" s="93">
        <f>Sheet1!BV48</f>
        <v>26</v>
      </c>
      <c r="V50" s="93">
        <f t="shared" si="14"/>
        <v>-1.6118720000000017</v>
      </c>
      <c r="W50" s="93">
        <f>0</f>
        <v>0</v>
      </c>
      <c r="X50" s="89">
        <f>0</f>
        <v>0</v>
      </c>
      <c r="Y50" s="94">
        <f ca="1">Calculation!EJ51+Calculation!ES50+'Calculations II'!O50-'Calculations II'!W50</f>
        <v>44.514122994587431</v>
      </c>
      <c r="Z50" s="94">
        <f ca="1">Y50-Sheet1!CT49</f>
        <v>27.866122994587432</v>
      </c>
      <c r="AA50" s="94">
        <f ca="1">Y50+Calculation!DJ51+Calculation!AS51</f>
        <v>55.132665194075926</v>
      </c>
      <c r="AC50" s="94">
        <f>Sheet1!AA48+Sheet1!AB48+BC50</f>
        <v>58.43</v>
      </c>
      <c r="AD50" s="94">
        <f>Sheet1!AA48+Sheet1!BN48+'Calculations II'!BC50-Calculation!AS50-Calculation!DJ50</f>
        <v>37.162721712538229</v>
      </c>
      <c r="AE50" s="94">
        <f>Sheet1!AA48+Sheet1!AB48+'Calculations II'!BC50-Calculation!AS50-Calculation!DJ50</f>
        <v>47.762721712538223</v>
      </c>
      <c r="AF50" s="94">
        <f ca="1">Sheet1!AA48+Sheet1!BN48+P50+'Calculations II'!BC50+Calculation!AS50+Calculation!DJ50</f>
        <v>57.948206127187603</v>
      </c>
      <c r="AG50" s="94">
        <f ca="1">IF(B50=TODAY(),0,Sheet1!AA48+Sheet1!BN48+'Calculations II'!BC50+'Calculations II'!P50-Sheet1!CT48-BP50)</f>
        <v>30.341927839725834</v>
      </c>
      <c r="AH50" s="94">
        <f ca="1">IF(B50=TODAY(),0,Sheet1!AA48+Sheet1!BN48+'Calculations II'!BC50+'Calculations II'!P50-BP50)</f>
        <v>47.280927839725834</v>
      </c>
      <c r="AI50" s="94">
        <f ca="1">IF(B50=TODAY(),0,BC50+Sheet1!AA48+Calculation!ES50+O50+W50+Sheet1!BN48+Calculation!AS50+Calculation!DJ50-BP50)</f>
        <v>57.948206127187603</v>
      </c>
      <c r="AJ50" s="94"/>
      <c r="AM50" s="90">
        <f t="shared" si="15"/>
        <v>42774</v>
      </c>
      <c r="AN50" s="94">
        <f>Sheet1!BU48</f>
        <v>23.7</v>
      </c>
      <c r="AO50" s="94">
        <f>Sheet1!AA48</f>
        <v>25.83</v>
      </c>
      <c r="AP50" s="94">
        <f t="shared" si="1"/>
        <v>1.385</v>
      </c>
      <c r="AQ50" s="1087">
        <f>((Sheet1!BV48-(Sheet1!BU48-AP50))/(Sheet1!BU48-AP50))</f>
        <v>0.16513555904100394</v>
      </c>
      <c r="AR50" s="94">
        <f t="shared" si="2"/>
        <v>24.444999999999997</v>
      </c>
      <c r="AS50" s="94">
        <f t="shared" si="3"/>
        <v>22.314999999999998</v>
      </c>
      <c r="AT50" s="89">
        <f>Sheet1!BB48</f>
        <v>0</v>
      </c>
      <c r="AU50" s="89">
        <f>Sheet1!AS48*GPMtoMGD</f>
        <v>2.9952000000000003E-2</v>
      </c>
      <c r="AV50" s="94">
        <f>Sheet1!AT48</f>
        <v>0</v>
      </c>
      <c r="AW50" s="89">
        <f>Sheet1!AV48*GPMtoMGD</f>
        <v>0.59817600000000004</v>
      </c>
      <c r="AX50" s="89">
        <f>Sheet1!AW48*GPMtoMGD</f>
        <v>0.81374400000000013</v>
      </c>
      <c r="AY50" s="89">
        <f>Sheet1!AX48*GPMtoMGD</f>
        <v>0</v>
      </c>
      <c r="AZ50" s="89">
        <f>Sheet1!AY48*GPMtoMGD</f>
        <v>0</v>
      </c>
      <c r="BA50" s="89">
        <f>Sheet1!AZ48*GPMtoMGD</f>
        <v>0</v>
      </c>
      <c r="BB50" s="89">
        <f>Sheet1!BP48*GPMtoMGD</f>
        <v>2.8800000000000002E-3</v>
      </c>
      <c r="BC50" s="89">
        <f>Sheet1!CS48*GPMtoMGD</f>
        <v>0</v>
      </c>
      <c r="BD50" s="89">
        <f>Sheet1!BO48*GPMtoMGD</f>
        <v>1.2653280000000002</v>
      </c>
      <c r="BE50" s="89">
        <f>Sheet1!BW48*GPMtoMGD</f>
        <v>0.55310400000000004</v>
      </c>
      <c r="BF50" s="89">
        <f>Sheet1!CN48*GPMtoMGD</f>
        <v>0.600912</v>
      </c>
      <c r="BG50" s="89">
        <f>Sheet1!CO48*GPMtoMGD</f>
        <v>0.6013440000000001</v>
      </c>
      <c r="BH50" s="89">
        <f>Sheet1!CP48*GPMtoMGD</f>
        <v>0.52761599999999997</v>
      </c>
      <c r="BI50" s="89">
        <f t="shared" si="16"/>
        <v>1.2682080000000002</v>
      </c>
      <c r="BK50" s="94">
        <f>SUM(AT50:BA50,AS50,BC50,Calculation!AQ50)</f>
        <v>45.689593712538226</v>
      </c>
      <c r="BM50" s="358">
        <f>0</f>
        <v>0</v>
      </c>
      <c r="BN50" s="358">
        <f>0</f>
        <v>0</v>
      </c>
      <c r="BP50" s="94">
        <f>SUM(BM50:BN50,W50,Sheet1!DX48)</f>
        <v>0</v>
      </c>
      <c r="BR50" s="94">
        <f>Sheet1!AA48</f>
        <v>25.83</v>
      </c>
      <c r="BS50" s="94">
        <f>Sheet1!AB48</f>
        <v>32.6</v>
      </c>
      <c r="BT50" s="94">
        <f t="shared" ca="1" si="7"/>
        <v>-0.54907216027416683</v>
      </c>
      <c r="BU50" s="94">
        <f>Sheet1!AT48</f>
        <v>0</v>
      </c>
      <c r="BV50" s="89">
        <f>Sheet1!BB48</f>
        <v>0</v>
      </c>
      <c r="BW50" s="94">
        <f>Calculation!ED50</f>
        <v>10.667278287461773</v>
      </c>
      <c r="BX50" s="94">
        <f>(Sheet1!CS48*1440)/1000000</f>
        <v>0</v>
      </c>
      <c r="CA50" s="94">
        <f ca="1">Sheet1!AC48-Sheet1!BK48-Sheet1!BL48-Sheet1!BM48-Sheet1!BC48-Sheet1!BD48-Sheet1!BE48-Sheet1!BF48-Sheet1!BG48-Sheet1!BH48-Sheet1!BI48+BC50+P50</f>
        <v>47.180927839725832</v>
      </c>
      <c r="CB50" s="93">
        <f t="shared" si="8"/>
        <v>73.888930489296627</v>
      </c>
      <c r="CC50" s="94">
        <f t="shared" si="9"/>
        <v>0</v>
      </c>
      <c r="CD50" s="94">
        <f t="shared" ca="1" si="10"/>
        <v>57.848206127187609</v>
      </c>
      <c r="CE50" s="1077">
        <f t="shared" ca="1" si="11"/>
        <v>89.491174878759224</v>
      </c>
      <c r="CG50" s="1077">
        <f t="shared" ca="1" si="12"/>
        <v>47.180927839725832</v>
      </c>
    </row>
    <row r="51" spans="1:85" s="89" customFormat="1" x14ac:dyDescent="0.25">
      <c r="A51" s="616" t="s">
        <v>7</v>
      </c>
      <c r="B51" s="91">
        <v>42775</v>
      </c>
      <c r="C51" s="92">
        <v>0</v>
      </c>
      <c r="D51" s="94">
        <f>(Sheet1!BQ49-Sheet1!BQ48)*1.385</f>
        <v>-0.13850000000000198</v>
      </c>
      <c r="E51" s="30">
        <f>(Sheet1!BR49-Sheet1!BR48)*1.385</f>
        <v>-0.13850000000000198</v>
      </c>
      <c r="F51" s="30">
        <f ca="1">IF(B51=TODAY(),0,-(VLOOKUP(Sheet1!CD49,Lookup!$I$4:$J$216,2)-VLOOKUP(Sheet1!CD48,Lookup!$I$4:$J$216,2))/1000000)</f>
        <v>0.20727387709559872</v>
      </c>
      <c r="G51" s="94">
        <f ca="1">IF(B51=TODAY(),0,-$G$6*(Sheet1!CF49-Sheet1!CF48)*7.48/1000000)</f>
        <v>-1.1516915305242199</v>
      </c>
      <c r="H51" s="94">
        <f ca="1">IF(B51=TODAY(),0,-$H$6*(Sheet1!CE49-Sheet1!CE48)*7.48/1000000)</f>
        <v>6.0157729405060027E-2</v>
      </c>
      <c r="I51" s="94">
        <f ca="1">IF(B51=TODAY(),0,-$I$6*(Sheet1!CG49-Sheet1!CG48)*7.48/1000000)</f>
        <v>1.7969952000000015E-2</v>
      </c>
      <c r="J51" s="95" t="s">
        <v>177</v>
      </c>
      <c r="K51" s="94">
        <f ca="1">IF(B51=TODAY(),0,-$K$6*(Sheet1!CH49-Sheet1!CH48)*7.48/1000000)</f>
        <v>3.3316601872292212E-2</v>
      </c>
      <c r="L51" s="95" t="s">
        <v>177</v>
      </c>
      <c r="M51" s="94">
        <f ca="1">IF(B51=TODAY(),0,-$M$6*(Sheet1!CI49-Sheet1!CI48)*7.48/1000000)</f>
        <v>7.196603371210826E-2</v>
      </c>
      <c r="N51" s="94">
        <f ca="1">IF(B51=TODAY(),0,-$N$6*(Sheet1!CJ49-Sheet1!CJ48)*7.48/1000000)</f>
        <v>0.12410469078924848</v>
      </c>
      <c r="O51" s="94">
        <f t="shared" ca="1" si="13"/>
        <v>-0.63690264564991206</v>
      </c>
      <c r="P51" s="94">
        <f ca="1">O51+Calculation!ES51</f>
        <v>-0.35991386903378203</v>
      </c>
      <c r="Q51" s="89" t="str">
        <f>IF(Sheet1!BQ49&gt;25.75,"spill elevation","-")</f>
        <v>-</v>
      </c>
      <c r="R51" s="89" t="str">
        <f>IF(Sheet1!BQ49&gt;25.75,"spill elevation","-")</f>
        <v>-</v>
      </c>
      <c r="S51" s="89" t="str">
        <f>IF(Sheet1!BR49&gt;25.75,"spill elevation","-")</f>
        <v>-</v>
      </c>
      <c r="T51" s="93">
        <f>IF(Sheet1!DU49=1,Sheet1!AA49-(SUM(AT51:BA51)+BE51),Sheet1!AA49-SUM(AT51:BA51))</f>
        <v>25.051360000000003</v>
      </c>
      <c r="U51" s="93">
        <f>Sheet1!BV49</f>
        <v>29.3</v>
      </c>
      <c r="V51" s="93">
        <f t="shared" si="14"/>
        <v>-4.2486399999999982</v>
      </c>
      <c r="W51" s="93">
        <f>0</f>
        <v>0</v>
      </c>
      <c r="X51" s="89">
        <f>0</f>
        <v>0</v>
      </c>
      <c r="Y51" s="94">
        <f ca="1">Calculation!EJ52+Calculation!ES51+'Calculations II'!O51-'Calculations II'!W51</f>
        <v>43.989444605450117</v>
      </c>
      <c r="Z51" s="94">
        <f ca="1">Y51-Sheet1!CT50</f>
        <v>28.449444605450118</v>
      </c>
      <c r="AA51" s="94">
        <f ca="1">Y51+Calculation!DJ52+Calculation!AS52</f>
        <v>54.512796708795598</v>
      </c>
      <c r="AC51" s="94">
        <f>Sheet1!AA49+Sheet1!AB49+BC51</f>
        <v>56.97</v>
      </c>
      <c r="AD51" s="94">
        <f>Sheet1!AA49+Sheet1!BN49+'Calculations II'!BC51-Calculation!AS51-Calculation!DJ51</f>
        <v>35.851457800511511</v>
      </c>
      <c r="AE51" s="94">
        <f>Sheet1!AA49+Sheet1!AB49+'Calculations II'!BC51-Calculation!AS51-Calculation!DJ51</f>
        <v>46.351457800511511</v>
      </c>
      <c r="AF51" s="94">
        <f ca="1">Sheet1!AA49+Sheet1!BN49+P51+'Calculations II'!BC51+Calculation!AS51+Calculation!DJ51</f>
        <v>56.728628330454711</v>
      </c>
      <c r="AG51" s="94">
        <f ca="1">IF(B51=TODAY(),0,Sheet1!AA49+Sheet1!BN49+'Calculations II'!BC51+'Calculations II'!P51-Sheet1!CT49-BP51)</f>
        <v>29.462086130966217</v>
      </c>
      <c r="AH51" s="94">
        <f ca="1">IF(B51=TODAY(),0,Sheet1!AA49+Sheet1!BN49+'Calculations II'!BC51+'Calculations II'!P51-BP51)</f>
        <v>46.110086130966216</v>
      </c>
      <c r="AI51" s="94">
        <f ca="1">IF(B51=TODAY(),0,BC51+Sheet1!AA49+Calculation!ES51+O51+W51+Sheet1!BN49+Calculation!AS51+Calculation!DJ51-BP51)</f>
        <v>56.728628330454711</v>
      </c>
      <c r="AJ51" s="94"/>
      <c r="AM51" s="90">
        <f t="shared" si="15"/>
        <v>42775</v>
      </c>
      <c r="AN51" s="94">
        <f>Sheet1!BU49</f>
        <v>24.4</v>
      </c>
      <c r="AO51" s="94">
        <f>Sheet1!AA49</f>
        <v>25.87</v>
      </c>
      <c r="AP51" s="94">
        <f t="shared" si="1"/>
        <v>-0.27700000000000397</v>
      </c>
      <c r="AQ51" s="1087">
        <f>((Sheet1!BV49-(Sheet1!BU49-AP51))/(Sheet1!BU49-AP51))</f>
        <v>0.18734043846496726</v>
      </c>
      <c r="AR51" s="94">
        <f t="shared" si="2"/>
        <v>26.147000000000006</v>
      </c>
      <c r="AS51" s="94">
        <f t="shared" si="3"/>
        <v>24.677000000000003</v>
      </c>
      <c r="AT51" s="89">
        <f>Sheet1!BB49</f>
        <v>0</v>
      </c>
      <c r="AU51" s="89">
        <f>Sheet1!AS49*GPMtoMGD</f>
        <v>1.5120000000000001E-2</v>
      </c>
      <c r="AV51" s="94">
        <f>Sheet1!AT49</f>
        <v>0</v>
      </c>
      <c r="AW51" s="89">
        <f>Sheet1!AV49*GPMtoMGD</f>
        <v>0.38520000000000004</v>
      </c>
      <c r="AX51" s="89">
        <f>Sheet1!AW49*GPMtoMGD</f>
        <v>0.41832000000000003</v>
      </c>
      <c r="AY51" s="89">
        <f>Sheet1!AX49*GPMtoMGD</f>
        <v>0</v>
      </c>
      <c r="AZ51" s="89">
        <f>Sheet1!AY49*GPMtoMGD</f>
        <v>0</v>
      </c>
      <c r="BA51" s="89">
        <f>Sheet1!AZ49*GPMtoMGD</f>
        <v>0</v>
      </c>
      <c r="BB51" s="89">
        <f>Sheet1!BP49*GPMtoMGD</f>
        <v>2.8800000000000002E-3</v>
      </c>
      <c r="BC51" s="89">
        <f>Sheet1!CS49*GPMtoMGD</f>
        <v>0</v>
      </c>
      <c r="BD51" s="89">
        <f>Sheet1!BO49*GPMtoMGD</f>
        <v>1.2602880000000001</v>
      </c>
      <c r="BE51" s="89">
        <f>Sheet1!BW49*GPMtoMGD</f>
        <v>0.76838400000000007</v>
      </c>
      <c r="BF51" s="89">
        <f>Sheet1!CN49*GPMtoMGD</f>
        <v>0.68443200000000004</v>
      </c>
      <c r="BG51" s="89">
        <f>Sheet1!CO49*GPMtoMGD</f>
        <v>0.61027200000000004</v>
      </c>
      <c r="BH51" s="89">
        <f>Sheet1!CP49*GPMtoMGD</f>
        <v>0.52142400000000011</v>
      </c>
      <c r="BI51" s="89">
        <f t="shared" si="16"/>
        <v>1.2631680000000001</v>
      </c>
      <c r="BK51" s="94">
        <f>SUM(AT51:BA51,AS51,BC51,Calculation!AQ51)</f>
        <v>45.977097800511515</v>
      </c>
      <c r="BM51" s="358">
        <f>0</f>
        <v>0</v>
      </c>
      <c r="BN51" s="358">
        <f>0</f>
        <v>0</v>
      </c>
      <c r="BP51" s="94">
        <f>SUM(BM51:BN51,W51,Sheet1!DX49)</f>
        <v>0</v>
      </c>
      <c r="BR51" s="94">
        <f>Sheet1!AA49</f>
        <v>25.87</v>
      </c>
      <c r="BS51" s="94">
        <f>Sheet1!AB49</f>
        <v>31.1</v>
      </c>
      <c r="BT51" s="94">
        <f t="shared" ca="1" si="7"/>
        <v>-0.35991386903378203</v>
      </c>
      <c r="BU51" s="94">
        <f>Sheet1!AT49</f>
        <v>0</v>
      </c>
      <c r="BV51" s="89">
        <f>Sheet1!BB49</f>
        <v>0</v>
      </c>
      <c r="BW51" s="94">
        <f>Calculation!ED51</f>
        <v>10.618542199488491</v>
      </c>
      <c r="BX51" s="94">
        <f>(Sheet1!CS49*1440)/1000000</f>
        <v>0</v>
      </c>
      <c r="CA51" s="94">
        <f ca="1">Sheet1!AC49-Sheet1!BK49-Sheet1!BL49-Sheet1!BM49-Sheet1!BC49-Sheet1!BD49-Sheet1!BE49-Sheet1!BF49-Sheet1!BG49-Sheet1!BH49-Sheet1!BI49+BC51+P51</f>
        <v>45.930086130966217</v>
      </c>
      <c r="CB51" s="93">
        <f t="shared" si="8"/>
        <v>71.705705217391298</v>
      </c>
      <c r="CC51" s="94">
        <f t="shared" si="9"/>
        <v>0</v>
      </c>
      <c r="CD51" s="94">
        <f t="shared" ca="1" si="10"/>
        <v>56.548628330454704</v>
      </c>
      <c r="CE51" s="1077">
        <f t="shared" ca="1" si="11"/>
        <v>87.480728027213431</v>
      </c>
      <c r="CG51" s="1077">
        <f t="shared" ca="1" si="12"/>
        <v>45.930086130966217</v>
      </c>
    </row>
    <row r="52" spans="1:85" s="89" customFormat="1" x14ac:dyDescent="0.25">
      <c r="A52" s="616" t="s">
        <v>8</v>
      </c>
      <c r="B52" s="91">
        <v>42776</v>
      </c>
      <c r="C52" s="92">
        <v>0</v>
      </c>
      <c r="D52" s="94">
        <f>(Sheet1!BQ50-Sheet1!BQ49)*1.385</f>
        <v>0</v>
      </c>
      <c r="E52" s="30">
        <f>(Sheet1!BR50-Sheet1!BR49)*1.385</f>
        <v>1.3850000000002164E-2</v>
      </c>
      <c r="F52" s="30">
        <f ca="1">IF(B52=TODAY(),0,-(VLOOKUP(Sheet1!CD50,Lookup!$I$4:$J$216,2)-VLOOKUP(Sheet1!CD49,Lookup!$I$4:$J$216,2))/1000000)</f>
        <v>-0.41454775419119744</v>
      </c>
      <c r="G52" s="94">
        <f ca="1">IF(B52=TODAY(),0,-$G$6*(Sheet1!CF50-Sheet1!CF49)*7.48/1000000)</f>
        <v>0.27799450736791476</v>
      </c>
      <c r="H52" s="94">
        <f ca="1">IF(B52=TODAY(),0,-$H$6*(Sheet1!CE50-Sheet1!CE49)*7.48/1000000)</f>
        <v>-3.0078864702530014E-2</v>
      </c>
      <c r="I52" s="94">
        <f ca="1">IF(B52=TODAY(),0,-$I$6*(Sheet1!CG50-Sheet1!CG49)*7.48/1000000)</f>
        <v>4.4924879999999837E-3</v>
      </c>
      <c r="J52" s="95" t="s">
        <v>177</v>
      </c>
      <c r="K52" s="94">
        <f ca="1">IF(B52=TODAY(),0,-$K$6*(Sheet1!CH50-Sheet1!CH49)*7.48/1000000)</f>
        <v>1.3326640748916837E-2</v>
      </c>
      <c r="L52" s="95" t="s">
        <v>177</v>
      </c>
      <c r="M52" s="94">
        <f ca="1">IF(B52=TODAY(),0,-$M$6*(Sheet1!CI50-Sheet1!CI49)*7.48/1000000)</f>
        <v>3.598301685605397E-2</v>
      </c>
      <c r="N52" s="94">
        <f ca="1">IF(B52=TODAY(),0,-$N$6*(Sheet1!CJ50-Sheet1!CJ49)*7.48/1000000)</f>
        <v>-0.1178994562497851</v>
      </c>
      <c r="O52" s="94">
        <f t="shared" ca="1" si="13"/>
        <v>-0.23072942217062697</v>
      </c>
      <c r="P52" s="94">
        <f ca="1">O52+Calculation!ES52</f>
        <v>-0.36924624017738839</v>
      </c>
      <c r="Q52" s="89" t="str">
        <f>IF(Sheet1!BQ50&gt;25.75,"spill elevation","-")</f>
        <v>-</v>
      </c>
      <c r="R52" s="89" t="str">
        <f>IF(Sheet1!BQ50&gt;25.75,"spill elevation","-")</f>
        <v>-</v>
      </c>
      <c r="S52" s="89" t="str">
        <f>IF(Sheet1!BR50&gt;25.75,"spill elevation","-")</f>
        <v>-</v>
      </c>
      <c r="T52" s="93">
        <f>IF(Sheet1!DU50=1,Sheet1!AA50-(SUM(AT52:BA52)+BE52),Sheet1!AA50-SUM(AT52:BA52))</f>
        <v>25.09656</v>
      </c>
      <c r="U52" s="93">
        <f>Sheet1!BV50</f>
        <v>28.9</v>
      </c>
      <c r="V52" s="93">
        <f t="shared" si="14"/>
        <v>-3.8034399999999984</v>
      </c>
      <c r="W52" s="93">
        <f>0</f>
        <v>0</v>
      </c>
      <c r="X52" s="89">
        <f>0</f>
        <v>0</v>
      </c>
      <c r="Y52" s="94">
        <f ca="1">Calculation!EJ53+Calculation!ES52+'Calculations II'!O52-'Calculations II'!W52</f>
        <v>44.571491508117589</v>
      </c>
      <c r="Z52" s="94">
        <f ca="1">Y52-Sheet1!CT51</f>
        <v>29.000491508117591</v>
      </c>
      <c r="AA52" s="94">
        <f ca="1">Y52+Calculation!DJ53+Calculation!AS53</f>
        <v>55.146254045480589</v>
      </c>
      <c r="AC52" s="94">
        <f>Sheet1!AA50+Sheet1!AB50+BC52</f>
        <v>55.8</v>
      </c>
      <c r="AD52" s="94">
        <f>Sheet1!AA50+Sheet1!BN50+'Calculations II'!BC52-Calculation!AS52-Calculation!DJ52</f>
        <v>34.876647896654525</v>
      </c>
      <c r="AE52" s="94">
        <f>Sheet1!AA50+Sheet1!AB50+'Calculations II'!BC52-Calculation!AS52-Calculation!DJ52</f>
        <v>45.276647896654517</v>
      </c>
      <c r="AF52" s="94">
        <f ca="1">Sheet1!AA50+Sheet1!BN50+P52+'Calculations II'!BC52+Calculation!AS52+Calculation!DJ52</f>
        <v>55.554105863168097</v>
      </c>
      <c r="AG52" s="94">
        <f ca="1">IF(B52=TODAY(),0,Sheet1!AA50+Sheet1!BN50+'Calculations II'!BC52+'Calculations II'!P52-Sheet1!CT50-BP52)</f>
        <v>29.490753759822617</v>
      </c>
      <c r="AH52" s="94">
        <f ca="1">IF(B52=TODAY(),0,Sheet1!AA50+Sheet1!BN50+'Calculations II'!BC52+'Calculations II'!P52-BP52)</f>
        <v>45.030753759822616</v>
      </c>
      <c r="AI52" s="94">
        <f ca="1">IF(B52=TODAY(),0,BC52+Sheet1!AA50+Calculation!ES52+O52+W52+Sheet1!BN50+Calculation!AS52+Calculation!DJ52-BP52)</f>
        <v>55.554105863168097</v>
      </c>
      <c r="AJ52" s="94"/>
      <c r="AM52" s="90">
        <f t="shared" si="15"/>
        <v>42776</v>
      </c>
      <c r="AN52" s="94">
        <f>Sheet1!BU50</f>
        <v>24.4</v>
      </c>
      <c r="AO52" s="94">
        <f>Sheet1!AA50</f>
        <v>25.8</v>
      </c>
      <c r="AP52" s="94">
        <f t="shared" si="1"/>
        <v>1.3850000000002164E-2</v>
      </c>
      <c r="AQ52" s="1087">
        <f>((Sheet1!BV50-(Sheet1!BU50-AP52))/(Sheet1!BU50-AP52))</f>
        <v>0.18509891885352964</v>
      </c>
      <c r="AR52" s="94">
        <f t="shared" si="2"/>
        <v>25.786149999999999</v>
      </c>
      <c r="AS52" s="94">
        <f t="shared" si="3"/>
        <v>24.386149999999997</v>
      </c>
      <c r="AT52" s="89">
        <f>Sheet1!BB50</f>
        <v>0</v>
      </c>
      <c r="AU52" s="89">
        <f>Sheet1!AS50*GPMtoMGD</f>
        <v>1.5264E-2</v>
      </c>
      <c r="AV52" s="94">
        <f>Sheet1!AT50</f>
        <v>0</v>
      </c>
      <c r="AW52" s="89">
        <f>Sheet1!AV50*GPMtoMGD</f>
        <v>0.25488</v>
      </c>
      <c r="AX52" s="89">
        <f>Sheet1!AW50*GPMtoMGD</f>
        <v>0.43329600000000001</v>
      </c>
      <c r="AY52" s="89">
        <f>Sheet1!AX50*GPMtoMGD</f>
        <v>0</v>
      </c>
      <c r="AZ52" s="89">
        <f>Sheet1!AY50*GPMtoMGD</f>
        <v>0</v>
      </c>
      <c r="BA52" s="89">
        <f>Sheet1!AZ50*GPMtoMGD</f>
        <v>0</v>
      </c>
      <c r="BB52" s="89">
        <f>Sheet1!BP50*GPMtoMGD</f>
        <v>2.8800000000000002E-3</v>
      </c>
      <c r="BC52" s="89">
        <f>Sheet1!CS50*GPMtoMGD</f>
        <v>0</v>
      </c>
      <c r="BD52" s="89">
        <f>Sheet1!BO50*GPMtoMGD</f>
        <v>1.338192</v>
      </c>
      <c r="BE52" s="89">
        <f>Sheet1!BW50*GPMtoMGD</f>
        <v>0.78926400000000008</v>
      </c>
      <c r="BF52" s="89">
        <f>Sheet1!CN50*GPMtoMGD</f>
        <v>0.75024000000000002</v>
      </c>
      <c r="BG52" s="89">
        <f>Sheet1!CO50*GPMtoMGD</f>
        <v>0.60984000000000005</v>
      </c>
      <c r="BH52" s="89">
        <f>Sheet1!CP50*GPMtoMGD</f>
        <v>0.52603200000000006</v>
      </c>
      <c r="BI52" s="89">
        <f t="shared" si="16"/>
        <v>1.341072</v>
      </c>
      <c r="BK52" s="94">
        <f>SUM(AT52:BA52,AS52,BC52,Calculation!AQ52)</f>
        <v>44.566237896654521</v>
      </c>
      <c r="BM52" s="358">
        <f>0</f>
        <v>0</v>
      </c>
      <c r="BN52" s="358">
        <f>0</f>
        <v>0</v>
      </c>
      <c r="BP52" s="94">
        <f>SUM(BM52:BN52,W52,Sheet1!DX50)</f>
        <v>0</v>
      </c>
      <c r="BR52" s="94">
        <f>Sheet1!AA50</f>
        <v>25.8</v>
      </c>
      <c r="BS52" s="94">
        <f>Sheet1!AB50</f>
        <v>30</v>
      </c>
      <c r="BT52" s="94">
        <f t="shared" ca="1" si="7"/>
        <v>-0.36924624017738839</v>
      </c>
      <c r="BU52" s="94">
        <f>Sheet1!AT50</f>
        <v>0</v>
      </c>
      <c r="BV52" s="89">
        <f>Sheet1!BB50</f>
        <v>0</v>
      </c>
      <c r="BW52" s="94">
        <f>Calculation!ED52</f>
        <v>10.523352103345477</v>
      </c>
      <c r="BX52" s="94">
        <f>(Sheet1!CS50*1440)/1000000</f>
        <v>0</v>
      </c>
      <c r="CA52" s="94">
        <f ca="1">Sheet1!AC50-Sheet1!BK50-Sheet1!BL50-Sheet1!BM50-Sheet1!BC50-Sheet1!BD50-Sheet1!BE50-Sheet1!BF50-Sheet1!BG50-Sheet1!BH50-Sheet1!BI50+BC52+P52</f>
        <v>44.840753759822604</v>
      </c>
      <c r="CB52" s="93">
        <f t="shared" si="8"/>
        <v>70.042974296124541</v>
      </c>
      <c r="CC52" s="94">
        <f t="shared" si="9"/>
        <v>0</v>
      </c>
      <c r="CD52" s="94">
        <f t="shared" ca="1" si="10"/>
        <v>55.364105863168078</v>
      </c>
      <c r="CE52" s="1077">
        <f t="shared" ca="1" si="11"/>
        <v>85.648271770321017</v>
      </c>
      <c r="CG52" s="1077">
        <f t="shared" ca="1" si="12"/>
        <v>44.840753759822604</v>
      </c>
    </row>
    <row r="53" spans="1:85" s="89" customFormat="1" x14ac:dyDescent="0.25">
      <c r="A53" s="616" t="s">
        <v>9</v>
      </c>
      <c r="B53" s="91">
        <v>42777</v>
      </c>
      <c r="C53" s="92">
        <v>0</v>
      </c>
      <c r="D53" s="94">
        <f>(Sheet1!BQ51-Sheet1!BQ50)*1.385</f>
        <v>-0.11079999999999764</v>
      </c>
      <c r="E53" s="30">
        <f>(Sheet1!BR51-Sheet1!BR50)*1.385</f>
        <v>-0.13850000000000198</v>
      </c>
      <c r="F53" s="30">
        <f ca="1">IF(B53=TODAY(),0,-(VLOOKUP(Sheet1!CD51,Lookup!$I$4:$J$216,2)-VLOOKUP(Sheet1!CD50,Lookup!$I$4:$J$216,2))/1000000)</f>
        <v>0.62182163128679613</v>
      </c>
      <c r="G53" s="94">
        <f ca="1">IF(B53=TODAY(),0,-$G$6*(Sheet1!CF51-Sheet1!CF50)*7.48/1000000)</f>
        <v>0.43684851157815285</v>
      </c>
      <c r="H53" s="94">
        <f ca="1">IF(B53=TODAY(),0,-$H$6*(Sheet1!CE51-Sheet1!CE50)*7.48/1000000)</f>
        <v>0</v>
      </c>
      <c r="I53" s="94">
        <f ca="1">IF(B53=TODAY(),0,-$I$6*(Sheet1!CG51-Sheet1!CG50)*7.48/1000000)</f>
        <v>-9.434224799999999E-2</v>
      </c>
      <c r="J53" s="95" t="s">
        <v>177</v>
      </c>
      <c r="K53" s="94">
        <f ca="1">IF(B53=TODAY(),0,-$K$6*(Sheet1!CH51-Sheet1!CH50)*7.48/1000000)</f>
        <v>-0.16658300936146106</v>
      </c>
      <c r="L53" s="95" t="s">
        <v>177</v>
      </c>
      <c r="M53" s="94">
        <f ca="1">IF(B53=TODAY(),0,-$M$6*(Sheet1!CI51-Sheet1!CI50)*7.48/1000000)</f>
        <v>-0.44978771070067619</v>
      </c>
      <c r="N53" s="94">
        <f ca="1">IF(B53=TODAY(),0,-$N$6*(Sheet1!CJ51-Sheet1!CJ50)*7.48/1000000)</f>
        <v>5.5847110855161426E-2</v>
      </c>
      <c r="O53" s="94">
        <f t="shared" ca="1" si="13"/>
        <v>0.40380428565797311</v>
      </c>
      <c r="P53" s="94">
        <f ca="1">O53+Calculation!ES53</f>
        <v>0.54232110366473452</v>
      </c>
      <c r="Q53" s="89" t="str">
        <f>IF(Sheet1!BQ51&gt;25.75,"spill elevation","-")</f>
        <v>-</v>
      </c>
      <c r="R53" s="89" t="str">
        <f>IF(Sheet1!BQ51&gt;25.75,"spill elevation","-")</f>
        <v>-</v>
      </c>
      <c r="S53" s="89" t="str">
        <f>IF(Sheet1!BR51&gt;25.75,"spill elevation","-")</f>
        <v>-</v>
      </c>
      <c r="T53" s="93">
        <f>IF(Sheet1!DU51=1,Sheet1!AA51-(SUM(AT53:BA53)+BE53),Sheet1!AA51-SUM(AT53:BA53))</f>
        <v>24.298303999999998</v>
      </c>
      <c r="U53" s="93">
        <f>Sheet1!BV51</f>
        <v>28.1</v>
      </c>
      <c r="V53" s="93">
        <f t="shared" si="14"/>
        <v>-3.8016960000000033</v>
      </c>
      <c r="W53" s="93">
        <f>0</f>
        <v>0</v>
      </c>
      <c r="X53" s="89">
        <f>0</f>
        <v>0</v>
      </c>
      <c r="Y53" s="94">
        <f ca="1">Calculation!EJ54+Calculation!ES53+'Calculations II'!O53-'Calculations II'!W53</f>
        <v>45.465615871783285</v>
      </c>
      <c r="Z53" s="94">
        <f ca="1">Y53-Sheet1!CT52</f>
        <v>29.358615871783286</v>
      </c>
      <c r="AA53" s="94">
        <f ca="1">Y53+Calculation!DJ54+Calculation!AS54</f>
        <v>56.011009952262171</v>
      </c>
      <c r="AC53" s="94">
        <f>Sheet1!AA51+Sheet1!AB51+BC53</f>
        <v>55.71</v>
      </c>
      <c r="AD53" s="94">
        <f>Sheet1!AA51+Sheet1!BN51+'Calculations II'!BC53-Calculation!AS53-Calculation!DJ53</f>
        <v>34.625237462637003</v>
      </c>
      <c r="AE53" s="94">
        <f>Sheet1!AA51+Sheet1!AB51+'Calculations II'!BC53-Calculation!AS53-Calculation!DJ53</f>
        <v>45.135237462636994</v>
      </c>
      <c r="AF53" s="94">
        <f ca="1">Sheet1!AA51+Sheet1!BN51+P53+'Calculations II'!BC53+Calculation!AS53+Calculation!DJ53</f>
        <v>56.317083641027736</v>
      </c>
      <c r="AG53" s="94">
        <f ca="1">IF(B53=TODAY(),0,Sheet1!AA51+Sheet1!BN51+'Calculations II'!BC53+'Calculations II'!P53-Sheet1!CT51-BP53)</f>
        <v>30.171321103664738</v>
      </c>
      <c r="AH53" s="94">
        <f ca="1">IF(B53=TODAY(),0,Sheet1!AA51+Sheet1!BN51+'Calculations II'!BC53+'Calculations II'!P53-BP53)</f>
        <v>45.742321103664736</v>
      </c>
      <c r="AI53" s="94">
        <f ca="1">IF(B53=TODAY(),0,BC53+Sheet1!AA51+Calculation!ES53+O53+W53+Sheet1!BN51+Calculation!AS53+Calculation!DJ53-BP53)</f>
        <v>56.317083641027736</v>
      </c>
      <c r="AJ53" s="94"/>
      <c r="AM53" s="90">
        <f t="shared" si="15"/>
        <v>42777</v>
      </c>
      <c r="AN53" s="94">
        <f>Sheet1!BU51</f>
        <v>23.7</v>
      </c>
      <c r="AO53" s="94">
        <f>Sheet1!AA51</f>
        <v>25.7</v>
      </c>
      <c r="AP53" s="94">
        <f t="shared" si="1"/>
        <v>-0.24929999999999963</v>
      </c>
      <c r="AQ53" s="1087">
        <f>((Sheet1!BV51-(Sheet1!BU51-AP53))/(Sheet1!BU51-AP53))</f>
        <v>0.17331195483792863</v>
      </c>
      <c r="AR53" s="94">
        <f t="shared" si="2"/>
        <v>25.949299999999997</v>
      </c>
      <c r="AS53" s="94">
        <f t="shared" si="3"/>
        <v>23.949299999999997</v>
      </c>
      <c r="AT53" s="89">
        <f>Sheet1!BB51</f>
        <v>0</v>
      </c>
      <c r="AU53" s="89">
        <f>Sheet1!AS51*GPMtoMGD</f>
        <v>3.0096000000000001E-2</v>
      </c>
      <c r="AV53" s="94">
        <f>Sheet1!AT51</f>
        <v>0</v>
      </c>
      <c r="AW53" s="89">
        <f>Sheet1!AV51*GPMtoMGD</f>
        <v>0.58176000000000005</v>
      </c>
      <c r="AX53" s="89">
        <f>Sheet1!AW51*GPMtoMGD</f>
        <v>0.7898400000000001</v>
      </c>
      <c r="AY53" s="89">
        <f>Sheet1!AX51*GPMtoMGD</f>
        <v>0</v>
      </c>
      <c r="AZ53" s="89">
        <f>Sheet1!AY51*GPMtoMGD</f>
        <v>0</v>
      </c>
      <c r="BA53" s="89">
        <f>Sheet1!AZ51*GPMtoMGD</f>
        <v>0</v>
      </c>
      <c r="BB53" s="89">
        <f>Sheet1!BP51*GPMtoMGD</f>
        <v>2.7360000000000002E-3</v>
      </c>
      <c r="BC53" s="89">
        <f>Sheet1!CS51*GPMtoMGD</f>
        <v>0</v>
      </c>
      <c r="BD53" s="89">
        <f>Sheet1!BO51*GPMtoMGD</f>
        <v>2.1062880000000002</v>
      </c>
      <c r="BE53" s="89">
        <f>Sheet1!BW51*GPMtoMGD</f>
        <v>0.59659200000000001</v>
      </c>
      <c r="BF53" s="89">
        <f>Sheet1!CN51*GPMtoMGD</f>
        <v>0.96782400000000013</v>
      </c>
      <c r="BG53" s="89">
        <f>Sheet1!CO51*GPMtoMGD</f>
        <v>0.64627200000000007</v>
      </c>
      <c r="BH53" s="89">
        <f>Sheet1!CP51*GPMtoMGD</f>
        <v>0.54662400000000011</v>
      </c>
      <c r="BI53" s="89">
        <f t="shared" si="16"/>
        <v>2.1090240000000002</v>
      </c>
      <c r="BK53" s="94">
        <f>SUM(AT53:BA53,AS53,BC53,Calculation!AQ53)</f>
        <v>44.786233462637</v>
      </c>
      <c r="BM53" s="358">
        <f>0</f>
        <v>0</v>
      </c>
      <c r="BN53" s="358">
        <f>0</f>
        <v>0</v>
      </c>
      <c r="BP53" s="94">
        <f>SUM(BM53:BN53,W53,Sheet1!DX51)</f>
        <v>0</v>
      </c>
      <c r="BR53" s="94">
        <f>Sheet1!AA51</f>
        <v>25.7</v>
      </c>
      <c r="BS53" s="94">
        <f>Sheet1!AB51</f>
        <v>30.01</v>
      </c>
      <c r="BT53" s="94">
        <f t="shared" ca="1" si="7"/>
        <v>0.54232110366473452</v>
      </c>
      <c r="BU53" s="94">
        <f>Sheet1!AT51</f>
        <v>0</v>
      </c>
      <c r="BV53" s="89">
        <f>Sheet1!BB51</f>
        <v>0</v>
      </c>
      <c r="BW53" s="94">
        <f>Calculation!ED53</f>
        <v>10.574762537363004</v>
      </c>
      <c r="BX53" s="94">
        <f>(Sheet1!CS51*1440)/1000000</f>
        <v>0</v>
      </c>
      <c r="CA53" s="94">
        <f ca="1">Sheet1!AC51-Sheet1!BK51-Sheet1!BL51-Sheet1!BM51-Sheet1!BC51-Sheet1!BD51-Sheet1!BE51-Sheet1!BF51-Sheet1!BG51-Sheet1!BH51-Sheet1!BI51+BC53+P53</f>
        <v>45.642321103664734</v>
      </c>
      <c r="CB53" s="93">
        <f t="shared" si="8"/>
        <v>69.824212354699426</v>
      </c>
      <c r="CC53" s="94">
        <f t="shared" si="9"/>
        <v>0</v>
      </c>
      <c r="CD53" s="94">
        <f t="shared" ca="1" si="10"/>
        <v>56.217083641027742</v>
      </c>
      <c r="CE53" s="1077">
        <f t="shared" ca="1" si="11"/>
        <v>86.967828392669915</v>
      </c>
      <c r="CG53" s="1077">
        <f t="shared" ca="1" si="12"/>
        <v>45.642321103664734</v>
      </c>
    </row>
    <row r="54" spans="1:85" s="89" customFormat="1" x14ac:dyDescent="0.25">
      <c r="A54" s="616" t="s">
        <v>3</v>
      </c>
      <c r="B54" s="91">
        <v>42778</v>
      </c>
      <c r="C54" s="92">
        <v>0</v>
      </c>
      <c r="D54" s="94">
        <f>(Sheet1!BQ52-Sheet1!BQ51)*1.385</f>
        <v>-0.36010000000000214</v>
      </c>
      <c r="E54" s="30">
        <f>(Sheet1!BR52-Sheet1!BR51)*1.385</f>
        <v>-0.34625</v>
      </c>
      <c r="F54" s="30">
        <f ca="1">IF(B54=TODAY(),0,-(VLOOKUP(Sheet1!CD52,Lookup!$I$4:$J$216,2)-VLOOKUP(Sheet1!CD51,Lookup!$I$4:$J$216,2))/1000000)</f>
        <v>-0.20727387709559872</v>
      </c>
      <c r="G54" s="94">
        <f ca="1">IF(B54=TODAY(),0,-$G$6*(Sheet1!CF52-Sheet1!CF51)*7.48/1000000)</f>
        <v>0.43684851157815213</v>
      </c>
      <c r="H54" s="94">
        <f ca="1">IF(B54=TODAY(),0,-$H$6*(Sheet1!CE52-Sheet1!CE51)*7.48/1000000)</f>
        <v>0</v>
      </c>
      <c r="I54" s="94">
        <f ca="1">IF(B54=TODAY(),0,-$I$6*(Sheet1!CG52-Sheet1!CG51)*7.48/1000000)</f>
        <v>1.796995199999998E-2</v>
      </c>
      <c r="J54" s="95" t="s">
        <v>177</v>
      </c>
      <c r="K54" s="94">
        <f ca="1">IF(B54=TODAY(),0,-$K$6*(Sheet1!CH52-Sheet1!CH51)*7.48/1000000)</f>
        <v>2.9984941685062941E-2</v>
      </c>
      <c r="L54" s="95" t="s">
        <v>177</v>
      </c>
      <c r="M54" s="94">
        <f ca="1">IF(B54=TODAY(),0,-$M$6*(Sheet1!CI52-Sheet1!CI51)*7.48/1000000)</f>
        <v>8.9957542140135238E-2</v>
      </c>
      <c r="N54" s="94">
        <f ca="1">IF(B54=TODAY(),0,-$N$6*(Sheet1!CJ52-Sheet1!CJ51)*7.48/1000000)</f>
        <v>-0.11169422171032393</v>
      </c>
      <c r="O54" s="94">
        <f t="shared" ca="1" si="13"/>
        <v>0.25579284859742762</v>
      </c>
      <c r="P54" s="94">
        <f ca="1">O54+Calculation!ES54</f>
        <v>1.0866822786908874</v>
      </c>
      <c r="Q54" s="89" t="str">
        <f>IF(Sheet1!BQ52&gt;25.75,"spill elevation","-")</f>
        <v>-</v>
      </c>
      <c r="R54" s="89" t="str">
        <f>IF(Sheet1!BQ52&gt;25.75,"spill elevation","-")</f>
        <v>-</v>
      </c>
      <c r="S54" s="89" t="str">
        <f>IF(Sheet1!BR52&gt;25.75,"spill elevation","-")</f>
        <v>-</v>
      </c>
      <c r="T54" s="93">
        <f>IF(Sheet1!DU52=1,Sheet1!AA52-(SUM(AT54:BA54)+BE54),Sheet1!AA52-SUM(AT54:BA54))</f>
        <v>24.787103999999999</v>
      </c>
      <c r="U54" s="93">
        <f>Sheet1!BV52</f>
        <v>29.5</v>
      </c>
      <c r="V54" s="93">
        <f t="shared" si="14"/>
        <v>-4.7128960000000006</v>
      </c>
      <c r="W54" s="93">
        <f>0</f>
        <v>0</v>
      </c>
      <c r="X54" s="89">
        <f>0</f>
        <v>0</v>
      </c>
      <c r="Y54" s="94">
        <f ca="1">Calculation!EJ55+Calculation!ES54+'Calculations II'!O54-'Calculations II'!W54</f>
        <v>43.719575192689355</v>
      </c>
      <c r="Z54" s="94">
        <f ca="1">Y54-Sheet1!CT53</f>
        <v>28.417575192689355</v>
      </c>
      <c r="AA54" s="94">
        <f ca="1">Y54+Calculation!DJ55+Calculation!AS55</f>
        <v>54.184691471759123</v>
      </c>
      <c r="AC54" s="94">
        <f>Sheet1!AA52+Sheet1!AB52+BC54</f>
        <v>55.8</v>
      </c>
      <c r="AD54" s="94">
        <f>Sheet1!AA52+Sheet1!BN52+'Calculations II'!BC54-Calculation!AS54-Calculation!DJ54</f>
        <v>34.754605919521111</v>
      </c>
      <c r="AE54" s="94">
        <f>Sheet1!AA52+Sheet1!AB52+'Calculations II'!BC54-Calculation!AS54-Calculation!DJ54</f>
        <v>45.254605919521111</v>
      </c>
      <c r="AF54" s="94">
        <f ca="1">Sheet1!AA52+Sheet1!BN52+P54+'Calculations II'!BC54+Calculation!AS54+Calculation!DJ54</f>
        <v>56.93207635916977</v>
      </c>
      <c r="AG54" s="94">
        <f ca="1">IF(B54=TODAY(),0,Sheet1!AA52+Sheet1!BN52+'Calculations II'!BC54+'Calculations II'!P54-Sheet1!CT52-BP54)</f>
        <v>30.279682278690885</v>
      </c>
      <c r="AH54" s="94">
        <f ca="1">IF(B54=TODAY(),0,Sheet1!AA52+Sheet1!BN52+'Calculations II'!BC54+'Calculations II'!P54-BP54)</f>
        <v>46.386682278690884</v>
      </c>
      <c r="AI54" s="94">
        <f ca="1">IF(B54=TODAY(),0,BC54+Sheet1!AA52+Calculation!ES54+O54+W54+Sheet1!BN52+Calculation!AS54+Calculation!DJ54-BP54)</f>
        <v>56.93207635916977</v>
      </c>
      <c r="AJ54" s="94"/>
      <c r="AM54" s="90">
        <f t="shared" si="15"/>
        <v>42778</v>
      </c>
      <c r="AN54" s="94">
        <f>Sheet1!BU52</f>
        <v>24.2</v>
      </c>
      <c r="AO54" s="94">
        <f>Sheet1!AA52</f>
        <v>25.8</v>
      </c>
      <c r="AP54" s="94">
        <f t="shared" si="1"/>
        <v>-0.70635000000000214</v>
      </c>
      <c r="AQ54" s="1087">
        <f>((Sheet1!BV52-(Sheet1!BU52-AP54))/(Sheet1!BU52-AP54))</f>
        <v>0.18443690062975909</v>
      </c>
      <c r="AR54" s="94">
        <f t="shared" si="2"/>
        <v>26.506350000000001</v>
      </c>
      <c r="AS54" s="94">
        <f t="shared" si="3"/>
        <v>24.90635</v>
      </c>
      <c r="AT54" s="89">
        <f>Sheet1!BB52</f>
        <v>0</v>
      </c>
      <c r="AU54" s="89">
        <f>Sheet1!AS52*GPMtoMGD</f>
        <v>1.6416E-2</v>
      </c>
      <c r="AV54" s="94">
        <f>Sheet1!AT52</f>
        <v>0</v>
      </c>
      <c r="AW54" s="89">
        <f>Sheet1!AV52*GPMtoMGD</f>
        <v>0.47894400000000004</v>
      </c>
      <c r="AX54" s="89">
        <f>Sheet1!AW52*GPMtoMGD</f>
        <v>0.517536</v>
      </c>
      <c r="AY54" s="89">
        <f>Sheet1!AX52*GPMtoMGD</f>
        <v>0</v>
      </c>
      <c r="AZ54" s="89">
        <f>Sheet1!AY52*GPMtoMGD</f>
        <v>0</v>
      </c>
      <c r="BA54" s="89">
        <f>Sheet1!AZ52*GPMtoMGD</f>
        <v>0</v>
      </c>
      <c r="BB54" s="89">
        <f>Sheet1!BP52*GPMtoMGD</f>
        <v>2.8800000000000002E-3</v>
      </c>
      <c r="BC54" s="89">
        <f>Sheet1!CS52*GPMtoMGD</f>
        <v>0</v>
      </c>
      <c r="BD54" s="89">
        <f>Sheet1!BO52*GPMtoMGD</f>
        <v>1.4760000000000002</v>
      </c>
      <c r="BE54" s="89">
        <f>Sheet1!BW52*GPMtoMGD</f>
        <v>0.85608000000000006</v>
      </c>
      <c r="BF54" s="89">
        <f>Sheet1!CN52*GPMtoMGD</f>
        <v>0.98481600000000002</v>
      </c>
      <c r="BG54" s="89">
        <f>Sheet1!CO52*GPMtoMGD</f>
        <v>0.65721600000000002</v>
      </c>
      <c r="BH54" s="89">
        <f>Sheet1!CP52*GPMtoMGD</f>
        <v>0.54288000000000003</v>
      </c>
      <c r="BI54" s="89">
        <f t="shared" si="16"/>
        <v>1.4788800000000002</v>
      </c>
      <c r="BK54" s="94">
        <f>SUM(AT54:BA54,AS54,BC54,Calculation!AQ54)</f>
        <v>45.373851919521115</v>
      </c>
      <c r="BM54" s="358">
        <f>0</f>
        <v>0</v>
      </c>
      <c r="BN54" s="358">
        <f>0</f>
        <v>0</v>
      </c>
      <c r="BP54" s="94">
        <f>SUM(BM54:BN54,W54,Sheet1!DX52)</f>
        <v>0</v>
      </c>
      <c r="BR54" s="94">
        <f>Sheet1!AA52</f>
        <v>25.8</v>
      </c>
      <c r="BS54" s="94">
        <f>Sheet1!AB52</f>
        <v>30</v>
      </c>
      <c r="BT54" s="94">
        <f t="shared" ca="1" si="7"/>
        <v>1.0866822786908874</v>
      </c>
      <c r="BU54" s="94">
        <f>Sheet1!AT52</f>
        <v>0</v>
      </c>
      <c r="BV54" s="89">
        <f>Sheet1!BB52</f>
        <v>0</v>
      </c>
      <c r="BW54" s="94">
        <f>Calculation!ED54</f>
        <v>10.545394080478882</v>
      </c>
      <c r="BX54" s="94">
        <f>(Sheet1!CS52*1440)/1000000</f>
        <v>0</v>
      </c>
      <c r="CA54" s="94">
        <f ca="1">Sheet1!AC52-Sheet1!BK52-Sheet1!BL52-Sheet1!BM52-Sheet1!BC52-Sheet1!BD52-Sheet1!BE52-Sheet1!BF52-Sheet1!BG52-Sheet1!BH52-Sheet1!BI52+BC54+P54</f>
        <v>46.316682278690884</v>
      </c>
      <c r="CB54" s="93">
        <f t="shared" si="8"/>
        <v>70.00887535749915</v>
      </c>
      <c r="CC54" s="94">
        <f t="shared" si="9"/>
        <v>0</v>
      </c>
      <c r="CD54" s="94">
        <f t="shared" ca="1" si="10"/>
        <v>56.862076359169762</v>
      </c>
      <c r="CE54" s="1077">
        <f t="shared" ca="1" si="11"/>
        <v>87.965632127635615</v>
      </c>
      <c r="CG54" s="1077">
        <f t="shared" ca="1" si="12"/>
        <v>46.316682278690884</v>
      </c>
    </row>
    <row r="55" spans="1:85" s="89" customFormat="1" x14ac:dyDescent="0.25">
      <c r="A55" s="616" t="s">
        <v>4</v>
      </c>
      <c r="B55" s="91">
        <v>42779</v>
      </c>
      <c r="C55" s="92">
        <v>0</v>
      </c>
      <c r="D55" s="94">
        <f>(Sheet1!BQ53-Sheet1!BQ52)*1.385</f>
        <v>-1.2187999999999986</v>
      </c>
      <c r="E55" s="30">
        <f>(Sheet1!BR53-Sheet1!BR52)*1.385</f>
        <v>-1.2603500000000003</v>
      </c>
      <c r="F55" s="30">
        <f ca="1">IF(B55=TODAY(),0,-(VLOOKUP(Sheet1!CD53,Lookup!$I$4:$J$216,2)-VLOOKUP(Sheet1!CD52,Lookup!$I$4:$J$216,2))/1000000)</f>
        <v>-0.41454775419119744</v>
      </c>
      <c r="G55" s="94">
        <f ca="1">IF(B55=TODAY(),0,-$G$6*(Sheet1!CF53-Sheet1!CF52)*7.48/1000000)</f>
        <v>-0.95312402526142337</v>
      </c>
      <c r="H55" s="94">
        <f ca="1">IF(B55=TODAY(),0,-$H$6*(Sheet1!CE53-Sheet1!CE52)*7.48/1000000)</f>
        <v>-0.66173502345566293</v>
      </c>
      <c r="I55" s="94">
        <f ca="1">IF(B55=TODAY(),0,-$I$6*(Sheet1!CG53-Sheet1!CG52)*7.48/1000000)</f>
        <v>1.3477464000000033E-2</v>
      </c>
      <c r="J55" s="95" t="s">
        <v>177</v>
      </c>
      <c r="K55" s="94">
        <f ca="1">IF(B55=TODAY(),0,-$K$6*(Sheet1!CH53-Sheet1!CH52)*7.48/1000000)</f>
        <v>2.9984941685063063E-2</v>
      </c>
      <c r="L55" s="95" t="s">
        <v>177</v>
      </c>
      <c r="M55" s="94">
        <f ca="1">IF(B55=TODAY(),0,-$M$6*(Sheet1!CI53-Sheet1!CI52)*7.48/1000000)</f>
        <v>7.1966033712107941E-2</v>
      </c>
      <c r="N55" s="94">
        <f ca="1">IF(B55=TODAY(),0,-$N$6*(Sheet1!CJ53-Sheet1!CJ52)*7.48/1000000)</f>
        <v>-0.2233884434206457</v>
      </c>
      <c r="O55" s="94">
        <f t="shared" ca="1" si="13"/>
        <v>-2.1373668069317584</v>
      </c>
      <c r="P55" s="94">
        <f ca="1">O55+Calculation!ES55</f>
        <v>0.35460945472495053</v>
      </c>
      <c r="Q55" s="89" t="str">
        <f>IF(Sheet1!BQ53&gt;25.75,"spill elevation","-")</f>
        <v>-</v>
      </c>
      <c r="R55" s="89" t="str">
        <f>IF(Sheet1!BQ53&gt;25.75,"spill elevation","-")</f>
        <v>-</v>
      </c>
      <c r="S55" s="89" t="str">
        <f>IF(Sheet1!BR53&gt;25.75,"spill elevation","-")</f>
        <v>-</v>
      </c>
      <c r="T55" s="93">
        <f>IF(Sheet1!DU53=1,Sheet1!AA53-(SUM(AT55:BA55)+BE55),Sheet1!AA53-SUM(AT55:BA55))</f>
        <v>24.564624000000002</v>
      </c>
      <c r="U55" s="93">
        <f>Sheet1!BV53</f>
        <v>31.1</v>
      </c>
      <c r="V55" s="93">
        <f t="shared" si="14"/>
        <v>-6.5353759999999994</v>
      </c>
      <c r="W55" s="93">
        <f>0</f>
        <v>0</v>
      </c>
      <c r="X55" s="89">
        <f>0</f>
        <v>0</v>
      </c>
      <c r="Y55" s="94">
        <f ca="1">Calculation!EJ56+Calculation!ES55+'Calculations II'!O55-'Calculations II'!W55</f>
        <v>46.049946870733002</v>
      </c>
      <c r="Z55" s="94">
        <f ca="1">Y55-Sheet1!CT54</f>
        <v>30.076946870733003</v>
      </c>
      <c r="AA55" s="94">
        <f ca="1">Y55+Calculation!DJ56+Calculation!AS56</f>
        <v>56.58941442480954</v>
      </c>
      <c r="AC55" s="94">
        <f>Sheet1!AA53+Sheet1!AB53+BC55</f>
        <v>55.8</v>
      </c>
      <c r="AD55" s="94">
        <f>Sheet1!AA53+Sheet1!BN53+'Calculations II'!BC55-Calculation!AS55-Calculation!DJ55</f>
        <v>34.934883720930237</v>
      </c>
      <c r="AE55" s="94">
        <f>Sheet1!AA53+Sheet1!AB53+'Calculations II'!BC55-Calculation!AS55-Calculation!DJ55</f>
        <v>45.334883720930229</v>
      </c>
      <c r="AF55" s="94">
        <f ca="1">Sheet1!AA53+Sheet1!BN53+P55+'Calculations II'!BC55+Calculation!AS55+Calculation!DJ55</f>
        <v>56.219725733794725</v>
      </c>
      <c r="AG55" s="94">
        <f ca="1">IF(B55=TODAY(),0,Sheet1!AA53+Sheet1!BN53+'Calculations II'!BC55+'Calculations II'!P55-Sheet1!CT53-BP55)</f>
        <v>30.452609454724957</v>
      </c>
      <c r="AH55" s="94">
        <f ca="1">IF(B55=TODAY(),0,Sheet1!AA53+Sheet1!BN53+'Calculations II'!BC55+'Calculations II'!P55-BP55)</f>
        <v>45.754609454724957</v>
      </c>
      <c r="AI55" s="94">
        <f ca="1">IF(B55=TODAY(),0,BC55+Sheet1!AA53+Calculation!ES55+O55+W55+Sheet1!BN53+Calculation!AS55+Calculation!DJ55-BP55)</f>
        <v>56.219725733794725</v>
      </c>
      <c r="AJ55" s="94"/>
      <c r="AM55" s="90">
        <f t="shared" si="15"/>
        <v>42779</v>
      </c>
      <c r="AN55" s="94">
        <f>Sheet1!BU53</f>
        <v>24</v>
      </c>
      <c r="AO55" s="94">
        <f>Sheet1!AA53</f>
        <v>25.8</v>
      </c>
      <c r="AP55" s="94">
        <f t="shared" si="1"/>
        <v>-2.4791499999999989</v>
      </c>
      <c r="AQ55" s="1087">
        <f>((Sheet1!BV53-(Sheet1!BU53-AP55))/(Sheet1!BU53-AP55))</f>
        <v>0.17450900047773454</v>
      </c>
      <c r="AR55" s="94">
        <f t="shared" si="2"/>
        <v>28.279150000000001</v>
      </c>
      <c r="AS55" s="94">
        <f t="shared" si="3"/>
        <v>26.479149999999997</v>
      </c>
      <c r="AT55" s="89">
        <f>Sheet1!BB53</f>
        <v>0</v>
      </c>
      <c r="AU55" s="89">
        <f>Sheet1!AS53*GPMtoMGD</f>
        <v>3.0528E-2</v>
      </c>
      <c r="AV55" s="94">
        <f>Sheet1!AT53</f>
        <v>0</v>
      </c>
      <c r="AW55" s="89">
        <f>Sheet1!AV53*GPMtoMGD</f>
        <v>0.50184000000000006</v>
      </c>
      <c r="AX55" s="89">
        <f>Sheet1!AW53*GPMtoMGD</f>
        <v>0.70300800000000008</v>
      </c>
      <c r="AY55" s="89">
        <f>Sheet1!AX53*GPMtoMGD</f>
        <v>0</v>
      </c>
      <c r="AZ55" s="89">
        <f>Sheet1!AY53*GPMtoMGD</f>
        <v>0</v>
      </c>
      <c r="BA55" s="89">
        <f>Sheet1!AZ53*GPMtoMGD</f>
        <v>0</v>
      </c>
      <c r="BB55" s="89">
        <f>Sheet1!BP53*GPMtoMGD</f>
        <v>2.8800000000000002E-3</v>
      </c>
      <c r="BC55" s="89">
        <f>Sheet1!CS53*GPMtoMGD</f>
        <v>0</v>
      </c>
      <c r="BD55" s="89">
        <f>Sheet1!BO53*GPMtoMGD</f>
        <v>1.3318560000000002</v>
      </c>
      <c r="BE55" s="89">
        <f>Sheet1!BW53*GPMtoMGD</f>
        <v>0.8058240000000001</v>
      </c>
      <c r="BF55" s="89">
        <f>Sheet1!CN53*GPMtoMGD</f>
        <v>0.77443200000000001</v>
      </c>
      <c r="BG55" s="89">
        <f>Sheet1!CO53*GPMtoMGD</f>
        <v>0.60796800000000006</v>
      </c>
      <c r="BH55" s="89">
        <f>Sheet1!CP53*GPMtoMGD</f>
        <v>0.59256000000000009</v>
      </c>
      <c r="BI55" s="89">
        <f t="shared" si="16"/>
        <v>1.3347360000000001</v>
      </c>
      <c r="BK55" s="94">
        <f>SUM(AT55:BA55,AS55,BC55,Calculation!AQ55)</f>
        <v>47.249409720930231</v>
      </c>
      <c r="BM55" s="358">
        <f>0</f>
        <v>0</v>
      </c>
      <c r="BN55" s="358">
        <f>0</f>
        <v>0</v>
      </c>
      <c r="BP55" s="94">
        <f>SUM(BM55:BN55,W55,Sheet1!DX53)</f>
        <v>0</v>
      </c>
      <c r="BR55" s="94">
        <f>Sheet1!AA53</f>
        <v>25.8</v>
      </c>
      <c r="BS55" s="94">
        <f>Sheet1!AB53</f>
        <v>30</v>
      </c>
      <c r="BT55" s="94">
        <f t="shared" ca="1" si="7"/>
        <v>0.35460945472495053</v>
      </c>
      <c r="BU55" s="94">
        <f>Sheet1!AT53</f>
        <v>0</v>
      </c>
      <c r="BV55" s="89">
        <f>Sheet1!BB53</f>
        <v>0</v>
      </c>
      <c r="BW55" s="94">
        <f>Calculation!ED55</f>
        <v>10.465116279069768</v>
      </c>
      <c r="BX55" s="94">
        <f>(Sheet1!CS53*1440)/1000000</f>
        <v>0</v>
      </c>
      <c r="CA55" s="94">
        <f ca="1">Sheet1!AC53-Sheet1!BK53-Sheet1!BL53-Sheet1!BM53-Sheet1!BC53-Sheet1!BD53-Sheet1!BE53-Sheet1!BF53-Sheet1!BG53-Sheet1!BH53-Sheet1!BI53+BC55+P55</f>
        <v>45.654609454724941</v>
      </c>
      <c r="CB55" s="93">
        <f t="shared" si="8"/>
        <v>70.133065116279056</v>
      </c>
      <c r="CC55" s="94">
        <f t="shared" si="9"/>
        <v>0</v>
      </c>
      <c r="CD55" s="94">
        <f t="shared" ca="1" si="10"/>
        <v>56.119725733794709</v>
      </c>
      <c r="CE55" s="1077">
        <f t="shared" ca="1" si="11"/>
        <v>86.817215710180406</v>
      </c>
      <c r="CG55" s="1077">
        <f t="shared" ca="1" si="12"/>
        <v>45.654609454724941</v>
      </c>
    </row>
    <row r="56" spans="1:85" s="89" customFormat="1" x14ac:dyDescent="0.25">
      <c r="A56" s="616" t="s">
        <v>5</v>
      </c>
      <c r="B56" s="91">
        <v>42780</v>
      </c>
      <c r="C56" s="92">
        <v>0</v>
      </c>
      <c r="D56" s="94">
        <f>(Sheet1!BQ54-Sheet1!BQ53)*1.385</f>
        <v>0.31855000000000061</v>
      </c>
      <c r="E56" s="30">
        <f>(Sheet1!BR54-Sheet1!BR53)*1.385</f>
        <v>0.37394999999999939</v>
      </c>
      <c r="F56" s="30">
        <f ca="1">IF(B56=TODAY(),0,-(VLOOKUP(Sheet1!CD54,Lookup!$I$4:$J$216,2)-VLOOKUP(Sheet1!CD53,Lookup!$I$4:$J$216,2))/1000000)</f>
        <v>0.41454775419119744</v>
      </c>
      <c r="G56" s="94">
        <f ca="1">IF(B56=TODAY(),0,-$G$6*(Sheet1!CF54-Sheet1!CF53)*7.48/1000000)</f>
        <v>0.19856750526279648</v>
      </c>
      <c r="H56" s="94">
        <f ca="1">IF(B56=TODAY(),0,-$H$6*(Sheet1!CE54-Sheet1!CE53)*7.48/1000000)</f>
        <v>0</v>
      </c>
      <c r="I56" s="94">
        <f ca="1">IF(B56=TODAY(),0,-$I$6*(Sheet1!CG54-Sheet1!CG53)*7.48/1000000)</f>
        <v>1.796995199999998E-2</v>
      </c>
      <c r="J56" s="95" t="s">
        <v>177</v>
      </c>
      <c r="K56" s="94">
        <f ca="1">IF(B56=TODAY(),0,-$K$6*(Sheet1!CH54-Sheet1!CH53)*7.48/1000000)</f>
        <v>2.6653281497833796E-2</v>
      </c>
      <c r="L56" s="95" t="s">
        <v>177</v>
      </c>
      <c r="M56" s="94">
        <f ca="1">IF(B56=TODAY(),0,-$M$6*(Sheet1!CI54-Sheet1!CI53)*7.48/1000000)</f>
        <v>7.1966033712108565E-2</v>
      </c>
      <c r="N56" s="94">
        <f ca="1">IF(B56=TODAY(),0,-$N$6*(Sheet1!CJ54-Sheet1!CJ53)*7.48/1000000)</f>
        <v>0.2233884434206457</v>
      </c>
      <c r="O56" s="94">
        <f t="shared" ca="1" si="13"/>
        <v>0.95309297008458183</v>
      </c>
      <c r="P56" s="94">
        <f ca="1">O56+Calculation!ES56</f>
        <v>0.12254954632176118</v>
      </c>
      <c r="Q56" s="89" t="str">
        <f>IF(Sheet1!BQ54&gt;25.75,"spill elevation","-")</f>
        <v>-</v>
      </c>
      <c r="R56" s="89" t="str">
        <f>IF(Sheet1!BQ54&gt;25.75,"spill elevation","-")</f>
        <v>-</v>
      </c>
      <c r="S56" s="89" t="str">
        <f>IF(Sheet1!BR54&gt;25.75,"spill elevation","-")</f>
        <v>-</v>
      </c>
      <c r="T56" s="93">
        <f>IF(Sheet1!DU54=1,Sheet1!AA54-(SUM(AT56:BA56)+BE56),Sheet1!AA54-SUM(AT56:BA56))</f>
        <v>24.778288</v>
      </c>
      <c r="U56" s="93">
        <f>Sheet1!BV54</f>
        <v>27.6</v>
      </c>
      <c r="V56" s="93">
        <f t="shared" si="14"/>
        <v>-2.8217120000000016</v>
      </c>
      <c r="W56" s="93">
        <f>0</f>
        <v>0</v>
      </c>
      <c r="X56" s="89">
        <f>0</f>
        <v>0</v>
      </c>
      <c r="Y56" s="94">
        <f ca="1">Calculation!EJ57+Calculation!ES56+'Calculations II'!O56-'Calculations II'!W56</f>
        <v>46.786293301326609</v>
      </c>
      <c r="Z56" s="94">
        <f ca="1">Y56-Sheet1!CT55</f>
        <v>30.910293301326611</v>
      </c>
      <c r="AA56" s="94">
        <f ca="1">Y56+Calculation!DJ57+Calculation!AS57</f>
        <v>57.247921208303353</v>
      </c>
      <c r="AC56" s="94">
        <f>Sheet1!AA54+Sheet1!AB54+BC56</f>
        <v>55.86</v>
      </c>
      <c r="AD56" s="94">
        <f>Sheet1!AA54+Sheet1!BN54+'Calculations II'!BC56-Calculation!AS56-Calculation!DJ56</f>
        <v>34.800532445923466</v>
      </c>
      <c r="AE56" s="94">
        <f>Sheet1!AA54+Sheet1!AB54+'Calculations II'!BC56-Calculation!AS56-Calculation!DJ56</f>
        <v>45.320532445923462</v>
      </c>
      <c r="AF56" s="94">
        <f ca="1">Sheet1!AA54+Sheet1!BN54+P56+'Calculations II'!BC56+Calculation!AS56+Calculation!DJ56</f>
        <v>56.002017100398305</v>
      </c>
      <c r="AG56" s="94">
        <f ca="1">IF(B56=TODAY(),0,Sheet1!AA54+Sheet1!BN54+'Calculations II'!BC56+'Calculations II'!P56-Sheet1!CT54-BP56)</f>
        <v>29.489549546321769</v>
      </c>
      <c r="AH56" s="94">
        <f ca="1">IF(B56=TODAY(),0,Sheet1!AA54+Sheet1!BN54+'Calculations II'!BC56+'Calculations II'!P56-BP56)</f>
        <v>45.462549546321767</v>
      </c>
      <c r="AI56" s="94">
        <f ca="1">IF(B56=TODAY(),0,BC56+Sheet1!AA54+Calculation!ES56+O56+W56+Sheet1!BN54+Calculation!AS56+Calculation!DJ56-BP56)</f>
        <v>56.002017100398305</v>
      </c>
      <c r="AJ56" s="94"/>
      <c r="AM56" s="90">
        <f t="shared" si="15"/>
        <v>42780</v>
      </c>
      <c r="AN56" s="94">
        <f>Sheet1!BU54</f>
        <v>24.2</v>
      </c>
      <c r="AO56" s="94">
        <f>Sheet1!AA54</f>
        <v>25.84</v>
      </c>
      <c r="AP56" s="94">
        <f t="shared" si="1"/>
        <v>0.6925</v>
      </c>
      <c r="AQ56" s="1087">
        <f>((Sheet1!BV54-(Sheet1!BU54-AP56))/(Sheet1!BU54-AP56))</f>
        <v>0.17409337445496123</v>
      </c>
      <c r="AR56" s="94">
        <f t="shared" si="2"/>
        <v>25.147500000000001</v>
      </c>
      <c r="AS56" s="94">
        <f t="shared" si="3"/>
        <v>23.5075</v>
      </c>
      <c r="AT56" s="89">
        <f>Sheet1!BB54</f>
        <v>0</v>
      </c>
      <c r="AU56" s="89">
        <f>Sheet1!AS54*GPMtoMGD</f>
        <v>1.4976000000000001E-2</v>
      </c>
      <c r="AV56" s="94">
        <f>Sheet1!AT54</f>
        <v>0</v>
      </c>
      <c r="AW56" s="89">
        <f>Sheet1!AV54*GPMtoMGD</f>
        <v>0.51321600000000001</v>
      </c>
      <c r="AX56" s="89">
        <f>Sheet1!AW54*GPMtoMGD</f>
        <v>0.53351999999999999</v>
      </c>
      <c r="AY56" s="89">
        <f>Sheet1!AX54*GPMtoMGD</f>
        <v>0</v>
      </c>
      <c r="AZ56" s="89">
        <f>Sheet1!AY54*GPMtoMGD</f>
        <v>0</v>
      </c>
      <c r="BA56" s="89">
        <f>Sheet1!AZ54*GPMtoMGD</f>
        <v>0</v>
      </c>
      <c r="BB56" s="89">
        <f>Sheet1!BP54*GPMtoMGD</f>
        <v>2.8800000000000002E-3</v>
      </c>
      <c r="BC56" s="89">
        <f>Sheet1!CS54*GPMtoMGD</f>
        <v>0</v>
      </c>
      <c r="BD56" s="89">
        <f>Sheet1!BO54*GPMtoMGD</f>
        <v>1.2765600000000001</v>
      </c>
      <c r="BE56" s="89">
        <f>Sheet1!BW54*GPMtoMGD</f>
        <v>0.57268799999999997</v>
      </c>
      <c r="BF56" s="89">
        <f>Sheet1!CN54*GPMtoMGD</f>
        <v>0.82713599999999998</v>
      </c>
      <c r="BG56" s="89">
        <f>Sheet1!CO54*GPMtoMGD</f>
        <v>0.61790400000000012</v>
      </c>
      <c r="BH56" s="89">
        <f>Sheet1!CP54*GPMtoMGD</f>
        <v>0.63374400000000009</v>
      </c>
      <c r="BI56" s="89">
        <f t="shared" si="16"/>
        <v>1.2794400000000001</v>
      </c>
      <c r="BK56" s="94">
        <f>SUM(AT56:BA56,AS56,BC56,Calculation!AQ56)</f>
        <v>44.049744445923466</v>
      </c>
      <c r="BM56" s="358">
        <f>0</f>
        <v>0</v>
      </c>
      <c r="BN56" s="358">
        <f>0</f>
        <v>0</v>
      </c>
      <c r="BP56" s="94">
        <f>SUM(BM56:BN56,W56,Sheet1!DX54)</f>
        <v>0</v>
      </c>
      <c r="BR56" s="94">
        <f>Sheet1!AA54</f>
        <v>25.84</v>
      </c>
      <c r="BS56" s="94">
        <f>Sheet1!AB54</f>
        <v>30.02</v>
      </c>
      <c r="BT56" s="94">
        <f t="shared" ca="1" si="7"/>
        <v>0.12254954632176118</v>
      </c>
      <c r="BU56" s="94">
        <f>Sheet1!AT54</f>
        <v>0</v>
      </c>
      <c r="BV56" s="89">
        <f>Sheet1!BB54</f>
        <v>0</v>
      </c>
      <c r="BW56" s="94">
        <f>Calculation!ED56</f>
        <v>10.539467554076539</v>
      </c>
      <c r="BX56" s="94">
        <f>(Sheet1!CS54*1440)/1000000</f>
        <v>0</v>
      </c>
      <c r="CA56" s="94">
        <f ca="1">Sheet1!AC54-Sheet1!BK54-Sheet1!BL54-Sheet1!BM54-Sheet1!BC54-Sheet1!BD54-Sheet1!BE54-Sheet1!BF54-Sheet1!BG54-Sheet1!BH54-Sheet1!BI54+BC56+P56</f>
        <v>45.432549546321766</v>
      </c>
      <c r="CB56" s="93">
        <f t="shared" si="8"/>
        <v>70.110863693843598</v>
      </c>
      <c r="CC56" s="94">
        <f t="shared" si="9"/>
        <v>0</v>
      </c>
      <c r="CD56" s="94">
        <f t="shared" ca="1" si="10"/>
        <v>55.972017100398304</v>
      </c>
      <c r="CE56" s="1077">
        <f t="shared" ca="1" si="11"/>
        <v>86.588710454316171</v>
      </c>
      <c r="CG56" s="1077">
        <f t="shared" ca="1" si="12"/>
        <v>45.432549546321766</v>
      </c>
    </row>
    <row r="57" spans="1:85" s="89" customFormat="1" x14ac:dyDescent="0.25">
      <c r="A57" s="616" t="s">
        <v>6</v>
      </c>
      <c r="B57" s="91">
        <v>42781</v>
      </c>
      <c r="C57" s="92">
        <v>0</v>
      </c>
      <c r="D57" s="94">
        <f>(Sheet1!BQ55-Sheet1!BQ54)*1.385</f>
        <v>0.48474999999999707</v>
      </c>
      <c r="E57" s="30">
        <f>(Sheet1!BR55-Sheet1!BR54)*1.385</f>
        <v>0.5124500000000014</v>
      </c>
      <c r="F57" s="30">
        <f ca="1">IF(B57=TODAY(),0,-(VLOOKUP(Sheet1!CD55,Lookup!$I$4:$J$216,2)-VLOOKUP(Sheet1!CD54,Lookup!$I$4:$J$216,2))/1000000)</f>
        <v>-0.31091081564339806</v>
      </c>
      <c r="G57" s="94">
        <f ca="1">IF(B57=TODAY(),0,-$G$6*(Sheet1!CF55-Sheet1!CF54)*7.48/1000000)</f>
        <v>0.39713501052559297</v>
      </c>
      <c r="H57" s="94">
        <f ca="1">IF(B57=TODAY(),0,-$H$6*(Sheet1!CE55-Sheet1!CE54)*7.48/1000000)</f>
        <v>4.5118297053795817E-2</v>
      </c>
      <c r="I57" s="94">
        <f ca="1">IF(B57=TODAY(),0,-$I$6*(Sheet1!CG55-Sheet1!CG54)*7.48/1000000)</f>
        <v>1.7969952000000015E-2</v>
      </c>
      <c r="J57" s="95" t="s">
        <v>177</v>
      </c>
      <c r="K57" s="94">
        <f ca="1">IF(B57=TODAY(),0,-$K$6*(Sheet1!CH55-Sheet1!CH54)*7.48/1000000)</f>
        <v>2.6653281497833674E-2</v>
      </c>
      <c r="L57" s="95" t="s">
        <v>177</v>
      </c>
      <c r="M57" s="94">
        <f ca="1">IF(B57=TODAY(),0,-$M$6*(Sheet1!CI55-Sheet1!CI54)*7.48/1000000)</f>
        <v>8.9957542140135238E-2</v>
      </c>
      <c r="N57" s="94">
        <f ca="1">IF(B57=TODAY(),0,-$N$6*(Sheet1!CJ55-Sheet1!CJ54)*7.48/1000000)</f>
        <v>0.14272039440763523</v>
      </c>
      <c r="O57" s="94">
        <f t="shared" ca="1" si="13"/>
        <v>0.40864366198159485</v>
      </c>
      <c r="P57" s="94">
        <f ca="1">O57+Calculation!ES57</f>
        <v>-0.42201508924358611</v>
      </c>
      <c r="Q57" s="89" t="str">
        <f>IF(Sheet1!BQ55&gt;25.75,"spill elevation","-")</f>
        <v>-</v>
      </c>
      <c r="R57" s="89" t="str">
        <f>IF(Sheet1!BQ55&gt;25.75,"spill elevation","-")</f>
        <v>-</v>
      </c>
      <c r="S57" s="89" t="str">
        <f>IF(Sheet1!BR55&gt;25.75,"spill elevation","-")</f>
        <v>-</v>
      </c>
      <c r="T57" s="93">
        <f>IF(Sheet1!DU55=1,Sheet1!AA55-(SUM(AT57:BA57)+BE57),Sheet1!AA55-SUM(AT57:BA57))</f>
        <v>23.633271999999998</v>
      </c>
      <c r="U57" s="93">
        <f>Sheet1!BV55</f>
        <v>27.8</v>
      </c>
      <c r="V57" s="93">
        <f t="shared" si="14"/>
        <v>-4.1667280000000027</v>
      </c>
      <c r="W57" s="93">
        <f>0</f>
        <v>0</v>
      </c>
      <c r="X57" s="89">
        <f>0</f>
        <v>0</v>
      </c>
      <c r="Y57" s="94">
        <f ca="1">Calculation!EJ58+Calculation!ES57+'Calculations II'!O57-'Calculations II'!W57</f>
        <v>45.1113784120774</v>
      </c>
      <c r="Z57" s="94">
        <f ca="1">Y57-Sheet1!CT56</f>
        <v>29.2333784120774</v>
      </c>
      <c r="AA57" s="94">
        <f ca="1">Y57+Calculation!DJ58+Calculation!AS58</f>
        <v>55.563506071651872</v>
      </c>
      <c r="AC57" s="94">
        <f>Sheet1!AA55+Sheet1!AB55+BC57</f>
        <v>55.849999999999994</v>
      </c>
      <c r="AD57" s="94">
        <f>Sheet1!AA55+Sheet1!BN55+'Calculations II'!BC57-Calculation!AS57-Calculation!DJ57</f>
        <v>34.998372093023256</v>
      </c>
      <c r="AE57" s="94">
        <f>Sheet1!AA55+Sheet1!AB55+'Calculations II'!BC57-Calculation!AS57-Calculation!DJ57</f>
        <v>45.38837209302325</v>
      </c>
      <c r="AF57" s="94">
        <f ca="1">Sheet1!AA55+Sheet1!BN55+P57+'Calculations II'!BC57+Calculation!AS57+Calculation!DJ57</f>
        <v>55.499612817733158</v>
      </c>
      <c r="AG57" s="94">
        <f ca="1">IF(B57=TODAY(),0,Sheet1!AA55+Sheet1!BN55+'Calculations II'!BC57+'Calculations II'!P57-Sheet1!CT55-BP57)</f>
        <v>29.161984910756416</v>
      </c>
      <c r="AH57" s="94">
        <f ca="1">IF(B57=TODAY(),0,Sheet1!AA55+Sheet1!BN55+'Calculations II'!BC57+'Calculations II'!P57-BP57)</f>
        <v>45.037984910756414</v>
      </c>
      <c r="AI57" s="94">
        <f ca="1">IF(B57=TODAY(),0,BC57+Sheet1!AA55+Calculation!ES57+O57+W57+Sheet1!BN55+Calculation!AS57+Calculation!DJ57-BP57)</f>
        <v>55.499612817733166</v>
      </c>
      <c r="AJ57" s="94"/>
      <c r="AM57" s="90">
        <f t="shared" si="15"/>
        <v>42781</v>
      </c>
      <c r="AN57" s="94">
        <f>Sheet1!BU55</f>
        <v>24.5</v>
      </c>
      <c r="AO57" s="94">
        <f>Sheet1!AA55</f>
        <v>25.86</v>
      </c>
      <c r="AP57" s="94">
        <f t="shared" si="1"/>
        <v>0.99719999999999853</v>
      </c>
      <c r="AQ57" s="1087">
        <f>((Sheet1!BV55-(Sheet1!BU55-AP57))/(Sheet1!BU55-AP57))</f>
        <v>0.18283778953996971</v>
      </c>
      <c r="AR57" s="94">
        <f t="shared" si="2"/>
        <v>24.8628</v>
      </c>
      <c r="AS57" s="94">
        <f t="shared" si="3"/>
        <v>23.502800000000001</v>
      </c>
      <c r="AT57" s="89">
        <f>Sheet1!BB55</f>
        <v>0</v>
      </c>
      <c r="AU57" s="89">
        <f>Sheet1!AS55*GPMtoMGD</f>
        <v>3.1248000000000001E-2</v>
      </c>
      <c r="AV57" s="94">
        <f>Sheet1!AT55</f>
        <v>1.5409999999999999</v>
      </c>
      <c r="AW57" s="89">
        <f>Sheet1!AV55*GPMtoMGD</f>
        <v>0.24465600000000001</v>
      </c>
      <c r="AX57" s="89">
        <f>Sheet1!AW55*GPMtoMGD</f>
        <v>0.40982400000000008</v>
      </c>
      <c r="AY57" s="89">
        <f>Sheet1!AX55*GPMtoMGD</f>
        <v>0</v>
      </c>
      <c r="AZ57" s="89">
        <f>Sheet1!AY55*GPMtoMGD</f>
        <v>0</v>
      </c>
      <c r="BA57" s="89">
        <f>Sheet1!AZ55*GPMtoMGD</f>
        <v>0</v>
      </c>
      <c r="BB57" s="89">
        <f>Sheet1!BP55*GPMtoMGD</f>
        <v>2.8800000000000002E-3</v>
      </c>
      <c r="BC57" s="89">
        <f>Sheet1!CS55*GPMtoMGD</f>
        <v>0</v>
      </c>
      <c r="BD57" s="89">
        <f>Sheet1!BO55*GPMtoMGD</f>
        <v>1.2602880000000001</v>
      </c>
      <c r="BE57" s="89">
        <f>Sheet1!BW55*GPMtoMGD</f>
        <v>0.79977600000000004</v>
      </c>
      <c r="BF57" s="89">
        <f>Sheet1!CN55*GPMtoMGD</f>
        <v>0.929952</v>
      </c>
      <c r="BG57" s="89">
        <f>Sheet1!CO55*GPMtoMGD</f>
        <v>0.58982400000000001</v>
      </c>
      <c r="BH57" s="89">
        <f>Sheet1!CP55*GPMtoMGD</f>
        <v>0.62956800000000002</v>
      </c>
      <c r="BI57" s="89">
        <f t="shared" si="16"/>
        <v>1.2631680000000001</v>
      </c>
      <c r="BK57" s="94">
        <f>SUM(AT57:BA57,AS57,BC57,Calculation!AQ57)</f>
        <v>45.257900093023252</v>
      </c>
      <c r="BM57" s="358">
        <f>0</f>
        <v>0</v>
      </c>
      <c r="BN57" s="358">
        <f>0</f>
        <v>0</v>
      </c>
      <c r="BP57" s="94">
        <f>SUM(BM57:BN57,W57,Sheet1!DX55)</f>
        <v>0</v>
      </c>
      <c r="BR57" s="94">
        <f>Sheet1!AA55</f>
        <v>25.86</v>
      </c>
      <c r="BS57" s="94">
        <f>Sheet1!AB55</f>
        <v>29.99</v>
      </c>
      <c r="BT57" s="94">
        <f t="shared" ca="1" si="7"/>
        <v>-0.42201508924358611</v>
      </c>
      <c r="BU57" s="94">
        <f>Sheet1!AT55</f>
        <v>1.5409999999999999</v>
      </c>
      <c r="BV57" s="89">
        <f>Sheet1!BB55</f>
        <v>0</v>
      </c>
      <c r="BW57" s="94">
        <f>Calculation!ED57</f>
        <v>10.461627906976743</v>
      </c>
      <c r="BX57" s="94">
        <f>(Sheet1!CS55*1440)/1000000</f>
        <v>0</v>
      </c>
      <c r="CA57" s="94">
        <f ca="1">Sheet1!AC55-Sheet1!BK55-Sheet1!BL55-Sheet1!BM55-Sheet1!BC55-Sheet1!BD55-Sheet1!BE55-Sheet1!BF55-Sheet1!BG55-Sheet1!BH55-Sheet1!BI55+BC57+P57</f>
        <v>44.9279849107564</v>
      </c>
      <c r="CB57" s="93">
        <f t="shared" si="8"/>
        <v>70.215811627906959</v>
      </c>
      <c r="CC57" s="94">
        <f t="shared" si="9"/>
        <v>1.5409999999999999</v>
      </c>
      <c r="CD57" s="94">
        <f t="shared" ca="1" si="10"/>
        <v>55.389612817733145</v>
      </c>
      <c r="CE57" s="1077">
        <f t="shared" ca="1" si="11"/>
        <v>85.687731029033174</v>
      </c>
      <c r="CG57" s="1077">
        <f t="shared" ca="1" si="12"/>
        <v>43.386984910756404</v>
      </c>
    </row>
    <row r="58" spans="1:85" s="89" customFormat="1" x14ac:dyDescent="0.25">
      <c r="A58" s="616" t="s">
        <v>7</v>
      </c>
      <c r="B58" s="91">
        <v>42782</v>
      </c>
      <c r="C58" s="92">
        <v>0</v>
      </c>
      <c r="D58" s="94">
        <f>(Sheet1!BQ56-Sheet1!BQ55)*1.385</f>
        <v>4.1550000000001572E-2</v>
      </c>
      <c r="E58" s="30">
        <f>(Sheet1!BR56-Sheet1!BR55)*1.385</f>
        <v>-1.3850000000002164E-2</v>
      </c>
      <c r="F58" s="30">
        <f ca="1">IF(B58=TODAY(),0,-(VLOOKUP(Sheet1!CD56,Lookup!$I$4:$J$216,2)-VLOOKUP(Sheet1!CD55,Lookup!$I$4:$J$216,2))/1000000)</f>
        <v>0.20727387709559872</v>
      </c>
      <c r="G58" s="94">
        <f ca="1">IF(B58=TODAY(),0,-$G$6*(Sheet1!CF56-Sheet1!CF55)*7.48/1000000)</f>
        <v>0.3574215094730338</v>
      </c>
      <c r="H58" s="94">
        <f ca="1">IF(B58=TODAY(),0,-$H$6*(Sheet1!CE56-Sheet1!CE55)*7.48/1000000)</f>
        <v>3.0078864702529479E-2</v>
      </c>
      <c r="I58" s="94">
        <f ca="1">IF(B58=TODAY(),0,-$I$6*(Sheet1!CG56-Sheet1!CG55)*7.48/1000000)</f>
        <v>1.796995199999998E-2</v>
      </c>
      <c r="J58" s="95" t="s">
        <v>177</v>
      </c>
      <c r="K58" s="94">
        <f ca="1">IF(B58=TODAY(),0,-$K$6*(Sheet1!CH56-Sheet1!CH55)*7.48/1000000)</f>
        <v>3.3316601872292212E-2</v>
      </c>
      <c r="L58" s="95" t="s">
        <v>177</v>
      </c>
      <c r="M58" s="94">
        <f ca="1">IF(B58=TODAY(),0,-$M$6*(Sheet1!CI56-Sheet1!CI55)*7.48/1000000)</f>
        <v>7.1966033712107941E-2</v>
      </c>
      <c r="N58" s="94">
        <f ca="1">IF(B58=TODAY(),0,-$N$6*(Sheet1!CJ56-Sheet1!CJ55)*7.48/1000000)</f>
        <v>-0.22959367796010793</v>
      </c>
      <c r="O58" s="94">
        <f t="shared" ca="1" si="13"/>
        <v>0.48843316089545419</v>
      </c>
      <c r="P58" s="94">
        <f ca="1">O58+Calculation!ES58</f>
        <v>0.48843316089545419</v>
      </c>
      <c r="Q58" s="89" t="str">
        <f>IF(Sheet1!BQ56&gt;25.75,"spill elevation","-")</f>
        <v>-</v>
      </c>
      <c r="R58" s="89" t="str">
        <f>IF(Sheet1!BQ56&gt;25.75,"spill elevation","-")</f>
        <v>-</v>
      </c>
      <c r="S58" s="89" t="str">
        <f>IF(Sheet1!BR56&gt;25.75,"spill elevation","-")</f>
        <v>-</v>
      </c>
      <c r="T58" s="93">
        <f>IF(Sheet1!DU56=1,Sheet1!AA56-(SUM(AT58:BA58)+BE58),Sheet1!AA56-SUM(AT58:BA58))</f>
        <v>24.502911999999998</v>
      </c>
      <c r="U58" s="93">
        <f>Sheet1!BV56</f>
        <v>28.4</v>
      </c>
      <c r="V58" s="93">
        <f t="shared" si="14"/>
        <v>-3.8970880000000001</v>
      </c>
      <c r="W58" s="93">
        <f>0</f>
        <v>0</v>
      </c>
      <c r="X58" s="89">
        <f>0</f>
        <v>0</v>
      </c>
      <c r="Y58" s="94">
        <f ca="1">Calculation!EJ59+Calculation!ES58+'Calculations II'!O58-'Calculations II'!W58</f>
        <v>44.212308973939933</v>
      </c>
      <c r="Z58" s="94">
        <f ca="1">Y58-Sheet1!CT57</f>
        <v>27.913308973939934</v>
      </c>
      <c r="AA58" s="94">
        <f ca="1">Y58+Calculation!DJ59+Calculation!AS59</f>
        <v>54.523682435862113</v>
      </c>
      <c r="AC58" s="94">
        <f>Sheet1!AA56+Sheet1!AB56+BC58</f>
        <v>55.9</v>
      </c>
      <c r="AD58" s="94">
        <f>Sheet1!AA56+Sheet1!BN56+'Calculations II'!BC58-Calculation!AS58-Calculation!DJ58</f>
        <v>35.047872340425528</v>
      </c>
      <c r="AE58" s="94">
        <f>Sheet1!AA56+Sheet1!AB56+'Calculations II'!BC58-Calculation!AS58-Calculation!DJ58</f>
        <v>45.447872340425533</v>
      </c>
      <c r="AF58" s="94">
        <f ca="1">Sheet1!AA56+Sheet1!BN56+P58+'Calculations II'!BC58+Calculation!AS58+Calculation!DJ58</f>
        <v>56.440560820469926</v>
      </c>
      <c r="AG58" s="94">
        <f ca="1">IF(B58=TODAY(),0,Sheet1!AA56+Sheet1!BN56+'Calculations II'!BC58+'Calculations II'!P58-Sheet1!CT56-BP58)</f>
        <v>30.110433160895454</v>
      </c>
      <c r="AH58" s="94">
        <f ca="1">IF(B58=TODAY(),0,Sheet1!AA56+Sheet1!BN56+'Calculations II'!BC58+'Calculations II'!P58-BP58)</f>
        <v>45.988433160895454</v>
      </c>
      <c r="AI58" s="94">
        <f ca="1">IF(B58=TODAY(),0,BC58+Sheet1!AA56+Calculation!ES58+O58+W58+Sheet1!BN56+Calculation!AS58+Calculation!DJ58-BP58)</f>
        <v>56.440560820469926</v>
      </c>
      <c r="AJ58" s="94"/>
      <c r="AM58" s="90">
        <f t="shared" si="15"/>
        <v>42782</v>
      </c>
      <c r="AN58" s="94">
        <f>Sheet1!BU56</f>
        <v>24.1</v>
      </c>
      <c r="AO58" s="94">
        <f>Sheet1!AA56</f>
        <v>25.9</v>
      </c>
      <c r="AP58" s="94">
        <f t="shared" si="1"/>
        <v>2.7699999999999406E-2</v>
      </c>
      <c r="AQ58" s="1087">
        <f>((Sheet1!BV56-(Sheet1!BU56-AP58))/(Sheet1!BU56-AP58))</f>
        <v>0.17977924834768577</v>
      </c>
      <c r="AR58" s="94">
        <f t="shared" si="2"/>
        <v>25.872299999999999</v>
      </c>
      <c r="AS58" s="94">
        <f t="shared" si="3"/>
        <v>24.072300000000002</v>
      </c>
      <c r="AT58" s="89">
        <f>Sheet1!BB56</f>
        <v>0</v>
      </c>
      <c r="AU58" s="89">
        <f>Sheet1!AS56*GPMtoMGD</f>
        <v>1.5408E-2</v>
      </c>
      <c r="AV58" s="94">
        <f>Sheet1!AT56</f>
        <v>0</v>
      </c>
      <c r="AW58" s="89">
        <f>Sheet1!AV56*GPMtoMGD</f>
        <v>0.66456000000000004</v>
      </c>
      <c r="AX58" s="89">
        <f>Sheet1!AW56*GPMtoMGD</f>
        <v>0.71712000000000009</v>
      </c>
      <c r="AY58" s="89">
        <f>Sheet1!AX56*GPMtoMGD</f>
        <v>0</v>
      </c>
      <c r="AZ58" s="89">
        <f>Sheet1!AY56*GPMtoMGD</f>
        <v>0</v>
      </c>
      <c r="BA58" s="89">
        <f>Sheet1!AZ56*GPMtoMGD</f>
        <v>0</v>
      </c>
      <c r="BB58" s="89">
        <f>Sheet1!BP56*GPMtoMGD</f>
        <v>2.8800000000000002E-3</v>
      </c>
      <c r="BC58" s="89">
        <f>Sheet1!CS56*GPMtoMGD</f>
        <v>0</v>
      </c>
      <c r="BD58" s="89">
        <f>Sheet1!BO56*GPMtoMGD</f>
        <v>1.2998880000000002</v>
      </c>
      <c r="BE58" s="89">
        <f>Sheet1!BW56*GPMtoMGD</f>
        <v>0.81806400000000012</v>
      </c>
      <c r="BF58" s="89">
        <f>Sheet1!CN56*GPMtoMGD</f>
        <v>0.85161600000000004</v>
      </c>
      <c r="BG58" s="89">
        <f>Sheet1!CO56*GPMtoMGD</f>
        <v>0.60033599999999998</v>
      </c>
      <c r="BH58" s="89">
        <f>Sheet1!CP56*GPMtoMGD</f>
        <v>0.6265440000000001</v>
      </c>
      <c r="BI58" s="89">
        <f t="shared" si="16"/>
        <v>1.3027680000000001</v>
      </c>
      <c r="BK58" s="94">
        <f>SUM(AT58:BA58,AS58,BC58,Calculation!AQ58)</f>
        <v>45.017260340425537</v>
      </c>
      <c r="BM58" s="358">
        <f>0</f>
        <v>0</v>
      </c>
      <c r="BN58" s="358">
        <f>0</f>
        <v>0</v>
      </c>
      <c r="BP58" s="94">
        <f>SUM(BM58:BN58,W58,Sheet1!DX56)</f>
        <v>0</v>
      </c>
      <c r="BR58" s="94">
        <f>Sheet1!AA56</f>
        <v>25.9</v>
      </c>
      <c r="BS58" s="94">
        <f>Sheet1!AB56</f>
        <v>30</v>
      </c>
      <c r="BT58" s="94">
        <f t="shared" ca="1" si="7"/>
        <v>0.48843316089545419</v>
      </c>
      <c r="BU58" s="94">
        <f>Sheet1!AT56</f>
        <v>0</v>
      </c>
      <c r="BV58" s="89">
        <f>Sheet1!BB56</f>
        <v>0</v>
      </c>
      <c r="BW58" s="94">
        <f>Calculation!ED58</f>
        <v>10.452127659574469</v>
      </c>
      <c r="BX58" s="94">
        <f>(Sheet1!CS56*1440)/1000000</f>
        <v>0</v>
      </c>
      <c r="CA58" s="94">
        <f ca="1">Sheet1!AC56-Sheet1!BK56-Sheet1!BL56-Sheet1!BM56-Sheet1!BC56-Sheet1!BD56-Sheet1!BE56-Sheet1!BF56-Sheet1!BG56-Sheet1!BH56-Sheet1!BI56+BC58+P58</f>
        <v>45.908433160895456</v>
      </c>
      <c r="CB58" s="93">
        <f t="shared" si="8"/>
        <v>70.307858510638297</v>
      </c>
      <c r="CC58" s="94">
        <f t="shared" si="9"/>
        <v>0</v>
      </c>
      <c r="CD58" s="94">
        <f t="shared" ca="1" si="10"/>
        <v>56.360560820469928</v>
      </c>
      <c r="CE58" s="1077">
        <f t="shared" ca="1" si="11"/>
        <v>87.18978758926697</v>
      </c>
      <c r="CG58" s="1077">
        <f t="shared" ca="1" si="12"/>
        <v>45.908433160895456</v>
      </c>
    </row>
    <row r="59" spans="1:85" s="89" customFormat="1" x14ac:dyDescent="0.25">
      <c r="A59" s="616" t="s">
        <v>8</v>
      </c>
      <c r="B59" s="91">
        <v>42783</v>
      </c>
      <c r="C59" s="92">
        <v>0</v>
      </c>
      <c r="D59" s="94">
        <f>(Sheet1!BQ57-Sheet1!BQ56)*1.385</f>
        <v>-0.49859999999999921</v>
      </c>
      <c r="E59" s="30">
        <f>(Sheet1!BR57-Sheet1!BR56)*1.385</f>
        <v>-0.49859999999999921</v>
      </c>
      <c r="F59" s="30">
        <f ca="1">IF(B59=TODAY(),0,-(VLOOKUP(Sheet1!CD57,Lookup!$I$4:$J$216,2)-VLOOKUP(Sheet1!CD56,Lookup!$I$4:$J$216,2))/1000000)</f>
        <v>0</v>
      </c>
      <c r="G59" s="94">
        <f ca="1">IF(B59=TODAY(),0,-$G$6*(Sheet1!CF57-Sheet1!CF56)*7.48/1000000)</f>
        <v>-1.2311185326293381</v>
      </c>
      <c r="H59" s="94">
        <f ca="1">IF(B59=TODAY(),0,-$H$6*(Sheet1!CE57-Sheet1!CE56)*7.48/1000000)</f>
        <v>-9.0236594107583092E-3</v>
      </c>
      <c r="I59" s="94">
        <f ca="1">IF(B59=TODAY(),0,-$I$6*(Sheet1!CG57-Sheet1!CG56)*7.48/1000000)</f>
        <v>4.4924880000000236E-3</v>
      </c>
      <c r="J59" s="95" t="s">
        <v>177</v>
      </c>
      <c r="K59" s="94">
        <f ca="1">IF(B59=TODAY(),0,-$K$6*(Sheet1!CH57-Sheet1!CH56)*7.48/1000000)</f>
        <v>6.6633203744585374E-3</v>
      </c>
      <c r="L59" s="95" t="s">
        <v>177</v>
      </c>
      <c r="M59" s="94">
        <f ca="1">IF(B59=TODAY(),0,-$M$6*(Sheet1!CI57-Sheet1!CI56)*7.48/1000000)</f>
        <v>3.5983016856054283E-2</v>
      </c>
      <c r="N59" s="94">
        <f ca="1">IF(B59=TODAY(),0,-$N$6*(Sheet1!CJ57-Sheet1!CJ56)*7.48/1000000)</f>
        <v>4.3436641776236899E-2</v>
      </c>
      <c r="O59" s="94">
        <f t="shared" ca="1" si="13"/>
        <v>-1.1495667250333463</v>
      </c>
      <c r="P59" s="94">
        <f ca="1">O59+Calculation!ES59</f>
        <v>-0.31890797380816538</v>
      </c>
      <c r="Q59" s="89" t="str">
        <f>IF(Sheet1!BQ57&gt;25.75,"spill elevation","-")</f>
        <v>-</v>
      </c>
      <c r="R59" s="89" t="str">
        <f>IF(Sheet1!BQ57&gt;25.75,"spill elevation","-")</f>
        <v>-</v>
      </c>
      <c r="S59" s="89" t="str">
        <f>IF(Sheet1!BR57&gt;25.75,"spill elevation","-")</f>
        <v>-</v>
      </c>
      <c r="T59" s="93">
        <f>IF(Sheet1!DU57=1,Sheet1!AA57-(SUM(AT59:BA59)+BE59),Sheet1!AA57-SUM(AT59:BA59))</f>
        <v>24.815184000000002</v>
      </c>
      <c r="U59" s="93">
        <f>Sheet1!BV57</f>
        <v>29.8</v>
      </c>
      <c r="V59" s="93">
        <f t="shared" si="14"/>
        <v>-4.9848159999999986</v>
      </c>
      <c r="W59" s="93">
        <f>0</f>
        <v>0</v>
      </c>
      <c r="X59" s="89">
        <f>0</f>
        <v>0</v>
      </c>
      <c r="Y59" s="94">
        <f ca="1">Calculation!EJ60+Calculation!ES59+'Calculations II'!O59-'Calculations II'!W59</f>
        <v>43.267030419777541</v>
      </c>
      <c r="Z59" s="94">
        <f ca="1">Y59-Sheet1!CT58</f>
        <v>27.77803041977754</v>
      </c>
      <c r="AA59" s="94">
        <f ca="1">Y59+Calculation!DJ60+Calculation!AS60</f>
        <v>54.073428287155082</v>
      </c>
      <c r="AC59" s="94">
        <f>Sheet1!AA57+Sheet1!AB57+BC59</f>
        <v>55.7</v>
      </c>
      <c r="AD59" s="94">
        <f>Sheet1!AA57+Sheet1!BN57+'Calculations II'!BC59-Calculation!AS59-Calculation!DJ59</f>
        <v>35.18862653807782</v>
      </c>
      <c r="AE59" s="94">
        <f>Sheet1!AA57+Sheet1!AB57+'Calculations II'!BC59-Calculation!AS59-Calculation!DJ59</f>
        <v>45.388626538077823</v>
      </c>
      <c r="AF59" s="94">
        <f ca="1">Sheet1!AA57+Sheet1!BN57+P59+'Calculations II'!BC59+Calculation!AS59+Calculation!DJ59</f>
        <v>55.492465488114014</v>
      </c>
      <c r="AG59" s="94">
        <f ca="1">IF(B59=TODAY(),0,Sheet1!AA57+Sheet1!BN57+'Calculations II'!BC59+'Calculations II'!P59-Sheet1!CT57-BP59)</f>
        <v>28.882092026191835</v>
      </c>
      <c r="AH59" s="94">
        <f ca="1">IF(B59=TODAY(),0,Sheet1!AA57+Sheet1!BN57+'Calculations II'!BC59+'Calculations II'!P59-BP59)</f>
        <v>45.181092026191834</v>
      </c>
      <c r="AI59" s="94">
        <f ca="1">IF(B59=TODAY(),0,BC59+Sheet1!AA57+Calculation!ES59+O59+W59+Sheet1!BN57+Calculation!AS59+Calculation!DJ59-BP59)</f>
        <v>55.492465488114014</v>
      </c>
      <c r="AJ59" s="94"/>
      <c r="AM59" s="90">
        <f t="shared" si="15"/>
        <v>42783</v>
      </c>
      <c r="AN59" s="94">
        <f>Sheet1!BU57</f>
        <v>24.3</v>
      </c>
      <c r="AO59" s="94">
        <f>Sheet1!AA57</f>
        <v>25.8</v>
      </c>
      <c r="AP59" s="94">
        <f t="shared" si="1"/>
        <v>-0.99719999999999842</v>
      </c>
      <c r="AQ59" s="1087">
        <f>((Sheet1!BV57-(Sheet1!BU57-AP59))/(Sheet1!BU57-AP59))</f>
        <v>0.17799598374523665</v>
      </c>
      <c r="AR59" s="94">
        <f t="shared" si="2"/>
        <v>26.7972</v>
      </c>
      <c r="AS59" s="94">
        <f t="shared" si="3"/>
        <v>25.2972</v>
      </c>
      <c r="AT59" s="89">
        <f>Sheet1!BB57</f>
        <v>0</v>
      </c>
      <c r="AU59" s="89">
        <f>Sheet1!AS57*GPMtoMGD</f>
        <v>2.4048E-2</v>
      </c>
      <c r="AV59" s="94">
        <f>Sheet1!AT57</f>
        <v>0</v>
      </c>
      <c r="AW59" s="89">
        <f>Sheet1!AV57*GPMtoMGD</f>
        <v>0.39700800000000003</v>
      </c>
      <c r="AX59" s="89">
        <f>Sheet1!AW57*GPMtoMGD</f>
        <v>0.56376000000000004</v>
      </c>
      <c r="AY59" s="89">
        <f>Sheet1!AX57*GPMtoMGD</f>
        <v>0</v>
      </c>
      <c r="AZ59" s="89">
        <f>Sheet1!AY57*GPMtoMGD</f>
        <v>0</v>
      </c>
      <c r="BA59" s="89">
        <f>Sheet1!AZ57*GPMtoMGD</f>
        <v>0</v>
      </c>
      <c r="BB59" s="89">
        <f>Sheet1!BP57*GPMtoMGD</f>
        <v>2.5920000000000001E-3</v>
      </c>
      <c r="BC59" s="89">
        <f>Sheet1!CS57*GPMtoMGD</f>
        <v>0</v>
      </c>
      <c r="BD59" s="89">
        <f>Sheet1!BO57*GPMtoMGD</f>
        <v>1.3744800000000001</v>
      </c>
      <c r="BE59" s="89">
        <f>Sheet1!BW57*GPMtoMGD</f>
        <v>0.58104</v>
      </c>
      <c r="BF59" s="89">
        <f>Sheet1!CN57*GPMtoMGD</f>
        <v>0.89913600000000005</v>
      </c>
      <c r="BG59" s="89">
        <f>Sheet1!CO57*GPMtoMGD</f>
        <v>0.60681600000000002</v>
      </c>
      <c r="BH59" s="89">
        <f>Sheet1!CP57*GPMtoMGD</f>
        <v>0.62179200000000001</v>
      </c>
      <c r="BI59" s="89">
        <f t="shared" si="16"/>
        <v>1.3770720000000001</v>
      </c>
      <c r="BK59" s="94">
        <f>SUM(AT59:BA59,AS59,BC59,Calculation!AQ59)</f>
        <v>45.870642538077817</v>
      </c>
      <c r="BM59" s="358">
        <f>0</f>
        <v>0</v>
      </c>
      <c r="BN59" s="358">
        <f>0</f>
        <v>0</v>
      </c>
      <c r="BP59" s="94">
        <f>SUM(BM59:BN59,W59,Sheet1!DX57)</f>
        <v>0</v>
      </c>
      <c r="BR59" s="94">
        <f>Sheet1!AA57</f>
        <v>25.8</v>
      </c>
      <c r="BS59" s="94">
        <f>Sheet1!AB57</f>
        <v>29.9</v>
      </c>
      <c r="BT59" s="94">
        <f t="shared" ca="1" si="7"/>
        <v>-0.31890797380816538</v>
      </c>
      <c r="BU59" s="94">
        <f>Sheet1!AT57</f>
        <v>0</v>
      </c>
      <c r="BV59" s="89">
        <f>Sheet1!BB57</f>
        <v>0</v>
      </c>
      <c r="BW59" s="94">
        <f>Calculation!ED59</f>
        <v>10.31137346192218</v>
      </c>
      <c r="BX59" s="94">
        <f>(Sheet1!CS57*1440)/1000000</f>
        <v>0</v>
      </c>
      <c r="CA59" s="94">
        <f ca="1">Sheet1!AC57-Sheet1!BK57-Sheet1!BL57-Sheet1!BM57-Sheet1!BC57-Sheet1!BD57-Sheet1!BE57-Sheet1!BF57-Sheet1!BG57-Sheet1!BH57-Sheet1!BI57+BC59+P59</f>
        <v>45.011092026191832</v>
      </c>
      <c r="CB59" s="93">
        <f t="shared" si="8"/>
        <v>70.21620525440639</v>
      </c>
      <c r="CC59" s="94">
        <f t="shared" si="9"/>
        <v>0</v>
      </c>
      <c r="CD59" s="94">
        <f t="shared" ca="1" si="10"/>
        <v>55.322465488114013</v>
      </c>
      <c r="CE59" s="1077">
        <f t="shared" ca="1" si="11"/>
        <v>85.58385411011237</v>
      </c>
      <c r="CG59" s="1077">
        <f t="shared" ca="1" si="12"/>
        <v>45.011092026191832</v>
      </c>
    </row>
    <row r="60" spans="1:85" s="89" customFormat="1" x14ac:dyDescent="0.25">
      <c r="A60" s="616" t="s">
        <v>9</v>
      </c>
      <c r="B60" s="91">
        <v>42784</v>
      </c>
      <c r="C60" s="92">
        <v>0</v>
      </c>
      <c r="D60" s="94">
        <f>(Sheet1!BQ58-Sheet1!BQ57)*1.385</f>
        <v>0.16619999999999646</v>
      </c>
      <c r="E60" s="30">
        <f>(Sheet1!BR58-Sheet1!BR57)*1.385</f>
        <v>0.15234999999999921</v>
      </c>
      <c r="F60" s="30">
        <f ca="1">IF(B60=TODAY(),0,-(VLOOKUP(Sheet1!CD58,Lookup!$I$4:$J$216,2)-VLOOKUP(Sheet1!CD57,Lookup!$I$4:$J$216,2))/1000000)</f>
        <v>-0.82909550838240231</v>
      </c>
      <c r="G60" s="94">
        <f ca="1">IF(B60=TODAY(),0,-$G$6*(Sheet1!CF58-Sheet1!CF57)*7.48/1000000)</f>
        <v>0.39713501052559297</v>
      </c>
      <c r="H60" s="94">
        <f ca="1">IF(B60=TODAY(),0,-$H$6*(Sheet1!CE58-Sheet1!CE57)*7.48/1000000)</f>
        <v>9.0236594107583092E-3</v>
      </c>
      <c r="I60" s="94">
        <f ca="1">IF(B60=TODAY(),0,-$I$6*(Sheet1!CG58-Sheet1!CG57)*7.48/1000000)</f>
        <v>-1.3477463999999995E-2</v>
      </c>
      <c r="J60" s="95" t="s">
        <v>177</v>
      </c>
      <c r="K60" s="94">
        <f ca="1">IF(B60=TODAY(),0,-$K$6*(Sheet1!CH58-Sheet1!CH57)*7.48/1000000)</f>
        <v>-2.6653281497833796E-2</v>
      </c>
      <c r="L60" s="95" t="s">
        <v>177</v>
      </c>
      <c r="M60" s="94">
        <f ca="1">IF(B60=TODAY(),0,-$M$6*(Sheet1!CI58-Sheet1!CI57)*7.48/1000000)</f>
        <v>-7.196603371210826E-2</v>
      </c>
      <c r="N60" s="94">
        <f ca="1">IF(B60=TODAY(),0,-$N$6*(Sheet1!CJ58-Sheet1!CJ57)*7.48/1000000)</f>
        <v>-0.45298212138075472</v>
      </c>
      <c r="O60" s="94">
        <f t="shared" ca="1" si="13"/>
        <v>-0.98801573903674778</v>
      </c>
      <c r="P60" s="94">
        <f ca="1">O60+Calculation!ES60</f>
        <v>-1.2648891748885229</v>
      </c>
      <c r="Q60" s="89" t="str">
        <f>IF(Sheet1!BQ58&gt;25.75,"spill elevation","-")</f>
        <v>-</v>
      </c>
      <c r="R60" s="89" t="str">
        <f>IF(Sheet1!BQ58&gt;25.75,"spill elevation","-")</f>
        <v>-</v>
      </c>
      <c r="S60" s="89" t="str">
        <f>IF(Sheet1!BR58&gt;25.75,"spill elevation","-")</f>
        <v>-</v>
      </c>
      <c r="T60" s="93">
        <f>IF(Sheet1!DU58=1,Sheet1!AA58-(SUM(AT60:BA60)+BE60),Sheet1!AA58-SUM(AT60:BA60))</f>
        <v>24.819648000000001</v>
      </c>
      <c r="U60" s="93">
        <f>Sheet1!BV58</f>
        <v>28.5</v>
      </c>
      <c r="V60" s="93">
        <f t="shared" si="14"/>
        <v>-3.6803519999999992</v>
      </c>
      <c r="W60" s="93">
        <f>0</f>
        <v>0</v>
      </c>
      <c r="X60" s="89">
        <f>0</f>
        <v>0</v>
      </c>
      <c r="Y60" s="94">
        <f ca="1">Calculation!EJ61+Calculation!ES60+'Calculations II'!O60-'Calculations II'!W60</f>
        <v>43.228252956416455</v>
      </c>
      <c r="Z60" s="94">
        <f ca="1">Y60-Sheet1!CT59</f>
        <v>27.653252956416456</v>
      </c>
      <c r="AA60" s="94">
        <f ca="1">Y60+Calculation!DJ61+Calculation!AS61</f>
        <v>54.148857808526785</v>
      </c>
      <c r="AC60" s="94">
        <f>Sheet1!AA58+Sheet1!AB58+BC60</f>
        <v>55.8</v>
      </c>
      <c r="AD60" s="94">
        <f>Sheet1!AA58+Sheet1!BN58+'Calculations II'!BC60-Calculation!AS60-Calculation!DJ60</f>
        <v>34.193602132622459</v>
      </c>
      <c r="AE60" s="94">
        <f>Sheet1!AA58+Sheet1!AB58+'Calculations II'!BC60-Calculation!AS60-Calculation!DJ60</f>
        <v>44.993602132622456</v>
      </c>
      <c r="AF60" s="94">
        <f ca="1">Sheet1!AA58+Sheet1!BN58+P60+'Calculations II'!BC60+Calculation!AS60+Calculation!DJ60</f>
        <v>54.541508692489018</v>
      </c>
      <c r="AG60" s="94">
        <f ca="1">IF(B60=TODAY(),0,Sheet1!AA58+Sheet1!BN58+'Calculations II'!BC60+'Calculations II'!P60-Sheet1!CT58-BP60)</f>
        <v>28.246110825111476</v>
      </c>
      <c r="AH60" s="94">
        <f ca="1">IF(B60=TODAY(),0,Sheet1!AA58+Sheet1!BN58+'Calculations II'!BC60+'Calculations II'!P60-BP60)</f>
        <v>43.735110825111477</v>
      </c>
      <c r="AI60" s="94">
        <f ca="1">IF(B60=TODAY(),0,BC60+Sheet1!AA58+Calculation!ES60+O60+W60+Sheet1!BN58+Calculation!AS60+Calculation!DJ60-BP60)</f>
        <v>54.541508692489018</v>
      </c>
      <c r="AJ60" s="94"/>
      <c r="AM60" s="90">
        <f t="shared" si="15"/>
        <v>42784</v>
      </c>
      <c r="AN60" s="94">
        <f>Sheet1!BU58</f>
        <v>24.4</v>
      </c>
      <c r="AO60" s="94">
        <f>Sheet1!AA58</f>
        <v>25.8</v>
      </c>
      <c r="AP60" s="94">
        <f t="shared" si="1"/>
        <v>0.31854999999999567</v>
      </c>
      <c r="AQ60" s="1087">
        <f>((Sheet1!BV58-(Sheet1!BU58-AP60))/(Sheet1!BU58-AP60))</f>
        <v>0.18348355269304778</v>
      </c>
      <c r="AR60" s="94">
        <f t="shared" si="2"/>
        <v>25.481450000000006</v>
      </c>
      <c r="AS60" s="94">
        <f t="shared" si="3"/>
        <v>24.081450000000004</v>
      </c>
      <c r="AT60" s="89">
        <f>Sheet1!BB58</f>
        <v>0</v>
      </c>
      <c r="AU60" s="89">
        <f>Sheet1!AS58*GPMtoMGD</f>
        <v>2.2320000000000003E-2</v>
      </c>
      <c r="AV60" s="94">
        <f>Sheet1!AT58</f>
        <v>0</v>
      </c>
      <c r="AW60" s="89">
        <f>Sheet1!AV58*GPMtoMGD</f>
        <v>0.43243200000000004</v>
      </c>
      <c r="AX60" s="89">
        <f>Sheet1!AW58*GPMtoMGD</f>
        <v>0.52560000000000007</v>
      </c>
      <c r="AY60" s="89">
        <f>Sheet1!AX58*GPMtoMGD</f>
        <v>0</v>
      </c>
      <c r="AZ60" s="89">
        <f>Sheet1!AY58*GPMtoMGD</f>
        <v>0</v>
      </c>
      <c r="BA60" s="89">
        <f>Sheet1!AZ58*GPMtoMGD</f>
        <v>0</v>
      </c>
      <c r="BB60" s="89">
        <f>Sheet1!BP58*GPMtoMGD</f>
        <v>2.5920000000000001E-3</v>
      </c>
      <c r="BC60" s="89">
        <f>Sheet1!CS58*GPMtoMGD</f>
        <v>0</v>
      </c>
      <c r="BD60" s="89">
        <f>Sheet1!BO58*GPMtoMGD</f>
        <v>1.5660000000000001</v>
      </c>
      <c r="BE60" s="89">
        <f>Sheet1!BW58*GPMtoMGD</f>
        <v>0.84240000000000004</v>
      </c>
      <c r="BF60" s="89">
        <f>Sheet1!CN58*GPMtoMGD</f>
        <v>0.91656000000000004</v>
      </c>
      <c r="BG60" s="89">
        <f>Sheet1!CO58*GPMtoMGD</f>
        <v>0.61444799999999999</v>
      </c>
      <c r="BH60" s="89">
        <f>Sheet1!CP58*GPMtoMGD</f>
        <v>0.61632000000000009</v>
      </c>
      <c r="BI60" s="89">
        <f t="shared" si="16"/>
        <v>1.568592</v>
      </c>
      <c r="BK60" s="94">
        <f>SUM(AT60:BA60,AS60,BC60,Calculation!AQ60)</f>
        <v>44.255404132622459</v>
      </c>
      <c r="BM60" s="358">
        <f>0</f>
        <v>0</v>
      </c>
      <c r="BN60" s="358">
        <f>0</f>
        <v>0</v>
      </c>
      <c r="BP60" s="94">
        <f>SUM(BM60:BN60,W60,Sheet1!DX58)</f>
        <v>0</v>
      </c>
      <c r="BR60" s="94">
        <f>Sheet1!AA58</f>
        <v>25.8</v>
      </c>
      <c r="BS60" s="94">
        <f>Sheet1!AB58</f>
        <v>30</v>
      </c>
      <c r="BT60" s="94">
        <f t="shared" ca="1" si="7"/>
        <v>-1.2648891748885229</v>
      </c>
      <c r="BU60" s="94">
        <f>Sheet1!AT58</f>
        <v>0</v>
      </c>
      <c r="BV60" s="89">
        <f>Sheet1!BB58</f>
        <v>0</v>
      </c>
      <c r="BW60" s="94">
        <f>Calculation!ED60</f>
        <v>10.806397867377541</v>
      </c>
      <c r="BX60" s="94">
        <f>(Sheet1!CS58*1440)/1000000</f>
        <v>0</v>
      </c>
      <c r="CA60" s="94">
        <f ca="1">Sheet1!AC58-Sheet1!BK58-Sheet1!BL58-Sheet1!BM58-Sheet1!BC58-Sheet1!BD58-Sheet1!BE58-Sheet1!BF58-Sheet1!BG58-Sheet1!BH58-Sheet1!BI58+BC60+P60</f>
        <v>43.725110825111472</v>
      </c>
      <c r="CB60" s="93">
        <f t="shared" si="8"/>
        <v>69.605102499166932</v>
      </c>
      <c r="CC60" s="94">
        <f t="shared" si="9"/>
        <v>0</v>
      </c>
      <c r="CD60" s="94">
        <f t="shared" ca="1" si="10"/>
        <v>54.531508692489012</v>
      </c>
      <c r="CE60" s="1077">
        <f t="shared" ca="1" si="11"/>
        <v>84.360243947280495</v>
      </c>
      <c r="CG60" s="1077">
        <f t="shared" ca="1" si="12"/>
        <v>43.725110825111472</v>
      </c>
    </row>
    <row r="61" spans="1:85" s="89" customFormat="1" x14ac:dyDescent="0.25">
      <c r="A61" s="616" t="s">
        <v>3</v>
      </c>
      <c r="B61" s="91">
        <v>42785</v>
      </c>
      <c r="C61" s="92">
        <v>0</v>
      </c>
      <c r="D61" s="94">
        <f>(Sheet1!BQ59-Sheet1!BQ58)*1.385</f>
        <v>0.36010000000000214</v>
      </c>
      <c r="E61" s="30">
        <f>(Sheet1!BR59-Sheet1!BR58)*1.385</f>
        <v>0.37395000000000433</v>
      </c>
      <c r="F61" s="30">
        <f ca="1">IF(B61=TODAY(),0,-(VLOOKUP(Sheet1!CD59,Lookup!$I$4:$J$216,2)-VLOOKUP(Sheet1!CD58,Lookup!$I$4:$J$216,2))/1000000)</f>
        <v>-0.31091081564339806</v>
      </c>
      <c r="G61" s="94">
        <f ca="1">IF(B61=TODAY(),0,-$G$6*(Sheet1!CF59-Sheet1!CF58)*7.48/1000000)</f>
        <v>0.39713501052559297</v>
      </c>
      <c r="H61" s="94">
        <f ca="1">IF(B61=TODAY(),0,-$H$6*(Sheet1!CE59-Sheet1!CE58)*7.48/1000000)</f>
        <v>0</v>
      </c>
      <c r="I61" s="94">
        <f ca="1">IF(B61=TODAY(),0,-$I$6*(Sheet1!CG59-Sheet1!CG58)*7.48/1000000)</f>
        <v>-1.3477464000000033E-2</v>
      </c>
      <c r="J61" s="95" t="s">
        <v>177</v>
      </c>
      <c r="K61" s="94">
        <f ca="1">IF(B61=TODAY(),0,-$K$6*(Sheet1!CH59-Sheet1!CH58)*7.48/1000000)</f>
        <v>-1.9989961123375376E-2</v>
      </c>
      <c r="L61" s="95" t="s">
        <v>177</v>
      </c>
      <c r="M61" s="94">
        <f ca="1">IF(B61=TODAY(),0,-$M$6*(Sheet1!CI59-Sheet1!CI58)*7.48/1000000)</f>
        <v>-7.196603371210826E-2</v>
      </c>
      <c r="N61" s="94">
        <f ca="1">IF(B61=TODAY(),0,-$N$6*(Sheet1!CJ59-Sheet1!CJ58)*7.48/1000000)</f>
        <v>-9.9283752631398325E-2</v>
      </c>
      <c r="O61" s="94">
        <f t="shared" ca="1" si="13"/>
        <v>-0.11849301658468708</v>
      </c>
      <c r="P61" s="94">
        <f ca="1">O61+Calculation!ES61</f>
        <v>-0.8107118454196045</v>
      </c>
      <c r="Q61" s="89" t="str">
        <f>IF(Sheet1!BQ59&gt;25.75,"spill elevation","-")</f>
        <v>-</v>
      </c>
      <c r="R61" s="89" t="str">
        <f>IF(Sheet1!BQ59&gt;25.75,"spill elevation","-")</f>
        <v>-</v>
      </c>
      <c r="S61" s="89" t="str">
        <f>IF(Sheet1!BR59&gt;25.75,"spill elevation","-")</f>
        <v>-</v>
      </c>
      <c r="T61" s="93">
        <f>IF(Sheet1!DU59=1,Sheet1!AA59-(SUM(AT61:BA61)+BE61),Sheet1!AA59-SUM(AT61:BA61))</f>
        <v>24.167760000000001</v>
      </c>
      <c r="U61" s="93">
        <f>Sheet1!BV59</f>
        <v>27.5</v>
      </c>
      <c r="V61" s="93">
        <f t="shared" si="14"/>
        <v>-3.3322399999999988</v>
      </c>
      <c r="W61" s="93">
        <f>0</f>
        <v>0</v>
      </c>
      <c r="X61" s="89">
        <f>0</f>
        <v>0</v>
      </c>
      <c r="Y61" s="94">
        <f ca="1">Calculation!EJ62+Calculation!ES61+'Calculations II'!O61-'Calculations II'!W61</f>
        <v>43.47659967663818</v>
      </c>
      <c r="Z61" s="94">
        <f ca="1">Y61-Sheet1!CT60</f>
        <v>28.396599676638182</v>
      </c>
      <c r="AA61" s="94">
        <f ca="1">Y61+Calculation!DJ62+Calculation!AS62</f>
        <v>54.452695294168059</v>
      </c>
      <c r="AC61" s="94">
        <f>Sheet1!AA59+Sheet1!AB59+BC61</f>
        <v>55.7</v>
      </c>
      <c r="AD61" s="94">
        <f>Sheet1!AA59+Sheet1!BN59+'Calculations II'!BC61-Calculation!AS61-Calculation!DJ61</f>
        <v>33.979395147889676</v>
      </c>
      <c r="AE61" s="94">
        <f>Sheet1!AA59+Sheet1!AB59+'Calculations II'!BC61-Calculation!AS61-Calculation!DJ61</f>
        <v>44.779395147889673</v>
      </c>
      <c r="AF61" s="94">
        <f ca="1">Sheet1!AA59+Sheet1!BN59+P61+'Calculations II'!BC61+Calculation!AS61+Calculation!DJ61</f>
        <v>55.009893006690731</v>
      </c>
      <c r="AG61" s="94">
        <f ca="1">IF(B61=TODAY(),0,Sheet1!AA59+Sheet1!BN59+'Calculations II'!BC61+'Calculations II'!P61-Sheet1!CT59-BP61)</f>
        <v>28.514288154580402</v>
      </c>
      <c r="AH61" s="94">
        <f ca="1">IF(B61=TODAY(),0,Sheet1!AA59+Sheet1!BN59+'Calculations II'!BC61+'Calculations II'!P61-BP61)</f>
        <v>44.089288154580402</v>
      </c>
      <c r="AI61" s="94">
        <f ca="1">IF(B61=TODAY(),0,BC61+Sheet1!AA59+Calculation!ES61+O61+W61+Sheet1!BN59+Calculation!AS61+Calculation!DJ61-BP61)</f>
        <v>55.009893006690731</v>
      </c>
      <c r="AJ61" s="94"/>
      <c r="AM61" s="90">
        <f t="shared" si="15"/>
        <v>42785</v>
      </c>
      <c r="AN61" s="94">
        <f>Sheet1!BU59</f>
        <v>24</v>
      </c>
      <c r="AO61" s="94">
        <f>Sheet1!AA59</f>
        <v>25.8</v>
      </c>
      <c r="AP61" s="94">
        <f t="shared" si="1"/>
        <v>0.73405000000000653</v>
      </c>
      <c r="AQ61" s="1087">
        <f>((Sheet1!BV59-(Sheet1!BU59-AP61))/(Sheet1!BU59-AP61))</f>
        <v>0.18198483191101195</v>
      </c>
      <c r="AR61" s="94">
        <f t="shared" si="2"/>
        <v>25.065949999999994</v>
      </c>
      <c r="AS61" s="94">
        <f t="shared" si="3"/>
        <v>23.265949999999993</v>
      </c>
      <c r="AT61" s="89">
        <f>Sheet1!BB59</f>
        <v>0</v>
      </c>
      <c r="AU61" s="89">
        <f>Sheet1!AS59*GPMtoMGD</f>
        <v>1.8287999999999999E-2</v>
      </c>
      <c r="AV61" s="94">
        <f>Sheet1!AT59</f>
        <v>0</v>
      </c>
      <c r="AW61" s="89">
        <f>Sheet1!AV59*GPMtoMGD</f>
        <v>0.80668800000000007</v>
      </c>
      <c r="AX61" s="89">
        <f>Sheet1!AW59*GPMtoMGD</f>
        <v>0.80726400000000009</v>
      </c>
      <c r="AY61" s="89">
        <f>Sheet1!AX59*GPMtoMGD</f>
        <v>0</v>
      </c>
      <c r="AZ61" s="89">
        <f>Sheet1!AY59*GPMtoMGD</f>
        <v>0</v>
      </c>
      <c r="BA61" s="89">
        <f>Sheet1!AZ59*GPMtoMGD</f>
        <v>0</v>
      </c>
      <c r="BB61" s="89">
        <f>Sheet1!BP59*GPMtoMGD</f>
        <v>2.8800000000000002E-3</v>
      </c>
      <c r="BC61" s="89">
        <f>Sheet1!CS59*GPMtoMGD</f>
        <v>0</v>
      </c>
      <c r="BD61" s="89">
        <f>Sheet1!BO59*GPMtoMGD</f>
        <v>1.5815520000000001</v>
      </c>
      <c r="BE61" s="89">
        <f>Sheet1!BW59*GPMtoMGD</f>
        <v>0.82209600000000005</v>
      </c>
      <c r="BF61" s="89">
        <f>Sheet1!CN59*GPMtoMGD</f>
        <v>0.93931200000000004</v>
      </c>
      <c r="BG61" s="89">
        <f>Sheet1!CO59*GPMtoMGD</f>
        <v>0.60350400000000004</v>
      </c>
      <c r="BH61" s="89">
        <f>Sheet1!CP59*GPMtoMGD</f>
        <v>0.61488000000000009</v>
      </c>
      <c r="BI61" s="89">
        <f t="shared" si="16"/>
        <v>1.5844320000000001</v>
      </c>
      <c r="BK61" s="94">
        <f>SUM(AT61:BA61,AS61,BC61,Calculation!AQ61)</f>
        <v>43.877585147889654</v>
      </c>
      <c r="BM61" s="358">
        <f>0</f>
        <v>0</v>
      </c>
      <c r="BN61" s="358">
        <f>0</f>
        <v>0</v>
      </c>
      <c r="BP61" s="94">
        <f>SUM(BM61:BN61,W61,Sheet1!DX59)</f>
        <v>0</v>
      </c>
      <c r="BR61" s="94">
        <f>Sheet1!AA59</f>
        <v>25.8</v>
      </c>
      <c r="BS61" s="94">
        <f>Sheet1!AB59</f>
        <v>29.9</v>
      </c>
      <c r="BT61" s="94">
        <f t="shared" ca="1" si="7"/>
        <v>-0.8107118454196045</v>
      </c>
      <c r="BU61" s="94">
        <f>Sheet1!AT59</f>
        <v>0</v>
      </c>
      <c r="BV61" s="89">
        <f>Sheet1!BB59</f>
        <v>0</v>
      </c>
      <c r="BW61" s="94">
        <f>Calculation!ED61</f>
        <v>10.920604852110333</v>
      </c>
      <c r="BX61" s="94">
        <f>(Sheet1!CS59*1440)/1000000</f>
        <v>0</v>
      </c>
      <c r="CA61" s="94">
        <f ca="1">Sheet1!AC59-Sheet1!BK59-Sheet1!BL59-Sheet1!BM59-Sheet1!BC59-Sheet1!BD59-Sheet1!BE59-Sheet1!BF59-Sheet1!BG59-Sheet1!BH59-Sheet1!BI59+BC61+P61</f>
        <v>43.899288154580397</v>
      </c>
      <c r="CB61" s="93">
        <f t="shared" si="8"/>
        <v>69.273724293785321</v>
      </c>
      <c r="CC61" s="94">
        <f t="shared" si="9"/>
        <v>0</v>
      </c>
      <c r="CD61" s="94">
        <f t="shared" ca="1" si="10"/>
        <v>54.819893006690734</v>
      </c>
      <c r="CE61" s="1077">
        <f t="shared" ca="1" si="11"/>
        <v>84.806374481350559</v>
      </c>
      <c r="CG61" s="1077">
        <f t="shared" ca="1" si="12"/>
        <v>43.899288154580397</v>
      </c>
    </row>
    <row r="62" spans="1:85" s="89" customFormat="1" x14ac:dyDescent="0.25">
      <c r="A62" s="616" t="s">
        <v>4</v>
      </c>
      <c r="B62" s="91">
        <v>42786</v>
      </c>
      <c r="C62" s="92">
        <v>0</v>
      </c>
      <c r="D62" s="94">
        <f>(Sheet1!BQ60-Sheet1!BQ59)*1.385</f>
        <v>0.73405000000000153</v>
      </c>
      <c r="E62" s="30">
        <f>(Sheet1!BR60-Sheet1!BR59)*1.385</f>
        <v>0.73404999999999665</v>
      </c>
      <c r="F62" s="30">
        <f ca="1">IF(B62=TODAY(),0,-(VLOOKUP(Sheet1!CD60,Lookup!$I$4:$J$216,2)-VLOOKUP(Sheet1!CD59,Lookup!$I$4:$J$216,2))/1000000)</f>
        <v>-0.20727387709559872</v>
      </c>
      <c r="G62" s="94">
        <f ca="1">IF(B62=TODAY(),0,-$G$6*(Sheet1!CF60-Sheet1!CF59)*7.48/1000000)</f>
        <v>0.39713501052559297</v>
      </c>
      <c r="H62" s="94">
        <f ca="1">IF(B62=TODAY(),0,-$H$6*(Sheet1!CE60-Sheet1!CE59)*7.48/1000000)</f>
        <v>0</v>
      </c>
      <c r="I62" s="94">
        <f ca="1">IF(B62=TODAY(),0,-$I$6*(Sheet1!CG60-Sheet1!CG59)*7.48/1000000)</f>
        <v>8.9849760000000074E-3</v>
      </c>
      <c r="J62" s="95" t="s">
        <v>177</v>
      </c>
      <c r="K62" s="94">
        <f ca="1">IF(B62=TODAY(),0,-$K$6*(Sheet1!CH60-Sheet1!CH59)*7.48/1000000)</f>
        <v>1.9989961123375376E-2</v>
      </c>
      <c r="L62" s="95" t="s">
        <v>177</v>
      </c>
      <c r="M62" s="94">
        <f ca="1">IF(B62=TODAY(),0,-$M$6*(Sheet1!CI60-Sheet1!CI59)*7.48/1000000)</f>
        <v>5.3974525284081275E-2</v>
      </c>
      <c r="N62" s="94">
        <f ca="1">IF(B62=TODAY(),0,-$N$6*(Sheet1!CJ60-Sheet1!CJ59)*7.48/1000000)</f>
        <v>-0.1178994562497851</v>
      </c>
      <c r="O62" s="94">
        <f t="shared" ca="1" si="13"/>
        <v>0.15491113958766581</v>
      </c>
      <c r="P62" s="94">
        <f ca="1">O62+Calculation!ES62</f>
        <v>-1.3683188637129897</v>
      </c>
      <c r="Q62" s="89" t="str">
        <f>IF(Sheet1!BQ60&gt;25.75,"spill elevation","-")</f>
        <v>-</v>
      </c>
      <c r="R62" s="89" t="str">
        <f>IF(Sheet1!BQ60&gt;25.75,"spill elevation","-")</f>
        <v>-</v>
      </c>
      <c r="S62" s="89" t="str">
        <f>IF(Sheet1!BR60&gt;25.75,"spill elevation","-")</f>
        <v>-</v>
      </c>
      <c r="T62" s="93">
        <f>IF(Sheet1!DU60=1,Sheet1!AA60-(SUM(AT62:BA62)+BE62),Sheet1!AA60-SUM(AT62:BA62))</f>
        <v>24.891504000000001</v>
      </c>
      <c r="U62" s="93">
        <f>Sheet1!BV60</f>
        <v>26.8</v>
      </c>
      <c r="V62" s="93">
        <f t="shared" si="14"/>
        <v>-1.9084959999999995</v>
      </c>
      <c r="W62" s="93">
        <f>0</f>
        <v>0</v>
      </c>
      <c r="X62" s="89">
        <f>0</f>
        <v>0</v>
      </c>
      <c r="Y62" s="94">
        <f ca="1">Calculation!EJ63+Calculation!ES62+'Calculations II'!O62-'Calculations II'!W62</f>
        <v>43.083254584374281</v>
      </c>
      <c r="Z62" s="94">
        <f ca="1">Y62-Sheet1!CT61</f>
        <v>26.639254584374282</v>
      </c>
      <c r="AA62" s="94">
        <f ca="1">Y62+Calculation!DJ63+Calculation!AS63</f>
        <v>53.773367391275407</v>
      </c>
      <c r="AC62" s="94">
        <f>Sheet1!AA60+Sheet1!AB60+BC62</f>
        <v>55.8</v>
      </c>
      <c r="AD62" s="94">
        <f>Sheet1!AA60+Sheet1!BN60+'Calculations II'!BC62-Calculation!AS62-Calculation!DJ62</f>
        <v>33.923904382470127</v>
      </c>
      <c r="AE62" s="94">
        <f>Sheet1!AA60+Sheet1!AB60+'Calculations II'!BC62-Calculation!AS62-Calculation!DJ62</f>
        <v>44.823904382470118</v>
      </c>
      <c r="AF62" s="94">
        <f ca="1">Sheet1!AA60+Sheet1!BN60+P62+'Calculations II'!BC62+Calculation!AS62+Calculation!DJ62</f>
        <v>54.507776753816891</v>
      </c>
      <c r="AG62" s="94">
        <f ca="1">IF(B62=TODAY(),0,Sheet1!AA60+Sheet1!BN60+'Calculations II'!BC62+'Calculations II'!P62-Sheet1!CT60-BP62)</f>
        <v>28.451681136287014</v>
      </c>
      <c r="AH62" s="94">
        <f ca="1">IF(B62=TODAY(),0,Sheet1!AA60+Sheet1!BN60+'Calculations II'!BC62+'Calculations II'!P62-BP62)</f>
        <v>43.531681136287013</v>
      </c>
      <c r="AI62" s="94">
        <f ca="1">IF(B62=TODAY(),0,BC62+Sheet1!AA60+Calculation!ES62+O62+W62+Sheet1!BN60+Calculation!AS62+Calculation!DJ62-BP62)</f>
        <v>54.507776753816884</v>
      </c>
      <c r="AJ62" s="94"/>
      <c r="AM62" s="90">
        <f t="shared" si="15"/>
        <v>42786</v>
      </c>
      <c r="AN62" s="94">
        <f>Sheet1!BU60</f>
        <v>24.2</v>
      </c>
      <c r="AO62" s="94">
        <f>Sheet1!AA60</f>
        <v>25.8</v>
      </c>
      <c r="AP62" s="94">
        <f t="shared" si="1"/>
        <v>1.4680999999999982</v>
      </c>
      <c r="AQ62" s="1087">
        <f>((Sheet1!BV60-(Sheet1!BU60-AP62))/(Sheet1!BU60-AP62))</f>
        <v>0.17895996375138026</v>
      </c>
      <c r="AR62" s="94">
        <f t="shared" si="2"/>
        <v>24.331900000000001</v>
      </c>
      <c r="AS62" s="94">
        <f t="shared" si="3"/>
        <v>22.7319</v>
      </c>
      <c r="AT62" s="89">
        <f>Sheet1!BB60</f>
        <v>0</v>
      </c>
      <c r="AU62" s="89">
        <f>Sheet1!AS60*GPMtoMGD</f>
        <v>3.0096000000000001E-2</v>
      </c>
      <c r="AV62" s="94">
        <f>Sheet1!AT60</f>
        <v>0</v>
      </c>
      <c r="AW62" s="89">
        <f>Sheet1!AV60*GPMtoMGD</f>
        <v>0.35596800000000001</v>
      </c>
      <c r="AX62" s="89">
        <f>Sheet1!AW60*GPMtoMGD</f>
        <v>0.52243200000000001</v>
      </c>
      <c r="AY62" s="89">
        <f>Sheet1!AX60*GPMtoMGD</f>
        <v>0</v>
      </c>
      <c r="AZ62" s="89">
        <f>Sheet1!AY60*GPMtoMGD</f>
        <v>0</v>
      </c>
      <c r="BA62" s="89">
        <f>Sheet1!AZ60*GPMtoMGD</f>
        <v>0</v>
      </c>
      <c r="BB62" s="89">
        <f>Sheet1!BP60*GPMtoMGD</f>
        <v>2.8368000000000001E-2</v>
      </c>
      <c r="BC62" s="89">
        <f>Sheet1!CS60*GPMtoMGD</f>
        <v>0</v>
      </c>
      <c r="BD62" s="89">
        <f>Sheet1!BO60*GPMtoMGD</f>
        <v>1.3906080000000001</v>
      </c>
      <c r="BE62" s="89">
        <f>Sheet1!BW60*GPMtoMGD</f>
        <v>0.59011200000000008</v>
      </c>
      <c r="BF62" s="89">
        <f>Sheet1!CN60*GPMtoMGD</f>
        <v>1.0262880000000001</v>
      </c>
      <c r="BG62" s="89">
        <f>Sheet1!CO60*GPMtoMGD</f>
        <v>0.62884800000000007</v>
      </c>
      <c r="BH62" s="89">
        <f>Sheet1!CP60*GPMtoMGD</f>
        <v>0.61531200000000008</v>
      </c>
      <c r="BI62" s="89">
        <f t="shared" si="16"/>
        <v>1.418976</v>
      </c>
      <c r="BK62" s="94">
        <f>SUM(AT62:BA62,AS62,BC62,Calculation!AQ62)</f>
        <v>42.664300382470117</v>
      </c>
      <c r="BM62" s="358">
        <f>0</f>
        <v>0</v>
      </c>
      <c r="BN62" s="358">
        <f>0</f>
        <v>0</v>
      </c>
      <c r="BP62" s="94">
        <f>SUM(BM62:BN62,W62,Sheet1!DX60)</f>
        <v>0</v>
      </c>
      <c r="BR62" s="94">
        <f>Sheet1!AA60</f>
        <v>25.8</v>
      </c>
      <c r="BS62" s="94">
        <f>Sheet1!AB60</f>
        <v>30</v>
      </c>
      <c r="BT62" s="94">
        <f t="shared" ca="1" si="7"/>
        <v>-1.3683188637129897</v>
      </c>
      <c r="BU62" s="94">
        <f>Sheet1!AT60</f>
        <v>0</v>
      </c>
      <c r="BV62" s="89">
        <f>Sheet1!BB60</f>
        <v>0</v>
      </c>
      <c r="BW62" s="94">
        <f>Calculation!ED62</f>
        <v>10.97609561752988</v>
      </c>
      <c r="BX62" s="94">
        <f>(Sheet1!CS60*1440)/1000000</f>
        <v>0</v>
      </c>
      <c r="CA62" s="94">
        <f ca="1">Sheet1!AC60-Sheet1!BK60-Sheet1!BL60-Sheet1!BM60-Sheet1!BC60-Sheet1!BD60-Sheet1!BE60-Sheet1!BF60-Sheet1!BG60-Sheet1!BH60-Sheet1!BI60+BC62+P62</f>
        <v>43.411681136287001</v>
      </c>
      <c r="CB62" s="93">
        <f t="shared" si="8"/>
        <v>69.342580079681269</v>
      </c>
      <c r="CC62" s="94">
        <f t="shared" si="9"/>
        <v>0</v>
      </c>
      <c r="CD62" s="94">
        <f t="shared" ca="1" si="10"/>
        <v>54.38777675381688</v>
      </c>
      <c r="CE62" s="1077">
        <f t="shared" ca="1" si="11"/>
        <v>84.137890638154715</v>
      </c>
      <c r="CG62" s="1077">
        <f t="shared" ca="1" si="12"/>
        <v>43.411681136287001</v>
      </c>
    </row>
    <row r="63" spans="1:85" s="89" customFormat="1" x14ac:dyDescent="0.25">
      <c r="A63" s="616" t="s">
        <v>5</v>
      </c>
      <c r="B63" s="91">
        <v>42787</v>
      </c>
      <c r="C63" s="92">
        <v>0</v>
      </c>
      <c r="D63" s="94">
        <f>(Sheet1!BQ61-Sheet1!BQ60)*1.385</f>
        <v>-0.40165000000000373</v>
      </c>
      <c r="E63" s="30">
        <f>(Sheet1!BR61-Sheet1!BR60)*1.385</f>
        <v>-0.41550000000000098</v>
      </c>
      <c r="F63" s="30">
        <f ca="1">IF(B63=TODAY(),0,-(VLOOKUP(Sheet1!CD61,Lookup!$I$4:$J$216,2)-VLOOKUP(Sheet1!CD60,Lookup!$I$4:$J$216,2))/1000000)</f>
        <v>0.82909550838240231</v>
      </c>
      <c r="G63" s="94">
        <f ca="1">IF(B63=TODAY(),0,-$G$6*(Sheet1!CF61-Sheet1!CF60)*7.48/1000000)</f>
        <v>-1.2311185326293388</v>
      </c>
      <c r="H63" s="94">
        <f ca="1">IF(B63=TODAY(),0,-$H$6*(Sheet1!CE61-Sheet1!CE60)*7.48/1000000)</f>
        <v>0</v>
      </c>
      <c r="I63" s="94">
        <f ca="1">IF(B63=TODAY(),0,-$I$6*(Sheet1!CG61-Sheet1!CG60)*7.48/1000000)</f>
        <v>1.7969952000000015E-2</v>
      </c>
      <c r="J63" s="95" t="s">
        <v>177</v>
      </c>
      <c r="K63" s="94">
        <f ca="1">IF(B63=TODAY(),0,-$K$6*(Sheet1!CH61-Sheet1!CH60)*7.48/1000000)</f>
        <v>3.3316601872292212E-2</v>
      </c>
      <c r="L63" s="95" t="s">
        <v>177</v>
      </c>
      <c r="M63" s="94">
        <f ca="1">IF(B63=TODAY(),0,-$M$6*(Sheet1!CI61-Sheet1!CI60)*7.48/1000000)</f>
        <v>8.9957542140135238E-2</v>
      </c>
      <c r="N63" s="94">
        <f ca="1">IF(B63=TODAY(),0,-$N$6*(Sheet1!CJ61-Sheet1!CJ60)*7.48/1000000)</f>
        <v>0.42816118322290458</v>
      </c>
      <c r="O63" s="94">
        <f t="shared" ca="1" si="13"/>
        <v>0.16738225498839554</v>
      </c>
      <c r="P63" s="94">
        <f ca="1">O63+Calculation!ES63</f>
        <v>0.99827168508185526</v>
      </c>
      <c r="Q63" s="89" t="str">
        <f>IF(Sheet1!BQ61&gt;25.75,"spill elevation","-")</f>
        <v>-</v>
      </c>
      <c r="R63" s="89" t="str">
        <f>IF(Sheet1!BQ61&gt;25.75,"spill elevation","-")</f>
        <v>-</v>
      </c>
      <c r="S63" s="89" t="str">
        <f>IF(Sheet1!BR61&gt;25.75,"spill elevation","-")</f>
        <v>-</v>
      </c>
      <c r="T63" s="93">
        <f>IF(Sheet1!DU61=1,Sheet1!AA61-(SUM(AT63:BA63)+BE63),Sheet1!AA61-SUM(AT63:BA63))</f>
        <v>24.765695999999998</v>
      </c>
      <c r="U63" s="93">
        <f>Sheet1!BV61</f>
        <v>29.2</v>
      </c>
      <c r="V63" s="93">
        <f t="shared" si="14"/>
        <v>-4.4343040000000009</v>
      </c>
      <c r="W63" s="93">
        <f>0</f>
        <v>0</v>
      </c>
      <c r="X63" s="89">
        <f>0</f>
        <v>0</v>
      </c>
      <c r="Y63" s="94">
        <f ca="1">Calculation!EJ64+Calculation!ES63+'Calculations II'!O63-'Calculations II'!W63</f>
        <v>47.616941501609126</v>
      </c>
      <c r="Z63" s="94">
        <f ca="1">Y63-Sheet1!CT62</f>
        <v>31.908941501609128</v>
      </c>
      <c r="AA63" s="94">
        <f ca="1">Y63+Calculation!DJ64+Calculation!AS64</f>
        <v>58.264986714375084</v>
      </c>
      <c r="AC63" s="94">
        <f>Sheet1!AA61+Sheet1!AB61+BC63</f>
        <v>55.739999999999995</v>
      </c>
      <c r="AD63" s="94">
        <f>Sheet1!AA61+Sheet1!BN61+'Calculations II'!BC63-Calculation!AS63-Calculation!DJ63</f>
        <v>34.449887193098874</v>
      </c>
      <c r="AE63" s="94">
        <f>Sheet1!AA61+Sheet1!AB61+'Calculations II'!BC63-Calculation!AS63-Calculation!DJ63</f>
        <v>45.049887193098868</v>
      </c>
      <c r="AF63" s="94">
        <f ca="1">Sheet1!AA61+Sheet1!BN61+P63+'Calculations II'!BC63+Calculation!AS63+Calculation!DJ63</f>
        <v>56.82838449198298</v>
      </c>
      <c r="AG63" s="94">
        <f ca="1">IF(B63=TODAY(),0,Sheet1!AA61+Sheet1!BN61+'Calculations II'!BC63+'Calculations II'!P63-Sheet1!CT61-BP63)</f>
        <v>29.694271685081855</v>
      </c>
      <c r="AH63" s="94">
        <f ca="1">IF(B63=TODAY(),0,Sheet1!AA61+Sheet1!BN61+'Calculations II'!BC63+'Calculations II'!P63-BP63)</f>
        <v>46.138271685081854</v>
      </c>
      <c r="AI63" s="94">
        <f ca="1">IF(B63=TODAY(),0,BC63+Sheet1!AA61+Calculation!ES63+O63+W63+Sheet1!BN61+Calculation!AS63+Calculation!DJ63-BP63)</f>
        <v>56.82838449198298</v>
      </c>
      <c r="AJ63" s="94"/>
      <c r="AM63" s="90">
        <f t="shared" si="15"/>
        <v>42787</v>
      </c>
      <c r="AN63" s="94">
        <f>Sheet1!BU61</f>
        <v>24</v>
      </c>
      <c r="AO63" s="94">
        <f>Sheet1!AA61</f>
        <v>25.74</v>
      </c>
      <c r="AP63" s="94">
        <f t="shared" si="1"/>
        <v>-0.81715000000000471</v>
      </c>
      <c r="AQ63" s="1087">
        <f>((Sheet1!BV61-(Sheet1!BU61-AP63))/(Sheet1!BU61-AP63))</f>
        <v>0.17660569404625404</v>
      </c>
      <c r="AR63" s="94">
        <f t="shared" si="2"/>
        <v>26.557150000000004</v>
      </c>
      <c r="AS63" s="94">
        <f t="shared" si="3"/>
        <v>24.817150000000005</v>
      </c>
      <c r="AT63" s="89">
        <f>Sheet1!BB61</f>
        <v>0</v>
      </c>
      <c r="AU63" s="89">
        <f>Sheet1!AS61*GPMtoMGD</f>
        <v>1.5696000000000002E-2</v>
      </c>
      <c r="AV63" s="94">
        <f>Sheet1!AT61</f>
        <v>0</v>
      </c>
      <c r="AW63" s="89">
        <f>Sheet1!AV61*GPMtoMGD</f>
        <v>0.43790400000000007</v>
      </c>
      <c r="AX63" s="89">
        <f>Sheet1!AW61*GPMtoMGD</f>
        <v>0.52070400000000006</v>
      </c>
      <c r="AY63" s="89">
        <f>Sheet1!AX61*GPMtoMGD</f>
        <v>0</v>
      </c>
      <c r="AZ63" s="89">
        <f>Sheet1!AY61*GPMtoMGD</f>
        <v>0</v>
      </c>
      <c r="BA63" s="89">
        <f>Sheet1!AZ61*GPMtoMGD</f>
        <v>0</v>
      </c>
      <c r="BB63" s="89">
        <f>Sheet1!BP61*GPMtoMGD</f>
        <v>2.8800000000000002E-3</v>
      </c>
      <c r="BC63" s="89">
        <f>Sheet1!CS61*GPMtoMGD</f>
        <v>0</v>
      </c>
      <c r="BD63" s="89">
        <f>Sheet1!BO61*GPMtoMGD</f>
        <v>1.3129919999999999</v>
      </c>
      <c r="BE63" s="89">
        <f>Sheet1!BW61*GPMtoMGD</f>
        <v>0.52891200000000005</v>
      </c>
      <c r="BF63" s="89">
        <f>Sheet1!CN61*GPMtoMGD</f>
        <v>1.0562400000000001</v>
      </c>
      <c r="BG63" s="89">
        <f>Sheet1!CO61*GPMtoMGD</f>
        <v>0.58967999999999998</v>
      </c>
      <c r="BH63" s="89">
        <f>Sheet1!CP61*GPMtoMGD</f>
        <v>0.65160000000000007</v>
      </c>
      <c r="BI63" s="89">
        <f t="shared" si="16"/>
        <v>1.3158719999999999</v>
      </c>
      <c r="BK63" s="94">
        <f>SUM(AT63:BA63,AS63,BC63,Calculation!AQ63)</f>
        <v>45.101341193098875</v>
      </c>
      <c r="BM63" s="358">
        <f>0</f>
        <v>0</v>
      </c>
      <c r="BN63" s="358">
        <f>0</f>
        <v>0</v>
      </c>
      <c r="BP63" s="94">
        <f>SUM(BM63:BN63,W63,Sheet1!DX61)</f>
        <v>0</v>
      </c>
      <c r="BR63" s="94">
        <f>Sheet1!AA61</f>
        <v>25.74</v>
      </c>
      <c r="BS63" s="94">
        <f>Sheet1!AB61</f>
        <v>30</v>
      </c>
      <c r="BT63" s="94">
        <f t="shared" ca="1" si="7"/>
        <v>0.99827168508185526</v>
      </c>
      <c r="BU63" s="94">
        <f>Sheet1!AT61</f>
        <v>0</v>
      </c>
      <c r="BV63" s="89">
        <f>Sheet1!BB61</f>
        <v>0</v>
      </c>
      <c r="BW63" s="94">
        <f>Calculation!ED63</f>
        <v>10.690112806901128</v>
      </c>
      <c r="BX63" s="94">
        <f>(Sheet1!CS61*1440)/1000000</f>
        <v>0</v>
      </c>
      <c r="CA63" s="94">
        <f ca="1">Sheet1!AC61-Sheet1!BK61-Sheet1!BL61-Sheet1!BM61-Sheet1!BC61-Sheet1!BD61-Sheet1!BE61-Sheet1!BF61-Sheet1!BG61-Sheet1!BH61-Sheet1!BI61+BC63+P63</f>
        <v>45.998271685081846</v>
      </c>
      <c r="CB63" s="93">
        <f t="shared" si="8"/>
        <v>69.692175487723944</v>
      </c>
      <c r="CC63" s="94">
        <f t="shared" si="9"/>
        <v>0</v>
      </c>
      <c r="CD63" s="94">
        <f t="shared" ca="1" si="10"/>
        <v>56.688384491982973</v>
      </c>
      <c r="CE63" s="1077">
        <f t="shared" ca="1" si="11"/>
        <v>87.696930809097651</v>
      </c>
      <c r="CG63" s="1077">
        <f t="shared" ca="1" si="12"/>
        <v>45.998271685081846</v>
      </c>
    </row>
    <row r="64" spans="1:85" s="89" customFormat="1" x14ac:dyDescent="0.25">
      <c r="A64" s="616" t="s">
        <v>6</v>
      </c>
      <c r="B64" s="91">
        <v>42788</v>
      </c>
      <c r="C64" s="92">
        <v>0</v>
      </c>
      <c r="D64" s="94">
        <f>(Sheet1!BQ62-Sheet1!BQ61)*1.385</f>
        <v>0.94179999999999964</v>
      </c>
      <c r="E64" s="30">
        <f>(Sheet1!BR62-Sheet1!BR61)*1.385</f>
        <v>0.98335000000000117</v>
      </c>
      <c r="F64" s="30">
        <f ca="1">IF(B64=TODAY(),0,-(VLOOKUP(Sheet1!CD62,Lookup!$I$4:$J$216,2)-VLOOKUP(Sheet1!CD61,Lookup!$I$4:$J$216,2))/1000000)</f>
        <v>-0.31091081564340556</v>
      </c>
      <c r="G64" s="94">
        <f ca="1">IF(B64=TODAY(),0,-$G$6*(Sheet1!CF62-Sheet1!CF61)*7.48/1000000)</f>
        <v>0.3574215094730338</v>
      </c>
      <c r="H64" s="94">
        <f ca="1">IF(B64=TODAY(),0,-$H$6*(Sheet1!CE62-Sheet1!CE61)*7.48/1000000)</f>
        <v>-1.5039432351265274E-2</v>
      </c>
      <c r="I64" s="94">
        <f ca="1">IF(B64=TODAY(),0,-$I$6*(Sheet1!CG62-Sheet1!CG61)*7.48/1000000)</f>
        <v>8.9849760000000074E-3</v>
      </c>
      <c r="J64" s="95" t="s">
        <v>177</v>
      </c>
      <c r="K64" s="94">
        <f ca="1">IF(B64=TODAY(),0,-$K$6*(Sheet1!CH62-Sheet1!CH61)*7.48/1000000)</f>
        <v>1.3326640748916837E-2</v>
      </c>
      <c r="L64" s="95" t="s">
        <v>177</v>
      </c>
      <c r="M64" s="94">
        <f ca="1">IF(B64=TODAY(),0,-$M$6*(Sheet1!CI62-Sheet1!CI61)*7.48/1000000)</f>
        <v>3.598301685605397E-2</v>
      </c>
      <c r="N64" s="94">
        <f ca="1">IF(B64=TODAY(),0,-$N$6*(Sheet1!CJ62-Sheet1!CJ61)*7.48/1000000)</f>
        <v>0.34749313420989419</v>
      </c>
      <c r="O64" s="94">
        <f t="shared" ca="1" si="13"/>
        <v>0.43725902929322802</v>
      </c>
      <c r="P64" s="94">
        <f ca="1">O64+Calculation!ES64</f>
        <v>-1.5016624111580104</v>
      </c>
      <c r="Q64" s="89" t="str">
        <f>IF(Sheet1!BQ62&gt;25.75,"spill elevation","-")</f>
        <v>-</v>
      </c>
      <c r="R64" s="89" t="str">
        <f>IF(Sheet1!BQ62&gt;25.75,"spill elevation","-")</f>
        <v>-</v>
      </c>
      <c r="S64" s="89" t="str">
        <f>IF(Sheet1!BR62&gt;25.75,"spill elevation","-")</f>
        <v>-</v>
      </c>
      <c r="T64" s="93">
        <f>IF(Sheet1!DU62=1,Sheet1!AA62-(SUM(AT64:BA64)+BE64),Sheet1!AA62-SUM(AT64:BA64))</f>
        <v>24.223376000000002</v>
      </c>
      <c r="U64" s="93">
        <f>Sheet1!BV62</f>
        <v>25.2</v>
      </c>
      <c r="V64" s="93">
        <f t="shared" si="14"/>
        <v>-0.97662399999999749</v>
      </c>
      <c r="W64" s="93">
        <f>0</f>
        <v>0</v>
      </c>
      <c r="X64" s="89">
        <f>0</f>
        <v>0</v>
      </c>
      <c r="Y64" s="94">
        <f ca="1">Calculation!EJ65+Calculation!ES64+'Calculations II'!O64-'Calculations II'!W64</f>
        <v>44.553131276661617</v>
      </c>
      <c r="Z64" s="94">
        <f ca="1">Y64-Sheet1!CT63</f>
        <v>27.451131276661616</v>
      </c>
      <c r="AA64" s="94">
        <f ca="1">Y64+Calculation!DJ65+Calculation!AS65</f>
        <v>55.140653754184093</v>
      </c>
      <c r="AC64" s="94">
        <f>Sheet1!AA62+Sheet1!AB62+BC64</f>
        <v>57.852831999999999</v>
      </c>
      <c r="AD64" s="94">
        <f>Sheet1!AA62+Sheet1!BN62+'Calculations II'!BC64-Calculation!AS64-Calculation!DJ64</f>
        <v>36.614786787234038</v>
      </c>
      <c r="AE64" s="94">
        <f>Sheet1!AA62+Sheet1!AB62+'Calculations II'!BC64-Calculation!AS64-Calculation!DJ64</f>
        <v>47.204786787234042</v>
      </c>
      <c r="AF64" s="94">
        <f ca="1">Sheet1!AA62+Sheet1!BN62+P64+'Calculations II'!BC64+Calculation!AS64+Calculation!DJ64</f>
        <v>56.409214801607945</v>
      </c>
      <c r="AG64" s="94">
        <f ca="1">IF(B64=TODAY(),0,Sheet1!AA62+Sheet1!BN62+'Calculations II'!BC64+'Calculations II'!P64-Sheet1!CT62-BP64)</f>
        <v>30.053169588841989</v>
      </c>
      <c r="AH64" s="94">
        <f ca="1">IF(B64=TODAY(),0,Sheet1!AA62+Sheet1!BN62+'Calculations II'!BC64+'Calculations II'!P64-BP64)</f>
        <v>45.761169588841987</v>
      </c>
      <c r="AI64" s="94">
        <f ca="1">IF(B64=TODAY(),0,BC64+Sheet1!AA62+Calculation!ES64+O64+W64+Sheet1!BN62+Calculation!AS64+Calculation!DJ64-BP64)</f>
        <v>56.409214801607945</v>
      </c>
      <c r="AJ64" s="94"/>
      <c r="AM64" s="90">
        <f t="shared" si="15"/>
        <v>42788</v>
      </c>
      <c r="AN64" s="94">
        <f>Sheet1!BU62</f>
        <v>23.2</v>
      </c>
      <c r="AO64" s="94">
        <f>Sheet1!AA62</f>
        <v>25.76</v>
      </c>
      <c r="AP64" s="94">
        <f t="shared" si="1"/>
        <v>1.9251500000000008</v>
      </c>
      <c r="AQ64" s="1087">
        <f>((Sheet1!BV62-(Sheet1!BU62-AP64))/(Sheet1!BU62-AP64))</f>
        <v>0.18449718799427506</v>
      </c>
      <c r="AR64" s="94">
        <f t="shared" si="2"/>
        <v>23.834849999999999</v>
      </c>
      <c r="AS64" s="94">
        <f t="shared" si="3"/>
        <v>21.274849999999997</v>
      </c>
      <c r="AT64" s="89">
        <f>Sheet1!BB62</f>
        <v>0</v>
      </c>
      <c r="AU64" s="89">
        <f>Sheet1!AS62*GPMtoMGD</f>
        <v>3.0240000000000003E-2</v>
      </c>
      <c r="AV64" s="94">
        <f>Sheet1!AT62</f>
        <v>0</v>
      </c>
      <c r="AW64" s="89">
        <f>Sheet1!AV62*GPMtoMGD</f>
        <v>0.7089120000000001</v>
      </c>
      <c r="AX64" s="89">
        <f>Sheet1!AW62*GPMtoMGD</f>
        <v>0.79747199999999996</v>
      </c>
      <c r="AY64" s="89">
        <f>Sheet1!AX62*GPMtoMGD</f>
        <v>0</v>
      </c>
      <c r="AZ64" s="89">
        <f>Sheet1!AY62*GPMtoMGD</f>
        <v>0</v>
      </c>
      <c r="BA64" s="89">
        <f>Sheet1!AZ62*GPMtoMGD</f>
        <v>0</v>
      </c>
      <c r="BB64" s="89">
        <f>Sheet1!BP62*GPMtoMGD</f>
        <v>2.8800000000000002E-3</v>
      </c>
      <c r="BC64" s="89">
        <f>Sheet1!CS62*GPMtoMGD</f>
        <v>2.1028320000000003</v>
      </c>
      <c r="BD64" s="89">
        <f>Sheet1!BO62*GPMtoMGD</f>
        <v>1.3387680000000002</v>
      </c>
      <c r="BE64" s="89">
        <f>Sheet1!BW62*GPMtoMGD</f>
        <v>0.81403199999999998</v>
      </c>
      <c r="BF64" s="89">
        <f>Sheet1!CN62*GPMtoMGD</f>
        <v>0.74505600000000005</v>
      </c>
      <c r="BG64" s="89">
        <f>Sheet1!CO62*GPMtoMGD</f>
        <v>0.58464000000000005</v>
      </c>
      <c r="BH64" s="89">
        <f>Sheet1!CP62*GPMtoMGD</f>
        <v>0.63201600000000002</v>
      </c>
      <c r="BI64" s="89">
        <f t="shared" si="16"/>
        <v>1.3416480000000002</v>
      </c>
      <c r="BK64" s="94">
        <f>SUM(AT64:BA64,AS64,BC64,Calculation!AQ64)</f>
        <v>44.256260787234041</v>
      </c>
      <c r="BM64" s="358">
        <f>0</f>
        <v>0</v>
      </c>
      <c r="BN64" s="358">
        <f>0</f>
        <v>0</v>
      </c>
      <c r="BP64" s="94">
        <f>SUM(BM64:BN64,W64,Sheet1!DX62)</f>
        <v>0</v>
      </c>
      <c r="BR64" s="94">
        <f>Sheet1!AA62</f>
        <v>25.76</v>
      </c>
      <c r="BS64" s="94">
        <f>Sheet1!AB62</f>
        <v>29.99</v>
      </c>
      <c r="BT64" s="94">
        <f t="shared" ca="1" si="7"/>
        <v>-1.5016624111580104</v>
      </c>
      <c r="BU64" s="94">
        <f>Sheet1!AT62</f>
        <v>0</v>
      </c>
      <c r="BV64" s="89">
        <f>Sheet1!BB62</f>
        <v>0</v>
      </c>
      <c r="BW64" s="94">
        <f>Calculation!ED64</f>
        <v>10.648045212765958</v>
      </c>
      <c r="BX64" s="94">
        <f>(Sheet1!CS62*1440)/1000000</f>
        <v>2.1028319999999998</v>
      </c>
      <c r="CA64" s="94">
        <f ca="1">Sheet1!AC62-Sheet1!BK62-Sheet1!BL62-Sheet1!BM62-Sheet1!BC62-Sheet1!BD62-Sheet1!BE62-Sheet1!BF62-Sheet1!BG62-Sheet1!BH62-Sheet1!BI62+BC64+P64</f>
        <v>45.671169588841984</v>
      </c>
      <c r="CB64" s="93">
        <f t="shared" si="8"/>
        <v>69.772724055851057</v>
      </c>
      <c r="CC64" s="94">
        <f t="shared" si="9"/>
        <v>0</v>
      </c>
      <c r="CD64" s="94">
        <f t="shared" ca="1" si="10"/>
        <v>56.319214801607941</v>
      </c>
      <c r="CE64" s="1077">
        <f t="shared" ca="1" si="11"/>
        <v>87.125825298087477</v>
      </c>
      <c r="CG64" s="1077">
        <f t="shared" ca="1" si="12"/>
        <v>45.671169588841984</v>
      </c>
    </row>
    <row r="65" spans="1:85" s="89" customFormat="1" x14ac:dyDescent="0.25">
      <c r="A65" s="616" t="s">
        <v>7</v>
      </c>
      <c r="B65" s="91">
        <v>42789</v>
      </c>
      <c r="C65" s="92">
        <v>0</v>
      </c>
      <c r="D65" s="94">
        <f>(Sheet1!BQ63-Sheet1!BQ62)*1.385</f>
        <v>-9.694999999999547E-2</v>
      </c>
      <c r="E65" s="30">
        <f>(Sheet1!BR63-Sheet1!BR62)*1.385</f>
        <v>-9.6950000000000397E-2</v>
      </c>
      <c r="F65" s="30">
        <f ca="1">IF(B65=TODAY(),0,-(VLOOKUP(Sheet1!CD63,Lookup!$I$4:$J$216,2)-VLOOKUP(Sheet1!CD62,Lookup!$I$4:$J$216,2))/1000000)</f>
        <v>0.82909550838240231</v>
      </c>
      <c r="G65" s="94">
        <f ca="1">IF(B65=TODAY(),0,-$G$6*(Sheet1!CF63-Sheet1!CF62)*7.48/1000000)</f>
        <v>0.39713501052559297</v>
      </c>
      <c r="H65" s="94">
        <f ca="1">IF(B65=TODAY(),0,-$H$6*(Sheet1!CE63-Sheet1!CE62)*7.48/1000000)</f>
        <v>0</v>
      </c>
      <c r="I65" s="94">
        <f ca="1">IF(B65=TODAY(),0,-$I$6*(Sheet1!CG63-Sheet1!CG62)*7.48/1000000)</f>
        <v>8.9849759999999675E-3</v>
      </c>
      <c r="J65" s="95" t="s">
        <v>177</v>
      </c>
      <c r="K65" s="94">
        <f ca="1">IF(B65=TODAY(),0,-$K$6*(Sheet1!CH63-Sheet1!CH62)*7.48/1000000)</f>
        <v>1.3326640748916953E-2</v>
      </c>
      <c r="L65" s="95" t="s">
        <v>177</v>
      </c>
      <c r="M65" s="94">
        <f ca="1">IF(B65=TODAY(),0,-$M$6*(Sheet1!CI63-Sheet1!CI62)*7.48/1000000)</f>
        <v>3.5983016856054283E-2</v>
      </c>
      <c r="N65" s="94">
        <f ca="1">IF(B65=TODAY(),0,-$N$6*(Sheet1!CJ63-Sheet1!CJ62)*7.48/1000000)</f>
        <v>-0.1054889871708606</v>
      </c>
      <c r="O65" s="94">
        <f t="shared" ca="1" si="13"/>
        <v>1.1790361653421062</v>
      </c>
      <c r="P65" s="94">
        <f ca="1">O65+Calculation!ES65</f>
        <v>1.456063394200469</v>
      </c>
      <c r="Q65" s="89" t="str">
        <f>IF(Sheet1!BQ63&gt;25.75,"spill elevation","-")</f>
        <v>-</v>
      </c>
      <c r="R65" s="89" t="str">
        <f>IF(Sheet1!BQ63&gt;25.75,"spill elevation","-")</f>
        <v>-</v>
      </c>
      <c r="S65" s="89" t="str">
        <f>IF(Sheet1!BR63&gt;25.75,"spill elevation","-")</f>
        <v>-</v>
      </c>
      <c r="T65" s="93">
        <f>IF(Sheet1!DU63=1,Sheet1!AA63-(SUM(AT65:BA65)+BE65),Sheet1!AA63-SUM(AT65:BA65))</f>
        <v>23.846719999999998</v>
      </c>
      <c r="U65" s="93">
        <f>Sheet1!BV63</f>
        <v>28</v>
      </c>
      <c r="V65" s="93">
        <f t="shared" si="14"/>
        <v>-4.1532800000000023</v>
      </c>
      <c r="W65" s="93">
        <f>0</f>
        <v>0</v>
      </c>
      <c r="X65" s="89">
        <f>0</f>
        <v>0</v>
      </c>
      <c r="Y65" s="94">
        <f ca="1">Calculation!EJ66+Calculation!ES65+'Calculations II'!O65-'Calculations II'!W65</f>
        <v>45.974465572323815</v>
      </c>
      <c r="Z65" s="94">
        <f ca="1">Y65-Sheet1!CT64</f>
        <v>29.459465572323815</v>
      </c>
      <c r="AA65" s="94">
        <f ca="1">Y65+Calculation!DJ66+Calculation!AS66</f>
        <v>56.54570436342312</v>
      </c>
      <c r="AC65" s="94">
        <f>Sheet1!AA63+Sheet1!AB63+BC65</f>
        <v>55.61</v>
      </c>
      <c r="AD65" s="94">
        <f>Sheet1!AA63+Sheet1!BN63+'Calculations II'!BC65-Calculation!AS65-Calculation!DJ65</f>
        <v>34.512477522477518</v>
      </c>
      <c r="AE65" s="94">
        <f>Sheet1!AA63+Sheet1!AB63+'Calculations II'!BC65-Calculation!AS65-Calculation!DJ65</f>
        <v>45.022477522477523</v>
      </c>
      <c r="AF65" s="94">
        <f ca="1">Sheet1!AA63+Sheet1!BN63+P65+'Calculations II'!BC65+Calculation!AS65+Calculation!DJ65</f>
        <v>57.143585871722941</v>
      </c>
      <c r="AG65" s="94">
        <f ca="1">IF(B65=TODAY(),0,Sheet1!AA63+Sheet1!BN63+'Calculations II'!BC65+'Calculations II'!P65-Sheet1!CT63-BP65)</f>
        <v>29.454063394200464</v>
      </c>
      <c r="AH65" s="94">
        <f ca="1">IF(B65=TODAY(),0,Sheet1!AA63+Sheet1!BN63+'Calculations II'!BC65+'Calculations II'!P65-BP65)</f>
        <v>46.556063394200464</v>
      </c>
      <c r="AI65" s="94">
        <f ca="1">IF(B65=TODAY(),0,BC65+Sheet1!AA63+Calculation!ES65+O65+W65+Sheet1!BN63+Calculation!AS65+Calculation!DJ65-BP65)</f>
        <v>57.143585871722941</v>
      </c>
      <c r="AJ65" s="94"/>
      <c r="AM65" s="90">
        <f t="shared" si="15"/>
        <v>42789</v>
      </c>
      <c r="AN65" s="94">
        <f>Sheet1!BU63</f>
        <v>23.7</v>
      </c>
      <c r="AO65" s="94">
        <f>Sheet1!AA63</f>
        <v>25.7</v>
      </c>
      <c r="AP65" s="94">
        <f t="shared" si="1"/>
        <v>-0.19389999999999585</v>
      </c>
      <c r="AQ65" s="1087">
        <f>((Sheet1!BV63-(Sheet1!BU63-AP65))/(Sheet1!BU63-AP65))</f>
        <v>0.17184720786476906</v>
      </c>
      <c r="AR65" s="94">
        <f t="shared" si="2"/>
        <v>25.893899999999995</v>
      </c>
      <c r="AS65" s="94">
        <f t="shared" si="3"/>
        <v>23.893899999999995</v>
      </c>
      <c r="AT65" s="89">
        <f>Sheet1!BB63</f>
        <v>0</v>
      </c>
      <c r="AU65" s="89">
        <f>Sheet1!AS63*GPMtoMGD</f>
        <v>1.5408E-2</v>
      </c>
      <c r="AV65" s="94">
        <f>Sheet1!AT63</f>
        <v>0</v>
      </c>
      <c r="AW65" s="89">
        <f>Sheet1!AV63*GPMtoMGD</f>
        <v>0.96465600000000007</v>
      </c>
      <c r="AX65" s="89">
        <f>Sheet1!AW63*GPMtoMGD</f>
        <v>0.87321599999999999</v>
      </c>
      <c r="AY65" s="89">
        <f>Sheet1!AX63*GPMtoMGD</f>
        <v>0</v>
      </c>
      <c r="AZ65" s="89">
        <f>Sheet1!AY63*GPMtoMGD</f>
        <v>0</v>
      </c>
      <c r="BA65" s="89">
        <f>Sheet1!AZ63*GPMtoMGD</f>
        <v>0</v>
      </c>
      <c r="BB65" s="89">
        <f>Sheet1!BP63*GPMtoMGD</f>
        <v>2.8800000000000002E-3</v>
      </c>
      <c r="BC65" s="89">
        <f>Sheet1!CS63*GPMtoMGD</f>
        <v>0</v>
      </c>
      <c r="BD65" s="89">
        <f>Sheet1!BO63*GPMtoMGD</f>
        <v>1.366992</v>
      </c>
      <c r="BE65" s="89">
        <f>Sheet1!BW63*GPMtoMGD</f>
        <v>0.618336</v>
      </c>
      <c r="BF65" s="89">
        <f>Sheet1!CN63*GPMtoMGD</f>
        <v>0.86169600000000002</v>
      </c>
      <c r="BG65" s="89">
        <f>Sheet1!CO63*GPMtoMGD</f>
        <v>0.60393600000000003</v>
      </c>
      <c r="BH65" s="89">
        <f>Sheet1!CP63*GPMtoMGD</f>
        <v>0.643536</v>
      </c>
      <c r="BI65" s="89">
        <f t="shared" si="16"/>
        <v>1.369872</v>
      </c>
      <c r="BK65" s="94">
        <f>SUM(AT65:BA65,AS65,BC65,Calculation!AQ65)</f>
        <v>45.069657522477513</v>
      </c>
      <c r="BM65" s="358">
        <f>0</f>
        <v>0</v>
      </c>
      <c r="BN65" s="358">
        <f>0</f>
        <v>0</v>
      </c>
      <c r="BP65" s="94">
        <f>SUM(BM65:BN65,W65,Sheet1!DX63)</f>
        <v>0</v>
      </c>
      <c r="BR65" s="94">
        <f>Sheet1!AA63</f>
        <v>25.7</v>
      </c>
      <c r="BS65" s="94">
        <f>Sheet1!AB63</f>
        <v>29.91</v>
      </c>
      <c r="BT65" s="94">
        <f t="shared" ca="1" si="7"/>
        <v>1.456063394200469</v>
      </c>
      <c r="BU65" s="94">
        <f>Sheet1!AT63</f>
        <v>0</v>
      </c>
      <c r="BV65" s="89">
        <f>Sheet1!BB63</f>
        <v>0</v>
      </c>
      <c r="BW65" s="94">
        <f>Calculation!ED65</f>
        <v>10.587522477522477</v>
      </c>
      <c r="BX65" s="94">
        <f>(Sheet1!CS63*1440)/1000000</f>
        <v>0</v>
      </c>
      <c r="CA65" s="94">
        <f ca="1">Sheet1!AC63-Sheet1!BK63-Sheet1!BL63-Sheet1!BM63-Sheet1!BC63-Sheet1!BD63-Sheet1!BE63-Sheet1!BF63-Sheet1!BG63-Sheet1!BH63-Sheet1!BI63+BC65+P65</f>
        <v>46.436063394200467</v>
      </c>
      <c r="CB65" s="93">
        <f t="shared" si="8"/>
        <v>69.649772727272719</v>
      </c>
      <c r="CC65" s="94">
        <f t="shared" si="9"/>
        <v>0</v>
      </c>
      <c r="CD65" s="94">
        <f t="shared" ca="1" si="10"/>
        <v>57.023585871722943</v>
      </c>
      <c r="CE65" s="1077">
        <f t="shared" ca="1" si="11"/>
        <v>88.215487343555395</v>
      </c>
      <c r="CG65" s="1077">
        <f t="shared" ca="1" si="12"/>
        <v>46.436063394200467</v>
      </c>
    </row>
    <row r="66" spans="1:85" s="89" customFormat="1" x14ac:dyDescent="0.25">
      <c r="A66" s="616" t="s">
        <v>8</v>
      </c>
      <c r="B66" s="91">
        <v>42790</v>
      </c>
      <c r="C66" s="92">
        <v>0</v>
      </c>
      <c r="D66" s="94">
        <f>(Sheet1!BQ64-Sheet1!BQ63)*1.385</f>
        <v>0.19389999999999588</v>
      </c>
      <c r="E66" s="30">
        <f>(Sheet1!BR64-Sheet1!BR63)*1.385</f>
        <v>-9.6950000000000397E-2</v>
      </c>
      <c r="F66" s="30">
        <f ca="1">IF(B66=TODAY(),0,-(VLOOKUP(Sheet1!CD64,Lookup!$I$4:$J$216,2)-VLOOKUP(Sheet1!CD63,Lookup!$I$4:$J$216,2))/1000000)</f>
        <v>0.10363693854779936</v>
      </c>
      <c r="G66" s="94">
        <f ca="1">IF(B66=TODAY(),0,-$G$6*(Sheet1!CF64-Sheet1!CF63)*7.48/1000000)</f>
        <v>0.3574215094730338</v>
      </c>
      <c r="H66" s="94">
        <f ca="1">IF(B66=TODAY(),0,-$H$6*(Sheet1!CE64-Sheet1!CE63)*7.48/1000000)</f>
        <v>0</v>
      </c>
      <c r="I66" s="94">
        <f ca="1">IF(B66=TODAY(),0,-$I$6*(Sheet1!CG64-Sheet1!CG63)*7.48/1000000)</f>
        <v>0</v>
      </c>
      <c r="J66" s="95" t="s">
        <v>177</v>
      </c>
      <c r="K66" s="94">
        <f ca="1">IF(B66=TODAY(),0,-$K$6*(Sheet1!CH64-Sheet1!CH63)*7.48/1000000)</f>
        <v>6.6633203744584186E-3</v>
      </c>
      <c r="L66" s="95" t="s">
        <v>177</v>
      </c>
      <c r="M66" s="94">
        <f ca="1">IF(B66=TODAY(),0,-$M$6*(Sheet1!CI64-Sheet1!CI63)*7.48/1000000)</f>
        <v>-7.196603371210826E-2</v>
      </c>
      <c r="N66" s="94">
        <f ca="1">IF(B66=TODAY(),0,-$N$6*(Sheet1!CJ64-Sheet1!CJ63)*7.48/1000000)</f>
        <v>6.2052345394622583E-3</v>
      </c>
      <c r="O66" s="94">
        <f t="shared" ca="1" si="13"/>
        <v>0.40196096922264563</v>
      </c>
      <c r="P66" s="94">
        <f ca="1">O66+Calculation!ES66</f>
        <v>0.40199942235169128</v>
      </c>
      <c r="Q66" s="89" t="str">
        <f>IF(Sheet1!BQ64&gt;25.75,"spill elevation","-")</f>
        <v>-</v>
      </c>
      <c r="R66" s="89" t="str">
        <f>IF(Sheet1!BQ64&gt;25.75,"spill elevation","-")</f>
        <v>-</v>
      </c>
      <c r="S66" s="89" t="str">
        <f>IF(Sheet1!BR64&gt;25.75,"spill elevation","-")</f>
        <v>-</v>
      </c>
      <c r="T66" s="93">
        <f>IF(Sheet1!DU64=1,Sheet1!AA64-(SUM(AT66:BA66)+BE66),Sheet1!AA64-SUM(AT66:BA66))</f>
        <v>25.012320000000003</v>
      </c>
      <c r="U66" s="93">
        <f>Sheet1!BV64</f>
        <v>28.3</v>
      </c>
      <c r="V66" s="93">
        <f t="shared" si="14"/>
        <v>-3.2876799999999982</v>
      </c>
      <c r="W66" s="93">
        <f>0</f>
        <v>0</v>
      </c>
      <c r="X66" s="89">
        <f>0</f>
        <v>0</v>
      </c>
      <c r="Y66" s="94">
        <f ca="1">Calculation!EJ67+Calculation!ES66+'Calculations II'!O66-'Calculations II'!W66</f>
        <v>42.599163754949082</v>
      </c>
      <c r="Z66" s="94">
        <f ca="1">Y66-Sheet1!CT65</f>
        <v>26.623163754949083</v>
      </c>
      <c r="AA66" s="94">
        <f ca="1">Y66+Calculation!DJ67+Calculation!AS67</f>
        <v>53.276454591602473</v>
      </c>
      <c r="AC66" s="94">
        <f>Sheet1!AA64+Sheet1!AB64+BC66</f>
        <v>55.8</v>
      </c>
      <c r="AD66" s="94">
        <f>Sheet1!AA64+Sheet1!BN64+'Calculations II'!BC66-Calculation!AS66-Calculation!DJ66</f>
        <v>34.728761208900693</v>
      </c>
      <c r="AE66" s="94">
        <f>Sheet1!AA64+Sheet1!AB64+'Calculations II'!BC66-Calculation!AS66-Calculation!DJ66</f>
        <v>45.228761208900693</v>
      </c>
      <c r="AF66" s="94">
        <f ca="1">Sheet1!AA64+Sheet1!BN64+P66+'Calculations II'!BC66+Calculation!AS66+Calculation!DJ66</f>
        <v>56.273238213450995</v>
      </c>
      <c r="AG66" s="94">
        <f ca="1">IF(B66=TODAY(),0,Sheet1!AA64+Sheet1!BN64+'Calculations II'!BC66+'Calculations II'!P66-Sheet1!CT64-BP66)</f>
        <v>29.18699942235169</v>
      </c>
      <c r="AH66" s="94">
        <f ca="1">IF(B66=TODAY(),0,Sheet1!AA64+Sheet1!BN64+'Calculations II'!BC66+'Calculations II'!P66-BP66)</f>
        <v>45.70199942235169</v>
      </c>
      <c r="AI66" s="94">
        <f ca="1">IF(B66=TODAY(),0,BC66+Sheet1!AA64+Calculation!ES66+O66+W66+Sheet1!BN64+Calculation!AS66+Calculation!DJ66-BP66)</f>
        <v>56.273238213450995</v>
      </c>
      <c r="AJ66" s="94"/>
      <c r="AM66" s="90">
        <f t="shared" si="15"/>
        <v>42790</v>
      </c>
      <c r="AN66" s="94">
        <f>Sheet1!BU64</f>
        <v>23.9</v>
      </c>
      <c r="AO66" s="94">
        <f>Sheet1!AA64</f>
        <v>25.8</v>
      </c>
      <c r="AP66" s="94">
        <f t="shared" si="1"/>
        <v>9.6949999999995484E-2</v>
      </c>
      <c r="AQ66" s="1087">
        <f>((Sheet1!BV64-(Sheet1!BU64-AP66))/(Sheet1!BU64-AP66))</f>
        <v>0.18892326823663344</v>
      </c>
      <c r="AR66" s="94">
        <f t="shared" si="2"/>
        <v>25.703050000000005</v>
      </c>
      <c r="AS66" s="94">
        <f t="shared" si="3"/>
        <v>23.803050000000002</v>
      </c>
      <c r="AT66" s="89">
        <f>Sheet1!BB64</f>
        <v>0</v>
      </c>
      <c r="AU66" s="89">
        <f>Sheet1!AS64*GPMtoMGD</f>
        <v>3.0240000000000003E-2</v>
      </c>
      <c r="AV66" s="94">
        <f>Sheet1!AT64</f>
        <v>0</v>
      </c>
      <c r="AW66" s="89">
        <f>Sheet1!AV64*GPMtoMGD</f>
        <v>0.27302399999999999</v>
      </c>
      <c r="AX66" s="89">
        <f>Sheet1!AW64*GPMtoMGD</f>
        <v>0.48441600000000001</v>
      </c>
      <c r="AY66" s="89">
        <f>Sheet1!AX64*GPMtoMGD</f>
        <v>0</v>
      </c>
      <c r="AZ66" s="89">
        <f>Sheet1!AY64*GPMtoMGD</f>
        <v>0</v>
      </c>
      <c r="BA66" s="89">
        <f>Sheet1!AZ64*GPMtoMGD</f>
        <v>0</v>
      </c>
      <c r="BB66" s="89">
        <f>Sheet1!BP64*GPMtoMGD</f>
        <v>2.8800000000000002E-3</v>
      </c>
      <c r="BC66" s="89">
        <f>Sheet1!CS64*GPMtoMGD</f>
        <v>0</v>
      </c>
      <c r="BD66" s="89">
        <f>Sheet1!BO64*GPMtoMGD</f>
        <v>1.4417280000000001</v>
      </c>
      <c r="BE66" s="89">
        <f>Sheet1!BW64*GPMtoMGD</f>
        <v>0.78825600000000007</v>
      </c>
      <c r="BF66" s="89">
        <f>Sheet1!CN64*GPMtoMGD</f>
        <v>0.82656000000000007</v>
      </c>
      <c r="BG66" s="89">
        <f>Sheet1!CO64*GPMtoMGD</f>
        <v>0.58075200000000005</v>
      </c>
      <c r="BH66" s="89">
        <f>Sheet1!CP64*GPMtoMGD</f>
        <v>0.63460800000000006</v>
      </c>
      <c r="BI66" s="89">
        <f t="shared" si="16"/>
        <v>1.4446080000000001</v>
      </c>
      <c r="BK66" s="94">
        <f>SUM(AT66:BA66,AS66,BC66,Calculation!AQ66)</f>
        <v>44.019491208900703</v>
      </c>
      <c r="BM66" s="358">
        <f>0</f>
        <v>0</v>
      </c>
      <c r="BN66" s="358">
        <f>0</f>
        <v>0</v>
      </c>
      <c r="BP66" s="94">
        <f>SUM(BM66:BN66,W66,Sheet1!DX64)</f>
        <v>0</v>
      </c>
      <c r="BR66" s="94">
        <f>Sheet1!AA64</f>
        <v>25.8</v>
      </c>
      <c r="BS66" s="94">
        <f>Sheet1!AB64</f>
        <v>30</v>
      </c>
      <c r="BT66" s="94">
        <f t="shared" ca="1" si="7"/>
        <v>0.40199942235169128</v>
      </c>
      <c r="BU66" s="94">
        <f>Sheet1!AT64</f>
        <v>0</v>
      </c>
      <c r="BV66" s="89">
        <f>Sheet1!BB64</f>
        <v>0</v>
      </c>
      <c r="BW66" s="94">
        <f>Calculation!ED66</f>
        <v>10.571238791099303</v>
      </c>
      <c r="BX66" s="94">
        <f>(Sheet1!CS64*1440)/1000000</f>
        <v>0</v>
      </c>
      <c r="CA66" s="94">
        <f ca="1">Sheet1!AC64-Sheet1!BK64-Sheet1!BL64-Sheet1!BM64-Sheet1!BC64-Sheet1!BD64-Sheet1!BE64-Sheet1!BF64-Sheet1!BG64-Sheet1!BH64-Sheet1!BI64+BC66+P66</f>
        <v>45.591999422351691</v>
      </c>
      <c r="CB66" s="93">
        <f t="shared" si="8"/>
        <v>69.968893590169372</v>
      </c>
      <c r="CC66" s="94">
        <f t="shared" si="9"/>
        <v>0</v>
      </c>
      <c r="CD66" s="94">
        <f t="shared" ca="1" si="10"/>
        <v>56.163238213450995</v>
      </c>
      <c r="CE66" s="1077">
        <f t="shared" ca="1" si="11"/>
        <v>86.884529516208687</v>
      </c>
      <c r="CG66" s="1077">
        <f t="shared" ca="1" si="12"/>
        <v>45.591999422351691</v>
      </c>
    </row>
    <row r="67" spans="1:85" s="89" customFormat="1" x14ac:dyDescent="0.25">
      <c r="A67" s="616" t="s">
        <v>9</v>
      </c>
      <c r="B67" s="91">
        <v>42791</v>
      </c>
      <c r="C67" s="92">
        <v>0</v>
      </c>
      <c r="D67" s="94">
        <f>(Sheet1!BQ65-Sheet1!BQ64)*1.385</f>
        <v>-1.8420499999999977</v>
      </c>
      <c r="E67" s="30">
        <f>(Sheet1!BR65-Sheet1!BR64)*1.385</f>
        <v>-1.5927499999999981</v>
      </c>
      <c r="F67" s="30">
        <f ca="1">IF(B67=TODAY(),0,-(VLOOKUP(Sheet1!CD65,Lookup!$I$4:$J$216,2)-VLOOKUP(Sheet1!CD64,Lookup!$I$4:$J$216,2))/1000000)</f>
        <v>-0.10363693854779936</v>
      </c>
      <c r="G67" s="94">
        <f ca="1">IF(B67=TODAY(),0,-$G$6*(Sheet1!CF65-Sheet1!CF64)*7.48/1000000)</f>
        <v>-0.91341052420886415</v>
      </c>
      <c r="H67" s="94">
        <f ca="1">IF(B67=TODAY(),0,-$H$6*(Sheet1!CE65-Sheet1!CE64)*7.48/1000000)</f>
        <v>0</v>
      </c>
      <c r="I67" s="94">
        <f ca="1">IF(B67=TODAY(),0,-$I$6*(Sheet1!CG65-Sheet1!CG64)*7.48/1000000)</f>
        <v>-0.11680468799999999</v>
      </c>
      <c r="J67" s="95" t="s">
        <v>177</v>
      </c>
      <c r="K67" s="94">
        <f ca="1">IF(B67=TODAY(),0,-$K$6*(Sheet1!CH65-Sheet1!CH64)*7.48/1000000)</f>
        <v>-0.21322625198267023</v>
      </c>
      <c r="L67" s="95" t="s">
        <v>177</v>
      </c>
      <c r="M67" s="94">
        <f ca="1">IF(B67=TODAY(),0,-$M$6*(Sheet1!CI65-Sheet1!CI64)*7.48/1000000)</f>
        <v>-0.46777921912870318</v>
      </c>
      <c r="N67" s="94">
        <f ca="1">IF(B67=TODAY(),0,-$N$6*(Sheet1!CJ65-Sheet1!CJ64)*7.48/1000000)</f>
        <v>-0.21718320888118345</v>
      </c>
      <c r="O67" s="94">
        <f t="shared" ca="1" si="13"/>
        <v>-2.0320408307492204</v>
      </c>
      <c r="P67" s="94">
        <f ca="1">O67+Calculation!ES67</f>
        <v>1.2912477656084977</v>
      </c>
      <c r="Q67" s="89" t="str">
        <f>IF(Sheet1!BQ65&gt;25.75,"spill elevation","-")</f>
        <v>-</v>
      </c>
      <c r="R67" s="89" t="str">
        <f>IF(Sheet1!BQ65&gt;25.75,"spill elevation","-")</f>
        <v>-</v>
      </c>
      <c r="S67" s="89" t="str">
        <f>IF(Sheet1!BR65&gt;25.75,"spill elevation","-")</f>
        <v>-</v>
      </c>
      <c r="T67" s="93">
        <f>IF(Sheet1!DU65=1,Sheet1!AA65-(SUM(AT67:BA67)+BE67),Sheet1!AA65-SUM(AT67:BA67))</f>
        <v>24.623504000000001</v>
      </c>
      <c r="U67" s="93">
        <f>Sheet1!BV65</f>
        <v>31.7</v>
      </c>
      <c r="V67" s="93">
        <f t="shared" si="14"/>
        <v>-7.0764959999999988</v>
      </c>
      <c r="W67" s="93">
        <f>0</f>
        <v>0</v>
      </c>
      <c r="X67" s="89">
        <f>0</f>
        <v>0</v>
      </c>
      <c r="Y67" s="94">
        <f ca="1">Calculation!EJ68+Calculation!ES67+'Calculations II'!O67-'Calculations II'!W67</f>
        <v>45.161374845416759</v>
      </c>
      <c r="Z67" s="94">
        <f ca="1">Y67-Sheet1!CT66</f>
        <v>29.49337484541676</v>
      </c>
      <c r="AA67" s="94">
        <f ca="1">Y67+Calculation!DJ68+Calculation!AS68</f>
        <v>56.189311617463346</v>
      </c>
      <c r="AC67" s="94">
        <f>Sheet1!AA65+Sheet1!AB65+BC67</f>
        <v>55.730000000000004</v>
      </c>
      <c r="AD67" s="94">
        <f>Sheet1!AA65+Sheet1!BN65+'Calculations II'!BC67-Calculation!AS67-Calculation!DJ67</f>
        <v>34.452709163346611</v>
      </c>
      <c r="AE67" s="94">
        <f>Sheet1!AA65+Sheet1!AB65+'Calculations II'!BC67-Calculation!AS67-Calculation!DJ67</f>
        <v>45.05270916334662</v>
      </c>
      <c r="AF67" s="94">
        <f ca="1">Sheet1!AA65+Sheet1!BN65+P67+'Calculations II'!BC67+Calculation!AS67+Calculation!DJ67</f>
        <v>57.098538602261883</v>
      </c>
      <c r="AG67" s="94">
        <f ca="1">IF(B67=TODAY(),0,Sheet1!AA65+Sheet1!BN65+'Calculations II'!BC67+'Calculations II'!P67-Sheet1!CT65-BP67)</f>
        <v>30.445247765608492</v>
      </c>
      <c r="AH67" s="94">
        <f ca="1">IF(B67=TODAY(),0,Sheet1!AA65+Sheet1!BN65+'Calculations II'!BC67+'Calculations II'!P67-BP67)</f>
        <v>46.421247765608491</v>
      </c>
      <c r="AI67" s="94">
        <f ca="1">IF(B67=TODAY(),0,BC67+Sheet1!AA65+Calculation!ES67+O67+W67+Sheet1!BN65+Calculation!AS67+Calculation!DJ67-BP67)</f>
        <v>57.098538602261883</v>
      </c>
      <c r="AJ67" s="94"/>
      <c r="AM67" s="90">
        <f t="shared" si="15"/>
        <v>42791</v>
      </c>
      <c r="AN67" s="94">
        <f>Sheet1!BU65</f>
        <v>23.8</v>
      </c>
      <c r="AO67" s="94">
        <f>Sheet1!AA65</f>
        <v>25.73</v>
      </c>
      <c r="AP67" s="94">
        <f t="shared" si="1"/>
        <v>-3.4347999999999956</v>
      </c>
      <c r="AQ67" s="1087">
        <f>((Sheet1!BV65-(Sheet1!BU65-AP67))/(Sheet1!BU65-AP67))</f>
        <v>0.16395200258492823</v>
      </c>
      <c r="AR67" s="94">
        <f t="shared" si="2"/>
        <v>29.164799999999996</v>
      </c>
      <c r="AS67" s="94">
        <f t="shared" si="3"/>
        <v>27.234799999999996</v>
      </c>
      <c r="AT67" s="89">
        <f>Sheet1!BB65</f>
        <v>0</v>
      </c>
      <c r="AU67" s="89">
        <f>Sheet1!AS65*GPMtoMGD</f>
        <v>1.5984000000000002E-2</v>
      </c>
      <c r="AV67" s="94">
        <f>Sheet1!AT65</f>
        <v>0</v>
      </c>
      <c r="AW67" s="89">
        <f>Sheet1!AV65*GPMtoMGD</f>
        <v>0.54720000000000002</v>
      </c>
      <c r="AX67" s="89">
        <f>Sheet1!AW65*GPMtoMGD</f>
        <v>0.54331200000000002</v>
      </c>
      <c r="AY67" s="89">
        <f>Sheet1!AX65*GPMtoMGD</f>
        <v>0</v>
      </c>
      <c r="AZ67" s="89">
        <f>Sheet1!AY65*GPMtoMGD</f>
        <v>0</v>
      </c>
      <c r="BA67" s="89">
        <f>Sheet1!AZ65*GPMtoMGD</f>
        <v>0</v>
      </c>
      <c r="BB67" s="89">
        <f>Sheet1!BP65*GPMtoMGD</f>
        <v>2.8800000000000002E-3</v>
      </c>
      <c r="BC67" s="89">
        <f>Sheet1!CS65*GPMtoMGD</f>
        <v>0</v>
      </c>
      <c r="BD67" s="89">
        <f>Sheet1!BO65*GPMtoMGD</f>
        <v>2.1991680000000002</v>
      </c>
      <c r="BE67" s="89">
        <f>Sheet1!BW65*GPMtoMGD</f>
        <v>0.81043199999999993</v>
      </c>
      <c r="BF67" s="89">
        <f>Sheet1!CN65*GPMtoMGD</f>
        <v>0.85795199999999994</v>
      </c>
      <c r="BG67" s="89">
        <f>Sheet1!CO65*GPMtoMGD</f>
        <v>0.63316800000000006</v>
      </c>
      <c r="BH67" s="89">
        <f>Sheet1!CP65*GPMtoMGD</f>
        <v>0.61632000000000009</v>
      </c>
      <c r="BI67" s="89">
        <f t="shared" si="16"/>
        <v>2.2020480000000004</v>
      </c>
      <c r="BK67" s="94">
        <f>SUM(AT67:BA67,AS67,BC67,Calculation!AQ67)</f>
        <v>47.664005163346609</v>
      </c>
      <c r="BM67" s="358">
        <f>0</f>
        <v>0</v>
      </c>
      <c r="BN67" s="358">
        <f>0</f>
        <v>0</v>
      </c>
      <c r="BP67" s="94">
        <f>SUM(BM67:BN67,W67,Sheet1!DX65)</f>
        <v>0</v>
      </c>
      <c r="BR67" s="94">
        <f>Sheet1!AA65</f>
        <v>25.73</v>
      </c>
      <c r="BS67" s="94">
        <f>Sheet1!AB65</f>
        <v>30</v>
      </c>
      <c r="BT67" s="94">
        <f t="shared" ca="1" si="7"/>
        <v>1.2912477656084977</v>
      </c>
      <c r="BU67" s="94">
        <f>Sheet1!AT65</f>
        <v>0</v>
      </c>
      <c r="BV67" s="89">
        <f>Sheet1!BB65</f>
        <v>0</v>
      </c>
      <c r="BW67" s="94">
        <f>Calculation!ED67</f>
        <v>10.677290836653388</v>
      </c>
      <c r="BX67" s="94">
        <f>(Sheet1!CS65*1440)/1000000</f>
        <v>0</v>
      </c>
      <c r="CA67" s="94">
        <f ca="1">Sheet1!AC65-Sheet1!BK65-Sheet1!BL65-Sheet1!BM65-Sheet1!BC65-Sheet1!BD65-Sheet1!BE65-Sheet1!BF65-Sheet1!BG65-Sheet1!BH65-Sheet1!BI65+BC67+P67</f>
        <v>46.301247765608494</v>
      </c>
      <c r="CB67" s="93">
        <f t="shared" si="8"/>
        <v>69.696541075697212</v>
      </c>
      <c r="CC67" s="94">
        <f t="shared" si="9"/>
        <v>0</v>
      </c>
      <c r="CD67" s="94">
        <f t="shared" ca="1" si="10"/>
        <v>56.978538602261878</v>
      </c>
      <c r="CE67" s="1077">
        <f t="shared" ca="1" si="11"/>
        <v>88.145799217699121</v>
      </c>
      <c r="CG67" s="1077">
        <f t="shared" ca="1" si="12"/>
        <v>46.301247765608494</v>
      </c>
    </row>
    <row r="68" spans="1:85" s="89" customFormat="1" x14ac:dyDescent="0.25">
      <c r="A68" s="616" t="s">
        <v>3</v>
      </c>
      <c r="B68" s="91">
        <v>42792</v>
      </c>
      <c r="C68" s="92">
        <v>0</v>
      </c>
      <c r="D68" s="94">
        <f>(Sheet1!BQ66-Sheet1!BQ65)*1.385</f>
        <v>-0.55399999999999805</v>
      </c>
      <c r="E68" s="30">
        <f>(Sheet1!BR66-Sheet1!BR65)*1.385</f>
        <v>-0.5401500000000008</v>
      </c>
      <c r="F68" s="30">
        <f ca="1">IF(B68=TODAY(),0,-(VLOOKUP(Sheet1!CD66,Lookup!$I$4:$J$216,2)-VLOOKUP(Sheet1!CD65,Lookup!$I$4:$J$216,2))/1000000)</f>
        <v>-0.51818469273899681</v>
      </c>
      <c r="G68" s="94">
        <f ca="1">IF(B68=TODAY(),0,-$G$6*(Sheet1!CF66-Sheet1!CF65)*7.48/1000000)</f>
        <v>0.3574215094730338</v>
      </c>
      <c r="H68" s="94">
        <f ca="1">IF(B68=TODAY(),0,-$H$6*(Sheet1!CE66-Sheet1!CE65)*7.48/1000000)</f>
        <v>-1.5039432351264204E-2</v>
      </c>
      <c r="I68" s="94">
        <f ca="1">IF(B68=TODAY(),0,-$I$6*(Sheet1!CG66-Sheet1!CG65)*7.48/1000000)</f>
        <v>1.3477463999999995E-2</v>
      </c>
      <c r="J68" s="95" t="s">
        <v>177</v>
      </c>
      <c r="K68" s="94">
        <f ca="1">IF(B68=TODAY(),0,-$K$6*(Sheet1!CH66-Sheet1!CH65)*7.48/1000000)</f>
        <v>3.3316601872292212E-2</v>
      </c>
      <c r="L68" s="95" t="s">
        <v>177</v>
      </c>
      <c r="M68" s="94">
        <f ca="1">IF(B68=TODAY(),0,-$M$6*(Sheet1!CI66-Sheet1!CI65)*7.48/1000000)</f>
        <v>5.3974525284081275E-2</v>
      </c>
      <c r="N68" s="94">
        <f ca="1">IF(B68=TODAY(),0,-$N$6*(Sheet1!CJ66-Sheet1!CJ65)*7.48/1000000)</f>
        <v>4.9641876315698066E-2</v>
      </c>
      <c r="O68" s="94">
        <f t="shared" ca="1" si="13"/>
        <v>-2.5392148145155669E-2</v>
      </c>
      <c r="P68" s="94">
        <f ca="1">O68+Calculation!ES68</f>
        <v>1.0819734565931021</v>
      </c>
      <c r="Q68" s="89" t="str">
        <f>IF(Sheet1!BQ66&gt;25.75,"spill elevation","-")</f>
        <v>-</v>
      </c>
      <c r="R68" s="89" t="str">
        <f>IF(Sheet1!BQ66&gt;25.75,"spill elevation","-")</f>
        <v>-</v>
      </c>
      <c r="S68" s="89" t="str">
        <f>IF(Sheet1!BR66&gt;25.75,"spill elevation","-")</f>
        <v>-</v>
      </c>
      <c r="T68" s="93">
        <f>IF(Sheet1!DU66=1,Sheet1!AA66-(SUM(AT68:BA68)+BE68),Sheet1!AA66-SUM(AT68:BA68))</f>
        <v>24.276543999999998</v>
      </c>
      <c r="U68" s="93">
        <f>Sheet1!BV66</f>
        <v>28.9</v>
      </c>
      <c r="V68" s="93">
        <f t="shared" si="14"/>
        <v>-4.6234560000000009</v>
      </c>
      <c r="W68" s="93">
        <f>0</f>
        <v>0</v>
      </c>
      <c r="X68" s="89">
        <f>0</f>
        <v>0</v>
      </c>
      <c r="Y68" s="94">
        <f ca="1">Calculation!EJ69+Calculation!ES68+'Calculations II'!O68-'Calculations II'!W68</f>
        <v>46.00138528453018</v>
      </c>
      <c r="Z68" s="94">
        <f ca="1">Y68-Sheet1!CT67</f>
        <v>30.334385284530178</v>
      </c>
      <c r="AA68" s="94">
        <f ca="1">Y68+Calculation!DJ69+Calculation!AS69</f>
        <v>56.43510621476274</v>
      </c>
      <c r="AC68" s="94">
        <f>Sheet1!AA66+Sheet1!AB66+BC68</f>
        <v>55.8</v>
      </c>
      <c r="AD68" s="94">
        <f>Sheet1!AA66+Sheet1!BN66+'Calculations II'!BC68-Calculation!AS68-Calculation!DJ68</f>
        <v>33.782063227953415</v>
      </c>
      <c r="AE68" s="94">
        <f>Sheet1!AA66+Sheet1!AB66+'Calculations II'!BC68-Calculation!AS68-Calculation!DJ68</f>
        <v>44.77206322795341</v>
      </c>
      <c r="AF68" s="94">
        <f ca="1">Sheet1!AA66+Sheet1!BN66+P68+'Calculations II'!BC68+Calculation!AS68+Calculation!DJ68</f>
        <v>56.919910228639694</v>
      </c>
      <c r="AG68" s="94">
        <f ca="1">IF(B68=TODAY(),0,Sheet1!AA66+Sheet1!BN66+'Calculations II'!BC68+'Calculations II'!P68-Sheet1!CT66-BP68)</f>
        <v>30.223973456593107</v>
      </c>
      <c r="AH68" s="94">
        <f ca="1">IF(B68=TODAY(),0,Sheet1!AA66+Sheet1!BN66+'Calculations II'!BC68+'Calculations II'!P68-BP68)</f>
        <v>45.891973456593107</v>
      </c>
      <c r="AI68" s="94">
        <f ca="1">IF(B68=TODAY(),0,BC68+Sheet1!AA66+Calculation!ES68+O68+W68+Sheet1!BN66+Calculation!AS68+Calculation!DJ68-BP68)</f>
        <v>56.919910228639694</v>
      </c>
      <c r="AJ68" s="94"/>
      <c r="AM68" s="90">
        <f t="shared" si="15"/>
        <v>42792</v>
      </c>
      <c r="AN68" s="94">
        <f>Sheet1!BU66</f>
        <v>23.4</v>
      </c>
      <c r="AO68" s="94">
        <f>Sheet1!AA66</f>
        <v>25.81</v>
      </c>
      <c r="AP68" s="94">
        <f t="shared" si="1"/>
        <v>-1.0941499999999988</v>
      </c>
      <c r="AQ68" s="1087">
        <f>((Sheet1!BV66-(Sheet1!BU66-AP68))/(Sheet1!BU66-AP68))</f>
        <v>0.17987356164635235</v>
      </c>
      <c r="AR68" s="94">
        <f t="shared" si="2"/>
        <v>26.904149999999998</v>
      </c>
      <c r="AS68" s="94">
        <f t="shared" si="3"/>
        <v>24.494149999999998</v>
      </c>
      <c r="AT68" s="89">
        <f>Sheet1!BB66</f>
        <v>0</v>
      </c>
      <c r="AU68" s="89">
        <f>Sheet1!AS66*GPMtoMGD</f>
        <v>1.6560000000000002E-2</v>
      </c>
      <c r="AV68" s="94">
        <f>Sheet1!AT66</f>
        <v>0</v>
      </c>
      <c r="AW68" s="89">
        <f>Sheet1!AV66*GPMtoMGD</f>
        <v>0.75528000000000006</v>
      </c>
      <c r="AX68" s="89">
        <f>Sheet1!AW66*GPMtoMGD</f>
        <v>0.76161600000000007</v>
      </c>
      <c r="AY68" s="89">
        <f>Sheet1!AX66*GPMtoMGD</f>
        <v>0</v>
      </c>
      <c r="AZ68" s="89">
        <f>Sheet1!AY66*GPMtoMGD</f>
        <v>0</v>
      </c>
      <c r="BA68" s="89">
        <f>Sheet1!AZ66*GPMtoMGD</f>
        <v>0</v>
      </c>
      <c r="BB68" s="89">
        <f>Sheet1!BP66*GPMtoMGD</f>
        <v>2.8800000000000002E-3</v>
      </c>
      <c r="BC68" s="89">
        <f>Sheet1!CS66*GPMtoMGD</f>
        <v>0</v>
      </c>
      <c r="BD68" s="89">
        <f>Sheet1!BO66*GPMtoMGD</f>
        <v>1.4410080000000001</v>
      </c>
      <c r="BE68" s="89">
        <f>Sheet1!BW66*GPMtoMGD</f>
        <v>0.76003199999999993</v>
      </c>
      <c r="BF68" s="89">
        <f>Sheet1!CN66*GPMtoMGD</f>
        <v>1.00728</v>
      </c>
      <c r="BG68" s="89">
        <f>Sheet1!CO66*GPMtoMGD</f>
        <v>0.64584000000000008</v>
      </c>
      <c r="BH68" s="89">
        <f>Sheet1!CP66*GPMtoMGD</f>
        <v>0.63259200000000004</v>
      </c>
      <c r="BI68" s="89">
        <f t="shared" si="16"/>
        <v>1.4438880000000001</v>
      </c>
      <c r="BK68" s="94">
        <f>SUM(AT68:BA68,AS68,BC68,Calculation!AQ68)</f>
        <v>44.989669227953414</v>
      </c>
      <c r="BM68" s="358">
        <f>0</f>
        <v>0</v>
      </c>
      <c r="BN68" s="358">
        <f>0</f>
        <v>0</v>
      </c>
      <c r="BP68" s="94">
        <f>SUM(BM68:BN68,W68,Sheet1!DX66)</f>
        <v>0</v>
      </c>
      <c r="BR68" s="94">
        <f>Sheet1!AA66</f>
        <v>25.81</v>
      </c>
      <c r="BS68" s="94">
        <f>Sheet1!AB66</f>
        <v>29.99</v>
      </c>
      <c r="BT68" s="94">
        <f t="shared" ca="1" si="7"/>
        <v>1.0819734565931021</v>
      </c>
      <c r="BU68" s="94">
        <f>Sheet1!AT66</f>
        <v>0</v>
      </c>
      <c r="BV68" s="89">
        <f>Sheet1!BB66</f>
        <v>0</v>
      </c>
      <c r="BW68" s="94">
        <f>Calculation!ED68</f>
        <v>11.027936772046589</v>
      </c>
      <c r="BX68" s="94">
        <f>(Sheet1!CS66*1440)/1000000</f>
        <v>0</v>
      </c>
      <c r="CA68" s="94">
        <f ca="1">Sheet1!AC66-Sheet1!BK66-Sheet1!BL66-Sheet1!BM66-Sheet1!BC66-Sheet1!BD66-Sheet1!BE66-Sheet1!BF66-Sheet1!BG66-Sheet1!BH66-Sheet1!BI66+BC68+P68</f>
        <v>45.831973456593097</v>
      </c>
      <c r="CB68" s="93">
        <f t="shared" si="8"/>
        <v>69.262381813643927</v>
      </c>
      <c r="CC68" s="94">
        <f t="shared" si="9"/>
        <v>0</v>
      </c>
      <c r="CD68" s="94">
        <f t="shared" ca="1" si="10"/>
        <v>56.859910228639684</v>
      </c>
      <c r="CE68" s="1077">
        <f t="shared" ca="1" si="11"/>
        <v>87.962281123705594</v>
      </c>
      <c r="CG68" s="1077">
        <f t="shared" ca="1" si="12"/>
        <v>45.831973456593097</v>
      </c>
    </row>
    <row r="69" spans="1:85" s="89" customFormat="1" x14ac:dyDescent="0.25">
      <c r="A69" s="616" t="s">
        <v>4</v>
      </c>
      <c r="B69" s="91">
        <v>42793</v>
      </c>
      <c r="C69" s="92">
        <v>0</v>
      </c>
      <c r="D69" s="94">
        <f>(Sheet1!BQ67-Sheet1!BQ66)*1.385</f>
        <v>0.54014999999999591</v>
      </c>
      <c r="E69" s="30">
        <f>(Sheet1!BR67-Sheet1!BR66)*1.385</f>
        <v>0.5401500000000008</v>
      </c>
      <c r="F69" s="30">
        <f ca="1">IF(B69=TODAY(),0,-(VLOOKUP(Sheet1!CD67,Lookup!$I$4:$J$216,2)-VLOOKUP(Sheet1!CD66,Lookup!$I$4:$J$216,2))/1000000)</f>
        <v>0.10363693854779936</v>
      </c>
      <c r="G69" s="94">
        <f ca="1">IF(B69=TODAY(),0,-$G$6*(Sheet1!CF67-Sheet1!CF66)*7.48/1000000)</f>
        <v>0.3574215094730338</v>
      </c>
      <c r="H69" s="94">
        <f ca="1">IF(B69=TODAY(),0,-$H$6*(Sheet1!CE67-Sheet1!CE66)*7.48/1000000)</f>
        <v>1.5039432351264204E-2</v>
      </c>
      <c r="I69" s="94">
        <f ca="1">IF(B69=TODAY(),0,-$I$6*(Sheet1!CG67-Sheet1!CG66)*7.48/1000000)</f>
        <v>4.4924880000000236E-3</v>
      </c>
      <c r="J69" s="95" t="s">
        <v>177</v>
      </c>
      <c r="K69" s="94">
        <f ca="1">IF(B69=TODAY(),0,-$K$6*(Sheet1!CH67-Sheet1!CH66)*7.48/1000000)</f>
        <v>3.9979922246750985E-3</v>
      </c>
      <c r="L69" s="95" t="s">
        <v>177</v>
      </c>
      <c r="M69" s="94">
        <f ca="1">IF(B69=TODAY(),0,-$M$6*(Sheet1!CI67-Sheet1!CI66)*7.48/1000000)</f>
        <v>1.7991508428026663E-2</v>
      </c>
      <c r="N69" s="94">
        <f ca="1">IF(B69=TODAY(),0,-$N$6*(Sheet1!CJ67-Sheet1!CJ66)*7.48/1000000)</f>
        <v>-5.5847110855161426E-2</v>
      </c>
      <c r="O69" s="94">
        <f t="shared" ca="1" si="13"/>
        <v>0.44673275816963776</v>
      </c>
      <c r="P69" s="94">
        <f ca="1">O69+Calculation!ES69</f>
        <v>-0.66063284656862009</v>
      </c>
      <c r="Q69" s="89" t="str">
        <f>IF(Sheet1!BQ67&gt;25.75,"spill elevation","-")</f>
        <v>-</v>
      </c>
      <c r="R69" s="89" t="str">
        <f>IF(Sheet1!BQ67&gt;25.75,"spill elevation","-")</f>
        <v>-</v>
      </c>
      <c r="S69" s="89" t="str">
        <f>IF(Sheet1!BR67&gt;25.75,"spill elevation","-")</f>
        <v>-</v>
      </c>
      <c r="T69" s="93">
        <f>IF(Sheet1!DU67=1,Sheet1!AA67-(SUM(AT69:BA69)+BE69),Sheet1!AA67-SUM(AT69:BA69))</f>
        <v>24.863600000000002</v>
      </c>
      <c r="U69" s="93">
        <f>Sheet1!BV67</f>
        <v>27.2</v>
      </c>
      <c r="V69" s="93">
        <f t="shared" si="14"/>
        <v>-2.3363999999999976</v>
      </c>
      <c r="W69" s="93">
        <f>0</f>
        <v>0</v>
      </c>
      <c r="X69" s="89">
        <f>0</f>
        <v>0</v>
      </c>
      <c r="Y69" s="94">
        <f ca="1">Calculation!EJ70+Calculation!ES69+'Calculations II'!O69-'Calculations II'!W69</f>
        <v>44.743780136025435</v>
      </c>
      <c r="Z69" s="94">
        <f ca="1">Y69-Sheet1!CT68</f>
        <v>29.495780136025438</v>
      </c>
      <c r="AA69" s="94">
        <f ca="1">Y69+Calculation!DJ70+Calculation!AS70</f>
        <v>54.98987258697322</v>
      </c>
      <c r="AC69" s="94">
        <f>Sheet1!AA67+Sheet1!AB67+BC69</f>
        <v>55.67</v>
      </c>
      <c r="AD69" s="94">
        <f>Sheet1!AA67+Sheet1!BN67+'Calculations II'!BC69-Calculation!AS69-Calculation!DJ69</f>
        <v>34.926279069767439</v>
      </c>
      <c r="AE69" s="94">
        <f>Sheet1!AA67+Sheet1!AB67+'Calculations II'!BC69-Calculation!AS69-Calculation!DJ69</f>
        <v>45.236279069767441</v>
      </c>
      <c r="AF69" s="94">
        <f ca="1">Sheet1!AA67+Sheet1!BN67+P69+'Calculations II'!BC69+Calculation!AS69+Calculation!DJ69</f>
        <v>55.133088083663942</v>
      </c>
      <c r="AG69" s="94">
        <f ca="1">IF(B69=TODAY(),0,Sheet1!AA67+Sheet1!BN67+'Calculations II'!BC69+'Calculations II'!P69-Sheet1!CT67-BP69)</f>
        <v>29.03236715343138</v>
      </c>
      <c r="AH69" s="94">
        <f ca="1">IF(B69=TODAY(),0,Sheet1!AA67+Sheet1!BN67+'Calculations II'!BC69+'Calculations II'!P69-BP69)</f>
        <v>44.699367153431382</v>
      </c>
      <c r="AI69" s="94">
        <f ca="1">IF(B69=TODAY(),0,BC69+Sheet1!AA67+Calculation!ES69+O69+W69+Sheet1!BN67+Calculation!AS69+Calculation!DJ69-BP69)</f>
        <v>55.133088083663942</v>
      </c>
      <c r="AJ69" s="94"/>
      <c r="AM69" s="90">
        <f t="shared" si="15"/>
        <v>42793</v>
      </c>
      <c r="AN69" s="94">
        <f>Sheet1!BU67</f>
        <v>24.1</v>
      </c>
      <c r="AO69" s="94">
        <f>Sheet1!AA67</f>
        <v>25.76</v>
      </c>
      <c r="AP69" s="94">
        <f t="shared" si="1"/>
        <v>1.0802999999999967</v>
      </c>
      <c r="AQ69" s="1087">
        <f>((Sheet1!BV67-(Sheet1!BU67-AP69))/(Sheet1!BU67-AP69))</f>
        <v>0.18159663244959728</v>
      </c>
      <c r="AR69" s="94">
        <f t="shared" si="2"/>
        <v>24.679700000000004</v>
      </c>
      <c r="AS69" s="94">
        <f t="shared" si="3"/>
        <v>23.019700000000004</v>
      </c>
      <c r="AT69" s="89">
        <f>Sheet1!BB67</f>
        <v>0</v>
      </c>
      <c r="AU69" s="89">
        <f>Sheet1!AS67*GPMtoMGD</f>
        <v>2.9952000000000003E-2</v>
      </c>
      <c r="AV69" s="94">
        <f>Sheet1!AT67</f>
        <v>0</v>
      </c>
      <c r="AW69" s="89">
        <f>Sheet1!AV67*GPMtoMGD</f>
        <v>0.45792000000000005</v>
      </c>
      <c r="AX69" s="89">
        <f>Sheet1!AW67*GPMtoMGD</f>
        <v>0.408528</v>
      </c>
      <c r="AY69" s="89">
        <f>Sheet1!AX67*GPMtoMGD</f>
        <v>0</v>
      </c>
      <c r="AZ69" s="89">
        <f>Sheet1!AY67*GPMtoMGD</f>
        <v>0</v>
      </c>
      <c r="BA69" s="89">
        <f>Sheet1!AZ67*GPMtoMGD</f>
        <v>0</v>
      </c>
      <c r="BB69" s="89">
        <f>Sheet1!BP67*GPMtoMGD</f>
        <v>2.8800000000000002E-3</v>
      </c>
      <c r="BC69" s="89">
        <f>Sheet1!CS67*GPMtoMGD</f>
        <v>0</v>
      </c>
      <c r="BD69" s="89">
        <f>Sheet1!BO67*GPMtoMGD</f>
        <v>1.3877280000000001</v>
      </c>
      <c r="BE69" s="89">
        <f>Sheet1!BW67*GPMtoMGD</f>
        <v>0.66816000000000009</v>
      </c>
      <c r="BF69" s="89">
        <f>Sheet1!CN67*GPMtoMGD</f>
        <v>0.76175999999999999</v>
      </c>
      <c r="BG69" s="89">
        <f>Sheet1!CO67*GPMtoMGD</f>
        <v>0.60004800000000003</v>
      </c>
      <c r="BH69" s="89">
        <f>Sheet1!CP67*GPMtoMGD</f>
        <v>0.67348799999999998</v>
      </c>
      <c r="BI69" s="89">
        <f t="shared" si="16"/>
        <v>1.3906080000000001</v>
      </c>
      <c r="BK69" s="94">
        <f>SUM(AT69:BA69,AS69,BC69,Calculation!AQ69)</f>
        <v>43.392379069767443</v>
      </c>
      <c r="BM69" s="358">
        <f>0</f>
        <v>0</v>
      </c>
      <c r="BN69" s="358">
        <f>0</f>
        <v>0</v>
      </c>
      <c r="BP69" s="94">
        <f>SUM(BM69:BN69,W69,Sheet1!DX67)</f>
        <v>0</v>
      </c>
      <c r="BR69" s="94">
        <f>Sheet1!AA67</f>
        <v>25.76</v>
      </c>
      <c r="BS69" s="94">
        <f>Sheet1!AB67</f>
        <v>29.91</v>
      </c>
      <c r="BT69" s="94">
        <f t="shared" ca="1" si="7"/>
        <v>-0.66063284656862009</v>
      </c>
      <c r="BU69" s="94">
        <f>Sheet1!AT67</f>
        <v>0</v>
      </c>
      <c r="BV69" s="89">
        <f>Sheet1!BB67</f>
        <v>0</v>
      </c>
      <c r="BW69" s="94">
        <f>Calculation!ED69</f>
        <v>10.433720930232559</v>
      </c>
      <c r="BX69" s="94">
        <f>(Sheet1!CS67*1440)/1000000</f>
        <v>0</v>
      </c>
      <c r="CA69" s="94">
        <f ca="1">Sheet1!AC67-Sheet1!BK67-Sheet1!BL67-Sheet1!BM67-Sheet1!BC67-Sheet1!BD67-Sheet1!BE67-Sheet1!BF67-Sheet1!BG67-Sheet1!BH67-Sheet1!BI67+BC69+P69</f>
        <v>44.509367153431384</v>
      </c>
      <c r="CB69" s="93">
        <f t="shared" si="8"/>
        <v>69.980523720930222</v>
      </c>
      <c r="CC69" s="94">
        <f t="shared" si="9"/>
        <v>0</v>
      </c>
      <c r="CD69" s="94">
        <f t="shared" ca="1" si="10"/>
        <v>54.943088083663945</v>
      </c>
      <c r="CE69" s="1077">
        <f t="shared" ca="1" si="11"/>
        <v>84.996957265428122</v>
      </c>
      <c r="CG69" s="1077">
        <f t="shared" ca="1" si="12"/>
        <v>44.509367153431384</v>
      </c>
    </row>
    <row r="70" spans="1:85" s="89" customFormat="1" x14ac:dyDescent="0.25">
      <c r="A70" s="616" t="s">
        <v>5</v>
      </c>
      <c r="B70" s="91">
        <v>42794</v>
      </c>
      <c r="C70" s="92">
        <v>0</v>
      </c>
      <c r="D70" s="94">
        <f>(Sheet1!BQ68-Sheet1!BQ67)*1.385</f>
        <v>0.60940000000000183</v>
      </c>
      <c r="E70" s="30">
        <f>(Sheet1!BR68-Sheet1!BR67)*1.385</f>
        <v>0.65094999999999847</v>
      </c>
      <c r="F70" s="30">
        <f ca="1">IF(B70=TODAY(),0,-(VLOOKUP(Sheet1!CD68,Lookup!$I$4:$J$216,2)-VLOOKUP(Sheet1!CD67,Lookup!$I$4:$J$216,2))/1000000)</f>
        <v>-0.10363693854779936</v>
      </c>
      <c r="G70" s="94">
        <f ca="1">IF(B70=TODAY(),0,-$G$6*(Sheet1!CF68-Sheet1!CF67)*7.48/1000000)</f>
        <v>0.36536420968354549</v>
      </c>
      <c r="H70" s="94">
        <f ca="1">IF(B70=TODAY(),0,-$H$6*(Sheet1!CE68-Sheet1!CE67)*7.48/1000000)</f>
        <v>0</v>
      </c>
      <c r="I70" s="94">
        <f ca="1">IF(B70=TODAY(),0,-$I$6*(Sheet1!CG68-Sheet1!CG67)*7.48/1000000)</f>
        <v>4.4924879999999837E-3</v>
      </c>
      <c r="J70" s="95" t="s">
        <v>177</v>
      </c>
      <c r="K70" s="94">
        <f ca="1">IF(B70=TODAY(),0,-$K$6*(Sheet1!CH68-Sheet1!CH67)*7.48/1000000)</f>
        <v>2.6653281497834381E-3</v>
      </c>
      <c r="L70" s="95" t="s">
        <v>177</v>
      </c>
      <c r="M70" s="94">
        <f ca="1">IF(B70=TODAY(),0,-$M$6*(Sheet1!CI68-Sheet1!CI67)*7.48/1000000)</f>
        <v>1.7991508428027301E-2</v>
      </c>
      <c r="N70" s="94">
        <f ca="1">IF(B70=TODAY(),0,-$N$6*(Sheet1!CJ68-Sheet1!CJ67)*7.48/1000000)</f>
        <v>0.36610883782828091</v>
      </c>
      <c r="O70" s="94">
        <f t="shared" ca="1" si="13"/>
        <v>0.65298543354183769</v>
      </c>
      <c r="P70" s="94">
        <f ca="1">O70+Calculation!ES70</f>
        <v>-0.59306997263720662</v>
      </c>
      <c r="Q70" s="89" t="str">
        <f>IF(Sheet1!BQ68&gt;25.75,"spill elevation","-")</f>
        <v>-</v>
      </c>
      <c r="R70" s="89" t="str">
        <f>IF(Sheet1!BQ68&gt;25.75,"spill elevation","-")</f>
        <v>-</v>
      </c>
      <c r="S70" s="89" t="str">
        <f>IF(Sheet1!BR68&gt;25.75,"spill elevation","-")</f>
        <v>-</v>
      </c>
      <c r="T70" s="93">
        <f>IF(Sheet1!DU68=1,Sheet1!AA68-(SUM(AT70:BA70)+BE70),Sheet1!AA68-SUM(AT70:BA70))</f>
        <v>24.302479999999999</v>
      </c>
      <c r="U70" s="93">
        <f>Sheet1!BV68</f>
        <v>26.3</v>
      </c>
      <c r="V70" s="93">
        <f t="shared" si="14"/>
        <v>-1.9975200000000015</v>
      </c>
      <c r="W70" s="93">
        <f>0</f>
        <v>0</v>
      </c>
      <c r="X70" s="89">
        <f>0</f>
        <v>0</v>
      </c>
      <c r="Y70" s="94">
        <f ca="1">Calculation!EJ71+Calculation!ES70+'Calculations II'!O70-'Calculations II'!W70</f>
        <v>43.107138081253588</v>
      </c>
      <c r="Z70" s="94">
        <f ca="1">Y70-Sheet1!CT69</f>
        <v>27.77713808125359</v>
      </c>
      <c r="AA70" s="94">
        <f ca="1">Y70+Calculation!DJ71+Calculation!AS71</f>
        <v>53.636471414586921</v>
      </c>
      <c r="AC70" s="94">
        <f>Sheet1!AA68+Sheet1!AB68+BC70</f>
        <v>55.7</v>
      </c>
      <c r="AD70" s="94">
        <f>Sheet1!AA68+Sheet1!BN68+'Calculations II'!BC70-Calculation!AS70-Calculation!DJ70</f>
        <v>35.253907549052215</v>
      </c>
      <c r="AE70" s="94">
        <f>Sheet1!AA68+Sheet1!AB68+'Calculations II'!BC70-Calculation!AS70-Calculation!DJ70</f>
        <v>45.453907549052218</v>
      </c>
      <c r="AF70" s="94">
        <f ca="1">Sheet1!AA68+Sheet1!BN68+P70+'Calculations II'!BC70+Calculation!AS70+Calculation!DJ70</f>
        <v>55.153022478310575</v>
      </c>
      <c r="AG70" s="94">
        <f ca="1">IF(B70=TODAY(),0,Sheet1!AA68+Sheet1!BN68+'Calculations II'!BC70+'Calculations II'!P70-Sheet1!CT68-BP70)</f>
        <v>29.658930027362793</v>
      </c>
      <c r="AH70" s="94">
        <f ca="1">IF(B70=TODAY(),0,Sheet1!AA68+Sheet1!BN68+'Calculations II'!BC70+'Calculations II'!P70-BP70)</f>
        <v>44.90693002736279</v>
      </c>
      <c r="AI70" s="94">
        <f ca="1">IF(B70=TODAY(),0,BC70+Sheet1!AA68+Calculation!ES70+O70+W70+Sheet1!BN68+Calculation!AS70+Calculation!DJ70-BP70)</f>
        <v>55.153022478310575</v>
      </c>
      <c r="AJ70" s="94"/>
      <c r="AM70" s="90">
        <f t="shared" si="15"/>
        <v>42794</v>
      </c>
      <c r="AN70" s="94">
        <f>Sheet1!BU68</f>
        <v>23.6</v>
      </c>
      <c r="AO70" s="94">
        <f>Sheet1!AA68</f>
        <v>25.7</v>
      </c>
      <c r="AP70" s="94">
        <f t="shared" si="1"/>
        <v>1.2603500000000003</v>
      </c>
      <c r="AQ70" s="1087">
        <f>((Sheet1!BV68-(Sheet1!BU68-AP70))/(Sheet1!BU68-AP70))</f>
        <v>0.17727896363640425</v>
      </c>
      <c r="AR70" s="94">
        <f t="shared" si="2"/>
        <v>24.43965</v>
      </c>
      <c r="AS70" s="94">
        <f t="shared" si="3"/>
        <v>22.339650000000002</v>
      </c>
      <c r="AT70" s="89">
        <f>Sheet1!BB68</f>
        <v>0</v>
      </c>
      <c r="AU70" s="89">
        <f>Sheet1!AS68*GPMtoMGD</f>
        <v>1.5264E-2</v>
      </c>
      <c r="AV70" s="94">
        <f>Sheet1!AT68</f>
        <v>0</v>
      </c>
      <c r="AW70" s="89">
        <f>Sheet1!AV68*GPMtoMGD</f>
        <v>0.60177599999999998</v>
      </c>
      <c r="AX70" s="89">
        <f>Sheet1!AW68*GPMtoMGD</f>
        <v>0.78048000000000006</v>
      </c>
      <c r="AY70" s="89">
        <f>Sheet1!AX68*GPMtoMGD</f>
        <v>0</v>
      </c>
      <c r="AZ70" s="89">
        <f>Sheet1!AY68*GPMtoMGD</f>
        <v>0</v>
      </c>
      <c r="BA70" s="89">
        <f>Sheet1!AZ68*GPMtoMGD</f>
        <v>0</v>
      </c>
      <c r="BB70" s="89">
        <f>Sheet1!BP68*GPMtoMGD</f>
        <v>2.8800000000000002E-3</v>
      </c>
      <c r="BC70" s="89">
        <f>Sheet1!CS68*GPMtoMGD</f>
        <v>0</v>
      </c>
      <c r="BD70" s="89">
        <f>Sheet1!BO68*GPMtoMGD</f>
        <v>1.3844160000000001</v>
      </c>
      <c r="BE70" s="89">
        <f>Sheet1!BW68*GPMtoMGD</f>
        <v>0.8029440000000001</v>
      </c>
      <c r="BF70" s="89">
        <f>Sheet1!CN68*GPMtoMGD</f>
        <v>0.62827200000000005</v>
      </c>
      <c r="BG70" s="89">
        <f>Sheet1!CO68*GPMtoMGD</f>
        <v>0.57902400000000009</v>
      </c>
      <c r="BH70" s="89">
        <f>Sheet1!CP68*GPMtoMGD</f>
        <v>0.6755040000000001</v>
      </c>
      <c r="BI70" s="89">
        <f t="shared" si="16"/>
        <v>1.3872960000000001</v>
      </c>
      <c r="BK70" s="94">
        <f>SUM(AT70:BA70,AS70,BC70,Calculation!AQ70)</f>
        <v>43.491077549052214</v>
      </c>
      <c r="BM70" s="358">
        <f>0</f>
        <v>0</v>
      </c>
      <c r="BN70" s="358">
        <f>0</f>
        <v>0</v>
      </c>
      <c r="BP70" s="94">
        <f>SUM(BM70:BN70,W70,Sheet1!DX68)</f>
        <v>0</v>
      </c>
      <c r="BR70" s="94">
        <f>Sheet1!AA68</f>
        <v>25.7</v>
      </c>
      <c r="BS70" s="94">
        <f>Sheet1!AB68</f>
        <v>30</v>
      </c>
      <c r="BT70" s="94">
        <f t="shared" ca="1" si="7"/>
        <v>-0.59306997263720662</v>
      </c>
      <c r="BU70" s="94">
        <f>Sheet1!AT68</f>
        <v>0</v>
      </c>
      <c r="BV70" s="89">
        <f>Sheet1!BB68</f>
        <v>0</v>
      </c>
      <c r="BW70" s="94">
        <f>Calculation!ED70</f>
        <v>10.246092450947788</v>
      </c>
      <c r="BX70" s="94">
        <f>(Sheet1!CS68*1440)/1000000</f>
        <v>0</v>
      </c>
      <c r="CA70" s="94">
        <f ca="1">Sheet1!AC68-Sheet1!BK68-Sheet1!BL68-Sheet1!BM68-Sheet1!BC68-Sheet1!BD68-Sheet1!BE68-Sheet1!BF68-Sheet1!BG68-Sheet1!BH68-Sheet1!BI68+BC70+P70</f>
        <v>44.836930027362797</v>
      </c>
      <c r="CB70" s="93">
        <f t="shared" si="8"/>
        <v>70.317194978383782</v>
      </c>
      <c r="CC70" s="94">
        <f t="shared" si="9"/>
        <v>0</v>
      </c>
      <c r="CD70" s="94">
        <f t="shared" ca="1" si="10"/>
        <v>55.083022478310582</v>
      </c>
      <c r="CE70" s="1077">
        <f t="shared" ca="1" si="11"/>
        <v>85.213435773946472</v>
      </c>
      <c r="CG70" s="1077">
        <f t="shared" ca="1" si="12"/>
        <v>44.836930027362797</v>
      </c>
    </row>
    <row r="71" spans="1:85" s="89" customFormat="1" x14ac:dyDescent="0.25">
      <c r="A71" s="616" t="s">
        <v>6</v>
      </c>
      <c r="B71" s="91">
        <v>42795</v>
      </c>
      <c r="C71" s="92">
        <v>0</v>
      </c>
      <c r="D71" s="94">
        <f>(Sheet1!BQ69-Sheet1!BQ68)*1.385</f>
        <v>-1.3850000000002164E-2</v>
      </c>
      <c r="E71" s="30">
        <f>(Sheet1!BR69-Sheet1!BR68)*1.385</f>
        <v>-6.9249999999996065E-2</v>
      </c>
      <c r="F71" s="30">
        <f ca="1">IF(B71=TODAY(),0,-(VLOOKUP(Sheet1!CD69,Lookup!$I$4:$J$216,2)-VLOOKUP(Sheet1!CD68,Lookup!$I$4:$J$216,2))/1000000)</f>
        <v>0.31091081564339806</v>
      </c>
      <c r="G71" s="94">
        <f ca="1">IF(B71=TODAY(),0,-$G$6*(Sheet1!CF69-Sheet1!CF68)*7.48/1000000)</f>
        <v>-1.0802072286296134</v>
      </c>
      <c r="H71" s="94">
        <f ca="1">IF(B71=TODAY(),0,-$H$6*(Sheet1!CE69-Sheet1!CE68)*7.48/1000000)</f>
        <v>0</v>
      </c>
      <c r="I71" s="94">
        <f ca="1">IF(B71=TODAY(),0,-$I$6*(Sheet1!CG69-Sheet1!CG68)*7.48/1000000)</f>
        <v>4.4924879999999837E-3</v>
      </c>
      <c r="J71" s="95" t="s">
        <v>177</v>
      </c>
      <c r="K71" s="94">
        <f ca="1">IF(B71=TODAY(),0,-$K$6*(Sheet1!CH69-Sheet1!CH68)*7.48/1000000)</f>
        <v>1.3326640748916837E-2</v>
      </c>
      <c r="L71" s="95" t="s">
        <v>177</v>
      </c>
      <c r="M71" s="94">
        <f ca="1">IF(B71=TODAY(),0,-$M$6*(Sheet1!CI69-Sheet1!CI68)*7.48/1000000)</f>
        <v>3.598301685605397E-2</v>
      </c>
      <c r="N71" s="94">
        <f ca="1">IF(B71=TODAY(),0,-$N$6*(Sheet1!CJ69-Sheet1!CJ68)*7.48/1000000)</f>
        <v>-6.2052345394623676E-2</v>
      </c>
      <c r="O71" s="94">
        <f t="shared" ca="1" si="13"/>
        <v>-0.77754661277586812</v>
      </c>
      <c r="P71" s="94">
        <f ca="1">O71+Calculation!ES71</f>
        <v>-0.63906183793482407</v>
      </c>
      <c r="Q71" s="89" t="str">
        <f>IF(Sheet1!BQ69&gt;25.75,"spill elevation","-")</f>
        <v>-</v>
      </c>
      <c r="R71" s="89" t="str">
        <f>IF(Sheet1!BQ69&gt;25.75,"spill elevation","-")</f>
        <v>-</v>
      </c>
      <c r="S71" s="89" t="str">
        <f>IF(Sheet1!BR69&gt;25.75,"spill elevation","-")</f>
        <v>-</v>
      </c>
      <c r="T71" s="93">
        <f>IF(Sheet1!DU69=1,Sheet1!AA69-(SUM(AT71:BA71)+BE71),Sheet1!AA69-SUM(AT71:BA71))</f>
        <v>24.392911999999999</v>
      </c>
      <c r="U71" s="93">
        <f>Sheet1!BV69</f>
        <v>28.3</v>
      </c>
      <c r="V71" s="93">
        <f t="shared" si="14"/>
        <v>-3.9070880000000017</v>
      </c>
      <c r="W71" s="93">
        <f>0</f>
        <v>0</v>
      </c>
      <c r="X71" s="89">
        <f>0</f>
        <v>0</v>
      </c>
      <c r="Y71" s="94">
        <f ca="1">Calculation!EJ72+Calculation!ES71+'Calculations II'!O71-'Calculations II'!W71</f>
        <v>43.181839724072418</v>
      </c>
      <c r="Z71" s="94">
        <f ca="1">Y71-Sheet1!CT70</f>
        <v>28.276839724072417</v>
      </c>
      <c r="AA71" s="94">
        <f ca="1">Y71+Calculation!DJ72+Calculation!AS72</f>
        <v>53.721606207588906</v>
      </c>
      <c r="AC71" s="94">
        <f>Sheet1!AA69+Sheet1!AB69+BC71</f>
        <v>55.5</v>
      </c>
      <c r="AD71" s="94">
        <f>Sheet1!AA69+Sheet1!BN69+'Calculations II'!BC71-Calculation!AS71-Calculation!DJ71</f>
        <v>34.570666666666661</v>
      </c>
      <c r="AE71" s="94">
        <f>Sheet1!AA69+Sheet1!AB69+'Calculations II'!BC71-Calculation!AS71-Calculation!DJ71</f>
        <v>44.970666666666666</v>
      </c>
      <c r="AF71" s="94">
        <f ca="1">Sheet1!AA69+Sheet1!BN69+P71+'Calculations II'!BC71+Calculation!AS71+Calculation!DJ71</f>
        <v>54.990271495398503</v>
      </c>
      <c r="AG71" s="94">
        <f ca="1">IF(B71=TODAY(),0,Sheet1!AA69+Sheet1!BN69+'Calculations II'!BC71+'Calculations II'!P71-Sheet1!CT69-BP71)</f>
        <v>29.130938162065171</v>
      </c>
      <c r="AH71" s="94">
        <f ca="1">IF(B71=TODAY(),0,Sheet1!AA69+Sheet1!BN69+'Calculations II'!BC71+'Calculations II'!P71-BP71)</f>
        <v>44.460938162065169</v>
      </c>
      <c r="AI71" s="94">
        <f ca="1">IF(B71=TODAY(),0,BC71+Sheet1!AA69+Calculation!ES71+O71+W71+Sheet1!BN69+Calculation!AS71+Calculation!DJ71-BP71)</f>
        <v>54.99027149539851</v>
      </c>
      <c r="AJ71" s="94"/>
      <c r="AM71" s="90">
        <f t="shared" si="15"/>
        <v>42795</v>
      </c>
      <c r="AN71" s="94">
        <f>Sheet1!BU69</f>
        <v>23.9</v>
      </c>
      <c r="AO71" s="94">
        <f>Sheet1!AA69</f>
        <v>25.7</v>
      </c>
      <c r="AP71" s="94">
        <f t="shared" si="1"/>
        <v>-8.3099999999998231E-2</v>
      </c>
      <c r="AQ71" s="1087">
        <f>((Sheet1!BV69-(Sheet1!BU69-AP71))/(Sheet1!BU69-AP71))</f>
        <v>0.17999758163039825</v>
      </c>
      <c r="AR71" s="94">
        <f t="shared" si="2"/>
        <v>25.783099999999997</v>
      </c>
      <c r="AS71" s="94">
        <f t="shared" si="3"/>
        <v>23.983099999999997</v>
      </c>
      <c r="AT71" s="89">
        <f>Sheet1!BB69</f>
        <v>0</v>
      </c>
      <c r="AU71" s="89">
        <f>Sheet1!AS69*GPMtoMGD</f>
        <v>3.0528E-2</v>
      </c>
      <c r="AV71" s="94">
        <f>Sheet1!AT69</f>
        <v>0</v>
      </c>
      <c r="AW71" s="89">
        <f>Sheet1!AV69*GPMtoMGD</f>
        <v>0.46771200000000007</v>
      </c>
      <c r="AX71" s="89">
        <f>Sheet1!AW69*GPMtoMGD</f>
        <v>0.80884800000000012</v>
      </c>
      <c r="AY71" s="89">
        <f>Sheet1!AX69*GPMtoMGD</f>
        <v>0</v>
      </c>
      <c r="AZ71" s="89">
        <f>Sheet1!AY69*GPMtoMGD</f>
        <v>0</v>
      </c>
      <c r="BA71" s="89">
        <f>Sheet1!AZ69*GPMtoMGD</f>
        <v>0</v>
      </c>
      <c r="BB71" s="89">
        <f>Sheet1!BP69*GPMtoMGD</f>
        <v>2.8800000000000002E-3</v>
      </c>
      <c r="BC71" s="89">
        <f>Sheet1!CS69*GPMtoMGD</f>
        <v>0</v>
      </c>
      <c r="BD71" s="89">
        <f>Sheet1!BO69*GPMtoMGD</f>
        <v>1.3590720000000001</v>
      </c>
      <c r="BE71" s="89">
        <f>Sheet1!BW69*GPMtoMGD</f>
        <v>0.68299200000000004</v>
      </c>
      <c r="BF71" s="89">
        <f>Sheet1!CN69*GPMtoMGD</f>
        <v>0.32068800000000003</v>
      </c>
      <c r="BG71" s="89">
        <f>Sheet1!CO69*GPMtoMGD</f>
        <v>0.65361599999999997</v>
      </c>
      <c r="BH71" s="89">
        <f>Sheet1!CP69*GPMtoMGD</f>
        <v>0.64238400000000007</v>
      </c>
      <c r="BI71" s="89">
        <f t="shared" si="16"/>
        <v>1.3619520000000001</v>
      </c>
      <c r="BK71" s="94">
        <f>SUM(AT71:BA71,AS71,BC71,Calculation!AQ71)</f>
        <v>44.560854666666664</v>
      </c>
      <c r="BM71" s="358">
        <f>0</f>
        <v>0</v>
      </c>
      <c r="BN71" s="358">
        <f>0</f>
        <v>0</v>
      </c>
      <c r="BP71" s="94">
        <f>SUM(BM71:BN71,W71,Sheet1!DX69)</f>
        <v>0</v>
      </c>
      <c r="BR71" s="94">
        <f>Sheet1!AA69</f>
        <v>25.7</v>
      </c>
      <c r="BS71" s="94">
        <f>Sheet1!AB69</f>
        <v>29.8</v>
      </c>
      <c r="BT71" s="94">
        <f t="shared" ca="1" si="7"/>
        <v>-0.63906183793482407</v>
      </c>
      <c r="BU71" s="94">
        <f>Sheet1!AT69</f>
        <v>0</v>
      </c>
      <c r="BV71" s="89">
        <f>Sheet1!BB69</f>
        <v>0</v>
      </c>
      <c r="BW71" s="94">
        <f>Calculation!ED71</f>
        <v>10.529333333333334</v>
      </c>
      <c r="BX71" s="94">
        <f>(Sheet1!CS69*1440)/1000000</f>
        <v>0</v>
      </c>
      <c r="CA71" s="94">
        <f ca="1">Sheet1!AC69-Sheet1!BK69-Sheet1!BL69-Sheet1!BM69-Sheet1!BC69-Sheet1!BD69-Sheet1!BE69-Sheet1!BF69-Sheet1!BG69-Sheet1!BH69-Sheet1!BI69+BC71+P71</f>
        <v>44.260938162065173</v>
      </c>
      <c r="CB71" s="93">
        <f t="shared" si="8"/>
        <v>69.56962133333333</v>
      </c>
      <c r="CC71" s="94">
        <f t="shared" si="9"/>
        <v>0</v>
      </c>
      <c r="CD71" s="94">
        <f t="shared" ca="1" si="10"/>
        <v>54.790271495398507</v>
      </c>
      <c r="CE71" s="1077">
        <f t="shared" ca="1" si="11"/>
        <v>84.760550003381482</v>
      </c>
      <c r="CG71" s="1077">
        <f t="shared" ca="1" si="12"/>
        <v>44.260938162065173</v>
      </c>
    </row>
    <row r="72" spans="1:85" s="89" customFormat="1" x14ac:dyDescent="0.25">
      <c r="A72" s="616" t="s">
        <v>7</v>
      </c>
      <c r="B72" s="91">
        <v>42796</v>
      </c>
      <c r="C72" s="92">
        <v>0</v>
      </c>
      <c r="D72" s="94">
        <f>(Sheet1!BQ70-Sheet1!BQ69)*1.385</f>
        <v>0.48475000000000196</v>
      </c>
      <c r="E72" s="30">
        <f>(Sheet1!BR70-Sheet1!BR69)*1.385</f>
        <v>0.52629999999999866</v>
      </c>
      <c r="F72" s="30">
        <f ca="1">IF(B72=TODAY(),0,-(VLOOKUP(Sheet1!CD70,Lookup!$I$4:$J$216,2)-VLOOKUP(Sheet1!CD69,Lookup!$I$4:$J$216,2))/1000000)</f>
        <v>-0.10363693854779936</v>
      </c>
      <c r="G72" s="94">
        <f ca="1">IF(B72=TODAY(),0,-$G$6*(Sheet1!CF70-Sheet1!CF69)*7.48/1000000)</f>
        <v>0.5559890147358304</v>
      </c>
      <c r="H72" s="94">
        <f ca="1">IF(B72=TODAY(),0,-$H$6*(Sheet1!CE70-Sheet1!CE69)*7.48/1000000)</f>
        <v>0</v>
      </c>
      <c r="I72" s="94">
        <f ca="1">IF(B72=TODAY(),0,-$I$6*(Sheet1!CG70-Sheet1!CG69)*7.48/1000000)</f>
        <v>8.9849760000000074E-3</v>
      </c>
      <c r="J72" s="95" t="s">
        <v>177</v>
      </c>
      <c r="K72" s="94">
        <f ca="1">IF(B72=TODAY(),0,-$K$6*(Sheet1!CH70-Sheet1!CH69)*7.48/1000000)</f>
        <v>1.3326640748916837E-2</v>
      </c>
      <c r="L72" s="95" t="s">
        <v>177</v>
      </c>
      <c r="M72" s="94">
        <f ca="1">IF(B72=TODAY(),0,-$M$6*(Sheet1!CI70-Sheet1!CI69)*7.48/1000000)</f>
        <v>5.3974525284081275E-2</v>
      </c>
      <c r="N72" s="94">
        <f ca="1">IF(B72=TODAY(),0,-$N$6*(Sheet1!CJ70-Sheet1!CJ69)*7.48/1000000)</f>
        <v>-3.102617269731129E-2</v>
      </c>
      <c r="O72" s="94">
        <f t="shared" ca="1" si="13"/>
        <v>0.49761204552371785</v>
      </c>
      <c r="P72" s="94">
        <f ca="1">O72+Calculation!ES72</f>
        <v>-0.61016363133239393</v>
      </c>
      <c r="Q72" s="89" t="str">
        <f>IF(Sheet1!BQ70&gt;25.75,"spill elevation","-")</f>
        <v>-</v>
      </c>
      <c r="R72" s="89" t="str">
        <f>IF(Sheet1!BQ70&gt;25.75,"spill elevation","-")</f>
        <v>-</v>
      </c>
      <c r="S72" s="89" t="str">
        <f>IF(Sheet1!BR70&gt;25.75,"spill elevation","-")</f>
        <v>-</v>
      </c>
      <c r="T72" s="93">
        <f>IF(Sheet1!DU70=1,Sheet1!AA70-(SUM(AT72:BA72)+BE72),Sheet1!AA70-SUM(AT72:BA72))</f>
        <v>25.036944000000002</v>
      </c>
      <c r="U72" s="93">
        <f>Sheet1!BV70</f>
        <v>27.3</v>
      </c>
      <c r="V72" s="93">
        <f t="shared" si="14"/>
        <v>-2.2630559999999988</v>
      </c>
      <c r="W72" s="93">
        <f>0</f>
        <v>0</v>
      </c>
      <c r="X72" s="89">
        <f>0</f>
        <v>0</v>
      </c>
      <c r="Y72" s="94">
        <f ca="1">Calculation!EJ73+Calculation!ES72+'Calculations II'!O72-'Calculations II'!W72</f>
        <v>44.621678467613634</v>
      </c>
      <c r="Z72" s="94">
        <f ca="1">Y72-Sheet1!CT71</f>
        <v>28.487678467613634</v>
      </c>
      <c r="AA72" s="94">
        <f ca="1">Y72+Calculation!DJ73+Calculation!AS73</f>
        <v>55.101070846604365</v>
      </c>
      <c r="AC72" s="94">
        <f>Sheet1!AA70+Sheet1!AB70+BC72</f>
        <v>54.7</v>
      </c>
      <c r="AD72" s="94">
        <f>Sheet1!AA70+Sheet1!BN70+'Calculations II'!BC72-Calculation!AS72-Calculation!DJ72</f>
        <v>33.76023351648351</v>
      </c>
      <c r="AE72" s="94">
        <f>Sheet1!AA70+Sheet1!AB70+'Calculations II'!BC72-Calculation!AS72-Calculation!DJ72</f>
        <v>44.160233516483515</v>
      </c>
      <c r="AF72" s="94">
        <f ca="1">Sheet1!AA70+Sheet1!BN70+P72+'Calculations II'!BC72+Calculation!AS72+Calculation!DJ72</f>
        <v>54.229602852184087</v>
      </c>
      <c r="AG72" s="94">
        <f ca="1">IF(B72=TODAY(),0,Sheet1!AA70+Sheet1!BN70+'Calculations II'!BC72+'Calculations II'!P72-Sheet1!CT70-BP72)</f>
        <v>28.784836368667605</v>
      </c>
      <c r="AH72" s="94">
        <f ca="1">IF(B72=TODAY(),0,Sheet1!AA70+Sheet1!BN70+'Calculations II'!BC72+'Calculations II'!P72-BP72)</f>
        <v>43.689836368667606</v>
      </c>
      <c r="AI72" s="94">
        <f ca="1">IF(B72=TODAY(),0,BC72+Sheet1!AA70+Calculation!ES72+O72+W72+Sheet1!BN70+Calculation!AS72+Calculation!DJ72-BP72)</f>
        <v>54.229602852184087</v>
      </c>
      <c r="AJ72" s="94"/>
      <c r="AM72" s="90">
        <f t="shared" si="15"/>
        <v>42796</v>
      </c>
      <c r="AN72" s="94">
        <f>Sheet1!BU70</f>
        <v>24.2</v>
      </c>
      <c r="AO72" s="94">
        <f>Sheet1!AA70</f>
        <v>25.8</v>
      </c>
      <c r="AP72" s="94">
        <f t="shared" si="1"/>
        <v>1.0110500000000007</v>
      </c>
      <c r="AQ72" s="1087">
        <f>((Sheet1!BV70-(Sheet1!BU70-AP72))/(Sheet1!BU70-AP72))</f>
        <v>0.17728487059569331</v>
      </c>
      <c r="AR72" s="94">
        <f t="shared" si="2"/>
        <v>24.78895</v>
      </c>
      <c r="AS72" s="94">
        <f t="shared" si="3"/>
        <v>23.188949999999998</v>
      </c>
      <c r="AT72" s="89">
        <f>Sheet1!BB70</f>
        <v>0</v>
      </c>
      <c r="AU72" s="89">
        <f>Sheet1!AS70*GPMtoMGD</f>
        <v>1.4544E-2</v>
      </c>
      <c r="AV72" s="94">
        <f>Sheet1!AT70</f>
        <v>0</v>
      </c>
      <c r="AW72" s="89">
        <f>Sheet1!AV70*GPMtoMGD</f>
        <v>0.27288000000000001</v>
      </c>
      <c r="AX72" s="89">
        <f>Sheet1!AW70*GPMtoMGD</f>
        <v>0.47563200000000005</v>
      </c>
      <c r="AY72" s="89">
        <f>Sheet1!AX70*GPMtoMGD</f>
        <v>0</v>
      </c>
      <c r="AZ72" s="89">
        <f>Sheet1!AY70*GPMtoMGD</f>
        <v>0</v>
      </c>
      <c r="BA72" s="89">
        <f>Sheet1!AZ70*GPMtoMGD</f>
        <v>0</v>
      </c>
      <c r="BB72" s="89">
        <f>Sheet1!BP70*GPMtoMGD</f>
        <v>2.8800000000000002E-3</v>
      </c>
      <c r="BC72" s="89">
        <f>Sheet1!CS70*GPMtoMGD</f>
        <v>0</v>
      </c>
      <c r="BD72" s="89">
        <f>Sheet1!BO70*GPMtoMGD</f>
        <v>1.3426560000000001</v>
      </c>
      <c r="BE72" s="89">
        <f>Sheet1!BW70*GPMtoMGD</f>
        <v>0.67651200000000011</v>
      </c>
      <c r="BF72" s="89">
        <f>Sheet1!CN70*GPMtoMGD</f>
        <v>0.23385600000000004</v>
      </c>
      <c r="BG72" s="89">
        <f>Sheet1!CO70*GPMtoMGD</f>
        <v>0.74750400000000006</v>
      </c>
      <c r="BH72" s="89">
        <f>Sheet1!CP70*GPMtoMGD</f>
        <v>0.63403200000000004</v>
      </c>
      <c r="BI72" s="89">
        <f t="shared" si="16"/>
        <v>1.3455360000000001</v>
      </c>
      <c r="BK72" s="94">
        <f>SUM(AT72:BA72,AS72,BC72,Calculation!AQ72)</f>
        <v>42.312239516483515</v>
      </c>
      <c r="BM72" s="358">
        <f>0</f>
        <v>0</v>
      </c>
      <c r="BN72" s="358">
        <f>0</f>
        <v>0</v>
      </c>
      <c r="BP72" s="94">
        <f>SUM(BM72:BN72,W72,Sheet1!DX70)</f>
        <v>0</v>
      </c>
      <c r="BR72" s="94">
        <f>Sheet1!AA70</f>
        <v>25.8</v>
      </c>
      <c r="BS72" s="94">
        <f>Sheet1!AB70</f>
        <v>28.9</v>
      </c>
      <c r="BT72" s="94">
        <f t="shared" ca="1" si="7"/>
        <v>-0.61016363133239393</v>
      </c>
      <c r="BU72" s="94">
        <f>Sheet1!AT70</f>
        <v>0</v>
      </c>
      <c r="BV72" s="89">
        <f>Sheet1!BB70</f>
        <v>0</v>
      </c>
      <c r="BW72" s="94">
        <f>Calculation!ED72</f>
        <v>10.539766483516484</v>
      </c>
      <c r="BX72" s="94">
        <f>(Sheet1!CS70*1440)/1000000</f>
        <v>0</v>
      </c>
      <c r="CA72" s="94">
        <f ca="1">Sheet1!AC70-Sheet1!BK70-Sheet1!BL70-Sheet1!BM70-Sheet1!BC70-Sheet1!BD70-Sheet1!BE70-Sheet1!BF70-Sheet1!BG70-Sheet1!BH70-Sheet1!BI70+BC72+P72</f>
        <v>43.469836368667607</v>
      </c>
      <c r="CB72" s="93">
        <f t="shared" si="8"/>
        <v>68.31588124999999</v>
      </c>
      <c r="CC72" s="94">
        <f t="shared" si="9"/>
        <v>0</v>
      </c>
      <c r="CD72" s="94">
        <f t="shared" ca="1" si="10"/>
        <v>54.009602852184088</v>
      </c>
      <c r="CE72" s="1077">
        <f t="shared" ca="1" si="11"/>
        <v>83.552855612328784</v>
      </c>
      <c r="CG72" s="1077">
        <f t="shared" ca="1" si="12"/>
        <v>43.469836368667607</v>
      </c>
    </row>
    <row r="73" spans="1:85" s="89" customFormat="1" x14ac:dyDescent="0.25">
      <c r="A73" s="616" t="s">
        <v>8</v>
      </c>
      <c r="B73" s="91">
        <v>42797</v>
      </c>
      <c r="C73" s="92">
        <v>0</v>
      </c>
      <c r="D73" s="94">
        <f>(Sheet1!BQ71-Sheet1!BQ70)*1.385</f>
        <v>0.49859999999999921</v>
      </c>
      <c r="E73" s="30">
        <f>(Sheet1!BR71-Sheet1!BR70)*1.385</f>
        <v>0.20774999999999802</v>
      </c>
      <c r="F73" s="30">
        <f ca="1">IF(B73=TODAY(),0,-(VLOOKUP(Sheet1!CD71,Lookup!$I$4:$J$216,2)-VLOOKUP(Sheet1!CD70,Lookup!$I$4:$J$216,2))/1000000)</f>
        <v>0.51818469273899681</v>
      </c>
      <c r="G73" s="94">
        <f ca="1">IF(B73=TODAY(),0,-$G$6*(Sheet1!CF71-Sheet1!CF70)*7.48/1000000)</f>
        <v>0.47656201263071196</v>
      </c>
      <c r="H73" s="94">
        <f ca="1">IF(B73=TODAY(),0,-$H$6*(Sheet1!CE71-Sheet1!CE70)*7.48/1000000)</f>
        <v>1.5039432351265274E-2</v>
      </c>
      <c r="I73" s="94">
        <f ca="1">IF(B73=TODAY(),0,-$I$6*(Sheet1!CG71-Sheet1!CG70)*7.48/1000000)</f>
        <v>1.7969952000000015E-2</v>
      </c>
      <c r="J73" s="95" t="s">
        <v>177</v>
      </c>
      <c r="K73" s="94">
        <f ca="1">IF(B73=TODAY(),0,-$K$6*(Sheet1!CH71-Sheet1!CH70)*7.48/1000000)</f>
        <v>3.3316601872292212E-2</v>
      </c>
      <c r="L73" s="95" t="s">
        <v>177</v>
      </c>
      <c r="M73" s="94">
        <f ca="1">IF(B73=TODAY(),0,-$M$6*(Sheet1!CI71-Sheet1!CI70)*7.48/1000000)</f>
        <v>7.1966033712107941E-2</v>
      </c>
      <c r="N73" s="94">
        <f ca="1">IF(B73=TODAY(),0,-$N$6*(Sheet1!CJ71-Sheet1!CJ70)*7.48/1000000)</f>
        <v>9.9283752631398325E-2</v>
      </c>
      <c r="O73" s="94">
        <f t="shared" ca="1" si="13"/>
        <v>1.2323224779367725</v>
      </c>
      <c r="P73" s="94">
        <f ca="1">O73+Calculation!ES73</f>
        <v>0.67839619288285991</v>
      </c>
      <c r="Q73" s="89" t="str">
        <f>IF(Sheet1!BQ71&gt;25.75,"spill elevation","-")</f>
        <v>-</v>
      </c>
      <c r="R73" s="89" t="str">
        <f>IF(Sheet1!BQ71&gt;25.75,"spill elevation","-")</f>
        <v>-</v>
      </c>
      <c r="S73" s="89" t="str">
        <f>IF(Sheet1!BR71&gt;25.75,"spill elevation","-")</f>
        <v>-</v>
      </c>
      <c r="T73" s="93">
        <f>IF(Sheet1!DU71=1,Sheet1!AA71-(SUM(AT73:BA73)+BE73),Sheet1!AA71-SUM(AT73:BA73))</f>
        <v>24.021087999999999</v>
      </c>
      <c r="U73" s="93">
        <f>Sheet1!BV71</f>
        <v>27.2</v>
      </c>
      <c r="V73" s="93">
        <f t="shared" si="14"/>
        <v>-3.1789120000000004</v>
      </c>
      <c r="W73" s="93">
        <f>0</f>
        <v>0</v>
      </c>
      <c r="X73" s="89">
        <f>0</f>
        <v>0</v>
      </c>
      <c r="Y73" s="94">
        <f ca="1">Calculation!EJ74+Calculation!ES73+'Calculations II'!O73-'Calculations II'!W73</f>
        <v>41.54211694948647</v>
      </c>
      <c r="Z73" s="94">
        <f ca="1">Y73-Sheet1!CT72</f>
        <v>26.33611694948647</v>
      </c>
      <c r="AA73" s="94">
        <f ca="1">Y73+Calculation!DJ74+Calculation!AS74</f>
        <v>52.063905120050435</v>
      </c>
      <c r="AC73" s="94">
        <f>Sheet1!AA71+Sheet1!AB71+BC73</f>
        <v>54.8</v>
      </c>
      <c r="AD73" s="94">
        <f>Sheet1!AA71+Sheet1!BN71+'Calculations II'!BC73-Calculation!AS73-Calculation!DJ73</f>
        <v>33.930607621009266</v>
      </c>
      <c r="AE73" s="94">
        <f>Sheet1!AA71+Sheet1!AB71+'Calculations II'!BC73-Calculation!AS73-Calculation!DJ73</f>
        <v>44.320607621009266</v>
      </c>
      <c r="AF73" s="94">
        <f ca="1">Sheet1!AA71+Sheet1!BN71+P73+'Calculations II'!BC73+Calculation!AS73+Calculation!DJ73</f>
        <v>55.567788571873585</v>
      </c>
      <c r="AG73" s="94">
        <f ca="1">IF(B73=TODAY(),0,Sheet1!AA71+Sheet1!BN71+'Calculations II'!BC73+'Calculations II'!P73-Sheet1!CT71-BP73)</f>
        <v>28.954396192882854</v>
      </c>
      <c r="AH73" s="94">
        <f ca="1">IF(B73=TODAY(),0,Sheet1!AA71+Sheet1!BN71+'Calculations II'!BC73+'Calculations II'!P73-BP73)</f>
        <v>45.088396192882854</v>
      </c>
      <c r="AI73" s="94">
        <f ca="1">IF(B73=TODAY(),0,BC73+Sheet1!AA71+Calculation!ES73+O73+W73+Sheet1!BN71+Calculation!AS73+Calculation!DJ73-BP73)</f>
        <v>55.567788571873592</v>
      </c>
      <c r="AJ73" s="94"/>
      <c r="AM73" s="90">
        <f t="shared" si="15"/>
        <v>42797</v>
      </c>
      <c r="AN73" s="94">
        <f>Sheet1!BU71</f>
        <v>23.7</v>
      </c>
      <c r="AO73" s="94">
        <f>Sheet1!AA71</f>
        <v>25.81</v>
      </c>
      <c r="AP73" s="94">
        <f t="shared" si="1"/>
        <v>0.70634999999999726</v>
      </c>
      <c r="AQ73" s="1087">
        <f>((Sheet1!BV71-(Sheet1!BU71-AP73))/(Sheet1!BU71-AP73))</f>
        <v>0.1829352886557809</v>
      </c>
      <c r="AR73" s="94">
        <f t="shared" si="2"/>
        <v>25.103650000000002</v>
      </c>
      <c r="AS73" s="94">
        <f t="shared" si="3"/>
        <v>22.993650000000002</v>
      </c>
      <c r="AT73" s="89">
        <f>Sheet1!BB71</f>
        <v>0</v>
      </c>
      <c r="AU73" s="89">
        <f>Sheet1!AS71*GPMtoMGD</f>
        <v>2.7648000000000002E-2</v>
      </c>
      <c r="AV73" s="94">
        <f>Sheet1!AT71</f>
        <v>0</v>
      </c>
      <c r="AW73" s="89">
        <f>Sheet1!AV71*GPMtoMGD</f>
        <v>0.87494400000000006</v>
      </c>
      <c r="AX73" s="89">
        <f>Sheet1!AW71*GPMtoMGD</f>
        <v>0.88632000000000011</v>
      </c>
      <c r="AY73" s="89">
        <f>Sheet1!AX71*GPMtoMGD</f>
        <v>0</v>
      </c>
      <c r="AZ73" s="89">
        <f>Sheet1!AY71*GPMtoMGD</f>
        <v>0</v>
      </c>
      <c r="BA73" s="89">
        <f>Sheet1!AZ71*GPMtoMGD</f>
        <v>0</v>
      </c>
      <c r="BB73" s="89">
        <f>Sheet1!BP71*GPMtoMGD</f>
        <v>2.8800000000000002E-3</v>
      </c>
      <c r="BC73" s="89">
        <f>Sheet1!CS71*GPMtoMGD</f>
        <v>0</v>
      </c>
      <c r="BD73" s="89">
        <f>Sheet1!BO71*GPMtoMGD</f>
        <v>1.2725280000000001</v>
      </c>
      <c r="BE73" s="89">
        <f>Sheet1!BW71*GPMtoMGD</f>
        <v>0.78321600000000002</v>
      </c>
      <c r="BF73" s="89">
        <f>Sheet1!CN71*GPMtoMGD</f>
        <v>0.20937600000000003</v>
      </c>
      <c r="BG73" s="89">
        <f>Sheet1!CO71*GPMtoMGD</f>
        <v>0.70790400000000009</v>
      </c>
      <c r="BH73" s="89">
        <f>Sheet1!CP71*GPMtoMGD</f>
        <v>0.636768</v>
      </c>
      <c r="BI73" s="89">
        <f t="shared" si="16"/>
        <v>1.2754080000000001</v>
      </c>
      <c r="BK73" s="94">
        <f>SUM(AT73:BA73,AS73,BC73,Calculation!AQ73)</f>
        <v>43.29316962100927</v>
      </c>
      <c r="BM73" s="358">
        <f>0</f>
        <v>0</v>
      </c>
      <c r="BN73" s="358">
        <f>0</f>
        <v>0</v>
      </c>
      <c r="BP73" s="94">
        <f>SUM(BM73:BN73,W73,Sheet1!DX71)</f>
        <v>0</v>
      </c>
      <c r="BR73" s="94">
        <f>Sheet1!AA71</f>
        <v>25.81</v>
      </c>
      <c r="BS73" s="94">
        <f>Sheet1!AB71</f>
        <v>28.99</v>
      </c>
      <c r="BT73" s="94">
        <f t="shared" ca="1" si="7"/>
        <v>0.67839619288285991</v>
      </c>
      <c r="BU73" s="94">
        <f>Sheet1!AT71</f>
        <v>0</v>
      </c>
      <c r="BV73" s="89">
        <f>Sheet1!BB71</f>
        <v>0</v>
      </c>
      <c r="BW73" s="94">
        <f>Calculation!ED73</f>
        <v>10.479392378990731</v>
      </c>
      <c r="BX73" s="94">
        <f>(Sheet1!CS71*1440)/1000000</f>
        <v>0</v>
      </c>
      <c r="CA73" s="94">
        <f ca="1">Sheet1!AC71-Sheet1!BK71-Sheet1!BL71-Sheet1!BM71-Sheet1!BC71-Sheet1!BD71-Sheet1!BE71-Sheet1!BF71-Sheet1!BG71-Sheet1!BH71-Sheet1!BI71+BC73+P73</f>
        <v>44.948396192882853</v>
      </c>
      <c r="CB73" s="93">
        <f t="shared" si="8"/>
        <v>68.563979989701338</v>
      </c>
      <c r="CC73" s="94">
        <f t="shared" si="9"/>
        <v>0</v>
      </c>
      <c r="CD73" s="94">
        <f t="shared" ca="1" si="10"/>
        <v>55.427788571873585</v>
      </c>
      <c r="CE73" s="1077">
        <f t="shared" ca="1" si="11"/>
        <v>85.746788920688431</v>
      </c>
      <c r="CG73" s="1077">
        <f t="shared" ca="1" si="12"/>
        <v>44.948396192882853</v>
      </c>
    </row>
    <row r="74" spans="1:85" s="89" customFormat="1" x14ac:dyDescent="0.25">
      <c r="A74" s="616" t="s">
        <v>9</v>
      </c>
      <c r="B74" s="91">
        <v>42798</v>
      </c>
      <c r="C74" s="92">
        <v>0</v>
      </c>
      <c r="D74" s="94">
        <f>(Sheet1!BQ72-Sheet1!BQ71)*1.385</f>
        <v>-0.83099999999999707</v>
      </c>
      <c r="E74" s="30">
        <f>(Sheet1!BR72-Sheet1!BR71)*1.385</f>
        <v>-0.13849999999999704</v>
      </c>
      <c r="F74" s="30">
        <f ca="1">IF(B74=TODAY(),0,-(VLOOKUP(Sheet1!CD72,Lookup!$I$4:$J$216,2)-VLOOKUP(Sheet1!CD71,Lookup!$I$4:$J$216,2))/1000000)</f>
        <v>-1.0363693854780012</v>
      </c>
      <c r="G74" s="94">
        <f ca="1">IF(B74=TODAY(),0,-$G$6*(Sheet1!CF72-Sheet1!CF71)*7.48/1000000)</f>
        <v>-0.83398352210374582</v>
      </c>
      <c r="H74" s="94">
        <f ca="1">IF(B74=TODAY(),0,-$H$6*(Sheet1!CE72-Sheet1!CE71)*7.48/1000000)</f>
        <v>-1.5039432351265274E-2</v>
      </c>
      <c r="I74" s="94">
        <f ca="1">IF(B74=TODAY(),0,-$I$6*(Sheet1!CG72-Sheet1!CG71)*7.48/1000000)</f>
        <v>-4.4924880000000236E-3</v>
      </c>
      <c r="J74" s="95" t="s">
        <v>177</v>
      </c>
      <c r="K74" s="94">
        <f ca="1">IF(B74=TODAY(),0,-$K$6*(Sheet1!CH72-Sheet1!CH71)*7.48/1000000)</f>
        <v>-1.3326640748916837E-2</v>
      </c>
      <c r="L74" s="95" t="s">
        <v>177</v>
      </c>
      <c r="M74" s="94">
        <f ca="1">IF(B74=TODAY(),0,-$M$6*(Sheet1!CI72-Sheet1!CI71)*7.48/1000000)</f>
        <v>-1.7991508428026663E-2</v>
      </c>
      <c r="N74" s="94">
        <f ca="1">IF(B74=TODAY(),0,-$N$6*(Sheet1!CJ72-Sheet1!CJ71)*7.48/1000000)</f>
        <v>-0.66396009572247594</v>
      </c>
      <c r="O74" s="94">
        <f t="shared" ca="1" si="13"/>
        <v>-2.5851630728324317</v>
      </c>
      <c r="P74" s="94">
        <f ca="1">O74+Calculation!ES74</f>
        <v>-1.6158785815197008</v>
      </c>
      <c r="Q74" s="89" t="str">
        <f>IF(Sheet1!BQ72&gt;25.75,"spill elevation","-")</f>
        <v>-</v>
      </c>
      <c r="R74" s="89" t="str">
        <f>IF(Sheet1!BQ72&gt;25.75,"spill elevation","-")</f>
        <v>-</v>
      </c>
      <c r="S74" s="89" t="str">
        <f>IF(Sheet1!BR72&gt;25.75,"spill elevation","-")</f>
        <v>-</v>
      </c>
      <c r="T74" s="93">
        <f>IF(Sheet1!DU72=1,Sheet1!AA72-(SUM(AT74:BA74)+BE74),Sheet1!AA72-SUM(AT74:BA74))</f>
        <v>25.049327999999999</v>
      </c>
      <c r="U74" s="93">
        <f>Sheet1!BV72</f>
        <v>30</v>
      </c>
      <c r="V74" s="93">
        <f t="shared" si="14"/>
        <v>-4.9506720000000008</v>
      </c>
      <c r="W74" s="93">
        <f>0</f>
        <v>0</v>
      </c>
      <c r="X74" s="89">
        <f>0</f>
        <v>0</v>
      </c>
      <c r="Y74" s="94">
        <f ca="1">Calculation!EJ75+Calculation!ES74+'Calculations II'!O74-'Calculations II'!W74</f>
        <v>41.950308606091831</v>
      </c>
      <c r="Z74" s="94">
        <f ca="1">Y74-Sheet1!CT73</f>
        <v>25.979308606091831</v>
      </c>
      <c r="AA74" s="94">
        <f ca="1">Y74+Calculation!DJ75+Calculation!AS75</f>
        <v>52.484871579250807</v>
      </c>
      <c r="AC74" s="94">
        <f>Sheet1!AA72+Sheet1!AB72+BC74</f>
        <v>54.72</v>
      </c>
      <c r="AD74" s="94">
        <f>Sheet1!AA72+Sheet1!BN72+'Calculations II'!BC74-Calculation!AS74-Calculation!DJ74</f>
        <v>33.778211829436032</v>
      </c>
      <c r="AE74" s="94">
        <f>Sheet1!AA72+Sheet1!AB72+'Calculations II'!BC74-Calculation!AS74-Calculation!DJ74</f>
        <v>44.198211829436033</v>
      </c>
      <c r="AF74" s="94">
        <f ca="1">Sheet1!AA72+Sheet1!BN72+P74+'Calculations II'!BC74+Calculation!AS74+Calculation!DJ74</f>
        <v>53.205909589044261</v>
      </c>
      <c r="AG74" s="94">
        <f ca="1">IF(B74=TODAY(),0,Sheet1!AA72+Sheet1!BN72+'Calculations II'!BC74+'Calculations II'!P74-Sheet1!CT72-BP74)</f>
        <v>27.478121418480296</v>
      </c>
      <c r="AH74" s="94">
        <f ca="1">IF(B74=TODAY(),0,Sheet1!AA72+Sheet1!BN72+'Calculations II'!BC74+'Calculations II'!P74-BP74)</f>
        <v>42.684121418480295</v>
      </c>
      <c r="AI74" s="94">
        <f ca="1">IF(B74=TODAY(),0,BC74+Sheet1!AA72+Calculation!ES74+O74+W74+Sheet1!BN72+Calculation!AS74+Calculation!DJ74-BP74)</f>
        <v>53.205909589044268</v>
      </c>
      <c r="AJ74" s="94"/>
      <c r="AM74" s="90">
        <f t="shared" si="15"/>
        <v>42798</v>
      </c>
      <c r="AN74" s="94">
        <f>Sheet1!BU72</f>
        <v>24.3</v>
      </c>
      <c r="AO74" s="94">
        <f>Sheet1!AA72</f>
        <v>25.8</v>
      </c>
      <c r="AP74" s="94">
        <f t="shared" ref="AP74:AP137" si="17">D74+E74</f>
        <v>-0.96949999999999414</v>
      </c>
      <c r="AQ74" s="1087">
        <f>((Sheet1!BV72-(Sheet1!BU72-AP74))/(Sheet1!BU72-AP74))</f>
        <v>0.18720196284057886</v>
      </c>
      <c r="AR74" s="94">
        <f t="shared" ref="AR74:AR137" si="18">AO74-AP74</f>
        <v>26.769499999999994</v>
      </c>
      <c r="AS74" s="94">
        <f t="shared" ref="AS74:AS137" si="19">AN74-AP74</f>
        <v>25.269499999999994</v>
      </c>
      <c r="AT74" s="89">
        <f>Sheet1!BB72</f>
        <v>0</v>
      </c>
      <c r="AU74" s="89">
        <f>Sheet1!AS72*GPMtoMGD</f>
        <v>1.8720000000000001E-2</v>
      </c>
      <c r="AV74" s="94">
        <f>Sheet1!AT72</f>
        <v>0</v>
      </c>
      <c r="AW74" s="89">
        <f>Sheet1!AV72*GPMtoMGD</f>
        <v>0.295344</v>
      </c>
      <c r="AX74" s="89">
        <f>Sheet1!AW72*GPMtoMGD</f>
        <v>0.436608</v>
      </c>
      <c r="AY74" s="89">
        <f>Sheet1!AX72*GPMtoMGD</f>
        <v>0</v>
      </c>
      <c r="AZ74" s="89">
        <f>Sheet1!AY72*GPMtoMGD</f>
        <v>0</v>
      </c>
      <c r="BA74" s="89">
        <f>Sheet1!AZ72*GPMtoMGD</f>
        <v>0</v>
      </c>
      <c r="BB74" s="89">
        <f>Sheet1!BP72*GPMtoMGD</f>
        <v>2.8800000000000002E-3</v>
      </c>
      <c r="BC74" s="89">
        <f>Sheet1!CS72*GPMtoMGD</f>
        <v>0</v>
      </c>
      <c r="BD74" s="89">
        <f>Sheet1!BO72*GPMtoMGD</f>
        <v>1.5583680000000002</v>
      </c>
      <c r="BE74" s="89">
        <f>Sheet1!BW72*GPMtoMGD</f>
        <v>0.81676800000000016</v>
      </c>
      <c r="BF74" s="89">
        <f>Sheet1!CN72*GPMtoMGD</f>
        <v>0.46742400000000006</v>
      </c>
      <c r="BG74" s="89">
        <f>Sheet1!CO72*GPMtoMGD</f>
        <v>0.60796800000000006</v>
      </c>
      <c r="BH74" s="89">
        <f>Sheet1!CP72*GPMtoMGD</f>
        <v>0.62164799999999998</v>
      </c>
      <c r="BI74" s="89">
        <f t="shared" si="16"/>
        <v>1.5612480000000002</v>
      </c>
      <c r="BK74" s="94">
        <f>SUM(AT74:BA74,AS74,BC74,Calculation!AQ74)</f>
        <v>44.418383829436038</v>
      </c>
      <c r="BM74" s="358">
        <f>0</f>
        <v>0</v>
      </c>
      <c r="BN74" s="358">
        <f>0</f>
        <v>0</v>
      </c>
      <c r="BP74" s="94">
        <f>SUM(BM74:BN74,W74,Sheet1!DX72)</f>
        <v>0</v>
      </c>
      <c r="BR74" s="94">
        <f>Sheet1!AA72</f>
        <v>25.8</v>
      </c>
      <c r="BS74" s="94">
        <f>Sheet1!AB72</f>
        <v>28.92</v>
      </c>
      <c r="BT74" s="94">
        <f t="shared" ca="1" si="7"/>
        <v>-1.6158785815197008</v>
      </c>
      <c r="BU74" s="94">
        <f>Sheet1!AT72</f>
        <v>0</v>
      </c>
      <c r="BV74" s="89">
        <f>Sheet1!BB72</f>
        <v>0</v>
      </c>
      <c r="BW74" s="94">
        <f>Calculation!ED74</f>
        <v>10.521788170563964</v>
      </c>
      <c r="BX74" s="94">
        <f>(Sheet1!CS72*1440)/1000000</f>
        <v>0</v>
      </c>
      <c r="CA74" s="94">
        <f ca="1">Sheet1!AC72-Sheet1!BK72-Sheet1!BL72-Sheet1!BM72-Sheet1!BC72-Sheet1!BD72-Sheet1!BE72-Sheet1!BF72-Sheet1!BG72-Sheet1!BH72-Sheet1!BI72+BC74+P74</f>
        <v>42.524121418480291</v>
      </c>
      <c r="CB74" s="93">
        <f t="shared" si="8"/>
        <v>68.374633700137537</v>
      </c>
      <c r="CC74" s="94">
        <f t="shared" si="9"/>
        <v>0</v>
      </c>
      <c r="CD74" s="94">
        <f t="shared" ca="1" si="10"/>
        <v>53.045909589044257</v>
      </c>
      <c r="CE74" s="1077">
        <f t="shared" ca="1" si="11"/>
        <v>82.062022134251464</v>
      </c>
      <c r="CG74" s="1077">
        <f t="shared" ca="1" si="12"/>
        <v>42.524121418480291</v>
      </c>
    </row>
    <row r="75" spans="1:85" s="89" customFormat="1" x14ac:dyDescent="0.25">
      <c r="A75" s="616" t="s">
        <v>3</v>
      </c>
      <c r="B75" s="91">
        <v>42799</v>
      </c>
      <c r="C75" s="92">
        <v>0</v>
      </c>
      <c r="D75" s="94">
        <f>(Sheet1!BQ73-Sheet1!BQ72)*1.385</f>
        <v>0.13849999999999704</v>
      </c>
      <c r="E75" s="30">
        <f>(Sheet1!BR73-Sheet1!BR72)*1.385</f>
        <v>-0.27700000000000397</v>
      </c>
      <c r="F75" s="30">
        <f ca="1">IF(B75=TODAY(),0,-(VLOOKUP(Sheet1!CD73,Lookup!$I$4:$J$216,2)-VLOOKUP(Sheet1!CD72,Lookup!$I$4:$J$216,2))/1000000)</f>
        <v>-0.31091081564339806</v>
      </c>
      <c r="G75" s="94">
        <f ca="1">IF(B75=TODAY(),0,-$G$6*(Sheet1!CF73-Sheet1!CF72)*7.48/1000000)</f>
        <v>0.19856750526279648</v>
      </c>
      <c r="H75" s="94">
        <f ca="1">IF(B75=TODAY(),0,-$H$6*(Sheet1!CE73-Sheet1!CE72)*7.48/1000000)</f>
        <v>0</v>
      </c>
      <c r="I75" s="94">
        <f ca="1">IF(B75=TODAY(),0,-$I$6*(Sheet1!CG73-Sheet1!CG72)*7.48/1000000)</f>
        <v>-4.4924879999999837E-3</v>
      </c>
      <c r="J75" s="95" t="s">
        <v>177</v>
      </c>
      <c r="K75" s="94">
        <f ca="1">IF(B75=TODAY(),0,-$K$6*(Sheet1!CH73-Sheet1!CH72)*7.48/1000000)</f>
        <v>-6.6633203744584186E-3</v>
      </c>
      <c r="L75" s="95" t="s">
        <v>177</v>
      </c>
      <c r="M75" s="94">
        <f ca="1">IF(B75=TODAY(),0,-$M$6*(Sheet1!CI73-Sheet1!CI72)*7.48/1000000)</f>
        <v>-3.5983016856054602E-2</v>
      </c>
      <c r="N75" s="94">
        <f ca="1">IF(B75=TODAY(),0,-$N$6*(Sheet1!CJ73-Sheet1!CJ72)*7.48/1000000)</f>
        <v>-1.8615703618387873E-2</v>
      </c>
      <c r="O75" s="94">
        <f t="shared" ca="1" si="13"/>
        <v>-0.17809783922950245</v>
      </c>
      <c r="P75" s="94">
        <f ca="1">O75+Calculation!ES75</f>
        <v>-3.9542575188097284E-2</v>
      </c>
      <c r="Q75" s="89" t="str">
        <f>IF(Sheet1!BQ73&gt;25.75,"spill elevation","-")</f>
        <v>-</v>
      </c>
      <c r="R75" s="89" t="str">
        <f>IF(Sheet1!BQ73&gt;25.75,"spill elevation","-")</f>
        <v>-</v>
      </c>
      <c r="S75" s="89" t="str">
        <f>IF(Sheet1!BR73&gt;25.75,"spill elevation","-")</f>
        <v>-</v>
      </c>
      <c r="T75" s="93">
        <f>IF(Sheet1!DU73=1,Sheet1!AA73-(SUM(AT75:BA75)+BE75),Sheet1!AA73-SUM(AT75:BA75))</f>
        <v>24.801151999999998</v>
      </c>
      <c r="U75" s="93">
        <f>Sheet1!BV73</f>
        <v>28.3</v>
      </c>
      <c r="V75" s="93">
        <f t="shared" si="14"/>
        <v>-3.4988480000000024</v>
      </c>
      <c r="W75" s="93">
        <f>0</f>
        <v>0</v>
      </c>
      <c r="X75" s="89">
        <f>0</f>
        <v>0</v>
      </c>
      <c r="Y75" s="94">
        <f ca="1">Calculation!EJ76+Calculation!ES75+'Calculations II'!O75-'Calculations II'!W75</f>
        <v>45.825652295116328</v>
      </c>
      <c r="Z75" s="94">
        <f ca="1">Y75-Sheet1!CT74</f>
        <v>29.715652295116328</v>
      </c>
      <c r="AA75" s="94">
        <f ca="1">Y75+Calculation!DJ76+Calculation!AS76</f>
        <v>56.395559543484588</v>
      </c>
      <c r="AC75" s="94">
        <f>Sheet1!AA73+Sheet1!AB73+BC75</f>
        <v>54.78</v>
      </c>
      <c r="AD75" s="94">
        <f>Sheet1!AA73+Sheet1!BN73+'Calculations II'!BC75-Calculation!AS75-Calculation!DJ75</f>
        <v>33.755437026841022</v>
      </c>
      <c r="AE75" s="94">
        <f>Sheet1!AA73+Sheet1!AB73+'Calculations II'!BC75-Calculation!AS75-Calculation!DJ75</f>
        <v>44.245437026841017</v>
      </c>
      <c r="AF75" s="94">
        <f ca="1">Sheet1!AA73+Sheet1!BN73+P75+'Calculations II'!BC75+Calculation!AS75+Calculation!DJ75</f>
        <v>54.785020397970882</v>
      </c>
      <c r="AG75" s="94">
        <f ca="1">IF(B75=TODAY(),0,Sheet1!AA73+Sheet1!BN73+'Calculations II'!BC75+'Calculations II'!P75-Sheet1!CT73-BP75)</f>
        <v>28.279457424811898</v>
      </c>
      <c r="AH75" s="94">
        <f ca="1">IF(B75=TODAY(),0,Sheet1!AA73+Sheet1!BN73+'Calculations II'!BC75+'Calculations II'!P75-BP75)</f>
        <v>44.250457424811898</v>
      </c>
      <c r="AI75" s="94">
        <f ca="1">IF(B75=TODAY(),0,BC75+Sheet1!AA73+Calculation!ES75+O75+W75+Sheet1!BN73+Calculation!AS75+Calculation!DJ75-BP75)</f>
        <v>54.785020397970882</v>
      </c>
      <c r="AJ75" s="94"/>
      <c r="AM75" s="90">
        <f t="shared" si="15"/>
        <v>42799</v>
      </c>
      <c r="AN75" s="94">
        <f>Sheet1!BU73</f>
        <v>24.3</v>
      </c>
      <c r="AO75" s="94">
        <f>Sheet1!AA73</f>
        <v>25.79</v>
      </c>
      <c r="AP75" s="94">
        <f t="shared" si="17"/>
        <v>-0.13850000000000692</v>
      </c>
      <c r="AQ75" s="1087">
        <f>((Sheet1!BV73-(Sheet1!BU73-AP75))/(Sheet1!BU73-AP75))</f>
        <v>0.15800887943204334</v>
      </c>
      <c r="AR75" s="94">
        <f t="shared" si="18"/>
        <v>25.928500000000007</v>
      </c>
      <c r="AS75" s="94">
        <f t="shared" si="19"/>
        <v>24.438500000000008</v>
      </c>
      <c r="AT75" s="89">
        <f>Sheet1!BB73</f>
        <v>0</v>
      </c>
      <c r="AU75" s="89">
        <f>Sheet1!AS73*GPMtoMGD</f>
        <v>1.6560000000000002E-2</v>
      </c>
      <c r="AV75" s="94">
        <f>Sheet1!AT73</f>
        <v>0</v>
      </c>
      <c r="AW75" s="89">
        <f>Sheet1!AV73*GPMtoMGD</f>
        <v>0.44539200000000007</v>
      </c>
      <c r="AX75" s="89">
        <f>Sheet1!AW73*GPMtoMGD</f>
        <v>0.52689600000000003</v>
      </c>
      <c r="AY75" s="89">
        <f>Sheet1!AX73*GPMtoMGD</f>
        <v>0</v>
      </c>
      <c r="AZ75" s="89">
        <f>Sheet1!AY73*GPMtoMGD</f>
        <v>0</v>
      </c>
      <c r="BA75" s="89">
        <f>Sheet1!AZ73*GPMtoMGD</f>
        <v>0</v>
      </c>
      <c r="BB75" s="89">
        <f>Sheet1!BP73*GPMtoMGD</f>
        <v>2.8800000000000002E-3</v>
      </c>
      <c r="BC75" s="89">
        <f>Sheet1!CS73*GPMtoMGD</f>
        <v>0</v>
      </c>
      <c r="BD75" s="89">
        <f>Sheet1!BO73*GPMtoMGD</f>
        <v>1.6215839999999999</v>
      </c>
      <c r="BE75" s="89">
        <f>Sheet1!BW73*GPMtoMGD</f>
        <v>0.62625600000000003</v>
      </c>
      <c r="BF75" s="89">
        <f>Sheet1!CN73*GPMtoMGD</f>
        <v>0.36547200000000002</v>
      </c>
      <c r="BG75" s="89">
        <f>Sheet1!CO73*GPMtoMGD</f>
        <v>0.63907200000000008</v>
      </c>
      <c r="BH75" s="89">
        <f>Sheet1!CP73*GPMtoMGD</f>
        <v>0.62294400000000005</v>
      </c>
      <c r="BI75" s="89">
        <f t="shared" si="16"/>
        <v>1.6244639999999999</v>
      </c>
      <c r="BK75" s="94">
        <f>SUM(AT75:BA75,AS75,BC75,Calculation!AQ75)</f>
        <v>43.882785026841027</v>
      </c>
      <c r="BM75" s="358">
        <f>0</f>
        <v>0</v>
      </c>
      <c r="BN75" s="358">
        <f>0</f>
        <v>0</v>
      </c>
      <c r="BP75" s="94">
        <f>SUM(BM75:BN75,W75,Sheet1!DX73)</f>
        <v>0</v>
      </c>
      <c r="BR75" s="94">
        <f>Sheet1!AA73</f>
        <v>25.79</v>
      </c>
      <c r="BS75" s="94">
        <f>Sheet1!AB73</f>
        <v>28.99</v>
      </c>
      <c r="BT75" s="94">
        <f t="shared" ca="1" si="7"/>
        <v>-3.9542575188097284E-2</v>
      </c>
      <c r="BU75" s="94">
        <f>Sheet1!AT73</f>
        <v>0</v>
      </c>
      <c r="BV75" s="89">
        <f>Sheet1!BB73</f>
        <v>0</v>
      </c>
      <c r="BW75" s="94">
        <f>Calculation!ED75</f>
        <v>10.53456297315898</v>
      </c>
      <c r="BX75" s="94">
        <f>(Sheet1!CS73*1440)/1000000</f>
        <v>0</v>
      </c>
      <c r="CA75" s="94">
        <f ca="1">Sheet1!AC73-Sheet1!BK73-Sheet1!BL73-Sheet1!BM73-Sheet1!BC73-Sheet1!BD73-Sheet1!BE73-Sheet1!BF73-Sheet1!BG73-Sheet1!BH73-Sheet1!BI73+BC75+P75</f>
        <v>44.180457424811898</v>
      </c>
      <c r="CB75" s="93">
        <f t="shared" si="8"/>
        <v>68.447691080523057</v>
      </c>
      <c r="CC75" s="94">
        <f t="shared" si="9"/>
        <v>0</v>
      </c>
      <c r="CD75" s="94">
        <f t="shared" ca="1" si="10"/>
        <v>54.715020397970875</v>
      </c>
      <c r="CE75" s="1077">
        <f t="shared" ca="1" si="11"/>
        <v>84.644136555660936</v>
      </c>
      <c r="CG75" s="1077">
        <f t="shared" ca="1" si="12"/>
        <v>44.180457424811898</v>
      </c>
    </row>
    <row r="76" spans="1:85" s="89" customFormat="1" x14ac:dyDescent="0.25">
      <c r="A76" s="616" t="s">
        <v>4</v>
      </c>
      <c r="B76" s="91">
        <v>42800</v>
      </c>
      <c r="C76" s="92">
        <v>0</v>
      </c>
      <c r="D76" s="94">
        <f>(Sheet1!BQ74-Sheet1!BQ73)*1.385</f>
        <v>0.83100000000000196</v>
      </c>
      <c r="E76" s="30">
        <f>(Sheet1!BR74-Sheet1!BR73)*1.385</f>
        <v>0.83100000000000196</v>
      </c>
      <c r="F76" s="30">
        <f ca="1">IF(B76=TODAY(),0,-(VLOOKUP(Sheet1!CD74,Lookup!$I$4:$J$216,2)-VLOOKUP(Sheet1!CD73,Lookup!$I$4:$J$216,2))/1000000)</f>
        <v>0.82909550838240231</v>
      </c>
      <c r="G76" s="94">
        <f ca="1">IF(B76=TODAY(),0,-$G$6*(Sheet1!CF74-Sheet1!CF73)*7.48/1000000)</f>
        <v>0.51627551368327118</v>
      </c>
      <c r="H76" s="94">
        <f ca="1">IF(B76=TODAY(),0,-$H$6*(Sheet1!CE74-Sheet1!CE73)*7.48/1000000)</f>
        <v>-1.5039432351264204E-2</v>
      </c>
      <c r="I76" s="94">
        <f ca="1">IF(B76=TODAY(),0,-$I$6*(Sheet1!CG74-Sheet1!CG73)*7.48/1000000)</f>
        <v>2.6954927999999989E-2</v>
      </c>
      <c r="J76" s="95" t="s">
        <v>177</v>
      </c>
      <c r="K76" s="94">
        <f ca="1">IF(B76=TODAY(),0,-$K$6*(Sheet1!CH74-Sheet1!CH73)*7.48/1000000)</f>
        <v>4.6643242621209044E-2</v>
      </c>
      <c r="L76" s="95" t="s">
        <v>177</v>
      </c>
      <c r="M76" s="94">
        <f ca="1">IF(B76=TODAY(),0,-$M$6*(Sheet1!CI74-Sheet1!CI73)*7.48/1000000)</f>
        <v>0.12594055899618953</v>
      </c>
      <c r="N76" s="94">
        <f ca="1">IF(B76=TODAY(),0,-$N$6*(Sheet1!CJ74-Sheet1!CJ73)*7.48/1000000)</f>
        <v>0.68257579934086376</v>
      </c>
      <c r="O76" s="94">
        <f t="shared" ca="1" si="13"/>
        <v>2.2124461186726716</v>
      </c>
      <c r="P76" s="94">
        <f ca="1">O76+Calculation!ES76</f>
        <v>0.55055190707979618</v>
      </c>
      <c r="Q76" s="89" t="str">
        <f>IF(Sheet1!BQ74&gt;25.75,"spill elevation","-")</f>
        <v>-</v>
      </c>
      <c r="R76" s="89" t="str">
        <f>IF(Sheet1!BQ74&gt;25.75,"spill elevation","-")</f>
        <v>-</v>
      </c>
      <c r="S76" s="89" t="str">
        <f>IF(Sheet1!BR74&gt;25.75,"spill elevation","-")</f>
        <v>-</v>
      </c>
      <c r="T76" s="93">
        <f>IF(Sheet1!DU74=1,Sheet1!AA74-(SUM(AT76:BA76)+BE76),Sheet1!AA74-SUM(AT76:BA76))</f>
        <v>24.187344</v>
      </c>
      <c r="U76" s="93">
        <f>Sheet1!BV74</f>
        <v>25.9</v>
      </c>
      <c r="V76" s="93">
        <f t="shared" si="14"/>
        <v>-1.7126559999999991</v>
      </c>
      <c r="W76" s="93">
        <f>0</f>
        <v>0</v>
      </c>
      <c r="X76" s="89">
        <f>0</f>
        <v>0</v>
      </c>
      <c r="Y76" s="94">
        <f ca="1">Calculation!EJ77+Calculation!ES76+'Calculations II'!O76-'Calculations II'!W76</f>
        <v>43.163887983206038</v>
      </c>
      <c r="Z76" s="94">
        <f ca="1">Y76-Sheet1!CT75</f>
        <v>28.008887983206037</v>
      </c>
      <c r="AA76" s="94">
        <f ca="1">Y76+Calculation!DJ77+Calculation!AS77</f>
        <v>53.689314393109754</v>
      </c>
      <c r="AC76" s="94">
        <f>Sheet1!AA74+Sheet1!AB74+BC76</f>
        <v>54.71</v>
      </c>
      <c r="AD76" s="94">
        <f>Sheet1!AA74+Sheet1!BN74+'Calculations II'!BC76-Calculation!AS76-Calculation!DJ76</f>
        <v>33.640092751631741</v>
      </c>
      <c r="AE76" s="94">
        <f>Sheet1!AA74+Sheet1!AB74+'Calculations II'!BC76-Calculation!AS76-Calculation!DJ76</f>
        <v>44.140092751631741</v>
      </c>
      <c r="AF76" s="94">
        <f ca="1">Sheet1!AA74+Sheet1!BN74+P76+'Calculations II'!BC76+Calculation!AS76+Calculation!DJ76</f>
        <v>55.330459155448054</v>
      </c>
      <c r="AG76" s="94">
        <f ca="1">IF(B76=TODAY(),0,Sheet1!AA74+Sheet1!BN74+'Calculations II'!BC76+'Calculations II'!P76-Sheet1!CT74-BP76)</f>
        <v>28.650551907079794</v>
      </c>
      <c r="AH76" s="94">
        <f ca="1">IF(B76=TODAY(),0,Sheet1!AA74+Sheet1!BN74+'Calculations II'!BC76+'Calculations II'!P76-BP76)</f>
        <v>44.760551907079794</v>
      </c>
      <c r="AI76" s="94">
        <f ca="1">IF(B76=TODAY(),0,BC76+Sheet1!AA74+Calculation!ES76+O76+W76+Sheet1!BN74+Calculation!AS76+Calculation!DJ76-BP76)</f>
        <v>55.330459155448054</v>
      </c>
      <c r="AJ76" s="94"/>
      <c r="AM76" s="90">
        <f t="shared" si="15"/>
        <v>42800</v>
      </c>
      <c r="AN76" s="94">
        <f>Sheet1!BU74</f>
        <v>23.7</v>
      </c>
      <c r="AO76" s="94">
        <f>Sheet1!AA74</f>
        <v>25.71</v>
      </c>
      <c r="AP76" s="94">
        <f t="shared" si="17"/>
        <v>1.6620000000000039</v>
      </c>
      <c r="AQ76" s="1087">
        <f>((Sheet1!BV74-(Sheet1!BU74-AP76))/(Sheet1!BU74-AP76))</f>
        <v>0.17524276250113452</v>
      </c>
      <c r="AR76" s="94">
        <f t="shared" si="18"/>
        <v>24.047999999999998</v>
      </c>
      <c r="AS76" s="94">
        <f t="shared" si="19"/>
        <v>22.037999999999997</v>
      </c>
      <c r="AT76" s="89">
        <f>Sheet1!BB74</f>
        <v>0</v>
      </c>
      <c r="AU76" s="89">
        <f>Sheet1!AS74*GPMtoMGD</f>
        <v>3.0528E-2</v>
      </c>
      <c r="AV76" s="94">
        <f>Sheet1!AT74</f>
        <v>0</v>
      </c>
      <c r="AW76" s="89">
        <f>Sheet1!AV74*GPMtoMGD</f>
        <v>0.6808320000000001</v>
      </c>
      <c r="AX76" s="89">
        <f>Sheet1!AW74*GPMtoMGD</f>
        <v>0.81129600000000002</v>
      </c>
      <c r="AY76" s="89">
        <f>Sheet1!AX74*GPMtoMGD</f>
        <v>0</v>
      </c>
      <c r="AZ76" s="89">
        <f>Sheet1!AY74*GPMtoMGD</f>
        <v>0</v>
      </c>
      <c r="BA76" s="89">
        <f>Sheet1!AZ74*GPMtoMGD</f>
        <v>0</v>
      </c>
      <c r="BB76" s="89">
        <f>Sheet1!BP74*GPMtoMGD</f>
        <v>2.8800000000000002E-3</v>
      </c>
      <c r="BC76" s="89">
        <f>Sheet1!CS74*GPMtoMGD</f>
        <v>0</v>
      </c>
      <c r="BD76" s="89">
        <f>Sheet1!BO74*GPMtoMGD</f>
        <v>1.293984</v>
      </c>
      <c r="BE76" s="89">
        <f>Sheet1!BW74*GPMtoMGD</f>
        <v>0.818496</v>
      </c>
      <c r="BF76" s="89">
        <f>Sheet1!CN74*GPMtoMGD</f>
        <v>0.20952000000000001</v>
      </c>
      <c r="BG76" s="89">
        <f>Sheet1!CO74*GPMtoMGD</f>
        <v>0.73036800000000002</v>
      </c>
      <c r="BH76" s="89">
        <f>Sheet1!CP74*GPMtoMGD</f>
        <v>0.66038400000000008</v>
      </c>
      <c r="BI76" s="89">
        <f t="shared" si="16"/>
        <v>1.296864</v>
      </c>
      <c r="BK76" s="94">
        <f>SUM(AT76:BA76,AS76,BC76,Calculation!AQ76)</f>
        <v>41.990748751631742</v>
      </c>
      <c r="BM76" s="358">
        <f>0</f>
        <v>0</v>
      </c>
      <c r="BN76" s="358">
        <f>0</f>
        <v>0</v>
      </c>
      <c r="BP76" s="94">
        <f>SUM(BM76:BN76,W76,Sheet1!DX74)</f>
        <v>0</v>
      </c>
      <c r="BR76" s="94">
        <f>Sheet1!AA74</f>
        <v>25.71</v>
      </c>
      <c r="BS76" s="94">
        <f>Sheet1!AB74</f>
        <v>29</v>
      </c>
      <c r="BT76" s="94">
        <f t="shared" ca="1" si="7"/>
        <v>0.55055190707979618</v>
      </c>
      <c r="BU76" s="94">
        <f>Sheet1!AT74</f>
        <v>0</v>
      </c>
      <c r="BV76" s="89">
        <f>Sheet1!BB74</f>
        <v>0</v>
      </c>
      <c r="BW76" s="94">
        <f>Calculation!ED76</f>
        <v>10.569907248368258</v>
      </c>
      <c r="BX76" s="94">
        <f>(Sheet1!CS74*1440)/1000000</f>
        <v>0</v>
      </c>
      <c r="CA76" s="94">
        <f ca="1">Sheet1!AC74-Sheet1!BK74-Sheet1!BL74-Sheet1!BM74-Sheet1!BC74-Sheet1!BD74-Sheet1!BE74-Sheet1!BF74-Sheet1!BG74-Sheet1!BH74-Sheet1!BI74+BC76+P76</f>
        <v>44.650551907079787</v>
      </c>
      <c r="CB76" s="93">
        <f t="shared" si="8"/>
        <v>68.284723486774297</v>
      </c>
      <c r="CC76" s="94">
        <f t="shared" si="9"/>
        <v>0</v>
      </c>
      <c r="CD76" s="94">
        <f t="shared" ca="1" si="10"/>
        <v>55.220459155448047</v>
      </c>
      <c r="CE76" s="1077">
        <f t="shared" ca="1" si="11"/>
        <v>85.426050313478129</v>
      </c>
      <c r="CG76" s="1077">
        <f t="shared" ca="1" si="12"/>
        <v>44.650551907079787</v>
      </c>
    </row>
    <row r="77" spans="1:85" s="89" customFormat="1" x14ac:dyDescent="0.25">
      <c r="A77" s="616" t="s">
        <v>5</v>
      </c>
      <c r="B77" s="91">
        <v>42801</v>
      </c>
      <c r="C77" s="92">
        <v>0</v>
      </c>
      <c r="D77" s="94">
        <f>(Sheet1!BQ75-Sheet1!BQ74)*1.385</f>
        <v>0.27699999999999902</v>
      </c>
      <c r="E77" s="30">
        <f>(Sheet1!BR75-Sheet1!BR74)*1.385</f>
        <v>0.27699999999999902</v>
      </c>
      <c r="F77" s="30">
        <f ca="1">IF(B77=TODAY(),0,-(VLOOKUP(Sheet1!CD75,Lookup!$I$4:$J$216,2)-VLOOKUP(Sheet1!CD74,Lookup!$I$4:$J$216,2))/1000000)</f>
        <v>0</v>
      </c>
      <c r="G77" s="94">
        <f ca="1">IF(B77=TODAY(),0,-$G$6*(Sheet1!CF75-Sheet1!CF74)*7.48/1000000)</f>
        <v>-0.99283752631398237</v>
      </c>
      <c r="H77" s="94">
        <f ca="1">IF(B77=TODAY(),0,-$H$6*(Sheet1!CE75-Sheet1!CE74)*7.48/1000000)</f>
        <v>1.5039432351264204E-2</v>
      </c>
      <c r="I77" s="94">
        <f ca="1">IF(B77=TODAY(),0,-$I$6*(Sheet1!CG75-Sheet1!CG74)*7.48/1000000)</f>
        <v>1.3477464000000033E-2</v>
      </c>
      <c r="J77" s="95" t="s">
        <v>177</v>
      </c>
      <c r="K77" s="94">
        <f ca="1">IF(B77=TODAY(),0,-$K$6*(Sheet1!CH75-Sheet1!CH74)*7.48/1000000)</f>
        <v>2.6653281497833796E-2</v>
      </c>
      <c r="L77" s="95" t="s">
        <v>177</v>
      </c>
      <c r="M77" s="94">
        <f ca="1">IF(B77=TODAY(),0,-$M$6*(Sheet1!CI75-Sheet1!CI74)*7.48/1000000)</f>
        <v>5.3974525284081275E-2</v>
      </c>
      <c r="N77" s="94">
        <f ca="1">IF(B77=TODAY(),0,-$N$6*(Sheet1!CJ75-Sheet1!CJ74)*7.48/1000000)</f>
        <v>-0.12410469078924848</v>
      </c>
      <c r="O77" s="94">
        <f t="shared" ca="1" si="13"/>
        <v>-1.0077975139700517</v>
      </c>
      <c r="P77" s="94">
        <f ca="1">O77+Calculation!ES77</f>
        <v>-1.561864789692071</v>
      </c>
      <c r="Q77" s="89" t="str">
        <f>IF(Sheet1!BQ75&gt;25.75,"spill elevation","-")</f>
        <v>-</v>
      </c>
      <c r="R77" s="89" t="str">
        <f>IF(Sheet1!BQ75&gt;25.75,"spill elevation","-")</f>
        <v>-</v>
      </c>
      <c r="S77" s="89" t="str">
        <f>IF(Sheet1!BR75&gt;25.75,"spill elevation","-")</f>
        <v>-</v>
      </c>
      <c r="T77" s="93">
        <f>IF(Sheet1!DU75=1,Sheet1!AA75-(SUM(AT77:BA77)+BE77),Sheet1!AA75-SUM(AT77:BA77))</f>
        <v>24.873439999999999</v>
      </c>
      <c r="U77" s="93">
        <f>Sheet1!BV75</f>
        <v>28.4</v>
      </c>
      <c r="V77" s="93">
        <f t="shared" si="14"/>
        <v>-3.5265599999999999</v>
      </c>
      <c r="W77" s="93">
        <f>0</f>
        <v>0</v>
      </c>
      <c r="X77" s="89">
        <f>0</f>
        <v>0</v>
      </c>
      <c r="Y77" s="94">
        <f ca="1">Calculation!EJ78+Calculation!ES77+'Calculations II'!O77-'Calculations II'!W77</f>
        <v>42.49458214423229</v>
      </c>
      <c r="Z77" s="94">
        <f ca="1">Y77-Sheet1!CT76</f>
        <v>27.07658214423229</v>
      </c>
      <c r="AA77" s="94">
        <f ca="1">Y77+Calculation!DJ78+Calculation!AS78</f>
        <v>52.959445875888477</v>
      </c>
      <c r="AC77" s="94">
        <f>Sheet1!AA75+Sheet1!AB75+BC77</f>
        <v>54.72</v>
      </c>
      <c r="AD77" s="94">
        <f>Sheet1!AA75+Sheet1!BN75+'Calculations II'!BC77-Calculation!AS77-Calculation!DJ77</f>
        <v>33.764573590096283</v>
      </c>
      <c r="AE77" s="94">
        <f>Sheet1!AA75+Sheet1!AB75+'Calculations II'!BC77-Calculation!AS77-Calculation!DJ77</f>
        <v>44.194573590096283</v>
      </c>
      <c r="AF77" s="94">
        <f ca="1">Sheet1!AA75+Sheet1!BN75+P77+'Calculations II'!BC77+Calculation!AS77+Calculation!DJ77</f>
        <v>53.253561620211642</v>
      </c>
      <c r="AG77" s="94">
        <f ca="1">IF(B77=TODAY(),0,Sheet1!AA75+Sheet1!BN75+'Calculations II'!BC77+'Calculations II'!P77-Sheet1!CT75-BP77)</f>
        <v>27.573135210307925</v>
      </c>
      <c r="AH77" s="94">
        <f ca="1">IF(B77=TODAY(),0,Sheet1!AA75+Sheet1!BN75+'Calculations II'!BC77+'Calculations II'!P77-BP77)</f>
        <v>42.728135210307926</v>
      </c>
      <c r="AI77" s="94">
        <f ca="1">IF(B77=TODAY(),0,BC77+Sheet1!AA75+Calculation!ES77+O77+W77+Sheet1!BN75+Calculation!AS77+Calculation!DJ77-BP77)</f>
        <v>53.253561620211642</v>
      </c>
      <c r="AJ77" s="94"/>
      <c r="AM77" s="90">
        <f t="shared" si="15"/>
        <v>42801</v>
      </c>
      <c r="AN77" s="94">
        <f>Sheet1!BU75</f>
        <v>24.3</v>
      </c>
      <c r="AO77" s="94">
        <f>Sheet1!AA75</f>
        <v>25.79</v>
      </c>
      <c r="AP77" s="94">
        <f t="shared" si="17"/>
        <v>0.55399999999999805</v>
      </c>
      <c r="AQ77" s="1087">
        <f>((Sheet1!BV75-(Sheet1!BU75-AP77))/(Sheet1!BU75-AP77))</f>
        <v>0.19599090373115455</v>
      </c>
      <c r="AR77" s="94">
        <f t="shared" si="18"/>
        <v>25.236000000000001</v>
      </c>
      <c r="AS77" s="94">
        <f t="shared" si="19"/>
        <v>23.746000000000002</v>
      </c>
      <c r="AT77" s="89">
        <f>Sheet1!BB75</f>
        <v>0</v>
      </c>
      <c r="AU77" s="89">
        <f>Sheet1!AS75*GPMtoMGD</f>
        <v>1.5264E-2</v>
      </c>
      <c r="AV77" s="94">
        <f>Sheet1!AT75</f>
        <v>0</v>
      </c>
      <c r="AW77" s="89">
        <f>Sheet1!AV75*GPMtoMGD</f>
        <v>0.45619200000000004</v>
      </c>
      <c r="AX77" s="89">
        <f>Sheet1!AW75*GPMtoMGD</f>
        <v>0.44510400000000006</v>
      </c>
      <c r="AY77" s="89">
        <f>Sheet1!AX75*GPMtoMGD</f>
        <v>0</v>
      </c>
      <c r="AZ77" s="89">
        <f>Sheet1!AY75*GPMtoMGD</f>
        <v>0</v>
      </c>
      <c r="BA77" s="89">
        <f>Sheet1!AZ75*GPMtoMGD</f>
        <v>0</v>
      </c>
      <c r="BB77" s="89">
        <f>Sheet1!BP75*GPMtoMGD</f>
        <v>2.8800000000000002E-3</v>
      </c>
      <c r="BC77" s="89">
        <f>Sheet1!CS75*GPMtoMGD</f>
        <v>0</v>
      </c>
      <c r="BD77" s="89">
        <f>Sheet1!BO75*GPMtoMGD</f>
        <v>1.305936</v>
      </c>
      <c r="BE77" s="89">
        <f>Sheet1!BW75*GPMtoMGD</f>
        <v>0.802512</v>
      </c>
      <c r="BF77" s="89">
        <f>Sheet1!CN75*GPMtoMGD</f>
        <v>0.219168</v>
      </c>
      <c r="BG77" s="89">
        <f>Sheet1!CO75*GPMtoMGD</f>
        <v>0.72403200000000001</v>
      </c>
      <c r="BH77" s="89">
        <f>Sheet1!CP75*GPMtoMGD</f>
        <v>0.642096</v>
      </c>
      <c r="BI77" s="89">
        <f t="shared" si="16"/>
        <v>1.308816</v>
      </c>
      <c r="BK77" s="94">
        <f>SUM(AT77:BA77,AS77,BC77,Calculation!AQ77)</f>
        <v>43.06713359009629</v>
      </c>
      <c r="BM77" s="358">
        <f>0</f>
        <v>0</v>
      </c>
      <c r="BN77" s="358">
        <f>0</f>
        <v>0</v>
      </c>
      <c r="BP77" s="94">
        <f>SUM(BM77:BN77,W77,Sheet1!DX75)</f>
        <v>0</v>
      </c>
      <c r="BR77" s="94">
        <f>Sheet1!AA75</f>
        <v>25.79</v>
      </c>
      <c r="BS77" s="94">
        <f>Sheet1!AB75</f>
        <v>28.93</v>
      </c>
      <c r="BT77" s="94">
        <f t="shared" ref="BT77:BT140" ca="1" si="20">P77</f>
        <v>-1.561864789692071</v>
      </c>
      <c r="BU77" s="94">
        <f>Sheet1!AT75</f>
        <v>0</v>
      </c>
      <c r="BV77" s="89">
        <f>Sheet1!BB75</f>
        <v>0</v>
      </c>
      <c r="BW77" s="94">
        <f>Calculation!ED77</f>
        <v>10.525426409903714</v>
      </c>
      <c r="BX77" s="94">
        <f>(Sheet1!CS75*1440)/1000000</f>
        <v>0</v>
      </c>
      <c r="CA77" s="94">
        <f ca="1">Sheet1!AC75-Sheet1!BK75-Sheet1!BL75-Sheet1!BM75-Sheet1!BC75-Sheet1!BD75-Sheet1!BE75-Sheet1!BF75-Sheet1!BG75-Sheet1!BH75-Sheet1!BI75+BC77+P77</f>
        <v>42.57813521030792</v>
      </c>
      <c r="CB77" s="93">
        <f t="shared" ref="CB77:CB140" si="21">(BR77+BS77-BW77)*1.547</f>
        <v>68.369005343878953</v>
      </c>
      <c r="CC77" s="94">
        <f t="shared" ref="CC77:CC140" si="22">BU77+BV77</f>
        <v>0</v>
      </c>
      <c r="CD77" s="94">
        <f t="shared" ref="CD77:CD140" ca="1" si="23">CA77+BW77</f>
        <v>53.103561620211636</v>
      </c>
      <c r="CE77" s="1077">
        <f t="shared" ref="CE77:CE140" ca="1" si="24">CD77*1.547</f>
        <v>82.151209826467394</v>
      </c>
      <c r="CG77" s="1077">
        <f t="shared" ref="CG77:CG140" ca="1" si="25">CA77-BU77-BV77-BP77</f>
        <v>42.57813521030792</v>
      </c>
    </row>
    <row r="78" spans="1:85" s="89" customFormat="1" x14ac:dyDescent="0.25">
      <c r="A78" s="616" t="s">
        <v>6</v>
      </c>
      <c r="B78" s="91">
        <v>42802</v>
      </c>
      <c r="C78" s="92">
        <v>0</v>
      </c>
      <c r="D78" s="94">
        <f>(Sheet1!BQ76-Sheet1!BQ75)*1.385</f>
        <v>0.41550000000000098</v>
      </c>
      <c r="E78" s="30">
        <f>(Sheet1!BR76-Sheet1!BR75)*1.385</f>
        <v>0.41550000000000098</v>
      </c>
      <c r="F78" s="30">
        <f ca="1">IF(B78=TODAY(),0,-(VLOOKUP(Sheet1!CD76,Lookup!$I$4:$J$216,2)-VLOOKUP(Sheet1!CD75,Lookup!$I$4:$J$216,2))/1000000)</f>
        <v>0.20727387709559872</v>
      </c>
      <c r="G78" s="94">
        <f ca="1">IF(B78=TODAY(),0,-$G$6*(Sheet1!CF76-Sheet1!CF75)*7.48/1000000)</f>
        <v>0.51627551368327118</v>
      </c>
      <c r="H78" s="94">
        <f ca="1">IF(B78=TODAY(),0,-$H$6*(Sheet1!CE76-Sheet1!CE75)*7.48/1000000)</f>
        <v>0</v>
      </c>
      <c r="I78" s="94">
        <f ca="1">IF(B78=TODAY(),0,-$I$6*(Sheet1!CG76-Sheet1!CG75)*7.48/1000000)</f>
        <v>2.2462440000000004E-2</v>
      </c>
      <c r="J78" s="95" t="s">
        <v>177</v>
      </c>
      <c r="K78" s="94">
        <f ca="1">IF(B78=TODAY(),0,-$K$6*(Sheet1!CH76-Sheet1!CH75)*7.48/1000000)</f>
        <v>3.3316601872292212E-2</v>
      </c>
      <c r="L78" s="95" t="s">
        <v>177</v>
      </c>
      <c r="M78" s="94">
        <f ca="1">IF(B78=TODAY(),0,-$M$6*(Sheet1!CI76-Sheet1!CI75)*7.48/1000000)</f>
        <v>8.9957542140135238E-2</v>
      </c>
      <c r="N78" s="94">
        <f ca="1">IF(B78=TODAY(),0,-$N$6*(Sheet1!CJ76-Sheet1!CJ75)*7.48/1000000)</f>
        <v>0.12410469078924848</v>
      </c>
      <c r="O78" s="94">
        <f t="shared" ca="1" si="13"/>
        <v>0.99339066558054578</v>
      </c>
      <c r="P78" s="94">
        <f ca="1">O78+Calculation!ES78</f>
        <v>0.16219361400188248</v>
      </c>
      <c r="Q78" s="89" t="str">
        <f>IF(Sheet1!BQ76&gt;25.75,"spill elevation","-")</f>
        <v>-</v>
      </c>
      <c r="R78" s="89" t="str">
        <f>IF(Sheet1!BQ76&gt;25.75,"spill elevation","-")</f>
        <v>-</v>
      </c>
      <c r="S78" s="89" t="str">
        <f>IF(Sheet1!BR76&gt;25.75,"spill elevation","-")</f>
        <v>-</v>
      </c>
      <c r="T78" s="93">
        <f>IF(Sheet1!DU76=1,Sheet1!AA76-(SUM(AT78:BA78)+BE78),Sheet1!AA76-SUM(AT78:BA78))</f>
        <v>24.342079999999999</v>
      </c>
      <c r="U78" s="93">
        <f>Sheet1!BV76</f>
        <v>26.8</v>
      </c>
      <c r="V78" s="93">
        <f t="shared" si="14"/>
        <v>-2.4579200000000014</v>
      </c>
      <c r="W78" s="93">
        <f>0</f>
        <v>0</v>
      </c>
      <c r="X78" s="89">
        <f>0</f>
        <v>0</v>
      </c>
      <c r="Y78" s="94">
        <f ca="1">Calculation!EJ79+Calculation!ES78+'Calculations II'!O78-'Calculations II'!W78</f>
        <v>43.318779777514784</v>
      </c>
      <c r="Z78" s="94">
        <f ca="1">Y78-Sheet1!CT77</f>
        <v>27.523779777514783</v>
      </c>
      <c r="AA78" s="94">
        <f ca="1">Y78+Calculation!DJ79+Calculation!AS79</f>
        <v>53.718707990005811</v>
      </c>
      <c r="AC78" s="94">
        <f>Sheet1!AA76+Sheet1!AB76+BC78</f>
        <v>54.17</v>
      </c>
      <c r="AD78" s="94">
        <f>Sheet1!AA76+Sheet1!BN76+'Calculations II'!BC78-Calculation!AS78-Calculation!DJ78</f>
        <v>33.335136268343817</v>
      </c>
      <c r="AE78" s="94">
        <f>Sheet1!AA76+Sheet1!AB76+'Calculations II'!BC78-Calculation!AS78-Calculation!DJ78</f>
        <v>43.705136268343821</v>
      </c>
      <c r="AF78" s="94">
        <f ca="1">Sheet1!AA76+Sheet1!BN76+P78+'Calculations II'!BC78+Calculation!AS78+Calculation!DJ78</f>
        <v>54.427057345658056</v>
      </c>
      <c r="AG78" s="94">
        <f ca="1">IF(B78=TODAY(),0,Sheet1!AA76+Sheet1!BN76+'Calculations II'!BC78+'Calculations II'!P78-Sheet1!CT76-BP78)</f>
        <v>28.544193614001877</v>
      </c>
      <c r="AH78" s="94">
        <f ca="1">IF(B78=TODAY(),0,Sheet1!AA76+Sheet1!BN76+'Calculations II'!BC78+'Calculations II'!P78-BP78)</f>
        <v>43.962193614001876</v>
      </c>
      <c r="AI78" s="94">
        <f ca="1">IF(B78=TODAY(),0,BC78+Sheet1!AA76+Calculation!ES78+O78+W78+Sheet1!BN76+Calculation!AS78+Calculation!DJ78-BP78)</f>
        <v>54.427057345658071</v>
      </c>
      <c r="AJ78" s="94"/>
      <c r="AM78" s="90">
        <f t="shared" si="15"/>
        <v>42802</v>
      </c>
      <c r="AN78" s="94">
        <f>Sheet1!BU76</f>
        <v>23.7</v>
      </c>
      <c r="AO78" s="94">
        <f>Sheet1!AA76</f>
        <v>25.7</v>
      </c>
      <c r="AP78" s="94">
        <f t="shared" si="17"/>
        <v>0.83100000000000196</v>
      </c>
      <c r="AQ78" s="1087">
        <f>((Sheet1!BV76-(Sheet1!BU76-AP78))/(Sheet1!BU76-AP78))</f>
        <v>0.1718920809829903</v>
      </c>
      <c r="AR78" s="94">
        <f t="shared" si="18"/>
        <v>24.868999999999996</v>
      </c>
      <c r="AS78" s="94">
        <f t="shared" si="19"/>
        <v>22.868999999999996</v>
      </c>
      <c r="AT78" s="89">
        <f>Sheet1!BB76</f>
        <v>0</v>
      </c>
      <c r="AU78" s="89">
        <f>Sheet1!AS76*GPMtoMGD</f>
        <v>3.1824000000000005E-2</v>
      </c>
      <c r="AV78" s="94">
        <f>Sheet1!AT76</f>
        <v>0</v>
      </c>
      <c r="AW78" s="89">
        <f>Sheet1!AV76*GPMtoMGD</f>
        <v>0.59083200000000002</v>
      </c>
      <c r="AX78" s="89">
        <f>Sheet1!AW76*GPMtoMGD</f>
        <v>0.73526400000000003</v>
      </c>
      <c r="AY78" s="89">
        <f>Sheet1!AX76*GPMtoMGD</f>
        <v>0</v>
      </c>
      <c r="AZ78" s="89">
        <f>Sheet1!AY76*GPMtoMGD</f>
        <v>0</v>
      </c>
      <c r="BA78" s="89">
        <f>Sheet1!AZ76*GPMtoMGD</f>
        <v>0</v>
      </c>
      <c r="BB78" s="89">
        <f>Sheet1!BP76*GPMtoMGD</f>
        <v>2.8800000000000002E-3</v>
      </c>
      <c r="BC78" s="89">
        <f>Sheet1!CS76*GPMtoMGD</f>
        <v>0</v>
      </c>
      <c r="BD78" s="89">
        <f>Sheet1!BO76*GPMtoMGD</f>
        <v>1.317312</v>
      </c>
      <c r="BE78" s="89">
        <f>Sheet1!BW76*GPMtoMGD</f>
        <v>0.63014400000000004</v>
      </c>
      <c r="BF78" s="89">
        <f>Sheet1!CN76*GPMtoMGD</f>
        <v>0.24091200000000004</v>
      </c>
      <c r="BG78" s="89">
        <f>Sheet1!CO76*GPMtoMGD</f>
        <v>0.72230400000000006</v>
      </c>
      <c r="BH78" s="89">
        <f>Sheet1!CP76*GPMtoMGD</f>
        <v>0.63964799999999999</v>
      </c>
      <c r="BI78" s="89">
        <f t="shared" si="16"/>
        <v>1.320192</v>
      </c>
      <c r="BK78" s="94">
        <f>SUM(AT78:BA78,AS78,BC78,Calculation!AQ78)</f>
        <v>42.232056268343811</v>
      </c>
      <c r="BM78" s="358">
        <f>0</f>
        <v>0</v>
      </c>
      <c r="BN78" s="358">
        <f>0</f>
        <v>0</v>
      </c>
      <c r="BP78" s="94">
        <f>SUM(BM78:BN78,W78,Sheet1!DX76)</f>
        <v>0</v>
      </c>
      <c r="BR78" s="94">
        <f>Sheet1!AA76</f>
        <v>25.7</v>
      </c>
      <c r="BS78" s="94">
        <f>Sheet1!AB76</f>
        <v>28.47</v>
      </c>
      <c r="BT78" s="94">
        <f t="shared" ca="1" si="20"/>
        <v>0.16219361400188248</v>
      </c>
      <c r="BU78" s="94">
        <f>Sheet1!AT76</f>
        <v>0</v>
      </c>
      <c r="BV78" s="89">
        <f>Sheet1!BB76</f>
        <v>0</v>
      </c>
      <c r="BW78" s="94">
        <f>Calculation!ED78</f>
        <v>10.464863731656184</v>
      </c>
      <c r="BX78" s="94">
        <f>(Sheet1!CS76*1440)/1000000</f>
        <v>0</v>
      </c>
      <c r="CA78" s="94">
        <f ca="1">Sheet1!AC76-Sheet1!BK76-Sheet1!BL76-Sheet1!BM76-Sheet1!BC76-Sheet1!BD76-Sheet1!BE76-Sheet1!BF76-Sheet1!BG76-Sheet1!BH76-Sheet1!BI76+BC78+P78</f>
        <v>43.812193614001885</v>
      </c>
      <c r="CB78" s="93">
        <f t="shared" si="21"/>
        <v>67.611845807127892</v>
      </c>
      <c r="CC78" s="94">
        <f t="shared" si="22"/>
        <v>0</v>
      </c>
      <c r="CD78" s="94">
        <f t="shared" ca="1" si="23"/>
        <v>54.277057345658065</v>
      </c>
      <c r="CE78" s="1077">
        <f t="shared" ca="1" si="24"/>
        <v>83.966607713733026</v>
      </c>
      <c r="CG78" s="1077">
        <f t="shared" ca="1" si="25"/>
        <v>43.812193614001885</v>
      </c>
    </row>
    <row r="79" spans="1:85" s="89" customFormat="1" x14ac:dyDescent="0.25">
      <c r="A79" s="616" t="s">
        <v>7</v>
      </c>
      <c r="B79" s="91">
        <v>42803</v>
      </c>
      <c r="C79" s="92">
        <v>0</v>
      </c>
      <c r="D79" s="94">
        <f>(Sheet1!BQ77-Sheet1!BQ76)*1.385</f>
        <v>0</v>
      </c>
      <c r="E79" s="30">
        <f>(Sheet1!BR77-Sheet1!BR76)*1.385</f>
        <v>0</v>
      </c>
      <c r="F79" s="30">
        <f ca="1">IF(B79=TODAY(),0,-(VLOOKUP(Sheet1!CD77,Lookup!$I$4:$J$216,2)-VLOOKUP(Sheet1!CD76,Lookup!$I$4:$J$216,2))/1000000)</f>
        <v>0.10363693854779936</v>
      </c>
      <c r="G79" s="94">
        <f ca="1">IF(B79=TODAY(),0,-$G$6*(Sheet1!CF77-Sheet1!CF76)*7.48/1000000)</f>
        <v>0.63541601684094862</v>
      </c>
      <c r="H79" s="94">
        <f ca="1">IF(B79=TODAY(),0,-$H$6*(Sheet1!CE77-Sheet1!CE76)*7.48/1000000)</f>
        <v>1.5039432351265274E-2</v>
      </c>
      <c r="I79" s="94">
        <f ca="1">IF(B79=TODAY(),0,-$I$6*(Sheet1!CG77-Sheet1!CG76)*7.48/1000000)</f>
        <v>4.4924879999999837E-3</v>
      </c>
      <c r="J79" s="95" t="s">
        <v>177</v>
      </c>
      <c r="K79" s="94">
        <f ca="1">IF(B79=TODAY(),0,-$K$6*(Sheet1!CH77-Sheet1!CH76)*7.48/1000000)</f>
        <v>6.6633203744584186E-3</v>
      </c>
      <c r="L79" s="95" t="s">
        <v>177</v>
      </c>
      <c r="M79" s="94">
        <f ca="1">IF(B79=TODAY(),0,-$M$6*(Sheet1!CI77-Sheet1!CI76)*7.48/1000000)</f>
        <v>5.3974525284080956E-2</v>
      </c>
      <c r="N79" s="94">
        <f ca="1">IF(B79=TODAY(),0,-$N$6*(Sheet1!CJ77-Sheet1!CJ76)*7.48/1000000)</f>
        <v>-6.2052345394624786E-2</v>
      </c>
      <c r="O79" s="94">
        <f t="shared" ca="1" si="13"/>
        <v>0.75717037600392778</v>
      </c>
      <c r="P79" s="94">
        <f ca="1">O79+Calculation!ES79</f>
        <v>0.75717037600392778</v>
      </c>
      <c r="Q79" s="89" t="str">
        <f>IF(Sheet1!BQ77&gt;25.75,"spill elevation","-")</f>
        <v>-</v>
      </c>
      <c r="R79" s="89" t="str">
        <f>IF(Sheet1!BQ77&gt;25.75,"spill elevation","-")</f>
        <v>-</v>
      </c>
      <c r="S79" s="89" t="str">
        <f>IF(Sheet1!BR77&gt;25.75,"spill elevation","-")</f>
        <v>-</v>
      </c>
      <c r="T79" s="93">
        <f>IF(Sheet1!DU77=1,Sheet1!AA77-(SUM(AT79:BA79)+BE79),Sheet1!AA77-SUM(AT79:BA79))</f>
        <v>25.000655999999999</v>
      </c>
      <c r="U79" s="93">
        <f>Sheet1!BV77</f>
        <v>28.6</v>
      </c>
      <c r="V79" s="93">
        <f t="shared" si="14"/>
        <v>-3.5993440000000021</v>
      </c>
      <c r="W79" s="93">
        <f>0</f>
        <v>0</v>
      </c>
      <c r="X79" s="89">
        <f>0</f>
        <v>0</v>
      </c>
      <c r="Y79" s="94">
        <f ca="1">Calculation!EJ80+Calculation!ES79+'Calculations II'!O79-'Calculations II'!W79</f>
        <v>41.52738236555745</v>
      </c>
      <c r="Z79" s="94">
        <f ca="1">Y79-Sheet1!CT78</f>
        <v>25.48038236555745</v>
      </c>
      <c r="AA79" s="94">
        <f ca="1">Y79+Calculation!DJ80+Calculation!AS80</f>
        <v>51.994737585033661</v>
      </c>
      <c r="AC79" s="94">
        <f>Sheet1!AA77+Sheet1!AB77+BC79</f>
        <v>53.5</v>
      </c>
      <c r="AD79" s="94">
        <f>Sheet1!AA77+Sheet1!BN77+'Calculations II'!BC79-Calculation!AS79-Calculation!DJ79</f>
        <v>32.800071787508976</v>
      </c>
      <c r="AE79" s="94">
        <f>Sheet1!AA77+Sheet1!AB77+'Calculations II'!BC79-Calculation!AS79-Calculation!DJ79</f>
        <v>43.100071787508973</v>
      </c>
      <c r="AF79" s="94">
        <f ca="1">Sheet1!AA77+Sheet1!BN77+P79+'Calculations II'!BC79+Calculation!AS79+Calculation!DJ79</f>
        <v>54.357098588494956</v>
      </c>
      <c r="AG79" s="94">
        <f ca="1">IF(B79=TODAY(),0,Sheet1!AA77+Sheet1!BN77+'Calculations II'!BC79+'Calculations II'!P79-Sheet1!CT77-BP79)</f>
        <v>28.162170376003928</v>
      </c>
      <c r="AH79" s="94">
        <f ca="1">IF(B79=TODAY(),0,Sheet1!AA77+Sheet1!BN77+'Calculations II'!BC79+'Calculations II'!P79-BP79)</f>
        <v>43.95717037600393</v>
      </c>
      <c r="AI79" s="94">
        <f ca="1">IF(B79=TODAY(),0,BC79+Sheet1!AA77+Calculation!ES79+O79+W79+Sheet1!BN77+Calculation!AS79+Calculation!DJ79-BP79)</f>
        <v>54.357098588494956</v>
      </c>
      <c r="AJ79" s="94"/>
      <c r="AM79" s="90">
        <f t="shared" si="15"/>
        <v>42803</v>
      </c>
      <c r="AN79" s="94">
        <f>Sheet1!BU77</f>
        <v>24.3</v>
      </c>
      <c r="AO79" s="94">
        <f>Sheet1!AA77</f>
        <v>25.8</v>
      </c>
      <c r="AP79" s="94">
        <f t="shared" si="17"/>
        <v>0</v>
      </c>
      <c r="AQ79" s="1087">
        <f>((Sheet1!BV77-(Sheet1!BU77-AP79))/(Sheet1!BU77-AP79))</f>
        <v>0.17695473251028809</v>
      </c>
      <c r="AR79" s="94">
        <f t="shared" si="18"/>
        <v>25.8</v>
      </c>
      <c r="AS79" s="94">
        <f t="shared" si="19"/>
        <v>24.3</v>
      </c>
      <c r="AT79" s="89">
        <f>Sheet1!BB77</f>
        <v>0</v>
      </c>
      <c r="AU79" s="89">
        <f>Sheet1!AS77*GPMtoMGD</f>
        <v>1.4976000000000001E-2</v>
      </c>
      <c r="AV79" s="94">
        <f>Sheet1!AT77</f>
        <v>0</v>
      </c>
      <c r="AW79" s="89">
        <f>Sheet1!AV77*GPMtoMGD</f>
        <v>0.31291200000000002</v>
      </c>
      <c r="AX79" s="89">
        <f>Sheet1!AW77*GPMtoMGD</f>
        <v>0.47145599999999999</v>
      </c>
      <c r="AY79" s="89">
        <f>Sheet1!AX77*GPMtoMGD</f>
        <v>0</v>
      </c>
      <c r="AZ79" s="89">
        <f>Sheet1!AY77*GPMtoMGD</f>
        <v>0</v>
      </c>
      <c r="BA79" s="89">
        <f>Sheet1!AZ77*GPMtoMGD</f>
        <v>0</v>
      </c>
      <c r="BB79" s="89">
        <f>Sheet1!BP77*GPMtoMGD</f>
        <v>2.8800000000000002E-3</v>
      </c>
      <c r="BC79" s="89">
        <f>Sheet1!CS77*GPMtoMGD</f>
        <v>0</v>
      </c>
      <c r="BD79" s="89">
        <f>Sheet1!BO77*GPMtoMGD</f>
        <v>1.3898880000000002</v>
      </c>
      <c r="BE79" s="89">
        <f>Sheet1!BW77*GPMtoMGD</f>
        <v>0.73454400000000009</v>
      </c>
      <c r="BF79" s="89">
        <f>Sheet1!CN77*GPMtoMGD</f>
        <v>0.22435200000000002</v>
      </c>
      <c r="BG79" s="89">
        <f>Sheet1!CO77*GPMtoMGD</f>
        <v>0.79430400000000012</v>
      </c>
      <c r="BH79" s="89">
        <f>Sheet1!CP77*GPMtoMGD</f>
        <v>0.63705599999999996</v>
      </c>
      <c r="BI79" s="89">
        <f t="shared" si="16"/>
        <v>1.3927680000000002</v>
      </c>
      <c r="BK79" s="94">
        <f>SUM(AT79:BA79,AS79,BC79,Calculation!AQ79)</f>
        <v>42.399415787508971</v>
      </c>
      <c r="BM79" s="358">
        <f>0</f>
        <v>0</v>
      </c>
      <c r="BN79" s="358">
        <f>0</f>
        <v>0</v>
      </c>
      <c r="BP79" s="94">
        <f>SUM(BM79:BN79,W79,Sheet1!DX77)</f>
        <v>0</v>
      </c>
      <c r="BR79" s="94">
        <f>Sheet1!AA77</f>
        <v>25.8</v>
      </c>
      <c r="BS79" s="94">
        <f>Sheet1!AB77</f>
        <v>27.7</v>
      </c>
      <c r="BT79" s="94">
        <f t="shared" ca="1" si="20"/>
        <v>0.75717037600392778</v>
      </c>
      <c r="BU79" s="94">
        <f>Sheet1!AT77</f>
        <v>0</v>
      </c>
      <c r="BV79" s="89">
        <f>Sheet1!BB77</f>
        <v>0</v>
      </c>
      <c r="BW79" s="94">
        <f>Calculation!ED79</f>
        <v>10.399928212491027</v>
      </c>
      <c r="BX79" s="94">
        <f>(Sheet1!CS77*1440)/1000000</f>
        <v>0</v>
      </c>
      <c r="CA79" s="94">
        <f ca="1">Sheet1!AC77-Sheet1!BK77-Sheet1!BL77-Sheet1!BM77-Sheet1!BC77-Sheet1!BD77-Sheet1!BE77-Sheet1!BF77-Sheet1!BG77-Sheet1!BH77-Sheet1!BI77+BC79+P79</f>
        <v>43.797170376003926</v>
      </c>
      <c r="CB79" s="93">
        <f t="shared" si="21"/>
        <v>66.675811055276384</v>
      </c>
      <c r="CC79" s="94">
        <f t="shared" si="22"/>
        <v>0</v>
      </c>
      <c r="CD79" s="94">
        <f t="shared" ca="1" si="23"/>
        <v>54.197098588494953</v>
      </c>
      <c r="CE79" s="1077">
        <f t="shared" ca="1" si="24"/>
        <v>83.842911516401685</v>
      </c>
      <c r="CG79" s="1077">
        <f t="shared" ca="1" si="25"/>
        <v>43.797170376003926</v>
      </c>
    </row>
    <row r="80" spans="1:85" s="89" customFormat="1" x14ac:dyDescent="0.25">
      <c r="A80" s="616" t="s">
        <v>8</v>
      </c>
      <c r="B80" s="91">
        <v>42804</v>
      </c>
      <c r="C80" s="92">
        <v>0</v>
      </c>
      <c r="D80" s="94">
        <f>(Sheet1!BQ78-Sheet1!BQ77)*1.385</f>
        <v>-1.3988500000000021</v>
      </c>
      <c r="E80" s="30">
        <f>(Sheet1!BR78-Sheet1!BR77)*1.385</f>
        <v>-1.3988500000000021</v>
      </c>
      <c r="F80" s="30">
        <f ca="1">IF(B80=TODAY(),0,-(VLOOKUP(Sheet1!CD78,Lookup!$I$4:$J$216,2)-VLOOKUP(Sheet1!CD77,Lookup!$I$4:$J$216,2))/1000000)</f>
        <v>0.10363693854779936</v>
      </c>
      <c r="G80" s="94">
        <f ca="1">IF(B80=TODAY(),0,-$G$6*(Sheet1!CF78-Sheet1!CF77)*7.48/1000000)</f>
        <v>-1.1119780294716608</v>
      </c>
      <c r="H80" s="94">
        <f ca="1">IF(B80=TODAY(),0,-$H$6*(Sheet1!CE78-Sheet1!CE77)*7.48/1000000)</f>
        <v>0</v>
      </c>
      <c r="I80" s="94">
        <f ca="1">IF(B80=TODAY(),0,-$I$6*(Sheet1!CG78-Sheet1!CG77)*7.48/1000000)</f>
        <v>-4.4924879999999837E-3</v>
      </c>
      <c r="J80" s="95" t="s">
        <v>177</v>
      </c>
      <c r="K80" s="94">
        <f ca="1">IF(B80=TODAY(),0,-$K$6*(Sheet1!CH78-Sheet1!CH77)*7.48/1000000)</f>
        <v>0</v>
      </c>
      <c r="L80" s="95" t="s">
        <v>177</v>
      </c>
      <c r="M80" s="94">
        <f ca="1">IF(B80=TODAY(),0,-$M$6*(Sheet1!CI78-Sheet1!CI77)*7.48/1000000)</f>
        <v>-1.7991508428026985E-2</v>
      </c>
      <c r="N80" s="94">
        <f ca="1">IF(B80=TODAY(),0,-$N$6*(Sheet1!CJ78-Sheet1!CJ77)*7.48/1000000)</f>
        <v>-1.861570361838677E-2</v>
      </c>
      <c r="O80" s="94">
        <f t="shared" ca="1" si="13"/>
        <v>-1.0494407909702752</v>
      </c>
      <c r="P80" s="94">
        <f ca="1">O80+Calculation!ES80</f>
        <v>1.7207674208890142</v>
      </c>
      <c r="Q80" s="89" t="str">
        <f>IF(Sheet1!BQ78&gt;25.75,"spill elevation","-")</f>
        <v>-</v>
      </c>
      <c r="R80" s="89" t="str">
        <f>IF(Sheet1!BQ78&gt;25.75,"spill elevation","-")</f>
        <v>-</v>
      </c>
      <c r="S80" s="89" t="str">
        <f>IF(Sheet1!BR78&gt;25.75,"spill elevation","-")</f>
        <v>-</v>
      </c>
      <c r="T80" s="93">
        <f>IF(Sheet1!DU78=1,Sheet1!AA78-(SUM(AT80:BA80)+BE80),Sheet1!AA78-SUM(AT80:BA80))</f>
        <v>24.312991999999998</v>
      </c>
      <c r="U80" s="93">
        <f>Sheet1!BV78</f>
        <v>31.8</v>
      </c>
      <c r="V80" s="93">
        <f t="shared" si="14"/>
        <v>-7.487008000000003</v>
      </c>
      <c r="W80" s="93">
        <f>0</f>
        <v>0</v>
      </c>
      <c r="X80" s="89">
        <f>0</f>
        <v>0</v>
      </c>
      <c r="Y80" s="94">
        <f ca="1">Calculation!EJ81+Calculation!ES80+'Calculations II'!O80-'Calculations II'!W80</f>
        <v>42.919006783357197</v>
      </c>
      <c r="Z80" s="94">
        <f ca="1">Y80-Sheet1!CT79</f>
        <v>26.325006783357196</v>
      </c>
      <c r="AA80" s="94">
        <f ca="1">Y80+Calculation!DJ81+Calculation!AS81</f>
        <v>53.703089318360881</v>
      </c>
      <c r="AC80" s="94">
        <f>Sheet1!AA78+Sheet1!AB78+BC80</f>
        <v>52.7</v>
      </c>
      <c r="AD80" s="94">
        <f>Sheet1!AA78+Sheet1!BN78+'Calculations II'!BC80-Calculation!AS80-Calculation!DJ80</f>
        <v>31.83264478052379</v>
      </c>
      <c r="AE80" s="94">
        <f>Sheet1!AA78+Sheet1!AB78+'Calculations II'!BC80-Calculation!AS80-Calculation!DJ80</f>
        <v>42.232644780523799</v>
      </c>
      <c r="AF80" s="94">
        <f ca="1">Sheet1!AA78+Sheet1!BN78+P80+'Calculations II'!BC80+Calculation!AS80+Calculation!DJ80</f>
        <v>54.488122640365219</v>
      </c>
      <c r="AG80" s="94">
        <f ca="1">IF(B80=TODAY(),0,Sheet1!AA78+Sheet1!BN78+'Calculations II'!BC80+'Calculations II'!P80-Sheet1!CT78-BP80)</f>
        <v>27.973767420889008</v>
      </c>
      <c r="AH80" s="94">
        <f ca="1">IF(B80=TODAY(),0,Sheet1!AA78+Sheet1!BN78+'Calculations II'!BC80+'Calculations II'!P80-BP80)</f>
        <v>44.020767420889008</v>
      </c>
      <c r="AI80" s="94">
        <f ca="1">IF(B80=TODAY(),0,BC80+Sheet1!AA78+Calculation!ES80+O80+W80+Sheet1!BN78+Calculation!AS80+Calculation!DJ80-BP80)</f>
        <v>54.488122640365219</v>
      </c>
      <c r="AJ80" s="94"/>
      <c r="AM80" s="90">
        <f t="shared" si="15"/>
        <v>42804</v>
      </c>
      <c r="AN80" s="94">
        <f>Sheet1!BU78</f>
        <v>23.9</v>
      </c>
      <c r="AO80" s="94">
        <f>Sheet1!AA78</f>
        <v>25.7</v>
      </c>
      <c r="AP80" s="94">
        <f t="shared" si="17"/>
        <v>-2.7977000000000043</v>
      </c>
      <c r="AQ80" s="1087">
        <f>((Sheet1!BV78-(Sheet1!BU78-AP80))/(Sheet1!BU78-AP80))</f>
        <v>0.19111384126722508</v>
      </c>
      <c r="AR80" s="94">
        <f t="shared" si="18"/>
        <v>28.497700000000002</v>
      </c>
      <c r="AS80" s="94">
        <f t="shared" si="19"/>
        <v>26.697700000000005</v>
      </c>
      <c r="AT80" s="89">
        <f>Sheet1!BB78</f>
        <v>0</v>
      </c>
      <c r="AU80" s="89">
        <f>Sheet1!AS78*GPMtoMGD</f>
        <v>3.0528E-2</v>
      </c>
      <c r="AV80" s="94">
        <f>Sheet1!AT78</f>
        <v>0</v>
      </c>
      <c r="AW80" s="89">
        <f>Sheet1!AV78*GPMtoMGD</f>
        <v>0.64094400000000007</v>
      </c>
      <c r="AX80" s="89">
        <f>Sheet1!AW78*GPMtoMGD</f>
        <v>0.71553600000000006</v>
      </c>
      <c r="AY80" s="89">
        <f>Sheet1!AX78*GPMtoMGD</f>
        <v>0</v>
      </c>
      <c r="AZ80" s="89">
        <f>Sheet1!AY78*GPMtoMGD</f>
        <v>0</v>
      </c>
      <c r="BA80" s="89">
        <f>Sheet1!AZ78*GPMtoMGD</f>
        <v>0</v>
      </c>
      <c r="BB80" s="89">
        <f>Sheet1!BP78*GPMtoMGD</f>
        <v>2.8800000000000002E-3</v>
      </c>
      <c r="BC80" s="89">
        <f>Sheet1!CS78*GPMtoMGD</f>
        <v>0</v>
      </c>
      <c r="BD80" s="89">
        <f>Sheet1!BO78*GPMtoMGD</f>
        <v>1.4332320000000001</v>
      </c>
      <c r="BE80" s="89">
        <f>Sheet1!BW78*GPMtoMGD</f>
        <v>0.79315199999999997</v>
      </c>
      <c r="BF80" s="89">
        <f>Sheet1!CN78*GPMtoMGD</f>
        <v>0.24552000000000002</v>
      </c>
      <c r="BG80" s="89">
        <f>Sheet1!CO78*GPMtoMGD</f>
        <v>0.72100799999999998</v>
      </c>
      <c r="BH80" s="89">
        <f>Sheet1!CP78*GPMtoMGD</f>
        <v>0.65001600000000004</v>
      </c>
      <c r="BI80" s="89">
        <f t="shared" si="16"/>
        <v>1.4361120000000001</v>
      </c>
      <c r="BK80" s="94">
        <f>SUM(AT80:BA80,AS80,BC80,Calculation!AQ80)</f>
        <v>44.617352780523802</v>
      </c>
      <c r="BM80" s="358">
        <f>0</f>
        <v>0</v>
      </c>
      <c r="BN80" s="358">
        <f>0</f>
        <v>0</v>
      </c>
      <c r="BP80" s="94">
        <f>SUM(BM80:BN80,W80,Sheet1!DX78)</f>
        <v>0</v>
      </c>
      <c r="BR80" s="94">
        <f>Sheet1!AA78</f>
        <v>25.7</v>
      </c>
      <c r="BS80" s="94">
        <f>Sheet1!AB78</f>
        <v>27</v>
      </c>
      <c r="BT80" s="94">
        <f t="shared" ca="1" si="20"/>
        <v>1.7207674208890142</v>
      </c>
      <c r="BU80" s="94">
        <f>Sheet1!AT78</f>
        <v>0</v>
      </c>
      <c r="BV80" s="89">
        <f>Sheet1!BB78</f>
        <v>0</v>
      </c>
      <c r="BW80" s="94">
        <f>Calculation!ED80</f>
        <v>10.467355219476207</v>
      </c>
      <c r="BX80" s="94">
        <f>(Sheet1!CS78*1440)/1000000</f>
        <v>0</v>
      </c>
      <c r="CA80" s="94">
        <f ca="1">Sheet1!AC78-Sheet1!BK78-Sheet1!BL78-Sheet1!BM78-Sheet1!BC78-Sheet1!BD78-Sheet1!BE78-Sheet1!BF78-Sheet1!BG78-Sheet1!BH78-Sheet1!BI78+BC80+P80</f>
        <v>43.910767420889016</v>
      </c>
      <c r="CB80" s="93">
        <f t="shared" si="21"/>
        <v>65.333901475470313</v>
      </c>
      <c r="CC80" s="94">
        <f t="shared" si="22"/>
        <v>0</v>
      </c>
      <c r="CD80" s="94">
        <f t="shared" ca="1" si="23"/>
        <v>54.37812264036522</v>
      </c>
      <c r="CE80" s="1077">
        <f t="shared" ca="1" si="24"/>
        <v>84.122955724644996</v>
      </c>
      <c r="CG80" s="1077">
        <f t="shared" ca="1" si="25"/>
        <v>43.910767420889016</v>
      </c>
    </row>
    <row r="81" spans="1:85" s="89" customFormat="1" x14ac:dyDescent="0.25">
      <c r="A81" s="616" t="s">
        <v>9</v>
      </c>
      <c r="B81" s="91">
        <v>42805</v>
      </c>
      <c r="C81" s="92">
        <v>0</v>
      </c>
      <c r="D81" s="94">
        <f>(Sheet1!BQ79-Sheet1!BQ78)*1.385</f>
        <v>-1.4403999999999988</v>
      </c>
      <c r="E81" s="30">
        <f>(Sheet1!BR79-Sheet1!BR78)*1.385</f>
        <v>-1.454249999999996</v>
      </c>
      <c r="F81" s="30">
        <f ca="1">IF(B81=TODAY(),0,-(VLOOKUP(Sheet1!CD79,Lookup!$I$4:$J$216,2)-VLOOKUP(Sheet1!CD78,Lookup!$I$4:$J$216,2))/1000000)</f>
        <v>0.10363693854779936</v>
      </c>
      <c r="G81" s="94">
        <f ca="1">IF(B81=TODAY(),0,-$G$6*(Sheet1!CF79-Sheet1!CF78)*7.48/1000000)</f>
        <v>0.43684851157815213</v>
      </c>
      <c r="H81" s="94">
        <f ca="1">IF(B81=TODAY(),0,-$H$6*(Sheet1!CE79-Sheet1!CE78)*7.48/1000000)</f>
        <v>0</v>
      </c>
      <c r="I81" s="94">
        <f ca="1">IF(B81=TODAY(),0,-$I$6*(Sheet1!CG79-Sheet1!CG78)*7.48/1000000)</f>
        <v>-0.10332722400000005</v>
      </c>
      <c r="J81" s="95" t="s">
        <v>177</v>
      </c>
      <c r="K81" s="94">
        <f ca="1">IF(B81=TODAY(),0,-$K$6*(Sheet1!CH79-Sheet1!CH78)*7.48/1000000)</f>
        <v>-0.17990965011037791</v>
      </c>
      <c r="L81" s="95" t="s">
        <v>177</v>
      </c>
      <c r="M81" s="94">
        <f ca="1">IF(B81=TODAY(),0,-$M$6*(Sheet1!CI79-Sheet1!CI78)*7.48/1000000)</f>
        <v>-0.48577072755673051</v>
      </c>
      <c r="N81" s="94">
        <f ca="1">IF(B81=TODAY(),0,-$N$6*(Sheet1!CJ79-Sheet1!CJ78)*7.48/1000000)</f>
        <v>8.066804901301157E-2</v>
      </c>
      <c r="O81" s="94">
        <f t="shared" ca="1" si="13"/>
        <v>-0.1478541025281454</v>
      </c>
      <c r="P81" s="94">
        <f ca="1">O81+Calculation!ES81</f>
        <v>2.6210724861628321</v>
      </c>
      <c r="Q81" s="89" t="str">
        <f>IF(Sheet1!BQ79&gt;25.75,"spill elevation","-")</f>
        <v>-</v>
      </c>
      <c r="R81" s="89" t="str">
        <f>IF(Sheet1!BQ79&gt;25.75,"spill elevation","-")</f>
        <v>-</v>
      </c>
      <c r="S81" s="89" t="str">
        <f>IF(Sheet1!BR79&gt;25.75,"spill elevation","-")</f>
        <v>-</v>
      </c>
      <c r="T81" s="93">
        <f>IF(Sheet1!DU79=1,Sheet1!AA79-(SUM(AT81:BA81)+BE81),Sheet1!AA79-SUM(AT81:BA81))</f>
        <v>24.769824</v>
      </c>
      <c r="U81" s="93">
        <f>Sheet1!BV79</f>
        <v>31.9</v>
      </c>
      <c r="V81" s="93">
        <f t="shared" si="14"/>
        <v>-7.1301759999999987</v>
      </c>
      <c r="W81" s="93">
        <f>0</f>
        <v>0</v>
      </c>
      <c r="X81" s="89">
        <f>0</f>
        <v>0</v>
      </c>
      <c r="Y81" s="94">
        <f ca="1">Calculation!EJ82+Calculation!ES81+'Calculations II'!O81-'Calculations II'!W81</f>
        <v>44.320212385537658</v>
      </c>
      <c r="Z81" s="94">
        <f ca="1">Y81-Sheet1!CT80</f>
        <v>28.209212385537658</v>
      </c>
      <c r="AA81" s="94">
        <f ca="1">Y81+Calculation!DJ82+Calculation!AS82</f>
        <v>55.208102160737077</v>
      </c>
      <c r="AC81" s="94">
        <f>Sheet1!AA79+Sheet1!AB79+BC81</f>
        <v>52.8</v>
      </c>
      <c r="AD81" s="94">
        <f>Sheet1!AA79+Sheet1!BN79+'Calculations II'!BC81-Calculation!AS81-Calculation!DJ81</f>
        <v>31.315917464996318</v>
      </c>
      <c r="AE81" s="94">
        <f>Sheet1!AA79+Sheet1!AB79+'Calculations II'!BC81-Calculation!AS81-Calculation!DJ81</f>
        <v>42.015917464996313</v>
      </c>
      <c r="AF81" s="94">
        <f ca="1">Sheet1!AA79+Sheet1!BN79+P81+'Calculations II'!BC81+Calculation!AS81+Calculation!DJ81</f>
        <v>55.505155021166516</v>
      </c>
      <c r="AG81" s="94">
        <f ca="1">IF(B81=TODAY(),0,Sheet1!AA79+Sheet1!BN79+'Calculations II'!BC81+'Calculations II'!P81-Sheet1!CT79-BP81)</f>
        <v>28.127072486162831</v>
      </c>
      <c r="AH81" s="94">
        <f ca="1">IF(B81=TODAY(),0,Sheet1!AA79+Sheet1!BN79+'Calculations II'!BC81+'Calculations II'!P81-BP81)</f>
        <v>44.721072486162832</v>
      </c>
      <c r="AI81" s="94">
        <f ca="1">IF(B81=TODAY(),0,BC81+Sheet1!AA79+Calculation!ES81+O81+W81+Sheet1!BN79+Calculation!AS81+Calculation!DJ81-BP81)</f>
        <v>55.505155021166516</v>
      </c>
      <c r="AJ81" s="94"/>
      <c r="AM81" s="90">
        <f t="shared" si="15"/>
        <v>42805</v>
      </c>
      <c r="AN81" s="94">
        <f>Sheet1!BU79</f>
        <v>24.1</v>
      </c>
      <c r="AO81" s="94">
        <f>Sheet1!AA79</f>
        <v>25.8</v>
      </c>
      <c r="AP81" s="94">
        <f t="shared" si="17"/>
        <v>-2.8946499999999951</v>
      </c>
      <c r="AQ81" s="1087">
        <f>((Sheet1!BV79-(Sheet1!BU79-AP81))/(Sheet1!BU79-AP81))</f>
        <v>0.18171563624644152</v>
      </c>
      <c r="AR81" s="94">
        <f t="shared" si="18"/>
        <v>28.694649999999996</v>
      </c>
      <c r="AS81" s="94">
        <f t="shared" si="19"/>
        <v>26.994649999999996</v>
      </c>
      <c r="AT81" s="89">
        <f>Sheet1!BB79</f>
        <v>0</v>
      </c>
      <c r="AU81" s="89">
        <f>Sheet1!AS79*GPMtoMGD</f>
        <v>1.5552000000000002E-2</v>
      </c>
      <c r="AV81" s="94">
        <f>Sheet1!AT79</f>
        <v>0</v>
      </c>
      <c r="AW81" s="89">
        <f>Sheet1!AV79*GPMtoMGD</f>
        <v>0.41832000000000003</v>
      </c>
      <c r="AX81" s="89">
        <f>Sheet1!AW79*GPMtoMGD</f>
        <v>0.59630400000000006</v>
      </c>
      <c r="AY81" s="89">
        <f>Sheet1!AX79*GPMtoMGD</f>
        <v>0</v>
      </c>
      <c r="AZ81" s="89">
        <f>Sheet1!AY79*GPMtoMGD</f>
        <v>0</v>
      </c>
      <c r="BA81" s="89">
        <f>Sheet1!AZ79*GPMtoMGD</f>
        <v>0</v>
      </c>
      <c r="BB81" s="89">
        <f>Sheet1!BP79*GPMtoMGD</f>
        <v>2.8800000000000002E-3</v>
      </c>
      <c r="BC81" s="89">
        <f>Sheet1!CS79*GPMtoMGD</f>
        <v>0</v>
      </c>
      <c r="BD81" s="89">
        <f>Sheet1!BO79*GPMtoMGD</f>
        <v>2.1490560000000003</v>
      </c>
      <c r="BE81" s="89">
        <f>Sheet1!BW79*GPMtoMGD</f>
        <v>0.82713599999999998</v>
      </c>
      <c r="BF81" s="89">
        <f>Sheet1!CN79*GPMtoMGD</f>
        <v>0.286416</v>
      </c>
      <c r="BG81" s="89">
        <f>Sheet1!CO79*GPMtoMGD</f>
        <v>0.61257600000000001</v>
      </c>
      <c r="BH81" s="89">
        <f>Sheet1!CP79*GPMtoMGD</f>
        <v>0.61934400000000012</v>
      </c>
      <c r="BI81" s="89">
        <f t="shared" si="16"/>
        <v>2.1519360000000005</v>
      </c>
      <c r="BK81" s="94">
        <f>SUM(AT81:BA81,AS81,BC81,Calculation!AQ81)</f>
        <v>44.240743464996314</v>
      </c>
      <c r="BM81" s="358">
        <f>0</f>
        <v>0</v>
      </c>
      <c r="BN81" s="358">
        <f>0</f>
        <v>0</v>
      </c>
      <c r="BP81" s="94">
        <f>SUM(BM81:BN81,W81,Sheet1!DX79)</f>
        <v>0</v>
      </c>
      <c r="BR81" s="94">
        <f>Sheet1!AA79</f>
        <v>25.8</v>
      </c>
      <c r="BS81" s="94">
        <f>Sheet1!AB79</f>
        <v>27</v>
      </c>
      <c r="BT81" s="94">
        <f t="shared" ca="1" si="20"/>
        <v>2.6210724861628321</v>
      </c>
      <c r="BU81" s="94">
        <f>Sheet1!AT79</f>
        <v>0</v>
      </c>
      <c r="BV81" s="89">
        <f>Sheet1!BB79</f>
        <v>0</v>
      </c>
      <c r="BW81" s="94">
        <f>Calculation!ED81</f>
        <v>10.784082535003684</v>
      </c>
      <c r="BX81" s="94">
        <f>(Sheet1!CS79*1440)/1000000</f>
        <v>0</v>
      </c>
      <c r="CA81" s="94">
        <f ca="1">Sheet1!AC79-Sheet1!BK79-Sheet1!BL79-Sheet1!BM79-Sheet1!BC79-Sheet1!BD79-Sheet1!BE79-Sheet1!BF79-Sheet1!BG79-Sheet1!BH79-Sheet1!BI79+BC81+P81</f>
        <v>44.581072486162824</v>
      </c>
      <c r="CB81" s="93">
        <f t="shared" si="21"/>
        <v>64.9986243183493</v>
      </c>
      <c r="CC81" s="94">
        <f t="shared" si="22"/>
        <v>0</v>
      </c>
      <c r="CD81" s="94">
        <f t="shared" ca="1" si="23"/>
        <v>55.365155021166508</v>
      </c>
      <c r="CE81" s="1077">
        <f t="shared" ca="1" si="24"/>
        <v>85.649894817744581</v>
      </c>
      <c r="CG81" s="1077">
        <f t="shared" ca="1" si="25"/>
        <v>44.581072486162824</v>
      </c>
    </row>
    <row r="82" spans="1:85" s="89" customFormat="1" x14ac:dyDescent="0.25">
      <c r="A82" s="616" t="s">
        <v>3</v>
      </c>
      <c r="B82" s="91">
        <v>42806</v>
      </c>
      <c r="C82" s="92">
        <v>0</v>
      </c>
      <c r="D82" s="94">
        <f>(Sheet1!BQ80-Sheet1!BQ79)*1.385</f>
        <v>-1.3157499999999991</v>
      </c>
      <c r="E82" s="30">
        <f>(Sheet1!BR80-Sheet1!BR79)*1.385</f>
        <v>-1.3296000000000012</v>
      </c>
      <c r="F82" s="30">
        <f ca="1">IF(B82=TODAY(),0,-(VLOOKUP(Sheet1!CD80,Lookup!$I$4:$J$216,2)-VLOOKUP(Sheet1!CD79,Lookup!$I$4:$J$216,2))/1000000)</f>
        <v>-0.41454775419119744</v>
      </c>
      <c r="G82" s="94">
        <f ca="1">IF(B82=TODAY(),0,-$G$6*(Sheet1!CF80-Sheet1!CF79)*7.48/1000000)</f>
        <v>0.43684851157815285</v>
      </c>
      <c r="H82" s="94">
        <f ca="1">IF(B82=TODAY(),0,-$H$6*(Sheet1!CE80-Sheet1!CE79)*7.48/1000000)</f>
        <v>2.2559148526897374E-2</v>
      </c>
      <c r="I82" s="94">
        <f ca="1">IF(B82=TODAY(),0,-$I$6*(Sheet1!CG80-Sheet1!CG79)*7.48/1000000)</f>
        <v>-8.9849759999999675E-3</v>
      </c>
      <c r="J82" s="95" t="s">
        <v>177</v>
      </c>
      <c r="K82" s="94">
        <f ca="1">IF(B82=TODAY(),0,-$K$6*(Sheet1!CH80-Sheet1!CH79)*7.48/1000000)</f>
        <v>-6.6633203744584186E-3</v>
      </c>
      <c r="L82" s="95" t="s">
        <v>177</v>
      </c>
      <c r="M82" s="94">
        <f ca="1">IF(B82=TODAY(),0,-$M$6*(Sheet1!CI80-Sheet1!CI79)*7.48/1000000)</f>
        <v>-8.0961787926121589E-2</v>
      </c>
      <c r="N82" s="94">
        <f ca="1">IF(B82=TODAY(),0,-$N$6*(Sheet1!CJ80-Sheet1!CJ79)*7.48/1000000)</f>
        <v>-0.24200414703903358</v>
      </c>
      <c r="O82" s="94">
        <f t="shared" ref="O82:O95" ca="1" si="26">SUM(F82:I82)+K82+SUM(M82:N82)</f>
        <v>-0.2937543254257608</v>
      </c>
      <c r="P82" s="94">
        <f ca="1">O82+Calculation!ES82</f>
        <v>2.473890935696943</v>
      </c>
      <c r="Q82" s="89" t="str">
        <f>IF(Sheet1!BQ80&gt;25.75,"spill elevation","-")</f>
        <v>-</v>
      </c>
      <c r="R82" s="89" t="str">
        <f>IF(Sheet1!BQ80&gt;25.75,"spill elevation","-")</f>
        <v>-</v>
      </c>
      <c r="S82" s="89" t="str">
        <f>IF(Sheet1!BR80&gt;25.75,"spill elevation","-")</f>
        <v>-</v>
      </c>
      <c r="T82" s="93">
        <f>IF(Sheet1!DU80=1,Sheet1!AA80-(SUM(AT82:BA82)+BE82),Sheet1!AA80-SUM(AT82:BA82))</f>
        <v>24.819216000000001</v>
      </c>
      <c r="U82" s="93">
        <f>Sheet1!BV80</f>
        <v>31.4</v>
      </c>
      <c r="V82" s="93">
        <f t="shared" ref="V82:V145" si="27">T82-U82</f>
        <v>-6.5807839999999977</v>
      </c>
      <c r="W82" s="93">
        <f>0</f>
        <v>0</v>
      </c>
      <c r="X82" s="89">
        <f>0</f>
        <v>0</v>
      </c>
      <c r="Y82" s="94">
        <f ca="1">Calculation!EJ83+Calculation!ES82+'Calculations II'!O82-'Calculations II'!W82</f>
        <v>46.401888437945381</v>
      </c>
      <c r="Z82" s="94">
        <f ca="1">Y82-Sheet1!CT81</f>
        <v>30.54088843794538</v>
      </c>
      <c r="AA82" s="94">
        <f ca="1">Y82+Calculation!DJ83+Calculation!AS83</f>
        <v>57.188841942456136</v>
      </c>
      <c r="AC82" s="94">
        <f>Sheet1!AA80+Sheet1!AB80+BC82</f>
        <v>53.400000000000006</v>
      </c>
      <c r="AD82" s="94">
        <f>Sheet1!AA80+Sheet1!BN80+'Calculations II'!BC82-Calculation!AS82-Calculation!DJ82</f>
        <v>31.612110224800581</v>
      </c>
      <c r="AE82" s="94">
        <f>Sheet1!AA80+Sheet1!AB80+'Calculations II'!BC82-Calculation!AS82-Calculation!DJ82</f>
        <v>42.512110224800587</v>
      </c>
      <c r="AF82" s="94">
        <f ca="1">Sheet1!AA80+Sheet1!BN80+P82+'Calculations II'!BC82+Calculation!AS82+Calculation!DJ82</f>
        <v>55.861780710896362</v>
      </c>
      <c r="AG82" s="94">
        <f ca="1">IF(B82=TODAY(),0,Sheet1!AA80+Sheet1!BN80+'Calculations II'!BC82+'Calculations II'!P82-Sheet1!CT80-BP82)</f>
        <v>28.862890935696942</v>
      </c>
      <c r="AH82" s="94">
        <f ca="1">IF(B82=TODAY(),0,Sheet1!AA80+Sheet1!BN80+'Calculations II'!BC82+'Calculations II'!P82-BP82)</f>
        <v>44.973890935696943</v>
      </c>
      <c r="AI82" s="94">
        <f ca="1">IF(B82=TODAY(),0,BC82+Sheet1!AA80+Calculation!ES82+O82+W82+Sheet1!BN80+Calculation!AS82+Calculation!DJ82-BP82)</f>
        <v>55.861780710896362</v>
      </c>
      <c r="AJ82" s="94"/>
      <c r="AM82" s="90">
        <f t="shared" ref="AM82:AM145" si="28">B82</f>
        <v>42806</v>
      </c>
      <c r="AN82" s="94">
        <f>Sheet1!BU80</f>
        <v>24.3</v>
      </c>
      <c r="AO82" s="94">
        <f>Sheet1!AA80</f>
        <v>25.8</v>
      </c>
      <c r="AP82" s="94">
        <f t="shared" si="17"/>
        <v>-2.6453500000000005</v>
      </c>
      <c r="AQ82" s="1087">
        <f>((Sheet1!BV80-(Sheet1!BU80-AP82))/(Sheet1!BU80-AP82))</f>
        <v>0.16532166032358078</v>
      </c>
      <c r="AR82" s="94">
        <f t="shared" si="18"/>
        <v>28.445350000000001</v>
      </c>
      <c r="AS82" s="94">
        <f t="shared" si="19"/>
        <v>26.945350000000001</v>
      </c>
      <c r="AT82" s="89">
        <f>Sheet1!BB80</f>
        <v>0</v>
      </c>
      <c r="AU82" s="89">
        <f>Sheet1!AS80*GPMtoMGD</f>
        <v>1.5984000000000002E-2</v>
      </c>
      <c r="AV82" s="94">
        <f>Sheet1!AT80</f>
        <v>0</v>
      </c>
      <c r="AW82" s="89">
        <f>Sheet1!AV80*GPMtoMGD</f>
        <v>0.43545600000000001</v>
      </c>
      <c r="AX82" s="89">
        <f>Sheet1!AW80*GPMtoMGD</f>
        <v>0.52934400000000004</v>
      </c>
      <c r="AY82" s="89">
        <f>Sheet1!AX80*GPMtoMGD</f>
        <v>0</v>
      </c>
      <c r="AZ82" s="89">
        <f>Sheet1!AY80*GPMtoMGD</f>
        <v>0</v>
      </c>
      <c r="BA82" s="89">
        <f>Sheet1!AZ80*GPMtoMGD</f>
        <v>0</v>
      </c>
      <c r="BB82" s="89">
        <f>Sheet1!BP80*GPMtoMGD</f>
        <v>2.8800000000000002E-3</v>
      </c>
      <c r="BC82" s="89">
        <f>Sheet1!CS80*GPMtoMGD</f>
        <v>0</v>
      </c>
      <c r="BD82" s="89">
        <f>Sheet1!BO80*GPMtoMGD</f>
        <v>1.7141760000000001</v>
      </c>
      <c r="BE82" s="89">
        <f>Sheet1!BW80*GPMtoMGD</f>
        <v>0.65073599999999998</v>
      </c>
      <c r="BF82" s="89">
        <f>Sheet1!CN80*GPMtoMGD</f>
        <v>0.33336000000000005</v>
      </c>
      <c r="BG82" s="89">
        <f>Sheet1!CO80*GPMtoMGD</f>
        <v>0.64987200000000001</v>
      </c>
      <c r="BH82" s="89">
        <f>Sheet1!CP80*GPMtoMGD</f>
        <v>0.63763200000000009</v>
      </c>
      <c r="BI82" s="89">
        <f t="shared" ref="BI82:BI145" si="29">BD82+BB82</f>
        <v>1.7170560000000001</v>
      </c>
      <c r="BK82" s="94">
        <f>SUM(AT82:BA82,AS82,BC82,Calculation!AQ82)</f>
        <v>44.638244224800587</v>
      </c>
      <c r="BM82" s="358">
        <f>0</f>
        <v>0</v>
      </c>
      <c r="BN82" s="358">
        <f>0</f>
        <v>0</v>
      </c>
      <c r="BP82" s="94">
        <f>SUM(BM82:BN82,W82,Sheet1!DX80)</f>
        <v>0</v>
      </c>
      <c r="BR82" s="94">
        <f>Sheet1!AA80</f>
        <v>25.8</v>
      </c>
      <c r="BS82" s="94">
        <f>Sheet1!AB80</f>
        <v>27.6</v>
      </c>
      <c r="BT82" s="94">
        <f t="shared" ca="1" si="20"/>
        <v>2.473890935696943</v>
      </c>
      <c r="BU82" s="94">
        <f>Sheet1!AT80</f>
        <v>0</v>
      </c>
      <c r="BV82" s="89">
        <f>Sheet1!BB80</f>
        <v>0</v>
      </c>
      <c r="BW82" s="94">
        <f>Calculation!ED82</f>
        <v>10.887889775199421</v>
      </c>
      <c r="BX82" s="94">
        <f>(Sheet1!CS80*1440)/1000000</f>
        <v>0</v>
      </c>
      <c r="CA82" s="94">
        <f ca="1">Sheet1!AC80-Sheet1!BK80-Sheet1!BL80-Sheet1!BM80-Sheet1!BC80-Sheet1!BD80-Sheet1!BE80-Sheet1!BF80-Sheet1!BG80-Sheet1!BH80-Sheet1!BI80+BC82+P82</f>
        <v>44.993890935696953</v>
      </c>
      <c r="CB82" s="93">
        <f t="shared" si="21"/>
        <v>65.766234517766506</v>
      </c>
      <c r="CC82" s="94">
        <f t="shared" si="22"/>
        <v>0</v>
      </c>
      <c r="CD82" s="94">
        <f t="shared" ca="1" si="23"/>
        <v>55.881780710896372</v>
      </c>
      <c r="CE82" s="1077">
        <f t="shared" ca="1" si="24"/>
        <v>86.449114759756682</v>
      </c>
      <c r="CG82" s="1077">
        <f t="shared" ca="1" si="25"/>
        <v>44.993890935696953</v>
      </c>
    </row>
    <row r="83" spans="1:85" s="89" customFormat="1" x14ac:dyDescent="0.25">
      <c r="A83" s="616" t="s">
        <v>4</v>
      </c>
      <c r="B83" s="91">
        <v>42807</v>
      </c>
      <c r="C83" s="92">
        <v>0</v>
      </c>
      <c r="D83" s="94">
        <f>(Sheet1!BQ81-Sheet1!BQ80)*1.385</f>
        <v>-0.24929999999999961</v>
      </c>
      <c r="E83" s="30">
        <f>(Sheet1!BR81-Sheet1!BR80)*1.385</f>
        <v>-0.24929999999999961</v>
      </c>
      <c r="F83" s="30">
        <f ca="1">IF(B83=TODAY(),0,-(VLOOKUP(Sheet1!CD81,Lookup!$I$4:$J$216,2)-VLOOKUP(Sheet1!CD80,Lookup!$I$4:$J$216,2))/1000000)</f>
        <v>-0.10363693854779936</v>
      </c>
      <c r="G83" s="94">
        <f ca="1">IF(B83=TODAY(),0,-$G$6*(Sheet1!CF81-Sheet1!CF80)*7.48/1000000)</f>
        <v>0.19856750526279648</v>
      </c>
      <c r="H83" s="94">
        <f ca="1">IF(B83=TODAY(),0,-$H$6*(Sheet1!CE81-Sheet1!CE80)*7.48/1000000)</f>
        <v>3.7598580878162646E-2</v>
      </c>
      <c r="I83" s="94">
        <f ca="1">IF(B83=TODAY(),0,-$I$6*(Sheet1!CG81-Sheet1!CG80)*7.48/1000000)</f>
        <v>4.7171123999999995E-2</v>
      </c>
      <c r="J83" s="95" t="s">
        <v>177</v>
      </c>
      <c r="K83" s="94">
        <f ca="1">IF(B83=TODAY(),0,-$K$6*(Sheet1!CH81-Sheet1!CH80)*7.48/1000000)</f>
        <v>7.995984449350127E-2</v>
      </c>
      <c r="L83" s="95" t="s">
        <v>177</v>
      </c>
      <c r="M83" s="94">
        <f ca="1">IF(B83=TODAY(),0,-$M$6*(Sheet1!CI81-Sheet1!CI80)*7.48/1000000)</f>
        <v>0.20690234692231141</v>
      </c>
      <c r="N83" s="94">
        <f ca="1">IF(B83=TODAY(),0,-$N$6*(Sheet1!CJ81-Sheet1!CJ80)*7.48/1000000)</f>
        <v>-0.1178994562497851</v>
      </c>
      <c r="O83" s="94">
        <f t="shared" ca="1" si="26"/>
        <v>0.34866300675918738</v>
      </c>
      <c r="P83" s="94">
        <f ca="1">O83+Calculation!ES83</f>
        <v>0.76372011574555398</v>
      </c>
      <c r="Q83" s="89" t="str">
        <f>IF(Sheet1!BQ81&gt;25.75,"spill elevation","-")</f>
        <v>-</v>
      </c>
      <c r="R83" s="89" t="str">
        <f>IF(Sheet1!BQ81&gt;25.75,"spill elevation","-")</f>
        <v>-</v>
      </c>
      <c r="S83" s="89" t="str">
        <f>IF(Sheet1!BR81&gt;25.75,"spill elevation","-")</f>
        <v>-</v>
      </c>
      <c r="T83" s="93">
        <f>IF(Sheet1!DU81=1,Sheet1!AA81-(SUM(AT83:BA83)+BE83),Sheet1!AA81-SUM(AT83:BA83))</f>
        <v>23.233712000000001</v>
      </c>
      <c r="U83" s="93">
        <f>Sheet1!BV81</f>
        <v>28.5</v>
      </c>
      <c r="V83" s="93">
        <f t="shared" si="27"/>
        <v>-5.2662879999999994</v>
      </c>
      <c r="W83" s="93">
        <f>0</f>
        <v>0</v>
      </c>
      <c r="X83" s="89">
        <f>0</f>
        <v>0</v>
      </c>
      <c r="Y83" s="94">
        <f ca="1">Calculation!EJ84+Calculation!ES83+'Calculations II'!O83-'Calculations II'!W83</f>
        <v>45.718166789348771</v>
      </c>
      <c r="Z83" s="94">
        <f ca="1">Y83-Sheet1!CT82</f>
        <v>29.677166789348771</v>
      </c>
      <c r="AA83" s="94">
        <f ca="1">Y83+Calculation!DJ84+Calculation!AS84</f>
        <v>56.639762534029622</v>
      </c>
      <c r="AC83" s="94">
        <f>Sheet1!AA81+Sheet1!AB81+BC83</f>
        <v>53.8</v>
      </c>
      <c r="AD83" s="94">
        <f>Sheet1!AA81+Sheet1!BN81+'Calculations II'!BC83-Calculation!AS83-Calculation!DJ83</f>
        <v>32.11304649548925</v>
      </c>
      <c r="AE83" s="94">
        <f>Sheet1!AA81+Sheet1!AB81+'Calculations II'!BC83-Calculation!AS83-Calculation!DJ83</f>
        <v>43.013046495489242</v>
      </c>
      <c r="AF83" s="94">
        <f ca="1">Sheet1!AA81+Sheet1!BN81+P83+'Calculations II'!BC83+Calculation!AS83+Calculation!DJ83</f>
        <v>54.450673620256318</v>
      </c>
      <c r="AG83" s="94">
        <f ca="1">IF(B83=TODAY(),0,Sheet1!AA81+Sheet1!BN81+'Calculations II'!BC83+'Calculations II'!P83-Sheet1!CT81-BP83)</f>
        <v>27.802720115745561</v>
      </c>
      <c r="AH83" s="94">
        <f ca="1">IF(B83=TODAY(),0,Sheet1!AA81+Sheet1!BN81+'Calculations II'!BC83+'Calculations II'!P83-BP83)</f>
        <v>43.663720115745562</v>
      </c>
      <c r="AI83" s="94">
        <f ca="1">IF(B83=TODAY(),0,BC83+Sheet1!AA81+Calculation!ES83+O83+W83+Sheet1!BN81+Calculation!AS83+Calculation!DJ83-BP83)</f>
        <v>54.450673620256318</v>
      </c>
      <c r="AJ83" s="94"/>
      <c r="AM83" s="90">
        <f t="shared" si="28"/>
        <v>42807</v>
      </c>
      <c r="AN83" s="94">
        <f>Sheet1!BU81</f>
        <v>23.8</v>
      </c>
      <c r="AO83" s="94">
        <f>Sheet1!AA81</f>
        <v>24.8</v>
      </c>
      <c r="AP83" s="94">
        <f t="shared" si="17"/>
        <v>-0.49859999999999921</v>
      </c>
      <c r="AQ83" s="1087">
        <f>((Sheet1!BV81-(Sheet1!BU81-AP83))/(Sheet1!BU81-AP83))</f>
        <v>0.17290708106639888</v>
      </c>
      <c r="AR83" s="94">
        <f t="shared" si="18"/>
        <v>25.2986</v>
      </c>
      <c r="AS83" s="94">
        <f t="shared" si="19"/>
        <v>24.2986</v>
      </c>
      <c r="AT83" s="89">
        <f>Sheet1!BB81</f>
        <v>0</v>
      </c>
      <c r="AU83" s="89">
        <f>Sheet1!AS81*GPMtoMGD</f>
        <v>3.0816E-2</v>
      </c>
      <c r="AV83" s="94">
        <f>Sheet1!AT81</f>
        <v>0</v>
      </c>
      <c r="AW83" s="89">
        <f>Sheet1!AV81*GPMtoMGD</f>
        <v>0.66427200000000008</v>
      </c>
      <c r="AX83" s="89">
        <f>Sheet1!AW81*GPMtoMGD</f>
        <v>0.87120000000000009</v>
      </c>
      <c r="AY83" s="89">
        <f>Sheet1!AX81*GPMtoMGD</f>
        <v>0</v>
      </c>
      <c r="AZ83" s="89">
        <f>Sheet1!AY81*GPMtoMGD</f>
        <v>0</v>
      </c>
      <c r="BA83" s="89">
        <f>Sheet1!AZ81*GPMtoMGD</f>
        <v>0</v>
      </c>
      <c r="BB83" s="89">
        <f>Sheet1!BP81*GPMtoMGD</f>
        <v>2.3904000000000005E-2</v>
      </c>
      <c r="BC83" s="89">
        <f>Sheet1!CS81*GPMtoMGD</f>
        <v>0</v>
      </c>
      <c r="BD83" s="89">
        <f>Sheet1!BO81*GPMtoMGD</f>
        <v>1.17648</v>
      </c>
      <c r="BE83" s="89">
        <f>Sheet1!BW81*GPMtoMGD</f>
        <v>0.83203199999999999</v>
      </c>
      <c r="BF83" s="89">
        <f>Sheet1!CN81*GPMtoMGD</f>
        <v>0.20577600000000001</v>
      </c>
      <c r="BG83" s="89">
        <f>Sheet1!CO81*GPMtoMGD</f>
        <v>0.70704</v>
      </c>
      <c r="BH83" s="89">
        <f>Sheet1!CP81*GPMtoMGD</f>
        <v>0.68558400000000008</v>
      </c>
      <c r="BI83" s="89">
        <f t="shared" si="29"/>
        <v>1.2003839999999999</v>
      </c>
      <c r="BK83" s="94">
        <f>SUM(AT83:BA83,AS83,BC83,Calculation!AQ83)</f>
        <v>44.077934495489245</v>
      </c>
      <c r="BM83" s="358">
        <f>0</f>
        <v>0</v>
      </c>
      <c r="BN83" s="358">
        <f>0</f>
        <v>0</v>
      </c>
      <c r="BP83" s="94">
        <f>SUM(BM83:BN83,W83,Sheet1!DX81)</f>
        <v>0</v>
      </c>
      <c r="BR83" s="94">
        <f>Sheet1!AA81</f>
        <v>24.8</v>
      </c>
      <c r="BS83" s="94">
        <f>Sheet1!AB81</f>
        <v>29</v>
      </c>
      <c r="BT83" s="94">
        <f t="shared" ca="1" si="20"/>
        <v>0.76372011574555398</v>
      </c>
      <c r="BU83" s="94">
        <f>Sheet1!AT81</f>
        <v>0</v>
      </c>
      <c r="BV83" s="89">
        <f>Sheet1!BB81</f>
        <v>0</v>
      </c>
      <c r="BW83" s="94">
        <f>Calculation!ED83</f>
        <v>10.786953504510755</v>
      </c>
      <c r="BX83" s="94">
        <f>(Sheet1!CS81*1440)/1000000</f>
        <v>0</v>
      </c>
      <c r="CA83" s="94">
        <f ca="1">Sheet1!AC81-Sheet1!BK81-Sheet1!BL81-Sheet1!BM81-Sheet1!BC81-Sheet1!BD81-Sheet1!BE81-Sheet1!BF81-Sheet1!BG81-Sheet1!BH81-Sheet1!BI81+BC83+P83</f>
        <v>43.843720115745548</v>
      </c>
      <c r="CB83" s="93">
        <f t="shared" si="21"/>
        <v>66.541182928521849</v>
      </c>
      <c r="CC83" s="94">
        <f t="shared" si="22"/>
        <v>0</v>
      </c>
      <c r="CD83" s="94">
        <f t="shared" ca="1" si="23"/>
        <v>54.630673620256303</v>
      </c>
      <c r="CE83" s="1077">
        <f t="shared" ca="1" si="24"/>
        <v>84.513652090536496</v>
      </c>
      <c r="CG83" s="1077">
        <f t="shared" ca="1" si="25"/>
        <v>43.843720115745548</v>
      </c>
    </row>
    <row r="84" spans="1:85" s="89" customFormat="1" x14ac:dyDescent="0.25">
      <c r="A84" s="616" t="s">
        <v>5</v>
      </c>
      <c r="B84" s="91">
        <v>42808</v>
      </c>
      <c r="C84" s="92">
        <v>0</v>
      </c>
      <c r="D84" s="94">
        <f>(Sheet1!BQ82-Sheet1!BQ81)*1.385</f>
        <v>0.70634999999999726</v>
      </c>
      <c r="E84" s="30">
        <f>(Sheet1!BR82-Sheet1!BR81)*1.385</f>
        <v>0.6925</v>
      </c>
      <c r="F84" s="30">
        <f ca="1">IF(B84=TODAY(),0,-(VLOOKUP(Sheet1!CD82,Lookup!$I$4:$J$216,2)-VLOOKUP(Sheet1!CD81,Lookup!$I$4:$J$216,2))/1000000)</f>
        <v>0.82909550838240054</v>
      </c>
      <c r="G84" s="94">
        <f ca="1">IF(B84=TODAY(),0,-$G$6*(Sheet1!CF82-Sheet1!CF81)*7.48/1000000)</f>
        <v>-0.51627551368327118</v>
      </c>
      <c r="H84" s="94">
        <f ca="1">IF(B84=TODAY(),0,-$H$6*(Sheet1!CE82-Sheet1!CE81)*7.48/1000000)</f>
        <v>1.5039432351265274E-2</v>
      </c>
      <c r="I84" s="94">
        <f ca="1">IF(B84=TODAY(),0,-$I$6*(Sheet1!CG82-Sheet1!CG81)*7.48/1000000)</f>
        <v>-2.0665444800000002E-2</v>
      </c>
      <c r="J84" s="95" t="s">
        <v>177</v>
      </c>
      <c r="K84" s="94">
        <f ca="1">IF(B84=TODAY(),0,-$K$6*(Sheet1!CH82-Sheet1!CH81)*7.48/1000000)</f>
        <v>-3.4649265947183872E-2</v>
      </c>
      <c r="L84" s="95" t="s">
        <v>177</v>
      </c>
      <c r="M84" s="94">
        <f ca="1">IF(B84=TODAY(),0,-$M$6*(Sheet1!CI82-Sheet1!CI81)*7.48/1000000)</f>
        <v>-0.11514565393937319</v>
      </c>
      <c r="N84" s="94">
        <f ca="1">IF(B84=TODAY(),0,-$N$6*(Sheet1!CJ82-Sheet1!CJ81)*7.48/1000000)</f>
        <v>0.45918735592021698</v>
      </c>
      <c r="O84" s="94">
        <f t="shared" ca="1" si="26"/>
        <v>0.61658641828405458</v>
      </c>
      <c r="P84" s="94">
        <f ca="1">O84+Calculation!ES84</f>
        <v>-0.76697998112713184</v>
      </c>
      <c r="Q84" s="89" t="str">
        <f>IF(Sheet1!BQ82&gt;25.75,"spill elevation","-")</f>
        <v>-</v>
      </c>
      <c r="R84" s="89" t="str">
        <f>IF(Sheet1!BQ82&gt;25.75,"spill elevation","-")</f>
        <v>-</v>
      </c>
      <c r="S84" s="89" t="str">
        <f>IF(Sheet1!BR82&gt;25.75,"spill elevation","-")</f>
        <v>-</v>
      </c>
      <c r="T84" s="93">
        <f>IF(Sheet1!DU82=1,Sheet1!AA82-(SUM(AT84:BA84)+BE84),Sheet1!AA82-SUM(AT84:BA84))</f>
        <v>23.760543999999999</v>
      </c>
      <c r="U84" s="93">
        <f>Sheet1!BV82</f>
        <v>27</v>
      </c>
      <c r="V84" s="93">
        <f t="shared" si="27"/>
        <v>-3.2394560000000006</v>
      </c>
      <c r="W84" s="93">
        <f>0</f>
        <v>0</v>
      </c>
      <c r="X84" s="89">
        <f>0</f>
        <v>0</v>
      </c>
      <c r="Y84" s="94">
        <f ca="1">Calculation!EJ85+Calculation!ES84+'Calculations II'!O84-'Calculations II'!W84</f>
        <v>44.832541555754716</v>
      </c>
      <c r="Z84" s="94">
        <f ca="1">Y84-Sheet1!CT83</f>
        <v>28.634541555754716</v>
      </c>
      <c r="AA84" s="94">
        <f ca="1">Y84+Calculation!DJ85+Calculation!AS85</f>
        <v>55.829331282881526</v>
      </c>
      <c r="AC84" s="94">
        <f>Sheet1!AA82+Sheet1!AB82+BC84</f>
        <v>54.620000000000005</v>
      </c>
      <c r="AD84" s="94">
        <f>Sheet1!AA82+Sheet1!BN82+'Calculations II'!BC84-Calculation!AS84-Calculation!DJ84</f>
        <v>32.878404255319147</v>
      </c>
      <c r="AE84" s="94">
        <f>Sheet1!AA82+Sheet1!AB82+'Calculations II'!BC84-Calculation!AS84-Calculation!DJ84</f>
        <v>43.698404255319154</v>
      </c>
      <c r="AF84" s="94">
        <f ca="1">Sheet1!AA82+Sheet1!BN82+P84+'Calculations II'!BC84+Calculation!AS84+Calculation!DJ84</f>
        <v>53.954615763553718</v>
      </c>
      <c r="AG84" s="94">
        <f ca="1">IF(B84=TODAY(),0,Sheet1!AA82+Sheet1!BN82+'Calculations II'!BC84+'Calculations II'!P84-Sheet1!CT82-BP84)</f>
        <v>26.992020018872868</v>
      </c>
      <c r="AH84" s="94">
        <f ca="1">IF(B84=TODAY(),0,Sheet1!AA82+Sheet1!BN82+'Calculations II'!BC84+'Calculations II'!P84-BP84)</f>
        <v>43.033020018872868</v>
      </c>
      <c r="AI84" s="94">
        <f ca="1">IF(B84=TODAY(),0,BC84+Sheet1!AA82+Calculation!ES84+O84+W84+Sheet1!BN82+Calculation!AS84+Calculation!DJ84-BP84)</f>
        <v>53.954615763553718</v>
      </c>
      <c r="AJ84" s="94"/>
      <c r="AM84" s="90">
        <f t="shared" si="28"/>
        <v>42808</v>
      </c>
      <c r="AN84" s="94">
        <f>Sheet1!BU82</f>
        <v>24.4</v>
      </c>
      <c r="AO84" s="94">
        <f>Sheet1!AA82</f>
        <v>24.7</v>
      </c>
      <c r="AP84" s="94">
        <f t="shared" si="17"/>
        <v>1.3988499999999973</v>
      </c>
      <c r="AQ84" s="1087">
        <f>((Sheet1!BV82-(Sheet1!BU82-AP84))/(Sheet1!BU82-AP84))</f>
        <v>0.1738543507607227</v>
      </c>
      <c r="AR84" s="94">
        <f t="shared" si="18"/>
        <v>23.301150000000003</v>
      </c>
      <c r="AS84" s="94">
        <f t="shared" si="19"/>
        <v>23.001150000000003</v>
      </c>
      <c r="AT84" s="89">
        <f>Sheet1!BB82</f>
        <v>0</v>
      </c>
      <c r="AU84" s="89">
        <f>Sheet1!AS82*GPMtoMGD</f>
        <v>1.5264E-2</v>
      </c>
      <c r="AV84" s="94">
        <f>Sheet1!AT82</f>
        <v>0</v>
      </c>
      <c r="AW84" s="89">
        <f>Sheet1!AV82*GPMtoMGD</f>
        <v>0.44323200000000007</v>
      </c>
      <c r="AX84" s="89">
        <f>Sheet1!AW82*GPMtoMGD</f>
        <v>0.48096000000000005</v>
      </c>
      <c r="AY84" s="89">
        <f>Sheet1!AX82*GPMtoMGD</f>
        <v>0</v>
      </c>
      <c r="AZ84" s="89">
        <f>Sheet1!AY82*GPMtoMGD</f>
        <v>0</v>
      </c>
      <c r="BA84" s="89">
        <f>Sheet1!AZ82*GPMtoMGD</f>
        <v>0</v>
      </c>
      <c r="BB84" s="89">
        <f>Sheet1!BP82*GPMtoMGD</f>
        <v>2.8800000000000002E-3</v>
      </c>
      <c r="BC84" s="89">
        <f>Sheet1!CS82*GPMtoMGD</f>
        <v>0</v>
      </c>
      <c r="BD84" s="89">
        <f>Sheet1!BO82*GPMtoMGD</f>
        <v>1.5867360000000001</v>
      </c>
      <c r="BE84" s="89">
        <f>Sheet1!BW82*GPMtoMGD</f>
        <v>0.73886400000000008</v>
      </c>
      <c r="BF84" s="89">
        <f>Sheet1!CN82*GPMtoMGD</f>
        <v>0.22608</v>
      </c>
      <c r="BG84" s="89">
        <f>Sheet1!CO82*GPMtoMGD</f>
        <v>0.78681600000000007</v>
      </c>
      <c r="BH84" s="89">
        <f>Sheet1!CP82*GPMtoMGD</f>
        <v>0.68414400000000009</v>
      </c>
      <c r="BI84" s="89">
        <f t="shared" si="29"/>
        <v>1.5896160000000001</v>
      </c>
      <c r="BK84" s="94">
        <f>SUM(AT84:BA84,AS84,BC84,Calculation!AQ84)</f>
        <v>42.939010255319154</v>
      </c>
      <c r="BM84" s="358">
        <f>0</f>
        <v>0</v>
      </c>
      <c r="BN84" s="358">
        <f>0</f>
        <v>0</v>
      </c>
      <c r="BP84" s="94">
        <f>SUM(BM84:BN84,W84,Sheet1!DX82)</f>
        <v>0</v>
      </c>
      <c r="BR84" s="94">
        <f>Sheet1!AA82</f>
        <v>24.7</v>
      </c>
      <c r="BS84" s="94">
        <f>Sheet1!AB82</f>
        <v>29.92</v>
      </c>
      <c r="BT84" s="94">
        <f t="shared" ca="1" si="20"/>
        <v>-0.76697998112713184</v>
      </c>
      <c r="BU84" s="94">
        <f>Sheet1!AT82</f>
        <v>0</v>
      </c>
      <c r="BV84" s="89">
        <f>Sheet1!BB82</f>
        <v>0</v>
      </c>
      <c r="BW84" s="94">
        <f>Calculation!ED84</f>
        <v>10.921595744680852</v>
      </c>
      <c r="BX84" s="94">
        <f>(Sheet1!CS82*1440)/1000000</f>
        <v>0</v>
      </c>
      <c r="CA84" s="94">
        <f ca="1">Sheet1!AC82-Sheet1!BK82-Sheet1!BL82-Sheet1!BM82-Sheet1!BC82-Sheet1!BD82-Sheet1!BE82-Sheet1!BF82-Sheet1!BG82-Sheet1!BH82-Sheet1!BI82+BC84+P84</f>
        <v>42.873020018872879</v>
      </c>
      <c r="CB84" s="93">
        <f t="shared" si="21"/>
        <v>67.601431382978731</v>
      </c>
      <c r="CC84" s="94">
        <f t="shared" si="22"/>
        <v>0</v>
      </c>
      <c r="CD84" s="94">
        <f t="shared" ca="1" si="23"/>
        <v>53.794615763553729</v>
      </c>
      <c r="CE84" s="1077">
        <f t="shared" ca="1" si="24"/>
        <v>83.220270586217609</v>
      </c>
      <c r="CG84" s="1077">
        <f t="shared" ca="1" si="25"/>
        <v>42.873020018872879</v>
      </c>
    </row>
    <row r="85" spans="1:85" s="89" customFormat="1" x14ac:dyDescent="0.25">
      <c r="A85" s="616" t="s">
        <v>6</v>
      </c>
      <c r="B85" s="91">
        <v>42809</v>
      </c>
      <c r="C85" s="92">
        <v>0</v>
      </c>
      <c r="D85" s="94">
        <f>(Sheet1!BQ83-Sheet1!BQ82)*1.385</f>
        <v>0.88640000000000074</v>
      </c>
      <c r="E85" s="30">
        <f>(Sheet1!BR83-Sheet1!BR82)*1.385</f>
        <v>0.85870000000000135</v>
      </c>
      <c r="F85" s="30">
        <f ca="1">IF(B85=TODAY(),0,-(VLOOKUP(Sheet1!CD83,Lookup!$I$4:$J$216,2)-VLOOKUP(Sheet1!CD82,Lookup!$I$4:$J$216,2))/1000000)</f>
        <v>-0.10363693854779936</v>
      </c>
      <c r="G85" s="94">
        <f ca="1">IF(B85=TODAY(),0,-$G$6*(Sheet1!CF83-Sheet1!CF82)*7.48/1000000)</f>
        <v>0.5559890147358304</v>
      </c>
      <c r="H85" s="94">
        <f ca="1">IF(B85=TODAY(),0,-$H$6*(Sheet1!CE83-Sheet1!CE82)*7.48/1000000)</f>
        <v>-1.5039432351265274E-2</v>
      </c>
      <c r="I85" s="94">
        <f ca="1">IF(B85=TODAY(),0,-$I$6*(Sheet1!CG83-Sheet1!CG82)*7.48/1000000)</f>
        <v>-1.7520703200000026E-2</v>
      </c>
      <c r="J85" s="95" t="s">
        <v>177</v>
      </c>
      <c r="K85" s="94">
        <f ca="1">IF(B85=TODAY(),0,-$K$6*(Sheet1!CH83-Sheet1!CH82)*7.48/1000000)</f>
        <v>-3.1983937797400552E-2</v>
      </c>
      <c r="L85" s="95" t="s">
        <v>177</v>
      </c>
      <c r="M85" s="94">
        <f ca="1">IF(B85=TODAY(),0,-$M$6*(Sheet1!CI83-Sheet1!CI82)*7.48/1000000)</f>
        <v>-7.3765184554910934E-2</v>
      </c>
      <c r="N85" s="94">
        <f ca="1">IF(B85=TODAY(),0,-$N$6*(Sheet1!CJ83-Sheet1!CJ82)*7.48/1000000)</f>
        <v>-0.27923555427580821</v>
      </c>
      <c r="O85" s="94">
        <f t="shared" ca="1" si="26"/>
        <v>3.4807264008646033E-2</v>
      </c>
      <c r="P85" s="94">
        <f ca="1">O85+Calculation!ES85</f>
        <v>-1.7643287066892375</v>
      </c>
      <c r="Q85" s="89" t="str">
        <f>IF(Sheet1!BQ83&gt;25.75,"spill elevation","-")</f>
        <v>-</v>
      </c>
      <c r="R85" s="89" t="str">
        <f>IF(Sheet1!BQ83&gt;25.75,"spill elevation","-")</f>
        <v>-</v>
      </c>
      <c r="S85" s="89" t="str">
        <f>IF(Sheet1!BR83&gt;25.75,"spill elevation","-")</f>
        <v>-</v>
      </c>
      <c r="T85" s="93">
        <f>IF(Sheet1!DU83=1,Sheet1!AA83-(SUM(AT85:BA85)+BE85),Sheet1!AA83-SUM(AT85:BA85))</f>
        <v>24.638496</v>
      </c>
      <c r="U85" s="93">
        <f>Sheet1!BV83</f>
        <v>26.8</v>
      </c>
      <c r="V85" s="93">
        <f t="shared" si="27"/>
        <v>-2.1615040000000008</v>
      </c>
      <c r="W85" s="93">
        <f>0</f>
        <v>0</v>
      </c>
      <c r="X85" s="89">
        <f>0</f>
        <v>0</v>
      </c>
      <c r="Y85" s="94">
        <f ca="1">Calculation!EJ86+Calculation!ES85+'Calculations II'!O85-'Calculations II'!W85</f>
        <v>42.627200053156841</v>
      </c>
      <c r="Z85" s="94">
        <f ca="1">Y85-Sheet1!CT84</f>
        <v>26.66120005315684</v>
      </c>
      <c r="AA85" s="94">
        <f ca="1">Y85+Calculation!DJ86+Calculation!AS86</f>
        <v>53.650090804043082</v>
      </c>
      <c r="AC85" s="94">
        <f>Sheet1!AA83+Sheet1!AB83+BC85</f>
        <v>56.8</v>
      </c>
      <c r="AD85" s="94">
        <f>Sheet1!AA83+Sheet1!BN83+'Calculations II'!BC85-Calculation!AS85-Calculation!DJ85</f>
        <v>34.903210272873196</v>
      </c>
      <c r="AE85" s="94">
        <f>Sheet1!AA83+Sheet1!AB83+'Calculations II'!BC85-Calculation!AS85-Calculation!DJ85</f>
        <v>45.803210272873187</v>
      </c>
      <c r="AF85" s="94">
        <f ca="1">Sheet1!AA83+Sheet1!BN83+P85+'Calculations II'!BC85+Calculation!AS85+Calculation!DJ85</f>
        <v>55.132461020437574</v>
      </c>
      <c r="AG85" s="94">
        <f ca="1">IF(B85=TODAY(),0,Sheet1!AA83+Sheet1!BN83+'Calculations II'!BC85+'Calculations II'!P85-Sheet1!CT83-BP85)</f>
        <v>27.937671293310771</v>
      </c>
      <c r="AH85" s="94">
        <f ca="1">IF(B85=TODAY(),0,Sheet1!AA83+Sheet1!BN83+'Calculations II'!BC85+'Calculations II'!P85-BP85)</f>
        <v>44.135671293310772</v>
      </c>
      <c r="AI85" s="94">
        <f ca="1">IF(B85=TODAY(),0,BC85+Sheet1!AA83+Calculation!ES85+O85+W85+Sheet1!BN83+Calculation!AS85+Calculation!DJ85-BP85)</f>
        <v>55.132461020437574</v>
      </c>
      <c r="AJ85" s="94"/>
      <c r="AM85" s="90">
        <f t="shared" si="28"/>
        <v>42809</v>
      </c>
      <c r="AN85" s="94">
        <f>Sheet1!BU83</f>
        <v>24.4</v>
      </c>
      <c r="AO85" s="94">
        <f>Sheet1!AA83</f>
        <v>25.8</v>
      </c>
      <c r="AP85" s="94">
        <f t="shared" si="17"/>
        <v>1.7451000000000021</v>
      </c>
      <c r="AQ85" s="1087">
        <f>((Sheet1!BV83-(Sheet1!BU83-AP85))/(Sheet1!BU83-AP85))</f>
        <v>0.1829670402429498</v>
      </c>
      <c r="AR85" s="94">
        <f t="shared" si="18"/>
        <v>24.0549</v>
      </c>
      <c r="AS85" s="94">
        <f t="shared" si="19"/>
        <v>22.654899999999998</v>
      </c>
      <c r="AT85" s="89">
        <f>Sheet1!BB83</f>
        <v>0</v>
      </c>
      <c r="AU85" s="89">
        <f>Sheet1!AS83*GPMtoMGD</f>
        <v>1.728E-2</v>
      </c>
      <c r="AV85" s="94">
        <f>Sheet1!AT83</f>
        <v>0</v>
      </c>
      <c r="AW85" s="89">
        <f>Sheet1!AV83*GPMtoMGD</f>
        <v>0.50616000000000005</v>
      </c>
      <c r="AX85" s="89">
        <f>Sheet1!AW83*GPMtoMGD</f>
        <v>0.63806400000000008</v>
      </c>
      <c r="AY85" s="89">
        <f>Sheet1!AX83*GPMtoMGD</f>
        <v>0</v>
      </c>
      <c r="AZ85" s="89">
        <f>Sheet1!AY83*GPMtoMGD</f>
        <v>0</v>
      </c>
      <c r="BA85" s="89">
        <f>Sheet1!AZ83*GPMtoMGD</f>
        <v>0</v>
      </c>
      <c r="BB85" s="89">
        <f>Sheet1!BP83*GPMtoMGD</f>
        <v>2.8800000000000002E-3</v>
      </c>
      <c r="BC85" s="89">
        <f>Sheet1!CS83*GPMtoMGD</f>
        <v>0</v>
      </c>
      <c r="BD85" s="89">
        <f>Sheet1!BO83*GPMtoMGD</f>
        <v>1.5441119999999999</v>
      </c>
      <c r="BE85" s="89">
        <f>Sheet1!BW83*GPMtoMGD</f>
        <v>0.67435200000000006</v>
      </c>
      <c r="BF85" s="89">
        <f>Sheet1!CN83*GPMtoMGD</f>
        <v>0.21312</v>
      </c>
      <c r="BG85" s="89">
        <f>Sheet1!CO83*GPMtoMGD</f>
        <v>0.73339200000000004</v>
      </c>
      <c r="BH85" s="89">
        <f>Sheet1!CP83*GPMtoMGD</f>
        <v>0.66355200000000003</v>
      </c>
      <c r="BI85" s="89">
        <f t="shared" si="29"/>
        <v>1.5469919999999999</v>
      </c>
      <c r="BK85" s="94">
        <f>SUM(AT85:BA85,AS85,BC85,Calculation!AQ85)</f>
        <v>43.819614272873196</v>
      </c>
      <c r="BM85" s="358">
        <f>0</f>
        <v>0</v>
      </c>
      <c r="BN85" s="358">
        <f>0</f>
        <v>0</v>
      </c>
      <c r="BP85" s="94">
        <f>SUM(BM85:BN85,W85,Sheet1!DX83)</f>
        <v>0</v>
      </c>
      <c r="BR85" s="94">
        <f>Sheet1!AA83</f>
        <v>25.8</v>
      </c>
      <c r="BS85" s="94">
        <f>Sheet1!AB83</f>
        <v>31</v>
      </c>
      <c r="BT85" s="94">
        <f t="shared" ca="1" si="20"/>
        <v>-1.7643287066892375</v>
      </c>
      <c r="BU85" s="94">
        <f>Sheet1!AT83</f>
        <v>0</v>
      </c>
      <c r="BV85" s="89">
        <f>Sheet1!BB83</f>
        <v>0</v>
      </c>
      <c r="BW85" s="94">
        <f>Calculation!ED85</f>
        <v>10.996789727126805</v>
      </c>
      <c r="BX85" s="94">
        <f>(Sheet1!CS83*1440)/1000000</f>
        <v>0</v>
      </c>
      <c r="CA85" s="94">
        <f ca="1">Sheet1!AC83-Sheet1!BK83-Sheet1!BL83-Sheet1!BM83-Sheet1!BC83-Sheet1!BD83-Sheet1!BE83-Sheet1!BF83-Sheet1!BG83-Sheet1!BH83-Sheet1!BI83+BC85+P85</f>
        <v>43.985671293310759</v>
      </c>
      <c r="CB85" s="93">
        <f t="shared" si="21"/>
        <v>70.857566292134834</v>
      </c>
      <c r="CC85" s="94">
        <f t="shared" si="22"/>
        <v>0</v>
      </c>
      <c r="CD85" s="94">
        <f t="shared" ca="1" si="23"/>
        <v>54.982461020437562</v>
      </c>
      <c r="CE85" s="1077">
        <f t="shared" ca="1" si="24"/>
        <v>85.057867198616904</v>
      </c>
      <c r="CG85" s="1077">
        <f t="shared" ca="1" si="25"/>
        <v>43.985671293310759</v>
      </c>
    </row>
    <row r="86" spans="1:85" s="89" customFormat="1" x14ac:dyDescent="0.25">
      <c r="A86" s="616" t="s">
        <v>7</v>
      </c>
      <c r="B86" s="91">
        <v>42810</v>
      </c>
      <c r="C86" s="92">
        <v>0</v>
      </c>
      <c r="D86" s="94">
        <f>(Sheet1!BQ84-Sheet1!BQ83)*1.385</f>
        <v>5.5399999999998818E-2</v>
      </c>
      <c r="E86" s="30">
        <f>(Sheet1!BR84-Sheet1!BR83)*1.385</f>
        <v>8.3099999999998231E-2</v>
      </c>
      <c r="F86" s="30">
        <f ca="1">IF(B86=TODAY(),0,-(VLOOKUP(Sheet1!CD84,Lookup!$I$4:$J$216,2)-VLOOKUP(Sheet1!CD83,Lookup!$I$4:$J$216,2))/1000000)</f>
        <v>-0.20727387709560433</v>
      </c>
      <c r="G86" s="94">
        <f ca="1">IF(B86=TODAY(),0,-$G$6*(Sheet1!CF84-Sheet1!CF83)*7.48/1000000)</f>
        <v>-1.0722645284191015</v>
      </c>
      <c r="H86" s="94">
        <f ca="1">IF(B86=TODAY(),0,-$H$6*(Sheet1!CE84-Sheet1!CE83)*7.48/1000000)</f>
        <v>4.5118297053795817E-2</v>
      </c>
      <c r="I86" s="94">
        <f ca="1">IF(B86=TODAY(),0,-$I$6*(Sheet1!CG84-Sheet1!CG83)*7.48/1000000)</f>
        <v>8.9849760000000074E-3</v>
      </c>
      <c r="J86" s="95" t="s">
        <v>177</v>
      </c>
      <c r="K86" s="94">
        <f ca="1">IF(B86=TODAY(),0,-$K$6*(Sheet1!CH84-Sheet1!CH83)*7.48/1000000)</f>
        <v>1.3326640748916837E-2</v>
      </c>
      <c r="L86" s="95" t="s">
        <v>177</v>
      </c>
      <c r="M86" s="94">
        <f ca="1">IF(B86=TODAY(),0,-$M$6*(Sheet1!CI84-Sheet1!CI83)*7.48/1000000)</f>
        <v>2.6987262642040318E-2</v>
      </c>
      <c r="N86" s="94">
        <f ca="1">IF(B86=TODAY(),0,-$N$6*(Sheet1!CJ84-Sheet1!CJ83)*7.48/1000000)</f>
        <v>0.20477273980225894</v>
      </c>
      <c r="O86" s="94">
        <f t="shared" ca="1" si="26"/>
        <v>-0.98034848926769402</v>
      </c>
      <c r="P86" s="94">
        <f ca="1">O86+Calculation!ES86</f>
        <v>-1.118743562902162</v>
      </c>
      <c r="Q86" s="89" t="str">
        <f>IF(Sheet1!BQ84&gt;25.75,"spill elevation","-")</f>
        <v>-</v>
      </c>
      <c r="R86" s="89" t="str">
        <f>IF(Sheet1!BQ84&gt;25.75,"spill elevation","-")</f>
        <v>-</v>
      </c>
      <c r="S86" s="89" t="str">
        <f>IF(Sheet1!BR84&gt;25.75,"spill elevation","-")</f>
        <v>-</v>
      </c>
      <c r="T86" s="93">
        <f>IF(Sheet1!DU84=1,Sheet1!AA84-(SUM(AT86:BA86)+BE86),Sheet1!AA84-SUM(AT86:BA86))</f>
        <v>24.565232000000002</v>
      </c>
      <c r="U86" s="93">
        <f>Sheet1!BV84</f>
        <v>28.1</v>
      </c>
      <c r="V86" s="93">
        <f t="shared" si="27"/>
        <v>-3.5347679999999997</v>
      </c>
      <c r="W86" s="93">
        <f>0</f>
        <v>0</v>
      </c>
      <c r="X86" s="89">
        <f>0</f>
        <v>0</v>
      </c>
      <c r="Y86" s="94">
        <f ca="1">Calculation!EJ87+Calculation!ES86+'Calculations II'!O86-'Calculations II'!W86</f>
        <v>43.932875851738885</v>
      </c>
      <c r="Z86" s="94">
        <f ca="1">Y86-Sheet1!CT85</f>
        <v>28.062875851738887</v>
      </c>
      <c r="AA86" s="94">
        <f ca="1">Y86+Calculation!DJ87+Calculation!AS87</f>
        <v>55.007048699207445</v>
      </c>
      <c r="AC86" s="94">
        <f>Sheet1!AA84+Sheet1!AB84+BC86</f>
        <v>56.86</v>
      </c>
      <c r="AD86" s="94">
        <f>Sheet1!AA84+Sheet1!BN84+'Calculations II'!BC86-Calculation!AS86-Calculation!DJ86</f>
        <v>34.827109249113761</v>
      </c>
      <c r="AE86" s="94">
        <f>Sheet1!AA84+Sheet1!AB84+'Calculations II'!BC86-Calculation!AS86-Calculation!DJ86</f>
        <v>45.837109249113759</v>
      </c>
      <c r="AF86" s="94">
        <f ca="1">Sheet1!AA84+Sheet1!BN84+P86+'Calculations II'!BC86+Calculation!AS86+Calculation!DJ86</f>
        <v>55.754147187984081</v>
      </c>
      <c r="AG86" s="94">
        <f ca="1">IF(B86=TODAY(),0,Sheet1!AA84+Sheet1!BN84+'Calculations II'!BC86+'Calculations II'!P86-Sheet1!CT84-BP86)</f>
        <v>28.76525643709784</v>
      </c>
      <c r="AH86" s="94">
        <f ca="1">IF(B86=TODAY(),0,Sheet1!AA84+Sheet1!BN84+'Calculations II'!BC86+'Calculations II'!P86-BP86)</f>
        <v>44.731256437097841</v>
      </c>
      <c r="AI86" s="94">
        <f ca="1">IF(B86=TODAY(),0,BC86+Sheet1!AA84+Calculation!ES86+O86+W86+Sheet1!BN84+Calculation!AS86+Calculation!DJ86-BP86)</f>
        <v>55.754147187984081</v>
      </c>
      <c r="AJ86" s="94"/>
      <c r="AM86" s="90">
        <f t="shared" si="28"/>
        <v>42810</v>
      </c>
      <c r="AN86" s="94">
        <f>Sheet1!BU84</f>
        <v>24.1</v>
      </c>
      <c r="AO86" s="94">
        <f>Sheet1!AA84</f>
        <v>25.85</v>
      </c>
      <c r="AP86" s="94">
        <f t="shared" si="17"/>
        <v>0.13849999999999704</v>
      </c>
      <c r="AQ86" s="1087">
        <f>((Sheet1!BV84-(Sheet1!BU84-AP86))/(Sheet1!BU84-AP86))</f>
        <v>0.17271456294472368</v>
      </c>
      <c r="AR86" s="94">
        <f t="shared" si="18"/>
        <v>25.711500000000004</v>
      </c>
      <c r="AS86" s="94">
        <f t="shared" si="19"/>
        <v>23.961500000000004</v>
      </c>
      <c r="AT86" s="89">
        <f>Sheet1!BB84</f>
        <v>0</v>
      </c>
      <c r="AU86" s="89">
        <f>Sheet1!AS84*GPMtoMGD</f>
        <v>2.8512000000000003E-2</v>
      </c>
      <c r="AV86" s="94">
        <f>Sheet1!AT84</f>
        <v>0</v>
      </c>
      <c r="AW86" s="89">
        <f>Sheet1!AV84*GPMtoMGD</f>
        <v>0.54820800000000003</v>
      </c>
      <c r="AX86" s="89">
        <f>Sheet1!AW84*GPMtoMGD</f>
        <v>0.70804800000000001</v>
      </c>
      <c r="AY86" s="89">
        <f>Sheet1!AX84*GPMtoMGD</f>
        <v>0</v>
      </c>
      <c r="AZ86" s="89">
        <f>Sheet1!AY84*GPMtoMGD</f>
        <v>0</v>
      </c>
      <c r="BA86" s="89">
        <f>Sheet1!AZ84*GPMtoMGD</f>
        <v>0</v>
      </c>
      <c r="BB86" s="89">
        <f>Sheet1!BP84*GPMtoMGD</f>
        <v>2.8800000000000002E-3</v>
      </c>
      <c r="BC86" s="89">
        <f>Sheet1!CS84*GPMtoMGD</f>
        <v>0</v>
      </c>
      <c r="BD86" s="89">
        <f>Sheet1!BO84*GPMtoMGD</f>
        <v>1.4146560000000001</v>
      </c>
      <c r="BE86" s="89">
        <f>Sheet1!BW84*GPMtoMGD</f>
        <v>0.83188800000000007</v>
      </c>
      <c r="BF86" s="89">
        <f>Sheet1!CN84*GPMtoMGD</f>
        <v>0.21283200000000002</v>
      </c>
      <c r="BG86" s="89">
        <f>Sheet1!CO84*GPMtoMGD</f>
        <v>0.72388799999999998</v>
      </c>
      <c r="BH86" s="89">
        <f>Sheet1!CP84*GPMtoMGD</f>
        <v>0.66672000000000009</v>
      </c>
      <c r="BI86" s="89">
        <f t="shared" si="29"/>
        <v>1.4175360000000001</v>
      </c>
      <c r="BK86" s="94">
        <f>SUM(AT86:BA86,AS86,BC86,Calculation!AQ86)</f>
        <v>45.233377249113765</v>
      </c>
      <c r="BM86" s="358">
        <f>0</f>
        <v>0</v>
      </c>
      <c r="BN86" s="358">
        <f>0</f>
        <v>0</v>
      </c>
      <c r="BP86" s="94">
        <f>SUM(BM86:BN86,W86,Sheet1!DX84)</f>
        <v>0</v>
      </c>
      <c r="BR86" s="94">
        <f>Sheet1!AA84</f>
        <v>25.85</v>
      </c>
      <c r="BS86" s="94">
        <f>Sheet1!AB84</f>
        <v>31.01</v>
      </c>
      <c r="BT86" s="94">
        <f t="shared" ca="1" si="20"/>
        <v>-1.118743562902162</v>
      </c>
      <c r="BU86" s="94">
        <f>Sheet1!AT84</f>
        <v>0</v>
      </c>
      <c r="BV86" s="89">
        <f>Sheet1!BB84</f>
        <v>0</v>
      </c>
      <c r="BW86" s="94">
        <f>Calculation!ED86</f>
        <v>11.022890750886239</v>
      </c>
      <c r="BX86" s="94">
        <f>(Sheet1!CS84*1440)/1000000</f>
        <v>0</v>
      </c>
      <c r="CA86" s="94">
        <f ca="1">Sheet1!AC84-Sheet1!BK84-Sheet1!BL84-Sheet1!BM84-Sheet1!BC84-Sheet1!BD84-Sheet1!BE84-Sheet1!BF84-Sheet1!BG84-Sheet1!BH84-Sheet1!BI84+BC86+P86</f>
        <v>44.71125643709783</v>
      </c>
      <c r="CB86" s="93">
        <f t="shared" si="21"/>
        <v>70.910008008378981</v>
      </c>
      <c r="CC86" s="94">
        <f t="shared" si="22"/>
        <v>0</v>
      </c>
      <c r="CD86" s="94">
        <f t="shared" ca="1" si="23"/>
        <v>55.734147187984071</v>
      </c>
      <c r="CE86" s="1077">
        <f t="shared" ca="1" si="24"/>
        <v>86.220725699811354</v>
      </c>
      <c r="CG86" s="1077">
        <f t="shared" ca="1" si="25"/>
        <v>44.71125643709783</v>
      </c>
    </row>
    <row r="87" spans="1:85" s="89" customFormat="1" x14ac:dyDescent="0.25">
      <c r="A87" s="616" t="s">
        <v>8</v>
      </c>
      <c r="B87" s="91">
        <v>42811</v>
      </c>
      <c r="C87" s="92">
        <v>0</v>
      </c>
      <c r="D87" s="94">
        <f>(Sheet1!BQ85-Sheet1!BQ84)*1.385</f>
        <v>1.108000000000001</v>
      </c>
      <c r="E87" s="30">
        <f>(Sheet1!BR85-Sheet1!BR84)*1.385</f>
        <v>1.1218499999999982</v>
      </c>
      <c r="F87" s="30">
        <f ca="1">IF(B87=TODAY(),0,-(VLOOKUP(Sheet1!CD85,Lookup!$I$4:$J$216,2)-VLOOKUP(Sheet1!CD84,Lookup!$I$4:$J$216,2))/1000000)</f>
        <v>-0.31091081564339806</v>
      </c>
      <c r="G87" s="94">
        <f ca="1">IF(B87=TODAY(),0,-$G$6*(Sheet1!CF85-Sheet1!CF84)*7.48/1000000)</f>
        <v>0.51627551368327118</v>
      </c>
      <c r="H87" s="94">
        <f ca="1">IF(B87=TODAY(),0,-$H$6*(Sheet1!CE85-Sheet1!CE84)*7.48/1000000)</f>
        <v>-7.5197161756325293E-2</v>
      </c>
      <c r="I87" s="94">
        <f ca="1">IF(B87=TODAY(),0,-$I$6*(Sheet1!CG85-Sheet1!CG84)*7.48/1000000)</f>
        <v>-2.6954928000000024E-2</v>
      </c>
      <c r="J87" s="95" t="s">
        <v>177</v>
      </c>
      <c r="K87" s="94">
        <f ca="1">IF(B87=TODAY(),0,-$K$6*(Sheet1!CH85-Sheet1!CH84)*7.48/1000000)</f>
        <v>-5.3306562995667467E-2</v>
      </c>
      <c r="L87" s="95" t="s">
        <v>177</v>
      </c>
      <c r="M87" s="94">
        <f ca="1">IF(B87=TODAY(),0,-$M$6*(Sheet1!CI85-Sheet1!CI84)*7.48/1000000)</f>
        <v>-5.3974525284081275E-2</v>
      </c>
      <c r="N87" s="94">
        <f ca="1">IF(B87=TODAY(),0,-$N$6*(Sheet1!CJ85-Sheet1!CJ84)*7.48/1000000)</f>
        <v>-0.29785125789419498</v>
      </c>
      <c r="O87" s="94">
        <f t="shared" ca="1" si="26"/>
        <v>-0.30191973789039589</v>
      </c>
      <c r="P87" s="94">
        <f ca="1">O87+Calculation!ES87</f>
        <v>-2.5170097427340483</v>
      </c>
      <c r="Q87" s="89" t="str">
        <f>IF(Sheet1!BQ85&gt;25.75,"spill elevation","-")</f>
        <v>-</v>
      </c>
      <c r="R87" s="89" t="str">
        <f>IF(Sheet1!BQ85&gt;25.75,"spill elevation","-")</f>
        <v>-</v>
      </c>
      <c r="S87" s="89" t="str">
        <f>IF(Sheet1!BR85&gt;25.75,"spill elevation","-")</f>
        <v>-</v>
      </c>
      <c r="T87" s="93">
        <f>IF(Sheet1!DU85=1,Sheet1!AA85-(SUM(AT87:BA87)+BE87),Sheet1!AA85-SUM(AT87:BA87))</f>
        <v>24.982287999999997</v>
      </c>
      <c r="U87" s="93">
        <f>Sheet1!BV85</f>
        <v>26.2</v>
      </c>
      <c r="V87" s="93">
        <f t="shared" si="27"/>
        <v>-1.2177120000000023</v>
      </c>
      <c r="W87" s="93">
        <f>0</f>
        <v>0</v>
      </c>
      <c r="X87" s="89">
        <f>0</f>
        <v>0</v>
      </c>
      <c r="Y87" s="94">
        <f ca="1">Calculation!EJ88+Calculation!ES87+'Calculations II'!O87-'Calculations II'!W87</f>
        <v>43.47471792412879</v>
      </c>
      <c r="Z87" s="94">
        <f ca="1">Y87-Sheet1!CT86</f>
        <v>28.188717924128788</v>
      </c>
      <c r="AA87" s="94">
        <f ca="1">Y87+Calculation!DJ88+Calculation!AS88</f>
        <v>54.697921807623935</v>
      </c>
      <c r="AC87" s="94">
        <f>Sheet1!AA85+Sheet1!AB85+BC87</f>
        <v>56.81</v>
      </c>
      <c r="AD87" s="94">
        <f>Sheet1!AA85+Sheet1!BN85+'Calculations II'!BC87-Calculation!AS87-Calculation!DJ87</f>
        <v>34.725827152531437</v>
      </c>
      <c r="AE87" s="94">
        <f>Sheet1!AA85+Sheet1!AB85+'Calculations II'!BC87-Calculation!AS87-Calculation!DJ87</f>
        <v>45.735827152531442</v>
      </c>
      <c r="AF87" s="94">
        <f ca="1">Sheet1!AA85+Sheet1!BN85+P87+'Calculations II'!BC87+Calculation!AS87+Calculation!DJ87</f>
        <v>54.357163104734511</v>
      </c>
      <c r="AG87" s="94">
        <f ca="1">IF(B87=TODAY(),0,Sheet1!AA85+Sheet1!BN85+'Calculations II'!BC87+'Calculations II'!P87-Sheet1!CT85-BP87)</f>
        <v>27.412990257265953</v>
      </c>
      <c r="AH87" s="94">
        <f ca="1">IF(B87=TODAY(),0,Sheet1!AA85+Sheet1!BN85+'Calculations II'!BC87+'Calculations II'!P87-BP87)</f>
        <v>43.282990257265951</v>
      </c>
      <c r="AI87" s="94">
        <f ca="1">IF(B87=TODAY(),0,BC87+Sheet1!AA85+Calculation!ES87+O87+W87+Sheet1!BN85+Calculation!AS87+Calculation!DJ87-BP87)</f>
        <v>54.357163104734511</v>
      </c>
      <c r="AJ87" s="94"/>
      <c r="AM87" s="90">
        <f t="shared" si="28"/>
        <v>42811</v>
      </c>
      <c r="AN87" s="94">
        <f>Sheet1!BU85</f>
        <v>24.6</v>
      </c>
      <c r="AO87" s="94">
        <f>Sheet1!AA85</f>
        <v>25.9</v>
      </c>
      <c r="AP87" s="94">
        <f t="shared" si="17"/>
        <v>2.229849999999999</v>
      </c>
      <c r="AQ87" s="1087">
        <f>((Sheet1!BV85-(Sheet1!BU85-AP87))/(Sheet1!BU85-AP87))</f>
        <v>0.17120359049894598</v>
      </c>
      <c r="AR87" s="94">
        <f t="shared" si="18"/>
        <v>23.67015</v>
      </c>
      <c r="AS87" s="94">
        <f t="shared" si="19"/>
        <v>22.370150000000002</v>
      </c>
      <c r="AT87" s="89">
        <f>Sheet1!BB85</f>
        <v>0</v>
      </c>
      <c r="AU87" s="89">
        <f>Sheet1!AS85*GPMtoMGD</f>
        <v>1.6128E-2</v>
      </c>
      <c r="AV87" s="94">
        <f>Sheet1!AT85</f>
        <v>0</v>
      </c>
      <c r="AW87" s="89">
        <f>Sheet1!AV85*GPMtoMGD</f>
        <v>0.43012800000000001</v>
      </c>
      <c r="AX87" s="89">
        <f>Sheet1!AW85*GPMtoMGD</f>
        <v>0.47145599999999999</v>
      </c>
      <c r="AY87" s="89">
        <f>Sheet1!AX85*GPMtoMGD</f>
        <v>0</v>
      </c>
      <c r="AZ87" s="89">
        <f>Sheet1!AY85*GPMtoMGD</f>
        <v>0</v>
      </c>
      <c r="BA87" s="89">
        <f>Sheet1!AZ85*GPMtoMGD</f>
        <v>0</v>
      </c>
      <c r="BB87" s="89">
        <f>Sheet1!BP85*GPMtoMGD</f>
        <v>2.8800000000000002E-3</v>
      </c>
      <c r="BC87" s="89">
        <f>Sheet1!CS85*GPMtoMGD</f>
        <v>0</v>
      </c>
      <c r="BD87" s="89">
        <f>Sheet1!BO85*GPMtoMGD</f>
        <v>1.5301439999999999</v>
      </c>
      <c r="BE87" s="89">
        <f>Sheet1!BW85*GPMtoMGD</f>
        <v>0.736128</v>
      </c>
      <c r="BF87" s="89">
        <f>Sheet1!CN85*GPMtoMGD</f>
        <v>0.25113600000000003</v>
      </c>
      <c r="BG87" s="89">
        <f>Sheet1!CO85*GPMtoMGD</f>
        <v>0.71611200000000008</v>
      </c>
      <c r="BH87" s="89">
        <f>Sheet1!CP85*GPMtoMGD</f>
        <v>0.66628799999999999</v>
      </c>
      <c r="BI87" s="89">
        <f t="shared" si="29"/>
        <v>1.5330239999999999</v>
      </c>
      <c r="BK87" s="94">
        <f>SUM(AT87:BA87,AS87,BC87,Calculation!AQ87)</f>
        <v>43.123689152531441</v>
      </c>
      <c r="BM87" s="358">
        <f>0</f>
        <v>0</v>
      </c>
      <c r="BN87" s="358">
        <f>0</f>
        <v>0</v>
      </c>
      <c r="BP87" s="94">
        <f>SUM(BM87:BN87,W87,Sheet1!DX85)</f>
        <v>0</v>
      </c>
      <c r="BR87" s="94">
        <f>Sheet1!AA85</f>
        <v>25.9</v>
      </c>
      <c r="BS87" s="94">
        <f>Sheet1!AB85</f>
        <v>30.91</v>
      </c>
      <c r="BT87" s="94">
        <f t="shared" ca="1" si="20"/>
        <v>-2.5170097427340483</v>
      </c>
      <c r="BU87" s="94">
        <f>Sheet1!AT85</f>
        <v>0</v>
      </c>
      <c r="BV87" s="89">
        <f>Sheet1!BB85</f>
        <v>0</v>
      </c>
      <c r="BW87" s="94">
        <f>Calculation!ED87</f>
        <v>11.07417284746856</v>
      </c>
      <c r="BX87" s="94">
        <f>(Sheet1!CS85*1440)/1000000</f>
        <v>0</v>
      </c>
      <c r="CA87" s="94">
        <f ca="1">Sheet1!AC85-Sheet1!BK85-Sheet1!BL85-Sheet1!BM85-Sheet1!BC85-Sheet1!BD85-Sheet1!BE85-Sheet1!BF85-Sheet1!BG85-Sheet1!BH85-Sheet1!BI85+BC87+P87</f>
        <v>43.182990257265963</v>
      </c>
      <c r="CB87" s="93">
        <f t="shared" si="21"/>
        <v>70.753324604966139</v>
      </c>
      <c r="CC87" s="94">
        <f t="shared" si="22"/>
        <v>0</v>
      </c>
      <c r="CD87" s="94">
        <f t="shared" ca="1" si="23"/>
        <v>54.257163104734524</v>
      </c>
      <c r="CE87" s="1077">
        <f t="shared" ca="1" si="24"/>
        <v>83.935831323024303</v>
      </c>
      <c r="CG87" s="1077">
        <f t="shared" ca="1" si="25"/>
        <v>43.182990257265963</v>
      </c>
    </row>
    <row r="88" spans="1:85" s="89" customFormat="1" x14ac:dyDescent="0.25">
      <c r="A88" s="616" t="s">
        <v>9</v>
      </c>
      <c r="B88" s="91">
        <v>42812</v>
      </c>
      <c r="C88" s="92">
        <v>0</v>
      </c>
      <c r="D88" s="94">
        <f>(Sheet1!BQ86-Sheet1!BQ85)*1.385</f>
        <v>1.4542500000000009</v>
      </c>
      <c r="E88" s="30">
        <f>(Sheet1!BR86-Sheet1!BR85)*1.385</f>
        <v>1.4403999999999988</v>
      </c>
      <c r="F88" s="30">
        <f ca="1">IF(B88=TODAY(),0,-(VLOOKUP(Sheet1!CD86,Lookup!$I$4:$J$216,2)-VLOOKUP(Sheet1!CD85,Lookup!$I$4:$J$216,2))/1000000)</f>
        <v>0</v>
      </c>
      <c r="G88" s="94">
        <f ca="1">IF(B88=TODAY(),0,-$G$6*(Sheet1!CF86-Sheet1!CF85)*7.48/1000000)</f>
        <v>0.39713501052559297</v>
      </c>
      <c r="H88" s="94">
        <f ca="1">IF(B88=TODAY(),0,-$H$6*(Sheet1!CE86-Sheet1!CE85)*7.48/1000000)</f>
        <v>0</v>
      </c>
      <c r="I88" s="94">
        <f ca="1">IF(B88=TODAY(),0,-$I$6*(Sheet1!CG86-Sheet1!CG85)*7.48/1000000)</f>
        <v>5.8402344000000037E-2</v>
      </c>
      <c r="J88" s="95" t="s">
        <v>177</v>
      </c>
      <c r="K88" s="94">
        <f ca="1">IF(B88=TODAY(),0,-$K$6*(Sheet1!CH86-Sheet1!CH85)*7.48/1000000)</f>
        <v>0.10661312599133504</v>
      </c>
      <c r="L88" s="95" t="s">
        <v>177</v>
      </c>
      <c r="M88" s="94">
        <f ca="1">IF(B88=TODAY(),0,-$M$6*(Sheet1!CI86-Sheet1!CI85)*7.48/1000000)</f>
        <v>0.26987262642040577</v>
      </c>
      <c r="N88" s="94">
        <f ca="1">IF(B88=TODAY(),0,-$N$6*(Sheet1!CJ86-Sheet1!CJ85)*7.48/1000000)</f>
        <v>0.22338844342064679</v>
      </c>
      <c r="O88" s="94">
        <f t="shared" ca="1" si="26"/>
        <v>1.0554115503579806</v>
      </c>
      <c r="P88" s="94">
        <f ca="1">O88+Calculation!ES88</f>
        <v>-1.8531596690610554</v>
      </c>
      <c r="Q88" s="89" t="str">
        <f>IF(Sheet1!BQ86&gt;25.75,"spill elevation","-")</f>
        <v>-</v>
      </c>
      <c r="R88" s="89" t="str">
        <f>IF(Sheet1!BQ86&gt;25.75,"spill elevation","-")</f>
        <v>-</v>
      </c>
      <c r="S88" s="89" t="str">
        <f>IF(Sheet1!BR86&gt;25.75,"spill elevation","-")</f>
        <v>-</v>
      </c>
      <c r="T88" s="93">
        <f>IF(Sheet1!DU86=1,Sheet1!AA86-(SUM(AT88:BA88)+BE88),Sheet1!AA86-SUM(AT88:BA88))</f>
        <v>24.330480000000001</v>
      </c>
      <c r="U88" s="93">
        <f>Sheet1!BV86</f>
        <v>25</v>
      </c>
      <c r="V88" s="93">
        <f t="shared" si="27"/>
        <v>-0.66951999999999856</v>
      </c>
      <c r="W88" s="93">
        <f>0</f>
        <v>0</v>
      </c>
      <c r="X88" s="89">
        <f>0</f>
        <v>0</v>
      </c>
      <c r="Y88" s="94">
        <f ca="1">Calculation!EJ89+Calculation!ES88+'Calculations II'!O88-'Calculations II'!W88</f>
        <v>39.079534390024975</v>
      </c>
      <c r="Z88" s="94">
        <f ca="1">Y88-Sheet1!CT87</f>
        <v>24.723534390024973</v>
      </c>
      <c r="AA88" s="94">
        <f ca="1">Y88+Calculation!DJ89+Calculation!AS89</f>
        <v>50.021433752179476</v>
      </c>
      <c r="AC88" s="94">
        <f>Sheet1!AA86+Sheet1!AB86+BC88</f>
        <v>56.49</v>
      </c>
      <c r="AD88" s="94">
        <f>Sheet1!AA86+Sheet1!BN86+'Calculations II'!BC88-Calculation!AS88-Calculation!DJ88</f>
        <v>34.17679611650486</v>
      </c>
      <c r="AE88" s="94">
        <f>Sheet1!AA86+Sheet1!AB86+'Calculations II'!BC88-Calculation!AS88-Calculation!DJ88</f>
        <v>45.266796116504857</v>
      </c>
      <c r="AF88" s="94">
        <f ca="1">Sheet1!AA86+Sheet1!BN86+P88+'Calculations II'!BC88+Calculation!AS88+Calculation!DJ88</f>
        <v>54.770044214434094</v>
      </c>
      <c r="AG88" s="94">
        <f ca="1">IF(B88=TODAY(),0,Sheet1!AA86+Sheet1!BN86+'Calculations II'!BC88+'Calculations II'!P88-Sheet1!CT86-BP88)</f>
        <v>28.260840330938947</v>
      </c>
      <c r="AH88" s="94">
        <f ca="1">IF(B88=TODAY(),0,Sheet1!AA86+Sheet1!BN86+'Calculations II'!BC88+'Calculations II'!P88-BP88)</f>
        <v>43.546840330938949</v>
      </c>
      <c r="AI88" s="94">
        <f ca="1">IF(B88=TODAY(),0,BC88+Sheet1!AA86+Calculation!ES88+O88+W88+Sheet1!BN86+Calculation!AS88+Calculation!DJ88-BP88)</f>
        <v>54.770044214434094</v>
      </c>
      <c r="AJ88" s="94"/>
      <c r="AM88" s="90">
        <f t="shared" si="28"/>
        <v>42812</v>
      </c>
      <c r="AN88" s="94">
        <f>Sheet1!BU86</f>
        <v>24</v>
      </c>
      <c r="AO88" s="94">
        <f>Sheet1!AA86</f>
        <v>25.8</v>
      </c>
      <c r="AP88" s="94">
        <f t="shared" si="17"/>
        <v>2.8946499999999995</v>
      </c>
      <c r="AQ88" s="1087">
        <f>((Sheet1!BV86-(Sheet1!BU86-AP88))/(Sheet1!BU86-AP88))</f>
        <v>0.18453377934978565</v>
      </c>
      <c r="AR88" s="94">
        <f t="shared" si="18"/>
        <v>22.905350000000002</v>
      </c>
      <c r="AS88" s="94">
        <f t="shared" si="19"/>
        <v>21.105350000000001</v>
      </c>
      <c r="AT88" s="89">
        <f>Sheet1!BB86</f>
        <v>0</v>
      </c>
      <c r="AU88" s="89">
        <f>Sheet1!AS86*GPMtoMGD</f>
        <v>3.0816E-2</v>
      </c>
      <c r="AV88" s="94">
        <f>Sheet1!AT86</f>
        <v>0</v>
      </c>
      <c r="AW88" s="89">
        <f>Sheet1!AV86*GPMtoMGD</f>
        <v>0.63115200000000005</v>
      </c>
      <c r="AX88" s="89">
        <f>Sheet1!AW86*GPMtoMGD</f>
        <v>0.80755199999999994</v>
      </c>
      <c r="AY88" s="89">
        <f>Sheet1!AX86*GPMtoMGD</f>
        <v>0</v>
      </c>
      <c r="AZ88" s="89">
        <f>Sheet1!AY86*GPMtoMGD</f>
        <v>0</v>
      </c>
      <c r="BA88" s="89">
        <f>Sheet1!AZ86*GPMtoMGD</f>
        <v>0</v>
      </c>
      <c r="BB88" s="89">
        <f>Sheet1!BP86*GPMtoMGD</f>
        <v>2.8800000000000002E-3</v>
      </c>
      <c r="BC88" s="89">
        <f>Sheet1!CS86*GPMtoMGD</f>
        <v>0</v>
      </c>
      <c r="BD88" s="89">
        <f>Sheet1!BO86*GPMtoMGD</f>
        <v>1.1888640000000001</v>
      </c>
      <c r="BE88" s="89">
        <f>Sheet1!BW86*GPMtoMGD</f>
        <v>0.71942400000000006</v>
      </c>
      <c r="BF88" s="89">
        <f>Sheet1!CN86*GPMtoMGD</f>
        <v>0.35294400000000004</v>
      </c>
      <c r="BG88" s="89">
        <f>Sheet1!CO86*GPMtoMGD</f>
        <v>0.61199999999999999</v>
      </c>
      <c r="BH88" s="89">
        <f>Sheet1!CP86*GPMtoMGD</f>
        <v>0.66139200000000009</v>
      </c>
      <c r="BI88" s="89">
        <f t="shared" si="29"/>
        <v>1.1917440000000001</v>
      </c>
      <c r="BK88" s="94">
        <f>SUM(AT88:BA88,AS88,BC88,Calculation!AQ88)</f>
        <v>42.041666116504857</v>
      </c>
      <c r="BM88" s="358">
        <f>0</f>
        <v>0</v>
      </c>
      <c r="BN88" s="358">
        <f>0</f>
        <v>0</v>
      </c>
      <c r="BP88" s="94">
        <f>SUM(BM88:BN88,W88,Sheet1!DX86)</f>
        <v>0</v>
      </c>
      <c r="BR88" s="94">
        <f>Sheet1!AA86</f>
        <v>25.8</v>
      </c>
      <c r="BS88" s="94">
        <f>Sheet1!AB86</f>
        <v>30.69</v>
      </c>
      <c r="BT88" s="94">
        <f t="shared" ca="1" si="20"/>
        <v>-1.8531596690610554</v>
      </c>
      <c r="BU88" s="94">
        <f>Sheet1!AT86</f>
        <v>0</v>
      </c>
      <c r="BV88" s="89">
        <f>Sheet1!BB86</f>
        <v>0</v>
      </c>
      <c r="BW88" s="94">
        <f>Calculation!ED88</f>
        <v>11.223203883495145</v>
      </c>
      <c r="BX88" s="94">
        <f>(Sheet1!CS86*1440)/1000000</f>
        <v>0</v>
      </c>
      <c r="CA88" s="94">
        <f ca="1">Sheet1!AC86-Sheet1!BK86-Sheet1!BL86-Sheet1!BM86-Sheet1!BC86-Sheet1!BD86-Sheet1!BE86-Sheet1!BF86-Sheet1!BG86-Sheet1!BH86-Sheet1!BI86+BC88+P88</f>
        <v>43.336840330938941</v>
      </c>
      <c r="CB88" s="93">
        <f t="shared" si="21"/>
        <v>70.027733592233005</v>
      </c>
      <c r="CC88" s="94">
        <f t="shared" si="22"/>
        <v>0</v>
      </c>
      <c r="CD88" s="94">
        <f t="shared" ca="1" si="23"/>
        <v>54.560044214434086</v>
      </c>
      <c r="CE88" s="1077">
        <f t="shared" ca="1" si="24"/>
        <v>84.404388399729527</v>
      </c>
      <c r="CG88" s="1077">
        <f t="shared" ca="1" si="25"/>
        <v>43.336840330938941</v>
      </c>
    </row>
    <row r="89" spans="1:85" s="89" customFormat="1" x14ac:dyDescent="0.25">
      <c r="A89" s="616" t="s">
        <v>3</v>
      </c>
      <c r="B89" s="91">
        <v>42813</v>
      </c>
      <c r="C89" s="92">
        <v>0</v>
      </c>
      <c r="D89" s="94">
        <f>(Sheet1!BQ87-Sheet1!BQ86)*1.385</f>
        <v>-0.88640000000000074</v>
      </c>
      <c r="E89" s="30">
        <f>(Sheet1!BR87-Sheet1!BR86)*1.385</f>
        <v>-0.84484999999999921</v>
      </c>
      <c r="F89" s="30">
        <f ca="1">IF(B89=TODAY(),0,-(VLOOKUP(Sheet1!CD87,Lookup!$I$4:$J$216,2)-VLOOKUP(Sheet1!CD86,Lookup!$I$4:$J$216,2))/1000000)</f>
        <v>-1.3472802011213991</v>
      </c>
      <c r="G89" s="94">
        <f ca="1">IF(B89=TODAY(),0,-$G$6*(Sheet1!CF87-Sheet1!CF86)*7.48/1000000)</f>
        <v>0.43684851157815213</v>
      </c>
      <c r="H89" s="94">
        <f ca="1">IF(B89=TODAY(),0,-$H$6*(Sheet1!CE87-Sheet1!CE86)*7.48/1000000)</f>
        <v>-1.5039432351265274E-2</v>
      </c>
      <c r="I89" s="94">
        <f ca="1">IF(B89=TODAY(),0,-$I$6*(Sheet1!CG87-Sheet1!CG86)*7.48/1000000)</f>
        <v>-1.9317698399999986E-2</v>
      </c>
      <c r="J89" s="95" t="s">
        <v>177</v>
      </c>
      <c r="K89" s="94">
        <f ca="1">IF(B89=TODAY(),0,-$K$6*(Sheet1!CH87-Sheet1!CH86)*7.48/1000000)</f>
        <v>-3.9979922246750635E-2</v>
      </c>
      <c r="L89" s="95" t="s">
        <v>177</v>
      </c>
      <c r="M89" s="94">
        <f ca="1">IF(B89=TODAY(),0,-$M$6*(Sheet1!CI87-Sheet1!CI86)*7.48/1000000)</f>
        <v>-8.9957542140135238E-2</v>
      </c>
      <c r="N89" s="94">
        <f ca="1">IF(B89=TODAY(),0,-$N$6*(Sheet1!CJ87-Sheet1!CJ86)*7.48/1000000)</f>
        <v>-0.48400829407806717</v>
      </c>
      <c r="O89" s="94">
        <f t="shared" ca="1" si="26"/>
        <v>-1.5587345787594651</v>
      </c>
      <c r="P89" s="94">
        <f ca="1">O89+Calculation!ES89</f>
        <v>0.10346725077139229</v>
      </c>
      <c r="Q89" s="89" t="str">
        <f>IF(Sheet1!BQ87&gt;25.75,"spill elevation","-")</f>
        <v>-</v>
      </c>
      <c r="R89" s="89" t="str">
        <f>IF(Sheet1!BQ87&gt;25.75,"spill elevation","-")</f>
        <v>-</v>
      </c>
      <c r="S89" s="89" t="str">
        <f>IF(Sheet1!BR87&gt;25.75,"spill elevation","-")</f>
        <v>-</v>
      </c>
      <c r="T89" s="93">
        <f>IF(Sheet1!DU87=1,Sheet1!AA87-(SUM(AT89:BA89)+BE89),Sheet1!AA87-SUM(AT89:BA89))</f>
        <v>24.836672</v>
      </c>
      <c r="U89" s="93">
        <f>Sheet1!BV87</f>
        <v>31</v>
      </c>
      <c r="V89" s="93">
        <f t="shared" si="27"/>
        <v>-6.1633279999999999</v>
      </c>
      <c r="W89" s="93">
        <f>0</f>
        <v>0</v>
      </c>
      <c r="X89" s="89">
        <f>0</f>
        <v>0</v>
      </c>
      <c r="Y89" s="94">
        <f ca="1">Calculation!EJ90+Calculation!ES89+'Calculations II'!O89-'Calculations II'!W89</f>
        <v>43.958141460034199</v>
      </c>
      <c r="Z89" s="94">
        <f ca="1">Y89-Sheet1!CT88</f>
        <v>28.367141460034198</v>
      </c>
      <c r="AA89" s="94">
        <f ca="1">Y89+Calculation!DJ90+Calculation!AS90</f>
        <v>54.794718159726713</v>
      </c>
      <c r="AC89" s="94">
        <f>Sheet1!AA87+Sheet1!AB87+BC89</f>
        <v>53.870000000000005</v>
      </c>
      <c r="AD89" s="94">
        <f>Sheet1!AA87+Sheet1!BN87+'Calculations II'!BC89-Calculation!AS89-Calculation!DJ89</f>
        <v>32.108100637845496</v>
      </c>
      <c r="AE89" s="94">
        <f>Sheet1!AA87+Sheet1!AB87+'Calculations II'!BC89-Calculation!AS89-Calculation!DJ89</f>
        <v>42.928100637845503</v>
      </c>
      <c r="AF89" s="94">
        <f ca="1">Sheet1!AA87+Sheet1!BN87+P89+'Calculations II'!BC89+Calculation!AS89+Calculation!DJ89</f>
        <v>54.095366612925893</v>
      </c>
      <c r="AG89" s="94">
        <f ca="1">IF(B89=TODAY(),0,Sheet1!AA87+Sheet1!BN87+'Calculations II'!BC89+'Calculations II'!P89-Sheet1!CT87-BP89)</f>
        <v>28.79746725077139</v>
      </c>
      <c r="AH89" s="94">
        <f ca="1">IF(B89=TODAY(),0,Sheet1!AA87+Sheet1!BN87+'Calculations II'!BC89+'Calculations II'!P89-BP89)</f>
        <v>43.153467250771392</v>
      </c>
      <c r="AI89" s="94">
        <f ca="1">IF(B89=TODAY(),0,BC89+Sheet1!AA87+Calculation!ES89+O89+W89+Sheet1!BN87+Calculation!AS89+Calculation!DJ89-BP89)</f>
        <v>54.095366612925893</v>
      </c>
      <c r="AJ89" s="94"/>
      <c r="AM89" s="90">
        <f t="shared" si="28"/>
        <v>42813</v>
      </c>
      <c r="AN89" s="94">
        <f>Sheet1!BU87</f>
        <v>24.4</v>
      </c>
      <c r="AO89" s="94">
        <f>Sheet1!AA87</f>
        <v>25.85</v>
      </c>
      <c r="AP89" s="94">
        <f t="shared" si="17"/>
        <v>-1.73125</v>
      </c>
      <c r="AQ89" s="1087">
        <f>((Sheet1!BV87-(Sheet1!BU87-AP89))/(Sheet1!BU87-AP89))</f>
        <v>0.18631906242525723</v>
      </c>
      <c r="AR89" s="94">
        <f t="shared" si="18"/>
        <v>27.581250000000001</v>
      </c>
      <c r="AS89" s="94">
        <f t="shared" si="19"/>
        <v>26.131249999999998</v>
      </c>
      <c r="AT89" s="89">
        <f>Sheet1!BB87</f>
        <v>0</v>
      </c>
      <c r="AU89" s="89">
        <f>Sheet1!AS87*GPMtoMGD</f>
        <v>1.6128E-2</v>
      </c>
      <c r="AV89" s="94">
        <f>Sheet1!AT87</f>
        <v>0</v>
      </c>
      <c r="AW89" s="89">
        <f>Sheet1!AV87*GPMtoMGD</f>
        <v>0.44236800000000004</v>
      </c>
      <c r="AX89" s="89">
        <f>Sheet1!AW87*GPMtoMGD</f>
        <v>0.5548320000000001</v>
      </c>
      <c r="AY89" s="89">
        <f>Sheet1!AX87*GPMtoMGD</f>
        <v>0</v>
      </c>
      <c r="AZ89" s="89">
        <f>Sheet1!AY87*GPMtoMGD</f>
        <v>0</v>
      </c>
      <c r="BA89" s="89">
        <f>Sheet1!AZ87*GPMtoMGD</f>
        <v>0</v>
      </c>
      <c r="BB89" s="89">
        <f>Sheet1!BP87*GPMtoMGD</f>
        <v>2.8800000000000002E-3</v>
      </c>
      <c r="BC89" s="89">
        <f>Sheet1!CS87*GPMtoMGD</f>
        <v>0</v>
      </c>
      <c r="BD89" s="89">
        <f>Sheet1!BO87*GPMtoMGD</f>
        <v>1.7925120000000001</v>
      </c>
      <c r="BE89" s="89">
        <f>Sheet1!BW87*GPMtoMGD</f>
        <v>0.89352000000000009</v>
      </c>
      <c r="BF89" s="89">
        <f>Sheet1!CN87*GPMtoMGD</f>
        <v>0.46728000000000003</v>
      </c>
      <c r="BG89" s="89">
        <f>Sheet1!CO87*GPMtoMGD</f>
        <v>0.65635200000000005</v>
      </c>
      <c r="BH89" s="89">
        <f>Sheet1!CP87*GPMtoMGD</f>
        <v>0.65577600000000003</v>
      </c>
      <c r="BI89" s="89">
        <f t="shared" si="29"/>
        <v>1.7953920000000001</v>
      </c>
      <c r="BK89" s="94">
        <f>SUM(AT89:BA89,AS89,BC89,Calculation!AQ89)</f>
        <v>44.222678637845497</v>
      </c>
      <c r="BM89" s="358">
        <f>0</f>
        <v>0</v>
      </c>
      <c r="BN89" s="358">
        <f>0</f>
        <v>0</v>
      </c>
      <c r="BP89" s="94">
        <f>SUM(BM89:BN89,W89,Sheet1!DX87)</f>
        <v>0</v>
      </c>
      <c r="BR89" s="94">
        <f>Sheet1!AA87</f>
        <v>25.85</v>
      </c>
      <c r="BS89" s="94">
        <f>Sheet1!AB87</f>
        <v>28.02</v>
      </c>
      <c r="BT89" s="94">
        <f t="shared" ca="1" si="20"/>
        <v>0.10346725077139229</v>
      </c>
      <c r="BU89" s="94">
        <f>Sheet1!AT87</f>
        <v>0</v>
      </c>
      <c r="BV89" s="89">
        <f>Sheet1!BB87</f>
        <v>0</v>
      </c>
      <c r="BW89" s="94">
        <f>Calculation!ED89</f>
        <v>10.941899362154501</v>
      </c>
      <c r="BX89" s="94">
        <f>(Sheet1!CS87*1440)/1000000</f>
        <v>0</v>
      </c>
      <c r="CA89" s="94">
        <f ca="1">Sheet1!AC87-Sheet1!BK87-Sheet1!BL87-Sheet1!BM87-Sheet1!BC87-Sheet1!BD87-Sheet1!BE87-Sheet1!BF87-Sheet1!BG87-Sheet1!BH87-Sheet1!BI87+BC89+P89</f>
        <v>42.953467250771396</v>
      </c>
      <c r="CB89" s="93">
        <f t="shared" si="21"/>
        <v>66.409771686746993</v>
      </c>
      <c r="CC89" s="94">
        <f t="shared" si="22"/>
        <v>0</v>
      </c>
      <c r="CD89" s="94">
        <f t="shared" ca="1" si="23"/>
        <v>53.895366612925898</v>
      </c>
      <c r="CE89" s="1077">
        <f t="shared" ca="1" si="24"/>
        <v>83.376132150196355</v>
      </c>
      <c r="CG89" s="1077">
        <f t="shared" ca="1" si="25"/>
        <v>42.953467250771396</v>
      </c>
    </row>
    <row r="90" spans="1:85" s="89" customFormat="1" x14ac:dyDescent="0.25">
      <c r="A90" s="616" t="s">
        <v>4</v>
      </c>
      <c r="B90" s="91">
        <v>42814</v>
      </c>
      <c r="C90" s="92">
        <v>0</v>
      </c>
      <c r="D90" s="94">
        <f>(Sheet1!BQ88-Sheet1!BQ87)*1.385</f>
        <v>-0.16620000000000137</v>
      </c>
      <c r="E90" s="30">
        <f>(Sheet1!BR88-Sheet1!BR87)*1.385</f>
        <v>-0.19390000000000079</v>
      </c>
      <c r="F90" s="30">
        <f ca="1">IF(B90=TODAY(),0,-(VLOOKUP(Sheet1!CD88,Lookup!$I$4:$J$216,2)-VLOOKUP(Sheet1!CD87,Lookup!$I$4:$J$216,2))/1000000)</f>
        <v>0.72545856983459556</v>
      </c>
      <c r="G90" s="94">
        <f ca="1">IF(B90=TODAY(),0,-$G$6*(Sheet1!CF88-Sheet1!CF87)*7.48/1000000)</f>
        <v>-1.0722645284191008</v>
      </c>
      <c r="H90" s="94">
        <f ca="1">IF(B90=TODAY(),0,-$H$6*(Sheet1!CE88-Sheet1!CE87)*7.48/1000000)</f>
        <v>4.5118297053794748E-2</v>
      </c>
      <c r="I90" s="94">
        <f ca="1">IF(B90=TODAY(),0,-$I$6*(Sheet1!CG88-Sheet1!CG87)*7.48/1000000)</f>
        <v>-2.1114693600000033E-2</v>
      </c>
      <c r="J90" s="95" t="s">
        <v>177</v>
      </c>
      <c r="K90" s="94">
        <f ca="1">IF(B90=TODAY(),0,-$K$6*(Sheet1!CH88-Sheet1!CH87)*7.48/1000000)</f>
        <v>-3.3316601872292212E-2</v>
      </c>
      <c r="L90" s="95" t="s">
        <v>177</v>
      </c>
      <c r="M90" s="94">
        <f ca="1">IF(B90=TODAY(),0,-$M$6*(Sheet1!CI88-Sheet1!CI87)*7.48/1000000)</f>
        <v>-7.1966033712107941E-2</v>
      </c>
      <c r="N90" s="94">
        <f ca="1">IF(B90=TODAY(),0,-$N$6*(Sheet1!CJ88-Sheet1!CJ87)*7.48/1000000)</f>
        <v>0.34128789967043188</v>
      </c>
      <c r="O90" s="94">
        <f t="shared" ca="1" si="26"/>
        <v>-8.6797091044678698E-2</v>
      </c>
      <c r="P90" s="94">
        <f ca="1">O90+Calculation!ES90</f>
        <v>0.46716764536468736</v>
      </c>
      <c r="Q90" s="89" t="str">
        <f>IF(Sheet1!BQ88&gt;25.75,"spill elevation","-")</f>
        <v>-</v>
      </c>
      <c r="R90" s="89" t="str">
        <f>IF(Sheet1!BQ88&gt;25.75,"spill elevation","-")</f>
        <v>-</v>
      </c>
      <c r="S90" s="89" t="str">
        <f>IF(Sheet1!BR88&gt;25.75,"spill elevation","-")</f>
        <v>-</v>
      </c>
      <c r="T90" s="93">
        <f>IF(Sheet1!DU88=1,Sheet1!AA88-(SUM(AT90:BA90)+BE90),Sheet1!AA88-SUM(AT90:BA90))</f>
        <v>24.161951999999999</v>
      </c>
      <c r="U90" s="93">
        <f>Sheet1!BV88</f>
        <v>28.6</v>
      </c>
      <c r="V90" s="93">
        <f t="shared" si="27"/>
        <v>-4.438048000000002</v>
      </c>
      <c r="W90" s="93">
        <f>0</f>
        <v>0</v>
      </c>
      <c r="X90" s="89">
        <f>0</f>
        <v>0</v>
      </c>
      <c r="Y90" s="94">
        <f ca="1">Calculation!EJ91+Calculation!ES90+'Calculations II'!O90-'Calculations II'!W90</f>
        <v>44.899321331540101</v>
      </c>
      <c r="Z90" s="94">
        <f ca="1">Y90-Sheet1!CT89</f>
        <v>28.612321331540102</v>
      </c>
      <c r="AA90" s="94">
        <f ca="1">Y90+Calculation!DJ91+Calculation!AS91</f>
        <v>55.350744819084582</v>
      </c>
      <c r="AC90" s="94">
        <f>Sheet1!AA88+Sheet1!AB88+BC90</f>
        <v>55.04</v>
      </c>
      <c r="AD90" s="94">
        <f>Sheet1!AA88+Sheet1!BN88+'Calculations II'!BC90-Calculation!AS90-Calculation!DJ90</f>
        <v>33.423423300307476</v>
      </c>
      <c r="AE90" s="94">
        <f>Sheet1!AA88+Sheet1!AB88+'Calculations II'!BC90-Calculation!AS90-Calculation!DJ90</f>
        <v>44.203423300307477</v>
      </c>
      <c r="AF90" s="94">
        <f ca="1">Sheet1!AA88+Sheet1!BN88+P90+'Calculations II'!BC90+Calculation!AS90+Calculation!DJ90</f>
        <v>55.563744345057202</v>
      </c>
      <c r="AG90" s="94">
        <f ca="1">IF(B90=TODAY(),0,Sheet1!AA88+Sheet1!BN88+'Calculations II'!BC90+'Calculations II'!P90-Sheet1!CT88-BP90)</f>
        <v>29.136167645364687</v>
      </c>
      <c r="AH90" s="94">
        <f ca="1">IF(B90=TODAY(),0,Sheet1!AA88+Sheet1!BN88+'Calculations II'!BC90+'Calculations II'!P90-BP90)</f>
        <v>44.727167645364688</v>
      </c>
      <c r="AI90" s="94">
        <f ca="1">IF(B90=TODAY(),0,BC90+Sheet1!AA88+Calculation!ES90+O90+W90+Sheet1!BN88+Calculation!AS90+Calculation!DJ90-BP90)</f>
        <v>55.563744345057202</v>
      </c>
      <c r="AJ90" s="94"/>
      <c r="AM90" s="90">
        <f t="shared" si="28"/>
        <v>42814</v>
      </c>
      <c r="AN90" s="94">
        <f>Sheet1!BU88</f>
        <v>23.9</v>
      </c>
      <c r="AO90" s="94">
        <f>Sheet1!AA88</f>
        <v>25.86</v>
      </c>
      <c r="AP90" s="94">
        <f t="shared" si="17"/>
        <v>-0.3601000000000022</v>
      </c>
      <c r="AQ90" s="1087">
        <f>((Sheet1!BV88-(Sheet1!BU88-AP90))/(Sheet1!BU88-AP90))</f>
        <v>0.17889044150683633</v>
      </c>
      <c r="AR90" s="94">
        <f t="shared" si="18"/>
        <v>26.220100000000002</v>
      </c>
      <c r="AS90" s="94">
        <f t="shared" si="19"/>
        <v>24.260100000000001</v>
      </c>
      <c r="AT90" s="89">
        <f>Sheet1!BB88</f>
        <v>0</v>
      </c>
      <c r="AU90" s="89">
        <f>Sheet1!AS88*GPMtoMGD</f>
        <v>2.6495999999999999E-2</v>
      </c>
      <c r="AV90" s="94">
        <f>Sheet1!AT88</f>
        <v>0</v>
      </c>
      <c r="AW90" s="89">
        <f>Sheet1!AV88*GPMtoMGD</f>
        <v>0.70776000000000006</v>
      </c>
      <c r="AX90" s="89">
        <f>Sheet1!AW88*GPMtoMGD</f>
        <v>0.96379199999999998</v>
      </c>
      <c r="AY90" s="89">
        <f>Sheet1!AX88*GPMtoMGD</f>
        <v>0</v>
      </c>
      <c r="AZ90" s="89">
        <f>Sheet1!AY88*GPMtoMGD</f>
        <v>0</v>
      </c>
      <c r="BA90" s="89">
        <f>Sheet1!AZ88*GPMtoMGD</f>
        <v>0</v>
      </c>
      <c r="BB90" s="89">
        <f>Sheet1!BP88*GPMtoMGD</f>
        <v>4.6656000000000003E-2</v>
      </c>
      <c r="BC90" s="89">
        <f>Sheet1!CS88*GPMtoMGD</f>
        <v>0</v>
      </c>
      <c r="BD90" s="89">
        <f>Sheet1!BO88*GPMtoMGD</f>
        <v>1.5501600000000002</v>
      </c>
      <c r="BE90" s="89">
        <f>Sheet1!BW88*GPMtoMGD</f>
        <v>0.82569599999999999</v>
      </c>
      <c r="BF90" s="89">
        <f>Sheet1!CN88*GPMtoMGD</f>
        <v>0.23011200000000004</v>
      </c>
      <c r="BG90" s="89">
        <f>Sheet1!CO88*GPMtoMGD</f>
        <v>0.778752</v>
      </c>
      <c r="BH90" s="89">
        <f>Sheet1!CP88*GPMtoMGD</f>
        <v>0.65534400000000004</v>
      </c>
      <c r="BI90" s="89">
        <f t="shared" si="29"/>
        <v>1.5968160000000002</v>
      </c>
      <c r="BK90" s="94">
        <f>SUM(AT90:BA90,AS90,BC90,Calculation!AQ90)</f>
        <v>44.301571300307486</v>
      </c>
      <c r="BM90" s="358">
        <f>0</f>
        <v>0</v>
      </c>
      <c r="BN90" s="358">
        <f>0</f>
        <v>0</v>
      </c>
      <c r="BP90" s="94">
        <f>SUM(BM90:BN90,W90,Sheet1!DX88)</f>
        <v>0</v>
      </c>
      <c r="BR90" s="94">
        <f>Sheet1!AA88</f>
        <v>25.86</v>
      </c>
      <c r="BS90" s="94">
        <f>Sheet1!AB88</f>
        <v>29.18</v>
      </c>
      <c r="BT90" s="94">
        <f t="shared" ca="1" si="20"/>
        <v>0.46716764536468736</v>
      </c>
      <c r="BU90" s="94">
        <f>Sheet1!AT88</f>
        <v>0</v>
      </c>
      <c r="BV90" s="89">
        <f>Sheet1!BB88</f>
        <v>0</v>
      </c>
      <c r="BW90" s="94">
        <f>Calculation!ED90</f>
        <v>10.83657669969252</v>
      </c>
      <c r="BX90" s="94">
        <f>(Sheet1!CS88*1440)/1000000</f>
        <v>0</v>
      </c>
      <c r="CA90" s="94">
        <f ca="1">Sheet1!AC88-Sheet1!BK88-Sheet1!BL88-Sheet1!BM88-Sheet1!BC88-Sheet1!BD88-Sheet1!BE88-Sheet1!BF88-Sheet1!BG88-Sheet1!BH88-Sheet1!BI88+BC90+P90</f>
        <v>44.637167645364684</v>
      </c>
      <c r="CB90" s="93">
        <f t="shared" si="21"/>
        <v>68.382695845575668</v>
      </c>
      <c r="CC90" s="94">
        <f t="shared" si="22"/>
        <v>0</v>
      </c>
      <c r="CD90" s="94">
        <f t="shared" ca="1" si="23"/>
        <v>55.473744345057206</v>
      </c>
      <c r="CE90" s="1077">
        <f t="shared" ca="1" si="24"/>
        <v>85.817882501803496</v>
      </c>
      <c r="CG90" s="1077">
        <f t="shared" ca="1" si="25"/>
        <v>44.637167645364684</v>
      </c>
    </row>
    <row r="91" spans="1:85" s="89" customFormat="1" x14ac:dyDescent="0.25">
      <c r="A91" s="616" t="s">
        <v>5</v>
      </c>
      <c r="B91" s="91">
        <v>42815</v>
      </c>
      <c r="C91" s="92">
        <v>0</v>
      </c>
      <c r="D91" s="94">
        <f>(Sheet1!BQ89-Sheet1!BQ88)*1.385</f>
        <v>0.38780000000000159</v>
      </c>
      <c r="E91" s="30">
        <f>(Sheet1!BR89-Sheet1!BR88)*1.385</f>
        <v>0.40165000000000373</v>
      </c>
      <c r="F91" s="30">
        <f ca="1">IF(B91=TODAY(),0,-(VLOOKUP(Sheet1!CD89,Lookup!$I$4:$J$216,2)-VLOOKUP(Sheet1!CD88,Lookup!$I$4:$J$216,2))/1000000)</f>
        <v>0.62182163128680368</v>
      </c>
      <c r="G91" s="94">
        <f ca="1">IF(B91=TODAY(),0,-$G$6*(Sheet1!CF89-Sheet1!CF88)*7.48/1000000)</f>
        <v>0.5559890147358304</v>
      </c>
      <c r="H91" s="94">
        <f ca="1">IF(B91=TODAY(),0,-$H$6*(Sheet1!CE89-Sheet1!CE88)*7.48/1000000)</f>
        <v>0</v>
      </c>
      <c r="I91" s="94">
        <f ca="1">IF(B91=TODAY(),0,-$I$6*(Sheet1!CG89-Sheet1!CG88)*7.48/1000000)</f>
        <v>-1.3477463999999953E-2</v>
      </c>
      <c r="J91" s="95" t="s">
        <v>177</v>
      </c>
      <c r="K91" s="94">
        <f ca="1">IF(B91=TODAY(),0,-$K$6*(Sheet1!CH89-Sheet1!CH88)*7.48/1000000)</f>
        <v>-2.6653281497833796E-2</v>
      </c>
      <c r="L91" s="95" t="s">
        <v>177</v>
      </c>
      <c r="M91" s="94">
        <f ca="1">IF(B91=TODAY(),0,-$M$6*(Sheet1!CI89-Sheet1!CI88)*7.48/1000000)</f>
        <v>-7.1966033712107941E-2</v>
      </c>
      <c r="N91" s="94">
        <f ca="1">IF(B91=TODAY(),0,-$N$6*(Sheet1!CJ89-Sheet1!CJ88)*7.48/1000000)</f>
        <v>0.37851930690720542</v>
      </c>
      <c r="O91" s="94">
        <f t="shared" ca="1" si="26"/>
        <v>1.4442331737198979</v>
      </c>
      <c r="P91" s="94">
        <f ca="1">O91+Calculation!ES91</f>
        <v>0.61326684357592465</v>
      </c>
      <c r="Q91" s="89" t="str">
        <f>IF(Sheet1!BQ89&gt;25.75,"spill elevation","-")</f>
        <v>-</v>
      </c>
      <c r="R91" s="89" t="str">
        <f>IF(Sheet1!BQ89&gt;25.75,"spill elevation","-")</f>
        <v>-</v>
      </c>
      <c r="S91" s="89" t="str">
        <f>IF(Sheet1!BR89&gt;25.75,"spill elevation","-")</f>
        <v>-</v>
      </c>
      <c r="T91" s="93">
        <f>IF(Sheet1!DU89=1,Sheet1!AA89-(SUM(AT91:BA91)+BE91),Sheet1!AA89-SUM(AT91:BA91))</f>
        <v>24.420656000000001</v>
      </c>
      <c r="U91" s="93">
        <f>Sheet1!BV89</f>
        <v>27.5</v>
      </c>
      <c r="V91" s="93">
        <f t="shared" si="27"/>
        <v>-3.079343999999999</v>
      </c>
      <c r="W91" s="93">
        <f>0</f>
        <v>0</v>
      </c>
      <c r="X91" s="89">
        <f>0</f>
        <v>0</v>
      </c>
      <c r="Y91" s="94">
        <f ca="1">Calculation!EJ92+Calculation!ES91+'Calculations II'!O91-'Calculations II'!W91</f>
        <v>44.210090175718598</v>
      </c>
      <c r="Z91" s="94">
        <f ca="1">Y91-Sheet1!CT90</f>
        <v>27.0980901757186</v>
      </c>
      <c r="AA91" s="94">
        <f ca="1">Y91+Calculation!DJ92+Calculation!AS92</f>
        <v>54.727371971229822</v>
      </c>
      <c r="AC91" s="94">
        <f>Sheet1!AA89+Sheet1!AB89+BC91</f>
        <v>53.86</v>
      </c>
      <c r="AD91" s="94">
        <f>Sheet1!AA89+Sheet1!BN89+'Calculations II'!BC91-Calculation!AS91-Calculation!DJ91</f>
        <v>33.038576512455521</v>
      </c>
      <c r="AE91" s="94">
        <f>Sheet1!AA89+Sheet1!AB89+'Calculations II'!BC91-Calculation!AS91-Calculation!DJ91</f>
        <v>43.408576512455518</v>
      </c>
      <c r="AF91" s="94">
        <f ca="1">Sheet1!AA89+Sheet1!BN89+P91+'Calculations II'!BC91+Calculation!AS91+Calculation!DJ91</f>
        <v>54.554690331120405</v>
      </c>
      <c r="AG91" s="94">
        <f ca="1">IF(B91=TODAY(),0,Sheet1!AA89+Sheet1!BN89+'Calculations II'!BC91+'Calculations II'!P91-Sheet1!CT89-BP91)</f>
        <v>27.816266843575924</v>
      </c>
      <c r="AH91" s="94">
        <f ca="1">IF(B91=TODAY(),0,Sheet1!AA89+Sheet1!BN89+'Calculations II'!BC91+'Calculations II'!P91-BP91)</f>
        <v>44.103266843575923</v>
      </c>
      <c r="AI91" s="94">
        <f ca="1">IF(B91=TODAY(),0,BC91+Sheet1!AA89+Calculation!ES91+O91+W91+Sheet1!BN89+Calculation!AS91+Calculation!DJ91-BP91)</f>
        <v>54.554690331120405</v>
      </c>
      <c r="AJ91" s="94"/>
      <c r="AM91" s="90">
        <f t="shared" si="28"/>
        <v>42815</v>
      </c>
      <c r="AN91" s="94">
        <f>Sheet1!BU89</f>
        <v>24</v>
      </c>
      <c r="AO91" s="94">
        <f>Sheet1!AA89</f>
        <v>25.89</v>
      </c>
      <c r="AP91" s="94">
        <f t="shared" si="17"/>
        <v>0.78945000000000531</v>
      </c>
      <c r="AQ91" s="1087">
        <f>((Sheet1!BV89-(Sheet1!BU89-AP91))/(Sheet1!BU89-AP91))</f>
        <v>0.18480604725006547</v>
      </c>
      <c r="AR91" s="94">
        <f t="shared" si="18"/>
        <v>25.100549999999995</v>
      </c>
      <c r="AS91" s="94">
        <f t="shared" si="19"/>
        <v>23.210549999999994</v>
      </c>
      <c r="AT91" s="89">
        <f>Sheet1!BB89</f>
        <v>0</v>
      </c>
      <c r="AU91" s="89">
        <f>Sheet1!AS89*GPMtoMGD</f>
        <v>4.176E-3</v>
      </c>
      <c r="AV91" s="94">
        <f>Sheet1!AT89</f>
        <v>0.57999999999999996</v>
      </c>
      <c r="AW91" s="89">
        <f>Sheet1!AV89*GPMtoMGD</f>
        <v>0.42422400000000005</v>
      </c>
      <c r="AX91" s="89">
        <f>Sheet1!AW89*GPMtoMGD</f>
        <v>0.46094400000000008</v>
      </c>
      <c r="AY91" s="89">
        <f>Sheet1!AX89*GPMtoMGD</f>
        <v>0</v>
      </c>
      <c r="AZ91" s="89">
        <f>Sheet1!AY89*GPMtoMGD</f>
        <v>0</v>
      </c>
      <c r="BA91" s="89">
        <f>Sheet1!AZ89*GPMtoMGD</f>
        <v>0</v>
      </c>
      <c r="BB91" s="89">
        <f>Sheet1!BP89*GPMtoMGD</f>
        <v>2.8800000000000002E-3</v>
      </c>
      <c r="BC91" s="89">
        <f>Sheet1!CS89*GPMtoMGD</f>
        <v>0</v>
      </c>
      <c r="BD91" s="89">
        <f>Sheet1!BO89*GPMtoMGD</f>
        <v>1.5154560000000001</v>
      </c>
      <c r="BE91" s="89">
        <f>Sheet1!BW89*GPMtoMGD</f>
        <v>0.60998400000000008</v>
      </c>
      <c r="BF91" s="89">
        <f>Sheet1!CN89*GPMtoMGD</f>
        <v>0.22795200000000004</v>
      </c>
      <c r="BG91" s="89">
        <f>Sheet1!CO89*GPMtoMGD</f>
        <v>0.73382400000000003</v>
      </c>
      <c r="BH91" s="89">
        <f>Sheet1!CP89*GPMtoMGD</f>
        <v>0.65332800000000002</v>
      </c>
      <c r="BI91" s="89">
        <f t="shared" si="29"/>
        <v>1.5183360000000001</v>
      </c>
      <c r="BK91" s="94">
        <f>SUM(AT91:BA91,AS91,BC91,Calculation!AQ91)</f>
        <v>42.198470512455515</v>
      </c>
      <c r="BM91" s="358">
        <f>0</f>
        <v>0</v>
      </c>
      <c r="BN91" s="358">
        <f>0</f>
        <v>0</v>
      </c>
      <c r="BP91" s="94">
        <f>SUM(BM91:BN91,W91,Sheet1!DX89)</f>
        <v>0</v>
      </c>
      <c r="BR91" s="94">
        <f>Sheet1!AA89</f>
        <v>25.89</v>
      </c>
      <c r="BS91" s="94">
        <f>Sheet1!AB89</f>
        <v>27.97</v>
      </c>
      <c r="BT91" s="94">
        <f t="shared" ca="1" si="20"/>
        <v>0.61326684357592465</v>
      </c>
      <c r="BU91" s="94">
        <f>Sheet1!AT89</f>
        <v>0.57999999999999996</v>
      </c>
      <c r="BV91" s="89">
        <f>Sheet1!BB89</f>
        <v>0</v>
      </c>
      <c r="BW91" s="94">
        <f>Calculation!ED91</f>
        <v>10.451423487544483</v>
      </c>
      <c r="BX91" s="94">
        <f>(Sheet1!CS89*1440)/1000000</f>
        <v>0</v>
      </c>
      <c r="CA91" s="94">
        <f ca="1">Sheet1!AC89-Sheet1!BK89-Sheet1!BL89-Sheet1!BM89-Sheet1!BC89-Sheet1!BD89-Sheet1!BE89-Sheet1!BF89-Sheet1!BG89-Sheet1!BH89-Sheet1!BI89+BC91+P91</f>
        <v>43.973266843575921</v>
      </c>
      <c r="CB91" s="93">
        <f t="shared" si="21"/>
        <v>67.153067864768687</v>
      </c>
      <c r="CC91" s="94">
        <f t="shared" si="22"/>
        <v>0.57999999999999996</v>
      </c>
      <c r="CD91" s="94">
        <f t="shared" ca="1" si="23"/>
        <v>54.424690331120402</v>
      </c>
      <c r="CE91" s="1077">
        <f t="shared" ca="1" si="24"/>
        <v>84.194995942243253</v>
      </c>
      <c r="CG91" s="1077">
        <f t="shared" ca="1" si="25"/>
        <v>43.393266843575923</v>
      </c>
    </row>
    <row r="92" spans="1:85" s="89" customFormat="1" x14ac:dyDescent="0.25">
      <c r="A92" s="616" t="s">
        <v>6</v>
      </c>
      <c r="B92" s="91">
        <v>42816</v>
      </c>
      <c r="C92" s="92">
        <v>0</v>
      </c>
      <c r="D92" s="94">
        <f>(Sheet1!BQ90-Sheet1!BQ89)*1.385</f>
        <v>-1.1772500000000019</v>
      </c>
      <c r="E92" s="30">
        <f>(Sheet1!BR90-Sheet1!BR89)*1.385</f>
        <v>-1.2188000000000037</v>
      </c>
      <c r="F92" s="30">
        <f ca="1">IF(B92=TODAY(),0,-(VLOOKUP(Sheet1!CD90,Lookup!$I$4:$J$216,2)-VLOOKUP(Sheet1!CD89,Lookup!$I$4:$J$216,2))/1000000)</f>
        <v>1.0363693854779992</v>
      </c>
      <c r="G92" s="94">
        <f ca="1">IF(B92=TODAY(),0,-$G$6*(Sheet1!CF90-Sheet1!CF89)*7.48/1000000)</f>
        <v>-0.87369702315630493</v>
      </c>
      <c r="H92" s="94">
        <f ca="1">IF(B92=TODAY(),0,-$H$6*(Sheet1!CE90-Sheet1!CE89)*7.48/1000000)</f>
        <v>4.5118297053795817E-2</v>
      </c>
      <c r="I92" s="94">
        <f ca="1">IF(B92=TODAY(),0,-$I$6*(Sheet1!CG90-Sheet1!CG89)*7.48/1000000)</f>
        <v>1.3477463999999953E-2</v>
      </c>
      <c r="J92" s="95" t="s">
        <v>177</v>
      </c>
      <c r="K92" s="94">
        <f ca="1">IF(B92=TODAY(),0,-$K$6*(Sheet1!CH90-Sheet1!CH89)*7.48/1000000)</f>
        <v>3.9979922246750635E-2</v>
      </c>
      <c r="L92" s="95" t="s">
        <v>177</v>
      </c>
      <c r="M92" s="94">
        <f ca="1">IF(B92=TODAY(),0,-$M$6*(Sheet1!CI90-Sheet1!CI89)*7.48/1000000)</f>
        <v>-1.7991508428027301E-2</v>
      </c>
      <c r="N92" s="94">
        <f ca="1">IF(B92=TODAY(),0,-$N$6*(Sheet1!CJ90-Sheet1!CJ89)*7.48/1000000)</f>
        <v>0.46539259045967929</v>
      </c>
      <c r="O92" s="94">
        <f t="shared" ca="1" si="26"/>
        <v>0.70864912765389265</v>
      </c>
      <c r="P92" s="94">
        <f ca="1">O92+Calculation!ES92</f>
        <v>3.062774973376166</v>
      </c>
      <c r="Q92" s="89" t="str">
        <f>IF(Sheet1!BQ90&gt;25.75,"spill elevation","-")</f>
        <v>-</v>
      </c>
      <c r="R92" s="89" t="str">
        <f>IF(Sheet1!BQ90&gt;25.75,"spill elevation","-")</f>
        <v>-</v>
      </c>
      <c r="S92" s="89" t="str">
        <f>IF(Sheet1!BR90&gt;25.75,"spill elevation","-")</f>
        <v>-</v>
      </c>
      <c r="T92" s="93">
        <f>IF(Sheet1!DU90=1,Sheet1!AA90-(SUM(AT92:BA92)+BE92),Sheet1!AA90-SUM(AT92:BA92))</f>
        <v>23.624544</v>
      </c>
      <c r="U92" s="93">
        <f>Sheet1!BV90</f>
        <v>30.1</v>
      </c>
      <c r="V92" s="93">
        <f t="shared" si="27"/>
        <v>-6.4754560000000012</v>
      </c>
      <c r="W92" s="93">
        <f>0</f>
        <v>0</v>
      </c>
      <c r="X92" s="89">
        <f>0</f>
        <v>0</v>
      </c>
      <c r="Y92" s="94">
        <f ca="1">Calculation!EJ93+Calculation!ES92+'Calculations II'!O92-'Calculations II'!W92</f>
        <v>47.378630740368315</v>
      </c>
      <c r="Z92" s="94">
        <f ca="1">Y92-Sheet1!CT91</f>
        <v>31.777630740368316</v>
      </c>
      <c r="AA92" s="94">
        <f ca="1">Y92+Calculation!DJ93+Calculation!AS93</f>
        <v>57.804425793371848</v>
      </c>
      <c r="AC92" s="94">
        <f>Sheet1!AA90+Sheet1!AB90+BC92</f>
        <v>53.730000000000004</v>
      </c>
      <c r="AD92" s="94">
        <f>Sheet1!AA90+Sheet1!BN90+'Calculations II'!BC92-Calculation!AS92-Calculation!DJ92</f>
        <v>32.782718204488773</v>
      </c>
      <c r="AE92" s="94">
        <f>Sheet1!AA90+Sheet1!AB90+'Calculations II'!BC92-Calculation!AS92-Calculation!DJ92</f>
        <v>43.21271820448878</v>
      </c>
      <c r="AF92" s="94">
        <f ca="1">Sheet1!AA90+Sheet1!BN90+P92+'Calculations II'!BC92+Calculation!AS92+Calculation!DJ92</f>
        <v>56.880056768887385</v>
      </c>
      <c r="AG92" s="94">
        <f ca="1">IF(B92=TODAY(),0,Sheet1!AA90+Sheet1!BN90+'Calculations II'!BC92+'Calculations II'!P92-Sheet1!CT90-BP92)</f>
        <v>29.250774973376164</v>
      </c>
      <c r="AH92" s="94">
        <f ca="1">IF(B92=TODAY(),0,Sheet1!AA90+Sheet1!BN90+'Calculations II'!BC92+'Calculations II'!P92-BP92)</f>
        <v>46.362774973376162</v>
      </c>
      <c r="AI92" s="94">
        <f ca="1">IF(B92=TODAY(),0,BC92+Sheet1!AA90+Calculation!ES92+O92+W92+Sheet1!BN90+Calculation!AS92+Calculation!DJ92-BP92)</f>
        <v>56.880056768887385</v>
      </c>
      <c r="AJ92" s="94"/>
      <c r="AM92" s="90">
        <f t="shared" si="28"/>
        <v>42816</v>
      </c>
      <c r="AN92" s="94">
        <f>Sheet1!BU90</f>
        <v>23.3</v>
      </c>
      <c r="AO92" s="94">
        <f>Sheet1!AA90</f>
        <v>25.8</v>
      </c>
      <c r="AP92" s="94">
        <f t="shared" si="17"/>
        <v>-2.3960500000000056</v>
      </c>
      <c r="AQ92" s="1087">
        <f>((Sheet1!BV90-(Sheet1!BU90-AP92))/(Sheet1!BU90-AP92))</f>
        <v>0.17138626364752535</v>
      </c>
      <c r="AR92" s="94">
        <f t="shared" si="18"/>
        <v>28.196050000000007</v>
      </c>
      <c r="AS92" s="94">
        <f t="shared" si="19"/>
        <v>25.696050000000007</v>
      </c>
      <c r="AT92" s="89">
        <f>Sheet1!BB90</f>
        <v>0</v>
      </c>
      <c r="AU92" s="89">
        <f>Sheet1!AS90*GPMtoMGD</f>
        <v>1.5120000000000001E-2</v>
      </c>
      <c r="AV92" s="94">
        <f>Sheet1!AT90</f>
        <v>0.93</v>
      </c>
      <c r="AW92" s="89">
        <f>Sheet1!AV90*GPMtoMGD</f>
        <v>0.48225600000000002</v>
      </c>
      <c r="AX92" s="89">
        <f>Sheet1!AW90*GPMtoMGD</f>
        <v>0.74808000000000008</v>
      </c>
      <c r="AY92" s="89">
        <f>Sheet1!AX90*GPMtoMGD</f>
        <v>0</v>
      </c>
      <c r="AZ92" s="89">
        <f>Sheet1!AY90*GPMtoMGD</f>
        <v>0</v>
      </c>
      <c r="BA92" s="89">
        <f>Sheet1!AZ90*GPMtoMGD</f>
        <v>0</v>
      </c>
      <c r="BB92" s="89">
        <f>Sheet1!BP90*GPMtoMGD</f>
        <v>2.8800000000000002E-3</v>
      </c>
      <c r="BC92" s="89">
        <f>Sheet1!CS90*GPMtoMGD</f>
        <v>0</v>
      </c>
      <c r="BD92" s="89">
        <f>Sheet1!BO90*GPMtoMGD</f>
        <v>1.3780800000000002</v>
      </c>
      <c r="BE92" s="89">
        <f>Sheet1!BW90*GPMtoMGD</f>
        <v>0.83332800000000007</v>
      </c>
      <c r="BF92" s="89">
        <f>Sheet1!CN90*GPMtoMGD</f>
        <v>0.29304000000000002</v>
      </c>
      <c r="BG92" s="89">
        <f>Sheet1!CO90*GPMtoMGD</f>
        <v>0.78969600000000006</v>
      </c>
      <c r="BH92" s="89">
        <f>Sheet1!CP90*GPMtoMGD</f>
        <v>0.65592000000000006</v>
      </c>
      <c r="BI92" s="89">
        <f t="shared" si="29"/>
        <v>1.3809600000000002</v>
      </c>
      <c r="BK92" s="94">
        <f>SUM(AT92:BA92,AS92,BC92,Calculation!AQ92)</f>
        <v>45.28422420448878</v>
      </c>
      <c r="BM92" s="358">
        <f>0</f>
        <v>0</v>
      </c>
      <c r="BN92" s="358">
        <f>0</f>
        <v>0</v>
      </c>
      <c r="BP92" s="94">
        <f>SUM(BM92:BN92,W92,Sheet1!DX90)</f>
        <v>0</v>
      </c>
      <c r="BR92" s="94">
        <f>Sheet1!AA90</f>
        <v>25.8</v>
      </c>
      <c r="BS92" s="94">
        <f>Sheet1!AB90</f>
        <v>27.93</v>
      </c>
      <c r="BT92" s="94">
        <f t="shared" ca="1" si="20"/>
        <v>3.062774973376166</v>
      </c>
      <c r="BU92" s="94">
        <f>Sheet1!AT90</f>
        <v>0.93</v>
      </c>
      <c r="BV92" s="89">
        <f>Sheet1!BB90</f>
        <v>0</v>
      </c>
      <c r="BW92" s="94">
        <f>Calculation!ED92</f>
        <v>10.517281795511222</v>
      </c>
      <c r="BX92" s="94">
        <f>(Sheet1!CS90*1440)/1000000</f>
        <v>0</v>
      </c>
      <c r="CA92" s="94">
        <f ca="1">Sheet1!AC90-Sheet1!BK90-Sheet1!BL90-Sheet1!BM90-Sheet1!BC90-Sheet1!BD90-Sheet1!BE90-Sheet1!BF90-Sheet1!BG90-Sheet1!BH90-Sheet1!BI90+BC92+P92</f>
        <v>46.222774973376161</v>
      </c>
      <c r="CB92" s="93">
        <f t="shared" si="21"/>
        <v>66.850075062344146</v>
      </c>
      <c r="CC92" s="94">
        <f t="shared" si="22"/>
        <v>0.93</v>
      </c>
      <c r="CD92" s="94">
        <f t="shared" ca="1" si="23"/>
        <v>56.740056768887385</v>
      </c>
      <c r="CE92" s="1077">
        <f t="shared" ca="1" si="24"/>
        <v>87.776867821468784</v>
      </c>
      <c r="CG92" s="1077">
        <f t="shared" ca="1" si="25"/>
        <v>45.292774973376162</v>
      </c>
    </row>
    <row r="93" spans="1:85" s="89" customFormat="1" x14ac:dyDescent="0.25">
      <c r="A93" s="616" t="s">
        <v>7</v>
      </c>
      <c r="B93" s="91">
        <v>42817</v>
      </c>
      <c r="C93" s="92">
        <v>0</v>
      </c>
      <c r="D93" s="94">
        <f>(Sheet1!BQ91-Sheet1!BQ90)*1.385</f>
        <v>-1.0525999999999973</v>
      </c>
      <c r="E93" s="30">
        <f>(Sheet1!BR91-Sheet1!BR90)*1.385</f>
        <v>-1.0387500000000001</v>
      </c>
      <c r="F93" s="30">
        <f ca="1">IF(B93=TODAY(),0,-(VLOOKUP(Sheet1!CD91,Lookup!$I$4:$J$216,2)-VLOOKUP(Sheet1!CD90,Lookup!$I$4:$J$216,2))/1000000)</f>
        <v>-0.82909550838240054</v>
      </c>
      <c r="G93" s="94">
        <f ca="1">IF(B93=TODAY(),0,-$G$6*(Sheet1!CF91-Sheet1!CF90)*7.48/1000000)</f>
        <v>0.59570251578838951</v>
      </c>
      <c r="H93" s="94">
        <f ca="1">IF(B93=TODAY(),0,-$H$6*(Sheet1!CE91-Sheet1!CE90)*7.48/1000000)</f>
        <v>-4.5118297053795817E-2</v>
      </c>
      <c r="I93" s="94">
        <f ca="1">IF(B93=TODAY(),0,-$I$6*(Sheet1!CG91-Sheet1!CG90)*7.48/1000000)</f>
        <v>1.1231220000000002E-2</v>
      </c>
      <c r="J93" s="95" t="s">
        <v>177</v>
      </c>
      <c r="K93" s="94">
        <f ca="1">IF(B93=TODAY(),0,-$K$6*(Sheet1!CH91-Sheet1!CH90)*7.48/1000000)</f>
        <v>1.8657297048483713E-2</v>
      </c>
      <c r="L93" s="95" t="s">
        <v>177</v>
      </c>
      <c r="M93" s="94">
        <f ca="1">IF(B93=TODAY(),0,-$M$6*(Sheet1!CI91-Sheet1!CI90)*7.48/1000000)</f>
        <v>7.1966033712107941E-2</v>
      </c>
      <c r="N93" s="94">
        <f ca="1">IF(B93=TODAY(),0,-$N$6*(Sheet1!CJ91-Sheet1!CJ90)*7.48/1000000)</f>
        <v>-0.72601244111709962</v>
      </c>
      <c r="O93" s="94">
        <f t="shared" ca="1" si="26"/>
        <v>-0.90266918000431484</v>
      </c>
      <c r="P93" s="94">
        <f ca="1">O93+Calculation!ES93</f>
        <v>1.1736925853451181</v>
      </c>
      <c r="Q93" s="89" t="str">
        <f>IF(Sheet1!BQ91&gt;25.75,"spill elevation","-")</f>
        <v>-</v>
      </c>
      <c r="R93" s="89" t="str">
        <f>IF(Sheet1!BQ91&gt;25.75,"spill elevation","-")</f>
        <v>-</v>
      </c>
      <c r="S93" s="89" t="str">
        <f>IF(Sheet1!BR91&gt;25.75,"spill elevation","-")</f>
        <v>-</v>
      </c>
      <c r="T93" s="93">
        <f>IF(Sheet1!DU91=1,Sheet1!AA91-(SUM(AT93:BA93)+BE93),Sheet1!AA91-SUM(AT93:BA93))</f>
        <v>24.055680000000002</v>
      </c>
      <c r="U93" s="93">
        <f>Sheet1!BV91</f>
        <v>30.3</v>
      </c>
      <c r="V93" s="93">
        <f t="shared" si="27"/>
        <v>-6.2443199999999983</v>
      </c>
      <c r="W93" s="93">
        <f>0</f>
        <v>0</v>
      </c>
      <c r="X93" s="89">
        <f>0</f>
        <v>0</v>
      </c>
      <c r="Y93" s="94">
        <f ca="1">Calculation!EJ94+Calculation!ES93+'Calculations II'!O93-'Calculations II'!W93</f>
        <v>45.102787350334495</v>
      </c>
      <c r="Z93" s="94">
        <f ca="1">Y93-Sheet1!CT92</f>
        <v>29.884787350334495</v>
      </c>
      <c r="AA93" s="94">
        <f ca="1">Y93+Calculation!DJ94+Calculation!AS94</f>
        <v>56.015388814073681</v>
      </c>
      <c r="AC93" s="94">
        <f>Sheet1!AA91+Sheet1!AB91+BC93</f>
        <v>53.900000000000006</v>
      </c>
      <c r="AD93" s="94">
        <f>Sheet1!AA91+Sheet1!BN91+'Calculations II'!BC93-Calculation!AS93-Calculation!DJ93</f>
        <v>33.174204946996468</v>
      </c>
      <c r="AE93" s="94">
        <f>Sheet1!AA91+Sheet1!AB91+'Calculations II'!BC93-Calculation!AS93-Calculation!DJ93</f>
        <v>43.474204946996473</v>
      </c>
      <c r="AF93" s="94">
        <f ca="1">Sheet1!AA91+Sheet1!BN91+P93+'Calculations II'!BC93+Calculation!AS93+Calculation!DJ93</f>
        <v>55.19948763834865</v>
      </c>
      <c r="AG93" s="94">
        <f ca="1">IF(B93=TODAY(),0,Sheet1!AA91+Sheet1!BN91+'Calculations II'!BC93+'Calculations II'!P93-Sheet1!CT91-BP93)</f>
        <v>29.172692585345118</v>
      </c>
      <c r="AH93" s="94">
        <f ca="1">IF(B93=TODAY(),0,Sheet1!AA91+Sheet1!BN91+'Calculations II'!BC93+'Calculations II'!P93-BP93)</f>
        <v>44.773692585345117</v>
      </c>
      <c r="AI93" s="94">
        <f ca="1">IF(B93=TODAY(),0,BC93+Sheet1!AA91+Calculation!ES93+O93+W93+Sheet1!BN91+Calculation!AS93+Calculation!DJ93-BP93)</f>
        <v>55.19948763834865</v>
      </c>
      <c r="AJ93" s="94"/>
      <c r="AM93" s="90">
        <f t="shared" si="28"/>
        <v>42817</v>
      </c>
      <c r="AN93" s="94">
        <f>Sheet1!BU91</f>
        <v>25.8</v>
      </c>
      <c r="AO93" s="94">
        <f>Sheet1!AA91</f>
        <v>25.8</v>
      </c>
      <c r="AP93" s="94">
        <f t="shared" si="17"/>
        <v>-2.0913499999999976</v>
      </c>
      <c r="AQ93" s="1087">
        <f>((Sheet1!BV91-(Sheet1!BU91-AP93))/(Sheet1!BU91-AP93))</f>
        <v>8.6358315391689588E-2</v>
      </c>
      <c r="AR93" s="94">
        <f t="shared" si="18"/>
        <v>27.891349999999999</v>
      </c>
      <c r="AS93" s="94">
        <f t="shared" si="19"/>
        <v>27.891349999999999</v>
      </c>
      <c r="AT93" s="89">
        <f>Sheet1!BB91</f>
        <v>0</v>
      </c>
      <c r="AU93" s="89">
        <f>Sheet1!AS91*GPMtoMGD</f>
        <v>3.0816E-2</v>
      </c>
      <c r="AV93" s="94">
        <f>Sheet1!AT91</f>
        <v>0.39</v>
      </c>
      <c r="AW93" s="89">
        <f>Sheet1!AV91*GPMtoMGD</f>
        <v>0.46296000000000004</v>
      </c>
      <c r="AX93" s="89">
        <f>Sheet1!AW91*GPMtoMGD</f>
        <v>0.86054400000000009</v>
      </c>
      <c r="AY93" s="89">
        <f>Sheet1!AX91*GPMtoMGD</f>
        <v>0</v>
      </c>
      <c r="AZ93" s="89">
        <f>Sheet1!AY91*GPMtoMGD</f>
        <v>0</v>
      </c>
      <c r="BA93" s="89">
        <f>Sheet1!AZ91*GPMtoMGD</f>
        <v>0</v>
      </c>
      <c r="BB93" s="89">
        <f>Sheet1!BP91*GPMtoMGD</f>
        <v>2.8800000000000002E-3</v>
      </c>
      <c r="BC93" s="89">
        <f>Sheet1!CS91*GPMtoMGD</f>
        <v>0</v>
      </c>
      <c r="BD93" s="89">
        <f>Sheet1!BO91*GPMtoMGD</f>
        <v>1.3619520000000001</v>
      </c>
      <c r="BE93" s="89">
        <f>Sheet1!BW91*GPMtoMGD</f>
        <v>0.86356800000000011</v>
      </c>
      <c r="BF93" s="89">
        <f>Sheet1!CN91*GPMtoMGD</f>
        <v>0.20937600000000003</v>
      </c>
      <c r="BG93" s="89">
        <f>Sheet1!CO91*GPMtoMGD</f>
        <v>0.78336000000000006</v>
      </c>
      <c r="BH93" s="89">
        <f>Sheet1!CP91*GPMtoMGD</f>
        <v>0.6585120000000001</v>
      </c>
      <c r="BI93" s="89">
        <f t="shared" si="29"/>
        <v>1.364832</v>
      </c>
      <c r="BK93" s="94">
        <f>SUM(AT93:BA93,AS93,BC93,Calculation!AQ93)</f>
        <v>47.309874946996466</v>
      </c>
      <c r="BM93" s="358">
        <f>0</f>
        <v>0</v>
      </c>
      <c r="BN93" s="358">
        <f>0</f>
        <v>0</v>
      </c>
      <c r="BP93" s="94">
        <f>SUM(BM93:BN93,W93,Sheet1!DX91)</f>
        <v>0</v>
      </c>
      <c r="BR93" s="94">
        <f>Sheet1!AA91</f>
        <v>25.8</v>
      </c>
      <c r="BS93" s="94">
        <f>Sheet1!AB91</f>
        <v>28.1</v>
      </c>
      <c r="BT93" s="94">
        <f t="shared" ca="1" si="20"/>
        <v>1.1736925853451181</v>
      </c>
      <c r="BU93" s="94">
        <f>Sheet1!AT91</f>
        <v>0.39</v>
      </c>
      <c r="BV93" s="89">
        <f>Sheet1!BB91</f>
        <v>0</v>
      </c>
      <c r="BW93" s="94">
        <f>Calculation!ED93</f>
        <v>10.425795053003535</v>
      </c>
      <c r="BX93" s="94">
        <f>(Sheet1!CS91*1440)/1000000</f>
        <v>0</v>
      </c>
      <c r="CA93" s="94">
        <f ca="1">Sheet1!AC91-Sheet1!BK91-Sheet1!BL91-Sheet1!BM91-Sheet1!BC91-Sheet1!BD91-Sheet1!BE91-Sheet1!BF91-Sheet1!BG91-Sheet1!BH91-Sheet1!BI91+BC93+P93</f>
        <v>44.573692585345121</v>
      </c>
      <c r="CB93" s="93">
        <f t="shared" si="21"/>
        <v>67.254595053003541</v>
      </c>
      <c r="CC93" s="94">
        <f t="shared" si="22"/>
        <v>0.39</v>
      </c>
      <c r="CD93" s="94">
        <f t="shared" ca="1" si="23"/>
        <v>54.999487638348654</v>
      </c>
      <c r="CE93" s="1077">
        <f t="shared" ca="1" si="24"/>
        <v>85.08420737652537</v>
      </c>
      <c r="CG93" s="1077">
        <f t="shared" ca="1" si="25"/>
        <v>44.183692585345121</v>
      </c>
    </row>
    <row r="94" spans="1:85" s="89" customFormat="1" x14ac:dyDescent="0.25">
      <c r="A94" s="616" t="s">
        <v>8</v>
      </c>
      <c r="B94" s="91">
        <v>42818</v>
      </c>
      <c r="C94" s="92">
        <v>0</v>
      </c>
      <c r="D94" s="94">
        <f>(Sheet1!BQ92-Sheet1!BQ91)*1.385</f>
        <v>1.4680999999999982</v>
      </c>
      <c r="E94" s="30">
        <f>(Sheet1!BR92-Sheet1!BR91)*1.385</f>
        <v>1.4265500000000015</v>
      </c>
      <c r="F94" s="30">
        <f ca="1">IF(B94=TODAY(),0,-(VLOOKUP(Sheet1!CD92,Lookup!$I$4:$J$216,2)-VLOOKUP(Sheet1!CD91,Lookup!$I$4:$J$216,2))/1000000)</f>
        <v>-0.62182163128679613</v>
      </c>
      <c r="G94" s="94">
        <f ca="1">IF(B94=TODAY(),0,-$G$6*(Sheet1!CF92-Sheet1!CF91)*7.48/1000000)</f>
        <v>0.6751295178935085</v>
      </c>
      <c r="H94" s="94">
        <f ca="1">IF(B94=TODAY(),0,-$H$6*(Sheet1!CE92-Sheet1!CE91)*7.48/1000000)</f>
        <v>0</v>
      </c>
      <c r="I94" s="94">
        <f ca="1">IF(B94=TODAY(),0,-$I$6*(Sheet1!CG92-Sheet1!CG91)*7.48/1000000)</f>
        <v>-1.5723707999999986E-2</v>
      </c>
      <c r="J94" s="95" t="s">
        <v>177</v>
      </c>
      <c r="K94" s="94">
        <f ca="1">IF(B94=TODAY(),0,-$K$6*(Sheet1!CH92-Sheet1!CH91)*7.48/1000000)</f>
        <v>-3.1983937797400552E-2</v>
      </c>
      <c r="L94" s="95" t="s">
        <v>177</v>
      </c>
      <c r="M94" s="94">
        <f ca="1">IF(B94=TODAY(),0,-$M$6*(Sheet1!CI92-Sheet1!CI91)*7.48/1000000)</f>
        <v>-0.10794905056816191</v>
      </c>
      <c r="N94" s="94">
        <f ca="1">IF(B94=TODAY(),0,-$N$6*(Sheet1!CJ92-Sheet1!CJ91)*7.48/1000000)</f>
        <v>-0.3164669615125818</v>
      </c>
      <c r="O94" s="94">
        <f t="shared" ca="1" si="26"/>
        <v>-0.41881577127143188</v>
      </c>
      <c r="P94" s="94">
        <f ca="1">O94+Calculation!ES94</f>
        <v>-3.3259323987203522</v>
      </c>
      <c r="Q94" s="89" t="str">
        <f>IF(Sheet1!BQ92&gt;25.75,"spill elevation","-")</f>
        <v>-</v>
      </c>
      <c r="R94" s="89" t="str">
        <f>IF(Sheet1!BQ92&gt;25.75,"spill elevation","-")</f>
        <v>-</v>
      </c>
      <c r="S94" s="89" t="str">
        <f>IF(Sheet1!BR92&gt;25.75,"spill elevation","-")</f>
        <v>-</v>
      </c>
      <c r="T94" s="93">
        <f>IF(Sheet1!DU92=1,Sheet1!AA92-(SUM(AT94:BA94)+BE94),Sheet1!AA92-SUM(AT94:BA94))</f>
        <v>25.139488</v>
      </c>
      <c r="U94" s="93">
        <f>Sheet1!BV92</f>
        <v>25.7</v>
      </c>
      <c r="V94" s="93">
        <f t="shared" si="27"/>
        <v>-0.56051199999999923</v>
      </c>
      <c r="W94" s="93">
        <f>0</f>
        <v>0</v>
      </c>
      <c r="X94" s="89">
        <f>0</f>
        <v>0</v>
      </c>
      <c r="Y94" s="94">
        <f ca="1">Calculation!EJ95+Calculation!ES94+'Calculations II'!O94-'Calculations II'!W94</f>
        <v>40.597408008428083</v>
      </c>
      <c r="Z94" s="94">
        <f ca="1">Y94-Sheet1!CT93</f>
        <v>25.060408008428084</v>
      </c>
      <c r="AA94" s="94">
        <f ca="1">Y94+Calculation!DJ95+Calculation!AS95</f>
        <v>51.537255082896166</v>
      </c>
      <c r="AC94" s="94">
        <f>Sheet1!AA92+Sheet1!AB92+BC94</f>
        <v>55.8</v>
      </c>
      <c r="AD94" s="94">
        <f>Sheet1!AA92+Sheet1!BN92+'Calculations II'!BC94-Calculation!AS94-Calculation!DJ94</f>
        <v>34.057398536260813</v>
      </c>
      <c r="AE94" s="94">
        <f>Sheet1!AA92+Sheet1!AB92+'Calculations II'!BC94-Calculation!AS94-Calculation!DJ94</f>
        <v>44.887398536260811</v>
      </c>
      <c r="AF94" s="94">
        <f ca="1">Sheet1!AA92+Sheet1!BN92+P94+'Calculations II'!BC94+Calculation!AS94+Calculation!DJ94</f>
        <v>52.556669065018831</v>
      </c>
      <c r="AG94" s="94">
        <f ca="1">IF(B94=TODAY(),0,Sheet1!AA92+Sheet1!BN92+'Calculations II'!BC94+'Calculations II'!P94-Sheet1!CT92-BP94)</f>
        <v>26.426067601279644</v>
      </c>
      <c r="AH94" s="94">
        <f ca="1">IF(B94=TODAY(),0,Sheet1!AA92+Sheet1!BN92+'Calculations II'!BC94+'Calculations II'!P94-BP94)</f>
        <v>41.644067601279644</v>
      </c>
      <c r="AI94" s="94">
        <f ca="1">IF(B94=TODAY(),0,BC94+Sheet1!AA92+Calculation!ES94+O94+W94+Sheet1!BN92+Calculation!AS94+Calculation!DJ94-BP94)</f>
        <v>52.556669065018831</v>
      </c>
      <c r="AJ94" s="94"/>
      <c r="AM94" s="90">
        <f t="shared" si="28"/>
        <v>42818</v>
      </c>
      <c r="AN94" s="94">
        <f>Sheet1!BU92</f>
        <v>24.6</v>
      </c>
      <c r="AO94" s="94">
        <f>Sheet1!AA92</f>
        <v>25.87</v>
      </c>
      <c r="AP94" s="94">
        <f t="shared" si="17"/>
        <v>2.8946499999999995</v>
      </c>
      <c r="AQ94" s="1087">
        <f>((Sheet1!BV92-(Sheet1!BU92-AP94))/(Sheet1!BU92-AP94))</f>
        <v>0.18403987956886186</v>
      </c>
      <c r="AR94" s="94">
        <f t="shared" si="18"/>
        <v>22.975350000000002</v>
      </c>
      <c r="AS94" s="94">
        <f t="shared" si="19"/>
        <v>21.705350000000003</v>
      </c>
      <c r="AT94" s="89">
        <f>Sheet1!BB92</f>
        <v>0</v>
      </c>
      <c r="AU94" s="89">
        <f>Sheet1!AS92*GPMtoMGD</f>
        <v>1.5408E-2</v>
      </c>
      <c r="AV94" s="94">
        <f>Sheet1!AT92</f>
        <v>0</v>
      </c>
      <c r="AW94" s="89">
        <f>Sheet1!AV92*GPMtoMGD</f>
        <v>0.28223999999999999</v>
      </c>
      <c r="AX94" s="89">
        <f>Sheet1!AW92*GPMtoMGD</f>
        <v>0.43286400000000008</v>
      </c>
      <c r="AY94" s="89">
        <f>Sheet1!AX92*GPMtoMGD</f>
        <v>0</v>
      </c>
      <c r="AZ94" s="89">
        <f>Sheet1!AY92*GPMtoMGD</f>
        <v>0</v>
      </c>
      <c r="BA94" s="89">
        <f>Sheet1!AZ92*GPMtoMGD</f>
        <v>0</v>
      </c>
      <c r="BB94" s="89">
        <f>Sheet1!BP92*GPMtoMGD</f>
        <v>2.8800000000000002E-3</v>
      </c>
      <c r="BC94" s="89">
        <f>Sheet1!CS92*GPMtoMGD</f>
        <v>0</v>
      </c>
      <c r="BD94" s="89">
        <f>Sheet1!BO92*GPMtoMGD</f>
        <v>1.4880960000000003</v>
      </c>
      <c r="BE94" s="89">
        <f>Sheet1!BW92*GPMtoMGD</f>
        <v>0.61444799999999999</v>
      </c>
      <c r="BF94" s="89">
        <f>Sheet1!CN92*GPMtoMGD</f>
        <v>0.241344</v>
      </c>
      <c r="BG94" s="89">
        <f>Sheet1!CO92*GPMtoMGD</f>
        <v>0.84715200000000002</v>
      </c>
      <c r="BH94" s="89">
        <f>Sheet1!CP92*GPMtoMGD</f>
        <v>0.67003200000000007</v>
      </c>
      <c r="BI94" s="89">
        <f t="shared" si="29"/>
        <v>1.4909760000000003</v>
      </c>
      <c r="BK94" s="94">
        <f>SUM(AT94:BA94,AS94,BC94,Calculation!AQ94)</f>
        <v>41.453260536260814</v>
      </c>
      <c r="BM94" s="358">
        <f>0</f>
        <v>0</v>
      </c>
      <c r="BN94" s="358">
        <f>0</f>
        <v>0</v>
      </c>
      <c r="BP94" s="94">
        <f>SUM(BM94:BN94,W94,Sheet1!DX92)</f>
        <v>0</v>
      </c>
      <c r="BR94" s="94">
        <f>Sheet1!AA92</f>
        <v>25.87</v>
      </c>
      <c r="BS94" s="94">
        <f>Sheet1!AB92</f>
        <v>29.93</v>
      </c>
      <c r="BT94" s="94">
        <f t="shared" ca="1" si="20"/>
        <v>-3.3259323987203522</v>
      </c>
      <c r="BU94" s="94">
        <f>Sheet1!AT92</f>
        <v>0</v>
      </c>
      <c r="BV94" s="89">
        <f>Sheet1!BB92</f>
        <v>0</v>
      </c>
      <c r="BW94" s="94">
        <f>Calculation!ED94</f>
        <v>10.912601463739186</v>
      </c>
      <c r="BX94" s="94">
        <f>(Sheet1!CS92*1440)/1000000</f>
        <v>0</v>
      </c>
      <c r="CA94" s="94">
        <f ca="1">Sheet1!AC92-Sheet1!BK92-Sheet1!BL92-Sheet1!BM92-Sheet1!BC92-Sheet1!BD92-Sheet1!BE92-Sheet1!BF92-Sheet1!BG92-Sheet1!BH92-Sheet1!BI92+BC94+P94</f>
        <v>41.514067601279642</v>
      </c>
      <c r="CB94" s="93">
        <f t="shared" si="21"/>
        <v>69.440805535595473</v>
      </c>
      <c r="CC94" s="94">
        <f t="shared" si="22"/>
        <v>0</v>
      </c>
      <c r="CD94" s="94">
        <f t="shared" ca="1" si="23"/>
        <v>52.426669065018828</v>
      </c>
      <c r="CE94" s="1077">
        <f t="shared" ca="1" si="24"/>
        <v>81.10405704358412</v>
      </c>
      <c r="CG94" s="1077">
        <f t="shared" ca="1" si="25"/>
        <v>41.514067601279642</v>
      </c>
    </row>
    <row r="95" spans="1:85" s="89" customFormat="1" x14ac:dyDescent="0.25">
      <c r="A95" s="616" t="s">
        <v>9</v>
      </c>
      <c r="B95" s="91">
        <v>42819</v>
      </c>
      <c r="C95" s="92">
        <v>0</v>
      </c>
      <c r="D95" s="94">
        <f>(Sheet1!BQ93-Sheet1!BQ92)*1.385</f>
        <v>0.19390000000000079</v>
      </c>
      <c r="E95" s="30">
        <f>(Sheet1!BR93-Sheet1!BR92)*1.385</f>
        <v>0.29085000000000116</v>
      </c>
      <c r="F95" s="30">
        <f ca="1">IF(B95=TODAY(),0,-(VLOOKUP(Sheet1!CD93,Lookup!$I$4:$J$216,2)-VLOOKUP(Sheet1!CD92,Lookup!$I$4:$J$216,2))/1000000)</f>
        <v>0.41454775419119744</v>
      </c>
      <c r="G95" s="94">
        <f ca="1">IF(B95=TODAY(),0,-$G$6*(Sheet1!CF93-Sheet1!CF92)*7.48/1000000)</f>
        <v>-1.1516915305242199</v>
      </c>
      <c r="H95" s="94">
        <f ca="1">IF(B95=TODAY(),0,-$H$6*(Sheet1!CE93-Sheet1!CE92)*7.48/1000000)</f>
        <v>0</v>
      </c>
      <c r="I95" s="94">
        <f ca="1">IF(B95=TODAY(),0,-$I$6*(Sheet1!CG93-Sheet1!CG92)*7.48/1000000)</f>
        <v>0</v>
      </c>
      <c r="J95" s="95" t="s">
        <v>177</v>
      </c>
      <c r="K95" s="94">
        <f ca="1">IF(B95=TODAY(),0,-$K$6*(Sheet1!CH93-Sheet1!CH92)*7.48/1000000)</f>
        <v>-6.6633203744584186E-3</v>
      </c>
      <c r="L95" s="95" t="s">
        <v>177</v>
      </c>
      <c r="M95" s="94">
        <f ca="1">IF(B95=TODAY(),0,-$M$6*(Sheet1!CI93-Sheet1!CI92)*7.48/1000000)</f>
        <v>8.9957542140135238E-2</v>
      </c>
      <c r="N95" s="94">
        <f ca="1">IF(B95=TODAY(),0,-$N$6*(Sheet1!CJ93-Sheet1!CJ92)*7.48/1000000)</f>
        <v>0.18615703618387214</v>
      </c>
      <c r="O95" s="94">
        <f t="shared" ca="1" si="26"/>
        <v>-0.46769251838347342</v>
      </c>
      <c r="P95" s="94">
        <f ca="1">O95+Calculation!ES95</f>
        <v>-0.88313402859633072</v>
      </c>
      <c r="Q95" s="89" t="str">
        <f>IF(Sheet1!BQ93&gt;25.75,"spill elevation","-")</f>
        <v>-</v>
      </c>
      <c r="R95" s="89" t="str">
        <f>IF(Sheet1!BQ93&gt;25.75,"spill elevation","-")</f>
        <v>-</v>
      </c>
      <c r="S95" s="89" t="str">
        <f>IF(Sheet1!BR93&gt;25.75,"spill elevation","-")</f>
        <v>-</v>
      </c>
      <c r="T95" s="93">
        <f>IF(Sheet1!DU93=1,Sheet1!AA93-(SUM(AT95:BA95)+BE95),Sheet1!AA93-SUM(AT95:BA95))</f>
        <v>24.349119999999999</v>
      </c>
      <c r="U95" s="93">
        <f>Sheet1!BV93</f>
        <v>27.9</v>
      </c>
      <c r="V95" s="93">
        <f t="shared" si="27"/>
        <v>-3.5508799999999994</v>
      </c>
      <c r="W95" s="93">
        <f>0</f>
        <v>0</v>
      </c>
      <c r="X95" s="89">
        <f>0</f>
        <v>0</v>
      </c>
      <c r="Y95" s="94">
        <f ca="1">Calculation!EJ96+Calculation!ES95+'Calculations II'!O95-'Calculations II'!W95</f>
        <v>43.398551014244063</v>
      </c>
      <c r="Z95" s="94">
        <f ca="1">Y95-Sheet1!CT94</f>
        <v>27.966551014244061</v>
      </c>
      <c r="AA95" s="94">
        <f ca="1">Y95+Calculation!DJ96+Calculation!AS96</f>
        <v>54.32280824255912</v>
      </c>
      <c r="AC95" s="94">
        <f>Sheet1!AA93+Sheet1!AB93+BC95</f>
        <v>55.78</v>
      </c>
      <c r="AD95" s="94">
        <f>Sheet1!AA93+Sheet1!BN93+'Calculations II'!BC95-Calculation!AS95-Calculation!DJ95</f>
        <v>33.970152925531913</v>
      </c>
      <c r="AE95" s="94">
        <f>Sheet1!AA93+Sheet1!AB93+'Calculations II'!BC95-Calculation!AS95-Calculation!DJ95</f>
        <v>44.840152925531918</v>
      </c>
      <c r="AF95" s="94">
        <f ca="1">Sheet1!AA93+Sheet1!BN93+P95+'Calculations II'!BC95+Calculation!AS95+Calculation!DJ95</f>
        <v>54.966713045871749</v>
      </c>
      <c r="AG95" s="94">
        <f ca="1">IF(B95=TODAY(),0,Sheet1!AA93+Sheet1!BN93+'Calculations II'!BC95+'Calculations II'!P95-Sheet1!CT93-BP95)</f>
        <v>28.489865971403667</v>
      </c>
      <c r="AH95" s="94">
        <f ca="1">IF(B95=TODAY(),0,Sheet1!AA93+Sheet1!BN93+'Calculations II'!BC95+'Calculations II'!P95-BP95)</f>
        <v>44.026865971403666</v>
      </c>
      <c r="AI95" s="94">
        <f ca="1">IF(B95=TODAY(),0,BC95+Sheet1!AA93+Calculation!ES95+O95+W95+Sheet1!BN93+Calculation!AS95+Calculation!DJ95-BP95)</f>
        <v>54.966713045871749</v>
      </c>
      <c r="AJ95" s="94"/>
      <c r="AM95" s="90">
        <f t="shared" si="28"/>
        <v>42819</v>
      </c>
      <c r="AN95" s="94">
        <f>Sheet1!BU93</f>
        <v>23.9</v>
      </c>
      <c r="AO95" s="94">
        <f>Sheet1!AA93</f>
        <v>25.81</v>
      </c>
      <c r="AP95" s="94">
        <f t="shared" si="17"/>
        <v>0.48475000000000196</v>
      </c>
      <c r="AQ95" s="1087">
        <f>((Sheet1!BV93-(Sheet1!BU93-AP95))/(Sheet1!BU93-AP95))</f>
        <v>0.191531160248129</v>
      </c>
      <c r="AR95" s="94">
        <f t="shared" si="18"/>
        <v>25.325249999999997</v>
      </c>
      <c r="AS95" s="94">
        <f t="shared" si="19"/>
        <v>23.415249999999997</v>
      </c>
      <c r="AT95" s="89">
        <f>Sheet1!BB93</f>
        <v>0</v>
      </c>
      <c r="AU95" s="89">
        <f>Sheet1!AS93*GPMtoMGD</f>
        <v>1.6992000000000004E-2</v>
      </c>
      <c r="AV95" s="94">
        <f>Sheet1!AT93</f>
        <v>0</v>
      </c>
      <c r="AW95" s="89">
        <f>Sheet1!AV93*GPMtoMGD</f>
        <v>0.60768</v>
      </c>
      <c r="AX95" s="89">
        <f>Sheet1!AW93*GPMtoMGD</f>
        <v>0.83620800000000017</v>
      </c>
      <c r="AY95" s="89">
        <f>Sheet1!AX93*GPMtoMGD</f>
        <v>0</v>
      </c>
      <c r="AZ95" s="89">
        <v>0</v>
      </c>
      <c r="BA95" s="89">
        <f>Sheet1!AZ93*GPMtoMGD</f>
        <v>0</v>
      </c>
      <c r="BB95" s="89">
        <f>Sheet1!BP93*GPMtoMGD</f>
        <v>2.8800000000000002E-3</v>
      </c>
      <c r="BC95" s="89">
        <f>Sheet1!CS93*GPMtoMGD</f>
        <v>0</v>
      </c>
      <c r="BD95" s="89">
        <f>Sheet1!BO93*GPMtoMGD</f>
        <v>1.518192</v>
      </c>
      <c r="BE95" s="89">
        <f>Sheet1!BW93*GPMtoMGD</f>
        <v>0.85910400000000009</v>
      </c>
      <c r="BF95" s="89">
        <f>Sheet1!CN93*GPMtoMGD</f>
        <v>0.47952000000000006</v>
      </c>
      <c r="BG95" s="89">
        <f>Sheet1!CO93*GPMtoMGD</f>
        <v>0.668736</v>
      </c>
      <c r="BH95" s="89">
        <f>Sheet1!CP93*GPMtoMGD</f>
        <v>0.661968</v>
      </c>
      <c r="BI95" s="89">
        <f t="shared" si="29"/>
        <v>1.521072</v>
      </c>
      <c r="BK95" s="94">
        <f>SUM(AT95:BA95,AS95,BC95,Calculation!AQ95)</f>
        <v>43.906282925531912</v>
      </c>
      <c r="BM95" s="358">
        <f>0</f>
        <v>0</v>
      </c>
      <c r="BN95" s="358">
        <f>0</f>
        <v>0</v>
      </c>
      <c r="BP95" s="94">
        <f>SUM(BM95:BN95,W95,Sheet1!DX93)</f>
        <v>0</v>
      </c>
      <c r="BR95" s="94">
        <f>Sheet1!AA93</f>
        <v>25.81</v>
      </c>
      <c r="BS95" s="94">
        <f>Sheet1!AB93</f>
        <v>29.97</v>
      </c>
      <c r="BT95" s="94">
        <f t="shared" ca="1" si="20"/>
        <v>-0.88313402859633072</v>
      </c>
      <c r="BU95" s="94">
        <f>Sheet1!AT93</f>
        <v>0</v>
      </c>
      <c r="BV95" s="89">
        <f>Sheet1!BB93</f>
        <v>0</v>
      </c>
      <c r="BW95" s="94">
        <f>Calculation!ED95</f>
        <v>10.939847074468084</v>
      </c>
      <c r="BX95" s="94">
        <f>(Sheet1!CS93*1440)/1000000</f>
        <v>0</v>
      </c>
      <c r="CA95" s="94">
        <f ca="1">Sheet1!AC93-Sheet1!BK93-Sheet1!BL93-Sheet1!BM93-Sheet1!BC93-Sheet1!BD93-Sheet1!BE93-Sheet1!BF93-Sheet1!BG93-Sheet1!BH93-Sheet1!BI93+BC95+P95</f>
        <v>43.916865971403666</v>
      </c>
      <c r="CB95" s="93">
        <f t="shared" si="21"/>
        <v>69.367716575797871</v>
      </c>
      <c r="CC95" s="94">
        <f t="shared" si="22"/>
        <v>0</v>
      </c>
      <c r="CD95" s="94">
        <f t="shared" ca="1" si="23"/>
        <v>54.85671304587175</v>
      </c>
      <c r="CE95" s="1077">
        <f t="shared" ca="1" si="24"/>
        <v>84.863335081963598</v>
      </c>
      <c r="CG95" s="1077">
        <f t="shared" ca="1" si="25"/>
        <v>43.916865971403666</v>
      </c>
    </row>
    <row r="96" spans="1:85" s="89" customFormat="1" x14ac:dyDescent="0.25">
      <c r="A96" s="616" t="s">
        <v>3</v>
      </c>
      <c r="B96" s="91">
        <v>42820</v>
      </c>
      <c r="C96" s="92">
        <v>0</v>
      </c>
      <c r="D96" s="94">
        <f>(Sheet1!BQ94-Sheet1!BQ93)*1.385</f>
        <v>0.70635000000000214</v>
      </c>
      <c r="E96" s="30">
        <f>(Sheet1!BR94-Sheet1!BR93)*1.385</f>
        <v>0.67864999999999787</v>
      </c>
      <c r="F96" s="30">
        <f ca="1">IF(B96=TODAY(),0,-(VLOOKUP(Sheet1!CD94,Lookup!$I$4:$J$216,2)-VLOOKUP(Sheet1!CD93,Lookup!$I$4:$J$216,2))/1000000)</f>
        <v>-0.41454775419119744</v>
      </c>
      <c r="G96" s="94">
        <f ca="1">IF(B96=TODAY(),0,-$G$6*(Sheet1!CF94-Sheet1!CF93)*7.48/1000000)</f>
        <v>0.39713501052559297</v>
      </c>
      <c r="H96" s="94">
        <f ca="1">IF(B96=TODAY(),0,-$H$6*(Sheet1!CE94-Sheet1!CE93)*7.48/1000000)</f>
        <v>0</v>
      </c>
      <c r="I96" s="94">
        <f ca="1">IF(B96=TODAY(),0,-$I$6*(Sheet1!CG94-Sheet1!CG93)*7.48/1000000)</f>
        <v>8.9849760000000074E-3</v>
      </c>
      <c r="J96" s="95" t="s">
        <v>177</v>
      </c>
      <c r="K96" s="94">
        <f ca="1">IF(B96=TODAY(),0,-$K$6*(Sheet1!CH94-Sheet1!CH93)*7.48/1000000)</f>
        <v>6.6633203744583013E-4</v>
      </c>
      <c r="L96" s="95" t="s">
        <v>177</v>
      </c>
      <c r="M96" s="94">
        <f ca="1">IF(B96=TODAY(),0,-$M$6*(Sheet1!CI94-Sheet1!CI93)*7.48/1000000)</f>
        <v>1.7991508428026663E-2</v>
      </c>
      <c r="N96" s="94">
        <f ca="1">IF(B96=TODAY(),0,-$N$6*(Sheet1!CJ94-Sheet1!CJ93)*7.48/1000000)</f>
        <v>-0.17995180164440988</v>
      </c>
      <c r="O96" s="94">
        <f t="shared" ref="O96:O145" ca="1" si="30">SUM(F96:I96)+K96+SUM(M96:N96)</f>
        <v>-0.16972172884454184</v>
      </c>
      <c r="P96" s="94">
        <f ca="1">O96+Calculation!ES96</f>
        <v>-1.5546656134031489</v>
      </c>
      <c r="Q96" s="89" t="str">
        <f>IF(Sheet1!BQ94&gt;25.75,"spill elevation","-")</f>
        <v>-</v>
      </c>
      <c r="R96" s="89" t="str">
        <f>IF(Sheet1!BQ94&gt;25.75,"spill elevation","-")</f>
        <v>-</v>
      </c>
      <c r="S96" s="89" t="str">
        <f>IF(Sheet1!BR94&gt;25.75,"spill elevation","-")</f>
        <v>-</v>
      </c>
      <c r="T96" s="93">
        <f>IF(Sheet1!DU94=1,Sheet1!AA94-(SUM(AT96:BA96)+BE96),Sheet1!AA94-SUM(AT96:BA96))</f>
        <v>24.854336</v>
      </c>
      <c r="U96" s="93">
        <f>Sheet1!BV94</f>
        <v>27.5</v>
      </c>
      <c r="V96" s="93">
        <f t="shared" si="27"/>
        <v>-2.645664</v>
      </c>
      <c r="W96" s="93">
        <f>0</f>
        <v>0</v>
      </c>
      <c r="X96" s="89">
        <f>0</f>
        <v>0</v>
      </c>
      <c r="Y96" s="94">
        <f ca="1">Calculation!EJ97+Calculation!ES96+'Calculations II'!O96-'Calculations II'!W96</f>
        <v>43.654805229122616</v>
      </c>
      <c r="Z96" s="94">
        <f ca="1">Y96-Sheet1!CT95</f>
        <v>27.741805229122615</v>
      </c>
      <c r="AA96" s="94">
        <f ca="1">Y96+Calculation!DJ97+Calculation!AS97</f>
        <v>54.282959075276466</v>
      </c>
      <c r="AC96" s="94">
        <f>Sheet1!AA94+Sheet1!AB94+BC96</f>
        <v>55.730000000000004</v>
      </c>
      <c r="AD96" s="94">
        <f>Sheet1!AA94+Sheet1!BN94+'Calculations II'!BC96-Calculation!AS96-Calculation!DJ96</f>
        <v>33.995742771684945</v>
      </c>
      <c r="AE96" s="94">
        <f>Sheet1!AA94+Sheet1!AB94+'Calculations II'!BC96-Calculation!AS96-Calculation!DJ96</f>
        <v>44.805742771684947</v>
      </c>
      <c r="AF96" s="94">
        <f ca="1">Sheet1!AA94+Sheet1!BN94+P96+'Calculations II'!BC96+Calculation!AS96+Calculation!DJ96</f>
        <v>54.289591614911899</v>
      </c>
      <c r="AG96" s="94">
        <f ca="1">IF(B96=TODAY(),0,Sheet1!AA94+Sheet1!BN94+'Calculations II'!BC96+'Calculations II'!P96-Sheet1!CT94-BP96)</f>
        <v>27.933334386596847</v>
      </c>
      <c r="AH96" s="94">
        <f ca="1">IF(B96=TODAY(),0,Sheet1!AA94+Sheet1!BN94+'Calculations II'!BC96+'Calculations II'!P96-BP96)</f>
        <v>43.365334386596849</v>
      </c>
      <c r="AI96" s="94">
        <f ca="1">IF(B96=TODAY(),0,BC96+Sheet1!AA94+Calculation!ES96+O96+W96+Sheet1!BN94+Calculation!AS96+Calculation!DJ96-BP96)</f>
        <v>54.289591614911913</v>
      </c>
      <c r="AJ96" s="94"/>
      <c r="AM96" s="90">
        <f t="shared" si="28"/>
        <v>42820</v>
      </c>
      <c r="AN96" s="94">
        <f>Sheet1!BU94</f>
        <v>24.5</v>
      </c>
      <c r="AO96" s="94">
        <f>Sheet1!AA94</f>
        <v>25.82</v>
      </c>
      <c r="AP96" s="94">
        <f t="shared" si="17"/>
        <v>1.385</v>
      </c>
      <c r="AQ96" s="1087">
        <f>((Sheet1!BV94-(Sheet1!BU94-AP96))/(Sheet1!BU94-AP96))</f>
        <v>0.18970365563486921</v>
      </c>
      <c r="AR96" s="94">
        <f t="shared" si="18"/>
        <v>24.434999999999999</v>
      </c>
      <c r="AS96" s="94">
        <f t="shared" si="19"/>
        <v>23.114999999999998</v>
      </c>
      <c r="AT96" s="89">
        <f>Sheet1!BB94</f>
        <v>0</v>
      </c>
      <c r="AU96" s="89">
        <f>Sheet1!AS94*GPMtoMGD</f>
        <v>2.9952000000000003E-2</v>
      </c>
      <c r="AV96" s="94">
        <f>Sheet1!AT94</f>
        <v>0</v>
      </c>
      <c r="AW96" s="89">
        <f>Sheet1!AV94*GPMtoMGD</f>
        <v>0.41774400000000006</v>
      </c>
      <c r="AX96" s="89">
        <f>Sheet1!AW94*GPMtoMGD</f>
        <v>0.51796799999999998</v>
      </c>
      <c r="AY96" s="89">
        <f>Sheet1!AX94*GPMtoMGD</f>
        <v>0</v>
      </c>
      <c r="AZ96" s="89">
        <f>Sheet1!AY94*GPMtoMGD</f>
        <v>0</v>
      </c>
      <c r="BA96" s="89">
        <f>Sheet1!AZ94*GPMtoMGD</f>
        <v>0</v>
      </c>
      <c r="BB96" s="89">
        <f>Sheet1!BP94*GPMtoMGD</f>
        <v>2.8800000000000002E-3</v>
      </c>
      <c r="BC96" s="89">
        <f>Sheet1!CS94*GPMtoMGD</f>
        <v>0</v>
      </c>
      <c r="BD96" s="89">
        <f>Sheet1!BO94*GPMtoMGD</f>
        <v>1.554624</v>
      </c>
      <c r="BE96" s="89">
        <f>Sheet1!BW94*GPMtoMGD</f>
        <v>0.86904000000000003</v>
      </c>
      <c r="BF96" s="89">
        <f>Sheet1!CN94*GPMtoMGD</f>
        <v>0.46483200000000002</v>
      </c>
      <c r="BG96" s="89">
        <f>Sheet1!CO94*GPMtoMGD</f>
        <v>0.63806400000000008</v>
      </c>
      <c r="BH96" s="89">
        <f>Sheet1!CP94*GPMtoMGD</f>
        <v>0.6638400000000001</v>
      </c>
      <c r="BI96" s="89">
        <f t="shared" si="29"/>
        <v>1.557504</v>
      </c>
      <c r="BK96" s="94">
        <f>SUM(AT96:BA96,AS96,BC96,Calculation!AQ96)</f>
        <v>43.066406771684939</v>
      </c>
      <c r="BM96" s="358">
        <f>0</f>
        <v>0</v>
      </c>
      <c r="BN96" s="358">
        <f>0</f>
        <v>0</v>
      </c>
      <c r="BP96" s="94">
        <f>SUM(BM96:BN96,W96,Sheet1!DX94)</f>
        <v>0</v>
      </c>
      <c r="BR96" s="94">
        <f>Sheet1!AA94</f>
        <v>25.82</v>
      </c>
      <c r="BS96" s="94">
        <f>Sheet1!AB94</f>
        <v>29.91</v>
      </c>
      <c r="BT96" s="94">
        <f t="shared" ca="1" si="20"/>
        <v>-1.5546656134031489</v>
      </c>
      <c r="BU96" s="94">
        <f>Sheet1!AT94</f>
        <v>0</v>
      </c>
      <c r="BV96" s="89">
        <f>Sheet1!BB94</f>
        <v>0</v>
      </c>
      <c r="BW96" s="94">
        <f>Calculation!ED96</f>
        <v>10.924257228315053</v>
      </c>
      <c r="BX96" s="94">
        <f>(Sheet1!CS94*1440)/1000000</f>
        <v>0</v>
      </c>
      <c r="CA96" s="94">
        <f ca="1">Sheet1!AC94-Sheet1!BK94-Sheet1!BL94-Sheet1!BM94-Sheet1!BC94-Sheet1!BD94-Sheet1!BE94-Sheet1!BF94-Sheet1!BG94-Sheet1!BH94-Sheet1!BI94+BC96+P96</f>
        <v>43.185334386596857</v>
      </c>
      <c r="CB96" s="93">
        <f t="shared" si="21"/>
        <v>69.314484067796613</v>
      </c>
      <c r="CC96" s="94">
        <f t="shared" si="22"/>
        <v>0</v>
      </c>
      <c r="CD96" s="94">
        <f t="shared" ca="1" si="23"/>
        <v>54.109591614911906</v>
      </c>
      <c r="CE96" s="1077">
        <f t="shared" ca="1" si="24"/>
        <v>83.707538228268717</v>
      </c>
      <c r="CG96" s="1077">
        <f t="shared" ca="1" si="25"/>
        <v>43.185334386596857</v>
      </c>
    </row>
    <row r="97" spans="1:85" s="89" customFormat="1" x14ac:dyDescent="0.25">
      <c r="A97" s="616" t="s">
        <v>4</v>
      </c>
      <c r="B97" s="91">
        <v>42821</v>
      </c>
      <c r="C97" s="92">
        <v>0</v>
      </c>
      <c r="D97" s="94">
        <f>(Sheet1!BQ95-Sheet1!BQ94)*1.385</f>
        <v>0.48474999999999707</v>
      </c>
      <c r="E97" s="30">
        <f>(Sheet1!BR95-Sheet1!BR94)*1.385</f>
        <v>0.47089999999999982</v>
      </c>
      <c r="F97" s="30">
        <f ca="1">IF(B97=TODAY(),0,-(VLOOKUP(Sheet1!CD95,Lookup!$I$4:$J$216,2)-VLOOKUP(Sheet1!CD94,Lookup!$I$4:$J$216,2))/1000000)</f>
        <v>0.51818469273899681</v>
      </c>
      <c r="G97" s="94">
        <f ca="1">IF(B97=TODAY(),0,-$G$6*(Sheet1!CF95-Sheet1!CF94)*7.48/1000000)</f>
        <v>0.55996036484108624</v>
      </c>
      <c r="H97" s="94">
        <f ca="1">IF(B97=TODAY(),0,-$H$6*(Sheet1!CE95-Sheet1!CE94)*7.48/1000000)</f>
        <v>0</v>
      </c>
      <c r="I97" s="94">
        <f ca="1">IF(B97=TODAY(),0,-$I$6*(Sheet1!CG95-Sheet1!CG94)*7.48/1000000)</f>
        <v>-1.796995199999998E-2</v>
      </c>
      <c r="J97" s="95" t="s">
        <v>177</v>
      </c>
      <c r="K97" s="94">
        <f ca="1">IF(B97=TODAY(),0,-$K$6*(Sheet1!CH95-Sheet1!CH94)*7.48/1000000)</f>
        <v>-1.3992972786362785E-2</v>
      </c>
      <c r="L97" s="95" t="s">
        <v>177</v>
      </c>
      <c r="M97" s="94">
        <f ca="1">IF(B97=TODAY(),0,-$M$6*(Sheet1!CI95-Sheet1!CI94)*7.48/1000000)</f>
        <v>-8.9957542140135238E-2</v>
      </c>
      <c r="N97" s="94">
        <f ca="1">IF(B97=TODAY(),0,-$N$6*(Sheet1!CJ95-Sheet1!CJ94)*7.48/1000000)</f>
        <v>0.161336098026022</v>
      </c>
      <c r="O97" s="94">
        <f t="shared" ca="1" si="30"/>
        <v>1.117560688679607</v>
      </c>
      <c r="P97" s="94">
        <f ca="1">O97+Calculation!ES97</f>
        <v>9.3748640320352461E-3</v>
      </c>
      <c r="Q97" s="89" t="str">
        <f>IF(Sheet1!BQ95&gt;25.75,"spill elevation","-")</f>
        <v>-</v>
      </c>
      <c r="R97" s="89" t="str">
        <f>IF(Sheet1!BQ95&gt;25.75,"spill elevation","-")</f>
        <v>-</v>
      </c>
      <c r="S97" s="89" t="str">
        <f>IF(Sheet1!BR95&gt;25.75,"spill elevation","-")</f>
        <v>-</v>
      </c>
      <c r="T97" s="93">
        <f>IF(Sheet1!DU95=1,Sheet1!AA95-(SUM(AT97:BA97)+BE97),Sheet1!AA95-SUM(AT97:BA97))</f>
        <v>24.269935999999998</v>
      </c>
      <c r="U97" s="93">
        <f>Sheet1!BV95</f>
        <v>27.3</v>
      </c>
      <c r="V97" s="93">
        <f t="shared" si="27"/>
        <v>-3.030064000000003</v>
      </c>
      <c r="W97" s="93">
        <f>0</f>
        <v>0</v>
      </c>
      <c r="X97" s="89">
        <f>0</f>
        <v>0</v>
      </c>
      <c r="Y97" s="94">
        <f ca="1">Calculation!EJ98+Calculation!ES97+'Calculations II'!O97-'Calculations II'!W97</f>
        <v>42.54479421195407</v>
      </c>
      <c r="Z97" s="94">
        <f ca="1">Y97-Sheet1!CT96</f>
        <v>26.28879421195407</v>
      </c>
      <c r="AA97" s="94">
        <f ca="1">Y97+Calculation!DJ98+Calculation!AS98</f>
        <v>52.966279258361766</v>
      </c>
      <c r="AC97" s="94">
        <f>Sheet1!AA95+Sheet1!AB95+BC97</f>
        <v>54.89</v>
      </c>
      <c r="AD97" s="94">
        <f>Sheet1!AA95+Sheet1!BN95+'Calculations II'!BC97-Calculation!AS97-Calculation!DJ97</f>
        <v>33.671846153846147</v>
      </c>
      <c r="AE97" s="94">
        <f>Sheet1!AA95+Sheet1!AB95+'Calculations II'!BC97-Calculation!AS97-Calculation!DJ97</f>
        <v>44.26184615384615</v>
      </c>
      <c r="AF97" s="94">
        <f ca="1">Sheet1!AA95+Sheet1!BN95+P97+'Calculations II'!BC97+Calculation!AS97+Calculation!DJ97</f>
        <v>54.937528710185873</v>
      </c>
      <c r="AG97" s="94">
        <f ca="1">IF(B97=TODAY(),0,Sheet1!AA95+Sheet1!BN95+'Calculations II'!BC97+'Calculations II'!P97-Sheet1!CT95-BP97)</f>
        <v>28.39637486403203</v>
      </c>
      <c r="AH97" s="94">
        <f ca="1">IF(B97=TODAY(),0,Sheet1!AA95+Sheet1!BN95+'Calculations II'!BC97+'Calculations II'!P97-BP97)</f>
        <v>44.30937486403203</v>
      </c>
      <c r="AI97" s="94">
        <f ca="1">IF(B97=TODAY(),0,BC97+Sheet1!AA95+Calculation!ES97+O97+W97+Sheet1!BN95+Calculation!AS97+Calculation!DJ97-BP97)</f>
        <v>54.937528710185887</v>
      </c>
      <c r="AJ97" s="94"/>
      <c r="AM97" s="90">
        <f t="shared" si="28"/>
        <v>42821</v>
      </c>
      <c r="AN97" s="94">
        <f>Sheet1!BU95</f>
        <v>24.1</v>
      </c>
      <c r="AO97" s="94">
        <f>Sheet1!AA95</f>
        <v>25.7</v>
      </c>
      <c r="AP97" s="94">
        <f t="shared" si="17"/>
        <v>0.95564999999999689</v>
      </c>
      <c r="AQ97" s="1087">
        <f>((Sheet1!BV95-(Sheet1!BU95-AP97))/(Sheet1!BU95-AP97))</f>
        <v>0.17955354114503097</v>
      </c>
      <c r="AR97" s="94">
        <f t="shared" si="18"/>
        <v>24.744350000000001</v>
      </c>
      <c r="AS97" s="94">
        <f t="shared" si="19"/>
        <v>23.144350000000003</v>
      </c>
      <c r="AT97" s="89">
        <f>Sheet1!BB95</f>
        <v>0</v>
      </c>
      <c r="AU97" s="89">
        <f>Sheet1!AS95*GPMtoMGD</f>
        <v>1.5552000000000002E-2</v>
      </c>
      <c r="AV97" s="94">
        <f>Sheet1!AT95</f>
        <v>0</v>
      </c>
      <c r="AW97" s="89">
        <f>Sheet1!AV95*GPMtoMGD</f>
        <v>0.62164799999999998</v>
      </c>
      <c r="AX97" s="89">
        <f>Sheet1!AW95*GPMtoMGD</f>
        <v>0.79286400000000012</v>
      </c>
      <c r="AY97" s="89">
        <f>Sheet1!AX95*GPMtoMGD</f>
        <v>0</v>
      </c>
      <c r="AZ97" s="89">
        <f>Sheet1!AY95*GPMtoMGD</f>
        <v>0</v>
      </c>
      <c r="BA97" s="89">
        <f>Sheet1!AZ95*GPMtoMGD</f>
        <v>0</v>
      </c>
      <c r="BB97" s="89">
        <f>Sheet1!BP95*GPMtoMGD</f>
        <v>3.6720000000000003E-2</v>
      </c>
      <c r="BC97" s="89">
        <f>Sheet1!CS95*GPMtoMGD</f>
        <v>0</v>
      </c>
      <c r="BD97" s="89">
        <f>Sheet1!BO95*GPMtoMGD</f>
        <v>1.4942880000000001</v>
      </c>
      <c r="BE97" s="89">
        <f>Sheet1!BW95*GPMtoMGD</f>
        <v>0.79905599999999999</v>
      </c>
      <c r="BF97" s="89">
        <f>Sheet1!CN95*GPMtoMGD</f>
        <v>0.20980799999999999</v>
      </c>
      <c r="BG97" s="89">
        <f>Sheet1!CO95*GPMtoMGD</f>
        <v>0.75859199999999993</v>
      </c>
      <c r="BH97" s="89">
        <f>Sheet1!CP95*GPMtoMGD</f>
        <v>0.6769440000000001</v>
      </c>
      <c r="BI97" s="89">
        <f t="shared" si="29"/>
        <v>1.5310080000000001</v>
      </c>
      <c r="BK97" s="94">
        <f>SUM(AT97:BA97,AS97,BC97,Calculation!AQ97)</f>
        <v>43.136260153846159</v>
      </c>
      <c r="BM97" s="358">
        <f>0</f>
        <v>0</v>
      </c>
      <c r="BN97" s="358">
        <f>0</f>
        <v>0</v>
      </c>
      <c r="BP97" s="94">
        <f>SUM(BM97:BN97,W97,Sheet1!DX95)</f>
        <v>0</v>
      </c>
      <c r="BR97" s="94">
        <f>Sheet1!AA95</f>
        <v>25.7</v>
      </c>
      <c r="BS97" s="94">
        <f>Sheet1!AB95</f>
        <v>29.19</v>
      </c>
      <c r="BT97" s="94">
        <f t="shared" ca="1" si="20"/>
        <v>9.3748640320352461E-3</v>
      </c>
      <c r="BU97" s="94">
        <f>Sheet1!AT95</f>
        <v>0</v>
      </c>
      <c r="BV97" s="89">
        <f>Sheet1!BB95</f>
        <v>0</v>
      </c>
      <c r="BW97" s="94">
        <f>Calculation!ED97</f>
        <v>10.628153846153847</v>
      </c>
      <c r="BX97" s="94">
        <f>(Sheet1!CS95*1440)/1000000</f>
        <v>0</v>
      </c>
      <c r="CA97" s="94">
        <f ca="1">Sheet1!AC95-Sheet1!BK95-Sheet1!BL95-Sheet1!BM95-Sheet1!BC95-Sheet1!BD95-Sheet1!BE95-Sheet1!BF95-Sheet1!BG95-Sheet1!BH95-Sheet1!BI95+BC97+P97</f>
        <v>44.249374864032035</v>
      </c>
      <c r="CB97" s="93">
        <f t="shared" si="21"/>
        <v>68.473075999999992</v>
      </c>
      <c r="CC97" s="94">
        <f t="shared" si="22"/>
        <v>0</v>
      </c>
      <c r="CD97" s="94">
        <f t="shared" ca="1" si="23"/>
        <v>54.877528710185885</v>
      </c>
      <c r="CE97" s="1077">
        <f t="shared" ca="1" si="24"/>
        <v>84.895536914657555</v>
      </c>
      <c r="CG97" s="1077">
        <f t="shared" ca="1" si="25"/>
        <v>44.249374864032035</v>
      </c>
    </row>
    <row r="98" spans="1:85" s="89" customFormat="1" x14ac:dyDescent="0.25">
      <c r="A98" s="616" t="s">
        <v>5</v>
      </c>
      <c r="B98" s="91">
        <v>42822</v>
      </c>
      <c r="C98" s="92">
        <v>0</v>
      </c>
      <c r="D98" s="94">
        <f>(Sheet1!BQ96-Sheet1!BQ95)*1.385</f>
        <v>-0.26314999999999683</v>
      </c>
      <c r="E98" s="30">
        <f>(Sheet1!BR96-Sheet1!BR95)*1.385</f>
        <v>-0.26314999999999683</v>
      </c>
      <c r="F98" s="30">
        <f ca="1">IF(B98=TODAY(),0,-(VLOOKUP(Sheet1!CD96,Lookup!$I$4:$J$216,2)-VLOOKUP(Sheet1!CD95,Lookup!$I$4:$J$216,2))/1000000)</f>
        <v>0</v>
      </c>
      <c r="G98" s="94">
        <f ca="1">IF(B98=TODAY(),0,-$G$6*(Sheet1!CF96-Sheet1!CF95)*7.48/1000000)</f>
        <v>-1.0762358785243573</v>
      </c>
      <c r="H98" s="94">
        <f ca="1">IF(B98=TODAY(),0,-$H$6*(Sheet1!CE96-Sheet1!CE95)*7.48/1000000)</f>
        <v>0</v>
      </c>
      <c r="I98" s="94">
        <f ca="1">IF(B98=TODAY(),0,-$I$6*(Sheet1!CG96-Sheet1!CG95)*7.48/1000000)</f>
        <v>8.9849759999999675E-3</v>
      </c>
      <c r="J98" s="95" t="s">
        <v>177</v>
      </c>
      <c r="K98" s="94">
        <f ca="1">IF(B98=TODAY(),0,-$K$6*(Sheet1!CH96-Sheet1!CH95)*7.48/1000000)</f>
        <v>1.9989961123375376E-2</v>
      </c>
      <c r="L98" s="95" t="s">
        <v>177</v>
      </c>
      <c r="M98" s="94">
        <f ca="1">IF(B98=TODAY(),0,-$M$6*(Sheet1!CI96-Sheet1!CI95)*7.48/1000000)</f>
        <v>1.7991508428027301E-2</v>
      </c>
      <c r="N98" s="94">
        <f ca="1">IF(B98=TODAY(),0,-$N$6*(Sheet1!CJ96-Sheet1!CJ95)*7.48/1000000)</f>
        <v>-3.102617269731129E-2</v>
      </c>
      <c r="O98" s="94">
        <f t="shared" ca="1" si="30"/>
        <v>-1.0602956056702659</v>
      </c>
      <c r="P98" s="94">
        <f ca="1">O98+Calculation!ES98</f>
        <v>-0.50617705674471347</v>
      </c>
      <c r="Q98" s="89" t="str">
        <f>IF(Sheet1!BQ96&gt;25.75,"spill elevation","-")</f>
        <v>-</v>
      </c>
      <c r="R98" s="89" t="str">
        <f>IF(Sheet1!BQ96&gt;25.75,"spill elevation","-")</f>
        <v>-</v>
      </c>
      <c r="S98" s="89" t="str">
        <f>IF(Sheet1!BR96&gt;25.75,"spill elevation","-")</f>
        <v>-</v>
      </c>
      <c r="T98" s="93">
        <f>IF(Sheet1!DU96=1,Sheet1!AA96-(SUM(AT98:BA98)+BE98),Sheet1!AA96-SUM(AT98:BA98))</f>
        <v>24.982800000000001</v>
      </c>
      <c r="U98" s="93">
        <f>Sheet1!BV96</f>
        <v>29.2</v>
      </c>
      <c r="V98" s="93">
        <f t="shared" si="27"/>
        <v>-4.2171999999999983</v>
      </c>
      <c r="W98" s="93">
        <f>0</f>
        <v>0</v>
      </c>
      <c r="X98" s="89">
        <f>0</f>
        <v>0</v>
      </c>
      <c r="Y98" s="94">
        <f ca="1">Calculation!EJ99+Calculation!ES98+'Calculations II'!O98-'Calculations II'!W98</f>
        <v>43.090125445501798</v>
      </c>
      <c r="Z98" s="94">
        <f ca="1">Y98-Sheet1!CT97</f>
        <v>27.677125445501797</v>
      </c>
      <c r="AA98" s="94">
        <f ca="1">Y98+Calculation!DJ99+Calculation!AS99</f>
        <v>53.547559043294143</v>
      </c>
      <c r="AC98" s="94">
        <f>Sheet1!AA96+Sheet1!AB96+BC98</f>
        <v>54.7</v>
      </c>
      <c r="AD98" s="94">
        <f>Sheet1!AA96+Sheet1!BN96+'Calculations II'!BC98-Calculation!AS98-Calculation!DJ98</f>
        <v>33.97851495359231</v>
      </c>
      <c r="AE98" s="94">
        <f>Sheet1!AA96+Sheet1!AB96+'Calculations II'!BC98-Calculation!AS98-Calculation!DJ98</f>
        <v>44.278514953592307</v>
      </c>
      <c r="AF98" s="94">
        <f ca="1">Sheet1!AA96+Sheet1!BN96+P98+'Calculations II'!BC98+Calculation!AS98+Calculation!DJ98</f>
        <v>54.315307989662998</v>
      </c>
      <c r="AG98" s="94">
        <f ca="1">IF(B98=TODAY(),0,Sheet1!AA96+Sheet1!BN96+'Calculations II'!BC98+'Calculations II'!P98-Sheet1!CT96-BP98)</f>
        <v>27.637822943255294</v>
      </c>
      <c r="AH98" s="94">
        <f ca="1">IF(B98=TODAY(),0,Sheet1!AA96+Sheet1!BN96+'Calculations II'!BC98+'Calculations II'!P98-BP98)</f>
        <v>43.893822943255294</v>
      </c>
      <c r="AI98" s="94">
        <f ca="1">IF(B98=TODAY(),0,BC98+Sheet1!AA96+Calculation!ES98+O98+W98+Sheet1!BN96+Calculation!AS98+Calculation!DJ98-BP98)</f>
        <v>54.315307989662983</v>
      </c>
      <c r="AJ98" s="94"/>
      <c r="AM98" s="90">
        <f t="shared" si="28"/>
        <v>42822</v>
      </c>
      <c r="AN98" s="94">
        <f>Sheet1!BU96</f>
        <v>24.3</v>
      </c>
      <c r="AO98" s="94">
        <f>Sheet1!AA96</f>
        <v>25.8</v>
      </c>
      <c r="AP98" s="94">
        <f t="shared" si="17"/>
        <v>-0.52629999999999366</v>
      </c>
      <c r="AQ98" s="1087">
        <f>((Sheet1!BV96-(Sheet1!BU96-AP98))/(Sheet1!BU96-AP98))</f>
        <v>0.17617204335724646</v>
      </c>
      <c r="AR98" s="94">
        <f t="shared" si="18"/>
        <v>26.326299999999993</v>
      </c>
      <c r="AS98" s="94">
        <f t="shared" si="19"/>
        <v>24.826299999999993</v>
      </c>
      <c r="AT98" s="89">
        <f>Sheet1!BB96</f>
        <v>0</v>
      </c>
      <c r="AU98" s="89">
        <f>Sheet1!AS96*GPMtoMGD</f>
        <v>3.0384000000000005E-2</v>
      </c>
      <c r="AV98" s="94">
        <f>Sheet1!AT96</f>
        <v>0</v>
      </c>
      <c r="AW98" s="89">
        <f>Sheet1!AV96*GPMtoMGD</f>
        <v>0.68875200000000003</v>
      </c>
      <c r="AX98" s="89">
        <f>Sheet1!AW96*GPMtoMGD</f>
        <v>9.8063999999999998E-2</v>
      </c>
      <c r="AY98" s="89">
        <f>Sheet1!AX96*GPMtoMGD</f>
        <v>0</v>
      </c>
      <c r="AZ98" s="89">
        <f>Sheet1!AY96*GPMtoMGD</f>
        <v>0</v>
      </c>
      <c r="BA98" s="89">
        <f>Sheet1!AZ96*GPMtoMGD</f>
        <v>0</v>
      </c>
      <c r="BB98" s="89">
        <f>Sheet1!BP96*GPMtoMGD</f>
        <v>2.8800000000000002E-3</v>
      </c>
      <c r="BC98" s="89">
        <f>Sheet1!CS96*GPMtoMGD</f>
        <v>0</v>
      </c>
      <c r="BD98" s="89">
        <f>Sheet1!BO96*GPMtoMGD</f>
        <v>1.3968</v>
      </c>
      <c r="BE98" s="89">
        <f>Sheet1!BW96*GPMtoMGD</f>
        <v>0.62697599999999998</v>
      </c>
      <c r="BF98" s="89">
        <f>Sheet1!CN96*GPMtoMGD</f>
        <v>0.218304</v>
      </c>
      <c r="BG98" s="89">
        <f>Sheet1!CO96*GPMtoMGD</f>
        <v>0.76968000000000003</v>
      </c>
      <c r="BH98" s="89">
        <f>Sheet1!CP96*GPMtoMGD</f>
        <v>0.70833599999999997</v>
      </c>
      <c r="BI98" s="89">
        <f t="shared" si="29"/>
        <v>1.39968</v>
      </c>
      <c r="BK98" s="94">
        <f>SUM(AT98:BA98,AS98,BC98,Calculation!AQ98)</f>
        <v>44.122014953592291</v>
      </c>
      <c r="BM98" s="358">
        <f>0</f>
        <v>0</v>
      </c>
      <c r="BN98" s="358">
        <f>0</f>
        <v>0</v>
      </c>
      <c r="BP98" s="94">
        <f>SUM(BM98:BN98,W98,Sheet1!DX96)</f>
        <v>0</v>
      </c>
      <c r="BR98" s="94">
        <f>Sheet1!AA96</f>
        <v>25.8</v>
      </c>
      <c r="BS98" s="94">
        <f>Sheet1!AB96</f>
        <v>28.9</v>
      </c>
      <c r="BT98" s="94">
        <f t="shared" ca="1" si="20"/>
        <v>-0.50617705674471347</v>
      </c>
      <c r="BU98" s="94">
        <f>Sheet1!AT96</f>
        <v>0</v>
      </c>
      <c r="BV98" s="89">
        <f>Sheet1!BB96</f>
        <v>0</v>
      </c>
      <c r="BW98" s="94">
        <f>Calculation!ED98</f>
        <v>10.4214850464077</v>
      </c>
      <c r="BX98" s="94">
        <f>(Sheet1!CS96*1440)/1000000</f>
        <v>0</v>
      </c>
      <c r="CA98" s="94">
        <f ca="1">Sheet1!AC96-Sheet1!BK96-Sheet1!BL96-Sheet1!BM96-Sheet1!BC96-Sheet1!BD96-Sheet1!BE96-Sheet1!BF96-Sheet1!BG96-Sheet1!BH96-Sheet1!BI96+BC98+P98</f>
        <v>43.70382294325529</v>
      </c>
      <c r="CB98" s="93">
        <f t="shared" si="21"/>
        <v>68.498862633207295</v>
      </c>
      <c r="CC98" s="94">
        <f t="shared" si="22"/>
        <v>0</v>
      </c>
      <c r="CD98" s="94">
        <f t="shared" ca="1" si="23"/>
        <v>54.125307989662986</v>
      </c>
      <c r="CE98" s="1077">
        <f t="shared" ca="1" si="24"/>
        <v>83.731851460008642</v>
      </c>
      <c r="CG98" s="1077">
        <f t="shared" ca="1" si="25"/>
        <v>43.70382294325529</v>
      </c>
    </row>
    <row r="99" spans="1:85" s="89" customFormat="1" x14ac:dyDescent="0.25">
      <c r="A99" s="616" t="s">
        <v>6</v>
      </c>
      <c r="B99" s="91">
        <v>42823</v>
      </c>
      <c r="C99" s="92">
        <v>0</v>
      </c>
      <c r="D99" s="94">
        <f>(Sheet1!BQ97-Sheet1!BQ96)*1.385</f>
        <v>9.6950000000000397E-2</v>
      </c>
      <c r="E99" s="30">
        <f>(Sheet1!BR97-Sheet1!BR96)*1.385</f>
        <v>6.9250000000000991E-2</v>
      </c>
      <c r="F99" s="30">
        <f ca="1">IF(B99=TODAY(),0,-(VLOOKUP(Sheet1!CD97,Lookup!$I$4:$J$216,2)-VLOOKUP(Sheet1!CD96,Lookup!$I$4:$J$216,2))/1000000)</f>
        <v>-0.51818469273899681</v>
      </c>
      <c r="G99" s="94">
        <f ca="1">IF(B99=TODAY(),0,-$G$6*(Sheet1!CF97-Sheet1!CF96)*7.48/1000000)</f>
        <v>0.51627551368327118</v>
      </c>
      <c r="H99" s="94">
        <f ca="1">IF(B99=TODAY(),0,-$H$6*(Sheet1!CE97-Sheet1!CE96)*7.48/1000000)</f>
        <v>0</v>
      </c>
      <c r="I99" s="94">
        <f ca="1">IF(B99=TODAY(),0,-$I$6*(Sheet1!CG97-Sheet1!CG96)*7.48/1000000)</f>
        <v>1.7969952000000015E-2</v>
      </c>
      <c r="J99" s="95" t="s">
        <v>177</v>
      </c>
      <c r="K99" s="94">
        <f ca="1">IF(B99=TODAY(),0,-$K$6*(Sheet1!CH97-Sheet1!CH96)*7.48/1000000)</f>
        <v>3.3316601872292212E-2</v>
      </c>
      <c r="L99" s="95" t="s">
        <v>177</v>
      </c>
      <c r="M99" s="94">
        <f ca="1">IF(B99=TODAY(),0,-$M$6*(Sheet1!CI97-Sheet1!CI96)*7.48/1000000)</f>
        <v>6.2970279498094917E-2</v>
      </c>
      <c r="N99" s="94">
        <f ca="1">IF(B99=TODAY(),0,-$N$6*(Sheet1!CJ97-Sheet1!CJ96)*7.48/1000000)</f>
        <v>-0.27923555427580821</v>
      </c>
      <c r="O99" s="94">
        <f t="shared" ca="1" si="30"/>
        <v>-0.1668878999611467</v>
      </c>
      <c r="P99" s="94">
        <f ca="1">O99+Calculation!ES99</f>
        <v>-0.30539190025821628</v>
      </c>
      <c r="Q99" s="89" t="str">
        <f>IF(Sheet1!BQ97&gt;25.75,"spill elevation","-")</f>
        <v>-</v>
      </c>
      <c r="R99" s="89" t="str">
        <f>IF(Sheet1!BQ97&gt;25.75,"spill elevation","-")</f>
        <v>-</v>
      </c>
      <c r="S99" s="89" t="str">
        <f>IF(Sheet1!BR97&gt;25.75,"spill elevation","-")</f>
        <v>-</v>
      </c>
      <c r="T99" s="93">
        <f>IF(Sheet1!DU97=1,Sheet1!AA97-(SUM(AT99:BA99)+BE99),Sheet1!AA97-SUM(AT99:BA99))</f>
        <v>24.579376</v>
      </c>
      <c r="U99" s="93">
        <f>Sheet1!BV97</f>
        <v>28.1</v>
      </c>
      <c r="V99" s="93">
        <f t="shared" si="27"/>
        <v>-3.5206240000000015</v>
      </c>
      <c r="W99" s="93">
        <f>0</f>
        <v>0</v>
      </c>
      <c r="X99" s="89">
        <f>0</f>
        <v>0</v>
      </c>
      <c r="Y99" s="94">
        <f ca="1">Calculation!EJ100+Calculation!ES99+'Calculations II'!O99-'Calculations II'!W99</f>
        <v>44.370051774574428</v>
      </c>
      <c r="Z99" s="94">
        <f ca="1">Y99-Sheet1!CT98</f>
        <v>28.810051774574426</v>
      </c>
      <c r="AA99" s="94">
        <f ca="1">Y99+Calculation!DJ100+Calculation!AS100</f>
        <v>54.98394448434059</v>
      </c>
      <c r="AC99" s="94">
        <f>Sheet1!AA97+Sheet1!AB97+BC99</f>
        <v>54.8</v>
      </c>
      <c r="AD99" s="94">
        <f>Sheet1!AA97+Sheet1!BN97+'Calculations II'!BC99-Calculation!AS99-Calculation!DJ99</f>
        <v>33.94256640220766</v>
      </c>
      <c r="AE99" s="94">
        <f>Sheet1!AA97+Sheet1!AB97+'Calculations II'!BC99-Calculation!AS99-Calculation!DJ99</f>
        <v>44.342566402207652</v>
      </c>
      <c r="AF99" s="94">
        <f ca="1">Sheet1!AA97+Sheet1!BN97+P99+'Calculations II'!BC99+Calculation!AS99+Calculation!DJ99</f>
        <v>54.552041697534122</v>
      </c>
      <c r="AG99" s="94">
        <f ca="1">IF(B99=TODAY(),0,Sheet1!AA97+Sheet1!BN97+'Calculations II'!BC99+'Calculations II'!P99-Sheet1!CT97-BP99)</f>
        <v>28.681608099741783</v>
      </c>
      <c r="AH99" s="94">
        <f ca="1">IF(B99=TODAY(),0,Sheet1!AA97+Sheet1!BN97+'Calculations II'!BC99+'Calculations II'!P99-BP99)</f>
        <v>44.094608099741784</v>
      </c>
      <c r="AI99" s="94">
        <f ca="1">IF(B99=TODAY(),0,BC99+Sheet1!AA97+Calculation!ES99+O99+W99+Sheet1!BN97+Calculation!AS99+Calculation!DJ99-BP99)</f>
        <v>54.552041697534122</v>
      </c>
      <c r="AJ99" s="94"/>
      <c r="AM99" s="90">
        <f t="shared" si="28"/>
        <v>42823</v>
      </c>
      <c r="AN99" s="94">
        <f>Sheet1!BU97</f>
        <v>24</v>
      </c>
      <c r="AO99" s="94">
        <f>Sheet1!AA97</f>
        <v>25.9</v>
      </c>
      <c r="AP99" s="94">
        <f t="shared" si="17"/>
        <v>0.1662000000000014</v>
      </c>
      <c r="AQ99" s="1087">
        <f>((Sheet1!BV97-(Sheet1!BU97-AP99))/(Sheet1!BU97-AP99))</f>
        <v>0.17899789374753508</v>
      </c>
      <c r="AR99" s="94">
        <f t="shared" si="18"/>
        <v>25.733799999999999</v>
      </c>
      <c r="AS99" s="94">
        <f t="shared" si="19"/>
        <v>23.8338</v>
      </c>
      <c r="AT99" s="89">
        <f>Sheet1!BB97</f>
        <v>0</v>
      </c>
      <c r="AU99" s="89">
        <f>Sheet1!AS97*GPMtoMGD</f>
        <v>1.5696000000000002E-2</v>
      </c>
      <c r="AV99" s="94">
        <f>Sheet1!AT97</f>
        <v>0</v>
      </c>
      <c r="AW99" s="89">
        <f>Sheet1!AV97*GPMtoMGD</f>
        <v>1.14192</v>
      </c>
      <c r="AX99" s="89">
        <f>Sheet1!AW97*GPMtoMGD</f>
        <v>0.16300800000000001</v>
      </c>
      <c r="AY99" s="89">
        <f>Sheet1!AX97*GPMtoMGD</f>
        <v>0</v>
      </c>
      <c r="AZ99" s="89">
        <f>Sheet1!AY97*GPMtoMGD</f>
        <v>0</v>
      </c>
      <c r="BA99" s="89">
        <f>Sheet1!AZ97*GPMtoMGD</f>
        <v>0</v>
      </c>
      <c r="BB99" s="89">
        <f>Sheet1!BP97*GPMtoMGD</f>
        <v>2.8800000000000002E-3</v>
      </c>
      <c r="BC99" s="89">
        <f>Sheet1!CS97*GPMtoMGD</f>
        <v>0</v>
      </c>
      <c r="BD99" s="89">
        <f>Sheet1!BO97*GPMtoMGD</f>
        <v>1.3420800000000002</v>
      </c>
      <c r="BE99" s="89">
        <f>Sheet1!BW97*GPMtoMGD</f>
        <v>0.82540800000000014</v>
      </c>
      <c r="BF99" s="89">
        <f>Sheet1!CN97*GPMtoMGD</f>
        <v>0.23990400000000001</v>
      </c>
      <c r="BG99" s="89">
        <f>Sheet1!CO97*GPMtoMGD</f>
        <v>0.71452800000000005</v>
      </c>
      <c r="BH99" s="89">
        <f>Sheet1!CP97*GPMtoMGD</f>
        <v>0.66283200000000009</v>
      </c>
      <c r="BI99" s="89">
        <f t="shared" si="29"/>
        <v>1.3449600000000002</v>
      </c>
      <c r="BK99" s="94">
        <f>SUM(AT99:BA99,AS99,BC99,Calculation!AQ99)</f>
        <v>43.596990402207652</v>
      </c>
      <c r="BM99" s="358">
        <f>0</f>
        <v>0</v>
      </c>
      <c r="BN99" s="358">
        <f>0</f>
        <v>0</v>
      </c>
      <c r="BP99" s="94">
        <f>SUM(BM99:BN99,W99,Sheet1!DX97)</f>
        <v>0</v>
      </c>
      <c r="BR99" s="94">
        <f>Sheet1!AA97</f>
        <v>25.9</v>
      </c>
      <c r="BS99" s="94">
        <f>Sheet1!AB97</f>
        <v>28.9</v>
      </c>
      <c r="BT99" s="94">
        <f t="shared" ca="1" si="20"/>
        <v>-0.30539190025821628</v>
      </c>
      <c r="BU99" s="94">
        <f>Sheet1!AT97</f>
        <v>0</v>
      </c>
      <c r="BV99" s="89">
        <f>Sheet1!BB97</f>
        <v>0</v>
      </c>
      <c r="BW99" s="94">
        <f>Calculation!ED99</f>
        <v>10.457433597792342</v>
      </c>
      <c r="BX99" s="94">
        <f>(Sheet1!CS97*1440)/1000000</f>
        <v>0</v>
      </c>
      <c r="CA99" s="94">
        <f ca="1">Sheet1!AC97-Sheet1!BK97-Sheet1!BL97-Sheet1!BM97-Sheet1!BC97-Sheet1!BD97-Sheet1!BE97-Sheet1!BF97-Sheet1!BG97-Sheet1!BH97-Sheet1!BI97+BC99+P99</f>
        <v>44.00460809974178</v>
      </c>
      <c r="CB99" s="93">
        <f t="shared" si="21"/>
        <v>68.597950224215239</v>
      </c>
      <c r="CC99" s="94">
        <f t="shared" si="22"/>
        <v>0</v>
      </c>
      <c r="CD99" s="94">
        <f t="shared" ca="1" si="23"/>
        <v>54.462041697534119</v>
      </c>
      <c r="CE99" s="1077">
        <f t="shared" ca="1" si="24"/>
        <v>84.252778506085278</v>
      </c>
      <c r="CG99" s="1077">
        <f t="shared" ca="1" si="25"/>
        <v>44.00460809974178</v>
      </c>
    </row>
    <row r="100" spans="1:85" s="89" customFormat="1" x14ac:dyDescent="0.25">
      <c r="A100" s="616" t="s">
        <v>7</v>
      </c>
      <c r="B100" s="91">
        <v>42824</v>
      </c>
      <c r="C100" s="92">
        <v>0</v>
      </c>
      <c r="D100" s="94">
        <f>(Sheet1!BQ98-Sheet1!BQ97)*1.385</f>
        <v>0.94179999999999964</v>
      </c>
      <c r="E100" s="30">
        <f>(Sheet1!BR98-Sheet1!BR97)*1.385</f>
        <v>0.95564999999999689</v>
      </c>
      <c r="F100" s="30">
        <f ca="1">IF(B100=TODAY(),0,-(VLOOKUP(Sheet1!CD98,Lookup!$I$4:$J$216,2)-VLOOKUP(Sheet1!CD97,Lookup!$I$4:$J$216,2))/1000000)</f>
        <v>0.41454775419119744</v>
      </c>
      <c r="G100" s="94">
        <f ca="1">IF(B100=TODAY(),0,-$G$6*(Sheet1!CF98-Sheet1!CF97)*7.48/1000000)</f>
        <v>0.59570251578838951</v>
      </c>
      <c r="H100" s="94">
        <f ca="1">IF(B100=TODAY(),0,-$H$6*(Sheet1!CE98-Sheet1!CE97)*7.48/1000000)</f>
        <v>1.5039432351265274E-2</v>
      </c>
      <c r="I100" s="94">
        <f ca="1">IF(B100=TODAY(),0,-$I$6*(Sheet1!CG98-Sheet1!CG97)*7.48/1000000)</f>
        <v>-2.2462440000000004E-2</v>
      </c>
      <c r="J100" s="95" t="s">
        <v>177</v>
      </c>
      <c r="K100" s="94">
        <f ca="1">IF(B100=TODAY(),0,-$K$6*(Sheet1!CH98-Sheet1!CH97)*7.48/1000000)</f>
        <v>-4.4644246508871555E-2</v>
      </c>
      <c r="L100" s="95" t="s">
        <v>177</v>
      </c>
      <c r="M100" s="94">
        <f ca="1">IF(B100=TODAY(),0,-$M$6*(Sheet1!CI98-Sheet1!CI97)*7.48/1000000)</f>
        <v>-9.8953296354148887E-2</v>
      </c>
      <c r="N100" s="94">
        <f ca="1">IF(B100=TODAY(),0,-$N$6*(Sheet1!CJ98-Sheet1!CJ97)*7.48/1000000)</f>
        <v>0.33508266513096968</v>
      </c>
      <c r="O100" s="94">
        <f t="shared" ca="1" si="30"/>
        <v>1.1943123845988015</v>
      </c>
      <c r="P100" s="94">
        <f ca="1">O100+Calculation!ES100</f>
        <v>-0.60682287212802977</v>
      </c>
      <c r="Q100" s="89" t="str">
        <f>IF(Sheet1!BQ98&gt;25.75,"spill elevation","-")</f>
        <v>-</v>
      </c>
      <c r="R100" s="89" t="str">
        <f>IF(Sheet1!BQ98&gt;25.75,"spill elevation","-")</f>
        <v>-</v>
      </c>
      <c r="S100" s="89" t="str">
        <f>IF(Sheet1!BR98&gt;25.75,"spill elevation","-")</f>
        <v>-</v>
      </c>
      <c r="T100" s="93">
        <f>IF(Sheet1!DU98=1,Sheet1!AA98-(SUM(AT100:BA100)+BE100),Sheet1!AA98-SUM(AT100:BA100))</f>
        <v>25.004975999999999</v>
      </c>
      <c r="U100" s="93">
        <f>Sheet1!BV98</f>
        <v>26.7</v>
      </c>
      <c r="V100" s="93">
        <f t="shared" si="27"/>
        <v>-1.6950240000000001</v>
      </c>
      <c r="W100" s="93">
        <f>0</f>
        <v>0</v>
      </c>
      <c r="X100" s="89">
        <f>0</f>
        <v>0</v>
      </c>
      <c r="Y100" s="94">
        <f ca="1">Calculation!EJ101+Calculation!ES100+'Calculations II'!O100-'Calculations II'!W100</f>
        <v>41.443033004803169</v>
      </c>
      <c r="Z100" s="94">
        <f ca="1">Y100-Sheet1!CT99</f>
        <v>25.701033004803168</v>
      </c>
      <c r="AA100" s="94">
        <f ca="1">Y100+Calculation!DJ101+Calculation!AS101</f>
        <v>52.358163876083196</v>
      </c>
      <c r="AC100" s="94">
        <f>Sheet1!AA98+Sheet1!AB98+BC100</f>
        <v>54.7</v>
      </c>
      <c r="AD100" s="94">
        <f>Sheet1!AA98+Sheet1!BN98+'Calculations II'!BC100-Calculation!AS100-Calculation!DJ100</f>
        <v>33.586107290233841</v>
      </c>
      <c r="AE100" s="94">
        <f>Sheet1!AA98+Sheet1!AB98+'Calculations II'!BC100-Calculation!AS100-Calculation!DJ100</f>
        <v>44.086107290233841</v>
      </c>
      <c r="AF100" s="94">
        <f ca="1">Sheet1!AA98+Sheet1!BN98+P100+'Calculations II'!BC100+Calculation!AS100+Calculation!DJ100</f>
        <v>54.207069837638137</v>
      </c>
      <c r="AG100" s="94">
        <f ca="1">IF(B100=TODAY(),0,Sheet1!AA98+Sheet1!BN98+'Calculations II'!BC100+'Calculations II'!P100-Sheet1!CT98-BP100)</f>
        <v>28.033177127871973</v>
      </c>
      <c r="AH100" s="94">
        <f ca="1">IF(B100=TODAY(),0,Sheet1!AA98+Sheet1!BN98+'Calculations II'!BC100+'Calculations II'!P100-BP100)</f>
        <v>43.593177127871975</v>
      </c>
      <c r="AI100" s="94">
        <f ca="1">IF(B100=TODAY(),0,BC100+Sheet1!AA98+Calculation!ES100+O100+W100+Sheet1!BN98+Calculation!AS100+Calculation!DJ100-BP100)</f>
        <v>54.20706983763813</v>
      </c>
      <c r="AJ100" s="94"/>
      <c r="AM100" s="90">
        <f t="shared" si="28"/>
        <v>42824</v>
      </c>
      <c r="AN100" s="94">
        <f>Sheet1!BU98</f>
        <v>24.4</v>
      </c>
      <c r="AO100" s="94">
        <f>Sheet1!AA98</f>
        <v>25.8</v>
      </c>
      <c r="AP100" s="94">
        <f t="shared" si="17"/>
        <v>1.8974499999999965</v>
      </c>
      <c r="AQ100" s="1087">
        <f>((Sheet1!BV98-(Sheet1!BU98-AP100))/(Sheet1!BU98-AP100))</f>
        <v>0.18653219301812443</v>
      </c>
      <c r="AR100" s="94">
        <f t="shared" si="18"/>
        <v>23.902550000000005</v>
      </c>
      <c r="AS100" s="94">
        <f t="shared" si="19"/>
        <v>22.502550000000003</v>
      </c>
      <c r="AT100" s="89">
        <f>Sheet1!BB98</f>
        <v>0</v>
      </c>
      <c r="AU100" s="89">
        <f>Sheet1!AS98*GPMtoMGD</f>
        <v>3.0960000000000001E-2</v>
      </c>
      <c r="AV100" s="94">
        <f>Sheet1!AT98</f>
        <v>0</v>
      </c>
      <c r="AW100" s="89">
        <f>Sheet1!AV98*GPMtoMGD</f>
        <v>0.33883200000000002</v>
      </c>
      <c r="AX100" s="89">
        <f>Sheet1!AW98*GPMtoMGD</f>
        <v>0.42523200000000005</v>
      </c>
      <c r="AY100" s="89">
        <f>Sheet1!AX98*GPMtoMGD</f>
        <v>0</v>
      </c>
      <c r="AZ100" s="89">
        <f>Sheet1!AY98*GPMtoMGD</f>
        <v>0</v>
      </c>
      <c r="BA100" s="89">
        <f>Sheet1!AZ98*GPMtoMGD</f>
        <v>0</v>
      </c>
      <c r="BB100" s="89">
        <f>Sheet1!BP98*GPMtoMGD</f>
        <v>2.8800000000000002E-3</v>
      </c>
      <c r="BC100" s="89">
        <f>Sheet1!CS98*GPMtoMGD</f>
        <v>0</v>
      </c>
      <c r="BD100" s="89">
        <f>Sheet1!BO98*GPMtoMGD</f>
        <v>1.6027200000000001</v>
      </c>
      <c r="BE100" s="89">
        <f>Sheet1!BW98*GPMtoMGD</f>
        <v>0.827712</v>
      </c>
      <c r="BF100" s="89">
        <f>Sheet1!CN98*GPMtoMGD</f>
        <v>0.40680000000000005</v>
      </c>
      <c r="BG100" s="89">
        <f>Sheet1!CO98*GPMtoMGD</f>
        <v>0.77788800000000013</v>
      </c>
      <c r="BH100" s="89">
        <f>Sheet1!CP98*GPMtoMGD</f>
        <v>0.67219200000000001</v>
      </c>
      <c r="BI100" s="89">
        <f t="shared" si="29"/>
        <v>1.6056000000000001</v>
      </c>
      <c r="BK100" s="94">
        <f>SUM(AT100:BA100,AS100,BC100,Calculation!AQ100)</f>
        <v>41.583681290233841</v>
      </c>
      <c r="BM100" s="358">
        <f>0</f>
        <v>0</v>
      </c>
      <c r="BN100" s="358">
        <f>0</f>
        <v>0</v>
      </c>
      <c r="BP100" s="94">
        <f>SUM(BM100:BN100,W100,Sheet1!DX98)</f>
        <v>0</v>
      </c>
      <c r="BR100" s="94">
        <f>Sheet1!AA98</f>
        <v>25.8</v>
      </c>
      <c r="BS100" s="94">
        <f>Sheet1!AB98</f>
        <v>28.9</v>
      </c>
      <c r="BT100" s="94">
        <f t="shared" ca="1" si="20"/>
        <v>-0.60682287212802977</v>
      </c>
      <c r="BU100" s="94">
        <f>Sheet1!AT98</f>
        <v>0</v>
      </c>
      <c r="BV100" s="89">
        <f>Sheet1!BB98</f>
        <v>0</v>
      </c>
      <c r="BW100" s="94">
        <f>Calculation!ED100</f>
        <v>10.613892709766162</v>
      </c>
      <c r="BX100" s="94">
        <f>(Sheet1!CS98*1440)/1000000</f>
        <v>0</v>
      </c>
      <c r="CA100" s="94">
        <f ca="1">Sheet1!AC98-Sheet1!BK98-Sheet1!BL98-Sheet1!BM98-Sheet1!BC98-Sheet1!BD98-Sheet1!BE98-Sheet1!BF98-Sheet1!BG98-Sheet1!BH98-Sheet1!BI98+BC100+P100</f>
        <v>43.413177127871975</v>
      </c>
      <c r="CB100" s="93">
        <f t="shared" si="21"/>
        <v>68.201207977991743</v>
      </c>
      <c r="CC100" s="94">
        <f t="shared" si="22"/>
        <v>0</v>
      </c>
      <c r="CD100" s="94">
        <f t="shared" ca="1" si="23"/>
        <v>54.027069837638138</v>
      </c>
      <c r="CE100" s="1077">
        <f t="shared" ca="1" si="24"/>
        <v>83.579877038826197</v>
      </c>
      <c r="CG100" s="1077">
        <f t="shared" ca="1" si="25"/>
        <v>43.413177127871975</v>
      </c>
    </row>
    <row r="101" spans="1:85" s="89" customFormat="1" x14ac:dyDescent="0.25">
      <c r="A101" s="616" t="s">
        <v>8</v>
      </c>
      <c r="B101" s="91">
        <v>42825</v>
      </c>
      <c r="C101" s="92">
        <v>0</v>
      </c>
      <c r="D101" s="94">
        <f>(Sheet1!BQ99-Sheet1!BQ98)*1.385</f>
        <v>-0.40165000000000373</v>
      </c>
      <c r="E101" s="30">
        <f>(Sheet1!BR99-Sheet1!BR98)*1.385</f>
        <v>-0.49859999999999921</v>
      </c>
      <c r="F101" s="30">
        <f ca="1">IF(B101=TODAY(),0,-(VLOOKUP(Sheet1!CD99,Lookup!$I$4:$J$216,2)-VLOOKUP(Sheet1!CD98,Lookup!$I$4:$J$216,2))/1000000)</f>
        <v>0.62182163128680179</v>
      </c>
      <c r="G101" s="94">
        <f ca="1">IF(B101=TODAY(),0,-$G$6*(Sheet1!CF99-Sheet1!CF98)*7.48/1000000)</f>
        <v>-1.0325510273665417</v>
      </c>
      <c r="H101" s="94">
        <f ca="1">IF(B101=TODAY(),0,-$H$6*(Sheet1!CE99-Sheet1!CE98)*7.48/1000000)</f>
        <v>1.5039432351265274E-2</v>
      </c>
      <c r="I101" s="94">
        <f ca="1">IF(B101=TODAY(),0,-$I$6*(Sheet1!CG99-Sheet1!CG98)*7.48/1000000)</f>
        <v>-4.4924879999999837E-3</v>
      </c>
      <c r="J101" s="95" t="s">
        <v>177</v>
      </c>
      <c r="K101" s="94">
        <f ca="1">IF(B101=TODAY(),0,-$K$6*(Sheet1!CH99-Sheet1!CH98)*7.48/1000000)</f>
        <v>-1.9989961123376082E-3</v>
      </c>
      <c r="L101" s="95" t="s">
        <v>177</v>
      </c>
      <c r="M101" s="94">
        <f ca="1">IF(B101=TODAY(),0,-$M$6*(Sheet1!CI99-Sheet1!CI98)*7.48/1000000)</f>
        <v>0</v>
      </c>
      <c r="N101" s="94">
        <f ca="1">IF(B101=TODAY(),0,-$N$6*(Sheet1!CJ99-Sheet1!CJ98)*7.48/1000000)</f>
        <v>0.322672196052044</v>
      </c>
      <c r="O101" s="94">
        <f t="shared" ca="1" si="30"/>
        <v>-7.950925178876822E-2</v>
      </c>
      <c r="P101" s="94">
        <f ca="1">O101+Calculation!ES101</f>
        <v>0.89040972657316997</v>
      </c>
      <c r="Q101" s="89" t="str">
        <f>IF(Sheet1!BQ99&gt;25.75,"spill elevation","-")</f>
        <v>-</v>
      </c>
      <c r="R101" s="89" t="str">
        <f>IF(Sheet1!BQ99&gt;25.75,"spill elevation","-")</f>
        <v>-</v>
      </c>
      <c r="S101" s="89" t="str">
        <f>IF(Sheet1!BR99&gt;25.75,"spill elevation","-")</f>
        <v>-</v>
      </c>
      <c r="T101" s="93">
        <f>IF(Sheet1!DU99=1,Sheet1!AA99-(SUM(AT101:BA101)+BE101),Sheet1!AA99-SUM(AT101:BA101))</f>
        <v>24.855504</v>
      </c>
      <c r="U101" s="93">
        <f>Sheet1!BV99</f>
        <v>29.5</v>
      </c>
      <c r="V101" s="93">
        <f t="shared" si="27"/>
        <v>-4.6444960000000002</v>
      </c>
      <c r="W101" s="93">
        <f>0</f>
        <v>0</v>
      </c>
      <c r="X101" s="89">
        <f>0</f>
        <v>0</v>
      </c>
      <c r="Y101" s="94">
        <f ca="1">Calculation!EJ102+Calculation!ES101+'Calculations II'!O101-'Calculations II'!W101</f>
        <v>43.25319820237354</v>
      </c>
      <c r="Z101" s="94">
        <f ca="1">Y101-Sheet1!CT100</f>
        <v>26.88119820237354</v>
      </c>
      <c r="AA101" s="94">
        <f ca="1">Y101+Calculation!DJ102+Calculation!AS102</f>
        <v>54.188896650267111</v>
      </c>
      <c r="AC101" s="94">
        <f>Sheet1!AA99+Sheet1!AB99+BC101</f>
        <v>53.5</v>
      </c>
      <c r="AD101" s="94">
        <f>Sheet1!AA99+Sheet1!BN99+'Calculations II'!BC101-Calculation!AS101-Calculation!DJ101</f>
        <v>31.784869128719976</v>
      </c>
      <c r="AE101" s="94">
        <f>Sheet1!AA99+Sheet1!AB99+'Calculations II'!BC101-Calculation!AS101-Calculation!DJ101</f>
        <v>42.584869128719973</v>
      </c>
      <c r="AF101" s="94">
        <f ca="1">Sheet1!AA99+Sheet1!BN99+P101+'Calculations II'!BC101+Calculation!AS101+Calculation!DJ101</f>
        <v>54.505540597853198</v>
      </c>
      <c r="AG101" s="94">
        <f ca="1">IF(B101=TODAY(),0,Sheet1!AA99+Sheet1!BN99+'Calculations II'!BC101+'Calculations II'!P101-Sheet1!CT99-BP101)</f>
        <v>27.84840972657317</v>
      </c>
      <c r="AH101" s="94">
        <f ca="1">IF(B101=TODAY(),0,Sheet1!AA99+Sheet1!BN99+'Calculations II'!BC101+'Calculations II'!P101-BP101)</f>
        <v>43.590409726573171</v>
      </c>
      <c r="AI101" s="94">
        <f ca="1">IF(B101=TODAY(),0,BC101+Sheet1!AA99+Calculation!ES101+O101+W101+Sheet1!BN99+Calculation!AS101+Calculation!DJ101-BP101)</f>
        <v>54.505540597853198</v>
      </c>
      <c r="AJ101" s="94"/>
      <c r="AM101" s="90">
        <f t="shared" si="28"/>
        <v>42825</v>
      </c>
      <c r="AN101" s="94">
        <f>Sheet1!BU99</f>
        <v>24.4</v>
      </c>
      <c r="AO101" s="94">
        <f>Sheet1!AA99</f>
        <v>25.8</v>
      </c>
      <c r="AP101" s="94">
        <f t="shared" si="17"/>
        <v>-0.90025000000000288</v>
      </c>
      <c r="AQ101" s="1087">
        <f>((Sheet1!BV99-(Sheet1!BU99-AP101))/(Sheet1!BU99-AP101))</f>
        <v>0.16599638343494622</v>
      </c>
      <c r="AR101" s="94">
        <f t="shared" si="18"/>
        <v>26.700250000000004</v>
      </c>
      <c r="AS101" s="94">
        <f t="shared" si="19"/>
        <v>25.300250000000002</v>
      </c>
      <c r="AT101" s="89">
        <f>Sheet1!BB99</f>
        <v>0</v>
      </c>
      <c r="AU101" s="89">
        <f>Sheet1!AS99*GPMtoMGD</f>
        <v>1.584E-2</v>
      </c>
      <c r="AV101" s="94">
        <f>Sheet1!AT99</f>
        <v>0</v>
      </c>
      <c r="AW101" s="89">
        <f>Sheet1!AV99*GPMtoMGD</f>
        <v>0.34272000000000002</v>
      </c>
      <c r="AX101" s="89">
        <f>Sheet1!AW99*GPMtoMGD</f>
        <v>0.58593600000000001</v>
      </c>
      <c r="AY101" s="89">
        <f>Sheet1!AX99*GPMtoMGD</f>
        <v>0</v>
      </c>
      <c r="AZ101" s="89">
        <f>Sheet1!AY99*GPMtoMGD</f>
        <v>0</v>
      </c>
      <c r="BA101" s="89">
        <f>Sheet1!AZ99*GPMtoMGD</f>
        <v>0</v>
      </c>
      <c r="BB101" s="89">
        <f>Sheet1!BP99*GPMtoMGD</f>
        <v>2.8800000000000002E-3</v>
      </c>
      <c r="BC101" s="89">
        <f>Sheet1!CS99*GPMtoMGD</f>
        <v>0</v>
      </c>
      <c r="BD101" s="89">
        <f>Sheet1!BO99*GPMtoMGD</f>
        <v>1.471824</v>
      </c>
      <c r="BE101" s="89">
        <f>Sheet1!BW99*GPMtoMGD</f>
        <v>0.59846400000000011</v>
      </c>
      <c r="BF101" s="89">
        <f>Sheet1!CN99*GPMtoMGD</f>
        <v>0.25387200000000004</v>
      </c>
      <c r="BG101" s="89">
        <f>Sheet1!CO99*GPMtoMGD</f>
        <v>0.802512</v>
      </c>
      <c r="BH101" s="89">
        <f>Sheet1!CP99*GPMtoMGD</f>
        <v>0.65577600000000003</v>
      </c>
      <c r="BI101" s="89">
        <f t="shared" si="29"/>
        <v>1.474704</v>
      </c>
      <c r="BK101" s="94">
        <f>SUM(AT101:BA101,AS101,BC101,Calculation!AQ101)</f>
        <v>43.029615128719968</v>
      </c>
      <c r="BM101" s="358">
        <f>0</f>
        <v>0</v>
      </c>
      <c r="BN101" s="358">
        <f>0</f>
        <v>0</v>
      </c>
      <c r="BP101" s="94">
        <f>SUM(BM101:BN101,W101,Sheet1!DX99)</f>
        <v>0</v>
      </c>
      <c r="BR101" s="94">
        <f>Sheet1!AA99</f>
        <v>25.8</v>
      </c>
      <c r="BS101" s="94">
        <f>Sheet1!AB99</f>
        <v>27.7</v>
      </c>
      <c r="BT101" s="94">
        <f t="shared" ca="1" si="20"/>
        <v>0.89040972657316997</v>
      </c>
      <c r="BU101" s="94">
        <f>Sheet1!AT99</f>
        <v>0</v>
      </c>
      <c r="BV101" s="89">
        <f>Sheet1!BB99</f>
        <v>0</v>
      </c>
      <c r="BW101" s="94">
        <f>Calculation!ED101</f>
        <v>10.915130871280029</v>
      </c>
      <c r="BX101" s="94">
        <f>(Sheet1!CS99*1440)/1000000</f>
        <v>0</v>
      </c>
      <c r="CA101" s="94">
        <f ca="1">Sheet1!AC99-Sheet1!BK99-Sheet1!BL99-Sheet1!BM99-Sheet1!BC99-Sheet1!BD99-Sheet1!BE99-Sheet1!BF99-Sheet1!BG99-Sheet1!BH99-Sheet1!BI99+BC101+P101</f>
        <v>43.400409726573173</v>
      </c>
      <c r="CB101" s="93">
        <f t="shared" si="21"/>
        <v>65.878792542129801</v>
      </c>
      <c r="CC101" s="94">
        <f t="shared" si="22"/>
        <v>0</v>
      </c>
      <c r="CD101" s="94">
        <f t="shared" ca="1" si="23"/>
        <v>54.3155405978532</v>
      </c>
      <c r="CE101" s="1077">
        <f t="shared" ca="1" si="24"/>
        <v>84.026141304878891</v>
      </c>
      <c r="CG101" s="1077">
        <f t="shared" ca="1" si="25"/>
        <v>43.400409726573173</v>
      </c>
    </row>
    <row r="102" spans="1:85" s="89" customFormat="1" x14ac:dyDescent="0.25">
      <c r="A102" s="616" t="s">
        <v>9</v>
      </c>
      <c r="B102" s="91">
        <v>42826</v>
      </c>
      <c r="C102" s="92">
        <v>0</v>
      </c>
      <c r="D102" s="94">
        <f>(Sheet1!BQ100-Sheet1!BQ99)*1.385</f>
        <v>-0.83099999999999707</v>
      </c>
      <c r="E102" s="30">
        <f>(Sheet1!BR100-Sheet1!BR99)*1.385</f>
        <v>-0.83100000000000196</v>
      </c>
      <c r="F102" s="30">
        <f ca="1">IF(B102=TODAY(),0,-(VLOOKUP(Sheet1!CD100,Lookup!$I$4:$J$216,2)-VLOOKUP(Sheet1!CD99,Lookup!$I$4:$J$216,2))/1000000)</f>
        <v>0.31091081564339806</v>
      </c>
      <c r="G102" s="94">
        <f ca="1">IF(B102=TODAY(),0,-$G$6*(Sheet1!CF100-Sheet1!CF99)*7.48/1000000)</f>
        <v>0.39713501052559297</v>
      </c>
      <c r="H102" s="94">
        <f ca="1">IF(B102=TODAY(),0,-$H$6*(Sheet1!CE100-Sheet1!CE99)*7.48/1000000)</f>
        <v>-1.5039432351265274E-2</v>
      </c>
      <c r="I102" s="94">
        <f ca="1">IF(B102=TODAY(),0,-$I$6*(Sheet1!CG100-Sheet1!CG99)*7.48/1000000)</f>
        <v>4.4924879999999837E-3</v>
      </c>
      <c r="J102" s="95" t="s">
        <v>177</v>
      </c>
      <c r="K102" s="94">
        <f ca="1">IF(B102=TODAY(),0,-$K$6*(Sheet1!CH100-Sheet1!CH99)*7.48/1000000)</f>
        <v>-6.6633203744584186E-3</v>
      </c>
      <c r="L102" s="95" t="s">
        <v>177</v>
      </c>
      <c r="M102" s="94">
        <f ca="1">IF(B102=TODAY(),0,-$M$6*(Sheet1!CI100-Sheet1!CI99)*7.48/1000000)</f>
        <v>3.598301685605397E-2</v>
      </c>
      <c r="N102" s="94">
        <f ca="1">IF(B102=TODAY(),0,-$N$6*(Sheet1!CJ100-Sheet1!CJ99)*7.48/1000000)</f>
        <v>6.2052345394623676E-2</v>
      </c>
      <c r="O102" s="94">
        <f t="shared" ca="1" si="30"/>
        <v>0.78887092369394507</v>
      </c>
      <c r="P102" s="94">
        <f ca="1">O102+Calculation!ES102</f>
        <v>2.4511881143855616</v>
      </c>
      <c r="Q102" s="89" t="str">
        <f>IF(Sheet1!BQ100&gt;25.75,"spill elevation","-")</f>
        <v>-</v>
      </c>
      <c r="R102" s="89" t="str">
        <f>IF(Sheet1!BQ100&gt;25.75,"spill elevation","-")</f>
        <v>-</v>
      </c>
      <c r="S102" s="89" t="str">
        <f>IF(Sheet1!BR100&gt;25.75,"spill elevation","-")</f>
        <v>-</v>
      </c>
      <c r="T102" s="93">
        <f>IF(Sheet1!DU100=1,Sheet1!AA100-(SUM(AT102:BA102)+BE102),Sheet1!AA100-SUM(AT102:BA102))</f>
        <v>24.440384000000002</v>
      </c>
      <c r="U102" s="93">
        <f>Sheet1!BV100</f>
        <v>30.2</v>
      </c>
      <c r="V102" s="93">
        <f t="shared" si="27"/>
        <v>-5.7596159999999976</v>
      </c>
      <c r="W102" s="93">
        <f>0</f>
        <v>0</v>
      </c>
      <c r="X102" s="89">
        <f>0</f>
        <v>0</v>
      </c>
      <c r="Y102" s="94">
        <f ca="1">Calculation!EJ103+Calculation!ES102+'Calculations II'!O102-'Calculations II'!W102</f>
        <v>43.158234714480791</v>
      </c>
      <c r="Z102" s="94">
        <f ca="1">Y102-Sheet1!CT101</f>
        <v>27.614234714480791</v>
      </c>
      <c r="AA102" s="94">
        <f ca="1">Y102+Calculation!DJ103+Calculation!AS103</f>
        <v>54.127622394303735</v>
      </c>
      <c r="AC102" s="94">
        <f>Sheet1!AA100+Sheet1!AB100+BC102</f>
        <v>52.85</v>
      </c>
      <c r="AD102" s="94">
        <f>Sheet1!AA100+Sheet1!BN100+'Calculations II'!BC102-Calculation!AS102-Calculation!DJ102</f>
        <v>31.014301552106431</v>
      </c>
      <c r="AE102" s="94">
        <f>Sheet1!AA100+Sheet1!AB100+'Calculations II'!BC102-Calculation!AS102-Calculation!DJ102</f>
        <v>41.91430155210643</v>
      </c>
      <c r="AF102" s="94">
        <f ca="1">Sheet1!AA100+Sheet1!BN100+P102+'Calculations II'!BC102+Calculation!AS102+Calculation!DJ102</f>
        <v>55.336886562279133</v>
      </c>
      <c r="AG102" s="94">
        <f ca="1">IF(B102=TODAY(),0,Sheet1!AA100+Sheet1!BN100+'Calculations II'!BC102+'Calculations II'!P102-Sheet1!CT100-BP102)</f>
        <v>28.029188114385562</v>
      </c>
      <c r="AH102" s="94">
        <f ca="1">IF(B102=TODAY(),0,Sheet1!AA100+Sheet1!BN100+'Calculations II'!BC102+'Calculations II'!P102-BP102)</f>
        <v>44.401188114385562</v>
      </c>
      <c r="AI102" s="94">
        <f ca="1">IF(B102=TODAY(),0,BC102+Sheet1!AA100+Calculation!ES102+O102+W102+Sheet1!BN100+Calculation!AS102+Calculation!DJ102-BP102)</f>
        <v>55.336886562279133</v>
      </c>
      <c r="AJ102" s="94"/>
      <c r="AM102" s="90">
        <f t="shared" si="28"/>
        <v>42826</v>
      </c>
      <c r="AN102" s="94">
        <f>Sheet1!BU100</f>
        <v>24.1</v>
      </c>
      <c r="AO102" s="94">
        <f>Sheet1!AA100</f>
        <v>25.85</v>
      </c>
      <c r="AP102" s="94">
        <f t="shared" si="17"/>
        <v>-1.661999999999999</v>
      </c>
      <c r="AQ102" s="1087">
        <f>((Sheet1!BV100-(Sheet1!BU100-AP102))/(Sheet1!BU100-AP102))</f>
        <v>0.17226923375514319</v>
      </c>
      <c r="AR102" s="94">
        <f t="shared" si="18"/>
        <v>27.512</v>
      </c>
      <c r="AS102" s="94">
        <f t="shared" si="19"/>
        <v>25.762</v>
      </c>
      <c r="AT102" s="89">
        <f>Sheet1!BB100</f>
        <v>0</v>
      </c>
      <c r="AU102" s="89">
        <f>Sheet1!AS100*GPMtoMGD</f>
        <v>1.6272000000000002E-2</v>
      </c>
      <c r="AV102" s="94">
        <f>Sheet1!AT100</f>
        <v>0</v>
      </c>
      <c r="AW102" s="89">
        <f>Sheet1!AV100*GPMtoMGD</f>
        <v>0.59011200000000008</v>
      </c>
      <c r="AX102" s="89">
        <f>Sheet1!AW100*GPMtoMGD</f>
        <v>0.80323199999999995</v>
      </c>
      <c r="AY102" s="89">
        <f>Sheet1!AX100*GPMtoMGD</f>
        <v>0</v>
      </c>
      <c r="AZ102" s="89">
        <f>Sheet1!AY100*GPMtoMGD</f>
        <v>0</v>
      </c>
      <c r="BA102" s="89">
        <f>Sheet1!AZ100*GPMtoMGD</f>
        <v>0</v>
      </c>
      <c r="BB102" s="89">
        <f>Sheet1!BP100*GPMtoMGD</f>
        <v>2.8800000000000002E-3</v>
      </c>
      <c r="BC102" s="89">
        <f>Sheet1!CS100*GPMtoMGD</f>
        <v>0</v>
      </c>
      <c r="BD102" s="89">
        <f>Sheet1!BO100*GPMtoMGD</f>
        <v>1.4669280000000002</v>
      </c>
      <c r="BE102" s="89">
        <f>Sheet1!BW100*GPMtoMGD</f>
        <v>0.83692800000000012</v>
      </c>
      <c r="BF102" s="89">
        <f>Sheet1!CN100*GPMtoMGD</f>
        <v>0.56145599999999996</v>
      </c>
      <c r="BG102" s="89">
        <f>Sheet1!CO100*GPMtoMGD</f>
        <v>0.61646400000000012</v>
      </c>
      <c r="BH102" s="89">
        <f>Sheet1!CP100*GPMtoMGD</f>
        <v>0.63777600000000001</v>
      </c>
      <c r="BI102" s="89">
        <f t="shared" si="29"/>
        <v>1.4698080000000002</v>
      </c>
      <c r="BK102" s="94">
        <f>SUM(AT102:BA102,AS102,BC102,Calculation!AQ102)</f>
        <v>43.235917552106429</v>
      </c>
      <c r="BM102" s="358">
        <f>0</f>
        <v>0</v>
      </c>
      <c r="BN102" s="358">
        <f>0</f>
        <v>0</v>
      </c>
      <c r="BP102" s="94">
        <f>SUM(BM102:BN102,W102,Sheet1!DX100)</f>
        <v>0</v>
      </c>
      <c r="BR102" s="94">
        <f>Sheet1!AA100</f>
        <v>25.85</v>
      </c>
      <c r="BS102" s="94">
        <f>Sheet1!AB100</f>
        <v>27</v>
      </c>
      <c r="BT102" s="94">
        <f t="shared" ca="1" si="20"/>
        <v>2.4511881143855616</v>
      </c>
      <c r="BU102" s="94">
        <f>Sheet1!AT100</f>
        <v>0</v>
      </c>
      <c r="BV102" s="89">
        <f>Sheet1!BB100</f>
        <v>0</v>
      </c>
      <c r="BW102" s="94">
        <f>Calculation!ED102</f>
        <v>10.93569844789357</v>
      </c>
      <c r="BX102" s="94">
        <f>(Sheet1!CS100*1440)/1000000</f>
        <v>0</v>
      </c>
      <c r="CA102" s="94">
        <f ca="1">Sheet1!AC100-Sheet1!BK100-Sheet1!BL100-Sheet1!BM100-Sheet1!BC100-Sheet1!BD100-Sheet1!BE100-Sheet1!BF100-Sheet1!BG100-Sheet1!BH100-Sheet1!BI100+BC102+P102</f>
        <v>44.34118811438556</v>
      </c>
      <c r="CB102" s="93">
        <f t="shared" si="21"/>
        <v>64.841424501108648</v>
      </c>
      <c r="CC102" s="94">
        <f t="shared" si="22"/>
        <v>0</v>
      </c>
      <c r="CD102" s="94">
        <f t="shared" ca="1" si="23"/>
        <v>55.276886562279131</v>
      </c>
      <c r="CE102" s="1077">
        <f t="shared" ca="1" si="24"/>
        <v>85.513343511845818</v>
      </c>
      <c r="CG102" s="1077">
        <f t="shared" ca="1" si="25"/>
        <v>44.34118811438556</v>
      </c>
    </row>
    <row r="103" spans="1:85" s="89" customFormat="1" x14ac:dyDescent="0.25">
      <c r="A103" s="616" t="s">
        <v>3</v>
      </c>
      <c r="B103" s="91">
        <v>42827</v>
      </c>
      <c r="C103" s="92">
        <v>0</v>
      </c>
      <c r="D103" s="94">
        <f>(Sheet1!BQ101-Sheet1!BQ100)*1.385</f>
        <v>-1.5235000000000021</v>
      </c>
      <c r="E103" s="30">
        <f>(Sheet1!BR101-Sheet1!BR100)*1.385</f>
        <v>-1.385</v>
      </c>
      <c r="F103" s="30">
        <f ca="1">IF(B103=TODAY(),0,-(VLOOKUP(Sheet1!CD101,Lookup!$I$4:$J$216,2)-VLOOKUP(Sheet1!CD100,Lookup!$I$4:$J$216,2))/1000000)</f>
        <v>-0.93273244693019985</v>
      </c>
      <c r="G103" s="94">
        <f ca="1">IF(B103=TODAY(),0,-$G$6*(Sheet1!CF101-Sheet1!CF100)*7.48/1000000)</f>
        <v>0.43684851157815213</v>
      </c>
      <c r="H103" s="94">
        <f ca="1">IF(B103=TODAY(),0,-$H$6*(Sheet1!CE101-Sheet1!CE100)*7.48/1000000)</f>
        <v>0</v>
      </c>
      <c r="I103" s="94">
        <f ca="1">IF(B103=TODAY(),0,-$I$6*(Sheet1!CG101-Sheet1!CG100)*7.48/1000000)</f>
        <v>1.3477463999999995E-2</v>
      </c>
      <c r="J103" s="95" t="s">
        <v>177</v>
      </c>
      <c r="K103" s="94">
        <f ca="1">IF(B103=TODAY(),0,-$K$6*(Sheet1!CH101-Sheet1!CH100)*7.48/1000000)</f>
        <v>2.6653281497833796E-2</v>
      </c>
      <c r="L103" s="95" t="s">
        <v>177</v>
      </c>
      <c r="M103" s="94">
        <f ca="1">IF(B103=TODAY(),0,-$M$6*(Sheet1!CI101-Sheet1!CI100)*7.48/1000000)</f>
        <v>8.9957542140135238E-2</v>
      </c>
      <c r="N103" s="94">
        <f ca="1">IF(B103=TODAY(),0,-$N$6*(Sheet1!CJ101-Sheet1!CJ100)*7.48/1000000)</f>
        <v>-0.37231407236774317</v>
      </c>
      <c r="O103" s="94">
        <f t="shared" ca="1" si="30"/>
        <v>-0.73810972008182185</v>
      </c>
      <c r="P103" s="94">
        <f ca="1">O103+Calculation!ES103</f>
        <v>2.1698142572455326</v>
      </c>
      <c r="Q103" s="89" t="str">
        <f>IF(Sheet1!BQ101&gt;25.75,"spill elevation","-")</f>
        <v>-</v>
      </c>
      <c r="R103" s="89" t="str">
        <f>IF(Sheet1!BQ101&gt;25.75,"spill elevation","-")</f>
        <v>-</v>
      </c>
      <c r="S103" s="89" t="str">
        <f>IF(Sheet1!BR101&gt;25.75,"spill elevation","-")</f>
        <v>-</v>
      </c>
      <c r="T103" s="93">
        <f>IF(Sheet1!DU101=1,Sheet1!AA101-(SUM(AT103:BA103)+BE103),Sheet1!AA101-SUM(AT103:BA103))</f>
        <v>24.845456000000002</v>
      </c>
      <c r="U103" s="93">
        <f>Sheet1!BV101</f>
        <v>32.200000000000003</v>
      </c>
      <c r="V103" s="93">
        <f t="shared" si="27"/>
        <v>-7.3545440000000006</v>
      </c>
      <c r="W103" s="93">
        <f>0</f>
        <v>0</v>
      </c>
      <c r="X103" s="89">
        <f>0</f>
        <v>0</v>
      </c>
      <c r="Y103" s="94">
        <f ca="1">Calculation!EJ104+Calculation!ES103+'Calculations II'!O103-'Calculations II'!W103</f>
        <v>42.185306034214072</v>
      </c>
      <c r="Z103" s="94">
        <f ca="1">Y103-Sheet1!CT102</f>
        <v>26.724306034214074</v>
      </c>
      <c r="AA103" s="94">
        <f ca="1">Y103+Calculation!DJ104+Calculation!AS104</f>
        <v>52.931192110163437</v>
      </c>
      <c r="AC103" s="94">
        <f>Sheet1!AA101+Sheet1!AB101+BC103</f>
        <v>52.86</v>
      </c>
      <c r="AD103" s="94">
        <f>Sheet1!AA101+Sheet1!BN101+'Calculations II'!BC103-Calculation!AS103-Calculation!DJ103</f>
        <v>30.980612320177059</v>
      </c>
      <c r="AE103" s="94">
        <f>Sheet1!AA101+Sheet1!AB101+'Calculations II'!BC103-Calculation!AS103-Calculation!DJ103</f>
        <v>41.890612320177055</v>
      </c>
      <c r="AF103" s="94">
        <f ca="1">Sheet1!AA101+Sheet1!BN101+P103+'Calculations II'!BC103+Calculation!AS103+Calculation!DJ103</f>
        <v>55.089201937068481</v>
      </c>
      <c r="AG103" s="94">
        <f ca="1">IF(B103=TODAY(),0,Sheet1!AA101+Sheet1!BN101+'Calculations II'!BC103+'Calculations II'!P103-Sheet1!CT101-BP103)</f>
        <v>28.575814257245536</v>
      </c>
      <c r="AH103" s="94">
        <f ca="1">IF(B103=TODAY(),0,Sheet1!AA101+Sheet1!BN101+'Calculations II'!BC103+'Calculations II'!P103-BP103)</f>
        <v>44.119814257245537</v>
      </c>
      <c r="AI103" s="94">
        <f ca="1">IF(B103=TODAY(),0,BC103+Sheet1!AA101+Calculation!ES103+O103+W103+Sheet1!BN101+Calculation!AS103+Calculation!DJ103-BP103)</f>
        <v>55.089201937068481</v>
      </c>
      <c r="AJ103" s="94"/>
      <c r="AM103" s="90">
        <f t="shared" si="28"/>
        <v>42827</v>
      </c>
      <c r="AN103" s="94">
        <f>Sheet1!BU101</f>
        <v>24.4</v>
      </c>
      <c r="AO103" s="94">
        <f>Sheet1!AA101</f>
        <v>25.85</v>
      </c>
      <c r="AP103" s="94">
        <f t="shared" si="17"/>
        <v>-2.9085000000000019</v>
      </c>
      <c r="AQ103" s="1087">
        <f>((Sheet1!BV101-(Sheet1!BU101-AP103))/(Sheet1!BU101-AP103))</f>
        <v>0.17912005419558014</v>
      </c>
      <c r="AR103" s="94">
        <f t="shared" si="18"/>
        <v>28.758500000000005</v>
      </c>
      <c r="AS103" s="94">
        <f t="shared" si="19"/>
        <v>27.308500000000002</v>
      </c>
      <c r="AT103" s="89">
        <f>Sheet1!BB101</f>
        <v>0</v>
      </c>
      <c r="AU103" s="89">
        <f>Sheet1!AS101*GPMtoMGD</f>
        <v>3.0672000000000001E-2</v>
      </c>
      <c r="AV103" s="94">
        <f>Sheet1!AT101</f>
        <v>0</v>
      </c>
      <c r="AW103" s="89">
        <f>Sheet1!AV101*GPMtoMGD</f>
        <v>0.43142400000000009</v>
      </c>
      <c r="AX103" s="89">
        <f>Sheet1!AW101*GPMtoMGD</f>
        <v>0.54244800000000004</v>
      </c>
      <c r="AY103" s="89">
        <f>Sheet1!AX101*GPMtoMGD</f>
        <v>0</v>
      </c>
      <c r="AZ103" s="89">
        <f>Sheet1!AY101*GPMtoMGD</f>
        <v>0</v>
      </c>
      <c r="BA103" s="89">
        <f>Sheet1!AZ101*GPMtoMGD</f>
        <v>0</v>
      </c>
      <c r="BB103" s="89">
        <f>Sheet1!BP101*GPMtoMGD</f>
        <v>2.8800000000000002E-3</v>
      </c>
      <c r="BC103" s="89">
        <f>Sheet1!CS101*GPMtoMGD</f>
        <v>0</v>
      </c>
      <c r="BD103" s="89">
        <f>Sheet1!BO101*GPMtoMGD</f>
        <v>1.5203519999999999</v>
      </c>
      <c r="BE103" s="89">
        <f>Sheet1!BW101*GPMtoMGD</f>
        <v>0.87350400000000006</v>
      </c>
      <c r="BF103" s="89">
        <f>Sheet1!CN101*GPMtoMGD</f>
        <v>0.8906400000000001</v>
      </c>
      <c r="BG103" s="89">
        <f>Sheet1!CO101*GPMtoMGD</f>
        <v>0.64843200000000001</v>
      </c>
      <c r="BH103" s="89">
        <f>Sheet1!CP101*GPMtoMGD</f>
        <v>0.64022400000000013</v>
      </c>
      <c r="BI103" s="89">
        <f t="shared" si="29"/>
        <v>1.5232319999999999</v>
      </c>
      <c r="BK103" s="94">
        <f>SUM(AT103:BA103,AS103,BC103,Calculation!AQ103)</f>
        <v>44.353656320177059</v>
      </c>
      <c r="BM103" s="358">
        <f>0</f>
        <v>0</v>
      </c>
      <c r="BN103" s="358">
        <f>0</f>
        <v>0</v>
      </c>
      <c r="BP103" s="94">
        <f>SUM(BM103:BN103,W103,Sheet1!DX101)</f>
        <v>0</v>
      </c>
      <c r="BR103" s="94">
        <f>Sheet1!AA101</f>
        <v>25.85</v>
      </c>
      <c r="BS103" s="94">
        <f>Sheet1!AB101</f>
        <v>27.01</v>
      </c>
      <c r="BT103" s="94">
        <f t="shared" ca="1" si="20"/>
        <v>2.1698142572455326</v>
      </c>
      <c r="BU103" s="94">
        <f>Sheet1!AT101</f>
        <v>0</v>
      </c>
      <c r="BV103" s="89">
        <f>Sheet1!BB101</f>
        <v>0</v>
      </c>
      <c r="BW103" s="94">
        <f>Calculation!ED103</f>
        <v>10.969387679822944</v>
      </c>
      <c r="BX103" s="94">
        <f>(Sheet1!CS101*1440)/1000000</f>
        <v>0</v>
      </c>
      <c r="CA103" s="94">
        <f ca="1">Sheet1!AC101-Sheet1!BK101-Sheet1!BL101-Sheet1!BM101-Sheet1!BC101-Sheet1!BD101-Sheet1!BE101-Sheet1!BF101-Sheet1!BG101-Sheet1!BH101-Sheet1!BI101+BC103+P103</f>
        <v>44.019814257245535</v>
      </c>
      <c r="CB103" s="93">
        <f t="shared" si="21"/>
        <v>64.804777259313909</v>
      </c>
      <c r="CC103" s="94">
        <f t="shared" si="22"/>
        <v>0</v>
      </c>
      <c r="CD103" s="94">
        <f t="shared" ca="1" si="23"/>
        <v>54.989201937068479</v>
      </c>
      <c r="CE103" s="1077">
        <f t="shared" ca="1" si="24"/>
        <v>85.068295396644928</v>
      </c>
      <c r="CG103" s="1077">
        <f t="shared" ca="1" si="25"/>
        <v>44.019814257245535</v>
      </c>
    </row>
    <row r="104" spans="1:85" s="89" customFormat="1" x14ac:dyDescent="0.25">
      <c r="A104" s="616" t="s">
        <v>4</v>
      </c>
      <c r="B104" s="91">
        <v>42828</v>
      </c>
      <c r="C104" s="92">
        <v>0</v>
      </c>
      <c r="D104" s="94">
        <f>(Sheet1!BQ102-Sheet1!BQ101)*1.385</f>
        <v>-3.3239999999999981</v>
      </c>
      <c r="E104" s="30">
        <f>(Sheet1!BR102-Sheet1!BR101)*1.385</f>
        <v>-3.1854999999999962</v>
      </c>
      <c r="F104" s="30">
        <f ca="1">IF(B104=TODAY(),0,-(VLOOKUP(Sheet1!CD102,Lookup!$I$4:$J$216,2)-VLOOKUP(Sheet1!CD101,Lookup!$I$4:$J$216,2))/1000000)</f>
        <v>-0.51818469273899681</v>
      </c>
      <c r="G104" s="94">
        <f ca="1">IF(B104=TODAY(),0,-$G$6*(Sheet1!CF102-Sheet1!CF101)*7.48/1000000)</f>
        <v>0.3574215094730338</v>
      </c>
      <c r="H104" s="94">
        <f ca="1">IF(B104=TODAY(),0,-$H$6*(Sheet1!CE102-Sheet1!CE101)*7.48/1000000)</f>
        <v>0</v>
      </c>
      <c r="I104" s="94">
        <f ca="1">IF(B104=TODAY(),0,-$I$6*(Sheet1!CG102-Sheet1!CG101)*7.48/1000000)</f>
        <v>0</v>
      </c>
      <c r="J104" s="95" t="s">
        <v>177</v>
      </c>
      <c r="K104" s="94">
        <f ca="1">IF(B104=TODAY(),0,-$K$6*(Sheet1!CH102-Sheet1!CH101)*7.48/1000000)</f>
        <v>0</v>
      </c>
      <c r="L104" s="95" t="s">
        <v>177</v>
      </c>
      <c r="M104" s="94">
        <f ca="1">IF(B104=TODAY(),0,-$M$6*(Sheet1!CI102-Sheet1!CI101)*7.48/1000000)</f>
        <v>0</v>
      </c>
      <c r="N104" s="94">
        <f ca="1">IF(B104=TODAY(),0,-$N$6*(Sheet1!CJ102-Sheet1!CJ101)*7.48/1000000)</f>
        <v>0.18615703618387214</v>
      </c>
      <c r="O104" s="94">
        <f t="shared" ca="1" si="30"/>
        <v>2.5393852917909132E-2</v>
      </c>
      <c r="P104" s="94">
        <f ca="1">O104+Calculation!ES104</f>
        <v>6.5285083972138276</v>
      </c>
      <c r="Q104" s="89" t="str">
        <f>IF(Sheet1!BQ102&gt;25.75,"spill elevation","-")</f>
        <v>-</v>
      </c>
      <c r="R104" s="89" t="str">
        <f>IF(Sheet1!BQ102&gt;25.75,"spill elevation","-")</f>
        <v>-</v>
      </c>
      <c r="S104" s="89" t="str">
        <f>IF(Sheet1!BR102&gt;25.75,"spill elevation","-")</f>
        <v>-</v>
      </c>
      <c r="T104" s="93">
        <f>IF(Sheet1!DU102=1,Sheet1!AA102-(SUM(AT104:BA104)+BE104),Sheet1!AA102-SUM(AT104:BA104))</f>
        <v>24.164016</v>
      </c>
      <c r="U104" s="93">
        <f>Sheet1!BV102</f>
        <v>35.6</v>
      </c>
      <c r="V104" s="93">
        <f t="shared" si="27"/>
        <v>-11.435984000000001</v>
      </c>
      <c r="W104" s="93">
        <f>0</f>
        <v>0</v>
      </c>
      <c r="X104" s="89">
        <f>0</f>
        <v>0</v>
      </c>
      <c r="Y104" s="94">
        <f ca="1">Calculation!EJ105+Calculation!ES104+'Calculations II'!O104-'Calculations II'!W104</f>
        <v>48.232616930097443</v>
      </c>
      <c r="Z104" s="94">
        <f ca="1">Y104-Sheet1!CT103</f>
        <v>32.944616930097439</v>
      </c>
      <c r="AA104" s="94">
        <f ca="1">Y104+Calculation!DJ105+Calculation!AS105</f>
        <v>58.681542059823165</v>
      </c>
      <c r="AC104" s="94">
        <f>Sheet1!AA102+Sheet1!AB102+BC104</f>
        <v>51</v>
      </c>
      <c r="AD104" s="94">
        <f>Sheet1!AA102+Sheet1!BN102+'Calculations II'!BC104-Calculation!AS104-Calculation!DJ104</f>
        <v>29.554113924050633</v>
      </c>
      <c r="AE104" s="94">
        <f>Sheet1!AA102+Sheet1!AB102+'Calculations II'!BC104-Calculation!AS104-Calculation!DJ104</f>
        <v>40.254113924050635</v>
      </c>
      <c r="AF104" s="94">
        <f ca="1">Sheet1!AA102+Sheet1!BN102+P104+'Calculations II'!BC104+Calculation!AS104+Calculation!DJ104</f>
        <v>57.574394473163188</v>
      </c>
      <c r="AG104" s="94">
        <f ca="1">IF(B104=TODAY(),0,Sheet1!AA102+Sheet1!BN102+'Calculations II'!BC104+'Calculations II'!P104-Sheet1!CT102-BP104)</f>
        <v>31.367508397213825</v>
      </c>
      <c r="AH104" s="94">
        <f ca="1">IF(B104=TODAY(),0,Sheet1!AA102+Sheet1!BN102+'Calculations II'!BC104+'Calculations II'!P104-BP104)</f>
        <v>46.828508397213824</v>
      </c>
      <c r="AI104" s="94">
        <f ca="1">IF(B104=TODAY(),0,BC104+Sheet1!AA102+Calculation!ES104+O104+W104+Sheet1!BN102+Calculation!AS104+Calculation!DJ104-BP104)</f>
        <v>57.574394473163196</v>
      </c>
      <c r="AJ104" s="94"/>
      <c r="AM104" s="90">
        <f t="shared" si="28"/>
        <v>42828</v>
      </c>
      <c r="AN104" s="94">
        <f>Sheet1!BU102</f>
        <v>23.9</v>
      </c>
      <c r="AO104" s="94">
        <f>Sheet1!AA102</f>
        <v>25.8</v>
      </c>
      <c r="AP104" s="94">
        <f t="shared" si="17"/>
        <v>-6.5094999999999938</v>
      </c>
      <c r="AQ104" s="1087">
        <f>((Sheet1!BV102-(Sheet1!BU102-AP104))/(Sheet1!BU102-AP104))</f>
        <v>0.17068679195646125</v>
      </c>
      <c r="AR104" s="94">
        <f t="shared" si="18"/>
        <v>32.309499999999993</v>
      </c>
      <c r="AS104" s="94">
        <f t="shared" si="19"/>
        <v>30.409499999999994</v>
      </c>
      <c r="AT104" s="89">
        <f>Sheet1!BB102</f>
        <v>0</v>
      </c>
      <c r="AU104" s="89">
        <f>Sheet1!AS102*GPMtoMGD</f>
        <v>1.5696000000000002E-2</v>
      </c>
      <c r="AV104" s="94">
        <f>Sheet1!AT102</f>
        <v>0</v>
      </c>
      <c r="AW104" s="89">
        <f>Sheet1!AV102*GPMtoMGD</f>
        <v>0.69768000000000008</v>
      </c>
      <c r="AX104" s="89">
        <f>Sheet1!AW102*GPMtoMGD</f>
        <v>0.92260800000000009</v>
      </c>
      <c r="AY104" s="89">
        <f>Sheet1!AX102*GPMtoMGD</f>
        <v>0</v>
      </c>
      <c r="AZ104" s="89">
        <f>Sheet1!AY102*GPMtoMGD</f>
        <v>0</v>
      </c>
      <c r="BA104" s="89">
        <f>Sheet1!AZ102*GPMtoMGD</f>
        <v>0</v>
      </c>
      <c r="BB104" s="89">
        <f>Sheet1!BP102*GPMtoMGD</f>
        <v>2.8800000000000002E-3</v>
      </c>
      <c r="BC104" s="89">
        <f>Sheet1!CS102*GPMtoMGD</f>
        <v>0</v>
      </c>
      <c r="BD104" s="89">
        <f>Sheet1!BO102*GPMtoMGD</f>
        <v>1.3697280000000001</v>
      </c>
      <c r="BE104" s="89">
        <f>Sheet1!BW102*GPMtoMGD</f>
        <v>0.71596800000000005</v>
      </c>
      <c r="BF104" s="89">
        <f>Sheet1!CN102*GPMtoMGD</f>
        <v>0.45518400000000009</v>
      </c>
      <c r="BG104" s="89">
        <f>Sheet1!CO102*GPMtoMGD</f>
        <v>0.79416000000000009</v>
      </c>
      <c r="BH104" s="89">
        <f>Sheet1!CP102*GPMtoMGD</f>
        <v>0.65966400000000003</v>
      </c>
      <c r="BI104" s="89">
        <f t="shared" si="29"/>
        <v>1.3726080000000001</v>
      </c>
      <c r="BK104" s="94">
        <f>SUM(AT104:BA104,AS104,BC104,Calculation!AQ104)</f>
        <v>46.499597924050626</v>
      </c>
      <c r="BM104" s="358">
        <f>0</f>
        <v>0</v>
      </c>
      <c r="BN104" s="358">
        <f>0</f>
        <v>0</v>
      </c>
      <c r="BP104" s="94">
        <f>SUM(BM104:BN104,W104,Sheet1!DX102)</f>
        <v>0</v>
      </c>
      <c r="BR104" s="94">
        <f>Sheet1!AA102</f>
        <v>25.8</v>
      </c>
      <c r="BS104" s="94">
        <f>Sheet1!AB102</f>
        <v>25.2</v>
      </c>
      <c r="BT104" s="94">
        <f t="shared" ca="1" si="20"/>
        <v>6.5285083972138276</v>
      </c>
      <c r="BU104" s="94">
        <f>Sheet1!AT102</f>
        <v>0</v>
      </c>
      <c r="BV104" s="89">
        <f>Sheet1!BB102</f>
        <v>0</v>
      </c>
      <c r="BW104" s="94">
        <f>Calculation!ED104</f>
        <v>10.745886075949365</v>
      </c>
      <c r="BX104" s="94">
        <f>(Sheet1!CS102*1440)/1000000</f>
        <v>0</v>
      </c>
      <c r="CA104" s="94">
        <f ca="1">Sheet1!AC102-Sheet1!BK102-Sheet1!BL102-Sheet1!BM102-Sheet1!BC102-Sheet1!BD102-Sheet1!BE102-Sheet1!BF102-Sheet1!BG102-Sheet1!BH102-Sheet1!BI102+BC104+P104</f>
        <v>46.748508397213833</v>
      </c>
      <c r="CB104" s="93">
        <f t="shared" si="21"/>
        <v>62.273114240506331</v>
      </c>
      <c r="CC104" s="94">
        <f t="shared" si="22"/>
        <v>0</v>
      </c>
      <c r="CD104" s="94">
        <f t="shared" ca="1" si="23"/>
        <v>57.494394473163197</v>
      </c>
      <c r="CE104" s="1077">
        <f t="shared" ca="1" si="24"/>
        <v>88.943828249983468</v>
      </c>
      <c r="CG104" s="1077">
        <f t="shared" ca="1" si="25"/>
        <v>46.748508397213833</v>
      </c>
    </row>
    <row r="105" spans="1:85" s="89" customFormat="1" x14ac:dyDescent="0.25">
      <c r="A105" s="616" t="s">
        <v>5</v>
      </c>
      <c r="B105" s="91">
        <v>42829</v>
      </c>
      <c r="C105" s="92">
        <v>0</v>
      </c>
      <c r="D105" s="94">
        <f>(Sheet1!BQ103-Sheet1!BQ102)*1.385</f>
        <v>-0.6925</v>
      </c>
      <c r="E105" s="30">
        <f>(Sheet1!BR103-Sheet1!BR102)*1.385</f>
        <v>-0.6925</v>
      </c>
      <c r="F105" s="30">
        <f ca="1">IF(B105=TODAY(),0,-(VLOOKUP(Sheet1!CD103,Lookup!$I$4:$J$216,2)-VLOOKUP(Sheet1!CD102,Lookup!$I$4:$J$216,2))/1000000)</f>
        <v>0.51818469273899681</v>
      </c>
      <c r="G105" s="94">
        <f ca="1">IF(B105=TODAY(),0,-$G$6*(Sheet1!CF103-Sheet1!CF102)*7.48/1000000)</f>
        <v>-0.91341052420886415</v>
      </c>
      <c r="H105" s="94">
        <f ca="1">IF(B105=TODAY(),0,-$H$6*(Sheet1!CE103-Sheet1!CE102)*7.48/1000000)</f>
        <v>1.5039432351265274E-2</v>
      </c>
      <c r="I105" s="94">
        <f ca="1">IF(B105=TODAY(),0,-$I$6*(Sheet1!CG103-Sheet1!CG102)*7.48/1000000)</f>
        <v>2.2462440000000004E-2</v>
      </c>
      <c r="J105" s="95" t="s">
        <v>177</v>
      </c>
      <c r="K105" s="94">
        <f ca="1">IF(B105=TODAY(),0,-$K$6*(Sheet1!CH103-Sheet1!CH102)*7.48/1000000)</f>
        <v>4.6643242621209044E-2</v>
      </c>
      <c r="L105" s="95" t="s">
        <v>177</v>
      </c>
      <c r="M105" s="94">
        <f ca="1">IF(B105=TODAY(),0,-$M$6*(Sheet1!CI103-Sheet1!CI102)*7.48/1000000)</f>
        <v>7.1966033712107941E-2</v>
      </c>
      <c r="N105" s="94">
        <f ca="1">IF(B105=TODAY(),0,-$N$6*(Sheet1!CJ103-Sheet1!CJ102)*7.48/1000000)</f>
        <v>6.2052345394623676E-2</v>
      </c>
      <c r="O105" s="94">
        <f t="shared" ca="1" si="30"/>
        <v>-0.17706233739066138</v>
      </c>
      <c r="P105" s="94">
        <f ca="1">O105+Calculation!ES105</f>
        <v>1.2056715020911803</v>
      </c>
      <c r="Q105" s="89" t="str">
        <f>IF(Sheet1!BQ103&gt;25.75,"spill elevation","-")</f>
        <v>-</v>
      </c>
      <c r="R105" s="89" t="str">
        <f>IF(Sheet1!BQ103&gt;25.75,"spill elevation","-")</f>
        <v>-</v>
      </c>
      <c r="S105" s="89" t="str">
        <f>IF(Sheet1!BR103&gt;25.75,"spill elevation","-")</f>
        <v>-</v>
      </c>
      <c r="T105" s="93">
        <f>IF(Sheet1!DU103=1,Sheet1!AA103-(SUM(AT105:BA105)+BE105),Sheet1!AA103-SUM(AT105:BA105))</f>
        <v>24.869904000000002</v>
      </c>
      <c r="U105" s="93">
        <f>Sheet1!BV103</f>
        <v>30.4</v>
      </c>
      <c r="V105" s="93">
        <f t="shared" si="27"/>
        <v>-5.5300959999999968</v>
      </c>
      <c r="W105" s="93">
        <f>0</f>
        <v>0</v>
      </c>
      <c r="X105" s="89">
        <f>0</f>
        <v>0</v>
      </c>
      <c r="Y105" s="94">
        <f ca="1">Calculation!EJ106+Calculation!ES105+'Calculations II'!O105-'Calculations II'!W105</f>
        <v>43.662560854289055</v>
      </c>
      <c r="Z105" s="94">
        <f ca="1">Y105-Sheet1!CT104</f>
        <v>28.209560854289055</v>
      </c>
      <c r="AA105" s="94">
        <f ca="1">Y105+Calculation!DJ106+Calculation!AS106</f>
        <v>54.362560854289057</v>
      </c>
      <c r="AC105" s="94">
        <f>Sheet1!AA103+Sheet1!AB103+BC105</f>
        <v>52.7</v>
      </c>
      <c r="AD105" s="94">
        <f>Sheet1!AA103+Sheet1!BN103+'Calculations II'!BC105-Calculation!AS105-Calculation!DJ105</f>
        <v>31.851074870274275</v>
      </c>
      <c r="AE105" s="94">
        <f>Sheet1!AA103+Sheet1!AB103+'Calculations II'!BC105-Calculation!AS105-Calculation!DJ105</f>
        <v>42.25107487027428</v>
      </c>
      <c r="AF105" s="94">
        <f ca="1">Sheet1!AA103+Sheet1!BN103+P105+'Calculations II'!BC105+Calculation!AS105+Calculation!DJ105</f>
        <v>53.954596631816898</v>
      </c>
      <c r="AG105" s="94">
        <f ca="1">IF(B105=TODAY(),0,Sheet1!AA103+Sheet1!BN103+'Calculations II'!BC105+'Calculations II'!P105-Sheet1!CT103-BP105)</f>
        <v>28.217671502091175</v>
      </c>
      <c r="AH105" s="94">
        <f ca="1">IF(B105=TODAY(),0,Sheet1!AA103+Sheet1!BN103+'Calculations II'!BC105+'Calculations II'!P105-BP105)</f>
        <v>43.505671502091175</v>
      </c>
      <c r="AI105" s="94">
        <f ca="1">IF(B105=TODAY(),0,BC105+Sheet1!AA103+Calculation!ES105+O105+W105+Sheet1!BN103+Calculation!AS105+Calculation!DJ105-BP105)</f>
        <v>53.954596631816898</v>
      </c>
      <c r="AJ105" s="94"/>
      <c r="AM105" s="90">
        <f t="shared" si="28"/>
        <v>42829</v>
      </c>
      <c r="AN105" s="94">
        <f>Sheet1!BU103</f>
        <v>24.5</v>
      </c>
      <c r="AO105" s="94">
        <f>Sheet1!AA103</f>
        <v>25.8</v>
      </c>
      <c r="AP105" s="94">
        <f t="shared" si="17"/>
        <v>-1.385</v>
      </c>
      <c r="AQ105" s="1087">
        <f>((Sheet1!BV103-(Sheet1!BU103-AP105))/(Sheet1!BU103-AP105))</f>
        <v>0.17442534286266165</v>
      </c>
      <c r="AR105" s="94">
        <f t="shared" si="18"/>
        <v>27.185000000000002</v>
      </c>
      <c r="AS105" s="94">
        <f t="shared" si="19"/>
        <v>25.885000000000002</v>
      </c>
      <c r="AT105" s="89">
        <f>Sheet1!BB103</f>
        <v>0</v>
      </c>
      <c r="AU105" s="89">
        <f>Sheet1!AS103*GPMtoMGD</f>
        <v>2.2176000000000001E-2</v>
      </c>
      <c r="AV105" s="94">
        <f>Sheet1!AT103</f>
        <v>0</v>
      </c>
      <c r="AW105" s="89">
        <f>Sheet1!AV103*GPMtoMGD</f>
        <v>0.43416000000000005</v>
      </c>
      <c r="AX105" s="89">
        <f>Sheet1!AW103*GPMtoMGD</f>
        <v>0.47376000000000001</v>
      </c>
      <c r="AY105" s="89">
        <f>Sheet1!AX103*GPMtoMGD</f>
        <v>0</v>
      </c>
      <c r="AZ105" s="89">
        <f>Sheet1!AY103*GPMtoMGD</f>
        <v>0</v>
      </c>
      <c r="BA105" s="89">
        <f>Sheet1!AZ103*GPMtoMGD</f>
        <v>0</v>
      </c>
      <c r="BB105" s="89">
        <f>Sheet1!BP103*GPMtoMGD</f>
        <v>2.8800000000000002E-3</v>
      </c>
      <c r="BC105" s="89">
        <f>Sheet1!CS103*GPMtoMGD</f>
        <v>0</v>
      </c>
      <c r="BD105" s="89">
        <f>Sheet1!BO103*GPMtoMGD</f>
        <v>0.12859200000000001</v>
      </c>
      <c r="BE105" s="89">
        <f>Sheet1!BW103*GPMtoMGD</f>
        <v>0.77284800000000009</v>
      </c>
      <c r="BF105" s="89">
        <f>Sheet1!CN103*GPMtoMGD</f>
        <v>0.29116799999999998</v>
      </c>
      <c r="BG105" s="89">
        <f>Sheet1!CO103*GPMtoMGD</f>
        <v>0.57888000000000006</v>
      </c>
      <c r="BH105" s="89">
        <f>Sheet1!CP103*GPMtoMGD</f>
        <v>0.66081599999999996</v>
      </c>
      <c r="BI105" s="89">
        <f t="shared" si="29"/>
        <v>0.13147200000000001</v>
      </c>
      <c r="BK105" s="94">
        <f>SUM(AT105:BA105,AS105,BC105,Calculation!AQ105)</f>
        <v>43.26617087027428</v>
      </c>
      <c r="BM105" s="358">
        <f>0</f>
        <v>0</v>
      </c>
      <c r="BN105" s="358">
        <f>0</f>
        <v>0</v>
      </c>
      <c r="BP105" s="94">
        <f>SUM(BM105:BN105,W105,Sheet1!DX103)</f>
        <v>0</v>
      </c>
      <c r="BR105" s="94">
        <f>Sheet1!AA103</f>
        <v>25.8</v>
      </c>
      <c r="BS105" s="94">
        <f>Sheet1!AB103</f>
        <v>26.9</v>
      </c>
      <c r="BT105" s="94">
        <f t="shared" ca="1" si="20"/>
        <v>1.2056715020911803</v>
      </c>
      <c r="BU105" s="94">
        <f>Sheet1!AT103</f>
        <v>0</v>
      </c>
      <c r="BV105" s="89">
        <f>Sheet1!BB103</f>
        <v>0</v>
      </c>
      <c r="BW105" s="94">
        <f>Calculation!ED105</f>
        <v>10.448925129725723</v>
      </c>
      <c r="BX105" s="94">
        <f>(Sheet1!CS103*1440)/1000000</f>
        <v>0</v>
      </c>
      <c r="CA105" s="94">
        <f ca="1">Sheet1!AC103-Sheet1!BK103-Sheet1!BL103-Sheet1!BM103-Sheet1!BC103-Sheet1!BD103-Sheet1!BE103-Sheet1!BF103-Sheet1!BG103-Sheet1!BH103-Sheet1!BI103+BC105+P105</f>
        <v>43.425671502091177</v>
      </c>
      <c r="CB105" s="93">
        <f t="shared" si="21"/>
        <v>65.362412824314305</v>
      </c>
      <c r="CC105" s="94">
        <f t="shared" si="22"/>
        <v>0</v>
      </c>
      <c r="CD105" s="94">
        <f t="shared" ca="1" si="23"/>
        <v>53.8745966318169</v>
      </c>
      <c r="CE105" s="1077">
        <f t="shared" ca="1" si="24"/>
        <v>83.344000989420735</v>
      </c>
      <c r="CG105" s="1077">
        <f t="shared" ca="1" si="25"/>
        <v>43.425671502091177</v>
      </c>
    </row>
    <row r="106" spans="1:85" s="89" customFormat="1" x14ac:dyDescent="0.25">
      <c r="A106" s="616" t="s">
        <v>6</v>
      </c>
      <c r="B106" s="91">
        <v>42830</v>
      </c>
      <c r="C106" s="92">
        <v>0</v>
      </c>
      <c r="D106" s="94">
        <f>(Sheet1!BQ104-Sheet1!BQ103)*1.385</f>
        <v>-0.13850000000000198</v>
      </c>
      <c r="E106" s="30">
        <f>(Sheet1!BR104-Sheet1!BR103)*1.385</f>
        <v>-0.27700000000000397</v>
      </c>
      <c r="F106" s="30">
        <f ca="1">IF(B106=TODAY(),0,-(VLOOKUP(Sheet1!CD104,Lookup!$I$4:$J$216,2)-VLOOKUP(Sheet1!CD103,Lookup!$I$4:$J$216,2))/1000000)</f>
        <v>0</v>
      </c>
      <c r="G106" s="94">
        <f ca="1">IF(B106=TODAY(),0,-$G$6*(Sheet1!CF104-Sheet1!CF103)*7.48/1000000)</f>
        <v>0.51627551368327118</v>
      </c>
      <c r="H106" s="94">
        <f ca="1">IF(B106=TODAY(),0,-$H$6*(Sheet1!CE104-Sheet1!CE103)*7.48/1000000)</f>
        <v>0</v>
      </c>
      <c r="I106" s="94">
        <f ca="1">IF(B106=TODAY(),0,-$I$6*(Sheet1!CG104-Sheet1!CG103)*7.48/1000000)</f>
        <v>8.9849760000000074E-3</v>
      </c>
      <c r="J106" s="95" t="s">
        <v>177</v>
      </c>
      <c r="K106" s="94">
        <f ca="1">IF(B106=TODAY(),0,-$K$6*(Sheet1!CH104-Sheet1!CH103)*7.48/1000000)</f>
        <v>6.6633203744585374E-3</v>
      </c>
      <c r="L106" s="95" t="s">
        <v>177</v>
      </c>
      <c r="M106" s="94">
        <f ca="1">IF(B106=TODAY(),0,-$M$6*(Sheet1!CI104-Sheet1!CI103)*7.48/1000000)</f>
        <v>8.9957542140135238E-2</v>
      </c>
      <c r="N106" s="94">
        <f ca="1">IF(B106=TODAY(),0,-$N$6*(Sheet1!CJ104-Sheet1!CJ103)*7.48/1000000)</f>
        <v>0</v>
      </c>
      <c r="O106" s="94">
        <f t="shared" ca="1" si="30"/>
        <v>0.621881352197865</v>
      </c>
      <c r="P106" s="94">
        <f ca="1">O106+Calculation!ES106</f>
        <v>1.0366630834293717</v>
      </c>
      <c r="Q106" s="89" t="str">
        <f>IF(Sheet1!BQ104&gt;25.75,"spill elevation","-")</f>
        <v>-</v>
      </c>
      <c r="R106" s="89" t="str">
        <f>IF(Sheet1!BQ104&gt;25.75,"spill elevation","-")</f>
        <v>-</v>
      </c>
      <c r="S106" s="89" t="str">
        <f>IF(Sheet1!BR104&gt;25.75,"spill elevation","-")</f>
        <v>-</v>
      </c>
      <c r="T106" s="93">
        <f>IF(Sheet1!DU104=1,Sheet1!AA104-(SUM(AT106:BA106)+BE106),Sheet1!AA104-SUM(AT106:BA106))</f>
        <v>24.694991999999999</v>
      </c>
      <c r="U106" s="93">
        <f>Sheet1!BV104</f>
        <v>29.2</v>
      </c>
      <c r="V106" s="93">
        <f t="shared" si="27"/>
        <v>-4.5050080000000001</v>
      </c>
      <c r="W106" s="93">
        <f>0</f>
        <v>0</v>
      </c>
      <c r="X106" s="89">
        <f>0</f>
        <v>0</v>
      </c>
      <c r="Y106" s="94">
        <f ca="1">Calculation!EJ107+Calculation!ES106+'Calculations II'!O106-'Calculations II'!W106</f>
        <v>43.41107799047608</v>
      </c>
      <c r="Z106" s="94">
        <f ca="1">Y106-Sheet1!CT105</f>
        <v>27.449077990476081</v>
      </c>
      <c r="AA106" s="94">
        <f ca="1">Y106+Calculation!DJ107+Calculation!AS107</f>
        <v>53.851750569929152</v>
      </c>
      <c r="AC106" s="94">
        <f>Sheet1!AA104+Sheet1!AB104+BC106</f>
        <v>52.83</v>
      </c>
      <c r="AD106" s="94">
        <f>Sheet1!AA104+Sheet1!BN104+'Calculations II'!BC106-Calculation!AS106-Calculation!DJ106</f>
        <v>31.429999999999996</v>
      </c>
      <c r="AE106" s="94">
        <f>Sheet1!AA104+Sheet1!AB104+'Calculations II'!BC106-Calculation!AS106-Calculation!DJ106</f>
        <v>42.129999999999995</v>
      </c>
      <c r="AF106" s="94">
        <f ca="1">Sheet1!AA104+Sheet1!BN104+P106+'Calculations II'!BC106+Calculation!AS106+Calculation!DJ106</f>
        <v>53.866663083429373</v>
      </c>
      <c r="AG106" s="94">
        <f ca="1">IF(B106=TODAY(),0,Sheet1!AA104+Sheet1!BN104+'Calculations II'!BC106+'Calculations II'!P106-Sheet1!CT104-BP106)</f>
        <v>27.71366308342937</v>
      </c>
      <c r="AH106" s="94">
        <f ca="1">IF(B106=TODAY(),0,Sheet1!AA104+Sheet1!BN104+'Calculations II'!BC106+'Calculations II'!P106-BP106)</f>
        <v>43.16666308342937</v>
      </c>
      <c r="AI106" s="94">
        <f ca="1">IF(B106=TODAY(),0,BC106+Sheet1!AA104+Calculation!ES106+O106+W106+Sheet1!BN104+Calculation!AS106+Calculation!DJ106-BP106)</f>
        <v>53.866663083429373</v>
      </c>
      <c r="AJ106" s="94"/>
      <c r="AM106" s="90">
        <f t="shared" si="28"/>
        <v>42830</v>
      </c>
      <c r="AN106" s="94">
        <f>Sheet1!BU104</f>
        <v>24.4</v>
      </c>
      <c r="AO106" s="94">
        <f>Sheet1!AA104</f>
        <v>25.83</v>
      </c>
      <c r="AP106" s="94">
        <f t="shared" si="17"/>
        <v>-0.41550000000000598</v>
      </c>
      <c r="AQ106" s="1087">
        <f>((Sheet1!BV104-(Sheet1!BU104-AP106))/(Sheet1!BU104-AP106))</f>
        <v>0.17668392738409441</v>
      </c>
      <c r="AR106" s="94">
        <f t="shared" si="18"/>
        <v>26.245500000000003</v>
      </c>
      <c r="AS106" s="94">
        <f t="shared" si="19"/>
        <v>24.815500000000004</v>
      </c>
      <c r="AT106" s="89">
        <f>Sheet1!BB104</f>
        <v>0</v>
      </c>
      <c r="AU106" s="89">
        <f>Sheet1!AS104*GPMtoMGD</f>
        <v>2.4480000000000002E-2</v>
      </c>
      <c r="AV106" s="94">
        <f>Sheet1!AT104</f>
        <v>0</v>
      </c>
      <c r="AW106" s="89">
        <f>Sheet1!AV104*GPMtoMGD</f>
        <v>0.50270400000000004</v>
      </c>
      <c r="AX106" s="89">
        <f>Sheet1!AW104*GPMtoMGD</f>
        <v>0.60782400000000003</v>
      </c>
      <c r="AY106" s="89">
        <f>Sheet1!AX104*GPMtoMGD</f>
        <v>0</v>
      </c>
      <c r="AZ106" s="89">
        <f>Sheet1!AY104*GPMtoMGD</f>
        <v>0</v>
      </c>
      <c r="BA106" s="89">
        <f>Sheet1!AZ104*GPMtoMGD</f>
        <v>0</v>
      </c>
      <c r="BB106" s="89">
        <f>Sheet1!BP104*GPMtoMGD</f>
        <v>2.8800000000000002E-3</v>
      </c>
      <c r="BC106" s="89">
        <f>Sheet1!CS104*GPMtoMGD</f>
        <v>0</v>
      </c>
      <c r="BD106" s="89">
        <f>Sheet1!BO104*GPMtoMGD</f>
        <v>1.2418560000000001</v>
      </c>
      <c r="BE106" s="89">
        <f>Sheet1!BW104*GPMtoMGD</f>
        <v>0.754992</v>
      </c>
      <c r="BF106" s="89">
        <f>Sheet1!CN104*GPMtoMGD</f>
        <v>0.26841600000000004</v>
      </c>
      <c r="BG106" s="89">
        <f>Sheet1!CO104*GPMtoMGD</f>
        <v>0.73886400000000008</v>
      </c>
      <c r="BH106" s="89">
        <f>Sheet1!CP104*GPMtoMGD</f>
        <v>0.64843200000000001</v>
      </c>
      <c r="BI106" s="89">
        <f t="shared" si="29"/>
        <v>1.2447360000000001</v>
      </c>
      <c r="BK106" s="94">
        <f>SUM(AT106:BA106,AS106,BC106,Calculation!AQ106)</f>
        <v>42.250508000000004</v>
      </c>
      <c r="BM106" s="358">
        <f>0</f>
        <v>0</v>
      </c>
      <c r="BN106" s="358">
        <f>0</f>
        <v>0</v>
      </c>
      <c r="BP106" s="94">
        <f>SUM(BM106:BN106,W106,Sheet1!DX104)</f>
        <v>0</v>
      </c>
      <c r="BR106" s="94">
        <f>Sheet1!AA104</f>
        <v>25.83</v>
      </c>
      <c r="BS106" s="94">
        <f>Sheet1!AB104</f>
        <v>27</v>
      </c>
      <c r="BT106" s="94">
        <f t="shared" ca="1" si="20"/>
        <v>1.0366630834293717</v>
      </c>
      <c r="BU106" s="94">
        <f>Sheet1!AT104</f>
        <v>0</v>
      </c>
      <c r="BV106" s="89">
        <f>Sheet1!BB104</f>
        <v>0</v>
      </c>
      <c r="BW106" s="94">
        <f>Calculation!ED106</f>
        <v>10.7</v>
      </c>
      <c r="BX106" s="94">
        <f>(Sheet1!CS104*1440)/1000000</f>
        <v>0</v>
      </c>
      <c r="CA106" s="94">
        <f ca="1">Sheet1!AC104-Sheet1!BK104-Sheet1!BL104-Sheet1!BM104-Sheet1!BC104-Sheet1!BD104-Sheet1!BE104-Sheet1!BF104-Sheet1!BG104-Sheet1!BH104-Sheet1!BI104+BC106+P106</f>
        <v>43.16666308342937</v>
      </c>
      <c r="CB106" s="93">
        <f t="shared" si="21"/>
        <v>65.175109999999989</v>
      </c>
      <c r="CC106" s="94">
        <f t="shared" si="22"/>
        <v>0</v>
      </c>
      <c r="CD106" s="94">
        <f t="shared" ca="1" si="23"/>
        <v>53.866663083429373</v>
      </c>
      <c r="CE106" s="1077">
        <f t="shared" ca="1" si="24"/>
        <v>83.33172779006523</v>
      </c>
      <c r="CG106" s="1077">
        <f t="shared" ca="1" si="25"/>
        <v>43.16666308342937</v>
      </c>
    </row>
    <row r="107" spans="1:85" s="89" customFormat="1" x14ac:dyDescent="0.25">
      <c r="A107" s="616" t="s">
        <v>7</v>
      </c>
      <c r="B107" s="91">
        <v>42831</v>
      </c>
      <c r="C107" s="92">
        <v>0</v>
      </c>
      <c r="D107" s="94">
        <f>(Sheet1!BQ105-Sheet1!BQ104)*1.385</f>
        <v>-0.6925</v>
      </c>
      <c r="E107" s="30">
        <f>(Sheet1!BR105-Sheet1!BR104)*1.385</f>
        <v>-0.6925</v>
      </c>
      <c r="F107" s="30">
        <f ca="1">IF(B107=TODAY(),0,-(VLOOKUP(Sheet1!CD105,Lookup!$I$4:$J$216,2)-VLOOKUP(Sheet1!CD104,Lookup!$I$4:$J$216,2))/1000000)</f>
        <v>0.31091081564339806</v>
      </c>
      <c r="G107" s="94">
        <f ca="1">IF(B107=TODAY(),0,-$G$6*(Sheet1!CF105-Sheet1!CF104)*7.48/1000000)</f>
        <v>-7.9427002105119021E-2</v>
      </c>
      <c r="H107" s="94">
        <f ca="1">IF(B107=TODAY(),0,-$H$6*(Sheet1!CE105-Sheet1!CE104)*7.48/1000000)</f>
        <v>0</v>
      </c>
      <c r="I107" s="94">
        <f ca="1">IF(B107=TODAY(),0,-$I$6*(Sheet1!CG105-Sheet1!CG104)*7.48/1000000)</f>
        <v>-3.5939904000000029E-2</v>
      </c>
      <c r="J107" s="95" t="s">
        <v>177</v>
      </c>
      <c r="K107" s="94">
        <f ca="1">IF(B107=TODAY(),0,-$K$6*(Sheet1!CH105-Sheet1!CH104)*7.48/1000000)</f>
        <v>-5.9969883370126001E-2</v>
      </c>
      <c r="L107" s="95" t="s">
        <v>177</v>
      </c>
      <c r="M107" s="94">
        <f ca="1">IF(B107=TODAY(),0,-$M$6*(Sheet1!CI105-Sheet1!CI104)*7.48/1000000)</f>
        <v>-0.16192357585224318</v>
      </c>
      <c r="N107" s="94">
        <f ca="1">IF(B107=TODAY(),0,-$N$6*(Sheet1!CJ105-Sheet1!CJ104)*7.48/1000000)</f>
        <v>0.18615703618387103</v>
      </c>
      <c r="O107" s="94">
        <f t="shared" ca="1" si="30"/>
        <v>0.15980748649978085</v>
      </c>
      <c r="P107" s="94">
        <f ca="1">O107+Calculation!ES107</f>
        <v>1.5421251343274509</v>
      </c>
      <c r="Q107" s="89" t="str">
        <f>IF(Sheet1!BQ105&gt;25.75,"spill elevation","-")</f>
        <v>-</v>
      </c>
      <c r="R107" s="89" t="str">
        <f>IF(Sheet1!BQ105&gt;25.75,"spill elevation","-")</f>
        <v>-</v>
      </c>
      <c r="S107" s="89" t="str">
        <f>IF(Sheet1!BR105&gt;25.75,"spill elevation","-")</f>
        <v>-</v>
      </c>
      <c r="T107" s="93">
        <f>IF(Sheet1!DU105=1,Sheet1!AA105-(SUM(AT107:BA107)+BE107),Sheet1!AA105-SUM(AT107:BA107))</f>
        <v>24.12472</v>
      </c>
      <c r="U107" s="93">
        <f>Sheet1!BV105</f>
        <v>29.7</v>
      </c>
      <c r="V107" s="93">
        <f t="shared" si="27"/>
        <v>-5.5752799999999993</v>
      </c>
      <c r="W107" s="93">
        <f>0</f>
        <v>0</v>
      </c>
      <c r="X107" s="89">
        <f>0</f>
        <v>0</v>
      </c>
      <c r="Y107" s="94">
        <f ca="1">Calculation!EJ108+Calculation!ES107+'Calculations II'!O107-'Calculations II'!W107</f>
        <v>43.51662800069618</v>
      </c>
      <c r="Z107" s="94">
        <f ca="1">Y107-Sheet1!CT106</f>
        <v>27.055628000696181</v>
      </c>
      <c r="AA107" s="94">
        <f ca="1">Y107+Calculation!DJ108+Calculation!AS108</f>
        <v>54.122699825946086</v>
      </c>
      <c r="AC107" s="94">
        <f>Sheet1!AA105+Sheet1!AB105+BC107</f>
        <v>52.88</v>
      </c>
      <c r="AD107" s="94">
        <f>Sheet1!AA105+Sheet1!BN105+'Calculations II'!BC107-Calculation!AS107-Calculation!DJ107</f>
        <v>32.029327420546934</v>
      </c>
      <c r="AE107" s="94">
        <f>Sheet1!AA105+Sheet1!AB105+'Calculations II'!BC107-Calculation!AS107-Calculation!DJ107</f>
        <v>42.439327420546931</v>
      </c>
      <c r="AF107" s="94">
        <f ca="1">Sheet1!AA105+Sheet1!BN105+P107+'Calculations II'!BC107+Calculation!AS107+Calculation!DJ107</f>
        <v>54.452797713780512</v>
      </c>
      <c r="AG107" s="94">
        <f ca="1">IF(B107=TODAY(),0,Sheet1!AA105+Sheet1!BN105+'Calculations II'!BC107+'Calculations II'!P107-Sheet1!CT105-BP107)</f>
        <v>28.050125134327448</v>
      </c>
      <c r="AH107" s="94">
        <f ca="1">IF(B107=TODAY(),0,Sheet1!AA105+Sheet1!BN105+'Calculations II'!BC107+'Calculations II'!P107-BP107)</f>
        <v>44.012125134327448</v>
      </c>
      <c r="AI107" s="94">
        <f ca="1">IF(B107=TODAY(),0,BC107+Sheet1!AA105+Calculation!ES107+O107+W107+Sheet1!BN105+Calculation!AS107+Calculation!DJ107-BP107)</f>
        <v>54.452797713780512</v>
      </c>
      <c r="AJ107" s="94"/>
      <c r="AM107" s="90">
        <f t="shared" si="28"/>
        <v>42831</v>
      </c>
      <c r="AN107" s="94">
        <f>Sheet1!BU105</f>
        <v>23.9</v>
      </c>
      <c r="AO107" s="94">
        <f>Sheet1!AA105</f>
        <v>25.87</v>
      </c>
      <c r="AP107" s="94">
        <f t="shared" si="17"/>
        <v>-1.385</v>
      </c>
      <c r="AQ107" s="1087">
        <f>((Sheet1!BV105-(Sheet1!BU105-AP107))/(Sheet1!BU105-AP107))</f>
        <v>0.17460945224441365</v>
      </c>
      <c r="AR107" s="94">
        <f t="shared" si="18"/>
        <v>27.255000000000003</v>
      </c>
      <c r="AS107" s="94">
        <f t="shared" si="19"/>
        <v>25.285</v>
      </c>
      <c r="AT107" s="89">
        <f>Sheet1!BB105</f>
        <v>0</v>
      </c>
      <c r="AU107" s="89">
        <f>Sheet1!AS105*GPMtoMGD</f>
        <v>1.6272000000000002E-2</v>
      </c>
      <c r="AV107" s="94">
        <f>Sheet1!AT105</f>
        <v>0</v>
      </c>
      <c r="AW107" s="89">
        <f>Sheet1!AV105*GPMtoMGD</f>
        <v>0.79790400000000006</v>
      </c>
      <c r="AX107" s="89">
        <f>Sheet1!AW105*GPMtoMGD</f>
        <v>0.93110400000000004</v>
      </c>
      <c r="AY107" s="89">
        <f>Sheet1!AX105*GPMtoMGD</f>
        <v>0</v>
      </c>
      <c r="AZ107" s="89">
        <f>Sheet1!AY105*GPMtoMGD</f>
        <v>0</v>
      </c>
      <c r="BA107" s="89">
        <f>Sheet1!AZ105*GPMtoMGD</f>
        <v>0</v>
      </c>
      <c r="BB107" s="89">
        <f>Sheet1!BP105*GPMtoMGD</f>
        <v>2.8800000000000002E-3</v>
      </c>
      <c r="BC107" s="89">
        <f>Sheet1!CS105*GPMtoMGD</f>
        <v>0</v>
      </c>
      <c r="BD107" s="89">
        <f>Sheet1!BO105*GPMtoMGD</f>
        <v>1.6122239999999999</v>
      </c>
      <c r="BE107" s="89">
        <f>Sheet1!BW105*GPMtoMGD</f>
        <v>0.63921600000000001</v>
      </c>
      <c r="BF107" s="89">
        <f>Sheet1!CN105*GPMtoMGD</f>
        <v>0.34099200000000002</v>
      </c>
      <c r="BG107" s="89">
        <f>Sheet1!CO105*GPMtoMGD</f>
        <v>0.72864000000000007</v>
      </c>
      <c r="BH107" s="89">
        <f>Sheet1!CP105*GPMtoMGD</f>
        <v>0.6552</v>
      </c>
      <c r="BI107" s="89">
        <f t="shared" si="29"/>
        <v>1.6151039999999999</v>
      </c>
      <c r="BK107" s="94">
        <f>SUM(AT107:BA107,AS107,BC107,Calculation!AQ107)</f>
        <v>43.599607420546931</v>
      </c>
      <c r="BM107" s="358">
        <f>0</f>
        <v>0</v>
      </c>
      <c r="BN107" s="358">
        <f>0</f>
        <v>0</v>
      </c>
      <c r="BP107" s="94">
        <f>SUM(BM107:BN107,W107,Sheet1!DX105)</f>
        <v>0</v>
      </c>
      <c r="BR107" s="94">
        <f>Sheet1!AA105</f>
        <v>25.87</v>
      </c>
      <c r="BS107" s="94">
        <f>Sheet1!AB105</f>
        <v>27.01</v>
      </c>
      <c r="BT107" s="94">
        <f t="shared" ca="1" si="20"/>
        <v>1.5421251343274509</v>
      </c>
      <c r="BU107" s="94">
        <f>Sheet1!AT105</f>
        <v>0</v>
      </c>
      <c r="BV107" s="89">
        <f>Sheet1!BB105</f>
        <v>0</v>
      </c>
      <c r="BW107" s="94">
        <f>Calculation!ED107</f>
        <v>10.440672579453068</v>
      </c>
      <c r="BX107" s="94">
        <f>(Sheet1!CS105*1440)/1000000</f>
        <v>0</v>
      </c>
      <c r="CA107" s="94">
        <f ca="1">Sheet1!AC105-Sheet1!BK105-Sheet1!BL105-Sheet1!BM105-Sheet1!BC105-Sheet1!BD105-Sheet1!BE105-Sheet1!BF105-Sheet1!BG105-Sheet1!BH105-Sheet1!BI105+BC107+P107</f>
        <v>43.962125134327451</v>
      </c>
      <c r="CB107" s="93">
        <f t="shared" si="21"/>
        <v>65.653639519586093</v>
      </c>
      <c r="CC107" s="94">
        <f t="shared" si="22"/>
        <v>0</v>
      </c>
      <c r="CD107" s="94">
        <f t="shared" ca="1" si="23"/>
        <v>54.402797713780515</v>
      </c>
      <c r="CE107" s="1077">
        <f t="shared" ca="1" si="24"/>
        <v>84.161128063218456</v>
      </c>
      <c r="CG107" s="1077">
        <f t="shared" ca="1" si="25"/>
        <v>43.962125134327451</v>
      </c>
    </row>
    <row r="108" spans="1:85" s="89" customFormat="1" x14ac:dyDescent="0.25">
      <c r="A108" s="616" t="s">
        <v>8</v>
      </c>
      <c r="B108" s="91">
        <v>42832</v>
      </c>
      <c r="C108" s="92">
        <v>0</v>
      </c>
      <c r="D108" s="94">
        <f>(Sheet1!BQ106-Sheet1!BQ105)*1.385</f>
        <v>-1.1633999999999998</v>
      </c>
      <c r="E108" s="30">
        <f>(Sheet1!BR106-Sheet1!BR105)*1.385</f>
        <v>-1.1218499999999982</v>
      </c>
      <c r="F108" s="30">
        <f ca="1">IF(B108=TODAY(),0,-(VLOOKUP(Sheet1!CD106,Lookup!$I$4:$J$216,2)-VLOOKUP(Sheet1!CD105,Lookup!$I$4:$J$216,2))/1000000)</f>
        <v>0</v>
      </c>
      <c r="G108" s="94">
        <f ca="1">IF(B108=TODAY(),0,-$G$6*(Sheet1!CF106-Sheet1!CF105)*7.48/1000000)</f>
        <v>-0.27799450736791476</v>
      </c>
      <c r="H108" s="94">
        <f ca="1">IF(B108=TODAY(),0,-$H$6*(Sheet1!CE106-Sheet1!CE105)*7.48/1000000)</f>
        <v>0</v>
      </c>
      <c r="I108" s="94">
        <f ca="1">IF(B108=TODAY(),0,-$I$6*(Sheet1!CG106-Sheet1!CG105)*7.48/1000000)</f>
        <v>8.9849760000000074E-3</v>
      </c>
      <c r="J108" s="95" t="s">
        <v>177</v>
      </c>
      <c r="K108" s="94">
        <f ca="1">IF(B108=TODAY(),0,-$K$6*(Sheet1!CH106-Sheet1!CH105)*7.48/1000000)</f>
        <v>1.3326640748916837E-2</v>
      </c>
      <c r="L108" s="95" t="s">
        <v>177</v>
      </c>
      <c r="M108" s="94">
        <f ca="1">IF(B108=TODAY(),0,-$M$6*(Sheet1!CI106-Sheet1!CI105)*7.48/1000000)</f>
        <v>0</v>
      </c>
      <c r="N108" s="94">
        <f ca="1">IF(B108=TODAY(),0,-$N$6*(Sheet1!CJ106-Sheet1!CJ105)*7.48/1000000)</f>
        <v>-0.4343664177623669</v>
      </c>
      <c r="O108" s="94">
        <f t="shared" ca="1" si="30"/>
        <v>-0.6900493083813648</v>
      </c>
      <c r="P108" s="94">
        <f ca="1">O108+Calculation!ES108</f>
        <v>1.5209931296858141</v>
      </c>
      <c r="Q108" s="89" t="str">
        <f>IF(Sheet1!BQ106&gt;25.75,"spill elevation","-")</f>
        <v>-</v>
      </c>
      <c r="R108" s="89" t="str">
        <f>IF(Sheet1!BQ106&gt;25.75,"spill elevation","-")</f>
        <v>-</v>
      </c>
      <c r="S108" s="89" t="str">
        <f>IF(Sheet1!BR106&gt;25.75,"spill elevation","-")</f>
        <v>-</v>
      </c>
      <c r="T108" s="93">
        <f>IF(Sheet1!DU106=1,Sheet1!AA106-(SUM(AT108:BA108)+BE108),Sheet1!AA106-SUM(AT108:BA108))</f>
        <v>24.929376000000001</v>
      </c>
      <c r="U108" s="93">
        <f>Sheet1!BV106</f>
        <v>31.9</v>
      </c>
      <c r="V108" s="93">
        <f t="shared" si="27"/>
        <v>-6.9706239999999973</v>
      </c>
      <c r="W108" s="93">
        <f>0</f>
        <v>0</v>
      </c>
      <c r="X108" s="89">
        <f>0</f>
        <v>0</v>
      </c>
      <c r="Y108" s="94">
        <f ca="1">Calculation!EJ109+Calculation!ES108+'Calculations II'!O108-'Calculations II'!W108</f>
        <v>43.543024522006256</v>
      </c>
      <c r="Z108" s="94">
        <f ca="1">Y108-Sheet1!CT107</f>
        <v>28.531024522006255</v>
      </c>
      <c r="AA108" s="94">
        <f ca="1">Y108+Calculation!DJ109+Calculation!AS109</f>
        <v>54.47872296989982</v>
      </c>
      <c r="AC108" s="94">
        <f>Sheet1!AA106+Sheet1!AB106+BC108</f>
        <v>52.8</v>
      </c>
      <c r="AD108" s="94">
        <f>Sheet1!AA106+Sheet1!BN106+'Calculations II'!BC108-Calculation!AS108-Calculation!DJ108</f>
        <v>31.593928174750097</v>
      </c>
      <c r="AE108" s="94">
        <f>Sheet1!AA106+Sheet1!AB106+'Calculations II'!BC108-Calculation!AS108-Calculation!DJ108</f>
        <v>42.193928174750091</v>
      </c>
      <c r="AF108" s="94">
        <f ca="1">Sheet1!AA106+Sheet1!BN106+P108+'Calculations II'!BC108+Calculation!AS108+Calculation!DJ108</f>
        <v>54.327064954935722</v>
      </c>
      <c r="AG108" s="94">
        <f ca="1">IF(B108=TODAY(),0,Sheet1!AA106+Sheet1!BN106+'Calculations II'!BC108+'Calculations II'!P108-Sheet1!CT106-BP108)</f>
        <v>27.259993129685817</v>
      </c>
      <c r="AH108" s="94">
        <f ca="1">IF(B108=TODAY(),0,Sheet1!AA106+Sheet1!BN106+'Calculations II'!BC108+'Calculations II'!P108-BP108)</f>
        <v>43.720993129685816</v>
      </c>
      <c r="AI108" s="94">
        <f ca="1">IF(B108=TODAY(),0,BC108+Sheet1!AA106+Calculation!ES108+O108+W108+Sheet1!BN106+Calculation!AS108+Calculation!DJ108-BP108)</f>
        <v>54.327064954935715</v>
      </c>
      <c r="AJ108" s="94"/>
      <c r="AM108" s="90">
        <f t="shared" si="28"/>
        <v>42832</v>
      </c>
      <c r="AN108" s="94">
        <f>Sheet1!BU106</f>
        <v>25.4</v>
      </c>
      <c r="AO108" s="94">
        <f>Sheet1!AA106</f>
        <v>25.8</v>
      </c>
      <c r="AP108" s="94">
        <f t="shared" si="17"/>
        <v>-2.2852499999999978</v>
      </c>
      <c r="AQ108" s="1087">
        <f>((Sheet1!BV106-(Sheet1!BU106-AP108))/(Sheet1!BU106-AP108))</f>
        <v>0.15223810512818206</v>
      </c>
      <c r="AR108" s="94">
        <f t="shared" si="18"/>
        <v>28.085249999999998</v>
      </c>
      <c r="AS108" s="94">
        <f t="shared" si="19"/>
        <v>27.685249999999996</v>
      </c>
      <c r="AT108" s="89">
        <f>Sheet1!BB106</f>
        <v>0</v>
      </c>
      <c r="AU108" s="89">
        <f>Sheet1!AS106*GPMtoMGD</f>
        <v>2.9664000000000003E-2</v>
      </c>
      <c r="AV108" s="94">
        <f>Sheet1!AT106</f>
        <v>0</v>
      </c>
      <c r="AW108" s="89">
        <f>Sheet1!AV106*GPMtoMGD</f>
        <v>0.42652800000000002</v>
      </c>
      <c r="AX108" s="89">
        <f>Sheet1!AW106*GPMtoMGD</f>
        <v>0.41443200000000002</v>
      </c>
      <c r="AY108" s="89">
        <f>Sheet1!AX106*GPMtoMGD</f>
        <v>0</v>
      </c>
      <c r="AZ108" s="89">
        <f>Sheet1!AY106*GPMtoMGD</f>
        <v>0</v>
      </c>
      <c r="BA108" s="89">
        <f>Sheet1!AZ106*GPMtoMGD</f>
        <v>0</v>
      </c>
      <c r="BB108" s="89">
        <f>Sheet1!BP106*GPMtoMGD</f>
        <v>2.8800000000000002E-3</v>
      </c>
      <c r="BC108" s="89">
        <f>Sheet1!CS106*GPMtoMGD</f>
        <v>0</v>
      </c>
      <c r="BD108" s="89">
        <f>Sheet1!BO106*GPMtoMGD</f>
        <v>1.2733920000000001</v>
      </c>
      <c r="BE108" s="89">
        <f>Sheet1!BW106*GPMtoMGD</f>
        <v>0.85420800000000008</v>
      </c>
      <c r="BF108" s="89">
        <f>Sheet1!CN106*GPMtoMGD</f>
        <v>0.27302399999999999</v>
      </c>
      <c r="BG108" s="89">
        <f>Sheet1!CO106*GPMtoMGD</f>
        <v>0.72201599999999999</v>
      </c>
      <c r="BH108" s="89">
        <f>Sheet1!CP106*GPMtoMGD</f>
        <v>0.64195200000000008</v>
      </c>
      <c r="BI108" s="89">
        <f t="shared" si="29"/>
        <v>1.2762720000000001</v>
      </c>
      <c r="BK108" s="94">
        <f>SUM(AT108:BA108,AS108,BC108,Calculation!AQ108)</f>
        <v>44.94980217475009</v>
      </c>
      <c r="BM108" s="358">
        <f>0</f>
        <v>0</v>
      </c>
      <c r="BN108" s="358">
        <f>0</f>
        <v>0</v>
      </c>
      <c r="BP108" s="94">
        <f>SUM(BM108:BN108,W108,Sheet1!DX106)</f>
        <v>0</v>
      </c>
      <c r="BR108" s="94">
        <f>Sheet1!AA106</f>
        <v>25.8</v>
      </c>
      <c r="BS108" s="94">
        <f>Sheet1!AB106</f>
        <v>27</v>
      </c>
      <c r="BT108" s="94">
        <f t="shared" ca="1" si="20"/>
        <v>1.5209931296858141</v>
      </c>
      <c r="BU108" s="94">
        <f>Sheet1!AT106</f>
        <v>0</v>
      </c>
      <c r="BV108" s="89">
        <f>Sheet1!BB106</f>
        <v>0</v>
      </c>
      <c r="BW108" s="94">
        <f>Calculation!ED108</f>
        <v>10.606071825249908</v>
      </c>
      <c r="BX108" s="94">
        <f>(Sheet1!CS106*1440)/1000000</f>
        <v>0</v>
      </c>
      <c r="CA108" s="94">
        <f ca="1">Sheet1!AC106-Sheet1!BK106-Sheet1!BL106-Sheet1!BM106-Sheet1!BC106-Sheet1!BD106-Sheet1!BE106-Sheet1!BF106-Sheet1!BG106-Sheet1!BH106-Sheet1!BI106+BC108+P108</f>
        <v>43.710993129685811</v>
      </c>
      <c r="CB108" s="93">
        <f t="shared" si="21"/>
        <v>65.274006886338384</v>
      </c>
      <c r="CC108" s="94">
        <f t="shared" si="22"/>
        <v>0</v>
      </c>
      <c r="CD108" s="94">
        <f t="shared" ca="1" si="23"/>
        <v>54.317064954935717</v>
      </c>
      <c r="CE108" s="1077">
        <f t="shared" ca="1" si="24"/>
        <v>84.02849948528555</v>
      </c>
      <c r="CG108" s="1077">
        <f t="shared" ca="1" si="25"/>
        <v>43.710993129685811</v>
      </c>
    </row>
    <row r="109" spans="1:85" s="89" customFormat="1" x14ac:dyDescent="0.25">
      <c r="A109" s="616" t="s">
        <v>9</v>
      </c>
      <c r="B109" s="91">
        <v>42833</v>
      </c>
      <c r="C109" s="92">
        <v>0</v>
      </c>
      <c r="D109" s="94">
        <f>(Sheet1!BQ107-Sheet1!BQ106)*1.385</f>
        <v>-0.73404999999999909</v>
      </c>
      <c r="E109" s="30">
        <f>(Sheet1!BR107-Sheet1!BR106)*1.385</f>
        <v>-0.7063499999999997</v>
      </c>
      <c r="F109" s="30">
        <f ca="1">IF(B109=TODAY(),0,-(VLOOKUP(Sheet1!CD107,Lookup!$I$4:$J$216,2)-VLOOKUP(Sheet1!CD106,Lookup!$I$4:$J$216,2))/1000000)</f>
        <v>-1.1400063240258005</v>
      </c>
      <c r="G109" s="94">
        <f ca="1">IF(B109=TODAY(),0,-$G$6*(Sheet1!CF107-Sheet1!CF106)*7.48/1000000)</f>
        <v>0.39713501052559297</v>
      </c>
      <c r="H109" s="94">
        <f ca="1">IF(B109=TODAY(),0,-$H$6*(Sheet1!CE107-Sheet1!CE106)*7.48/1000000)</f>
        <v>-1.5039432351265274E-2</v>
      </c>
      <c r="I109" s="94">
        <f ca="1">IF(B109=TODAY(),0,-$I$6*(Sheet1!CG107-Sheet1!CG106)*7.48/1000000)</f>
        <v>1.5723708000000024E-2</v>
      </c>
      <c r="J109" s="95" t="s">
        <v>177</v>
      </c>
      <c r="K109" s="94">
        <f ca="1">IF(B109=TODAY(),0,-$K$6*(Sheet1!CH107-Sheet1!CH106)*7.48/1000000)</f>
        <v>2.7319613535279622E-2</v>
      </c>
      <c r="L109" s="95" t="s">
        <v>177</v>
      </c>
      <c r="M109" s="94">
        <f ca="1">IF(B109=TODAY(),0,-$M$6*(Sheet1!CI107-Sheet1!CI106)*7.48/1000000)</f>
        <v>7.7363486240516255E-2</v>
      </c>
      <c r="N109" s="94">
        <f ca="1">IF(B109=TODAY(),0,-$N$6*(Sheet1!CJ107-Sheet1!CJ106)*7.48/1000000)</f>
        <v>-0.11169422171032285</v>
      </c>
      <c r="O109" s="94">
        <f t="shared" ca="1" si="30"/>
        <v>-0.74919815978599968</v>
      </c>
      <c r="P109" s="94">
        <f ca="1">O109+Calculation!ES109</f>
        <v>0.63228729761232183</v>
      </c>
      <c r="Q109" s="89" t="str">
        <f>IF(Sheet1!BQ107&gt;25.75,"spill elevation","-")</f>
        <v>-</v>
      </c>
      <c r="R109" s="89" t="str">
        <f>IF(Sheet1!BQ107&gt;25.75,"spill elevation","-")</f>
        <v>-</v>
      </c>
      <c r="S109" s="89" t="str">
        <f>IF(Sheet1!BR107&gt;25.75,"spill elevation","-")</f>
        <v>-</v>
      </c>
      <c r="T109" s="93">
        <f>IF(Sheet1!DU107=1,Sheet1!AA107-(SUM(AT109:BA109)+BE109),Sheet1!AA107-SUM(AT109:BA109))</f>
        <v>24.593071999999999</v>
      </c>
      <c r="U109" s="93">
        <f>Sheet1!BV107</f>
        <v>30.6</v>
      </c>
      <c r="V109" s="93">
        <f t="shared" si="27"/>
        <v>-6.006928000000002</v>
      </c>
      <c r="W109" s="93">
        <f>0</f>
        <v>0</v>
      </c>
      <c r="X109" s="89">
        <f>0</f>
        <v>0</v>
      </c>
      <c r="Y109" s="94">
        <f ca="1">Calculation!EJ110+Calculation!ES109+'Calculations II'!O109-'Calculations II'!W109</f>
        <v>44.13077789260727</v>
      </c>
      <c r="Z109" s="94">
        <f ca="1">Y109-Sheet1!CT108</f>
        <v>28.831777892607271</v>
      </c>
      <c r="AA109" s="94">
        <f ca="1">Y109+Calculation!DJ110+Calculation!AS110</f>
        <v>55.045666951520815</v>
      </c>
      <c r="AC109" s="94">
        <f>Sheet1!AA107+Sheet1!AB107+BC109</f>
        <v>52.7</v>
      </c>
      <c r="AD109" s="94">
        <f>Sheet1!AA107+Sheet1!BN107+'Calculations II'!BC109-Calculation!AS109-Calculation!DJ109</f>
        <v>30.864301552106429</v>
      </c>
      <c r="AE109" s="94">
        <f>Sheet1!AA107+Sheet1!AB107+'Calculations II'!BC109-Calculation!AS109-Calculation!DJ109</f>
        <v>41.764301552106431</v>
      </c>
      <c r="AF109" s="94">
        <f ca="1">Sheet1!AA107+Sheet1!BN107+P109+'Calculations II'!BC109+Calculation!AS109+Calculation!DJ109</f>
        <v>53.367985745505891</v>
      </c>
      <c r="AG109" s="94">
        <f ca="1">IF(B109=TODAY(),0,Sheet1!AA107+Sheet1!BN107+'Calculations II'!BC109+'Calculations II'!P109-Sheet1!CT107-BP109)</f>
        <v>27.420287297612319</v>
      </c>
      <c r="AH109" s="94">
        <f ca="1">IF(B109=TODAY(),0,Sheet1!AA107+Sheet1!BN107+'Calculations II'!BC109+'Calculations II'!P109-BP109)</f>
        <v>42.432287297612319</v>
      </c>
      <c r="AI109" s="94">
        <f ca="1">IF(B109=TODAY(),0,BC109+Sheet1!AA107+Calculation!ES109+O109+W109+Sheet1!BN107+Calculation!AS109+Calculation!DJ109-BP109)</f>
        <v>53.367985745505891</v>
      </c>
      <c r="AJ109" s="94"/>
      <c r="AM109" s="90">
        <f t="shared" si="28"/>
        <v>42833</v>
      </c>
      <c r="AN109" s="94">
        <f>Sheet1!BU107</f>
        <v>25.6</v>
      </c>
      <c r="AO109" s="94">
        <f>Sheet1!AA107</f>
        <v>25.7</v>
      </c>
      <c r="AP109" s="94">
        <f t="shared" si="17"/>
        <v>-1.4403999999999988</v>
      </c>
      <c r="AQ109" s="1087">
        <f>((Sheet1!BV107-(Sheet1!BU107-AP109))/(Sheet1!BU107-AP109))</f>
        <v>0.13164006449608731</v>
      </c>
      <c r="AR109" s="94">
        <f t="shared" si="18"/>
        <v>27.1404</v>
      </c>
      <c r="AS109" s="94">
        <f t="shared" si="19"/>
        <v>27.040400000000002</v>
      </c>
      <c r="AT109" s="89">
        <f>Sheet1!BB107</f>
        <v>0</v>
      </c>
      <c r="AU109" s="89">
        <f>Sheet1!AS107*GPMtoMGD</f>
        <v>1.6560000000000002E-2</v>
      </c>
      <c r="AV109" s="94">
        <f>Sheet1!AT107</f>
        <v>0</v>
      </c>
      <c r="AW109" s="89">
        <f>Sheet1!AV107*GPMtoMGD</f>
        <v>0.56592000000000009</v>
      </c>
      <c r="AX109" s="89">
        <f>Sheet1!AW107*GPMtoMGD</f>
        <v>0.52444800000000003</v>
      </c>
      <c r="AY109" s="89">
        <f>Sheet1!AX107*GPMtoMGD</f>
        <v>0</v>
      </c>
      <c r="AZ109" s="89">
        <f>Sheet1!AY107*GPMtoMGD</f>
        <v>0</v>
      </c>
      <c r="BA109" s="89">
        <f>Sheet1!AZ107*GPMtoMGD</f>
        <v>0</v>
      </c>
      <c r="BB109" s="89">
        <f>Sheet1!BP107*GPMtoMGD</f>
        <v>2.8800000000000002E-3</v>
      </c>
      <c r="BC109" s="89">
        <f>Sheet1!CS107*GPMtoMGD</f>
        <v>0</v>
      </c>
      <c r="BD109" s="89">
        <f>Sheet1!BO107*GPMtoMGD</f>
        <v>1.3662719999999999</v>
      </c>
      <c r="BE109" s="89">
        <f>Sheet1!BW107*GPMtoMGD</f>
        <v>0.8707680000000001</v>
      </c>
      <c r="BF109" s="89">
        <f>Sheet1!CN107*GPMtoMGD</f>
        <v>0.65779200000000004</v>
      </c>
      <c r="BG109" s="89">
        <f>Sheet1!CO107*GPMtoMGD</f>
        <v>0.6052320000000001</v>
      </c>
      <c r="BH109" s="89">
        <f>Sheet1!CP107*GPMtoMGD</f>
        <v>0.63547200000000004</v>
      </c>
      <c r="BI109" s="89">
        <f t="shared" si="29"/>
        <v>1.3691519999999999</v>
      </c>
      <c r="BK109" s="94">
        <f>SUM(AT109:BA109,AS109,BC109,Calculation!AQ109)</f>
        <v>44.21162955210643</v>
      </c>
      <c r="BM109" s="358">
        <f>0</f>
        <v>0</v>
      </c>
      <c r="BN109" s="358">
        <f>0</f>
        <v>0</v>
      </c>
      <c r="BP109" s="94">
        <f>SUM(BM109:BN109,W109,Sheet1!DX107)</f>
        <v>0</v>
      </c>
      <c r="BR109" s="94">
        <f>Sheet1!AA107</f>
        <v>25.7</v>
      </c>
      <c r="BS109" s="94">
        <f>Sheet1!AB107</f>
        <v>27</v>
      </c>
      <c r="BT109" s="94">
        <f t="shared" ca="1" si="20"/>
        <v>0.63228729761232183</v>
      </c>
      <c r="BU109" s="94">
        <f>Sheet1!AT107</f>
        <v>0</v>
      </c>
      <c r="BV109" s="89">
        <f>Sheet1!BB107</f>
        <v>0</v>
      </c>
      <c r="BW109" s="94">
        <f>Calculation!ED109</f>
        <v>10.935698447893568</v>
      </c>
      <c r="BX109" s="94">
        <f>(Sheet1!CS107*1440)/1000000</f>
        <v>0</v>
      </c>
      <c r="CA109" s="94">
        <f ca="1">Sheet1!AC107-Sheet1!BK107-Sheet1!BL107-Sheet1!BM107-Sheet1!BC107-Sheet1!BD107-Sheet1!BE107-Sheet1!BF107-Sheet1!BG107-Sheet1!BH107-Sheet1!BI107+BC109+P109</f>
        <v>42.372287297612317</v>
      </c>
      <c r="CB109" s="93">
        <f t="shared" si="21"/>
        <v>64.609374501108647</v>
      </c>
      <c r="CC109" s="94">
        <f t="shared" si="22"/>
        <v>0</v>
      </c>
      <c r="CD109" s="94">
        <f t="shared" ca="1" si="23"/>
        <v>53.307985745505889</v>
      </c>
      <c r="CE109" s="1077">
        <f t="shared" ca="1" si="24"/>
        <v>82.467453948297603</v>
      </c>
      <c r="CG109" s="1077">
        <f t="shared" ca="1" si="25"/>
        <v>42.372287297612317</v>
      </c>
    </row>
    <row r="110" spans="1:85" s="89" customFormat="1" x14ac:dyDescent="0.25">
      <c r="A110" s="616" t="s">
        <v>3</v>
      </c>
      <c r="B110" s="91">
        <v>42834</v>
      </c>
      <c r="C110" s="92">
        <v>0</v>
      </c>
      <c r="D110" s="94">
        <f>(Sheet1!BQ108-Sheet1!BQ107)*1.385</f>
        <v>-0.87255000000000105</v>
      </c>
      <c r="E110" s="30">
        <f>(Sheet1!BR108-Sheet1!BR107)*1.385</f>
        <v>-0.87255000000000105</v>
      </c>
      <c r="F110" s="30">
        <f ca="1">IF(B110=TODAY(),0,-(VLOOKUP(Sheet1!CD108,Lookup!$I$4:$J$216,2)-VLOOKUP(Sheet1!CD107,Lookup!$I$4:$J$216,2))/1000000)</f>
        <v>0.93273244693020174</v>
      </c>
      <c r="G110" s="94">
        <f ca="1">IF(B110=TODAY(),0,-$G$6*(Sheet1!CF108-Sheet1!CF107)*7.48/1000000)</f>
        <v>0.43684851157815213</v>
      </c>
      <c r="H110" s="94">
        <f ca="1">IF(B110=TODAY(),0,-$H$6*(Sheet1!CE108-Sheet1!CE107)*7.48/1000000)</f>
        <v>4.2110410583542333E-2</v>
      </c>
      <c r="I110" s="94">
        <f ca="1">IF(B110=TODAY(),0,-$I$6*(Sheet1!CG108-Sheet1!CG107)*7.48/1000000)</f>
        <v>-1.7969952000000015E-2</v>
      </c>
      <c r="J110" s="95" t="s">
        <v>177</v>
      </c>
      <c r="K110" s="94">
        <f ca="1">IF(B110=TODAY(),0,-$K$6*(Sheet1!CH108-Sheet1!CH107)*7.48/1000000)</f>
        <v>-2.7319613535279622E-2</v>
      </c>
      <c r="L110" s="95" t="s">
        <v>177</v>
      </c>
      <c r="M110" s="94">
        <f ca="1">IF(B110=TODAY(),0,-$M$6*(Sheet1!CI108-Sheet1!CI107)*7.48/1000000)</f>
        <v>-4.1380469384462285E-2</v>
      </c>
      <c r="N110" s="94">
        <f ca="1">IF(B110=TODAY(),0,-$N$6*(Sheet1!CJ108-Sheet1!CJ107)*7.48/1000000)</f>
        <v>0.27303031973634484</v>
      </c>
      <c r="O110" s="94">
        <f t="shared" ca="1" si="30"/>
        <v>1.5980516539084992</v>
      </c>
      <c r="P110" s="94">
        <f ca="1">O110+Calculation!ES110</f>
        <v>3.3934803470836625</v>
      </c>
      <c r="Q110" s="89" t="str">
        <f>IF(Sheet1!BQ108&gt;25.75,"spill elevation","-")</f>
        <v>-</v>
      </c>
      <c r="R110" s="89" t="str">
        <f>IF(Sheet1!BQ108&gt;25.75,"spill elevation","-")</f>
        <v>-</v>
      </c>
      <c r="S110" s="89" t="str">
        <f>IF(Sheet1!BR108&gt;25.75,"spill elevation","-")</f>
        <v>-</v>
      </c>
      <c r="T110" s="93">
        <f>IF(Sheet1!DU108=1,Sheet1!AA108-(SUM(AT110:BA110)+BE110),Sheet1!AA108-SUM(AT110:BA110))</f>
        <v>24.214672</v>
      </c>
      <c r="U110" s="93">
        <f>Sheet1!BV108</f>
        <v>30.3</v>
      </c>
      <c r="V110" s="93">
        <f t="shared" si="27"/>
        <v>-6.0853280000000005</v>
      </c>
      <c r="W110" s="93">
        <f>0</f>
        <v>0</v>
      </c>
      <c r="X110" s="89">
        <f>0</f>
        <v>0</v>
      </c>
      <c r="Y110" s="94">
        <f ca="1">Calculation!EJ111+Calculation!ES110+'Calculations II'!O110-'Calculations II'!W110</f>
        <v>45.632380691505624</v>
      </c>
      <c r="Z110" s="94">
        <f ca="1">Y110-Sheet1!CT109</f>
        <v>29.981380691505624</v>
      </c>
      <c r="AA110" s="94">
        <f ca="1">Y110+Calculation!DJ111+Calculation!AS111</f>
        <v>56.282525834788096</v>
      </c>
      <c r="AC110" s="94">
        <f>Sheet1!AA108+Sheet1!AB108+BC110</f>
        <v>51.83</v>
      </c>
      <c r="AD110" s="94">
        <f>Sheet1!AA108+Sheet1!BN108+'Calculations II'!BC110-Calculation!AS110-Calculation!DJ110</f>
        <v>30.035110941086462</v>
      </c>
      <c r="AE110" s="94">
        <f>Sheet1!AA108+Sheet1!AB108+'Calculations II'!BC110-Calculation!AS110-Calculation!DJ110</f>
        <v>40.915110941086454</v>
      </c>
      <c r="AF110" s="94">
        <f ca="1">Sheet1!AA108+Sheet1!BN108+P110+'Calculations II'!BC110+Calculation!AS110+Calculation!DJ110</f>
        <v>55.2583694059972</v>
      </c>
      <c r="AG110" s="94">
        <f ca="1">IF(B110=TODAY(),0,Sheet1!AA108+Sheet1!BN108+'Calculations II'!BC110+'Calculations II'!P110-Sheet1!CT108-BP110)</f>
        <v>29.044480347083663</v>
      </c>
      <c r="AH110" s="94">
        <f ca="1">IF(B110=TODAY(),0,Sheet1!AA108+Sheet1!BN108+'Calculations II'!BC110+'Calculations II'!P110-BP110)</f>
        <v>44.343480347083663</v>
      </c>
      <c r="AI110" s="94">
        <f ca="1">IF(B110=TODAY(),0,BC110+Sheet1!AA108+Calculation!ES110+O110+W110+Sheet1!BN108+Calculation!AS110+Calculation!DJ110-BP110)</f>
        <v>55.2583694059972</v>
      </c>
      <c r="AJ110" s="94"/>
      <c r="AM110" s="90">
        <f t="shared" si="28"/>
        <v>42834</v>
      </c>
      <c r="AN110" s="94">
        <f>Sheet1!BU108</f>
        <v>25.2</v>
      </c>
      <c r="AO110" s="94">
        <f>Sheet1!AA108</f>
        <v>25.75</v>
      </c>
      <c r="AP110" s="94">
        <f t="shared" si="17"/>
        <v>-1.7451000000000021</v>
      </c>
      <c r="AQ110" s="1087">
        <f>((Sheet1!BV108-(Sheet1!BU108-AP110))/(Sheet1!BU108-AP110))</f>
        <v>0.12450872329291784</v>
      </c>
      <c r="AR110" s="94">
        <f t="shared" si="18"/>
        <v>27.495100000000001</v>
      </c>
      <c r="AS110" s="94">
        <f t="shared" si="19"/>
        <v>26.9451</v>
      </c>
      <c r="AT110" s="89">
        <f>Sheet1!BB108</f>
        <v>0</v>
      </c>
      <c r="AU110" s="89">
        <f>Sheet1!AS108*GPMtoMGD</f>
        <v>3.1536000000000002E-2</v>
      </c>
      <c r="AV110" s="94">
        <f>Sheet1!AT108</f>
        <v>0</v>
      </c>
      <c r="AW110" s="89">
        <f>Sheet1!AV108*GPMtoMGD</f>
        <v>0.65001600000000004</v>
      </c>
      <c r="AX110" s="89">
        <f>Sheet1!AW108*GPMtoMGD</f>
        <v>0.85377599999999998</v>
      </c>
      <c r="AY110" s="89">
        <f>Sheet1!AX108*GPMtoMGD</f>
        <v>0</v>
      </c>
      <c r="AZ110" s="89">
        <f>Sheet1!AY108*GPMtoMGD</f>
        <v>0</v>
      </c>
      <c r="BA110" s="89">
        <f>Sheet1!AZ108*GPMtoMGD</f>
        <v>0</v>
      </c>
      <c r="BB110" s="89">
        <f>Sheet1!BP108*GPMtoMGD</f>
        <v>2.8800000000000002E-3</v>
      </c>
      <c r="BC110" s="89">
        <f>Sheet1!CS108*GPMtoMGD</f>
        <v>0</v>
      </c>
      <c r="BD110" s="89">
        <f>Sheet1!BO108*GPMtoMGD</f>
        <v>1.5727680000000002</v>
      </c>
      <c r="BE110" s="89">
        <f>Sheet1!BW108*GPMtoMGD</f>
        <v>0.67881599999999997</v>
      </c>
      <c r="BF110" s="89">
        <f>Sheet1!CN108*GPMtoMGD</f>
        <v>0.98136000000000001</v>
      </c>
      <c r="BG110" s="89">
        <f>Sheet1!CO108*GPMtoMGD</f>
        <v>0.65102400000000005</v>
      </c>
      <c r="BH110" s="89">
        <f>Sheet1!CP108*GPMtoMGD</f>
        <v>0.65404800000000007</v>
      </c>
      <c r="BI110" s="89">
        <f t="shared" si="29"/>
        <v>1.5756480000000002</v>
      </c>
      <c r="BK110" s="94">
        <f>SUM(AT110:BA110,AS110,BC110,Calculation!AQ110)</f>
        <v>43.645538941086457</v>
      </c>
      <c r="BM110" s="358">
        <f>0</f>
        <v>0</v>
      </c>
      <c r="BN110" s="358">
        <f>0</f>
        <v>0</v>
      </c>
      <c r="BP110" s="94">
        <f>SUM(BM110:BN110,W110,Sheet1!DX108)</f>
        <v>0</v>
      </c>
      <c r="BR110" s="94">
        <f>Sheet1!AA108</f>
        <v>25.75</v>
      </c>
      <c r="BS110" s="94">
        <f>Sheet1!AB108</f>
        <v>26.08</v>
      </c>
      <c r="BT110" s="94">
        <f t="shared" ca="1" si="20"/>
        <v>3.3934803470836625</v>
      </c>
      <c r="BU110" s="94">
        <f>Sheet1!AT108</f>
        <v>0</v>
      </c>
      <c r="BV110" s="89">
        <f>Sheet1!BB108</f>
        <v>0</v>
      </c>
      <c r="BW110" s="94">
        <f>Calculation!ED110</f>
        <v>10.914889058913543</v>
      </c>
      <c r="BX110" s="94">
        <f>(Sheet1!CS108*1440)/1000000</f>
        <v>0</v>
      </c>
      <c r="CA110" s="94">
        <f ca="1">Sheet1!AC108-Sheet1!BK108-Sheet1!BL108-Sheet1!BM108-Sheet1!BC108-Sheet1!BD108-Sheet1!BE108-Sheet1!BF108-Sheet1!BG108-Sheet1!BH108-Sheet1!BI108+BC110+P110</f>
        <v>44.283480347083646</v>
      </c>
      <c r="CB110" s="93">
        <f t="shared" si="21"/>
        <v>63.295676625860743</v>
      </c>
      <c r="CC110" s="94">
        <f t="shared" si="22"/>
        <v>0</v>
      </c>
      <c r="CD110" s="94">
        <f t="shared" ca="1" si="23"/>
        <v>55.198369405997191</v>
      </c>
      <c r="CE110" s="1077">
        <f t="shared" ca="1" si="24"/>
        <v>85.391877471077649</v>
      </c>
      <c r="CG110" s="1077">
        <f t="shared" ca="1" si="25"/>
        <v>44.283480347083646</v>
      </c>
    </row>
    <row r="111" spans="1:85" s="89" customFormat="1" x14ac:dyDescent="0.25">
      <c r="A111" s="616" t="s">
        <v>4</v>
      </c>
      <c r="B111" s="91">
        <v>42835</v>
      </c>
      <c r="C111" s="92">
        <v>0</v>
      </c>
      <c r="D111" s="94">
        <f>(Sheet1!BQ109-Sheet1!BQ108)*1.385</f>
        <v>-12.077199999999998</v>
      </c>
      <c r="E111" s="30">
        <f>(Sheet1!BR109-Sheet1!BR108)*1.385</f>
        <v>0.73405000000000153</v>
      </c>
      <c r="F111" s="30">
        <f ca="1">IF(B111=TODAY(),0,-(VLOOKUP(Sheet1!CD109,Lookup!$I$4:$J$216,2)-VLOOKUP(Sheet1!CD108,Lookup!$I$4:$J$216,2))/1000000)</f>
        <v>0.51818469273900236</v>
      </c>
      <c r="G111" s="94">
        <f ca="1">IF(B111=TODAY(),0,-$G$6*(Sheet1!CF109-Sheet1!CF108)*7.48/1000000)</f>
        <v>-0.79427002105118594</v>
      </c>
      <c r="H111" s="94">
        <f ca="1">IF(B111=TODAY(),0,-$H$6*(Sheet1!CE109-Sheet1!CE108)*7.48/1000000)</f>
        <v>-2.7070978232277065E-2</v>
      </c>
      <c r="I111" s="94">
        <f ca="1">IF(B111=TODAY(),0,-$I$6*(Sheet1!CG109-Sheet1!CG108)*7.48/1000000)</f>
        <v>2.2462439999999919E-3</v>
      </c>
      <c r="J111" s="95" t="s">
        <v>177</v>
      </c>
      <c r="K111" s="94">
        <f ca="1">IF(B111=TODAY(),0,-$K$6*(Sheet1!CH109-Sheet1!CH108)*7.48/1000000)</f>
        <v>0</v>
      </c>
      <c r="L111" s="95" t="s">
        <v>177</v>
      </c>
      <c r="M111" s="94">
        <f ca="1">IF(B111=TODAY(),0,-$M$6*(Sheet1!CI109-Sheet1!CI108)*7.48/1000000)</f>
        <v>-3.598301685605397E-2</v>
      </c>
      <c r="N111" s="94">
        <f ca="1">IF(B111=TODAY(),0,-$N$6*(Sheet1!CJ109-Sheet1!CJ108)*7.48/1000000)</f>
        <v>0.17374656710494654</v>
      </c>
      <c r="O111" s="94">
        <f t="shared" ca="1" si="30"/>
        <v>-0.16314651229556804</v>
      </c>
      <c r="P111" s="94">
        <f ca="1">O111+Calculation!ES111</f>
        <v>11.133677055847436</v>
      </c>
      <c r="Q111" s="89" t="str">
        <f>IF(Sheet1!BQ109&gt;25.75,"spill elevation","-")</f>
        <v>-</v>
      </c>
      <c r="R111" s="89" t="str">
        <f>IF(Sheet1!BQ109&gt;25.75,"spill elevation","-")</f>
        <v>-</v>
      </c>
      <c r="S111" s="89" t="str">
        <f>IF(Sheet1!BR109&gt;25.75,"spill elevation","-")</f>
        <v>-</v>
      </c>
      <c r="T111" s="93">
        <f>IF(Sheet1!DU109=1,Sheet1!AA109-(SUM(AT111:BA111)+BE111),Sheet1!AA109-SUM(AT111:BA111))</f>
        <v>24.717808000000002</v>
      </c>
      <c r="U111" s="93">
        <f>Sheet1!BV109</f>
        <v>30.2</v>
      </c>
      <c r="V111" s="93">
        <f t="shared" si="27"/>
        <v>-5.4821919999999977</v>
      </c>
      <c r="W111" s="93">
        <f>0</f>
        <v>0</v>
      </c>
      <c r="X111" s="89">
        <f>0</f>
        <v>0</v>
      </c>
      <c r="Y111" s="94">
        <f ca="1">Calculation!EJ112+Calculation!ES111+'Calculations II'!O111-'Calculations II'!W111</f>
        <v>54.965784019569398</v>
      </c>
      <c r="Z111" s="94">
        <f ca="1">Y111-Sheet1!CT110</f>
        <v>39.274784019569395</v>
      </c>
      <c r="AA111" s="94">
        <f ca="1">Y111+Calculation!DJ112+Calculation!AS112</f>
        <v>65.411129886898237</v>
      </c>
      <c r="AC111" s="94">
        <f>Sheet1!AA109+Sheet1!AB109+BC111</f>
        <v>52.57</v>
      </c>
      <c r="AD111" s="94">
        <f>Sheet1!AA109+Sheet1!BN109+'Calculations II'!BC111-Calculation!AS111-Calculation!DJ111</f>
        <v>31.299854856717531</v>
      </c>
      <c r="AE111" s="94">
        <f>Sheet1!AA109+Sheet1!AB109+'Calculations II'!BC111-Calculation!AS111-Calculation!DJ111</f>
        <v>41.919854856717528</v>
      </c>
      <c r="AF111" s="94">
        <f ca="1">Sheet1!AA109+Sheet1!BN109+P111+'Calculations II'!BC111+Calculation!AS111+Calculation!DJ111</f>
        <v>63.733822199129911</v>
      </c>
      <c r="AG111" s="94">
        <f ca="1">IF(B111=TODAY(),0,Sheet1!AA109+Sheet1!BN109+'Calculations II'!BC111+'Calculations II'!P111-Sheet1!CT109-BP111)</f>
        <v>27.653417459685251</v>
      </c>
      <c r="AH111" s="94">
        <f ca="1">IF(B111=TODAY(),0,Sheet1!AA109+Sheet1!BN109+'Calculations II'!BC111+'Calculations II'!P111-BP111)</f>
        <v>43.304417459685254</v>
      </c>
      <c r="AI111" s="94">
        <f ca="1">IF(B111=TODAY(),0,BC111+Sheet1!AA109+Calculation!ES111+O111+W111+Sheet1!BN109+Calculation!AS111+Calculation!DJ111-BP111)</f>
        <v>53.954562602967719</v>
      </c>
      <c r="AJ111" s="94"/>
      <c r="AM111" s="90">
        <f t="shared" si="28"/>
        <v>42835</v>
      </c>
      <c r="AN111" s="94">
        <f>Sheet1!BU109</f>
        <v>25.2</v>
      </c>
      <c r="AO111" s="94">
        <f>Sheet1!AA109</f>
        <v>25.75</v>
      </c>
      <c r="AP111" s="94">
        <f t="shared" si="17"/>
        <v>-11.343149999999996</v>
      </c>
      <c r="AQ111" s="1087">
        <f>((Sheet1!BV109-(Sheet1!BU109-AP111))/(Sheet1!BU109-AP111))</f>
        <v>-0.17357972698029586</v>
      </c>
      <c r="AR111" s="94">
        <f t="shared" si="18"/>
        <v>37.093149999999994</v>
      </c>
      <c r="AS111" s="94">
        <f t="shared" si="19"/>
        <v>36.543149999999997</v>
      </c>
      <c r="AT111" s="89">
        <f>Sheet1!BB109</f>
        <v>0</v>
      </c>
      <c r="AU111" s="89">
        <f>Sheet1!AS109*GPMtoMGD</f>
        <v>1.5696000000000002E-2</v>
      </c>
      <c r="AV111" s="94">
        <f>Sheet1!AT109</f>
        <v>0</v>
      </c>
      <c r="AW111" s="89">
        <f>Sheet1!AV109*GPMtoMGD</f>
        <v>0.45028800000000002</v>
      </c>
      <c r="AX111" s="89">
        <f>Sheet1!AW109*GPMtoMGD</f>
        <v>0.56620800000000004</v>
      </c>
      <c r="AY111" s="89">
        <f>Sheet1!AX109*GPMtoMGD</f>
        <v>0</v>
      </c>
      <c r="AZ111" s="89">
        <f>Sheet1!AY109*GPMtoMGD</f>
        <v>0</v>
      </c>
      <c r="BA111" s="89">
        <f>Sheet1!AZ109*GPMtoMGD</f>
        <v>0</v>
      </c>
      <c r="BB111" s="89">
        <f>Sheet1!BP109*GPMtoMGD</f>
        <v>4.0464000000000007E-2</v>
      </c>
      <c r="BC111" s="89">
        <f>Sheet1!CS109*GPMtoMGD</f>
        <v>0</v>
      </c>
      <c r="BD111" s="89">
        <f>Sheet1!BO109*GPMtoMGD</f>
        <v>1.5058080000000003</v>
      </c>
      <c r="BE111" s="89">
        <f>Sheet1!BW109*GPMtoMGD</f>
        <v>1.0056959999999999</v>
      </c>
      <c r="BF111" s="89">
        <f>Sheet1!CN109*GPMtoMGD</f>
        <v>0.40262400000000004</v>
      </c>
      <c r="BG111" s="89">
        <f>Sheet1!CO109*GPMtoMGD</f>
        <v>0.76622400000000013</v>
      </c>
      <c r="BH111" s="89">
        <f>Sheet1!CP109*GPMtoMGD</f>
        <v>0.67982400000000009</v>
      </c>
      <c r="BI111" s="89">
        <f t="shared" si="29"/>
        <v>1.5462720000000003</v>
      </c>
      <c r="BK111" s="94">
        <f>SUM(AT111:BA111,AS111,BC111,Calculation!AQ111)</f>
        <v>53.745196856717527</v>
      </c>
      <c r="BM111" s="358">
        <f>0</f>
        <v>0</v>
      </c>
      <c r="BN111" s="358">
        <f>0</f>
        <v>0</v>
      </c>
      <c r="BP111" s="94">
        <f>SUM(BM111:BN111,W111,Sheet1!DX109)</f>
        <v>9.7792595961621824</v>
      </c>
      <c r="BR111" s="94">
        <f>Sheet1!AA109</f>
        <v>25.75</v>
      </c>
      <c r="BS111" s="94">
        <f>Sheet1!AB109</f>
        <v>26.82</v>
      </c>
      <c r="BT111" s="94">
        <f t="shared" ca="1" si="20"/>
        <v>11.133677055847436</v>
      </c>
      <c r="BU111" s="94">
        <f>Sheet1!AT109</f>
        <v>0</v>
      </c>
      <c r="BV111" s="89">
        <f>Sheet1!BB109</f>
        <v>0</v>
      </c>
      <c r="BW111" s="94">
        <f>Calculation!ED111</f>
        <v>10.650145143282472</v>
      </c>
      <c r="BX111" s="94">
        <f>(Sheet1!CS109*1440)/1000000</f>
        <v>0</v>
      </c>
      <c r="CA111" s="94">
        <f ca="1">Sheet1!AC109-Sheet1!BK109-Sheet1!BL109-Sheet1!BM109-Sheet1!BC109-Sheet1!BD109-Sheet1!BE109-Sheet1!BF109-Sheet1!BG109-Sheet1!BH109-Sheet1!BI109+BC111+P111</f>
        <v>53.033677055847441</v>
      </c>
      <c r="CB111" s="93">
        <f t="shared" si="21"/>
        <v>64.850015463342018</v>
      </c>
      <c r="CC111" s="94">
        <f t="shared" si="22"/>
        <v>0</v>
      </c>
      <c r="CD111" s="94">
        <f t="shared" ca="1" si="23"/>
        <v>63.683822199129914</v>
      </c>
      <c r="CE111" s="1077">
        <f t="shared" ca="1" si="24"/>
        <v>98.518872942053974</v>
      </c>
      <c r="CG111" s="1077">
        <f t="shared" ca="1" si="25"/>
        <v>43.254417459685257</v>
      </c>
    </row>
    <row r="112" spans="1:85" s="89" customFormat="1" x14ac:dyDescent="0.25">
      <c r="A112" s="616" t="s">
        <v>5</v>
      </c>
      <c r="B112" s="91">
        <v>42836</v>
      </c>
      <c r="C112" s="92">
        <v>0</v>
      </c>
      <c r="D112" s="94">
        <f>(Sheet1!BQ110-Sheet1!BQ109)*1.385</f>
        <v>-5.1383500000000009</v>
      </c>
      <c r="E112" s="30">
        <f>(Sheet1!BR110-Sheet1!BR109)*1.385</f>
        <v>-1.2326500000000007</v>
      </c>
      <c r="F112" s="30">
        <f ca="1">IF(B112=TODAY(),0,-(VLOOKUP(Sheet1!CD110,Lookup!$I$4:$J$216,2)-VLOOKUP(Sheet1!CD109,Lookup!$I$4:$J$216,2))/1000000)</f>
        <v>-0.41454775419120304</v>
      </c>
      <c r="G112" s="94">
        <f ca="1">IF(B112=TODAY(),0,-$G$6*(Sheet1!CF110-Sheet1!CF109)*7.48/1000000)</f>
        <v>0.63541601684094862</v>
      </c>
      <c r="H112" s="94">
        <f ca="1">IF(B112=TODAY(),0,-$H$6*(Sheet1!CE110-Sheet1!CE109)*7.48/1000000)</f>
        <v>-1.5039432351265274E-2</v>
      </c>
      <c r="I112" s="94">
        <f ca="1">IF(B112=TODAY(),0,-$I$6*(Sheet1!CG110-Sheet1!CG109)*7.48/1000000)</f>
        <v>-2.2462439999999959E-2</v>
      </c>
      <c r="J112" s="95" t="s">
        <v>177</v>
      </c>
      <c r="K112" s="94">
        <f ca="1">IF(B112=TODAY(),0,-$K$6*(Sheet1!CH110-Sheet1!CH109)*7.48/1000000)</f>
        <v>-3.9979922246750635E-2</v>
      </c>
      <c r="L112" s="95" t="s">
        <v>177</v>
      </c>
      <c r="M112" s="94">
        <f ca="1">IF(B112=TODAY(),0,-$M$6*(Sheet1!CI110-Sheet1!CI109)*7.48/1000000)</f>
        <v>-7.1966033712107941E-2</v>
      </c>
      <c r="N112" s="94">
        <f ca="1">IF(B112=TODAY(),0,-$N$6*(Sheet1!CJ110-Sheet1!CJ109)*7.48/1000000)</f>
        <v>-0.35990360328881754</v>
      </c>
      <c r="O112" s="94">
        <f t="shared" ca="1" si="30"/>
        <v>-0.28848316894919579</v>
      </c>
      <c r="P112" s="94">
        <f ca="1">O112+Calculation!ES112</f>
        <v>5.4507066881470934</v>
      </c>
      <c r="Q112" s="89" t="str">
        <f>IF(Sheet1!BQ110&gt;25.75,"spill elevation","-")</f>
        <v>-</v>
      </c>
      <c r="R112" s="89" t="str">
        <f>IF(Sheet1!BQ110&gt;25.75,"spill elevation","-")</f>
        <v>-</v>
      </c>
      <c r="S112" s="89" t="str">
        <f>IF(Sheet1!BR110&gt;25.75,"spill elevation","-")</f>
        <v>-</v>
      </c>
      <c r="T112" s="93">
        <f>IF(Sheet1!DU110=1,Sheet1!AA110-(SUM(AT112:BA112)+BE112),Sheet1!AA110-SUM(AT112:BA112))</f>
        <v>24.404064000000002</v>
      </c>
      <c r="U112" s="93">
        <f>Sheet1!BV110</f>
        <v>29.6</v>
      </c>
      <c r="V112" s="93">
        <f t="shared" si="27"/>
        <v>-5.1959359999999997</v>
      </c>
      <c r="W112" s="93">
        <f>0</f>
        <v>0</v>
      </c>
      <c r="X112" s="89">
        <f>0</f>
        <v>0</v>
      </c>
      <c r="Y112" s="94">
        <f ca="1">Calculation!EJ113+Calculation!ES112+'Calculations II'!O112-'Calculations II'!W112</f>
        <v>51.055670739566871</v>
      </c>
      <c r="Z112" s="94">
        <f ca="1">Y112-Sheet1!CT111</f>
        <v>35.402670739566872</v>
      </c>
      <c r="AA112" s="94">
        <f ca="1">Y112+Calculation!DJ113+Calculation!AS113</f>
        <v>61.538735255695904</v>
      </c>
      <c r="AC112" s="94">
        <f>Sheet1!AA110+Sheet1!AB110+BC112</f>
        <v>53.870000000000005</v>
      </c>
      <c r="AD112" s="94">
        <f>Sheet1!AA110+Sheet1!BN110+'Calculations II'!BC112-Calculation!AS112-Calculation!DJ112</f>
        <v>33.05465413267116</v>
      </c>
      <c r="AE112" s="94">
        <f>Sheet1!AA110+Sheet1!AB110+'Calculations II'!BC112-Calculation!AS112-Calculation!DJ112</f>
        <v>43.424654132671165</v>
      </c>
      <c r="AF112" s="94">
        <f ca="1">Sheet1!AA110+Sheet1!BN110+P112+'Calculations II'!BC112+Calculation!AS112+Calculation!DJ112</f>
        <v>59.396052555475933</v>
      </c>
      <c r="AG112" s="94">
        <f ca="1">IF(B112=TODAY(),0,Sheet1!AA110+Sheet1!BN110+'Calculations II'!BC112+'Calculations II'!P112-Sheet1!CT110-BP112)</f>
        <v>28.763594530716187</v>
      </c>
      <c r="AH112" s="94">
        <f ca="1">IF(B112=TODAY(),0,Sheet1!AA110+Sheet1!BN110+'Calculations II'!BC112+'Calculations II'!P112-BP112)</f>
        <v>44.454594530716193</v>
      </c>
      <c r="AI112" s="94">
        <f ca="1">IF(B112=TODAY(),0,BC112+Sheet1!AA110+Calculation!ES112+O112+W112+Sheet1!BN110+Calculation!AS112+Calculation!DJ112-BP112)</f>
        <v>54.899940398045032</v>
      </c>
      <c r="AJ112" s="94"/>
      <c r="AM112" s="90">
        <f t="shared" si="28"/>
        <v>42836</v>
      </c>
      <c r="AN112" s="94">
        <f>Sheet1!BU110</f>
        <v>25.1</v>
      </c>
      <c r="AO112" s="94">
        <f>Sheet1!AA110</f>
        <v>25.8</v>
      </c>
      <c r="AP112" s="94">
        <f t="shared" si="17"/>
        <v>-6.3710000000000013</v>
      </c>
      <c r="AQ112" s="1087">
        <f>((Sheet1!BV110-(Sheet1!BU110-AP112))/(Sheet1!BU110-AP112))</f>
        <v>-5.9451558577738296E-2</v>
      </c>
      <c r="AR112" s="94">
        <f t="shared" si="18"/>
        <v>32.170999999999999</v>
      </c>
      <c r="AS112" s="94">
        <f t="shared" si="19"/>
        <v>31.471000000000004</v>
      </c>
      <c r="AT112" s="89">
        <f>Sheet1!BB110</f>
        <v>0</v>
      </c>
      <c r="AU112" s="89">
        <f>Sheet1!AS110*GPMtoMGD</f>
        <v>3.1248000000000001E-2</v>
      </c>
      <c r="AV112" s="94">
        <f>Sheet1!AT110</f>
        <v>0</v>
      </c>
      <c r="AW112" s="89">
        <f>Sheet1!AV110*GPMtoMGD</f>
        <v>0.63057600000000003</v>
      </c>
      <c r="AX112" s="89">
        <f>Sheet1!AW110*GPMtoMGD</f>
        <v>0.7341120000000001</v>
      </c>
      <c r="AY112" s="89">
        <f>Sheet1!AX110*GPMtoMGD</f>
        <v>0</v>
      </c>
      <c r="AZ112" s="89">
        <f>Sheet1!AY110*GPMtoMGD</f>
        <v>0</v>
      </c>
      <c r="BA112" s="89">
        <f>Sheet1!AZ110*GPMtoMGD</f>
        <v>0</v>
      </c>
      <c r="BB112" s="89">
        <f>Sheet1!BP110*GPMtoMGD</f>
        <v>2.8800000000000002E-3</v>
      </c>
      <c r="BC112" s="89">
        <f>Sheet1!CS110*GPMtoMGD</f>
        <v>0</v>
      </c>
      <c r="BD112" s="89">
        <f>Sheet1!BO110*GPMtoMGD</f>
        <v>1.5854400000000002</v>
      </c>
      <c r="BE112" s="89">
        <f>Sheet1!BW110*GPMtoMGD</f>
        <v>1.0984320000000001</v>
      </c>
      <c r="BF112" s="89">
        <f>Sheet1!CN110*GPMtoMGD</f>
        <v>0.49276800000000004</v>
      </c>
      <c r="BG112" s="89">
        <f>Sheet1!CO110*GPMtoMGD</f>
        <v>0.82656000000000007</v>
      </c>
      <c r="BH112" s="89">
        <f>Sheet1!CP110*GPMtoMGD</f>
        <v>0.67536000000000007</v>
      </c>
      <c r="BI112" s="89">
        <f t="shared" si="29"/>
        <v>1.5883200000000002</v>
      </c>
      <c r="BK112" s="94">
        <f>SUM(AT112:BA112,AS112,BC112,Calculation!AQ112)</f>
        <v>50.491590132671163</v>
      </c>
      <c r="BM112" s="358">
        <f>0</f>
        <v>0</v>
      </c>
      <c r="BN112" s="358">
        <f>0</f>
        <v>0</v>
      </c>
      <c r="BP112" s="94">
        <f>SUM(BM112:BN112,W112,Sheet1!DX110)</f>
        <v>4.4961121574309031</v>
      </c>
      <c r="BR112" s="94">
        <f>Sheet1!AA110</f>
        <v>25.8</v>
      </c>
      <c r="BS112" s="94">
        <f>Sheet1!AB110</f>
        <v>28.07</v>
      </c>
      <c r="BT112" s="94">
        <f t="shared" ca="1" si="20"/>
        <v>5.4507066881470934</v>
      </c>
      <c r="BU112" s="94">
        <f>Sheet1!AT110</f>
        <v>0</v>
      </c>
      <c r="BV112" s="89">
        <f>Sheet1!BB110</f>
        <v>0</v>
      </c>
      <c r="BW112" s="94">
        <f>Calculation!ED112</f>
        <v>10.445345867328843</v>
      </c>
      <c r="BX112" s="94">
        <f>(Sheet1!CS110*1440)/1000000</f>
        <v>0</v>
      </c>
      <c r="CA112" s="94">
        <f ca="1">Sheet1!AC110-Sheet1!BK110-Sheet1!BL110-Sheet1!BM110-Sheet1!BC110-Sheet1!BD110-Sheet1!BE110-Sheet1!BF110-Sheet1!BG110-Sheet1!BH110-Sheet1!BI110+BC112+P112</f>
        <v>48.830706688147096</v>
      </c>
      <c r="CB112" s="93">
        <f t="shared" si="21"/>
        <v>67.177939943242293</v>
      </c>
      <c r="CC112" s="94">
        <f t="shared" si="22"/>
        <v>0</v>
      </c>
      <c r="CD112" s="94">
        <f t="shared" ca="1" si="23"/>
        <v>59.276052555475943</v>
      </c>
      <c r="CE112" s="1077">
        <f t="shared" ca="1" si="24"/>
        <v>91.700053303321283</v>
      </c>
      <c r="CG112" s="1077">
        <f t="shared" ca="1" si="25"/>
        <v>44.334594530716195</v>
      </c>
    </row>
    <row r="113" spans="1:85" s="89" customFormat="1" x14ac:dyDescent="0.25">
      <c r="A113" s="616" t="s">
        <v>6</v>
      </c>
      <c r="B113" s="91">
        <v>42837</v>
      </c>
      <c r="C113" s="92">
        <v>0</v>
      </c>
      <c r="D113" s="94">
        <f>(Sheet1!BQ111-Sheet1!BQ110)*1.385</f>
        <v>-1.75895</v>
      </c>
      <c r="E113" s="30">
        <f>(Sheet1!BR111-Sheet1!BR110)*1.385</f>
        <v>1.8143500000000008</v>
      </c>
      <c r="F113" s="30">
        <f ca="1">IF(B113=TODAY(),0,-(VLOOKUP(Sheet1!CD111,Lookup!$I$4:$J$216,2)-VLOOKUP(Sheet1!CD110,Lookup!$I$4:$J$216,2))/1000000)</f>
        <v>-0.20727387709559872</v>
      </c>
      <c r="G113" s="94">
        <f ca="1">IF(B113=TODAY(),0,-$G$6*(Sheet1!CF111-Sheet1!CF110)*7.48/1000000)</f>
        <v>-0.99283752631398237</v>
      </c>
      <c r="H113" s="94">
        <f ca="1">IF(B113=TODAY(),0,-$H$6*(Sheet1!CE111-Sheet1!CE110)*7.48/1000000)</f>
        <v>3.0078864702530548E-2</v>
      </c>
      <c r="I113" s="94">
        <f ca="1">IF(B113=TODAY(),0,-$I$6*(Sheet1!CG111-Sheet1!CG110)*7.48/1000000)</f>
        <v>4.4924879999999837E-3</v>
      </c>
      <c r="J113" s="95" t="s">
        <v>177</v>
      </c>
      <c r="K113" s="94">
        <f ca="1">IF(B113=TODAY(),0,-$K$6*(Sheet1!CH111-Sheet1!CH110)*7.48/1000000)</f>
        <v>1.3326640748916837E-2</v>
      </c>
      <c r="L113" s="95" t="s">
        <v>177</v>
      </c>
      <c r="M113" s="94">
        <f ca="1">IF(B113=TODAY(),0,-$M$6*(Sheet1!CI111-Sheet1!CI110)*7.48/1000000)</f>
        <v>1.7991508428026663E-2</v>
      </c>
      <c r="N113" s="94">
        <f ca="1">IF(B113=TODAY(),0,-$N$6*(Sheet1!CJ111-Sheet1!CJ110)*7.48/1000000)</f>
        <v>1.2410469078924517E-2</v>
      </c>
      <c r="O113" s="94">
        <f t="shared" ca="1" si="30"/>
        <v>-1.1218114324511825</v>
      </c>
      <c r="P113" s="94">
        <f ca="1">O113+Calculation!ES113</f>
        <v>-2.4722910584596622</v>
      </c>
      <c r="Q113" s="89" t="str">
        <f>IF(Sheet1!BQ111&gt;25.75,"spill elevation","-")</f>
        <v>-</v>
      </c>
      <c r="R113" s="89" t="str">
        <f>IF(Sheet1!BQ111&gt;25.75,"spill elevation","-")</f>
        <v>-</v>
      </c>
      <c r="S113" s="89" t="str">
        <f>IF(Sheet1!BR111&gt;25.75,"spill elevation","-")</f>
        <v>-</v>
      </c>
      <c r="T113" s="93">
        <f>IF(Sheet1!DU111=1,Sheet1!AA111-(SUM(AT113:BA113)+BE113),Sheet1!AA111-SUM(AT113:BA113))</f>
        <v>24.710159999999998</v>
      </c>
      <c r="U113" s="93">
        <f>Sheet1!BV111</f>
        <v>26.5</v>
      </c>
      <c r="V113" s="93">
        <f t="shared" si="27"/>
        <v>-1.7898400000000017</v>
      </c>
      <c r="W113" s="93">
        <f>0</f>
        <v>0</v>
      </c>
      <c r="X113" s="89">
        <f>0</f>
        <v>0</v>
      </c>
      <c r="Y113" s="94">
        <f ca="1">Calculation!EJ114+Calculation!ES113+'Calculations II'!O113-'Calculations II'!W113</f>
        <v>45.241511766535353</v>
      </c>
      <c r="Z113" s="94">
        <f ca="1">Y113-Sheet1!CT112</f>
        <v>29.803511766535351</v>
      </c>
      <c r="AA113" s="94">
        <f ca="1">Y113+Calculation!DJ114+Calculation!AS114</f>
        <v>55.874904680675158</v>
      </c>
      <c r="AC113" s="94">
        <f>Sheet1!AA111+Sheet1!AB111+BC113</f>
        <v>56.72</v>
      </c>
      <c r="AD113" s="94">
        <f>Sheet1!AA111+Sheet1!BN111+'Calculations II'!BC113-Calculation!AS113-Calculation!DJ113</f>
        <v>35.786935483870963</v>
      </c>
      <c r="AE113" s="94">
        <f>Sheet1!AA111+Sheet1!AB111+'Calculations II'!BC113-Calculation!AS113-Calculation!DJ113</f>
        <v>46.236935483870965</v>
      </c>
      <c r="AF113" s="94">
        <f ca="1">Sheet1!AA111+Sheet1!BN111+P113+'Calculations II'!BC113+Calculation!AS113+Calculation!DJ113</f>
        <v>54.280773457669369</v>
      </c>
      <c r="AG113" s="94">
        <f ca="1">IF(B113=TODAY(),0,Sheet1!AA111+Sheet1!BN111+'Calculations II'!BC113+'Calculations II'!P113-Sheet1!CT111-BP113)</f>
        <v>27.699465483551371</v>
      </c>
      <c r="AH113" s="94">
        <f ca="1">IF(B113=TODAY(),0,Sheet1!AA111+Sheet1!BN111+'Calculations II'!BC113+'Calculations II'!P113-BP113)</f>
        <v>43.35246548355137</v>
      </c>
      <c r="AI113" s="94">
        <f ca="1">IF(B113=TODAY(),0,BC113+Sheet1!AA111+Calculation!ES113+O113+W113+Sheet1!BN111+Calculation!AS113+Calculation!DJ113-BP113)</f>
        <v>53.835529999680404</v>
      </c>
      <c r="AJ113" s="94"/>
      <c r="AM113" s="90">
        <f t="shared" si="28"/>
        <v>42837</v>
      </c>
      <c r="AN113" s="94">
        <f>Sheet1!BU111</f>
        <v>25.2</v>
      </c>
      <c r="AO113" s="94">
        <f>Sheet1!AA111</f>
        <v>25.77</v>
      </c>
      <c r="AP113" s="94">
        <f t="shared" si="17"/>
        <v>5.5400000000000782E-2</v>
      </c>
      <c r="AQ113" s="1087">
        <f>((Sheet1!BV111-(Sheet1!BU111-AP113))/(Sheet1!BU111-AP113))</f>
        <v>5.3904218003070367E-2</v>
      </c>
      <c r="AR113" s="94">
        <f t="shared" si="18"/>
        <v>25.714599999999997</v>
      </c>
      <c r="AS113" s="94">
        <f t="shared" si="19"/>
        <v>25.144599999999997</v>
      </c>
      <c r="AT113" s="89">
        <f>Sheet1!BB111</f>
        <v>0</v>
      </c>
      <c r="AU113" s="89">
        <f>Sheet1!AS111*GPMtoMGD</f>
        <v>0</v>
      </c>
      <c r="AV113" s="94">
        <f>Sheet1!AT111</f>
        <v>0</v>
      </c>
      <c r="AW113" s="89">
        <f>Sheet1!AV111*GPMtoMGD</f>
        <v>0.47952000000000006</v>
      </c>
      <c r="AX113" s="89">
        <f>Sheet1!AW111*GPMtoMGD</f>
        <v>0.58032000000000006</v>
      </c>
      <c r="AY113" s="89">
        <f>Sheet1!AX111*GPMtoMGD</f>
        <v>0</v>
      </c>
      <c r="AZ113" s="89">
        <f>Sheet1!AY111*GPMtoMGD</f>
        <v>0</v>
      </c>
      <c r="BA113" s="89">
        <f>Sheet1!AZ111*GPMtoMGD</f>
        <v>0</v>
      </c>
      <c r="BB113" s="89">
        <f>Sheet1!BP111*GPMtoMGD</f>
        <v>2.8800000000000002E-3</v>
      </c>
      <c r="BC113" s="89">
        <f>Sheet1!CS111*GPMtoMGD</f>
        <v>0</v>
      </c>
      <c r="BD113" s="89">
        <f>Sheet1!BO111*GPMtoMGD</f>
        <v>1.3998240000000002</v>
      </c>
      <c r="BE113" s="89">
        <f>Sheet1!BW111*GPMtoMGD</f>
        <v>1.0958400000000001</v>
      </c>
      <c r="BF113" s="89">
        <f>Sheet1!CN111*GPMtoMGD</f>
        <v>0.42120000000000002</v>
      </c>
      <c r="BG113" s="89">
        <f>Sheet1!CO111*GPMtoMGD</f>
        <v>0.78134400000000004</v>
      </c>
      <c r="BH113" s="89">
        <f>Sheet1!CP111*GPMtoMGD</f>
        <v>0.61243200000000009</v>
      </c>
      <c r="BI113" s="89">
        <f t="shared" si="29"/>
        <v>1.4027040000000002</v>
      </c>
      <c r="BK113" s="94">
        <f>SUM(AT113:BA113,AS113,BC113,Calculation!AQ113)</f>
        <v>46.67137548387096</v>
      </c>
      <c r="BM113" s="358">
        <f>0</f>
        <v>0</v>
      </c>
      <c r="BN113" s="358">
        <f>0</f>
        <v>0</v>
      </c>
      <c r="BP113" s="94">
        <f>SUM(BM113:BN113,W113,Sheet1!DX111)</f>
        <v>0.44524345798896375</v>
      </c>
      <c r="BR113" s="94">
        <f>Sheet1!AA111</f>
        <v>25.77</v>
      </c>
      <c r="BS113" s="94">
        <f>Sheet1!AB111</f>
        <v>30.95</v>
      </c>
      <c r="BT113" s="94">
        <f t="shared" ca="1" si="20"/>
        <v>-2.4722910584596622</v>
      </c>
      <c r="BU113" s="94">
        <f>Sheet1!AT111</f>
        <v>0</v>
      </c>
      <c r="BV113" s="89">
        <f>Sheet1!BB111</f>
        <v>0</v>
      </c>
      <c r="BW113" s="94">
        <f>Calculation!ED113</f>
        <v>10.483064516129033</v>
      </c>
      <c r="BX113" s="94">
        <f>(Sheet1!CS111*1440)/1000000</f>
        <v>0</v>
      </c>
      <c r="CA113" s="94">
        <f ca="1">Sheet1!AC111-Sheet1!BK111-Sheet1!BL111-Sheet1!BM111-Sheet1!BC111-Sheet1!BD111-Sheet1!BE111-Sheet1!BF111-Sheet1!BG111-Sheet1!BH111-Sheet1!BI111+BC113+P113</f>
        <v>43.747708941540338</v>
      </c>
      <c r="CB113" s="93">
        <f t="shared" si="21"/>
        <v>71.528539193548383</v>
      </c>
      <c r="CC113" s="94">
        <f t="shared" si="22"/>
        <v>0</v>
      </c>
      <c r="CD113" s="94">
        <f t="shared" ca="1" si="23"/>
        <v>54.230773457669372</v>
      </c>
      <c r="CE113" s="1077">
        <f t="shared" ca="1" si="24"/>
        <v>83.895006539014517</v>
      </c>
      <c r="CG113" s="1077">
        <f t="shared" ca="1" si="25"/>
        <v>43.302465483551373</v>
      </c>
    </row>
    <row r="114" spans="1:85" s="89" customFormat="1" x14ac:dyDescent="0.25">
      <c r="A114" s="616" t="s">
        <v>7</v>
      </c>
      <c r="B114" s="91">
        <v>42838</v>
      </c>
      <c r="C114" s="92">
        <v>0</v>
      </c>
      <c r="D114" s="94">
        <f>(Sheet1!BQ112-Sheet1!BQ111)*1.385</f>
        <v>0</v>
      </c>
      <c r="E114" s="30">
        <f>(Sheet1!BR112-Sheet1!BR111)*1.385</f>
        <v>4.058049999999997</v>
      </c>
      <c r="F114" s="30">
        <f ca="1">IF(B114=TODAY(),0,-(VLOOKUP(Sheet1!CD112,Lookup!$I$4:$J$216,2)-VLOOKUP(Sheet1!CD111,Lookup!$I$4:$J$216,2))/1000000)</f>
        <v>0.20727387709559872</v>
      </c>
      <c r="G114" s="94">
        <f ca="1">IF(B114=TODAY(),0,-$G$6*(Sheet1!CF112-Sheet1!CF111)*7.48/1000000)</f>
        <v>0.59570251578838951</v>
      </c>
      <c r="H114" s="94">
        <f ca="1">IF(B114=TODAY(),0,-$H$6*(Sheet1!CE112-Sheet1!CE111)*7.48/1000000)</f>
        <v>-3.0078864702530548E-2</v>
      </c>
      <c r="I114" s="94">
        <f ca="1">IF(B114=TODAY(),0,-$I$6*(Sheet1!CG112-Sheet1!CG111)*7.48/1000000)</f>
        <v>-4.4924879999999837E-3</v>
      </c>
      <c r="J114" s="95" t="s">
        <v>177</v>
      </c>
      <c r="K114" s="94">
        <f ca="1">IF(B114=TODAY(),0,-$K$6*(Sheet1!CH112-Sheet1!CH111)*7.48/1000000)</f>
        <v>-6.6633203744584186E-3</v>
      </c>
      <c r="L114" s="95" t="s">
        <v>177</v>
      </c>
      <c r="M114" s="94">
        <f ca="1">IF(B114=TODAY(),0,-$M$6*(Sheet1!CI112-Sheet1!CI111)*7.48/1000000)</f>
        <v>-3.598301685605397E-2</v>
      </c>
      <c r="N114" s="94">
        <f ca="1">IF(B114=TODAY(),0,-$N$6*(Sheet1!CJ112-Sheet1!CJ111)*7.48/1000000)</f>
        <v>0.18615703618387103</v>
      </c>
      <c r="O114" s="94">
        <f t="shared" ca="1" si="30"/>
        <v>0.91191573913481638</v>
      </c>
      <c r="P114" s="94">
        <f ca="1">O114+Calculation!ES114</f>
        <v>-3.2361898552555943</v>
      </c>
      <c r="Q114" s="89" t="str">
        <f>IF(Sheet1!BQ112&gt;25.75,"spill elevation","-")</f>
        <v>-</v>
      </c>
      <c r="R114" s="89" t="str">
        <f>IF(Sheet1!BQ112&gt;25.75,"spill elevation","-")</f>
        <v>-</v>
      </c>
      <c r="S114" s="89" t="str">
        <f>IF(Sheet1!BR112&gt;25.75,"spill elevation","-")</f>
        <v>-</v>
      </c>
      <c r="T114" s="93">
        <f>IF(Sheet1!DU112=1,Sheet1!AA112-(SUM(AT114:BA114)+BE114),Sheet1!AA112-SUM(AT114:BA114))</f>
        <v>24.434719999999999</v>
      </c>
      <c r="U114" s="93">
        <f>Sheet1!BV112</f>
        <v>24</v>
      </c>
      <c r="V114" s="93">
        <f t="shared" si="27"/>
        <v>0.43471999999999866</v>
      </c>
      <c r="W114" s="93">
        <f>0</f>
        <v>0</v>
      </c>
      <c r="X114" s="89">
        <f>0</f>
        <v>0</v>
      </c>
      <c r="Y114" s="94">
        <f ca="1">Calculation!EJ115+Calculation!ES114+'Calculations II'!O114-'Calculations II'!W114</f>
        <v>41.464435581866404</v>
      </c>
      <c r="Z114" s="94">
        <f ca="1">Y114-Sheet1!CT113</f>
        <v>26.321435581866403</v>
      </c>
      <c r="AA114" s="94">
        <f ca="1">Y114+Calculation!DJ115+Calculation!AS115</f>
        <v>51.980978791742942</v>
      </c>
      <c r="AC114" s="94">
        <f>Sheet1!AA112+Sheet1!AB112+BC114</f>
        <v>57.07</v>
      </c>
      <c r="AD114" s="94">
        <f>Sheet1!AA112+Sheet1!BN112+'Calculations II'!BC114-Calculation!AS114-Calculation!DJ114</f>
        <v>35.796607085860202</v>
      </c>
      <c r="AE114" s="94">
        <f>Sheet1!AA112+Sheet1!AB112+'Calculations II'!BC114-Calculation!AS114-Calculation!DJ114</f>
        <v>46.436607085860203</v>
      </c>
      <c r="AF114" s="94">
        <f ca="1">Sheet1!AA112+Sheet1!BN112+P114+'Calculations II'!BC114+Calculation!AS114+Calculation!DJ114</f>
        <v>53.827203058884209</v>
      </c>
      <c r="AG114" s="94">
        <f ca="1">IF(B114=TODAY(),0,Sheet1!AA112+Sheet1!BN112+'Calculations II'!BC114+'Calculations II'!P114-Sheet1!CT112-BP114)</f>
        <v>27.755810144744402</v>
      </c>
      <c r="AH114" s="94">
        <f ca="1">IF(B114=TODAY(),0,Sheet1!AA112+Sheet1!BN112+'Calculations II'!BC114+'Calculations II'!P114-BP114)</f>
        <v>43.193810144744404</v>
      </c>
      <c r="AI114" s="94">
        <f ca="1">IF(B114=TODAY(),0,BC114+Sheet1!AA112+Calculation!ES114+O114+W114+Sheet1!BN112+Calculation!AS114+Calculation!DJ114-BP114)</f>
        <v>53.827203058884209</v>
      </c>
      <c r="AJ114" s="94"/>
      <c r="AM114" s="90">
        <f t="shared" si="28"/>
        <v>42838</v>
      </c>
      <c r="AN114" s="94">
        <f>Sheet1!BU112</f>
        <v>24.8</v>
      </c>
      <c r="AO114" s="94">
        <f>Sheet1!AA112</f>
        <v>25.73</v>
      </c>
      <c r="AP114" s="94">
        <f t="shared" si="17"/>
        <v>4.058049999999997</v>
      </c>
      <c r="AQ114" s="1087">
        <f>((Sheet1!BV112-(Sheet1!BU112-AP114))/(Sheet1!BU112-AP114))</f>
        <v>0.15707539551488633</v>
      </c>
      <c r="AR114" s="94">
        <f t="shared" si="18"/>
        <v>21.671950000000002</v>
      </c>
      <c r="AS114" s="94">
        <f t="shared" si="19"/>
        <v>20.741950000000003</v>
      </c>
      <c r="AT114" s="89">
        <f>Sheet1!BB112</f>
        <v>0</v>
      </c>
      <c r="AU114" s="89">
        <f>Sheet1!AS112*GPMtoMGD</f>
        <v>2.8512000000000003E-2</v>
      </c>
      <c r="AV114" s="94">
        <f>Sheet1!AT112</f>
        <v>0</v>
      </c>
      <c r="AW114" s="89">
        <f>Sheet1!AV112*GPMtoMGD</f>
        <v>0.57297600000000004</v>
      </c>
      <c r="AX114" s="89">
        <f>Sheet1!AW112*GPMtoMGD</f>
        <v>0.69379200000000008</v>
      </c>
      <c r="AY114" s="89">
        <f>Sheet1!AX112*GPMtoMGD</f>
        <v>0</v>
      </c>
      <c r="AZ114" s="89">
        <f>Sheet1!AY112*GPMtoMGD</f>
        <v>0</v>
      </c>
      <c r="BA114" s="89">
        <f>Sheet1!AZ112*GPMtoMGD</f>
        <v>0</v>
      </c>
      <c r="BB114" s="89">
        <f>Sheet1!BP112*GPMtoMGD</f>
        <v>2.8800000000000002E-3</v>
      </c>
      <c r="BC114" s="89">
        <f>Sheet1!CS112*GPMtoMGD</f>
        <v>0</v>
      </c>
      <c r="BD114" s="89">
        <f>Sheet1!BO112*GPMtoMGD</f>
        <v>1.473552</v>
      </c>
      <c r="BE114" s="89">
        <f>Sheet1!BW112*GPMtoMGD</f>
        <v>1.1018880000000002</v>
      </c>
      <c r="BF114" s="89">
        <f>Sheet1!CN112*GPMtoMGD</f>
        <v>0.39384000000000002</v>
      </c>
      <c r="BG114" s="89">
        <f>Sheet1!CO112*GPMtoMGD</f>
        <v>0.78076800000000013</v>
      </c>
      <c r="BH114" s="89">
        <f>Sheet1!CP112*GPMtoMGD</f>
        <v>0.69854400000000005</v>
      </c>
      <c r="BI114" s="89">
        <f t="shared" si="29"/>
        <v>1.476432</v>
      </c>
      <c r="BK114" s="94">
        <f>SUM(AT114:BA114,AS114,BC114,Calculation!AQ114)</f>
        <v>42.7438370858602</v>
      </c>
      <c r="BM114" s="358">
        <f>0</f>
        <v>0</v>
      </c>
      <c r="BN114" s="358">
        <f>0</f>
        <v>0</v>
      </c>
      <c r="BP114" s="94">
        <f>SUM(BM114:BN114,W114,Sheet1!DX112)</f>
        <v>0</v>
      </c>
      <c r="BR114" s="94">
        <f>Sheet1!AA112</f>
        <v>25.73</v>
      </c>
      <c r="BS114" s="94">
        <f>Sheet1!AB112</f>
        <v>31.34</v>
      </c>
      <c r="BT114" s="94">
        <f t="shared" ca="1" si="20"/>
        <v>-3.2361898552555943</v>
      </c>
      <c r="BU114" s="94">
        <f>Sheet1!AT112</f>
        <v>0</v>
      </c>
      <c r="BV114" s="89">
        <f>Sheet1!BB112</f>
        <v>0</v>
      </c>
      <c r="BW114" s="94">
        <f>Calculation!ED114</f>
        <v>10.633392914139803</v>
      </c>
      <c r="BX114" s="94">
        <f>(Sheet1!CS112*1440)/1000000</f>
        <v>0</v>
      </c>
      <c r="CA114" s="94">
        <f ca="1">Sheet1!AC112-Sheet1!BK112-Sheet1!BL112-Sheet1!BM112-Sheet1!BC112-Sheet1!BD112-Sheet1!BE112-Sheet1!BF112-Sheet1!BG112-Sheet1!BH112-Sheet1!BI112+BC114+P114</f>
        <v>43.203810144744402</v>
      </c>
      <c r="CB114" s="93">
        <f t="shared" si="21"/>
        <v>71.83743116182572</v>
      </c>
      <c r="CC114" s="94">
        <f t="shared" si="22"/>
        <v>0</v>
      </c>
      <c r="CD114" s="94">
        <f t="shared" ca="1" si="23"/>
        <v>53.837203058884207</v>
      </c>
      <c r="CE114" s="1077">
        <f t="shared" ca="1" si="24"/>
        <v>83.286153132093858</v>
      </c>
      <c r="CG114" s="1077">
        <f t="shared" ca="1" si="25"/>
        <v>43.203810144744402</v>
      </c>
    </row>
    <row r="115" spans="1:85" s="89" customFormat="1" x14ac:dyDescent="0.25">
      <c r="A115" s="616" t="s">
        <v>8</v>
      </c>
      <c r="B115" s="91">
        <v>42839</v>
      </c>
      <c r="C115" s="92">
        <v>0</v>
      </c>
      <c r="D115" s="94">
        <f>(Sheet1!BQ113-Sheet1!BQ112)*1.385</f>
        <v>0</v>
      </c>
      <c r="E115" s="30">
        <f>(Sheet1!BR113-Sheet1!BR112)*1.385</f>
        <v>2.1606000000000032</v>
      </c>
      <c r="F115" s="30">
        <f ca="1">IF(B115=TODAY(),0,-(VLOOKUP(Sheet1!CD113,Lookup!$I$4:$J$216,2)-VLOOKUP(Sheet1!CD112,Lookup!$I$4:$J$216,2))/1000000)</f>
        <v>0</v>
      </c>
      <c r="G115" s="94">
        <f ca="1">IF(B115=TODAY(),0,-$G$6*(Sheet1!CF113-Sheet1!CF112)*7.48/1000000)</f>
        <v>0.43684851157815213</v>
      </c>
      <c r="H115" s="94">
        <f ca="1">IF(B115=TODAY(),0,-$H$6*(Sheet1!CE113-Sheet1!CE112)*7.48/1000000)</f>
        <v>0</v>
      </c>
      <c r="I115" s="94">
        <f ca="1">IF(B115=TODAY(),0,-$I$6*(Sheet1!CG113-Sheet1!CG112)*7.48/1000000)</f>
        <v>-4.4924880000000635E-3</v>
      </c>
      <c r="J115" s="95" t="s">
        <v>177</v>
      </c>
      <c r="K115" s="94">
        <f ca="1">IF(B115=TODAY(),0,-$K$6*(Sheet1!CH113-Sheet1!CH112)*7.48/1000000)</f>
        <v>-6.6633203744584186E-3</v>
      </c>
      <c r="L115" s="95" t="s">
        <v>177</v>
      </c>
      <c r="M115" s="94">
        <f ca="1">IF(B115=TODAY(),0,-$M$6*(Sheet1!CI113-Sheet1!CI112)*7.48/1000000)</f>
        <v>-5.3974525284081275E-2</v>
      </c>
      <c r="N115" s="94">
        <f ca="1">IF(B115=TODAY(),0,-$N$6*(Sheet1!CJ113-Sheet1!CJ112)*7.48/1000000)</f>
        <v>1.2410469078925616E-2</v>
      </c>
      <c r="O115" s="94">
        <f t="shared" ca="1" si="30"/>
        <v>0.38412864699853799</v>
      </c>
      <c r="P115" s="94">
        <f ca="1">O115+Calculation!ES115</f>
        <v>-1.6920857669368403</v>
      </c>
      <c r="Q115" s="89" t="str">
        <f>IF(Sheet1!BQ113&gt;25.75,"spill elevation","-")</f>
        <v>-</v>
      </c>
      <c r="R115" s="89" t="str">
        <f>IF(Sheet1!BQ113&gt;25.75,"spill elevation","-")</f>
        <v>-</v>
      </c>
      <c r="S115" s="89" t="str">
        <f>IF(Sheet1!BR113&gt;25.75,"spill elevation","-")</f>
        <v>-</v>
      </c>
      <c r="T115" s="93">
        <f>IF(Sheet1!DU113=1,Sheet1!AA113-(SUM(AT115:BA115)+BE115),Sheet1!AA113-SUM(AT115:BA115))</f>
        <v>24.506959999999999</v>
      </c>
      <c r="U115" s="93">
        <f>Sheet1!BV113</f>
        <v>26</v>
      </c>
      <c r="V115" s="93">
        <f t="shared" si="27"/>
        <v>-1.4930400000000006</v>
      </c>
      <c r="W115" s="93">
        <f>0</f>
        <v>0</v>
      </c>
      <c r="X115" s="89">
        <f>0</f>
        <v>0</v>
      </c>
      <c r="Y115" s="94">
        <f ca="1">Calculation!EJ116+Calculation!ES115+'Calculations II'!O115-'Calculations II'!W115</f>
        <v>40.823921899050958</v>
      </c>
      <c r="Z115" s="94">
        <f ca="1">Y115-Sheet1!CT114</f>
        <v>25.639921899050961</v>
      </c>
      <c r="AA115" s="94">
        <f ca="1">Y115+Calculation!DJ116+Calculation!AS116</f>
        <v>51.60621200265939</v>
      </c>
      <c r="AC115" s="94">
        <f>Sheet1!AA113+Sheet1!AB113+BC115</f>
        <v>54.739999999999995</v>
      </c>
      <c r="AD115" s="94">
        <f>Sheet1!AA113+Sheet1!BN113+'Calculations II'!BC115-Calculation!AS115-Calculation!DJ115</f>
        <v>33.783456790123452</v>
      </c>
      <c r="AE115" s="94">
        <f>Sheet1!AA113+Sheet1!AB113+'Calculations II'!BC115-Calculation!AS115-Calculation!DJ115</f>
        <v>44.22345679012345</v>
      </c>
      <c r="AF115" s="94">
        <f ca="1">Sheet1!AA113+Sheet1!BN113+P115+'Calculations II'!BC115+Calculation!AS115+Calculation!DJ115</f>
        <v>53.124457442939701</v>
      </c>
      <c r="AG115" s="94">
        <f ca="1">IF(B115=TODAY(),0,Sheet1!AA113+Sheet1!BN113+'Calculations II'!BC115+'Calculations II'!P115-Sheet1!CT113-BP115)</f>
        <v>27.464914233063155</v>
      </c>
      <c r="AH115" s="94">
        <f ca="1">IF(B115=TODAY(),0,Sheet1!AA113+Sheet1!BN113+'Calculations II'!BC115+'Calculations II'!P115-BP115)</f>
        <v>42.607914233063156</v>
      </c>
      <c r="AI115" s="94">
        <f ca="1">IF(B115=TODAY(),0,BC115+Sheet1!AA113+Calculation!ES115+O115+W115+Sheet1!BN113+Calculation!AS115+Calculation!DJ115-BP115)</f>
        <v>53.124457442939701</v>
      </c>
      <c r="AJ115" s="94"/>
      <c r="AM115" s="90">
        <f t="shared" si="28"/>
        <v>42839</v>
      </c>
      <c r="AN115" s="94">
        <f>Sheet1!BU113</f>
        <v>24.6</v>
      </c>
      <c r="AO115" s="94">
        <f>Sheet1!AA113</f>
        <v>25.7</v>
      </c>
      <c r="AP115" s="94">
        <f t="shared" si="17"/>
        <v>2.1606000000000032</v>
      </c>
      <c r="AQ115" s="1087">
        <f>((Sheet1!BV113-(Sheet1!BU113-AP115))/(Sheet1!BU113-AP115))</f>
        <v>0.15867625694091647</v>
      </c>
      <c r="AR115" s="94">
        <f t="shared" si="18"/>
        <v>23.539399999999997</v>
      </c>
      <c r="AS115" s="94">
        <f t="shared" si="19"/>
        <v>22.439399999999999</v>
      </c>
      <c r="AT115" s="89">
        <f>Sheet1!BB113</f>
        <v>0</v>
      </c>
      <c r="AU115" s="89">
        <f>Sheet1!AS113*GPMtoMGD</f>
        <v>1.5696000000000002E-2</v>
      </c>
      <c r="AV115" s="94">
        <f>Sheet1!AT113</f>
        <v>0</v>
      </c>
      <c r="AW115" s="89">
        <f>Sheet1!AV113*GPMtoMGD</f>
        <v>0.542736</v>
      </c>
      <c r="AX115" s="89">
        <f>Sheet1!AW113*GPMtoMGD</f>
        <v>0.63460800000000006</v>
      </c>
      <c r="AY115" s="89">
        <f>Sheet1!AX113*GPMtoMGD</f>
        <v>0</v>
      </c>
      <c r="AZ115" s="89">
        <f>Sheet1!AY113*GPMtoMGD</f>
        <v>0</v>
      </c>
      <c r="BA115" s="89">
        <f>Sheet1!AZ113*GPMtoMGD</f>
        <v>0</v>
      </c>
      <c r="BB115" s="89">
        <f>Sheet1!BP113*GPMtoMGD</f>
        <v>2.8800000000000002E-3</v>
      </c>
      <c r="BC115" s="89">
        <f>Sheet1!CS113*GPMtoMGD</f>
        <v>0</v>
      </c>
      <c r="BD115" s="89">
        <f>Sheet1!BO113*GPMtoMGD</f>
        <v>1.5501600000000002</v>
      </c>
      <c r="BE115" s="89">
        <f>Sheet1!BW113*GPMtoMGD</f>
        <v>0.78566400000000003</v>
      </c>
      <c r="BF115" s="89">
        <f>Sheet1!CN113*GPMtoMGD</f>
        <v>0.40075200000000005</v>
      </c>
      <c r="BG115" s="89">
        <f>Sheet1!CO113*GPMtoMGD</f>
        <v>0.64396799999999998</v>
      </c>
      <c r="BH115" s="89">
        <f>Sheet1!CP113*GPMtoMGD</f>
        <v>0.68385600000000002</v>
      </c>
      <c r="BI115" s="89">
        <f t="shared" si="29"/>
        <v>1.5530400000000002</v>
      </c>
      <c r="BK115" s="94">
        <f>SUM(AT115:BA115,AS115,BC115,Calculation!AQ115)</f>
        <v>42.15589679012345</v>
      </c>
      <c r="BM115" s="358">
        <f>0</f>
        <v>0</v>
      </c>
      <c r="BN115" s="358">
        <f>0</f>
        <v>0</v>
      </c>
      <c r="BP115" s="94">
        <f>SUM(BM115:BN115,W115,Sheet1!DX113)</f>
        <v>0</v>
      </c>
      <c r="BR115" s="94">
        <f>Sheet1!AA113</f>
        <v>25.7</v>
      </c>
      <c r="BS115" s="94">
        <f>Sheet1!AB113</f>
        <v>29.04</v>
      </c>
      <c r="BT115" s="94">
        <f t="shared" ca="1" si="20"/>
        <v>-1.6920857669368403</v>
      </c>
      <c r="BU115" s="94">
        <f>Sheet1!AT113</f>
        <v>0</v>
      </c>
      <c r="BV115" s="89">
        <f>Sheet1!BB113</f>
        <v>0</v>
      </c>
      <c r="BW115" s="94">
        <f>Calculation!ED115</f>
        <v>10.516543209876541</v>
      </c>
      <c r="BX115" s="94">
        <f>(Sheet1!CS113*1440)/1000000</f>
        <v>0</v>
      </c>
      <c r="CA115" s="94">
        <f ca="1">Sheet1!AC113-Sheet1!BK113-Sheet1!BL113-Sheet1!BM113-Sheet1!BC113-Sheet1!BD113-Sheet1!BE113-Sheet1!BF113-Sheet1!BG113-Sheet1!BH113-Sheet1!BI113+BC115+P115</f>
        <v>42.487914233063158</v>
      </c>
      <c r="CB115" s="93">
        <f t="shared" si="21"/>
        <v>68.413687654320981</v>
      </c>
      <c r="CC115" s="94">
        <f t="shared" si="22"/>
        <v>0</v>
      </c>
      <c r="CD115" s="94">
        <f t="shared" ca="1" si="23"/>
        <v>53.004457442939696</v>
      </c>
      <c r="CE115" s="1077">
        <f t="shared" ca="1" si="24"/>
        <v>81.997895664227713</v>
      </c>
      <c r="CG115" s="1077">
        <f t="shared" ca="1" si="25"/>
        <v>42.487914233063158</v>
      </c>
    </row>
    <row r="116" spans="1:85" s="89" customFormat="1" x14ac:dyDescent="0.25">
      <c r="A116" s="616" t="s">
        <v>9</v>
      </c>
      <c r="B116" s="91">
        <v>42840</v>
      </c>
      <c r="C116" s="92">
        <v>0</v>
      </c>
      <c r="D116" s="94">
        <f>(Sheet1!BQ114-Sheet1!BQ113)*1.385</f>
        <v>0</v>
      </c>
      <c r="E116" s="30">
        <f>(Sheet1!BR114-Sheet1!BR113)*1.385</f>
        <v>-1.7174000000000027</v>
      </c>
      <c r="F116" s="30">
        <f ca="1">IF(B116=TODAY(),0,-(VLOOKUP(Sheet1!CD114,Lookup!$I$4:$J$216,2)-VLOOKUP(Sheet1!CD113,Lookup!$I$4:$J$216,2))/1000000)</f>
        <v>-0.20727387709559872</v>
      </c>
      <c r="G116" s="94">
        <f ca="1">IF(B116=TODAY(),0,-$G$6*(Sheet1!CF114-Sheet1!CF113)*7.48/1000000)</f>
        <v>-0.54010361431480614</v>
      </c>
      <c r="H116" s="94">
        <f ca="1">IF(B116=TODAY(),0,-$H$6*(Sheet1!CE114-Sheet1!CE113)*7.48/1000000)</f>
        <v>-4.5118297053796889E-3</v>
      </c>
      <c r="I116" s="94">
        <f ca="1">IF(B116=TODAY(),0,-$I$6*(Sheet1!CG114-Sheet1!CG113)*7.48/1000000)</f>
        <v>6.1547085600000051E-2</v>
      </c>
      <c r="J116" s="95" t="s">
        <v>177</v>
      </c>
      <c r="K116" s="94">
        <f ca="1">IF(B116=TODAY(),0,-$K$6*(Sheet1!CH114-Sheet1!CH113)*7.48/1000000)</f>
        <v>0.1032814658041059</v>
      </c>
      <c r="L116" s="95" t="s">
        <v>177</v>
      </c>
      <c r="M116" s="94">
        <f ca="1">IF(B116=TODAY(),0,-$M$6*(Sheet1!CI114-Sheet1!CI113)*7.48/1000000)</f>
        <v>0.31844969917607868</v>
      </c>
      <c r="N116" s="94">
        <f ca="1">IF(B116=TODAY(),0,-$N$6*(Sheet1!CJ114-Sheet1!CJ113)*7.48/1000000)</f>
        <v>-0.13651515986817297</v>
      </c>
      <c r="O116" s="94">
        <f t="shared" ca="1" si="30"/>
        <v>-0.40512623040377282</v>
      </c>
      <c r="P116" s="94">
        <f ca="1">O116+Calculation!ES116</f>
        <v>1.2559606162350743</v>
      </c>
      <c r="Q116" s="89" t="str">
        <f>IF(Sheet1!BQ114&gt;25.75,"spill elevation","-")</f>
        <v>-</v>
      </c>
      <c r="R116" s="89" t="str">
        <f>IF(Sheet1!BQ114&gt;25.75,"spill elevation","-")</f>
        <v>-</v>
      </c>
      <c r="S116" s="89" t="str">
        <f>IF(Sheet1!BR114&gt;25.75,"spill elevation","-")</f>
        <v>-</v>
      </c>
      <c r="T116" s="93">
        <f>IF(Sheet1!DU114=1,Sheet1!AA114-(SUM(AT116:BA116)+BE116),Sheet1!AA114-SUM(AT116:BA116))</f>
        <v>24.566575999999998</v>
      </c>
      <c r="U116" s="93">
        <f>Sheet1!BV114</f>
        <v>30.8</v>
      </c>
      <c r="V116" s="93">
        <f t="shared" si="27"/>
        <v>-6.233424000000003</v>
      </c>
      <c r="W116" s="93">
        <f>0</f>
        <v>0</v>
      </c>
      <c r="X116" s="89">
        <f>0</f>
        <v>0</v>
      </c>
      <c r="Y116" s="94">
        <f ca="1">Calculation!EJ117+Calculation!ES116+'Calculations II'!O116-'Calculations II'!W116</f>
        <v>43.793866296503822</v>
      </c>
      <c r="Z116" s="94">
        <f ca="1">Y116-Sheet1!CT115</f>
        <v>28.18486629650382</v>
      </c>
      <c r="AA116" s="94">
        <f ca="1">Y116+Calculation!DJ117+Calculation!AS117</f>
        <v>54.833534596809244</v>
      </c>
      <c r="AC116" s="94">
        <f>Sheet1!AA114+Sheet1!AB114+BC116</f>
        <v>53.67</v>
      </c>
      <c r="AD116" s="94">
        <f>Sheet1!AA114+Sheet1!BN114+'Calculations II'!BC116-Calculation!AS116-Calculation!DJ116</f>
        <v>32.117709896391567</v>
      </c>
      <c r="AE116" s="94">
        <f>Sheet1!AA114+Sheet1!AB114+'Calculations II'!BC116-Calculation!AS116-Calculation!DJ116</f>
        <v>42.88770989639157</v>
      </c>
      <c r="AF116" s="94">
        <f ca="1">Sheet1!AA114+Sheet1!BN114+P116+'Calculations II'!BC116+Calculation!AS116+Calculation!DJ116</f>
        <v>54.938250719843502</v>
      </c>
      <c r="AG116" s="94">
        <f ca="1">IF(B116=TODAY(),0,Sheet1!AA114+Sheet1!BN114+'Calculations II'!BC116+'Calculations II'!P116-Sheet1!CT114-BP116)</f>
        <v>28.971960616235073</v>
      </c>
      <c r="AH116" s="94">
        <f ca="1">IF(B116=TODAY(),0,Sheet1!AA114+Sheet1!BN114+'Calculations II'!BC116+'Calculations II'!P116-BP116)</f>
        <v>44.15596061623507</v>
      </c>
      <c r="AI116" s="94">
        <f ca="1">IF(B116=TODAY(),0,BC116+Sheet1!AA114+Calculation!ES116+O116+W116+Sheet1!BN114+Calculation!AS116+Calculation!DJ116-BP116)</f>
        <v>54.938250719843509</v>
      </c>
      <c r="AJ116" s="94"/>
      <c r="AM116" s="90">
        <f t="shared" si="28"/>
        <v>42840</v>
      </c>
      <c r="AN116" s="94">
        <f>Sheet1!BU114</f>
        <v>24.6</v>
      </c>
      <c r="AO116" s="94">
        <f>Sheet1!AA114</f>
        <v>25.7</v>
      </c>
      <c r="AP116" s="94">
        <f t="shared" si="17"/>
        <v>-1.7174000000000027</v>
      </c>
      <c r="AQ116" s="1087">
        <f>((Sheet1!BV114-(Sheet1!BU114-AP116))/(Sheet1!BU114-AP116))</f>
        <v>0.17032837590339461</v>
      </c>
      <c r="AR116" s="94">
        <f t="shared" si="18"/>
        <v>27.417400000000001</v>
      </c>
      <c r="AS116" s="94">
        <f t="shared" si="19"/>
        <v>26.317400000000003</v>
      </c>
      <c r="AT116" s="89">
        <f>Sheet1!BB114</f>
        <v>0</v>
      </c>
      <c r="AU116" s="89">
        <f>Sheet1!AS114*GPMtoMGD</f>
        <v>1.6560000000000002E-2</v>
      </c>
      <c r="AV116" s="94">
        <f>Sheet1!AT114</f>
        <v>0</v>
      </c>
      <c r="AW116" s="89">
        <f>Sheet1!AV114*GPMtoMGD</f>
        <v>0.46684800000000004</v>
      </c>
      <c r="AX116" s="89">
        <f>Sheet1!AW114*GPMtoMGD</f>
        <v>0.65001600000000004</v>
      </c>
      <c r="AY116" s="89">
        <f>Sheet1!AX114*GPMtoMGD</f>
        <v>0</v>
      </c>
      <c r="AZ116" s="89">
        <f>Sheet1!AY114*GPMtoMGD</f>
        <v>0</v>
      </c>
      <c r="BA116" s="89">
        <f>Sheet1!AZ114*GPMtoMGD</f>
        <v>0</v>
      </c>
      <c r="BB116" s="89">
        <f>Sheet1!BP114*GPMtoMGD</f>
        <v>2.8800000000000002E-3</v>
      </c>
      <c r="BC116" s="89">
        <f>Sheet1!CS114*GPMtoMGD</f>
        <v>0</v>
      </c>
      <c r="BD116" s="89">
        <f>Sheet1!BO114*GPMtoMGD</f>
        <v>1.6947360000000002</v>
      </c>
      <c r="BE116" s="89">
        <f>Sheet1!BW114*GPMtoMGD</f>
        <v>1.1196000000000002</v>
      </c>
      <c r="BF116" s="89">
        <f>Sheet1!CN114*GPMtoMGD</f>
        <v>0.89856000000000003</v>
      </c>
      <c r="BG116" s="89">
        <f>Sheet1!CO114*GPMtoMGD</f>
        <v>0.65260800000000008</v>
      </c>
      <c r="BH116" s="89">
        <f>Sheet1!CP114*GPMtoMGD</f>
        <v>0.65764800000000001</v>
      </c>
      <c r="BI116" s="89">
        <f t="shared" si="29"/>
        <v>1.6976160000000002</v>
      </c>
      <c r="BK116" s="94">
        <f>SUM(AT116:BA116,AS116,BC116,Calculation!AQ116)</f>
        <v>44.638533896391571</v>
      </c>
      <c r="BM116" s="358">
        <f>0</f>
        <v>0</v>
      </c>
      <c r="BN116" s="358">
        <f>0</f>
        <v>0</v>
      </c>
      <c r="BP116" s="94">
        <f>SUM(BM116:BN116,W116,Sheet1!DX114)</f>
        <v>0</v>
      </c>
      <c r="BR116" s="94">
        <f>Sheet1!AA114</f>
        <v>25.7</v>
      </c>
      <c r="BS116" s="94">
        <f>Sheet1!AB114</f>
        <v>27.97</v>
      </c>
      <c r="BT116" s="94">
        <f t="shared" ca="1" si="20"/>
        <v>1.2559606162350743</v>
      </c>
      <c r="BU116" s="94">
        <f>Sheet1!AT114</f>
        <v>0</v>
      </c>
      <c r="BV116" s="89">
        <f>Sheet1!BB114</f>
        <v>0</v>
      </c>
      <c r="BW116" s="94">
        <f>Calculation!ED116</f>
        <v>10.78229010360843</v>
      </c>
      <c r="BX116" s="94">
        <f>(Sheet1!CS114*1440)/1000000</f>
        <v>0</v>
      </c>
      <c r="CA116" s="94">
        <f ca="1">Sheet1!AC114-Sheet1!BK114-Sheet1!BL114-Sheet1!BM114-Sheet1!BC114-Sheet1!BD114-Sheet1!BE114-Sheet1!BF114-Sheet1!BG114-Sheet1!BH114-Sheet1!BI114+BC116+P116</f>
        <v>44.135960616235074</v>
      </c>
      <c r="CB116" s="93">
        <f t="shared" si="21"/>
        <v>66.347287209717763</v>
      </c>
      <c r="CC116" s="94">
        <f t="shared" si="22"/>
        <v>0</v>
      </c>
      <c r="CD116" s="94">
        <f t="shared" ca="1" si="23"/>
        <v>54.918250719843506</v>
      </c>
      <c r="CE116" s="1077">
        <f t="shared" ca="1" si="24"/>
        <v>84.958533863597907</v>
      </c>
      <c r="CG116" s="1077">
        <f t="shared" ca="1" si="25"/>
        <v>44.135960616235074</v>
      </c>
    </row>
    <row r="117" spans="1:85" s="89" customFormat="1" x14ac:dyDescent="0.25">
      <c r="A117" s="616" t="s">
        <v>3</v>
      </c>
      <c r="B117" s="91">
        <v>42841</v>
      </c>
      <c r="C117" s="92">
        <v>0</v>
      </c>
      <c r="D117" s="94">
        <f>(Sheet1!BQ115-Sheet1!BQ114)*1.385</f>
        <v>0</v>
      </c>
      <c r="E117" s="30">
        <f>(Sheet1!BR115-Sheet1!BR114)*1.385</f>
        <v>-0.40164999999999884</v>
      </c>
      <c r="F117" s="30">
        <f ca="1">IF(B117=TODAY(),0,-(VLOOKUP(Sheet1!CD115,Lookup!$I$4:$J$216,2)-VLOOKUP(Sheet1!CD114,Lookup!$I$4:$J$216,2))/1000000)</f>
        <v>0.20727387709559872</v>
      </c>
      <c r="G117" s="94">
        <f ca="1">IF(B117=TODAY(),0,-$G$6*(Sheet1!CF115-Sheet1!CF114)*7.48/1000000)</f>
        <v>-0.17473940463126073</v>
      </c>
      <c r="H117" s="94">
        <f ca="1">IF(B117=TODAY(),0,-$H$6*(Sheet1!CE115-Sheet1!CE114)*7.48/1000000)</f>
        <v>1.9551262056644963E-2</v>
      </c>
      <c r="I117" s="94">
        <f ca="1">IF(B117=TODAY(),0,-$I$6*(Sheet1!CG115-Sheet1!CG114)*7.48/1000000)</f>
        <v>-7.0532061600000015E-2</v>
      </c>
      <c r="J117" s="95" t="s">
        <v>177</v>
      </c>
      <c r="K117" s="94">
        <f ca="1">IF(B117=TODAY(),0,-$K$6*(Sheet1!CH115-Sheet1!CH114)*7.48/1000000)</f>
        <v>-0.12327142692748129</v>
      </c>
      <c r="L117" s="95" t="s">
        <v>177</v>
      </c>
      <c r="M117" s="94">
        <f ca="1">IF(B117=TODAY(),0,-$M$6*(Sheet1!CI115-Sheet1!CI114)*7.48/1000000)</f>
        <v>-0.30045819074805141</v>
      </c>
      <c r="N117" s="94">
        <f ca="1">IF(B117=TODAY(),0,-$N$6*(Sheet1!CJ115-Sheet1!CJ114)*7.48/1000000)</f>
        <v>0.13030992532870961</v>
      </c>
      <c r="O117" s="94">
        <f t="shared" ca="1" si="30"/>
        <v>-0.31186601942584014</v>
      </c>
      <c r="P117" s="94">
        <f ca="1">O117+Calculation!ES117</f>
        <v>0.10326154787069092</v>
      </c>
      <c r="Q117" s="89" t="str">
        <f>IF(Sheet1!BQ115&gt;25.75,"spill elevation","-")</f>
        <v>-</v>
      </c>
      <c r="R117" s="89" t="str">
        <f>IF(Sheet1!BQ115&gt;25.75,"spill elevation","-")</f>
        <v>-</v>
      </c>
      <c r="S117" s="89" t="str">
        <f>IF(Sheet1!BR115&gt;25.75,"spill elevation","-")</f>
        <v>-</v>
      </c>
      <c r="T117" s="93">
        <f>IF(Sheet1!DU115=1,Sheet1!AA115-(SUM(AT117:BA117)+BE117),Sheet1!AA115-SUM(AT117:BA117))</f>
        <v>24.52056</v>
      </c>
      <c r="U117" s="93">
        <f>Sheet1!BV115</f>
        <v>29.1</v>
      </c>
      <c r="V117" s="93">
        <f t="shared" si="27"/>
        <v>-4.5794400000000017</v>
      </c>
      <c r="W117" s="93">
        <f>0</f>
        <v>0</v>
      </c>
      <c r="X117" s="89">
        <f>0</f>
        <v>0</v>
      </c>
      <c r="Y117" s="94">
        <f ca="1">Calculation!EJ118+Calculation!ES117+'Calculations II'!O117-'Calculations II'!W117</f>
        <v>45.163354553279561</v>
      </c>
      <c r="Z117" s="94">
        <f ca="1">Y117-Sheet1!CT116</f>
        <v>30.571354553279562</v>
      </c>
      <c r="AA117" s="94">
        <f ca="1">Y117+Calculation!DJ118+Calculation!AS118</f>
        <v>55.80282823749009</v>
      </c>
      <c r="AC117" s="94">
        <f>Sheet1!AA115+Sheet1!AB115+BC117</f>
        <v>53.81</v>
      </c>
      <c r="AD117" s="94">
        <f>Sheet1!AA115+Sheet1!BN115+'Calculations II'!BC117-Calculation!AS117-Calculation!DJ117</f>
        <v>31.820331699694577</v>
      </c>
      <c r="AE117" s="94">
        <f>Sheet1!AA115+Sheet1!AB115+'Calculations II'!BC117-Calculation!AS117-Calculation!DJ117</f>
        <v>42.77033169969458</v>
      </c>
      <c r="AF117" s="94">
        <f ca="1">Sheet1!AA115+Sheet1!BN115+P117+'Calculations II'!BC117+Calculation!AS117+Calculation!DJ117</f>
        <v>54.002929848176116</v>
      </c>
      <c r="AG117" s="94">
        <f ca="1">IF(B117=TODAY(),0,Sheet1!AA115+Sheet1!BN115+'Calculations II'!BC117+'Calculations II'!P117-Sheet1!CT115-BP117)</f>
        <v>27.354261547870692</v>
      </c>
      <c r="AH117" s="94">
        <f ca="1">IF(B117=TODAY(),0,Sheet1!AA115+Sheet1!BN115+'Calculations II'!BC117+'Calculations II'!P117-BP117)</f>
        <v>42.963261547870694</v>
      </c>
      <c r="AI117" s="94">
        <f ca="1">IF(B117=TODAY(),0,BC117+Sheet1!AA115+Calculation!ES117+O117+W117+Sheet1!BN115+Calculation!AS117+Calculation!DJ117-BP117)</f>
        <v>54.002929848176109</v>
      </c>
      <c r="AJ117" s="94"/>
      <c r="AM117" s="90">
        <f t="shared" si="28"/>
        <v>42841</v>
      </c>
      <c r="AN117" s="94">
        <f>Sheet1!BU115</f>
        <v>24.6</v>
      </c>
      <c r="AO117" s="94">
        <f>Sheet1!AA115</f>
        <v>25.8</v>
      </c>
      <c r="AP117" s="94">
        <f t="shared" si="17"/>
        <v>-0.40164999999999884</v>
      </c>
      <c r="AQ117" s="1087">
        <f>((Sheet1!BV115-(Sheet1!BU115-AP117))/(Sheet1!BU115-AP117))</f>
        <v>0.16392318107004936</v>
      </c>
      <c r="AR117" s="94">
        <f t="shared" si="18"/>
        <v>26.201650000000001</v>
      </c>
      <c r="AS117" s="94">
        <f t="shared" si="19"/>
        <v>25.001650000000001</v>
      </c>
      <c r="AT117" s="89">
        <f>Sheet1!BB115</f>
        <v>0</v>
      </c>
      <c r="AU117" s="89">
        <f>Sheet1!AS115*GPMtoMGD</f>
        <v>2.9952000000000003E-2</v>
      </c>
      <c r="AV117" s="94">
        <f>Sheet1!AT115</f>
        <v>0</v>
      </c>
      <c r="AW117" s="89">
        <f>Sheet1!AV115*GPMtoMGD</f>
        <v>0.57528000000000001</v>
      </c>
      <c r="AX117" s="89">
        <f>Sheet1!AW115*GPMtoMGD</f>
        <v>0.67420800000000003</v>
      </c>
      <c r="AY117" s="89">
        <f>Sheet1!AX115*GPMtoMGD</f>
        <v>0</v>
      </c>
      <c r="AZ117" s="89">
        <f>Sheet1!AY115*GPMtoMGD</f>
        <v>0</v>
      </c>
      <c r="BA117" s="89">
        <f>Sheet1!AZ115*GPMtoMGD</f>
        <v>0</v>
      </c>
      <c r="BB117" s="89">
        <f>Sheet1!BP115*GPMtoMGD</f>
        <v>2.8800000000000002E-3</v>
      </c>
      <c r="BC117" s="89">
        <f>Sheet1!CS115*GPMtoMGD</f>
        <v>0</v>
      </c>
      <c r="BD117" s="89">
        <f>Sheet1!BO115*GPMtoMGD</f>
        <v>1.7326080000000001</v>
      </c>
      <c r="BE117" s="89">
        <f>Sheet1!BW115*GPMtoMGD</f>
        <v>1.1744640000000002</v>
      </c>
      <c r="BF117" s="89">
        <f>Sheet1!CN115*GPMtoMGD</f>
        <v>0.65577600000000003</v>
      </c>
      <c r="BG117" s="89">
        <f>Sheet1!CO115*GPMtoMGD</f>
        <v>0.67320000000000002</v>
      </c>
      <c r="BH117" s="89">
        <f>Sheet1!CP115*GPMtoMGD</f>
        <v>0.65433600000000003</v>
      </c>
      <c r="BI117" s="89">
        <f t="shared" si="29"/>
        <v>1.7354880000000001</v>
      </c>
      <c r="BK117" s="94">
        <f>SUM(AT117:BA117,AS117,BC117,Calculation!AQ117)</f>
        <v>43.251421699694589</v>
      </c>
      <c r="BM117" s="358">
        <f>0</f>
        <v>0</v>
      </c>
      <c r="BN117" s="358">
        <f>0</f>
        <v>0</v>
      </c>
      <c r="BP117" s="94">
        <f>SUM(BM117:BN117,W117,Sheet1!DX115)</f>
        <v>0</v>
      </c>
      <c r="BR117" s="94">
        <f>Sheet1!AA115</f>
        <v>25.8</v>
      </c>
      <c r="BS117" s="94">
        <f>Sheet1!AB115</f>
        <v>28.01</v>
      </c>
      <c r="BT117" s="94">
        <f t="shared" ca="1" si="20"/>
        <v>0.10326154787069092</v>
      </c>
      <c r="BU117" s="94">
        <f>Sheet1!AT115</f>
        <v>0</v>
      </c>
      <c r="BV117" s="89">
        <f>Sheet1!BB115</f>
        <v>0</v>
      </c>
      <c r="BW117" s="94">
        <f>Calculation!ED117</f>
        <v>11.039668300305422</v>
      </c>
      <c r="BX117" s="94">
        <f>(Sheet1!CS115*1440)/1000000</f>
        <v>0</v>
      </c>
      <c r="CA117" s="94">
        <f ca="1">Sheet1!AC115-Sheet1!BK115-Sheet1!BL115-Sheet1!BM115-Sheet1!BC115-Sheet1!BD115-Sheet1!BE115-Sheet1!BF115-Sheet1!BG115-Sheet1!BH115-Sheet1!BI115+BC117+P117</f>
        <v>42.815261547870698</v>
      </c>
      <c r="CB117" s="93">
        <f t="shared" si="21"/>
        <v>66.165703139427507</v>
      </c>
      <c r="CC117" s="94">
        <f t="shared" si="22"/>
        <v>0</v>
      </c>
      <c r="CD117" s="94">
        <f t="shared" ca="1" si="23"/>
        <v>53.85492984817612</v>
      </c>
      <c r="CE117" s="1077">
        <f t="shared" ca="1" si="24"/>
        <v>83.313576475128457</v>
      </c>
      <c r="CG117" s="1077">
        <f t="shared" ca="1" si="25"/>
        <v>42.815261547870698</v>
      </c>
    </row>
    <row r="118" spans="1:85" s="89" customFormat="1" x14ac:dyDescent="0.25">
      <c r="A118" s="616" t="s">
        <v>4</v>
      </c>
      <c r="B118" s="91">
        <v>42842</v>
      </c>
      <c r="C118" s="92">
        <v>0</v>
      </c>
      <c r="D118" s="94">
        <f>(Sheet1!BQ116-Sheet1!BQ115)*1.385</f>
        <v>5.2629999999999999</v>
      </c>
      <c r="E118" s="30">
        <f>(Sheet1!BR116-Sheet1!BR115)*1.385</f>
        <v>-1.8005000000000011</v>
      </c>
      <c r="F118" s="30">
        <f ca="1">IF(B118=TODAY(),0,-(VLOOKUP(Sheet1!CD116,Lookup!$I$4:$J$216,2)-VLOOKUP(Sheet1!CD115,Lookup!$I$4:$J$216,2))/1000000)</f>
        <v>-0.41454775419119744</v>
      </c>
      <c r="G118" s="94">
        <f ca="1">IF(B118=TODAY(),0,-$G$6*(Sheet1!CF116-Sheet1!CF115)*7.48/1000000)</f>
        <v>-0.59967386589364535</v>
      </c>
      <c r="H118" s="94">
        <f ca="1">IF(B118=TODAY(),0,-$H$6*(Sheet1!CE116-Sheet1!CE115)*7.48/1000000)</f>
        <v>1.5039432351265274E-2</v>
      </c>
      <c r="I118" s="94">
        <f ca="1">IF(B118=TODAY(),0,-$I$6*(Sheet1!CG116-Sheet1!CG115)*7.48/1000000)</f>
        <v>4.4924879999999837E-3</v>
      </c>
      <c r="J118" s="95" t="s">
        <v>177</v>
      </c>
      <c r="K118" s="94">
        <f ca="1">IF(B118=TODAY(),0,-$K$6*(Sheet1!CH116-Sheet1!CH115)*7.48/1000000)</f>
        <v>1.9989961123375376E-2</v>
      </c>
      <c r="L118" s="95" t="s">
        <v>177</v>
      </c>
      <c r="M118" s="94">
        <f ca="1">IF(B118=TODAY(),0,-$M$6*(Sheet1!CI116-Sheet1!CI115)*7.48/1000000)</f>
        <v>-1.9790659270829649E-2</v>
      </c>
      <c r="N118" s="94">
        <f ca="1">IF(B118=TODAY(),0,-$N$6*(Sheet1!CJ116-Sheet1!CJ115)*7.48/1000000)</f>
        <v>-0.23579891249957019</v>
      </c>
      <c r="O118" s="94">
        <f t="shared" ca="1" si="30"/>
        <v>-1.2302893103806021</v>
      </c>
      <c r="P118" s="94">
        <f ca="1">O118+Calculation!ES118</f>
        <v>-2.7273819528964673</v>
      </c>
      <c r="Q118" s="89" t="str">
        <f>IF(Sheet1!BQ116&gt;25.75,"spill elevation","-")</f>
        <v>-</v>
      </c>
      <c r="R118" s="89" t="str">
        <f>IF(Sheet1!BQ116&gt;25.75,"spill elevation","-")</f>
        <v>-</v>
      </c>
      <c r="S118" s="89" t="str">
        <f>IF(Sheet1!BR116&gt;25.75,"spill elevation","-")</f>
        <v>-</v>
      </c>
      <c r="T118" s="93">
        <f>IF(Sheet1!DU116=1,Sheet1!AA116-(SUM(AT118:BA118)+BE118),Sheet1!AA116-SUM(AT118:BA118))</f>
        <v>24.200144000000002</v>
      </c>
      <c r="U118" s="93">
        <f>Sheet1!BV116</f>
        <v>26</v>
      </c>
      <c r="V118" s="93">
        <f t="shared" si="27"/>
        <v>-1.7998559999999983</v>
      </c>
      <c r="W118" s="93">
        <f>0</f>
        <v>0</v>
      </c>
      <c r="X118" s="89">
        <f>0</f>
        <v>0</v>
      </c>
      <c r="Y118" s="94">
        <f ca="1">Calculation!EJ119+Calculation!ES118+'Calculations II'!O118-'Calculations II'!W118</f>
        <v>48.270420128216585</v>
      </c>
      <c r="Z118" s="94">
        <f ca="1">Y118-Sheet1!CT117</f>
        <v>32.590420128216586</v>
      </c>
      <c r="AA118" s="94">
        <f ca="1">Y118+Calculation!DJ119+Calculation!AS119</f>
        <v>58.853052336163998</v>
      </c>
      <c r="AC118" s="94">
        <f>Sheet1!AA116+Sheet1!AB116+BC118</f>
        <v>56.83</v>
      </c>
      <c r="AD118" s="94">
        <f>Sheet1!AA116+Sheet1!BN116+'Calculations II'!BC118-Calculation!AS118-Calculation!DJ118</f>
        <v>35.590526315789475</v>
      </c>
      <c r="AE118" s="94">
        <f>Sheet1!AA116+Sheet1!AB116+'Calculations II'!BC118-Calculation!AS118-Calculation!DJ118</f>
        <v>46.190526315789469</v>
      </c>
      <c r="AF118" s="94">
        <f ca="1">Sheet1!AA116+Sheet1!BN116+P118+'Calculations II'!BC118+Calculation!AS118+Calculation!DJ118</f>
        <v>54.142091731314068</v>
      </c>
      <c r="AG118" s="94">
        <f ca="1">IF(B118=TODAY(),0,Sheet1!AA116+Sheet1!BN116+'Calculations II'!BC118+'Calculations II'!P118-Sheet1!CT116-BP118)</f>
        <v>28.91061804710354</v>
      </c>
      <c r="AH118" s="94">
        <f ca="1">IF(B118=TODAY(),0,Sheet1!AA116+Sheet1!BN116+'Calculations II'!BC118+'Calculations II'!P118-BP118)</f>
        <v>43.502618047103539</v>
      </c>
      <c r="AI118" s="94">
        <f ca="1">IF(B118=TODAY(),0,BC118+Sheet1!AA116+Calculation!ES118+O118+W118+Sheet1!BN116+Calculation!AS118+Calculation!DJ118-BP118)</f>
        <v>54.142091731314061</v>
      </c>
      <c r="AJ118" s="94"/>
      <c r="AM118" s="90">
        <f t="shared" si="28"/>
        <v>42842</v>
      </c>
      <c r="AN118" s="94">
        <f>Sheet1!BU116</f>
        <v>24.3</v>
      </c>
      <c r="AO118" s="94">
        <f>Sheet1!AA116</f>
        <v>25.73</v>
      </c>
      <c r="AP118" s="94">
        <f t="shared" si="17"/>
        <v>3.4624999999999986</v>
      </c>
      <c r="AQ118" s="1087">
        <f>((Sheet1!BV116-(Sheet1!BU116-AP118))/(Sheet1!BU116-AP118))</f>
        <v>0.24775044991001788</v>
      </c>
      <c r="AR118" s="94">
        <f t="shared" si="18"/>
        <v>22.267500000000002</v>
      </c>
      <c r="AS118" s="94">
        <f t="shared" si="19"/>
        <v>20.837500000000002</v>
      </c>
      <c r="AT118" s="89">
        <f>Sheet1!BB116</f>
        <v>0</v>
      </c>
      <c r="AU118" s="89">
        <f>Sheet1!AS116*GPMtoMGD</f>
        <v>1.6560000000000002E-2</v>
      </c>
      <c r="AV118" s="94">
        <f>Sheet1!AT116</f>
        <v>0</v>
      </c>
      <c r="AW118" s="89">
        <f>Sheet1!AV116*GPMtoMGD</f>
        <v>0.73540800000000006</v>
      </c>
      <c r="AX118" s="89">
        <f>Sheet1!AW116*GPMtoMGD</f>
        <v>0.77788800000000013</v>
      </c>
      <c r="AY118" s="89">
        <f>Sheet1!AX116*GPMtoMGD</f>
        <v>0</v>
      </c>
      <c r="AZ118" s="89">
        <f>Sheet1!AY116*GPMtoMGD</f>
        <v>0</v>
      </c>
      <c r="BA118" s="89">
        <f>Sheet1!AZ116*GPMtoMGD</f>
        <v>0</v>
      </c>
      <c r="BB118" s="89">
        <f>Sheet1!BP116*GPMtoMGD</f>
        <v>3.2112000000000002E-2</v>
      </c>
      <c r="BC118" s="89">
        <f>Sheet1!CS116*GPMtoMGD</f>
        <v>0</v>
      </c>
      <c r="BD118" s="89">
        <f>Sheet1!BO116*GPMtoMGD</f>
        <v>1.4666400000000002</v>
      </c>
      <c r="BE118" s="89">
        <f>Sheet1!BW116*GPMtoMGD</f>
        <v>1.00224</v>
      </c>
      <c r="BF118" s="89">
        <f>Sheet1!CN116*GPMtoMGD</f>
        <v>0.53812800000000005</v>
      </c>
      <c r="BG118" s="89">
        <f>Sheet1!CO116*GPMtoMGD</f>
        <v>0.77515199999999995</v>
      </c>
      <c r="BH118" s="89">
        <f>Sheet1!CP116*GPMtoMGD</f>
        <v>0.67665600000000004</v>
      </c>
      <c r="BI118" s="89">
        <f t="shared" si="29"/>
        <v>1.4987520000000001</v>
      </c>
      <c r="BK118" s="94">
        <f>SUM(AT118:BA118,AS118,BC118,Calculation!AQ118)</f>
        <v>42.827882315789481</v>
      </c>
      <c r="BM118" s="358">
        <f>0</f>
        <v>0</v>
      </c>
      <c r="BN118" s="358">
        <f>0</f>
        <v>0</v>
      </c>
      <c r="BP118" s="94">
        <f>SUM(BM118:BN118,W118,Sheet1!DX116)</f>
        <v>0</v>
      </c>
      <c r="BR118" s="94">
        <f>Sheet1!AA116</f>
        <v>25.73</v>
      </c>
      <c r="BS118" s="94">
        <f>Sheet1!AB116</f>
        <v>31.1</v>
      </c>
      <c r="BT118" s="94">
        <f t="shared" ca="1" si="20"/>
        <v>-2.7273819528964673</v>
      </c>
      <c r="BU118" s="94">
        <f>Sheet1!AT116</f>
        <v>0</v>
      </c>
      <c r="BV118" s="89">
        <f>Sheet1!BB116</f>
        <v>0</v>
      </c>
      <c r="BW118" s="94">
        <f>Calculation!ED118</f>
        <v>10.639473684210527</v>
      </c>
      <c r="BX118" s="94">
        <f>(Sheet1!CS116*1440)/1000000</f>
        <v>0</v>
      </c>
      <c r="CA118" s="94">
        <f ca="1">Sheet1!AC116-Sheet1!BK116-Sheet1!BL116-Sheet1!BM116-Sheet1!BC116-Sheet1!BD116-Sheet1!BE116-Sheet1!BF116-Sheet1!BG116-Sheet1!BH116-Sheet1!BI116+BC118+P118</f>
        <v>43.442618047103537</v>
      </c>
      <c r="CB118" s="93">
        <f t="shared" si="21"/>
        <v>71.45674421052631</v>
      </c>
      <c r="CC118" s="94">
        <f t="shared" si="22"/>
        <v>0</v>
      </c>
      <c r="CD118" s="94">
        <f t="shared" ca="1" si="23"/>
        <v>54.082091731314065</v>
      </c>
      <c r="CE118" s="1077">
        <f t="shared" ca="1" si="24"/>
        <v>83.66499590834286</v>
      </c>
      <c r="CG118" s="1077">
        <f t="shared" ca="1" si="25"/>
        <v>43.442618047103537</v>
      </c>
    </row>
    <row r="119" spans="1:85" s="89" customFormat="1" x14ac:dyDescent="0.25">
      <c r="A119" s="616" t="s">
        <v>5</v>
      </c>
      <c r="B119" s="91">
        <v>42843</v>
      </c>
      <c r="C119" s="92">
        <v>0</v>
      </c>
      <c r="D119" s="94">
        <f>(Sheet1!BQ117-Sheet1!BQ116)*1.385</f>
        <v>8.7116500000000006</v>
      </c>
      <c r="E119" s="30">
        <f>(Sheet1!BR117-Sheet1!BR116)*1.385</f>
        <v>-0.9279499999999975</v>
      </c>
      <c r="F119" s="30">
        <f ca="1">IF(B119=TODAY(),0,-(VLOOKUP(Sheet1!CD117,Lookup!$I$4:$J$216,2)-VLOOKUP(Sheet1!CD116,Lookup!$I$4:$J$216,2))/1000000)</f>
        <v>0.41454775419119744</v>
      </c>
      <c r="G119" s="94">
        <f ca="1">IF(B119=TODAY(),0,-$G$6*(Sheet1!CF117-Sheet1!CF116)*7.48/1000000)</f>
        <v>-0.35345015936777791</v>
      </c>
      <c r="H119" s="94">
        <f ca="1">IF(B119=TODAY(),0,-$H$6*(Sheet1!CE117-Sheet1!CE116)*7.48/1000000)</f>
        <v>0</v>
      </c>
      <c r="I119" s="94">
        <f ca="1">IF(B119=TODAY(),0,-$I$6*(Sheet1!CG117-Sheet1!CG116)*7.48/1000000)</f>
        <v>1.3477464000000033E-2</v>
      </c>
      <c r="J119" s="95" t="s">
        <v>177</v>
      </c>
      <c r="K119" s="94">
        <f ca="1">IF(B119=TODAY(),0,-$K$6*(Sheet1!CH117-Sheet1!CH116)*7.48/1000000)</f>
        <v>1.3326640748916837E-2</v>
      </c>
      <c r="L119" s="95" t="s">
        <v>177</v>
      </c>
      <c r="M119" s="94">
        <f ca="1">IF(B119=TODAY(),0,-$M$6*(Sheet1!CI117-Sheet1!CI116)*7.48/1000000)</f>
        <v>7.3765184554910934E-2</v>
      </c>
      <c r="N119" s="94">
        <f ca="1">IF(B119=TODAY(),0,-$N$6*(Sheet1!CJ117-Sheet1!CJ116)*7.48/1000000)</f>
        <v>0.53985540493322748</v>
      </c>
      <c r="O119" s="94">
        <f t="shared" ca="1" si="30"/>
        <v>0.70152228906047476</v>
      </c>
      <c r="P119" s="94">
        <f ca="1">O119+Calculation!ES119</f>
        <v>-6.9979754461243804</v>
      </c>
      <c r="Q119" s="89" t="str">
        <f>IF(Sheet1!BQ117&gt;25.75,"spill elevation","-")</f>
        <v>-</v>
      </c>
      <c r="R119" s="89" t="str">
        <f>IF(Sheet1!BQ117&gt;25.75,"spill elevation","-")</f>
        <v>-</v>
      </c>
      <c r="S119" s="89" t="str">
        <f>IF(Sheet1!BR117&gt;25.75,"spill elevation","-")</f>
        <v>-</v>
      </c>
      <c r="T119" s="93">
        <f>IF(Sheet1!DU117=1,Sheet1!AA117-(SUM(AT119:BA119)+BE119),Sheet1!AA117-SUM(AT119:BA119))</f>
        <v>26.301088</v>
      </c>
      <c r="U119" s="93">
        <f>Sheet1!BV117</f>
        <v>21.8</v>
      </c>
      <c r="V119" s="93">
        <f t="shared" si="27"/>
        <v>4.5010879999999993</v>
      </c>
      <c r="W119" s="93">
        <f>0</f>
        <v>0</v>
      </c>
      <c r="X119" s="89">
        <f>0</f>
        <v>0</v>
      </c>
      <c r="Y119" s="94">
        <f ca="1">Calculation!EJ120+Calculation!ES119+'Calculations II'!O119-'Calculations II'!W119</f>
        <v>43.224686545883074</v>
      </c>
      <c r="Z119" s="94">
        <f ca="1">Y119-Sheet1!CT118</f>
        <v>27.875686545883074</v>
      </c>
      <c r="AA119" s="94">
        <f ca="1">Y119+Calculation!DJ120+Calculation!AS120</f>
        <v>53.718293103260123</v>
      </c>
      <c r="AC119" s="94">
        <f>Sheet1!AA117+Sheet1!AB117+BC119</f>
        <v>61.28</v>
      </c>
      <c r="AD119" s="94">
        <f>Sheet1!AA117+Sheet1!BN117+'Calculations II'!BC119-Calculation!AS119-Calculation!DJ119</f>
        <v>40.087367792052589</v>
      </c>
      <c r="AE119" s="94">
        <f>Sheet1!AA117+Sheet1!AB117+'Calculations II'!BC119-Calculation!AS119-Calculation!DJ119</f>
        <v>50.697367792052589</v>
      </c>
      <c r="AF119" s="94">
        <f ca="1">Sheet1!AA117+Sheet1!BN117+P119+'Calculations II'!BC119+Calculation!AS119+Calculation!DJ119</f>
        <v>54.254656761823036</v>
      </c>
      <c r="AG119" s="94">
        <f ca="1">IF(B119=TODAY(),0,Sheet1!AA117+Sheet1!BN117+'Calculations II'!BC119+'Calculations II'!P119-Sheet1!CT117-BP119)</f>
        <v>27.992024553875623</v>
      </c>
      <c r="AH119" s="94">
        <f ca="1">IF(B119=TODAY(),0,Sheet1!AA117+Sheet1!BN117+'Calculations II'!BC119+'Calculations II'!P119-BP119)</f>
        <v>43.672024553875623</v>
      </c>
      <c r="AI119" s="94">
        <f ca="1">IF(B119=TODAY(),0,BC119+Sheet1!AA117+Calculation!ES119+O119+W119+Sheet1!BN117+Calculation!AS119+Calculation!DJ119-BP119)</f>
        <v>54.254656761823028</v>
      </c>
      <c r="AJ119" s="94"/>
      <c r="AM119" s="90">
        <f t="shared" si="28"/>
        <v>42843</v>
      </c>
      <c r="AN119" s="94">
        <f>Sheet1!BU117</f>
        <v>25.9</v>
      </c>
      <c r="AO119" s="94">
        <f>Sheet1!AA117</f>
        <v>27.77</v>
      </c>
      <c r="AP119" s="94">
        <f t="shared" si="17"/>
        <v>7.7837000000000032</v>
      </c>
      <c r="AQ119" s="1087">
        <f>((Sheet1!BV117-(Sheet1!BU117-AP119))/(Sheet1!BU117-AP119))</f>
        <v>0.20333622207625213</v>
      </c>
      <c r="AR119" s="94">
        <f t="shared" si="18"/>
        <v>19.986299999999996</v>
      </c>
      <c r="AS119" s="94">
        <f t="shared" si="19"/>
        <v>18.116299999999995</v>
      </c>
      <c r="AT119" s="89">
        <f>Sheet1!BB117</f>
        <v>0</v>
      </c>
      <c r="AU119" s="89">
        <f>Sheet1!AS117*GPMtoMGD</f>
        <v>3.0672000000000001E-2</v>
      </c>
      <c r="AV119" s="94">
        <f>Sheet1!AT117</f>
        <v>0.57999999999999996</v>
      </c>
      <c r="AW119" s="89">
        <f>Sheet1!AV117*GPMtoMGD</f>
        <v>0.33408000000000004</v>
      </c>
      <c r="AX119" s="89">
        <f>Sheet1!AW117*GPMtoMGD</f>
        <v>0.52416000000000007</v>
      </c>
      <c r="AY119" s="89">
        <f>Sheet1!AX117*GPMtoMGD</f>
        <v>0</v>
      </c>
      <c r="AZ119" s="89">
        <f>Sheet1!AY117*GPMtoMGD</f>
        <v>0</v>
      </c>
      <c r="BA119" s="89">
        <f>Sheet1!AZ117*GPMtoMGD</f>
        <v>0</v>
      </c>
      <c r="BB119" s="89">
        <f>Sheet1!BP117*GPMtoMGD</f>
        <v>2.8800000000000002E-3</v>
      </c>
      <c r="BC119" s="89">
        <f>Sheet1!CS117*GPMtoMGD</f>
        <v>0</v>
      </c>
      <c r="BD119" s="89">
        <f>Sheet1!BO117*GPMtoMGD</f>
        <v>1.406736</v>
      </c>
      <c r="BE119" s="89">
        <f>Sheet1!BW117*GPMtoMGD</f>
        <v>1.0586880000000001</v>
      </c>
      <c r="BF119" s="89">
        <f>Sheet1!CN117*GPMtoMGD</f>
        <v>0.27532800000000002</v>
      </c>
      <c r="BG119" s="89">
        <f>Sheet1!CO117*GPMtoMGD</f>
        <v>0.77716800000000008</v>
      </c>
      <c r="BH119" s="89">
        <f>Sheet1!CP117*GPMtoMGD</f>
        <v>0.67651200000000011</v>
      </c>
      <c r="BI119" s="89">
        <f t="shared" si="29"/>
        <v>1.409616</v>
      </c>
      <c r="BK119" s="94">
        <f>SUM(AT119:BA119,AS119,BC119,Calculation!AQ119)</f>
        <v>42.512579792052577</v>
      </c>
      <c r="BM119" s="358">
        <f>0</f>
        <v>0</v>
      </c>
      <c r="BN119" s="358">
        <f>0</f>
        <v>0</v>
      </c>
      <c r="BP119" s="94">
        <f>SUM(BM119:BN119,W119,Sheet1!DX117)</f>
        <v>0</v>
      </c>
      <c r="BR119" s="94">
        <f>Sheet1!AA117</f>
        <v>27.77</v>
      </c>
      <c r="BS119" s="94">
        <f>Sheet1!AB117</f>
        <v>33.51</v>
      </c>
      <c r="BT119" s="94">
        <f t="shared" ca="1" si="20"/>
        <v>-6.9979754461243804</v>
      </c>
      <c r="BU119" s="94">
        <f>Sheet1!AT117</f>
        <v>0.57999999999999996</v>
      </c>
      <c r="BV119" s="89">
        <f>Sheet1!BB117</f>
        <v>0</v>
      </c>
      <c r="BW119" s="94">
        <f>Calculation!ED119</f>
        <v>10.582632207947414</v>
      </c>
      <c r="BX119" s="94">
        <f>(Sheet1!CS117*1440)/1000000</f>
        <v>0</v>
      </c>
      <c r="CA119" s="94">
        <f ca="1">Sheet1!AC117-Sheet1!BK117-Sheet1!BL117-Sheet1!BM117-Sheet1!BC117-Sheet1!BD117-Sheet1!BE117-Sheet1!BF117-Sheet1!BG117-Sheet1!BH117-Sheet1!BI117+BC119+P119</f>
        <v>43.712024553875615</v>
      </c>
      <c r="CB119" s="93">
        <f t="shared" si="21"/>
        <v>78.428827974305349</v>
      </c>
      <c r="CC119" s="94">
        <f t="shared" si="22"/>
        <v>0.57999999999999996</v>
      </c>
      <c r="CD119" s="94">
        <f t="shared" ca="1" si="23"/>
        <v>54.294656761823028</v>
      </c>
      <c r="CE119" s="1077">
        <f t="shared" ca="1" si="24"/>
        <v>83.993834010540226</v>
      </c>
      <c r="CG119" s="1077">
        <f t="shared" ca="1" si="25"/>
        <v>43.132024553875617</v>
      </c>
    </row>
    <row r="120" spans="1:85" s="89" customFormat="1" x14ac:dyDescent="0.25">
      <c r="A120" s="616" t="s">
        <v>6</v>
      </c>
      <c r="B120" s="91">
        <v>42844</v>
      </c>
      <c r="C120" s="92">
        <v>0</v>
      </c>
      <c r="D120" s="94">
        <f>(Sheet1!BQ118-Sheet1!BQ117)*1.385</f>
        <v>6.8141999999999996</v>
      </c>
      <c r="E120" s="30">
        <f>(Sheet1!BR118-Sheet1!BR117)*1.385</f>
        <v>-1.2880499999999997</v>
      </c>
      <c r="F120" s="30">
        <f ca="1">IF(B120=TODAY(),0,-(VLOOKUP(Sheet1!CD118,Lookup!$I$4:$J$216,2)-VLOOKUP(Sheet1!CD117,Lookup!$I$4:$J$216,2))/1000000)</f>
        <v>-0.82909550838240231</v>
      </c>
      <c r="G120" s="94">
        <f ca="1">IF(B120=TODAY(),0,-$G$6*(Sheet1!CF118-Sheet1!CF117)*7.48/1000000)</f>
        <v>0.75455651999862683</v>
      </c>
      <c r="H120" s="94">
        <f ca="1">IF(B120=TODAY(),0,-$H$6*(Sheet1!CE118-Sheet1!CE117)*7.48/1000000)</f>
        <v>0</v>
      </c>
      <c r="I120" s="94">
        <f ca="1">IF(B120=TODAY(),0,-$I$6*(Sheet1!CG118-Sheet1!CG117)*7.48/1000000)</f>
        <v>3.1447415999999971E-2</v>
      </c>
      <c r="J120" s="95" t="s">
        <v>177</v>
      </c>
      <c r="K120" s="94">
        <f ca="1">IF(B120=TODAY(),0,-$K$6*(Sheet1!CH118-Sheet1!CH117)*7.48/1000000)</f>
        <v>5.9969883370126001E-2</v>
      </c>
      <c r="L120" s="95" t="s">
        <v>177</v>
      </c>
      <c r="M120" s="94">
        <f ca="1">IF(B120=TODAY(),0,-$M$6*(Sheet1!CI118-Sheet1!CI117)*7.48/1000000)</f>
        <v>0.10794905056816191</v>
      </c>
      <c r="N120" s="94">
        <f ca="1">IF(B120=TODAY(),0,-$N$6*(Sheet1!CJ118-Sheet1!CJ117)*7.48/1000000)</f>
        <v>-0.57708681217000213</v>
      </c>
      <c r="O120" s="94">
        <f t="shared" ca="1" si="30"/>
        <v>-0.45225945061548972</v>
      </c>
      <c r="P120" s="94">
        <f ca="1">O120+Calculation!ES120</f>
        <v>-6.1081247680441102</v>
      </c>
      <c r="Q120" s="89" t="str">
        <f>IF(Sheet1!BQ118&gt;25.75,"spill elevation","-")</f>
        <v>-</v>
      </c>
      <c r="R120" s="89" t="str">
        <f>IF(Sheet1!BQ118&gt;25.75,"spill elevation","-")</f>
        <v>-</v>
      </c>
      <c r="S120" s="89" t="str">
        <f>IF(Sheet1!BR118&gt;25.75,"spill elevation","-")</f>
        <v>-</v>
      </c>
      <c r="T120" s="93">
        <f>IF(Sheet1!DU118=1,Sheet1!AA118-(SUM(AT120:BA120)+BE120),Sheet1!AA118-SUM(AT120:BA120))</f>
        <v>24.621472000000001</v>
      </c>
      <c r="U120" s="93">
        <f>Sheet1!BV118</f>
        <v>22.7</v>
      </c>
      <c r="V120" s="93">
        <f t="shared" si="27"/>
        <v>1.9214720000000014</v>
      </c>
      <c r="W120" s="93">
        <f>0</f>
        <v>0</v>
      </c>
      <c r="X120" s="89">
        <f>0</f>
        <v>0</v>
      </c>
      <c r="Y120" s="94">
        <f ca="1">Calculation!EJ121+Calculation!ES120+'Calculations II'!O120-'Calculations II'!W120</f>
        <v>38.19743834282103</v>
      </c>
      <c r="Z120" s="94">
        <f ca="1">Y120-Sheet1!CT119</f>
        <v>22.507438342821033</v>
      </c>
      <c r="AA120" s="94">
        <f ca="1">Y120+Calculation!DJ121+Calculation!AS121</f>
        <v>48.652065544019983</v>
      </c>
      <c r="AC120" s="94">
        <f>Sheet1!AA118+Sheet1!AB118+BC120</f>
        <v>60.69</v>
      </c>
      <c r="AD120" s="94">
        <f>Sheet1!AA118+Sheet1!BN118+'Calculations II'!BC120-Calculation!AS120-Calculation!DJ120</f>
        <v>39.606393442622952</v>
      </c>
      <c r="AE120" s="94">
        <f>Sheet1!AA118+Sheet1!AB118+'Calculations II'!BC120-Calculation!AS120-Calculation!DJ120</f>
        <v>50.196393442622949</v>
      </c>
      <c r="AF120" s="94">
        <f ca="1">Sheet1!AA118+Sheet1!BN118+P120+'Calculations II'!BC120+Calculation!AS120+Calculation!DJ120</f>
        <v>54.485481789332937</v>
      </c>
      <c r="AG120" s="94">
        <f ca="1">IF(B120=TODAY(),0,Sheet1!AA118+Sheet1!BN118+'Calculations II'!BC120+'Calculations II'!P120-Sheet1!CT118-BP120)</f>
        <v>28.642875231955887</v>
      </c>
      <c r="AH120" s="94">
        <f ca="1">IF(B120=TODAY(),0,Sheet1!AA118+Sheet1!BN118+'Calculations II'!BC120+'Calculations II'!P120-BP120)</f>
        <v>43.991875231955888</v>
      </c>
      <c r="AI120" s="94">
        <f ca="1">IF(B120=TODAY(),0,BC120+Sheet1!AA118+Calculation!ES120+O120+W120+Sheet1!BN118+Calculation!AS120+Calculation!DJ120-BP120)</f>
        <v>54.485481789332937</v>
      </c>
      <c r="AJ120" s="94"/>
      <c r="AM120" s="90">
        <f t="shared" si="28"/>
        <v>42844</v>
      </c>
      <c r="AN120" s="94">
        <f>Sheet1!BU118</f>
        <v>25.1</v>
      </c>
      <c r="AO120" s="94">
        <f>Sheet1!AA118</f>
        <v>27</v>
      </c>
      <c r="AP120" s="94">
        <f t="shared" si="17"/>
        <v>5.5261499999999995</v>
      </c>
      <c r="AQ120" s="1087">
        <f>((Sheet1!BV118-(Sheet1!BU118-AP120))/(Sheet1!BU118-AP120))</f>
        <v>0.15971053216408623</v>
      </c>
      <c r="AR120" s="94">
        <f t="shared" si="18"/>
        <v>21.473849999999999</v>
      </c>
      <c r="AS120" s="94">
        <f t="shared" si="19"/>
        <v>19.57385</v>
      </c>
      <c r="AT120" s="89">
        <f>Sheet1!BB118</f>
        <v>0</v>
      </c>
      <c r="AU120" s="89">
        <f>Sheet1!AS118*GPMtoMGD</f>
        <v>1.584E-2</v>
      </c>
      <c r="AV120" s="94">
        <f>Sheet1!AT118</f>
        <v>0.89</v>
      </c>
      <c r="AW120" s="89">
        <f>Sheet1!AV118*GPMtoMGD</f>
        <v>0.69840000000000002</v>
      </c>
      <c r="AX120" s="89">
        <f>Sheet1!AW118*GPMtoMGD</f>
        <v>0.77428800000000009</v>
      </c>
      <c r="AY120" s="89">
        <f>Sheet1!AX118*GPMtoMGD</f>
        <v>0</v>
      </c>
      <c r="AZ120" s="89">
        <f>Sheet1!AY118*GPMtoMGD</f>
        <v>0</v>
      </c>
      <c r="BA120" s="89">
        <f>Sheet1!AZ118*GPMtoMGD</f>
        <v>0</v>
      </c>
      <c r="BB120" s="89">
        <f>Sheet1!BP118*GPMtoMGD</f>
        <v>2.8800000000000002E-3</v>
      </c>
      <c r="BC120" s="89">
        <f>Sheet1!CS118*GPMtoMGD</f>
        <v>0</v>
      </c>
      <c r="BD120" s="89">
        <f>Sheet1!BO118*GPMtoMGD</f>
        <v>1.31616</v>
      </c>
      <c r="BE120" s="89">
        <f>Sheet1!BW118*GPMtoMGD</f>
        <v>1.06776</v>
      </c>
      <c r="BF120" s="89">
        <f>Sheet1!CN118*GPMtoMGD</f>
        <v>0.85651199999999994</v>
      </c>
      <c r="BG120" s="89">
        <f>Sheet1!CO118*GPMtoMGD</f>
        <v>0.91656000000000004</v>
      </c>
      <c r="BH120" s="89">
        <f>Sheet1!CP118*GPMtoMGD</f>
        <v>0.66902400000000006</v>
      </c>
      <c r="BI120" s="89">
        <f t="shared" si="29"/>
        <v>1.31904</v>
      </c>
      <c r="BK120" s="94">
        <f>SUM(AT120:BA120,AS120,BC120,Calculation!AQ120)</f>
        <v>45.148771442622945</v>
      </c>
      <c r="BM120" s="358">
        <f>0</f>
        <v>0</v>
      </c>
      <c r="BN120" s="358">
        <f>0</f>
        <v>0</v>
      </c>
      <c r="BP120" s="94">
        <f>SUM(BM120:BN120,W120,Sheet1!DX118)</f>
        <v>0</v>
      </c>
      <c r="BR120" s="94">
        <f>Sheet1!AA118</f>
        <v>27</v>
      </c>
      <c r="BS120" s="94">
        <f>Sheet1!AB118</f>
        <v>33.69</v>
      </c>
      <c r="BT120" s="94">
        <f t="shared" ca="1" si="20"/>
        <v>-6.1081247680441102</v>
      </c>
      <c r="BU120" s="94">
        <f>Sheet1!AT118</f>
        <v>0.89</v>
      </c>
      <c r="BV120" s="89">
        <f>Sheet1!BB118</f>
        <v>0</v>
      </c>
      <c r="BW120" s="94">
        <f>Calculation!ED120</f>
        <v>10.493606557377047</v>
      </c>
      <c r="BX120" s="94">
        <f>(Sheet1!CS118*1440)/1000000</f>
        <v>0</v>
      </c>
      <c r="CA120" s="94">
        <f ca="1">Sheet1!AC118-Sheet1!BK118-Sheet1!BL118-Sheet1!BM118-Sheet1!BC118-Sheet1!BD118-Sheet1!BE118-Sheet1!BF118-Sheet1!BG118-Sheet1!BH118-Sheet1!BI118+BC120+P120</f>
        <v>44.131875231955888</v>
      </c>
      <c r="CB120" s="93">
        <f t="shared" si="21"/>
        <v>77.653820655737704</v>
      </c>
      <c r="CC120" s="94">
        <f t="shared" si="22"/>
        <v>0.89</v>
      </c>
      <c r="CD120" s="94">
        <f t="shared" ca="1" si="23"/>
        <v>54.625481789332937</v>
      </c>
      <c r="CE120" s="1077">
        <f t="shared" ca="1" si="24"/>
        <v>84.505620328098047</v>
      </c>
      <c r="CG120" s="1077">
        <f t="shared" ca="1" si="25"/>
        <v>43.241875231955888</v>
      </c>
    </row>
    <row r="121" spans="1:85" s="89" customFormat="1" x14ac:dyDescent="0.25">
      <c r="A121" s="616" t="s">
        <v>7</v>
      </c>
      <c r="B121" s="91">
        <v>42845</v>
      </c>
      <c r="C121" s="92">
        <v>0</v>
      </c>
      <c r="D121" s="94">
        <f>(Sheet1!BQ119-Sheet1!BQ118)*1.385</f>
        <v>4.1549999999999115E-2</v>
      </c>
      <c r="E121" s="30">
        <f>(Sheet1!BR119-Sheet1!BR118)*1.385</f>
        <v>0.3600999999999997</v>
      </c>
      <c r="F121" s="30">
        <f ca="1">IF(B121=TODAY(),0,-(VLOOKUP(Sheet1!CD119,Lookup!$I$4:$J$216,2)-VLOOKUP(Sheet1!CD118,Lookup!$I$4:$J$216,2))/1000000)</f>
        <v>-0.72545856983459556</v>
      </c>
      <c r="G121" s="94">
        <f ca="1">IF(B121=TODAY(),0,-$G$6*(Sheet1!CF119-Sheet1!CF118)*7.48/1000000)</f>
        <v>-0.19856750526279648</v>
      </c>
      <c r="H121" s="94">
        <f ca="1">IF(B121=TODAY(),0,-$H$6*(Sheet1!CE119-Sheet1!CE118)*7.48/1000000)</f>
        <v>0</v>
      </c>
      <c r="I121" s="94">
        <f ca="1">IF(B121=TODAY(),0,-$I$6*(Sheet1!CG119-Sheet1!CG118)*7.48/1000000)</f>
        <v>-2.2462440000000004E-2</v>
      </c>
      <c r="J121" s="95" t="s">
        <v>177</v>
      </c>
      <c r="K121" s="94">
        <f ca="1">IF(B121=TODAY(),0,-$K$6*(Sheet1!CH119-Sheet1!CH118)*7.48/1000000)</f>
        <v>-4.6643242621209044E-2</v>
      </c>
      <c r="L121" s="95" t="s">
        <v>177</v>
      </c>
      <c r="M121" s="94">
        <f ca="1">IF(B121=TODAY(),0,-$M$6*(Sheet1!CI119-Sheet1!CI118)*7.48/1000000)</f>
        <v>-5.3974525284081275E-2</v>
      </c>
      <c r="N121" s="94">
        <f ca="1">IF(B121=TODAY(),0,-$N$6*(Sheet1!CJ119-Sheet1!CJ118)*7.48/1000000)</f>
        <v>-0.53985540493322748</v>
      </c>
      <c r="O121" s="94">
        <f t="shared" ca="1" si="30"/>
        <v>-1.5869616879359099</v>
      </c>
      <c r="P121" s="94">
        <f ca="1">O121+Calculation!ES121</f>
        <v>-2.0015321413415621</v>
      </c>
      <c r="Q121" s="89" t="str">
        <f>IF(Sheet1!BQ119&gt;25.75,"spill elevation","-")</f>
        <v>-</v>
      </c>
      <c r="R121" s="89" t="str">
        <f>IF(Sheet1!BQ119&gt;25.75,"spill elevation","-")</f>
        <v>-</v>
      </c>
      <c r="S121" s="89" t="str">
        <f>IF(Sheet1!BR119&gt;25.75,"spill elevation","-")</f>
        <v>-</v>
      </c>
      <c r="T121" s="93">
        <f>IF(Sheet1!DU119=1,Sheet1!AA119-(SUM(AT121:BA121)+BE121),Sheet1!AA119-SUM(AT121:BA121))</f>
        <v>24.584688</v>
      </c>
      <c r="U121" s="93">
        <f>Sheet1!BV119</f>
        <v>28</v>
      </c>
      <c r="V121" s="93">
        <f t="shared" si="27"/>
        <v>-3.4153120000000001</v>
      </c>
      <c r="W121" s="93">
        <f>0</f>
        <v>0</v>
      </c>
      <c r="X121" s="89">
        <f>0</f>
        <v>0</v>
      </c>
      <c r="Y121" s="94">
        <f ca="1">Calculation!EJ122+Calculation!ES121+'Calculations II'!O121-'Calculations II'!W121</f>
        <v>42.822841374010096</v>
      </c>
      <c r="Z121" s="94">
        <f ca="1">Y121-Sheet1!CT120</f>
        <v>27.045841374010095</v>
      </c>
      <c r="AA121" s="94">
        <f ca="1">Y121+Calculation!DJ122+Calculation!AS122</f>
        <v>53.6093413740101</v>
      </c>
      <c r="AC121" s="94">
        <f>Sheet1!AA119+Sheet1!AB119+BC121</f>
        <v>56.031840000000003</v>
      </c>
      <c r="AD121" s="94">
        <f>Sheet1!AA119+Sheet1!BN119+'Calculations II'!BC121-Calculation!AS121-Calculation!DJ121</f>
        <v>35.177212798801044</v>
      </c>
      <c r="AE121" s="94">
        <f>Sheet1!AA119+Sheet1!AB119+'Calculations II'!BC121-Calculation!AS121-Calculation!DJ121</f>
        <v>45.57721279880105</v>
      </c>
      <c r="AF121" s="94">
        <f ca="1">Sheet1!AA119+Sheet1!BN119+P121+'Calculations II'!BC121+Calculation!AS121+Calculation!DJ121</f>
        <v>54.084935059857386</v>
      </c>
      <c r="AG121" s="94">
        <f ca="1">IF(B121=TODAY(),0,Sheet1!AA119+Sheet1!BN119+'Calculations II'!BC121+'Calculations II'!P121-Sheet1!CT119-BP121)</f>
        <v>27.940307858658436</v>
      </c>
      <c r="AH121" s="94">
        <f ca="1">IF(B121=TODAY(),0,Sheet1!AA119+Sheet1!BN119+'Calculations II'!BC121+'Calculations II'!P121-BP121)</f>
        <v>43.630307858658433</v>
      </c>
      <c r="AI121" s="94">
        <f ca="1">IF(B121=TODAY(),0,BC121+Sheet1!AA119+Calculation!ES121+O121+W121+Sheet1!BN119+Calculation!AS121+Calculation!DJ121-BP121)</f>
        <v>54.084935059857393</v>
      </c>
      <c r="AJ121" s="94"/>
      <c r="AM121" s="90">
        <f t="shared" si="28"/>
        <v>42845</v>
      </c>
      <c r="AN121" s="94">
        <f>Sheet1!BU119</f>
        <v>24.9</v>
      </c>
      <c r="AO121" s="94">
        <f>Sheet1!AA119</f>
        <v>25.6</v>
      </c>
      <c r="AP121" s="94">
        <f t="shared" si="17"/>
        <v>0.40164999999999884</v>
      </c>
      <c r="AQ121" s="1087">
        <f>((Sheet1!BV119-(Sheet1!BU119-AP121))/(Sheet1!BU119-AP121))</f>
        <v>0.14293411597107566</v>
      </c>
      <c r="AR121" s="94">
        <f t="shared" si="18"/>
        <v>25.198350000000001</v>
      </c>
      <c r="AS121" s="94">
        <f t="shared" si="19"/>
        <v>24.498349999999999</v>
      </c>
      <c r="AT121" s="89">
        <f>Sheet1!BB119</f>
        <v>0</v>
      </c>
      <c r="AU121" s="89">
        <f>Sheet1!AS119*GPMtoMGD</f>
        <v>1.5408E-2</v>
      </c>
      <c r="AV121" s="94">
        <f>Sheet1!AT119</f>
        <v>0.31</v>
      </c>
      <c r="AW121" s="89">
        <f>Sheet1!AV119*GPMtoMGD</f>
        <v>0.25444800000000001</v>
      </c>
      <c r="AX121" s="89">
        <f>Sheet1!AW119*GPMtoMGD</f>
        <v>0.43545600000000001</v>
      </c>
      <c r="AY121" s="89">
        <f>Sheet1!AX119*GPMtoMGD</f>
        <v>0</v>
      </c>
      <c r="AZ121" s="89">
        <f>Sheet1!AY119*GPMtoMGD</f>
        <v>0</v>
      </c>
      <c r="BA121" s="89">
        <f>Sheet1!AZ119*GPMtoMGD</f>
        <v>0</v>
      </c>
      <c r="BB121" s="89">
        <f>Sheet1!BP119*GPMtoMGD</f>
        <v>5.9039999999999995E-3</v>
      </c>
      <c r="BC121" s="89">
        <f>Sheet1!CS119*GPMtoMGD</f>
        <v>3.8318400000000001</v>
      </c>
      <c r="BD121" s="89">
        <f>Sheet1!BO119*GPMtoMGD</f>
        <v>1.5370560000000002</v>
      </c>
      <c r="BE121" s="89">
        <f>Sheet1!BW119*GPMtoMGD</f>
        <v>1.0752480000000002</v>
      </c>
      <c r="BF121" s="89">
        <f>Sheet1!CN119*GPMtoMGD</f>
        <v>1.3105440000000002</v>
      </c>
      <c r="BG121" s="89">
        <f>Sheet1!CO119*GPMtoMGD</f>
        <v>0.58924799999999999</v>
      </c>
      <c r="BH121" s="89">
        <f>Sheet1!CP119*GPMtoMGD</f>
        <v>0.67046400000000006</v>
      </c>
      <c r="BI121" s="89">
        <f t="shared" si="29"/>
        <v>1.5429600000000001</v>
      </c>
      <c r="BK121" s="94">
        <f>SUM(AT121:BA121,AS121,BC121,Calculation!AQ121)</f>
        <v>45.490874798801052</v>
      </c>
      <c r="BM121" s="358">
        <f>0</f>
        <v>0</v>
      </c>
      <c r="BN121" s="358">
        <f>0</f>
        <v>0</v>
      </c>
      <c r="BP121" s="94">
        <f>SUM(BM121:BN121,W121,Sheet1!DX119)</f>
        <v>0</v>
      </c>
      <c r="BR121" s="94">
        <f>Sheet1!AA119</f>
        <v>25.6</v>
      </c>
      <c r="BS121" s="94">
        <f>Sheet1!AB119</f>
        <v>26.6</v>
      </c>
      <c r="BT121" s="94">
        <f t="shared" ca="1" si="20"/>
        <v>-2.0015321413415621</v>
      </c>
      <c r="BU121" s="94">
        <f>Sheet1!AT119</f>
        <v>0.31</v>
      </c>
      <c r="BV121" s="89">
        <f>Sheet1!BB119</f>
        <v>0</v>
      </c>
      <c r="BW121" s="94">
        <f>Calculation!ED121</f>
        <v>10.454627201198953</v>
      </c>
      <c r="BX121" s="94">
        <f>(Sheet1!CS119*1440)/1000000</f>
        <v>3.8318400000000001</v>
      </c>
      <c r="CA121" s="94">
        <f ca="1">Sheet1!AC119-Sheet1!BK119-Sheet1!BL119-Sheet1!BM119-Sheet1!BC119-Sheet1!BD119-Sheet1!BE119-Sheet1!BF119-Sheet1!BG119-Sheet1!BH119-Sheet1!BI119+BC121+P121</f>
        <v>43.540307858658437</v>
      </c>
      <c r="CB121" s="93">
        <f t="shared" si="21"/>
        <v>64.580091719745226</v>
      </c>
      <c r="CC121" s="94">
        <f t="shared" si="22"/>
        <v>0.31</v>
      </c>
      <c r="CD121" s="94">
        <f t="shared" ca="1" si="23"/>
        <v>53.99493505985739</v>
      </c>
      <c r="CE121" s="1077">
        <f t="shared" ca="1" si="24"/>
        <v>83.530164537599376</v>
      </c>
      <c r="CG121" s="1077">
        <f t="shared" ca="1" si="25"/>
        <v>43.230307858658435</v>
      </c>
    </row>
    <row r="122" spans="1:85" s="89" customFormat="1" x14ac:dyDescent="0.25">
      <c r="A122" s="616" t="s">
        <v>8</v>
      </c>
      <c r="B122" s="91">
        <v>42846</v>
      </c>
      <c r="C122" s="92">
        <v>0</v>
      </c>
      <c r="D122" s="94">
        <f>(Sheet1!BQ120-Sheet1!BQ119)*1.385</f>
        <v>3.7810500000000005</v>
      </c>
      <c r="E122" s="30">
        <f>(Sheet1!BR120-Sheet1!BR119)*1.385</f>
        <v>-14.293200000000001</v>
      </c>
      <c r="F122" s="30">
        <f ca="1">IF(B122=TODAY(),0,-(VLOOKUP(Sheet1!CD120,Lookup!$I$4:$J$216,2)-VLOOKUP(Sheet1!CD119,Lookup!$I$4:$J$216,2))/1000000)</f>
        <v>0</v>
      </c>
      <c r="G122" s="94">
        <f ca="1">IF(B122=TODAY(),0,-$G$6*(Sheet1!CF120-Sheet1!CF119)*7.48/1000000)</f>
        <v>-0.47656201263071196</v>
      </c>
      <c r="H122" s="94">
        <f ca="1">IF(B122=TODAY(),0,-$H$6*(Sheet1!CE120-Sheet1!CE119)*7.48/1000000)</f>
        <v>0</v>
      </c>
      <c r="I122" s="94">
        <f ca="1">IF(B122=TODAY(),0,-$I$6*(Sheet1!CG120-Sheet1!CG119)*7.48/1000000)</f>
        <v>4.9417368000000024E-2</v>
      </c>
      <c r="J122" s="95" t="s">
        <v>177</v>
      </c>
      <c r="K122" s="94">
        <f ca="1">IF(B122=TODAY(),0,-$K$6*(Sheet1!CH120-Sheet1!CH119)*7.48/1000000)</f>
        <v>9.3286485242418213E-2</v>
      </c>
      <c r="L122" s="95" t="s">
        <v>177</v>
      </c>
      <c r="M122" s="94">
        <f ca="1">IF(B122=TODAY(),0,-$M$6*(Sheet1!CI120-Sheet1!CI119)*7.48/1000000)</f>
        <v>0.17991508428027048</v>
      </c>
      <c r="N122" s="94">
        <f ca="1">IF(B122=TODAY(),0,-$N$6*(Sheet1!CJ120-Sheet1!CJ119)*7.48/1000000)</f>
        <v>0.46539259045967929</v>
      </c>
      <c r="O122" s="94">
        <f t="shared" ca="1" si="30"/>
        <v>0.31144951535165605</v>
      </c>
      <c r="P122" s="94">
        <f ca="1">O122+Calculation!ES122</f>
        <v>10.917114217322311</v>
      </c>
      <c r="Q122" s="89" t="str">
        <f>IF(Sheet1!BQ120&gt;25.75,"spill elevation","-")</f>
        <v>-</v>
      </c>
      <c r="R122" s="89" t="str">
        <f>IF(Sheet1!BQ120&gt;25.75,"spill elevation","-")</f>
        <v>-</v>
      </c>
      <c r="S122" s="89" t="str">
        <f>IF(Sheet1!BR120&gt;25.75,"spill elevation","-")</f>
        <v>-</v>
      </c>
      <c r="T122" s="93">
        <f>IF(Sheet1!DU120=1,Sheet1!AA120-(SUM(AT122:BA122)+BE122),Sheet1!AA120-SUM(AT122:BA122))</f>
        <v>23.882767999999999</v>
      </c>
      <c r="U122" s="93">
        <f>Sheet1!BV120</f>
        <v>27.8</v>
      </c>
      <c r="V122" s="93">
        <f t="shared" si="27"/>
        <v>-3.917232000000002</v>
      </c>
      <c r="W122" s="93">
        <f>0</f>
        <v>0</v>
      </c>
      <c r="X122" s="89">
        <f>0</f>
        <v>0</v>
      </c>
      <c r="Y122" s="94">
        <f ca="1">Calculation!EJ123+Calculation!ES122+'Calculations II'!O122-'Calculations II'!W122</f>
        <v>57.197726263963602</v>
      </c>
      <c r="Z122" s="94">
        <f ca="1">Y122-Sheet1!CT121</f>
        <v>41.147726263963605</v>
      </c>
      <c r="AA122" s="94">
        <f ca="1">Y122+Calculation!DJ123+Calculation!AS123</f>
        <v>68.160353910289885</v>
      </c>
      <c r="AC122" s="94">
        <f>Sheet1!AA120+Sheet1!AB120+BC122</f>
        <v>54.782192000000002</v>
      </c>
      <c r="AD122" s="94">
        <f>Sheet1!AA120+Sheet1!BN120+'Calculations II'!BC122-Calculation!AS122-Calculation!DJ122</f>
        <v>33.225692000000009</v>
      </c>
      <c r="AE122" s="94">
        <f>Sheet1!AA120+Sheet1!AB120+'Calculations II'!BC122-Calculation!AS122-Calculation!DJ122</f>
        <v>43.995692000000005</v>
      </c>
      <c r="AF122" s="94">
        <f ca="1">Sheet1!AA120+Sheet1!BN120+P122+'Calculations II'!BC122+Calculation!AS122+Calculation!DJ122</f>
        <v>65.71580621732231</v>
      </c>
      <c r="AG122" s="94">
        <f ca="1">IF(B122=TODAY(),0,Sheet1!AA120+Sheet1!BN120+'Calculations II'!BC122+'Calculations II'!P122-Sheet1!CT120-BP122)</f>
        <v>28.681208646918005</v>
      </c>
      <c r="AH122" s="94">
        <f ca="1">IF(B122=TODAY(),0,Sheet1!AA120+Sheet1!BN120+'Calculations II'!BC122+'Calculations II'!P122-BP122)</f>
        <v>44.45820864691801</v>
      </c>
      <c r="AI122" s="94">
        <f ca="1">IF(B122=TODAY(),0,BC122+Sheet1!AA120+Calculation!ES122+O122+W122+Sheet1!BN120+Calculation!AS122+Calculation!DJ122-BP122)</f>
        <v>55.244708646917999</v>
      </c>
      <c r="AJ122" s="94"/>
      <c r="AM122" s="90">
        <f t="shared" si="28"/>
        <v>42846</v>
      </c>
      <c r="AN122" s="94">
        <f>Sheet1!BU120</f>
        <v>24.4</v>
      </c>
      <c r="AO122" s="94">
        <f>Sheet1!AA120</f>
        <v>25.64</v>
      </c>
      <c r="AP122" s="94">
        <f t="shared" si="17"/>
        <v>-10.51215</v>
      </c>
      <c r="AQ122" s="1087">
        <f>((Sheet1!BV120-(Sheet1!BU120-AP122))/(Sheet1!BU120-AP122))</f>
        <v>-0.20371561190015502</v>
      </c>
      <c r="AR122" s="94">
        <f t="shared" si="18"/>
        <v>36.152149999999999</v>
      </c>
      <c r="AS122" s="94">
        <f t="shared" si="19"/>
        <v>34.912149999999997</v>
      </c>
      <c r="AT122" s="89">
        <f>Sheet1!BB120</f>
        <v>0</v>
      </c>
      <c r="AU122" s="89">
        <f>Sheet1!AS120*GPMtoMGD</f>
        <v>3.1392000000000003E-2</v>
      </c>
      <c r="AV122" s="94">
        <f>Sheet1!AT120</f>
        <v>0</v>
      </c>
      <c r="AW122" s="89">
        <f>Sheet1!AV120*GPMtoMGD</f>
        <v>0.83952000000000004</v>
      </c>
      <c r="AX122" s="89">
        <f>Sheet1!AW120*GPMtoMGD</f>
        <v>0.88632000000000011</v>
      </c>
      <c r="AY122" s="89">
        <f>Sheet1!AX120*GPMtoMGD</f>
        <v>0</v>
      </c>
      <c r="AZ122" s="89">
        <f>Sheet1!AY120*GPMtoMGD</f>
        <v>0</v>
      </c>
      <c r="BA122" s="89">
        <f>Sheet1!AZ120*GPMtoMGD</f>
        <v>0</v>
      </c>
      <c r="BB122" s="89">
        <f>Sheet1!BP120*GPMtoMGD</f>
        <v>2.8800000000000002E-3</v>
      </c>
      <c r="BC122" s="89">
        <f>Sheet1!CS120*GPMtoMGD</f>
        <v>5.1721920000000008</v>
      </c>
      <c r="BD122" s="89">
        <f>Sheet1!BO120*GPMtoMGD</f>
        <v>1.1884319999999999</v>
      </c>
      <c r="BE122" s="89">
        <f>Sheet1!BW120*GPMtoMGD</f>
        <v>1.1676960000000001</v>
      </c>
      <c r="BF122" s="89">
        <f>Sheet1!CN120*GPMtoMGD</f>
        <v>1.1299680000000001</v>
      </c>
      <c r="BG122" s="89">
        <f>Sheet1!CO120*GPMtoMGD</f>
        <v>0.61084800000000006</v>
      </c>
      <c r="BH122" s="89">
        <f>Sheet1!CP120*GPMtoMGD</f>
        <v>0.65721600000000002</v>
      </c>
      <c r="BI122" s="89">
        <f t="shared" si="29"/>
        <v>1.1913119999999999</v>
      </c>
      <c r="BK122" s="94">
        <f>SUM(AT122:BA122,AS122,BC122,Calculation!AQ122)</f>
        <v>55.025074000000004</v>
      </c>
      <c r="BM122" s="358">
        <f>0</f>
        <v>0</v>
      </c>
      <c r="BN122" s="358">
        <f>0</f>
        <v>0</v>
      </c>
      <c r="BP122" s="94">
        <f>SUM(BM122:BN122,W122,Sheet1!DX120)</f>
        <v>10.471097570404314</v>
      </c>
      <c r="BR122" s="94">
        <f>Sheet1!AA120</f>
        <v>25.64</v>
      </c>
      <c r="BS122" s="94">
        <f>Sheet1!AB120</f>
        <v>23.97</v>
      </c>
      <c r="BT122" s="94">
        <f t="shared" ca="1" si="20"/>
        <v>10.917114217322311</v>
      </c>
      <c r="BU122" s="94">
        <f>Sheet1!AT120</f>
        <v>0</v>
      </c>
      <c r="BV122" s="89">
        <f>Sheet1!BB120</f>
        <v>0</v>
      </c>
      <c r="BW122" s="94">
        <f>Calculation!ED122</f>
        <v>10.7865</v>
      </c>
      <c r="BX122" s="94">
        <f>(Sheet1!CS120*1440)/1000000</f>
        <v>5.1721919999999999</v>
      </c>
      <c r="CA122" s="94">
        <f ca="1">Sheet1!AC120-Sheet1!BK120-Sheet1!BL120-Sheet1!BM120-Sheet1!BC120-Sheet1!BD120-Sheet1!BE120-Sheet1!BF120-Sheet1!BG120-Sheet1!BH120-Sheet1!BI120+BC122+P122</f>
        <v>54.899306217322305</v>
      </c>
      <c r="CB122" s="93">
        <f t="shared" si="21"/>
        <v>60.059954499999989</v>
      </c>
      <c r="CC122" s="94">
        <f t="shared" si="22"/>
        <v>0</v>
      </c>
      <c r="CD122" s="94">
        <f t="shared" ca="1" si="23"/>
        <v>65.685806217322309</v>
      </c>
      <c r="CE122" s="1077">
        <f t="shared" ca="1" si="24"/>
        <v>101.6159422181976</v>
      </c>
      <c r="CG122" s="1077">
        <f t="shared" ca="1" si="25"/>
        <v>44.428208646917994</v>
      </c>
    </row>
    <row r="123" spans="1:85" s="89" customFormat="1" x14ac:dyDescent="0.25">
      <c r="A123" s="616" t="s">
        <v>9</v>
      </c>
      <c r="B123" s="91">
        <v>42847</v>
      </c>
      <c r="C123" s="92">
        <v>0</v>
      </c>
      <c r="D123" s="94">
        <f>(Sheet1!BQ121-Sheet1!BQ120)*1.385</f>
        <v>2.8808000000000025</v>
      </c>
      <c r="E123" s="30">
        <f>(Sheet1!BR121-Sheet1!BR120)*1.385</f>
        <v>-0.95565000000000055</v>
      </c>
      <c r="F123" s="30">
        <f ca="1">IF(B123=TODAY(),0,-(VLOOKUP(Sheet1!CD121,Lookup!$I$4:$J$216,2)-VLOOKUP(Sheet1!CD120,Lookup!$I$4:$J$216,2))/1000000)</f>
        <v>1.3472802011213991</v>
      </c>
      <c r="G123" s="94">
        <f ca="1">IF(B123=TODAY(),0,-$G$6*(Sheet1!CF121-Sheet1!CF120)*7.48/1000000)</f>
        <v>0.43684851157815285</v>
      </c>
      <c r="H123" s="94">
        <f ca="1">IF(B123=TODAY(),0,-$H$6*(Sheet1!CE121-Sheet1!CE120)*7.48/1000000)</f>
        <v>0</v>
      </c>
      <c r="I123" s="94">
        <f ca="1">IF(B123=TODAY(),0,-$I$6*(Sheet1!CG121-Sheet1!CG120)*7.48/1000000)</f>
        <v>4.4924879999999837E-3</v>
      </c>
      <c r="J123" s="95" t="s">
        <v>177</v>
      </c>
      <c r="K123" s="94">
        <f ca="1">IF(B123=TODAY(),0,-$K$6*(Sheet1!CH121-Sheet1!CH120)*7.48/1000000)</f>
        <v>1.3326640748916837E-2</v>
      </c>
      <c r="L123" s="95" t="s">
        <v>177</v>
      </c>
      <c r="M123" s="94">
        <f ca="1">IF(B123=TODAY(),0,-$M$6*(Sheet1!CI121-Sheet1!CI120)*7.48/1000000)</f>
        <v>1.7991508428027301E-2</v>
      </c>
      <c r="N123" s="94">
        <f ca="1">IF(B123=TODAY(),0,-$N$6*(Sheet1!CJ121-Sheet1!CJ120)*7.48/1000000)</f>
        <v>0.56467634309107761</v>
      </c>
      <c r="O123" s="94">
        <f t="shared" ca="1" si="30"/>
        <v>2.3846156929675737</v>
      </c>
      <c r="P123" s="94">
        <f ca="1">O123+Calculation!ES123</f>
        <v>0.30341280545859206</v>
      </c>
      <c r="Q123" s="89" t="str">
        <f>IF(Sheet1!BQ121&gt;25.75,"spill elevation","-")</f>
        <v>-</v>
      </c>
      <c r="R123" s="89" t="str">
        <f>IF(Sheet1!BQ121&gt;25.75,"spill elevation","-")</f>
        <v>-</v>
      </c>
      <c r="S123" s="89" t="str">
        <f>IF(Sheet1!BR121&gt;25.75,"spill elevation","-")</f>
        <v>-</v>
      </c>
      <c r="T123" s="93">
        <f>IF(Sheet1!DU121=1,Sheet1!AA121-(SUM(AT123:BA123)+BE123),Sheet1!AA121-SUM(AT123:BA123))</f>
        <v>24.860655999999999</v>
      </c>
      <c r="U123" s="93">
        <f>Sheet1!BV121</f>
        <v>25.2</v>
      </c>
      <c r="V123" s="93">
        <f t="shared" si="27"/>
        <v>-0.33934400000000053</v>
      </c>
      <c r="W123" s="93">
        <f>0</f>
        <v>0</v>
      </c>
      <c r="X123" s="89">
        <f>0</f>
        <v>0</v>
      </c>
      <c r="Y123" s="94">
        <f ca="1">Calculation!EJ124+Calculation!ES123+'Calculations II'!O123-'Calculations II'!W123</f>
        <v>43.762740096457847</v>
      </c>
      <c r="Z123" s="94">
        <f ca="1">Y123-Sheet1!CT122</f>
        <v>27.081740096457846</v>
      </c>
      <c r="AA123" s="94">
        <f ca="1">Y123+Calculation!DJ124+Calculation!AS124</f>
        <v>54.71709694293088</v>
      </c>
      <c r="AC123" s="94">
        <f>Sheet1!AA121+Sheet1!AB121+BC123</f>
        <v>54.819279999999999</v>
      </c>
      <c r="AD123" s="94">
        <f>Sheet1!AA121+Sheet1!BN121+'Calculations II'!BC123-Calculation!AS123-Calculation!DJ123</f>
        <v>32.926652353673724</v>
      </c>
      <c r="AE123" s="94">
        <f>Sheet1!AA121+Sheet1!AB121+'Calculations II'!BC123-Calculation!AS123-Calculation!DJ123</f>
        <v>43.856652353673724</v>
      </c>
      <c r="AF123" s="94">
        <f ca="1">Sheet1!AA121+Sheet1!BN121+P123+'Calculations II'!BC123+Calculation!AS123+Calculation!DJ123</f>
        <v>55.155320451784867</v>
      </c>
      <c r="AG123" s="94">
        <f ca="1">IF(B123=TODAY(),0,Sheet1!AA121+Sheet1!BN121+'Calculations II'!BC123+'Calculations II'!P123-Sheet1!CT121-BP123)</f>
        <v>27.317599089740742</v>
      </c>
      <c r="AH123" s="94">
        <f ca="1">IF(B123=TODAY(),0,Sheet1!AA121+Sheet1!BN121+'Calculations II'!BC123+'Calculations II'!P123-BP123)</f>
        <v>43.367599089740743</v>
      </c>
      <c r="AI123" s="94">
        <f ca="1">IF(B123=TODAY(),0,BC123+Sheet1!AA121+Calculation!ES123+O123+W123+Sheet1!BN121+Calculation!AS123+Calculation!DJ123-BP123)</f>
        <v>54.330226736067019</v>
      </c>
      <c r="AJ123" s="94"/>
      <c r="AM123" s="90">
        <f t="shared" si="28"/>
        <v>42847</v>
      </c>
      <c r="AN123" s="94">
        <f>Sheet1!BU121</f>
        <v>24.9</v>
      </c>
      <c r="AO123" s="94">
        <f>Sheet1!AA121</f>
        <v>25.66</v>
      </c>
      <c r="AP123" s="94">
        <f t="shared" si="17"/>
        <v>1.9251500000000019</v>
      </c>
      <c r="AQ123" s="1087">
        <f>((Sheet1!BV121-(Sheet1!BU121-AP123))/(Sheet1!BU121-AP123))</f>
        <v>9.6851557246293365E-2</v>
      </c>
      <c r="AR123" s="94">
        <f t="shared" si="18"/>
        <v>23.734849999999998</v>
      </c>
      <c r="AS123" s="94">
        <f t="shared" si="19"/>
        <v>22.974849999999996</v>
      </c>
      <c r="AT123" s="89">
        <f>Sheet1!BB121</f>
        <v>0</v>
      </c>
      <c r="AU123" s="89">
        <f>Sheet1!AS121*GPMtoMGD</f>
        <v>1.6128E-2</v>
      </c>
      <c r="AV123" s="94">
        <f>Sheet1!AT121</f>
        <v>0</v>
      </c>
      <c r="AW123" s="89">
        <f>Sheet1!AV121*GPMtoMGD</f>
        <v>0.309888</v>
      </c>
      <c r="AX123" s="89">
        <f>Sheet1!AW121*GPMtoMGD</f>
        <v>0.47332800000000003</v>
      </c>
      <c r="AY123" s="89">
        <f>Sheet1!AX121*GPMtoMGD</f>
        <v>0</v>
      </c>
      <c r="AZ123" s="89">
        <f>Sheet1!AY121*GPMtoMGD</f>
        <v>0</v>
      </c>
      <c r="BA123" s="89">
        <f>Sheet1!AZ121*GPMtoMGD</f>
        <v>0</v>
      </c>
      <c r="BB123" s="89">
        <f>Sheet1!BP121*GPMtoMGD</f>
        <v>2.8800000000000002E-3</v>
      </c>
      <c r="BC123" s="89">
        <f>Sheet1!CS121*GPMtoMGD</f>
        <v>5.1292800000000005</v>
      </c>
      <c r="BD123" s="89">
        <f>Sheet1!BO121*GPMtoMGD</f>
        <v>1.49472</v>
      </c>
      <c r="BE123" s="89">
        <f>Sheet1!BW121*GPMtoMGD</f>
        <v>0.86428800000000017</v>
      </c>
      <c r="BF123" s="89">
        <f>Sheet1!CN121*GPMtoMGD</f>
        <v>1.264032</v>
      </c>
      <c r="BG123" s="89">
        <f>Sheet1!CO121*GPMtoMGD</f>
        <v>0.63561599999999996</v>
      </c>
      <c r="BH123" s="89">
        <f>Sheet1!CP121*GPMtoMGD</f>
        <v>0.64569600000000005</v>
      </c>
      <c r="BI123" s="89">
        <f t="shared" si="29"/>
        <v>1.4976</v>
      </c>
      <c r="BK123" s="94">
        <f>SUM(AT123:BA123,AS123,BC123,Calculation!AQ123)</f>
        <v>41.970846353673721</v>
      </c>
      <c r="BM123" s="358">
        <f>0</f>
        <v>0</v>
      </c>
      <c r="BN123" s="358">
        <f>0</f>
        <v>0</v>
      </c>
      <c r="BP123" s="94">
        <f>SUM(BM123:BN123,W123,Sheet1!DX121)</f>
        <v>0.82509371571784751</v>
      </c>
      <c r="BR123" s="94">
        <f>Sheet1!AA121</f>
        <v>25.66</v>
      </c>
      <c r="BS123" s="94">
        <f>Sheet1!AB121</f>
        <v>24.03</v>
      </c>
      <c r="BT123" s="94">
        <f t="shared" ca="1" si="20"/>
        <v>0.30341280545859206</v>
      </c>
      <c r="BU123" s="94">
        <f>Sheet1!AT121</f>
        <v>0</v>
      </c>
      <c r="BV123" s="89">
        <f>Sheet1!BB121</f>
        <v>0</v>
      </c>
      <c r="BW123" s="94">
        <f>Calculation!ED123</f>
        <v>10.962627646326277</v>
      </c>
      <c r="BX123" s="94">
        <f>(Sheet1!CS121*1440)/1000000</f>
        <v>5.1292799999999996</v>
      </c>
      <c r="CA123" s="94">
        <f ca="1">Sheet1!AC121-Sheet1!BK121-Sheet1!BL121-Sheet1!BM121-Sheet1!BC121-Sheet1!BD121-Sheet1!BE121-Sheet1!BF121-Sheet1!BG121-Sheet1!BH121-Sheet1!BI121+BC123+P123</f>
        <v>44.132692805458589</v>
      </c>
      <c r="CB123" s="93">
        <f t="shared" si="21"/>
        <v>59.911245031133248</v>
      </c>
      <c r="CC123" s="94">
        <f t="shared" si="22"/>
        <v>0</v>
      </c>
      <c r="CD123" s="94">
        <f t="shared" ca="1" si="23"/>
        <v>55.095320451784865</v>
      </c>
      <c r="CE123" s="1077">
        <f t="shared" ca="1" si="24"/>
        <v>85.232460738911186</v>
      </c>
      <c r="CG123" s="1077">
        <f t="shared" ca="1" si="25"/>
        <v>43.307599089740741</v>
      </c>
    </row>
    <row r="124" spans="1:85" s="89" customFormat="1" x14ac:dyDescent="0.25">
      <c r="A124" s="616" t="s">
        <v>3</v>
      </c>
      <c r="B124" s="91">
        <v>42848</v>
      </c>
      <c r="C124" s="92">
        <v>0</v>
      </c>
      <c r="D124" s="94">
        <f>(Sheet1!BQ122-Sheet1!BQ121)*1.385</f>
        <v>-1.8558999999999999</v>
      </c>
      <c r="E124" s="30">
        <f>(Sheet1!BR122-Sheet1!BR121)*1.385</f>
        <v>-0.23544999999999991</v>
      </c>
      <c r="F124" s="30">
        <f ca="1">IF(B124=TODAY(),0,-(VLOOKUP(Sheet1!CD122,Lookup!$I$4:$J$216,2)-VLOOKUP(Sheet1!CD121,Lookup!$I$4:$J$216,2))/1000000)</f>
        <v>-0.20727387709559872</v>
      </c>
      <c r="G124" s="94">
        <f ca="1">IF(B124=TODAY(),0,-$G$6*(Sheet1!CF122-Sheet1!CF121)*7.48/1000000)</f>
        <v>0.15885400421023663</v>
      </c>
      <c r="H124" s="94">
        <f ca="1">IF(B124=TODAY(),0,-$H$6*(Sheet1!CE122-Sheet1!CE121)*7.48/1000000)</f>
        <v>0</v>
      </c>
      <c r="I124" s="94">
        <f ca="1">IF(B124=TODAY(),0,-$I$6*(Sheet1!CG122-Sheet1!CG121)*7.48/1000000)</f>
        <v>-3.5939903999999995E-2</v>
      </c>
      <c r="J124" s="95" t="s">
        <v>177</v>
      </c>
      <c r="K124" s="94">
        <f ca="1">IF(B124=TODAY(),0,-$K$6*(Sheet1!CH122-Sheet1!CH121)*7.48/1000000)</f>
        <v>-6.6633203744584424E-2</v>
      </c>
      <c r="L124" s="95" t="s">
        <v>177</v>
      </c>
      <c r="M124" s="94">
        <f ca="1">IF(B124=TODAY(),0,-$M$6*(Sheet1!CI122-Sheet1!CI121)*7.48/1000000)</f>
        <v>-0.14393206742421652</v>
      </c>
      <c r="N124" s="94">
        <f ca="1">IF(B124=TODAY(),0,-$N$6*(Sheet1!CJ122-Sheet1!CJ121)*7.48/1000000)</f>
        <v>-7.4462814473549299E-2</v>
      </c>
      <c r="O124" s="94">
        <f t="shared" ca="1" si="30"/>
        <v>-0.36938786252771233</v>
      </c>
      <c r="P124" s="94">
        <f ca="1">O124+Calculation!ES124</f>
        <v>1.7048962253744631</v>
      </c>
      <c r="Q124" s="89" t="str">
        <f>IF(Sheet1!BQ122&gt;25.75,"spill elevation","-")</f>
        <v>-</v>
      </c>
      <c r="R124" s="89" t="str">
        <f>IF(Sheet1!BQ122&gt;25.75,"spill elevation","-")</f>
        <v>-</v>
      </c>
      <c r="S124" s="89" t="str">
        <f>IF(Sheet1!BR122&gt;25.75,"spill elevation","-")</f>
        <v>-</v>
      </c>
      <c r="T124" s="93">
        <f>IF(Sheet1!DU122=1,Sheet1!AA122-(SUM(AT124:BA124)+BE124),Sheet1!AA122-SUM(AT124:BA124))</f>
        <v>24.640304</v>
      </c>
      <c r="U124" s="93">
        <f>Sheet1!BV122</f>
        <v>30.4</v>
      </c>
      <c r="V124" s="93">
        <f t="shared" si="27"/>
        <v>-5.7596959999999982</v>
      </c>
      <c r="W124" s="93">
        <f>0</f>
        <v>0</v>
      </c>
      <c r="X124" s="89">
        <f>0</f>
        <v>0</v>
      </c>
      <c r="Y124" s="94">
        <f ca="1">Calculation!EJ125+Calculation!ES124+'Calculations II'!O124-'Calculations II'!W124</f>
        <v>45.259923710057194</v>
      </c>
      <c r="Z124" s="94">
        <f ca="1">Y124-Sheet1!CT123</f>
        <v>29.532923710057194</v>
      </c>
      <c r="AA124" s="94">
        <f ca="1">Y124+Calculation!DJ125+Calculation!AS125</f>
        <v>55.998927254759835</v>
      </c>
      <c r="AC124" s="94">
        <f>Sheet1!AA122+Sheet1!AB122+BC124</f>
        <v>54.823376000000003</v>
      </c>
      <c r="AD124" s="94">
        <f>Sheet1!AA122+Sheet1!BN122+'Calculations II'!BC124-Calculation!AS124-Calculation!DJ124</f>
        <v>32.969019153526972</v>
      </c>
      <c r="AE124" s="94">
        <f>Sheet1!AA122+Sheet1!AB122+'Calculations II'!BC124-Calculation!AS124-Calculation!DJ124</f>
        <v>43.869019153526978</v>
      </c>
      <c r="AF124" s="94">
        <f ca="1">Sheet1!AA122+Sheet1!BN122+P124+'Calculations II'!BC124+Calculation!AS124+Calculation!DJ124</f>
        <v>56.582629071847492</v>
      </c>
      <c r="AG124" s="94">
        <f ca="1">IF(B124=TODAY(),0,Sheet1!AA122+Sheet1!BN122+'Calculations II'!BC124+'Calculations II'!P124-Sheet1!CT122-BP124)</f>
        <v>28.672457245652318</v>
      </c>
      <c r="AH124" s="94">
        <f ca="1">IF(B124=TODAY(),0,Sheet1!AA122+Sheet1!BN122+'Calculations II'!BC124+'Calculations II'!P124-BP124)</f>
        <v>45.353457245652322</v>
      </c>
      <c r="AI124" s="94">
        <f ca="1">IF(B124=TODAY(),0,BC124+Sheet1!AA122+Calculation!ES124+O124+W124+Sheet1!BN122+Calculation!AS124+Calculation!DJ124-BP124)</f>
        <v>56.307814092125355</v>
      </c>
      <c r="AJ124" s="94"/>
      <c r="AM124" s="90">
        <f t="shared" si="28"/>
        <v>42848</v>
      </c>
      <c r="AN124" s="94">
        <f>Sheet1!BU122</f>
        <v>24.6</v>
      </c>
      <c r="AO124" s="94">
        <f>Sheet1!AA122</f>
        <v>25.7</v>
      </c>
      <c r="AP124" s="94">
        <f t="shared" si="17"/>
        <v>-2.0913499999999998</v>
      </c>
      <c r="AQ124" s="1087">
        <f>((Sheet1!BV122-(Sheet1!BU122-AP124))/(Sheet1!BU122-AP124))</f>
        <v>0.13894576332781963</v>
      </c>
      <c r="AR124" s="94">
        <f t="shared" si="18"/>
        <v>27.791349999999998</v>
      </c>
      <c r="AS124" s="94">
        <f t="shared" si="19"/>
        <v>26.69135</v>
      </c>
      <c r="AT124" s="89">
        <f>Sheet1!BB122</f>
        <v>0</v>
      </c>
      <c r="AU124" s="89">
        <f>Sheet1!AS122*GPMtoMGD</f>
        <v>3.2544000000000003E-2</v>
      </c>
      <c r="AV124" s="94">
        <f>Sheet1!AT122</f>
        <v>0</v>
      </c>
      <c r="AW124" s="89">
        <f>Sheet1!AV122*GPMtoMGD</f>
        <v>0.45345599999999997</v>
      </c>
      <c r="AX124" s="89">
        <f>Sheet1!AW122*GPMtoMGD</f>
        <v>0.57369599999999998</v>
      </c>
      <c r="AY124" s="89">
        <f>Sheet1!AX122*GPMtoMGD</f>
        <v>0</v>
      </c>
      <c r="AZ124" s="89">
        <f>Sheet1!AY122*GPMtoMGD</f>
        <v>0</v>
      </c>
      <c r="BA124" s="89">
        <f>Sheet1!AZ122*GPMtoMGD</f>
        <v>0</v>
      </c>
      <c r="BB124" s="89">
        <f>Sheet1!BP122*GPMtoMGD</f>
        <v>2.8800000000000002E-3</v>
      </c>
      <c r="BC124" s="89">
        <f>Sheet1!CS122*GPMtoMGD</f>
        <v>5.1233760000000004</v>
      </c>
      <c r="BD124" s="89">
        <f>Sheet1!BO122*GPMtoMGD</f>
        <v>1.8149760000000001</v>
      </c>
      <c r="BE124" s="89">
        <f>Sheet1!BW122*GPMtoMGD</f>
        <v>1.068624</v>
      </c>
      <c r="BF124" s="89">
        <f>Sheet1!CN122*GPMtoMGD</f>
        <v>1.4844960000000003</v>
      </c>
      <c r="BG124" s="89">
        <f>Sheet1!CO122*GPMtoMGD</f>
        <v>0.66225599999999996</v>
      </c>
      <c r="BH124" s="89">
        <f>Sheet1!CP122*GPMtoMGD</f>
        <v>0.68184</v>
      </c>
      <c r="BI124" s="89">
        <f t="shared" si="29"/>
        <v>1.8178560000000001</v>
      </c>
      <c r="BK124" s="94">
        <f>SUM(AT124:BA124,AS124,BC124,Calculation!AQ124)</f>
        <v>45.920065153526963</v>
      </c>
      <c r="BM124" s="358">
        <f>0</f>
        <v>0</v>
      </c>
      <c r="BN124" s="358">
        <f>0</f>
        <v>0</v>
      </c>
      <c r="BP124" s="94">
        <f>SUM(BM124:BN124,W124,Sheet1!DX122)</f>
        <v>0.27481497972214036</v>
      </c>
      <c r="BR124" s="94">
        <f>Sheet1!AA122</f>
        <v>25.7</v>
      </c>
      <c r="BS124" s="94">
        <f>Sheet1!AB122</f>
        <v>24</v>
      </c>
      <c r="BT124" s="94">
        <f t="shared" ca="1" si="20"/>
        <v>1.7048962253744631</v>
      </c>
      <c r="BU124" s="94">
        <f>Sheet1!AT122</f>
        <v>0</v>
      </c>
      <c r="BV124" s="89">
        <f>Sheet1!BB122</f>
        <v>0</v>
      </c>
      <c r="BW124" s="94">
        <f>Calculation!ED124</f>
        <v>10.954356846473029</v>
      </c>
      <c r="BX124" s="94">
        <f>(Sheet1!CS122*1440)/1000000</f>
        <v>5.1233760000000004</v>
      </c>
      <c r="CA124" s="94">
        <f ca="1">Sheet1!AC122-Sheet1!BK122-Sheet1!BL122-Sheet1!BM122-Sheet1!BC122-Sheet1!BD122-Sheet1!BE122-Sheet1!BF122-Sheet1!BG122-Sheet1!BH122-Sheet1!BI122+BC124+P124</f>
        <v>45.528272225374465</v>
      </c>
      <c r="CB124" s="93">
        <f t="shared" si="21"/>
        <v>59.939509958506221</v>
      </c>
      <c r="CC124" s="94">
        <f t="shared" si="22"/>
        <v>0</v>
      </c>
      <c r="CD124" s="94">
        <f t="shared" ca="1" si="23"/>
        <v>56.482629071847498</v>
      </c>
      <c r="CE124" s="1077">
        <f t="shared" ca="1" si="24"/>
        <v>87.378627174148079</v>
      </c>
      <c r="CG124" s="1077">
        <f t="shared" ca="1" si="25"/>
        <v>45.253457245652328</v>
      </c>
    </row>
    <row r="125" spans="1:85" s="89" customFormat="1" x14ac:dyDescent="0.25">
      <c r="A125" s="616" t="s">
        <v>4</v>
      </c>
      <c r="B125" s="91">
        <v>42849</v>
      </c>
      <c r="C125" s="92">
        <v>0</v>
      </c>
      <c r="D125" s="94">
        <f>(Sheet1!BQ123-Sheet1!BQ122)*1.385</f>
        <v>-0.77560000000000318</v>
      </c>
      <c r="E125" s="30">
        <f>(Sheet1!BR123-Sheet1!BR122)*1.385</f>
        <v>-4.9306000000000001</v>
      </c>
      <c r="F125" s="30">
        <f ca="1">IF(B125=TODAY(),0,-(VLOOKUP(Sheet1!CD123,Lookup!$I$4:$J$216,2)-VLOOKUP(Sheet1!CD122,Lookup!$I$4:$J$216,2))/1000000)</f>
        <v>-0.62182163128680368</v>
      </c>
      <c r="G125" s="94">
        <f ca="1">IF(B125=TODAY(),0,-$G$6*(Sheet1!CF123-Sheet1!CF122)*7.48/1000000)</f>
        <v>-0.87369702315630426</v>
      </c>
      <c r="H125" s="94">
        <f ca="1">IF(B125=TODAY(),0,-$H$6*(Sheet1!CE123-Sheet1!CE122)*7.48/1000000)</f>
        <v>0</v>
      </c>
      <c r="I125" s="94">
        <f ca="1">IF(B125=TODAY(),0,-$I$6*(Sheet1!CG123-Sheet1!CG122)*7.48/1000000)</f>
        <v>4.4924879999999837E-3</v>
      </c>
      <c r="J125" s="95" t="s">
        <v>177</v>
      </c>
      <c r="K125" s="94">
        <f ca="1">IF(B125=TODAY(),0,-$K$6*(Sheet1!CH123-Sheet1!CH122)*7.48/1000000)</f>
        <v>6.6633203744584186E-3</v>
      </c>
      <c r="L125" s="95" t="s">
        <v>177</v>
      </c>
      <c r="M125" s="94">
        <f ca="1">IF(B125=TODAY(),0,-$M$6*(Sheet1!CI123-Sheet1!CI122)*7.48/1000000)</f>
        <v>-1.7991508428026663E-2</v>
      </c>
      <c r="N125" s="94">
        <f ca="1">IF(B125=TODAY(),0,-$N$6*(Sheet1!CJ123-Sheet1!CJ122)*7.48/1000000)</f>
        <v>-0.25441461611795807</v>
      </c>
      <c r="O125" s="94">
        <f t="shared" ca="1" si="30"/>
        <v>-1.7567689706146343</v>
      </c>
      <c r="P125" s="94">
        <f ca="1">O125+Calculation!ES125</f>
        <v>3.2074592922491778</v>
      </c>
      <c r="Q125" s="89" t="str">
        <f>IF(Sheet1!BQ123&gt;25.75,"spill elevation","-")</f>
        <v>-</v>
      </c>
      <c r="R125" s="89" t="str">
        <f>IF(Sheet1!BQ123&gt;25.75,"spill elevation","-")</f>
        <v>-</v>
      </c>
      <c r="S125" s="89" t="str">
        <f>IF(Sheet1!BR123&gt;25.75,"spill elevation","-")</f>
        <v>-</v>
      </c>
      <c r="T125" s="93">
        <f>IF(Sheet1!DU123=1,Sheet1!AA123-(SUM(AT125:BA125)+BE125),Sheet1!AA123-SUM(AT125:BA125))</f>
        <v>24.138544000000003</v>
      </c>
      <c r="U125" s="93">
        <f>Sheet1!BV123</f>
        <v>28.5</v>
      </c>
      <c r="V125" s="93">
        <f t="shared" si="27"/>
        <v>-4.3614559999999969</v>
      </c>
      <c r="W125" s="93">
        <f>0</f>
        <v>0</v>
      </c>
      <c r="X125" s="89">
        <f>0</f>
        <v>0</v>
      </c>
      <c r="Y125" s="94">
        <f ca="1">Calculation!EJ126+Calculation!ES125+'Calculations II'!O125-'Calculations II'!W125</f>
        <v>50.456199141335141</v>
      </c>
      <c r="Z125" s="94">
        <f ca="1">Y125-Sheet1!CT124</f>
        <v>35.00219914133514</v>
      </c>
      <c r="AA125" s="94">
        <f ca="1">Y125+Calculation!DJ126+Calculation!AS126</f>
        <v>60.904111313908331</v>
      </c>
      <c r="AC125" s="94">
        <f>Sheet1!AA123+Sheet1!AB123+BC125</f>
        <v>55.989344000000003</v>
      </c>
      <c r="AD125" s="94">
        <f>Sheet1!AA123+Sheet1!BN123+'Calculations II'!BC125-Calculation!AS125-Calculation!DJ125</f>
        <v>34.58034045529736</v>
      </c>
      <c r="AE125" s="94">
        <f>Sheet1!AA123+Sheet1!AB123+'Calculations II'!BC125-Calculation!AS125-Calculation!DJ125</f>
        <v>45.250340455297362</v>
      </c>
      <c r="AF125" s="94">
        <f ca="1">Sheet1!AA123+Sheet1!BN123+P125+'Calculations II'!BC125+Calculation!AS125+Calculation!DJ125</f>
        <v>59.265806836951818</v>
      </c>
      <c r="AG125" s="94">
        <f ca="1">IF(B125=TODAY(),0,Sheet1!AA123+Sheet1!BN123+'Calculations II'!BC125+'Calculations II'!P125-Sheet1!CT123-BP125)</f>
        <v>28.665734081481713</v>
      </c>
      <c r="AH125" s="94">
        <f ca="1">IF(B125=TODAY(),0,Sheet1!AA123+Sheet1!BN123+'Calculations II'!BC125+'Calculations II'!P125-BP125)</f>
        <v>44.392734081481706</v>
      </c>
      <c r="AI125" s="94">
        <f ca="1">IF(B125=TODAY(),0,BC125+Sheet1!AA123+Calculation!ES125+O125+W125+Sheet1!BN123+Calculation!AS125+Calculation!DJ125-BP125)</f>
        <v>55.131737626184346</v>
      </c>
      <c r="AJ125" s="94"/>
      <c r="AM125" s="90">
        <f t="shared" si="28"/>
        <v>42849</v>
      </c>
      <c r="AN125" s="94">
        <f>Sheet1!BU123</f>
        <v>24.2</v>
      </c>
      <c r="AO125" s="94">
        <f>Sheet1!AA123</f>
        <v>25.6</v>
      </c>
      <c r="AP125" s="94">
        <f t="shared" si="17"/>
        <v>-5.7062000000000035</v>
      </c>
      <c r="AQ125" s="1087">
        <f>((Sheet1!BV123-(Sheet1!BU123-AP125))/(Sheet1!BU123-AP125))</f>
        <v>-4.7020350295256565E-2</v>
      </c>
      <c r="AR125" s="94">
        <f t="shared" si="18"/>
        <v>31.306200000000004</v>
      </c>
      <c r="AS125" s="94">
        <f t="shared" si="19"/>
        <v>29.906200000000002</v>
      </c>
      <c r="AT125" s="89">
        <f>Sheet1!BB123</f>
        <v>0</v>
      </c>
      <c r="AU125" s="89">
        <f>Sheet1!AS123*GPMtoMGD</f>
        <v>1.5696000000000002E-2</v>
      </c>
      <c r="AV125" s="94">
        <f>Sheet1!AT123</f>
        <v>0</v>
      </c>
      <c r="AW125" s="89">
        <f>Sheet1!AV123*GPMtoMGD</f>
        <v>0.61732799999999999</v>
      </c>
      <c r="AX125" s="89">
        <f>Sheet1!AW123*GPMtoMGD</f>
        <v>0.82843199999999995</v>
      </c>
      <c r="AY125" s="89">
        <f>Sheet1!AX123*GPMtoMGD</f>
        <v>0</v>
      </c>
      <c r="AZ125" s="89">
        <f>Sheet1!AY123*GPMtoMGD</f>
        <v>0</v>
      </c>
      <c r="BA125" s="89">
        <f>Sheet1!AZ123*GPMtoMGD</f>
        <v>0</v>
      </c>
      <c r="BB125" s="89">
        <f>Sheet1!BP123*GPMtoMGD</f>
        <v>2.8800000000000002E-3</v>
      </c>
      <c r="BC125" s="89">
        <f>Sheet1!CS123*GPMtoMGD</f>
        <v>5.1193439999999999</v>
      </c>
      <c r="BD125" s="89">
        <f>Sheet1!BO123*GPMtoMGD</f>
        <v>1.489392</v>
      </c>
      <c r="BE125" s="89">
        <f>Sheet1!BW123*GPMtoMGD</f>
        <v>1.0700640000000001</v>
      </c>
      <c r="BF125" s="89">
        <f>Sheet1!CN123*GPMtoMGD</f>
        <v>1.2585600000000001</v>
      </c>
      <c r="BG125" s="89">
        <f>Sheet1!CO123*GPMtoMGD</f>
        <v>0.59155200000000008</v>
      </c>
      <c r="BH125" s="89">
        <f>Sheet1!CP123*GPMtoMGD</f>
        <v>0.71856000000000009</v>
      </c>
      <c r="BI125" s="89">
        <f t="shared" si="29"/>
        <v>1.492272</v>
      </c>
      <c r="BK125" s="94">
        <f>SUM(AT125:BA125,AS125,BC125,Calculation!AQ125)</f>
        <v>51.017996455297364</v>
      </c>
      <c r="BM125" s="358">
        <f>0</f>
        <v>0</v>
      </c>
      <c r="BN125" s="358">
        <f>0</f>
        <v>0</v>
      </c>
      <c r="BP125" s="94">
        <f>SUM(BM125:BN125,W125,Sheet1!DX123)</f>
        <v>4.1340692107674677</v>
      </c>
      <c r="BR125" s="94">
        <f>Sheet1!AA123</f>
        <v>25.6</v>
      </c>
      <c r="BS125" s="94">
        <f>Sheet1!AB123</f>
        <v>25.27</v>
      </c>
      <c r="BT125" s="94">
        <f t="shared" ca="1" si="20"/>
        <v>3.2074592922491778</v>
      </c>
      <c r="BU125" s="94">
        <f>Sheet1!AT123</f>
        <v>0</v>
      </c>
      <c r="BV125" s="89">
        <f>Sheet1!BB123</f>
        <v>0</v>
      </c>
      <c r="BW125" s="94">
        <f>Calculation!ED125</f>
        <v>10.739003544702639</v>
      </c>
      <c r="BX125" s="94">
        <f>(Sheet1!CS123*1440)/1000000</f>
        <v>5.1193439999999999</v>
      </c>
      <c r="CA125" s="94">
        <f ca="1">Sheet1!AC123-Sheet1!BK123-Sheet1!BL123-Sheet1!BM123-Sheet1!BC123-Sheet1!BD123-Sheet1!BE123-Sheet1!BF123-Sheet1!BG123-Sheet1!BH123-Sheet1!BI123+BC125+P125</f>
        <v>48.406803292249172</v>
      </c>
      <c r="CB125" s="93">
        <f t="shared" si="21"/>
        <v>62.082651516345017</v>
      </c>
      <c r="CC125" s="94">
        <f t="shared" si="22"/>
        <v>0</v>
      </c>
      <c r="CD125" s="94">
        <f t="shared" ca="1" si="23"/>
        <v>59.145806836951813</v>
      </c>
      <c r="CE125" s="1077">
        <f t="shared" ca="1" si="24"/>
        <v>91.498563176764449</v>
      </c>
      <c r="CG125" s="1077">
        <f t="shared" ca="1" si="25"/>
        <v>44.272734081481701</v>
      </c>
    </row>
    <row r="126" spans="1:85" s="89" customFormat="1" x14ac:dyDescent="0.25">
      <c r="A126" s="616" t="s">
        <v>5</v>
      </c>
      <c r="B126" s="91">
        <v>42850</v>
      </c>
      <c r="C126" s="92">
        <v>0</v>
      </c>
      <c r="D126" s="94">
        <f>(Sheet1!BQ124-Sheet1!BQ123)*1.385</f>
        <v>3.5317500000000011</v>
      </c>
      <c r="E126" s="30">
        <f>(Sheet1!BR124-Sheet1!BR123)*1.385</f>
        <v>-9.6949999999999939E-2</v>
      </c>
      <c r="F126" s="30">
        <f ca="1">IF(B126=TODAY(),0,-(VLOOKUP(Sheet1!CD124,Lookup!$I$4:$J$216,2)-VLOOKUP(Sheet1!CD123,Lookup!$I$4:$J$216,2))/1000000)</f>
        <v>0.62182163128680368</v>
      </c>
      <c r="G126" s="94">
        <f ca="1">IF(B126=TODAY(),0,-$G$6*(Sheet1!CF124-Sheet1!CF123)*7.48/1000000)</f>
        <v>0.5559890147358304</v>
      </c>
      <c r="H126" s="94">
        <f ca="1">IF(B126=TODAY(),0,-$H$6*(Sheet1!CE124-Sheet1!CE123)*7.48/1000000)</f>
        <v>1.5039432351265274E-2</v>
      </c>
      <c r="I126" s="94">
        <f ca="1">IF(B126=TODAY(),0,-$I$6*(Sheet1!CG124-Sheet1!CG123)*7.48/1000000)</f>
        <v>-4.0432392000000018E-2</v>
      </c>
      <c r="J126" s="95" t="s">
        <v>177</v>
      </c>
      <c r="K126" s="94">
        <f ca="1">IF(B126=TODAY(),0,-$K$6*(Sheet1!CH124-Sheet1!CH123)*7.48/1000000)</f>
        <v>-6.6633203744584424E-2</v>
      </c>
      <c r="L126" s="95" t="s">
        <v>177</v>
      </c>
      <c r="M126" s="94">
        <f ca="1">IF(B126=TODAY(),0,-$M$6*(Sheet1!CI124-Sheet1!CI123)*7.48/1000000)</f>
        <v>-0.12594055899618983</v>
      </c>
      <c r="N126" s="94">
        <f ca="1">IF(B126=TODAY(),0,-$N$6*(Sheet1!CJ124-Sheet1!CJ123)*7.48/1000000)</f>
        <v>0.161336098026022</v>
      </c>
      <c r="O126" s="94">
        <f t="shared" ca="1" si="30"/>
        <v>1.121180021659147</v>
      </c>
      <c r="P126" s="94">
        <f ca="1">O126+Calculation!ES126</f>
        <v>-2.3393375642766951</v>
      </c>
      <c r="Q126" s="89" t="str">
        <f>IF(Sheet1!BQ124&gt;25.75,"spill elevation","-")</f>
        <v>-</v>
      </c>
      <c r="R126" s="89" t="str">
        <f>IF(Sheet1!BQ124&gt;25.75,"spill elevation","-")</f>
        <v>-</v>
      </c>
      <c r="S126" s="89" t="str">
        <f>IF(Sheet1!BR124&gt;25.75,"spill elevation","-")</f>
        <v>-</v>
      </c>
      <c r="T126" s="93">
        <f>IF(Sheet1!DU124=1,Sheet1!AA124-(SUM(AT126:BA126)+BE126),Sheet1!AA124-SUM(AT126:BA126))</f>
        <v>24.757888000000001</v>
      </c>
      <c r="U126" s="93">
        <f>Sheet1!BV124</f>
        <v>24.5</v>
      </c>
      <c r="V126" s="93">
        <f t="shared" si="27"/>
        <v>0.25788800000000123</v>
      </c>
      <c r="W126" s="93">
        <f>0</f>
        <v>0</v>
      </c>
      <c r="X126" s="89">
        <f>0</f>
        <v>0</v>
      </c>
      <c r="Y126" s="94">
        <f ca="1">Calculation!EJ127+Calculation!ES126+'Calculations II'!O126-'Calculations II'!W126</f>
        <v>42.355538021641991</v>
      </c>
      <c r="Z126" s="94">
        <f ca="1">Y126-Sheet1!CT125</f>
        <v>26.89553802164199</v>
      </c>
      <c r="AA126" s="94">
        <f ca="1">Y126+Calculation!DJ127+Calculation!AS127</f>
        <v>52.730397006331756</v>
      </c>
      <c r="AC126" s="94">
        <f>Sheet1!AA124+Sheet1!AB124+BC126</f>
        <v>56.633360000000003</v>
      </c>
      <c r="AD126" s="94">
        <f>Sheet1!AA124+Sheet1!BN124+'Calculations II'!BC126-Calculation!AS126-Calculation!DJ126</f>
        <v>35.755447827426813</v>
      </c>
      <c r="AE126" s="94">
        <f>Sheet1!AA124+Sheet1!AB124+'Calculations II'!BC126-Calculation!AS126-Calculation!DJ126</f>
        <v>46.185447827426813</v>
      </c>
      <c r="AF126" s="94">
        <f ca="1">Sheet1!AA124+Sheet1!BN124+P126+'Calculations II'!BC126+Calculation!AS126+Calculation!DJ126</f>
        <v>54.311934608296497</v>
      </c>
      <c r="AG126" s="94">
        <f ca="1">IF(B126=TODAY(),0,Sheet1!AA124+Sheet1!BN124+'Calculations II'!BC126+'Calculations II'!P126-Sheet1!CT124-BP126)</f>
        <v>28.410022435723306</v>
      </c>
      <c r="AH126" s="94">
        <f ca="1">IF(B126=TODAY(),0,Sheet1!AA124+Sheet1!BN124+'Calculations II'!BC126+'Calculations II'!P126-BP126)</f>
        <v>43.864022435723307</v>
      </c>
      <c r="AI126" s="94">
        <f ca="1">IF(B126=TODAY(),0,BC126+Sheet1!AA124+Calculation!ES126+O126+W126+Sheet1!BN124+Calculation!AS126+Calculation!DJ126-BP126)</f>
        <v>54.311934608296497</v>
      </c>
      <c r="AJ126" s="94"/>
      <c r="AM126" s="90">
        <f t="shared" si="28"/>
        <v>42850</v>
      </c>
      <c r="AN126" s="94">
        <f>Sheet1!BU124</f>
        <v>24.7</v>
      </c>
      <c r="AO126" s="94">
        <f>Sheet1!AA124</f>
        <v>25.6</v>
      </c>
      <c r="AP126" s="94">
        <f t="shared" si="17"/>
        <v>3.434800000000001</v>
      </c>
      <c r="AQ126" s="1087">
        <f>((Sheet1!BV124-(Sheet1!BU124-AP126))/(Sheet1!BU124-AP126))</f>
        <v>0.15211707390478341</v>
      </c>
      <c r="AR126" s="94">
        <f t="shared" si="18"/>
        <v>22.165199999999999</v>
      </c>
      <c r="AS126" s="94">
        <f t="shared" si="19"/>
        <v>21.2652</v>
      </c>
      <c r="AT126" s="89">
        <f>Sheet1!BB124</f>
        <v>0</v>
      </c>
      <c r="AU126" s="89">
        <f>Sheet1!AS124*GPMtoMGD</f>
        <v>3.1392000000000003E-2</v>
      </c>
      <c r="AV126" s="94">
        <f>Sheet1!AT124</f>
        <v>0</v>
      </c>
      <c r="AW126" s="89">
        <f>Sheet1!AV124*GPMtoMGD</f>
        <v>0.39052799999999999</v>
      </c>
      <c r="AX126" s="89">
        <f>Sheet1!AW124*GPMtoMGD</f>
        <v>0.42019200000000007</v>
      </c>
      <c r="AY126" s="89">
        <f>Sheet1!AX124*GPMtoMGD</f>
        <v>0</v>
      </c>
      <c r="AZ126" s="89">
        <f>Sheet1!AY124*GPMtoMGD</f>
        <v>0</v>
      </c>
      <c r="BA126" s="89">
        <f>Sheet1!AZ124*GPMtoMGD</f>
        <v>0</v>
      </c>
      <c r="BB126" s="89">
        <f>Sheet1!BP124*GPMtoMGD</f>
        <v>2.8800000000000002E-3</v>
      </c>
      <c r="BC126" s="89">
        <f>Sheet1!CS124*GPMtoMGD</f>
        <v>5.1033600000000003</v>
      </c>
      <c r="BD126" s="89">
        <f>Sheet1!BO124*GPMtoMGD</f>
        <v>1.6348320000000001</v>
      </c>
      <c r="BE126" s="89">
        <f>Sheet1!BW124*GPMtoMGD</f>
        <v>1.0725119999999999</v>
      </c>
      <c r="BF126" s="89">
        <f>Sheet1!CN124*GPMtoMGD</f>
        <v>1.2149280000000002</v>
      </c>
      <c r="BG126" s="89">
        <f>Sheet1!CO124*GPMtoMGD</f>
        <v>0.75643199999999999</v>
      </c>
      <c r="BH126" s="89">
        <f>Sheet1!CP124*GPMtoMGD</f>
        <v>0.69076800000000005</v>
      </c>
      <c r="BI126" s="89">
        <f t="shared" si="29"/>
        <v>1.6377120000000001</v>
      </c>
      <c r="BK126" s="94">
        <f>SUM(AT126:BA126,AS126,BC126,Calculation!AQ126)</f>
        <v>42.692759827426812</v>
      </c>
      <c r="BM126" s="358">
        <f>0</f>
        <v>0</v>
      </c>
      <c r="BN126" s="358">
        <f>0</f>
        <v>0</v>
      </c>
      <c r="BP126" s="94">
        <f>SUM(BM126:BN126,W126,Sheet1!DX124)</f>
        <v>0</v>
      </c>
      <c r="BR126" s="94">
        <f>Sheet1!AA124</f>
        <v>25.6</v>
      </c>
      <c r="BS126" s="94">
        <f>Sheet1!AB124</f>
        <v>25.93</v>
      </c>
      <c r="BT126" s="94">
        <f t="shared" ca="1" si="20"/>
        <v>-2.3393375642766951</v>
      </c>
      <c r="BU126" s="94">
        <f>Sheet1!AT124</f>
        <v>0</v>
      </c>
      <c r="BV126" s="89">
        <f>Sheet1!BB124</f>
        <v>0</v>
      </c>
      <c r="BW126" s="94">
        <f>Calculation!ED126</f>
        <v>10.447912172573188</v>
      </c>
      <c r="BX126" s="94">
        <f>(Sheet1!CS124*1440)/1000000</f>
        <v>5.1033600000000003</v>
      </c>
      <c r="CA126" s="94">
        <f ca="1">Sheet1!AC124-Sheet1!BK124-Sheet1!BL124-Sheet1!BM124-Sheet1!BC124-Sheet1!BD124-Sheet1!BE124-Sheet1!BF124-Sheet1!BG124-Sheet1!BH124-Sheet1!BI124+BC126+P126</f>
        <v>43.834022435723305</v>
      </c>
      <c r="CB126" s="93">
        <f t="shared" si="21"/>
        <v>63.553989869029273</v>
      </c>
      <c r="CC126" s="94">
        <f t="shared" si="22"/>
        <v>0</v>
      </c>
      <c r="CD126" s="94">
        <f t="shared" ca="1" si="23"/>
        <v>54.281934608296496</v>
      </c>
      <c r="CE126" s="1077">
        <f t="shared" ca="1" si="24"/>
        <v>83.974152839034673</v>
      </c>
      <c r="CG126" s="1077">
        <f t="shared" ca="1" si="25"/>
        <v>43.834022435723305</v>
      </c>
    </row>
    <row r="127" spans="1:85" s="89" customFormat="1" x14ac:dyDescent="0.25">
      <c r="A127" s="616" t="s">
        <v>6</v>
      </c>
      <c r="B127" s="91">
        <v>42851</v>
      </c>
      <c r="C127" s="92">
        <v>0</v>
      </c>
      <c r="D127" s="94">
        <f>(Sheet1!BQ125-Sheet1!BQ124)*1.385</f>
        <v>0.45704999999999762</v>
      </c>
      <c r="E127" s="30">
        <f>(Sheet1!BR125-Sheet1!BR124)*1.385</f>
        <v>-0.40165000000000006</v>
      </c>
      <c r="F127" s="30">
        <f ca="1">IF(B127=TODAY(),0,-(VLOOKUP(Sheet1!CD125,Lookup!$I$4:$J$216,2)-VLOOKUP(Sheet1!CD124,Lookup!$I$4:$J$216,2))/1000000)</f>
        <v>-0.31091081564339806</v>
      </c>
      <c r="G127" s="94">
        <f ca="1">IF(B127=TODAY(),0,-$G$6*(Sheet1!CF125-Sheet1!CF124)*7.48/1000000)</f>
        <v>0.3574215094730338</v>
      </c>
      <c r="H127" s="94">
        <f ca="1">IF(B127=TODAY(),0,-$H$6*(Sheet1!CE125-Sheet1!CE124)*7.48/1000000)</f>
        <v>-1.5039432351265274E-2</v>
      </c>
      <c r="I127" s="94">
        <f ca="1">IF(B127=TODAY(),0,-$I$6*(Sheet1!CG125-Sheet1!CG124)*7.48/1000000)</f>
        <v>1.3477464000000033E-2</v>
      </c>
      <c r="J127" s="95" t="s">
        <v>177</v>
      </c>
      <c r="K127" s="94">
        <f ca="1">IF(B127=TODAY(),0,-$K$6*(Sheet1!CH125-Sheet1!CH124)*7.48/1000000)</f>
        <v>2.4654285385496303E-2</v>
      </c>
      <c r="L127" s="95" t="s">
        <v>177</v>
      </c>
      <c r="M127" s="94">
        <f ca="1">IF(B127=TODAY(),0,-$M$6*(Sheet1!CI125-Sheet1!CI124)*7.48/1000000)</f>
        <v>1.7991508428027301E-2</v>
      </c>
      <c r="N127" s="94">
        <f ca="1">IF(B127=TODAY(),0,-$N$6*(Sheet1!CJ125-Sheet1!CJ124)*7.48/1000000)</f>
        <v>-0.42195594868344238</v>
      </c>
      <c r="O127" s="94">
        <f t="shared" ca="1" si="30"/>
        <v>-0.33436142939154823</v>
      </c>
      <c r="P127" s="94">
        <f ca="1">O127+Calculation!ES127</f>
        <v>-0.74936066663804846</v>
      </c>
      <c r="Q127" s="89" t="str">
        <f>IF(Sheet1!BQ125&gt;25.75,"spill elevation","-")</f>
        <v>-</v>
      </c>
      <c r="R127" s="89" t="str">
        <f>IF(Sheet1!BQ125&gt;25.75,"spill elevation","-")</f>
        <v>-</v>
      </c>
      <c r="S127" s="89" t="str">
        <f>IF(Sheet1!BR125&gt;25.75,"spill elevation","-")</f>
        <v>-</v>
      </c>
      <c r="T127" s="93">
        <f>IF(Sheet1!DU125=1,Sheet1!AA125-(SUM(AT127:BA127)+BE127),Sheet1!AA125-SUM(AT127:BA127))</f>
        <v>23.948464000000001</v>
      </c>
      <c r="U127" s="93">
        <f>Sheet1!BV125</f>
        <v>27.4</v>
      </c>
      <c r="V127" s="93">
        <f t="shared" si="27"/>
        <v>-3.4515359999999973</v>
      </c>
      <c r="W127" s="93">
        <f>0</f>
        <v>0</v>
      </c>
      <c r="X127" s="89">
        <f>0</f>
        <v>0</v>
      </c>
      <c r="Y127" s="94">
        <f ca="1">Calculation!EJ128+Calculation!ES127+'Calculations II'!O127-'Calculations II'!W127</f>
        <v>42.582240713352867</v>
      </c>
      <c r="Z127" s="94">
        <f ca="1">Y127-Sheet1!CT126</f>
        <v>27.633240713352869</v>
      </c>
      <c r="AA127" s="94">
        <f ca="1">Y127+Calculation!DJ128+Calculation!AS128</f>
        <v>53.032388455016019</v>
      </c>
      <c r="AC127" s="94">
        <f>Sheet1!AA125+Sheet1!AB125+BC127</f>
        <v>55.452559999999998</v>
      </c>
      <c r="AD127" s="94">
        <f>Sheet1!AA125+Sheet1!BN125+'Calculations II'!BC127-Calculation!AS127-Calculation!DJ127</f>
        <v>34.737701015310236</v>
      </c>
      <c r="AE127" s="94">
        <f>Sheet1!AA125+Sheet1!AB125+'Calculations II'!BC127-Calculation!AS127-Calculation!DJ127</f>
        <v>45.077701015310232</v>
      </c>
      <c r="AF127" s="94">
        <f ca="1">Sheet1!AA125+Sheet1!BN125+P127+'Calculations II'!BC127+Calculation!AS127+Calculation!DJ127</f>
        <v>54.738058318051721</v>
      </c>
      <c r="AG127" s="94">
        <f ca="1">IF(B127=TODAY(),0,Sheet1!AA125+Sheet1!BN125+'Calculations II'!BC127+'Calculations II'!P127-Sheet1!CT125-BP127)</f>
        <v>28.903199333361954</v>
      </c>
      <c r="AH127" s="94">
        <f ca="1">IF(B127=TODAY(),0,Sheet1!AA125+Sheet1!BN125+'Calculations II'!BC127+'Calculations II'!P127-BP127)</f>
        <v>44.363199333361955</v>
      </c>
      <c r="AI127" s="94">
        <f ca="1">IF(B127=TODAY(),0,BC127+Sheet1!AA125+Calculation!ES127+O127+W127+Sheet1!BN125+Calculation!AS127+Calculation!DJ127-BP127)</f>
        <v>54.738058318051714</v>
      </c>
      <c r="AJ127" s="94"/>
      <c r="AM127" s="90">
        <f t="shared" si="28"/>
        <v>42851</v>
      </c>
      <c r="AN127" s="94">
        <f>Sheet1!BU125</f>
        <v>23.9</v>
      </c>
      <c r="AO127" s="94">
        <f>Sheet1!AA125</f>
        <v>25.6</v>
      </c>
      <c r="AP127" s="94">
        <f t="shared" si="17"/>
        <v>5.5399999999997562E-2</v>
      </c>
      <c r="AQ127" s="1087">
        <f>((Sheet1!BV125-(Sheet1!BU125-AP127))/(Sheet1!BU125-AP127))</f>
        <v>0.14910713536817555</v>
      </c>
      <c r="AR127" s="94">
        <f t="shared" si="18"/>
        <v>25.544600000000003</v>
      </c>
      <c r="AS127" s="94">
        <f t="shared" si="19"/>
        <v>23.8446</v>
      </c>
      <c r="AT127" s="89">
        <f>Sheet1!BB125</f>
        <v>0</v>
      </c>
      <c r="AU127" s="89">
        <f>Sheet1!AS125*GPMtoMGD</f>
        <v>1.5696000000000002E-2</v>
      </c>
      <c r="AV127" s="94">
        <f>Sheet1!AT125</f>
        <v>0</v>
      </c>
      <c r="AW127" s="89">
        <f>Sheet1!AV125*GPMtoMGD</f>
        <v>0.69408000000000003</v>
      </c>
      <c r="AX127" s="89">
        <f>Sheet1!AW125*GPMtoMGD</f>
        <v>0.94176000000000004</v>
      </c>
      <c r="AY127" s="89">
        <f>Sheet1!AX125*GPMtoMGD</f>
        <v>0</v>
      </c>
      <c r="AZ127" s="89">
        <f>Sheet1!AY125*GPMtoMGD</f>
        <v>0</v>
      </c>
      <c r="BA127" s="89">
        <f>Sheet1!AZ125*GPMtoMGD</f>
        <v>0</v>
      </c>
      <c r="BB127" s="89">
        <f>Sheet1!BP125*GPMtoMGD</f>
        <v>2.8800000000000002E-3</v>
      </c>
      <c r="BC127" s="89">
        <f>Sheet1!CS125*GPMtoMGD</f>
        <v>5.0925600000000006</v>
      </c>
      <c r="BD127" s="89">
        <f>Sheet1!BO125*GPMtoMGD</f>
        <v>1.409904</v>
      </c>
      <c r="BE127" s="89">
        <f>Sheet1!BW125*GPMtoMGD</f>
        <v>1.12968</v>
      </c>
      <c r="BF127" s="89">
        <f>Sheet1!CN125*GPMtoMGD</f>
        <v>1.2807360000000001</v>
      </c>
      <c r="BG127" s="89">
        <f>Sheet1!CO125*GPMtoMGD</f>
        <v>0.58464000000000005</v>
      </c>
      <c r="BH127" s="89">
        <f>Sheet1!CP125*GPMtoMGD</f>
        <v>0.69868799999999998</v>
      </c>
      <c r="BI127" s="89">
        <f t="shared" si="29"/>
        <v>1.412784</v>
      </c>
      <c r="BK127" s="94">
        <f>SUM(AT127:BA127,AS127,BC127,Calculation!AQ127)</f>
        <v>44.973837015310231</v>
      </c>
      <c r="BM127" s="358">
        <f>0</f>
        <v>0</v>
      </c>
      <c r="BN127" s="358">
        <f>0</f>
        <v>0</v>
      </c>
      <c r="BP127" s="94">
        <f>SUM(BM127:BN127,W127,Sheet1!DX125)</f>
        <v>0</v>
      </c>
      <c r="BR127" s="94">
        <f>Sheet1!AA125</f>
        <v>25.6</v>
      </c>
      <c r="BS127" s="94">
        <f>Sheet1!AB125</f>
        <v>24.76</v>
      </c>
      <c r="BT127" s="94">
        <f t="shared" ca="1" si="20"/>
        <v>-0.74936066663804846</v>
      </c>
      <c r="BU127" s="94">
        <f>Sheet1!AT125</f>
        <v>0</v>
      </c>
      <c r="BV127" s="89">
        <f>Sheet1!BB125</f>
        <v>0</v>
      </c>
      <c r="BW127" s="94">
        <f>Calculation!ED127</f>
        <v>10.374858984689766</v>
      </c>
      <c r="BX127" s="94">
        <f>(Sheet1!CS125*1440)/1000000</f>
        <v>5.0925599999999998</v>
      </c>
      <c r="CA127" s="94">
        <f ca="1">Sheet1!AC125-Sheet1!BK125-Sheet1!BL125-Sheet1!BM125-Sheet1!BC125-Sheet1!BD125-Sheet1!BE125-Sheet1!BF125-Sheet1!BG125-Sheet1!BH125-Sheet1!BI125+BC127+P127</f>
        <v>44.30319933336196</v>
      </c>
      <c r="CB127" s="93">
        <f t="shared" si="21"/>
        <v>61.857013150684928</v>
      </c>
      <c r="CC127" s="94">
        <f t="shared" si="22"/>
        <v>0</v>
      </c>
      <c r="CD127" s="94">
        <f t="shared" ca="1" si="23"/>
        <v>54.678058318051725</v>
      </c>
      <c r="CE127" s="1077">
        <f t="shared" ca="1" si="24"/>
        <v>84.586956218026017</v>
      </c>
      <c r="CG127" s="1077">
        <f t="shared" ca="1" si="25"/>
        <v>44.30319933336196</v>
      </c>
    </row>
    <row r="128" spans="1:85" s="89" customFormat="1" x14ac:dyDescent="0.25">
      <c r="A128" s="616" t="s">
        <v>7</v>
      </c>
      <c r="B128" s="91">
        <v>42852</v>
      </c>
      <c r="C128" s="92">
        <v>0</v>
      </c>
      <c r="D128" s="94">
        <f>(Sheet1!BQ126-Sheet1!BQ125)*1.385</f>
        <v>0.90025000000000299</v>
      </c>
      <c r="E128" s="30">
        <f>(Sheet1!BR126-Sheet1!BR125)*1.385</f>
        <v>-4.1550000000000038E-2</v>
      </c>
      <c r="F128" s="30">
        <f ca="1">IF(B128=TODAY(),0,-(VLOOKUP(Sheet1!CD126,Lookup!$I$4:$J$216,2)-VLOOKUP(Sheet1!CD125,Lookup!$I$4:$J$216,2))/1000000)</f>
        <v>0.72545856983459556</v>
      </c>
      <c r="G128" s="94">
        <f ca="1">IF(B128=TODAY(),0,-$G$6*(Sheet1!CF126-Sheet1!CF125)*7.48/1000000)</f>
        <v>-1.350259035787017</v>
      </c>
      <c r="H128" s="94">
        <f ca="1">IF(B128=TODAY(),0,-$H$6*(Sheet1!CE126-Sheet1!CE125)*7.48/1000000)</f>
        <v>0</v>
      </c>
      <c r="I128" s="94">
        <f ca="1">IF(B128=TODAY(),0,-$I$6*(Sheet1!CG126-Sheet1!CG125)*7.48/1000000)</f>
        <v>-8.9849759999999675E-3</v>
      </c>
      <c r="J128" s="95" t="s">
        <v>177</v>
      </c>
      <c r="K128" s="94">
        <f ca="1">IF(B128=TODAY(),0,-$K$6*(Sheet1!CH126-Sheet1!CH125)*7.48/1000000)</f>
        <v>-1.7990965011037887E-2</v>
      </c>
      <c r="L128" s="95" t="s">
        <v>177</v>
      </c>
      <c r="M128" s="94">
        <f ca="1">IF(B128=TODAY(),0,-$M$6*(Sheet1!CI126-Sheet1!CI125)*7.48/1000000)</f>
        <v>0</v>
      </c>
      <c r="N128" s="94">
        <f ca="1">IF(B128=TODAY(),0,-$N$6*(Sheet1!CJ126-Sheet1!CJ125)*7.48/1000000)</f>
        <v>0.49021352861752937</v>
      </c>
      <c r="O128" s="94">
        <f t="shared" ca="1" si="30"/>
        <v>-0.16156287834592992</v>
      </c>
      <c r="P128" s="94">
        <f ca="1">O128+Calculation!ES128</f>
        <v>-0.95812213514673528</v>
      </c>
      <c r="Q128" s="89" t="str">
        <f>IF(Sheet1!BQ126&gt;25.75,"spill elevation","-")</f>
        <v>-</v>
      </c>
      <c r="R128" s="89" t="str">
        <f>IF(Sheet1!BQ126&gt;25.75,"spill elevation","-")</f>
        <v>-</v>
      </c>
      <c r="S128" s="89" t="str">
        <f>IF(Sheet1!BR126&gt;25.75,"spill elevation","-")</f>
        <v>-</v>
      </c>
      <c r="T128" s="93">
        <f>IF(Sheet1!DU126=1,Sheet1!AA126-(SUM(AT128:BA128)+BE128),Sheet1!AA126-SUM(AT128:BA128))</f>
        <v>24.738160000000001</v>
      </c>
      <c r="U128" s="93">
        <f>Sheet1!BV126</f>
        <v>27.8</v>
      </c>
      <c r="V128" s="93">
        <f t="shared" si="27"/>
        <v>-3.0618400000000001</v>
      </c>
      <c r="W128" s="93">
        <f>0</f>
        <v>0</v>
      </c>
      <c r="X128" s="89">
        <f>0</f>
        <v>0</v>
      </c>
      <c r="Y128" s="94">
        <f ca="1">Calculation!EJ129+Calculation!ES128+'Calculations II'!O128-'Calculations II'!W128</f>
        <v>42.835452602875804</v>
      </c>
      <c r="Z128" s="94">
        <f ca="1">Y128-Sheet1!CT127</f>
        <v>26.895452602875807</v>
      </c>
      <c r="AA128" s="94">
        <f ca="1">Y128+Calculation!DJ129+Calculation!AS129</f>
        <v>53.28456477264627</v>
      </c>
      <c r="AC128" s="94">
        <f>Sheet1!AA126+Sheet1!AB126+BC128</f>
        <v>54.281472000000001</v>
      </c>
      <c r="AD128" s="94">
        <f>Sheet1!AA126+Sheet1!BN126+'Calculations II'!BC128-Calculation!AS128-Calculation!DJ128</f>
        <v>33.431324258336844</v>
      </c>
      <c r="AE128" s="94">
        <f>Sheet1!AA126+Sheet1!AB126+'Calculations II'!BC128-Calculation!AS128-Calculation!DJ128</f>
        <v>43.831324258336849</v>
      </c>
      <c r="AF128" s="94">
        <f ca="1">Sheet1!AA126+Sheet1!BN126+P128+'Calculations II'!BC128+Calculation!AS128+Calculation!DJ128</f>
        <v>53.373497606516409</v>
      </c>
      <c r="AG128" s="94">
        <f ca="1">IF(B128=TODAY(),0,Sheet1!AA126+Sheet1!BN126+'Calculations II'!BC128+'Calculations II'!P128-Sheet1!CT126-BP128)</f>
        <v>27.974349864853259</v>
      </c>
      <c r="AH128" s="94">
        <f ca="1">IF(B128=TODAY(),0,Sheet1!AA126+Sheet1!BN126+'Calculations II'!BC128+'Calculations II'!P128-BP128)</f>
        <v>42.923349864853257</v>
      </c>
      <c r="AI128" s="94">
        <f ca="1">IF(B128=TODAY(),0,BC128+Sheet1!AA126+Calculation!ES128+O128+W128+Sheet1!BN126+Calculation!AS128+Calculation!DJ128-BP128)</f>
        <v>53.373497606516416</v>
      </c>
      <c r="AJ128" s="94"/>
      <c r="AM128" s="90">
        <f t="shared" si="28"/>
        <v>42852</v>
      </c>
      <c r="AN128" s="94">
        <f>Sheet1!BU126</f>
        <v>24.4</v>
      </c>
      <c r="AO128" s="94">
        <f>Sheet1!AA126</f>
        <v>25.6</v>
      </c>
      <c r="AP128" s="94">
        <f t="shared" si="17"/>
        <v>0.85870000000000291</v>
      </c>
      <c r="AQ128" s="1087">
        <f>((Sheet1!BV126-(Sheet1!BU126-AP128))/(Sheet1!BU126-AP128))</f>
        <v>0.18090334858312859</v>
      </c>
      <c r="AR128" s="94">
        <f t="shared" si="18"/>
        <v>24.741299999999999</v>
      </c>
      <c r="AS128" s="94">
        <f t="shared" si="19"/>
        <v>23.541299999999996</v>
      </c>
      <c r="AT128" s="89">
        <f>Sheet1!BB126</f>
        <v>0</v>
      </c>
      <c r="AU128" s="89">
        <f>Sheet1!AS126*GPMtoMGD</f>
        <v>2.7360000000000002E-2</v>
      </c>
      <c r="AV128" s="94">
        <f>Sheet1!AT126</f>
        <v>0</v>
      </c>
      <c r="AW128" s="89">
        <f>Sheet1!AV126*GPMtoMGD</f>
        <v>0.36993599999999999</v>
      </c>
      <c r="AX128" s="89">
        <f>Sheet1!AW126*GPMtoMGD</f>
        <v>0.46454400000000007</v>
      </c>
      <c r="AY128" s="89">
        <f>Sheet1!AX126*GPMtoMGD</f>
        <v>0</v>
      </c>
      <c r="AZ128" s="89">
        <f>Sheet1!AY126*GPMtoMGD</f>
        <v>0</v>
      </c>
      <c r="BA128" s="89">
        <f>Sheet1!AZ126*GPMtoMGD</f>
        <v>0</v>
      </c>
      <c r="BB128" s="89">
        <f>Sheet1!BP126*GPMtoMGD</f>
        <v>2.8800000000000002E-3</v>
      </c>
      <c r="BC128" s="89">
        <f>Sheet1!CS126*GPMtoMGD</f>
        <v>5.0814720000000007</v>
      </c>
      <c r="BD128" s="89">
        <f>Sheet1!BO126*GPMtoMGD</f>
        <v>1.4765760000000003</v>
      </c>
      <c r="BE128" s="89">
        <f>Sheet1!BW126*GPMtoMGD</f>
        <v>0.98164800000000008</v>
      </c>
      <c r="BF128" s="89">
        <f>Sheet1!CN126*GPMtoMGD</f>
        <v>1.3347360000000001</v>
      </c>
      <c r="BG128" s="89">
        <f>Sheet1!CO126*GPMtoMGD</f>
        <v>0.62208000000000008</v>
      </c>
      <c r="BH128" s="89">
        <f>Sheet1!CP126*GPMtoMGD</f>
        <v>0.68212800000000007</v>
      </c>
      <c r="BI128" s="89">
        <f t="shared" si="29"/>
        <v>1.4794560000000003</v>
      </c>
      <c r="BK128" s="94">
        <f>SUM(AT128:BA128,AS128,BC128,Calculation!AQ128)</f>
        <v>42.634464258336848</v>
      </c>
      <c r="BM128" s="358">
        <f>0</f>
        <v>0</v>
      </c>
      <c r="BN128" s="358">
        <f>0</f>
        <v>0</v>
      </c>
      <c r="BP128" s="94">
        <f>SUM(BM128:BN128,W128,Sheet1!DX126)</f>
        <v>0</v>
      </c>
      <c r="BR128" s="94">
        <f>Sheet1!AA126</f>
        <v>25.6</v>
      </c>
      <c r="BS128" s="94">
        <f>Sheet1!AB126</f>
        <v>23.6</v>
      </c>
      <c r="BT128" s="94">
        <f t="shared" ca="1" si="20"/>
        <v>-0.95812213514673528</v>
      </c>
      <c r="BU128" s="94">
        <f>Sheet1!AT126</f>
        <v>0</v>
      </c>
      <c r="BV128" s="89">
        <f>Sheet1!BB126</f>
        <v>0</v>
      </c>
      <c r="BW128" s="94">
        <f>Calculation!ED128</f>
        <v>10.450147741663152</v>
      </c>
      <c r="BX128" s="94">
        <f>(Sheet1!CS126*1440)/1000000</f>
        <v>5.0814719999999998</v>
      </c>
      <c r="CA128" s="94">
        <f ca="1">Sheet1!AC126-Sheet1!BK126-Sheet1!BL126-Sheet1!BM126-Sheet1!BC126-Sheet1!BD126-Sheet1!BE126-Sheet1!BF126-Sheet1!BG126-Sheet1!BH126-Sheet1!BI126+BC128+P128</f>
        <v>42.833349864853261</v>
      </c>
      <c r="CB128" s="93">
        <f t="shared" si="21"/>
        <v>59.946021443647105</v>
      </c>
      <c r="CC128" s="94">
        <f t="shared" si="22"/>
        <v>0</v>
      </c>
      <c r="CD128" s="94">
        <f t="shared" ca="1" si="23"/>
        <v>53.283497606516413</v>
      </c>
      <c r="CE128" s="1077">
        <f t="shared" ca="1" si="24"/>
        <v>82.429570797280888</v>
      </c>
      <c r="CG128" s="1077">
        <f t="shared" ca="1" si="25"/>
        <v>42.833349864853261</v>
      </c>
    </row>
    <row r="129" spans="1:85" s="89" customFormat="1" x14ac:dyDescent="0.25">
      <c r="A129" s="616" t="s">
        <v>8</v>
      </c>
      <c r="B129" s="91">
        <v>42853</v>
      </c>
      <c r="C129" s="92">
        <v>0</v>
      </c>
      <c r="D129" s="94">
        <f>(Sheet1!BQ127-Sheet1!BQ126)*1.385</f>
        <v>5.5399999999998818E-2</v>
      </c>
      <c r="E129" s="30">
        <f>(Sheet1!BR127-Sheet1!BR126)*1.385</f>
        <v>4.1550000000000038E-2</v>
      </c>
      <c r="F129" s="30">
        <f ca="1">IF(B129=TODAY(),0,-(VLOOKUP(Sheet1!CD127,Lookup!$I$4:$J$216,2)-VLOOKUP(Sheet1!CD126,Lookup!$I$4:$J$216,2))/1000000)</f>
        <v>0.20727387709559872</v>
      </c>
      <c r="G129" s="94">
        <f ca="1">IF(B129=TODAY(),0,-$G$6*(Sheet1!CF127-Sheet1!CF126)*7.48/1000000)</f>
        <v>0.43684851157815285</v>
      </c>
      <c r="H129" s="94">
        <f ca="1">IF(B129=TODAY(),0,-$H$6*(Sheet1!CE127-Sheet1!CE126)*7.48/1000000)</f>
        <v>0</v>
      </c>
      <c r="I129" s="94">
        <f ca="1">IF(B129=TODAY(),0,-$I$6*(Sheet1!CG127-Sheet1!CG126)*7.48/1000000)</f>
        <v>0</v>
      </c>
      <c r="J129" s="95" t="s">
        <v>177</v>
      </c>
      <c r="K129" s="94">
        <f ca="1">IF(B129=TODAY(),0,-$K$6*(Sheet1!CH127-Sheet1!CH126)*7.48/1000000)</f>
        <v>-1.3326640748916837E-2</v>
      </c>
      <c r="L129" s="95" t="s">
        <v>177</v>
      </c>
      <c r="M129" s="94">
        <f ca="1">IF(B129=TODAY(),0,-$M$6*(Sheet1!CI127-Sheet1!CI126)*7.48/1000000)</f>
        <v>0</v>
      </c>
      <c r="N129" s="94">
        <f ca="1">IF(B129=TODAY(),0,-$N$6*(Sheet1!CJ127-Sheet1!CJ126)*7.48/1000000)</f>
        <v>0.13651515986817186</v>
      </c>
      <c r="O129" s="94">
        <f t="shared" ca="1" si="30"/>
        <v>0.76731090779300659</v>
      </c>
      <c r="P129" s="94">
        <f ca="1">O129+Calculation!ES129</f>
        <v>0.59402810845237208</v>
      </c>
      <c r="Q129" s="89" t="str">
        <f>IF(Sheet1!BQ127&gt;25.75,"spill elevation","-")</f>
        <v>-</v>
      </c>
      <c r="R129" s="89" t="str">
        <f>IF(Sheet1!BQ127&gt;25.75,"spill elevation","-")</f>
        <v>-</v>
      </c>
      <c r="S129" s="89" t="str">
        <f>IF(Sheet1!BR127&gt;25.75,"spill elevation","-")</f>
        <v>-</v>
      </c>
      <c r="T129" s="93">
        <f>IF(Sheet1!DU127=1,Sheet1!AA127-(SUM(AT129:BA129)+BE129),Sheet1!AA127-SUM(AT129:BA129))</f>
        <v>24.389968000000003</v>
      </c>
      <c r="U129" s="93">
        <f>Sheet1!BV127</f>
        <v>28.3</v>
      </c>
      <c r="V129" s="93">
        <f t="shared" si="27"/>
        <v>-3.9100319999999975</v>
      </c>
      <c r="W129" s="93">
        <f>0</f>
        <v>0</v>
      </c>
      <c r="X129" s="89">
        <f>0</f>
        <v>0</v>
      </c>
      <c r="Y129" s="94">
        <f ca="1">Calculation!EJ130+Calculation!ES129+'Calculations II'!O129-'Calculations II'!W129</f>
        <v>42.297895526625332</v>
      </c>
      <c r="Z129" s="94">
        <f ca="1">Y129-Sheet1!CT128</f>
        <v>26.031895526625334</v>
      </c>
      <c r="AA129" s="94">
        <f ca="1">Y129+Calculation!DJ130+Calculation!AS130</f>
        <v>52.74083406408608</v>
      </c>
      <c r="AC129" s="94">
        <f>Sheet1!AA127+Sheet1!AB127+BC129</f>
        <v>53.665344000000005</v>
      </c>
      <c r="AD129" s="94">
        <f>Sheet1!AA127+Sheet1!BN127+'Calculations II'!BC129-Calculation!AS129-Calculation!DJ129</f>
        <v>32.81623183022954</v>
      </c>
      <c r="AE129" s="94">
        <f>Sheet1!AA127+Sheet1!AB127+'Calculations II'!BC129-Calculation!AS129-Calculation!DJ129</f>
        <v>43.216231830229539</v>
      </c>
      <c r="AF129" s="94">
        <f ca="1">Sheet1!AA127+Sheet1!BN127+P129+'Calculations II'!BC129+Calculation!AS129+Calculation!DJ129</f>
        <v>54.308484278222842</v>
      </c>
      <c r="AG129" s="94">
        <f ca="1">IF(B129=TODAY(),0,Sheet1!AA127+Sheet1!BN127+'Calculations II'!BC129+'Calculations II'!P129-Sheet1!CT127-BP129)</f>
        <v>27.919372108452379</v>
      </c>
      <c r="AH129" s="94">
        <f ca="1">IF(B129=TODAY(),0,Sheet1!AA127+Sheet1!BN127+'Calculations II'!BC129+'Calculations II'!P129-BP129)</f>
        <v>43.859372108452376</v>
      </c>
      <c r="AI129" s="94">
        <f ca="1">IF(B129=TODAY(),0,BC129+Sheet1!AA127+Calculation!ES129+O129+W129+Sheet1!BN127+Calculation!AS129+Calculation!DJ129-BP129)</f>
        <v>54.308484278222842</v>
      </c>
      <c r="AJ129" s="94"/>
      <c r="AM129" s="90">
        <f t="shared" si="28"/>
        <v>42853</v>
      </c>
      <c r="AN129" s="94">
        <f>Sheet1!BU127</f>
        <v>24.2</v>
      </c>
      <c r="AO129" s="94">
        <f>Sheet1!AA127</f>
        <v>25.6</v>
      </c>
      <c r="AP129" s="94">
        <f t="shared" si="17"/>
        <v>9.6949999999998857E-2</v>
      </c>
      <c r="AQ129" s="1087">
        <f>((Sheet1!BV127-(Sheet1!BU127-AP129))/(Sheet1!BU127-AP129))</f>
        <v>0.17412526630447189</v>
      </c>
      <c r="AR129" s="94">
        <f t="shared" si="18"/>
        <v>25.503050000000002</v>
      </c>
      <c r="AS129" s="94">
        <f t="shared" si="19"/>
        <v>24.10305</v>
      </c>
      <c r="AT129" s="89">
        <f>Sheet1!BB127</f>
        <v>0</v>
      </c>
      <c r="AU129" s="89">
        <f>Sheet1!AS127*GPMtoMGD</f>
        <v>1.9584000000000001E-2</v>
      </c>
      <c r="AV129" s="94">
        <f>Sheet1!AT127</f>
        <v>0</v>
      </c>
      <c r="AW129" s="89">
        <f>Sheet1!AV127*GPMtoMGD</f>
        <v>0.47736000000000001</v>
      </c>
      <c r="AX129" s="89">
        <f>Sheet1!AW127*GPMtoMGD</f>
        <v>0.71308800000000006</v>
      </c>
      <c r="AY129" s="89">
        <f>Sheet1!AX127*GPMtoMGD</f>
        <v>0</v>
      </c>
      <c r="AZ129" s="89">
        <f>Sheet1!AY127*GPMtoMGD</f>
        <v>0</v>
      </c>
      <c r="BA129" s="89">
        <f>Sheet1!AZ127*GPMtoMGD</f>
        <v>0</v>
      </c>
      <c r="BB129" s="89">
        <f>Sheet1!BP127*GPMtoMGD</f>
        <v>2.8800000000000002E-3</v>
      </c>
      <c r="BC129" s="89">
        <f>Sheet1!CS127*GPMtoMGD</f>
        <v>5.0653440000000005</v>
      </c>
      <c r="BD129" s="89">
        <f>Sheet1!BO127*GPMtoMGD</f>
        <v>1.4640480000000002</v>
      </c>
      <c r="BE129" s="89">
        <f>Sheet1!BW127*GPMtoMGD</f>
        <v>1.0356480000000001</v>
      </c>
      <c r="BF129" s="89">
        <f>Sheet1!CN127*GPMtoMGD</f>
        <v>1.2689280000000001</v>
      </c>
      <c r="BG129" s="89">
        <f>Sheet1!CO127*GPMtoMGD</f>
        <v>0.64900800000000003</v>
      </c>
      <c r="BH129" s="89">
        <f>Sheet1!CP127*GPMtoMGD</f>
        <v>0.68155200000000005</v>
      </c>
      <c r="BI129" s="89">
        <f t="shared" si="29"/>
        <v>1.4669280000000002</v>
      </c>
      <c r="BK129" s="94">
        <f>SUM(AT129:BA129,AS129,BC129,Calculation!AQ129)</f>
        <v>42.929313830229539</v>
      </c>
      <c r="BM129" s="358">
        <f>0</f>
        <v>0</v>
      </c>
      <c r="BN129" s="358">
        <f>0</f>
        <v>0</v>
      </c>
      <c r="BP129" s="94">
        <f>SUM(BM129:BN129,W129,Sheet1!DX127)</f>
        <v>0</v>
      </c>
      <c r="BR129" s="94">
        <f>Sheet1!AA127</f>
        <v>25.6</v>
      </c>
      <c r="BS129" s="94">
        <f>Sheet1!AB127</f>
        <v>23</v>
      </c>
      <c r="BT129" s="94">
        <f t="shared" ca="1" si="20"/>
        <v>0.59402810845237208</v>
      </c>
      <c r="BU129" s="94">
        <f>Sheet1!AT127</f>
        <v>0</v>
      </c>
      <c r="BV129" s="89">
        <f>Sheet1!BB127</f>
        <v>0</v>
      </c>
      <c r="BW129" s="94">
        <f>Calculation!ED129</f>
        <v>10.449112169770464</v>
      </c>
      <c r="BX129" s="94">
        <f>(Sheet1!CS127*1440)/1000000</f>
        <v>5.0653439999999996</v>
      </c>
      <c r="CA129" s="94">
        <f ca="1">Sheet1!AC127-Sheet1!BK127-Sheet1!BL127-Sheet1!BM127-Sheet1!BC127-Sheet1!BD127-Sheet1!BE127-Sheet1!BF127-Sheet1!BG127-Sheet1!BH127-Sheet1!BI127+BC129+P129</f>
        <v>43.769372108452373</v>
      </c>
      <c r="CB129" s="93">
        <f t="shared" si="21"/>
        <v>59.019423473365087</v>
      </c>
      <c r="CC129" s="94">
        <f t="shared" si="22"/>
        <v>0</v>
      </c>
      <c r="CD129" s="94">
        <f t="shared" ca="1" si="23"/>
        <v>54.218484278222839</v>
      </c>
      <c r="CE129" s="1077">
        <f t="shared" ca="1" si="24"/>
        <v>83.875995178410733</v>
      </c>
      <c r="CG129" s="1077">
        <f t="shared" ca="1" si="25"/>
        <v>43.769372108452373</v>
      </c>
    </row>
    <row r="130" spans="1:85" s="89" customFormat="1" x14ac:dyDescent="0.25">
      <c r="A130" s="616" t="s">
        <v>9</v>
      </c>
      <c r="B130" s="91">
        <v>42854</v>
      </c>
      <c r="C130" s="92">
        <v>0</v>
      </c>
      <c r="D130" s="94">
        <f>(Sheet1!BQ128-Sheet1!BQ127)*1.385</f>
        <v>-3.3655499999999998</v>
      </c>
      <c r="E130" s="30">
        <f>(Sheet1!BR128-Sheet1!BR127)*1.385</f>
        <v>0</v>
      </c>
      <c r="F130" s="30">
        <f ca="1">IF(B130=TODAY(),0,-(VLOOKUP(Sheet1!CD128,Lookup!$I$4:$J$216,2)-VLOOKUP(Sheet1!CD127,Lookup!$I$4:$J$216,2))/1000000)</f>
        <v>-0.62182163128679613</v>
      </c>
      <c r="G130" s="94">
        <f ca="1">IF(B130=TODAY(),0,-$G$6*(Sheet1!CF128-Sheet1!CF127)*7.48/1000000)</f>
        <v>0.51627551368327118</v>
      </c>
      <c r="H130" s="94">
        <f ca="1">IF(B130=TODAY(),0,-$H$6*(Sheet1!CE128-Sheet1!CE127)*7.48/1000000)</f>
        <v>0</v>
      </c>
      <c r="I130" s="94">
        <f ca="1">IF(B130=TODAY(),0,-$I$6*(Sheet1!CG128-Sheet1!CG127)*7.48/1000000)</f>
        <v>4.4924879999999837E-3</v>
      </c>
      <c r="J130" s="95" t="s">
        <v>177</v>
      </c>
      <c r="K130" s="94">
        <f ca="1">IF(B130=TODAY(),0,-$K$6*(Sheet1!CH128-Sheet1!CH127)*7.48/1000000)</f>
        <v>1.3326640748916837E-2</v>
      </c>
      <c r="L130" s="95" t="s">
        <v>177</v>
      </c>
      <c r="M130" s="94">
        <f ca="1">IF(B130=TODAY(),0,-$M$6*(Sheet1!CI128-Sheet1!CI127)*7.48/1000000)</f>
        <v>3.598301685605397E-2</v>
      </c>
      <c r="N130" s="94">
        <f ca="1">IF(B130=TODAY(),0,-$N$6*(Sheet1!CJ128-Sheet1!CJ127)*7.48/1000000)</f>
        <v>-0.37231407236774317</v>
      </c>
      <c r="O130" s="94">
        <f t="shared" ca="1" si="30"/>
        <v>-0.42405804436629729</v>
      </c>
      <c r="P130" s="94">
        <f ca="1">O130+Calculation!ES130</f>
        <v>3.0382216311684429</v>
      </c>
      <c r="Q130" s="89" t="str">
        <f>IF(Sheet1!BQ128&gt;25.75,"spill elevation","-")</f>
        <v>-</v>
      </c>
      <c r="R130" s="89" t="str">
        <f>IF(Sheet1!BQ128&gt;25.75,"spill elevation","-")</f>
        <v>-</v>
      </c>
      <c r="S130" s="89" t="str">
        <f>IF(Sheet1!BR128&gt;25.75,"spill elevation","-")</f>
        <v>-</v>
      </c>
      <c r="T130" s="93">
        <f>IF(Sheet1!DU128=1,Sheet1!AA128-(SUM(AT130:BA130)+BE130),Sheet1!AA128-SUM(AT130:BA130))</f>
        <v>24.175840000000001</v>
      </c>
      <c r="U130" s="93">
        <f>Sheet1!BV128</f>
        <v>31.9</v>
      </c>
      <c r="V130" s="93">
        <f t="shared" si="27"/>
        <v>-7.7241599999999977</v>
      </c>
      <c r="W130" s="93">
        <f>0</f>
        <v>0</v>
      </c>
      <c r="X130" s="89">
        <f>0</f>
        <v>0</v>
      </c>
      <c r="Y130" s="94">
        <f ca="1">Calculation!EJ131+Calculation!ES130+'Calculations II'!O130-'Calculations II'!W130</f>
        <v>47.751529139203321</v>
      </c>
      <c r="Z130" s="94">
        <f ca="1">Y130-Sheet1!CT129</f>
        <v>31.706529139203319</v>
      </c>
      <c r="AA130" s="94">
        <f ca="1">Y130+Calculation!DJ131+Calculation!AS131</f>
        <v>58.196998661443843</v>
      </c>
      <c r="AC130" s="94">
        <f>Sheet1!AA128+Sheet1!AB128+BC130</f>
        <v>52.846704000000003</v>
      </c>
      <c r="AD130" s="94">
        <f>Sheet1!AA128+Sheet1!BN128+'Calculations II'!BC130-Calculation!AS130-Calculation!DJ130</f>
        <v>32.013765462539254</v>
      </c>
      <c r="AE130" s="94">
        <f>Sheet1!AA128+Sheet1!AB128+'Calculations II'!BC130-Calculation!AS130-Calculation!DJ130</f>
        <v>42.403765462539255</v>
      </c>
      <c r="AF130" s="94">
        <f ca="1">Sheet1!AA128+Sheet1!BN128+P130+'Calculations II'!BC130+Calculation!AS130+Calculation!DJ130</f>
        <v>55.93786416862919</v>
      </c>
      <c r="AG130" s="94">
        <f ca="1">IF(B130=TODAY(),0,Sheet1!AA128+Sheet1!BN128+'Calculations II'!BC130+'Calculations II'!P130-Sheet1!CT128-BP130)</f>
        <v>29.228925631168444</v>
      </c>
      <c r="AH130" s="94">
        <f ca="1">IF(B130=TODAY(),0,Sheet1!AA128+Sheet1!BN128+'Calculations II'!BC130+'Calculations II'!P130-BP130)</f>
        <v>45.494925631168442</v>
      </c>
      <c r="AI130" s="94">
        <f ca="1">IF(B130=TODAY(),0,BC130+Sheet1!AA128+Calculation!ES130+O130+W130+Sheet1!BN128+Calculation!AS130+Calculation!DJ130-BP130)</f>
        <v>55.93786416862919</v>
      </c>
      <c r="AJ130" s="94"/>
      <c r="AM130" s="90">
        <f t="shared" si="28"/>
        <v>42854</v>
      </c>
      <c r="AN130" s="94">
        <f>Sheet1!BU128</f>
        <v>23.9</v>
      </c>
      <c r="AO130" s="94">
        <f>Sheet1!AA128</f>
        <v>25.6</v>
      </c>
      <c r="AP130" s="94">
        <f t="shared" si="17"/>
        <v>-3.3655499999999998</v>
      </c>
      <c r="AQ130" s="1087">
        <f>((Sheet1!BV128-(Sheet1!BU128-AP130))/(Sheet1!BU128-AP130))</f>
        <v>0.16997456497301544</v>
      </c>
      <c r="AR130" s="94">
        <f t="shared" si="18"/>
        <v>28.96555</v>
      </c>
      <c r="AS130" s="94">
        <f t="shared" si="19"/>
        <v>27.265549999999998</v>
      </c>
      <c r="AT130" s="89">
        <f>Sheet1!BB128</f>
        <v>0</v>
      </c>
      <c r="AU130" s="89">
        <f>Sheet1!AS128*GPMtoMGD</f>
        <v>1.6704E-2</v>
      </c>
      <c r="AV130" s="94">
        <f>Sheet1!AT128</f>
        <v>0</v>
      </c>
      <c r="AW130" s="89">
        <f>Sheet1!AV128*GPMtoMGD</f>
        <v>0.61876799999999998</v>
      </c>
      <c r="AX130" s="89">
        <f>Sheet1!AW128*GPMtoMGD</f>
        <v>0.78868800000000017</v>
      </c>
      <c r="AY130" s="89">
        <f>Sheet1!AX128*GPMtoMGD</f>
        <v>0</v>
      </c>
      <c r="AZ130" s="89">
        <f>Sheet1!AY128*GPMtoMGD</f>
        <v>0</v>
      </c>
      <c r="BA130" s="89">
        <f>Sheet1!AZ128*GPMtoMGD</f>
        <v>0</v>
      </c>
      <c r="BB130" s="89">
        <f>Sheet1!BP128*GPMtoMGD</f>
        <v>2.8800000000000002E-3</v>
      </c>
      <c r="BC130" s="89">
        <f>Sheet1!CS128*GPMtoMGD</f>
        <v>5.0567039999999999</v>
      </c>
      <c r="BD130" s="89">
        <f>Sheet1!BO128*GPMtoMGD</f>
        <v>1.489392</v>
      </c>
      <c r="BE130" s="89">
        <f>Sheet1!BW128*GPMtoMGD</f>
        <v>1.0951200000000001</v>
      </c>
      <c r="BF130" s="89">
        <f>Sheet1!CN128*GPMtoMGD</f>
        <v>1.3567680000000002</v>
      </c>
      <c r="BG130" s="89">
        <f>Sheet1!CO128*GPMtoMGD</f>
        <v>0.70833599999999997</v>
      </c>
      <c r="BH130" s="89">
        <f>Sheet1!CP128*GPMtoMGD</f>
        <v>0.68947200000000008</v>
      </c>
      <c r="BI130" s="89">
        <f t="shared" si="29"/>
        <v>1.492272</v>
      </c>
      <c r="BK130" s="94">
        <f>SUM(AT130:BA130,AS130,BC130,Calculation!AQ130)</f>
        <v>45.493475462539259</v>
      </c>
      <c r="BM130" s="358">
        <f>0</f>
        <v>0</v>
      </c>
      <c r="BN130" s="358">
        <f>0</f>
        <v>0</v>
      </c>
      <c r="BP130" s="94">
        <f>SUM(BM130:BN130,W130,Sheet1!DX128)</f>
        <v>0</v>
      </c>
      <c r="BR130" s="94">
        <f>Sheet1!AA128</f>
        <v>25.6</v>
      </c>
      <c r="BS130" s="94">
        <f>Sheet1!AB128</f>
        <v>22.19</v>
      </c>
      <c r="BT130" s="94">
        <f t="shared" ca="1" si="20"/>
        <v>3.0382216311684429</v>
      </c>
      <c r="BU130" s="94">
        <f>Sheet1!AT128</f>
        <v>0</v>
      </c>
      <c r="BV130" s="89">
        <f>Sheet1!BB128</f>
        <v>0</v>
      </c>
      <c r="BW130" s="94">
        <f>Calculation!ED130</f>
        <v>10.442938537460746</v>
      </c>
      <c r="BX130" s="94">
        <f>(Sheet1!CS128*1440)/1000000</f>
        <v>5.0567039999999999</v>
      </c>
      <c r="CA130" s="94">
        <f ca="1">Sheet1!AC128-Sheet1!BK128-Sheet1!BL128-Sheet1!BM128-Sheet1!BC128-Sheet1!BD128-Sheet1!BE128-Sheet1!BF128-Sheet1!BG128-Sheet1!BH128-Sheet1!BI128+BC130+P130</f>
        <v>45.394925631168448</v>
      </c>
      <c r="CB130" s="93">
        <f t="shared" si="21"/>
        <v>57.77590408254823</v>
      </c>
      <c r="CC130" s="94">
        <f t="shared" si="22"/>
        <v>0</v>
      </c>
      <c r="CD130" s="94">
        <f t="shared" ca="1" si="23"/>
        <v>55.837864168629196</v>
      </c>
      <c r="CE130" s="1077">
        <f t="shared" ca="1" si="24"/>
        <v>86.381175868869363</v>
      </c>
      <c r="CG130" s="1077">
        <f t="shared" ca="1" si="25"/>
        <v>45.394925631168448</v>
      </c>
    </row>
    <row r="131" spans="1:85" s="89" customFormat="1" x14ac:dyDescent="0.25">
      <c r="A131" s="616" t="s">
        <v>3</v>
      </c>
      <c r="B131" s="91">
        <v>42855</v>
      </c>
      <c r="C131" s="92">
        <v>0</v>
      </c>
      <c r="D131" s="94">
        <f>(Sheet1!BQ129-Sheet1!BQ128)*1.385</f>
        <v>-8.3099999999998231E-2</v>
      </c>
      <c r="E131" s="30">
        <f>(Sheet1!BR129-Sheet1!BR128)*1.385</f>
        <v>0</v>
      </c>
      <c r="F131" s="30">
        <f ca="1">IF(B131=TODAY(),0,-(VLOOKUP(Sheet1!CD129,Lookup!$I$4:$J$216,2)-VLOOKUP(Sheet1!CD128,Lookup!$I$4:$J$216,2))/1000000)</f>
        <v>0</v>
      </c>
      <c r="G131" s="94">
        <f ca="1">IF(B131=TODAY(),0,-$G$6*(Sheet1!CF129-Sheet1!CF128)*7.48/1000000)</f>
        <v>0.5162755136832704</v>
      </c>
      <c r="H131" s="94">
        <f ca="1">IF(B131=TODAY(),0,-$H$6*(Sheet1!CE129-Sheet1!CE128)*7.48/1000000)</f>
        <v>0</v>
      </c>
      <c r="I131" s="94">
        <f ca="1">IF(B131=TODAY(),0,-$I$6*(Sheet1!CG129-Sheet1!CG128)*7.48/1000000)</f>
        <v>0</v>
      </c>
      <c r="J131" s="95" t="s">
        <v>177</v>
      </c>
      <c r="K131" s="94">
        <f ca="1">IF(B131=TODAY(),0,-$K$6*(Sheet1!CH129-Sheet1!CH128)*7.48/1000000)</f>
        <v>-6.6633203744584186E-3</v>
      </c>
      <c r="L131" s="95" t="s">
        <v>177</v>
      </c>
      <c r="M131" s="94">
        <f ca="1">IF(B131=TODAY(),0,-$M$6*(Sheet1!CI129-Sheet1!CI128)*7.48/1000000)</f>
        <v>-1.7991508428026663E-2</v>
      </c>
      <c r="N131" s="94">
        <f ca="1">IF(B131=TODAY(),0,-$N$6*(Sheet1!CJ129-Sheet1!CJ128)*7.48/1000000)</f>
        <v>6.2052345394623676E-2</v>
      </c>
      <c r="O131" s="94">
        <f t="shared" ca="1" si="30"/>
        <v>0.55367303027540904</v>
      </c>
      <c r="P131" s="94">
        <f ca="1">O131+Calculation!ES131</f>
        <v>0.55367303027540904</v>
      </c>
      <c r="Q131" s="89" t="str">
        <f>IF(Sheet1!BQ129&gt;25.75,"spill elevation","-")</f>
        <v>-</v>
      </c>
      <c r="R131" s="89" t="str">
        <f>IF(Sheet1!BQ129&gt;25.75,"spill elevation","-")</f>
        <v>-</v>
      </c>
      <c r="S131" s="89" t="str">
        <f>IF(Sheet1!BR129&gt;25.75,"spill elevation","-")</f>
        <v>-</v>
      </c>
      <c r="T131" s="93">
        <f>IF(Sheet1!DU129=1,Sheet1!AA129-(SUM(AT131:BA131)+BE131),Sheet1!AA129-SUM(AT131:BA131))</f>
        <v>24.450736000000003</v>
      </c>
      <c r="U131" s="93">
        <f>Sheet1!BV129</f>
        <v>28.6</v>
      </c>
      <c r="V131" s="93">
        <f t="shared" si="27"/>
        <v>-4.1492639999999987</v>
      </c>
      <c r="W131" s="93">
        <f>0</f>
        <v>0</v>
      </c>
      <c r="X131" s="89">
        <f>0</f>
        <v>0</v>
      </c>
      <c r="Y131" s="94">
        <f ca="1">Calculation!EJ132+Calculation!ES131+'Calculations II'!O131-'Calculations II'!W131</f>
        <v>45.62347464324322</v>
      </c>
      <c r="Z131" s="94">
        <f ca="1">Y131-Sheet1!CT130</f>
        <v>28.563474643243222</v>
      </c>
      <c r="AA131" s="94">
        <f ca="1">Y131+Calculation!DJ132+Calculation!AS132</f>
        <v>56.391580158830749</v>
      </c>
      <c r="AC131" s="94">
        <f>Sheet1!AA129+Sheet1!AB129+BC131</f>
        <v>54.855840000000001</v>
      </c>
      <c r="AD131" s="94">
        <f>Sheet1!AA129+Sheet1!BN129+'Calculations II'!BC131-Calculation!AS131-Calculation!DJ131</f>
        <v>34.01037047775948</v>
      </c>
      <c r="AE131" s="94">
        <f>Sheet1!AA129+Sheet1!AB129+'Calculations II'!BC131-Calculation!AS131-Calculation!DJ131</f>
        <v>44.410370477759471</v>
      </c>
      <c r="AF131" s="94">
        <f ca="1">Sheet1!AA129+Sheet1!BN129+P131+'Calculations II'!BC131+Calculation!AS131+Calculation!DJ131</f>
        <v>55.454982552515943</v>
      </c>
      <c r="AG131" s="94">
        <f ca="1">IF(B131=TODAY(),0,Sheet1!AA129+Sheet1!BN129+'Calculations II'!BC131+'Calculations II'!P131-Sheet1!CT129-BP131)</f>
        <v>28.96451303027542</v>
      </c>
      <c r="AH131" s="94">
        <f ca="1">IF(B131=TODAY(),0,Sheet1!AA129+Sheet1!BN129+'Calculations II'!BC131+'Calculations II'!P131-BP131)</f>
        <v>45.009513030275421</v>
      </c>
      <c r="AI131" s="94">
        <f ca="1">IF(B131=TODAY(),0,BC131+Sheet1!AA129+Calculation!ES131+O131+W131+Sheet1!BN129+Calculation!AS131+Calculation!DJ131-BP131)</f>
        <v>55.454982552515943</v>
      </c>
      <c r="AJ131" s="94"/>
      <c r="AM131" s="90">
        <f t="shared" si="28"/>
        <v>42855</v>
      </c>
      <c r="AN131" s="94">
        <f>Sheet1!BU129</f>
        <v>24.2</v>
      </c>
      <c r="AO131" s="94">
        <f>Sheet1!AA129</f>
        <v>25.6</v>
      </c>
      <c r="AP131" s="94">
        <f t="shared" si="17"/>
        <v>-8.3099999999998231E-2</v>
      </c>
      <c r="AQ131" s="1087">
        <f>((Sheet1!BV129-(Sheet1!BU129-AP131))/(Sheet1!BU129-AP131))</f>
        <v>0.17777384271365701</v>
      </c>
      <c r="AR131" s="94">
        <f t="shared" si="18"/>
        <v>25.6831</v>
      </c>
      <c r="AS131" s="94">
        <f t="shared" si="19"/>
        <v>24.283099999999997</v>
      </c>
      <c r="AT131" s="89">
        <f>Sheet1!BB129</f>
        <v>0</v>
      </c>
      <c r="AU131" s="89">
        <f>Sheet1!AS129*GPMtoMGD</f>
        <v>3.0816E-2</v>
      </c>
      <c r="AV131" s="94">
        <f>Sheet1!AT129</f>
        <v>0</v>
      </c>
      <c r="AW131" s="89">
        <f>Sheet1!AV129*GPMtoMGD</f>
        <v>0.48758400000000007</v>
      </c>
      <c r="AX131" s="89">
        <f>Sheet1!AW129*GPMtoMGD</f>
        <v>0.63086400000000009</v>
      </c>
      <c r="AY131" s="89">
        <f>Sheet1!AX129*GPMtoMGD</f>
        <v>0</v>
      </c>
      <c r="AZ131" s="89">
        <f>Sheet1!AY129*GPMtoMGD</f>
        <v>0</v>
      </c>
      <c r="BA131" s="89">
        <f>Sheet1!AZ129*GPMtoMGD</f>
        <v>0</v>
      </c>
      <c r="BB131" s="89">
        <f>Sheet1!BP129*GPMtoMGD</f>
        <v>2.8800000000000002E-3</v>
      </c>
      <c r="BC131" s="89">
        <f>Sheet1!CS129*GPMtoMGD</f>
        <v>5.0558399999999999</v>
      </c>
      <c r="BD131" s="89">
        <f>Sheet1!BO129*GPMtoMGD</f>
        <v>1.6535520000000001</v>
      </c>
      <c r="BE131" s="89">
        <f>Sheet1!BW129*GPMtoMGD</f>
        <v>1.131696</v>
      </c>
      <c r="BF131" s="89">
        <f>Sheet1!CN129*GPMtoMGD</f>
        <v>1.5762240000000001</v>
      </c>
      <c r="BG131" s="89">
        <f>Sheet1!CO129*GPMtoMGD</f>
        <v>0.7326720000000001</v>
      </c>
      <c r="BH131" s="89">
        <f>Sheet1!CP129*GPMtoMGD</f>
        <v>0.68788800000000005</v>
      </c>
      <c r="BI131" s="89">
        <f t="shared" si="29"/>
        <v>1.6564320000000001</v>
      </c>
      <c r="BK131" s="94">
        <f>SUM(AT131:BA131,AS131,BC131,Calculation!AQ131)</f>
        <v>44.24273447775947</v>
      </c>
      <c r="BM131" s="358">
        <f>0</f>
        <v>0</v>
      </c>
      <c r="BN131" s="358">
        <f>0</f>
        <v>0</v>
      </c>
      <c r="BP131" s="94">
        <f>SUM(BM131:BN131,W131,Sheet1!DX129)</f>
        <v>0</v>
      </c>
      <c r="BR131" s="94">
        <f>Sheet1!AA129</f>
        <v>25.6</v>
      </c>
      <c r="BS131" s="94">
        <f>Sheet1!AB129</f>
        <v>24.2</v>
      </c>
      <c r="BT131" s="94">
        <f t="shared" ca="1" si="20"/>
        <v>0.55367303027540904</v>
      </c>
      <c r="BU131" s="94">
        <f>Sheet1!AT129</f>
        <v>0</v>
      </c>
      <c r="BV131" s="89">
        <f>Sheet1!BB129</f>
        <v>0</v>
      </c>
      <c r="BW131" s="94">
        <f>Calculation!ED131</f>
        <v>10.445469522240526</v>
      </c>
      <c r="BX131" s="94">
        <f>(Sheet1!CS129*1440)/1000000</f>
        <v>5.0558399999999999</v>
      </c>
      <c r="CA131" s="94">
        <f ca="1">Sheet1!AC129-Sheet1!BK129-Sheet1!BL129-Sheet1!BM129-Sheet1!BC129-Sheet1!BD129-Sheet1!BE129-Sheet1!BF129-Sheet1!BG129-Sheet1!BH129-Sheet1!BI129+BC131+P131</f>
        <v>44.929513030275409</v>
      </c>
      <c r="CB131" s="93">
        <f t="shared" si="21"/>
        <v>60.881458649093894</v>
      </c>
      <c r="CC131" s="94">
        <f t="shared" si="22"/>
        <v>0</v>
      </c>
      <c r="CD131" s="94">
        <f t="shared" ca="1" si="23"/>
        <v>55.374982552515931</v>
      </c>
      <c r="CE131" s="1077">
        <f t="shared" ca="1" si="24"/>
        <v>85.665098008742135</v>
      </c>
      <c r="CG131" s="1077">
        <f t="shared" ca="1" si="25"/>
        <v>44.929513030275409</v>
      </c>
    </row>
    <row r="132" spans="1:85" s="89" customFormat="1" x14ac:dyDescent="0.25">
      <c r="A132" s="616" t="s">
        <v>4</v>
      </c>
      <c r="B132" s="91">
        <v>42856</v>
      </c>
      <c r="C132" s="92">
        <v>0</v>
      </c>
      <c r="D132" s="94">
        <f>(Sheet1!BQ130-Sheet1!BQ129)*1.385</f>
        <v>-0.59554999999999958</v>
      </c>
      <c r="E132" s="30">
        <f>(Sheet1!BR130-Sheet1!BR129)*1.385</f>
        <v>0</v>
      </c>
      <c r="F132" s="30">
        <f ca="1">IF(B132=TODAY(),0,-(VLOOKUP(Sheet1!CD130,Lookup!$I$4:$J$216,2)-VLOOKUP(Sheet1!CD129,Lookup!$I$4:$J$216,2))/1000000)</f>
        <v>1.0363693854779992</v>
      </c>
      <c r="G132" s="94">
        <f ca="1">IF(B132=TODAY(),0,-$G$6*(Sheet1!CF130-Sheet1!CF129)*7.48/1000000)</f>
        <v>-1.3502590357870161</v>
      </c>
      <c r="H132" s="94">
        <f ca="1">IF(B132=TODAY(),0,-$H$6*(Sheet1!CE130-Sheet1!CE129)*7.48/1000000)</f>
        <v>0</v>
      </c>
      <c r="I132" s="94">
        <f ca="1">IF(B132=TODAY(),0,-$I$6*(Sheet1!CG130-Sheet1!CG129)*7.48/1000000)</f>
        <v>3.1447415999999971E-2</v>
      </c>
      <c r="J132" s="95" t="s">
        <v>177</v>
      </c>
      <c r="K132" s="94">
        <f ca="1">IF(B132=TODAY(),0,-$K$6*(Sheet1!CH130-Sheet1!CH129)*7.48/1000000)</f>
        <v>6.6633203744584424E-2</v>
      </c>
      <c r="L132" s="95" t="s">
        <v>177</v>
      </c>
      <c r="M132" s="94">
        <f ca="1">IF(B132=TODAY(),0,-$M$6*(Sheet1!CI130-Sheet1!CI129)*7.48/1000000)</f>
        <v>0.10794905056816191</v>
      </c>
      <c r="N132" s="94">
        <f ca="1">IF(B132=TODAY(),0,-$N$6*(Sheet1!CJ130-Sheet1!CJ129)*7.48/1000000)</f>
        <v>0.55847110855161541</v>
      </c>
      <c r="O132" s="94">
        <f t="shared" ca="1" si="30"/>
        <v>0.4506111285553448</v>
      </c>
      <c r="P132" s="94">
        <f ca="1">O132+Calculation!ES132</f>
        <v>1.1425864974666857</v>
      </c>
      <c r="Q132" s="89" t="str">
        <f>IF(Sheet1!BQ130&gt;25.75,"spill elevation","-")</f>
        <v>-</v>
      </c>
      <c r="R132" s="89" t="str">
        <f>IF(Sheet1!BQ130&gt;25.75,"spill elevation","-")</f>
        <v>-</v>
      </c>
      <c r="S132" s="89" t="str">
        <f>IF(Sheet1!BR130&gt;25.75,"spill elevation","-")</f>
        <v>-</v>
      </c>
      <c r="T132" s="93">
        <f>IF(Sheet1!DU130=1,Sheet1!AA130-(SUM(AT132:BA132)+BE132),Sheet1!AA130-SUM(AT132:BA132))</f>
        <v>23.857888000000003</v>
      </c>
      <c r="U132" s="93">
        <f>Sheet1!BV130</f>
        <v>28.4</v>
      </c>
      <c r="V132" s="93">
        <f t="shared" si="27"/>
        <v>-4.5421119999999959</v>
      </c>
      <c r="W132" s="93">
        <f>0</f>
        <v>0</v>
      </c>
      <c r="X132" s="89">
        <f>0</f>
        <v>0</v>
      </c>
      <c r="Y132" s="94">
        <f ca="1">Calculation!EJ133+Calculation!ES132+'Calculations II'!O132-'Calculations II'!W132</f>
        <v>45.028917621733022</v>
      </c>
      <c r="Z132" s="94">
        <f ca="1">Y132-Sheet1!CT131</f>
        <v>30.501917621733021</v>
      </c>
      <c r="AA132" s="94">
        <f ca="1">Y132+Calculation!DJ133+Calculation!AS133</f>
        <v>55.999861017959439</v>
      </c>
      <c r="AC132" s="94">
        <f>Sheet1!AA130+Sheet1!AB130+BC132</f>
        <v>55.545183999999999</v>
      </c>
      <c r="AD132" s="94">
        <f>Sheet1!AA130+Sheet1!BN130+'Calculations II'!BC132-Calculation!AS132-Calculation!DJ132</f>
        <v>34.077078484412468</v>
      </c>
      <c r="AE132" s="94">
        <f>Sheet1!AA130+Sheet1!AB130+'Calculations II'!BC132-Calculation!AS132-Calculation!DJ132</f>
        <v>44.777078484412471</v>
      </c>
      <c r="AF132" s="94">
        <f ca="1">Sheet1!AA130+Sheet1!BN130+P132+'Calculations II'!BC132+Calculation!AS132+Calculation!DJ132</f>
        <v>56.755876013054213</v>
      </c>
      <c r="AG132" s="94">
        <f ca="1">IF(B132=TODAY(),0,Sheet1!AA130+Sheet1!BN130+'Calculations II'!BC132+'Calculations II'!P132-Sheet1!CT130-BP132)</f>
        <v>28.927770497466685</v>
      </c>
      <c r="AH132" s="94">
        <f ca="1">IF(B132=TODAY(),0,Sheet1!AA130+Sheet1!BN130+'Calculations II'!BC132+'Calculations II'!P132-BP132)</f>
        <v>45.987770497466684</v>
      </c>
      <c r="AI132" s="94">
        <f ca="1">IF(B132=TODAY(),0,BC132+Sheet1!AA130+Calculation!ES132+O132+W132+Sheet1!BN130+Calculation!AS132+Calculation!DJ132-BP132)</f>
        <v>56.755876013054213</v>
      </c>
      <c r="AJ132" s="94"/>
      <c r="AM132" s="90">
        <f t="shared" si="28"/>
        <v>42856</v>
      </c>
      <c r="AN132" s="94">
        <f>Sheet1!BU130</f>
        <v>23.7</v>
      </c>
      <c r="AO132" s="94">
        <f>Sheet1!AA130</f>
        <v>25.6</v>
      </c>
      <c r="AP132" s="94">
        <f t="shared" si="17"/>
        <v>-0.59554999999999958</v>
      </c>
      <c r="AQ132" s="1087">
        <f>((Sheet1!BV130-(Sheet1!BU130-AP132))/(Sheet1!BU130-AP132))</f>
        <v>0.16893834467628846</v>
      </c>
      <c r="AR132" s="94">
        <f t="shared" si="18"/>
        <v>26.195550000000001</v>
      </c>
      <c r="AS132" s="94">
        <f t="shared" si="19"/>
        <v>24.295549999999999</v>
      </c>
      <c r="AT132" s="89">
        <f>Sheet1!BB130</f>
        <v>0</v>
      </c>
      <c r="AU132" s="89">
        <f>Sheet1!AS130*GPMtoMGD</f>
        <v>1.5696000000000002E-2</v>
      </c>
      <c r="AV132" s="94">
        <f>Sheet1!AT130</f>
        <v>0</v>
      </c>
      <c r="AW132" s="89">
        <f>Sheet1!AV130*GPMtoMGD</f>
        <v>0.82944000000000007</v>
      </c>
      <c r="AX132" s="89">
        <f>Sheet1!AW130*GPMtoMGD</f>
        <v>0.896976</v>
      </c>
      <c r="AY132" s="89">
        <f>Sheet1!AX130*GPMtoMGD</f>
        <v>0</v>
      </c>
      <c r="AZ132" s="89">
        <f>Sheet1!AY130*GPMtoMGD</f>
        <v>0</v>
      </c>
      <c r="BA132" s="89">
        <f>Sheet1!AZ130*GPMtoMGD</f>
        <v>0</v>
      </c>
      <c r="BB132" s="89">
        <f>Sheet1!BP130*GPMtoMGD</f>
        <v>2.8800000000000002E-3</v>
      </c>
      <c r="BC132" s="89">
        <f>Sheet1!CS130*GPMtoMGD</f>
        <v>5.0451839999999999</v>
      </c>
      <c r="BD132" s="89">
        <f>Sheet1!BO130*GPMtoMGD</f>
        <v>1.330992</v>
      </c>
      <c r="BE132" s="89">
        <f>Sheet1!BW130*GPMtoMGD</f>
        <v>1.0658880000000002</v>
      </c>
      <c r="BF132" s="89">
        <f>Sheet1!CN130*GPMtoMGD</f>
        <v>1.3348800000000001</v>
      </c>
      <c r="BG132" s="89">
        <f>Sheet1!CO130*GPMtoMGD</f>
        <v>0.65462400000000009</v>
      </c>
      <c r="BH132" s="89">
        <f>Sheet1!CP130*GPMtoMGD</f>
        <v>0.71265600000000007</v>
      </c>
      <c r="BI132" s="89">
        <f t="shared" si="29"/>
        <v>1.3338719999999999</v>
      </c>
      <c r="BK132" s="94">
        <f>SUM(AT132:BA132,AS132,BC132,Calculation!AQ132)</f>
        <v>45.214740484412467</v>
      </c>
      <c r="BM132" s="358">
        <f>0</f>
        <v>0</v>
      </c>
      <c r="BN132" s="358">
        <f>0</f>
        <v>0</v>
      </c>
      <c r="BP132" s="94">
        <f>SUM(BM132:BN132,W132,Sheet1!DX130)</f>
        <v>0</v>
      </c>
      <c r="BR132" s="94">
        <f>Sheet1!AA130</f>
        <v>25.6</v>
      </c>
      <c r="BS132" s="94">
        <f>Sheet1!AB130</f>
        <v>24.9</v>
      </c>
      <c r="BT132" s="94">
        <f t="shared" ca="1" si="20"/>
        <v>1.1425864974666857</v>
      </c>
      <c r="BU132" s="94">
        <f>Sheet1!AT130</f>
        <v>0</v>
      </c>
      <c r="BV132" s="89">
        <f>Sheet1!BB130</f>
        <v>0</v>
      </c>
      <c r="BW132" s="94">
        <f>Calculation!ED132</f>
        <v>10.76810551558753</v>
      </c>
      <c r="BX132" s="94">
        <f>(Sheet1!CS130*1440)/1000000</f>
        <v>5.0451839999999999</v>
      </c>
      <c r="CA132" s="94">
        <f ca="1">Sheet1!AC130-Sheet1!BK130-Sheet1!BL130-Sheet1!BM130-Sheet1!BC130-Sheet1!BD130-Sheet1!BE130-Sheet1!BF130-Sheet1!BG130-Sheet1!BH130-Sheet1!BI130+BC132+P132</f>
        <v>45.867770497466687</v>
      </c>
      <c r="CB132" s="93">
        <f t="shared" si="21"/>
        <v>61.465240767386092</v>
      </c>
      <c r="CC132" s="94">
        <f t="shared" si="22"/>
        <v>0</v>
      </c>
      <c r="CD132" s="94">
        <f t="shared" ca="1" si="23"/>
        <v>56.635876013054215</v>
      </c>
      <c r="CE132" s="1077">
        <f t="shared" ca="1" si="24"/>
        <v>87.615700192194865</v>
      </c>
      <c r="CG132" s="1077">
        <f t="shared" ca="1" si="25"/>
        <v>45.867770497466687</v>
      </c>
    </row>
    <row r="133" spans="1:85" s="89" customFormat="1" x14ac:dyDescent="0.25">
      <c r="A133" s="616" t="s">
        <v>5</v>
      </c>
      <c r="B133" s="91">
        <v>42857</v>
      </c>
      <c r="C133" s="92">
        <v>0</v>
      </c>
      <c r="D133" s="94">
        <f>(Sheet1!BQ131-Sheet1!BQ130)*1.385</f>
        <v>1.2464999999999979</v>
      </c>
      <c r="E133" s="30">
        <f>(Sheet1!BR131-Sheet1!BR130)*1.385</f>
        <v>-1.3850000000000012E-2</v>
      </c>
      <c r="F133" s="30">
        <f ca="1">IF(B133=TODAY(),0,-(VLOOKUP(Sheet1!CD131,Lookup!$I$4:$J$216,2)-VLOOKUP(Sheet1!CD130,Lookup!$I$4:$J$216,2))/1000000)</f>
        <v>-1.0363693854779992</v>
      </c>
      <c r="G133" s="94">
        <f ca="1">IF(B133=TODAY(),0,-$G$6*(Sheet1!CF131-Sheet1!CF130)*7.48/1000000)</f>
        <v>0.43684851157815285</v>
      </c>
      <c r="H133" s="94">
        <f ca="1">IF(B133=TODAY(),0,-$H$6*(Sheet1!CE131-Sheet1!CE130)*7.48/1000000)</f>
        <v>1.5039432351265274E-2</v>
      </c>
      <c r="I133" s="94">
        <f ca="1">IF(B133=TODAY(),0,-$I$6*(Sheet1!CG131-Sheet1!CG130)*7.48/1000000)</f>
        <v>-2.2462440000000004E-2</v>
      </c>
      <c r="J133" s="95" t="s">
        <v>177</v>
      </c>
      <c r="K133" s="94">
        <f ca="1">IF(B133=TODAY(),0,-$K$6*(Sheet1!CH131-Sheet1!CH130)*7.48/1000000)</f>
        <v>-3.3316601872292212E-2</v>
      </c>
      <c r="L133" s="95" t="s">
        <v>177</v>
      </c>
      <c r="M133" s="94">
        <f ca="1">IF(B133=TODAY(),0,-$M$6*(Sheet1!CI131-Sheet1!CI130)*7.48/1000000)</f>
        <v>-8.9957542140135238E-2</v>
      </c>
      <c r="N133" s="94">
        <f ca="1">IF(B133=TODAY(),0,-$N$6*(Sheet1!CJ131-Sheet1!CJ130)*7.48/1000000)</f>
        <v>-0.62052345394623898</v>
      </c>
      <c r="O133" s="94">
        <f t="shared" ca="1" si="30"/>
        <v>-1.3507414795072474</v>
      </c>
      <c r="P133" s="94">
        <f ca="1">O133+Calculation!ES133</f>
        <v>-2.5964124608118038</v>
      </c>
      <c r="Q133" s="89" t="str">
        <f>IF(Sheet1!BQ131&gt;25.75,"spill elevation","-")</f>
        <v>-</v>
      </c>
      <c r="R133" s="89" t="str">
        <f>IF(Sheet1!BQ131&gt;25.75,"spill elevation","-")</f>
        <v>-</v>
      </c>
      <c r="S133" s="89" t="str">
        <f>IF(Sheet1!BR131&gt;25.75,"spill elevation","-")</f>
        <v>-</v>
      </c>
      <c r="T133" s="93">
        <f>IF(Sheet1!DU131=1,Sheet1!AA131-(SUM(AT133:BA133)+BE133),Sheet1!AA131-SUM(AT133:BA133))</f>
        <v>24.659824</v>
      </c>
      <c r="U133" s="93">
        <f>Sheet1!BV131</f>
        <v>26.6</v>
      </c>
      <c r="V133" s="93">
        <f t="shared" si="27"/>
        <v>-1.940176000000001</v>
      </c>
      <c r="W133" s="93">
        <f>0</f>
        <v>0</v>
      </c>
      <c r="X133" s="89">
        <f>0</f>
        <v>0</v>
      </c>
      <c r="Y133" s="94">
        <f ca="1">Calculation!EJ134+Calculation!ES133+'Calculations II'!O133-'Calculations II'!W133</f>
        <v>43.822829941588928</v>
      </c>
      <c r="Z133" s="94">
        <f ca="1">Y133-Sheet1!CT132</f>
        <v>28.138829941588931</v>
      </c>
      <c r="AA133" s="94">
        <f ca="1">Y133+Calculation!DJ134+Calculation!AS134</f>
        <v>54.798760260343556</v>
      </c>
      <c r="AC133" s="94">
        <f>Sheet1!AA131+Sheet1!AB131+BC133</f>
        <v>57.067840000000004</v>
      </c>
      <c r="AD133" s="94">
        <f>Sheet1!AA131+Sheet1!BN131+'Calculations II'!BC133-Calculation!AS133-Calculation!DJ133</f>
        <v>35.166896603773587</v>
      </c>
      <c r="AE133" s="94">
        <f>Sheet1!AA131+Sheet1!AB131+'Calculations II'!BC133-Calculation!AS133-Calculation!DJ133</f>
        <v>46.096896603773587</v>
      </c>
      <c r="AF133" s="94">
        <f ca="1">Sheet1!AA131+Sheet1!BN131+P133+'Calculations II'!BC133+Calculation!AS133+Calculation!DJ133</f>
        <v>54.512370935414616</v>
      </c>
      <c r="AG133" s="94">
        <f ca="1">IF(B133=TODAY(),0,Sheet1!AA131+Sheet1!BN131+'Calculations II'!BC133+'Calculations II'!P133-Sheet1!CT131-BP133)</f>
        <v>29.014427539188198</v>
      </c>
      <c r="AH133" s="94">
        <f ca="1">IF(B133=TODAY(),0,Sheet1!AA131+Sheet1!BN131+'Calculations II'!BC133+'Calculations II'!P133-BP133)</f>
        <v>43.541427539188199</v>
      </c>
      <c r="AI133" s="94">
        <f ca="1">IF(B133=TODAY(),0,BC133+Sheet1!AA131+Calculation!ES133+O133+W133+Sheet1!BN131+Calculation!AS133+Calculation!DJ133-BP133)</f>
        <v>54.512370935414616</v>
      </c>
      <c r="AJ133" s="94"/>
      <c r="AM133" s="90">
        <f t="shared" si="28"/>
        <v>42857</v>
      </c>
      <c r="AN133" s="94">
        <f>Sheet1!BU131</f>
        <v>23.8</v>
      </c>
      <c r="AO133" s="94">
        <f>Sheet1!AA131</f>
        <v>25.6</v>
      </c>
      <c r="AP133" s="94">
        <f t="shared" si="17"/>
        <v>1.232649999999998</v>
      </c>
      <c r="AQ133" s="1087">
        <f>((Sheet1!BV131-(Sheet1!BU131-AP133))/(Sheet1!BU131-AP133))</f>
        <v>0.1786939981876472</v>
      </c>
      <c r="AR133" s="94">
        <f t="shared" si="18"/>
        <v>24.367350000000002</v>
      </c>
      <c r="AS133" s="94">
        <f t="shared" si="19"/>
        <v>22.567350000000001</v>
      </c>
      <c r="AT133" s="89">
        <f>Sheet1!BB131</f>
        <v>0</v>
      </c>
      <c r="AU133" s="89">
        <f>Sheet1!AS131*GPMtoMGD</f>
        <v>3.2544000000000003E-2</v>
      </c>
      <c r="AV133" s="94">
        <f>Sheet1!AT131</f>
        <v>0</v>
      </c>
      <c r="AW133" s="89">
        <f>Sheet1!AV131*GPMtoMGD</f>
        <v>0.37382400000000005</v>
      </c>
      <c r="AX133" s="89">
        <f>Sheet1!AW131*GPMtoMGD</f>
        <v>0.53380800000000006</v>
      </c>
      <c r="AY133" s="89">
        <f>Sheet1!AX131*GPMtoMGD</f>
        <v>0</v>
      </c>
      <c r="AZ133" s="89">
        <f>Sheet1!AY131*GPMtoMGD</f>
        <v>0</v>
      </c>
      <c r="BA133" s="89">
        <f>Sheet1!AZ131*GPMtoMGD</f>
        <v>0</v>
      </c>
      <c r="BB133" s="89">
        <f>Sheet1!BP131*GPMtoMGD</f>
        <v>1.4544E-2</v>
      </c>
      <c r="BC133" s="89">
        <f>Sheet1!CS131*GPMtoMGD</f>
        <v>5.0378400000000001</v>
      </c>
      <c r="BD133" s="89">
        <f>Sheet1!BO131*GPMtoMGD</f>
        <v>1.6097760000000003</v>
      </c>
      <c r="BE133" s="89">
        <f>Sheet1!BW131*GPMtoMGD</f>
        <v>1.0621440000000002</v>
      </c>
      <c r="BF133" s="89">
        <f>Sheet1!CN131*GPMtoMGD</f>
        <v>1.2889440000000001</v>
      </c>
      <c r="BG133" s="89">
        <f>Sheet1!CO131*GPMtoMGD</f>
        <v>0.64022400000000013</v>
      </c>
      <c r="BH133" s="89">
        <f>Sheet1!CP131*GPMtoMGD</f>
        <v>0.70228800000000002</v>
      </c>
      <c r="BI133" s="89">
        <f t="shared" si="29"/>
        <v>1.6243200000000002</v>
      </c>
      <c r="BK133" s="94">
        <f>SUM(AT133:BA133,AS133,BC133,Calculation!AQ133)</f>
        <v>44.004422603773584</v>
      </c>
      <c r="BM133" s="358">
        <f>0</f>
        <v>0</v>
      </c>
      <c r="BN133" s="358">
        <f>0</f>
        <v>0</v>
      </c>
      <c r="BP133" s="94">
        <f>SUM(BM133:BN133,W133,Sheet1!DX131)</f>
        <v>0</v>
      </c>
      <c r="BR133" s="94">
        <f>Sheet1!AA131</f>
        <v>25.6</v>
      </c>
      <c r="BS133" s="94">
        <f>Sheet1!AB131</f>
        <v>26.43</v>
      </c>
      <c r="BT133" s="94">
        <f t="shared" ca="1" si="20"/>
        <v>-2.5964124608118038</v>
      </c>
      <c r="BU133" s="94">
        <f>Sheet1!AT131</f>
        <v>0</v>
      </c>
      <c r="BV133" s="89">
        <f>Sheet1!BB131</f>
        <v>0</v>
      </c>
      <c r="BW133" s="94">
        <f>Calculation!ED133</f>
        <v>10.970943396226415</v>
      </c>
      <c r="BX133" s="94">
        <f>(Sheet1!CS131*1440)/1000000</f>
        <v>5.0378400000000001</v>
      </c>
      <c r="CA133" s="94">
        <f ca="1">Sheet1!AC131-Sheet1!BK131-Sheet1!BL131-Sheet1!BM131-Sheet1!BC131-Sheet1!BD131-Sheet1!BE131-Sheet1!BF131-Sheet1!BG131-Sheet1!BH131-Sheet1!BI131+BC133+P133</f>
        <v>43.471427539188198</v>
      </c>
      <c r="CB133" s="93">
        <f t="shared" si="21"/>
        <v>63.518360566037728</v>
      </c>
      <c r="CC133" s="94">
        <f t="shared" si="22"/>
        <v>0</v>
      </c>
      <c r="CD133" s="94">
        <f t="shared" ca="1" si="23"/>
        <v>54.442370935414615</v>
      </c>
      <c r="CE133" s="1077">
        <f t="shared" ca="1" si="24"/>
        <v>84.222347837086403</v>
      </c>
      <c r="CG133" s="1077">
        <f t="shared" ca="1" si="25"/>
        <v>43.471427539188198</v>
      </c>
    </row>
    <row r="134" spans="1:85" s="89" customFormat="1" x14ac:dyDescent="0.25">
      <c r="A134" s="616" t="s">
        <v>6</v>
      </c>
      <c r="B134" s="91">
        <v>42858</v>
      </c>
      <c r="C134" s="92">
        <v>0</v>
      </c>
      <c r="D134" s="94">
        <f>(Sheet1!BQ132-Sheet1!BQ131)*1.385</f>
        <v>1.2464999999999979</v>
      </c>
      <c r="E134" s="30">
        <f>(Sheet1!BR132-Sheet1!BR131)*1.385</f>
        <v>0</v>
      </c>
      <c r="F134" s="30">
        <f ca="1">IF(B134=TODAY(),0,-(VLOOKUP(Sheet1!CD132,Lookup!$I$4:$J$216,2)-VLOOKUP(Sheet1!CD131,Lookup!$I$4:$J$216,2))/1000000)</f>
        <v>-0.20727387709559872</v>
      </c>
      <c r="G134" s="94">
        <f ca="1">IF(B134=TODAY(),0,-$G$6*(Sheet1!CF132-Sheet1!CF131)*7.48/1000000)</f>
        <v>0.43684851157815213</v>
      </c>
      <c r="H134" s="94">
        <f ca="1">IF(B134=TODAY(),0,-$H$6*(Sheet1!CE132-Sheet1!CE131)*7.48/1000000)</f>
        <v>4.5118297053794748E-2</v>
      </c>
      <c r="I134" s="94">
        <f ca="1">IF(B134=TODAY(),0,-$I$6*(Sheet1!CG132-Sheet1!CG131)*7.48/1000000)</f>
        <v>0</v>
      </c>
      <c r="J134" s="95" t="s">
        <v>177</v>
      </c>
      <c r="K134" s="94">
        <f ca="1">IF(B134=TODAY(),0,-$K$6*(Sheet1!CH132-Sheet1!CH131)*7.48/1000000)</f>
        <v>-6.6633203744584186E-3</v>
      </c>
      <c r="L134" s="95" t="s">
        <v>177</v>
      </c>
      <c r="M134" s="94">
        <f ca="1">IF(B134=TODAY(),0,-$M$6*(Sheet1!CI132-Sheet1!CI131)*7.48/1000000)</f>
        <v>-1.7991508428026663E-2</v>
      </c>
      <c r="N134" s="94">
        <f ca="1">IF(B134=TODAY(),0,-$N$6*(Sheet1!CJ132-Sheet1!CJ131)*7.48/1000000)</f>
        <v>-0.24820938157849581</v>
      </c>
      <c r="O134" s="94">
        <f t="shared" ca="1" si="30"/>
        <v>1.8287211553672522E-3</v>
      </c>
      <c r="P134" s="94">
        <f ca="1">O134+Calculation!ES134</f>
        <v>-1.2443612397156438</v>
      </c>
      <c r="Q134" s="89" t="str">
        <f>IF(Sheet1!BQ132&gt;25.75,"spill elevation","-")</f>
        <v>-</v>
      </c>
      <c r="R134" s="89" t="str">
        <f>IF(Sheet1!BQ132&gt;25.75,"spill elevation","-")</f>
        <v>-</v>
      </c>
      <c r="S134" s="89" t="str">
        <f>IF(Sheet1!BR132&gt;25.75,"spill elevation","-")</f>
        <v>-</v>
      </c>
      <c r="T134" s="93">
        <f>IF(Sheet1!DU132=1,Sheet1!AA132-(SUM(AT134:BA134)+BE134),Sheet1!AA132-SUM(AT134:BA134))</f>
        <v>24.210895999999998</v>
      </c>
      <c r="U134" s="93">
        <f>Sheet1!BV132</f>
        <v>26.6</v>
      </c>
      <c r="V134" s="93">
        <f t="shared" si="27"/>
        <v>-2.3891040000000032</v>
      </c>
      <c r="W134" s="93">
        <f>0</f>
        <v>0</v>
      </c>
      <c r="X134" s="89">
        <f>0</f>
        <v>0</v>
      </c>
      <c r="Y134" s="94">
        <f ca="1">Calculation!EJ135+Calculation!ES134+'Calculations II'!O134-'Calculations II'!W134</f>
        <v>42.160822092381892</v>
      </c>
      <c r="Z134" s="94">
        <f ca="1">Y134-Sheet1!CT133</f>
        <v>26.860822092381891</v>
      </c>
      <c r="AA134" s="94">
        <f ca="1">Y134+Calculation!DJ135+Calculation!AS135</f>
        <v>53.125983143844309</v>
      </c>
      <c r="AC134" s="94">
        <f>Sheet1!AA132+Sheet1!AB132+BC134</f>
        <v>57.704239999999999</v>
      </c>
      <c r="AD134" s="94">
        <f>Sheet1!AA132+Sheet1!BN132+'Calculations II'!BC134-Calculation!AS134-Calculation!DJ134</f>
        <v>35.758309681245365</v>
      </c>
      <c r="AE134" s="94">
        <f>Sheet1!AA132+Sheet1!AB132+'Calculations II'!BC134-Calculation!AS134-Calculation!DJ134</f>
        <v>46.728309681245364</v>
      </c>
      <c r="AF134" s="94">
        <f ca="1">Sheet1!AA132+Sheet1!BN132+P134+'Calculations II'!BC134+Calculation!AS134+Calculation!DJ134</f>
        <v>56.465809079038991</v>
      </c>
      <c r="AG134" s="94">
        <f ca="1">IF(B134=TODAY(),0,Sheet1!AA132+Sheet1!BN132+'Calculations II'!BC134+'Calculations II'!P134-Sheet1!CT132-BP134)</f>
        <v>29.805878760284358</v>
      </c>
      <c r="AH134" s="94">
        <f ca="1">IF(B134=TODAY(),0,Sheet1!AA132+Sheet1!BN132+'Calculations II'!BC134+'Calculations II'!P134-BP134)</f>
        <v>45.489878760284356</v>
      </c>
      <c r="AI134" s="94">
        <f ca="1">IF(B134=TODAY(),0,BC134+Sheet1!AA132+Calculation!ES134+O134+W134+Sheet1!BN132+Calculation!AS134+Calculation!DJ134-BP134)</f>
        <v>56.465809079038991</v>
      </c>
      <c r="AJ134" s="94"/>
      <c r="AM134" s="90">
        <f t="shared" si="28"/>
        <v>42858</v>
      </c>
      <c r="AN134" s="94">
        <f>Sheet1!BU132</f>
        <v>23.9</v>
      </c>
      <c r="AO134" s="94">
        <f>Sheet1!AA132</f>
        <v>25.7</v>
      </c>
      <c r="AP134" s="94">
        <f t="shared" si="17"/>
        <v>1.2464999999999979</v>
      </c>
      <c r="AQ134" s="1087">
        <f>((Sheet1!BV132-(Sheet1!BU132-AP134))/(Sheet1!BU132-AP134))</f>
        <v>0.17421149049815701</v>
      </c>
      <c r="AR134" s="94">
        <f t="shared" si="18"/>
        <v>24.453500000000002</v>
      </c>
      <c r="AS134" s="94">
        <f t="shared" si="19"/>
        <v>22.653500000000001</v>
      </c>
      <c r="AT134" s="89">
        <f>Sheet1!BB132</f>
        <v>0</v>
      </c>
      <c r="AU134" s="89">
        <f>Sheet1!AS132*GPMtoMGD</f>
        <v>1.5552000000000002E-2</v>
      </c>
      <c r="AV134" s="94">
        <f>Sheet1!AT132</f>
        <v>0</v>
      </c>
      <c r="AW134" s="89">
        <f>Sheet1!AV132*GPMtoMGD</f>
        <v>0.68169599999999997</v>
      </c>
      <c r="AX134" s="89">
        <f>Sheet1!AW132*GPMtoMGD</f>
        <v>0.791856</v>
      </c>
      <c r="AY134" s="89">
        <f>Sheet1!AX132*GPMtoMGD</f>
        <v>0</v>
      </c>
      <c r="AZ134" s="89">
        <f>Sheet1!AY132*GPMtoMGD</f>
        <v>0</v>
      </c>
      <c r="BA134" s="89">
        <f>Sheet1!AZ132*GPMtoMGD</f>
        <v>0</v>
      </c>
      <c r="BB134" s="89">
        <f>Sheet1!BP132*GPMtoMGD</f>
        <v>2.8800000000000002E-3</v>
      </c>
      <c r="BC134" s="89">
        <f>Sheet1!CS132*GPMtoMGD</f>
        <v>5.0342400000000005</v>
      </c>
      <c r="BD134" s="89">
        <f>Sheet1!BO132*GPMtoMGD</f>
        <v>1.5446880000000001</v>
      </c>
      <c r="BE134" s="89">
        <f>Sheet1!BW132*GPMtoMGD</f>
        <v>1.0608480000000002</v>
      </c>
      <c r="BF134" s="89">
        <f>Sheet1!CN132*GPMtoMGD</f>
        <v>1.3913280000000001</v>
      </c>
      <c r="BG134" s="89">
        <f>Sheet1!CO132*GPMtoMGD</f>
        <v>0.667296</v>
      </c>
      <c r="BH134" s="89">
        <f>Sheet1!CP132*GPMtoMGD</f>
        <v>0.69681599999999999</v>
      </c>
      <c r="BI134" s="89">
        <f t="shared" si="29"/>
        <v>1.5475680000000001</v>
      </c>
      <c r="BK134" s="94">
        <f>SUM(AT134:BA134,AS134,BC134,Calculation!AQ134)</f>
        <v>45.170913681245366</v>
      </c>
      <c r="BM134" s="358">
        <f>0</f>
        <v>0</v>
      </c>
      <c r="BN134" s="358">
        <f>0</f>
        <v>0</v>
      </c>
      <c r="BP134" s="94">
        <f>SUM(BM134:BN134,W134,Sheet1!DX132)</f>
        <v>0</v>
      </c>
      <c r="BR134" s="94">
        <f>Sheet1!AA132</f>
        <v>25.7</v>
      </c>
      <c r="BS134" s="94">
        <f>Sheet1!AB132</f>
        <v>26.97</v>
      </c>
      <c r="BT134" s="94">
        <f t="shared" ca="1" si="20"/>
        <v>-1.2443612397156438</v>
      </c>
      <c r="BU134" s="94">
        <f>Sheet1!AT132</f>
        <v>0</v>
      </c>
      <c r="BV134" s="89">
        <f>Sheet1!BB132</f>
        <v>0</v>
      </c>
      <c r="BW134" s="94">
        <f>Calculation!ED134</f>
        <v>10.975930318754632</v>
      </c>
      <c r="BX134" s="94">
        <f>(Sheet1!CS132*1440)/1000000</f>
        <v>5.0342399999999996</v>
      </c>
      <c r="CA134" s="94">
        <f ca="1">Sheet1!AC132-Sheet1!BK132-Sheet1!BL132-Sheet1!BM132-Sheet1!BC132-Sheet1!BD132-Sheet1!BE132-Sheet1!BF132-Sheet1!BG132-Sheet1!BH132-Sheet1!BI132+BC134+P134</f>
        <v>45.47987876028435</v>
      </c>
      <c r="CB134" s="93">
        <f t="shared" si="21"/>
        <v>64.500725796886584</v>
      </c>
      <c r="CC134" s="94">
        <f t="shared" si="22"/>
        <v>0</v>
      </c>
      <c r="CD134" s="94">
        <f t="shared" ca="1" si="23"/>
        <v>56.455809079038985</v>
      </c>
      <c r="CE134" s="1077">
        <f t="shared" ca="1" si="24"/>
        <v>87.337136645273304</v>
      </c>
      <c r="CG134" s="1077">
        <f t="shared" ca="1" si="25"/>
        <v>45.47987876028435</v>
      </c>
    </row>
    <row r="135" spans="1:85" s="89" customFormat="1" x14ac:dyDescent="0.25">
      <c r="A135" s="616" t="s">
        <v>7</v>
      </c>
      <c r="B135" s="91">
        <v>42859</v>
      </c>
      <c r="C135" s="92">
        <v>0</v>
      </c>
      <c r="D135" s="94">
        <f>(Sheet1!BQ133-Sheet1!BQ132)*1.385</f>
        <v>-0.6925</v>
      </c>
      <c r="E135" s="30">
        <f>(Sheet1!BR133-Sheet1!BR132)*1.385</f>
        <v>0</v>
      </c>
      <c r="F135" s="30">
        <f ca="1">IF(B135=TODAY(),0,-(VLOOKUP(Sheet1!CD133,Lookup!$I$4:$J$216,2)-VLOOKUP(Sheet1!CD132,Lookup!$I$4:$J$216,2))/1000000)</f>
        <v>0.31091081564339806</v>
      </c>
      <c r="G135" s="94">
        <f ca="1">IF(B135=TODAY(),0,-$G$6*(Sheet1!CF133-Sheet1!CF132)*7.48/1000000)</f>
        <v>-2.6210910694689136</v>
      </c>
      <c r="H135" s="94">
        <f ca="1">IF(B135=TODAY(),0,-$H$6*(Sheet1!CE133-Sheet1!CE132)*7.48/1000000)</f>
        <v>1.5039432351265274E-2</v>
      </c>
      <c r="I135" s="94">
        <f ca="1">IF(B135=TODAY(),0,-$I$6*(Sheet1!CG133-Sheet1!CG132)*7.48/1000000)</f>
        <v>-1.7969952000000015E-2</v>
      </c>
      <c r="J135" s="95" t="s">
        <v>177</v>
      </c>
      <c r="K135" s="94">
        <f ca="1">IF(B135=TODAY(),0,-$K$6*(Sheet1!CH133-Sheet1!CH132)*7.48/1000000)</f>
        <v>-2.6653281497833796E-2</v>
      </c>
      <c r="L135" s="95" t="s">
        <v>177</v>
      </c>
      <c r="M135" s="94">
        <f ca="1">IF(B135=TODAY(),0,-$M$6*(Sheet1!CI133-Sheet1!CI132)*7.48/1000000)</f>
        <v>-5.3974525284081275E-2</v>
      </c>
      <c r="N135" s="94">
        <f ca="1">IF(B135=TODAY(),0,-$N$6*(Sheet1!CJ133-Sheet1!CJ132)*7.48/1000000)</f>
        <v>-0.18615703618387103</v>
      </c>
      <c r="O135" s="94">
        <f t="shared" ca="1" si="30"/>
        <v>-2.5798956164400368</v>
      </c>
      <c r="P135" s="94">
        <f ca="1">O135+Calculation!ES135</f>
        <v>-1.8875037824445045</v>
      </c>
      <c r="Q135" s="89" t="str">
        <f>IF(Sheet1!BQ133&gt;25.75,"spill elevation","-")</f>
        <v>-</v>
      </c>
      <c r="R135" s="89" t="str">
        <f>IF(Sheet1!BQ133&gt;25.75,"spill elevation","-")</f>
        <v>-</v>
      </c>
      <c r="S135" s="89" t="str">
        <f>IF(Sheet1!BR133&gt;25.75,"spill elevation","-")</f>
        <v>-</v>
      </c>
      <c r="T135" s="93">
        <f>IF(Sheet1!DU133=1,Sheet1!AA133-(SUM(AT135:BA135)+BE135),Sheet1!AA133-SUM(AT135:BA135))</f>
        <v>24.484287999999999</v>
      </c>
      <c r="U135" s="93">
        <f>Sheet1!BV133</f>
        <v>29</v>
      </c>
      <c r="V135" s="93">
        <f t="shared" si="27"/>
        <v>-4.5157120000000006</v>
      </c>
      <c r="W135" s="93">
        <f>0</f>
        <v>0</v>
      </c>
      <c r="X135" s="89">
        <f>0</f>
        <v>0</v>
      </c>
      <c r="Y135" s="94">
        <f ca="1">Calculation!EJ136+Calculation!ES135+'Calculations II'!O135-'Calculations II'!W135</f>
        <v>45.041361264958859</v>
      </c>
      <c r="Z135" s="94">
        <f ca="1">Y135-Sheet1!CT134</f>
        <v>28.501361264958859</v>
      </c>
      <c r="AA135" s="94">
        <f ca="1">Y135+Calculation!DJ136+Calculation!AS136</f>
        <v>56.626758677158492</v>
      </c>
      <c r="AC135" s="94">
        <f>Sheet1!AA133+Sheet1!AB133+BC135</f>
        <v>57.534528000000002</v>
      </c>
      <c r="AD135" s="94">
        <f>Sheet1!AA133+Sheet1!BN133+'Calculations II'!BC135-Calculation!AS135-Calculation!DJ135</f>
        <v>35.669366948537586</v>
      </c>
      <c r="AE135" s="94">
        <f>Sheet1!AA133+Sheet1!AB133+'Calculations II'!BC135-Calculation!AS135-Calculation!DJ135</f>
        <v>46.569366948537578</v>
      </c>
      <c r="AF135" s="94">
        <f ca="1">Sheet1!AA133+Sheet1!BN133+P135+'Calculations II'!BC135+Calculation!AS135+Calculation!DJ135</f>
        <v>55.712185269017922</v>
      </c>
      <c r="AG135" s="94">
        <f ca="1">IF(B135=TODAY(),0,Sheet1!AA133+Sheet1!BN133+'Calculations II'!BC135+'Calculations II'!P135-Sheet1!CT133-BP135)</f>
        <v>29.447024217555498</v>
      </c>
      <c r="AH135" s="94">
        <f ca="1">IF(B135=TODAY(),0,Sheet1!AA133+Sheet1!BN133+'Calculations II'!BC135+'Calculations II'!P135-BP135)</f>
        <v>44.747024217555499</v>
      </c>
      <c r="AI135" s="94">
        <f ca="1">IF(B135=TODAY(),0,BC135+Sheet1!AA133+Calculation!ES135+O135+W135+Sheet1!BN133+Calculation!AS135+Calculation!DJ135-BP135)</f>
        <v>55.712185269017922</v>
      </c>
      <c r="AJ135" s="94"/>
      <c r="AM135" s="90">
        <f t="shared" si="28"/>
        <v>42859</v>
      </c>
      <c r="AN135" s="94">
        <f>Sheet1!BU133</f>
        <v>23.9</v>
      </c>
      <c r="AO135" s="94">
        <f>Sheet1!AA133</f>
        <v>25.6</v>
      </c>
      <c r="AP135" s="94">
        <f t="shared" si="17"/>
        <v>-0.6925</v>
      </c>
      <c r="AQ135" s="1087">
        <f>((Sheet1!BV133-(Sheet1!BU133-AP135))/(Sheet1!BU133-AP135))</f>
        <v>0.17922130730913907</v>
      </c>
      <c r="AR135" s="94">
        <f t="shared" si="18"/>
        <v>26.2925</v>
      </c>
      <c r="AS135" s="94">
        <f t="shared" si="19"/>
        <v>24.592499999999998</v>
      </c>
      <c r="AT135" s="89">
        <f>Sheet1!BB133</f>
        <v>0</v>
      </c>
      <c r="AU135" s="89">
        <f>Sheet1!AS133*GPMtoMGD</f>
        <v>3.1104000000000003E-2</v>
      </c>
      <c r="AV135" s="94">
        <f>Sheet1!AT133</f>
        <v>0</v>
      </c>
      <c r="AW135" s="89">
        <f>Sheet1!AV133*GPMtoMGD</f>
        <v>0.45878400000000008</v>
      </c>
      <c r="AX135" s="89">
        <f>Sheet1!AW133*GPMtoMGD</f>
        <v>0.62582400000000005</v>
      </c>
      <c r="AY135" s="89">
        <f>Sheet1!AX133*GPMtoMGD</f>
        <v>0</v>
      </c>
      <c r="AZ135" s="89">
        <f>Sheet1!AY133*GPMtoMGD</f>
        <v>0</v>
      </c>
      <c r="BA135" s="89">
        <f>Sheet1!AZ133*GPMtoMGD</f>
        <v>0</v>
      </c>
      <c r="BB135" s="89">
        <f>Sheet1!BP133*GPMtoMGD</f>
        <v>2.8800000000000002E-3</v>
      </c>
      <c r="BC135" s="89">
        <f>Sheet1!CS133*GPMtoMGD</f>
        <v>5.0345279999999999</v>
      </c>
      <c r="BD135" s="89">
        <f>Sheet1!BO133*GPMtoMGD</f>
        <v>1.5950880000000001</v>
      </c>
      <c r="BE135" s="89">
        <f>Sheet1!BW133*GPMtoMGD</f>
        <v>1.070352</v>
      </c>
      <c r="BF135" s="89">
        <f>Sheet1!CN133*GPMtoMGD</f>
        <v>1.081296</v>
      </c>
      <c r="BG135" s="89">
        <f>Sheet1!CO133*GPMtoMGD</f>
        <v>0.6503040000000001</v>
      </c>
      <c r="BH135" s="89">
        <f>Sheet1!CP133*GPMtoMGD</f>
        <v>0.70344000000000007</v>
      </c>
      <c r="BI135" s="89">
        <f t="shared" si="29"/>
        <v>1.5979680000000001</v>
      </c>
      <c r="BK135" s="94">
        <f>SUM(AT135:BA135,AS135,BC135,Calculation!AQ135)</f>
        <v>46.677578948537573</v>
      </c>
      <c r="BM135" s="358">
        <f>0</f>
        <v>0</v>
      </c>
      <c r="BN135" s="358">
        <f>0</f>
        <v>0</v>
      </c>
      <c r="BP135" s="94">
        <f>SUM(BM135:BN135,W135,Sheet1!DX133)</f>
        <v>0</v>
      </c>
      <c r="BR135" s="94">
        <f>Sheet1!AA133</f>
        <v>25.6</v>
      </c>
      <c r="BS135" s="94">
        <f>Sheet1!AB133</f>
        <v>26.9</v>
      </c>
      <c r="BT135" s="94">
        <f t="shared" ca="1" si="20"/>
        <v>-1.8875037824445045</v>
      </c>
      <c r="BU135" s="94">
        <f>Sheet1!AT133</f>
        <v>0</v>
      </c>
      <c r="BV135" s="89">
        <f>Sheet1!BB133</f>
        <v>0</v>
      </c>
      <c r="BW135" s="94">
        <f>Calculation!ED135</f>
        <v>10.96516105146242</v>
      </c>
      <c r="BX135" s="94">
        <f>(Sheet1!CS133*1440)/1000000</f>
        <v>5.0345279999999999</v>
      </c>
      <c r="CA135" s="94">
        <f ca="1">Sheet1!AC133-Sheet1!BK133-Sheet1!BL133-Sheet1!BM133-Sheet1!BC133-Sheet1!BD133-Sheet1!BE133-Sheet1!BF133-Sheet1!BG133-Sheet1!BH133-Sheet1!BI133+BC135+P135</f>
        <v>44.637024217555499</v>
      </c>
      <c r="CB135" s="93">
        <f t="shared" si="21"/>
        <v>64.254395853387635</v>
      </c>
      <c r="CC135" s="94">
        <f t="shared" si="22"/>
        <v>0</v>
      </c>
      <c r="CD135" s="94">
        <f t="shared" ca="1" si="23"/>
        <v>55.602185269017923</v>
      </c>
      <c r="CE135" s="1077">
        <f t="shared" ca="1" si="24"/>
        <v>86.016580611170724</v>
      </c>
      <c r="CG135" s="1077">
        <f t="shared" ca="1" si="25"/>
        <v>44.637024217555499</v>
      </c>
    </row>
    <row r="136" spans="1:85" s="89" customFormat="1" x14ac:dyDescent="0.25">
      <c r="A136" s="616" t="s">
        <v>8</v>
      </c>
      <c r="B136" s="91">
        <v>42860</v>
      </c>
      <c r="C136" s="92">
        <v>0</v>
      </c>
      <c r="D136" s="94">
        <f>(Sheet1!BQ134-Sheet1!BQ133)*1.385</f>
        <v>-0.74789999999999879</v>
      </c>
      <c r="E136" s="30">
        <f>(Sheet1!BR134-Sheet1!BR133)*1.385</f>
        <v>5.4292000000000007</v>
      </c>
      <c r="F136" s="30">
        <f ca="1">IF(B136=TODAY(),0,-(VLOOKUP(Sheet1!CD134,Lookup!$I$4:$J$216,2)-VLOOKUP(Sheet1!CD133,Lookup!$I$4:$J$216,2))/1000000)</f>
        <v>0.31091081564339806</v>
      </c>
      <c r="G136" s="94">
        <f ca="1">IF(B136=TODAY(),0,-$G$6*(Sheet1!CF134-Sheet1!CF133)*7.48/1000000)</f>
        <v>0.15885400421023663</v>
      </c>
      <c r="H136" s="94">
        <f ca="1">IF(B136=TODAY(),0,-$H$6*(Sheet1!CE134-Sheet1!CE133)*7.48/1000000)</f>
        <v>-3.0078864702530548E-2</v>
      </c>
      <c r="I136" s="94">
        <f ca="1">IF(B136=TODAY(),0,-$I$6*(Sheet1!CG134-Sheet1!CG133)*7.48/1000000)</f>
        <v>8.9849760000000473E-3</v>
      </c>
      <c r="J136" s="95" t="s">
        <v>177</v>
      </c>
      <c r="K136" s="94">
        <f ca="1">IF(B136=TODAY(),0,-$K$6*(Sheet1!CH134-Sheet1!CH133)*7.48/1000000)</f>
        <v>1.3326640748916953E-2</v>
      </c>
      <c r="L136" s="95" t="s">
        <v>177</v>
      </c>
      <c r="M136" s="94">
        <f ca="1">IF(B136=TODAY(),0,-$M$6*(Sheet1!CI134-Sheet1!CI133)*7.48/1000000)</f>
        <v>1.7991508428026663E-2</v>
      </c>
      <c r="N136" s="94">
        <f ca="1">IF(B136=TODAY(),0,-$N$6*(Sheet1!CJ134-Sheet1!CJ133)*7.48/1000000)</f>
        <v>0.75083337927494864</v>
      </c>
      <c r="O136" s="94">
        <f t="shared" ca="1" si="30"/>
        <v>1.2308224596029964</v>
      </c>
      <c r="P136" s="94">
        <f ca="1">O136+Calculation!ES136</f>
        <v>-2.350070328046125</v>
      </c>
      <c r="Q136" s="89" t="str">
        <f>IF(Sheet1!BQ134&gt;25.75,"spill elevation","-")</f>
        <v>-</v>
      </c>
      <c r="R136" s="89" t="str">
        <f>IF(Sheet1!BQ134&gt;25.75,"spill elevation","-")</f>
        <v>-</v>
      </c>
      <c r="S136" s="89" t="str">
        <f>IF(Sheet1!BR134&gt;25.75,"spill elevation","-")</f>
        <v>-</v>
      </c>
      <c r="T136" s="93">
        <f>IF(Sheet1!DU134=1,Sheet1!AA134-(SUM(AT136:BA136)+BE136),Sheet1!AA134-SUM(AT136:BA136))</f>
        <v>24.479936000000002</v>
      </c>
      <c r="U136" s="93">
        <f>Sheet1!BV134</f>
        <v>24.9</v>
      </c>
      <c r="V136" s="93">
        <f t="shared" si="27"/>
        <v>-0.42006399999999644</v>
      </c>
      <c r="W136" s="93">
        <f>0</f>
        <v>0</v>
      </c>
      <c r="X136" s="89">
        <f>0</f>
        <v>0</v>
      </c>
      <c r="Y136" s="94">
        <f ca="1">Calculation!EJ137+Calculation!ES136+'Calculations II'!O136-'Calculations II'!W136</f>
        <v>44.472465508376217</v>
      </c>
      <c r="Z136" s="94">
        <f ca="1">Y136-Sheet1!CT135</f>
        <v>28.420465508376218</v>
      </c>
      <c r="AA136" s="94">
        <f ca="1">Y136+Calculation!DJ137+Calculation!AS137</f>
        <v>56.417841230919571</v>
      </c>
      <c r="AC136" s="94">
        <f>Sheet1!AA134+Sheet1!AB134+BC136</f>
        <v>57.663376</v>
      </c>
      <c r="AD136" s="94">
        <f>Sheet1!AA134+Sheet1!BN134+'Calculations II'!BC136-Calculation!AS136-Calculation!DJ136</f>
        <v>34.577978587800374</v>
      </c>
      <c r="AE136" s="94">
        <f>Sheet1!AA134+Sheet1!AB134+'Calculations II'!BC136-Calculation!AS136-Calculation!DJ136</f>
        <v>46.077978587800374</v>
      </c>
      <c r="AF136" s="94">
        <f ca="1">Sheet1!AA134+Sheet1!BN134+P136+'Calculations II'!BC136+Calculation!AS136+Calculation!DJ136</f>
        <v>55.39870308415351</v>
      </c>
      <c r="AG136" s="94">
        <f ca="1">IF(B136=TODAY(),0,Sheet1!AA134+Sheet1!BN134+'Calculations II'!BC136+'Calculations II'!P136-Sheet1!CT134-BP136)</f>
        <v>27.273305671953878</v>
      </c>
      <c r="AH136" s="94">
        <f ca="1">IF(B136=TODAY(),0,Sheet1!AA134+Sheet1!BN134+'Calculations II'!BC136+'Calculations II'!P136-BP136)</f>
        <v>43.813305671953877</v>
      </c>
      <c r="AI136" s="94">
        <f ca="1">IF(B136=TODAY(),0,BC136+Sheet1!AA134+Calculation!ES136+O136+W136+Sheet1!BN134+Calculation!AS136+Calculation!DJ136-BP136)</f>
        <v>55.39870308415351</v>
      </c>
      <c r="AJ136" s="94"/>
      <c r="AM136" s="90">
        <f t="shared" si="28"/>
        <v>42860</v>
      </c>
      <c r="AN136" s="94">
        <f>Sheet1!BU134</f>
        <v>24.1</v>
      </c>
      <c r="AO136" s="94">
        <f>Sheet1!AA134</f>
        <v>25.64</v>
      </c>
      <c r="AP136" s="94">
        <f t="shared" si="17"/>
        <v>4.681300000000002</v>
      </c>
      <c r="AQ136" s="1087">
        <f>((Sheet1!BV134-(Sheet1!BU134-AP136))/(Sheet1!BU134-AP136))</f>
        <v>0.28226915292990762</v>
      </c>
      <c r="AR136" s="94">
        <f t="shared" si="18"/>
        <v>20.9587</v>
      </c>
      <c r="AS136" s="94">
        <f t="shared" si="19"/>
        <v>19.418700000000001</v>
      </c>
      <c r="AT136" s="89">
        <f>Sheet1!BB134</f>
        <v>0</v>
      </c>
      <c r="AU136" s="89">
        <f>Sheet1!AS134*GPMtoMGD</f>
        <v>1.584E-2</v>
      </c>
      <c r="AV136" s="94">
        <f>Sheet1!AT134</f>
        <v>0</v>
      </c>
      <c r="AW136" s="89">
        <f>Sheet1!AV134*GPMtoMGD</f>
        <v>0.54158400000000007</v>
      </c>
      <c r="AX136" s="89">
        <f>Sheet1!AW134*GPMtoMGD</f>
        <v>0.60264000000000006</v>
      </c>
      <c r="AY136" s="89">
        <f>Sheet1!AX134*GPMtoMGD</f>
        <v>0</v>
      </c>
      <c r="AZ136" s="89">
        <f>Sheet1!AY134*GPMtoMGD</f>
        <v>0</v>
      </c>
      <c r="BA136" s="89">
        <f>Sheet1!AZ134*GPMtoMGD</f>
        <v>0</v>
      </c>
      <c r="BB136" s="89">
        <f>Sheet1!BP134*GPMtoMGD</f>
        <v>2.8800000000000002E-3</v>
      </c>
      <c r="BC136" s="89">
        <f>Sheet1!CS134*GPMtoMGD</f>
        <v>5.1233760000000004</v>
      </c>
      <c r="BD136" s="89">
        <f>Sheet1!BO134*GPMtoMGD</f>
        <v>1.4639040000000001</v>
      </c>
      <c r="BE136" s="89">
        <f>Sheet1!BW134*GPMtoMGD</f>
        <v>1.1639520000000001</v>
      </c>
      <c r="BF136" s="89">
        <f>Sheet1!CN134*GPMtoMGD</f>
        <v>1.1959200000000001</v>
      </c>
      <c r="BG136" s="89">
        <f>Sheet1!CO134*GPMtoMGD</f>
        <v>0.67881599999999997</v>
      </c>
      <c r="BH136" s="89">
        <f>Sheet1!CP134*GPMtoMGD</f>
        <v>0.6804</v>
      </c>
      <c r="BI136" s="89">
        <f t="shared" si="29"/>
        <v>1.4667840000000001</v>
      </c>
      <c r="BK136" s="94">
        <f>SUM(AT136:BA136,AS136,BC136,Calculation!AQ136)</f>
        <v>41.016742587800366</v>
      </c>
      <c r="BM136" s="358">
        <f>0</f>
        <v>0</v>
      </c>
      <c r="BN136" s="358">
        <f>0</f>
        <v>0</v>
      </c>
      <c r="BP136" s="94">
        <f>SUM(BM136:BN136,W136,Sheet1!DX134)</f>
        <v>0</v>
      </c>
      <c r="BR136" s="94">
        <f>Sheet1!AA134</f>
        <v>25.64</v>
      </c>
      <c r="BS136" s="94">
        <f>Sheet1!AB134</f>
        <v>26.9</v>
      </c>
      <c r="BT136" s="94">
        <f t="shared" ca="1" si="20"/>
        <v>-2.350070328046125</v>
      </c>
      <c r="BU136" s="94">
        <f>Sheet1!AT134</f>
        <v>0</v>
      </c>
      <c r="BV136" s="89">
        <f>Sheet1!BB134</f>
        <v>0</v>
      </c>
      <c r="BW136" s="94">
        <f>Calculation!ED136</f>
        <v>11.585397412199629</v>
      </c>
      <c r="BX136" s="94">
        <f>(Sheet1!CS134*1440)/1000000</f>
        <v>5.1233760000000004</v>
      </c>
      <c r="CA136" s="94">
        <f ca="1">Sheet1!AC134-Sheet1!BK134-Sheet1!BL134-Sheet1!BM134-Sheet1!BC134-Sheet1!BD134-Sheet1!BE134-Sheet1!BF134-Sheet1!BG134-Sheet1!BH134-Sheet1!BI134+BC136+P136</f>
        <v>43.663305671953871</v>
      </c>
      <c r="CB136" s="93">
        <f t="shared" si="21"/>
        <v>63.356770203327166</v>
      </c>
      <c r="CC136" s="94">
        <f t="shared" si="22"/>
        <v>0</v>
      </c>
      <c r="CD136" s="94">
        <f t="shared" ca="1" si="23"/>
        <v>55.248703084153505</v>
      </c>
      <c r="CE136" s="1077">
        <f t="shared" ca="1" si="24"/>
        <v>85.469743671185469</v>
      </c>
      <c r="CG136" s="1077">
        <f t="shared" ca="1" si="25"/>
        <v>43.663305671953871</v>
      </c>
    </row>
    <row r="137" spans="1:85" s="89" customFormat="1" x14ac:dyDescent="0.25">
      <c r="A137" s="616" t="s">
        <v>9</v>
      </c>
      <c r="B137" s="91">
        <v>42861</v>
      </c>
      <c r="C137" s="92">
        <v>0</v>
      </c>
      <c r="D137" s="94">
        <f>(Sheet1!BQ135-Sheet1!BQ134)*1.385</f>
        <v>-3.0885500000000006</v>
      </c>
      <c r="E137" s="30">
        <f>(Sheet1!BR135-Sheet1!BR134)*1.385</f>
        <v>5.2906999999999993</v>
      </c>
      <c r="F137" s="30">
        <f ca="1">IF(B137=TODAY(),0,-(VLOOKUP(Sheet1!CD135,Lookup!$I$4:$J$216,2)-VLOOKUP(Sheet1!CD134,Lookup!$I$4:$J$216,2))/1000000)</f>
        <v>0.10363693854779936</v>
      </c>
      <c r="G137" s="94">
        <f ca="1">IF(B137=TODAY(),0,-$G$6*(Sheet1!CF135-Sheet1!CF134)*7.48/1000000)</f>
        <v>0.51627551368327118</v>
      </c>
      <c r="H137" s="94">
        <f ca="1">IF(B137=TODAY(),0,-$H$6*(Sheet1!CE135-Sheet1!CE134)*7.48/1000000)</f>
        <v>0</v>
      </c>
      <c r="I137" s="94">
        <f ca="1">IF(B137=TODAY(),0,-$I$6*(Sheet1!CG135-Sheet1!CG134)*7.48/1000000)</f>
        <v>-4.4924879999999837E-3</v>
      </c>
      <c r="J137" s="95" t="s">
        <v>177</v>
      </c>
      <c r="K137" s="94">
        <f ca="1">IF(B137=TODAY(),0,-$K$6*(Sheet1!CH135-Sheet1!CH134)*7.48/1000000)</f>
        <v>-1.3326640748916953E-2</v>
      </c>
      <c r="L137" s="95" t="s">
        <v>177</v>
      </c>
      <c r="M137" s="94">
        <f ca="1">IF(B137=TODAY(),0,-$M$6*(Sheet1!CI135-Sheet1!CI134)*7.48/1000000)</f>
        <v>2.518811179923797E-2</v>
      </c>
      <c r="N137" s="94">
        <f ca="1">IF(B137=TODAY(),0,-$N$6*(Sheet1!CJ135-Sheet1!CJ134)*7.48/1000000)</f>
        <v>-4.9641876315699163E-2</v>
      </c>
      <c r="O137" s="94">
        <f t="shared" ca="1" si="30"/>
        <v>0.5776395589656923</v>
      </c>
      <c r="P137" s="94">
        <f ca="1">O137+Calculation!ES137</f>
        <v>-1.6072703787932587</v>
      </c>
      <c r="Q137" s="89" t="str">
        <f>IF(Sheet1!BQ135&gt;25.75,"spill elevation","-")</f>
        <v>-</v>
      </c>
      <c r="R137" s="89" t="str">
        <f>IF(Sheet1!BQ135&gt;25.75,"spill elevation","-")</f>
        <v>-</v>
      </c>
      <c r="S137" s="89" t="str">
        <f>IF(Sheet1!BR135&gt;25.75,"spill elevation","-")</f>
        <v>-</v>
      </c>
      <c r="T137" s="93">
        <f>IF(Sheet1!DU135=1,Sheet1!AA135-(SUM(AT137:BA137)+BE137),Sheet1!AA135-SUM(AT137:BA137))</f>
        <v>24.499791999999999</v>
      </c>
      <c r="U137" s="93">
        <f>Sheet1!BV135</f>
        <v>26.3</v>
      </c>
      <c r="V137" s="93">
        <f t="shared" si="27"/>
        <v>-1.8002080000000014</v>
      </c>
      <c r="W137" s="93">
        <f>0</f>
        <v>0</v>
      </c>
      <c r="X137" s="89">
        <f>0</f>
        <v>0</v>
      </c>
      <c r="Y137" s="94">
        <f ca="1">Calculation!EJ138+Calculation!ES137+'Calculations II'!O137-'Calculations II'!W137</f>
        <v>48.341764877861081</v>
      </c>
      <c r="Z137" s="94">
        <f ca="1">Y137-Sheet1!CT136</f>
        <v>31.88476487786108</v>
      </c>
      <c r="AA137" s="94">
        <f ca="1">Y137+Calculation!DJ138+Calculation!AS138</f>
        <v>60.288116540686239</v>
      </c>
      <c r="AC137" s="94">
        <f>Sheet1!AA135+Sheet1!AB135+BC137</f>
        <v>58.290064000000008</v>
      </c>
      <c r="AD137" s="94">
        <f>Sheet1!AA135+Sheet1!BN135+'Calculations II'!BC137-Calculation!AS137-Calculation!DJ137</f>
        <v>34.444688277456649</v>
      </c>
      <c r="AE137" s="94">
        <f>Sheet1!AA135+Sheet1!AB135+'Calculations II'!BC137-Calculation!AS137-Calculation!DJ137</f>
        <v>46.344688277456655</v>
      </c>
      <c r="AF137" s="94">
        <f ca="1">Sheet1!AA135+Sheet1!BN135+P137+'Calculations II'!BC137+Calculation!AS137+Calculation!DJ137</f>
        <v>56.728169343750096</v>
      </c>
      <c r="AG137" s="94">
        <f ca="1">IF(B137=TODAY(),0,Sheet1!AA135+Sheet1!BN135+'Calculations II'!BC137+'Calculations II'!P137-Sheet1!CT135-BP137)</f>
        <v>28.730793621206743</v>
      </c>
      <c r="AH137" s="94">
        <f ca="1">IF(B137=TODAY(),0,Sheet1!AA135+Sheet1!BN135+'Calculations II'!BC137+'Calculations II'!P137-BP137)</f>
        <v>44.782793621206743</v>
      </c>
      <c r="AI137" s="94">
        <f ca="1">IF(B137=TODAY(),0,BC137+Sheet1!AA135+Calculation!ES137+O137+W137+Sheet1!BN135+Calculation!AS137+Calculation!DJ137-BP137)</f>
        <v>56.728169343750089</v>
      </c>
      <c r="AJ137" s="94"/>
      <c r="AM137" s="90">
        <f t="shared" si="28"/>
        <v>42861</v>
      </c>
      <c r="AN137" s="94">
        <f>Sheet1!BU135</f>
        <v>24.4</v>
      </c>
      <c r="AO137" s="94">
        <f>Sheet1!AA135</f>
        <v>25.66</v>
      </c>
      <c r="AP137" s="94">
        <f t="shared" si="17"/>
        <v>2.2021499999999987</v>
      </c>
      <c r="AQ137" s="1087">
        <f>((Sheet1!BV135-(Sheet1!BU135-AP137))/(Sheet1!BU135-AP137))</f>
        <v>0.18479942877350744</v>
      </c>
      <c r="AR137" s="94">
        <f t="shared" si="18"/>
        <v>23.457850000000001</v>
      </c>
      <c r="AS137" s="94">
        <f t="shared" si="19"/>
        <v>22.197849999999999</v>
      </c>
      <c r="AT137" s="89">
        <f>Sheet1!BB135</f>
        <v>0</v>
      </c>
      <c r="AU137" s="89">
        <f>Sheet1!AS135*GPMtoMGD</f>
        <v>3.1824000000000005E-2</v>
      </c>
      <c r="AV137" s="94">
        <f>Sheet1!AT135</f>
        <v>0</v>
      </c>
      <c r="AW137" s="89">
        <f>Sheet1!AV135*GPMtoMGD</f>
        <v>0.54187200000000002</v>
      </c>
      <c r="AX137" s="89">
        <f>Sheet1!AW135*GPMtoMGD</f>
        <v>0.58651200000000003</v>
      </c>
      <c r="AY137" s="89">
        <f>Sheet1!AX135*GPMtoMGD</f>
        <v>0</v>
      </c>
      <c r="AZ137" s="89">
        <f>Sheet1!AY135*GPMtoMGD</f>
        <v>0</v>
      </c>
      <c r="BA137" s="89">
        <f>Sheet1!AZ135*GPMtoMGD</f>
        <v>0</v>
      </c>
      <c r="BB137" s="89">
        <f>Sheet1!BP135*GPMtoMGD</f>
        <v>2.8800000000000002E-3</v>
      </c>
      <c r="BC137" s="89">
        <f>Sheet1!CS135*GPMtoMGD</f>
        <v>5.0300640000000003</v>
      </c>
      <c r="BD137" s="89">
        <f>Sheet1!BO135*GPMtoMGD</f>
        <v>1.6318080000000001</v>
      </c>
      <c r="BE137" s="89">
        <f>Sheet1!BW135*GPMtoMGD</f>
        <v>1.207152</v>
      </c>
      <c r="BF137" s="89">
        <f>Sheet1!CN135*GPMtoMGD</f>
        <v>1.160784</v>
      </c>
      <c r="BG137" s="89">
        <f>Sheet1!CO135*GPMtoMGD</f>
        <v>0.69681599999999999</v>
      </c>
      <c r="BH137" s="89">
        <f>Sheet1!CP135*GPMtoMGD</f>
        <v>0.67464000000000002</v>
      </c>
      <c r="BI137" s="89">
        <f t="shared" si="29"/>
        <v>1.6346880000000001</v>
      </c>
      <c r="BK137" s="94">
        <f>SUM(AT137:BA137,AS137,BC137,Calculation!AQ137)</f>
        <v>44.042746277456644</v>
      </c>
      <c r="BM137" s="358">
        <f>0</f>
        <v>0</v>
      </c>
      <c r="BN137" s="358">
        <f>0</f>
        <v>0</v>
      </c>
      <c r="BP137" s="94">
        <f>SUM(BM137:BN137,W137,Sheet1!DX135)</f>
        <v>0</v>
      </c>
      <c r="BR137" s="94">
        <f>Sheet1!AA135</f>
        <v>25.66</v>
      </c>
      <c r="BS137" s="94">
        <f>Sheet1!AB135</f>
        <v>27.6</v>
      </c>
      <c r="BT137" s="94">
        <f t="shared" ca="1" si="20"/>
        <v>-1.6072703787932587</v>
      </c>
      <c r="BU137" s="94">
        <f>Sheet1!AT135</f>
        <v>0</v>
      </c>
      <c r="BV137" s="89">
        <f>Sheet1!BB135</f>
        <v>0</v>
      </c>
      <c r="BW137" s="94">
        <f>Calculation!ED137</f>
        <v>11.945375722543353</v>
      </c>
      <c r="BX137" s="94">
        <f>(Sheet1!CS135*1440)/1000000</f>
        <v>5.0300640000000003</v>
      </c>
      <c r="CA137" s="94">
        <f ca="1">Sheet1!AC135-Sheet1!BK135-Sheet1!BL135-Sheet1!BM135-Sheet1!BC135-Sheet1!BD135-Sheet1!BE135-Sheet1!BF135-Sheet1!BG135-Sheet1!BH135-Sheet1!BI135+BC137+P137</f>
        <v>44.702793621206744</v>
      </c>
      <c r="CB137" s="93">
        <f t="shared" si="21"/>
        <v>63.913723757225441</v>
      </c>
      <c r="CC137" s="94">
        <f t="shared" si="22"/>
        <v>0</v>
      </c>
      <c r="CD137" s="94">
        <f t="shared" ca="1" si="23"/>
        <v>56.648169343750098</v>
      </c>
      <c r="CE137" s="1077">
        <f t="shared" ca="1" si="24"/>
        <v>87.634717974781395</v>
      </c>
      <c r="CG137" s="1077">
        <f t="shared" ca="1" si="25"/>
        <v>44.702793621206744</v>
      </c>
    </row>
    <row r="138" spans="1:85" s="89" customFormat="1" x14ac:dyDescent="0.25">
      <c r="A138" s="616" t="s">
        <v>3</v>
      </c>
      <c r="B138" s="91">
        <v>42862</v>
      </c>
      <c r="C138" s="92">
        <v>0</v>
      </c>
      <c r="D138" s="94">
        <f>(Sheet1!BQ136-Sheet1!BQ135)*1.385</f>
        <v>-3.8641499999999986</v>
      </c>
      <c r="E138" s="30">
        <f>(Sheet1!BR136-Sheet1!BR135)*1.385</f>
        <v>6.7172499999999999</v>
      </c>
      <c r="F138" s="30">
        <f ca="1">IF(B138=TODAY(),0,-(VLOOKUP(Sheet1!CD136,Lookup!$I$4:$J$216,2)-VLOOKUP(Sheet1!CD135,Lookup!$I$4:$J$216,2))/1000000)</f>
        <v>0.20727387709560433</v>
      </c>
      <c r="G138" s="94">
        <f ca="1">IF(B138=TODAY(),0,-$G$6*(Sheet1!CF136-Sheet1!CF135)*7.48/1000000)</f>
        <v>0.55598901473582951</v>
      </c>
      <c r="H138" s="94">
        <f ca="1">IF(B138=TODAY(),0,-$H$6*(Sheet1!CE136-Sheet1!CE135)*7.48/1000000)</f>
        <v>0</v>
      </c>
      <c r="I138" s="94">
        <f ca="1">IF(B138=TODAY(),0,-$I$6*(Sheet1!CG136-Sheet1!CG135)*7.48/1000000)</f>
        <v>-4.4924880000000635E-3</v>
      </c>
      <c r="J138" s="95" t="s">
        <v>177</v>
      </c>
      <c r="K138" s="94">
        <f ca="1">IF(B138=TODAY(),0,-$K$6*(Sheet1!CH136-Sheet1!CH135)*7.48/1000000)</f>
        <v>-6.6633203744584186E-3</v>
      </c>
      <c r="L138" s="95" t="s">
        <v>177</v>
      </c>
      <c r="M138" s="94">
        <f ca="1">IF(B138=TODAY(),0,-$M$6*(Sheet1!CI136-Sheet1!CI135)*7.48/1000000)</f>
        <v>-4.3179620227264633E-2</v>
      </c>
      <c r="N138" s="94">
        <f ca="1">IF(B138=TODAY(),0,-$N$6*(Sheet1!CJ136-Sheet1!CJ135)*7.48/1000000)</f>
        <v>0.11789945624978621</v>
      </c>
      <c r="O138" s="94">
        <f t="shared" ca="1" si="30"/>
        <v>0.82682691947949705</v>
      </c>
      <c r="P138" s="94">
        <f ca="1">O138+Calculation!ES138</f>
        <v>-1.9218135155640557</v>
      </c>
      <c r="Q138" s="89" t="str">
        <f>IF(Sheet1!BQ136&gt;25.75,"spill elevation","-")</f>
        <v>-</v>
      </c>
      <c r="R138" s="89" t="str">
        <f>IF(Sheet1!BQ136&gt;25.75,"spill elevation","-")</f>
        <v>-</v>
      </c>
      <c r="S138" s="89" t="str">
        <f>IF(Sheet1!BR136&gt;25.75,"spill elevation","-")</f>
        <v>-</v>
      </c>
      <c r="T138" s="93">
        <f>IF(Sheet1!DU136=1,Sheet1!AA136-(SUM(AT138:BA138)+BE138),Sheet1!AA136-SUM(AT138:BA138))</f>
        <v>23.95768</v>
      </c>
      <c r="U138" s="93">
        <f>Sheet1!BV136</f>
        <v>24.8</v>
      </c>
      <c r="V138" s="93">
        <f t="shared" si="27"/>
        <v>-0.84232000000000085</v>
      </c>
      <c r="W138" s="93">
        <f>0</f>
        <v>0</v>
      </c>
      <c r="X138" s="89">
        <f>0</f>
        <v>0</v>
      </c>
      <c r="Y138" s="94">
        <f ca="1">Calculation!EJ139+Calculation!ES138+'Calculations II'!O138-'Calculations II'!W138</f>
        <v>52.073407437267164</v>
      </c>
      <c r="Z138" s="94">
        <f ca="1">Y138-Sheet1!CT137</f>
        <v>35.647407437267162</v>
      </c>
      <c r="AA138" s="94">
        <f ca="1">Y138+Calculation!DJ139+Calculation!AS139</f>
        <v>64.00946006884611</v>
      </c>
      <c r="AC138" s="94">
        <f>Sheet1!AA136+Sheet1!AB136+BC138</f>
        <v>60.92624</v>
      </c>
      <c r="AD138" s="94">
        <f>Sheet1!AA136+Sheet1!BN136+'Calculations II'!BC138-Calculation!AS138-Calculation!DJ138</f>
        <v>37.069888337174845</v>
      </c>
      <c r="AE138" s="94">
        <f>Sheet1!AA136+Sheet1!AB136+'Calculations II'!BC138-Calculation!AS138-Calculation!DJ138</f>
        <v>48.979888337174842</v>
      </c>
      <c r="AF138" s="94">
        <f ca="1">Sheet1!AA136+Sheet1!BN136+P138+'Calculations II'!BC138+Calculation!AS138+Calculation!DJ138</f>
        <v>59.040778147261108</v>
      </c>
      <c r="AG138" s="94">
        <f ca="1">IF(B138=TODAY(),0,Sheet1!AA136+Sheet1!BN136+'Calculations II'!BC138+'Calculations II'!P138-Sheet1!CT136-BP138)</f>
        <v>30.637426484435949</v>
      </c>
      <c r="AH138" s="94">
        <f ca="1">IF(B138=TODAY(),0,Sheet1!AA136+Sheet1!BN136+'Calculations II'!BC138+'Calculations II'!P138-BP138)</f>
        <v>47.094426484435949</v>
      </c>
      <c r="AI138" s="94">
        <f ca="1">IF(B138=TODAY(),0,BC138+Sheet1!AA136+Calculation!ES138+O138+W138+Sheet1!BN136+Calculation!AS138+Calculation!DJ138-BP138)</f>
        <v>59.040778147261101</v>
      </c>
      <c r="AJ138" s="94"/>
      <c r="AM138" s="90">
        <f t="shared" si="28"/>
        <v>42862</v>
      </c>
      <c r="AN138" s="94">
        <f>Sheet1!BU136</f>
        <v>24.1</v>
      </c>
      <c r="AO138" s="94">
        <f>Sheet1!AA136</f>
        <v>25.6</v>
      </c>
      <c r="AP138" s="94">
        <f t="shared" ref="AP138:AP201" si="31">D138+E138</f>
        <v>2.8531000000000013</v>
      </c>
      <c r="AQ138" s="1087">
        <f>((Sheet1!BV136-(Sheet1!BU136-AP138))/(Sheet1!BU136-AP138))</f>
        <v>0.16722910165718297</v>
      </c>
      <c r="AR138" s="94">
        <f t="shared" ref="AR138:AR201" si="32">AO138-AP138</f>
        <v>22.7469</v>
      </c>
      <c r="AS138" s="94">
        <f t="shared" ref="AS138:AS201" si="33">AN138-AP138</f>
        <v>21.2469</v>
      </c>
      <c r="AT138" s="89">
        <f>Sheet1!BB136</f>
        <v>0</v>
      </c>
      <c r="AU138" s="89">
        <f>Sheet1!AS136*GPMtoMGD</f>
        <v>1.728E-2</v>
      </c>
      <c r="AV138" s="94">
        <f>Sheet1!AT136</f>
        <v>0</v>
      </c>
      <c r="AW138" s="89">
        <f>Sheet1!AV136*GPMtoMGD</f>
        <v>0.693936</v>
      </c>
      <c r="AX138" s="89">
        <f>Sheet1!AW136*GPMtoMGD</f>
        <v>0.93110400000000004</v>
      </c>
      <c r="AY138" s="89">
        <f>Sheet1!AX136*GPMtoMGD</f>
        <v>0</v>
      </c>
      <c r="AZ138" s="89">
        <f>Sheet1!AY136*GPMtoMGD</f>
        <v>0</v>
      </c>
      <c r="BA138" s="89">
        <f>Sheet1!AZ136*GPMtoMGD</f>
        <v>0</v>
      </c>
      <c r="BB138" s="89">
        <f>Sheet1!BP136*GPMtoMGD</f>
        <v>2.8800000000000002E-3</v>
      </c>
      <c r="BC138" s="89">
        <f>Sheet1!CS136*GPMtoMGD</f>
        <v>5.0162400000000007</v>
      </c>
      <c r="BD138" s="89">
        <f>Sheet1!BO136*GPMtoMGD</f>
        <v>1.851264</v>
      </c>
      <c r="BE138" s="89">
        <f>Sheet1!BW136*GPMtoMGD</f>
        <v>1.3111200000000001</v>
      </c>
      <c r="BF138" s="89">
        <f>Sheet1!CN136*GPMtoMGD</f>
        <v>1.5749280000000001</v>
      </c>
      <c r="BG138" s="89">
        <f>Sheet1!CO136*GPMtoMGD</f>
        <v>0.74376000000000009</v>
      </c>
      <c r="BH138" s="89">
        <f>Sheet1!CP136*GPMtoMGD</f>
        <v>0.68112000000000006</v>
      </c>
      <c r="BI138" s="89">
        <f t="shared" si="29"/>
        <v>1.854144</v>
      </c>
      <c r="BK138" s="94">
        <f>SUM(AT138:BA138,AS138,BC138,Calculation!AQ138)</f>
        <v>46.269108337174842</v>
      </c>
      <c r="BM138" s="358">
        <f>0</f>
        <v>0</v>
      </c>
      <c r="BN138" s="358">
        <f>0</f>
        <v>0</v>
      </c>
      <c r="BP138" s="94">
        <f>SUM(BM138:BN138,W138,Sheet1!DX136)</f>
        <v>0</v>
      </c>
      <c r="BR138" s="94">
        <f>Sheet1!AA136</f>
        <v>25.6</v>
      </c>
      <c r="BS138" s="94">
        <f>Sheet1!AB136</f>
        <v>30.31</v>
      </c>
      <c r="BT138" s="94">
        <f t="shared" ca="1" si="20"/>
        <v>-1.9218135155640557</v>
      </c>
      <c r="BU138" s="94">
        <f>Sheet1!AT136</f>
        <v>0</v>
      </c>
      <c r="BV138" s="89">
        <f>Sheet1!BB136</f>
        <v>0</v>
      </c>
      <c r="BW138" s="94">
        <f>Calculation!ED138</f>
        <v>11.946351662825158</v>
      </c>
      <c r="BX138" s="94">
        <f>(Sheet1!CS136*1440)/1000000</f>
        <v>5.0162399999999998</v>
      </c>
      <c r="CA138" s="94">
        <f ca="1">Sheet1!AC136-Sheet1!BK136-Sheet1!BL136-Sheet1!BM136-Sheet1!BC136-Sheet1!BD136-Sheet1!BE136-Sheet1!BF136-Sheet1!BG136-Sheet1!BH136-Sheet1!BI136+BC138+P138</f>
        <v>47.03442648443594</v>
      </c>
      <c r="CB138" s="93">
        <f t="shared" si="21"/>
        <v>68.011763977609476</v>
      </c>
      <c r="CC138" s="94">
        <f t="shared" si="22"/>
        <v>0</v>
      </c>
      <c r="CD138" s="94">
        <f t="shared" ca="1" si="23"/>
        <v>58.980778147261098</v>
      </c>
      <c r="CE138" s="1077">
        <f t="shared" ca="1" si="24"/>
        <v>91.243263793812915</v>
      </c>
      <c r="CG138" s="1077">
        <f t="shared" ca="1" si="25"/>
        <v>47.03442648443594</v>
      </c>
    </row>
    <row r="139" spans="1:85" s="89" customFormat="1" x14ac:dyDescent="0.25">
      <c r="A139" s="616" t="s">
        <v>4</v>
      </c>
      <c r="B139" s="91">
        <v>42863</v>
      </c>
      <c r="C139" s="92">
        <v>0</v>
      </c>
      <c r="D139" s="94">
        <f>(Sheet1!BQ137-Sheet1!BQ136)*1.385</f>
        <v>4.5982000000000003</v>
      </c>
      <c r="E139" s="30">
        <f>(Sheet1!BR137-Sheet1!BR136)*1.385</f>
        <v>2.5484</v>
      </c>
      <c r="F139" s="30">
        <f ca="1">IF(B139=TODAY(),0,-(VLOOKUP(Sheet1!CD137,Lookup!$I$4:$J$216,2)-VLOOKUP(Sheet1!CD136,Lookup!$I$4:$J$216,2))/1000000)</f>
        <v>-0.41454775419120304</v>
      </c>
      <c r="G139" s="94">
        <f ca="1">IF(B139=TODAY(),0,-$G$6*(Sheet1!CF137-Sheet1!CF136)*7.48/1000000)</f>
        <v>0.51627551368327118</v>
      </c>
      <c r="H139" s="94">
        <f ca="1">IF(B139=TODAY(),0,-$H$6*(Sheet1!CE137-Sheet1!CE136)*7.48/1000000)</f>
        <v>1.5039432351265274E-2</v>
      </c>
      <c r="I139" s="94">
        <f ca="1">IF(B139=TODAY(),0,-$I$6*(Sheet1!CG137-Sheet1!CG136)*7.48/1000000)</f>
        <v>8.9849760000000473E-3</v>
      </c>
      <c r="J139" s="95" t="s">
        <v>177</v>
      </c>
      <c r="K139" s="94">
        <f ca="1">IF(B139=TODAY(),0,-$K$6*(Sheet1!CH137-Sheet1!CH136)*7.48/1000000)</f>
        <v>1.3326640748916837E-2</v>
      </c>
      <c r="L139" s="95" t="s">
        <v>177</v>
      </c>
      <c r="M139" s="94">
        <f ca="1">IF(B139=TODAY(),0,-$M$6*(Sheet1!CI137-Sheet1!CI136)*7.48/1000000)</f>
        <v>7.1966033712107941E-2</v>
      </c>
      <c r="N139" s="94">
        <f ca="1">IF(B139=TODAY(),0,-$N$6*(Sheet1!CJ137-Sheet1!CJ136)*7.48/1000000)</f>
        <v>-0.29785125789419498</v>
      </c>
      <c r="O139" s="94">
        <f t="shared" ca="1" si="30"/>
        <v>-8.6806415589836733E-2</v>
      </c>
      <c r="P139" s="94">
        <f ca="1">O139+Calculation!ES139</f>
        <v>-7.2717154661120782</v>
      </c>
      <c r="Q139" s="89" t="str">
        <f>IF(Sheet1!BQ137&gt;25.75,"spill elevation","-")</f>
        <v>-</v>
      </c>
      <c r="R139" s="89" t="str">
        <f>IF(Sheet1!BQ137&gt;25.75,"spill elevation","-")</f>
        <v>-</v>
      </c>
      <c r="S139" s="89" t="str">
        <f>IF(Sheet1!BR137&gt;25.75,"spill elevation","-")</f>
        <v>-</v>
      </c>
      <c r="T139" s="93">
        <f>IF(Sheet1!DU137=1,Sheet1!AA137-(SUM(AT139:BA139)+BE139),Sheet1!AA137-SUM(AT139:BA139))</f>
        <v>24.282256</v>
      </c>
      <c r="U139" s="93">
        <f>Sheet1!BV137</f>
        <v>20.2</v>
      </c>
      <c r="V139" s="93">
        <f t="shared" si="27"/>
        <v>4.082256000000001</v>
      </c>
      <c r="W139" s="93">
        <f>0</f>
        <v>0</v>
      </c>
      <c r="X139" s="89">
        <f>0</f>
        <v>0</v>
      </c>
      <c r="Y139" s="94">
        <f ca="1">Calculation!EJ140+Calculation!ES139+'Calculations II'!O139-'Calculations II'!W139</f>
        <v>42.618553352312496</v>
      </c>
      <c r="Z139" s="94">
        <f ca="1">Y139-Sheet1!CT138</f>
        <v>26.458553352312496</v>
      </c>
      <c r="AA139" s="94">
        <f ca="1">Y139+Calculation!DJ140+Calculation!AS140</f>
        <v>53.80993796769711</v>
      </c>
      <c r="AC139" s="94">
        <f>Sheet1!AA137+Sheet1!AB137+BC139</f>
        <v>65.500336000000004</v>
      </c>
      <c r="AD139" s="94">
        <f>Sheet1!AA137+Sheet1!BN137+'Calculations II'!BC139-Calculation!AS139-Calculation!DJ139</f>
        <v>41.674283368421058</v>
      </c>
      <c r="AE139" s="94">
        <f>Sheet1!AA137+Sheet1!AB137+'Calculations II'!BC139-Calculation!AS139-Calculation!DJ139</f>
        <v>53.564283368421059</v>
      </c>
      <c r="AF139" s="94">
        <f ca="1">Sheet1!AA137+Sheet1!BN137+P139+'Calculations II'!BC139+Calculation!AS139+Calculation!DJ139</f>
        <v>58.274673165466879</v>
      </c>
      <c r="AG139" s="94">
        <f ca="1">IF(B139=TODAY(),0,Sheet1!AA137+Sheet1!BN137+'Calculations II'!BC139+'Calculations II'!P139-Sheet1!CT137-BP139)</f>
        <v>29.912620533887928</v>
      </c>
      <c r="AH139" s="94">
        <f ca="1">IF(B139=TODAY(),0,Sheet1!AA137+Sheet1!BN137+'Calculations II'!BC139+'Calculations II'!P139-BP139)</f>
        <v>46.338620533887926</v>
      </c>
      <c r="AI139" s="94">
        <f ca="1">IF(B139=TODAY(),0,BC139+Sheet1!AA137+Calculation!ES139+O139+W139+Sheet1!BN137+Calculation!AS139+Calculation!DJ139-BP139)</f>
        <v>58.274673165466865</v>
      </c>
      <c r="AJ139" s="94"/>
      <c r="AM139" s="90">
        <f t="shared" si="28"/>
        <v>42863</v>
      </c>
      <c r="AN139" s="94">
        <f>Sheet1!BU137</f>
        <v>24.8</v>
      </c>
      <c r="AO139" s="94">
        <f>Sheet1!AA137</f>
        <v>25.6</v>
      </c>
      <c r="AP139" s="94">
        <f t="shared" si="31"/>
        <v>7.1466000000000003</v>
      </c>
      <c r="AQ139" s="1087">
        <f>((Sheet1!BV137-(Sheet1!BU137-AP139))/(Sheet1!BU137-AP139))</f>
        <v>0.14425549752455605</v>
      </c>
      <c r="AR139" s="94">
        <f t="shared" si="32"/>
        <v>18.453400000000002</v>
      </c>
      <c r="AS139" s="94">
        <f t="shared" si="33"/>
        <v>17.653400000000001</v>
      </c>
      <c r="AT139" s="89">
        <f>Sheet1!BB137</f>
        <v>0</v>
      </c>
      <c r="AU139" s="89">
        <f>Sheet1!AS137*GPMtoMGD</f>
        <v>3.2544000000000003E-2</v>
      </c>
      <c r="AV139" s="94">
        <f>Sheet1!AT137</f>
        <v>0</v>
      </c>
      <c r="AW139" s="89">
        <f>Sheet1!AV137*GPMtoMGD</f>
        <v>0.64900800000000003</v>
      </c>
      <c r="AX139" s="89">
        <f>Sheet1!AW137*GPMtoMGD</f>
        <v>0.63619200000000009</v>
      </c>
      <c r="AY139" s="89">
        <f>Sheet1!AX137*GPMtoMGD</f>
        <v>0</v>
      </c>
      <c r="AZ139" s="89">
        <f>Sheet1!AY137*GPMtoMGD</f>
        <v>0</v>
      </c>
      <c r="BA139" s="89">
        <f>Sheet1!AZ137*GPMtoMGD</f>
        <v>0</v>
      </c>
      <c r="BB139" s="89">
        <f>Sheet1!BP137*GPMtoMGD</f>
        <v>2.8800000000000002E-3</v>
      </c>
      <c r="BC139" s="89">
        <f>Sheet1!CS137*GPMtoMGD</f>
        <v>5.0103360000000006</v>
      </c>
      <c r="BD139" s="89">
        <f>Sheet1!BO137*GPMtoMGD</f>
        <v>1.5893280000000001</v>
      </c>
      <c r="BE139" s="89">
        <f>Sheet1!BW137*GPMtoMGD</f>
        <v>1.251792</v>
      </c>
      <c r="BF139" s="89">
        <f>Sheet1!CN137*GPMtoMGD</f>
        <v>1.52136</v>
      </c>
      <c r="BG139" s="89">
        <f>Sheet1!CO137*GPMtoMGD</f>
        <v>0.69811200000000007</v>
      </c>
      <c r="BH139" s="89">
        <f>Sheet1!CP137*GPMtoMGD</f>
        <v>0.77803199999999995</v>
      </c>
      <c r="BI139" s="89">
        <f t="shared" si="29"/>
        <v>1.5922080000000001</v>
      </c>
      <c r="BK139" s="94">
        <f>SUM(AT139:BA139,AS139,BC139,Calculation!AQ139)</f>
        <v>46.93542736842106</v>
      </c>
      <c r="BM139" s="358">
        <f>0</f>
        <v>0</v>
      </c>
      <c r="BN139" s="358">
        <f>0</f>
        <v>0</v>
      </c>
      <c r="BP139" s="94">
        <f>SUM(BM139:BN139,W139,Sheet1!DX137)</f>
        <v>0</v>
      </c>
      <c r="BR139" s="94">
        <f>Sheet1!AA137</f>
        <v>25.6</v>
      </c>
      <c r="BS139" s="94">
        <f>Sheet1!AB137</f>
        <v>34.89</v>
      </c>
      <c r="BT139" s="94">
        <f t="shared" ca="1" si="20"/>
        <v>-7.2717154661120782</v>
      </c>
      <c r="BU139" s="94">
        <f>Sheet1!AT137</f>
        <v>0</v>
      </c>
      <c r="BV139" s="89">
        <f>Sheet1!BB137</f>
        <v>0</v>
      </c>
      <c r="BW139" s="94">
        <f>Calculation!ED139</f>
        <v>11.936052631578949</v>
      </c>
      <c r="BX139" s="94">
        <f>(Sheet1!CS137*1440)/1000000</f>
        <v>5.0103359999999997</v>
      </c>
      <c r="CA139" s="94">
        <f ca="1">Sheet1!AC137-Sheet1!BK137-Sheet1!BL137-Sheet1!BM137-Sheet1!BC137-Sheet1!BD137-Sheet1!BE137-Sheet1!BF137-Sheet1!BG137-Sheet1!BH137-Sheet1!BI137+BC139+P139</f>
        <v>46.268620533887919</v>
      </c>
      <c r="CB139" s="93">
        <f t="shared" si="21"/>
        <v>75.112956578947362</v>
      </c>
      <c r="CC139" s="94">
        <f t="shared" si="22"/>
        <v>0</v>
      </c>
      <c r="CD139" s="94">
        <f t="shared" ca="1" si="23"/>
        <v>58.204673165466872</v>
      </c>
      <c r="CE139" s="1077">
        <f t="shared" ca="1" si="24"/>
        <v>90.042629386977254</v>
      </c>
      <c r="CG139" s="1077">
        <f t="shared" ca="1" si="25"/>
        <v>46.268620533887919</v>
      </c>
    </row>
    <row r="140" spans="1:85" s="89" customFormat="1" x14ac:dyDescent="0.25">
      <c r="A140" s="616" t="s">
        <v>5</v>
      </c>
      <c r="B140" s="91">
        <v>42864</v>
      </c>
      <c r="C140" s="92">
        <v>0</v>
      </c>
      <c r="D140" s="94">
        <f>(Sheet1!BQ138-Sheet1!BQ137)*1.385</f>
        <v>-0.70635000000000214</v>
      </c>
      <c r="E140" s="30">
        <f>(Sheet1!BR138-Sheet1!BR137)*1.385</f>
        <v>3.9333999999999998</v>
      </c>
      <c r="F140" s="30">
        <f ca="1">IF(B140=TODAY(),0,-(VLOOKUP(Sheet1!CD138,Lookup!$I$4:$J$216,2)-VLOOKUP(Sheet1!CD137,Lookup!$I$4:$J$216,2))/1000000)</f>
        <v>0</v>
      </c>
      <c r="G140" s="94">
        <f ca="1">IF(B140=TODAY(),0,-$G$6*(Sheet1!CF138-Sheet1!CF137)*7.48/1000000)</f>
        <v>0.51627551368327118</v>
      </c>
      <c r="H140" s="94">
        <f ca="1">IF(B140=TODAY(),0,-$H$6*(Sheet1!CE138-Sheet1!CE137)*7.48/1000000)</f>
        <v>0</v>
      </c>
      <c r="I140" s="94">
        <f ca="1">IF(B140=TODAY(),0,-$I$6*(Sheet1!CG138-Sheet1!CG137)*7.48/1000000)</f>
        <v>-4.4924879999999837E-3</v>
      </c>
      <c r="J140" s="95" t="s">
        <v>177</v>
      </c>
      <c r="K140" s="94">
        <f ca="1">IF(B140=TODAY(),0,-$K$6*(Sheet1!CH138-Sheet1!CH137)*7.48/1000000)</f>
        <v>0</v>
      </c>
      <c r="L140" s="95" t="s">
        <v>177</v>
      </c>
      <c r="M140" s="94">
        <f ca="1">IF(B140=TODAY(),0,-$M$6*(Sheet1!CI138-Sheet1!CI137)*7.48/1000000)</f>
        <v>-8.0961787926121589E-2</v>
      </c>
      <c r="N140" s="94">
        <f ca="1">IF(B140=TODAY(),0,-$N$6*(Sheet1!CJ138-Sheet1!CJ137)*7.48/1000000)</f>
        <v>0.322672196052044</v>
      </c>
      <c r="O140" s="94">
        <f t="shared" ca="1" si="30"/>
        <v>0.75349343380919365</v>
      </c>
      <c r="P140" s="94">
        <f ca="1">O140+Calculation!ES140</f>
        <v>-2.425827622022112</v>
      </c>
      <c r="Q140" s="89" t="str">
        <f>IF(Sheet1!BQ138&gt;25.75,"spill elevation","-")</f>
        <v>-</v>
      </c>
      <c r="R140" s="89" t="str">
        <f>IF(Sheet1!BQ138&gt;25.75,"spill elevation","-")</f>
        <v>-</v>
      </c>
      <c r="S140" s="89" t="str">
        <f>IF(Sheet1!BR138&gt;25.75,"spill elevation","-")</f>
        <v>-</v>
      </c>
      <c r="T140" s="93">
        <f>IF(Sheet1!DU138=1,Sheet1!AA138-(SUM(AT140:BA140)+BE140),Sheet1!AA138-SUM(AT140:BA140))</f>
        <v>24.349888</v>
      </c>
      <c r="U140" s="93">
        <f>Sheet1!BV138</f>
        <v>24.7</v>
      </c>
      <c r="V140" s="93">
        <f t="shared" si="27"/>
        <v>-0.35011199999999931</v>
      </c>
      <c r="W140" s="93">
        <f>0</f>
        <v>0</v>
      </c>
      <c r="X140" s="89">
        <f>0</f>
        <v>0</v>
      </c>
      <c r="Y140" s="94">
        <f ca="1">Calculation!EJ141+Calculation!ES140+'Calculations II'!O140-'Calculations II'!W140</f>
        <v>44.22540577320332</v>
      </c>
      <c r="Z140" s="94">
        <f ca="1">Y140-Sheet1!CT139</f>
        <v>27.240405773203321</v>
      </c>
      <c r="AA140" s="94">
        <f ca="1">Y140+Calculation!DJ141+Calculation!AS141</f>
        <v>56.181397559650961</v>
      </c>
      <c r="AC140" s="94">
        <f>Sheet1!AA138+Sheet1!AB138+BC140</f>
        <v>60.178048000000004</v>
      </c>
      <c r="AD140" s="94">
        <f>Sheet1!AA138+Sheet1!BN138+'Calculations II'!BC140-Calculation!AS140-Calculation!DJ140</f>
        <v>37.806663384615383</v>
      </c>
      <c r="AE140" s="94">
        <f>Sheet1!AA138+Sheet1!AB138+'Calculations II'!BC140-Calculation!AS140-Calculation!DJ140</f>
        <v>48.98666338461539</v>
      </c>
      <c r="AF140" s="94">
        <f ca="1">Sheet1!AA138+Sheet1!BN138+P140+'Calculations II'!BC140+Calculation!AS140+Calculation!DJ140</f>
        <v>57.763604993362499</v>
      </c>
      <c r="AG140" s="94">
        <f ca="1">IF(B140=TODAY(),0,Sheet1!AA138+Sheet1!BN138+'Calculations II'!BC140+'Calculations II'!P140-Sheet1!CT138-BP140)</f>
        <v>30.412220377977885</v>
      </c>
      <c r="AH140" s="94">
        <f ca="1">IF(B140=TODAY(),0,Sheet1!AA138+Sheet1!BN138+'Calculations II'!BC140+'Calculations II'!P140-BP140)</f>
        <v>46.572220377977885</v>
      </c>
      <c r="AI140" s="94">
        <f ca="1">IF(B140=TODAY(),0,BC140+Sheet1!AA138+Calculation!ES140+O140+W140+Sheet1!BN138+Calculation!AS140+Calculation!DJ140-BP140)</f>
        <v>57.763604993362499</v>
      </c>
      <c r="AJ140" s="94"/>
      <c r="AM140" s="90">
        <f t="shared" si="28"/>
        <v>42864</v>
      </c>
      <c r="AN140" s="94">
        <f>Sheet1!BU138</f>
        <v>24.5</v>
      </c>
      <c r="AO140" s="94">
        <f>Sheet1!AA138</f>
        <v>25.66</v>
      </c>
      <c r="AP140" s="94">
        <f t="shared" si="31"/>
        <v>3.2270499999999975</v>
      </c>
      <c r="AQ140" s="1087">
        <f>((Sheet1!BV138-(Sheet1!BU138-AP140))/(Sheet1!BU138-AP140))</f>
        <v>0.16109895430582019</v>
      </c>
      <c r="AR140" s="94">
        <f t="shared" si="32"/>
        <v>22.432950000000002</v>
      </c>
      <c r="AS140" s="94">
        <f t="shared" si="33"/>
        <v>21.272950000000002</v>
      </c>
      <c r="AT140" s="89">
        <f>Sheet1!BB138</f>
        <v>0</v>
      </c>
      <c r="AU140" s="89">
        <f>Sheet1!AS138*GPMtoMGD</f>
        <v>1.584E-2</v>
      </c>
      <c r="AV140" s="94">
        <f>Sheet1!AT138</f>
        <v>0</v>
      </c>
      <c r="AW140" s="89">
        <f>Sheet1!AV138*GPMtoMGD</f>
        <v>0.53870400000000007</v>
      </c>
      <c r="AX140" s="89">
        <f>Sheet1!AW138*GPMtoMGD</f>
        <v>0.75556800000000013</v>
      </c>
      <c r="AY140" s="89">
        <f>Sheet1!AX138*GPMtoMGD</f>
        <v>0</v>
      </c>
      <c r="AZ140" s="89">
        <f>Sheet1!AY138*GPMtoMGD</f>
        <v>0</v>
      </c>
      <c r="BA140" s="89">
        <f>Sheet1!AZ138*GPMtoMGD</f>
        <v>0</v>
      </c>
      <c r="BB140" s="89">
        <f>Sheet1!BP138*GPMtoMGD</f>
        <v>2.8800000000000002E-3</v>
      </c>
      <c r="BC140" s="89">
        <f>Sheet1!CS138*GPMtoMGD</f>
        <v>8.5380479999999999</v>
      </c>
      <c r="BD140" s="89">
        <f>Sheet1!BO138*GPMtoMGD</f>
        <v>1.6377120000000001</v>
      </c>
      <c r="BE140" s="89">
        <f>Sheet1!BW138*GPMtoMGD</f>
        <v>1.1990880000000002</v>
      </c>
      <c r="BF140" s="89">
        <f>Sheet1!CN138*GPMtoMGD</f>
        <v>1.5412319999999999</v>
      </c>
      <c r="BG140" s="89">
        <f>Sheet1!CO138*GPMtoMGD</f>
        <v>0.71841600000000005</v>
      </c>
      <c r="BH140" s="89">
        <f>Sheet1!CP138*GPMtoMGD</f>
        <v>0.81936000000000009</v>
      </c>
      <c r="BI140" s="89">
        <f t="shared" si="29"/>
        <v>1.6405920000000001</v>
      </c>
      <c r="BK140" s="94">
        <f>SUM(AT140:BA140,AS140,BC140,Calculation!AQ140)</f>
        <v>45.909725384615385</v>
      </c>
      <c r="BM140" s="358">
        <f>0</f>
        <v>0</v>
      </c>
      <c r="BN140" s="358">
        <f>0</f>
        <v>0</v>
      </c>
      <c r="BP140" s="94">
        <f>SUM(BM140:BN140,W140,Sheet1!DX138)</f>
        <v>0</v>
      </c>
      <c r="BR140" s="94">
        <f>Sheet1!AA138</f>
        <v>25.66</v>
      </c>
      <c r="BS140" s="94">
        <f>Sheet1!AB138</f>
        <v>25.98</v>
      </c>
      <c r="BT140" s="94">
        <f t="shared" ca="1" si="20"/>
        <v>-2.425827622022112</v>
      </c>
      <c r="BU140" s="94">
        <f>Sheet1!AT138</f>
        <v>0</v>
      </c>
      <c r="BV140" s="89">
        <f>Sheet1!BB138</f>
        <v>0</v>
      </c>
      <c r="BW140" s="94">
        <f>Calculation!ED140</f>
        <v>11.191384615384615</v>
      </c>
      <c r="BX140" s="94">
        <f>(Sheet1!CS138*1440)/1000000</f>
        <v>8.5380479999999999</v>
      </c>
      <c r="CA140" s="94">
        <f ca="1">Sheet1!AC138-Sheet1!BK138-Sheet1!BL138-Sheet1!BM138-Sheet1!BC138-Sheet1!BD138-Sheet1!BE138-Sheet1!BF138-Sheet1!BG138-Sheet1!BH138-Sheet1!BI138+BC140+P140</f>
        <v>46.552220377977889</v>
      </c>
      <c r="CB140" s="93">
        <f t="shared" si="21"/>
        <v>62.574007999999999</v>
      </c>
      <c r="CC140" s="94">
        <f t="shared" si="22"/>
        <v>0</v>
      </c>
      <c r="CD140" s="94">
        <f t="shared" ca="1" si="23"/>
        <v>57.743604993362503</v>
      </c>
      <c r="CE140" s="1077">
        <f t="shared" ca="1" si="24"/>
        <v>89.329356924731783</v>
      </c>
      <c r="CG140" s="1077">
        <f t="shared" ca="1" si="25"/>
        <v>46.552220377977889</v>
      </c>
    </row>
    <row r="141" spans="1:85" s="89" customFormat="1" x14ac:dyDescent="0.25">
      <c r="A141" s="616" t="s">
        <v>6</v>
      </c>
      <c r="B141" s="91">
        <v>42865</v>
      </c>
      <c r="C141" s="92">
        <v>0</v>
      </c>
      <c r="D141" s="94">
        <f>(Sheet1!BQ139-Sheet1!BQ138)*1.385</f>
        <v>-0.65094999999999847</v>
      </c>
      <c r="E141" s="30">
        <f>(Sheet1!BR139-Sheet1!BR138)*1.385</f>
        <v>-0.63709999999999622</v>
      </c>
      <c r="F141" s="30">
        <f ca="1">IF(B141=TODAY(),0,-(VLOOKUP(Sheet1!CD139,Lookup!$I$4:$J$216,2)-VLOOKUP(Sheet1!CD138,Lookup!$I$4:$J$216,2))/1000000)</f>
        <v>-0.31091081564339806</v>
      </c>
      <c r="G141" s="94">
        <f ca="1">IF(B141=TODAY(),0,-$G$6*(Sheet1!CF139-Sheet1!CF138)*7.48/1000000)</f>
        <v>0.51627551368327118</v>
      </c>
      <c r="H141" s="94">
        <f ca="1">IF(B141=TODAY(),0,-$H$6*(Sheet1!CE139-Sheet1!CE138)*7.48/1000000)</f>
        <v>1.5039432351265274E-2</v>
      </c>
      <c r="I141" s="94">
        <f ca="1">IF(B141=TODAY(),0,-$I$6*(Sheet1!CG139-Sheet1!CG138)*7.48/1000000)</f>
        <v>8.9849759999999675E-3</v>
      </c>
      <c r="J141" s="95" t="s">
        <v>177</v>
      </c>
      <c r="K141" s="94">
        <f ca="1">IF(B141=TODAY(),0,-$K$6*(Sheet1!CH139-Sheet1!CH138)*7.48/1000000)</f>
        <v>6.6633203744585374E-3</v>
      </c>
      <c r="L141" s="95" t="s">
        <v>177</v>
      </c>
      <c r="M141" s="94">
        <f ca="1">IF(B141=TODAY(),0,-$M$6*(Sheet1!CI139-Sheet1!CI138)*7.48/1000000)</f>
        <v>9.8953296354148887E-2</v>
      </c>
      <c r="N141" s="94">
        <f ca="1">IF(B141=TODAY(),0,-$N$6*(Sheet1!CJ139-Sheet1!CJ138)*7.48/1000000)</f>
        <v>-0.38472454144666768</v>
      </c>
      <c r="O141" s="94">
        <f t="shared" ca="1" si="30"/>
        <v>-4.9718818326921849E-2</v>
      </c>
      <c r="P141" s="94">
        <f ca="1">O141+Calculation!ES141</f>
        <v>1.1949337445581689</v>
      </c>
      <c r="Q141" s="89" t="str">
        <f>IF(Sheet1!BQ139&gt;25.75,"spill elevation","-")</f>
        <v>-</v>
      </c>
      <c r="R141" s="89" t="str">
        <f>IF(Sheet1!BQ139&gt;25.75,"spill elevation","-")</f>
        <v>-</v>
      </c>
      <c r="S141" s="89" t="str">
        <f>IF(Sheet1!BR139&gt;25.75,"spill elevation","-")</f>
        <v>-</v>
      </c>
      <c r="T141" s="93">
        <f>IF(Sheet1!DU139=1,Sheet1!AA139-(SUM(AT141:BA141)+BE141),Sheet1!AA139-SUM(AT141:BA141))</f>
        <v>23.980224</v>
      </c>
      <c r="U141" s="93">
        <f>Sheet1!BV139</f>
        <v>29.7</v>
      </c>
      <c r="V141" s="93">
        <f t="shared" si="27"/>
        <v>-5.7197759999999995</v>
      </c>
      <c r="W141" s="93">
        <f>0</f>
        <v>0</v>
      </c>
      <c r="X141" s="89">
        <f>0</f>
        <v>0</v>
      </c>
      <c r="Y141" s="94">
        <f ca="1">Calculation!EJ142+Calculation!ES141+'Calculations II'!O141-'Calculations II'!W141</f>
        <v>47.804674069338795</v>
      </c>
      <c r="Z141" s="94">
        <f ca="1">Y141-Sheet1!CT140</f>
        <v>30.772674069338795</v>
      </c>
      <c r="AA141" s="94">
        <f ca="1">Y141+Calculation!DJ142+Calculation!AS142</f>
        <v>59.455557260221987</v>
      </c>
      <c r="AC141" s="94">
        <f>Sheet1!AA139+Sheet1!AB139+BC141</f>
        <v>58.137167999999996</v>
      </c>
      <c r="AD141" s="94">
        <f>Sheet1!AA139+Sheet1!BN139+'Calculations II'!BC141-Calculation!AS141-Calculation!DJ141</f>
        <v>34.341176213552359</v>
      </c>
      <c r="AE141" s="94">
        <f>Sheet1!AA139+Sheet1!AB139+'Calculations II'!BC141-Calculation!AS141-Calculation!DJ141</f>
        <v>46.181176213552355</v>
      </c>
      <c r="AF141" s="94">
        <f ca="1">Sheet1!AA139+Sheet1!BN139+P141+'Calculations II'!BC141+Calculation!AS141+Calculation!DJ141</f>
        <v>59.44809353100581</v>
      </c>
      <c r="AG141" s="94">
        <f ca="1">IF(B141=TODAY(),0,Sheet1!AA139+Sheet1!BN139+'Calculations II'!BC141+'Calculations II'!P141-Sheet1!CT139-BP141)</f>
        <v>30.50710174455817</v>
      </c>
      <c r="AH141" s="94">
        <f ca="1">IF(B141=TODAY(),0,Sheet1!AA139+Sheet1!BN139+'Calculations II'!BC141+'Calculations II'!P141-BP141)</f>
        <v>47.49210174455817</v>
      </c>
      <c r="AI141" s="94">
        <f ca="1">IF(B141=TODAY(),0,BC141+Sheet1!AA139+Calculation!ES141+O141+W141+Sheet1!BN139+Calculation!AS141+Calculation!DJ141-BP141)</f>
        <v>59.44809353100581</v>
      </c>
      <c r="AJ141" s="94"/>
      <c r="AM141" s="90">
        <f t="shared" si="28"/>
        <v>42865</v>
      </c>
      <c r="AN141" s="94">
        <f>Sheet1!BU139</f>
        <v>24.5</v>
      </c>
      <c r="AO141" s="94">
        <f>Sheet1!AA139</f>
        <v>25.68</v>
      </c>
      <c r="AP141" s="94">
        <f t="shared" si="31"/>
        <v>-1.2880499999999948</v>
      </c>
      <c r="AQ141" s="1087">
        <f>((Sheet1!BV139-(Sheet1!BU139-AP141))/(Sheet1!BU139-AP141))</f>
        <v>0.1516962313939986</v>
      </c>
      <c r="AR141" s="94">
        <f t="shared" si="32"/>
        <v>26.968049999999995</v>
      </c>
      <c r="AS141" s="94">
        <f t="shared" si="33"/>
        <v>25.788049999999995</v>
      </c>
      <c r="AT141" s="89">
        <f>Sheet1!BB139</f>
        <v>0</v>
      </c>
      <c r="AU141" s="89">
        <f>Sheet1!AS139*GPMtoMGD</f>
        <v>3.2544000000000003E-2</v>
      </c>
      <c r="AV141" s="94">
        <f>Sheet1!AT139</f>
        <v>0</v>
      </c>
      <c r="AW141" s="89">
        <f>Sheet1!AV139*GPMtoMGD</f>
        <v>0.78134400000000004</v>
      </c>
      <c r="AX141" s="89">
        <f>Sheet1!AW139*GPMtoMGD</f>
        <v>0.88588800000000012</v>
      </c>
      <c r="AY141" s="89">
        <f>Sheet1!AX139*GPMtoMGD</f>
        <v>0</v>
      </c>
      <c r="AZ141" s="89">
        <f>Sheet1!AY139*GPMtoMGD</f>
        <v>0</v>
      </c>
      <c r="BA141" s="89">
        <f>Sheet1!AZ139*GPMtoMGD</f>
        <v>0</v>
      </c>
      <c r="BB141" s="89">
        <f>Sheet1!BP139*GPMtoMGD</f>
        <v>2.8800000000000002E-3</v>
      </c>
      <c r="BC141" s="89">
        <f>Sheet1!CS139*GPMtoMGD</f>
        <v>8.3371680000000001</v>
      </c>
      <c r="BD141" s="89">
        <f>Sheet1!BO139*GPMtoMGD</f>
        <v>1.4725440000000001</v>
      </c>
      <c r="BE141" s="89">
        <f>Sheet1!BW139*GPMtoMGD</f>
        <v>1.1774880000000001</v>
      </c>
      <c r="BF141" s="89">
        <f>Sheet1!CN139*GPMtoMGD</f>
        <v>1.6068960000000003</v>
      </c>
      <c r="BG141" s="89">
        <f>Sheet1!CO139*GPMtoMGD</f>
        <v>0.72158400000000011</v>
      </c>
      <c r="BH141" s="89">
        <f>Sheet1!CP139*GPMtoMGD</f>
        <v>0.79804800000000009</v>
      </c>
      <c r="BI141" s="89">
        <f t="shared" si="29"/>
        <v>1.4754240000000001</v>
      </c>
      <c r="BK141" s="94">
        <f>SUM(AT141:BA141,AS141,BC141,Calculation!AQ141)</f>
        <v>47.989002213552354</v>
      </c>
      <c r="BM141" s="358">
        <f>0</f>
        <v>0</v>
      </c>
      <c r="BN141" s="358">
        <f>0</f>
        <v>0</v>
      </c>
      <c r="BP141" s="94">
        <f>SUM(BM141:BN141,W141,Sheet1!DX139)</f>
        <v>0</v>
      </c>
      <c r="BR141" s="94">
        <f>Sheet1!AA139</f>
        <v>25.68</v>
      </c>
      <c r="BS141" s="94">
        <f>Sheet1!AB139</f>
        <v>24.12</v>
      </c>
      <c r="BT141" s="94">
        <f t="shared" ref="BT141:BT204" ca="1" si="34">P141</f>
        <v>1.1949337445581689</v>
      </c>
      <c r="BU141" s="94">
        <f>Sheet1!AT139</f>
        <v>0</v>
      </c>
      <c r="BV141" s="89">
        <f>Sheet1!BB139</f>
        <v>0</v>
      </c>
      <c r="BW141" s="94">
        <f>Calculation!ED141</f>
        <v>11.95599178644764</v>
      </c>
      <c r="BX141" s="94">
        <f>(Sheet1!CS139*1440)/1000000</f>
        <v>8.3371680000000001</v>
      </c>
      <c r="CA141" s="94">
        <f ca="1">Sheet1!AC139-Sheet1!BK139-Sheet1!BL139-Sheet1!BM139-Sheet1!BC139-Sheet1!BD139-Sheet1!BE139-Sheet1!BF139-Sheet1!BG139-Sheet1!BH139-Sheet1!BI139+BC141+P141</f>
        <v>47.262101744558166</v>
      </c>
      <c r="CB141" s="93">
        <f t="shared" ref="CB141:CB204" si="35">(BR141+BS141-BW141)*1.547</f>
        <v>58.54468070636549</v>
      </c>
      <c r="CC141" s="94">
        <f t="shared" ref="CC141:CC204" si="36">BU141+BV141</f>
        <v>0</v>
      </c>
      <c r="CD141" s="94">
        <f t="shared" ref="CD141:CD204" ca="1" si="37">CA141+BW141</f>
        <v>59.218093531005806</v>
      </c>
      <c r="CE141" s="1077">
        <f t="shared" ref="CE141:CE204" ca="1" si="38">CD141*1.547</f>
        <v>91.610390692465984</v>
      </c>
      <c r="CG141" s="1077">
        <f t="shared" ref="CG141:CG204" ca="1" si="39">CA141-BU141-BV141-BP141</f>
        <v>47.262101744558166</v>
      </c>
    </row>
    <row r="142" spans="1:85" s="89" customFormat="1" x14ac:dyDescent="0.25">
      <c r="A142" s="616" t="s">
        <v>7</v>
      </c>
      <c r="B142" s="91">
        <v>42866</v>
      </c>
      <c r="C142" s="92">
        <v>0</v>
      </c>
      <c r="D142" s="94">
        <f>(Sheet1!BQ140-Sheet1!BQ139)*1.385</f>
        <v>0.27699999999999902</v>
      </c>
      <c r="E142" s="30">
        <f>(Sheet1!BR140-Sheet1!BR139)*1.385</f>
        <v>0.23544999999999744</v>
      </c>
      <c r="F142" s="30">
        <f ca="1">IF(B142=TODAY(),0,-(VLOOKUP(Sheet1!CD140,Lookup!$I$4:$J$216,2)-VLOOKUP(Sheet1!CD139,Lookup!$I$4:$J$216,2))/1000000)</f>
        <v>-0.20727387709559872</v>
      </c>
      <c r="G142" s="94">
        <f ca="1">IF(B142=TODAY(),0,-$G$6*(Sheet1!CF140-Sheet1!CF139)*7.48/1000000)</f>
        <v>-0.3177080084204747</v>
      </c>
      <c r="H142" s="94">
        <f ca="1">IF(B142=TODAY(),0,-$H$6*(Sheet1!CE140-Sheet1!CE139)*7.48/1000000)</f>
        <v>-3.7598580878162646E-2</v>
      </c>
      <c r="I142" s="94">
        <f ca="1">IF(B142=TODAY(),0,-$I$6*(Sheet1!CG140-Sheet1!CG139)*7.48/1000000)</f>
        <v>-1.3477464000000033E-2</v>
      </c>
      <c r="J142" s="95" t="s">
        <v>177</v>
      </c>
      <c r="K142" s="94">
        <f ca="1">IF(B142=TODAY(),0,-$K$6*(Sheet1!CH140-Sheet1!CH139)*7.48/1000000)</f>
        <v>-1.3326640748916953E-2</v>
      </c>
      <c r="L142" s="95" t="s">
        <v>177</v>
      </c>
      <c r="M142" s="94">
        <f ca="1">IF(B142=TODAY(),0,-$M$6*(Sheet1!CI140-Sheet1!CI139)*7.48/1000000)</f>
        <v>-8.9957542140135238E-2</v>
      </c>
      <c r="N142" s="94">
        <f ca="1">IF(B142=TODAY(),0,-$N$6*(Sheet1!CJ140-Sheet1!CJ139)*7.48/1000000)</f>
        <v>0.14892562894709749</v>
      </c>
      <c r="O142" s="94">
        <f t="shared" ca="1" si="30"/>
        <v>-0.53041648433619071</v>
      </c>
      <c r="P142" s="94">
        <f ca="1">O142+Calculation!ES142</f>
        <v>-0.9452558453787685</v>
      </c>
      <c r="Q142" s="89" t="str">
        <f>IF(Sheet1!BQ140&gt;25.75,"spill elevation","-")</f>
        <v>-</v>
      </c>
      <c r="R142" s="89" t="str">
        <f>IF(Sheet1!BQ140&gt;25.75,"spill elevation","-")</f>
        <v>-</v>
      </c>
      <c r="S142" s="89" t="str">
        <f>IF(Sheet1!BR140&gt;25.75,"spill elevation","-")</f>
        <v>-</v>
      </c>
      <c r="T142" s="93">
        <f>IF(Sheet1!DU140=1,Sheet1!AA140-(SUM(AT142:BA142)+BE142),Sheet1!AA140-SUM(AT142:BA142))</f>
        <v>24.673168</v>
      </c>
      <c r="U142" s="93">
        <f>Sheet1!BV140</f>
        <v>28.1</v>
      </c>
      <c r="V142" s="93">
        <f t="shared" si="27"/>
        <v>-3.426832000000001</v>
      </c>
      <c r="W142" s="93">
        <f>0</f>
        <v>0</v>
      </c>
      <c r="X142" s="89">
        <f>0</f>
        <v>0</v>
      </c>
      <c r="Y142" s="94">
        <f ca="1">Calculation!EJ143+Calculation!ES142+'Calculations II'!O142-'Calculations II'!W142</f>
        <v>45.107129624446635</v>
      </c>
      <c r="Z142" s="94">
        <f ca="1">Y142-Sheet1!CT141</f>
        <v>29.118129624446635</v>
      </c>
      <c r="AA142" s="94">
        <f ca="1">Y142+Calculation!DJ143+Calculation!AS143</f>
        <v>57.074404615553007</v>
      </c>
      <c r="AC142" s="94">
        <f>Sheet1!AA140+Sheet1!AB140+BC142</f>
        <v>58.664208000000002</v>
      </c>
      <c r="AD142" s="94">
        <f>Sheet1!AA140+Sheet1!BN140+'Calculations II'!BC142-Calculation!AS142-Calculation!DJ142</f>
        <v>35.40332480911681</v>
      </c>
      <c r="AE142" s="94">
        <f>Sheet1!AA140+Sheet1!AB140+'Calculations II'!BC142-Calculation!AS142-Calculation!DJ142</f>
        <v>47.01332480911681</v>
      </c>
      <c r="AF142" s="94">
        <f ca="1">Sheet1!AA140+Sheet1!BN140+P142+'Calculations II'!BC142+Calculation!AS142+Calculation!DJ142</f>
        <v>57.759835345504428</v>
      </c>
      <c r="AG142" s="94">
        <f ca="1">IF(B142=TODAY(),0,Sheet1!AA140+Sheet1!BN140+'Calculations II'!BC142+'Calculations II'!P142-Sheet1!CT140-BP142)</f>
        <v>29.076952154621235</v>
      </c>
      <c r="AH142" s="94">
        <f ca="1">IF(B142=TODAY(),0,Sheet1!AA140+Sheet1!BN140+'Calculations II'!BC142+'Calculations II'!P142-BP142)</f>
        <v>46.108952154621235</v>
      </c>
      <c r="AI142" s="94">
        <f ca="1">IF(B142=TODAY(),0,BC142+Sheet1!AA140+Calculation!ES142+O142+W142+Sheet1!BN140+Calculation!AS142+Calculation!DJ142-BP142)</f>
        <v>57.759835345504428</v>
      </c>
      <c r="AJ142" s="94"/>
      <c r="AM142" s="90">
        <f t="shared" si="28"/>
        <v>42866</v>
      </c>
      <c r="AN142" s="94">
        <f>Sheet1!BU140</f>
        <v>24.8</v>
      </c>
      <c r="AO142" s="94">
        <f>Sheet1!AA140</f>
        <v>25.66</v>
      </c>
      <c r="AP142" s="94">
        <f t="shared" si="31"/>
        <v>0.51244999999999652</v>
      </c>
      <c r="AQ142" s="1087">
        <f>((Sheet1!BV140-(Sheet1!BU140-AP142))/(Sheet1!BU140-AP142))</f>
        <v>0.15697137010525961</v>
      </c>
      <c r="AR142" s="94">
        <f t="shared" si="32"/>
        <v>25.147550000000003</v>
      </c>
      <c r="AS142" s="94">
        <f t="shared" si="33"/>
        <v>24.287550000000003</v>
      </c>
      <c r="AT142" s="89">
        <f>Sheet1!BB140</f>
        <v>0</v>
      </c>
      <c r="AU142" s="89">
        <f>Sheet1!AS140*GPMtoMGD</f>
        <v>1.584E-2</v>
      </c>
      <c r="AV142" s="94">
        <f>Sheet1!AT140</f>
        <v>0</v>
      </c>
      <c r="AW142" s="89">
        <f>Sheet1!AV140*GPMtoMGD</f>
        <v>0.39096000000000003</v>
      </c>
      <c r="AX142" s="89">
        <f>Sheet1!AW140*GPMtoMGD</f>
        <v>0.5800320000000001</v>
      </c>
      <c r="AY142" s="89">
        <f>Sheet1!AX140*GPMtoMGD</f>
        <v>0</v>
      </c>
      <c r="AZ142" s="89">
        <f>Sheet1!AY140*GPMtoMGD</f>
        <v>0</v>
      </c>
      <c r="BA142" s="89">
        <f>Sheet1!AZ140*GPMtoMGD</f>
        <v>0</v>
      </c>
      <c r="BB142" s="89">
        <f>Sheet1!BP140*GPMtoMGD</f>
        <v>2.8800000000000002E-3</v>
      </c>
      <c r="BC142" s="89">
        <f>Sheet1!CS140*GPMtoMGD</f>
        <v>4.9942080000000004</v>
      </c>
      <c r="BD142" s="89">
        <f>Sheet1!BO140*GPMtoMGD</f>
        <v>1.617264</v>
      </c>
      <c r="BE142" s="89">
        <f>Sheet1!BW140*GPMtoMGD</f>
        <v>1.1013120000000001</v>
      </c>
      <c r="BF142" s="89">
        <f>Sheet1!CN140*GPMtoMGD</f>
        <v>1.3795200000000001</v>
      </c>
      <c r="BG142" s="89">
        <f>Sheet1!CO140*GPMtoMGD</f>
        <v>0.67032000000000003</v>
      </c>
      <c r="BH142" s="89">
        <f>Sheet1!CP140*GPMtoMGD</f>
        <v>0.83851200000000004</v>
      </c>
      <c r="BI142" s="89">
        <f t="shared" si="29"/>
        <v>1.620144</v>
      </c>
      <c r="BK142" s="94">
        <f>SUM(AT142:BA142,AS142,BC142,Calculation!AQ142)</f>
        <v>46.627706809116816</v>
      </c>
      <c r="BM142" s="358">
        <f>0</f>
        <v>0</v>
      </c>
      <c r="BN142" s="358">
        <f>0</f>
        <v>0</v>
      </c>
      <c r="BP142" s="94">
        <f>SUM(BM142:BN142,W142,Sheet1!DX140)</f>
        <v>0</v>
      </c>
      <c r="BR142" s="94">
        <f>Sheet1!AA140</f>
        <v>25.66</v>
      </c>
      <c r="BS142" s="94">
        <f>Sheet1!AB140</f>
        <v>28.01</v>
      </c>
      <c r="BT142" s="94">
        <f t="shared" ca="1" si="34"/>
        <v>-0.9452558453787685</v>
      </c>
      <c r="BU142" s="94">
        <f>Sheet1!AT140</f>
        <v>0</v>
      </c>
      <c r="BV142" s="89">
        <f>Sheet1!BB140</f>
        <v>0</v>
      </c>
      <c r="BW142" s="94">
        <f>Calculation!ED142</f>
        <v>11.650883190883192</v>
      </c>
      <c r="BX142" s="94">
        <f>(Sheet1!CS140*1440)/1000000</f>
        <v>4.9942080000000004</v>
      </c>
      <c r="CA142" s="94">
        <f ca="1">Sheet1!AC140-Sheet1!BK140-Sheet1!BL140-Sheet1!BM140-Sheet1!BC140-Sheet1!BD140-Sheet1!BE140-Sheet1!BF140-Sheet1!BG140-Sheet1!BH140-Sheet1!BI140+BC142+P142</f>
        <v>46.038952154621235</v>
      </c>
      <c r="CB142" s="93">
        <f t="shared" si="35"/>
        <v>65.003573703703708</v>
      </c>
      <c r="CC142" s="94">
        <f t="shared" si="36"/>
        <v>0</v>
      </c>
      <c r="CD142" s="94">
        <f t="shared" ca="1" si="37"/>
        <v>57.689835345504427</v>
      </c>
      <c r="CE142" s="1077">
        <f t="shared" ca="1" si="38"/>
        <v>89.246175279495347</v>
      </c>
      <c r="CG142" s="1077">
        <f t="shared" ca="1" si="39"/>
        <v>46.038952154621235</v>
      </c>
    </row>
    <row r="143" spans="1:85" s="89" customFormat="1" x14ac:dyDescent="0.25">
      <c r="A143" s="616" t="s">
        <v>8</v>
      </c>
      <c r="B143" s="91">
        <v>42867</v>
      </c>
      <c r="C143" s="92">
        <v>0</v>
      </c>
      <c r="D143" s="94">
        <f>(Sheet1!BQ141-Sheet1!BQ140)*1.385</f>
        <v>0.60940000000000183</v>
      </c>
      <c r="E143" s="30">
        <f>(Sheet1!BR141-Sheet1!BR140)*1.385</f>
        <v>0.63710000000000122</v>
      </c>
      <c r="F143" s="30">
        <f ca="1">IF(B143=TODAY(),0,-(VLOOKUP(Sheet1!CD141,Lookup!$I$4:$J$216,2)-VLOOKUP(Sheet1!CD140,Lookup!$I$4:$J$216,2))/1000000)</f>
        <v>-0.20727387709560618</v>
      </c>
      <c r="G143" s="94">
        <f ca="1">IF(B143=TODAY(),0,-$G$6*(Sheet1!CF141-Sheet1!CF140)*7.48/1000000)</f>
        <v>-0.43684851157815285</v>
      </c>
      <c r="H143" s="94">
        <f ca="1">IF(B143=TODAY(),0,-$H$6*(Sheet1!CE141-Sheet1!CE140)*7.48/1000000)</f>
        <v>-7.5197161756331704E-3</v>
      </c>
      <c r="I143" s="94">
        <f ca="1">IF(B143=TODAY(),0,-$I$6*(Sheet1!CG141-Sheet1!CG140)*7.48/1000000)</f>
        <v>4.4924880000000635E-3</v>
      </c>
      <c r="J143" s="95" t="s">
        <v>177</v>
      </c>
      <c r="K143" s="94">
        <f ca="1">IF(B143=TODAY(),0,-$K$6*(Sheet1!CH141-Sheet1!CH140)*7.48/1000000)</f>
        <v>6.6633203744584186E-3</v>
      </c>
      <c r="L143" s="95" t="s">
        <v>177</v>
      </c>
      <c r="M143" s="94">
        <f ca="1">IF(B143=TODAY(),0,-$M$6*(Sheet1!CI141-Sheet1!CI140)*7.48/1000000)</f>
        <v>-7.1966033712108565E-2</v>
      </c>
      <c r="N143" s="94">
        <f ca="1">IF(B143=TODAY(),0,-$N$6*(Sheet1!CJ141-Sheet1!CJ140)*7.48/1000000)</f>
        <v>-0.21718320888118456</v>
      </c>
      <c r="O143" s="94">
        <f t="shared" ca="1" si="30"/>
        <v>-0.92963553906822693</v>
      </c>
      <c r="P143" s="94">
        <f ca="1">O143+Calculation!ES143</f>
        <v>-2.3127215843768205</v>
      </c>
      <c r="Q143" s="89" t="str">
        <f>IF(Sheet1!BQ141&gt;25.75,"spill elevation","-")</f>
        <v>-</v>
      </c>
      <c r="R143" s="89" t="str">
        <f>IF(Sheet1!BQ141&gt;25.75,"spill elevation","-")</f>
        <v>-</v>
      </c>
      <c r="S143" s="89" t="str">
        <f>IF(Sheet1!BR141&gt;25.75,"spill elevation","-")</f>
        <v>-</v>
      </c>
      <c r="T143" s="93">
        <f>IF(Sheet1!DU141=1,Sheet1!AA141-(SUM(AT143:BA143)+BE143),Sheet1!AA141-SUM(AT143:BA143))</f>
        <v>24.610783999999999</v>
      </c>
      <c r="U143" s="93">
        <f>Sheet1!BV141</f>
        <v>27.1</v>
      </c>
      <c r="V143" s="93">
        <f t="shared" si="27"/>
        <v>-2.4892160000000025</v>
      </c>
      <c r="W143" s="93">
        <f>0</f>
        <v>0</v>
      </c>
      <c r="X143" s="89">
        <f>0</f>
        <v>0</v>
      </c>
      <c r="Y143" s="94">
        <f ca="1">Calculation!EJ144+Calculation!ES143+'Calculations II'!O143-'Calculations II'!W143</f>
        <v>46.16592804982411</v>
      </c>
      <c r="Z143" s="94">
        <f ca="1">Y143-Sheet1!CT142</f>
        <v>29.462928049824111</v>
      </c>
      <c r="AA143" s="94">
        <f ca="1">Y143+Calculation!DJ144+Calculation!AS144</f>
        <v>58.11606337745944</v>
      </c>
      <c r="AC143" s="94">
        <f>Sheet1!AA141+Sheet1!AB141+BC143</f>
        <v>58.760080000000002</v>
      </c>
      <c r="AD143" s="94">
        <f>Sheet1!AA141+Sheet1!BN141+'Calculations II'!BC143-Calculation!AS143-Calculation!DJ143</f>
        <v>34.882805008893627</v>
      </c>
      <c r="AE143" s="94">
        <f>Sheet1!AA141+Sheet1!AB141+'Calculations II'!BC143-Calculation!AS143-Calculation!DJ143</f>
        <v>46.792805008893637</v>
      </c>
      <c r="AF143" s="94">
        <f ca="1">Sheet1!AA141+Sheet1!BN141+P143+'Calculations II'!BC143+Calculation!AS143+Calculation!DJ143</f>
        <v>56.504633406729553</v>
      </c>
      <c r="AG143" s="94">
        <f ca="1">IF(B143=TODAY(),0,Sheet1!AA141+Sheet1!BN141+'Calculations II'!BC143+'Calculations II'!P143-Sheet1!CT141-BP143)</f>
        <v>28.548358415623174</v>
      </c>
      <c r="AH143" s="94">
        <f ca="1">IF(B143=TODAY(),0,Sheet1!AA141+Sheet1!BN141+'Calculations II'!BC143+'Calculations II'!P143-BP143)</f>
        <v>44.537358415623174</v>
      </c>
      <c r="AI143" s="94">
        <f ca="1">IF(B143=TODAY(),0,BC143+Sheet1!AA141+Calculation!ES143+O143+W143+Sheet1!BN141+Calculation!AS143+Calculation!DJ143-BP143)</f>
        <v>56.504633406729553</v>
      </c>
      <c r="AJ143" s="94"/>
      <c r="AM143" s="90">
        <f t="shared" si="28"/>
        <v>42867</v>
      </c>
      <c r="AN143" s="94">
        <f>Sheet1!BU141</f>
        <v>24.8</v>
      </c>
      <c r="AO143" s="94">
        <f>Sheet1!AA141</f>
        <v>25.7</v>
      </c>
      <c r="AP143" s="94">
        <f t="shared" si="31"/>
        <v>1.2465000000000031</v>
      </c>
      <c r="AQ143" s="1087">
        <f>((Sheet1!BV141-(Sheet1!BU141-AP143))/(Sheet1!BU141-AP143))</f>
        <v>0.15057210181077146</v>
      </c>
      <c r="AR143" s="94">
        <f t="shared" si="32"/>
        <v>24.453499999999995</v>
      </c>
      <c r="AS143" s="94">
        <f t="shared" si="33"/>
        <v>23.553499999999996</v>
      </c>
      <c r="AT143" s="89">
        <f>Sheet1!BB141</f>
        <v>0</v>
      </c>
      <c r="AU143" s="89">
        <f>Sheet1!AS141*GPMtoMGD</f>
        <v>3.1968000000000003E-2</v>
      </c>
      <c r="AV143" s="94">
        <f>Sheet1!AT141</f>
        <v>0</v>
      </c>
      <c r="AW143" s="89">
        <f>Sheet1!AV141*GPMtoMGD</f>
        <v>0.49564800000000003</v>
      </c>
      <c r="AX143" s="89">
        <f>Sheet1!AW141*GPMtoMGD</f>
        <v>0.56159999999999999</v>
      </c>
      <c r="AY143" s="89">
        <f>Sheet1!AX141*GPMtoMGD</f>
        <v>0</v>
      </c>
      <c r="AZ143" s="89">
        <f>Sheet1!AY141*GPMtoMGD</f>
        <v>0</v>
      </c>
      <c r="BA143" s="89">
        <f>Sheet1!AZ141*GPMtoMGD</f>
        <v>0</v>
      </c>
      <c r="BB143" s="89">
        <f>Sheet1!BP141*GPMtoMGD</f>
        <v>2.8800000000000002E-3</v>
      </c>
      <c r="BC143" s="89">
        <f>Sheet1!CS141*GPMtoMGD</f>
        <v>5.0500800000000003</v>
      </c>
      <c r="BD143" s="89">
        <f>Sheet1!BO141*GPMtoMGD</f>
        <v>1.509552</v>
      </c>
      <c r="BE143" s="89">
        <f>Sheet1!BW141*GPMtoMGD</f>
        <v>0.98856000000000011</v>
      </c>
      <c r="BF143" s="89">
        <f>Sheet1!CN141*GPMtoMGD</f>
        <v>1.1453759999999999</v>
      </c>
      <c r="BG143" s="89">
        <f>Sheet1!CO141*GPMtoMGD</f>
        <v>0.61963200000000007</v>
      </c>
      <c r="BH143" s="89">
        <f>Sheet1!CP141*GPMtoMGD</f>
        <v>0.82800000000000007</v>
      </c>
      <c r="BI143" s="89">
        <f t="shared" si="29"/>
        <v>1.512432</v>
      </c>
      <c r="BK143" s="94">
        <f>SUM(AT143:BA143,AS143,BC143,Calculation!AQ143)</f>
        <v>45.735521008893627</v>
      </c>
      <c r="BM143" s="358">
        <f>0</f>
        <v>0</v>
      </c>
      <c r="BN143" s="358">
        <f>0</f>
        <v>0</v>
      </c>
      <c r="BP143" s="94">
        <f>SUM(BM143:BN143,W143,Sheet1!DX141)</f>
        <v>0</v>
      </c>
      <c r="BR143" s="94">
        <f>Sheet1!AA141</f>
        <v>25.7</v>
      </c>
      <c r="BS143" s="94">
        <f>Sheet1!AB141</f>
        <v>28.01</v>
      </c>
      <c r="BT143" s="94">
        <f t="shared" ca="1" si="34"/>
        <v>-2.3127215843768205</v>
      </c>
      <c r="BU143" s="94">
        <f>Sheet1!AT141</f>
        <v>0</v>
      </c>
      <c r="BV143" s="89">
        <f>Sheet1!BB141</f>
        <v>0</v>
      </c>
      <c r="BW143" s="94">
        <f>Calculation!ED143</f>
        <v>11.967274991106368</v>
      </c>
      <c r="BX143" s="94">
        <f>(Sheet1!CS141*1440)/1000000</f>
        <v>5.0500800000000003</v>
      </c>
      <c r="CA143" s="94">
        <f ca="1">Sheet1!AC141-Sheet1!BK141-Sheet1!BL141-Sheet1!BM141-Sheet1!BC141-Sheet1!BD141-Sheet1!BE141-Sheet1!BF141-Sheet1!BG141-Sheet1!BH141-Sheet1!BI141+BC143+P143</f>
        <v>44.43735841562318</v>
      </c>
      <c r="CB143" s="93">
        <f t="shared" si="35"/>
        <v>64.575995588758445</v>
      </c>
      <c r="CC143" s="94">
        <f t="shared" si="36"/>
        <v>0</v>
      </c>
      <c r="CD143" s="94">
        <f t="shared" ca="1" si="37"/>
        <v>56.404633406729545</v>
      </c>
      <c r="CE143" s="1077">
        <f t="shared" ca="1" si="38"/>
        <v>87.2579678802106</v>
      </c>
      <c r="CG143" s="1077">
        <f t="shared" ca="1" si="39"/>
        <v>44.43735841562318</v>
      </c>
    </row>
    <row r="144" spans="1:85" s="89" customFormat="1" x14ac:dyDescent="0.25">
      <c r="A144" s="616" t="s">
        <v>9</v>
      </c>
      <c r="B144" s="91">
        <v>42868</v>
      </c>
      <c r="C144" s="92">
        <v>0</v>
      </c>
      <c r="D144" s="94">
        <f>(Sheet1!BQ142-Sheet1!BQ141)*1.385</f>
        <v>1.0941499999999988</v>
      </c>
      <c r="E144" s="30">
        <f>(Sheet1!BR142-Sheet1!BR141)*1.385</f>
        <v>1.0802999999999967</v>
      </c>
      <c r="F144" s="30">
        <f ca="1">IF(B144=TODAY(),0,-(VLOOKUP(Sheet1!CD142,Lookup!$I$4:$J$216,2)-VLOOKUP(Sheet1!CD141,Lookup!$I$4:$J$216,2))/1000000)</f>
        <v>0.41454775419120493</v>
      </c>
      <c r="G144" s="94">
        <f ca="1">IF(B144=TODAY(),0,-$G$6*(Sheet1!CF142-Sheet1!CF141)*7.48/1000000)</f>
        <v>0.47656201263071196</v>
      </c>
      <c r="H144" s="94">
        <f ca="1">IF(B144=TODAY(),0,-$H$6*(Sheet1!CE142-Sheet1!CE141)*7.48/1000000)</f>
        <v>0</v>
      </c>
      <c r="I144" s="94">
        <f ca="1">IF(B144=TODAY(),0,-$I$6*(Sheet1!CG142-Sheet1!CG141)*7.48/1000000)</f>
        <v>-4.4924880000000635E-3</v>
      </c>
      <c r="J144" s="95" t="s">
        <v>177</v>
      </c>
      <c r="K144" s="94">
        <f ca="1">IF(B144=TODAY(),0,-$K$6*(Sheet1!CH142-Sheet1!CH141)*7.48/1000000)</f>
        <v>-1.3326640748916837E-2</v>
      </c>
      <c r="L144" s="95" t="s">
        <v>177</v>
      </c>
      <c r="M144" s="94">
        <f ca="1">IF(B144=TODAY(),0,-$M$6*(Sheet1!CI142-Sheet1!CI141)*7.48/1000000)</f>
        <v>3.5983016856054602E-2</v>
      </c>
      <c r="N144" s="94">
        <f ca="1">IF(B144=TODAY(),0,-$N$6*(Sheet1!CJ142-Sheet1!CJ141)*7.48/1000000)</f>
        <v>0.37851930690720653</v>
      </c>
      <c r="O144" s="94">
        <f t="shared" ca="1" si="30"/>
        <v>1.2877929618362611</v>
      </c>
      <c r="P144" s="94">
        <f ca="1">O144+Calculation!ES144</f>
        <v>-0.92581080116740888</v>
      </c>
      <c r="Q144" s="89" t="str">
        <f>IF(Sheet1!BQ142&gt;25.75,"spill elevation","-")</f>
        <v>-</v>
      </c>
      <c r="R144" s="89" t="str">
        <f>IF(Sheet1!BQ142&gt;25.75,"spill elevation","-")</f>
        <v>-</v>
      </c>
      <c r="S144" s="89" t="str">
        <f>IF(Sheet1!BR142&gt;25.75,"spill elevation","-")</f>
        <v>-</v>
      </c>
      <c r="T144" s="93">
        <f>IF(Sheet1!DU142=1,Sheet1!AA142-(SUM(AT144:BA144)+BE144),Sheet1!AA142-SUM(AT144:BA144))</f>
        <v>24.037663999999999</v>
      </c>
      <c r="U144" s="93">
        <f>Sheet1!BV142</f>
        <v>25.8</v>
      </c>
      <c r="V144" s="93">
        <f t="shared" si="27"/>
        <v>-1.7623360000000012</v>
      </c>
      <c r="W144" s="93">
        <f>0</f>
        <v>0</v>
      </c>
      <c r="X144" s="89">
        <f>0</f>
        <v>0</v>
      </c>
      <c r="Y144" s="94">
        <f ca="1">Calculation!EJ145+Calculation!ES144+'Calculations II'!O144-'Calculations II'!W144</f>
        <v>46.588692998149476</v>
      </c>
      <c r="Z144" s="94">
        <f ca="1">Y144-Sheet1!CT143</f>
        <v>29.531692998149477</v>
      </c>
      <c r="AA144" s="94">
        <f ca="1">Y144+Calculation!DJ145+Calculation!AS145</f>
        <v>58.538828325784806</v>
      </c>
      <c r="AC144" s="94">
        <f>Sheet1!AA142+Sheet1!AB142+BC144</f>
        <v>58.778655999999998</v>
      </c>
      <c r="AD144" s="94">
        <f>Sheet1!AA142+Sheet1!BN142+'Calculations II'!BC144-Calculation!AS144-Calculation!DJ144</f>
        <v>34.918520672364671</v>
      </c>
      <c r="AE144" s="94">
        <f>Sheet1!AA142+Sheet1!AB142+'Calculations II'!BC144-Calculation!AS144-Calculation!DJ144</f>
        <v>46.828520672364668</v>
      </c>
      <c r="AF144" s="94">
        <f ca="1">Sheet1!AA142+Sheet1!BN142+P144+'Calculations II'!BC144+Calculation!AS144+Calculation!DJ144</f>
        <v>57.892980526467916</v>
      </c>
      <c r="AG144" s="94">
        <f ca="1">IF(B144=TODAY(),0,Sheet1!AA142+Sheet1!BN142+'Calculations II'!BC144+'Calculations II'!P144-Sheet1!CT142-BP144)</f>
        <v>29.239845198832594</v>
      </c>
      <c r="AH144" s="94">
        <f ca="1">IF(B144=TODAY(),0,Sheet1!AA142+Sheet1!BN142+'Calculations II'!BC144+'Calculations II'!P144-BP144)</f>
        <v>45.942845198832593</v>
      </c>
      <c r="AI144" s="94">
        <f ca="1">IF(B144=TODAY(),0,BC144+Sheet1!AA142+Calculation!ES144+O144+W144+Sheet1!BN142+Calculation!AS144+Calculation!DJ144-BP144)</f>
        <v>57.892980526467923</v>
      </c>
      <c r="AJ144" s="94"/>
      <c r="AM144" s="90">
        <f t="shared" si="28"/>
        <v>42868</v>
      </c>
      <c r="AN144" s="94">
        <f>Sheet1!BU142</f>
        <v>24.4</v>
      </c>
      <c r="AO144" s="94">
        <f>Sheet1!AA142</f>
        <v>25.7</v>
      </c>
      <c r="AP144" s="94">
        <f t="shared" si="31"/>
        <v>2.1744499999999958</v>
      </c>
      <c r="AQ144" s="1087">
        <f>((Sheet1!BV142-(Sheet1!BU142-AP144))/(Sheet1!BU142-AP144))</f>
        <v>0.16082616628159926</v>
      </c>
      <c r="AR144" s="94">
        <f t="shared" si="32"/>
        <v>23.525550000000003</v>
      </c>
      <c r="AS144" s="94">
        <f t="shared" si="33"/>
        <v>22.225550000000002</v>
      </c>
      <c r="AT144" s="89">
        <f>Sheet1!BB142</f>
        <v>0</v>
      </c>
      <c r="AU144" s="89">
        <f>Sheet1!AS142*GPMtoMGD</f>
        <v>1.6272000000000002E-2</v>
      </c>
      <c r="AV144" s="94">
        <f>Sheet1!AT142</f>
        <v>0</v>
      </c>
      <c r="AW144" s="89">
        <f>Sheet1!AV142*GPMtoMGD</f>
        <v>0.79776000000000002</v>
      </c>
      <c r="AX144" s="89">
        <f>Sheet1!AW142*GPMtoMGD</f>
        <v>0.84830400000000006</v>
      </c>
      <c r="AY144" s="89">
        <f>Sheet1!AX142*GPMtoMGD</f>
        <v>0</v>
      </c>
      <c r="AZ144" s="89">
        <f>Sheet1!AY142*GPMtoMGD</f>
        <v>0</v>
      </c>
      <c r="BA144" s="89">
        <f>Sheet1!AZ142*GPMtoMGD</f>
        <v>0</v>
      </c>
      <c r="BB144" s="89">
        <f>Sheet1!BP142*GPMtoMGD</f>
        <v>2.8800000000000002E-3</v>
      </c>
      <c r="BC144" s="89">
        <f>Sheet1!CS142*GPMtoMGD</f>
        <v>5.0686560000000007</v>
      </c>
      <c r="BD144" s="89">
        <f>Sheet1!BO142*GPMtoMGD</f>
        <v>1.6884000000000001</v>
      </c>
      <c r="BE144" s="89">
        <f>Sheet1!BW142*GPMtoMGD</f>
        <v>0.94795200000000002</v>
      </c>
      <c r="BF144" s="89">
        <f>Sheet1!CN142*GPMtoMGD</f>
        <v>1.254672</v>
      </c>
      <c r="BG144" s="89">
        <f>Sheet1!CO142*GPMtoMGD</f>
        <v>0.6783840000000001</v>
      </c>
      <c r="BH144" s="89">
        <f>Sheet1!CP142*GPMtoMGD</f>
        <v>0.69278400000000007</v>
      </c>
      <c r="BI144" s="89">
        <f t="shared" si="29"/>
        <v>1.6912800000000001</v>
      </c>
      <c r="BK144" s="94">
        <f>SUM(AT144:BA144,AS144,BC144,Calculation!AQ144)</f>
        <v>45.016406672364681</v>
      </c>
      <c r="BM144" s="358">
        <f>0</f>
        <v>0</v>
      </c>
      <c r="BN144" s="358">
        <f>0</f>
        <v>0</v>
      </c>
      <c r="BP144" s="94">
        <f>SUM(BM144:BN144,W144,Sheet1!DX142)</f>
        <v>0</v>
      </c>
      <c r="BR144" s="94">
        <f>Sheet1!AA142</f>
        <v>25.7</v>
      </c>
      <c r="BS144" s="94">
        <f>Sheet1!AB142</f>
        <v>28.01</v>
      </c>
      <c r="BT144" s="94">
        <f t="shared" ca="1" si="34"/>
        <v>-0.92581080116740888</v>
      </c>
      <c r="BU144" s="94">
        <f>Sheet1!AT142</f>
        <v>0</v>
      </c>
      <c r="BV144" s="89">
        <f>Sheet1!BB142</f>
        <v>0</v>
      </c>
      <c r="BW144" s="94">
        <f>Calculation!ED144</f>
        <v>11.950135327635328</v>
      </c>
      <c r="BX144" s="94">
        <f>(Sheet1!CS142*1440)/1000000</f>
        <v>5.0686559999999998</v>
      </c>
      <c r="CA144" s="94">
        <f ca="1">Sheet1!AC142-Sheet1!BK142-Sheet1!BL142-Sheet1!BM142-Sheet1!BC142-Sheet1!BD142-Sheet1!BE142-Sheet1!BF142-Sheet1!BG142-Sheet1!BH142-Sheet1!BI142+BC144+P144</f>
        <v>45.872845198832586</v>
      </c>
      <c r="CB144" s="93">
        <f t="shared" si="35"/>
        <v>64.60251064814814</v>
      </c>
      <c r="CC144" s="94">
        <f t="shared" si="36"/>
        <v>0</v>
      </c>
      <c r="CD144" s="94">
        <f t="shared" ca="1" si="37"/>
        <v>57.822980526467916</v>
      </c>
      <c r="CE144" s="1077">
        <f t="shared" ca="1" si="38"/>
        <v>89.452150874445863</v>
      </c>
      <c r="CG144" s="1077">
        <f t="shared" ca="1" si="39"/>
        <v>45.872845198832586</v>
      </c>
    </row>
    <row r="145" spans="1:85" s="89" customFormat="1" x14ac:dyDescent="0.25">
      <c r="A145" s="616" t="s">
        <v>3</v>
      </c>
      <c r="B145" s="91">
        <v>42869</v>
      </c>
      <c r="C145" s="92">
        <v>0</v>
      </c>
      <c r="D145" s="94">
        <f>(Sheet1!BQ143-Sheet1!BQ142)*1.385</f>
        <v>0.84484999999999921</v>
      </c>
      <c r="E145" s="30">
        <f>(Sheet1!BR143-Sheet1!BR142)*1.385</f>
        <v>0.85870000000000135</v>
      </c>
      <c r="F145" s="30">
        <f ca="1">IF(B145=TODAY(),0,-(VLOOKUP(Sheet1!CD143,Lookup!$I$4:$J$216,2)-VLOOKUP(Sheet1!CD142,Lookup!$I$4:$J$216,2))/1000000)</f>
        <v>0.10363693854779936</v>
      </c>
      <c r="G145" s="94">
        <f ca="1">IF(B145=TODAY(),0,-$G$6*(Sheet1!CF143-Sheet1!CF142)*7.48/1000000)</f>
        <v>0.47656201263071196</v>
      </c>
      <c r="H145" s="94">
        <f ca="1">IF(B145=TODAY(),0,-$H$6*(Sheet1!CE143-Sheet1!CE142)*7.48/1000000)</f>
        <v>1.5039432351265274E-2</v>
      </c>
      <c r="I145" s="94">
        <f ca="1">IF(B145=TODAY(),0,-$I$6*(Sheet1!CG143-Sheet1!CG142)*7.48/1000000)</f>
        <v>4.4924880000000635E-3</v>
      </c>
      <c r="J145" s="95" t="s">
        <v>177</v>
      </c>
      <c r="K145" s="94">
        <f ca="1">IF(B145=TODAY(),0,-$K$6*(Sheet1!CH143-Sheet1!CH142)*7.48/1000000)</f>
        <v>0</v>
      </c>
      <c r="L145" s="95" t="s">
        <v>177</v>
      </c>
      <c r="M145" s="94">
        <f ca="1">IF(B145=TODAY(),0,-$M$6*(Sheet1!CI143-Sheet1!CI142)*7.48/1000000)</f>
        <v>7.1966033712107941E-2</v>
      </c>
      <c r="N145" s="94">
        <f ca="1">IF(B145=TODAY(),0,-$N$6*(Sheet1!CJ143-Sheet1!CJ142)*7.48/1000000)</f>
        <v>0.11169422171032285</v>
      </c>
      <c r="O145" s="94">
        <f t="shared" ca="1" si="30"/>
        <v>0.78339112695220736</v>
      </c>
      <c r="P145" s="94">
        <f ca="1">O145+Calculation!ES145</f>
        <v>-0.87734977011120807</v>
      </c>
      <c r="Q145" s="89" t="str">
        <f>IF(Sheet1!BQ143&gt;25.75,"spill elevation","-")</f>
        <v>-</v>
      </c>
      <c r="R145" s="89" t="str">
        <f>IF(Sheet1!BQ143&gt;25.75,"spill elevation","-")</f>
        <v>-</v>
      </c>
      <c r="S145" s="89" t="str">
        <f>IF(Sheet1!BR143&gt;25.75,"spill elevation","-")</f>
        <v>-</v>
      </c>
      <c r="T145" s="93">
        <f>IF(Sheet1!DU143=1,Sheet1!AA143-(SUM(AT145:BA145)+BE145),Sheet1!AA143-SUM(AT145:BA145))</f>
        <v>24.411232000000002</v>
      </c>
      <c r="U145" s="93">
        <f>Sheet1!BV143</f>
        <v>26.9</v>
      </c>
      <c r="V145" s="93">
        <f t="shared" si="27"/>
        <v>-2.4887679999999968</v>
      </c>
      <c r="W145" s="93">
        <f>0</f>
        <v>0</v>
      </c>
      <c r="X145" s="89">
        <f>0</f>
        <v>0</v>
      </c>
      <c r="Y145" s="94">
        <f ca="1">Calculation!EJ146+Calculation!ES145+'Calculations II'!O145-'Calculations II'!W145</f>
        <v>43.597822082030191</v>
      </c>
      <c r="Z145" s="94">
        <f ca="1">Y145-Sheet1!CT144</f>
        <v>27.246822082030192</v>
      </c>
      <c r="AA145" s="94">
        <f ca="1">Y145+Calculation!DJ146+Calculation!AS146</f>
        <v>55.127160185786906</v>
      </c>
      <c r="AC145" s="94">
        <f>Sheet1!AA143+Sheet1!AB143+BC145</f>
        <v>58.392480000000006</v>
      </c>
      <c r="AD145" s="94">
        <f>Sheet1!AA143+Sheet1!BN143+'Calculations II'!BC145-Calculation!AS145-Calculation!DJ145</f>
        <v>34.53234467236468</v>
      </c>
      <c r="AE145" s="94">
        <f>Sheet1!AA143+Sheet1!AB143+'Calculations II'!BC145-Calculation!AS145-Calculation!DJ145</f>
        <v>46.442344672364676</v>
      </c>
      <c r="AF145" s="94">
        <f ca="1">Sheet1!AA143+Sheet1!BN143+P145+'Calculations II'!BC145+Calculation!AS145+Calculation!DJ145</f>
        <v>57.55526555752413</v>
      </c>
      <c r="AG145" s="94">
        <f ca="1">IF(B145=TODAY(),0,Sheet1!AA143+Sheet1!BN143+'Calculations II'!BC145+'Calculations II'!P145-Sheet1!CT143-BP145)</f>
        <v>28.548130229888802</v>
      </c>
      <c r="AH145" s="94">
        <f ca="1">IF(B145=TODAY(),0,Sheet1!AA143+Sheet1!BN143+'Calculations II'!BC145+'Calculations II'!P145-BP145)</f>
        <v>45.6051302298888</v>
      </c>
      <c r="AI145" s="94">
        <f ca="1">IF(B145=TODAY(),0,BC145+Sheet1!AA143+Calculation!ES145+O145+W145+Sheet1!BN143+Calculation!AS145+Calculation!DJ145-BP145)</f>
        <v>57.555265557524123</v>
      </c>
      <c r="AJ145" s="94"/>
      <c r="AM145" s="90">
        <f t="shared" si="28"/>
        <v>42869</v>
      </c>
      <c r="AN145" s="94">
        <f>Sheet1!BU143</f>
        <v>24.7</v>
      </c>
      <c r="AO145" s="94">
        <f>Sheet1!AA143</f>
        <v>25.3</v>
      </c>
      <c r="AP145" s="94">
        <f t="shared" si="31"/>
        <v>1.7035500000000006</v>
      </c>
      <c r="AQ145" s="1087">
        <f>((Sheet1!BV143-(Sheet1!BU143-AP145))/(Sheet1!BU143-AP145))</f>
        <v>0.16974576510722303</v>
      </c>
      <c r="AR145" s="94">
        <f t="shared" si="32"/>
        <v>23.596450000000001</v>
      </c>
      <c r="AS145" s="94">
        <f t="shared" si="33"/>
        <v>22.996449999999999</v>
      </c>
      <c r="AT145" s="89">
        <f>Sheet1!BB143</f>
        <v>0</v>
      </c>
      <c r="AU145" s="89">
        <f>Sheet1!AS143*GPMtoMGD</f>
        <v>3.1824000000000005E-2</v>
      </c>
      <c r="AV145" s="94">
        <f>Sheet1!AT143</f>
        <v>0</v>
      </c>
      <c r="AW145" s="89">
        <f>Sheet1!AV143*GPMtoMGD</f>
        <v>0.31089600000000001</v>
      </c>
      <c r="AX145" s="89">
        <f>Sheet1!AW143*GPMtoMGD</f>
        <v>0.54604799999999998</v>
      </c>
      <c r="AY145" s="89">
        <f>Sheet1!AX143*GPMtoMGD</f>
        <v>0</v>
      </c>
      <c r="AZ145" s="89">
        <f>Sheet1!AY143*GPMtoMGD</f>
        <v>0</v>
      </c>
      <c r="BA145" s="89">
        <f>Sheet1!AZ143*GPMtoMGD</f>
        <v>0</v>
      </c>
      <c r="BB145" s="89">
        <f>Sheet1!BP143*GPMtoMGD</f>
        <v>2.8800000000000002E-3</v>
      </c>
      <c r="BC145" s="89">
        <f>Sheet1!CS143*GPMtoMGD</f>
        <v>5.0824800000000003</v>
      </c>
      <c r="BD145" s="89">
        <f>Sheet1!BO143*GPMtoMGD</f>
        <v>1.6529760000000002</v>
      </c>
      <c r="BE145" s="89">
        <f>Sheet1!BW143*GPMtoMGD</f>
        <v>1.0909440000000001</v>
      </c>
      <c r="BF145" s="89">
        <f>Sheet1!CN143*GPMtoMGD</f>
        <v>1.4568480000000001</v>
      </c>
      <c r="BG145" s="89">
        <f>Sheet1!CO143*GPMtoMGD</f>
        <v>0.70344000000000007</v>
      </c>
      <c r="BH145" s="89">
        <f>Sheet1!CP143*GPMtoMGD</f>
        <v>0.69595200000000002</v>
      </c>
      <c r="BI145" s="89">
        <f t="shared" si="29"/>
        <v>1.6558560000000002</v>
      </c>
      <c r="BK145" s="94">
        <f>SUM(AT145:BA145,AS145,BC145,Calculation!AQ145)</f>
        <v>45.027562672364674</v>
      </c>
      <c r="BM145" s="358">
        <f>0</f>
        <v>0</v>
      </c>
      <c r="BN145" s="358">
        <f>0</f>
        <v>0</v>
      </c>
      <c r="BP145" s="94">
        <f>SUM(BM145:BN145,W145,Sheet1!DX143)</f>
        <v>0</v>
      </c>
      <c r="BR145" s="94">
        <f>Sheet1!AA143</f>
        <v>25.3</v>
      </c>
      <c r="BS145" s="94">
        <f>Sheet1!AB143</f>
        <v>28.01</v>
      </c>
      <c r="BT145" s="94">
        <f t="shared" ca="1" si="34"/>
        <v>-0.87734977011120807</v>
      </c>
      <c r="BU145" s="94">
        <f>Sheet1!AT143</f>
        <v>0</v>
      </c>
      <c r="BV145" s="89">
        <f>Sheet1!BB143</f>
        <v>0</v>
      </c>
      <c r="BW145" s="94">
        <f>Calculation!ED145</f>
        <v>11.950135327635328</v>
      </c>
      <c r="BX145" s="94">
        <f>(Sheet1!CS143*1440)/1000000</f>
        <v>5.0824800000000003</v>
      </c>
      <c r="CA145" s="94">
        <f ca="1">Sheet1!AC143-Sheet1!BK143-Sheet1!BL143-Sheet1!BM143-Sheet1!BC143-Sheet1!BD143-Sheet1!BE143-Sheet1!BF143-Sheet1!BG143-Sheet1!BH143-Sheet1!BI143+BC145+P145</f>
        <v>45.535130229888793</v>
      </c>
      <c r="CB145" s="93">
        <f t="shared" si="35"/>
        <v>63.983710648148147</v>
      </c>
      <c r="CC145" s="94">
        <f t="shared" si="36"/>
        <v>0</v>
      </c>
      <c r="CD145" s="94">
        <f t="shared" ca="1" si="37"/>
        <v>57.485265557524123</v>
      </c>
      <c r="CE145" s="1077">
        <f t="shared" ca="1" si="38"/>
        <v>88.929705817489818</v>
      </c>
      <c r="CG145" s="1077">
        <f t="shared" ca="1" si="39"/>
        <v>45.535130229888793</v>
      </c>
    </row>
    <row r="146" spans="1:85" s="89" customFormat="1" x14ac:dyDescent="0.25">
      <c r="A146" s="616" t="s">
        <v>4</v>
      </c>
      <c r="B146" s="91">
        <v>42870</v>
      </c>
      <c r="C146" s="92">
        <v>0</v>
      </c>
      <c r="D146" s="94">
        <f>(Sheet1!BQ144-Sheet1!BQ143)*1.385</f>
        <v>-1.1910999999999992</v>
      </c>
      <c r="E146" s="30">
        <f>(Sheet1!BR144-Sheet1!BR143)*1.385</f>
        <v>-1.177249999999997</v>
      </c>
      <c r="F146" s="30">
        <f ca="1">IF(B146=TODAY(),0,-(VLOOKUP(Sheet1!CD144,Lookup!$I$4:$J$216,2)-VLOOKUP(Sheet1!CD143,Lookup!$I$4:$J$216,2))/1000000)</f>
        <v>-0.93273244693020174</v>
      </c>
      <c r="G146" s="94">
        <f ca="1">IF(B146=TODAY(),0,-$G$6*(Sheet1!CF144-Sheet1!CF143)*7.48/1000000)</f>
        <v>-1.4296860378921352</v>
      </c>
      <c r="H146" s="94">
        <f ca="1">IF(B146=TODAY(),0,-$H$6*(Sheet1!CE144-Sheet1!CE143)*7.48/1000000)</f>
        <v>-1.8047318821517683E-2</v>
      </c>
      <c r="I146" s="94">
        <f ca="1">IF(B146=TODAY(),0,-$I$6*(Sheet1!CG144-Sheet1!CG143)*7.48/1000000)</f>
        <v>4.9417367999999738E-3</v>
      </c>
      <c r="J146" s="95" t="s">
        <v>177</v>
      </c>
      <c r="K146" s="94">
        <f ca="1">IF(B146=TODAY(),0,-$K$6*(Sheet1!CH144-Sheet1!CH143)*7.48/1000000)</f>
        <v>2.6653281497833796E-2</v>
      </c>
      <c r="L146" s="95" t="s">
        <v>177</v>
      </c>
      <c r="M146" s="94">
        <f ca="1">IF(B146=TODAY(),0,-$M$6*(Sheet1!CI144-Sheet1!CI143)*7.48/1000000)</f>
        <v>-1.7991508428027301E-2</v>
      </c>
      <c r="N146" s="94">
        <f ca="1">IF(B146=TODAY(),0,-$N$6*(Sheet1!CJ144-Sheet1!CJ143)*7.48/1000000)</f>
        <v>-0.60190775032785215</v>
      </c>
      <c r="O146" s="94">
        <f t="shared" ref="O146:O209" ca="1" si="40">SUM(F146:I146)+K146+SUM(M146:N146)</f>
        <v>-2.9687700441019005</v>
      </c>
      <c r="P146" s="94">
        <f ca="1">O146+Calculation!ES146</f>
        <v>-0.47783165777549064</v>
      </c>
      <c r="Q146" s="89" t="str">
        <f>IF(Sheet1!BQ144&gt;25.75,"spill elevation","-")</f>
        <v>-</v>
      </c>
      <c r="R146" s="89" t="str">
        <f>IF(Sheet1!BQ144&gt;25.75,"spill elevation","-")</f>
        <v>-</v>
      </c>
      <c r="S146" s="89" t="str">
        <f>IF(Sheet1!BR144&gt;25.75,"spill elevation","-")</f>
        <v>-</v>
      </c>
      <c r="T146" s="93">
        <f>IF(Sheet1!DU144=1,Sheet1!AA144-(SUM(AT146:BA146)+BE146),Sheet1!AA144-SUM(AT146:BA146))</f>
        <v>23.692527999999999</v>
      </c>
      <c r="U146" s="93">
        <f>Sheet1!BV144</f>
        <v>30.5</v>
      </c>
      <c r="V146" s="93">
        <f t="shared" ref="V146:V209" si="41">T146-U146</f>
        <v>-6.8074720000000006</v>
      </c>
      <c r="W146" s="93">
        <f>0</f>
        <v>0</v>
      </c>
      <c r="X146" s="89">
        <f>0</f>
        <v>0</v>
      </c>
      <c r="Y146" s="94">
        <f ca="1">Calculation!EJ147+Calculation!ES146+'Calculations II'!O146-'Calculations II'!W146</f>
        <v>48.936149499919665</v>
      </c>
      <c r="Z146" s="94">
        <f ca="1">Y146-Sheet1!CT145</f>
        <v>32.465149499919661</v>
      </c>
      <c r="AA146" s="94">
        <f ca="1">Y146+Calculation!DJ147+Calculation!AS147</f>
        <v>60.331035863556025</v>
      </c>
      <c r="AC146" s="94">
        <f>Sheet1!AA144+Sheet1!AB144+BC146</f>
        <v>58.665807999999998</v>
      </c>
      <c r="AD146" s="94">
        <f>Sheet1!AA144+Sheet1!BN144+'Calculations II'!BC146-Calculation!AS146-Calculation!DJ146</f>
        <v>35.636469896243284</v>
      </c>
      <c r="AE146" s="94">
        <f>Sheet1!AA144+Sheet1!AB144+'Calculations II'!BC146-Calculation!AS146-Calculation!DJ146</f>
        <v>47.136469896243284</v>
      </c>
      <c r="AF146" s="94">
        <f ca="1">Sheet1!AA144+Sheet1!BN144+P146+'Calculations II'!BC146+Calculation!AS146+Calculation!DJ146</f>
        <v>58.217314445981231</v>
      </c>
      <c r="AG146" s="94">
        <f ca="1">IF(B146=TODAY(),0,Sheet1!AA144+Sheet1!BN144+'Calculations II'!BC146+'Calculations II'!P146-Sheet1!CT144-BP146)</f>
        <v>30.33697634222451</v>
      </c>
      <c r="AH146" s="94">
        <f ca="1">IF(B146=TODAY(),0,Sheet1!AA144+Sheet1!BN144+'Calculations II'!BC146+'Calculations II'!P146-BP146)</f>
        <v>46.687976342224509</v>
      </c>
      <c r="AI146" s="94">
        <f ca="1">IF(B146=TODAY(),0,BC146+Sheet1!AA144+Calculation!ES146+O146+W146+Sheet1!BN144+Calculation!AS146+Calculation!DJ146-BP146)</f>
        <v>58.217314445981216</v>
      </c>
      <c r="AJ146" s="94"/>
      <c r="AM146" s="90">
        <f t="shared" ref="AM146:AM209" si="42">B146</f>
        <v>42870</v>
      </c>
      <c r="AN146" s="94">
        <f>Sheet1!BU144</f>
        <v>24</v>
      </c>
      <c r="AO146" s="94">
        <f>Sheet1!AA144</f>
        <v>25.66</v>
      </c>
      <c r="AP146" s="94">
        <f t="shared" si="31"/>
        <v>-2.368349999999996</v>
      </c>
      <c r="AQ146" s="1087">
        <f>((Sheet1!BV144-(Sheet1!BU144-AP146))/(Sheet1!BU144-AP146))</f>
        <v>0.15668974357515753</v>
      </c>
      <c r="AR146" s="94">
        <f t="shared" si="32"/>
        <v>28.028349999999996</v>
      </c>
      <c r="AS146" s="94">
        <f t="shared" si="33"/>
        <v>26.368349999999996</v>
      </c>
      <c r="AT146" s="89">
        <f>Sheet1!BB144</f>
        <v>0</v>
      </c>
      <c r="AU146" s="89">
        <f>Sheet1!AS144*GPMtoMGD</f>
        <v>1.5696000000000002E-2</v>
      </c>
      <c r="AV146" s="94">
        <f>Sheet1!AT144</f>
        <v>0</v>
      </c>
      <c r="AW146" s="89">
        <f>Sheet1!AV144*GPMtoMGD</f>
        <v>0.93240000000000001</v>
      </c>
      <c r="AX146" s="89">
        <f>Sheet1!AW144*GPMtoMGD</f>
        <v>1.0193760000000001</v>
      </c>
      <c r="AY146" s="89">
        <f>Sheet1!AX144*GPMtoMGD</f>
        <v>0</v>
      </c>
      <c r="AZ146" s="89">
        <f>Sheet1!AY144*GPMtoMGD</f>
        <v>0</v>
      </c>
      <c r="BA146" s="89">
        <f>Sheet1!AZ144*GPMtoMGD</f>
        <v>0</v>
      </c>
      <c r="BB146" s="89">
        <f>Sheet1!BP144*GPMtoMGD</f>
        <v>6.0192000000000002E-2</v>
      </c>
      <c r="BC146" s="89">
        <f>Sheet1!CS144*GPMtoMGD</f>
        <v>5.1058079999999997</v>
      </c>
      <c r="BD146" s="89">
        <f>Sheet1!BO144*GPMtoMGD</f>
        <v>1.45296</v>
      </c>
      <c r="BE146" s="89">
        <f>Sheet1!BW144*GPMtoMGD</f>
        <v>0.90028800000000009</v>
      </c>
      <c r="BF146" s="89">
        <f>Sheet1!CN144*GPMtoMGD</f>
        <v>1.3348800000000001</v>
      </c>
      <c r="BG146" s="89">
        <f>Sheet1!CO144*GPMtoMGD</f>
        <v>0.65260800000000008</v>
      </c>
      <c r="BH146" s="89">
        <f>Sheet1!CP144*GPMtoMGD</f>
        <v>0.80380800000000008</v>
      </c>
      <c r="BI146" s="89">
        <f t="shared" ref="BI146:BI209" si="43">BD146+BB146</f>
        <v>1.5131520000000001</v>
      </c>
      <c r="BK146" s="94">
        <f>SUM(AT146:BA146,AS146,BC146,Calculation!AQ146)</f>
        <v>49.812291896243288</v>
      </c>
      <c r="BM146" s="358">
        <f>0</f>
        <v>0</v>
      </c>
      <c r="BN146" s="358">
        <f>0</f>
        <v>0</v>
      </c>
      <c r="BP146" s="94">
        <f>SUM(BM146:BN146,W146,Sheet1!DX144)</f>
        <v>0</v>
      </c>
      <c r="BR146" s="94">
        <f>Sheet1!AA144</f>
        <v>25.66</v>
      </c>
      <c r="BS146" s="94">
        <f>Sheet1!AB144</f>
        <v>27.9</v>
      </c>
      <c r="BT146" s="94">
        <f t="shared" ca="1" si="34"/>
        <v>-0.47783165777549064</v>
      </c>
      <c r="BU146" s="94">
        <f>Sheet1!AT144</f>
        <v>0</v>
      </c>
      <c r="BV146" s="89">
        <f>Sheet1!BB144</f>
        <v>0</v>
      </c>
      <c r="BW146" s="94">
        <f>Calculation!ED146</f>
        <v>11.529338103756711</v>
      </c>
      <c r="BX146" s="94">
        <f>(Sheet1!CS144*1440)/1000000</f>
        <v>5.1058079999999997</v>
      </c>
      <c r="CA146" s="94">
        <f ca="1">Sheet1!AC144-Sheet1!BK144-Sheet1!BL144-Sheet1!BM144-Sheet1!BC144-Sheet1!BD144-Sheet1!BE144-Sheet1!BF144-Sheet1!BG144-Sheet1!BH144-Sheet1!BI144+BC146+P146</f>
        <v>46.637976342224512</v>
      </c>
      <c r="CB146" s="93">
        <f t="shared" si="35"/>
        <v>65.021433953488369</v>
      </c>
      <c r="CC146" s="94">
        <f t="shared" si="36"/>
        <v>0</v>
      </c>
      <c r="CD146" s="94">
        <f t="shared" ca="1" si="37"/>
        <v>58.167314445981219</v>
      </c>
      <c r="CE146" s="1077">
        <f t="shared" ca="1" si="38"/>
        <v>89.984835447932937</v>
      </c>
      <c r="CG146" s="1077">
        <f t="shared" ca="1" si="39"/>
        <v>46.637976342224512</v>
      </c>
    </row>
    <row r="147" spans="1:85" s="89" customFormat="1" x14ac:dyDescent="0.25">
      <c r="A147" s="616" t="s">
        <v>5</v>
      </c>
      <c r="B147" s="91">
        <v>42871</v>
      </c>
      <c r="C147" s="92">
        <v>0</v>
      </c>
      <c r="D147" s="94">
        <f>(Sheet1!BQ145-Sheet1!BQ144)*1.385</f>
        <v>2.2714000000000008</v>
      </c>
      <c r="E147" s="30">
        <f>(Sheet1!BR145-Sheet1!BR144)*1.385</f>
        <v>2.2436999999999965</v>
      </c>
      <c r="F147" s="30">
        <f ca="1">IF(B147=TODAY(),0,-(VLOOKUP(Sheet1!CD145,Lookup!$I$4:$J$216,2)-VLOOKUP(Sheet1!CD144,Lookup!$I$4:$J$216,2))/1000000)</f>
        <v>1.1400063240258005</v>
      </c>
      <c r="G147" s="94">
        <f ca="1">IF(B147=TODAY(),0,-$G$6*(Sheet1!CF145-Sheet1!CF144)*7.48/1000000)</f>
        <v>0.43684851157815285</v>
      </c>
      <c r="H147" s="94">
        <f ca="1">IF(B147=TODAY(),0,-$H$6*(Sheet1!CE145-Sheet1!CE144)*7.48/1000000)</f>
        <v>3.0078864702524134E-3</v>
      </c>
      <c r="I147" s="94">
        <f ca="1">IF(B147=TODAY(),0,-$I$6*(Sheet1!CG145-Sheet1!CG144)*7.48/1000000)</f>
        <v>2.4259435200000002E-2</v>
      </c>
      <c r="J147" s="95" t="s">
        <v>177</v>
      </c>
      <c r="K147" s="94">
        <f ca="1">IF(B147=TODAY(),0,-$K$6*(Sheet1!CH145-Sheet1!CH144)*7.48/1000000)</f>
        <v>3.9979922246750635E-2</v>
      </c>
      <c r="L147" s="95" t="s">
        <v>177</v>
      </c>
      <c r="M147" s="94">
        <f ca="1">IF(B147=TODAY(),0,-$M$6*(Sheet1!CI145-Sheet1!CI144)*7.48/1000000)</f>
        <v>8.9957542140135238E-2</v>
      </c>
      <c r="N147" s="94">
        <f ca="1">IF(B147=TODAY(),0,-$N$6*(Sheet1!CJ145-Sheet1!CJ144)*7.48/1000000)</f>
        <v>0.34128789967043188</v>
      </c>
      <c r="O147" s="94">
        <f t="shared" ca="1" si="40"/>
        <v>2.0753475213315236</v>
      </c>
      <c r="P147" s="94">
        <f ca="1">O147+Calculation!ES147</f>
        <v>-2.4921896949367515</v>
      </c>
      <c r="Q147" s="89" t="str">
        <f>IF(Sheet1!BQ145&gt;25.75,"spill elevation","-")</f>
        <v>-</v>
      </c>
      <c r="R147" s="89" t="str">
        <f>IF(Sheet1!BQ145&gt;25.75,"spill elevation","-")</f>
        <v>-</v>
      </c>
      <c r="S147" s="89" t="str">
        <f>IF(Sheet1!BR145&gt;25.75,"spill elevation","-")</f>
        <v>-</v>
      </c>
      <c r="T147" s="93">
        <f>IF(Sheet1!DU145=1,Sheet1!AA145-(SUM(AT147:BA147)+BE147),Sheet1!AA145-SUM(AT147:BA147))</f>
        <v>24.870208000000002</v>
      </c>
      <c r="U147" s="93">
        <f>Sheet1!BV145</f>
        <v>23.9</v>
      </c>
      <c r="V147" s="93">
        <f t="shared" si="41"/>
        <v>0.97020800000000307</v>
      </c>
      <c r="W147" s="93">
        <f>0</f>
        <v>0</v>
      </c>
      <c r="X147" s="89">
        <f>0</f>
        <v>0</v>
      </c>
      <c r="Y147" s="94">
        <f ca="1">Calculation!EJ148+Calculation!ES147+'Calculations II'!O147-'Calculations II'!W147</f>
        <v>46.463892980610659</v>
      </c>
      <c r="Z147" s="94">
        <f ca="1">Y147-Sheet1!CT146</f>
        <v>29.76989298061066</v>
      </c>
      <c r="AA147" s="94">
        <f ca="1">Y147+Calculation!DJ148+Calculation!AS148</f>
        <v>57.899713122072434</v>
      </c>
      <c r="AC147" s="94">
        <f>Sheet1!AA145+Sheet1!AB145+BC147</f>
        <v>58.803728</v>
      </c>
      <c r="AD147" s="94">
        <f>Sheet1!AA145+Sheet1!BN145+'Calculations II'!BC147-Calculation!AS147-Calculation!DJ147</f>
        <v>36.108841636363636</v>
      </c>
      <c r="AE147" s="94">
        <f>Sheet1!AA145+Sheet1!AB145+'Calculations II'!BC147-Calculation!AS147-Calculation!DJ147</f>
        <v>47.408841636363633</v>
      </c>
      <c r="AF147" s="94">
        <f ca="1">Sheet1!AA145+Sheet1!BN145+P147+'Calculations II'!BC147+Calculation!AS147+Calculation!DJ147</f>
        <v>56.406424668699614</v>
      </c>
      <c r="AG147" s="94">
        <f ca="1">IF(B147=TODAY(),0,Sheet1!AA145+Sheet1!BN145+'Calculations II'!BC147+'Calculations II'!P147-Sheet1!CT145-BP147)</f>
        <v>28.540538305063254</v>
      </c>
      <c r="AH147" s="94">
        <f ca="1">IF(B147=TODAY(),0,Sheet1!AA145+Sheet1!BN145+'Calculations II'!BC147+'Calculations II'!P147-BP147)</f>
        <v>45.011538305063254</v>
      </c>
      <c r="AI147" s="94">
        <f ca="1">IF(B147=TODAY(),0,BC147+Sheet1!AA145+Calculation!ES147+O147+W147+Sheet1!BN145+Calculation!AS147+Calculation!DJ147-BP147)</f>
        <v>56.406424668699614</v>
      </c>
      <c r="AJ147" s="94"/>
      <c r="AM147" s="90">
        <f t="shared" si="42"/>
        <v>42871</v>
      </c>
      <c r="AN147" s="94">
        <f>Sheet1!BU145</f>
        <v>24.8</v>
      </c>
      <c r="AO147" s="94">
        <f>Sheet1!AA145</f>
        <v>25.69</v>
      </c>
      <c r="AP147" s="94">
        <f t="shared" si="31"/>
        <v>4.5150999999999968</v>
      </c>
      <c r="AQ147" s="1087">
        <f>((Sheet1!BV145-(Sheet1!BU145-AP147))/(Sheet1!BU145-AP147))</f>
        <v>0.17821630868281302</v>
      </c>
      <c r="AR147" s="94">
        <f t="shared" si="32"/>
        <v>21.174900000000004</v>
      </c>
      <c r="AS147" s="94">
        <f t="shared" si="33"/>
        <v>20.284900000000004</v>
      </c>
      <c r="AT147" s="89">
        <f>Sheet1!BB145</f>
        <v>0</v>
      </c>
      <c r="AU147" s="89">
        <f>Sheet1!AS145*GPMtoMGD</f>
        <v>2.9664000000000003E-2</v>
      </c>
      <c r="AV147" s="94">
        <f>Sheet1!AT145</f>
        <v>0</v>
      </c>
      <c r="AW147" s="89">
        <f>Sheet1!AV145*GPMtoMGD</f>
        <v>0.31118400000000002</v>
      </c>
      <c r="AX147" s="89">
        <f>Sheet1!AW145*GPMtoMGD</f>
        <v>0.47894400000000004</v>
      </c>
      <c r="AY147" s="89">
        <f>Sheet1!AX145*GPMtoMGD</f>
        <v>0</v>
      </c>
      <c r="AZ147" s="89">
        <f>Sheet1!AY145*GPMtoMGD</f>
        <v>0</v>
      </c>
      <c r="BA147" s="89">
        <f>Sheet1!AZ145*GPMtoMGD</f>
        <v>0</v>
      </c>
      <c r="BB147" s="89">
        <f>Sheet1!BP145*GPMtoMGD</f>
        <v>8.208E-3</v>
      </c>
      <c r="BC147" s="89">
        <f>Sheet1!CS145*GPMtoMGD</f>
        <v>5.1137280000000001</v>
      </c>
      <c r="BD147" s="89">
        <f>Sheet1!BO145*GPMtoMGD</f>
        <v>1.3881600000000001</v>
      </c>
      <c r="BE147" s="89">
        <f>Sheet1!BW145*GPMtoMGD</f>
        <v>0.80049599999999999</v>
      </c>
      <c r="BF147" s="89">
        <f>Sheet1!CN145*GPMtoMGD</f>
        <v>1.1020319999999999</v>
      </c>
      <c r="BG147" s="89">
        <f>Sheet1!CO145*GPMtoMGD</f>
        <v>0.64598400000000011</v>
      </c>
      <c r="BH147" s="89">
        <f>Sheet1!CP145*GPMtoMGD</f>
        <v>0.85003200000000001</v>
      </c>
      <c r="BI147" s="89">
        <f t="shared" si="43"/>
        <v>1.3963680000000001</v>
      </c>
      <c r="BK147" s="94">
        <f>SUM(AT147:BA147,AS147,BC147,Calculation!AQ147)</f>
        <v>42.823533636363635</v>
      </c>
      <c r="BM147" s="358">
        <f>0</f>
        <v>0</v>
      </c>
      <c r="BN147" s="358">
        <f>0</f>
        <v>0</v>
      </c>
      <c r="BP147" s="94">
        <f>SUM(BM147:BN147,W147,Sheet1!DX145)</f>
        <v>0</v>
      </c>
      <c r="BR147" s="94">
        <f>Sheet1!AA145</f>
        <v>25.69</v>
      </c>
      <c r="BS147" s="94">
        <f>Sheet1!AB145</f>
        <v>28</v>
      </c>
      <c r="BT147" s="94">
        <f t="shared" ca="1" si="34"/>
        <v>-2.4921896949367515</v>
      </c>
      <c r="BU147" s="94">
        <f>Sheet1!AT145</f>
        <v>0</v>
      </c>
      <c r="BV147" s="89">
        <f>Sheet1!BB145</f>
        <v>0</v>
      </c>
      <c r="BW147" s="94">
        <f>Calculation!ED147</f>
        <v>11.394886363636363</v>
      </c>
      <c r="BX147" s="94">
        <f>(Sheet1!CS145*1440)/1000000</f>
        <v>5.1137280000000001</v>
      </c>
      <c r="CA147" s="94">
        <f ca="1">Sheet1!AC145-Sheet1!BK145-Sheet1!BL145-Sheet1!BM145-Sheet1!BC145-Sheet1!BD145-Sheet1!BE145-Sheet1!BF145-Sheet1!BG145-Sheet1!BH145-Sheet1!BI145+BC147+P147</f>
        <v>44.851538305063244</v>
      </c>
      <c r="CB147" s="93">
        <f t="shared" si="35"/>
        <v>65.430540795454547</v>
      </c>
      <c r="CC147" s="94">
        <f t="shared" si="36"/>
        <v>0</v>
      </c>
      <c r="CD147" s="94">
        <f t="shared" ca="1" si="37"/>
        <v>56.246424668699603</v>
      </c>
      <c r="CE147" s="1077">
        <f t="shared" ca="1" si="38"/>
        <v>87.013218962478277</v>
      </c>
      <c r="CG147" s="1077">
        <f t="shared" ca="1" si="39"/>
        <v>44.851538305063244</v>
      </c>
    </row>
    <row r="148" spans="1:85" s="89" customFormat="1" x14ac:dyDescent="0.25">
      <c r="A148" s="616" t="s">
        <v>6</v>
      </c>
      <c r="B148" s="91">
        <v>42872</v>
      </c>
      <c r="C148" s="92">
        <v>0</v>
      </c>
      <c r="D148" s="94">
        <f>(Sheet1!BQ146-Sheet1!BQ145)*1.385</f>
        <v>0.94179999999999964</v>
      </c>
      <c r="E148" s="30">
        <f>(Sheet1!BR146-Sheet1!BR145)*1.385</f>
        <v>0.96950000000000391</v>
      </c>
      <c r="F148" s="30">
        <f ca="1">IF(B148=TODAY(),0,-(VLOOKUP(Sheet1!CD146,Lookup!$I$4:$J$216,2)-VLOOKUP(Sheet1!CD145,Lookup!$I$4:$J$216,2))/1000000)</f>
        <v>-0.41454775419119744</v>
      </c>
      <c r="G148" s="94">
        <f ca="1">IF(B148=TODAY(),0,-$G$6*(Sheet1!CF146-Sheet1!CF145)*7.48/1000000)</f>
        <v>0.43684851157815141</v>
      </c>
      <c r="H148" s="94">
        <f ca="1">IF(B148=TODAY(),0,-$H$6*(Sheet1!CE146-Sheet1!CE145)*7.48/1000000)</f>
        <v>0</v>
      </c>
      <c r="I148" s="94">
        <f ca="1">IF(B148=TODAY(),0,-$I$6*(Sheet1!CG146-Sheet1!CG145)*7.48/1000000)</f>
        <v>-2.9201171999999977E-2</v>
      </c>
      <c r="J148" s="95" t="s">
        <v>177</v>
      </c>
      <c r="K148" s="94">
        <f ca="1">IF(B148=TODAY(),0,-$K$6*(Sheet1!CH146-Sheet1!CH145)*7.48/1000000)</f>
        <v>-6.6633203744584424E-2</v>
      </c>
      <c r="L148" s="95" t="s">
        <v>177</v>
      </c>
      <c r="M148" s="94">
        <f ca="1">IF(B148=TODAY(),0,-$M$6*(Sheet1!CI146-Sheet1!CI145)*7.48/1000000)</f>
        <v>-7.1966033712107941E-2</v>
      </c>
      <c r="N148" s="94">
        <f ca="1">IF(B148=TODAY(),0,-$N$6*(Sheet1!CJ146-Sheet1!CJ145)*7.48/1000000)</f>
        <v>1.2410469078924517E-2</v>
      </c>
      <c r="O148" s="94">
        <f t="shared" ca="1" si="40"/>
        <v>-0.13308918299081385</v>
      </c>
      <c r="P148" s="94">
        <f ca="1">O148+Calculation!ES148</f>
        <v>-2.0718760514574894</v>
      </c>
      <c r="Q148" s="89" t="str">
        <f>IF(Sheet1!BQ146&gt;25.75,"spill elevation","-")</f>
        <v>-</v>
      </c>
      <c r="R148" s="89" t="str">
        <f>IF(Sheet1!BQ146&gt;25.75,"spill elevation","-")</f>
        <v>-</v>
      </c>
      <c r="S148" s="89" t="str">
        <f>IF(Sheet1!BR146&gt;25.75,"spill elevation","-")</f>
        <v>-</v>
      </c>
      <c r="T148" s="93">
        <f>IF(Sheet1!DU146=1,Sheet1!AA146-(SUM(AT148:BA148)+BE148),Sheet1!AA146-SUM(AT148:BA148))</f>
        <v>23.775776</v>
      </c>
      <c r="U148" s="93">
        <f>Sheet1!BV146</f>
        <v>25.9</v>
      </c>
      <c r="V148" s="93">
        <f t="shared" si="41"/>
        <v>-2.1242239999999981</v>
      </c>
      <c r="W148" s="93">
        <f>0</f>
        <v>0</v>
      </c>
      <c r="X148" s="89">
        <f>0</f>
        <v>0</v>
      </c>
      <c r="Y148" s="94">
        <f ca="1">Calculation!EJ149+Calculation!ES148+'Calculations II'!O148-'Calculations II'!W148</f>
        <v>47.488198017966035</v>
      </c>
      <c r="Z148" s="94">
        <f ca="1">Y148-Sheet1!CT147</f>
        <v>30.751198017966036</v>
      </c>
      <c r="AA148" s="94">
        <f ca="1">Y148+Calculation!DJ149+Calculation!AS149</f>
        <v>58.914519713726634</v>
      </c>
      <c r="AC148" s="94">
        <f>Sheet1!AA146+Sheet1!AB146+BC148</f>
        <v>60.200768000000004</v>
      </c>
      <c r="AD148" s="94">
        <f>Sheet1!AA146+Sheet1!BN146+'Calculations II'!BC148-Calculation!AS148-Calculation!DJ148</f>
        <v>37.414947858538227</v>
      </c>
      <c r="AE148" s="94">
        <f>Sheet1!AA146+Sheet1!AB146+'Calculations II'!BC148-Calculation!AS148-Calculation!DJ148</f>
        <v>48.764947858538228</v>
      </c>
      <c r="AF148" s="94">
        <f ca="1">Sheet1!AA146+Sheet1!BN146+P148+'Calculations II'!BC148+Calculation!AS148+Calculation!DJ148</f>
        <v>58.214712090004291</v>
      </c>
      <c r="AG148" s="94">
        <f ca="1">IF(B148=TODAY(),0,Sheet1!AA146+Sheet1!BN146+'Calculations II'!BC148+'Calculations II'!P148-Sheet1!CT146-BP148)</f>
        <v>30.084891948542516</v>
      </c>
      <c r="AH148" s="94">
        <f ca="1">IF(B148=TODAY(),0,Sheet1!AA146+Sheet1!BN146+'Calculations II'!BC148+'Calculations II'!P148-BP148)</f>
        <v>46.778891948542515</v>
      </c>
      <c r="AI148" s="94">
        <f ca="1">IF(B148=TODAY(),0,BC148+Sheet1!AA146+Calculation!ES148+O148+W148+Sheet1!BN146+Calculation!AS148+Calculation!DJ148-BP148)</f>
        <v>58.214712090004284</v>
      </c>
      <c r="AJ148" s="94"/>
      <c r="AM148" s="90">
        <f t="shared" si="42"/>
        <v>42872</v>
      </c>
      <c r="AN148" s="94">
        <f>Sheet1!BU146</f>
        <v>24.1</v>
      </c>
      <c r="AO148" s="94">
        <f>Sheet1!AA146</f>
        <v>25.55</v>
      </c>
      <c r="AP148" s="94">
        <f t="shared" si="31"/>
        <v>1.9113000000000036</v>
      </c>
      <c r="AQ148" s="1087">
        <f>((Sheet1!BV146-(Sheet1!BU146-AP148))/(Sheet1!BU146-AP148))</f>
        <v>0.16726081293631451</v>
      </c>
      <c r="AR148" s="94">
        <f t="shared" si="32"/>
        <v>23.638699999999996</v>
      </c>
      <c r="AS148" s="94">
        <f t="shared" si="33"/>
        <v>22.188699999999997</v>
      </c>
      <c r="AT148" s="89">
        <f>Sheet1!BB146</f>
        <v>0</v>
      </c>
      <c r="AU148" s="89">
        <f>Sheet1!AS146*GPMtoMGD</f>
        <v>1.8000000000000002E-2</v>
      </c>
      <c r="AV148" s="94">
        <f>Sheet1!AT146</f>
        <v>0</v>
      </c>
      <c r="AW148" s="89">
        <f>Sheet1!AV146*GPMtoMGD</f>
        <v>0.82756800000000008</v>
      </c>
      <c r="AX148" s="89">
        <f>Sheet1!AW146*GPMtoMGD</f>
        <v>0.92865600000000004</v>
      </c>
      <c r="AY148" s="89">
        <f>Sheet1!AX146*GPMtoMGD</f>
        <v>0</v>
      </c>
      <c r="AZ148" s="89">
        <f>Sheet1!AY146*GPMtoMGD</f>
        <v>0</v>
      </c>
      <c r="BA148" s="89">
        <f>Sheet1!AZ146*GPMtoMGD</f>
        <v>0</v>
      </c>
      <c r="BB148" s="89">
        <f>Sheet1!BP146*GPMtoMGD</f>
        <v>2.8800000000000002E-3</v>
      </c>
      <c r="BC148" s="89">
        <f>Sheet1!CS146*GPMtoMGD</f>
        <v>5.1007680000000004</v>
      </c>
      <c r="BD148" s="89">
        <f>Sheet1!BO146*GPMtoMGD</f>
        <v>1.7189280000000002</v>
      </c>
      <c r="BE148" s="89">
        <f>Sheet1!BW146*GPMtoMGD</f>
        <v>1.071072</v>
      </c>
      <c r="BF148" s="89">
        <f>Sheet1!CN146*GPMtoMGD</f>
        <v>1.1639520000000001</v>
      </c>
      <c r="BG148" s="89">
        <f>Sheet1!CO146*GPMtoMGD</f>
        <v>0.64512000000000003</v>
      </c>
      <c r="BH148" s="89">
        <f>Sheet1!CP146*GPMtoMGD</f>
        <v>0.82382400000000011</v>
      </c>
      <c r="BI148" s="89">
        <f t="shared" si="43"/>
        <v>1.7218080000000002</v>
      </c>
      <c r="BK148" s="94">
        <f>SUM(AT148:BA148,AS148,BC148,Calculation!AQ148)</f>
        <v>47.177871858538225</v>
      </c>
      <c r="BM148" s="358">
        <f>0</f>
        <v>0</v>
      </c>
      <c r="BN148" s="358">
        <f>0</f>
        <v>0</v>
      </c>
      <c r="BP148" s="94">
        <f>SUM(BM148:BN148,W148,Sheet1!DX146)</f>
        <v>0</v>
      </c>
      <c r="BR148" s="94">
        <f>Sheet1!AA146</f>
        <v>25.55</v>
      </c>
      <c r="BS148" s="94">
        <f>Sheet1!AB146</f>
        <v>29.55</v>
      </c>
      <c r="BT148" s="94">
        <f t="shared" ca="1" si="34"/>
        <v>-2.0718760514574894</v>
      </c>
      <c r="BU148" s="94">
        <f>Sheet1!AT146</f>
        <v>0</v>
      </c>
      <c r="BV148" s="89">
        <f>Sheet1!BB146</f>
        <v>0</v>
      </c>
      <c r="BW148" s="94">
        <f>Calculation!ED148</f>
        <v>11.435820141461774</v>
      </c>
      <c r="BX148" s="94">
        <f>(Sheet1!CS146*1440)/1000000</f>
        <v>5.1007680000000004</v>
      </c>
      <c r="CA148" s="94">
        <f ca="1">Sheet1!AC146-Sheet1!BK146-Sheet1!BL146-Sheet1!BM146-Sheet1!BC146-Sheet1!BD146-Sheet1!BE146-Sheet1!BF146-Sheet1!BG146-Sheet1!BH146-Sheet1!BI146+BC148+P148</f>
        <v>46.638891948542515</v>
      </c>
      <c r="CB148" s="93">
        <f t="shared" si="35"/>
        <v>67.548486241158628</v>
      </c>
      <c r="CC148" s="94">
        <f t="shared" si="36"/>
        <v>0</v>
      </c>
      <c r="CD148" s="94">
        <f t="shared" ca="1" si="37"/>
        <v>58.07471209000429</v>
      </c>
      <c r="CE148" s="1077">
        <f t="shared" ca="1" si="38"/>
        <v>89.841579603236639</v>
      </c>
      <c r="CG148" s="1077">
        <f t="shared" ca="1" si="39"/>
        <v>46.638891948542515</v>
      </c>
    </row>
    <row r="149" spans="1:85" s="89" customFormat="1" x14ac:dyDescent="0.25">
      <c r="A149" s="616" t="s">
        <v>7</v>
      </c>
      <c r="B149" s="91">
        <v>42873</v>
      </c>
      <c r="C149" s="92">
        <v>0</v>
      </c>
      <c r="D149" s="94">
        <f>(Sheet1!BQ147-Sheet1!BQ146)*1.385</f>
        <v>1.6066000000000003</v>
      </c>
      <c r="E149" s="30">
        <f>(Sheet1!BR147-Sheet1!BR146)*1.385</f>
        <v>2.1882999999999977</v>
      </c>
      <c r="F149" s="30">
        <f ca="1">IF(B149=TODAY(),0,-(VLOOKUP(Sheet1!CD147,Lookup!$I$4:$J$216,2)-VLOOKUP(Sheet1!CD146,Lookup!$I$4:$J$216,2))/1000000)</f>
        <v>-0.62182163128680368</v>
      </c>
      <c r="G149" s="94">
        <f ca="1">IF(B149=TODAY(),0,-$G$6*(Sheet1!CF147-Sheet1!CF146)*7.48/1000000)</f>
        <v>-0.95312402526142248</v>
      </c>
      <c r="H149" s="94">
        <f ca="1">IF(B149=TODAY(),0,-$H$6*(Sheet1!CE147-Sheet1!CE146)*7.48/1000000)</f>
        <v>3.0078864702530548E-2</v>
      </c>
      <c r="I149" s="94">
        <f ca="1">IF(B149=TODAY(),0,-$I$6*(Sheet1!CG147-Sheet1!CG146)*7.48/1000000)</f>
        <v>9.8834735999999979E-2</v>
      </c>
      <c r="J149" s="95" t="s">
        <v>177</v>
      </c>
      <c r="K149" s="94">
        <f ca="1">IF(B149=TODAY(),0,-$K$6*(Sheet1!CH147-Sheet1!CH146)*7.48/1000000)</f>
        <v>0.1732463297359195</v>
      </c>
      <c r="L149" s="95" t="s">
        <v>177</v>
      </c>
      <c r="M149" s="94">
        <f ca="1">IF(B149=TODAY(),0,-$M$6*(Sheet1!CI147-Sheet1!CI146)*7.48/1000000)</f>
        <v>0.44978771070067619</v>
      </c>
      <c r="N149" s="94">
        <f ca="1">IF(B149=TODAY(),0,-$N$6*(Sheet1!CJ147-Sheet1!CJ146)*7.48/1000000)</f>
        <v>-0.61431821940677678</v>
      </c>
      <c r="O149" s="94">
        <f t="shared" ca="1" si="40"/>
        <v>-1.4373162348158768</v>
      </c>
      <c r="P149" s="94">
        <f ca="1">O149+Calculation!ES149</f>
        <v>-5.1782702677417625</v>
      </c>
      <c r="Q149" s="89" t="str">
        <f>IF(Sheet1!BQ147&gt;25.75,"spill elevation","-")</f>
        <v>-</v>
      </c>
      <c r="R149" s="89" t="str">
        <f>IF(Sheet1!BQ147&gt;25.75,"spill elevation","-")</f>
        <v>-</v>
      </c>
      <c r="S149" s="89" t="str">
        <f>IF(Sheet1!BR147&gt;25.75,"spill elevation","-")</f>
        <v>-</v>
      </c>
      <c r="T149" s="93">
        <f>IF(Sheet1!DU147=1,Sheet1!AA147-(SUM(AT149:BA149)+BE149),Sheet1!AA147-SUM(AT149:BA149))</f>
        <v>24.691936000000002</v>
      </c>
      <c r="U149" s="93">
        <f>Sheet1!BV147</f>
        <v>25</v>
      </c>
      <c r="V149" s="93">
        <f t="shared" si="41"/>
        <v>-0.30806399999999812</v>
      </c>
      <c r="W149" s="93">
        <f>0</f>
        <v>0</v>
      </c>
      <c r="X149" s="89">
        <f>0</f>
        <v>0</v>
      </c>
      <c r="Y149" s="94">
        <f ca="1">Calculation!EJ150+Calculation!ES149+'Calculations II'!O149-'Calculations II'!W149</f>
        <v>40.932636590204346</v>
      </c>
      <c r="Z149" s="94">
        <f ca="1">Y149-Sheet1!CT148</f>
        <v>25.012636590204345</v>
      </c>
      <c r="AA149" s="94">
        <f ca="1">Y149+Calculation!DJ150+Calculation!AS150</f>
        <v>53.025479005520992</v>
      </c>
      <c r="AC149" s="94">
        <f>Sheet1!AA147+Sheet1!AB147+BC149</f>
        <v>62.615648</v>
      </c>
      <c r="AD149" s="94">
        <f>Sheet1!AA147+Sheet1!BN147+'Calculations II'!BC149-Calculation!AS149-Calculation!DJ149</f>
        <v>39.859326304239403</v>
      </c>
      <c r="AE149" s="94">
        <f>Sheet1!AA147+Sheet1!AB147+'Calculations II'!BC149-Calculation!AS149-Calculation!DJ149</f>
        <v>51.189326304239401</v>
      </c>
      <c r="AF149" s="94">
        <f ca="1">Sheet1!AA147+Sheet1!BN147+P149+'Calculations II'!BC149+Calculation!AS149+Calculation!DJ149</f>
        <v>57.533699428018835</v>
      </c>
      <c r="AG149" s="94">
        <f ca="1">IF(B149=TODAY(),0,Sheet1!AA147+Sheet1!BN147+'Calculations II'!BC149+'Calculations II'!P149-Sheet1!CT147-BP149)</f>
        <v>29.370377732258245</v>
      </c>
      <c r="AH149" s="94">
        <f ca="1">IF(B149=TODAY(),0,Sheet1!AA147+Sheet1!BN147+'Calculations II'!BC149+'Calculations II'!P149-BP149)</f>
        <v>46.107377732258243</v>
      </c>
      <c r="AI149" s="94">
        <f ca="1">IF(B149=TODAY(),0,BC149+Sheet1!AA147+Calculation!ES149+O149+W149+Sheet1!BN147+Calculation!AS149+Calculation!DJ149-BP149)</f>
        <v>57.533699428018842</v>
      </c>
      <c r="AJ149" s="94"/>
      <c r="AM149" s="90">
        <f t="shared" si="42"/>
        <v>42873</v>
      </c>
      <c r="AN149" s="94">
        <f>Sheet1!BU147</f>
        <v>24.5</v>
      </c>
      <c r="AO149" s="94">
        <f>Sheet1!AA147</f>
        <v>25.6</v>
      </c>
      <c r="AP149" s="94">
        <f t="shared" si="31"/>
        <v>3.7948999999999979</v>
      </c>
      <c r="AQ149" s="1087">
        <f>((Sheet1!BV147-(Sheet1!BU147-AP149))/(Sheet1!BU147-AP149))</f>
        <v>0.20743198535626478</v>
      </c>
      <c r="AR149" s="94">
        <f t="shared" si="32"/>
        <v>21.805100000000003</v>
      </c>
      <c r="AS149" s="94">
        <f t="shared" si="33"/>
        <v>20.705100000000002</v>
      </c>
      <c r="AT149" s="89">
        <f>Sheet1!BB147</f>
        <v>0</v>
      </c>
      <c r="AU149" s="89">
        <f>Sheet1!AS147*GPMtoMGD</f>
        <v>1.5408E-2</v>
      </c>
      <c r="AV149" s="94">
        <f>Sheet1!AT147</f>
        <v>0</v>
      </c>
      <c r="AW149" s="89">
        <f>Sheet1!AV147*GPMtoMGD</f>
        <v>0.35107200000000005</v>
      </c>
      <c r="AX149" s="89">
        <f>Sheet1!AW147*GPMtoMGD</f>
        <v>0.54158400000000007</v>
      </c>
      <c r="AY149" s="89">
        <f>Sheet1!AX147*GPMtoMGD</f>
        <v>0</v>
      </c>
      <c r="AZ149" s="89">
        <f>Sheet1!AY147*GPMtoMGD</f>
        <v>0</v>
      </c>
      <c r="BA149" s="89">
        <f>Sheet1!AZ147*GPMtoMGD</f>
        <v>0</v>
      </c>
      <c r="BB149" s="89">
        <f>Sheet1!BP147*GPMtoMGD</f>
        <v>2.8800000000000002E-3</v>
      </c>
      <c r="BC149" s="89">
        <f>Sheet1!CS147*GPMtoMGD</f>
        <v>5.0856479999999999</v>
      </c>
      <c r="BD149" s="89">
        <f>Sheet1!BO147*GPMtoMGD</f>
        <v>0.98870400000000014</v>
      </c>
      <c r="BE149" s="89">
        <f>Sheet1!BW147*GPMtoMGD</f>
        <v>1.04688</v>
      </c>
      <c r="BF149" s="89">
        <f>Sheet1!CN147*GPMtoMGD</f>
        <v>1.2180960000000001</v>
      </c>
      <c r="BG149" s="89">
        <f>Sheet1!CO147*GPMtoMGD</f>
        <v>0.66571200000000008</v>
      </c>
      <c r="BH149" s="89">
        <f>Sheet1!CP147*GPMtoMGD</f>
        <v>0.81259199999999998</v>
      </c>
      <c r="BI149" s="89">
        <f t="shared" si="43"/>
        <v>0.99158400000000013</v>
      </c>
      <c r="BK149" s="94">
        <f>SUM(AT149:BA149,AS149,BC149,Calculation!AQ149)</f>
        <v>47.202490304239404</v>
      </c>
      <c r="BM149" s="358">
        <f>0</f>
        <v>0</v>
      </c>
      <c r="BN149" s="358">
        <f>0</f>
        <v>0</v>
      </c>
      <c r="BP149" s="94">
        <f>SUM(BM149:BN149,W149,Sheet1!DX147)</f>
        <v>0</v>
      </c>
      <c r="BR149" s="94">
        <f>Sheet1!AA147</f>
        <v>25.6</v>
      </c>
      <c r="BS149" s="94">
        <f>Sheet1!AB147</f>
        <v>31.93</v>
      </c>
      <c r="BT149" s="94">
        <f t="shared" ca="1" si="34"/>
        <v>-5.1782702677417625</v>
      </c>
      <c r="BU149" s="94">
        <f>Sheet1!AT147</f>
        <v>0</v>
      </c>
      <c r="BV149" s="89">
        <f>Sheet1!BB147</f>
        <v>0</v>
      </c>
      <c r="BW149" s="94">
        <f>Calculation!ED149</f>
        <v>11.426321695760599</v>
      </c>
      <c r="BX149" s="94">
        <f>(Sheet1!CS147*1440)/1000000</f>
        <v>5.0856479999999999</v>
      </c>
      <c r="CA149" s="94">
        <f ca="1">Sheet1!AC147-Sheet1!BK147-Sheet1!BL147-Sheet1!BM147-Sheet1!BC147-Sheet1!BD147-Sheet1!BE147-Sheet1!BF147-Sheet1!BG147-Sheet1!BH147-Sheet1!BI147+BC149+P149</f>
        <v>45.957377732258237</v>
      </c>
      <c r="CB149" s="93">
        <f t="shared" si="35"/>
        <v>71.322390336658358</v>
      </c>
      <c r="CC149" s="94">
        <f t="shared" si="36"/>
        <v>0</v>
      </c>
      <c r="CD149" s="94">
        <f t="shared" ca="1" si="37"/>
        <v>57.383699428018836</v>
      </c>
      <c r="CE149" s="1077">
        <f t="shared" ca="1" si="38"/>
        <v>88.772583015145131</v>
      </c>
      <c r="CG149" s="1077">
        <f t="shared" ca="1" si="39"/>
        <v>45.957377732258237</v>
      </c>
    </row>
    <row r="150" spans="1:85" s="89" customFormat="1" x14ac:dyDescent="0.25">
      <c r="A150" s="616" t="s">
        <v>8</v>
      </c>
      <c r="B150" s="91">
        <v>42874</v>
      </c>
      <c r="C150" s="92">
        <v>0</v>
      </c>
      <c r="D150" s="94">
        <f>(Sheet1!BQ148-Sheet1!BQ147)*1.385</f>
        <v>-0.74789999999999879</v>
      </c>
      <c r="E150" s="30">
        <f>(Sheet1!BR148-Sheet1!BR147)*1.385</f>
        <v>-1.3573000000000006</v>
      </c>
      <c r="F150" s="30">
        <f ca="1">IF(B150=TODAY(),0,-(VLOOKUP(Sheet1!CD148,Lookup!$I$4:$J$216,2)-VLOOKUP(Sheet1!CD147,Lookup!$I$4:$J$216,2))/1000000)</f>
        <v>0.20727387709559872</v>
      </c>
      <c r="G150" s="94">
        <f ca="1">IF(B150=TODAY(),0,-$G$6*(Sheet1!CF148-Sheet1!CF147)*7.48/1000000)</f>
        <v>0.43684851157815285</v>
      </c>
      <c r="H150" s="94">
        <f ca="1">IF(B150=TODAY(),0,-$H$6*(Sheet1!CE148-Sheet1!CE147)*7.48/1000000)</f>
        <v>1.5039432351265274E-2</v>
      </c>
      <c r="I150" s="94">
        <f ca="1">IF(B150=TODAY(),0,-$I$6*(Sheet1!CG148-Sheet1!CG147)*7.48/1000000)</f>
        <v>-8.9849760000000015E-2</v>
      </c>
      <c r="J150" s="95" t="s">
        <v>177</v>
      </c>
      <c r="K150" s="94">
        <f ca="1">IF(B150=TODAY(),0,-$K$6*(Sheet1!CH148-Sheet1!CH147)*7.48/1000000)</f>
        <v>-0.14659304823808569</v>
      </c>
      <c r="L150" s="95" t="s">
        <v>177</v>
      </c>
      <c r="M150" s="94">
        <f ca="1">IF(B150=TODAY(),0,-$M$6*(Sheet1!CI148-Sheet1!CI147)*7.48/1000000)</f>
        <v>-0.46777921912870346</v>
      </c>
      <c r="N150" s="94">
        <f ca="1">IF(B150=TODAY(),0,-$N$6*(Sheet1!CJ148-Sheet1!CJ147)*7.48/1000000)</f>
        <v>0.40954547960451787</v>
      </c>
      <c r="O150" s="94">
        <f t="shared" ca="1" si="40"/>
        <v>0.36448527326274555</v>
      </c>
      <c r="P150" s="94">
        <f ca="1">O150+Calculation!ES150</f>
        <v>2.4431221092894178</v>
      </c>
      <c r="Q150" s="89" t="str">
        <f>IF(Sheet1!BQ148&gt;25.75,"spill elevation","-")</f>
        <v>-</v>
      </c>
      <c r="R150" s="89" t="str">
        <f>IF(Sheet1!BQ148&gt;25.75,"spill elevation","-")</f>
        <v>-</v>
      </c>
      <c r="S150" s="89" t="str">
        <f>IF(Sheet1!BR148&gt;25.75,"spill elevation","-")</f>
        <v>-</v>
      </c>
      <c r="T150" s="93">
        <f>IF(Sheet1!DU148=1,Sheet1!AA148-(SUM(AT150:BA150)+BE150),Sheet1!AA148-SUM(AT150:BA150))</f>
        <v>24.02552</v>
      </c>
      <c r="U150" s="93">
        <f>Sheet1!BV148</f>
        <v>29.9</v>
      </c>
      <c r="V150" s="93">
        <f t="shared" si="41"/>
        <v>-5.8744799999999984</v>
      </c>
      <c r="W150" s="93">
        <f>0</f>
        <v>0</v>
      </c>
      <c r="X150" s="89">
        <f>0</f>
        <v>0</v>
      </c>
      <c r="Y150" s="94">
        <f ca="1">Calculation!EJ151+Calculation!ES150+'Calculations II'!O150-'Calculations II'!W150</f>
        <v>48.752548701218345</v>
      </c>
      <c r="Z150" s="94">
        <f ca="1">Y150-Sheet1!CT149</f>
        <v>32.875548701218342</v>
      </c>
      <c r="AA150" s="94">
        <f ca="1">Y150+Calculation!DJ151+Calculation!AS151</f>
        <v>61.474250374411653</v>
      </c>
      <c r="AC150" s="94">
        <f>Sheet1!AA148+Sheet1!AB148+BC150</f>
        <v>57.764784000000006</v>
      </c>
      <c r="AD150" s="94">
        <f>Sheet1!AA148+Sheet1!BN148+'Calculations II'!BC150-Calculation!AS150-Calculation!DJ150</f>
        <v>33.661941584683362</v>
      </c>
      <c r="AE150" s="94">
        <f>Sheet1!AA148+Sheet1!AB148+'Calculations II'!BC150-Calculation!AS150-Calculation!DJ150</f>
        <v>45.671941584683367</v>
      </c>
      <c r="AF150" s="94">
        <f ca="1">Sheet1!AA148+Sheet1!BN148+P150+'Calculations II'!BC150+Calculation!AS150+Calculation!DJ150</f>
        <v>60.290748524606059</v>
      </c>
      <c r="AG150" s="94">
        <f ca="1">IF(B150=TODAY(),0,Sheet1!AA148+Sheet1!BN148+'Calculations II'!BC150+'Calculations II'!P150-Sheet1!CT148-BP150)</f>
        <v>32.277906109289418</v>
      </c>
      <c r="AH150" s="94">
        <f ca="1">IF(B150=TODAY(),0,Sheet1!AA148+Sheet1!BN148+'Calculations II'!BC150+'Calculations II'!P150-BP150)</f>
        <v>48.19790610928942</v>
      </c>
      <c r="AI150" s="94">
        <f ca="1">IF(B150=TODAY(),0,BC150+Sheet1!AA148+Calculation!ES150+O150+W150+Sheet1!BN148+Calculation!AS150+Calculation!DJ150-BP150)</f>
        <v>60.290748524606059</v>
      </c>
      <c r="AJ150" s="94"/>
      <c r="AM150" s="90">
        <f t="shared" si="42"/>
        <v>42874</v>
      </c>
      <c r="AN150" s="94">
        <f>Sheet1!BU148</f>
        <v>24.1</v>
      </c>
      <c r="AO150" s="94">
        <f>Sheet1!AA148</f>
        <v>25.67</v>
      </c>
      <c r="AP150" s="94">
        <f t="shared" si="31"/>
        <v>-2.1051999999999995</v>
      </c>
      <c r="AQ150" s="1087">
        <f>((Sheet1!BV148-(Sheet1!BU148-AP150))/(Sheet1!BU148-AP150))</f>
        <v>0.14099491703936612</v>
      </c>
      <c r="AR150" s="94">
        <f t="shared" si="32"/>
        <v>27.775200000000002</v>
      </c>
      <c r="AS150" s="94">
        <f t="shared" si="33"/>
        <v>26.205200000000001</v>
      </c>
      <c r="AT150" s="89">
        <f>Sheet1!BB148</f>
        <v>0</v>
      </c>
      <c r="AU150" s="89">
        <f>Sheet1!AS148*GPMtoMGD</f>
        <v>3.1104000000000003E-2</v>
      </c>
      <c r="AV150" s="94">
        <f>Sheet1!AT148</f>
        <v>0</v>
      </c>
      <c r="AW150" s="89">
        <f>Sheet1!AV148*GPMtoMGD</f>
        <v>0.76780800000000016</v>
      </c>
      <c r="AX150" s="89">
        <f>Sheet1!AW148*GPMtoMGD</f>
        <v>0.8455680000000001</v>
      </c>
      <c r="AY150" s="89">
        <f>Sheet1!AX148*GPMtoMGD</f>
        <v>0</v>
      </c>
      <c r="AZ150" s="89">
        <f>Sheet1!AY148*GPMtoMGD</f>
        <v>0</v>
      </c>
      <c r="BA150" s="89">
        <f>Sheet1!AZ148*GPMtoMGD</f>
        <v>0</v>
      </c>
      <c r="BB150" s="89">
        <f>Sheet1!BP148*GPMtoMGD</f>
        <v>2.8800000000000002E-3</v>
      </c>
      <c r="BC150" s="89">
        <f>Sheet1!CS148*GPMtoMGD</f>
        <v>5.084784</v>
      </c>
      <c r="BD150" s="89">
        <f>Sheet1!BO148*GPMtoMGD</f>
        <v>2.2662720000000003</v>
      </c>
      <c r="BE150" s="89">
        <f>Sheet1!BW148*GPMtoMGD</f>
        <v>0.96710400000000007</v>
      </c>
      <c r="BF150" s="89">
        <f>Sheet1!CN148*GPMtoMGD</f>
        <v>1.095696</v>
      </c>
      <c r="BG150" s="89">
        <f>Sheet1!CO148*GPMtoMGD</f>
        <v>0.67262400000000011</v>
      </c>
      <c r="BH150" s="89">
        <f>Sheet1!CP148*GPMtoMGD</f>
        <v>0.80985600000000002</v>
      </c>
      <c r="BI150" s="89">
        <f t="shared" si="43"/>
        <v>2.2691520000000005</v>
      </c>
      <c r="BK150" s="94">
        <f>SUM(AT150:BA150,AS150,BC150,Calculation!AQ150)</f>
        <v>47.851621584683365</v>
      </c>
      <c r="BM150" s="358">
        <f>0</f>
        <v>0</v>
      </c>
      <c r="BN150" s="358">
        <f>0</f>
        <v>0</v>
      </c>
      <c r="BP150" s="94">
        <f>SUM(BM150:BN150,W150,Sheet1!DX148)</f>
        <v>0</v>
      </c>
      <c r="BR150" s="94">
        <f>Sheet1!AA148</f>
        <v>25.67</v>
      </c>
      <c r="BS150" s="94">
        <f>Sheet1!AB148</f>
        <v>27.01</v>
      </c>
      <c r="BT150" s="94">
        <f t="shared" ca="1" si="34"/>
        <v>2.4431221092894178</v>
      </c>
      <c r="BU150" s="94">
        <f>Sheet1!AT148</f>
        <v>0</v>
      </c>
      <c r="BV150" s="89">
        <f>Sheet1!BB148</f>
        <v>0</v>
      </c>
      <c r="BW150" s="94">
        <f>Calculation!ED150</f>
        <v>12.092842415316643</v>
      </c>
      <c r="BX150" s="94">
        <f>(Sheet1!CS148*1440)/1000000</f>
        <v>5.084784</v>
      </c>
      <c r="CA150" s="94">
        <f ca="1">Sheet1!AC148-Sheet1!BK148-Sheet1!BL148-Sheet1!BM148-Sheet1!BC148-Sheet1!BD148-Sheet1!BE148-Sheet1!BF148-Sheet1!BG148-Sheet1!BH148-Sheet1!BI148+BC150+P150</f>
        <v>48.047906109289421</v>
      </c>
      <c r="CB150" s="93">
        <f t="shared" si="35"/>
        <v>62.788332783505169</v>
      </c>
      <c r="CC150" s="94">
        <f t="shared" si="36"/>
        <v>0</v>
      </c>
      <c r="CD150" s="94">
        <f t="shared" ca="1" si="37"/>
        <v>60.140748524606067</v>
      </c>
      <c r="CE150" s="1077">
        <f t="shared" ca="1" si="38"/>
        <v>93.037737967565576</v>
      </c>
      <c r="CG150" s="1077">
        <f t="shared" ca="1" si="39"/>
        <v>48.047906109289421</v>
      </c>
    </row>
    <row r="151" spans="1:85" s="89" customFormat="1" x14ac:dyDescent="0.25">
      <c r="A151" s="616" t="s">
        <v>9</v>
      </c>
      <c r="B151" s="91">
        <v>42875</v>
      </c>
      <c r="C151" s="92">
        <v>0</v>
      </c>
      <c r="D151" s="94">
        <f>(Sheet1!BQ149-Sheet1!BQ148)*1.385</f>
        <v>-0.88640000000000074</v>
      </c>
      <c r="E151" s="30">
        <f>(Sheet1!BR149-Sheet1!BR148)*1.385</f>
        <v>-0.88640000000000074</v>
      </c>
      <c r="F151" s="30">
        <f ca="1">IF(B151=TODAY(),0,-(VLOOKUP(Sheet1!CD149,Lookup!$I$4:$J$216,2)-VLOOKUP(Sheet1!CD148,Lookup!$I$4:$J$216,2))/1000000)</f>
        <v>0</v>
      </c>
      <c r="G151" s="94">
        <f ca="1">IF(B151=TODAY(),0,-$G$6*(Sheet1!CF149-Sheet1!CF148)*7.48/1000000)</f>
        <v>0.55598901473582951</v>
      </c>
      <c r="H151" s="94">
        <f ca="1">IF(B151=TODAY(),0,-$H$6*(Sheet1!CE149-Sheet1!CE148)*7.48/1000000)</f>
        <v>1.5039432351265274E-2</v>
      </c>
      <c r="I151" s="94">
        <f ca="1">IF(B151=TODAY(),0,-$I$6*(Sheet1!CG149-Sheet1!CG148)*7.48/1000000)</f>
        <v>-8.9849759999999675E-3</v>
      </c>
      <c r="J151" s="95" t="s">
        <v>177</v>
      </c>
      <c r="K151" s="94">
        <f ca="1">IF(B151=TODAY(),0,-$K$6*(Sheet1!CH149-Sheet1!CH148)*7.48/1000000)</f>
        <v>-2.6653281497833796E-2</v>
      </c>
      <c r="L151" s="95" t="s">
        <v>177</v>
      </c>
      <c r="M151" s="94">
        <f ca="1">IF(B151=TODAY(),0,-$M$6*(Sheet1!CI149-Sheet1!CI148)*7.48/1000000)</f>
        <v>1.7991508428027301E-2</v>
      </c>
      <c r="N151" s="94">
        <f ca="1">IF(B151=TODAY(),0,-$N$6*(Sheet1!CJ149-Sheet1!CJ148)*7.48/1000000)</f>
        <v>0.17374656710494654</v>
      </c>
      <c r="O151" s="94">
        <f t="shared" ca="1" si="40"/>
        <v>0.72712826512223494</v>
      </c>
      <c r="P151" s="94">
        <f ca="1">O151+Calculation!ES151</f>
        <v>2.5279750983290823</v>
      </c>
      <c r="Q151" s="89" t="str">
        <f>IF(Sheet1!BQ149&gt;25.75,"spill elevation","-")</f>
        <v>-</v>
      </c>
      <c r="R151" s="89" t="str">
        <f>IF(Sheet1!BQ149&gt;25.75,"spill elevation","-")</f>
        <v>-</v>
      </c>
      <c r="S151" s="89" t="str">
        <f>IF(Sheet1!BR149&gt;25.75,"spill elevation","-")</f>
        <v>-</v>
      </c>
      <c r="T151" s="93">
        <f>IF(Sheet1!DU149=1,Sheet1!AA149-(SUM(AT151:BA151)+BE151),Sheet1!AA149-SUM(AT151:BA151))</f>
        <v>24.472352000000001</v>
      </c>
      <c r="U151" s="93">
        <f>Sheet1!BV149</f>
        <v>30.4</v>
      </c>
      <c r="V151" s="93">
        <f t="shared" si="41"/>
        <v>-5.9276479999999978</v>
      </c>
      <c r="W151" s="93">
        <f>0</f>
        <v>0</v>
      </c>
      <c r="X151" s="89">
        <f>0</f>
        <v>0</v>
      </c>
      <c r="Y151" s="94">
        <f ca="1">Calculation!EJ152+Calculation!ES151+'Calculations II'!O151-'Calculations II'!W151</f>
        <v>51.957151459784384</v>
      </c>
      <c r="Z151" s="94">
        <f ca="1">Y151-Sheet1!CT150</f>
        <v>36.488151459784383</v>
      </c>
      <c r="AA151" s="94">
        <f ca="1">Y151+Calculation!DJ152+Calculation!AS152</f>
        <v>64.833520720611475</v>
      </c>
      <c r="AC151" s="94">
        <f>Sheet1!AA149+Sheet1!AB149+BC151</f>
        <v>58.676352000000001</v>
      </c>
      <c r="AD151" s="94">
        <f>Sheet1!AA149+Sheet1!BN149+'Calculations II'!BC151-Calculation!AS151-Calculation!DJ151</f>
        <v>33.314650326806692</v>
      </c>
      <c r="AE151" s="94">
        <f>Sheet1!AA149+Sheet1!AB149+'Calculations II'!BC151-Calculation!AS151-Calculation!DJ151</f>
        <v>45.954650326806693</v>
      </c>
      <c r="AF151" s="94">
        <f ca="1">Sheet1!AA149+Sheet1!BN149+P151+'Calculations II'!BC151+Calculation!AS151+Calculation!DJ151</f>
        <v>61.286028771522389</v>
      </c>
      <c r="AG151" s="94">
        <f ca="1">IF(B151=TODAY(),0,Sheet1!AA149+Sheet1!BN149+'Calculations II'!BC151+'Calculations II'!P151-Sheet1!CT149-BP151)</f>
        <v>32.687327098329078</v>
      </c>
      <c r="AH151" s="94">
        <f ca="1">IF(B151=TODAY(),0,Sheet1!AA149+Sheet1!BN149+'Calculations II'!BC151+'Calculations II'!P151-BP151)</f>
        <v>48.56432709832908</v>
      </c>
      <c r="AI151" s="94">
        <f ca="1">IF(B151=TODAY(),0,BC151+Sheet1!AA149+Calculation!ES151+O151+W151+Sheet1!BN149+Calculation!AS151+Calculation!DJ151-BP151)</f>
        <v>61.286028771522396</v>
      </c>
      <c r="AJ151" s="94"/>
      <c r="AM151" s="90">
        <f t="shared" si="42"/>
        <v>42875</v>
      </c>
      <c r="AN151" s="94">
        <f>Sheet1!BU149</f>
        <v>24.1</v>
      </c>
      <c r="AO151" s="94">
        <f>Sheet1!AA149</f>
        <v>25.67</v>
      </c>
      <c r="AP151" s="94">
        <f t="shared" si="31"/>
        <v>-1.7728000000000015</v>
      </c>
      <c r="AQ151" s="1087">
        <f>((Sheet1!BV149-(Sheet1!BU149-AP151))/(Sheet1!BU149-AP151))</f>
        <v>0.17497912866021445</v>
      </c>
      <c r="AR151" s="94">
        <f t="shared" si="32"/>
        <v>27.442800000000002</v>
      </c>
      <c r="AS151" s="94">
        <f t="shared" si="33"/>
        <v>25.872800000000002</v>
      </c>
      <c r="AT151" s="89">
        <f>Sheet1!BB149</f>
        <v>0</v>
      </c>
      <c r="AU151" s="89">
        <f>Sheet1!AS149*GPMtoMGD</f>
        <v>1.6847999999999998E-2</v>
      </c>
      <c r="AV151" s="94">
        <f>Sheet1!AT149</f>
        <v>0</v>
      </c>
      <c r="AW151" s="89">
        <f>Sheet1!AV149*GPMtoMGD</f>
        <v>0.47980800000000001</v>
      </c>
      <c r="AX151" s="89">
        <f>Sheet1!AW149*GPMtoMGD</f>
        <v>0.70099200000000006</v>
      </c>
      <c r="AY151" s="89">
        <f>Sheet1!AX149*GPMtoMGD</f>
        <v>0</v>
      </c>
      <c r="AZ151" s="89">
        <f>Sheet1!AY149*GPMtoMGD</f>
        <v>0</v>
      </c>
      <c r="BA151" s="89">
        <f>Sheet1!AZ149*GPMtoMGD</f>
        <v>0</v>
      </c>
      <c r="BB151" s="89">
        <f>Sheet1!BP149*GPMtoMGD</f>
        <v>2.8800000000000002E-3</v>
      </c>
      <c r="BC151" s="89">
        <f>Sheet1!CS149*GPMtoMGD</f>
        <v>5.0663520000000002</v>
      </c>
      <c r="BD151" s="89">
        <f>Sheet1!BO149*GPMtoMGD</f>
        <v>1.9615680000000002</v>
      </c>
      <c r="BE151" s="89">
        <f>Sheet1!BW149*GPMtoMGD</f>
        <v>0.89121600000000001</v>
      </c>
      <c r="BF151" s="89">
        <f>Sheet1!CN149*GPMtoMGD</f>
        <v>1.38456</v>
      </c>
      <c r="BG151" s="89">
        <f>Sheet1!CO149*GPMtoMGD</f>
        <v>0.76766400000000012</v>
      </c>
      <c r="BH151" s="89">
        <f>Sheet1!CP149*GPMtoMGD</f>
        <v>0.69739200000000001</v>
      </c>
      <c r="BI151" s="89">
        <f t="shared" si="43"/>
        <v>1.9644480000000002</v>
      </c>
      <c r="BK151" s="94">
        <f>SUM(AT151:BA151,AS151,BC151,Calculation!AQ151)</f>
        <v>47.355098326806697</v>
      </c>
      <c r="BM151" s="358">
        <f>0</f>
        <v>0</v>
      </c>
      <c r="BN151" s="358">
        <f>0</f>
        <v>0</v>
      </c>
      <c r="BP151" s="94">
        <f>SUM(BM151:BN151,W151,Sheet1!DX149)</f>
        <v>0</v>
      </c>
      <c r="BR151" s="94">
        <f>Sheet1!AA149</f>
        <v>25.67</v>
      </c>
      <c r="BS151" s="94">
        <f>Sheet1!AB149</f>
        <v>27.94</v>
      </c>
      <c r="BT151" s="94">
        <f t="shared" ca="1" si="34"/>
        <v>2.5279750983290823</v>
      </c>
      <c r="BU151" s="94">
        <f>Sheet1!AT149</f>
        <v>0</v>
      </c>
      <c r="BV151" s="89">
        <f>Sheet1!BB149</f>
        <v>0</v>
      </c>
      <c r="BW151" s="94">
        <f>Calculation!ED151</f>
        <v>12.721701673193309</v>
      </c>
      <c r="BX151" s="94">
        <f>(Sheet1!CS149*1440)/1000000</f>
        <v>5.0663520000000002</v>
      </c>
      <c r="CA151" s="94">
        <f ca="1">Sheet1!AC149-Sheet1!BK149-Sheet1!BL149-Sheet1!BM149-Sheet1!BC149-Sheet1!BD149-Sheet1!BE149-Sheet1!BF149-Sheet1!BG149-Sheet1!BH149-Sheet1!BI149+BC151+P151</f>
        <v>48.414327098329082</v>
      </c>
      <c r="CB151" s="93">
        <f t="shared" si="35"/>
        <v>63.254197511569949</v>
      </c>
      <c r="CC151" s="94">
        <f t="shared" si="36"/>
        <v>0</v>
      </c>
      <c r="CD151" s="94">
        <f t="shared" ca="1" si="37"/>
        <v>61.13602877152239</v>
      </c>
      <c r="CE151" s="1077">
        <f t="shared" ca="1" si="38"/>
        <v>94.577436509545137</v>
      </c>
      <c r="CG151" s="1077">
        <f t="shared" ca="1" si="39"/>
        <v>48.414327098329082</v>
      </c>
    </row>
    <row r="152" spans="1:85" s="89" customFormat="1" x14ac:dyDescent="0.25">
      <c r="A152" s="616" t="s">
        <v>3</v>
      </c>
      <c r="B152" s="91">
        <v>42876</v>
      </c>
      <c r="C152" s="92">
        <v>0</v>
      </c>
      <c r="D152" s="94">
        <f>(Sheet1!BQ150-Sheet1!BQ149)*1.385</f>
        <v>-1.4680999999999982</v>
      </c>
      <c r="E152" s="30">
        <f>(Sheet1!BR150-Sheet1!BR149)*1.385</f>
        <v>-1.4542500000000009</v>
      </c>
      <c r="F152" s="30">
        <f ca="1">IF(B152=TODAY(),0,-(VLOOKUP(Sheet1!CD150,Lookup!$I$4:$J$216,2)-VLOOKUP(Sheet1!CD149,Lookup!$I$4:$J$216,2))/1000000)</f>
        <v>-0.10363693854779936</v>
      </c>
      <c r="G152" s="94">
        <f ca="1">IF(B152=TODAY(),0,-$G$6*(Sheet1!CF150-Sheet1!CF149)*7.48/1000000)</f>
        <v>0.71484301894606761</v>
      </c>
      <c r="H152" s="94">
        <f ca="1">IF(B152=TODAY(),0,-$H$6*(Sheet1!CE150-Sheet1!CE149)*7.48/1000000)</f>
        <v>9.0236594107583092E-3</v>
      </c>
      <c r="I152" s="94">
        <f ca="1">IF(B152=TODAY(),0,-$I$6*(Sheet1!CG150-Sheet1!CG149)*7.48/1000000)</f>
        <v>8.9849759999999675E-3</v>
      </c>
      <c r="J152" s="95" t="s">
        <v>177</v>
      </c>
      <c r="K152" s="94">
        <f ca="1">IF(B152=TODAY(),0,-$K$6*(Sheet1!CH150-Sheet1!CH149)*7.48/1000000)</f>
        <v>1.9989961123375376E-2</v>
      </c>
      <c r="L152" s="95" t="s">
        <v>177</v>
      </c>
      <c r="M152" s="94">
        <f ca="1">IF(B152=TODAY(),0,-$M$6*(Sheet1!CI150-Sheet1!CI149)*7.48/1000000)</f>
        <v>5.3974525284081275E-2</v>
      </c>
      <c r="N152" s="94">
        <f ca="1">IF(B152=TODAY(),0,-$N$6*(Sheet1!CJ150-Sheet1!CJ149)*7.48/1000000)</f>
        <v>-6.8257579934085932E-2</v>
      </c>
      <c r="O152" s="94">
        <f t="shared" ca="1" si="40"/>
        <v>0.63492162228239724</v>
      </c>
      <c r="P152" s="94">
        <f ca="1">O152+Calculation!ES152</f>
        <v>3.5427751176515967</v>
      </c>
      <c r="Q152" s="89" t="str">
        <f>IF(Sheet1!BQ150&gt;25.75,"spill elevation","-")</f>
        <v>-</v>
      </c>
      <c r="R152" s="89" t="str">
        <f>IF(Sheet1!BQ150&gt;25.75,"spill elevation","-")</f>
        <v>-</v>
      </c>
      <c r="S152" s="89" t="str">
        <f>IF(Sheet1!BR150&gt;25.75,"spill elevation","-")</f>
        <v>-</v>
      </c>
      <c r="T152" s="93">
        <f>IF(Sheet1!DU150=1,Sheet1!AA150-(SUM(AT152:BA152)+BE152),Sheet1!AA150-SUM(AT152:BA152))</f>
        <v>23.251839999999998</v>
      </c>
      <c r="U152" s="93">
        <f>Sheet1!BV150</f>
        <v>31</v>
      </c>
      <c r="V152" s="93">
        <f t="shared" si="41"/>
        <v>-7.7481600000000022</v>
      </c>
      <c r="W152" s="93">
        <f>0</f>
        <v>0</v>
      </c>
      <c r="X152" s="89">
        <f>0</f>
        <v>0</v>
      </c>
      <c r="Y152" s="94">
        <f ca="1">Calculation!EJ153+Calculation!ES152+'Calculations II'!O152-'Calculations II'!W152</f>
        <v>54.971899707282127</v>
      </c>
      <c r="Z152" s="94">
        <f ca="1">Y152-Sheet1!CT151</f>
        <v>39.574899707282128</v>
      </c>
      <c r="AA152" s="94">
        <f ca="1">Y152+Calculation!DJ153+Calculation!AS153</f>
        <v>67.481166874044959</v>
      </c>
      <c r="AC152" s="94">
        <f>Sheet1!AA150+Sheet1!AB150+BC152</f>
        <v>61.322463999999997</v>
      </c>
      <c r="AD152" s="94">
        <f>Sheet1!AA150+Sheet1!BN150+'Calculations II'!BC152-Calculation!AS152-Calculation!DJ152</f>
        <v>35.616094739172908</v>
      </c>
      <c r="AE152" s="94">
        <f>Sheet1!AA150+Sheet1!AB150+'Calculations II'!BC152-Calculation!AS152-Calculation!DJ152</f>
        <v>48.446094739172906</v>
      </c>
      <c r="AF152" s="94">
        <f ca="1">Sheet1!AA150+Sheet1!BN150+P152+'Calculations II'!BC152+Calculation!AS152+Calculation!DJ152</f>
        <v>64.911608378478689</v>
      </c>
      <c r="AG152" s="94">
        <f ca="1">IF(B152=TODAY(),0,Sheet1!AA150+Sheet1!BN150+'Calculations II'!BC152+'Calculations II'!P152-Sheet1!CT150-BP152)</f>
        <v>36.566239117651591</v>
      </c>
      <c r="AH152" s="94">
        <f ca="1">IF(B152=TODAY(),0,Sheet1!AA150+Sheet1!BN150+'Calculations II'!BC152+'Calculations II'!P152-BP152)</f>
        <v>52.035239117651592</v>
      </c>
      <c r="AI152" s="94">
        <f ca="1">IF(B152=TODAY(),0,BC152+Sheet1!AA150+Calculation!ES152+O152+W152+Sheet1!BN150+Calculation!AS152+Calculation!DJ152-BP152)</f>
        <v>64.911608378478689</v>
      </c>
      <c r="AJ152" s="94"/>
      <c r="AM152" s="90">
        <f t="shared" si="42"/>
        <v>42876</v>
      </c>
      <c r="AN152" s="94">
        <f>Sheet1!BU150</f>
        <v>23.6</v>
      </c>
      <c r="AO152" s="94">
        <f>Sheet1!AA150</f>
        <v>25.63</v>
      </c>
      <c r="AP152" s="94">
        <f t="shared" si="31"/>
        <v>-2.9223499999999989</v>
      </c>
      <c r="AQ152" s="1087">
        <f>((Sheet1!BV150-(Sheet1!BU150-AP152))/(Sheet1!BU150-AP152))</f>
        <v>0.16882553770687744</v>
      </c>
      <c r="AR152" s="94">
        <f t="shared" si="32"/>
        <v>28.552349999999997</v>
      </c>
      <c r="AS152" s="94">
        <f t="shared" si="33"/>
        <v>26.522349999999999</v>
      </c>
      <c r="AT152" s="89">
        <f>Sheet1!BB150</f>
        <v>0</v>
      </c>
      <c r="AU152" s="89">
        <f>Sheet1!AS150*GPMtoMGD</f>
        <v>3.2688000000000002E-2</v>
      </c>
      <c r="AV152" s="94">
        <f>Sheet1!AT150</f>
        <v>0</v>
      </c>
      <c r="AW152" s="89">
        <f>Sheet1!AV150*GPMtoMGD</f>
        <v>1.092096</v>
      </c>
      <c r="AX152" s="89">
        <f>Sheet1!AW150*GPMtoMGD</f>
        <v>1.253376</v>
      </c>
      <c r="AY152" s="89">
        <f>Sheet1!AX150*GPMtoMGD</f>
        <v>0</v>
      </c>
      <c r="AZ152" s="89">
        <f>Sheet1!AY150*GPMtoMGD</f>
        <v>0</v>
      </c>
      <c r="BA152" s="89">
        <f>Sheet1!AZ150*GPMtoMGD</f>
        <v>0</v>
      </c>
      <c r="BB152" s="89">
        <f>Sheet1!BP150*GPMtoMGD</f>
        <v>2.7360000000000002E-3</v>
      </c>
      <c r="BC152" s="89">
        <f>Sheet1!CS150*GPMtoMGD</f>
        <v>5.0624640000000003</v>
      </c>
      <c r="BD152" s="89">
        <f>Sheet1!BO150*GPMtoMGD</f>
        <v>1.9895039999999999</v>
      </c>
      <c r="BE152" s="89">
        <f>Sheet1!BW150*GPMtoMGD</f>
        <v>1.2054240000000001</v>
      </c>
      <c r="BF152" s="89">
        <f>Sheet1!CN150*GPMtoMGD</f>
        <v>1.7832960000000002</v>
      </c>
      <c r="BG152" s="89">
        <f>Sheet1!CO150*GPMtoMGD</f>
        <v>0.86760000000000004</v>
      </c>
      <c r="BH152" s="89">
        <f>Sheet1!CP150*GPMtoMGD</f>
        <v>0.72360000000000002</v>
      </c>
      <c r="BI152" s="89">
        <f t="shared" si="43"/>
        <v>1.99224</v>
      </c>
      <c r="BK152" s="94">
        <f>SUM(AT152:BA152,AS152,BC152,Calculation!AQ152)</f>
        <v>51.716604739172908</v>
      </c>
      <c r="BM152" s="358">
        <f>0</f>
        <v>0</v>
      </c>
      <c r="BN152" s="358">
        <f>0</f>
        <v>0</v>
      </c>
      <c r="BP152" s="94">
        <f>SUM(BM152:BN152,W152,Sheet1!DX150)</f>
        <v>0</v>
      </c>
      <c r="BR152" s="94">
        <f>Sheet1!AA150</f>
        <v>25.63</v>
      </c>
      <c r="BS152" s="94">
        <f>Sheet1!AB150</f>
        <v>30.63</v>
      </c>
      <c r="BT152" s="94">
        <f t="shared" ca="1" si="34"/>
        <v>3.5427751176515967</v>
      </c>
      <c r="BU152" s="94">
        <f>Sheet1!AT150</f>
        <v>0</v>
      </c>
      <c r="BV152" s="89">
        <f>Sheet1!BB150</f>
        <v>0</v>
      </c>
      <c r="BW152" s="94">
        <f>Calculation!ED152</f>
        <v>12.876369260827092</v>
      </c>
      <c r="BX152" s="94">
        <f>(Sheet1!CS150*1440)/1000000</f>
        <v>5.0624640000000003</v>
      </c>
      <c r="CA152" s="94">
        <f ca="1">Sheet1!AC150-Sheet1!BK150-Sheet1!BL150-Sheet1!BM150-Sheet1!BC150-Sheet1!BD150-Sheet1!BE150-Sheet1!BF150-Sheet1!BG150-Sheet1!BH150-Sheet1!BI150+BC152+P152</f>
        <v>51.955239117651601</v>
      </c>
      <c r="CB152" s="93">
        <f t="shared" si="35"/>
        <v>67.114476753500483</v>
      </c>
      <c r="CC152" s="94">
        <f t="shared" si="36"/>
        <v>0</v>
      </c>
      <c r="CD152" s="94">
        <f t="shared" ca="1" si="37"/>
        <v>64.831608378478691</v>
      </c>
      <c r="CE152" s="1077">
        <f t="shared" ca="1" si="38"/>
        <v>100.29449816150652</v>
      </c>
      <c r="CG152" s="1077">
        <f t="shared" ca="1" si="39"/>
        <v>51.955239117651601</v>
      </c>
    </row>
    <row r="153" spans="1:85" s="89" customFormat="1" x14ac:dyDescent="0.25">
      <c r="A153" s="616" t="s">
        <v>4</v>
      </c>
      <c r="B153" s="91">
        <v>42877</v>
      </c>
      <c r="C153" s="92">
        <v>0</v>
      </c>
      <c r="D153" s="94">
        <f>(Sheet1!BQ151-Sheet1!BQ150)*1.385</f>
        <v>-0.27700000000000397</v>
      </c>
      <c r="E153" s="30">
        <f>(Sheet1!BR151-Sheet1!BR150)*1.385</f>
        <v>-0.24929999999999961</v>
      </c>
      <c r="F153" s="30">
        <f ca="1">IF(B153=TODAY(),0,-(VLOOKUP(Sheet1!CD151,Lookup!$I$4:$J$216,2)-VLOOKUP(Sheet1!CD150,Lookup!$I$4:$J$216,2))/1000000)</f>
        <v>-0.20727387709559872</v>
      </c>
      <c r="G153" s="94">
        <f ca="1">IF(B153=TODAY(),0,-$G$6*(Sheet1!CF151-Sheet1!CF150)*7.48/1000000)</f>
        <v>-1.4693995389446937</v>
      </c>
      <c r="H153" s="94">
        <f ca="1">IF(B153=TODAY(),0,-$H$6*(Sheet1!CE151-Sheet1!CE150)*7.48/1000000)</f>
        <v>2.1055205291771167E-2</v>
      </c>
      <c r="I153" s="94">
        <f ca="1">IF(B153=TODAY(),0,-$I$6*(Sheet1!CG151-Sheet1!CG150)*7.48/1000000)</f>
        <v>8.0864783999999995E-2</v>
      </c>
      <c r="J153" s="95" t="s">
        <v>177</v>
      </c>
      <c r="K153" s="94">
        <f ca="1">IF(B153=TODAY(),0,-$K$6*(Sheet1!CH151-Sheet1!CH150)*7.48/1000000)</f>
        <v>0.13992972786362726</v>
      </c>
      <c r="L153" s="95" t="s">
        <v>177</v>
      </c>
      <c r="M153" s="94">
        <f ca="1">IF(B153=TODAY(),0,-$M$6*(Sheet1!CI151-Sheet1!CI150)*7.48/1000000)</f>
        <v>0.37782167698856794</v>
      </c>
      <c r="N153" s="94">
        <f ca="1">IF(B153=TODAY(),0,-$N$6*(Sheet1!CJ151-Sheet1!CJ150)*7.48/1000000)</f>
        <v>-0.11169422171032285</v>
      </c>
      <c r="O153" s="94">
        <f t="shared" ca="1" si="40"/>
        <v>-1.1686962436066486</v>
      </c>
      <c r="P153" s="94">
        <f ca="1">O153+Calculation!ES153</f>
        <v>-0.61497499904566566</v>
      </c>
      <c r="Q153" s="89" t="str">
        <f>IF(Sheet1!BQ151&gt;25.75,"spill elevation","-")</f>
        <v>-</v>
      </c>
      <c r="R153" s="89" t="str">
        <f>IF(Sheet1!BQ151&gt;25.75,"spill elevation","-")</f>
        <v>-</v>
      </c>
      <c r="S153" s="89" t="str">
        <f>IF(Sheet1!BR151&gt;25.75,"spill elevation","-")</f>
        <v>-</v>
      </c>
      <c r="T153" s="93">
        <f>IF(Sheet1!DU151=1,Sheet1!AA151-(SUM(AT153:BA153)+BE153),Sheet1!AA151-SUM(AT153:BA153))</f>
        <v>23.768896000000002</v>
      </c>
      <c r="U153" s="93">
        <f>Sheet1!BV151</f>
        <v>28.4</v>
      </c>
      <c r="V153" s="93">
        <f t="shared" si="41"/>
        <v>-4.631103999999997</v>
      </c>
      <c r="W153" s="93">
        <f>0</f>
        <v>0</v>
      </c>
      <c r="X153" s="89">
        <f>0</f>
        <v>0</v>
      </c>
      <c r="Y153" s="94">
        <f ca="1">Calculation!EJ154+Calculation!ES153+'Calculations II'!O153-'Calculations II'!W153</f>
        <v>54.074065967277981</v>
      </c>
      <c r="Z153" s="94">
        <f ca="1">Y153-Sheet1!CT152</f>
        <v>39.134065967277984</v>
      </c>
      <c r="AA153" s="94">
        <f ca="1">Y153+Calculation!DJ154+Calculation!AS154</f>
        <v>66.532657752692899</v>
      </c>
      <c r="AC153" s="94">
        <f>Sheet1!AA151+Sheet1!AB151+BC153</f>
        <v>65.175984</v>
      </c>
      <c r="AD153" s="94">
        <f>Sheet1!AA151+Sheet1!BN151+'Calculations II'!BC153-Calculation!AS153-Calculation!DJ153</f>
        <v>40.246716833237166</v>
      </c>
      <c r="AE153" s="94">
        <f>Sheet1!AA151+Sheet1!AB151+'Calculations II'!BC153-Calculation!AS153-Calculation!DJ153</f>
        <v>52.66671683323716</v>
      </c>
      <c r="AF153" s="94">
        <f ca="1">Sheet1!AA151+Sheet1!BN151+P153+'Calculations II'!BC153+Calculation!AS153+Calculation!DJ153</f>
        <v>64.65027616771718</v>
      </c>
      <c r="AG153" s="94">
        <f ca="1">IF(B153=TODAY(),0,Sheet1!AA151+Sheet1!BN151+'Calculations II'!BC153+'Calculations II'!P153-Sheet1!CT151-BP153)</f>
        <v>36.744009000954343</v>
      </c>
      <c r="AH153" s="94">
        <f ca="1">IF(B153=TODAY(),0,Sheet1!AA151+Sheet1!BN151+'Calculations II'!BC153+'Calculations II'!P153-BP153)</f>
        <v>52.141009000954341</v>
      </c>
      <c r="AI153" s="94">
        <f ca="1">IF(B153=TODAY(),0,BC153+Sheet1!AA151+Calculation!ES153+O153+W153+Sheet1!BN151+Calculation!AS153+Calculation!DJ153-BP153)</f>
        <v>64.65027616771718</v>
      </c>
      <c r="AJ153" s="94"/>
      <c r="AM153" s="90">
        <f t="shared" si="42"/>
        <v>42877</v>
      </c>
      <c r="AN153" s="94">
        <f>Sheet1!BU151</f>
        <v>23.7</v>
      </c>
      <c r="AO153" s="94">
        <f>Sheet1!AA151</f>
        <v>25.6</v>
      </c>
      <c r="AP153" s="94">
        <f t="shared" si="31"/>
        <v>-0.52630000000000354</v>
      </c>
      <c r="AQ153" s="1087">
        <f>((Sheet1!BV151-(Sheet1!BU151-AP153))/(Sheet1!BU151-AP153))</f>
        <v>0.17227971254380556</v>
      </c>
      <c r="AR153" s="94">
        <f t="shared" si="32"/>
        <v>26.126300000000004</v>
      </c>
      <c r="AS153" s="94">
        <f t="shared" si="33"/>
        <v>24.226300000000002</v>
      </c>
      <c r="AT153" s="89">
        <f>Sheet1!BB151</f>
        <v>0</v>
      </c>
      <c r="AU153" s="89">
        <f>Sheet1!AS151*GPMtoMGD</f>
        <v>3.3695999999999997E-2</v>
      </c>
      <c r="AV153" s="94">
        <f>Sheet1!AT151</f>
        <v>0</v>
      </c>
      <c r="AW153" s="89">
        <f>Sheet1!AV151*GPMtoMGD</f>
        <v>0.72100799999999998</v>
      </c>
      <c r="AX153" s="89">
        <f>Sheet1!AW151*GPMtoMGD</f>
        <v>1.0764</v>
      </c>
      <c r="AY153" s="89">
        <f>Sheet1!AX151*GPMtoMGD</f>
        <v>0</v>
      </c>
      <c r="AZ153" s="89">
        <f>Sheet1!AY151*GPMtoMGD</f>
        <v>0</v>
      </c>
      <c r="BA153" s="89">
        <f>Sheet1!AZ151*GPMtoMGD</f>
        <v>0</v>
      </c>
      <c r="BB153" s="89">
        <f>Sheet1!BP151*GPMtoMGD</f>
        <v>2.7360000000000002E-3</v>
      </c>
      <c r="BC153" s="89">
        <f>Sheet1!CS151*GPMtoMGD</f>
        <v>5.0559840000000005</v>
      </c>
      <c r="BD153" s="89">
        <f>Sheet1!BO151*GPMtoMGD</f>
        <v>1.5608160000000002</v>
      </c>
      <c r="BE153" s="89">
        <f>Sheet1!BW151*GPMtoMGD</f>
        <v>0.996336</v>
      </c>
      <c r="BF153" s="89">
        <f>Sheet1!CN151*GPMtoMGD</f>
        <v>2.1420000000000003</v>
      </c>
      <c r="BG153" s="89">
        <f>Sheet1!CO151*GPMtoMGD</f>
        <v>0.87451199999999996</v>
      </c>
      <c r="BH153" s="89">
        <f>Sheet1!CP151*GPMtoMGD</f>
        <v>0.76377600000000001</v>
      </c>
      <c r="BI153" s="89">
        <f t="shared" si="43"/>
        <v>1.5635520000000003</v>
      </c>
      <c r="BK153" s="94">
        <f>SUM(AT153:BA153,AS153,BC153,Calculation!AQ153)</f>
        <v>53.124120833237171</v>
      </c>
      <c r="BM153" s="358">
        <f>0</f>
        <v>0</v>
      </c>
      <c r="BN153" s="358">
        <f>0</f>
        <v>0</v>
      </c>
      <c r="BP153" s="94">
        <f>SUM(BM153:BN153,W153,Sheet1!DX151)</f>
        <v>0</v>
      </c>
      <c r="BR153" s="94">
        <f>Sheet1!AA151</f>
        <v>25.6</v>
      </c>
      <c r="BS153" s="94">
        <f>Sheet1!AB151</f>
        <v>34.520000000000003</v>
      </c>
      <c r="BT153" s="94">
        <f t="shared" ca="1" si="34"/>
        <v>-0.61497499904566566</v>
      </c>
      <c r="BU153" s="94">
        <f>Sheet1!AT151</f>
        <v>0</v>
      </c>
      <c r="BV153" s="89">
        <f>Sheet1!BB151</f>
        <v>0</v>
      </c>
      <c r="BW153" s="94">
        <f>Calculation!ED153</f>
        <v>12.509267166762839</v>
      </c>
      <c r="BX153" s="94">
        <f>(Sheet1!CS151*1440)/1000000</f>
        <v>5.0559839999999996</v>
      </c>
      <c r="CA153" s="94">
        <f ca="1">Sheet1!AC151-Sheet1!BK151-Sheet1!BL151-Sheet1!BM151-Sheet1!BC151-Sheet1!BD151-Sheet1!BE151-Sheet1!BF151-Sheet1!BG151-Sheet1!BH151-Sheet1!BI151+BC153+P153</f>
        <v>52.00100900095434</v>
      </c>
      <c r="CB153" s="93">
        <f t="shared" si="35"/>
        <v>73.653803693017892</v>
      </c>
      <c r="CC153" s="94">
        <f t="shared" si="36"/>
        <v>0</v>
      </c>
      <c r="CD153" s="94">
        <f t="shared" ca="1" si="37"/>
        <v>64.51027616771718</v>
      </c>
      <c r="CE153" s="1077">
        <f t="shared" ca="1" si="38"/>
        <v>99.797397231458476</v>
      </c>
      <c r="CG153" s="1077">
        <f t="shared" ca="1" si="39"/>
        <v>52.00100900095434</v>
      </c>
    </row>
    <row r="154" spans="1:85" s="89" customFormat="1" x14ac:dyDescent="0.25">
      <c r="A154" s="616" t="s">
        <v>5</v>
      </c>
      <c r="B154" s="91">
        <v>42878</v>
      </c>
      <c r="C154" s="92">
        <v>0</v>
      </c>
      <c r="D154" s="94">
        <f>(Sheet1!BQ152-Sheet1!BQ151)*1.385</f>
        <v>0.77560000000000318</v>
      </c>
      <c r="E154" s="30">
        <f>(Sheet1!BR152-Sheet1!BR151)*1.385</f>
        <v>0.70635000000000214</v>
      </c>
      <c r="F154" s="30">
        <f ca="1">IF(B154=TODAY(),0,-(VLOOKUP(Sheet1!CD152,Lookup!$I$4:$J$216,2)-VLOOKUP(Sheet1!CD151,Lookup!$I$4:$J$216,2))/1000000)</f>
        <v>0.51818469273900425</v>
      </c>
      <c r="G154" s="94">
        <f ca="1">IF(B154=TODAY(),0,-$G$6*(Sheet1!CF152-Sheet1!CF151)*7.48/1000000)</f>
        <v>0.51627551368326974</v>
      </c>
      <c r="H154" s="94">
        <f ca="1">IF(B154=TODAY(),0,-$H$6*(Sheet1!CE152-Sheet1!CE151)*7.48/1000000)</f>
        <v>0</v>
      </c>
      <c r="I154" s="94">
        <f ca="1">IF(B154=TODAY(),0,-$I$6*(Sheet1!CG152-Sheet1!CG151)*7.48/1000000)</f>
        <v>-6.7387320000000001E-2</v>
      </c>
      <c r="J154" s="95" t="s">
        <v>177</v>
      </c>
      <c r="K154" s="94">
        <f ca="1">IF(B154=TODAY(),0,-$K$6*(Sheet1!CH152-Sheet1!CH151)*7.48/1000000)</f>
        <v>-0.10661312599133504</v>
      </c>
      <c r="L154" s="95" t="s">
        <v>177</v>
      </c>
      <c r="M154" s="94">
        <f ca="1">IF(B154=TODAY(),0,-$M$6*(Sheet1!CI152-Sheet1!CI151)*7.48/1000000)</f>
        <v>-0.35983016856054129</v>
      </c>
      <c r="N154" s="94">
        <f ca="1">IF(B154=TODAY(),0,-$N$6*(Sheet1!CJ152-Sheet1!CJ151)*7.48/1000000)</f>
        <v>0.13651515986817297</v>
      </c>
      <c r="O154" s="94">
        <f t="shared" ca="1" si="40"/>
        <v>0.63714475173857066</v>
      </c>
      <c r="P154" s="94">
        <f ca="1">O154+Calculation!ES154</f>
        <v>-0.88568798119152703</v>
      </c>
      <c r="Q154" s="89" t="str">
        <f>IF(Sheet1!BQ152&gt;25.75,"spill elevation","-")</f>
        <v>-</v>
      </c>
      <c r="R154" s="89" t="str">
        <f>IF(Sheet1!BQ152&gt;25.75,"spill elevation","-")</f>
        <v>-</v>
      </c>
      <c r="S154" s="89" t="str">
        <f>IF(Sheet1!BR152&gt;25.75,"spill elevation","-")</f>
        <v>-</v>
      </c>
      <c r="T154" s="93">
        <f>IF(Sheet1!DU152=1,Sheet1!AA152-(SUM(AT154:BA154)+BE154),Sheet1!AA152-SUM(AT154:BA154))</f>
        <v>23.233688000000001</v>
      </c>
      <c r="U154" s="93">
        <f>Sheet1!BV152</f>
        <v>25.6</v>
      </c>
      <c r="V154" s="93">
        <f t="shared" si="41"/>
        <v>-2.3663120000000006</v>
      </c>
      <c r="W154" s="93">
        <f>0</f>
        <v>0</v>
      </c>
      <c r="X154" s="89">
        <f>0</f>
        <v>0</v>
      </c>
      <c r="Y154" s="94">
        <f ca="1">Calculation!EJ155+Calculation!ES154+'Calculations II'!O154-'Calculations II'!W154</f>
        <v>51.918279416801411</v>
      </c>
      <c r="Z154" s="94">
        <f ca="1">Y154-Sheet1!CT153</f>
        <v>36.724279416801409</v>
      </c>
      <c r="AA154" s="94">
        <f ca="1">Y154+Calculation!DJ155+Calculation!AS155</f>
        <v>63.827734066629191</v>
      </c>
      <c r="AC154" s="94">
        <f>Sheet1!AA152+Sheet1!AB152+BC154</f>
        <v>66.444175999999999</v>
      </c>
      <c r="AD154" s="94">
        <f>Sheet1!AA152+Sheet1!BN152+'Calculations II'!BC154-Calculation!AS154-Calculation!DJ154</f>
        <v>41.585584214585083</v>
      </c>
      <c r="AE154" s="94">
        <f>Sheet1!AA152+Sheet1!AB152+'Calculations II'!BC154-Calculation!AS154-Calculation!DJ154</f>
        <v>53.985584214585074</v>
      </c>
      <c r="AF154" s="94">
        <f ca="1">Sheet1!AA152+Sheet1!BN152+P154+'Calculations II'!BC154+Calculation!AS154+Calculation!DJ154</f>
        <v>65.617079804223394</v>
      </c>
      <c r="AG154" s="94">
        <f ca="1">IF(B154=TODAY(),0,Sheet1!AA152+Sheet1!BN152+'Calculations II'!BC154+'Calculations II'!P154-Sheet1!CT152-BP154)</f>
        <v>38.218488018808472</v>
      </c>
      <c r="AH154" s="94">
        <f ca="1">IF(B154=TODAY(),0,Sheet1!AA152+Sheet1!BN152+'Calculations II'!BC154+'Calculations II'!P154-BP154)</f>
        <v>53.15848801880847</v>
      </c>
      <c r="AI154" s="94">
        <f ca="1">IF(B154=TODAY(),0,BC154+Sheet1!AA152+Calculation!ES154+O154+W154+Sheet1!BN152+Calculation!AS154+Calculation!DJ154-BP154)</f>
        <v>65.617079804223394</v>
      </c>
      <c r="AJ154" s="94"/>
      <c r="AM154" s="90">
        <f t="shared" si="42"/>
        <v>42878</v>
      </c>
      <c r="AN154" s="94">
        <f>Sheet1!BU152</f>
        <v>23.3</v>
      </c>
      <c r="AO154" s="94">
        <f>Sheet1!AA152</f>
        <v>25.7</v>
      </c>
      <c r="AP154" s="94">
        <f t="shared" si="31"/>
        <v>1.4819500000000052</v>
      </c>
      <c r="AQ154" s="1087">
        <f>((Sheet1!BV152-(Sheet1!BU152-AP154))/(Sheet1!BU152-AP154))</f>
        <v>0.17334042226505147</v>
      </c>
      <c r="AR154" s="94">
        <f t="shared" si="32"/>
        <v>24.218049999999995</v>
      </c>
      <c r="AS154" s="94">
        <f t="shared" si="33"/>
        <v>21.818049999999996</v>
      </c>
      <c r="AT154" s="89">
        <f>Sheet1!BB152</f>
        <v>0</v>
      </c>
      <c r="AU154" s="89">
        <f>Sheet1!AS152*GPMtoMGD</f>
        <v>2.6784000000000002E-2</v>
      </c>
      <c r="AV154" s="94">
        <f>Sheet1!AT152</f>
        <v>0.501</v>
      </c>
      <c r="AW154" s="89">
        <f>Sheet1!AV152*GPMtoMGD</f>
        <v>0.90043200000000001</v>
      </c>
      <c r="AX154" s="89">
        <f>Sheet1!AW152*GPMtoMGD</f>
        <v>1.0380960000000001</v>
      </c>
      <c r="AY154" s="89">
        <f>Sheet1!AX152*GPMtoMGD</f>
        <v>0</v>
      </c>
      <c r="AZ154" s="89">
        <f>Sheet1!AY152*GPMtoMGD</f>
        <v>0</v>
      </c>
      <c r="BA154" s="89">
        <f>Sheet1!AZ152*GPMtoMGD</f>
        <v>0</v>
      </c>
      <c r="BB154" s="89">
        <f>Sheet1!BP152*GPMtoMGD</f>
        <v>2.7360000000000002E-3</v>
      </c>
      <c r="BC154" s="89">
        <f>Sheet1!CS152*GPMtoMGD</f>
        <v>5.0441760000000002</v>
      </c>
      <c r="BD154" s="89">
        <f>Sheet1!BO152*GPMtoMGD</f>
        <v>2.446704</v>
      </c>
      <c r="BE154" s="89">
        <f>Sheet1!BW152*GPMtoMGD</f>
        <v>1.2594240000000001</v>
      </c>
      <c r="BF154" s="89">
        <f>Sheet1!CN152*GPMtoMGD</f>
        <v>2.0962080000000003</v>
      </c>
      <c r="BG154" s="89">
        <f>Sheet1!CO152*GPMtoMGD</f>
        <v>0.91396800000000011</v>
      </c>
      <c r="BH154" s="89">
        <f>Sheet1!CP152*GPMtoMGD</f>
        <v>0.89654400000000012</v>
      </c>
      <c r="BI154" s="89">
        <f t="shared" si="43"/>
        <v>2.4494400000000001</v>
      </c>
      <c r="BK154" s="94">
        <f>SUM(AT154:BA154,AS154,BC154,Calculation!AQ154)</f>
        <v>52.569946214585073</v>
      </c>
      <c r="BM154" s="358">
        <f>0</f>
        <v>0</v>
      </c>
      <c r="BN154" s="358">
        <f>0</f>
        <v>0</v>
      </c>
      <c r="BP154" s="94">
        <f>SUM(BM154:BN154,W154,Sheet1!DX152)</f>
        <v>0</v>
      </c>
      <c r="BR154" s="94">
        <f>Sheet1!AA152</f>
        <v>25.7</v>
      </c>
      <c r="BS154" s="94">
        <f>Sheet1!AB152</f>
        <v>35.700000000000003</v>
      </c>
      <c r="BT154" s="94">
        <f t="shared" ca="1" si="34"/>
        <v>-0.88568798119152703</v>
      </c>
      <c r="BU154" s="94">
        <f>Sheet1!AT152</f>
        <v>0.501</v>
      </c>
      <c r="BV154" s="89">
        <f>Sheet1!BB152</f>
        <v>0</v>
      </c>
      <c r="BW154" s="94">
        <f>Calculation!ED154</f>
        <v>12.458591785414921</v>
      </c>
      <c r="BX154" s="94">
        <f>(Sheet1!CS152*1440)/1000000</f>
        <v>5.0441760000000002</v>
      </c>
      <c r="CA154" s="94">
        <f ca="1">Sheet1!AC152-Sheet1!BK152-Sheet1!BL152-Sheet1!BM152-Sheet1!BC152-Sheet1!BD152-Sheet1!BE152-Sheet1!BF152-Sheet1!BG152-Sheet1!BH152-Sheet1!BI152+BC154+P154</f>
        <v>53.06848801880848</v>
      </c>
      <c r="CB154" s="93">
        <f t="shared" si="35"/>
        <v>75.712358507963117</v>
      </c>
      <c r="CC154" s="94">
        <f t="shared" si="36"/>
        <v>0.501</v>
      </c>
      <c r="CD154" s="94">
        <f t="shared" ca="1" si="37"/>
        <v>65.527079804223405</v>
      </c>
      <c r="CE154" s="1077">
        <f t="shared" ca="1" si="38"/>
        <v>101.3703924571336</v>
      </c>
      <c r="CG154" s="1077">
        <f t="shared" ca="1" si="39"/>
        <v>52.567488018808483</v>
      </c>
    </row>
    <row r="155" spans="1:85" s="89" customFormat="1" x14ac:dyDescent="0.25">
      <c r="A155" s="616" t="s">
        <v>6</v>
      </c>
      <c r="B155" s="91">
        <v>42879</v>
      </c>
      <c r="C155" s="92">
        <v>0</v>
      </c>
      <c r="D155" s="94">
        <f>(Sheet1!BQ153-Sheet1!BQ152)*1.385</f>
        <v>-0.77560000000000318</v>
      </c>
      <c r="E155" s="30">
        <f>(Sheet1!BR153-Sheet1!BR152)*1.385</f>
        <v>-0.63710000000000122</v>
      </c>
      <c r="F155" s="30">
        <f ca="1">IF(B155=TODAY(),0,-(VLOOKUP(Sheet1!CD153,Lookup!$I$4:$J$216,2)-VLOOKUP(Sheet1!CD152,Lookup!$I$4:$J$216,2))/1000000)</f>
        <v>-0.20727387709560618</v>
      </c>
      <c r="G155" s="94">
        <f ca="1">IF(B155=TODAY(),0,-$G$6*(Sheet1!CF153-Sheet1!CF152)*7.48/1000000)</f>
        <v>-0.55598901473582951</v>
      </c>
      <c r="H155" s="94">
        <f ca="1">IF(B155=TODAY(),0,-$H$6*(Sheet1!CE153-Sheet1!CE152)*7.48/1000000)</f>
        <v>-3.0078864702529479E-2</v>
      </c>
      <c r="I155" s="94">
        <f ca="1">IF(B155=TODAY(),0,-$I$6*(Sheet1!CG153-Sheet1!CG152)*7.48/1000000)</f>
        <v>-4.4924879999999837E-3</v>
      </c>
      <c r="J155" s="95" t="s">
        <v>177</v>
      </c>
      <c r="K155" s="94">
        <f ca="1">IF(B155=TODAY(),0,-$K$6*(Sheet1!CH153-Sheet1!CH152)*7.48/1000000)</f>
        <v>0</v>
      </c>
      <c r="L155" s="95" t="s">
        <v>177</v>
      </c>
      <c r="M155" s="94">
        <f ca="1">IF(B155=TODAY(),0,-$M$6*(Sheet1!CI153-Sheet1!CI152)*7.48/1000000)</f>
        <v>-3.598301685605397E-2</v>
      </c>
      <c r="N155" s="94">
        <f ca="1">IF(B155=TODAY(),0,-$N$6*(Sheet1!CJ153-Sheet1!CJ152)*7.48/1000000)</f>
        <v>-0.12410469078924848</v>
      </c>
      <c r="O155" s="94">
        <f t="shared" ca="1" si="40"/>
        <v>-0.95792195217926768</v>
      </c>
      <c r="P155" s="94">
        <f ca="1">O155+Calculation!ES155</f>
        <v>0.56491078075083001</v>
      </c>
      <c r="Q155" s="89" t="str">
        <f>IF(Sheet1!BQ153&gt;25.75,"spill elevation","-")</f>
        <v>-</v>
      </c>
      <c r="R155" s="89" t="str">
        <f>IF(Sheet1!BQ153&gt;25.75,"spill elevation","-")</f>
        <v>-</v>
      </c>
      <c r="S155" s="89" t="str">
        <f>IF(Sheet1!BR153&gt;25.75,"spill elevation","-")</f>
        <v>-</v>
      </c>
      <c r="T155" s="93">
        <f>IF(Sheet1!DU153=1,Sheet1!AA153-(SUM(AT155:BA155)+BE155),Sheet1!AA153-SUM(AT155:BA155))</f>
        <v>22.702672</v>
      </c>
      <c r="U155" s="93">
        <f>Sheet1!BV153</f>
        <v>28.2</v>
      </c>
      <c r="V155" s="93">
        <f t="shared" si="41"/>
        <v>-5.4973279999999995</v>
      </c>
      <c r="W155" s="93">
        <f>0</f>
        <v>0</v>
      </c>
      <c r="X155" s="89">
        <f>0</f>
        <v>0</v>
      </c>
      <c r="Y155" s="94">
        <f ca="1">Calculation!EJ156+Calculation!ES155+'Calculations II'!O155-'Calculations II'!W155</f>
        <v>60.340496318768615</v>
      </c>
      <c r="Z155" s="94">
        <f ca="1">Y155-Sheet1!CT154</f>
        <v>44.156496318768617</v>
      </c>
      <c r="AA155" s="94">
        <f ca="1">Y155+Calculation!DJ156+Calculation!AS156</f>
        <v>71.897408873727088</v>
      </c>
      <c r="AC155" s="94">
        <f>Sheet1!AA153+Sheet1!AB153+BC155</f>
        <v>65.474016000000006</v>
      </c>
      <c r="AD155" s="94">
        <f>Sheet1!AA153+Sheet1!BN153+'Calculations II'!BC155-Calculation!AS155-Calculation!DJ155</f>
        <v>41.694561350172222</v>
      </c>
      <c r="AE155" s="94">
        <f>Sheet1!AA153+Sheet1!AB153+'Calculations II'!BC155-Calculation!AS155-Calculation!DJ155</f>
        <v>53.564561350172227</v>
      </c>
      <c r="AF155" s="94">
        <f ca="1">Sheet1!AA153+Sheet1!BN153+P155+'Calculations II'!BC155+Calculation!AS155+Calculation!DJ155</f>
        <v>66.078381430578617</v>
      </c>
      <c r="AG155" s="94">
        <f ca="1">IF(B155=TODAY(),0,Sheet1!AA153+Sheet1!BN153+'Calculations II'!BC155+'Calculations II'!P155-Sheet1!CT153-BP155)</f>
        <v>38.974926780750828</v>
      </c>
      <c r="AH155" s="94">
        <f ca="1">IF(B155=TODAY(),0,Sheet1!AA153+Sheet1!BN153+'Calculations II'!BC155+'Calculations II'!P155-BP155)</f>
        <v>54.16892678075083</v>
      </c>
      <c r="AI155" s="94">
        <f ca="1">IF(B155=TODAY(),0,BC155+Sheet1!AA153+Calculation!ES155+O155+W155+Sheet1!BN153+Calculation!AS155+Calculation!DJ155-BP155)</f>
        <v>66.078381430578602</v>
      </c>
      <c r="AJ155" s="94"/>
      <c r="AM155" s="90">
        <f t="shared" si="42"/>
        <v>42879</v>
      </c>
      <c r="AN155" s="94">
        <f>Sheet1!BU153</f>
        <v>22.9</v>
      </c>
      <c r="AO155" s="94">
        <f>Sheet1!AA153</f>
        <v>25.67</v>
      </c>
      <c r="AP155" s="94">
        <f t="shared" si="31"/>
        <v>-1.4127000000000045</v>
      </c>
      <c r="AQ155" s="1087">
        <f>((Sheet1!BV153-(Sheet1!BU153-AP155))/(Sheet1!BU153-AP155))</f>
        <v>0.15988763074442558</v>
      </c>
      <c r="AR155" s="94">
        <f t="shared" si="32"/>
        <v>27.082700000000006</v>
      </c>
      <c r="AS155" s="94">
        <f t="shared" si="33"/>
        <v>24.312700000000003</v>
      </c>
      <c r="AT155" s="89">
        <f>Sheet1!BB153</f>
        <v>0</v>
      </c>
      <c r="AU155" s="89">
        <f>Sheet1!AS153*GPMtoMGD</f>
        <v>3.3408E-2</v>
      </c>
      <c r="AV155" s="94">
        <f>Sheet1!AT153</f>
        <v>0.91</v>
      </c>
      <c r="AW155" s="89">
        <f>Sheet1!AV153*GPMtoMGD</f>
        <v>0.92318400000000012</v>
      </c>
      <c r="AX155" s="89">
        <f>Sheet1!AW153*GPMtoMGD</f>
        <v>1.1007359999999999</v>
      </c>
      <c r="AY155" s="89">
        <f>Sheet1!AX153*GPMtoMGD</f>
        <v>0</v>
      </c>
      <c r="AZ155" s="89">
        <f>Sheet1!AY153*GPMtoMGD</f>
        <v>0</v>
      </c>
      <c r="BA155" s="89">
        <f>Sheet1!AZ153*GPMtoMGD</f>
        <v>0</v>
      </c>
      <c r="BB155" s="89">
        <f>Sheet1!BP153*GPMtoMGD</f>
        <v>2.7360000000000002E-3</v>
      </c>
      <c r="BC155" s="89">
        <f>Sheet1!CS153*GPMtoMGD</f>
        <v>5.0240160000000005</v>
      </c>
      <c r="BD155" s="89">
        <f>Sheet1!BO153*GPMtoMGD</f>
        <v>2.1889440000000002</v>
      </c>
      <c r="BE155" s="89">
        <f>Sheet1!BW153*GPMtoMGD</f>
        <v>1.2343680000000001</v>
      </c>
      <c r="BF155" s="89">
        <f>Sheet1!CN153*GPMtoMGD</f>
        <v>2.2161600000000004</v>
      </c>
      <c r="BG155" s="89">
        <f>Sheet1!CO153*GPMtoMGD</f>
        <v>0.92822400000000005</v>
      </c>
      <c r="BH155" s="89">
        <f>Sheet1!CP153*GPMtoMGD</f>
        <v>0.86371200000000004</v>
      </c>
      <c r="BI155" s="89">
        <f t="shared" si="43"/>
        <v>2.1916800000000003</v>
      </c>
      <c r="BK155" s="94">
        <f>SUM(AT155:BA155,AS155,BC155,Calculation!AQ155)</f>
        <v>55.174589350172219</v>
      </c>
      <c r="BM155" s="358">
        <f>0</f>
        <v>0</v>
      </c>
      <c r="BN155" s="358">
        <f>0</f>
        <v>0</v>
      </c>
      <c r="BP155" s="94">
        <f>SUM(BM155:BN155,W155,Sheet1!DX153)</f>
        <v>0</v>
      </c>
      <c r="BR155" s="94">
        <f>Sheet1!AA153</f>
        <v>25.67</v>
      </c>
      <c r="BS155" s="94">
        <f>Sheet1!AB153</f>
        <v>34.78</v>
      </c>
      <c r="BT155" s="94">
        <f t="shared" ca="1" si="34"/>
        <v>0.56491078075083001</v>
      </c>
      <c r="BU155" s="94">
        <f>Sheet1!AT153</f>
        <v>0.91</v>
      </c>
      <c r="BV155" s="89">
        <f>Sheet1!BB153</f>
        <v>0</v>
      </c>
      <c r="BW155" s="94">
        <f>Calculation!ED155</f>
        <v>11.909454649827783</v>
      </c>
      <c r="BX155" s="94">
        <f>(Sheet1!CS153*1440)/1000000</f>
        <v>5.0240159999999996</v>
      </c>
      <c r="CA155" s="94">
        <f ca="1">Sheet1!AC153-Sheet1!BK153-Sheet1!BL153-Sheet1!BM153-Sheet1!BC153-Sheet1!BD153-Sheet1!BE153-Sheet1!BF153-Sheet1!BG153-Sheet1!BH153-Sheet1!BI153+BC155+P155</f>
        <v>54.108926780750835</v>
      </c>
      <c r="CB155" s="93">
        <f t="shared" si="35"/>
        <v>75.092223656716428</v>
      </c>
      <c r="CC155" s="94">
        <f t="shared" si="36"/>
        <v>0.91</v>
      </c>
      <c r="CD155" s="94">
        <f t="shared" ca="1" si="37"/>
        <v>66.018381430578614</v>
      </c>
      <c r="CE155" s="1077">
        <f t="shared" ca="1" si="38"/>
        <v>102.13043607310512</v>
      </c>
      <c r="CG155" s="1077">
        <f t="shared" ca="1" si="39"/>
        <v>53.198926780750838</v>
      </c>
    </row>
    <row r="156" spans="1:85" s="89" customFormat="1" x14ac:dyDescent="0.25">
      <c r="A156" s="616" t="s">
        <v>7</v>
      </c>
      <c r="B156" s="91">
        <v>42880</v>
      </c>
      <c r="C156" s="92">
        <v>0</v>
      </c>
      <c r="D156" s="94">
        <f>(Sheet1!BQ154-Sheet1!BQ153)*1.385</f>
        <v>1.9390000000000029</v>
      </c>
      <c r="E156" s="30">
        <f>(Sheet1!BR154-Sheet1!BR153)*1.385</f>
        <v>1.8005000000000011</v>
      </c>
      <c r="F156" s="30">
        <f ca="1">IF(B156=TODAY(),0,-(VLOOKUP(Sheet1!CD154,Lookup!$I$4:$J$216,2)-VLOOKUP(Sheet1!CD153,Lookup!$I$4:$J$216,2))/1000000)</f>
        <v>0.725458569834603</v>
      </c>
      <c r="G156" s="94">
        <f ca="1">IF(B156=TODAY(),0,-$G$6*(Sheet1!CF154-Sheet1!CF153)*7.48/1000000)</f>
        <v>-0.43684851157815285</v>
      </c>
      <c r="H156" s="94">
        <f ca="1">IF(B156=TODAY(),0,-$H$6*(Sheet1!CE154-Sheet1!CE153)*7.48/1000000)</f>
        <v>1.5039432351264204E-2</v>
      </c>
      <c r="I156" s="94">
        <f ca="1">IF(B156=TODAY(),0,-$I$6*(Sheet1!CG154-Sheet1!CG153)*7.48/1000000)</f>
        <v>-1.3477463999999995E-2</v>
      </c>
      <c r="J156" s="95" t="s">
        <v>177</v>
      </c>
      <c r="K156" s="94">
        <f ca="1">IF(B156=TODAY(),0,-$K$6*(Sheet1!CH154-Sheet1!CH153)*7.48/1000000)</f>
        <v>-2.6653281497833796E-2</v>
      </c>
      <c r="L156" s="95" t="s">
        <v>177</v>
      </c>
      <c r="M156" s="94">
        <f ca="1">IF(B156=TODAY(),0,-$M$6*(Sheet1!CI154-Sheet1!CI153)*7.48/1000000)</f>
        <v>-7.1966033712107941E-2</v>
      </c>
      <c r="N156" s="94">
        <f ca="1">IF(B156=TODAY(),0,-$N$6*(Sheet1!CJ154-Sheet1!CJ153)*7.48/1000000)</f>
        <v>0.24820938157849581</v>
      </c>
      <c r="O156" s="94">
        <f t="shared" ca="1" si="40"/>
        <v>0.43976209297626845</v>
      </c>
      <c r="P156" s="94">
        <f ca="1">O156+Calculation!ES156</f>
        <v>-3.2988270581025927</v>
      </c>
      <c r="Q156" s="89" t="str">
        <f>IF(Sheet1!BQ154&gt;25.75,"spill elevation","-")</f>
        <v>-</v>
      </c>
      <c r="R156" s="89" t="str">
        <f>IF(Sheet1!BQ154&gt;25.75,"spill elevation","-")</f>
        <v>-</v>
      </c>
      <c r="S156" s="89" t="str">
        <f>IF(Sheet1!BR154&gt;25.75,"spill elevation","-")</f>
        <v>-</v>
      </c>
      <c r="T156" s="93">
        <f>IF(Sheet1!DU154=1,Sheet1!AA154-(SUM(AT156:BA156)+BE156),Sheet1!AA154-SUM(AT156:BA156))</f>
        <v>22.979071999999999</v>
      </c>
      <c r="U156" s="93">
        <f>Sheet1!BV154</f>
        <v>22.7</v>
      </c>
      <c r="V156" s="93">
        <f t="shared" si="41"/>
        <v>0.27907199999999932</v>
      </c>
      <c r="W156" s="93">
        <f>0</f>
        <v>0</v>
      </c>
      <c r="X156" s="89">
        <f>0</f>
        <v>0</v>
      </c>
      <c r="Y156" s="94">
        <f ca="1">Calculation!EJ157+Calculation!ES156+'Calculations II'!O156-'Calculations II'!W156</f>
        <v>54.033060703746941</v>
      </c>
      <c r="Z156" s="94">
        <f ca="1">Y156-Sheet1!CT155</f>
        <v>37.90206070374694</v>
      </c>
      <c r="AA156" s="94">
        <f ca="1">Y156+Calculation!DJ157+Calculation!AS157</f>
        <v>66.274809178143329</v>
      </c>
      <c r="AC156" s="94">
        <f>Sheet1!AA154+Sheet1!AB154+BC156</f>
        <v>70.871808000000001</v>
      </c>
      <c r="AD156" s="94">
        <f>Sheet1!AA154+Sheet1!BN154+'Calculations II'!BC156-Calculation!AS156-Calculation!DJ156</f>
        <v>47.71489544504152</v>
      </c>
      <c r="AE156" s="94">
        <f>Sheet1!AA154+Sheet1!AB154+'Calculations II'!BC156-Calculation!AS156-Calculation!DJ156</f>
        <v>59.314895445041529</v>
      </c>
      <c r="AF156" s="94">
        <f ca="1">Sheet1!AA154+Sheet1!BN154+P156+'Calculations II'!BC156+Calculation!AS156+Calculation!DJ156</f>
        <v>67.529893496855877</v>
      </c>
      <c r="AG156" s="94">
        <f ca="1">IF(B156=TODAY(),0,Sheet1!AA154+Sheet1!BN154+'Calculations II'!BC156+'Calculations II'!P156-Sheet1!CT154-BP156)</f>
        <v>39.788980941897407</v>
      </c>
      <c r="AH156" s="94">
        <f ca="1">IF(B156=TODAY(),0,Sheet1!AA154+Sheet1!BN154+'Calculations II'!BC156+'Calculations II'!P156-BP156)</f>
        <v>55.972980941897404</v>
      </c>
      <c r="AI156" s="94">
        <f ca="1">IF(B156=TODAY(),0,BC156+Sheet1!AA154+Calculation!ES156+O156+W156+Sheet1!BN154+Calculation!AS156+Calculation!DJ156-BP156)</f>
        <v>67.529893496855877</v>
      </c>
      <c r="AJ156" s="94"/>
      <c r="AM156" s="90">
        <f t="shared" si="42"/>
        <v>42880</v>
      </c>
      <c r="AN156" s="94">
        <f>Sheet1!BU154</f>
        <v>23</v>
      </c>
      <c r="AO156" s="94">
        <f>Sheet1!AA154</f>
        <v>25.63</v>
      </c>
      <c r="AP156" s="94">
        <f t="shared" si="31"/>
        <v>3.739500000000004</v>
      </c>
      <c r="AQ156" s="1087">
        <f>((Sheet1!BV154-(Sheet1!BU154-AP156))/(Sheet1!BU154-AP156))</f>
        <v>0.1785779185379405</v>
      </c>
      <c r="AR156" s="94">
        <f t="shared" si="32"/>
        <v>21.890499999999996</v>
      </c>
      <c r="AS156" s="94">
        <f t="shared" si="33"/>
        <v>19.260499999999997</v>
      </c>
      <c r="AT156" s="89">
        <f>Sheet1!BB154</f>
        <v>0</v>
      </c>
      <c r="AU156" s="89">
        <f>Sheet1!AS154*GPMtoMGD</f>
        <v>3.4704000000000006E-2</v>
      </c>
      <c r="AV156" s="94">
        <f>Sheet1!AT154</f>
        <v>0.41</v>
      </c>
      <c r="AW156" s="89">
        <f>Sheet1!AV154*GPMtoMGD</f>
        <v>0.97344000000000008</v>
      </c>
      <c r="AX156" s="89">
        <f>Sheet1!AW154*GPMtoMGD</f>
        <v>1.2327840000000001</v>
      </c>
      <c r="AY156" s="89">
        <f>Sheet1!AX154*GPMtoMGD</f>
        <v>0</v>
      </c>
      <c r="AZ156" s="89">
        <f>Sheet1!AY154*GPMtoMGD</f>
        <v>0</v>
      </c>
      <c r="BA156" s="89">
        <f>Sheet1!AZ154*GPMtoMGD</f>
        <v>0</v>
      </c>
      <c r="BB156" s="89">
        <f>Sheet1!BP154*GPMtoMGD</f>
        <v>2.8800000000000002E-3</v>
      </c>
      <c r="BC156" s="89">
        <f>Sheet1!CS154*GPMtoMGD</f>
        <v>4.2418079999999998</v>
      </c>
      <c r="BD156" s="89">
        <f>Sheet1!BO154*GPMtoMGD</f>
        <v>2.3175360000000005</v>
      </c>
      <c r="BE156" s="89">
        <f>Sheet1!BW154*GPMtoMGD</f>
        <v>1.2204000000000002</v>
      </c>
      <c r="BF156" s="89">
        <f>Sheet1!CN154*GPMtoMGD</f>
        <v>2.2332960000000002</v>
      </c>
      <c r="BG156" s="89">
        <f>Sheet1!CO154*GPMtoMGD</f>
        <v>1.0334880000000002</v>
      </c>
      <c r="BH156" s="89">
        <f>Sheet1!CP154*GPMtoMGD</f>
        <v>0.77313600000000005</v>
      </c>
      <c r="BI156" s="89">
        <f t="shared" si="43"/>
        <v>2.3204160000000007</v>
      </c>
      <c r="BK156" s="94">
        <f>SUM(AT156:BA156,AS156,BC156,Calculation!AQ156)</f>
        <v>55.59632344504152</v>
      </c>
      <c r="BM156" s="358">
        <f>0</f>
        <v>0</v>
      </c>
      <c r="BN156" s="358">
        <f>0</f>
        <v>0</v>
      </c>
      <c r="BP156" s="94">
        <f>SUM(BM156:BN156,W156,Sheet1!DX154)</f>
        <v>0</v>
      </c>
      <c r="BR156" s="94">
        <f>Sheet1!AA154</f>
        <v>25.63</v>
      </c>
      <c r="BS156" s="94">
        <f>Sheet1!AB154</f>
        <v>41</v>
      </c>
      <c r="BT156" s="94">
        <f t="shared" ca="1" si="34"/>
        <v>-3.2988270581025927</v>
      </c>
      <c r="BU156" s="94">
        <f>Sheet1!AT154</f>
        <v>0.41</v>
      </c>
      <c r="BV156" s="89">
        <f>Sheet1!BB154</f>
        <v>0</v>
      </c>
      <c r="BW156" s="94">
        <f>Calculation!ED156</f>
        <v>11.556912554958476</v>
      </c>
      <c r="BX156" s="94">
        <f>(Sheet1!CS154*1440)/1000000</f>
        <v>4.2418079999999998</v>
      </c>
      <c r="CA156" s="94">
        <f ca="1">Sheet1!AC154-Sheet1!BK154-Sheet1!BL154-Sheet1!BM154-Sheet1!BC154-Sheet1!BD154-Sheet1!BE154-Sheet1!BF154-Sheet1!BG154-Sheet1!BH154-Sheet1!BI154+BC156+P156</f>
        <v>56.032980941897399</v>
      </c>
      <c r="CB156" s="93">
        <f t="shared" si="35"/>
        <v>85.198066277479228</v>
      </c>
      <c r="CC156" s="94">
        <f t="shared" si="36"/>
        <v>0.41</v>
      </c>
      <c r="CD156" s="94">
        <f t="shared" ca="1" si="37"/>
        <v>67.589893496855879</v>
      </c>
      <c r="CE156" s="1077">
        <f t="shared" ca="1" si="38"/>
        <v>104.56156523963604</v>
      </c>
      <c r="CG156" s="1077">
        <f t="shared" ca="1" si="39"/>
        <v>55.622980941897403</v>
      </c>
    </row>
    <row r="157" spans="1:85" s="89" customFormat="1" x14ac:dyDescent="0.25">
      <c r="A157" s="616" t="s">
        <v>8</v>
      </c>
      <c r="B157" s="91">
        <v>42881</v>
      </c>
      <c r="C157" s="92">
        <v>0</v>
      </c>
      <c r="D157" s="94">
        <f>(Sheet1!BQ155-Sheet1!BQ154)*1.385</f>
        <v>-0.55400000000000293</v>
      </c>
      <c r="E157" s="30">
        <f>(Sheet1!BR155-Sheet1!BR154)*1.385</f>
        <v>-0.55399999999999805</v>
      </c>
      <c r="F157" s="30">
        <f ca="1">IF(B157=TODAY(),0,-(VLOOKUP(Sheet1!CD155,Lookup!$I$4:$J$216,2)-VLOOKUP(Sheet1!CD154,Lookup!$I$4:$J$216,2))/1000000)</f>
        <v>-0.62182163128680368</v>
      </c>
      <c r="G157" s="94">
        <f ca="1">IF(B157=TODAY(),0,-$G$6*(Sheet1!CF155-Sheet1!CF154)*7.48/1000000)</f>
        <v>-0.79427002105118594</v>
      </c>
      <c r="H157" s="94">
        <f ca="1">IF(B157=TODAY(),0,-$H$6*(Sheet1!CE155-Sheet1!CE154)*7.48/1000000)</f>
        <v>3.0078864702530548E-2</v>
      </c>
      <c r="I157" s="94">
        <f ca="1">IF(B157=TODAY(),0,-$I$6*(Sheet1!CG155-Sheet1!CG154)*7.48/1000000)</f>
        <v>1.2578966399999973E-2</v>
      </c>
      <c r="J157" s="95" t="s">
        <v>177</v>
      </c>
      <c r="K157" s="94">
        <f ca="1">IF(B157=TODAY(),0,-$K$6*(Sheet1!CH155-Sheet1!CH154)*7.48/1000000)</f>
        <v>1.3326640748916837E-2</v>
      </c>
      <c r="L157" s="95" t="s">
        <v>177</v>
      </c>
      <c r="M157" s="94">
        <f ca="1">IF(B157=TODAY(),0,-$M$6*(Sheet1!CI155-Sheet1!CI154)*7.48/1000000)</f>
        <v>5.3974525284081275E-2</v>
      </c>
      <c r="N157" s="94">
        <f ca="1">IF(B157=TODAY(),0,-$N$6*(Sheet1!CJ155-Sheet1!CJ154)*7.48/1000000)</f>
        <v>-0.55847110855161541</v>
      </c>
      <c r="O157" s="94">
        <f t="shared" ca="1" si="40"/>
        <v>-1.8646037637540764</v>
      </c>
      <c r="P157" s="94">
        <f ca="1">O157+Calculation!ES157</f>
        <v>-0.75662302246142477</v>
      </c>
      <c r="Q157" s="89" t="str">
        <f>IF(Sheet1!BQ155&gt;25.75,"spill elevation","-")</f>
        <v>-</v>
      </c>
      <c r="R157" s="89" t="str">
        <f>IF(Sheet1!BQ155&gt;25.75,"spill elevation","-")</f>
        <v>-</v>
      </c>
      <c r="S157" s="89" t="str">
        <f>IF(Sheet1!BR155&gt;25.75,"spill elevation","-")</f>
        <v>-</v>
      </c>
      <c r="T157" s="93">
        <f>IF(Sheet1!DU155=1,Sheet1!AA155-(SUM(AT157:BA157)+BE157),Sheet1!AA155-SUM(AT157:BA157))</f>
        <v>26.101583999999999</v>
      </c>
      <c r="U157" s="93">
        <f>Sheet1!BV155</f>
        <v>31.7</v>
      </c>
      <c r="V157" s="93">
        <f t="shared" si="41"/>
        <v>-5.5984160000000003</v>
      </c>
      <c r="W157" s="93">
        <f>0</f>
        <v>0</v>
      </c>
      <c r="X157" s="89">
        <f>0</f>
        <v>0</v>
      </c>
      <c r="Y157" s="94">
        <f ca="1">Calculation!EJ158+Calculation!ES157+'Calculations II'!O157-'Calculations II'!W157</f>
        <v>59.219549221900266</v>
      </c>
      <c r="Z157" s="94">
        <f ca="1">Y157-Sheet1!CT156</f>
        <v>43.118549221900267</v>
      </c>
      <c r="AA157" s="94">
        <f ca="1">Y157+Calculation!DJ158+Calculation!AS158</f>
        <v>72.625916060155475</v>
      </c>
      <c r="AC157" s="94">
        <f>Sheet1!AA155+Sheet1!AB155+BC157</f>
        <v>71.739823999999999</v>
      </c>
      <c r="AD157" s="94">
        <f>Sheet1!AA155+Sheet1!BN155+'Calculations II'!BC157-Calculation!AS157-Calculation!DJ157</f>
        <v>47.148075525603602</v>
      </c>
      <c r="AE157" s="94">
        <f>Sheet1!AA155+Sheet1!AB155+'Calculations II'!BC157-Calculation!AS157-Calculation!DJ157</f>
        <v>59.498075525603603</v>
      </c>
      <c r="AF157" s="94">
        <f ca="1">Sheet1!AA155+Sheet1!BN155+P157+'Calculations II'!BC157+Calculation!AS157+Calculation!DJ157</f>
        <v>70.874949451934967</v>
      </c>
      <c r="AG157" s="94">
        <f ca="1">IF(B157=TODAY(),0,Sheet1!AA155+Sheet1!BN155+'Calculations II'!BC157+'Calculations II'!P157-Sheet1!CT155-BP157)</f>
        <v>42.502200977538571</v>
      </c>
      <c r="AH157" s="94">
        <f ca="1">IF(B157=TODAY(),0,Sheet1!AA155+Sheet1!BN155+'Calculations II'!BC157+'Calculations II'!P157-BP157)</f>
        <v>58.633200977538571</v>
      </c>
      <c r="AI157" s="94">
        <f ca="1">IF(B157=TODAY(),0,BC157+Sheet1!AA155+Calculation!ES157+O157+W157+Sheet1!BN155+Calculation!AS157+Calculation!DJ157-BP157)</f>
        <v>70.874949451934967</v>
      </c>
      <c r="AJ157" s="94"/>
      <c r="AM157" s="90">
        <f t="shared" si="42"/>
        <v>42881</v>
      </c>
      <c r="AN157" s="94">
        <f>Sheet1!BU155</f>
        <v>25.8</v>
      </c>
      <c r="AO157" s="94">
        <f>Sheet1!AA155</f>
        <v>28.8</v>
      </c>
      <c r="AP157" s="94">
        <f t="shared" si="31"/>
        <v>-1.108000000000001</v>
      </c>
      <c r="AQ157" s="1087">
        <f>((Sheet1!BV155-(Sheet1!BU155-AP157))/(Sheet1!BU155-AP157))</f>
        <v>0.17808830087706251</v>
      </c>
      <c r="AR157" s="94">
        <f t="shared" si="32"/>
        <v>29.908000000000001</v>
      </c>
      <c r="AS157" s="94">
        <f t="shared" si="33"/>
        <v>26.908000000000001</v>
      </c>
      <c r="AT157" s="89">
        <f>Sheet1!BB155</f>
        <v>0</v>
      </c>
      <c r="AU157" s="89">
        <f>Sheet1!AS155*GPMtoMGD</f>
        <v>3.4272000000000004E-2</v>
      </c>
      <c r="AV157" s="94">
        <f>Sheet1!AT155</f>
        <v>0</v>
      </c>
      <c r="AW157" s="89">
        <f>Sheet1!AV155*GPMtoMGD</f>
        <v>1.2659040000000001</v>
      </c>
      <c r="AX157" s="89">
        <f>Sheet1!AW155*GPMtoMGD</f>
        <v>1.3982400000000001</v>
      </c>
      <c r="AY157" s="89">
        <f>Sheet1!AX155*GPMtoMGD</f>
        <v>0</v>
      </c>
      <c r="AZ157" s="89">
        <f>Sheet1!AY155*GPMtoMGD</f>
        <v>0</v>
      </c>
      <c r="BA157" s="89">
        <f>Sheet1!AZ155*GPMtoMGD</f>
        <v>0</v>
      </c>
      <c r="BB157" s="89">
        <f>Sheet1!BP155*GPMtoMGD</f>
        <v>2.8800000000000002E-3</v>
      </c>
      <c r="BC157" s="89">
        <f>Sheet1!CS155*GPMtoMGD</f>
        <v>5.0898240000000001</v>
      </c>
      <c r="BD157" s="89">
        <f>Sheet1!BO155*GPMtoMGD</f>
        <v>2.3647680000000002</v>
      </c>
      <c r="BE157" s="89">
        <f>Sheet1!BW155*GPMtoMGD</f>
        <v>1.3008960000000001</v>
      </c>
      <c r="BF157" s="89">
        <f>Sheet1!CN155*GPMtoMGD</f>
        <v>2.5140960000000003</v>
      </c>
      <c r="BG157" s="89">
        <f>Sheet1!CO155*GPMtoMGD</f>
        <v>1.1295360000000001</v>
      </c>
      <c r="BH157" s="89">
        <f>Sheet1!CP155*GPMtoMGD</f>
        <v>0.80568000000000006</v>
      </c>
      <c r="BI157" s="89">
        <f t="shared" si="43"/>
        <v>2.3676480000000004</v>
      </c>
      <c r="BK157" s="94">
        <f>SUM(AT157:BA157,AS157,BC157,Calculation!AQ157)</f>
        <v>60.304491525603609</v>
      </c>
      <c r="BM157" s="358">
        <f>0</f>
        <v>0</v>
      </c>
      <c r="BN157" s="358">
        <f>0</f>
        <v>0</v>
      </c>
      <c r="BP157" s="94">
        <f>SUM(BM157:BN157,W157,Sheet1!DX155)</f>
        <v>0</v>
      </c>
      <c r="BR157" s="94">
        <f>Sheet1!AA155</f>
        <v>28.8</v>
      </c>
      <c r="BS157" s="94">
        <f>Sheet1!AB155</f>
        <v>37.85</v>
      </c>
      <c r="BT157" s="94">
        <f t="shared" ca="1" si="34"/>
        <v>-0.75662302246142477</v>
      </c>
      <c r="BU157" s="94">
        <f>Sheet1!AT155</f>
        <v>0</v>
      </c>
      <c r="BV157" s="89">
        <f>Sheet1!BB155</f>
        <v>0</v>
      </c>
      <c r="BW157" s="94">
        <f>Calculation!ED157</f>
        <v>12.241748474396394</v>
      </c>
      <c r="BX157" s="94">
        <f>(Sheet1!CS155*1440)/1000000</f>
        <v>5.0898240000000001</v>
      </c>
      <c r="CA157" s="94">
        <f ca="1">Sheet1!AC155-Sheet1!BK155-Sheet1!BL155-Sheet1!BM155-Sheet1!BC155-Sheet1!BD155-Sheet1!BE155-Sheet1!BF155-Sheet1!BG155-Sheet1!BH155-Sheet1!BI155+BC157+P157</f>
        <v>58.793200977538575</v>
      </c>
      <c r="CB157" s="93">
        <f t="shared" si="35"/>
        <v>84.169565110108778</v>
      </c>
      <c r="CC157" s="94">
        <f t="shared" si="36"/>
        <v>0</v>
      </c>
      <c r="CD157" s="94">
        <f t="shared" ca="1" si="37"/>
        <v>71.034949451934963</v>
      </c>
      <c r="CE157" s="1077">
        <f t="shared" ca="1" si="38"/>
        <v>109.89106680214338</v>
      </c>
      <c r="CG157" s="1077">
        <f t="shared" ca="1" si="39"/>
        <v>58.793200977538575</v>
      </c>
    </row>
    <row r="158" spans="1:85" s="89" customFormat="1" x14ac:dyDescent="0.25">
      <c r="A158" s="616" t="s">
        <v>9</v>
      </c>
      <c r="B158" s="91">
        <v>42882</v>
      </c>
      <c r="C158" s="92">
        <v>0</v>
      </c>
      <c r="D158" s="94">
        <f>(Sheet1!BQ156-Sheet1!BQ155)*1.385</f>
        <v>0</v>
      </c>
      <c r="E158" s="30">
        <f>(Sheet1!BR156-Sheet1!BR155)*1.385</f>
        <v>0</v>
      </c>
      <c r="F158" s="30">
        <f ca="1">IF(B158=TODAY(),0,-(VLOOKUP(Sheet1!CD156,Lookup!$I$4:$J$216,2)-VLOOKUP(Sheet1!CD155,Lookup!$I$4:$J$216,2))/1000000)</f>
        <v>-0.51818469273899681</v>
      </c>
      <c r="G158" s="94">
        <f ca="1">IF(B158=TODAY(),0,-$G$6*(Sheet1!CF156-Sheet1!CF155)*7.48/1000000)</f>
        <v>1.0325510273665424</v>
      </c>
      <c r="H158" s="94">
        <f ca="1">IF(B158=TODAY(),0,-$H$6*(Sheet1!CE156-Sheet1!CE155)*7.48/1000000)</f>
        <v>1.5039432351265274E-2</v>
      </c>
      <c r="I158" s="94">
        <f ca="1">IF(B158=TODAY(),0,-$I$6*(Sheet1!CG156-Sheet1!CG155)*7.48/1000000)</f>
        <v>4.1330889600000004E-2</v>
      </c>
      <c r="J158" s="95" t="s">
        <v>177</v>
      </c>
      <c r="K158" s="94">
        <f ca="1">IF(B158=TODAY(),0,-$K$6*(Sheet1!CH156-Sheet1!CH155)*7.48/1000000)</f>
        <v>7.3296524119042847E-2</v>
      </c>
      <c r="L158" s="95" t="s">
        <v>177</v>
      </c>
      <c r="M158" s="94">
        <f ca="1">IF(B158=TODAY(),0,-$M$6*(Sheet1!CI156-Sheet1!CI155)*7.48/1000000)</f>
        <v>0.19790659270829714</v>
      </c>
      <c r="N158" s="94">
        <f ca="1">IF(B158=TODAY(),0,-$N$6*(Sheet1!CJ156-Sheet1!CJ155)*7.48/1000000)</f>
        <v>-0.12410469078924735</v>
      </c>
      <c r="O158" s="94">
        <f t="shared" ca="1" si="40"/>
        <v>0.71783508261690343</v>
      </c>
      <c r="P158" s="94">
        <f ca="1">O158+Calculation!ES158</f>
        <v>0.71783508261690343</v>
      </c>
      <c r="Q158" s="89" t="str">
        <f>IF(Sheet1!BQ156&gt;25.75,"spill elevation","-")</f>
        <v>-</v>
      </c>
      <c r="R158" s="89" t="str">
        <f>IF(Sheet1!BQ156&gt;25.75,"spill elevation","-")</f>
        <v>-</v>
      </c>
      <c r="S158" s="89" t="str">
        <f>IF(Sheet1!BR156&gt;25.75,"spill elevation","-")</f>
        <v>-</v>
      </c>
      <c r="T158" s="93">
        <f>IF(Sheet1!DU156=1,Sheet1!AA156-(SUM(AT158:BA158)+BE158),Sheet1!AA156-SUM(AT158:BA158))</f>
        <v>28.175967999999997</v>
      </c>
      <c r="U158" s="93">
        <f>Sheet1!BV156</f>
        <v>33</v>
      </c>
      <c r="V158" s="93">
        <f t="shared" si="41"/>
        <v>-4.8240320000000025</v>
      </c>
      <c r="W158" s="93">
        <f>0</f>
        <v>0</v>
      </c>
      <c r="X158" s="89">
        <f>0</f>
        <v>0</v>
      </c>
      <c r="Y158" s="94">
        <f ca="1">Calculation!EJ159+Calculation!ES158+'Calculations II'!O158-'Calculations II'!W158</f>
        <v>60.841156505821075</v>
      </c>
      <c r="Z158" s="94">
        <f ca="1">Y158-Sheet1!CT157</f>
        <v>45.07715650582108</v>
      </c>
      <c r="AA158" s="94">
        <f ca="1">Y158+Calculation!DJ159+Calculation!AS159</f>
        <v>74.813403878496899</v>
      </c>
      <c r="AC158" s="94">
        <f>Sheet1!AA156+Sheet1!AB156+BC158</f>
        <v>72.940672000000006</v>
      </c>
      <c r="AD158" s="94">
        <f>Sheet1!AA156+Sheet1!BN156+'Calculations II'!BC158-Calculation!AS158-Calculation!DJ158</f>
        <v>46.134305161744784</v>
      </c>
      <c r="AE158" s="94">
        <f>Sheet1!AA156+Sheet1!AB156+'Calculations II'!BC158-Calculation!AS158-Calculation!DJ158</f>
        <v>59.53430516174479</v>
      </c>
      <c r="AF158" s="94">
        <f ca="1">Sheet1!AA156+Sheet1!BN156+P158+'Calculations II'!BC158+Calculation!AS158+Calculation!DJ158</f>
        <v>73.664873920872111</v>
      </c>
      <c r="AG158" s="94">
        <f ca="1">IF(B158=TODAY(),0,Sheet1!AA156+Sheet1!BN156+'Calculations II'!BC158+'Calculations II'!P158-Sheet1!CT156-BP158)</f>
        <v>44.157507082616902</v>
      </c>
      <c r="AH158" s="94">
        <f ca="1">IF(B158=TODAY(),0,Sheet1!AA156+Sheet1!BN156+'Calculations II'!BC158+'Calculations II'!P158-BP158)</f>
        <v>60.258507082616902</v>
      </c>
      <c r="AI158" s="94">
        <f ca="1">IF(B158=TODAY(),0,BC158+Sheet1!AA156+Calculation!ES158+O158+W158+Sheet1!BN156+Calculation!AS158+Calculation!DJ158-BP158)</f>
        <v>73.664873920872111</v>
      </c>
      <c r="AJ158" s="94"/>
      <c r="AM158" s="90">
        <f t="shared" si="42"/>
        <v>42882</v>
      </c>
      <c r="AN158" s="94">
        <f>Sheet1!BU156</f>
        <v>27.9</v>
      </c>
      <c r="AO158" s="94">
        <f>Sheet1!AA156</f>
        <v>30.97</v>
      </c>
      <c r="AP158" s="94">
        <f t="shared" si="31"/>
        <v>0</v>
      </c>
      <c r="AQ158" s="1087">
        <f>((Sheet1!BV156-(Sheet1!BU156-AP158))/(Sheet1!BU156-AP158))</f>
        <v>0.18279569892473124</v>
      </c>
      <c r="AR158" s="94">
        <f t="shared" si="32"/>
        <v>30.97</v>
      </c>
      <c r="AS158" s="94">
        <f t="shared" si="33"/>
        <v>27.9</v>
      </c>
      <c r="AT158" s="89">
        <f>Sheet1!BB156</f>
        <v>0</v>
      </c>
      <c r="AU158" s="89">
        <f>Sheet1!AS156*GPMtoMGD</f>
        <v>3.4704000000000006E-2</v>
      </c>
      <c r="AV158" s="94">
        <f>Sheet1!AT156</f>
        <v>0</v>
      </c>
      <c r="AW158" s="89">
        <f>Sheet1!AV156*GPMtoMGD</f>
        <v>1.11168</v>
      </c>
      <c r="AX158" s="89">
        <f>Sheet1!AW156*GPMtoMGD</f>
        <v>1.6476480000000002</v>
      </c>
      <c r="AY158" s="89">
        <f>Sheet1!AX156*GPMtoMGD</f>
        <v>0</v>
      </c>
      <c r="AZ158" s="89">
        <f>Sheet1!AY156*GPMtoMGD</f>
        <v>0</v>
      </c>
      <c r="BA158" s="89">
        <f>Sheet1!AZ156*GPMtoMGD</f>
        <v>0</v>
      </c>
      <c r="BB158" s="89">
        <f>Sheet1!BP156*GPMtoMGD</f>
        <v>2.7360000000000002E-3</v>
      </c>
      <c r="BC158" s="89">
        <f>Sheet1!CS156*GPMtoMGD</f>
        <v>5.070672000000001</v>
      </c>
      <c r="BD158" s="89">
        <f>Sheet1!BO156*GPMtoMGD</f>
        <v>2.48184</v>
      </c>
      <c r="BE158" s="89">
        <f>Sheet1!BW156*GPMtoMGD</f>
        <v>1.4568480000000001</v>
      </c>
      <c r="BF158" s="89">
        <f>Sheet1!CN156*GPMtoMGD</f>
        <v>2.9396160000000005</v>
      </c>
      <c r="BG158" s="89">
        <f>Sheet1!CO156*GPMtoMGD</f>
        <v>1.1995200000000001</v>
      </c>
      <c r="BH158" s="89">
        <f>Sheet1!CP156*GPMtoMGD</f>
        <v>0.78782400000000008</v>
      </c>
      <c r="BI158" s="89">
        <f t="shared" si="43"/>
        <v>2.4845760000000001</v>
      </c>
      <c r="BK158" s="94">
        <f>SUM(AT158:BA158,AS158,BC158,Calculation!AQ158)</f>
        <v>59.258337161744791</v>
      </c>
      <c r="BM158" s="358">
        <f>0</f>
        <v>0</v>
      </c>
      <c r="BN158" s="358">
        <f>0</f>
        <v>0</v>
      </c>
      <c r="BP158" s="94">
        <f>SUM(BM158:BN158,W158,Sheet1!DX156)</f>
        <v>0</v>
      </c>
      <c r="BR158" s="94">
        <f>Sheet1!AA156</f>
        <v>30.97</v>
      </c>
      <c r="BS158" s="94">
        <f>Sheet1!AB156</f>
        <v>36.9</v>
      </c>
      <c r="BT158" s="94">
        <f t="shared" ca="1" si="34"/>
        <v>0.71783508261690343</v>
      </c>
      <c r="BU158" s="94">
        <f>Sheet1!AT156</f>
        <v>0</v>
      </c>
      <c r="BV158" s="89">
        <f>Sheet1!BB156</f>
        <v>0</v>
      </c>
      <c r="BW158" s="94">
        <f>Calculation!ED158</f>
        <v>13.406366838255215</v>
      </c>
      <c r="BX158" s="94">
        <f>(Sheet1!CS156*1440)/1000000</f>
        <v>5.0706720000000001</v>
      </c>
      <c r="CA158" s="94">
        <f ca="1">Sheet1!AC156-Sheet1!BK156-Sheet1!BL156-Sheet1!BM156-Sheet1!BC156-Sheet1!BD156-Sheet1!BE156-Sheet1!BF156-Sheet1!BG156-Sheet1!BH156-Sheet1!BI156+BC158+P158</f>
        <v>60.248507082616904</v>
      </c>
      <c r="CB158" s="93">
        <f t="shared" si="35"/>
        <v>84.255240501219177</v>
      </c>
      <c r="CC158" s="94">
        <f t="shared" si="36"/>
        <v>0</v>
      </c>
      <c r="CD158" s="94">
        <f t="shared" ca="1" si="37"/>
        <v>73.65487392087212</v>
      </c>
      <c r="CE158" s="1077">
        <f t="shared" ca="1" si="38"/>
        <v>113.94408995558916</v>
      </c>
      <c r="CG158" s="1077">
        <f t="shared" ca="1" si="39"/>
        <v>60.248507082616904</v>
      </c>
    </row>
    <row r="159" spans="1:85" s="89" customFormat="1" x14ac:dyDescent="0.25">
      <c r="A159" s="616" t="s">
        <v>3</v>
      </c>
      <c r="B159" s="91">
        <v>42883</v>
      </c>
      <c r="C159" s="92">
        <v>0</v>
      </c>
      <c r="D159" s="94">
        <f>(Sheet1!BQ157-Sheet1!BQ156)*1.385</f>
        <v>0</v>
      </c>
      <c r="E159" s="30">
        <f>(Sheet1!BR157-Sheet1!BR156)*1.385</f>
        <v>0</v>
      </c>
      <c r="F159" s="30">
        <f ca="1">IF(B159=TODAY(),0,-(VLOOKUP(Sheet1!CD157,Lookup!$I$4:$J$216,2)-VLOOKUP(Sheet1!CD156,Lookup!$I$4:$J$216,2))/1000000)</f>
        <v>1.0363693854780012</v>
      </c>
      <c r="G159" s="94">
        <f ca="1">IF(B159=TODAY(),0,-$G$6*(Sheet1!CF157-Sheet1!CF156)*7.48/1000000)</f>
        <v>-0.59570251578838951</v>
      </c>
      <c r="H159" s="94">
        <f ca="1">IF(B159=TODAY(),0,-$H$6*(Sheet1!CE157-Sheet1!CE156)*7.48/1000000)</f>
        <v>0</v>
      </c>
      <c r="I159" s="94">
        <f ca="1">IF(B159=TODAY(),0,-$I$6*(Sheet1!CG157-Sheet1!CG156)*7.48/1000000)</f>
        <v>0</v>
      </c>
      <c r="J159" s="95" t="s">
        <v>177</v>
      </c>
      <c r="K159" s="94">
        <f ca="1">IF(B159=TODAY(),0,-$K$6*(Sheet1!CH157-Sheet1!CH156)*7.48/1000000)</f>
        <v>0</v>
      </c>
      <c r="L159" s="95" t="s">
        <v>177</v>
      </c>
      <c r="M159" s="94">
        <f ca="1">IF(B159=TODAY(),0,-$M$6*(Sheet1!CI157-Sheet1!CI156)*7.48/1000000)</f>
        <v>1.7991508428027301E-2</v>
      </c>
      <c r="N159" s="94">
        <f ca="1">IF(B159=TODAY(),0,-$N$6*(Sheet1!CJ157-Sheet1!CJ156)*7.48/1000000)</f>
        <v>0.4343664177623669</v>
      </c>
      <c r="O159" s="94">
        <f t="shared" ca="1" si="40"/>
        <v>0.89302479588000594</v>
      </c>
      <c r="P159" s="94">
        <f ca="1">O159+Calculation!ES159</f>
        <v>0.89302479588000594</v>
      </c>
      <c r="Q159" s="89" t="str">
        <f>IF(Sheet1!BQ157&gt;25.75,"spill elevation","-")</f>
        <v>-</v>
      </c>
      <c r="R159" s="89" t="str">
        <f>IF(Sheet1!BQ157&gt;25.75,"spill elevation","-")</f>
        <v>-</v>
      </c>
      <c r="S159" s="89" t="str">
        <f>IF(Sheet1!BR157&gt;25.75,"spill elevation","-")</f>
        <v>-</v>
      </c>
      <c r="T159" s="93">
        <f>IF(Sheet1!DU157=1,Sheet1!AA157-(SUM(AT159:BA159)+BE159),Sheet1!AA157-SUM(AT159:BA159))</f>
        <v>27.479984000000002</v>
      </c>
      <c r="U159" s="93">
        <f>Sheet1!BV157</f>
        <v>33</v>
      </c>
      <c r="V159" s="93">
        <f t="shared" si="41"/>
        <v>-5.5200159999999983</v>
      </c>
      <c r="W159" s="93">
        <f>0</f>
        <v>0</v>
      </c>
      <c r="X159" s="89">
        <f>0</f>
        <v>0</v>
      </c>
      <c r="Y159" s="94">
        <f ca="1">Calculation!EJ160+Calculation!ES159+'Calculations II'!O159-'Calculations II'!W159</f>
        <v>60.096947598447088</v>
      </c>
      <c r="Z159" s="94">
        <f ca="1">Y159-Sheet1!CT158</f>
        <v>44.272947598447089</v>
      </c>
      <c r="AA159" s="94">
        <f ca="1">Y159+Calculation!DJ160+Calculation!AS160</f>
        <v>74.001765412212265</v>
      </c>
      <c r="AC159" s="94">
        <f>Sheet1!AA157+Sheet1!AB157+BC159</f>
        <v>72.982528000000002</v>
      </c>
      <c r="AD159" s="94">
        <f>Sheet1!AA157+Sheet1!BN157+'Calculations II'!BC159-Calculation!AS159-Calculation!DJ159</f>
        <v>45.100280627324182</v>
      </c>
      <c r="AE159" s="94">
        <f>Sheet1!AA157+Sheet1!AB157+'Calculations II'!BC159-Calculation!AS159-Calculation!DJ159</f>
        <v>59.010280627324178</v>
      </c>
      <c r="AF159" s="94">
        <f ca="1">Sheet1!AA157+Sheet1!BN157+P159+'Calculations II'!BC159+Calculation!AS159+Calculation!DJ159</f>
        <v>73.937800168555839</v>
      </c>
      <c r="AG159" s="94">
        <f ca="1">IF(B159=TODAY(),0,Sheet1!AA157+Sheet1!BN157+'Calculations II'!BC159+'Calculations II'!P159-Sheet1!CT157-BP159)</f>
        <v>44.201552795880019</v>
      </c>
      <c r="AH159" s="94">
        <f ca="1">IF(B159=TODAY(),0,Sheet1!AA157+Sheet1!BN157+'Calculations II'!BC159+'Calculations II'!P159-BP159)</f>
        <v>59.965552795880015</v>
      </c>
      <c r="AI159" s="94">
        <f ca="1">IF(B159=TODAY(),0,BC159+Sheet1!AA157+Calculation!ES159+O159+W159+Sheet1!BN157+Calculation!AS159+Calculation!DJ159-BP159)</f>
        <v>73.937800168555839</v>
      </c>
      <c r="AJ159" s="94"/>
      <c r="AM159" s="90">
        <f t="shared" si="42"/>
        <v>42883</v>
      </c>
      <c r="AN159" s="94">
        <f>Sheet1!BU157</f>
        <v>27.7</v>
      </c>
      <c r="AO159" s="94">
        <f>Sheet1!AA157</f>
        <v>30.92</v>
      </c>
      <c r="AP159" s="94">
        <f t="shared" si="31"/>
        <v>0</v>
      </c>
      <c r="AQ159" s="1087">
        <f>((Sheet1!BV157-(Sheet1!BU157-AP159))/(Sheet1!BU157-AP159))</f>
        <v>0.19133574007220219</v>
      </c>
      <c r="AR159" s="94">
        <f t="shared" si="32"/>
        <v>30.92</v>
      </c>
      <c r="AS159" s="94">
        <f t="shared" si="33"/>
        <v>27.7</v>
      </c>
      <c r="AT159" s="89">
        <f>Sheet1!BB157</f>
        <v>0</v>
      </c>
      <c r="AU159" s="89">
        <f>Sheet1!AS157*GPMtoMGD</f>
        <v>2.52E-2</v>
      </c>
      <c r="AV159" s="94">
        <f>Sheet1!AT157</f>
        <v>0</v>
      </c>
      <c r="AW159" s="89">
        <f>Sheet1!AV157*GPMtoMGD</f>
        <v>1.6632</v>
      </c>
      <c r="AX159" s="89">
        <f>Sheet1!AW157*GPMtoMGD</f>
        <v>1.7516160000000003</v>
      </c>
      <c r="AY159" s="89">
        <f>Sheet1!AX157*GPMtoMGD</f>
        <v>0</v>
      </c>
      <c r="AZ159" s="89">
        <f>Sheet1!AY157*GPMtoMGD</f>
        <v>0</v>
      </c>
      <c r="BA159" s="89">
        <f>Sheet1!AZ157*GPMtoMGD</f>
        <v>0</v>
      </c>
      <c r="BB159" s="89">
        <f>Sheet1!BP157*GPMtoMGD</f>
        <v>2.7360000000000002E-3</v>
      </c>
      <c r="BC159" s="89">
        <f>Sheet1!CS157*GPMtoMGD</f>
        <v>5.0525279999999997</v>
      </c>
      <c r="BD159" s="89">
        <f>Sheet1!BO157*GPMtoMGD</f>
        <v>2.8262880000000004</v>
      </c>
      <c r="BE159" s="89">
        <f>Sheet1!BW157*GPMtoMGD</f>
        <v>1.444896</v>
      </c>
      <c r="BF159" s="89">
        <f>Sheet1!CN157*GPMtoMGD</f>
        <v>2.9410560000000001</v>
      </c>
      <c r="BG159" s="89">
        <f>Sheet1!CO157*GPMtoMGD</f>
        <v>1.280592</v>
      </c>
      <c r="BH159" s="89">
        <f>Sheet1!CP157*GPMtoMGD</f>
        <v>0.78163199999999999</v>
      </c>
      <c r="BI159" s="89">
        <f t="shared" si="43"/>
        <v>2.8290240000000004</v>
      </c>
      <c r="BK159" s="94">
        <f>SUM(AT159:BA159,AS159,BC159,Calculation!AQ159)</f>
        <v>59.230296627324165</v>
      </c>
      <c r="BM159" s="358">
        <f>0</f>
        <v>0</v>
      </c>
      <c r="BN159" s="358">
        <f>0</f>
        <v>0</v>
      </c>
      <c r="BP159" s="94">
        <f>SUM(BM159:BN159,W159,Sheet1!DX157)</f>
        <v>0</v>
      </c>
      <c r="BR159" s="94">
        <f>Sheet1!AA157</f>
        <v>30.92</v>
      </c>
      <c r="BS159" s="94">
        <f>Sheet1!AB157</f>
        <v>37.01</v>
      </c>
      <c r="BT159" s="94">
        <f t="shared" ca="1" si="34"/>
        <v>0.89302479588000594</v>
      </c>
      <c r="BU159" s="94">
        <f>Sheet1!AT157</f>
        <v>0</v>
      </c>
      <c r="BV159" s="89">
        <f>Sheet1!BB157</f>
        <v>0</v>
      </c>
      <c r="BW159" s="94">
        <f>Calculation!ED159</f>
        <v>13.972247372675827</v>
      </c>
      <c r="BX159" s="94">
        <f>(Sheet1!CS157*1440)/1000000</f>
        <v>5.0525279999999997</v>
      </c>
      <c r="CA159" s="94">
        <f ca="1">Sheet1!AC157-Sheet1!BK157-Sheet1!BL157-Sheet1!BM157-Sheet1!BC157-Sheet1!BD157-Sheet1!BE157-Sheet1!BF157-Sheet1!BG157-Sheet1!BH157-Sheet1!BI157+BC159+P159</f>
        <v>59.865552795880021</v>
      </c>
      <c r="CB159" s="93">
        <f t="shared" si="35"/>
        <v>83.472643314470503</v>
      </c>
      <c r="CC159" s="94">
        <f t="shared" si="36"/>
        <v>0</v>
      </c>
      <c r="CD159" s="94">
        <f t="shared" ca="1" si="37"/>
        <v>73.837800168555844</v>
      </c>
      <c r="CE159" s="1077">
        <f t="shared" ca="1" si="38"/>
        <v>114.22707686075589</v>
      </c>
      <c r="CG159" s="1077">
        <f t="shared" ca="1" si="39"/>
        <v>59.865552795880021</v>
      </c>
    </row>
    <row r="160" spans="1:85" s="89" customFormat="1" x14ac:dyDescent="0.25">
      <c r="A160" s="616" t="s">
        <v>4</v>
      </c>
      <c r="B160" s="91">
        <v>42884</v>
      </c>
      <c r="C160" s="92">
        <v>0</v>
      </c>
      <c r="D160" s="94">
        <f>(Sheet1!BQ158-Sheet1!BQ157)*1.385</f>
        <v>-0.41549999999999604</v>
      </c>
      <c r="E160" s="30">
        <f>(Sheet1!BR158-Sheet1!BR157)*1.385</f>
        <v>-0.41550000000000098</v>
      </c>
      <c r="F160" s="30">
        <f ca="1">IF(B160=TODAY(),0,-(VLOOKUP(Sheet1!CD158,Lookup!$I$4:$J$216,2)-VLOOKUP(Sheet1!CD157,Lookup!$I$4:$J$216,2))/1000000)</f>
        <v>0.41454775419119744</v>
      </c>
      <c r="G160" s="94">
        <f ca="1">IF(B160=TODAY(),0,-$G$6*(Sheet1!CF158-Sheet1!CF157)*7.48/1000000)</f>
        <v>-0.11914050315767817</v>
      </c>
      <c r="H160" s="94">
        <f ca="1">IF(B160=TODAY(),0,-$H$6*(Sheet1!CE158-Sheet1!CE157)*7.48/1000000)</f>
        <v>0</v>
      </c>
      <c r="I160" s="94">
        <f ca="1">IF(B160=TODAY(),0,-$I$6*(Sheet1!CG158-Sheet1!CG157)*7.48/1000000)</f>
        <v>-2.6954927999999989E-2</v>
      </c>
      <c r="J160" s="95" t="s">
        <v>177</v>
      </c>
      <c r="K160" s="94">
        <f ca="1">IF(B160=TODAY(),0,-$K$6*(Sheet1!CH158-Sheet1!CH157)*7.48/1000000)</f>
        <v>-5.3306562995667467E-2</v>
      </c>
      <c r="L160" s="95" t="s">
        <v>177</v>
      </c>
      <c r="M160" s="94">
        <f ca="1">IF(B160=TODAY(),0,-$M$6*(Sheet1!CI158-Sheet1!CI157)*7.48/1000000)</f>
        <v>-5.3974525284081275E-2</v>
      </c>
      <c r="N160" s="94">
        <f ca="1">IF(B160=TODAY(),0,-$N$6*(Sheet1!CJ158-Sheet1!CJ157)*7.48/1000000)</f>
        <v>0.24820938157849581</v>
      </c>
      <c r="O160" s="94">
        <f t="shared" ca="1" si="40"/>
        <v>0.40938061633226636</v>
      </c>
      <c r="P160" s="94">
        <f ca="1">O160+Calculation!ES160</f>
        <v>1.2402315977306737</v>
      </c>
      <c r="Q160" s="89" t="str">
        <f>IF(Sheet1!BQ158&gt;25.75,"spill elevation","-")</f>
        <v>-</v>
      </c>
      <c r="R160" s="89" t="str">
        <f>IF(Sheet1!BQ158&gt;25.75,"spill elevation","-")</f>
        <v>-</v>
      </c>
      <c r="S160" s="89" t="str">
        <f>IF(Sheet1!BR158&gt;25.75,"spill elevation","-")</f>
        <v>-</v>
      </c>
      <c r="T160" s="93">
        <f>IF(Sheet1!DU158=1,Sheet1!AA158-(SUM(AT160:BA160)+BE160),Sheet1!AA158-SUM(AT160:BA160))</f>
        <v>28.484159999999999</v>
      </c>
      <c r="U160" s="93">
        <f>Sheet1!BV158</f>
        <v>34.5</v>
      </c>
      <c r="V160" s="93">
        <f t="shared" si="41"/>
        <v>-6.0158400000000007</v>
      </c>
      <c r="W160" s="93">
        <f>0</f>
        <v>0</v>
      </c>
      <c r="X160" s="89">
        <f>0</f>
        <v>0</v>
      </c>
      <c r="Y160" s="94">
        <f ca="1">Calculation!EJ161+Calculation!ES160+'Calculations II'!O160-'Calculations II'!W160</f>
        <v>59.63555131962223</v>
      </c>
      <c r="Z160" s="94">
        <f ca="1">Y160-Sheet1!CT159</f>
        <v>43.772551319622231</v>
      </c>
      <c r="AA160" s="94">
        <f ca="1">Y160+Calculation!DJ161+Calculation!AS161</f>
        <v>73.305478326921502</v>
      </c>
      <c r="AC160" s="94">
        <f>Sheet1!AA158+Sheet1!AB158+BC160</f>
        <v>72.983519999999999</v>
      </c>
      <c r="AD160" s="94">
        <f>Sheet1!AA158+Sheet1!BN158+'Calculations II'!BC160-Calculation!AS160-Calculation!DJ160</f>
        <v>45.248702186234823</v>
      </c>
      <c r="AE160" s="94">
        <f>Sheet1!AA158+Sheet1!AB158+'Calculations II'!BC160-Calculation!AS160-Calculation!DJ160</f>
        <v>59.078702186234814</v>
      </c>
      <c r="AF160" s="94">
        <f ca="1">Sheet1!AA158+Sheet1!BN158+P160+'Calculations II'!BC160+Calculation!AS160+Calculation!DJ160</f>
        <v>74.298569411495862</v>
      </c>
      <c r="AG160" s="94">
        <f ca="1">IF(B160=TODAY(),0,Sheet1!AA158+Sheet1!BN158+'Calculations II'!BC160+'Calculations II'!P160-Sheet1!CT158-BP160)</f>
        <v>44.569751597730686</v>
      </c>
      <c r="AH160" s="94">
        <f ca="1">IF(B160=TODAY(),0,Sheet1!AA158+Sheet1!BN158+'Calculations II'!BC160+'Calculations II'!P160-BP160)</f>
        <v>60.393751597730684</v>
      </c>
      <c r="AI160" s="94">
        <f ca="1">IF(B160=TODAY(),0,BC160+Sheet1!AA158+Calculation!ES160+O160+W160+Sheet1!BN158+Calculation!AS160+Calculation!DJ160-BP160)</f>
        <v>74.298569411495848</v>
      </c>
      <c r="AJ160" s="94"/>
      <c r="AM160" s="90">
        <f t="shared" si="42"/>
        <v>42884</v>
      </c>
      <c r="AN160" s="94">
        <f>Sheet1!BU158</f>
        <v>28.2</v>
      </c>
      <c r="AO160" s="94">
        <f>Sheet1!AA158</f>
        <v>31.02</v>
      </c>
      <c r="AP160" s="94">
        <f t="shared" si="31"/>
        <v>-0.83099999999999707</v>
      </c>
      <c r="AQ160" s="1087">
        <f>((Sheet1!BV158-(Sheet1!BU158-AP160))/(Sheet1!BU158-AP160))</f>
        <v>0.18838483000930059</v>
      </c>
      <c r="AR160" s="94">
        <f t="shared" si="32"/>
        <v>31.850999999999996</v>
      </c>
      <c r="AS160" s="94">
        <f t="shared" si="33"/>
        <v>29.030999999999995</v>
      </c>
      <c r="AT160" s="89">
        <f>Sheet1!BB158</f>
        <v>0</v>
      </c>
      <c r="AU160" s="89">
        <f>Sheet1!AS158*GPMtoMGD</f>
        <v>3.4992000000000002E-2</v>
      </c>
      <c r="AV160" s="94">
        <f>Sheet1!AT158</f>
        <v>0</v>
      </c>
      <c r="AW160" s="89">
        <f>Sheet1!AV158*GPMtoMGD</f>
        <v>0.94276800000000016</v>
      </c>
      <c r="AX160" s="89">
        <f>Sheet1!AW158*GPMtoMGD</f>
        <v>1.5580800000000001</v>
      </c>
      <c r="AY160" s="89">
        <f>Sheet1!AX158*GPMtoMGD</f>
        <v>0</v>
      </c>
      <c r="AZ160" s="89">
        <f>Sheet1!AY158*GPMtoMGD</f>
        <v>0</v>
      </c>
      <c r="BA160" s="89">
        <f>Sheet1!AZ158*GPMtoMGD</f>
        <v>0</v>
      </c>
      <c r="BB160" s="89">
        <f>Sheet1!BP158*GPMtoMGD</f>
        <v>2.8800000000000002E-3</v>
      </c>
      <c r="BC160" s="89">
        <f>Sheet1!CS158*GPMtoMGD</f>
        <v>5.0335200000000002</v>
      </c>
      <c r="BD160" s="89">
        <f>Sheet1!BO158*GPMtoMGD</f>
        <v>3.0060000000000002</v>
      </c>
      <c r="BE160" s="89">
        <f>Sheet1!BW158*GPMtoMGD</f>
        <v>1.5114239999999999</v>
      </c>
      <c r="BF160" s="89">
        <f>Sheet1!CN158*GPMtoMGD</f>
        <v>2.9669760000000003</v>
      </c>
      <c r="BG160" s="89">
        <f>Sheet1!CO158*GPMtoMGD</f>
        <v>1.3416480000000002</v>
      </c>
      <c r="BH160" s="89">
        <f>Sheet1!CP158*GPMtoMGD</f>
        <v>0.82123199999999996</v>
      </c>
      <c r="BI160" s="89">
        <f t="shared" si="43"/>
        <v>3.0088800000000004</v>
      </c>
      <c r="BK160" s="94">
        <f>SUM(AT160:BA160,AS160,BC160,Calculation!AQ160)</f>
        <v>59.625542186234817</v>
      </c>
      <c r="BM160" s="358">
        <f>0</f>
        <v>0</v>
      </c>
      <c r="BN160" s="358">
        <f>0</f>
        <v>0</v>
      </c>
      <c r="BP160" s="94">
        <f>SUM(BM160:BN160,W160,Sheet1!DX158)</f>
        <v>0</v>
      </c>
      <c r="BR160" s="94">
        <f>Sheet1!AA158</f>
        <v>31.02</v>
      </c>
      <c r="BS160" s="94">
        <f>Sheet1!AB158</f>
        <v>36.93</v>
      </c>
      <c r="BT160" s="94">
        <f t="shared" ca="1" si="34"/>
        <v>1.2402315977306737</v>
      </c>
      <c r="BU160" s="94">
        <f>Sheet1!AT158</f>
        <v>0</v>
      </c>
      <c r="BV160" s="89">
        <f>Sheet1!BB158</f>
        <v>0</v>
      </c>
      <c r="BW160" s="94">
        <f>Calculation!ED160</f>
        <v>13.904817813765185</v>
      </c>
      <c r="BX160" s="94">
        <f>(Sheet1!CS158*1440)/1000000</f>
        <v>5.0335200000000002</v>
      </c>
      <c r="CA160" s="94">
        <f ca="1">Sheet1!AC158-Sheet1!BK158-Sheet1!BL158-Sheet1!BM158-Sheet1!BC158-Sheet1!BD158-Sheet1!BE158-Sheet1!BF158-Sheet1!BG158-Sheet1!BH158-Sheet1!BI158+BC160+P160</f>
        <v>60.273751597730687</v>
      </c>
      <c r="CB160" s="93">
        <f t="shared" si="35"/>
        <v>83.607896842105262</v>
      </c>
      <c r="CC160" s="94">
        <f t="shared" si="36"/>
        <v>0</v>
      </c>
      <c r="CD160" s="94">
        <f t="shared" ca="1" si="37"/>
        <v>74.178569411495872</v>
      </c>
      <c r="CE160" s="1077">
        <f t="shared" ca="1" si="38"/>
        <v>114.7542468795841</v>
      </c>
      <c r="CG160" s="1077">
        <f t="shared" ca="1" si="39"/>
        <v>60.273751597730687</v>
      </c>
    </row>
    <row r="161" spans="1:85" s="89" customFormat="1" x14ac:dyDescent="0.25">
      <c r="A161" s="616" t="s">
        <v>5</v>
      </c>
      <c r="B161" s="91">
        <v>42885</v>
      </c>
      <c r="C161" s="92">
        <v>0</v>
      </c>
      <c r="D161" s="94">
        <f>(Sheet1!BQ159-Sheet1!BQ158)*1.385</f>
        <v>1.9389999999999981</v>
      </c>
      <c r="E161" s="30">
        <f>(Sheet1!BR159-Sheet1!BR158)*1.385</f>
        <v>1.9389999999999981</v>
      </c>
      <c r="F161" s="30">
        <f ca="1">IF(B161=TODAY(),0,-(VLOOKUP(Sheet1!CD159,Lookup!$I$4:$J$216,2)-VLOOKUP(Sheet1!CD158,Lookup!$I$4:$J$216,2))/1000000)</f>
        <v>0.41454775419120304</v>
      </c>
      <c r="G161" s="94">
        <f ca="1">IF(B161=TODAY(),0,-$G$6*(Sheet1!CF159-Sheet1!CF158)*7.48/1000000)</f>
        <v>0.51627551368327118</v>
      </c>
      <c r="H161" s="94">
        <f ca="1">IF(B161=TODAY(),0,-$H$6*(Sheet1!CE159-Sheet1!CE158)*7.48/1000000)</f>
        <v>-3.0078864702530548E-2</v>
      </c>
      <c r="I161" s="94">
        <f ca="1">IF(B161=TODAY(),0,-$I$6*(Sheet1!CG159-Sheet1!CG158)*7.48/1000000)</f>
        <v>-4.4924880000000007E-2</v>
      </c>
      <c r="J161" s="95" t="s">
        <v>177</v>
      </c>
      <c r="K161" s="94">
        <f ca="1">IF(B161=TODAY(),0,-$K$6*(Sheet1!CH159-Sheet1!CH158)*7.48/1000000)</f>
        <v>-6.6633203744584424E-2</v>
      </c>
      <c r="L161" s="95" t="s">
        <v>177</v>
      </c>
      <c r="M161" s="94">
        <f ca="1">IF(B161=TODAY(),0,-$M$6*(Sheet1!CI159-Sheet1!CI158)*7.48/1000000)</f>
        <v>-0.26987262642040577</v>
      </c>
      <c r="N161" s="94">
        <f ca="1">IF(B161=TODAY(),0,-$N$6*(Sheet1!CJ159-Sheet1!CJ158)*7.48/1000000)</f>
        <v>0.18615703618387214</v>
      </c>
      <c r="O161" s="94">
        <f t="shared" ca="1" si="40"/>
        <v>0.70547072919082554</v>
      </c>
      <c r="P161" s="94">
        <f ca="1">O161+Calculation!ES161</f>
        <v>-3.1728207839657636</v>
      </c>
      <c r="Q161" s="89" t="str">
        <f>IF(Sheet1!BQ159&gt;25.75,"spill elevation","-")</f>
        <v>-</v>
      </c>
      <c r="R161" s="89" t="str">
        <f>IF(Sheet1!BQ159&gt;25.75,"spill elevation","-")</f>
        <v>-</v>
      </c>
      <c r="S161" s="89" t="str">
        <f>IF(Sheet1!BR159&gt;25.75,"spill elevation","-")</f>
        <v>-</v>
      </c>
      <c r="T161" s="93">
        <f>IF(Sheet1!DU159=1,Sheet1!AA159-(SUM(AT161:BA161)+BE161),Sheet1!AA159-SUM(AT161:BA161))</f>
        <v>28.619775999999998</v>
      </c>
      <c r="U161" s="93">
        <f>Sheet1!BV159</f>
        <v>29.5</v>
      </c>
      <c r="V161" s="93">
        <f t="shared" si="41"/>
        <v>-0.88022400000000189</v>
      </c>
      <c r="W161" s="93">
        <f>0</f>
        <v>0</v>
      </c>
      <c r="X161" s="89">
        <f>0</f>
        <v>0</v>
      </c>
      <c r="Y161" s="94">
        <f ca="1">Calculation!EJ162+Calculation!ES161+'Calculations II'!O161-'Calculations II'!W161</f>
        <v>51.957366834628807</v>
      </c>
      <c r="Z161" s="94">
        <f ca="1">Y161-Sheet1!CT160</f>
        <v>35.545366834628808</v>
      </c>
      <c r="AA161" s="94">
        <f ca="1">Y161+Calculation!DJ162+Calculation!AS162</f>
        <v>65.721486435957715</v>
      </c>
      <c r="AC161" s="94">
        <f>Sheet1!AA159+Sheet1!AB159+BC161</f>
        <v>71.479552000000012</v>
      </c>
      <c r="AD161" s="94">
        <f>Sheet1!AA159+Sheet1!BN159+'Calculations II'!BC161-Calculation!AS161-Calculation!DJ161</f>
        <v>44.219624992700723</v>
      </c>
      <c r="AE161" s="94">
        <f>Sheet1!AA159+Sheet1!AB159+'Calculations II'!BC161-Calculation!AS161-Calculation!DJ161</f>
        <v>57.809624992700741</v>
      </c>
      <c r="AF161" s="94">
        <f ca="1">Sheet1!AA159+Sheet1!BN159+P161+'Calculations II'!BC161+Calculation!AS161+Calculation!DJ161</f>
        <v>68.386658223333512</v>
      </c>
      <c r="AG161" s="94">
        <f ca="1">IF(B161=TODAY(),0,Sheet1!AA159+Sheet1!BN159+'Calculations II'!BC161+'Calculations II'!P161-Sheet1!CT159-BP161)</f>
        <v>38.853731216034234</v>
      </c>
      <c r="AH161" s="94">
        <f ca="1">IF(B161=TODAY(),0,Sheet1!AA159+Sheet1!BN159+'Calculations II'!BC161+'Calculations II'!P161-BP161)</f>
        <v>54.716731216034233</v>
      </c>
      <c r="AI161" s="94">
        <f ca="1">IF(B161=TODAY(),0,BC161+Sheet1!AA159+Calculation!ES161+O161+W161+Sheet1!BN159+Calculation!AS161+Calculation!DJ161-BP161)</f>
        <v>68.386658223333512</v>
      </c>
      <c r="AJ161" s="94"/>
      <c r="AM161" s="90">
        <f t="shared" si="42"/>
        <v>42885</v>
      </c>
      <c r="AN161" s="94">
        <f>Sheet1!BU159</f>
        <v>28.5</v>
      </c>
      <c r="AO161" s="94">
        <f>Sheet1!AA159</f>
        <v>30.97</v>
      </c>
      <c r="AP161" s="94">
        <f t="shared" si="31"/>
        <v>3.8779999999999961</v>
      </c>
      <c r="AQ161" s="1087">
        <f>((Sheet1!BV159-(Sheet1!BU159-AP161))/(Sheet1!BU159-AP161))</f>
        <v>0.19811550645763934</v>
      </c>
      <c r="AR161" s="94">
        <f t="shared" si="32"/>
        <v>27.092000000000002</v>
      </c>
      <c r="AS161" s="94">
        <f t="shared" si="33"/>
        <v>24.622000000000003</v>
      </c>
      <c r="AT161" s="89">
        <f>Sheet1!BB159</f>
        <v>0</v>
      </c>
      <c r="AU161" s="89">
        <f>Sheet1!AS159*GPMtoMGD</f>
        <v>2.5776E-2</v>
      </c>
      <c r="AV161" s="94">
        <f>Sheet1!AT159</f>
        <v>0</v>
      </c>
      <c r="AW161" s="89">
        <f>Sheet1!AV159*GPMtoMGD</f>
        <v>0.99864000000000008</v>
      </c>
      <c r="AX161" s="89">
        <f>Sheet1!AW159*GPMtoMGD</f>
        <v>1.3258080000000001</v>
      </c>
      <c r="AY161" s="89">
        <f>Sheet1!AX159*GPMtoMGD</f>
        <v>0</v>
      </c>
      <c r="AZ161" s="89">
        <f>Sheet1!AY159*GPMtoMGD</f>
        <v>0</v>
      </c>
      <c r="BA161" s="89">
        <f>Sheet1!AZ159*GPMtoMGD</f>
        <v>0</v>
      </c>
      <c r="BB161" s="89">
        <f>Sheet1!BP159*GPMtoMGD</f>
        <v>1.7568E-2</v>
      </c>
      <c r="BC161" s="89">
        <f>Sheet1!CS159*GPMtoMGD</f>
        <v>5.0195520000000009</v>
      </c>
      <c r="BD161" s="89">
        <f>Sheet1!BO159*GPMtoMGD</f>
        <v>2.5490880000000002</v>
      </c>
      <c r="BE161" s="89">
        <f>Sheet1!BW159*GPMtoMGD</f>
        <v>1.1789280000000002</v>
      </c>
      <c r="BF161" s="89">
        <f>Sheet1!CN159*GPMtoMGD</f>
        <v>2.218032</v>
      </c>
      <c r="BG161" s="89">
        <f>Sheet1!CO159*GPMtoMGD</f>
        <v>1.0611360000000001</v>
      </c>
      <c r="BH161" s="89">
        <f>Sheet1!CP159*GPMtoMGD</f>
        <v>0.81201600000000007</v>
      </c>
      <c r="BI161" s="89">
        <f t="shared" si="43"/>
        <v>2.566656</v>
      </c>
      <c r="BK161" s="94">
        <f>SUM(AT161:BA161,AS161,BC161,Calculation!AQ161)</f>
        <v>53.811848992700732</v>
      </c>
      <c r="BM161" s="358">
        <f>0</f>
        <v>0</v>
      </c>
      <c r="BN161" s="358">
        <f>0</f>
        <v>0</v>
      </c>
      <c r="BP161" s="94">
        <f>SUM(BM161:BN161,W161,Sheet1!DX159)</f>
        <v>0</v>
      </c>
      <c r="BR161" s="94">
        <f>Sheet1!AA159</f>
        <v>30.97</v>
      </c>
      <c r="BS161" s="94">
        <f>Sheet1!AB159</f>
        <v>35.49</v>
      </c>
      <c r="BT161" s="94">
        <f t="shared" ca="1" si="34"/>
        <v>-3.1728207839657636</v>
      </c>
      <c r="BU161" s="94">
        <f>Sheet1!AT159</f>
        <v>0</v>
      </c>
      <c r="BV161" s="89">
        <f>Sheet1!BB159</f>
        <v>0</v>
      </c>
      <c r="BW161" s="94">
        <f>Calculation!ED161</f>
        <v>13.669927007299272</v>
      </c>
      <c r="BX161" s="94">
        <f>(Sheet1!CS159*1440)/1000000</f>
        <v>5.019552</v>
      </c>
      <c r="CA161" s="94">
        <f ca="1">Sheet1!AC159-Sheet1!BK159-Sheet1!BL159-Sheet1!BM159-Sheet1!BC159-Sheet1!BD159-Sheet1!BE159-Sheet1!BF159-Sheet1!BG159-Sheet1!BH159-Sheet1!BI159+BC161+P161</f>
        <v>54.586731216034252</v>
      </c>
      <c r="CB161" s="93">
        <f t="shared" si="35"/>
        <v>81.66624291970804</v>
      </c>
      <c r="CC161" s="94">
        <f t="shared" si="36"/>
        <v>0</v>
      </c>
      <c r="CD161" s="94">
        <f t="shared" ca="1" si="37"/>
        <v>68.256658223333517</v>
      </c>
      <c r="CE161" s="1077">
        <f t="shared" ca="1" si="38"/>
        <v>105.59305027149695</v>
      </c>
      <c r="CG161" s="1077">
        <f t="shared" ca="1" si="39"/>
        <v>54.586731216034252</v>
      </c>
    </row>
    <row r="162" spans="1:85" s="89" customFormat="1" x14ac:dyDescent="0.25">
      <c r="A162" s="616" t="s">
        <v>6</v>
      </c>
      <c r="B162" s="91">
        <v>42886</v>
      </c>
      <c r="C162" s="92">
        <v>0</v>
      </c>
      <c r="D162" s="94">
        <f>(Sheet1!BQ160-Sheet1!BQ159)*1.385</f>
        <v>-2.0775000000000001</v>
      </c>
      <c r="E162" s="30">
        <f>(Sheet1!BR160-Sheet1!BR159)*1.385</f>
        <v>-2.0775000000000001</v>
      </c>
      <c r="F162" s="30">
        <f ca="1">IF(B162=TODAY(),0,-(VLOOKUP(Sheet1!CD160,Lookup!$I$4:$J$216,2)-VLOOKUP(Sheet1!CD159,Lookup!$I$4:$J$216,2))/1000000)</f>
        <v>0</v>
      </c>
      <c r="G162" s="94">
        <f ca="1">IF(B162=TODAY(),0,-$G$6*(Sheet1!CF160-Sheet1!CF159)*7.48/1000000)</f>
        <v>-0.67512951789350772</v>
      </c>
      <c r="H162" s="94">
        <f ca="1">IF(B162=TODAY(),0,-$H$6*(Sheet1!CE160-Sheet1!CE159)*7.48/1000000)</f>
        <v>1.5039432351265274E-2</v>
      </c>
      <c r="I162" s="94">
        <f ca="1">IF(B162=TODAY(),0,-$I$6*(Sheet1!CG160-Sheet1!CG159)*7.48/1000000)</f>
        <v>4.9417367999999989E-2</v>
      </c>
      <c r="J162" s="95" t="s">
        <v>177</v>
      </c>
      <c r="K162" s="94">
        <f ca="1">IF(B162=TODAY(),0,-$K$6*(Sheet1!CH160-Sheet1!CH159)*7.48/1000000)</f>
        <v>8.6623164867959679E-2</v>
      </c>
      <c r="L162" s="95" t="s">
        <v>177</v>
      </c>
      <c r="M162" s="94">
        <f ca="1">IF(B162=TODAY(),0,-$M$6*(Sheet1!CI160-Sheet1!CI159)*7.48/1000000)</f>
        <v>0.25188111799237844</v>
      </c>
      <c r="N162" s="94">
        <f ca="1">IF(B162=TODAY(),0,-$N$6*(Sheet1!CJ160-Sheet1!CJ159)*7.48/1000000)</f>
        <v>-6.2052345394624786E-2</v>
      </c>
      <c r="O162" s="94">
        <f t="shared" ca="1" si="40"/>
        <v>-0.33422078007652911</v>
      </c>
      <c r="P162" s="94">
        <f ca="1">O162+Calculation!ES162</f>
        <v>3.8209954285377643</v>
      </c>
      <c r="Q162" s="89" t="str">
        <f>IF(Sheet1!BQ160&gt;25.75,"spill elevation","-")</f>
        <v>-</v>
      </c>
      <c r="R162" s="89" t="str">
        <f>IF(Sheet1!BQ160&gt;25.75,"spill elevation","-")</f>
        <v>-</v>
      </c>
      <c r="S162" s="89" t="str">
        <f>IF(Sheet1!BR160&gt;25.75,"spill elevation","-")</f>
        <v>-</v>
      </c>
      <c r="T162" s="93">
        <f>IF(Sheet1!DU160=1,Sheet1!AA160-(SUM(AT162:BA162)+BE162),Sheet1!AA160-SUM(AT162:BA162))</f>
        <v>27.633664</v>
      </c>
      <c r="U162" s="93">
        <f>Sheet1!BV160</f>
        <v>37.700000000000003</v>
      </c>
      <c r="V162" s="93">
        <f t="shared" si="41"/>
        <v>-10.066336000000003</v>
      </c>
      <c r="W162" s="93">
        <f>0</f>
        <v>0</v>
      </c>
      <c r="X162" s="89">
        <f>0</f>
        <v>0</v>
      </c>
      <c r="Y162" s="94">
        <f ca="1">Calculation!EJ163+Calculation!ES162+'Calculations II'!O162-'Calculations II'!W162</f>
        <v>60.776585135204236</v>
      </c>
      <c r="Z162" s="94">
        <f ca="1">Y162-Sheet1!CT161</f>
        <v>43.413585135204237</v>
      </c>
      <c r="AA162" s="94">
        <f ca="1">Y162+Calculation!DJ163+Calculation!AS163</f>
        <v>74.245201119609689</v>
      </c>
      <c r="AC162" s="94">
        <f>Sheet1!AA160+Sheet1!AB160+BC162</f>
        <v>68.962192000000002</v>
      </c>
      <c r="AD162" s="94">
        <f>Sheet1!AA160+Sheet1!BN160+'Calculations II'!BC162-Calculation!AS162-Calculation!DJ162</f>
        <v>41.498072398671098</v>
      </c>
      <c r="AE162" s="94">
        <f>Sheet1!AA160+Sheet1!AB160+'Calculations II'!BC162-Calculation!AS162-Calculation!DJ162</f>
        <v>55.198072398671101</v>
      </c>
      <c r="AF162" s="94">
        <f ca="1">Sheet1!AA160+Sheet1!BN160+P162+'Calculations II'!BC162+Calculation!AS162+Calculation!DJ162</f>
        <v>72.84730702986667</v>
      </c>
      <c r="AG162" s="94">
        <f ca="1">IF(B162=TODAY(),0,Sheet1!AA160+Sheet1!BN160+'Calculations II'!BC162+'Calculations II'!P162-Sheet1!CT160-BP162)</f>
        <v>42.671187428537763</v>
      </c>
      <c r="AH162" s="94">
        <f ca="1">IF(B162=TODAY(),0,Sheet1!AA160+Sheet1!BN160+'Calculations II'!BC162+'Calculations II'!P162-BP162)</f>
        <v>59.083187428537762</v>
      </c>
      <c r="AI162" s="94">
        <f ca="1">IF(B162=TODAY(),0,BC162+Sheet1!AA160+Calculation!ES162+O162+W162+Sheet1!BN160+Calculation!AS162+Calculation!DJ162-BP162)</f>
        <v>72.84730702986667</v>
      </c>
      <c r="AJ162" s="94"/>
      <c r="AM162" s="90">
        <f t="shared" si="42"/>
        <v>42886</v>
      </c>
      <c r="AN162" s="94">
        <f>Sheet1!BU160</f>
        <v>27.9</v>
      </c>
      <c r="AO162" s="94">
        <f>Sheet1!AA160</f>
        <v>30.97</v>
      </c>
      <c r="AP162" s="94">
        <f t="shared" si="31"/>
        <v>-4.1550000000000002</v>
      </c>
      <c r="AQ162" s="1087">
        <f>((Sheet1!BV160-(Sheet1!BU160-AP162))/(Sheet1!BU160-AP162))</f>
        <v>0.17610357198564977</v>
      </c>
      <c r="AR162" s="94">
        <f t="shared" si="32"/>
        <v>35.125</v>
      </c>
      <c r="AS162" s="94">
        <f t="shared" si="33"/>
        <v>32.055</v>
      </c>
      <c r="AT162" s="89">
        <f>Sheet1!BB160</f>
        <v>0</v>
      </c>
      <c r="AU162" s="89">
        <f>Sheet1!AS160*GPMtoMGD</f>
        <v>2.5488E-2</v>
      </c>
      <c r="AV162" s="94">
        <f>Sheet1!AT160</f>
        <v>0</v>
      </c>
      <c r="AW162" s="89">
        <f>Sheet1!AV160*GPMtoMGD</f>
        <v>1.2263040000000001</v>
      </c>
      <c r="AX162" s="89">
        <f>Sheet1!AW160*GPMtoMGD</f>
        <v>2.0845440000000002</v>
      </c>
      <c r="AY162" s="89">
        <f>Sheet1!AX160*GPMtoMGD</f>
        <v>0</v>
      </c>
      <c r="AZ162" s="89">
        <f>Sheet1!AY160*GPMtoMGD</f>
        <v>0</v>
      </c>
      <c r="BA162" s="89">
        <f>Sheet1!AZ160*GPMtoMGD</f>
        <v>0</v>
      </c>
      <c r="BB162" s="89">
        <f>Sheet1!BP160*GPMtoMGD</f>
        <v>2.8800000000000002E-3</v>
      </c>
      <c r="BC162" s="89">
        <f>Sheet1!CS160*GPMtoMGD</f>
        <v>4.9921920000000002</v>
      </c>
      <c r="BD162" s="89">
        <f>Sheet1!BO160*GPMtoMGD</f>
        <v>1.9617120000000001</v>
      </c>
      <c r="BE162" s="89">
        <f>Sheet1!BW160*GPMtoMGD</f>
        <v>1.158336</v>
      </c>
      <c r="BF162" s="89">
        <f>Sheet1!CN160*GPMtoMGD</f>
        <v>2.5744320000000003</v>
      </c>
      <c r="BG162" s="89">
        <f>Sheet1!CO160*GPMtoMGD</f>
        <v>1.190304</v>
      </c>
      <c r="BH162" s="89">
        <f>Sheet1!CP160*GPMtoMGD</f>
        <v>0.93859199999999998</v>
      </c>
      <c r="BI162" s="89">
        <f t="shared" si="43"/>
        <v>1.9645920000000001</v>
      </c>
      <c r="BK162" s="94">
        <f>SUM(AT162:BA162,AS162,BC162,Calculation!AQ162)</f>
        <v>59.619408398671098</v>
      </c>
      <c r="BM162" s="358">
        <f>0</f>
        <v>0</v>
      </c>
      <c r="BN162" s="358">
        <f>0</f>
        <v>0</v>
      </c>
      <c r="BP162" s="94">
        <f>SUM(BM162:BN162,W162,Sheet1!DX160)</f>
        <v>0</v>
      </c>
      <c r="BR162" s="94">
        <f>Sheet1!AA160</f>
        <v>30.97</v>
      </c>
      <c r="BS162" s="94">
        <f>Sheet1!AB160</f>
        <v>33</v>
      </c>
      <c r="BT162" s="94">
        <f t="shared" ca="1" si="34"/>
        <v>3.8209954285377643</v>
      </c>
      <c r="BU162" s="94">
        <f>Sheet1!AT160</f>
        <v>0</v>
      </c>
      <c r="BV162" s="89">
        <f>Sheet1!BB160</f>
        <v>0</v>
      </c>
      <c r="BW162" s="94">
        <f>Calculation!ED162</f>
        <v>13.764119601328904</v>
      </c>
      <c r="BX162" s="94">
        <f>(Sheet1!CS160*1440)/1000000</f>
        <v>4.9921920000000002</v>
      </c>
      <c r="CA162" s="94">
        <f ca="1">Sheet1!AC160-Sheet1!BK160-Sheet1!BL160-Sheet1!BM160-Sheet1!BC160-Sheet1!BD160-Sheet1!BE160-Sheet1!BF160-Sheet1!BG160-Sheet1!BH160-Sheet1!BI160+BC162+P162</f>
        <v>58.97318742853777</v>
      </c>
      <c r="CB162" s="93">
        <f t="shared" si="35"/>
        <v>77.66849697674418</v>
      </c>
      <c r="CC162" s="94">
        <f t="shared" si="36"/>
        <v>0</v>
      </c>
      <c r="CD162" s="94">
        <f t="shared" ca="1" si="37"/>
        <v>72.73730702986667</v>
      </c>
      <c r="CE162" s="1077">
        <f t="shared" ca="1" si="38"/>
        <v>112.52461397520374</v>
      </c>
      <c r="CG162" s="1077">
        <f t="shared" ca="1" si="39"/>
        <v>58.97318742853777</v>
      </c>
    </row>
    <row r="163" spans="1:85" s="89" customFormat="1" x14ac:dyDescent="0.25">
      <c r="A163" s="616" t="s">
        <v>7</v>
      </c>
      <c r="B163" s="91">
        <v>42887</v>
      </c>
      <c r="C163" s="92">
        <v>0</v>
      </c>
      <c r="D163" s="94">
        <f>(Sheet1!BQ161-Sheet1!BQ160)*1.385</f>
        <v>2.0775000000000001</v>
      </c>
      <c r="E163" s="30">
        <f>(Sheet1!BR161-Sheet1!BR160)*1.385</f>
        <v>2.0775000000000001</v>
      </c>
      <c r="F163" s="30">
        <f ca="1">IF(B163=TODAY(),0,-(VLOOKUP(Sheet1!CD161,Lookup!$I$4:$J$216,2)-VLOOKUP(Sheet1!CD160,Lookup!$I$4:$J$216,2))/1000000)</f>
        <v>-1.3472802011214047</v>
      </c>
      <c r="G163" s="94">
        <f ca="1">IF(B163=TODAY(),0,-$G$6*(Sheet1!CF161-Sheet1!CF160)*7.48/1000000)</f>
        <v>0.87369702315630426</v>
      </c>
      <c r="H163" s="94">
        <f ca="1">IF(B163=TODAY(),0,-$H$6*(Sheet1!CE161-Sheet1!CE160)*7.48/1000000)</f>
        <v>-1.5039432351265274E-2</v>
      </c>
      <c r="I163" s="94">
        <f ca="1">IF(B163=TODAY(),0,-$I$6*(Sheet1!CG161-Sheet1!CG160)*7.48/1000000)</f>
        <v>4.4924880000000236E-3</v>
      </c>
      <c r="J163" s="95" t="s">
        <v>177</v>
      </c>
      <c r="K163" s="94">
        <f ca="1">IF(B163=TODAY(),0,-$K$6*(Sheet1!CH161-Sheet1!CH160)*7.48/1000000)</f>
        <v>6.6633203744585374E-3</v>
      </c>
      <c r="L163" s="95" t="s">
        <v>177</v>
      </c>
      <c r="M163" s="94">
        <f ca="1">IF(B163=TODAY(),0,-$M$6*(Sheet1!CI161-Sheet1!CI160)*7.48/1000000)</f>
        <v>-3.598301685605397E-2</v>
      </c>
      <c r="N163" s="94">
        <f ca="1">IF(B163=TODAY(),0,-$N$6*(Sheet1!CJ161-Sheet1!CJ160)*7.48/1000000)</f>
        <v>-0.80668049013011012</v>
      </c>
      <c r="O163" s="94">
        <f t="shared" ca="1" si="40"/>
        <v>-1.3201303089280712</v>
      </c>
      <c r="P163" s="94">
        <f ca="1">O163+Calculation!ES163</f>
        <v>-5.4753465175423646</v>
      </c>
      <c r="Q163" s="89" t="str">
        <f>IF(Sheet1!BQ161&gt;25.75,"spill elevation","-")</f>
        <v>-</v>
      </c>
      <c r="R163" s="89" t="str">
        <f>IF(Sheet1!BQ161&gt;25.75,"spill elevation","-")</f>
        <v>-</v>
      </c>
      <c r="S163" s="89" t="str">
        <f>IF(Sheet1!BR161&gt;25.75,"spill elevation","-")</f>
        <v>-</v>
      </c>
      <c r="T163" s="93">
        <f>IF(Sheet1!DU161=1,Sheet1!AA161-(SUM(AT163:BA163)+BE163),Sheet1!AA161-SUM(AT163:BA163))</f>
        <v>28.859407999999998</v>
      </c>
      <c r="U163" s="93">
        <f>Sheet1!BV161</f>
        <v>29.6</v>
      </c>
      <c r="V163" s="93">
        <f t="shared" si="41"/>
        <v>-0.74059200000000303</v>
      </c>
      <c r="W163" s="93">
        <f>0</f>
        <v>0</v>
      </c>
      <c r="X163" s="89">
        <f>0</f>
        <v>0</v>
      </c>
      <c r="Y163" s="94">
        <f ca="1">Calculation!EJ164+Calculation!ES163+'Calculations II'!O163-'Calculations II'!W163</f>
        <v>54.40288646340381</v>
      </c>
      <c r="Z163" s="94">
        <f ca="1">Y163-Sheet1!CT162</f>
        <v>38.324886463403814</v>
      </c>
      <c r="AA163" s="94">
        <f ca="1">Y163+Calculation!DJ164+Calculation!AS164</f>
        <v>68.2855740127589</v>
      </c>
      <c r="AC163" s="94">
        <f>Sheet1!AA161+Sheet1!AB161+BC163</f>
        <v>71.703744</v>
      </c>
      <c r="AD163" s="94">
        <f>Sheet1!AA161+Sheet1!BN161+'Calculations II'!BC163-Calculation!AS163-Calculation!DJ163</f>
        <v>44.835128015594535</v>
      </c>
      <c r="AE163" s="94">
        <f>Sheet1!AA161+Sheet1!AB161+'Calculations II'!BC163-Calculation!AS163-Calculation!DJ163</f>
        <v>58.23512801559454</v>
      </c>
      <c r="AF163" s="94">
        <f ca="1">Sheet1!AA161+Sheet1!BN161+P163+'Calculations II'!BC163+Calculation!AS163+Calculation!DJ163</f>
        <v>66.297013466863092</v>
      </c>
      <c r="AG163" s="94">
        <f ca="1">IF(B163=TODAY(),0,Sheet1!AA161+Sheet1!BN161+'Calculations II'!BC163+'Calculations II'!P163-Sheet1!CT161-BP163)</f>
        <v>35.465397482457632</v>
      </c>
      <c r="AH163" s="94">
        <f ca="1">IF(B163=TODAY(),0,Sheet1!AA161+Sheet1!BN161+'Calculations II'!BC163+'Calculations II'!P163-BP163)</f>
        <v>52.828397482457632</v>
      </c>
      <c r="AI163" s="94">
        <f ca="1">IF(B163=TODAY(),0,BC163+Sheet1!AA161+Calculation!ES163+O163+W163+Sheet1!BN161+Calculation!AS163+Calculation!DJ163-BP163)</f>
        <v>66.297013466863092</v>
      </c>
      <c r="AJ163" s="94"/>
      <c r="AM163" s="90">
        <f t="shared" si="42"/>
        <v>42887</v>
      </c>
      <c r="AN163" s="94">
        <f>Sheet1!BU161</f>
        <v>28.9</v>
      </c>
      <c r="AO163" s="94">
        <f>Sheet1!AA161</f>
        <v>30.95</v>
      </c>
      <c r="AP163" s="94">
        <f t="shared" si="31"/>
        <v>4.1550000000000002</v>
      </c>
      <c r="AQ163" s="1087">
        <f>((Sheet1!BV161-(Sheet1!BU161-AP163))/(Sheet1!BU161-AP163))</f>
        <v>0.19620125277833925</v>
      </c>
      <c r="AR163" s="94">
        <f t="shared" si="32"/>
        <v>26.794999999999998</v>
      </c>
      <c r="AS163" s="94">
        <f t="shared" si="33"/>
        <v>24.744999999999997</v>
      </c>
      <c r="AT163" s="89">
        <f>Sheet1!BB161</f>
        <v>0</v>
      </c>
      <c r="AU163" s="89">
        <f>Sheet1!AS161*GPMtoMGD</f>
        <v>2.2032000000000003E-2</v>
      </c>
      <c r="AV163" s="94">
        <f>Sheet1!AT161</f>
        <v>0</v>
      </c>
      <c r="AW163" s="89">
        <f>Sheet1!AV161*GPMtoMGD</f>
        <v>0.7539840000000001</v>
      </c>
      <c r="AX163" s="89">
        <f>Sheet1!AW161*GPMtoMGD</f>
        <v>1.314576</v>
      </c>
      <c r="AY163" s="89">
        <f>Sheet1!AX161*GPMtoMGD</f>
        <v>0</v>
      </c>
      <c r="AZ163" s="89">
        <f>Sheet1!AY161*GPMtoMGD</f>
        <v>0</v>
      </c>
      <c r="BA163" s="89">
        <f>Sheet1!AZ161*GPMtoMGD</f>
        <v>0</v>
      </c>
      <c r="BB163" s="89">
        <f>Sheet1!BP161*GPMtoMGD</f>
        <v>2.8800000000000002E-3</v>
      </c>
      <c r="BC163" s="89">
        <f>Sheet1!CS161*GPMtoMGD</f>
        <v>4.9537440000000004</v>
      </c>
      <c r="BD163" s="89">
        <f>Sheet1!BO161*GPMtoMGD</f>
        <v>1.98936</v>
      </c>
      <c r="BE163" s="89">
        <f>Sheet1!BW161*GPMtoMGD</f>
        <v>1.0460160000000001</v>
      </c>
      <c r="BF163" s="89">
        <f>Sheet1!CN161*GPMtoMGD</f>
        <v>1.6395839999999999</v>
      </c>
      <c r="BG163" s="89">
        <f>Sheet1!CO161*GPMtoMGD</f>
        <v>1.067472</v>
      </c>
      <c r="BH163" s="89">
        <f>Sheet1!CP161*GPMtoMGD</f>
        <v>0.77587200000000001</v>
      </c>
      <c r="BI163" s="89">
        <f t="shared" si="43"/>
        <v>1.99224</v>
      </c>
      <c r="BK163" s="94">
        <f>SUM(AT163:BA163,AS163,BC163,Calculation!AQ163)</f>
        <v>54.120720015594543</v>
      </c>
      <c r="BM163" s="358">
        <f>0</f>
        <v>0</v>
      </c>
      <c r="BN163" s="358">
        <f>0</f>
        <v>0</v>
      </c>
      <c r="BP163" s="94">
        <f>SUM(BM163:BN163,W163,Sheet1!DX161)</f>
        <v>0</v>
      </c>
      <c r="BR163" s="94">
        <f>Sheet1!AA161</f>
        <v>30.95</v>
      </c>
      <c r="BS163" s="94">
        <f>Sheet1!AB161</f>
        <v>35.799999999999997</v>
      </c>
      <c r="BT163" s="94">
        <f t="shared" ca="1" si="34"/>
        <v>-5.4753465175423646</v>
      </c>
      <c r="BU163" s="94">
        <f>Sheet1!AT161</f>
        <v>0</v>
      </c>
      <c r="BV163" s="89">
        <f>Sheet1!BB161</f>
        <v>0</v>
      </c>
      <c r="BW163" s="94">
        <f>Calculation!ED163</f>
        <v>13.46861598440546</v>
      </c>
      <c r="BX163" s="94">
        <f>(Sheet1!CS161*1440)/1000000</f>
        <v>4.9537440000000004</v>
      </c>
      <c r="CA163" s="94">
        <f ca="1">Sheet1!AC161-Sheet1!BK161-Sheet1!BL161-Sheet1!BM161-Sheet1!BC161-Sheet1!BD161-Sheet1!BE161-Sheet1!BF161-Sheet1!BG161-Sheet1!BH161-Sheet1!BI161+BC163+P163</f>
        <v>52.71839748245764</v>
      </c>
      <c r="CB163" s="93">
        <f t="shared" si="35"/>
        <v>82.426301072124744</v>
      </c>
      <c r="CC163" s="94">
        <f t="shared" si="36"/>
        <v>0</v>
      </c>
      <c r="CD163" s="94">
        <f t="shared" ca="1" si="37"/>
        <v>66.187013466863107</v>
      </c>
      <c r="CE163" s="1077">
        <f t="shared" ca="1" si="38"/>
        <v>102.39130983323722</v>
      </c>
      <c r="CG163" s="1077">
        <f t="shared" ca="1" si="39"/>
        <v>52.71839748245764</v>
      </c>
    </row>
    <row r="164" spans="1:85" s="89" customFormat="1" x14ac:dyDescent="0.25">
      <c r="A164" s="616" t="s">
        <v>8</v>
      </c>
      <c r="B164" s="91">
        <v>42888</v>
      </c>
      <c r="C164" s="92">
        <v>0</v>
      </c>
      <c r="D164" s="94">
        <f>(Sheet1!BQ162-Sheet1!BQ161)*1.385</f>
        <v>2.091350000000002</v>
      </c>
      <c r="E164" s="30">
        <f>(Sheet1!BR162-Sheet1!BR161)*1.385</f>
        <v>2.0775000000000001</v>
      </c>
      <c r="F164" s="30">
        <f ca="1">IF(B164=TODAY(),0,-(VLOOKUP(Sheet1!CD162,Lookup!$I$4:$J$216,2)-VLOOKUP(Sheet1!CD161,Lookup!$I$4:$J$216,2))/1000000)</f>
        <v>0.20727387709560618</v>
      </c>
      <c r="G164" s="94">
        <f ca="1">IF(B164=TODAY(),0,-$G$6*(Sheet1!CF162-Sheet1!CF161)*7.48/1000000)</f>
        <v>-0.3177080084204747</v>
      </c>
      <c r="H164" s="94">
        <f ca="1">IF(B164=TODAY(),0,-$H$6*(Sheet1!CE162-Sheet1!CE161)*7.48/1000000)</f>
        <v>1.5039432351265274E-2</v>
      </c>
      <c r="I164" s="94">
        <f ca="1">IF(B164=TODAY(),0,-$I$6*(Sheet1!CG162-Sheet1!CG161)*7.48/1000000)</f>
        <v>-3.1447416000000006E-2</v>
      </c>
      <c r="J164" s="95" t="s">
        <v>177</v>
      </c>
      <c r="K164" s="94">
        <f ca="1">IF(B164=TODAY(),0,-$K$6*(Sheet1!CH162-Sheet1!CH161)*7.48/1000000)</f>
        <v>-5.9969883370126001E-2</v>
      </c>
      <c r="L164" s="95" t="s">
        <v>177</v>
      </c>
      <c r="M164" s="94">
        <f ca="1">IF(B164=TODAY(),0,-$M$6*(Sheet1!CI162-Sheet1!CI161)*7.48/1000000)</f>
        <v>-9.8953296354148887E-2</v>
      </c>
      <c r="N164" s="94">
        <f ca="1">IF(B164=TODAY(),0,-$N$6*(Sheet1!CJ162-Sheet1!CJ161)*7.48/1000000)</f>
        <v>0.47159782499914149</v>
      </c>
      <c r="O164" s="94">
        <f t="shared" ca="1" si="40"/>
        <v>0.18583253030126334</v>
      </c>
      <c r="P164" s="94">
        <f ca="1">O164+Calculation!ES164</f>
        <v>-4.1109003325596838</v>
      </c>
      <c r="Q164" s="89" t="str">
        <f>IF(Sheet1!BQ162&gt;25.75,"spill elevation","-")</f>
        <v>-</v>
      </c>
      <c r="R164" s="89" t="str">
        <f>IF(Sheet1!BQ162&gt;25.75,"spill elevation","-")</f>
        <v>-</v>
      </c>
      <c r="S164" s="89" t="str">
        <f>IF(Sheet1!BR162&gt;25.75,"spill elevation","-")</f>
        <v>-</v>
      </c>
      <c r="T164" s="93">
        <f>IF(Sheet1!DU162=1,Sheet1!AA162-(SUM(AT164:BA164)+BE164),Sheet1!AA162-SUM(AT164:BA164))</f>
        <v>29.018639999999998</v>
      </c>
      <c r="U164" s="93">
        <f>Sheet1!BV162</f>
        <v>29.5</v>
      </c>
      <c r="V164" s="93">
        <f t="shared" si="41"/>
        <v>-0.48136000000000223</v>
      </c>
      <c r="W164" s="93">
        <f>0</f>
        <v>0</v>
      </c>
      <c r="X164" s="89">
        <f>0</f>
        <v>0</v>
      </c>
      <c r="Y164" s="94">
        <f ca="1">Calculation!EJ165+Calculation!ES164+'Calculations II'!O164-'Calculations II'!W164</f>
        <v>49.785959983116804</v>
      </c>
      <c r="Z164" s="94">
        <f ca="1">Y164-Sheet1!CT163</f>
        <v>34.1289599831168</v>
      </c>
      <c r="AA164" s="94">
        <f ca="1">Y164+Calculation!DJ165+Calculation!AS165</f>
        <v>64.144133060039877</v>
      </c>
      <c r="AC164" s="94">
        <f>Sheet1!AA162+Sheet1!AB162+BC164</f>
        <v>73.893727999999996</v>
      </c>
      <c r="AD164" s="94">
        <f>Sheet1!AA162+Sheet1!BN162+'Calculations II'!BC164-Calculation!AS164-Calculation!DJ164</f>
        <v>46.141040450644908</v>
      </c>
      <c r="AE164" s="94">
        <f>Sheet1!AA162+Sheet1!AB162+'Calculations II'!BC164-Calculation!AS164-Calculation!DJ164</f>
        <v>60.011040450644899</v>
      </c>
      <c r="AF164" s="94">
        <f ca="1">Sheet1!AA162+Sheet1!BN162+P164+'Calculations II'!BC164+Calculation!AS164+Calculation!DJ164</f>
        <v>69.795515216795422</v>
      </c>
      <c r="AG164" s="94">
        <f ca="1">IF(B164=TODAY(),0,Sheet1!AA162+Sheet1!BN162+'Calculations II'!BC164+'Calculations II'!P164-Sheet1!CT162-BP164)</f>
        <v>39.834827667440322</v>
      </c>
      <c r="AH164" s="94">
        <f ca="1">IF(B164=TODAY(),0,Sheet1!AA162+Sheet1!BN162+'Calculations II'!BC164+'Calculations II'!P164-BP164)</f>
        <v>55.912827667440325</v>
      </c>
      <c r="AI164" s="94">
        <f ca="1">IF(B164=TODAY(),0,BC164+Sheet1!AA162+Calculation!ES164+O164+W164+Sheet1!BN162+Calculation!AS164+Calculation!DJ164-BP164)</f>
        <v>69.795515216795408</v>
      </c>
      <c r="AJ164" s="94"/>
      <c r="AM164" s="90">
        <f t="shared" si="42"/>
        <v>42888</v>
      </c>
      <c r="AN164" s="94">
        <f>Sheet1!BU162</f>
        <v>28.7</v>
      </c>
      <c r="AO164" s="94">
        <f>Sheet1!AA162</f>
        <v>30.99</v>
      </c>
      <c r="AP164" s="94">
        <f t="shared" si="31"/>
        <v>4.1688500000000026</v>
      </c>
      <c r="AQ164" s="1087">
        <f>((Sheet1!BV162-(Sheet1!BU162-AP164))/(Sheet1!BU162-AP164))</f>
        <v>0.20255267282618239</v>
      </c>
      <c r="AR164" s="94">
        <f t="shared" si="32"/>
        <v>26.821149999999996</v>
      </c>
      <c r="AS164" s="94">
        <f t="shared" si="33"/>
        <v>24.531149999999997</v>
      </c>
      <c r="AT164" s="89">
        <f>Sheet1!BB162</f>
        <v>0</v>
      </c>
      <c r="AU164" s="89">
        <f>Sheet1!AS162*GPMtoMGD</f>
        <v>2.2896000000000003E-2</v>
      </c>
      <c r="AV164" s="94">
        <f>Sheet1!AT162</f>
        <v>0</v>
      </c>
      <c r="AW164" s="89">
        <f>Sheet1!AV162*GPMtoMGD</f>
        <v>0.83894400000000013</v>
      </c>
      <c r="AX164" s="89">
        <f>Sheet1!AW162*GPMtoMGD</f>
        <v>1.1095200000000001</v>
      </c>
      <c r="AY164" s="89">
        <f>Sheet1!AX162*GPMtoMGD</f>
        <v>0</v>
      </c>
      <c r="AZ164" s="89">
        <f>Sheet1!AY162*GPMtoMGD</f>
        <v>0</v>
      </c>
      <c r="BA164" s="89">
        <f>Sheet1!AZ162*GPMtoMGD</f>
        <v>0</v>
      </c>
      <c r="BB164" s="89">
        <f>Sheet1!BP162*GPMtoMGD</f>
        <v>2.8800000000000002E-3</v>
      </c>
      <c r="BC164" s="89">
        <f>Sheet1!CS162*GPMtoMGD</f>
        <v>4.9337280000000003</v>
      </c>
      <c r="BD164" s="89">
        <f>Sheet1!BO162*GPMtoMGD</f>
        <v>2.663424</v>
      </c>
      <c r="BE164" s="89">
        <f>Sheet1!BW162*GPMtoMGD</f>
        <v>1.1355840000000001</v>
      </c>
      <c r="BF164" s="89">
        <f>Sheet1!CN162*GPMtoMGD</f>
        <v>2.8159200000000002</v>
      </c>
      <c r="BG164" s="89">
        <f>Sheet1!CO162*GPMtoMGD</f>
        <v>1.1537280000000001</v>
      </c>
      <c r="BH164" s="89">
        <f>Sheet1!CP162*GPMtoMGD</f>
        <v>0.82742400000000005</v>
      </c>
      <c r="BI164" s="89">
        <f t="shared" si="43"/>
        <v>2.6663040000000002</v>
      </c>
      <c r="BK164" s="94">
        <f>SUM(AT164:BA164,AS164,BC164,Calculation!AQ164)</f>
        <v>55.523550450644905</v>
      </c>
      <c r="BM164" s="358">
        <f>0</f>
        <v>0</v>
      </c>
      <c r="BN164" s="358">
        <f>0</f>
        <v>0</v>
      </c>
      <c r="BP164" s="94">
        <f>SUM(BM164:BN164,W164,Sheet1!DX162)</f>
        <v>0</v>
      </c>
      <c r="BR164" s="94">
        <f>Sheet1!AA162</f>
        <v>30.99</v>
      </c>
      <c r="BS164" s="94">
        <f>Sheet1!AB162</f>
        <v>37.97</v>
      </c>
      <c r="BT164" s="94">
        <f t="shared" ca="1" si="34"/>
        <v>-4.1109003325596838</v>
      </c>
      <c r="BU164" s="94">
        <f>Sheet1!AT162</f>
        <v>0</v>
      </c>
      <c r="BV164" s="89">
        <f>Sheet1!BB162</f>
        <v>0</v>
      </c>
      <c r="BW164" s="94">
        <f>Calculation!ED164</f>
        <v>13.882687549355094</v>
      </c>
      <c r="BX164" s="94">
        <f>(Sheet1!CS162*1440)/1000000</f>
        <v>4.9337280000000003</v>
      </c>
      <c r="CA164" s="94">
        <f ca="1">Sheet1!AC162-Sheet1!BK162-Sheet1!BL162-Sheet1!BM162-Sheet1!BC162-Sheet1!BD162-Sheet1!BE162-Sheet1!BF162-Sheet1!BG162-Sheet1!BH162-Sheet1!BI162+BC164+P164</f>
        <v>55.892827667440301</v>
      </c>
      <c r="CB164" s="93">
        <f t="shared" si="35"/>
        <v>85.20460236114765</v>
      </c>
      <c r="CC164" s="94">
        <f t="shared" si="36"/>
        <v>0</v>
      </c>
      <c r="CD164" s="94">
        <f t="shared" ca="1" si="37"/>
        <v>69.775515216795398</v>
      </c>
      <c r="CE164" s="1077">
        <f t="shared" ca="1" si="38"/>
        <v>107.94272204038248</v>
      </c>
      <c r="CG164" s="1077">
        <f t="shared" ca="1" si="39"/>
        <v>55.892827667440301</v>
      </c>
    </row>
    <row r="165" spans="1:85" s="89" customFormat="1" x14ac:dyDescent="0.25">
      <c r="A165" s="616" t="s">
        <v>9</v>
      </c>
      <c r="B165" s="91">
        <v>42889</v>
      </c>
      <c r="C165" s="92">
        <v>0</v>
      </c>
      <c r="D165" s="94">
        <f>(Sheet1!BQ163-Sheet1!BQ162)*1.385</f>
        <v>-0.76175000000000104</v>
      </c>
      <c r="E165" s="30">
        <f>(Sheet1!BR163-Sheet1!BR162)*1.385</f>
        <v>-0.76175000000000104</v>
      </c>
      <c r="F165" s="30">
        <f ca="1">IF(B165=TODAY(),0,-(VLOOKUP(Sheet1!CD163,Lookup!$I$4:$J$216,2)-VLOOKUP(Sheet1!CD162,Lookup!$I$4:$J$216,2))/1000000)</f>
        <v>0</v>
      </c>
      <c r="G165" s="94">
        <f ca="1">IF(B165=TODAY(),0,-$G$6*(Sheet1!CF163-Sheet1!CF162)*7.48/1000000)</f>
        <v>-0.47656201263071124</v>
      </c>
      <c r="H165" s="94">
        <f ca="1">IF(B165=TODAY(),0,-$H$6*(Sheet1!CE163-Sheet1!CE162)*7.48/1000000)</f>
        <v>0</v>
      </c>
      <c r="I165" s="94">
        <f ca="1">IF(B165=TODAY(),0,-$I$6*(Sheet1!CG163-Sheet1!CG162)*7.48/1000000)</f>
        <v>4.4924880000000007E-2</v>
      </c>
      <c r="J165" s="95" t="s">
        <v>177</v>
      </c>
      <c r="K165" s="94">
        <f ca="1">IF(B165=TODAY(),0,-$K$6*(Sheet1!CH163-Sheet1!CH162)*7.48/1000000)</f>
        <v>7.9293512456055426E-2</v>
      </c>
      <c r="L165" s="95" t="s">
        <v>177</v>
      </c>
      <c r="M165" s="94">
        <f ca="1">IF(B165=TODAY(),0,-$M$6*(Sheet1!CI163-Sheet1!CI162)*7.48/1000000)</f>
        <v>0.19790659270829777</v>
      </c>
      <c r="N165" s="94">
        <f ca="1">IF(B165=TODAY(),0,-$N$6*(Sheet1!CJ163-Sheet1!CJ162)*7.48/1000000)</f>
        <v>-6.8257579934085932E-2</v>
      </c>
      <c r="O165" s="94">
        <f t="shared" ca="1" si="40"/>
        <v>-0.22269460740044397</v>
      </c>
      <c r="P165" s="94">
        <f ca="1">O165+Calculation!ES165</f>
        <v>1.3022917056072312</v>
      </c>
      <c r="Q165" s="89" t="str">
        <f>IF(Sheet1!BQ163&gt;25.75,"spill elevation","-")</f>
        <v>-</v>
      </c>
      <c r="R165" s="89" t="str">
        <f>IF(Sheet1!BQ163&gt;25.75,"spill elevation","-")</f>
        <v>-</v>
      </c>
      <c r="S165" s="89" t="str">
        <f>IF(Sheet1!BR163&gt;25.75,"spill elevation","-")</f>
        <v>-</v>
      </c>
      <c r="T165" s="93">
        <f>IF(Sheet1!DU163=1,Sheet1!AA163-(SUM(AT165:BA165)+BE165),Sheet1!AA163-SUM(AT165:BA165))</f>
        <v>29.040880000000001</v>
      </c>
      <c r="U165" s="93">
        <f>Sheet1!BV163</f>
        <v>35.700000000000003</v>
      </c>
      <c r="V165" s="93">
        <f t="shared" si="41"/>
        <v>-6.6591200000000015</v>
      </c>
      <c r="W165" s="93">
        <f>0</f>
        <v>0</v>
      </c>
      <c r="X165" s="89">
        <f>0</f>
        <v>0</v>
      </c>
      <c r="Y165" s="94">
        <f ca="1">Calculation!EJ166+Calculation!ES165+'Calculations II'!O165-'Calculations II'!W165</f>
        <v>56.766150472062805</v>
      </c>
      <c r="Z165" s="94">
        <f ca="1">Y165-Sheet1!CT164</f>
        <v>40.998150472062804</v>
      </c>
      <c r="AA165" s="94">
        <f ca="1">Y165+Calculation!DJ166+Calculation!AS166</f>
        <v>71.222995710158045</v>
      </c>
      <c r="AC165" s="94">
        <f>Sheet1!AA163+Sheet1!AB163+BC165</f>
        <v>68.918608000000006</v>
      </c>
      <c r="AD165" s="94">
        <f>Sheet1!AA163+Sheet1!BN163+'Calculations II'!BC165-Calculation!AS165-Calculation!DJ165</f>
        <v>40.360434923076923</v>
      </c>
      <c r="AE165" s="94">
        <f>Sheet1!AA163+Sheet1!AB163+'Calculations II'!BC165-Calculation!AS165-Calculation!DJ165</f>
        <v>54.560434923076926</v>
      </c>
      <c r="AF165" s="94">
        <f ca="1">Sheet1!AA163+Sheet1!BN163+P165+'Calculations II'!BC165+Calculation!AS165+Calculation!DJ165</f>
        <v>70.379072782530301</v>
      </c>
      <c r="AG165" s="94">
        <f ca="1">IF(B165=TODAY(),0,Sheet1!AA163+Sheet1!BN163+'Calculations II'!BC165+'Calculations II'!P165-Sheet1!CT163-BP165)</f>
        <v>40.363899705607224</v>
      </c>
      <c r="AH165" s="94">
        <f ca="1">IF(B165=TODAY(),0,Sheet1!AA163+Sheet1!BN163+'Calculations II'!BC165+'Calculations II'!P165-BP165)</f>
        <v>56.020899705607228</v>
      </c>
      <c r="AI165" s="94">
        <f ca="1">IF(B165=TODAY(),0,BC165+Sheet1!AA163+Calculation!ES165+O165+W165+Sheet1!BN163+Calculation!AS165+Calculation!DJ165-BP165)</f>
        <v>70.379072782530315</v>
      </c>
      <c r="AJ165" s="94"/>
      <c r="AM165" s="90">
        <f t="shared" si="42"/>
        <v>42889</v>
      </c>
      <c r="AN165" s="94">
        <f>Sheet1!BU163</f>
        <v>28.6</v>
      </c>
      <c r="AO165" s="94">
        <f>Sheet1!AA163</f>
        <v>31</v>
      </c>
      <c r="AP165" s="94">
        <f t="shared" si="31"/>
        <v>-1.5235000000000021</v>
      </c>
      <c r="AQ165" s="1087">
        <f>((Sheet1!BV163-(Sheet1!BU163-AP165))/(Sheet1!BU163-AP165))</f>
        <v>0.18512125085066472</v>
      </c>
      <c r="AR165" s="94">
        <f t="shared" si="32"/>
        <v>32.523499999999999</v>
      </c>
      <c r="AS165" s="94">
        <f t="shared" si="33"/>
        <v>30.123500000000003</v>
      </c>
      <c r="AT165" s="89">
        <f>Sheet1!BB163</f>
        <v>0</v>
      </c>
      <c r="AU165" s="89">
        <f>Sheet1!AS163*GPMtoMGD</f>
        <v>2.52E-2</v>
      </c>
      <c r="AV165" s="94">
        <f>Sheet1!AT163</f>
        <v>0</v>
      </c>
      <c r="AW165" s="89">
        <f>Sheet1!AV163*GPMtoMGD</f>
        <v>0.79675200000000002</v>
      </c>
      <c r="AX165" s="89">
        <f>Sheet1!AW163*GPMtoMGD</f>
        <v>1.1371680000000002</v>
      </c>
      <c r="AY165" s="89">
        <f>Sheet1!AX163*GPMtoMGD</f>
        <v>0</v>
      </c>
      <c r="AZ165" s="89">
        <f>Sheet1!AY163*GPMtoMGD</f>
        <v>0</v>
      </c>
      <c r="BA165" s="89">
        <f>Sheet1!AZ163*GPMtoMGD</f>
        <v>0</v>
      </c>
      <c r="BB165" s="89">
        <f>Sheet1!BP163*GPMtoMGD</f>
        <v>2.8800000000000002E-3</v>
      </c>
      <c r="BC165" s="89">
        <f>Sheet1!CS163*GPMtoMGD</f>
        <v>4.9186079999999999</v>
      </c>
      <c r="BD165" s="89">
        <f>Sheet1!BO163*GPMtoMGD</f>
        <v>2.3211360000000001</v>
      </c>
      <c r="BE165" s="89">
        <f>Sheet1!BW163*GPMtoMGD</f>
        <v>1.1119680000000001</v>
      </c>
      <c r="BF165" s="89">
        <f>Sheet1!CN163*GPMtoMGD</f>
        <v>2.9286720000000002</v>
      </c>
      <c r="BG165" s="89">
        <f>Sheet1!CO163*GPMtoMGD</f>
        <v>1.186992</v>
      </c>
      <c r="BH165" s="89">
        <f>Sheet1!CP163*GPMtoMGD</f>
        <v>0.8058240000000001</v>
      </c>
      <c r="BI165" s="89">
        <f t="shared" si="43"/>
        <v>2.3240160000000003</v>
      </c>
      <c r="BK165" s="94">
        <f>SUM(AT165:BA165,AS165,BC165,Calculation!AQ165)</f>
        <v>55.643054923076932</v>
      </c>
      <c r="BM165" s="358">
        <f>0</f>
        <v>0</v>
      </c>
      <c r="BN165" s="358">
        <f>0</f>
        <v>0</v>
      </c>
      <c r="BP165" s="94">
        <f>SUM(BM165:BN165,W165,Sheet1!DX163)</f>
        <v>0</v>
      </c>
      <c r="BR165" s="94">
        <f>Sheet1!AA163</f>
        <v>31</v>
      </c>
      <c r="BS165" s="94">
        <f>Sheet1!AB163</f>
        <v>33</v>
      </c>
      <c r="BT165" s="94">
        <f t="shared" ca="1" si="34"/>
        <v>1.3022917056072312</v>
      </c>
      <c r="BU165" s="94">
        <f>Sheet1!AT163</f>
        <v>0</v>
      </c>
      <c r="BV165" s="89">
        <f>Sheet1!BB163</f>
        <v>0</v>
      </c>
      <c r="BW165" s="94">
        <f>Calculation!ED165</f>
        <v>14.358173076923077</v>
      </c>
      <c r="BX165" s="94">
        <f>(Sheet1!CS163*1440)/1000000</f>
        <v>4.9186079999999999</v>
      </c>
      <c r="CA165" s="94">
        <f ca="1">Sheet1!AC163-Sheet1!BK163-Sheet1!BL163-Sheet1!BM163-Sheet1!BC163-Sheet1!BD163-Sheet1!BE163-Sheet1!BF163-Sheet1!BG163-Sheet1!BH163-Sheet1!BI163+BC165+P165</f>
        <v>55.740899705607227</v>
      </c>
      <c r="CB165" s="93">
        <f t="shared" si="35"/>
        <v>76.795906249999987</v>
      </c>
      <c r="CC165" s="94">
        <f t="shared" si="36"/>
        <v>0</v>
      </c>
      <c r="CD165" s="94">
        <f t="shared" ca="1" si="37"/>
        <v>70.0990727825303</v>
      </c>
      <c r="CE165" s="1077">
        <f t="shared" ca="1" si="38"/>
        <v>108.44326559457437</v>
      </c>
      <c r="CG165" s="1077">
        <f t="shared" ca="1" si="39"/>
        <v>55.740899705607227</v>
      </c>
    </row>
    <row r="166" spans="1:85" s="89" customFormat="1" x14ac:dyDescent="0.25">
      <c r="A166" s="616" t="s">
        <v>3</v>
      </c>
      <c r="B166" s="91">
        <v>42890</v>
      </c>
      <c r="C166" s="92">
        <v>0</v>
      </c>
      <c r="D166" s="94">
        <f>(Sheet1!BQ164-Sheet1!BQ163)*1.385</f>
        <v>-1.8282000000000005</v>
      </c>
      <c r="E166" s="30">
        <f>(Sheet1!BR164-Sheet1!BR163)*1.385</f>
        <v>-1.800499999999996</v>
      </c>
      <c r="F166" s="30">
        <f ca="1">IF(B166=TODAY(),0,-(VLOOKUP(Sheet1!CD164,Lookup!$I$4:$J$216,2)-VLOOKUP(Sheet1!CD163,Lookup!$I$4:$J$216,2))/1000000)</f>
        <v>0.10363693854779936</v>
      </c>
      <c r="G166" s="94">
        <f ca="1">IF(B166=TODAY(),0,-$G$6*(Sheet1!CF164-Sheet1!CF163)*7.48/1000000)</f>
        <v>0.79427002105118594</v>
      </c>
      <c r="H166" s="94">
        <f ca="1">IF(B166=TODAY(),0,-$H$6*(Sheet1!CE164-Sheet1!CE163)*7.48/1000000)</f>
        <v>0</v>
      </c>
      <c r="I166" s="94">
        <f ca="1">IF(B166=TODAY(),0,-$I$6*(Sheet1!CG164-Sheet1!CG163)*7.48/1000000)</f>
        <v>-6.2894832000000012E-2</v>
      </c>
      <c r="J166" s="95" t="s">
        <v>177</v>
      </c>
      <c r="K166" s="94">
        <f ca="1">IF(B166=TODAY(),0,-$K$6*(Sheet1!CH164-Sheet1!CH163)*7.48/1000000)</f>
        <v>-0.11261011432834764</v>
      </c>
      <c r="L166" s="95" t="s">
        <v>177</v>
      </c>
      <c r="M166" s="94">
        <f ca="1">IF(B166=TODAY(),0,-$M$6*(Sheet1!CI164-Sheet1!CI163)*7.48/1000000)</f>
        <v>-0.26087687220639211</v>
      </c>
      <c r="N166" s="94">
        <f ca="1">IF(B166=TODAY(),0,-$N$6*(Sheet1!CJ164-Sheet1!CJ163)*7.48/1000000)</f>
        <v>0.15513086348655974</v>
      </c>
      <c r="O166" s="94">
        <f t="shared" ca="1" si="40"/>
        <v>0.61665600455080516</v>
      </c>
      <c r="P166" s="94">
        <f ca="1">O166+Calculation!ES166</f>
        <v>4.2196765202220359</v>
      </c>
      <c r="Q166" s="89" t="str">
        <f>IF(Sheet1!BQ164&gt;25.75,"spill elevation","-")</f>
        <v>-</v>
      </c>
      <c r="R166" s="89" t="str">
        <f>IF(Sheet1!BQ164&gt;25.75,"spill elevation","-")</f>
        <v>-</v>
      </c>
      <c r="S166" s="89" t="str">
        <f>IF(Sheet1!BR164&gt;25.75,"spill elevation","-")</f>
        <v>-</v>
      </c>
      <c r="T166" s="93">
        <f>IF(Sheet1!DU164=1,Sheet1!AA164-(SUM(AT166:BA166)+BE166),Sheet1!AA164-SUM(AT166:BA166))</f>
        <v>28.4344</v>
      </c>
      <c r="U166" s="93">
        <f>Sheet1!BV164</f>
        <v>37.6</v>
      </c>
      <c r="V166" s="93">
        <f t="shared" si="41"/>
        <v>-9.1656000000000013</v>
      </c>
      <c r="W166" s="93">
        <f>0</f>
        <v>0</v>
      </c>
      <c r="X166" s="89">
        <f>0</f>
        <v>0</v>
      </c>
      <c r="Y166" s="94">
        <f ca="1">Calculation!EJ167+Calculation!ES166+'Calculations II'!O166-'Calculations II'!W166</f>
        <v>61.804522976516552</v>
      </c>
      <c r="Z166" s="94">
        <f ca="1">Y166-Sheet1!CT165</f>
        <v>45.722522976516551</v>
      </c>
      <c r="AA166" s="94">
        <f ca="1">Y166+Calculation!DJ167+Calculation!AS167</f>
        <v>75.883681570482793</v>
      </c>
      <c r="AC166" s="94">
        <f>Sheet1!AA164+Sheet1!AB164+BC166</f>
        <v>69.338448</v>
      </c>
      <c r="AD166" s="94">
        <f>Sheet1!AA164+Sheet1!BN164+'Calculations II'!BC166-Calculation!AS166-Calculation!DJ166</f>
        <v>40.481602761904767</v>
      </c>
      <c r="AE166" s="94">
        <f>Sheet1!AA164+Sheet1!AB164+'Calculations II'!BC166-Calculation!AS166-Calculation!DJ166</f>
        <v>54.881602761904759</v>
      </c>
      <c r="AF166" s="94">
        <f ca="1">Sheet1!AA164+Sheet1!BN164+P166+'Calculations II'!BC166+Calculation!AS166+Calculation!DJ166</f>
        <v>73.614969758317287</v>
      </c>
      <c r="AG166" s="94">
        <f ca="1">IF(B166=TODAY(),0,Sheet1!AA164+Sheet1!BN164+'Calculations II'!BC166+'Calculations II'!P166-Sheet1!CT164-BP166)</f>
        <v>43.390124520222045</v>
      </c>
      <c r="AH166" s="94">
        <f ca="1">IF(B166=TODAY(),0,Sheet1!AA164+Sheet1!BN164+'Calculations II'!BC166+'Calculations II'!P166-BP166)</f>
        <v>59.158124520222046</v>
      </c>
      <c r="AI166" s="94">
        <f ca="1">IF(B166=TODAY(),0,BC166+Sheet1!AA164+Calculation!ES166+O166+W166+Sheet1!BN164+Calculation!AS166+Calculation!DJ166-BP166)</f>
        <v>73.614969758317272</v>
      </c>
      <c r="AJ166" s="94"/>
      <c r="AM166" s="90">
        <f t="shared" si="42"/>
        <v>42890</v>
      </c>
      <c r="AN166" s="94">
        <f>Sheet1!BU164</f>
        <v>28.4</v>
      </c>
      <c r="AO166" s="94">
        <f>Sheet1!AA164</f>
        <v>30.94</v>
      </c>
      <c r="AP166" s="94">
        <f t="shared" si="31"/>
        <v>-3.6286999999999967</v>
      </c>
      <c r="AQ166" s="1087">
        <f>((Sheet1!BV164-(Sheet1!BU164-AP166))/(Sheet1!BU164-AP166))</f>
        <v>0.17394711618017619</v>
      </c>
      <c r="AR166" s="94">
        <f t="shared" si="32"/>
        <v>34.5687</v>
      </c>
      <c r="AS166" s="94">
        <f t="shared" si="33"/>
        <v>32.028699999999994</v>
      </c>
      <c r="AT166" s="89">
        <f>Sheet1!BB164</f>
        <v>0</v>
      </c>
      <c r="AU166" s="89">
        <f>Sheet1!AS164*GPMtoMGD</f>
        <v>3.3264000000000002E-2</v>
      </c>
      <c r="AV166" s="94">
        <f>Sheet1!AT164</f>
        <v>0</v>
      </c>
      <c r="AW166" s="89">
        <f>Sheet1!AV164*GPMtoMGD</f>
        <v>1.1295360000000001</v>
      </c>
      <c r="AX166" s="89">
        <f>Sheet1!AW164*GPMtoMGD</f>
        <v>1.3428</v>
      </c>
      <c r="AY166" s="89">
        <f>Sheet1!AX164*GPMtoMGD</f>
        <v>0</v>
      </c>
      <c r="AZ166" s="89">
        <f>Sheet1!AY164*GPMtoMGD</f>
        <v>0</v>
      </c>
      <c r="BA166" s="89">
        <f>Sheet1!AZ164*GPMtoMGD</f>
        <v>0</v>
      </c>
      <c r="BB166" s="89">
        <f>Sheet1!BP164*GPMtoMGD</f>
        <v>2.8800000000000002E-3</v>
      </c>
      <c r="BC166" s="89">
        <f>Sheet1!CS164*GPMtoMGD</f>
        <v>4.8984480000000001</v>
      </c>
      <c r="BD166" s="89">
        <f>Sheet1!BO164*GPMtoMGD</f>
        <v>3.3730560000000005</v>
      </c>
      <c r="BE166" s="89">
        <f>Sheet1!BW164*GPMtoMGD</f>
        <v>1.2807360000000001</v>
      </c>
      <c r="BF166" s="89">
        <f>Sheet1!CN164*GPMtoMGD</f>
        <v>3.359664</v>
      </c>
      <c r="BG166" s="89">
        <f>Sheet1!CO164*GPMtoMGD</f>
        <v>1.2679200000000002</v>
      </c>
      <c r="BH166" s="89">
        <f>Sheet1!CP164*GPMtoMGD</f>
        <v>0.81979199999999997</v>
      </c>
      <c r="BI166" s="89">
        <f t="shared" si="43"/>
        <v>3.3759360000000007</v>
      </c>
      <c r="BK166" s="94">
        <f>SUM(AT166:BA166,AS166,BC166,Calculation!AQ166)</f>
        <v>58.475902761904763</v>
      </c>
      <c r="BM166" s="358">
        <f>0</f>
        <v>0</v>
      </c>
      <c r="BN166" s="358">
        <f>0</f>
        <v>0</v>
      </c>
      <c r="BP166" s="94">
        <f>SUM(BM166:BN166,W166,Sheet1!DX164)</f>
        <v>0</v>
      </c>
      <c r="BR166" s="94">
        <f>Sheet1!AA164</f>
        <v>30.94</v>
      </c>
      <c r="BS166" s="94">
        <f>Sheet1!AB164</f>
        <v>33.5</v>
      </c>
      <c r="BT166" s="94">
        <f t="shared" ca="1" si="34"/>
        <v>4.2196765202220359</v>
      </c>
      <c r="BU166" s="94">
        <f>Sheet1!AT164</f>
        <v>0</v>
      </c>
      <c r="BV166" s="89">
        <f>Sheet1!BB164</f>
        <v>0</v>
      </c>
      <c r="BW166" s="94">
        <f>Calculation!ED166</f>
        <v>14.456845238095237</v>
      </c>
      <c r="BX166" s="94">
        <f>(Sheet1!CS164*1440)/1000000</f>
        <v>4.8984480000000001</v>
      </c>
      <c r="CA166" s="94">
        <f ca="1">Sheet1!AC164-Sheet1!BK164-Sheet1!BL164-Sheet1!BM164-Sheet1!BC164-Sheet1!BD164-Sheet1!BE164-Sheet1!BF164-Sheet1!BG164-Sheet1!BH164-Sheet1!BI164+BC166+P166</f>
        <v>59.058124520222037</v>
      </c>
      <c r="CB166" s="93">
        <f t="shared" si="35"/>
        <v>77.323940416666659</v>
      </c>
      <c r="CC166" s="94">
        <f t="shared" si="36"/>
        <v>0</v>
      </c>
      <c r="CD166" s="94">
        <f t="shared" ca="1" si="37"/>
        <v>73.514969758317278</v>
      </c>
      <c r="CE166" s="1077">
        <f t="shared" ca="1" si="38"/>
        <v>113.72765821611682</v>
      </c>
      <c r="CG166" s="1077">
        <f t="shared" ca="1" si="39"/>
        <v>59.058124520222037</v>
      </c>
    </row>
    <row r="167" spans="1:85" s="89" customFormat="1" x14ac:dyDescent="0.25">
      <c r="A167" s="616" t="s">
        <v>4</v>
      </c>
      <c r="B167" s="91">
        <v>42891</v>
      </c>
      <c r="C167" s="92">
        <v>0</v>
      </c>
      <c r="D167" s="94">
        <f>(Sheet1!BQ165-Sheet1!BQ164)*1.385</f>
        <v>-2.4237500000000001</v>
      </c>
      <c r="E167" s="30">
        <f>(Sheet1!BR165-Sheet1!BR164)*1.385</f>
        <v>-2.4791500000000037</v>
      </c>
      <c r="F167" s="30">
        <f ca="1">IF(B167=TODAY(),0,-(VLOOKUP(Sheet1!CD165,Lookup!$I$4:$J$216,2)-VLOOKUP(Sheet1!CD164,Lookup!$I$4:$J$216,2))/1000000)</f>
        <v>0</v>
      </c>
      <c r="G167" s="94">
        <f ca="1">IF(B167=TODAY(),0,-$G$6*(Sheet1!CF165-Sheet1!CF164)*7.48/1000000)</f>
        <v>-0.25019505663112318</v>
      </c>
      <c r="H167" s="94">
        <f ca="1">IF(B167=TODAY(),0,-$H$6*(Sheet1!CE165-Sheet1!CE164)*7.48/1000000)</f>
        <v>0</v>
      </c>
      <c r="I167" s="94">
        <f ca="1">IF(B167=TODAY(),0,-$I$6*(Sheet1!CG165-Sheet1!CG164)*7.48/1000000)</f>
        <v>3.9533894400000033E-2</v>
      </c>
      <c r="J167" s="95" t="s">
        <v>177</v>
      </c>
      <c r="K167" s="94">
        <f ca="1">IF(B167=TODAY(),0,-$K$6*(Sheet1!CH165-Sheet1!CH164)*7.48/1000000)</f>
        <v>6.6633203744584424E-2</v>
      </c>
      <c r="L167" s="95" t="s">
        <v>177</v>
      </c>
      <c r="M167" s="94">
        <f ca="1">IF(B167=TODAY(),0,-$M$6*(Sheet1!CI165-Sheet1!CI164)*7.48/1000000)</f>
        <v>0.16192357585224318</v>
      </c>
      <c r="N167" s="94">
        <f ca="1">IF(B167=TODAY(),0,-$N$6*(Sheet1!CJ165-Sheet1!CJ164)*7.48/1000000)</f>
        <v>-0.1737465671049476</v>
      </c>
      <c r="O167" s="94">
        <f t="shared" ca="1" si="40"/>
        <v>-0.15585094973924313</v>
      </c>
      <c r="P167" s="94">
        <f ca="1">O167+Calculation!ES167</f>
        <v>4.8293703539067856</v>
      </c>
      <c r="Q167" s="89" t="str">
        <f>IF(Sheet1!BQ165&gt;25.75,"spill elevation","-")</f>
        <v>-</v>
      </c>
      <c r="R167" s="89" t="str">
        <f>IF(Sheet1!BQ165&gt;25.75,"spill elevation","-")</f>
        <v>-</v>
      </c>
      <c r="S167" s="89" t="str">
        <f>IF(Sheet1!BR165&gt;25.75,"spill elevation","-")</f>
        <v>-</v>
      </c>
      <c r="T167" s="93">
        <f>IF(Sheet1!DU165=1,Sheet1!AA165-(SUM(AT167:BA167)+BE167),Sheet1!AA165-SUM(AT167:BA167))</f>
        <v>27.558288000000001</v>
      </c>
      <c r="U167" s="93">
        <f>Sheet1!BV165</f>
        <v>38.700000000000003</v>
      </c>
      <c r="V167" s="93">
        <f t="shared" si="41"/>
        <v>-11.141712000000002</v>
      </c>
      <c r="W167" s="93">
        <f>0</f>
        <v>0</v>
      </c>
      <c r="X167" s="89">
        <f>0</f>
        <v>0</v>
      </c>
      <c r="Y167" s="94">
        <f ca="1">Calculation!EJ168+Calculation!ES167+'Calculations II'!O167-'Calculations II'!W167</f>
        <v>67.818512838065161</v>
      </c>
      <c r="Z167" s="94">
        <f ca="1">Y167-Sheet1!CT166</f>
        <v>52.171512838065162</v>
      </c>
      <c r="AA167" s="94">
        <f ca="1">Y167+Calculation!DJ168+Calculation!AS168</f>
        <v>81.899735545488738</v>
      </c>
      <c r="AC167" s="94">
        <f>Sheet1!AA165+Sheet1!AB165+BC167</f>
        <v>71.478144</v>
      </c>
      <c r="AD167" s="94">
        <f>Sheet1!AA165+Sheet1!BN165+'Calculations II'!BC167-Calculation!AS167-Calculation!DJ167</f>
        <v>43.398985406033766</v>
      </c>
      <c r="AE167" s="94">
        <f>Sheet1!AA165+Sheet1!AB165+'Calculations II'!BC167-Calculation!AS167-Calculation!DJ167</f>
        <v>57.398985406033766</v>
      </c>
      <c r="AF167" s="94">
        <f ca="1">Sheet1!AA165+Sheet1!BN165+P167+'Calculations II'!BC167+Calculation!AS167+Calculation!DJ167</f>
        <v>76.386672947873024</v>
      </c>
      <c r="AG167" s="94">
        <f ca="1">IF(B167=TODAY(),0,Sheet1!AA165+Sheet1!BN165+'Calculations II'!BC167+'Calculations II'!P167-Sheet1!CT165-BP167)</f>
        <v>46.225514353906782</v>
      </c>
      <c r="AH167" s="94">
        <f ca="1">IF(B167=TODAY(),0,Sheet1!AA165+Sheet1!BN165+'Calculations II'!BC167+'Calculations II'!P167-BP167)</f>
        <v>62.307514353906782</v>
      </c>
      <c r="AI167" s="94">
        <f ca="1">IF(B167=TODAY(),0,BC167+Sheet1!AA165+Calculation!ES167+O167+W167+Sheet1!BN165+Calculation!AS167+Calculation!DJ167-BP167)</f>
        <v>76.386672947873024</v>
      </c>
      <c r="AJ167" s="94"/>
      <c r="AM167" s="90">
        <f t="shared" si="42"/>
        <v>42891</v>
      </c>
      <c r="AN167" s="94">
        <f>Sheet1!BU165</f>
        <v>27.9</v>
      </c>
      <c r="AO167" s="94">
        <f>Sheet1!AA165</f>
        <v>30.6</v>
      </c>
      <c r="AP167" s="94">
        <f t="shared" si="31"/>
        <v>-4.9029000000000043</v>
      </c>
      <c r="AQ167" s="1087">
        <f>((Sheet1!BV165-(Sheet1!BU165-AP167))/(Sheet1!BU165-AP167))</f>
        <v>0.17977373951693301</v>
      </c>
      <c r="AR167" s="94">
        <f t="shared" si="32"/>
        <v>35.502900000000004</v>
      </c>
      <c r="AS167" s="94">
        <f t="shared" si="33"/>
        <v>32.802900000000001</v>
      </c>
      <c r="AT167" s="89">
        <f>Sheet1!BB165</f>
        <v>0</v>
      </c>
      <c r="AU167" s="89">
        <f>Sheet1!AS165*GPMtoMGD</f>
        <v>1.6560000000000002E-2</v>
      </c>
      <c r="AV167" s="94">
        <f>Sheet1!AT165</f>
        <v>0</v>
      </c>
      <c r="AW167" s="89">
        <f>Sheet1!AV165*GPMtoMGD</f>
        <v>0.96537600000000001</v>
      </c>
      <c r="AX167" s="89">
        <f>Sheet1!AW165*GPMtoMGD</f>
        <v>2.0597760000000003</v>
      </c>
      <c r="AY167" s="89">
        <f>Sheet1!AX165*GPMtoMGD</f>
        <v>0</v>
      </c>
      <c r="AZ167" s="89">
        <f>Sheet1!AY165*GPMtoMGD</f>
        <v>0</v>
      </c>
      <c r="BA167" s="89">
        <f>Sheet1!AZ165*GPMtoMGD</f>
        <v>0</v>
      </c>
      <c r="BB167" s="89">
        <f>Sheet1!BP165*GPMtoMGD</f>
        <v>2.8800000000000002E-3</v>
      </c>
      <c r="BC167" s="89">
        <f>Sheet1!CS165*GPMtoMGD</f>
        <v>4.8781439999999998</v>
      </c>
      <c r="BD167" s="89">
        <f>Sheet1!BO165*GPMtoMGD</f>
        <v>2.7442080000000004</v>
      </c>
      <c r="BE167" s="89">
        <f>Sheet1!BW165*GPMtoMGD</f>
        <v>1.515312</v>
      </c>
      <c r="BF167" s="89">
        <f>Sheet1!CN165*GPMtoMGD</f>
        <v>3.2974560000000004</v>
      </c>
      <c r="BG167" s="89">
        <f>Sheet1!CO165*GPMtoMGD</f>
        <v>1.3134240000000001</v>
      </c>
      <c r="BH167" s="89">
        <f>Sheet1!CP165*GPMtoMGD</f>
        <v>0.845136</v>
      </c>
      <c r="BI167" s="89">
        <f t="shared" si="43"/>
        <v>2.7470880000000006</v>
      </c>
      <c r="BK167" s="94">
        <f>SUM(AT167:BA167,AS167,BC167,Calculation!AQ167)</f>
        <v>62.643597406033763</v>
      </c>
      <c r="BM167" s="358">
        <f>0</f>
        <v>0</v>
      </c>
      <c r="BN167" s="358">
        <f>0</f>
        <v>0</v>
      </c>
      <c r="BP167" s="94">
        <f>SUM(BM167:BN167,W167,Sheet1!DX165)</f>
        <v>0</v>
      </c>
      <c r="BR167" s="94">
        <f>Sheet1!AA165</f>
        <v>30.6</v>
      </c>
      <c r="BS167" s="94">
        <f>Sheet1!AB165</f>
        <v>36</v>
      </c>
      <c r="BT167" s="94">
        <f t="shared" ca="1" si="34"/>
        <v>4.8293703539067856</v>
      </c>
      <c r="BU167" s="94">
        <f>Sheet1!AT165</f>
        <v>0</v>
      </c>
      <c r="BV167" s="89">
        <f>Sheet1!BB165</f>
        <v>0</v>
      </c>
      <c r="BW167" s="94">
        <f>Calculation!ED167</f>
        <v>14.079158593966234</v>
      </c>
      <c r="BX167" s="94">
        <f>(Sheet1!CS165*1440)/1000000</f>
        <v>4.8781439999999998</v>
      </c>
      <c r="CA167" s="94">
        <f ca="1">Sheet1!AC165-Sheet1!BK165-Sheet1!BL165-Sheet1!BM165-Sheet1!BC165-Sheet1!BD165-Sheet1!BE165-Sheet1!BF165-Sheet1!BG165-Sheet1!BH165-Sheet1!BI165+BC167+P167</f>
        <v>62.177514353906773</v>
      </c>
      <c r="CB167" s="93">
        <f t="shared" si="35"/>
        <v>81.24974165513423</v>
      </c>
      <c r="CC167" s="94">
        <f t="shared" si="36"/>
        <v>0</v>
      </c>
      <c r="CD167" s="94">
        <f t="shared" ca="1" si="37"/>
        <v>76.256672947873</v>
      </c>
      <c r="CE167" s="1077">
        <f t="shared" ca="1" si="38"/>
        <v>117.96907305035953</v>
      </c>
      <c r="CG167" s="1077">
        <f t="shared" ca="1" si="39"/>
        <v>62.177514353906773</v>
      </c>
    </row>
    <row r="168" spans="1:85" s="89" customFormat="1" x14ac:dyDescent="0.25">
      <c r="A168" s="616" t="s">
        <v>5</v>
      </c>
      <c r="B168" s="91">
        <v>42892</v>
      </c>
      <c r="C168" s="92">
        <v>0</v>
      </c>
      <c r="D168" s="94">
        <f>(Sheet1!BQ166-Sheet1!BQ165)*1.385</f>
        <v>-6.9250000000000991E-2</v>
      </c>
      <c r="E168" s="30">
        <f>(Sheet1!BR166-Sheet1!BR165)*1.385</f>
        <v>-1.3849999999997245E-2</v>
      </c>
      <c r="F168" s="30">
        <f ca="1">IF(B168=TODAY(),0,-(VLOOKUP(Sheet1!CD166,Lookup!$I$4:$J$216,2)-VLOOKUP(Sheet1!CD165,Lookup!$I$4:$J$216,2))/1000000)</f>
        <v>0.31091081564339806</v>
      </c>
      <c r="G168" s="94">
        <f ca="1">IF(B168=TODAY(),0,-$G$6*(Sheet1!CF166-Sheet1!CF165)*7.48/1000000)</f>
        <v>-4.7656201263071553E-2</v>
      </c>
      <c r="H168" s="94">
        <f ca="1">IF(B168=TODAY(),0,-$H$6*(Sheet1!CE166-Sheet1!CE165)*7.48/1000000)</f>
        <v>3.0078864702530548E-2</v>
      </c>
      <c r="I168" s="94">
        <f ca="1">IF(B168=TODAY(),0,-$I$6*(Sheet1!CG166-Sheet1!CG165)*7.48/1000000)</f>
        <v>-5.0315865600000051E-2</v>
      </c>
      <c r="J168" s="95" t="s">
        <v>177</v>
      </c>
      <c r="K168" s="94">
        <f ca="1">IF(B168=TODAY(),0,-$K$6*(Sheet1!CH166-Sheet1!CH165)*7.48/1000000)</f>
        <v>-7.9959844493501367E-2</v>
      </c>
      <c r="L168" s="95" t="s">
        <v>177</v>
      </c>
      <c r="M168" s="94">
        <f ca="1">IF(B168=TODAY(),0,-$M$6*(Sheet1!CI166-Sheet1!CI165)*7.48/1000000)</f>
        <v>-0.26987262642040577</v>
      </c>
      <c r="N168" s="94">
        <f ca="1">IF(B168=TODAY(),0,-$N$6*(Sheet1!CJ166-Sheet1!CJ165)*7.48/1000000)</f>
        <v>8.066804901301157E-2</v>
      </c>
      <c r="O168" s="94">
        <f t="shared" ca="1" si="40"/>
        <v>-2.614680841803857E-2</v>
      </c>
      <c r="P168" s="94">
        <f ca="1">O168+Calculation!ES168</f>
        <v>-2.614680841803857E-2</v>
      </c>
      <c r="Q168" s="89" t="str">
        <f>IF(Sheet1!BQ166&gt;25.75,"spill elevation","-")</f>
        <v>-</v>
      </c>
      <c r="R168" s="89" t="str">
        <f>IF(Sheet1!BQ166&gt;25.75,"spill elevation","-")</f>
        <v>-</v>
      </c>
      <c r="S168" s="89" t="str">
        <f>IF(Sheet1!BR166&gt;25.75,"spill elevation","-")</f>
        <v>-</v>
      </c>
      <c r="T168" s="93">
        <f>IF(Sheet1!DU166=1,Sheet1!AA166-(SUM(AT168:BA168)+BE168),Sheet1!AA166-SUM(AT168:BA168))</f>
        <v>28.065647999999999</v>
      </c>
      <c r="U168" s="93">
        <f>Sheet1!BV166</f>
        <v>33.299999999999997</v>
      </c>
      <c r="V168" s="93">
        <f t="shared" si="41"/>
        <v>-5.2343519999999977</v>
      </c>
      <c r="W168" s="93">
        <f>0</f>
        <v>0</v>
      </c>
      <c r="X168" s="89">
        <f>0</f>
        <v>0</v>
      </c>
      <c r="Y168" s="94">
        <f ca="1">Calculation!EJ169+Calculation!ES168+'Calculations II'!O168-'Calculations II'!W168</f>
        <v>67.680901820279217</v>
      </c>
      <c r="Z168" s="94">
        <f ca="1">Y168-Sheet1!CT167</f>
        <v>52.206901820279214</v>
      </c>
      <c r="AA168" s="94">
        <f ca="1">Y168+Calculation!DJ169+Calculation!AS169</f>
        <v>78.229043843625519</v>
      </c>
      <c r="AC168" s="94">
        <f>Sheet1!AA166+Sheet1!AB166+BC168</f>
        <v>77.16216</v>
      </c>
      <c r="AD168" s="94">
        <f>Sheet1!AA166+Sheet1!BN166+'Calculations II'!BC168-Calculation!AS168-Calculation!DJ168</f>
        <v>48.880937292576419</v>
      </c>
      <c r="AE168" s="94">
        <f>Sheet1!AA166+Sheet1!AB166+'Calculations II'!BC168-Calculation!AS168-Calculation!DJ168</f>
        <v>63.080937292576422</v>
      </c>
      <c r="AF168" s="94">
        <f ca="1">Sheet1!AA166+Sheet1!BN166+P168+'Calculations II'!BC168+Calculation!AS168+Calculation!DJ168</f>
        <v>77.017235899005541</v>
      </c>
      <c r="AG168" s="94">
        <f ca="1">IF(B168=TODAY(),0,Sheet1!AA166+Sheet1!BN166+'Calculations II'!BC168+'Calculations II'!P168-Sheet1!CT166-BP168)</f>
        <v>47.289013191581958</v>
      </c>
      <c r="AH168" s="94">
        <f ca="1">IF(B168=TODAY(),0,Sheet1!AA166+Sheet1!BN166+'Calculations II'!BC168+'Calculations II'!P168-BP168)</f>
        <v>62.936013191581957</v>
      </c>
      <c r="AI168" s="94">
        <f ca="1">IF(B168=TODAY(),0,BC168+Sheet1!AA166+Calculation!ES168+O168+W168+Sheet1!BN166+Calculation!AS168+Calculation!DJ168-BP168)</f>
        <v>77.017235899005541</v>
      </c>
      <c r="AJ168" s="94"/>
      <c r="AM168" s="90">
        <f t="shared" si="42"/>
        <v>42892</v>
      </c>
      <c r="AN168" s="94">
        <f>Sheet1!BU166</f>
        <v>28</v>
      </c>
      <c r="AO168" s="94">
        <f>Sheet1!AA166</f>
        <v>30.9</v>
      </c>
      <c r="AP168" s="94">
        <f t="shared" si="31"/>
        <v>-8.3099999999998231E-2</v>
      </c>
      <c r="AQ168" s="1087">
        <f>((Sheet1!BV166-(Sheet1!BU166-AP168))/(Sheet1!BU166-AP168))</f>
        <v>0.18576652862397666</v>
      </c>
      <c r="AR168" s="94">
        <f t="shared" si="32"/>
        <v>30.983099999999997</v>
      </c>
      <c r="AS168" s="94">
        <f t="shared" si="33"/>
        <v>28.083099999999998</v>
      </c>
      <c r="AT168" s="89">
        <f>Sheet1!BB166</f>
        <v>0</v>
      </c>
      <c r="AU168" s="89">
        <f>Sheet1!AS166*GPMtoMGD</f>
        <v>3.4127999999999999E-2</v>
      </c>
      <c r="AV168" s="94">
        <f>Sheet1!AT166</f>
        <v>0</v>
      </c>
      <c r="AW168" s="89">
        <f>Sheet1!AV166*GPMtoMGD</f>
        <v>1.33992</v>
      </c>
      <c r="AX168" s="89">
        <f>Sheet1!AW166*GPMtoMGD</f>
        <v>1.460304</v>
      </c>
      <c r="AY168" s="89">
        <f>Sheet1!AX166*GPMtoMGD</f>
        <v>0</v>
      </c>
      <c r="AZ168" s="89">
        <f>Sheet1!AY166*GPMtoMGD</f>
        <v>0</v>
      </c>
      <c r="BA168" s="89">
        <f>Sheet1!AZ166*GPMtoMGD</f>
        <v>0</v>
      </c>
      <c r="BB168" s="89">
        <f>Sheet1!BP166*GPMtoMGD</f>
        <v>2.8800000000000002E-3</v>
      </c>
      <c r="BC168" s="89">
        <f>Sheet1!CS166*GPMtoMGD</f>
        <v>4.8621600000000003</v>
      </c>
      <c r="BD168" s="89">
        <f>Sheet1!BO166*GPMtoMGD</f>
        <v>3.3134400000000004</v>
      </c>
      <c r="BE168" s="89">
        <f>Sheet1!BW166*GPMtoMGD</f>
        <v>1.4546880000000002</v>
      </c>
      <c r="BF168" s="89">
        <f>Sheet1!CN166*GPMtoMGD</f>
        <v>3.4545600000000003</v>
      </c>
      <c r="BG168" s="89">
        <f>Sheet1!CO166*GPMtoMGD</f>
        <v>1.390752</v>
      </c>
      <c r="BH168" s="89">
        <f>Sheet1!CP166*GPMtoMGD</f>
        <v>0.89193600000000006</v>
      </c>
      <c r="BI168" s="89">
        <f t="shared" si="43"/>
        <v>3.3163200000000006</v>
      </c>
      <c r="BK168" s="94">
        <f>SUM(AT168:BA168,AS168,BC168,Calculation!AQ168)</f>
        <v>63.098389292576414</v>
      </c>
      <c r="BM168" s="358">
        <f>0</f>
        <v>0</v>
      </c>
      <c r="BN168" s="358">
        <f>0</f>
        <v>0</v>
      </c>
      <c r="BP168" s="94">
        <f>SUM(BM168:BN168,W168,Sheet1!DX166)</f>
        <v>0</v>
      </c>
      <c r="BR168" s="94">
        <f>Sheet1!AA166</f>
        <v>30.9</v>
      </c>
      <c r="BS168" s="94">
        <f>Sheet1!AB166</f>
        <v>41.4</v>
      </c>
      <c r="BT168" s="94">
        <f t="shared" ca="1" si="34"/>
        <v>-2.614680841803857E-2</v>
      </c>
      <c r="BU168" s="94">
        <f>Sheet1!AT166</f>
        <v>0</v>
      </c>
      <c r="BV168" s="89">
        <f>Sheet1!BB166</f>
        <v>0</v>
      </c>
      <c r="BW168" s="94">
        <f>Calculation!ED168</f>
        <v>14.081222707423581</v>
      </c>
      <c r="BX168" s="94">
        <f>(Sheet1!CS166*1440)/1000000</f>
        <v>4.8621600000000003</v>
      </c>
      <c r="CA168" s="94">
        <f ca="1">Sheet1!AC166-Sheet1!BK166-Sheet1!BL166-Sheet1!BM166-Sheet1!BC166-Sheet1!BD166-Sheet1!BE166-Sheet1!BF166-Sheet1!BG166-Sheet1!BH166-Sheet1!BI166+BC168+P168</f>
        <v>63.116013191581949</v>
      </c>
      <c r="CB168" s="93">
        <f t="shared" si="35"/>
        <v>90.064448471615719</v>
      </c>
      <c r="CC168" s="94">
        <f t="shared" si="36"/>
        <v>0</v>
      </c>
      <c r="CD168" s="94">
        <f t="shared" ca="1" si="37"/>
        <v>77.197235899005534</v>
      </c>
      <c r="CE168" s="1077">
        <f t="shared" ca="1" si="38"/>
        <v>119.42412393576156</v>
      </c>
      <c r="CG168" s="1077">
        <f t="shared" ca="1" si="39"/>
        <v>63.116013191581949</v>
      </c>
    </row>
    <row r="169" spans="1:85" s="89" customFormat="1" x14ac:dyDescent="0.25">
      <c r="A169" s="616" t="s">
        <v>6</v>
      </c>
      <c r="B169" s="91">
        <v>42893</v>
      </c>
      <c r="C169" s="92">
        <v>0</v>
      </c>
      <c r="D169" s="94">
        <f>(Sheet1!BQ167-Sheet1!BQ166)*1.385</f>
        <v>2.9085000000000019</v>
      </c>
      <c r="E169" s="30">
        <f>(Sheet1!BR167-Sheet1!BR166)*1.385</f>
        <v>2.8392500000000012</v>
      </c>
      <c r="F169" s="30">
        <f ca="1">IF(B169=TODAY(),0,-(VLOOKUP(Sheet1!CD167,Lookup!$I$4:$J$216,2)-VLOOKUP(Sheet1!CD166,Lookup!$I$4:$J$216,2))/1000000)</f>
        <v>0.41454775419119744</v>
      </c>
      <c r="G169" s="94">
        <f ca="1">IF(B169=TODAY(),0,-$G$6*(Sheet1!CF167-Sheet1!CF166)*7.48/1000000)</f>
        <v>-1.9856750526279932E-2</v>
      </c>
      <c r="H169" s="94">
        <f ca="1">IF(B169=TODAY(),0,-$H$6*(Sheet1!CE167-Sheet1!CE166)*7.48/1000000)</f>
        <v>-1.5039432351265274E-2</v>
      </c>
      <c r="I169" s="94">
        <f ca="1">IF(B169=TODAY(),0,-$I$6*(Sheet1!CG167-Sheet1!CG166)*7.48/1000000)</f>
        <v>0.10961670720000004</v>
      </c>
      <c r="J169" s="95" t="s">
        <v>177</v>
      </c>
      <c r="K169" s="94">
        <f ca="1">IF(B169=TODAY(),0,-$K$6*(Sheet1!CH167-Sheet1!CH166)*7.48/1000000)</f>
        <v>0.18657297048483643</v>
      </c>
      <c r="L169" s="95" t="s">
        <v>177</v>
      </c>
      <c r="M169" s="94">
        <f ca="1">IF(B169=TODAY(),0,-$M$6*(Sheet1!CI167-Sheet1!CI166)*7.48/1000000)</f>
        <v>0.55773676126883875</v>
      </c>
      <c r="N169" s="94">
        <f ca="1">IF(B169=TODAY(),0,-$N$6*(Sheet1!CJ167-Sheet1!CJ166)*7.48/1000000)</f>
        <v>4.3436641776236899E-2</v>
      </c>
      <c r="O169" s="94">
        <f t="shared" ca="1" si="40"/>
        <v>1.2770146520435643</v>
      </c>
      <c r="P169" s="94">
        <f ca="1">O169+Calculation!ES169</f>
        <v>-4.4009061124039937</v>
      </c>
      <c r="Q169" s="89" t="str">
        <f>IF(Sheet1!BQ167&gt;25.75,"spill elevation","-")</f>
        <v>-</v>
      </c>
      <c r="R169" s="89" t="str">
        <f>IF(Sheet1!BQ167&gt;25.75,"spill elevation","-")</f>
        <v>-</v>
      </c>
      <c r="S169" s="89" t="str">
        <f>IF(Sheet1!BR167&gt;25.75,"spill elevation","-")</f>
        <v>-</v>
      </c>
      <c r="T169" s="93">
        <f>IF(Sheet1!DU167=1,Sheet1!AA167-(SUM(AT169:BA169)+BE169),Sheet1!AA167-SUM(AT169:BA169))</f>
        <v>28.497568000000001</v>
      </c>
      <c r="U169" s="93">
        <f>Sheet1!BV167</f>
        <v>27</v>
      </c>
      <c r="V169" s="93">
        <f t="shared" si="41"/>
        <v>1.4975680000000011</v>
      </c>
      <c r="W169" s="93">
        <f>0</f>
        <v>0</v>
      </c>
      <c r="X169" s="89">
        <f>0</f>
        <v>0</v>
      </c>
      <c r="Y169" s="94">
        <f ca="1">Calculation!EJ170+Calculation!ES169+'Calculations II'!O169-'Calculations II'!W169</f>
        <v>50.6757821175107</v>
      </c>
      <c r="Z169" s="94">
        <f ca="1">Y169-Sheet1!CT168</f>
        <v>34.709782117510699</v>
      </c>
      <c r="AA169" s="94">
        <f ca="1">Y169+Calculation!DJ170+Calculation!AS170</f>
        <v>64.300335463912262</v>
      </c>
      <c r="AC169" s="94">
        <f>Sheet1!AA167+Sheet1!AB167+BC169</f>
        <v>77.075743999999986</v>
      </c>
      <c r="AD169" s="94">
        <f>Sheet1!AA167+Sheet1!BN167+'Calculations II'!BC169-Calculation!AS169-Calculation!DJ169</f>
        <v>55.897601976653704</v>
      </c>
      <c r="AE169" s="94">
        <f>Sheet1!AA167+Sheet1!AB167+'Calculations II'!BC169-Calculation!AS169-Calculation!DJ169</f>
        <v>66.527601976653685</v>
      </c>
      <c r="AF169" s="94">
        <f ca="1">Sheet1!AA167+Sheet1!BN167+P169+'Calculations II'!BC169+Calculation!AS169+Calculation!DJ169</f>
        <v>72.592979910942304</v>
      </c>
      <c r="AG169" s="94">
        <f ca="1">IF(B169=TODAY(),0,Sheet1!AA167+Sheet1!BN167+'Calculations II'!BC169+'Calculations II'!P169-Sheet1!CT167-BP169)</f>
        <v>46.570837887596014</v>
      </c>
      <c r="AH169" s="94">
        <f ca="1">IF(B169=TODAY(),0,Sheet1!AA167+Sheet1!BN167+'Calculations II'!BC169+'Calculations II'!P169-BP169)</f>
        <v>62.04483788759601</v>
      </c>
      <c r="AI169" s="94">
        <f ca="1">IF(B169=TODAY(),0,BC169+Sheet1!AA167+Calculation!ES169+O169+W169+Sheet1!BN167+Calculation!AS169+Calculation!DJ169-BP169)</f>
        <v>72.592979910942304</v>
      </c>
      <c r="AJ169" s="94"/>
      <c r="AM169" s="90">
        <f t="shared" si="42"/>
        <v>42893</v>
      </c>
      <c r="AN169" s="94">
        <f>Sheet1!BU167</f>
        <v>28.4</v>
      </c>
      <c r="AO169" s="94">
        <f>Sheet1!AA167</f>
        <v>31</v>
      </c>
      <c r="AP169" s="94">
        <f t="shared" si="31"/>
        <v>5.7477500000000035</v>
      </c>
      <c r="AQ169" s="1087">
        <f>((Sheet1!BV167-(Sheet1!BU167-AP169))/(Sheet1!BU167-AP169))</f>
        <v>0.19193457603549341</v>
      </c>
      <c r="AR169" s="94">
        <f t="shared" si="32"/>
        <v>25.252249999999997</v>
      </c>
      <c r="AS169" s="94">
        <f t="shared" si="33"/>
        <v>22.652249999999995</v>
      </c>
      <c r="AT169" s="89">
        <f>Sheet1!BB167</f>
        <v>0</v>
      </c>
      <c r="AU169" s="89">
        <f>Sheet1!AS167*GPMtoMGD</f>
        <v>3.3408E-2</v>
      </c>
      <c r="AV169" s="94">
        <f>Sheet1!AT167</f>
        <v>0</v>
      </c>
      <c r="AW169" s="89">
        <f>Sheet1!AV167*GPMtoMGD</f>
        <v>1.19232</v>
      </c>
      <c r="AX169" s="89">
        <f>Sheet1!AW167*GPMtoMGD</f>
        <v>1.2767040000000001</v>
      </c>
      <c r="AY169" s="89">
        <f>Sheet1!AX167*GPMtoMGD</f>
        <v>0</v>
      </c>
      <c r="AZ169" s="89">
        <f>Sheet1!AY167*GPMtoMGD</f>
        <v>0</v>
      </c>
      <c r="BA169" s="89">
        <f>Sheet1!AZ167*GPMtoMGD</f>
        <v>0</v>
      </c>
      <c r="BB169" s="89">
        <f>Sheet1!BP167*GPMtoMGD</f>
        <v>2.8800000000000002E-3</v>
      </c>
      <c r="BC169" s="89">
        <f>Sheet1!CS167*GPMtoMGD</f>
        <v>4.8457439999999998</v>
      </c>
      <c r="BD169" s="89">
        <f>Sheet1!BO167*GPMtoMGD</f>
        <v>2.2304160000000004</v>
      </c>
      <c r="BE169" s="89">
        <f>Sheet1!BW167*GPMtoMGD</f>
        <v>1.4847839999999999</v>
      </c>
      <c r="BF169" s="89">
        <f>Sheet1!CN167*GPMtoMGD</f>
        <v>3.4176960000000003</v>
      </c>
      <c r="BG169" s="89">
        <f>Sheet1!CO167*GPMtoMGD</f>
        <v>1.3924800000000002</v>
      </c>
      <c r="BH169" s="89">
        <f>Sheet1!CP167*GPMtoMGD</f>
        <v>0.95486400000000005</v>
      </c>
      <c r="BI169" s="89">
        <f t="shared" si="43"/>
        <v>2.2332960000000006</v>
      </c>
      <c r="BK169" s="94">
        <f>SUM(AT169:BA169,AS169,BC169,Calculation!AQ169)</f>
        <v>60.682283976653686</v>
      </c>
      <c r="BM169" s="358">
        <f>0</f>
        <v>0</v>
      </c>
      <c r="BN169" s="358">
        <f>0</f>
        <v>0</v>
      </c>
      <c r="BP169" s="94">
        <f>SUM(BM169:BN169,W169,Sheet1!DX167)</f>
        <v>0</v>
      </c>
      <c r="BR169" s="94">
        <f>Sheet1!AA167</f>
        <v>31</v>
      </c>
      <c r="BS169" s="94">
        <f>Sheet1!AB167</f>
        <v>41.23</v>
      </c>
      <c r="BT169" s="94">
        <f t="shared" ca="1" si="34"/>
        <v>-4.4009061124039937</v>
      </c>
      <c r="BU169" s="94">
        <f>Sheet1!AT167</f>
        <v>0</v>
      </c>
      <c r="BV169" s="89">
        <f>Sheet1!BB167</f>
        <v>0</v>
      </c>
      <c r="BW169" s="94">
        <f>Calculation!ED169</f>
        <v>10.548142023346301</v>
      </c>
      <c r="BX169" s="94">
        <f>(Sheet1!CS167*1440)/1000000</f>
        <v>4.8457439999999998</v>
      </c>
      <c r="CA169" s="94">
        <f ca="1">Sheet1!AC167-Sheet1!BK167-Sheet1!BL167-Sheet1!BM167-Sheet1!BC167-Sheet1!BD167-Sheet1!BE167-Sheet1!BF167-Sheet1!BG167-Sheet1!BH167-Sheet1!BI167+BC169+P169</f>
        <v>62.154837887595995</v>
      </c>
      <c r="CB169" s="93">
        <f t="shared" si="35"/>
        <v>95.42183428988325</v>
      </c>
      <c r="CC169" s="94">
        <f t="shared" si="36"/>
        <v>0</v>
      </c>
      <c r="CD169" s="94">
        <f t="shared" ca="1" si="37"/>
        <v>72.702979910942304</v>
      </c>
      <c r="CE169" s="1077">
        <f t="shared" ca="1" si="38"/>
        <v>112.47150992222774</v>
      </c>
      <c r="CG169" s="1077">
        <f t="shared" ca="1" si="39"/>
        <v>62.154837887595995</v>
      </c>
    </row>
    <row r="170" spans="1:85" s="89" customFormat="1" x14ac:dyDescent="0.25">
      <c r="A170" s="616" t="s">
        <v>7</v>
      </c>
      <c r="B170" s="91">
        <v>42894</v>
      </c>
      <c r="C170" s="92">
        <v>0</v>
      </c>
      <c r="D170" s="94">
        <f>(Sheet1!BQ168-Sheet1!BQ167)*1.385</f>
        <v>0.76174999999999604</v>
      </c>
      <c r="E170" s="30">
        <f>(Sheet1!BR168-Sheet1!BR167)*1.385</f>
        <v>0.83099999999999707</v>
      </c>
      <c r="F170" s="30">
        <f ca="1">IF(B170=TODAY(),0,-(VLOOKUP(Sheet1!CD168,Lookup!$I$4:$J$216,2)-VLOOKUP(Sheet1!CD167,Lookup!$I$4:$J$216,2))/1000000)</f>
        <v>-1.2436432625735998</v>
      </c>
      <c r="G170" s="94">
        <f ca="1">IF(B170=TODAY(),0,-$G$6*(Sheet1!CF168-Sheet1!CF167)*7.48/1000000)</f>
        <v>7.9427002105118313E-2</v>
      </c>
      <c r="H170" s="94">
        <f ca="1">IF(B170=TODAY(),0,-$H$6*(Sheet1!CE168-Sheet1!CE167)*7.48/1000000)</f>
        <v>-3.0078864702530548E-2</v>
      </c>
      <c r="I170" s="94">
        <f ca="1">IF(B170=TODAY(),0,-$I$6*(Sheet1!CG168-Sheet1!CG167)*7.48/1000000)</f>
        <v>-0.11590619039999998</v>
      </c>
      <c r="J170" s="95" t="s">
        <v>177</v>
      </c>
      <c r="K170" s="94">
        <f ca="1">IF(B170=TODAY(),0,-$K$6*(Sheet1!CH168-Sheet1!CH167)*7.48/1000000)</f>
        <v>-0.20656293160821168</v>
      </c>
      <c r="L170" s="95" t="s">
        <v>177</v>
      </c>
      <c r="M170" s="94">
        <f ca="1">IF(B170=TODAY(),0,-$M$6*(Sheet1!CI168-Sheet1!CI167)*7.48/1000000)</f>
        <v>-0.52355289525558713</v>
      </c>
      <c r="N170" s="94">
        <f ca="1">IF(B170=TODAY(),0,-$N$6*(Sheet1!CJ168-Sheet1!CJ167)*7.48/1000000)</f>
        <v>-0.58949728124892775</v>
      </c>
      <c r="O170" s="94">
        <f t="shared" ca="1" si="40"/>
        <v>-2.6298144236837384</v>
      </c>
      <c r="P170" s="94">
        <f ca="1">O170+Calculation!ES170</f>
        <v>-4.1541019379157591</v>
      </c>
      <c r="Q170" s="89" t="str">
        <f>IF(Sheet1!BQ168&gt;25.75,"spill elevation","-")</f>
        <v>-</v>
      </c>
      <c r="R170" s="89" t="str">
        <f>IF(Sheet1!BQ168&gt;25.75,"spill elevation","-")</f>
        <v>-</v>
      </c>
      <c r="S170" s="89" t="str">
        <f>IF(Sheet1!BR168&gt;25.75,"spill elevation","-")</f>
        <v>-</v>
      </c>
      <c r="T170" s="93">
        <f>IF(Sheet1!DU168=1,Sheet1!AA168-(SUM(AT170:BA170)+BE170),Sheet1!AA168-SUM(AT170:BA170))</f>
        <v>29.369488</v>
      </c>
      <c r="U170" s="93">
        <f>Sheet1!BV168</f>
        <v>32.700000000000003</v>
      </c>
      <c r="V170" s="93">
        <f t="shared" si="41"/>
        <v>-3.3305120000000024</v>
      </c>
      <c r="W170" s="93">
        <f>0</f>
        <v>0</v>
      </c>
      <c r="X170" s="89">
        <f>0</f>
        <v>0</v>
      </c>
      <c r="Y170" s="94">
        <f ca="1">Calculation!EJ171+Calculation!ES170+'Calculations II'!O170-'Calculations II'!W170</f>
        <v>51.27981196125257</v>
      </c>
      <c r="Z170" s="94">
        <f ca="1">Y170-Sheet1!CT169</f>
        <v>35.778811961252572</v>
      </c>
      <c r="AA170" s="94">
        <f ca="1">Y170+Calculation!DJ171+Calculation!AS171</f>
        <v>63.926985252777058</v>
      </c>
      <c r="AC170" s="94">
        <f>Sheet1!AA168+Sheet1!AB168+BC170</f>
        <v>71.700543999999994</v>
      </c>
      <c r="AD170" s="94">
        <f>Sheet1!AA168+Sheet1!BN168+'Calculations II'!BC170-Calculation!AS170-Calculation!DJ170</f>
        <v>44.345990653598427</v>
      </c>
      <c r="AE170" s="94">
        <f>Sheet1!AA168+Sheet1!AB168+'Calculations II'!BC170-Calculation!AS170-Calculation!DJ170</f>
        <v>58.075990653598424</v>
      </c>
      <c r="AF170" s="94">
        <f ca="1">Sheet1!AA168+Sheet1!BN168+P170+'Calculations II'!BC170+Calculation!AS170+Calculation!DJ170</f>
        <v>67.440995408485804</v>
      </c>
      <c r="AG170" s="94">
        <f ca="1">IF(B170=TODAY(),0,Sheet1!AA168+Sheet1!BN168+'Calculations II'!BC170+'Calculations II'!P170-Sheet1!CT168-BP170)</f>
        <v>37.850442062084234</v>
      </c>
      <c r="AH170" s="94">
        <f ca="1">IF(B170=TODAY(),0,Sheet1!AA168+Sheet1!BN168+'Calculations II'!BC170+'Calculations II'!P170-BP170)</f>
        <v>53.816442062084235</v>
      </c>
      <c r="AI170" s="94">
        <f ca="1">IF(B170=TODAY(),0,BC170+Sheet1!AA168+Calculation!ES170+O170+W170+Sheet1!BN168+Calculation!AS170+Calculation!DJ170-BP170)</f>
        <v>67.440995408485804</v>
      </c>
      <c r="AJ170" s="94"/>
      <c r="AM170" s="90">
        <f t="shared" si="42"/>
        <v>42894</v>
      </c>
      <c r="AN170" s="94">
        <f>Sheet1!BU168</f>
        <v>29</v>
      </c>
      <c r="AO170" s="94">
        <f>Sheet1!AA168</f>
        <v>31</v>
      </c>
      <c r="AP170" s="94">
        <f t="shared" si="31"/>
        <v>1.592749999999993</v>
      </c>
      <c r="AQ170" s="1087">
        <f>((Sheet1!BV168-(Sheet1!BU168-AP170))/(Sheet1!BU168-AP170))</f>
        <v>0.19311496045754292</v>
      </c>
      <c r="AR170" s="94">
        <f t="shared" si="32"/>
        <v>29.407250000000008</v>
      </c>
      <c r="AS170" s="94">
        <f t="shared" si="33"/>
        <v>27.407250000000008</v>
      </c>
      <c r="AT170" s="89">
        <f>Sheet1!BB168</f>
        <v>0</v>
      </c>
      <c r="AU170" s="89">
        <f>Sheet1!AS168*GPMtoMGD</f>
        <v>1.6416E-2</v>
      </c>
      <c r="AV170" s="94">
        <f>Sheet1!AT168</f>
        <v>0</v>
      </c>
      <c r="AW170" s="89">
        <f>Sheet1!AV168*GPMtoMGD</f>
        <v>0.69019200000000003</v>
      </c>
      <c r="AX170" s="89">
        <f>Sheet1!AW168*GPMtoMGD</f>
        <v>0.92390400000000006</v>
      </c>
      <c r="AY170" s="89">
        <f>Sheet1!AX168*GPMtoMGD</f>
        <v>0</v>
      </c>
      <c r="AZ170" s="89">
        <f>Sheet1!AY168*GPMtoMGD</f>
        <v>0</v>
      </c>
      <c r="BA170" s="89">
        <f>Sheet1!AZ168*GPMtoMGD</f>
        <v>0</v>
      </c>
      <c r="BB170" s="89">
        <f>Sheet1!BP168*GPMtoMGD</f>
        <v>2.7360000000000002E-3</v>
      </c>
      <c r="BC170" s="89">
        <f>Sheet1!CS168*GPMtoMGD</f>
        <v>4.8205439999999999</v>
      </c>
      <c r="BD170" s="89">
        <f>Sheet1!BO168*GPMtoMGD</f>
        <v>2.7233280000000004</v>
      </c>
      <c r="BE170" s="89">
        <f>Sheet1!BW168*GPMtoMGD</f>
        <v>0.96307200000000004</v>
      </c>
      <c r="BF170" s="89">
        <f>Sheet1!CN168*GPMtoMGD</f>
        <v>2.4135840000000002</v>
      </c>
      <c r="BG170" s="89">
        <f>Sheet1!CO168*GPMtoMGD</f>
        <v>1.075968</v>
      </c>
      <c r="BH170" s="89">
        <f>Sheet1!CP168*GPMtoMGD</f>
        <v>0.88718400000000008</v>
      </c>
      <c r="BI170" s="89">
        <f t="shared" si="43"/>
        <v>2.7260640000000005</v>
      </c>
      <c r="BK170" s="94">
        <f>SUM(AT170:BA170,AS170,BC170,Calculation!AQ170)</f>
        <v>56.113752653598439</v>
      </c>
      <c r="BM170" s="358">
        <f>0</f>
        <v>0</v>
      </c>
      <c r="BN170" s="358">
        <f>0</f>
        <v>0</v>
      </c>
      <c r="BP170" s="94">
        <f>SUM(BM170:BN170,W170,Sheet1!DX168)</f>
        <v>0</v>
      </c>
      <c r="BR170" s="94">
        <f>Sheet1!AA168</f>
        <v>31</v>
      </c>
      <c r="BS170" s="94">
        <f>Sheet1!AB168</f>
        <v>35.880000000000003</v>
      </c>
      <c r="BT170" s="94">
        <f t="shared" ca="1" si="34"/>
        <v>-4.1541019379157591</v>
      </c>
      <c r="BU170" s="94">
        <f>Sheet1!AT168</f>
        <v>0</v>
      </c>
      <c r="BV170" s="89">
        <f>Sheet1!BB168</f>
        <v>0</v>
      </c>
      <c r="BW170" s="94">
        <f>Calculation!ED170</f>
        <v>13.624553346401569</v>
      </c>
      <c r="BX170" s="94">
        <f>(Sheet1!CS168*1440)/1000000</f>
        <v>4.8205439999999999</v>
      </c>
      <c r="CA170" s="94">
        <f ca="1">Sheet1!AC168-Sheet1!BK168-Sheet1!BL168-Sheet1!BM168-Sheet1!BC168-Sheet1!BD168-Sheet1!BE168-Sheet1!BF168-Sheet1!BG168-Sheet1!BH168-Sheet1!BI168+BC170+P170</f>
        <v>53.986442062084222</v>
      </c>
      <c r="CB170" s="93">
        <f t="shared" si="35"/>
        <v>82.386175973116764</v>
      </c>
      <c r="CC170" s="94">
        <f t="shared" si="36"/>
        <v>0</v>
      </c>
      <c r="CD170" s="94">
        <f t="shared" ca="1" si="37"/>
        <v>67.610995408485792</v>
      </c>
      <c r="CE170" s="1077">
        <f t="shared" ca="1" si="38"/>
        <v>104.59420989692751</v>
      </c>
      <c r="CG170" s="1077">
        <f t="shared" ca="1" si="39"/>
        <v>53.986442062084222</v>
      </c>
    </row>
    <row r="171" spans="1:85" s="89" customFormat="1" x14ac:dyDescent="0.25">
      <c r="A171" s="616" t="s">
        <v>8</v>
      </c>
      <c r="B171" s="91">
        <v>42895</v>
      </c>
      <c r="C171" s="92">
        <v>0</v>
      </c>
      <c r="D171" s="94">
        <f>(Sheet1!BQ169-Sheet1!BQ168)*1.385</f>
        <v>1.3019000000000018</v>
      </c>
      <c r="E171" s="30">
        <f>(Sheet1!BR169-Sheet1!BR168)*1.385</f>
        <v>1.2742000000000024</v>
      </c>
      <c r="F171" s="30">
        <f ca="1">IF(B171=TODAY(),0,-(VLOOKUP(Sheet1!CD169,Lookup!$I$4:$J$216,2)-VLOOKUP(Sheet1!CD168,Lookup!$I$4:$J$216,2))/1000000)</f>
        <v>-0.31091081564339806</v>
      </c>
      <c r="G171" s="94">
        <f ca="1">IF(B171=TODAY(),0,-$G$6*(Sheet1!CF169-Sheet1!CF168)*7.48/1000000)</f>
        <v>-0.67512951789350772</v>
      </c>
      <c r="H171" s="94">
        <f ca="1">IF(B171=TODAY(),0,-$H$6*(Sheet1!CE169-Sheet1!CE168)*7.48/1000000)</f>
        <v>-1.5039432351265274E-2</v>
      </c>
      <c r="I171" s="94">
        <f ca="1">IF(B171=TODAY(),0,-$I$6*(Sheet1!CG169-Sheet1!CG168)*7.48/1000000)</f>
        <v>5.3011358399999993E-2</v>
      </c>
      <c r="J171" s="95" t="s">
        <v>177</v>
      </c>
      <c r="K171" s="94">
        <f ca="1">IF(B171=TODAY(),0,-$K$6*(Sheet1!CH169-Sheet1!CH168)*7.48/1000000)</f>
        <v>9.9949805616876636E-2</v>
      </c>
      <c r="L171" s="95" t="s">
        <v>177</v>
      </c>
      <c r="M171" s="94">
        <f ca="1">IF(B171=TODAY(),0,-$M$6*(Sheet1!CI169-Sheet1!CI168)*7.48/1000000)</f>
        <v>0.1997057435511001</v>
      </c>
      <c r="N171" s="94">
        <f ca="1">IF(B171=TODAY(),0,-$N$6*(Sheet1!CJ169-Sheet1!CJ168)*7.48/1000000)</f>
        <v>8.066804901301157E-2</v>
      </c>
      <c r="O171" s="94">
        <f t="shared" ca="1" si="40"/>
        <v>-0.56774480930718285</v>
      </c>
      <c r="P171" s="94">
        <f ca="1">O171+Calculation!ES171</f>
        <v>-3.3401324589546237</v>
      </c>
      <c r="Q171" s="89" t="str">
        <f>IF(Sheet1!BQ169&gt;25.75,"spill elevation","-")</f>
        <v>-</v>
      </c>
      <c r="R171" s="89" t="str">
        <f>IF(Sheet1!BQ169&gt;25.75,"spill elevation","-")</f>
        <v>-</v>
      </c>
      <c r="S171" s="89" t="str">
        <f>IF(Sheet1!BR169&gt;25.75,"spill elevation","-")</f>
        <v>-</v>
      </c>
      <c r="T171" s="93">
        <f>IF(Sheet1!DU169=1,Sheet1!AA169-(SUM(AT171:BA171)+BE171),Sheet1!AA169-SUM(AT171:BA171))</f>
        <v>29.259328</v>
      </c>
      <c r="U171" s="93">
        <f>Sheet1!BV169</f>
        <v>31.5</v>
      </c>
      <c r="V171" s="93">
        <f t="shared" si="41"/>
        <v>-2.240672</v>
      </c>
      <c r="W171" s="93">
        <f>0</f>
        <v>0</v>
      </c>
      <c r="X171" s="89">
        <f>0</f>
        <v>0</v>
      </c>
      <c r="Y171" s="94">
        <f ca="1">Calculation!EJ172+Calculation!ES171+'Calculations II'!O171-'Calculations II'!W171</f>
        <v>52.018444915734854</v>
      </c>
      <c r="Z171" s="94">
        <f ca="1">Y171-Sheet1!CT170</f>
        <v>36.11144491573485</v>
      </c>
      <c r="AA171" s="94">
        <f ca="1">Y171+Calculation!DJ172+Calculation!AS172</f>
        <v>65.057399785093523</v>
      </c>
      <c r="AC171" s="94">
        <f>Sheet1!AA169+Sheet1!AB169+BC171</f>
        <v>68.908159999999995</v>
      </c>
      <c r="AD171" s="94">
        <f>Sheet1!AA169+Sheet1!BN169+'Calculations II'!BC171-Calculation!AS171-Calculation!DJ171</f>
        <v>43.260986708475514</v>
      </c>
      <c r="AE171" s="94">
        <f>Sheet1!AA169+Sheet1!AB169+'Calculations II'!BC171-Calculation!AS171-Calculation!DJ171</f>
        <v>56.260986708475507</v>
      </c>
      <c r="AF171" s="94">
        <f ca="1">Sheet1!AA169+Sheet1!BN169+P171+'Calculations II'!BC171+Calculation!AS171+Calculation!DJ171</f>
        <v>65.215200832569863</v>
      </c>
      <c r="AG171" s="94">
        <f ca="1">IF(B171=TODAY(),0,Sheet1!AA169+Sheet1!BN169+'Calculations II'!BC171+'Calculations II'!P171-Sheet1!CT169-BP171)</f>
        <v>37.067027541045384</v>
      </c>
      <c r="AH171" s="94">
        <f ca="1">IF(B171=TODAY(),0,Sheet1!AA169+Sheet1!BN169+'Calculations II'!BC171+'Calculations II'!P171-BP171)</f>
        <v>52.568027541045382</v>
      </c>
      <c r="AI171" s="94">
        <f ca="1">IF(B171=TODAY(),0,BC171+Sheet1!AA169+Calculation!ES171+O171+W171+Sheet1!BN169+Calculation!AS171+Calculation!DJ171-BP171)</f>
        <v>65.215200832569863</v>
      </c>
      <c r="AJ171" s="94"/>
      <c r="AM171" s="90">
        <f t="shared" si="42"/>
        <v>42895</v>
      </c>
      <c r="AN171" s="94">
        <f>Sheet1!BU169</f>
        <v>29</v>
      </c>
      <c r="AO171" s="94">
        <f>Sheet1!AA169</f>
        <v>31</v>
      </c>
      <c r="AP171" s="94">
        <f t="shared" si="31"/>
        <v>2.5761000000000043</v>
      </c>
      <c r="AQ171" s="1087">
        <f>((Sheet1!BV169-(Sheet1!BU169-AP171))/(Sheet1!BU169-AP171))</f>
        <v>0.19210260408191088</v>
      </c>
      <c r="AR171" s="94">
        <f t="shared" si="32"/>
        <v>28.423899999999996</v>
      </c>
      <c r="AS171" s="94">
        <f t="shared" si="33"/>
        <v>26.423899999999996</v>
      </c>
      <c r="AT171" s="89">
        <f>Sheet1!BB169</f>
        <v>0</v>
      </c>
      <c r="AU171" s="89">
        <f>Sheet1!AS169*GPMtoMGD</f>
        <v>3.2832E-2</v>
      </c>
      <c r="AV171" s="94">
        <f>Sheet1!AT169</f>
        <v>0</v>
      </c>
      <c r="AW171" s="89">
        <f>Sheet1!AV169*GPMtoMGD</f>
        <v>0.82468800000000009</v>
      </c>
      <c r="AX171" s="89">
        <f>Sheet1!AW169*GPMtoMGD</f>
        <v>0.88315199999999994</v>
      </c>
      <c r="AY171" s="89">
        <f>Sheet1!AX169*GPMtoMGD</f>
        <v>0</v>
      </c>
      <c r="AZ171" s="89">
        <f>Sheet1!AY169*GPMtoMGD</f>
        <v>0</v>
      </c>
      <c r="BA171" s="89">
        <f>Sheet1!AZ169*GPMtoMGD</f>
        <v>0</v>
      </c>
      <c r="BB171" s="89">
        <f>Sheet1!BP169*GPMtoMGD</f>
        <v>2.8800000000000002E-3</v>
      </c>
      <c r="BC171" s="89">
        <f>Sheet1!CS169*GPMtoMGD</f>
        <v>4.80816</v>
      </c>
      <c r="BD171" s="89">
        <f>Sheet1!BO169*GPMtoMGD</f>
        <v>1.9608480000000001</v>
      </c>
      <c r="BE171" s="89">
        <f>Sheet1!BW169*GPMtoMGD</f>
        <v>1.0385280000000001</v>
      </c>
      <c r="BF171" s="89">
        <f>Sheet1!CN169*GPMtoMGD</f>
        <v>2.1356639999999998</v>
      </c>
      <c r="BG171" s="89">
        <f>Sheet1!CO169*GPMtoMGD</f>
        <v>0.9953280000000001</v>
      </c>
      <c r="BH171" s="89">
        <f>Sheet1!CP169*GPMtoMGD</f>
        <v>0.87825600000000004</v>
      </c>
      <c r="BI171" s="89">
        <f t="shared" si="43"/>
        <v>1.9637280000000001</v>
      </c>
      <c r="BK171" s="94">
        <f>SUM(AT171:BA171,AS171,BC171,Calculation!AQ171)</f>
        <v>53.425558708475513</v>
      </c>
      <c r="BM171" s="358">
        <f>0</f>
        <v>0</v>
      </c>
      <c r="BN171" s="358">
        <f>0</f>
        <v>0</v>
      </c>
      <c r="BP171" s="94">
        <f>SUM(BM171:BN171,W171,Sheet1!DX169)</f>
        <v>0</v>
      </c>
      <c r="BR171" s="94">
        <f>Sheet1!AA169</f>
        <v>31</v>
      </c>
      <c r="BS171" s="94">
        <f>Sheet1!AB169</f>
        <v>33.1</v>
      </c>
      <c r="BT171" s="94">
        <f t="shared" ca="1" si="34"/>
        <v>-3.3401324589546237</v>
      </c>
      <c r="BU171" s="94">
        <f>Sheet1!AT169</f>
        <v>0</v>
      </c>
      <c r="BV171" s="89">
        <f>Sheet1!BB169</f>
        <v>0</v>
      </c>
      <c r="BW171" s="94">
        <f>Calculation!ED171</f>
        <v>12.647173291524487</v>
      </c>
      <c r="BX171" s="94">
        <f>(Sheet1!CS169*1440)/1000000</f>
        <v>4.80816</v>
      </c>
      <c r="CA171" s="94">
        <f ca="1">Sheet1!AC169-Sheet1!BK169-Sheet1!BL169-Sheet1!BM169-Sheet1!BC169-Sheet1!BD169-Sheet1!BE169-Sheet1!BF169-Sheet1!BG169-Sheet1!BH169-Sheet1!BI169+BC171+P171</f>
        <v>53.139027541045373</v>
      </c>
      <c r="CB171" s="93">
        <f t="shared" si="35"/>
        <v>79.597522918011606</v>
      </c>
      <c r="CC171" s="94">
        <f t="shared" si="36"/>
        <v>0</v>
      </c>
      <c r="CD171" s="94">
        <f t="shared" ca="1" si="37"/>
        <v>65.786200832569861</v>
      </c>
      <c r="CE171" s="1077">
        <f t="shared" ca="1" si="38"/>
        <v>101.77125268798557</v>
      </c>
      <c r="CG171" s="1077">
        <f t="shared" ca="1" si="39"/>
        <v>53.139027541045373</v>
      </c>
    </row>
    <row r="172" spans="1:85" s="89" customFormat="1" x14ac:dyDescent="0.25">
      <c r="A172" s="616" t="s">
        <v>9</v>
      </c>
      <c r="B172" s="91">
        <v>42896</v>
      </c>
      <c r="C172" s="92">
        <v>0</v>
      </c>
      <c r="D172" s="94">
        <f>(Sheet1!BQ170-Sheet1!BQ169)*1.385</f>
        <v>0.58170000000000233</v>
      </c>
      <c r="E172" s="30">
        <f>(Sheet1!BR170-Sheet1!BR169)*1.385</f>
        <v>0.58169999999999744</v>
      </c>
      <c r="F172" s="30">
        <f ca="1">IF(B172=TODAY(),0,-(VLOOKUP(Sheet1!CD170,Lookup!$I$4:$J$216,2)-VLOOKUP(Sheet1!CD169,Lookup!$I$4:$J$216,2))/1000000)</f>
        <v>1.6581910167648028</v>
      </c>
      <c r="G172" s="94">
        <f ca="1">IF(B172=TODAY(),0,-$G$6*(Sheet1!CF170-Sheet1!CF169)*7.48/1000000)</f>
        <v>0.87369702315630426</v>
      </c>
      <c r="H172" s="94">
        <f ca="1">IF(B172=TODAY(),0,-$H$6*(Sheet1!CE170-Sheet1!CE169)*7.48/1000000)</f>
        <v>1.5039432351265274E-2</v>
      </c>
      <c r="I172" s="94">
        <f ca="1">IF(B172=TODAY(),0,-$I$6*(Sheet1!CG170-Sheet1!CG169)*7.48/1000000)</f>
        <v>4.0432391999999977E-2</v>
      </c>
      <c r="J172" s="95" t="s">
        <v>177</v>
      </c>
      <c r="K172" s="94">
        <f ca="1">IF(B172=TODAY(),0,-$K$6*(Sheet1!CH170-Sheet1!CH169)*7.48/1000000)</f>
        <v>5.9969883370126001E-2</v>
      </c>
      <c r="L172" s="95" t="s">
        <v>177</v>
      </c>
      <c r="M172" s="94">
        <f ca="1">IF(B172=TODAY(),0,-$M$6*(Sheet1!CI170-Sheet1!CI169)*7.48/1000000)</f>
        <v>0.23388960956435173</v>
      </c>
      <c r="N172" s="94">
        <f ca="1">IF(B172=TODAY(),0,-$N$6*(Sheet1!CJ170-Sheet1!CJ169)*7.48/1000000)</f>
        <v>0.44677688684129141</v>
      </c>
      <c r="O172" s="94">
        <f t="shared" ca="1" si="40"/>
        <v>3.3279962440481419</v>
      </c>
      <c r="P172" s="94">
        <f ca="1">O172+Calculation!ES172</f>
        <v>2.218682122782015</v>
      </c>
      <c r="Q172" s="89" t="str">
        <f>IF(Sheet1!BQ170&gt;25.75,"spill elevation","-")</f>
        <v>-</v>
      </c>
      <c r="R172" s="89" t="str">
        <f>IF(Sheet1!BQ170&gt;25.75,"spill elevation","-")</f>
        <v>-</v>
      </c>
      <c r="S172" s="89" t="str">
        <f>IF(Sheet1!BR170&gt;25.75,"spill elevation","-")</f>
        <v>-</v>
      </c>
      <c r="T172" s="93">
        <f>IF(Sheet1!DU170=1,Sheet1!AA170-(SUM(AT172:BA172)+BE172),Sheet1!AA170-SUM(AT172:BA172))</f>
        <v>28.726528000000002</v>
      </c>
      <c r="U172" s="93">
        <f>Sheet1!BV170</f>
        <v>32.6</v>
      </c>
      <c r="V172" s="93">
        <f t="shared" si="41"/>
        <v>-3.8734719999999996</v>
      </c>
      <c r="W172" s="93">
        <f>0</f>
        <v>0</v>
      </c>
      <c r="X172" s="89">
        <f>0</f>
        <v>0</v>
      </c>
      <c r="Y172" s="94">
        <f ca="1">Calculation!EJ173+Calculation!ES172+'Calculations II'!O172-'Calculations II'!W172</f>
        <v>53.397262889523034</v>
      </c>
      <c r="Z172" s="94">
        <f ca="1">Y172-Sheet1!CT171</f>
        <v>37.924262889523035</v>
      </c>
      <c r="AA172" s="94">
        <f ca="1">Y172+Calculation!DJ173+Calculation!AS173</f>
        <v>66.895453028903106</v>
      </c>
      <c r="AC172" s="94">
        <f>Sheet1!AA170+Sheet1!AB170+BC172</f>
        <v>65.196063999999993</v>
      </c>
      <c r="AD172" s="94">
        <f>Sheet1!AA170+Sheet1!BN170+'Calculations II'!BC172-Calculation!AS172-Calculation!DJ172</f>
        <v>39.157109130641331</v>
      </c>
      <c r="AE172" s="94">
        <f>Sheet1!AA170+Sheet1!AB170+'Calculations II'!BC172-Calculation!AS172-Calculation!DJ172</f>
        <v>52.157109130641324</v>
      </c>
      <c r="AF172" s="94">
        <f ca="1">Sheet1!AA170+Sheet1!BN170+P172+'Calculations II'!BC172+Calculation!AS172+Calculation!DJ172</f>
        <v>67.453700992140682</v>
      </c>
      <c r="AG172" s="94">
        <f ca="1">IF(B172=TODAY(),0,Sheet1!AA170+Sheet1!BN170+'Calculations II'!BC172+'Calculations II'!P172-Sheet1!CT170-BP172)</f>
        <v>38.507746122782009</v>
      </c>
      <c r="AH172" s="94">
        <f ca="1">IF(B172=TODAY(),0,Sheet1!AA170+Sheet1!BN170+'Calculations II'!BC172+'Calculations II'!P172-BP172)</f>
        <v>54.414746122782013</v>
      </c>
      <c r="AI172" s="94">
        <f ca="1">IF(B172=TODAY(),0,BC172+Sheet1!AA170+Calculation!ES172+O172+W172+Sheet1!BN170+Calculation!AS172+Calculation!DJ172-BP172)</f>
        <v>67.453700992140682</v>
      </c>
      <c r="AJ172" s="94"/>
      <c r="AM172" s="90">
        <f t="shared" si="42"/>
        <v>42896</v>
      </c>
      <c r="AN172" s="94">
        <f>Sheet1!BU170</f>
        <v>28.6</v>
      </c>
      <c r="AO172" s="94">
        <f>Sheet1!AA170</f>
        <v>31</v>
      </c>
      <c r="AP172" s="94">
        <f t="shared" si="31"/>
        <v>1.1633999999999998</v>
      </c>
      <c r="AQ172" s="1087">
        <f>((Sheet1!BV170-(Sheet1!BU170-AP172))/(Sheet1!BU170-AP172))</f>
        <v>0.18819387241859409</v>
      </c>
      <c r="AR172" s="94">
        <f t="shared" si="32"/>
        <v>29.836600000000001</v>
      </c>
      <c r="AS172" s="94">
        <f t="shared" si="33"/>
        <v>27.436600000000002</v>
      </c>
      <c r="AT172" s="89">
        <f>Sheet1!BB170</f>
        <v>0</v>
      </c>
      <c r="AU172" s="89">
        <f>Sheet1!AS170*GPMtoMGD</f>
        <v>1.7568E-2</v>
      </c>
      <c r="AV172" s="94">
        <f>Sheet1!AT170</f>
        <v>0</v>
      </c>
      <c r="AW172" s="89">
        <f>Sheet1!AV170*GPMtoMGD</f>
        <v>1.0275840000000001</v>
      </c>
      <c r="AX172" s="89">
        <f>Sheet1!AW170*GPMtoMGD</f>
        <v>1.2283200000000001</v>
      </c>
      <c r="AY172" s="89">
        <f>Sheet1!AX170*GPMtoMGD</f>
        <v>0</v>
      </c>
      <c r="AZ172" s="89">
        <f>Sheet1!AY170*GPMtoMGD</f>
        <v>0</v>
      </c>
      <c r="BA172" s="89">
        <f>Sheet1!AZ170*GPMtoMGD</f>
        <v>0</v>
      </c>
      <c r="BB172" s="89">
        <f>Sheet1!BP170*GPMtoMGD</f>
        <v>2.8800000000000002E-3</v>
      </c>
      <c r="BC172" s="89">
        <f>Sheet1!CS170*GPMtoMGD</f>
        <v>4.7960640000000003</v>
      </c>
      <c r="BD172" s="89">
        <f>Sheet1!BO170*GPMtoMGD</f>
        <v>2.1113280000000003</v>
      </c>
      <c r="BE172" s="89">
        <f>Sheet1!BW170*GPMtoMGD</f>
        <v>1.100592</v>
      </c>
      <c r="BF172" s="89">
        <f>Sheet1!CN170*GPMtoMGD</f>
        <v>2.294496E-2</v>
      </c>
      <c r="BG172" s="89">
        <f>Sheet1!CO170*GPMtoMGD</f>
        <v>1.038672</v>
      </c>
      <c r="BH172" s="89">
        <f>Sheet1!CP170*GPMtoMGD</f>
        <v>0.78220800000000013</v>
      </c>
      <c r="BI172" s="89">
        <f t="shared" si="43"/>
        <v>2.1142080000000005</v>
      </c>
      <c r="BK172" s="94">
        <f>SUM(AT172:BA172,AS172,BC172,Calculation!AQ172)</f>
        <v>50.867181130641335</v>
      </c>
      <c r="BM172" s="358">
        <f>0</f>
        <v>0</v>
      </c>
      <c r="BN172" s="358">
        <f>0</f>
        <v>0</v>
      </c>
      <c r="BP172" s="94">
        <f>SUM(BM172:BN172,W172,Sheet1!DX170)</f>
        <v>0</v>
      </c>
      <c r="BR172" s="94">
        <f>Sheet1!AA170</f>
        <v>31</v>
      </c>
      <c r="BS172" s="94">
        <f>Sheet1!AB170</f>
        <v>29.4</v>
      </c>
      <c r="BT172" s="94">
        <f t="shared" ca="1" si="34"/>
        <v>2.218682122782015</v>
      </c>
      <c r="BU172" s="94">
        <f>Sheet1!AT170</f>
        <v>0</v>
      </c>
      <c r="BV172" s="89">
        <f>Sheet1!BB170</f>
        <v>0</v>
      </c>
      <c r="BW172" s="94">
        <f>Calculation!ED172</f>
        <v>13.038954869358669</v>
      </c>
      <c r="BX172" s="94">
        <f>(Sheet1!CS170*1440)/1000000</f>
        <v>4.7960640000000003</v>
      </c>
      <c r="CA172" s="94">
        <f ca="1">Sheet1!AC170-Sheet1!BK170-Sheet1!BL170-Sheet1!BM170-Sheet1!BC170-Sheet1!BD170-Sheet1!BE170-Sheet1!BF170-Sheet1!BG170-Sheet1!BH170-Sheet1!BI170+BC172+P172</f>
        <v>54.34474612278202</v>
      </c>
      <c r="CB172" s="93">
        <f t="shared" si="35"/>
        <v>73.26753681710214</v>
      </c>
      <c r="CC172" s="94">
        <f t="shared" si="36"/>
        <v>0</v>
      </c>
      <c r="CD172" s="94">
        <f t="shared" ca="1" si="37"/>
        <v>67.383700992140689</v>
      </c>
      <c r="CE172" s="1077">
        <f t="shared" ca="1" si="38"/>
        <v>104.24258543484164</v>
      </c>
      <c r="CG172" s="1077">
        <f t="shared" ca="1" si="39"/>
        <v>54.34474612278202</v>
      </c>
    </row>
    <row r="173" spans="1:85" s="89" customFormat="1" x14ac:dyDescent="0.25">
      <c r="A173" s="616" t="s">
        <v>3</v>
      </c>
      <c r="B173" s="91">
        <v>42897</v>
      </c>
      <c r="C173" s="92">
        <v>0</v>
      </c>
      <c r="D173" s="94">
        <f>(Sheet1!BQ171-Sheet1!BQ170)*1.385</f>
        <v>-3.545600000000003</v>
      </c>
      <c r="E173" s="30">
        <f>(Sheet1!BR171-Sheet1!BR170)*1.385</f>
        <v>-3.5317500000000011</v>
      </c>
      <c r="F173" s="30">
        <f ca="1">IF(B173=TODAY(),0,-(VLOOKUP(Sheet1!CD171,Lookup!$I$4:$J$216,2)-VLOOKUP(Sheet1!CD170,Lookup!$I$4:$J$216,2))/1000000)</f>
        <v>-0.10363693854780495</v>
      </c>
      <c r="G173" s="94">
        <f ca="1">IF(B173=TODAY(),0,-$G$6*(Sheet1!CF171-Sheet1!CF170)*7.48/1000000)</f>
        <v>-0.71484301894606628</v>
      </c>
      <c r="H173" s="94">
        <f ca="1">IF(B173=TODAY(),0,-$H$6*(Sheet1!CE171-Sheet1!CE170)*7.48/1000000)</f>
        <v>6.0157729405060027E-2</v>
      </c>
      <c r="I173" s="94">
        <f ca="1">IF(B173=TODAY(),0,-$I$6*(Sheet1!CG171-Sheet1!CG170)*7.48/1000000)</f>
        <v>0</v>
      </c>
      <c r="J173" s="95" t="s">
        <v>177</v>
      </c>
      <c r="K173" s="94">
        <f ca="1">IF(B173=TODAY(),0,-$K$6*(Sheet1!CH171-Sheet1!CH170)*7.48/1000000)</f>
        <v>0</v>
      </c>
      <c r="L173" s="95" t="s">
        <v>177</v>
      </c>
      <c r="M173" s="94">
        <f ca="1">IF(B173=TODAY(),0,-$M$6*(Sheet1!CI171-Sheet1!CI170)*7.48/1000000)</f>
        <v>0</v>
      </c>
      <c r="N173" s="94">
        <f ca="1">IF(B173=TODAY(),0,-$N$6*(Sheet1!CJ171-Sheet1!CJ170)*7.48/1000000)</f>
        <v>0.34749313420989419</v>
      </c>
      <c r="O173" s="94">
        <f t="shared" ca="1" si="40"/>
        <v>-0.41082909387891703</v>
      </c>
      <c r="P173" s="94">
        <f ca="1">O173+Calculation!ES173</f>
        <v>6.7960454767157739</v>
      </c>
      <c r="Q173" s="89" t="str">
        <f>IF(Sheet1!BQ171&gt;25.75,"spill elevation","-")</f>
        <v>-</v>
      </c>
      <c r="R173" s="89" t="str">
        <f>IF(Sheet1!BQ171&gt;25.75,"spill elevation","-")</f>
        <v>-</v>
      </c>
      <c r="S173" s="89" t="str">
        <f>IF(Sheet1!BR171&gt;25.75,"spill elevation","-")</f>
        <v>-</v>
      </c>
      <c r="T173" s="93">
        <f>IF(Sheet1!DU171=1,Sheet1!AA171-(SUM(AT173:BA173)+BE173),Sheet1!AA171-SUM(AT173:BA173))</f>
        <v>28.799679999999999</v>
      </c>
      <c r="U173" s="93">
        <f>Sheet1!BV171</f>
        <v>42</v>
      </c>
      <c r="V173" s="93">
        <f t="shared" si="41"/>
        <v>-13.200320000000001</v>
      </c>
      <c r="W173" s="93">
        <f>0</f>
        <v>0</v>
      </c>
      <c r="X173" s="89">
        <f>0</f>
        <v>0</v>
      </c>
      <c r="Y173" s="94">
        <f ca="1">Calculation!EJ174+Calculation!ES173+'Calculations II'!O173-'Calculations II'!W173</f>
        <v>61.79565826674903</v>
      </c>
      <c r="Z173" s="94">
        <f ca="1">Y173-Sheet1!CT172</f>
        <v>46.347658266749029</v>
      </c>
      <c r="AA173" s="94">
        <f ca="1">Y173+Calculation!DJ174+Calculation!AS174</f>
        <v>75.623852627876801</v>
      </c>
      <c r="AC173" s="94">
        <f>Sheet1!AA171+Sheet1!AB171+BC173</f>
        <v>65.187280000000001</v>
      </c>
      <c r="AD173" s="94">
        <f>Sheet1!AA171+Sheet1!BN171+'Calculations II'!BC173-Calculation!AS173-Calculation!DJ173</f>
        <v>37.889089860619933</v>
      </c>
      <c r="AE173" s="94">
        <f>Sheet1!AA171+Sheet1!AB171+'Calculations II'!BC173-Calculation!AS173-Calculation!DJ173</f>
        <v>51.68908986061993</v>
      </c>
      <c r="AF173" s="94">
        <f ca="1">Sheet1!AA171+Sheet1!BN171+P173+'Calculations II'!BC173+Calculation!AS173+Calculation!DJ173</f>
        <v>71.681515616095851</v>
      </c>
      <c r="AG173" s="94">
        <f ca="1">IF(B173=TODAY(),0,Sheet1!AA171+Sheet1!BN171+'Calculations II'!BC173+'Calculations II'!P173-Sheet1!CT171-BP173)</f>
        <v>42.710325476715781</v>
      </c>
      <c r="AH173" s="94">
        <f ca="1">IF(B173=TODAY(),0,Sheet1!AA171+Sheet1!BN171+'Calculations II'!BC173+'Calculations II'!P173-BP173)</f>
        <v>58.18332547671578</v>
      </c>
      <c r="AI173" s="94">
        <f ca="1">IF(B173=TODAY(),0,BC173+Sheet1!AA171+Calculation!ES173+O173+W173+Sheet1!BN171+Calculation!AS173+Calculation!DJ173-BP173)</f>
        <v>71.681515616095851</v>
      </c>
      <c r="AJ173" s="94"/>
      <c r="AM173" s="90">
        <f t="shared" si="42"/>
        <v>42897</v>
      </c>
      <c r="AN173" s="94">
        <f>Sheet1!BU171</f>
        <v>28.7</v>
      </c>
      <c r="AO173" s="94">
        <f>Sheet1!AA171</f>
        <v>31</v>
      </c>
      <c r="AP173" s="94">
        <f t="shared" si="31"/>
        <v>-7.0773500000000045</v>
      </c>
      <c r="AQ173" s="1087">
        <f>((Sheet1!BV171-(Sheet1!BU171-AP173))/(Sheet1!BU171-AP173))</f>
        <v>0.17392707956290765</v>
      </c>
      <c r="AR173" s="94">
        <f t="shared" si="32"/>
        <v>38.077350000000003</v>
      </c>
      <c r="AS173" s="94">
        <f t="shared" si="33"/>
        <v>35.777350000000006</v>
      </c>
      <c r="AT173" s="89">
        <f>Sheet1!BB171</f>
        <v>0</v>
      </c>
      <c r="AU173" s="89">
        <f>Sheet1!AS171*GPMtoMGD</f>
        <v>3.2544000000000003E-2</v>
      </c>
      <c r="AV173" s="94">
        <f>Sheet1!AT171</f>
        <v>0</v>
      </c>
      <c r="AW173" s="89">
        <f>Sheet1!AV171*GPMtoMGD</f>
        <v>0.98841600000000007</v>
      </c>
      <c r="AX173" s="89">
        <f>Sheet1!AW171*GPMtoMGD</f>
        <v>1.17936</v>
      </c>
      <c r="AY173" s="89">
        <f>Sheet1!AX171*GPMtoMGD</f>
        <v>0</v>
      </c>
      <c r="AZ173" s="89">
        <f>Sheet1!AY171*GPMtoMGD</f>
        <v>0</v>
      </c>
      <c r="BA173" s="89">
        <f>Sheet1!AZ171*GPMtoMGD</f>
        <v>0</v>
      </c>
      <c r="BB173" s="89">
        <f>Sheet1!BP171*GPMtoMGD</f>
        <v>2.8800000000000002E-3</v>
      </c>
      <c r="BC173" s="89">
        <f>Sheet1!CS171*GPMtoMGD</f>
        <v>4.78728</v>
      </c>
      <c r="BD173" s="89">
        <f>Sheet1!BO171*GPMtoMGD</f>
        <v>2.7060480000000005</v>
      </c>
      <c r="BE173" s="89">
        <f>Sheet1!BW171*GPMtoMGD</f>
        <v>1.1475360000000001</v>
      </c>
      <c r="BF173" s="89">
        <f>Sheet1!CN171*GPMtoMGD</f>
        <v>3.1803840000000001</v>
      </c>
      <c r="BG173" s="89">
        <f>Sheet1!CO171*GPMtoMGD</f>
        <v>1.2316320000000001</v>
      </c>
      <c r="BH173" s="89">
        <f>Sheet1!CP171*GPMtoMGD</f>
        <v>0.86414400000000013</v>
      </c>
      <c r="BI173" s="89">
        <f t="shared" si="43"/>
        <v>2.7089280000000007</v>
      </c>
      <c r="BK173" s="94">
        <f>SUM(AT173:BA173,AS173,BC173,Calculation!AQ173)</f>
        <v>58.666759860619933</v>
      </c>
      <c r="BM173" s="358">
        <f>0</f>
        <v>0</v>
      </c>
      <c r="BN173" s="358">
        <f>0</f>
        <v>0</v>
      </c>
      <c r="BP173" s="94">
        <f>SUM(BM173:BN173,W173,Sheet1!DX171)</f>
        <v>0</v>
      </c>
      <c r="BR173" s="94">
        <f>Sheet1!AA171</f>
        <v>31</v>
      </c>
      <c r="BS173" s="94">
        <f>Sheet1!AB171</f>
        <v>29.4</v>
      </c>
      <c r="BT173" s="94">
        <f t="shared" ca="1" si="34"/>
        <v>6.7960454767157739</v>
      </c>
      <c r="BU173" s="94">
        <f>Sheet1!AT171</f>
        <v>0</v>
      </c>
      <c r="BV173" s="89">
        <f>Sheet1!BB171</f>
        <v>0</v>
      </c>
      <c r="BW173" s="94">
        <f>Calculation!ED173</f>
        <v>13.498190139380071</v>
      </c>
      <c r="BX173" s="94">
        <f>(Sheet1!CS171*1440)/1000000</f>
        <v>4.78728</v>
      </c>
      <c r="CA173" s="94">
        <f ca="1">Sheet1!AC171-Sheet1!BK171-Sheet1!BL171-Sheet1!BM171-Sheet1!BC171-Sheet1!BD171-Sheet1!BE171-Sheet1!BF171-Sheet1!BG171-Sheet1!BH171-Sheet1!BI171+BC173+P173</f>
        <v>58.74132547671578</v>
      </c>
      <c r="CB173" s="93">
        <f t="shared" si="35"/>
        <v>72.557099854379018</v>
      </c>
      <c r="CC173" s="94">
        <f t="shared" si="36"/>
        <v>0</v>
      </c>
      <c r="CD173" s="94">
        <f t="shared" ca="1" si="37"/>
        <v>72.239515616095844</v>
      </c>
      <c r="CE173" s="1077">
        <f t="shared" ca="1" si="38"/>
        <v>111.75453065810026</v>
      </c>
      <c r="CG173" s="1077">
        <f t="shared" ca="1" si="39"/>
        <v>58.74132547671578</v>
      </c>
    </row>
    <row r="174" spans="1:85" s="89" customFormat="1" x14ac:dyDescent="0.25">
      <c r="A174" s="616" t="s">
        <v>4</v>
      </c>
      <c r="B174" s="91">
        <v>42898</v>
      </c>
      <c r="C174" s="92">
        <v>0</v>
      </c>
      <c r="D174" s="94">
        <f>(Sheet1!BQ172-Sheet1!BQ171)*1.385</f>
        <v>-1.2326500000000007</v>
      </c>
      <c r="E174" s="30">
        <f>(Sheet1!BR172-Sheet1!BR171)*1.385</f>
        <v>-0.96949999999999903</v>
      </c>
      <c r="F174" s="30">
        <f ca="1">IF(B174=TODAY(),0,-(VLOOKUP(Sheet1!CD172,Lookup!$I$4:$J$216,2)-VLOOKUP(Sheet1!CD171,Lookup!$I$4:$J$216,2))/1000000)</f>
        <v>-0.51818469273899681</v>
      </c>
      <c r="G174" s="94">
        <f ca="1">IF(B174=TODAY(),0,-$G$6*(Sheet1!CF172-Sheet1!CF171)*7.48/1000000)</f>
        <v>0.67512951789350772</v>
      </c>
      <c r="H174" s="94">
        <f ca="1">IF(B174=TODAY(),0,-$H$6*(Sheet1!CE172-Sheet1!CE171)*7.48/1000000)</f>
        <v>-1.5039432351264204E-2</v>
      </c>
      <c r="I174" s="94">
        <f ca="1">IF(B174=TODAY(),0,-$I$6*(Sheet1!CG172-Sheet1!CG171)*7.48/1000000)</f>
        <v>-4.4924880000000007E-2</v>
      </c>
      <c r="J174" s="95" t="s">
        <v>177</v>
      </c>
      <c r="K174" s="94">
        <f ca="1">IF(B174=TODAY(),0,-$K$6*(Sheet1!CH172-Sheet1!CH171)*7.48/1000000)</f>
        <v>-6.6633203744584424E-2</v>
      </c>
      <c r="L174" s="95" t="s">
        <v>177</v>
      </c>
      <c r="M174" s="94">
        <f ca="1">IF(B174=TODAY(),0,-$M$6*(Sheet1!CI172-Sheet1!CI171)*7.48/1000000)</f>
        <v>-0.24648366546397074</v>
      </c>
      <c r="N174" s="94">
        <f ca="1">IF(B174=TODAY(),0,-$N$6*(Sheet1!CJ172-Sheet1!CJ171)*7.48/1000000)</f>
        <v>-0.30405649243365723</v>
      </c>
      <c r="O174" s="94">
        <f t="shared" ca="1" si="40"/>
        <v>-0.52019284883896577</v>
      </c>
      <c r="P174" s="94">
        <f ca="1">O174+Calculation!ES174</f>
        <v>1.6955123079302654</v>
      </c>
      <c r="Q174" s="89" t="str">
        <f>IF(Sheet1!BQ172&gt;25.75,"spill elevation","-")</f>
        <v>-</v>
      </c>
      <c r="R174" s="89" t="str">
        <f>IF(Sheet1!BQ172&gt;25.75,"spill elevation","-")</f>
        <v>-</v>
      </c>
      <c r="S174" s="89" t="str">
        <f>IF(Sheet1!BR172&gt;25.75,"spill elevation","-")</f>
        <v>-</v>
      </c>
      <c r="T174" s="93">
        <f>IF(Sheet1!DU172=1,Sheet1!AA172-(SUM(AT174:BA174)+BE174),Sheet1!AA172-SUM(AT174:BA174))</f>
        <v>28.827711999999998</v>
      </c>
      <c r="U174" s="93">
        <f>Sheet1!BV172</f>
        <v>36.9</v>
      </c>
      <c r="V174" s="93">
        <f t="shared" si="41"/>
        <v>-8.0722880000000004</v>
      </c>
      <c r="W174" s="93">
        <f>0</f>
        <v>0</v>
      </c>
      <c r="X174" s="89">
        <f>0</f>
        <v>0</v>
      </c>
      <c r="Y174" s="94">
        <f ca="1">Calculation!EJ175+Calculation!ES174+'Calculations II'!O174-'Calculations II'!W174</f>
        <v>58.444506957020472</v>
      </c>
      <c r="Z174" s="94">
        <f ca="1">Y174-Sheet1!CT173</f>
        <v>42.934506957020474</v>
      </c>
      <c r="AA174" s="94">
        <f ca="1">Y174+Calculation!DJ175+Calculation!AS175</f>
        <v>72.240898939203106</v>
      </c>
      <c r="AC174" s="94">
        <f>Sheet1!AA172+Sheet1!AB172+BC174</f>
        <v>69.575711999999996</v>
      </c>
      <c r="AD174" s="94">
        <f>Sheet1!AA172+Sheet1!BN172+'Calculations II'!BC174-Calculation!AS174-Calculation!DJ174</f>
        <v>41.64751763887223</v>
      </c>
      <c r="AE174" s="94">
        <f>Sheet1!AA172+Sheet1!AB172+'Calculations II'!BC174-Calculation!AS174-Calculation!DJ174</f>
        <v>55.747517638872225</v>
      </c>
      <c r="AF174" s="94">
        <f ca="1">Sheet1!AA172+Sheet1!BN172+P174+'Calculations II'!BC174+Calculation!AS174+Calculation!DJ174</f>
        <v>70.999418669058045</v>
      </c>
      <c r="AG174" s="94">
        <f ca="1">IF(B174=TODAY(),0,Sheet1!AA172+Sheet1!BN172+'Calculations II'!BC174+'Calculations II'!P174-Sheet1!CT172-BP174)</f>
        <v>41.723224307930266</v>
      </c>
      <c r="AH174" s="94">
        <f ca="1">IF(B174=TODAY(),0,Sheet1!AA172+Sheet1!BN172+'Calculations II'!BC174+'Calculations II'!P174-BP174)</f>
        <v>57.171224307930267</v>
      </c>
      <c r="AI174" s="94">
        <f ca="1">IF(B174=TODAY(),0,BC174+Sheet1!AA172+Calculation!ES174+O174+W174+Sheet1!BN172+Calculation!AS174+Calculation!DJ174-BP174)</f>
        <v>70.999418669058031</v>
      </c>
      <c r="AJ174" s="94"/>
      <c r="AM174" s="90">
        <f t="shared" si="42"/>
        <v>42898</v>
      </c>
      <c r="AN174" s="94">
        <f>Sheet1!BU172</f>
        <v>28.6</v>
      </c>
      <c r="AO174" s="94">
        <f>Sheet1!AA172</f>
        <v>30.97</v>
      </c>
      <c r="AP174" s="94">
        <f t="shared" si="31"/>
        <v>-2.2021499999999996</v>
      </c>
      <c r="AQ174" s="1087">
        <f>((Sheet1!BV172-(Sheet1!BU172-AP174))/(Sheet1!BU172-AP174))</f>
        <v>0.19796832363974584</v>
      </c>
      <c r="AR174" s="94">
        <f t="shared" si="32"/>
        <v>33.172150000000002</v>
      </c>
      <c r="AS174" s="94">
        <f t="shared" si="33"/>
        <v>30.802150000000001</v>
      </c>
      <c r="AT174" s="89">
        <f>Sheet1!BB172</f>
        <v>0</v>
      </c>
      <c r="AU174" s="89">
        <f>Sheet1!AS172*GPMtoMGD</f>
        <v>3.2975999999999998E-2</v>
      </c>
      <c r="AV174" s="94">
        <f>Sheet1!AT172</f>
        <v>0</v>
      </c>
      <c r="AW174" s="89">
        <f>Sheet1!AV172*GPMtoMGD</f>
        <v>0.93715199999999999</v>
      </c>
      <c r="AX174" s="89">
        <f>Sheet1!AW172*GPMtoMGD</f>
        <v>1.1721600000000001</v>
      </c>
      <c r="AY174" s="89">
        <f>Sheet1!AX172*GPMtoMGD</f>
        <v>0</v>
      </c>
      <c r="AZ174" s="89">
        <f>Sheet1!AY172*GPMtoMGD</f>
        <v>0</v>
      </c>
      <c r="BA174" s="89">
        <f>Sheet1!AZ172*GPMtoMGD</f>
        <v>0</v>
      </c>
      <c r="BB174" s="89">
        <f>Sheet1!BP172*GPMtoMGD</f>
        <v>2.8512000000000003E-2</v>
      </c>
      <c r="BC174" s="89">
        <f>Sheet1!CS172*GPMtoMGD</f>
        <v>4.8057120000000006</v>
      </c>
      <c r="BD174" s="89">
        <f>Sheet1!BO172*GPMtoMGD</f>
        <v>2.9155680000000004</v>
      </c>
      <c r="BE174" s="89">
        <f>Sheet1!BW172*GPMtoMGD</f>
        <v>1.1947680000000001</v>
      </c>
      <c r="BF174" s="89">
        <f>Sheet1!CN172*GPMtoMGD</f>
        <v>2.7594720000000001</v>
      </c>
      <c r="BG174" s="89">
        <f>Sheet1!CO172*GPMtoMGD</f>
        <v>1.193184</v>
      </c>
      <c r="BH174" s="89">
        <f>Sheet1!CP172*GPMtoMGD</f>
        <v>0.89712000000000003</v>
      </c>
      <c r="BI174" s="89">
        <f t="shared" si="43"/>
        <v>2.9440800000000005</v>
      </c>
      <c r="BK174" s="94">
        <f>SUM(AT174:BA174,AS174,BC174,Calculation!AQ174)</f>
        <v>57.721955638872217</v>
      </c>
      <c r="BM174" s="358">
        <f>0</f>
        <v>0</v>
      </c>
      <c r="BN174" s="358">
        <f>0</f>
        <v>0</v>
      </c>
      <c r="BP174" s="94">
        <f>SUM(BM174:BN174,W174,Sheet1!DX172)</f>
        <v>0</v>
      </c>
      <c r="BR174" s="94">
        <f>Sheet1!AA172</f>
        <v>30.97</v>
      </c>
      <c r="BS174" s="94">
        <f>Sheet1!AB172</f>
        <v>33.799999999999997</v>
      </c>
      <c r="BT174" s="94">
        <f t="shared" ca="1" si="34"/>
        <v>1.6955123079302654</v>
      </c>
      <c r="BU174" s="94">
        <f>Sheet1!AT172</f>
        <v>0</v>
      </c>
      <c r="BV174" s="89">
        <f>Sheet1!BB172</f>
        <v>0</v>
      </c>
      <c r="BW174" s="94">
        <f>Calculation!ED174</f>
        <v>13.828194361127771</v>
      </c>
      <c r="BX174" s="94">
        <f>(Sheet1!CS172*1440)/1000000</f>
        <v>4.8057119999999998</v>
      </c>
      <c r="CA174" s="94">
        <f ca="1">Sheet1!AC172-Sheet1!BK172-Sheet1!BL172-Sheet1!BM172-Sheet1!BC172-Sheet1!BD172-Sheet1!BE172-Sheet1!BF172-Sheet1!BG172-Sheet1!BH172-Sheet1!BI172+BC174+P174</f>
        <v>57.63122430793026</v>
      </c>
      <c r="CB174" s="93">
        <f t="shared" si="35"/>
        <v>78.806973323335328</v>
      </c>
      <c r="CC174" s="94">
        <f t="shared" si="36"/>
        <v>0</v>
      </c>
      <c r="CD174" s="94">
        <f t="shared" ca="1" si="37"/>
        <v>71.459418669058039</v>
      </c>
      <c r="CE174" s="1077">
        <f t="shared" ca="1" si="38"/>
        <v>110.54772068103279</v>
      </c>
      <c r="CG174" s="1077">
        <f t="shared" ca="1" si="39"/>
        <v>57.63122430793026</v>
      </c>
    </row>
    <row r="175" spans="1:85" s="89" customFormat="1" x14ac:dyDescent="0.25">
      <c r="A175" s="616" t="s">
        <v>5</v>
      </c>
      <c r="B175" s="91">
        <v>42899</v>
      </c>
      <c r="C175" s="92">
        <v>0</v>
      </c>
      <c r="D175" s="94">
        <f>(Sheet1!BQ173-Sheet1!BQ172)*1.385</f>
        <v>-0.34625</v>
      </c>
      <c r="E175" s="30">
        <f>(Sheet1!BR173-Sheet1!BR172)*1.385</f>
        <v>-0.60939999999999683</v>
      </c>
      <c r="F175" s="30">
        <f ca="1">IF(B175=TODAY(),0,-(VLOOKUP(Sheet1!CD173,Lookup!$I$4:$J$216,2)-VLOOKUP(Sheet1!CD172,Lookup!$I$4:$J$216,2))/1000000)</f>
        <v>-0.51818469273900425</v>
      </c>
      <c r="G175" s="94">
        <f ca="1">IF(B175=TODAY(),0,-$G$6*(Sheet1!CF173-Sheet1!CF172)*7.48/1000000)</f>
        <v>-0.3177080084204747</v>
      </c>
      <c r="H175" s="94">
        <f ca="1">IF(B175=TODAY(),0,-$H$6*(Sheet1!CE173-Sheet1!CE172)*7.48/1000000)</f>
        <v>0</v>
      </c>
      <c r="I175" s="94">
        <f ca="1">IF(B175=TODAY(),0,-$I$6*(Sheet1!CG173-Sheet1!CG172)*7.48/1000000)</f>
        <v>-8.9849760000000074E-3</v>
      </c>
      <c r="J175" s="95" t="s">
        <v>177</v>
      </c>
      <c r="K175" s="94">
        <f ca="1">IF(B175=TODAY(),0,-$K$6*(Sheet1!CH173-Sheet1!CH172)*7.48/1000000)</f>
        <v>-1.3326640748916953E-2</v>
      </c>
      <c r="L175" s="95" t="s">
        <v>177</v>
      </c>
      <c r="M175" s="94">
        <f ca="1">IF(B175=TODAY(),0,-$M$6*(Sheet1!CI173-Sheet1!CI172)*7.48/1000000)</f>
        <v>-4.3179620227264633E-2</v>
      </c>
      <c r="N175" s="94">
        <f ca="1">IF(B175=TODAY(),0,-$N$6*(Sheet1!CJ173-Sheet1!CJ172)*7.48/1000000)</f>
        <v>-0.32887743059150631</v>
      </c>
      <c r="O175" s="94">
        <f t="shared" ca="1" si="40"/>
        <v>-1.2302613687271671</v>
      </c>
      <c r="P175" s="94">
        <f ca="1">O175+Calculation!ES175</f>
        <v>-0.39951291186140936</v>
      </c>
      <c r="Q175" s="89" t="str">
        <f>IF(Sheet1!BQ173&gt;25.75,"spill elevation","-")</f>
        <v>-</v>
      </c>
      <c r="R175" s="89" t="str">
        <f>IF(Sheet1!BQ173&gt;25.75,"spill elevation","-")</f>
        <v>-</v>
      </c>
      <c r="S175" s="89" t="str">
        <f>IF(Sheet1!BR173&gt;25.75,"spill elevation","-")</f>
        <v>-</v>
      </c>
      <c r="T175" s="93">
        <f>IF(Sheet1!DU173=1,Sheet1!AA173-(SUM(AT175:BA175)+BE175),Sheet1!AA173-SUM(AT175:BA175))</f>
        <v>28.575744</v>
      </c>
      <c r="U175" s="93">
        <f>Sheet1!BV173</f>
        <v>34.700000000000003</v>
      </c>
      <c r="V175" s="93">
        <f t="shared" si="41"/>
        <v>-6.1242560000000026</v>
      </c>
      <c r="W175" s="93">
        <f>0</f>
        <v>0</v>
      </c>
      <c r="X175" s="89">
        <f>0</f>
        <v>0</v>
      </c>
      <c r="Y175" s="94">
        <f ca="1">Calculation!EJ176+Calculation!ES175+'Calculations II'!O175-'Calculations II'!W175</f>
        <v>59.998595884514437</v>
      </c>
      <c r="Z175" s="94">
        <f ca="1">Y175-Sheet1!CT174</f>
        <v>44.484595884514434</v>
      </c>
      <c r="AA175" s="94">
        <f ca="1">Y175+Calculation!DJ176+Calculation!AS176</f>
        <v>73.553565565505735</v>
      </c>
      <c r="AC175" s="94">
        <f>Sheet1!AA173+Sheet1!AB173+BC175</f>
        <v>71.851392000000004</v>
      </c>
      <c r="AD175" s="94">
        <f>Sheet1!AA173+Sheet1!BN173+'Calculations II'!BC175-Calculation!AS175-Calculation!DJ175</f>
        <v>44.135000017817369</v>
      </c>
      <c r="AE175" s="94">
        <f>Sheet1!AA173+Sheet1!AB173+'Calculations II'!BC175-Calculation!AS175-Calculation!DJ175</f>
        <v>58.055000017817378</v>
      </c>
      <c r="AF175" s="94">
        <f ca="1">Sheet1!AA173+Sheet1!BN173+P175+'Calculations II'!BC175+Calculation!AS175+Calculation!DJ175</f>
        <v>71.328271070321222</v>
      </c>
      <c r="AG175" s="94">
        <f ca="1">IF(B175=TODAY(),0,Sheet1!AA173+Sheet1!BN173+'Calculations II'!BC175+'Calculations II'!P175-Sheet1!CT173-BP175)</f>
        <v>42.02187908813859</v>
      </c>
      <c r="AH175" s="94">
        <f ca="1">IF(B175=TODAY(),0,Sheet1!AA173+Sheet1!BN173+'Calculations II'!BC175+'Calculations II'!P175-BP175)</f>
        <v>57.531879088138588</v>
      </c>
      <c r="AI175" s="94">
        <f ca="1">IF(B175=TODAY(),0,BC175+Sheet1!AA173+Calculation!ES175+O175+W175+Sheet1!BN173+Calculation!AS175+Calculation!DJ175-BP175)</f>
        <v>71.328271070321208</v>
      </c>
      <c r="AJ175" s="94"/>
      <c r="AM175" s="90">
        <f t="shared" si="42"/>
        <v>42899</v>
      </c>
      <c r="AN175" s="94">
        <f>Sheet1!BU173</f>
        <v>28.5</v>
      </c>
      <c r="AO175" s="94">
        <f>Sheet1!AA173</f>
        <v>30.93</v>
      </c>
      <c r="AP175" s="94">
        <f t="shared" si="31"/>
        <v>-0.95564999999999678</v>
      </c>
      <c r="AQ175" s="1087">
        <f>((Sheet1!BV173-(Sheet1!BU173-AP175))/(Sheet1!BU173-AP175))</f>
        <v>0.17804224316896775</v>
      </c>
      <c r="AR175" s="94">
        <f t="shared" si="32"/>
        <v>31.885649999999998</v>
      </c>
      <c r="AS175" s="94">
        <f t="shared" si="33"/>
        <v>29.455649999999999</v>
      </c>
      <c r="AT175" s="89">
        <f>Sheet1!BB173</f>
        <v>0</v>
      </c>
      <c r="AU175" s="89">
        <f>Sheet1!AS173*GPMtoMGD</f>
        <v>3.456E-2</v>
      </c>
      <c r="AV175" s="94">
        <f>Sheet1!AT173</f>
        <v>0</v>
      </c>
      <c r="AW175" s="89">
        <f>Sheet1!AV173*GPMtoMGD</f>
        <v>1.0782719999999999</v>
      </c>
      <c r="AX175" s="89">
        <f>Sheet1!AW173*GPMtoMGD</f>
        <v>1.2414240000000001</v>
      </c>
      <c r="AY175" s="89">
        <f>Sheet1!AX173*GPMtoMGD</f>
        <v>0</v>
      </c>
      <c r="AZ175" s="89">
        <f>Sheet1!AY173*GPMtoMGD</f>
        <v>0</v>
      </c>
      <c r="BA175" s="89">
        <f>Sheet1!AZ173*GPMtoMGD</f>
        <v>0</v>
      </c>
      <c r="BB175" s="89">
        <f>Sheet1!BP173*GPMtoMGD</f>
        <v>2.8800000000000002E-3</v>
      </c>
      <c r="BC175" s="89">
        <f>Sheet1!CS173*GPMtoMGD</f>
        <v>4.8013920000000008</v>
      </c>
      <c r="BD175" s="89">
        <f>Sheet1!BO173*GPMtoMGD</f>
        <v>2.5768800000000001</v>
      </c>
      <c r="BE175" s="89">
        <f>Sheet1!BW173*GPMtoMGD</f>
        <v>1.0476000000000001</v>
      </c>
      <c r="BF175" s="89">
        <f>Sheet1!CN173*GPMtoMGD</f>
        <v>2.840544</v>
      </c>
      <c r="BG175" s="89">
        <f>Sheet1!CO173*GPMtoMGD</f>
        <v>0.78422400000000003</v>
      </c>
      <c r="BH175" s="89">
        <f>Sheet1!CP173*GPMtoMGD</f>
        <v>0.92016000000000009</v>
      </c>
      <c r="BI175" s="89">
        <f t="shared" si="43"/>
        <v>2.5797600000000003</v>
      </c>
      <c r="BK175" s="94">
        <f>SUM(AT175:BA175,AS175,BC175,Calculation!AQ175)</f>
        <v>58.934906017817369</v>
      </c>
      <c r="BM175" s="358">
        <f>0</f>
        <v>0</v>
      </c>
      <c r="BN175" s="358">
        <f>0</f>
        <v>0</v>
      </c>
      <c r="BP175" s="94">
        <f>SUM(BM175:BN175,W175,Sheet1!DX173)</f>
        <v>0</v>
      </c>
      <c r="BR175" s="94">
        <f>Sheet1!AA173</f>
        <v>30.93</v>
      </c>
      <c r="BS175" s="94">
        <f>Sheet1!AB173</f>
        <v>36.119999999999997</v>
      </c>
      <c r="BT175" s="94">
        <f t="shared" ca="1" si="34"/>
        <v>-0.39951291186140936</v>
      </c>
      <c r="BU175" s="94">
        <f>Sheet1!AT173</f>
        <v>0</v>
      </c>
      <c r="BV175" s="89">
        <f>Sheet1!BB173</f>
        <v>0</v>
      </c>
      <c r="BW175" s="94">
        <f>Calculation!ED175</f>
        <v>13.796391982182627</v>
      </c>
      <c r="BX175" s="94">
        <f>(Sheet1!CS173*1440)/1000000</f>
        <v>4.8013919999999999</v>
      </c>
      <c r="CA175" s="94">
        <f ca="1">Sheet1!AC173-Sheet1!BK173-Sheet1!BL173-Sheet1!BM173-Sheet1!BC173-Sheet1!BD173-Sheet1!BE173-Sheet1!BF173-Sheet1!BG173-Sheet1!BH173-Sheet1!BI173+BC175+P175</f>
        <v>57.731879088138584</v>
      </c>
      <c r="CB175" s="93">
        <f t="shared" si="35"/>
        <v>82.383331603563462</v>
      </c>
      <c r="CC175" s="94">
        <f t="shared" si="36"/>
        <v>0</v>
      </c>
      <c r="CD175" s="94">
        <f t="shared" ca="1" si="37"/>
        <v>71.52827107032121</v>
      </c>
      <c r="CE175" s="1077">
        <f t="shared" ca="1" si="38"/>
        <v>110.6542353457869</v>
      </c>
      <c r="CG175" s="1077">
        <f t="shared" ca="1" si="39"/>
        <v>57.731879088138584</v>
      </c>
    </row>
    <row r="176" spans="1:85" s="89" customFormat="1" x14ac:dyDescent="0.25">
      <c r="A176" s="616" t="s">
        <v>6</v>
      </c>
      <c r="B176" s="91">
        <v>42900</v>
      </c>
      <c r="C176" s="92">
        <v>0</v>
      </c>
      <c r="D176" s="94">
        <f>(Sheet1!BQ174-Sheet1!BQ173)*1.385</f>
        <v>0.6925</v>
      </c>
      <c r="E176" s="30">
        <f>(Sheet1!BR174-Sheet1!BR173)*1.385</f>
        <v>0.7201999999999994</v>
      </c>
      <c r="F176" s="30">
        <f ca="1">IF(B176=TODAY(),0,-(VLOOKUP(Sheet1!CD174,Lookup!$I$4:$J$216,2)-VLOOKUP(Sheet1!CD173,Lookup!$I$4:$J$216,2))/1000000)</f>
        <v>0.51818469273900425</v>
      </c>
      <c r="G176" s="94">
        <f ca="1">IF(B176=TODAY(),0,-$G$6*(Sheet1!CF174-Sheet1!CF173)*7.48/1000000)</f>
        <v>-0.59570251578838951</v>
      </c>
      <c r="H176" s="94">
        <f ca="1">IF(B176=TODAY(),0,-$H$6*(Sheet1!CE174-Sheet1!CE173)*7.48/1000000)</f>
        <v>0</v>
      </c>
      <c r="I176" s="94">
        <f ca="1">IF(B176=TODAY(),0,-$I$6*(Sheet1!CG174-Sheet1!CG173)*7.48/1000000)</f>
        <v>-8.9849759999999675E-3</v>
      </c>
      <c r="J176" s="95" t="s">
        <v>177</v>
      </c>
      <c r="K176" s="94">
        <f ca="1">IF(B176=TODAY(),0,-$K$6*(Sheet1!CH174-Sheet1!CH173)*7.48/1000000)</f>
        <v>-1.9989961123375255E-2</v>
      </c>
      <c r="L176" s="95" t="s">
        <v>177</v>
      </c>
      <c r="M176" s="94">
        <f ca="1">IF(B176=TODAY(),0,-$M$6*(Sheet1!CI174-Sheet1!CI173)*7.48/1000000)</f>
        <v>0.307654794119262</v>
      </c>
      <c r="N176" s="94">
        <f ca="1">IF(B176=TODAY(),0,-$N$6*(Sheet1!CJ174-Sheet1!CJ173)*7.48/1000000)</f>
        <v>0.2233884434206457</v>
      </c>
      <c r="O176" s="94">
        <f t="shared" ca="1" si="40"/>
        <v>0.42455047736714718</v>
      </c>
      <c r="P176" s="94">
        <f ca="1">O176+Calculation!ES176</f>
        <v>-0.96000892467496612</v>
      </c>
      <c r="Q176" s="89" t="str">
        <f>IF(Sheet1!BQ174&gt;25.75,"spill elevation","-")</f>
        <v>-</v>
      </c>
      <c r="R176" s="89" t="str">
        <f>IF(Sheet1!BQ174&gt;25.75,"spill elevation","-")</f>
        <v>-</v>
      </c>
      <c r="S176" s="89" t="str">
        <f>IF(Sheet1!BR174&gt;25.75,"spill elevation","-")</f>
        <v>-</v>
      </c>
      <c r="T176" s="93">
        <f>IF(Sheet1!DU174=1,Sheet1!AA174-(SUM(AT176:BA176)+BE176),Sheet1!AA174-SUM(AT176:BA176))</f>
        <v>28.358143999999999</v>
      </c>
      <c r="U176" s="93">
        <f>Sheet1!BV174</f>
        <v>31.7</v>
      </c>
      <c r="V176" s="93">
        <f t="shared" si="41"/>
        <v>-3.3418559999999999</v>
      </c>
      <c r="W176" s="93">
        <f>0</f>
        <v>0</v>
      </c>
      <c r="X176" s="89">
        <f>0</f>
        <v>0</v>
      </c>
      <c r="Y176" s="94">
        <f ca="1">Calculation!EJ177+Calculation!ES176+'Calculations II'!O176-'Calculations II'!W176</f>
        <v>58.630833856317572</v>
      </c>
      <c r="Z176" s="94">
        <f ca="1">Y176-Sheet1!CT175</f>
        <v>44.400833856317576</v>
      </c>
      <c r="AA176" s="94">
        <f ca="1">Y176+Calculation!DJ177+Calculation!AS177</f>
        <v>72.134323937140493</v>
      </c>
      <c r="AC176" s="94">
        <f>Sheet1!AA174+Sheet1!AB174+BC176</f>
        <v>73.786671999999996</v>
      </c>
      <c r="AD176" s="94">
        <f>Sheet1!AA174+Sheet1!BN174+'Calculations II'!BC176-Calculation!AS176-Calculation!DJ176</f>
        <v>46.631702319008703</v>
      </c>
      <c r="AE176" s="94">
        <f>Sheet1!AA174+Sheet1!AB174+'Calculations II'!BC176-Calculation!AS176-Calculation!DJ176</f>
        <v>60.231702319008697</v>
      </c>
      <c r="AF176" s="94">
        <f ca="1">Sheet1!AA174+Sheet1!BN174+P176+'Calculations II'!BC176+Calculation!AS176+Calculation!DJ176</f>
        <v>72.781632756316327</v>
      </c>
      <c r="AG176" s="94">
        <f ca="1">IF(B176=TODAY(),0,Sheet1!AA174+Sheet1!BN174+'Calculations II'!BC176+'Calculations II'!P176-Sheet1!CT174-BP176)</f>
        <v>43.71266307532504</v>
      </c>
      <c r="AH176" s="94">
        <f ca="1">IF(B176=TODAY(),0,Sheet1!AA174+Sheet1!BN174+'Calculations II'!BC176+'Calculations II'!P176-BP176)</f>
        <v>59.226663075325035</v>
      </c>
      <c r="AI176" s="94">
        <f ca="1">IF(B176=TODAY(),0,BC176+Sheet1!AA174+Calculation!ES176+O176+W176+Sheet1!BN174+Calculation!AS176+Calculation!DJ176-BP176)</f>
        <v>72.781632756316327</v>
      </c>
      <c r="AJ176" s="94"/>
      <c r="AM176" s="90">
        <f t="shared" si="42"/>
        <v>42900</v>
      </c>
      <c r="AN176" s="94">
        <f>Sheet1!BU174</f>
        <v>28.1</v>
      </c>
      <c r="AO176" s="94">
        <f>Sheet1!AA174</f>
        <v>31.04</v>
      </c>
      <c r="AP176" s="94">
        <f t="shared" si="31"/>
        <v>1.4126999999999994</v>
      </c>
      <c r="AQ176" s="1087">
        <f>((Sheet1!BV174-(Sheet1!BU174-AP176))/(Sheet1!BU174-AP176))</f>
        <v>0.18783091582887737</v>
      </c>
      <c r="AR176" s="94">
        <f t="shared" si="32"/>
        <v>29.627299999999998</v>
      </c>
      <c r="AS176" s="94">
        <f t="shared" si="33"/>
        <v>26.6873</v>
      </c>
      <c r="AT176" s="89">
        <f>Sheet1!BB174</f>
        <v>0</v>
      </c>
      <c r="AU176" s="89">
        <f>Sheet1!AS174*GPMtoMGD</f>
        <v>1.5984000000000002E-2</v>
      </c>
      <c r="AV176" s="94">
        <f>Sheet1!AT174</f>
        <v>0</v>
      </c>
      <c r="AW176" s="89">
        <f>Sheet1!AV174*GPMtoMGD</f>
        <v>1.11528</v>
      </c>
      <c r="AX176" s="89">
        <f>Sheet1!AW174*GPMtoMGD</f>
        <v>1.550592</v>
      </c>
      <c r="AY176" s="89">
        <f>Sheet1!AX174*GPMtoMGD</f>
        <v>0</v>
      </c>
      <c r="AZ176" s="89">
        <f>Sheet1!AY174*GPMtoMGD</f>
        <v>0</v>
      </c>
      <c r="BA176" s="89">
        <f>Sheet1!AZ174*GPMtoMGD</f>
        <v>0</v>
      </c>
      <c r="BB176" s="89">
        <f>Sheet1!BP174*GPMtoMGD</f>
        <v>2.8800000000000002E-3</v>
      </c>
      <c r="BC176" s="89">
        <f>Sheet1!CS174*GPMtoMGD</f>
        <v>4.7466720000000002</v>
      </c>
      <c r="BD176" s="89">
        <f>Sheet1!BO174*GPMtoMGD</f>
        <v>2.76336</v>
      </c>
      <c r="BE176" s="89">
        <f>Sheet1!BW174*GPMtoMGD</f>
        <v>1.192032</v>
      </c>
      <c r="BF176" s="89">
        <f>Sheet1!CN174*GPMtoMGD</f>
        <v>2.7878400000000001</v>
      </c>
      <c r="BG176" s="89">
        <f>Sheet1!CO174*GPMtoMGD</f>
        <v>1.260432</v>
      </c>
      <c r="BH176" s="89">
        <f>Sheet1!CP174*GPMtoMGD</f>
        <v>0.87940800000000008</v>
      </c>
      <c r="BI176" s="89">
        <f t="shared" si="43"/>
        <v>2.7662400000000003</v>
      </c>
      <c r="BK176" s="94">
        <f>SUM(AT176:BA176,AS176,BC176,Calculation!AQ176)</f>
        <v>58.560858319008702</v>
      </c>
      <c r="BM176" s="358">
        <f>0</f>
        <v>0</v>
      </c>
      <c r="BN176" s="358">
        <f>0</f>
        <v>0</v>
      </c>
      <c r="BP176" s="94">
        <f>SUM(BM176:BN176,W176,Sheet1!DX174)</f>
        <v>0</v>
      </c>
      <c r="BR176" s="94">
        <f>Sheet1!AA174</f>
        <v>31.04</v>
      </c>
      <c r="BS176" s="94">
        <f>Sheet1!AB174</f>
        <v>38</v>
      </c>
      <c r="BT176" s="94">
        <f t="shared" ca="1" si="34"/>
        <v>-0.96000892467496612</v>
      </c>
      <c r="BU176" s="94">
        <f>Sheet1!AT174</f>
        <v>0</v>
      </c>
      <c r="BV176" s="89">
        <f>Sheet1!BB174</f>
        <v>0</v>
      </c>
      <c r="BW176" s="94">
        <f>Calculation!ED176</f>
        <v>13.554969680991297</v>
      </c>
      <c r="BX176" s="94">
        <f>(Sheet1!CS174*1440)/1000000</f>
        <v>4.7466720000000002</v>
      </c>
      <c r="CA176" s="94">
        <f ca="1">Sheet1!AC174-Sheet1!BK174-Sheet1!BL174-Sheet1!BM174-Sheet1!BC174-Sheet1!BD174-Sheet1!BE174-Sheet1!BF174-Sheet1!BG174-Sheet1!BH174-Sheet1!BI174+BC176+P176</f>
        <v>59.296663075325029</v>
      </c>
      <c r="CB176" s="93">
        <f t="shared" si="35"/>
        <v>85.835341903506446</v>
      </c>
      <c r="CC176" s="94">
        <f t="shared" si="36"/>
        <v>0</v>
      </c>
      <c r="CD176" s="94">
        <f t="shared" ca="1" si="37"/>
        <v>72.85163275631632</v>
      </c>
      <c r="CE176" s="1077">
        <f t="shared" ca="1" si="38"/>
        <v>112.70147587402134</v>
      </c>
      <c r="CG176" s="1077">
        <f t="shared" ca="1" si="39"/>
        <v>59.296663075325029</v>
      </c>
    </row>
    <row r="177" spans="1:85" s="89" customFormat="1" x14ac:dyDescent="0.25">
      <c r="A177" s="616" t="s">
        <v>7</v>
      </c>
      <c r="B177" s="91">
        <v>42901</v>
      </c>
      <c r="C177" s="92">
        <v>0</v>
      </c>
      <c r="D177" s="94">
        <f>(Sheet1!BQ175-Sheet1!BQ174)*1.385</f>
        <v>4.5705000000000009</v>
      </c>
      <c r="E177" s="30">
        <f>(Sheet1!BR175-Sheet1!BR174)*1.385</f>
        <v>4.5427999999999971</v>
      </c>
      <c r="F177" s="30">
        <f ca="1">IF(B177=TODAY(),0,-(VLOOKUP(Sheet1!CD175,Lookup!$I$4:$J$216,2)-VLOOKUP(Sheet1!CD174,Lookup!$I$4:$J$216,2))/1000000)</f>
        <v>-0.41454775419119744</v>
      </c>
      <c r="G177" s="94">
        <f ca="1">IF(B177=TODAY(),0,-$G$6*(Sheet1!CF175-Sheet1!CF174)*7.48/1000000)</f>
        <v>0.19856750526279648</v>
      </c>
      <c r="H177" s="94">
        <f ca="1">IF(B177=TODAY(),0,-$H$6*(Sheet1!CE175-Sheet1!CE174)*7.48/1000000)</f>
        <v>-1.5039432351265274E-2</v>
      </c>
      <c r="I177" s="94">
        <f ca="1">IF(B177=TODAY(),0,-$I$6*(Sheet1!CG175-Sheet1!CG174)*7.48/1000000)</f>
        <v>1.1231220000000002E-2</v>
      </c>
      <c r="J177" s="95" t="s">
        <v>177</v>
      </c>
      <c r="K177" s="94">
        <f ca="1">IF(B177=TODAY(),0,-$K$6*(Sheet1!CH175-Sheet1!CH174)*7.48/1000000)</f>
        <v>2.2655289273158696E-2</v>
      </c>
      <c r="L177" s="95" t="s">
        <v>177</v>
      </c>
      <c r="M177" s="94">
        <f ca="1">IF(B177=TODAY(),0,-$M$6*(Sheet1!CI175-Sheet1!CI174)*7.48/1000000)</f>
        <v>-0.32384715170448636</v>
      </c>
      <c r="N177" s="94">
        <f ca="1">IF(B177=TODAY(),0,-$N$6*(Sheet1!CJ175-Sheet1!CJ174)*7.48/1000000)</f>
        <v>-7.4462814473548189E-2</v>
      </c>
      <c r="O177" s="94">
        <f t="shared" ca="1" si="40"/>
        <v>-0.59544313818454209</v>
      </c>
      <c r="P177" s="94">
        <f ca="1">O177+Calculation!ES177</f>
        <v>-9.741572513437843</v>
      </c>
      <c r="Q177" s="89" t="str">
        <f>IF(Sheet1!BQ175&gt;25.75,"spill elevation","-")</f>
        <v>-</v>
      </c>
      <c r="R177" s="89" t="str">
        <f>IF(Sheet1!BQ175&gt;25.75,"spill elevation","-")</f>
        <v>-</v>
      </c>
      <c r="S177" s="89" t="str">
        <f>IF(Sheet1!BR175&gt;25.75,"spill elevation","-")</f>
        <v>-</v>
      </c>
      <c r="T177" s="93">
        <f>IF(Sheet1!DU175=1,Sheet1!AA175-(SUM(AT177:BA177)+BE177),Sheet1!AA175-SUM(AT177:BA177))</f>
        <v>28.388511999999999</v>
      </c>
      <c r="U177" s="93">
        <f>Sheet1!BV175</f>
        <v>24.2</v>
      </c>
      <c r="V177" s="93">
        <f t="shared" si="41"/>
        <v>4.1885119999999993</v>
      </c>
      <c r="W177" s="93">
        <f>0</f>
        <v>0</v>
      </c>
      <c r="X177" s="89">
        <f>0</f>
        <v>0</v>
      </c>
      <c r="Y177" s="94">
        <f ca="1">Calculation!EJ178+Calculation!ES177+'Calculations II'!O177-'Calculations II'!W177</f>
        <v>43.612442920048871</v>
      </c>
      <c r="Z177" s="94">
        <f ca="1">Y177-Sheet1!CT176</f>
        <v>27.28344292004887</v>
      </c>
      <c r="AA177" s="94">
        <f ca="1">Y177+Calculation!DJ178+Calculation!AS178</f>
        <v>57.84133180893776</v>
      </c>
      <c r="AC177" s="94">
        <f>Sheet1!AA175+Sheet1!AB175+BC177</f>
        <v>73.178287999999995</v>
      </c>
      <c r="AD177" s="94">
        <f>Sheet1!AA175+Sheet1!BN175+'Calculations II'!BC177-Calculation!AS177-Calculation!DJ177</f>
        <v>46.224797919177078</v>
      </c>
      <c r="AE177" s="94">
        <f>Sheet1!AA175+Sheet1!AB175+'Calculations II'!BC177-Calculation!AS177-Calculation!DJ177</f>
        <v>59.674797919177067</v>
      </c>
      <c r="AF177" s="94">
        <f ca="1">Sheet1!AA175+Sheet1!BN175+P177+'Calculations II'!BC177+Calculation!AS177+Calculation!DJ177</f>
        <v>63.490205567385075</v>
      </c>
      <c r="AG177" s="94">
        <f ca="1">IF(B177=TODAY(),0,Sheet1!AA175+Sheet1!BN175+'Calculations II'!BC177+'Calculations II'!P177-Sheet1!CT175-BP177)</f>
        <v>35.756715486562157</v>
      </c>
      <c r="AH177" s="94">
        <f ca="1">IF(B177=TODAY(),0,Sheet1!AA175+Sheet1!BN175+'Calculations II'!BC177+'Calculations II'!P177-BP177)</f>
        <v>49.986715486562154</v>
      </c>
      <c r="AI177" s="94">
        <f ca="1">IF(B177=TODAY(),0,BC177+Sheet1!AA175+Calculation!ES177+O177+W177+Sheet1!BN175+Calculation!AS177+Calculation!DJ177-BP177)</f>
        <v>63.49020556738509</v>
      </c>
      <c r="AJ177" s="94"/>
      <c r="AM177" s="90">
        <f t="shared" si="42"/>
        <v>42901</v>
      </c>
      <c r="AN177" s="94">
        <f>Sheet1!BU175</f>
        <v>28.9</v>
      </c>
      <c r="AO177" s="94">
        <f>Sheet1!AA175</f>
        <v>30.16</v>
      </c>
      <c r="AP177" s="94">
        <f t="shared" si="31"/>
        <v>9.1132999999999988</v>
      </c>
      <c r="AQ177" s="1087">
        <f>((Sheet1!BV175-(Sheet1!BU175-AP177))/(Sheet1!BU175-AP177))</f>
        <v>0.22304376171873025</v>
      </c>
      <c r="AR177" s="94">
        <f t="shared" si="32"/>
        <v>21.046700000000001</v>
      </c>
      <c r="AS177" s="94">
        <f t="shared" si="33"/>
        <v>19.7867</v>
      </c>
      <c r="AT177" s="89">
        <f>Sheet1!BB175</f>
        <v>0</v>
      </c>
      <c r="AU177" s="89">
        <f>Sheet1!AS175*GPMtoMGD</f>
        <v>3.2112000000000002E-2</v>
      </c>
      <c r="AV177" s="94">
        <f>Sheet1!AT175</f>
        <v>0</v>
      </c>
      <c r="AW177" s="89">
        <f>Sheet1!AV175*GPMtoMGD</f>
        <v>0.83289599999999997</v>
      </c>
      <c r="AX177" s="89">
        <f>Sheet1!AW175*GPMtoMGD</f>
        <v>0.90648000000000006</v>
      </c>
      <c r="AY177" s="89">
        <f>Sheet1!AX175*GPMtoMGD</f>
        <v>0</v>
      </c>
      <c r="AZ177" s="89">
        <f>Sheet1!AY175*GPMtoMGD</f>
        <v>0</v>
      </c>
      <c r="BA177" s="89">
        <f>Sheet1!AZ175*GPMtoMGD</f>
        <v>0</v>
      </c>
      <c r="BB177" s="89">
        <f>Sheet1!BP175*GPMtoMGD</f>
        <v>2.8800000000000002E-3</v>
      </c>
      <c r="BC177" s="89">
        <f>Sheet1!CS175*GPMtoMGD</f>
        <v>2.2682880000000001</v>
      </c>
      <c r="BD177" s="89">
        <f>Sheet1!BO175*GPMtoMGD</f>
        <v>2.0252160000000003</v>
      </c>
      <c r="BE177" s="89">
        <f>Sheet1!BW175*GPMtoMGD</f>
        <v>1.057104</v>
      </c>
      <c r="BF177" s="89">
        <f>Sheet1!CN175*GPMtoMGD</f>
        <v>1.6361280000000002</v>
      </c>
      <c r="BG177" s="89">
        <f>Sheet1!CO175*GPMtoMGD</f>
        <v>1.1044800000000001</v>
      </c>
      <c r="BH177" s="89">
        <f>Sheet1!CP175*GPMtoMGD</f>
        <v>0.89337600000000006</v>
      </c>
      <c r="BI177" s="89">
        <f t="shared" si="43"/>
        <v>2.0280960000000006</v>
      </c>
      <c r="BK177" s="94">
        <f>SUM(AT177:BA177,AS177,BC177,Calculation!AQ177)</f>
        <v>51.072985919177079</v>
      </c>
      <c r="BM177" s="358">
        <f>0</f>
        <v>0</v>
      </c>
      <c r="BN177" s="358">
        <f>0</f>
        <v>0</v>
      </c>
      <c r="BP177" s="94">
        <f>SUM(BM177:BN177,W177,Sheet1!DX175)</f>
        <v>0</v>
      </c>
      <c r="BR177" s="94">
        <f>Sheet1!AA175</f>
        <v>30.16</v>
      </c>
      <c r="BS177" s="94">
        <f>Sheet1!AB175</f>
        <v>40.75</v>
      </c>
      <c r="BT177" s="94">
        <f t="shared" ca="1" si="34"/>
        <v>-9.741572513437843</v>
      </c>
      <c r="BU177" s="94">
        <f>Sheet1!AT175</f>
        <v>0</v>
      </c>
      <c r="BV177" s="89">
        <f>Sheet1!BB175</f>
        <v>0</v>
      </c>
      <c r="BW177" s="94">
        <f>Calculation!ED177</f>
        <v>13.503490080822926</v>
      </c>
      <c r="BX177" s="94">
        <f>(Sheet1!CS175*1440)/1000000</f>
        <v>2.2682880000000001</v>
      </c>
      <c r="CA177" s="94">
        <f ca="1">Sheet1!AC175-Sheet1!BK175-Sheet1!BL175-Sheet1!BM175-Sheet1!BC175-Sheet1!BD175-Sheet1!BE175-Sheet1!BF175-Sheet1!BG175-Sheet1!BH175-Sheet1!BI175+BC177+P177</f>
        <v>49.906715486562149</v>
      </c>
      <c r="CB177" s="93">
        <f t="shared" si="35"/>
        <v>88.807870844966928</v>
      </c>
      <c r="CC177" s="94">
        <f t="shared" si="36"/>
        <v>0</v>
      </c>
      <c r="CD177" s="94">
        <f t="shared" ca="1" si="37"/>
        <v>63.410205567385077</v>
      </c>
      <c r="CE177" s="1077">
        <f t="shared" ca="1" si="38"/>
        <v>98.095588012744713</v>
      </c>
      <c r="CG177" s="1077">
        <f t="shared" ca="1" si="39"/>
        <v>49.906715486562149</v>
      </c>
    </row>
    <row r="178" spans="1:85" s="89" customFormat="1" x14ac:dyDescent="0.25">
      <c r="A178" s="616" t="s">
        <v>8</v>
      </c>
      <c r="B178" s="91">
        <v>42902</v>
      </c>
      <c r="C178" s="92">
        <v>0</v>
      </c>
      <c r="D178" s="94">
        <f>(Sheet1!BQ176-Sheet1!BQ175)*1.385</f>
        <v>-0.84484999999999921</v>
      </c>
      <c r="E178" s="30">
        <f>(Sheet1!BR176-Sheet1!BR175)*1.385</f>
        <v>-0.83099999999999707</v>
      </c>
      <c r="F178" s="30">
        <f ca="1">IF(B178=TODAY(),0,-(VLOOKUP(Sheet1!CD176,Lookup!$I$4:$J$216,2)-VLOOKUP(Sheet1!CD175,Lookup!$I$4:$J$216,2))/1000000)</f>
        <v>0.41454775419119744</v>
      </c>
      <c r="G178" s="94">
        <f ca="1">IF(B178=TODAY(),0,-$G$6*(Sheet1!CF176-Sheet1!CF175)*7.48/1000000)</f>
        <v>7.9427002105118313E-2</v>
      </c>
      <c r="H178" s="94">
        <f ca="1">IF(B178=TODAY(),0,-$H$6*(Sheet1!CE176-Sheet1!CE175)*7.48/1000000)</f>
        <v>0</v>
      </c>
      <c r="I178" s="94">
        <f ca="1">IF(B178=TODAY(),0,-$I$6*(Sheet1!CG176-Sheet1!CG175)*7.48/1000000)</f>
        <v>-2.9201172000000018E-2</v>
      </c>
      <c r="J178" s="95" t="s">
        <v>177</v>
      </c>
      <c r="K178" s="94">
        <f ca="1">IF(B178=TODAY(),0,-$K$6*(Sheet1!CH176-Sheet1!CH175)*7.48/1000000)</f>
        <v>-4.9308570770992488E-2</v>
      </c>
      <c r="L178" s="95" t="s">
        <v>177</v>
      </c>
      <c r="M178" s="94">
        <f ca="1">IF(B178=TODAY(),0,-$M$6*(Sheet1!CI176-Sheet1!CI175)*7.48/1000000)</f>
        <v>-0.14753036910982187</v>
      </c>
      <c r="N178" s="94">
        <f ca="1">IF(B178=TODAY(),0,-$N$6*(Sheet1!CJ176-Sheet1!CJ175)*7.48/1000000)</f>
        <v>0.22959367796010793</v>
      </c>
      <c r="O178" s="94">
        <f t="shared" ca="1" si="40"/>
        <v>0.49752832237560934</v>
      </c>
      <c r="P178" s="94">
        <f ca="1">O178+Calculation!ES178</f>
        <v>2.1614995057527784</v>
      </c>
      <c r="Q178" s="89" t="str">
        <f>IF(Sheet1!BQ176&gt;25.75,"spill elevation","-")</f>
        <v>-</v>
      </c>
      <c r="R178" s="89" t="str">
        <f>IF(Sheet1!BQ176&gt;25.75,"spill elevation","-")</f>
        <v>-</v>
      </c>
      <c r="S178" s="89" t="str">
        <f>IF(Sheet1!BR176&gt;25.75,"spill elevation","-")</f>
        <v>-</v>
      </c>
      <c r="T178" s="93">
        <f>IF(Sheet1!DU176=1,Sheet1!AA176-(SUM(AT178:BA178)+BE178),Sheet1!AA176-SUM(AT178:BA178))</f>
        <v>15.694624000000001</v>
      </c>
      <c r="U178" s="93">
        <f>Sheet1!BV176</f>
        <v>22.3</v>
      </c>
      <c r="V178" s="93">
        <f t="shared" si="41"/>
        <v>-6.6053759999999997</v>
      </c>
      <c r="W178" s="93">
        <f>0</f>
        <v>0</v>
      </c>
      <c r="X178" s="89">
        <f>0</f>
        <v>0</v>
      </c>
      <c r="Y178" s="94">
        <f ca="1">Calculation!EJ179+Calculation!ES178+'Calculations II'!O178-'Calculations II'!W178</f>
        <v>54.16114902879513</v>
      </c>
      <c r="Z178" s="94">
        <f ca="1">Y178-Sheet1!CT177</f>
        <v>38.206149028795132</v>
      </c>
      <c r="AA178" s="94">
        <f ca="1">Y178+Calculation!DJ179+Calculation!AS179</f>
        <v>68.975784877028886</v>
      </c>
      <c r="AC178" s="94">
        <f>Sheet1!AA176+Sheet1!AB176+BC178</f>
        <v>65.28</v>
      </c>
      <c r="AD178" s="94">
        <f>Sheet1!AA176+Sheet1!BN176+'Calculations II'!BC178-Calculation!AS178-Calculation!DJ178</f>
        <v>36.871111111111112</v>
      </c>
      <c r="AE178" s="94">
        <f>Sheet1!AA176+Sheet1!AB176+'Calculations II'!BC178-Calculation!AS178-Calculation!DJ178</f>
        <v>51.051111111111112</v>
      </c>
      <c r="AF178" s="94">
        <f ca="1">Sheet1!AA176+Sheet1!BN176+P178+'Calculations II'!BC178+Calculation!AS178+Calculation!DJ178</f>
        <v>67.49038839464167</v>
      </c>
      <c r="AG178" s="94">
        <f ca="1">IF(B178=TODAY(),0,Sheet1!AA176+Sheet1!BN176+'Calculations II'!BC178+'Calculations II'!P178-Sheet1!CT176-BP178)</f>
        <v>36.93249950575278</v>
      </c>
      <c r="AH178" s="94">
        <f ca="1">IF(B178=TODAY(),0,Sheet1!AA176+Sheet1!BN176+'Calculations II'!BC178+'Calculations II'!P178-BP178)</f>
        <v>53.261499505752781</v>
      </c>
      <c r="AI178" s="94">
        <f ca="1">IF(B178=TODAY(),0,BC178+Sheet1!AA176+Calculation!ES178+O178+W178+Sheet1!BN176+Calculation!AS178+Calculation!DJ178-BP178)</f>
        <v>67.49038839464167</v>
      </c>
      <c r="AJ178" s="94"/>
      <c r="AM178" s="90">
        <f t="shared" si="42"/>
        <v>42902</v>
      </c>
      <c r="AN178" s="94">
        <f>Sheet1!BU176</f>
        <v>17.5</v>
      </c>
      <c r="AO178" s="94">
        <f>Sheet1!AA176</f>
        <v>18.100000000000001</v>
      </c>
      <c r="AP178" s="94">
        <f t="shared" si="31"/>
        <v>-1.6758499999999963</v>
      </c>
      <c r="AQ178" s="1087">
        <f>((Sheet1!BV176-(Sheet1!BU176-AP178))/(Sheet1!BU176-AP178))</f>
        <v>0.16292106999168246</v>
      </c>
      <c r="AR178" s="94">
        <f t="shared" si="32"/>
        <v>19.775849999999998</v>
      </c>
      <c r="AS178" s="94">
        <f t="shared" si="33"/>
        <v>19.175849999999997</v>
      </c>
      <c r="AT178" s="89">
        <f>Sheet1!BB176</f>
        <v>0</v>
      </c>
      <c r="AU178" s="89">
        <f>Sheet1!AS176*GPMtoMGD</f>
        <v>3.2256E-2</v>
      </c>
      <c r="AV178" s="94">
        <f>Sheet1!AT176</f>
        <v>0</v>
      </c>
      <c r="AW178" s="89">
        <f>Sheet1!AV176*GPMtoMGD</f>
        <v>0.26049600000000001</v>
      </c>
      <c r="AX178" s="89">
        <f>Sheet1!AW176*GPMtoMGD</f>
        <v>2.1126239999999998</v>
      </c>
      <c r="AY178" s="89">
        <f>Sheet1!AX176*GPMtoMGD</f>
        <v>0</v>
      </c>
      <c r="AZ178" s="89">
        <f>Sheet1!AY176*GPMtoMGD</f>
        <v>0</v>
      </c>
      <c r="BA178" s="89">
        <f>Sheet1!AZ176*GPMtoMGD</f>
        <v>0</v>
      </c>
      <c r="BB178" s="89">
        <f>Sheet1!BP176*GPMtoMGD</f>
        <v>2.8800000000000002E-3</v>
      </c>
      <c r="BC178" s="89">
        <f>Sheet1!CS176*GPMtoMGD</f>
        <v>0</v>
      </c>
      <c r="BD178" s="89">
        <f>Sheet1!BO176*GPMtoMGD</f>
        <v>2.3951519999999999</v>
      </c>
      <c r="BE178" s="89">
        <f>Sheet1!BW176*GPMtoMGD</f>
        <v>0.9793440000000001</v>
      </c>
      <c r="BF178" s="89">
        <f>Sheet1!CN176*GPMtoMGD</f>
        <v>2.110608</v>
      </c>
      <c r="BG178" s="89">
        <f>Sheet1!CO176*GPMtoMGD</f>
        <v>0.97632000000000008</v>
      </c>
      <c r="BH178" s="89">
        <f>Sheet1!CP176*GPMtoMGD</f>
        <v>0.86112000000000011</v>
      </c>
      <c r="BI178" s="89">
        <f t="shared" si="43"/>
        <v>2.3980320000000002</v>
      </c>
      <c r="BK178" s="94">
        <f>SUM(AT178:BA178,AS178,BC178,Calculation!AQ178)</f>
        <v>54.532337111111104</v>
      </c>
      <c r="BM178" s="358">
        <f>0</f>
        <v>0</v>
      </c>
      <c r="BN178" s="358">
        <f>0</f>
        <v>0</v>
      </c>
      <c r="BP178" s="94">
        <f>SUM(BM178:BN178,W178,Sheet1!DX176)</f>
        <v>0</v>
      </c>
      <c r="BR178" s="94">
        <f>Sheet1!AA176</f>
        <v>18.100000000000001</v>
      </c>
      <c r="BS178" s="94">
        <f>Sheet1!AB176</f>
        <v>47.18</v>
      </c>
      <c r="BT178" s="94">
        <f t="shared" ca="1" si="34"/>
        <v>2.1614995057527784</v>
      </c>
      <c r="BU178" s="94">
        <f>Sheet1!AT176</f>
        <v>0</v>
      </c>
      <c r="BV178" s="89">
        <f>Sheet1!BB176</f>
        <v>0</v>
      </c>
      <c r="BW178" s="94">
        <f>Calculation!ED178</f>
        <v>14.228888888888887</v>
      </c>
      <c r="BX178" s="94">
        <f>(Sheet1!CS176*1440)/1000000</f>
        <v>0</v>
      </c>
      <c r="CA178" s="94">
        <f ca="1">Sheet1!AC176-Sheet1!BK176-Sheet1!BL176-Sheet1!BM176-Sheet1!BC176-Sheet1!BD176-Sheet1!BE176-Sheet1!BF176-Sheet1!BG176-Sheet1!BH176-Sheet1!BI176+BC178+P178</f>
        <v>53.191499505752788</v>
      </c>
      <c r="CB178" s="93">
        <f t="shared" si="35"/>
        <v>78.976068888888889</v>
      </c>
      <c r="CC178" s="94">
        <f t="shared" si="36"/>
        <v>0</v>
      </c>
      <c r="CD178" s="94">
        <f t="shared" ca="1" si="37"/>
        <v>67.420388394641677</v>
      </c>
      <c r="CE178" s="1077">
        <f t="shared" ca="1" si="38"/>
        <v>104.29934084651067</v>
      </c>
      <c r="CG178" s="1077">
        <f t="shared" ca="1" si="39"/>
        <v>53.191499505752788</v>
      </c>
    </row>
    <row r="179" spans="1:85" s="89" customFormat="1" x14ac:dyDescent="0.25">
      <c r="A179" s="616" t="s">
        <v>9</v>
      </c>
      <c r="B179" s="91">
        <v>42903</v>
      </c>
      <c r="C179" s="92">
        <v>0</v>
      </c>
      <c r="D179" s="94">
        <f>(Sheet1!BQ177-Sheet1!BQ176)*1.385</f>
        <v>-0.70635000000000214</v>
      </c>
      <c r="E179" s="30">
        <f>(Sheet1!BR177-Sheet1!BR176)*1.385</f>
        <v>-0.74789999999999879</v>
      </c>
      <c r="F179" s="30">
        <f ca="1">IF(B179=TODAY(),0,-(VLOOKUP(Sheet1!CD177,Lookup!$I$4:$J$216,2)-VLOOKUP(Sheet1!CD176,Lookup!$I$4:$J$216,2))/1000000)</f>
        <v>-0.41454775419119744</v>
      </c>
      <c r="G179" s="94">
        <f ca="1">IF(B179=TODAY(),0,-$G$6*(Sheet1!CF177-Sheet1!CF176)*7.48/1000000)</f>
        <v>0.83398352210374582</v>
      </c>
      <c r="H179" s="94">
        <f ca="1">IF(B179=TODAY(),0,-$H$6*(Sheet1!CE177-Sheet1!CE176)*7.48/1000000)</f>
        <v>0</v>
      </c>
      <c r="I179" s="94">
        <f ca="1">IF(B179=TODAY(),0,-$I$6*(Sheet1!CG177-Sheet1!CG176)*7.48/1000000)</f>
        <v>4.4924880000000007E-2</v>
      </c>
      <c r="J179" s="95" t="s">
        <v>177</v>
      </c>
      <c r="K179" s="94">
        <f ca="1">IF(B179=TODAY(),0,-$K$6*(Sheet1!CH177-Sheet1!CH176)*7.48/1000000)</f>
        <v>5.5305559108005081E-2</v>
      </c>
      <c r="L179" s="95" t="s">
        <v>177</v>
      </c>
      <c r="M179" s="94">
        <f ca="1">IF(B179=TODAY(),0,-$M$6*(Sheet1!CI177-Sheet1!CI176)*7.48/1000000)</f>
        <v>0.18351338596587582</v>
      </c>
      <c r="N179" s="94">
        <f ca="1">IF(B179=TODAY(),0,-$N$6*(Sheet1!CJ177-Sheet1!CJ176)*7.48/1000000)</f>
        <v>-0.11169422171032285</v>
      </c>
      <c r="O179" s="94">
        <f t="shared" ca="1" si="40"/>
        <v>0.59148537127610645</v>
      </c>
      <c r="P179" s="94">
        <f ca="1">O179+Calculation!ES179</f>
        <v>1.9777753636554554</v>
      </c>
      <c r="Q179" s="89" t="str">
        <f>IF(Sheet1!BQ177&gt;25.75,"spill elevation","-")</f>
        <v>-</v>
      </c>
      <c r="R179" s="89" t="str">
        <f>IF(Sheet1!BQ177&gt;25.75,"spill elevation","-")</f>
        <v>-</v>
      </c>
      <c r="S179" s="89" t="str">
        <f>IF(Sheet1!BR177&gt;25.75,"spill elevation","-")</f>
        <v>-</v>
      </c>
      <c r="T179" s="93">
        <f>IF(Sheet1!DU177=1,Sheet1!AA177-(SUM(AT179:BA179)+BE179),Sheet1!AA177-SUM(AT179:BA179))</f>
        <v>20.097200000000001</v>
      </c>
      <c r="U179" s="93">
        <f>Sheet1!BV177</f>
        <v>23.9</v>
      </c>
      <c r="V179" s="93">
        <f t="shared" si="41"/>
        <v>-3.8027999999999977</v>
      </c>
      <c r="W179" s="93">
        <f>0</f>
        <v>0</v>
      </c>
      <c r="X179" s="89">
        <f>0</f>
        <v>0</v>
      </c>
      <c r="Y179" s="94">
        <f ca="1">Calculation!EJ180+Calculation!ES179+'Calculations II'!O179-'Calculations II'!W179</f>
        <v>49.322921921399377</v>
      </c>
      <c r="Z179" s="94">
        <f ca="1">Y179-Sheet1!CT178</f>
        <v>32.189921921399375</v>
      </c>
      <c r="AA179" s="94">
        <f ca="1">Y179+Calculation!DJ180+Calculation!AS180</f>
        <v>64.329743721766803</v>
      </c>
      <c r="AC179" s="94">
        <f>Sheet1!AA177+Sheet1!AB177+BC179</f>
        <v>67.52</v>
      </c>
      <c r="AD179" s="94">
        <f>Sheet1!AA177+Sheet1!BN177+'Calculations II'!BC179-Calculation!AS179-Calculation!DJ179</f>
        <v>37.985364151766241</v>
      </c>
      <c r="AE179" s="94">
        <f>Sheet1!AA177+Sheet1!AB177+'Calculations II'!BC179-Calculation!AS179-Calculation!DJ179</f>
        <v>52.70536415176624</v>
      </c>
      <c r="AF179" s="94">
        <f ca="1">Sheet1!AA177+Sheet1!BN177+P179+'Calculations II'!BC179+Calculation!AS179+Calculation!DJ179</f>
        <v>69.592411211889214</v>
      </c>
      <c r="AG179" s="94">
        <f ca="1">IF(B179=TODAY(),0,Sheet1!AA177+Sheet1!BN177+'Calculations II'!BC179+'Calculations II'!P179-Sheet1!CT177-BP179)</f>
        <v>38.822775363655452</v>
      </c>
      <c r="AH179" s="94">
        <f ca="1">IF(B179=TODAY(),0,Sheet1!AA177+Sheet1!BN177+'Calculations II'!BC179+'Calculations II'!P179-BP179)</f>
        <v>54.777775363655451</v>
      </c>
      <c r="AI179" s="94">
        <f ca="1">IF(B179=TODAY(),0,BC179+Sheet1!AA177+Calculation!ES179+O179+W179+Sheet1!BN177+Calculation!AS179+Calculation!DJ179-BP179)</f>
        <v>69.592411211889214</v>
      </c>
      <c r="AJ179" s="94"/>
      <c r="AM179" s="90">
        <f t="shared" si="42"/>
        <v>42903</v>
      </c>
      <c r="AN179" s="94">
        <f>Sheet1!BU177</f>
        <v>18.8</v>
      </c>
      <c r="AO179" s="94">
        <f>Sheet1!AA177</f>
        <v>21.8</v>
      </c>
      <c r="AP179" s="94">
        <f t="shared" si="31"/>
        <v>-1.4542500000000009</v>
      </c>
      <c r="AQ179" s="1087">
        <f>((Sheet1!BV177-(Sheet1!BU177-AP179))/(Sheet1!BU177-AP179))</f>
        <v>0.17999925941469053</v>
      </c>
      <c r="AR179" s="94">
        <f t="shared" si="32"/>
        <v>23.254250000000003</v>
      </c>
      <c r="AS179" s="94">
        <f t="shared" si="33"/>
        <v>20.254250000000003</v>
      </c>
      <c r="AT179" s="89">
        <f>Sheet1!BB177</f>
        <v>0</v>
      </c>
      <c r="AU179" s="89">
        <f>Sheet1!AS177*GPMtoMGD</f>
        <v>1.728E-2</v>
      </c>
      <c r="AV179" s="94">
        <f>Sheet1!AT177</f>
        <v>0</v>
      </c>
      <c r="AW179" s="89">
        <f>Sheet1!AV177*GPMtoMGD</f>
        <v>0.15710399999999999</v>
      </c>
      <c r="AX179" s="89">
        <f>Sheet1!AW177*GPMtoMGD</f>
        <v>1.5284160000000002</v>
      </c>
      <c r="AY179" s="89">
        <f>Sheet1!AX177*GPMtoMGD</f>
        <v>0</v>
      </c>
      <c r="AZ179" s="89">
        <f>Sheet1!AY177*GPMtoMGD</f>
        <v>0</v>
      </c>
      <c r="BA179" s="89">
        <f>Sheet1!AZ177*GPMtoMGD</f>
        <v>0</v>
      </c>
      <c r="BB179" s="89">
        <f>Sheet1!BP177*GPMtoMGD</f>
        <v>2.8800000000000002E-3</v>
      </c>
      <c r="BC179" s="89">
        <f>Sheet1!CS177*GPMtoMGD</f>
        <v>0</v>
      </c>
      <c r="BD179" s="89">
        <f>Sheet1!BO177*GPMtoMGD</f>
        <v>2.0273760000000003</v>
      </c>
      <c r="BE179" s="89">
        <f>Sheet1!BW177*GPMtoMGD</f>
        <v>0.95875200000000005</v>
      </c>
      <c r="BF179" s="89">
        <f>Sheet1!CN177*GPMtoMGD</f>
        <v>2.2551839999999999</v>
      </c>
      <c r="BG179" s="89">
        <f>Sheet1!CO177*GPMtoMGD</f>
        <v>1.0005120000000001</v>
      </c>
      <c r="BH179" s="89">
        <f>Sheet1!CP177*GPMtoMGD</f>
        <v>0.77716800000000008</v>
      </c>
      <c r="BI179" s="89">
        <f t="shared" si="43"/>
        <v>2.0302560000000005</v>
      </c>
      <c r="BK179" s="94">
        <f>SUM(AT179:BA179,AS179,BC179,Calculation!AQ179)</f>
        <v>52.862414151766245</v>
      </c>
      <c r="BM179" s="358">
        <f>0</f>
        <v>0</v>
      </c>
      <c r="BN179" s="358">
        <f>0</f>
        <v>0</v>
      </c>
      <c r="BP179" s="94">
        <f>SUM(BM179:BN179,W179,Sheet1!DX177)</f>
        <v>0</v>
      </c>
      <c r="BR179" s="94">
        <f>Sheet1!AA177</f>
        <v>21.8</v>
      </c>
      <c r="BS179" s="94">
        <f>Sheet1!AB177</f>
        <v>45.72</v>
      </c>
      <c r="BT179" s="94">
        <f t="shared" ca="1" si="34"/>
        <v>1.9777753636554554</v>
      </c>
      <c r="BU179" s="94">
        <f>Sheet1!AT177</f>
        <v>0</v>
      </c>
      <c r="BV179" s="89">
        <f>Sheet1!BB177</f>
        <v>0</v>
      </c>
      <c r="BW179" s="94">
        <f>Calculation!ED179</f>
        <v>14.814635848233756</v>
      </c>
      <c r="BX179" s="94">
        <f>(Sheet1!CS177*1440)/1000000</f>
        <v>0</v>
      </c>
      <c r="CA179" s="94">
        <f ca="1">Sheet1!AC177-Sheet1!BK177-Sheet1!BL177-Sheet1!BM177-Sheet1!BC177-Sheet1!BD177-Sheet1!BE177-Sheet1!BF177-Sheet1!BG177-Sheet1!BH177-Sheet1!BI177+BC179+P179</f>
        <v>54.637775363655443</v>
      </c>
      <c r="CB179" s="93">
        <f t="shared" si="35"/>
        <v>81.535198342782365</v>
      </c>
      <c r="CC179" s="94">
        <f t="shared" si="36"/>
        <v>0</v>
      </c>
      <c r="CD179" s="94">
        <f t="shared" ca="1" si="37"/>
        <v>69.452411211889199</v>
      </c>
      <c r="CE179" s="1077">
        <f t="shared" ca="1" si="38"/>
        <v>107.44288014479258</v>
      </c>
      <c r="CG179" s="1077">
        <f t="shared" ca="1" si="39"/>
        <v>54.637775363655443</v>
      </c>
    </row>
    <row r="180" spans="1:85" s="89" customFormat="1" x14ac:dyDescent="0.25">
      <c r="A180" s="616" t="s">
        <v>3</v>
      </c>
      <c r="B180" s="91">
        <v>42904</v>
      </c>
      <c r="C180" s="92">
        <v>0</v>
      </c>
      <c r="D180" s="94">
        <f>(Sheet1!BQ178-Sheet1!BQ177)*1.385</f>
        <v>-4.4319999999999986</v>
      </c>
      <c r="E180" s="30">
        <f>(Sheet1!BR178-Sheet1!BR177)*1.385</f>
        <v>-4.4043000000000045</v>
      </c>
      <c r="F180" s="30">
        <f ca="1">IF(B180=TODAY(),0,-(VLOOKUP(Sheet1!CD178,Lookup!$I$4:$J$216,2)-VLOOKUP(Sheet1!CD177,Lookup!$I$4:$J$216,2))/1000000)</f>
        <v>-0.10363693854780681</v>
      </c>
      <c r="G180" s="94">
        <f ca="1">IF(B180=TODAY(),0,-$G$6*(Sheet1!CF178-Sheet1!CF177)*7.48/1000000)</f>
        <v>-0.59570251578838951</v>
      </c>
      <c r="H180" s="94">
        <f ca="1">IF(B180=TODAY(),0,-$H$6*(Sheet1!CE178-Sheet1!CE177)*7.48/1000000)</f>
        <v>3.0078864702529479E-2</v>
      </c>
      <c r="I180" s="94">
        <f ca="1">IF(B180=TODAY(),0,-$I$6*(Sheet1!CG178-Sheet1!CG177)*7.48/1000000)</f>
        <v>-8.9849760000000074E-3</v>
      </c>
      <c r="J180" s="95" t="s">
        <v>177</v>
      </c>
      <c r="K180" s="94">
        <f ca="1">IF(B180=TODAY(),0,-$K$6*(Sheet1!CH178-Sheet1!CH177)*7.48/1000000)</f>
        <v>-1.5325636861254445E-2</v>
      </c>
      <c r="L180" s="95" t="s">
        <v>177</v>
      </c>
      <c r="M180" s="94">
        <f ca="1">IF(B180=TODAY(),0,-$M$6*(Sheet1!CI178-Sheet1!CI177)*7.48/1000000)</f>
        <v>3.598301685605397E-2</v>
      </c>
      <c r="N180" s="94">
        <f ca="1">IF(B180=TODAY(),0,-$N$6*(Sheet1!CJ178-Sheet1!CJ177)*7.48/1000000)</f>
        <v>-0.1178994562497851</v>
      </c>
      <c r="O180" s="94">
        <f t="shared" ca="1" si="40"/>
        <v>-0.77548764188865249</v>
      </c>
      <c r="P180" s="94">
        <f ca="1">O180+Calculation!ES180</f>
        <v>8.0891790002402768</v>
      </c>
      <c r="Q180" s="89" t="str">
        <f>IF(Sheet1!BQ178&gt;25.75,"spill elevation","-")</f>
        <v>-</v>
      </c>
      <c r="R180" s="89" t="str">
        <f>IF(Sheet1!BQ178&gt;25.75,"spill elevation","-")</f>
        <v>-</v>
      </c>
      <c r="S180" s="89" t="str">
        <f>IF(Sheet1!BR178&gt;25.75,"spill elevation","-")</f>
        <v>-</v>
      </c>
      <c r="T180" s="93">
        <f>IF(Sheet1!DU178=1,Sheet1!AA178-(SUM(AT180:BA180)+BE180),Sheet1!AA178-SUM(AT180:BA180))</f>
        <v>28.502544</v>
      </c>
      <c r="U180" s="93">
        <f>Sheet1!BV178</f>
        <v>43.8</v>
      </c>
      <c r="V180" s="93">
        <f t="shared" si="41"/>
        <v>-15.297455999999997</v>
      </c>
      <c r="W180" s="93">
        <f>0</f>
        <v>0</v>
      </c>
      <c r="X180" s="89">
        <f>0</f>
        <v>0</v>
      </c>
      <c r="Y180" s="94">
        <f ca="1">Calculation!EJ181+Calculation!ES180+'Calculations II'!O180-'Calculations II'!W180</f>
        <v>64.194881402970225</v>
      </c>
      <c r="Z180" s="94">
        <f ca="1">Y180-Sheet1!CT179</f>
        <v>48.389881402970225</v>
      </c>
      <c r="AA180" s="94">
        <f ca="1">Y180+Calculation!DJ181+Calculation!AS181</f>
        <v>79.194293167676108</v>
      </c>
      <c r="AC180" s="94">
        <f>Sheet1!AA178+Sheet1!AB178+BC180</f>
        <v>63.23</v>
      </c>
      <c r="AD180" s="94">
        <f>Sheet1!AA178+Sheet1!BN178+'Calculations II'!BC180-Calculation!AS180-Calculation!DJ180</f>
        <v>33.393178199632573</v>
      </c>
      <c r="AE180" s="94">
        <f>Sheet1!AA178+Sheet1!AB178+'Calculations II'!BC180-Calculation!AS180-Calculation!DJ180</f>
        <v>48.223178199632571</v>
      </c>
      <c r="AF180" s="94">
        <f ca="1">Sheet1!AA178+Sheet1!BN178+P180+'Calculations II'!BC180+Calculation!AS180+Calculation!DJ180</f>
        <v>71.496000800607703</v>
      </c>
      <c r="AG180" s="94">
        <f ca="1">IF(B180=TODAY(),0,Sheet1!AA178+Sheet1!BN178+'Calculations II'!BC180+'Calculations II'!P180-Sheet1!CT178-BP180)</f>
        <v>39.356179000240274</v>
      </c>
      <c r="AH180" s="94">
        <f ca="1">IF(B180=TODAY(),0,Sheet1!AA178+Sheet1!BN178+'Calculations II'!BC180+'Calculations II'!P180-BP180)</f>
        <v>56.489179000240277</v>
      </c>
      <c r="AI180" s="94">
        <f ca="1">IF(B180=TODAY(),0,BC180+Sheet1!AA178+Calculation!ES180+O180+W180+Sheet1!BN178+Calculation!AS180+Calculation!DJ180-BP180)</f>
        <v>71.496000800607703</v>
      </c>
      <c r="AJ180" s="94"/>
      <c r="AM180" s="90">
        <f t="shared" si="42"/>
        <v>42904</v>
      </c>
      <c r="AN180" s="94">
        <f>Sheet1!BU178</f>
        <v>28.4</v>
      </c>
      <c r="AO180" s="94">
        <f>Sheet1!AA178</f>
        <v>30.9</v>
      </c>
      <c r="AP180" s="94">
        <f t="shared" si="31"/>
        <v>-8.8363000000000032</v>
      </c>
      <c r="AQ180" s="1087">
        <f>((Sheet1!BV178-(Sheet1!BU178-AP180))/(Sheet1!BU178-AP180))</f>
        <v>0.17627154147968507</v>
      </c>
      <c r="AR180" s="94">
        <f t="shared" si="32"/>
        <v>39.7363</v>
      </c>
      <c r="AS180" s="94">
        <f t="shared" si="33"/>
        <v>37.2363</v>
      </c>
      <c r="AT180" s="89">
        <f>Sheet1!BB178</f>
        <v>0</v>
      </c>
      <c r="AU180" s="89">
        <f>Sheet1!AS178*GPMtoMGD</f>
        <v>3.2400000000000005E-2</v>
      </c>
      <c r="AV180" s="94">
        <f>Sheet1!AT178</f>
        <v>0</v>
      </c>
      <c r="AW180" s="89">
        <f>Sheet1!AV178*GPMtoMGD</f>
        <v>1.00728</v>
      </c>
      <c r="AX180" s="89">
        <f>Sheet1!AW178*GPMtoMGD</f>
        <v>1.3577760000000001</v>
      </c>
      <c r="AY180" s="89">
        <f>Sheet1!AX178*GPMtoMGD</f>
        <v>0</v>
      </c>
      <c r="AZ180" s="89">
        <f>Sheet1!AY178*GPMtoMGD</f>
        <v>0</v>
      </c>
      <c r="BA180" s="89">
        <f>Sheet1!AZ178*GPMtoMGD</f>
        <v>0</v>
      </c>
      <c r="BB180" s="89">
        <f>Sheet1!BP178*GPMtoMGD</f>
        <v>3.8592000000000001E-2</v>
      </c>
      <c r="BC180" s="89">
        <f>Sheet1!CS178*GPMtoMGD</f>
        <v>0</v>
      </c>
      <c r="BD180" s="89">
        <f>Sheet1!BO178*GPMtoMGD</f>
        <v>2.2560480000000003</v>
      </c>
      <c r="BE180" s="89">
        <f>Sheet1!BW178*GPMtoMGD</f>
        <v>1.1109600000000002</v>
      </c>
      <c r="BF180" s="89">
        <f>Sheet1!CN178*GPMtoMGD</f>
        <v>2.6765280000000002</v>
      </c>
      <c r="BG180" s="89">
        <f>Sheet1!CO178*GPMtoMGD</f>
        <v>1.0274400000000001</v>
      </c>
      <c r="BH180" s="89">
        <f>Sheet1!CP178*GPMtoMGD</f>
        <v>0.79876800000000014</v>
      </c>
      <c r="BI180" s="89">
        <f t="shared" si="43"/>
        <v>2.2946400000000002</v>
      </c>
      <c r="BK180" s="94">
        <f>SUM(AT180:BA180,AS180,BC180,Calculation!AQ180)</f>
        <v>56.956934199632578</v>
      </c>
      <c r="BM180" s="358">
        <f>0</f>
        <v>0</v>
      </c>
      <c r="BN180" s="358">
        <f>0</f>
        <v>0</v>
      </c>
      <c r="BP180" s="94">
        <f>SUM(BM180:BN180,W180,Sheet1!DX178)</f>
        <v>0</v>
      </c>
      <c r="BR180" s="94">
        <f>Sheet1!AA178</f>
        <v>30.9</v>
      </c>
      <c r="BS180" s="94">
        <f>Sheet1!AB178</f>
        <v>32.33</v>
      </c>
      <c r="BT180" s="94">
        <f t="shared" ca="1" si="34"/>
        <v>8.0891790002402768</v>
      </c>
      <c r="BU180" s="94">
        <f>Sheet1!AT178</f>
        <v>0</v>
      </c>
      <c r="BV180" s="89">
        <f>Sheet1!BB178</f>
        <v>0</v>
      </c>
      <c r="BW180" s="94">
        <f>Calculation!ED180</f>
        <v>15.006821800367423</v>
      </c>
      <c r="BX180" s="94">
        <f>(Sheet1!CS178*1440)/1000000</f>
        <v>0</v>
      </c>
      <c r="CA180" s="94">
        <f ca="1">Sheet1!AC178-Sheet1!BK178-Sheet1!BL178-Sheet1!BM178-Sheet1!BC178-Sheet1!BD178-Sheet1!BE178-Sheet1!BF178-Sheet1!BG178-Sheet1!BH178-Sheet1!BI178+BC180+P180</f>
        <v>56.159179000240279</v>
      </c>
      <c r="CB180" s="93">
        <f t="shared" si="35"/>
        <v>74.601256674831589</v>
      </c>
      <c r="CC180" s="94">
        <f t="shared" si="36"/>
        <v>0</v>
      </c>
      <c r="CD180" s="94">
        <f t="shared" ca="1" si="37"/>
        <v>71.166000800607705</v>
      </c>
      <c r="CE180" s="1077">
        <f t="shared" ca="1" si="38"/>
        <v>110.09380323854012</v>
      </c>
      <c r="CG180" s="1077">
        <f t="shared" ca="1" si="39"/>
        <v>56.159179000240279</v>
      </c>
    </row>
    <row r="181" spans="1:85" s="89" customFormat="1" x14ac:dyDescent="0.25">
      <c r="A181" s="616" t="s">
        <v>4</v>
      </c>
      <c r="B181" s="91">
        <v>42905</v>
      </c>
      <c r="C181" s="92">
        <v>0</v>
      </c>
      <c r="D181" s="94">
        <f>(Sheet1!BQ179-Sheet1!BQ178)*1.385</f>
        <v>-0.81714999999999982</v>
      </c>
      <c r="E181" s="30">
        <f>(Sheet1!BR179-Sheet1!BR178)*1.385</f>
        <v>-0.80329999999999768</v>
      </c>
      <c r="F181" s="30">
        <f ca="1">IF(B181=TODAY(),0,-(VLOOKUP(Sheet1!CD179,Lookup!$I$4:$J$216,2)-VLOOKUP(Sheet1!CD178,Lookup!$I$4:$J$216,2))/1000000)</f>
        <v>-0.41454775419119744</v>
      </c>
      <c r="G181" s="94">
        <f ca="1">IF(B181=TODAY(),0,-$G$6*(Sheet1!CF179-Sheet1!CF178)*7.48/1000000)</f>
        <v>-7.9427002105118313E-2</v>
      </c>
      <c r="H181" s="94">
        <f ca="1">IF(B181=TODAY(),0,-$H$6*(Sheet1!CE179-Sheet1!CE178)*7.48/1000000)</f>
        <v>1.5039432351265274E-2</v>
      </c>
      <c r="I181" s="94">
        <f ca="1">IF(B181=TODAY(),0,-$I$6*(Sheet1!CG179-Sheet1!CG178)*7.48/1000000)</f>
        <v>-2.2462439999999959E-2</v>
      </c>
      <c r="J181" s="95" t="s">
        <v>177</v>
      </c>
      <c r="K181" s="94">
        <f ca="1">IF(B181=TODAY(),0,-$K$6*(Sheet1!CH179-Sheet1!CH178)*7.48/1000000)</f>
        <v>-1.7990965011037766E-2</v>
      </c>
      <c r="L181" s="95" t="s">
        <v>177</v>
      </c>
      <c r="M181" s="94">
        <f ca="1">IF(B181=TODAY(),0,-$M$6*(Sheet1!CI179-Sheet1!CI178)*7.48/1000000)</f>
        <v>-0.14393206742421652</v>
      </c>
      <c r="N181" s="94">
        <f ca="1">IF(B181=TODAY(),0,-$N$6*(Sheet1!CJ179-Sheet1!CJ178)*7.48/1000000)</f>
        <v>-0.18615703618387214</v>
      </c>
      <c r="O181" s="94">
        <f t="shared" ca="1" si="40"/>
        <v>-0.84947783256417686</v>
      </c>
      <c r="P181" s="94">
        <f ca="1">O181+Calculation!ES181</f>
        <v>0.81118619105275169</v>
      </c>
      <c r="Q181" s="89" t="str">
        <f>IF(Sheet1!BQ179&gt;25.75,"spill elevation","-")</f>
        <v>-</v>
      </c>
      <c r="R181" s="89" t="str">
        <f>IF(Sheet1!BQ179&gt;25.75,"spill elevation","-")</f>
        <v>-</v>
      </c>
      <c r="S181" s="89" t="str">
        <f>IF(Sheet1!BR179&gt;25.75,"spill elevation","-")</f>
        <v>-</v>
      </c>
      <c r="T181" s="93">
        <f>IF(Sheet1!DU179=1,Sheet1!AA179-(SUM(AT181:BA181)+BE181),Sheet1!AA179-SUM(AT181:BA181))</f>
        <v>28.255407999999999</v>
      </c>
      <c r="U181" s="93">
        <f>Sheet1!BV179</f>
        <v>35.4</v>
      </c>
      <c r="V181" s="93">
        <f t="shared" si="41"/>
        <v>-7.1445919999999994</v>
      </c>
      <c r="W181" s="93">
        <f>0</f>
        <v>0</v>
      </c>
      <c r="X181" s="89">
        <f>0</f>
        <v>0</v>
      </c>
      <c r="Y181" s="94">
        <f ca="1">Calculation!EJ182+Calculation!ES181+'Calculations II'!O181-'Calculations II'!W181</f>
        <v>65.176792541329775</v>
      </c>
      <c r="Z181" s="94">
        <f ca="1">Y181-Sheet1!CT180</f>
        <v>49.154792541329776</v>
      </c>
      <c r="AA181" s="94">
        <f ca="1">Y181+Calculation!DJ182+Calculation!AS182</f>
        <v>79.959243134215157</v>
      </c>
      <c r="AC181" s="94">
        <f>Sheet1!AA179+Sheet1!AB179+BC181</f>
        <v>71.91</v>
      </c>
      <c r="AD181" s="94">
        <f>Sheet1!AA179+Sheet1!BN179+'Calculations II'!BC181-Calculation!AS181-Calculation!DJ181</f>
        <v>42.000588235294117</v>
      </c>
      <c r="AE181" s="94">
        <f>Sheet1!AA179+Sheet1!AB179+'Calculations II'!BC181-Calculation!AS181-Calculation!DJ181</f>
        <v>56.910588235294114</v>
      </c>
      <c r="AF181" s="94">
        <f ca="1">Sheet1!AA179+Sheet1!BN179+P181+'Calculations II'!BC181+Calculation!AS181+Calculation!DJ181</f>
        <v>72.810597955758638</v>
      </c>
      <c r="AG181" s="94">
        <f ca="1">IF(B181=TODAY(),0,Sheet1!AA179+Sheet1!BN179+'Calculations II'!BC181+'Calculations II'!P181-Sheet1!CT179-BP181)</f>
        <v>42.006186191052755</v>
      </c>
      <c r="AH181" s="94">
        <f ca="1">IF(B181=TODAY(),0,Sheet1!AA179+Sheet1!BN179+'Calculations II'!BC181+'Calculations II'!P181-BP181)</f>
        <v>57.811186191052755</v>
      </c>
      <c r="AI181" s="94">
        <f ca="1">IF(B181=TODAY(),0,BC181+Sheet1!AA179+Calculation!ES181+O181+W181+Sheet1!BN179+Calculation!AS181+Calculation!DJ181-BP181)</f>
        <v>72.810597955758638</v>
      </c>
      <c r="AJ181" s="94"/>
      <c r="AM181" s="90">
        <f t="shared" si="42"/>
        <v>42905</v>
      </c>
      <c r="AN181" s="94">
        <f>Sheet1!BU179</f>
        <v>28.3</v>
      </c>
      <c r="AO181" s="94">
        <f>Sheet1!AA179</f>
        <v>30.4</v>
      </c>
      <c r="AP181" s="94">
        <f t="shared" si="31"/>
        <v>-1.6204499999999975</v>
      </c>
      <c r="AQ181" s="1087">
        <f>((Sheet1!BV179-(Sheet1!BU179-AP181))/(Sheet1!BU179-AP181))</f>
        <v>0.18313728570258803</v>
      </c>
      <c r="AR181" s="94">
        <f t="shared" si="32"/>
        <v>32.020449999999997</v>
      </c>
      <c r="AS181" s="94">
        <f t="shared" si="33"/>
        <v>29.920449999999999</v>
      </c>
      <c r="AT181" s="89">
        <f>Sheet1!BB179</f>
        <v>0</v>
      </c>
      <c r="AU181" s="89">
        <f>Sheet1!AS179*GPMtoMGD</f>
        <v>3.3408E-2</v>
      </c>
      <c r="AV181" s="94">
        <f>Sheet1!AT179</f>
        <v>0</v>
      </c>
      <c r="AW181" s="89">
        <f>Sheet1!AV179*GPMtoMGD</f>
        <v>0.93888000000000005</v>
      </c>
      <c r="AX181" s="89">
        <f>Sheet1!AW179*GPMtoMGD</f>
        <v>1.172304</v>
      </c>
      <c r="AY181" s="89">
        <f>Sheet1!AX179*GPMtoMGD</f>
        <v>0</v>
      </c>
      <c r="AZ181" s="89">
        <f>Sheet1!AY179*GPMtoMGD</f>
        <v>0</v>
      </c>
      <c r="BA181" s="89">
        <f>Sheet1!AZ179*GPMtoMGD</f>
        <v>0</v>
      </c>
      <c r="BB181" s="89">
        <f>Sheet1!BP179*GPMtoMGD</f>
        <v>2.8800000000000002E-3</v>
      </c>
      <c r="BC181" s="89">
        <f>Sheet1!CS179*GPMtoMGD</f>
        <v>0</v>
      </c>
      <c r="BD181" s="89">
        <f>Sheet1!BO179*GPMtoMGD</f>
        <v>2.647872</v>
      </c>
      <c r="BE181" s="89">
        <f>Sheet1!BW179*GPMtoMGD</f>
        <v>1.1388960000000001</v>
      </c>
      <c r="BF181" s="89">
        <f>Sheet1!CN179*GPMtoMGD</f>
        <v>2.8087200000000001</v>
      </c>
      <c r="BG181" s="89">
        <f>Sheet1!CO179*GPMtoMGD</f>
        <v>1.1119680000000001</v>
      </c>
      <c r="BH181" s="89">
        <f>Sheet1!CP179*GPMtoMGD</f>
        <v>0.906192</v>
      </c>
      <c r="BI181" s="89">
        <f t="shared" si="43"/>
        <v>2.6507520000000002</v>
      </c>
      <c r="BK181" s="94">
        <f>SUM(AT181:BA181,AS181,BC181,Calculation!AQ181)</f>
        <v>58.575630235294113</v>
      </c>
      <c r="BM181" s="358">
        <f>0</f>
        <v>0</v>
      </c>
      <c r="BN181" s="358">
        <f>0</f>
        <v>0</v>
      </c>
      <c r="BP181" s="94">
        <f>SUM(BM181:BN181,W181,Sheet1!DX179)</f>
        <v>0</v>
      </c>
      <c r="BR181" s="94">
        <f>Sheet1!AA179</f>
        <v>30.4</v>
      </c>
      <c r="BS181" s="94">
        <f>Sheet1!AB179</f>
        <v>41.51</v>
      </c>
      <c r="BT181" s="94">
        <f t="shared" ca="1" si="34"/>
        <v>0.81118619105275169</v>
      </c>
      <c r="BU181" s="94">
        <f>Sheet1!AT179</f>
        <v>0</v>
      </c>
      <c r="BV181" s="89">
        <f>Sheet1!BB179</f>
        <v>0</v>
      </c>
      <c r="BW181" s="94">
        <f>Calculation!ED181</f>
        <v>14.999411764705881</v>
      </c>
      <c r="BX181" s="94">
        <f>(Sheet1!CS179*1440)/1000000</f>
        <v>0</v>
      </c>
      <c r="CA181" s="94">
        <f ca="1">Sheet1!AC179-Sheet1!BK179-Sheet1!BL179-Sheet1!BM179-Sheet1!BC179-Sheet1!BD179-Sheet1!BE179-Sheet1!BF179-Sheet1!BG179-Sheet1!BH179-Sheet1!BI179+BC181+P181</f>
        <v>57.671186191052755</v>
      </c>
      <c r="CB181" s="93">
        <f t="shared" si="35"/>
        <v>88.040679999999995</v>
      </c>
      <c r="CC181" s="94">
        <f t="shared" si="36"/>
        <v>0</v>
      </c>
      <c r="CD181" s="94">
        <f t="shared" ca="1" si="37"/>
        <v>72.670597955758637</v>
      </c>
      <c r="CE181" s="1077">
        <f t="shared" ca="1" si="38"/>
        <v>112.4214150375586</v>
      </c>
      <c r="CG181" s="1077">
        <f t="shared" ca="1" si="39"/>
        <v>57.671186191052755</v>
      </c>
    </row>
    <row r="182" spans="1:85" s="89" customFormat="1" x14ac:dyDescent="0.25">
      <c r="A182" s="616" t="s">
        <v>5</v>
      </c>
      <c r="B182" s="91">
        <v>42906</v>
      </c>
      <c r="C182" s="92">
        <v>0</v>
      </c>
      <c r="D182" s="94">
        <f>(Sheet1!BQ180-Sheet1!BQ179)*1.385</f>
        <v>2.1051999999999995</v>
      </c>
      <c r="E182" s="30">
        <f>(Sheet1!BR180-Sheet1!BR179)*1.385</f>
        <v>2.1328999999999989</v>
      </c>
      <c r="F182" s="30">
        <f ca="1">IF(B182=TODAY(),0,-(VLOOKUP(Sheet1!CD180,Lookup!$I$4:$J$216,2)-VLOOKUP(Sheet1!CD179,Lookup!$I$4:$J$216,2))/1000000)</f>
        <v>1.2436432625735998</v>
      </c>
      <c r="G182" s="94">
        <f ca="1">IF(B182=TODAY(),0,-$G$6*(Sheet1!CF180-Sheet1!CF179)*7.48/1000000)</f>
        <v>0.57584576526210962</v>
      </c>
      <c r="H182" s="94">
        <f ca="1">IF(B182=TODAY(),0,-$H$6*(Sheet1!CE180-Sheet1!CE179)*7.48/1000000)</f>
        <v>1.5039432351265274E-2</v>
      </c>
      <c r="I182" s="94">
        <f ca="1">IF(B182=TODAY(),0,-$I$6*(Sheet1!CG180-Sheet1!CG179)*7.48/1000000)</f>
        <v>-3.1447416000000047E-2</v>
      </c>
      <c r="J182" s="95" t="s">
        <v>177</v>
      </c>
      <c r="K182" s="94">
        <f ca="1">IF(B182=TODAY(),0,-$K$6*(Sheet1!CH180-Sheet1!CH179)*7.48/1000000)</f>
        <v>-6.196887948246349E-2</v>
      </c>
      <c r="L182" s="95" t="s">
        <v>177</v>
      </c>
      <c r="M182" s="94">
        <f ca="1">IF(B182=TODAY(),0,-$M$6*(Sheet1!CI180-Sheet1!CI179)*7.48/1000000)</f>
        <v>-7.1966033712107941E-2</v>
      </c>
      <c r="N182" s="94">
        <f ca="1">IF(B182=TODAY(),0,-$N$6*(Sheet1!CJ180-Sheet1!CJ179)*7.48/1000000)</f>
        <v>0.57708681217000213</v>
      </c>
      <c r="O182" s="94">
        <f t="shared" ca="1" si="40"/>
        <v>2.2462329431624051</v>
      </c>
      <c r="P182" s="94">
        <f ca="1">O182+Calculation!ES182</f>
        <v>-1.9062920119884863</v>
      </c>
      <c r="Q182" s="89" t="str">
        <f>IF(Sheet1!BQ180&gt;25.75,"spill elevation","-")</f>
        <v>-</v>
      </c>
      <c r="R182" s="89" t="str">
        <f>IF(Sheet1!BQ180&gt;25.75,"spill elevation","-")</f>
        <v>-</v>
      </c>
      <c r="S182" s="89" t="str">
        <f>IF(Sheet1!BR180&gt;25.75,"spill elevation","-")</f>
        <v>-</v>
      </c>
      <c r="T182" s="93">
        <f>IF(Sheet1!DU180=1,Sheet1!AA180-(SUM(AT182:BA182)+BE182),Sheet1!AA180-SUM(AT182:BA182))</f>
        <v>22.038176</v>
      </c>
      <c r="U182" s="93">
        <f>Sheet1!BV180</f>
        <v>22.9</v>
      </c>
      <c r="V182" s="93">
        <f t="shared" si="41"/>
        <v>-0.86182399999999859</v>
      </c>
      <c r="W182" s="93">
        <f>0</f>
        <v>0</v>
      </c>
      <c r="X182" s="89">
        <f>0</f>
        <v>0</v>
      </c>
      <c r="Y182" s="94">
        <f ca="1">Calculation!EJ183+Calculation!ES182+'Calculations II'!O182-'Calculations II'!W182</f>
        <v>59.443756069884039</v>
      </c>
      <c r="Z182" s="94">
        <f ca="1">Y182-Sheet1!CT181</f>
        <v>43.075756069884036</v>
      </c>
      <c r="AA182" s="94">
        <f ca="1">Y182+Calculation!DJ183+Calculation!AS183</f>
        <v>73.490205763021478</v>
      </c>
      <c r="AC182" s="94">
        <f>Sheet1!AA180+Sheet1!AB180+BC182</f>
        <v>75.539999999999992</v>
      </c>
      <c r="AD182" s="94">
        <f>Sheet1!AA180+Sheet1!BN180+'Calculations II'!BC182-Calculation!AS182-Calculation!DJ182</f>
        <v>46.017549407114615</v>
      </c>
      <c r="AE182" s="94">
        <f>Sheet1!AA180+Sheet1!AB180+'Calculations II'!BC182-Calculation!AS182-Calculation!DJ182</f>
        <v>60.75754940711461</v>
      </c>
      <c r="AF182" s="94">
        <f ca="1">Sheet1!AA180+Sheet1!BN180+P182+'Calculations II'!BC182+Calculation!AS182+Calculation!DJ182</f>
        <v>73.676158580896896</v>
      </c>
      <c r="AG182" s="94">
        <f ca="1">IF(B182=TODAY(),0,Sheet1!AA180+Sheet1!BN180+'Calculations II'!BC182+'Calculations II'!P182-Sheet1!CT180-BP182)</f>
        <v>42.871707988011515</v>
      </c>
      <c r="AH182" s="94">
        <f ca="1">IF(B182=TODAY(),0,Sheet1!AA180+Sheet1!BN180+'Calculations II'!BC182+'Calculations II'!P182-BP182)</f>
        <v>58.893707988011514</v>
      </c>
      <c r="AI182" s="94">
        <f ca="1">IF(B182=TODAY(),0,BC182+Sheet1!AA180+Calculation!ES182+O182+W182+Sheet1!BN180+Calculation!AS182+Calculation!DJ182-BP182)</f>
        <v>73.676158580896896</v>
      </c>
      <c r="AJ182" s="94"/>
      <c r="AM182" s="90">
        <f t="shared" si="42"/>
        <v>42906</v>
      </c>
      <c r="AN182" s="94">
        <f>Sheet1!BU180</f>
        <v>23.4</v>
      </c>
      <c r="AO182" s="94">
        <f>Sheet1!AA180</f>
        <v>25</v>
      </c>
      <c r="AP182" s="94">
        <f t="shared" si="31"/>
        <v>4.2380999999999984</v>
      </c>
      <c r="AQ182" s="1087">
        <f>((Sheet1!BV180-(Sheet1!BU180-AP182))/(Sheet1!BU180-AP182))</f>
        <v>0.19507981985084982</v>
      </c>
      <c r="AR182" s="94">
        <f t="shared" si="32"/>
        <v>20.761900000000001</v>
      </c>
      <c r="AS182" s="94">
        <f t="shared" si="33"/>
        <v>19.161899999999999</v>
      </c>
      <c r="AT182" s="89">
        <f>Sheet1!BB180</f>
        <v>0</v>
      </c>
      <c r="AU182" s="89">
        <f>Sheet1!AS180*GPMtoMGD</f>
        <v>1.8000000000000002E-2</v>
      </c>
      <c r="AV182" s="94">
        <f>Sheet1!AT180</f>
        <v>0.5</v>
      </c>
      <c r="AW182" s="89">
        <f>Sheet1!AV180*GPMtoMGD</f>
        <v>0.59371200000000002</v>
      </c>
      <c r="AX182" s="89">
        <f>Sheet1!AW180*GPMtoMGD</f>
        <v>1.850112</v>
      </c>
      <c r="AY182" s="89">
        <f>Sheet1!AX180*GPMtoMGD</f>
        <v>0</v>
      </c>
      <c r="AZ182" s="89">
        <f>Sheet1!AY180*GPMtoMGD</f>
        <v>0</v>
      </c>
      <c r="BA182" s="89">
        <f>Sheet1!AZ180*GPMtoMGD</f>
        <v>0</v>
      </c>
      <c r="BB182" s="89">
        <f>Sheet1!BP180*GPMtoMGD</f>
        <v>2.7360000000000002E-3</v>
      </c>
      <c r="BC182" s="89">
        <f>Sheet1!CS180*GPMtoMGD</f>
        <v>0</v>
      </c>
      <c r="BD182" s="89">
        <f>Sheet1!BO180*GPMtoMGD</f>
        <v>2.7963360000000002</v>
      </c>
      <c r="BE182" s="89">
        <f>Sheet1!BW180*GPMtoMGD</f>
        <v>1.1511359999999999</v>
      </c>
      <c r="BF182" s="89">
        <f>Sheet1!CN180*GPMtoMGD</f>
        <v>2.4945120000000003</v>
      </c>
      <c r="BG182" s="89">
        <f>Sheet1!CO180*GPMtoMGD</f>
        <v>0.80755199999999994</v>
      </c>
      <c r="BH182" s="89">
        <f>Sheet1!CP180*GPMtoMGD</f>
        <v>0.549072</v>
      </c>
      <c r="BI182" s="89">
        <f t="shared" si="43"/>
        <v>2.7990720000000002</v>
      </c>
      <c r="BK182" s="94">
        <f>SUM(AT182:BA182,AS182,BC182,Calculation!AQ182)</f>
        <v>57.88127340711462</v>
      </c>
      <c r="BM182" s="358">
        <f>0</f>
        <v>0</v>
      </c>
      <c r="BN182" s="358">
        <f>0</f>
        <v>0</v>
      </c>
      <c r="BP182" s="94">
        <f>SUM(BM182:BN182,W182,Sheet1!DX180)</f>
        <v>0</v>
      </c>
      <c r="BR182" s="94">
        <f>Sheet1!AA180</f>
        <v>25</v>
      </c>
      <c r="BS182" s="94">
        <f>Sheet1!AB180</f>
        <v>50.54</v>
      </c>
      <c r="BT182" s="94">
        <f t="shared" ca="1" si="34"/>
        <v>-1.9062920119884863</v>
      </c>
      <c r="BU182" s="94">
        <f>Sheet1!AT180</f>
        <v>0.5</v>
      </c>
      <c r="BV182" s="89">
        <f>Sheet1!BB180</f>
        <v>0</v>
      </c>
      <c r="BW182" s="94">
        <f>Calculation!ED182</f>
        <v>14.782450592885377</v>
      </c>
      <c r="BX182" s="94">
        <f>(Sheet1!CS180*1440)/1000000</f>
        <v>0</v>
      </c>
      <c r="CA182" s="94">
        <f ca="1">Sheet1!AC180-Sheet1!BK180-Sheet1!BL180-Sheet1!BM180-Sheet1!BC180-Sheet1!BD180-Sheet1!BE180-Sheet1!BF180-Sheet1!BG180-Sheet1!BH180-Sheet1!BI180+BC182+P182</f>
        <v>58.833707988011511</v>
      </c>
      <c r="CB182" s="93">
        <f t="shared" si="35"/>
        <v>93.991928932806303</v>
      </c>
      <c r="CC182" s="94">
        <f t="shared" si="36"/>
        <v>0.5</v>
      </c>
      <c r="CD182" s="94">
        <f t="shared" ca="1" si="37"/>
        <v>73.616158580896894</v>
      </c>
      <c r="CE182" s="1077">
        <f t="shared" ca="1" si="38"/>
        <v>113.88419732464749</v>
      </c>
      <c r="CG182" s="1077">
        <f t="shared" ca="1" si="39"/>
        <v>58.333707988011511</v>
      </c>
    </row>
    <row r="183" spans="1:85" s="89" customFormat="1" x14ac:dyDescent="0.25">
      <c r="A183" s="616" t="s">
        <v>6</v>
      </c>
      <c r="B183" s="91">
        <v>42907</v>
      </c>
      <c r="C183" s="92">
        <v>0</v>
      </c>
      <c r="D183" s="94">
        <f>(Sheet1!BQ181-Sheet1!BQ180)*1.385</f>
        <v>-2.6591999999999976</v>
      </c>
      <c r="E183" s="30">
        <f>(Sheet1!BR181-Sheet1!BR180)*1.385</f>
        <v>-2.6591999999999976</v>
      </c>
      <c r="F183" s="30">
        <f ca="1">IF(B183=TODAY(),0,-(VLOOKUP(Sheet1!CD181,Lookup!$I$4:$J$216,2)-VLOOKUP(Sheet1!CD180,Lookup!$I$4:$J$216,2))/1000000)</f>
        <v>-0.51818469273899681</v>
      </c>
      <c r="G183" s="94">
        <f ca="1">IF(B183=TODAY(),0,-$G$6*(Sheet1!CF181-Sheet1!CF180)*7.48/1000000)</f>
        <v>-0.37727825999931303</v>
      </c>
      <c r="H183" s="94">
        <f ca="1">IF(B183=TODAY(),0,-$H$6*(Sheet1!CE181-Sheet1!CE180)*7.48/1000000)</f>
        <v>-1.5039432351265274E-2</v>
      </c>
      <c r="I183" s="94">
        <f ca="1">IF(B183=TODAY(),0,-$I$6*(Sheet1!CG181-Sheet1!CG180)*7.48/1000000)</f>
        <v>4.4924879999999837E-3</v>
      </c>
      <c r="J183" s="95" t="s">
        <v>177</v>
      </c>
      <c r="K183" s="94">
        <f ca="1">IF(B183=TODAY(),0,-$K$6*(Sheet1!CH181-Sheet1!CH180)*7.48/1000000)</f>
        <v>6.6633203744584186E-3</v>
      </c>
      <c r="L183" s="95" t="s">
        <v>177</v>
      </c>
      <c r="M183" s="94">
        <f ca="1">IF(B183=TODAY(),0,-$M$6*(Sheet1!CI181-Sheet1!CI180)*7.48/1000000)</f>
        <v>3.598301685605397E-2</v>
      </c>
      <c r="N183" s="94">
        <f ca="1">IF(B183=TODAY(),0,-$N$6*(Sheet1!CJ181-Sheet1!CJ180)*7.48/1000000)</f>
        <v>-0.33508266513096857</v>
      </c>
      <c r="O183" s="94">
        <f t="shared" ca="1" si="40"/>
        <v>-1.1984462249900312</v>
      </c>
      <c r="P183" s="94">
        <f ca="1">O183+Calculation!ES183</f>
        <v>4.060931851167803</v>
      </c>
      <c r="Q183" s="89" t="str">
        <f>IF(Sheet1!BQ181&gt;25.75,"spill elevation","-")</f>
        <v>-</v>
      </c>
      <c r="R183" s="89" t="str">
        <f>IF(Sheet1!BQ181&gt;25.75,"spill elevation","-")</f>
        <v>-</v>
      </c>
      <c r="S183" s="89" t="str">
        <f>IF(Sheet1!BR181&gt;25.75,"spill elevation","-")</f>
        <v>-</v>
      </c>
      <c r="T183" s="93">
        <f>IF(Sheet1!DU181=1,Sheet1!AA181-(SUM(AT183:BA183)+BE183),Sheet1!AA181-SUM(AT183:BA183))</f>
        <v>16.685055999999999</v>
      </c>
      <c r="U183" s="93">
        <f>Sheet1!BV181</f>
        <v>26.8</v>
      </c>
      <c r="V183" s="93">
        <f t="shared" si="41"/>
        <v>-10.114944000000001</v>
      </c>
      <c r="W183" s="93">
        <f>0</f>
        <v>0</v>
      </c>
      <c r="X183" s="89">
        <f>0</f>
        <v>0</v>
      </c>
      <c r="Y183" s="94">
        <f ca="1">Calculation!EJ184+Calculation!ES183+'Calculations II'!O183-'Calculations II'!W183</f>
        <v>77.613555796884356</v>
      </c>
      <c r="Z183" s="94">
        <f ca="1">Y183-Sheet1!CT182</f>
        <v>61.720555796884355</v>
      </c>
      <c r="AA183" s="94">
        <f ca="1">Y183+Calculation!DJ184+Calculation!AS184</f>
        <v>92.12333757727923</v>
      </c>
      <c r="AC183" s="94">
        <f>Sheet1!AA181+Sheet1!AB181+BC183</f>
        <v>75.48</v>
      </c>
      <c r="AD183" s="94">
        <f>Sheet1!AA181+Sheet1!BN181+'Calculations II'!BC183-Calculation!AS183-Calculation!DJ183</f>
        <v>47.453550306862567</v>
      </c>
      <c r="AE183" s="94">
        <f>Sheet1!AA181+Sheet1!AB181+'Calculations II'!BC183-Calculation!AS183-Calculation!DJ183</f>
        <v>61.433550306862571</v>
      </c>
      <c r="AF183" s="94">
        <f ca="1">Sheet1!AA181+Sheet1!BN181+P183+'Calculations II'!BC183+Calculation!AS183+Calculation!DJ183</f>
        <v>79.607381544305241</v>
      </c>
      <c r="AG183" s="94">
        <f ca="1">IF(B183=TODAY(),0,Sheet1!AA181+Sheet1!BN181+'Calculations II'!BC183+'Calculations II'!P183-Sheet1!CT181-BP183)</f>
        <v>49.192931851167813</v>
      </c>
      <c r="AH183" s="94">
        <f ca="1">IF(B183=TODAY(),0,Sheet1!AA181+Sheet1!BN181+'Calculations II'!BC183+'Calculations II'!P183-BP183)</f>
        <v>65.560931851167808</v>
      </c>
      <c r="AI183" s="94">
        <f ca="1">IF(B183=TODAY(),0,BC183+Sheet1!AA181+Calculation!ES183+O183+W183+Sheet1!BN181+Calculation!AS183+Calculation!DJ183-BP183)</f>
        <v>79.607381544305241</v>
      </c>
      <c r="AJ183" s="94"/>
      <c r="AM183" s="90">
        <f t="shared" si="42"/>
        <v>42907</v>
      </c>
      <c r="AN183" s="94">
        <f>Sheet1!BU181</f>
        <v>17.8</v>
      </c>
      <c r="AO183" s="94">
        <f>Sheet1!AA181</f>
        <v>21.8</v>
      </c>
      <c r="AP183" s="94">
        <f t="shared" si="31"/>
        <v>-5.3183999999999951</v>
      </c>
      <c r="AQ183" s="1087">
        <f>((Sheet1!BV181-(Sheet1!BU181-AP183))/(Sheet1!BU181-AP183))</f>
        <v>0.15924977507093949</v>
      </c>
      <c r="AR183" s="94">
        <f t="shared" si="32"/>
        <v>27.118399999999994</v>
      </c>
      <c r="AS183" s="94">
        <f t="shared" si="33"/>
        <v>23.118399999999994</v>
      </c>
      <c r="AT183" s="89">
        <f>Sheet1!BB181</f>
        <v>0</v>
      </c>
      <c r="AU183" s="89">
        <f>Sheet1!AS181*GPMtoMGD</f>
        <v>3.4272000000000004E-2</v>
      </c>
      <c r="AV183" s="94">
        <f>Sheet1!AT181</f>
        <v>0.83799999999999997</v>
      </c>
      <c r="AW183" s="89">
        <f>Sheet1!AV181*GPMtoMGD</f>
        <v>0</v>
      </c>
      <c r="AX183" s="89">
        <f>Sheet1!AW181*GPMtoMGD</f>
        <v>4.2426720000000007</v>
      </c>
      <c r="AY183" s="89">
        <f>Sheet1!AX181*GPMtoMGD</f>
        <v>0</v>
      </c>
      <c r="AZ183" s="89">
        <f>Sheet1!AY181*GPMtoMGD</f>
        <v>0</v>
      </c>
      <c r="BA183" s="89">
        <f>Sheet1!AZ181*GPMtoMGD</f>
        <v>0</v>
      </c>
      <c r="BB183" s="89">
        <f>Sheet1!BP181*GPMtoMGD</f>
        <v>2.5920000000000001E-3</v>
      </c>
      <c r="BC183" s="89">
        <f>Sheet1!CS181*GPMtoMGD</f>
        <v>0</v>
      </c>
      <c r="BD183" s="89">
        <f>Sheet1!BO181*GPMtoMGD</f>
        <v>2.9664000000000001</v>
      </c>
      <c r="BE183" s="89">
        <f>Sheet1!BW181*GPMtoMGD</f>
        <v>1.3236480000000002</v>
      </c>
      <c r="BF183" s="89">
        <f>Sheet1!CN181*GPMtoMGD</f>
        <v>3.5629920000000004</v>
      </c>
      <c r="BG183" s="89">
        <f>Sheet1!CO181*GPMtoMGD</f>
        <v>1.3248</v>
      </c>
      <c r="BH183" s="89">
        <f>Sheet1!CP181*GPMtoMGD</f>
        <v>0.84902400000000011</v>
      </c>
      <c r="BI183" s="89">
        <f t="shared" si="43"/>
        <v>2.9689920000000001</v>
      </c>
      <c r="BK183" s="94">
        <f>SUM(AT183:BA183,AS183,BC183,Calculation!AQ183)</f>
        <v>67.866894306862548</v>
      </c>
      <c r="BM183" s="358">
        <f>0</f>
        <v>0</v>
      </c>
      <c r="BN183" s="358">
        <f>0</f>
        <v>0</v>
      </c>
      <c r="BP183" s="94">
        <f>SUM(BM183:BN183,W183,Sheet1!DX181)</f>
        <v>0</v>
      </c>
      <c r="BR183" s="94">
        <f>Sheet1!AA181</f>
        <v>21.8</v>
      </c>
      <c r="BS183" s="94">
        <f>Sheet1!AB181</f>
        <v>53.68</v>
      </c>
      <c r="BT183" s="94">
        <f t="shared" ca="1" si="34"/>
        <v>4.060931851167803</v>
      </c>
      <c r="BU183" s="94">
        <f>Sheet1!AT181</f>
        <v>0.83799999999999997</v>
      </c>
      <c r="BV183" s="89">
        <f>Sheet1!BB181</f>
        <v>0</v>
      </c>
      <c r="BW183" s="94">
        <f>Calculation!ED183</f>
        <v>14.046449693137436</v>
      </c>
      <c r="BX183" s="94">
        <f>(Sheet1!CS181*1440)/1000000</f>
        <v>0</v>
      </c>
      <c r="CA183" s="94">
        <f ca="1">Sheet1!AC181-Sheet1!BK181-Sheet1!BL181-Sheet1!BM181-Sheet1!BC181-Sheet1!BD181-Sheet1!BE181-Sheet1!BF181-Sheet1!BG181-Sheet1!BH181-Sheet1!BI181+BC183+P183</f>
        <v>65.470931851167805</v>
      </c>
      <c r="CB183" s="93">
        <f t="shared" si="35"/>
        <v>95.037702324716392</v>
      </c>
      <c r="CC183" s="94">
        <f t="shared" si="36"/>
        <v>0.83799999999999997</v>
      </c>
      <c r="CD183" s="94">
        <f t="shared" ca="1" si="37"/>
        <v>79.517381544305238</v>
      </c>
      <c r="CE183" s="1077">
        <f t="shared" ca="1" si="38"/>
        <v>123.0133892490402</v>
      </c>
      <c r="CG183" s="1077">
        <f t="shared" ca="1" si="39"/>
        <v>64.632931851167811</v>
      </c>
    </row>
    <row r="184" spans="1:85" s="89" customFormat="1" x14ac:dyDescent="0.25">
      <c r="A184" s="616" t="s">
        <v>7</v>
      </c>
      <c r="B184" s="91">
        <v>42908</v>
      </c>
      <c r="C184" s="92">
        <v>0</v>
      </c>
      <c r="D184" s="94">
        <f>(Sheet1!BQ182-Sheet1!BQ181)*1.385</f>
        <v>3.1993499999999981</v>
      </c>
      <c r="E184" s="30">
        <f>(Sheet1!BR182-Sheet1!BR181)*1.385</f>
        <v>3.1855000000000011</v>
      </c>
      <c r="F184" s="30">
        <f ca="1">IF(B184=TODAY(),0,-(VLOOKUP(Sheet1!CD182,Lookup!$I$4:$J$216,2)-VLOOKUP(Sheet1!CD181,Lookup!$I$4:$J$216,2))/1000000)</f>
        <v>0</v>
      </c>
      <c r="G184" s="94">
        <f ca="1">IF(B184=TODAY(),0,-$G$6*(Sheet1!CF182-Sheet1!CF181)*7.48/1000000)</f>
        <v>0</v>
      </c>
      <c r="H184" s="94">
        <f ca="1">IF(B184=TODAY(),0,-$H$6*(Sheet1!CE182-Sheet1!CE181)*7.48/1000000)</f>
        <v>0</v>
      </c>
      <c r="I184" s="94">
        <f ca="1">IF(B184=TODAY(),0,-$I$6*(Sheet1!CG182-Sheet1!CG181)*7.48/1000000)</f>
        <v>0</v>
      </c>
      <c r="J184" s="95" t="s">
        <v>177</v>
      </c>
      <c r="K184" s="94">
        <f ca="1">IF(B184=TODAY(),0,-$K$6*(Sheet1!CH182-Sheet1!CH181)*7.48/1000000)</f>
        <v>0</v>
      </c>
      <c r="L184" s="95" t="s">
        <v>177</v>
      </c>
      <c r="M184" s="94">
        <f ca="1">IF(B184=TODAY(),0,-$M$6*(Sheet1!CI182-Sheet1!CI181)*7.48/1000000)</f>
        <v>-1.7991508428027301E-2</v>
      </c>
      <c r="N184" s="94">
        <f ca="1">IF(B184=TODAY(),0,-$N$6*(Sheet1!CJ182-Sheet1!CJ181)*7.48/1000000)</f>
        <v>6.2052345394622583E-3</v>
      </c>
      <c r="O184" s="94">
        <f t="shared" ca="1" si="40"/>
        <v>-1.1786273888565043E-2</v>
      </c>
      <c r="P184" s="94">
        <f ca="1">O184+Calculation!ES184</f>
        <v>-6.3789912912380426</v>
      </c>
      <c r="Q184" s="89" t="str">
        <f>IF(Sheet1!BQ182&gt;25.75,"spill elevation","-")</f>
        <v>-</v>
      </c>
      <c r="R184" s="89" t="str">
        <f>IF(Sheet1!BQ182&gt;25.75,"spill elevation","-")</f>
        <v>-</v>
      </c>
      <c r="S184" s="89" t="str">
        <f>IF(Sheet1!BR182&gt;25.75,"spill elevation","-")</f>
        <v>-</v>
      </c>
      <c r="T184" s="93">
        <f>IF(Sheet1!DU182=1,Sheet1!AA182-(SUM(AT184:BA184)+BE184),Sheet1!AA182-SUM(AT184:BA184))</f>
        <v>25.445808</v>
      </c>
      <c r="U184" s="93">
        <f>Sheet1!BV182</f>
        <v>23.7</v>
      </c>
      <c r="V184" s="93">
        <f t="shared" si="41"/>
        <v>1.7458080000000002</v>
      </c>
      <c r="W184" s="93">
        <f>0</f>
        <v>0</v>
      </c>
      <c r="X184" s="89">
        <f>0</f>
        <v>0</v>
      </c>
      <c r="Y184" s="94">
        <f ca="1">Calculation!EJ185+Calculation!ES184+'Calculations II'!O184-'Calculations II'!W184</f>
        <v>68.614510340130977</v>
      </c>
      <c r="Z184" s="94">
        <f ca="1">Y184-Sheet1!CT183</f>
        <v>53.025510340130978</v>
      </c>
      <c r="AA184" s="94">
        <f ca="1">Y184+Calculation!DJ185+Calculation!AS185</f>
        <v>85.268858242535742</v>
      </c>
      <c r="AC184" s="94">
        <f>Sheet1!AA182+Sheet1!AB182+BC184</f>
        <v>87.42</v>
      </c>
      <c r="AD184" s="94">
        <f>Sheet1!AA182+Sheet1!BN182+'Calculations II'!BC184-Calculation!AS184-Calculation!DJ184</f>
        <v>58.490218219605126</v>
      </c>
      <c r="AE184" s="94">
        <f>Sheet1!AA182+Sheet1!AB182+'Calculations II'!BC184-Calculation!AS184-Calculation!DJ184</f>
        <v>72.910218219605127</v>
      </c>
      <c r="AF184" s="94">
        <f ca="1">Sheet1!AA182+Sheet1!BN182+P184+'Calculations II'!BC184+Calculation!AS184+Calculation!DJ184</f>
        <v>81.130790489156837</v>
      </c>
      <c r="AG184" s="94">
        <f ca="1">IF(B184=TODAY(),0,Sheet1!AA182+Sheet1!BN182+'Calculations II'!BC184+'Calculations II'!P184-Sheet1!CT182-BP184)</f>
        <v>50.728008708761962</v>
      </c>
      <c r="AH184" s="94">
        <f ca="1">IF(B184=TODAY(),0,Sheet1!AA182+Sheet1!BN182+'Calculations II'!BC184+'Calculations II'!P184-BP184)</f>
        <v>66.621008708761963</v>
      </c>
      <c r="AI184" s="94">
        <f ca="1">IF(B184=TODAY(),0,BC184+Sheet1!AA182+Calculation!ES184+O184+W184+Sheet1!BN182+Calculation!AS184+Calculation!DJ184-BP184)</f>
        <v>81.130790489156837</v>
      </c>
      <c r="AJ184" s="94"/>
      <c r="AM184" s="90">
        <f t="shared" si="42"/>
        <v>42908</v>
      </c>
      <c r="AN184" s="94">
        <f>Sheet1!BU182</f>
        <v>26.1</v>
      </c>
      <c r="AO184" s="94">
        <f>Sheet1!AA182</f>
        <v>29.8</v>
      </c>
      <c r="AP184" s="94">
        <f t="shared" si="31"/>
        <v>6.3848499999999992</v>
      </c>
      <c r="AQ184" s="1087">
        <f>((Sheet1!BV182-(Sheet1!BU182-AP184))/(Sheet1!BU182-AP184))</f>
        <v>0.20212121135269059</v>
      </c>
      <c r="AR184" s="94">
        <f t="shared" si="32"/>
        <v>23.415150000000001</v>
      </c>
      <c r="AS184" s="94">
        <f t="shared" si="33"/>
        <v>19.715150000000001</v>
      </c>
      <c r="AT184" s="89">
        <f>Sheet1!BB182</f>
        <v>0</v>
      </c>
      <c r="AU184" s="89">
        <f>Sheet1!AS182*GPMtoMGD</f>
        <v>3.5712000000000001E-2</v>
      </c>
      <c r="AV184" s="94">
        <f>Sheet1!AT182</f>
        <v>0.37</v>
      </c>
      <c r="AW184" s="89">
        <f>Sheet1!AV182*GPMtoMGD</f>
        <v>0</v>
      </c>
      <c r="AX184" s="89">
        <f>Sheet1!AW182*GPMtoMGD</f>
        <v>3.9484800000000004</v>
      </c>
      <c r="AY184" s="89">
        <f>Sheet1!AX182*GPMtoMGD</f>
        <v>0</v>
      </c>
      <c r="AZ184" s="89">
        <f>Sheet1!AY182*GPMtoMGD</f>
        <v>0</v>
      </c>
      <c r="BA184" s="89">
        <f>Sheet1!AZ182*GPMtoMGD</f>
        <v>0</v>
      </c>
      <c r="BB184" s="89">
        <f>Sheet1!BP182*GPMtoMGD</f>
        <v>2.7360000000000002E-3</v>
      </c>
      <c r="BC184" s="89">
        <f>Sheet1!CS182*GPMtoMGD</f>
        <v>0</v>
      </c>
      <c r="BD184" s="89">
        <f>Sheet1!BO182*GPMtoMGD</f>
        <v>2.9282400000000002</v>
      </c>
      <c r="BE184" s="89">
        <f>Sheet1!BW182*GPMtoMGD</f>
        <v>1.470672</v>
      </c>
      <c r="BF184" s="89">
        <f>Sheet1!CN182*GPMtoMGD</f>
        <v>3.6240480000000002</v>
      </c>
      <c r="BG184" s="89">
        <f>Sheet1!CO182*GPMtoMGD</f>
        <v>1.3298400000000001</v>
      </c>
      <c r="BH184" s="89">
        <f>Sheet1!CP182*GPMtoMGD</f>
        <v>0.9928800000000001</v>
      </c>
      <c r="BI184" s="89">
        <f t="shared" si="43"/>
        <v>2.9309760000000002</v>
      </c>
      <c r="BK184" s="94">
        <f>SUM(AT184:BA184,AS184,BC184,Calculation!AQ184)</f>
        <v>67.179560219605122</v>
      </c>
      <c r="BM184" s="358">
        <f>0</f>
        <v>0</v>
      </c>
      <c r="BN184" s="358">
        <f>0</f>
        <v>0</v>
      </c>
      <c r="BP184" s="94">
        <f>SUM(BM184:BN184,W184,Sheet1!DX182)</f>
        <v>0</v>
      </c>
      <c r="BR184" s="94">
        <f>Sheet1!AA182</f>
        <v>29.8</v>
      </c>
      <c r="BS184" s="94">
        <f>Sheet1!AB182</f>
        <v>57.62</v>
      </c>
      <c r="BT184" s="94">
        <f t="shared" ca="1" si="34"/>
        <v>-6.3789912912380426</v>
      </c>
      <c r="BU184" s="94">
        <f>Sheet1!AT182</f>
        <v>0.37</v>
      </c>
      <c r="BV184" s="89">
        <f>Sheet1!BB182</f>
        <v>0</v>
      </c>
      <c r="BW184" s="94">
        <f>Calculation!ED184</f>
        <v>14.509781780394871</v>
      </c>
      <c r="BX184" s="94">
        <f>(Sheet1!CS182*1440)/1000000</f>
        <v>0</v>
      </c>
      <c r="CA184" s="94">
        <f ca="1">Sheet1!AC182-Sheet1!BK182-Sheet1!BL182-Sheet1!BM182-Sheet1!BC182-Sheet1!BD182-Sheet1!BE182-Sheet1!BF182-Sheet1!BG182-Sheet1!BH182-Sheet1!BI182+BC184+P184</f>
        <v>66.501008708761972</v>
      </c>
      <c r="CB184" s="93">
        <f t="shared" si="35"/>
        <v>112.79210758572913</v>
      </c>
      <c r="CC184" s="94">
        <f t="shared" si="36"/>
        <v>0.37</v>
      </c>
      <c r="CD184" s="94">
        <f t="shared" ca="1" si="37"/>
        <v>81.010790489156847</v>
      </c>
      <c r="CE184" s="1077">
        <f t="shared" ca="1" si="38"/>
        <v>125.32369288672564</v>
      </c>
      <c r="CG184" s="1077">
        <f t="shared" ca="1" si="39"/>
        <v>66.131008708761968</v>
      </c>
    </row>
    <row r="185" spans="1:85" s="89" customFormat="1" x14ac:dyDescent="0.25">
      <c r="A185" s="616" t="s">
        <v>8</v>
      </c>
      <c r="B185" s="91">
        <v>42909</v>
      </c>
      <c r="C185" s="92">
        <v>0</v>
      </c>
      <c r="D185" s="94">
        <f>(Sheet1!BQ183-Sheet1!BQ182)*1.385</f>
        <v>3.2685999999999993</v>
      </c>
      <c r="E185" s="30">
        <f>(Sheet1!BR183-Sheet1!BR182)*1.385</f>
        <v>3.2131999999999956</v>
      </c>
      <c r="F185" s="30">
        <f ca="1">IF(B185=TODAY(),0,-(VLOOKUP(Sheet1!CD183,Lookup!$I$4:$J$216,2)-VLOOKUP(Sheet1!CD182,Lookup!$I$4:$J$216,2))/1000000)</f>
        <v>-0.31091081564340556</v>
      </c>
      <c r="G185" s="94">
        <f ca="1">IF(B185=TODAY(),0,-$G$6*(Sheet1!CF183-Sheet1!CF182)*7.48/1000000)</f>
        <v>0.31770800842047325</v>
      </c>
      <c r="H185" s="94">
        <f ca="1">IF(B185=TODAY(),0,-$H$6*(Sheet1!CE183-Sheet1!CE182)*7.48/1000000)</f>
        <v>1.5039432351265274E-2</v>
      </c>
      <c r="I185" s="94">
        <f ca="1">IF(B185=TODAY(),0,-$I$6*(Sheet1!CG183-Sheet1!CG182)*7.48/1000000)</f>
        <v>-8.9849759999999675E-3</v>
      </c>
      <c r="J185" s="95" t="s">
        <v>177</v>
      </c>
      <c r="K185" s="94">
        <f ca="1">IF(B185=TODAY(),0,-$K$6*(Sheet1!CH183-Sheet1!CH182)*7.48/1000000)</f>
        <v>-1.9989961123375376E-2</v>
      </c>
      <c r="L185" s="95" t="s">
        <v>177</v>
      </c>
      <c r="M185" s="94">
        <f ca="1">IF(B185=TODAY(),0,-$M$6*(Sheet1!CI183-Sheet1!CI182)*7.48/1000000)</f>
        <v>-5.3974525284080636E-2</v>
      </c>
      <c r="N185" s="94">
        <f ca="1">IF(B185=TODAY(),0,-$N$6*(Sheet1!CJ183-Sheet1!CJ182)*7.48/1000000)</f>
        <v>-0.14892562894709749</v>
      </c>
      <c r="O185" s="94">
        <f t="shared" ca="1" si="40"/>
        <v>-0.21003846622622052</v>
      </c>
      <c r="P185" s="94">
        <f ca="1">O185+Calculation!ES185</f>
        <v>-6.7226429638482701</v>
      </c>
      <c r="Q185" s="89" t="str">
        <f>IF(Sheet1!BQ183&gt;25.75,"spill elevation","-")</f>
        <v>-</v>
      </c>
      <c r="R185" s="89" t="str">
        <f>IF(Sheet1!BQ183&gt;25.75,"spill elevation","-")</f>
        <v>-</v>
      </c>
      <c r="S185" s="89" t="str">
        <f>IF(Sheet1!BR183&gt;25.75,"spill elevation","-")</f>
        <v>-</v>
      </c>
      <c r="T185" s="93">
        <f>IF(Sheet1!DU183=1,Sheet1!AA183-(SUM(AT185:BA185)+BE185),Sheet1!AA183-SUM(AT185:BA185))</f>
        <v>29.882111999999999</v>
      </c>
      <c r="U185" s="93">
        <f>Sheet1!BV183</f>
        <v>29</v>
      </c>
      <c r="V185" s="93">
        <f t="shared" si="41"/>
        <v>0.88211199999999934</v>
      </c>
      <c r="W185" s="93">
        <f>0</f>
        <v>0</v>
      </c>
      <c r="X185" s="89">
        <f>0</f>
        <v>0</v>
      </c>
      <c r="Y185" s="94">
        <f ca="1">Calculation!EJ186+Calculation!ES185+'Calculations II'!O185-'Calculations II'!W185</f>
        <v>59.493531234381834</v>
      </c>
      <c r="Z185" s="94">
        <f ca="1">Y185-Sheet1!CT184</f>
        <v>44.073531234381832</v>
      </c>
      <c r="AA185" s="94">
        <f ca="1">Y185+Calculation!DJ186+Calculation!AS186</f>
        <v>77.762730123931703</v>
      </c>
      <c r="AC185" s="94">
        <f>Sheet1!AA183+Sheet1!AB183+BC185</f>
        <v>91.34</v>
      </c>
      <c r="AD185" s="94">
        <f>Sheet1!AA183+Sheet1!BN183+'Calculations II'!BC185-Calculation!AS185-Calculation!DJ185</f>
        <v>57.825652097595217</v>
      </c>
      <c r="AE185" s="94">
        <f>Sheet1!AA183+Sheet1!AB183+'Calculations II'!BC185-Calculation!AS185-Calculation!DJ185</f>
        <v>74.685652097595238</v>
      </c>
      <c r="AF185" s="94">
        <f ca="1">Sheet1!AA183+Sheet1!BN183+P185+'Calculations II'!BC185+Calculation!AS185+Calculation!DJ185</f>
        <v>84.411704938556483</v>
      </c>
      <c r="AG185" s="94">
        <f ca="1">IF(B185=TODAY(),0,Sheet1!AA183+Sheet1!BN183+'Calculations II'!BC185+'Calculations II'!P185-Sheet1!CT183-BP185)</f>
        <v>52.168357036151718</v>
      </c>
      <c r="AH185" s="94">
        <f ca="1">IF(B185=TODAY(),0,Sheet1!AA183+Sheet1!BN183+'Calculations II'!BC185+'Calculations II'!P185-BP185)</f>
        <v>67.757357036151717</v>
      </c>
      <c r="AI185" s="94">
        <f ca="1">IF(B185=TODAY(),0,BC185+Sheet1!AA183+Calculation!ES185+O185+W185+Sheet1!BN183+Calculation!AS185+Calculation!DJ185-BP185)</f>
        <v>84.411704938556511</v>
      </c>
      <c r="AJ185" s="94"/>
      <c r="AM185" s="90">
        <f t="shared" si="42"/>
        <v>42909</v>
      </c>
      <c r="AN185" s="94">
        <f>Sheet1!BU183</f>
        <v>30.4</v>
      </c>
      <c r="AO185" s="94">
        <f>Sheet1!AA183</f>
        <v>34.08</v>
      </c>
      <c r="AP185" s="94">
        <f t="shared" si="31"/>
        <v>6.4817999999999945</v>
      </c>
      <c r="AQ185" s="1087">
        <f>((Sheet1!BV183-(Sheet1!BU183-AP185))/(Sheet1!BU183-AP185))</f>
        <v>0.21246582100659719</v>
      </c>
      <c r="AR185" s="94">
        <f t="shared" si="32"/>
        <v>27.598200000000006</v>
      </c>
      <c r="AS185" s="94">
        <f t="shared" si="33"/>
        <v>23.918200000000006</v>
      </c>
      <c r="AT185" s="89">
        <f>Sheet1!BB183</f>
        <v>0</v>
      </c>
      <c r="AU185" s="89">
        <f>Sheet1!AS183*GPMtoMGD</f>
        <v>3.4848000000000004E-2</v>
      </c>
      <c r="AV185" s="94">
        <f>Sheet1!AT183</f>
        <v>0</v>
      </c>
      <c r="AW185" s="89">
        <f>Sheet1!AV183*GPMtoMGD</f>
        <v>0.61113600000000001</v>
      </c>
      <c r="AX185" s="89">
        <f>Sheet1!AW183*GPMtoMGD</f>
        <v>3.551904</v>
      </c>
      <c r="AY185" s="89">
        <f>Sheet1!AX183*GPMtoMGD</f>
        <v>0</v>
      </c>
      <c r="AZ185" s="89">
        <f>Sheet1!AY183*GPMtoMGD</f>
        <v>0</v>
      </c>
      <c r="BA185" s="89">
        <f>Sheet1!AZ183*GPMtoMGD</f>
        <v>0</v>
      </c>
      <c r="BB185" s="89">
        <f>Sheet1!BP183*GPMtoMGD</f>
        <v>2.7360000000000002E-3</v>
      </c>
      <c r="BC185" s="89">
        <f>Sheet1!CS183*GPMtoMGD</f>
        <v>0</v>
      </c>
      <c r="BD185" s="89">
        <f>Sheet1!BO183*GPMtoMGD</f>
        <v>3.6133920000000006</v>
      </c>
      <c r="BE185" s="89">
        <f>Sheet1!BW183*GPMtoMGD</f>
        <v>1.6552800000000001</v>
      </c>
      <c r="BF185" s="89">
        <f>Sheet1!CN183*GPMtoMGD</f>
        <v>4.0551840000000006</v>
      </c>
      <c r="BG185" s="89">
        <f>Sheet1!CO183*GPMtoMGD</f>
        <v>1.4479200000000001</v>
      </c>
      <c r="BH185" s="89">
        <f>Sheet1!CP183*GPMtoMGD</f>
        <v>0.97358400000000012</v>
      </c>
      <c r="BI185" s="89">
        <f t="shared" si="43"/>
        <v>3.6161280000000007</v>
      </c>
      <c r="BK185" s="94">
        <f>SUM(AT185:BA185,AS185,BC185,Calculation!AQ185)</f>
        <v>68.72174009759523</v>
      </c>
      <c r="BM185" s="358">
        <f>0</f>
        <v>0</v>
      </c>
      <c r="BN185" s="358">
        <f>0</f>
        <v>0</v>
      </c>
      <c r="BP185" s="94">
        <f>SUM(BM185:BN185,W185,Sheet1!DX183)</f>
        <v>0</v>
      </c>
      <c r="BR185" s="94">
        <f>Sheet1!AA183</f>
        <v>34.08</v>
      </c>
      <c r="BS185" s="94">
        <f>Sheet1!AB183</f>
        <v>57.26</v>
      </c>
      <c r="BT185" s="94">
        <f t="shared" ca="1" si="34"/>
        <v>-6.7226429638482701</v>
      </c>
      <c r="BU185" s="94">
        <f>Sheet1!AT183</f>
        <v>0</v>
      </c>
      <c r="BV185" s="89">
        <f>Sheet1!BB183</f>
        <v>0</v>
      </c>
      <c r="BW185" s="94">
        <f>Calculation!ED185</f>
        <v>16.654347902404773</v>
      </c>
      <c r="BX185" s="94">
        <f>(Sheet1!CS183*1440)/1000000</f>
        <v>0</v>
      </c>
      <c r="CA185" s="94">
        <f ca="1">Sheet1!AC183-Sheet1!BK183-Sheet1!BL183-Sheet1!BM183-Sheet1!BC183-Sheet1!BD183-Sheet1!BE183-Sheet1!BF183-Sheet1!BG183-Sheet1!BH183-Sheet1!BI183+BC185+P185</f>
        <v>68.047357036151752</v>
      </c>
      <c r="CB185" s="93">
        <f t="shared" si="35"/>
        <v>115.53870379497982</v>
      </c>
      <c r="CC185" s="94">
        <f t="shared" si="36"/>
        <v>0</v>
      </c>
      <c r="CD185" s="94">
        <f t="shared" ca="1" si="37"/>
        <v>84.701704938556531</v>
      </c>
      <c r="CE185" s="1077">
        <f t="shared" ca="1" si="38"/>
        <v>131.03353753994693</v>
      </c>
      <c r="CG185" s="1077">
        <f t="shared" ca="1" si="39"/>
        <v>68.047357036151752</v>
      </c>
    </row>
    <row r="186" spans="1:85" s="89" customFormat="1" x14ac:dyDescent="0.25">
      <c r="A186" s="616" t="s">
        <v>9</v>
      </c>
      <c r="B186" s="91">
        <v>42910</v>
      </c>
      <c r="C186" s="92">
        <v>0</v>
      </c>
      <c r="D186" s="94">
        <f>(Sheet1!BQ184-Sheet1!BQ183)*1.385</f>
        <v>-1.5373499999999993</v>
      </c>
      <c r="E186" s="30">
        <f>(Sheet1!BR184-Sheet1!BR183)*1.385</f>
        <v>-1.5096499999999997</v>
      </c>
      <c r="F186" s="30">
        <f ca="1">IF(B186=TODAY(),0,-(VLOOKUP(Sheet1!CD184,Lookup!$I$4:$J$216,2)-VLOOKUP(Sheet1!CD183,Lookup!$I$4:$J$216,2))/1000000)</f>
        <v>-0.41454775419119744</v>
      </c>
      <c r="G186" s="94">
        <f ca="1">IF(B186=TODAY(),0,-$G$6*(Sheet1!CF184-Sheet1!CF183)*7.48/1000000)</f>
        <v>-0.95312402526142248</v>
      </c>
      <c r="H186" s="94">
        <f ca="1">IF(B186=TODAY(),0,-$H$6*(Sheet1!CE184-Sheet1!CE183)*7.48/1000000)</f>
        <v>3.0078864702530548E-2</v>
      </c>
      <c r="I186" s="94">
        <f ca="1">IF(B186=TODAY(),0,-$I$6*(Sheet1!CG184-Sheet1!CG183)*7.48/1000000)</f>
        <v>4.9417367999999989E-2</v>
      </c>
      <c r="J186" s="95" t="s">
        <v>177</v>
      </c>
      <c r="K186" s="94">
        <f ca="1">IF(B186=TODAY(),0,-$K$6*(Sheet1!CH184-Sheet1!CH183)*7.48/1000000)</f>
        <v>9.3286485242418213E-2</v>
      </c>
      <c r="L186" s="95" t="s">
        <v>177</v>
      </c>
      <c r="M186" s="94">
        <f ca="1">IF(B186=TODAY(),0,-$M$6*(Sheet1!CI184-Sheet1!CI183)*7.48/1000000)</f>
        <v>0.19790659270829714</v>
      </c>
      <c r="N186" s="94">
        <f ca="1">IF(B186=TODAY(),0,-$N$6*(Sheet1!CJ184-Sheet1!CJ183)*7.48/1000000)</f>
        <v>-0.2233884434206457</v>
      </c>
      <c r="O186" s="94">
        <f t="shared" ca="1" si="40"/>
        <v>-1.2203709122200197</v>
      </c>
      <c r="P186" s="94">
        <f ca="1">O186+Calculation!ES186</f>
        <v>1.9675222711566949</v>
      </c>
      <c r="Q186" s="89" t="str">
        <f>IF(Sheet1!BQ184&gt;25.75,"spill elevation","-")</f>
        <v>-</v>
      </c>
      <c r="R186" s="89" t="str">
        <f>IF(Sheet1!BQ184&gt;25.75,"spill elevation","-")</f>
        <v>-</v>
      </c>
      <c r="S186" s="89" t="str">
        <f>IF(Sheet1!BR184&gt;25.75,"spill elevation","-")</f>
        <v>-</v>
      </c>
      <c r="T186" s="93">
        <f>IF(Sheet1!DU184=1,Sheet1!AA184-(SUM(AT186:BA186)+BE186),Sheet1!AA184-SUM(AT186:BA186))</f>
        <v>32.814256</v>
      </c>
      <c r="U186" s="93">
        <f>Sheet1!BV184</f>
        <v>42.1</v>
      </c>
      <c r="V186" s="93">
        <f t="shared" si="41"/>
        <v>-9.2857440000000011</v>
      </c>
      <c r="W186" s="93">
        <f>0</f>
        <v>0</v>
      </c>
      <c r="X186" s="89">
        <f>0</f>
        <v>0</v>
      </c>
      <c r="Y186" s="94">
        <f ca="1">Calculation!EJ187+Calculation!ES186+'Calculations II'!O186-'Calculations II'!W186</f>
        <v>75.133444378360508</v>
      </c>
      <c r="Z186" s="94">
        <f ca="1">Y186-Sheet1!CT185</f>
        <v>59.021444378360513</v>
      </c>
      <c r="AA186" s="94">
        <f ca="1">Y186+Calculation!DJ187+Calculation!AS187</f>
        <v>93.122972755658665</v>
      </c>
      <c r="AC186" s="94">
        <f>Sheet1!AA184+Sheet1!AB184+BC186</f>
        <v>86.12</v>
      </c>
      <c r="AD186" s="94">
        <f>Sheet1!AA184+Sheet1!BN184+'Calculations II'!BC186-Calculation!AS186-Calculation!DJ186</f>
        <v>49.860801110450126</v>
      </c>
      <c r="AE186" s="94">
        <f>Sheet1!AA184+Sheet1!AB184+'Calculations II'!BC186-Calculation!AS186-Calculation!DJ186</f>
        <v>67.850801110450135</v>
      </c>
      <c r="AF186" s="94">
        <f ca="1">Sheet1!AA184+Sheet1!BN184+P186+'Calculations II'!BC186+Calculation!AS186+Calculation!DJ186</f>
        <v>88.366721160706561</v>
      </c>
      <c r="AG186" s="94">
        <f ca="1">IF(B186=TODAY(),0,Sheet1!AA184+Sheet1!BN184+'Calculations II'!BC186+'Calculations II'!P186-Sheet1!CT184-BP186)</f>
        <v>54.67752227115669</v>
      </c>
      <c r="AH186" s="94">
        <f ca="1">IF(B186=TODAY(),0,Sheet1!AA184+Sheet1!BN184+'Calculations II'!BC186+'Calculations II'!P186-BP186)</f>
        <v>70.097522271156691</v>
      </c>
      <c r="AI186" s="94">
        <f ca="1">IF(B186=TODAY(),0,BC186+Sheet1!AA184+Calculation!ES186+O186+W186+Sheet1!BN184+Calculation!AS186+Calculation!DJ186-BP186)</f>
        <v>88.366721160706561</v>
      </c>
      <c r="AJ186" s="94"/>
      <c r="AM186" s="90">
        <f t="shared" si="42"/>
        <v>42910</v>
      </c>
      <c r="AN186" s="94">
        <f>Sheet1!BU184</f>
        <v>32.4</v>
      </c>
      <c r="AO186" s="94">
        <f>Sheet1!AA184</f>
        <v>36.130000000000003</v>
      </c>
      <c r="AP186" s="94">
        <f t="shared" si="31"/>
        <v>-3.0469999999999988</v>
      </c>
      <c r="AQ186" s="1087">
        <f>((Sheet1!BV184-(Sheet1!BU184-AP186))/(Sheet1!BU184-AP186))</f>
        <v>0.18768866194600409</v>
      </c>
      <c r="AR186" s="94">
        <f t="shared" si="32"/>
        <v>39.177</v>
      </c>
      <c r="AS186" s="94">
        <f t="shared" si="33"/>
        <v>35.446999999999996</v>
      </c>
      <c r="AT186" s="89">
        <f>Sheet1!BB184</f>
        <v>0</v>
      </c>
      <c r="AU186" s="89">
        <f>Sheet1!AS184*GPMtoMGD</f>
        <v>6.8688000000000013E-2</v>
      </c>
      <c r="AV186" s="94">
        <f>Sheet1!AT184</f>
        <v>0</v>
      </c>
      <c r="AW186" s="89">
        <f>Sheet1!AV184*GPMtoMGD</f>
        <v>1.082592</v>
      </c>
      <c r="AX186" s="89">
        <f>Sheet1!AW184*GPMtoMGD</f>
        <v>2.1631680000000002</v>
      </c>
      <c r="AY186" s="89">
        <f>Sheet1!AX184*GPMtoMGD</f>
        <v>1.2960000000000001E-3</v>
      </c>
      <c r="AZ186" s="89">
        <f>Sheet1!AY184*GPMtoMGD</f>
        <v>0</v>
      </c>
      <c r="BA186" s="89">
        <f>Sheet1!AZ184*GPMtoMGD</f>
        <v>0</v>
      </c>
      <c r="BB186" s="89">
        <f>Sheet1!BP184*GPMtoMGD</f>
        <v>2.7360000000000002E-3</v>
      </c>
      <c r="BC186" s="89">
        <f>Sheet1!CS184*GPMtoMGD</f>
        <v>0</v>
      </c>
      <c r="BD186" s="89">
        <f>Sheet1!BO184*GPMtoMGD</f>
        <v>3.4557120000000006</v>
      </c>
      <c r="BE186" s="89">
        <f>Sheet1!BW184*GPMtoMGD</f>
        <v>1.7622720000000001</v>
      </c>
      <c r="BF186" s="89">
        <f>Sheet1!CN184*GPMtoMGD</f>
        <v>4.3155360000000007</v>
      </c>
      <c r="BG186" s="89">
        <f>Sheet1!CO184*GPMtoMGD</f>
        <v>1.5312960000000002</v>
      </c>
      <c r="BH186" s="89">
        <f>Sheet1!CP184*GPMtoMGD</f>
        <v>0.80841600000000002</v>
      </c>
      <c r="BI186" s="89">
        <f t="shared" si="43"/>
        <v>3.4584480000000006</v>
      </c>
      <c r="BK186" s="94">
        <f>SUM(AT186:BA186,AS186,BC186,Calculation!AQ186)</f>
        <v>70.483545110450123</v>
      </c>
      <c r="BM186" s="358">
        <f>0</f>
        <v>0</v>
      </c>
      <c r="BN186" s="358">
        <f>0</f>
        <v>0</v>
      </c>
      <c r="BP186" s="94">
        <f>SUM(BM186:BN186,W186,Sheet1!DX184)</f>
        <v>0</v>
      </c>
      <c r="BR186" s="94">
        <f>Sheet1!AA184</f>
        <v>36.130000000000003</v>
      </c>
      <c r="BS186" s="94">
        <f>Sheet1!AB184</f>
        <v>49.99</v>
      </c>
      <c r="BT186" s="94">
        <f t="shared" ca="1" si="34"/>
        <v>1.9675222711566949</v>
      </c>
      <c r="BU186" s="94">
        <f>Sheet1!AT184</f>
        <v>0</v>
      </c>
      <c r="BV186" s="89">
        <f>Sheet1!BB184</f>
        <v>0</v>
      </c>
      <c r="BW186" s="94">
        <f>Calculation!ED186</f>
        <v>18.269198889549873</v>
      </c>
      <c r="BX186" s="94">
        <f>(Sheet1!CS184*1440)/1000000</f>
        <v>0</v>
      </c>
      <c r="CA186" s="94">
        <f ca="1">Sheet1!AC184-Sheet1!BK184-Sheet1!BL184-Sheet1!BM184-Sheet1!BC184-Sheet1!BD184-Sheet1!BE184-Sheet1!BF184-Sheet1!BG184-Sheet1!BH184-Sheet1!BI184+BC186+P186</f>
        <v>69.657522271156694</v>
      </c>
      <c r="CB186" s="93">
        <f t="shared" si="35"/>
        <v>104.96518931786635</v>
      </c>
      <c r="CC186" s="94">
        <f t="shared" si="36"/>
        <v>0</v>
      </c>
      <c r="CD186" s="94">
        <f t="shared" ca="1" si="37"/>
        <v>87.926721160706563</v>
      </c>
      <c r="CE186" s="1077">
        <f t="shared" ca="1" si="38"/>
        <v>136.02263763561305</v>
      </c>
      <c r="CG186" s="1077">
        <f t="shared" ca="1" si="39"/>
        <v>69.657522271156694</v>
      </c>
    </row>
    <row r="187" spans="1:85" s="89" customFormat="1" x14ac:dyDescent="0.25">
      <c r="A187" s="616" t="s">
        <v>3</v>
      </c>
      <c r="B187" s="91">
        <v>42911</v>
      </c>
      <c r="C187" s="92">
        <v>0</v>
      </c>
      <c r="D187" s="94">
        <f>(Sheet1!BQ185-Sheet1!BQ184)*1.385</f>
        <v>-0.55399999999999805</v>
      </c>
      <c r="E187" s="30">
        <f>(Sheet1!BR185-Sheet1!BR184)*1.385</f>
        <v>-0.55399999999999805</v>
      </c>
      <c r="F187" s="30">
        <f ca="1">IF(B187=TODAY(),0,-(VLOOKUP(Sheet1!CD185,Lookup!$I$4:$J$216,2)-VLOOKUP(Sheet1!CD184,Lookup!$I$4:$J$216,2))/1000000)</f>
        <v>0</v>
      </c>
      <c r="G187" s="94">
        <f ca="1">IF(B187=TODAY(),0,-$G$6*(Sheet1!CF185-Sheet1!CF184)*7.48/1000000)</f>
        <v>1.3502590357870154</v>
      </c>
      <c r="H187" s="94">
        <f ca="1">IF(B187=TODAY(),0,-$H$6*(Sheet1!CE185-Sheet1!CE184)*7.48/1000000)</f>
        <v>3.0078864702529479E-2</v>
      </c>
      <c r="I187" s="94">
        <f ca="1">IF(B187=TODAY(),0,-$I$6*(Sheet1!CG185-Sheet1!CG184)*7.48/1000000)</f>
        <v>2.2462440000000004E-2</v>
      </c>
      <c r="J187" s="95" t="s">
        <v>177</v>
      </c>
      <c r="K187" s="94">
        <f ca="1">IF(B187=TODAY(),0,-$K$6*(Sheet1!CH185-Sheet1!CH184)*7.48/1000000)</f>
        <v>3.3316601872292212E-2</v>
      </c>
      <c r="L187" s="95" t="s">
        <v>177</v>
      </c>
      <c r="M187" s="94">
        <f ca="1">IF(B187=TODAY(),0,-$M$6*(Sheet1!CI185-Sheet1!CI184)*7.48/1000000)</f>
        <v>8.9957542140135238E-2</v>
      </c>
      <c r="N187" s="94">
        <f ca="1">IF(B187=TODAY(),0,-$N$6*(Sheet1!CJ185-Sheet1!CJ184)*7.48/1000000)</f>
        <v>0</v>
      </c>
      <c r="O187" s="94">
        <f ca="1">SUM(F187:I187)+K187+SUM(M187:N187)</f>
        <v>1.5260744845019723</v>
      </c>
      <c r="P187" s="94">
        <f ca="1">O187+Calculation!ES187</f>
        <v>2.6345166899472097</v>
      </c>
      <c r="Q187" s="89" t="str">
        <f>IF(Sheet1!BQ185&gt;25.75,"spill elevation","-")</f>
        <v>-</v>
      </c>
      <c r="R187" s="89" t="str">
        <f>IF(Sheet1!BQ185&gt;25.75,"spill elevation","-")</f>
        <v>-</v>
      </c>
      <c r="S187" s="89" t="str">
        <f>IF(Sheet1!BR185&gt;25.75,"spill elevation","-")</f>
        <v>-</v>
      </c>
      <c r="T187" s="93">
        <f>IF(Sheet1!DU185=1,Sheet1!AA185-(SUM(AT187:BA187)+BE187),Sheet1!AA185-SUM(AT187:BA187))</f>
        <v>34.860624000000001</v>
      </c>
      <c r="U187" s="93">
        <f>Sheet1!BV185</f>
        <v>43.1</v>
      </c>
      <c r="V187" s="93">
        <f t="shared" si="41"/>
        <v>-8.239376</v>
      </c>
      <c r="W187" s="93">
        <f>0</f>
        <v>0</v>
      </c>
      <c r="X187" s="89">
        <f>0</f>
        <v>0</v>
      </c>
      <c r="Y187" s="94">
        <f ca="1">Calculation!EJ188+Calculation!ES187+'Calculations II'!O187-'Calculations II'!W187</f>
        <v>73.369484061250532</v>
      </c>
      <c r="Z187" s="94">
        <f ca="1">Y187-Sheet1!CT186</f>
        <v>57.602484061250536</v>
      </c>
      <c r="AA187" s="94">
        <f ca="1">Y187+Calculation!DJ188+Calculation!AS188</f>
        <v>91.082781187079618</v>
      </c>
      <c r="AC187" s="94">
        <f>Sheet1!AA185+Sheet1!AB185+BC187</f>
        <v>89.289999999999992</v>
      </c>
      <c r="AD187" s="94">
        <f>Sheet1!AA185+Sheet1!BN185+'Calculations II'!BC187-Calculation!AS187-Calculation!DJ187</f>
        <v>53.400471622701843</v>
      </c>
      <c r="AE187" s="94">
        <f>Sheet1!AA185+Sheet1!AB185+'Calculations II'!BC187-Calculation!AS187-Calculation!DJ187</f>
        <v>71.300471622701835</v>
      </c>
      <c r="AF187" s="94">
        <f ca="1">Sheet1!AA185+Sheet1!BN185+P187+'Calculations II'!BC187+Calculation!AS187+Calculation!DJ187</f>
        <v>92.014045067245362</v>
      </c>
      <c r="AG187" s="94">
        <f ca="1">IF(B187=TODAY(),0,Sheet1!AA185+Sheet1!BN185+'Calculations II'!BC187+'Calculations II'!P187-Sheet1!CT185-BP187)</f>
        <v>57.912516689947211</v>
      </c>
      <c r="AH187" s="94">
        <f ca="1">IF(B187=TODAY(),0,Sheet1!AA185+Sheet1!BN185+'Calculations II'!BC187+'Calculations II'!P187-BP187)</f>
        <v>74.024516689947205</v>
      </c>
      <c r="AI187" s="94">
        <f ca="1">IF(B187=TODAY(),0,BC187+Sheet1!AA185+Calculation!ES187+O187+W187+Sheet1!BN185+Calculation!AS187+Calculation!DJ187-BP187)</f>
        <v>92.014045067245362</v>
      </c>
      <c r="AJ187" s="94"/>
      <c r="AM187" s="90">
        <f t="shared" si="42"/>
        <v>42911</v>
      </c>
      <c r="AN187" s="94">
        <f>Sheet1!BU185</f>
        <v>35.200000000000003</v>
      </c>
      <c r="AO187" s="94">
        <f>Sheet1!AA185</f>
        <v>39.39</v>
      </c>
      <c r="AP187" s="94">
        <f t="shared" si="31"/>
        <v>-1.1079999999999961</v>
      </c>
      <c r="AQ187" s="1087">
        <f>((Sheet1!BV185-(Sheet1!BU185-AP187))/(Sheet1!BU185-AP187))</f>
        <v>0.18706621130329409</v>
      </c>
      <c r="AR187" s="94">
        <f t="shared" si="32"/>
        <v>40.497999999999998</v>
      </c>
      <c r="AS187" s="94">
        <f t="shared" si="33"/>
        <v>36.308</v>
      </c>
      <c r="AT187" s="89">
        <f>Sheet1!BB185</f>
        <v>0</v>
      </c>
      <c r="AU187" s="89">
        <f>Sheet1!AS185*GPMtoMGD</f>
        <v>4.4784000000000004E-2</v>
      </c>
      <c r="AV187" s="94">
        <f>Sheet1!AT185</f>
        <v>0</v>
      </c>
      <c r="AW187" s="89">
        <f>Sheet1!AV185*GPMtoMGD</f>
        <v>1.32192</v>
      </c>
      <c r="AX187" s="89">
        <f>Sheet1!AW185*GPMtoMGD</f>
        <v>3.1626720000000006</v>
      </c>
      <c r="AY187" s="89">
        <f>Sheet1!AX185*GPMtoMGD</f>
        <v>0</v>
      </c>
      <c r="AZ187" s="89">
        <f>Sheet1!AY185*GPMtoMGD</f>
        <v>0</v>
      </c>
      <c r="BA187" s="89">
        <f>Sheet1!AZ185*GPMtoMGD</f>
        <v>0</v>
      </c>
      <c r="BB187" s="89">
        <f>Sheet1!BP185*GPMtoMGD</f>
        <v>2.5920000000000001E-3</v>
      </c>
      <c r="BC187" s="89">
        <f>Sheet1!CS185*GPMtoMGD</f>
        <v>0</v>
      </c>
      <c r="BD187" s="89">
        <f>Sheet1!BO185*GPMtoMGD</f>
        <v>3.9836160000000005</v>
      </c>
      <c r="BE187" s="89">
        <f>Sheet1!BW185*GPMtoMGD</f>
        <v>1.7458560000000003</v>
      </c>
      <c r="BF187" s="89">
        <f>Sheet1!CN185*GPMtoMGD</f>
        <v>4.74552</v>
      </c>
      <c r="BG187" s="89">
        <f>Sheet1!CO185*GPMtoMGD</f>
        <v>1.6377120000000001</v>
      </c>
      <c r="BH187" s="89">
        <f>Sheet1!CP185*GPMtoMGD</f>
        <v>0.84240000000000004</v>
      </c>
      <c r="BI187" s="89">
        <f t="shared" si="43"/>
        <v>3.9862080000000004</v>
      </c>
      <c r="BK187" s="94">
        <f>SUM(AT187:BA187,AS187,BC187,Calculation!AQ187)</f>
        <v>72.74784762270184</v>
      </c>
      <c r="BM187" s="358">
        <f>0</f>
        <v>0</v>
      </c>
      <c r="BN187" s="358">
        <f>0</f>
        <v>0</v>
      </c>
      <c r="BP187" s="94">
        <f>SUM(BM187:BN187,W187,Sheet1!DX185)</f>
        <v>0</v>
      </c>
      <c r="BR187" s="94">
        <f>Sheet1!AA185</f>
        <v>39.39</v>
      </c>
      <c r="BS187" s="94">
        <f>Sheet1!AB185</f>
        <v>49.9</v>
      </c>
      <c r="BT187" s="94">
        <f t="shared" ca="1" si="34"/>
        <v>2.6345166899472097</v>
      </c>
      <c r="BU187" s="94">
        <f>Sheet1!AT185</f>
        <v>0</v>
      </c>
      <c r="BV187" s="89">
        <f>Sheet1!BB185</f>
        <v>0</v>
      </c>
      <c r="BW187" s="94">
        <f>Calculation!ED187</f>
        <v>17.989528377298161</v>
      </c>
      <c r="BX187" s="94">
        <f>(Sheet1!CS185*1440)/1000000</f>
        <v>0</v>
      </c>
      <c r="CA187" s="94">
        <f ca="1">Sheet1!AC185-Sheet1!BK185-Sheet1!BL185-Sheet1!BM185-Sheet1!BC185-Sheet1!BD185-Sheet1!BE185-Sheet1!BF185-Sheet1!BG185-Sheet1!BH185-Sheet1!BI185+BC187+P187</f>
        <v>73.884516689947191</v>
      </c>
      <c r="CB187" s="93">
        <f t="shared" si="35"/>
        <v>110.30182960031973</v>
      </c>
      <c r="CC187" s="94">
        <f t="shared" si="36"/>
        <v>0</v>
      </c>
      <c r="CD187" s="94">
        <f t="shared" ca="1" si="37"/>
        <v>91.874045067245348</v>
      </c>
      <c r="CE187" s="1077">
        <f t="shared" ca="1" si="38"/>
        <v>142.12914771902854</v>
      </c>
      <c r="CG187" s="1077">
        <f t="shared" ca="1" si="39"/>
        <v>73.884516689947191</v>
      </c>
    </row>
    <row r="188" spans="1:85" s="89" customFormat="1" x14ac:dyDescent="0.25">
      <c r="A188" s="616" t="s">
        <v>4</v>
      </c>
      <c r="B188" s="91">
        <v>42912</v>
      </c>
      <c r="C188" s="92">
        <v>0</v>
      </c>
      <c r="D188" s="94">
        <f>(Sheet1!BQ186-Sheet1!BQ185)*1.385</f>
        <v>0.96949999999999903</v>
      </c>
      <c r="E188" s="30">
        <f>(Sheet1!BR186-Sheet1!BR185)*1.385</f>
        <v>0.96949999999999903</v>
      </c>
      <c r="F188" s="30">
        <f ca="1">IF(B188=TODAY(),0,-(VLOOKUP(Sheet1!CD186,Lookup!$I$4:$J$216,2)-VLOOKUP(Sheet1!CD185,Lookup!$I$4:$J$216,2))/1000000)</f>
        <v>0.10363693854779936</v>
      </c>
      <c r="G188" s="94">
        <f ca="1">IF(B188=TODAY(),0,-$G$6*(Sheet1!CF186-Sheet1!CF185)*7.48/1000000)</f>
        <v>-1.0722645284191008</v>
      </c>
      <c r="H188" s="94">
        <f ca="1">IF(B188=TODAY(),0,-$H$6*(Sheet1!CE186-Sheet1!CE185)*7.48/1000000)</f>
        <v>-3.0078864702529479E-2</v>
      </c>
      <c r="I188" s="94">
        <f ca="1">IF(B188=TODAY(),0,-$I$6*(Sheet1!CG186-Sheet1!CG185)*7.48/1000000)</f>
        <v>-5.5257602400000022E-2</v>
      </c>
      <c r="J188" s="95" t="s">
        <v>177</v>
      </c>
      <c r="K188" s="94">
        <f ca="1">IF(B188=TODAY(),0,-$K$6*(Sheet1!CH186-Sheet1!CH185)*7.48/1000000)</f>
        <v>-8.6623164867959804E-2</v>
      </c>
      <c r="L188" s="95" t="s">
        <v>177</v>
      </c>
      <c r="M188" s="94">
        <f ca="1">IF(B188=TODAY(),0,-$M$6*(Sheet1!CI186-Sheet1!CI185)*7.48/1000000)</f>
        <v>-0.26987262642040577</v>
      </c>
      <c r="N188" s="94">
        <f ca="1">IF(B188=TODAY(),0,-$N$6*(Sheet1!CJ186-Sheet1!CJ185)*7.48/1000000)</f>
        <v>6.2052345394623676E-2</v>
      </c>
      <c r="O188" s="94">
        <f t="shared" ca="1" si="40"/>
        <v>-1.348407502867573</v>
      </c>
      <c r="P188" s="94">
        <f ca="1">O188+Calculation!ES188</f>
        <v>-3.2883159752480138</v>
      </c>
      <c r="Q188" s="89" t="str">
        <f>IF(Sheet1!BQ186&gt;25.75,"spill elevation","-")</f>
        <v>-</v>
      </c>
      <c r="R188" s="89" t="str">
        <f>IF(Sheet1!BQ186&gt;25.75,"spill elevation","-")</f>
        <v>-</v>
      </c>
      <c r="S188" s="89" t="str">
        <f>IF(Sheet1!BR186&gt;25.75,"spill elevation","-")</f>
        <v>-</v>
      </c>
      <c r="T188" s="93">
        <f>IF(Sheet1!DU186=1,Sheet1!AA186-(SUM(AT188:BA188)+BE188),Sheet1!AA186-SUM(AT188:BA188))</f>
        <v>33.713328000000004</v>
      </c>
      <c r="U188" s="93">
        <f>Sheet1!BV186</f>
        <v>38.4</v>
      </c>
      <c r="V188" s="93">
        <f t="shared" si="41"/>
        <v>-4.6866719999999944</v>
      </c>
      <c r="W188" s="93">
        <f>0</f>
        <v>0</v>
      </c>
      <c r="X188" s="89">
        <f>0</f>
        <v>0</v>
      </c>
      <c r="Y188" s="94">
        <f ca="1">Calculation!EJ189+Calculation!ES188+'Calculations II'!O188-'Calculations II'!W188</f>
        <v>66.560987182355419</v>
      </c>
      <c r="Z188" s="94">
        <f ca="1">Y188-Sheet1!CT187</f>
        <v>51.152987182355417</v>
      </c>
      <c r="AA188" s="94">
        <f ca="1">Y188+Calculation!DJ189+Calculation!AS189</f>
        <v>83.390531980043278</v>
      </c>
      <c r="AC188" s="94">
        <f>Sheet1!AA186+Sheet1!AB186+BC188</f>
        <v>89.210000000000008</v>
      </c>
      <c r="AD188" s="94">
        <f>Sheet1!AA186+Sheet1!BN186+'Calculations II'!BC188-Calculation!AS188-Calculation!DJ188</f>
        <v>53.786702874170913</v>
      </c>
      <c r="AE188" s="94">
        <f>Sheet1!AA186+Sheet1!AB186+'Calculations II'!BC188-Calculation!AS188-Calculation!DJ188</f>
        <v>71.496702874170921</v>
      </c>
      <c r="AF188" s="94">
        <f ca="1">Sheet1!AA186+Sheet1!BN186+P188+'Calculations II'!BC188+Calculation!AS188+Calculation!DJ188</f>
        <v>85.924981150581075</v>
      </c>
      <c r="AG188" s="94">
        <f ca="1">IF(B188=TODAY(),0,Sheet1!AA186+Sheet1!BN186+'Calculations II'!BC188+'Calculations II'!P188-Sheet1!CT186-BP188)</f>
        <v>52.444684024751993</v>
      </c>
      <c r="AH188" s="94">
        <f ca="1">IF(B188=TODAY(),0,Sheet1!AA186+Sheet1!BN186+'Calculations II'!BC188+'Calculations II'!P188-BP188)</f>
        <v>68.211684024751989</v>
      </c>
      <c r="AI188" s="94">
        <f ca="1">IF(B188=TODAY(),0,BC188+Sheet1!AA186+Calculation!ES188+O188+W188+Sheet1!BN186+Calculation!AS188+Calculation!DJ188-BP188)</f>
        <v>85.924981150581075</v>
      </c>
      <c r="AJ188" s="94"/>
      <c r="AM188" s="90">
        <f t="shared" si="42"/>
        <v>42912</v>
      </c>
      <c r="AN188" s="94">
        <f>Sheet1!BU186</f>
        <v>34.299999999999997</v>
      </c>
      <c r="AO188" s="94">
        <f>Sheet1!AA186</f>
        <v>37.200000000000003</v>
      </c>
      <c r="AP188" s="94">
        <f t="shared" si="31"/>
        <v>1.9389999999999981</v>
      </c>
      <c r="AQ188" s="1087">
        <f>((Sheet1!BV186-(Sheet1!BU186-AP188))/(Sheet1!BU186-AP188))</f>
        <v>0.18661351626958381</v>
      </c>
      <c r="AR188" s="94">
        <f t="shared" si="32"/>
        <v>35.261000000000003</v>
      </c>
      <c r="AS188" s="94">
        <f t="shared" si="33"/>
        <v>32.360999999999997</v>
      </c>
      <c r="AT188" s="89">
        <f>Sheet1!BB186</f>
        <v>0</v>
      </c>
      <c r="AU188" s="89">
        <f>Sheet1!AS186*GPMtoMGD</f>
        <v>3.4848000000000004E-2</v>
      </c>
      <c r="AV188" s="94">
        <f>Sheet1!AT186</f>
        <v>0</v>
      </c>
      <c r="AW188" s="89">
        <f>Sheet1!AV186*GPMtoMGD</f>
        <v>1.184976</v>
      </c>
      <c r="AX188" s="89">
        <f>Sheet1!AW186*GPMtoMGD</f>
        <v>2.2667039999999998</v>
      </c>
      <c r="AY188" s="89">
        <f>Sheet1!AX186*GPMtoMGD</f>
        <v>1.44E-4</v>
      </c>
      <c r="AZ188" s="89">
        <f>Sheet1!AY186*GPMtoMGD</f>
        <v>0</v>
      </c>
      <c r="BA188" s="89">
        <f>Sheet1!AZ186*GPMtoMGD</f>
        <v>0</v>
      </c>
      <c r="BB188" s="89">
        <f>Sheet1!BP186*GPMtoMGD</f>
        <v>2.7360000000000002E-3</v>
      </c>
      <c r="BC188" s="89">
        <f>Sheet1!CS186*GPMtoMGD</f>
        <v>0</v>
      </c>
      <c r="BD188" s="89">
        <f>Sheet1!BO186*GPMtoMGD</f>
        <v>3.9602879999999998</v>
      </c>
      <c r="BE188" s="89">
        <f>Sheet1!BW186*GPMtoMGD</f>
        <v>1.6030080000000002</v>
      </c>
      <c r="BF188" s="89">
        <f>Sheet1!CN186*GPMtoMGD</f>
        <v>4.3607520000000006</v>
      </c>
      <c r="BG188" s="89">
        <f>Sheet1!CO186*GPMtoMGD</f>
        <v>1.413216</v>
      </c>
      <c r="BH188" s="89">
        <f>Sheet1!CP186*GPMtoMGD</f>
        <v>1.0203840000000002</v>
      </c>
      <c r="BI188" s="89">
        <f t="shared" si="43"/>
        <v>3.9630239999999999</v>
      </c>
      <c r="BK188" s="94">
        <f>SUM(AT188:BA188,AS188,BC188,Calculation!AQ188)</f>
        <v>70.144374874170893</v>
      </c>
      <c r="BM188" s="358">
        <f>0</f>
        <v>0</v>
      </c>
      <c r="BN188" s="358">
        <f>0</f>
        <v>0</v>
      </c>
      <c r="BP188" s="94">
        <f>SUM(BM188:BN188,W188,Sheet1!DX186)</f>
        <v>0</v>
      </c>
      <c r="BR188" s="94">
        <f>Sheet1!AA186</f>
        <v>37.200000000000003</v>
      </c>
      <c r="BS188" s="94">
        <f>Sheet1!AB186</f>
        <v>52.01</v>
      </c>
      <c r="BT188" s="94">
        <f t="shared" ca="1" si="34"/>
        <v>-3.2883159752480138</v>
      </c>
      <c r="BU188" s="94">
        <f>Sheet1!AT186</f>
        <v>0</v>
      </c>
      <c r="BV188" s="89">
        <f>Sheet1!BB186</f>
        <v>0</v>
      </c>
      <c r="BW188" s="94">
        <f>Calculation!ED188</f>
        <v>17.71329712582909</v>
      </c>
      <c r="BX188" s="94">
        <f>(Sheet1!CS186*1440)/1000000</f>
        <v>0</v>
      </c>
      <c r="CA188" s="94">
        <f ca="1">Sheet1!AC186-Sheet1!BK186-Sheet1!BL186-Sheet1!BM186-Sheet1!BC186-Sheet1!BD186-Sheet1!BE186-Sheet1!BF186-Sheet1!BG186-Sheet1!BH186-Sheet1!BI186+BC188+P188</f>
        <v>68.206684024751993</v>
      </c>
      <c r="CB188" s="93">
        <f t="shared" si="35"/>
        <v>110.60539934634241</v>
      </c>
      <c r="CC188" s="94">
        <f t="shared" si="36"/>
        <v>0</v>
      </c>
      <c r="CD188" s="94">
        <f t="shared" ca="1" si="37"/>
        <v>85.91998115058108</v>
      </c>
      <c r="CE188" s="1077">
        <f t="shared" ca="1" si="38"/>
        <v>132.91821083994893</v>
      </c>
      <c r="CG188" s="1077">
        <f t="shared" ca="1" si="39"/>
        <v>68.206684024751993</v>
      </c>
    </row>
    <row r="189" spans="1:85" s="89" customFormat="1" x14ac:dyDescent="0.25">
      <c r="A189" s="616" t="s">
        <v>5</v>
      </c>
      <c r="B189" s="91">
        <v>42913</v>
      </c>
      <c r="C189" s="92">
        <v>0</v>
      </c>
      <c r="D189" s="94">
        <f>(Sheet1!BQ187-Sheet1!BQ186)*1.385</f>
        <v>1.661999999999999</v>
      </c>
      <c r="E189" s="30">
        <f>(Sheet1!BR187-Sheet1!BR186)*1.385</f>
        <v>1.661999999999999</v>
      </c>
      <c r="F189" s="30">
        <f ca="1">IF(B189=TODAY(),0,-(VLOOKUP(Sheet1!CD187,Lookup!$I$4:$J$216,2)-VLOOKUP(Sheet1!CD186,Lookup!$I$4:$J$216,2))/1000000)</f>
        <v>0</v>
      </c>
      <c r="G189" s="94">
        <f ca="1">IF(B189=TODAY(),0,-$G$6*(Sheet1!CF187-Sheet1!CF186)*7.48/1000000)</f>
        <v>0.67512951789350772</v>
      </c>
      <c r="H189" s="94">
        <f ca="1">IF(B189=TODAY(),0,-$H$6*(Sheet1!CE187-Sheet1!CE186)*7.48/1000000)</f>
        <v>1.5039432351264204E-2</v>
      </c>
      <c r="I189" s="94">
        <f ca="1">IF(B189=TODAY(),0,-$I$6*(Sheet1!CG187-Sheet1!CG186)*7.48/1000000)</f>
        <v>-2.1114693599999953E-2</v>
      </c>
      <c r="J189" s="95" t="s">
        <v>177</v>
      </c>
      <c r="K189" s="94">
        <f ca="1">IF(B189=TODAY(),0,-$K$6*(Sheet1!CH187-Sheet1!CH186)*7.48/1000000)</f>
        <v>-3.9979922246750635E-2</v>
      </c>
      <c r="L189" s="95" t="s">
        <v>177</v>
      </c>
      <c r="M189" s="94">
        <f ca="1">IF(B189=TODAY(),0,-$M$6*(Sheet1!CI187-Sheet1!CI186)*7.48/1000000)</f>
        <v>-7.1966033712107941E-2</v>
      </c>
      <c r="N189" s="94">
        <f ca="1">IF(B189=TODAY(),0,-$N$6*(Sheet1!CJ187-Sheet1!CJ186)*7.48/1000000)</f>
        <v>-6.2052345394623676E-2</v>
      </c>
      <c r="O189" s="94">
        <f t="shared" ca="1" si="40"/>
        <v>0.49505595529128965</v>
      </c>
      <c r="P189" s="94">
        <f ca="1">O189+Calculation!ES189</f>
        <v>-2.8319631053810497</v>
      </c>
      <c r="Q189" s="89" t="str">
        <f>IF(Sheet1!BQ187&gt;25.75,"spill elevation","-")</f>
        <v>-</v>
      </c>
      <c r="R189" s="89" t="str">
        <f>IF(Sheet1!BQ187&gt;25.75,"spill elevation","-")</f>
        <v>-</v>
      </c>
      <c r="S189" s="89" t="str">
        <f>IF(Sheet1!BR187&gt;25.75,"spill elevation","-")</f>
        <v>-</v>
      </c>
      <c r="T189" s="93">
        <f>IF(Sheet1!DU187=1,Sheet1!AA187-(SUM(AT189:BA189)+BE189),Sheet1!AA187-SUM(AT189:BA189))</f>
        <v>27.076208000000001</v>
      </c>
      <c r="U189" s="93">
        <f>Sheet1!BV187</f>
        <v>29</v>
      </c>
      <c r="V189" s="93">
        <f t="shared" si="41"/>
        <v>-1.9237919999999988</v>
      </c>
      <c r="W189" s="93">
        <f>0</f>
        <v>0</v>
      </c>
      <c r="X189" s="89">
        <f>0</f>
        <v>0</v>
      </c>
      <c r="Y189" s="94">
        <f ca="1">Calculation!EJ190+Calculation!ES189+'Calculations II'!O189-'Calculations II'!W189</f>
        <v>58.755800335177163</v>
      </c>
      <c r="Z189" s="94">
        <f ca="1">Y189-Sheet1!CT188</f>
        <v>43.576800335177161</v>
      </c>
      <c r="AA189" s="94">
        <f ca="1">Y189+Calculation!DJ190+Calculation!AS190</f>
        <v>75.181976745851429</v>
      </c>
      <c r="AC189" s="94">
        <f>Sheet1!AA187+Sheet1!AB187+BC189</f>
        <v>85.46</v>
      </c>
      <c r="AD189" s="94">
        <f>Sheet1!AA187+Sheet1!BN187+'Calculations II'!BC189-Calculation!AS189-Calculation!DJ189</f>
        <v>51.870455202312144</v>
      </c>
      <c r="AE189" s="94">
        <f>Sheet1!AA187+Sheet1!AB187+'Calculations II'!BC189-Calculation!AS189-Calculation!DJ189</f>
        <v>68.630455202312135</v>
      </c>
      <c r="AF189" s="94">
        <f ca="1">Sheet1!AA187+Sheet1!BN187+P189+'Calculations II'!BC189+Calculation!AS189+Calculation!DJ189</f>
        <v>82.697581692306812</v>
      </c>
      <c r="AG189" s="94">
        <f ca="1">IF(B189=TODAY(),0,Sheet1!AA187+Sheet1!BN187+'Calculations II'!BC189+'Calculations II'!P189-Sheet1!CT187-BP189)</f>
        <v>50.460036894618952</v>
      </c>
      <c r="AH189" s="94">
        <f ca="1">IF(B189=TODAY(),0,Sheet1!AA187+Sheet1!BN187+'Calculations II'!BC189+'Calculations II'!P189-BP189)</f>
        <v>65.868036894618953</v>
      </c>
      <c r="AI189" s="94">
        <f ca="1">IF(B189=TODAY(),0,BC189+Sheet1!AA187+Calculation!ES189+O189+W189+Sheet1!BN187+Calculation!AS189+Calculation!DJ189-BP189)</f>
        <v>82.697581692306812</v>
      </c>
      <c r="AJ189" s="94"/>
      <c r="AM189" s="90">
        <f t="shared" si="42"/>
        <v>42913</v>
      </c>
      <c r="AN189" s="94">
        <f>Sheet1!BU187</f>
        <v>27.8</v>
      </c>
      <c r="AO189" s="94">
        <f>Sheet1!AA187</f>
        <v>30.2</v>
      </c>
      <c r="AP189" s="94">
        <f t="shared" si="31"/>
        <v>3.3239999999999981</v>
      </c>
      <c r="AQ189" s="1087">
        <f>((Sheet1!BV187-(Sheet1!BU187-AP189))/(Sheet1!BU187-AP189))</f>
        <v>0.1848341232227487</v>
      </c>
      <c r="AR189" s="94">
        <f t="shared" si="32"/>
        <v>26.876000000000001</v>
      </c>
      <c r="AS189" s="94">
        <f t="shared" si="33"/>
        <v>24.476000000000003</v>
      </c>
      <c r="AT189" s="89">
        <f>Sheet1!BB187</f>
        <v>0</v>
      </c>
      <c r="AU189" s="89">
        <f>Sheet1!AS187*GPMtoMGD</f>
        <v>3.0672000000000001E-2</v>
      </c>
      <c r="AV189" s="94">
        <f>Sheet1!AT187</f>
        <v>0</v>
      </c>
      <c r="AW189" s="89">
        <f>Sheet1!AV187*GPMtoMGD</f>
        <v>1.1655360000000001</v>
      </c>
      <c r="AX189" s="89">
        <f>Sheet1!AW187*GPMtoMGD</f>
        <v>1.927584</v>
      </c>
      <c r="AY189" s="89">
        <f>Sheet1!AX187*GPMtoMGD</f>
        <v>0</v>
      </c>
      <c r="AZ189" s="89">
        <f>Sheet1!AY187*GPMtoMGD</f>
        <v>0</v>
      </c>
      <c r="BA189" s="89">
        <f>Sheet1!AZ187*GPMtoMGD</f>
        <v>0</v>
      </c>
      <c r="BB189" s="89">
        <f>Sheet1!BP187*GPMtoMGD</f>
        <v>2.2320000000000003E-2</v>
      </c>
      <c r="BC189" s="89">
        <f>Sheet1!CS187*GPMtoMGD</f>
        <v>0</v>
      </c>
      <c r="BD189" s="89">
        <f>Sheet1!BO187*GPMtoMGD</f>
        <v>3.3827039999999999</v>
      </c>
      <c r="BE189" s="89">
        <f>Sheet1!BW187*GPMtoMGD</f>
        <v>1.6243200000000002</v>
      </c>
      <c r="BF189" s="89">
        <f>Sheet1!CN187*GPMtoMGD</f>
        <v>4.0165920000000002</v>
      </c>
      <c r="BG189" s="89">
        <f>Sheet1!CO187*GPMtoMGD</f>
        <v>1.431792</v>
      </c>
      <c r="BH189" s="89">
        <f>Sheet1!CP187*GPMtoMGD</f>
        <v>0.97732800000000009</v>
      </c>
      <c r="BI189" s="89">
        <f t="shared" si="43"/>
        <v>3.4050240000000001</v>
      </c>
      <c r="BK189" s="94">
        <f>SUM(AT189:BA189,AS189,BC189,Calculation!AQ189)</f>
        <v>66.03024720231214</v>
      </c>
      <c r="BM189" s="358">
        <f>0</f>
        <v>0</v>
      </c>
      <c r="BN189" s="358">
        <f>0</f>
        <v>0</v>
      </c>
      <c r="BP189" s="94">
        <f>SUM(BM189:BN189,W189,Sheet1!DX187)</f>
        <v>0</v>
      </c>
      <c r="BR189" s="94">
        <f>Sheet1!AA187</f>
        <v>30.2</v>
      </c>
      <c r="BS189" s="94">
        <f>Sheet1!AB187</f>
        <v>55.26</v>
      </c>
      <c r="BT189" s="94">
        <f t="shared" ca="1" si="34"/>
        <v>-2.8319631053810497</v>
      </c>
      <c r="BU189" s="94">
        <f>Sheet1!AT187</f>
        <v>0</v>
      </c>
      <c r="BV189" s="89">
        <f>Sheet1!BB187</f>
        <v>0</v>
      </c>
      <c r="BW189" s="94">
        <f>Calculation!ED189</f>
        <v>16.829544797687859</v>
      </c>
      <c r="BX189" s="94">
        <f>(Sheet1!CS187*1440)/1000000</f>
        <v>0</v>
      </c>
      <c r="CA189" s="94">
        <f ca="1">Sheet1!AC187-Sheet1!BK187-Sheet1!BL187-Sheet1!BM187-Sheet1!BC187-Sheet1!BD187-Sheet1!BE187-Sheet1!BF187-Sheet1!BG187-Sheet1!BH187-Sheet1!BI187+BC189+P189</f>
        <v>65.768036894618945</v>
      </c>
      <c r="CB189" s="93">
        <f t="shared" si="35"/>
        <v>106.17131419797687</v>
      </c>
      <c r="CC189" s="94">
        <f t="shared" si="36"/>
        <v>0</v>
      </c>
      <c r="CD189" s="94">
        <f t="shared" ca="1" si="37"/>
        <v>82.597581692306804</v>
      </c>
      <c r="CE189" s="1077">
        <f t="shared" ca="1" si="38"/>
        <v>127.77845887799862</v>
      </c>
      <c r="CG189" s="1077">
        <f t="shared" ca="1" si="39"/>
        <v>65.768036894618945</v>
      </c>
    </row>
    <row r="190" spans="1:85" s="89" customFormat="1" x14ac:dyDescent="0.25">
      <c r="A190" s="616" t="s">
        <v>6</v>
      </c>
      <c r="B190" s="91">
        <v>42914</v>
      </c>
      <c r="C190" s="92">
        <v>0</v>
      </c>
      <c r="D190" s="94">
        <f>(Sheet1!BQ188-Sheet1!BQ187)*1.385</f>
        <v>-1.9389999999999981</v>
      </c>
      <c r="E190" s="30">
        <f>(Sheet1!BR188-Sheet1!BR187)*1.385</f>
        <v>-1.9389999999999981</v>
      </c>
      <c r="F190" s="30">
        <f ca="1">IF(B190=TODAY(),0,-(VLOOKUP(Sheet1!CD188,Lookup!$I$4:$J$216,2)-VLOOKUP(Sheet1!CD187,Lookup!$I$4:$J$216,2))/1000000)</f>
        <v>-0.51818469273899681</v>
      </c>
      <c r="G190" s="94">
        <f ca="1">IF(B190=TODAY(),0,-$G$6*(Sheet1!CF188-Sheet1!CF187)*7.48/1000000)</f>
        <v>-0.67512951789350772</v>
      </c>
      <c r="H190" s="94">
        <f ca="1">IF(B190=TODAY(),0,-$H$6*(Sheet1!CE188-Sheet1!CE187)*7.48/1000000)</f>
        <v>-1.5039432351264204E-2</v>
      </c>
      <c r="I190" s="94">
        <f ca="1">IF(B190=TODAY(),0,-$I$6*(Sheet1!CG188-Sheet1!CG187)*7.48/1000000)</f>
        <v>2.6954927999999989E-2</v>
      </c>
      <c r="J190" s="95" t="s">
        <v>177</v>
      </c>
      <c r="K190" s="94">
        <f ca="1">IF(B190=TODAY(),0,-$K$6*(Sheet1!CH188-Sheet1!CH187)*7.48/1000000)</f>
        <v>4.6643242621209169E-2</v>
      </c>
      <c r="L190" s="95" t="s">
        <v>177</v>
      </c>
      <c r="M190" s="94">
        <f ca="1">IF(B190=TODAY(),0,-$M$6*(Sheet1!CI188-Sheet1!CI187)*7.48/1000000)</f>
        <v>0.10794905056816191</v>
      </c>
      <c r="N190" s="94">
        <f ca="1">IF(B190=TODAY(),0,-$N$6*(Sheet1!CJ188-Sheet1!CJ187)*7.48/1000000)</f>
        <v>-0.31026172697311949</v>
      </c>
      <c r="O190" s="94">
        <f t="shared" ca="1" si="40"/>
        <v>-1.3370681487675173</v>
      </c>
      <c r="P190" s="94">
        <f ca="1">O190+Calculation!ES190</f>
        <v>2.5442745772925082</v>
      </c>
      <c r="Q190" s="89" t="str">
        <f>IF(Sheet1!BQ188&gt;25.75,"spill elevation","-")</f>
        <v>-</v>
      </c>
      <c r="R190" s="89" t="str">
        <f>IF(Sheet1!BQ188&gt;25.75,"spill elevation","-")</f>
        <v>-</v>
      </c>
      <c r="S190" s="89" t="str">
        <f>IF(Sheet1!BR188&gt;25.75,"spill elevation","-")</f>
        <v>-</v>
      </c>
      <c r="T190" s="93">
        <f>IF(Sheet1!DU188=1,Sheet1!AA188-(SUM(AT190:BA190)+BE190),Sheet1!AA188-SUM(AT190:BA190))</f>
        <v>27.048991999999998</v>
      </c>
      <c r="U190" s="93">
        <f>Sheet1!BV188</f>
        <v>36.5</v>
      </c>
      <c r="V190" s="93">
        <f t="shared" si="41"/>
        <v>-9.4510080000000016</v>
      </c>
      <c r="W190" s="93">
        <f>0</f>
        <v>0</v>
      </c>
      <c r="X190" s="89">
        <f>0</f>
        <v>0</v>
      </c>
      <c r="Y190" s="94">
        <f ca="1">Calculation!EJ191+Calculation!ES190+'Calculations II'!O190-'Calculations II'!W190</f>
        <v>69.824605541711477</v>
      </c>
      <c r="Z190" s="94">
        <f ca="1">Y190-Sheet1!CT189</f>
        <v>54.547605541711476</v>
      </c>
      <c r="AA190" s="94">
        <f ca="1">Y190+Calculation!DJ191+Calculation!AS191</f>
        <v>86.288430131218888</v>
      </c>
      <c r="AC190" s="94">
        <f>Sheet1!AA188+Sheet1!AB188+BC190</f>
        <v>79.099999999999994</v>
      </c>
      <c r="AD190" s="94">
        <f>Sheet1!AA188+Sheet1!BN188+'Calculations II'!BC190-Calculation!AS190-Calculation!DJ190</f>
        <v>46.373823589325724</v>
      </c>
      <c r="AE190" s="94">
        <f>Sheet1!AA188+Sheet1!AB188+'Calculations II'!BC190-Calculation!AS190-Calculation!DJ190</f>
        <v>62.673823589325721</v>
      </c>
      <c r="AF190" s="94">
        <f ca="1">Sheet1!AA188+Sheet1!BN188+P190+'Calculations II'!BC190+Calculation!AS190+Calculation!DJ190</f>
        <v>81.770450987966782</v>
      </c>
      <c r="AG190" s="94">
        <f ca="1">IF(B190=TODAY(),0,Sheet1!AA188+Sheet1!BN188+'Calculations II'!BC190+'Calculations II'!P190-Sheet1!CT188-BP190)</f>
        <v>50.165274577292507</v>
      </c>
      <c r="AH190" s="94">
        <f ca="1">IF(B190=TODAY(),0,Sheet1!AA188+Sheet1!BN188+'Calculations II'!BC190+'Calculations II'!P190-BP190)</f>
        <v>65.344274577292509</v>
      </c>
      <c r="AI190" s="94">
        <f ca="1">IF(B190=TODAY(),0,BC190+Sheet1!AA188+Calculation!ES190+O190+W190+Sheet1!BN188+Calculation!AS190+Calculation!DJ190-BP190)</f>
        <v>81.770450987966782</v>
      </c>
      <c r="AJ190" s="94"/>
      <c r="AM190" s="90">
        <f t="shared" si="42"/>
        <v>42914</v>
      </c>
      <c r="AN190" s="94">
        <f>Sheet1!BU188</f>
        <v>27.3</v>
      </c>
      <c r="AO190" s="94">
        <f>Sheet1!AA188</f>
        <v>30.2</v>
      </c>
      <c r="AP190" s="94">
        <f t="shared" si="31"/>
        <v>-3.8779999999999961</v>
      </c>
      <c r="AQ190" s="1087">
        <f>((Sheet1!BV188-(Sheet1!BU188-AP190))/(Sheet1!BU188-AP190))</f>
        <v>0.17069728654820718</v>
      </c>
      <c r="AR190" s="94">
        <f t="shared" si="32"/>
        <v>34.077999999999996</v>
      </c>
      <c r="AS190" s="94">
        <f t="shared" si="33"/>
        <v>31.177999999999997</v>
      </c>
      <c r="AT190" s="89">
        <f>Sheet1!BB188</f>
        <v>0</v>
      </c>
      <c r="AU190" s="89">
        <f>Sheet1!AS188*GPMtoMGD</f>
        <v>3.2975999999999998E-2</v>
      </c>
      <c r="AV190" s="94">
        <f>Sheet1!AT188</f>
        <v>0</v>
      </c>
      <c r="AW190" s="89">
        <f>Sheet1!AV188*GPMtoMGD</f>
        <v>1.309536</v>
      </c>
      <c r="AX190" s="89">
        <f>Sheet1!AW188*GPMtoMGD</f>
        <v>1.8084960000000003</v>
      </c>
      <c r="AY190" s="89">
        <f>Sheet1!AX188*GPMtoMGD</f>
        <v>0</v>
      </c>
      <c r="AZ190" s="89">
        <f>Sheet1!AY188*GPMtoMGD</f>
        <v>0</v>
      </c>
      <c r="BA190" s="89">
        <f>Sheet1!AZ188*GPMtoMGD</f>
        <v>0</v>
      </c>
      <c r="BB190" s="89">
        <f>Sheet1!BP188*GPMtoMGD</f>
        <v>2.8800000000000002E-3</v>
      </c>
      <c r="BC190" s="89">
        <f>Sheet1!CS188*GPMtoMGD</f>
        <v>0</v>
      </c>
      <c r="BD190" s="89">
        <f>Sheet1!BO188*GPMtoMGD</f>
        <v>3.1907520000000003</v>
      </c>
      <c r="BE190" s="89">
        <f>Sheet1!BW188*GPMtoMGD</f>
        <v>1.454976</v>
      </c>
      <c r="BF190" s="89">
        <f>Sheet1!CN188*GPMtoMGD</f>
        <v>3.7929600000000003</v>
      </c>
      <c r="BG190" s="89">
        <f>Sheet1!CO188*GPMtoMGD</f>
        <v>0.68500800000000006</v>
      </c>
      <c r="BH190" s="89">
        <f>Sheet1!CP188*GPMtoMGD</f>
        <v>0.95644800000000008</v>
      </c>
      <c r="BI190" s="89">
        <f t="shared" si="43"/>
        <v>3.1936320000000005</v>
      </c>
      <c r="BK190" s="94">
        <f>SUM(AT190:BA190,AS190,BC190,Calculation!AQ190)</f>
        <v>66.80283158932572</v>
      </c>
      <c r="BM190" s="358">
        <f>0</f>
        <v>0</v>
      </c>
      <c r="BN190" s="358">
        <f>0</f>
        <v>0</v>
      </c>
      <c r="BP190" s="94">
        <f>SUM(BM190:BN190,W190,Sheet1!DX188)</f>
        <v>0</v>
      </c>
      <c r="BR190" s="94">
        <f>Sheet1!AA188</f>
        <v>30.2</v>
      </c>
      <c r="BS190" s="94">
        <f>Sheet1!AB188</f>
        <v>48.9</v>
      </c>
      <c r="BT190" s="94">
        <f t="shared" ca="1" si="34"/>
        <v>2.5442745772925082</v>
      </c>
      <c r="BU190" s="94">
        <f>Sheet1!AT188</f>
        <v>0</v>
      </c>
      <c r="BV190" s="89">
        <f>Sheet1!BB188</f>
        <v>0</v>
      </c>
      <c r="BW190" s="94">
        <f>Calculation!ED190</f>
        <v>16.42617641067427</v>
      </c>
      <c r="BX190" s="94">
        <f>(Sheet1!CS188*1440)/1000000</f>
        <v>0</v>
      </c>
      <c r="CA190" s="94">
        <f ca="1">Sheet1!AC188-Sheet1!BK188-Sheet1!BL188-Sheet1!BM188-Sheet1!BC188-Sheet1!BD188-Sheet1!BE188-Sheet1!BF188-Sheet1!BG188-Sheet1!BH188-Sheet1!BI188+BC190+P190</f>
        <v>65.154274577292512</v>
      </c>
      <c r="CB190" s="93">
        <f t="shared" si="35"/>
        <v>96.956405092686893</v>
      </c>
      <c r="CC190" s="94">
        <f t="shared" si="36"/>
        <v>0</v>
      </c>
      <c r="CD190" s="94">
        <f t="shared" ca="1" si="37"/>
        <v>81.580450987966785</v>
      </c>
      <c r="CE190" s="1077">
        <f t="shared" ca="1" si="38"/>
        <v>126.20495767838462</v>
      </c>
      <c r="CG190" s="1077">
        <f t="shared" ca="1" si="39"/>
        <v>65.154274577292512</v>
      </c>
    </row>
    <row r="191" spans="1:85" s="89" customFormat="1" x14ac:dyDescent="0.25">
      <c r="A191" s="616" t="s">
        <v>7</v>
      </c>
      <c r="B191" s="91">
        <v>42915</v>
      </c>
      <c r="C191" s="92">
        <v>0</v>
      </c>
      <c r="D191" s="94">
        <f>(Sheet1!BQ189-Sheet1!BQ188)*1.385</f>
        <v>-0.83100000000000196</v>
      </c>
      <c r="E191" s="30">
        <f>(Sheet1!BR189-Sheet1!BR188)*1.385</f>
        <v>-0.83100000000000196</v>
      </c>
      <c r="F191" s="30">
        <f ca="1">IF(B191=TODAY(),0,-(VLOOKUP(Sheet1!CD189,Lookup!$I$4:$J$216,2)-VLOOKUP(Sheet1!CD188,Lookup!$I$4:$J$216,2))/1000000)</f>
        <v>1.0363693854780012</v>
      </c>
      <c r="G191" s="94">
        <f ca="1">IF(B191=TODAY(),0,-$G$6*(Sheet1!CF189-Sheet1!CF188)*7.48/1000000)</f>
        <v>0.87369702315630426</v>
      </c>
      <c r="H191" s="94">
        <f ca="1">IF(B191=TODAY(),0,-$H$6*(Sheet1!CE189-Sheet1!CE188)*7.48/1000000)</f>
        <v>0</v>
      </c>
      <c r="I191" s="94">
        <f ca="1">IF(B191=TODAY(),0,-$I$6*(Sheet1!CG189-Sheet1!CG188)*7.48/1000000)</f>
        <v>5.8402344000000354E-3</v>
      </c>
      <c r="J191" s="95" t="s">
        <v>177</v>
      </c>
      <c r="K191" s="94">
        <f ca="1">IF(B191=TODAY(),0,-$K$6*(Sheet1!CH189-Sheet1!CH188)*7.48/1000000)</f>
        <v>1.3326640748916837E-2</v>
      </c>
      <c r="L191" s="95" t="s">
        <v>177</v>
      </c>
      <c r="M191" s="94">
        <f ca="1">IF(B191=TODAY(),0,-$M$6*(Sheet1!CI189-Sheet1!CI188)*7.48/1000000)</f>
        <v>3.5983016856054602E-2</v>
      </c>
      <c r="N191" s="94">
        <f ca="1">IF(B191=TODAY(),0,-$N$6*(Sheet1!CJ189-Sheet1!CJ188)*7.48/1000000)</f>
        <v>1.303099253287102</v>
      </c>
      <c r="O191" s="94">
        <f t="shared" ca="1" si="40"/>
        <v>3.2683155539263788</v>
      </c>
      <c r="P191" s="94">
        <f ca="1">O191+Calculation!ES191</f>
        <v>4.9309788635722445</v>
      </c>
      <c r="Q191" s="89" t="str">
        <f>IF(Sheet1!BQ189&gt;25.75,"spill elevation","-")</f>
        <v>-</v>
      </c>
      <c r="R191" s="89" t="str">
        <f>IF(Sheet1!BQ189&gt;25.75,"spill elevation","-")</f>
        <v>-</v>
      </c>
      <c r="S191" s="89" t="str">
        <f>IF(Sheet1!BR189&gt;25.75,"spill elevation","-")</f>
        <v>-</v>
      </c>
      <c r="T191" s="93">
        <f>IF(Sheet1!DU189=1,Sheet1!AA189-(SUM(AT191:BA191)+BE191),Sheet1!AA189-SUM(AT191:BA191))</f>
        <v>27.03416</v>
      </c>
      <c r="U191" s="93">
        <f>Sheet1!BV189</f>
        <v>34.299999999999997</v>
      </c>
      <c r="V191" s="93">
        <f t="shared" si="41"/>
        <v>-7.2658399999999972</v>
      </c>
      <c r="W191" s="93">
        <f>0</f>
        <v>0</v>
      </c>
      <c r="X191" s="89">
        <f>0</f>
        <v>0</v>
      </c>
      <c r="Y191" s="94">
        <f ca="1">Calculation!EJ192+Calculation!ES191+'Calculations II'!O191-'Calculations II'!W191</f>
        <v>71.730228029225572</v>
      </c>
      <c r="Z191" s="94">
        <f ca="1">Y191-Sheet1!CT190</f>
        <v>55.412228029225574</v>
      </c>
      <c r="AA191" s="94">
        <f ca="1">Y191+Calculation!DJ192+Calculation!AS192</f>
        <v>89.084993179345304</v>
      </c>
      <c r="AC191" s="94">
        <f>Sheet1!AA189+Sheet1!AB189+BC191</f>
        <v>79.91</v>
      </c>
      <c r="AD191" s="94">
        <f>Sheet1!AA189+Sheet1!BN189+'Calculations II'!BC191-Calculation!AS191-Calculation!DJ191</f>
        <v>47.136175410492584</v>
      </c>
      <c r="AE191" s="94">
        <f>Sheet1!AA189+Sheet1!AB189+'Calculations II'!BC191-Calculation!AS191-Calculation!DJ191</f>
        <v>63.446175410492586</v>
      </c>
      <c r="AF191" s="94">
        <f ca="1">Sheet1!AA189+Sheet1!BN189+P191+'Calculations II'!BC191+Calculation!AS191+Calculation!DJ191</f>
        <v>84.994803453079655</v>
      </c>
      <c r="AG191" s="94">
        <f ca="1">IF(B191=TODAY(),0,Sheet1!AA189+Sheet1!BN189+'Calculations II'!BC191+'Calculations II'!P191-Sheet1!CT189-BP191)</f>
        <v>53.253978863572243</v>
      </c>
      <c r="AH191" s="94">
        <f ca="1">IF(B191=TODAY(),0,Sheet1!AA189+Sheet1!BN189+'Calculations II'!BC191+'Calculations II'!P191-BP191)</f>
        <v>68.530978863572244</v>
      </c>
      <c r="AI191" s="94">
        <f ca="1">IF(B191=TODAY(),0,BC191+Sheet1!AA189+Calculation!ES191+O191+W191+Sheet1!BN189+Calculation!AS191+Calculation!DJ191-BP191)</f>
        <v>84.994803453079655</v>
      </c>
      <c r="AJ191" s="94"/>
      <c r="AM191" s="90">
        <f t="shared" si="42"/>
        <v>42915</v>
      </c>
      <c r="AN191" s="94">
        <f>Sheet1!BU189</f>
        <v>27.6</v>
      </c>
      <c r="AO191" s="94">
        <f>Sheet1!AA189</f>
        <v>30.2</v>
      </c>
      <c r="AP191" s="94">
        <f t="shared" si="31"/>
        <v>-1.6620000000000039</v>
      </c>
      <c r="AQ191" s="1087">
        <f>((Sheet1!BV189-(Sheet1!BU189-AP191))/(Sheet1!BU189-AP191))</f>
        <v>0.1721686829334971</v>
      </c>
      <c r="AR191" s="94">
        <f t="shared" si="32"/>
        <v>31.862000000000002</v>
      </c>
      <c r="AS191" s="94">
        <f t="shared" si="33"/>
        <v>29.262000000000004</v>
      </c>
      <c r="AT191" s="89">
        <f>Sheet1!BB189</f>
        <v>0</v>
      </c>
      <c r="AU191" s="89">
        <f>Sheet1!AS189*GPMtoMGD</f>
        <v>3.6000000000000004E-2</v>
      </c>
      <c r="AV191" s="94">
        <f>Sheet1!AT189</f>
        <v>0</v>
      </c>
      <c r="AW191" s="89">
        <f>Sheet1!AV189*GPMtoMGD</f>
        <v>1.21608</v>
      </c>
      <c r="AX191" s="89">
        <f>Sheet1!AW189*GPMtoMGD</f>
        <v>1.9137600000000001</v>
      </c>
      <c r="AY191" s="89">
        <f>Sheet1!AX189*GPMtoMGD</f>
        <v>0</v>
      </c>
      <c r="AZ191" s="89">
        <f>Sheet1!AY189*GPMtoMGD</f>
        <v>0</v>
      </c>
      <c r="BA191" s="89">
        <f>Sheet1!AZ189*GPMtoMGD</f>
        <v>0</v>
      </c>
      <c r="BB191" s="89">
        <f>Sheet1!BP189*GPMtoMGD</f>
        <v>2.7360000000000002E-3</v>
      </c>
      <c r="BC191" s="89">
        <f>Sheet1!CS189*GPMtoMGD</f>
        <v>0</v>
      </c>
      <c r="BD191" s="89">
        <f>Sheet1!BO189*GPMtoMGD</f>
        <v>3.3474240000000002</v>
      </c>
      <c r="BE191" s="89">
        <f>Sheet1!BW189*GPMtoMGD</f>
        <v>1.4905439999999999</v>
      </c>
      <c r="BF191" s="89">
        <f>Sheet1!CN189*GPMtoMGD</f>
        <v>3.9741120000000003</v>
      </c>
      <c r="BG191" s="89">
        <f>Sheet1!CO189*GPMtoMGD</f>
        <v>1.4698080000000002</v>
      </c>
      <c r="BH191" s="89">
        <f>Sheet1!CP189*GPMtoMGD</f>
        <v>0.93902400000000008</v>
      </c>
      <c r="BI191" s="89">
        <f t="shared" si="43"/>
        <v>3.3501600000000002</v>
      </c>
      <c r="BK191" s="94">
        <f>SUM(AT191:BA191,AS191,BC191,Calculation!AQ191)</f>
        <v>65.674015410492586</v>
      </c>
      <c r="BM191" s="358">
        <f>0</f>
        <v>0</v>
      </c>
      <c r="BN191" s="358">
        <f>0</f>
        <v>0</v>
      </c>
      <c r="BP191" s="94">
        <f>SUM(BM191:BN191,W191,Sheet1!DX189)</f>
        <v>0</v>
      </c>
      <c r="BR191" s="94">
        <f>Sheet1!AA189</f>
        <v>30.2</v>
      </c>
      <c r="BS191" s="94">
        <f>Sheet1!AB189</f>
        <v>49.71</v>
      </c>
      <c r="BT191" s="94">
        <f t="shared" ca="1" si="34"/>
        <v>4.9309788635722445</v>
      </c>
      <c r="BU191" s="94">
        <f>Sheet1!AT189</f>
        <v>0</v>
      </c>
      <c r="BV191" s="89">
        <f>Sheet1!BB189</f>
        <v>0</v>
      </c>
      <c r="BW191" s="94">
        <f>Calculation!ED191</f>
        <v>16.463824589507411</v>
      </c>
      <c r="BX191" s="94">
        <f>(Sheet1!CS189*1440)/1000000</f>
        <v>0</v>
      </c>
      <c r="CA191" s="94">
        <f ca="1">Sheet1!AC189-Sheet1!BK189-Sheet1!BL189-Sheet1!BM189-Sheet1!BC189-Sheet1!BD189-Sheet1!BE189-Sheet1!BF189-Sheet1!BG189-Sheet1!BH189-Sheet1!BI189+BC191+P191</f>
        <v>68.30097886357224</v>
      </c>
      <c r="CB191" s="93">
        <f t="shared" si="35"/>
        <v>98.151233360032023</v>
      </c>
      <c r="CC191" s="94">
        <f t="shared" si="36"/>
        <v>0</v>
      </c>
      <c r="CD191" s="94">
        <f t="shared" ca="1" si="37"/>
        <v>84.764803453079651</v>
      </c>
      <c r="CE191" s="1077">
        <f t="shared" ca="1" si="38"/>
        <v>131.1311509419142</v>
      </c>
      <c r="CG191" s="1077">
        <f t="shared" ca="1" si="39"/>
        <v>68.30097886357224</v>
      </c>
    </row>
    <row r="192" spans="1:85" s="89" customFormat="1" x14ac:dyDescent="0.25">
      <c r="A192" s="616" t="s">
        <v>8</v>
      </c>
      <c r="B192" s="91">
        <v>42916</v>
      </c>
      <c r="C192" s="92">
        <v>0</v>
      </c>
      <c r="D192" s="94">
        <f>(Sheet1!BQ190-Sheet1!BQ189)*1.385</f>
        <v>-3.2824500000000012</v>
      </c>
      <c r="E192" s="30">
        <f>(Sheet1!BR190-Sheet1!BR189)*1.385</f>
        <v>-3.3239999999999981</v>
      </c>
      <c r="F192" s="30">
        <f ca="1">IF(B192=TODAY(),0,-(VLOOKUP(Sheet1!CD190,Lookup!$I$4:$J$216,2)-VLOOKUP(Sheet1!CD189,Lookup!$I$4:$J$216,2))/1000000)</f>
        <v>0.41454775419119744</v>
      </c>
      <c r="G192" s="94">
        <f ca="1">IF(B192=TODAY(),0,-$G$6*(Sheet1!CF190-Sheet1!CF189)*7.48/1000000)</f>
        <v>-0.51627551368326974</v>
      </c>
      <c r="H192" s="94">
        <f ca="1">IF(B192=TODAY(),0,-$H$6*(Sheet1!CE190-Sheet1!CE189)*7.48/1000000)</f>
        <v>1.5039432351264204E-2</v>
      </c>
      <c r="I192" s="94">
        <f ca="1">IF(B192=TODAY(),0,-$I$6*(Sheet1!CG190-Sheet1!CG189)*7.48/1000000)</f>
        <v>-5.8402344000000354E-3</v>
      </c>
      <c r="J192" s="95" t="s">
        <v>177</v>
      </c>
      <c r="K192" s="94">
        <f ca="1">IF(B192=TODAY(),0,-$K$6*(Sheet1!CH190-Sheet1!CH189)*7.48/1000000)</f>
        <v>-7.9959844493500774E-3</v>
      </c>
      <c r="L192" s="95" t="s">
        <v>177</v>
      </c>
      <c r="M192" s="94">
        <f ca="1">IF(B192=TODAY(),0,-$M$6*(Sheet1!CI190-Sheet1!CI189)*7.48/1000000)</f>
        <v>-3.5983016856054602E-2</v>
      </c>
      <c r="N192" s="94">
        <f ca="1">IF(B192=TODAY(),0,-$N$6*(Sheet1!CJ190-Sheet1!CJ189)*7.48/1000000)</f>
        <v>-0.45298212138075472</v>
      </c>
      <c r="O192" s="94">
        <f t="shared" ca="1" si="40"/>
        <v>-0.58948968422696757</v>
      </c>
      <c r="P192" s="94">
        <f ca="1">O192+Calculation!ES192</f>
        <v>5.9181863471928047</v>
      </c>
      <c r="Q192" s="89" t="str">
        <f>IF(Sheet1!BQ190&gt;25.75,"spill elevation","-")</f>
        <v>-</v>
      </c>
      <c r="R192" s="89" t="str">
        <f>IF(Sheet1!BQ190&gt;25.75,"spill elevation","-")</f>
        <v>-</v>
      </c>
      <c r="S192" s="89" t="str">
        <f>IF(Sheet1!BR190&gt;25.75,"spill elevation","-")</f>
        <v>-</v>
      </c>
      <c r="T192" s="93">
        <f>IF(Sheet1!DU190=1,Sheet1!AA190-(SUM(AT192:BA192)+BE192),Sheet1!AA190-SUM(AT192:BA192))</f>
        <v>26.536496</v>
      </c>
      <c r="U192" s="93">
        <f>Sheet1!BV190</f>
        <v>39.299999999999997</v>
      </c>
      <c r="V192" s="93">
        <f t="shared" si="41"/>
        <v>-12.763503999999998</v>
      </c>
      <c r="W192" s="93">
        <f>0</f>
        <v>0</v>
      </c>
      <c r="X192" s="89">
        <f>0</f>
        <v>0</v>
      </c>
      <c r="Y192" s="94">
        <f ca="1">Calculation!EJ193+Calculation!ES192+'Calculations II'!O192-'Calculations II'!W192</f>
        <v>76.257129965703683</v>
      </c>
      <c r="Z192" s="94">
        <f ca="1">Y192-Sheet1!CT191</f>
        <v>59.525129965703684</v>
      </c>
      <c r="AA192" s="94">
        <f ca="1">Y192+Calculation!DJ193+Calculation!AS193</f>
        <v>94.598603469977178</v>
      </c>
      <c r="AC192" s="94">
        <f>Sheet1!AA190+Sheet1!AB190+BC192</f>
        <v>84.38</v>
      </c>
      <c r="AD192" s="94">
        <f>Sheet1!AA190+Sheet1!BN190+'Calculations II'!BC192-Calculation!AS192-Calculation!DJ192</f>
        <v>49.745234849880269</v>
      </c>
      <c r="AE192" s="94">
        <f>Sheet1!AA190+Sheet1!AB190+'Calculations II'!BC192-Calculation!AS192-Calculation!DJ192</f>
        <v>67.025234849880263</v>
      </c>
      <c r="AF192" s="94">
        <f ca="1">Sheet1!AA190+Sheet1!BN190+P192+'Calculations II'!BC192+Calculation!AS192+Calculation!DJ192</f>
        <v>90.372951497312528</v>
      </c>
      <c r="AG192" s="94">
        <f ca="1">IF(B192=TODAY(),0,Sheet1!AA190+Sheet1!BN190+'Calculations II'!BC192+'Calculations II'!P192-Sheet1!CT190-BP192)</f>
        <v>56.700186347192798</v>
      </c>
      <c r="AH192" s="94">
        <f ca="1">IF(B192=TODAY(),0,Sheet1!AA190+Sheet1!BN190+'Calculations II'!BC192+'Calculations II'!P192-BP192)</f>
        <v>73.018186347192795</v>
      </c>
      <c r="AI192" s="94">
        <f ca="1">IF(B192=TODAY(),0,BC192+Sheet1!AA190+Calculation!ES192+O192+W192+Sheet1!BN190+Calculation!AS192+Calculation!DJ192-BP192)</f>
        <v>90.372951497312528</v>
      </c>
      <c r="AJ192" s="94"/>
      <c r="AM192" s="90">
        <f t="shared" si="42"/>
        <v>42916</v>
      </c>
      <c r="AN192" s="94">
        <f>Sheet1!BU190</f>
        <v>26.9</v>
      </c>
      <c r="AO192" s="94">
        <f>Sheet1!AA190</f>
        <v>30.2</v>
      </c>
      <c r="AP192" s="94">
        <f t="shared" si="31"/>
        <v>-6.6064499999999988</v>
      </c>
      <c r="AQ192" s="1087">
        <f>((Sheet1!BV190-(Sheet1!BU190-AP192))/(Sheet1!BU190-AP192))</f>
        <v>0.17290849970677274</v>
      </c>
      <c r="AR192" s="94">
        <f t="shared" si="32"/>
        <v>36.806449999999998</v>
      </c>
      <c r="AS192" s="94">
        <f t="shared" si="33"/>
        <v>33.506450000000001</v>
      </c>
      <c r="AT192" s="89">
        <f>Sheet1!BB190</f>
        <v>0</v>
      </c>
      <c r="AU192" s="89">
        <f>Sheet1!AS190*GPMtoMGD</f>
        <v>4.0032000000000005E-2</v>
      </c>
      <c r="AV192" s="94">
        <f>Sheet1!AT190</f>
        <v>0</v>
      </c>
      <c r="AW192" s="89">
        <f>Sheet1!AV190*GPMtoMGD</f>
        <v>1.731744</v>
      </c>
      <c r="AX192" s="89">
        <f>Sheet1!AW190*GPMtoMGD</f>
        <v>1.8917280000000001</v>
      </c>
      <c r="AY192" s="89">
        <f>Sheet1!AX190*GPMtoMGD</f>
        <v>0</v>
      </c>
      <c r="AZ192" s="89">
        <f>Sheet1!AY190*GPMtoMGD</f>
        <v>0</v>
      </c>
      <c r="BA192" s="89">
        <f>Sheet1!AZ190*GPMtoMGD</f>
        <v>0</v>
      </c>
      <c r="BB192" s="89">
        <f>Sheet1!BP190*GPMtoMGD</f>
        <v>2.7360000000000002E-3</v>
      </c>
      <c r="BC192" s="89">
        <f>Sheet1!CS190*GPMtoMGD</f>
        <v>0</v>
      </c>
      <c r="BD192" s="89">
        <f>Sheet1!BO190*GPMtoMGD</f>
        <v>3.8823840000000001</v>
      </c>
      <c r="BE192" s="89">
        <f>Sheet1!BW190*GPMtoMGD</f>
        <v>1.8041760000000002</v>
      </c>
      <c r="BF192" s="89">
        <f>Sheet1!CN190*GPMtoMGD</f>
        <v>4.5748800000000003</v>
      </c>
      <c r="BG192" s="89">
        <f>Sheet1!CO190*GPMtoMGD</f>
        <v>1.5543360000000002</v>
      </c>
      <c r="BH192" s="89">
        <f>Sheet1!CP190*GPMtoMGD</f>
        <v>0.95097600000000004</v>
      </c>
      <c r="BI192" s="89">
        <f t="shared" si="43"/>
        <v>3.8851200000000001</v>
      </c>
      <c r="BK192" s="94">
        <f>SUM(AT192:BA192,AS192,BC192,Calculation!AQ192)</f>
        <v>73.995188849880279</v>
      </c>
      <c r="BM192" s="358">
        <f>0</f>
        <v>0</v>
      </c>
      <c r="BN192" s="358">
        <f>0</f>
        <v>0</v>
      </c>
      <c r="BP192" s="94">
        <f>SUM(BM192:BN192,W192,Sheet1!DX190)</f>
        <v>0</v>
      </c>
      <c r="BR192" s="94">
        <f>Sheet1!AA190</f>
        <v>30.2</v>
      </c>
      <c r="BS192" s="94">
        <f>Sheet1!AB190</f>
        <v>54.18</v>
      </c>
      <c r="BT192" s="94">
        <f t="shared" ca="1" si="34"/>
        <v>5.9181863471928047</v>
      </c>
      <c r="BU192" s="94">
        <f>Sheet1!AT190</f>
        <v>0</v>
      </c>
      <c r="BV192" s="89">
        <f>Sheet1!BB190</f>
        <v>0</v>
      </c>
      <c r="BW192" s="94">
        <f>Calculation!ED192</f>
        <v>17.354765150119725</v>
      </c>
      <c r="BX192" s="94">
        <f>(Sheet1!CS190*1440)/1000000</f>
        <v>0</v>
      </c>
      <c r="CA192" s="94">
        <f ca="1">Sheet1!AC190-Sheet1!BK190-Sheet1!BL190-Sheet1!BM190-Sheet1!BC190-Sheet1!BD190-Sheet1!BE190-Sheet1!BF190-Sheet1!BG190-Sheet1!BH190-Sheet1!BI190+BC192+P192</f>
        <v>72.90818634719281</v>
      </c>
      <c r="CB192" s="93">
        <f t="shared" si="35"/>
        <v>103.68803831276476</v>
      </c>
      <c r="CC192" s="94">
        <f t="shared" si="36"/>
        <v>0</v>
      </c>
      <c r="CD192" s="94">
        <f t="shared" ca="1" si="37"/>
        <v>90.262951497312542</v>
      </c>
      <c r="CE192" s="1077">
        <f t="shared" ca="1" si="38"/>
        <v>139.6367859663425</v>
      </c>
      <c r="CG192" s="1077">
        <f t="shared" ca="1" si="39"/>
        <v>72.90818634719281</v>
      </c>
    </row>
    <row r="193" spans="1:85" s="89" customFormat="1" x14ac:dyDescent="0.25">
      <c r="A193" s="616" t="s">
        <v>9</v>
      </c>
      <c r="B193" s="91">
        <v>42917</v>
      </c>
      <c r="C193" s="92">
        <v>0</v>
      </c>
      <c r="D193" s="94">
        <f>(Sheet1!BQ191-Sheet1!BQ190)*1.385</f>
        <v>0.5124500000000014</v>
      </c>
      <c r="E193" s="30">
        <f>(Sheet1!BR191-Sheet1!BR190)*1.385</f>
        <v>0.55399999999999805</v>
      </c>
      <c r="F193" s="30">
        <f ca="1">IF(B193=TODAY(),0,-(VLOOKUP(Sheet1!CD191,Lookup!$I$4:$J$216,2)-VLOOKUP(Sheet1!CD190,Lookup!$I$4:$J$216,2))/1000000)</f>
        <v>-0.31091081564339806</v>
      </c>
      <c r="G193" s="94">
        <f ca="1">IF(B193=TODAY(),0,-$G$6*(Sheet1!CF191-Sheet1!CF190)*7.48/1000000)</f>
        <v>3.1770800842046761E-2</v>
      </c>
      <c r="H193" s="94">
        <f ca="1">IF(B193=TODAY(),0,-$H$6*(Sheet1!CE191-Sheet1!CE190)*7.48/1000000)</f>
        <v>0</v>
      </c>
      <c r="I193" s="94">
        <f ca="1">IF(B193=TODAY(),0,-$I$6*(Sheet1!CG191-Sheet1!CG190)*7.48/1000000)</f>
        <v>-2.2462440000000318E-3</v>
      </c>
      <c r="J193" s="95" t="s">
        <v>177</v>
      </c>
      <c r="K193" s="94">
        <f ca="1">IF(B193=TODAY(),0,-$K$6*(Sheet1!CH191-Sheet1!CH190)*7.48/1000000)</f>
        <v>-1.1993976674025296E-2</v>
      </c>
      <c r="L193" s="95" t="s">
        <v>177</v>
      </c>
      <c r="M193" s="94">
        <f ca="1">IF(B193=TODAY(),0,-$M$6*(Sheet1!CI191-Sheet1!CI190)*7.48/1000000)</f>
        <v>7.1966033712108565E-2</v>
      </c>
      <c r="N193" s="94">
        <f ca="1">IF(B193=TODAY(),0,-$N$6*(Sheet1!CJ191-Sheet1!CJ190)*7.48/1000000)</f>
        <v>-0.15513086348655974</v>
      </c>
      <c r="O193" s="94">
        <f t="shared" ca="1" si="40"/>
        <v>-0.37654506524982778</v>
      </c>
      <c r="P193" s="94">
        <f ca="1">O193+Calculation!ES193</f>
        <v>-1.3453426177970069</v>
      </c>
      <c r="Q193" s="89" t="str">
        <f>IF(Sheet1!BQ191&gt;25.75,"spill elevation","-")</f>
        <v>-</v>
      </c>
      <c r="R193" s="89" t="str">
        <f>IF(Sheet1!BQ191&gt;25.75,"spill elevation","-")</f>
        <v>-</v>
      </c>
      <c r="S193" s="89" t="str">
        <f>IF(Sheet1!BR191&gt;25.75,"spill elevation","-")</f>
        <v>-</v>
      </c>
      <c r="T193" s="93">
        <f>IF(Sheet1!DU191=1,Sheet1!AA191-(SUM(AT193:BA193)+BE193),Sheet1!AA191-SUM(AT193:BA193))</f>
        <v>27.154271999999999</v>
      </c>
      <c r="U193" s="93">
        <f>Sheet1!BV191</f>
        <v>31.4</v>
      </c>
      <c r="V193" s="93">
        <f t="shared" si="41"/>
        <v>-4.2457279999999997</v>
      </c>
      <c r="W193" s="93">
        <f>0</f>
        <v>0</v>
      </c>
      <c r="X193" s="89">
        <f>0</f>
        <v>0</v>
      </c>
      <c r="Y193" s="94">
        <f ca="1">Calculation!EJ194+Calculation!ES193+'Calculations II'!O193-'Calculations II'!W193</f>
        <v>69.998515646900984</v>
      </c>
      <c r="Z193" s="94">
        <f ca="1">Y193-Sheet1!CT192</f>
        <v>54.228515646900988</v>
      </c>
      <c r="AA193" s="94">
        <f ca="1">Y193+Calculation!DJ194+Calculation!AS194</f>
        <v>87.944543660907982</v>
      </c>
      <c r="AC193" s="94">
        <f>Sheet1!AA191+Sheet1!AB191+BC193</f>
        <v>88.51</v>
      </c>
      <c r="AD193" s="94">
        <f>Sheet1!AA191+Sheet1!BN191+'Calculations II'!BC193-Calculation!AS193-Calculation!DJ193</f>
        <v>51.958526495726495</v>
      </c>
      <c r="AE193" s="94">
        <f>Sheet1!AA191+Sheet1!AB191+'Calculations II'!BC193-Calculation!AS193-Calculation!DJ193</f>
        <v>70.168526495726496</v>
      </c>
      <c r="AF193" s="94">
        <f ca="1">Sheet1!AA191+Sheet1!BN191+P193+'Calculations II'!BC193+Calculation!AS193+Calculation!DJ193</f>
        <v>87.296130886476504</v>
      </c>
      <c r="AG193" s="94">
        <f ca="1">IF(B193=TODAY(),0,Sheet1!AA191+Sheet1!BN191+'Calculations II'!BC193+'Calculations II'!P193-Sheet1!CT191-BP193)</f>
        <v>52.222657382202996</v>
      </c>
      <c r="AH193" s="94">
        <f ca="1">IF(B193=TODAY(),0,Sheet1!AA191+Sheet1!BN191+'Calculations II'!BC193+'Calculations II'!P193-BP193)</f>
        <v>68.954657382202996</v>
      </c>
      <c r="AI193" s="94">
        <f ca="1">IF(B193=TODAY(),0,BC193+Sheet1!AA191+Calculation!ES193+O193+W193+Sheet1!BN191+Calculation!AS193+Calculation!DJ193-BP193)</f>
        <v>87.296130886476504</v>
      </c>
      <c r="AJ193" s="94"/>
      <c r="AM193" s="90">
        <f t="shared" si="42"/>
        <v>42917</v>
      </c>
      <c r="AN193" s="94">
        <f>Sheet1!BU191</f>
        <v>27.7</v>
      </c>
      <c r="AO193" s="94">
        <f>Sheet1!AA191</f>
        <v>30.2</v>
      </c>
      <c r="AP193" s="94">
        <f t="shared" si="31"/>
        <v>1.0664499999999995</v>
      </c>
      <c r="AQ193" s="1087">
        <f>((Sheet1!BV191-(Sheet1!BU191-AP193))/(Sheet1!BU191-AP193))</f>
        <v>0.1789641260740682</v>
      </c>
      <c r="AR193" s="94">
        <f t="shared" si="32"/>
        <v>29.13355</v>
      </c>
      <c r="AS193" s="94">
        <f t="shared" si="33"/>
        <v>26.63355</v>
      </c>
      <c r="AT193" s="89">
        <f>Sheet1!BB191</f>
        <v>0.38</v>
      </c>
      <c r="AU193" s="89">
        <f>Sheet1!AS191*GPMtoMGD</f>
        <v>3.0528E-2</v>
      </c>
      <c r="AV193" s="94">
        <f>Sheet1!AT191</f>
        <v>0</v>
      </c>
      <c r="AW193" s="89">
        <f>Sheet1!AV191*GPMtoMGD</f>
        <v>1.214064</v>
      </c>
      <c r="AX193" s="89">
        <f>Sheet1!AW191*GPMtoMGD</f>
        <v>1.421136</v>
      </c>
      <c r="AY193" s="89">
        <f>Sheet1!AX191*GPMtoMGD</f>
        <v>0</v>
      </c>
      <c r="AZ193" s="89">
        <f>Sheet1!AY191*GPMtoMGD</f>
        <v>0</v>
      </c>
      <c r="BA193" s="89">
        <f>Sheet1!AZ191*GPMtoMGD</f>
        <v>0</v>
      </c>
      <c r="BB193" s="89">
        <f>Sheet1!BP191*GPMtoMGD</f>
        <v>2.7360000000000002E-3</v>
      </c>
      <c r="BC193" s="89">
        <f>Sheet1!CS191*GPMtoMGD</f>
        <v>0</v>
      </c>
      <c r="BD193" s="89">
        <f>Sheet1!BO191*GPMtoMGD</f>
        <v>3.4850879999999997</v>
      </c>
      <c r="BE193" s="89">
        <f>Sheet1!BW191*GPMtoMGD</f>
        <v>1.5966720000000001</v>
      </c>
      <c r="BF193" s="89">
        <f>Sheet1!CN191*GPMtoMGD</f>
        <v>4.012848</v>
      </c>
      <c r="BG193" s="89">
        <f>Sheet1!CO191*GPMtoMGD</f>
        <v>1.5528960000000003</v>
      </c>
      <c r="BH193" s="89">
        <f>Sheet1!CP191*GPMtoMGD</f>
        <v>0.88488000000000011</v>
      </c>
      <c r="BI193" s="89">
        <f t="shared" si="43"/>
        <v>3.4878239999999998</v>
      </c>
      <c r="BK193" s="94">
        <f>SUM(AT193:BA193,AS193,BC193,Calculation!AQ193)</f>
        <v>69.649038683760693</v>
      </c>
      <c r="BM193" s="358">
        <f>0</f>
        <v>0</v>
      </c>
      <c r="BN193" s="358">
        <f>0</f>
        <v>0</v>
      </c>
      <c r="BP193" s="94">
        <f>SUM(BM193:BN193,W193,Sheet1!DX191)</f>
        <v>0</v>
      </c>
      <c r="BR193" s="94">
        <f>Sheet1!AA191</f>
        <v>30.2</v>
      </c>
      <c r="BS193" s="94">
        <f>Sheet1!AB191</f>
        <v>58.31</v>
      </c>
      <c r="BT193" s="94">
        <f t="shared" ca="1" si="34"/>
        <v>-1.3453426177970069</v>
      </c>
      <c r="BU193" s="94">
        <f>Sheet1!AT191</f>
        <v>0</v>
      </c>
      <c r="BV193" s="89">
        <f>Sheet1!BB191</f>
        <v>0.38</v>
      </c>
      <c r="BW193" s="94">
        <f>Calculation!ED193</f>
        <v>17.961473504273506</v>
      </c>
      <c r="BX193" s="94">
        <f>(Sheet1!CS191*1440)/1000000</f>
        <v>0</v>
      </c>
      <c r="CA193" s="94">
        <f ca="1">Sheet1!AC191-Sheet1!BK191-Sheet1!BL191-Sheet1!BM191-Sheet1!BC191-Sheet1!BD191-Sheet1!BE191-Sheet1!BF191-Sheet1!BG191-Sheet1!BH191-Sheet1!BI191+BC193+P193</f>
        <v>69.144657382203008</v>
      </c>
      <c r="CB193" s="93">
        <f t="shared" si="35"/>
        <v>109.13857048888887</v>
      </c>
      <c r="CC193" s="94">
        <f t="shared" si="36"/>
        <v>0.38</v>
      </c>
      <c r="CD193" s="94">
        <f t="shared" ca="1" si="37"/>
        <v>87.106130886476507</v>
      </c>
      <c r="CE193" s="1077">
        <f t="shared" ca="1" si="38"/>
        <v>134.75318448137915</v>
      </c>
      <c r="CG193" s="1077">
        <f t="shared" ca="1" si="39"/>
        <v>68.764657382203012</v>
      </c>
    </row>
    <row r="194" spans="1:85" s="89" customFormat="1" x14ac:dyDescent="0.25">
      <c r="A194" s="616" t="s">
        <v>3</v>
      </c>
      <c r="B194" s="91">
        <v>42918</v>
      </c>
      <c r="C194" s="92">
        <v>0</v>
      </c>
      <c r="D194" s="94">
        <f>(Sheet1!BQ192-Sheet1!BQ191)*1.385</f>
        <v>0.31855000000000061</v>
      </c>
      <c r="E194" s="30">
        <f>(Sheet1!BR192-Sheet1!BR191)*1.385</f>
        <v>0.33240000000000275</v>
      </c>
      <c r="F194" s="30">
        <f ca="1">IF(B194=TODAY(),0,-(VLOOKUP(Sheet1!CD192,Lookup!$I$4:$J$216,2)-VLOOKUP(Sheet1!CD191,Lookup!$I$4:$J$216,2))/1000000)</f>
        <v>-0.82909550838240231</v>
      </c>
      <c r="G194" s="94">
        <f ca="1">IF(B194=TODAY(),0,-$G$6*(Sheet1!CF192-Sheet1!CF191)*7.48/1000000)</f>
        <v>0.20651020547330817</v>
      </c>
      <c r="H194" s="94">
        <f ca="1">IF(B194=TODAY(),0,-$H$6*(Sheet1!CE192-Sheet1!CE191)*7.48/1000000)</f>
        <v>0</v>
      </c>
      <c r="I194" s="94">
        <f ca="1">IF(B194=TODAY(),0,-$I$6*(Sheet1!CG192-Sheet1!CG191)*7.48/1000000)</f>
        <v>2.4708684000000033E-2</v>
      </c>
      <c r="J194" s="95" t="s">
        <v>177</v>
      </c>
      <c r="K194" s="94">
        <f ca="1">IF(B194=TODAY(),0,-$K$6*(Sheet1!CH192-Sheet1!CH191)*7.48/1000000)</f>
        <v>4.2645250396534072E-2</v>
      </c>
      <c r="L194" s="95" t="s">
        <v>177</v>
      </c>
      <c r="M194" s="94">
        <f ca="1">IF(B194=TODAY(),0,-$M$6*(Sheet1!CI192-Sheet1!CI191)*7.48/1000000)</f>
        <v>0.11694480478217556</v>
      </c>
      <c r="N194" s="94">
        <f ca="1">IF(B194=TODAY(),0,-$N$6*(Sheet1!CJ192-Sheet1!CJ191)*7.48/1000000)</f>
        <v>-0.6391391575646258</v>
      </c>
      <c r="O194" s="94">
        <f t="shared" ca="1" si="40"/>
        <v>-1.0774257212950102</v>
      </c>
      <c r="P194" s="94">
        <f ca="1">O194+Calculation!ES194</f>
        <v>-1.9079307043439857</v>
      </c>
      <c r="Q194" s="89" t="str">
        <f>IF(Sheet1!BQ192&gt;25.75,"spill elevation","-")</f>
        <v>-</v>
      </c>
      <c r="R194" s="89" t="str">
        <f>IF(Sheet1!BQ192&gt;25.75,"spill elevation","-")</f>
        <v>-</v>
      </c>
      <c r="S194" s="89" t="str">
        <f>IF(Sheet1!BR192&gt;25.75,"spill elevation","-")</f>
        <v>-</v>
      </c>
      <c r="T194" s="93">
        <f>IF(Sheet1!DU192=1,Sheet1!AA192-(SUM(AT194:BA194)+BE194),Sheet1!AA192-SUM(AT194:BA194))</f>
        <v>26.722687999999998</v>
      </c>
      <c r="U194" s="93">
        <f>Sheet1!BV192</f>
        <v>31</v>
      </c>
      <c r="V194" s="93">
        <f t="shared" si="41"/>
        <v>-4.277312000000002</v>
      </c>
      <c r="W194" s="93">
        <f>0</f>
        <v>0</v>
      </c>
      <c r="X194" s="89">
        <f>0</f>
        <v>0</v>
      </c>
      <c r="Y194" s="94">
        <f ca="1">Calculation!EJ195+Calculation!ES194+'Calculations II'!O194-'Calculations II'!W194</f>
        <v>70.887300289247776</v>
      </c>
      <c r="Z194" s="94">
        <f ca="1">Y194-Sheet1!CT193</f>
        <v>55.665300289247774</v>
      </c>
      <c r="AA194" s="94">
        <f ca="1">Y194+Calculation!DJ195+Calculation!AS195</f>
        <v>88.85252825277361</v>
      </c>
      <c r="AC194" s="94">
        <f>Sheet1!AA192+Sheet1!AB192+BC194</f>
        <v>90.09</v>
      </c>
      <c r="AD194" s="94">
        <f>Sheet1!AA192+Sheet1!BN192+'Calculations II'!BC194-Calculation!AS194-Calculation!DJ194</f>
        <v>54.253971985992997</v>
      </c>
      <c r="AE194" s="94">
        <f>Sheet1!AA192+Sheet1!AB192+'Calculations II'!BC194-Calculation!AS194-Calculation!DJ194</f>
        <v>72.143971985993005</v>
      </c>
      <c r="AF194" s="94">
        <f ca="1">Sheet1!AA192+Sheet1!BN192+P194+'Calculations II'!BC194+Calculation!AS194+Calculation!DJ194</f>
        <v>88.238097309663033</v>
      </c>
      <c r="AG194" s="94">
        <f ca="1">IF(B194=TODAY(),0,Sheet1!AA192+Sheet1!BN192+'Calculations II'!BC194+'Calculations II'!P194-Sheet1!CT192-BP194)</f>
        <v>54.522069295656024</v>
      </c>
      <c r="AH194" s="94">
        <f ca="1">IF(B194=TODAY(),0,Sheet1!AA192+Sheet1!BN192+'Calculations II'!BC194+'Calculations II'!P194-BP194)</f>
        <v>70.29206929565602</v>
      </c>
      <c r="AI194" s="94">
        <f ca="1">IF(B194=TODAY(),0,BC194+Sheet1!AA192+Calculation!ES194+O194+W194+Sheet1!BN192+Calculation!AS194+Calculation!DJ194-BP194)</f>
        <v>88.238097309663004</v>
      </c>
      <c r="AJ194" s="94"/>
      <c r="AM194" s="90">
        <f t="shared" si="42"/>
        <v>42918</v>
      </c>
      <c r="AN194" s="94">
        <f>Sheet1!BU192</f>
        <v>27</v>
      </c>
      <c r="AO194" s="94">
        <f>Sheet1!AA192</f>
        <v>30.2</v>
      </c>
      <c r="AP194" s="94">
        <f t="shared" si="31"/>
        <v>0.65095000000000336</v>
      </c>
      <c r="AQ194" s="1087">
        <f>((Sheet1!BV192-(Sheet1!BU192-AP194))/(Sheet1!BU192-AP194))</f>
        <v>0.17651300521271174</v>
      </c>
      <c r="AR194" s="94">
        <f t="shared" si="32"/>
        <v>29.549049999999998</v>
      </c>
      <c r="AS194" s="94">
        <f t="shared" si="33"/>
        <v>26.349049999999998</v>
      </c>
      <c r="AT194" s="89">
        <f>Sheet1!BB192</f>
        <v>0</v>
      </c>
      <c r="AU194" s="89">
        <f>Sheet1!AS192*GPMtoMGD</f>
        <v>4.0607999999999998E-2</v>
      </c>
      <c r="AV194" s="94">
        <f>Sheet1!AT192</f>
        <v>0</v>
      </c>
      <c r="AW194" s="89">
        <f>Sheet1!AV192*GPMtoMGD</f>
        <v>1.4960160000000002</v>
      </c>
      <c r="AX194" s="89">
        <f>Sheet1!AW192*GPMtoMGD</f>
        <v>1.9406880000000002</v>
      </c>
      <c r="AY194" s="89">
        <f>Sheet1!AX192*GPMtoMGD</f>
        <v>0</v>
      </c>
      <c r="AZ194" s="89">
        <f>Sheet1!AY192*GPMtoMGD</f>
        <v>0</v>
      </c>
      <c r="BA194" s="89">
        <f>Sheet1!AZ192*GPMtoMGD</f>
        <v>0</v>
      </c>
      <c r="BB194" s="89">
        <f>Sheet1!BP192*GPMtoMGD</f>
        <v>2.5920000000000001E-3</v>
      </c>
      <c r="BC194" s="89">
        <f>Sheet1!CS192*GPMtoMGD</f>
        <v>0</v>
      </c>
      <c r="BD194" s="89">
        <f>Sheet1!BO192*GPMtoMGD</f>
        <v>3.576384</v>
      </c>
      <c r="BE194" s="89">
        <f>Sheet1!BW192*GPMtoMGD</f>
        <v>1.9599839999999999</v>
      </c>
      <c r="BF194" s="89">
        <f>Sheet1!CN192*GPMtoMGD</f>
        <v>4.2350400000000006</v>
      </c>
      <c r="BG194" s="89">
        <f>Sheet1!CO192*GPMtoMGD</f>
        <v>1.606752</v>
      </c>
      <c r="BH194" s="89">
        <f>Sheet1!CP192*GPMtoMGD</f>
        <v>0.88372800000000007</v>
      </c>
      <c r="BI194" s="89">
        <f t="shared" si="43"/>
        <v>3.5789759999999999</v>
      </c>
      <c r="BK194" s="94">
        <f>SUM(AT194:BA194,AS194,BC194,Calculation!AQ194)</f>
        <v>71.770333985992991</v>
      </c>
      <c r="BM194" s="358">
        <f>0</f>
        <v>0</v>
      </c>
      <c r="BN194" s="358">
        <f>0</f>
        <v>0</v>
      </c>
      <c r="BP194" s="94">
        <f>SUM(BM194:BN194,W194,Sheet1!DX192)</f>
        <v>0</v>
      </c>
      <c r="BR194" s="94">
        <f>Sheet1!AA192</f>
        <v>30.2</v>
      </c>
      <c r="BS194" s="94">
        <f>Sheet1!AB192</f>
        <v>59.89</v>
      </c>
      <c r="BT194" s="94">
        <f t="shared" ca="1" si="34"/>
        <v>-1.9079307043439857</v>
      </c>
      <c r="BU194" s="94">
        <f>Sheet1!AT192</f>
        <v>0</v>
      </c>
      <c r="BV194" s="89">
        <f>Sheet1!BB192</f>
        <v>0</v>
      </c>
      <c r="BW194" s="94">
        <f>Calculation!ED194</f>
        <v>17.946028014007005</v>
      </c>
      <c r="BX194" s="94">
        <f>(Sheet1!CS192*1440)/1000000</f>
        <v>0</v>
      </c>
      <c r="CA194" s="94">
        <f ca="1">Sheet1!AC192-Sheet1!BK192-Sheet1!BL192-Sheet1!BM192-Sheet1!BC192-Sheet1!BD192-Sheet1!BE192-Sheet1!BF192-Sheet1!BG192-Sheet1!BH192-Sheet1!BI192+BC194+P194</f>
        <v>70.212069295656022</v>
      </c>
      <c r="CB194" s="93">
        <f t="shared" si="35"/>
        <v>111.60672466233117</v>
      </c>
      <c r="CC194" s="94">
        <f t="shared" si="36"/>
        <v>0</v>
      </c>
      <c r="CD194" s="94">
        <f t="shared" ca="1" si="37"/>
        <v>88.15809730966302</v>
      </c>
      <c r="CE194" s="1077">
        <f t="shared" ca="1" si="38"/>
        <v>136.3805765380487</v>
      </c>
      <c r="CG194" s="1077">
        <f t="shared" ca="1" si="39"/>
        <v>70.212069295656022</v>
      </c>
    </row>
    <row r="195" spans="1:85" s="89" customFormat="1" x14ac:dyDescent="0.25">
      <c r="A195" s="616" t="s">
        <v>4</v>
      </c>
      <c r="B195" s="91">
        <v>42919</v>
      </c>
      <c r="C195" s="92">
        <v>0</v>
      </c>
      <c r="D195" s="94">
        <f>(Sheet1!BQ193-Sheet1!BQ192)*1.385</f>
        <v>3.2824500000000012</v>
      </c>
      <c r="E195" s="30">
        <f>(Sheet1!BR193-Sheet1!BR192)*1.385</f>
        <v>3.2824500000000012</v>
      </c>
      <c r="F195" s="30">
        <f ca="1">IF(B195=TODAY(),0,-(VLOOKUP(Sheet1!CD193,Lookup!$I$4:$J$216,2)-VLOOKUP(Sheet1!CD192,Lookup!$I$4:$J$216,2))/1000000)</f>
        <v>0.62182163128680368</v>
      </c>
      <c r="G195" s="94">
        <f ca="1">IF(B195=TODAY(),0,-$G$6*(Sheet1!CF193-Sheet1!CF192)*7.48/1000000)</f>
        <v>-3.9713501052558449E-2</v>
      </c>
      <c r="H195" s="94">
        <f ca="1">IF(B195=TODAY(),0,-$H$6*(Sheet1!CE193-Sheet1!CE192)*7.48/1000000)</f>
        <v>-1.5039432351264204E-2</v>
      </c>
      <c r="I195" s="94">
        <f ca="1">IF(B195=TODAY(),0,-$I$6*(Sheet1!CG193-Sheet1!CG192)*7.48/1000000)</f>
        <v>-8.9849759999999675E-3</v>
      </c>
      <c r="J195" s="95" t="s">
        <v>177</v>
      </c>
      <c r="K195" s="94">
        <f ca="1">IF(B195=TODAY(),0,-$K$6*(Sheet1!CH193-Sheet1!CH192)*7.48/1000000)</f>
        <v>-1.5991968898700276E-2</v>
      </c>
      <c r="L195" s="95" t="s">
        <v>177</v>
      </c>
      <c r="M195" s="94">
        <f ca="1">IF(B195=TODAY(),0,-$M$6*(Sheet1!CI193-Sheet1!CI192)*7.48/1000000)</f>
        <v>-2.6987262642040318E-2</v>
      </c>
      <c r="N195" s="94">
        <f ca="1">IF(B195=TODAY(),0,-$N$6*(Sheet1!CJ193-Sheet1!CJ192)*7.48/1000000)</f>
        <v>0.51503446677537834</v>
      </c>
      <c r="O195" s="94">
        <f t="shared" ca="1" si="40"/>
        <v>1.0301389571176189</v>
      </c>
      <c r="P195" s="94">
        <f ca="1">O195+Calculation!ES195</f>
        <v>-5.4794979958820624</v>
      </c>
      <c r="Q195" s="89" t="str">
        <f>IF(Sheet1!BQ193&gt;25.75,"spill elevation","-")</f>
        <v>-</v>
      </c>
      <c r="R195" s="89" t="str">
        <f>IF(Sheet1!BQ193&gt;25.75,"spill elevation","-")</f>
        <v>-</v>
      </c>
      <c r="S195" s="89" t="str">
        <f>IF(Sheet1!BR193&gt;25.75,"spill elevation","-")</f>
        <v>-</v>
      </c>
      <c r="T195" s="93">
        <f>IF(Sheet1!DU193=1,Sheet1!AA193-(SUM(AT195:BA195)+BE195),Sheet1!AA193-SUM(AT195:BA195))</f>
        <v>27.009679999999999</v>
      </c>
      <c r="U195" s="93">
        <f>Sheet1!BV193</f>
        <v>24.9</v>
      </c>
      <c r="V195" s="93">
        <f t="shared" si="41"/>
        <v>2.1096800000000009</v>
      </c>
      <c r="W195" s="93">
        <f>0</f>
        <v>0</v>
      </c>
      <c r="X195" s="89">
        <f>0</f>
        <v>0</v>
      </c>
      <c r="Y195" s="94">
        <f ca="1">Calculation!EJ196+Calculation!ES195+'Calculations II'!O195-'Calculations II'!W195</f>
        <v>62.982798316426305</v>
      </c>
      <c r="Z195" s="94">
        <f ca="1">Y195-Sheet1!CT194</f>
        <v>47.969798316426306</v>
      </c>
      <c r="AA195" s="94">
        <f ca="1">Y195+Calculation!DJ196+Calculation!AS196</f>
        <v>80.955393896924377</v>
      </c>
      <c r="AC195" s="94">
        <f>Sheet1!AA193+Sheet1!AB193+BC195</f>
        <v>89.24</v>
      </c>
      <c r="AD195" s="94">
        <f>Sheet1!AA193+Sheet1!BN193+'Calculations II'!BC195-Calculation!AS195-Calculation!DJ195</f>
        <v>53.434772036474172</v>
      </c>
      <c r="AE195" s="94">
        <f>Sheet1!AA193+Sheet1!AB193+'Calculations II'!BC195-Calculation!AS195-Calculation!DJ195</f>
        <v>71.274772036474161</v>
      </c>
      <c r="AF195" s="94">
        <f ca="1">Sheet1!AA193+Sheet1!BN193+P195+'Calculations II'!BC195+Calculation!AS195+Calculation!DJ195</f>
        <v>83.885729967643783</v>
      </c>
      <c r="AG195" s="94">
        <f ca="1">IF(B195=TODAY(),0,Sheet1!AA193+Sheet1!BN193+'Calculations II'!BC195+'Calculations II'!P195-Sheet1!CT193-BP195)</f>
        <v>50.698502004117948</v>
      </c>
      <c r="AH195" s="94">
        <f ca="1">IF(B195=TODAY(),0,Sheet1!AA193+Sheet1!BN193+'Calculations II'!BC195+'Calculations II'!P195-BP195)</f>
        <v>65.920502004117949</v>
      </c>
      <c r="AI195" s="94">
        <f ca="1">IF(B195=TODAY(),0,BC195+Sheet1!AA193+Calculation!ES195+O195+W195+Sheet1!BN193+Calculation!AS195+Calculation!DJ195-BP195)</f>
        <v>83.885729967643769</v>
      </c>
      <c r="AJ195" s="94"/>
      <c r="AM195" s="90">
        <f t="shared" si="42"/>
        <v>42919</v>
      </c>
      <c r="AN195" s="94">
        <f>Sheet1!BU193</f>
        <v>27.5</v>
      </c>
      <c r="AO195" s="94">
        <f>Sheet1!AA193</f>
        <v>30.2</v>
      </c>
      <c r="AP195" s="94">
        <f t="shared" si="31"/>
        <v>6.5649000000000024</v>
      </c>
      <c r="AQ195" s="1087">
        <f>((Sheet1!BV193-(Sheet1!BU193-AP195))/(Sheet1!BU193-AP195))</f>
        <v>0.18939006739877051</v>
      </c>
      <c r="AR195" s="94">
        <f t="shared" si="32"/>
        <v>23.635099999999998</v>
      </c>
      <c r="AS195" s="94">
        <f t="shared" si="33"/>
        <v>20.935099999999998</v>
      </c>
      <c r="AT195" s="89">
        <f>Sheet1!BB193</f>
        <v>0</v>
      </c>
      <c r="AU195" s="89">
        <f>Sheet1!AS193*GPMtoMGD</f>
        <v>2.2896000000000003E-2</v>
      </c>
      <c r="AV195" s="94">
        <f>Sheet1!AT193</f>
        <v>0</v>
      </c>
      <c r="AW195" s="89">
        <f>Sheet1!AV193*GPMtoMGD</f>
        <v>1.2052800000000001</v>
      </c>
      <c r="AX195" s="89">
        <f>Sheet1!AW193*GPMtoMGD</f>
        <v>1.9621439999999999</v>
      </c>
      <c r="AY195" s="89">
        <f>Sheet1!AX193*GPMtoMGD</f>
        <v>0</v>
      </c>
      <c r="AZ195" s="89">
        <f>Sheet1!AY193*GPMtoMGD</f>
        <v>0</v>
      </c>
      <c r="BA195" s="89">
        <f>Sheet1!AZ193*GPMtoMGD</f>
        <v>0</v>
      </c>
      <c r="BB195" s="89">
        <f>Sheet1!BP193*GPMtoMGD</f>
        <v>2.5920000000000001E-3</v>
      </c>
      <c r="BC195" s="89">
        <f>Sheet1!CS193*GPMtoMGD</f>
        <v>0</v>
      </c>
      <c r="BD195" s="89">
        <f>Sheet1!BO193*GPMtoMGD</f>
        <v>3.3069600000000001</v>
      </c>
      <c r="BE195" s="89">
        <f>Sheet1!BW193*GPMtoMGD</f>
        <v>1.6119360000000003</v>
      </c>
      <c r="BF195" s="89">
        <f>Sheet1!CN193*GPMtoMGD</f>
        <v>3.8988</v>
      </c>
      <c r="BG195" s="89">
        <f>Sheet1!CO193*GPMtoMGD</f>
        <v>1.4724000000000002</v>
      </c>
      <c r="BH195" s="89">
        <f>Sheet1!CP193*GPMtoMGD</f>
        <v>0.90590400000000004</v>
      </c>
      <c r="BI195" s="89">
        <f t="shared" si="43"/>
        <v>3.309552</v>
      </c>
      <c r="BK195" s="94">
        <f>SUM(AT195:BA195,AS195,BC195,Calculation!AQ195)</f>
        <v>65.200192036474164</v>
      </c>
      <c r="BM195" s="358">
        <f>0</f>
        <v>0</v>
      </c>
      <c r="BN195" s="358">
        <f>0</f>
        <v>0</v>
      </c>
      <c r="BP195" s="94">
        <f>SUM(BM195:BN195,W195,Sheet1!DX193)</f>
        <v>0</v>
      </c>
      <c r="BR195" s="94">
        <f>Sheet1!AA193</f>
        <v>30.2</v>
      </c>
      <c r="BS195" s="94">
        <f>Sheet1!AB193</f>
        <v>59.04</v>
      </c>
      <c r="BT195" s="94">
        <f t="shared" ca="1" si="34"/>
        <v>-5.4794979958820624</v>
      </c>
      <c r="BU195" s="94">
        <f>Sheet1!AT193</f>
        <v>0</v>
      </c>
      <c r="BV195" s="89">
        <f>Sheet1!BB193</f>
        <v>0</v>
      </c>
      <c r="BW195" s="94">
        <f>Calculation!ED195</f>
        <v>17.965227963525837</v>
      </c>
      <c r="BX195" s="94">
        <f>(Sheet1!CS193*1440)/1000000</f>
        <v>0</v>
      </c>
      <c r="CA195" s="94">
        <f ca="1">Sheet1!AC193-Sheet1!BK193-Sheet1!BL193-Sheet1!BM193-Sheet1!BC193-Sheet1!BD193-Sheet1!BE193-Sheet1!BF193-Sheet1!BG193-Sheet1!BH193-Sheet1!BI193+BC195+P195</f>
        <v>65.740502004117943</v>
      </c>
      <c r="CB195" s="93">
        <f t="shared" si="35"/>
        <v>110.26207234042552</v>
      </c>
      <c r="CC195" s="94">
        <f t="shared" si="36"/>
        <v>0</v>
      </c>
      <c r="CD195" s="94">
        <f t="shared" ca="1" si="37"/>
        <v>83.705729967643776</v>
      </c>
      <c r="CE195" s="1077">
        <f t="shared" ca="1" si="38"/>
        <v>129.49276425994492</v>
      </c>
      <c r="CG195" s="1077">
        <f t="shared" ca="1" si="39"/>
        <v>65.740502004117943</v>
      </c>
    </row>
    <row r="196" spans="1:85" s="89" customFormat="1" x14ac:dyDescent="0.25">
      <c r="A196" s="616" t="s">
        <v>5</v>
      </c>
      <c r="B196" s="91">
        <v>42920</v>
      </c>
      <c r="C196" s="92">
        <v>0</v>
      </c>
      <c r="D196" s="94">
        <f>(Sheet1!BQ194-Sheet1!BQ193)*1.385</f>
        <v>-0.34625</v>
      </c>
      <c r="E196" s="30">
        <f>(Sheet1!BR194-Sheet1!BR193)*1.385</f>
        <v>-0.34625</v>
      </c>
      <c r="F196" s="30">
        <f ca="1">IF(B196=TODAY(),0,-(VLOOKUP(Sheet1!CD194,Lookup!$I$4:$J$216,2)-VLOOKUP(Sheet1!CD193,Lookup!$I$4:$J$216,2))/1000000)</f>
        <v>-0.82909550838240231</v>
      </c>
      <c r="G196" s="94">
        <f ca="1">IF(B196=TODAY(),0,-$G$6*(Sheet1!CF194-Sheet1!CF193)*7.48/1000000)</f>
        <v>0.19856750526279648</v>
      </c>
      <c r="H196" s="94">
        <f ca="1">IF(B196=TODAY(),0,-$H$6*(Sheet1!CE194-Sheet1!CE193)*7.48/1000000)</f>
        <v>0</v>
      </c>
      <c r="I196" s="94">
        <f ca="1">IF(B196=TODAY(),0,-$I$6*(Sheet1!CG194-Sheet1!CG193)*7.48/1000000)</f>
        <v>6.289483199999997E-2</v>
      </c>
      <c r="J196" s="95" t="s">
        <v>177</v>
      </c>
      <c r="K196" s="94">
        <f ca="1">IF(B196=TODAY(),0,-$K$6*(Sheet1!CH194-Sheet1!CH193)*7.48/1000000)</f>
        <v>0.10661312599133504</v>
      </c>
      <c r="L196" s="95" t="s">
        <v>177</v>
      </c>
      <c r="M196" s="94">
        <f ca="1">IF(B196=TODAY(),0,-$M$6*(Sheet1!CI194-Sheet1!CI193)*7.48/1000000)</f>
        <v>0.26987262642040577</v>
      </c>
      <c r="N196" s="94">
        <f ca="1">IF(B196=TODAY(),0,-$N$6*(Sheet1!CJ194-Sheet1!CJ193)*7.48/1000000)</f>
        <v>-0.62672868848570118</v>
      </c>
      <c r="O196" s="94">
        <f t="shared" ca="1" si="40"/>
        <v>-0.81787610719356629</v>
      </c>
      <c r="P196" s="94">
        <f ca="1">O196+Calculation!ES196</f>
        <v>-0.1250035769384088</v>
      </c>
      <c r="Q196" s="89" t="str">
        <f>IF(Sheet1!BQ194&gt;25.75,"spill elevation","-")</f>
        <v>-</v>
      </c>
      <c r="R196" s="89" t="str">
        <f>IF(Sheet1!BQ194&gt;25.75,"spill elevation","-")</f>
        <v>-</v>
      </c>
      <c r="S196" s="89" t="str">
        <f>IF(Sheet1!BR194&gt;25.75,"spill elevation","-")</f>
        <v>-</v>
      </c>
      <c r="T196" s="93">
        <f>IF(Sheet1!DU194=1,Sheet1!AA194-(SUM(AT196:BA196)+BE196),Sheet1!AA194-SUM(AT196:BA196))</f>
        <v>27.017232</v>
      </c>
      <c r="U196" s="93">
        <f>Sheet1!BV194</f>
        <v>32.6</v>
      </c>
      <c r="V196" s="93">
        <f t="shared" si="41"/>
        <v>-5.5827680000000015</v>
      </c>
      <c r="W196" s="93">
        <f>0</f>
        <v>0</v>
      </c>
      <c r="X196" s="89">
        <f>0</f>
        <v>0</v>
      </c>
      <c r="Y196" s="94">
        <f ca="1">Calculation!EJ197+Calculation!ES196+'Calculations II'!O196-'Calculations II'!W196</f>
        <v>72.582349000877414</v>
      </c>
      <c r="Z196" s="94">
        <f ca="1">Y196-Sheet1!CT195</f>
        <v>57.162349000877413</v>
      </c>
      <c r="AA196" s="94">
        <f ca="1">Y196+Calculation!DJ197+Calculation!AS197</f>
        <v>90.528472966423777</v>
      </c>
      <c r="AC196" s="94">
        <f>Sheet1!AA194+Sheet1!AB194+BC196</f>
        <v>87.17</v>
      </c>
      <c r="AD196" s="94">
        <f>Sheet1!AA194+Sheet1!BN194+'Calculations II'!BC196-Calculation!AS196-Calculation!DJ196</f>
        <v>51.327404419501924</v>
      </c>
      <c r="AE196" s="94">
        <f>Sheet1!AA194+Sheet1!AB194+'Calculations II'!BC196-Calculation!AS196-Calculation!DJ196</f>
        <v>69.197404419501936</v>
      </c>
      <c r="AF196" s="94">
        <f ca="1">Sheet1!AA194+Sheet1!BN194+P196+'Calculations II'!BC196+Calculation!AS196+Calculation!DJ196</f>
        <v>87.147592003559652</v>
      </c>
      <c r="AG196" s="94">
        <f ca="1">IF(B196=TODAY(),0,Sheet1!AA194+Sheet1!BN194+'Calculations II'!BC196+'Calculations II'!P196-Sheet1!CT194-BP196)</f>
        <v>54.161996423061588</v>
      </c>
      <c r="AH196" s="94">
        <f ca="1">IF(B196=TODAY(),0,Sheet1!AA194+Sheet1!BN194+'Calculations II'!BC196+'Calculations II'!P196-BP196)</f>
        <v>69.174996423061586</v>
      </c>
      <c r="AI196" s="94">
        <f ca="1">IF(B196=TODAY(),0,BC196+Sheet1!AA194+Calculation!ES196+O196+W196+Sheet1!BN194+Calculation!AS196+Calculation!DJ196-BP196)</f>
        <v>87.14759200355968</v>
      </c>
      <c r="AJ196" s="94"/>
      <c r="AM196" s="90">
        <f t="shared" si="42"/>
        <v>42920</v>
      </c>
      <c r="AN196" s="94">
        <f>Sheet1!BU194</f>
        <v>27.1</v>
      </c>
      <c r="AO196" s="94">
        <f>Sheet1!AA194</f>
        <v>30.3</v>
      </c>
      <c r="AP196" s="94">
        <f t="shared" si="31"/>
        <v>-0.6925</v>
      </c>
      <c r="AQ196" s="1087">
        <f>((Sheet1!BV194-(Sheet1!BU194-AP196))/(Sheet1!BU194-AP196))</f>
        <v>0.17297832148961054</v>
      </c>
      <c r="AR196" s="94">
        <f t="shared" si="32"/>
        <v>30.9925</v>
      </c>
      <c r="AS196" s="94">
        <f t="shared" si="33"/>
        <v>27.7925</v>
      </c>
      <c r="AT196" s="89">
        <f>Sheet1!BB194</f>
        <v>0</v>
      </c>
      <c r="AU196" s="89">
        <f>Sheet1!AS194*GPMtoMGD</f>
        <v>4.8528000000000009E-2</v>
      </c>
      <c r="AV196" s="94">
        <f>Sheet1!AT194</f>
        <v>0</v>
      </c>
      <c r="AW196" s="89">
        <f>Sheet1!AV194*GPMtoMGD</f>
        <v>1.3083840000000002</v>
      </c>
      <c r="AX196" s="89">
        <f>Sheet1!AW194*GPMtoMGD</f>
        <v>1.9258560000000002</v>
      </c>
      <c r="AY196" s="89">
        <f>Sheet1!AX194*GPMtoMGD</f>
        <v>0</v>
      </c>
      <c r="AZ196" s="89">
        <f>Sheet1!AY194*GPMtoMGD</f>
        <v>0</v>
      </c>
      <c r="BA196" s="89">
        <f>Sheet1!AZ194*GPMtoMGD</f>
        <v>0</v>
      </c>
      <c r="BB196" s="89">
        <f>Sheet1!BP194*GPMtoMGD</f>
        <v>2.5920000000000001E-3</v>
      </c>
      <c r="BC196" s="89">
        <f>Sheet1!CS194*GPMtoMGD</f>
        <v>0</v>
      </c>
      <c r="BD196" s="89">
        <f>Sheet1!BO194*GPMtoMGD</f>
        <v>3.2914080000000001</v>
      </c>
      <c r="BE196" s="89">
        <f>Sheet1!BW194*GPMtoMGD</f>
        <v>1.7604000000000002</v>
      </c>
      <c r="BF196" s="89">
        <f>Sheet1!CN194*GPMtoMGD</f>
        <v>4.1365439999999998</v>
      </c>
      <c r="BG196" s="89">
        <f>Sheet1!CO194*GPMtoMGD</f>
        <v>1.4739840000000002</v>
      </c>
      <c r="BH196" s="89">
        <f>Sheet1!CP194*GPMtoMGD</f>
        <v>0.880992</v>
      </c>
      <c r="BI196" s="89">
        <f t="shared" si="43"/>
        <v>3.294</v>
      </c>
      <c r="BK196" s="94">
        <f>SUM(AT196:BA196,AS196,BC196,Calculation!AQ196)</f>
        <v>69.972672419501933</v>
      </c>
      <c r="BM196" s="358">
        <f>0</f>
        <v>0</v>
      </c>
      <c r="BN196" s="358">
        <f>0</f>
        <v>0</v>
      </c>
      <c r="BP196" s="94">
        <f>SUM(BM196:BN196,W196,Sheet1!DX194)</f>
        <v>0</v>
      </c>
      <c r="BR196" s="94">
        <f>Sheet1!AA194</f>
        <v>30.3</v>
      </c>
      <c r="BS196" s="94">
        <f>Sheet1!AB194</f>
        <v>56.87</v>
      </c>
      <c r="BT196" s="94">
        <f t="shared" ca="1" si="34"/>
        <v>-0.1250035769384088</v>
      </c>
      <c r="BU196" s="94">
        <f>Sheet1!AT194</f>
        <v>0</v>
      </c>
      <c r="BV196" s="89">
        <f>Sheet1!BB194</f>
        <v>0</v>
      </c>
      <c r="BW196" s="94">
        <f>Calculation!ED196</f>
        <v>17.972595580498073</v>
      </c>
      <c r="BX196" s="94">
        <f>(Sheet1!CS194*1440)/1000000</f>
        <v>0</v>
      </c>
      <c r="CA196" s="94">
        <f ca="1">Sheet1!AC194-Sheet1!BK194-Sheet1!BL194-Sheet1!BM194-Sheet1!BC194-Sheet1!BD194-Sheet1!BE194-Sheet1!BF194-Sheet1!BG194-Sheet1!BH194-Sheet1!BI194+BC196+P196</f>
        <v>69.024996423061609</v>
      </c>
      <c r="CB196" s="93">
        <f t="shared" si="35"/>
        <v>107.04838463696949</v>
      </c>
      <c r="CC196" s="94">
        <f t="shared" si="36"/>
        <v>0</v>
      </c>
      <c r="CD196" s="94">
        <f t="shared" ca="1" si="37"/>
        <v>86.997592003559674</v>
      </c>
      <c r="CE196" s="1077">
        <f t="shared" ca="1" si="38"/>
        <v>134.5852748295068</v>
      </c>
      <c r="CG196" s="1077">
        <f t="shared" ca="1" si="39"/>
        <v>69.024996423061609</v>
      </c>
    </row>
    <row r="197" spans="1:85" s="89" customFormat="1" x14ac:dyDescent="0.25">
      <c r="A197" s="616" t="s">
        <v>6</v>
      </c>
      <c r="B197" s="91">
        <v>42921</v>
      </c>
      <c r="C197" s="92">
        <v>0</v>
      </c>
      <c r="D197" s="94">
        <f>(Sheet1!BQ195-Sheet1!BQ194)*1.385</f>
        <v>-0.60940000000000183</v>
      </c>
      <c r="E197" s="30">
        <f>(Sheet1!BR195-Sheet1!BR194)*1.385</f>
        <v>-0.78945000000000043</v>
      </c>
      <c r="F197" s="30">
        <f ca="1">IF(B197=TODAY(),0,-(VLOOKUP(Sheet1!CD195,Lookup!$I$4:$J$216,2)-VLOOKUP(Sheet1!CD194,Lookup!$I$4:$J$216,2))/1000000)</f>
        <v>1.4509171396691984</v>
      </c>
      <c r="G197" s="94">
        <f ca="1">IF(B197=TODAY(),0,-$G$6*(Sheet1!CF195-Sheet1!CF194)*7.48/1000000)</f>
        <v>-0.3177080084204747</v>
      </c>
      <c r="H197" s="94">
        <f ca="1">IF(B197=TODAY(),0,-$H$6*(Sheet1!CE195-Sheet1!CE194)*7.48/1000000)</f>
        <v>1.5039432351264204E-2</v>
      </c>
      <c r="I197" s="94">
        <f ca="1">IF(B197=TODAY(),0,-$I$6*(Sheet1!CG195-Sheet1!CG194)*7.48/1000000)</f>
        <v>-9.4342248000000031E-2</v>
      </c>
      <c r="J197" s="95" t="s">
        <v>177</v>
      </c>
      <c r="K197" s="94">
        <f ca="1">IF(B197=TODAY(),0,-$K$6*(Sheet1!CH195-Sheet1!CH194)*7.48/1000000)</f>
        <v>-0.1532563686125441</v>
      </c>
      <c r="L197" s="95" t="s">
        <v>177</v>
      </c>
      <c r="M197" s="94">
        <f ca="1">IF(B197=TODAY(),0,-$M$6*(Sheet1!CI195-Sheet1!CI194)*7.48/1000000)</f>
        <v>-0.52175374441278477</v>
      </c>
      <c r="N197" s="94">
        <f ca="1">IF(B197=TODAY(),0,-$N$6*(Sheet1!CJ195-Sheet1!CJ194)*7.48/1000000)</f>
        <v>1.0673003407875303</v>
      </c>
      <c r="O197" s="94">
        <f t="shared" ca="1" si="40"/>
        <v>1.4461965433621895</v>
      </c>
      <c r="P197" s="94">
        <f ca="1">O197+Calculation!ES197</f>
        <v>2.8316916098335652</v>
      </c>
      <c r="Q197" s="89" t="str">
        <f>IF(Sheet1!BQ195&gt;25.75,"spill elevation","-")</f>
        <v>-</v>
      </c>
      <c r="R197" s="89" t="str">
        <f>IF(Sheet1!BQ195&gt;25.75,"spill elevation","-")</f>
        <v>-</v>
      </c>
      <c r="S197" s="89" t="str">
        <f>IF(Sheet1!BR195&gt;25.75,"spill elevation","-")</f>
        <v>-</v>
      </c>
      <c r="T197" s="93">
        <f>IF(Sheet1!DU195=1,Sheet1!AA195-(SUM(AT197:BA197)+BE197),Sheet1!AA195-SUM(AT197:BA197))</f>
        <v>25.792719999999999</v>
      </c>
      <c r="U197" s="93">
        <f>Sheet1!BV195</f>
        <v>32.700000000000003</v>
      </c>
      <c r="V197" s="93">
        <f t="shared" si="41"/>
        <v>-6.9072800000000036</v>
      </c>
      <c r="W197" s="93">
        <f>0</f>
        <v>0</v>
      </c>
      <c r="X197" s="89">
        <f>0</f>
        <v>0</v>
      </c>
      <c r="Y197" s="94">
        <f ca="1">Calculation!EJ198+Calculation!ES197+'Calculations II'!O197-'Calculations II'!W197</f>
        <v>76.443084714371537</v>
      </c>
      <c r="Z197" s="94">
        <f ca="1">Y197-Sheet1!CT196</f>
        <v>60.626084714371537</v>
      </c>
      <c r="AA197" s="94">
        <f ca="1">Y197+Calculation!DJ198+Calculation!AS198</f>
        <v>94.656973603260425</v>
      </c>
      <c r="AC197" s="94">
        <f>Sheet1!AA195+Sheet1!AB195+BC197</f>
        <v>88.5</v>
      </c>
      <c r="AD197" s="94">
        <f>Sheet1!AA195+Sheet1!BN195+'Calculations II'!BC197-Calculation!AS197-Calculation!DJ197</f>
        <v>52.75387603445364</v>
      </c>
      <c r="AE197" s="94">
        <f>Sheet1!AA195+Sheet1!AB195+'Calculations II'!BC197-Calculation!AS197-Calculation!DJ197</f>
        <v>70.553876034453637</v>
      </c>
      <c r="AF197" s="94">
        <f ca="1">Sheet1!AA195+Sheet1!BN195+P197+'Calculations II'!BC197+Calculation!AS197+Calculation!DJ197</f>
        <v>91.477815575379935</v>
      </c>
      <c r="AG197" s="94">
        <f ca="1">IF(B197=TODAY(),0,Sheet1!AA195+Sheet1!BN195+'Calculations II'!BC197+'Calculations II'!P197-Sheet1!CT195-BP197)</f>
        <v>58.111691609833571</v>
      </c>
      <c r="AH197" s="94">
        <f ca="1">IF(B197=TODAY(),0,Sheet1!AA195+Sheet1!BN195+'Calculations II'!BC197+'Calculations II'!P197-BP197)</f>
        <v>73.531691609833572</v>
      </c>
      <c r="AI197" s="94">
        <f ca="1">IF(B197=TODAY(),0,BC197+Sheet1!AA195+Calculation!ES197+O197+W197+Sheet1!BN195+Calculation!AS197+Calculation!DJ197-BP197)</f>
        <v>91.477815575379921</v>
      </c>
      <c r="AJ197" s="94"/>
      <c r="AM197" s="90">
        <f t="shared" si="42"/>
        <v>42921</v>
      </c>
      <c r="AN197" s="94">
        <f>Sheet1!BU195</f>
        <v>26.5</v>
      </c>
      <c r="AO197" s="94">
        <f>Sheet1!AA195</f>
        <v>29.5</v>
      </c>
      <c r="AP197" s="94">
        <f t="shared" si="31"/>
        <v>-1.3988500000000021</v>
      </c>
      <c r="AQ197" s="1087">
        <f>((Sheet1!BV195-(Sheet1!BU195-AP197))/(Sheet1!BU195-AP197))</f>
        <v>0.17209132276061556</v>
      </c>
      <c r="AR197" s="94">
        <f t="shared" si="32"/>
        <v>30.898850000000003</v>
      </c>
      <c r="AS197" s="94">
        <f t="shared" si="33"/>
        <v>27.898850000000003</v>
      </c>
      <c r="AT197" s="89">
        <f>Sheet1!BB195</f>
        <v>0</v>
      </c>
      <c r="AU197" s="89">
        <f>Sheet1!AS195*GPMtoMGD</f>
        <v>4.0896000000000002E-2</v>
      </c>
      <c r="AV197" s="94">
        <f>Sheet1!AT195</f>
        <v>0</v>
      </c>
      <c r="AW197" s="89">
        <f>Sheet1!AV195*GPMtoMGD</f>
        <v>1.5857280000000002</v>
      </c>
      <c r="AX197" s="89">
        <f>Sheet1!AW195*GPMtoMGD</f>
        <v>2.0806560000000003</v>
      </c>
      <c r="AY197" s="89">
        <f>Sheet1!AX195*GPMtoMGD</f>
        <v>0</v>
      </c>
      <c r="AZ197" s="89">
        <f>Sheet1!AY195*GPMtoMGD</f>
        <v>0</v>
      </c>
      <c r="BA197" s="89">
        <f>Sheet1!AZ195*GPMtoMGD</f>
        <v>0</v>
      </c>
      <c r="BB197" s="89">
        <f>Sheet1!BP195*GPMtoMGD</f>
        <v>2.7360000000000002E-3</v>
      </c>
      <c r="BC197" s="89">
        <f>Sheet1!CS195*GPMtoMGD</f>
        <v>0</v>
      </c>
      <c r="BD197" s="89">
        <f>Sheet1!BO195*GPMtoMGD</f>
        <v>4.4975520000000007</v>
      </c>
      <c r="BE197" s="89">
        <f>Sheet1!BW195*GPMtoMGD</f>
        <v>1.7676000000000001</v>
      </c>
      <c r="BF197" s="89">
        <f>Sheet1!CN195*GPMtoMGD</f>
        <v>4.5096480000000003</v>
      </c>
      <c r="BG197" s="89">
        <f>Sheet1!CO195*GPMtoMGD</f>
        <v>1.6453439999999999</v>
      </c>
      <c r="BH197" s="89">
        <f>Sheet1!CP195*GPMtoMGD</f>
        <v>0.92246400000000006</v>
      </c>
      <c r="BI197" s="89">
        <f t="shared" si="43"/>
        <v>4.5002880000000003</v>
      </c>
      <c r="BK197" s="94">
        <f>SUM(AT197:BA197,AS197,BC197,Calculation!AQ197)</f>
        <v>72.660006034453644</v>
      </c>
      <c r="BM197" s="358">
        <f>0</f>
        <v>0</v>
      </c>
      <c r="BN197" s="358">
        <f>0</f>
        <v>0</v>
      </c>
      <c r="BP197" s="94">
        <f>SUM(BM197:BN197,W197,Sheet1!DX195)</f>
        <v>0</v>
      </c>
      <c r="BR197" s="94">
        <f>Sheet1!AA195</f>
        <v>29.5</v>
      </c>
      <c r="BS197" s="94">
        <f>Sheet1!AB195</f>
        <v>59</v>
      </c>
      <c r="BT197" s="94">
        <f t="shared" ca="1" si="34"/>
        <v>2.8316916098335652</v>
      </c>
      <c r="BU197" s="94">
        <f>Sheet1!AT195</f>
        <v>0</v>
      </c>
      <c r="BV197" s="89">
        <f>Sheet1!BB195</f>
        <v>0</v>
      </c>
      <c r="BW197" s="94">
        <f>Calculation!ED197</f>
        <v>17.946123965546359</v>
      </c>
      <c r="BX197" s="94">
        <f>(Sheet1!CS195*1440)/1000000</f>
        <v>0</v>
      </c>
      <c r="CA197" s="94">
        <f ca="1">Sheet1!AC195-Sheet1!BK195-Sheet1!BL195-Sheet1!BM195-Sheet1!BC195-Sheet1!BD195-Sheet1!BE195-Sheet1!BF195-Sheet1!BG195-Sheet1!BH195-Sheet1!BI195+BC197+P197</f>
        <v>73.321691609833579</v>
      </c>
      <c r="CB197" s="93">
        <f t="shared" si="35"/>
        <v>109.14684622529977</v>
      </c>
      <c r="CC197" s="94">
        <f t="shared" si="36"/>
        <v>0</v>
      </c>
      <c r="CD197" s="94">
        <f t="shared" ca="1" si="37"/>
        <v>91.267815575379942</v>
      </c>
      <c r="CE197" s="1077">
        <f t="shared" ca="1" si="38"/>
        <v>141.19131069511278</v>
      </c>
      <c r="CG197" s="1077">
        <f t="shared" ca="1" si="39"/>
        <v>73.321691609833579</v>
      </c>
    </row>
    <row r="198" spans="1:85" s="89" customFormat="1" x14ac:dyDescent="0.25">
      <c r="A198" s="616" t="s">
        <v>7</v>
      </c>
      <c r="B198" s="91">
        <v>42922</v>
      </c>
      <c r="C198" s="92">
        <v>0</v>
      </c>
      <c r="D198" s="94">
        <f>(Sheet1!BQ196-Sheet1!BQ195)*1.385</f>
        <v>-0.88640000000000074</v>
      </c>
      <c r="E198" s="30">
        <f>(Sheet1!BR196-Sheet1!BR195)*1.385</f>
        <v>-0.70635000000000214</v>
      </c>
      <c r="F198" s="30">
        <f ca="1">IF(B198=TODAY(),0,-(VLOOKUP(Sheet1!CD196,Lookup!$I$4:$J$216,2)-VLOOKUP(Sheet1!CD195,Lookup!$I$4:$J$216,2))/1000000)</f>
        <v>0.20727387709559872</v>
      </c>
      <c r="G198" s="94">
        <f ca="1">IF(B198=TODAY(),0,-$G$6*(Sheet1!CF196-Sheet1!CF195)*7.48/1000000)</f>
        <v>-3.9713501052559864E-2</v>
      </c>
      <c r="H198" s="94">
        <f ca="1">IF(B198=TODAY(),0,-$H$6*(Sheet1!CE196-Sheet1!CE195)*7.48/1000000)</f>
        <v>0</v>
      </c>
      <c r="I198" s="94">
        <f ca="1">IF(B198=TODAY(),0,-$I$6*(Sheet1!CG196-Sheet1!CG195)*7.48/1000000)</f>
        <v>-4.4924879999999837E-3</v>
      </c>
      <c r="J198" s="95" t="s">
        <v>177</v>
      </c>
      <c r="K198" s="94">
        <f ca="1">IF(B198=TODAY(),0,-$K$6*(Sheet1!CH196-Sheet1!CH195)*7.48/1000000)</f>
        <v>-1.3326640748916953E-2</v>
      </c>
      <c r="L198" s="95" t="s">
        <v>177</v>
      </c>
      <c r="M198" s="94">
        <f ca="1">IF(B198=TODAY(),0,-$M$6*(Sheet1!CI196-Sheet1!CI195)*7.48/1000000)</f>
        <v>3.5983016856054602E-2</v>
      </c>
      <c r="N198" s="94">
        <f ca="1">IF(B198=TODAY(),0,-$N$6*(Sheet1!CJ196-Sheet1!CJ195)*7.48/1000000)</f>
        <v>-0.19236227072333331</v>
      </c>
      <c r="O198" s="94">
        <f t="shared" ca="1" si="40"/>
        <v>-6.6380065731568016E-3</v>
      </c>
      <c r="P198" s="94">
        <f ca="1">O198+Calculation!ES198</f>
        <v>1.655448460023361</v>
      </c>
      <c r="Q198" s="89" t="str">
        <f>IF(Sheet1!BQ196&gt;25.75,"spill elevation","-")</f>
        <v>-</v>
      </c>
      <c r="R198" s="89" t="str">
        <f>IF(Sheet1!BQ196&gt;25.75,"spill elevation","-")</f>
        <v>-</v>
      </c>
      <c r="S198" s="89" t="str">
        <f>IF(Sheet1!BR196&gt;25.75,"spill elevation","-")</f>
        <v>-</v>
      </c>
      <c r="T198" s="93">
        <f>IF(Sheet1!DU196=1,Sheet1!AA196-(SUM(AT198:BA198)+BE198),Sheet1!AA196-SUM(AT198:BA198))</f>
        <v>23.768079999999998</v>
      </c>
      <c r="U198" s="93">
        <f>Sheet1!BV196</f>
        <v>30.6</v>
      </c>
      <c r="V198" s="93">
        <f t="shared" si="41"/>
        <v>-6.8319200000000038</v>
      </c>
      <c r="W198" s="93">
        <f>0</f>
        <v>0</v>
      </c>
      <c r="X198" s="89">
        <f>0</f>
        <v>0</v>
      </c>
      <c r="Y198" s="94">
        <f ca="1">Calculation!EJ199+Calculation!ES198+'Calculations II'!O198-'Calculations II'!W198</f>
        <v>77.713687487943261</v>
      </c>
      <c r="Z198" s="94">
        <f ca="1">Y198-Sheet1!CT197</f>
        <v>61.627687487943263</v>
      </c>
      <c r="AA198" s="94">
        <f ca="1">Y198+Calculation!DJ199+Calculation!AS199</f>
        <v>96.861044209552205</v>
      </c>
      <c r="AC198" s="94">
        <f>Sheet1!AA196+Sheet1!AB196+BC198</f>
        <v>90.9</v>
      </c>
      <c r="AD198" s="94">
        <f>Sheet1!AA196+Sheet1!BN196+'Calculations II'!BC198-Calculation!AS198-Calculation!DJ198</f>
        <v>54.586111111111109</v>
      </c>
      <c r="AE198" s="94">
        <f>Sheet1!AA196+Sheet1!AB196+'Calculations II'!BC198-Calculation!AS198-Calculation!DJ198</f>
        <v>72.686111111111117</v>
      </c>
      <c r="AF198" s="94">
        <f ca="1">Sheet1!AA196+Sheet1!BN196+P198+'Calculations II'!BC198+Calculation!AS198+Calculation!DJ198</f>
        <v>92.669337348912251</v>
      </c>
      <c r="AG198" s="94">
        <f ca="1">IF(B198=TODAY(),0,Sheet1!AA196+Sheet1!BN196+'Calculations II'!BC198+'Calculations II'!P198-Sheet1!CT196-BP198)</f>
        <v>58.638448460023362</v>
      </c>
      <c r="AH198" s="94">
        <f ca="1">IF(B198=TODAY(),0,Sheet1!AA196+Sheet1!BN196+'Calculations II'!BC198+'Calculations II'!P198-BP198)</f>
        <v>74.455448460023362</v>
      </c>
      <c r="AI198" s="94">
        <f ca="1">IF(B198=TODAY(),0,BC198+Sheet1!AA196+Calculation!ES198+O198+W198+Sheet1!BN196+Calculation!AS198+Calculation!DJ198-BP198)</f>
        <v>92.669337348912251</v>
      </c>
      <c r="AJ198" s="94"/>
      <c r="AM198" s="90">
        <f t="shared" si="42"/>
        <v>42922</v>
      </c>
      <c r="AN198" s="94">
        <f>Sheet1!BU196</f>
        <v>24.7</v>
      </c>
      <c r="AO198" s="94">
        <f>Sheet1!AA196</f>
        <v>27.7</v>
      </c>
      <c r="AP198" s="94">
        <f t="shared" si="31"/>
        <v>-1.5927500000000028</v>
      </c>
      <c r="AQ198" s="1087">
        <f>((Sheet1!BV196-(Sheet1!BU196-AP198))/(Sheet1!BU196-AP198))</f>
        <v>0.16381892346749577</v>
      </c>
      <c r="AR198" s="94">
        <f t="shared" si="32"/>
        <v>29.292750000000002</v>
      </c>
      <c r="AS198" s="94">
        <f t="shared" si="33"/>
        <v>26.292750000000002</v>
      </c>
      <c r="AT198" s="89">
        <f>Sheet1!BB196</f>
        <v>0</v>
      </c>
      <c r="AU198" s="89">
        <f>Sheet1!AS196*GPMtoMGD</f>
        <v>3.8880000000000005E-2</v>
      </c>
      <c r="AV198" s="94">
        <f>Sheet1!AT196</f>
        <v>0</v>
      </c>
      <c r="AW198" s="89">
        <f>Sheet1!AV196*GPMtoMGD</f>
        <v>1.2074400000000001</v>
      </c>
      <c r="AX198" s="89">
        <f>Sheet1!AW196*GPMtoMGD</f>
        <v>2.6856</v>
      </c>
      <c r="AY198" s="89">
        <f>Sheet1!AX196*GPMtoMGD</f>
        <v>0</v>
      </c>
      <c r="AZ198" s="89">
        <f>Sheet1!AY196*GPMtoMGD</f>
        <v>0</v>
      </c>
      <c r="BA198" s="89">
        <f>Sheet1!AZ196*GPMtoMGD</f>
        <v>0</v>
      </c>
      <c r="BB198" s="89">
        <f>Sheet1!BP196*GPMtoMGD</f>
        <v>2.7360000000000002E-3</v>
      </c>
      <c r="BC198" s="89">
        <f>Sheet1!CS196*GPMtoMGD</f>
        <v>0</v>
      </c>
      <c r="BD198" s="89">
        <f>Sheet1!BO196*GPMtoMGD</f>
        <v>3.734064</v>
      </c>
      <c r="BE198" s="89">
        <f>Sheet1!BW196*GPMtoMGD</f>
        <v>1.8174239999999999</v>
      </c>
      <c r="BF198" s="89">
        <f>Sheet1!CN196*GPMtoMGD</f>
        <v>4.465872000000001</v>
      </c>
      <c r="BG198" s="89">
        <f>Sheet1!CO196*GPMtoMGD</f>
        <v>1.6735680000000002</v>
      </c>
      <c r="BH198" s="89">
        <f>Sheet1!CP196*GPMtoMGD</f>
        <v>0.91742400000000013</v>
      </c>
      <c r="BI198" s="89">
        <f t="shared" si="43"/>
        <v>3.7368000000000001</v>
      </c>
      <c r="BK198" s="94">
        <f>SUM(AT198:BA198,AS198,BC198,Calculation!AQ198)</f>
        <v>75.210781111111118</v>
      </c>
      <c r="BM198" s="358">
        <f>0</f>
        <v>0</v>
      </c>
      <c r="BN198" s="358">
        <f>0</f>
        <v>0</v>
      </c>
      <c r="BP198" s="94">
        <f>SUM(BM198:BN198,W198,Sheet1!DX196)</f>
        <v>0</v>
      </c>
      <c r="BR198" s="94">
        <f>Sheet1!AA196</f>
        <v>27.7</v>
      </c>
      <c r="BS198" s="94">
        <f>Sheet1!AB196</f>
        <v>63.2</v>
      </c>
      <c r="BT198" s="94">
        <f t="shared" ca="1" si="34"/>
        <v>1.655448460023361</v>
      </c>
      <c r="BU198" s="94">
        <f>Sheet1!AT196</f>
        <v>0</v>
      </c>
      <c r="BV198" s="89">
        <f>Sheet1!BB196</f>
        <v>0</v>
      </c>
      <c r="BW198" s="94">
        <f>Calculation!ED198</f>
        <v>18.213888888888889</v>
      </c>
      <c r="BX198" s="94">
        <f>(Sheet1!CS196*1440)/1000000</f>
        <v>0</v>
      </c>
      <c r="CA198" s="94">
        <f ca="1">Sheet1!AC196-Sheet1!BK196-Sheet1!BL196-Sheet1!BM196-Sheet1!BC196-Sheet1!BD196-Sheet1!BE196-Sheet1!BF196-Sheet1!BG196-Sheet1!BH196-Sheet1!BI196+BC198+P198</f>
        <v>74.29544846002338</v>
      </c>
      <c r="CB198" s="93">
        <f t="shared" si="35"/>
        <v>112.44541388888889</v>
      </c>
      <c r="CC198" s="94">
        <f t="shared" si="36"/>
        <v>0</v>
      </c>
      <c r="CD198" s="94">
        <f t="shared" ca="1" si="37"/>
        <v>92.509337348912268</v>
      </c>
      <c r="CE198" s="1077">
        <f t="shared" ca="1" si="38"/>
        <v>143.11194487876728</v>
      </c>
      <c r="CG198" s="1077">
        <f t="shared" ca="1" si="39"/>
        <v>74.29544846002338</v>
      </c>
    </row>
    <row r="199" spans="1:85" s="89" customFormat="1" x14ac:dyDescent="0.25">
      <c r="A199" s="616" t="s">
        <v>8</v>
      </c>
      <c r="B199" s="91">
        <v>42923</v>
      </c>
      <c r="C199" s="92">
        <v>0</v>
      </c>
      <c r="D199" s="94">
        <f>(Sheet1!BQ197-Sheet1!BQ196)*1.385</f>
        <v>0.55400000000000293</v>
      </c>
      <c r="E199" s="30">
        <f>(Sheet1!BR197-Sheet1!BR196)*1.385</f>
        <v>0.55399999999999805</v>
      </c>
      <c r="F199" s="30">
        <f ca="1">IF(B199=TODAY(),0,-(VLOOKUP(Sheet1!CD197,Lookup!$I$4:$J$216,2)-VLOOKUP(Sheet1!CD196,Lookup!$I$4:$J$216,2))/1000000)</f>
        <v>-0.62182163128679613</v>
      </c>
      <c r="G199" s="94">
        <f ca="1">IF(B199=TODAY(),0,-$G$6*(Sheet1!CF197-Sheet1!CF196)*7.48/1000000)</f>
        <v>0.63541601684094939</v>
      </c>
      <c r="H199" s="94">
        <f ca="1">IF(B199=TODAY(),0,-$H$6*(Sheet1!CE197-Sheet1!CE196)*7.48/1000000)</f>
        <v>0</v>
      </c>
      <c r="I199" s="94">
        <f ca="1">IF(B199=TODAY(),0,-$I$6*(Sheet1!CG197-Sheet1!CG196)*7.48/1000000)</f>
        <v>1.3477464000000033E-2</v>
      </c>
      <c r="J199" s="95" t="s">
        <v>177</v>
      </c>
      <c r="K199" s="94">
        <f ca="1">IF(B199=TODAY(),0,-$K$6*(Sheet1!CH197-Sheet1!CH196)*7.48/1000000)</f>
        <v>1.9989961123375376E-2</v>
      </c>
      <c r="L199" s="95" t="s">
        <v>177</v>
      </c>
      <c r="M199" s="94">
        <f ca="1">IF(B199=TODAY(),0,-$M$6*(Sheet1!CI197-Sheet1!CI196)*7.48/1000000)</f>
        <v>8.9957542140135238E-2</v>
      </c>
      <c r="N199" s="94">
        <f ca="1">IF(B199=TODAY(),0,-$N$6*(Sheet1!CJ197-Sheet1!CJ196)*7.48/1000000)</f>
        <v>-0.35990360328881865</v>
      </c>
      <c r="O199" s="94">
        <f t="shared" ca="1" si="40"/>
        <v>-0.22288425047115473</v>
      </c>
      <c r="P199" s="94">
        <f ca="1">O199+Calculation!ES199</f>
        <v>-1.3309162608289331</v>
      </c>
      <c r="Q199" s="89" t="str">
        <f>IF(Sheet1!BQ197&gt;25.75,"spill elevation","-")</f>
        <v>-</v>
      </c>
      <c r="R199" s="89" t="str">
        <f>IF(Sheet1!BQ197&gt;25.75,"spill elevation","-")</f>
        <v>-</v>
      </c>
      <c r="S199" s="89" t="str">
        <f>IF(Sheet1!BR197&gt;25.75,"spill elevation","-")</f>
        <v>-</v>
      </c>
      <c r="T199" s="93">
        <f>IF(Sheet1!DU197=1,Sheet1!AA197-(SUM(AT199:BA199)+BE199),Sheet1!AA197-SUM(AT199:BA199))</f>
        <v>24.561520000000002</v>
      </c>
      <c r="U199" s="93">
        <f>Sheet1!BV197</f>
        <v>28.4</v>
      </c>
      <c r="V199" s="93">
        <f t="shared" si="41"/>
        <v>-3.838479999999997</v>
      </c>
      <c r="W199" s="93">
        <f>0</f>
        <v>0</v>
      </c>
      <c r="X199" s="89">
        <f>0</f>
        <v>0</v>
      </c>
      <c r="Y199" s="94">
        <f ca="1">Calculation!EJ200+Calculation!ES199+'Calculations II'!O199-'Calculations II'!W199</f>
        <v>73.124005465875783</v>
      </c>
      <c r="Z199" s="94">
        <f ca="1">Y199-Sheet1!CT198</f>
        <v>57.197005465875783</v>
      </c>
      <c r="AA199" s="94">
        <f ca="1">Y199+Calculation!DJ200+Calculation!AS200</f>
        <v>92.883833183515662</v>
      </c>
      <c r="AC199" s="94">
        <f>Sheet1!AA197+Sheet1!AB197+BC199</f>
        <v>94.789999999999992</v>
      </c>
      <c r="AD199" s="94">
        <f>Sheet1!AA197+Sheet1!BN197+'Calculations II'!BC199-Calculation!AS199-Calculation!DJ199</f>
        <v>56.452643278391044</v>
      </c>
      <c r="AE199" s="94">
        <f>Sheet1!AA197+Sheet1!AB197+'Calculations II'!BC199-Calculation!AS199-Calculation!DJ199</f>
        <v>75.642643278391034</v>
      </c>
      <c r="AF199" s="94">
        <f ca="1">Sheet1!AA197+Sheet1!BN197+P199+'Calculations II'!BC199+Calculation!AS199+Calculation!DJ199</f>
        <v>93.416440460780024</v>
      </c>
      <c r="AG199" s="94">
        <f ca="1">IF(B199=TODAY(),0,Sheet1!AA197+Sheet1!BN197+'Calculations II'!BC199+'Calculations II'!P199-Sheet1!CT197-BP199)</f>
        <v>58.183083739171067</v>
      </c>
      <c r="AH199" s="94">
        <f ca="1">IF(B199=TODAY(),0,Sheet1!AA197+Sheet1!BN197+'Calculations II'!BC199+'Calculations II'!P199-BP199)</f>
        <v>74.269083739171066</v>
      </c>
      <c r="AI199" s="94">
        <f ca="1">IF(B199=TODAY(),0,BC199+Sheet1!AA197+Calculation!ES199+O199+W199+Sheet1!BN197+Calculation!AS199+Calculation!DJ199-BP199)</f>
        <v>93.416440460780024</v>
      </c>
      <c r="AJ199" s="94"/>
      <c r="AM199" s="90">
        <f t="shared" si="42"/>
        <v>42923</v>
      </c>
      <c r="AN199" s="94">
        <f>Sheet1!BU197</f>
        <v>25.2</v>
      </c>
      <c r="AO199" s="94">
        <f>Sheet1!AA197</f>
        <v>28.6</v>
      </c>
      <c r="AP199" s="94">
        <f t="shared" si="31"/>
        <v>1.108000000000001</v>
      </c>
      <c r="AQ199" s="1087">
        <f>((Sheet1!BV197-(Sheet1!BU197-AP199))/(Sheet1!BU197-AP199))</f>
        <v>0.17881454424705295</v>
      </c>
      <c r="AR199" s="94">
        <f t="shared" si="32"/>
        <v>27.492000000000001</v>
      </c>
      <c r="AS199" s="94">
        <f t="shared" si="33"/>
        <v>24.091999999999999</v>
      </c>
      <c r="AT199" s="89">
        <f>Sheet1!BB197</f>
        <v>0</v>
      </c>
      <c r="AU199" s="89">
        <f>Sheet1!AS197*GPMtoMGD</f>
        <v>2.7504000000000004E-2</v>
      </c>
      <c r="AV199" s="94">
        <f>Sheet1!AT197</f>
        <v>0</v>
      </c>
      <c r="AW199" s="89">
        <f>Sheet1!AV197*GPMtoMGD</f>
        <v>1.2091680000000002</v>
      </c>
      <c r="AX199" s="89">
        <f>Sheet1!AW197*GPMtoMGD</f>
        <v>2.8018080000000003</v>
      </c>
      <c r="AY199" s="89">
        <f>Sheet1!AX197*GPMtoMGD</f>
        <v>0</v>
      </c>
      <c r="AZ199" s="89">
        <f>Sheet1!AY197*GPMtoMGD</f>
        <v>0</v>
      </c>
      <c r="BA199" s="89">
        <f>Sheet1!AZ197*GPMtoMGD</f>
        <v>0</v>
      </c>
      <c r="BB199" s="89">
        <f>Sheet1!BP197*GPMtoMGD</f>
        <v>2.8800000000000002E-3</v>
      </c>
      <c r="BC199" s="89">
        <f>Sheet1!CS197*GPMtoMGD</f>
        <v>0</v>
      </c>
      <c r="BD199" s="89">
        <f>Sheet1!BO197*GPMtoMGD</f>
        <v>3.6489600000000002</v>
      </c>
      <c r="BE199" s="89">
        <f>Sheet1!BW197*GPMtoMGD</f>
        <v>1.7200800000000001</v>
      </c>
      <c r="BF199" s="89">
        <f>Sheet1!CN197*GPMtoMGD</f>
        <v>4.5689760000000001</v>
      </c>
      <c r="BG199" s="89">
        <f>Sheet1!CO197*GPMtoMGD</f>
        <v>1.5622560000000003</v>
      </c>
      <c r="BH199" s="89">
        <f>Sheet1!CP197*GPMtoMGD</f>
        <v>0.93268800000000007</v>
      </c>
      <c r="BI199" s="89">
        <f t="shared" si="43"/>
        <v>3.6518400000000004</v>
      </c>
      <c r="BK199" s="94">
        <f>SUM(AT199:BA199,AS199,BC199,Calculation!AQ199)</f>
        <v>75.173123278391046</v>
      </c>
      <c r="BM199" s="358">
        <f>0</f>
        <v>0</v>
      </c>
      <c r="BN199" s="358">
        <f>0</f>
        <v>0</v>
      </c>
      <c r="BP199" s="94">
        <f>SUM(BM199:BN199,W199,Sheet1!DX197)</f>
        <v>0</v>
      </c>
      <c r="BR199" s="94">
        <f>Sheet1!AA197</f>
        <v>28.6</v>
      </c>
      <c r="BS199" s="94">
        <f>Sheet1!AB197</f>
        <v>66.19</v>
      </c>
      <c r="BT199" s="94">
        <f t="shared" ca="1" si="34"/>
        <v>-1.3309162608289331</v>
      </c>
      <c r="BU199" s="94">
        <f>Sheet1!AT197</f>
        <v>0</v>
      </c>
      <c r="BV199" s="89">
        <f>Sheet1!BB197</f>
        <v>0</v>
      </c>
      <c r="BW199" s="94">
        <f>Calculation!ED199</f>
        <v>19.147356721608954</v>
      </c>
      <c r="BX199" s="94">
        <f>(Sheet1!CS197*1440)/1000000</f>
        <v>0</v>
      </c>
      <c r="CA199" s="94">
        <f ca="1">Sheet1!AC197-Sheet1!BK197-Sheet1!BL197-Sheet1!BM197-Sheet1!BC197-Sheet1!BD197-Sheet1!BE197-Sheet1!BF197-Sheet1!BG197-Sheet1!BH197-Sheet1!BI197+BC199+P199</f>
        <v>74.329083739171068</v>
      </c>
      <c r="CB199" s="93">
        <f t="shared" si="35"/>
        <v>117.01916915167092</v>
      </c>
      <c r="CC199" s="94">
        <f t="shared" si="36"/>
        <v>0</v>
      </c>
      <c r="CD199" s="94">
        <f t="shared" ca="1" si="37"/>
        <v>93.476440460780026</v>
      </c>
      <c r="CE199" s="1077">
        <f t="shared" ca="1" si="38"/>
        <v>144.60805339282669</v>
      </c>
      <c r="CG199" s="1077">
        <f t="shared" ca="1" si="39"/>
        <v>74.329083739171068</v>
      </c>
    </row>
    <row r="200" spans="1:85" s="89" customFormat="1" x14ac:dyDescent="0.25">
      <c r="A200" s="616" t="s">
        <v>9</v>
      </c>
      <c r="B200" s="91">
        <v>42924</v>
      </c>
      <c r="C200" s="92">
        <v>0</v>
      </c>
      <c r="D200" s="94">
        <f>(Sheet1!BQ198-Sheet1!BQ197)*1.385</f>
        <v>-0.48475000000000196</v>
      </c>
      <c r="E200" s="30">
        <f>(Sheet1!BR198-Sheet1!BR197)*1.385</f>
        <v>-0.48474999999999707</v>
      </c>
      <c r="F200" s="30">
        <f ca="1">IF(B200=TODAY(),0,-(VLOOKUP(Sheet1!CD198,Lookup!$I$4:$J$216,2)-VLOOKUP(Sheet1!CD197,Lookup!$I$4:$J$216,2))/1000000)</f>
        <v>-0.725458569834603</v>
      </c>
      <c r="G200" s="94">
        <f ca="1">IF(B200=TODAY(),0,-$G$6*(Sheet1!CF198-Sheet1!CF197)*7.48/1000000)</f>
        <v>-0.87369702315630426</v>
      </c>
      <c r="H200" s="94">
        <f ca="1">IF(B200=TODAY(),0,-$H$6*(Sheet1!CE198-Sheet1!CE197)*7.48/1000000)</f>
        <v>0</v>
      </c>
      <c r="I200" s="94">
        <f ca="1">IF(B200=TODAY(),0,-$I$6*(Sheet1!CG198-Sheet1!CG197)*7.48/1000000)</f>
        <v>1.7969951999999935E-2</v>
      </c>
      <c r="J200" s="95" t="s">
        <v>177</v>
      </c>
      <c r="K200" s="94">
        <f ca="1">IF(B200=TODAY(),0,-$K$6*(Sheet1!CH198-Sheet1!CH197)*7.48/1000000)</f>
        <v>3.3316601872292212E-2</v>
      </c>
      <c r="L200" s="95" t="s">
        <v>177</v>
      </c>
      <c r="M200" s="94">
        <f ca="1">IF(B200=TODAY(),0,-$M$6*(Sheet1!CI198-Sheet1!CI197)*7.48/1000000)</f>
        <v>0.10794905056816191</v>
      </c>
      <c r="N200" s="94">
        <f ca="1">IF(B200=TODAY(),0,-$N$6*(Sheet1!CJ198-Sheet1!CJ197)*7.48/1000000)</f>
        <v>-0.1737465671049476</v>
      </c>
      <c r="O200" s="94">
        <f t="shared" ca="1" si="40"/>
        <v>-1.6136665556554008</v>
      </c>
      <c r="P200" s="94">
        <f ca="1">O200+Calculation!ES200</f>
        <v>-0.78262332191375239</v>
      </c>
      <c r="Q200" s="89" t="str">
        <f>IF(Sheet1!BQ198&gt;25.75,"spill elevation","-")</f>
        <v>-</v>
      </c>
      <c r="R200" s="89" t="str">
        <f>IF(Sheet1!BQ198&gt;25.75,"spill elevation","-")</f>
        <v>-</v>
      </c>
      <c r="S200" s="89" t="str">
        <f>IF(Sheet1!BR198&gt;25.75,"spill elevation","-")</f>
        <v>-</v>
      </c>
      <c r="T200" s="93">
        <f>IF(Sheet1!DU198=1,Sheet1!AA198-(SUM(AT200:BA200)+BE200),Sheet1!AA198-SUM(AT200:BA200))</f>
        <v>25.061584</v>
      </c>
      <c r="U200" s="93">
        <f>Sheet1!BV198</f>
        <v>31.9</v>
      </c>
      <c r="V200" s="93">
        <f t="shared" si="41"/>
        <v>-6.8384159999999987</v>
      </c>
      <c r="W200" s="93">
        <f>0</f>
        <v>0</v>
      </c>
      <c r="X200" s="89">
        <f>0</f>
        <v>0</v>
      </c>
      <c r="Y200" s="94">
        <f ca="1">Calculation!EJ201+Calculation!ES200+'Calculations II'!O200-'Calculations II'!W200</f>
        <v>75.1095940730508</v>
      </c>
      <c r="Z200" s="94">
        <f ca="1">Y200-Sheet1!CT199</f>
        <v>59.138594073050797</v>
      </c>
      <c r="AA200" s="94">
        <f ca="1">Y200+Calculation!DJ201+Calculation!AS201</f>
        <v>95.050505234782008</v>
      </c>
      <c r="AC200" s="94">
        <f>Sheet1!AA198+Sheet1!AB198+BC200</f>
        <v>94.69</v>
      </c>
      <c r="AD200" s="94">
        <f>Sheet1!AA198+Sheet1!BN198+'Calculations II'!BC200-Calculation!AS200-Calculation!DJ200</f>
        <v>55.24017228236012</v>
      </c>
      <c r="AE200" s="94">
        <f>Sheet1!AA198+Sheet1!AB198+'Calculations II'!BC200-Calculation!AS200-Calculation!DJ200</f>
        <v>74.930172282360118</v>
      </c>
      <c r="AF200" s="94">
        <f ca="1">Sheet1!AA198+Sheet1!BN198+P200+'Calculations II'!BC200+Calculation!AS200+Calculation!DJ200</f>
        <v>93.977204395726133</v>
      </c>
      <c r="AG200" s="94">
        <f ca="1">IF(B200=TODAY(),0,Sheet1!AA198+Sheet1!BN198+'Calculations II'!BC200+'Calculations II'!P200-Sheet1!CT198-BP200)</f>
        <v>58.290376678086254</v>
      </c>
      <c r="AH200" s="94">
        <f ca="1">IF(B200=TODAY(),0,Sheet1!AA198+Sheet1!BN198+'Calculations II'!BC200+'Calculations II'!P200-BP200)</f>
        <v>74.217376678086254</v>
      </c>
      <c r="AI200" s="94">
        <f ca="1">IF(B200=TODAY(),0,BC200+Sheet1!AA198+Calculation!ES200+O200+W200+Sheet1!BN198+Calculation!AS200+Calculation!DJ200-BP200)</f>
        <v>93.977204395726133</v>
      </c>
      <c r="AJ200" s="94"/>
      <c r="AM200" s="90">
        <f t="shared" si="42"/>
        <v>42924</v>
      </c>
      <c r="AN200" s="94">
        <f>Sheet1!BU198</f>
        <v>26.2</v>
      </c>
      <c r="AO200" s="94">
        <f>Sheet1!AA198</f>
        <v>29.2</v>
      </c>
      <c r="AP200" s="94">
        <f t="shared" si="31"/>
        <v>-0.96949999999999903</v>
      </c>
      <c r="AQ200" s="1087">
        <f>((Sheet1!BV198-(Sheet1!BU198-AP200))/(Sheet1!BU198-AP200))</f>
        <v>0.17411067557371315</v>
      </c>
      <c r="AR200" s="94">
        <f t="shared" si="32"/>
        <v>30.169499999999999</v>
      </c>
      <c r="AS200" s="94">
        <f>AN200-AP200</f>
        <v>27.169499999999999</v>
      </c>
      <c r="AT200" s="89">
        <f>Sheet1!BB198</f>
        <v>0</v>
      </c>
      <c r="AU200" s="89">
        <f>Sheet1!AS198*GPMtoMGD</f>
        <v>3.4272000000000004E-2</v>
      </c>
      <c r="AV200" s="94">
        <f>Sheet1!AT198</f>
        <v>0</v>
      </c>
      <c r="AW200" s="89">
        <f>Sheet1!AV198*GPMtoMGD</f>
        <v>1.0787040000000001</v>
      </c>
      <c r="AX200" s="89">
        <f>Sheet1!AW198*GPMtoMGD</f>
        <v>3.0254400000000001</v>
      </c>
      <c r="AY200" s="89">
        <f>Sheet1!AX198*GPMtoMGD</f>
        <v>0</v>
      </c>
      <c r="AZ200" s="89">
        <f>Sheet1!AY198*GPMtoMGD</f>
        <v>0</v>
      </c>
      <c r="BA200" s="89">
        <f>Sheet1!AZ198*GPMtoMGD</f>
        <v>0</v>
      </c>
      <c r="BB200" s="89">
        <f>Sheet1!BP198*GPMtoMGD</f>
        <v>0</v>
      </c>
      <c r="BC200" s="89">
        <f>Sheet1!CS198*GPMtoMGD</f>
        <v>0</v>
      </c>
      <c r="BD200" s="89">
        <f>Sheet1!BO198*GPMtoMGD</f>
        <v>3.8125439999999999</v>
      </c>
      <c r="BE200" s="89">
        <f>Sheet1!BW198*GPMtoMGD</f>
        <v>2.030688</v>
      </c>
      <c r="BF200" s="89">
        <f>Sheet1!CN198*GPMtoMGD</f>
        <v>4.9819680000000002</v>
      </c>
      <c r="BG200" s="89">
        <f>Sheet1!CO198*GPMtoMGD</f>
        <v>1.715184</v>
      </c>
      <c r="BH200" s="89">
        <f>Sheet1!CP198*GPMtoMGD</f>
        <v>0.90057600000000004</v>
      </c>
      <c r="BI200" s="89">
        <f t="shared" si="43"/>
        <v>3.8125439999999999</v>
      </c>
      <c r="BK200" s="94">
        <f>SUM(AT200:BA200,AS200,BC200,Calculation!AQ200)</f>
        <v>77.038088282360107</v>
      </c>
      <c r="BM200" s="358">
        <f>0</f>
        <v>0</v>
      </c>
      <c r="BN200" s="358">
        <f>0</f>
        <v>0</v>
      </c>
      <c r="BP200" s="94">
        <f>SUM(BM200:BN200,W200,Sheet1!DX198)</f>
        <v>0</v>
      </c>
      <c r="BR200" s="94">
        <f>Sheet1!AA198</f>
        <v>29.2</v>
      </c>
      <c r="BS200" s="94">
        <f>Sheet1!AB198</f>
        <v>65.489999999999995</v>
      </c>
      <c r="BT200" s="94">
        <f t="shared" ca="1" si="34"/>
        <v>-0.78262332191375239</v>
      </c>
      <c r="BU200" s="94">
        <f>Sheet1!AT198</f>
        <v>0</v>
      </c>
      <c r="BV200" s="89">
        <f>Sheet1!BB198</f>
        <v>0</v>
      </c>
      <c r="BW200" s="94">
        <f>Calculation!ED200</f>
        <v>19.759827717639883</v>
      </c>
      <c r="BX200" s="94">
        <f>(Sheet1!CS198*1440)/1000000</f>
        <v>0</v>
      </c>
      <c r="CA200" s="94">
        <f ca="1">Sheet1!AC198-Sheet1!BK198-Sheet1!BL198-Sheet1!BM198-Sheet1!BC198-Sheet1!BD198-Sheet1!BE198-Sheet1!BF198-Sheet1!BG198-Sheet1!BH198-Sheet1!BI198+BC200+P200</f>
        <v>74.117376678086259</v>
      </c>
      <c r="CB200" s="93">
        <f t="shared" si="35"/>
        <v>115.9169765208111</v>
      </c>
      <c r="CC200" s="94">
        <f t="shared" si="36"/>
        <v>0</v>
      </c>
      <c r="CD200" s="94">
        <f t="shared" ca="1" si="37"/>
        <v>93.877204395726139</v>
      </c>
      <c r="CE200" s="1077">
        <f t="shared" ca="1" si="38"/>
        <v>145.22803520018834</v>
      </c>
      <c r="CG200" s="1077">
        <f t="shared" ca="1" si="39"/>
        <v>74.117376678086259</v>
      </c>
    </row>
    <row r="201" spans="1:85" s="89" customFormat="1" x14ac:dyDescent="0.25">
      <c r="A201" s="616" t="s">
        <v>3</v>
      </c>
      <c r="B201" s="91">
        <v>42925</v>
      </c>
      <c r="C201" s="92">
        <v>0</v>
      </c>
      <c r="D201" s="94">
        <f>(Sheet1!BQ199-Sheet1!BQ198)*1.385</f>
        <v>-0.15234999999999921</v>
      </c>
      <c r="E201" s="30">
        <f>(Sheet1!BR199-Sheet1!BR198)*1.385</f>
        <v>-0.13850000000000198</v>
      </c>
      <c r="F201" s="30">
        <f ca="1">IF(B201=TODAY(),0,-(VLOOKUP(Sheet1!CD199,Lookup!$I$4:$J$216,2)-VLOOKUP(Sheet1!CD198,Lookup!$I$4:$J$216,2))/1000000)</f>
        <v>0.20727387709559872</v>
      </c>
      <c r="G201" s="94">
        <f ca="1">IF(B201=TODAY(),0,-$G$6*(Sheet1!CF199-Sheet1!CF198)*7.48/1000000)</f>
        <v>-0.23828100631535634</v>
      </c>
      <c r="H201" s="94">
        <f ca="1">IF(B201=TODAY(),0,-$H$6*(Sheet1!CE199-Sheet1!CE198)*7.48/1000000)</f>
        <v>0</v>
      </c>
      <c r="I201" s="94">
        <f ca="1">IF(B201=TODAY(),0,-$I$6*(Sheet1!CG199-Sheet1!CG198)*7.48/1000000)</f>
        <v>1.2129717600000062E-2</v>
      </c>
      <c r="J201" s="95" t="s">
        <v>177</v>
      </c>
      <c r="K201" s="94">
        <f ca="1">IF(B201=TODAY(),0,-$K$6*(Sheet1!CH199-Sheet1!CH198)*7.48/1000000)</f>
        <v>1.9989961123375376E-2</v>
      </c>
      <c r="L201" s="95" t="s">
        <v>177</v>
      </c>
      <c r="M201" s="94">
        <f ca="1">IF(B201=TODAY(),0,-$M$6*(Sheet1!CI199-Sheet1!CI198)*7.48/1000000)</f>
        <v>5.3974525284081275E-2</v>
      </c>
      <c r="N201" s="94">
        <f ca="1">IF(B201=TODAY(),0,-$N$6*(Sheet1!CJ199-Sheet1!CJ198)*7.48/1000000)</f>
        <v>-9.3078518091934973E-2</v>
      </c>
      <c r="O201" s="94">
        <f t="shared" ca="1" si="40"/>
        <v>-3.7991443304235886E-2</v>
      </c>
      <c r="P201" s="94">
        <f ca="1">O201+Calculation!ES201</f>
        <v>0.23899733331189416</v>
      </c>
      <c r="Q201" s="89" t="str">
        <f>IF(Sheet1!BQ199&gt;25.75,"spill elevation","-")</f>
        <v>-</v>
      </c>
      <c r="R201" s="89" t="str">
        <f>IF(Sheet1!BQ199&gt;25.75,"spill elevation","-")</f>
        <v>-</v>
      </c>
      <c r="S201" s="89" t="str">
        <f>IF(Sheet1!BR199&gt;25.75,"spill elevation","-")</f>
        <v>-</v>
      </c>
      <c r="T201" s="93">
        <f>IF(Sheet1!DU199=1,Sheet1!AA199-(SUM(AT201:BA201)+BE201),Sheet1!AA199-SUM(AT201:BA201))</f>
        <v>24.74888</v>
      </c>
      <c r="U201" s="93">
        <f>Sheet1!BV199</f>
        <v>30.3</v>
      </c>
      <c r="V201" s="93">
        <f t="shared" si="41"/>
        <v>-5.5511200000000009</v>
      </c>
      <c r="W201" s="93">
        <f>0</f>
        <v>0</v>
      </c>
      <c r="X201" s="89">
        <f>0</f>
        <v>0</v>
      </c>
      <c r="Y201" s="94">
        <f ca="1">Calculation!EJ202+Calculation!ES201+'Calculations II'!O201-'Calculations II'!W201</f>
        <v>78.238423784665443</v>
      </c>
      <c r="Z201" s="94">
        <f ca="1">Y201-Sheet1!CT200</f>
        <v>62.165423784665442</v>
      </c>
      <c r="AA201" s="94">
        <f ca="1">Y201+Calculation!DJ202+Calculation!AS202</f>
        <v>98.009409998875412</v>
      </c>
      <c r="AC201" s="94">
        <f>Sheet1!AA199+Sheet1!AB199+BC201</f>
        <v>95.11999999999999</v>
      </c>
      <c r="AD201" s="94">
        <f>Sheet1!AA199+Sheet1!BN199+'Calculations II'!BC201-Calculation!AS201-Calculation!DJ201</f>
        <v>55.259088838268795</v>
      </c>
      <c r="AE201" s="94">
        <f>Sheet1!AA199+Sheet1!AB199+'Calculations II'!BC201-Calculation!AS201-Calculation!DJ201</f>
        <v>75.179088838268783</v>
      </c>
      <c r="AF201" s="94">
        <f ca="1">Sheet1!AA199+Sheet1!BN199+P201+'Calculations II'!BC201+Calculation!AS201+Calculation!DJ201</f>
        <v>95.379908495043111</v>
      </c>
      <c r="AG201" s="94">
        <f ca="1">IF(B201=TODAY(),0,Sheet1!AA199+Sheet1!BN199+'Calculations II'!BC201+'Calculations II'!P201-Sheet1!CT199-BP201)</f>
        <v>59.467997333311899</v>
      </c>
      <c r="AH201" s="94">
        <f ca="1">IF(B201=TODAY(),0,Sheet1!AA199+Sheet1!BN199+'Calculations II'!BC201+'Calculations II'!P201-BP201)</f>
        <v>75.438997333311903</v>
      </c>
      <c r="AI201" s="94">
        <f ca="1">IF(B201=TODAY(),0,BC201+Sheet1!AA199+Calculation!ES201+O201+W201+Sheet1!BN199+Calculation!AS201+Calculation!DJ201-BP201)</f>
        <v>95.379908495043097</v>
      </c>
      <c r="AJ201" s="94"/>
      <c r="AM201" s="90">
        <f t="shared" si="42"/>
        <v>42925</v>
      </c>
      <c r="AN201" s="94">
        <f>Sheet1!BU199</f>
        <v>25.5</v>
      </c>
      <c r="AO201" s="94">
        <f>Sheet1!AA199</f>
        <v>29.3</v>
      </c>
      <c r="AP201" s="94">
        <f t="shared" si="31"/>
        <v>-0.29085000000000116</v>
      </c>
      <c r="AQ201" s="1087">
        <f>((Sheet1!BV199-(Sheet1!BU199-AP201))/(Sheet1!BU199-AP201))</f>
        <v>0.1748352613426854</v>
      </c>
      <c r="AR201" s="94">
        <f t="shared" si="32"/>
        <v>29.590850000000003</v>
      </c>
      <c r="AS201" s="94">
        <f t="shared" si="33"/>
        <v>25.790850000000002</v>
      </c>
      <c r="AT201" s="89">
        <f>Sheet1!BB199</f>
        <v>0</v>
      </c>
      <c r="AU201" s="89">
        <f>Sheet1!AS199*GPMtoMGD</f>
        <v>4.4064000000000006E-2</v>
      </c>
      <c r="AV201" s="94">
        <f>Sheet1!AT199</f>
        <v>0</v>
      </c>
      <c r="AW201" s="89">
        <f>Sheet1!AV199*GPMtoMGD</f>
        <v>1.598544</v>
      </c>
      <c r="AX201" s="89">
        <f>Sheet1!AW199*GPMtoMGD</f>
        <v>2.908512</v>
      </c>
      <c r="AY201" s="89">
        <f>Sheet1!AX199*GPMtoMGD</f>
        <v>0</v>
      </c>
      <c r="AZ201" s="89">
        <f>Sheet1!AY199*GPMtoMGD</f>
        <v>0</v>
      </c>
      <c r="BA201" s="89">
        <f>Sheet1!AZ199*GPMtoMGD</f>
        <v>0</v>
      </c>
      <c r="BB201" s="89">
        <f>Sheet1!BP199*GPMtoMGD</f>
        <v>0</v>
      </c>
      <c r="BC201" s="89">
        <f>Sheet1!CS199*GPMtoMGD</f>
        <v>0</v>
      </c>
      <c r="BD201" s="89">
        <f>Sheet1!BO199*GPMtoMGD</f>
        <v>3.9719520000000004</v>
      </c>
      <c r="BE201" s="89">
        <f>Sheet1!BW199*GPMtoMGD</f>
        <v>1.8773280000000001</v>
      </c>
      <c r="BF201" s="89">
        <f>Sheet1!CN199*GPMtoMGD</f>
        <v>5.0916960000000007</v>
      </c>
      <c r="BG201" s="89">
        <f>Sheet1!CO199*GPMtoMGD</f>
        <v>1.6934400000000001</v>
      </c>
      <c r="BH201" s="89">
        <f>Sheet1!CP199*GPMtoMGD</f>
        <v>0.955152</v>
      </c>
      <c r="BI201" s="89">
        <f t="shared" si="43"/>
        <v>3.9719520000000004</v>
      </c>
      <c r="BK201" s="94">
        <f>SUM(AT201:BA201,AS201,BC201,Calculation!AQ201)</f>
        <v>76.221058838268789</v>
      </c>
      <c r="BM201" s="358">
        <f>0</f>
        <v>0</v>
      </c>
      <c r="BN201" s="358">
        <f>0</f>
        <v>0</v>
      </c>
      <c r="BP201" s="94">
        <f>SUM(BM201:BN201,W201,Sheet1!DX199)</f>
        <v>0</v>
      </c>
      <c r="BR201" s="94">
        <f>Sheet1!AA199</f>
        <v>29.3</v>
      </c>
      <c r="BS201" s="94">
        <f>Sheet1!AB199</f>
        <v>65.819999999999993</v>
      </c>
      <c r="BT201" s="94">
        <f t="shared" ca="1" si="34"/>
        <v>0.23899733331189416</v>
      </c>
      <c r="BU201" s="94">
        <f>Sheet1!AT199</f>
        <v>0</v>
      </c>
      <c r="BV201" s="89">
        <f>Sheet1!BB199</f>
        <v>0</v>
      </c>
      <c r="BW201" s="94">
        <f>Calculation!ED201</f>
        <v>19.940911161731208</v>
      </c>
      <c r="BX201" s="94">
        <f>(Sheet1!CS199*1440)/1000000</f>
        <v>0</v>
      </c>
      <c r="CA201" s="94">
        <f ca="1">Sheet1!AC199-Sheet1!BK199-Sheet1!BL199-Sheet1!BM199-Sheet1!BC199-Sheet1!BD199-Sheet1!BE199-Sheet1!BF199-Sheet1!BG199-Sheet1!BH199-Sheet1!BI199+BC201+P201</f>
        <v>75.408997333311902</v>
      </c>
      <c r="CB201" s="93">
        <f t="shared" si="35"/>
        <v>116.30205043280181</v>
      </c>
      <c r="CC201" s="94">
        <f t="shared" si="36"/>
        <v>0</v>
      </c>
      <c r="CD201" s="94">
        <f t="shared" ca="1" si="37"/>
        <v>95.34990849504311</v>
      </c>
      <c r="CE201" s="1077">
        <f t="shared" ca="1" si="38"/>
        <v>147.50630844183169</v>
      </c>
      <c r="CG201" s="1077">
        <f t="shared" ca="1" si="39"/>
        <v>75.408997333311902</v>
      </c>
    </row>
    <row r="202" spans="1:85" s="89" customFormat="1" x14ac:dyDescent="0.25">
      <c r="A202" s="616" t="s">
        <v>4</v>
      </c>
      <c r="B202" s="91">
        <v>42926</v>
      </c>
      <c r="C202" s="92">
        <v>0</v>
      </c>
      <c r="D202" s="94">
        <f>(Sheet1!BQ200-Sheet1!BQ199)*1.385</f>
        <v>1.6204499999999975</v>
      </c>
      <c r="E202" s="30">
        <f>(Sheet1!BR200-Sheet1!BR199)*1.385</f>
        <v>1.592750000000003</v>
      </c>
      <c r="F202" s="30">
        <f ca="1">IF(B202=TODAY(),0,-(VLOOKUP(Sheet1!CD200,Lookup!$I$4:$J$216,2)-VLOOKUP(Sheet1!CD199,Lookup!$I$4:$J$216,2))/1000000)</f>
        <v>0.62182163128680368</v>
      </c>
      <c r="G202" s="94">
        <f ca="1">IF(B202=TODAY(),0,-$G$6*(Sheet1!CF200-Sheet1!CF199)*7.48/1000000)</f>
        <v>0.63541601684094939</v>
      </c>
      <c r="H202" s="94">
        <f ca="1">IF(B202=TODAY(),0,-$H$6*(Sheet1!CE200-Sheet1!CE199)*7.48/1000000)</f>
        <v>-1.5039432351264204E-2</v>
      </c>
      <c r="I202" s="94">
        <f ca="1">IF(B202=TODAY(),0,-$I$6*(Sheet1!CG200-Sheet1!CG199)*7.48/1000000)</f>
        <v>-3.1447416000000132E-3</v>
      </c>
      <c r="J202" s="95" t="s">
        <v>177</v>
      </c>
      <c r="K202" s="94">
        <f ca="1">IF(B202=TODAY(),0,-$K$6*(Sheet1!CH200-Sheet1!CH199)*7.48/1000000)</f>
        <v>-6.6633203744585374E-3</v>
      </c>
      <c r="L202" s="95" t="s">
        <v>177</v>
      </c>
      <c r="M202" s="94">
        <f ca="1">IF(B202=TODAY(),0,-$M$6*(Sheet1!CI200-Sheet1!CI199)*7.48/1000000)</f>
        <v>-3.598301685605397E-2</v>
      </c>
      <c r="N202" s="94">
        <f ca="1">IF(B202=TODAY(),0,-$N$6*(Sheet1!CJ200-Sheet1!CJ199)*7.48/1000000)</f>
        <v>0.49021352861752826</v>
      </c>
      <c r="O202" s="94">
        <f t="shared" ca="1" si="40"/>
        <v>1.6866206655635045</v>
      </c>
      <c r="P202" s="94">
        <f ca="1">O202+Calculation!ES202</f>
        <v>-1.3609608675043885</v>
      </c>
      <c r="Q202" s="89" t="str">
        <f>IF(Sheet1!BQ200&gt;25.75,"spill elevation","-")</f>
        <v>-</v>
      </c>
      <c r="R202" s="89" t="str">
        <f>IF(Sheet1!BQ200&gt;25.75,"spill elevation","-")</f>
        <v>-</v>
      </c>
      <c r="S202" s="89" t="str">
        <f>IF(Sheet1!BR200&gt;25.75,"spill elevation","-")</f>
        <v>-</v>
      </c>
      <c r="T202" s="93">
        <f>IF(Sheet1!DU200=1,Sheet1!AA200-(SUM(AT202:BA202)+BE202),Sheet1!AA200-SUM(AT202:BA202))</f>
        <v>24.996207999999999</v>
      </c>
      <c r="U202" s="93">
        <f>Sheet1!BV200</f>
        <v>27</v>
      </c>
      <c r="V202" s="93">
        <f t="shared" si="41"/>
        <v>-2.0037920000000007</v>
      </c>
      <c r="W202" s="93">
        <f>0</f>
        <v>0</v>
      </c>
      <c r="X202" s="89">
        <f>0</f>
        <v>0</v>
      </c>
      <c r="Y202" s="94">
        <f ca="1">Calculation!EJ203+Calculation!ES202+'Calculations II'!O202-'Calculations II'!W202</f>
        <v>71.071920209957099</v>
      </c>
      <c r="Z202" s="94">
        <f ca="1">Y202-Sheet1!CT201</f>
        <v>55.286920209957103</v>
      </c>
      <c r="AA202" s="94">
        <f ca="1">Y202+Calculation!DJ203+Calculation!AS203</f>
        <v>91.619161910236343</v>
      </c>
      <c r="AC202" s="94">
        <f>Sheet1!AA200+Sheet1!AB200+BC202</f>
        <v>95.08</v>
      </c>
      <c r="AD202" s="94">
        <f>Sheet1!AA200+Sheet1!BN200+'Calculations II'!BC202-Calculation!AS202-Calculation!DJ202</f>
        <v>55.629013785790043</v>
      </c>
      <c r="AE202" s="94">
        <f>Sheet1!AA200+Sheet1!AB200+'Calculations II'!BC202-Calculation!AS202-Calculation!DJ202</f>
        <v>75.309013785790029</v>
      </c>
      <c r="AF202" s="94">
        <f ca="1">Sheet1!AA200+Sheet1!BN200+P202+'Calculations II'!BC202+Calculation!AS202+Calculation!DJ202</f>
        <v>93.810025346705572</v>
      </c>
      <c r="AG202" s="94">
        <f ca="1">IF(B202=TODAY(),0,Sheet1!AA200+Sheet1!BN200+'Calculations II'!BC202+'Calculations II'!P202-Sheet1!CT200-BP202)</f>
        <v>57.966039132495617</v>
      </c>
      <c r="AH202" s="94">
        <f ca="1">IF(B202=TODAY(),0,Sheet1!AA200+Sheet1!BN200+'Calculations II'!BC202+'Calculations II'!P202-BP202)</f>
        <v>74.039039132495617</v>
      </c>
      <c r="AI202" s="94">
        <f ca="1">IF(B202=TODAY(),0,BC202+Sheet1!AA200+Calculation!ES202+O202+W202+Sheet1!BN200+Calculation!AS202+Calculation!DJ202-BP202)</f>
        <v>93.810025346705572</v>
      </c>
      <c r="AJ202" s="94"/>
      <c r="AM202" s="90">
        <f t="shared" si="42"/>
        <v>42926</v>
      </c>
      <c r="AN202" s="94">
        <f>Sheet1!BU200</f>
        <v>26</v>
      </c>
      <c r="AO202" s="94">
        <f>Sheet1!AA200</f>
        <v>29.2</v>
      </c>
      <c r="AP202" s="94">
        <f t="shared" ref="AP202:AP265" si="44">D202+E202</f>
        <v>3.2132000000000005</v>
      </c>
      <c r="AQ202" s="1087">
        <f>((Sheet1!BV200-(Sheet1!BU200-AP202))/(Sheet1!BU200-AP202))</f>
        <v>0.18489651903733742</v>
      </c>
      <c r="AR202" s="94">
        <f t="shared" ref="AR202:AR265" si="45">AO202-AP202</f>
        <v>25.986799999999999</v>
      </c>
      <c r="AS202" s="94">
        <f t="shared" ref="AS202:AS265" si="46">AN202-AP202</f>
        <v>22.786799999999999</v>
      </c>
      <c r="AT202" s="89">
        <f>Sheet1!BB200</f>
        <v>0</v>
      </c>
      <c r="AU202" s="89">
        <f>Sheet1!AS200*GPMtoMGD</f>
        <v>3.5712000000000001E-2</v>
      </c>
      <c r="AV202" s="94">
        <f>Sheet1!AT200</f>
        <v>0</v>
      </c>
      <c r="AW202" s="89">
        <f>Sheet1!AV200*GPMtoMGD</f>
        <v>1.26864</v>
      </c>
      <c r="AX202" s="89">
        <f>Sheet1!AW200*GPMtoMGD</f>
        <v>2.8994400000000002</v>
      </c>
      <c r="AY202" s="89">
        <f>Sheet1!AX200*GPMtoMGD</f>
        <v>0</v>
      </c>
      <c r="AZ202" s="89">
        <f>Sheet1!AY200*GPMtoMGD</f>
        <v>0</v>
      </c>
      <c r="BA202" s="89">
        <f>Sheet1!AZ200*GPMtoMGD</f>
        <v>0</v>
      </c>
      <c r="BB202" s="89">
        <f>Sheet1!BP200*GPMtoMGD</f>
        <v>0</v>
      </c>
      <c r="BC202" s="89">
        <f>Sheet1!CS200*GPMtoMGD</f>
        <v>0</v>
      </c>
      <c r="BD202" s="89">
        <f>Sheet1!BO200*GPMtoMGD</f>
        <v>3.8917440000000001</v>
      </c>
      <c r="BE202" s="89">
        <f>Sheet1!BW200*GPMtoMGD</f>
        <v>1.883664</v>
      </c>
      <c r="BF202" s="89">
        <f>Sheet1!CN200*GPMtoMGD</f>
        <v>4.7023200000000003</v>
      </c>
      <c r="BG202" s="89">
        <f>Sheet1!CO200*GPMtoMGD</f>
        <v>1.5994080000000002</v>
      </c>
      <c r="BH202" s="89">
        <f>Sheet1!CP200*GPMtoMGD</f>
        <v>0.96552000000000004</v>
      </c>
      <c r="BI202" s="89">
        <f t="shared" si="43"/>
        <v>3.8917440000000001</v>
      </c>
      <c r="BK202" s="94">
        <f>SUM(AT202:BA202,AS202,BC202,Calculation!AQ202)</f>
        <v>73.099605785790033</v>
      </c>
      <c r="BM202" s="358">
        <f>0</f>
        <v>0</v>
      </c>
      <c r="BN202" s="358">
        <f>0</f>
        <v>0</v>
      </c>
      <c r="BP202" s="94">
        <f>SUM(BM202:BN202,W202,Sheet1!DX200)</f>
        <v>0</v>
      </c>
      <c r="BR202" s="94">
        <f>Sheet1!AA200</f>
        <v>29.2</v>
      </c>
      <c r="BS202" s="94">
        <f>Sheet1!AB200</f>
        <v>65.88</v>
      </c>
      <c r="BT202" s="94">
        <f t="shared" ca="1" si="34"/>
        <v>-1.3609608675043885</v>
      </c>
      <c r="BU202" s="94">
        <f>Sheet1!AT200</f>
        <v>0</v>
      </c>
      <c r="BV202" s="89">
        <f>Sheet1!BB200</f>
        <v>0</v>
      </c>
      <c r="BW202" s="94">
        <f>Calculation!ED202</f>
        <v>19.770986214209962</v>
      </c>
      <c r="BX202" s="94">
        <f>(Sheet1!CS200*1440)/1000000</f>
        <v>0</v>
      </c>
      <c r="CA202" s="94">
        <f ca="1">Sheet1!AC200-Sheet1!BK200-Sheet1!BL200-Sheet1!BM200-Sheet1!BC200-Sheet1!BD200-Sheet1!BE200-Sheet1!BF200-Sheet1!BG200-Sheet1!BH200-Sheet1!BI200+BC202+P202</f>
        <v>73.909039132495607</v>
      </c>
      <c r="CB202" s="93">
        <f t="shared" si="35"/>
        <v>116.50304432661717</v>
      </c>
      <c r="CC202" s="94">
        <f t="shared" si="36"/>
        <v>0</v>
      </c>
      <c r="CD202" s="94">
        <f t="shared" ca="1" si="37"/>
        <v>93.680025346705577</v>
      </c>
      <c r="CE202" s="1077">
        <f t="shared" ca="1" si="38"/>
        <v>144.92299921135353</v>
      </c>
      <c r="CG202" s="1077">
        <f t="shared" ca="1" si="39"/>
        <v>73.909039132495607</v>
      </c>
    </row>
    <row r="203" spans="1:85" s="89" customFormat="1" x14ac:dyDescent="0.25">
      <c r="A203" s="616" t="s">
        <v>5</v>
      </c>
      <c r="B203" s="91">
        <v>42927</v>
      </c>
      <c r="C203" s="92">
        <v>0</v>
      </c>
      <c r="D203" s="94">
        <f>(Sheet1!BQ201-Sheet1!BQ200)*1.385</f>
        <v>-9.694999999999547E-2</v>
      </c>
      <c r="E203" s="30">
        <f>(Sheet1!BR201-Sheet1!BR200)*1.385</f>
        <v>-8.3100000000003144E-2</v>
      </c>
      <c r="F203" s="30">
        <f ca="1">IF(B203=TODAY(),0,-(VLOOKUP(Sheet1!CD201,Lookup!$I$4:$J$216,2)-VLOOKUP(Sheet1!CD200,Lookup!$I$4:$J$216,2))/1000000)</f>
        <v>-0.82909550838240231</v>
      </c>
      <c r="G203" s="94">
        <f ca="1">IF(B203=TODAY(),0,-$G$6*(Sheet1!CF201-Sheet1!CF200)*7.48/1000000)</f>
        <v>-0.39713501052559297</v>
      </c>
      <c r="H203" s="94">
        <f ca="1">IF(B203=TODAY(),0,-$H$6*(Sheet1!CE201-Sheet1!CE200)*7.48/1000000)</f>
        <v>1.5039432351264204E-2</v>
      </c>
      <c r="I203" s="94">
        <f ca="1">IF(B203=TODAY(),0,-$I$6*(Sheet1!CG201-Sheet1!CG200)*7.48/1000000)</f>
        <v>-8.9849760000000473E-3</v>
      </c>
      <c r="J203" s="95" t="s">
        <v>177</v>
      </c>
      <c r="K203" s="94">
        <f ca="1">IF(B203=TODAY(),0,-$K$6*(Sheet1!CH201-Sheet1!CH200)*7.48/1000000)</f>
        <v>-1.3326640748916837E-2</v>
      </c>
      <c r="L203" s="95" t="s">
        <v>177</v>
      </c>
      <c r="M203" s="94">
        <f ca="1">IF(B203=TODAY(),0,-$M$6*(Sheet1!CI201-Sheet1!CI200)*7.48/1000000)</f>
        <v>-1.7991508428027301E-2</v>
      </c>
      <c r="N203" s="94">
        <f ca="1">IF(B203=TODAY(),0,-$N$6*(Sheet1!CJ201-Sheet1!CJ200)*7.48/1000000)</f>
        <v>-0.3971350105255933</v>
      </c>
      <c r="O203" s="94">
        <f t="shared" ca="1" si="40"/>
        <v>-1.6486292222592687</v>
      </c>
      <c r="P203" s="94">
        <f ca="1">O203+Calculation!ES203</f>
        <v>-1.6486292222592687</v>
      </c>
      <c r="Q203" s="89" t="str">
        <f>IF(Sheet1!BQ201&gt;25.75,"spill elevation","-")</f>
        <v>-</v>
      </c>
      <c r="R203" s="89" t="str">
        <f>IF(Sheet1!BQ201&gt;25.75,"spill elevation","-")</f>
        <v>-</v>
      </c>
      <c r="S203" s="89" t="str">
        <f>IF(Sheet1!BR201&gt;25.75,"spill elevation","-")</f>
        <v>-</v>
      </c>
      <c r="T203" s="93">
        <f>IF(Sheet1!DU201=1,Sheet1!AA201-(SUM(AT203:BA203)+BE203),Sheet1!AA201-SUM(AT203:BA203))</f>
        <v>25.191248000000002</v>
      </c>
      <c r="U203" s="93">
        <f>Sheet1!BV201</f>
        <v>30.9</v>
      </c>
      <c r="V203" s="93">
        <f t="shared" si="41"/>
        <v>-5.7087519999999969</v>
      </c>
      <c r="W203" s="93">
        <f>0</f>
        <v>0</v>
      </c>
      <c r="X203" s="89">
        <f>0</f>
        <v>0</v>
      </c>
      <c r="Y203" s="94">
        <f ca="1">Calculation!EJ204+Calculation!ES203+'Calculations II'!O203-'Calculations II'!W203</f>
        <v>79.764429577504274</v>
      </c>
      <c r="Z203" s="94">
        <f ca="1">Y203-Sheet1!CT202</f>
        <v>62.976429577504277</v>
      </c>
      <c r="AA203" s="94">
        <f ca="1">Y203+Calculation!DJ204+Calculation!AS204</f>
        <v>99.166753606630493</v>
      </c>
      <c r="AC203" s="94">
        <f>Sheet1!AA201+Sheet1!AB201+BC203</f>
        <v>93.72</v>
      </c>
      <c r="AD203" s="94">
        <f>Sheet1!AA201+Sheet1!BN201+'Calculations II'!BC203-Calculation!AS203-Calculation!DJ203</f>
        <v>52.652758299720759</v>
      </c>
      <c r="AE203" s="94">
        <f>Sheet1!AA201+Sheet1!AB201+'Calculations II'!BC203-Calculation!AS203-Calculation!DJ203</f>
        <v>73.172758299720755</v>
      </c>
      <c r="AF203" s="94">
        <f ca="1">Sheet1!AA201+Sheet1!BN201+P203+'Calculations II'!BC203+Calculation!AS203+Calculation!DJ203</f>
        <v>92.098612478019973</v>
      </c>
      <c r="AG203" s="94">
        <f ca="1">IF(B203=TODAY(),0,Sheet1!AA201+Sheet1!BN201+'Calculations II'!BC203+'Calculations II'!P203-Sheet1!CT201-BP203)</f>
        <v>55.766370777740732</v>
      </c>
      <c r="AH203" s="94">
        <f ca="1">IF(B203=TODAY(),0,Sheet1!AA201+Sheet1!BN201+'Calculations II'!BC203+'Calculations II'!P203-BP203)</f>
        <v>71.551370777740729</v>
      </c>
      <c r="AI203" s="94">
        <f ca="1">IF(B203=TODAY(),0,BC203+Sheet1!AA201+Calculation!ES203+O203+W203+Sheet1!BN201+Calculation!AS203+Calculation!DJ203-BP203)</f>
        <v>92.098612478019973</v>
      </c>
      <c r="AJ203" s="94"/>
      <c r="AM203" s="90">
        <f t="shared" si="42"/>
        <v>42927</v>
      </c>
      <c r="AN203" s="94">
        <f>Sheet1!BU201</f>
        <v>26.1</v>
      </c>
      <c r="AO203" s="94">
        <f>Sheet1!AA201</f>
        <v>29.3</v>
      </c>
      <c r="AP203" s="94">
        <f t="shared" si="44"/>
        <v>-0.1800499999999986</v>
      </c>
      <c r="AQ203" s="1087">
        <f>((Sheet1!BV201-(Sheet1!BU201-AP203))/(Sheet1!BU201-AP203))</f>
        <v>0.17579684970157969</v>
      </c>
      <c r="AR203" s="94">
        <f t="shared" si="45"/>
        <v>29.480049999999999</v>
      </c>
      <c r="AS203" s="94">
        <f t="shared" si="46"/>
        <v>26.280049999999999</v>
      </c>
      <c r="AT203" s="89">
        <f>Sheet1!BB201</f>
        <v>0</v>
      </c>
      <c r="AU203" s="89">
        <f>Sheet1!AS201*GPMtoMGD</f>
        <v>3.5424000000000004E-2</v>
      </c>
      <c r="AV203" s="94">
        <f>Sheet1!AT201</f>
        <v>0</v>
      </c>
      <c r="AW203" s="89">
        <f>Sheet1!AV201*GPMtoMGD</f>
        <v>1.2803040000000001</v>
      </c>
      <c r="AX203" s="89">
        <f>Sheet1!AW201*GPMtoMGD</f>
        <v>2.793024</v>
      </c>
      <c r="AY203" s="89">
        <f>Sheet1!AX201*GPMtoMGD</f>
        <v>0</v>
      </c>
      <c r="AZ203" s="89">
        <f>Sheet1!AY201*GPMtoMGD</f>
        <v>0</v>
      </c>
      <c r="BA203" s="89">
        <f>Sheet1!AZ201*GPMtoMGD</f>
        <v>0</v>
      </c>
      <c r="BB203" s="89">
        <f>Sheet1!BP201*GPMtoMGD</f>
        <v>0</v>
      </c>
      <c r="BC203" s="89">
        <f>Sheet1!CS201*GPMtoMGD</f>
        <v>0</v>
      </c>
      <c r="BD203" s="89">
        <f>Sheet1!BO201*GPMtoMGD</f>
        <v>3.9081600000000001</v>
      </c>
      <c r="BE203" s="89">
        <f>Sheet1!BW201*GPMtoMGD</f>
        <v>1.818432</v>
      </c>
      <c r="BF203" s="89">
        <f>Sheet1!CN201*GPMtoMGD</f>
        <v>4.8261600000000007</v>
      </c>
      <c r="BG203" s="89">
        <f>Sheet1!CO201*GPMtoMGD</f>
        <v>1.6352640000000001</v>
      </c>
      <c r="BH203" s="89">
        <f>Sheet1!CP201*GPMtoMGD</f>
        <v>0.92260800000000009</v>
      </c>
      <c r="BI203" s="89">
        <f t="shared" si="43"/>
        <v>3.9081600000000001</v>
      </c>
      <c r="BK203" s="94">
        <f>SUM(AT203:BA203,AS203,BC203,Calculation!AQ203)</f>
        <v>74.261560299720756</v>
      </c>
      <c r="BM203" s="358">
        <f>0</f>
        <v>0</v>
      </c>
      <c r="BN203" s="358">
        <f>0</f>
        <v>0</v>
      </c>
      <c r="BP203" s="94">
        <f>SUM(BM203:BN203,W203,Sheet1!DX201)</f>
        <v>0</v>
      </c>
      <c r="BR203" s="94">
        <f>Sheet1!AA201</f>
        <v>29.3</v>
      </c>
      <c r="BS203" s="94">
        <f>Sheet1!AB201</f>
        <v>64.42</v>
      </c>
      <c r="BT203" s="94">
        <f t="shared" ca="1" si="34"/>
        <v>-1.6486292222592687</v>
      </c>
      <c r="BU203" s="94">
        <f>Sheet1!AT201</f>
        <v>0</v>
      </c>
      <c r="BV203" s="89">
        <f>Sheet1!BB201</f>
        <v>0</v>
      </c>
      <c r="BW203" s="94">
        <f>Calculation!ED203</f>
        <v>20.547241700279244</v>
      </c>
      <c r="BX203" s="94">
        <f>(Sheet1!CS201*1440)/1000000</f>
        <v>0</v>
      </c>
      <c r="CA203" s="94">
        <f ca="1">Sheet1!AC201-Sheet1!BK201-Sheet1!BL201-Sheet1!BM201-Sheet1!BC201-Sheet1!BD201-Sheet1!BE201-Sheet1!BF201-Sheet1!BG201-Sheet1!BH201-Sheet1!BI201+BC203+P203</f>
        <v>71.511370777740737</v>
      </c>
      <c r="CB203" s="93">
        <f t="shared" si="35"/>
        <v>113.198257089668</v>
      </c>
      <c r="CC203" s="94">
        <f t="shared" si="36"/>
        <v>0</v>
      </c>
      <c r="CD203" s="94">
        <f t="shared" ca="1" si="37"/>
        <v>92.058612478019981</v>
      </c>
      <c r="CE203" s="1077">
        <f t="shared" ca="1" si="38"/>
        <v>142.41467350349691</v>
      </c>
      <c r="CG203" s="1077">
        <f t="shared" ca="1" si="39"/>
        <v>71.511370777740737</v>
      </c>
    </row>
    <row r="204" spans="1:85" s="89" customFormat="1" x14ac:dyDescent="0.25">
      <c r="A204" s="616" t="s">
        <v>6</v>
      </c>
      <c r="B204" s="91">
        <v>42928</v>
      </c>
      <c r="C204" s="92">
        <v>0</v>
      </c>
      <c r="D204" s="94">
        <f>(Sheet1!BQ202-Sheet1!BQ201)*1.385</f>
        <v>0.23544999999999744</v>
      </c>
      <c r="E204" s="30">
        <f>(Sheet1!BR202-Sheet1!BR201)*1.385</f>
        <v>0.23545000000000235</v>
      </c>
      <c r="F204" s="30">
        <f ca="1">IF(B204=TODAY(),0,-(VLOOKUP(Sheet1!CD202,Lookup!$I$4:$J$216,2)-VLOOKUP(Sheet1!CD201,Lookup!$I$4:$J$216,2))/1000000)</f>
        <v>1.5545540782170035</v>
      </c>
      <c r="G204" s="94">
        <f ca="1">IF(B204=TODAY(),0,-$G$6*(Sheet1!CF202-Sheet1!CF201)*7.48/1000000)</f>
        <v>0.71484301894606628</v>
      </c>
      <c r="H204" s="94">
        <f ca="1">IF(B204=TODAY(),0,-$H$6*(Sheet1!CE202-Sheet1!CE201)*7.48/1000000)</f>
        <v>-3.0078864702529479E-2</v>
      </c>
      <c r="I204" s="94">
        <f ca="1">IF(B204=TODAY(),0,-$I$6*(Sheet1!CG202-Sheet1!CG201)*7.48/1000000)</f>
        <v>-2.6954927999999989E-2</v>
      </c>
      <c r="J204" s="95" t="s">
        <v>177</v>
      </c>
      <c r="K204" s="94">
        <f ca="1">IF(B204=TODAY(),0,-$K$6*(Sheet1!CH202-Sheet1!CH201)*7.48/1000000)</f>
        <v>-5.3306562995667592E-2</v>
      </c>
      <c r="L204" s="95" t="s">
        <v>177</v>
      </c>
      <c r="M204" s="94">
        <f ca="1">IF(B204=TODAY(),0,-$M$6*(Sheet1!CI202-Sheet1!CI201)*7.48/1000000)</f>
        <v>-0.17991508428027048</v>
      </c>
      <c r="N204" s="94">
        <f ca="1">IF(B204=TODAY(),0,-$N$6*(Sheet1!CJ202-Sheet1!CJ201)*7.48/1000000)</f>
        <v>2.9412811717051732</v>
      </c>
      <c r="O204" s="94">
        <f t="shared" ca="1" si="40"/>
        <v>4.9204228288897749</v>
      </c>
      <c r="P204" s="94">
        <f ca="1">O204+Calculation!ES204</f>
        <v>4.6432930477123326</v>
      </c>
      <c r="Q204" s="89" t="str">
        <f>IF(Sheet1!BQ202&gt;25.75,"spill elevation","-")</f>
        <v>-</v>
      </c>
      <c r="R204" s="89" t="str">
        <f>IF(Sheet1!BQ202&gt;25.75,"spill elevation","-")</f>
        <v>-</v>
      </c>
      <c r="S204" s="89" t="str">
        <f>IF(Sheet1!BR202&gt;25.75,"spill elevation","-")</f>
        <v>-</v>
      </c>
      <c r="T204" s="93">
        <f>IF(Sheet1!DU202=1,Sheet1!AA202-(SUM(AT204:BA204)+BE204),Sheet1!AA202-SUM(AT204:BA204))</f>
        <v>25.145040000000002</v>
      </c>
      <c r="U204" s="93">
        <f>Sheet1!BV202</f>
        <v>30</v>
      </c>
      <c r="V204" s="93">
        <f t="shared" si="41"/>
        <v>-4.8549599999999984</v>
      </c>
      <c r="W204" s="93">
        <f>0</f>
        <v>0</v>
      </c>
      <c r="X204" s="89">
        <f>0</f>
        <v>0</v>
      </c>
      <c r="Y204" s="94">
        <f ca="1">Calculation!EJ205+Calculation!ES204+'Calculations II'!O204-'Calculations II'!W204</f>
        <v>78.017341898593003</v>
      </c>
      <c r="Z204" s="94">
        <f ca="1">Y204-Sheet1!CT203</f>
        <v>61.057341898593002</v>
      </c>
      <c r="AA204" s="94">
        <f ca="1">Y204+Calculation!DJ205+Calculation!AS205</f>
        <v>97.404284021774686</v>
      </c>
      <c r="AC204" s="94">
        <f>Sheet1!AA202+Sheet1!AB202+BC204</f>
        <v>95.14</v>
      </c>
      <c r="AD204" s="94">
        <f>Sheet1!AA202+Sheet1!BN202+'Calculations II'!BC204-Calculation!AS204-Calculation!DJ204</f>
        <v>56.377675970873788</v>
      </c>
      <c r="AE204" s="94">
        <f>Sheet1!AA202+Sheet1!AB202+'Calculations II'!BC204-Calculation!AS204-Calculation!DJ204</f>
        <v>75.737675970873795</v>
      </c>
      <c r="AF204" s="94">
        <f ca="1">Sheet1!AA202+Sheet1!BN202+P204+'Calculations II'!BC204+Calculation!AS204+Calculation!DJ204</f>
        <v>99.82561707683854</v>
      </c>
      <c r="AG204" s="94">
        <f ca="1">IF(B204=TODAY(),0,Sheet1!AA202+Sheet1!BN202+'Calculations II'!BC204+'Calculations II'!P204-Sheet1!CT202-BP204)</f>
        <v>63.635293047712338</v>
      </c>
      <c r="AH204" s="94">
        <f ca="1">IF(B204=TODAY(),0,Sheet1!AA202+Sheet1!BN202+'Calculations II'!BC204+'Calculations II'!P204-BP204)</f>
        <v>80.423293047712335</v>
      </c>
      <c r="AI204" s="94">
        <f ca="1">IF(B204=TODAY(),0,BC204+Sheet1!AA202+Calculation!ES204+O204+W204+Sheet1!BN202+Calculation!AS204+Calculation!DJ204-BP204)</f>
        <v>99.82561707683854</v>
      </c>
      <c r="AJ204" s="94"/>
      <c r="AM204" s="90">
        <f t="shared" si="42"/>
        <v>42928</v>
      </c>
      <c r="AN204" s="94">
        <f>Sheet1!BU202</f>
        <v>25.9</v>
      </c>
      <c r="AO204" s="94">
        <f>Sheet1!AA202</f>
        <v>29.28</v>
      </c>
      <c r="AP204" s="94">
        <f t="shared" si="44"/>
        <v>0.47089999999999976</v>
      </c>
      <c r="AQ204" s="1087">
        <f>((Sheet1!BV202-(Sheet1!BU202-AP204))/(Sheet1!BU202-AP204))</f>
        <v>0.17975075798986209</v>
      </c>
      <c r="AR204" s="94">
        <f t="shared" si="45"/>
        <v>28.809100000000001</v>
      </c>
      <c r="AS204" s="94">
        <f t="shared" si="46"/>
        <v>25.429099999999998</v>
      </c>
      <c r="AT204" s="89">
        <f>Sheet1!BB202</f>
        <v>0</v>
      </c>
      <c r="AU204" s="89">
        <f>Sheet1!AS202*GPMtoMGD</f>
        <v>3.9888E-2</v>
      </c>
      <c r="AV204" s="94">
        <f>Sheet1!AT202</f>
        <v>0</v>
      </c>
      <c r="AW204" s="89">
        <f>Sheet1!AV202*GPMtoMGD</f>
        <v>1.066176</v>
      </c>
      <c r="AX204" s="89">
        <f>Sheet1!AW202*GPMtoMGD</f>
        <v>3.0288960000000005</v>
      </c>
      <c r="AY204" s="89">
        <f>Sheet1!AX202*GPMtoMGD</f>
        <v>0</v>
      </c>
      <c r="AZ204" s="89">
        <f>Sheet1!AY202*GPMtoMGD</f>
        <v>0</v>
      </c>
      <c r="BA204" s="89">
        <f>Sheet1!AZ202*GPMtoMGD</f>
        <v>0</v>
      </c>
      <c r="BB204" s="89">
        <f>Sheet1!BP202*GPMtoMGD</f>
        <v>0</v>
      </c>
      <c r="BC204" s="89">
        <f>Sheet1!CS202*GPMtoMGD</f>
        <v>0</v>
      </c>
      <c r="BD204" s="89">
        <f>Sheet1!BO202*GPMtoMGD</f>
        <v>3.9960000000000004</v>
      </c>
      <c r="BE204" s="89">
        <f>Sheet1!BW202*GPMtoMGD</f>
        <v>1.8603360000000002</v>
      </c>
      <c r="BF204" s="89">
        <f>Sheet1!CN202*GPMtoMGD</f>
        <v>4.8091679999999997</v>
      </c>
      <c r="BG204" s="89">
        <f>Sheet1!CO202*GPMtoMGD</f>
        <v>1.6895519999999999</v>
      </c>
      <c r="BH204" s="89">
        <f>Sheet1!CP202*GPMtoMGD</f>
        <v>0.95241600000000004</v>
      </c>
      <c r="BI204" s="89">
        <f t="shared" si="43"/>
        <v>3.9960000000000004</v>
      </c>
      <c r="BK204" s="94">
        <f>SUM(AT204:BA204,AS204,BC204,Calculation!AQ204)</f>
        <v>76.021735970873777</v>
      </c>
      <c r="BM204" s="358">
        <f>0</f>
        <v>0</v>
      </c>
      <c r="BN204" s="358">
        <f>0</f>
        <v>0</v>
      </c>
      <c r="BP204" s="94">
        <f>SUM(BM204:BN204,W204,Sheet1!DX202)</f>
        <v>0</v>
      </c>
      <c r="BR204" s="94">
        <f>Sheet1!AA202</f>
        <v>29.28</v>
      </c>
      <c r="BS204" s="94">
        <f>Sheet1!AB202</f>
        <v>65.86</v>
      </c>
      <c r="BT204" s="94">
        <f t="shared" ca="1" si="34"/>
        <v>4.6432930477123326</v>
      </c>
      <c r="BU204" s="94">
        <f>Sheet1!AT202</f>
        <v>0</v>
      </c>
      <c r="BV204" s="89">
        <f>Sheet1!BB202</f>
        <v>0</v>
      </c>
      <c r="BW204" s="94">
        <f>Calculation!ED204</f>
        <v>19.402324029126209</v>
      </c>
      <c r="BX204" s="94">
        <f>(Sheet1!CS202*1440)/1000000</f>
        <v>0</v>
      </c>
      <c r="CA204" s="94">
        <f ca="1">Sheet1!AC202-Sheet1!BK202-Sheet1!BL202-Sheet1!BM202-Sheet1!BC202-Sheet1!BD202-Sheet1!BE202-Sheet1!BF202-Sheet1!BG202-Sheet1!BH202-Sheet1!BI202+BC204+P204</f>
        <v>80.363293047712332</v>
      </c>
      <c r="CB204" s="93">
        <f t="shared" si="35"/>
        <v>117.16618472694175</v>
      </c>
      <c r="CC204" s="94">
        <f t="shared" si="36"/>
        <v>0</v>
      </c>
      <c r="CD204" s="94">
        <f t="shared" ca="1" si="37"/>
        <v>99.765617076838538</v>
      </c>
      <c r="CE204" s="1077">
        <f t="shared" ca="1" si="38"/>
        <v>154.33740961786921</v>
      </c>
      <c r="CG204" s="1077">
        <f t="shared" ca="1" si="39"/>
        <v>80.363293047712332</v>
      </c>
    </row>
    <row r="205" spans="1:85" s="89" customFormat="1" x14ac:dyDescent="0.25">
      <c r="A205" s="616" t="s">
        <v>7</v>
      </c>
      <c r="B205" s="91">
        <v>42929</v>
      </c>
      <c r="C205" s="92">
        <v>0</v>
      </c>
      <c r="D205" s="94">
        <f>(Sheet1!BQ203-Sheet1!BQ202)*1.385</f>
        <v>-0.1246499999999998</v>
      </c>
      <c r="E205" s="30">
        <f>(Sheet1!BR203-Sheet1!BR202)*1.385</f>
        <v>-0.15234999999999921</v>
      </c>
      <c r="F205" s="30">
        <f ca="1">IF(B205=TODAY(),0,-(VLOOKUP(Sheet1!CD203,Lookup!$I$4:$J$216,2)-VLOOKUP(Sheet1!CD202,Lookup!$I$4:$J$216,2))/1000000)</f>
        <v>-0.10363693854780495</v>
      </c>
      <c r="G205" s="94">
        <f ca="1">IF(B205=TODAY(),0,-$G$6*(Sheet1!CF203-Sheet1!CF202)*7.48/1000000)</f>
        <v>-0.39713501052559297</v>
      </c>
      <c r="H205" s="94">
        <f ca="1">IF(B205=TODAY(),0,-$H$6*(Sheet1!CE203-Sheet1!CE202)*7.48/1000000)</f>
        <v>1.5039432351265274E-2</v>
      </c>
      <c r="I205" s="94">
        <f ca="1">IF(B205=TODAY(),0,-$I$6*(Sheet1!CG203-Sheet1!CG202)*7.48/1000000)</f>
        <v>2.2462440000000004E-2</v>
      </c>
      <c r="J205" s="95" t="s">
        <v>177</v>
      </c>
      <c r="K205" s="94">
        <f ca="1">IF(B205=TODAY(),0,-$K$6*(Sheet1!CH203-Sheet1!CH202)*7.48/1000000)</f>
        <v>5.3306562995667592E-2</v>
      </c>
      <c r="L205" s="95" t="s">
        <v>177</v>
      </c>
      <c r="M205" s="94">
        <f ca="1">IF(B205=TODAY(),0,-$M$6*(Sheet1!CI203-Sheet1!CI202)*7.48/1000000)</f>
        <v>5.3974525284081275E-2</v>
      </c>
      <c r="N205" s="94">
        <f ca="1">IF(B205=TODAY(),0,-$N$6*(Sheet1!CJ203-Sheet1!CJ202)*7.48/1000000)</f>
        <v>-2.5937880374952789</v>
      </c>
      <c r="O205" s="94">
        <f t="shared" ca="1" si="40"/>
        <v>-2.9497770259376628</v>
      </c>
      <c r="P205" s="94">
        <f ca="1">O205+Calculation!ES205</f>
        <v>-2.6726472447602201</v>
      </c>
      <c r="Q205" s="89" t="str">
        <f>IF(Sheet1!BQ203&gt;25.75,"spill elevation","-")</f>
        <v>-</v>
      </c>
      <c r="R205" s="89" t="str">
        <f>IF(Sheet1!BQ203&gt;25.75,"spill elevation","-")</f>
        <v>-</v>
      </c>
      <c r="S205" s="89" t="str">
        <f>IF(Sheet1!BR203&gt;25.75,"spill elevation","-")</f>
        <v>-</v>
      </c>
      <c r="T205" s="93">
        <f>IF(Sheet1!DU203=1,Sheet1!AA203-(SUM(AT205:BA205)+BE205),Sheet1!AA203-SUM(AT205:BA205))</f>
        <v>26.319232</v>
      </c>
      <c r="U205" s="93">
        <f>Sheet1!BV203</f>
        <v>32.200000000000003</v>
      </c>
      <c r="V205" s="93">
        <f t="shared" si="41"/>
        <v>-5.8807680000000033</v>
      </c>
      <c r="W205" s="93">
        <f>0</f>
        <v>0</v>
      </c>
      <c r="X205" s="89">
        <f>0</f>
        <v>0</v>
      </c>
      <c r="Y205" s="94">
        <f ca="1">Calculation!EJ206+Calculation!ES205+'Calculations II'!O205-'Calculations II'!W205</f>
        <v>74.252534699890575</v>
      </c>
      <c r="Z205" s="94">
        <f ca="1">Y205-Sheet1!CT204</f>
        <v>56.649534699890573</v>
      </c>
      <c r="AA205" s="94">
        <f ca="1">Y205+Calculation!DJ206+Calculation!AS206</f>
        <v>94.333554079124866</v>
      </c>
      <c r="AC205" s="94">
        <f>Sheet1!AA203+Sheet1!AB203+BC205</f>
        <v>95.03</v>
      </c>
      <c r="AD205" s="94">
        <f>Sheet1!AA203+Sheet1!BN203+'Calculations II'!BC205-Calculation!AS205-Calculation!DJ205</f>
        <v>56.333057876818323</v>
      </c>
      <c r="AE205" s="94">
        <f>Sheet1!AA203+Sheet1!AB203+'Calculations II'!BC205-Calculation!AS205-Calculation!DJ205</f>
        <v>75.643057876818318</v>
      </c>
      <c r="AF205" s="94">
        <f ca="1">Sheet1!AA203+Sheet1!BN203+P205+'Calculations II'!BC205+Calculation!AS205+Calculation!DJ205</f>
        <v>92.434294878421468</v>
      </c>
      <c r="AG205" s="94">
        <f ca="1">IF(B205=TODAY(),0,Sheet1!AA203+Sheet1!BN203+'Calculations II'!BC205+'Calculations II'!P205-Sheet1!CT203-BP205)</f>
        <v>56.087352755239785</v>
      </c>
      <c r="AH205" s="94">
        <f ca="1">IF(B205=TODAY(),0,Sheet1!AA203+Sheet1!BN203+'Calculations II'!BC205+'Calculations II'!P205-BP205)</f>
        <v>73.047352755239785</v>
      </c>
      <c r="AI205" s="94">
        <f ca="1">IF(B205=TODAY(),0,BC205+Sheet1!AA203+Calculation!ES205+O205+W205+Sheet1!BN203+Calculation!AS205+Calculation!DJ205-BP205)</f>
        <v>92.434294878421468</v>
      </c>
      <c r="AJ205" s="94"/>
      <c r="AM205" s="90">
        <f t="shared" si="42"/>
        <v>42929</v>
      </c>
      <c r="AN205" s="94">
        <f>Sheet1!BU203</f>
        <v>27</v>
      </c>
      <c r="AO205" s="94">
        <f>Sheet1!AA203</f>
        <v>30.52</v>
      </c>
      <c r="AP205" s="94">
        <f t="shared" si="44"/>
        <v>-0.27699999999999902</v>
      </c>
      <c r="AQ205" s="1087">
        <f>((Sheet1!BV203-(Sheet1!BU203-AP205))/(Sheet1!BU203-AP205))</f>
        <v>0.18048172452982386</v>
      </c>
      <c r="AR205" s="94">
        <f t="shared" si="45"/>
        <v>30.796999999999997</v>
      </c>
      <c r="AS205" s="94">
        <f t="shared" si="46"/>
        <v>27.276999999999997</v>
      </c>
      <c r="AT205" s="89">
        <f>Sheet1!BB203</f>
        <v>0</v>
      </c>
      <c r="AU205" s="89">
        <f>Sheet1!AS203*GPMtoMGD</f>
        <v>3.8448000000000003E-2</v>
      </c>
      <c r="AV205" s="94">
        <f>Sheet1!AT203</f>
        <v>0</v>
      </c>
      <c r="AW205" s="89">
        <f>Sheet1!AV203*GPMtoMGD</f>
        <v>1.3040640000000001</v>
      </c>
      <c r="AX205" s="89">
        <f>Sheet1!AW203*GPMtoMGD</f>
        <v>2.8582560000000004</v>
      </c>
      <c r="AY205" s="89">
        <f>Sheet1!AX203*GPMtoMGD</f>
        <v>0</v>
      </c>
      <c r="AZ205" s="89">
        <f>Sheet1!AY203*GPMtoMGD</f>
        <v>0</v>
      </c>
      <c r="BA205" s="89">
        <f>Sheet1!AZ203*GPMtoMGD</f>
        <v>0</v>
      </c>
      <c r="BB205" s="89">
        <f>Sheet1!BP203*GPMtoMGD</f>
        <v>2.5920000000000001E-3</v>
      </c>
      <c r="BC205" s="89">
        <f>Sheet1!CS203*GPMtoMGD</f>
        <v>0</v>
      </c>
      <c r="BD205" s="89">
        <f>Sheet1!BO203*GPMtoMGD</f>
        <v>3.5501760000000004</v>
      </c>
      <c r="BE205" s="89">
        <f>Sheet1!BW203*GPMtoMGD</f>
        <v>1.8459360000000002</v>
      </c>
      <c r="BF205" s="89">
        <f>Sheet1!CN203*GPMtoMGD</f>
        <v>4.6260000000000003</v>
      </c>
      <c r="BG205" s="89">
        <f>Sheet1!CO203*GPMtoMGD</f>
        <v>1.616832</v>
      </c>
      <c r="BH205" s="89">
        <f>Sheet1!CP203*GPMtoMGD</f>
        <v>0.94752000000000003</v>
      </c>
      <c r="BI205" s="89">
        <f t="shared" si="43"/>
        <v>3.5527680000000004</v>
      </c>
      <c r="BK205" s="94">
        <f>SUM(AT205:BA205,AS205,BC205,Calculation!AQ205)</f>
        <v>76.600825876818334</v>
      </c>
      <c r="BM205" s="358">
        <f>0</f>
        <v>0</v>
      </c>
      <c r="BN205" s="358">
        <f>0</f>
        <v>0</v>
      </c>
      <c r="BP205" s="94">
        <f>SUM(BM205:BN205,W205,Sheet1!DX203)</f>
        <v>0</v>
      </c>
      <c r="BR205" s="94">
        <f>Sheet1!AA203</f>
        <v>30.52</v>
      </c>
      <c r="BS205" s="94">
        <f>Sheet1!AB203</f>
        <v>64.510000000000005</v>
      </c>
      <c r="BT205" s="94">
        <f t="shared" ref="BT205:BT268" ca="1" si="47">P205</f>
        <v>-2.6726472447602201</v>
      </c>
      <c r="BU205" s="94">
        <f>Sheet1!AT203</f>
        <v>0</v>
      </c>
      <c r="BV205" s="89">
        <f>Sheet1!BB203</f>
        <v>0</v>
      </c>
      <c r="BW205" s="94">
        <f>Calculation!ED205</f>
        <v>19.386942123181676</v>
      </c>
      <c r="BX205" s="94">
        <f>(Sheet1!CS203*1440)/1000000</f>
        <v>0</v>
      </c>
      <c r="CA205" s="94">
        <f ca="1">Sheet1!AC203-Sheet1!BK203-Sheet1!BL203-Sheet1!BM203-Sheet1!BC203-Sheet1!BD203-Sheet1!BE203-Sheet1!BF203-Sheet1!BG203-Sheet1!BH203-Sheet1!BI203+BC205+P205</f>
        <v>72.937352755239786</v>
      </c>
      <c r="CB205" s="93">
        <f t="shared" ref="CB205:CB268" si="48">(BR205+BS205-BW205)*1.547</f>
        <v>117.01981053543793</v>
      </c>
      <c r="CC205" s="94">
        <f t="shared" ref="CC205:CC268" si="49">BU205+BV205</f>
        <v>0</v>
      </c>
      <c r="CD205" s="94">
        <f t="shared" ref="CD205:CD268" ca="1" si="50">CA205+BW205</f>
        <v>92.324294878421455</v>
      </c>
      <c r="CE205" s="1077">
        <f t="shared" ref="CE205:CE268" ca="1" si="51">CD205*1.547</f>
        <v>142.82568417691797</v>
      </c>
      <c r="CG205" s="1077">
        <f t="shared" ref="CG205:CG268" ca="1" si="52">CA205-BU205-BV205-BP205</f>
        <v>72.937352755239786</v>
      </c>
    </row>
    <row r="206" spans="1:85" s="89" customFormat="1" x14ac:dyDescent="0.25">
      <c r="A206" s="616" t="s">
        <v>8</v>
      </c>
      <c r="B206" s="91">
        <v>42930</v>
      </c>
      <c r="C206" s="92">
        <v>0</v>
      </c>
      <c r="D206" s="94">
        <f>(Sheet1!BQ204-Sheet1!BQ203)*1.385</f>
        <v>-0.41550000000000098</v>
      </c>
      <c r="E206" s="30">
        <f>(Sheet1!BR204-Sheet1!BR203)*1.385</f>
        <v>-0.40165000000000373</v>
      </c>
      <c r="F206" s="30">
        <f ca="1">IF(B206=TODAY(),0,-(VLOOKUP(Sheet1!CD204,Lookup!$I$4:$J$216,2)-VLOOKUP(Sheet1!CD203,Lookup!$I$4:$J$216,2))/1000000)</f>
        <v>-0.62182163128679613</v>
      </c>
      <c r="G206" s="94">
        <f ca="1">IF(B206=TODAY(),0,-$G$6*(Sheet1!CF204-Sheet1!CF203)*7.48/1000000)</f>
        <v>0.2779945073679162</v>
      </c>
      <c r="H206" s="94">
        <f ca="1">IF(B206=TODAY(),0,-$H$6*(Sheet1!CE204-Sheet1!CE203)*7.48/1000000)</f>
        <v>-1.5039432351265274E-2</v>
      </c>
      <c r="I206" s="94">
        <f ca="1">IF(B206=TODAY(),0,-$I$6*(Sheet1!CG204-Sheet1!CG203)*7.48/1000000)</f>
        <v>6.2894832000000012E-2</v>
      </c>
      <c r="J206" s="95" t="s">
        <v>177</v>
      </c>
      <c r="K206" s="94">
        <f ca="1">IF(B206=TODAY(),0,-$K$6*(Sheet1!CH204-Sheet1!CH203)*7.48/1000000)</f>
        <v>9.9949805616876636E-2</v>
      </c>
      <c r="L206" s="95" t="s">
        <v>177</v>
      </c>
      <c r="M206" s="94">
        <f ca="1">IF(B206=TODAY(),0,-$M$6*(Sheet1!CI204-Sheet1!CI203)*7.48/1000000)</f>
        <v>0.26987262642040577</v>
      </c>
      <c r="N206" s="94">
        <f ca="1">IF(B206=TODAY(),0,-$N$6*(Sheet1!CJ204-Sheet1!CJ203)*7.48/1000000)</f>
        <v>0.25441461611795807</v>
      </c>
      <c r="O206" s="94">
        <f t="shared" ca="1" si="40"/>
        <v>0.32826532388509522</v>
      </c>
      <c r="P206" s="94">
        <f ca="1">O206+Calculation!ES206</f>
        <v>1.1595777481528902</v>
      </c>
      <c r="Q206" s="89" t="str">
        <f>IF(Sheet1!BQ204&gt;25.75,"spill elevation","-")</f>
        <v>-</v>
      </c>
      <c r="R206" s="89" t="str">
        <f>IF(Sheet1!BQ204&gt;25.75,"spill elevation","-")</f>
        <v>-</v>
      </c>
      <c r="S206" s="89" t="str">
        <f>IF(Sheet1!BR204&gt;25.75,"spill elevation","-")</f>
        <v>-</v>
      </c>
      <c r="T206" s="93">
        <f>IF(Sheet1!DU204=1,Sheet1!AA204-(SUM(AT206:BA206)+BE206),Sheet1!AA204-SUM(AT206:BA206))</f>
        <v>28.912063999999997</v>
      </c>
      <c r="U206" s="93">
        <f>Sheet1!BV204</f>
        <v>35.700000000000003</v>
      </c>
      <c r="V206" s="93">
        <f t="shared" si="41"/>
        <v>-6.7879360000000055</v>
      </c>
      <c r="W206" s="93">
        <f>0</f>
        <v>0</v>
      </c>
      <c r="X206" s="89">
        <f>0</f>
        <v>0</v>
      </c>
      <c r="Y206" s="94">
        <f ca="1">Calculation!EJ207+Calculation!ES206+'Calculations II'!O206-'Calculations II'!W206</f>
        <v>79.40055359136592</v>
      </c>
      <c r="Z206" s="94">
        <f ca="1">Y206-Sheet1!CT205</f>
        <v>62.674553591365921</v>
      </c>
      <c r="AA206" s="94">
        <f ca="1">Y206+Calculation!DJ207+Calculation!AS207</f>
        <v>99.84326170030576</v>
      </c>
      <c r="AC206" s="94">
        <f>Sheet1!AA204+Sheet1!AB204+BC206</f>
        <v>96.09</v>
      </c>
      <c r="AD206" s="94">
        <f>Sheet1!AA204+Sheet1!BN204+'Calculations II'!BC206-Calculation!AS206-Calculation!DJ206</f>
        <v>56.118980620765704</v>
      </c>
      <c r="AE206" s="94">
        <f>Sheet1!AA204+Sheet1!AB204+'Calculations II'!BC206-Calculation!AS206-Calculation!DJ206</f>
        <v>76.008980620765726</v>
      </c>
      <c r="AF206" s="94">
        <f ca="1">Sheet1!AA204+Sheet1!BN204+P206+'Calculations II'!BC206+Calculation!AS206+Calculation!DJ206</f>
        <v>97.44059712738715</v>
      </c>
      <c r="AG206" s="94">
        <f ca="1">IF(B206=TODAY(),0,Sheet1!AA204+Sheet1!BN204+'Calculations II'!BC206+'Calculations II'!P206-Sheet1!CT204-BP206)</f>
        <v>59.756577748152871</v>
      </c>
      <c r="AH206" s="94">
        <f ca="1">IF(B206=TODAY(),0,Sheet1!AA204+Sheet1!BN204+'Calculations II'!BC206+'Calculations II'!P206-BP206)</f>
        <v>77.359577748152873</v>
      </c>
      <c r="AI206" s="94">
        <f ca="1">IF(B206=TODAY(),0,BC206+Sheet1!AA204+Calculation!ES206+O206+W206+Sheet1!BN204+Calculation!AS206+Calculation!DJ206-BP206)</f>
        <v>97.440597127387178</v>
      </c>
      <c r="AJ206" s="94"/>
      <c r="AM206" s="90">
        <f t="shared" si="42"/>
        <v>42930</v>
      </c>
      <c r="AN206" s="94">
        <f>Sheet1!BU204</f>
        <v>29.5</v>
      </c>
      <c r="AO206" s="94">
        <f>Sheet1!AA204</f>
        <v>32.9</v>
      </c>
      <c r="AP206" s="94">
        <f t="shared" si="44"/>
        <v>-0.81715000000000471</v>
      </c>
      <c r="AQ206" s="1087">
        <f>((Sheet1!BV204-(Sheet1!BU204-AP206))/(Sheet1!BU204-AP206))</f>
        <v>0.17755131996246337</v>
      </c>
      <c r="AR206" s="94">
        <f t="shared" si="45"/>
        <v>33.717150000000004</v>
      </c>
      <c r="AS206" s="94">
        <f t="shared" si="46"/>
        <v>30.317150000000005</v>
      </c>
      <c r="AT206" s="89">
        <f>Sheet1!BB204</f>
        <v>0</v>
      </c>
      <c r="AU206" s="89">
        <f>Sheet1!AS204*GPMtoMGD</f>
        <v>3.7007999999999999E-2</v>
      </c>
      <c r="AV206" s="94">
        <f>Sheet1!AT204</f>
        <v>0</v>
      </c>
      <c r="AW206" s="89">
        <f>Sheet1!AV204*GPMtoMGD</f>
        <v>1.1688480000000001</v>
      </c>
      <c r="AX206" s="89">
        <f>Sheet1!AW204*GPMtoMGD</f>
        <v>2.7817920000000003</v>
      </c>
      <c r="AY206" s="89">
        <f>Sheet1!AX204*GPMtoMGD</f>
        <v>2.8800000000000001E-4</v>
      </c>
      <c r="AZ206" s="89">
        <f>Sheet1!AY204*GPMtoMGD</f>
        <v>0</v>
      </c>
      <c r="BA206" s="89">
        <f>Sheet1!AZ204*GPMtoMGD</f>
        <v>0</v>
      </c>
      <c r="BB206" s="89">
        <f>Sheet1!BP204*GPMtoMGD</f>
        <v>2.4480000000000001E-3</v>
      </c>
      <c r="BC206" s="89">
        <f>Sheet1!CS204*GPMtoMGD</f>
        <v>0</v>
      </c>
      <c r="BD206" s="89">
        <f>Sheet1!BO204*GPMtoMGD</f>
        <v>3.6671040000000001</v>
      </c>
      <c r="BE206" s="89">
        <f>Sheet1!BW204*GPMtoMGD</f>
        <v>1.9972800000000002</v>
      </c>
      <c r="BF206" s="89">
        <f>Sheet1!CN204*GPMtoMGD</f>
        <v>5.1112800000000007</v>
      </c>
      <c r="BG206" s="89">
        <f>Sheet1!CO204*GPMtoMGD</f>
        <v>1.660752</v>
      </c>
      <c r="BH206" s="89">
        <f>Sheet1!CP204*GPMtoMGD</f>
        <v>0.95572800000000013</v>
      </c>
      <c r="BI206" s="89">
        <f t="shared" si="43"/>
        <v>3.6695519999999999</v>
      </c>
      <c r="BK206" s="94">
        <f>SUM(AT206:BA206,AS206,BC206,Calculation!AQ206)</f>
        <v>77.414066620765709</v>
      </c>
      <c r="BM206" s="358">
        <f>0</f>
        <v>0</v>
      </c>
      <c r="BN206" s="358">
        <f>0</f>
        <v>0</v>
      </c>
      <c r="BP206" s="94">
        <f>SUM(BM206:BN206,W206,Sheet1!DX204)</f>
        <v>0</v>
      </c>
      <c r="BR206" s="94">
        <f>Sheet1!AA204</f>
        <v>32.9</v>
      </c>
      <c r="BS206" s="94">
        <f>Sheet1!AB204</f>
        <v>63.19</v>
      </c>
      <c r="BT206" s="94">
        <f t="shared" ca="1" si="47"/>
        <v>1.1595777481528902</v>
      </c>
      <c r="BU206" s="94">
        <f>Sheet1!AT204</f>
        <v>0</v>
      </c>
      <c r="BV206" s="89">
        <f>Sheet1!BB204</f>
        <v>0</v>
      </c>
      <c r="BW206" s="94">
        <f>Calculation!ED206</f>
        <v>20.081019379234284</v>
      </c>
      <c r="BX206" s="94">
        <f>(Sheet1!CS204*1440)/1000000</f>
        <v>0</v>
      </c>
      <c r="CA206" s="94">
        <f ca="1">Sheet1!AC204-Sheet1!BK204-Sheet1!BL204-Sheet1!BM204-Sheet1!BC204-Sheet1!BD204-Sheet1!BE204-Sheet1!BF204-Sheet1!BG204-Sheet1!BH204-Sheet1!BI204+BC206+P206</f>
        <v>77.079577748152886</v>
      </c>
      <c r="CB206" s="93">
        <f t="shared" si="48"/>
        <v>117.58589302032458</v>
      </c>
      <c r="CC206" s="94">
        <f t="shared" si="49"/>
        <v>0</v>
      </c>
      <c r="CD206" s="94">
        <f t="shared" ca="1" si="50"/>
        <v>97.160597127387177</v>
      </c>
      <c r="CE206" s="1077">
        <f t="shared" ca="1" si="51"/>
        <v>150.30744375606795</v>
      </c>
      <c r="CG206" s="1077">
        <f t="shared" ca="1" si="52"/>
        <v>77.079577748152886</v>
      </c>
    </row>
    <row r="207" spans="1:85" s="89" customFormat="1" x14ac:dyDescent="0.25">
      <c r="A207" s="616" t="s">
        <v>9</v>
      </c>
      <c r="B207" s="91">
        <v>42931</v>
      </c>
      <c r="C207" s="92">
        <v>0</v>
      </c>
      <c r="D207" s="94">
        <f>(Sheet1!BQ205-Sheet1!BQ204)*1.385</f>
        <v>1.2188000000000037</v>
      </c>
      <c r="E207" s="30">
        <f>(Sheet1!BR205-Sheet1!BR204)*1.385</f>
        <v>1.2188000000000037</v>
      </c>
      <c r="F207" s="30">
        <f ca="1">IF(B207=TODAY(),0,-(VLOOKUP(Sheet1!CD205,Lookup!$I$4:$J$216,2)-VLOOKUP(Sheet1!CD204,Lookup!$I$4:$J$216,2))/1000000)</f>
        <v>0.20727387709559872</v>
      </c>
      <c r="G207" s="94">
        <f ca="1">IF(B207=TODAY(),0,-$G$6*(Sheet1!CF205-Sheet1!CF204)*7.48/1000000)</f>
        <v>-0.47656201263071268</v>
      </c>
      <c r="H207" s="94">
        <f ca="1">IF(B207=TODAY(),0,-$H$6*(Sheet1!CE205-Sheet1!CE204)*7.48/1000000)</f>
        <v>-1.5039432351265274E-2</v>
      </c>
      <c r="I207" s="94">
        <f ca="1">IF(B207=TODAY(),0,-$I$6*(Sheet1!CG205-Sheet1!CG204)*7.48/1000000)</f>
        <v>4.9417367999999989E-2</v>
      </c>
      <c r="J207" s="95" t="s">
        <v>177</v>
      </c>
      <c r="K207" s="94">
        <f ca="1">IF(B207=TODAY(),0,-$K$6*(Sheet1!CH205-Sheet1!CH204)*7.48/1000000)</f>
        <v>7.995984449350127E-2</v>
      </c>
      <c r="L207" s="95" t="s">
        <v>177</v>
      </c>
      <c r="M207" s="94">
        <f ca="1">IF(B207=TODAY(),0,-$M$6*(Sheet1!CI205-Sheet1!CI204)*7.48/1000000)</f>
        <v>0.28786413484843265</v>
      </c>
      <c r="N207" s="94">
        <f ca="1">IF(B207=TODAY(),0,-$N$6*(Sheet1!CJ205-Sheet1!CJ204)*7.48/1000000)</f>
        <v>3.1026172697312393E-2</v>
      </c>
      <c r="O207" s="94">
        <f t="shared" ca="1" si="40"/>
        <v>0.16393995215286705</v>
      </c>
      <c r="P207" s="94">
        <f ca="1">O207+Calculation!ES207</f>
        <v>-2.3303434706427977</v>
      </c>
      <c r="Q207" s="89" t="str">
        <f>IF(Sheet1!BQ205&gt;25.75,"spill elevation","-")</f>
        <v>-</v>
      </c>
      <c r="R207" s="89" t="str">
        <f>IF(Sheet1!BQ205&gt;25.75,"spill elevation","-")</f>
        <v>-</v>
      </c>
      <c r="S207" s="89" t="str">
        <f>IF(Sheet1!BR205&gt;25.75,"spill elevation","-")</f>
        <v>-</v>
      </c>
      <c r="T207" s="93">
        <f>IF(Sheet1!DU205=1,Sheet1!AA205-(SUM(AT207:BA207)+BE207),Sheet1!AA205-SUM(AT207:BA207))</f>
        <v>28.720255999999999</v>
      </c>
      <c r="U207" s="93">
        <f>Sheet1!BV205</f>
        <v>32</v>
      </c>
      <c r="V207" s="93">
        <f t="shared" si="41"/>
        <v>-3.2797440000000009</v>
      </c>
      <c r="W207" s="93">
        <f>0</f>
        <v>0</v>
      </c>
      <c r="X207" s="89">
        <f>0</f>
        <v>0</v>
      </c>
      <c r="Y207" s="94">
        <f ca="1">Calculation!EJ208+Calculation!ES207+'Calculations II'!O207-'Calculations II'!W207</f>
        <v>74.538689272801165</v>
      </c>
      <c r="Z207" s="94">
        <f ca="1">Y207-Sheet1!CT206</f>
        <v>58.114689272801165</v>
      </c>
      <c r="AA207" s="94">
        <f ca="1">Y207+Calculation!DJ208+Calculation!AS208</f>
        <v>94.990971831475804</v>
      </c>
      <c r="AC207" s="94">
        <f>Sheet1!AA205+Sheet1!AB205+BC207</f>
        <v>97.740000000000009</v>
      </c>
      <c r="AD207" s="94">
        <f>Sheet1!AA205+Sheet1!BN205+'Calculations II'!BC207-Calculation!AS207-Calculation!DJ207</f>
        <v>56.957291891060166</v>
      </c>
      <c r="AE207" s="94">
        <f>Sheet1!AA205+Sheet1!AB205+'Calculations II'!BC207-Calculation!AS207-Calculation!DJ207</f>
        <v>77.297291891060169</v>
      </c>
      <c r="AF207" s="94">
        <f ca="1">Sheet1!AA205+Sheet1!BN205+P207+'Calculations II'!BC207+Calculation!AS207+Calculation!DJ207</f>
        <v>95.512364638297043</v>
      </c>
      <c r="AG207" s="94">
        <f ca="1">IF(B207=TODAY(),0,Sheet1!AA205+Sheet1!BN205+'Calculations II'!BC207+'Calculations II'!P207-Sheet1!CT205-BP207)</f>
        <v>58.343656529357204</v>
      </c>
      <c r="AH207" s="94">
        <f ca="1">IF(B207=TODAY(),0,Sheet1!AA205+Sheet1!BN205+'Calculations II'!BC207+'Calculations II'!P207-BP207)</f>
        <v>75.069656529357204</v>
      </c>
      <c r="AI207" s="94">
        <f ca="1">IF(B207=TODAY(),0,BC207+Sheet1!AA205+Calculation!ES207+O207+W207+Sheet1!BN205+Calculation!AS207+Calculation!DJ207-BP207)</f>
        <v>95.512364638297043</v>
      </c>
      <c r="AJ207" s="94"/>
      <c r="AM207" s="90">
        <f t="shared" si="42"/>
        <v>42931</v>
      </c>
      <c r="AN207" s="94">
        <f>Sheet1!BU205</f>
        <v>29.5</v>
      </c>
      <c r="AO207" s="94">
        <f>Sheet1!AA205</f>
        <v>32.9</v>
      </c>
      <c r="AP207" s="94">
        <f t="shared" si="44"/>
        <v>2.4376000000000073</v>
      </c>
      <c r="AQ207" s="1087">
        <f>((Sheet1!BV205-(Sheet1!BU205-AP207))/(Sheet1!BU205-AP207))</f>
        <v>0.1824524062906471</v>
      </c>
      <c r="AR207" s="94">
        <f t="shared" si="45"/>
        <v>30.462399999999992</v>
      </c>
      <c r="AS207" s="94">
        <f t="shared" si="46"/>
        <v>27.062399999999993</v>
      </c>
      <c r="AT207" s="89">
        <f>Sheet1!BB205</f>
        <v>0</v>
      </c>
      <c r="AU207" s="89">
        <f>Sheet1!AS205*GPMtoMGD</f>
        <v>3.6144000000000003E-2</v>
      </c>
      <c r="AV207" s="94">
        <f>Sheet1!AT205</f>
        <v>0</v>
      </c>
      <c r="AW207" s="89">
        <f>Sheet1!AV205*GPMtoMGD</f>
        <v>1.3906080000000001</v>
      </c>
      <c r="AX207" s="89">
        <f>Sheet1!AW205*GPMtoMGD</f>
        <v>2.7529920000000003</v>
      </c>
      <c r="AY207" s="89">
        <f>Sheet1!AX205*GPMtoMGD</f>
        <v>0</v>
      </c>
      <c r="AZ207" s="89">
        <f>Sheet1!AY205*GPMtoMGD</f>
        <v>0</v>
      </c>
      <c r="BA207" s="89">
        <f>Sheet1!AZ205*GPMtoMGD</f>
        <v>0</v>
      </c>
      <c r="BB207" s="89">
        <f>Sheet1!BP205*GPMtoMGD</f>
        <v>2.3040000000000001E-3</v>
      </c>
      <c r="BC207" s="89">
        <f>Sheet1!CS205*GPMtoMGD</f>
        <v>0</v>
      </c>
      <c r="BD207" s="89">
        <f>Sheet1!BO205*GPMtoMGD</f>
        <v>3.6171360000000004</v>
      </c>
      <c r="BE207" s="89">
        <f>Sheet1!BW205*GPMtoMGD</f>
        <v>1.919232</v>
      </c>
      <c r="BF207" s="89">
        <f>Sheet1!CN205*GPMtoMGD</f>
        <v>5.0516640000000006</v>
      </c>
      <c r="BG207" s="89">
        <f>Sheet1!CO205*GPMtoMGD</f>
        <v>1.6623360000000003</v>
      </c>
      <c r="BH207" s="89">
        <f>Sheet1!CP205*GPMtoMGD</f>
        <v>0.88948800000000017</v>
      </c>
      <c r="BI207" s="89">
        <f t="shared" si="43"/>
        <v>3.6194400000000004</v>
      </c>
      <c r="BK207" s="94">
        <f>SUM(AT207:BA207,AS207,BC207,Calculation!AQ207)</f>
        <v>75.63943589106016</v>
      </c>
      <c r="BM207" s="358">
        <f>0</f>
        <v>0</v>
      </c>
      <c r="BN207" s="358">
        <f>0</f>
        <v>0</v>
      </c>
      <c r="BP207" s="94">
        <f>SUM(BM207:BN207,W207,Sheet1!DX205)</f>
        <v>0</v>
      </c>
      <c r="BR207" s="94">
        <f>Sheet1!AA205</f>
        <v>32.9</v>
      </c>
      <c r="BS207" s="94">
        <f>Sheet1!AB205</f>
        <v>64.84</v>
      </c>
      <c r="BT207" s="94">
        <f t="shared" ca="1" si="47"/>
        <v>-2.3303434706427977</v>
      </c>
      <c r="BU207" s="94">
        <f>Sheet1!AT205</f>
        <v>0</v>
      </c>
      <c r="BV207" s="89">
        <f>Sheet1!BB205</f>
        <v>0</v>
      </c>
      <c r="BW207" s="94">
        <f>Calculation!ED207</f>
        <v>20.44270810893984</v>
      </c>
      <c r="BX207" s="94">
        <f>(Sheet1!CS205*1440)/1000000</f>
        <v>0</v>
      </c>
      <c r="CA207" s="94">
        <f ca="1">Sheet1!AC205-Sheet1!BK205-Sheet1!BL205-Sheet1!BM205-Sheet1!BC205-Sheet1!BD205-Sheet1!BE205-Sheet1!BF205-Sheet1!BG205-Sheet1!BH205-Sheet1!BI205+BC207+P207</f>
        <v>74.919656529357212</v>
      </c>
      <c r="CB207" s="93">
        <f t="shared" si="48"/>
        <v>119.57891055547007</v>
      </c>
      <c r="CC207" s="94">
        <f t="shared" si="49"/>
        <v>0</v>
      </c>
      <c r="CD207" s="94">
        <f t="shared" ca="1" si="50"/>
        <v>95.362364638297052</v>
      </c>
      <c r="CE207" s="1077">
        <f t="shared" ca="1" si="51"/>
        <v>147.52557809544552</v>
      </c>
      <c r="CG207" s="1077">
        <f t="shared" ca="1" si="52"/>
        <v>74.919656529357212</v>
      </c>
    </row>
    <row r="208" spans="1:85" s="89" customFormat="1" x14ac:dyDescent="0.25">
      <c r="A208" s="616" t="s">
        <v>3</v>
      </c>
      <c r="B208" s="91">
        <v>42932</v>
      </c>
      <c r="C208" s="92">
        <v>0</v>
      </c>
      <c r="D208" s="94">
        <f>(Sheet1!BQ206-Sheet1!BQ205)*1.385</f>
        <v>0.63709999999999622</v>
      </c>
      <c r="E208" s="30">
        <f>(Sheet1!BR206-Sheet1!BR205)*1.385</f>
        <v>0.65094999999999847</v>
      </c>
      <c r="F208" s="30">
        <f ca="1">IF(B208=TODAY(),0,-(VLOOKUP(Sheet1!CD206,Lookup!$I$4:$J$216,2)-VLOOKUP(Sheet1!CD205,Lookup!$I$4:$J$216,2))/1000000)</f>
        <v>-0.62182163128680368</v>
      </c>
      <c r="G208" s="94">
        <f ca="1">IF(B208=TODAY(),0,-$G$6*(Sheet1!CF206-Sheet1!CF205)*7.48/1000000)</f>
        <v>7.9427002105119729E-2</v>
      </c>
      <c r="H208" s="94">
        <f ca="1">IF(B208=TODAY(),0,-$H$6*(Sheet1!CE206-Sheet1!CE205)*7.48/1000000)</f>
        <v>-1.5039432351265274E-2</v>
      </c>
      <c r="I208" s="94">
        <f ca="1">IF(B208=TODAY(),0,-$I$6*(Sheet1!CG206-Sheet1!CG205)*7.48/1000000)</f>
        <v>-4.806962159999998E-2</v>
      </c>
      <c r="J208" s="95" t="s">
        <v>177</v>
      </c>
      <c r="K208" s="94">
        <f ca="1">IF(B208=TODAY(),0,-$K$6*(Sheet1!CH206-Sheet1!CH205)*7.48/1000000)</f>
        <v>-7.1297528006705232E-2</v>
      </c>
      <c r="L208" s="95" t="s">
        <v>177</v>
      </c>
      <c r="M208" s="94">
        <f ca="1">IF(B208=TODAY(),0,-$M$6*(Sheet1!CI206-Sheet1!CI205)*7.48/1000000)</f>
        <v>-0.25188111799237872</v>
      </c>
      <c r="N208" s="94">
        <f ca="1">IF(B208=TODAY(),0,-$N$6*(Sheet1!CJ206-Sheet1!CJ205)*7.48/1000000)</f>
        <v>-0.3536983687493564</v>
      </c>
      <c r="O208" s="94">
        <f t="shared" ca="1" si="40"/>
        <v>-1.2823806978813894</v>
      </c>
      <c r="P208" s="94">
        <f ca="1">O208+Calculation!ES208</f>
        <v>-2.6685424614338986</v>
      </c>
      <c r="Q208" s="89" t="str">
        <f>IF(Sheet1!BQ206&gt;25.75,"spill elevation","-")</f>
        <v>-</v>
      </c>
      <c r="R208" s="89" t="str">
        <f>IF(Sheet1!BQ206&gt;25.75,"spill elevation","-")</f>
        <v>-</v>
      </c>
      <c r="S208" s="89" t="str">
        <f>IF(Sheet1!BR206&gt;25.75,"spill elevation","-")</f>
        <v>-</v>
      </c>
      <c r="T208" s="93">
        <f>IF(Sheet1!DU206=1,Sheet1!AA206-(SUM(AT208:BA208)+BE208),Sheet1!AA206-SUM(AT208:BA208))</f>
        <v>28.326304</v>
      </c>
      <c r="U208" s="93">
        <f>Sheet1!BV206</f>
        <v>32.700000000000003</v>
      </c>
      <c r="V208" s="93">
        <f t="shared" si="41"/>
        <v>-4.3736960000000025</v>
      </c>
      <c r="W208" s="93">
        <f>0</f>
        <v>0</v>
      </c>
      <c r="X208" s="89">
        <f>0</f>
        <v>0</v>
      </c>
      <c r="Y208" s="94">
        <f ca="1">Calculation!EJ209+Calculation!ES208+'Calculations II'!O208-'Calculations II'!W208</f>
        <v>73.554587632991613</v>
      </c>
      <c r="Z208" s="94">
        <f ca="1">Y208-Sheet1!CT207</f>
        <v>57.295587632991612</v>
      </c>
      <c r="AA208" s="94">
        <f ca="1">Y208+Calculation!DJ209+Calculation!AS209</f>
        <v>93.943593432494509</v>
      </c>
      <c r="AC208" s="94">
        <f>Sheet1!AA206+Sheet1!AB206+BC208</f>
        <v>97.929999999999993</v>
      </c>
      <c r="AD208" s="94">
        <f>Sheet1!AA206+Sheet1!BN206+'Calculations II'!BC208-Calculation!AS208-Calculation!DJ208</f>
        <v>57.107717441325363</v>
      </c>
      <c r="AE208" s="94">
        <f>Sheet1!AA206+Sheet1!AB206+'Calculations II'!BC208-Calculation!AS208-Calculation!DJ208</f>
        <v>77.477717441325353</v>
      </c>
      <c r="AF208" s="94">
        <f ca="1">Sheet1!AA206+Sheet1!BN206+P208+'Calculations II'!BC208+Calculation!AS208+Calculation!DJ208</f>
        <v>95.34374009724074</v>
      </c>
      <c r="AG208" s="94">
        <f ca="1">IF(B208=TODAY(),0,Sheet1!AA206+Sheet1!BN206+'Calculations II'!BC208+'Calculations II'!P208-Sheet1!CT206-BP208)</f>
        <v>58.467457538566102</v>
      </c>
      <c r="AH208" s="94">
        <f ca="1">IF(B208=TODAY(),0,Sheet1!AA206+Sheet1!BN206+'Calculations II'!BC208+'Calculations II'!P208-BP208)</f>
        <v>74.891457538566101</v>
      </c>
      <c r="AI208" s="94">
        <f ca="1">IF(B208=TODAY(),0,BC208+Sheet1!AA206+Calculation!ES208+O208+W208+Sheet1!BN206+Calculation!AS208+Calculation!DJ208-BP208)</f>
        <v>95.34374009724074</v>
      </c>
      <c r="AJ208" s="94"/>
      <c r="AM208" s="90">
        <f t="shared" si="42"/>
        <v>42932</v>
      </c>
      <c r="AN208" s="94">
        <f>Sheet1!BU206</f>
        <v>29</v>
      </c>
      <c r="AO208" s="94">
        <f>Sheet1!AA206</f>
        <v>32.86</v>
      </c>
      <c r="AP208" s="94">
        <f t="shared" si="44"/>
        <v>1.2880499999999948</v>
      </c>
      <c r="AQ208" s="1087">
        <f>((Sheet1!BV206-(Sheet1!BU206-AP208))/(Sheet1!BU206-AP208))</f>
        <v>0.17999635536293898</v>
      </c>
      <c r="AR208" s="94">
        <f t="shared" si="45"/>
        <v>31.571950000000005</v>
      </c>
      <c r="AS208" s="94">
        <f t="shared" si="46"/>
        <v>27.711950000000005</v>
      </c>
      <c r="AT208" s="89">
        <f>Sheet1!BB206</f>
        <v>0</v>
      </c>
      <c r="AU208" s="89">
        <f>Sheet1!AS206*GPMtoMGD</f>
        <v>3.5279999999999999E-2</v>
      </c>
      <c r="AV208" s="94">
        <f>Sheet1!AT206</f>
        <v>0</v>
      </c>
      <c r="AW208" s="89">
        <f>Sheet1!AV206*GPMtoMGD</f>
        <v>1.6868160000000003</v>
      </c>
      <c r="AX208" s="89">
        <f>Sheet1!AW206*GPMtoMGD</f>
        <v>2.8116000000000003</v>
      </c>
      <c r="AY208" s="89">
        <f>Sheet1!AX206*GPMtoMGD</f>
        <v>0</v>
      </c>
      <c r="AZ208" s="89">
        <f>Sheet1!AY206*GPMtoMGD</f>
        <v>0</v>
      </c>
      <c r="BA208" s="89">
        <f>Sheet1!AZ206*GPMtoMGD</f>
        <v>0</v>
      </c>
      <c r="BB208" s="89">
        <f>Sheet1!BP206*GPMtoMGD</f>
        <v>2.3040000000000001E-3</v>
      </c>
      <c r="BC208" s="89">
        <f>Sheet1!CS206*GPMtoMGD</f>
        <v>0</v>
      </c>
      <c r="BD208" s="89">
        <f>Sheet1!BO206*GPMtoMGD</f>
        <v>4.3066079999999998</v>
      </c>
      <c r="BE208" s="89">
        <f>Sheet1!BW206*GPMtoMGD</f>
        <v>1.9604160000000002</v>
      </c>
      <c r="BF208" s="89">
        <f>Sheet1!CN206*GPMtoMGD</f>
        <v>5.2480800000000007</v>
      </c>
      <c r="BG208" s="89">
        <f>Sheet1!CO206*GPMtoMGD</f>
        <v>1.6488</v>
      </c>
      <c r="BH208" s="89">
        <f>Sheet1!CP206*GPMtoMGD</f>
        <v>0.94132800000000016</v>
      </c>
      <c r="BI208" s="89">
        <f t="shared" si="43"/>
        <v>4.3089119999999994</v>
      </c>
      <c r="BK208" s="94">
        <f>SUM(AT208:BA208,AS208,BC208,Calculation!AQ208)</f>
        <v>76.863363441325362</v>
      </c>
      <c r="BM208" s="358">
        <f>0</f>
        <v>0</v>
      </c>
      <c r="BN208" s="358">
        <f>0</f>
        <v>0</v>
      </c>
      <c r="BP208" s="94">
        <f>SUM(BM208:BN208,W208,Sheet1!DX206)</f>
        <v>0</v>
      </c>
      <c r="BR208" s="94">
        <f>Sheet1!AA206</f>
        <v>32.86</v>
      </c>
      <c r="BS208" s="94">
        <f>Sheet1!AB206</f>
        <v>65.069999999999993</v>
      </c>
      <c r="BT208" s="94">
        <f t="shared" ca="1" si="47"/>
        <v>-2.6685424614338986</v>
      </c>
      <c r="BU208" s="94">
        <f>Sheet1!AT206</f>
        <v>0</v>
      </c>
      <c r="BV208" s="89">
        <f>Sheet1!BB206</f>
        <v>0</v>
      </c>
      <c r="BW208" s="94">
        <f>Calculation!ED208</f>
        <v>20.452282558674643</v>
      </c>
      <c r="BX208" s="94">
        <f>(Sheet1!CS206*1440)/1000000</f>
        <v>0</v>
      </c>
      <c r="CA208" s="94">
        <f ca="1">Sheet1!AC206-Sheet1!BK206-Sheet1!BL206-Sheet1!BM206-Sheet1!BC206-Sheet1!BD206-Sheet1!BE206-Sheet1!BF206-Sheet1!BG206-Sheet1!BH206-Sheet1!BI206+BC208+P208</f>
        <v>74.771457538566096</v>
      </c>
      <c r="CB208" s="93">
        <f t="shared" si="48"/>
        <v>119.85802888173032</v>
      </c>
      <c r="CC208" s="94">
        <f t="shared" si="49"/>
        <v>0</v>
      </c>
      <c r="CD208" s="94">
        <f t="shared" ca="1" si="50"/>
        <v>95.223740097240736</v>
      </c>
      <c r="CE208" s="1077">
        <f t="shared" ca="1" si="51"/>
        <v>147.31112593043142</v>
      </c>
      <c r="CG208" s="1077">
        <f t="shared" ca="1" si="52"/>
        <v>74.771457538566096</v>
      </c>
    </row>
    <row r="209" spans="1:85" s="89" customFormat="1" x14ac:dyDescent="0.25">
      <c r="A209" s="616" t="s">
        <v>4</v>
      </c>
      <c r="B209" s="91">
        <v>42933</v>
      </c>
      <c r="C209" s="92">
        <v>0</v>
      </c>
      <c r="D209" s="94">
        <f>(Sheet1!BQ207-Sheet1!BQ206)*1.385</f>
        <v>-0.42934999999999823</v>
      </c>
      <c r="E209" s="30">
        <f>(Sheet1!BR207-Sheet1!BR206)*1.385</f>
        <v>-0.47089999999999982</v>
      </c>
      <c r="F209" s="30">
        <f ca="1">IF(B209=TODAY(),0,-(VLOOKUP(Sheet1!CD207,Lookup!$I$4:$J$216,2)-VLOOKUP(Sheet1!CD206,Lookup!$I$4:$J$216,2))/1000000)</f>
        <v>0.10363693854780681</v>
      </c>
      <c r="G209" s="94">
        <f ca="1">IF(B209=TODAY(),0,-$G$6*(Sheet1!CF207-Sheet1!CF206)*7.48/1000000)</f>
        <v>0.23828100631535493</v>
      </c>
      <c r="H209" s="94">
        <f ca="1">IF(B209=TODAY(),0,-$H$6*(Sheet1!CE207-Sheet1!CE206)*7.48/1000000)</f>
        <v>1.5039432351265274E-2</v>
      </c>
      <c r="I209" s="94">
        <f ca="1">IF(B209=TODAY(),0,-$I$6*(Sheet1!CG207-Sheet1!CG206)*7.48/1000000)</f>
        <v>-7.3227554399999992E-2</v>
      </c>
      <c r="J209" s="95" t="s">
        <v>177</v>
      </c>
      <c r="K209" s="94">
        <f ca="1">IF(B209=TODAY(),0,-$K$6*(Sheet1!CH207-Sheet1!CH206)*7.48/1000000)</f>
        <v>-0.12860208322704803</v>
      </c>
      <c r="L209" s="95" t="s">
        <v>177</v>
      </c>
      <c r="M209" s="94">
        <f ca="1">IF(B209=TODAY(),0,-$M$6*(Sheet1!CI207-Sheet1!CI206)*7.48/1000000)</f>
        <v>-0.34183866013251368</v>
      </c>
      <c r="N209" s="94">
        <f ca="1">IF(B209=TODAY(),0,-$N$6*(Sheet1!CJ207-Sheet1!CJ206)*7.48/1000000)</f>
        <v>7.4462814473548189E-2</v>
      </c>
      <c r="O209" s="94">
        <f t="shared" ca="1" si="40"/>
        <v>-0.11224810607158653</v>
      </c>
      <c r="P209" s="94">
        <f ca="1">O209+Calculation!ES209</f>
        <v>0.85811962367127581</v>
      </c>
      <c r="Q209" s="89" t="str">
        <f>IF(Sheet1!BQ207&gt;25.75,"spill elevation","-")</f>
        <v>-</v>
      </c>
      <c r="R209" s="89" t="str">
        <f>IF(Sheet1!BQ207&gt;25.75,"spill elevation","-")</f>
        <v>-</v>
      </c>
      <c r="S209" s="89" t="str">
        <f>IF(Sheet1!BR207&gt;25.75,"spill elevation","-")</f>
        <v>-</v>
      </c>
      <c r="T209" s="93">
        <f>IF(Sheet1!DU207=1,Sheet1!AA207-(SUM(AT209:BA209)+BE209),Sheet1!AA207-SUM(AT209:BA209))</f>
        <v>32.165616</v>
      </c>
      <c r="U209" s="93">
        <f>Sheet1!BV207</f>
        <v>39.5</v>
      </c>
      <c r="V209" s="93">
        <f t="shared" si="41"/>
        <v>-7.334384</v>
      </c>
      <c r="W209" s="93">
        <f>0</f>
        <v>0</v>
      </c>
      <c r="X209" s="89">
        <f>0</f>
        <v>0</v>
      </c>
      <c r="Y209" s="94">
        <f ca="1">Calculation!EJ210+Calculation!ES209+'Calculations II'!O209-'Calculations II'!W209</f>
        <v>80.049440206321904</v>
      </c>
      <c r="Z209" s="94">
        <f ca="1">Y209-Sheet1!CT208</f>
        <v>63.705440206321903</v>
      </c>
      <c r="AA209" s="94">
        <f ca="1">Y209+Calculation!DJ210+Calculation!AS210</f>
        <v>100.4946536738679</v>
      </c>
      <c r="AC209" s="94">
        <f>Sheet1!AA207+Sheet1!AB207+BC209</f>
        <v>96.289999999999992</v>
      </c>
      <c r="AD209" s="94">
        <f>Sheet1!AA207+Sheet1!BN207+'Calculations II'!BC209-Calculation!AS209-Calculation!DJ209</f>
        <v>55.630994200497092</v>
      </c>
      <c r="AE209" s="94">
        <f>Sheet1!AA207+Sheet1!AB207+'Calculations II'!BC209-Calculation!AS209-Calculation!DJ209</f>
        <v>75.900994200497081</v>
      </c>
      <c r="AF209" s="94">
        <f ca="1">Sheet1!AA207+Sheet1!BN207+P209+'Calculations II'!BC209+Calculation!AS209+Calculation!DJ209</f>
        <v>97.267125423174178</v>
      </c>
      <c r="AG209" s="94">
        <f ca="1">IF(B209=TODAY(),0,Sheet1!AA207+Sheet1!BN207+'Calculations II'!BC209+'Calculations II'!P209-Sheet1!CT207-BP209)</f>
        <v>60.619119623671267</v>
      </c>
      <c r="AH209" s="94">
        <f ca="1">IF(B209=TODAY(),0,Sheet1!AA207+Sheet1!BN207+'Calculations II'!BC209+'Calculations II'!P209-BP209)</f>
        <v>76.878119623671267</v>
      </c>
      <c r="AI209" s="94">
        <f ca="1">IF(B209=TODAY(),0,BC209+Sheet1!AA207+Calculation!ES209+O209+W209+Sheet1!BN207+Calculation!AS209+Calculation!DJ209-BP209)</f>
        <v>97.267125423174178</v>
      </c>
      <c r="AJ209" s="94"/>
      <c r="AM209" s="90">
        <f t="shared" si="42"/>
        <v>42933</v>
      </c>
      <c r="AN209" s="94">
        <f>Sheet1!BU207</f>
        <v>32.6</v>
      </c>
      <c r="AO209" s="94">
        <f>Sheet1!AA207</f>
        <v>36.119999999999997</v>
      </c>
      <c r="AP209" s="94">
        <f t="shared" si="44"/>
        <v>-0.900249999999998</v>
      </c>
      <c r="AQ209" s="1087">
        <f>((Sheet1!BV207-(Sheet1!BU207-AP209))/(Sheet1!BU207-AP209))</f>
        <v>0.17909567839045973</v>
      </c>
      <c r="AR209" s="94">
        <f t="shared" si="45"/>
        <v>37.020249999999997</v>
      </c>
      <c r="AS209" s="94">
        <f t="shared" si="46"/>
        <v>33.500250000000001</v>
      </c>
      <c r="AT209" s="89">
        <f>Sheet1!BB207</f>
        <v>0</v>
      </c>
      <c r="AU209" s="89">
        <f>Sheet1!AS207*GPMtoMGD</f>
        <v>3.9312000000000007E-2</v>
      </c>
      <c r="AV209" s="94">
        <f>Sheet1!AT207</f>
        <v>0</v>
      </c>
      <c r="AW209" s="89">
        <f>Sheet1!AV207*GPMtoMGD</f>
        <v>1.1962080000000002</v>
      </c>
      <c r="AX209" s="89">
        <f>Sheet1!AW207*GPMtoMGD</f>
        <v>2.7188639999999999</v>
      </c>
      <c r="AY209" s="89">
        <f>Sheet1!AX207*GPMtoMGD</f>
        <v>0</v>
      </c>
      <c r="AZ209" s="89">
        <f>Sheet1!AY207*GPMtoMGD</f>
        <v>0</v>
      </c>
      <c r="BA209" s="89">
        <f>Sheet1!AZ207*GPMtoMGD</f>
        <v>0</v>
      </c>
      <c r="BB209" s="89">
        <f>Sheet1!BP207*GPMtoMGD</f>
        <v>1.8720000000000002E-3</v>
      </c>
      <c r="BC209" s="89">
        <f>Sheet1!CS207*GPMtoMGD</f>
        <v>0</v>
      </c>
      <c r="BD209" s="89">
        <f>Sheet1!BO207*GPMtoMGD</f>
        <v>4.6134720000000007</v>
      </c>
      <c r="BE209" s="89">
        <f>Sheet1!BW207*GPMtoMGD</f>
        <v>1.9723680000000001</v>
      </c>
      <c r="BF209" s="89">
        <f>Sheet1!CN207*GPMtoMGD</f>
        <v>5.0296320000000003</v>
      </c>
      <c r="BG209" s="89">
        <f>Sheet1!CO207*GPMtoMGD</f>
        <v>1.7084160000000002</v>
      </c>
      <c r="BH209" s="89">
        <f>Sheet1!CP207*GPMtoMGD</f>
        <v>0.99518400000000007</v>
      </c>
      <c r="BI209" s="89">
        <f t="shared" si="43"/>
        <v>4.6153440000000003</v>
      </c>
      <c r="BK209" s="94">
        <f>SUM(AT209:BA209,AS209,BC209,Calculation!AQ209)</f>
        <v>77.235628200497104</v>
      </c>
      <c r="BM209" s="358">
        <f>0</f>
        <v>0</v>
      </c>
      <c r="BN209" s="358">
        <f>0</f>
        <v>0</v>
      </c>
      <c r="BP209" s="94">
        <f>SUM(BM209:BN209,W209,Sheet1!DX207)</f>
        <v>0</v>
      </c>
      <c r="BR209" s="94">
        <f>Sheet1!AA207</f>
        <v>36.119999999999997</v>
      </c>
      <c r="BS209" s="94">
        <f>Sheet1!AB207</f>
        <v>60.17</v>
      </c>
      <c r="BT209" s="94">
        <f t="shared" ca="1" si="47"/>
        <v>0.85811962367127581</v>
      </c>
      <c r="BU209" s="94">
        <f>Sheet1!AT207</f>
        <v>0</v>
      </c>
      <c r="BV209" s="89">
        <f>Sheet1!BB207</f>
        <v>0</v>
      </c>
      <c r="BW209" s="94">
        <f>Calculation!ED209</f>
        <v>20.389005799502904</v>
      </c>
      <c r="BX209" s="94">
        <f>(Sheet1!CS207*1440)/1000000</f>
        <v>0</v>
      </c>
      <c r="CA209" s="94">
        <f ca="1">Sheet1!AC207-Sheet1!BK207-Sheet1!BL207-Sheet1!BM207-Sheet1!BC207-Sheet1!BD207-Sheet1!BE207-Sheet1!BF207-Sheet1!BG207-Sheet1!BH207-Sheet1!BI207+BC209+P209</f>
        <v>76.698119623671261</v>
      </c>
      <c r="CB209" s="93">
        <f t="shared" si="48"/>
        <v>117.41883802816898</v>
      </c>
      <c r="CC209" s="94">
        <f t="shared" si="49"/>
        <v>0</v>
      </c>
      <c r="CD209" s="94">
        <f t="shared" ca="1" si="50"/>
        <v>97.087125423174172</v>
      </c>
      <c r="CE209" s="1077">
        <f t="shared" ca="1" si="51"/>
        <v>150.19378302965043</v>
      </c>
      <c r="CG209" s="1077">
        <f t="shared" ca="1" si="52"/>
        <v>76.698119623671261</v>
      </c>
    </row>
    <row r="210" spans="1:85" s="89" customFormat="1" x14ac:dyDescent="0.25">
      <c r="A210" s="616" t="s">
        <v>5</v>
      </c>
      <c r="B210" s="91">
        <v>42934</v>
      </c>
      <c r="C210" s="92">
        <v>0</v>
      </c>
      <c r="D210" s="94">
        <f>(Sheet1!BQ208-Sheet1!BQ207)*1.385</f>
        <v>0.29085000000000116</v>
      </c>
      <c r="E210" s="30">
        <f>(Sheet1!BR208-Sheet1!BR207)*1.385</f>
        <v>0.26315000000000177</v>
      </c>
      <c r="F210" s="30">
        <f ca="1">IF(B210=TODAY(),0,-(VLOOKUP(Sheet1!CD208,Lookup!$I$4:$J$216,2)-VLOOKUP(Sheet1!CD207,Lookup!$I$4:$J$216,2))/1000000)</f>
        <v>0.31091081564339806</v>
      </c>
      <c r="G210" s="94">
        <f ca="1">IF(B210=TODAY(),0,-$G$6*(Sheet1!CF208-Sheet1!CF207)*7.48/1000000)</f>
        <v>0.15885400421023804</v>
      </c>
      <c r="H210" s="94">
        <f ca="1">IF(B210=TODAY(),0,-$H$6*(Sheet1!CE208-Sheet1!CE207)*7.48/1000000)</f>
        <v>0</v>
      </c>
      <c r="I210" s="94">
        <f ca="1">IF(B210=TODAY(),0,-$I$6*(Sheet1!CG208-Sheet1!CG207)*7.48/1000000)</f>
        <v>2.8302674399999995E-2</v>
      </c>
      <c r="J210" s="95" t="s">
        <v>177</v>
      </c>
      <c r="K210" s="94">
        <f ca="1">IF(B210=TODAY(),0,-$K$6*(Sheet1!CH208-Sheet1!CH207)*7.48/1000000)</f>
        <v>5.1973898920775932E-2</v>
      </c>
      <c r="L210" s="95" t="s">
        <v>177</v>
      </c>
      <c r="M210" s="94">
        <f ca="1">IF(B210=TODAY(),0,-$M$6*(Sheet1!CI208-Sheet1!CI207)*7.48/1000000)</f>
        <v>0.12594055899618922</v>
      </c>
      <c r="N210" s="94">
        <f ca="1">IF(B210=TODAY(),0,-$N$6*(Sheet1!CJ208-Sheet1!CJ207)*7.48/1000000)</f>
        <v>0.161336098026022</v>
      </c>
      <c r="O210" s="94">
        <f t="shared" ref="O210:O273" ca="1" si="53">SUM(F210:I210)+K210+SUM(M210:N210)</f>
        <v>0.83731805019662331</v>
      </c>
      <c r="P210" s="94">
        <f ca="1">O210+Calculation!ES210</f>
        <v>0.28285334625361669</v>
      </c>
      <c r="Q210" s="89" t="str">
        <f>IF(Sheet1!BQ208&gt;25.75,"spill elevation","-")</f>
        <v>-</v>
      </c>
      <c r="R210" s="89" t="str">
        <f>IF(Sheet1!BQ208&gt;25.75,"spill elevation","-")</f>
        <v>-</v>
      </c>
      <c r="S210" s="89" t="str">
        <f>IF(Sheet1!BR208&gt;25.75,"spill elevation","-")</f>
        <v>-</v>
      </c>
      <c r="T210" s="93">
        <f>IF(Sheet1!DU208=1,Sheet1!AA208-(SUM(AT210:BA210)+BE210),Sheet1!AA208-SUM(AT210:BA210))</f>
        <v>34.540784000000002</v>
      </c>
      <c r="U210" s="93">
        <f>Sheet1!BV208</f>
        <v>41.6</v>
      </c>
      <c r="V210" s="93">
        <f t="shared" ref="V210:V273" si="54">T210-U210</f>
        <v>-7.0592159999999993</v>
      </c>
      <c r="W210" s="93">
        <f>0</f>
        <v>0</v>
      </c>
      <c r="X210" s="89">
        <f>0</f>
        <v>0</v>
      </c>
      <c r="Y210" s="94">
        <f ca="1">Calculation!EJ211+Calculation!ES210+'Calculations II'!O210-'Calculations II'!W210</f>
        <v>78.732731185878364</v>
      </c>
      <c r="Z210" s="94">
        <f ca="1">Y210-Sheet1!CT209</f>
        <v>62.524731185878366</v>
      </c>
      <c r="AA210" s="94">
        <f ca="1">Y210+Calculation!DJ211+Calculation!AS211</f>
        <v>99.195857571687668</v>
      </c>
      <c r="AC210" s="94">
        <f>Sheet1!AA208+Sheet1!AB208+BC210</f>
        <v>97.539999999999992</v>
      </c>
      <c r="AD210" s="94">
        <f>Sheet1!AA208+Sheet1!BN208+'Calculations II'!BC210-Calculation!AS210-Calculation!DJ210</f>
        <v>56.784786532454014</v>
      </c>
      <c r="AE210" s="94">
        <f>Sheet1!AA208+Sheet1!AB208+'Calculations II'!BC210-Calculation!AS210-Calculation!DJ210</f>
        <v>77.094786532454009</v>
      </c>
      <c r="AF210" s="94">
        <f ca="1">Sheet1!AA208+Sheet1!BN208+P210+'Calculations II'!BC210+Calculation!AS210+Calculation!DJ210</f>
        <v>97.958066813799604</v>
      </c>
      <c r="AG210" s="94">
        <f ca="1">IF(B210=TODAY(),0,Sheet1!AA208+Sheet1!BN208+'Calculations II'!BC210+'Calculations II'!P210-Sheet1!CT208-BP210)</f>
        <v>61.16885334625362</v>
      </c>
      <c r="AH210" s="94">
        <f ca="1">IF(B210=TODAY(),0,Sheet1!AA208+Sheet1!BN208+'Calculations II'!BC210+'Calculations II'!P210-BP210)</f>
        <v>77.512853346253621</v>
      </c>
      <c r="AI210" s="94">
        <f ca="1">IF(B210=TODAY(),0,BC210+Sheet1!AA208+Calculation!ES210+O210+W210+Sheet1!BN208+Calculation!AS210+Calculation!DJ210-BP210)</f>
        <v>97.958066813799604</v>
      </c>
      <c r="AJ210" s="94"/>
      <c r="AM210" s="90">
        <f t="shared" ref="AM210:AM273" si="55">B210</f>
        <v>42934</v>
      </c>
      <c r="AN210" s="94">
        <f>Sheet1!BU208</f>
        <v>35.799999999999997</v>
      </c>
      <c r="AO210" s="94">
        <f>Sheet1!AA208</f>
        <v>40.130000000000003</v>
      </c>
      <c r="AP210" s="94">
        <f t="shared" si="44"/>
        <v>0.55400000000000293</v>
      </c>
      <c r="AQ210" s="1087">
        <f>((Sheet1!BV208-(Sheet1!BU208-AP210))/(Sheet1!BU208-AP210))</f>
        <v>0.18027577597457889</v>
      </c>
      <c r="AR210" s="94">
        <f t="shared" si="45"/>
        <v>39.576000000000001</v>
      </c>
      <c r="AS210" s="94">
        <f t="shared" si="46"/>
        <v>35.245999999999995</v>
      </c>
      <c r="AT210" s="89">
        <f>Sheet1!BB208</f>
        <v>0</v>
      </c>
      <c r="AU210" s="89">
        <f>Sheet1!AS208*GPMtoMGD</f>
        <v>3.8016000000000001E-2</v>
      </c>
      <c r="AV210" s="94">
        <f>Sheet1!AT208</f>
        <v>0.63</v>
      </c>
      <c r="AW210" s="89">
        <f>Sheet1!AV208*GPMtoMGD</f>
        <v>0.55814400000000008</v>
      </c>
      <c r="AX210" s="89">
        <f>Sheet1!AW208*GPMtoMGD</f>
        <v>4.3630560000000003</v>
      </c>
      <c r="AY210" s="89">
        <f>Sheet1!AX208*GPMtoMGD</f>
        <v>0</v>
      </c>
      <c r="AZ210" s="89">
        <f>Sheet1!AY208*GPMtoMGD</f>
        <v>0</v>
      </c>
      <c r="BA210" s="89">
        <f>Sheet1!AZ208*GPMtoMGD</f>
        <v>0</v>
      </c>
      <c r="BB210" s="89">
        <f>Sheet1!BP208*GPMtoMGD</f>
        <v>2.4480000000000001E-3</v>
      </c>
      <c r="BC210" s="89">
        <f>Sheet1!CS208*GPMtoMGD</f>
        <v>0</v>
      </c>
      <c r="BD210" s="89">
        <f>Sheet1!BO208*GPMtoMGD</f>
        <v>3.9215520000000006</v>
      </c>
      <c r="BE210" s="89">
        <f>Sheet1!BW208*GPMtoMGD</f>
        <v>2.0380319999999998</v>
      </c>
      <c r="BF210" s="89">
        <f>Sheet1!CN208*GPMtoMGD</f>
        <v>4.9193280000000001</v>
      </c>
      <c r="BG210" s="89">
        <f>Sheet1!CO208*GPMtoMGD</f>
        <v>1.6509600000000002</v>
      </c>
      <c r="BH210" s="89">
        <f>Sheet1!CP208*GPMtoMGD</f>
        <v>0.91468800000000017</v>
      </c>
      <c r="BI210" s="89">
        <f t="shared" ref="BI210:BI273" si="56">BD210+BB210</f>
        <v>3.9240000000000004</v>
      </c>
      <c r="BK210" s="94">
        <f>SUM(AT210:BA210,AS210,BC210,Calculation!AQ210)</f>
        <v>77.800002532454002</v>
      </c>
      <c r="BM210" s="358">
        <f>0</f>
        <v>0</v>
      </c>
      <c r="BN210" s="358">
        <f>0</f>
        <v>0</v>
      </c>
      <c r="BP210" s="94">
        <f>SUM(BM210:BN210,W210,Sheet1!DX208)</f>
        <v>0</v>
      </c>
      <c r="BR210" s="94">
        <f>Sheet1!AA208</f>
        <v>40.130000000000003</v>
      </c>
      <c r="BS210" s="94">
        <f>Sheet1!AB208</f>
        <v>57.41</v>
      </c>
      <c r="BT210" s="94">
        <f t="shared" ca="1" si="47"/>
        <v>0.28285334625361669</v>
      </c>
      <c r="BU210" s="94">
        <f>Sheet1!AT208</f>
        <v>0.63</v>
      </c>
      <c r="BV210" s="89">
        <f>Sheet1!BB208</f>
        <v>0</v>
      </c>
      <c r="BW210" s="94">
        <f>Calculation!ED210</f>
        <v>20.445213467545987</v>
      </c>
      <c r="BX210" s="94">
        <f>(Sheet1!CS208*1440)/1000000</f>
        <v>0</v>
      </c>
      <c r="CA210" s="94">
        <f ca="1">Sheet1!AC208-Sheet1!BK208-Sheet1!BL208-Sheet1!BM208-Sheet1!BC208-Sheet1!BD208-Sheet1!BE208-Sheet1!BF208-Sheet1!BG208-Sheet1!BH208-Sheet1!BI208+BC210+P210</f>
        <v>77.302853346253599</v>
      </c>
      <c r="CB210" s="93">
        <f t="shared" si="48"/>
        <v>119.26563476570635</v>
      </c>
      <c r="CC210" s="94">
        <f t="shared" si="49"/>
        <v>0.63</v>
      </c>
      <c r="CD210" s="94">
        <f t="shared" ca="1" si="50"/>
        <v>97.748066813799582</v>
      </c>
      <c r="CE210" s="1077">
        <f t="shared" ca="1" si="51"/>
        <v>151.21625936094796</v>
      </c>
      <c r="CG210" s="1077">
        <f t="shared" ca="1" si="52"/>
        <v>76.672853346253603</v>
      </c>
    </row>
    <row r="211" spans="1:85" s="89" customFormat="1" x14ac:dyDescent="0.25">
      <c r="A211" s="616" t="s">
        <v>6</v>
      </c>
      <c r="B211" s="91">
        <v>42935</v>
      </c>
      <c r="C211" s="92">
        <v>0</v>
      </c>
      <c r="D211" s="94">
        <f>(Sheet1!BQ209-Sheet1!BQ208)*1.385</f>
        <v>-0.7201999999999994</v>
      </c>
      <c r="E211" s="30">
        <f>(Sheet1!BR209-Sheet1!BR208)*1.385</f>
        <v>-0.76175000000000104</v>
      </c>
      <c r="F211" s="30">
        <f ca="1">IF(B211=TODAY(),0,-(VLOOKUP(Sheet1!CD209,Lookup!$I$4:$J$216,2)-VLOOKUP(Sheet1!CD208,Lookup!$I$4:$J$216,2))/1000000)</f>
        <v>0.51818469273899681</v>
      </c>
      <c r="G211" s="94">
        <f ca="1">IF(B211=TODAY(),0,-$G$6*(Sheet1!CF209-Sheet1!CF208)*7.48/1000000)</f>
        <v>-0.46067661220968786</v>
      </c>
      <c r="H211" s="94">
        <f ca="1">IF(B211=TODAY(),0,-$H$6*(Sheet1!CE209-Sheet1!CE208)*7.48/1000000)</f>
        <v>0</v>
      </c>
      <c r="I211" s="94">
        <f ca="1">IF(B211=TODAY(),0,-$I$6*(Sheet1!CG209-Sheet1!CG208)*7.48/1000000)</f>
        <v>7.6372295999999973E-3</v>
      </c>
      <c r="J211" s="95" t="s">
        <v>177</v>
      </c>
      <c r="K211" s="94">
        <f ca="1">IF(B211=TODAY(),0,-$K$6*(Sheet1!CH209-Sheet1!CH208)*7.48/1000000)</f>
        <v>1.4659304823808497E-2</v>
      </c>
      <c r="L211" s="95" t="s">
        <v>177</v>
      </c>
      <c r="M211" s="94">
        <f ca="1">IF(B211=TODAY(),0,-$M$6*(Sheet1!CI209-Sheet1!CI208)*7.48/1000000)</f>
        <v>5.3974525284081275E-2</v>
      </c>
      <c r="N211" s="94">
        <f ca="1">IF(B211=TODAY(),0,-$N$6*(Sheet1!CJ209-Sheet1!CJ208)*7.48/1000000)</f>
        <v>0.26682508519688258</v>
      </c>
      <c r="O211" s="94">
        <f t="shared" ca="1" si="53"/>
        <v>0.40060422543408125</v>
      </c>
      <c r="P211" s="94">
        <f ca="1">O211+Calculation!ES211</f>
        <v>1.7866698188444725</v>
      </c>
      <c r="Q211" s="89" t="str">
        <f>IF(Sheet1!BQ209&gt;25.75,"spill elevation","-")</f>
        <v>-</v>
      </c>
      <c r="R211" s="89" t="str">
        <f>IF(Sheet1!BQ209&gt;25.75,"spill elevation","-")</f>
        <v>-</v>
      </c>
      <c r="S211" s="89" t="str">
        <f>IF(Sheet1!BR209&gt;25.75,"spill elevation","-")</f>
        <v>-</v>
      </c>
      <c r="T211" s="93">
        <f>IF(Sheet1!DU209=1,Sheet1!AA209-(SUM(AT211:BA211)+BE211),Sheet1!AA209-SUM(AT211:BA211))</f>
        <v>37.147600000000004</v>
      </c>
      <c r="U211" s="93">
        <f>Sheet1!BV209</f>
        <v>46.6</v>
      </c>
      <c r="V211" s="93">
        <f t="shared" si="54"/>
        <v>-9.4523999999999972</v>
      </c>
      <c r="W211" s="93">
        <f>0</f>
        <v>0</v>
      </c>
      <c r="X211" s="89">
        <f>0</f>
        <v>0</v>
      </c>
      <c r="Y211" s="94">
        <f ca="1">Calculation!EJ212+Calculation!ES211+'Calculations II'!O211-'Calculations II'!W211</f>
        <v>74.554532972427864</v>
      </c>
      <c r="Z211" s="94">
        <f ca="1">Y211-Sheet1!CT210</f>
        <v>57.536532972427864</v>
      </c>
      <c r="AA211" s="94">
        <f ca="1">Y211+Calculation!DJ212+Calculation!AS212</f>
        <v>95.288859630520818</v>
      </c>
      <c r="AC211" s="94">
        <f>Sheet1!AA209+Sheet1!AB209+BC211</f>
        <v>97.56</v>
      </c>
      <c r="AD211" s="94">
        <f>Sheet1!AA209+Sheet1!BN209+'Calculations II'!BC211-Calculation!AS211-Calculation!DJ211</f>
        <v>56.726873614190687</v>
      </c>
      <c r="AE211" s="94">
        <f>Sheet1!AA209+Sheet1!AB209+'Calculations II'!BC211-Calculation!AS211-Calculation!DJ211</f>
        <v>77.096873614190685</v>
      </c>
      <c r="AF211" s="94">
        <f ca="1">Sheet1!AA209+Sheet1!BN209+P211+'Calculations II'!BC211+Calculation!AS211+Calculation!DJ211</f>
        <v>99.439796204653788</v>
      </c>
      <c r="AG211" s="94">
        <f ca="1">IF(B211=TODAY(),0,Sheet1!AA209+Sheet1!BN209+'Calculations II'!BC211+'Calculations II'!P211-Sheet1!CT209-BP211)</f>
        <v>62.768669818844472</v>
      </c>
      <c r="AH211" s="94">
        <f ca="1">IF(B211=TODAY(),0,Sheet1!AA209+Sheet1!BN209+'Calculations II'!BC211+'Calculations II'!P211-BP211)</f>
        <v>78.976669818844471</v>
      </c>
      <c r="AI211" s="94">
        <f ca="1">IF(B211=TODAY(),0,BC211+Sheet1!AA209+Calculation!ES211+O211+W211+Sheet1!BN209+Calculation!AS211+Calculation!DJ211-BP211)</f>
        <v>99.439796204653788</v>
      </c>
      <c r="AJ211" s="94"/>
      <c r="AM211" s="90">
        <f t="shared" si="55"/>
        <v>42935</v>
      </c>
      <c r="AN211" s="94">
        <f>Sheet1!BU209</f>
        <v>38.1</v>
      </c>
      <c r="AO211" s="94">
        <f>Sheet1!AA209</f>
        <v>43.59</v>
      </c>
      <c r="AP211" s="94">
        <f t="shared" si="44"/>
        <v>-1.4819500000000003</v>
      </c>
      <c r="AQ211" s="1087">
        <f>((Sheet1!BV209-(Sheet1!BU209-AP211))/(Sheet1!BU209-AP211))</f>
        <v>0.17730430158190799</v>
      </c>
      <c r="AR211" s="94">
        <f t="shared" si="45"/>
        <v>45.071950000000001</v>
      </c>
      <c r="AS211" s="94">
        <f t="shared" si="46"/>
        <v>39.581949999999999</v>
      </c>
      <c r="AT211" s="89">
        <f>Sheet1!BB209</f>
        <v>0</v>
      </c>
      <c r="AU211" s="89">
        <f>Sheet1!AS209*GPMtoMGD</f>
        <v>3.9600000000000003E-2</v>
      </c>
      <c r="AV211" s="94">
        <f>Sheet1!AT209</f>
        <v>1.01</v>
      </c>
      <c r="AW211" s="89">
        <f>Sheet1!AV209*GPMtoMGD</f>
        <v>1.6220160000000001</v>
      </c>
      <c r="AX211" s="89">
        <f>Sheet1!AW209*GPMtoMGD</f>
        <v>3.7707839999999999</v>
      </c>
      <c r="AY211" s="89">
        <f>Sheet1!AX209*GPMtoMGD</f>
        <v>0</v>
      </c>
      <c r="AZ211" s="89">
        <f>Sheet1!AY209*GPMtoMGD</f>
        <v>0</v>
      </c>
      <c r="BA211" s="89">
        <f>Sheet1!AZ209*GPMtoMGD</f>
        <v>0</v>
      </c>
      <c r="BB211" s="89">
        <f>Sheet1!BP209*GPMtoMGD</f>
        <v>2.4480000000000001E-3</v>
      </c>
      <c r="BC211" s="89">
        <f>Sheet1!CS209*GPMtoMGD</f>
        <v>0</v>
      </c>
      <c r="BD211" s="89">
        <f>Sheet1!BO209*GPMtoMGD</f>
        <v>4.1148000000000007</v>
      </c>
      <c r="BE211" s="89">
        <f>Sheet1!BW209*GPMtoMGD</f>
        <v>1.9621439999999999</v>
      </c>
      <c r="BF211" s="89">
        <f>Sheet1!CN209*GPMtoMGD</f>
        <v>5.0607360000000003</v>
      </c>
      <c r="BG211" s="89">
        <f>Sheet1!CO209*GPMtoMGD</f>
        <v>1.6976160000000002</v>
      </c>
      <c r="BH211" s="89">
        <f>Sheet1!CP209*GPMtoMGD</f>
        <v>0.96825600000000001</v>
      </c>
      <c r="BI211" s="89">
        <f t="shared" si="56"/>
        <v>4.1172480000000009</v>
      </c>
      <c r="BK211" s="94">
        <f>SUM(AT211:BA211,AS211,BC211,Calculation!AQ211)</f>
        <v>79.531223614190679</v>
      </c>
      <c r="BM211" s="358">
        <f>0</f>
        <v>0</v>
      </c>
      <c r="BN211" s="358">
        <f>0</f>
        <v>0</v>
      </c>
      <c r="BP211" s="94">
        <f>SUM(BM211:BN211,W211,Sheet1!DX209)</f>
        <v>0</v>
      </c>
      <c r="BR211" s="94">
        <f>Sheet1!AA209</f>
        <v>43.59</v>
      </c>
      <c r="BS211" s="94">
        <f>Sheet1!AB209</f>
        <v>53.97</v>
      </c>
      <c r="BT211" s="94">
        <f t="shared" ca="1" si="47"/>
        <v>1.7866698188444725</v>
      </c>
      <c r="BU211" s="94">
        <f>Sheet1!AT209</f>
        <v>1.01</v>
      </c>
      <c r="BV211" s="89">
        <f>Sheet1!BB209</f>
        <v>0</v>
      </c>
      <c r="BW211" s="94">
        <f>Calculation!ED211</f>
        <v>20.463126385809307</v>
      </c>
      <c r="BX211" s="94">
        <f>(Sheet1!CS209*1440)/1000000</f>
        <v>0</v>
      </c>
      <c r="CA211" s="94">
        <f ca="1">Sheet1!AC209-Sheet1!BK209-Sheet1!BL209-Sheet1!BM209-Sheet1!BC209-Sheet1!BD209-Sheet1!BE209-Sheet1!BF209-Sheet1!BG209-Sheet1!BH209-Sheet1!BI209+BC211+P211</f>
        <v>78.826669818844479</v>
      </c>
      <c r="CB211" s="93">
        <f t="shared" si="48"/>
        <v>119.26886348115301</v>
      </c>
      <c r="CC211" s="94">
        <f t="shared" si="49"/>
        <v>1.01</v>
      </c>
      <c r="CD211" s="94">
        <f t="shared" ca="1" si="50"/>
        <v>99.289796204653783</v>
      </c>
      <c r="CE211" s="1077">
        <f t="shared" ca="1" si="51"/>
        <v>153.60131472859939</v>
      </c>
      <c r="CG211" s="1077">
        <f t="shared" ca="1" si="52"/>
        <v>77.816669818844474</v>
      </c>
    </row>
    <row r="212" spans="1:85" s="89" customFormat="1" x14ac:dyDescent="0.25">
      <c r="A212" s="616" t="s">
        <v>7</v>
      </c>
      <c r="B212" s="91">
        <v>42936</v>
      </c>
      <c r="C212" s="92">
        <v>0</v>
      </c>
      <c r="D212" s="94">
        <f>(Sheet1!BQ210-Sheet1!BQ209)*1.385</f>
        <v>-0.33240000000000275</v>
      </c>
      <c r="E212" s="30">
        <f>(Sheet1!BR210-Sheet1!BR209)*1.385</f>
        <v>0.15234999999999921</v>
      </c>
      <c r="F212" s="30">
        <f ca="1">IF(B212=TODAY(),0,-(VLOOKUP(Sheet1!CD210,Lookup!$I$4:$J$216,2)-VLOOKUP(Sheet1!CD209,Lookup!$I$4:$J$216,2))/1000000)</f>
        <v>-2.2800126480515992</v>
      </c>
      <c r="G212" s="94">
        <f ca="1">IF(B212=TODAY(),0,-$G$6*(Sheet1!CF210-Sheet1!CF209)*7.48/1000000)</f>
        <v>-0.13502590357870153</v>
      </c>
      <c r="H212" s="94">
        <f ca="1">IF(B212=TODAY(),0,-$H$6*(Sheet1!CE210-Sheet1!CE209)*7.48/1000000)</f>
        <v>1.5039432351265274E-2</v>
      </c>
      <c r="I212" s="94">
        <f ca="1">IF(B212=TODAY(),0,-$I$6*(Sheet1!CG210-Sheet1!CG209)*7.48/1000000)</f>
        <v>-2.1114693599999988E-2</v>
      </c>
      <c r="J212" s="95" t="s">
        <v>177</v>
      </c>
      <c r="K212" s="94">
        <f ca="1">IF(B212=TODAY(),0,-$K$6*(Sheet1!CH210-Sheet1!CH209)*7.48/1000000)</f>
        <v>-3.9979922246750635E-2</v>
      </c>
      <c r="L212" s="95" t="s">
        <v>177</v>
      </c>
      <c r="M212" s="94">
        <f ca="1">IF(B212=TODAY(),0,-$M$6*(Sheet1!CI210-Sheet1!CI209)*7.48/1000000)</f>
        <v>-0.10794905056816255</v>
      </c>
      <c r="N212" s="94">
        <f ca="1">IF(B212=TODAY(),0,-$N$6*(Sheet1!CJ210-Sheet1!CJ209)*7.48/1000000)</f>
        <v>-1.0424794026296813</v>
      </c>
      <c r="O212" s="94">
        <f t="shared" ca="1" si="53"/>
        <v>-3.6115221883236299</v>
      </c>
      <c r="P212" s="94">
        <f ca="1">O212+Calculation!ES212</f>
        <v>-3.3344501039106786</v>
      </c>
      <c r="Q212" s="89" t="str">
        <f>IF(Sheet1!BQ210&gt;25.75,"spill elevation","-")</f>
        <v>-</v>
      </c>
      <c r="R212" s="89" t="str">
        <f>IF(Sheet1!BQ210&gt;25.75,"spill elevation","-")</f>
        <v>-</v>
      </c>
      <c r="S212" s="89" t="str">
        <f>IF(Sheet1!BR210&gt;25.75,"spill elevation","-")</f>
        <v>-</v>
      </c>
      <c r="T212" s="93">
        <f>IF(Sheet1!DU210=1,Sheet1!AA210-(SUM(AT212:BA212)+BE212),Sheet1!AA210-SUM(AT212:BA212))</f>
        <v>34.466800000000006</v>
      </c>
      <c r="U212" s="93">
        <f>Sheet1!BV210</f>
        <v>41.6</v>
      </c>
      <c r="V212" s="93">
        <f t="shared" si="54"/>
        <v>-7.1331999999999951</v>
      </c>
      <c r="W212" s="93">
        <f>0</f>
        <v>0</v>
      </c>
      <c r="X212" s="89">
        <f>0</f>
        <v>0</v>
      </c>
      <c r="Y212" s="94">
        <f ca="1">Calculation!EJ213+Calculation!ES212+'Calculations II'!O212-'Calculations II'!W212</f>
        <v>73.556775775750253</v>
      </c>
      <c r="Z212" s="94">
        <f ca="1">Y212-Sheet1!CT211</f>
        <v>56.441775775750259</v>
      </c>
      <c r="AA212" s="94">
        <f ca="1">Y212+Calculation!DJ213+Calculation!AS213</f>
        <v>94.622248503022973</v>
      </c>
      <c r="AC212" s="94">
        <f>Sheet1!AA210+Sheet1!AB210+BC212</f>
        <v>96.080511999999999</v>
      </c>
      <c r="AD212" s="94">
        <f>Sheet1!AA210+Sheet1!BN210+'Calculations II'!BC212-Calculation!AS212-Calculation!DJ212</f>
        <v>54.766185341907054</v>
      </c>
      <c r="AE212" s="94">
        <f>Sheet1!AA210+Sheet1!AB210+'Calculations II'!BC212-Calculation!AS212-Calculation!DJ212</f>
        <v>75.346185341907045</v>
      </c>
      <c r="AF212" s="94">
        <f ca="1">Sheet1!AA210+Sheet1!BN210+P212+'Calculations II'!BC212+Calculation!AS212+Calculation!DJ212</f>
        <v>92.900388554182285</v>
      </c>
      <c r="AG212" s="94">
        <f ca="1">IF(B212=TODAY(),0,Sheet1!AA210+Sheet1!BN210+'Calculations II'!BC212+'Calculations II'!P212-Sheet1!CT210-BP212)</f>
        <v>55.148061896089331</v>
      </c>
      <c r="AH212" s="94">
        <f ca="1">IF(B212=TODAY(),0,Sheet1!AA210+Sheet1!BN210+'Calculations II'!BC212+'Calculations II'!P212-BP212)</f>
        <v>72.166061896089332</v>
      </c>
      <c r="AI212" s="94">
        <f ca="1">IF(B212=TODAY(),0,BC212+Sheet1!AA210+Calculation!ES212+O212+W212+Sheet1!BN210+Calculation!AS212+Calculation!DJ212-BP212)</f>
        <v>92.900388554182285</v>
      </c>
      <c r="AJ212" s="94"/>
      <c r="AM212" s="90">
        <f t="shared" si="55"/>
        <v>42936</v>
      </c>
      <c r="AN212" s="94">
        <f>Sheet1!BU210</f>
        <v>35.5</v>
      </c>
      <c r="AO212" s="94">
        <f>Sheet1!AA210</f>
        <v>38.200000000000003</v>
      </c>
      <c r="AP212" s="94">
        <f t="shared" si="44"/>
        <v>-0.18005000000000354</v>
      </c>
      <c r="AQ212" s="1087">
        <f>((Sheet1!BV210-(Sheet1!BU210-AP212))/(Sheet1!BU210-AP212))</f>
        <v>0.16591764865800357</v>
      </c>
      <c r="AR212" s="94">
        <f t="shared" si="45"/>
        <v>38.380050000000004</v>
      </c>
      <c r="AS212" s="94">
        <f t="shared" si="46"/>
        <v>35.680050000000001</v>
      </c>
      <c r="AT212" s="89">
        <f>Sheet1!BB210</f>
        <v>0</v>
      </c>
      <c r="AU212" s="89">
        <f>Sheet1!AS210*GPMtoMGD</f>
        <v>1.9584000000000001E-2</v>
      </c>
      <c r="AV212" s="94">
        <f>Sheet1!AT210</f>
        <v>0.54</v>
      </c>
      <c r="AW212" s="89">
        <f>Sheet1!AV210*GPMtoMGD</f>
        <v>0.97646400000000011</v>
      </c>
      <c r="AX212" s="89">
        <f>Sheet1!AW210*GPMtoMGD</f>
        <v>2.197152</v>
      </c>
      <c r="AY212" s="89">
        <f>Sheet1!AX210*GPMtoMGD</f>
        <v>0</v>
      </c>
      <c r="AZ212" s="89">
        <f>Sheet1!AY210*GPMtoMGD</f>
        <v>0</v>
      </c>
      <c r="BA212" s="89">
        <f>Sheet1!AZ210*GPMtoMGD</f>
        <v>0</v>
      </c>
      <c r="BB212" s="89">
        <f>Sheet1!BP210*GPMtoMGD</f>
        <v>3.3119999999999998E-3</v>
      </c>
      <c r="BC212" s="89">
        <f>Sheet1!CS210*GPMtoMGD</f>
        <v>3.7005120000000007</v>
      </c>
      <c r="BD212" s="89">
        <f>Sheet1!BO210*GPMtoMGD</f>
        <v>3.777984</v>
      </c>
      <c r="BE212" s="89">
        <f>Sheet1!BW210*GPMtoMGD</f>
        <v>1.7379360000000001</v>
      </c>
      <c r="BF212" s="89">
        <f>Sheet1!CN210*GPMtoMGD</f>
        <v>4.3202879999999997</v>
      </c>
      <c r="BG212" s="89">
        <f>Sheet1!CO210*GPMtoMGD</f>
        <v>1.5289920000000001</v>
      </c>
      <c r="BH212" s="89">
        <f>Sheet1!CP210*GPMtoMGD</f>
        <v>0.91598400000000013</v>
      </c>
      <c r="BI212" s="89">
        <f t="shared" si="56"/>
        <v>3.7812960000000002</v>
      </c>
      <c r="BK212" s="94">
        <f>SUM(AT212:BA212,AS212,BC212,Calculation!AQ212)</f>
        <v>76.559435341907033</v>
      </c>
      <c r="BM212" s="358">
        <f>0</f>
        <v>0</v>
      </c>
      <c r="BN212" s="358">
        <f>0</f>
        <v>0</v>
      </c>
      <c r="BP212" s="94">
        <f>SUM(BM212:BN212,W212,Sheet1!DX210)</f>
        <v>0</v>
      </c>
      <c r="BR212" s="94">
        <f>Sheet1!AA210</f>
        <v>38.200000000000003</v>
      </c>
      <c r="BS212" s="94">
        <f>Sheet1!AB210</f>
        <v>54.18</v>
      </c>
      <c r="BT212" s="94">
        <f t="shared" ca="1" si="47"/>
        <v>-3.3344501039106786</v>
      </c>
      <c r="BU212" s="94">
        <f>Sheet1!AT210</f>
        <v>0.54</v>
      </c>
      <c r="BV212" s="89">
        <f>Sheet1!BB210</f>
        <v>0</v>
      </c>
      <c r="BW212" s="94">
        <f>Calculation!ED212</f>
        <v>20.734326658092961</v>
      </c>
      <c r="BX212" s="94">
        <f>(Sheet1!CS210*1440)/1000000</f>
        <v>3.7005120000000002</v>
      </c>
      <c r="CA212" s="94">
        <f ca="1">Sheet1!AC210-Sheet1!BK210-Sheet1!BL210-Sheet1!BM210-Sheet1!BC210-Sheet1!BD210-Sheet1!BE210-Sheet1!BF210-Sheet1!BG210-Sheet1!BH210-Sheet1!BI210+BC212+P212</f>
        <v>71.916061896089317</v>
      </c>
      <c r="CB212" s="1064">
        <f t="shared" si="48"/>
        <v>110.83585665993019</v>
      </c>
      <c r="CC212" s="1063">
        <f t="shared" si="49"/>
        <v>0.54</v>
      </c>
      <c r="CD212" s="94">
        <f t="shared" ca="1" si="50"/>
        <v>92.650388554182285</v>
      </c>
      <c r="CE212" s="1077">
        <f t="shared" ca="1" si="51"/>
        <v>143.33015109331998</v>
      </c>
      <c r="CG212" s="1077">
        <f t="shared" ca="1" si="52"/>
        <v>71.376061896089311</v>
      </c>
    </row>
    <row r="213" spans="1:85" s="89" customFormat="1" x14ac:dyDescent="0.25">
      <c r="A213" s="616" t="s">
        <v>8</v>
      </c>
      <c r="B213" s="91">
        <v>42937</v>
      </c>
      <c r="C213" s="92">
        <v>0</v>
      </c>
      <c r="D213" s="94">
        <f>(Sheet1!BQ211-Sheet1!BQ210)*1.385</f>
        <v>4.1550000000001572E-2</v>
      </c>
      <c r="E213" s="30">
        <f>(Sheet1!BR211-Sheet1!BR210)*1.385</f>
        <v>-0.34625</v>
      </c>
      <c r="F213" s="30">
        <f ca="1">IF(B213=TODAY(),0,-(VLOOKUP(Sheet1!CD211,Lookup!$I$4:$J$216,2)-VLOOKUP(Sheet1!CD210,Lookup!$I$4:$J$216,2))/1000000)</f>
        <v>2.1763757095037999</v>
      </c>
      <c r="G213" s="94">
        <f ca="1">IF(B213=TODAY(),0,-$G$6*(Sheet1!CF211-Sheet1!CF210)*7.48/1000000)</f>
        <v>0.91341052420886271</v>
      </c>
      <c r="H213" s="94">
        <f ca="1">IF(B213=TODAY(),0,-$H$6*(Sheet1!CE211-Sheet1!CE210)*7.48/1000000)</f>
        <v>-1.5039432351265274E-2</v>
      </c>
      <c r="I213" s="94">
        <f ca="1">IF(B213=TODAY(),0,-$I$6*(Sheet1!CG211-Sheet1!CG210)*7.48/1000000)</f>
        <v>-1.3477464000000512E-3</v>
      </c>
      <c r="J213" s="95" t="s">
        <v>177</v>
      </c>
      <c r="K213" s="94">
        <f ca="1">IF(B213=TODAY(),0,-$K$6*(Sheet1!CH211-Sheet1!CH210)*7.48/1000000)</f>
        <v>0</v>
      </c>
      <c r="L213" s="95" t="s">
        <v>177</v>
      </c>
      <c r="M213" s="94">
        <f ca="1">IF(B213=TODAY(),0,-$M$6*(Sheet1!CI211-Sheet1!CI210)*7.48/1000000)</f>
        <v>0</v>
      </c>
      <c r="N213" s="94">
        <f ca="1">IF(B213=TODAY(),0,-$N$6*(Sheet1!CJ211-Sheet1!CJ210)*7.48/1000000)</f>
        <v>0.78185955197226109</v>
      </c>
      <c r="O213" s="94">
        <f t="shared" ca="1" si="53"/>
        <v>3.8552586069336585</v>
      </c>
      <c r="P213" s="94">
        <f ca="1">O213+Calculation!ES213</f>
        <v>4.2710782826658802</v>
      </c>
      <c r="Q213" s="89" t="str">
        <f>IF(Sheet1!BQ211&gt;25.75,"spill elevation","-")</f>
        <v>-</v>
      </c>
      <c r="R213" s="89" t="str">
        <f>IF(Sheet1!BQ211&gt;25.75,"spill elevation","-")</f>
        <v>-</v>
      </c>
      <c r="S213" s="89" t="str">
        <f>IF(Sheet1!BR211&gt;25.75,"spill elevation","-")</f>
        <v>-</v>
      </c>
      <c r="T213" s="93">
        <f>IF(Sheet1!DU211=1,Sheet1!AA211-(SUM(AT213:BA213)+BE213),Sheet1!AA211-SUM(AT213:BA213))</f>
        <v>29.602032000000001</v>
      </c>
      <c r="U213" s="93">
        <f>Sheet1!BV211</f>
        <v>36.299999999999997</v>
      </c>
      <c r="V213" s="93">
        <f t="shared" si="54"/>
        <v>-6.6979679999999959</v>
      </c>
      <c r="W213" s="93">
        <f>0</f>
        <v>0</v>
      </c>
      <c r="X213" s="89">
        <f>0</f>
        <v>0</v>
      </c>
      <c r="Y213" s="94">
        <f ca="1">Calculation!EJ214+Calculation!ES213+'Calculations II'!O213-'Calculations II'!W213</f>
        <v>77.816523110227337</v>
      </c>
      <c r="Z213" s="94">
        <f ca="1">Y213-Sheet1!CT212</f>
        <v>60.286523110227336</v>
      </c>
      <c r="AA213" s="94">
        <f ca="1">Y213+Calculation!DJ214+Calculation!AS214</f>
        <v>99.095600815383477</v>
      </c>
      <c r="AC213" s="94">
        <f>Sheet1!AA211+Sheet1!AB211+BC213</f>
        <v>93.603471999999996</v>
      </c>
      <c r="AD213" s="94">
        <f>Sheet1!AA211+Sheet1!BN211+'Calculations II'!BC213-Calculation!AS213-Calculation!DJ213</f>
        <v>51.527999272727278</v>
      </c>
      <c r="AE213" s="94">
        <f>Sheet1!AA211+Sheet1!AB211+'Calculations II'!BC213-Calculation!AS213-Calculation!DJ213</f>
        <v>72.537999272727262</v>
      </c>
      <c r="AF213" s="94">
        <f ca="1">Sheet1!AA211+Sheet1!BN211+P213+'Calculations II'!BC213+Calculation!AS213+Calculation!DJ213</f>
        <v>97.930023009938623</v>
      </c>
      <c r="AG213" s="94">
        <f ca="1">IF(B213=TODAY(),0,Sheet1!AA211+Sheet1!BN211+'Calculations II'!BC213+'Calculations II'!P213-Sheet1!CT211-BP213)</f>
        <v>59.749550282665894</v>
      </c>
      <c r="AH213" s="94">
        <f ca="1">IF(B213=TODAY(),0,Sheet1!AA211+Sheet1!BN211+'Calculations II'!BC213+'Calculations II'!P213-BP213)</f>
        <v>76.864550282665888</v>
      </c>
      <c r="AI213" s="94">
        <f ca="1">IF(B213=TODAY(),0,BC213+Sheet1!AA211+Calculation!ES213+O213+W213+Sheet1!BN211+Calculation!AS213+Calculation!DJ213-BP213)</f>
        <v>97.930023009938594</v>
      </c>
      <c r="AJ213" s="94"/>
      <c r="AM213" s="90">
        <f t="shared" si="55"/>
        <v>42937</v>
      </c>
      <c r="AN213" s="94">
        <f>Sheet1!BU211</f>
        <v>30.1</v>
      </c>
      <c r="AO213" s="94">
        <f>Sheet1!AA211</f>
        <v>33.72</v>
      </c>
      <c r="AP213" s="94">
        <f t="shared" si="44"/>
        <v>-0.30469999999999842</v>
      </c>
      <c r="AQ213" s="1087">
        <f>((Sheet1!BV211-(Sheet1!BU211-AP213))/(Sheet1!BU211-AP213))</f>
        <v>0.19389436501593502</v>
      </c>
      <c r="AR213" s="94">
        <f t="shared" si="45"/>
        <v>34.024699999999996</v>
      </c>
      <c r="AS213" s="94">
        <f t="shared" si="46"/>
        <v>30.404699999999998</v>
      </c>
      <c r="AT213" s="89">
        <f>Sheet1!BB211</f>
        <v>0</v>
      </c>
      <c r="AU213" s="89">
        <f>Sheet1!AS211*GPMtoMGD</f>
        <v>4.6224000000000008E-2</v>
      </c>
      <c r="AV213" s="94">
        <f>Sheet1!AT211</f>
        <v>0</v>
      </c>
      <c r="AW213" s="89">
        <f>Sheet1!AV211*GPMtoMGD</f>
        <v>1.267056</v>
      </c>
      <c r="AX213" s="89">
        <f>Sheet1!AW211*GPMtoMGD</f>
        <v>2.8045439999999999</v>
      </c>
      <c r="AY213" s="89">
        <f>Sheet1!AX211*GPMtoMGD</f>
        <v>1.44E-4</v>
      </c>
      <c r="AZ213" s="89">
        <f>Sheet1!AY211*GPMtoMGD</f>
        <v>0</v>
      </c>
      <c r="BA213" s="89">
        <f>Sheet1!AZ211*GPMtoMGD</f>
        <v>0</v>
      </c>
      <c r="BB213" s="89">
        <f>Sheet1!BP211*GPMtoMGD</f>
        <v>2.4480000000000001E-3</v>
      </c>
      <c r="BC213" s="89">
        <f>Sheet1!CS211*GPMtoMGD</f>
        <v>4.973472000000001</v>
      </c>
      <c r="BD213" s="89">
        <f>Sheet1!BO211*GPMtoMGD</f>
        <v>4.116816</v>
      </c>
      <c r="BE213" s="89">
        <f>Sheet1!BW211*GPMtoMGD</f>
        <v>1.9670400000000001</v>
      </c>
      <c r="BF213" s="89">
        <f>Sheet1!CN211*GPMtoMGD</f>
        <v>4.9235040000000003</v>
      </c>
      <c r="BG213" s="89">
        <f>Sheet1!CO211*GPMtoMGD</f>
        <v>1.68696</v>
      </c>
      <c r="BH213" s="89">
        <f>Sheet1!CP211*GPMtoMGD</f>
        <v>0.93844800000000017</v>
      </c>
      <c r="BI213" s="89">
        <f t="shared" si="56"/>
        <v>4.1192640000000003</v>
      </c>
      <c r="BK213" s="94">
        <f>SUM(AT213:BA213,AS213,BC213,Calculation!AQ213)</f>
        <v>73.340667272727273</v>
      </c>
      <c r="BM213" s="358">
        <f>0</f>
        <v>0</v>
      </c>
      <c r="BN213" s="358">
        <f>0</f>
        <v>0</v>
      </c>
      <c r="BP213" s="94">
        <f>SUM(BM213:BN213,W213,Sheet1!DX211)</f>
        <v>0</v>
      </c>
      <c r="BR213" s="94">
        <f>Sheet1!AA211</f>
        <v>33.72</v>
      </c>
      <c r="BS213" s="94">
        <f>Sheet1!AB211</f>
        <v>54.91</v>
      </c>
      <c r="BT213" s="94">
        <f t="shared" ca="1" si="47"/>
        <v>4.2710782826658802</v>
      </c>
      <c r="BU213" s="94">
        <f>Sheet1!AT211</f>
        <v>0</v>
      </c>
      <c r="BV213" s="89">
        <f>Sheet1!BB211</f>
        <v>0</v>
      </c>
      <c r="BW213" s="94">
        <f>Calculation!ED213</f>
        <v>21.065472727272724</v>
      </c>
      <c r="BX213" s="94">
        <f>(Sheet1!CS211*1440)/1000000</f>
        <v>4.9734720000000001</v>
      </c>
      <c r="CA213" s="94">
        <f ca="1">Sheet1!AC211-Sheet1!BK211-Sheet1!BL211-Sheet1!BM211-Sheet1!BC211-Sheet1!BD211-Sheet1!BE211-Sheet1!BF211-Sheet1!BG211-Sheet1!BH211-Sheet1!BI211+BC213+P213</f>
        <v>76.774550282665885</v>
      </c>
      <c r="CB213" s="93">
        <f t="shared" si="48"/>
        <v>104.52232369090909</v>
      </c>
      <c r="CC213" s="94">
        <f t="shared" si="49"/>
        <v>0</v>
      </c>
      <c r="CD213" s="94">
        <f t="shared" ca="1" si="50"/>
        <v>97.840023009938605</v>
      </c>
      <c r="CE213" s="1077">
        <f t="shared" ca="1" si="51"/>
        <v>151.35851559637501</v>
      </c>
      <c r="CG213" s="1077">
        <f t="shared" ca="1" si="52"/>
        <v>76.774550282665885</v>
      </c>
    </row>
    <row r="214" spans="1:85" s="89" customFormat="1" x14ac:dyDescent="0.25">
      <c r="A214" s="616" t="s">
        <v>9</v>
      </c>
      <c r="B214" s="91">
        <v>42938</v>
      </c>
      <c r="C214" s="92">
        <v>0</v>
      </c>
      <c r="D214" s="94">
        <f>(Sheet1!BQ212-Sheet1!BQ211)*1.385</f>
        <v>-3.1855000000000011</v>
      </c>
      <c r="E214" s="30">
        <f>(Sheet1!BR212-Sheet1!BR211)*1.385</f>
        <v>-3.1855000000000011</v>
      </c>
      <c r="F214" s="30">
        <f ca="1">IF(B214=TODAY(),0,-(VLOOKUP(Sheet1!CD212,Lookup!$I$4:$J$216,2)-VLOOKUP(Sheet1!CD211,Lookup!$I$4:$J$216,2))/1000000)</f>
        <v>-0.51818469273899681</v>
      </c>
      <c r="G214" s="94">
        <f ca="1">IF(B214=TODAY(),0,-$G$6*(Sheet1!CF212-Sheet1!CF211)*7.48/1000000)</f>
        <v>-0.67512951789350772</v>
      </c>
      <c r="H214" s="94">
        <f ca="1">IF(B214=TODAY(),0,-$H$6*(Sheet1!CE212-Sheet1!CE211)*7.48/1000000)</f>
        <v>4.5118297053794748E-2</v>
      </c>
      <c r="I214" s="94">
        <f ca="1">IF(B214=TODAY(),0,-$I$6*(Sheet1!CG212-Sheet1!CG211)*7.48/1000000)</f>
        <v>3.1447416000000047E-2</v>
      </c>
      <c r="J214" s="95" t="s">
        <v>177</v>
      </c>
      <c r="K214" s="94">
        <f ca="1">IF(B214=TODAY(),0,-$K$6*(Sheet1!CH212-Sheet1!CH211)*7.48/1000000)</f>
        <v>5.3306562995667592E-2</v>
      </c>
      <c r="L214" s="95" t="s">
        <v>177</v>
      </c>
      <c r="M214" s="94">
        <f ca="1">IF(B214=TODAY(),0,-$M$6*(Sheet1!CI212-Sheet1!CI211)*7.48/1000000)</f>
        <v>0.16192357585224382</v>
      </c>
      <c r="N214" s="94">
        <f ca="1">IF(B214=TODAY(),0,-$N$6*(Sheet1!CJ212-Sheet1!CJ211)*7.48/1000000)</f>
        <v>-0.55847110855161419</v>
      </c>
      <c r="O214" s="94">
        <f t="shared" ca="1" si="53"/>
        <v>-1.4599894672824127</v>
      </c>
      <c r="P214" s="94">
        <f ca="1">O214+Calculation!ES214</f>
        <v>4.9110473381870703</v>
      </c>
      <c r="Q214" s="89" t="str">
        <f>IF(Sheet1!BQ212&gt;25.75,"spill elevation","-")</f>
        <v>-</v>
      </c>
      <c r="R214" s="89" t="str">
        <f>IF(Sheet1!BQ212&gt;25.75,"spill elevation","-")</f>
        <v>-</v>
      </c>
      <c r="S214" s="89" t="str">
        <f>IF(Sheet1!BR212&gt;25.75,"spill elevation","-")</f>
        <v>-</v>
      </c>
      <c r="T214" s="93">
        <f>IF(Sheet1!DU212=1,Sheet1!AA212-(SUM(AT214:BA214)+BE214),Sheet1!AA212-SUM(AT214:BA214))</f>
        <v>30.364192000000003</v>
      </c>
      <c r="U214" s="93">
        <f>Sheet1!BV212</f>
        <v>44.7</v>
      </c>
      <c r="V214" s="93">
        <f t="shared" si="54"/>
        <v>-14.335808</v>
      </c>
      <c r="W214" s="93">
        <f>0</f>
        <v>0</v>
      </c>
      <c r="X214" s="89">
        <f>0</f>
        <v>0</v>
      </c>
      <c r="Y214" s="94">
        <f ca="1">Calculation!EJ215+Calculation!ES214+'Calculations II'!O214-'Calculations II'!W214</f>
        <v>83.553998513493596</v>
      </c>
      <c r="Z214" s="94">
        <f ca="1">Y214-Sheet1!CT213</f>
        <v>66.887998513493599</v>
      </c>
      <c r="AA214" s="94">
        <f ca="1">Y214+Calculation!DJ215+Calculation!AS215</f>
        <v>104.85301847719596</v>
      </c>
      <c r="AC214" s="94">
        <f>Sheet1!AA212+Sheet1!AB212+BC214</f>
        <v>95.148704000000009</v>
      </c>
      <c r="AD214" s="94">
        <f>Sheet1!AA212+Sheet1!BN212+'Calculations II'!BC214-Calculation!AS214-Calculation!DJ214</f>
        <v>52.749626294843885</v>
      </c>
      <c r="AE214" s="94">
        <f>Sheet1!AA212+Sheet1!AB212+'Calculations II'!BC214-Calculation!AS214-Calculation!DJ214</f>
        <v>73.869626294843869</v>
      </c>
      <c r="AF214" s="94">
        <f ca="1">Sheet1!AA212+Sheet1!BN212+P214+'Calculations II'!BC214+Calculation!AS214+Calculation!DJ214</f>
        <v>100.21882904334322</v>
      </c>
      <c r="AG214" s="94">
        <f ca="1">IF(B214=TODAY(),0,Sheet1!AA212+Sheet1!BN212+'Calculations II'!BC214+'Calculations II'!P214-Sheet1!CT212-BP214)</f>
        <v>61.409751338187093</v>
      </c>
      <c r="AH214" s="94">
        <f ca="1">IF(B214=TODAY(),0,Sheet1!AA212+Sheet1!BN212+'Calculations II'!BC214+'Calculations II'!P214-BP214)</f>
        <v>78.939751338187094</v>
      </c>
      <c r="AI214" s="94">
        <f ca="1">IF(B214=TODAY(),0,BC214+Sheet1!AA212+Calculation!ES214+O214+W214+Sheet1!BN212+Calculation!AS214+Calculation!DJ214-BP214)</f>
        <v>100.21882904334322</v>
      </c>
      <c r="AJ214" s="94"/>
      <c r="AM214" s="90">
        <f t="shared" si="55"/>
        <v>42938</v>
      </c>
      <c r="AN214" s="94">
        <f>Sheet1!BU212</f>
        <v>31.5</v>
      </c>
      <c r="AO214" s="94">
        <f>Sheet1!AA212</f>
        <v>35.380000000000003</v>
      </c>
      <c r="AP214" s="94">
        <f t="shared" si="44"/>
        <v>-6.3710000000000022</v>
      </c>
      <c r="AQ214" s="1087">
        <f>((Sheet1!BV212-(Sheet1!BU212-AP214))/(Sheet1!BU212-AP214))</f>
        <v>0.18032267434184468</v>
      </c>
      <c r="AR214" s="94">
        <f t="shared" si="45"/>
        <v>41.751000000000005</v>
      </c>
      <c r="AS214" s="94">
        <f t="shared" si="46"/>
        <v>37.871000000000002</v>
      </c>
      <c r="AT214" s="89">
        <f>Sheet1!BB212</f>
        <v>0</v>
      </c>
      <c r="AU214" s="89">
        <f>Sheet1!AS212*GPMtoMGD</f>
        <v>2.5920000000000001E-3</v>
      </c>
      <c r="AV214" s="94">
        <f>Sheet1!AT212</f>
        <v>0</v>
      </c>
      <c r="AW214" s="89">
        <f>Sheet1!AV212*GPMtoMGD</f>
        <v>0.81720000000000004</v>
      </c>
      <c r="AX214" s="89">
        <f>Sheet1!AW212*GPMtoMGD</f>
        <v>4.1957279999999999</v>
      </c>
      <c r="AY214" s="89">
        <f>Sheet1!AX212*GPMtoMGD</f>
        <v>2.8800000000000001E-4</v>
      </c>
      <c r="AZ214" s="89">
        <f>Sheet1!AY212*GPMtoMGD</f>
        <v>0</v>
      </c>
      <c r="BA214" s="89">
        <f>Sheet1!AZ212*GPMtoMGD</f>
        <v>0</v>
      </c>
      <c r="BB214" s="89">
        <f>Sheet1!BP212*GPMtoMGD</f>
        <v>2.3040000000000001E-3</v>
      </c>
      <c r="BC214" s="89">
        <f>Sheet1!CS212*GPMtoMGD</f>
        <v>4.9487040000000002</v>
      </c>
      <c r="BD214" s="89">
        <f>Sheet1!BO212*GPMtoMGD</f>
        <v>4.0674239999999999</v>
      </c>
      <c r="BE214" s="89">
        <f>Sheet1!BW212*GPMtoMGD</f>
        <v>2.1208320000000001</v>
      </c>
      <c r="BF214" s="89">
        <f>Sheet1!CN212*GPMtoMGD</f>
        <v>5.1968160000000001</v>
      </c>
      <c r="BG214" s="89">
        <f>Sheet1!CO212*GPMtoMGD</f>
        <v>1.795104</v>
      </c>
      <c r="BH214" s="89">
        <f>Sheet1!CP212*GPMtoMGD</f>
        <v>0.88300800000000013</v>
      </c>
      <c r="BI214" s="89">
        <f t="shared" si="56"/>
        <v>4.0697279999999996</v>
      </c>
      <c r="BK214" s="94">
        <f>SUM(AT214:BA214,AS214,BC214,Calculation!AQ214)</f>
        <v>81.376434294843875</v>
      </c>
      <c r="BM214" s="358">
        <f>0</f>
        <v>0</v>
      </c>
      <c r="BN214" s="358">
        <f>0</f>
        <v>0</v>
      </c>
      <c r="BP214" s="94">
        <f>SUM(BM214:BN214,W214,Sheet1!DX212)</f>
        <v>0</v>
      </c>
      <c r="BR214" s="94">
        <f>Sheet1!AA212</f>
        <v>35.380000000000003</v>
      </c>
      <c r="BS214" s="94">
        <f>Sheet1!AB212</f>
        <v>54.82</v>
      </c>
      <c r="BT214" s="94">
        <f t="shared" ca="1" si="47"/>
        <v>4.9110473381870703</v>
      </c>
      <c r="BU214" s="94">
        <f>Sheet1!AT212</f>
        <v>0</v>
      </c>
      <c r="BV214" s="89">
        <f>Sheet1!BB212</f>
        <v>0</v>
      </c>
      <c r="BW214" s="94">
        <f>Calculation!ED214</f>
        <v>21.279077705156134</v>
      </c>
      <c r="BX214" s="94">
        <f>(Sheet1!CS212*1440)/1000000</f>
        <v>4.9487040000000002</v>
      </c>
      <c r="CA214" s="94">
        <f ca="1">Sheet1!AC212-Sheet1!BK212-Sheet1!BL212-Sheet1!BM212-Sheet1!BC212-Sheet1!BD212-Sheet1!BE212-Sheet1!BF212-Sheet1!BG212-Sheet1!BH212-Sheet1!BI212+BC214+P214</f>
        <v>78.679751338187089</v>
      </c>
      <c r="CB214" s="93">
        <f t="shared" si="48"/>
        <v>106.62066679012347</v>
      </c>
      <c r="CC214" s="94">
        <f t="shared" si="49"/>
        <v>0</v>
      </c>
      <c r="CD214" s="94">
        <f t="shared" ca="1" si="50"/>
        <v>99.958829043343229</v>
      </c>
      <c r="CE214" s="1077">
        <f t="shared" ca="1" si="51"/>
        <v>154.63630853005196</v>
      </c>
      <c r="CG214" s="1077">
        <f t="shared" ca="1" si="52"/>
        <v>78.679751338187089</v>
      </c>
    </row>
    <row r="215" spans="1:85" s="89" customFormat="1" x14ac:dyDescent="0.25">
      <c r="A215" s="616" t="s">
        <v>3</v>
      </c>
      <c r="B215" s="91">
        <v>42939</v>
      </c>
      <c r="C215" s="92">
        <v>0</v>
      </c>
      <c r="D215" s="94">
        <f>(Sheet1!BQ213-Sheet1!BQ212)*1.385</f>
        <v>0</v>
      </c>
      <c r="E215" s="30">
        <f>(Sheet1!BR213-Sheet1!BR212)*1.385</f>
        <v>0</v>
      </c>
      <c r="F215" s="30">
        <f ca="1">IF(B215=TODAY(),0,-(VLOOKUP(Sheet1!CD213,Lookup!$I$4:$J$216,2)-VLOOKUP(Sheet1!CD212,Lookup!$I$4:$J$216,2))/1000000)</f>
        <v>0.41454775419119744</v>
      </c>
      <c r="G215" s="94">
        <f ca="1">IF(B215=TODAY(),0,-$G$6*(Sheet1!CF213-Sheet1!CF212)*7.48/1000000)</f>
        <v>-0.43684851157815141</v>
      </c>
      <c r="H215" s="94">
        <f ca="1">IF(B215=TODAY(),0,-$H$6*(Sheet1!CE213-Sheet1!CE212)*7.48/1000000)</f>
        <v>0</v>
      </c>
      <c r="I215" s="94">
        <f ca="1">IF(B215=TODAY(),0,-$I$6*(Sheet1!CG213-Sheet1!CG212)*7.48/1000000)</f>
        <v>-2.2462440000000004E-2</v>
      </c>
      <c r="J215" s="95" t="s">
        <v>177</v>
      </c>
      <c r="K215" s="94">
        <f ca="1">IF(B215=TODAY(),0,-$K$6*(Sheet1!CH213-Sheet1!CH212)*7.48/1000000)</f>
        <v>-3.9979922246750635E-2</v>
      </c>
      <c r="L215" s="95" t="s">
        <v>177</v>
      </c>
      <c r="M215" s="94">
        <f ca="1">IF(B215=TODAY(),0,-$M$6*(Sheet1!CI213-Sheet1!CI212)*7.48/1000000)</f>
        <v>-0.10794905056816255</v>
      </c>
      <c r="N215" s="94">
        <f ca="1">IF(B215=TODAY(),0,-$N$6*(Sheet1!CJ213-Sheet1!CJ212)*7.48/1000000)</f>
        <v>-0.12410469078924848</v>
      </c>
      <c r="O215" s="94">
        <f t="shared" ca="1" si="53"/>
        <v>-0.31679686099111565</v>
      </c>
      <c r="P215" s="94">
        <f ca="1">O215+Calculation!ES215</f>
        <v>-0.31679686099111565</v>
      </c>
      <c r="Q215" s="89" t="str">
        <f>IF(Sheet1!BQ213&gt;25.75,"spill elevation","-")</f>
        <v>-</v>
      </c>
      <c r="R215" s="89" t="str">
        <f>IF(Sheet1!BQ213&gt;25.75,"spill elevation","-")</f>
        <v>-</v>
      </c>
      <c r="S215" s="89" t="str">
        <f>IF(Sheet1!BR213&gt;25.75,"spill elevation","-")</f>
        <v>-</v>
      </c>
      <c r="T215" s="93">
        <f>IF(Sheet1!DU213=1,Sheet1!AA213-(SUM(AT215:BA215)+BE215),Sheet1!AA213-SUM(AT215:BA215))</f>
        <v>30.251711999999998</v>
      </c>
      <c r="U215" s="93">
        <f>Sheet1!BV213</f>
        <v>37.299999999999997</v>
      </c>
      <c r="V215" s="93">
        <f t="shared" si="54"/>
        <v>-7.0482879999999994</v>
      </c>
      <c r="W215" s="93">
        <f>0</f>
        <v>0</v>
      </c>
      <c r="X215" s="89">
        <f>0</f>
        <v>0</v>
      </c>
      <c r="Y215" s="94">
        <f ca="1">Calculation!EJ216+Calculation!ES215+'Calculations II'!O215-'Calculations II'!W215</f>
        <v>79.008385139437777</v>
      </c>
      <c r="Z215" s="94">
        <f ca="1">Y215-Sheet1!CT214</f>
        <v>62.763385139437773</v>
      </c>
      <c r="AA215" s="94">
        <f ca="1">Y215+Calculation!DJ216+Calculation!AS216</f>
        <v>100.32448636590176</v>
      </c>
      <c r="AC215" s="94">
        <f>Sheet1!AA213+Sheet1!AB213+BC215</f>
        <v>99.210480000000004</v>
      </c>
      <c r="AD215" s="94">
        <f>Sheet1!AA213+Sheet1!BN213+'Calculations II'!BC215-Calculation!AS215-Calculation!DJ215</f>
        <v>56.771460036297626</v>
      </c>
      <c r="AE215" s="94">
        <f>Sheet1!AA213+Sheet1!AB213+'Calculations II'!BC215-Calculation!AS215-Calculation!DJ215</f>
        <v>77.91146003629764</v>
      </c>
      <c r="AF215" s="94">
        <f ca="1">Sheet1!AA213+Sheet1!BN213+P215+'Calculations II'!BC215+Calculation!AS215+Calculation!DJ215</f>
        <v>99.052703102711234</v>
      </c>
      <c r="AG215" s="94">
        <f ca="1">IF(B215=TODAY(),0,Sheet1!AA213+Sheet1!BN213+'Calculations II'!BC215+'Calculations II'!P215-Sheet1!CT213-BP215)</f>
        <v>61.087683139008874</v>
      </c>
      <c r="AH215" s="94">
        <f ca="1">IF(B215=TODAY(),0,Sheet1!AA213+Sheet1!BN213+'Calculations II'!BC215+'Calculations II'!P215-BP215)</f>
        <v>77.753683139008871</v>
      </c>
      <c r="AI215" s="94">
        <f ca="1">IF(B215=TODAY(),0,BC215+Sheet1!AA213+Calculation!ES215+O215+W215+Sheet1!BN213+Calculation!AS215+Calculation!DJ215-BP215)</f>
        <v>99.052703102711249</v>
      </c>
      <c r="AJ215" s="94"/>
      <c r="AM215" s="90">
        <f t="shared" si="55"/>
        <v>42939</v>
      </c>
      <c r="AN215" s="94">
        <f>Sheet1!BU213</f>
        <v>31.3</v>
      </c>
      <c r="AO215" s="94">
        <f>Sheet1!AA213</f>
        <v>35.4</v>
      </c>
      <c r="AP215" s="94">
        <f t="shared" si="44"/>
        <v>0</v>
      </c>
      <c r="AQ215" s="1087">
        <f>((Sheet1!BV213-(Sheet1!BU213-AP215))/(Sheet1!BU213-AP215))</f>
        <v>0.19169329073482416</v>
      </c>
      <c r="AR215" s="94">
        <f t="shared" si="45"/>
        <v>35.4</v>
      </c>
      <c r="AS215" s="94">
        <f t="shared" si="46"/>
        <v>31.3</v>
      </c>
      <c r="AT215" s="89">
        <f>Sheet1!BB213</f>
        <v>0</v>
      </c>
      <c r="AU215" s="89">
        <f>Sheet1!AS213*GPMtoMGD</f>
        <v>2.5344000000000002E-2</v>
      </c>
      <c r="AV215" s="94">
        <f>Sheet1!AT213</f>
        <v>0</v>
      </c>
      <c r="AW215" s="89">
        <f>Sheet1!AV213*GPMtoMGD</f>
        <v>1.1124000000000001</v>
      </c>
      <c r="AX215" s="89">
        <f>Sheet1!AW213*GPMtoMGD</f>
        <v>4.010256</v>
      </c>
      <c r="AY215" s="89">
        <f>Sheet1!AX213*GPMtoMGD</f>
        <v>2.8800000000000001E-4</v>
      </c>
      <c r="AZ215" s="89">
        <f>Sheet1!AY213*GPMtoMGD</f>
        <v>0</v>
      </c>
      <c r="BA215" s="89">
        <f>Sheet1!AZ213*GPMtoMGD</f>
        <v>0</v>
      </c>
      <c r="BB215" s="89">
        <f>Sheet1!BP213*GPMtoMGD</f>
        <v>2.16E-3</v>
      </c>
      <c r="BC215" s="89">
        <f>Sheet1!CS213*GPMtoMGD</f>
        <v>8.9704800000000002</v>
      </c>
      <c r="BD215" s="89">
        <f>Sheet1!BO213*GPMtoMGD</f>
        <v>4.37256</v>
      </c>
      <c r="BE215" s="89">
        <f>Sheet1!BW213*GPMtoMGD</f>
        <v>1.9884960000000003</v>
      </c>
      <c r="BF215" s="89">
        <f>Sheet1!CN213*GPMtoMGD</f>
        <v>5.2381440000000001</v>
      </c>
      <c r="BG215" s="89">
        <f>Sheet1!CO213*GPMtoMGD</f>
        <v>1.6823520000000001</v>
      </c>
      <c r="BH215" s="89">
        <f>Sheet1!CP213*GPMtoMGD</f>
        <v>0.88603200000000004</v>
      </c>
      <c r="BI215" s="89">
        <f t="shared" si="56"/>
        <v>4.3747199999999999</v>
      </c>
      <c r="BK215" s="94">
        <f>SUM(AT215:BA215,AS215,BC215,Calculation!AQ215)</f>
        <v>78.95974803629764</v>
      </c>
      <c r="BM215" s="358">
        <f>0</f>
        <v>0</v>
      </c>
      <c r="BN215" s="358">
        <f>0</f>
        <v>0</v>
      </c>
      <c r="BP215" s="94">
        <f>SUM(BM215:BN215,W215,Sheet1!DX213)</f>
        <v>0</v>
      </c>
      <c r="BR215" s="94">
        <f>Sheet1!AA213</f>
        <v>35.4</v>
      </c>
      <c r="BS215" s="94">
        <f>Sheet1!AB213</f>
        <v>54.84</v>
      </c>
      <c r="BT215" s="94">
        <f t="shared" ca="1" si="47"/>
        <v>-0.31679686099111565</v>
      </c>
      <c r="BU215" s="94">
        <f>Sheet1!AT213</f>
        <v>0</v>
      </c>
      <c r="BV215" s="89">
        <f>Sheet1!BB213</f>
        <v>0</v>
      </c>
      <c r="BW215" s="94">
        <f>Calculation!ED215</f>
        <v>21.29901996370236</v>
      </c>
      <c r="BX215" s="94">
        <f>(Sheet1!CS213*1440)/1000000</f>
        <v>8.9704800000000002</v>
      </c>
      <c r="CA215" s="94">
        <f ca="1">Sheet1!AC213-Sheet1!BK213-Sheet1!BL213-Sheet1!BM213-Sheet1!BC213-Sheet1!BD213-Sheet1!BE213-Sheet1!BF213-Sheet1!BG213-Sheet1!BH213-Sheet1!BI213+BC215+P215</f>
        <v>77.49368313900888</v>
      </c>
      <c r="CB215" s="93">
        <f t="shared" si="48"/>
        <v>106.65169611615245</v>
      </c>
      <c r="CC215" s="94">
        <f t="shared" si="49"/>
        <v>0</v>
      </c>
      <c r="CD215" s="94">
        <f t="shared" ca="1" si="50"/>
        <v>98.792703102711243</v>
      </c>
      <c r="CE215" s="1077">
        <f t="shared" ca="1" si="51"/>
        <v>152.83231169989429</v>
      </c>
      <c r="CG215" s="1077">
        <f t="shared" ca="1" si="52"/>
        <v>77.49368313900888</v>
      </c>
    </row>
    <row r="216" spans="1:85" s="89" customFormat="1" x14ac:dyDescent="0.25">
      <c r="A216" s="616" t="s">
        <v>4</v>
      </c>
      <c r="B216" s="91">
        <v>42940</v>
      </c>
      <c r="C216" s="92">
        <v>0</v>
      </c>
      <c r="D216" s="94">
        <f>(Sheet1!BQ214-Sheet1!BQ213)*1.385</f>
        <v>-0.27699999999999902</v>
      </c>
      <c r="E216" s="30">
        <f>(Sheet1!BR214-Sheet1!BR213)*1.385</f>
        <v>-0.27699999999999902</v>
      </c>
      <c r="F216" s="30">
        <f ca="1">IF(B216=TODAY(),0,-(VLOOKUP(Sheet1!CD214,Lookup!$I$4:$J$216,2)-VLOOKUP(Sheet1!CD213,Lookup!$I$4:$J$216,2))/1000000)</f>
        <v>0.41454775419120304</v>
      </c>
      <c r="G216" s="94">
        <f ca="1">IF(B216=TODAY(),0,-$G$6*(Sheet1!CF214-Sheet1!CF213)*7.48/1000000)</f>
        <v>0</v>
      </c>
      <c r="H216" s="94">
        <f ca="1">IF(B216=TODAY(),0,-$H$6*(Sheet1!CE214-Sheet1!CE213)*7.48/1000000)</f>
        <v>0</v>
      </c>
      <c r="I216" s="94">
        <f ca="1">IF(B216=TODAY(),0,-$I$6*(Sheet1!CG214-Sheet1!CG213)*7.48/1000000)</f>
        <v>4.4924879999999837E-3</v>
      </c>
      <c r="J216" s="95" t="s">
        <v>177</v>
      </c>
      <c r="K216" s="94">
        <f ca="1">IF(B216=TODAY(),0,-$K$6*(Sheet1!CH214-Sheet1!CH213)*7.48/1000000)</f>
        <v>1.3326640748916837E-2</v>
      </c>
      <c r="L216" s="95" t="s">
        <v>177</v>
      </c>
      <c r="M216" s="94">
        <f ca="1">IF(B216=TODAY(),0,-$M$6*(Sheet1!CI214-Sheet1!CI213)*7.48/1000000)</f>
        <v>1.7991508428027301E-2</v>
      </c>
      <c r="N216" s="94">
        <f ca="1">IF(B216=TODAY(),0,-$N$6*(Sheet1!CJ214-Sheet1!CJ213)*7.48/1000000)</f>
        <v>0.86873283552473479</v>
      </c>
      <c r="O216" s="94">
        <f t="shared" ca="1" si="53"/>
        <v>1.3190912268928821</v>
      </c>
      <c r="P216" s="94">
        <f ca="1">O216+Calculation!ES216</f>
        <v>1.8727740289664203</v>
      </c>
      <c r="Q216" s="89" t="str">
        <f>IF(Sheet1!BQ214&gt;25.75,"spill elevation","-")</f>
        <v>-</v>
      </c>
      <c r="R216" s="89" t="str">
        <f>IF(Sheet1!BQ214&gt;25.75,"spill elevation","-")</f>
        <v>-</v>
      </c>
      <c r="S216" s="89" t="str">
        <f>IF(Sheet1!BR214&gt;25.75,"spill elevation","-")</f>
        <v>-</v>
      </c>
      <c r="T216" s="93">
        <f>IF(Sheet1!DU214=1,Sheet1!AA214-(SUM(AT216:BA216)+BE216),Sheet1!AA214-SUM(AT216:BA216))</f>
        <v>28.494607999999999</v>
      </c>
      <c r="U216" s="93">
        <f>Sheet1!BV214</f>
        <v>36</v>
      </c>
      <c r="V216" s="93">
        <f t="shared" si="54"/>
        <v>-7.5053920000000005</v>
      </c>
      <c r="W216" s="93">
        <f>0</f>
        <v>0</v>
      </c>
      <c r="X216" s="89">
        <f>0</f>
        <v>0</v>
      </c>
      <c r="Y216" s="94">
        <f ca="1">Calculation!EJ217+Calculation!ES216+'Calculations II'!O216-'Calculations II'!W216</f>
        <v>73.225793047073182</v>
      </c>
      <c r="Z216" s="94">
        <f ca="1">Y216-Sheet1!CT215</f>
        <v>57.285793047073184</v>
      </c>
      <c r="AA216" s="94">
        <f ca="1">Y216+Calculation!DJ217+Calculation!AS217</f>
        <v>94.58155445993556</v>
      </c>
      <c r="AC216" s="94">
        <f>Sheet1!AA214+Sheet1!AB214+BC216</f>
        <v>98.016800000000003</v>
      </c>
      <c r="AD216" s="94">
        <f>Sheet1!AA214+Sheet1!BN214+'Calculations II'!BC216-Calculation!AS216-Calculation!DJ216</f>
        <v>55.510698773536021</v>
      </c>
      <c r="AE216" s="94">
        <f>Sheet1!AA214+Sheet1!AB214+'Calculations II'!BC216-Calculation!AS216-Calculation!DJ216</f>
        <v>76.700698773536018</v>
      </c>
      <c r="AF216" s="94">
        <f ca="1">Sheet1!AA214+Sheet1!BN214+P216+'Calculations II'!BC216+Calculation!AS216+Calculation!DJ216</f>
        <v>100.01567525543041</v>
      </c>
      <c r="AG216" s="94">
        <f ca="1">IF(B216=TODAY(),0,Sheet1!AA214+Sheet1!BN214+'Calculations II'!BC216+'Calculations II'!P216-Sheet1!CT214-BP216)</f>
        <v>62.45457402896642</v>
      </c>
      <c r="AH216" s="94">
        <f ca="1">IF(B216=TODAY(),0,Sheet1!AA214+Sheet1!BN214+'Calculations II'!BC216+'Calculations II'!P216-BP216)</f>
        <v>78.699574028966424</v>
      </c>
      <c r="AI216" s="94">
        <f ca="1">IF(B216=TODAY(),0,BC216+Sheet1!AA214+Calculation!ES216+O216+W216+Sheet1!BN214+Calculation!AS216+Calculation!DJ216-BP216)</f>
        <v>100.01567525543041</v>
      </c>
      <c r="AJ216" s="94"/>
      <c r="AM216" s="90">
        <f t="shared" si="55"/>
        <v>42940</v>
      </c>
      <c r="AN216" s="94">
        <f>Sheet1!BU214</f>
        <v>29.8</v>
      </c>
      <c r="AO216" s="94">
        <f>Sheet1!AA214</f>
        <v>32.9</v>
      </c>
      <c r="AP216" s="94">
        <f t="shared" si="44"/>
        <v>-0.55399999999999805</v>
      </c>
      <c r="AQ216" s="1087">
        <f>((Sheet1!BV214-(Sheet1!BU214-AP216))/(Sheet1!BU214-AP216))</f>
        <v>0.18600513935560389</v>
      </c>
      <c r="AR216" s="94">
        <f t="shared" si="45"/>
        <v>33.453999999999994</v>
      </c>
      <c r="AS216" s="94">
        <f t="shared" si="46"/>
        <v>30.353999999999999</v>
      </c>
      <c r="AT216" s="89">
        <f>Sheet1!BB214</f>
        <v>0</v>
      </c>
      <c r="AU216" s="89">
        <f>Sheet1!AS214*GPMtoMGD</f>
        <v>3.7872000000000003E-2</v>
      </c>
      <c r="AV216" s="94">
        <f>Sheet1!AT214</f>
        <v>0</v>
      </c>
      <c r="AW216" s="89">
        <f>Sheet1!AV214*GPMtoMGD</f>
        <v>1.2479040000000001</v>
      </c>
      <c r="AX216" s="89">
        <f>Sheet1!AW214*GPMtoMGD</f>
        <v>3.1194720000000005</v>
      </c>
      <c r="AY216" s="89">
        <f>Sheet1!AX214*GPMtoMGD</f>
        <v>1.44E-4</v>
      </c>
      <c r="AZ216" s="89">
        <f>Sheet1!AY214*GPMtoMGD</f>
        <v>0</v>
      </c>
      <c r="BA216" s="89">
        <f>Sheet1!AZ214*GPMtoMGD</f>
        <v>0</v>
      </c>
      <c r="BB216" s="89">
        <f>Sheet1!BP214*GPMtoMGD</f>
        <v>2.3040000000000001E-3</v>
      </c>
      <c r="BC216" s="89">
        <f>Sheet1!CS214*GPMtoMGD</f>
        <v>7.4268000000000001</v>
      </c>
      <c r="BD216" s="89">
        <f>Sheet1!BO214*GPMtoMGD</f>
        <v>4.3359839999999998</v>
      </c>
      <c r="BE216" s="89">
        <f>Sheet1!BW214*GPMtoMGD</f>
        <v>2.1565439999999998</v>
      </c>
      <c r="BF216" s="89">
        <f>Sheet1!CN214*GPMtoMGD</f>
        <v>5.0436000000000005</v>
      </c>
      <c r="BG216" s="89">
        <f>Sheet1!CO214*GPMtoMGD</f>
        <v>1.7033760000000002</v>
      </c>
      <c r="BH216" s="89">
        <f>Sheet1!CP214*GPMtoMGD</f>
        <v>0.95889600000000008</v>
      </c>
      <c r="BI216" s="89">
        <f t="shared" si="56"/>
        <v>4.3382879999999995</v>
      </c>
      <c r="BK216" s="94">
        <f>SUM(AT216:BA216,AS216,BC216,Calculation!AQ216)</f>
        <v>78.560090773536018</v>
      </c>
      <c r="BM216" s="358">
        <f>0</f>
        <v>0</v>
      </c>
      <c r="BN216" s="358">
        <f>0</f>
        <v>0</v>
      </c>
      <c r="BP216" s="94">
        <f>SUM(BM216:BN216,W216,Sheet1!DX214)</f>
        <v>0</v>
      </c>
      <c r="BR216" s="94">
        <f>Sheet1!AA214</f>
        <v>32.9</v>
      </c>
      <c r="BS216" s="94">
        <f>Sheet1!AB214</f>
        <v>57.69</v>
      </c>
      <c r="BT216" s="94">
        <f t="shared" ca="1" si="47"/>
        <v>1.8727740289664203</v>
      </c>
      <c r="BU216" s="94">
        <f>Sheet1!AT214</f>
        <v>0</v>
      </c>
      <c r="BV216" s="89">
        <f>Sheet1!BB214</f>
        <v>0</v>
      </c>
      <c r="BW216" s="94">
        <f>Calculation!ED216</f>
        <v>21.316101226463982</v>
      </c>
      <c r="BX216" s="94">
        <f>(Sheet1!CS214*1440)/1000000</f>
        <v>7.4268000000000001</v>
      </c>
      <c r="CA216" s="94">
        <f ca="1">Sheet1!AC214-Sheet1!BK214-Sheet1!BL214-Sheet1!BM214-Sheet1!BC214-Sheet1!BD214-Sheet1!BE214-Sheet1!BF214-Sheet1!BG214-Sheet1!BH214-Sheet1!BI214+BC216+P216</f>
        <v>78.499574028966421</v>
      </c>
      <c r="CB216" s="93">
        <f t="shared" si="48"/>
        <v>107.16672140266022</v>
      </c>
      <c r="CC216" s="94">
        <f t="shared" si="49"/>
        <v>0</v>
      </c>
      <c r="CD216" s="94">
        <f t="shared" ca="1" si="50"/>
        <v>99.815675255430406</v>
      </c>
      <c r="CE216" s="1077">
        <f t="shared" ca="1" si="51"/>
        <v>154.41484962015082</v>
      </c>
      <c r="CG216" s="1077">
        <f t="shared" ca="1" si="52"/>
        <v>78.499574028966421</v>
      </c>
    </row>
    <row r="217" spans="1:85" s="89" customFormat="1" x14ac:dyDescent="0.25">
      <c r="A217" s="616" t="s">
        <v>5</v>
      </c>
      <c r="B217" s="91">
        <v>42941</v>
      </c>
      <c r="C217" s="92">
        <v>0</v>
      </c>
      <c r="D217" s="94">
        <f>(Sheet1!BQ215-Sheet1!BQ214)*1.385</f>
        <v>-1.661999999999999</v>
      </c>
      <c r="E217" s="30">
        <f>(Sheet1!BR215-Sheet1!BR214)*1.385</f>
        <v>-1.661999999999999</v>
      </c>
      <c r="F217" s="30">
        <f ca="1">IF(B217=TODAY(),0,-(VLOOKUP(Sheet1!CD215,Lookup!$I$4:$J$216,2)-VLOOKUP(Sheet1!CD214,Lookup!$I$4:$J$216,2))/1000000)</f>
        <v>-0.72545856983460111</v>
      </c>
      <c r="G217" s="94">
        <f ca="1">IF(B217=TODAY(),0,-$G$6*(Sheet1!CF215-Sheet1!CF214)*7.48/1000000)</f>
        <v>0.39713501052559297</v>
      </c>
      <c r="H217" s="94">
        <f ca="1">IF(B217=TODAY(),0,-$H$6*(Sheet1!CE215-Sheet1!CE214)*7.48/1000000)</f>
        <v>0</v>
      </c>
      <c r="I217" s="94">
        <f ca="1">IF(B217=TODAY(),0,-$I$6*(Sheet1!CG215-Sheet1!CG214)*7.48/1000000)</f>
        <v>0</v>
      </c>
      <c r="J217" s="95" t="s">
        <v>177</v>
      </c>
      <c r="K217" s="94">
        <f ca="1">IF(B217=TODAY(),0,-$K$6*(Sheet1!CH215-Sheet1!CH214)*7.48/1000000)</f>
        <v>-6.6633203744584186E-3</v>
      </c>
      <c r="L217" s="95" t="s">
        <v>177</v>
      </c>
      <c r="M217" s="94">
        <f ca="1">IF(B217=TODAY(),0,-$M$6*(Sheet1!CI215-Sheet1!CI214)*7.48/1000000)</f>
        <v>-1.7991508428027301E-2</v>
      </c>
      <c r="N217" s="94">
        <f ca="1">IF(B217=TODAY(),0,-$N$6*(Sheet1!CJ215-Sheet1!CJ214)*7.48/1000000)</f>
        <v>-0.93078518091935858</v>
      </c>
      <c r="O217" s="94">
        <f t="shared" ca="1" si="53"/>
        <v>-1.2837635690308524</v>
      </c>
      <c r="P217" s="94">
        <f ca="1">O217+Calculation!ES217</f>
        <v>2.0372570110209978</v>
      </c>
      <c r="Q217" s="89" t="str">
        <f>IF(Sheet1!BQ215&gt;25.75,"spill elevation","-")</f>
        <v>-</v>
      </c>
      <c r="R217" s="89" t="str">
        <f>IF(Sheet1!BQ215&gt;25.75,"spill elevation","-")</f>
        <v>-</v>
      </c>
      <c r="S217" s="89" t="str">
        <f>IF(Sheet1!BR215&gt;25.75,"spill elevation","-")</f>
        <v>-</v>
      </c>
      <c r="T217" s="93">
        <f>IF(Sheet1!DU215=1,Sheet1!AA215-(SUM(AT217:BA217)+BE217),Sheet1!AA215-SUM(AT217:BA217))</f>
        <v>26.712160000000001</v>
      </c>
      <c r="U217" s="93">
        <f>Sheet1!BV215</f>
        <v>36.299999999999997</v>
      </c>
      <c r="V217" s="93">
        <f t="shared" si="54"/>
        <v>-9.5878399999999964</v>
      </c>
      <c r="W217" s="93">
        <f>0</f>
        <v>0</v>
      </c>
      <c r="X217" s="89">
        <f>0</f>
        <v>0</v>
      </c>
      <c r="Y217" s="94">
        <f ca="1">Calculation!EJ218+Calculation!ES217+'Calculations II'!O217-'Calculations II'!W217</f>
        <v>84.907954162072045</v>
      </c>
      <c r="Z217" s="94">
        <f ca="1">Y217-Sheet1!CT216</f>
        <v>69.582954162072042</v>
      </c>
      <c r="AA217" s="94">
        <f ca="1">Y217+Calculation!DJ218+Calculation!AS218</f>
        <v>106.34422020641277</v>
      </c>
      <c r="AC217" s="94">
        <f>Sheet1!AA215+Sheet1!AB215+BC217</f>
        <v>98.104703999999998</v>
      </c>
      <c r="AD217" s="94">
        <f>Sheet1!AA215+Sheet1!BN215+'Calculations II'!BC217-Calculation!AS217-Calculation!DJ217</f>
        <v>55.508942587137625</v>
      </c>
      <c r="AE217" s="94">
        <f>Sheet1!AA215+Sheet1!AB215+'Calculations II'!BC217-Calculation!AS217-Calculation!DJ217</f>
        <v>76.74894258713762</v>
      </c>
      <c r="AF217" s="94">
        <f ca="1">Sheet1!AA215+Sheet1!BN215+P217+'Calculations II'!BC217+Calculation!AS217+Calculation!DJ217</f>
        <v>100.25772242388338</v>
      </c>
      <c r="AG217" s="94">
        <f ca="1">IF(B217=TODAY(),0,Sheet1!AA215+Sheet1!BN215+'Calculations II'!BC217+'Calculations II'!P217-Sheet1!CT215-BP217)</f>
        <v>62.961961011021003</v>
      </c>
      <c r="AH217" s="94">
        <f ca="1">IF(B217=TODAY(),0,Sheet1!AA215+Sheet1!BN215+'Calculations II'!BC217+'Calculations II'!P217-BP217)</f>
        <v>78.901961011021001</v>
      </c>
      <c r="AI217" s="94">
        <f ca="1">IF(B217=TODAY(),0,BC217+Sheet1!AA215+Calculation!ES217+O217+W217+Sheet1!BN215+Calculation!AS217+Calculation!DJ217-BP217)</f>
        <v>100.25772242388338</v>
      </c>
      <c r="AJ217" s="94"/>
      <c r="AM217" s="90">
        <f t="shared" si="55"/>
        <v>42941</v>
      </c>
      <c r="AN217" s="94">
        <f>Sheet1!BU215</f>
        <v>22.6</v>
      </c>
      <c r="AO217" s="94">
        <f>Sheet1!AA215</f>
        <v>31.3</v>
      </c>
      <c r="AP217" s="94">
        <f t="shared" si="44"/>
        <v>-3.3239999999999981</v>
      </c>
      <c r="AQ217" s="1087">
        <f>((Sheet1!BV215-(Sheet1!BU215-AP217))/(Sheet1!BU215-AP217))</f>
        <v>0.40024687548217858</v>
      </c>
      <c r="AR217" s="94">
        <f t="shared" si="45"/>
        <v>34.623999999999995</v>
      </c>
      <c r="AS217" s="94">
        <f t="shared" si="46"/>
        <v>25.923999999999999</v>
      </c>
      <c r="AT217" s="89">
        <f>Sheet1!BB215</f>
        <v>0</v>
      </c>
      <c r="AU217" s="89">
        <f>Sheet1!AS215*GPMtoMGD</f>
        <v>3.5568000000000002E-2</v>
      </c>
      <c r="AV217" s="94">
        <f>Sheet1!AT215</f>
        <v>0</v>
      </c>
      <c r="AW217" s="89">
        <f>Sheet1!AV215*GPMtoMGD</f>
        <v>1.179648</v>
      </c>
      <c r="AX217" s="89">
        <f>Sheet1!AW215*GPMtoMGD</f>
        <v>3.3726240000000001</v>
      </c>
      <c r="AY217" s="89">
        <f>Sheet1!AX215*GPMtoMGD</f>
        <v>0</v>
      </c>
      <c r="AZ217" s="89">
        <f>Sheet1!AY215*GPMtoMGD</f>
        <v>0</v>
      </c>
      <c r="BA217" s="89">
        <f>Sheet1!AZ215*GPMtoMGD</f>
        <v>0</v>
      </c>
      <c r="BB217" s="89">
        <f>Sheet1!BP215*GPMtoMGD</f>
        <v>3.2975999999999998E-2</v>
      </c>
      <c r="BC217" s="89">
        <f>Sheet1!CS215*GPMtoMGD</f>
        <v>6.9647040000000011</v>
      </c>
      <c r="BD217" s="89">
        <f>Sheet1!BO215*GPMtoMGD</f>
        <v>4.2317280000000004</v>
      </c>
      <c r="BE217" s="89">
        <f>Sheet1!BW215*GPMtoMGD</f>
        <v>2.0766239999999998</v>
      </c>
      <c r="BF217" s="89">
        <f>Sheet1!CN215*GPMtoMGD</f>
        <v>4.9835520000000004</v>
      </c>
      <c r="BG217" s="89">
        <f>Sheet1!CO215*GPMtoMGD</f>
        <v>1.6904160000000001</v>
      </c>
      <c r="BH217" s="89">
        <f>Sheet1!CP215*GPMtoMGD</f>
        <v>0.93398400000000004</v>
      </c>
      <c r="BI217" s="89">
        <f t="shared" si="56"/>
        <v>4.2647040000000001</v>
      </c>
      <c r="BK217" s="94">
        <f>SUM(AT217:BA217,AS217,BC217,Calculation!AQ217)</f>
        <v>75.960782587137629</v>
      </c>
      <c r="BM217" s="358">
        <f>0</f>
        <v>0</v>
      </c>
      <c r="BN217" s="358">
        <f>0</f>
        <v>0</v>
      </c>
      <c r="BP217" s="94">
        <f>SUM(BM217:BN217,W217,Sheet1!DX215)</f>
        <v>0</v>
      </c>
      <c r="BR217" s="94">
        <f>Sheet1!AA215</f>
        <v>31.3</v>
      </c>
      <c r="BS217" s="94">
        <f>Sheet1!AB215</f>
        <v>59.84</v>
      </c>
      <c r="BT217" s="94">
        <f t="shared" ca="1" si="47"/>
        <v>2.0372570110209978</v>
      </c>
      <c r="BU217" s="94">
        <f>Sheet1!AT215</f>
        <v>0</v>
      </c>
      <c r="BV217" s="89">
        <f>Sheet1!BB215</f>
        <v>0</v>
      </c>
      <c r="BW217" s="94">
        <f>Calculation!ED217</f>
        <v>21.355761412862378</v>
      </c>
      <c r="BX217" s="94">
        <f>(Sheet1!CS215*1440)/1000000</f>
        <v>6.9647040000000011</v>
      </c>
      <c r="CA217" s="94">
        <f ca="1">Sheet1!AC215-Sheet1!BK215-Sheet1!BL215-Sheet1!BM215-Sheet1!BC215-Sheet1!BD215-Sheet1!BE215-Sheet1!BF215-Sheet1!BG215-Sheet1!BH215-Sheet1!BI215+BC217+P217</f>
        <v>78.72196101102098</v>
      </c>
      <c r="CB217" s="93">
        <f t="shared" si="48"/>
        <v>107.95621709430189</v>
      </c>
      <c r="CC217" s="94">
        <f t="shared" si="49"/>
        <v>0</v>
      </c>
      <c r="CD217" s="94">
        <f t="shared" ca="1" si="50"/>
        <v>100.07772242388336</v>
      </c>
      <c r="CE217" s="1077">
        <f t="shared" ca="1" si="51"/>
        <v>154.82023658974754</v>
      </c>
      <c r="CG217" s="1077">
        <f t="shared" ca="1" si="52"/>
        <v>78.72196101102098</v>
      </c>
    </row>
    <row r="218" spans="1:85" s="89" customFormat="1" x14ac:dyDescent="0.25">
      <c r="A218" s="616" t="s">
        <v>6</v>
      </c>
      <c r="B218" s="91">
        <v>42942</v>
      </c>
      <c r="C218" s="92">
        <v>0</v>
      </c>
      <c r="D218" s="94">
        <f>(Sheet1!BQ216-Sheet1!BQ215)*1.385</f>
        <v>1.661999999999999</v>
      </c>
      <c r="E218" s="30">
        <f>(Sheet1!BR216-Sheet1!BR215)*1.385</f>
        <v>1.661999999999999</v>
      </c>
      <c r="F218" s="30">
        <f ca="1">IF(B218=TODAY(),0,-(VLOOKUP(Sheet1!CD216,Lookup!$I$4:$J$216,2)-VLOOKUP(Sheet1!CD215,Lookup!$I$4:$J$216,2))/1000000)</f>
        <v>1.243643262573598</v>
      </c>
      <c r="G218" s="94">
        <f ca="1">IF(B218=TODAY(),0,-$G$6*(Sheet1!CF216-Sheet1!CF215)*7.48/1000000)</f>
        <v>3.9713501052558449E-2</v>
      </c>
      <c r="H218" s="94">
        <f ca="1">IF(B218=TODAY(),0,-$H$6*(Sheet1!CE216-Sheet1!CE215)*7.48/1000000)</f>
        <v>-1.5039432351264204E-2</v>
      </c>
      <c r="I218" s="94">
        <f ca="1">IF(B218=TODAY(),0,-$I$6*(Sheet1!CG216-Sheet1!CG215)*7.48/1000000)</f>
        <v>-4.4924879999999837E-3</v>
      </c>
      <c r="J218" s="95" t="s">
        <v>177</v>
      </c>
      <c r="K218" s="94">
        <f ca="1">IF(B218=TODAY(),0,-$K$6*(Sheet1!CH216-Sheet1!CH215)*7.48/1000000)</f>
        <v>-6.6633203744584186E-3</v>
      </c>
      <c r="L218" s="95" t="s">
        <v>177</v>
      </c>
      <c r="M218" s="94">
        <f ca="1">IF(B218=TODAY(),0,-$M$6*(Sheet1!CI216-Sheet1!CI215)*7.48/1000000)</f>
        <v>-1.7991508428027301E-2</v>
      </c>
      <c r="N218" s="94">
        <f ca="1">IF(B218=TODAY(),0,-$N$6*(Sheet1!CJ216-Sheet1!CJ215)*7.48/1000000)</f>
        <v>0.93078518091935858</v>
      </c>
      <c r="O218" s="94">
        <f t="shared" ca="1" si="53"/>
        <v>2.1699551953917653</v>
      </c>
      <c r="P218" s="94">
        <f ca="1">O218+Calculation!ES218</f>
        <v>-1.1510653846600851</v>
      </c>
      <c r="Q218" s="89" t="str">
        <f>IF(Sheet1!BQ216&gt;25.75,"spill elevation","-")</f>
        <v>-</v>
      </c>
      <c r="R218" s="89" t="str">
        <f>IF(Sheet1!BQ216&gt;25.75,"spill elevation","-")</f>
        <v>-</v>
      </c>
      <c r="S218" s="89" t="str">
        <f>IF(Sheet1!BR216&gt;25.75,"spill elevation","-")</f>
        <v>-</v>
      </c>
      <c r="T218" s="93">
        <f>IF(Sheet1!DU216=1,Sheet1!AA216-(SUM(AT218:BA218)+BE218),Sheet1!AA216-SUM(AT218:BA218))</f>
        <v>27.154384000000004</v>
      </c>
      <c r="U218" s="93">
        <f>Sheet1!BV216</f>
        <v>30</v>
      </c>
      <c r="V218" s="93">
        <f t="shared" si="54"/>
        <v>-2.8456159999999961</v>
      </c>
      <c r="W218" s="93">
        <f>0</f>
        <v>0</v>
      </c>
      <c r="X218" s="89">
        <f>0</f>
        <v>0</v>
      </c>
      <c r="Y218" s="94">
        <f ca="1">Calculation!EJ219+Calculation!ES218+'Calculations II'!O218-'Calculations II'!W218</f>
        <v>76.753703288150959</v>
      </c>
      <c r="Z218" s="94">
        <f ca="1">Y218-Sheet1!CT217</f>
        <v>61.936703288150959</v>
      </c>
      <c r="AA218" s="94">
        <f ca="1">Y218+Calculation!DJ219+Calculation!AS219</f>
        <v>98.20353662148429</v>
      </c>
      <c r="AC218" s="94">
        <f>Sheet1!AA216+Sheet1!AB216+BC218</f>
        <v>100.89139200000001</v>
      </c>
      <c r="AD218" s="94">
        <f>Sheet1!AA216+Sheet1!BN216+'Calculations II'!BC218-Calculation!AS218-Calculation!DJ218</f>
        <v>58.115125955659281</v>
      </c>
      <c r="AE218" s="94">
        <f>Sheet1!AA216+Sheet1!AB216+'Calculations II'!BC218-Calculation!AS218-Calculation!DJ218</f>
        <v>79.455125955659284</v>
      </c>
      <c r="AF218" s="94">
        <f ca="1">Sheet1!AA216+Sheet1!BN216+P218+'Calculations II'!BC218+Calculation!AS218+Calculation!DJ218</f>
        <v>99.836592659680647</v>
      </c>
      <c r="AG218" s="94">
        <f ca="1">IF(B218=TODAY(),0,Sheet1!AA216+Sheet1!BN216+'Calculations II'!BC218+'Calculations II'!P218-Sheet1!CT216-BP218)</f>
        <v>63.075326615339918</v>
      </c>
      <c r="AH218" s="94">
        <f ca="1">IF(B218=TODAY(),0,Sheet1!AA216+Sheet1!BN216+'Calculations II'!BC218+'Calculations II'!P218-BP218)</f>
        <v>78.400326615339921</v>
      </c>
      <c r="AI218" s="94">
        <f ca="1">IF(B218=TODAY(),0,BC218+Sheet1!AA216+Calculation!ES218+O218+W218+Sheet1!BN216+Calculation!AS218+Calculation!DJ218-BP218)</f>
        <v>99.836592659680647</v>
      </c>
      <c r="AJ218" s="94"/>
      <c r="AM218" s="90">
        <f t="shared" si="55"/>
        <v>42942</v>
      </c>
      <c r="AN218" s="94">
        <f>Sheet1!BU216</f>
        <v>28.4</v>
      </c>
      <c r="AO218" s="94">
        <f>Sheet1!AA216</f>
        <v>32.200000000000003</v>
      </c>
      <c r="AP218" s="94">
        <f t="shared" si="44"/>
        <v>3.3239999999999981</v>
      </c>
      <c r="AQ218" s="1087">
        <f>((Sheet1!BV216-(Sheet1!BU216-AP218))/(Sheet1!BU216-AP218))</f>
        <v>0.19636305630882117</v>
      </c>
      <c r="AR218" s="94">
        <f t="shared" si="45"/>
        <v>28.876000000000005</v>
      </c>
      <c r="AS218" s="94">
        <f t="shared" si="46"/>
        <v>25.076000000000001</v>
      </c>
      <c r="AT218" s="89">
        <f>Sheet1!BB216</f>
        <v>0</v>
      </c>
      <c r="AU218" s="89">
        <f>Sheet1!AS216*GPMtoMGD</f>
        <v>3.8736E-2</v>
      </c>
      <c r="AV218" s="94">
        <f>Sheet1!AT216</f>
        <v>0</v>
      </c>
      <c r="AW218" s="89">
        <f>Sheet1!AV216*GPMtoMGD</f>
        <v>1.4248800000000001</v>
      </c>
      <c r="AX218" s="89">
        <f>Sheet1!AW216*GPMtoMGD</f>
        <v>3.5814240000000002</v>
      </c>
      <c r="AY218" s="89">
        <f>Sheet1!AX216*GPMtoMGD</f>
        <v>5.7600000000000001E-4</v>
      </c>
      <c r="AZ218" s="89">
        <f>Sheet1!AY216*GPMtoMGD</f>
        <v>0</v>
      </c>
      <c r="BA218" s="89">
        <f>Sheet1!AZ216*GPMtoMGD</f>
        <v>0</v>
      </c>
      <c r="BB218" s="89">
        <f>Sheet1!BP216*GPMtoMGD</f>
        <v>2.3040000000000001E-3</v>
      </c>
      <c r="BC218" s="89">
        <f>Sheet1!CS216*GPMtoMGD</f>
        <v>8.8513920000000006</v>
      </c>
      <c r="BD218" s="89">
        <f>Sheet1!BO216*GPMtoMGD</f>
        <v>4.3427520000000008</v>
      </c>
      <c r="BE218" s="89">
        <f>Sheet1!BW216*GPMtoMGD</f>
        <v>2.150064</v>
      </c>
      <c r="BF218" s="89">
        <f>Sheet1!CN216*GPMtoMGD</f>
        <v>5.2374239999999999</v>
      </c>
      <c r="BG218" s="89">
        <f>Sheet1!CO216*GPMtoMGD</f>
        <v>1.7174880000000001</v>
      </c>
      <c r="BH218" s="89">
        <f>Sheet1!CP216*GPMtoMGD</f>
        <v>0.98164800000000008</v>
      </c>
      <c r="BI218" s="89">
        <f t="shared" si="56"/>
        <v>4.3450560000000005</v>
      </c>
      <c r="BK218" s="94">
        <f>SUM(AT218:BA218,AS218,BC218,Calculation!AQ218)</f>
        <v>77.376741955659284</v>
      </c>
      <c r="BM218" s="358">
        <f>0</f>
        <v>0</v>
      </c>
      <c r="BN218" s="358">
        <f>0</f>
        <v>0</v>
      </c>
      <c r="BP218" s="94">
        <f>SUM(BM218:BN218,W218,Sheet1!DX216)</f>
        <v>0</v>
      </c>
      <c r="BR218" s="94">
        <f>Sheet1!AA216</f>
        <v>32.200000000000003</v>
      </c>
      <c r="BS218" s="94">
        <f>Sheet1!AB216</f>
        <v>59.84</v>
      </c>
      <c r="BT218" s="94">
        <f t="shared" ca="1" si="47"/>
        <v>-1.1510653846600851</v>
      </c>
      <c r="BU218" s="94">
        <f>Sheet1!AT216</f>
        <v>0</v>
      </c>
      <c r="BV218" s="89">
        <f>Sheet1!BB216</f>
        <v>0</v>
      </c>
      <c r="BW218" s="94">
        <f>Calculation!ED218</f>
        <v>21.436266044340726</v>
      </c>
      <c r="BX218" s="94">
        <f>(Sheet1!CS216*1440)/1000000</f>
        <v>8.8513920000000006</v>
      </c>
      <c r="CA218" s="94">
        <f ca="1">Sheet1!AC216-Sheet1!BK216-Sheet1!BL216-Sheet1!BM216-Sheet1!BC216-Sheet1!BD216-Sheet1!BE216-Sheet1!BF216-Sheet1!BG216-Sheet1!BH216-Sheet1!BI216+BC218+P218</f>
        <v>78.25032661533993</v>
      </c>
      <c r="CB218" s="93">
        <f t="shared" si="48"/>
        <v>109.2239764294049</v>
      </c>
      <c r="CC218" s="94">
        <f t="shared" si="49"/>
        <v>0</v>
      </c>
      <c r="CD218" s="94">
        <f t="shared" ca="1" si="50"/>
        <v>99.686592659680656</v>
      </c>
      <c r="CE218" s="1077">
        <f t="shared" ca="1" si="51"/>
        <v>154.21515884452597</v>
      </c>
      <c r="CG218" s="1077">
        <f t="shared" ca="1" si="52"/>
        <v>78.25032661533993</v>
      </c>
    </row>
    <row r="219" spans="1:85" s="89" customFormat="1" x14ac:dyDescent="0.25">
      <c r="A219" s="616" t="s">
        <v>7</v>
      </c>
      <c r="B219" s="91">
        <v>42943</v>
      </c>
      <c r="C219" s="92">
        <v>0</v>
      </c>
      <c r="D219" s="94">
        <f>(Sheet1!BQ217-Sheet1!BQ216)*1.385</f>
        <v>1.661999999999999</v>
      </c>
      <c r="E219" s="30">
        <f>(Sheet1!BR217-Sheet1!BR216)*1.385</f>
        <v>1.661999999999999</v>
      </c>
      <c r="F219" s="30">
        <f ca="1">IF(B219=TODAY(),0,-(VLOOKUP(Sheet1!CD217,Lookup!$I$4:$J$216,2)-VLOOKUP(Sheet1!CD216,Lookup!$I$4:$J$216,2))/1000000)</f>
        <v>-0.31091081564339806</v>
      </c>
      <c r="G219" s="94">
        <f ca="1">IF(B219=TODAY(),0,-$G$6*(Sheet1!CF217-Sheet1!CF216)*7.48/1000000)</f>
        <v>0.27799450736791476</v>
      </c>
      <c r="H219" s="94">
        <f ca="1">IF(B219=TODAY(),0,-$H$6*(Sheet1!CE217-Sheet1!CE216)*7.48/1000000)</f>
        <v>-1.5039432351265274E-2</v>
      </c>
      <c r="I219" s="94">
        <f ca="1">IF(B219=TODAY(),0,-$I$6*(Sheet1!CG217-Sheet1!CG216)*7.48/1000000)</f>
        <v>-3.5939904000000029E-2</v>
      </c>
      <c r="J219" s="95" t="s">
        <v>177</v>
      </c>
      <c r="K219" s="94">
        <f ca="1">IF(B219=TODAY(),0,-$K$6*(Sheet1!CH217-Sheet1!CH216)*7.48/1000000)</f>
        <v>-5.9969883370126001E-2</v>
      </c>
      <c r="L219" s="95" t="s">
        <v>177</v>
      </c>
      <c r="M219" s="94">
        <f ca="1">IF(B219=TODAY(),0,-$M$6*(Sheet1!CI217-Sheet1!CI216)*7.48/1000000)</f>
        <v>-0.17991508428027048</v>
      </c>
      <c r="N219" s="94">
        <f ca="1">IF(B219=TODAY(),0,-$N$6*(Sheet1!CJ217-Sheet1!CJ216)*7.48/1000000)</f>
        <v>-0.24820938157849581</v>
      </c>
      <c r="O219" s="94">
        <f t="shared" ca="1" si="53"/>
        <v>-0.57198999385564098</v>
      </c>
      <c r="P219" s="94">
        <f ca="1">O219+Calculation!ES219</f>
        <v>-3.8948556856058101</v>
      </c>
      <c r="Q219" s="89" t="str">
        <f>IF(Sheet1!BQ217&gt;25.75,"spill elevation","-")</f>
        <v>-</v>
      </c>
      <c r="R219" s="89" t="str">
        <f>IF(Sheet1!BQ217&gt;25.75,"spill elevation","-")</f>
        <v>-</v>
      </c>
      <c r="S219" s="89" t="str">
        <f>IF(Sheet1!BR217&gt;25.75,"spill elevation","-")</f>
        <v>-</v>
      </c>
      <c r="T219" s="93">
        <f>IF(Sheet1!DU217=1,Sheet1!AA217-(SUM(AT219:BA219)+BE219),Sheet1!AA217-SUM(AT219:BA219))</f>
        <v>28.416623999999995</v>
      </c>
      <c r="U219" s="93">
        <f>Sheet1!BV217</f>
        <v>30.8</v>
      </c>
      <c r="V219" s="93">
        <f t="shared" si="54"/>
        <v>-2.3833760000000055</v>
      </c>
      <c r="W219" s="93">
        <f>0</f>
        <v>0</v>
      </c>
      <c r="X219" s="89">
        <f>0</f>
        <v>0</v>
      </c>
      <c r="Y219" s="94">
        <f ca="1">Calculation!EJ220+Calculation!ES219+'Calculations II'!O219-'Calculations II'!W219</f>
        <v>75.172725924554982</v>
      </c>
      <c r="Z219" s="94">
        <f ca="1">Y219-Sheet1!CT218</f>
        <v>59.093725924554981</v>
      </c>
      <c r="AA219" s="94">
        <f ca="1">Y219+Calculation!DJ220+Calculation!AS220</f>
        <v>96.698854396777207</v>
      </c>
      <c r="AC219" s="94">
        <f>Sheet1!AA217+Sheet1!AB217+BC219</f>
        <v>99.043216000000001</v>
      </c>
      <c r="AD219" s="94">
        <f>Sheet1!AA217+Sheet1!BN217+'Calculations II'!BC219-Calculation!AS219-Calculation!DJ219</f>
        <v>56.233382666666671</v>
      </c>
      <c r="AE219" s="94">
        <f>Sheet1!AA217+Sheet1!AB217+'Calculations II'!BC219-Calculation!AS219-Calculation!DJ219</f>
        <v>77.59338266666667</v>
      </c>
      <c r="AF219" s="94">
        <f ca="1">Sheet1!AA217+Sheet1!BN217+P219+'Calculations II'!BC219+Calculation!AS219+Calculation!DJ219</f>
        <v>95.238193647727527</v>
      </c>
      <c r="AG219" s="94">
        <f ca="1">IF(B219=TODAY(),0,Sheet1!AA217+Sheet1!BN217+'Calculations II'!BC219+'Calculations II'!P219-Sheet1!CT217-BP219)</f>
        <v>58.971360314394197</v>
      </c>
      <c r="AH219" s="94">
        <f ca="1">IF(B219=TODAY(),0,Sheet1!AA217+Sheet1!BN217+'Calculations II'!BC219+'Calculations II'!P219-BP219)</f>
        <v>73.788360314394197</v>
      </c>
      <c r="AI219" s="94">
        <f ca="1">IF(B219=TODAY(),0,BC219+Sheet1!AA217+Calculation!ES219+O219+W219+Sheet1!BN217+Calculation!AS219+Calculation!DJ219-BP219)</f>
        <v>95.238193647727527</v>
      </c>
      <c r="AJ219" s="94"/>
      <c r="AM219" s="90">
        <f t="shared" si="55"/>
        <v>42943</v>
      </c>
      <c r="AN219" s="94">
        <f>Sheet1!BU217</f>
        <v>29.3</v>
      </c>
      <c r="AO219" s="94">
        <f>Sheet1!AA217</f>
        <v>32.909999999999997</v>
      </c>
      <c r="AP219" s="94">
        <f t="shared" si="44"/>
        <v>3.3239999999999981</v>
      </c>
      <c r="AQ219" s="1087">
        <f>((Sheet1!BV217-(Sheet1!BU217-AP219))/(Sheet1!BU217-AP219))</f>
        <v>0.18570988604866021</v>
      </c>
      <c r="AR219" s="94">
        <f t="shared" si="45"/>
        <v>29.585999999999999</v>
      </c>
      <c r="AS219" s="94">
        <f t="shared" si="46"/>
        <v>25.976000000000003</v>
      </c>
      <c r="AT219" s="89">
        <f>Sheet1!BB217</f>
        <v>0</v>
      </c>
      <c r="AU219" s="89">
        <f>Sheet1!AS217*GPMtoMGD</f>
        <v>3.4704000000000006E-2</v>
      </c>
      <c r="AV219" s="94">
        <f>Sheet1!AT217</f>
        <v>0</v>
      </c>
      <c r="AW219" s="89">
        <f>Sheet1!AV217*GPMtoMGD</f>
        <v>1.1450880000000001</v>
      </c>
      <c r="AX219" s="89">
        <f>Sheet1!AW217*GPMtoMGD</f>
        <v>3.3135840000000001</v>
      </c>
      <c r="AY219" s="89">
        <f>Sheet1!AX217*GPMtoMGD</f>
        <v>0</v>
      </c>
      <c r="AZ219" s="89">
        <f>Sheet1!AY217*GPMtoMGD</f>
        <v>0</v>
      </c>
      <c r="BA219" s="89">
        <f>Sheet1!AZ217*GPMtoMGD</f>
        <v>0</v>
      </c>
      <c r="BB219" s="89">
        <f>Sheet1!BP217*GPMtoMGD</f>
        <v>2.4480000000000001E-3</v>
      </c>
      <c r="BC219" s="89">
        <f>Sheet1!CS217*GPMtoMGD</f>
        <v>6.2732159999999997</v>
      </c>
      <c r="BD219" s="89">
        <f>Sheet1!BO217*GPMtoMGD</f>
        <v>4.0907520000000002</v>
      </c>
      <c r="BE219" s="89">
        <f>Sheet1!BW217*GPMtoMGD</f>
        <v>2.0040480000000001</v>
      </c>
      <c r="BF219" s="89">
        <f>Sheet1!CN217*GPMtoMGD</f>
        <v>4.8218399999999999</v>
      </c>
      <c r="BG219" s="89">
        <f>Sheet1!CO217*GPMtoMGD</f>
        <v>1.5377760000000003</v>
      </c>
      <c r="BH219" s="89">
        <f>Sheet1!CP217*GPMtoMGD</f>
        <v>0.91382400000000008</v>
      </c>
      <c r="BI219" s="89">
        <f t="shared" si="56"/>
        <v>4.0932000000000004</v>
      </c>
      <c r="BK219" s="94">
        <f>SUM(AT219:BA219,AS219,BC219,Calculation!AQ219)</f>
        <v>75.152758666666671</v>
      </c>
      <c r="BM219" s="358">
        <f>0</f>
        <v>0</v>
      </c>
      <c r="BN219" s="358">
        <f>0</f>
        <v>0</v>
      </c>
      <c r="BP219" s="94">
        <f>SUM(BM219:BN219,W219,Sheet1!DX217)</f>
        <v>0</v>
      </c>
      <c r="BR219" s="94">
        <f>Sheet1!AA217</f>
        <v>32.909999999999997</v>
      </c>
      <c r="BS219" s="94">
        <f>Sheet1!AB217</f>
        <v>59.86</v>
      </c>
      <c r="BT219" s="94">
        <f t="shared" ca="1" si="47"/>
        <v>-3.8948556856058101</v>
      </c>
      <c r="BU219" s="94">
        <f>Sheet1!AT217</f>
        <v>0</v>
      </c>
      <c r="BV219" s="89">
        <f>Sheet1!BB217</f>
        <v>0</v>
      </c>
      <c r="BW219" s="94">
        <f>Calculation!ED219</f>
        <v>21.449833333333334</v>
      </c>
      <c r="BX219" s="94">
        <f>(Sheet1!CS217*1440)/1000000</f>
        <v>6.2732159999999988</v>
      </c>
      <c r="CA219" s="94">
        <f ca="1">Sheet1!AC217-Sheet1!BK217-Sheet1!BL217-Sheet1!BM217-Sheet1!BC217-Sheet1!BD217-Sheet1!BE217-Sheet1!BF217-Sheet1!BG217-Sheet1!BH217-Sheet1!BI217+BC219+P219</f>
        <v>73.64836031439421</v>
      </c>
      <c r="CB219" s="93">
        <f t="shared" si="48"/>
        <v>110.33229783333333</v>
      </c>
      <c r="CC219" s="94">
        <f t="shared" si="49"/>
        <v>0</v>
      </c>
      <c r="CD219" s="94">
        <f t="shared" ca="1" si="50"/>
        <v>95.098193647727541</v>
      </c>
      <c r="CE219" s="1077">
        <f t="shared" ca="1" si="51"/>
        <v>147.1169055730345</v>
      </c>
      <c r="CG219" s="1077">
        <f t="shared" ca="1" si="52"/>
        <v>73.64836031439421</v>
      </c>
    </row>
    <row r="220" spans="1:85" s="89" customFormat="1" x14ac:dyDescent="0.25">
      <c r="A220" s="616" t="s">
        <v>8</v>
      </c>
      <c r="B220" s="91">
        <v>42944</v>
      </c>
      <c r="C220" s="92">
        <v>0</v>
      </c>
      <c r="D220" s="94">
        <f>(Sheet1!BQ218-Sheet1!BQ217)*1.385</f>
        <v>0.27699999999999902</v>
      </c>
      <c r="E220" s="30">
        <f>(Sheet1!BR218-Sheet1!BR217)*1.385</f>
        <v>0.27699999999999902</v>
      </c>
      <c r="F220" s="30">
        <f ca="1">IF(B220=TODAY(),0,-(VLOOKUP(Sheet1!CD218,Lookup!$I$4:$J$216,2)-VLOOKUP(Sheet1!CD217,Lookup!$I$4:$J$216,2))/1000000)</f>
        <v>-1.0363693854779992</v>
      </c>
      <c r="G220" s="94">
        <f ca="1">IF(B220=TODAY(),0,-$G$6*(Sheet1!CF218-Sheet1!CF217)*7.48/1000000)</f>
        <v>-0.59570251578838951</v>
      </c>
      <c r="H220" s="94">
        <f ca="1">IF(B220=TODAY(),0,-$H$6*(Sheet1!CE218-Sheet1!CE217)*7.48/1000000)</f>
        <v>0</v>
      </c>
      <c r="I220" s="94">
        <f ca="1">IF(B220=TODAY(),0,-$I$6*(Sheet1!CG218-Sheet1!CG217)*7.48/1000000)</f>
        <v>4.9417368000000024E-2</v>
      </c>
      <c r="J220" s="95" t="s">
        <v>177</v>
      </c>
      <c r="K220" s="94">
        <f ca="1">IF(B220=TODAY(),0,-$K$6*(Sheet1!CH218-Sheet1!CH217)*7.48/1000000)</f>
        <v>7.995984449350127E-2</v>
      </c>
      <c r="L220" s="95" t="s">
        <v>177</v>
      </c>
      <c r="M220" s="94">
        <f ca="1">IF(B220=TODAY(),0,-$M$6*(Sheet1!CI218-Sheet1!CI217)*7.48/1000000)</f>
        <v>0.26987262642040577</v>
      </c>
      <c r="N220" s="94">
        <f ca="1">IF(B220=TODAY(),0,-$N$6*(Sheet1!CJ218-Sheet1!CJ217)*7.48/1000000)</f>
        <v>0.74462814473548755</v>
      </c>
      <c r="O220" s="94">
        <f t="shared" ca="1" si="53"/>
        <v>-0.48819391761699404</v>
      </c>
      <c r="P220" s="94">
        <f ca="1">O220+Calculation!ES220</f>
        <v>-1.0421842879677312</v>
      </c>
      <c r="Q220" s="89" t="str">
        <f>IF(Sheet1!BQ218&gt;25.75,"spill elevation","-")</f>
        <v>-</v>
      </c>
      <c r="R220" s="89" t="str">
        <f>IF(Sheet1!BQ218&gt;25.75,"spill elevation","-")</f>
        <v>-</v>
      </c>
      <c r="S220" s="89" t="str">
        <f>IF(Sheet1!BR218&gt;25.75,"spill elevation","-")</f>
        <v>-</v>
      </c>
      <c r="T220" s="93">
        <f>IF(Sheet1!DU218=1,Sheet1!AA218-(SUM(AT220:BA220)+BE220),Sheet1!AA218-SUM(AT220:BA220))</f>
        <v>27.578704000000002</v>
      </c>
      <c r="U220" s="93">
        <f>Sheet1!BV218</f>
        <v>33.299999999999997</v>
      </c>
      <c r="V220" s="93">
        <f t="shared" si="54"/>
        <v>-5.7212959999999953</v>
      </c>
      <c r="W220" s="93">
        <f>0</f>
        <v>0</v>
      </c>
      <c r="X220" s="89">
        <f>0</f>
        <v>0</v>
      </c>
      <c r="Y220" s="94">
        <f ca="1">Calculation!EJ221+Calculation!ES220+'Calculations II'!O220-'Calculations II'!W220</f>
        <v>71.888096942560566</v>
      </c>
      <c r="Z220" s="94">
        <f ca="1">Y220-Sheet1!CT219</f>
        <v>54.658096942560562</v>
      </c>
      <c r="AA220" s="94">
        <f ca="1">Y220+Calculation!DJ221+Calculation!AS221</f>
        <v>93.344640624456957</v>
      </c>
      <c r="AC220" s="94">
        <f>Sheet1!AA218+Sheet1!AB218+BC220</f>
        <v>99.960608000000008</v>
      </c>
      <c r="AD220" s="94">
        <f>Sheet1!AA218+Sheet1!BN218+'Calculations II'!BC220-Calculation!AS220-Calculation!DJ220</f>
        <v>56.864479527777775</v>
      </c>
      <c r="AE220" s="94">
        <f>Sheet1!AA218+Sheet1!AB218+'Calculations II'!BC220-Calculation!AS220-Calculation!DJ220</f>
        <v>78.434479527777782</v>
      </c>
      <c r="AF220" s="94">
        <f ca="1">Sheet1!AA218+Sheet1!BN218+P220+'Calculations II'!BC220+Calculation!AS220+Calculation!DJ220</f>
        <v>98.874552184254497</v>
      </c>
      <c r="AG220" s="94">
        <f ca="1">IF(B220=TODAY(),0,Sheet1!AA218+Sheet1!BN218+'Calculations II'!BC220+'Calculations II'!P220-Sheet1!CT218-BP220)</f>
        <v>61.269423712032271</v>
      </c>
      <c r="AH220" s="94">
        <f ca="1">IF(B220=TODAY(),0,Sheet1!AA218+Sheet1!BN218+'Calculations II'!BC220+'Calculations II'!P220-BP220)</f>
        <v>77.348423712032272</v>
      </c>
      <c r="AI220" s="94">
        <f ca="1">IF(B220=TODAY(),0,BC220+Sheet1!AA218+Calculation!ES220+O220+W220+Sheet1!BN218+Calculation!AS220+Calculation!DJ220-BP220)</f>
        <v>98.874552184254483</v>
      </c>
      <c r="AJ220" s="94"/>
      <c r="AM220" s="90">
        <f t="shared" si="55"/>
        <v>42944</v>
      </c>
      <c r="AN220" s="94">
        <f>Sheet1!BU218</f>
        <v>28.7</v>
      </c>
      <c r="AO220" s="94">
        <f>Sheet1!AA218</f>
        <v>32.53</v>
      </c>
      <c r="AP220" s="94">
        <f t="shared" si="44"/>
        <v>0.55399999999999805</v>
      </c>
      <c r="AQ220" s="1087">
        <f>((Sheet1!BV218-(Sheet1!BU218-AP220))/(Sheet1!BU218-AP220))</f>
        <v>0.18311660626732026</v>
      </c>
      <c r="AR220" s="94">
        <f t="shared" si="45"/>
        <v>31.976000000000003</v>
      </c>
      <c r="AS220" s="94">
        <f t="shared" si="46"/>
        <v>28.146000000000001</v>
      </c>
      <c r="AT220" s="89">
        <f>Sheet1!BB218</f>
        <v>0</v>
      </c>
      <c r="AU220" s="89">
        <f>Sheet1!AS218*GPMtoMGD</f>
        <v>3.456E-2</v>
      </c>
      <c r="AV220" s="94">
        <f>Sheet1!AT218</f>
        <v>0</v>
      </c>
      <c r="AW220" s="89">
        <f>Sheet1!AV218*GPMtoMGD</f>
        <v>1.2553920000000001</v>
      </c>
      <c r="AX220" s="89">
        <f>Sheet1!AW218*GPMtoMGD</f>
        <v>3.6609120000000006</v>
      </c>
      <c r="AY220" s="89">
        <f>Sheet1!AX218*GPMtoMGD</f>
        <v>4.3200000000000004E-4</v>
      </c>
      <c r="AZ220" s="89">
        <f>Sheet1!AY218*GPMtoMGD</f>
        <v>0</v>
      </c>
      <c r="BA220" s="89">
        <f>Sheet1!AZ218*GPMtoMGD</f>
        <v>0</v>
      </c>
      <c r="BB220" s="89">
        <f>Sheet1!BP218*GPMtoMGD</f>
        <v>2.3040000000000001E-3</v>
      </c>
      <c r="BC220" s="89">
        <f>Sheet1!CS218*GPMtoMGD</f>
        <v>9.7606079999999995</v>
      </c>
      <c r="BD220" s="89">
        <f>Sheet1!BO218*GPMtoMGD</f>
        <v>3.9242879999999998</v>
      </c>
      <c r="BE220" s="89">
        <f>Sheet1!BW218*GPMtoMGD</f>
        <v>2.0263680000000002</v>
      </c>
      <c r="BF220" s="89">
        <f>Sheet1!CN218*GPMtoMGD</f>
        <v>4.9618080000000004</v>
      </c>
      <c r="BG220" s="89">
        <f>Sheet1!CO218*GPMtoMGD</f>
        <v>1.633392</v>
      </c>
      <c r="BH220" s="89">
        <f>Sheet1!CP218*GPMtoMGD</f>
        <v>0.93614400000000009</v>
      </c>
      <c r="BI220" s="89">
        <f t="shared" si="56"/>
        <v>3.9265919999999999</v>
      </c>
      <c r="BK220" s="94">
        <f>SUM(AT220:BA220,AS220,BC220,Calculation!AQ220)</f>
        <v>79.001775527777781</v>
      </c>
      <c r="BM220" s="358">
        <f>0</f>
        <v>0</v>
      </c>
      <c r="BN220" s="358">
        <f>0</f>
        <v>0</v>
      </c>
      <c r="BP220" s="94">
        <f>SUM(BM220:BN220,W220,Sheet1!DX218)</f>
        <v>0</v>
      </c>
      <c r="BR220" s="94">
        <f>Sheet1!AA218</f>
        <v>32.53</v>
      </c>
      <c r="BS220" s="94">
        <f>Sheet1!AB218</f>
        <v>57.67</v>
      </c>
      <c r="BT220" s="94">
        <f t="shared" ca="1" si="47"/>
        <v>-1.0421842879677312</v>
      </c>
      <c r="BU220" s="94">
        <f>Sheet1!AT218</f>
        <v>0</v>
      </c>
      <c r="BV220" s="89">
        <f>Sheet1!BB218</f>
        <v>0</v>
      </c>
      <c r="BW220" s="94">
        <f>Calculation!ED220</f>
        <v>21.526128472222222</v>
      </c>
      <c r="BX220" s="94">
        <f>(Sheet1!CS218*1440)/1000000</f>
        <v>9.7606079999999995</v>
      </c>
      <c r="CA220" s="94">
        <f ca="1">Sheet1!AC218-Sheet1!BK218-Sheet1!BL218-Sheet1!BM218-Sheet1!BC218-Sheet1!BD218-Sheet1!BE218-Sheet1!BF218-Sheet1!BG218-Sheet1!BH218-Sheet1!BI218+BC220+P220</f>
        <v>77.418423712032293</v>
      </c>
      <c r="CB220" s="93">
        <f t="shared" si="48"/>
        <v>106.23847925347222</v>
      </c>
      <c r="CC220" s="94">
        <f t="shared" si="49"/>
        <v>0</v>
      </c>
      <c r="CD220" s="94">
        <f t="shared" ca="1" si="50"/>
        <v>98.944552184254519</v>
      </c>
      <c r="CE220" s="1077">
        <f t="shared" ca="1" si="51"/>
        <v>153.06722222904173</v>
      </c>
      <c r="CG220" s="1077">
        <f t="shared" ca="1" si="52"/>
        <v>77.418423712032293</v>
      </c>
    </row>
    <row r="221" spans="1:85" s="89" customFormat="1" x14ac:dyDescent="0.25">
      <c r="A221" s="616" t="s">
        <v>9</v>
      </c>
      <c r="B221" s="91">
        <v>42945</v>
      </c>
      <c r="C221" s="92">
        <v>0</v>
      </c>
      <c r="D221" s="94">
        <f>(Sheet1!BQ219-Sheet1!BQ218)*1.385</f>
        <v>-2.77</v>
      </c>
      <c r="E221" s="30">
        <f>(Sheet1!BR219-Sheet1!BR218)*1.385</f>
        <v>-2.77</v>
      </c>
      <c r="F221" s="30">
        <f ca="1">IF(B221=TODAY(),0,-(VLOOKUP(Sheet1!CD219,Lookup!$I$4:$J$216,2)-VLOOKUP(Sheet1!CD218,Lookup!$I$4:$J$216,2))/1000000)</f>
        <v>-2.9018342793384102</v>
      </c>
      <c r="G221" s="94">
        <f ca="1">IF(B221=TODAY(),0,-$G$6*(Sheet1!CF219-Sheet1!CF218)*7.48/1000000)</f>
        <v>-0.15885400421023663</v>
      </c>
      <c r="H221" s="94">
        <f ca="1">IF(B221=TODAY(),0,-$H$6*(Sheet1!CE219-Sheet1!CE218)*7.48/1000000)</f>
        <v>-1.5039432351265274E-2</v>
      </c>
      <c r="I221" s="94">
        <f ca="1">IF(B221=TODAY(),0,-$I$6*(Sheet1!CG219-Sheet1!CG218)*7.48/1000000)</f>
        <v>8.9849760000000074E-3</v>
      </c>
      <c r="J221" s="95" t="s">
        <v>177</v>
      </c>
      <c r="K221" s="94">
        <f ca="1">IF(B221=TODAY(),0,-$K$6*(Sheet1!CH219-Sheet1!CH218)*7.48/1000000)</f>
        <v>1.9989961123375376E-2</v>
      </c>
      <c r="L221" s="95" t="s">
        <v>177</v>
      </c>
      <c r="M221" s="94">
        <f ca="1">IF(B221=TODAY(),0,-$M$6*(Sheet1!CI219-Sheet1!CI218)*7.48/1000000)</f>
        <v>3.5983016856054602E-2</v>
      </c>
      <c r="N221" s="94">
        <f ca="1">IF(B221=TODAY(),0,-$N$6*(Sheet1!CJ219-Sheet1!CJ218)*7.48/1000000)</f>
        <v>-1.6754133256548462</v>
      </c>
      <c r="O221" s="94">
        <f t="shared" ca="1" si="53"/>
        <v>-4.6861830875753281</v>
      </c>
      <c r="P221" s="94">
        <f ca="1">O221+Calculation!ES221</f>
        <v>0.85141387158899384</v>
      </c>
      <c r="Q221" s="89" t="str">
        <f>IF(Sheet1!BQ219&gt;25.75,"spill elevation","-")</f>
        <v>-</v>
      </c>
      <c r="R221" s="89" t="str">
        <f>IF(Sheet1!BQ219&gt;25.75,"spill elevation","-")</f>
        <v>-</v>
      </c>
      <c r="S221" s="89" t="str">
        <f>IF(Sheet1!BR219&gt;25.75,"spill elevation","-")</f>
        <v>-</v>
      </c>
      <c r="T221" s="93">
        <f>IF(Sheet1!DU219=1,Sheet1!AA219-(SUM(AT221:BA221)+BE221),Sheet1!AA219-SUM(AT221:BA221))</f>
        <v>27.123552</v>
      </c>
      <c r="U221" s="93">
        <f>Sheet1!BV219</f>
        <v>39.700000000000003</v>
      </c>
      <c r="V221" s="93">
        <f t="shared" si="54"/>
        <v>-12.576448000000003</v>
      </c>
      <c r="W221" s="93">
        <f>0</f>
        <v>0</v>
      </c>
      <c r="X221" s="89">
        <f>0</f>
        <v>0</v>
      </c>
      <c r="Y221" s="94">
        <f ca="1">Calculation!EJ222+Calculation!ES221+'Calculations II'!O221-'Calculations II'!W221</f>
        <v>77.53423623458788</v>
      </c>
      <c r="Z221" s="94">
        <f ca="1">Y221-Sheet1!CT220</f>
        <v>61.379236234587879</v>
      </c>
      <c r="AA221" s="94">
        <f ca="1">Y221+Calculation!DJ222+Calculation!AS222</f>
        <v>98.91126575488309</v>
      </c>
      <c r="AC221" s="94">
        <f>Sheet1!AA219+Sheet1!AB219+BC221</f>
        <v>98.096560000000011</v>
      </c>
      <c r="AD221" s="94">
        <f>Sheet1!AA219+Sheet1!BN219+'Calculations II'!BC221-Calculation!AS221-Calculation!DJ221</f>
        <v>55.260016318103617</v>
      </c>
      <c r="AE221" s="94">
        <f>Sheet1!AA219+Sheet1!AB219+'Calculations II'!BC221-Calculation!AS221-Calculation!DJ221</f>
        <v>76.640016318103619</v>
      </c>
      <c r="AF221" s="94">
        <f ca="1">Sheet1!AA219+Sheet1!BN219+P221+'Calculations II'!BC221+Calculation!AS221+Calculation!DJ221</f>
        <v>99.024517553485396</v>
      </c>
      <c r="AG221" s="94">
        <f ca="1">IF(B221=TODAY(),0,Sheet1!AA219+Sheet1!BN219+'Calculations II'!BC221+'Calculations II'!P221-Sheet1!CT219-BP221)</f>
        <v>60.337973871588986</v>
      </c>
      <c r="AH221" s="94">
        <f ca="1">IF(B221=TODAY(),0,Sheet1!AA219+Sheet1!BN219+'Calculations II'!BC221+'Calculations II'!P221-BP221)</f>
        <v>77.56797387158899</v>
      </c>
      <c r="AI221" s="94">
        <f ca="1">IF(B221=TODAY(),0,BC221+Sheet1!AA219+Calculation!ES221+O221+W221+Sheet1!BN219+Calculation!AS221+Calculation!DJ221-BP221)</f>
        <v>99.024517553485367</v>
      </c>
      <c r="AJ221" s="94"/>
      <c r="AM221" s="90">
        <f t="shared" si="55"/>
        <v>42945</v>
      </c>
      <c r="AN221" s="94">
        <f>Sheet1!BU219</f>
        <v>28.1</v>
      </c>
      <c r="AO221" s="94">
        <f>Sheet1!AA219</f>
        <v>31.77</v>
      </c>
      <c r="AP221" s="94">
        <f t="shared" si="44"/>
        <v>-5.54</v>
      </c>
      <c r="AQ221" s="1087">
        <f>((Sheet1!BV219-(Sheet1!BU219-AP221))/(Sheet1!BU219-AP221))</f>
        <v>0.18014268727705118</v>
      </c>
      <c r="AR221" s="94">
        <f t="shared" si="45"/>
        <v>37.31</v>
      </c>
      <c r="AS221" s="94">
        <f t="shared" si="46"/>
        <v>33.64</v>
      </c>
      <c r="AT221" s="89">
        <f>Sheet1!BB219</f>
        <v>0</v>
      </c>
      <c r="AU221" s="89">
        <f>Sheet1!AS219*GPMtoMGD</f>
        <v>3.8159999999999999E-2</v>
      </c>
      <c r="AV221" s="94">
        <f>Sheet1!AT219</f>
        <v>0</v>
      </c>
      <c r="AW221" s="89">
        <f>Sheet1!AV219*GPMtoMGD</f>
        <v>1.2801600000000002</v>
      </c>
      <c r="AX221" s="89">
        <f>Sheet1!AW219*GPMtoMGD</f>
        <v>3.328128</v>
      </c>
      <c r="AY221" s="89">
        <f>Sheet1!AX219*GPMtoMGD</f>
        <v>0</v>
      </c>
      <c r="AZ221" s="89">
        <f>Sheet1!AY219*GPMtoMGD</f>
        <v>0</v>
      </c>
      <c r="BA221" s="89">
        <f>Sheet1!AZ219*GPMtoMGD</f>
        <v>0</v>
      </c>
      <c r="BB221" s="89">
        <f>Sheet1!BP219*GPMtoMGD</f>
        <v>2.3040000000000001E-3</v>
      </c>
      <c r="BC221" s="89">
        <f>Sheet1!CS219*GPMtoMGD</f>
        <v>14.146560000000001</v>
      </c>
      <c r="BD221" s="89">
        <f>Sheet1!BO219*GPMtoMGD</f>
        <v>4.2632640000000004</v>
      </c>
      <c r="BE221" s="89">
        <f>Sheet1!BW219*GPMtoMGD</f>
        <v>2.0887199999999999</v>
      </c>
      <c r="BF221" s="89">
        <f>Sheet1!CN219*GPMtoMGD</f>
        <v>4.9911840000000005</v>
      </c>
      <c r="BG221" s="89">
        <f>Sheet1!CO219*GPMtoMGD</f>
        <v>1.6879680000000001</v>
      </c>
      <c r="BH221" s="89">
        <f>Sheet1!CP219*GPMtoMGD</f>
        <v>0.87206400000000006</v>
      </c>
      <c r="BI221" s="89">
        <f t="shared" si="56"/>
        <v>4.265568</v>
      </c>
      <c r="BK221" s="94">
        <f>SUM(AT221:BA221,AS221,BC221,Calculation!AQ221)</f>
        <v>83.156464318103616</v>
      </c>
      <c r="BM221" s="358">
        <f>0</f>
        <v>0</v>
      </c>
      <c r="BN221" s="358">
        <f>0</f>
        <v>0</v>
      </c>
      <c r="BP221" s="94">
        <f>SUM(BM221:BN221,W221,Sheet1!DX219)</f>
        <v>0</v>
      </c>
      <c r="BR221" s="94">
        <f>Sheet1!AA219</f>
        <v>31.77</v>
      </c>
      <c r="BS221" s="94">
        <f>Sheet1!AB219</f>
        <v>52.18</v>
      </c>
      <c r="BT221" s="94">
        <f t="shared" ca="1" si="47"/>
        <v>0.85141387158899384</v>
      </c>
      <c r="BU221" s="94">
        <f>Sheet1!AT219</f>
        <v>0</v>
      </c>
      <c r="BV221" s="89">
        <f>Sheet1!BB219</f>
        <v>0</v>
      </c>
      <c r="BW221" s="94">
        <f>Calculation!ED221</f>
        <v>21.456543681896388</v>
      </c>
      <c r="BX221" s="94">
        <f>(Sheet1!CS219*1440)/1000000</f>
        <v>14.146559999999999</v>
      </c>
      <c r="CA221" s="94">
        <f ca="1">Sheet1!AC219-Sheet1!BK219-Sheet1!BL219-Sheet1!BM219-Sheet1!BC219-Sheet1!BD219-Sheet1!BE219-Sheet1!BF219-Sheet1!BG219-Sheet1!BH219-Sheet1!BI219+BC221+P221</f>
        <v>77.437973871588994</v>
      </c>
      <c r="CB221" s="93">
        <f t="shared" si="48"/>
        <v>96.677376924106284</v>
      </c>
      <c r="CC221" s="94">
        <f t="shared" si="49"/>
        <v>0</v>
      </c>
      <c r="CD221" s="94">
        <f t="shared" ca="1" si="50"/>
        <v>98.894517553485386</v>
      </c>
      <c r="CE221" s="1077">
        <f t="shared" ca="1" si="51"/>
        <v>152.98981865524189</v>
      </c>
      <c r="CG221" s="1077">
        <f t="shared" ca="1" si="52"/>
        <v>77.437973871588994</v>
      </c>
    </row>
    <row r="222" spans="1:85" s="89" customFormat="1" x14ac:dyDescent="0.25">
      <c r="A222" s="616" t="s">
        <v>3</v>
      </c>
      <c r="B222" s="91">
        <v>42946</v>
      </c>
      <c r="C222" s="92">
        <v>0</v>
      </c>
      <c r="D222" s="94">
        <f>(Sheet1!BQ220-Sheet1!BQ219)*1.385</f>
        <v>1.108000000000001</v>
      </c>
      <c r="E222" s="30">
        <f>(Sheet1!BR220-Sheet1!BR219)*1.385</f>
        <v>1.108000000000001</v>
      </c>
      <c r="F222" s="30">
        <f ca="1">IF(B222=TODAY(),0,-(VLOOKUP(Sheet1!CD220,Lookup!$I$4:$J$216,2)-VLOOKUP(Sheet1!CD219,Lookup!$I$4:$J$216,2))/1000000)</f>
        <v>1.865464893860409</v>
      </c>
      <c r="G222" s="94">
        <f ca="1">IF(B222=TODAY(),0,-$G$6*(Sheet1!CF220-Sheet1!CF219)*7.48/1000000)</f>
        <v>-7.9427002105118313E-2</v>
      </c>
      <c r="H222" s="94">
        <f ca="1">IF(B222=TODAY(),0,-$H$6*(Sheet1!CE220-Sheet1!CE219)*7.48/1000000)</f>
        <v>0</v>
      </c>
      <c r="I222" s="94">
        <f ca="1">IF(B222=TODAY(),0,-$I$6*(Sheet1!CG220-Sheet1!CG219)*7.48/1000000)</f>
        <v>-8.9849760000000074E-3</v>
      </c>
      <c r="J222" s="95" t="s">
        <v>177</v>
      </c>
      <c r="K222" s="94">
        <f ca="1">IF(B222=TODAY(),0,-$K$6*(Sheet1!CH220-Sheet1!CH219)*7.48/1000000)</f>
        <v>-1.9989961123375376E-2</v>
      </c>
      <c r="L222" s="95" t="s">
        <v>177</v>
      </c>
      <c r="M222" s="94">
        <f ca="1">IF(B222=TODAY(),0,-$M$6*(Sheet1!CI220-Sheet1!CI219)*7.48/1000000)</f>
        <v>-5.3974525284081275E-2</v>
      </c>
      <c r="N222" s="94">
        <f ca="1">IF(B222=TODAY(),0,-$N$6*(Sheet1!CJ220-Sheet1!CJ219)*7.48/1000000)</f>
        <v>0.62052345394623898</v>
      </c>
      <c r="O222" s="94">
        <f t="shared" ca="1" si="53"/>
        <v>2.3236118832940731</v>
      </c>
      <c r="P222" s="94">
        <f ca="1">O222+Calculation!ES222</f>
        <v>0.10918818415711939</v>
      </c>
      <c r="Q222" s="89" t="str">
        <f>IF(Sheet1!BQ220&gt;25.75,"spill elevation","-")</f>
        <v>-</v>
      </c>
      <c r="R222" s="89" t="str">
        <f>IF(Sheet1!BQ220&gt;25.75,"spill elevation","-")</f>
        <v>-</v>
      </c>
      <c r="S222" s="89" t="str">
        <f>IF(Sheet1!BR220&gt;25.75,"spill elevation","-")</f>
        <v>-</v>
      </c>
      <c r="T222" s="93">
        <f>IF(Sheet1!DU220=1,Sheet1!AA220-(SUM(AT222:BA222)+BE222),Sheet1!AA220-SUM(AT222:BA222))</f>
        <v>26.429743999999999</v>
      </c>
      <c r="U222" s="93">
        <f>Sheet1!BV220</f>
        <v>30.1</v>
      </c>
      <c r="V222" s="93">
        <f t="shared" si="54"/>
        <v>-3.670256000000002</v>
      </c>
      <c r="W222" s="93">
        <f>0</f>
        <v>0</v>
      </c>
      <c r="X222" s="89">
        <f>0</f>
        <v>0</v>
      </c>
      <c r="Y222" s="94">
        <f ca="1">Calculation!EJ223+Calculation!ES222+'Calculations II'!O222-'Calculations II'!W222</f>
        <v>84.261943172792385</v>
      </c>
      <c r="Z222" s="94">
        <f ca="1">Y222-Sheet1!CT221</f>
        <v>67.719943172792384</v>
      </c>
      <c r="AA222" s="94">
        <f ca="1">Y222+Calculation!DJ223+Calculation!AS223</f>
        <v>106.00147726775847</v>
      </c>
      <c r="AC222" s="94">
        <f>Sheet1!AA220+Sheet1!AB220+BC222</f>
        <v>99.465984000000006</v>
      </c>
      <c r="AD222" s="94">
        <f>Sheet1!AA220+Sheet1!BN220+'Calculations II'!BC222-Calculation!AS222-Calculation!DJ222</f>
        <v>56.898954479704805</v>
      </c>
      <c r="AE222" s="94">
        <f>Sheet1!AA220+Sheet1!AB220+'Calculations II'!BC222-Calculation!AS222-Calculation!DJ222</f>
        <v>78.088954479704796</v>
      </c>
      <c r="AF222" s="94">
        <f ca="1">Sheet1!AA220+Sheet1!BN220+P222+'Calculations II'!BC222+Calculation!AS222+Calculation!DJ222</f>
        <v>99.762201704452337</v>
      </c>
      <c r="AG222" s="94">
        <f ca="1">IF(B222=TODAY(),0,Sheet1!AA220+Sheet1!BN220+'Calculations II'!BC222+'Calculations II'!P222-Sheet1!CT220-BP222)</f>
        <v>62.230172184157126</v>
      </c>
      <c r="AH222" s="94">
        <f ca="1">IF(B222=TODAY(),0,Sheet1!AA220+Sheet1!BN220+'Calculations II'!BC222+'Calculations II'!P222-BP222)</f>
        <v>78.385172184157128</v>
      </c>
      <c r="AI222" s="94">
        <f ca="1">IF(B222=TODAY(),0,BC222+Sheet1!AA220+Calculation!ES222+O222+W222+Sheet1!BN220+Calculation!AS222+Calculation!DJ222-BP222)</f>
        <v>99.762201704452309</v>
      </c>
      <c r="AJ222" s="94"/>
      <c r="AM222" s="90">
        <f t="shared" si="55"/>
        <v>42946</v>
      </c>
      <c r="AN222" s="94">
        <f>Sheet1!BU220</f>
        <v>22.7</v>
      </c>
      <c r="AO222" s="94">
        <f>Sheet1!AA220</f>
        <v>31.7</v>
      </c>
      <c r="AP222" s="94">
        <f t="shared" si="44"/>
        <v>2.216000000000002</v>
      </c>
      <c r="AQ222" s="1087">
        <f>((Sheet1!BV220-(Sheet1!BU220-AP222))/(Sheet1!BU220-AP222))</f>
        <v>0.46943956258543273</v>
      </c>
      <c r="AR222" s="94">
        <f t="shared" si="45"/>
        <v>29.483999999999998</v>
      </c>
      <c r="AS222" s="94">
        <f t="shared" si="46"/>
        <v>20.483999999999998</v>
      </c>
      <c r="AT222" s="89">
        <f>Sheet1!BB220</f>
        <v>0</v>
      </c>
      <c r="AU222" s="89">
        <f>Sheet1!AS220*GPMtoMGD</f>
        <v>4.2768E-2</v>
      </c>
      <c r="AV222" s="94">
        <f>Sheet1!AT220</f>
        <v>0</v>
      </c>
      <c r="AW222" s="89">
        <f>Sheet1!AV220*GPMtoMGD</f>
        <v>1.4781600000000001</v>
      </c>
      <c r="AX222" s="89">
        <f>Sheet1!AW220*GPMtoMGD</f>
        <v>3.7491840000000001</v>
      </c>
      <c r="AY222" s="89">
        <f>Sheet1!AX220*GPMtoMGD</f>
        <v>1.44E-4</v>
      </c>
      <c r="AZ222" s="89">
        <f>Sheet1!AY220*GPMtoMGD</f>
        <v>0</v>
      </c>
      <c r="BA222" s="89">
        <f>Sheet1!AZ220*GPMtoMGD</f>
        <v>0</v>
      </c>
      <c r="BB222" s="89">
        <f>Sheet1!BP220*GPMtoMGD</f>
        <v>2.5920000000000001E-3</v>
      </c>
      <c r="BC222" s="89">
        <f>Sheet1!CS220*GPMtoMGD</f>
        <v>13.875984000000001</v>
      </c>
      <c r="BD222" s="89">
        <f>Sheet1!BO220*GPMtoMGD</f>
        <v>4.4555040000000004</v>
      </c>
      <c r="BE222" s="89">
        <f>Sheet1!BW220*GPMtoMGD</f>
        <v>2.1300480000000004</v>
      </c>
      <c r="BF222" s="89">
        <f>Sheet1!CN220*GPMtoMGD</f>
        <v>5.1805440000000003</v>
      </c>
      <c r="BG222" s="89">
        <f>Sheet1!CO220*GPMtoMGD</f>
        <v>1.7307360000000003</v>
      </c>
      <c r="BH222" s="89">
        <f>Sheet1!CP220*GPMtoMGD</f>
        <v>0.95803199999999999</v>
      </c>
      <c r="BI222" s="89">
        <f t="shared" si="56"/>
        <v>4.4580960000000003</v>
      </c>
      <c r="BK222" s="94">
        <f>SUM(AT222:BA222,AS222,BC222,Calculation!AQ222)</f>
        <v>72.143210479704805</v>
      </c>
      <c r="BM222" s="358">
        <f>0</f>
        <v>0</v>
      </c>
      <c r="BN222" s="358">
        <f>0</f>
        <v>0</v>
      </c>
      <c r="BP222" s="94">
        <f>SUM(BM222:BN222,W222,Sheet1!DX220)</f>
        <v>0</v>
      </c>
      <c r="BR222" s="94">
        <f>Sheet1!AA220</f>
        <v>31.7</v>
      </c>
      <c r="BS222" s="94">
        <f>Sheet1!AB220</f>
        <v>53.89</v>
      </c>
      <c r="BT222" s="94">
        <f t="shared" ca="1" si="47"/>
        <v>0.10918818415711939</v>
      </c>
      <c r="BU222" s="94">
        <f>Sheet1!AT220</f>
        <v>0</v>
      </c>
      <c r="BV222" s="89">
        <f>Sheet1!BB220</f>
        <v>0</v>
      </c>
      <c r="BW222" s="94">
        <f>Calculation!ED222</f>
        <v>21.377029520295203</v>
      </c>
      <c r="BX222" s="94">
        <f>(Sheet1!CS220*1440)/1000000</f>
        <v>13.875984000000001</v>
      </c>
      <c r="CA222" s="94">
        <f ca="1">Sheet1!AC220-Sheet1!BK220-Sheet1!BL220-Sheet1!BM220-Sheet1!BC220-Sheet1!BD220-Sheet1!BE220-Sheet1!BF220-Sheet1!BG220-Sheet1!BH220-Sheet1!BI220+BC222+P222</f>
        <v>78.075172184157125</v>
      </c>
      <c r="CB222" s="93">
        <f t="shared" si="48"/>
        <v>99.337465332103335</v>
      </c>
      <c r="CC222" s="94">
        <f t="shared" si="49"/>
        <v>0</v>
      </c>
      <c r="CD222" s="94">
        <f t="shared" ca="1" si="50"/>
        <v>99.452201704452335</v>
      </c>
      <c r="CE222" s="1077">
        <f t="shared" ca="1" si="51"/>
        <v>153.85255603678775</v>
      </c>
      <c r="CG222" s="1077">
        <f t="shared" ca="1" si="52"/>
        <v>78.075172184157125</v>
      </c>
    </row>
    <row r="223" spans="1:85" s="89" customFormat="1" x14ac:dyDescent="0.25">
      <c r="A223" s="616" t="s">
        <v>4</v>
      </c>
      <c r="B223" s="91">
        <v>42947</v>
      </c>
      <c r="C223" s="92">
        <v>0</v>
      </c>
      <c r="D223" s="94">
        <f>(Sheet1!BQ221-Sheet1!BQ220)*1.385</f>
        <v>0.1246499999999998</v>
      </c>
      <c r="E223" s="30">
        <f>(Sheet1!BR221-Sheet1!BR220)*1.385</f>
        <v>8.3100000000003144E-2</v>
      </c>
      <c r="F223" s="30">
        <f ca="1">IF(B223=TODAY(),0,-(VLOOKUP(Sheet1!CD221,Lookup!$I$4:$J$216,2)-VLOOKUP(Sheet1!CD220,Lookup!$I$4:$J$216,2))/1000000)</f>
        <v>0.41454775419119744</v>
      </c>
      <c r="G223" s="94">
        <f ca="1">IF(B223=TODAY(),0,-$G$6*(Sheet1!CF221-Sheet1!CF220)*7.48/1000000)</f>
        <v>0.21842425578907643</v>
      </c>
      <c r="H223" s="94">
        <f ca="1">IF(B223=TODAY(),0,-$H$6*(Sheet1!CE221-Sheet1!CE220)*7.48/1000000)</f>
        <v>0</v>
      </c>
      <c r="I223" s="94">
        <f ca="1">IF(B223=TODAY(),0,-$I$6*(Sheet1!CG221-Sheet1!CG220)*7.48/1000000)</f>
        <v>2.9201171999999977E-2</v>
      </c>
      <c r="J223" s="95" t="s">
        <v>177</v>
      </c>
      <c r="K223" s="94">
        <f ca="1">IF(B223=TODAY(),0,-$K$6*(Sheet1!CH221-Sheet1!CH220)*7.48/1000000)</f>
        <v>5.3306562995667592E-2</v>
      </c>
      <c r="L223" s="95" t="s">
        <v>177</v>
      </c>
      <c r="M223" s="94">
        <f ca="1">IF(B223=TODAY(),0,-$M$6*(Sheet1!CI221-Sheet1!CI220)*7.48/1000000)</f>
        <v>0.14393206742421652</v>
      </c>
      <c r="N223" s="94">
        <f ca="1">IF(B223=TODAY(),0,-$N$6*(Sheet1!CJ221-Sheet1!CJ220)*7.48/1000000)</f>
        <v>0.83150142828796014</v>
      </c>
      <c r="O223" s="94">
        <f t="shared" ca="1" si="53"/>
        <v>1.690913240688118</v>
      </c>
      <c r="P223" s="94">
        <f ca="1">O223+Calculation!ES223</f>
        <v>1.4140526189988356</v>
      </c>
      <c r="Q223" s="89" t="str">
        <f>IF(Sheet1!BQ221&gt;25.75,"spill elevation","-")</f>
        <v>-</v>
      </c>
      <c r="R223" s="89" t="str">
        <f>IF(Sheet1!BQ221&gt;25.75,"spill elevation","-")</f>
        <v>-</v>
      </c>
      <c r="S223" s="89" t="str">
        <f>IF(Sheet1!BR221&gt;25.75,"spill elevation","-")</f>
        <v>-</v>
      </c>
      <c r="T223" s="93">
        <f>IF(Sheet1!DU221=1,Sheet1!AA221-(SUM(AT223:BA223)+BE223),Sheet1!AA221-SUM(AT223:BA223))</f>
        <v>28.837087999999998</v>
      </c>
      <c r="U223" s="93">
        <f>Sheet1!BV221</f>
        <v>35.5</v>
      </c>
      <c r="V223" s="93">
        <f t="shared" si="54"/>
        <v>-6.6629120000000022</v>
      </c>
      <c r="W223" s="93">
        <f>0</f>
        <v>0</v>
      </c>
      <c r="X223" s="89">
        <f>0</f>
        <v>0</v>
      </c>
      <c r="Y223" s="94">
        <f ca="1">Calculation!EJ224+Calculation!ES223+'Calculations II'!O223-'Calculations II'!W223</f>
        <v>87.612087573683894</v>
      </c>
      <c r="Z223" s="94">
        <f ca="1">Y223-Sheet1!CT222</f>
        <v>70.943087573683897</v>
      </c>
      <c r="AA223" s="94">
        <f ca="1">Y223+Calculation!DJ224+Calculation!AS224</f>
        <v>109.67738248893814</v>
      </c>
      <c r="AC223" s="94">
        <f>Sheet1!AA221+Sheet1!AB221+BC223</f>
        <v>103.635024</v>
      </c>
      <c r="AD223" s="94">
        <f>Sheet1!AA221+Sheet1!BN221+'Calculations II'!BC223-Calculation!AS223-Calculation!DJ223</f>
        <v>60.445489905033931</v>
      </c>
      <c r="AE223" s="94">
        <f>Sheet1!AA221+Sheet1!AB221+'Calculations II'!BC223-Calculation!AS223-Calculation!DJ223</f>
        <v>81.895489905033912</v>
      </c>
      <c r="AF223" s="94">
        <f ca="1">Sheet1!AA221+Sheet1!BN221+P223+'Calculations II'!BC223+Calculation!AS223+Calculation!DJ223</f>
        <v>105.33861071396493</v>
      </c>
      <c r="AG223" s="94">
        <f ca="1">IF(B223=TODAY(),0,Sheet1!AA221+Sheet1!BN221+'Calculations II'!BC223+'Calculations II'!P223-Sheet1!CT221-BP223)</f>
        <v>67.057076618998849</v>
      </c>
      <c r="AH223" s="94">
        <f ca="1">IF(B223=TODAY(),0,Sheet1!AA221+Sheet1!BN221+'Calculations II'!BC223+'Calculations II'!P223-BP223)</f>
        <v>83.599076618998851</v>
      </c>
      <c r="AI223" s="94">
        <f ca="1">IF(B223=TODAY(),0,BC223+Sheet1!AA221+Calculation!ES223+O223+W223+Sheet1!BN221+Calculation!AS223+Calculation!DJ223-BP223)</f>
        <v>105.33861071396493</v>
      </c>
      <c r="AJ223" s="94"/>
      <c r="AM223" s="90">
        <f t="shared" si="55"/>
        <v>42947</v>
      </c>
      <c r="AN223" s="94">
        <f>Sheet1!BU221</f>
        <v>29.4</v>
      </c>
      <c r="AO223" s="94">
        <f>Sheet1!AA221</f>
        <v>34.33</v>
      </c>
      <c r="AP223" s="94">
        <f t="shared" si="44"/>
        <v>0.20775000000000293</v>
      </c>
      <c r="AQ223" s="1087">
        <f>((Sheet1!BV221-(Sheet1!BU221-AP223))/(Sheet1!BU221-AP223))</f>
        <v>0.21607618460379063</v>
      </c>
      <c r="AR223" s="94">
        <f t="shared" si="45"/>
        <v>34.122249999999994</v>
      </c>
      <c r="AS223" s="94">
        <f t="shared" si="46"/>
        <v>29.192249999999994</v>
      </c>
      <c r="AT223" s="89">
        <f>Sheet1!BB221</f>
        <v>0.41</v>
      </c>
      <c r="AU223" s="89">
        <f>Sheet1!AS221*GPMtoMGD</f>
        <v>4.0464000000000007E-2</v>
      </c>
      <c r="AV223" s="94">
        <f>Sheet1!AT221</f>
        <v>0</v>
      </c>
      <c r="AW223" s="89">
        <f>Sheet1!AV221*GPMtoMGD</f>
        <v>1.3826880000000001</v>
      </c>
      <c r="AX223" s="89">
        <f>Sheet1!AW221*GPMtoMGD</f>
        <v>3.6558720000000005</v>
      </c>
      <c r="AY223" s="89">
        <f>Sheet1!AX221*GPMtoMGD</f>
        <v>3.8880000000000004E-3</v>
      </c>
      <c r="AZ223" s="89">
        <f>Sheet1!AY221*GPMtoMGD</f>
        <v>0</v>
      </c>
      <c r="BA223" s="89">
        <f>Sheet1!AZ221*GPMtoMGD</f>
        <v>0</v>
      </c>
      <c r="BB223" s="89">
        <f>Sheet1!BP221*GPMtoMGD</f>
        <v>2.3040000000000001E-3</v>
      </c>
      <c r="BC223" s="89">
        <f>Sheet1!CS221*GPMtoMGD</f>
        <v>13.755024000000001</v>
      </c>
      <c r="BD223" s="89">
        <f>Sheet1!BO221*GPMtoMGD</f>
        <v>4.3699680000000001</v>
      </c>
      <c r="BE223" s="89">
        <f>Sheet1!BW221*GPMtoMGD</f>
        <v>2.5070400000000004</v>
      </c>
      <c r="BF223" s="89">
        <f>Sheet1!CN221*GPMtoMGD</f>
        <v>5.1811199999999999</v>
      </c>
      <c r="BG223" s="89">
        <f>Sheet1!CO221*GPMtoMGD</f>
        <v>1.782144</v>
      </c>
      <c r="BH223" s="89">
        <f>Sheet1!CP221*GPMtoMGD</f>
        <v>0.95587199999999994</v>
      </c>
      <c r="BI223" s="89">
        <f t="shared" si="56"/>
        <v>4.3722719999999997</v>
      </c>
      <c r="BK223" s="94">
        <f>SUM(AT223:BA223,AS223,BC223,Calculation!AQ223)</f>
        <v>82.254091747947143</v>
      </c>
      <c r="BM223" s="358">
        <f>0</f>
        <v>0</v>
      </c>
      <c r="BN223" s="358">
        <f>0</f>
        <v>0</v>
      </c>
      <c r="BP223" s="94">
        <f>SUM(BM223:BN223,W223,Sheet1!DX221)</f>
        <v>0</v>
      </c>
      <c r="BR223" s="94">
        <f>Sheet1!AA221</f>
        <v>34.33</v>
      </c>
      <c r="BS223" s="94">
        <f>Sheet1!AB221</f>
        <v>55.55</v>
      </c>
      <c r="BT223" s="94">
        <f t="shared" ca="1" si="47"/>
        <v>1.4140526189988356</v>
      </c>
      <c r="BU223" s="94">
        <f>Sheet1!AT221</f>
        <v>0</v>
      </c>
      <c r="BV223" s="89">
        <f>Sheet1!BB221</f>
        <v>0.41</v>
      </c>
      <c r="BW223" s="94">
        <f>Calculation!ED223</f>
        <v>21.329534094966085</v>
      </c>
      <c r="BX223" s="94">
        <f>(Sheet1!CS221*1440)/1000000</f>
        <v>13.755024000000001</v>
      </c>
      <c r="CA223" s="94">
        <f ca="1">Sheet1!AC221-Sheet1!BK221-Sheet1!BL221-Sheet1!BM221-Sheet1!BC221-Sheet1!BD221-Sheet1!BE221-Sheet1!BF221-Sheet1!BG221-Sheet1!BH221-Sheet1!BI221+BC223+P223</f>
        <v>83.539076618998848</v>
      </c>
      <c r="CB223" s="93">
        <f t="shared" si="48"/>
        <v>106.04757075508746</v>
      </c>
      <c r="CC223" s="94">
        <f t="shared" si="49"/>
        <v>0.41</v>
      </c>
      <c r="CD223" s="94">
        <f t="shared" ca="1" si="50"/>
        <v>104.86861071396493</v>
      </c>
      <c r="CE223" s="1077">
        <f t="shared" ca="1" si="51"/>
        <v>162.23174077450372</v>
      </c>
      <c r="CG223" s="1077">
        <f t="shared" ca="1" si="52"/>
        <v>83.129076618998852</v>
      </c>
    </row>
    <row r="224" spans="1:85" s="89" customFormat="1" x14ac:dyDescent="0.25">
      <c r="A224" s="616" t="s">
        <v>5</v>
      </c>
      <c r="B224" s="91">
        <v>42948</v>
      </c>
      <c r="C224" s="92">
        <v>0</v>
      </c>
      <c r="D224" s="94">
        <f>(Sheet1!BQ222-Sheet1!BQ221)*1.385</f>
        <v>0.18004999999999863</v>
      </c>
      <c r="E224" s="30">
        <f>(Sheet1!BR222-Sheet1!BR221)*1.385</f>
        <v>0.15234999999999921</v>
      </c>
      <c r="F224" s="30">
        <f ca="1">IF(B224=TODAY(),0,-(VLOOKUP(Sheet1!CD222,Lookup!$I$4:$J$216,2)-VLOOKUP(Sheet1!CD221,Lookup!$I$4:$J$216,2))/1000000)</f>
        <v>-1.6581910167648066</v>
      </c>
      <c r="G224" s="94">
        <f ca="1">IF(B224=TODAY(),0,-$G$6*(Sheet1!CF222-Sheet1!CF221)*7.48/1000000)</f>
        <v>0.60761656610415626</v>
      </c>
      <c r="H224" s="94">
        <f ca="1">IF(B224=TODAY(),0,-$H$6*(Sheet1!CE222-Sheet1!CE221)*7.48/1000000)</f>
        <v>0</v>
      </c>
      <c r="I224" s="94">
        <f ca="1">IF(B224=TODAY(),0,-$I$6*(Sheet1!CG222-Sheet1!CG221)*7.48/1000000)</f>
        <v>-2.0216195999999971E-2</v>
      </c>
      <c r="J224" s="95" t="s">
        <v>177</v>
      </c>
      <c r="K224" s="94">
        <f ca="1">IF(B224=TODAY(),0,-$K$6*(Sheet1!CH222-Sheet1!CH221)*7.48/1000000)</f>
        <v>-3.3316601872292212E-2</v>
      </c>
      <c r="L224" s="95" t="s">
        <v>177</v>
      </c>
      <c r="M224" s="94">
        <f ca="1">IF(B224=TODAY(),0,-$M$6*(Sheet1!CI222-Sheet1!CI221)*7.48/1000000)</f>
        <v>-0.10794905056816255</v>
      </c>
      <c r="N224" s="94">
        <f ca="1">IF(B224=TODAY(),0,-$N$6*(Sheet1!CJ222-Sheet1!CJ221)*7.48/1000000)</f>
        <v>-0.26682508519688258</v>
      </c>
      <c r="O224" s="94">
        <f t="shared" ca="1" si="53"/>
        <v>-1.4788813842979875</v>
      </c>
      <c r="P224" s="94">
        <f ca="1">O224+Calculation!ES224</f>
        <v>-1.8941755197444019</v>
      </c>
      <c r="Q224" s="89" t="str">
        <f>IF(Sheet1!BQ222&gt;25.75,"spill elevation","-")</f>
        <v>-</v>
      </c>
      <c r="R224" s="89" t="str">
        <f>IF(Sheet1!BQ222&gt;25.75,"spill elevation","-")</f>
        <v>-</v>
      </c>
      <c r="S224" s="89" t="str">
        <f>IF(Sheet1!BR222&gt;25.75,"spill elevation","-")</f>
        <v>-</v>
      </c>
      <c r="T224" s="93">
        <f>IF(Sheet1!DU222=1,Sheet1!AA222-(SUM(AT224:BA224)+BE224),Sheet1!AA222-SUM(AT224:BA224))</f>
        <v>34.460480000000004</v>
      </c>
      <c r="U224" s="93">
        <f>Sheet1!BV222</f>
        <v>42.4</v>
      </c>
      <c r="V224" s="93">
        <f t="shared" si="54"/>
        <v>-7.9395199999999946</v>
      </c>
      <c r="W224" s="93">
        <f>0</f>
        <v>0</v>
      </c>
      <c r="X224" s="89">
        <f>0</f>
        <v>0</v>
      </c>
      <c r="Y224" s="94">
        <f ca="1">Calculation!EJ225+Calculation!ES224+'Calculations II'!O224-'Calculations II'!W224</f>
        <v>91.532889327622485</v>
      </c>
      <c r="Z224" s="94">
        <f ca="1">Y224-Sheet1!CT223</f>
        <v>75.009889327622489</v>
      </c>
      <c r="AA224" s="94">
        <f ca="1">Y224+Calculation!DJ225+Calculation!AS225</f>
        <v>113.51600795523214</v>
      </c>
      <c r="AC224" s="94">
        <f>Sheet1!AA222+Sheet1!AB222+BC224</f>
        <v>108.298176</v>
      </c>
      <c r="AD224" s="94">
        <f>Sheet1!AA222+Sheet1!BN222+'Calculations II'!BC224-Calculation!AS224-Calculation!DJ224</f>
        <v>64.402881084745758</v>
      </c>
      <c r="AE224" s="94">
        <f>Sheet1!AA222+Sheet1!AB222+'Calculations II'!BC224-Calculation!AS224-Calculation!DJ224</f>
        <v>86.232881084745756</v>
      </c>
      <c r="AF224" s="94">
        <f ca="1">Sheet1!AA222+Sheet1!BN222+P224+'Calculations II'!BC224+Calculation!AS224+Calculation!DJ224</f>
        <v>106.63929539550983</v>
      </c>
      <c r="AG224" s="94">
        <f ca="1">IF(B224=TODAY(),0,Sheet1!AA222+Sheet1!BN222+'Calculations II'!BC224+'Calculations II'!P224-Sheet1!CT222-BP224)</f>
        <v>67.905000480255595</v>
      </c>
      <c r="AH224" s="94">
        <f ca="1">IF(B224=TODAY(),0,Sheet1!AA222+Sheet1!BN222+'Calculations II'!BC224+'Calculations II'!P224-BP224)</f>
        <v>84.574000480255592</v>
      </c>
      <c r="AI224" s="94">
        <f ca="1">IF(B224=TODAY(),0,BC224+Sheet1!AA222+Calculation!ES224+O224+W224+Sheet1!BN222+Calculation!AS224+Calculation!DJ224-BP224)</f>
        <v>106.63929539550983</v>
      </c>
      <c r="AJ224" s="94"/>
      <c r="AM224" s="90">
        <f t="shared" si="55"/>
        <v>42948</v>
      </c>
      <c r="AN224" s="94">
        <f>Sheet1!BU222</f>
        <v>35.9</v>
      </c>
      <c r="AO224" s="94">
        <f>Sheet1!AA222</f>
        <v>41.06</v>
      </c>
      <c r="AP224" s="94">
        <f t="shared" si="44"/>
        <v>0.33239999999999781</v>
      </c>
      <c r="AQ224" s="1087">
        <f>((Sheet1!BV222-(Sheet1!BU222-AP224))/(Sheet1!BU222-AP224))</f>
        <v>0.19209617741989901</v>
      </c>
      <c r="AR224" s="94">
        <f t="shared" si="45"/>
        <v>40.727600000000002</v>
      </c>
      <c r="AS224" s="94">
        <f t="shared" si="46"/>
        <v>35.567599999999999</v>
      </c>
      <c r="AT224" s="89">
        <f>Sheet1!BB222</f>
        <v>0.72</v>
      </c>
      <c r="AU224" s="89">
        <f>Sheet1!AS222*GPMtoMGD</f>
        <v>4.4784000000000004E-2</v>
      </c>
      <c r="AV224" s="94">
        <f>Sheet1!AT222</f>
        <v>0</v>
      </c>
      <c r="AW224" s="89">
        <f>Sheet1!AV222*GPMtoMGD</f>
        <v>1.456272</v>
      </c>
      <c r="AX224" s="89">
        <f>Sheet1!AW222*GPMtoMGD</f>
        <v>4.3771680000000002</v>
      </c>
      <c r="AY224" s="89">
        <f>Sheet1!AX222*GPMtoMGD</f>
        <v>1.2960000000000001E-3</v>
      </c>
      <c r="AZ224" s="89">
        <f>Sheet1!AY222*GPMtoMGD</f>
        <v>0</v>
      </c>
      <c r="BA224" s="89">
        <f>Sheet1!AZ222*GPMtoMGD</f>
        <v>0</v>
      </c>
      <c r="BB224" s="89">
        <f>Sheet1!BP222*GPMtoMGD</f>
        <v>2.016E-3</v>
      </c>
      <c r="BC224" s="89">
        <f>Sheet1!CS222*GPMtoMGD</f>
        <v>8.6081760000000003</v>
      </c>
      <c r="BD224" s="89">
        <f>Sheet1!BO222*GPMtoMGD</f>
        <v>4.6281600000000003</v>
      </c>
      <c r="BE224" s="89">
        <f>Sheet1!BW222*GPMtoMGD</f>
        <v>2.504448</v>
      </c>
      <c r="BF224" s="89">
        <f>Sheet1!CN222*GPMtoMGD</f>
        <v>5.3330400000000004</v>
      </c>
      <c r="BG224" s="89">
        <f>Sheet1!CO222*GPMtoMGD</f>
        <v>1.7909280000000001</v>
      </c>
      <c r="BH224" s="89">
        <f>Sheet1!CP222*GPMtoMGD</f>
        <v>0.92606400000000011</v>
      </c>
      <c r="BI224" s="89">
        <f t="shared" si="56"/>
        <v>4.6301760000000005</v>
      </c>
      <c r="BK224" s="94">
        <f>SUM(AT224:BA224,AS224,BC224,Calculation!AQ224)</f>
        <v>87.344516338983055</v>
      </c>
      <c r="BM224" s="358">
        <f>0</f>
        <v>0</v>
      </c>
      <c r="BN224" s="358">
        <f>0</f>
        <v>0</v>
      </c>
      <c r="BP224" s="94">
        <f>SUM(BM224:BN224,W224,Sheet1!DX222)</f>
        <v>0</v>
      </c>
      <c r="BR224" s="94">
        <f>Sheet1!AA222</f>
        <v>41.06</v>
      </c>
      <c r="BS224" s="94">
        <f>Sheet1!AB222</f>
        <v>58.63</v>
      </c>
      <c r="BT224" s="94">
        <f t="shared" ca="1" si="47"/>
        <v>-1.8941755197444019</v>
      </c>
      <c r="BU224" s="94">
        <f>Sheet1!AT222</f>
        <v>0</v>
      </c>
      <c r="BV224" s="89">
        <f>Sheet1!BB222</f>
        <v>0.72</v>
      </c>
      <c r="BW224" s="94">
        <f>Calculation!ED224</f>
        <v>21.345294915254239</v>
      </c>
      <c r="BX224" s="94">
        <f>(Sheet1!CS222*1440)/1000000</f>
        <v>8.6081760000000003</v>
      </c>
      <c r="CA224" s="94">
        <f ca="1">Sheet1!AC222-Sheet1!BK222-Sheet1!BL222-Sheet1!BM222-Sheet1!BC222-Sheet1!BD222-Sheet1!BE222-Sheet1!BF222-Sheet1!BG222-Sheet1!BH222-Sheet1!BI222+BC224+P224</f>
        <v>84.924000480255614</v>
      </c>
      <c r="CB224" s="93">
        <f t="shared" si="48"/>
        <v>121.19925876610168</v>
      </c>
      <c r="CC224" s="94">
        <f t="shared" si="49"/>
        <v>0.72</v>
      </c>
      <c r="CD224" s="94">
        <f t="shared" ca="1" si="50"/>
        <v>106.26929539550986</v>
      </c>
      <c r="CE224" s="1077">
        <f t="shared" ca="1" si="51"/>
        <v>164.39859997685375</v>
      </c>
      <c r="CG224" s="1077">
        <f t="shared" ca="1" si="52"/>
        <v>84.204000480255615</v>
      </c>
    </row>
    <row r="225" spans="1:85" s="89" customFormat="1" x14ac:dyDescent="0.25">
      <c r="A225" s="616" t="s">
        <v>6</v>
      </c>
      <c r="B225" s="91">
        <v>42949</v>
      </c>
      <c r="C225" s="92">
        <v>0</v>
      </c>
      <c r="D225" s="94">
        <f>(Sheet1!BQ223-Sheet1!BQ222)*1.385</f>
        <v>0.66480000000000061</v>
      </c>
      <c r="E225" s="30">
        <f>(Sheet1!BR223-Sheet1!BR222)*1.385</f>
        <v>0.65094999999999847</v>
      </c>
      <c r="F225" s="30">
        <f ca="1">IF(B225=TODAY(),0,-(VLOOKUP(Sheet1!CD223,Lookup!$I$4:$J$216,2)-VLOOKUP(Sheet1!CD222,Lookup!$I$4:$J$216,2))/1000000)</f>
        <v>1.9691018324082046</v>
      </c>
      <c r="G225" s="94">
        <f ca="1">IF(B225=TODAY(),0,-$G$6*(Sheet1!CF223-Sheet1!CF222)*7.48/1000000)</f>
        <v>-0.42890581136763972</v>
      </c>
      <c r="H225" s="94">
        <f ca="1">IF(B225=TODAY(),0,-$H$6*(Sheet1!CE223-Sheet1!CE222)*7.48/1000000)</f>
        <v>-3.0078864702530548E-2</v>
      </c>
      <c r="I225" s="94">
        <f ca="1">IF(B225=TODAY(),0,-$I$6*(Sheet1!CG223-Sheet1!CG222)*7.48/1000000)</f>
        <v>-4.4924880000000236E-3</v>
      </c>
      <c r="J225" s="95" t="s">
        <v>177</v>
      </c>
      <c r="K225" s="94">
        <f ca="1">IF(B225=TODAY(),0,-$K$6*(Sheet1!CH223-Sheet1!CH222)*7.48/1000000)</f>
        <v>-2.6653281497833796E-2</v>
      </c>
      <c r="L225" s="95" t="s">
        <v>177</v>
      </c>
      <c r="M225" s="94">
        <f ca="1">IF(B225=TODAY(),0,-$M$6*(Sheet1!CI223-Sheet1!CI222)*7.48/1000000)</f>
        <v>0</v>
      </c>
      <c r="N225" s="94">
        <f ca="1">IF(B225=TODAY(),0,-$N$6*(Sheet1!CJ223-Sheet1!CJ222)*7.48/1000000)</f>
        <v>-0.322672196052044</v>
      </c>
      <c r="O225" s="94">
        <f t="shared" ca="1" si="53"/>
        <v>1.1562991907881564</v>
      </c>
      <c r="P225" s="94">
        <f ca="1">O225+Calculation!ES225</f>
        <v>-8.9839511659317806E-2</v>
      </c>
      <c r="Q225" s="89" t="str">
        <f>IF(Sheet1!BQ223&gt;25.75,"spill elevation","-")</f>
        <v>-</v>
      </c>
      <c r="R225" s="89" t="str">
        <f>IF(Sheet1!BQ223&gt;25.75,"spill elevation","-")</f>
        <v>-</v>
      </c>
      <c r="S225" s="89" t="str">
        <f>IF(Sheet1!BR223&gt;25.75,"spill elevation","-")</f>
        <v>-</v>
      </c>
      <c r="T225" s="93">
        <f>IF(Sheet1!DU223=1,Sheet1!AA223-(SUM(AT225:BA225)+BE225),Sheet1!AA223-SUM(AT225:BA225))</f>
        <v>39.767984000000006</v>
      </c>
      <c r="U225" s="93">
        <f>Sheet1!BV223</f>
        <v>47.6</v>
      </c>
      <c r="V225" s="93">
        <f t="shared" si="54"/>
        <v>-7.8320159999999959</v>
      </c>
      <c r="W225" s="93">
        <f>0</f>
        <v>0</v>
      </c>
      <c r="X225" s="89">
        <f>0</f>
        <v>0</v>
      </c>
      <c r="Y225" s="94">
        <f ca="1">Calculation!EJ226+Calculation!ES225+'Calculations II'!O225-'Calculations II'!W225</f>
        <v>93.737178045553492</v>
      </c>
      <c r="Z225" s="94">
        <f ca="1">Y225-Sheet1!CT224</f>
        <v>76.57317804555349</v>
      </c>
      <c r="AA225" s="94">
        <f ca="1">Y225+Calculation!DJ226+Calculation!AS226</f>
        <v>116.01244550469167</v>
      </c>
      <c r="AC225" s="94">
        <f>Sheet1!AA223+Sheet1!AB223+BC225</f>
        <v>112.32163200000001</v>
      </c>
      <c r="AD225" s="94">
        <f>Sheet1!AA223+Sheet1!BN223+'Calculations II'!BC225-Calculation!AS225-Calculation!DJ225</f>
        <v>68.368513372390339</v>
      </c>
      <c r="AE225" s="94">
        <f>Sheet1!AA223+Sheet1!AB223+'Calculations II'!BC225-Calculation!AS225-Calculation!DJ225</f>
        <v>90.338513372390352</v>
      </c>
      <c r="AF225" s="94">
        <f ca="1">Sheet1!AA223+Sheet1!BN223+P225+'Calculations II'!BC225+Calculation!AS225+Calculation!DJ225</f>
        <v>112.24491111595033</v>
      </c>
      <c r="AG225" s="94">
        <f ca="1">IF(B225=TODAY(),0,Sheet1!AA223+Sheet1!BN223+'Calculations II'!BC225+'Calculations II'!P225-Sheet1!CT223-BP225)</f>
        <v>73.738792488340678</v>
      </c>
      <c r="AH225" s="94">
        <f ca="1">IF(B225=TODAY(),0,Sheet1!AA223+Sheet1!BN223+'Calculations II'!BC225+'Calculations II'!P225-BP225)</f>
        <v>90.261792488340674</v>
      </c>
      <c r="AI225" s="94">
        <f ca="1">IF(B225=TODAY(),0,BC225+Sheet1!AA223+Calculation!ES225+O225+W225+Sheet1!BN223+Calculation!AS225+Calculation!DJ225-BP225)</f>
        <v>112.24491111595034</v>
      </c>
      <c r="AJ225" s="94"/>
      <c r="AM225" s="90">
        <f t="shared" si="55"/>
        <v>42949</v>
      </c>
      <c r="AN225" s="94">
        <f>Sheet1!BU223</f>
        <v>41.7</v>
      </c>
      <c r="AO225" s="94">
        <f>Sheet1!AA223</f>
        <v>45.81</v>
      </c>
      <c r="AP225" s="94">
        <f t="shared" si="44"/>
        <v>1.3157499999999991</v>
      </c>
      <c r="AQ225" s="1087">
        <f>((Sheet1!BV223-(Sheet1!BU223-AP225))/(Sheet1!BU223-AP225))</f>
        <v>0.17867733089013663</v>
      </c>
      <c r="AR225" s="94">
        <f t="shared" si="45"/>
        <v>44.494250000000001</v>
      </c>
      <c r="AS225" s="94">
        <f t="shared" si="46"/>
        <v>40.384250000000002</v>
      </c>
      <c r="AT225" s="89">
        <f>Sheet1!BB223</f>
        <v>0.73</v>
      </c>
      <c r="AU225" s="89">
        <f>Sheet1!AS223*GPMtoMGD</f>
        <v>4.8096E-2</v>
      </c>
      <c r="AV225" s="94">
        <f>Sheet1!AT223</f>
        <v>0</v>
      </c>
      <c r="AW225" s="89">
        <f>Sheet1!AV223*GPMtoMGD</f>
        <v>1.4595840000000002</v>
      </c>
      <c r="AX225" s="89">
        <f>Sheet1!AW223*GPMtoMGD</f>
        <v>3.80376</v>
      </c>
      <c r="AY225" s="89">
        <f>Sheet1!AX223*GPMtoMGD</f>
        <v>5.7600000000000001E-4</v>
      </c>
      <c r="AZ225" s="89">
        <f>Sheet1!AY223*GPMtoMGD</f>
        <v>0</v>
      </c>
      <c r="BA225" s="89">
        <f>Sheet1!AZ223*GPMtoMGD</f>
        <v>0</v>
      </c>
      <c r="BB225" s="89">
        <f>Sheet1!BP223*GPMtoMGD</f>
        <v>2.016E-3</v>
      </c>
      <c r="BC225" s="89">
        <f>Sheet1!CS223*GPMtoMGD</f>
        <v>4.741632000000001</v>
      </c>
      <c r="BD225" s="89">
        <f>Sheet1!BO223*GPMtoMGD</f>
        <v>4.7900160000000005</v>
      </c>
      <c r="BE225" s="89">
        <f>Sheet1!BW223*GPMtoMGD</f>
        <v>2.5456319999999999</v>
      </c>
      <c r="BF225" s="89">
        <f>Sheet1!CN223*GPMtoMGD</f>
        <v>5.6020320000000003</v>
      </c>
      <c r="BG225" s="89">
        <f>Sheet1!CO223*GPMtoMGD</f>
        <v>1.8416160000000001</v>
      </c>
      <c r="BH225" s="89">
        <f>Sheet1!CP223*GPMtoMGD</f>
        <v>0.97761600000000004</v>
      </c>
      <c r="BI225" s="89">
        <f t="shared" si="56"/>
        <v>4.7920320000000007</v>
      </c>
      <c r="BK225" s="94">
        <f>SUM(AT225:BA225,AS225,BC225,Calculation!AQ225)</f>
        <v>90.955015656578738</v>
      </c>
      <c r="BM225" s="358">
        <f>0</f>
        <v>0</v>
      </c>
      <c r="BN225" s="358">
        <f>0</f>
        <v>0</v>
      </c>
      <c r="BP225" s="94">
        <f>SUM(BM225:BN225,W225,Sheet1!DX223)</f>
        <v>0</v>
      </c>
      <c r="BR225" s="94">
        <f>Sheet1!AA223</f>
        <v>45.81</v>
      </c>
      <c r="BS225" s="94">
        <f>Sheet1!AB223</f>
        <v>61.77</v>
      </c>
      <c r="BT225" s="94">
        <f t="shared" ca="1" si="47"/>
        <v>-8.9839511659317806E-2</v>
      </c>
      <c r="BU225" s="94">
        <f>Sheet1!AT223</f>
        <v>0</v>
      </c>
      <c r="BV225" s="89">
        <f>Sheet1!BB223</f>
        <v>0.73</v>
      </c>
      <c r="BW225" s="94">
        <f>Calculation!ED225</f>
        <v>21.253118627609648</v>
      </c>
      <c r="BX225" s="94">
        <f>(Sheet1!CS223*1440)/1000000</f>
        <v>4.7416320000000001</v>
      </c>
      <c r="CA225" s="94">
        <f ca="1">Sheet1!AC223-Sheet1!BK223-Sheet1!BL223-Sheet1!BM223-Sheet1!BC223-Sheet1!BD223-Sheet1!BE223-Sheet1!BF223-Sheet1!BG223-Sheet1!BH223-Sheet1!BI223+BC225+P225</f>
        <v>90.971792488340697</v>
      </c>
      <c r="CB225" s="93">
        <f t="shared" si="48"/>
        <v>133.54768548308789</v>
      </c>
      <c r="CC225" s="94">
        <f t="shared" si="49"/>
        <v>0.73</v>
      </c>
      <c r="CD225" s="94">
        <f t="shared" ca="1" si="50"/>
        <v>112.22491111595035</v>
      </c>
      <c r="CE225" s="1077">
        <f t="shared" ca="1" si="51"/>
        <v>173.61193749637519</v>
      </c>
      <c r="CG225" s="1077">
        <f t="shared" ca="1" si="52"/>
        <v>90.241792488340693</v>
      </c>
    </row>
    <row r="226" spans="1:85" s="89" customFormat="1" x14ac:dyDescent="0.25">
      <c r="A226" s="616" t="s">
        <v>7</v>
      </c>
      <c r="B226" s="91">
        <v>42950</v>
      </c>
      <c r="C226" s="92">
        <v>0</v>
      </c>
      <c r="D226" s="94">
        <f>(Sheet1!BQ224-Sheet1!BQ223)*1.385</f>
        <v>4.0165000000000033</v>
      </c>
      <c r="E226" s="30">
        <f>(Sheet1!BR224-Sheet1!BR223)*1.385</f>
        <v>3.9610999999999992</v>
      </c>
      <c r="F226" s="30">
        <f ca="1">IF(B226=TODAY(),0,-(VLOOKUP(Sheet1!CD224,Lookup!$I$4:$J$216,2)-VLOOKUP(Sheet1!CD223,Lookup!$I$4:$J$216,2))/1000000)</f>
        <v>-0.62182163128679613</v>
      </c>
      <c r="G226" s="94">
        <f ca="1">IF(B226=TODAY(),0,-$G$6*(Sheet1!CF224-Sheet1!CF223)*7.48/1000000)</f>
        <v>0.3177080084204747</v>
      </c>
      <c r="H226" s="94">
        <f ca="1">IF(B226=TODAY(),0,-$H$6*(Sheet1!CE224-Sheet1!CE223)*7.48/1000000)</f>
        <v>9.0236594107590579E-2</v>
      </c>
      <c r="I226" s="94">
        <f ca="1">IF(B226=TODAY(),0,-$I$6*(Sheet1!CG224-Sheet1!CG223)*7.48/1000000)</f>
        <v>2.2462440000000004E-2</v>
      </c>
      <c r="J226" s="95" t="s">
        <v>177</v>
      </c>
      <c r="K226" s="94">
        <f ca="1">IF(B226=TODAY(),0,-$K$6*(Sheet1!CH224-Sheet1!CH223)*7.48/1000000)</f>
        <v>5.5305559108005081E-2</v>
      </c>
      <c r="L226" s="95" t="s">
        <v>177</v>
      </c>
      <c r="M226" s="94">
        <f ca="1">IF(B226=TODAY(),0,-$M$6*(Sheet1!CI224-Sheet1!CI223)*7.48/1000000)</f>
        <v>8.9957542140135238E-2</v>
      </c>
      <c r="N226" s="94">
        <f ca="1">IF(B226=TODAY(),0,-$N$6*(Sheet1!CJ224-Sheet1!CJ223)*7.48/1000000)</f>
        <v>-0.12410469078924848</v>
      </c>
      <c r="O226" s="94">
        <f t="shared" ca="1" si="53"/>
        <v>-0.17025617829983902</v>
      </c>
      <c r="P226" s="94">
        <f ca="1">O226+Calculation!ES226</f>
        <v>-8.0683430432191923</v>
      </c>
      <c r="Q226" s="89" t="str">
        <f>IF(Sheet1!BQ224&gt;25.75,"spill elevation","-")</f>
        <v>-</v>
      </c>
      <c r="R226" s="89" t="str">
        <f>IF(Sheet1!BQ224&gt;25.75,"spill elevation","-")</f>
        <v>-</v>
      </c>
      <c r="S226" s="89" t="str">
        <f>IF(Sheet1!BR224&gt;25.75,"spill elevation","-")</f>
        <v>-</v>
      </c>
      <c r="T226" s="93">
        <f>IF(Sheet1!DU224=1,Sheet1!AA224-(SUM(AT226:BA226)+BE226),Sheet1!AA224-SUM(AT226:BA226))</f>
        <v>41.867359999999998</v>
      </c>
      <c r="U226" s="93">
        <f>Sheet1!BV224</f>
        <v>42.7</v>
      </c>
      <c r="V226" s="93">
        <f t="shared" si="54"/>
        <v>-0.83264000000000493</v>
      </c>
      <c r="W226" s="93">
        <f>0</f>
        <v>0</v>
      </c>
      <c r="X226" s="89">
        <f>0</f>
        <v>0</v>
      </c>
      <c r="Y226" s="94">
        <f ca="1">Calculation!EJ227+Calculation!ES226+'Calculations II'!O226-'Calculations II'!W226</f>
        <v>74.30343321498286</v>
      </c>
      <c r="Z226" s="94">
        <f ca="1">Y226-Sheet1!CT225</f>
        <v>57.711433214982861</v>
      </c>
      <c r="AA226" s="94">
        <f ca="1">Y226+Calculation!DJ227+Calculation!AS227</f>
        <v>96.712969836806479</v>
      </c>
      <c r="AC226" s="94">
        <f>Sheet1!AA224+Sheet1!AB224+BC226</f>
        <v>114.24444800000001</v>
      </c>
      <c r="AD226" s="94">
        <f>Sheet1!AA224+Sheet1!BN224+'Calculations II'!BC226-Calculation!AS226-Calculation!DJ226</f>
        <v>69.48918054086181</v>
      </c>
      <c r="AE226" s="94">
        <f>Sheet1!AA224+Sheet1!AB224+'Calculations II'!BC226-Calculation!AS226-Calculation!DJ226</f>
        <v>91.969180540861828</v>
      </c>
      <c r="AF226" s="94">
        <f ca="1">Sheet1!AA224+Sheet1!BN224+P226+'Calculations II'!BC226+Calculation!AS226+Calculation!DJ226</f>
        <v>105.97137241591898</v>
      </c>
      <c r="AG226" s="94">
        <f ca="1">IF(B226=TODAY(),0,Sheet1!AA224+Sheet1!BN224+'Calculations II'!BC226+'Calculations II'!P226-Sheet1!CT224-BP226)</f>
        <v>66.532104956780799</v>
      </c>
      <c r="AH226" s="94">
        <f ca="1">IF(B226=TODAY(),0,Sheet1!AA224+Sheet1!BN224+'Calculations II'!BC226+'Calculations II'!P226-BP226)</f>
        <v>83.6961049567808</v>
      </c>
      <c r="AI226" s="94">
        <f ca="1">IF(B226=TODAY(),0,BC226+Sheet1!AA224+Calculation!ES226+O226+W226+Sheet1!BN224+Calculation!AS226+Calculation!DJ226-BP226)</f>
        <v>105.97137241591901</v>
      </c>
      <c r="AJ226" s="94"/>
      <c r="AM226" s="90">
        <f t="shared" si="55"/>
        <v>42950</v>
      </c>
      <c r="AN226" s="94">
        <f>Sheet1!BU224</f>
        <v>43.9</v>
      </c>
      <c r="AO226" s="94">
        <f>Sheet1!AA224</f>
        <v>49.01</v>
      </c>
      <c r="AP226" s="94">
        <f t="shared" si="44"/>
        <v>7.9776000000000025</v>
      </c>
      <c r="AQ226" s="1087">
        <f>((Sheet1!BV224-(Sheet1!BU224-AP226))/(Sheet1!BU224-AP226))</f>
        <v>0.18867336258156492</v>
      </c>
      <c r="AR226" s="94">
        <f t="shared" si="45"/>
        <v>41.032399999999996</v>
      </c>
      <c r="AS226" s="94">
        <f t="shared" si="46"/>
        <v>35.922399999999996</v>
      </c>
      <c r="AT226" s="89">
        <f>Sheet1!BB224</f>
        <v>0.72</v>
      </c>
      <c r="AU226" s="89">
        <f>Sheet1!AS224*GPMtoMGD</f>
        <v>4.4208000000000004E-2</v>
      </c>
      <c r="AV226" s="94">
        <f>Sheet1!AT224</f>
        <v>0.438</v>
      </c>
      <c r="AW226" s="89">
        <f>Sheet1!AV224*GPMtoMGD</f>
        <v>1.60128</v>
      </c>
      <c r="AX226" s="89">
        <f>Sheet1!AW224*GPMtoMGD</f>
        <v>4.338432000000001</v>
      </c>
      <c r="AY226" s="89">
        <f>Sheet1!AX224*GPMtoMGD</f>
        <v>7.2000000000000005E-4</v>
      </c>
      <c r="AZ226" s="89">
        <f>Sheet1!AY224*GPMtoMGD</f>
        <v>0</v>
      </c>
      <c r="BA226" s="89">
        <f>Sheet1!AZ224*GPMtoMGD</f>
        <v>0</v>
      </c>
      <c r="BB226" s="89">
        <f>Sheet1!BP224*GPMtoMGD</f>
        <v>2.16E-3</v>
      </c>
      <c r="BC226" s="89">
        <f>Sheet1!CS224*GPMtoMGD</f>
        <v>11.054448000000001</v>
      </c>
      <c r="BD226" s="89">
        <f>Sheet1!BO224*GPMtoMGD</f>
        <v>4.4565120000000009</v>
      </c>
      <c r="BE226" s="89">
        <f>Sheet1!BW224*GPMtoMGD</f>
        <v>2.5378560000000001</v>
      </c>
      <c r="BF226" s="89">
        <f>Sheet1!CN224*GPMtoMGD</f>
        <v>5.3364960000000004</v>
      </c>
      <c r="BG226" s="89">
        <f>Sheet1!CO224*GPMtoMGD</f>
        <v>1.7867520000000001</v>
      </c>
      <c r="BH226" s="89">
        <f>Sheet1!CP224*GPMtoMGD</f>
        <v>0.96580800000000011</v>
      </c>
      <c r="BI226" s="89">
        <f t="shared" si="56"/>
        <v>4.4586720000000009</v>
      </c>
      <c r="BK226" s="94">
        <f>SUM(AT226:BA226,AS226,BC226,Calculation!AQ226)</f>
        <v>86.019673735512626</v>
      </c>
      <c r="BM226" s="358">
        <f>0</f>
        <v>0</v>
      </c>
      <c r="BN226" s="358">
        <f>0</f>
        <v>0</v>
      </c>
      <c r="BP226" s="94">
        <f>SUM(BM226:BN226,W226,Sheet1!DX224)</f>
        <v>0</v>
      </c>
      <c r="BR226" s="94">
        <f>Sheet1!AA224</f>
        <v>49.01</v>
      </c>
      <c r="BS226" s="94">
        <f>Sheet1!AB224</f>
        <v>54.18</v>
      </c>
      <c r="BT226" s="94">
        <f t="shared" ca="1" si="47"/>
        <v>-8.0683430432191923</v>
      </c>
      <c r="BU226" s="94">
        <f>Sheet1!AT224</f>
        <v>0.438</v>
      </c>
      <c r="BV226" s="89">
        <f>Sheet1!BB224</f>
        <v>0.72</v>
      </c>
      <c r="BW226" s="94">
        <f>Calculation!ED226</f>
        <v>21.555267459138186</v>
      </c>
      <c r="BX226" s="94">
        <f>(Sheet1!CS224*1440)/1000000</f>
        <v>11.054448000000001</v>
      </c>
      <c r="CA226" s="94">
        <f ca="1">Sheet1!AC224-Sheet1!BK224-Sheet1!BL224-Sheet1!BM224-Sheet1!BC224-Sheet1!BD224-Sheet1!BE224-Sheet1!BF224-Sheet1!BG224-Sheet1!BH224-Sheet1!BI224+BC226+P226</f>
        <v>84.756104956780831</v>
      </c>
      <c r="CB226" s="93">
        <f t="shared" si="48"/>
        <v>126.28893124071323</v>
      </c>
      <c r="CC226" s="94">
        <f t="shared" si="49"/>
        <v>1.1579999999999999</v>
      </c>
      <c r="CD226" s="94">
        <f t="shared" ca="1" si="50"/>
        <v>106.31137241591901</v>
      </c>
      <c r="CE226" s="1077">
        <f t="shared" ca="1" si="51"/>
        <v>164.46369312742669</v>
      </c>
      <c r="CG226" s="1077">
        <f t="shared" ca="1" si="52"/>
        <v>83.59810495678083</v>
      </c>
    </row>
    <row r="227" spans="1:85" s="89" customFormat="1" x14ac:dyDescent="0.25">
      <c r="A227" s="616" t="s">
        <v>8</v>
      </c>
      <c r="B227" s="91">
        <v>42951</v>
      </c>
      <c r="C227" s="92">
        <v>0</v>
      </c>
      <c r="D227" s="94">
        <f>(Sheet1!BQ225-Sheet1!BQ224)*1.385</f>
        <v>-2.2298500000000043</v>
      </c>
      <c r="E227" s="30">
        <f>(Sheet1!BR225-Sheet1!BR224)*1.385</f>
        <v>-2.2159999999999971</v>
      </c>
      <c r="F227" s="30">
        <f ca="1">IF(B227=TODAY(),0,-(VLOOKUP(Sheet1!CD225,Lookup!$I$4:$J$216,2)-VLOOKUP(Sheet1!CD224,Lookup!$I$4:$J$216,2))/1000000)</f>
        <v>-0.20727387709559872</v>
      </c>
      <c r="G227" s="94">
        <f ca="1">IF(B227=TODAY(),0,-$G$6*(Sheet1!CF225-Sheet1!CF224)*7.48/1000000)</f>
        <v>0.27799450736791476</v>
      </c>
      <c r="H227" s="94">
        <f ca="1">IF(B227=TODAY(),0,-$H$6*(Sheet1!CE225-Sheet1!CE224)*7.48/1000000)</f>
        <v>-3.0078864702529479E-2</v>
      </c>
      <c r="I227" s="94">
        <f ca="1">IF(B227=TODAY(),0,-$I$6*(Sheet1!CG225-Sheet1!CG224)*7.48/1000000)</f>
        <v>-7.1879808000000031E-2</v>
      </c>
      <c r="J227" s="95" t="s">
        <v>177</v>
      </c>
      <c r="K227" s="94">
        <f ca="1">IF(B227=TODAY(),0,-$K$6*(Sheet1!CH225-Sheet1!CH224)*7.48/1000000)</f>
        <v>-0.12193876285258949</v>
      </c>
      <c r="L227" s="95" t="s">
        <v>177</v>
      </c>
      <c r="M227" s="94">
        <f ca="1">IF(B227=TODAY(),0,-$M$6*(Sheet1!CI225-Sheet1!CI224)*7.48/1000000)</f>
        <v>-0.32384715170448697</v>
      </c>
      <c r="N227" s="94">
        <f ca="1">IF(B227=TODAY(),0,-$N$6*(Sheet1!CJ225-Sheet1!CJ224)*7.48/1000000)</f>
        <v>-0.66396009572247472</v>
      </c>
      <c r="O227" s="94">
        <f t="shared" ca="1" si="53"/>
        <v>-1.1409840527097646</v>
      </c>
      <c r="P227" s="94">
        <f ca="1">O227+Calculation!ES227</f>
        <v>3.2943233151676101</v>
      </c>
      <c r="Q227" s="89" t="str">
        <f>IF(Sheet1!BQ225&gt;25.75,"spill elevation","-")</f>
        <v>-</v>
      </c>
      <c r="R227" s="89" t="str">
        <f>IF(Sheet1!BQ225&gt;25.75,"spill elevation","-")</f>
        <v>-</v>
      </c>
      <c r="S227" s="89" t="str">
        <f>IF(Sheet1!BR225&gt;25.75,"spill elevation","-")</f>
        <v>-</v>
      </c>
      <c r="T227" s="93">
        <f>IF(Sheet1!DU225=1,Sheet1!AA225-(SUM(AT227:BA227)+BE227),Sheet1!AA225-SUM(AT227:BA227))</f>
        <v>44.236567999999998</v>
      </c>
      <c r="U227" s="93">
        <f>Sheet1!BV225</f>
        <v>58.7</v>
      </c>
      <c r="V227" s="93">
        <f t="shared" si="54"/>
        <v>-14.463432000000005</v>
      </c>
      <c r="W227" s="93">
        <f>0</f>
        <v>0</v>
      </c>
      <c r="X227" s="89">
        <f>0</f>
        <v>0</v>
      </c>
      <c r="Y227" s="94">
        <f ca="1">Calculation!EJ228+Calculation!ES227+'Calculations II'!O227-'Calculations II'!W227</f>
        <v>87.805409520723899</v>
      </c>
      <c r="Z227" s="94">
        <f ca="1">Y227-Sheet1!CT226</f>
        <v>71.802409520723899</v>
      </c>
      <c r="AA227" s="94">
        <f ca="1">Y227+Calculation!DJ228+Calculation!AS228</f>
        <v>110.33859003648321</v>
      </c>
      <c r="AC227" s="94">
        <f>Sheet1!AA225+Sheet1!AB225+BC227</f>
        <v>104.45455999999999</v>
      </c>
      <c r="AD227" s="94">
        <f>Sheet1!AA225+Sheet1!BN225+'Calculations II'!BC227-Calculation!AS227-Calculation!DJ227</f>
        <v>59.745023378176391</v>
      </c>
      <c r="AE227" s="94">
        <f>Sheet1!AA225+Sheet1!AB225+'Calculations II'!BC227-Calculation!AS227-Calculation!DJ227</f>
        <v>82.045023378176381</v>
      </c>
      <c r="AF227" s="94">
        <f ca="1">Sheet1!AA225+Sheet1!BN225+P227+'Calculations II'!BC227+Calculation!AS227+Calculation!DJ227</f>
        <v>107.85841993699123</v>
      </c>
      <c r="AG227" s="94">
        <f ca="1">IF(B227=TODAY(),0,Sheet1!AA225+Sheet1!BN225+'Calculations II'!BC227+'Calculations II'!P227-Sheet1!CT225-BP227)</f>
        <v>68.856883315167622</v>
      </c>
      <c r="AH227" s="94">
        <f ca="1">IF(B227=TODAY(),0,Sheet1!AA225+Sheet1!BN225+'Calculations II'!BC227+'Calculations II'!P227-BP227)</f>
        <v>85.44888331516762</v>
      </c>
      <c r="AI227" s="94">
        <f ca="1">IF(B227=TODAY(),0,BC227+Sheet1!AA225+Calculation!ES227+O227+W227+Sheet1!BN225+Calculation!AS227+Calculation!DJ227-BP227)</f>
        <v>107.85841993699123</v>
      </c>
      <c r="AJ227" s="94"/>
      <c r="AM227" s="90">
        <f t="shared" si="55"/>
        <v>42951</v>
      </c>
      <c r="AN227" s="94">
        <f>Sheet1!BU225</f>
        <v>45.7</v>
      </c>
      <c r="AO227" s="94">
        <f>Sheet1!AA225</f>
        <v>50.39</v>
      </c>
      <c r="AP227" s="94">
        <f t="shared" si="44"/>
        <v>-4.4458500000000019</v>
      </c>
      <c r="AQ227" s="1087">
        <f>((Sheet1!BV225-(Sheet1!BU225-AP227))/(Sheet1!BU225-AP227))</f>
        <v>0.17058540238125386</v>
      </c>
      <c r="AR227" s="94">
        <f t="shared" si="45"/>
        <v>54.835850000000001</v>
      </c>
      <c r="AS227" s="94">
        <f t="shared" si="46"/>
        <v>50.145850000000003</v>
      </c>
      <c r="AT227" s="89">
        <f>Sheet1!BB225</f>
        <v>0.72</v>
      </c>
      <c r="AU227" s="89">
        <f>Sheet1!AS225*GPMtoMGD</f>
        <v>4.5072000000000001E-2</v>
      </c>
      <c r="AV227" s="94">
        <f>Sheet1!AT225</f>
        <v>0.60899999999999999</v>
      </c>
      <c r="AW227" s="89">
        <f>Sheet1!AV225*GPMtoMGD</f>
        <v>1.0435680000000001</v>
      </c>
      <c r="AX227" s="89">
        <f>Sheet1!AW225*GPMtoMGD</f>
        <v>3.7342080000000002</v>
      </c>
      <c r="AY227" s="89">
        <f>Sheet1!AX225*GPMtoMGD</f>
        <v>1.5840000000000001E-3</v>
      </c>
      <c r="AZ227" s="89">
        <f>Sheet1!AY225*GPMtoMGD</f>
        <v>0</v>
      </c>
      <c r="BA227" s="89">
        <f>Sheet1!AZ225*GPMtoMGD</f>
        <v>0</v>
      </c>
      <c r="BB227" s="89">
        <f>Sheet1!BP225*GPMtoMGD</f>
        <v>2.16E-3</v>
      </c>
      <c r="BC227" s="89">
        <f>Sheet1!CS225*GPMtoMGD</f>
        <v>14.164560000000002</v>
      </c>
      <c r="BD227" s="89">
        <f>Sheet1!BO225*GPMtoMGD</f>
        <v>4.8631679999999999</v>
      </c>
      <c r="BE227" s="89">
        <f>Sheet1!BW225*GPMtoMGD</f>
        <v>2.5102080000000004</v>
      </c>
      <c r="BF227" s="89">
        <f>Sheet1!CN225*GPMtoMGD</f>
        <v>5.2002720000000009</v>
      </c>
      <c r="BG227" s="89">
        <f>Sheet1!CO225*GPMtoMGD</f>
        <v>1.85616</v>
      </c>
      <c r="BH227" s="89">
        <f>Sheet1!CP225*GPMtoMGD</f>
        <v>0.95385600000000004</v>
      </c>
      <c r="BI227" s="89">
        <f t="shared" si="56"/>
        <v>4.8653279999999999</v>
      </c>
      <c r="BK227" s="94">
        <f>SUM(AT227:BA227,AS227,BC227,Calculation!AQ227)</f>
        <v>87.958610310911808</v>
      </c>
      <c r="BM227" s="358">
        <f>0</f>
        <v>0</v>
      </c>
      <c r="BN227" s="358">
        <f>0</f>
        <v>0</v>
      </c>
      <c r="BP227" s="94">
        <f>SUM(BM227:BN227,W227,Sheet1!DX225)</f>
        <v>0</v>
      </c>
      <c r="BR227" s="94">
        <f>Sheet1!AA225</f>
        <v>50.39</v>
      </c>
      <c r="BS227" s="94">
        <f>Sheet1!AB225</f>
        <v>39.9</v>
      </c>
      <c r="BT227" s="94">
        <f t="shared" ca="1" si="47"/>
        <v>3.2943233151676101</v>
      </c>
      <c r="BU227" s="94">
        <f>Sheet1!AT225</f>
        <v>0.60899999999999999</v>
      </c>
      <c r="BV227" s="89">
        <f>Sheet1!BB225</f>
        <v>0.72</v>
      </c>
      <c r="BW227" s="94">
        <f>Calculation!ED227</f>
        <v>21.689536621823613</v>
      </c>
      <c r="BX227" s="94">
        <f>(Sheet1!CS225*1440)/1000000</f>
        <v>14.16456</v>
      </c>
      <c r="CA227" s="94">
        <f ca="1">Sheet1!AC225-Sheet1!BK225-Sheet1!BL225-Sheet1!BM225-Sheet1!BC225-Sheet1!BD225-Sheet1!BE225-Sheet1!BF225-Sheet1!BG225-Sheet1!BH225-Sheet1!BI225+BC227+P227</f>
        <v>85.92888331516761</v>
      </c>
      <c r="CB227" s="93">
        <f t="shared" si="48"/>
        <v>106.12491684603886</v>
      </c>
      <c r="CC227" s="94">
        <f t="shared" si="49"/>
        <v>1.329</v>
      </c>
      <c r="CD227" s="94">
        <f t="shared" ca="1" si="50"/>
        <v>107.61841993699122</v>
      </c>
      <c r="CE227" s="1077">
        <f t="shared" ca="1" si="51"/>
        <v>166.4856956425254</v>
      </c>
      <c r="CG227" s="1077">
        <f t="shared" ca="1" si="52"/>
        <v>84.599883315167617</v>
      </c>
    </row>
    <row r="228" spans="1:85" s="89" customFormat="1" x14ac:dyDescent="0.25">
      <c r="A228" s="616" t="s">
        <v>9</v>
      </c>
      <c r="B228" s="91">
        <v>42952</v>
      </c>
      <c r="C228" s="92">
        <v>0</v>
      </c>
      <c r="D228" s="94">
        <f>(Sheet1!BQ226-Sheet1!BQ225)*1.385</f>
        <v>1.4958000000000025</v>
      </c>
      <c r="E228" s="30">
        <f>(Sheet1!BR226-Sheet1!BR225)*1.385</f>
        <v>1.5511999999999964</v>
      </c>
      <c r="F228" s="30">
        <f ca="1">IF(B228=TODAY(),0,-(VLOOKUP(Sheet1!CD226,Lookup!$I$4:$J$216,2)-VLOOKUP(Sheet1!CD225,Lookup!$I$4:$J$216,2))/1000000)</f>
        <v>-0.82909550838240609</v>
      </c>
      <c r="G228" s="94">
        <f ca="1">IF(B228=TODAY(),0,-$G$6*(Sheet1!CF226-Sheet1!CF225)*7.48/1000000)</f>
        <v>-0.39713501052559297</v>
      </c>
      <c r="H228" s="94">
        <f ca="1">IF(B228=TODAY(),0,-$H$6*(Sheet1!CE226-Sheet1!CE225)*7.48/1000000)</f>
        <v>-1.5039432351265274E-2</v>
      </c>
      <c r="I228" s="94">
        <f ca="1">IF(B228=TODAY(),0,-$I$6*(Sheet1!CG226-Sheet1!CG225)*7.48/1000000)</f>
        <v>7.5923047200000024E-2</v>
      </c>
      <c r="J228" s="95" t="s">
        <v>177</v>
      </c>
      <c r="K228" s="94">
        <f ca="1">IF(B228=TODAY(),0,-$K$6*(Sheet1!CH226-Sheet1!CH225)*7.48/1000000)</f>
        <v>0.12660308711471041</v>
      </c>
      <c r="L228" s="95" t="s">
        <v>177</v>
      </c>
      <c r="M228" s="94">
        <f ca="1">IF(B228=TODAY(),0,-$M$6*(Sheet1!CI226-Sheet1!CI225)*7.48/1000000)</f>
        <v>0.35983016856054095</v>
      </c>
      <c r="N228" s="94">
        <f ca="1">IF(B228=TODAY(),0,-$N$6*(Sheet1!CJ226-Sheet1!CJ225)*7.48/1000000)</f>
        <v>0.25441461611795807</v>
      </c>
      <c r="O228" s="94">
        <f t="shared" ca="1" si="53"/>
        <v>-0.42449903226605468</v>
      </c>
      <c r="P228" s="94">
        <f ca="1">O228+Calculation!ES228</f>
        <v>-3.6120652622855385</v>
      </c>
      <c r="Q228" s="89" t="str">
        <f>IF(Sheet1!BQ226&gt;25.75,"spill elevation","-")</f>
        <v>-</v>
      </c>
      <c r="R228" s="89" t="str">
        <f>IF(Sheet1!BQ226&gt;25.75,"spill elevation","-")</f>
        <v>-</v>
      </c>
      <c r="S228" s="89" t="str">
        <f>IF(Sheet1!BR226&gt;25.75,"spill elevation","-")</f>
        <v>-</v>
      </c>
      <c r="T228" s="93">
        <f>IF(Sheet1!DU226=1,Sheet1!AA226-(SUM(AT228:BA228)+BE228),Sheet1!AA226-SUM(AT228:BA228))</f>
        <v>44.255071999999998</v>
      </c>
      <c r="U228" s="93">
        <f>Sheet1!BV226</f>
        <v>50.5</v>
      </c>
      <c r="V228" s="93">
        <f t="shared" si="54"/>
        <v>-6.2449280000000016</v>
      </c>
      <c r="W228" s="93">
        <f>0</f>
        <v>0</v>
      </c>
      <c r="X228" s="89">
        <f>0</f>
        <v>0</v>
      </c>
      <c r="Y228" s="94">
        <f ca="1">Calculation!EJ229+Calculation!ES228+'Calculations II'!O228-'Calculations II'!W228</f>
        <v>82.921085735856408</v>
      </c>
      <c r="Z228" s="94">
        <f ca="1">Y228-Sheet1!CT227</f>
        <v>66.114085735856406</v>
      </c>
      <c r="AA228" s="94">
        <f ca="1">Y228+Calculation!DJ229+Calculation!AS229</f>
        <v>105.17354345851706</v>
      </c>
      <c r="AC228" s="94">
        <f>Sheet1!AA226+Sheet1!AB226+BC228</f>
        <v>105.91902400000001</v>
      </c>
      <c r="AD228" s="94">
        <f>Sheet1!AA226+Sheet1!BN226+'Calculations II'!BC228-Calculation!AS228-Calculation!DJ228</f>
        <v>60.985843484240689</v>
      </c>
      <c r="AE228" s="94">
        <f>Sheet1!AA226+Sheet1!AB226+'Calculations II'!BC228-Calculation!AS228-Calculation!DJ228</f>
        <v>83.385843484240695</v>
      </c>
      <c r="AF228" s="94">
        <f ca="1">Sheet1!AA226+Sheet1!BN226+P228+'Calculations II'!BC228+Calculation!AS228+Calculation!DJ228</f>
        <v>102.44013925347377</v>
      </c>
      <c r="AG228" s="94">
        <f ca="1">IF(B228=TODAY(),0,Sheet1!AA226+Sheet1!BN226+'Calculations II'!BC228+'Calculations II'!P228-Sheet1!CT226-BP228)</f>
        <v>63.903958737714461</v>
      </c>
      <c r="AH228" s="94">
        <f ca="1">IF(B228=TODAY(),0,Sheet1!AA226+Sheet1!BN226+'Calculations II'!BC228+'Calculations II'!P228-BP228)</f>
        <v>79.906958737714461</v>
      </c>
      <c r="AI228" s="94">
        <f ca="1">IF(B228=TODAY(),0,BC228+Sheet1!AA226+Calculation!ES228+O228+W228+Sheet1!BN226+Calculation!AS228+Calculation!DJ228-BP228)</f>
        <v>102.44013925347377</v>
      </c>
      <c r="AJ228" s="94"/>
      <c r="AM228" s="90">
        <f t="shared" si="55"/>
        <v>42952</v>
      </c>
      <c r="AN228" s="94">
        <f>Sheet1!BU226</f>
        <v>45.8</v>
      </c>
      <c r="AO228" s="94">
        <f>Sheet1!AA226</f>
        <v>50.33</v>
      </c>
      <c r="AP228" s="94">
        <f t="shared" si="44"/>
        <v>3.0469999999999988</v>
      </c>
      <c r="AQ228" s="1087">
        <f>((Sheet1!BV226-(Sheet1!BU226-AP228))/(Sheet1!BU226-AP228))</f>
        <v>0.18120365822281476</v>
      </c>
      <c r="AR228" s="94">
        <f t="shared" si="45"/>
        <v>47.283000000000001</v>
      </c>
      <c r="AS228" s="94">
        <f t="shared" si="46"/>
        <v>42.753</v>
      </c>
      <c r="AT228" s="89">
        <f>Sheet1!BB226</f>
        <v>0.72</v>
      </c>
      <c r="AU228" s="89">
        <f>Sheet1!AS226*GPMtoMGD</f>
        <v>4.1472000000000002E-2</v>
      </c>
      <c r="AV228" s="94">
        <f>Sheet1!AT226</f>
        <v>0</v>
      </c>
      <c r="AW228" s="89">
        <f>Sheet1!AV226*GPMtoMGD</f>
        <v>1.3099680000000002</v>
      </c>
      <c r="AX228" s="89">
        <f>Sheet1!AW226*GPMtoMGD</f>
        <v>4.0021920000000009</v>
      </c>
      <c r="AY228" s="89">
        <f>Sheet1!AX226*GPMtoMGD</f>
        <v>1.2960000000000001E-3</v>
      </c>
      <c r="AZ228" s="89">
        <f>Sheet1!AY226*GPMtoMGD</f>
        <v>0</v>
      </c>
      <c r="BA228" s="89">
        <f>Sheet1!AZ226*GPMtoMGD</f>
        <v>0</v>
      </c>
      <c r="BB228" s="89">
        <f>Sheet1!BP226*GPMtoMGD</f>
        <v>2.3040000000000001E-3</v>
      </c>
      <c r="BC228" s="89">
        <f>Sheet1!CS226*GPMtoMGD</f>
        <v>13.989024000000001</v>
      </c>
      <c r="BD228" s="89">
        <f>Sheet1!BO226*GPMtoMGD</f>
        <v>3.8486880000000001</v>
      </c>
      <c r="BE228" s="89">
        <f>Sheet1!BW226*GPMtoMGD</f>
        <v>2.4706080000000004</v>
      </c>
      <c r="BF228" s="89">
        <f>Sheet1!CN226*GPMtoMGD</f>
        <v>4.6537920000000002</v>
      </c>
      <c r="BG228" s="89">
        <f>Sheet1!CO226*GPMtoMGD</f>
        <v>1.7595360000000002</v>
      </c>
      <c r="BH228" s="89">
        <f>Sheet1!CP226*GPMtoMGD</f>
        <v>0.90302400000000005</v>
      </c>
      <c r="BI228" s="89">
        <f t="shared" si="56"/>
        <v>3.8509920000000002</v>
      </c>
      <c r="BK228" s="94">
        <f>SUM(AT228:BA228,AS228,BC228,Calculation!AQ228)</f>
        <v>81.888585237822355</v>
      </c>
      <c r="BM228" s="358">
        <f>0</f>
        <v>0</v>
      </c>
      <c r="BN228" s="358">
        <f>0</f>
        <v>0</v>
      </c>
      <c r="BP228" s="94">
        <f>SUM(BM228:BN228,W228,Sheet1!DX226)</f>
        <v>0</v>
      </c>
      <c r="BR228" s="94">
        <f>Sheet1!AA226</f>
        <v>50.33</v>
      </c>
      <c r="BS228" s="94">
        <f>Sheet1!AB226</f>
        <v>41.6</v>
      </c>
      <c r="BT228" s="94">
        <f t="shared" ca="1" si="47"/>
        <v>-3.6120652622855385</v>
      </c>
      <c r="BU228" s="94">
        <f>Sheet1!AT226</f>
        <v>0</v>
      </c>
      <c r="BV228" s="89">
        <f>Sheet1!BB226</f>
        <v>0.72</v>
      </c>
      <c r="BW228" s="94">
        <f>Calculation!ED228</f>
        <v>21.813180515759313</v>
      </c>
      <c r="BX228" s="94">
        <f>(Sheet1!CS226*1440)/1000000</f>
        <v>13.989024000000001</v>
      </c>
      <c r="CA228" s="94">
        <f ca="1">Sheet1!AC226-Sheet1!BK226-Sheet1!BL226-Sheet1!BM226-Sheet1!BC226-Sheet1!BD226-Sheet1!BE226-Sheet1!BF226-Sheet1!BG226-Sheet1!BH226-Sheet1!BI226+BC228+P228</f>
        <v>80.346958737714473</v>
      </c>
      <c r="CB228" s="93">
        <f t="shared" si="48"/>
        <v>108.47071974212035</v>
      </c>
      <c r="CC228" s="94">
        <f t="shared" si="49"/>
        <v>0.72</v>
      </c>
      <c r="CD228" s="94">
        <f t="shared" ca="1" si="50"/>
        <v>102.16013925347379</v>
      </c>
      <c r="CE228" s="1077">
        <f t="shared" ca="1" si="51"/>
        <v>158.04173542512393</v>
      </c>
      <c r="CG228" s="1077">
        <f t="shared" ca="1" si="52"/>
        <v>79.626958737714475</v>
      </c>
    </row>
    <row r="229" spans="1:85" s="89" customFormat="1" x14ac:dyDescent="0.25">
      <c r="A229" s="616" t="s">
        <v>3</v>
      </c>
      <c r="B229" s="91">
        <v>42953</v>
      </c>
      <c r="C229" s="92">
        <v>0</v>
      </c>
      <c r="D229" s="94">
        <f>(Sheet1!BQ227-Sheet1!BQ226)*1.385</f>
        <v>1.7035500000000006</v>
      </c>
      <c r="E229" s="30">
        <f>(Sheet1!BR227-Sheet1!BR226)*1.385</f>
        <v>1.7174000000000027</v>
      </c>
      <c r="F229" s="30">
        <f ca="1">IF(B229=TODAY(),0,-(VLOOKUP(Sheet1!CD227,Lookup!$I$4:$J$216,2)-VLOOKUP(Sheet1!CD226,Lookup!$I$4:$J$216,2))/1000000)</f>
        <v>0.41454775419120304</v>
      </c>
      <c r="G229" s="94">
        <f ca="1">IF(B229=TODAY(),0,-$G$6*(Sheet1!CF227-Sheet1!CF226)*7.48/1000000)</f>
        <v>-0.47656201263071124</v>
      </c>
      <c r="H229" s="94">
        <f ca="1">IF(B229=TODAY(),0,-$H$6*(Sheet1!CE227-Sheet1!CE226)*7.48/1000000)</f>
        <v>-1.5039432351265274E-2</v>
      </c>
      <c r="I229" s="94">
        <f ca="1">IF(B229=TODAY(),0,-$I$6*(Sheet1!CG227-Sheet1!CG226)*7.48/1000000)</f>
        <v>-4.0432391999999937E-3</v>
      </c>
      <c r="J229" s="95" t="s">
        <v>177</v>
      </c>
      <c r="K229" s="94">
        <f ca="1">IF(B229=TODAY(),0,-$K$6*(Sheet1!CH227-Sheet1!CH226)*7.48/1000000)</f>
        <v>-6.6633203744584186E-3</v>
      </c>
      <c r="L229" s="95" t="s">
        <v>177</v>
      </c>
      <c r="M229" s="94">
        <f ca="1">IF(B229=TODAY(),0,-$M$6*(Sheet1!CI227-Sheet1!CI226)*7.48/1000000)</f>
        <v>-1.7991508428026663E-2</v>
      </c>
      <c r="N229" s="94">
        <f ca="1">IF(B229=TODAY(),0,-$N$6*(Sheet1!CJ227-Sheet1!CJ226)*7.48/1000000)</f>
        <v>6.8257579934085932E-2</v>
      </c>
      <c r="O229" s="94">
        <f t="shared" ca="1" si="53"/>
        <v>-3.7494178859172611E-2</v>
      </c>
      <c r="P229" s="94">
        <f ca="1">O229+Calculation!ES229</f>
        <v>-3.3654365615759323</v>
      </c>
      <c r="Q229" s="89" t="str">
        <f>IF(Sheet1!BQ227&gt;25.75,"spill elevation","-")</f>
        <v>-</v>
      </c>
      <c r="R229" s="89" t="str">
        <f>IF(Sheet1!BQ227&gt;25.75,"spill elevation","-")</f>
        <v>-</v>
      </c>
      <c r="S229" s="89" t="str">
        <f>IF(Sheet1!BR227&gt;25.75,"spill elevation","-")</f>
        <v>-</v>
      </c>
      <c r="T229" s="93">
        <f>IF(Sheet1!DU227=1,Sheet1!AA227-(SUM(AT229:BA229)+BE229),Sheet1!AA227-SUM(AT229:BA229))</f>
        <v>42.551375999999998</v>
      </c>
      <c r="U229" s="93">
        <f>Sheet1!BV227</f>
        <v>48.7</v>
      </c>
      <c r="V229" s="93">
        <f t="shared" si="54"/>
        <v>-6.1486240000000052</v>
      </c>
      <c r="W229" s="93">
        <f>0</f>
        <v>0</v>
      </c>
      <c r="X229" s="89">
        <f>0</f>
        <v>0</v>
      </c>
      <c r="Y229" s="94">
        <f ca="1">Calculation!EJ230+Calculation!ES229+'Calculations II'!O229-'Calculations II'!W229</f>
        <v>76.270243217123905</v>
      </c>
      <c r="Z229" s="94">
        <f ca="1">Y229-Sheet1!CT228</f>
        <v>59.511243217123905</v>
      </c>
      <c r="AA229" s="94">
        <f ca="1">Y229+Calculation!DJ230+Calculation!AS230</f>
        <v>100.9338621779261</v>
      </c>
      <c r="AC229" s="94">
        <f>Sheet1!AA227+Sheet1!AB227+BC229</f>
        <v>106.771232</v>
      </c>
      <c r="AD229" s="94">
        <f>Sheet1!AA227+Sheet1!BN227+'Calculations II'!BC229-Calculation!AS229-Calculation!DJ229</f>
        <v>62.368774277339334</v>
      </c>
      <c r="AE229" s="94">
        <f>Sheet1!AA227+Sheet1!AB227+'Calculations II'!BC229-Calculation!AS229-Calculation!DJ229</f>
        <v>84.518774277339332</v>
      </c>
      <c r="AF229" s="94">
        <f ca="1">Sheet1!AA227+Sheet1!BN227+P229+'Calculations II'!BC229+Calculation!AS229+Calculation!DJ229</f>
        <v>103.50825316108472</v>
      </c>
      <c r="AG229" s="94">
        <f ca="1">IF(B229=TODAY(),0,Sheet1!AA227+Sheet1!BN227+'Calculations II'!BC229+'Calculations II'!P229-Sheet1!CT227-BP229)</f>
        <v>64.448795438424057</v>
      </c>
      <c r="AH229" s="94">
        <f ca="1">IF(B229=TODAY(),0,Sheet1!AA227+Sheet1!BN227+'Calculations II'!BC229+'Calculations II'!P229-BP229)</f>
        <v>81.255795438424059</v>
      </c>
      <c r="AI229" s="94">
        <f ca="1">IF(B229=TODAY(),0,BC229+Sheet1!AA227+Calculation!ES229+O229+W229+Sheet1!BN227+Calculation!AS229+Calculation!DJ229-BP229)</f>
        <v>103.50825316108472</v>
      </c>
      <c r="AJ229" s="94"/>
      <c r="AM229" s="90">
        <f t="shared" si="55"/>
        <v>42953</v>
      </c>
      <c r="AN229" s="94">
        <f>Sheet1!BU227</f>
        <v>44.6</v>
      </c>
      <c r="AO229" s="94">
        <f>Sheet1!AA227</f>
        <v>48.66</v>
      </c>
      <c r="AP229" s="94">
        <f t="shared" si="44"/>
        <v>3.420950000000003</v>
      </c>
      <c r="AQ229" s="1087">
        <f>((Sheet1!BV227-(Sheet1!BU227-AP229))/(Sheet1!BU227-AP229))</f>
        <v>0.18264020175307608</v>
      </c>
      <c r="AR229" s="94">
        <f t="shared" si="45"/>
        <v>45.239049999999992</v>
      </c>
      <c r="AS229" s="94">
        <f t="shared" si="46"/>
        <v>41.179049999999997</v>
      </c>
      <c r="AT229" s="89">
        <f>Sheet1!BB227</f>
        <v>0.72</v>
      </c>
      <c r="AU229" s="89">
        <f>Sheet1!AS227*GPMtoMGD</f>
        <v>4.2624000000000002E-2</v>
      </c>
      <c r="AV229" s="94">
        <f>Sheet1!AT227</f>
        <v>0</v>
      </c>
      <c r="AW229" s="89">
        <f>Sheet1!AV227*GPMtoMGD</f>
        <v>1.4184000000000001</v>
      </c>
      <c r="AX229" s="89">
        <f>Sheet1!AW227*GPMtoMGD</f>
        <v>3.9276000000000004</v>
      </c>
      <c r="AY229" s="89">
        <f>Sheet1!AX227*GPMtoMGD</f>
        <v>0</v>
      </c>
      <c r="AZ229" s="89">
        <f>Sheet1!AY227*GPMtoMGD</f>
        <v>0</v>
      </c>
      <c r="BA229" s="89">
        <f>Sheet1!AZ227*GPMtoMGD</f>
        <v>0</v>
      </c>
      <c r="BB229" s="89">
        <f>Sheet1!BP227*GPMtoMGD</f>
        <v>2.4480000000000001E-3</v>
      </c>
      <c r="BC229" s="89">
        <f>Sheet1!CS227*GPMtoMGD</f>
        <v>13.961231999999999</v>
      </c>
      <c r="BD229" s="89">
        <f>Sheet1!BO227*GPMtoMGD</f>
        <v>4.4532000000000007</v>
      </c>
      <c r="BE229" s="89">
        <f>Sheet1!BW227*GPMtoMGD</f>
        <v>2.3700960000000002</v>
      </c>
      <c r="BF229" s="89">
        <f>Sheet1!CN227*GPMtoMGD</f>
        <v>4.6846079999999999</v>
      </c>
      <c r="BG229" s="89">
        <f>Sheet1!CO227*GPMtoMGD</f>
        <v>1.6984800000000002</v>
      </c>
      <c r="BH229" s="89">
        <f>Sheet1!CP227*GPMtoMGD</f>
        <v>0.87264000000000008</v>
      </c>
      <c r="BI229" s="89">
        <f t="shared" si="56"/>
        <v>4.4556480000000009</v>
      </c>
      <c r="BK229" s="94">
        <f>SUM(AT229:BA229,AS229,BC229,Calculation!AQ229)</f>
        <v>83.149695177001121</v>
      </c>
      <c r="BM229" s="358">
        <f>0</f>
        <v>0</v>
      </c>
      <c r="BN229" s="358">
        <f>0</f>
        <v>0</v>
      </c>
      <c r="BP229" s="94">
        <f>SUM(BM229:BN229,W229,Sheet1!DX227)</f>
        <v>0</v>
      </c>
      <c r="BR229" s="94">
        <f>Sheet1!AA227</f>
        <v>48.66</v>
      </c>
      <c r="BS229" s="94">
        <f>Sheet1!AB227</f>
        <v>44.15</v>
      </c>
      <c r="BT229" s="94">
        <f t="shared" ca="1" si="47"/>
        <v>-3.3654365615759323</v>
      </c>
      <c r="BU229" s="94">
        <f>Sheet1!AT227</f>
        <v>0</v>
      </c>
      <c r="BV229" s="89">
        <f>Sheet1!BB227</f>
        <v>0.72</v>
      </c>
      <c r="BW229" s="94">
        <f>Calculation!ED229</f>
        <v>21.532457722660659</v>
      </c>
      <c r="BX229" s="94">
        <f>(Sheet1!CS227*1440)/1000000</f>
        <v>13.961231999999999</v>
      </c>
      <c r="CA229" s="94">
        <f ca="1">Sheet1!AC227-Sheet1!BK227-Sheet1!BL227-Sheet1!BM227-Sheet1!BC227-Sheet1!BD227-Sheet1!BE227-Sheet1!BF227-Sheet1!BG227-Sheet1!BH227-Sheet1!BI227+BC229+P229</f>
        <v>81.775795438424055</v>
      </c>
      <c r="CB229" s="93">
        <f t="shared" si="48"/>
        <v>110.26635790304395</v>
      </c>
      <c r="CC229" s="94">
        <f t="shared" si="49"/>
        <v>0.72</v>
      </c>
      <c r="CD229" s="94">
        <f t="shared" ca="1" si="50"/>
        <v>103.30825316108471</v>
      </c>
      <c r="CE229" s="1077">
        <f t="shared" ca="1" si="51"/>
        <v>159.81786764019805</v>
      </c>
      <c r="CG229" s="1077">
        <f t="shared" ca="1" si="52"/>
        <v>81.055795438424056</v>
      </c>
    </row>
    <row r="230" spans="1:85" s="89" customFormat="1" x14ac:dyDescent="0.25">
      <c r="A230" s="616" t="s">
        <v>4</v>
      </c>
      <c r="B230" s="91">
        <v>42954</v>
      </c>
      <c r="C230" s="92">
        <v>0</v>
      </c>
      <c r="D230" s="94">
        <f>(Sheet1!BQ228-Sheet1!BQ227)*1.385</f>
        <v>-2.0359500000000033</v>
      </c>
      <c r="E230" s="30">
        <f>(Sheet1!BR228-Sheet1!BR227)*1.385</f>
        <v>-2.1051999999999995</v>
      </c>
      <c r="F230" s="30">
        <f ca="1">IF(B230=TODAY(),0,-(VLOOKUP(Sheet1!CD228,Lookup!$I$4:$J$216,2)-VLOOKUP(Sheet1!CD227,Lookup!$I$4:$J$216,2))/1000000)</f>
        <v>1.1400063240257985</v>
      </c>
      <c r="G230" s="94">
        <f ca="1">IF(B230=TODAY(),0,-$G$6*(Sheet1!CF228-Sheet1!CF227)*7.48/1000000)</f>
        <v>0</v>
      </c>
      <c r="H230" s="94">
        <f ca="1">IF(B230=TODAY(),0,-$H$6*(Sheet1!CE228-Sheet1!CE227)*7.48/1000000)</f>
        <v>4.5118297053794748E-2</v>
      </c>
      <c r="I230" s="94">
        <f ca="1">IF(B230=TODAY(),0,-$I$6*(Sheet1!CG228-Sheet1!CG227)*7.48/1000000)</f>
        <v>-8.9849760000000074E-3</v>
      </c>
      <c r="J230" s="95" t="s">
        <v>177</v>
      </c>
      <c r="K230" s="94">
        <f ca="1">IF(B230=TODAY(),0,-$K$6*(Sheet1!CH228-Sheet1!CH227)*7.48/1000000)</f>
        <v>-6.6633203744585374E-3</v>
      </c>
      <c r="L230" s="95" t="s">
        <v>177</v>
      </c>
      <c r="M230" s="94">
        <f ca="1">IF(B230=TODAY(),0,-$M$6*(Sheet1!CI228-Sheet1!CI227)*7.48/1000000)</f>
        <v>-5.3974525284081275E-2</v>
      </c>
      <c r="N230" s="94">
        <f ca="1">IF(B230=TODAY(),0,-$N$6*(Sheet1!CJ228-Sheet1!CJ227)*7.48/1000000)</f>
        <v>0.62672868848570118</v>
      </c>
      <c r="O230" s="94">
        <f t="shared" ca="1" si="53"/>
        <v>1.7422304879067543</v>
      </c>
      <c r="P230" s="94">
        <f ca="1">O230+Calculation!ES230</f>
        <v>5.7632826021861057</v>
      </c>
      <c r="Q230" s="89" t="str">
        <f>IF(Sheet1!BQ228&gt;25.75,"spill elevation","-")</f>
        <v>-</v>
      </c>
      <c r="R230" s="89" t="str">
        <f>IF(Sheet1!BQ228&gt;25.75,"spill elevation","-")</f>
        <v>-</v>
      </c>
      <c r="S230" s="89" t="str">
        <f>IF(Sheet1!BR228&gt;25.75,"spill elevation","-")</f>
        <v>-</v>
      </c>
      <c r="T230" s="93">
        <f>IF(Sheet1!DU228=1,Sheet1!AA228-(SUM(AT230:BA230)+BE230),Sheet1!AA228-SUM(AT230:BA230))</f>
        <v>36.719968000000001</v>
      </c>
      <c r="U230" s="93">
        <f>Sheet1!BV228</f>
        <v>50.2</v>
      </c>
      <c r="V230" s="93">
        <f t="shared" si="54"/>
        <v>-13.480032000000001</v>
      </c>
      <c r="W230" s="93">
        <f>0</f>
        <v>0</v>
      </c>
      <c r="X230" s="89">
        <f>0</f>
        <v>0</v>
      </c>
      <c r="Y230" s="94">
        <f ca="1">Calculation!EJ231+Calculation!ES230+'Calculations II'!O230-'Calculations II'!W230</f>
        <v>79.706116172534863</v>
      </c>
      <c r="Z230" s="94">
        <f ca="1">Y230-Sheet1!CT229</f>
        <v>62.51511617253486</v>
      </c>
      <c r="AA230" s="94">
        <f ca="1">Y230+Calculation!DJ231+Calculation!AS231</f>
        <v>106.01362299692067</v>
      </c>
      <c r="AC230" s="94">
        <f>Sheet1!AA228+Sheet1!AB228+BC230</f>
        <v>100.67654400000001</v>
      </c>
      <c r="AD230" s="94">
        <f>Sheet1!AA228+Sheet1!BN228+'Calculations II'!BC230-Calculation!AS230-Calculation!DJ230</f>
        <v>51.362925039197812</v>
      </c>
      <c r="AE230" s="94">
        <f>Sheet1!AA228+Sheet1!AB228+'Calculations II'!BC230-Calculation!AS230-Calculation!DJ230</f>
        <v>76.012925039197825</v>
      </c>
      <c r="AF230" s="94">
        <f ca="1">Sheet1!AA228+Sheet1!BN228+P230+'Calculations II'!BC230+Calculation!AS230+Calculation!DJ230</f>
        <v>106.45344556298829</v>
      </c>
      <c r="AG230" s="94">
        <f ca="1">IF(B230=TODAY(),0,Sheet1!AA228+Sheet1!BN228+'Calculations II'!BC230+'Calculations II'!P230-Sheet1!CT228-BP230)</f>
        <v>65.03082660218611</v>
      </c>
      <c r="AH230" s="94">
        <f ca="1">IF(B230=TODAY(),0,Sheet1!AA228+Sheet1!BN228+'Calculations II'!BC230+'Calculations II'!P230-BP230)</f>
        <v>81.78982660218611</v>
      </c>
      <c r="AI230" s="94">
        <f ca="1">IF(B230=TODAY(),0,BC230+Sheet1!AA228+Calculation!ES230+O230+W230+Sheet1!BN228+Calculation!AS230+Calculation!DJ230-BP230)</f>
        <v>106.45344556298829</v>
      </c>
      <c r="AJ230" s="94"/>
      <c r="AM230" s="90">
        <f t="shared" si="55"/>
        <v>42954</v>
      </c>
      <c r="AN230" s="94">
        <f>Sheet1!BU228</f>
        <v>38.6</v>
      </c>
      <c r="AO230" s="94">
        <f>Sheet1!AA228</f>
        <v>42.88</v>
      </c>
      <c r="AP230" s="94">
        <f t="shared" si="44"/>
        <v>-4.1411500000000032</v>
      </c>
      <c r="AQ230" s="1087">
        <f>((Sheet1!BV228-(Sheet1!BU228-AP230))/(Sheet1!BU228-AP230))</f>
        <v>0.17451215046857649</v>
      </c>
      <c r="AR230" s="94">
        <f t="shared" si="45"/>
        <v>47.021150000000006</v>
      </c>
      <c r="AS230" s="94">
        <f t="shared" si="46"/>
        <v>42.741150000000005</v>
      </c>
      <c r="AT230" s="89">
        <f>Sheet1!BB228</f>
        <v>0.72</v>
      </c>
      <c r="AU230" s="89">
        <f>Sheet1!AS228*GPMtoMGD</f>
        <v>3.8736E-2</v>
      </c>
      <c r="AV230" s="94">
        <f>Sheet1!AT228</f>
        <v>0</v>
      </c>
      <c r="AW230" s="89">
        <f>Sheet1!AV228*GPMtoMGD</f>
        <v>1.33128</v>
      </c>
      <c r="AX230" s="89">
        <f>Sheet1!AW228*GPMtoMGD</f>
        <v>4.0678560000000008</v>
      </c>
      <c r="AY230" s="89">
        <f>Sheet1!AX228*GPMtoMGD</f>
        <v>2.16E-3</v>
      </c>
      <c r="AZ230" s="89">
        <f>Sheet1!AY228*GPMtoMGD</f>
        <v>0</v>
      </c>
      <c r="BA230" s="89">
        <f>Sheet1!AZ228*GPMtoMGD</f>
        <v>0</v>
      </c>
      <c r="BB230" s="89">
        <f>Sheet1!BP228*GPMtoMGD</f>
        <v>2.9664000000000003E-2</v>
      </c>
      <c r="BC230" s="89">
        <f>Sheet1!CS228*GPMtoMGD</f>
        <v>13.946544000000001</v>
      </c>
      <c r="BD230" s="89">
        <f>Sheet1!BO228*GPMtoMGD</f>
        <v>4.4013600000000004</v>
      </c>
      <c r="BE230" s="89">
        <f>Sheet1!BW228*GPMtoMGD</f>
        <v>2.8208160000000002</v>
      </c>
      <c r="BF230" s="89">
        <f>Sheet1!CN228*GPMtoMGD</f>
        <v>4.5538560000000006</v>
      </c>
      <c r="BG230" s="89">
        <f>Sheet1!CO228*GPMtoMGD</f>
        <v>1.6788960000000002</v>
      </c>
      <c r="BH230" s="89">
        <f>Sheet1!CP228*GPMtoMGD</f>
        <v>0.91195199999999998</v>
      </c>
      <c r="BI230" s="89">
        <f t="shared" si="56"/>
        <v>4.4310240000000007</v>
      </c>
      <c r="BK230" s="94">
        <f>SUM(AT230:BA230,AS230,BC230,Calculation!AQ230)</f>
        <v>82.034599290793082</v>
      </c>
      <c r="BM230" s="358">
        <f>0</f>
        <v>0</v>
      </c>
      <c r="BN230" s="358">
        <f>0</f>
        <v>0</v>
      </c>
      <c r="BP230" s="94">
        <f>SUM(BM230:BN230,W230,Sheet1!DX228)</f>
        <v>0</v>
      </c>
      <c r="BR230" s="94">
        <f>Sheet1!AA228</f>
        <v>42.88</v>
      </c>
      <c r="BS230" s="94">
        <f>Sheet1!AB228</f>
        <v>43.85</v>
      </c>
      <c r="BT230" s="94">
        <f t="shared" ca="1" si="47"/>
        <v>5.7632826021861057</v>
      </c>
      <c r="BU230" s="94">
        <f>Sheet1!AT228</f>
        <v>0</v>
      </c>
      <c r="BV230" s="89">
        <f>Sheet1!BB228</f>
        <v>0.72</v>
      </c>
      <c r="BW230" s="94">
        <f>Calculation!ED230</f>
        <v>23.943618960802191</v>
      </c>
      <c r="BX230" s="94">
        <f>(Sheet1!CS228*1440)/1000000</f>
        <v>13.946543999999999</v>
      </c>
      <c r="CA230" s="94">
        <f ca="1">Sheet1!AC228-Sheet1!BK228-Sheet1!BL228-Sheet1!BM228-Sheet1!BC228-Sheet1!BD228-Sheet1!BE228-Sheet1!BF228-Sheet1!BG228-Sheet1!BH228-Sheet1!BI228+BC230+P230</f>
        <v>82.479826602186122</v>
      </c>
      <c r="CB230" s="93">
        <f t="shared" si="48"/>
        <v>97.130531467639017</v>
      </c>
      <c r="CC230" s="94">
        <f t="shared" si="49"/>
        <v>0.72</v>
      </c>
      <c r="CD230" s="94">
        <f t="shared" ca="1" si="50"/>
        <v>106.42344556298832</v>
      </c>
      <c r="CE230" s="1077">
        <f t="shared" ca="1" si="51"/>
        <v>164.63707028594291</v>
      </c>
      <c r="CG230" s="1077">
        <f t="shared" ca="1" si="52"/>
        <v>81.759826602186124</v>
      </c>
    </row>
    <row r="231" spans="1:85" s="89" customFormat="1" x14ac:dyDescent="0.25">
      <c r="A231" s="616" t="s">
        <v>5</v>
      </c>
      <c r="B231" s="91">
        <v>42955</v>
      </c>
      <c r="C231" s="92">
        <v>0</v>
      </c>
      <c r="D231" s="94">
        <f>(Sheet1!BQ229-Sheet1!BQ228)*1.385</f>
        <v>-3.6563999999999961</v>
      </c>
      <c r="E231" s="30">
        <f>(Sheet1!BR229-Sheet1!BR228)*1.385</f>
        <v>-3.6148500000000041</v>
      </c>
      <c r="F231" s="30">
        <f ca="1">IF(B231=TODAY(),0,-(VLOOKUP(Sheet1!CD229,Lookup!$I$4:$J$216,2)-VLOOKUP(Sheet1!CD228,Lookup!$I$4:$J$216,2))/1000000)</f>
        <v>-1.4509171396692004</v>
      </c>
      <c r="G231" s="94">
        <f ca="1">IF(B231=TODAY(),0,-$G$6*(Sheet1!CF229-Sheet1!CF228)*7.48/1000000)</f>
        <v>0.99283752631398237</v>
      </c>
      <c r="H231" s="94">
        <f ca="1">IF(B231=TODAY(),0,-$H$6*(Sheet1!CE229-Sheet1!CE228)*7.48/1000000)</f>
        <v>0</v>
      </c>
      <c r="I231" s="94">
        <f ca="1">IF(B231=TODAY(),0,-$I$6*(Sheet1!CG229-Sheet1!CG228)*7.48/1000000)</f>
        <v>-7.6372295999999978E-2</v>
      </c>
      <c r="J231" s="95" t="s">
        <v>177</v>
      </c>
      <c r="K231" s="94">
        <f ca="1">IF(B231=TODAY(),0,-$K$6*(Sheet1!CH229-Sheet1!CH228)*7.48/1000000)</f>
        <v>-0.13992972786362726</v>
      </c>
      <c r="L231" s="95" t="s">
        <v>177</v>
      </c>
      <c r="M231" s="94">
        <f ca="1">IF(B231=TODAY(),0,-$M$6*(Sheet1!CI229-Sheet1!CI228)*7.48/1000000)</f>
        <v>-0.30585564327645964</v>
      </c>
      <c r="N231" s="94">
        <f ca="1">IF(B231=TODAY(),0,-$N$6*(Sheet1!CJ229-Sheet1!CJ228)*7.48/1000000)</f>
        <v>-0.645344392104088</v>
      </c>
      <c r="O231" s="94">
        <f t="shared" ca="1" si="53"/>
        <v>-1.625581672599393</v>
      </c>
      <c r="P231" s="94">
        <f ca="1">O231+Calculation!ES231</f>
        <v>5.7162137249415892</v>
      </c>
      <c r="Q231" s="89" t="str">
        <f>IF(Sheet1!BQ229&gt;25.75,"spill elevation","-")</f>
        <v>-</v>
      </c>
      <c r="R231" s="89" t="str">
        <f>IF(Sheet1!BQ229&gt;25.75,"spill elevation","-")</f>
        <v>-</v>
      </c>
      <c r="S231" s="89" t="str">
        <f>IF(Sheet1!BR229&gt;25.75,"spill elevation","-")</f>
        <v>-</v>
      </c>
      <c r="T231" s="93">
        <f>IF(Sheet1!DU229=1,Sheet1!AA229-(SUM(AT231:BA231)+BE231),Sheet1!AA229-SUM(AT231:BA231))</f>
        <v>38.742000000000004</v>
      </c>
      <c r="U231" s="93">
        <f>Sheet1!BV229</f>
        <v>54.5</v>
      </c>
      <c r="V231" s="93">
        <f t="shared" si="54"/>
        <v>-15.757999999999996</v>
      </c>
      <c r="W231" s="93">
        <f>0</f>
        <v>0</v>
      </c>
      <c r="X231" s="89">
        <f>0</f>
        <v>0</v>
      </c>
      <c r="Y231" s="94">
        <f ca="1">Calculation!EJ232+Calculation!ES231+'Calculations II'!O231-'Calculations II'!W231</f>
        <v>84.533422174370614</v>
      </c>
      <c r="Z231" s="94">
        <f ca="1">Y231-Sheet1!CT230</f>
        <v>68.018422174370613</v>
      </c>
      <c r="AA231" s="94">
        <f ca="1">Y231+Calculation!DJ232+Calculation!AS232</f>
        <v>111.08667166451339</v>
      </c>
      <c r="AC231" s="94">
        <f>Sheet1!AA229+Sheet1!AB229+BC231</f>
        <v>101.31644800000001</v>
      </c>
      <c r="AD231" s="94">
        <f>Sheet1!AA229+Sheet1!BN229+'Calculations II'!BC231-Calculation!AS231-Calculation!DJ231</f>
        <v>48.738941175614194</v>
      </c>
      <c r="AE231" s="94">
        <f>Sheet1!AA229+Sheet1!AB229+'Calculations II'!BC231-Calculation!AS231-Calculation!DJ231</f>
        <v>75.008941175614211</v>
      </c>
      <c r="AF231" s="94">
        <f ca="1">Sheet1!AA229+Sheet1!BN229+P231+'Calculations II'!BC231+Calculation!AS231+Calculation!DJ231</f>
        <v>107.07016854932741</v>
      </c>
      <c r="AG231" s="94">
        <f ca="1">IF(B231=TODAY(),0,Sheet1!AA229+Sheet1!BN229+'Calculations II'!BC231+'Calculations II'!P231-Sheet1!CT229-BP231)</f>
        <v>63.571661724941578</v>
      </c>
      <c r="AH231" s="94">
        <f ca="1">IF(B231=TODAY(),0,Sheet1!AA229+Sheet1!BN229+'Calculations II'!BC231+'Calculations II'!P231-BP231)</f>
        <v>80.76266172494158</v>
      </c>
      <c r="AI231" s="94">
        <f ca="1">IF(B231=TODAY(),0,BC231+Sheet1!AA229+Calculation!ES231+O231+W231+Sheet1!BN229+Calculation!AS231+Calculation!DJ231-BP231)</f>
        <v>107.07016854932738</v>
      </c>
      <c r="AJ231" s="94"/>
      <c r="AM231" s="90">
        <f t="shared" si="55"/>
        <v>42955</v>
      </c>
      <c r="AN231" s="94">
        <f>Sheet1!BU229</f>
        <v>39.299999999999997</v>
      </c>
      <c r="AO231" s="94">
        <f>Sheet1!AA229</f>
        <v>43.53</v>
      </c>
      <c r="AP231" s="94">
        <f t="shared" si="44"/>
        <v>-7.2712500000000002</v>
      </c>
      <c r="AQ231" s="1087">
        <f>((Sheet1!BV229-(Sheet1!BU229-AP231))/(Sheet1!BU229-AP231))</f>
        <v>0.17024988592747672</v>
      </c>
      <c r="AR231" s="94">
        <f t="shared" si="45"/>
        <v>50.801250000000003</v>
      </c>
      <c r="AS231" s="94">
        <f t="shared" si="46"/>
        <v>46.571249999999999</v>
      </c>
      <c r="AT231" s="89">
        <f>Sheet1!BB229</f>
        <v>0.72</v>
      </c>
      <c r="AU231" s="89">
        <f>Sheet1!AS229*GPMtoMGD</f>
        <v>1.6704E-2</v>
      </c>
      <c r="AV231" s="94">
        <f>Sheet1!AT229</f>
        <v>0</v>
      </c>
      <c r="AW231" s="89">
        <f>Sheet1!AV229*GPMtoMGD</f>
        <v>0.12715200000000002</v>
      </c>
      <c r="AX231" s="89">
        <f>Sheet1!AW229*GPMtoMGD</f>
        <v>3.9238560000000002</v>
      </c>
      <c r="AY231" s="89">
        <f>Sheet1!AX229*GPMtoMGD</f>
        <v>2.8800000000000001E-4</v>
      </c>
      <c r="AZ231" s="89">
        <f>Sheet1!AY229*GPMtoMGD</f>
        <v>0</v>
      </c>
      <c r="BA231" s="89">
        <f>Sheet1!AZ229*GPMtoMGD</f>
        <v>0</v>
      </c>
      <c r="BB231" s="89">
        <f>Sheet1!BP229*GPMtoMGD</f>
        <v>2.16E-3</v>
      </c>
      <c r="BC231" s="89">
        <f>Sheet1!CS229*GPMtoMGD</f>
        <v>13.916448000000003</v>
      </c>
      <c r="BD231" s="89">
        <f>Sheet1!BO229*GPMtoMGD</f>
        <v>4.511088</v>
      </c>
      <c r="BE231" s="89">
        <f>Sheet1!BW229*GPMtoMGD</f>
        <v>2.1431520000000002</v>
      </c>
      <c r="BF231" s="89">
        <f>Sheet1!CN229*GPMtoMGD</f>
        <v>4.4043840000000003</v>
      </c>
      <c r="BG231" s="89">
        <f>Sheet1!CO229*GPMtoMGD</f>
        <v>1.613664</v>
      </c>
      <c r="BH231" s="89">
        <f>Sheet1!CP229*GPMtoMGD</f>
        <v>0.91353600000000001</v>
      </c>
      <c r="BI231" s="89">
        <f t="shared" si="56"/>
        <v>4.5132479999999999</v>
      </c>
      <c r="BK231" s="94">
        <f>SUM(AT231:BA231,AS231,BC231,Calculation!AQ231)</f>
        <v>82.839665242948143</v>
      </c>
      <c r="BM231" s="358">
        <f>0</f>
        <v>0</v>
      </c>
      <c r="BN231" s="358">
        <f>0</f>
        <v>0</v>
      </c>
      <c r="BP231" s="94">
        <f>SUM(BM231:BN231,W231,Sheet1!DX229)</f>
        <v>0</v>
      </c>
      <c r="BR231" s="94">
        <f>Sheet1!AA229</f>
        <v>43.53</v>
      </c>
      <c r="BS231" s="94">
        <f>Sheet1!AB229</f>
        <v>43.87</v>
      </c>
      <c r="BT231" s="94">
        <f t="shared" ca="1" si="47"/>
        <v>5.7162137249415892</v>
      </c>
      <c r="BU231" s="94">
        <f>Sheet1!AT229</f>
        <v>0</v>
      </c>
      <c r="BV231" s="89">
        <f>Sheet1!BB229</f>
        <v>0.72</v>
      </c>
      <c r="BW231" s="94">
        <f>Calculation!ED231</f>
        <v>25.587506824385805</v>
      </c>
      <c r="BX231" s="94">
        <f>(Sheet1!CS229*1440)/1000000</f>
        <v>13.916448000000003</v>
      </c>
      <c r="CA231" s="94">
        <f ca="1">Sheet1!AC229-Sheet1!BK229-Sheet1!BL229-Sheet1!BM229-Sheet1!BC229-Sheet1!BD229-Sheet1!BE229-Sheet1!BF229-Sheet1!BG229-Sheet1!BH229-Sheet1!BI229+BC231+P231</f>
        <v>81.392661724941604</v>
      </c>
      <c r="CB231" s="93">
        <f t="shared" si="48"/>
        <v>95.623926942675169</v>
      </c>
      <c r="CC231" s="94">
        <f t="shared" si="49"/>
        <v>0.72</v>
      </c>
      <c r="CD231" s="94">
        <f t="shared" ca="1" si="50"/>
        <v>106.9801685493274</v>
      </c>
      <c r="CE231" s="1077">
        <f t="shared" ca="1" si="51"/>
        <v>165.49832074580948</v>
      </c>
      <c r="CG231" s="1077">
        <f t="shared" ca="1" si="52"/>
        <v>80.672661724941605</v>
      </c>
    </row>
    <row r="232" spans="1:85" s="89" customFormat="1" x14ac:dyDescent="0.25">
      <c r="A232" s="616" t="s">
        <v>6</v>
      </c>
      <c r="B232" s="91">
        <v>42956</v>
      </c>
      <c r="C232" s="92">
        <v>0</v>
      </c>
      <c r="D232" s="94">
        <f>(Sheet1!BQ230-Sheet1!BQ229)*1.385</f>
        <v>-2.2575500000000037</v>
      </c>
      <c r="E232" s="30">
        <f>(Sheet1!BR230-Sheet1!BR229)*1.385</f>
        <v>-2.2852499999999982</v>
      </c>
      <c r="F232" s="30">
        <f ca="1">IF(B232=TODAY(),0,-(VLOOKUP(Sheet1!CD230,Lookup!$I$4:$J$216,2)-VLOOKUP(Sheet1!CD229,Lookup!$I$4:$J$216,2))/1000000)</f>
        <v>0.72545856983460488</v>
      </c>
      <c r="G232" s="94">
        <f ca="1">IF(B232=TODAY(),0,-$G$6*(Sheet1!CF230-Sheet1!CF229)*7.48/1000000)</f>
        <v>-0.99283752631398237</v>
      </c>
      <c r="H232" s="94">
        <f ca="1">IF(B232=TODAY(),0,-$H$6*(Sheet1!CE230-Sheet1!CE229)*7.48/1000000)</f>
        <v>1.5039432351265274E-2</v>
      </c>
      <c r="I232" s="94">
        <f ca="1">IF(B232=TODAY(),0,-$I$6*(Sheet1!CG230-Sheet1!CG229)*7.48/1000000)</f>
        <v>0.103327224</v>
      </c>
      <c r="J232" s="95" t="s">
        <v>177</v>
      </c>
      <c r="K232" s="94">
        <f ca="1">IF(B232=TODAY(),0,-$K$6*(Sheet1!CH230-Sheet1!CH229)*7.48/1000000)</f>
        <v>0.17990965011037802</v>
      </c>
      <c r="L232" s="95" t="s">
        <v>177</v>
      </c>
      <c r="M232" s="94">
        <f ca="1">IF(B232=TODAY(),0,-$M$6*(Sheet1!CI230-Sheet1!CI229)*7.48/1000000)</f>
        <v>0.44978771070067619</v>
      </c>
      <c r="N232" s="94">
        <f ca="1">IF(B232=TODAY(),0,-$N$6*(Sheet1!CJ230-Sheet1!CJ229)*7.48/1000000)</f>
        <v>0.69498626841978717</v>
      </c>
      <c r="O232" s="94">
        <f t="shared" ca="1" si="53"/>
        <v>1.1756713291027292</v>
      </c>
      <c r="P232" s="94">
        <f ca="1">O232+Calculation!ES232</f>
        <v>5.7424654078973987</v>
      </c>
      <c r="Q232" s="89" t="str">
        <f>IF(Sheet1!BQ230&gt;25.75,"spill elevation","-")</f>
        <v>-</v>
      </c>
      <c r="R232" s="89" t="str">
        <f>IF(Sheet1!BQ230&gt;25.75,"spill elevation","-")</f>
        <v>-</v>
      </c>
      <c r="S232" s="89" t="str">
        <f>IF(Sheet1!BR230&gt;25.75,"spill elevation","-")</f>
        <v>-</v>
      </c>
      <c r="T232" s="93">
        <f>IF(Sheet1!DU230=1,Sheet1!AA230-(SUM(AT232:BA232)+BE232),Sheet1!AA230-SUM(AT232:BA232))</f>
        <v>38.851151999999999</v>
      </c>
      <c r="U232" s="93">
        <f>Sheet1!BV230</f>
        <v>53</v>
      </c>
      <c r="V232" s="93">
        <f t="shared" si="54"/>
        <v>-14.148848000000001</v>
      </c>
      <c r="W232" s="93">
        <f>0</f>
        <v>0</v>
      </c>
      <c r="X232" s="89">
        <f>0</f>
        <v>0</v>
      </c>
      <c r="Y232" s="94">
        <f ca="1">Calculation!EJ233+Calculation!ES232+'Calculations II'!O232-'Calculations II'!W232</f>
        <v>82.897263625378301</v>
      </c>
      <c r="Z232" s="94">
        <f ca="1">Y232-Sheet1!CT231</f>
        <v>66.475263625378304</v>
      </c>
      <c r="AA232" s="94">
        <f ca="1">Y232+Calculation!DJ233+Calculation!AS233</f>
        <v>109.40120249000712</v>
      </c>
      <c r="AC232" s="94">
        <f>Sheet1!AA230+Sheet1!AB230+BC232</f>
        <v>102.540976</v>
      </c>
      <c r="AD232" s="94">
        <f>Sheet1!AA230+Sheet1!BN230+'Calculations II'!BC232-Calculation!AS232-Calculation!DJ232</f>
        <v>49.557726509857225</v>
      </c>
      <c r="AE232" s="94">
        <f>Sheet1!AA230+Sheet1!AB230+'Calculations II'!BC232-Calculation!AS232-Calculation!DJ232</f>
        <v>75.987726509857225</v>
      </c>
      <c r="AF232" s="94">
        <f ca="1">Sheet1!AA230+Sheet1!BN230+P232+'Calculations II'!BC232+Calculation!AS232+Calculation!DJ232</f>
        <v>108.40669089804018</v>
      </c>
      <c r="AG232" s="94">
        <f ca="1">IF(B232=TODAY(),0,Sheet1!AA230+Sheet1!BN230+'Calculations II'!BC232+'Calculations II'!P232-Sheet1!CT230-BP232)</f>
        <v>65.338441407897392</v>
      </c>
      <c r="AH232" s="94">
        <f ca="1">IF(B232=TODAY(),0,Sheet1!AA230+Sheet1!BN230+'Calculations II'!BC232+'Calculations II'!P232-BP232)</f>
        <v>81.853441407897392</v>
      </c>
      <c r="AI232" s="94">
        <f ca="1">IF(B232=TODAY(),0,BC232+Sheet1!AA230+Calculation!ES232+O232+W232+Sheet1!BN230+Calculation!AS232+Calculation!DJ232-BP232)</f>
        <v>108.40669089804018</v>
      </c>
      <c r="AJ232" s="94"/>
      <c r="AM232" s="90">
        <f t="shared" si="55"/>
        <v>42956</v>
      </c>
      <c r="AN232" s="94">
        <f>Sheet1!BU230</f>
        <v>40.5</v>
      </c>
      <c r="AO232" s="94">
        <f>Sheet1!AA230</f>
        <v>44.8</v>
      </c>
      <c r="AP232" s="94">
        <f t="shared" si="44"/>
        <v>-4.5428000000000015</v>
      </c>
      <c r="AQ232" s="1087">
        <f>((Sheet1!BV230-(Sheet1!BU230-AP232))/(Sheet1!BU230-AP232))</f>
        <v>0.17665864466685019</v>
      </c>
      <c r="AR232" s="94">
        <f t="shared" si="45"/>
        <v>49.342799999999997</v>
      </c>
      <c r="AS232" s="94">
        <f t="shared" si="46"/>
        <v>45.0428</v>
      </c>
      <c r="AT232" s="89">
        <f>Sheet1!BB230</f>
        <v>0.73</v>
      </c>
      <c r="AU232" s="89">
        <f>Sheet1!AS230*GPMtoMGD</f>
        <v>0</v>
      </c>
      <c r="AV232" s="94">
        <f>Sheet1!AT230</f>
        <v>0</v>
      </c>
      <c r="AW232" s="89">
        <f>Sheet1!AV230*GPMtoMGD</f>
        <v>0.96494400000000013</v>
      </c>
      <c r="AX232" s="89">
        <f>Sheet1!AW230*GPMtoMGD</f>
        <v>4.2539040000000004</v>
      </c>
      <c r="AY232" s="89">
        <f>Sheet1!AX230*GPMtoMGD</f>
        <v>0</v>
      </c>
      <c r="AZ232" s="89">
        <f>Sheet1!AY230*GPMtoMGD</f>
        <v>0</v>
      </c>
      <c r="BA232" s="89">
        <f>Sheet1!AZ230*GPMtoMGD</f>
        <v>0</v>
      </c>
      <c r="BB232" s="89">
        <f>Sheet1!BP230*GPMtoMGD</f>
        <v>2.16E-3</v>
      </c>
      <c r="BC232" s="89">
        <f>Sheet1!CS230*GPMtoMGD</f>
        <v>13.910976</v>
      </c>
      <c r="BD232" s="89">
        <f>Sheet1!BO230*GPMtoMGD</f>
        <v>3.6516960000000003</v>
      </c>
      <c r="BE232" s="89">
        <f>Sheet1!BW230*GPMtoMGD</f>
        <v>2.4952320000000001</v>
      </c>
      <c r="BF232" s="89">
        <f>Sheet1!CN230*GPMtoMGD</f>
        <v>4.7283840000000001</v>
      </c>
      <c r="BG232" s="89">
        <f>Sheet1!CO230*GPMtoMGD</f>
        <v>1.6596000000000002</v>
      </c>
      <c r="BH232" s="89">
        <f>Sheet1!CP230*GPMtoMGD</f>
        <v>0.9648000000000001</v>
      </c>
      <c r="BI232" s="89">
        <f t="shared" si="56"/>
        <v>3.6538560000000002</v>
      </c>
      <c r="BK232" s="94">
        <f>SUM(AT232:BA232,AS232,BC232,Calculation!AQ232)</f>
        <v>82.184337120326319</v>
      </c>
      <c r="BM232" s="358">
        <f>0</f>
        <v>0</v>
      </c>
      <c r="BN232" s="358">
        <f>0</f>
        <v>0</v>
      </c>
      <c r="BP232" s="94">
        <f>SUM(BM232:BN232,W232,Sheet1!DX230)</f>
        <v>0</v>
      </c>
      <c r="BR232" s="94">
        <f>Sheet1!AA230</f>
        <v>44.8</v>
      </c>
      <c r="BS232" s="94">
        <f>Sheet1!AB230</f>
        <v>43.83</v>
      </c>
      <c r="BT232" s="94">
        <f t="shared" ca="1" si="47"/>
        <v>5.7424654078973987</v>
      </c>
      <c r="BU232" s="94">
        <f>Sheet1!AT230</f>
        <v>0</v>
      </c>
      <c r="BV232" s="89">
        <f>Sheet1!BB230</f>
        <v>0.73</v>
      </c>
      <c r="BW232" s="94">
        <f>Calculation!ED232</f>
        <v>25.823249490142764</v>
      </c>
      <c r="BX232" s="94">
        <f>(Sheet1!CS230*1440)/1000000</f>
        <v>13.910976</v>
      </c>
      <c r="CA232" s="94">
        <f ca="1">Sheet1!AC230-Sheet1!BK230-Sheet1!BL230-Sheet1!BM230-Sheet1!BC230-Sheet1!BD230-Sheet1!BE230-Sheet1!BF230-Sheet1!BG230-Sheet1!BH230-Sheet1!BI230+BC232+P232</f>
        <v>82.283441407897399</v>
      </c>
      <c r="CB232" s="93">
        <f t="shared" si="48"/>
        <v>97.162043038749133</v>
      </c>
      <c r="CC232" s="94">
        <f t="shared" si="49"/>
        <v>0.73</v>
      </c>
      <c r="CD232" s="94">
        <f t="shared" ca="1" si="50"/>
        <v>108.10669089804017</v>
      </c>
      <c r="CE232" s="1077">
        <f t="shared" ca="1" si="51"/>
        <v>167.24105081926814</v>
      </c>
      <c r="CG232" s="1077">
        <f t="shared" ca="1" si="52"/>
        <v>81.553441407897395</v>
      </c>
    </row>
    <row r="233" spans="1:85" s="89" customFormat="1" x14ac:dyDescent="0.25">
      <c r="A233" s="616" t="s">
        <v>7</v>
      </c>
      <c r="B233" s="91">
        <v>42957</v>
      </c>
      <c r="C233" s="92">
        <v>0</v>
      </c>
      <c r="D233" s="94">
        <f>(Sheet1!BQ231-Sheet1!BQ230)*1.385</f>
        <v>-1.9112999999999987</v>
      </c>
      <c r="E233" s="30">
        <f>(Sheet1!BR231-Sheet1!BR230)*1.385</f>
        <v>-1.869750000000002</v>
      </c>
      <c r="F233" s="30">
        <f ca="1">IF(B233=TODAY(),0,-(VLOOKUP(Sheet1!CD231,Lookup!$I$4:$J$216,2)-VLOOKUP(Sheet1!CD230,Lookup!$I$4:$J$216,2))/1000000)</f>
        <v>-0.93273244693020729</v>
      </c>
      <c r="G233" s="94">
        <f ca="1">IF(B233=TODAY(),0,-$G$6*(Sheet1!CF231-Sheet1!CF230)*7.48/1000000)</f>
        <v>-7.9427002105119729E-2</v>
      </c>
      <c r="H233" s="94">
        <f ca="1">IF(B233=TODAY(),0,-$H$6*(Sheet1!CE231-Sheet1!CE230)*7.48/1000000)</f>
        <v>-6.0157729405058962E-3</v>
      </c>
      <c r="I233" s="94">
        <f ca="1">IF(B233=TODAY(),0,-$I$6*(Sheet1!CG231-Sheet1!CG230)*7.48/1000000)</f>
        <v>-5.8402343999999995E-2</v>
      </c>
      <c r="J233" s="95" t="s">
        <v>177</v>
      </c>
      <c r="K233" s="94">
        <f ca="1">IF(B233=TODAY(),0,-$K$6*(Sheet1!CH231-Sheet1!CH230)*7.48/1000000)</f>
        <v>-9.9949805616876636E-2</v>
      </c>
      <c r="L233" s="95" t="s">
        <v>177</v>
      </c>
      <c r="M233" s="94">
        <f ca="1">IF(B233=TODAY(),0,-$M$6*(Sheet1!CI231-Sheet1!CI230)*7.48/1000000)</f>
        <v>-0.30585564327646031</v>
      </c>
      <c r="N233" s="94">
        <f ca="1">IF(B233=TODAY(),0,-$N$6*(Sheet1!CJ231-Sheet1!CJ230)*7.48/1000000)</f>
        <v>-0.64534439210408912</v>
      </c>
      <c r="O233" s="94">
        <f t="shared" ca="1" si="53"/>
        <v>-2.1277274069732588</v>
      </c>
      <c r="P233" s="94">
        <f ca="1">O233+Calculation!ES233</f>
        <v>1.6061086292413389</v>
      </c>
      <c r="Q233" s="89" t="str">
        <f>IF(Sheet1!BQ231&gt;25.75,"spill elevation","-")</f>
        <v>-</v>
      </c>
      <c r="R233" s="89" t="str">
        <f>IF(Sheet1!BQ231&gt;25.75,"spill elevation","-")</f>
        <v>-</v>
      </c>
      <c r="S233" s="89" t="str">
        <f>IF(Sheet1!BR231&gt;25.75,"spill elevation","-")</f>
        <v>-</v>
      </c>
      <c r="T233" s="93">
        <f>IF(Sheet1!DU231=1,Sheet1!AA231-(SUM(AT233:BA233)+BE233),Sheet1!AA231-SUM(AT233:BA233))</f>
        <v>38.652576000000003</v>
      </c>
      <c r="U233" s="93">
        <f>Sheet1!BV231</f>
        <v>51.7</v>
      </c>
      <c r="V233" s="93">
        <f t="shared" si="54"/>
        <v>-13.047423999999999</v>
      </c>
      <c r="W233" s="93">
        <f>0</f>
        <v>0</v>
      </c>
      <c r="X233" s="89">
        <f>0</f>
        <v>0</v>
      </c>
      <c r="Y233" s="94">
        <f ca="1">Calculation!EJ234+Calculation!ES233+'Calculations II'!O233-'Calculations II'!W233</f>
        <v>88.75733978967628</v>
      </c>
      <c r="Z233" s="94">
        <f ca="1">Y233-Sheet1!CT232</f>
        <v>72.467339789676288</v>
      </c>
      <c r="AA233" s="94">
        <f ca="1">Y233+Calculation!DJ234+Calculation!AS234</f>
        <v>114.81215452990988</v>
      </c>
      <c r="AC233" s="94">
        <f>Sheet1!AA231+Sheet1!AB231+BC233</f>
        <v>104.23636800000001</v>
      </c>
      <c r="AD233" s="94">
        <f>Sheet1!AA231+Sheet1!BN231+'Calculations II'!BC233-Calculation!AS233-Calculation!DJ233</f>
        <v>51.302429135371185</v>
      </c>
      <c r="AE233" s="94">
        <f>Sheet1!AA231+Sheet1!AB231+'Calculations II'!BC233-Calculation!AS233-Calculation!DJ233</f>
        <v>77.732429135371191</v>
      </c>
      <c r="AF233" s="94">
        <f ca="1">Sheet1!AA231+Sheet1!BN231+P233+'Calculations II'!BC233+Calculation!AS233+Calculation!DJ233</f>
        <v>105.91641549387016</v>
      </c>
      <c r="AG233" s="94">
        <f ca="1">IF(B233=TODAY(),0,Sheet1!AA231+Sheet1!BN231+'Calculations II'!BC233+'Calculations II'!P233-Sheet1!CT231-BP233)</f>
        <v>62.990476629241343</v>
      </c>
      <c r="AH233" s="94">
        <f ca="1">IF(B233=TODAY(),0,Sheet1!AA231+Sheet1!BN231+'Calculations II'!BC233+'Calculations II'!P233-BP233)</f>
        <v>79.41247662924134</v>
      </c>
      <c r="AI233" s="94">
        <f ca="1">IF(B233=TODAY(),0,BC233+Sheet1!AA231+Calculation!ES233+O233+W233+Sheet1!BN231+Calculation!AS233+Calculation!DJ233-BP233)</f>
        <v>105.91641549387016</v>
      </c>
      <c r="AJ233" s="94"/>
      <c r="AM233" s="90">
        <f t="shared" si="55"/>
        <v>42957</v>
      </c>
      <c r="AN233" s="94">
        <f>Sheet1!BU231</f>
        <v>40.200000000000003</v>
      </c>
      <c r="AO233" s="94">
        <f>Sheet1!AA231</f>
        <v>44.7</v>
      </c>
      <c r="AP233" s="94">
        <f t="shared" si="44"/>
        <v>-3.7810500000000005</v>
      </c>
      <c r="AQ233" s="1087">
        <f>((Sheet1!BV231-(Sheet1!BU231-AP233))/(Sheet1!BU231-AP233))</f>
        <v>0.17550626917729337</v>
      </c>
      <c r="AR233" s="94">
        <f t="shared" si="45"/>
        <v>48.481050000000003</v>
      </c>
      <c r="AS233" s="94">
        <f t="shared" si="46"/>
        <v>43.981050000000003</v>
      </c>
      <c r="AT233" s="89">
        <f>Sheet1!BB231</f>
        <v>0.72</v>
      </c>
      <c r="AU233" s="89">
        <f>Sheet1!AS231*GPMtoMGD</f>
        <v>2.1888000000000001E-2</v>
      </c>
      <c r="AV233" s="94">
        <f>Sheet1!AT231</f>
        <v>0</v>
      </c>
      <c r="AW233" s="89">
        <f>Sheet1!AV231*GPMtoMGD</f>
        <v>0.73670400000000003</v>
      </c>
      <c r="AX233" s="89">
        <f>Sheet1!AW231*GPMtoMGD</f>
        <v>4.5675360000000005</v>
      </c>
      <c r="AY233" s="89">
        <f>Sheet1!AX231*GPMtoMGD</f>
        <v>1.2960000000000001E-3</v>
      </c>
      <c r="AZ233" s="89">
        <f>Sheet1!AY231*GPMtoMGD</f>
        <v>0</v>
      </c>
      <c r="BA233" s="89">
        <f>Sheet1!AZ231*GPMtoMGD</f>
        <v>0</v>
      </c>
      <c r="BB233" s="89">
        <f>Sheet1!BP231*GPMtoMGD</f>
        <v>2.016E-3</v>
      </c>
      <c r="BC233" s="89">
        <f>Sheet1!CS231*GPMtoMGD</f>
        <v>13.906368000000002</v>
      </c>
      <c r="BD233" s="89">
        <f>Sheet1!BO231*GPMtoMGD</f>
        <v>4.3246080000000005</v>
      </c>
      <c r="BE233" s="89">
        <f>Sheet1!BW231*GPMtoMGD</f>
        <v>2.3464800000000001</v>
      </c>
      <c r="BF233" s="89">
        <f>Sheet1!CN231*GPMtoMGD</f>
        <v>4.4193600000000002</v>
      </c>
      <c r="BG233" s="89">
        <f>Sheet1!CO231*GPMtoMGD</f>
        <v>1.6044480000000001</v>
      </c>
      <c r="BH233" s="89">
        <f>Sheet1!CP231*GPMtoMGD</f>
        <v>0.92822400000000005</v>
      </c>
      <c r="BI233" s="89">
        <f t="shared" si="56"/>
        <v>4.3266240000000007</v>
      </c>
      <c r="BK233" s="94">
        <f>SUM(AT233:BA233,AS233,BC233,Calculation!AQ233)</f>
        <v>83.06357562445416</v>
      </c>
      <c r="BM233" s="358">
        <f>0</f>
        <v>0</v>
      </c>
      <c r="BN233" s="358">
        <f>0</f>
        <v>0</v>
      </c>
      <c r="BP233" s="94">
        <f>SUM(BM233:BN233,W233,Sheet1!DX231)</f>
        <v>0</v>
      </c>
      <c r="BR233" s="94">
        <f>Sheet1!AA231</f>
        <v>44.7</v>
      </c>
      <c r="BS233" s="94">
        <f>Sheet1!AB231</f>
        <v>45.63</v>
      </c>
      <c r="BT233" s="94">
        <f t="shared" ca="1" si="47"/>
        <v>1.6061086292413389</v>
      </c>
      <c r="BU233" s="94">
        <f>Sheet1!AT231</f>
        <v>0</v>
      </c>
      <c r="BV233" s="89">
        <f>Sheet1!BB231</f>
        <v>0.72</v>
      </c>
      <c r="BW233" s="94">
        <f>Calculation!ED233</f>
        <v>25.783938864628823</v>
      </c>
      <c r="BX233" s="94">
        <f>(Sheet1!CS231*1440)/1000000</f>
        <v>13.906368000000002</v>
      </c>
      <c r="CA233" s="94">
        <f ca="1">Sheet1!AC231-Sheet1!BK231-Sheet1!BL231-Sheet1!BM231-Sheet1!BC231-Sheet1!BD231-Sheet1!BE231-Sheet1!BF231-Sheet1!BG231-Sheet1!BH231-Sheet1!BI231+BC233+P233</f>
        <v>79.962476629241351</v>
      </c>
      <c r="CB233" s="93">
        <f t="shared" si="48"/>
        <v>99.852756576419225</v>
      </c>
      <c r="CC233" s="94">
        <f t="shared" si="49"/>
        <v>0.72</v>
      </c>
      <c r="CD233" s="94">
        <f t="shared" ca="1" si="50"/>
        <v>105.74641549387017</v>
      </c>
      <c r="CE233" s="1077">
        <f t="shared" ca="1" si="51"/>
        <v>163.58970476901715</v>
      </c>
      <c r="CG233" s="1077">
        <f t="shared" ca="1" si="52"/>
        <v>79.242476629241352</v>
      </c>
    </row>
    <row r="234" spans="1:85" s="89" customFormat="1" x14ac:dyDescent="0.25">
      <c r="A234" s="616" t="s">
        <v>8</v>
      </c>
      <c r="B234" s="91">
        <v>42958</v>
      </c>
      <c r="C234" s="92">
        <v>0</v>
      </c>
      <c r="D234" s="94">
        <f>(Sheet1!BQ232-Sheet1!BQ231)*1.385</f>
        <v>4.8613500000000025</v>
      </c>
      <c r="E234" s="30">
        <f>(Sheet1!BR232-Sheet1!BR231)*1.385</f>
        <v>4.8475000000000001</v>
      </c>
      <c r="F234" s="30">
        <f ca="1">IF(B234=TODAY(),0,-(VLOOKUP(Sheet1!CD232,Lookup!$I$4:$J$216,2)-VLOOKUP(Sheet1!CD231,Lookup!$I$4:$J$216,2))/1000000)</f>
        <v>0.93273244693020729</v>
      </c>
      <c r="G234" s="94">
        <f ca="1">IF(B234=TODAY(),0,-$G$6*(Sheet1!CF232-Sheet1!CF231)*7.48/1000000)</f>
        <v>0.43684851157815285</v>
      </c>
      <c r="H234" s="94">
        <f ca="1">IF(B234=TODAY(),0,-$H$6*(Sheet1!CE232-Sheet1!CE231)*7.48/1000000)</f>
        <v>-2.4063091762023585E-2</v>
      </c>
      <c r="I234" s="94">
        <f ca="1">IF(B234=TODAY(),0,-$I$6*(Sheet1!CG232-Sheet1!CG231)*7.48/1000000)</f>
        <v>4.4924879999999837E-3</v>
      </c>
      <c r="J234" s="95" t="s">
        <v>177</v>
      </c>
      <c r="K234" s="94">
        <f ca="1">IF(B234=TODAY(),0,-$K$6*(Sheet1!CH232-Sheet1!CH231)*7.48/1000000)</f>
        <v>1.0661312599133518E-2</v>
      </c>
      <c r="L234" s="95" t="s">
        <v>177</v>
      </c>
      <c r="M234" s="94">
        <f ca="1">IF(B234=TODAY(),0,-$M$6*(Sheet1!CI232-Sheet1!CI231)*7.48/1000000)</f>
        <v>5.3974525284081275E-2</v>
      </c>
      <c r="N234" s="94">
        <f ca="1">IF(B234=TODAY(),0,-$N$6*(Sheet1!CJ232-Sheet1!CJ231)*7.48/1000000)</f>
        <v>8.6873283552473798E-2</v>
      </c>
      <c r="O234" s="94">
        <f t="shared" ca="1" si="53"/>
        <v>1.5015194761820252</v>
      </c>
      <c r="P234" s="94">
        <f ca="1">O234+Calculation!ES234</f>
        <v>-8.1836700408693552</v>
      </c>
      <c r="Q234" s="89" t="str">
        <f>IF(Sheet1!BQ232&gt;25.75,"spill elevation","-")</f>
        <v>-</v>
      </c>
      <c r="R234" s="89" t="str">
        <f>IF(Sheet1!BQ232&gt;25.75,"spill elevation","-")</f>
        <v>-</v>
      </c>
      <c r="S234" s="89" t="str">
        <f>IF(Sheet1!BR232&gt;25.75,"spill elevation","-")</f>
        <v>-</v>
      </c>
      <c r="T234" s="93">
        <f>IF(Sheet1!DU232=1,Sheet1!AA232-(SUM(AT234:BA234)+BE234),Sheet1!AA232-SUM(AT234:BA234))</f>
        <v>42.011152000000003</v>
      </c>
      <c r="U234" s="93">
        <f>Sheet1!BV232</f>
        <v>40.1</v>
      </c>
      <c r="V234" s="93">
        <f t="shared" si="54"/>
        <v>1.9111520000000013</v>
      </c>
      <c r="W234" s="93">
        <f>0</f>
        <v>0</v>
      </c>
      <c r="X234" s="89">
        <f>0</f>
        <v>0</v>
      </c>
      <c r="Y234" s="94">
        <f ca="1">Calculation!EJ235+Calculation!ES234+'Calculations II'!O234-'Calculations II'!W234</f>
        <v>83.435589446874729</v>
      </c>
      <c r="Z234" s="94">
        <f ca="1">Y234-Sheet1!CT233</f>
        <v>66.862589446874722</v>
      </c>
      <c r="AA234" s="94">
        <f ca="1">Y234+Calculation!DJ235+Calculation!AS235</f>
        <v>108.85261764644089</v>
      </c>
      <c r="AC234" s="94">
        <f>Sheet1!AA232+Sheet1!AB232+BC234</f>
        <v>110.51561600000001</v>
      </c>
      <c r="AD234" s="94">
        <f>Sheet1!AA232+Sheet1!BN232+'Calculations II'!BC234-Calculation!AS234-Calculation!DJ234</f>
        <v>58.410801259766401</v>
      </c>
      <c r="AE234" s="94">
        <f>Sheet1!AA232+Sheet1!AB232+'Calculations II'!BC234-Calculation!AS234-Calculation!DJ234</f>
        <v>84.460801259766413</v>
      </c>
      <c r="AF234" s="94">
        <f ca="1">Sheet1!AA232+Sheet1!BN232+P234+'Calculations II'!BC234+Calculation!AS234+Calculation!DJ234</f>
        <v>102.33676069936423</v>
      </c>
      <c r="AG234" s="94">
        <f ca="1">IF(B234=TODAY(),0,Sheet1!AA232+Sheet1!BN232+'Calculations II'!BC234+'Calculations II'!P234-Sheet1!CT232-BP234)</f>
        <v>59.991945959130639</v>
      </c>
      <c r="AH234" s="94">
        <f ca="1">IF(B234=TODAY(),0,Sheet1!AA232+Sheet1!BN232+'Calculations II'!BC234+'Calculations II'!P234-BP234)</f>
        <v>76.281945959130638</v>
      </c>
      <c r="AI234" s="94">
        <f ca="1">IF(B234=TODAY(),0,BC234+Sheet1!AA232+Calculation!ES234+O234+W234+Sheet1!BN232+Calculation!AS234+Calculation!DJ234-BP234)</f>
        <v>102.33676069936423</v>
      </c>
      <c r="AJ234" s="94"/>
      <c r="AM234" s="90">
        <f t="shared" si="55"/>
        <v>42958</v>
      </c>
      <c r="AN234" s="94">
        <f>Sheet1!BU232</f>
        <v>43.2</v>
      </c>
      <c r="AO234" s="94">
        <f>Sheet1!AA232</f>
        <v>47</v>
      </c>
      <c r="AP234" s="94">
        <f t="shared" si="44"/>
        <v>9.7088500000000018</v>
      </c>
      <c r="AQ234" s="1087">
        <f>((Sheet1!BV232-(Sheet1!BU232-AP234))/(Sheet1!BU232-AP234))</f>
        <v>0.19733123526663002</v>
      </c>
      <c r="AR234" s="94">
        <f t="shared" si="45"/>
        <v>37.291150000000002</v>
      </c>
      <c r="AS234" s="94">
        <f t="shared" si="46"/>
        <v>33.491150000000005</v>
      </c>
      <c r="AT234" s="89">
        <f>Sheet1!BB232</f>
        <v>0.31</v>
      </c>
      <c r="AU234" s="89">
        <f>Sheet1!AS232*GPMtoMGD</f>
        <v>3.9168000000000001E-2</v>
      </c>
      <c r="AV234" s="94">
        <f>Sheet1!AT232</f>
        <v>0</v>
      </c>
      <c r="AW234" s="89">
        <f>Sheet1!AV232*GPMtoMGD</f>
        <v>1.616112</v>
      </c>
      <c r="AX234" s="89">
        <f>Sheet1!AW232*GPMtoMGD</f>
        <v>3.0192479999999997</v>
      </c>
      <c r="AY234" s="89">
        <f>Sheet1!AX232*GPMtoMGD</f>
        <v>4.3200000000000001E-3</v>
      </c>
      <c r="AZ234" s="89">
        <f>Sheet1!AY232*GPMtoMGD</f>
        <v>0</v>
      </c>
      <c r="BA234" s="89">
        <f>Sheet1!AZ232*GPMtoMGD</f>
        <v>0</v>
      </c>
      <c r="BB234" s="89">
        <f>Sheet1!BP232*GPMtoMGD</f>
        <v>2.4480000000000001E-3</v>
      </c>
      <c r="BC234" s="89">
        <f>Sheet1!CS232*GPMtoMGD</f>
        <v>13.865616000000001</v>
      </c>
      <c r="BD234" s="89">
        <f>Sheet1!BO232*GPMtoMGD</f>
        <v>3.7425600000000001</v>
      </c>
      <c r="BE234" s="89">
        <f>Sheet1!BW232*GPMtoMGD</f>
        <v>2.2652640000000002</v>
      </c>
      <c r="BF234" s="89">
        <f>Sheet1!CN232*GPMtoMGD</f>
        <v>4.1374079999999998</v>
      </c>
      <c r="BG234" s="89">
        <f>Sheet1!CO232*GPMtoMGD</f>
        <v>1.5618239999999999</v>
      </c>
      <c r="BH234" s="89">
        <f>Sheet1!CP232*GPMtoMGD</f>
        <v>0.93945600000000007</v>
      </c>
      <c r="BI234" s="89">
        <f t="shared" si="56"/>
        <v>3.7450079999999999</v>
      </c>
      <c r="BK234" s="94">
        <f>SUM(AT234:BA234,AS234,BC234,Calculation!AQ234)</f>
        <v>75.940861684252923</v>
      </c>
      <c r="BM234" s="358">
        <f>0</f>
        <v>0</v>
      </c>
      <c r="BN234" s="358">
        <f>0</f>
        <v>0</v>
      </c>
      <c r="BP234" s="94">
        <f>SUM(BM234:BN234,W234,Sheet1!DX232)</f>
        <v>0</v>
      </c>
      <c r="BR234" s="94">
        <f>Sheet1!AA232</f>
        <v>47</v>
      </c>
      <c r="BS234" s="94">
        <f>Sheet1!AB232</f>
        <v>49.65</v>
      </c>
      <c r="BT234" s="94">
        <f t="shared" ca="1" si="47"/>
        <v>-8.1836700408693552</v>
      </c>
      <c r="BU234" s="94">
        <f>Sheet1!AT232</f>
        <v>0</v>
      </c>
      <c r="BV234" s="89">
        <f>Sheet1!BB232</f>
        <v>0.31</v>
      </c>
      <c r="BW234" s="94">
        <f>Calculation!ED234</f>
        <v>25.744814740233586</v>
      </c>
      <c r="BX234" s="94">
        <f>(Sheet1!CS232*1440)/1000000</f>
        <v>13.865615999999999</v>
      </c>
      <c r="CA234" s="94">
        <f ca="1">Sheet1!AC232-Sheet1!BK232-Sheet1!BL232-Sheet1!BM232-Sheet1!BC232-Sheet1!BD232-Sheet1!BE232-Sheet1!BF232-Sheet1!BG232-Sheet1!BH232-Sheet1!BI232+BC234+P234</f>
        <v>76.581945959130664</v>
      </c>
      <c r="CB234" s="93">
        <f t="shared" si="48"/>
        <v>109.69032159685865</v>
      </c>
      <c r="CC234" s="94">
        <f t="shared" si="49"/>
        <v>0.31</v>
      </c>
      <c r="CD234" s="94">
        <f t="shared" ca="1" si="50"/>
        <v>102.32676069936426</v>
      </c>
      <c r="CE234" s="1077">
        <f t="shared" ca="1" si="51"/>
        <v>158.29949880191649</v>
      </c>
      <c r="CG234" s="1077">
        <f t="shared" ca="1" si="52"/>
        <v>76.271945959130662</v>
      </c>
    </row>
    <row r="235" spans="1:85" s="89" customFormat="1" x14ac:dyDescent="0.25">
      <c r="A235" s="616" t="s">
        <v>9</v>
      </c>
      <c r="B235" s="91">
        <v>42959</v>
      </c>
      <c r="C235" s="92">
        <v>0</v>
      </c>
      <c r="D235" s="94">
        <f>(Sheet1!BQ233-Sheet1!BQ232)*1.385</f>
        <v>3.8364499999999992</v>
      </c>
      <c r="E235" s="30">
        <f>(Sheet1!BR233-Sheet1!BR232)*1.385</f>
        <v>3.8503000000000016</v>
      </c>
      <c r="F235" s="30">
        <f ca="1">IF(B235=TODAY(),0,-(VLOOKUP(Sheet1!CD233,Lookup!$I$4:$J$216,2)-VLOOKUP(Sheet1!CD232,Lookup!$I$4:$J$216,2))/1000000)</f>
        <v>0.10363693854779936</v>
      </c>
      <c r="G235" s="94">
        <f ca="1">IF(B235=TODAY(),0,-$G$6*(Sheet1!CF233-Sheet1!CF232)*7.48/1000000)</f>
        <v>-0.11914050315767817</v>
      </c>
      <c r="H235" s="94">
        <f ca="1">IF(B235=TODAY(),0,-$H$6*(Sheet1!CE233-Sheet1!CE232)*7.48/1000000)</f>
        <v>0</v>
      </c>
      <c r="I235" s="94">
        <f ca="1">IF(B235=TODAY(),0,-$I$6*(Sheet1!CG233-Sheet1!CG232)*7.48/1000000)</f>
        <v>-1.3477464000000033E-2</v>
      </c>
      <c r="J235" s="95" t="s">
        <v>177</v>
      </c>
      <c r="K235" s="94">
        <f ca="1">IF(B235=TODAY(),0,-$K$6*(Sheet1!CH233-Sheet1!CH232)*7.48/1000000)</f>
        <v>-3.0651273722508889E-2</v>
      </c>
      <c r="L235" s="95" t="s">
        <v>177</v>
      </c>
      <c r="M235" s="94">
        <f ca="1">IF(B235=TODAY(),0,-$M$6*(Sheet1!CI233-Sheet1!CI232)*7.48/1000000)</f>
        <v>-7.1966033712107941E-2</v>
      </c>
      <c r="N235" s="94">
        <f ca="1">IF(B235=TODAY(),0,-$N$6*(Sheet1!CJ233-Sheet1!CJ232)*7.48/1000000)</f>
        <v>0.29164602335473272</v>
      </c>
      <c r="O235" s="94">
        <f t="shared" ca="1" si="53"/>
        <v>0.16004768731023705</v>
      </c>
      <c r="P235" s="94">
        <f ca="1">O235+Calculation!ES235</f>
        <v>-7.5994069736112024</v>
      </c>
      <c r="Q235" s="89" t="str">
        <f>IF(Sheet1!BQ233&gt;25.75,"spill elevation","-")</f>
        <v>-</v>
      </c>
      <c r="R235" s="89" t="str">
        <f>IF(Sheet1!BQ233&gt;25.75,"spill elevation","-")</f>
        <v>-</v>
      </c>
      <c r="S235" s="89" t="str">
        <f>IF(Sheet1!BR233&gt;25.75,"spill elevation","-")</f>
        <v>-</v>
      </c>
      <c r="T235" s="93">
        <f>IF(Sheet1!DU233=1,Sheet1!AA233-(SUM(AT235:BA235)+BE235),Sheet1!AA233-SUM(AT235:BA235))</f>
        <v>29.627136</v>
      </c>
      <c r="U235" s="93">
        <f>Sheet1!BV233</f>
        <v>40.5</v>
      </c>
      <c r="V235" s="93">
        <f t="shared" si="54"/>
        <v>-10.872864</v>
      </c>
      <c r="W235" s="93">
        <f>0</f>
        <v>0</v>
      </c>
      <c r="X235" s="89">
        <f>0</f>
        <v>0</v>
      </c>
      <c r="Y235" s="94">
        <f ca="1">Calculation!EJ236+Calculation!ES235+'Calculations II'!O235-'Calculations II'!W235</f>
        <v>63.086219670770966</v>
      </c>
      <c r="Z235" s="94">
        <f ca="1">Y235-Sheet1!CT234</f>
        <v>46.337219670770963</v>
      </c>
      <c r="AA235" s="94">
        <f ca="1">Y235+Calculation!DJ236+Calculation!AS236</f>
        <v>87.356260687998201</v>
      </c>
      <c r="AC235" s="94">
        <f>Sheet1!AA233+Sheet1!AB233+BC235</f>
        <v>104.803376</v>
      </c>
      <c r="AD235" s="94">
        <f>Sheet1!AA233+Sheet1!BN233+'Calculations II'!BC235-Calculation!AS235-Calculation!DJ235</f>
        <v>54.03634780043383</v>
      </c>
      <c r="AE235" s="94">
        <f>Sheet1!AA233+Sheet1!AB233+'Calculations II'!BC235-Calculation!AS235-Calculation!DJ235</f>
        <v>79.386347800433839</v>
      </c>
      <c r="AF235" s="94">
        <f ca="1">Sheet1!AA233+Sheet1!BN233+P235+'Calculations II'!BC235+Calculation!AS235+Calculation!DJ235</f>
        <v>97.270997225954957</v>
      </c>
      <c r="AG235" s="94">
        <f ca="1">IF(B235=TODAY(),0,Sheet1!AA233+Sheet1!BN233+'Calculations II'!BC235+'Calculations II'!P235-Sheet1!CT233-BP235)</f>
        <v>55.280969026388796</v>
      </c>
      <c r="AH235" s="94">
        <f ca="1">IF(B235=TODAY(),0,Sheet1!AA233+Sheet1!BN233+'Calculations II'!BC235+'Calculations II'!P235-BP235)</f>
        <v>71.853969026388796</v>
      </c>
      <c r="AI235" s="94">
        <f ca="1">IF(B235=TODAY(),0,BC235+Sheet1!AA233+Calculation!ES235+O235+W235+Sheet1!BN233+Calculation!AS235+Calculation!DJ235-BP235)</f>
        <v>97.270997225954957</v>
      </c>
      <c r="AJ235" s="94"/>
      <c r="AM235" s="90">
        <f t="shared" si="55"/>
        <v>42959</v>
      </c>
      <c r="AN235" s="94">
        <f>Sheet1!BU233</f>
        <v>41.7</v>
      </c>
      <c r="AO235" s="94">
        <f>Sheet1!AA233</f>
        <v>45</v>
      </c>
      <c r="AP235" s="94">
        <f t="shared" si="44"/>
        <v>7.6867500000000009</v>
      </c>
      <c r="AQ235" s="1087">
        <f>((Sheet1!BV233-(Sheet1!BU233-AP235))/(Sheet1!BU233-AP235))</f>
        <v>0.19071244294502879</v>
      </c>
      <c r="AR235" s="94">
        <f t="shared" si="45"/>
        <v>37.313249999999996</v>
      </c>
      <c r="AS235" s="94">
        <f t="shared" si="46"/>
        <v>34.013249999999999</v>
      </c>
      <c r="AT235" s="89">
        <f>Sheet1!BB233</f>
        <v>0</v>
      </c>
      <c r="AU235" s="89">
        <f>Sheet1!AS233*GPMtoMGD</f>
        <v>5.9040000000000002E-2</v>
      </c>
      <c r="AV235" s="94">
        <f>Sheet1!AT233</f>
        <v>0</v>
      </c>
      <c r="AW235" s="89">
        <f>Sheet1!AV233*GPMtoMGD</f>
        <v>12.903840000000001</v>
      </c>
      <c r="AX235" s="89">
        <f>Sheet1!AW233*GPMtoMGD</f>
        <v>2.4099840000000001</v>
      </c>
      <c r="AY235" s="89">
        <f>Sheet1!AX233*GPMtoMGD</f>
        <v>0</v>
      </c>
      <c r="AZ235" s="89">
        <f>Sheet1!AY233*GPMtoMGD</f>
        <v>0</v>
      </c>
      <c r="BA235" s="89">
        <f>Sheet1!AZ233*GPMtoMGD</f>
        <v>0</v>
      </c>
      <c r="BB235" s="89">
        <f>Sheet1!BP233*GPMtoMGD</f>
        <v>2.3040000000000001E-3</v>
      </c>
      <c r="BC235" s="89">
        <f>Sheet1!CS233*GPMtoMGD</f>
        <v>13.853376000000001</v>
      </c>
      <c r="BD235" s="89">
        <f>Sheet1!BO233*GPMtoMGD</f>
        <v>3.9509279999999998</v>
      </c>
      <c r="BE235" s="89">
        <f>Sheet1!BW233*GPMtoMGD</f>
        <v>2.1359520000000001</v>
      </c>
      <c r="BF235" s="89">
        <f>Sheet1!CN233*GPMtoMGD</f>
        <v>3.8125439999999999</v>
      </c>
      <c r="BG235" s="89">
        <f>Sheet1!CO233*GPMtoMGD</f>
        <v>1.52136</v>
      </c>
      <c r="BH235" s="89">
        <f>Sheet1!CP233*GPMtoMGD</f>
        <v>0.85896000000000006</v>
      </c>
      <c r="BI235" s="89">
        <f t="shared" si="56"/>
        <v>3.9532319999999999</v>
      </c>
      <c r="BK235" s="94">
        <f>SUM(AT235:BA235,AS235,BC235,Calculation!AQ235)</f>
        <v>83.772461800433845</v>
      </c>
      <c r="BM235" s="358">
        <f>0</f>
        <v>0</v>
      </c>
      <c r="BN235" s="358">
        <f>0</f>
        <v>0</v>
      </c>
      <c r="BP235" s="94">
        <f>SUM(BM235:BN235,W235,Sheet1!DX233)</f>
        <v>0</v>
      </c>
      <c r="BR235" s="94">
        <f>Sheet1!AA233</f>
        <v>45</v>
      </c>
      <c r="BS235" s="94">
        <f>Sheet1!AB233</f>
        <v>45.95</v>
      </c>
      <c r="BT235" s="94">
        <f t="shared" ca="1" si="47"/>
        <v>-7.5994069736112024</v>
      </c>
      <c r="BU235" s="94">
        <f>Sheet1!AT233</f>
        <v>0</v>
      </c>
      <c r="BV235" s="89">
        <f>Sheet1!BB233</f>
        <v>0</v>
      </c>
      <c r="BW235" s="94">
        <f>Calculation!ED235</f>
        <v>25.417028199566161</v>
      </c>
      <c r="BX235" s="94">
        <f>(Sheet1!CS233*1440)/1000000</f>
        <v>13.853376000000001</v>
      </c>
      <c r="CA235" s="94">
        <f ca="1">Sheet1!AC233-Sheet1!BK233-Sheet1!BL233-Sheet1!BM233-Sheet1!BC233-Sheet1!BD233-Sheet1!BE233-Sheet1!BF233-Sheet1!BG233-Sheet1!BH233-Sheet1!BI233+BC235+P235</f>
        <v>71.703969026388791</v>
      </c>
      <c r="CB235" s="93">
        <f t="shared" si="48"/>
        <v>101.37950737527115</v>
      </c>
      <c r="CC235" s="94">
        <f t="shared" si="49"/>
        <v>0</v>
      </c>
      <c r="CD235" s="94">
        <f t="shared" ca="1" si="50"/>
        <v>97.120997225954952</v>
      </c>
      <c r="CE235" s="1077">
        <f t="shared" ca="1" si="51"/>
        <v>150.24618270855231</v>
      </c>
      <c r="CG235" s="1077">
        <f t="shared" ca="1" si="52"/>
        <v>71.703969026388791</v>
      </c>
    </row>
    <row r="236" spans="1:85" s="89" customFormat="1" x14ac:dyDescent="0.25">
      <c r="A236" s="616" t="s">
        <v>3</v>
      </c>
      <c r="B236" s="91">
        <v>42960</v>
      </c>
      <c r="C236" s="92">
        <v>0</v>
      </c>
      <c r="D236" s="94">
        <f>(Sheet1!BQ234-Sheet1!BQ233)*1.385</f>
        <v>1.4265499999999967</v>
      </c>
      <c r="E236" s="30">
        <f>(Sheet1!BR234-Sheet1!BR233)*1.385</f>
        <v>1.4126999999999994</v>
      </c>
      <c r="F236" s="30">
        <f ca="1">IF(B236=TODAY(),0,-(VLOOKUP(Sheet1!CD234,Lookup!$I$4:$J$216,2)-VLOOKUP(Sheet1!CD233,Lookup!$I$4:$J$216,2))/1000000)</f>
        <v>-0.41454775419120304</v>
      </c>
      <c r="G236" s="94">
        <f ca="1">IF(B236=TODAY(),0,-$G$6*(Sheet1!CF234-Sheet1!CF233)*7.48/1000000)</f>
        <v>0.48450471284122437</v>
      </c>
      <c r="H236" s="94">
        <f ca="1">IF(B236=TODAY(),0,-$H$6*(Sheet1!CE234-Sheet1!CE233)*7.48/1000000)</f>
        <v>-3.0078864702530548E-2</v>
      </c>
      <c r="I236" s="94">
        <f ca="1">IF(B236=TODAY(),0,-$I$6*(Sheet1!CG234-Sheet1!CG233)*7.48/1000000)</f>
        <v>5.5257602400000022E-2</v>
      </c>
      <c r="J236" s="95" t="s">
        <v>177</v>
      </c>
      <c r="K236" s="94">
        <f ca="1">IF(B236=TODAY(),0,-$K$6*(Sheet1!CH234-Sheet1!CH233)*7.48/1000000)</f>
        <v>9.9949805616876636E-2</v>
      </c>
      <c r="L236" s="95" t="s">
        <v>177</v>
      </c>
      <c r="M236" s="94">
        <f ca="1">IF(B236=TODAY(),0,-$M$6*(Sheet1!CI234-Sheet1!CI233)*7.48/1000000)</f>
        <v>0.26987262642040577</v>
      </c>
      <c r="N236" s="94">
        <f ca="1">IF(B236=TODAY(),0,-$N$6*(Sheet1!CJ234-Sheet1!CJ233)*7.48/1000000)</f>
        <v>-0.51503446677537834</v>
      </c>
      <c r="O236" s="94">
        <f t="shared" ca="1" si="53"/>
        <v>-5.007633839060513E-2</v>
      </c>
      <c r="P236" s="94">
        <f ca="1">O236+Calculation!ES236</f>
        <v>-2.8237464093264135</v>
      </c>
      <c r="Q236" s="89" t="str">
        <f>IF(Sheet1!BQ234&gt;25.75,"spill elevation","-")</f>
        <v>-</v>
      </c>
      <c r="R236" s="89" t="str">
        <f>IF(Sheet1!BQ234&gt;25.75,"spill elevation","-")</f>
        <v>-</v>
      </c>
      <c r="S236" s="89" t="str">
        <f>IF(Sheet1!BR234&gt;25.75,"spill elevation","-")</f>
        <v>-</v>
      </c>
      <c r="T236" s="93">
        <f>IF(Sheet1!DU234=1,Sheet1!AA234-(SUM(AT236:BA236)+BE236),Sheet1!AA234-SUM(AT236:BA236))</f>
        <v>41.114095999999996</v>
      </c>
      <c r="U236" s="93">
        <f>Sheet1!BV234</f>
        <v>45.9</v>
      </c>
      <c r="V236" s="93">
        <f t="shared" si="54"/>
        <v>-4.7859040000000022</v>
      </c>
      <c r="W236" s="93">
        <f>0</f>
        <v>0</v>
      </c>
      <c r="X236" s="89">
        <f>0</f>
        <v>0</v>
      </c>
      <c r="Y236" s="94">
        <f ca="1">Calculation!EJ237+Calculation!ES236+'Calculations II'!O236-'Calculations II'!W236</f>
        <v>61.956903155420001</v>
      </c>
      <c r="Z236" s="94">
        <f ca="1">Y236-Sheet1!CT235</f>
        <v>46.308903155419998</v>
      </c>
      <c r="AA236" s="94">
        <f ca="1">Y236+Calculation!DJ237+Calculation!AS237</f>
        <v>86.584496738307706</v>
      </c>
      <c r="AC236" s="94">
        <f>Sheet1!AA234+Sheet1!AB234+BC236</f>
        <v>94.619839999999996</v>
      </c>
      <c r="AD236" s="94">
        <f>Sheet1!AA234+Sheet1!BN234+'Calculations II'!BC236-Calculation!AS236-Calculation!DJ236</f>
        <v>46.129798982772755</v>
      </c>
      <c r="AE236" s="94">
        <f>Sheet1!AA234+Sheet1!AB234+'Calculations II'!BC236-Calculation!AS236-Calculation!DJ236</f>
        <v>70.349798982772754</v>
      </c>
      <c r="AF236" s="94">
        <f ca="1">Sheet1!AA234+Sheet1!BN234+P236+'Calculations II'!BC236+Calculation!AS236+Calculation!DJ236</f>
        <v>91.846134607900836</v>
      </c>
      <c r="AG236" s="94">
        <f ca="1">IF(B236=TODAY(),0,Sheet1!AA234+Sheet1!BN234+'Calculations II'!BC236+'Calculations II'!P236-Sheet1!CT234-BP236)</f>
        <v>50.827093590673584</v>
      </c>
      <c r="AH236" s="94">
        <f ca="1">IF(B236=TODAY(),0,Sheet1!AA234+Sheet1!BN234+'Calculations II'!BC236+'Calculations II'!P236-BP236)</f>
        <v>67.57609359067358</v>
      </c>
      <c r="AI236" s="94">
        <f ca="1">IF(B236=TODAY(),0,BC236+Sheet1!AA234+Calculation!ES236+O236+W236+Sheet1!BN234+Calculation!AS236+Calculation!DJ236-BP236)</f>
        <v>91.846134607900836</v>
      </c>
      <c r="AJ236" s="94"/>
      <c r="AM236" s="90">
        <f t="shared" si="55"/>
        <v>42960</v>
      </c>
      <c r="AN236" s="94">
        <f>Sheet1!BU234</f>
        <v>41.5</v>
      </c>
      <c r="AO236" s="94">
        <f>Sheet1!AA234</f>
        <v>44.36</v>
      </c>
      <c r="AP236" s="94">
        <f t="shared" si="44"/>
        <v>2.8392499999999963</v>
      </c>
      <c r="AQ236" s="1087">
        <f>((Sheet1!BV234-(Sheet1!BU234-AP236))/(Sheet1!BU234-AP236))</f>
        <v>0.18725063533428579</v>
      </c>
      <c r="AR236" s="94">
        <f t="shared" si="45"/>
        <v>41.520750000000007</v>
      </c>
      <c r="AS236" s="94">
        <f t="shared" si="46"/>
        <v>38.660750000000007</v>
      </c>
      <c r="AT236" s="89">
        <f>Sheet1!BB234</f>
        <v>0</v>
      </c>
      <c r="AU236" s="89">
        <f>Sheet1!AS234*GPMtoMGD</f>
        <v>4.1472000000000002E-2</v>
      </c>
      <c r="AV236" s="94">
        <f>Sheet1!AT234</f>
        <v>0</v>
      </c>
      <c r="AW236" s="89">
        <f>Sheet1!AV234*GPMtoMGD</f>
        <v>1.436544</v>
      </c>
      <c r="AX236" s="89">
        <f>Sheet1!AW234*GPMtoMGD</f>
        <v>1.7678880000000001</v>
      </c>
      <c r="AY236" s="89">
        <f>Sheet1!AX234*GPMtoMGD</f>
        <v>0</v>
      </c>
      <c r="AZ236" s="89">
        <f>Sheet1!AY234*GPMtoMGD</f>
        <v>0</v>
      </c>
      <c r="BA236" s="89">
        <f>Sheet1!AZ234*GPMtoMGD</f>
        <v>0</v>
      </c>
      <c r="BB236" s="89">
        <f>Sheet1!BP234*GPMtoMGD</f>
        <v>2.016E-3</v>
      </c>
      <c r="BC236" s="89">
        <f>Sheet1!CS234*GPMtoMGD</f>
        <v>13.839840000000001</v>
      </c>
      <c r="BD236" s="89">
        <f>Sheet1!BO234*GPMtoMGD</f>
        <v>2.9316960000000005</v>
      </c>
      <c r="BE236" s="89">
        <f>Sheet1!BW234*GPMtoMGD</f>
        <v>1.8329760000000002</v>
      </c>
      <c r="BF236" s="89">
        <f>Sheet1!CN234*GPMtoMGD</f>
        <v>3.431664</v>
      </c>
      <c r="BG236" s="89">
        <f>Sheet1!CO234*GPMtoMGD</f>
        <v>1.3963680000000001</v>
      </c>
      <c r="BH236" s="89">
        <f>Sheet1!CP234*GPMtoMGD</f>
        <v>0.90633600000000003</v>
      </c>
      <c r="BI236" s="89">
        <f t="shared" si="56"/>
        <v>2.9337120000000003</v>
      </c>
      <c r="BK236" s="94">
        <f>SUM(AT236:BA236,AS236,BC236,Calculation!AQ236)</f>
        <v>67.896452982772786</v>
      </c>
      <c r="BM236" s="358">
        <f>0</f>
        <v>0</v>
      </c>
      <c r="BN236" s="358">
        <f>0</f>
        <v>0</v>
      </c>
      <c r="BP236" s="94">
        <f>SUM(BM236:BN236,W236,Sheet1!DX234)</f>
        <v>0</v>
      </c>
      <c r="BR236" s="94">
        <f>Sheet1!AA234</f>
        <v>44.36</v>
      </c>
      <c r="BS236" s="94">
        <f>Sheet1!AB234</f>
        <v>36.42</v>
      </c>
      <c r="BT236" s="94">
        <f t="shared" ca="1" si="47"/>
        <v>-2.8237464093264135</v>
      </c>
      <c r="BU236" s="94">
        <f>Sheet1!AT234</f>
        <v>0</v>
      </c>
      <c r="BV236" s="89">
        <f>Sheet1!BB234</f>
        <v>0</v>
      </c>
      <c r="BW236" s="94">
        <f>Calculation!ED236</f>
        <v>24.270041017227239</v>
      </c>
      <c r="BX236" s="94">
        <f>(Sheet1!CS234*1440)/1000000</f>
        <v>13.839840000000001</v>
      </c>
      <c r="CA236" s="94">
        <f ca="1">Sheet1!AC234-Sheet1!BK234-Sheet1!BL234-Sheet1!BM234-Sheet1!BC234-Sheet1!BD234-Sheet1!BE234-Sheet1!BF234-Sheet1!BG234-Sheet1!BH234-Sheet1!BI234+BC236+P236</f>
        <v>67.426093590673574</v>
      </c>
      <c r="CB236" s="93">
        <f t="shared" si="48"/>
        <v>87.420906546349457</v>
      </c>
      <c r="CC236" s="94">
        <f t="shared" si="49"/>
        <v>0</v>
      </c>
      <c r="CD236" s="94">
        <f t="shared" ca="1" si="50"/>
        <v>91.696134607900817</v>
      </c>
      <c r="CE236" s="1077">
        <f t="shared" ca="1" si="51"/>
        <v>141.85392023842255</v>
      </c>
      <c r="CG236" s="1077">
        <f t="shared" ca="1" si="52"/>
        <v>67.426093590673574</v>
      </c>
    </row>
    <row r="237" spans="1:85" s="89" customFormat="1" x14ac:dyDescent="0.25">
      <c r="A237" s="616" t="s">
        <v>4</v>
      </c>
      <c r="B237" s="91">
        <v>42961</v>
      </c>
      <c r="C237" s="92">
        <v>0</v>
      </c>
      <c r="D237" s="94">
        <f>(Sheet1!BQ235-Sheet1!BQ234)*1.385</f>
        <v>-2.7561499999999977</v>
      </c>
      <c r="E237" s="30">
        <f>(Sheet1!BR235-Sheet1!BR234)*1.385</f>
        <v>-2.8115499999999969</v>
      </c>
      <c r="F237" s="30">
        <f ca="1">IF(B237=TODAY(),0,-(VLOOKUP(Sheet1!CD235,Lookup!$I$4:$J$216,2)-VLOOKUP(Sheet1!CD234,Lookup!$I$4:$J$216,2))/1000000)</f>
        <v>0.20727387709560433</v>
      </c>
      <c r="G237" s="94">
        <f ca="1">IF(B237=TODAY(),0,-$G$6*(Sheet1!CF235-Sheet1!CF234)*7.48/1000000)</f>
        <v>-0.36536420968354621</v>
      </c>
      <c r="H237" s="94">
        <f ca="1">IF(B237=TODAY(),0,-$H$6*(Sheet1!CE235-Sheet1!CE234)*7.48/1000000)</f>
        <v>-1.5039432351265274E-2</v>
      </c>
      <c r="I237" s="94">
        <f ca="1">IF(B237=TODAY(),0,-$I$6*(Sheet1!CG235-Sheet1!CG234)*7.48/1000000)</f>
        <v>-1.0332722399999978E-2</v>
      </c>
      <c r="J237" s="95" t="s">
        <v>177</v>
      </c>
      <c r="K237" s="94">
        <f ca="1">IF(B237=TODAY(),0,-$K$6*(Sheet1!CH235-Sheet1!CH234)*7.48/1000000)</f>
        <v>-1.9989961123375376E-2</v>
      </c>
      <c r="L237" s="95" t="s">
        <v>177</v>
      </c>
      <c r="M237" s="94">
        <f ca="1">IF(B237=TODAY(),0,-$M$6*(Sheet1!CI235-Sheet1!CI234)*7.48/1000000)</f>
        <v>-5.3974525284081275E-2</v>
      </c>
      <c r="N237" s="94">
        <f ca="1">IF(B237=TODAY(),0,-$N$6*(Sheet1!CJ235-Sheet1!CJ234)*7.48/1000000)</f>
        <v>0.45298212138075472</v>
      </c>
      <c r="O237" s="94">
        <f t="shared" ca="1" si="53"/>
        <v>0.19555514763409096</v>
      </c>
      <c r="P237" s="94">
        <f ca="1">O237+Calculation!ES237</f>
        <v>5.8802194267454766</v>
      </c>
      <c r="Q237" s="89" t="str">
        <f>IF(Sheet1!BQ235&gt;25.75,"spill elevation","-")</f>
        <v>-</v>
      </c>
      <c r="R237" s="89" t="str">
        <f>IF(Sheet1!BQ235&gt;25.75,"spill elevation","-")</f>
        <v>-</v>
      </c>
      <c r="S237" s="89" t="str">
        <f>IF(Sheet1!BR235&gt;25.75,"spill elevation","-")</f>
        <v>-</v>
      </c>
      <c r="T237" s="93">
        <f>IF(Sheet1!DU235=1,Sheet1!AA235-(SUM(AT237:BA237)+BE237),Sheet1!AA235-SUM(AT237:BA237))</f>
        <v>40.380144000000001</v>
      </c>
      <c r="U237" s="93">
        <f>Sheet1!BV235</f>
        <v>53</v>
      </c>
      <c r="V237" s="93">
        <f t="shared" si="54"/>
        <v>-12.619855999999999</v>
      </c>
      <c r="W237" s="93">
        <f>0</f>
        <v>0</v>
      </c>
      <c r="X237" s="89">
        <f>0</f>
        <v>0</v>
      </c>
      <c r="Y237" s="94">
        <f ca="1">Calculation!EJ238+Calculation!ES237+'Calculations II'!O237-'Calculations II'!W237</f>
        <v>75.480663884452483</v>
      </c>
      <c r="Z237" s="94">
        <f ca="1">Y237-Sheet1!CT236</f>
        <v>59.285663884452482</v>
      </c>
      <c r="AA237" s="94">
        <f ca="1">Y237+Calculation!DJ238+Calculation!AS238</f>
        <v>99.265749932393476</v>
      </c>
      <c r="AC237" s="94">
        <f>Sheet1!AA235+Sheet1!AB235+BC237</f>
        <v>90.992831999999993</v>
      </c>
      <c r="AD237" s="94">
        <f>Sheet1!AA235+Sheet1!BN235+'Calculations II'!BC237-Calculation!AS237-Calculation!DJ237</f>
        <v>41.785238417112296</v>
      </c>
      <c r="AE237" s="94">
        <f>Sheet1!AA235+Sheet1!AB235+'Calculations II'!BC237-Calculation!AS237-Calculation!DJ237</f>
        <v>66.365238417112295</v>
      </c>
      <c r="AF237" s="94">
        <f ca="1">Sheet1!AA235+Sheet1!BN235+P237+'Calculations II'!BC237+Calculation!AS237+Calculation!DJ237</f>
        <v>96.920645009633176</v>
      </c>
      <c r="AG237" s="94">
        <f ca="1">IF(B237=TODAY(),0,Sheet1!AA235+Sheet1!BN235+'Calculations II'!BC237+'Calculations II'!P237-Sheet1!CT235-BP237)</f>
        <v>56.645051426745482</v>
      </c>
      <c r="AH237" s="94">
        <f ca="1">IF(B237=TODAY(),0,Sheet1!AA235+Sheet1!BN235+'Calculations II'!BC237+'Calculations II'!P237-BP237)</f>
        <v>72.293051426745478</v>
      </c>
      <c r="AI237" s="94">
        <f ca="1">IF(B237=TODAY(),0,BC237+Sheet1!AA235+Calculation!ES237+O237+W237+Sheet1!BN235+Calculation!AS237+Calculation!DJ237-BP237)</f>
        <v>96.920645009633176</v>
      </c>
      <c r="AJ237" s="94"/>
      <c r="AM237" s="90">
        <f t="shared" si="55"/>
        <v>42961</v>
      </c>
      <c r="AN237" s="94">
        <f>Sheet1!BU235</f>
        <v>38.6</v>
      </c>
      <c r="AO237" s="94">
        <f>Sheet1!AA235</f>
        <v>43.71</v>
      </c>
      <c r="AP237" s="94">
        <f t="shared" si="44"/>
        <v>-5.567699999999995</v>
      </c>
      <c r="AQ237" s="1087">
        <f>((Sheet1!BV235-(Sheet1!BU235-AP237))/(Sheet1!BU235-AP237))</f>
        <v>0.1999719251851467</v>
      </c>
      <c r="AR237" s="94">
        <f t="shared" si="45"/>
        <v>49.277699999999996</v>
      </c>
      <c r="AS237" s="94">
        <f t="shared" si="46"/>
        <v>44.167699999999996</v>
      </c>
      <c r="AT237" s="89">
        <f>Sheet1!BB235</f>
        <v>0</v>
      </c>
      <c r="AU237" s="89">
        <f>Sheet1!AS235*GPMtoMGD</f>
        <v>3.6432000000000006E-2</v>
      </c>
      <c r="AV237" s="94">
        <f>Sheet1!AT235</f>
        <v>0</v>
      </c>
      <c r="AW237" s="89">
        <f>Sheet1!AV235*GPMtoMGD</f>
        <v>1.527552</v>
      </c>
      <c r="AX237" s="89">
        <f>Sheet1!AW235*GPMtoMGD</f>
        <v>1.764</v>
      </c>
      <c r="AY237" s="89">
        <f>Sheet1!AX235*GPMtoMGD</f>
        <v>1.8720000000000002E-3</v>
      </c>
      <c r="AZ237" s="89">
        <f>Sheet1!AY235*GPMtoMGD</f>
        <v>0</v>
      </c>
      <c r="BA237" s="89">
        <f>Sheet1!AZ235*GPMtoMGD</f>
        <v>0</v>
      </c>
      <c r="BB237" s="89">
        <f>Sheet1!BP235*GPMtoMGD</f>
        <v>2.4480000000000001E-3</v>
      </c>
      <c r="BC237" s="89">
        <f>Sheet1!CS235*GPMtoMGD</f>
        <v>13.802832</v>
      </c>
      <c r="BD237" s="89">
        <f>Sheet1!BO235*GPMtoMGD</f>
        <v>3.6784800000000004</v>
      </c>
      <c r="BE237" s="89">
        <f>Sheet1!BW235*GPMtoMGD</f>
        <v>1.853712</v>
      </c>
      <c r="BF237" s="89">
        <f>Sheet1!CN235*GPMtoMGD</f>
        <v>4.0518720000000004</v>
      </c>
      <c r="BG237" s="89">
        <f>Sheet1!CO235*GPMtoMGD</f>
        <v>1.5256800000000001</v>
      </c>
      <c r="BH237" s="89">
        <f>Sheet1!CP235*GPMtoMGD</f>
        <v>0.93470400000000009</v>
      </c>
      <c r="BI237" s="89">
        <f t="shared" si="56"/>
        <v>3.6809280000000002</v>
      </c>
      <c r="BK237" s="94">
        <f>SUM(AT237:BA237,AS237,BC237,Calculation!AQ237)</f>
        <v>70.152794417112304</v>
      </c>
      <c r="BM237" s="358">
        <f>0</f>
        <v>0</v>
      </c>
      <c r="BN237" s="358">
        <f>0</f>
        <v>0</v>
      </c>
      <c r="BP237" s="94">
        <f>SUM(BM237:BN237,W237,Sheet1!DX235)</f>
        <v>0</v>
      </c>
      <c r="BR237" s="94">
        <f>Sheet1!AA235</f>
        <v>43.71</v>
      </c>
      <c r="BS237" s="94">
        <f>Sheet1!AB235</f>
        <v>33.479999999999997</v>
      </c>
      <c r="BT237" s="94">
        <f t="shared" ca="1" si="47"/>
        <v>5.8802194267454766</v>
      </c>
      <c r="BU237" s="94">
        <f>Sheet1!AT235</f>
        <v>0</v>
      </c>
      <c r="BV237" s="89">
        <f>Sheet1!BB235</f>
        <v>0</v>
      </c>
      <c r="BW237" s="94">
        <f>Calculation!ED237</f>
        <v>24.627593582887698</v>
      </c>
      <c r="BX237" s="94">
        <f>(Sheet1!CS235*1440)/1000000</f>
        <v>13.802831999999999</v>
      </c>
      <c r="CA237" s="94">
        <f ca="1">Sheet1!AC235-Sheet1!BK235-Sheet1!BL235-Sheet1!BM235-Sheet1!BC235-Sheet1!BD235-Sheet1!BE235-Sheet1!BF235-Sheet1!BG235-Sheet1!BH235-Sheet1!BI235+BC237+P237</f>
        <v>72.113051426745471</v>
      </c>
      <c r="CB237" s="93">
        <f t="shared" si="48"/>
        <v>81.314042727272721</v>
      </c>
      <c r="CC237" s="94">
        <f t="shared" si="49"/>
        <v>0</v>
      </c>
      <c r="CD237" s="94">
        <f t="shared" ca="1" si="50"/>
        <v>96.74064500963317</v>
      </c>
      <c r="CE237" s="1077">
        <f t="shared" ca="1" si="51"/>
        <v>149.6577778299025</v>
      </c>
      <c r="CG237" s="1077">
        <f t="shared" ca="1" si="52"/>
        <v>72.113051426745471</v>
      </c>
    </row>
    <row r="238" spans="1:85" s="89" customFormat="1" x14ac:dyDescent="0.25">
      <c r="A238" s="616" t="s">
        <v>5</v>
      </c>
      <c r="B238" s="91">
        <v>42962</v>
      </c>
      <c r="C238" s="92">
        <v>0</v>
      </c>
      <c r="D238" s="94">
        <f>(Sheet1!BQ236-Sheet1!BQ235)*1.385</f>
        <v>-1.2603500000000003</v>
      </c>
      <c r="E238" s="30">
        <f>(Sheet1!BR236-Sheet1!BR235)*1.385</f>
        <v>-1.2049500000000013</v>
      </c>
      <c r="F238" s="30">
        <f ca="1">IF(B238=TODAY(),0,-(VLOOKUP(Sheet1!CD236,Lookup!$I$4:$J$216,2)-VLOOKUP(Sheet1!CD235,Lookup!$I$4:$J$216,2))/1000000)</f>
        <v>-0.10363693854780495</v>
      </c>
      <c r="G238" s="94">
        <f ca="1">IF(B238=TODAY(),0,-$G$6*(Sheet1!CF236-Sheet1!CF235)*7.48/1000000)</f>
        <v>0</v>
      </c>
      <c r="H238" s="94">
        <f ca="1">IF(B238=TODAY(),0,-$H$6*(Sheet1!CE236-Sheet1!CE235)*7.48/1000000)</f>
        <v>-1.5039432351265274E-2</v>
      </c>
      <c r="I238" s="94">
        <f ca="1">IF(B238=TODAY(),0,-$I$6*(Sheet1!CG236-Sheet1!CG235)*7.48/1000000)</f>
        <v>4.4924879999999837E-3</v>
      </c>
      <c r="J238" s="95" t="s">
        <v>177</v>
      </c>
      <c r="K238" s="94">
        <f ca="1">IF(B238=TODAY(),0,-$K$6*(Sheet1!CH236-Sheet1!CH235)*7.48/1000000)</f>
        <v>6.6633203744585374E-3</v>
      </c>
      <c r="L238" s="95" t="s">
        <v>177</v>
      </c>
      <c r="M238" s="94">
        <f ca="1">IF(B238=TODAY(),0,-$M$6*(Sheet1!CI236-Sheet1!CI235)*7.48/1000000)</f>
        <v>3.598301685605397E-2</v>
      </c>
      <c r="N238" s="94">
        <f ca="1">IF(B238=TODAY(),0,-$N$6*(Sheet1!CJ236-Sheet1!CJ235)*7.48/1000000)</f>
        <v>-0.42195594868344344</v>
      </c>
      <c r="O238" s="94">
        <f t="shared" ca="1" si="53"/>
        <v>-0.49349349435200118</v>
      </c>
      <c r="P238" s="94">
        <f ca="1">O238+Calculation!ES238</f>
        <v>1.8619526059144293</v>
      </c>
      <c r="Q238" s="89" t="str">
        <f>IF(Sheet1!BQ236&gt;25.75,"spill elevation","-")</f>
        <v>-</v>
      </c>
      <c r="R238" s="89" t="str">
        <f>IF(Sheet1!BQ236&gt;25.75,"spill elevation","-")</f>
        <v>-</v>
      </c>
      <c r="S238" s="89" t="str">
        <f>IF(Sheet1!BR236&gt;25.75,"spill elevation","-")</f>
        <v>-</v>
      </c>
      <c r="T238" s="93">
        <f>IF(Sheet1!DU236=1,Sheet1!AA236-(SUM(AT238:BA238)+BE238),Sheet1!AA236-SUM(AT238:BA238))</f>
        <v>44.082048</v>
      </c>
      <c r="U238" s="93">
        <f>Sheet1!BV236</f>
        <v>55</v>
      </c>
      <c r="V238" s="93">
        <f t="shared" si="54"/>
        <v>-10.917952</v>
      </c>
      <c r="W238" s="93">
        <f>0</f>
        <v>0</v>
      </c>
      <c r="X238" s="89">
        <f>0</f>
        <v>0</v>
      </c>
      <c r="Y238" s="94">
        <f ca="1">Calculation!EJ239+Calculation!ES238+'Calculations II'!O238-'Calculations II'!W238</f>
        <v>72.370734574622404</v>
      </c>
      <c r="Z238" s="94">
        <f ca="1">Y238-Sheet1!CT237</f>
        <v>56.382734574622404</v>
      </c>
      <c r="AA238" s="94">
        <f ca="1">Y238+Calculation!DJ239+Calculation!AS239</f>
        <v>97.391201591551777</v>
      </c>
      <c r="AC238" s="94">
        <f>Sheet1!AA236+Sheet1!AB236+BC238</f>
        <v>93.861071999999993</v>
      </c>
      <c r="AD238" s="94">
        <f>Sheet1!AA236+Sheet1!BN236+'Calculations II'!BC238-Calculation!AS238-Calculation!DJ238</f>
        <v>46.335985952059005</v>
      </c>
      <c r="AE238" s="94">
        <f>Sheet1!AA236+Sheet1!AB236+'Calculations II'!BC238-Calculation!AS238-Calculation!DJ238</f>
        <v>70.075985952059</v>
      </c>
      <c r="AF238" s="94">
        <f ca="1">Sheet1!AA236+Sheet1!BN236+P238+'Calculations II'!BC238+Calculation!AS238+Calculation!DJ238</f>
        <v>95.76811065385543</v>
      </c>
      <c r="AG238" s="94">
        <f ca="1">IF(B238=TODAY(),0,Sheet1!AA236+Sheet1!BN236+'Calculations II'!BC238+'Calculations II'!P238-Sheet1!CT236-BP238)</f>
        <v>55.788024605914423</v>
      </c>
      <c r="AH238" s="94">
        <f ca="1">IF(B238=TODAY(),0,Sheet1!AA236+Sheet1!BN236+'Calculations II'!BC238+'Calculations II'!P238-BP238)</f>
        <v>71.983024605914423</v>
      </c>
      <c r="AI238" s="94">
        <f ca="1">IF(B238=TODAY(),0,BC238+Sheet1!AA236+Calculation!ES238+O238+W238+Sheet1!BN236+Calculation!AS238+Calculation!DJ238-BP238)</f>
        <v>95.768110653855416</v>
      </c>
      <c r="AJ238" s="94"/>
      <c r="AM238" s="90">
        <f t="shared" si="55"/>
        <v>42962</v>
      </c>
      <c r="AN238" s="94">
        <f>Sheet1!BU236</f>
        <v>44.1</v>
      </c>
      <c r="AO238" s="94">
        <f>Sheet1!AA236</f>
        <v>47.73</v>
      </c>
      <c r="AP238" s="94">
        <f t="shared" si="44"/>
        <v>-2.4653000000000018</v>
      </c>
      <c r="AQ238" s="1087">
        <f>((Sheet1!BV236-(Sheet1!BU236-AP238))/(Sheet1!BU236-AP238))</f>
        <v>0.18113702692777667</v>
      </c>
      <c r="AR238" s="94">
        <f t="shared" si="45"/>
        <v>50.195299999999996</v>
      </c>
      <c r="AS238" s="94">
        <f t="shared" si="46"/>
        <v>46.565300000000001</v>
      </c>
      <c r="AT238" s="89">
        <f>Sheet1!BB236</f>
        <v>0</v>
      </c>
      <c r="AU238" s="89">
        <f>Sheet1!AS236*GPMtoMGD</f>
        <v>4.5935999999999998E-2</v>
      </c>
      <c r="AV238" s="94">
        <f>Sheet1!AT236</f>
        <v>0</v>
      </c>
      <c r="AW238" s="89">
        <f>Sheet1!AV236*GPMtoMGD</f>
        <v>1.57752</v>
      </c>
      <c r="AX238" s="89">
        <f>Sheet1!AW236*GPMtoMGD</f>
        <v>2.0244960000000001</v>
      </c>
      <c r="AY238" s="89">
        <f>Sheet1!AX236*GPMtoMGD</f>
        <v>0</v>
      </c>
      <c r="AZ238" s="89">
        <f>Sheet1!AY236*GPMtoMGD</f>
        <v>0</v>
      </c>
      <c r="BA238" s="89">
        <f>Sheet1!AZ236*GPMtoMGD</f>
        <v>0</v>
      </c>
      <c r="BB238" s="89">
        <f>Sheet1!BP236*GPMtoMGD</f>
        <v>2.4480000000000001E-3</v>
      </c>
      <c r="BC238" s="89">
        <f>Sheet1!CS236*GPMtoMGD</f>
        <v>13.761072</v>
      </c>
      <c r="BD238" s="89">
        <f>Sheet1!BO236*GPMtoMGD</f>
        <v>3.5105760000000004</v>
      </c>
      <c r="BE238" s="89">
        <f>Sheet1!BW236*GPMtoMGD</f>
        <v>1.9460160000000002</v>
      </c>
      <c r="BF238" s="89">
        <f>Sheet1!CN236*GPMtoMGD</f>
        <v>4.159008</v>
      </c>
      <c r="BG238" s="89">
        <f>Sheet1!CO236*GPMtoMGD</f>
        <v>1.5130080000000001</v>
      </c>
      <c r="BH238" s="89">
        <f>Sheet1!CP236*GPMtoMGD</f>
        <v>0.90532800000000013</v>
      </c>
      <c r="BI238" s="89">
        <f t="shared" si="56"/>
        <v>3.5130240000000001</v>
      </c>
      <c r="BK238" s="94">
        <f>SUM(AT238:BA238,AS238,BC238,Calculation!AQ238)</f>
        <v>72.559237952058993</v>
      </c>
      <c r="BM238" s="358">
        <f>0</f>
        <v>0</v>
      </c>
      <c r="BN238" s="358">
        <f>0</f>
        <v>0</v>
      </c>
      <c r="BP238" s="94">
        <f>SUM(BM238:BN238,W238,Sheet1!DX236)</f>
        <v>0</v>
      </c>
      <c r="BR238" s="94">
        <f>Sheet1!AA236</f>
        <v>47.73</v>
      </c>
      <c r="BS238" s="94">
        <f>Sheet1!AB236</f>
        <v>32.369999999999997</v>
      </c>
      <c r="BT238" s="94">
        <f t="shared" ca="1" si="47"/>
        <v>1.8619526059144293</v>
      </c>
      <c r="BU238" s="94">
        <f>Sheet1!AT236</f>
        <v>0</v>
      </c>
      <c r="BV238" s="89">
        <f>Sheet1!BB236</f>
        <v>0</v>
      </c>
      <c r="BW238" s="94">
        <f>Calculation!ED238</f>
        <v>23.78508604794099</v>
      </c>
      <c r="BX238" s="94">
        <f>(Sheet1!CS236*1440)/1000000</f>
        <v>13.761071999999999</v>
      </c>
      <c r="CA238" s="94">
        <f ca="1">Sheet1!AC236-Sheet1!BK236-Sheet1!BL236-Sheet1!BM236-Sheet1!BC236-Sheet1!BD236-Sheet1!BE236-Sheet1!BF236-Sheet1!BG236-Sheet1!BH236-Sheet1!BI236+BC238+P238</f>
        <v>71.813024605914421</v>
      </c>
      <c r="CB238" s="93">
        <f t="shared" si="48"/>
        <v>87.119171883835264</v>
      </c>
      <c r="CC238" s="94">
        <f t="shared" si="49"/>
        <v>0</v>
      </c>
      <c r="CD238" s="94">
        <f t="shared" ca="1" si="50"/>
        <v>95.598110653855414</v>
      </c>
      <c r="CE238" s="1077">
        <f t="shared" ca="1" si="51"/>
        <v>147.89027718151431</v>
      </c>
      <c r="CG238" s="1077">
        <f t="shared" ca="1" si="52"/>
        <v>71.813024605914421</v>
      </c>
    </row>
    <row r="239" spans="1:85" s="89" customFormat="1" x14ac:dyDescent="0.25">
      <c r="A239" s="616" t="s">
        <v>6</v>
      </c>
      <c r="B239" s="91">
        <v>42963</v>
      </c>
      <c r="C239" s="92">
        <v>0</v>
      </c>
      <c r="D239" s="94">
        <f>(Sheet1!BQ237-Sheet1!BQ236)*1.385</f>
        <v>-2.1328999999999989</v>
      </c>
      <c r="E239" s="30">
        <f>(Sheet1!BR237-Sheet1!BR236)*1.385</f>
        <v>-2.1467500000000008</v>
      </c>
      <c r="F239" s="30">
        <f ca="1">IF(B239=TODAY(),0,-(VLOOKUP(Sheet1!CD237,Lookup!$I$4:$J$216,2)-VLOOKUP(Sheet1!CD236,Lookup!$I$4:$J$216,2))/1000000)</f>
        <v>-0.93273244693020541</v>
      </c>
      <c r="G239" s="94">
        <f ca="1">IF(B239=TODAY(),0,-$G$6*(Sheet1!CF237-Sheet1!CF236)*7.48/1000000)</f>
        <v>-0.15885400421023663</v>
      </c>
      <c r="H239" s="94">
        <f ca="1">IF(B239=TODAY(),0,-$H$6*(Sheet1!CE237-Sheet1!CE236)*7.48/1000000)</f>
        <v>1.5039432351265274E-2</v>
      </c>
      <c r="I239" s="94">
        <f ca="1">IF(B239=TODAY(),0,-$I$6*(Sheet1!CG237-Sheet1!CG236)*7.48/1000000)</f>
        <v>4.4924880000000236E-3</v>
      </c>
      <c r="J239" s="95" t="s">
        <v>177</v>
      </c>
      <c r="K239" s="94">
        <f ca="1">IF(B239=TODAY(),0,-$K$6*(Sheet1!CH237-Sheet1!CH236)*7.48/1000000)</f>
        <v>6.6633203744584186E-3</v>
      </c>
      <c r="L239" s="95" t="s">
        <v>177</v>
      </c>
      <c r="M239" s="94">
        <f ca="1">IF(B239=TODAY(),0,-$M$6*(Sheet1!CI237-Sheet1!CI236)*7.48/1000000)</f>
        <v>0</v>
      </c>
      <c r="N239" s="94">
        <f ca="1">IF(B239=TODAY(),0,-$N$6*(Sheet1!CJ237-Sheet1!CJ236)*7.48/1000000)</f>
        <v>0.32267219605204517</v>
      </c>
      <c r="O239" s="94">
        <f t="shared" ca="1" si="53"/>
        <v>-0.74271901436267318</v>
      </c>
      <c r="P239" s="94">
        <f ca="1">O239+Calculation!ES239</f>
        <v>3.550180911380985</v>
      </c>
      <c r="Q239" s="89" t="str">
        <f>IF(Sheet1!BQ237&gt;25.75,"spill elevation","-")</f>
        <v>-</v>
      </c>
      <c r="R239" s="89" t="str">
        <f>IF(Sheet1!BQ237&gt;25.75,"spill elevation","-")</f>
        <v>-</v>
      </c>
      <c r="S239" s="89" t="str">
        <f>IF(Sheet1!BR237&gt;25.75,"spill elevation","-")</f>
        <v>-</v>
      </c>
      <c r="T239" s="93">
        <f>IF(Sheet1!DU237=1,Sheet1!AA237-(SUM(AT239:BA239)+BE239),Sheet1!AA237-SUM(AT239:BA239))</f>
        <v>44.035552000000003</v>
      </c>
      <c r="U239" s="93">
        <f>Sheet1!BV237</f>
        <v>57.3</v>
      </c>
      <c r="V239" s="93">
        <f t="shared" si="54"/>
        <v>-13.264447999999994</v>
      </c>
      <c r="W239" s="93">
        <f>0</f>
        <v>0</v>
      </c>
      <c r="X239" s="89">
        <f>0</f>
        <v>0</v>
      </c>
      <c r="Y239" s="94">
        <f ca="1">Calculation!EJ240+Calculation!ES239+'Calculations II'!O239-'Calculations II'!W239</f>
        <v>77.495082170273648</v>
      </c>
      <c r="Z239" s="94">
        <f ca="1">Y239-Sheet1!CT238</f>
        <v>61.310082170273645</v>
      </c>
      <c r="AA239" s="94">
        <f ca="1">Y239+Calculation!DJ240+Calculation!AS240</f>
        <v>102.71925110760336</v>
      </c>
      <c r="AC239" s="94">
        <f>Sheet1!AA237+Sheet1!AB237+BC239</f>
        <v>95.50752</v>
      </c>
      <c r="AD239" s="94">
        <f>Sheet1!AA237+Sheet1!BN237+'Calculations II'!BC239-Calculation!AS239-Calculation!DJ239</f>
        <v>45.517052983070634</v>
      </c>
      <c r="AE239" s="94">
        <f>Sheet1!AA237+Sheet1!AB237+'Calculations II'!BC239-Calculation!AS239-Calculation!DJ239</f>
        <v>70.48705298307064</v>
      </c>
      <c r="AF239" s="94">
        <f ca="1">Sheet1!AA237+Sheet1!BN237+P239+'Calculations II'!BC239+Calculation!AS239+Calculation!DJ239</f>
        <v>99.108167928310365</v>
      </c>
      <c r="AG239" s="94">
        <f ca="1">IF(B239=TODAY(),0,Sheet1!AA237+Sheet1!BN237+'Calculations II'!BC239+'Calculations II'!P239-Sheet1!CT237-BP239)</f>
        <v>58.099700911380992</v>
      </c>
      <c r="AH239" s="94">
        <f ca="1">IF(B239=TODAY(),0,Sheet1!AA237+Sheet1!BN237+'Calculations II'!BC239+'Calculations II'!P239-BP239)</f>
        <v>74.087700911380992</v>
      </c>
      <c r="AI239" s="94">
        <f ca="1">IF(B239=TODAY(),0,BC239+Sheet1!AA237+Calculation!ES239+O239+W239+Sheet1!BN237+Calculation!AS239+Calculation!DJ239-BP239)</f>
        <v>99.108167928310337</v>
      </c>
      <c r="AJ239" s="94"/>
      <c r="AM239" s="90">
        <f t="shared" si="55"/>
        <v>42963</v>
      </c>
      <c r="AN239" s="94">
        <f>Sheet1!BU237</f>
        <v>44.8</v>
      </c>
      <c r="AO239" s="94">
        <f>Sheet1!AA237</f>
        <v>47.71</v>
      </c>
      <c r="AP239" s="94">
        <f t="shared" si="44"/>
        <v>-4.2796500000000002</v>
      </c>
      <c r="AQ239" s="1087">
        <f>((Sheet1!BV237-(Sheet1!BU237-AP239))/(Sheet1!BU237-AP239))</f>
        <v>0.16748998821303729</v>
      </c>
      <c r="AR239" s="94">
        <f t="shared" si="45"/>
        <v>51.989649999999997</v>
      </c>
      <c r="AS239" s="94">
        <f t="shared" si="46"/>
        <v>49.079650000000001</v>
      </c>
      <c r="AT239" s="89">
        <f>Sheet1!BB237</f>
        <v>0</v>
      </c>
      <c r="AU239" s="89">
        <f>Sheet1!AS237*GPMtoMGD</f>
        <v>3.9168000000000001E-2</v>
      </c>
      <c r="AV239" s="94">
        <f>Sheet1!AT237</f>
        <v>0</v>
      </c>
      <c r="AW239" s="89">
        <f>Sheet1!AV237*GPMtoMGD</f>
        <v>1.2778560000000001</v>
      </c>
      <c r="AX239" s="89">
        <f>Sheet1!AW237*GPMtoMGD</f>
        <v>2.356992</v>
      </c>
      <c r="AY239" s="89">
        <f>Sheet1!AX237*GPMtoMGD</f>
        <v>4.3200000000000004E-4</v>
      </c>
      <c r="AZ239" s="89">
        <f>Sheet1!AY237*GPMtoMGD</f>
        <v>0</v>
      </c>
      <c r="BA239" s="89">
        <f>Sheet1!AZ237*GPMtoMGD</f>
        <v>0</v>
      </c>
      <c r="BB239" s="89">
        <f>Sheet1!BP237*GPMtoMGD</f>
        <v>2.4480000000000001E-3</v>
      </c>
      <c r="BC239" s="89">
        <f>Sheet1!CS237*GPMtoMGD</f>
        <v>13.72752</v>
      </c>
      <c r="BD239" s="89">
        <f>Sheet1!BO237*GPMtoMGD</f>
        <v>3.7378079999999998</v>
      </c>
      <c r="BE239" s="89">
        <f>Sheet1!BW237*GPMtoMGD</f>
        <v>2.0196000000000001</v>
      </c>
      <c r="BF239" s="89">
        <f>Sheet1!CN237*GPMtoMGD</f>
        <v>4.4154720000000003</v>
      </c>
      <c r="BG239" s="89">
        <f>Sheet1!CO237*GPMtoMGD</f>
        <v>1.5428160000000002</v>
      </c>
      <c r="BH239" s="89">
        <f>Sheet1!CP237*GPMtoMGD</f>
        <v>0.8625600000000001</v>
      </c>
      <c r="BI239" s="89">
        <f t="shared" si="56"/>
        <v>3.7402559999999996</v>
      </c>
      <c r="BK239" s="94">
        <f>SUM(AT239:BA239,AS239,BC239,Calculation!AQ239)</f>
        <v>75.531150983070631</v>
      </c>
      <c r="BM239" s="358">
        <f>0</f>
        <v>0</v>
      </c>
      <c r="BN239" s="358">
        <f>0</f>
        <v>0</v>
      </c>
      <c r="BP239" s="94">
        <f>SUM(BM239:BN239,W239,Sheet1!DX237)</f>
        <v>0</v>
      </c>
      <c r="BR239" s="94">
        <f>Sheet1!AA237</f>
        <v>47.71</v>
      </c>
      <c r="BS239" s="94">
        <f>Sheet1!AB237</f>
        <v>34.07</v>
      </c>
      <c r="BT239" s="94">
        <f t="shared" ca="1" si="47"/>
        <v>3.550180911380985</v>
      </c>
      <c r="BU239" s="94">
        <f>Sheet1!AT237</f>
        <v>0</v>
      </c>
      <c r="BV239" s="89">
        <f>Sheet1!BB237</f>
        <v>0</v>
      </c>
      <c r="BW239" s="94">
        <f>Calculation!ED239</f>
        <v>25.020467016929366</v>
      </c>
      <c r="BX239" s="94">
        <f>(Sheet1!CS237*1440)/1000000</f>
        <v>13.72752</v>
      </c>
      <c r="CA239" s="94">
        <f ca="1">Sheet1!AC237-Sheet1!BK237-Sheet1!BL237-Sheet1!BM237-Sheet1!BC237-Sheet1!BD237-Sheet1!BE237-Sheet1!BF237-Sheet1!BG237-Sheet1!BH237-Sheet1!BI237+BC239+P239</f>
        <v>73.89770091138098</v>
      </c>
      <c r="CB239" s="93">
        <f t="shared" si="48"/>
        <v>87.806997524810271</v>
      </c>
      <c r="CC239" s="94">
        <f t="shared" si="49"/>
        <v>0</v>
      </c>
      <c r="CD239" s="94">
        <f t="shared" ca="1" si="50"/>
        <v>98.918167928310339</v>
      </c>
      <c r="CE239" s="1077">
        <f t="shared" ca="1" si="51"/>
        <v>153.02640578509607</v>
      </c>
      <c r="CG239" s="1077">
        <f t="shared" ca="1" si="52"/>
        <v>73.89770091138098</v>
      </c>
    </row>
    <row r="240" spans="1:85" s="89" customFormat="1" x14ac:dyDescent="0.25">
      <c r="A240" s="616" t="s">
        <v>7</v>
      </c>
      <c r="B240" s="91">
        <v>42964</v>
      </c>
      <c r="C240" s="92">
        <v>0</v>
      </c>
      <c r="D240" s="94">
        <f>(Sheet1!BQ238-Sheet1!BQ237)*1.385</f>
        <v>1.0664499999999995</v>
      </c>
      <c r="E240" s="30">
        <f>(Sheet1!BR238-Sheet1!BR237)*1.385</f>
        <v>1.0803000000000016</v>
      </c>
      <c r="F240" s="30">
        <f ca="1">IF(B240=TODAY(),0,-(VLOOKUP(Sheet1!CD238,Lookup!$I$4:$J$216,2)-VLOOKUP(Sheet1!CD237,Lookup!$I$4:$J$216,2))/1000000)</f>
        <v>1.1400063240258098</v>
      </c>
      <c r="G240" s="94">
        <f ca="1">IF(B240=TODAY(),0,-$G$6*(Sheet1!CF238-Sheet1!CF237)*7.48/1000000)</f>
        <v>-0.3177080084204747</v>
      </c>
      <c r="H240" s="94">
        <f ca="1">IF(B240=TODAY(),0,-$H$6*(Sheet1!CE238-Sheet1!CE237)*7.48/1000000)</f>
        <v>0</v>
      </c>
      <c r="I240" s="94">
        <f ca="1">IF(B240=TODAY(),0,-$I$6*(Sheet1!CG238-Sheet1!CG237)*7.48/1000000)</f>
        <v>-1.3477464000000033E-2</v>
      </c>
      <c r="J240" s="95" t="s">
        <v>177</v>
      </c>
      <c r="K240" s="94">
        <f ca="1">IF(B240=TODAY(),0,-$K$6*(Sheet1!CH238-Sheet1!CH237)*7.48/1000000)</f>
        <v>-2.6653281497833796E-2</v>
      </c>
      <c r="L240" s="95" t="s">
        <v>177</v>
      </c>
      <c r="M240" s="94">
        <f ca="1">IF(B240=TODAY(),0,-$M$6*(Sheet1!CI238-Sheet1!CI237)*7.48/1000000)</f>
        <v>-7.5564335397713261E-2</v>
      </c>
      <c r="N240" s="94">
        <f ca="1">IF(B240=TODAY(),0,-$N$6*(Sheet1!CJ238-Sheet1!CJ237)*7.48/1000000)</f>
        <v>0.3164669615125818</v>
      </c>
      <c r="O240" s="94">
        <f t="shared" ca="1" si="53"/>
        <v>1.0230701962223698</v>
      </c>
      <c r="P240" s="94">
        <f ca="1">O240+Calculation!ES240</f>
        <v>-1.1922248470450107</v>
      </c>
      <c r="Q240" s="89" t="str">
        <f>IF(Sheet1!BQ238&gt;25.75,"spill elevation","-")</f>
        <v>-</v>
      </c>
      <c r="R240" s="89" t="str">
        <f>IF(Sheet1!BQ238&gt;25.75,"spill elevation","-")</f>
        <v>-</v>
      </c>
      <c r="S240" s="89" t="str">
        <f>IF(Sheet1!BR238&gt;25.75,"spill elevation","-")</f>
        <v>-</v>
      </c>
      <c r="T240" s="93">
        <f>IF(Sheet1!DU238=1,Sheet1!AA238-(SUM(AT240:BA240)+BE240),Sheet1!AA238-SUM(AT240:BA240))</f>
        <v>44.445728000000003</v>
      </c>
      <c r="U240" s="93">
        <f>Sheet1!BV238</f>
        <v>50.2</v>
      </c>
      <c r="V240" s="93">
        <f t="shared" si="54"/>
        <v>-5.7542720000000003</v>
      </c>
      <c r="W240" s="93">
        <f>0</f>
        <v>0</v>
      </c>
      <c r="X240" s="89">
        <f>0</f>
        <v>0</v>
      </c>
      <c r="Y240" s="94">
        <f ca="1">Calculation!EJ241+Calculation!ES240+'Calculations II'!O240-'Calculations II'!W240</f>
        <v>75.177716180717937</v>
      </c>
      <c r="Z240" s="94">
        <f ca="1">Y240-Sheet1!CT239</f>
        <v>59.431716180717935</v>
      </c>
      <c r="AA240" s="94">
        <f ca="1">Y240+Calculation!DJ241+Calculation!AS241</f>
        <v>100.35185463834074</v>
      </c>
      <c r="AC240" s="94">
        <f>Sheet1!AA238+Sheet1!AB238+BC240</f>
        <v>97.991728000000009</v>
      </c>
      <c r="AD240" s="94">
        <f>Sheet1!AA238+Sheet1!BN238+'Calculations II'!BC240-Calculation!AS240-Calculation!DJ240</f>
        <v>47.577559062670296</v>
      </c>
      <c r="AE240" s="94">
        <f>Sheet1!AA238+Sheet1!AB238+'Calculations II'!BC240-Calculation!AS240-Calculation!DJ240</f>
        <v>72.767559062670301</v>
      </c>
      <c r="AF240" s="94">
        <f ca="1">Sheet1!AA238+Sheet1!BN238+P240+'Calculations II'!BC240+Calculation!AS240+Calculation!DJ240</f>
        <v>96.833672090284693</v>
      </c>
      <c r="AG240" s="94">
        <f ca="1">IF(B240=TODAY(),0,Sheet1!AA238+Sheet1!BN238+'Calculations II'!BC240+'Calculations II'!P240-Sheet1!CT238-BP240)</f>
        <v>55.424503152954983</v>
      </c>
      <c r="AH240" s="94">
        <f ca="1">IF(B240=TODAY(),0,Sheet1!AA238+Sheet1!BN238+'Calculations II'!BC240+'Calculations II'!P240-BP240)</f>
        <v>71.609503152954986</v>
      </c>
      <c r="AI240" s="94">
        <f ca="1">IF(B240=TODAY(),0,BC240+Sheet1!AA238+Calculation!ES240+O240+W240+Sheet1!BN238+Calculation!AS240+Calculation!DJ240-BP240)</f>
        <v>96.833672090284693</v>
      </c>
      <c r="AJ240" s="94"/>
      <c r="AM240" s="90">
        <f t="shared" si="55"/>
        <v>42964</v>
      </c>
      <c r="AN240" s="94">
        <f>Sheet1!BU238</f>
        <v>44.6</v>
      </c>
      <c r="AO240" s="94">
        <f>Sheet1!AA238</f>
        <v>47.72</v>
      </c>
      <c r="AP240" s="94">
        <f t="shared" si="44"/>
        <v>2.1467500000000008</v>
      </c>
      <c r="AQ240" s="1087">
        <f>((Sheet1!BV238-(Sheet1!BU238-AP240))/(Sheet1!BU238-AP240))</f>
        <v>0.18247719550328906</v>
      </c>
      <c r="AR240" s="94">
        <f t="shared" si="45"/>
        <v>45.573250000000002</v>
      </c>
      <c r="AS240" s="94">
        <f t="shared" si="46"/>
        <v>42.453249999999997</v>
      </c>
      <c r="AT240" s="89">
        <f>Sheet1!BB238</f>
        <v>0</v>
      </c>
      <c r="AU240" s="89">
        <f>Sheet1!AS238*GPMtoMGD</f>
        <v>4.8528000000000009E-2</v>
      </c>
      <c r="AV240" s="94">
        <f>Sheet1!AT238</f>
        <v>0</v>
      </c>
      <c r="AW240" s="89">
        <f>Sheet1!AV238*GPMtoMGD</f>
        <v>1.4162400000000002</v>
      </c>
      <c r="AX240" s="89">
        <f>Sheet1!AW238*GPMtoMGD</f>
        <v>1.809504</v>
      </c>
      <c r="AY240" s="89">
        <f>Sheet1!AX238*GPMtoMGD</f>
        <v>0</v>
      </c>
      <c r="AZ240" s="89">
        <f>Sheet1!AY238*GPMtoMGD</f>
        <v>0</v>
      </c>
      <c r="BA240" s="89">
        <f>Sheet1!AZ238*GPMtoMGD</f>
        <v>0</v>
      </c>
      <c r="BB240" s="89">
        <f>Sheet1!BP238*GPMtoMGD</f>
        <v>1.8720000000000002E-3</v>
      </c>
      <c r="BC240" s="89">
        <f>Sheet1!CS238*GPMtoMGD</f>
        <v>13.681728000000001</v>
      </c>
      <c r="BD240" s="89">
        <f>Sheet1!BO238*GPMtoMGD</f>
        <v>3.5570879999999998</v>
      </c>
      <c r="BE240" s="89">
        <f>Sheet1!BW238*GPMtoMGD</f>
        <v>1.7974080000000001</v>
      </c>
      <c r="BF240" s="89">
        <f>Sheet1!CN238*GPMtoMGD</f>
        <v>4.2017760000000006</v>
      </c>
      <c r="BG240" s="89">
        <f>Sheet1!CO238*GPMtoMGD</f>
        <v>1.5108480000000002</v>
      </c>
      <c r="BH240" s="89">
        <f>Sheet1!CP238*GPMtoMGD</f>
        <v>0.92001600000000006</v>
      </c>
      <c r="BI240" s="89">
        <f t="shared" si="56"/>
        <v>3.5589599999999999</v>
      </c>
      <c r="BK240" s="94">
        <f>SUM(AT240:BA240,AS240,BC240,Calculation!AQ240)</f>
        <v>70.775081062670296</v>
      </c>
      <c r="BM240" s="358">
        <f>0</f>
        <v>0</v>
      </c>
      <c r="BN240" s="358">
        <f>0</f>
        <v>0</v>
      </c>
      <c r="BP240" s="94">
        <f>SUM(BM240:BN240,W240,Sheet1!DX238)</f>
        <v>0</v>
      </c>
      <c r="BR240" s="94">
        <f>Sheet1!AA238</f>
        <v>47.72</v>
      </c>
      <c r="BS240" s="94">
        <f>Sheet1!AB238</f>
        <v>36.590000000000003</v>
      </c>
      <c r="BT240" s="94">
        <f t="shared" ca="1" si="47"/>
        <v>-1.1922248470450107</v>
      </c>
      <c r="BU240" s="94">
        <f>Sheet1!AT238</f>
        <v>0</v>
      </c>
      <c r="BV240" s="89">
        <f>Sheet1!BB238</f>
        <v>0</v>
      </c>
      <c r="BW240" s="94">
        <f>Calculation!ED240</f>
        <v>25.224168937329701</v>
      </c>
      <c r="BX240" s="94">
        <f>(Sheet1!CS238*1440)/1000000</f>
        <v>13.681728000000001</v>
      </c>
      <c r="CA240" s="94">
        <f ca="1">Sheet1!AC238-Sheet1!BK238-Sheet1!BL238-Sheet1!BM238-Sheet1!BC238-Sheet1!BD238-Sheet1!BE238-Sheet1!BF238-Sheet1!BG238-Sheet1!BH238-Sheet1!BI238+BC240+P240</f>
        <v>71.499503152954972</v>
      </c>
      <c r="CB240" s="93">
        <f t="shared" si="48"/>
        <v>91.405780653950956</v>
      </c>
      <c r="CC240" s="94">
        <f t="shared" si="49"/>
        <v>0</v>
      </c>
      <c r="CD240" s="94">
        <f t="shared" ca="1" si="50"/>
        <v>96.72367209028468</v>
      </c>
      <c r="CE240" s="1077">
        <f t="shared" ca="1" si="51"/>
        <v>149.63152072367041</v>
      </c>
      <c r="CG240" s="1077">
        <f t="shared" ca="1" si="52"/>
        <v>71.499503152954972</v>
      </c>
    </row>
    <row r="241" spans="1:85" s="89" customFormat="1" x14ac:dyDescent="0.25">
      <c r="A241" s="616" t="s">
        <v>8</v>
      </c>
      <c r="B241" s="91">
        <v>42965</v>
      </c>
      <c r="C241" s="92">
        <v>0</v>
      </c>
      <c r="D241" s="94">
        <f>(Sheet1!BQ239-Sheet1!BQ238)*1.385</f>
        <v>2.6037999999999988</v>
      </c>
      <c r="E241" s="30">
        <f>(Sheet1!BR239-Sheet1!BR238)*1.385</f>
        <v>2.686899999999997</v>
      </c>
      <c r="F241" s="30">
        <f ca="1">IF(B241=TODAY(),0,-(VLOOKUP(Sheet1!CD239,Lookup!$I$4:$J$216,2)-VLOOKUP(Sheet1!CD238,Lookup!$I$4:$J$216,2))/1000000)</f>
        <v>0</v>
      </c>
      <c r="G241" s="94">
        <f ca="1">IF(B241=TODAY(),0,-$G$6*(Sheet1!CF239-Sheet1!CF238)*7.48/1000000)</f>
        <v>1.0325510273665408</v>
      </c>
      <c r="H241" s="94">
        <f ca="1">IF(B241=TODAY(),0,-$H$6*(Sheet1!CE239-Sheet1!CE238)*7.48/1000000)</f>
        <v>-1.5039432351265274E-2</v>
      </c>
      <c r="I241" s="94">
        <f ca="1">IF(B241=TODAY(),0,-$I$6*(Sheet1!CG239-Sheet1!CG238)*7.48/1000000)</f>
        <v>-2.2462440000000004E-2</v>
      </c>
      <c r="J241" s="95" t="s">
        <v>177</v>
      </c>
      <c r="K241" s="94">
        <f ca="1">IF(B241=TODAY(),0,-$K$6*(Sheet1!CH239-Sheet1!CH238)*7.48/1000000)</f>
        <v>-3.3316601872292212E-2</v>
      </c>
      <c r="L241" s="95" t="s">
        <v>177</v>
      </c>
      <c r="M241" s="94">
        <f ca="1">IF(B241=TODAY(),0,-$M$6*(Sheet1!CI239-Sheet1!CI238)*7.48/1000000)</f>
        <v>-8.6359240454529904E-2</v>
      </c>
      <c r="N241" s="94">
        <f ca="1">IF(B241=TODAY(),0,-$N$6*(Sheet1!CJ239-Sheet1!CJ238)*7.48/1000000)</f>
        <v>3.102617269731129E-2</v>
      </c>
      <c r="O241" s="94">
        <f t="shared" ca="1" si="53"/>
        <v>0.90639948538576476</v>
      </c>
      <c r="P241" s="94">
        <f ca="1">O241+Calculation!ES241</f>
        <v>-4.2196330063003034</v>
      </c>
      <c r="Q241" s="89" t="str">
        <f>IF(Sheet1!BQ239&gt;25.75,"spill elevation","-")</f>
        <v>-</v>
      </c>
      <c r="R241" s="89" t="str">
        <f>IF(Sheet1!BQ239&gt;25.75,"spill elevation","-")</f>
        <v>-</v>
      </c>
      <c r="S241" s="89" t="str">
        <f>IF(Sheet1!BR239&gt;25.75,"spill elevation","-")</f>
        <v>-</v>
      </c>
      <c r="T241" s="93">
        <f>IF(Sheet1!DU239=1,Sheet1!AA239-(SUM(AT241:BA241)+BE241),Sheet1!AA239-SUM(AT241:BA241))</f>
        <v>44.738992000000003</v>
      </c>
      <c r="U241" s="93">
        <f>Sheet1!BV239</f>
        <v>46.8</v>
      </c>
      <c r="V241" s="93">
        <f t="shared" si="54"/>
        <v>-2.061007999999994</v>
      </c>
      <c r="W241" s="93">
        <f>0</f>
        <v>0</v>
      </c>
      <c r="X241" s="89">
        <f>0</f>
        <v>0</v>
      </c>
      <c r="Y241" s="94">
        <f ca="1">Calculation!EJ242+Calculation!ES241+'Calculations II'!O241-'Calculations II'!W241</f>
        <v>66.848131581503125</v>
      </c>
      <c r="Z241" s="94">
        <f ca="1">Y241-Sheet1!CT240</f>
        <v>51.252131581503122</v>
      </c>
      <c r="AA241" s="94">
        <f ca="1">Y241+Calculation!DJ242+Calculation!AS242</f>
        <v>91.610818148667306</v>
      </c>
      <c r="AC241" s="94">
        <f>Sheet1!AA239+Sheet1!AB239+BC241</f>
        <v>100.47667199999999</v>
      </c>
      <c r="AD241" s="94">
        <f>Sheet1!AA239+Sheet1!BN239+'Calculations II'!BC241-Calculation!AS241-Calculation!DJ241</f>
        <v>50.192533542377191</v>
      </c>
      <c r="AE241" s="94">
        <f>Sheet1!AA239+Sheet1!AB239+'Calculations II'!BC241-Calculation!AS241-Calculation!DJ241</f>
        <v>75.302533542377191</v>
      </c>
      <c r="AF241" s="94">
        <f ca="1">Sheet1!AA239+Sheet1!BN239+P241+'Calculations II'!BC241+Calculation!AS241+Calculation!DJ241</f>
        <v>96.321177451322498</v>
      </c>
      <c r="AG241" s="94">
        <f ca="1">IF(B241=TODAY(),0,Sheet1!AA239+Sheet1!BN239+'Calculations II'!BC241+'Calculations II'!P241-Sheet1!CT239-BP241)</f>
        <v>55.401038993699693</v>
      </c>
      <c r="AH241" s="94">
        <f ca="1">IF(B241=TODAY(),0,Sheet1!AA239+Sheet1!BN239+'Calculations II'!BC241+'Calculations II'!P241-BP241)</f>
        <v>71.147038993699695</v>
      </c>
      <c r="AI241" s="94">
        <f ca="1">IF(B241=TODAY(),0,BC241+Sheet1!AA239+Calculation!ES241+O241+W241+Sheet1!BN239+Calculation!AS241+Calculation!DJ241-BP241)</f>
        <v>96.321177451322498</v>
      </c>
      <c r="AJ241" s="94"/>
      <c r="AM241" s="90">
        <f t="shared" si="55"/>
        <v>42965</v>
      </c>
      <c r="AN241" s="94">
        <f>Sheet1!BU239</f>
        <v>44.9</v>
      </c>
      <c r="AO241" s="94">
        <f>Sheet1!AA239</f>
        <v>47.71</v>
      </c>
      <c r="AP241" s="94">
        <f t="shared" si="44"/>
        <v>5.2906999999999957</v>
      </c>
      <c r="AQ241" s="1087">
        <f>((Sheet1!BV239-(Sheet1!BU239-AP241))/(Sheet1!BU239-AP241))</f>
        <v>0.18154069877528742</v>
      </c>
      <c r="AR241" s="94">
        <f t="shared" si="45"/>
        <v>42.419300000000007</v>
      </c>
      <c r="AS241" s="94">
        <f t="shared" si="46"/>
        <v>39.609300000000005</v>
      </c>
      <c r="AT241" s="89">
        <f>Sheet1!BB239</f>
        <v>0</v>
      </c>
      <c r="AU241" s="89">
        <f>Sheet1!AS239*GPMtoMGD</f>
        <v>3.6864000000000001E-2</v>
      </c>
      <c r="AV241" s="94">
        <f>Sheet1!AT239</f>
        <v>0</v>
      </c>
      <c r="AW241" s="89">
        <f>Sheet1!AV239*GPMtoMGD</f>
        <v>1.2088800000000002</v>
      </c>
      <c r="AX241" s="89">
        <f>Sheet1!AW239*GPMtoMGD</f>
        <v>1.7248320000000001</v>
      </c>
      <c r="AY241" s="89">
        <f>Sheet1!AX239*GPMtoMGD</f>
        <v>4.3200000000000004E-4</v>
      </c>
      <c r="AZ241" s="89">
        <f>Sheet1!AY239*GPMtoMGD</f>
        <v>0</v>
      </c>
      <c r="BA241" s="89">
        <f>Sheet1!AZ239*GPMtoMGD</f>
        <v>0</v>
      </c>
      <c r="BB241" s="89">
        <f>Sheet1!BP239*GPMtoMGD</f>
        <v>2.4480000000000001E-3</v>
      </c>
      <c r="BC241" s="89">
        <f>Sheet1!CS239*GPMtoMGD</f>
        <v>13.656672</v>
      </c>
      <c r="BD241" s="89">
        <f>Sheet1!BO239*GPMtoMGD</f>
        <v>3.6404640000000001</v>
      </c>
      <c r="BE241" s="89">
        <f>Sheet1!BW239*GPMtoMGD</f>
        <v>1.7667360000000003</v>
      </c>
      <c r="BF241" s="89">
        <f>Sheet1!CN239*GPMtoMGD</f>
        <v>4.0181760000000004</v>
      </c>
      <c r="BG241" s="89">
        <f>Sheet1!CO239*GPMtoMGD</f>
        <v>1.4787360000000003</v>
      </c>
      <c r="BH241" s="89">
        <f>Sheet1!CP239*GPMtoMGD</f>
        <v>0.62553599999999998</v>
      </c>
      <c r="BI241" s="89">
        <f t="shared" si="56"/>
        <v>3.6429119999999999</v>
      </c>
      <c r="BK241" s="94">
        <f>SUM(AT241:BA241,AS241,BC241,Calculation!AQ241)</f>
        <v>70.172841542377199</v>
      </c>
      <c r="BM241" s="358">
        <f>0</f>
        <v>0</v>
      </c>
      <c r="BN241" s="358">
        <f>0</f>
        <v>0</v>
      </c>
      <c r="BP241" s="94">
        <f>SUM(BM241:BN241,W241,Sheet1!DX239)</f>
        <v>0</v>
      </c>
      <c r="BR241" s="94">
        <f>Sheet1!AA239</f>
        <v>47.71</v>
      </c>
      <c r="BS241" s="94">
        <f>Sheet1!AB239</f>
        <v>39.11</v>
      </c>
      <c r="BT241" s="94">
        <f t="shared" ca="1" si="47"/>
        <v>-4.2196330063003034</v>
      </c>
      <c r="BU241" s="94">
        <f>Sheet1!AT239</f>
        <v>0</v>
      </c>
      <c r="BV241" s="89">
        <f>Sheet1!BB239</f>
        <v>0</v>
      </c>
      <c r="BW241" s="94">
        <f>Calculation!ED241</f>
        <v>25.174138457622806</v>
      </c>
      <c r="BX241" s="94">
        <f>(Sheet1!CS239*1440)/1000000</f>
        <v>13.656671999999999</v>
      </c>
      <c r="CA241" s="94">
        <f ca="1">Sheet1!AC239-Sheet1!BK239-Sheet1!BL239-Sheet1!BM239-Sheet1!BC239-Sheet1!BD239-Sheet1!BE239-Sheet1!BF239-Sheet1!BG239-Sheet1!BH239-Sheet1!BI239+BC241+P241</f>
        <v>70.967038993699688</v>
      </c>
      <c r="CB241" s="93">
        <f t="shared" si="48"/>
        <v>95.366147806057512</v>
      </c>
      <c r="CC241" s="94">
        <f t="shared" si="49"/>
        <v>0</v>
      </c>
      <c r="CD241" s="94">
        <f t="shared" ca="1" si="50"/>
        <v>96.141177451322491</v>
      </c>
      <c r="CE241" s="1077">
        <f t="shared" ca="1" si="51"/>
        <v>148.7304015171959</v>
      </c>
      <c r="CG241" s="1077">
        <f t="shared" ca="1" si="52"/>
        <v>70.967038993699688</v>
      </c>
    </row>
    <row r="242" spans="1:85" s="89" customFormat="1" x14ac:dyDescent="0.25">
      <c r="A242" s="616" t="s">
        <v>9</v>
      </c>
      <c r="B242" s="91">
        <v>42966</v>
      </c>
      <c r="C242" s="92">
        <v>0</v>
      </c>
      <c r="D242" s="94">
        <f>(Sheet1!BQ240-Sheet1!BQ239)*1.385</f>
        <v>0.41550000000000098</v>
      </c>
      <c r="E242" s="30">
        <f>(Sheet1!BR240-Sheet1!BR239)*1.385</f>
        <v>0.27700000000000397</v>
      </c>
      <c r="F242" s="30">
        <f ca="1">IF(B242=TODAY(),0,-(VLOOKUP(Sheet1!CD240,Lookup!$I$4:$J$216,2)-VLOOKUP(Sheet1!CD239,Lookup!$I$4:$J$216,2))/1000000)</f>
        <v>-0.41454775419120304</v>
      </c>
      <c r="G242" s="94">
        <f ca="1">IF(B242=TODAY(),0,-$G$6*(Sheet1!CF240-Sheet1!CF239)*7.48/1000000)</f>
        <v>-0.35742150947303314</v>
      </c>
      <c r="H242" s="94">
        <f ca="1">IF(B242=TODAY(),0,-$H$6*(Sheet1!CE240-Sheet1!CE239)*7.48/1000000)</f>
        <v>0</v>
      </c>
      <c r="I242" s="94">
        <f ca="1">IF(B242=TODAY(),0,-$I$6*(Sheet1!CG240-Sheet1!CG239)*7.48/1000000)</f>
        <v>4.4924880000000236E-3</v>
      </c>
      <c r="J242" s="95" t="s">
        <v>177</v>
      </c>
      <c r="K242" s="94">
        <f ca="1">IF(B242=TODAY(),0,-$K$6*(Sheet1!CH240-Sheet1!CH239)*7.48/1000000)</f>
        <v>1.3326640748916837E-2</v>
      </c>
      <c r="L242" s="95" t="s">
        <v>177</v>
      </c>
      <c r="M242" s="94">
        <f ca="1">IF(B242=TODAY(),0,-$M$6*(Sheet1!CI240-Sheet1!CI239)*7.48/1000000)</f>
        <v>3.598301685605397E-2</v>
      </c>
      <c r="N242" s="94">
        <f ca="1">IF(B242=TODAY(),0,-$N$6*(Sheet1!CJ240-Sheet1!CJ239)*7.48/1000000)</f>
        <v>-0.31026172697311949</v>
      </c>
      <c r="O242" s="94">
        <f t="shared" ca="1" si="53"/>
        <v>-1.0284288450323849</v>
      </c>
      <c r="P242" s="94">
        <f ca="1">O242+Calculation!ES242</f>
        <v>-1.7214488195199951</v>
      </c>
      <c r="Q242" s="89" t="str">
        <f>IF(Sheet1!BQ240&gt;25.75,"spill elevation","-")</f>
        <v>-</v>
      </c>
      <c r="R242" s="89" t="str">
        <f>IF(Sheet1!BQ240&gt;25.75,"spill elevation","-")</f>
        <v>-</v>
      </c>
      <c r="S242" s="89" t="str">
        <f>IF(Sheet1!BR240&gt;25.75,"spill elevation","-")</f>
        <v>-</v>
      </c>
      <c r="T242" s="93">
        <f>IF(Sheet1!DU240=1,Sheet1!AA240-(SUM(AT242:BA242)+BE242),Sheet1!AA240-SUM(AT242:BA242))</f>
        <v>44.265424000000003</v>
      </c>
      <c r="U242" s="93">
        <f>Sheet1!BV240</f>
        <v>51.8</v>
      </c>
      <c r="V242" s="93">
        <f t="shared" si="54"/>
        <v>-7.5345759999999942</v>
      </c>
      <c r="W242" s="93">
        <f>0</f>
        <v>0</v>
      </c>
      <c r="X242" s="89">
        <f>0</f>
        <v>0</v>
      </c>
      <c r="Y242" s="94">
        <f ca="1">Calculation!EJ243+Calculation!ES242+'Calculations II'!O242-'Calculations II'!W242</f>
        <v>69.065258902553651</v>
      </c>
      <c r="Z242" s="94">
        <f ca="1">Y242-Sheet1!CT241</f>
        <v>52.690258902553651</v>
      </c>
      <c r="AA242" s="94">
        <f ca="1">Y242+Calculation!DJ243+Calculation!AS243</f>
        <v>93.636316454408757</v>
      </c>
      <c r="AC242" s="94">
        <f>Sheet1!AA240+Sheet1!AB240+BC242</f>
        <v>96.524304000000001</v>
      </c>
      <c r="AD242" s="94">
        <f>Sheet1!AA240+Sheet1!BN240+'Calculations II'!BC242-Calculation!AS242-Calculation!DJ242</f>
        <v>47.061617432835838</v>
      </c>
      <c r="AE242" s="94">
        <f>Sheet1!AA240+Sheet1!AB240+'Calculations II'!BC242-Calculation!AS242-Calculation!DJ242</f>
        <v>71.761617432835834</v>
      </c>
      <c r="AF242" s="94">
        <f ca="1">Sheet1!AA240+Sheet1!BN240+P242+'Calculations II'!BC242+Calculation!AS242+Calculation!DJ242</f>
        <v>94.865541747644187</v>
      </c>
      <c r="AG242" s="94">
        <f ca="1">IF(B242=TODAY(),0,Sheet1!AA240+Sheet1!BN240+'Calculations II'!BC242+'Calculations II'!P242-Sheet1!CT240-BP242)</f>
        <v>54.506855180480017</v>
      </c>
      <c r="AH242" s="94">
        <f ca="1">IF(B242=TODAY(),0,Sheet1!AA240+Sheet1!BN240+'Calculations II'!BC242+'Calculations II'!P242-BP242)</f>
        <v>70.10285518048002</v>
      </c>
      <c r="AI242" s="94">
        <f ca="1">IF(B242=TODAY(),0,BC242+Sheet1!AA240+Calculation!ES242+O242+W242+Sheet1!BN240+Calculation!AS242+Calculation!DJ242-BP242)</f>
        <v>94.865541747644187</v>
      </c>
      <c r="AJ242" s="94"/>
      <c r="AM242" s="90">
        <f t="shared" si="55"/>
        <v>42966</v>
      </c>
      <c r="AN242" s="94">
        <f>Sheet1!BU240</f>
        <v>44.6</v>
      </c>
      <c r="AO242" s="94">
        <f>Sheet1!AA240</f>
        <v>47.56</v>
      </c>
      <c r="AP242" s="94">
        <f t="shared" si="44"/>
        <v>0.692500000000005</v>
      </c>
      <c r="AQ242" s="1087">
        <f>((Sheet1!BV240-(Sheet1!BU240-AP242))/(Sheet1!BU240-AP242))</f>
        <v>0.17975288959744914</v>
      </c>
      <c r="AR242" s="94">
        <f t="shared" si="45"/>
        <v>46.8675</v>
      </c>
      <c r="AS242" s="94">
        <f t="shared" si="46"/>
        <v>43.907499999999999</v>
      </c>
      <c r="AT242" s="89">
        <f>Sheet1!BB240</f>
        <v>0</v>
      </c>
      <c r="AU242" s="89">
        <f>Sheet1!AS240*GPMtoMGD</f>
        <v>3.8880000000000005E-2</v>
      </c>
      <c r="AV242" s="94">
        <f>Sheet1!AT240</f>
        <v>0</v>
      </c>
      <c r="AW242" s="89">
        <f>Sheet1!AV240*GPMtoMGD</f>
        <v>0.83116800000000013</v>
      </c>
      <c r="AX242" s="89">
        <f>Sheet1!AW240*GPMtoMGD</f>
        <v>2.424528</v>
      </c>
      <c r="AY242" s="89">
        <f>Sheet1!AX240*GPMtoMGD</f>
        <v>0</v>
      </c>
      <c r="AZ242" s="89">
        <f>Sheet1!AY240*GPMtoMGD</f>
        <v>0</v>
      </c>
      <c r="BA242" s="89">
        <f>Sheet1!AZ240*GPMtoMGD</f>
        <v>0</v>
      </c>
      <c r="BB242" s="89">
        <f>Sheet1!BP240*GPMtoMGD</f>
        <v>2.4480000000000001E-3</v>
      </c>
      <c r="BC242" s="89">
        <f>Sheet1!CS240*GPMtoMGD</f>
        <v>13.664304000000001</v>
      </c>
      <c r="BD242" s="89">
        <f>Sheet1!BO240*GPMtoMGD</f>
        <v>3.4758720000000003</v>
      </c>
      <c r="BE242" s="89">
        <f>Sheet1!BW240*GPMtoMGD</f>
        <v>1.9150560000000003</v>
      </c>
      <c r="BF242" s="89">
        <f>Sheet1!CN240*GPMtoMGD</f>
        <v>4.1597280000000003</v>
      </c>
      <c r="BG242" s="89">
        <f>Sheet1!CO240*GPMtoMGD</f>
        <v>1.5190560000000002</v>
      </c>
      <c r="BH242" s="89">
        <f>Sheet1!CP240*GPMtoMGD</f>
        <v>7.3439999999999998E-3</v>
      </c>
      <c r="BI242" s="89">
        <f t="shared" si="56"/>
        <v>3.4783200000000001</v>
      </c>
      <c r="BK242" s="94">
        <f>SUM(AT242:BA242,AS242,BC242,Calculation!AQ242)</f>
        <v>71.403693432835823</v>
      </c>
      <c r="BM242" s="358">
        <f>0</f>
        <v>0</v>
      </c>
      <c r="BN242" s="358">
        <f>0</f>
        <v>0</v>
      </c>
      <c r="BP242" s="94">
        <f>SUM(BM242:BN242,W242,Sheet1!DX240)</f>
        <v>0</v>
      </c>
      <c r="BR242" s="94">
        <f>Sheet1!AA240</f>
        <v>47.56</v>
      </c>
      <c r="BS242" s="94">
        <f>Sheet1!AB240</f>
        <v>35.299999999999997</v>
      </c>
      <c r="BT242" s="94">
        <f t="shared" ca="1" si="47"/>
        <v>-1.7214488195199951</v>
      </c>
      <c r="BU242" s="94">
        <f>Sheet1!AT240</f>
        <v>0</v>
      </c>
      <c r="BV242" s="89">
        <f>Sheet1!BB240</f>
        <v>0</v>
      </c>
      <c r="BW242" s="94">
        <f>Calculation!ED242</f>
        <v>24.762686567164174</v>
      </c>
      <c r="BX242" s="94">
        <f>(Sheet1!CS240*1440)/1000000</f>
        <v>13.664304</v>
      </c>
      <c r="CA242" s="94">
        <f ca="1">Sheet1!AC240-Sheet1!BK240-Sheet1!BL240-Sheet1!BM240-Sheet1!BC240-Sheet1!BD240-Sheet1!BE240-Sheet1!BF240-Sheet1!BG240-Sheet1!BH240-Sheet1!BI240+BC242+P242</f>
        <v>69.892855180480012</v>
      </c>
      <c r="CB242" s="93">
        <f t="shared" si="48"/>
        <v>89.876543880597012</v>
      </c>
      <c r="CC242" s="94">
        <f t="shared" si="49"/>
        <v>0</v>
      </c>
      <c r="CD242" s="94">
        <f t="shared" ca="1" si="50"/>
        <v>94.655541747644179</v>
      </c>
      <c r="CE242" s="1077">
        <f t="shared" ca="1" si="51"/>
        <v>146.43212308360555</v>
      </c>
      <c r="CG242" s="1077">
        <f t="shared" ca="1" si="52"/>
        <v>69.892855180480012</v>
      </c>
    </row>
    <row r="243" spans="1:85" s="89" customFormat="1" x14ac:dyDescent="0.25">
      <c r="A243" s="616" t="s">
        <v>3</v>
      </c>
      <c r="B243" s="91">
        <v>42967</v>
      </c>
      <c r="C243" s="92">
        <v>0</v>
      </c>
      <c r="D243" s="94">
        <f>(Sheet1!BQ241-Sheet1!BQ240)*1.385</f>
        <v>-0.41550000000000098</v>
      </c>
      <c r="E243" s="30">
        <f>(Sheet1!BR241-Sheet1!BR240)*1.385</f>
        <v>-0.41550000000000098</v>
      </c>
      <c r="F243" s="30">
        <f ca="1">IF(B243=TODAY(),0,-(VLOOKUP(Sheet1!CD241,Lookup!$I$4:$J$216,2)-VLOOKUP(Sheet1!CD240,Lookup!$I$4:$J$216,2))/1000000)</f>
        <v>0.20727387709559872</v>
      </c>
      <c r="G243" s="94">
        <f ca="1">IF(B243=TODAY(),0,-$G$6*(Sheet1!CF241-Sheet1!CF240)*7.48/1000000)</f>
        <v>-0.15885400421023663</v>
      </c>
      <c r="H243" s="94">
        <f ca="1">IF(B243=TODAY(),0,-$H$6*(Sheet1!CE241-Sheet1!CE240)*7.48/1000000)</f>
        <v>-1.5039432351264204E-2</v>
      </c>
      <c r="I243" s="94">
        <f ca="1">IF(B243=TODAY(),0,-$I$6*(Sheet1!CG241-Sheet1!CG240)*7.48/1000000)</f>
        <v>4.4924879999999837E-3</v>
      </c>
      <c r="J243" s="95" t="s">
        <v>177</v>
      </c>
      <c r="K243" s="94">
        <f ca="1">IF(B243=TODAY(),0,-$K$6*(Sheet1!CH241-Sheet1!CH240)*7.48/1000000)</f>
        <v>0</v>
      </c>
      <c r="L243" s="95" t="s">
        <v>177</v>
      </c>
      <c r="M243" s="94">
        <f ca="1">IF(B243=TODAY(),0,-$M$6*(Sheet1!CI241-Sheet1!CI240)*7.48/1000000)</f>
        <v>0</v>
      </c>
      <c r="N243" s="94">
        <f ca="1">IF(B243=TODAY(),0,-$N$6*(Sheet1!CJ241-Sheet1!CJ240)*7.48/1000000)</f>
        <v>6.2052345394624786E-2</v>
      </c>
      <c r="O243" s="94">
        <f t="shared" ca="1" si="53"/>
        <v>9.9925273928722663E-2</v>
      </c>
      <c r="P243" s="94">
        <f ca="1">O243+Calculation!ES243</f>
        <v>0.93156462938375606</v>
      </c>
      <c r="Q243" s="89" t="str">
        <f>IF(Sheet1!BQ241&gt;25.75,"spill elevation","-")</f>
        <v>-</v>
      </c>
      <c r="R243" s="89" t="str">
        <f>IF(Sheet1!BQ241&gt;25.75,"spill elevation","-")</f>
        <v>-</v>
      </c>
      <c r="S243" s="89" t="str">
        <f>IF(Sheet1!BR241&gt;25.75,"spill elevation","-")</f>
        <v>-</v>
      </c>
      <c r="T243" s="93">
        <f>IF(Sheet1!DU241=1,Sheet1!AA241-(SUM(AT243:BA243)+BE243),Sheet1!AA241-SUM(AT243:BA243))</f>
        <v>44.310703999999994</v>
      </c>
      <c r="U243" s="93">
        <f>Sheet1!BV241</f>
        <v>53.5</v>
      </c>
      <c r="V243" s="93">
        <f t="shared" si="54"/>
        <v>-9.1892960000000059</v>
      </c>
      <c r="W243" s="93">
        <f>0</f>
        <v>0</v>
      </c>
      <c r="X243" s="89">
        <f>0</f>
        <v>0</v>
      </c>
      <c r="Y243" s="94">
        <f ca="1">Calculation!EJ244+Calculation!ES243+'Calculations II'!O243-'Calculations II'!W243</f>
        <v>72.219096720707626</v>
      </c>
      <c r="Z243" s="94">
        <f ca="1">Y243-Sheet1!CT242</f>
        <v>53.45209672070763</v>
      </c>
      <c r="AA243" s="94">
        <f ca="1">Y243+Calculation!DJ244+Calculation!AS244</f>
        <v>97.21496274364064</v>
      </c>
      <c r="AC243" s="94">
        <f>Sheet1!AA241+Sheet1!AB241+BC243</f>
        <v>94.968544000000009</v>
      </c>
      <c r="AD243" s="94">
        <f>Sheet1!AA241+Sheet1!BN241+'Calculations II'!BC243-Calculation!AS243-Calculation!DJ243</f>
        <v>45.887486448144905</v>
      </c>
      <c r="AE243" s="94">
        <f>Sheet1!AA241+Sheet1!AB241+'Calculations II'!BC243-Calculation!AS243-Calculation!DJ243</f>
        <v>70.397486448144917</v>
      </c>
      <c r="AF243" s="94">
        <f ca="1">Sheet1!AA241+Sheet1!BN241+P243+'Calculations II'!BC243+Calculation!AS243+Calculation!DJ243</f>
        <v>95.961166181238866</v>
      </c>
      <c r="AG243" s="94">
        <f ca="1">IF(B243=TODAY(),0,Sheet1!AA241+Sheet1!BN241+'Calculations II'!BC243+'Calculations II'!P243-Sheet1!CT241-BP243)</f>
        <v>55.015108629383761</v>
      </c>
      <c r="AH243" s="94">
        <f ca="1">IF(B243=TODAY(),0,Sheet1!AA241+Sheet1!BN241+'Calculations II'!BC243+'Calculations II'!P243-BP243)</f>
        <v>71.390108629383761</v>
      </c>
      <c r="AI243" s="94">
        <f ca="1">IF(B243=TODAY(),0,BC243+Sheet1!AA241+Calculation!ES243+O243+W243+Sheet1!BN241+Calculation!AS243+Calculation!DJ243-BP243)</f>
        <v>95.961166181238838</v>
      </c>
      <c r="AJ243" s="94"/>
      <c r="AM243" s="90">
        <f t="shared" si="55"/>
        <v>42967</v>
      </c>
      <c r="AN243" s="94">
        <f>Sheet1!BU241</f>
        <v>44.6</v>
      </c>
      <c r="AO243" s="94">
        <f>Sheet1!AA241</f>
        <v>47.3</v>
      </c>
      <c r="AP243" s="94">
        <f t="shared" si="44"/>
        <v>-0.83100000000000196</v>
      </c>
      <c r="AQ243" s="1087">
        <f>((Sheet1!BV241-(Sheet1!BU241-AP243))/(Sheet1!BU241-AP243))</f>
        <v>0.17761000198102606</v>
      </c>
      <c r="AR243" s="94">
        <f t="shared" si="45"/>
        <v>48.131</v>
      </c>
      <c r="AS243" s="94">
        <f t="shared" si="46"/>
        <v>45.431000000000004</v>
      </c>
      <c r="AT243" s="89">
        <f>Sheet1!BB241</f>
        <v>0</v>
      </c>
      <c r="AU243" s="89">
        <f>Sheet1!AS241*GPMtoMGD</f>
        <v>3.8159999999999999E-2</v>
      </c>
      <c r="AV243" s="94">
        <f>Sheet1!AT241</f>
        <v>0</v>
      </c>
      <c r="AW243" s="89">
        <f>Sheet1!AV241*GPMtoMGD</f>
        <v>1.0745280000000001</v>
      </c>
      <c r="AX243" s="89">
        <f>Sheet1!AW241*GPMtoMGD</f>
        <v>1.8764639999999999</v>
      </c>
      <c r="AY243" s="89">
        <f>Sheet1!AX241*GPMtoMGD</f>
        <v>1.44E-4</v>
      </c>
      <c r="AZ243" s="89">
        <f>Sheet1!AY241*GPMtoMGD</f>
        <v>0</v>
      </c>
      <c r="BA243" s="89">
        <f>Sheet1!AZ241*GPMtoMGD</f>
        <v>0</v>
      </c>
      <c r="BB243" s="89">
        <f>Sheet1!BP241*GPMtoMGD</f>
        <v>2.5920000000000001E-3</v>
      </c>
      <c r="BC243" s="89">
        <f>Sheet1!CS241*GPMtoMGD</f>
        <v>13.658544000000001</v>
      </c>
      <c r="BD243" s="89">
        <f>Sheet1!BO241*GPMtoMGD</f>
        <v>3.5559360000000004</v>
      </c>
      <c r="BE243" s="89">
        <f>Sheet1!BW241*GPMtoMGD</f>
        <v>1.9425600000000001</v>
      </c>
      <c r="BF243" s="89">
        <f>Sheet1!CN241*GPMtoMGD</f>
        <v>4.3020000000000005</v>
      </c>
      <c r="BG243" s="89">
        <f>Sheet1!CO241*GPMtoMGD</f>
        <v>1.4811840000000001</v>
      </c>
      <c r="BH243" s="89">
        <f>Sheet1!CP241*GPMtoMGD</f>
        <v>2.8800000000000001E-4</v>
      </c>
      <c r="BI243" s="89">
        <f t="shared" si="56"/>
        <v>3.5585280000000004</v>
      </c>
      <c r="BK243" s="94">
        <f>SUM(AT243:BA243,AS243,BC243,Calculation!AQ243)</f>
        <v>71.517782448144914</v>
      </c>
      <c r="BM243" s="358">
        <f>0</f>
        <v>0</v>
      </c>
      <c r="BN243" s="358">
        <f>0</f>
        <v>0</v>
      </c>
      <c r="BP243" s="94">
        <f>SUM(BM243:BN243,W243,Sheet1!DX241)</f>
        <v>0</v>
      </c>
      <c r="BR243" s="94">
        <f>Sheet1!AA241</f>
        <v>47.3</v>
      </c>
      <c r="BS243" s="94">
        <f>Sheet1!AB241</f>
        <v>34.01</v>
      </c>
      <c r="BT243" s="94">
        <f t="shared" ca="1" si="47"/>
        <v>0.93156462938375606</v>
      </c>
      <c r="BU243" s="94">
        <f>Sheet1!AT241</f>
        <v>0</v>
      </c>
      <c r="BV243" s="89">
        <f>Sheet1!BB241</f>
        <v>0</v>
      </c>
      <c r="BW243" s="94">
        <f>Calculation!ED243</f>
        <v>24.571057551855098</v>
      </c>
      <c r="BX243" s="94">
        <f>(Sheet1!CS241*1440)/1000000</f>
        <v>13.658543999999999</v>
      </c>
      <c r="CA243" s="94">
        <f ca="1">Sheet1!AC241-Sheet1!BK241-Sheet1!BL241-Sheet1!BM241-Sheet1!BC241-Sheet1!BD241-Sheet1!BE241-Sheet1!BF241-Sheet1!BG241-Sheet1!BH241-Sheet1!BI241+BC243+P243</f>
        <v>71.170108629383748</v>
      </c>
      <c r="CB243" s="93">
        <f t="shared" si="48"/>
        <v>87.775143967280158</v>
      </c>
      <c r="CC243" s="94">
        <f t="shared" si="49"/>
        <v>0</v>
      </c>
      <c r="CD243" s="94">
        <f t="shared" ca="1" si="50"/>
        <v>95.741166181238839</v>
      </c>
      <c r="CE243" s="1077">
        <f t="shared" ca="1" si="51"/>
        <v>148.11158408237648</v>
      </c>
      <c r="CG243" s="1077">
        <f t="shared" ca="1" si="52"/>
        <v>71.170108629383748</v>
      </c>
    </row>
    <row r="244" spans="1:85" s="89" customFormat="1" x14ac:dyDescent="0.25">
      <c r="A244" s="616" t="s">
        <v>4</v>
      </c>
      <c r="B244" s="91">
        <v>42968</v>
      </c>
      <c r="C244" s="92">
        <v>0</v>
      </c>
      <c r="D244" s="94">
        <f>(Sheet1!BQ242-Sheet1!BQ241)*1.385</f>
        <v>-2.2159999999999971</v>
      </c>
      <c r="E244" s="30">
        <f>(Sheet1!BR242-Sheet1!BR241)*1.385</f>
        <v>-2.216000000000002</v>
      </c>
      <c r="F244" s="30">
        <f ca="1">IF(B244=TODAY(),0,-(VLOOKUP(Sheet1!CD242,Lookup!$I$4:$J$216,2)-VLOOKUP(Sheet1!CD241,Lookup!$I$4:$J$216,2))/1000000)</f>
        <v>-0.62182163128680179</v>
      </c>
      <c r="G244" s="94">
        <f ca="1">IF(B244=TODAY(),0,-$G$6*(Sheet1!CF242-Sheet1!CF241)*7.48/1000000)</f>
        <v>-0.3177080084204747</v>
      </c>
      <c r="H244" s="94">
        <f ca="1">IF(B244=TODAY(),0,-$H$6*(Sheet1!CE242-Sheet1!CE241)*7.48/1000000)</f>
        <v>3.0078864702529479E-2</v>
      </c>
      <c r="I244" s="94">
        <f ca="1">IF(B244=TODAY(),0,-$I$6*(Sheet1!CG242-Sheet1!CG241)*7.48/1000000)</f>
        <v>-2.2462439999999959E-2</v>
      </c>
      <c r="J244" s="95" t="s">
        <v>177</v>
      </c>
      <c r="K244" s="94">
        <f ca="1">IF(B244=TODAY(),0,-$K$6*(Sheet1!CH242-Sheet1!CH241)*7.48/1000000)</f>
        <v>-3.3316601872292212E-2</v>
      </c>
      <c r="L244" s="95" t="s">
        <v>177</v>
      </c>
      <c r="M244" s="94">
        <f ca="1">IF(B244=TODAY(),0,-$M$6*(Sheet1!CI242-Sheet1!CI241)*7.48/1000000)</f>
        <v>-0.12594055899618922</v>
      </c>
      <c r="N244" s="94">
        <f ca="1">IF(B244=TODAY(),0,-$N$6*(Sheet1!CJ242-Sheet1!CJ241)*7.48/1000000)</f>
        <v>0.80668049013011012</v>
      </c>
      <c r="O244" s="94">
        <f t="shared" ca="1" si="53"/>
        <v>-0.2844898857431184</v>
      </c>
      <c r="P244" s="94">
        <f ca="1">O244+Calculation!ES244</f>
        <v>4.1489713062758522</v>
      </c>
      <c r="Q244" s="89" t="str">
        <f>IF(Sheet1!BQ242&gt;25.75,"spill elevation","-")</f>
        <v>-</v>
      </c>
      <c r="R244" s="89" t="str">
        <f>IF(Sheet1!BQ242&gt;25.75,"spill elevation","-")</f>
        <v>-</v>
      </c>
      <c r="S244" s="89" t="str">
        <f>IF(Sheet1!BR242&gt;25.75,"spill elevation","-")</f>
        <v>-</v>
      </c>
      <c r="T244" s="93">
        <f>IF(Sheet1!DU242=1,Sheet1!AA242-(SUM(AT244:BA244)+BE244),Sheet1!AA242-SUM(AT244:BA244))</f>
        <v>46.083872</v>
      </c>
      <c r="U244" s="93">
        <f>Sheet1!BV242</f>
        <v>59.4</v>
      </c>
      <c r="V244" s="93">
        <f t="shared" si="54"/>
        <v>-13.316127999999999</v>
      </c>
      <c r="W244" s="93">
        <f>0</f>
        <v>0</v>
      </c>
      <c r="X244" s="89">
        <f>0</f>
        <v>0</v>
      </c>
      <c r="Y244" s="94">
        <f ca="1">Calculation!EJ245+Calculation!ES244+'Calculations II'!O244-'Calculations II'!W244</f>
        <v>77.756297405818813</v>
      </c>
      <c r="Z244" s="94">
        <f ca="1">Y244-Sheet1!CT243</f>
        <v>62.657297405818809</v>
      </c>
      <c r="AA244" s="94">
        <f ca="1">Y244+Calculation!DJ245+Calculation!AS245</f>
        <v>102.91292482381712</v>
      </c>
      <c r="AC244" s="94">
        <f>Sheet1!AA242+Sheet1!AB242+BC244</f>
        <v>96.551760000000002</v>
      </c>
      <c r="AD244" s="94">
        <f>Sheet1!AA242+Sheet1!BN242+'Calculations II'!BC244-Calculation!AS244-Calculation!DJ244</f>
        <v>46.605893977066984</v>
      </c>
      <c r="AE244" s="94">
        <f>Sheet1!AA242+Sheet1!AB242+'Calculations II'!BC244-Calculation!AS244-Calculation!DJ244</f>
        <v>71.555893977066987</v>
      </c>
      <c r="AF244" s="94">
        <f ca="1">Sheet1!AA242+Sheet1!BN242+P244+'Calculations II'!BC244+Calculation!AS244+Calculation!DJ244</f>
        <v>100.74659732920887</v>
      </c>
      <c r="AG244" s="94">
        <f ca="1">IF(B244=TODAY(),0,Sheet1!AA242+Sheet1!BN242+'Calculations II'!BC244+'Calculations II'!P244-Sheet1!CT242-BP244)</f>
        <v>56.983731306275857</v>
      </c>
      <c r="AH244" s="94">
        <f ca="1">IF(B244=TODAY(),0,Sheet1!AA242+Sheet1!BN242+'Calculations II'!BC244+'Calculations II'!P244-BP244)</f>
        <v>75.750731306275853</v>
      </c>
      <c r="AI244" s="94">
        <f ca="1">IF(B244=TODAY(),0,BC244+Sheet1!AA242+Calculation!ES244+O244+W244+Sheet1!BN242+Calculation!AS244+Calculation!DJ244-BP244)</f>
        <v>100.74659732920887</v>
      </c>
      <c r="AJ244" s="94"/>
      <c r="AM244" s="90">
        <f t="shared" si="55"/>
        <v>42968</v>
      </c>
      <c r="AN244" s="94">
        <f>Sheet1!BU242</f>
        <v>46.1</v>
      </c>
      <c r="AO244" s="94">
        <f>Sheet1!AA242</f>
        <v>49.97</v>
      </c>
      <c r="AP244" s="94">
        <f t="shared" si="44"/>
        <v>-4.4319999999999986</v>
      </c>
      <c r="AQ244" s="1087">
        <f>((Sheet1!BV242-(Sheet1!BU242-AP244))/(Sheet1!BU242-AP244))</f>
        <v>0.17549275706483025</v>
      </c>
      <c r="AR244" s="94">
        <f t="shared" si="45"/>
        <v>54.402000000000001</v>
      </c>
      <c r="AS244" s="94">
        <f t="shared" si="46"/>
        <v>50.531999999999996</v>
      </c>
      <c r="AT244" s="89">
        <f>Sheet1!BB242</f>
        <v>0</v>
      </c>
      <c r="AU244" s="89">
        <f>Sheet1!AS242*GPMtoMGD</f>
        <v>4.780800000000001E-2</v>
      </c>
      <c r="AV244" s="94">
        <f>Sheet1!AT242</f>
        <v>0</v>
      </c>
      <c r="AW244" s="89">
        <f>Sheet1!AV242*GPMtoMGD</f>
        <v>1.1237760000000001</v>
      </c>
      <c r="AX244" s="89">
        <f>Sheet1!AW242*GPMtoMGD</f>
        <v>2.7129600000000003</v>
      </c>
      <c r="AY244" s="89">
        <f>Sheet1!AX242*GPMtoMGD</f>
        <v>1.5840000000000001E-3</v>
      </c>
      <c r="AZ244" s="89">
        <f>Sheet1!AY242*GPMtoMGD</f>
        <v>0</v>
      </c>
      <c r="BA244" s="89">
        <f>Sheet1!AZ242*GPMtoMGD</f>
        <v>0</v>
      </c>
      <c r="BB244" s="89">
        <f>Sheet1!BP242*GPMtoMGD</f>
        <v>2.3040000000000001E-3</v>
      </c>
      <c r="BC244" s="89">
        <f>Sheet1!CS242*GPMtoMGD</f>
        <v>13.631760000000002</v>
      </c>
      <c r="BD244" s="89">
        <f>Sheet1!BO242*GPMtoMGD</f>
        <v>3.7946879999999998</v>
      </c>
      <c r="BE244" s="89">
        <f>Sheet1!BW242*GPMtoMGD</f>
        <v>1.8787680000000002</v>
      </c>
      <c r="BF244" s="89">
        <f>Sheet1!CN242*GPMtoMGD</f>
        <v>4.1916960000000003</v>
      </c>
      <c r="BG244" s="89">
        <f>Sheet1!CO242*GPMtoMGD</f>
        <v>1.525104</v>
      </c>
      <c r="BH244" s="89">
        <f>Sheet1!CP242*GPMtoMGD</f>
        <v>0</v>
      </c>
      <c r="BI244" s="89">
        <f t="shared" si="56"/>
        <v>3.7969919999999999</v>
      </c>
      <c r="BK244" s="94">
        <f>SUM(AT244:BA244,AS244,BC244,Calculation!AQ244)</f>
        <v>76.004021977066984</v>
      </c>
      <c r="BM244" s="358">
        <f>0</f>
        <v>0</v>
      </c>
      <c r="BN244" s="358">
        <f>0</f>
        <v>0</v>
      </c>
      <c r="BP244" s="94">
        <f>SUM(BM244:BN244,W244,Sheet1!DX242)</f>
        <v>0</v>
      </c>
      <c r="BR244" s="94">
        <f>Sheet1!AA242</f>
        <v>49.97</v>
      </c>
      <c r="BS244" s="94">
        <f>Sheet1!AB242</f>
        <v>32.950000000000003</v>
      </c>
      <c r="BT244" s="94">
        <f t="shared" ca="1" si="47"/>
        <v>4.1489713062758522</v>
      </c>
      <c r="BU244" s="94">
        <f>Sheet1!AT242</f>
        <v>0</v>
      </c>
      <c r="BV244" s="89">
        <f>Sheet1!BB242</f>
        <v>0</v>
      </c>
      <c r="BW244" s="94">
        <f>Calculation!ED244</f>
        <v>24.995866022933015</v>
      </c>
      <c r="BX244" s="94">
        <f>(Sheet1!CS242*1440)/1000000</f>
        <v>13.63176</v>
      </c>
      <c r="CA244" s="94">
        <f ca="1">Sheet1!AC242-Sheet1!BK242-Sheet1!BL242-Sheet1!BM242-Sheet1!BC242-Sheet1!BD242-Sheet1!BE242-Sheet1!BF242-Sheet1!BG242-Sheet1!BH242-Sheet1!BI242+BC244+P244</f>
        <v>75.560731306275855</v>
      </c>
      <c r="CB244" s="93">
        <f t="shared" si="48"/>
        <v>89.608635262522625</v>
      </c>
      <c r="CC244" s="94">
        <f t="shared" si="49"/>
        <v>0</v>
      </c>
      <c r="CD244" s="94">
        <f t="shared" ca="1" si="50"/>
        <v>100.55659732920887</v>
      </c>
      <c r="CE244" s="1077">
        <f t="shared" ca="1" si="51"/>
        <v>155.56105606828612</v>
      </c>
      <c r="CG244" s="1077">
        <f t="shared" ca="1" si="52"/>
        <v>75.560731306275855</v>
      </c>
    </row>
    <row r="245" spans="1:85" s="89" customFormat="1" x14ac:dyDescent="0.25">
      <c r="A245" s="616" t="s">
        <v>5</v>
      </c>
      <c r="B245" s="91">
        <v>42969</v>
      </c>
      <c r="C245" s="92">
        <v>0</v>
      </c>
      <c r="D245" s="94">
        <f>(Sheet1!BQ243-Sheet1!BQ242)*1.385</f>
        <v>0.83099999999999707</v>
      </c>
      <c r="E245" s="30">
        <f>(Sheet1!BR243-Sheet1!BR242)*1.385</f>
        <v>0.96949999999999903</v>
      </c>
      <c r="F245" s="30">
        <f ca="1">IF(B245=TODAY(),0,-(VLOOKUP(Sheet1!CD243,Lookup!$I$4:$J$216,2)-VLOOKUP(Sheet1!CD242,Lookup!$I$4:$J$216,2))/1000000)</f>
        <v>1.7618279553126077</v>
      </c>
      <c r="G245" s="94">
        <f ca="1">IF(B245=TODAY(),0,-$G$6*(Sheet1!CF243-Sheet1!CF242)*7.48/1000000)</f>
        <v>-0.35742150947303453</v>
      </c>
      <c r="H245" s="94">
        <f ca="1">IF(B245=TODAY(),0,-$H$6*(Sheet1!CE243-Sheet1!CE242)*7.48/1000000)</f>
        <v>-1.5039432351265274E-2</v>
      </c>
      <c r="I245" s="94">
        <f ca="1">IF(B245=TODAY(),0,-$I$6*(Sheet1!CG243-Sheet1!CG242)*7.48/1000000)</f>
        <v>1.796995199999998E-2</v>
      </c>
      <c r="J245" s="95" t="s">
        <v>177</v>
      </c>
      <c r="K245" s="94">
        <f ca="1">IF(B245=TODAY(),0,-$K$6*(Sheet1!CH243-Sheet1!CH242)*7.48/1000000)</f>
        <v>2.6653281497833796E-2</v>
      </c>
      <c r="L245" s="95" t="s">
        <v>177</v>
      </c>
      <c r="M245" s="94">
        <f ca="1">IF(B245=TODAY(),0,-$M$6*(Sheet1!CI243-Sheet1!CI242)*7.48/1000000)</f>
        <v>7.1966033712107941E-2</v>
      </c>
      <c r="N245" s="94">
        <f ca="1">IF(B245=TODAY(),0,-$N$6*(Sheet1!CJ243-Sheet1!CJ242)*7.48/1000000)</f>
        <v>-0.49641876315699052</v>
      </c>
      <c r="O245" s="94">
        <f t="shared" ca="1" si="53"/>
        <v>1.0095375175412591</v>
      </c>
      <c r="P245" s="94">
        <f ca="1">O245+Calculation!ES245</f>
        <v>-0.79118112999635981</v>
      </c>
      <c r="Q245" s="89" t="str">
        <f>IF(Sheet1!BQ243&gt;25.75,"spill elevation","-")</f>
        <v>-</v>
      </c>
      <c r="R245" s="89" t="str">
        <f>IF(Sheet1!BQ243&gt;25.75,"spill elevation","-")</f>
        <v>-</v>
      </c>
      <c r="S245" s="89" t="str">
        <f>IF(Sheet1!BR243&gt;25.75,"spill elevation","-")</f>
        <v>-</v>
      </c>
      <c r="T245" s="93">
        <f>IF(Sheet1!DU243=1,Sheet1!AA243-(SUM(AT245:BA245)+BE245),Sheet1!AA243-SUM(AT245:BA245))</f>
        <v>51.198016000000003</v>
      </c>
      <c r="U245" s="93">
        <f>Sheet1!BV243</f>
        <v>58.7</v>
      </c>
      <c r="V245" s="93">
        <f t="shared" si="54"/>
        <v>-7.5019840000000002</v>
      </c>
      <c r="W245" s="93">
        <f>0</f>
        <v>0</v>
      </c>
      <c r="X245" s="89">
        <f>0</f>
        <v>0</v>
      </c>
      <c r="Y245" s="94">
        <f ca="1">Calculation!EJ246+Calculation!ES245+'Calculations II'!O245-'Calculations II'!W245</f>
        <v>71.295485748762175</v>
      </c>
      <c r="Z245" s="94">
        <f ca="1">Y245-Sheet1!CT244</f>
        <v>54.156485748762179</v>
      </c>
      <c r="AA245" s="94">
        <f ca="1">Y245+Calculation!DJ246+Calculation!AS246</f>
        <v>96.549825371403685</v>
      </c>
      <c r="AC245" s="94">
        <f>Sheet1!AA243+Sheet1!AB243+BC245</f>
        <v>97.852432000000007</v>
      </c>
      <c r="AD245" s="94">
        <f>Sheet1!AA243+Sheet1!BN243+'Calculations II'!BC245-Calculation!AS245-Calculation!DJ245</f>
        <v>47.625804582001685</v>
      </c>
      <c r="AE245" s="94">
        <f>Sheet1!AA243+Sheet1!AB243+'Calculations II'!BC245-Calculation!AS245-Calculation!DJ245</f>
        <v>72.695804582001699</v>
      </c>
      <c r="AF245" s="94">
        <f ca="1">Sheet1!AA243+Sheet1!BN243+P245+'Calculations II'!BC245+Calculation!AS245+Calculation!DJ245</f>
        <v>97.147878288001948</v>
      </c>
      <c r="AG245" s="94">
        <f ca="1">IF(B245=TODAY(),0,Sheet1!AA243+Sheet1!BN243+'Calculations II'!BC245+'Calculations II'!P245-Sheet1!CT243-BP245)</f>
        <v>56.892250870003636</v>
      </c>
      <c r="AH245" s="94">
        <f ca="1">IF(B245=TODAY(),0,Sheet1!AA243+Sheet1!BN243+'Calculations II'!BC245+'Calculations II'!P245-BP245)</f>
        <v>71.99125087000364</v>
      </c>
      <c r="AI245" s="94">
        <f ca="1">IF(B245=TODAY(),0,BC245+Sheet1!AA243+Calculation!ES245+O245+W245+Sheet1!BN243+Calculation!AS245+Calculation!DJ245-BP245)</f>
        <v>97.147878288001948</v>
      </c>
      <c r="AJ245" s="94"/>
      <c r="AM245" s="90">
        <f t="shared" si="55"/>
        <v>42969</v>
      </c>
      <c r="AN245" s="94">
        <f>Sheet1!BU243</f>
        <v>51.1</v>
      </c>
      <c r="AO245" s="94">
        <f>Sheet1!AA243</f>
        <v>55.03</v>
      </c>
      <c r="AP245" s="94">
        <f t="shared" si="44"/>
        <v>1.800499999999996</v>
      </c>
      <c r="AQ245" s="1087">
        <f>((Sheet1!BV243-(Sheet1!BU243-AP245))/(Sheet1!BU243-AP245))</f>
        <v>0.19068144707349957</v>
      </c>
      <c r="AR245" s="94">
        <f t="shared" si="45"/>
        <v>53.229500000000002</v>
      </c>
      <c r="AS245" s="94">
        <f t="shared" si="46"/>
        <v>49.299500000000009</v>
      </c>
      <c r="AT245" s="89">
        <f>Sheet1!BB243</f>
        <v>0</v>
      </c>
      <c r="AU245" s="89">
        <f>Sheet1!AS243*GPMtoMGD</f>
        <v>4.3344000000000008E-2</v>
      </c>
      <c r="AV245" s="94">
        <f>Sheet1!AT243</f>
        <v>0</v>
      </c>
      <c r="AW245" s="89">
        <f>Sheet1!AV243*GPMtoMGD</f>
        <v>0.97502400000000011</v>
      </c>
      <c r="AX245" s="89">
        <f>Sheet1!AW243*GPMtoMGD</f>
        <v>2.813472</v>
      </c>
      <c r="AY245" s="89">
        <f>Sheet1!AX243*GPMtoMGD</f>
        <v>1.44E-4</v>
      </c>
      <c r="AZ245" s="89">
        <f>Sheet1!AY243*GPMtoMGD</f>
        <v>0</v>
      </c>
      <c r="BA245" s="89">
        <f>Sheet1!AZ243*GPMtoMGD</f>
        <v>0</v>
      </c>
      <c r="BB245" s="89">
        <f>Sheet1!BP243*GPMtoMGD</f>
        <v>3.0672000000000001E-2</v>
      </c>
      <c r="BC245" s="89">
        <f>Sheet1!CS243*GPMtoMGD</f>
        <v>7.4524320000000008</v>
      </c>
      <c r="BD245" s="89">
        <f>Sheet1!BO243*GPMtoMGD</f>
        <v>3.5241120000000006</v>
      </c>
      <c r="BE245" s="89">
        <f>Sheet1!BW243*GPMtoMGD</f>
        <v>1.8096480000000001</v>
      </c>
      <c r="BF245" s="89">
        <f>Sheet1!CN243*GPMtoMGD</f>
        <v>4.3197120000000009</v>
      </c>
      <c r="BG245" s="89">
        <f>Sheet1!CO243*GPMtoMGD</f>
        <v>1.486944</v>
      </c>
      <c r="BH245" s="89">
        <f>Sheet1!CP243*GPMtoMGD</f>
        <v>0</v>
      </c>
      <c r="BI245" s="89">
        <f t="shared" si="56"/>
        <v>3.5547840000000006</v>
      </c>
      <c r="BK245" s="94">
        <f>SUM(AT245:BA245,AS245,BC245,Calculation!AQ245)</f>
        <v>70.797288582001698</v>
      </c>
      <c r="BM245" s="358">
        <f>0</f>
        <v>0</v>
      </c>
      <c r="BN245" s="358">
        <f>0</f>
        <v>0</v>
      </c>
      <c r="BP245" s="94">
        <f>SUM(BM245:BN245,W245,Sheet1!DX243)</f>
        <v>0</v>
      </c>
      <c r="BR245" s="94">
        <f>Sheet1!AA243</f>
        <v>55.03</v>
      </c>
      <c r="BS245" s="94">
        <f>Sheet1!AB243</f>
        <v>35.369999999999997</v>
      </c>
      <c r="BT245" s="94">
        <f t="shared" ca="1" si="47"/>
        <v>-0.79118112999635981</v>
      </c>
      <c r="BU245" s="94">
        <f>Sheet1!AT243</f>
        <v>0</v>
      </c>
      <c r="BV245" s="89">
        <f>Sheet1!BB243</f>
        <v>0</v>
      </c>
      <c r="BW245" s="94">
        <f>Calculation!ED245</f>
        <v>25.156627417998315</v>
      </c>
      <c r="BX245" s="94">
        <f>(Sheet1!CS243*1440)/1000000</f>
        <v>7.4524319999999999</v>
      </c>
      <c r="CA245" s="94">
        <f ca="1">Sheet1!AC243-Sheet1!BK243-Sheet1!BL243-Sheet1!BM243-Sheet1!BC243-Sheet1!BD243-Sheet1!BE243-Sheet1!BF243-Sheet1!BG243-Sheet1!BH243-Sheet1!BI243+BC245+P245</f>
        <v>71.691250870003643</v>
      </c>
      <c r="CB245" s="93">
        <f t="shared" si="48"/>
        <v>100.9314973843566</v>
      </c>
      <c r="CC245" s="94">
        <f t="shared" si="49"/>
        <v>0</v>
      </c>
      <c r="CD245" s="94">
        <f t="shared" ca="1" si="50"/>
        <v>96.847878288001965</v>
      </c>
      <c r="CE245" s="1077">
        <f t="shared" ca="1" si="51"/>
        <v>149.82366771153903</v>
      </c>
      <c r="CG245" s="1077">
        <f t="shared" ca="1" si="52"/>
        <v>71.691250870003643</v>
      </c>
    </row>
    <row r="246" spans="1:85" s="89" customFormat="1" x14ac:dyDescent="0.25">
      <c r="A246" s="616" t="s">
        <v>6</v>
      </c>
      <c r="B246" s="91">
        <v>42970</v>
      </c>
      <c r="C246" s="92">
        <v>0</v>
      </c>
      <c r="D246" s="94">
        <f>(Sheet1!BQ244-Sheet1!BQ243)*1.385</f>
        <v>-0.41550000000000098</v>
      </c>
      <c r="E246" s="30">
        <f>(Sheet1!BR244-Sheet1!BR243)*1.385</f>
        <v>-0.55399999999999805</v>
      </c>
      <c r="F246" s="30">
        <f ca="1">IF(B246=TODAY(),0,-(VLOOKUP(Sheet1!CD244,Lookup!$I$4:$J$216,2)-VLOOKUP(Sheet1!CD243,Lookup!$I$4:$J$216,2))/1000000)</f>
        <v>0.41454775419119744</v>
      </c>
      <c r="G246" s="94">
        <f ca="1">IF(B246=TODAY(),0,-$G$6*(Sheet1!CF244-Sheet1!CF243)*7.48/1000000)</f>
        <v>0.47656201263071268</v>
      </c>
      <c r="H246" s="94">
        <f ca="1">IF(B246=TODAY(),0,-$H$6*(Sheet1!CE244-Sheet1!CE243)*7.48/1000000)</f>
        <v>3.0078864702530548E-2</v>
      </c>
      <c r="I246" s="94">
        <f ca="1">IF(B246=TODAY(),0,-$I$6*(Sheet1!CG244-Sheet1!CG243)*7.48/1000000)</f>
        <v>1.3477463999999995E-2</v>
      </c>
      <c r="J246" s="95" t="s">
        <v>177</v>
      </c>
      <c r="K246" s="94">
        <f ca="1">IF(B246=TODAY(),0,-$K$6*(Sheet1!CH244-Sheet1!CH243)*7.48/1000000)</f>
        <v>2.6653281497833796E-2</v>
      </c>
      <c r="L246" s="95" t="s">
        <v>177</v>
      </c>
      <c r="M246" s="94">
        <f ca="1">IF(B246=TODAY(),0,-$M$6*(Sheet1!CI244-Sheet1!CI243)*7.48/1000000)</f>
        <v>8.9957542140135238E-2</v>
      </c>
      <c r="N246" s="94">
        <f ca="1">IF(B246=TODAY(),0,-$N$6*(Sheet1!CJ244-Sheet1!CJ243)*7.48/1000000)</f>
        <v>-0.43436641776236795</v>
      </c>
      <c r="O246" s="94">
        <f t="shared" ca="1" si="53"/>
        <v>0.61691050140004156</v>
      </c>
      <c r="P246" s="94">
        <f ca="1">O246+Calculation!ES246</f>
        <v>1.5866051428690247</v>
      </c>
      <c r="Q246" s="89" t="str">
        <f>IF(Sheet1!BQ244&gt;25.75,"spill elevation","-")</f>
        <v>-</v>
      </c>
      <c r="R246" s="89" t="str">
        <f>IF(Sheet1!BQ244&gt;25.75,"spill elevation","-")</f>
        <v>-</v>
      </c>
      <c r="S246" s="89" t="str">
        <f>IF(Sheet1!BR244&gt;25.75,"spill elevation","-")</f>
        <v>-</v>
      </c>
      <c r="T246" s="93">
        <f>IF(Sheet1!DU244=1,Sheet1!AA244-(SUM(AT246:BA246)+BE246),Sheet1!AA244-SUM(AT246:BA246))</f>
        <v>54.720895999999996</v>
      </c>
      <c r="U246" s="93">
        <f>Sheet1!BV244</f>
        <v>65.7</v>
      </c>
      <c r="V246" s="93">
        <f t="shared" si="54"/>
        <v>-10.979104000000007</v>
      </c>
      <c r="W246" s="93">
        <f>0</f>
        <v>0</v>
      </c>
      <c r="X246" s="89">
        <f>0</f>
        <v>0</v>
      </c>
      <c r="Y246" s="94">
        <f ca="1">Calculation!EJ247+Calculation!ES246+'Calculations II'!O246-'Calculations II'!W246</f>
        <v>72.095092939167031</v>
      </c>
      <c r="Z246" s="94">
        <f ca="1">Y246-Sheet1!CT245</f>
        <v>55.844092939167027</v>
      </c>
      <c r="AA246" s="94">
        <f ca="1">Y246+Calculation!DJ247+Calculation!AS247</f>
        <v>96.833302098428817</v>
      </c>
      <c r="AC246" s="94">
        <f>Sheet1!AA244+Sheet1!AB244+BC246</f>
        <v>97.044992000000008</v>
      </c>
      <c r="AD246" s="94">
        <f>Sheet1!AA244+Sheet1!BN244+'Calculations II'!BC246-Calculation!AS246-Calculation!DJ246</f>
        <v>46.570652377358485</v>
      </c>
      <c r="AE246" s="94">
        <f>Sheet1!AA244+Sheet1!AB244+'Calculations II'!BC246-Calculation!AS246-Calculation!DJ246</f>
        <v>71.790652377358498</v>
      </c>
      <c r="AF246" s="94">
        <f ca="1">Sheet1!AA244+Sheet1!BN244+P246+'Calculations II'!BC246+Calculation!AS246+Calculation!DJ246</f>
        <v>98.665936765510523</v>
      </c>
      <c r="AG246" s="94">
        <f ca="1">IF(B246=TODAY(),0,Sheet1!AA244+Sheet1!BN244+'Calculations II'!BC246+'Calculations II'!P246-Sheet1!CT244-BP246)</f>
        <v>56.272597142869017</v>
      </c>
      <c r="AH246" s="94">
        <f ca="1">IF(B246=TODAY(),0,Sheet1!AA244+Sheet1!BN244+'Calculations II'!BC246+'Calculations II'!P246-BP246)</f>
        <v>73.411597142869013</v>
      </c>
      <c r="AI246" s="94">
        <f ca="1">IF(B246=TODAY(),0,BC246+Sheet1!AA244+Calculation!ES246+O246+W246+Sheet1!BN244+Calculation!AS246+Calculation!DJ246-BP246)</f>
        <v>98.665936765510523</v>
      </c>
      <c r="AJ246" s="94"/>
      <c r="AM246" s="90">
        <f t="shared" si="55"/>
        <v>42970</v>
      </c>
      <c r="AN246" s="94">
        <f>Sheet1!BU244</f>
        <v>54.4</v>
      </c>
      <c r="AO246" s="94">
        <f>Sheet1!AA244</f>
        <v>58.55</v>
      </c>
      <c r="AP246" s="94">
        <f t="shared" si="44"/>
        <v>-0.96949999999999903</v>
      </c>
      <c r="AQ246" s="1087">
        <f>((Sheet1!BV244-(Sheet1!BU244-AP246))/(Sheet1!BU244-AP246))</f>
        <v>0.18657383577601402</v>
      </c>
      <c r="AR246" s="94">
        <f t="shared" si="45"/>
        <v>59.519499999999994</v>
      </c>
      <c r="AS246" s="94">
        <f t="shared" si="46"/>
        <v>55.369499999999995</v>
      </c>
      <c r="AT246" s="89">
        <f>Sheet1!BB244</f>
        <v>0</v>
      </c>
      <c r="AU246" s="89">
        <f>Sheet1!AS244*GPMtoMGD</f>
        <v>3.9168000000000001E-2</v>
      </c>
      <c r="AV246" s="94">
        <f>Sheet1!AT244</f>
        <v>0</v>
      </c>
      <c r="AW246" s="89">
        <f>Sheet1!AV244*GPMtoMGD</f>
        <v>0.82785600000000004</v>
      </c>
      <c r="AX246" s="89">
        <f>Sheet1!AW244*GPMtoMGD</f>
        <v>2.9620800000000003</v>
      </c>
      <c r="AY246" s="89">
        <f>Sheet1!AX244*GPMtoMGD</f>
        <v>0</v>
      </c>
      <c r="AZ246" s="89">
        <f>Sheet1!AY244*GPMtoMGD</f>
        <v>0</v>
      </c>
      <c r="BA246" s="89">
        <f>Sheet1!AZ244*GPMtoMGD</f>
        <v>0</v>
      </c>
      <c r="BB246" s="89">
        <f>Sheet1!BP244*GPMtoMGD</f>
        <v>2.4480000000000001E-3</v>
      </c>
      <c r="BC246" s="89">
        <f>Sheet1!CS244*GPMtoMGD</f>
        <v>4.1749920000000005</v>
      </c>
      <c r="BD246" s="89">
        <f>Sheet1!BO244*GPMtoMGD</f>
        <v>3.5634239999999999</v>
      </c>
      <c r="BE246" s="89">
        <f>Sheet1!BW244*GPMtoMGD</f>
        <v>2.0649600000000001</v>
      </c>
      <c r="BF246" s="89">
        <f>Sheet1!CN244*GPMtoMGD</f>
        <v>4.3806240000000001</v>
      </c>
      <c r="BG246" s="89">
        <f>Sheet1!CO244*GPMtoMGD</f>
        <v>1.4790239999999999</v>
      </c>
      <c r="BH246" s="89">
        <f>Sheet1!CP244*GPMtoMGD</f>
        <v>5.1120000000000006E-2</v>
      </c>
      <c r="BI246" s="89">
        <f t="shared" si="56"/>
        <v>3.5658719999999997</v>
      </c>
      <c r="BK246" s="94">
        <f>SUM(AT246:BA246,AS246,BC246,Calculation!AQ246)</f>
        <v>72.43925637735849</v>
      </c>
      <c r="BM246" s="358">
        <f>0</f>
        <v>0</v>
      </c>
      <c r="BN246" s="358">
        <f>0</f>
        <v>0</v>
      </c>
      <c r="BP246" s="94">
        <f>SUM(BM246:BN246,W246,Sheet1!DX244)</f>
        <v>0</v>
      </c>
      <c r="BR246" s="94">
        <f>Sheet1!AA244</f>
        <v>58.55</v>
      </c>
      <c r="BS246" s="94">
        <f>Sheet1!AB244</f>
        <v>34.32</v>
      </c>
      <c r="BT246" s="94">
        <f t="shared" ca="1" si="47"/>
        <v>1.5866051428690247</v>
      </c>
      <c r="BU246" s="94">
        <f>Sheet1!AT244</f>
        <v>0</v>
      </c>
      <c r="BV246" s="89">
        <f>Sheet1!BB244</f>
        <v>0</v>
      </c>
      <c r="BW246" s="94">
        <f>Calculation!ED246</f>
        <v>25.254339622641506</v>
      </c>
      <c r="BX246" s="94">
        <f>(Sheet1!CS244*1440)/1000000</f>
        <v>4.1749920000000005</v>
      </c>
      <c r="CA246" s="94">
        <f ca="1">Sheet1!AC244-Sheet1!BK244-Sheet1!BL244-Sheet1!BM244-Sheet1!BC244-Sheet1!BD244-Sheet1!BE244-Sheet1!BF244-Sheet1!BG244-Sheet1!BH244-Sheet1!BI244+BC246+P246</f>
        <v>73.281597142869018</v>
      </c>
      <c r="CB246" s="93">
        <f t="shared" si="48"/>
        <v>104.60142660377359</v>
      </c>
      <c r="CC246" s="94">
        <f t="shared" si="49"/>
        <v>0</v>
      </c>
      <c r="CD246" s="94">
        <f t="shared" ca="1" si="50"/>
        <v>98.535936765510527</v>
      </c>
      <c r="CE246" s="1077">
        <f t="shared" ca="1" si="51"/>
        <v>152.43509417624477</v>
      </c>
      <c r="CG246" s="1077">
        <f t="shared" ca="1" si="52"/>
        <v>73.281597142869018</v>
      </c>
    </row>
    <row r="247" spans="1:85" s="89" customFormat="1" x14ac:dyDescent="0.25">
      <c r="A247" s="616" t="s">
        <v>7</v>
      </c>
      <c r="B247" s="91">
        <v>42971</v>
      </c>
      <c r="C247" s="92">
        <v>0</v>
      </c>
      <c r="D247" s="94">
        <f>(Sheet1!BQ245-Sheet1!BQ244)*1.385</f>
        <v>0.27700000000000397</v>
      </c>
      <c r="E247" s="30">
        <f>(Sheet1!BR245-Sheet1!BR244)*1.385</f>
        <v>0.27699999999999902</v>
      </c>
      <c r="F247" s="30">
        <f ca="1">IF(B247=TODAY(),0,-(VLOOKUP(Sheet1!CD245,Lookup!$I$4:$J$216,2)-VLOOKUP(Sheet1!CD244,Lookup!$I$4:$J$216,2))/1000000)</f>
        <v>-0.62182163128680368</v>
      </c>
      <c r="G247" s="94">
        <f ca="1">IF(B247=TODAY(),0,-$G$6*(Sheet1!CF245-Sheet1!CF244)*7.48/1000000)</f>
        <v>-3.9713501052559864E-2</v>
      </c>
      <c r="H247" s="94">
        <f ca="1">IF(B247=TODAY(),0,-$H$6*(Sheet1!CE245-Sheet1!CE244)*7.48/1000000)</f>
        <v>0.21055205291771062</v>
      </c>
      <c r="I247" s="94">
        <f ca="1">IF(B247=TODAY(),0,-$I$6*(Sheet1!CG245-Sheet1!CG244)*7.48/1000000)</f>
        <v>-2.6954927999999989E-2</v>
      </c>
      <c r="J247" s="95" t="s">
        <v>177</v>
      </c>
      <c r="K247" s="94">
        <f ca="1">IF(B247=TODAY(),0,-$K$6*(Sheet1!CH245-Sheet1!CH244)*7.48/1000000)</f>
        <v>-4.6643242621209044E-2</v>
      </c>
      <c r="L247" s="95" t="s">
        <v>177</v>
      </c>
      <c r="M247" s="94">
        <f ca="1">IF(B247=TODAY(),0,-$M$6*(Sheet1!CI245-Sheet1!CI244)*7.48/1000000)</f>
        <v>-0.14393206742421652</v>
      </c>
      <c r="N247" s="94">
        <f ca="1">IF(B247=TODAY(),0,-$N$6*(Sheet1!CJ245-Sheet1!CJ244)*7.48/1000000)</f>
        <v>-0.31026172697311949</v>
      </c>
      <c r="O247" s="94">
        <f t="shared" ca="1" si="53"/>
        <v>-0.97877504444019792</v>
      </c>
      <c r="P247" s="94">
        <f ca="1">O247+Calculation!ES247</f>
        <v>-1.532855137280698</v>
      </c>
      <c r="Q247" s="89" t="str">
        <f>IF(Sheet1!BQ245&gt;25.75,"spill elevation","-")</f>
        <v>-</v>
      </c>
      <c r="R247" s="89" t="str">
        <f>IF(Sheet1!BQ245&gt;25.75,"spill elevation","-")</f>
        <v>-</v>
      </c>
      <c r="S247" s="89" t="str">
        <f>IF(Sheet1!BR245&gt;25.75,"spill elevation","-")</f>
        <v>-</v>
      </c>
      <c r="T247" s="93">
        <f>IF(Sheet1!DU245=1,Sheet1!AA245-(SUM(AT247:BA247)+BE247),Sheet1!AA245-SUM(AT247:BA247))</f>
        <v>60.159711999999999</v>
      </c>
      <c r="U247" s="93">
        <f>Sheet1!BV245</f>
        <v>70</v>
      </c>
      <c r="V247" s="93">
        <f t="shared" si="54"/>
        <v>-9.840288000000001</v>
      </c>
      <c r="W247" s="93">
        <f>0</f>
        <v>0</v>
      </c>
      <c r="X247" s="89">
        <f>0</f>
        <v>0</v>
      </c>
      <c r="Y247" s="94">
        <f ca="1">Calculation!EJ248+Calculation!ES247+'Calculations II'!O247-'Calculations II'!W247</f>
        <v>73.210088344232204</v>
      </c>
      <c r="Z247" s="94">
        <f ca="1">Y247-Sheet1!CT246</f>
        <v>56.875088344232203</v>
      </c>
      <c r="AA247" s="94">
        <f ca="1">Y247+Calculation!DJ248+Calculation!AS248</f>
        <v>97.728570456076596</v>
      </c>
      <c r="AC247" s="94">
        <f>Sheet1!AA245+Sheet1!AB245+BC247</f>
        <v>97.085183999999998</v>
      </c>
      <c r="AD247" s="94">
        <f>Sheet1!AA245+Sheet1!BN245+'Calculations II'!BC247-Calculation!AS247-Calculation!DJ247</f>
        <v>47.646974840738224</v>
      </c>
      <c r="AE247" s="94">
        <f>Sheet1!AA245+Sheet1!AB245+'Calculations II'!BC247-Calculation!AS247-Calculation!DJ247</f>
        <v>72.346974840738213</v>
      </c>
      <c r="AF247" s="94">
        <f ca="1">Sheet1!AA245+Sheet1!BN245+P247+'Calculations II'!BC247+Calculation!AS247+Calculation!DJ247</f>
        <v>95.590538021981104</v>
      </c>
      <c r="AG247" s="94">
        <f ca="1">IF(B247=TODAY(),0,Sheet1!AA245+Sheet1!BN245+'Calculations II'!BC247+'Calculations II'!P247-Sheet1!CT245-BP247)</f>
        <v>54.601328862719313</v>
      </c>
      <c r="AH247" s="94">
        <f ca="1">IF(B247=TODAY(),0,Sheet1!AA245+Sheet1!BN245+'Calculations II'!BC247+'Calculations II'!P247-BP247)</f>
        <v>70.852328862719318</v>
      </c>
      <c r="AI247" s="94">
        <f ca="1">IF(B247=TODAY(),0,BC247+Sheet1!AA245+Calculation!ES247+O247+W247+Sheet1!BN245+Calculation!AS247+Calculation!DJ247-BP247)</f>
        <v>95.590538021981089</v>
      </c>
      <c r="AJ247" s="94"/>
      <c r="AM247" s="90">
        <f t="shared" si="55"/>
        <v>42971</v>
      </c>
      <c r="AN247" s="94">
        <f>Sheet1!BU245</f>
        <v>59.3</v>
      </c>
      <c r="AO247" s="94">
        <f>Sheet1!AA245</f>
        <v>63.85</v>
      </c>
      <c r="AP247" s="94">
        <f t="shared" si="44"/>
        <v>0.55400000000000293</v>
      </c>
      <c r="AQ247" s="1087">
        <f>((Sheet1!BV245-(Sheet1!BU245-AP247))/(Sheet1!BU245-AP247))</f>
        <v>0.19157048990569581</v>
      </c>
      <c r="AR247" s="94">
        <f t="shared" si="45"/>
        <v>63.295999999999999</v>
      </c>
      <c r="AS247" s="94">
        <f t="shared" si="46"/>
        <v>58.745999999999995</v>
      </c>
      <c r="AT247" s="89">
        <f>Sheet1!BB245</f>
        <v>0</v>
      </c>
      <c r="AU247" s="89">
        <f>Sheet1!AS245*GPMtoMGD</f>
        <v>3.6432000000000006E-2</v>
      </c>
      <c r="AV247" s="94">
        <f>Sheet1!AT245</f>
        <v>0</v>
      </c>
      <c r="AW247" s="89">
        <f>Sheet1!AV245*GPMtoMGD</f>
        <v>1.1568960000000001</v>
      </c>
      <c r="AX247" s="89">
        <f>Sheet1!AW245*GPMtoMGD</f>
        <v>2.4965280000000001</v>
      </c>
      <c r="AY247" s="89">
        <f>Sheet1!AX245*GPMtoMGD</f>
        <v>4.3200000000000004E-4</v>
      </c>
      <c r="AZ247" s="89">
        <f>Sheet1!AY245*GPMtoMGD</f>
        <v>0</v>
      </c>
      <c r="BA247" s="89">
        <f>Sheet1!AZ245*GPMtoMGD</f>
        <v>0</v>
      </c>
      <c r="BB247" s="89">
        <f>Sheet1!BP245*GPMtoMGD</f>
        <v>2.4480000000000001E-3</v>
      </c>
      <c r="BC247" s="89">
        <f>Sheet1!CS245*GPMtoMGD</f>
        <v>4.2351840000000003</v>
      </c>
      <c r="BD247" s="89">
        <f>Sheet1!BO245*GPMtoMGD</f>
        <v>3.4580160000000002</v>
      </c>
      <c r="BE247" s="89">
        <f>Sheet1!BW245*GPMtoMGD</f>
        <v>1.8620639999999999</v>
      </c>
      <c r="BF247" s="89">
        <f>Sheet1!CN245*GPMtoMGD</f>
        <v>4.4478720000000003</v>
      </c>
      <c r="BG247" s="89">
        <f>Sheet1!CO245*GPMtoMGD</f>
        <v>1.3635360000000001</v>
      </c>
      <c r="BH247" s="89">
        <f>Sheet1!CP245*GPMtoMGD</f>
        <v>0</v>
      </c>
      <c r="BI247" s="89">
        <f t="shared" si="56"/>
        <v>3.460464</v>
      </c>
      <c r="BK247" s="94">
        <f>SUM(AT247:BA247,AS247,BC247,Calculation!AQ247)</f>
        <v>70.933262840738209</v>
      </c>
      <c r="BM247" s="358">
        <f>0</f>
        <v>0</v>
      </c>
      <c r="BN247" s="358">
        <f>0</f>
        <v>0</v>
      </c>
      <c r="BP247" s="94">
        <f>SUM(BM247:BN247,W247,Sheet1!DX245)</f>
        <v>0</v>
      </c>
      <c r="BR247" s="94">
        <f>Sheet1!AA245</f>
        <v>63.85</v>
      </c>
      <c r="BS247" s="94">
        <f>Sheet1!AB245</f>
        <v>29</v>
      </c>
      <c r="BT247" s="94">
        <f t="shared" ca="1" si="47"/>
        <v>-1.532855137280698</v>
      </c>
      <c r="BU247" s="94">
        <f>Sheet1!AT245</f>
        <v>0</v>
      </c>
      <c r="BV247" s="89">
        <f>Sheet1!BB245</f>
        <v>0</v>
      </c>
      <c r="BW247" s="94">
        <f>Calculation!ED247</f>
        <v>24.738209159261789</v>
      </c>
      <c r="BX247" s="94">
        <f>(Sheet1!CS245*1440)/1000000</f>
        <v>4.2351840000000003</v>
      </c>
      <c r="CA247" s="94">
        <f ca="1">Sheet1!AC245-Sheet1!BK245-Sheet1!BL245-Sheet1!BM245-Sheet1!BC245-Sheet1!BD245-Sheet1!BE245-Sheet1!BF245-Sheet1!BG245-Sheet1!BH245-Sheet1!BI245+BC247+P247</f>
        <v>70.592328862719299</v>
      </c>
      <c r="CB247" s="93">
        <f t="shared" si="48"/>
        <v>105.368940430622</v>
      </c>
      <c r="CC247" s="94">
        <f t="shared" si="49"/>
        <v>0</v>
      </c>
      <c r="CD247" s="94">
        <f t="shared" ca="1" si="50"/>
        <v>95.330538021981084</v>
      </c>
      <c r="CE247" s="1077">
        <f t="shared" ca="1" si="51"/>
        <v>147.47634232000473</v>
      </c>
      <c r="CG247" s="1077">
        <f t="shared" ca="1" si="52"/>
        <v>70.592328862719299</v>
      </c>
    </row>
    <row r="248" spans="1:85" s="89" customFormat="1" x14ac:dyDescent="0.25">
      <c r="A248" s="616" t="s">
        <v>8</v>
      </c>
      <c r="B248" s="91">
        <v>42972</v>
      </c>
      <c r="C248" s="92">
        <v>0</v>
      </c>
      <c r="D248" s="94">
        <f>(Sheet1!BQ246-Sheet1!BQ245)*1.385</f>
        <v>1.9112999999999987</v>
      </c>
      <c r="E248" s="30">
        <f>(Sheet1!BR246-Sheet1!BR245)*1.385</f>
        <v>1.8420500000000026</v>
      </c>
      <c r="F248" s="30">
        <f ca="1">IF(B248=TODAY(),0,-(VLOOKUP(Sheet1!CD246,Lookup!$I$4:$J$216,2)-VLOOKUP(Sheet1!CD245,Lookup!$I$4:$J$216,2))/1000000)</f>
        <v>1.1400063240258005</v>
      </c>
      <c r="G248" s="94">
        <f ca="1">IF(B248=TODAY(),0,-$G$6*(Sheet1!CF246-Sheet1!CF245)*7.48/1000000)</f>
        <v>0.15885400421023663</v>
      </c>
      <c r="H248" s="94">
        <f ca="1">IF(B248=TODAY(),0,-$H$6*(Sheet1!CE246-Sheet1!CE245)*7.48/1000000)</f>
        <v>-0.16543375586391587</v>
      </c>
      <c r="I248" s="94">
        <f ca="1">IF(B248=TODAY(),0,-$I$6*(Sheet1!CG246-Sheet1!CG245)*7.48/1000000)</f>
        <v>3.1447415999999971E-2</v>
      </c>
      <c r="J248" s="95" t="s">
        <v>177</v>
      </c>
      <c r="K248" s="94">
        <f ca="1">IF(B248=TODAY(),0,-$K$6*(Sheet1!CH246-Sheet1!CH245)*7.48/1000000)</f>
        <v>4.6643242621209044E-2</v>
      </c>
      <c r="L248" s="95" t="s">
        <v>177</v>
      </c>
      <c r="M248" s="94">
        <f ca="1">IF(B248=TODAY(),0,-$M$6*(Sheet1!CI246-Sheet1!CI245)*7.48/1000000)</f>
        <v>0.16192357585224382</v>
      </c>
      <c r="N248" s="94">
        <f ca="1">IF(B248=TODAY(),0,-$N$6*(Sheet1!CJ246-Sheet1!CJ245)*7.48/1000000)</f>
        <v>0.78806478651172329</v>
      </c>
      <c r="O248" s="94">
        <f t="shared" ca="1" si="53"/>
        <v>2.1615055933572975</v>
      </c>
      <c r="P248" s="94">
        <f ca="1">O248+Calculation!ES248</f>
        <v>-1.7184908552075706</v>
      </c>
      <c r="Q248" s="89" t="str">
        <f>IF(Sheet1!BQ246&gt;25.75,"spill elevation","-")</f>
        <v>-</v>
      </c>
      <c r="R248" s="89" t="str">
        <f>IF(Sheet1!BQ246&gt;25.75,"spill elevation","-")</f>
        <v>-</v>
      </c>
      <c r="S248" s="89" t="str">
        <f>IF(Sheet1!BR246&gt;25.75,"spill elevation","-")</f>
        <v>-</v>
      </c>
      <c r="T248" s="93">
        <f>IF(Sheet1!DU246=1,Sheet1!AA246-(SUM(AT248:BA248)+BE248),Sheet1!AA246-SUM(AT248:BA248))</f>
        <v>61.444559999999996</v>
      </c>
      <c r="U248" s="93">
        <f>Sheet1!BV246</f>
        <v>68.099999999999994</v>
      </c>
      <c r="V248" s="93">
        <f t="shared" si="54"/>
        <v>-6.6554399999999987</v>
      </c>
      <c r="W248" s="93">
        <f>0</f>
        <v>0</v>
      </c>
      <c r="X248" s="89">
        <f>0</f>
        <v>0</v>
      </c>
      <c r="Y248" s="94">
        <f ca="1">Calculation!EJ249+Calculation!ES248+'Calculations II'!O248-'Calculations II'!W248</f>
        <v>69.456986340210676</v>
      </c>
      <c r="Z248" s="94">
        <f ca="1">Y248-Sheet1!CT247</f>
        <v>53.056986340210678</v>
      </c>
      <c r="AA248" s="94">
        <f ca="1">Y248+Calculation!DJ249+Calculation!AS249</f>
        <v>93.83681540003974</v>
      </c>
      <c r="AC248" s="94">
        <f>Sheet1!AA246+Sheet1!AB246+BC248</f>
        <v>97.944479999999999</v>
      </c>
      <c r="AD248" s="94">
        <f>Sheet1!AA246+Sheet1!BN246+'Calculations II'!BC248-Calculation!AS248-Calculation!DJ248</f>
        <v>48.935997888155597</v>
      </c>
      <c r="AE248" s="94">
        <f>Sheet1!AA246+Sheet1!AB246+'Calculations II'!BC248-Calculation!AS248-Calculation!DJ248</f>
        <v>73.425997888155607</v>
      </c>
      <c r="AF248" s="94">
        <f ca="1">Sheet1!AA246+Sheet1!BN246+P248+'Calculations II'!BC248+Calculation!AS248+Calculation!DJ248</f>
        <v>96.254471256636805</v>
      </c>
      <c r="AG248" s="94">
        <f ca="1">IF(B248=TODAY(),0,Sheet1!AA246+Sheet1!BN246+'Calculations II'!BC248+'Calculations II'!P248-Sheet1!CT246-BP248)</f>
        <v>55.400989144792412</v>
      </c>
      <c r="AH248" s="94">
        <f ca="1">IF(B248=TODAY(),0,Sheet1!AA246+Sheet1!BN246+'Calculations II'!BC248+'Calculations II'!P248-BP248)</f>
        <v>71.735989144792413</v>
      </c>
      <c r="AI248" s="94">
        <f ca="1">IF(B248=TODAY(),0,BC248+Sheet1!AA246+Calculation!ES248+O248+W248+Sheet1!BN246+Calculation!AS248+Calculation!DJ248-BP248)</f>
        <v>96.254471256636819</v>
      </c>
      <c r="AJ248" s="94"/>
      <c r="AM248" s="90">
        <f t="shared" si="55"/>
        <v>42972</v>
      </c>
      <c r="AN248" s="94">
        <f>Sheet1!BU246</f>
        <v>60.6</v>
      </c>
      <c r="AO248" s="94">
        <f>Sheet1!AA246</f>
        <v>65.099999999999994</v>
      </c>
      <c r="AP248" s="94">
        <f t="shared" si="44"/>
        <v>3.7533500000000011</v>
      </c>
      <c r="AQ248" s="1087">
        <f>((Sheet1!BV246-(Sheet1!BU246-AP248))/(Sheet1!BU246-AP248))</f>
        <v>0.19795977423471742</v>
      </c>
      <c r="AR248" s="94">
        <f t="shared" si="45"/>
        <v>61.346649999999997</v>
      </c>
      <c r="AS248" s="94">
        <f t="shared" si="46"/>
        <v>56.846649999999997</v>
      </c>
      <c r="AT248" s="89">
        <f>Sheet1!BB246</f>
        <v>0</v>
      </c>
      <c r="AU248" s="89">
        <f>Sheet1!AS246*GPMtoMGD</f>
        <v>3.6720000000000003E-2</v>
      </c>
      <c r="AV248" s="94">
        <f>Sheet1!AT246</f>
        <v>0</v>
      </c>
      <c r="AW248" s="89">
        <f>Sheet1!AV246*GPMtoMGD</f>
        <v>1.0455840000000001</v>
      </c>
      <c r="AX248" s="89">
        <f>Sheet1!AW246*GPMtoMGD</f>
        <v>2.5685280000000001</v>
      </c>
      <c r="AY248" s="89">
        <f>Sheet1!AX246*GPMtoMGD</f>
        <v>4.6080000000000001E-3</v>
      </c>
      <c r="AZ248" s="89">
        <f>Sheet1!AY246*GPMtoMGD</f>
        <v>0</v>
      </c>
      <c r="BA248" s="89">
        <f>Sheet1!AZ246*GPMtoMGD</f>
        <v>0</v>
      </c>
      <c r="BB248" s="89">
        <f>Sheet1!BP246*GPMtoMGD</f>
        <v>2.4480000000000001E-3</v>
      </c>
      <c r="BC248" s="89">
        <f>Sheet1!CS246*GPMtoMGD</f>
        <v>4.25448</v>
      </c>
      <c r="BD248" s="89">
        <f>Sheet1!BO246*GPMtoMGD</f>
        <v>3.3251040000000001</v>
      </c>
      <c r="BE248" s="89">
        <f>Sheet1!BW246*GPMtoMGD</f>
        <v>2.062656</v>
      </c>
      <c r="BF248" s="89">
        <f>Sheet1!CN246*GPMtoMGD</f>
        <v>4.4072640000000005</v>
      </c>
      <c r="BG248" s="89">
        <f>Sheet1!CO246*GPMtoMGD</f>
        <v>1.4474880000000001</v>
      </c>
      <c r="BH248" s="89">
        <f>Sheet1!CP246*GPMtoMGD</f>
        <v>0</v>
      </c>
      <c r="BI248" s="89">
        <f t="shared" si="56"/>
        <v>3.3275519999999998</v>
      </c>
      <c r="BK248" s="94">
        <f>SUM(AT248:BA248,AS248,BC248,Calculation!AQ248)</f>
        <v>68.828087888155608</v>
      </c>
      <c r="BM248" s="358">
        <f>0</f>
        <v>0</v>
      </c>
      <c r="BN248" s="358">
        <f>0</f>
        <v>0</v>
      </c>
      <c r="BP248" s="94">
        <f>SUM(BM248:BN248,W248,Sheet1!DX246)</f>
        <v>0</v>
      </c>
      <c r="BR248" s="94">
        <f>Sheet1!AA246</f>
        <v>65.099999999999994</v>
      </c>
      <c r="BS248" s="94">
        <f>Sheet1!AB246</f>
        <v>28.59</v>
      </c>
      <c r="BT248" s="94">
        <f t="shared" ca="1" si="47"/>
        <v>-1.7184908552075706</v>
      </c>
      <c r="BU248" s="94">
        <f>Sheet1!AT246</f>
        <v>0</v>
      </c>
      <c r="BV248" s="89">
        <f>Sheet1!BB246</f>
        <v>0</v>
      </c>
      <c r="BW248" s="94">
        <f>Calculation!ED248</f>
        <v>24.518482111844392</v>
      </c>
      <c r="BX248" s="94">
        <f>(Sheet1!CS246*1440)/1000000</f>
        <v>4.25448</v>
      </c>
      <c r="CA248" s="94">
        <f ca="1">Sheet1!AC246-Sheet1!BK246-Sheet1!BL246-Sheet1!BM246-Sheet1!BC246-Sheet1!BD246-Sheet1!BE246-Sheet1!BF246-Sheet1!BG246-Sheet1!BH246-Sheet1!BI246+BC248+P248</f>
        <v>71.535989144792438</v>
      </c>
      <c r="CB248" s="93">
        <f t="shared" si="48"/>
        <v>107.00833817297672</v>
      </c>
      <c r="CC248" s="94">
        <f t="shared" si="49"/>
        <v>0</v>
      </c>
      <c r="CD248" s="94">
        <f t="shared" ca="1" si="50"/>
        <v>96.05447125663683</v>
      </c>
      <c r="CE248" s="1077">
        <f t="shared" ca="1" si="51"/>
        <v>148.59626703401716</v>
      </c>
      <c r="CG248" s="1077">
        <f t="shared" ca="1" si="52"/>
        <v>71.535989144792438</v>
      </c>
    </row>
    <row r="249" spans="1:85" s="89" customFormat="1" x14ac:dyDescent="0.25">
      <c r="A249" s="616" t="s">
        <v>9</v>
      </c>
      <c r="B249" s="91">
        <v>42973</v>
      </c>
      <c r="C249" s="92">
        <v>0</v>
      </c>
      <c r="D249" s="94">
        <f>(Sheet1!BQ247-Sheet1!BQ246)*1.385</f>
        <v>0.62324999999999897</v>
      </c>
      <c r="E249" s="30">
        <f>(Sheet1!BR247-Sheet1!BR246)*1.385</f>
        <v>0.65094999999999847</v>
      </c>
      <c r="F249" s="30">
        <f ca="1">IF(B249=TODAY(),0,-(VLOOKUP(Sheet1!CD247,Lookup!$I$4:$J$216,2)-VLOOKUP(Sheet1!CD246,Lookup!$I$4:$J$216,2))/1000000)</f>
        <v>-1.0363693854780012</v>
      </c>
      <c r="G249" s="94">
        <f ca="1">IF(B249=TODAY(),0,-$G$6*(Sheet1!CF247-Sheet1!CF246)*7.48/1000000)</f>
        <v>-0.23828100631535493</v>
      </c>
      <c r="H249" s="94">
        <f ca="1">IF(B249=TODAY(),0,-$H$6*(Sheet1!CE247-Sheet1!CE246)*7.48/1000000)</f>
        <v>-0.15039432351265059</v>
      </c>
      <c r="I249" s="94">
        <f ca="1">IF(B249=TODAY(),0,-$I$6*(Sheet1!CG247-Sheet1!CG246)*7.48/1000000)</f>
        <v>-4.4924879999999837E-3</v>
      </c>
      <c r="J249" s="95" t="s">
        <v>177</v>
      </c>
      <c r="K249" s="94">
        <f ca="1">IF(B249=TODAY(),0,-$K$6*(Sheet1!CH247-Sheet1!CH246)*7.48/1000000)</f>
        <v>0</v>
      </c>
      <c r="L249" s="95" t="s">
        <v>177</v>
      </c>
      <c r="M249" s="94">
        <f ca="1">IF(B249=TODAY(),0,-$M$6*(Sheet1!CI247-Sheet1!CI246)*7.48/1000000)</f>
        <v>0</v>
      </c>
      <c r="N249" s="94">
        <f ca="1">IF(B249=TODAY(),0,-$N$6*(Sheet1!CJ247-Sheet1!CJ246)*7.48/1000000)</f>
        <v>-0.38472454144666768</v>
      </c>
      <c r="O249" s="94">
        <f t="shared" ca="1" si="53"/>
        <v>-1.8142617447526743</v>
      </c>
      <c r="P249" s="94">
        <f ca="1">O249+Calculation!ES249</f>
        <v>-3.0619195287001086</v>
      </c>
      <c r="Q249" s="89" t="str">
        <f>IF(Sheet1!BQ247&gt;25.75,"spill elevation","-")</f>
        <v>-</v>
      </c>
      <c r="R249" s="89" t="str">
        <f>IF(Sheet1!BQ247&gt;25.75,"spill elevation","-")</f>
        <v>-</v>
      </c>
      <c r="S249" s="89" t="str">
        <f>IF(Sheet1!BR247&gt;25.75,"spill elevation","-")</f>
        <v>-</v>
      </c>
      <c r="T249" s="93">
        <f>IF(Sheet1!DU247=1,Sheet1!AA247-(SUM(AT249:BA249)+BE249),Sheet1!AA247-SUM(AT249:BA249))</f>
        <v>61.97384000000001</v>
      </c>
      <c r="U249" s="93">
        <f>Sheet1!BV247</f>
        <v>71.099999999999994</v>
      </c>
      <c r="V249" s="93">
        <f t="shared" si="54"/>
        <v>-9.1261599999999845</v>
      </c>
      <c r="W249" s="93">
        <f>0</f>
        <v>0</v>
      </c>
      <c r="X249" s="89">
        <f>0</f>
        <v>0</v>
      </c>
      <c r="Y249" s="94">
        <f ca="1">Calculation!EJ250+Calculation!ES249+'Calculations II'!O249-'Calculations II'!W249</f>
        <v>70.58032123320065</v>
      </c>
      <c r="Z249" s="94">
        <f ca="1">Y249-Sheet1!CT248</f>
        <v>54.03132123320065</v>
      </c>
      <c r="AA249" s="94">
        <f ca="1">Y249+Calculation!DJ250+Calculation!AS250</f>
        <v>94.770082325350813</v>
      </c>
      <c r="AC249" s="94">
        <f>Sheet1!AA247+Sheet1!AB247+BC249</f>
        <v>98.443408000000005</v>
      </c>
      <c r="AD249" s="94">
        <f>Sheet1!AA247+Sheet1!BN247+'Calculations II'!BC249-Calculation!AS249-Calculation!DJ249</f>
        <v>49.723578940170945</v>
      </c>
      <c r="AE249" s="94">
        <f>Sheet1!AA247+Sheet1!AB247+'Calculations II'!BC249-Calculation!AS249-Calculation!DJ249</f>
        <v>74.063578940170942</v>
      </c>
      <c r="AF249" s="94">
        <f ca="1">Sheet1!AA247+Sheet1!BN247+P249+'Calculations II'!BC249+Calculation!AS249+Calculation!DJ249</f>
        <v>95.421317531128949</v>
      </c>
      <c r="AG249" s="94">
        <f ca="1">IF(B249=TODAY(),0,Sheet1!AA247+Sheet1!BN247+'Calculations II'!BC249+'Calculations II'!P249-Sheet1!CT247-BP249)</f>
        <v>54.641488471299901</v>
      </c>
      <c r="AH249" s="94">
        <f ca="1">IF(B249=TODAY(),0,Sheet1!AA247+Sheet1!BN247+'Calculations II'!BC249+'Calculations II'!P249-BP249)</f>
        <v>71.0414884712999</v>
      </c>
      <c r="AI249" s="94">
        <f ca="1">IF(B249=TODAY(),0,BC249+Sheet1!AA247+Calculation!ES249+O249+W249+Sheet1!BN247+Calculation!AS249+Calculation!DJ249-BP249)</f>
        <v>95.421317531128949</v>
      </c>
      <c r="AJ249" s="94"/>
      <c r="AM249" s="90">
        <f t="shared" si="55"/>
        <v>42973</v>
      </c>
      <c r="AN249" s="94">
        <f>Sheet1!BU247</f>
        <v>60.9</v>
      </c>
      <c r="AO249" s="94">
        <f>Sheet1!AA247</f>
        <v>65.180000000000007</v>
      </c>
      <c r="AP249" s="94">
        <f t="shared" si="44"/>
        <v>1.2741999999999973</v>
      </c>
      <c r="AQ249" s="1087">
        <f>((Sheet1!BV247-(Sheet1!BU247-AP249))/(Sheet1!BU247-AP249))</f>
        <v>0.19243683103622922</v>
      </c>
      <c r="AR249" s="94">
        <f t="shared" si="45"/>
        <v>63.905800000000006</v>
      </c>
      <c r="AS249" s="94">
        <f t="shared" si="46"/>
        <v>59.625799999999998</v>
      </c>
      <c r="AT249" s="89">
        <f>Sheet1!BB247</f>
        <v>0</v>
      </c>
      <c r="AU249" s="89">
        <f>Sheet1!AS247*GPMtoMGD</f>
        <v>3.8016000000000001E-2</v>
      </c>
      <c r="AV249" s="94">
        <f>Sheet1!AT247</f>
        <v>0</v>
      </c>
      <c r="AW249" s="89">
        <f>Sheet1!AV247*GPMtoMGD</f>
        <v>0.98668800000000012</v>
      </c>
      <c r="AX249" s="89">
        <f>Sheet1!AW247*GPMtoMGD</f>
        <v>2.1787200000000002</v>
      </c>
      <c r="AY249" s="89">
        <f>Sheet1!AX247*GPMtoMGD</f>
        <v>2.7360000000000002E-3</v>
      </c>
      <c r="AZ249" s="89">
        <f>Sheet1!AY247*GPMtoMGD</f>
        <v>0</v>
      </c>
      <c r="BA249" s="89">
        <f>Sheet1!AZ247*GPMtoMGD</f>
        <v>0</v>
      </c>
      <c r="BB249" s="89">
        <f>Sheet1!BP247*GPMtoMGD</f>
        <v>2.4480000000000001E-3</v>
      </c>
      <c r="BC249" s="89">
        <f>Sheet1!CS247*GPMtoMGD</f>
        <v>4.2634080000000001</v>
      </c>
      <c r="BD249" s="89">
        <f>Sheet1!BO247*GPMtoMGD</f>
        <v>3.5138880000000001</v>
      </c>
      <c r="BE249" s="89">
        <f>Sheet1!BW247*GPMtoMGD</f>
        <v>1.9396800000000001</v>
      </c>
      <c r="BF249" s="89">
        <f>Sheet1!CN247*GPMtoMGD</f>
        <v>4.6392480000000003</v>
      </c>
      <c r="BG249" s="89">
        <f>Sheet1!CO247*GPMtoMGD</f>
        <v>1.467792</v>
      </c>
      <c r="BH249" s="89">
        <f>Sheet1!CP247*GPMtoMGD</f>
        <v>0</v>
      </c>
      <c r="BI249" s="89">
        <f t="shared" si="56"/>
        <v>3.5163359999999999</v>
      </c>
      <c r="BK249" s="94">
        <f>SUM(AT249:BA249,AS249,BC249,Calculation!AQ249)</f>
        <v>71.71553894017093</v>
      </c>
      <c r="BM249" s="358">
        <f>0</f>
        <v>0</v>
      </c>
      <c r="BN249" s="358">
        <f>0</f>
        <v>0</v>
      </c>
      <c r="BP249" s="94">
        <f>SUM(BM249:BN249,W249,Sheet1!DX247)</f>
        <v>0</v>
      </c>
      <c r="BR249" s="94">
        <f>Sheet1!AA247</f>
        <v>65.180000000000007</v>
      </c>
      <c r="BS249" s="94">
        <f>Sheet1!AB247</f>
        <v>29</v>
      </c>
      <c r="BT249" s="94">
        <f t="shared" ca="1" si="47"/>
        <v>-3.0619195287001086</v>
      </c>
      <c r="BU249" s="94">
        <f>Sheet1!AT247</f>
        <v>0</v>
      </c>
      <c r="BV249" s="89">
        <f>Sheet1!BB247</f>
        <v>0</v>
      </c>
      <c r="BW249" s="94">
        <f>Calculation!ED249</f>
        <v>24.379829059829056</v>
      </c>
      <c r="BX249" s="94">
        <f>(Sheet1!CS247*1440)/1000000</f>
        <v>4.2634080000000001</v>
      </c>
      <c r="CA249" s="94">
        <f ca="1">Sheet1!AC247-Sheet1!BK247-Sheet1!BL247-Sheet1!BM247-Sheet1!BC247-Sheet1!BD247-Sheet1!BE247-Sheet1!BF247-Sheet1!BG247-Sheet1!BH247-Sheet1!BI247+BC249+P249</f>
        <v>70.7914884712999</v>
      </c>
      <c r="CB249" s="93">
        <f t="shared" si="48"/>
        <v>107.98086444444445</v>
      </c>
      <c r="CC249" s="94">
        <f t="shared" si="49"/>
        <v>0</v>
      </c>
      <c r="CD249" s="94">
        <f t="shared" ca="1" si="50"/>
        <v>95.171317531128949</v>
      </c>
      <c r="CE249" s="1077">
        <f t="shared" ca="1" si="51"/>
        <v>147.23002822065646</v>
      </c>
      <c r="CG249" s="1077">
        <f t="shared" ca="1" si="52"/>
        <v>70.7914884712999</v>
      </c>
    </row>
    <row r="250" spans="1:85" s="89" customFormat="1" x14ac:dyDescent="0.25">
      <c r="A250" s="616" t="s">
        <v>3</v>
      </c>
      <c r="B250" s="91">
        <v>42974</v>
      </c>
      <c r="C250" s="92">
        <v>0</v>
      </c>
      <c r="D250" s="94">
        <f>(Sheet1!BQ248-Sheet1!BQ247)*1.385</f>
        <v>0.38780000000000159</v>
      </c>
      <c r="E250" s="30">
        <f>(Sheet1!BR248-Sheet1!BR247)*1.385</f>
        <v>0.37394999999999939</v>
      </c>
      <c r="F250" s="30">
        <f ca="1">IF(B250=TODAY(),0,-(VLOOKUP(Sheet1!CD248,Lookup!$I$4:$J$216,2)-VLOOKUP(Sheet1!CD247,Lookup!$I$4:$J$216,2))/1000000)</f>
        <v>-0.20727387709559872</v>
      </c>
      <c r="G250" s="94">
        <f ca="1">IF(B250=TODAY(),0,-$G$6*(Sheet1!CF248-Sheet1!CF247)*7.48/1000000)</f>
        <v>0.52818956399903805</v>
      </c>
      <c r="H250" s="94">
        <f ca="1">IF(B250=TODAY(),0,-$H$6*(Sheet1!CE248-Sheet1!CE247)*7.48/1000000)</f>
        <v>1.5039432351265274E-2</v>
      </c>
      <c r="I250" s="94">
        <f ca="1">IF(B250=TODAY(),0,-$I$6*(Sheet1!CG248-Sheet1!CG247)*7.48/1000000)</f>
        <v>8.9849760000000074E-3</v>
      </c>
      <c r="J250" s="95" t="s">
        <v>177</v>
      </c>
      <c r="K250" s="94">
        <f ca="1">IF(B250=TODAY(),0,-$K$6*(Sheet1!CH248-Sheet1!CH247)*7.48/1000000)</f>
        <v>1.3326640748916837E-2</v>
      </c>
      <c r="L250" s="95" t="s">
        <v>177</v>
      </c>
      <c r="M250" s="94">
        <f ca="1">IF(B250=TODAY(),0,-$M$6*(Sheet1!CI248-Sheet1!CI247)*7.48/1000000)</f>
        <v>5.3974525284081275E-2</v>
      </c>
      <c r="N250" s="94">
        <f ca="1">IF(B250=TODAY(),0,-$N$6*(Sheet1!CJ248-Sheet1!CJ247)*7.48/1000000)</f>
        <v>-3.723140723677465E-2</v>
      </c>
      <c r="O250" s="94">
        <f t="shared" ca="1" si="53"/>
        <v>0.37500985405092802</v>
      </c>
      <c r="P250" s="94">
        <f ca="1">O250+Calculation!ES250</f>
        <v>-0.45691802335888398</v>
      </c>
      <c r="Q250" s="89" t="str">
        <f>IF(Sheet1!BQ248&gt;25.75,"spill elevation","-")</f>
        <v>-</v>
      </c>
      <c r="R250" s="89" t="str">
        <f>IF(Sheet1!BQ248&gt;25.75,"spill elevation","-")</f>
        <v>-</v>
      </c>
      <c r="S250" s="89" t="str">
        <f>IF(Sheet1!BR248&gt;25.75,"spill elevation","-")</f>
        <v>-</v>
      </c>
      <c r="T250" s="93">
        <f>IF(Sheet1!DU248=1,Sheet1!AA248-(SUM(AT250:BA250)+BE250),Sheet1!AA248-SUM(AT250:BA250))</f>
        <v>61.832751999999992</v>
      </c>
      <c r="U250" s="93">
        <f>Sheet1!BV248</f>
        <v>71.5</v>
      </c>
      <c r="V250" s="93">
        <f t="shared" si="54"/>
        <v>-9.6672480000000078</v>
      </c>
      <c r="W250" s="93">
        <f>0</f>
        <v>0</v>
      </c>
      <c r="X250" s="89">
        <f>0</f>
        <v>0</v>
      </c>
      <c r="Y250" s="94">
        <f ca="1">Calculation!EJ251+Calculation!ES250+'Calculations II'!O250-'Calculations II'!W250</f>
        <v>73.603151897231967</v>
      </c>
      <c r="Z250" s="94">
        <f ca="1">Y250-Sheet1!CT249</f>
        <v>57.180151897231966</v>
      </c>
      <c r="AA250" s="94">
        <f ca="1">Y250+Calculation!DJ251+Calculation!AS251</f>
        <v>98.44333670216011</v>
      </c>
      <c r="AC250" s="94">
        <f>Sheet1!AA248+Sheet1!AB248+BC250</f>
        <v>98.589743999999996</v>
      </c>
      <c r="AD250" s="94">
        <f>Sheet1!AA248+Sheet1!BN248+'Calculations II'!BC250-Calculation!AS250-Calculation!DJ250</f>
        <v>50.259982907849832</v>
      </c>
      <c r="AE250" s="94">
        <f>Sheet1!AA248+Sheet1!AB248+'Calculations II'!BC250-Calculation!AS250-Calculation!DJ250</f>
        <v>74.399982907849832</v>
      </c>
      <c r="AF250" s="94">
        <f ca="1">Sheet1!AA248+Sheet1!BN248+P250+'Calculations II'!BC250+Calculation!AS250+Calculation!DJ250</f>
        <v>98.182587068791278</v>
      </c>
      <c r="AG250" s="94">
        <f ca="1">IF(B250=TODAY(),0,Sheet1!AA248+Sheet1!BN248+'Calculations II'!BC250+'Calculations II'!P250-Sheet1!CT248-BP250)</f>
        <v>57.443825976641115</v>
      </c>
      <c r="AH250" s="94">
        <f ca="1">IF(B250=TODAY(),0,Sheet1!AA248+Sheet1!BN248+'Calculations II'!BC250+'Calculations II'!P250-BP250)</f>
        <v>73.992825976641114</v>
      </c>
      <c r="AI250" s="94">
        <f ca="1">IF(B250=TODAY(),0,BC250+Sheet1!AA248+Calculation!ES250+O250+W250+Sheet1!BN248+Calculation!AS250+Calculation!DJ250-BP250)</f>
        <v>98.182587068791278</v>
      </c>
      <c r="AJ250" s="94"/>
      <c r="AM250" s="90">
        <f t="shared" si="55"/>
        <v>42974</v>
      </c>
      <c r="AN250" s="94">
        <f>Sheet1!BU248</f>
        <v>60.7</v>
      </c>
      <c r="AO250" s="94">
        <f>Sheet1!AA248</f>
        <v>65.319999999999993</v>
      </c>
      <c r="AP250" s="94">
        <f t="shared" si="44"/>
        <v>0.76175000000000104</v>
      </c>
      <c r="AQ250" s="1087">
        <f>((Sheet1!BV248-(Sheet1!BU248-AP250))/(Sheet1!BU248-AP250))</f>
        <v>0.19289435377242406</v>
      </c>
      <c r="AR250" s="94">
        <f t="shared" si="45"/>
        <v>64.558249999999987</v>
      </c>
      <c r="AS250" s="94">
        <f t="shared" si="46"/>
        <v>59.938250000000004</v>
      </c>
      <c r="AT250" s="89">
        <f>Sheet1!BB248</f>
        <v>0</v>
      </c>
      <c r="AU250" s="89">
        <f>Sheet1!AS248*GPMtoMGD</f>
        <v>5.716800000000001E-2</v>
      </c>
      <c r="AV250" s="94">
        <f>Sheet1!AT248</f>
        <v>0</v>
      </c>
      <c r="AW250" s="89">
        <f>Sheet1!AV248*GPMtoMGD</f>
        <v>1.22472</v>
      </c>
      <c r="AX250" s="89">
        <f>Sheet1!AW248*GPMtoMGD</f>
        <v>2.2047840000000001</v>
      </c>
      <c r="AY250" s="89">
        <f>Sheet1!AX248*GPMtoMGD</f>
        <v>5.7600000000000001E-4</v>
      </c>
      <c r="AZ250" s="89">
        <f>Sheet1!AY248*GPMtoMGD</f>
        <v>0</v>
      </c>
      <c r="BA250" s="89">
        <f>Sheet1!AZ248*GPMtoMGD</f>
        <v>0</v>
      </c>
      <c r="BB250" s="89">
        <f>Sheet1!BP248*GPMtoMGD</f>
        <v>2.3040000000000001E-3</v>
      </c>
      <c r="BC250" s="89">
        <f>Sheet1!CS248*GPMtoMGD</f>
        <v>4.2697440000000002</v>
      </c>
      <c r="BD250" s="89">
        <f>Sheet1!BO248*GPMtoMGD</f>
        <v>3.6689760000000002</v>
      </c>
      <c r="BE250" s="89">
        <f>Sheet1!BW248*GPMtoMGD</f>
        <v>1.9287360000000002</v>
      </c>
      <c r="BF250" s="89">
        <f>Sheet1!CN248*GPMtoMGD</f>
        <v>4.7511360000000007</v>
      </c>
      <c r="BG250" s="89">
        <f>Sheet1!CO248*GPMtoMGD</f>
        <v>1.551024</v>
      </c>
      <c r="BH250" s="89">
        <f>Sheet1!CP248*GPMtoMGD</f>
        <v>0</v>
      </c>
      <c r="BI250" s="89">
        <f t="shared" si="56"/>
        <v>3.6712800000000003</v>
      </c>
      <c r="BK250" s="94">
        <f>SUM(AT250:BA250,AS250,BC250,Calculation!AQ250)</f>
        <v>72.505480907849829</v>
      </c>
      <c r="BM250" s="358">
        <f>0</f>
        <v>0</v>
      </c>
      <c r="BN250" s="358">
        <f>0</f>
        <v>0</v>
      </c>
      <c r="BP250" s="94">
        <f>SUM(BM250:BN250,W250,Sheet1!DX248)</f>
        <v>0</v>
      </c>
      <c r="BR250" s="94">
        <f>Sheet1!AA248</f>
        <v>65.319999999999993</v>
      </c>
      <c r="BS250" s="94">
        <f>Sheet1!AB248</f>
        <v>29</v>
      </c>
      <c r="BT250" s="94">
        <f t="shared" ca="1" si="47"/>
        <v>-0.45691802335888398</v>
      </c>
      <c r="BU250" s="94">
        <f>Sheet1!AT248</f>
        <v>0</v>
      </c>
      <c r="BV250" s="89">
        <f>Sheet1!BB248</f>
        <v>0</v>
      </c>
      <c r="BW250" s="94">
        <f>Calculation!ED250</f>
        <v>24.189761092150167</v>
      </c>
      <c r="BX250" s="94">
        <f>(Sheet1!CS248*1440)/1000000</f>
        <v>4.2697440000000002</v>
      </c>
      <c r="CA250" s="94">
        <f ca="1">Sheet1!AC248-Sheet1!BK248-Sheet1!BL248-Sheet1!BM248-Sheet1!BC248-Sheet1!BD248-Sheet1!BE248-Sheet1!BF248-Sheet1!BG248-Sheet1!BH248-Sheet1!BI248+BC250+P250</f>
        <v>73.692825976641117</v>
      </c>
      <c r="CB250" s="93">
        <f t="shared" si="48"/>
        <v>108.49147959044367</v>
      </c>
      <c r="CC250" s="94">
        <f t="shared" si="49"/>
        <v>0</v>
      </c>
      <c r="CD250" s="94">
        <f t="shared" ca="1" si="50"/>
        <v>97.882587068791281</v>
      </c>
      <c r="CE250" s="1077">
        <f t="shared" ca="1" si="51"/>
        <v>151.42436219542012</v>
      </c>
      <c r="CG250" s="1077">
        <f t="shared" ca="1" si="52"/>
        <v>73.692825976641117</v>
      </c>
    </row>
    <row r="251" spans="1:85" s="89" customFormat="1" x14ac:dyDescent="0.25">
      <c r="A251" s="616" t="s">
        <v>4</v>
      </c>
      <c r="B251" s="91">
        <v>42975</v>
      </c>
      <c r="C251" s="92">
        <v>0</v>
      </c>
      <c r="D251" s="94">
        <f>(Sheet1!BQ249-Sheet1!BQ248)*1.385</f>
        <v>-0.5401500000000008</v>
      </c>
      <c r="E251" s="30">
        <f>(Sheet1!BR249-Sheet1!BR248)*1.385</f>
        <v>-0.56785000000000019</v>
      </c>
      <c r="F251" s="30">
        <f ca="1">IF(B251=TODAY(),0,-(VLOOKUP(Sheet1!CD249,Lookup!$I$4:$J$216,2)-VLOOKUP(Sheet1!CD248,Lookup!$I$4:$J$216,2))/1000000)</f>
        <v>1.1400063240258005</v>
      </c>
      <c r="G251" s="94">
        <f ca="1">IF(B251=TODAY(),0,-$G$6*(Sheet1!CF249-Sheet1!CF248)*7.48/1000000)</f>
        <v>-0.40904906084135984</v>
      </c>
      <c r="H251" s="94">
        <f ca="1">IF(B251=TODAY(),0,-$H$6*(Sheet1!CE249-Sheet1!CE248)*7.48/1000000)</f>
        <v>2.8574921467404341E-2</v>
      </c>
      <c r="I251" s="94">
        <f ca="1">IF(B251=TODAY(),0,-$I$6*(Sheet1!CG249-Sheet1!CG248)*7.48/1000000)</f>
        <v>1.3477463999999995E-2</v>
      </c>
      <c r="J251" s="95" t="s">
        <v>177</v>
      </c>
      <c r="K251" s="94">
        <f ca="1">IF(B251=TODAY(),0,-$K$6*(Sheet1!CH249-Sheet1!CH248)*7.48/1000000)</f>
        <v>1.9989961123375376E-2</v>
      </c>
      <c r="L251" s="95" t="s">
        <v>177</v>
      </c>
      <c r="M251" s="94">
        <f ca="1">IF(B251=TODAY(),0,-$M$6*(Sheet1!CI249-Sheet1!CI248)*7.48/1000000)</f>
        <v>5.3974525284080636E-2</v>
      </c>
      <c r="N251" s="94">
        <f ca="1">IF(B251=TODAY(),0,-$N$6*(Sheet1!CJ249-Sheet1!CJ248)*7.48/1000000)</f>
        <v>0.46539259045967929</v>
      </c>
      <c r="O251" s="94">
        <f t="shared" ca="1" si="53"/>
        <v>1.3123667255189804</v>
      </c>
      <c r="P251" s="94">
        <f ca="1">O251+Calculation!ES251</f>
        <v>2.4215782471700176</v>
      </c>
      <c r="Q251" s="89" t="str">
        <f>IF(Sheet1!BQ249&gt;25.75,"spill elevation","-")</f>
        <v>-</v>
      </c>
      <c r="R251" s="89" t="str">
        <f>IF(Sheet1!BQ249&gt;25.75,"spill elevation","-")</f>
        <v>-</v>
      </c>
      <c r="S251" s="89" t="str">
        <f>IF(Sheet1!BR249&gt;25.75,"spill elevation","-")</f>
        <v>-</v>
      </c>
      <c r="T251" s="93">
        <f>IF(Sheet1!DU249=1,Sheet1!AA249-(SUM(AT251:BA251)+BE251),Sheet1!AA249-SUM(AT251:BA251))</f>
        <v>61.63344</v>
      </c>
      <c r="U251" s="93">
        <f>Sheet1!BV249</f>
        <v>73.400000000000006</v>
      </c>
      <c r="V251" s="93">
        <f t="shared" si="54"/>
        <v>-11.766560000000005</v>
      </c>
      <c r="W251" s="93">
        <f>0</f>
        <v>0</v>
      </c>
      <c r="X251" s="89">
        <f>0</f>
        <v>0</v>
      </c>
      <c r="Y251" s="94">
        <f ca="1">Calculation!EJ252+Calculation!ES251+'Calculations II'!O251-'Calculations II'!W251</f>
        <v>72.18371101271218</v>
      </c>
      <c r="Z251" s="94">
        <f ca="1">Y251-Sheet1!CT250</f>
        <v>56.148711012712184</v>
      </c>
      <c r="AA251" s="94">
        <f ca="1">Y251+Calculation!DJ252+Calculation!AS252</f>
        <v>97.354940520908897</v>
      </c>
      <c r="AC251" s="94">
        <f>Sheet1!AA249+Sheet1!AB249+BC251</f>
        <v>98.621328000000005</v>
      </c>
      <c r="AD251" s="94">
        <f>Sheet1!AA249+Sheet1!BN249+'Calculations II'!BC251-Calculation!AS251-Calculation!DJ251</f>
        <v>48.971143195071868</v>
      </c>
      <c r="AE251" s="94">
        <f>Sheet1!AA249+Sheet1!AB249+'Calculations II'!BC251-Calculation!AS251-Calculation!DJ251</f>
        <v>73.781143195071877</v>
      </c>
      <c r="AF251" s="94">
        <f ca="1">Sheet1!AA249+Sheet1!BN249+P251+'Calculations II'!BC251+Calculation!AS251+Calculation!DJ251</f>
        <v>101.07309105209816</v>
      </c>
      <c r="AG251" s="94">
        <f ca="1">IF(B251=TODAY(),0,Sheet1!AA249+Sheet1!BN249+'Calculations II'!BC251+'Calculations II'!P251-Sheet1!CT249-BP251)</f>
        <v>59.809906247170019</v>
      </c>
      <c r="AH251" s="94">
        <f ca="1">IF(B251=TODAY(),0,Sheet1!AA249+Sheet1!BN249+'Calculations II'!BC251+'Calculations II'!P251-BP251)</f>
        <v>76.232906247170021</v>
      </c>
      <c r="AI251" s="94">
        <f ca="1">IF(B251=TODAY(),0,BC251+Sheet1!AA249+Calculation!ES251+O251+W251+Sheet1!BN249+Calculation!AS251+Calculation!DJ251-BP251)</f>
        <v>101.07309105209816</v>
      </c>
      <c r="AJ251" s="94"/>
      <c r="AM251" s="90">
        <f t="shared" si="55"/>
        <v>42975</v>
      </c>
      <c r="AN251" s="94">
        <f>Sheet1!BU249</f>
        <v>60.6</v>
      </c>
      <c r="AO251" s="94">
        <f>Sheet1!AA249</f>
        <v>65.34</v>
      </c>
      <c r="AP251" s="94">
        <f t="shared" si="44"/>
        <v>-1.108000000000001</v>
      </c>
      <c r="AQ251" s="1087">
        <f>((Sheet1!BV249-(Sheet1!BU249-AP251))/(Sheet1!BU249-AP251))</f>
        <v>0.18947300187982108</v>
      </c>
      <c r="AR251" s="94">
        <f t="shared" si="45"/>
        <v>66.448000000000008</v>
      </c>
      <c r="AS251" s="94">
        <f t="shared" si="46"/>
        <v>61.708000000000006</v>
      </c>
      <c r="AT251" s="89">
        <f>Sheet1!BB249</f>
        <v>0</v>
      </c>
      <c r="AU251" s="89">
        <f>Sheet1!AS249*GPMtoMGD</f>
        <v>4.0464000000000007E-2</v>
      </c>
      <c r="AV251" s="94">
        <f>Sheet1!AT249</f>
        <v>0</v>
      </c>
      <c r="AW251" s="89">
        <f>Sheet1!AV249*GPMtoMGD</f>
        <v>1.5014880000000002</v>
      </c>
      <c r="AX251" s="89">
        <f>Sheet1!AW249*GPMtoMGD</f>
        <v>2.163456</v>
      </c>
      <c r="AY251" s="89">
        <f>Sheet1!AX249*GPMtoMGD</f>
        <v>1.152E-3</v>
      </c>
      <c r="AZ251" s="89">
        <f>Sheet1!AY249*GPMtoMGD</f>
        <v>0</v>
      </c>
      <c r="BA251" s="89">
        <f>Sheet1!AZ249*GPMtoMGD</f>
        <v>0</v>
      </c>
      <c r="BB251" s="89">
        <f>Sheet1!BP249*GPMtoMGD</f>
        <v>2.3040000000000001E-3</v>
      </c>
      <c r="BC251" s="89">
        <f>Sheet1!CS249*GPMtoMGD</f>
        <v>4.2713279999999996</v>
      </c>
      <c r="BD251" s="89">
        <f>Sheet1!BO249*GPMtoMGD</f>
        <v>3.7297440000000002</v>
      </c>
      <c r="BE251" s="89">
        <f>Sheet1!BW249*GPMtoMGD</f>
        <v>2.0037600000000002</v>
      </c>
      <c r="BF251" s="89">
        <f>Sheet1!CN249*GPMtoMGD</f>
        <v>4.7838240000000001</v>
      </c>
      <c r="BG251" s="89">
        <f>Sheet1!CO249*GPMtoMGD</f>
        <v>1.57752</v>
      </c>
      <c r="BH251" s="89">
        <f>Sheet1!CP249*GPMtoMGD</f>
        <v>0</v>
      </c>
      <c r="BI251" s="89">
        <f t="shared" si="56"/>
        <v>3.7320480000000003</v>
      </c>
      <c r="BK251" s="94">
        <f>SUM(AT251:BA251,AS251,BC251,Calculation!AQ251)</f>
        <v>73.855703195071868</v>
      </c>
      <c r="BM251" s="358">
        <f>0</f>
        <v>0</v>
      </c>
      <c r="BN251" s="358">
        <f>0</f>
        <v>0</v>
      </c>
      <c r="BP251" s="94">
        <f>SUM(BM251:BN251,W251,Sheet1!DX249)</f>
        <v>0</v>
      </c>
      <c r="BR251" s="94">
        <f>Sheet1!AA249</f>
        <v>65.34</v>
      </c>
      <c r="BS251" s="94">
        <f>Sheet1!AB249</f>
        <v>29.01</v>
      </c>
      <c r="BT251" s="94">
        <f t="shared" ca="1" si="47"/>
        <v>2.4215782471700176</v>
      </c>
      <c r="BU251" s="94">
        <f>Sheet1!AT249</f>
        <v>0</v>
      </c>
      <c r="BV251" s="89">
        <f>Sheet1!BB249</f>
        <v>0</v>
      </c>
      <c r="BW251" s="94">
        <f>Calculation!ED251</f>
        <v>24.840184804928136</v>
      </c>
      <c r="BX251" s="94">
        <f>(Sheet1!CS249*1440)/1000000</f>
        <v>4.2713279999999996</v>
      </c>
      <c r="CA251" s="94">
        <f ca="1">Sheet1!AC249-Sheet1!BK249-Sheet1!BL249-Sheet1!BM249-Sheet1!BC249-Sheet1!BD249-Sheet1!BE249-Sheet1!BF249-Sheet1!BG249-Sheet1!BH249-Sheet1!BI249+BC251+P251</f>
        <v>76.022906247170027</v>
      </c>
      <c r="CB251" s="93">
        <f t="shared" si="48"/>
        <v>107.53168410677617</v>
      </c>
      <c r="CC251" s="94">
        <f t="shared" si="49"/>
        <v>0</v>
      </c>
      <c r="CD251" s="94">
        <f t="shared" ca="1" si="50"/>
        <v>100.86309105209816</v>
      </c>
      <c r="CE251" s="1077">
        <f t="shared" ca="1" si="51"/>
        <v>156.03520185759584</v>
      </c>
      <c r="CG251" s="1077">
        <f t="shared" ca="1" si="52"/>
        <v>76.022906247170027</v>
      </c>
    </row>
    <row r="252" spans="1:85" s="89" customFormat="1" x14ac:dyDescent="0.25">
      <c r="A252" s="616" t="s">
        <v>5</v>
      </c>
      <c r="B252" s="91">
        <v>42976</v>
      </c>
      <c r="C252" s="92">
        <v>0</v>
      </c>
      <c r="D252" s="94">
        <f>(Sheet1!BQ250-Sheet1!BQ249)*1.385</f>
        <v>-0.95565000000000178</v>
      </c>
      <c r="E252" s="30">
        <f>(Sheet1!BR250-Sheet1!BR249)*1.385</f>
        <v>-0.94179999999999964</v>
      </c>
      <c r="F252" s="30">
        <f ca="1">IF(B252=TODAY(),0,-(VLOOKUP(Sheet1!CD250,Lookup!$I$4:$J$216,2)-VLOOKUP(Sheet1!CD249,Lookup!$I$4:$J$216,2))/1000000)</f>
        <v>-0.41454775419119744</v>
      </c>
      <c r="G252" s="94">
        <f ca="1">IF(B252=TODAY(),0,-$G$6*(Sheet1!CF250-Sheet1!CF249)*7.48/1000000)</f>
        <v>-9.9283752631398242E-2</v>
      </c>
      <c r="H252" s="94">
        <f ca="1">IF(B252=TODAY(),0,-$H$6*(Sheet1!CE250-Sheet1!CE249)*7.48/1000000)</f>
        <v>6.1661672640186231E-2</v>
      </c>
      <c r="I252" s="94">
        <f ca="1">IF(B252=TODAY(),0,-$I$6*(Sheet1!CG250-Sheet1!CG249)*7.48/1000000)</f>
        <v>4.4924879999999837E-3</v>
      </c>
      <c r="J252" s="95" t="s">
        <v>177</v>
      </c>
      <c r="K252" s="94">
        <f ca="1">IF(B252=TODAY(),0,-$K$6*(Sheet1!CH250-Sheet1!CH249)*7.48/1000000)</f>
        <v>6.6633203744584186E-3</v>
      </c>
      <c r="L252" s="95" t="s">
        <v>177</v>
      </c>
      <c r="M252" s="94">
        <f ca="1">IF(B252=TODAY(),0,-$M$6*(Sheet1!CI250-Sheet1!CI249)*7.48/1000000)</f>
        <v>1.7991508428027301E-2</v>
      </c>
      <c r="N252" s="94">
        <f ca="1">IF(B252=TODAY(),0,-$N$6*(Sheet1!CJ250-Sheet1!CJ249)*7.48/1000000)</f>
        <v>-0.21718320888118345</v>
      </c>
      <c r="O252" s="94">
        <f t="shared" ca="1" si="53"/>
        <v>-0.64020572626110717</v>
      </c>
      <c r="P252" s="94">
        <f ca="1">O252+Calculation!ES252</f>
        <v>1.3004207385740225</v>
      </c>
      <c r="Q252" s="89" t="str">
        <f>IF(Sheet1!BQ250&gt;25.75,"spill elevation","-")</f>
        <v>-</v>
      </c>
      <c r="R252" s="89" t="str">
        <f>IF(Sheet1!BQ250&gt;25.75,"spill elevation","-")</f>
        <v>-</v>
      </c>
      <c r="S252" s="89" t="str">
        <f>IF(Sheet1!BR250&gt;25.75,"spill elevation","-")</f>
        <v>-</v>
      </c>
      <c r="T252" s="93">
        <f>IF(Sheet1!DU250=1,Sheet1!AA250-(SUM(AT252:BA252)+BE252),Sheet1!AA250-SUM(AT252:BA252))</f>
        <v>61.416319999999999</v>
      </c>
      <c r="U252" s="93">
        <f>Sheet1!BV250</f>
        <v>74.5</v>
      </c>
      <c r="V252" s="93">
        <f t="shared" si="54"/>
        <v>-13.083680000000001</v>
      </c>
      <c r="W252" s="93">
        <f>0</f>
        <v>0</v>
      </c>
      <c r="X252" s="89">
        <f>0</f>
        <v>0</v>
      </c>
      <c r="Y252" s="94">
        <f ca="1">Calculation!EJ253+Calculation!ES252+'Calculations II'!O252-'Calculations II'!W252</f>
        <v>69.166457597442502</v>
      </c>
      <c r="Z252" s="94">
        <f ca="1">Y252-Sheet1!CT251</f>
        <v>52.851457597442504</v>
      </c>
      <c r="AA252" s="94">
        <f ca="1">Y252+Calculation!DJ253+Calculation!AS253</f>
        <v>94.179920574256272</v>
      </c>
      <c r="AC252" s="94">
        <f>Sheet1!AA250+Sheet1!AB250+BC252</f>
        <v>96.389887999999999</v>
      </c>
      <c r="AD252" s="94">
        <f>Sheet1!AA250+Sheet1!BN250+'Calculations II'!BC252-Calculation!AS252-Calculation!DJ252</f>
        <v>46.04865849180328</v>
      </c>
      <c r="AE252" s="94">
        <f>Sheet1!AA250+Sheet1!AB250+'Calculations II'!BC252-Calculation!AS252-Calculation!DJ252</f>
        <v>71.218658491803282</v>
      </c>
      <c r="AF252" s="94">
        <f ca="1">Sheet1!AA250+Sheet1!BN250+P252+'Calculations II'!BC252+Calculation!AS252+Calculation!DJ252</f>
        <v>97.691538246770733</v>
      </c>
      <c r="AG252" s="94">
        <f ca="1">IF(B252=TODAY(),0,Sheet1!AA250+Sheet1!BN250+'Calculations II'!BC252+'Calculations II'!P252-Sheet1!CT250-BP252)</f>
        <v>56.48530873857402</v>
      </c>
      <c r="AH252" s="94">
        <f ca="1">IF(B252=TODAY(),0,Sheet1!AA250+Sheet1!BN250+'Calculations II'!BC252+'Calculations II'!P252-BP252)</f>
        <v>72.520308738574016</v>
      </c>
      <c r="AI252" s="94">
        <f ca="1">IF(B252=TODAY(),0,BC252+Sheet1!AA250+Calculation!ES252+O252+W252+Sheet1!BN250+Calculation!AS252+Calculation!DJ252-BP252)</f>
        <v>97.691538246770747</v>
      </c>
      <c r="AJ252" s="94"/>
      <c r="AM252" s="90">
        <f t="shared" si="55"/>
        <v>42976</v>
      </c>
      <c r="AN252" s="94">
        <f>Sheet1!BU250</f>
        <v>60.6</v>
      </c>
      <c r="AO252" s="94">
        <f>Sheet1!AA250</f>
        <v>65.3</v>
      </c>
      <c r="AP252" s="94">
        <f t="shared" si="44"/>
        <v>-1.8974500000000014</v>
      </c>
      <c r="AQ252" s="1087">
        <f>((Sheet1!BV250-(Sheet1!BU250-AP252))/(Sheet1!BU250-AP252))</f>
        <v>0.19204863558433183</v>
      </c>
      <c r="AR252" s="94">
        <f t="shared" si="45"/>
        <v>67.197450000000003</v>
      </c>
      <c r="AS252" s="94">
        <f t="shared" si="46"/>
        <v>62.497450000000001</v>
      </c>
      <c r="AT252" s="89">
        <f>Sheet1!BB250</f>
        <v>0</v>
      </c>
      <c r="AU252" s="89">
        <f>Sheet1!AS250*GPMtoMGD</f>
        <v>3.8880000000000005E-2</v>
      </c>
      <c r="AV252" s="94">
        <f>Sheet1!AT250</f>
        <v>0</v>
      </c>
      <c r="AW252" s="89">
        <f>Sheet1!AV250*GPMtoMGD</f>
        <v>1.7246880000000002</v>
      </c>
      <c r="AX252" s="89">
        <f>Sheet1!AW250*GPMtoMGD</f>
        <v>2.1201120000000002</v>
      </c>
      <c r="AY252" s="89">
        <f>Sheet1!AX250*GPMtoMGD</f>
        <v>0</v>
      </c>
      <c r="AZ252" s="89">
        <f>Sheet1!AY250*GPMtoMGD</f>
        <v>0</v>
      </c>
      <c r="BA252" s="89">
        <f>Sheet1!AZ250*GPMtoMGD</f>
        <v>0</v>
      </c>
      <c r="BB252" s="89">
        <f>Sheet1!BP250*GPMtoMGD</f>
        <v>2.3040000000000001E-3</v>
      </c>
      <c r="BC252" s="89">
        <f>Sheet1!CS250*GPMtoMGD</f>
        <v>4.2698879999999999</v>
      </c>
      <c r="BD252" s="89">
        <f>Sheet1!BO250*GPMtoMGD</f>
        <v>3.5883360000000004</v>
      </c>
      <c r="BE252" s="89">
        <f>Sheet1!BW250*GPMtoMGD</f>
        <v>1.9153439999999999</v>
      </c>
      <c r="BF252" s="89">
        <f>Sheet1!CN250*GPMtoMGD</f>
        <v>4.6608479999999997</v>
      </c>
      <c r="BG252" s="89">
        <f>Sheet1!CO250*GPMtoMGD</f>
        <v>1.5050880000000002</v>
      </c>
      <c r="BH252" s="89">
        <f>Sheet1!CP250*GPMtoMGD</f>
        <v>0</v>
      </c>
      <c r="BI252" s="89">
        <f t="shared" si="56"/>
        <v>3.5906400000000005</v>
      </c>
      <c r="BK252" s="94">
        <f>SUM(AT252:BA252,AS252,BC252,Calculation!AQ252)</f>
        <v>72.29978849180327</v>
      </c>
      <c r="BM252" s="358">
        <f>0</f>
        <v>0</v>
      </c>
      <c r="BN252" s="358">
        <f>0</f>
        <v>0</v>
      </c>
      <c r="BP252" s="94">
        <f>SUM(BM252:BN252,W252,Sheet1!DX250)</f>
        <v>0</v>
      </c>
      <c r="BR252" s="94">
        <f>Sheet1!AA250</f>
        <v>65.3</v>
      </c>
      <c r="BS252" s="94">
        <f>Sheet1!AB250</f>
        <v>26.82</v>
      </c>
      <c r="BT252" s="94">
        <f t="shared" ca="1" si="47"/>
        <v>1.3004207385740225</v>
      </c>
      <c r="BU252" s="94">
        <f>Sheet1!AT250</f>
        <v>0</v>
      </c>
      <c r="BV252" s="89">
        <f>Sheet1!BB250</f>
        <v>0</v>
      </c>
      <c r="BW252" s="94">
        <f>Calculation!ED252</f>
        <v>25.171229508196721</v>
      </c>
      <c r="BX252" s="94">
        <f>(Sheet1!CS250*1440)/1000000</f>
        <v>4.2698879999999999</v>
      </c>
      <c r="CA252" s="94">
        <f ca="1">Sheet1!AC250-Sheet1!BK250-Sheet1!BL250-Sheet1!BM250-Sheet1!BC250-Sheet1!BD250-Sheet1!BE250-Sheet1!BF250-Sheet1!BG250-Sheet1!BH250-Sheet1!BI250+BC252+P252</f>
        <v>72.50030873857402</v>
      </c>
      <c r="CB252" s="93">
        <f t="shared" si="48"/>
        <v>103.56974795081967</v>
      </c>
      <c r="CC252" s="94">
        <f t="shared" si="49"/>
        <v>0</v>
      </c>
      <c r="CD252" s="94">
        <f t="shared" ca="1" si="50"/>
        <v>97.671538246770737</v>
      </c>
      <c r="CE252" s="1077">
        <f t="shared" ca="1" si="51"/>
        <v>151.09786966775431</v>
      </c>
      <c r="CG252" s="1077">
        <f t="shared" ca="1" si="52"/>
        <v>72.50030873857402</v>
      </c>
    </row>
    <row r="253" spans="1:85" s="89" customFormat="1" x14ac:dyDescent="0.25">
      <c r="A253" s="616" t="s">
        <v>6</v>
      </c>
      <c r="B253" s="91">
        <v>42977</v>
      </c>
      <c r="C253" s="92">
        <v>0</v>
      </c>
      <c r="D253" s="94">
        <f>(Sheet1!BQ251-Sheet1!BQ250)*1.385</f>
        <v>-1.661999999999999</v>
      </c>
      <c r="E253" s="30">
        <f>(Sheet1!BR251-Sheet1!BR250)*1.385</f>
        <v>-1.6758500000000012</v>
      </c>
      <c r="F253" s="30">
        <f ca="1">IF(B253=TODAY(),0,-(VLOOKUP(Sheet1!CD251,Lookup!$I$4:$J$216,2)-VLOOKUP(Sheet1!CD250,Lookup!$I$4:$J$216,2))/1000000)</f>
        <v>-0.62182163128680368</v>
      </c>
      <c r="G253" s="94">
        <f ca="1">IF(B253=TODAY(),0,-$G$6*(Sheet1!CF251-Sheet1!CF250)*7.48/1000000)</f>
        <v>0.25813775684163487</v>
      </c>
      <c r="H253" s="94">
        <f ca="1">IF(B253=TODAY(),0,-$H$6*(Sheet1!CE251-Sheet1!CE250)*7.48/1000000)</f>
        <v>-0.10527602645885584</v>
      </c>
      <c r="I253" s="94">
        <f ca="1">IF(B253=TODAY(),0,-$I$6*(Sheet1!CG251-Sheet1!CG250)*7.48/1000000)</f>
        <v>-8.9849759999999675E-3</v>
      </c>
      <c r="J253" s="95" t="s">
        <v>177</v>
      </c>
      <c r="K253" s="94">
        <f ca="1">IF(B253=TODAY(),0,-$K$6*(Sheet1!CH251-Sheet1!CH250)*7.48/1000000)</f>
        <v>-1.3326640748916837E-2</v>
      </c>
      <c r="L253" s="95" t="s">
        <v>177</v>
      </c>
      <c r="M253" s="94">
        <f ca="1">IF(B253=TODAY(),0,-$M$6*(Sheet1!CI251-Sheet1!CI250)*7.48/1000000)</f>
        <v>-5.3974525284081275E-2</v>
      </c>
      <c r="N253" s="94">
        <f ca="1">IF(B253=TODAY(),0,-$N$6*(Sheet1!CJ251-Sheet1!CJ250)*7.48/1000000)</f>
        <v>-0.45298212138075472</v>
      </c>
      <c r="O253" s="94">
        <f t="shared" ca="1" si="53"/>
        <v>-0.99822816431777739</v>
      </c>
      <c r="P253" s="94">
        <f ca="1">O253+Calculation!ES253</f>
        <v>2.3270984602947404</v>
      </c>
      <c r="Q253" s="89" t="str">
        <f>IF(Sheet1!BQ251&gt;25.75,"spill elevation","-")</f>
        <v>-</v>
      </c>
      <c r="R253" s="89" t="str">
        <f>IF(Sheet1!BQ251&gt;25.75,"spill elevation","-")</f>
        <v>-</v>
      </c>
      <c r="S253" s="89" t="str">
        <f>IF(Sheet1!BR251&gt;25.75,"spill elevation","-")</f>
        <v>-</v>
      </c>
      <c r="T253" s="93">
        <f>IF(Sheet1!DU251=1,Sheet1!AA251-(SUM(AT253:BA253)+BE253),Sheet1!AA251-SUM(AT253:BA253))</f>
        <v>60.172015999999999</v>
      </c>
      <c r="U253" s="93">
        <f>Sheet1!BV251</f>
        <v>74.5</v>
      </c>
      <c r="V253" s="93">
        <f t="shared" si="54"/>
        <v>-14.327984000000001</v>
      </c>
      <c r="W253" s="93">
        <f>0</f>
        <v>0</v>
      </c>
      <c r="X253" s="89">
        <f>0</f>
        <v>0</v>
      </c>
      <c r="Y253" s="94">
        <f ca="1">Calculation!EJ254+Calculation!ES253+'Calculations II'!O253-'Calculations II'!W253</f>
        <v>74.402580465842433</v>
      </c>
      <c r="Z253" s="94">
        <f ca="1">Y253-Sheet1!CT252</f>
        <v>57.491580465842432</v>
      </c>
      <c r="AA253" s="94">
        <f ca="1">Y253+Calculation!DJ254+Calculation!AS254</f>
        <v>99.555966962386833</v>
      </c>
      <c r="AC253" s="94">
        <f>Sheet1!AA251+Sheet1!AB251+BC253</f>
        <v>94.44974400000001</v>
      </c>
      <c r="AD253" s="94">
        <f>Sheet1!AA251+Sheet1!BN251+'Calculations II'!BC253-Calculation!AS253-Calculation!DJ253</f>
        <v>44.436281023186247</v>
      </c>
      <c r="AE253" s="94">
        <f>Sheet1!AA251+Sheet1!AB251+'Calculations II'!BC253-Calculation!AS253-Calculation!DJ253</f>
        <v>69.43628102318624</v>
      </c>
      <c r="AF253" s="94">
        <f ca="1">Sheet1!AA251+Sheet1!BN251+P253+'Calculations II'!BC253+Calculation!AS253+Calculation!DJ253</f>
        <v>96.790305437108515</v>
      </c>
      <c r="AG253" s="94">
        <f ca="1">IF(B253=TODAY(),0,Sheet1!AA251+Sheet1!BN251+'Calculations II'!BC253+'Calculations II'!P253-Sheet1!CT251-BP253)</f>
        <v>55.461842460294747</v>
      </c>
      <c r="AH253" s="94">
        <f ca="1">IF(B253=TODAY(),0,Sheet1!AA251+Sheet1!BN251+'Calculations II'!BC253+'Calculations II'!P253-BP253)</f>
        <v>71.776842460294745</v>
      </c>
      <c r="AI253" s="94">
        <f ca="1">IF(B253=TODAY(),0,BC253+Sheet1!AA251+Calculation!ES253+O253+W253+Sheet1!BN251+Calculation!AS253+Calculation!DJ253-BP253)</f>
        <v>96.790305437108486</v>
      </c>
      <c r="AJ253" s="94"/>
      <c r="AM253" s="90">
        <f t="shared" si="55"/>
        <v>42977</v>
      </c>
      <c r="AN253" s="94">
        <f>Sheet1!BU251</f>
        <v>59.6</v>
      </c>
      <c r="AO253" s="94">
        <f>Sheet1!AA251</f>
        <v>63.68</v>
      </c>
      <c r="AP253" s="94">
        <f t="shared" si="44"/>
        <v>-3.3378500000000004</v>
      </c>
      <c r="AQ253" s="1087">
        <f>((Sheet1!BV251-(Sheet1!BU251-AP253))/(Sheet1!BU251-AP253))</f>
        <v>0.18370741930332851</v>
      </c>
      <c r="AR253" s="94">
        <f t="shared" si="45"/>
        <v>67.017849999999996</v>
      </c>
      <c r="AS253" s="94">
        <f t="shared" si="46"/>
        <v>62.937850000000005</v>
      </c>
      <c r="AT253" s="89">
        <f>Sheet1!BB251</f>
        <v>0</v>
      </c>
      <c r="AU253" s="89">
        <f>Sheet1!AS251*GPMtoMGD</f>
        <v>4.0464000000000007E-2</v>
      </c>
      <c r="AV253" s="94">
        <f>Sheet1!AT251</f>
        <v>0</v>
      </c>
      <c r="AW253" s="89">
        <f>Sheet1!AV251*GPMtoMGD</f>
        <v>1.6207200000000002</v>
      </c>
      <c r="AX253" s="89">
        <f>Sheet1!AW251*GPMtoMGD</f>
        <v>1.8468000000000002</v>
      </c>
      <c r="AY253" s="89">
        <f>Sheet1!AX251*GPMtoMGD</f>
        <v>0</v>
      </c>
      <c r="AZ253" s="89">
        <f>Sheet1!AY251*GPMtoMGD</f>
        <v>0</v>
      </c>
      <c r="BA253" s="89">
        <f>Sheet1!AZ251*GPMtoMGD</f>
        <v>0</v>
      </c>
      <c r="BB253" s="89">
        <f>Sheet1!BP251*GPMtoMGD</f>
        <v>2.3040000000000001E-3</v>
      </c>
      <c r="BC253" s="89">
        <f>Sheet1!CS251*GPMtoMGD</f>
        <v>4.2697440000000002</v>
      </c>
      <c r="BD253" s="89">
        <f>Sheet1!BO251*GPMtoMGD</f>
        <v>3.5796960000000002</v>
      </c>
      <c r="BE253" s="89">
        <f>Sheet1!BW251*GPMtoMGD</f>
        <v>1.8852480000000003</v>
      </c>
      <c r="BF253" s="89">
        <f>Sheet1!CN251*GPMtoMGD</f>
        <v>4.6975680000000004</v>
      </c>
      <c r="BG253" s="89">
        <f>Sheet1!CO251*GPMtoMGD</f>
        <v>1.4330880000000001</v>
      </c>
      <c r="BH253" s="89">
        <f>Sheet1!CP251*GPMtoMGD</f>
        <v>6.6239999999999997E-3</v>
      </c>
      <c r="BI253" s="89">
        <f t="shared" si="56"/>
        <v>3.5820000000000003</v>
      </c>
      <c r="BK253" s="94">
        <f>SUM(AT253:BA253,AS253,BC253,Calculation!AQ253)</f>
        <v>72.202115023186252</v>
      </c>
      <c r="BM253" s="358">
        <f>0</f>
        <v>0</v>
      </c>
      <c r="BN253" s="358">
        <f>0</f>
        <v>0</v>
      </c>
      <c r="BP253" s="94">
        <f>SUM(BM253:BN253,W253,Sheet1!DX251)</f>
        <v>0</v>
      </c>
      <c r="BR253" s="94">
        <f>Sheet1!AA251</f>
        <v>63.68</v>
      </c>
      <c r="BS253" s="94">
        <f>Sheet1!AB251</f>
        <v>26.5</v>
      </c>
      <c r="BT253" s="94">
        <f t="shared" ca="1" si="47"/>
        <v>2.3270984602947404</v>
      </c>
      <c r="BU253" s="94">
        <f>Sheet1!AT251</f>
        <v>0</v>
      </c>
      <c r="BV253" s="89">
        <f>Sheet1!BB251</f>
        <v>0</v>
      </c>
      <c r="BW253" s="94">
        <f>Calculation!ED253</f>
        <v>25.013462976813759</v>
      </c>
      <c r="BX253" s="94">
        <f>(Sheet1!CS251*1440)/1000000</f>
        <v>4.2697440000000002</v>
      </c>
      <c r="CA253" s="94">
        <f ca="1">Sheet1!AC251-Sheet1!BK251-Sheet1!BL251-Sheet1!BM251-Sheet1!BC251-Sheet1!BD251-Sheet1!BE251-Sheet1!BF251-Sheet1!BG251-Sheet1!BH251-Sheet1!BI251+BC253+P253</f>
        <v>71.536842460294736</v>
      </c>
      <c r="CB253" s="93">
        <f t="shared" si="48"/>
        <v>100.81263277486913</v>
      </c>
      <c r="CC253" s="94">
        <f t="shared" si="49"/>
        <v>0</v>
      </c>
      <c r="CD253" s="94">
        <f t="shared" ca="1" si="50"/>
        <v>96.550305437108491</v>
      </c>
      <c r="CE253" s="1077">
        <f t="shared" ca="1" si="51"/>
        <v>149.36332251120683</v>
      </c>
      <c r="CG253" s="1077">
        <f t="shared" ca="1" si="52"/>
        <v>71.536842460294736</v>
      </c>
    </row>
    <row r="254" spans="1:85" s="89" customFormat="1" x14ac:dyDescent="0.25">
      <c r="A254" s="616" t="s">
        <v>7</v>
      </c>
      <c r="B254" s="91">
        <v>42978</v>
      </c>
      <c r="C254" s="92">
        <v>0</v>
      </c>
      <c r="D254" s="94">
        <f>(Sheet1!BQ252-Sheet1!BQ251)*1.385</f>
        <v>0.67865000000000275</v>
      </c>
      <c r="E254" s="30">
        <f>(Sheet1!BR252-Sheet1!BR251)*1.385</f>
        <v>0.81714999999999982</v>
      </c>
      <c r="F254" s="30">
        <f ca="1">IF(B254=TODAY(),0,-(VLOOKUP(Sheet1!CD252,Lookup!$I$4:$J$216,2)-VLOOKUP(Sheet1!CD251,Lookup!$I$4:$J$216,2))/1000000)</f>
        <v>0.62182163128680368</v>
      </c>
      <c r="G254" s="94">
        <f ca="1">IF(B254=TODAY(),0,-$G$6*(Sheet1!CF252-Sheet1!CF251)*7.48/1000000)</f>
        <v>-7.9427002105118313E-2</v>
      </c>
      <c r="H254" s="94">
        <f ca="1">IF(B254=TODAY(),0,-$H$6*(Sheet1!CE252-Sheet1!CE251)*7.48/1000000)</f>
        <v>8.2716877931958477E-2</v>
      </c>
      <c r="I254" s="94">
        <f ca="1">IF(B254=TODAY(),0,-$I$6*(Sheet1!CG252-Sheet1!CG251)*7.48/1000000)</f>
        <v>-1.6622205600000006E-2</v>
      </c>
      <c r="J254" s="95" t="s">
        <v>177</v>
      </c>
      <c r="K254" s="94">
        <f ca="1">IF(B254=TODAY(),0,-$K$6*(Sheet1!CH252-Sheet1!CH251)*7.48/1000000)</f>
        <v>-2.6653281497833796E-2</v>
      </c>
      <c r="L254" s="95" t="s">
        <v>177</v>
      </c>
      <c r="M254" s="94">
        <f ca="1">IF(B254=TODAY(),0,-$M$6*(Sheet1!CI252-Sheet1!CI251)*7.48/1000000)</f>
        <v>-7.1966033712107941E-2</v>
      </c>
      <c r="N254" s="94">
        <f ca="1">IF(B254=TODAY(),0,-$N$6*(Sheet1!CJ252-Sheet1!CJ251)*7.48/1000000)</f>
        <v>0.59570251578838995</v>
      </c>
      <c r="O254" s="94">
        <f t="shared" ca="1" si="53"/>
        <v>1.1055725020920919</v>
      </c>
      <c r="P254" s="94">
        <f ca="1">O254+Calculation!ES254</f>
        <v>-0.41832400851449147</v>
      </c>
      <c r="Q254" s="89" t="str">
        <f>IF(Sheet1!BQ252&gt;25.75,"spill elevation","-")</f>
        <v>-</v>
      </c>
      <c r="R254" s="89" t="str">
        <f>IF(Sheet1!BQ252&gt;25.75,"spill elevation","-")</f>
        <v>-</v>
      </c>
      <c r="S254" s="89" t="str">
        <f>IF(Sheet1!BR252&gt;25.75,"spill elevation","-")</f>
        <v>-</v>
      </c>
      <c r="T254" s="93">
        <f>IF(Sheet1!DU252=1,Sheet1!AA252-(SUM(AT254:BA254)+BE254),Sheet1!AA252-SUM(AT254:BA254))</f>
        <v>50.507743999999995</v>
      </c>
      <c r="U254" s="93">
        <f>Sheet1!BV252</f>
        <v>58.9</v>
      </c>
      <c r="V254" s="93">
        <f t="shared" si="54"/>
        <v>-8.3922560000000033</v>
      </c>
      <c r="W254" s="93">
        <f>0</f>
        <v>0</v>
      </c>
      <c r="X254" s="89">
        <f>0</f>
        <v>0</v>
      </c>
      <c r="Y254" s="94">
        <f ca="1">Calculation!EJ255+Calculation!ES254+'Calculations II'!O254-'Calculations II'!W254</f>
        <v>72.979128211068257</v>
      </c>
      <c r="Z254" s="94">
        <f ca="1">Y254-Sheet1!CT253</f>
        <v>56.365128211068253</v>
      </c>
      <c r="AA254" s="94">
        <f ca="1">Y254+Calculation!DJ255+Calculation!AS255</f>
        <v>97.280085454208006</v>
      </c>
      <c r="AC254" s="94">
        <f>Sheet1!AA252+Sheet1!AB252+BC254</f>
        <v>95.631039999999999</v>
      </c>
      <c r="AD254" s="94">
        <f>Sheet1!AA252+Sheet1!BN252+'Calculations II'!BC254-Calculation!AS254-Calculation!DJ254</f>
        <v>45.307653503455597</v>
      </c>
      <c r="AE254" s="94">
        <f>Sheet1!AA252+Sheet1!AB252+'Calculations II'!BC254-Calculation!AS254-Calculation!DJ254</f>
        <v>70.477653503455599</v>
      </c>
      <c r="AF254" s="94">
        <f ca="1">Sheet1!AA252+Sheet1!BN252+P254+'Calculations II'!BC254+Calculation!AS254+Calculation!DJ254</f>
        <v>95.196102488029908</v>
      </c>
      <c r="AG254" s="94">
        <f ca="1">IF(B254=TODAY(),0,Sheet1!AA252+Sheet1!BN252+'Calculations II'!BC254+'Calculations II'!P254-Sheet1!CT252-BP254)</f>
        <v>53.131715991485507</v>
      </c>
      <c r="AH254" s="94">
        <f ca="1">IF(B254=TODAY(),0,Sheet1!AA252+Sheet1!BN252+'Calculations II'!BC254+'Calculations II'!P254-BP254)</f>
        <v>70.042715991485508</v>
      </c>
      <c r="AI254" s="94">
        <f ca="1">IF(B254=TODAY(),0,BC254+Sheet1!AA252+Calculation!ES254+O254+W254+Sheet1!BN252+Calculation!AS254+Calculation!DJ254-BP254)</f>
        <v>95.196102488029908</v>
      </c>
      <c r="AJ254" s="94"/>
      <c r="AM254" s="90">
        <f t="shared" si="55"/>
        <v>42978</v>
      </c>
      <c r="AN254" s="94">
        <f>Sheet1!BU252</f>
        <v>51</v>
      </c>
      <c r="AO254" s="94">
        <f>Sheet1!AA252</f>
        <v>53.69</v>
      </c>
      <c r="AP254" s="94">
        <f t="shared" si="44"/>
        <v>1.4958000000000027</v>
      </c>
      <c r="AQ254" s="1087">
        <f>((Sheet1!BV252-(Sheet1!BU252-AP254))/(Sheet1!BU252-AP254))</f>
        <v>0.18979803733824607</v>
      </c>
      <c r="AR254" s="94">
        <f t="shared" si="45"/>
        <v>52.194199999999995</v>
      </c>
      <c r="AS254" s="94">
        <f t="shared" si="46"/>
        <v>49.504199999999997</v>
      </c>
      <c r="AT254" s="89">
        <f>Sheet1!BB252</f>
        <v>0</v>
      </c>
      <c r="AU254" s="89">
        <f>Sheet1!AS252*GPMtoMGD</f>
        <v>3.7872000000000003E-2</v>
      </c>
      <c r="AV254" s="94">
        <f>Sheet1!AT252</f>
        <v>0</v>
      </c>
      <c r="AW254" s="89">
        <f>Sheet1!AV252*GPMtoMGD</f>
        <v>1.3140000000000001</v>
      </c>
      <c r="AX254" s="89">
        <f>Sheet1!AW252*GPMtoMGD</f>
        <v>1.830384</v>
      </c>
      <c r="AY254" s="89">
        <f>Sheet1!AX252*GPMtoMGD</f>
        <v>0</v>
      </c>
      <c r="AZ254" s="89">
        <f>Sheet1!AY252*GPMtoMGD</f>
        <v>0</v>
      </c>
      <c r="BA254" s="89">
        <f>Sheet1!AZ252*GPMtoMGD</f>
        <v>0</v>
      </c>
      <c r="BB254" s="89">
        <f>Sheet1!BP252*GPMtoMGD</f>
        <v>2.5920000000000001E-3</v>
      </c>
      <c r="BC254" s="89">
        <f>Sheet1!CS252*GPMtoMGD</f>
        <v>4.2710400000000002</v>
      </c>
      <c r="BD254" s="89">
        <f>Sheet1!BO252*GPMtoMGD</f>
        <v>3.4593120000000006</v>
      </c>
      <c r="BE254" s="89">
        <f>Sheet1!BW252*GPMtoMGD</f>
        <v>1.8040320000000001</v>
      </c>
      <c r="BF254" s="89">
        <f>Sheet1!CN252*GPMtoMGD</f>
        <v>4.1692320000000009</v>
      </c>
      <c r="BG254" s="89">
        <f>Sheet1!CO252*GPMtoMGD</f>
        <v>1.391616</v>
      </c>
      <c r="BH254" s="89">
        <f>Sheet1!CP252*GPMtoMGD</f>
        <v>0</v>
      </c>
      <c r="BI254" s="89">
        <f t="shared" si="56"/>
        <v>3.4619040000000005</v>
      </c>
      <c r="BK254" s="94">
        <f>SUM(AT254:BA254,AS254,BC254,Calculation!AQ254)</f>
        <v>69.474109503455608</v>
      </c>
      <c r="BM254" s="358">
        <f>0</f>
        <v>0</v>
      </c>
      <c r="BN254" s="358">
        <f>0</f>
        <v>0</v>
      </c>
      <c r="BP254" s="94">
        <f>SUM(BM254:BN254,W254,Sheet1!DX252)</f>
        <v>0</v>
      </c>
      <c r="BR254" s="94">
        <f>Sheet1!AA252</f>
        <v>53.69</v>
      </c>
      <c r="BS254" s="94">
        <f>Sheet1!AB252</f>
        <v>37.67</v>
      </c>
      <c r="BT254" s="94">
        <f t="shared" ca="1" si="47"/>
        <v>-0.41832400851449147</v>
      </c>
      <c r="BU254" s="94">
        <f>Sheet1!AT252</f>
        <v>0</v>
      </c>
      <c r="BV254" s="89">
        <f>Sheet1!BB252</f>
        <v>0</v>
      </c>
      <c r="BW254" s="94">
        <f>Calculation!ED254</f>
        <v>25.153386496544396</v>
      </c>
      <c r="BX254" s="94">
        <f>(Sheet1!CS252*1440)/1000000</f>
        <v>4.2710400000000002</v>
      </c>
      <c r="CA254" s="94">
        <f ca="1">Sheet1!AC252-Sheet1!BK252-Sheet1!BL252-Sheet1!BM252-Sheet1!BC252-Sheet1!BD252-Sheet1!BE252-Sheet1!BF252-Sheet1!BG252-Sheet1!BH252-Sheet1!BI252+BC254+P254</f>
        <v>70.092715991485505</v>
      </c>
      <c r="CB254" s="93">
        <f t="shared" si="48"/>
        <v>102.4216310898458</v>
      </c>
      <c r="CC254" s="94">
        <f t="shared" si="49"/>
        <v>0</v>
      </c>
      <c r="CD254" s="94">
        <f t="shared" ca="1" si="50"/>
        <v>95.246102488029905</v>
      </c>
      <c r="CE254" s="1077">
        <f t="shared" ca="1" si="51"/>
        <v>147.34572054898226</v>
      </c>
      <c r="CG254" s="1077">
        <f t="shared" ca="1" si="52"/>
        <v>70.092715991485505</v>
      </c>
    </row>
    <row r="255" spans="1:85" s="89" customFormat="1" x14ac:dyDescent="0.25">
      <c r="A255" s="616" t="s">
        <v>8</v>
      </c>
      <c r="B255" s="91">
        <v>42979</v>
      </c>
      <c r="C255" s="92">
        <v>0</v>
      </c>
      <c r="D255" s="94">
        <f>(Sheet1!BQ253-Sheet1!BQ252)*1.385</f>
        <v>-0.16620000000000137</v>
      </c>
      <c r="E255" s="30">
        <f>(Sheet1!BR253-Sheet1!BR252)*1.385</f>
        <v>-0.15234999999999921</v>
      </c>
      <c r="F255" s="30">
        <f ca="1">IF(B255=TODAY(),0,-(VLOOKUP(Sheet1!CD253,Lookup!$I$4:$J$216,2)-VLOOKUP(Sheet1!CD252,Lookup!$I$4:$J$216,2))/1000000)</f>
        <v>-1.3472802011213991</v>
      </c>
      <c r="G255" s="94">
        <f ca="1">IF(B255=TODAY(),0,-$G$6*(Sheet1!CF253-Sheet1!CF252)*7.48/1000000)</f>
        <v>0.75455651999862605</v>
      </c>
      <c r="H255" s="94">
        <f ca="1">IF(B255=TODAY(),0,-$H$6*(Sheet1!CE253-Sheet1!CE252)*7.48/1000000)</f>
        <v>-0.12783517498575322</v>
      </c>
      <c r="I255" s="94">
        <f ca="1">IF(B255=TODAY(),0,-$I$6*(Sheet1!CG253-Sheet1!CG252)*7.48/1000000)</f>
        <v>-2.3810186400000013E-2</v>
      </c>
      <c r="J255" s="95" t="s">
        <v>177</v>
      </c>
      <c r="K255" s="94">
        <f ca="1">IF(B255=TODAY(),0,-$K$6*(Sheet1!CH253-Sheet1!CH252)*7.48/1000000)</f>
        <v>-3.9979922246750635E-2</v>
      </c>
      <c r="L255" s="95" t="s">
        <v>177</v>
      </c>
      <c r="M255" s="94">
        <f ca="1">IF(B255=TODAY(),0,-$M$6*(Sheet1!CI253-Sheet1!CI252)*7.48/1000000)</f>
        <v>-0.12953886068179518</v>
      </c>
      <c r="N255" s="94">
        <f ca="1">IF(B255=TODAY(),0,-$N$6*(Sheet1!CJ253-Sheet1!CJ252)*7.48/1000000)</f>
        <v>-0.91837471184043395</v>
      </c>
      <c r="O255" s="94">
        <f t="shared" ca="1" si="53"/>
        <v>-1.8322625372775061</v>
      </c>
      <c r="P255" s="94">
        <f ca="1">O255+Calculation!ES255</f>
        <v>-1.4166415791290863</v>
      </c>
      <c r="Q255" s="89" t="str">
        <f>IF(Sheet1!BQ253&gt;25.75,"spill elevation","-")</f>
        <v>-</v>
      </c>
      <c r="R255" s="89" t="str">
        <f>IF(Sheet1!BQ253&gt;25.75,"spill elevation","-")</f>
        <v>-</v>
      </c>
      <c r="S255" s="89" t="str">
        <f>IF(Sheet1!BR253&gt;25.75,"spill elevation","-")</f>
        <v>-</v>
      </c>
      <c r="T255" s="93">
        <f>IF(Sheet1!DU253=1,Sheet1!AA253-(SUM(AT255:BA255)+BE255),Sheet1!AA253-SUM(AT255:BA255))</f>
        <v>44.091552</v>
      </c>
      <c r="U255" s="93">
        <f>Sheet1!BV253</f>
        <v>52.9</v>
      </c>
      <c r="V255" s="93">
        <f t="shared" si="54"/>
        <v>-8.8084479999999985</v>
      </c>
      <c r="W255" s="93">
        <f>0</f>
        <v>0</v>
      </c>
      <c r="X255" s="89">
        <f>0</f>
        <v>0</v>
      </c>
      <c r="Y255" s="94">
        <f ca="1">Calculation!EJ256+Calculation!ES255+'Calculations II'!O255-'Calculations II'!W255</f>
        <v>73.619045051197489</v>
      </c>
      <c r="Z255" s="94">
        <f ca="1">Y255-Sheet1!CT254</f>
        <v>57.110045051197488</v>
      </c>
      <c r="AA255" s="94">
        <f ca="1">Y255+Calculation!DJ256+Calculation!AS256</f>
        <v>98.216542388790671</v>
      </c>
      <c r="AC255" s="94">
        <f>Sheet1!AA253+Sheet1!AB253+BC255</f>
        <v>99.022223999999994</v>
      </c>
      <c r="AD255" s="94">
        <f>Sheet1!AA253+Sheet1!BN253+'Calculations II'!BC255-Calculation!AS255-Calculation!DJ255</f>
        <v>50.521266756860236</v>
      </c>
      <c r="AE255" s="94">
        <f>Sheet1!AA253+Sheet1!AB253+'Calculations II'!BC255-Calculation!AS255-Calculation!DJ255</f>
        <v>74.721266756860246</v>
      </c>
      <c r="AF255" s="94">
        <f ca="1">Sheet1!AA253+Sheet1!BN253+P255+'Calculations II'!BC255+Calculation!AS255+Calculation!DJ255</f>
        <v>97.706539664010648</v>
      </c>
      <c r="AG255" s="94">
        <f ca="1">IF(B255=TODAY(),0,Sheet1!AA253+Sheet1!BN253+'Calculations II'!BC255+'Calculations II'!P255-Sheet1!CT253-BP255)</f>
        <v>56.791582420870895</v>
      </c>
      <c r="AH255" s="94">
        <f ca="1">IF(B255=TODAY(),0,Sheet1!AA253+Sheet1!BN253+'Calculations II'!BC255+'Calculations II'!P255-BP255)</f>
        <v>73.4055824208709</v>
      </c>
      <c r="AI255" s="94">
        <f ca="1">IF(B255=TODAY(),0,BC255+Sheet1!AA253+Calculation!ES255+O255+W255+Sheet1!BN253+Calculation!AS255+Calculation!DJ255-BP255)</f>
        <v>97.706539664010677</v>
      </c>
      <c r="AJ255" s="94"/>
      <c r="AM255" s="90">
        <f t="shared" si="55"/>
        <v>42979</v>
      </c>
      <c r="AN255" s="94">
        <f>Sheet1!BU253</f>
        <v>44.6</v>
      </c>
      <c r="AO255" s="94">
        <f>Sheet1!AA253</f>
        <v>48</v>
      </c>
      <c r="AP255" s="94">
        <f t="shared" si="44"/>
        <v>-0.31855000000000055</v>
      </c>
      <c r="AQ255" s="1087">
        <f>((Sheet1!BV253-(Sheet1!BU253-AP255))/(Sheet1!BU253-AP255))</f>
        <v>0.17768716933204645</v>
      </c>
      <c r="AR255" s="94">
        <f t="shared" si="45"/>
        <v>48.318550000000002</v>
      </c>
      <c r="AS255" s="94">
        <f t="shared" si="46"/>
        <v>44.918550000000003</v>
      </c>
      <c r="AT255" s="89">
        <f>Sheet1!BB253</f>
        <v>0</v>
      </c>
      <c r="AU255" s="89">
        <f>Sheet1!AS253*GPMtoMGD</f>
        <v>4.3344000000000008E-2</v>
      </c>
      <c r="AV255" s="94">
        <f>Sheet1!AT253</f>
        <v>0</v>
      </c>
      <c r="AW255" s="89">
        <f>Sheet1!AV253*GPMtoMGD</f>
        <v>1.5392160000000001</v>
      </c>
      <c r="AX255" s="89">
        <f>Sheet1!AW253*GPMtoMGD</f>
        <v>2.3244480000000003</v>
      </c>
      <c r="AY255" s="89">
        <f>Sheet1!AX253*GPMtoMGD</f>
        <v>1.4400000000000001E-3</v>
      </c>
      <c r="AZ255" s="89">
        <f>Sheet1!AY253*GPMtoMGD</f>
        <v>0</v>
      </c>
      <c r="BA255" s="89">
        <f>Sheet1!AZ253*GPMtoMGD</f>
        <v>0</v>
      </c>
      <c r="BB255" s="89">
        <f>Sheet1!BP253*GPMtoMGD</f>
        <v>2.5920000000000001E-3</v>
      </c>
      <c r="BC255" s="89">
        <f>Sheet1!CS253*GPMtoMGD</f>
        <v>4.2222239999999998</v>
      </c>
      <c r="BD255" s="89">
        <f>Sheet1!BO253*GPMtoMGD</f>
        <v>3.963168</v>
      </c>
      <c r="BE255" s="89">
        <f>Sheet1!BW253*GPMtoMGD</f>
        <v>1.8884160000000003</v>
      </c>
      <c r="BF255" s="89">
        <f>Sheet1!CN253*GPMtoMGD</f>
        <v>4.3446240000000005</v>
      </c>
      <c r="BG255" s="89">
        <f>Sheet1!CO253*GPMtoMGD</f>
        <v>1.4932800000000002</v>
      </c>
      <c r="BH255" s="89">
        <f>Sheet1!CP253*GPMtoMGD</f>
        <v>0</v>
      </c>
      <c r="BI255" s="89">
        <f t="shared" si="56"/>
        <v>3.96576</v>
      </c>
      <c r="BK255" s="94">
        <f>SUM(AT255:BA255,AS255,BC255,Calculation!AQ255)</f>
        <v>75.548264756860249</v>
      </c>
      <c r="BM255" s="358">
        <f>0</f>
        <v>0</v>
      </c>
      <c r="BN255" s="358">
        <f>0</f>
        <v>0</v>
      </c>
      <c r="BP255" s="94">
        <f>SUM(BM255:BN255,W255,Sheet1!DX253)</f>
        <v>0</v>
      </c>
      <c r="BR255" s="94">
        <f>Sheet1!AA253</f>
        <v>48</v>
      </c>
      <c r="BS255" s="94">
        <f>Sheet1!AB253</f>
        <v>46.8</v>
      </c>
      <c r="BT255" s="94">
        <f t="shared" ca="1" si="47"/>
        <v>-1.4166415791290863</v>
      </c>
      <c r="BU255" s="94">
        <f>Sheet1!AT253</f>
        <v>0</v>
      </c>
      <c r="BV255" s="89">
        <f>Sheet1!BB253</f>
        <v>0</v>
      </c>
      <c r="BW255" s="94">
        <f>Calculation!ED255</f>
        <v>24.300957243139756</v>
      </c>
      <c r="BX255" s="94">
        <f>(Sheet1!CS253*1440)/1000000</f>
        <v>4.2222239999999998</v>
      </c>
      <c r="CA255" s="94">
        <f ca="1">Sheet1!AC253-Sheet1!BK253-Sheet1!BL253-Sheet1!BM253-Sheet1!BC253-Sheet1!BD253-Sheet1!BE253-Sheet1!BF253-Sheet1!BG253-Sheet1!BH253-Sheet1!BI253+BC255+P255</f>
        <v>73.19558242087092</v>
      </c>
      <c r="CB255" s="93">
        <f t="shared" si="48"/>
        <v>109.06201914486277</v>
      </c>
      <c r="CC255" s="94">
        <f t="shared" si="49"/>
        <v>0</v>
      </c>
      <c r="CD255" s="94">
        <f t="shared" ca="1" si="50"/>
        <v>97.496539664010669</v>
      </c>
      <c r="CE255" s="1077">
        <f t="shared" ca="1" si="51"/>
        <v>150.8271468602245</v>
      </c>
      <c r="CG255" s="1077">
        <f t="shared" ca="1" si="52"/>
        <v>73.19558242087092</v>
      </c>
    </row>
    <row r="256" spans="1:85" s="89" customFormat="1" x14ac:dyDescent="0.25">
      <c r="A256" s="616" t="s">
        <v>9</v>
      </c>
      <c r="B256" s="91">
        <v>42980</v>
      </c>
      <c r="C256" s="92">
        <v>0</v>
      </c>
      <c r="D256" s="94">
        <f>(Sheet1!BQ254-Sheet1!BQ253)*1.385</f>
        <v>1.0941499999999988</v>
      </c>
      <c r="E256" s="30">
        <f>(Sheet1!BR254-Sheet1!BR253)*1.385</f>
        <v>1.1218500000000031</v>
      </c>
      <c r="F256" s="30">
        <f ca="1">IF(B256=TODAY(),0,-(VLOOKUP(Sheet1!CD254,Lookup!$I$4:$J$216,2)-VLOOKUP(Sheet1!CD253,Lookup!$I$4:$J$216,2))/1000000)</f>
        <v>0.51818469273899681</v>
      </c>
      <c r="G256" s="94">
        <f ca="1">IF(B256=TODAY(),0,-$G$6*(Sheet1!CF254-Sheet1!CF253)*7.48/1000000)</f>
        <v>-1.0325510273665408</v>
      </c>
      <c r="H256" s="94">
        <f ca="1">IF(B256=TODAY(),0,-$H$6*(Sheet1!CE254-Sheet1!CE253)*7.48/1000000)</f>
        <v>0</v>
      </c>
      <c r="I256" s="94">
        <f ca="1">IF(B256=TODAY(),0,-$I$6*(Sheet1!CG254-Sheet1!CG253)*7.48/1000000)</f>
        <v>0</v>
      </c>
      <c r="J256" s="95" t="s">
        <v>177</v>
      </c>
      <c r="K256" s="94">
        <f ca="1">IF(B256=TODAY(),0,-$K$6*(Sheet1!CH254-Sheet1!CH253)*7.48/1000000)</f>
        <v>0</v>
      </c>
      <c r="L256" s="95" t="s">
        <v>177</v>
      </c>
      <c r="M256" s="94">
        <f ca="1">IF(B256=TODAY(),0,-$M$6*(Sheet1!CI254-Sheet1!CI253)*7.48/1000000)</f>
        <v>2.1589810113632635E-2</v>
      </c>
      <c r="N256" s="94">
        <f ca="1">IF(B256=TODAY(),0,-$N$6*(Sheet1!CJ254-Sheet1!CJ253)*7.48/1000000)</f>
        <v>0.30405649243365723</v>
      </c>
      <c r="O256" s="94">
        <f t="shared" ca="1" si="53"/>
        <v>-0.18872003208025412</v>
      </c>
      <c r="P256" s="94">
        <f ca="1">O256+Calculation!ES256</f>
        <v>-2.4058095688920673</v>
      </c>
      <c r="Q256" s="89" t="str">
        <f>IF(Sheet1!BQ254&gt;25.75,"spill elevation","-")</f>
        <v>-</v>
      </c>
      <c r="R256" s="89" t="str">
        <f>IF(Sheet1!BQ254&gt;25.75,"spill elevation","-")</f>
        <v>-</v>
      </c>
      <c r="S256" s="89" t="str">
        <f>IF(Sheet1!BR254&gt;25.75,"spill elevation","-")</f>
        <v>-</v>
      </c>
      <c r="T256" s="93">
        <f>IF(Sheet1!DU254=1,Sheet1!AA254-(SUM(AT256:BA256)+BE256),Sheet1!AA254-SUM(AT256:BA256))</f>
        <v>44.432719999999996</v>
      </c>
      <c r="U256" s="93">
        <f>Sheet1!BV254</f>
        <v>50.7</v>
      </c>
      <c r="V256" s="93">
        <f t="shared" si="54"/>
        <v>-6.2672800000000066</v>
      </c>
      <c r="W256" s="93">
        <f>0</f>
        <v>0</v>
      </c>
      <c r="X256" s="89">
        <f>0</f>
        <v>0</v>
      </c>
      <c r="Y256" s="94">
        <f ca="1">Calculation!EJ257+Calculation!ES256+'Calculations II'!O256-'Calculations II'!W256</f>
        <v>74.956361070867416</v>
      </c>
      <c r="Z256" s="94">
        <f ca="1">Y256-Sheet1!CT255</f>
        <v>56.162361070867419</v>
      </c>
      <c r="AA256" s="94">
        <f ca="1">Y256+Calculation!DJ257+Calculation!AS257</f>
        <v>98.707086459468456</v>
      </c>
      <c r="AC256" s="94">
        <f>Sheet1!AA254+Sheet1!AB254+BC256</f>
        <v>99.154624000000013</v>
      </c>
      <c r="AD256" s="94">
        <f>Sheet1!AA254+Sheet1!BN254+'Calculations II'!BC256-Calculation!AS256-Calculation!DJ256</f>
        <v>50.007126662406819</v>
      </c>
      <c r="AE256" s="94">
        <f>Sheet1!AA254+Sheet1!AB254+'Calculations II'!BC256-Calculation!AS256-Calculation!DJ256</f>
        <v>74.55712666240683</v>
      </c>
      <c r="AF256" s="94">
        <f ca="1">Sheet1!AA254+Sheet1!BN254+P256+'Calculations II'!BC256+Calculation!AS256+Calculation!DJ256</f>
        <v>96.796311768701116</v>
      </c>
      <c r="AG256" s="94">
        <f ca="1">IF(B256=TODAY(),0,Sheet1!AA254+Sheet1!BN254+'Calculations II'!BC256+'Calculations II'!P256-Sheet1!CT254-BP256)</f>
        <v>55.689814431107934</v>
      </c>
      <c r="AH256" s="94">
        <f ca="1">IF(B256=TODAY(),0,Sheet1!AA254+Sheet1!BN254+'Calculations II'!BC256+'Calculations II'!P256-BP256)</f>
        <v>72.198814431107934</v>
      </c>
      <c r="AI256" s="94">
        <f ca="1">IF(B256=TODAY(),0,BC256+Sheet1!AA254+Calculation!ES256+O256+W256+Sheet1!BN254+Calculation!AS256+Calculation!DJ256-BP256)</f>
        <v>96.796311768701116</v>
      </c>
      <c r="AJ256" s="94"/>
      <c r="AM256" s="90">
        <f t="shared" si="55"/>
        <v>42980</v>
      </c>
      <c r="AN256" s="94">
        <f>Sheet1!BU254</f>
        <v>45.1</v>
      </c>
      <c r="AO256" s="94">
        <f>Sheet1!AA254</f>
        <v>48.05</v>
      </c>
      <c r="AP256" s="94">
        <f t="shared" si="44"/>
        <v>2.216000000000002</v>
      </c>
      <c r="AQ256" s="1087">
        <f>((Sheet1!BV254-(Sheet1!BU254-AP256))/(Sheet1!BU254-AP256))</f>
        <v>0.1822591176196251</v>
      </c>
      <c r="AR256" s="94">
        <f t="shared" si="45"/>
        <v>45.833999999999996</v>
      </c>
      <c r="AS256" s="94">
        <f t="shared" si="46"/>
        <v>42.884</v>
      </c>
      <c r="AT256" s="89">
        <f>Sheet1!BB254</f>
        <v>0</v>
      </c>
      <c r="AU256" s="89">
        <f>Sheet1!AS254*GPMtoMGD</f>
        <v>4.1472000000000002E-2</v>
      </c>
      <c r="AV256" s="94">
        <f>Sheet1!AT254</f>
        <v>0</v>
      </c>
      <c r="AW256" s="89">
        <f>Sheet1!AV254*GPMtoMGD</f>
        <v>1.3404960000000001</v>
      </c>
      <c r="AX256" s="89">
        <f>Sheet1!AW254*GPMtoMGD</f>
        <v>2.2351680000000003</v>
      </c>
      <c r="AY256" s="89">
        <f>Sheet1!AX254*GPMtoMGD</f>
        <v>1.44E-4</v>
      </c>
      <c r="AZ256" s="89">
        <f>Sheet1!AY254*GPMtoMGD</f>
        <v>0</v>
      </c>
      <c r="BA256" s="89">
        <f>Sheet1!AZ254*GPMtoMGD</f>
        <v>0</v>
      </c>
      <c r="BB256" s="89">
        <f>Sheet1!BP254*GPMtoMGD</f>
        <v>2.5920000000000001E-3</v>
      </c>
      <c r="BC256" s="89">
        <f>Sheet1!CS254*GPMtoMGD</f>
        <v>4.2546239999999997</v>
      </c>
      <c r="BD256" s="89">
        <f>Sheet1!BO254*GPMtoMGD</f>
        <v>3.7373760000000003</v>
      </c>
      <c r="BE256" s="89">
        <f>Sheet1!BW254*GPMtoMGD</f>
        <v>1.980432</v>
      </c>
      <c r="BF256" s="89">
        <f>Sheet1!CN254*GPMtoMGD</f>
        <v>4.520448</v>
      </c>
      <c r="BG256" s="89">
        <f>Sheet1!CO254*GPMtoMGD</f>
        <v>1.5468480000000002</v>
      </c>
      <c r="BH256" s="89">
        <f>Sheet1!CP254*GPMtoMGD</f>
        <v>0</v>
      </c>
      <c r="BI256" s="89">
        <f t="shared" si="56"/>
        <v>3.7399680000000002</v>
      </c>
      <c r="BK256" s="94">
        <f>SUM(AT256:BA256,AS256,BC256,Calculation!AQ256)</f>
        <v>73.008406662406813</v>
      </c>
      <c r="BM256" s="358">
        <f>0</f>
        <v>0</v>
      </c>
      <c r="BN256" s="358">
        <f>0</f>
        <v>0</v>
      </c>
      <c r="BP256" s="94">
        <f>SUM(BM256:BN256,W256,Sheet1!DX254)</f>
        <v>0</v>
      </c>
      <c r="BR256" s="94">
        <f>Sheet1!AA254</f>
        <v>48.05</v>
      </c>
      <c r="BS256" s="94">
        <f>Sheet1!AB254</f>
        <v>46.85</v>
      </c>
      <c r="BT256" s="94">
        <f t="shared" ca="1" si="47"/>
        <v>-2.4058095688920673</v>
      </c>
      <c r="BU256" s="94">
        <f>Sheet1!AT254</f>
        <v>0</v>
      </c>
      <c r="BV256" s="89">
        <f>Sheet1!BB254</f>
        <v>0</v>
      </c>
      <c r="BW256" s="94">
        <f>Calculation!ED256</f>
        <v>24.597497337593182</v>
      </c>
      <c r="BX256" s="94">
        <f>(Sheet1!CS254*1440)/1000000</f>
        <v>4.2546239999999997</v>
      </c>
      <c r="CA256" s="94">
        <f ca="1">Sheet1!AC254-Sheet1!BK254-Sheet1!BL254-Sheet1!BM254-Sheet1!BC254-Sheet1!BD254-Sheet1!BE254-Sheet1!BF254-Sheet1!BG254-Sheet1!BH254-Sheet1!BI254+BC256+P256</f>
        <v>72.09881443110794</v>
      </c>
      <c r="CB256" s="93">
        <f t="shared" si="48"/>
        <v>108.75797161874335</v>
      </c>
      <c r="CC256" s="94">
        <f t="shared" si="49"/>
        <v>0</v>
      </c>
      <c r="CD256" s="94">
        <f t="shared" ca="1" si="50"/>
        <v>96.696311768701122</v>
      </c>
      <c r="CE256" s="1077">
        <f t="shared" ca="1" si="51"/>
        <v>149.58919430618062</v>
      </c>
      <c r="CG256" s="1077">
        <f t="shared" ca="1" si="52"/>
        <v>72.09881443110794</v>
      </c>
    </row>
    <row r="257" spans="1:85" s="89" customFormat="1" x14ac:dyDescent="0.25">
      <c r="A257" s="616" t="s">
        <v>3</v>
      </c>
      <c r="B257" s="91">
        <v>42981</v>
      </c>
      <c r="C257" s="92">
        <v>0</v>
      </c>
      <c r="D257" s="94">
        <f>(Sheet1!BQ255-Sheet1!BQ254)*1.385</f>
        <v>1.108000000000001</v>
      </c>
      <c r="E257" s="30">
        <f>(Sheet1!BR255-Sheet1!BR254)*1.385</f>
        <v>1.0802999999999967</v>
      </c>
      <c r="F257" s="30">
        <f ca="1">IF(B257=TODAY(),0,-(VLOOKUP(Sheet1!CD255,Lookup!$I$4:$J$216,2)-VLOOKUP(Sheet1!CD254,Lookup!$I$4:$J$216,2))/1000000)</f>
        <v>1.0363693854780012</v>
      </c>
      <c r="G257" s="94">
        <f ca="1">IF(B257=TODAY(),0,-$G$6*(Sheet1!CF255-Sheet1!CF254)*7.48/1000000)</f>
        <v>-0.15885400421023804</v>
      </c>
      <c r="H257" s="94">
        <f ca="1">IF(B257=TODAY(),0,-$H$6*(Sheet1!CE255-Sheet1!CE254)*7.48/1000000)</f>
        <v>1.5039432351265274E-2</v>
      </c>
      <c r="I257" s="94">
        <f ca="1">IF(B257=TODAY(),0,-$I$6*(Sheet1!CG255-Sheet1!CG254)*7.48/1000000)</f>
        <v>3.5939903999999995E-2</v>
      </c>
      <c r="J257" s="95" t="s">
        <v>177</v>
      </c>
      <c r="K257" s="94">
        <f ca="1">IF(B257=TODAY(),0,-$K$6*(Sheet1!CH255-Sheet1!CH254)*7.48/1000000)</f>
        <v>5.9969883370126001E-2</v>
      </c>
      <c r="L257" s="95" t="s">
        <v>177</v>
      </c>
      <c r="M257" s="94">
        <f ca="1">IF(B257=TODAY(),0,-$M$6*(Sheet1!CI255-Sheet1!CI254)*7.48/1000000)</f>
        <v>0.17991508428027048</v>
      </c>
      <c r="N257" s="94">
        <f ca="1">IF(B257=TODAY(),0,-$N$6*(Sheet1!CJ255-Sheet1!CJ254)*7.48/1000000)</f>
        <v>0.56467634309107761</v>
      </c>
      <c r="O257" s="94">
        <f t="shared" ca="1" si="53"/>
        <v>1.7330560283605025</v>
      </c>
      <c r="P257" s="94">
        <f ca="1">O257+Calculation!ES257</f>
        <v>-0.48485408781025785</v>
      </c>
      <c r="Q257" s="89" t="str">
        <f>IF(Sheet1!BQ255&gt;25.75,"spill elevation","-")</f>
        <v>-</v>
      </c>
      <c r="R257" s="89" t="str">
        <f>IF(Sheet1!BQ255&gt;25.75,"spill elevation","-")</f>
        <v>-</v>
      </c>
      <c r="S257" s="89" t="str">
        <f>IF(Sheet1!BR255&gt;25.75,"spill elevation","-")</f>
        <v>-</v>
      </c>
      <c r="T257" s="93">
        <f>IF(Sheet1!DU255=1,Sheet1!AA255-(SUM(AT257:BA257)+BE257),Sheet1!AA255-SUM(AT257:BA257))</f>
        <v>44.362271999999997</v>
      </c>
      <c r="U257" s="93">
        <f>Sheet1!BV255</f>
        <v>50.7</v>
      </c>
      <c r="V257" s="93">
        <f t="shared" si="54"/>
        <v>-6.3377280000000056</v>
      </c>
      <c r="W257" s="93">
        <f>0</f>
        <v>0</v>
      </c>
      <c r="X257" s="89">
        <f>0</f>
        <v>0</v>
      </c>
      <c r="Y257" s="94">
        <f ca="1">Calculation!EJ258+Calculation!ES257+'Calculations II'!O257-'Calculations II'!W257</f>
        <v>72.653002118423771</v>
      </c>
      <c r="Z257" s="94">
        <f ca="1">Y257-Sheet1!CT256</f>
        <v>54.487002118423774</v>
      </c>
      <c r="AA257" s="94">
        <f ca="1">Y257+Calculation!DJ258+Calculation!AS258</f>
        <v>97.35952096543042</v>
      </c>
      <c r="AC257" s="94">
        <f>Sheet1!AA255+Sheet1!AB255+BC257</f>
        <v>98.642111999999997</v>
      </c>
      <c r="AD257" s="94">
        <f>Sheet1!AA255+Sheet1!BN255+'Calculations II'!BC257-Calculation!AS257-Calculation!DJ257</f>
        <v>51.111386611398956</v>
      </c>
      <c r="AE257" s="94">
        <f>Sheet1!AA255+Sheet1!AB255+'Calculations II'!BC257-Calculation!AS257-Calculation!DJ257</f>
        <v>74.891386611398957</v>
      </c>
      <c r="AF257" s="94">
        <f ca="1">Sheet1!AA255+Sheet1!BN255+P257+'Calculations II'!BC257+Calculation!AS257+Calculation!DJ257</f>
        <v>98.127983300790774</v>
      </c>
      <c r="AG257" s="94">
        <f ca="1">IF(B257=TODAY(),0,Sheet1!AA255+Sheet1!BN255+'Calculations II'!BC257+'Calculations II'!P257-Sheet1!CT255-BP257)</f>
        <v>55.583257912189737</v>
      </c>
      <c r="AH257" s="94">
        <f ca="1">IF(B257=TODAY(),0,Sheet1!AA255+Sheet1!BN255+'Calculations II'!BC257+'Calculations II'!P257-BP257)</f>
        <v>74.377257912189734</v>
      </c>
      <c r="AI257" s="94">
        <f ca="1">IF(B257=TODAY(),0,BC257+Sheet1!AA255+Calculation!ES257+O257+W257+Sheet1!BN255+Calculation!AS257+Calculation!DJ257-BP257)</f>
        <v>98.127983300790788</v>
      </c>
      <c r="AJ257" s="94"/>
      <c r="AM257" s="90">
        <f t="shared" si="55"/>
        <v>42981</v>
      </c>
      <c r="AN257" s="94">
        <f>Sheet1!BU255</f>
        <v>45.1</v>
      </c>
      <c r="AO257" s="94">
        <f>Sheet1!AA255</f>
        <v>48</v>
      </c>
      <c r="AP257" s="94">
        <f t="shared" si="44"/>
        <v>2.1882999999999977</v>
      </c>
      <c r="AQ257" s="1087">
        <f>((Sheet1!BV255-(Sheet1!BU255-AP257))/(Sheet1!BU255-AP257))</f>
        <v>0.18149595564845949</v>
      </c>
      <c r="AR257" s="94">
        <f t="shared" si="45"/>
        <v>45.811700000000002</v>
      </c>
      <c r="AS257" s="94">
        <f t="shared" si="46"/>
        <v>42.911700000000003</v>
      </c>
      <c r="AT257" s="89">
        <f>Sheet1!BB255</f>
        <v>0</v>
      </c>
      <c r="AU257" s="89">
        <f>Sheet1!AS255*GPMtoMGD</f>
        <v>3.5279999999999999E-2</v>
      </c>
      <c r="AV257" s="94">
        <f>Sheet1!AT255</f>
        <v>0</v>
      </c>
      <c r="AW257" s="89">
        <f>Sheet1!AV255*GPMtoMGD</f>
        <v>0.92692800000000009</v>
      </c>
      <c r="AX257" s="89">
        <f>Sheet1!AW255*GPMtoMGD</f>
        <v>2.6755200000000001</v>
      </c>
      <c r="AY257" s="89">
        <f>Sheet1!AX255*GPMtoMGD</f>
        <v>0</v>
      </c>
      <c r="AZ257" s="89">
        <f>Sheet1!AY255*GPMtoMGD</f>
        <v>0</v>
      </c>
      <c r="BA257" s="89">
        <f>Sheet1!AZ255*GPMtoMGD</f>
        <v>0</v>
      </c>
      <c r="BB257" s="89">
        <f>Sheet1!BP255*GPMtoMGD</f>
        <v>2.4480000000000001E-3</v>
      </c>
      <c r="BC257" s="89">
        <f>Sheet1!CS255*GPMtoMGD</f>
        <v>4.2621120000000001</v>
      </c>
      <c r="BD257" s="89">
        <f>Sheet1!BO255*GPMtoMGD</f>
        <v>3.665664</v>
      </c>
      <c r="BE257" s="89">
        <f>Sheet1!BW255*GPMtoMGD</f>
        <v>1.9077120000000001</v>
      </c>
      <c r="BF257" s="89">
        <f>Sheet1!CN255*GPMtoMGD</f>
        <v>4.4603999999999999</v>
      </c>
      <c r="BG257" s="89">
        <f>Sheet1!CO255*GPMtoMGD</f>
        <v>1.5026400000000002</v>
      </c>
      <c r="BH257" s="89">
        <f>Sheet1!CP255*GPMtoMGD</f>
        <v>0</v>
      </c>
      <c r="BI257" s="89">
        <f t="shared" si="56"/>
        <v>3.6681119999999998</v>
      </c>
      <c r="BK257" s="94">
        <f>SUM(AT257:BA257,AS257,BC257,Calculation!AQ257)</f>
        <v>73.440814611398977</v>
      </c>
      <c r="BM257" s="358">
        <f>0</f>
        <v>0</v>
      </c>
      <c r="BN257" s="358">
        <f>0</f>
        <v>0</v>
      </c>
      <c r="BP257" s="94">
        <f>SUM(BM257:BN257,W257,Sheet1!DX255)</f>
        <v>0</v>
      </c>
      <c r="BR257" s="94">
        <f>Sheet1!AA255</f>
        <v>48</v>
      </c>
      <c r="BS257" s="94">
        <f>Sheet1!AB255</f>
        <v>46.38</v>
      </c>
      <c r="BT257" s="94">
        <f t="shared" ca="1" si="47"/>
        <v>-0.48485408781025785</v>
      </c>
      <c r="BU257" s="94">
        <f>Sheet1!AT255</f>
        <v>0</v>
      </c>
      <c r="BV257" s="89">
        <f>Sheet1!BB255</f>
        <v>0</v>
      </c>
      <c r="BW257" s="94">
        <f>Calculation!ED257</f>
        <v>23.750725388601037</v>
      </c>
      <c r="BX257" s="94">
        <f>(Sheet1!CS255*1440)/1000000</f>
        <v>4.2621120000000001</v>
      </c>
      <c r="CA257" s="94">
        <f ca="1">Sheet1!AC255-Sheet1!BK255-Sheet1!BL255-Sheet1!BM255-Sheet1!BC255-Sheet1!BD255-Sheet1!BE255-Sheet1!BF255-Sheet1!BG255-Sheet1!BH255-Sheet1!BI255+BC257+P257</f>
        <v>74.437257912189736</v>
      </c>
      <c r="CB257" s="93">
        <f t="shared" si="48"/>
        <v>109.26348782383418</v>
      </c>
      <c r="CC257" s="94">
        <f t="shared" si="49"/>
        <v>0</v>
      </c>
      <c r="CD257" s="94">
        <f t="shared" ca="1" si="50"/>
        <v>98.187983300790776</v>
      </c>
      <c r="CE257" s="1077">
        <f t="shared" ca="1" si="51"/>
        <v>151.89681016632332</v>
      </c>
      <c r="CG257" s="1077">
        <f t="shared" ca="1" si="52"/>
        <v>74.437257912189736</v>
      </c>
    </row>
    <row r="258" spans="1:85" s="89" customFormat="1" x14ac:dyDescent="0.25">
      <c r="A258" s="616" t="s">
        <v>4</v>
      </c>
      <c r="B258" s="91">
        <v>42982</v>
      </c>
      <c r="C258" s="92">
        <v>0</v>
      </c>
      <c r="D258" s="94">
        <f>(Sheet1!BQ256-Sheet1!BQ255)*1.385</f>
        <v>-2.9916</v>
      </c>
      <c r="E258" s="30">
        <f>(Sheet1!BR256-Sheet1!BR255)*1.385</f>
        <v>-2.9777499999999981</v>
      </c>
      <c r="F258" s="30">
        <f ca="1">IF(B258=TODAY(),0,-(VLOOKUP(Sheet1!CD256,Lookup!$I$4:$J$216,2)-VLOOKUP(Sheet1!CD255,Lookup!$I$4:$J$216,2))/1000000)</f>
        <v>-0.62182163128679613</v>
      </c>
      <c r="G258" s="94">
        <f ca="1">IF(B258=TODAY(),0,-$G$6*(Sheet1!CF256-Sheet1!CF255)*7.48/1000000)</f>
        <v>1.0722645284191008</v>
      </c>
      <c r="H258" s="94">
        <f ca="1">IF(B258=TODAY(),0,-$H$6*(Sheet1!CE256-Sheet1!CE255)*7.48/1000000)</f>
        <v>1.5039432351265274E-2</v>
      </c>
      <c r="I258" s="94">
        <f ca="1">IF(B258=TODAY(),0,-$I$6*(Sheet1!CG256-Sheet1!CG255)*7.48/1000000)</f>
        <v>-8.9849760000000074E-3</v>
      </c>
      <c r="J258" s="95" t="s">
        <v>177</v>
      </c>
      <c r="K258" s="94">
        <f ca="1">IF(B258=TODAY(),0,-$K$6*(Sheet1!CH256-Sheet1!CH255)*7.48/1000000)</f>
        <v>-1.3326640748916953E-2</v>
      </c>
      <c r="L258" s="95" t="s">
        <v>177</v>
      </c>
      <c r="M258" s="94">
        <f ca="1">IF(B258=TODAY(),0,-$M$6*(Sheet1!CI256-Sheet1!CI255)*7.48/1000000)</f>
        <v>-5.3974525284081275E-2</v>
      </c>
      <c r="N258" s="94">
        <f ca="1">IF(B258=TODAY(),0,-$N$6*(Sheet1!CJ256-Sheet1!CJ255)*7.48/1000000)</f>
        <v>-0.34749313420989419</v>
      </c>
      <c r="O258" s="94">
        <f t="shared" ca="1" si="53"/>
        <v>4.1703053240677523E-2</v>
      </c>
      <c r="P258" s="94">
        <f ca="1">O258+Calculation!ES258</f>
        <v>6.000496669831568</v>
      </c>
      <c r="Q258" s="89" t="str">
        <f>IF(Sheet1!BQ256&gt;25.75,"spill elevation","-")</f>
        <v>-</v>
      </c>
      <c r="R258" s="89" t="str">
        <f>IF(Sheet1!BQ256&gt;25.75,"spill elevation","-")</f>
        <v>-</v>
      </c>
      <c r="S258" s="89" t="str">
        <f>IF(Sheet1!BR256&gt;25.75,"spill elevation","-")</f>
        <v>-</v>
      </c>
      <c r="T258" s="93">
        <f>IF(Sheet1!DU256=1,Sheet1!AA256-(SUM(AT258:BA258)+BE258),Sheet1!AA256-SUM(AT258:BA258))</f>
        <v>43.832751999999999</v>
      </c>
      <c r="U258" s="93">
        <f>Sheet1!BV256</f>
        <v>59</v>
      </c>
      <c r="V258" s="93">
        <f t="shared" si="54"/>
        <v>-15.167248000000001</v>
      </c>
      <c r="W258" s="93">
        <f>0</f>
        <v>0</v>
      </c>
      <c r="X258" s="89">
        <f>0</f>
        <v>0</v>
      </c>
      <c r="Y258" s="94">
        <f ca="1">Calculation!EJ259+Calculation!ES258+'Calculations II'!O258-'Calculations II'!W258</f>
        <v>81.936304435997215</v>
      </c>
      <c r="Z258" s="94">
        <f ca="1">Y258-Sheet1!CT257</f>
        <v>64.349304435997212</v>
      </c>
      <c r="AA258" s="94">
        <f ca="1">Y258+Calculation!DJ259+Calculation!AS259</f>
        <v>104.37316982466373</v>
      </c>
      <c r="AC258" s="94">
        <f>Sheet1!AA256+Sheet1!AB256+BC258</f>
        <v>97.235423999999995</v>
      </c>
      <c r="AD258" s="94">
        <f>Sheet1!AA256+Sheet1!BN256+'Calculations II'!BC258-Calculation!AS258-Calculation!DJ258</f>
        <v>47.89890515299335</v>
      </c>
      <c r="AE258" s="94">
        <f>Sheet1!AA256+Sheet1!AB256+'Calculations II'!BC258-Calculation!AS258-Calculation!DJ258</f>
        <v>72.528905152993346</v>
      </c>
      <c r="AF258" s="94">
        <f ca="1">Sheet1!AA256+Sheet1!BN256+P258+'Calculations II'!BC258+Calculation!AS258+Calculation!DJ258</f>
        <v>103.31243951683821</v>
      </c>
      <c r="AG258" s="94">
        <f ca="1">IF(B258=TODAY(),0,Sheet1!AA256+Sheet1!BN256+'Calculations II'!BC258+'Calculations II'!P258-Sheet1!CT256-BP258)</f>
        <v>60.439920669831565</v>
      </c>
      <c r="AH258" s="94">
        <f ca="1">IF(B258=TODAY(),0,Sheet1!AA256+Sheet1!BN256+'Calculations II'!BC258+'Calculations II'!P258-BP258)</f>
        <v>78.605920669831562</v>
      </c>
      <c r="AI258" s="94">
        <f ca="1">IF(B258=TODAY(),0,BC258+Sheet1!AA256+Calculation!ES258+O258+W258+Sheet1!BN256+Calculation!AS258+Calculation!DJ258-BP258)</f>
        <v>103.31243951683821</v>
      </c>
      <c r="AJ258" s="94"/>
      <c r="AM258" s="90">
        <f t="shared" si="55"/>
        <v>42982</v>
      </c>
      <c r="AN258" s="94">
        <f>Sheet1!BU256</f>
        <v>44.4</v>
      </c>
      <c r="AO258" s="94">
        <f>Sheet1!AA256</f>
        <v>48.04</v>
      </c>
      <c r="AP258" s="94">
        <f t="shared" si="44"/>
        <v>-5.9693499999999986</v>
      </c>
      <c r="AQ258" s="1087">
        <f>((Sheet1!BV256-(Sheet1!BU256-AP258))/(Sheet1!BU256-AP258))</f>
        <v>0.17134725780658283</v>
      </c>
      <c r="AR258" s="94">
        <f t="shared" si="45"/>
        <v>54.009349999999998</v>
      </c>
      <c r="AS258" s="94">
        <f t="shared" si="46"/>
        <v>50.369349999999997</v>
      </c>
      <c r="AT258" s="89">
        <f>Sheet1!BB256</f>
        <v>0</v>
      </c>
      <c r="AU258" s="89">
        <f>Sheet1!AS256*GPMtoMGD</f>
        <v>5.6448000000000005E-2</v>
      </c>
      <c r="AV258" s="94">
        <f>Sheet1!AT256</f>
        <v>0</v>
      </c>
      <c r="AW258" s="89">
        <f>Sheet1!AV256*GPMtoMGD</f>
        <v>1.5196320000000001</v>
      </c>
      <c r="AX258" s="89">
        <f>Sheet1!AW256*GPMtoMGD</f>
        <v>2.6292960000000001</v>
      </c>
      <c r="AY258" s="89">
        <f>Sheet1!AX256*GPMtoMGD</f>
        <v>1.8720000000000002E-3</v>
      </c>
      <c r="AZ258" s="89">
        <f>Sheet1!AY256*GPMtoMGD</f>
        <v>0</v>
      </c>
      <c r="BA258" s="89">
        <f>Sheet1!AZ256*GPMtoMGD</f>
        <v>0</v>
      </c>
      <c r="BB258" s="89">
        <f>Sheet1!BP256*GPMtoMGD</f>
        <v>2.7360000000000002E-2</v>
      </c>
      <c r="BC258" s="89">
        <f>Sheet1!CS256*GPMtoMGD</f>
        <v>4.2654240000000003</v>
      </c>
      <c r="BD258" s="89">
        <f>Sheet1!BO256*GPMtoMGD</f>
        <v>4.1293440000000006</v>
      </c>
      <c r="BE258" s="89">
        <f>Sheet1!BW256*GPMtoMGD</f>
        <v>1.9657439999999999</v>
      </c>
      <c r="BF258" s="89">
        <f>Sheet1!CN256*GPMtoMGD</f>
        <v>4.9374720000000005</v>
      </c>
      <c r="BG258" s="89">
        <f>Sheet1!CO256*GPMtoMGD</f>
        <v>1.6488</v>
      </c>
      <c r="BH258" s="89">
        <f>Sheet1!CP256*GPMtoMGD</f>
        <v>0</v>
      </c>
      <c r="BI258" s="89">
        <f t="shared" si="56"/>
        <v>4.1567040000000004</v>
      </c>
      <c r="BK258" s="94">
        <f>SUM(AT258:BA258,AS258,BC258,Calculation!AQ258)</f>
        <v>79.065503152993344</v>
      </c>
      <c r="BM258" s="358">
        <f>0</f>
        <v>0</v>
      </c>
      <c r="BN258" s="358">
        <f>0</f>
        <v>0</v>
      </c>
      <c r="BP258" s="94">
        <f>SUM(BM258:BN258,W258,Sheet1!DX256)</f>
        <v>0</v>
      </c>
      <c r="BR258" s="94">
        <f>Sheet1!AA256</f>
        <v>48.04</v>
      </c>
      <c r="BS258" s="94">
        <f>Sheet1!AB256</f>
        <v>44.93</v>
      </c>
      <c r="BT258" s="94">
        <f t="shared" ca="1" si="47"/>
        <v>6.000496669831568</v>
      </c>
      <c r="BU258" s="94">
        <f>Sheet1!AT256</f>
        <v>0</v>
      </c>
      <c r="BV258" s="89">
        <f>Sheet1!BB256</f>
        <v>0</v>
      </c>
      <c r="BW258" s="94">
        <f>Calculation!ED258</f>
        <v>24.706518847006645</v>
      </c>
      <c r="BX258" s="94">
        <f>(Sheet1!CS256*1440)/1000000</f>
        <v>4.2654240000000003</v>
      </c>
      <c r="CA258" s="94">
        <f ca="1">Sheet1!AC256-Sheet1!BK256-Sheet1!BL256-Sheet1!BM256-Sheet1!BC256-Sheet1!BD256-Sheet1!BE256-Sheet1!BF256-Sheet1!BG256-Sheet1!BH256-Sheet1!BI256+BC258+P258</f>
        <v>78.43592066983156</v>
      </c>
      <c r="CB258" s="93">
        <f t="shared" si="48"/>
        <v>105.60360534368071</v>
      </c>
      <c r="CC258" s="94">
        <f t="shared" si="49"/>
        <v>0</v>
      </c>
      <c r="CD258" s="94">
        <f t="shared" ca="1" si="50"/>
        <v>103.14243951683821</v>
      </c>
      <c r="CE258" s="1077">
        <f t="shared" ca="1" si="51"/>
        <v>159.56135393254871</v>
      </c>
      <c r="CG258" s="1077">
        <f t="shared" ca="1" si="52"/>
        <v>78.43592066983156</v>
      </c>
    </row>
    <row r="259" spans="1:85" s="89" customFormat="1" x14ac:dyDescent="0.25">
      <c r="A259" s="616" t="s">
        <v>5</v>
      </c>
      <c r="B259" s="91">
        <v>42983</v>
      </c>
      <c r="C259" s="92">
        <v>0</v>
      </c>
      <c r="D259" s="94">
        <f>(Sheet1!BQ257-Sheet1!BQ256)*1.385</f>
        <v>0.73405000000000153</v>
      </c>
      <c r="E259" s="30">
        <f>(Sheet1!BR257-Sheet1!BR256)*1.385</f>
        <v>0.77559999999999818</v>
      </c>
      <c r="F259" s="30">
        <f ca="1">IF(B259=TODAY(),0,-(VLOOKUP(Sheet1!CD257,Lookup!$I$4:$J$216,2)-VLOOKUP(Sheet1!CD256,Lookup!$I$4:$J$216,2))/1000000)</f>
        <v>-0.10363693854780681</v>
      </c>
      <c r="G259" s="94">
        <f ca="1">IF(B259=TODAY(),0,-$G$6*(Sheet1!CF257-Sheet1!CF256)*7.48/1000000)</f>
        <v>-0.68704356820927459</v>
      </c>
      <c r="H259" s="94">
        <f ca="1">IF(B259=TODAY(),0,-$H$6*(Sheet1!CE257-Sheet1!CE256)*7.48/1000000)</f>
        <v>-1.5039432351265274E-2</v>
      </c>
      <c r="I259" s="94">
        <f ca="1">IF(B259=TODAY(),0,-$I$6*(Sheet1!CG257-Sheet1!CG256)*7.48/1000000)</f>
        <v>-1.3477463999999995E-2</v>
      </c>
      <c r="J259" s="95" t="s">
        <v>177</v>
      </c>
      <c r="K259" s="94">
        <f ca="1">IF(B259=TODAY(),0,-$K$6*(Sheet1!CH257-Sheet1!CH256)*7.48/1000000)</f>
        <v>-2.6653281497833796E-2</v>
      </c>
      <c r="L259" s="95" t="s">
        <v>177</v>
      </c>
      <c r="M259" s="94">
        <f ca="1">IF(B259=TODAY(),0,-$M$6*(Sheet1!CI257-Sheet1!CI256)*7.48/1000000)</f>
        <v>-8.9957542140135238E-2</v>
      </c>
      <c r="N259" s="94">
        <f ca="1">IF(B259=TODAY(),0,-$N$6*(Sheet1!CJ257-Sheet1!CJ256)*7.48/1000000)</f>
        <v>0.24820938157849581</v>
      </c>
      <c r="O259" s="94">
        <f t="shared" ca="1" si="53"/>
        <v>-0.68759884516781988</v>
      </c>
      <c r="P259" s="94">
        <f ca="1">O259+Calculation!ES259</f>
        <v>-2.2113928087761368</v>
      </c>
      <c r="Q259" s="89" t="str">
        <f>IF(Sheet1!BQ257&gt;25.75,"spill elevation","-")</f>
        <v>-</v>
      </c>
      <c r="R259" s="89" t="str">
        <f>IF(Sheet1!BQ257&gt;25.75,"spill elevation","-")</f>
        <v>-</v>
      </c>
      <c r="S259" s="89" t="str">
        <f>IF(Sheet1!BR257&gt;25.75,"spill elevation","-")</f>
        <v>-</v>
      </c>
      <c r="T259" s="93">
        <f>IF(Sheet1!DU257=1,Sheet1!AA257-(SUM(AT259:BA259)+BE259),Sheet1!AA257-SUM(AT259:BA259))</f>
        <v>42.505296000000001</v>
      </c>
      <c r="U259" s="93">
        <f>Sheet1!BV257</f>
        <v>49.5</v>
      </c>
      <c r="V259" s="93">
        <f t="shared" si="54"/>
        <v>-6.9947039999999987</v>
      </c>
      <c r="W259" s="93">
        <f>0</f>
        <v>0</v>
      </c>
      <c r="X259" s="89">
        <f>0</f>
        <v>0</v>
      </c>
      <c r="Y259" s="94">
        <f ca="1">Calculation!EJ260+Calculation!ES259+'Calculations II'!O259-'Calculations II'!W259</f>
        <v>74.815754584784912</v>
      </c>
      <c r="Z259" s="94">
        <f ca="1">Y259-Sheet1!CT258</f>
        <v>57.412754584784913</v>
      </c>
      <c r="AA259" s="94">
        <f ca="1">Y259+Calculation!DJ260+Calculation!AS260</f>
        <v>95.746514908984068</v>
      </c>
      <c r="AC259" s="94">
        <f>Sheet1!AA257+Sheet1!AB257+BC259</f>
        <v>98.165568000000007</v>
      </c>
      <c r="AD259" s="94">
        <f>Sheet1!AA257+Sheet1!BN257+'Calculations II'!BC259-Calculation!AS259-Calculation!DJ259</f>
        <v>53.328702611333476</v>
      </c>
      <c r="AE259" s="94">
        <f>Sheet1!AA257+Sheet1!AB257+'Calculations II'!BC259-Calculation!AS259-Calculation!DJ259</f>
        <v>75.728702611333489</v>
      </c>
      <c r="AF259" s="94">
        <f ca="1">Sheet1!AA257+Sheet1!BN257+P259+'Calculations II'!BC259+Calculation!AS259+Calculation!DJ259</f>
        <v>95.991040579890381</v>
      </c>
      <c r="AG259" s="94">
        <f ca="1">IF(B259=TODAY(),0,Sheet1!AA257+Sheet1!BN257+'Calculations II'!BC259+'Calculations II'!P259-Sheet1!CT257-BP259)</f>
        <v>55.967175191223859</v>
      </c>
      <c r="AH259" s="94">
        <f ca="1">IF(B259=TODAY(),0,Sheet1!AA257+Sheet1!BN257+'Calculations II'!BC259+'Calculations II'!P259-BP259)</f>
        <v>73.554175191223862</v>
      </c>
      <c r="AI259" s="94">
        <f ca="1">IF(B259=TODAY(),0,BC259+Sheet1!AA257+Calculation!ES259+O259+W259+Sheet1!BN257+Calculation!AS259+Calculation!DJ259-BP259)</f>
        <v>95.991040579890381</v>
      </c>
      <c r="AJ259" s="94"/>
      <c r="AM259" s="90">
        <f t="shared" si="55"/>
        <v>42983</v>
      </c>
      <c r="AN259" s="94">
        <f>Sheet1!BU257</f>
        <v>43.4</v>
      </c>
      <c r="AO259" s="94">
        <f>Sheet1!AA257</f>
        <v>46.5</v>
      </c>
      <c r="AP259" s="94">
        <f t="shared" si="44"/>
        <v>1.5096499999999997</v>
      </c>
      <c r="AQ259" s="1087">
        <f>((Sheet1!BV257-(Sheet1!BU257-AP259))/(Sheet1!BU257-AP259))</f>
        <v>0.18165639580476178</v>
      </c>
      <c r="AR259" s="94">
        <f t="shared" si="45"/>
        <v>44.990349999999999</v>
      </c>
      <c r="AS259" s="94">
        <f t="shared" si="46"/>
        <v>41.890349999999998</v>
      </c>
      <c r="AT259" s="89">
        <f>Sheet1!BB257</f>
        <v>0</v>
      </c>
      <c r="AU259" s="89">
        <f>Sheet1!AS257*GPMtoMGD</f>
        <v>3.9888E-2</v>
      </c>
      <c r="AV259" s="94">
        <f>Sheet1!AT257</f>
        <v>0</v>
      </c>
      <c r="AW259" s="89">
        <f>Sheet1!AV257*GPMtoMGD</f>
        <v>1.2299040000000001</v>
      </c>
      <c r="AX259" s="89">
        <f>Sheet1!AW257*GPMtoMGD</f>
        <v>2.7249120000000002</v>
      </c>
      <c r="AY259" s="89">
        <f>Sheet1!AX257*GPMtoMGD</f>
        <v>0</v>
      </c>
      <c r="AZ259" s="89">
        <f>Sheet1!AY257*GPMtoMGD</f>
        <v>0</v>
      </c>
      <c r="BA259" s="89">
        <f>Sheet1!AZ257*GPMtoMGD</f>
        <v>0</v>
      </c>
      <c r="BB259" s="89">
        <f>Sheet1!BP257*GPMtoMGD</f>
        <v>2.5920000000000001E-3</v>
      </c>
      <c r="BC259" s="89">
        <f>Sheet1!CS257*GPMtoMGD</f>
        <v>4.265568</v>
      </c>
      <c r="BD259" s="89">
        <f>Sheet1!BO257*GPMtoMGD</f>
        <v>3.7753920000000005</v>
      </c>
      <c r="BE259" s="89">
        <f>Sheet1!BW257*GPMtoMGD</f>
        <v>1.8843840000000001</v>
      </c>
      <c r="BF259" s="89">
        <f>Sheet1!CN257*GPMtoMGD</f>
        <v>4.2249600000000003</v>
      </c>
      <c r="BG259" s="89">
        <f>Sheet1!CO257*GPMtoMGD</f>
        <v>1.4611680000000002</v>
      </c>
      <c r="BH259" s="89">
        <f>Sheet1!CP257*GPMtoMGD</f>
        <v>0</v>
      </c>
      <c r="BI259" s="89">
        <f t="shared" si="56"/>
        <v>3.7779840000000005</v>
      </c>
      <c r="BK259" s="94">
        <f>SUM(AT259:BA259,AS259,BC259,Calculation!AQ259)</f>
        <v>75.113756611333471</v>
      </c>
      <c r="BM259" s="358">
        <f>0</f>
        <v>0</v>
      </c>
      <c r="BN259" s="358">
        <f>0</f>
        <v>0</v>
      </c>
      <c r="BP259" s="94">
        <f>SUM(BM259:BN259,W259,Sheet1!DX257)</f>
        <v>0</v>
      </c>
      <c r="BR259" s="94">
        <f>Sheet1!AA257</f>
        <v>46.5</v>
      </c>
      <c r="BS259" s="94">
        <f>Sheet1!AB257</f>
        <v>47.4</v>
      </c>
      <c r="BT259" s="94">
        <f t="shared" ca="1" si="47"/>
        <v>-2.2113928087761368</v>
      </c>
      <c r="BU259" s="94">
        <f>Sheet1!AT257</f>
        <v>0</v>
      </c>
      <c r="BV259" s="89">
        <f>Sheet1!BB257</f>
        <v>0</v>
      </c>
      <c r="BW259" s="94">
        <f>Calculation!ED259</f>
        <v>22.436865388666526</v>
      </c>
      <c r="BX259" s="94">
        <f>(Sheet1!CS257*1440)/1000000</f>
        <v>4.265568</v>
      </c>
      <c r="CA259" s="94">
        <f ca="1">Sheet1!AC257-Sheet1!BK257-Sheet1!BL257-Sheet1!BM257-Sheet1!BC257-Sheet1!BD257-Sheet1!BE257-Sheet1!BF257-Sheet1!BG257-Sheet1!BH257-Sheet1!BI257+BC259+P259</f>
        <v>73.484175191223883</v>
      </c>
      <c r="CB259" s="93">
        <f t="shared" si="48"/>
        <v>110.55346924373291</v>
      </c>
      <c r="CC259" s="94">
        <f t="shared" si="49"/>
        <v>0</v>
      </c>
      <c r="CD259" s="94">
        <f t="shared" ca="1" si="50"/>
        <v>95.921040579890416</v>
      </c>
      <c r="CE259" s="1077">
        <f t="shared" ca="1" si="51"/>
        <v>148.38984977709046</v>
      </c>
      <c r="CG259" s="1077">
        <f t="shared" ca="1" si="52"/>
        <v>73.484175191223883</v>
      </c>
    </row>
    <row r="260" spans="1:85" s="89" customFormat="1" x14ac:dyDescent="0.25">
      <c r="A260" s="616" t="s">
        <v>6</v>
      </c>
      <c r="B260" s="91">
        <v>42984</v>
      </c>
      <c r="C260" s="92">
        <v>0</v>
      </c>
      <c r="D260" s="94">
        <f>(Sheet1!BQ258-Sheet1!BQ257)*1.385</f>
        <v>1.7173999999999978</v>
      </c>
      <c r="E260" s="30">
        <f>(Sheet1!BR258-Sheet1!BR257)*1.385</f>
        <v>1.7451000000000021</v>
      </c>
      <c r="F260" s="30">
        <f ca="1">IF(B260=TODAY(),0,-(VLOOKUP(Sheet1!CD258,Lookup!$I$4:$J$216,2)-VLOOKUP(Sheet1!CD257,Lookup!$I$4:$J$216,2))/1000000)</f>
        <v>-0.31091081564339806</v>
      </c>
      <c r="G260" s="94">
        <f ca="1">IF(B260=TODAY(),0,-$G$6*(Sheet1!CF258-Sheet1!CF257)*7.48/1000000)</f>
        <v>-0.62350196652518108</v>
      </c>
      <c r="H260" s="94">
        <f ca="1">IF(B260=TODAY(),0,-$H$6*(Sheet1!CE258-Sheet1!CE257)*7.48/1000000)</f>
        <v>-1.5039432351265274E-2</v>
      </c>
      <c r="I260" s="94">
        <f ca="1">IF(B260=TODAY(),0,-$I$6*(Sheet1!CG258-Sheet1!CG257)*7.48/1000000)</f>
        <v>-3.1447416000000006E-2</v>
      </c>
      <c r="J260" s="95" t="s">
        <v>177</v>
      </c>
      <c r="K260" s="94">
        <f ca="1">IF(B260=TODAY(),0,-$K$6*(Sheet1!CH258-Sheet1!CH257)*7.48/1000000)</f>
        <v>-7.995984449350127E-2</v>
      </c>
      <c r="L260" s="95" t="s">
        <v>177</v>
      </c>
      <c r="M260" s="94">
        <f ca="1">IF(B260=TODAY(),0,-$M$6*(Sheet1!CI258-Sheet1!CI257)*7.48/1000000)</f>
        <v>-0.14393206742421588</v>
      </c>
      <c r="N260" s="94">
        <f ca="1">IF(B260=TODAY(),0,-$N$6*(Sheet1!CJ258-Sheet1!CJ257)*7.48/1000000)</f>
        <v>-0.20477273980225894</v>
      </c>
      <c r="O260" s="94">
        <f t="shared" ca="1" si="53"/>
        <v>-1.4095642822398204</v>
      </c>
      <c r="P260" s="94">
        <f ca="1">O260+Calculation!ES260</f>
        <v>-4.8741513228775259</v>
      </c>
      <c r="Q260" s="89" t="str">
        <f>IF(Sheet1!BQ258&gt;25.75,"spill elevation","-")</f>
        <v>-</v>
      </c>
      <c r="R260" s="89" t="str">
        <f>IF(Sheet1!BQ258&gt;25.75,"spill elevation","-")</f>
        <v>-</v>
      </c>
      <c r="S260" s="89" t="str">
        <f>IF(Sheet1!BR258&gt;25.75,"spill elevation","-")</f>
        <v>-</v>
      </c>
      <c r="T260" s="93">
        <f>IF(Sheet1!DU258=1,Sheet1!AA258-(SUM(AT260:BA260)+BE260),Sheet1!AA258-SUM(AT260:BA260))</f>
        <v>37.956944</v>
      </c>
      <c r="U260" s="93">
        <f>Sheet1!BV258</f>
        <v>42.8</v>
      </c>
      <c r="V260" s="93">
        <f t="shared" si="54"/>
        <v>-4.8430559999999971</v>
      </c>
      <c r="W260" s="93">
        <f>0</f>
        <v>0</v>
      </c>
      <c r="X260" s="89">
        <f>0</f>
        <v>0</v>
      </c>
      <c r="Y260" s="94">
        <f ca="1">Calculation!EJ261+Calculation!ES260+'Calculations II'!O260-'Calculations II'!W260</f>
        <v>64.423230185942344</v>
      </c>
      <c r="Z260" s="94">
        <f ca="1">Y260-Sheet1!CT259</f>
        <v>47.248230185942347</v>
      </c>
      <c r="AA260" s="94">
        <f ca="1">Y260+Calculation!DJ261+Calculation!AS261</f>
        <v>85.9240237789529</v>
      </c>
      <c r="AC260" s="94">
        <f>Sheet1!AA258+Sheet1!AB258+BC260</f>
        <v>97.824415999999999</v>
      </c>
      <c r="AD260" s="94">
        <f>Sheet1!AA258+Sheet1!BN258+'Calculations II'!BC260-Calculation!AS260-Calculation!DJ260</f>
        <v>56.093655675800854</v>
      </c>
      <c r="AE260" s="94">
        <f>Sheet1!AA258+Sheet1!AB258+'Calculations II'!BC260-Calculation!AS260-Calculation!DJ260</f>
        <v>76.893655675800858</v>
      </c>
      <c r="AF260" s="94">
        <f ca="1">Sheet1!AA258+Sheet1!BN258+P260+'Calculations II'!BC260+Calculation!AS260+Calculation!DJ260</f>
        <v>93.08102500132162</v>
      </c>
      <c r="AG260" s="94">
        <f ca="1">IF(B260=TODAY(),0,Sheet1!AA258+Sheet1!BN258+'Calculations II'!BC260+'Calculations II'!P260-Sheet1!CT258-BP260)</f>
        <v>54.74726467712248</v>
      </c>
      <c r="AH260" s="94">
        <f ca="1">IF(B260=TODAY(),0,Sheet1!AA258+Sheet1!BN258+'Calculations II'!BC260+'Calculations II'!P260-BP260)</f>
        <v>72.150264677122479</v>
      </c>
      <c r="AI260" s="94">
        <f ca="1">IF(B260=TODAY(),0,BC260+Sheet1!AA258+Calculation!ES260+O260+W260+Sheet1!BN258+Calculation!AS260+Calculation!DJ260-BP260)</f>
        <v>93.08102500132162</v>
      </c>
      <c r="AJ260" s="94"/>
      <c r="AM260" s="90">
        <f t="shared" si="55"/>
        <v>42984</v>
      </c>
      <c r="AN260" s="94">
        <f>Sheet1!BU258</f>
        <v>39.5</v>
      </c>
      <c r="AO260" s="94">
        <f>Sheet1!AA258</f>
        <v>41.96</v>
      </c>
      <c r="AP260" s="94">
        <f t="shared" si="44"/>
        <v>3.4624999999999999</v>
      </c>
      <c r="AQ260" s="1087">
        <f>((Sheet1!BV258-(Sheet1!BU258-AP260))/(Sheet1!BU258-AP260))</f>
        <v>0.18765175164758918</v>
      </c>
      <c r="AR260" s="94">
        <f t="shared" si="45"/>
        <v>38.497500000000002</v>
      </c>
      <c r="AS260" s="94">
        <f t="shared" si="46"/>
        <v>36.037500000000001</v>
      </c>
      <c r="AT260" s="89">
        <f>Sheet1!BB258</f>
        <v>0</v>
      </c>
      <c r="AU260" s="89">
        <f>Sheet1!AS258*GPMtoMGD</f>
        <v>3.7584000000000006E-2</v>
      </c>
      <c r="AV260" s="94">
        <f>Sheet1!AT258</f>
        <v>0</v>
      </c>
      <c r="AW260" s="89">
        <f>Sheet1!AV258*GPMtoMGD</f>
        <v>1.205136</v>
      </c>
      <c r="AX260" s="89">
        <f>Sheet1!AW258*GPMtoMGD</f>
        <v>2.7603360000000001</v>
      </c>
      <c r="AY260" s="89">
        <f>Sheet1!AX258*GPMtoMGD</f>
        <v>0</v>
      </c>
      <c r="AZ260" s="89">
        <f>Sheet1!AY258*GPMtoMGD</f>
        <v>0</v>
      </c>
      <c r="BA260" s="89">
        <f>Sheet1!AZ258*GPMtoMGD</f>
        <v>0</v>
      </c>
      <c r="BB260" s="89">
        <f>Sheet1!BP258*GPMtoMGD</f>
        <v>2.4480000000000001E-3</v>
      </c>
      <c r="BC260" s="89">
        <f>Sheet1!CS258*GPMtoMGD</f>
        <v>4.2644160000000007</v>
      </c>
      <c r="BD260" s="89">
        <f>Sheet1!BO258*GPMtoMGD</f>
        <v>3.8429280000000001</v>
      </c>
      <c r="BE260" s="89">
        <f>Sheet1!BW258*GPMtoMGD</f>
        <v>1.850544</v>
      </c>
      <c r="BF260" s="89">
        <f>Sheet1!CN258*GPMtoMGD</f>
        <v>4.0194720000000004</v>
      </c>
      <c r="BG260" s="89">
        <f>Sheet1!CO258*GPMtoMGD</f>
        <v>1.421136</v>
      </c>
      <c r="BH260" s="89">
        <f>Sheet1!CP258*GPMtoMGD</f>
        <v>0</v>
      </c>
      <c r="BI260" s="89">
        <f t="shared" si="56"/>
        <v>3.8453759999999999</v>
      </c>
      <c r="BK260" s="94">
        <f>SUM(AT260:BA260,AS260,BC260,Calculation!AQ260)</f>
        <v>74.974211675800859</v>
      </c>
      <c r="BM260" s="358">
        <f>0</f>
        <v>0</v>
      </c>
      <c r="BN260" s="358">
        <f>0</f>
        <v>0</v>
      </c>
      <c r="BP260" s="94">
        <f>SUM(BM260:BN260,W260,Sheet1!DX258)</f>
        <v>0</v>
      </c>
      <c r="BR260" s="94">
        <f>Sheet1!AA258</f>
        <v>41.96</v>
      </c>
      <c r="BS260" s="94">
        <f>Sheet1!AB258</f>
        <v>51.6</v>
      </c>
      <c r="BT260" s="94">
        <f t="shared" ca="1" si="47"/>
        <v>-4.8741513228775259</v>
      </c>
      <c r="BU260" s="94">
        <f>Sheet1!AT258</f>
        <v>0</v>
      </c>
      <c r="BV260" s="89">
        <f>Sheet1!BB258</f>
        <v>0</v>
      </c>
      <c r="BW260" s="94">
        <f>Calculation!ED260</f>
        <v>20.930760324199149</v>
      </c>
      <c r="BX260" s="94">
        <f>(Sheet1!CS258*1440)/1000000</f>
        <v>4.2644159999999998</v>
      </c>
      <c r="CA260" s="94">
        <f ca="1">Sheet1!AC258-Sheet1!BK258-Sheet1!BL258-Sheet1!BM258-Sheet1!BC258-Sheet1!BD258-Sheet1!BE258-Sheet1!BF258-Sheet1!BG258-Sheet1!BH258-Sheet1!BI258+BC260+P260</f>
        <v>71.93026467712248</v>
      </c>
      <c r="CB260" s="93">
        <f t="shared" si="48"/>
        <v>112.3574337784639</v>
      </c>
      <c r="CC260" s="94">
        <f t="shared" si="49"/>
        <v>0</v>
      </c>
      <c r="CD260" s="94">
        <f t="shared" ca="1" si="50"/>
        <v>92.861025001321622</v>
      </c>
      <c r="CE260" s="1077">
        <f t="shared" ca="1" si="51"/>
        <v>143.65600567704453</v>
      </c>
      <c r="CG260" s="1077">
        <f t="shared" ca="1" si="52"/>
        <v>71.93026467712248</v>
      </c>
    </row>
    <row r="261" spans="1:85" s="89" customFormat="1" x14ac:dyDescent="0.25">
      <c r="A261" s="616" t="s">
        <v>7</v>
      </c>
      <c r="B261" s="91">
        <v>42985</v>
      </c>
      <c r="C261" s="92">
        <v>0</v>
      </c>
      <c r="D261" s="94">
        <f>(Sheet1!BQ259-Sheet1!BQ258)*1.385</f>
        <v>-0.36010000000000214</v>
      </c>
      <c r="E261" s="30">
        <f>(Sheet1!BR259-Sheet1!BR258)*1.385</f>
        <v>-0.37394999999999939</v>
      </c>
      <c r="F261" s="30">
        <f ca="1">IF(B261=TODAY(),0,-(VLOOKUP(Sheet1!CD259,Lookup!$I$4:$J$216,2)-VLOOKUP(Sheet1!CD258,Lookup!$I$4:$J$216,2))/1000000)</f>
        <v>-0.31091081564339806</v>
      </c>
      <c r="G261" s="94">
        <f ca="1">IF(B261=TODAY(),0,-$G$6*(Sheet1!CF259-Sheet1!CF258)*7.48/1000000)</f>
        <v>0.52818956399903805</v>
      </c>
      <c r="H261" s="94">
        <f ca="1">IF(B261=TODAY(),0,-$H$6*(Sheet1!CE259-Sheet1!CE258)*7.48/1000000)</f>
        <v>1.5039432351262067E-3</v>
      </c>
      <c r="I261" s="94">
        <f ca="1">IF(B261=TODAY(),0,-$I$6*(Sheet1!CG259-Sheet1!CG258)*7.48/1000000)</f>
        <v>-2.2462440000000004E-2</v>
      </c>
      <c r="J261" s="95" t="s">
        <v>177</v>
      </c>
      <c r="K261" s="94">
        <f ca="1">IF(B261=TODAY(),0,-$K$6*(Sheet1!CH259-Sheet1!CH258)*7.48/1000000)</f>
        <v>-5.9969883370125879E-3</v>
      </c>
      <c r="L261" s="95" t="s">
        <v>177</v>
      </c>
      <c r="M261" s="94">
        <f ca="1">IF(B261=TODAY(),0,-$M$6*(Sheet1!CI259-Sheet1!CI258)*7.48/1000000)</f>
        <v>-0.10794905056816255</v>
      </c>
      <c r="N261" s="94">
        <f ca="1">IF(B261=TODAY(),0,-$N$6*(Sheet1!CJ259-Sheet1!CJ258)*7.48/1000000)</f>
        <v>-5.5847110855161426E-2</v>
      </c>
      <c r="O261" s="94">
        <f t="shared" ca="1" si="53"/>
        <v>2.6527101830429611E-2</v>
      </c>
      <c r="P261" s="94">
        <f ca="1">O261+Calculation!ES261</f>
        <v>0.71962401184054015</v>
      </c>
      <c r="Q261" s="89" t="str">
        <f>IF(Sheet1!BQ259&gt;25.75,"spill elevation","-")</f>
        <v>-</v>
      </c>
      <c r="R261" s="89" t="str">
        <f>IF(Sheet1!BQ259&gt;25.75,"spill elevation","-")</f>
        <v>-</v>
      </c>
      <c r="S261" s="89" t="str">
        <f>IF(Sheet1!BR259&gt;25.75,"spill elevation","-")</f>
        <v>-</v>
      </c>
      <c r="T261" s="93">
        <f>IF(Sheet1!DU259=1,Sheet1!AA259-(SUM(AT261:BA261)+BE261),Sheet1!AA259-SUM(AT261:BA261))</f>
        <v>26.833200000000001</v>
      </c>
      <c r="U261" s="93">
        <f>Sheet1!BV259</f>
        <v>34.299999999999997</v>
      </c>
      <c r="V261" s="93">
        <f t="shared" si="54"/>
        <v>-7.4667999999999957</v>
      </c>
      <c r="W261" s="93">
        <f>0</f>
        <v>0</v>
      </c>
      <c r="X261" s="89">
        <f>0</f>
        <v>0</v>
      </c>
      <c r="Y261" s="94">
        <f ca="1">Calculation!EJ262+Calculation!ES261+'Calculations II'!O261-'Calculations II'!W261</f>
        <v>67.891979247198435</v>
      </c>
      <c r="Z261" s="94">
        <f ca="1">Y261-Sheet1!CT260</f>
        <v>50.579979247198438</v>
      </c>
      <c r="AA261" s="94">
        <f ca="1">Y261+Calculation!DJ262+Calculation!AS262</f>
        <v>87.732348946364795</v>
      </c>
      <c r="AC261" s="94">
        <f>Sheet1!AA259+Sheet1!AB259+BC261</f>
        <v>89.404848000000001</v>
      </c>
      <c r="AD261" s="94">
        <f>Sheet1!AA259+Sheet1!BN259+'Calculations II'!BC261-Calculation!AS261-Calculation!DJ261</f>
        <v>46.464054406989447</v>
      </c>
      <c r="AE261" s="94">
        <f>Sheet1!AA259+Sheet1!AB259+'Calculations II'!BC261-Calculation!AS261-Calculation!DJ261</f>
        <v>67.904054406989445</v>
      </c>
      <c r="AF261" s="94">
        <f ca="1">Sheet1!AA259+Sheet1!BN259+P261+'Calculations II'!BC261+Calculation!AS261+Calculation!DJ261</f>
        <v>90.185265604851097</v>
      </c>
      <c r="AG261" s="94">
        <f ca="1">IF(B261=TODAY(),0,Sheet1!AA259+Sheet1!BN259+'Calculations II'!BC261+'Calculations II'!P261-Sheet1!CT259-BP261)</f>
        <v>51.509472011840543</v>
      </c>
      <c r="AH261" s="94">
        <f ca="1">IF(B261=TODAY(),0,Sheet1!AA259+Sheet1!BN259+'Calculations II'!BC261+'Calculations II'!P261-BP261)</f>
        <v>68.684472011840541</v>
      </c>
      <c r="AI261" s="94">
        <f ca="1">IF(B261=TODAY(),0,BC261+Sheet1!AA259+Calculation!ES261+O261+W261+Sheet1!BN259+Calculation!AS261+Calculation!DJ261-BP261)</f>
        <v>90.185265604851097</v>
      </c>
      <c r="AJ261" s="94"/>
      <c r="AM261" s="90">
        <f t="shared" si="55"/>
        <v>42985</v>
      </c>
      <c r="AN261" s="94">
        <f>Sheet1!BU259</f>
        <v>28.2</v>
      </c>
      <c r="AO261" s="94">
        <f>Sheet1!AA259</f>
        <v>30.3</v>
      </c>
      <c r="AP261" s="94">
        <f t="shared" si="44"/>
        <v>-0.73405000000000153</v>
      </c>
      <c r="AQ261" s="1087">
        <f>((Sheet1!BV259-(Sheet1!BU259-AP261))/(Sheet1!BU259-AP261))</f>
        <v>0.18545450775124803</v>
      </c>
      <c r="AR261" s="94">
        <f t="shared" si="45"/>
        <v>31.034050000000001</v>
      </c>
      <c r="AS261" s="94">
        <f t="shared" si="46"/>
        <v>28.934049999999999</v>
      </c>
      <c r="AT261" s="89">
        <f>Sheet1!BB259</f>
        <v>0</v>
      </c>
      <c r="AU261" s="89">
        <f>Sheet1!AS259*GPMtoMGD</f>
        <v>3.9600000000000003E-2</v>
      </c>
      <c r="AV261" s="94">
        <f>Sheet1!AT259</f>
        <v>0</v>
      </c>
      <c r="AW261" s="89">
        <f>Sheet1!AV259*GPMtoMGD</f>
        <v>0.34718399999999999</v>
      </c>
      <c r="AX261" s="89">
        <f>Sheet1!AW259*GPMtoMGD</f>
        <v>3.0798720000000004</v>
      </c>
      <c r="AY261" s="89">
        <f>Sheet1!AX259*GPMtoMGD</f>
        <v>1.44E-4</v>
      </c>
      <c r="AZ261" s="89">
        <f>Sheet1!AY259*GPMtoMGD</f>
        <v>0</v>
      </c>
      <c r="BA261" s="89">
        <f>Sheet1!AZ259*GPMtoMGD</f>
        <v>0</v>
      </c>
      <c r="BB261" s="89">
        <f>Sheet1!BP259*GPMtoMGD</f>
        <v>2.5920000000000001E-3</v>
      </c>
      <c r="BC261" s="89">
        <f>Sheet1!CS259*GPMtoMGD</f>
        <v>4.2648479999999998</v>
      </c>
      <c r="BD261" s="89">
        <f>Sheet1!BO259*GPMtoMGD</f>
        <v>3.5076960000000001</v>
      </c>
      <c r="BE261" s="89">
        <f>Sheet1!BW259*GPMtoMGD</f>
        <v>1.7212320000000001</v>
      </c>
      <c r="BF261" s="89">
        <f>Sheet1!CN259*GPMtoMGD</f>
        <v>3.5840160000000005</v>
      </c>
      <c r="BG261" s="89">
        <f>Sheet1!CO259*GPMtoMGD</f>
        <v>1.293984</v>
      </c>
      <c r="BH261" s="89">
        <f>Sheet1!CP259*GPMtoMGD</f>
        <v>0</v>
      </c>
      <c r="BI261" s="89">
        <f t="shared" si="56"/>
        <v>3.5102880000000001</v>
      </c>
      <c r="BK261" s="94">
        <f>SUM(AT261:BA261,AS261,BC261,Calculation!AQ261)</f>
        <v>70.004904406989453</v>
      </c>
      <c r="BM261" s="358">
        <f>0</f>
        <v>0</v>
      </c>
      <c r="BN261" s="358">
        <f>0</f>
        <v>0</v>
      </c>
      <c r="BP261" s="94">
        <f>SUM(BM261:BN261,W261,Sheet1!DX259)</f>
        <v>0</v>
      </c>
      <c r="BR261" s="94">
        <f>Sheet1!AA259</f>
        <v>30.3</v>
      </c>
      <c r="BS261" s="94">
        <f>Sheet1!AB259</f>
        <v>54.84</v>
      </c>
      <c r="BT261" s="94">
        <f t="shared" ca="1" si="47"/>
        <v>0.71962401184054015</v>
      </c>
      <c r="BU261" s="94">
        <f>Sheet1!AT259</f>
        <v>0</v>
      </c>
      <c r="BV261" s="89">
        <f>Sheet1!BB259</f>
        <v>0</v>
      </c>
      <c r="BW261" s="94">
        <f>Calculation!ED261</f>
        <v>21.50079359301056</v>
      </c>
      <c r="BX261" s="94">
        <f>(Sheet1!CS259*1440)/1000000</f>
        <v>4.2648479999999998</v>
      </c>
      <c r="CA261" s="94">
        <f ca="1">Sheet1!AC259-Sheet1!BK259-Sheet1!BL259-Sheet1!BM259-Sheet1!BC259-Sheet1!BD259-Sheet1!BE259-Sheet1!BF259-Sheet1!BG259-Sheet1!BH259-Sheet1!BI259+BC261+P261</f>
        <v>68.584472011840532</v>
      </c>
      <c r="CB261" s="93">
        <f t="shared" si="48"/>
        <v>98.449852311612673</v>
      </c>
      <c r="CC261" s="94">
        <f t="shared" si="49"/>
        <v>0</v>
      </c>
      <c r="CD261" s="94">
        <f t="shared" ca="1" si="50"/>
        <v>90.085265604851088</v>
      </c>
      <c r="CE261" s="1077">
        <f t="shared" ca="1" si="51"/>
        <v>139.36190589070463</v>
      </c>
      <c r="CG261" s="1077">
        <f t="shared" ca="1" si="52"/>
        <v>68.584472011840532</v>
      </c>
    </row>
    <row r="262" spans="1:85" s="89" customFormat="1" x14ac:dyDescent="0.25">
      <c r="A262" s="616" t="s">
        <v>8</v>
      </c>
      <c r="B262" s="91">
        <v>42986</v>
      </c>
      <c r="C262" s="92">
        <v>0</v>
      </c>
      <c r="D262" s="94">
        <f>(Sheet1!BQ260-Sheet1!BQ259)*1.385</f>
        <v>-0.11079999999999764</v>
      </c>
      <c r="E262" s="30">
        <f>(Sheet1!BR260-Sheet1!BR259)*1.385</f>
        <v>-6.9250000000000991E-2</v>
      </c>
      <c r="F262" s="30">
        <f ca="1">IF(B262=TODAY(),0,-(VLOOKUP(Sheet1!CD260,Lookup!$I$4:$J$216,2)-VLOOKUP(Sheet1!CD259,Lookup!$I$4:$J$216,2))/1000000)</f>
        <v>0.10363693854779936</v>
      </c>
      <c r="G262" s="94">
        <f ca="1">IF(B262=TODAY(),0,-$G$6*(Sheet1!CF260-Sheet1!CF259)*7.48/1000000)</f>
        <v>6.7512951789351489E-2</v>
      </c>
      <c r="H262" s="94">
        <f ca="1">IF(B262=TODAY(),0,-$H$6*(Sheet1!CE260-Sheet1!CE259)*7.48/1000000)</f>
        <v>2.8574921467404341E-2</v>
      </c>
      <c r="I262" s="94">
        <f ca="1">IF(B262=TODAY(),0,-$I$6*(Sheet1!CG260-Sheet1!CG259)*7.48/1000000)</f>
        <v>-8.9849759999999675E-3</v>
      </c>
      <c r="J262" s="95" t="s">
        <v>177</v>
      </c>
      <c r="K262" s="94">
        <f ca="1">IF(B262=TODAY(),0,-$K$6*(Sheet1!CH260-Sheet1!CH259)*7.48/1000000)</f>
        <v>-1.3992972786362785E-2</v>
      </c>
      <c r="L262" s="95" t="s">
        <v>177</v>
      </c>
      <c r="M262" s="94">
        <f ca="1">IF(B262=TODAY(),0,-$M$6*(Sheet1!CI260-Sheet1!CI259)*7.48/1000000)</f>
        <v>-1.7991508428027301E-2</v>
      </c>
      <c r="N262" s="94">
        <f ca="1">IF(B262=TODAY(),0,-$N$6*(Sheet1!CJ260-Sheet1!CJ259)*7.48/1000000)</f>
        <v>6.8257579934085932E-2</v>
      </c>
      <c r="O262" s="94">
        <f t="shared" ca="1" si="53"/>
        <v>0.22701293452425106</v>
      </c>
      <c r="P262" s="94">
        <f ca="1">O262+Calculation!ES262</f>
        <v>0.50421964235618144</v>
      </c>
      <c r="Q262" s="89" t="str">
        <f>IF(Sheet1!BQ260&gt;25.75,"spill elevation","-")</f>
        <v>-</v>
      </c>
      <c r="R262" s="89" t="str">
        <f>IF(Sheet1!BQ260&gt;25.75,"spill elevation","-")</f>
        <v>-</v>
      </c>
      <c r="S262" s="89" t="str">
        <f>IF(Sheet1!BR260&gt;25.75,"spill elevation","-")</f>
        <v>-</v>
      </c>
      <c r="T262" s="93">
        <f>IF(Sheet1!DU260=1,Sheet1!AA260-(SUM(AT262:BA262)+BE262),Sheet1!AA260-SUM(AT262:BA262))</f>
        <v>23.639279999999999</v>
      </c>
      <c r="U262" s="93">
        <f>Sheet1!BV260</f>
        <v>29</v>
      </c>
      <c r="V262" s="93">
        <f t="shared" si="54"/>
        <v>-5.3607200000000006</v>
      </c>
      <c r="W262" s="93">
        <f>0</f>
        <v>0</v>
      </c>
      <c r="X262" s="89">
        <f>0</f>
        <v>0</v>
      </c>
      <c r="Y262" s="94">
        <f ca="1">Calculation!EJ263+Calculation!ES262+'Calculations II'!O262-'Calculations II'!W262</f>
        <v>68.079767708215954</v>
      </c>
      <c r="Z262" s="94">
        <f ca="1">Y262-Sheet1!CT261</f>
        <v>50.927767708215953</v>
      </c>
      <c r="AA262" s="94">
        <f ca="1">Y262+Calculation!DJ263+Calculation!AS263</f>
        <v>86.776361515137637</v>
      </c>
      <c r="AC262" s="94">
        <f>Sheet1!AA260+Sheet1!AB260+BC262</f>
        <v>86.124992000000006</v>
      </c>
      <c r="AD262" s="94">
        <f>Sheet1!AA260+Sheet1!BN260+'Calculations II'!BC262-Calculation!AS262-Calculation!DJ262</f>
        <v>46.514622300833629</v>
      </c>
      <c r="AE262" s="94">
        <f>Sheet1!AA260+Sheet1!AB260+'Calculations II'!BC262-Calculation!AS262-Calculation!DJ262</f>
        <v>66.284622300833632</v>
      </c>
      <c r="AF262" s="94">
        <f ca="1">Sheet1!AA260+Sheet1!BN260+P262+'Calculations II'!BC262+Calculation!AS262+Calculation!DJ262</f>
        <v>86.69958134152256</v>
      </c>
      <c r="AG262" s="94">
        <f ca="1">IF(B262=TODAY(),0,Sheet1!AA260+Sheet1!BN260+'Calculations II'!BC262+'Calculations II'!P262-Sheet1!CT260-BP262)</f>
        <v>49.547211642356174</v>
      </c>
      <c r="AH262" s="94">
        <f ca="1">IF(B262=TODAY(),0,Sheet1!AA260+Sheet1!BN260+'Calculations II'!BC262+'Calculations II'!P262-BP262)</f>
        <v>66.859211642356172</v>
      </c>
      <c r="AI262" s="94">
        <f ca="1">IF(B262=TODAY(),0,BC262+Sheet1!AA260+Calculation!ES262+O262+W262+Sheet1!BN260+Calculation!AS262+Calculation!DJ262-BP262)</f>
        <v>86.699581341522531</v>
      </c>
      <c r="AJ262" s="94"/>
      <c r="AM262" s="90">
        <f t="shared" si="55"/>
        <v>42986</v>
      </c>
      <c r="AN262" s="94">
        <f>Sheet1!BU260</f>
        <v>24.3</v>
      </c>
      <c r="AO262" s="94">
        <f>Sheet1!AA260</f>
        <v>26.79</v>
      </c>
      <c r="AP262" s="94">
        <f t="shared" si="44"/>
        <v>-0.18004999999999863</v>
      </c>
      <c r="AQ262" s="1087">
        <f>((Sheet1!BV260-(Sheet1!BU260-AP262))/(Sheet1!BU260-AP262))</f>
        <v>0.18463810327184796</v>
      </c>
      <c r="AR262" s="94">
        <f t="shared" si="45"/>
        <v>26.970049999999997</v>
      </c>
      <c r="AS262" s="94">
        <f t="shared" si="46"/>
        <v>24.480049999999999</v>
      </c>
      <c r="AT262" s="89">
        <f>Sheet1!BB260</f>
        <v>0</v>
      </c>
      <c r="AU262" s="89">
        <f>Sheet1!AS260*GPMtoMGD</f>
        <v>3.7296000000000003E-2</v>
      </c>
      <c r="AV262" s="94">
        <f>Sheet1!AT260</f>
        <v>0</v>
      </c>
      <c r="AW262" s="89">
        <f>Sheet1!AV260*GPMtoMGD</f>
        <v>1.4104800000000002</v>
      </c>
      <c r="AX262" s="89">
        <f>Sheet1!AW260*GPMtoMGD</f>
        <v>1.702512</v>
      </c>
      <c r="AY262" s="89">
        <f>Sheet1!AX260*GPMtoMGD</f>
        <v>4.3200000000000004E-4</v>
      </c>
      <c r="AZ262" s="89">
        <f>Sheet1!AY260*GPMtoMGD</f>
        <v>0</v>
      </c>
      <c r="BA262" s="89">
        <f>Sheet1!AZ260*GPMtoMGD</f>
        <v>0</v>
      </c>
      <c r="BB262" s="89">
        <f>Sheet1!BP260*GPMtoMGD</f>
        <v>2.5920000000000001E-3</v>
      </c>
      <c r="BC262" s="89">
        <f>Sheet1!CS260*GPMtoMGD</f>
        <v>4.2649920000000003</v>
      </c>
      <c r="BD262" s="89">
        <f>Sheet1!BO260*GPMtoMGD</f>
        <v>3.320208</v>
      </c>
      <c r="BE262" s="89">
        <f>Sheet1!BW260*GPMtoMGD</f>
        <v>1.7003520000000001</v>
      </c>
      <c r="BF262" s="89">
        <f>Sheet1!CN260*GPMtoMGD</f>
        <v>3.2677920000000005</v>
      </c>
      <c r="BG262" s="89">
        <f>Sheet1!CO260*GPMtoMGD</f>
        <v>1.287072</v>
      </c>
      <c r="BH262" s="89">
        <f>Sheet1!CP260*GPMtoMGD</f>
        <v>0</v>
      </c>
      <c r="BI262" s="89">
        <f t="shared" si="56"/>
        <v>3.3228</v>
      </c>
      <c r="BK262" s="94">
        <f>SUM(AT262:BA262,AS262,BC262,Calculation!AQ262)</f>
        <v>67.125392300833639</v>
      </c>
      <c r="BM262" s="358">
        <f>0</f>
        <v>0</v>
      </c>
      <c r="BN262" s="358">
        <f>0</f>
        <v>0</v>
      </c>
      <c r="BP262" s="94">
        <f>SUM(BM262:BN262,W262,Sheet1!DX260)</f>
        <v>0</v>
      </c>
      <c r="BR262" s="94">
        <f>Sheet1!AA260</f>
        <v>26.79</v>
      </c>
      <c r="BS262" s="94">
        <f>Sheet1!AB260</f>
        <v>55.07</v>
      </c>
      <c r="BT262" s="94">
        <f t="shared" ca="1" si="47"/>
        <v>0.50421964235618144</v>
      </c>
      <c r="BU262" s="94">
        <f>Sheet1!AT260</f>
        <v>0</v>
      </c>
      <c r="BV262" s="89">
        <f>Sheet1!BB260</f>
        <v>0</v>
      </c>
      <c r="BW262" s="94">
        <f>Calculation!ED262</f>
        <v>19.840369699166367</v>
      </c>
      <c r="BX262" s="94">
        <f>(Sheet1!CS260*1440)/1000000</f>
        <v>4.2649920000000003</v>
      </c>
      <c r="CA262" s="94">
        <f ca="1">Sheet1!AC260-Sheet1!BK260-Sheet1!BL260-Sheet1!BM260-Sheet1!BC260-Sheet1!BD260-Sheet1!BE260-Sheet1!BF260-Sheet1!BG260-Sheet1!BH260-Sheet1!BI260+BC262+P262</f>
        <v>66.749211642356187</v>
      </c>
      <c r="CB262" s="93">
        <f t="shared" si="48"/>
        <v>95.944368075389619</v>
      </c>
      <c r="CC262" s="94">
        <f t="shared" si="49"/>
        <v>0</v>
      </c>
      <c r="CD262" s="94">
        <f t="shared" ca="1" si="50"/>
        <v>86.589581341522546</v>
      </c>
      <c r="CE262" s="1077">
        <f t="shared" ca="1" si="51"/>
        <v>133.95408233533539</v>
      </c>
      <c r="CG262" s="1077">
        <f t="shared" ca="1" si="52"/>
        <v>66.749211642356187</v>
      </c>
    </row>
    <row r="263" spans="1:85" s="89" customFormat="1" x14ac:dyDescent="0.25">
      <c r="A263" s="616" t="s">
        <v>9</v>
      </c>
      <c r="B263" s="91">
        <v>42987</v>
      </c>
      <c r="C263" s="92">
        <v>0</v>
      </c>
      <c r="D263" s="94">
        <f>(Sheet1!BQ261-Sheet1!BQ260)*1.385</f>
        <v>1.9528500000000002</v>
      </c>
      <c r="E263" s="30">
        <f>(Sheet1!BR261-Sheet1!BR260)*1.385</f>
        <v>1.8974500000000014</v>
      </c>
      <c r="F263" s="30">
        <f ca="1">IF(B263=TODAY(),0,-(VLOOKUP(Sheet1!CD261,Lookup!$I$4:$J$216,2)-VLOOKUP(Sheet1!CD260,Lookup!$I$4:$J$216,2))/1000000)</f>
        <v>0.62182163128680368</v>
      </c>
      <c r="G263" s="94">
        <f ca="1">IF(B263=TODAY(),0,-$G$6*(Sheet1!CF261-Sheet1!CF260)*7.48/1000000)</f>
        <v>0.55598901473582951</v>
      </c>
      <c r="H263" s="94">
        <f ca="1">IF(B263=TODAY(),0,-$H$6*(Sheet1!CE261-Sheet1!CE260)*7.48/1000000)</f>
        <v>-3.0078864702530548E-2</v>
      </c>
      <c r="I263" s="94">
        <f ca="1">IF(B263=TODAY(),0,-$I$6*(Sheet1!CG261-Sheet1!CG260)*7.48/1000000)</f>
        <v>3.1447415999999971E-2</v>
      </c>
      <c r="J263" s="95" t="s">
        <v>177</v>
      </c>
      <c r="K263" s="94">
        <f ca="1">IF(B263=TODAY(),0,-$K$6*(Sheet1!CH261-Sheet1!CH260)*7.48/1000000)</f>
        <v>4.6643242621209169E-2</v>
      </c>
      <c r="L263" s="95" t="s">
        <v>177</v>
      </c>
      <c r="M263" s="94">
        <f ca="1">IF(B263=TODAY(),0,-$M$6*(Sheet1!CI261-Sheet1!CI260)*7.48/1000000)</f>
        <v>0.19790659270829777</v>
      </c>
      <c r="N263" s="94">
        <f ca="1">IF(B263=TODAY(),0,-$N$6*(Sheet1!CJ261-Sheet1!CJ260)*7.48/1000000)</f>
        <v>-0.13651515986817186</v>
      </c>
      <c r="O263" s="94">
        <f t="shared" ca="1" si="53"/>
        <v>1.2872138727814377</v>
      </c>
      <c r="P263" s="94">
        <f ca="1">O263+Calculation!ES263</f>
        <v>-2.5948469595392711</v>
      </c>
      <c r="Q263" s="89" t="str">
        <f>IF(Sheet1!BQ261&gt;25.75,"spill elevation","-")</f>
        <v>-</v>
      </c>
      <c r="R263" s="89" t="str">
        <f>IF(Sheet1!BQ261&gt;25.75,"spill elevation","-")</f>
        <v>-</v>
      </c>
      <c r="S263" s="89" t="str">
        <f>IF(Sheet1!BR261&gt;25.75,"spill elevation","-")</f>
        <v>-</v>
      </c>
      <c r="T263" s="93">
        <f>IF(Sheet1!DU261=1,Sheet1!AA261-(SUM(AT263:BA263)+BE263),Sheet1!AA261-SUM(AT263:BA263))</f>
        <v>22.886255999999999</v>
      </c>
      <c r="U263" s="93">
        <f>Sheet1!BV261</f>
        <v>23.2</v>
      </c>
      <c r="V263" s="93">
        <f t="shared" si="54"/>
        <v>-0.3137439999999998</v>
      </c>
      <c r="W263" s="93">
        <f>0</f>
        <v>0</v>
      </c>
      <c r="X263" s="89">
        <f>0</f>
        <v>0</v>
      </c>
      <c r="Y263" s="94">
        <f ca="1">Calculation!EJ264+Calculation!ES263+'Calculations II'!O263-'Calculations II'!W263</f>
        <v>63.712817033180492</v>
      </c>
      <c r="Z263" s="94">
        <f ca="1">Y263-Sheet1!CT262</f>
        <v>45.752817033180492</v>
      </c>
      <c r="AA263" s="94">
        <f ca="1">Y263+Calculation!DJ264+Calculation!AS264</f>
        <v>82.502198661798147</v>
      </c>
      <c r="AC263" s="94">
        <f>Sheet1!AA261+Sheet1!AB261+BC263</f>
        <v>84.571184000000002</v>
      </c>
      <c r="AD263" s="94">
        <f>Sheet1!AA261+Sheet1!BN261+'Calculations II'!BC263-Calculation!AS263-Calculation!DJ263</f>
        <v>47.184590193078328</v>
      </c>
      <c r="AE263" s="94">
        <f>Sheet1!AA261+Sheet1!AB261+'Calculations II'!BC263-Calculation!AS263-Calculation!DJ263</f>
        <v>65.874590193078319</v>
      </c>
      <c r="AF263" s="94">
        <f ca="1">Sheet1!AA261+Sheet1!BN261+P263+'Calculations II'!BC263+Calculation!AS263+Calculation!DJ263</f>
        <v>81.982930847382406</v>
      </c>
      <c r="AG263" s="94">
        <f ca="1">IF(B263=TODAY(),0,Sheet1!AA261+Sheet1!BN261+'Calculations II'!BC263+'Calculations II'!P263-Sheet1!CT261-BP263)</f>
        <v>46.134337040460736</v>
      </c>
      <c r="AH263" s="94">
        <f ca="1">IF(B263=TODAY(),0,Sheet1!AA261+Sheet1!BN261+'Calculations II'!BC263+'Calculations II'!P263-BP263)</f>
        <v>63.286337040460737</v>
      </c>
      <c r="AI263" s="94">
        <f ca="1">IF(B263=TODAY(),0,BC263+Sheet1!AA261+Calculation!ES263+O263+W263+Sheet1!BN261+Calculation!AS263+Calculation!DJ263-BP263)</f>
        <v>81.98293084738242</v>
      </c>
      <c r="AJ263" s="94"/>
      <c r="AM263" s="90">
        <f t="shared" si="55"/>
        <v>42987</v>
      </c>
      <c r="AN263" s="94">
        <f>Sheet1!BU261</f>
        <v>23.3</v>
      </c>
      <c r="AO263" s="94">
        <f>Sheet1!AA261</f>
        <v>25.41</v>
      </c>
      <c r="AP263" s="94">
        <f t="shared" si="44"/>
        <v>3.8503000000000016</v>
      </c>
      <c r="AQ263" s="1087">
        <f>((Sheet1!BV261-(Sheet1!BU261-AP263))/(Sheet1!BU261-AP263))</f>
        <v>0.19282045481421303</v>
      </c>
      <c r="AR263" s="94">
        <f t="shared" si="45"/>
        <v>21.559699999999999</v>
      </c>
      <c r="AS263" s="94">
        <f t="shared" si="46"/>
        <v>19.4497</v>
      </c>
      <c r="AT263" s="89">
        <f>Sheet1!BB261</f>
        <v>0</v>
      </c>
      <c r="AU263" s="89">
        <f>Sheet1!AS261*GPMtoMGD</f>
        <v>3.3120000000000004E-2</v>
      </c>
      <c r="AV263" s="94">
        <f>Sheet1!AT261</f>
        <v>0</v>
      </c>
      <c r="AW263" s="89">
        <f>Sheet1!AV261*GPMtoMGD</f>
        <v>0.87336000000000003</v>
      </c>
      <c r="AX263" s="89">
        <f>Sheet1!AW261*GPMtoMGD</f>
        <v>1.617264</v>
      </c>
      <c r="AY263" s="89">
        <f>Sheet1!AX261*GPMtoMGD</f>
        <v>0</v>
      </c>
      <c r="AZ263" s="89">
        <f>Sheet1!AY261*GPMtoMGD</f>
        <v>0</v>
      </c>
      <c r="BA263" s="89">
        <f>Sheet1!AZ261*GPMtoMGD</f>
        <v>0</v>
      </c>
      <c r="BB263" s="89">
        <f>Sheet1!BP261*GPMtoMGD</f>
        <v>2.7360000000000002E-3</v>
      </c>
      <c r="BC263" s="89">
        <f>Sheet1!CS261*GPMtoMGD</f>
        <v>4.2711839999999999</v>
      </c>
      <c r="BD263" s="89">
        <f>Sheet1!BO261*GPMtoMGD</f>
        <v>2.8926720000000001</v>
      </c>
      <c r="BE263" s="89">
        <f>Sheet1!BW261*GPMtoMGD</f>
        <v>1.527984</v>
      </c>
      <c r="BF263" s="89">
        <f>Sheet1!CN261*GPMtoMGD</f>
        <v>3.0252960000000004</v>
      </c>
      <c r="BG263" s="89">
        <f>Sheet1!CO261*GPMtoMGD</f>
        <v>1.2415680000000002</v>
      </c>
      <c r="BH263" s="89">
        <f>Sheet1!CP261*GPMtoMGD</f>
        <v>0</v>
      </c>
      <c r="BI263" s="89">
        <f t="shared" si="56"/>
        <v>2.8954080000000002</v>
      </c>
      <c r="BK263" s="94">
        <f>SUM(AT263:BA263,AS263,BC263,Calculation!AQ263)</f>
        <v>62.438034193078323</v>
      </c>
      <c r="BM263" s="358">
        <f>0</f>
        <v>0</v>
      </c>
      <c r="BN263" s="358">
        <f>0</f>
        <v>0</v>
      </c>
      <c r="BP263" s="94">
        <f>SUM(BM263:BN263,W263,Sheet1!DX261)</f>
        <v>0</v>
      </c>
      <c r="BR263" s="94">
        <f>Sheet1!AA261</f>
        <v>25.41</v>
      </c>
      <c r="BS263" s="94">
        <f>Sheet1!AB261</f>
        <v>54.89</v>
      </c>
      <c r="BT263" s="94">
        <f t="shared" ca="1" si="47"/>
        <v>-2.5948469595392711</v>
      </c>
      <c r="BU263" s="94">
        <f>Sheet1!AT261</f>
        <v>0</v>
      </c>
      <c r="BV263" s="89">
        <f>Sheet1!BB261</f>
        <v>0</v>
      </c>
      <c r="BW263" s="94">
        <f>Calculation!ED263</f>
        <v>18.696593806921676</v>
      </c>
      <c r="BX263" s="94">
        <f>(Sheet1!CS261*1440)/1000000</f>
        <v>4.2711839999999999</v>
      </c>
      <c r="CA263" s="94">
        <f ca="1">Sheet1!AC261-Sheet1!BK261-Sheet1!BL261-Sheet1!BM261-Sheet1!BC261-Sheet1!BD261-Sheet1!BE261-Sheet1!BF261-Sheet1!BG261-Sheet1!BH261-Sheet1!BI261+BC263+P263</f>
        <v>63.276337040460746</v>
      </c>
      <c r="CB263" s="93">
        <f t="shared" si="48"/>
        <v>95.300469380692164</v>
      </c>
      <c r="CC263" s="94">
        <f t="shared" si="49"/>
        <v>0</v>
      </c>
      <c r="CD263" s="94">
        <f t="shared" ca="1" si="50"/>
        <v>81.972930847382429</v>
      </c>
      <c r="CE263" s="1077">
        <f t="shared" ca="1" si="51"/>
        <v>126.81212402090061</v>
      </c>
      <c r="CG263" s="1077">
        <f t="shared" ca="1" si="52"/>
        <v>63.276337040460746</v>
      </c>
    </row>
    <row r="264" spans="1:85" s="89" customFormat="1" x14ac:dyDescent="0.25">
      <c r="A264" s="616" t="s">
        <v>3</v>
      </c>
      <c r="B264" s="91">
        <v>42988</v>
      </c>
      <c r="C264" s="92">
        <v>0</v>
      </c>
      <c r="D264" s="94">
        <f>(Sheet1!BQ262-Sheet1!BQ261)*1.385</f>
        <v>-0.31855000000000061</v>
      </c>
      <c r="E264" s="30">
        <f>(Sheet1!BR262-Sheet1!BR261)*1.385</f>
        <v>-0.26315000000000177</v>
      </c>
      <c r="F264" s="30">
        <f ca="1">IF(B264=TODAY(),0,-(VLOOKUP(Sheet1!CD262,Lookup!$I$4:$J$216,2)-VLOOKUP(Sheet1!CD261,Lookup!$I$4:$J$216,2))/1000000)</f>
        <v>-0.31091081564340556</v>
      </c>
      <c r="G264" s="94">
        <f ca="1">IF(B264=TODAY(),0,-$G$6*(Sheet1!CF262-Sheet1!CF261)*7.48/1000000)</f>
        <v>-0.19856750526279648</v>
      </c>
      <c r="H264" s="94">
        <f ca="1">IF(B264=TODAY(),0,-$H$6*(Sheet1!CE262-Sheet1!CE261)*7.48/1000000)</f>
        <v>0</v>
      </c>
      <c r="I264" s="94">
        <f ca="1">IF(B264=TODAY(),0,-$I$6*(Sheet1!CG262-Sheet1!CG261)*7.48/1000000)</f>
        <v>-2.2462440000000004E-2</v>
      </c>
      <c r="J264" s="95" t="s">
        <v>177</v>
      </c>
      <c r="K264" s="94">
        <f ca="1">IF(B264=TODAY(),0,-$K$6*(Sheet1!CH262-Sheet1!CH261)*7.48/1000000)</f>
        <v>-3.9979922246750635E-2</v>
      </c>
      <c r="L264" s="95" t="s">
        <v>177</v>
      </c>
      <c r="M264" s="94">
        <f ca="1">IF(B264=TODAY(),0,-$M$6*(Sheet1!CI262-Sheet1!CI261)*7.48/1000000)</f>
        <v>-0.12594055899618922</v>
      </c>
      <c r="N264" s="94">
        <f ca="1">IF(B264=TODAY(),0,-$N$6*(Sheet1!CJ262-Sheet1!CJ261)*7.48/1000000)</f>
        <v>0.15513086348655974</v>
      </c>
      <c r="O264" s="94">
        <f t="shared" ca="1" si="53"/>
        <v>-0.54273037866258211</v>
      </c>
      <c r="P264" s="94">
        <f ca="1">O264+Calculation!ES264</f>
        <v>1.2003633159783034E-2</v>
      </c>
      <c r="Q264" s="89" t="str">
        <f>IF(Sheet1!BQ262&gt;25.75,"spill elevation","-")</f>
        <v>-</v>
      </c>
      <c r="R264" s="89" t="str">
        <f>IF(Sheet1!BQ262&gt;25.75,"spill elevation","-")</f>
        <v>-</v>
      </c>
      <c r="S264" s="89" t="str">
        <f>IF(Sheet1!BR262&gt;25.75,"spill elevation","-")</f>
        <v>-</v>
      </c>
      <c r="T264" s="93">
        <f>IF(Sheet1!DU262=1,Sheet1!AA262-(SUM(AT264:BA264)+BE264),Sheet1!AA262-SUM(AT264:BA264))</f>
        <v>22.821407999999998</v>
      </c>
      <c r="U264" s="93">
        <f>Sheet1!BV262</f>
        <v>28.1</v>
      </c>
      <c r="V264" s="93">
        <f t="shared" si="54"/>
        <v>-5.2785920000000033</v>
      </c>
      <c r="W264" s="93">
        <f>0</f>
        <v>0</v>
      </c>
      <c r="X264" s="89">
        <f>0</f>
        <v>0</v>
      </c>
      <c r="Y264" s="94">
        <f ca="1">Calculation!EJ265+Calculation!ES264+'Calculations II'!O264-'Calculations II'!W264</f>
        <v>66.083976722799306</v>
      </c>
      <c r="Z264" s="94">
        <f ca="1">Y264-Sheet1!CT263</f>
        <v>48.43597672279931</v>
      </c>
      <c r="AA264" s="94">
        <f ca="1">Y264+Calculation!DJ265+Calculation!AS265</f>
        <v>84.90847024351477</v>
      </c>
      <c r="AC264" s="94">
        <f>Sheet1!AA262+Sheet1!AB262+BC264</f>
        <v>85.161184000000006</v>
      </c>
      <c r="AD264" s="94">
        <f>Sheet1!AA262+Sheet1!BN262+'Calculations II'!BC264-Calculation!AS264-Calculation!DJ264</f>
        <v>47.661802371382343</v>
      </c>
      <c r="AE264" s="94">
        <f>Sheet1!AA262+Sheet1!AB262+'Calculations II'!BC264-Calculation!AS264-Calculation!DJ264</f>
        <v>66.371802371382358</v>
      </c>
      <c r="AF264" s="94">
        <f ca="1">Sheet1!AA262+Sheet1!BN262+P264+'Calculations II'!BC264+Calculation!AS264+Calculation!DJ264</f>
        <v>85.252569261777438</v>
      </c>
      <c r="AG264" s="94">
        <f ca="1">IF(B264=TODAY(),0,Sheet1!AA262+Sheet1!BN262+'Calculations II'!BC264+'Calculations II'!P264-Sheet1!CT262-BP264)</f>
        <v>48.503187633159776</v>
      </c>
      <c r="AH264" s="94">
        <f ca="1">IF(B264=TODAY(),0,Sheet1!AA262+Sheet1!BN262+'Calculations II'!BC264+'Calculations II'!P264-BP264)</f>
        <v>66.463187633159777</v>
      </c>
      <c r="AI264" s="94">
        <f ca="1">IF(B264=TODAY(),0,BC264+Sheet1!AA262+Calculation!ES264+O264+W264+Sheet1!BN262+Calculation!AS264+Calculation!DJ264-BP264)</f>
        <v>85.252569261777438</v>
      </c>
      <c r="AJ264" s="94"/>
      <c r="AM264" s="90">
        <f t="shared" si="55"/>
        <v>42988</v>
      </c>
      <c r="AN264" s="94">
        <f>Sheet1!BU262</f>
        <v>23.3</v>
      </c>
      <c r="AO264" s="94">
        <f>Sheet1!AA262</f>
        <v>25.38</v>
      </c>
      <c r="AP264" s="94">
        <f t="shared" si="44"/>
        <v>-0.58170000000000233</v>
      </c>
      <c r="AQ264" s="1087">
        <f>((Sheet1!BV262-(Sheet1!BU262-AP264))/(Sheet1!BU262-AP264))</f>
        <v>0.17663315425618775</v>
      </c>
      <c r="AR264" s="94">
        <f t="shared" si="45"/>
        <v>25.9617</v>
      </c>
      <c r="AS264" s="94">
        <f t="shared" si="46"/>
        <v>23.881700000000002</v>
      </c>
      <c r="AT264" s="89">
        <f>Sheet1!BB262</f>
        <v>0</v>
      </c>
      <c r="AU264" s="89">
        <f>Sheet1!AS262*GPMtoMGD</f>
        <v>2.0592000000000003E-2</v>
      </c>
      <c r="AV264" s="94">
        <f>Sheet1!AT262</f>
        <v>0</v>
      </c>
      <c r="AW264" s="89">
        <f>Sheet1!AV262*GPMtoMGD</f>
        <v>0.88617600000000007</v>
      </c>
      <c r="AX264" s="89">
        <f>Sheet1!AW262*GPMtoMGD</f>
        <v>1.651824</v>
      </c>
      <c r="AY264" s="89">
        <f>Sheet1!AX262*GPMtoMGD</f>
        <v>0</v>
      </c>
      <c r="AZ264" s="89">
        <f>Sheet1!AY262*GPMtoMGD</f>
        <v>0</v>
      </c>
      <c r="BA264" s="89">
        <f>Sheet1!AZ262*GPMtoMGD</f>
        <v>0</v>
      </c>
      <c r="BB264" s="89">
        <f>Sheet1!BP262*GPMtoMGD</f>
        <v>2.8800000000000002E-3</v>
      </c>
      <c r="BC264" s="89">
        <f>Sheet1!CS262*GPMtoMGD</f>
        <v>4.2711839999999999</v>
      </c>
      <c r="BD264" s="89">
        <f>Sheet1!BO262*GPMtoMGD</f>
        <v>3.4349760000000003</v>
      </c>
      <c r="BE264" s="89">
        <f>Sheet1!BW262*GPMtoMGD</f>
        <v>1.61856</v>
      </c>
      <c r="BF264" s="89">
        <f>Sheet1!CN262*GPMtoMGD</f>
        <v>3.5611200000000003</v>
      </c>
      <c r="BG264" s="89">
        <f>Sheet1!CO262*GPMtoMGD</f>
        <v>1.3406400000000001</v>
      </c>
      <c r="BH264" s="89">
        <f>Sheet1!CP262*GPMtoMGD</f>
        <v>0</v>
      </c>
      <c r="BI264" s="89">
        <f t="shared" si="56"/>
        <v>3.4378560000000005</v>
      </c>
      <c r="BK264" s="94">
        <f>SUM(AT264:BA264,AS264,BC264,Calculation!AQ264)</f>
        <v>67.432094371382348</v>
      </c>
      <c r="BM264" s="358">
        <f>0</f>
        <v>0</v>
      </c>
      <c r="BN264" s="358">
        <f>0</f>
        <v>0</v>
      </c>
      <c r="BP264" s="94">
        <f>SUM(BM264:BN264,W264,Sheet1!DX262)</f>
        <v>0</v>
      </c>
      <c r="BR264" s="94">
        <f>Sheet1!AA262</f>
        <v>25.38</v>
      </c>
      <c r="BS264" s="94">
        <f>Sheet1!AB262</f>
        <v>55.51</v>
      </c>
      <c r="BT264" s="94">
        <f t="shared" ca="1" si="47"/>
        <v>1.2003633159783034E-2</v>
      </c>
      <c r="BU264" s="94">
        <f>Sheet1!AT262</f>
        <v>0</v>
      </c>
      <c r="BV264" s="89">
        <f>Sheet1!BB262</f>
        <v>0</v>
      </c>
      <c r="BW264" s="94">
        <f>Calculation!ED264</f>
        <v>18.789381628617654</v>
      </c>
      <c r="BX264" s="94">
        <f>(Sheet1!CS262*1440)/1000000</f>
        <v>4.2711839999999999</v>
      </c>
      <c r="CA264" s="94">
        <f ca="1">Sheet1!AC262-Sheet1!BK262-Sheet1!BL262-Sheet1!BM262-Sheet1!BC262-Sheet1!BD262-Sheet1!BE262-Sheet1!BF262-Sheet1!BG262-Sheet1!BH262-Sheet1!BI262+BC264+P264</f>
        <v>66.343187633159786</v>
      </c>
      <c r="CB264" s="93">
        <f t="shared" si="48"/>
        <v>96.069656620528491</v>
      </c>
      <c r="CC264" s="94">
        <f t="shared" si="49"/>
        <v>0</v>
      </c>
      <c r="CD264" s="94">
        <f t="shared" ca="1" si="50"/>
        <v>85.132569261777434</v>
      </c>
      <c r="CE264" s="1077">
        <f t="shared" ca="1" si="51"/>
        <v>131.70008464796967</v>
      </c>
      <c r="CG264" s="1077">
        <f t="shared" ca="1" si="52"/>
        <v>66.343187633159786</v>
      </c>
    </row>
    <row r="265" spans="1:85" s="89" customFormat="1" x14ac:dyDescent="0.25">
      <c r="A265" s="616" t="s">
        <v>4</v>
      </c>
      <c r="B265" s="91">
        <v>42989</v>
      </c>
      <c r="C265" s="92">
        <v>0</v>
      </c>
      <c r="D265" s="94">
        <f>(Sheet1!BQ263-Sheet1!BQ262)*1.385</f>
        <v>-1.3711499999999979</v>
      </c>
      <c r="E265" s="30">
        <f>(Sheet1!BR263-Sheet1!BR262)*1.385</f>
        <v>-1.3573000000000006</v>
      </c>
      <c r="F265" s="30">
        <f ca="1">IF(B265=TODAY(),0,-(VLOOKUP(Sheet1!CD263,Lookup!$I$4:$J$216,2)-VLOOKUP(Sheet1!CD262,Lookup!$I$4:$J$216,2))/1000000)</f>
        <v>-0.20727387709559872</v>
      </c>
      <c r="G265" s="94">
        <f ca="1">IF(B265=TODAY(),0,-$G$6*(Sheet1!CF263-Sheet1!CF262)*7.48/1000000)</f>
        <v>-0.15885400421023663</v>
      </c>
      <c r="H265" s="94">
        <f ca="1">IF(B265=TODAY(),0,-$H$6*(Sheet1!CE263-Sheet1!CE262)*7.48/1000000)</f>
        <v>-1.5039432351265274E-2</v>
      </c>
      <c r="I265" s="94">
        <f ca="1">IF(B265=TODAY(),0,-$I$6*(Sheet1!CG263-Sheet1!CG262)*7.48/1000000)</f>
        <v>-4.4924879999999837E-3</v>
      </c>
      <c r="J265" s="95" t="s">
        <v>177</v>
      </c>
      <c r="K265" s="94">
        <f ca="1">IF(B265=TODAY(),0,-$K$6*(Sheet1!CH263-Sheet1!CH262)*7.48/1000000)</f>
        <v>0</v>
      </c>
      <c r="L265" s="95" t="s">
        <v>177</v>
      </c>
      <c r="M265" s="94">
        <f ca="1">IF(B265=TODAY(),0,-$M$6*(Sheet1!CI263-Sheet1!CI262)*7.48/1000000)</f>
        <v>-7.1966033712108565E-2</v>
      </c>
      <c r="N265" s="94">
        <f ca="1">IF(B265=TODAY(),0,-$N$6*(Sheet1!CJ263-Sheet1!CJ262)*7.48/1000000)</f>
        <v>-0.27923555427580821</v>
      </c>
      <c r="O265" s="94">
        <f t="shared" ca="1" si="53"/>
        <v>-0.73686138964501735</v>
      </c>
      <c r="P265" s="94">
        <f ca="1">O265+Calculation!ES265</f>
        <v>2.0360391930457653</v>
      </c>
      <c r="Q265" s="89" t="str">
        <f>IF(Sheet1!BQ263&gt;25.75,"spill elevation","-")</f>
        <v>-</v>
      </c>
      <c r="R265" s="89" t="str">
        <f>IF(Sheet1!BQ263&gt;25.75,"spill elevation","-")</f>
        <v>-</v>
      </c>
      <c r="S265" s="89" t="str">
        <f>IF(Sheet1!BR263&gt;25.75,"spill elevation","-")</f>
        <v>-</v>
      </c>
      <c r="T265" s="93">
        <f>IF(Sheet1!DU263=1,Sheet1!AA263-(SUM(AT265:BA265)+BE265),Sheet1!AA263-SUM(AT265:BA265))</f>
        <v>23.560592</v>
      </c>
      <c r="U265" s="93">
        <f>Sheet1!BV263</f>
        <v>31.4</v>
      </c>
      <c r="V265" s="93">
        <f t="shared" si="54"/>
        <v>-7.8394079999999988</v>
      </c>
      <c r="W265" s="93">
        <f>0</f>
        <v>0</v>
      </c>
      <c r="X265" s="89">
        <f>0</f>
        <v>0</v>
      </c>
      <c r="Y265" s="94">
        <f ca="1">Calculation!EJ266+Calculation!ES265+'Calculations II'!O265-'Calculations II'!W265</f>
        <v>68.875783357104325</v>
      </c>
      <c r="Z265" s="94">
        <f ca="1">Y265-Sheet1!CT264</f>
        <v>51.095783357104324</v>
      </c>
      <c r="AA265" s="94">
        <f ca="1">Y265+Calculation!DJ266+Calculation!AS266</f>
        <v>87.578015843632414</v>
      </c>
      <c r="AC265" s="94">
        <f>Sheet1!AA263+Sheet1!AB263+BC265</f>
        <v>85.293920000000014</v>
      </c>
      <c r="AD265" s="94">
        <f>Sheet1!AA263+Sheet1!BN263+'Calculations II'!BC265-Calculation!AS265-Calculation!DJ265</f>
        <v>47.769426479284533</v>
      </c>
      <c r="AE265" s="94">
        <f>Sheet1!AA263+Sheet1!AB263+'Calculations II'!BC265-Calculation!AS265-Calculation!DJ265</f>
        <v>66.46942647928455</v>
      </c>
      <c r="AF265" s="94">
        <f ca="1">Sheet1!AA263+Sheet1!BN263+P265+'Calculations II'!BC265+Calculation!AS265+Calculation!DJ265</f>
        <v>87.454452713761228</v>
      </c>
      <c r="AG265" s="94">
        <f ca="1">IF(B265=TODAY(),0,Sheet1!AA263+Sheet1!BN263+'Calculations II'!BC265+'Calculations II'!P265-Sheet1!CT263-BP265)</f>
        <v>50.981959193045768</v>
      </c>
      <c r="AH265" s="94">
        <f ca="1">IF(B265=TODAY(),0,Sheet1!AA263+Sheet1!BN263+'Calculations II'!BC265+'Calculations II'!P265-BP265)</f>
        <v>68.629959193045764</v>
      </c>
      <c r="AI265" s="94">
        <f ca="1">IF(B265=TODAY(),0,BC265+Sheet1!AA263+Calculation!ES265+O265+W265+Sheet1!BN263+Calculation!AS265+Calculation!DJ265-BP265)</f>
        <v>87.454452713761242</v>
      </c>
      <c r="AJ265" s="94"/>
      <c r="AM265" s="90">
        <f t="shared" si="55"/>
        <v>42989</v>
      </c>
      <c r="AN265" s="94">
        <f>Sheet1!BU263</f>
        <v>23.9</v>
      </c>
      <c r="AO265" s="94">
        <f>Sheet1!AA263</f>
        <v>26.42</v>
      </c>
      <c r="AP265" s="94">
        <f t="shared" si="44"/>
        <v>-2.7284499999999987</v>
      </c>
      <c r="AQ265" s="1087">
        <f>((Sheet1!BV263-(Sheet1!BU263-AP265))/(Sheet1!BU263-AP265))</f>
        <v>0.17918992656350638</v>
      </c>
      <c r="AR265" s="94">
        <f t="shared" si="45"/>
        <v>29.14845</v>
      </c>
      <c r="AS265" s="94">
        <f t="shared" si="46"/>
        <v>26.628449999999997</v>
      </c>
      <c r="AT265" s="89">
        <f>Sheet1!BB263</f>
        <v>0</v>
      </c>
      <c r="AU265" s="89">
        <f>Sheet1!AS263*GPMtoMGD</f>
        <v>3.3408E-2</v>
      </c>
      <c r="AV265" s="94">
        <f>Sheet1!AT263</f>
        <v>0</v>
      </c>
      <c r="AW265" s="89">
        <f>Sheet1!AV263*GPMtoMGD</f>
        <v>1.1148480000000001</v>
      </c>
      <c r="AX265" s="89">
        <f>Sheet1!AW263*GPMtoMGD</f>
        <v>1.711152</v>
      </c>
      <c r="AY265" s="89">
        <f>Sheet1!AX263*GPMtoMGD</f>
        <v>0</v>
      </c>
      <c r="AZ265" s="89">
        <f>Sheet1!AY263*GPMtoMGD</f>
        <v>0</v>
      </c>
      <c r="BA265" s="89">
        <f>Sheet1!AZ263*GPMtoMGD</f>
        <v>0</v>
      </c>
      <c r="BB265" s="89">
        <f>Sheet1!BP263*GPMtoMGD</f>
        <v>3.0240000000000002E-3</v>
      </c>
      <c r="BC265" s="89">
        <f>Sheet1!CS263*GPMtoMGD</f>
        <v>4.2739200000000004</v>
      </c>
      <c r="BD265" s="89">
        <f>Sheet1!BO263*GPMtoMGD</f>
        <v>3.6041760000000003</v>
      </c>
      <c r="BE265" s="89">
        <f>Sheet1!BW263*GPMtoMGD</f>
        <v>1.5050880000000002</v>
      </c>
      <c r="BF265" s="89">
        <f>Sheet1!CN263*GPMtoMGD</f>
        <v>3.6050400000000002</v>
      </c>
      <c r="BG265" s="89">
        <f>Sheet1!CO263*GPMtoMGD</f>
        <v>1.3906080000000001</v>
      </c>
      <c r="BH265" s="89">
        <f>Sheet1!CP263*GPMtoMGD</f>
        <v>0</v>
      </c>
      <c r="BI265" s="89">
        <f t="shared" si="56"/>
        <v>3.6072000000000002</v>
      </c>
      <c r="BK265" s="94">
        <f>SUM(AT265:BA265,AS265,BC265,Calculation!AQ265)</f>
        <v>69.537284479284537</v>
      </c>
      <c r="BM265" s="358">
        <f>0</f>
        <v>0</v>
      </c>
      <c r="BN265" s="358">
        <f>0</f>
        <v>0</v>
      </c>
      <c r="BP265" s="94">
        <f>SUM(BM265:BN265,W265,Sheet1!DX263)</f>
        <v>0</v>
      </c>
      <c r="BR265" s="94">
        <f>Sheet1!AA263</f>
        <v>26.42</v>
      </c>
      <c r="BS265" s="94">
        <f>Sheet1!AB263</f>
        <v>54.6</v>
      </c>
      <c r="BT265" s="94">
        <f t="shared" ca="1" si="47"/>
        <v>2.0360391930457653</v>
      </c>
      <c r="BU265" s="94">
        <f>Sheet1!AT263</f>
        <v>0</v>
      </c>
      <c r="BV265" s="89">
        <f>Sheet1!BB263</f>
        <v>0</v>
      </c>
      <c r="BW265" s="94">
        <f>Calculation!ED265</f>
        <v>18.82449352071546</v>
      </c>
      <c r="BX265" s="94">
        <f>(Sheet1!CS263*1440)/1000000</f>
        <v>4.2739200000000004</v>
      </c>
      <c r="CA265" s="94">
        <f ca="1">Sheet1!AC263-Sheet1!BK263-Sheet1!BL263-Sheet1!BM263-Sheet1!BC263-Sheet1!BD263-Sheet1!BE263-Sheet1!BF263-Sheet1!BG263-Sheet1!BH263-Sheet1!BI263+BC265+P265</f>
        <v>68.43995919304578</v>
      </c>
      <c r="CB265" s="93">
        <f t="shared" si="48"/>
        <v>96.216448523453195</v>
      </c>
      <c r="CC265" s="94">
        <f t="shared" si="49"/>
        <v>0</v>
      </c>
      <c r="CD265" s="94">
        <f t="shared" ca="1" si="50"/>
        <v>87.264452713761244</v>
      </c>
      <c r="CE265" s="1077">
        <f t="shared" ca="1" si="51"/>
        <v>134.99810834818865</v>
      </c>
      <c r="CG265" s="1077">
        <f t="shared" ca="1" si="52"/>
        <v>68.43995919304578</v>
      </c>
    </row>
    <row r="266" spans="1:85" s="89" customFormat="1" x14ac:dyDescent="0.25">
      <c r="A266" s="616" t="s">
        <v>5</v>
      </c>
      <c r="B266" s="91">
        <v>42990</v>
      </c>
      <c r="C266" s="92">
        <v>0</v>
      </c>
      <c r="D266" s="94">
        <f>(Sheet1!BQ264-Sheet1!BQ263)*1.385</f>
        <v>-5.5400000000003738E-2</v>
      </c>
      <c r="E266" s="30">
        <f>(Sheet1!BR264-Sheet1!BR263)*1.385</f>
        <v>-4.1550000000001572E-2</v>
      </c>
      <c r="F266" s="30">
        <f ca="1">IF(B266=TODAY(),0,-(VLOOKUP(Sheet1!CD264,Lookup!$I$4:$J$216,2)-VLOOKUP(Sheet1!CD263,Lookup!$I$4:$J$216,2))/1000000)</f>
        <v>0.10363693854779936</v>
      </c>
      <c r="G266" s="94">
        <f ca="1">IF(B266=TODAY(),0,-$G$6*(Sheet1!CF264-Sheet1!CF263)*7.48/1000000)</f>
        <v>0.31770800842047325</v>
      </c>
      <c r="H266" s="94">
        <f ca="1">IF(B266=TODAY(),0,-$H$6*(Sheet1!CE264-Sheet1!CE263)*7.48/1000000)</f>
        <v>0</v>
      </c>
      <c r="I266" s="94">
        <f ca="1">IF(B266=TODAY(),0,-$I$6*(Sheet1!CG264-Sheet1!CG263)*7.48/1000000)</f>
        <v>0</v>
      </c>
      <c r="J266" s="95" t="s">
        <v>177</v>
      </c>
      <c r="K266" s="94">
        <f ca="1">IF(B266=TODAY(),0,-$K$6*(Sheet1!CH264-Sheet1!CH263)*7.48/1000000)</f>
        <v>0</v>
      </c>
      <c r="L266" s="95" t="s">
        <v>177</v>
      </c>
      <c r="M266" s="94">
        <f ca="1">IF(B266=TODAY(),0,-$M$6*(Sheet1!CI264-Sheet1!CI263)*7.48/1000000)</f>
        <v>0</v>
      </c>
      <c r="N266" s="94">
        <f ca="1">IF(B266=TODAY(),0,-$N$6*(Sheet1!CJ264-Sheet1!CJ263)*7.48/1000000)</f>
        <v>1.8615703618387873E-2</v>
      </c>
      <c r="O266" s="94">
        <f t="shared" ca="1" si="53"/>
        <v>0.43996065058666051</v>
      </c>
      <c r="P266" s="94">
        <f ca="1">O266+Calculation!ES266</f>
        <v>0.43996065058666051</v>
      </c>
      <c r="Q266" s="89" t="str">
        <f>IF(Sheet1!BQ264&gt;25.75,"spill elevation","-")</f>
        <v>-</v>
      </c>
      <c r="R266" s="89" t="str">
        <f>IF(Sheet1!BQ264&gt;25.75,"spill elevation","-")</f>
        <v>-</v>
      </c>
      <c r="S266" s="89" t="str">
        <f>IF(Sheet1!BR264&gt;25.75,"spill elevation","-")</f>
        <v>-</v>
      </c>
      <c r="T266" s="93">
        <f>IF(Sheet1!DU264=1,Sheet1!AA264-(SUM(AT266:BA266)+BE266),Sheet1!AA264-SUM(AT266:BA266))</f>
        <v>25.470175999999999</v>
      </c>
      <c r="U266" s="93">
        <f>Sheet1!BV264</f>
        <v>31.1</v>
      </c>
      <c r="V266" s="93">
        <f t="shared" si="54"/>
        <v>-5.6298240000000028</v>
      </c>
      <c r="W266" s="93">
        <f>0</f>
        <v>0</v>
      </c>
      <c r="X266" s="89">
        <f>0</f>
        <v>0</v>
      </c>
      <c r="Y266" s="94">
        <f ca="1">Calculation!EJ267+Calculation!ES266+'Calculations II'!O266-'Calculations II'!W266</f>
        <v>66.889429952598718</v>
      </c>
      <c r="Z266" s="94">
        <f ca="1">Y266-Sheet1!CT265</f>
        <v>50.002429952598717</v>
      </c>
      <c r="AA266" s="94">
        <f ca="1">Y266+Calculation!DJ267+Calculation!AS267</f>
        <v>85.550220695125233</v>
      </c>
      <c r="AC266" s="94">
        <f>Sheet1!AA264+Sheet1!AB264+BC266</f>
        <v>84.472191999999993</v>
      </c>
      <c r="AD266" s="94">
        <f>Sheet1!AA264+Sheet1!BN264+'Calculations II'!BC266-Calculation!AS266-Calculation!DJ266</f>
        <v>47.169959513471902</v>
      </c>
      <c r="AE266" s="94">
        <f>Sheet1!AA264+Sheet1!AB264+'Calculations II'!BC266-Calculation!AS266-Calculation!DJ266</f>
        <v>65.769959513471889</v>
      </c>
      <c r="AF266" s="94">
        <f ca="1">Sheet1!AA264+Sheet1!BN264+P266+'Calculations II'!BC266+Calculation!AS266+Calculation!DJ266</f>
        <v>85.014385137114772</v>
      </c>
      <c r="AG266" s="94">
        <f ca="1">IF(B266=TODAY(),0,Sheet1!AA264+Sheet1!BN264+'Calculations II'!BC266+'Calculations II'!P266-Sheet1!CT264-BP266)</f>
        <v>48.532152650586653</v>
      </c>
      <c r="AH266" s="94">
        <f ca="1">IF(B266=TODAY(),0,Sheet1!AA264+Sheet1!BN264+'Calculations II'!BC266+'Calculations II'!P266-BP266)</f>
        <v>66.312152650586654</v>
      </c>
      <c r="AI266" s="94">
        <f ca="1">IF(B266=TODAY(),0,BC266+Sheet1!AA264+Calculation!ES266+O266+W266+Sheet1!BN264+Calculation!AS266+Calculation!DJ266-BP266)</f>
        <v>85.014385137114743</v>
      </c>
      <c r="AJ266" s="94"/>
      <c r="AM266" s="90">
        <f t="shared" si="55"/>
        <v>42990</v>
      </c>
      <c r="AN266" s="94">
        <f>Sheet1!BU264</f>
        <v>26.1</v>
      </c>
      <c r="AO266" s="94">
        <f>Sheet1!AA264</f>
        <v>28.4</v>
      </c>
      <c r="AP266" s="94">
        <f t="shared" ref="AP266:AP329" si="57">D266+E266</f>
        <v>-9.695000000000531E-2</v>
      </c>
      <c r="AQ266" s="1087">
        <f>((Sheet1!BV264-(Sheet1!BU264-AP266))/(Sheet1!BU264-AP266))</f>
        <v>0.18716110081517093</v>
      </c>
      <c r="AR266" s="94">
        <f t="shared" ref="AR266:AR329" si="58">AO266-AP266</f>
        <v>28.496950000000005</v>
      </c>
      <c r="AS266" s="94">
        <f t="shared" ref="AS266:AS329" si="59">AN266-AP266</f>
        <v>26.196950000000008</v>
      </c>
      <c r="AT266" s="89">
        <f>Sheet1!BB264</f>
        <v>0</v>
      </c>
      <c r="AU266" s="89">
        <f>Sheet1!AS264*GPMtoMGD</f>
        <v>3.4416000000000002E-2</v>
      </c>
      <c r="AV266" s="94">
        <f>Sheet1!AT264</f>
        <v>0</v>
      </c>
      <c r="AW266" s="89">
        <f>Sheet1!AV264*GPMtoMGD</f>
        <v>0.87696000000000007</v>
      </c>
      <c r="AX266" s="89">
        <f>Sheet1!AW264*GPMtoMGD</f>
        <v>2.0184480000000002</v>
      </c>
      <c r="AY266" s="89">
        <f>Sheet1!AX264*GPMtoMGD</f>
        <v>0</v>
      </c>
      <c r="AZ266" s="89">
        <f>Sheet1!AY264*GPMtoMGD</f>
        <v>0</v>
      </c>
      <c r="BA266" s="89">
        <f>Sheet1!AZ264*GPMtoMGD</f>
        <v>0</v>
      </c>
      <c r="BB266" s="89">
        <f>Sheet1!BP264*GPMtoMGD</f>
        <v>2.8800000000000002E-3</v>
      </c>
      <c r="BC266" s="89">
        <f>Sheet1!CS264*GPMtoMGD</f>
        <v>4.2721920000000004</v>
      </c>
      <c r="BD266" s="89">
        <f>Sheet1!BO264*GPMtoMGD</f>
        <v>3.2029920000000005</v>
      </c>
      <c r="BE266" s="89">
        <f>Sheet1!BW264*GPMtoMGD</f>
        <v>1.4921280000000001</v>
      </c>
      <c r="BF266" s="89">
        <f>Sheet1!CN264*GPMtoMGD</f>
        <v>3.3660000000000001</v>
      </c>
      <c r="BG266" s="89">
        <f>Sheet1!CO264*GPMtoMGD</f>
        <v>1.27224</v>
      </c>
      <c r="BH266" s="89">
        <f>Sheet1!CP264*GPMtoMGD</f>
        <v>0</v>
      </c>
      <c r="BI266" s="89">
        <f t="shared" si="56"/>
        <v>3.2058720000000007</v>
      </c>
      <c r="BK266" s="94">
        <f>SUM(AT266:BA266,AS266,BC266,Calculation!AQ266)</f>
        <v>66.496733513471909</v>
      </c>
      <c r="BM266" s="358">
        <f>0</f>
        <v>0</v>
      </c>
      <c r="BN266" s="358">
        <f>0</f>
        <v>0</v>
      </c>
      <c r="BP266" s="94">
        <f>SUM(BM266:BN266,W266,Sheet1!DX264)</f>
        <v>0</v>
      </c>
      <c r="BR266" s="94">
        <f>Sheet1!AA264</f>
        <v>28.4</v>
      </c>
      <c r="BS266" s="94">
        <f>Sheet1!AB264</f>
        <v>51.8</v>
      </c>
      <c r="BT266" s="94">
        <f t="shared" ca="1" si="47"/>
        <v>0.43996065058666051</v>
      </c>
      <c r="BU266" s="94">
        <f>Sheet1!AT264</f>
        <v>0</v>
      </c>
      <c r="BV266" s="89">
        <f>Sheet1!BB264</f>
        <v>0</v>
      </c>
      <c r="BW266" s="94">
        <f>Calculation!ED266</f>
        <v>18.702232486528096</v>
      </c>
      <c r="BX266" s="94">
        <f>(Sheet1!CS264*1440)/1000000</f>
        <v>4.2721920000000004</v>
      </c>
      <c r="CA266" s="94">
        <f ca="1">Sheet1!AC264-Sheet1!BK264-Sheet1!BL264-Sheet1!BM264-Sheet1!BC264-Sheet1!BD264-Sheet1!BE264-Sheet1!BF264-Sheet1!BG264-Sheet1!BH264-Sheet1!BI264+BC266+P266</f>
        <v>66.152152650586658</v>
      </c>
      <c r="CB266" s="93">
        <f t="shared" si="48"/>
        <v>95.137046343341012</v>
      </c>
      <c r="CC266" s="94">
        <f t="shared" si="49"/>
        <v>0</v>
      </c>
      <c r="CD266" s="94">
        <f t="shared" ca="1" si="50"/>
        <v>84.854385137114747</v>
      </c>
      <c r="CE266" s="1077">
        <f t="shared" ca="1" si="51"/>
        <v>131.26973380711649</v>
      </c>
      <c r="CG266" s="1077">
        <f t="shared" ca="1" si="52"/>
        <v>66.152152650586658</v>
      </c>
    </row>
    <row r="267" spans="1:85" s="89" customFormat="1" x14ac:dyDescent="0.25">
      <c r="A267" s="616" t="s">
        <v>6</v>
      </c>
      <c r="B267" s="91">
        <v>42991</v>
      </c>
      <c r="C267" s="92">
        <v>0</v>
      </c>
      <c r="D267" s="94">
        <f>(Sheet1!BQ265-Sheet1!BQ264)*1.385</f>
        <v>6.9250000000000991E-2</v>
      </c>
      <c r="E267" s="30">
        <f>(Sheet1!BR265-Sheet1!BR264)*1.385</f>
        <v>6.9250000000000991E-2</v>
      </c>
      <c r="F267" s="30">
        <f ca="1">IF(B267=TODAY(),0,-(VLOOKUP(Sheet1!CD265,Lookup!$I$4:$J$216,2)-VLOOKUP(Sheet1!CD264,Lookup!$I$4:$J$216,2))/1000000)</f>
        <v>0.20727387709559872</v>
      </c>
      <c r="G267" s="94">
        <f ca="1">IF(B267=TODAY(),0,-$G$6*(Sheet1!CF265-Sheet1!CF264)*7.48/1000000)</f>
        <v>-0.43684851157815141</v>
      </c>
      <c r="H267" s="94">
        <f ca="1">IF(B267=TODAY(),0,-$H$6*(Sheet1!CE265-Sheet1!CE264)*7.48/1000000)</f>
        <v>-1.5039432351265274E-2</v>
      </c>
      <c r="I267" s="94">
        <f ca="1">IF(B267=TODAY(),0,-$I$6*(Sheet1!CG265-Sheet1!CG264)*7.48/1000000)</f>
        <v>-4.4924879999999837E-3</v>
      </c>
      <c r="J267" s="95" t="s">
        <v>177</v>
      </c>
      <c r="K267" s="94">
        <f ca="1">IF(B267=TODAY(),0,-$K$6*(Sheet1!CH265-Sheet1!CH264)*7.48/1000000)</f>
        <v>-9.9949805616876882E-3</v>
      </c>
      <c r="L267" s="95" t="s">
        <v>177</v>
      </c>
      <c r="M267" s="94">
        <f ca="1">IF(B267=TODAY(),0,-$M$6*(Sheet1!CI265-Sheet1!CI264)*7.48/1000000)</f>
        <v>0</v>
      </c>
      <c r="N267" s="94">
        <f ca="1">IF(B267=TODAY(),0,-$N$6*(Sheet1!CJ265-Sheet1!CJ264)*7.48/1000000)</f>
        <v>6.8257579934085932E-2</v>
      </c>
      <c r="O267" s="94">
        <f t="shared" ca="1" si="53"/>
        <v>-0.19084395546141975</v>
      </c>
      <c r="P267" s="94">
        <f ca="1">O267+Calculation!ES267</f>
        <v>-0.32948257119626512</v>
      </c>
      <c r="Q267" s="89" t="str">
        <f>IF(Sheet1!BQ265&gt;25.75,"spill elevation","-")</f>
        <v>-</v>
      </c>
      <c r="R267" s="89" t="str">
        <f>IF(Sheet1!BQ265&gt;25.75,"spill elevation","-")</f>
        <v>-</v>
      </c>
      <c r="S267" s="89" t="str">
        <f>IF(Sheet1!BR265&gt;25.75,"spill elevation","-")</f>
        <v>-</v>
      </c>
      <c r="T267" s="93">
        <f>IF(Sheet1!DU265=1,Sheet1!AA265-(SUM(AT267:BA267)+BE267),Sheet1!AA265-SUM(AT267:BA267))</f>
        <v>25.444607999999999</v>
      </c>
      <c r="U267" s="93">
        <f>Sheet1!BV265</f>
        <v>30.8</v>
      </c>
      <c r="V267" s="93">
        <f t="shared" si="54"/>
        <v>-5.3553920000000019</v>
      </c>
      <c r="W267" s="93">
        <f>0</f>
        <v>0</v>
      </c>
      <c r="X267" s="89">
        <f>0</f>
        <v>0</v>
      </c>
      <c r="Y267" s="94">
        <f ca="1">Calculation!EJ268+Calculation!ES267+'Calculations II'!O267-'Calculations II'!W267</f>
        <v>64.794590571899718</v>
      </c>
      <c r="Z267" s="94">
        <f ca="1">Y267-Sheet1!CT266</f>
        <v>48.294590571899718</v>
      </c>
      <c r="AA267" s="94">
        <f ca="1">Y267+Calculation!DJ268+Calculation!AS268</f>
        <v>83.606989602594382</v>
      </c>
      <c r="AC267" s="94">
        <f>Sheet1!AA265+Sheet1!AB265+BC267</f>
        <v>84.645712000000003</v>
      </c>
      <c r="AD267" s="94">
        <f>Sheet1!AA265+Sheet1!BN265+'Calculations II'!BC267-Calculation!AS267-Calculation!DJ267</f>
        <v>47.304921257473481</v>
      </c>
      <c r="AE267" s="94">
        <f>Sheet1!AA265+Sheet1!AB265+'Calculations II'!BC267-Calculation!AS267-Calculation!DJ267</f>
        <v>65.984921257473488</v>
      </c>
      <c r="AF267" s="94">
        <f ca="1">Sheet1!AA265+Sheet1!BN265+P267+'Calculations II'!BC267+Calculation!AS267+Calculation!DJ267</f>
        <v>84.29702017133026</v>
      </c>
      <c r="AG267" s="94">
        <f ca="1">IF(B267=TODAY(),0,Sheet1!AA265+Sheet1!BN265+'Calculations II'!BC267+'Calculations II'!P267-Sheet1!CT265-BP267)</f>
        <v>48.74922942880373</v>
      </c>
      <c r="AH267" s="94">
        <f ca="1">IF(B267=TODAY(),0,Sheet1!AA265+Sheet1!BN265+'Calculations II'!BC267+'Calculations II'!P267-BP267)</f>
        <v>65.63622942880373</v>
      </c>
      <c r="AI267" s="94">
        <f ca="1">IF(B267=TODAY(),0,BC267+Sheet1!AA265+Calculation!ES267+O267+W267+Sheet1!BN265+Calculation!AS267+Calculation!DJ267-BP267)</f>
        <v>84.29702017133026</v>
      </c>
      <c r="AJ267" s="94"/>
      <c r="AM267" s="90">
        <f t="shared" si="55"/>
        <v>42991</v>
      </c>
      <c r="AN267" s="94">
        <f>Sheet1!BU265</f>
        <v>26.1</v>
      </c>
      <c r="AO267" s="94">
        <f>Sheet1!AA265</f>
        <v>28.5</v>
      </c>
      <c r="AP267" s="94">
        <f t="shared" si="57"/>
        <v>0.13850000000000198</v>
      </c>
      <c r="AQ267" s="1087">
        <f>((Sheet1!BV265-(Sheet1!BU265-AP267))/(Sheet1!BU265-AP267))</f>
        <v>0.18637212795870808</v>
      </c>
      <c r="AR267" s="94">
        <f t="shared" si="58"/>
        <v>28.361499999999999</v>
      </c>
      <c r="AS267" s="94">
        <f t="shared" si="59"/>
        <v>25.961500000000001</v>
      </c>
      <c r="AT267" s="89">
        <f>Sheet1!BB265</f>
        <v>0</v>
      </c>
      <c r="AU267" s="89">
        <f>Sheet1!AS265*GPMtoMGD</f>
        <v>3.4704000000000006E-2</v>
      </c>
      <c r="AV267" s="94">
        <f>Sheet1!AT265</f>
        <v>0</v>
      </c>
      <c r="AW267" s="89">
        <f>Sheet1!AV265*GPMtoMGD</f>
        <v>1.364976</v>
      </c>
      <c r="AX267" s="89">
        <f>Sheet1!AW265*GPMtoMGD</f>
        <v>1.6557120000000001</v>
      </c>
      <c r="AY267" s="89">
        <f>Sheet1!AX265*GPMtoMGD</f>
        <v>0</v>
      </c>
      <c r="AZ267" s="89">
        <f>Sheet1!AY265*GPMtoMGD</f>
        <v>0</v>
      </c>
      <c r="BA267" s="89">
        <f>Sheet1!AZ265*GPMtoMGD</f>
        <v>0</v>
      </c>
      <c r="BB267" s="89">
        <f>Sheet1!BP265*GPMtoMGD</f>
        <v>2.8800000000000002E-3</v>
      </c>
      <c r="BC267" s="89">
        <f>Sheet1!CS265*GPMtoMGD</f>
        <v>4.2657120000000006</v>
      </c>
      <c r="BD267" s="89">
        <f>Sheet1!BO265*GPMtoMGD</f>
        <v>3.2073120000000004</v>
      </c>
      <c r="BE267" s="89">
        <f>Sheet1!BW265*GPMtoMGD</f>
        <v>1.4716800000000001</v>
      </c>
      <c r="BF267" s="89">
        <f>Sheet1!CN265*GPMtoMGD</f>
        <v>3.4348320000000006</v>
      </c>
      <c r="BG267" s="89">
        <f>Sheet1!CO265*GPMtoMGD</f>
        <v>1.2863519999999999</v>
      </c>
      <c r="BH267" s="89">
        <f>Sheet1!CP265*GPMtoMGD</f>
        <v>0</v>
      </c>
      <c r="BI267" s="89">
        <f t="shared" si="56"/>
        <v>3.2101920000000006</v>
      </c>
      <c r="BK267" s="94">
        <f>SUM(AT267:BA267,AS267,BC267,Calculation!AQ267)</f>
        <v>66.501813257473486</v>
      </c>
      <c r="BM267" s="358">
        <f>0</f>
        <v>0</v>
      </c>
      <c r="BN267" s="358">
        <f>0</f>
        <v>0</v>
      </c>
      <c r="BP267" s="94">
        <f>SUM(BM267:BN267,W267,Sheet1!DX265)</f>
        <v>0</v>
      </c>
      <c r="BR267" s="94">
        <f>Sheet1!AA265</f>
        <v>28.5</v>
      </c>
      <c r="BS267" s="94">
        <f>Sheet1!AB265</f>
        <v>51.88</v>
      </c>
      <c r="BT267" s="94">
        <f t="shared" ca="1" si="47"/>
        <v>-0.32948257119626512</v>
      </c>
      <c r="BU267" s="94">
        <f>Sheet1!AT265</f>
        <v>0</v>
      </c>
      <c r="BV267" s="89">
        <f>Sheet1!BB265</f>
        <v>0</v>
      </c>
      <c r="BW267" s="94">
        <f>Calculation!ED267</f>
        <v>18.660790742526519</v>
      </c>
      <c r="BX267" s="94">
        <f>(Sheet1!CS265*1440)/1000000</f>
        <v>4.2657119999999997</v>
      </c>
      <c r="CA267" s="94">
        <f ca="1">Sheet1!AC265-Sheet1!BK265-Sheet1!BL265-Sheet1!BM265-Sheet1!BC265-Sheet1!BD265-Sheet1!BE265-Sheet1!BF265-Sheet1!BG265-Sheet1!BH265-Sheet1!BI265+BC267+P267</f>
        <v>65.666229428803732</v>
      </c>
      <c r="CB267" s="93">
        <f t="shared" si="48"/>
        <v>95.479616721311473</v>
      </c>
      <c r="CC267" s="94">
        <f t="shared" si="49"/>
        <v>0</v>
      </c>
      <c r="CD267" s="94">
        <f t="shared" ca="1" si="50"/>
        <v>84.327020171330247</v>
      </c>
      <c r="CE267" s="1077">
        <f t="shared" ca="1" si="51"/>
        <v>130.45390020504789</v>
      </c>
      <c r="CG267" s="1077">
        <f t="shared" ca="1" si="52"/>
        <v>65.666229428803732</v>
      </c>
    </row>
    <row r="268" spans="1:85" s="89" customFormat="1" x14ac:dyDescent="0.25">
      <c r="A268" s="616" t="s">
        <v>7</v>
      </c>
      <c r="B268" s="91">
        <v>42992</v>
      </c>
      <c r="C268" s="92">
        <v>0</v>
      </c>
      <c r="D268" s="94">
        <f>(Sheet1!BQ266-Sheet1!BQ265)*1.385</f>
        <v>0.7201999999999994</v>
      </c>
      <c r="E268" s="30">
        <f>(Sheet1!BR266-Sheet1!BR265)*1.385</f>
        <v>0.6925</v>
      </c>
      <c r="F268" s="30">
        <f ca="1">IF(B268=TODAY(),0,-(VLOOKUP(Sheet1!CD266,Lookup!$I$4:$J$216,2)-VLOOKUP(Sheet1!CD265,Lookup!$I$4:$J$216,2))/1000000)</f>
        <v>0.41454775419120493</v>
      </c>
      <c r="G268" s="94">
        <f ca="1">IF(B268=TODAY(),0,-$G$6*(Sheet1!CF266-Sheet1!CF265)*7.48/1000000)</f>
        <v>0.39713501052559297</v>
      </c>
      <c r="H268" s="94">
        <f ca="1">IF(B268=TODAY(),0,-$H$6*(Sheet1!CE266-Sheet1!CE265)*7.48/1000000)</f>
        <v>0</v>
      </c>
      <c r="I268" s="94">
        <f ca="1">IF(B268=TODAY(),0,-$I$6*(Sheet1!CG266-Sheet1!CG265)*7.48/1000000)</f>
        <v>1.3477463999999953E-2</v>
      </c>
      <c r="J268" s="95" t="s">
        <v>177</v>
      </c>
      <c r="K268" s="94">
        <f ca="1">IF(B268=TODAY(),0,-$K$6*(Sheet1!CH266-Sheet1!CH265)*7.48/1000000)</f>
        <v>2.3321621310604522E-2</v>
      </c>
      <c r="L268" s="95" t="s">
        <v>177</v>
      </c>
      <c r="M268" s="94">
        <f ca="1">IF(B268=TODAY(),0,-$M$6*(Sheet1!CI266-Sheet1!CI265)*7.48/1000000)</f>
        <v>3.5983016856054602E-2</v>
      </c>
      <c r="N268" s="94">
        <f ca="1">IF(B268=TODAY(),0,-$N$6*(Sheet1!CJ266-Sheet1!CJ265)*7.48/1000000)</f>
        <v>0.37851930690720542</v>
      </c>
      <c r="O268" s="94">
        <f t="shared" ca="1" si="53"/>
        <v>1.2629841737906624</v>
      </c>
      <c r="P268" s="94">
        <f ca="1">O268+Calculation!ES268</f>
        <v>-0.12333787949039166</v>
      </c>
      <c r="Q268" s="89" t="str">
        <f>IF(Sheet1!BQ266&gt;25.75,"spill elevation","-")</f>
        <v>-</v>
      </c>
      <c r="R268" s="89" t="str">
        <f>IF(Sheet1!BQ266&gt;25.75,"spill elevation","-")</f>
        <v>-</v>
      </c>
      <c r="S268" s="89" t="str">
        <f>IF(Sheet1!BR266&gt;25.75,"spill elevation","-")</f>
        <v>-</v>
      </c>
      <c r="T268" s="93">
        <f>IF(Sheet1!DU266=1,Sheet1!AA266-(SUM(AT268:BA268)+BE268),Sheet1!AA266-SUM(AT268:BA268))</f>
        <v>25.789919999999999</v>
      </c>
      <c r="U268" s="93">
        <f>Sheet1!BV266</f>
        <v>29.5</v>
      </c>
      <c r="V268" s="93">
        <f t="shared" si="54"/>
        <v>-3.7100800000000014</v>
      </c>
      <c r="W268" s="93">
        <f>0</f>
        <v>0</v>
      </c>
      <c r="X268" s="89">
        <f>0</f>
        <v>0</v>
      </c>
      <c r="Y268" s="94">
        <f ca="1">Calculation!EJ269+Calculation!ES268+'Calculations II'!O268-'Calculations II'!W268</f>
        <v>59.074226711291466</v>
      </c>
      <c r="Z268" s="94">
        <f ca="1">Y268-Sheet1!CT267</f>
        <v>42.398226711291471</v>
      </c>
      <c r="AA268" s="94">
        <f ca="1">Y268+Calculation!DJ269+Calculation!AS269</f>
        <v>77.979924840913043</v>
      </c>
      <c r="AC268" s="94">
        <f>Sheet1!AA266+Sheet1!AB266+BC268</f>
        <v>82.263407999999998</v>
      </c>
      <c r="AD268" s="94">
        <f>Sheet1!AA266+Sheet1!BN266+'Calculations II'!BC268-Calculation!AS268-Calculation!DJ268</f>
        <v>44.65100896930533</v>
      </c>
      <c r="AE268" s="94">
        <f>Sheet1!AA266+Sheet1!AB266+'Calculations II'!BC268-Calculation!AS268-Calculation!DJ268</f>
        <v>63.451008969305327</v>
      </c>
      <c r="AF268" s="94">
        <f ca="1">Sheet1!AA266+Sheet1!BN266+P268+'Calculations II'!BC268+Calculation!AS268+Calculation!DJ268</f>
        <v>82.152469151204286</v>
      </c>
      <c r="AG268" s="94">
        <f ca="1">IF(B268=TODAY(),0,Sheet1!AA266+Sheet1!BN266+'Calculations II'!BC268+'Calculations II'!P268-Sheet1!CT266-BP268)</f>
        <v>46.840070120509608</v>
      </c>
      <c r="AH268" s="94">
        <f ca="1">IF(B268=TODAY(),0,Sheet1!AA266+Sheet1!BN266+'Calculations II'!BC268+'Calculations II'!P268-BP268)</f>
        <v>63.340070120509608</v>
      </c>
      <c r="AI268" s="94">
        <f ca="1">IF(B268=TODAY(),0,BC268+Sheet1!AA266+Calculation!ES268+O268+W268+Sheet1!BN266+Calculation!AS268+Calculation!DJ268-BP268)</f>
        <v>82.152469151204286</v>
      </c>
      <c r="AJ268" s="94"/>
      <c r="AM268" s="90">
        <f t="shared" si="55"/>
        <v>42992</v>
      </c>
      <c r="AN268" s="94">
        <f>Sheet1!BU266</f>
        <v>26.2</v>
      </c>
      <c r="AO268" s="94">
        <f>Sheet1!AA266</f>
        <v>28.5</v>
      </c>
      <c r="AP268" s="94">
        <f t="shared" si="57"/>
        <v>1.4126999999999994</v>
      </c>
      <c r="AQ268" s="1087">
        <f>((Sheet1!BV266-(Sheet1!BU266-AP268))/(Sheet1!BU266-AP268))</f>
        <v>0.19012558850701777</v>
      </c>
      <c r="AR268" s="94">
        <f t="shared" si="58"/>
        <v>27.087299999999999</v>
      </c>
      <c r="AS268" s="94">
        <f t="shared" si="59"/>
        <v>24.787299999999998</v>
      </c>
      <c r="AT268" s="89">
        <f>Sheet1!BB266</f>
        <v>0</v>
      </c>
      <c r="AU268" s="89">
        <f>Sheet1!AS266*GPMtoMGD</f>
        <v>3.6864000000000001E-2</v>
      </c>
      <c r="AV268" s="94">
        <f>Sheet1!AT266</f>
        <v>0</v>
      </c>
      <c r="AW268" s="89">
        <f>Sheet1!AV266*GPMtoMGD</f>
        <v>1.0450080000000002</v>
      </c>
      <c r="AX268" s="89">
        <f>Sheet1!AW266*GPMtoMGD</f>
        <v>1.6282080000000001</v>
      </c>
      <c r="AY268" s="89">
        <f>Sheet1!AX266*GPMtoMGD</f>
        <v>0</v>
      </c>
      <c r="AZ268" s="89">
        <f>Sheet1!AY266*GPMtoMGD</f>
        <v>0</v>
      </c>
      <c r="BA268" s="89">
        <f>Sheet1!AZ266*GPMtoMGD</f>
        <v>0</v>
      </c>
      <c r="BB268" s="89">
        <f>Sheet1!BP266*GPMtoMGD</f>
        <v>3.0240000000000002E-3</v>
      </c>
      <c r="BC268" s="89">
        <f>Sheet1!CS266*GPMtoMGD</f>
        <v>4.2634080000000001</v>
      </c>
      <c r="BD268" s="89">
        <f>Sheet1!BO266*GPMtoMGD</f>
        <v>2.9868479999999997</v>
      </c>
      <c r="BE268" s="89">
        <f>Sheet1!BW266*GPMtoMGD</f>
        <v>1.5216480000000001</v>
      </c>
      <c r="BF268" s="89">
        <f>Sheet1!CN266*GPMtoMGD</f>
        <v>2.6694720000000003</v>
      </c>
      <c r="BG268" s="89">
        <f>Sheet1!CO266*GPMtoMGD</f>
        <v>1.1921760000000001</v>
      </c>
      <c r="BH268" s="89">
        <f>Sheet1!CP266*GPMtoMGD</f>
        <v>0</v>
      </c>
      <c r="BI268" s="89">
        <f t="shared" si="56"/>
        <v>2.9898719999999996</v>
      </c>
      <c r="BK268" s="94">
        <f>SUM(AT268:BA268,AS268,BC268,Calculation!AQ268)</f>
        <v>62.448388969305327</v>
      </c>
      <c r="BM268" s="358">
        <f>0</f>
        <v>0</v>
      </c>
      <c r="BN268" s="358">
        <f>0</f>
        <v>0</v>
      </c>
      <c r="BP268" s="94">
        <f>SUM(BM268:BN268,W268,Sheet1!DX266)</f>
        <v>0</v>
      </c>
      <c r="BR268" s="94">
        <f>Sheet1!AA266</f>
        <v>28.5</v>
      </c>
      <c r="BS268" s="94">
        <f>Sheet1!AB266</f>
        <v>49.5</v>
      </c>
      <c r="BT268" s="94">
        <f t="shared" ca="1" si="47"/>
        <v>-0.12333787949039166</v>
      </c>
      <c r="BU268" s="94">
        <f>Sheet1!AT266</f>
        <v>0</v>
      </c>
      <c r="BV268" s="89">
        <f>Sheet1!BB266</f>
        <v>0</v>
      </c>
      <c r="BW268" s="94">
        <f>Calculation!ED268</f>
        <v>18.812399030694671</v>
      </c>
      <c r="BX268" s="94">
        <f>(Sheet1!CS266*1440)/1000000</f>
        <v>4.2634080000000001</v>
      </c>
      <c r="CA268" s="94">
        <f ca="1">Sheet1!AC266-Sheet1!BK266-Sheet1!BL266-Sheet1!BM266-Sheet1!BC266-Sheet1!BD266-Sheet1!BE266-Sheet1!BF266-Sheet1!BG266-Sheet1!BH266-Sheet1!BI266+BC268+P268</f>
        <v>63.320070120509612</v>
      </c>
      <c r="CB268" s="93">
        <f t="shared" si="48"/>
        <v>91.563218699515346</v>
      </c>
      <c r="CC268" s="94">
        <f t="shared" si="49"/>
        <v>0</v>
      </c>
      <c r="CD268" s="94">
        <f t="shared" ca="1" si="50"/>
        <v>82.132469151204276</v>
      </c>
      <c r="CE268" s="1077">
        <f t="shared" ca="1" si="51"/>
        <v>127.058929776913</v>
      </c>
      <c r="CG268" s="1077">
        <f t="shared" ca="1" si="52"/>
        <v>63.320070120509612</v>
      </c>
    </row>
    <row r="269" spans="1:85" s="89" customFormat="1" x14ac:dyDescent="0.25">
      <c r="A269" s="616" t="s">
        <v>8</v>
      </c>
      <c r="B269" s="91">
        <v>42993</v>
      </c>
      <c r="C269" s="92">
        <v>0</v>
      </c>
      <c r="D269" s="94">
        <f>(Sheet1!BQ267-Sheet1!BQ266)*1.385</f>
        <v>-2.6037999999999988</v>
      </c>
      <c r="E269" s="30">
        <f>(Sheet1!BR267-Sheet1!BR266)*1.385</f>
        <v>-2.6453500000000001</v>
      </c>
      <c r="F269" s="30">
        <f ca="1">IF(B269=TODAY(),0,-(VLOOKUP(Sheet1!CD267,Lookup!$I$4:$J$216,2)-VLOOKUP(Sheet1!CD266,Lookup!$I$4:$J$216,2))/1000000)</f>
        <v>-0.51818469273900425</v>
      </c>
      <c r="G269" s="94">
        <f ca="1">IF(B269=TODAY(),0,-$G$6*(Sheet1!CF267-Sheet1!CF266)*7.48/1000000)</f>
        <v>0.15885400421023663</v>
      </c>
      <c r="H269" s="94">
        <f ca="1">IF(B269=TODAY(),0,-$H$6*(Sheet1!CE267-Sheet1!CE266)*7.48/1000000)</f>
        <v>-1.5039432351264204E-2</v>
      </c>
      <c r="I269" s="94">
        <f ca="1">IF(B269=TODAY(),0,-$I$6*(Sheet1!CG267-Sheet1!CG266)*7.48/1000000)</f>
        <v>1.7969952000000015E-2</v>
      </c>
      <c r="J269" s="95" t="s">
        <v>177</v>
      </c>
      <c r="K269" s="94">
        <f ca="1">IF(B269=TODAY(),0,-$K$6*(Sheet1!CH267-Sheet1!CH266)*7.48/1000000)</f>
        <v>3.3316601872292212E-2</v>
      </c>
      <c r="L269" s="95" t="s">
        <v>177</v>
      </c>
      <c r="M269" s="94">
        <f ca="1">IF(B269=TODAY(),0,-$M$6*(Sheet1!CI267-Sheet1!CI266)*7.48/1000000)</f>
        <v>0.10794905056816191</v>
      </c>
      <c r="N269" s="94">
        <f ca="1">IF(B269=TODAY(),0,-$N$6*(Sheet1!CJ267-Sheet1!CJ266)*7.48/1000000)</f>
        <v>-0.49641876315699052</v>
      </c>
      <c r="O269" s="94">
        <f t="shared" ca="1" si="53"/>
        <v>-0.71155327959656822</v>
      </c>
      <c r="P269" s="94">
        <f ca="1">O269+Calculation!ES269</f>
        <v>4.693314101601219</v>
      </c>
      <c r="Q269" s="89" t="str">
        <f>IF(Sheet1!BQ267&gt;25.75,"spill elevation","-")</f>
        <v>-</v>
      </c>
      <c r="R269" s="89" t="str">
        <f>IF(Sheet1!BQ267&gt;25.75,"spill elevation","-")</f>
        <v>-</v>
      </c>
      <c r="S269" s="89" t="str">
        <f>IF(Sheet1!BR267&gt;25.75,"spill elevation","-")</f>
        <v>-</v>
      </c>
      <c r="T269" s="93">
        <f>IF(Sheet1!DU267=1,Sheet1!AA267-(SUM(AT269:BA269)+BE269),Sheet1!AA267-SUM(AT269:BA269))</f>
        <v>25.651471999999998</v>
      </c>
      <c r="U269" s="93">
        <f>Sheet1!BV267</f>
        <v>36.6</v>
      </c>
      <c r="V269" s="93">
        <f t="shared" si="54"/>
        <v>-10.948528000000003</v>
      </c>
      <c r="W269" s="93">
        <f>0</f>
        <v>0</v>
      </c>
      <c r="X269" s="89">
        <f>0</f>
        <v>0</v>
      </c>
      <c r="Y269" s="94">
        <f ca="1">Calculation!EJ270+Calculation!ES269+'Calculations II'!O269-'Calculations II'!W269</f>
        <v>65.508269780092178</v>
      </c>
      <c r="Z269" s="94">
        <f ca="1">Y269-Sheet1!CT268</f>
        <v>48.580269780092181</v>
      </c>
      <c r="AA269" s="94">
        <f ca="1">Y269+Calculation!DJ270+Calculation!AS270</f>
        <v>83.938091402889654</v>
      </c>
      <c r="AC269" s="94">
        <f>Sheet1!AA267+Sheet1!AB267+BC269</f>
        <v>78.466287999999992</v>
      </c>
      <c r="AD269" s="94">
        <f>Sheet1!AA267+Sheet1!BN267+'Calculations II'!BC269-Calculation!AS269-Calculation!DJ269</f>
        <v>40.760589870378425</v>
      </c>
      <c r="AE269" s="94">
        <f>Sheet1!AA267+Sheet1!AB267+'Calculations II'!BC269-Calculation!AS269-Calculation!DJ269</f>
        <v>59.560589870378422</v>
      </c>
      <c r="AF269" s="94">
        <f ca="1">Sheet1!AA267+Sheet1!BN267+P269+'Calculations II'!BC269+Calculation!AS269+Calculation!DJ269</f>
        <v>83.265300231222781</v>
      </c>
      <c r="AG269" s="94">
        <f ca="1">IF(B269=TODAY(),0,Sheet1!AA267+Sheet1!BN267+'Calculations II'!BC269+'Calculations II'!P269-Sheet1!CT267-BP269)</f>
        <v>47.683602101601224</v>
      </c>
      <c r="AH269" s="94">
        <f ca="1">IF(B269=TODAY(),0,Sheet1!AA267+Sheet1!BN267+'Calculations II'!BC269+'Calculations II'!P269-BP269)</f>
        <v>64.359602101601226</v>
      </c>
      <c r="AI269" s="94">
        <f ca="1">IF(B269=TODAY(),0,BC269+Sheet1!AA267+Calculation!ES269+O269+W269+Sheet1!BN267+Calculation!AS269+Calculation!DJ269-BP269)</f>
        <v>83.265300231222795</v>
      </c>
      <c r="AJ269" s="94"/>
      <c r="AM269" s="90">
        <f t="shared" si="55"/>
        <v>42993</v>
      </c>
      <c r="AN269" s="94">
        <f>Sheet1!BU267</f>
        <v>26</v>
      </c>
      <c r="AO269" s="94">
        <f>Sheet1!AA267</f>
        <v>28.4</v>
      </c>
      <c r="AP269" s="94">
        <f t="shared" si="57"/>
        <v>-5.2491499999999984</v>
      </c>
      <c r="AQ269" s="1087">
        <f>((Sheet1!BV267-(Sheet1!BU267-AP269))/(Sheet1!BU267-AP269))</f>
        <v>0.17123185750652423</v>
      </c>
      <c r="AR269" s="94">
        <f t="shared" si="58"/>
        <v>33.649149999999999</v>
      </c>
      <c r="AS269" s="94">
        <f t="shared" si="59"/>
        <v>31.24915</v>
      </c>
      <c r="AT269" s="89">
        <f>Sheet1!BB267</f>
        <v>0</v>
      </c>
      <c r="AU269" s="89">
        <f>Sheet1!AS267*GPMtoMGD</f>
        <v>3.6144000000000003E-2</v>
      </c>
      <c r="AV269" s="94">
        <f>Sheet1!AT267</f>
        <v>0</v>
      </c>
      <c r="AW269" s="89">
        <f>Sheet1!AV267*GPMtoMGD</f>
        <v>1.0427040000000001</v>
      </c>
      <c r="AX269" s="89">
        <f>Sheet1!AW267*GPMtoMGD</f>
        <v>1.669392</v>
      </c>
      <c r="AY269" s="89">
        <f>Sheet1!AX267*GPMtoMGD</f>
        <v>2.8800000000000001E-4</v>
      </c>
      <c r="AZ269" s="89">
        <f>Sheet1!AY267*GPMtoMGD</f>
        <v>0</v>
      </c>
      <c r="BA269" s="89">
        <f>Sheet1!AZ267*GPMtoMGD</f>
        <v>0</v>
      </c>
      <c r="BB269" s="89">
        <f>Sheet1!BP267*GPMtoMGD</f>
        <v>3.1680000000000002E-3</v>
      </c>
      <c r="BC269" s="89">
        <f>Sheet1!CS267*GPMtoMGD</f>
        <v>4.2662880000000003</v>
      </c>
      <c r="BD269" s="89">
        <f>Sheet1!BO267*GPMtoMGD</f>
        <v>3.031488</v>
      </c>
      <c r="BE269" s="89">
        <f>Sheet1!BW267*GPMtoMGD</f>
        <v>1.4952960000000002</v>
      </c>
      <c r="BF269" s="89">
        <f>Sheet1!CN267*GPMtoMGD</f>
        <v>2.4838560000000003</v>
      </c>
      <c r="BG269" s="89">
        <f>Sheet1!CO267*GPMtoMGD</f>
        <v>1.1990880000000002</v>
      </c>
      <c r="BH269" s="89">
        <f>Sheet1!CP267*GPMtoMGD</f>
        <v>0</v>
      </c>
      <c r="BI269" s="89">
        <f t="shared" si="56"/>
        <v>3.034656</v>
      </c>
      <c r="BK269" s="94">
        <f>SUM(AT269:BA269,AS269,BC269,Calculation!AQ269)</f>
        <v>65.158267870378424</v>
      </c>
      <c r="BM269" s="358">
        <f>0</f>
        <v>0</v>
      </c>
      <c r="BN269" s="358">
        <f>0</f>
        <v>0</v>
      </c>
      <c r="BP269" s="94">
        <f>SUM(BM269:BN269,W269,Sheet1!DX267)</f>
        <v>0</v>
      </c>
      <c r="BR269" s="94">
        <f>Sheet1!AA267</f>
        <v>28.4</v>
      </c>
      <c r="BS269" s="94">
        <f>Sheet1!AB267</f>
        <v>45.8</v>
      </c>
      <c r="BT269" s="94">
        <f t="shared" ref="BT269:BT332" ca="1" si="60">P269</f>
        <v>4.693314101601219</v>
      </c>
      <c r="BU269" s="94">
        <f>Sheet1!AT267</f>
        <v>0</v>
      </c>
      <c r="BV269" s="89">
        <f>Sheet1!BB267</f>
        <v>0</v>
      </c>
      <c r="BW269" s="94">
        <f>Calculation!ED269</f>
        <v>18.905698129621573</v>
      </c>
      <c r="BX269" s="94">
        <f>(Sheet1!CS267*1440)/1000000</f>
        <v>4.2662880000000003</v>
      </c>
      <c r="CA269" s="94">
        <f ca="1">Sheet1!AC267-Sheet1!BK267-Sheet1!BL267-Sheet1!BM267-Sheet1!BC267-Sheet1!BD267-Sheet1!BE267-Sheet1!BF267-Sheet1!BG267-Sheet1!BH267-Sheet1!BI267+BC269+P269</f>
        <v>64.179602101601205</v>
      </c>
      <c r="CB269" s="93">
        <f t="shared" ref="CB269:CB332" si="61">(BR269+BS269-BW269)*1.547</f>
        <v>85.54028499347541</v>
      </c>
      <c r="CC269" s="94">
        <f t="shared" ref="CC269:CC332" si="62">BU269+BV269</f>
        <v>0</v>
      </c>
      <c r="CD269" s="94">
        <f t="shared" ref="CD269:CD332" ca="1" si="63">CA269+BW269</f>
        <v>83.085300231222774</v>
      </c>
      <c r="CE269" s="1077">
        <f t="shared" ref="CE269:CE332" ca="1" si="64">CD269*1.547</f>
        <v>128.53295945770162</v>
      </c>
      <c r="CG269" s="1077">
        <f t="shared" ref="CG269:CG332" ca="1" si="65">CA269-BU269-BV269-BP269</f>
        <v>64.179602101601205</v>
      </c>
    </row>
    <row r="270" spans="1:85" s="89" customFormat="1" x14ac:dyDescent="0.25">
      <c r="A270" s="616" t="s">
        <v>9</v>
      </c>
      <c r="B270" s="91">
        <v>42994</v>
      </c>
      <c r="C270" s="92">
        <v>0</v>
      </c>
      <c r="D270" s="94">
        <f>(Sheet1!BQ268-Sheet1!BQ267)*1.385</f>
        <v>0.13850000000000198</v>
      </c>
      <c r="E270" s="30">
        <f>(Sheet1!BR268-Sheet1!BR267)*1.385</f>
        <v>0.13850000000000198</v>
      </c>
      <c r="F270" s="30">
        <f ca="1">IF(B270=TODAY(),0,-(VLOOKUP(Sheet1!CD268,Lookup!$I$4:$J$216,2)-VLOOKUP(Sheet1!CD267,Lookup!$I$4:$J$216,2))/1000000)</f>
        <v>0.82909550838240231</v>
      </c>
      <c r="G270" s="94">
        <f ca="1">IF(B270=TODAY(),0,-$G$6*(Sheet1!CF268-Sheet1!CF267)*7.48/1000000)</f>
        <v>-1.1119780294716608</v>
      </c>
      <c r="H270" s="94">
        <f ca="1">IF(B270=TODAY(),0,-$H$6*(Sheet1!CE268-Sheet1!CE267)*7.48/1000000)</f>
        <v>-1.5039432351265274E-2</v>
      </c>
      <c r="I270" s="94">
        <f ca="1">IF(B270=TODAY(),0,-$I$6*(Sheet1!CG268-Sheet1!CG267)*7.48/1000000)</f>
        <v>0</v>
      </c>
      <c r="J270" s="95" t="s">
        <v>177</v>
      </c>
      <c r="K270" s="94">
        <f ca="1">IF(B270=TODAY(),0,-$K$6*(Sheet1!CH268-Sheet1!CH267)*7.48/1000000)</f>
        <v>0</v>
      </c>
      <c r="L270" s="95" t="s">
        <v>177</v>
      </c>
      <c r="M270" s="94">
        <f ca="1">IF(B270=TODAY(),0,-$M$6*(Sheet1!CI268-Sheet1!CI267)*7.48/1000000)</f>
        <v>-1.7991508428026663E-2</v>
      </c>
      <c r="N270" s="94">
        <f ca="1">IF(B270=TODAY(),0,-$N$6*(Sheet1!CJ268-Sheet1!CJ267)*7.48/1000000)</f>
        <v>0.49641876315699052</v>
      </c>
      <c r="O270" s="94">
        <f t="shared" ca="1" si="53"/>
        <v>0.18050530128844011</v>
      </c>
      <c r="P270" s="94">
        <f ca="1">O270+Calculation!ES270</f>
        <v>-9.6547563876096865E-2</v>
      </c>
      <c r="Q270" s="89" t="str">
        <f>IF(Sheet1!BQ268&gt;25.75,"spill elevation","-")</f>
        <v>-</v>
      </c>
      <c r="R270" s="89" t="str">
        <f>IF(Sheet1!BQ268&gt;25.75,"spill elevation","-")</f>
        <v>-</v>
      </c>
      <c r="S270" s="89" t="str">
        <f>IF(Sheet1!BR268&gt;25.75,"spill elevation","-")</f>
        <v>-</v>
      </c>
      <c r="T270" s="93">
        <f>IF(Sheet1!DU268=1,Sheet1!AA268-(SUM(AT270:BA270)+BE270),Sheet1!AA268-SUM(AT270:BA270))</f>
        <v>26.072015999999998</v>
      </c>
      <c r="U270" s="93">
        <f>Sheet1!BV268</f>
        <v>31.5</v>
      </c>
      <c r="V270" s="93">
        <f t="shared" si="54"/>
        <v>-5.4279840000000021</v>
      </c>
      <c r="W270" s="93">
        <f>0</f>
        <v>0</v>
      </c>
      <c r="X270" s="89">
        <f>0</f>
        <v>0</v>
      </c>
      <c r="Y270" s="94">
        <f ca="1">Calculation!EJ271+Calculation!ES270+'Calculations II'!O270-'Calculations II'!W270</f>
        <v>60.614373356517405</v>
      </c>
      <c r="Z270" s="94">
        <f ca="1">Y270-Sheet1!CT269</f>
        <v>41.924373356517407</v>
      </c>
      <c r="AA270" s="94">
        <f ca="1">Y270+Calculation!DJ271+Calculation!AS271</f>
        <v>79.043467510912762</v>
      </c>
      <c r="AC270" s="94">
        <f>Sheet1!AA268+Sheet1!AB268+BC270</f>
        <v>78.636288000000008</v>
      </c>
      <c r="AD270" s="94">
        <f>Sheet1!AA268+Sheet1!BN268+'Calculations II'!BC270-Calculation!AS270-Calculation!DJ270</f>
        <v>41.836466377202527</v>
      </c>
      <c r="AE270" s="94">
        <f>Sheet1!AA268+Sheet1!AB268+'Calculations II'!BC270-Calculation!AS270-Calculation!DJ270</f>
        <v>60.206466377202531</v>
      </c>
      <c r="AF270" s="94">
        <f ca="1">Sheet1!AA268+Sheet1!BN268+P270+'Calculations II'!BC270+Calculation!AS270+Calculation!DJ270</f>
        <v>78.599562058921379</v>
      </c>
      <c r="AG270" s="94">
        <f ca="1">IF(B270=TODAY(),0,Sheet1!AA268+Sheet1!BN268+'Calculations II'!BC270+'Calculations II'!P270-Sheet1!CT268-BP270)</f>
        <v>43.241740436123905</v>
      </c>
      <c r="AH270" s="94">
        <f ca="1">IF(B270=TODAY(),0,Sheet1!AA268+Sheet1!BN268+'Calculations II'!BC270+'Calculations II'!P270-BP270)</f>
        <v>60.169740436123909</v>
      </c>
      <c r="AI270" s="94">
        <f ca="1">IF(B270=TODAY(),0,BC270+Sheet1!AA268+Calculation!ES270+O270+W270+Sheet1!BN268+Calculation!AS270+Calculation!DJ270-BP270)</f>
        <v>78.599562058921379</v>
      </c>
      <c r="AJ270" s="94"/>
      <c r="AM270" s="90">
        <f t="shared" si="55"/>
        <v>42994</v>
      </c>
      <c r="AN270" s="94">
        <f>Sheet1!BU268</f>
        <v>26.5</v>
      </c>
      <c r="AO270" s="94">
        <f>Sheet1!AA268</f>
        <v>28.5</v>
      </c>
      <c r="AP270" s="94">
        <f t="shared" si="57"/>
        <v>0.27700000000000397</v>
      </c>
      <c r="AQ270" s="1087">
        <f>((Sheet1!BV268-(Sheet1!BU268-AP270))/(Sheet1!BU268-AP270))</f>
        <v>0.20123555657247474</v>
      </c>
      <c r="AR270" s="94">
        <f t="shared" si="58"/>
        <v>28.222999999999995</v>
      </c>
      <c r="AS270" s="94">
        <f t="shared" si="59"/>
        <v>26.222999999999995</v>
      </c>
      <c r="AT270" s="89">
        <f>Sheet1!BB268</f>
        <v>0</v>
      </c>
      <c r="AU270" s="89">
        <f>Sheet1!AS268*GPMtoMGD</f>
        <v>3.6000000000000004E-2</v>
      </c>
      <c r="AV270" s="94">
        <f>Sheet1!AT268</f>
        <v>0</v>
      </c>
      <c r="AW270" s="89">
        <f>Sheet1!AV268*GPMtoMGD</f>
        <v>0.95788800000000007</v>
      </c>
      <c r="AX270" s="89">
        <f>Sheet1!AW268*GPMtoMGD</f>
        <v>1.434096</v>
      </c>
      <c r="AY270" s="89">
        <f>Sheet1!AX268*GPMtoMGD</f>
        <v>0</v>
      </c>
      <c r="AZ270" s="89">
        <f>Sheet1!AY268*GPMtoMGD</f>
        <v>0</v>
      </c>
      <c r="BA270" s="89">
        <f>Sheet1!AZ268*GPMtoMGD</f>
        <v>0</v>
      </c>
      <c r="BB270" s="89">
        <f>Sheet1!BP268*GPMtoMGD</f>
        <v>3.3119999999999998E-3</v>
      </c>
      <c r="BC270" s="89">
        <f>Sheet1!CS268*GPMtoMGD</f>
        <v>4.2662880000000003</v>
      </c>
      <c r="BD270" s="89">
        <f>Sheet1!BO268*GPMtoMGD</f>
        <v>2.9747520000000005</v>
      </c>
      <c r="BE270" s="89">
        <f>Sheet1!BW268*GPMtoMGD</f>
        <v>1.5081120000000001</v>
      </c>
      <c r="BF270" s="89">
        <f>Sheet1!CN268*GPMtoMGD</f>
        <v>1.915632</v>
      </c>
      <c r="BG270" s="89">
        <f>Sheet1!CO268*GPMtoMGD</f>
        <v>1.1692800000000001</v>
      </c>
      <c r="BH270" s="89">
        <f>Sheet1!CP268*GPMtoMGD</f>
        <v>0</v>
      </c>
      <c r="BI270" s="89">
        <f t="shared" si="56"/>
        <v>2.9780640000000007</v>
      </c>
      <c r="BK270" s="94">
        <f>SUM(AT270:BA270,AS270,BC270,Calculation!AQ270)</f>
        <v>60.357450377202518</v>
      </c>
      <c r="BM270" s="358">
        <f>0</f>
        <v>0</v>
      </c>
      <c r="BN270" s="358">
        <f>0</f>
        <v>0</v>
      </c>
      <c r="BP270" s="94">
        <f>SUM(BM270:BN270,W270,Sheet1!DX268)</f>
        <v>0</v>
      </c>
      <c r="BR270" s="94">
        <f>Sheet1!AA268</f>
        <v>28.5</v>
      </c>
      <c r="BS270" s="94">
        <f>Sheet1!AB268</f>
        <v>45.87</v>
      </c>
      <c r="BT270" s="94">
        <f t="shared" ca="1" si="60"/>
        <v>-9.6547563876096865E-2</v>
      </c>
      <c r="BU270" s="94">
        <f>Sheet1!AT268</f>
        <v>0</v>
      </c>
      <c r="BV270" s="89">
        <f>Sheet1!BB268</f>
        <v>0</v>
      </c>
      <c r="BW270" s="94">
        <f>Calculation!ED270</f>
        <v>18.429821622797476</v>
      </c>
      <c r="BX270" s="94">
        <f>(Sheet1!CS268*1440)/1000000</f>
        <v>4.2662880000000003</v>
      </c>
      <c r="CA270" s="94">
        <f ca="1">Sheet1!AC268-Sheet1!BK268-Sheet1!BL268-Sheet1!BM268-Sheet1!BC268-Sheet1!BD268-Sheet1!BE268-Sheet1!BF268-Sheet1!BG268-Sheet1!BH268-Sheet1!BI268+BC270+P270</f>
        <v>60.069740436123908</v>
      </c>
      <c r="CB270" s="93">
        <f t="shared" si="61"/>
        <v>86.539455949532311</v>
      </c>
      <c r="CC270" s="94">
        <f t="shared" si="62"/>
        <v>0</v>
      </c>
      <c r="CD270" s="94">
        <f t="shared" ca="1" si="63"/>
        <v>78.499562058921384</v>
      </c>
      <c r="CE270" s="1077">
        <f t="shared" ca="1" si="64"/>
        <v>121.43882250515138</v>
      </c>
      <c r="CG270" s="1077">
        <f t="shared" ca="1" si="65"/>
        <v>60.069740436123908</v>
      </c>
    </row>
    <row r="271" spans="1:85" s="89" customFormat="1" x14ac:dyDescent="0.25">
      <c r="A271" s="616" t="s">
        <v>3</v>
      </c>
      <c r="B271" s="91">
        <v>42995</v>
      </c>
      <c r="C271" s="92">
        <v>0</v>
      </c>
      <c r="D271" s="94">
        <f>(Sheet1!BQ269-Sheet1!BQ268)*1.385</f>
        <v>0.13849999999999704</v>
      </c>
      <c r="E271" s="30">
        <f>(Sheet1!BR269-Sheet1!BR268)*1.385</f>
        <v>0.13849999999999704</v>
      </c>
      <c r="F271" s="30">
        <f ca="1">IF(B271=TODAY(),0,-(VLOOKUP(Sheet1!CD269,Lookup!$I$4:$J$216,2)-VLOOKUP(Sheet1!CD268,Lookup!$I$4:$J$216,2))/1000000)</f>
        <v>0.10363693854779936</v>
      </c>
      <c r="G271" s="94">
        <f ca="1">IF(B271=TODAY(),0,-$G$6*(Sheet1!CF269-Sheet1!CF268)*7.48/1000000)</f>
        <v>0.91341052420886415</v>
      </c>
      <c r="H271" s="94">
        <f ca="1">IF(B271=TODAY(),0,-$H$6*(Sheet1!CE269-Sheet1!CE268)*7.48/1000000)</f>
        <v>0</v>
      </c>
      <c r="I271" s="94">
        <f ca="1">IF(B271=TODAY(),0,-$I$6*(Sheet1!CG269-Sheet1!CG268)*7.48/1000000)</f>
        <v>2.2462440000000004E-2</v>
      </c>
      <c r="J271" s="95" t="s">
        <v>177</v>
      </c>
      <c r="K271" s="94">
        <f ca="1">IF(B271=TODAY(),0,-$K$6*(Sheet1!CH269-Sheet1!CH268)*7.48/1000000)</f>
        <v>3.9979922246750635E-2</v>
      </c>
      <c r="L271" s="95" t="s">
        <v>177</v>
      </c>
      <c r="M271" s="94">
        <f ca="1">IF(B271=TODAY(),0,-$M$6*(Sheet1!CI269-Sheet1!CI268)*7.48/1000000)</f>
        <v>0.12594055899618922</v>
      </c>
      <c r="N271" s="94">
        <f ca="1">IF(B271=TODAY(),0,-$N$6*(Sheet1!CJ269-Sheet1!CJ268)*7.48/1000000)</f>
        <v>0.12410469078924848</v>
      </c>
      <c r="O271" s="94">
        <f t="shared" ca="1" si="53"/>
        <v>1.3295350747888519</v>
      </c>
      <c r="P271" s="94">
        <f ca="1">O271+Calculation!ES271</f>
        <v>1.0524693910278364</v>
      </c>
      <c r="Q271" s="89" t="str">
        <f>IF(Sheet1!BQ269&gt;25.75,"spill elevation","-")</f>
        <v>-</v>
      </c>
      <c r="R271" s="89" t="str">
        <f>IF(Sheet1!BQ269&gt;25.75,"spill elevation","-")</f>
        <v>-</v>
      </c>
      <c r="S271" s="89" t="str">
        <f>IF(Sheet1!BR269&gt;25.75,"spill elevation","-")</f>
        <v>-</v>
      </c>
      <c r="T271" s="93">
        <f>IF(Sheet1!DU269=1,Sheet1!AA269-(SUM(AT271:BA271)+BE271),Sheet1!AA269-SUM(AT271:BA271))</f>
        <v>25.957104000000001</v>
      </c>
      <c r="U271" s="93">
        <f>Sheet1!BV269</f>
        <v>31.4</v>
      </c>
      <c r="V271" s="93">
        <f t="shared" si="54"/>
        <v>-5.4428959999999975</v>
      </c>
      <c r="W271" s="93">
        <f>0</f>
        <v>0</v>
      </c>
      <c r="X271" s="89">
        <f>0</f>
        <v>0</v>
      </c>
      <c r="Y271" s="94">
        <f ca="1">Calculation!EJ272+Calculation!ES271+'Calculations II'!O271-'Calculations II'!W271</f>
        <v>56.534810095826721</v>
      </c>
      <c r="Z271" s="94">
        <f ca="1">Y271-Sheet1!CT270</f>
        <v>38.69981009582672</v>
      </c>
      <c r="AA271" s="94">
        <f ca="1">Y271+Calculation!DJ272+Calculation!AS272</f>
        <v>73.602621860532594</v>
      </c>
      <c r="AC271" s="94">
        <f>Sheet1!AA269+Sheet1!AB269+BC271</f>
        <v>77.367583999999994</v>
      </c>
      <c r="AD271" s="94">
        <f>Sheet1!AA269+Sheet1!BN269+'Calculations II'!BC271-Calculation!AS271-Calculation!DJ271</f>
        <v>40.638489845604639</v>
      </c>
      <c r="AE271" s="94">
        <f>Sheet1!AA269+Sheet1!AB269+'Calculations II'!BC271-Calculation!AS271-Calculation!DJ271</f>
        <v>58.938489845604636</v>
      </c>
      <c r="AF271" s="94">
        <f ca="1">Sheet1!AA269+Sheet1!BN269+P271+'Calculations II'!BC271+Calculation!AS271+Calculation!DJ271</f>
        <v>78.549147545423182</v>
      </c>
      <c r="AG271" s="94">
        <f ca="1">IF(B271=TODAY(),0,Sheet1!AA269+Sheet1!BN269+'Calculations II'!BC271+'Calculations II'!P271-Sheet1!CT269-BP271)</f>
        <v>41.430053391027826</v>
      </c>
      <c r="AH271" s="94">
        <f ca="1">IF(B271=TODAY(),0,Sheet1!AA269+Sheet1!BN269+'Calculations II'!BC271+'Calculations II'!P271-BP271)</f>
        <v>60.120053391027831</v>
      </c>
      <c r="AI271" s="94">
        <f ca="1">IF(B271=TODAY(),0,BC271+Sheet1!AA269+Calculation!ES271+O271+W271+Sheet1!BN269+Calculation!AS271+Calculation!DJ271-BP271)</f>
        <v>78.549147545423196</v>
      </c>
      <c r="AJ271" s="94"/>
      <c r="AM271" s="90">
        <f t="shared" si="55"/>
        <v>42995</v>
      </c>
      <c r="AN271" s="94">
        <f>Sheet1!BU269</f>
        <v>26.4</v>
      </c>
      <c r="AO271" s="94">
        <f>Sheet1!AA269</f>
        <v>28.5</v>
      </c>
      <c r="AP271" s="94">
        <f t="shared" si="57"/>
        <v>0.27699999999999408</v>
      </c>
      <c r="AQ271" s="1087">
        <f>((Sheet1!BV269-(Sheet1!BU269-AP271))/(Sheet1!BU269-AP271))</f>
        <v>0.2020058951881481</v>
      </c>
      <c r="AR271" s="94">
        <f t="shared" si="58"/>
        <v>28.223000000000006</v>
      </c>
      <c r="AS271" s="94">
        <f t="shared" si="59"/>
        <v>26.123000000000005</v>
      </c>
      <c r="AT271" s="89">
        <f>Sheet1!BB269</f>
        <v>0</v>
      </c>
      <c r="AU271" s="89">
        <f>Sheet1!AS269*GPMtoMGD</f>
        <v>2.7504000000000004E-2</v>
      </c>
      <c r="AV271" s="94">
        <f>Sheet1!AT269</f>
        <v>0</v>
      </c>
      <c r="AW271" s="89">
        <f>Sheet1!AV269*GPMtoMGD</f>
        <v>1.026</v>
      </c>
      <c r="AX271" s="89">
        <f>Sheet1!AW269*GPMtoMGD</f>
        <v>1.489392</v>
      </c>
      <c r="AY271" s="89">
        <f>Sheet1!AX269*GPMtoMGD</f>
        <v>0</v>
      </c>
      <c r="AZ271" s="89">
        <f>Sheet1!AY269*GPMtoMGD</f>
        <v>0</v>
      </c>
      <c r="BA271" s="89">
        <f>Sheet1!AZ269*GPMtoMGD</f>
        <v>0</v>
      </c>
      <c r="BB271" s="89">
        <f>Sheet1!BP269*GPMtoMGD</f>
        <v>3.4560000000000003E-3</v>
      </c>
      <c r="BC271" s="89">
        <f>Sheet1!CS269*GPMtoMGD</f>
        <v>4.2675840000000003</v>
      </c>
      <c r="BD271" s="89">
        <f>Sheet1!BO269*GPMtoMGD</f>
        <v>2.6078400000000004</v>
      </c>
      <c r="BE271" s="89">
        <f>Sheet1!BW269*GPMtoMGD</f>
        <v>1.3664160000000001</v>
      </c>
      <c r="BF271" s="89">
        <f>Sheet1!CN269*GPMtoMGD</f>
        <v>1.40544</v>
      </c>
      <c r="BG271" s="89">
        <f>Sheet1!CO269*GPMtoMGD</f>
        <v>1.059984</v>
      </c>
      <c r="BH271" s="89">
        <f>Sheet1!CP269*GPMtoMGD</f>
        <v>0</v>
      </c>
      <c r="BI271" s="89">
        <f t="shared" si="56"/>
        <v>2.6112960000000003</v>
      </c>
      <c r="BK271" s="94">
        <f>SUM(AT271:BA271,AS271,BC271,Calculation!AQ271)</f>
        <v>59.104385845604646</v>
      </c>
      <c r="BM271" s="358">
        <f>0</f>
        <v>0</v>
      </c>
      <c r="BN271" s="358">
        <f>0</f>
        <v>0</v>
      </c>
      <c r="BP271" s="94">
        <f>SUM(BM271:BN271,W271,Sheet1!DX269)</f>
        <v>0</v>
      </c>
      <c r="BR271" s="94">
        <f>Sheet1!AA269</f>
        <v>28.5</v>
      </c>
      <c r="BS271" s="94">
        <f>Sheet1!AB269</f>
        <v>44.6</v>
      </c>
      <c r="BT271" s="94">
        <f t="shared" ca="1" si="60"/>
        <v>1.0524693910278364</v>
      </c>
      <c r="BU271" s="94">
        <f>Sheet1!AT269</f>
        <v>0</v>
      </c>
      <c r="BV271" s="89">
        <f>Sheet1!BB269</f>
        <v>0</v>
      </c>
      <c r="BW271" s="94">
        <f>Calculation!ED271</f>
        <v>18.429094154395358</v>
      </c>
      <c r="BX271" s="94">
        <f>(Sheet1!CS269*1440)/1000000</f>
        <v>4.2675840000000003</v>
      </c>
      <c r="CA271" s="94">
        <f ca="1">Sheet1!AC269-Sheet1!BK269-Sheet1!BL269-Sheet1!BM269-Sheet1!BC269-Sheet1!BD269-Sheet1!BE269-Sheet1!BF269-Sheet1!BG269-Sheet1!BH269-Sheet1!BI269+BC271+P271</f>
        <v>59.900053391027832</v>
      </c>
      <c r="CB271" s="93">
        <f t="shared" si="61"/>
        <v>84.575891343150374</v>
      </c>
      <c r="CC271" s="94">
        <f t="shared" si="62"/>
        <v>0</v>
      </c>
      <c r="CD271" s="94">
        <f t="shared" ca="1" si="63"/>
        <v>78.329147545423183</v>
      </c>
      <c r="CE271" s="1077">
        <f t="shared" ca="1" si="64"/>
        <v>121.17519125276966</v>
      </c>
      <c r="CG271" s="1077">
        <f t="shared" ca="1" si="65"/>
        <v>59.900053391027832</v>
      </c>
    </row>
    <row r="272" spans="1:85" s="89" customFormat="1" x14ac:dyDescent="0.25">
      <c r="A272" s="616" t="s">
        <v>4</v>
      </c>
      <c r="B272" s="91">
        <v>42996</v>
      </c>
      <c r="C272" s="92">
        <v>0</v>
      </c>
      <c r="D272" s="94">
        <f>(Sheet1!BQ270-Sheet1!BQ269)*1.385</f>
        <v>-0.6925</v>
      </c>
      <c r="E272" s="30">
        <f>(Sheet1!BR270-Sheet1!BR269)*1.385</f>
        <v>-0.6925</v>
      </c>
      <c r="F272" s="30">
        <f ca="1">IF(B272=TODAY(),0,-(VLOOKUP(Sheet1!CD270,Lookup!$I$4:$J$216,2)-VLOOKUP(Sheet1!CD269,Lookup!$I$4:$J$216,2))/1000000)</f>
        <v>-0.41454775419119744</v>
      </c>
      <c r="G272" s="94">
        <f ca="1">IF(B272=TODAY(),0,-$G$6*(Sheet1!CF270-Sheet1!CF269)*7.48/1000000)</f>
        <v>-0.99283752631398237</v>
      </c>
      <c r="H272" s="94">
        <f ca="1">IF(B272=TODAY(),0,-$H$6*(Sheet1!CE270-Sheet1!CE269)*7.48/1000000)</f>
        <v>-1.5039432351265274E-2</v>
      </c>
      <c r="I272" s="94">
        <f ca="1">IF(B272=TODAY(),0,-$I$6*(Sheet1!CG270-Sheet1!CG269)*7.48/1000000)</f>
        <v>0</v>
      </c>
      <c r="J272" s="95" t="s">
        <v>177</v>
      </c>
      <c r="K272" s="94">
        <f ca="1">IF(B272=TODAY(),0,-$K$6*(Sheet1!CH270-Sheet1!CH269)*7.48/1000000)</f>
        <v>0</v>
      </c>
      <c r="L272" s="95" t="s">
        <v>177</v>
      </c>
      <c r="M272" s="94">
        <f ca="1">IF(B272=TODAY(),0,-$M$6*(Sheet1!CI270-Sheet1!CI269)*7.48/1000000)</f>
        <v>-1.7991508428027301E-2</v>
      </c>
      <c r="N272" s="94">
        <f ca="1">IF(B272=TODAY(),0,-$N$6*(Sheet1!CJ270-Sheet1!CJ269)*7.48/1000000)</f>
        <v>0.12410469078924735</v>
      </c>
      <c r="O272" s="94">
        <f t="shared" ca="1" si="53"/>
        <v>-1.3163115304952251</v>
      </c>
      <c r="P272" s="94">
        <f ca="1">O272+Calculation!ES272</f>
        <v>6.8888705301025199E-2</v>
      </c>
      <c r="Q272" s="89" t="str">
        <f>IF(Sheet1!BQ270&gt;25.75,"spill elevation","-")</f>
        <v>-</v>
      </c>
      <c r="R272" s="89" t="str">
        <f>IF(Sheet1!BQ270&gt;25.75,"spill elevation","-")</f>
        <v>-</v>
      </c>
      <c r="S272" s="89" t="str">
        <f>IF(Sheet1!BR270&gt;25.75,"spill elevation","-")</f>
        <v>-</v>
      </c>
      <c r="T272" s="93">
        <f>IF(Sheet1!DU270=1,Sheet1!AA270-(SUM(AT272:BA272)+BE272),Sheet1!AA270-SUM(AT272:BA272))</f>
        <v>26.222496</v>
      </c>
      <c r="U272" s="93">
        <f>Sheet1!BV270</f>
        <v>32.9</v>
      </c>
      <c r="V272" s="93">
        <f t="shared" si="54"/>
        <v>-6.677503999999999</v>
      </c>
      <c r="W272" s="93">
        <f>0</f>
        <v>0</v>
      </c>
      <c r="X272" s="89">
        <f>0</f>
        <v>0</v>
      </c>
      <c r="Y272" s="94">
        <f ca="1">Calculation!EJ273+Calculation!ES272+'Calculations II'!O272-'Calculations II'!W272</f>
        <v>57.76887729382144</v>
      </c>
      <c r="Z272" s="94">
        <f ca="1">Y272-Sheet1!CT271</f>
        <v>40.499877293821442</v>
      </c>
      <c r="AA272" s="94">
        <f ca="1">Y272+Calculation!DJ273+Calculation!AS273</f>
        <v>73.974205199746365</v>
      </c>
      <c r="AC272" s="94">
        <f>Sheet1!AA270+Sheet1!AB270+BC272</f>
        <v>73.488960000000006</v>
      </c>
      <c r="AD272" s="94">
        <f>Sheet1!AA270+Sheet1!BN270+'Calculations II'!BC272-Calculation!AS272-Calculation!DJ272</f>
        <v>39.401148235294116</v>
      </c>
      <c r="AE272" s="94">
        <f>Sheet1!AA270+Sheet1!AB270+'Calculations II'!BC272-Calculation!AS272-Calculation!DJ272</f>
        <v>56.421148235294126</v>
      </c>
      <c r="AF272" s="94">
        <f ca="1">Sheet1!AA270+Sheet1!BN270+P272+'Calculations II'!BC272+Calculation!AS272+Calculation!DJ272</f>
        <v>73.60566047000691</v>
      </c>
      <c r="AG272" s="94">
        <f ca="1">IF(B272=TODAY(),0,Sheet1!AA270+Sheet1!BN270+'Calculations II'!BC272+'Calculations II'!P272-Sheet1!CT270-BP272)</f>
        <v>38.702848705301022</v>
      </c>
      <c r="AH272" s="94">
        <f ca="1">IF(B272=TODAY(),0,Sheet1!AA270+Sheet1!BN270+'Calculations II'!BC272+'Calculations II'!P272-BP272)</f>
        <v>56.537848705301023</v>
      </c>
      <c r="AI272" s="94">
        <f ca="1">IF(B272=TODAY(),0,BC272+Sheet1!AA270+Calculation!ES272+O272+W272+Sheet1!BN270+Calculation!AS272+Calculation!DJ272-BP272)</f>
        <v>73.60566047000691</v>
      </c>
      <c r="AJ272" s="94"/>
      <c r="AM272" s="90">
        <f t="shared" si="55"/>
        <v>42996</v>
      </c>
      <c r="AN272" s="94">
        <f>Sheet1!BU270</f>
        <v>26.6</v>
      </c>
      <c r="AO272" s="94">
        <f>Sheet1!AA270</f>
        <v>28.5</v>
      </c>
      <c r="AP272" s="94">
        <f t="shared" si="57"/>
        <v>-1.385</v>
      </c>
      <c r="AQ272" s="1087">
        <f>((Sheet1!BV270-(Sheet1!BU270-AP272))/(Sheet1!BU270-AP272))</f>
        <v>0.17562980167947098</v>
      </c>
      <c r="AR272" s="94">
        <f t="shared" si="58"/>
        <v>29.885000000000002</v>
      </c>
      <c r="AS272" s="94">
        <f t="shared" si="59"/>
        <v>27.985000000000003</v>
      </c>
      <c r="AT272" s="89">
        <f>Sheet1!BB270</f>
        <v>0</v>
      </c>
      <c r="AU272" s="89">
        <f>Sheet1!AS270*GPMtoMGD</f>
        <v>2.5344000000000002E-2</v>
      </c>
      <c r="AV272" s="94">
        <f>Sheet1!AT270</f>
        <v>0</v>
      </c>
      <c r="AW272" s="89">
        <f>Sheet1!AV270*GPMtoMGD</f>
        <v>0.93758400000000008</v>
      </c>
      <c r="AX272" s="89">
        <f>Sheet1!AW270*GPMtoMGD</f>
        <v>1.314576</v>
      </c>
      <c r="AY272" s="89">
        <f>Sheet1!AX270*GPMtoMGD</f>
        <v>0</v>
      </c>
      <c r="AZ272" s="89">
        <f>Sheet1!AY270*GPMtoMGD</f>
        <v>0</v>
      </c>
      <c r="BA272" s="89">
        <f>Sheet1!AZ270*GPMtoMGD</f>
        <v>0</v>
      </c>
      <c r="BB272" s="89">
        <f>Sheet1!BP270*GPMtoMGD</f>
        <v>3.6000000000000003E-3</v>
      </c>
      <c r="BC272" s="89">
        <f>Sheet1!CS270*GPMtoMGD</f>
        <v>2.5689600000000001</v>
      </c>
      <c r="BD272" s="89">
        <f>Sheet1!BO270*GPMtoMGD</f>
        <v>2.4147360000000004</v>
      </c>
      <c r="BE272" s="89">
        <f>Sheet1!BW270*GPMtoMGD</f>
        <v>1.2232800000000001</v>
      </c>
      <c r="BF272" s="89">
        <f>Sheet1!CN270*GPMtoMGD</f>
        <v>1.0025280000000001</v>
      </c>
      <c r="BG272" s="89">
        <f>Sheet1!CO270*GPMtoMGD</f>
        <v>0.89424000000000003</v>
      </c>
      <c r="BH272" s="89">
        <f>Sheet1!CP270*GPMtoMGD</f>
        <v>0</v>
      </c>
      <c r="BI272" s="89">
        <f t="shared" si="56"/>
        <v>2.4183360000000005</v>
      </c>
      <c r="BK272" s="94">
        <f>SUM(AT272:BA272,AS272,BC272,Calculation!AQ272)</f>
        <v>58.183652235294119</v>
      </c>
      <c r="BM272" s="358">
        <f>0</f>
        <v>0</v>
      </c>
      <c r="BN272" s="358">
        <f>0</f>
        <v>0</v>
      </c>
      <c r="BP272" s="94">
        <f>SUM(BM272:BN272,W272,Sheet1!DX270)</f>
        <v>0</v>
      </c>
      <c r="BR272" s="94">
        <f>Sheet1!AA270</f>
        <v>28.5</v>
      </c>
      <c r="BS272" s="94">
        <f>Sheet1!AB270</f>
        <v>42.42</v>
      </c>
      <c r="BT272" s="94">
        <f t="shared" ca="1" si="60"/>
        <v>6.8888705301025199E-2</v>
      </c>
      <c r="BU272" s="94">
        <f>Sheet1!AT270</f>
        <v>0</v>
      </c>
      <c r="BV272" s="89">
        <f>Sheet1!BB270</f>
        <v>0</v>
      </c>
      <c r="BW272" s="94">
        <f>Calculation!ED272</f>
        <v>17.06781176470588</v>
      </c>
      <c r="BX272" s="94">
        <f>(Sheet1!CS270*1440)/1000000</f>
        <v>2.5689600000000001</v>
      </c>
      <c r="CA272" s="94">
        <f ca="1">Sheet1!AC270-Sheet1!BK270-Sheet1!BL270-Sheet1!BM270-Sheet1!BC270-Sheet1!BD270-Sheet1!BE270-Sheet1!BF270-Sheet1!BG270-Sheet1!BH270-Sheet1!BI270+BC272+P272</f>
        <v>56.457848705301018</v>
      </c>
      <c r="CB272" s="93">
        <f t="shared" si="61"/>
        <v>83.309335200000007</v>
      </c>
      <c r="CC272" s="94">
        <f t="shared" si="62"/>
        <v>0</v>
      </c>
      <c r="CD272" s="94">
        <f t="shared" ca="1" si="63"/>
        <v>73.525660470006898</v>
      </c>
      <c r="CE272" s="1077">
        <f t="shared" ca="1" si="64"/>
        <v>113.74419674710066</v>
      </c>
      <c r="CG272" s="1077">
        <f t="shared" ca="1" si="65"/>
        <v>56.457848705301018</v>
      </c>
    </row>
    <row r="273" spans="1:85" s="89" customFormat="1" x14ac:dyDescent="0.25">
      <c r="A273" s="616" t="s">
        <v>5</v>
      </c>
      <c r="B273" s="91">
        <v>42997</v>
      </c>
      <c r="C273" s="92">
        <v>0</v>
      </c>
      <c r="D273" s="94">
        <f>(Sheet1!BQ271-Sheet1!BQ270)*1.385</f>
        <v>1.8005000000000011</v>
      </c>
      <c r="E273" s="30">
        <f>(Sheet1!BR271-Sheet1!BR270)*1.385</f>
        <v>2.77</v>
      </c>
      <c r="F273" s="30">
        <f ca="1">IF(B273=TODAY(),0,-(VLOOKUP(Sheet1!CD271,Lookup!$I$4:$J$216,2)-VLOOKUP(Sheet1!CD270,Lookup!$I$4:$J$216,2))/1000000)</f>
        <v>0.10363693854779936</v>
      </c>
      <c r="G273" s="94">
        <f ca="1">IF(B273=TODAY(),0,-$G$6*(Sheet1!CF271-Sheet1!CF270)*7.48/1000000)</f>
        <v>0.63541601684094939</v>
      </c>
      <c r="H273" s="94">
        <f ca="1">IF(B273=TODAY(),0,-$H$6*(Sheet1!CE271-Sheet1!CE270)*7.48/1000000)</f>
        <v>-1.5039432351265274E-2</v>
      </c>
      <c r="I273" s="94">
        <f ca="1">IF(B273=TODAY(),0,-$I$6*(Sheet1!CG271-Sheet1!CG270)*7.48/1000000)</f>
        <v>4.4924880000000236E-3</v>
      </c>
      <c r="J273" s="95" t="s">
        <v>177</v>
      </c>
      <c r="K273" s="94">
        <f ca="1">IF(B273=TODAY(),0,-$K$6*(Sheet1!CH271-Sheet1!CH270)*7.48/1000000)</f>
        <v>6.6633203744584186E-3</v>
      </c>
      <c r="L273" s="95" t="s">
        <v>177</v>
      </c>
      <c r="M273" s="94">
        <f ca="1">IF(B273=TODAY(),0,-$M$6*(Sheet1!CI271-Sheet1!CI270)*7.48/1000000)</f>
        <v>1.7991508428027301E-2</v>
      </c>
      <c r="N273" s="94">
        <f ca="1">IF(B273=TODAY(),0,-$N$6*(Sheet1!CJ271-Sheet1!CJ270)*7.48/1000000)</f>
        <v>-6.2052345394623676E-2</v>
      </c>
      <c r="O273" s="94">
        <f t="shared" ca="1" si="53"/>
        <v>0.6911084944453455</v>
      </c>
      <c r="P273" s="94">
        <f ca="1">O273+Calculation!ES273</f>
        <v>-3.8815041464390023</v>
      </c>
      <c r="Q273" s="89" t="str">
        <f>IF(Sheet1!BQ271&gt;25.75,"spill elevation","-")</f>
        <v>-</v>
      </c>
      <c r="R273" s="89" t="str">
        <f>IF(Sheet1!BQ271&gt;25.75,"spill elevation","-")</f>
        <v>-</v>
      </c>
      <c r="S273" s="89" t="str">
        <f>IF(Sheet1!BR271&gt;25.75,"spill elevation","-")</f>
        <v>-</v>
      </c>
      <c r="T273" s="93">
        <f>IF(Sheet1!DU271=1,Sheet1!AA271-(SUM(AT273:BA273)+BE273),Sheet1!AA271-SUM(AT273:BA273))</f>
        <v>26.465792</v>
      </c>
      <c r="U273" s="93">
        <f>Sheet1!BV271</f>
        <v>27.7</v>
      </c>
      <c r="V273" s="93">
        <f t="shared" si="54"/>
        <v>-1.2342079999999989</v>
      </c>
      <c r="W273" s="93">
        <f>0</f>
        <v>0</v>
      </c>
      <c r="X273" s="89">
        <f>0</f>
        <v>0</v>
      </c>
      <c r="Y273" s="94">
        <f ca="1">Calculation!EJ274+Calculation!ES273+'Calculations II'!O273-'Calculations II'!W273</f>
        <v>50.236988751981258</v>
      </c>
      <c r="Z273" s="94">
        <f ca="1">Y273-Sheet1!CT272</f>
        <v>33.983988751981258</v>
      </c>
      <c r="AA273" s="94">
        <f ca="1">Y273+Calculation!DJ274+Calculation!AS274</f>
        <v>65.818062674446949</v>
      </c>
      <c r="AC273" s="94">
        <f>Sheet1!AA271+Sheet1!AB271+BC273</f>
        <v>72.58</v>
      </c>
      <c r="AD273" s="94">
        <f>Sheet1!AA271+Sheet1!BN271+'Calculations II'!BC273-Calculation!AS273-Calculation!DJ273</f>
        <v>40.194672094075074</v>
      </c>
      <c r="AE273" s="94">
        <f>Sheet1!AA271+Sheet1!AB271+'Calculations II'!BC273-Calculation!AS273-Calculation!DJ273</f>
        <v>56.374672094075081</v>
      </c>
      <c r="AF273" s="94">
        <f ca="1">Sheet1!AA271+Sheet1!BN271+P273+'Calculations II'!BC273+Calculation!AS273+Calculation!DJ273</f>
        <v>68.723823759485924</v>
      </c>
      <c r="AG273" s="94">
        <f ca="1">IF(B273=TODAY(),0,Sheet1!AA271+Sheet1!BN271+'Calculations II'!BC273+'Calculations II'!P273-Sheet1!CT271-BP273)</f>
        <v>35.249495853561001</v>
      </c>
      <c r="AH273" s="94">
        <f ca="1">IF(B273=TODAY(),0,Sheet1!AA271+Sheet1!BN271+'Calculations II'!BC273+'Calculations II'!P273-BP273)</f>
        <v>52.518495853560999</v>
      </c>
      <c r="AI273" s="94">
        <f ca="1">IF(B273=TODAY(),0,BC273+Sheet1!AA271+Calculation!ES273+O273+W273+Sheet1!BN271+Calculation!AS273+Calculation!DJ273-BP273)</f>
        <v>68.72382375948591</v>
      </c>
      <c r="AJ273" s="94"/>
      <c r="AM273" s="90">
        <f t="shared" si="55"/>
        <v>42997</v>
      </c>
      <c r="AN273" s="94">
        <f>Sheet1!BU271</f>
        <v>27.1</v>
      </c>
      <c r="AO273" s="94">
        <f>Sheet1!AA271</f>
        <v>28.4</v>
      </c>
      <c r="AP273" s="94">
        <f t="shared" si="57"/>
        <v>4.5705000000000009</v>
      </c>
      <c r="AQ273" s="1087">
        <f>((Sheet1!BV271-(Sheet1!BU271-AP273))/(Sheet1!BU271-AP273))</f>
        <v>0.22949910117845496</v>
      </c>
      <c r="AR273" s="94">
        <f t="shared" si="58"/>
        <v>23.829499999999996</v>
      </c>
      <c r="AS273" s="94">
        <f t="shared" si="59"/>
        <v>22.529499999999999</v>
      </c>
      <c r="AT273" s="89">
        <f>Sheet1!BB271</f>
        <v>0</v>
      </c>
      <c r="AU273" s="89">
        <f>Sheet1!AS271*GPMtoMGD</f>
        <v>3.4704000000000006E-2</v>
      </c>
      <c r="AV273" s="94">
        <f>Sheet1!AT271</f>
        <v>0</v>
      </c>
      <c r="AW273" s="89">
        <f>Sheet1!AV271*GPMtoMGD</f>
        <v>0.82800000000000007</v>
      </c>
      <c r="AX273" s="89">
        <f>Sheet1!AW271*GPMtoMGD</f>
        <v>1.071504</v>
      </c>
      <c r="AY273" s="89">
        <f>Sheet1!AX271*GPMtoMGD</f>
        <v>0</v>
      </c>
      <c r="AZ273" s="89">
        <f>Sheet1!AY271*GPMtoMGD</f>
        <v>0</v>
      </c>
      <c r="BA273" s="89">
        <f>Sheet1!AZ271*GPMtoMGD</f>
        <v>0</v>
      </c>
      <c r="BB273" s="89">
        <f>Sheet1!BP271*GPMtoMGD</f>
        <v>3.0672000000000001E-2</v>
      </c>
      <c r="BC273" s="89">
        <f>Sheet1!CS271*GPMtoMGD</f>
        <v>0</v>
      </c>
      <c r="BD273" s="89">
        <f>Sheet1!BO271*GPMtoMGD</f>
        <v>1.9945440000000001</v>
      </c>
      <c r="BE273" s="89">
        <f>Sheet1!BW271*GPMtoMGD</f>
        <v>0.92088000000000003</v>
      </c>
      <c r="BF273" s="89">
        <f>Sheet1!CN271*GPMtoMGD</f>
        <v>0.59356799999999998</v>
      </c>
      <c r="BG273" s="89">
        <f>Sheet1!CO271*GPMtoMGD</f>
        <v>0.81806400000000012</v>
      </c>
      <c r="BH273" s="89">
        <f>Sheet1!CP271*GPMtoMGD</f>
        <v>0</v>
      </c>
      <c r="BI273" s="89">
        <f t="shared" si="56"/>
        <v>2.0252159999999999</v>
      </c>
      <c r="BK273" s="94">
        <f>SUM(AT273:BA273,AS273,BC273,Calculation!AQ273)</f>
        <v>52.438380094075072</v>
      </c>
      <c r="BM273" s="358">
        <f>0</f>
        <v>0</v>
      </c>
      <c r="BN273" s="358">
        <f>0</f>
        <v>0</v>
      </c>
      <c r="BP273" s="94">
        <f>SUM(BM273:BN273,W273,Sheet1!DX271)</f>
        <v>0</v>
      </c>
      <c r="BR273" s="94">
        <f>Sheet1!AA271</f>
        <v>28.4</v>
      </c>
      <c r="BS273" s="94">
        <f>Sheet1!AB271</f>
        <v>44.18</v>
      </c>
      <c r="BT273" s="94">
        <f t="shared" ca="1" si="60"/>
        <v>-3.8815041464390023</v>
      </c>
      <c r="BU273" s="94">
        <f>Sheet1!AT271</f>
        <v>0</v>
      </c>
      <c r="BV273" s="89">
        <f>Sheet1!BB271</f>
        <v>0</v>
      </c>
      <c r="BW273" s="94">
        <f>Calculation!ED273</f>
        <v>16.205327905924921</v>
      </c>
      <c r="BX273" s="94">
        <f>(Sheet1!CS271*1440)/1000000</f>
        <v>0</v>
      </c>
      <c r="CA273" s="94">
        <f ca="1">Sheet1!AC271-Sheet1!BK271-Sheet1!BL271-Sheet1!BM271-Sheet1!BC271-Sheet1!BD271-Sheet1!BE271-Sheet1!BF271-Sheet1!BG271-Sheet1!BH271-Sheet1!BI271+BC273+P273</f>
        <v>52.478495853560979</v>
      </c>
      <c r="CB273" s="93">
        <f t="shared" si="61"/>
        <v>87.21161772953414</v>
      </c>
      <c r="CC273" s="94">
        <f t="shared" si="62"/>
        <v>0</v>
      </c>
      <c r="CD273" s="94">
        <f t="shared" ca="1" si="63"/>
        <v>68.683823759485904</v>
      </c>
      <c r="CE273" s="1077">
        <f t="shared" ca="1" si="64"/>
        <v>106.25387535592469</v>
      </c>
      <c r="CG273" s="1077">
        <f t="shared" ca="1" si="65"/>
        <v>52.478495853560979</v>
      </c>
    </row>
    <row r="274" spans="1:85" s="89" customFormat="1" x14ac:dyDescent="0.25">
      <c r="A274" s="616" t="s">
        <v>6</v>
      </c>
      <c r="B274" s="91">
        <v>42998</v>
      </c>
      <c r="C274" s="92">
        <v>0</v>
      </c>
      <c r="D274" s="94">
        <f>(Sheet1!BQ272-Sheet1!BQ271)*1.385</f>
        <v>0.6925</v>
      </c>
      <c r="E274" s="30">
        <f>(Sheet1!BR272-Sheet1!BR271)*1.385</f>
        <v>-0.13849999999999704</v>
      </c>
      <c r="F274" s="30">
        <f ca="1">IF(B274=TODAY(),0,-(VLOOKUP(Sheet1!CD272,Lookup!$I$4:$J$216,2)-VLOOKUP(Sheet1!CD271,Lookup!$I$4:$J$216,2))/1000000)</f>
        <v>-0.82909550838240231</v>
      </c>
      <c r="G274" s="94">
        <f ca="1">IF(B274=TODAY(),0,-$G$6*(Sheet1!CF272-Sheet1!CF271)*7.48/1000000)</f>
        <v>0.63541601684094795</v>
      </c>
      <c r="H274" s="94">
        <f ca="1">IF(B274=TODAY(),0,-$H$6*(Sheet1!CE272-Sheet1!CE271)*7.48/1000000)</f>
        <v>0</v>
      </c>
      <c r="I274" s="94">
        <f ca="1">IF(B274=TODAY(),0,-$I$6*(Sheet1!CG272-Sheet1!CG271)*7.48/1000000)</f>
        <v>2.2462440000000004E-2</v>
      </c>
      <c r="J274" s="95" t="s">
        <v>177</v>
      </c>
      <c r="K274" s="94">
        <f ca="1">IF(B274=TODAY(),0,-$K$6*(Sheet1!CH272-Sheet1!CH271)*7.48/1000000)</f>
        <v>3.3316601872292212E-2</v>
      </c>
      <c r="L274" s="95" t="s">
        <v>177</v>
      </c>
      <c r="M274" s="94">
        <f ca="1">IF(B274=TODAY(),0,-$M$6*(Sheet1!CI272-Sheet1!CI271)*7.48/1000000)</f>
        <v>7.1966033712107941E-2</v>
      </c>
      <c r="N274" s="94">
        <f ca="1">IF(B274=TODAY(),0,-$N$6*(Sheet1!CJ272-Sheet1!CJ271)*7.48/1000000)</f>
        <v>-0.49641876315699163</v>
      </c>
      <c r="O274" s="94">
        <f t="shared" ref="O274:O337" ca="1" si="66">SUM(F274:I274)+K274+SUM(M274:N274)</f>
        <v>-0.56235317911404581</v>
      </c>
      <c r="P274" s="94">
        <f ca="1">O274+Calculation!ES274</f>
        <v>-1.1166063173167653</v>
      </c>
      <c r="Q274" s="89" t="str">
        <f>IF(Sheet1!BQ272&gt;25.75,"spill elevation","-")</f>
        <v>-</v>
      </c>
      <c r="R274" s="89" t="str">
        <f>IF(Sheet1!BQ272&gt;25.75,"spill elevation","-")</f>
        <v>-</v>
      </c>
      <c r="S274" s="89" t="str">
        <f>IF(Sheet1!BR272&gt;25.75,"spill elevation","-")</f>
        <v>-</v>
      </c>
      <c r="T274" s="93">
        <f>IF(Sheet1!DU272=1,Sheet1!AA272-(SUM(AT274:BA274)+BE274),Sheet1!AA272-SUM(AT274:BA274))</f>
        <v>26.498079999999998</v>
      </c>
      <c r="U274" s="93">
        <f>Sheet1!BV272</f>
        <v>30.3</v>
      </c>
      <c r="V274" s="93">
        <f t="shared" ref="V274:V337" si="67">T274-U274</f>
        <v>-3.8019200000000026</v>
      </c>
      <c r="W274" s="93">
        <f>0</f>
        <v>0</v>
      </c>
      <c r="X274" s="89">
        <f>0</f>
        <v>0</v>
      </c>
      <c r="Y274" s="94">
        <f ca="1">Calculation!EJ275+Calculation!ES274+'Calculations II'!O274-'Calculations II'!W274</f>
        <v>49.935427161314621</v>
      </c>
      <c r="Z274" s="94">
        <f ca="1">Y274-Sheet1!CT273</f>
        <v>34.084427161314622</v>
      </c>
      <c r="AA274" s="94">
        <f ca="1">Y274+Calculation!DJ275+Calculation!AS275</f>
        <v>66.372949285208421</v>
      </c>
      <c r="AC274" s="94">
        <f>Sheet1!AA272+Sheet1!AB272+BC274</f>
        <v>69.759999999999991</v>
      </c>
      <c r="AD274" s="94">
        <f>Sheet1!AA272+Sheet1!BN272+'Calculations II'!BC274-Calculation!AS274-Calculation!DJ274</f>
        <v>38.678926077534314</v>
      </c>
      <c r="AE274" s="94">
        <f>Sheet1!AA272+Sheet1!AB272+'Calculations II'!BC274-Calculation!AS274-Calculation!DJ274</f>
        <v>54.1789260775343</v>
      </c>
      <c r="AF274" s="94">
        <f ca="1">Sheet1!AA272+Sheet1!BN272+P274+'Calculations II'!BC274+Calculation!AS274+Calculation!DJ274</f>
        <v>68.724467605148917</v>
      </c>
      <c r="AG274" s="94">
        <f ca="1">IF(B274=TODAY(),0,Sheet1!AA272+Sheet1!BN272+'Calculations II'!BC274+'Calculations II'!P274-Sheet1!CT272-BP274)</f>
        <v>36.890393682683232</v>
      </c>
      <c r="AH274" s="94">
        <f ca="1">IF(B274=TODAY(),0,Sheet1!AA272+Sheet1!BN272+'Calculations II'!BC274+'Calculations II'!P274-BP274)</f>
        <v>53.143393682683232</v>
      </c>
      <c r="AI274" s="94">
        <f ca="1">IF(B274=TODAY(),0,BC274+Sheet1!AA272+Calculation!ES274+O274+W274+Sheet1!BN272+Calculation!AS274+Calculation!DJ274-BP274)</f>
        <v>68.724467605148931</v>
      </c>
      <c r="AJ274" s="94"/>
      <c r="AM274" s="90">
        <f t="shared" ref="AM274:AM337" si="68">B274</f>
        <v>42998</v>
      </c>
      <c r="AN274" s="94">
        <f>Sheet1!BU272</f>
        <v>27</v>
      </c>
      <c r="AO274" s="94">
        <f>Sheet1!AA272</f>
        <v>28.36</v>
      </c>
      <c r="AP274" s="94">
        <f t="shared" si="57"/>
        <v>0.55400000000000293</v>
      </c>
      <c r="AQ274" s="1087">
        <f>((Sheet1!BV272-(Sheet1!BU272-AP274))/(Sheet1!BU272-AP274))</f>
        <v>0.14573092339106114</v>
      </c>
      <c r="AR274" s="94">
        <f t="shared" si="58"/>
        <v>27.805999999999997</v>
      </c>
      <c r="AS274" s="94">
        <f t="shared" si="59"/>
        <v>26.445999999999998</v>
      </c>
      <c r="AT274" s="89">
        <f>Sheet1!BB272</f>
        <v>0</v>
      </c>
      <c r="AU274" s="89">
        <f>Sheet1!AS272*GPMtoMGD</f>
        <v>3.5855999999999999E-2</v>
      </c>
      <c r="AV274" s="94">
        <f>Sheet1!AT272</f>
        <v>0</v>
      </c>
      <c r="AW274" s="89">
        <f>Sheet1!AV272*GPMtoMGD</f>
        <v>0.77112000000000003</v>
      </c>
      <c r="AX274" s="89">
        <f>Sheet1!AW272*GPMtoMGD</f>
        <v>1.0549440000000001</v>
      </c>
      <c r="AY274" s="89">
        <f>Sheet1!AX272*GPMtoMGD</f>
        <v>0</v>
      </c>
      <c r="AZ274" s="89">
        <f>Sheet1!AY272*GPMtoMGD</f>
        <v>0</v>
      </c>
      <c r="BA274" s="89">
        <f>Sheet1!AZ272*GPMtoMGD</f>
        <v>0</v>
      </c>
      <c r="BB274" s="89">
        <f>Sheet1!BP272*GPMtoMGD</f>
        <v>3.1680000000000002E-3</v>
      </c>
      <c r="BC274" s="89">
        <f>Sheet1!CS272*GPMtoMGD</f>
        <v>0</v>
      </c>
      <c r="BD274" s="89">
        <f>Sheet1!BO272*GPMtoMGD</f>
        <v>1.931184</v>
      </c>
      <c r="BE274" s="89">
        <f>Sheet1!BW272*GPMtoMGD</f>
        <v>1.1017440000000001</v>
      </c>
      <c r="BF274" s="89">
        <f>Sheet1!CN272*GPMtoMGD</f>
        <v>0.66312000000000004</v>
      </c>
      <c r="BG274" s="89">
        <f>Sheet1!CO272*GPMtoMGD</f>
        <v>0.83779199999999998</v>
      </c>
      <c r="BH274" s="89">
        <f>Sheet1!CP272*GPMtoMGD</f>
        <v>0</v>
      </c>
      <c r="BI274" s="89">
        <f t="shared" ref="BI274:BI337" si="69">BD274+BB274</f>
        <v>1.9343520000000001</v>
      </c>
      <c r="BK274" s="94">
        <f>SUM(AT274:BA274,AS274,BC274,Calculation!AQ274)</f>
        <v>54.12684607753431</v>
      </c>
      <c r="BM274" s="358">
        <f>0</f>
        <v>0</v>
      </c>
      <c r="BN274" s="358">
        <f>0</f>
        <v>0</v>
      </c>
      <c r="BP274" s="94">
        <f>SUM(BM274:BN274,W274,Sheet1!DX272)</f>
        <v>0</v>
      </c>
      <c r="BR274" s="94">
        <f>Sheet1!AA272</f>
        <v>28.36</v>
      </c>
      <c r="BS274" s="94">
        <f>Sheet1!AB272</f>
        <v>41.4</v>
      </c>
      <c r="BT274" s="94">
        <f t="shared" ca="1" si="60"/>
        <v>-1.1166063173167653</v>
      </c>
      <c r="BU274" s="94">
        <f>Sheet1!AT272</f>
        <v>0</v>
      </c>
      <c r="BV274" s="89">
        <f>Sheet1!BB272</f>
        <v>0</v>
      </c>
      <c r="BW274" s="94">
        <f>Calculation!ED274</f>
        <v>15.581073922465686</v>
      </c>
      <c r="BX274" s="94">
        <f>(Sheet1!CS272*1440)/1000000</f>
        <v>0</v>
      </c>
      <c r="CA274" s="94">
        <f ca="1">Sheet1!AC272-Sheet1!BK272-Sheet1!BL272-Sheet1!BM272-Sheet1!BC272-Sheet1!BD272-Sheet1!BE272-Sheet1!BF272-Sheet1!BG272-Sheet1!BH272-Sheet1!BI272+BC274+P274</f>
        <v>53.013393682683223</v>
      </c>
      <c r="CB274" s="93">
        <f t="shared" si="61"/>
        <v>83.814798641945572</v>
      </c>
      <c r="CC274" s="94">
        <f t="shared" si="62"/>
        <v>0</v>
      </c>
      <c r="CD274" s="94">
        <f t="shared" ca="1" si="63"/>
        <v>68.594467605148907</v>
      </c>
      <c r="CE274" s="1077">
        <f t="shared" ca="1" si="64"/>
        <v>106.11564138516536</v>
      </c>
      <c r="CG274" s="1077">
        <f t="shared" ca="1" si="65"/>
        <v>53.013393682683223</v>
      </c>
    </row>
    <row r="275" spans="1:85" s="89" customFormat="1" x14ac:dyDescent="0.25">
      <c r="A275" s="616" t="s">
        <v>7</v>
      </c>
      <c r="B275" s="91">
        <v>42999</v>
      </c>
      <c r="C275" s="92">
        <v>0</v>
      </c>
      <c r="D275" s="94">
        <f>(Sheet1!BQ273-Sheet1!BQ272)*1.385</f>
        <v>0.41550000000000098</v>
      </c>
      <c r="E275" s="30">
        <f>(Sheet1!BR273-Sheet1!BR272)*1.385</f>
        <v>0.41550000000000098</v>
      </c>
      <c r="F275" s="30">
        <f ca="1">IF(B275=TODAY(),0,-(VLOOKUP(Sheet1!CD273,Lookup!$I$4:$J$216,2)-VLOOKUP(Sheet1!CD272,Lookup!$I$4:$J$216,2))/1000000)</f>
        <v>0.725458569834603</v>
      </c>
      <c r="G275" s="94">
        <f ca="1">IF(B275=TODAY(),0,-$G$6*(Sheet1!CF273-Sheet1!CF272)*7.48/1000000)</f>
        <v>-1.5488265410498121</v>
      </c>
      <c r="H275" s="94">
        <f ca="1">IF(B275=TODAY(),0,-$H$6*(Sheet1!CE273-Sheet1!CE272)*7.48/1000000)</f>
        <v>-1.5039432351265274E-2</v>
      </c>
      <c r="I275" s="94">
        <f ca="1">IF(B275=TODAY(),0,-$I$6*(Sheet1!CG273-Sheet1!CG272)*7.48/1000000)</f>
        <v>4.0432391999999977E-2</v>
      </c>
      <c r="J275" s="95" t="s">
        <v>177</v>
      </c>
      <c r="K275" s="94">
        <f ca="1">IF(B275=TODAY(),0,-$K$6*(Sheet1!CH273-Sheet1!CH272)*7.48/1000000)</f>
        <v>6.6633203744584424E-2</v>
      </c>
      <c r="L275" s="95" t="s">
        <v>177</v>
      </c>
      <c r="M275" s="94">
        <f ca="1">IF(B275=TODAY(),0,-$M$6*(Sheet1!CI273-Sheet1!CI272)*7.48/1000000)</f>
        <v>0.21589810113632443</v>
      </c>
      <c r="N275" s="94">
        <f ca="1">IF(B275=TODAY(),0,-$N$6*(Sheet1!CJ273-Sheet1!CJ272)*7.48/1000000)</f>
        <v>-0.12410469078924735</v>
      </c>
      <c r="O275" s="94">
        <f t="shared" ca="1" si="66"/>
        <v>-0.63954839747481296</v>
      </c>
      <c r="P275" s="94">
        <f ca="1">O275+Calculation!ES275</f>
        <v>-1.4713416288522581</v>
      </c>
      <c r="Q275" s="89" t="str">
        <f>IF(Sheet1!BQ273&gt;25.75,"spill elevation","-")</f>
        <v>-</v>
      </c>
      <c r="R275" s="89" t="str">
        <f>IF(Sheet1!BQ273&gt;25.75,"spill elevation","-")</f>
        <v>-</v>
      </c>
      <c r="S275" s="89" t="str">
        <f>IF(Sheet1!BR273&gt;25.75,"spill elevation","-")</f>
        <v>-</v>
      </c>
      <c r="T275" s="93">
        <f>IF(Sheet1!DU273=1,Sheet1!AA273-(SUM(AT275:BA275)+BE275),Sheet1!AA273-SUM(AT275:BA275))</f>
        <v>27.090895999999997</v>
      </c>
      <c r="U275" s="93">
        <f>Sheet1!BV273</f>
        <v>31.6</v>
      </c>
      <c r="V275" s="93">
        <f t="shared" si="67"/>
        <v>-4.5091040000000042</v>
      </c>
      <c r="W275" s="93">
        <f>0</f>
        <v>0</v>
      </c>
      <c r="X275" s="89">
        <f>0</f>
        <v>0</v>
      </c>
      <c r="Y275" s="94">
        <f ca="1">Calculation!EJ276+Calculation!ES275+'Calculations II'!O275-'Calculations II'!W275</f>
        <v>49.381032827074733</v>
      </c>
      <c r="Z275" s="94">
        <f ca="1">Y275-Sheet1!CT274</f>
        <v>32.260032827074738</v>
      </c>
      <c r="AA275" s="94">
        <f ca="1">Y275+Calculation!DJ276+Calculation!AS276</f>
        <v>65.441385551475889</v>
      </c>
      <c r="AC275" s="94">
        <f>Sheet1!AA273+Sheet1!AB273+BC275</f>
        <v>67.92</v>
      </c>
      <c r="AD275" s="94">
        <f>Sheet1!AA273+Sheet1!BN273+'Calculations II'!BC275-Calculation!AS275-Calculation!DJ275</f>
        <v>35.0624778761062</v>
      </c>
      <c r="AE275" s="94">
        <f>Sheet1!AA273+Sheet1!AB273+'Calculations II'!BC275-Calculation!AS275-Calculation!DJ275</f>
        <v>51.482477876106202</v>
      </c>
      <c r="AF275" s="94">
        <f ca="1">Sheet1!AA273+Sheet1!BN273+P275+'Calculations II'!BC275+Calculation!AS275+Calculation!DJ275</f>
        <v>66.466180495041542</v>
      </c>
      <c r="AG275" s="94">
        <f ca="1">IF(B275=TODAY(),0,Sheet1!AA273+Sheet1!BN273+'Calculations II'!BC275+'Calculations II'!P275-Sheet1!CT273-BP275)</f>
        <v>34.177658371147743</v>
      </c>
      <c r="AH275" s="94">
        <f ca="1">IF(B275=TODAY(),0,Sheet1!AA273+Sheet1!BN273+'Calculations II'!BC275+'Calculations II'!P275-BP275)</f>
        <v>50.028658371147742</v>
      </c>
      <c r="AI275" s="94">
        <f ca="1">IF(B275=TODAY(),0,BC275+Sheet1!AA273+Calculation!ES275+O275+W275+Sheet1!BN273+Calculation!AS275+Calculation!DJ275-BP275)</f>
        <v>66.466180495041542</v>
      </c>
      <c r="AJ275" s="94"/>
      <c r="AM275" s="90">
        <f t="shared" si="68"/>
        <v>42999</v>
      </c>
      <c r="AN275" s="94">
        <f>Sheet1!BU273</f>
        <v>27.3</v>
      </c>
      <c r="AO275" s="94">
        <f>Sheet1!AA273</f>
        <v>28.4</v>
      </c>
      <c r="AP275" s="94">
        <f t="shared" si="57"/>
        <v>0.83100000000000196</v>
      </c>
      <c r="AQ275" s="1087">
        <f>((Sheet1!BV273-(Sheet1!BU273-AP275))/(Sheet1!BU273-AP275))</f>
        <v>0.19384940874230247</v>
      </c>
      <c r="AR275" s="94">
        <f t="shared" si="58"/>
        <v>27.568999999999996</v>
      </c>
      <c r="AS275" s="94">
        <f t="shared" si="59"/>
        <v>26.468999999999998</v>
      </c>
      <c r="AT275" s="89">
        <f>Sheet1!BB273</f>
        <v>0</v>
      </c>
      <c r="AU275" s="89">
        <f>Sheet1!AS273*GPMtoMGD</f>
        <v>3.5136000000000001E-2</v>
      </c>
      <c r="AV275" s="94">
        <f>Sheet1!AT273</f>
        <v>0</v>
      </c>
      <c r="AW275" s="89">
        <f>Sheet1!AV273*GPMtoMGD</f>
        <v>0.64497599999999999</v>
      </c>
      <c r="AX275" s="89">
        <f>Sheet1!AW273*GPMtoMGD</f>
        <v>0.62899200000000011</v>
      </c>
      <c r="AY275" s="89">
        <f>Sheet1!AX273*GPMtoMGD</f>
        <v>0</v>
      </c>
      <c r="AZ275" s="89">
        <f>Sheet1!AY273*GPMtoMGD</f>
        <v>0</v>
      </c>
      <c r="BA275" s="89">
        <f>Sheet1!AZ273*GPMtoMGD</f>
        <v>0</v>
      </c>
      <c r="BB275" s="89">
        <f>Sheet1!BP273*GPMtoMGD</f>
        <v>3.0240000000000002E-3</v>
      </c>
      <c r="BC275" s="89">
        <f>Sheet1!CS273*GPMtoMGD</f>
        <v>0</v>
      </c>
      <c r="BD275" s="89">
        <f>Sheet1!BO273*GPMtoMGD</f>
        <v>1.6416000000000002</v>
      </c>
      <c r="BE275" s="89">
        <f>Sheet1!BW273*GPMtoMGD</f>
        <v>0.88300800000000013</v>
      </c>
      <c r="BF275" s="89">
        <f>Sheet1!CN273*GPMtoMGD</f>
        <v>0.48571200000000003</v>
      </c>
      <c r="BG275" s="89">
        <f>Sheet1!CO273*GPMtoMGD</f>
        <v>0.79747199999999996</v>
      </c>
      <c r="BH275" s="89">
        <f>Sheet1!CP273*GPMtoMGD</f>
        <v>0</v>
      </c>
      <c r="BI275" s="89">
        <f t="shared" si="69"/>
        <v>1.6446240000000001</v>
      </c>
      <c r="BK275" s="94">
        <f>SUM(AT275:BA275,AS275,BC275,Calculation!AQ275)</f>
        <v>50.860581876106195</v>
      </c>
      <c r="BM275" s="358">
        <f>0</f>
        <v>0</v>
      </c>
      <c r="BN275" s="358">
        <f>0</f>
        <v>0</v>
      </c>
      <c r="BP275" s="94">
        <f>SUM(BM275:BN275,W275,Sheet1!DX273)</f>
        <v>0</v>
      </c>
      <c r="BR275" s="94">
        <f>Sheet1!AA273</f>
        <v>28.4</v>
      </c>
      <c r="BS275" s="94">
        <f>Sheet1!AB273</f>
        <v>39.520000000000003</v>
      </c>
      <c r="BT275" s="94">
        <f t="shared" ca="1" si="60"/>
        <v>-1.4713416288522581</v>
      </c>
      <c r="BU275" s="94">
        <f>Sheet1!AT273</f>
        <v>0</v>
      </c>
      <c r="BV275" s="89">
        <f>Sheet1!BB273</f>
        <v>0</v>
      </c>
      <c r="BW275" s="94">
        <f>Calculation!ED275</f>
        <v>16.437522123893803</v>
      </c>
      <c r="BX275" s="94">
        <f>(Sheet1!CS273*1440)/1000000</f>
        <v>0</v>
      </c>
      <c r="CA275" s="94">
        <f ca="1">Sheet1!AC273-Sheet1!BK273-Sheet1!BL273-Sheet1!BM273-Sheet1!BC273-Sheet1!BD273-Sheet1!BE273-Sheet1!BF273-Sheet1!BG273-Sheet1!BH273-Sheet1!BI273+BC275+P275</f>
        <v>49.998658371147734</v>
      </c>
      <c r="CB275" s="93">
        <f t="shared" si="61"/>
        <v>79.64339327433629</v>
      </c>
      <c r="CC275" s="94">
        <f t="shared" si="62"/>
        <v>0</v>
      </c>
      <c r="CD275" s="94">
        <f t="shared" ca="1" si="63"/>
        <v>66.43618049504154</v>
      </c>
      <c r="CE275" s="1077">
        <f t="shared" ca="1" si="64"/>
        <v>102.77677122582926</v>
      </c>
      <c r="CG275" s="1077">
        <f t="shared" ca="1" si="65"/>
        <v>49.998658371147734</v>
      </c>
    </row>
    <row r="276" spans="1:85" s="89" customFormat="1" x14ac:dyDescent="0.25">
      <c r="A276" s="616" t="s">
        <v>8</v>
      </c>
      <c r="B276" s="91">
        <v>43000</v>
      </c>
      <c r="C276" s="92">
        <v>0</v>
      </c>
      <c r="D276" s="94">
        <f>(Sheet1!BQ274-Sheet1!BQ273)*1.385</f>
        <v>-0.80330000000000257</v>
      </c>
      <c r="E276" s="30">
        <f>(Sheet1!BR274-Sheet1!BR273)*1.385</f>
        <v>-0.8725500000000036</v>
      </c>
      <c r="F276" s="30">
        <f ca="1">IF(B276=TODAY(),0,-(VLOOKUP(Sheet1!CD274,Lookup!$I$4:$J$216,2)-VLOOKUP(Sheet1!CD273,Lookup!$I$4:$J$216,2))/1000000)</f>
        <v>-0.41454775419120493</v>
      </c>
      <c r="G276" s="94">
        <f ca="1">IF(B276=TODAY(),0,-$G$6*(Sheet1!CF274-Sheet1!CF273)*7.48/1000000)</f>
        <v>0.63541601684094939</v>
      </c>
      <c r="H276" s="94">
        <f ca="1">IF(B276=TODAY(),0,-$H$6*(Sheet1!CE274-Sheet1!CE273)*7.48/1000000)</f>
        <v>0</v>
      </c>
      <c r="I276" s="94">
        <f ca="1">IF(B276=TODAY(),0,-$I$6*(Sheet1!CG274-Sheet1!CG273)*7.48/1000000)</f>
        <v>-1.796995199999998E-2</v>
      </c>
      <c r="J276" s="95" t="s">
        <v>177</v>
      </c>
      <c r="K276" s="94">
        <f ca="1">IF(B276=TODAY(),0,-$K$6*(Sheet1!CH274-Sheet1!CH273)*7.48/1000000)</f>
        <v>-3.3316601872292212E-2</v>
      </c>
      <c r="L276" s="95" t="s">
        <v>177</v>
      </c>
      <c r="M276" s="94">
        <f ca="1">IF(B276=TODAY(),0,-$M$6*(Sheet1!CI274-Sheet1!CI273)*7.48/1000000)</f>
        <v>-7.1966033712107941E-2</v>
      </c>
      <c r="N276" s="94">
        <f ca="1">IF(B276=TODAY(),0,-$N$6*(Sheet1!CJ274-Sheet1!CJ273)*7.48/1000000)</f>
        <v>0.19856750526279665</v>
      </c>
      <c r="O276" s="94">
        <f t="shared" ca="1" si="66"/>
        <v>0.29618318032814095</v>
      </c>
      <c r="P276" s="94">
        <f ca="1">O276+Calculation!ES276</f>
        <v>1.8210733217156967</v>
      </c>
      <c r="Q276" s="89" t="str">
        <f>IF(Sheet1!BQ274&gt;25.75,"spill elevation","-")</f>
        <v>-</v>
      </c>
      <c r="R276" s="89" t="str">
        <f>IF(Sheet1!BQ274&gt;25.75,"spill elevation","-")</f>
        <v>-</v>
      </c>
      <c r="S276" s="89" t="str">
        <f>IF(Sheet1!BR274&gt;25.75,"spill elevation","-")</f>
        <v>-</v>
      </c>
      <c r="T276" s="93">
        <f>IF(Sheet1!DU274=1,Sheet1!AA274-(SUM(AT276:BA276)+BE276),Sheet1!AA274-SUM(AT276:BA276))</f>
        <v>26.603455999999998</v>
      </c>
      <c r="U276" s="93">
        <f>Sheet1!BV274</f>
        <v>33.9</v>
      </c>
      <c r="V276" s="93">
        <f t="shared" si="67"/>
        <v>-7.2965440000000008</v>
      </c>
      <c r="W276" s="93">
        <f>0</f>
        <v>0</v>
      </c>
      <c r="X276" s="89">
        <f>0</f>
        <v>0</v>
      </c>
      <c r="Y276" s="94">
        <f ca="1">Calculation!EJ277+Calculation!ES276+'Calculations II'!O276-'Calculations II'!W276</f>
        <v>54.379777559915887</v>
      </c>
      <c r="Z276" s="94">
        <f ca="1">Y276-Sheet1!CT275</f>
        <v>38.371777559915884</v>
      </c>
      <c r="AA276" s="94">
        <f ca="1">Y276+Calculation!DJ277+Calculation!AS277</f>
        <v>69.762953164542594</v>
      </c>
      <c r="AC276" s="94">
        <f>Sheet1!AA274+Sheet1!AB274+BC276</f>
        <v>66.319999999999993</v>
      </c>
      <c r="AD276" s="94">
        <f>Sheet1!AA274+Sheet1!BN274+'Calculations II'!BC276-Calculation!AS276-Calculation!DJ276</f>
        <v>34.239647275598841</v>
      </c>
      <c r="AE276" s="94">
        <f>Sheet1!AA274+Sheet1!AB274+'Calculations II'!BC276-Calculation!AS276-Calculation!DJ276</f>
        <v>50.259647275598837</v>
      </c>
      <c r="AF276" s="94">
        <f ca="1">Sheet1!AA274+Sheet1!BN274+P276+'Calculations II'!BC276+Calculation!AS276+Calculation!DJ276</f>
        <v>68.181426046116854</v>
      </c>
      <c r="AG276" s="94">
        <f ca="1">IF(B276=TODAY(),0,Sheet1!AA274+Sheet1!BN274+'Calculations II'!BC276+'Calculations II'!P276-Sheet1!CT274-BP276)</f>
        <v>35.000073321715689</v>
      </c>
      <c r="AH276" s="94">
        <f ca="1">IF(B276=TODAY(),0,Sheet1!AA274+Sheet1!BN274+'Calculations II'!BC276+'Calculations II'!P276-BP276)</f>
        <v>52.121073321715691</v>
      </c>
      <c r="AI276" s="94">
        <f ca="1">IF(B276=TODAY(),0,BC276+Sheet1!AA274+Calculation!ES276+O276+W276+Sheet1!BN274+Calculation!AS276+Calculation!DJ276-BP276)</f>
        <v>68.181426046116854</v>
      </c>
      <c r="AJ276" s="94"/>
      <c r="AM276" s="90">
        <f t="shared" si="68"/>
        <v>43000</v>
      </c>
      <c r="AN276" s="94">
        <f>Sheet1!BU274</f>
        <v>26.9</v>
      </c>
      <c r="AO276" s="94">
        <f>Sheet1!AA274</f>
        <v>28.4</v>
      </c>
      <c r="AP276" s="94">
        <f t="shared" si="57"/>
        <v>-1.6758500000000063</v>
      </c>
      <c r="AQ276" s="1087">
        <f>((Sheet1!BV274-(Sheet1!BU274-AP276))/(Sheet1!BU274-AP276))</f>
        <v>0.18631641753438624</v>
      </c>
      <c r="AR276" s="94">
        <f t="shared" si="58"/>
        <v>30.075850000000006</v>
      </c>
      <c r="AS276" s="94">
        <f t="shared" si="59"/>
        <v>28.575850000000006</v>
      </c>
      <c r="AT276" s="89">
        <f>Sheet1!BB274</f>
        <v>0</v>
      </c>
      <c r="AU276" s="89">
        <f>Sheet1!AS274*GPMtoMGD</f>
        <v>2.1600000000000001E-2</v>
      </c>
      <c r="AV276" s="94">
        <f>Sheet1!AT274</f>
        <v>0</v>
      </c>
      <c r="AW276" s="89">
        <f>Sheet1!AV274*GPMtoMGD</f>
        <v>0.82094400000000012</v>
      </c>
      <c r="AX276" s="89">
        <f>Sheet1!AW274*GPMtoMGD</f>
        <v>0.95400000000000007</v>
      </c>
      <c r="AY276" s="89">
        <f>Sheet1!AX274*GPMtoMGD</f>
        <v>0</v>
      </c>
      <c r="AZ276" s="89">
        <f>Sheet1!AY274*GPMtoMGD</f>
        <v>0</v>
      </c>
      <c r="BA276" s="89">
        <f>Sheet1!AZ274*GPMtoMGD</f>
        <v>0</v>
      </c>
      <c r="BB276" s="89">
        <f>Sheet1!BP274*GPMtoMGD</f>
        <v>2.8800000000000002E-3</v>
      </c>
      <c r="BC276" s="89">
        <f>Sheet1!CS274*GPMtoMGD</f>
        <v>0</v>
      </c>
      <c r="BD276" s="89">
        <f>Sheet1!BO274*GPMtoMGD</f>
        <v>2.1214080000000002</v>
      </c>
      <c r="BE276" s="89">
        <f>Sheet1!BW274*GPMtoMGD</f>
        <v>0.82368000000000008</v>
      </c>
      <c r="BF276" s="89">
        <f>Sheet1!CN274*GPMtoMGD</f>
        <v>0.47030400000000006</v>
      </c>
      <c r="BG276" s="89">
        <f>Sheet1!CO274*GPMtoMGD</f>
        <v>0.82713599999999998</v>
      </c>
      <c r="BH276" s="89">
        <f>Sheet1!CP274*GPMtoMGD</f>
        <v>0</v>
      </c>
      <c r="BI276" s="89">
        <f t="shared" si="69"/>
        <v>2.1242880000000004</v>
      </c>
      <c r="BK276" s="94">
        <f>SUM(AT276:BA276,AS276,BC276,Calculation!AQ276)</f>
        <v>52.232041275598853</v>
      </c>
      <c r="BM276" s="358">
        <f>0</f>
        <v>0</v>
      </c>
      <c r="BN276" s="358">
        <f>0</f>
        <v>0</v>
      </c>
      <c r="BP276" s="94">
        <f>SUM(BM276:BN276,W276,Sheet1!DX274)</f>
        <v>0</v>
      </c>
      <c r="BR276" s="94">
        <f>Sheet1!AA274</f>
        <v>28.4</v>
      </c>
      <c r="BS276" s="94">
        <f>Sheet1!AB274</f>
        <v>37.92</v>
      </c>
      <c r="BT276" s="94">
        <f t="shared" ca="1" si="60"/>
        <v>1.8210733217156967</v>
      </c>
      <c r="BU276" s="94">
        <f>Sheet1!AT274</f>
        <v>0</v>
      </c>
      <c r="BV276" s="89">
        <f>Sheet1!BB274</f>
        <v>0</v>
      </c>
      <c r="BW276" s="94">
        <f>Calculation!ED276</f>
        <v>16.060352724401159</v>
      </c>
      <c r="BX276" s="94">
        <f>(Sheet1!CS274*1440)/1000000</f>
        <v>0</v>
      </c>
      <c r="CA276" s="94">
        <f ca="1">Sheet1!AC274-Sheet1!BK274-Sheet1!BL274-Sheet1!BM274-Sheet1!BC274-Sheet1!BD274-Sheet1!BE274-Sheet1!BF274-Sheet1!BG274-Sheet1!BH274-Sheet1!BI274+BC276+P276</f>
        <v>52.051073321715684</v>
      </c>
      <c r="CB276" s="93">
        <f t="shared" si="61"/>
        <v>77.751674335351396</v>
      </c>
      <c r="CC276" s="94">
        <f t="shared" si="62"/>
        <v>0</v>
      </c>
      <c r="CD276" s="94">
        <f t="shared" ca="1" si="63"/>
        <v>68.111426046116847</v>
      </c>
      <c r="CE276" s="1077">
        <f t="shared" ca="1" si="64"/>
        <v>105.36837609334276</v>
      </c>
      <c r="CG276" s="1077">
        <f t="shared" ca="1" si="65"/>
        <v>52.051073321715684</v>
      </c>
    </row>
    <row r="277" spans="1:85" s="89" customFormat="1" x14ac:dyDescent="0.25">
      <c r="A277" s="616" t="s">
        <v>9</v>
      </c>
      <c r="B277" s="91">
        <v>43001</v>
      </c>
      <c r="C277" s="92">
        <v>0</v>
      </c>
      <c r="D277" s="94">
        <f>(Sheet1!BQ275-Sheet1!BQ274)*1.385</f>
        <v>0.23545000000000235</v>
      </c>
      <c r="E277" s="30">
        <f>(Sheet1!BR275-Sheet1!BR274)*1.385</f>
        <v>0.15234999999999921</v>
      </c>
      <c r="F277" s="30">
        <f ca="1">IF(B277=TODAY(),0,-(VLOOKUP(Sheet1!CD275,Lookup!$I$4:$J$216,2)-VLOOKUP(Sheet1!CD274,Lookup!$I$4:$J$216,2))/1000000)</f>
        <v>0.31091081564340556</v>
      </c>
      <c r="G277" s="94">
        <f ca="1">IF(B277=TODAY(),0,-$G$6*(Sheet1!CF275-Sheet1!CF274)*7.48/1000000)</f>
        <v>0.67512951789350772</v>
      </c>
      <c r="H277" s="94">
        <f ca="1">IF(B277=TODAY(),0,-$H$6*(Sheet1!CE275-Sheet1!CE274)*7.48/1000000)</f>
        <v>0</v>
      </c>
      <c r="I277" s="94">
        <f ca="1">IF(B277=TODAY(),0,-$I$6*(Sheet1!CG275-Sheet1!CG274)*7.48/1000000)</f>
        <v>-3.5939903999999995E-2</v>
      </c>
      <c r="J277" s="95" t="s">
        <v>177</v>
      </c>
      <c r="K277" s="94">
        <f ca="1">IF(B277=TODAY(),0,-$K$6*(Sheet1!CH275-Sheet1!CH274)*7.48/1000000)</f>
        <v>-6.6633203744584424E-2</v>
      </c>
      <c r="L277" s="95" t="s">
        <v>177</v>
      </c>
      <c r="M277" s="94">
        <f ca="1">IF(B277=TODAY(),0,-$M$6*(Sheet1!CI275-Sheet1!CI274)*7.48/1000000)</f>
        <v>-0.17991508428027048</v>
      </c>
      <c r="N277" s="94">
        <f ca="1">IF(B277=TODAY(),0,-$N$6*(Sheet1!CJ275-Sheet1!CJ274)*7.48/1000000)</f>
        <v>0.52123970131484065</v>
      </c>
      <c r="O277" s="94">
        <f t="shared" ca="1" si="66"/>
        <v>1.2247918428268991</v>
      </c>
      <c r="P277" s="94">
        <f ca="1">O277+Calculation!ES277</f>
        <v>0.94757231285126875</v>
      </c>
      <c r="Q277" s="89" t="str">
        <f>IF(Sheet1!BQ275&gt;25.75,"spill elevation","-")</f>
        <v>-</v>
      </c>
      <c r="R277" s="89" t="str">
        <f>IF(Sheet1!BQ275&gt;25.75,"spill elevation","-")</f>
        <v>-</v>
      </c>
      <c r="S277" s="89" t="str">
        <f>IF(Sheet1!BR275&gt;25.75,"spill elevation","-")</f>
        <v>-</v>
      </c>
      <c r="T277" s="93">
        <f>IF(Sheet1!DU275=1,Sheet1!AA275-(SUM(AT277:BA277)+BE277),Sheet1!AA275-SUM(AT277:BA277))</f>
        <v>26.282912</v>
      </c>
      <c r="U277" s="93">
        <f>Sheet1!BV275</f>
        <v>30.9</v>
      </c>
      <c r="V277" s="93">
        <f t="shared" si="67"/>
        <v>-4.617087999999999</v>
      </c>
      <c r="W277" s="93">
        <f>0</f>
        <v>0</v>
      </c>
      <c r="X277" s="89">
        <f>0</f>
        <v>0</v>
      </c>
      <c r="Y277" s="94">
        <f ca="1">Calculation!EJ278+Calculation!ES277+'Calculations II'!O277-'Calculations II'!W277</f>
        <v>50.718520865462153</v>
      </c>
      <c r="Z277" s="94">
        <f ca="1">Y277-Sheet1!CT276</f>
        <v>34.326520865462157</v>
      </c>
      <c r="AA277" s="94">
        <f ca="1">Y277+Calculation!DJ278+Calculation!AS278</f>
        <v>65.854558800130221</v>
      </c>
      <c r="AC277" s="94">
        <f>Sheet1!AA275+Sheet1!AB275+BC277</f>
        <v>66.3</v>
      </c>
      <c r="AD277" s="94">
        <f>Sheet1!AA275+Sheet1!BN275+'Calculations II'!BC277-Calculation!AS277-Calculation!DJ277</f>
        <v>35.616824395373293</v>
      </c>
      <c r="AE277" s="94">
        <f>Sheet1!AA275+Sheet1!AB275+'Calculations II'!BC277-Calculation!AS277-Calculation!DJ277</f>
        <v>50.91682439537329</v>
      </c>
      <c r="AF277" s="94">
        <f ca="1">Sheet1!AA275+Sheet1!BN275+P277+'Calculations II'!BC277+Calculation!AS277+Calculation!DJ277</f>
        <v>67.330747917477979</v>
      </c>
      <c r="AG277" s="94">
        <f ca="1">IF(B277=TODAY(),0,Sheet1!AA275+Sheet1!BN275+'Calculations II'!BC277+'Calculations II'!P277-Sheet1!CT275-BP277)</f>
        <v>35.939572312851269</v>
      </c>
      <c r="AH277" s="94">
        <f ca="1">IF(B277=TODAY(),0,Sheet1!AA275+Sheet1!BN275+'Calculations II'!BC277+'Calculations II'!P277-BP277)</f>
        <v>51.947572312851271</v>
      </c>
      <c r="AI277" s="94">
        <f ca="1">IF(B277=TODAY(),0,BC277+Sheet1!AA275+Calculation!ES277+O277+W277+Sheet1!BN275+Calculation!AS277+Calculation!DJ277-BP277)</f>
        <v>67.330747917477964</v>
      </c>
      <c r="AJ277" s="94"/>
      <c r="AM277" s="90">
        <f t="shared" si="68"/>
        <v>43001</v>
      </c>
      <c r="AN277" s="94">
        <f>Sheet1!BU275</f>
        <v>26.7</v>
      </c>
      <c r="AO277" s="94">
        <f>Sheet1!AA275</f>
        <v>28.4</v>
      </c>
      <c r="AP277" s="94">
        <f t="shared" si="57"/>
        <v>0.38780000000000159</v>
      </c>
      <c r="AQ277" s="1087">
        <f>((Sheet1!BV275-(Sheet1!BU275-AP277))/(Sheet1!BU275-AP277))</f>
        <v>0.17436018272892431</v>
      </c>
      <c r="AR277" s="94">
        <f t="shared" si="58"/>
        <v>28.012199999999996</v>
      </c>
      <c r="AS277" s="94">
        <f t="shared" si="59"/>
        <v>26.312199999999997</v>
      </c>
      <c r="AT277" s="89">
        <f>Sheet1!BB275</f>
        <v>0</v>
      </c>
      <c r="AU277" s="89">
        <f>Sheet1!AS275*GPMtoMGD</f>
        <v>3.0384000000000005E-2</v>
      </c>
      <c r="AV277" s="94">
        <f>Sheet1!AT275</f>
        <v>0</v>
      </c>
      <c r="AW277" s="89">
        <f>Sheet1!AV275*GPMtoMGD</f>
        <v>1.0258560000000001</v>
      </c>
      <c r="AX277" s="89">
        <f>Sheet1!AW275*GPMtoMGD</f>
        <v>1.0608480000000002</v>
      </c>
      <c r="AY277" s="89">
        <f>Sheet1!AX275*GPMtoMGD</f>
        <v>0</v>
      </c>
      <c r="AZ277" s="89">
        <f>Sheet1!AY275*GPMtoMGD</f>
        <v>0</v>
      </c>
      <c r="BA277" s="89">
        <f>Sheet1!AZ275*GPMtoMGD</f>
        <v>0</v>
      </c>
      <c r="BB277" s="89">
        <f>Sheet1!BP275*GPMtoMGD</f>
        <v>2.8800000000000002E-3</v>
      </c>
      <c r="BC277" s="89">
        <f>Sheet1!CS275*GPMtoMGD</f>
        <v>0</v>
      </c>
      <c r="BD277" s="89">
        <f>Sheet1!BO275*GPMtoMGD</f>
        <v>2.3870880000000003</v>
      </c>
      <c r="BE277" s="89">
        <f>Sheet1!BW275*GPMtoMGD</f>
        <v>1.1056319999999999</v>
      </c>
      <c r="BF277" s="89">
        <f>Sheet1!CN275*GPMtoMGD</f>
        <v>0.47433599999999998</v>
      </c>
      <c r="BG277" s="89">
        <f>Sheet1!CO275*GPMtoMGD</f>
        <v>0.86860800000000016</v>
      </c>
      <c r="BH277" s="89">
        <f>Sheet1!CP275*GPMtoMGD</f>
        <v>0</v>
      </c>
      <c r="BI277" s="89">
        <f t="shared" si="69"/>
        <v>2.3899680000000005</v>
      </c>
      <c r="BK277" s="94">
        <f>SUM(AT277:BA277,AS277,BC277,Calculation!AQ277)</f>
        <v>50.946112395373291</v>
      </c>
      <c r="BM277" s="358">
        <f>0</f>
        <v>0</v>
      </c>
      <c r="BN277" s="358">
        <f>0</f>
        <v>0</v>
      </c>
      <c r="BP277" s="94">
        <f>SUM(BM277:BN277,W277,Sheet1!DX275)</f>
        <v>0</v>
      </c>
      <c r="BR277" s="94">
        <f>Sheet1!AA275</f>
        <v>28.4</v>
      </c>
      <c r="BS277" s="94">
        <f>Sheet1!AB275</f>
        <v>37.9</v>
      </c>
      <c r="BT277" s="94">
        <f t="shared" ca="1" si="60"/>
        <v>0.94757231285126875</v>
      </c>
      <c r="BU277" s="94">
        <f>Sheet1!AT275</f>
        <v>0</v>
      </c>
      <c r="BV277" s="89">
        <f>Sheet1!BB275</f>
        <v>0</v>
      </c>
      <c r="BW277" s="94">
        <f>Calculation!ED277</f>
        <v>15.383175604626707</v>
      </c>
      <c r="BX277" s="94">
        <f>(Sheet1!CS275*1440)/1000000</f>
        <v>0</v>
      </c>
      <c r="CA277" s="94">
        <f ca="1">Sheet1!AC275-Sheet1!BK275-Sheet1!BL275-Sheet1!BM275-Sheet1!BC275-Sheet1!BD275-Sheet1!BE275-Sheet1!BF275-Sheet1!BG275-Sheet1!BH275-Sheet1!BI275+BC277+P277</f>
        <v>51.807572312851256</v>
      </c>
      <c r="CB277" s="93">
        <f t="shared" si="61"/>
        <v>78.768327339642482</v>
      </c>
      <c r="CC277" s="94">
        <f t="shared" si="62"/>
        <v>0</v>
      </c>
      <c r="CD277" s="94">
        <f t="shared" ca="1" si="63"/>
        <v>67.190747917477964</v>
      </c>
      <c r="CE277" s="1077">
        <f t="shared" ca="1" si="64"/>
        <v>103.9440870283384</v>
      </c>
      <c r="CG277" s="1077">
        <f t="shared" ca="1" si="65"/>
        <v>51.807572312851256</v>
      </c>
    </row>
    <row r="278" spans="1:85" s="89" customFormat="1" x14ac:dyDescent="0.25">
      <c r="A278" s="616" t="s">
        <v>3</v>
      </c>
      <c r="B278" s="91">
        <v>43002</v>
      </c>
      <c r="C278" s="92">
        <v>0</v>
      </c>
      <c r="D278" s="94">
        <f>(Sheet1!BQ276-Sheet1!BQ275)*1.385</f>
        <v>-1.6066000000000003</v>
      </c>
      <c r="E278" s="30">
        <f>(Sheet1!BR276-Sheet1!BR275)*1.385</f>
        <v>-1.5511999999999964</v>
      </c>
      <c r="F278" s="30">
        <f ca="1">IF(B278=TODAY(),0,-(VLOOKUP(Sheet1!CD276,Lookup!$I$4:$J$216,2)-VLOOKUP(Sheet1!CD275,Lookup!$I$4:$J$216,2))/1000000)</f>
        <v>-0.41454775419120493</v>
      </c>
      <c r="G278" s="94">
        <f ca="1">IF(B278=TODAY(),0,-$G$6*(Sheet1!CF276-Sheet1!CF275)*7.48/1000000)</f>
        <v>-0.7545565199986275</v>
      </c>
      <c r="H278" s="94">
        <f ca="1">IF(B278=TODAY(),0,-$H$6*(Sheet1!CE276-Sheet1!CE275)*7.48/1000000)</f>
        <v>1.5039432351265274E-2</v>
      </c>
      <c r="I278" s="94">
        <f ca="1">IF(B278=TODAY(),0,-$I$6*(Sheet1!CG276-Sheet1!CG275)*7.48/1000000)</f>
        <v>-4.9417367999999989E-2</v>
      </c>
      <c r="J278" s="95" t="s">
        <v>177</v>
      </c>
      <c r="K278" s="94">
        <f ca="1">IF(B278=TODAY(),0,-$K$6*(Sheet1!CH276-Sheet1!CH275)*7.48/1000000)</f>
        <v>-7.3296524119042847E-2</v>
      </c>
      <c r="L278" s="95" t="s">
        <v>177</v>
      </c>
      <c r="M278" s="94">
        <f ca="1">IF(B278=TODAY(),0,-$M$6*(Sheet1!CI276-Sheet1!CI275)*7.48/1000000)</f>
        <v>-0.27347092810601104</v>
      </c>
      <c r="N278" s="94">
        <f ca="1">IF(B278=TODAY(),0,-$N$6*(Sheet1!CJ276-Sheet1!CJ275)*7.48/1000000)</f>
        <v>-0.26061985065742033</v>
      </c>
      <c r="O278" s="94">
        <f t="shared" ca="1" si="66"/>
        <v>-1.8108695127210415</v>
      </c>
      <c r="P278" s="94">
        <f ca="1">O278+Calculation!ES278</f>
        <v>1.2378401478821837</v>
      </c>
      <c r="Q278" s="89" t="str">
        <f>IF(Sheet1!BQ276&gt;25.75,"spill elevation","-")</f>
        <v>-</v>
      </c>
      <c r="R278" s="89" t="str">
        <f>IF(Sheet1!BQ276&gt;25.75,"spill elevation","-")</f>
        <v>-</v>
      </c>
      <c r="S278" s="89" t="str">
        <f>IF(Sheet1!BR276&gt;25.75,"spill elevation","-")</f>
        <v>-</v>
      </c>
      <c r="T278" s="93">
        <f>IF(Sheet1!DU276=1,Sheet1!AA276-(SUM(AT278:BA278)+BE278),Sheet1!AA276-SUM(AT278:BA278))</f>
        <v>26.582144</v>
      </c>
      <c r="U278" s="93">
        <f>Sheet1!BV276</f>
        <v>35.799999999999997</v>
      </c>
      <c r="V278" s="93">
        <f t="shared" si="67"/>
        <v>-9.2178559999999976</v>
      </c>
      <c r="W278" s="93">
        <f>0</f>
        <v>0</v>
      </c>
      <c r="X278" s="89">
        <f>0</f>
        <v>0</v>
      </c>
      <c r="Y278" s="94">
        <f ca="1">Calculation!EJ279+Calculation!ES278+'Calculations II'!O278-'Calculations II'!W278</f>
        <v>53.284864890463339</v>
      </c>
      <c r="Z278" s="94">
        <f ca="1">Y278-Sheet1!CT277</f>
        <v>37.289864890463342</v>
      </c>
      <c r="AA278" s="94">
        <f ca="1">Y278+Calculation!DJ279+Calculation!AS279</f>
        <v>69.19621055045306</v>
      </c>
      <c r="AC278" s="94">
        <f>Sheet1!AA276+Sheet1!AB276+BC278</f>
        <v>66.3</v>
      </c>
      <c r="AD278" s="94">
        <f>Sheet1!AA276+Sheet1!BN276+'Calculations II'!BC278-Calculation!AS278-Calculation!DJ278</f>
        <v>36.063962065331935</v>
      </c>
      <c r="AE278" s="94">
        <f>Sheet1!AA276+Sheet1!AB276+'Calculations II'!BC278-Calculation!AS278-Calculation!DJ278</f>
        <v>51.16396206533193</v>
      </c>
      <c r="AF278" s="94">
        <f ca="1">Sheet1!AA276+Sheet1!BN276+P278+'Calculations II'!BC278+Calculation!AS278+Calculation!DJ278</f>
        <v>67.573878082550252</v>
      </c>
      <c r="AG278" s="94">
        <f ca="1">IF(B278=TODAY(),0,Sheet1!AA276+Sheet1!BN276+'Calculations II'!BC278+'Calculations II'!P278-Sheet1!CT276-BP278)</f>
        <v>36.045840147882188</v>
      </c>
      <c r="AH278" s="94">
        <f ca="1">IF(B278=TODAY(),0,Sheet1!AA276+Sheet1!BN276+'Calculations II'!BC278+'Calculations II'!P278-BP278)</f>
        <v>52.437840147882184</v>
      </c>
      <c r="AI278" s="94">
        <f ca="1">IF(B278=TODAY(),0,BC278+Sheet1!AA276+Calculation!ES278+O278+W278+Sheet1!BN276+Calculation!AS278+Calculation!DJ278-BP278)</f>
        <v>67.573878082550252</v>
      </c>
      <c r="AJ278" s="94"/>
      <c r="AM278" s="90">
        <f t="shared" si="68"/>
        <v>43002</v>
      </c>
      <c r="AN278" s="94">
        <f>Sheet1!BU276</f>
        <v>27</v>
      </c>
      <c r="AO278" s="94">
        <f>Sheet1!AA276</f>
        <v>28.4</v>
      </c>
      <c r="AP278" s="94">
        <f t="shared" si="57"/>
        <v>-3.1577999999999964</v>
      </c>
      <c r="AQ278" s="1087">
        <f>((Sheet1!BV276-(Sheet1!BU276-AP278))/(Sheet1!BU276-AP278))</f>
        <v>0.18708924391036494</v>
      </c>
      <c r="AR278" s="94">
        <f t="shared" si="58"/>
        <v>31.557799999999993</v>
      </c>
      <c r="AS278" s="94">
        <f t="shared" si="59"/>
        <v>30.157799999999995</v>
      </c>
      <c r="AT278" s="89">
        <f>Sheet1!BB276</f>
        <v>0</v>
      </c>
      <c r="AU278" s="89">
        <f>Sheet1!AS276*GPMtoMGD</f>
        <v>3.456E-2</v>
      </c>
      <c r="AV278" s="94">
        <f>Sheet1!AT276</f>
        <v>0</v>
      </c>
      <c r="AW278" s="89">
        <f>Sheet1!AV276*GPMtoMGD</f>
        <v>0.94838400000000012</v>
      </c>
      <c r="AX278" s="89">
        <f>Sheet1!AW276*GPMtoMGD</f>
        <v>0.83491199999999999</v>
      </c>
      <c r="AY278" s="89">
        <f>Sheet1!AX276*GPMtoMGD</f>
        <v>0</v>
      </c>
      <c r="AZ278" s="89">
        <f>Sheet1!AY276*GPMtoMGD</f>
        <v>0</v>
      </c>
      <c r="BA278" s="89">
        <f>Sheet1!AZ276*GPMtoMGD</f>
        <v>0</v>
      </c>
      <c r="BB278" s="89">
        <f>Sheet1!BP276*GPMtoMGD</f>
        <v>2.8800000000000002E-3</v>
      </c>
      <c r="BC278" s="89">
        <f>Sheet1!CS276*GPMtoMGD</f>
        <v>0</v>
      </c>
      <c r="BD278" s="89">
        <f>Sheet1!BO276*GPMtoMGD</f>
        <v>2.6360640000000002</v>
      </c>
      <c r="BE278" s="89">
        <f>Sheet1!BW276*GPMtoMGD</f>
        <v>1.1033280000000001</v>
      </c>
      <c r="BF278" s="89">
        <f>Sheet1!CN276*GPMtoMGD</f>
        <v>0.95040000000000002</v>
      </c>
      <c r="BG278" s="89">
        <f>Sheet1!CO276*GPMtoMGD</f>
        <v>0.92174400000000012</v>
      </c>
      <c r="BH278" s="89">
        <f>Sheet1!CP276*GPMtoMGD</f>
        <v>0</v>
      </c>
      <c r="BI278" s="89">
        <f t="shared" si="69"/>
        <v>2.6389440000000004</v>
      </c>
      <c r="BK278" s="94">
        <f>SUM(AT278:BA278,AS278,BC278,Calculation!AQ278)</f>
        <v>54.739618065331925</v>
      </c>
      <c r="BM278" s="358">
        <f>0</f>
        <v>0</v>
      </c>
      <c r="BN278" s="358">
        <f>0</f>
        <v>0</v>
      </c>
      <c r="BP278" s="94">
        <f>SUM(BM278:BN278,W278,Sheet1!DX276)</f>
        <v>0</v>
      </c>
      <c r="BR278" s="94">
        <f>Sheet1!AA276</f>
        <v>28.4</v>
      </c>
      <c r="BS278" s="94">
        <f>Sheet1!AB276</f>
        <v>37.9</v>
      </c>
      <c r="BT278" s="94">
        <f t="shared" ca="1" si="60"/>
        <v>1.2378401478821837</v>
      </c>
      <c r="BU278" s="94">
        <f>Sheet1!AT276</f>
        <v>0</v>
      </c>
      <c r="BV278" s="89">
        <f>Sheet1!BB276</f>
        <v>0</v>
      </c>
      <c r="BW278" s="94">
        <f>Calculation!ED278</f>
        <v>15.136037934668071</v>
      </c>
      <c r="BX278" s="94">
        <f>(Sheet1!CS276*1440)/1000000</f>
        <v>0</v>
      </c>
      <c r="CA278" s="94">
        <f ca="1">Sheet1!AC276-Sheet1!BK276-Sheet1!BL276-Sheet1!BM276-Sheet1!BC276-Sheet1!BD276-Sheet1!BE276-Sheet1!BF276-Sheet1!BG276-Sheet1!BH276-Sheet1!BI276+BC278+P278</f>
        <v>52.377840147882182</v>
      </c>
      <c r="CB278" s="93">
        <f t="shared" si="61"/>
        <v>79.150649315068492</v>
      </c>
      <c r="CC278" s="94">
        <f t="shared" si="62"/>
        <v>0</v>
      </c>
      <c r="CD278" s="94">
        <f t="shared" ca="1" si="63"/>
        <v>67.513878082550249</v>
      </c>
      <c r="CE278" s="1077">
        <f t="shared" ca="1" si="64"/>
        <v>104.44396939370523</v>
      </c>
      <c r="CG278" s="1077">
        <f t="shared" ca="1" si="65"/>
        <v>52.377840147882182</v>
      </c>
    </row>
    <row r="279" spans="1:85" s="89" customFormat="1" x14ac:dyDescent="0.25">
      <c r="A279" s="616" t="s">
        <v>4</v>
      </c>
      <c r="B279" s="91">
        <v>43003</v>
      </c>
      <c r="C279" s="92">
        <v>0</v>
      </c>
      <c r="D279" s="94">
        <f>(Sheet1!BQ277-Sheet1!BQ276)*1.385</f>
        <v>-0.40164999999999884</v>
      </c>
      <c r="E279" s="30">
        <f>(Sheet1!BR277-Sheet1!BR276)*1.385</f>
        <v>-0.40164999999999884</v>
      </c>
      <c r="F279" s="30">
        <f ca="1">IF(B279=TODAY(),0,-(VLOOKUP(Sheet1!CD277,Lookup!$I$4:$J$216,2)-VLOOKUP(Sheet1!CD276,Lookup!$I$4:$J$216,2))/1000000)</f>
        <v>-0.31091081564339806</v>
      </c>
      <c r="G279" s="94">
        <f ca="1">IF(B279=TODAY(),0,-$G$6*(Sheet1!CF277-Sheet1!CF276)*7.48/1000000)</f>
        <v>0.67512951789350917</v>
      </c>
      <c r="H279" s="94">
        <f ca="1">IF(B279=TODAY(),0,-$H$6*(Sheet1!CE277-Sheet1!CE276)*7.48/1000000)</f>
        <v>1.5039432351265274E-2</v>
      </c>
      <c r="I279" s="94">
        <f ca="1">IF(B279=TODAY(),0,-$I$6*(Sheet1!CG277-Sheet1!CG276)*7.48/1000000)</f>
        <v>5.8402343999999953E-2</v>
      </c>
      <c r="J279" s="95" t="s">
        <v>177</v>
      </c>
      <c r="K279" s="94">
        <f ca="1">IF(B279=TODAY(),0,-$K$6*(Sheet1!CH277-Sheet1!CH276)*7.48/1000000)</f>
        <v>0.1032814658041059</v>
      </c>
      <c r="L279" s="95" t="s">
        <v>177</v>
      </c>
      <c r="M279" s="94">
        <f ca="1">IF(B279=TODAY(),0,-$M$6*(Sheet1!CI277-Sheet1!CI276)*7.48/1000000)</f>
        <v>0.25547941967798371</v>
      </c>
      <c r="N279" s="94">
        <f ca="1">IF(B279=TODAY(),0,-$N$6*(Sheet1!CJ277-Sheet1!CJ276)*7.48/1000000)</f>
        <v>-0.3164669615125818</v>
      </c>
      <c r="O279" s="94">
        <f t="shared" ca="1" si="66"/>
        <v>0.47995440257088406</v>
      </c>
      <c r="P279" s="94">
        <f ca="1">O279+Calculation!ES279</f>
        <v>1.3111514541495475</v>
      </c>
      <c r="Q279" s="89" t="str">
        <f>IF(Sheet1!BQ277&gt;25.75,"spill elevation","-")</f>
        <v>-</v>
      </c>
      <c r="R279" s="89" t="str">
        <f>IF(Sheet1!BQ277&gt;25.75,"spill elevation","-")</f>
        <v>-</v>
      </c>
      <c r="S279" s="89" t="str">
        <f>IF(Sheet1!BR277&gt;25.75,"spill elevation","-")</f>
        <v>-</v>
      </c>
      <c r="T279" s="93">
        <f>IF(Sheet1!DU277=1,Sheet1!AA277-(SUM(AT279:BA279)+BE279),Sheet1!AA277-SUM(AT279:BA279))</f>
        <v>26.691583999999999</v>
      </c>
      <c r="U279" s="93">
        <f>Sheet1!BV277</f>
        <v>32.9</v>
      </c>
      <c r="V279" s="93">
        <f t="shared" si="67"/>
        <v>-6.2084159999999997</v>
      </c>
      <c r="W279" s="93">
        <f>0</f>
        <v>0</v>
      </c>
      <c r="X279" s="89">
        <f>0</f>
        <v>0</v>
      </c>
      <c r="Y279" s="94">
        <f ca="1">Calculation!EJ280+Calculation!ES279+'Calculations II'!O279-'Calculations II'!W279</f>
        <v>56.147869449685793</v>
      </c>
      <c r="Z279" s="94">
        <f ca="1">Y279-Sheet1!CT278</f>
        <v>40.344869449685788</v>
      </c>
      <c r="AA279" s="94">
        <f ca="1">Y279+Calculation!DJ280+Calculation!AS280</f>
        <v>72.05062537443537</v>
      </c>
      <c r="AC279" s="94">
        <f>Sheet1!AA277+Sheet1!AB277+BC279</f>
        <v>67.27</v>
      </c>
      <c r="AD279" s="94">
        <f>Sheet1!AA277+Sheet1!BN277+'Calculations II'!BC279-Calculation!AS279-Calculation!DJ279</f>
        <v>35.488654340010271</v>
      </c>
      <c r="AE279" s="94">
        <f>Sheet1!AA277+Sheet1!AB277+'Calculations II'!BC279-Calculation!AS279-Calculation!DJ279</f>
        <v>51.358654340010268</v>
      </c>
      <c r="AF279" s="94">
        <f ca="1">Sheet1!AA277+Sheet1!BN277+P279+'Calculations II'!BC279+Calculation!AS279+Calculation!DJ279</f>
        <v>68.622497114139264</v>
      </c>
      <c r="AG279" s="94">
        <f ca="1">IF(B279=TODAY(),0,Sheet1!AA277+Sheet1!BN277+'Calculations II'!BC279+'Calculations II'!P279-Sheet1!CT277-BP279)</f>
        <v>36.716151454149546</v>
      </c>
      <c r="AH279" s="94">
        <f ca="1">IF(B279=TODAY(),0,Sheet1!AA277+Sheet1!BN277+'Calculations II'!BC279+'Calculations II'!P279-BP279)</f>
        <v>52.711151454149544</v>
      </c>
      <c r="AI279" s="94">
        <f ca="1">IF(B279=TODAY(),0,BC279+Sheet1!AA277+Calculation!ES279+O279+W279+Sheet1!BN277+Calculation!AS279+Calculation!DJ279-BP279)</f>
        <v>68.622497114139264</v>
      </c>
      <c r="AJ279" s="94"/>
      <c r="AM279" s="90">
        <f t="shared" si="68"/>
        <v>43003</v>
      </c>
      <c r="AN279" s="94">
        <f>Sheet1!BU277</f>
        <v>26.9</v>
      </c>
      <c r="AO279" s="94">
        <f>Sheet1!AA277</f>
        <v>28.4</v>
      </c>
      <c r="AP279" s="94">
        <f t="shared" si="57"/>
        <v>-0.80329999999999768</v>
      </c>
      <c r="AQ279" s="1087">
        <f>((Sheet1!BV277-(Sheet1!BU277-AP279))/(Sheet1!BU277-AP279))</f>
        <v>0.18758415062465497</v>
      </c>
      <c r="AR279" s="94">
        <f t="shared" si="58"/>
        <v>29.203299999999995</v>
      </c>
      <c r="AS279" s="94">
        <f t="shared" si="59"/>
        <v>27.703299999999995</v>
      </c>
      <c r="AT279" s="89">
        <f>Sheet1!BB277</f>
        <v>0</v>
      </c>
      <c r="AU279" s="89">
        <f>Sheet1!AS277*GPMtoMGD</f>
        <v>3.456E-2</v>
      </c>
      <c r="AV279" s="94">
        <f>Sheet1!AT277</f>
        <v>0</v>
      </c>
      <c r="AW279" s="89">
        <f>Sheet1!AV277*GPMtoMGD</f>
        <v>0.83995200000000003</v>
      </c>
      <c r="AX279" s="89">
        <f>Sheet1!AW277*GPMtoMGD</f>
        <v>0.83390400000000009</v>
      </c>
      <c r="AY279" s="89">
        <f>Sheet1!AX277*GPMtoMGD</f>
        <v>0</v>
      </c>
      <c r="AZ279" s="89">
        <f>Sheet1!AY277*GPMtoMGD</f>
        <v>0</v>
      </c>
      <c r="BA279" s="89">
        <f>Sheet1!AZ277*GPMtoMGD</f>
        <v>0</v>
      </c>
      <c r="BB279" s="89">
        <f>Sheet1!BP277*GPMtoMGD</f>
        <v>2.8800000000000002E-3</v>
      </c>
      <c r="BC279" s="89">
        <f>Sheet1!CS277*GPMtoMGD</f>
        <v>0</v>
      </c>
      <c r="BD279" s="89">
        <f>Sheet1!BO277*GPMtoMGD</f>
        <v>1.7282880000000003</v>
      </c>
      <c r="BE279" s="89">
        <f>Sheet1!BW277*GPMtoMGD</f>
        <v>0.88891200000000004</v>
      </c>
      <c r="BF279" s="89">
        <f>Sheet1!CN277*GPMtoMGD</f>
        <v>0.7128000000000001</v>
      </c>
      <c r="BG279" s="89">
        <f>Sheet1!CO277*GPMtoMGD</f>
        <v>0.87523200000000001</v>
      </c>
      <c r="BH279" s="89">
        <f>Sheet1!CP277*GPMtoMGD</f>
        <v>0</v>
      </c>
      <c r="BI279" s="89">
        <f t="shared" si="69"/>
        <v>1.7311680000000003</v>
      </c>
      <c r="BK279" s="94">
        <f>SUM(AT279:BA279,AS279,BC279,Calculation!AQ279)</f>
        <v>52.370370340010268</v>
      </c>
      <c r="BM279" s="358">
        <f>0</f>
        <v>0</v>
      </c>
      <c r="BN279" s="358">
        <f>0</f>
        <v>0</v>
      </c>
      <c r="BP279" s="94">
        <f>SUM(BM279:BN279,W279,Sheet1!DX277)</f>
        <v>0</v>
      </c>
      <c r="BR279" s="94">
        <f>Sheet1!AA277</f>
        <v>28.4</v>
      </c>
      <c r="BS279" s="94">
        <f>Sheet1!AB277</f>
        <v>38.869999999999997</v>
      </c>
      <c r="BT279" s="94">
        <f t="shared" ca="1" si="60"/>
        <v>1.3111514541495475</v>
      </c>
      <c r="BU279" s="94">
        <f>Sheet1!AT277</f>
        <v>0</v>
      </c>
      <c r="BV279" s="89">
        <f>Sheet1!BB277</f>
        <v>0</v>
      </c>
      <c r="BW279" s="94">
        <f>Calculation!ED279</f>
        <v>15.911345659989728</v>
      </c>
      <c r="BX279" s="94">
        <f>(Sheet1!CS277*1440)/1000000</f>
        <v>0</v>
      </c>
      <c r="CA279" s="94">
        <f ca="1">Sheet1!AC277-Sheet1!BK277-Sheet1!BL277-Sheet1!BM277-Sheet1!BC277-Sheet1!BD277-Sheet1!BE277-Sheet1!BF277-Sheet1!BG277-Sheet1!BH277-Sheet1!BI277+BC279+P279</f>
        <v>52.641151454149536</v>
      </c>
      <c r="CB279" s="93">
        <f t="shared" si="61"/>
        <v>79.451838263995882</v>
      </c>
      <c r="CC279" s="94">
        <f t="shared" si="62"/>
        <v>0</v>
      </c>
      <c r="CD279" s="94">
        <f t="shared" ca="1" si="63"/>
        <v>68.552497114139271</v>
      </c>
      <c r="CE279" s="1077">
        <f t="shared" ca="1" si="64"/>
        <v>106.05071303557345</v>
      </c>
      <c r="CG279" s="1077">
        <f t="shared" ca="1" si="65"/>
        <v>52.641151454149536</v>
      </c>
    </row>
    <row r="280" spans="1:85" s="89" customFormat="1" x14ac:dyDescent="0.25">
      <c r="A280" s="616" t="s">
        <v>5</v>
      </c>
      <c r="B280" s="91">
        <v>43004</v>
      </c>
      <c r="C280" s="92">
        <v>0</v>
      </c>
      <c r="D280" s="94">
        <f>(Sheet1!BQ278-Sheet1!BQ277)*1.385</f>
        <v>0.16619999999999646</v>
      </c>
      <c r="E280" s="30">
        <f>(Sheet1!BR278-Sheet1!BR277)*1.385</f>
        <v>0.19389999999999588</v>
      </c>
      <c r="F280" s="30">
        <f ca="1">IF(B280=TODAY(),0,-(VLOOKUP(Sheet1!CD278,Lookup!$I$4:$J$216,2)-VLOOKUP(Sheet1!CD277,Lookup!$I$4:$J$216,2))/1000000)</f>
        <v>0.82909550838240231</v>
      </c>
      <c r="G280" s="94">
        <f ca="1">IF(B280=TODAY(),0,-$G$6*(Sheet1!CF278-Sheet1!CF277)*7.48/1000000)</f>
        <v>-0.39713501052559297</v>
      </c>
      <c r="H280" s="94">
        <f ca="1">IF(B280=TODAY(),0,-$H$6*(Sheet1!CE278-Sheet1!CE277)*7.48/1000000)</f>
        <v>0</v>
      </c>
      <c r="I280" s="94">
        <f ca="1">IF(B280=TODAY(),0,-$I$6*(Sheet1!CG278-Sheet1!CG277)*7.48/1000000)</f>
        <v>1.2578966400000013E-2</v>
      </c>
      <c r="J280" s="95" t="s">
        <v>177</v>
      </c>
      <c r="K280" s="94">
        <f ca="1">IF(B280=TODAY(),0,-$K$6*(Sheet1!CH278-Sheet1!CH277)*7.48/1000000)</f>
        <v>1.6658300936146106E-2</v>
      </c>
      <c r="L280" s="95" t="s">
        <v>177</v>
      </c>
      <c r="M280" s="94">
        <f ca="1">IF(B280=TODAY(),0,-$M$6*(Sheet1!CI278-Sheet1!CI277)*7.48/1000000)</f>
        <v>7.1966033712108565E-2</v>
      </c>
      <c r="N280" s="94">
        <f ca="1">IF(B280=TODAY(),0,-$N$6*(Sheet1!CJ278-Sheet1!CJ277)*7.48/1000000)</f>
        <v>0.45298212138075367</v>
      </c>
      <c r="O280" s="94">
        <f t="shared" ca="1" si="66"/>
        <v>0.9861459202858176</v>
      </c>
      <c r="P280" s="94">
        <f ca="1">O280+Calculation!ES280</f>
        <v>0.5705377804382783</v>
      </c>
      <c r="Q280" s="89" t="str">
        <f>IF(Sheet1!BQ278&gt;25.75,"spill elevation","-")</f>
        <v>-</v>
      </c>
      <c r="R280" s="89" t="str">
        <f>IF(Sheet1!BQ278&gt;25.75,"spill elevation","-")</f>
        <v>-</v>
      </c>
      <c r="S280" s="89" t="str">
        <f>IF(Sheet1!BR278&gt;25.75,"spill elevation","-")</f>
        <v>-</v>
      </c>
      <c r="T280" s="93">
        <f>IF(Sheet1!DU278=1,Sheet1!AA278-(SUM(AT280:BA280)+BE280),Sheet1!AA278-SUM(AT280:BA280))</f>
        <v>25.406671999999997</v>
      </c>
      <c r="U280" s="93">
        <f>Sheet1!BV278</f>
        <v>30.2</v>
      </c>
      <c r="V280" s="93">
        <f t="shared" si="67"/>
        <v>-4.7933280000000025</v>
      </c>
      <c r="W280" s="93">
        <f>0</f>
        <v>0</v>
      </c>
      <c r="X280" s="89">
        <f>0</f>
        <v>0</v>
      </c>
      <c r="Y280" s="94">
        <f ca="1">Calculation!EJ281+Calculation!ES280+'Calculations II'!O280-'Calculations II'!W280</f>
        <v>55.290165440456697</v>
      </c>
      <c r="Z280" s="94">
        <f ca="1">Y280-Sheet1!CT279</f>
        <v>39.3071654404567</v>
      </c>
      <c r="AA280" s="94">
        <f ca="1">Y280+Calculation!DJ281+Calculation!AS281</f>
        <v>71.163313192062688</v>
      </c>
      <c r="AC280" s="94">
        <f>Sheet1!AA278+Sheet1!AB278+BC280</f>
        <v>69.259999999999991</v>
      </c>
      <c r="AD280" s="94">
        <f>Sheet1!AA278+Sheet1!BN278+'Calculations II'!BC280-Calculation!AS280-Calculation!DJ280</f>
        <v>37.497244075250428</v>
      </c>
      <c r="AE280" s="94">
        <f>Sheet1!AA278+Sheet1!AB278+'Calculations II'!BC280-Calculation!AS280-Calculation!DJ280</f>
        <v>53.357244075250421</v>
      </c>
      <c r="AF280" s="94">
        <f ca="1">Sheet1!AA278+Sheet1!BN278+P280+'Calculations II'!BC280+Calculation!AS280+Calculation!DJ280</f>
        <v>69.873293705187848</v>
      </c>
      <c r="AG280" s="94">
        <f ca="1">IF(B280=TODAY(),0,Sheet1!AA278+Sheet1!BN278+'Calculations II'!BC280+'Calculations II'!P280-Sheet1!CT278-BP280)</f>
        <v>38.16753778043828</v>
      </c>
      <c r="AH280" s="94">
        <f ca="1">IF(B280=TODAY(),0,Sheet1!AA278+Sheet1!BN278+'Calculations II'!BC280+'Calculations II'!P280-BP280)</f>
        <v>53.970537780438278</v>
      </c>
      <c r="AI280" s="94">
        <f ca="1">IF(B280=TODAY(),0,BC280+Sheet1!AA278+Calculation!ES280+O280+W280+Sheet1!BN278+Calculation!AS280+Calculation!DJ280-BP280)</f>
        <v>69.873293705187848</v>
      </c>
      <c r="AJ280" s="94"/>
      <c r="AM280" s="90">
        <f t="shared" si="68"/>
        <v>43004</v>
      </c>
      <c r="AN280" s="94">
        <f>Sheet1!BU278</f>
        <v>25.9</v>
      </c>
      <c r="AO280" s="94">
        <f>Sheet1!AA278</f>
        <v>28.4</v>
      </c>
      <c r="AP280" s="94">
        <f t="shared" si="57"/>
        <v>0.36009999999999232</v>
      </c>
      <c r="AQ280" s="1087">
        <f>((Sheet1!BV278-(Sheet1!BU278-AP280))/(Sheet1!BU278-AP280))</f>
        <v>0.18246351786811976</v>
      </c>
      <c r="AR280" s="94">
        <f t="shared" si="58"/>
        <v>28.039900000000006</v>
      </c>
      <c r="AS280" s="94">
        <f t="shared" si="59"/>
        <v>25.539900000000006</v>
      </c>
      <c r="AT280" s="89">
        <f>Sheet1!BB278</f>
        <v>0</v>
      </c>
      <c r="AU280" s="89">
        <f>Sheet1!AS278*GPMtoMGD</f>
        <v>3.6432000000000006E-2</v>
      </c>
      <c r="AV280" s="94">
        <f>Sheet1!AT278</f>
        <v>0.63</v>
      </c>
      <c r="AW280" s="89">
        <f>Sheet1!AV278*GPMtoMGD</f>
        <v>1.1819520000000001</v>
      </c>
      <c r="AX280" s="89">
        <f>Sheet1!AW278*GPMtoMGD</f>
        <v>1.1449440000000002</v>
      </c>
      <c r="AY280" s="89">
        <f>Sheet1!AX278*GPMtoMGD</f>
        <v>0</v>
      </c>
      <c r="AZ280" s="89">
        <f>Sheet1!AY278*GPMtoMGD</f>
        <v>0</v>
      </c>
      <c r="BA280" s="89">
        <f>Sheet1!AZ278*GPMtoMGD</f>
        <v>0</v>
      </c>
      <c r="BB280" s="89">
        <f>Sheet1!BP278*GPMtoMGD</f>
        <v>2.8800000000000002E-3</v>
      </c>
      <c r="BC280" s="89">
        <f>Sheet1!CS278*GPMtoMGD</f>
        <v>0</v>
      </c>
      <c r="BD280" s="89">
        <f>Sheet1!BO278*GPMtoMGD</f>
        <v>2.0158560000000003</v>
      </c>
      <c r="BE280" s="89">
        <f>Sheet1!BW278*GPMtoMGD</f>
        <v>0.90014400000000006</v>
      </c>
      <c r="BF280" s="89">
        <f>Sheet1!CN278*GPMtoMGD</f>
        <v>0.73440000000000005</v>
      </c>
      <c r="BG280" s="89">
        <f>Sheet1!CO278*GPMtoMGD</f>
        <v>0.829152</v>
      </c>
      <c r="BH280" s="89">
        <f>Sheet1!CP278*GPMtoMGD</f>
        <v>0</v>
      </c>
      <c r="BI280" s="89">
        <f t="shared" si="69"/>
        <v>2.0187360000000005</v>
      </c>
      <c r="BK280" s="94">
        <f>SUM(AT280:BA280,AS280,BC280,Calculation!AQ280)</f>
        <v>53.490472075250437</v>
      </c>
      <c r="BM280" s="358">
        <f>0</f>
        <v>0</v>
      </c>
      <c r="BN280" s="358">
        <f>0</f>
        <v>0</v>
      </c>
      <c r="BP280" s="94">
        <f>SUM(BM280:BN280,W280,Sheet1!DX278)</f>
        <v>0</v>
      </c>
      <c r="BR280" s="94">
        <f>Sheet1!AA278</f>
        <v>28.4</v>
      </c>
      <c r="BS280" s="94">
        <f>Sheet1!AB278</f>
        <v>40.86</v>
      </c>
      <c r="BT280" s="94">
        <f t="shared" ca="1" si="60"/>
        <v>0.5705377804382783</v>
      </c>
      <c r="BU280" s="94">
        <f>Sheet1!AT278</f>
        <v>0.63</v>
      </c>
      <c r="BV280" s="89">
        <f>Sheet1!BB278</f>
        <v>0</v>
      </c>
      <c r="BW280" s="94">
        <f>Calculation!ED280</f>
        <v>15.902755924749572</v>
      </c>
      <c r="BX280" s="94">
        <f>(Sheet1!CS278*1440)/1000000</f>
        <v>0</v>
      </c>
      <c r="CA280" s="94">
        <f ca="1">Sheet1!AC278-Sheet1!BK278-Sheet1!BL278-Sheet1!BM278-Sheet1!BC278-Sheet1!BD278-Sheet1!BE278-Sheet1!BF278-Sheet1!BG278-Sheet1!BH278-Sheet1!BI278+BC280+P280</f>
        <v>53.90053778043827</v>
      </c>
      <c r="CB280" s="93">
        <f t="shared" si="61"/>
        <v>82.543656584412403</v>
      </c>
      <c r="CC280" s="94">
        <f t="shared" si="62"/>
        <v>0.63</v>
      </c>
      <c r="CD280" s="94">
        <f t="shared" ca="1" si="63"/>
        <v>69.803293705187841</v>
      </c>
      <c r="CE280" s="1077">
        <f t="shared" ca="1" si="64"/>
        <v>107.98569536192558</v>
      </c>
      <c r="CG280" s="1077">
        <f t="shared" ca="1" si="65"/>
        <v>53.270537780438268</v>
      </c>
    </row>
    <row r="281" spans="1:85" s="89" customFormat="1" x14ac:dyDescent="0.25">
      <c r="A281" s="616" t="s">
        <v>6</v>
      </c>
      <c r="B281" s="91">
        <v>43005</v>
      </c>
      <c r="C281" s="92">
        <v>0</v>
      </c>
      <c r="D281" s="94">
        <f>(Sheet1!BQ279-Sheet1!BQ278)*1.385</f>
        <v>-0.74789999999999879</v>
      </c>
      <c r="E281" s="30">
        <f>(Sheet1!BR279-Sheet1!BR278)*1.385</f>
        <v>-0.7201999999999994</v>
      </c>
      <c r="F281" s="30">
        <f ca="1">IF(B281=TODAY(),0,-(VLOOKUP(Sheet1!CD279,Lookup!$I$4:$J$216,2)-VLOOKUP(Sheet1!CD278,Lookup!$I$4:$J$216,2))/1000000)</f>
        <v>0.10363693854779936</v>
      </c>
      <c r="G281" s="94">
        <f ca="1">IF(B281=TODAY(),0,-$G$6*(Sheet1!CF279-Sheet1!CF278)*7.48/1000000)</f>
        <v>0.11914050315767677</v>
      </c>
      <c r="H281" s="94">
        <f ca="1">IF(B281=TODAY(),0,-$H$6*(Sheet1!CE279-Sheet1!CE278)*7.48/1000000)</f>
        <v>0</v>
      </c>
      <c r="I281" s="94">
        <f ca="1">IF(B281=TODAY(),0,-$I$6*(Sheet1!CG279-Sheet1!CG278)*7.48/1000000)</f>
        <v>-2.6954927999999989E-2</v>
      </c>
      <c r="J281" s="95" t="s">
        <v>177</v>
      </c>
      <c r="K281" s="94">
        <f ca="1">IF(B281=TODAY(),0,-$K$6*(Sheet1!CH279-Sheet1!CH278)*7.48/1000000)</f>
        <v>-4.3311582433979902E-2</v>
      </c>
      <c r="L281" s="95" t="s">
        <v>177</v>
      </c>
      <c r="M281" s="94">
        <f ca="1">IF(B281=TODAY(),0,-$M$6*(Sheet1!CI279-Sheet1!CI278)*7.48/1000000)</f>
        <v>-0.10794905056816255</v>
      </c>
      <c r="N281" s="94">
        <f ca="1">IF(B281=TODAY(),0,-$N$6*(Sheet1!CJ279-Sheet1!CJ278)*7.48/1000000)</f>
        <v>-1.2410469078924517E-2</v>
      </c>
      <c r="O281" s="94">
        <f t="shared" ca="1" si="66"/>
        <v>3.2151411624409196E-2</v>
      </c>
      <c r="P281" s="94">
        <f ca="1">O281+Calculation!ES281</f>
        <v>1.5558428320772537</v>
      </c>
      <c r="Q281" s="89" t="str">
        <f>IF(Sheet1!BQ279&gt;25.75,"spill elevation","-")</f>
        <v>-</v>
      </c>
      <c r="R281" s="89" t="str">
        <f>IF(Sheet1!BQ279&gt;25.75,"spill elevation","-")</f>
        <v>-</v>
      </c>
      <c r="S281" s="89" t="str">
        <f>IF(Sheet1!BR279&gt;25.75,"spill elevation","-")</f>
        <v>-</v>
      </c>
      <c r="T281" s="93">
        <f>IF(Sheet1!DU279=1,Sheet1!AA279-(SUM(AT281:BA281)+BE281),Sheet1!AA279-SUM(AT281:BA281))</f>
        <v>25.619375999999999</v>
      </c>
      <c r="U281" s="93">
        <f>Sheet1!BV279</f>
        <v>32.299999999999997</v>
      </c>
      <c r="V281" s="93">
        <f t="shared" si="67"/>
        <v>-6.6806239999999981</v>
      </c>
      <c r="W281" s="93">
        <f>0</f>
        <v>0</v>
      </c>
      <c r="X281" s="89">
        <f>0</f>
        <v>0</v>
      </c>
      <c r="Y281" s="94">
        <f ca="1">Calculation!EJ282+Calculation!ES281+'Calculations II'!O281-'Calculations II'!W281</f>
        <v>56.860221905509086</v>
      </c>
      <c r="Z281" s="94">
        <f ca="1">Y281-Sheet1!CT280</f>
        <v>40.713221905509087</v>
      </c>
      <c r="AA281" s="94">
        <f ca="1">Y281+Calculation!DJ282+Calculation!AS282</f>
        <v>72.475658663021321</v>
      </c>
      <c r="AC281" s="94">
        <f>Sheet1!AA279+Sheet1!AB279+BC281</f>
        <v>70.180000000000007</v>
      </c>
      <c r="AD281" s="94">
        <f>Sheet1!AA279+Sheet1!BN279+'Calculations II'!BC281-Calculation!AS281-Calculation!DJ281</f>
        <v>38.526852248394007</v>
      </c>
      <c r="AE281" s="94">
        <f>Sheet1!AA279+Sheet1!AB279+'Calculations II'!BC281-Calculation!AS281-Calculation!DJ281</f>
        <v>54.306852248394009</v>
      </c>
      <c r="AF281" s="94">
        <f ca="1">Sheet1!AA279+Sheet1!BN279+P281+'Calculations II'!BC281+Calculation!AS281+Calculation!DJ281</f>
        <v>71.82899058368325</v>
      </c>
      <c r="AG281" s="94">
        <f ca="1">IF(B281=TODAY(),0,Sheet1!AA279+Sheet1!BN279+'Calculations II'!BC281+'Calculations II'!P281-Sheet1!CT279-BP281)</f>
        <v>39.972842832077262</v>
      </c>
      <c r="AH281" s="94">
        <f ca="1">IF(B281=TODAY(),0,Sheet1!AA279+Sheet1!BN279+'Calculations II'!BC281+'Calculations II'!P281-BP281)</f>
        <v>55.955842832077259</v>
      </c>
      <c r="AI281" s="94">
        <f ca="1">IF(B281=TODAY(),0,BC281+Sheet1!AA279+Calculation!ES281+O281+W281+Sheet1!BN279+Calculation!AS281+Calculation!DJ281-BP281)</f>
        <v>71.82899058368325</v>
      </c>
      <c r="AJ281" s="94"/>
      <c r="AM281" s="90">
        <f t="shared" si="68"/>
        <v>43005</v>
      </c>
      <c r="AN281" s="94">
        <f>Sheet1!BU279</f>
        <v>26</v>
      </c>
      <c r="AO281" s="94">
        <f>Sheet1!AA279</f>
        <v>28.3</v>
      </c>
      <c r="AP281" s="94">
        <f t="shared" si="57"/>
        <v>-1.4680999999999982</v>
      </c>
      <c r="AQ281" s="1087">
        <f>((Sheet1!BV279-(Sheet1!BU279-AP281))/(Sheet1!BU279-AP281))</f>
        <v>0.17590950957656326</v>
      </c>
      <c r="AR281" s="94">
        <f t="shared" si="58"/>
        <v>29.7681</v>
      </c>
      <c r="AS281" s="94">
        <f t="shared" si="59"/>
        <v>27.4681</v>
      </c>
      <c r="AT281" s="89">
        <f>Sheet1!BB279</f>
        <v>0</v>
      </c>
      <c r="AU281" s="89">
        <f>Sheet1!AS279*GPMtoMGD</f>
        <v>3.6000000000000004E-2</v>
      </c>
      <c r="AV281" s="94">
        <f>Sheet1!AT279</f>
        <v>1</v>
      </c>
      <c r="AW281" s="89">
        <f>Sheet1!AV279*GPMtoMGD</f>
        <v>0.84484800000000015</v>
      </c>
      <c r="AX281" s="89">
        <f>Sheet1!AW279*GPMtoMGD</f>
        <v>0.79977600000000004</v>
      </c>
      <c r="AY281" s="89">
        <f>Sheet1!AX279*GPMtoMGD</f>
        <v>0</v>
      </c>
      <c r="AZ281" s="89">
        <f>Sheet1!AY279*GPMtoMGD</f>
        <v>0</v>
      </c>
      <c r="BA281" s="89">
        <f>Sheet1!AZ279*GPMtoMGD</f>
        <v>0</v>
      </c>
      <c r="BB281" s="89">
        <f>Sheet1!BP279*GPMtoMGD</f>
        <v>2.7360000000000002E-3</v>
      </c>
      <c r="BC281" s="89">
        <f>Sheet1!CS279*GPMtoMGD</f>
        <v>0</v>
      </c>
      <c r="BD281" s="89">
        <f>Sheet1!BO279*GPMtoMGD</f>
        <v>2.3604480000000003</v>
      </c>
      <c r="BE281" s="89">
        <f>Sheet1!BW279*GPMtoMGD</f>
        <v>1.115856</v>
      </c>
      <c r="BF281" s="89">
        <f>Sheet1!CN279*GPMtoMGD</f>
        <v>1.035792</v>
      </c>
      <c r="BG281" s="89">
        <f>Sheet1!CO279*GPMtoMGD</f>
        <v>0.90964800000000012</v>
      </c>
      <c r="BH281" s="89">
        <f>Sheet1!CP279*GPMtoMGD</f>
        <v>0</v>
      </c>
      <c r="BI281" s="89">
        <f t="shared" si="69"/>
        <v>2.3631840000000004</v>
      </c>
      <c r="BK281" s="94">
        <f>SUM(AT281:BA281,AS281,BC281,Calculation!AQ281)</f>
        <v>56.155576248394013</v>
      </c>
      <c r="BM281" s="358">
        <f>0</f>
        <v>0</v>
      </c>
      <c r="BN281" s="358">
        <f>0</f>
        <v>0</v>
      </c>
      <c r="BP281" s="94">
        <f>SUM(BM281:BN281,W281,Sheet1!DX279)</f>
        <v>0</v>
      </c>
      <c r="BR281" s="94">
        <f>Sheet1!AA279</f>
        <v>28.3</v>
      </c>
      <c r="BS281" s="94">
        <f>Sheet1!AB279</f>
        <v>41.88</v>
      </c>
      <c r="BT281" s="94">
        <f t="shared" ca="1" si="60"/>
        <v>1.5558428320772537</v>
      </c>
      <c r="BU281" s="94">
        <f>Sheet1!AT279</f>
        <v>1</v>
      </c>
      <c r="BV281" s="89">
        <f>Sheet1!BB279</f>
        <v>0</v>
      </c>
      <c r="BW281" s="94">
        <f>Calculation!ED281</f>
        <v>15.873147751605996</v>
      </c>
      <c r="BX281" s="94">
        <f>(Sheet1!CS279*1440)/1000000</f>
        <v>0</v>
      </c>
      <c r="CA281" s="94">
        <f ca="1">Sheet1!AC279-Sheet1!BK279-Sheet1!BL279-Sheet1!BM279-Sheet1!BC279-Sheet1!BD279-Sheet1!BE279-Sheet1!BF279-Sheet1!BG279-Sheet1!BH279-Sheet1!BI279+BC281+P281</f>
        <v>55.805842832077253</v>
      </c>
      <c r="CB281" s="93">
        <f t="shared" si="61"/>
        <v>84.012700428265532</v>
      </c>
      <c r="CC281" s="94">
        <f t="shared" si="62"/>
        <v>1</v>
      </c>
      <c r="CD281" s="94">
        <f t="shared" ca="1" si="63"/>
        <v>71.678990583683245</v>
      </c>
      <c r="CE281" s="1077">
        <f t="shared" ca="1" si="64"/>
        <v>110.88739843295798</v>
      </c>
      <c r="CG281" s="1077">
        <f t="shared" ca="1" si="65"/>
        <v>54.805842832077253</v>
      </c>
    </row>
    <row r="282" spans="1:85" s="89" customFormat="1" x14ac:dyDescent="0.25">
      <c r="A282" s="616" t="s">
        <v>7</v>
      </c>
      <c r="B282" s="91">
        <v>43006</v>
      </c>
      <c r="C282" s="92">
        <v>0</v>
      </c>
      <c r="D282" s="94">
        <f>(Sheet1!BQ280-Sheet1!BQ279)*1.385</f>
        <v>0.19390000000000079</v>
      </c>
      <c r="E282" s="30">
        <f>(Sheet1!BR280-Sheet1!BR279)*1.385</f>
        <v>0.22160000000000019</v>
      </c>
      <c r="F282" s="30">
        <f ca="1">IF(B282=TODAY(),0,-(VLOOKUP(Sheet1!CD280,Lookup!$I$4:$J$216,2)-VLOOKUP(Sheet1!CD279,Lookup!$I$4:$J$216,2))/1000000)</f>
        <v>-0.41454775419120493</v>
      </c>
      <c r="G282" s="94">
        <f ca="1">IF(B282=TODAY(),0,-$G$6*(Sheet1!CF280-Sheet1!CF279)*7.48/1000000)</f>
        <v>-7.9427002105118313E-2</v>
      </c>
      <c r="H282" s="94">
        <f ca="1">IF(B282=TODAY(),0,-$H$6*(Sheet1!CE280-Sheet1!CE279)*7.48/1000000)</f>
        <v>3.0078864702530548E-2</v>
      </c>
      <c r="I282" s="94">
        <f ca="1">IF(B282=TODAY(),0,-$I$6*(Sheet1!CG280-Sheet1!CG279)*7.48/1000000)</f>
        <v>-8.0864784000000273E-3</v>
      </c>
      <c r="J282" s="95" t="s">
        <v>177</v>
      </c>
      <c r="K282" s="94">
        <f ca="1">IF(B282=TODAY(),0,-$K$6*(Sheet1!CH280-Sheet1!CH279)*7.48/1000000)</f>
        <v>-9.9949805616876882E-3</v>
      </c>
      <c r="L282" s="95" t="s">
        <v>177</v>
      </c>
      <c r="M282" s="94">
        <f ca="1">IF(B282=TODAY(),0,-$M$6*(Sheet1!CI280-Sheet1!CI279)*7.48/1000000)</f>
        <v>-3.598301685605397E-2</v>
      </c>
      <c r="N282" s="94">
        <f ca="1">IF(B282=TODAY(),0,-$N$6*(Sheet1!CJ280-Sheet1!CJ279)*7.48/1000000)</f>
        <v>-0.17995180164440877</v>
      </c>
      <c r="O282" s="94">
        <f t="shared" ca="1" si="66"/>
        <v>-0.69791216905594311</v>
      </c>
      <c r="P282" s="94">
        <f ca="1">O282+Calculation!ES282</f>
        <v>-1.1134433990981847</v>
      </c>
      <c r="Q282" s="89" t="str">
        <f>IF(Sheet1!BQ280&gt;25.75,"spill elevation","-")</f>
        <v>-</v>
      </c>
      <c r="R282" s="89" t="str">
        <f>IF(Sheet1!BQ280&gt;25.75,"spill elevation","-")</f>
        <v>-</v>
      </c>
      <c r="S282" s="89" t="str">
        <f>IF(Sheet1!BR280&gt;25.75,"spill elevation","-")</f>
        <v>-</v>
      </c>
      <c r="T282" s="93">
        <f>IF(Sheet1!DU280=1,Sheet1!AA280-(SUM(AT282:BA282)+BE282),Sheet1!AA280-SUM(AT282:BA282))</f>
        <v>26.272271999999997</v>
      </c>
      <c r="U282" s="93">
        <f>Sheet1!BV280</f>
        <v>31</v>
      </c>
      <c r="V282" s="93">
        <f t="shared" si="67"/>
        <v>-4.7277280000000026</v>
      </c>
      <c r="W282" s="93">
        <f>0</f>
        <v>0</v>
      </c>
      <c r="X282" s="89">
        <f>0</f>
        <v>0</v>
      </c>
      <c r="Y282" s="94">
        <f ca="1">Calculation!EJ283+Calculation!ES282+'Calculations II'!O282-'Calculations II'!W282</f>
        <v>54.203640479296141</v>
      </c>
      <c r="Z282" s="94">
        <f ca="1">Y282-Sheet1!CT281</f>
        <v>38.812640479296142</v>
      </c>
      <c r="AA282" s="94">
        <f ca="1">Y282+Calculation!DJ283+Calculation!AS283</f>
        <v>68.903640479296143</v>
      </c>
      <c r="AC282" s="94">
        <f>Sheet1!AA280+Sheet1!AB280+BC282</f>
        <v>71.289999999999992</v>
      </c>
      <c r="AD282" s="94">
        <f>Sheet1!AA280+Sheet1!BN280+'Calculations II'!BC282-Calculation!AS282-Calculation!DJ282</f>
        <v>40.084563242487775</v>
      </c>
      <c r="AE282" s="94">
        <f>Sheet1!AA280+Sheet1!AB280+'Calculations II'!BC282-Calculation!AS282-Calculation!DJ282</f>
        <v>55.674563242487764</v>
      </c>
      <c r="AF282" s="94">
        <f ca="1">Sheet1!AA280+Sheet1!BN280+P282+'Calculations II'!BC282+Calculation!AS282+Calculation!DJ282</f>
        <v>70.201993358414043</v>
      </c>
      <c r="AG282" s="94">
        <f ca="1">IF(B282=TODAY(),0,Sheet1!AA280+Sheet1!BN280+'Calculations II'!BC282+'Calculations II'!P282-Sheet1!CT280-BP282)</f>
        <v>38.439556600901817</v>
      </c>
      <c r="AH282" s="94">
        <f ca="1">IF(B282=TODAY(),0,Sheet1!AA280+Sheet1!BN280+'Calculations II'!BC282+'Calculations II'!P282-BP282)</f>
        <v>54.586556600901815</v>
      </c>
      <c r="AI282" s="94">
        <f ca="1">IF(B282=TODAY(),0,BC282+Sheet1!AA280+Calculation!ES282+O282+W282+Sheet1!BN280+Calculation!AS282+Calculation!DJ282-BP282)</f>
        <v>70.201993358414043</v>
      </c>
      <c r="AJ282" s="94"/>
      <c r="AM282" s="90">
        <f t="shared" si="68"/>
        <v>43006</v>
      </c>
      <c r="AN282" s="94">
        <f>Sheet1!BU280</f>
        <v>26.6</v>
      </c>
      <c r="AO282" s="94">
        <f>Sheet1!AA280</f>
        <v>28.4</v>
      </c>
      <c r="AP282" s="94">
        <f t="shared" si="57"/>
        <v>0.41550000000000098</v>
      </c>
      <c r="AQ282" s="1087">
        <f>((Sheet1!BV280-(Sheet1!BU280-AP282))/(Sheet1!BU280-AP282))</f>
        <v>0.18390650957627605</v>
      </c>
      <c r="AR282" s="94">
        <f t="shared" si="58"/>
        <v>27.984499999999997</v>
      </c>
      <c r="AS282" s="94">
        <f t="shared" si="59"/>
        <v>26.1845</v>
      </c>
      <c r="AT282" s="89">
        <f>Sheet1!BB280</f>
        <v>0</v>
      </c>
      <c r="AU282" s="89">
        <f>Sheet1!AS280*GPMtoMGD</f>
        <v>3.4992000000000002E-2</v>
      </c>
      <c r="AV282" s="94">
        <f>Sheet1!AT280</f>
        <v>0.38</v>
      </c>
      <c r="AW282" s="89">
        <f>Sheet1!AV280*GPMtoMGD</f>
        <v>0.82209600000000005</v>
      </c>
      <c r="AX282" s="89">
        <f>Sheet1!AW280*GPMtoMGD</f>
        <v>0.8906400000000001</v>
      </c>
      <c r="AY282" s="89">
        <f>Sheet1!AX280*GPMtoMGD</f>
        <v>0</v>
      </c>
      <c r="AZ282" s="89">
        <f>Sheet1!AY280*GPMtoMGD</f>
        <v>0</v>
      </c>
      <c r="BA282" s="89">
        <f>Sheet1!AZ280*GPMtoMGD</f>
        <v>0</v>
      </c>
      <c r="BB282" s="89">
        <f>Sheet1!BP280*GPMtoMGD</f>
        <v>2.7360000000000002E-3</v>
      </c>
      <c r="BC282" s="89">
        <f>Sheet1!CS280*GPMtoMGD</f>
        <v>0</v>
      </c>
      <c r="BD282" s="89">
        <f>Sheet1!BO280*GPMtoMGD</f>
        <v>2.2145760000000001</v>
      </c>
      <c r="BE282" s="89">
        <f>Sheet1!BW280*GPMtoMGD</f>
        <v>0.91267200000000004</v>
      </c>
      <c r="BF282" s="89">
        <f>Sheet1!CN280*GPMtoMGD</f>
        <v>0.81072</v>
      </c>
      <c r="BG282" s="89">
        <f>Sheet1!CO280*GPMtoMGD</f>
        <v>0.90057600000000004</v>
      </c>
      <c r="BH282" s="89">
        <f>Sheet1!CP280*GPMtoMGD</f>
        <v>0</v>
      </c>
      <c r="BI282" s="89">
        <f t="shared" si="69"/>
        <v>2.2173120000000002</v>
      </c>
      <c r="BK282" s="94">
        <f>SUM(AT282:BA282,AS282,BC282,Calculation!AQ282)</f>
        <v>55.586791242487777</v>
      </c>
      <c r="BM282" s="358">
        <f>0</f>
        <v>0</v>
      </c>
      <c r="BN282" s="358">
        <f>0</f>
        <v>0</v>
      </c>
      <c r="BP282" s="94">
        <f>SUM(BM282:BN282,W282,Sheet1!DX280)</f>
        <v>0</v>
      </c>
      <c r="BR282" s="94">
        <f>Sheet1!AA280</f>
        <v>28.4</v>
      </c>
      <c r="BS282" s="94">
        <f>Sheet1!AB280</f>
        <v>42.89</v>
      </c>
      <c r="BT282" s="94">
        <f t="shared" ca="1" si="60"/>
        <v>-1.1134433990981847</v>
      </c>
      <c r="BU282" s="94">
        <f>Sheet1!AT280</f>
        <v>0.38</v>
      </c>
      <c r="BV282" s="89">
        <f>Sheet1!BB280</f>
        <v>0</v>
      </c>
      <c r="BW282" s="94">
        <f>Calculation!ED282</f>
        <v>15.615436757512231</v>
      </c>
      <c r="BX282" s="94">
        <f>(Sheet1!CS280*1440)/1000000</f>
        <v>0</v>
      </c>
      <c r="CA282" s="94">
        <f ca="1">Sheet1!AC280-Sheet1!BK280-Sheet1!BL280-Sheet1!BM280-Sheet1!BC280-Sheet1!BD280-Sheet1!BE280-Sheet1!BF280-Sheet1!BG280-Sheet1!BH280-Sheet1!BI280+BC282+P282</f>
        <v>54.546556600901802</v>
      </c>
      <c r="CB282" s="93">
        <f t="shared" si="61"/>
        <v>86.128549336128572</v>
      </c>
      <c r="CC282" s="94">
        <f t="shared" si="62"/>
        <v>0.38</v>
      </c>
      <c r="CD282" s="94">
        <f t="shared" ca="1" si="63"/>
        <v>70.161993358414037</v>
      </c>
      <c r="CE282" s="1077">
        <f t="shared" ca="1" si="64"/>
        <v>108.54060372546651</v>
      </c>
      <c r="CG282" s="1077">
        <f t="shared" ca="1" si="65"/>
        <v>54.166556600901799</v>
      </c>
    </row>
    <row r="283" spans="1:85" s="89" customFormat="1" x14ac:dyDescent="0.25">
      <c r="A283" s="616" t="s">
        <v>8</v>
      </c>
      <c r="B283" s="91">
        <v>43007</v>
      </c>
      <c r="C283" s="92">
        <v>0</v>
      </c>
      <c r="D283" s="94">
        <f>(Sheet1!BQ281-Sheet1!BQ280)*1.385</f>
        <v>2.5345499999999976</v>
      </c>
      <c r="E283" s="30">
        <f>(Sheet1!BR281-Sheet1!BR280)*1.385</f>
        <v>2.4514499999999995</v>
      </c>
      <c r="F283" s="30">
        <f ca="1">IF(B283=TODAY(),0,-(VLOOKUP(Sheet1!CD281,Lookup!$I$4:$J$216,2)-VLOOKUP(Sheet1!CD280,Lookup!$I$4:$J$216,2))/1000000)</f>
        <v>-0.31091081564339806</v>
      </c>
      <c r="G283" s="94">
        <f ca="1">IF(B283=TODAY(),0,-$G$6*(Sheet1!CF281-Sheet1!CF280)*7.48/1000000)</f>
        <v>-3.9713501052558449E-2</v>
      </c>
      <c r="H283" s="94">
        <f ca="1">IF(B283=TODAY(),0,-$H$6*(Sheet1!CE281-Sheet1!CE280)*7.48/1000000)</f>
        <v>-4.5118297053795817E-2</v>
      </c>
      <c r="I283" s="94">
        <f ca="1">IF(B283=TODAY(),0,-$I$6*(Sheet1!CG281-Sheet1!CG280)*7.48/1000000)</f>
        <v>3.1447416000000006E-2</v>
      </c>
      <c r="J283" s="95" t="s">
        <v>177</v>
      </c>
      <c r="K283" s="94">
        <f ca="1">IF(B283=TODAY(),0,-$K$6*(Sheet1!CH281-Sheet1!CH280)*7.48/1000000)</f>
        <v>5.3306562995667592E-2</v>
      </c>
      <c r="L283" s="95" t="s">
        <v>177</v>
      </c>
      <c r="M283" s="94">
        <f ca="1">IF(B283=TODAY(),0,-$M$6*(Sheet1!CI281-Sheet1!CI280)*7.48/1000000)</f>
        <v>0.14393206742421652</v>
      </c>
      <c r="N283" s="94">
        <f ca="1">IF(B283=TODAY(),0,-$N$6*(Sheet1!CJ281-Sheet1!CJ280)*7.48/1000000)</f>
        <v>-0.27923555427580821</v>
      </c>
      <c r="O283" s="94">
        <f t="shared" ca="1" si="66"/>
        <v>-0.44629212160567644</v>
      </c>
      <c r="P283" s="94">
        <f ca="1">O283+Calculation!ES283</f>
        <v>-5.4346282643851085</v>
      </c>
      <c r="Q283" s="89" t="str">
        <f>IF(Sheet1!BQ281&gt;25.75,"spill elevation","-")</f>
        <v>-</v>
      </c>
      <c r="R283" s="89" t="str">
        <f>IF(Sheet1!BQ281&gt;25.75,"spill elevation","-")</f>
        <v>-</v>
      </c>
      <c r="S283" s="89" t="str">
        <f>IF(Sheet1!BR281&gt;25.75,"spill elevation","-")</f>
        <v>-</v>
      </c>
      <c r="T283" s="93">
        <f>IF(Sheet1!DU281=1,Sheet1!AA281-(SUM(AT283:BA283)+BE283),Sheet1!AA281-SUM(AT283:BA283))</f>
        <v>26.236623999999999</v>
      </c>
      <c r="U283" s="93">
        <f>Sheet1!BV281</f>
        <v>26</v>
      </c>
      <c r="V283" s="93">
        <f t="shared" si="67"/>
        <v>0.23662399999999906</v>
      </c>
      <c r="W283" s="93">
        <f>0</f>
        <v>0</v>
      </c>
      <c r="X283" s="89">
        <f>0</f>
        <v>0</v>
      </c>
      <c r="Y283" s="94">
        <f ca="1">Calculation!EJ284+Calculation!ES283+'Calculations II'!O283-'Calculations II'!W283</f>
        <v>47.170876450446002</v>
      </c>
      <c r="Z283" s="94">
        <f ca="1">Y283-Sheet1!CT282</f>
        <v>30.289876450446002</v>
      </c>
      <c r="AA283" s="94">
        <f ca="1">Y283+Calculation!DJ284+Calculation!AS284</f>
        <v>61.689199515005342</v>
      </c>
      <c r="AC283" s="94">
        <f>Sheet1!AA281+Sheet1!AB281+BC283</f>
        <v>70.099999999999994</v>
      </c>
      <c r="AD283" s="94">
        <f>Sheet1!AA281+Sheet1!BN281+'Calculations II'!BC283-Calculation!AS283-Calculation!DJ283</f>
        <v>40.700000000000003</v>
      </c>
      <c r="AE283" s="94">
        <f>Sheet1!AA281+Sheet1!AB281+'Calculations II'!BC283-Calculation!AS283-Calculation!DJ283</f>
        <v>55.399999999999991</v>
      </c>
      <c r="AF283" s="94">
        <f ca="1">Sheet1!AA281+Sheet1!BN281+P283+'Calculations II'!BC283+Calculation!AS283+Calculation!DJ283</f>
        <v>64.665371735614897</v>
      </c>
      <c r="AG283" s="94">
        <f ca="1">IF(B283=TODAY(),0,Sheet1!AA281+Sheet1!BN281+'Calculations II'!BC283+'Calculations II'!P283-Sheet1!CT281-BP283)</f>
        <v>34.574371735614896</v>
      </c>
      <c r="AH283" s="94">
        <f ca="1">IF(B283=TODAY(),0,Sheet1!AA281+Sheet1!BN281+'Calculations II'!BC283+'Calculations II'!P283-BP283)</f>
        <v>49.965371735614895</v>
      </c>
      <c r="AI283" s="94">
        <f ca="1">IF(B283=TODAY(),0,BC283+Sheet1!AA281+Calculation!ES283+O283+W283+Sheet1!BN281+Calculation!AS283+Calculation!DJ283-BP283)</f>
        <v>64.665371735614897</v>
      </c>
      <c r="AJ283" s="94"/>
      <c r="AM283" s="90">
        <f t="shared" si="68"/>
        <v>43007</v>
      </c>
      <c r="AN283" s="94">
        <f>Sheet1!BU281</f>
        <v>26.6</v>
      </c>
      <c r="AO283" s="94">
        <f>Sheet1!AA281</f>
        <v>28.3</v>
      </c>
      <c r="AP283" s="94">
        <f t="shared" si="57"/>
        <v>4.9859999999999971</v>
      </c>
      <c r="AQ283" s="1087">
        <f>((Sheet1!BV281-(Sheet1!BU281-AP283))/(Sheet1!BU281-AP283))</f>
        <v>0.20292403072082885</v>
      </c>
      <c r="AR283" s="94">
        <f t="shared" si="58"/>
        <v>23.314000000000004</v>
      </c>
      <c r="AS283" s="94">
        <f t="shared" si="59"/>
        <v>21.614000000000004</v>
      </c>
      <c r="AT283" s="89">
        <f>Sheet1!BB281</f>
        <v>0</v>
      </c>
      <c r="AU283" s="89">
        <f>Sheet1!AS281*GPMtoMGD</f>
        <v>3.1968000000000003E-2</v>
      </c>
      <c r="AV283" s="94">
        <f>Sheet1!AT281</f>
        <v>0</v>
      </c>
      <c r="AW283" s="89">
        <f>Sheet1!AV281*GPMtoMGD</f>
        <v>1.0527840000000002</v>
      </c>
      <c r="AX283" s="89">
        <f>Sheet1!AW281*GPMtoMGD</f>
        <v>0.97862400000000005</v>
      </c>
      <c r="AY283" s="89">
        <f>Sheet1!AX281*GPMtoMGD</f>
        <v>0</v>
      </c>
      <c r="AZ283" s="89">
        <f>Sheet1!AY281*GPMtoMGD</f>
        <v>0</v>
      </c>
      <c r="BA283" s="89">
        <f>Sheet1!AZ281*GPMtoMGD</f>
        <v>0</v>
      </c>
      <c r="BB283" s="89">
        <f>Sheet1!BP281*GPMtoMGD</f>
        <v>2.8800000000000002E-3</v>
      </c>
      <c r="BC283" s="89">
        <f>Sheet1!CS281*GPMtoMGD</f>
        <v>0</v>
      </c>
      <c r="BD283" s="89">
        <f>Sheet1!BO281*GPMtoMGD</f>
        <v>1.8421920000000001</v>
      </c>
      <c r="BE283" s="89">
        <f>Sheet1!BW281*GPMtoMGD</f>
        <v>0.84672000000000003</v>
      </c>
      <c r="BF283" s="89">
        <f>Sheet1!CN281*GPMtoMGD</f>
        <v>0.47347200000000006</v>
      </c>
      <c r="BG283" s="89">
        <f>Sheet1!CO281*GPMtoMGD</f>
        <v>0.85507199999999994</v>
      </c>
      <c r="BH283" s="89">
        <f>Sheet1!CP281*GPMtoMGD</f>
        <v>0</v>
      </c>
      <c r="BI283" s="89">
        <f t="shared" si="69"/>
        <v>1.845072</v>
      </c>
      <c r="BK283" s="94">
        <f>SUM(AT283:BA283,AS283,BC283,Calculation!AQ283)</f>
        <v>50.777376000000004</v>
      </c>
      <c r="BM283" s="358">
        <f>0</f>
        <v>0</v>
      </c>
      <c r="BN283" s="358">
        <f>0</f>
        <v>0</v>
      </c>
      <c r="BP283" s="94">
        <f>SUM(BM283:BN283,W283,Sheet1!DX281)</f>
        <v>0</v>
      </c>
      <c r="BR283" s="94">
        <f>Sheet1!AA281</f>
        <v>28.3</v>
      </c>
      <c r="BS283" s="94">
        <f>Sheet1!AB281</f>
        <v>41.8</v>
      </c>
      <c r="BT283" s="94">
        <f t="shared" ca="1" si="60"/>
        <v>-5.4346282643851085</v>
      </c>
      <c r="BU283" s="94">
        <f>Sheet1!AT281</f>
        <v>0</v>
      </c>
      <c r="BV283" s="89">
        <f>Sheet1!BB281</f>
        <v>0</v>
      </c>
      <c r="BW283" s="94">
        <f>Calculation!ED283</f>
        <v>14.7</v>
      </c>
      <c r="BX283" s="94">
        <f>(Sheet1!CS281*1440)/1000000</f>
        <v>0</v>
      </c>
      <c r="CA283" s="94">
        <f ca="1">Sheet1!AC281-Sheet1!BK281-Sheet1!BL281-Sheet1!BM281-Sheet1!BC281-Sheet1!BD281-Sheet1!BE281-Sheet1!BF281-Sheet1!BG281-Sheet1!BH281-Sheet1!BI281+BC283+P283</f>
        <v>49.965371735614873</v>
      </c>
      <c r="CB283" s="93">
        <f t="shared" si="61"/>
        <v>85.703799999999987</v>
      </c>
      <c r="CC283" s="94">
        <f t="shared" si="62"/>
        <v>0</v>
      </c>
      <c r="CD283" s="94">
        <f t="shared" ca="1" si="63"/>
        <v>64.665371735614869</v>
      </c>
      <c r="CE283" s="1077">
        <f t="shared" ca="1" si="64"/>
        <v>100.03733007499619</v>
      </c>
      <c r="CG283" s="1077">
        <f t="shared" ca="1" si="65"/>
        <v>49.965371735614873</v>
      </c>
    </row>
    <row r="284" spans="1:85" s="89" customFormat="1" x14ac:dyDescent="0.25">
      <c r="A284" s="616" t="s">
        <v>9</v>
      </c>
      <c r="B284" s="91">
        <v>43008</v>
      </c>
      <c r="C284" s="92">
        <v>0</v>
      </c>
      <c r="D284" s="94">
        <f>(Sheet1!BQ282-Sheet1!BQ281)*1.385</f>
        <v>1.2465000000000031</v>
      </c>
      <c r="E284" s="30">
        <f>(Sheet1!BR282-Sheet1!BR281)*1.385</f>
        <v>1.2188000000000037</v>
      </c>
      <c r="F284" s="30">
        <f ca="1">IF(B284=TODAY(),0,-(VLOOKUP(Sheet1!CD282,Lookup!$I$4:$J$216,2)-VLOOKUP(Sheet1!CD281,Lookup!$I$4:$J$216,2))/1000000)</f>
        <v>0.62182163128680368</v>
      </c>
      <c r="G284" s="94">
        <f ca="1">IF(B284=TODAY(),0,-$G$6*(Sheet1!CF282-Sheet1!CF281)*7.48/1000000)</f>
        <v>-3.9713501052559864E-2</v>
      </c>
      <c r="H284" s="94">
        <f ca="1">IF(B284=TODAY(),0,-$H$6*(Sheet1!CE282-Sheet1!CE281)*7.48/1000000)</f>
        <v>-1.5039432351265274E-2</v>
      </c>
      <c r="I284" s="94">
        <f ca="1">IF(B284=TODAY(),0,-$I$6*(Sheet1!CG282-Sheet1!CG281)*7.48/1000000)</f>
        <v>1.3477463999999995E-2</v>
      </c>
      <c r="J284" s="95" t="s">
        <v>177</v>
      </c>
      <c r="K284" s="94">
        <f ca="1">IF(B284=TODAY(),0,-$K$6*(Sheet1!CH282-Sheet1!CH281)*7.48/1000000)</f>
        <v>1.3326640748916837E-2</v>
      </c>
      <c r="L284" s="95" t="s">
        <v>177</v>
      </c>
      <c r="M284" s="94">
        <f ca="1">IF(B284=TODAY(),0,-$M$6*(Sheet1!CI282-Sheet1!CI281)*7.48/1000000)</f>
        <v>0.12594055899618922</v>
      </c>
      <c r="N284" s="94">
        <f ca="1">IF(B284=TODAY(),0,-$N$6*(Sheet1!CJ282-Sheet1!CJ281)*7.48/1000000)</f>
        <v>0.43436641776236795</v>
      </c>
      <c r="O284" s="94">
        <f t="shared" ca="1" si="66"/>
        <v>1.1541797793904527</v>
      </c>
      <c r="P284" s="94">
        <f ca="1">O284+Calculation!ES284</f>
        <v>-1.2028434232658496</v>
      </c>
      <c r="Q284" s="89" t="str">
        <f>IF(Sheet1!BQ282&gt;25.75,"spill elevation","-")</f>
        <v>-</v>
      </c>
      <c r="R284" s="89" t="str">
        <f>IF(Sheet1!BQ282&gt;25.75,"spill elevation","-")</f>
        <v>-</v>
      </c>
      <c r="S284" s="89" t="str">
        <f>IF(Sheet1!BR282&gt;25.75,"spill elevation","-")</f>
        <v>-</v>
      </c>
      <c r="T284" s="93">
        <f>IF(Sheet1!DU282=1,Sheet1!AA282-(SUM(AT284:BA284)+BE284),Sheet1!AA282-SUM(AT284:BA284))</f>
        <v>27.030352000000001</v>
      </c>
      <c r="U284" s="93">
        <f>Sheet1!BV282</f>
        <v>29.8</v>
      </c>
      <c r="V284" s="93">
        <f t="shared" si="67"/>
        <v>-2.7696480000000001</v>
      </c>
      <c r="W284" s="93">
        <f>0</f>
        <v>0</v>
      </c>
      <c r="X284" s="89">
        <f>0</f>
        <v>0</v>
      </c>
      <c r="Y284" s="94">
        <f ca="1">Calculation!EJ285+Calculation!ES284+'Calculations II'!O284-'Calculations II'!W284</f>
        <v>48.948702616988299</v>
      </c>
      <c r="Z284" s="94">
        <f ca="1">Y284-Sheet1!CT283</f>
        <v>31.5887026169883</v>
      </c>
      <c r="AA284" s="94">
        <f ca="1">Y284+Calculation!DJ285+Calculation!AS285</f>
        <v>62.952389891731855</v>
      </c>
      <c r="AC284" s="94">
        <f>Sheet1!AA282+Sheet1!AB282+BC284</f>
        <v>65.599999999999994</v>
      </c>
      <c r="AD284" s="94">
        <f>Sheet1!AA282+Sheet1!BN282+'Calculations II'!BC284-Calculation!AS284-Calculation!DJ284</f>
        <v>36.581676935440669</v>
      </c>
      <c r="AE284" s="94">
        <f>Sheet1!AA282+Sheet1!AB282+'Calculations II'!BC284-Calculation!AS284-Calculation!DJ284</f>
        <v>51.081676935440655</v>
      </c>
      <c r="AF284" s="94">
        <f ca="1">Sheet1!AA282+Sheet1!BN282+P284+'Calculations II'!BC284+Calculation!AS284+Calculation!DJ284</f>
        <v>64.415479641293487</v>
      </c>
      <c r="AG284" s="94">
        <f ca="1">IF(B284=TODAY(),0,Sheet1!AA282+Sheet1!BN282+'Calculations II'!BC284+'Calculations II'!P284-Sheet1!CT282-BP284)</f>
        <v>33.016156576734154</v>
      </c>
      <c r="AH284" s="94">
        <f ca="1">IF(B284=TODAY(),0,Sheet1!AA282+Sheet1!BN282+'Calculations II'!BC284+'Calculations II'!P284-BP284)</f>
        <v>49.897156576734154</v>
      </c>
      <c r="AI284" s="94">
        <f ca="1">IF(B284=TODAY(),0,BC284+Sheet1!AA282+Calculation!ES284+O284+W284+Sheet1!BN282+Calculation!AS284+Calculation!DJ284-BP284)</f>
        <v>64.415479641293487</v>
      </c>
      <c r="AJ284" s="94"/>
      <c r="AM284" s="90">
        <f t="shared" si="68"/>
        <v>43008</v>
      </c>
      <c r="AN284" s="94">
        <f>Sheet1!BU282</f>
        <v>27.4</v>
      </c>
      <c r="AO284" s="94">
        <f>Sheet1!AA282</f>
        <v>28.3</v>
      </c>
      <c r="AP284" s="94">
        <f t="shared" si="57"/>
        <v>2.4653000000000067</v>
      </c>
      <c r="AQ284" s="1087">
        <f>((Sheet1!BV282-(Sheet1!BU282-AP284))/(Sheet1!BU282-AP284))</f>
        <v>0.19512165777009588</v>
      </c>
      <c r="AR284" s="94">
        <f t="shared" si="58"/>
        <v>25.834699999999994</v>
      </c>
      <c r="AS284" s="94">
        <f t="shared" si="59"/>
        <v>24.934699999999992</v>
      </c>
      <c r="AT284" s="89">
        <f>Sheet1!BB282</f>
        <v>0</v>
      </c>
      <c r="AU284" s="89">
        <f>Sheet1!AS282*GPMtoMGD</f>
        <v>3.8448000000000003E-2</v>
      </c>
      <c r="AV284" s="94">
        <f>Sheet1!AT282</f>
        <v>0</v>
      </c>
      <c r="AW284" s="89">
        <f>Sheet1!AV282*GPMtoMGD</f>
        <v>0.65894400000000009</v>
      </c>
      <c r="AX284" s="89">
        <f>Sheet1!AW282*GPMtoMGD</f>
        <v>0.57225599999999999</v>
      </c>
      <c r="AY284" s="89">
        <f>Sheet1!AX282*GPMtoMGD</f>
        <v>0</v>
      </c>
      <c r="AZ284" s="89">
        <f>Sheet1!AY282*GPMtoMGD</f>
        <v>0</v>
      </c>
      <c r="BA284" s="89">
        <f>Sheet1!AZ282*GPMtoMGD</f>
        <v>0</v>
      </c>
      <c r="BB284" s="89">
        <f>Sheet1!BP282*GPMtoMGD</f>
        <v>2.8800000000000002E-3</v>
      </c>
      <c r="BC284" s="89">
        <f>Sheet1!CS282*GPMtoMGD</f>
        <v>0</v>
      </c>
      <c r="BD284" s="89">
        <f>Sheet1!BO282*GPMtoMGD</f>
        <v>1.9594080000000003</v>
      </c>
      <c r="BE284" s="89">
        <f>Sheet1!BW282*GPMtoMGD</f>
        <v>0.88704000000000005</v>
      </c>
      <c r="BF284" s="89">
        <f>Sheet1!CN282*GPMtoMGD</f>
        <v>0.34300799999999998</v>
      </c>
      <c r="BG284" s="89">
        <f>Sheet1!CO282*GPMtoMGD</f>
        <v>0.79617599999999999</v>
      </c>
      <c r="BH284" s="89">
        <f>Sheet1!CP282*GPMtoMGD</f>
        <v>0</v>
      </c>
      <c r="BI284" s="89">
        <f t="shared" si="69"/>
        <v>1.9622880000000003</v>
      </c>
      <c r="BK284" s="94">
        <f>SUM(AT284:BA284,AS284,BC284,Calculation!AQ284)</f>
        <v>48.986024935440653</v>
      </c>
      <c r="BM284" s="358">
        <f>0</f>
        <v>0</v>
      </c>
      <c r="BN284" s="358">
        <f>0</f>
        <v>0</v>
      </c>
      <c r="BP284" s="94">
        <f>SUM(BM284:BN284,W284,Sheet1!DX282)</f>
        <v>0</v>
      </c>
      <c r="BR284" s="94">
        <f>Sheet1!AA282</f>
        <v>28.3</v>
      </c>
      <c r="BS284" s="94">
        <f>Sheet1!AB282</f>
        <v>37.299999999999997</v>
      </c>
      <c r="BT284" s="94">
        <f t="shared" ca="1" si="60"/>
        <v>-1.2028434232658496</v>
      </c>
      <c r="BU284" s="94">
        <f>Sheet1!AT282</f>
        <v>0</v>
      </c>
      <c r="BV284" s="89">
        <f>Sheet1!BB282</f>
        <v>0</v>
      </c>
      <c r="BW284" s="94">
        <f>Calculation!ED284</f>
        <v>14.518323064559336</v>
      </c>
      <c r="BX284" s="94">
        <f>(Sheet1!CS282*1440)/1000000</f>
        <v>0</v>
      </c>
      <c r="CA284" s="94">
        <f ca="1">Sheet1!AC282-Sheet1!BK282-Sheet1!BL282-Sheet1!BM282-Sheet1!BC282-Sheet1!BD282-Sheet1!BE282-Sheet1!BF282-Sheet1!BG282-Sheet1!BH282-Sheet1!BI282+BC284+P284</f>
        <v>49.867156576734146</v>
      </c>
      <c r="CB284" s="93">
        <f t="shared" si="61"/>
        <v>79.023354219126688</v>
      </c>
      <c r="CC284" s="94">
        <f t="shared" si="62"/>
        <v>0</v>
      </c>
      <c r="CD284" s="94">
        <f t="shared" ca="1" si="63"/>
        <v>64.385479641293486</v>
      </c>
      <c r="CE284" s="1077">
        <f t="shared" ca="1" si="64"/>
        <v>99.604337005081021</v>
      </c>
      <c r="CG284" s="1077">
        <f t="shared" ca="1" si="65"/>
        <v>49.867156576734146</v>
      </c>
    </row>
    <row r="285" spans="1:85" s="89" customFormat="1" x14ac:dyDescent="0.25">
      <c r="A285" s="616" t="s">
        <v>3</v>
      </c>
      <c r="B285" s="91">
        <v>43009</v>
      </c>
      <c r="C285" s="92">
        <v>0</v>
      </c>
      <c r="D285" s="94">
        <f>(Sheet1!BQ283-Sheet1!BQ282)*1.385</f>
        <v>-0.7201999999999994</v>
      </c>
      <c r="E285" s="30">
        <f>(Sheet1!BR283-Sheet1!BR282)*1.385</f>
        <v>-0.6925</v>
      </c>
      <c r="F285" s="30">
        <f ca="1">IF(B285=TODAY(),0,-(VLOOKUP(Sheet1!CD283,Lookup!$I$4:$J$216,2)-VLOOKUP(Sheet1!CD282,Lookup!$I$4:$J$216,2))/1000000)</f>
        <v>0</v>
      </c>
      <c r="G285" s="94">
        <f ca="1">IF(B285=TODAY(),0,-$G$6*(Sheet1!CF283-Sheet1!CF282)*7.48/1000000)</f>
        <v>0</v>
      </c>
      <c r="H285" s="94">
        <f ca="1">IF(B285=TODAY(),0,-$H$6*(Sheet1!CE283-Sheet1!CE282)*7.48/1000000)</f>
        <v>1.5039432351265274E-2</v>
      </c>
      <c r="I285" s="94">
        <f ca="1">IF(B285=TODAY(),0,-$I$6*(Sheet1!CG283-Sheet1!CG282)*7.48/1000000)</f>
        <v>-3.5939903999999995E-2</v>
      </c>
      <c r="J285" s="95" t="s">
        <v>177</v>
      </c>
      <c r="K285" s="94">
        <f ca="1">IF(B285=TODAY(),0,-$K$6*(Sheet1!CH283-Sheet1!CH282)*7.48/1000000)</f>
        <v>-6.6633203744584424E-2</v>
      </c>
      <c r="L285" s="95" t="s">
        <v>177</v>
      </c>
      <c r="M285" s="94">
        <f ca="1">IF(B285=TODAY(),0,-$M$6*(Sheet1!CI283-Sheet1!CI282)*7.48/1000000)</f>
        <v>-0.17991508428027048</v>
      </c>
      <c r="N285" s="94">
        <f ca="1">IF(B285=TODAY(),0,-$N$6*(Sheet1!CJ283-Sheet1!CJ282)*7.48/1000000)</f>
        <v>-0.13030992532871072</v>
      </c>
      <c r="O285" s="94">
        <f t="shared" ca="1" si="66"/>
        <v>-0.39775868500230033</v>
      </c>
      <c r="P285" s="94">
        <f ca="1">O285+Calculation!ES285</f>
        <v>0.98885190530913381</v>
      </c>
      <c r="Q285" s="89" t="str">
        <f>IF(Sheet1!BQ283&gt;25.75,"spill elevation","-")</f>
        <v>-</v>
      </c>
      <c r="R285" s="89" t="str">
        <f>IF(Sheet1!BQ283&gt;25.75,"spill elevation","-")</f>
        <v>-</v>
      </c>
      <c r="S285" s="89" t="str">
        <f>IF(Sheet1!BR283&gt;25.75,"spill elevation","-")</f>
        <v>-</v>
      </c>
      <c r="T285" s="93">
        <f>IF(Sheet1!DU283=1,Sheet1!AA283-(SUM(AT285:BA285)+BE285),Sheet1!AA283-SUM(AT285:BA285))</f>
        <v>26.447008</v>
      </c>
      <c r="U285" s="93">
        <f>Sheet1!BV283</f>
        <v>33.4</v>
      </c>
      <c r="V285" s="93">
        <f t="shared" si="67"/>
        <v>-6.9529919999999983</v>
      </c>
      <c r="W285" s="93">
        <f>0</f>
        <v>0</v>
      </c>
      <c r="X285" s="89">
        <f>0</f>
        <v>0</v>
      </c>
      <c r="Y285" s="94">
        <f ca="1">Calculation!EJ286+Calculation!ES285+'Calculations II'!O285-'Calculations II'!W285</f>
        <v>50.27617357550578</v>
      </c>
      <c r="Z285" s="94">
        <f ca="1">Y285-Sheet1!CT284</f>
        <v>34.239173575505781</v>
      </c>
      <c r="AA285" s="94">
        <f ca="1">Y285+Calculation!DJ286+Calculation!AS286</f>
        <v>64.681987271097682</v>
      </c>
      <c r="AC285" s="94">
        <f>Sheet1!AA283+Sheet1!AB283+BC285</f>
        <v>64.2</v>
      </c>
      <c r="AD285" s="94">
        <f>Sheet1!AA283+Sheet1!BN283+'Calculations II'!BC285-Calculation!AS285-Calculation!DJ285</f>
        <v>36.296312725256442</v>
      </c>
      <c r="AE285" s="94">
        <f>Sheet1!AA283+Sheet1!AB283+'Calculations II'!BC285-Calculation!AS285-Calculation!DJ285</f>
        <v>50.196312725256448</v>
      </c>
      <c r="AF285" s="94">
        <f ca="1">Sheet1!AA283+Sheet1!BN283+P285+'Calculations II'!BC285+Calculation!AS285+Calculation!DJ285</f>
        <v>65.292539180052685</v>
      </c>
      <c r="AG285" s="94">
        <f ca="1">IF(B285=TODAY(),0,Sheet1!AA283+Sheet1!BN283+'Calculations II'!BC285+'Calculations II'!P285-Sheet1!CT283-BP285)</f>
        <v>33.928851905309131</v>
      </c>
      <c r="AH285" s="94">
        <f ca="1">IF(B285=TODAY(),0,Sheet1!AA283+Sheet1!BN283+'Calculations II'!BC285+'Calculations II'!P285-BP285)</f>
        <v>51.28885190530913</v>
      </c>
      <c r="AI285" s="94">
        <f ca="1">IF(B285=TODAY(),0,BC285+Sheet1!AA283+Calculation!ES285+O285+W285+Sheet1!BN283+Calculation!AS285+Calculation!DJ285-BP285)</f>
        <v>65.292539180052685</v>
      </c>
      <c r="AJ285" s="94"/>
      <c r="AM285" s="90">
        <f t="shared" si="68"/>
        <v>43009</v>
      </c>
      <c r="AN285" s="94">
        <f>Sheet1!BU283</f>
        <v>26.8</v>
      </c>
      <c r="AO285" s="94">
        <f>Sheet1!AA283</f>
        <v>28.3</v>
      </c>
      <c r="AP285" s="94">
        <f t="shared" si="57"/>
        <v>-1.4126999999999994</v>
      </c>
      <c r="AQ285" s="1087">
        <f>((Sheet1!BV283-(Sheet1!BU283-AP285))/(Sheet1!BU283-AP285))</f>
        <v>0.18386400450860771</v>
      </c>
      <c r="AR285" s="94">
        <f t="shared" si="58"/>
        <v>29.712700000000002</v>
      </c>
      <c r="AS285" s="94">
        <f t="shared" si="59"/>
        <v>28.212700000000002</v>
      </c>
      <c r="AT285" s="89">
        <f>Sheet1!BB283</f>
        <v>0</v>
      </c>
      <c r="AU285" s="89">
        <f>Sheet1!AS283*GPMtoMGD</f>
        <v>2.5776E-2</v>
      </c>
      <c r="AV285" s="94">
        <f>Sheet1!AT283</f>
        <v>0</v>
      </c>
      <c r="AW285" s="89">
        <f>Sheet1!AV283*GPMtoMGD</f>
        <v>0.95184000000000002</v>
      </c>
      <c r="AX285" s="89">
        <f>Sheet1!AW283*GPMtoMGD</f>
        <v>0.87537600000000004</v>
      </c>
      <c r="AY285" s="89">
        <f>Sheet1!AX283*GPMtoMGD</f>
        <v>0</v>
      </c>
      <c r="AZ285" s="89">
        <f>Sheet1!AY283*GPMtoMGD</f>
        <v>0</v>
      </c>
      <c r="BA285" s="89">
        <f>Sheet1!AZ283*GPMtoMGD</f>
        <v>0</v>
      </c>
      <c r="BB285" s="89">
        <f>Sheet1!BP283*GPMtoMGD</f>
        <v>2.8800000000000002E-3</v>
      </c>
      <c r="BC285" s="89">
        <f>Sheet1!CS283*GPMtoMGD</f>
        <v>0</v>
      </c>
      <c r="BD285" s="89">
        <f>Sheet1!BO283*GPMtoMGD</f>
        <v>2.3630400000000003</v>
      </c>
      <c r="BE285" s="89">
        <f>Sheet1!BW283*GPMtoMGD</f>
        <v>0.96940800000000016</v>
      </c>
      <c r="BF285" s="89">
        <f>Sheet1!CN283*GPMtoMGD</f>
        <v>0.42249599999999998</v>
      </c>
      <c r="BG285" s="89">
        <f>Sheet1!CO283*GPMtoMGD</f>
        <v>0.7898400000000001</v>
      </c>
      <c r="BH285" s="89">
        <f>Sheet1!CP283*GPMtoMGD</f>
        <v>0</v>
      </c>
      <c r="BI285" s="89">
        <f t="shared" si="69"/>
        <v>2.3659200000000005</v>
      </c>
      <c r="BK285" s="94">
        <f>SUM(AT285:BA285,AS285,BC285,Calculation!AQ285)</f>
        <v>51.962004725256449</v>
      </c>
      <c r="BM285" s="358">
        <f>0</f>
        <v>0</v>
      </c>
      <c r="BN285" s="358">
        <f>0</f>
        <v>0</v>
      </c>
      <c r="BP285" s="94">
        <f>SUM(BM285:BN285,W285,Sheet1!DX283)</f>
        <v>0</v>
      </c>
      <c r="BR285" s="94">
        <f>Sheet1!AA283</f>
        <v>28.3</v>
      </c>
      <c r="BS285" s="94">
        <f>Sheet1!AB283</f>
        <v>35.9</v>
      </c>
      <c r="BT285" s="94">
        <f t="shared" ca="1" si="60"/>
        <v>0.98885190530913381</v>
      </c>
      <c r="BU285" s="94">
        <f>Sheet1!AT283</f>
        <v>0</v>
      </c>
      <c r="BV285" s="89">
        <f>Sheet1!BB283</f>
        <v>0</v>
      </c>
      <c r="BW285" s="94">
        <f>Calculation!ED285</f>
        <v>14.003687274743553</v>
      </c>
      <c r="BX285" s="94">
        <f>(Sheet1!CS283*1440)/1000000</f>
        <v>0</v>
      </c>
      <c r="CA285" s="94">
        <f ca="1">Sheet1!AC283-Sheet1!BK283-Sheet1!BL283-Sheet1!BM283-Sheet1!BC283-Sheet1!BD283-Sheet1!BE283-Sheet1!BF283-Sheet1!BG283-Sheet1!BH283-Sheet1!BI283+BC285+P285</f>
        <v>51.118851905309135</v>
      </c>
      <c r="CB285" s="93">
        <f t="shared" si="61"/>
        <v>77.653695785971721</v>
      </c>
      <c r="CC285" s="94">
        <f t="shared" si="62"/>
        <v>0</v>
      </c>
      <c r="CD285" s="94">
        <f t="shared" ca="1" si="63"/>
        <v>65.122539180052684</v>
      </c>
      <c r="CE285" s="1077">
        <f t="shared" ca="1" si="64"/>
        <v>100.7445681115415</v>
      </c>
      <c r="CG285" s="1077">
        <f t="shared" ca="1" si="65"/>
        <v>51.118851905309135</v>
      </c>
    </row>
    <row r="286" spans="1:85" s="89" customFormat="1" x14ac:dyDescent="0.25">
      <c r="A286" s="616" t="s">
        <v>4</v>
      </c>
      <c r="B286" s="91">
        <v>43010</v>
      </c>
      <c r="C286" s="92">
        <v>0</v>
      </c>
      <c r="D286" s="94">
        <f>(Sheet1!BQ284-Sheet1!BQ283)*1.385</f>
        <v>-0.49859999999999921</v>
      </c>
      <c r="E286" s="30">
        <f>(Sheet1!BR284-Sheet1!BR283)*1.385</f>
        <v>-0.52630000000000354</v>
      </c>
      <c r="F286" s="30">
        <f ca="1">IF(B286=TODAY(),0,-(VLOOKUP(Sheet1!CD284,Lookup!$I$4:$J$216,2)-VLOOKUP(Sheet1!CD283,Lookup!$I$4:$J$216,2))/1000000)</f>
        <v>-0.41454775419120493</v>
      </c>
      <c r="G286" s="94">
        <f ca="1">IF(B286=TODAY(),0,-$G$6*(Sheet1!CF284-Sheet1!CF283)*7.48/1000000)</f>
        <v>0.3177080084204747</v>
      </c>
      <c r="H286" s="94">
        <f ca="1">IF(B286=TODAY(),0,-$H$6*(Sheet1!CE284-Sheet1!CE283)*7.48/1000000)</f>
        <v>0</v>
      </c>
      <c r="I286" s="94">
        <f ca="1">IF(B286=TODAY(),0,-$I$6*(Sheet1!CG284-Sheet1!CG283)*7.48/1000000)</f>
        <v>-3.1447416000000006E-2</v>
      </c>
      <c r="J286" s="95" t="s">
        <v>177</v>
      </c>
      <c r="K286" s="94">
        <f ca="1">IF(B286=TODAY(),0,-$K$6*(Sheet1!CH284-Sheet1!CH283)*7.48/1000000)</f>
        <v>-3.9979922246750635E-2</v>
      </c>
      <c r="L286" s="95" t="s">
        <v>177</v>
      </c>
      <c r="M286" s="94">
        <f ca="1">IF(B286=TODAY(),0,-$M$6*(Sheet1!CI284-Sheet1!CI283)*7.48/1000000)</f>
        <v>-0.16192357585224318</v>
      </c>
      <c r="N286" s="94">
        <f ca="1">IF(B286=TODAY(),0,-$N$6*(Sheet1!CJ284-Sheet1!CJ283)*7.48/1000000)</f>
        <v>-0.21097797434172119</v>
      </c>
      <c r="O286" s="94">
        <f t="shared" ca="1" si="66"/>
        <v>-0.54116863421144523</v>
      </c>
      <c r="P286" s="94">
        <f ca="1">O286+Calculation!ES286</f>
        <v>0.29064383060322507</v>
      </c>
      <c r="Q286" s="89" t="str">
        <f>IF(Sheet1!BQ284&gt;25.75,"spill elevation","-")</f>
        <v>-</v>
      </c>
      <c r="R286" s="89" t="str">
        <f>IF(Sheet1!BQ284&gt;25.75,"spill elevation","-")</f>
        <v>-</v>
      </c>
      <c r="S286" s="89" t="str">
        <f>IF(Sheet1!BR284&gt;25.75,"spill elevation","-")</f>
        <v>-</v>
      </c>
      <c r="T286" s="93">
        <f>IF(Sheet1!DU284=1,Sheet1!AA284-(SUM(AT286:BA286)+BE286),Sheet1!AA284-SUM(AT286:BA286))</f>
        <v>26.875696000000001</v>
      </c>
      <c r="U286" s="93">
        <f>Sheet1!BV284</f>
        <v>33.1</v>
      </c>
      <c r="V286" s="93">
        <f t="shared" si="67"/>
        <v>-6.2243040000000001</v>
      </c>
      <c r="W286" s="93">
        <f>0</f>
        <v>0</v>
      </c>
      <c r="X286" s="89">
        <f>0</f>
        <v>0</v>
      </c>
      <c r="Y286" s="94">
        <f ca="1">Calculation!EJ287+Calculation!ES286+'Calculations II'!O286-'Calculations II'!W286</f>
        <v>50.948064857113707</v>
      </c>
      <c r="Z286" s="94">
        <f ca="1">Y286-Sheet1!CT285</f>
        <v>34.039064857113708</v>
      </c>
      <c r="AA286" s="94">
        <f ca="1">Y286+Calculation!DJ287+Calculation!AS287</f>
        <v>65.409845527288184</v>
      </c>
      <c r="AC286" s="94">
        <f>Sheet1!AA284+Sheet1!AB284+BC286</f>
        <v>64.209999999999994</v>
      </c>
      <c r="AD286" s="94">
        <f>Sheet1!AA284+Sheet1!BN284+'Calculations II'!BC286-Calculation!AS286-Calculation!DJ286</f>
        <v>35.494186304408103</v>
      </c>
      <c r="AE286" s="94">
        <f>Sheet1!AA284+Sheet1!AB284+'Calculations II'!BC286-Calculation!AS286-Calculation!DJ286</f>
        <v>49.804186304408091</v>
      </c>
      <c r="AF286" s="94">
        <f ca="1">Sheet1!AA284+Sheet1!BN284+P286+'Calculations II'!BC286+Calculation!AS286+Calculation!DJ286</f>
        <v>64.596457526195124</v>
      </c>
      <c r="AG286" s="94">
        <f ca="1">IF(B286=TODAY(),0,Sheet1!AA284+Sheet1!BN284+'Calculations II'!BC286+'Calculations II'!P286-Sheet1!CT284-BP286)</f>
        <v>34.15364383060323</v>
      </c>
      <c r="AH286" s="94">
        <f ca="1">IF(B286=TODAY(),0,Sheet1!AA284+Sheet1!BN284+'Calculations II'!BC286+'Calculations II'!P286-BP286)</f>
        <v>50.190643830603229</v>
      </c>
      <c r="AI286" s="94">
        <f ca="1">IF(B286=TODAY(),0,BC286+Sheet1!AA284+Calculation!ES286+O286+W286+Sheet1!BN284+Calculation!AS286+Calculation!DJ286-BP286)</f>
        <v>64.596457526195124</v>
      </c>
      <c r="AJ286" s="94"/>
      <c r="AM286" s="90">
        <f t="shared" si="68"/>
        <v>43010</v>
      </c>
      <c r="AN286" s="94">
        <f>Sheet1!BU284</f>
        <v>26.9</v>
      </c>
      <c r="AO286" s="94">
        <f>Sheet1!AA284</f>
        <v>28.3</v>
      </c>
      <c r="AP286" s="94">
        <f t="shared" si="57"/>
        <v>-1.0249000000000028</v>
      </c>
      <c r="AQ286" s="1087">
        <f>((Sheet1!BV284-(Sheet1!BU284-AP286))/(Sheet1!BU284-AP286))</f>
        <v>0.18532206024014411</v>
      </c>
      <c r="AR286" s="94">
        <f t="shared" si="58"/>
        <v>29.324900000000003</v>
      </c>
      <c r="AS286" s="94">
        <f t="shared" si="59"/>
        <v>27.924900000000001</v>
      </c>
      <c r="AT286" s="89">
        <f>Sheet1!BB284</f>
        <v>0</v>
      </c>
      <c r="AU286" s="89">
        <f>Sheet1!AS284*GPMtoMGD</f>
        <v>2.7648000000000002E-2</v>
      </c>
      <c r="AV286" s="94">
        <f>Sheet1!AT284</f>
        <v>0</v>
      </c>
      <c r="AW286" s="89">
        <f>Sheet1!AV284*GPMtoMGD</f>
        <v>0.66700800000000005</v>
      </c>
      <c r="AX286" s="89">
        <f>Sheet1!AW284*GPMtoMGD</f>
        <v>0.72892800000000002</v>
      </c>
      <c r="AY286" s="89">
        <f>Sheet1!AX284*GPMtoMGD</f>
        <v>7.2000000000000005E-4</v>
      </c>
      <c r="AZ286" s="89">
        <f>Sheet1!AY284*GPMtoMGD</f>
        <v>0</v>
      </c>
      <c r="BA286" s="89">
        <f>Sheet1!AZ284*GPMtoMGD</f>
        <v>0</v>
      </c>
      <c r="BB286" s="89">
        <f>Sheet1!BP284*GPMtoMGD</f>
        <v>3.2112000000000002E-2</v>
      </c>
      <c r="BC286" s="89">
        <f>Sheet1!CS284*GPMtoMGD</f>
        <v>0</v>
      </c>
      <c r="BD286" s="89">
        <f>Sheet1!BO284*GPMtoMGD</f>
        <v>2.1908160000000003</v>
      </c>
      <c r="BE286" s="89">
        <f>Sheet1!BW284*GPMtoMGD</f>
        <v>0.90993600000000008</v>
      </c>
      <c r="BF286" s="89">
        <f>Sheet1!CN284*GPMtoMGD</f>
        <v>0.43948799999999999</v>
      </c>
      <c r="BG286" s="89">
        <f>Sheet1!CO284*GPMtoMGD</f>
        <v>0.76550400000000007</v>
      </c>
      <c r="BH286" s="89">
        <f>Sheet1!CP284*GPMtoMGD</f>
        <v>0</v>
      </c>
      <c r="BI286" s="89">
        <f t="shared" si="69"/>
        <v>2.2229280000000005</v>
      </c>
      <c r="BK286" s="94">
        <f>SUM(AT286:BA286,AS286,BC286,Calculation!AQ286)</f>
        <v>50.853390304408094</v>
      </c>
      <c r="BM286" s="358">
        <f>0</f>
        <v>0</v>
      </c>
      <c r="BN286" s="358">
        <f>0</f>
        <v>0</v>
      </c>
      <c r="BP286" s="94">
        <f>SUM(BM286:BN286,W286,Sheet1!DX284)</f>
        <v>0</v>
      </c>
      <c r="BR286" s="94">
        <f>Sheet1!AA284</f>
        <v>28.3</v>
      </c>
      <c r="BS286" s="94">
        <f>Sheet1!AB284</f>
        <v>35.909999999999997</v>
      </c>
      <c r="BT286" s="94">
        <f t="shared" ca="1" si="60"/>
        <v>0.29064383060322507</v>
      </c>
      <c r="BU286" s="94">
        <f>Sheet1!AT284</f>
        <v>0</v>
      </c>
      <c r="BV286" s="89">
        <f>Sheet1!BB284</f>
        <v>0</v>
      </c>
      <c r="BW286" s="94">
        <f>Calculation!ED286</f>
        <v>14.405813695591899</v>
      </c>
      <c r="BX286" s="94">
        <f>(Sheet1!CS284*1440)/1000000</f>
        <v>0</v>
      </c>
      <c r="CA286" s="94">
        <f ca="1">Sheet1!AC284-Sheet1!BK284-Sheet1!BL284-Sheet1!BM284-Sheet1!BC284-Sheet1!BD284-Sheet1!BE284-Sheet1!BF284-Sheet1!BG284-Sheet1!BH284-Sheet1!BI284+BC286+P286</f>
        <v>50.030643830603211</v>
      </c>
      <c r="CB286" s="93">
        <f t="shared" si="61"/>
        <v>77.047076212919308</v>
      </c>
      <c r="CC286" s="94">
        <f t="shared" si="62"/>
        <v>0</v>
      </c>
      <c r="CD286" s="94">
        <f t="shared" ca="1" si="63"/>
        <v>64.436457526195113</v>
      </c>
      <c r="CE286" s="1077">
        <f t="shared" ca="1" si="64"/>
        <v>99.683199793023832</v>
      </c>
      <c r="CG286" s="1077">
        <f t="shared" ca="1" si="65"/>
        <v>50.030643830603211</v>
      </c>
    </row>
    <row r="287" spans="1:85" s="89" customFormat="1" x14ac:dyDescent="0.25">
      <c r="A287" s="616" t="s">
        <v>5</v>
      </c>
      <c r="B287" s="91">
        <v>43011</v>
      </c>
      <c r="C287" s="92">
        <v>0</v>
      </c>
      <c r="D287" s="94">
        <f>(Sheet1!BQ285-Sheet1!BQ284)*1.385</f>
        <v>-0.78945000000000043</v>
      </c>
      <c r="E287" s="30">
        <f>(Sheet1!BR285-Sheet1!BR284)*1.385</f>
        <v>-0.74789999999999879</v>
      </c>
      <c r="F287" s="30">
        <f ca="1">IF(B287=TODAY(),0,-(VLOOKUP(Sheet1!CD285,Lookup!$I$4:$J$216,2)-VLOOKUP(Sheet1!CD284,Lookup!$I$4:$J$216,2))/1000000)</f>
        <v>1.1400063240258005</v>
      </c>
      <c r="G287" s="94">
        <f ca="1">IF(B287=TODAY(),0,-$G$6*(Sheet1!CF285-Sheet1!CF284)*7.48/1000000)</f>
        <v>-0.19856750526279648</v>
      </c>
      <c r="H287" s="94">
        <f ca="1">IF(B287=TODAY(),0,-$H$6*(Sheet1!CE285-Sheet1!CE284)*7.48/1000000)</f>
        <v>-1.5039432351265274E-2</v>
      </c>
      <c r="I287" s="94">
        <f ca="1">IF(B287=TODAY(),0,-$I$6*(Sheet1!CG285-Sheet1!CG284)*7.48/1000000)</f>
        <v>-2.7404176799999975E-2</v>
      </c>
      <c r="J287" s="95" t="s">
        <v>177</v>
      </c>
      <c r="K287" s="94">
        <f ca="1">IF(B287=TODAY(),0,-$K$6*(Sheet1!CH285-Sheet1!CH284)*7.48/1000000)</f>
        <v>-5.1307566883329978E-2</v>
      </c>
      <c r="L287" s="95" t="s">
        <v>177</v>
      </c>
      <c r="M287" s="94">
        <f ca="1">IF(B287=TODAY(),0,-$M$6*(Sheet1!CI285-Sheet1!CI284)*7.48/1000000)</f>
        <v>-0.14393206742421652</v>
      </c>
      <c r="N287" s="94">
        <f ca="1">IF(B287=TODAY(),0,-$N$6*(Sheet1!CJ285-Sheet1!CJ284)*7.48/1000000)</f>
        <v>0.45298212138075472</v>
      </c>
      <c r="O287" s="94">
        <f t="shared" ca="1" si="66"/>
        <v>1.1567376966849472</v>
      </c>
      <c r="P287" s="94">
        <f ca="1">O287+Calculation!ES287</f>
        <v>2.8200164124724099</v>
      </c>
      <c r="Q287" s="89" t="str">
        <f>IF(Sheet1!BQ285&gt;25.75,"spill elevation","-")</f>
        <v>-</v>
      </c>
      <c r="R287" s="89" t="str">
        <f>IF(Sheet1!BQ285&gt;25.75,"spill elevation","-")</f>
        <v>-</v>
      </c>
      <c r="S287" s="89" t="str">
        <f>IF(Sheet1!BR285&gt;25.75,"spill elevation","-")</f>
        <v>-</v>
      </c>
      <c r="T287" s="93">
        <f>IF(Sheet1!DU285=1,Sheet1!AA285-(SUM(AT287:BA287)+BE287),Sheet1!AA285-SUM(AT287:BA287))</f>
        <v>26.897535999999999</v>
      </c>
      <c r="U287" s="93">
        <f>Sheet1!BV285</f>
        <v>33.4</v>
      </c>
      <c r="V287" s="93">
        <f t="shared" si="67"/>
        <v>-6.5024639999999998</v>
      </c>
      <c r="W287" s="93">
        <f>0</f>
        <v>0</v>
      </c>
      <c r="X287" s="89">
        <f>0</f>
        <v>0</v>
      </c>
      <c r="Y287" s="94">
        <f ca="1">Calculation!EJ288+Calculation!ES287+'Calculations II'!O287-'Calculations II'!W287</f>
        <v>52.391681448654872</v>
      </c>
      <c r="Z287" s="94">
        <f ca="1">Y287-Sheet1!CT286</f>
        <v>35.243681448654868</v>
      </c>
      <c r="AA287" s="94">
        <f ca="1">Y287+Calculation!DJ288+Calculation!AS288</f>
        <v>66.769531656699257</v>
      </c>
      <c r="AC287" s="94">
        <f>Sheet1!AA285+Sheet1!AB285+BC287</f>
        <v>64.260000000000005</v>
      </c>
      <c r="AD287" s="94">
        <f>Sheet1!AA285+Sheet1!BN285+'Calculations II'!BC287-Calculation!AS287-Calculation!DJ287</f>
        <v>35.408219329825535</v>
      </c>
      <c r="AE287" s="94">
        <f>Sheet1!AA285+Sheet1!AB285+'Calculations II'!BC287-Calculation!AS287-Calculation!DJ287</f>
        <v>49.798219329825535</v>
      </c>
      <c r="AF287" s="94">
        <f ca="1">Sheet1!AA285+Sheet1!BN285+P287+'Calculations II'!BC287+Calculation!AS287+Calculation!DJ287</f>
        <v>67.15179708264688</v>
      </c>
      <c r="AG287" s="94">
        <f ca="1">IF(B287=TODAY(),0,Sheet1!AA285+Sheet1!BN285+'Calculations II'!BC287+'Calculations II'!P287-Sheet1!CT285-BP287)</f>
        <v>35.781016412472418</v>
      </c>
      <c r="AH287" s="94">
        <f ca="1">IF(B287=TODAY(),0,Sheet1!AA285+Sheet1!BN285+'Calculations II'!BC287+'Calculations II'!P287-BP287)</f>
        <v>52.690016412472417</v>
      </c>
      <c r="AI287" s="94">
        <f ca="1">IF(B287=TODAY(),0,BC287+Sheet1!AA285+Calculation!ES287+O287+W287+Sheet1!BN285+Calculation!AS287+Calculation!DJ287-BP287)</f>
        <v>67.15179708264688</v>
      </c>
      <c r="AJ287" s="94"/>
      <c r="AM287" s="90">
        <f t="shared" si="68"/>
        <v>43011</v>
      </c>
      <c r="AN287" s="94">
        <f>Sheet1!BU285</f>
        <v>26.6</v>
      </c>
      <c r="AO287" s="94">
        <f>Sheet1!AA285</f>
        <v>28.27</v>
      </c>
      <c r="AP287" s="94">
        <f t="shared" si="57"/>
        <v>-1.5373499999999991</v>
      </c>
      <c r="AQ287" s="1087">
        <f>((Sheet1!BV285-(Sheet1!BU285-AP287))/(Sheet1!BU285-AP287))</f>
        <v>0.18703431559830605</v>
      </c>
      <c r="AR287" s="94">
        <f t="shared" si="58"/>
        <v>29.80735</v>
      </c>
      <c r="AS287" s="94">
        <f t="shared" si="59"/>
        <v>28.137350000000001</v>
      </c>
      <c r="AT287" s="89">
        <f>Sheet1!BB285</f>
        <v>0</v>
      </c>
      <c r="AU287" s="89">
        <f>Sheet1!AS285*GPMtoMGD</f>
        <v>3.3840000000000002E-2</v>
      </c>
      <c r="AV287" s="94">
        <f>Sheet1!AT285</f>
        <v>0</v>
      </c>
      <c r="AW287" s="89">
        <f>Sheet1!AV285*GPMtoMGD</f>
        <v>0.80712000000000006</v>
      </c>
      <c r="AX287" s="89">
        <f>Sheet1!AW285*GPMtoMGD</f>
        <v>0.53150400000000009</v>
      </c>
      <c r="AY287" s="89">
        <f>Sheet1!AX285*GPMtoMGD</f>
        <v>0</v>
      </c>
      <c r="AZ287" s="89">
        <f>Sheet1!AY285*GPMtoMGD</f>
        <v>0</v>
      </c>
      <c r="BA287" s="89">
        <f>Sheet1!AZ285*GPMtoMGD</f>
        <v>0</v>
      </c>
      <c r="BB287" s="89">
        <f>Sheet1!BP285*GPMtoMGD</f>
        <v>3.3119999999999998E-3</v>
      </c>
      <c r="BC287" s="89">
        <f>Sheet1!CS285*GPMtoMGD</f>
        <v>0</v>
      </c>
      <c r="BD287" s="89">
        <f>Sheet1!BO285*GPMtoMGD</f>
        <v>2.1139200000000002</v>
      </c>
      <c r="BE287" s="89">
        <f>Sheet1!BW285*GPMtoMGD</f>
        <v>1.226736</v>
      </c>
      <c r="BF287" s="89">
        <f>Sheet1!CN285*GPMtoMGD</f>
        <v>0.44812800000000003</v>
      </c>
      <c r="BG287" s="89">
        <f>Sheet1!CO285*GPMtoMGD</f>
        <v>0.77025600000000005</v>
      </c>
      <c r="BH287" s="89">
        <f>Sheet1!CP285*GPMtoMGD</f>
        <v>0</v>
      </c>
      <c r="BI287" s="89">
        <f t="shared" si="69"/>
        <v>2.1172320000000004</v>
      </c>
      <c r="BK287" s="94">
        <f>SUM(AT287:BA287,AS287,BC287,Calculation!AQ287)</f>
        <v>51.038033329825538</v>
      </c>
      <c r="BM287" s="358">
        <f>0</f>
        <v>0</v>
      </c>
      <c r="BN287" s="358">
        <f>0</f>
        <v>0</v>
      </c>
      <c r="BP287" s="94">
        <f>SUM(BM287:BN287,W287,Sheet1!DX285)</f>
        <v>0</v>
      </c>
      <c r="BR287" s="94">
        <f>Sheet1!AA285</f>
        <v>28.27</v>
      </c>
      <c r="BS287" s="94">
        <f>Sheet1!AB285</f>
        <v>35.99</v>
      </c>
      <c r="BT287" s="94">
        <f t="shared" ca="1" si="60"/>
        <v>2.8200164124724099</v>
      </c>
      <c r="BU287" s="94">
        <f>Sheet1!AT285</f>
        <v>0</v>
      </c>
      <c r="BV287" s="89">
        <f>Sheet1!BB285</f>
        <v>0</v>
      </c>
      <c r="BW287" s="94">
        <f>Calculation!ED287</f>
        <v>14.461780670174468</v>
      </c>
      <c r="BX287" s="94">
        <f>(Sheet1!CS285*1440)/1000000</f>
        <v>0</v>
      </c>
      <c r="CA287" s="94">
        <f ca="1">Sheet1!AC285-Sheet1!BK285-Sheet1!BL285-Sheet1!BM285-Sheet1!BC285-Sheet1!BD285-Sheet1!BE285-Sheet1!BF285-Sheet1!BG285-Sheet1!BH285-Sheet1!BI285+BC287+P287</f>
        <v>52.570016412472413</v>
      </c>
      <c r="CB287" s="93">
        <f t="shared" si="61"/>
        <v>77.037845303240104</v>
      </c>
      <c r="CC287" s="94">
        <f t="shared" si="62"/>
        <v>0</v>
      </c>
      <c r="CD287" s="94">
        <f t="shared" ca="1" si="63"/>
        <v>67.031797082646875</v>
      </c>
      <c r="CE287" s="1077">
        <f t="shared" ca="1" si="64"/>
        <v>103.69819008685471</v>
      </c>
      <c r="CG287" s="1077">
        <f t="shared" ca="1" si="65"/>
        <v>52.570016412472413</v>
      </c>
    </row>
    <row r="288" spans="1:85" s="89" customFormat="1" x14ac:dyDescent="0.25">
      <c r="A288" s="616" t="s">
        <v>6</v>
      </c>
      <c r="B288" s="91">
        <v>43012</v>
      </c>
      <c r="C288" s="92">
        <v>0</v>
      </c>
      <c r="D288" s="94">
        <f>(Sheet1!BQ286-Sheet1!BQ285)*1.385</f>
        <v>-1.6758500000000012</v>
      </c>
      <c r="E288" s="30">
        <f>(Sheet1!BR286-Sheet1!BR285)*1.385</f>
        <v>-1.6896999999999984</v>
      </c>
      <c r="F288" s="30">
        <f ca="1">IF(B288=TODAY(),0,-(VLOOKUP(Sheet1!CD286,Lookup!$I$4:$J$216,2)-VLOOKUP(Sheet1!CD285,Lookup!$I$4:$J$216,2))/1000000)</f>
        <v>-0.72545856983459556</v>
      </c>
      <c r="G288" s="94">
        <f ca="1">IF(B288=TODAY(),0,-$G$6*(Sheet1!CF286-Sheet1!CF285)*7.48/1000000)</f>
        <v>7.9427002105118313E-2</v>
      </c>
      <c r="H288" s="94">
        <f ca="1">IF(B288=TODAY(),0,-$H$6*(Sheet1!CE286-Sheet1!CE285)*7.48/1000000)</f>
        <v>-3.0078864702529479E-2</v>
      </c>
      <c r="I288" s="94">
        <f ca="1">IF(B288=TODAY(),0,-$I$6*(Sheet1!CG286-Sheet1!CG285)*7.48/1000000)</f>
        <v>6.7836568799999997E-2</v>
      </c>
      <c r="J288" s="95" t="s">
        <v>177</v>
      </c>
      <c r="K288" s="94">
        <f ca="1">IF(B288=TODAY(),0,-$K$6*(Sheet1!CH286-Sheet1!CH285)*7.48/1000000)</f>
        <v>0.11794077062791439</v>
      </c>
      <c r="L288" s="95" t="s">
        <v>177</v>
      </c>
      <c r="M288" s="94">
        <f ca="1">IF(B288=TODAY(),0,-$M$6*(Sheet1!CI286-Sheet1!CI285)*7.48/1000000)</f>
        <v>0.32384715170448697</v>
      </c>
      <c r="N288" s="94">
        <f ca="1">IF(B288=TODAY(),0,-$N$6*(Sheet1!CJ286-Sheet1!CJ285)*7.48/1000000)</f>
        <v>-7.4462814473549299E-2</v>
      </c>
      <c r="O288" s="94">
        <f t="shared" ca="1" si="66"/>
        <v>-0.24094875577315467</v>
      </c>
      <c r="P288" s="94">
        <f ca="1">O288+Calculation!ES288</f>
        <v>3.0842240439079687</v>
      </c>
      <c r="Q288" s="89" t="str">
        <f>IF(Sheet1!BQ286&gt;25.75,"spill elevation","-")</f>
        <v>-</v>
      </c>
      <c r="R288" s="89" t="str">
        <f>IF(Sheet1!BQ286&gt;25.75,"spill elevation","-")</f>
        <v>-</v>
      </c>
      <c r="S288" s="89" t="str">
        <f>IF(Sheet1!BR286&gt;25.75,"spill elevation","-")</f>
        <v>-</v>
      </c>
      <c r="T288" s="93">
        <f>IF(Sheet1!DU286=1,Sheet1!AA286-(SUM(AT288:BA288)+BE288),Sheet1!AA286-SUM(AT288:BA288))</f>
        <v>26.209536</v>
      </c>
      <c r="U288" s="93">
        <f>Sheet1!BV286</f>
        <v>35</v>
      </c>
      <c r="V288" s="93">
        <f t="shared" si="67"/>
        <v>-8.7904640000000001</v>
      </c>
      <c r="W288" s="93">
        <f>0</f>
        <v>0</v>
      </c>
      <c r="X288" s="89">
        <f>0</f>
        <v>0</v>
      </c>
      <c r="Y288" s="94">
        <f ca="1">Calculation!EJ289+Calculation!ES288+'Calculations II'!O288-'Calculations II'!W288</f>
        <v>52.137014503229189</v>
      </c>
      <c r="Z288" s="94">
        <f ca="1">Y288-Sheet1!CT287</f>
        <v>35.644014503229187</v>
      </c>
      <c r="AA288" s="94">
        <f ca="1">Y288+Calculation!DJ289+Calculation!AS289</f>
        <v>66.439247512937925</v>
      </c>
      <c r="AC288" s="94">
        <f>Sheet1!AA286+Sheet1!AB286+BC288</f>
        <v>64.099999999999994</v>
      </c>
      <c r="AD288" s="94">
        <f>Sheet1!AA286+Sheet1!BN286+'Calculations II'!BC288-Calculation!AS288-Calculation!DJ288</f>
        <v>35.452149791955613</v>
      </c>
      <c r="AE288" s="94">
        <f>Sheet1!AA286+Sheet1!AB286+'Calculations II'!BC288-Calculation!AS288-Calculation!DJ288</f>
        <v>49.722149791955609</v>
      </c>
      <c r="AF288" s="94">
        <f ca="1">Sheet1!AA286+Sheet1!BN286+P288+'Calculations II'!BC288+Calculation!AS288+Calculation!DJ288</f>
        <v>67.292074251952343</v>
      </c>
      <c r="AG288" s="94">
        <f ca="1">IF(B288=TODAY(),0,Sheet1!AA286+Sheet1!BN286+'Calculations II'!BC288+'Calculations II'!P288-Sheet1!CT286-BP288)</f>
        <v>35.766224043907968</v>
      </c>
      <c r="AH288" s="94">
        <f ca="1">IF(B288=TODAY(),0,Sheet1!AA286+Sheet1!BN286+'Calculations II'!BC288+'Calculations II'!P288-BP288)</f>
        <v>52.914224043907964</v>
      </c>
      <c r="AI288" s="94">
        <f ca="1">IF(B288=TODAY(),0,BC288+Sheet1!AA286+Calculation!ES288+O288+W288+Sheet1!BN286+Calculation!AS288+Calculation!DJ288-BP288)</f>
        <v>67.292074251952357</v>
      </c>
      <c r="AJ288" s="94"/>
      <c r="AM288" s="90">
        <f t="shared" si="68"/>
        <v>43012</v>
      </c>
      <c r="AN288" s="94">
        <f>Sheet1!BU286</f>
        <v>26.3</v>
      </c>
      <c r="AO288" s="94">
        <f>Sheet1!AA286</f>
        <v>28.23</v>
      </c>
      <c r="AP288" s="94">
        <f t="shared" si="57"/>
        <v>-3.3655499999999998</v>
      </c>
      <c r="AQ288" s="1087">
        <f>((Sheet1!BV286-(Sheet1!BU286-AP288))/(Sheet1!BU286-AP288))</f>
        <v>0.17981968984225813</v>
      </c>
      <c r="AR288" s="94">
        <f t="shared" si="58"/>
        <v>31.595549999999999</v>
      </c>
      <c r="AS288" s="94">
        <f t="shared" si="59"/>
        <v>29.66555</v>
      </c>
      <c r="AT288" s="89">
        <f>Sheet1!BB286</f>
        <v>0</v>
      </c>
      <c r="AU288" s="89">
        <f>Sheet1!AS286*GPMtoMGD</f>
        <v>3.3695999999999997E-2</v>
      </c>
      <c r="AV288" s="94">
        <f>Sheet1!AT286</f>
        <v>0</v>
      </c>
      <c r="AW288" s="89">
        <f>Sheet1!AV286*GPMtoMGD</f>
        <v>1.3020480000000001</v>
      </c>
      <c r="AX288" s="89">
        <f>Sheet1!AW286*GPMtoMGD</f>
        <v>0.68472</v>
      </c>
      <c r="AY288" s="89">
        <f>Sheet1!AX286*GPMtoMGD</f>
        <v>0</v>
      </c>
      <c r="AZ288" s="89">
        <f>Sheet1!AY286*GPMtoMGD</f>
        <v>0</v>
      </c>
      <c r="BA288" s="89">
        <f>Sheet1!AZ286*GPMtoMGD</f>
        <v>0</v>
      </c>
      <c r="BB288" s="89">
        <f>Sheet1!BP286*GPMtoMGD</f>
        <v>3.1680000000000002E-3</v>
      </c>
      <c r="BC288" s="89">
        <f>Sheet1!CS286*GPMtoMGD</f>
        <v>0</v>
      </c>
      <c r="BD288" s="89">
        <f>Sheet1!BO286*GPMtoMGD</f>
        <v>1.5562080000000003</v>
      </c>
      <c r="BE288" s="89">
        <f>Sheet1!BW286*GPMtoMGD</f>
        <v>1.271952</v>
      </c>
      <c r="BF288" s="89">
        <f>Sheet1!CN286*GPMtoMGD</f>
        <v>0.50112000000000001</v>
      </c>
      <c r="BG288" s="89">
        <f>Sheet1!CO286*GPMtoMGD</f>
        <v>0.78292800000000007</v>
      </c>
      <c r="BH288" s="89">
        <f>Sheet1!CP286*GPMtoMGD</f>
        <v>0</v>
      </c>
      <c r="BI288" s="89">
        <f t="shared" si="69"/>
        <v>1.5593760000000003</v>
      </c>
      <c r="BK288" s="94">
        <f>SUM(AT288:BA288,AS288,BC288,Calculation!AQ288)</f>
        <v>53.178163791955619</v>
      </c>
      <c r="BM288" s="358">
        <f>0</f>
        <v>0</v>
      </c>
      <c r="BN288" s="358">
        <f>0</f>
        <v>0</v>
      </c>
      <c r="BP288" s="94">
        <f>SUM(BM288:BN288,W288,Sheet1!DX286)</f>
        <v>0</v>
      </c>
      <c r="BR288" s="94">
        <f>Sheet1!AA286</f>
        <v>28.23</v>
      </c>
      <c r="BS288" s="94">
        <f>Sheet1!AB286</f>
        <v>35.869999999999997</v>
      </c>
      <c r="BT288" s="94">
        <f t="shared" ca="1" si="60"/>
        <v>3.0842240439079687</v>
      </c>
      <c r="BU288" s="94">
        <f>Sheet1!AT286</f>
        <v>0</v>
      </c>
      <c r="BV288" s="89">
        <f>Sheet1!BB286</f>
        <v>0</v>
      </c>
      <c r="BW288" s="94">
        <f>Calculation!ED288</f>
        <v>14.377850208044384</v>
      </c>
      <c r="BX288" s="94">
        <f>(Sheet1!CS286*1440)/1000000</f>
        <v>0</v>
      </c>
      <c r="CA288" s="94">
        <f ca="1">Sheet1!AC286-Sheet1!BK286-Sheet1!BL286-Sheet1!BM286-Sheet1!BC286-Sheet1!BD286-Sheet1!BE286-Sheet1!BF286-Sheet1!BG286-Sheet1!BH286-Sheet1!BI286+BC288+P288</f>
        <v>52.734224043907957</v>
      </c>
      <c r="CB288" s="93">
        <f t="shared" si="61"/>
        <v>76.920165728155325</v>
      </c>
      <c r="CC288" s="94">
        <f t="shared" si="62"/>
        <v>0</v>
      </c>
      <c r="CD288" s="94">
        <f t="shared" ca="1" si="63"/>
        <v>67.112074251952336</v>
      </c>
      <c r="CE288" s="1077">
        <f t="shared" ca="1" si="64"/>
        <v>103.82237886777025</v>
      </c>
      <c r="CG288" s="1077">
        <f t="shared" ca="1" si="65"/>
        <v>52.734224043907957</v>
      </c>
    </row>
    <row r="289" spans="1:85" s="89" customFormat="1" x14ac:dyDescent="0.25">
      <c r="A289" s="616" t="s">
        <v>7</v>
      </c>
      <c r="B289" s="91">
        <v>43013</v>
      </c>
      <c r="C289" s="92">
        <v>0</v>
      </c>
      <c r="D289" s="94">
        <f>(Sheet1!BQ287-Sheet1!BQ286)*1.385</f>
        <v>-1.1772500000000019</v>
      </c>
      <c r="E289" s="30">
        <f>(Sheet1!BR287-Sheet1!BR286)*1.385</f>
        <v>-1.1357000000000004</v>
      </c>
      <c r="F289" s="30">
        <f ca="1">IF(B289=TODAY(),0,-(VLOOKUP(Sheet1!CD287,Lookup!$I$4:$J$216,2)-VLOOKUP(Sheet1!CD286,Lookup!$I$4:$J$216,2))/1000000)</f>
        <v>-0.82909550838240231</v>
      </c>
      <c r="G289" s="94">
        <f ca="1">IF(B289=TODAY(),0,-$G$6*(Sheet1!CF287-Sheet1!CF286)*7.48/1000000)</f>
        <v>0.39713501052559297</v>
      </c>
      <c r="H289" s="94">
        <f ca="1">IF(B289=TODAY(),0,-$H$6*(Sheet1!CE287-Sheet1!CE286)*7.48/1000000)</f>
        <v>-1.5039432351265274E-2</v>
      </c>
      <c r="I289" s="94">
        <f ca="1">IF(B289=TODAY(),0,-$I$6*(Sheet1!CG287-Sheet1!CG286)*7.48/1000000)</f>
        <v>3.5939903999999995E-2</v>
      </c>
      <c r="J289" s="95" t="s">
        <v>177</v>
      </c>
      <c r="K289" s="94">
        <f ca="1">IF(B289=TODAY(),0,-$K$6*(Sheet1!CH287-Sheet1!CH286)*7.48/1000000)</f>
        <v>5.9969883370126001E-2</v>
      </c>
      <c r="L289" s="95" t="s">
        <v>177</v>
      </c>
      <c r="M289" s="94">
        <f ca="1">IF(B289=TODAY(),0,-$M$6*(Sheet1!CI287-Sheet1!CI286)*7.48/1000000)</f>
        <v>0.23388960956435112</v>
      </c>
      <c r="N289" s="94">
        <f ca="1">IF(B289=TODAY(),0,-$N$6*(Sheet1!CJ287-Sheet1!CJ286)*7.48/1000000)</f>
        <v>-0.50262399769645283</v>
      </c>
      <c r="O289" s="94">
        <f t="shared" ca="1" si="66"/>
        <v>-0.6198245309700503</v>
      </c>
      <c r="P289" s="94">
        <f ca="1">O289+Calculation!ES289</f>
        <v>1.7343654006402247</v>
      </c>
      <c r="Q289" s="89" t="str">
        <f>IF(Sheet1!BQ287&gt;25.75,"spill elevation","-")</f>
        <v>-</v>
      </c>
      <c r="R289" s="89" t="str">
        <f>IF(Sheet1!BQ287&gt;25.75,"spill elevation","-")</f>
        <v>-</v>
      </c>
      <c r="S289" s="89" t="str">
        <f>IF(Sheet1!BR287&gt;25.75,"spill elevation","-")</f>
        <v>-</v>
      </c>
      <c r="T289" s="93">
        <f>IF(Sheet1!DU287=1,Sheet1!AA287-(SUM(AT289:BA289)+BE289),Sheet1!AA287-SUM(AT289:BA289))</f>
        <v>27.455152000000002</v>
      </c>
      <c r="U289" s="93">
        <f>Sheet1!BV287</f>
        <v>34.799999999999997</v>
      </c>
      <c r="V289" s="93">
        <f t="shared" si="67"/>
        <v>-7.3448479999999954</v>
      </c>
      <c r="W289" s="93">
        <f>0</f>
        <v>0</v>
      </c>
      <c r="X289" s="89">
        <f>0</f>
        <v>0</v>
      </c>
      <c r="Y289" s="94">
        <f ca="1">Calculation!EJ290+Calculation!ES289+'Calculations II'!O289-'Calculations II'!W289</f>
        <v>52.35667135268811</v>
      </c>
      <c r="Z289" s="94">
        <f ca="1">Y289-Sheet1!CT288</f>
        <v>35.370671352688106</v>
      </c>
      <c r="AA289" s="94">
        <f ca="1">Y289+Calculation!DJ290+Calculation!AS290</f>
        <v>65.957420728208504</v>
      </c>
      <c r="AC289" s="94">
        <f>Sheet1!AA287+Sheet1!AB287+BC289</f>
        <v>64.23</v>
      </c>
      <c r="AD289" s="94">
        <f>Sheet1!AA287+Sheet1!BN287+'Calculations II'!BC289-Calculation!AS289-Calculation!DJ289</f>
        <v>35.697766990291257</v>
      </c>
      <c r="AE289" s="94">
        <f>Sheet1!AA287+Sheet1!AB287+'Calculations II'!BC289-Calculation!AS289-Calculation!DJ289</f>
        <v>49.927766990291261</v>
      </c>
      <c r="AF289" s="94">
        <f ca="1">Sheet1!AA287+Sheet1!BN287+P289+'Calculations II'!BC289+Calculation!AS289+Calculation!DJ289</f>
        <v>66.036598410348958</v>
      </c>
      <c r="AG289" s="94">
        <f ca="1">IF(B289=TODAY(),0,Sheet1!AA287+Sheet1!BN287+'Calculations II'!BC289+'Calculations II'!P289-Sheet1!CT287-BP289)</f>
        <v>35.24136540064022</v>
      </c>
      <c r="AH289" s="94">
        <f ca="1">IF(B289=TODAY(),0,Sheet1!AA287+Sheet1!BN287+'Calculations II'!BC289+'Calculations II'!P289-BP289)</f>
        <v>51.734365400640222</v>
      </c>
      <c r="AI289" s="94">
        <f ca="1">IF(B289=TODAY(),0,BC289+Sheet1!AA287+Calculation!ES289+O289+W289+Sheet1!BN287+Calculation!AS289+Calculation!DJ289-BP289)</f>
        <v>66.036598410348972</v>
      </c>
      <c r="AJ289" s="94"/>
      <c r="AM289" s="90">
        <f t="shared" si="68"/>
        <v>43013</v>
      </c>
      <c r="AN289" s="94">
        <f>Sheet1!BU287</f>
        <v>27.2</v>
      </c>
      <c r="AO289" s="94">
        <f>Sheet1!AA287</f>
        <v>28.3</v>
      </c>
      <c r="AP289" s="94">
        <f t="shared" si="57"/>
        <v>-2.3129500000000025</v>
      </c>
      <c r="AQ289" s="1087">
        <f>((Sheet1!BV287-(Sheet1!BU287-AP289))/(Sheet1!BU287-AP289))</f>
        <v>0.17914339298511309</v>
      </c>
      <c r="AR289" s="94">
        <f t="shared" si="58"/>
        <v>30.612950000000005</v>
      </c>
      <c r="AS289" s="94">
        <f t="shared" si="59"/>
        <v>29.512950000000004</v>
      </c>
      <c r="AT289" s="89">
        <f>Sheet1!BB287</f>
        <v>0</v>
      </c>
      <c r="AU289" s="89">
        <f>Sheet1!AS287*GPMtoMGD</f>
        <v>3.5279999999999999E-2</v>
      </c>
      <c r="AV289" s="94">
        <f>Sheet1!AT287</f>
        <v>0</v>
      </c>
      <c r="AW289" s="89">
        <f>Sheet1!AV287*GPMtoMGD</f>
        <v>0.45907200000000004</v>
      </c>
      <c r="AX289" s="89">
        <f>Sheet1!AW287*GPMtoMGD</f>
        <v>0.35049600000000003</v>
      </c>
      <c r="AY289" s="89">
        <f>Sheet1!AX287*GPMtoMGD</f>
        <v>0</v>
      </c>
      <c r="AZ289" s="89">
        <f>Sheet1!AY287*GPMtoMGD</f>
        <v>0</v>
      </c>
      <c r="BA289" s="89">
        <f>Sheet1!AZ287*GPMtoMGD</f>
        <v>0</v>
      </c>
      <c r="BB289" s="89">
        <f>Sheet1!BP287*GPMtoMGD</f>
        <v>3.0240000000000002E-3</v>
      </c>
      <c r="BC289" s="89">
        <f>Sheet1!CS287*GPMtoMGD</f>
        <v>0</v>
      </c>
      <c r="BD289" s="89">
        <f>Sheet1!BO287*GPMtoMGD</f>
        <v>1.6732800000000001</v>
      </c>
      <c r="BE289" s="89">
        <f>Sheet1!BW287*GPMtoMGD</f>
        <v>1.270224</v>
      </c>
      <c r="BF289" s="89">
        <f>Sheet1!CN287*GPMtoMGD</f>
        <v>0.43718400000000007</v>
      </c>
      <c r="BG289" s="89">
        <f>Sheet1!CO287*GPMtoMGD</f>
        <v>0.77256000000000002</v>
      </c>
      <c r="BH289" s="89">
        <f>Sheet1!CP287*GPMtoMGD</f>
        <v>0</v>
      </c>
      <c r="BI289" s="89">
        <f t="shared" si="69"/>
        <v>1.676304</v>
      </c>
      <c r="BK289" s="94">
        <f>SUM(AT289:BA289,AS289,BC289,Calculation!AQ289)</f>
        <v>51.985564990291266</v>
      </c>
      <c r="BM289" s="358">
        <f>0</f>
        <v>0</v>
      </c>
      <c r="BN289" s="358">
        <f>0</f>
        <v>0</v>
      </c>
      <c r="BP289" s="94">
        <f>SUM(BM289:BN289,W289,Sheet1!DX287)</f>
        <v>0</v>
      </c>
      <c r="BR289" s="94">
        <f>Sheet1!AA287</f>
        <v>28.3</v>
      </c>
      <c r="BS289" s="94">
        <f>Sheet1!AB287</f>
        <v>35.93</v>
      </c>
      <c r="BT289" s="94">
        <f t="shared" ca="1" si="60"/>
        <v>1.7343654006402247</v>
      </c>
      <c r="BU289" s="94">
        <f>Sheet1!AT287</f>
        <v>0</v>
      </c>
      <c r="BV289" s="89">
        <f>Sheet1!BB287</f>
        <v>0</v>
      </c>
      <c r="BW289" s="94">
        <f>Calculation!ED289</f>
        <v>14.30223300970874</v>
      </c>
      <c r="BX289" s="94">
        <f>(Sheet1!CS287*1440)/1000000</f>
        <v>0</v>
      </c>
      <c r="CA289" s="94">
        <f ca="1">Sheet1!AC287-Sheet1!BK287-Sheet1!BL287-Sheet1!BM287-Sheet1!BC287-Sheet1!BD287-Sheet1!BE287-Sheet1!BF287-Sheet1!BG287-Sheet1!BH287-Sheet1!BI287+BC289+P289</f>
        <v>51.614365400640231</v>
      </c>
      <c r="CB289" s="93">
        <f t="shared" si="61"/>
        <v>77.238255533980578</v>
      </c>
      <c r="CC289" s="94">
        <f t="shared" si="62"/>
        <v>0</v>
      </c>
      <c r="CD289" s="94">
        <f t="shared" ca="1" si="63"/>
        <v>65.916598410348968</v>
      </c>
      <c r="CE289" s="1077">
        <f t="shared" ca="1" si="64"/>
        <v>101.97297774080985</v>
      </c>
      <c r="CG289" s="1077">
        <f t="shared" ca="1" si="65"/>
        <v>51.614365400640231</v>
      </c>
    </row>
    <row r="290" spans="1:85" s="89" customFormat="1" x14ac:dyDescent="0.25">
      <c r="A290" s="616" t="s">
        <v>8</v>
      </c>
      <c r="B290" s="91">
        <v>43014</v>
      </c>
      <c r="C290" s="92">
        <v>0</v>
      </c>
      <c r="D290" s="94">
        <f>(Sheet1!BQ288-Sheet1!BQ287)*1.385</f>
        <v>-0.6925</v>
      </c>
      <c r="E290" s="30">
        <f>(Sheet1!BR288-Sheet1!BR287)*1.385</f>
        <v>-0.65094999999999847</v>
      </c>
      <c r="F290" s="30">
        <f ca="1">IF(B290=TODAY(),0,-(VLOOKUP(Sheet1!CD288,Lookup!$I$4:$J$216,2)-VLOOKUP(Sheet1!CD287,Lookup!$I$4:$J$216,2))/1000000)</f>
        <v>0.41454775419119744</v>
      </c>
      <c r="G290" s="94">
        <f ca="1">IF(B290=TODAY(),0,-$G$6*(Sheet1!CF288-Sheet1!CF287)*7.48/1000000)</f>
        <v>-0.19856750526279648</v>
      </c>
      <c r="H290" s="94">
        <f ca="1">IF(B290=TODAY(),0,-$H$6*(Sheet1!CE288-Sheet1!CE287)*7.48/1000000)</f>
        <v>0</v>
      </c>
      <c r="I290" s="94">
        <f ca="1">IF(B290=TODAY(),0,-$I$6*(Sheet1!CG288-Sheet1!CG287)*7.48/1000000)</f>
        <v>-4.9417367999999989E-2</v>
      </c>
      <c r="J290" s="95" t="s">
        <v>177</v>
      </c>
      <c r="K290" s="94">
        <f ca="1">IF(B290=TODAY(),0,-$K$6*(Sheet1!CH288-Sheet1!CH287)*7.48/1000000)</f>
        <v>-9.3286485242418213E-2</v>
      </c>
      <c r="L290" s="95" t="s">
        <v>177</v>
      </c>
      <c r="M290" s="94">
        <f ca="1">IF(B290=TODAY(),0,-$M$6*(Sheet1!CI288-Sheet1!CI287)*7.48/1000000)</f>
        <v>-0.23388960956435112</v>
      </c>
      <c r="N290" s="94">
        <f ca="1">IF(B290=TODAY(),0,-$N$6*(Sheet1!CJ288-Sheet1!CJ287)*7.48/1000000)</f>
        <v>0.38472454144666768</v>
      </c>
      <c r="O290" s="94">
        <f t="shared" ca="1" si="66"/>
        <v>0.22411132756829932</v>
      </c>
      <c r="P290" s="94">
        <f ca="1">O290+Calculation!ES290</f>
        <v>1.6085105470368855</v>
      </c>
      <c r="Q290" s="89" t="str">
        <f>IF(Sheet1!BQ288&gt;25.75,"spill elevation","-")</f>
        <v>-</v>
      </c>
      <c r="R290" s="89" t="str">
        <f>IF(Sheet1!BQ288&gt;25.75,"spill elevation","-")</f>
        <v>-</v>
      </c>
      <c r="S290" s="89" t="str">
        <f>IF(Sheet1!BR288&gt;25.75,"spill elevation","-")</f>
        <v>-</v>
      </c>
      <c r="T290" s="93">
        <f>IF(Sheet1!DU288=1,Sheet1!AA288-(SUM(AT290:BA290)+BE290),Sheet1!AA288-SUM(AT290:BA290))</f>
        <v>27.101056</v>
      </c>
      <c r="U290" s="93">
        <f>Sheet1!BV288</f>
        <v>33.4</v>
      </c>
      <c r="V290" s="93">
        <f t="shared" si="67"/>
        <v>-6.2989439999999988</v>
      </c>
      <c r="W290" s="93">
        <f>0</f>
        <v>0</v>
      </c>
      <c r="X290" s="89">
        <f>0</f>
        <v>0</v>
      </c>
      <c r="Y290" s="94">
        <f ca="1">Calculation!EJ291+Calculation!ES290+'Calculations II'!O290-'Calculations II'!W290</f>
        <v>52.751351929371317</v>
      </c>
      <c r="Z290" s="94">
        <f ca="1">Y290-Sheet1!CT289</f>
        <v>36.37835192937132</v>
      </c>
      <c r="AA290" s="94">
        <f ca="1">Y290+Calculation!DJ291+Calculation!AS291</f>
        <v>65.596306057811688</v>
      </c>
      <c r="AC290" s="94">
        <f>Sheet1!AA288+Sheet1!AB288+BC290</f>
        <v>64.2</v>
      </c>
      <c r="AD290" s="94">
        <f>Sheet1!AA288+Sheet1!BN288+'Calculations II'!BC290-Calculation!AS290-Calculation!DJ290</f>
        <v>37.079250624479599</v>
      </c>
      <c r="AE290" s="94">
        <f>Sheet1!AA288+Sheet1!AB288+'Calculations II'!BC290-Calculation!AS290-Calculation!DJ290</f>
        <v>50.599250624479609</v>
      </c>
      <c r="AF290" s="94">
        <f ca="1">Sheet1!AA288+Sheet1!BN288+P290+'Calculations II'!BC290+Calculation!AS290+Calculation!DJ290</f>
        <v>65.889259922557287</v>
      </c>
      <c r="AG290" s="94">
        <f ca="1">IF(B290=TODAY(),0,Sheet1!AA288+Sheet1!BN288+'Calculations II'!BC290+'Calculations II'!P290-Sheet1!CT288-BP290)</f>
        <v>35.302510547036889</v>
      </c>
      <c r="AH290" s="94">
        <f ca="1">IF(B290=TODAY(),0,Sheet1!AA288+Sheet1!BN288+'Calculations II'!BC290+'Calculations II'!P290-BP290)</f>
        <v>52.288510547036886</v>
      </c>
      <c r="AI290" s="94">
        <f ca="1">IF(B290=TODAY(),0,BC290+Sheet1!AA288+Calculation!ES290+O290+W290+Sheet1!BN288+Calculation!AS290+Calculation!DJ290-BP290)</f>
        <v>65.889259922557287</v>
      </c>
      <c r="AJ290" s="94"/>
      <c r="AM290" s="90">
        <f t="shared" si="68"/>
        <v>43014</v>
      </c>
      <c r="AN290" s="94">
        <f>Sheet1!BU288</f>
        <v>26.9</v>
      </c>
      <c r="AO290" s="94">
        <f>Sheet1!AA288</f>
        <v>28.3</v>
      </c>
      <c r="AP290" s="94">
        <f t="shared" si="57"/>
        <v>-1.3434499999999985</v>
      </c>
      <c r="AQ290" s="1087">
        <f>((Sheet1!BV288-(Sheet1!BU288-AP290))/(Sheet1!BU288-AP290))</f>
        <v>0.18257507492887745</v>
      </c>
      <c r="AR290" s="94">
        <f t="shared" si="58"/>
        <v>29.643449999999998</v>
      </c>
      <c r="AS290" s="94">
        <f t="shared" si="59"/>
        <v>28.243449999999996</v>
      </c>
      <c r="AT290" s="89">
        <f>Sheet1!BB288</f>
        <v>0</v>
      </c>
      <c r="AU290" s="89">
        <f>Sheet1!AS288*GPMtoMGD</f>
        <v>3.4992000000000002E-2</v>
      </c>
      <c r="AV290" s="94">
        <f>Sheet1!AT288</f>
        <v>0</v>
      </c>
      <c r="AW290" s="89">
        <f>Sheet1!AV288*GPMtoMGD</f>
        <v>0.71222400000000008</v>
      </c>
      <c r="AX290" s="89">
        <f>Sheet1!AW288*GPMtoMGD</f>
        <v>0.45172800000000002</v>
      </c>
      <c r="AY290" s="89">
        <f>Sheet1!AX288*GPMtoMGD</f>
        <v>0</v>
      </c>
      <c r="AZ290" s="89">
        <f>Sheet1!AY288*GPMtoMGD</f>
        <v>0</v>
      </c>
      <c r="BA290" s="89">
        <f>Sheet1!AZ288*GPMtoMGD</f>
        <v>0</v>
      </c>
      <c r="BB290" s="89">
        <f>Sheet1!BP288*GPMtoMGD</f>
        <v>3.0240000000000002E-3</v>
      </c>
      <c r="BC290" s="89">
        <f>Sheet1!CS288*GPMtoMGD</f>
        <v>0</v>
      </c>
      <c r="BD290" s="89">
        <f>Sheet1!BO288*GPMtoMGD</f>
        <v>1.6732800000000001</v>
      </c>
      <c r="BE290" s="89">
        <f>Sheet1!BW288*GPMtoMGD</f>
        <v>1.2741119999999999</v>
      </c>
      <c r="BF290" s="89">
        <f>Sheet1!CN288*GPMtoMGD</f>
        <v>0.35208</v>
      </c>
      <c r="BG290" s="89">
        <f>Sheet1!CO288*GPMtoMGD</f>
        <v>0.68414400000000009</v>
      </c>
      <c r="BH290" s="89">
        <f>Sheet1!CP288*GPMtoMGD</f>
        <v>0</v>
      </c>
      <c r="BI290" s="89">
        <f t="shared" si="69"/>
        <v>1.676304</v>
      </c>
      <c r="BK290" s="94">
        <f>SUM(AT290:BA290,AS290,BC290,Calculation!AQ290)</f>
        <v>51.741644624479591</v>
      </c>
      <c r="BM290" s="358">
        <f>0</f>
        <v>0</v>
      </c>
      <c r="BN290" s="358">
        <f>0</f>
        <v>0</v>
      </c>
      <c r="BP290" s="94">
        <f>SUM(BM290:BN290,W290,Sheet1!DX288)</f>
        <v>0</v>
      </c>
      <c r="BR290" s="94">
        <f>Sheet1!AA288</f>
        <v>28.3</v>
      </c>
      <c r="BS290" s="94">
        <f>Sheet1!AB288</f>
        <v>35.9</v>
      </c>
      <c r="BT290" s="94">
        <f t="shared" ca="1" si="60"/>
        <v>1.6085105470368855</v>
      </c>
      <c r="BU290" s="94">
        <f>Sheet1!AT288</f>
        <v>0</v>
      </c>
      <c r="BV290" s="89">
        <f>Sheet1!BB288</f>
        <v>0</v>
      </c>
      <c r="BW290" s="94">
        <f>Calculation!ED290</f>
        <v>13.600749375520397</v>
      </c>
      <c r="BX290" s="94">
        <f>(Sheet1!CS288*1440)/1000000</f>
        <v>0</v>
      </c>
      <c r="CA290" s="94">
        <f ca="1">Sheet1!AC288-Sheet1!BK288-Sheet1!BL288-Sheet1!BM288-Sheet1!BC288-Sheet1!BD288-Sheet1!BE288-Sheet1!BF288-Sheet1!BG288-Sheet1!BH288-Sheet1!BI288+BC290+P290</f>
        <v>52.158510547036897</v>
      </c>
      <c r="CB290" s="93">
        <f t="shared" si="61"/>
        <v>78.277040716069948</v>
      </c>
      <c r="CC290" s="94">
        <f t="shared" si="62"/>
        <v>0</v>
      </c>
      <c r="CD290" s="94">
        <f t="shared" ca="1" si="63"/>
        <v>65.759259922557291</v>
      </c>
      <c r="CE290" s="1077">
        <f t="shared" ca="1" si="64"/>
        <v>101.72957510019613</v>
      </c>
      <c r="CG290" s="1077">
        <f t="shared" ca="1" si="65"/>
        <v>52.158510547036897</v>
      </c>
    </row>
    <row r="291" spans="1:85" s="89" customFormat="1" x14ac:dyDescent="0.25">
      <c r="A291" s="616" t="s">
        <v>9</v>
      </c>
      <c r="B291" s="91">
        <v>43015</v>
      </c>
      <c r="C291" s="92">
        <v>0</v>
      </c>
      <c r="D291" s="94">
        <f>(Sheet1!BQ289-Sheet1!BQ288)*1.385</f>
        <v>0.5401500000000008</v>
      </c>
      <c r="E291" s="30">
        <f>(Sheet1!BR289-Sheet1!BR288)*1.385</f>
        <v>0.45704999999999762</v>
      </c>
      <c r="F291" s="30">
        <f ca="1">IF(B291=TODAY(),0,-(VLOOKUP(Sheet1!CD289,Lookup!$I$4:$J$216,2)-VLOOKUP(Sheet1!CD288,Lookup!$I$4:$J$216,2))/1000000)</f>
        <v>-0.31091081564339806</v>
      </c>
      <c r="G291" s="94">
        <f ca="1">IF(B291=TODAY(),0,-$G$6*(Sheet1!CF289-Sheet1!CF288)*7.48/1000000)</f>
        <v>0.39713501052559297</v>
      </c>
      <c r="H291" s="94">
        <f ca="1">IF(B291=TODAY(),0,-$H$6*(Sheet1!CE289-Sheet1!CE288)*7.48/1000000)</f>
        <v>0</v>
      </c>
      <c r="I291" s="94">
        <f ca="1">IF(B291=TODAY(),0,-$I$6*(Sheet1!CG289-Sheet1!CG288)*7.48/1000000)</f>
        <v>-4.4924880000000236E-3</v>
      </c>
      <c r="J291" s="95" t="s">
        <v>177</v>
      </c>
      <c r="K291" s="94">
        <f ca="1">IF(B291=TODAY(),0,-$K$6*(Sheet1!CH289-Sheet1!CH288)*7.48/1000000)</f>
        <v>6.6633203744584186E-3</v>
      </c>
      <c r="L291" s="95" t="s">
        <v>177</v>
      </c>
      <c r="M291" s="94">
        <f ca="1">IF(B291=TODAY(),0,-$M$6*(Sheet1!CI289-Sheet1!CI288)*7.48/1000000)</f>
        <v>-8.9957542140135238E-2</v>
      </c>
      <c r="N291" s="94">
        <f ca="1">IF(B291=TODAY(),0,-$N$6*(Sheet1!CJ289-Sheet1!CJ288)*7.48/1000000)</f>
        <v>-0.21097797434172119</v>
      </c>
      <c r="O291" s="94">
        <f t="shared" ca="1" si="66"/>
        <v>-0.21254048922520313</v>
      </c>
      <c r="P291" s="94">
        <f ca="1">O291+Calculation!ES291</f>
        <v>-1.1815622769789378</v>
      </c>
      <c r="Q291" s="89" t="str">
        <f>IF(Sheet1!BQ289&gt;25.75,"spill elevation","-")</f>
        <v>-</v>
      </c>
      <c r="R291" s="89" t="str">
        <f>IF(Sheet1!BQ289&gt;25.75,"spill elevation","-")</f>
        <v>-</v>
      </c>
      <c r="S291" s="89" t="str">
        <f>IF(Sheet1!BR289&gt;25.75,"spill elevation","-")</f>
        <v>-</v>
      </c>
      <c r="T291" s="93">
        <f>IF(Sheet1!DU289=1,Sheet1!AA289-(SUM(AT291:BA291)+BE291),Sheet1!AA289-SUM(AT291:BA291))</f>
        <v>26.799664</v>
      </c>
      <c r="U291" s="93">
        <f>Sheet1!BV289</f>
        <v>30.7</v>
      </c>
      <c r="V291" s="93">
        <f t="shared" si="67"/>
        <v>-3.9003359999999994</v>
      </c>
      <c r="W291" s="93">
        <f>0</f>
        <v>0</v>
      </c>
      <c r="X291" s="89">
        <f>0</f>
        <v>0</v>
      </c>
      <c r="Y291" s="94">
        <f ca="1">Calculation!EJ292+Calculation!ES291+'Calculations II'!O291-'Calculations II'!W291</f>
        <v>51.343513658348627</v>
      </c>
      <c r="Z291" s="94">
        <f ca="1">Y291-Sheet1!CT290</f>
        <v>34.651513658348627</v>
      </c>
      <c r="AA291" s="94">
        <f ca="1">Y291+Calculation!DJ292+Calculation!AS292</f>
        <v>63.969484801522881</v>
      </c>
      <c r="AC291" s="94">
        <f>Sheet1!AA289+Sheet1!AB289+BC291</f>
        <v>64.2</v>
      </c>
      <c r="AD291" s="94">
        <f>Sheet1!AA289+Sheet1!BN289+'Calculations II'!BC291-Calculation!AS291-Calculation!DJ291</f>
        <v>38.555045871559642</v>
      </c>
      <c r="AE291" s="94">
        <f>Sheet1!AA289+Sheet1!AB289+'Calculations II'!BC291-Calculation!AS291-Calculation!DJ291</f>
        <v>51.355045871559639</v>
      </c>
      <c r="AF291" s="94">
        <f ca="1">Sheet1!AA289+Sheet1!BN289+P291+'Calculations II'!BC291+Calculation!AS291+Calculation!DJ291</f>
        <v>63.063391851461432</v>
      </c>
      <c r="AG291" s="94">
        <f ca="1">IF(B291=TODAY(),0,Sheet1!AA289+Sheet1!BN289+'Calculations II'!BC291+'Calculations II'!P291-Sheet1!CT289-BP291)</f>
        <v>33.845437723021064</v>
      </c>
      <c r="AH291" s="94">
        <f ca="1">IF(B291=TODAY(),0,Sheet1!AA289+Sheet1!BN289+'Calculations II'!BC291+'Calculations II'!P291-BP291)</f>
        <v>50.218437723021069</v>
      </c>
      <c r="AI291" s="94">
        <f ca="1">IF(B291=TODAY(),0,BC291+Sheet1!AA289+Calculation!ES291+O291+W291+Sheet1!BN289+Calculation!AS291+Calculation!DJ291-BP291)</f>
        <v>63.063391851461432</v>
      </c>
      <c r="AJ291" s="94"/>
      <c r="AM291" s="90">
        <f t="shared" si="68"/>
        <v>43015</v>
      </c>
      <c r="AN291" s="94">
        <f>Sheet1!BU289</f>
        <v>26.8</v>
      </c>
      <c r="AO291" s="94">
        <f>Sheet1!AA289</f>
        <v>28.3</v>
      </c>
      <c r="AP291" s="94">
        <f t="shared" si="57"/>
        <v>0.99719999999999842</v>
      </c>
      <c r="AQ291" s="1087">
        <f>((Sheet1!BV289-(Sheet1!BU289-AP291))/(Sheet1!BU289-AP291))</f>
        <v>0.18979335575983994</v>
      </c>
      <c r="AR291" s="94">
        <f t="shared" si="58"/>
        <v>27.302800000000001</v>
      </c>
      <c r="AS291" s="94">
        <f t="shared" si="59"/>
        <v>25.802800000000001</v>
      </c>
      <c r="AT291" s="89">
        <f>Sheet1!BB289</f>
        <v>0</v>
      </c>
      <c r="AU291" s="89">
        <f>Sheet1!AS289*GPMtoMGD</f>
        <v>3.4704000000000006E-2</v>
      </c>
      <c r="AV291" s="94">
        <f>Sheet1!AT289</f>
        <v>0</v>
      </c>
      <c r="AW291" s="89">
        <f>Sheet1!AV289*GPMtoMGD</f>
        <v>0.92160000000000009</v>
      </c>
      <c r="AX291" s="89">
        <f>Sheet1!AW289*GPMtoMGD</f>
        <v>0.54403200000000007</v>
      </c>
      <c r="AY291" s="89">
        <f>Sheet1!AX289*GPMtoMGD</f>
        <v>0</v>
      </c>
      <c r="AZ291" s="89">
        <f>Sheet1!AY289*GPMtoMGD</f>
        <v>0</v>
      </c>
      <c r="BA291" s="89">
        <f>Sheet1!AZ289*GPMtoMGD</f>
        <v>0</v>
      </c>
      <c r="BB291" s="89">
        <f>Sheet1!BP289*GPMtoMGD</f>
        <v>2.8800000000000002E-3</v>
      </c>
      <c r="BC291" s="89">
        <f>Sheet1!CS289*GPMtoMGD</f>
        <v>0</v>
      </c>
      <c r="BD291" s="89">
        <f>Sheet1!BO289*GPMtoMGD</f>
        <v>1.9841760000000002</v>
      </c>
      <c r="BE291" s="89">
        <f>Sheet1!BW289*GPMtoMGD</f>
        <v>1.2700800000000001</v>
      </c>
      <c r="BF291" s="89">
        <f>Sheet1!CN289*GPMtoMGD</f>
        <v>0.36244799999999999</v>
      </c>
      <c r="BG291" s="89">
        <f>Sheet1!CO289*GPMtoMGD</f>
        <v>0.64137600000000006</v>
      </c>
      <c r="BH291" s="89">
        <f>Sheet1!CP289*GPMtoMGD</f>
        <v>0</v>
      </c>
      <c r="BI291" s="89">
        <f t="shared" si="69"/>
        <v>1.9870560000000002</v>
      </c>
      <c r="BK291" s="94">
        <f>SUM(AT291:BA291,AS291,BC291,Calculation!AQ291)</f>
        <v>50.358181871559637</v>
      </c>
      <c r="BM291" s="358">
        <f>0</f>
        <v>0</v>
      </c>
      <c r="BN291" s="358">
        <f>0</f>
        <v>0</v>
      </c>
      <c r="BP291" s="94">
        <f>SUM(BM291:BN291,W291,Sheet1!DX289)</f>
        <v>0</v>
      </c>
      <c r="BR291" s="94">
        <f>Sheet1!AA289</f>
        <v>28.3</v>
      </c>
      <c r="BS291" s="94">
        <f>Sheet1!AB289</f>
        <v>35.9</v>
      </c>
      <c r="BT291" s="94">
        <f t="shared" ca="1" si="60"/>
        <v>-1.1815622769789378</v>
      </c>
      <c r="BU291" s="94">
        <f>Sheet1!AT289</f>
        <v>0</v>
      </c>
      <c r="BV291" s="89">
        <f>Sheet1!BB289</f>
        <v>0</v>
      </c>
      <c r="BW291" s="94">
        <f>Calculation!ED291</f>
        <v>12.844954128440367</v>
      </c>
      <c r="BX291" s="94">
        <f>(Sheet1!CS289*1440)/1000000</f>
        <v>0</v>
      </c>
      <c r="CA291" s="94">
        <f ca="1">Sheet1!AC289-Sheet1!BK289-Sheet1!BL289-Sheet1!BM289-Sheet1!BC289-Sheet1!BD289-Sheet1!BE289-Sheet1!BF289-Sheet1!BG289-Sheet1!BH289-Sheet1!BI289+BC291+P291</f>
        <v>50.148437723021068</v>
      </c>
      <c r="CB291" s="93">
        <f t="shared" si="61"/>
        <v>79.446255963302761</v>
      </c>
      <c r="CC291" s="94">
        <f t="shared" si="62"/>
        <v>0</v>
      </c>
      <c r="CD291" s="94">
        <f t="shared" ca="1" si="63"/>
        <v>62.993391851461439</v>
      </c>
      <c r="CE291" s="1077">
        <f t="shared" ca="1" si="64"/>
        <v>97.450777194210843</v>
      </c>
      <c r="CG291" s="1077">
        <f t="shared" ca="1" si="65"/>
        <v>50.148437723021068</v>
      </c>
    </row>
    <row r="292" spans="1:85" s="89" customFormat="1" x14ac:dyDescent="0.25">
      <c r="A292" s="616" t="s">
        <v>3</v>
      </c>
      <c r="B292" s="91">
        <v>43016</v>
      </c>
      <c r="C292" s="92">
        <v>0</v>
      </c>
      <c r="D292" s="94">
        <f>(Sheet1!BQ290-Sheet1!BQ289)*1.385</f>
        <v>0.91410000000000025</v>
      </c>
      <c r="E292" s="30">
        <f>(Sheet1!BR290-Sheet1!BR289)*1.385</f>
        <v>0.92795000000000238</v>
      </c>
      <c r="F292" s="30">
        <f ca="1">IF(B292=TODAY(),0,-(VLOOKUP(Sheet1!CD290,Lookup!$I$4:$J$216,2)-VLOOKUP(Sheet1!CD289,Lookup!$I$4:$J$216,2))/1000000)</f>
        <v>0.20727387709559872</v>
      </c>
      <c r="G292" s="94">
        <f ca="1">IF(B292=TODAY(),0,-$G$6*(Sheet1!CF290-Sheet1!CF289)*7.48/1000000)</f>
        <v>0.47656201263071124</v>
      </c>
      <c r="H292" s="94">
        <f ca="1">IF(B292=TODAY(),0,-$H$6*(Sheet1!CE290-Sheet1!CE289)*7.48/1000000)</f>
        <v>0</v>
      </c>
      <c r="I292" s="94">
        <f ca="1">IF(B292=TODAY(),0,-$I$6*(Sheet1!CG290-Sheet1!CG289)*7.48/1000000)</f>
        <v>4.1780138400000034E-2</v>
      </c>
      <c r="J292" s="95" t="s">
        <v>177</v>
      </c>
      <c r="K292" s="94">
        <f ca="1">IF(B292=TODAY(),0,-$K$6*(Sheet1!CH290-Sheet1!CH289)*7.48/1000000)</f>
        <v>5.9969883370126001E-2</v>
      </c>
      <c r="L292" s="95" t="s">
        <v>177</v>
      </c>
      <c r="M292" s="94">
        <f ca="1">IF(B292=TODAY(),0,-$M$6*(Sheet1!CI290-Sheet1!CI289)*7.48/1000000)</f>
        <v>0.25188111799237844</v>
      </c>
      <c r="N292" s="94">
        <f ca="1">IF(B292=TODAY(),0,-$N$6*(Sheet1!CJ290-Sheet1!CJ289)*7.48/1000000)</f>
        <v>8.066804901301157E-2</v>
      </c>
      <c r="O292" s="94">
        <f t="shared" ca="1" si="66"/>
        <v>1.118135078501826</v>
      </c>
      <c r="P292" s="94">
        <f ca="1">O292+Calculation!ES292</f>
        <v>-0.82042750332388481</v>
      </c>
      <c r="Q292" s="89" t="str">
        <f>IF(Sheet1!BQ290&gt;25.75,"spill elevation","-")</f>
        <v>-</v>
      </c>
      <c r="R292" s="89" t="str">
        <f>IF(Sheet1!BQ290&gt;25.75,"spill elevation","-")</f>
        <v>-</v>
      </c>
      <c r="S292" s="89" t="str">
        <f>IF(Sheet1!BR290&gt;25.75,"spill elevation","-")</f>
        <v>-</v>
      </c>
      <c r="T292" s="93">
        <f>IF(Sheet1!DU290=1,Sheet1!AA290-(SUM(AT292:BA292)+BE292),Sheet1!AA290-SUM(AT292:BA292))</f>
        <v>27.167088</v>
      </c>
      <c r="U292" s="93">
        <f>Sheet1!BV290</f>
        <v>30.1</v>
      </c>
      <c r="V292" s="93">
        <f t="shared" si="67"/>
        <v>-2.9329120000000017</v>
      </c>
      <c r="W292" s="93">
        <f>0</f>
        <v>0</v>
      </c>
      <c r="X292" s="89">
        <f>0</f>
        <v>0</v>
      </c>
      <c r="Y292" s="94">
        <f ca="1">Calculation!EJ293+Calculation!ES292+'Calculations II'!O292-'Calculations II'!W292</f>
        <v>50.719933603176401</v>
      </c>
      <c r="Z292" s="94">
        <f ca="1">Y292-Sheet1!CT291</f>
        <v>33.653933603176398</v>
      </c>
      <c r="AA292" s="94">
        <f ca="1">Y292+Calculation!DJ293+Calculation!AS293</f>
        <v>63.864303911766896</v>
      </c>
      <c r="AC292" s="94">
        <f>Sheet1!AA290+Sheet1!AB290+BC292</f>
        <v>64.2</v>
      </c>
      <c r="AD292" s="94">
        <f>Sheet1!AA290+Sheet1!BN290+'Calculations II'!BC292-Calculation!AS292-Calculation!DJ292</f>
        <v>38.97402885682574</v>
      </c>
      <c r="AE292" s="94">
        <f>Sheet1!AA290+Sheet1!AB290+'Calculations II'!BC292-Calculation!AS292-Calculation!DJ292</f>
        <v>51.574028856825748</v>
      </c>
      <c r="AF292" s="94">
        <f ca="1">Sheet1!AA290+Sheet1!BN290+P292+'Calculations II'!BC292+Calculation!AS292+Calculation!DJ292</f>
        <v>63.405543639850364</v>
      </c>
      <c r="AG292" s="94">
        <f ca="1">IF(B292=TODAY(),0,Sheet1!AA290+Sheet1!BN290+'Calculations II'!BC292+'Calculations II'!P292-Sheet1!CT290-BP292)</f>
        <v>34.08757249667611</v>
      </c>
      <c r="AH292" s="94">
        <f ca="1">IF(B292=TODAY(),0,Sheet1!AA290+Sheet1!BN290+'Calculations II'!BC292+'Calculations II'!P292-BP292)</f>
        <v>50.77957249667611</v>
      </c>
      <c r="AI292" s="94">
        <f ca="1">IF(B292=TODAY(),0,BC292+Sheet1!AA290+Calculation!ES292+O292+W292+Sheet1!BN290+Calculation!AS292+Calculation!DJ292-BP292)</f>
        <v>63.405543639850364</v>
      </c>
      <c r="AJ292" s="94"/>
      <c r="AM292" s="90">
        <f t="shared" si="68"/>
        <v>43016</v>
      </c>
      <c r="AN292" s="94">
        <f>Sheet1!BU290</f>
        <v>27</v>
      </c>
      <c r="AO292" s="94">
        <f>Sheet1!AA290</f>
        <v>28.2</v>
      </c>
      <c r="AP292" s="94">
        <f t="shared" si="57"/>
        <v>1.8420500000000026</v>
      </c>
      <c r="AQ292" s="1087">
        <f>((Sheet1!BV290-(Sheet1!BU290-AP292))/(Sheet1!BU290-AP292))</f>
        <v>0.1964408864792245</v>
      </c>
      <c r="AR292" s="94">
        <f t="shared" si="58"/>
        <v>26.357949999999995</v>
      </c>
      <c r="AS292" s="94">
        <f t="shared" si="59"/>
        <v>25.157949999999996</v>
      </c>
      <c r="AT292" s="89">
        <f>Sheet1!BB290</f>
        <v>0</v>
      </c>
      <c r="AU292" s="89">
        <f>Sheet1!AS290*GPMtoMGD</f>
        <v>2.376E-2</v>
      </c>
      <c r="AV292" s="94">
        <f>Sheet1!AT290</f>
        <v>0</v>
      </c>
      <c r="AW292" s="89">
        <f>Sheet1!AV290*GPMtoMGD</f>
        <v>0.67377600000000004</v>
      </c>
      <c r="AX292" s="89">
        <f>Sheet1!AW290*GPMtoMGD</f>
        <v>0.33537600000000001</v>
      </c>
      <c r="AY292" s="89">
        <f>Sheet1!AX290*GPMtoMGD</f>
        <v>0</v>
      </c>
      <c r="AZ292" s="89">
        <f>Sheet1!AY290*GPMtoMGD</f>
        <v>0</v>
      </c>
      <c r="BA292" s="89">
        <f>Sheet1!AZ290*GPMtoMGD</f>
        <v>0</v>
      </c>
      <c r="BB292" s="89">
        <f>Sheet1!BP290*GPMtoMGD</f>
        <v>2.8800000000000002E-3</v>
      </c>
      <c r="BC292" s="89">
        <f>Sheet1!CS290*GPMtoMGD</f>
        <v>0</v>
      </c>
      <c r="BD292" s="89">
        <f>Sheet1!BO290*GPMtoMGD</f>
        <v>0.33652799999999999</v>
      </c>
      <c r="BE292" s="89">
        <f>Sheet1!BW290*GPMtoMGD</f>
        <v>1.301328</v>
      </c>
      <c r="BF292" s="89">
        <f>Sheet1!CN290*GPMtoMGD</f>
        <v>0.439776</v>
      </c>
      <c r="BG292" s="89">
        <f>Sheet1!CO290*GPMtoMGD</f>
        <v>0.668736</v>
      </c>
      <c r="BH292" s="89">
        <f>Sheet1!CP290*GPMtoMGD</f>
        <v>0</v>
      </c>
      <c r="BI292" s="89">
        <f t="shared" si="69"/>
        <v>0.33940799999999999</v>
      </c>
      <c r="BK292" s="94">
        <f>SUM(AT292:BA292,AS292,BC292,Calculation!AQ292)</f>
        <v>49.564890856825741</v>
      </c>
      <c r="BM292" s="358">
        <f>0</f>
        <v>0</v>
      </c>
      <c r="BN292" s="358">
        <f>0</f>
        <v>0</v>
      </c>
      <c r="BP292" s="94">
        <f>SUM(BM292:BN292,W292,Sheet1!DX290)</f>
        <v>0</v>
      </c>
      <c r="BR292" s="94">
        <f>Sheet1!AA290</f>
        <v>28.2</v>
      </c>
      <c r="BS292" s="94">
        <f>Sheet1!AB290</f>
        <v>36</v>
      </c>
      <c r="BT292" s="94">
        <f t="shared" ca="1" si="60"/>
        <v>-0.82042750332388481</v>
      </c>
      <c r="BU292" s="94">
        <f>Sheet1!AT290</f>
        <v>0</v>
      </c>
      <c r="BV292" s="89">
        <f>Sheet1!BB290</f>
        <v>0</v>
      </c>
      <c r="BW292" s="94">
        <f>Calculation!ED292</f>
        <v>12.625971143174251</v>
      </c>
      <c r="BX292" s="94">
        <f>(Sheet1!CS290*1440)/1000000</f>
        <v>0</v>
      </c>
      <c r="CA292" s="94">
        <f ca="1">Sheet1!AC290-Sheet1!BK290-Sheet1!BL290-Sheet1!BM290-Sheet1!BC290-Sheet1!BD290-Sheet1!BE290-Sheet1!BF290-Sheet1!BG290-Sheet1!BH290-Sheet1!BI290+BC292+P292</f>
        <v>50.739572496676118</v>
      </c>
      <c r="CB292" s="93">
        <f t="shared" si="61"/>
        <v>79.785022641509428</v>
      </c>
      <c r="CC292" s="94">
        <f t="shared" si="62"/>
        <v>0</v>
      </c>
      <c r="CD292" s="94">
        <f t="shared" ca="1" si="63"/>
        <v>63.365543639850372</v>
      </c>
      <c r="CE292" s="1077">
        <f t="shared" ca="1" si="64"/>
        <v>98.026496010848518</v>
      </c>
      <c r="CG292" s="1077">
        <f t="shared" ca="1" si="65"/>
        <v>50.739572496676118</v>
      </c>
    </row>
    <row r="293" spans="1:85" s="89" customFormat="1" x14ac:dyDescent="0.25">
      <c r="A293" s="616" t="s">
        <v>4</v>
      </c>
      <c r="B293" s="91">
        <v>43017</v>
      </c>
      <c r="C293" s="92">
        <v>0</v>
      </c>
      <c r="D293" s="94">
        <f>(Sheet1!BQ291-Sheet1!BQ290)*1.385</f>
        <v>-0.44320000000000037</v>
      </c>
      <c r="E293" s="30">
        <f>(Sheet1!BR291-Sheet1!BR290)*1.385</f>
        <v>-0.34625</v>
      </c>
      <c r="F293" s="30">
        <f ca="1">IF(B293=TODAY(),0,-(VLOOKUP(Sheet1!CD291,Lookup!$I$4:$J$216,2)-VLOOKUP(Sheet1!CD290,Lookup!$I$4:$J$216,2))/1000000)</f>
        <v>0.10363693854779936</v>
      </c>
      <c r="G293" s="94">
        <f ca="1">IF(B293=TODAY(),0,-$G$6*(Sheet1!CF291-Sheet1!CF290)*7.48/1000000)</f>
        <v>0.5559890147358304</v>
      </c>
      <c r="H293" s="94">
        <f ca="1">IF(B293=TODAY(),0,-$H$6*(Sheet1!CE291-Sheet1!CE290)*7.48/1000000)</f>
        <v>0</v>
      </c>
      <c r="I293" s="94">
        <f ca="1">IF(B293=TODAY(),0,-$I$6*(Sheet1!CG291-Sheet1!CG290)*7.48/1000000)</f>
        <v>-0.10018248239999998</v>
      </c>
      <c r="J293" s="95" t="s">
        <v>177</v>
      </c>
      <c r="K293" s="94">
        <f ca="1">IF(B293=TODAY(),0,-$K$6*(Sheet1!CH291-Sheet1!CH290)*7.48/1000000)</f>
        <v>-0.16658300936146106</v>
      </c>
      <c r="L293" s="95" t="s">
        <v>177</v>
      </c>
      <c r="M293" s="94">
        <f ca="1">IF(B293=TODAY(),0,-$M$6*(Sheet1!CI291-Sheet1!CI290)*7.48/1000000)</f>
        <v>-0.46777921912870346</v>
      </c>
      <c r="N293" s="94">
        <f ca="1">IF(B293=TODAY(),0,-$N$6*(Sheet1!CJ291-Sheet1!CJ290)*7.48/1000000)</f>
        <v>3.102617269731129E-2</v>
      </c>
      <c r="O293" s="94">
        <f t="shared" ca="1" si="66"/>
        <v>-4.3892584909223487E-2</v>
      </c>
      <c r="P293" s="94">
        <f ca="1">O293+Calculation!ES293</f>
        <v>0.6484992535203058</v>
      </c>
      <c r="Q293" s="89" t="str">
        <f>IF(Sheet1!BQ291&gt;25.75,"spill elevation","-")</f>
        <v>-</v>
      </c>
      <c r="R293" s="89" t="str">
        <f>IF(Sheet1!BQ291&gt;25.75,"spill elevation","-")</f>
        <v>-</v>
      </c>
      <c r="S293" s="89" t="str">
        <f>IF(Sheet1!BR291&gt;25.75,"spill elevation","-")</f>
        <v>-</v>
      </c>
      <c r="T293" s="93">
        <f>IF(Sheet1!DU291=1,Sheet1!AA291-(SUM(AT293:BA293)+BE293),Sheet1!AA291-SUM(AT293:BA293))</f>
        <v>26.772304000000002</v>
      </c>
      <c r="U293" s="93">
        <f>Sheet1!BV291</f>
        <v>32.200000000000003</v>
      </c>
      <c r="V293" s="93">
        <f t="shared" si="67"/>
        <v>-5.427696000000001</v>
      </c>
      <c r="W293" s="93">
        <f>0</f>
        <v>0</v>
      </c>
      <c r="X293" s="89">
        <f>0</f>
        <v>0</v>
      </c>
      <c r="Y293" s="94">
        <f ca="1">Calculation!EJ294+Calculation!ES293+'Calculations II'!O293-'Calculations II'!W293</f>
        <v>53.61428972860584</v>
      </c>
      <c r="Z293" s="94">
        <f ca="1">Y293-Sheet1!CT292</f>
        <v>35.655289728605837</v>
      </c>
      <c r="AA293" s="94">
        <f ca="1">Y293+Calculation!DJ294+Calculation!AS294</f>
        <v>66.764984559067202</v>
      </c>
      <c r="AC293" s="94">
        <f>Sheet1!AA291+Sheet1!AB291+BC293</f>
        <v>65.000928000000002</v>
      </c>
      <c r="AD293" s="94">
        <f>Sheet1!AA291+Sheet1!BN291+'Calculations II'!BC293-Calculation!AS293-Calculation!DJ293</f>
        <v>38.756557691409512</v>
      </c>
      <c r="AE293" s="94">
        <f>Sheet1!AA291+Sheet1!AB291+'Calculations II'!BC293-Calculation!AS293-Calculation!DJ293</f>
        <v>51.856557691409506</v>
      </c>
      <c r="AF293" s="94">
        <f ca="1">Sheet1!AA291+Sheet1!BN291+P293+'Calculations II'!BC293+Calculation!AS293+Calculation!DJ293</f>
        <v>65.693797562110802</v>
      </c>
      <c r="AG293" s="94">
        <f ca="1">IF(B293=TODAY(),0,Sheet1!AA291+Sheet1!BN291+'Calculations II'!BC293+'Calculations II'!P293-Sheet1!CT291-BP293)</f>
        <v>35.483427253520304</v>
      </c>
      <c r="AH293" s="94">
        <f ca="1">IF(B293=TODAY(),0,Sheet1!AA291+Sheet1!BN291+'Calculations II'!BC293+'Calculations II'!P293-BP293)</f>
        <v>52.549427253520307</v>
      </c>
      <c r="AI293" s="94">
        <f ca="1">IF(B293=TODAY(),0,BC293+Sheet1!AA291+Calculation!ES293+O293+W293+Sheet1!BN291+Calculation!AS293+Calculation!DJ293-BP293)</f>
        <v>65.693797562110802</v>
      </c>
      <c r="AJ293" s="94"/>
      <c r="AM293" s="90">
        <f t="shared" si="68"/>
        <v>43017</v>
      </c>
      <c r="AN293" s="94">
        <f>Sheet1!BU291</f>
        <v>26.5</v>
      </c>
      <c r="AO293" s="94">
        <f>Sheet1!AA291</f>
        <v>28.3</v>
      </c>
      <c r="AP293" s="94">
        <f t="shared" si="57"/>
        <v>-0.78945000000000043</v>
      </c>
      <c r="AQ293" s="1087">
        <f>((Sheet1!BV291-(Sheet1!BU291-AP293))/(Sheet1!BU291-AP293))</f>
        <v>0.17994316484941983</v>
      </c>
      <c r="AR293" s="94">
        <f t="shared" si="58"/>
        <v>29.089449999999999</v>
      </c>
      <c r="AS293" s="94">
        <f t="shared" si="59"/>
        <v>27.289450000000002</v>
      </c>
      <c r="AT293" s="89">
        <f>Sheet1!BB291</f>
        <v>0</v>
      </c>
      <c r="AU293" s="89">
        <f>Sheet1!AS291*GPMtoMGD</f>
        <v>2.9664000000000003E-2</v>
      </c>
      <c r="AV293" s="94">
        <f>Sheet1!AT291</f>
        <v>0</v>
      </c>
      <c r="AW293" s="89">
        <f>Sheet1!AV291*GPMtoMGD</f>
        <v>0.94363200000000003</v>
      </c>
      <c r="AX293" s="89">
        <f>Sheet1!AW291*GPMtoMGD</f>
        <v>0.5544</v>
      </c>
      <c r="AY293" s="89">
        <f>Sheet1!AX291*GPMtoMGD</f>
        <v>0</v>
      </c>
      <c r="AZ293" s="89">
        <f>Sheet1!AY291*GPMtoMGD</f>
        <v>0</v>
      </c>
      <c r="BA293" s="89">
        <f>Sheet1!AZ291*GPMtoMGD</f>
        <v>0</v>
      </c>
      <c r="BB293" s="89">
        <f>Sheet1!BP291*GPMtoMGD</f>
        <v>3.0240000000000002E-3</v>
      </c>
      <c r="BC293" s="89">
        <f>Sheet1!CS291*GPMtoMGD</f>
        <v>0.80092800000000008</v>
      </c>
      <c r="BD293" s="89">
        <f>Sheet1!BO291*GPMtoMGD</f>
        <v>2.5665119999999999</v>
      </c>
      <c r="BE293" s="89">
        <f>Sheet1!BW291*GPMtoMGD</f>
        <v>1.2409920000000001</v>
      </c>
      <c r="BF293" s="89">
        <f>Sheet1!CN291*GPMtoMGD</f>
        <v>0.42811200000000005</v>
      </c>
      <c r="BG293" s="89">
        <f>Sheet1!CO291*GPMtoMGD</f>
        <v>0.71712000000000009</v>
      </c>
      <c r="BH293" s="89">
        <f>Sheet1!CP291*GPMtoMGD</f>
        <v>0</v>
      </c>
      <c r="BI293" s="89">
        <f t="shared" si="69"/>
        <v>2.5695359999999998</v>
      </c>
      <c r="BK293" s="94">
        <f>SUM(AT293:BA293,AS293,BC293,Calculation!AQ293)</f>
        <v>52.37370369140951</v>
      </c>
      <c r="BM293" s="358">
        <f>0</f>
        <v>0</v>
      </c>
      <c r="BN293" s="358">
        <f>0</f>
        <v>0</v>
      </c>
      <c r="BP293" s="94">
        <f>SUM(BM293:BN293,W293,Sheet1!DX291)</f>
        <v>0</v>
      </c>
      <c r="BR293" s="94">
        <f>Sheet1!AA291</f>
        <v>28.3</v>
      </c>
      <c r="BS293" s="94">
        <f>Sheet1!AB291</f>
        <v>35.9</v>
      </c>
      <c r="BT293" s="94">
        <f t="shared" ca="1" si="60"/>
        <v>0.6484992535203058</v>
      </c>
      <c r="BU293" s="94">
        <f>Sheet1!AT291</f>
        <v>0</v>
      </c>
      <c r="BV293" s="89">
        <f>Sheet1!BB291</f>
        <v>0</v>
      </c>
      <c r="BW293" s="94">
        <f>Calculation!ED293</f>
        <v>13.144370308590492</v>
      </c>
      <c r="BX293" s="94">
        <f>(Sheet1!CS291*1440)/1000000</f>
        <v>0.80092800000000008</v>
      </c>
      <c r="CA293" s="94">
        <f ca="1">Sheet1!AC291-Sheet1!BK291-Sheet1!BL291-Sheet1!BM291-Sheet1!BC291-Sheet1!BD291-Sheet1!BE291-Sheet1!BF291-Sheet1!BG291-Sheet1!BH291-Sheet1!BI291+BC293+P293</f>
        <v>52.479427253520306</v>
      </c>
      <c r="CB293" s="93">
        <f t="shared" si="61"/>
        <v>78.983059132610506</v>
      </c>
      <c r="CC293" s="94">
        <f t="shared" si="62"/>
        <v>0</v>
      </c>
      <c r="CD293" s="94">
        <f t="shared" ca="1" si="63"/>
        <v>65.623797562110795</v>
      </c>
      <c r="CE293" s="1077">
        <f t="shared" ca="1" si="64"/>
        <v>101.52001482858539</v>
      </c>
      <c r="CG293" s="1077">
        <f t="shared" ca="1" si="65"/>
        <v>52.479427253520306</v>
      </c>
    </row>
    <row r="294" spans="1:85" s="89" customFormat="1" x14ac:dyDescent="0.25">
      <c r="A294" s="616" t="s">
        <v>5</v>
      </c>
      <c r="B294" s="91">
        <v>43018</v>
      </c>
      <c r="C294" s="92">
        <v>0</v>
      </c>
      <c r="D294" s="94">
        <f>(Sheet1!BQ292-Sheet1!BQ291)*1.385</f>
        <v>1.1910999999999992</v>
      </c>
      <c r="E294" s="30">
        <f>(Sheet1!BR292-Sheet1!BR291)*1.385</f>
        <v>1.1356999999999955</v>
      </c>
      <c r="F294" s="30">
        <f ca="1">IF(B294=TODAY(),0,-(VLOOKUP(Sheet1!CD292,Lookup!$I$4:$J$216,2)-VLOOKUP(Sheet1!CD291,Lookup!$I$4:$J$216,2))/1000000)</f>
        <v>-0.31091081564339806</v>
      </c>
      <c r="G294" s="94">
        <f ca="1">IF(B294=TODAY(),0,-$G$6*(Sheet1!CF292-Sheet1!CF291)*7.48/1000000)</f>
        <v>0.47656201263071196</v>
      </c>
      <c r="H294" s="94">
        <f ca="1">IF(B294=TODAY(),0,-$H$6*(Sheet1!CE292-Sheet1!CE291)*7.48/1000000)</f>
        <v>-1.5039432351265274E-2</v>
      </c>
      <c r="I294" s="94">
        <f ca="1">IF(B294=TODAY(),0,-$I$6*(Sheet1!CG292-Sheet1!CG291)*7.48/1000000)</f>
        <v>0.11680468799999999</v>
      </c>
      <c r="J294" s="95" t="s">
        <v>177</v>
      </c>
      <c r="K294" s="94">
        <f ca="1">IF(B294=TODAY(),0,-$K$6*(Sheet1!CH292-Sheet1!CH291)*7.48/1000000)</f>
        <v>0.19323629085929486</v>
      </c>
      <c r="L294" s="95" t="s">
        <v>177</v>
      </c>
      <c r="M294" s="94">
        <f ca="1">IF(B294=TODAY(),0,-$M$6*(Sheet1!CI292-Sheet1!CI291)*7.48/1000000)</f>
        <v>0.53974525284081154</v>
      </c>
      <c r="N294" s="94">
        <f ca="1">IF(B294=TODAY(),0,-$N$6*(Sheet1!CJ292-Sheet1!CJ291)*7.48/1000000)</f>
        <v>-0.12410469078924735</v>
      </c>
      <c r="O294" s="94">
        <f t="shared" ca="1" si="66"/>
        <v>0.87629330554690765</v>
      </c>
      <c r="P294" s="94">
        <f ca="1">O294+Calculation!ES294</f>
        <v>-1.3397194549715241</v>
      </c>
      <c r="Q294" s="89" t="str">
        <f>IF(Sheet1!BQ292&gt;25.75,"spill elevation","-")</f>
        <v>-</v>
      </c>
      <c r="R294" s="89" t="str">
        <f>IF(Sheet1!BQ292&gt;25.75,"spill elevation","-")</f>
        <v>-</v>
      </c>
      <c r="S294" s="89" t="str">
        <f>IF(Sheet1!BR292&gt;25.75,"spill elevation","-")</f>
        <v>-</v>
      </c>
      <c r="T294" s="93">
        <f>IF(Sheet1!DU292=1,Sheet1!AA292-(SUM(AT294:BA294)+BE294),Sheet1!AA292-SUM(AT294:BA294))</f>
        <v>27.538240000000002</v>
      </c>
      <c r="U294" s="93">
        <f>Sheet1!BV292</f>
        <v>29.9</v>
      </c>
      <c r="V294" s="93">
        <f t="shared" si="67"/>
        <v>-2.3617599999999968</v>
      </c>
      <c r="W294" s="93">
        <f>0</f>
        <v>0</v>
      </c>
      <c r="X294" s="89">
        <f>0</f>
        <v>0</v>
      </c>
      <c r="Y294" s="94">
        <f ca="1">Calculation!EJ295+Calculation!ES294+'Calculations II'!O294-'Calculations II'!W294</f>
        <v>51.240389512578552</v>
      </c>
      <c r="Z294" s="94">
        <f ca="1">Y294-Sheet1!CT293</f>
        <v>33.745389512578555</v>
      </c>
      <c r="AA294" s="94">
        <f ca="1">Y294+Calculation!DJ295+Calculation!AS295</f>
        <v>64.121123457532676</v>
      </c>
      <c r="AC294" s="94">
        <f>Sheet1!AA292+Sheet1!AB292+BC294</f>
        <v>65.478431999999998</v>
      </c>
      <c r="AD294" s="94">
        <f>Sheet1!AA292+Sheet1!BN292+'Calculations II'!BC294-Calculation!AS294-Calculation!DJ294</f>
        <v>39.227737169538642</v>
      </c>
      <c r="AE294" s="94">
        <f>Sheet1!AA292+Sheet1!AB292+'Calculations II'!BC294-Calculation!AS294-Calculation!DJ294</f>
        <v>52.327737169538636</v>
      </c>
      <c r="AF294" s="94">
        <f ca="1">Sheet1!AA292+Sheet1!BN292+P294+'Calculations II'!BC294+Calculation!AS294+Calculation!DJ294</f>
        <v>64.18940737548985</v>
      </c>
      <c r="AG294" s="94">
        <f ca="1">IF(B294=TODAY(),0,Sheet1!AA292+Sheet1!BN292+'Calculations II'!BC294+'Calculations II'!P294-Sheet1!CT292-BP294)</f>
        <v>33.079712545028485</v>
      </c>
      <c r="AH294" s="94">
        <f ca="1">IF(B294=TODAY(),0,Sheet1!AA292+Sheet1!BN292+'Calculations II'!BC294+'Calculations II'!P294-BP294)</f>
        <v>51.038712545028481</v>
      </c>
      <c r="AI294" s="94">
        <f ca="1">IF(B294=TODAY(),0,BC294+Sheet1!AA292+Calculation!ES294+O294+W294+Sheet1!BN292+Calculation!AS294+Calculation!DJ294-BP294)</f>
        <v>64.189407375489836</v>
      </c>
      <c r="AJ294" s="94"/>
      <c r="AM294" s="90">
        <f t="shared" si="68"/>
        <v>43018</v>
      </c>
      <c r="AN294" s="94">
        <f>Sheet1!BU292</f>
        <v>27.3</v>
      </c>
      <c r="AO294" s="94">
        <f>Sheet1!AA292</f>
        <v>28.3</v>
      </c>
      <c r="AP294" s="94">
        <f t="shared" si="57"/>
        <v>2.3267999999999947</v>
      </c>
      <c r="AQ294" s="1087">
        <f>((Sheet1!BV292-(Sheet1!BU292-AP294))/(Sheet1!BU292-AP294))</f>
        <v>0.19728348789902744</v>
      </c>
      <c r="AR294" s="94">
        <f t="shared" si="58"/>
        <v>25.973200000000006</v>
      </c>
      <c r="AS294" s="94">
        <f t="shared" si="59"/>
        <v>24.973200000000006</v>
      </c>
      <c r="AT294" s="89">
        <f>Sheet1!BB292</f>
        <v>0</v>
      </c>
      <c r="AU294" s="89">
        <f>Sheet1!AS292*GPMtoMGD</f>
        <v>3.3695999999999997E-2</v>
      </c>
      <c r="AV294" s="94">
        <f>Sheet1!AT292</f>
        <v>0</v>
      </c>
      <c r="AW294" s="89">
        <f>Sheet1!AV292*GPMtoMGD</f>
        <v>0.47505599999999998</v>
      </c>
      <c r="AX294" s="89">
        <f>Sheet1!AW292*GPMtoMGD</f>
        <v>0.25300800000000001</v>
      </c>
      <c r="AY294" s="89">
        <f>Sheet1!AX292*GPMtoMGD</f>
        <v>0</v>
      </c>
      <c r="AZ294" s="89">
        <f>Sheet1!AY292*GPMtoMGD</f>
        <v>0</v>
      </c>
      <c r="BA294" s="89">
        <f>Sheet1!AZ292*GPMtoMGD</f>
        <v>0</v>
      </c>
      <c r="BB294" s="89">
        <f>Sheet1!BP292*GPMtoMGD</f>
        <v>2.8800000000000002E-3</v>
      </c>
      <c r="BC294" s="89">
        <f>Sheet1!CS292*GPMtoMGD</f>
        <v>1.278432</v>
      </c>
      <c r="BD294" s="89">
        <f>Sheet1!BO292*GPMtoMGD</f>
        <v>1.0667519999999999</v>
      </c>
      <c r="BE294" s="89">
        <f>Sheet1!BW292*GPMtoMGD</f>
        <v>1.2381120000000001</v>
      </c>
      <c r="BF294" s="89">
        <f>Sheet1!CN292*GPMtoMGD</f>
        <v>0.36619200000000002</v>
      </c>
      <c r="BG294" s="89">
        <f>Sheet1!CO292*GPMtoMGD</f>
        <v>0.70776000000000006</v>
      </c>
      <c r="BH294" s="89">
        <f>Sheet1!CP292*GPMtoMGD</f>
        <v>0</v>
      </c>
      <c r="BI294" s="89">
        <f t="shared" si="69"/>
        <v>1.0696319999999999</v>
      </c>
      <c r="BK294" s="94">
        <f>SUM(AT294:BA294,AS294,BC294,Calculation!AQ294)</f>
        <v>49.762697169538633</v>
      </c>
      <c r="BM294" s="358">
        <f>0</f>
        <v>0</v>
      </c>
      <c r="BN294" s="358">
        <f>0</f>
        <v>0</v>
      </c>
      <c r="BP294" s="94">
        <f>SUM(BM294:BN294,W294,Sheet1!DX292)</f>
        <v>0</v>
      </c>
      <c r="BR294" s="94">
        <f>Sheet1!AA292</f>
        <v>28.3</v>
      </c>
      <c r="BS294" s="94">
        <f>Sheet1!AB292</f>
        <v>35.9</v>
      </c>
      <c r="BT294" s="94">
        <f t="shared" ca="1" si="60"/>
        <v>-1.3397194549715241</v>
      </c>
      <c r="BU294" s="94">
        <f>Sheet1!AT292</f>
        <v>0</v>
      </c>
      <c r="BV294" s="89">
        <f>Sheet1!BB292</f>
        <v>0</v>
      </c>
      <c r="BW294" s="94">
        <f>Calculation!ED294</f>
        <v>13.150694830461365</v>
      </c>
      <c r="BX294" s="94">
        <f>(Sheet1!CS292*1440)/1000000</f>
        <v>1.278432</v>
      </c>
      <c r="CA294" s="94">
        <f ca="1">Sheet1!AC292-Sheet1!BK292-Sheet1!BL292-Sheet1!BM292-Sheet1!BC292-Sheet1!BD292-Sheet1!BE292-Sheet1!BF292-Sheet1!BG292-Sheet1!BH292-Sheet1!BI292+BC294+P294</f>
        <v>50.958712545028476</v>
      </c>
      <c r="CB294" s="93">
        <f t="shared" si="61"/>
        <v>78.973275097276272</v>
      </c>
      <c r="CC294" s="94">
        <f t="shared" si="62"/>
        <v>0</v>
      </c>
      <c r="CD294" s="94">
        <f t="shared" ca="1" si="63"/>
        <v>64.109407375489837</v>
      </c>
      <c r="CE294" s="1077">
        <f t="shared" ca="1" si="64"/>
        <v>99.177253209882778</v>
      </c>
      <c r="CG294" s="1077">
        <f t="shared" ca="1" si="65"/>
        <v>50.958712545028476</v>
      </c>
    </row>
    <row r="295" spans="1:85" s="89" customFormat="1" x14ac:dyDescent="0.25">
      <c r="A295" s="616" t="s">
        <v>6</v>
      </c>
      <c r="B295" s="91">
        <v>43019</v>
      </c>
      <c r="C295" s="92">
        <v>0</v>
      </c>
      <c r="D295" s="94">
        <f>(Sheet1!BQ293-Sheet1!BQ292)*1.385</f>
        <v>0.73405000000000153</v>
      </c>
      <c r="E295" s="30">
        <f>(Sheet1!BR293-Sheet1!BR292)*1.385</f>
        <v>0.83100000000000196</v>
      </c>
      <c r="F295" s="30">
        <f ca="1">IF(B295=TODAY(),0,-(VLOOKUP(Sheet1!CD293,Lookup!$I$4:$J$216,2)-VLOOKUP(Sheet1!CD292,Lookup!$I$4:$J$216,2))/1000000)</f>
        <v>0</v>
      </c>
      <c r="G295" s="94">
        <f ca="1">IF(B295=TODAY(),0,-$G$6*(Sheet1!CF293-Sheet1!CF292)*7.48/1000000)</f>
        <v>0.47656201263071124</v>
      </c>
      <c r="H295" s="94">
        <f ca="1">IF(B295=TODAY(),0,-$H$6*(Sheet1!CE293-Sheet1!CE292)*7.48/1000000)</f>
        <v>-1.5039432351265274E-2</v>
      </c>
      <c r="I295" s="94">
        <f ca="1">IF(B295=TODAY(),0,-$I$6*(Sheet1!CG293-Sheet1!CG292)*7.48/1000000)</f>
        <v>-2.6954928000000024E-2</v>
      </c>
      <c r="J295" s="95" t="s">
        <v>177</v>
      </c>
      <c r="K295" s="94">
        <f ca="1">IF(B295=TODAY(),0,-$K$6*(Sheet1!CH293-Sheet1!CH292)*7.48/1000000)</f>
        <v>-4.6643242621209169E-2</v>
      </c>
      <c r="L295" s="95" t="s">
        <v>177</v>
      </c>
      <c r="M295" s="94">
        <f ca="1">IF(B295=TODAY(),0,-$M$6*(Sheet1!CI293-Sheet1!CI292)*7.48/1000000)</f>
        <v>-0.12594055899618922</v>
      </c>
      <c r="N295" s="94">
        <f ca="1">IF(B295=TODAY(),0,-$N$6*(Sheet1!CJ293-Sheet1!CJ292)*7.48/1000000)</f>
        <v>-2.482093815785013E-2</v>
      </c>
      <c r="O295" s="94">
        <f t="shared" ca="1" si="66"/>
        <v>0.23716291250419741</v>
      </c>
      <c r="P295" s="94">
        <f ca="1">O295+Calculation!ES295</f>
        <v>-1.286848978772736</v>
      </c>
      <c r="Q295" s="89" t="str">
        <f>IF(Sheet1!BQ293&gt;25.75,"spill elevation","-")</f>
        <v>-</v>
      </c>
      <c r="R295" s="89" t="str">
        <f>IF(Sheet1!BQ293&gt;25.75,"spill elevation","-")</f>
        <v>-</v>
      </c>
      <c r="S295" s="89" t="str">
        <f>IF(Sheet1!BR293&gt;25.75,"spill elevation","-")</f>
        <v>-</v>
      </c>
      <c r="T295" s="93">
        <f>IF(Sheet1!DU293=1,Sheet1!AA293-(SUM(AT295:BA295)+BE295),Sheet1!AA293-SUM(AT295:BA295))</f>
        <v>26.918127999999999</v>
      </c>
      <c r="U295" s="93">
        <f>Sheet1!BV293</f>
        <v>29.6</v>
      </c>
      <c r="V295" s="93">
        <f t="shared" si="67"/>
        <v>-2.681872000000002</v>
      </c>
      <c r="W295" s="93">
        <f>0</f>
        <v>0</v>
      </c>
      <c r="X295" s="89">
        <f>0</f>
        <v>0</v>
      </c>
      <c r="Y295" s="94">
        <f ca="1">Calculation!EJ296+Calculation!ES295+'Calculations II'!O295-'Calculations II'!W295</f>
        <v>47.465354350070932</v>
      </c>
      <c r="Z295" s="94">
        <f ca="1">Y295-Sheet1!CT294</f>
        <v>31.437354350070933</v>
      </c>
      <c r="AA295" s="94">
        <f ca="1">Y295+Calculation!DJ296+Calculation!AS296</f>
        <v>60.802092597314115</v>
      </c>
      <c r="AC295" s="94">
        <f>Sheet1!AA293+Sheet1!AB293+BC295</f>
        <v>65.541808000000003</v>
      </c>
      <c r="AD295" s="94">
        <f>Sheet1!AA293+Sheet1!BN293+'Calculations II'!BC295-Calculation!AS295-Calculation!DJ295</f>
        <v>39.761074055045874</v>
      </c>
      <c r="AE295" s="94">
        <f>Sheet1!AA293+Sheet1!AB293+'Calculations II'!BC295-Calculation!AS295-Calculation!DJ295</f>
        <v>52.661074055045873</v>
      </c>
      <c r="AF295" s="94">
        <f ca="1">Sheet1!AA293+Sheet1!BN293+P295+'Calculations II'!BC295+Calculation!AS295+Calculation!DJ295</f>
        <v>64.235692966181389</v>
      </c>
      <c r="AG295" s="94">
        <f ca="1">IF(B295=TODAY(),0,Sheet1!AA293+Sheet1!BN293+'Calculations II'!BC295+'Calculations II'!P295-Sheet1!CT293-BP295)</f>
        <v>33.859959021227269</v>
      </c>
      <c r="AH295" s="94">
        <f ca="1">IF(B295=TODAY(),0,Sheet1!AA293+Sheet1!BN293+'Calculations II'!BC295+'Calculations II'!P295-BP295)</f>
        <v>51.354959021227266</v>
      </c>
      <c r="AI295" s="94">
        <f ca="1">IF(B295=TODAY(),0,BC295+Sheet1!AA293+Calculation!ES295+O295+W295+Sheet1!BN293+Calculation!AS295+Calculation!DJ295-BP295)</f>
        <v>64.235692966181389</v>
      </c>
      <c r="AJ295" s="94"/>
      <c r="AM295" s="90">
        <f t="shared" si="68"/>
        <v>43019</v>
      </c>
      <c r="AN295" s="94">
        <f>Sheet1!BU293</f>
        <v>26.6</v>
      </c>
      <c r="AO295" s="94">
        <f>Sheet1!AA293</f>
        <v>28.27</v>
      </c>
      <c r="AP295" s="94">
        <f t="shared" si="57"/>
        <v>1.5650500000000034</v>
      </c>
      <c r="AQ295" s="1087">
        <f>((Sheet1!BV293-(Sheet1!BU293-AP295))/(Sheet1!BU293-AP295))</f>
        <v>0.18234707878386031</v>
      </c>
      <c r="AR295" s="94">
        <f t="shared" si="58"/>
        <v>26.704949999999997</v>
      </c>
      <c r="AS295" s="94">
        <f t="shared" si="59"/>
        <v>25.034949999999998</v>
      </c>
      <c r="AT295" s="89">
        <f>Sheet1!BB293</f>
        <v>0</v>
      </c>
      <c r="AU295" s="89">
        <f>Sheet1!AS293*GPMtoMGD</f>
        <v>3.4416000000000002E-2</v>
      </c>
      <c r="AV295" s="94">
        <f>Sheet1!AT293</f>
        <v>0</v>
      </c>
      <c r="AW295" s="89">
        <f>Sheet1!AV293*GPMtoMGD</f>
        <v>0.79632000000000003</v>
      </c>
      <c r="AX295" s="89">
        <f>Sheet1!AW293*GPMtoMGD</f>
        <v>0.52113600000000004</v>
      </c>
      <c r="AY295" s="89">
        <f>Sheet1!AX293*GPMtoMGD</f>
        <v>0</v>
      </c>
      <c r="AZ295" s="89">
        <f>Sheet1!AY293*GPMtoMGD</f>
        <v>0</v>
      </c>
      <c r="BA295" s="89">
        <f>Sheet1!AZ293*GPMtoMGD</f>
        <v>0</v>
      </c>
      <c r="BB295" s="89">
        <f>Sheet1!BP293*GPMtoMGD</f>
        <v>3.1680000000000002E-3</v>
      </c>
      <c r="BC295" s="89">
        <f>Sheet1!CS293*GPMtoMGD</f>
        <v>1.271808</v>
      </c>
      <c r="BD295" s="89">
        <f>Sheet1!BO293*GPMtoMGD</f>
        <v>1.9987200000000001</v>
      </c>
      <c r="BE295" s="89">
        <f>Sheet1!BW293*GPMtoMGD</f>
        <v>1.1652480000000001</v>
      </c>
      <c r="BF295" s="89">
        <f>Sheet1!CN293*GPMtoMGD</f>
        <v>0.36936000000000002</v>
      </c>
      <c r="BG295" s="89">
        <f>Sheet1!CO293*GPMtoMGD</f>
        <v>0.70992</v>
      </c>
      <c r="BH295" s="89">
        <f>Sheet1!CP293*GPMtoMGD</f>
        <v>0</v>
      </c>
      <c r="BI295" s="89">
        <f t="shared" si="69"/>
        <v>2.0018880000000001</v>
      </c>
      <c r="BK295" s="94">
        <f>SUM(AT295:BA295,AS295,BC295,Calculation!AQ295)</f>
        <v>50.777896055045872</v>
      </c>
      <c r="BM295" s="358">
        <f>0</f>
        <v>0</v>
      </c>
      <c r="BN295" s="358">
        <f>0</f>
        <v>0</v>
      </c>
      <c r="BP295" s="94">
        <f>SUM(BM295:BN295,W295,Sheet1!DX293)</f>
        <v>0</v>
      </c>
      <c r="BR295" s="94">
        <f>Sheet1!AA293</f>
        <v>28.27</v>
      </c>
      <c r="BS295" s="94">
        <f>Sheet1!AB293</f>
        <v>36</v>
      </c>
      <c r="BT295" s="94">
        <f t="shared" ca="1" si="60"/>
        <v>-1.286848978772736</v>
      </c>
      <c r="BU295" s="94">
        <f>Sheet1!AT293</f>
        <v>0</v>
      </c>
      <c r="BV295" s="89">
        <f>Sheet1!BB293</f>
        <v>0</v>
      </c>
      <c r="BW295" s="94">
        <f>Calculation!ED295</f>
        <v>12.880733944954128</v>
      </c>
      <c r="BX295" s="94">
        <f>(Sheet1!CS293*1440)/1000000</f>
        <v>1.271808</v>
      </c>
      <c r="CA295" s="94">
        <f ca="1">Sheet1!AC293-Sheet1!BK293-Sheet1!BL293-Sheet1!BM293-Sheet1!BC293-Sheet1!BD293-Sheet1!BE293-Sheet1!BF293-Sheet1!BG293-Sheet1!BH293-Sheet1!BI293+BC295+P295</f>
        <v>51.384959021227253</v>
      </c>
      <c r="CB295" s="93">
        <f t="shared" si="61"/>
        <v>79.499194587155955</v>
      </c>
      <c r="CC295" s="94">
        <f t="shared" si="62"/>
        <v>0</v>
      </c>
      <c r="CD295" s="94">
        <f t="shared" ca="1" si="63"/>
        <v>64.265692966181376</v>
      </c>
      <c r="CE295" s="1077">
        <f t="shared" ca="1" si="64"/>
        <v>99.419027018682584</v>
      </c>
      <c r="CG295" s="1077">
        <f t="shared" ca="1" si="65"/>
        <v>51.384959021227253</v>
      </c>
    </row>
    <row r="296" spans="1:85" s="89" customFormat="1" x14ac:dyDescent="0.25">
      <c r="A296" s="616" t="s">
        <v>7</v>
      </c>
      <c r="B296" s="91">
        <v>43020</v>
      </c>
      <c r="C296" s="92">
        <v>0</v>
      </c>
      <c r="D296" s="94">
        <f>(Sheet1!BQ294-Sheet1!BQ293)*1.385</f>
        <v>0.76175000000000104</v>
      </c>
      <c r="E296" s="30">
        <f>(Sheet1!BR294-Sheet1!BR293)*1.385</f>
        <v>0.62324999999999897</v>
      </c>
      <c r="F296" s="30">
        <f ca="1">IF(B296=TODAY(),0,-(VLOOKUP(Sheet1!CD294,Lookup!$I$4:$J$216,2)-VLOOKUP(Sheet1!CD293,Lookup!$I$4:$J$216,2))/1000000)</f>
        <v>-0.20727387709559872</v>
      </c>
      <c r="G296" s="94">
        <f ca="1">IF(B296=TODAY(),0,-$G$6*(Sheet1!CF294-Sheet1!CF293)*7.48/1000000)</f>
        <v>-0.95312402526142337</v>
      </c>
      <c r="H296" s="94">
        <f ca="1">IF(B296=TODAY(),0,-$H$6*(Sheet1!CE294-Sheet1!CE293)*7.48/1000000)</f>
        <v>0</v>
      </c>
      <c r="I296" s="94">
        <f ca="1">IF(B296=TODAY(),0,-$I$6*(Sheet1!CG294-Sheet1!CG293)*7.48/1000000)</f>
        <v>-4.4924879999999959E-2</v>
      </c>
      <c r="J296" s="95" t="s">
        <v>177</v>
      </c>
      <c r="K296" s="94">
        <f ca="1">IF(B296=TODAY(),0,-$K$6*(Sheet1!CH294-Sheet1!CH293)*7.48/1000000)</f>
        <v>-5.9969883370125883E-2</v>
      </c>
      <c r="L296" s="95" t="s">
        <v>177</v>
      </c>
      <c r="M296" s="94">
        <f ca="1">IF(B296=TODAY(),0,-$M$6*(Sheet1!CI294-Sheet1!CI293)*7.48/1000000)</f>
        <v>-0.24288536377836475</v>
      </c>
      <c r="N296" s="94">
        <f ca="1">IF(B296=TODAY(),0,-$N$6*(Sheet1!CJ294-Sheet1!CJ293)*7.48/1000000)</f>
        <v>-0.14272039440763523</v>
      </c>
      <c r="O296" s="94">
        <f t="shared" ca="1" si="66"/>
        <v>-1.6508984239131479</v>
      </c>
      <c r="P296" s="94">
        <f ca="1">O296+Calculation!ES296</f>
        <v>-3.0366242561592243</v>
      </c>
      <c r="Q296" s="89" t="str">
        <f>IF(Sheet1!BQ294&gt;25.75,"spill elevation","-")</f>
        <v>-</v>
      </c>
      <c r="R296" s="89" t="str">
        <f>IF(Sheet1!BQ294&gt;25.75,"spill elevation","-")</f>
        <v>-</v>
      </c>
      <c r="S296" s="89" t="str">
        <f>IF(Sheet1!BR294&gt;25.75,"spill elevation","-")</f>
        <v>-</v>
      </c>
      <c r="T296" s="93">
        <f>IF(Sheet1!DU294=1,Sheet1!AA294-(SUM(AT296:BA296)+BE296),Sheet1!AA294-SUM(AT296:BA296))</f>
        <v>27.258655999999998</v>
      </c>
      <c r="U296" s="93">
        <f>Sheet1!BV294</f>
        <v>30.9</v>
      </c>
      <c r="V296" s="93">
        <f t="shared" si="67"/>
        <v>-3.6413440000000001</v>
      </c>
      <c r="W296" s="93">
        <f>0</f>
        <v>0</v>
      </c>
      <c r="X296" s="89">
        <f>0</f>
        <v>0</v>
      </c>
      <c r="Y296" s="94">
        <f ca="1">Calculation!EJ297+Calculation!ES296+'Calculations II'!O296-'Calculations II'!W296</f>
        <v>46.747265497929106</v>
      </c>
      <c r="Z296" s="94">
        <f ca="1">Y296-Sheet1!CT295</f>
        <v>29.950265497929106</v>
      </c>
      <c r="AA296" s="94">
        <f ca="1">Y296+Calculation!DJ297+Calculation!AS297</f>
        <v>60.194566892713823</v>
      </c>
      <c r="AC296" s="94">
        <f>Sheet1!AA294+Sheet1!AB294+BC296</f>
        <v>63.798496</v>
      </c>
      <c r="AD296" s="94">
        <f>Sheet1!AA294+Sheet1!BN294+'Calculations II'!BC296-Calculation!AS296-Calculation!DJ296</f>
        <v>37.161757752756827</v>
      </c>
      <c r="AE296" s="94">
        <f>Sheet1!AA294+Sheet1!AB294+'Calculations II'!BC296-Calculation!AS296-Calculation!DJ296</f>
        <v>50.461757752756824</v>
      </c>
      <c r="AF296" s="94">
        <f ca="1">Sheet1!AA294+Sheet1!BN294+P296+'Calculations II'!BC296+Calculation!AS296+Calculation!DJ296</f>
        <v>60.798609991083964</v>
      </c>
      <c r="AG296" s="94">
        <f ca="1">IF(B296=TODAY(),0,Sheet1!AA294+Sheet1!BN294+'Calculations II'!BC296+'Calculations II'!P296-Sheet1!CT294-BP296)</f>
        <v>31.433871743840783</v>
      </c>
      <c r="AH296" s="94">
        <f ca="1">IF(B296=TODAY(),0,Sheet1!AA294+Sheet1!BN294+'Calculations II'!BC296+'Calculations II'!P296-BP296)</f>
        <v>47.461871743840781</v>
      </c>
      <c r="AI296" s="94">
        <f ca="1">IF(B296=TODAY(),0,BC296+Sheet1!AA294+Calculation!ES296+O296+W296+Sheet1!BN294+Calculation!AS296+Calculation!DJ296-BP296)</f>
        <v>60.79860999108395</v>
      </c>
      <c r="AJ296" s="94"/>
      <c r="AM296" s="90">
        <f t="shared" si="68"/>
        <v>43020</v>
      </c>
      <c r="AN296" s="94">
        <f>Sheet1!BU294</f>
        <v>27.2</v>
      </c>
      <c r="AO296" s="94">
        <f>Sheet1!AA294</f>
        <v>28.13</v>
      </c>
      <c r="AP296" s="94">
        <f t="shared" si="57"/>
        <v>1.385</v>
      </c>
      <c r="AQ296" s="1087">
        <f>((Sheet1!BV294-(Sheet1!BU294-AP296))/(Sheet1!BU294-AP296))</f>
        <v>0.19697850087158633</v>
      </c>
      <c r="AR296" s="94">
        <f t="shared" si="58"/>
        <v>26.744999999999997</v>
      </c>
      <c r="AS296" s="94">
        <f t="shared" si="59"/>
        <v>25.814999999999998</v>
      </c>
      <c r="AT296" s="89">
        <f>Sheet1!BB294</f>
        <v>0</v>
      </c>
      <c r="AU296" s="89">
        <f>Sheet1!AS294*GPMtoMGD</f>
        <v>3.5136000000000001E-2</v>
      </c>
      <c r="AV296" s="94">
        <f>Sheet1!AT294</f>
        <v>0</v>
      </c>
      <c r="AW296" s="89">
        <f>Sheet1!AV294*GPMtoMGD</f>
        <v>0.54014400000000007</v>
      </c>
      <c r="AX296" s="89">
        <f>Sheet1!AW294*GPMtoMGD</f>
        <v>0.29606399999999999</v>
      </c>
      <c r="AY296" s="89">
        <f>Sheet1!AX294*GPMtoMGD</f>
        <v>0</v>
      </c>
      <c r="AZ296" s="89">
        <f>Sheet1!AY294*GPMtoMGD</f>
        <v>0</v>
      </c>
      <c r="BA296" s="89">
        <f>Sheet1!AZ294*GPMtoMGD</f>
        <v>0</v>
      </c>
      <c r="BB296" s="89">
        <f>Sheet1!BP294*GPMtoMGD</f>
        <v>3.1680000000000002E-3</v>
      </c>
      <c r="BC296" s="89">
        <f>Sheet1!CS294*GPMtoMGD</f>
        <v>1.2684960000000001</v>
      </c>
      <c r="BD296" s="89">
        <f>Sheet1!BO294*GPMtoMGD</f>
        <v>1.9900800000000001</v>
      </c>
      <c r="BE296" s="89">
        <f>Sheet1!BW294*GPMtoMGD</f>
        <v>1.1196000000000002</v>
      </c>
      <c r="BF296" s="89">
        <f>Sheet1!CN294*GPMtoMGD</f>
        <v>0.33019200000000004</v>
      </c>
      <c r="BG296" s="89">
        <f>Sheet1!CO294*GPMtoMGD</f>
        <v>0.65937599999999996</v>
      </c>
      <c r="BH296" s="89">
        <f>Sheet1!CP294*GPMtoMGD</f>
        <v>0</v>
      </c>
      <c r="BI296" s="89">
        <f t="shared" si="69"/>
        <v>1.9932480000000001</v>
      </c>
      <c r="BK296" s="94">
        <f>SUM(AT296:BA296,AS296,BC296,Calculation!AQ296)</f>
        <v>49.01810175275682</v>
      </c>
      <c r="BM296" s="358">
        <f>0</f>
        <v>0</v>
      </c>
      <c r="BN296" s="358">
        <f>0</f>
        <v>0</v>
      </c>
      <c r="BP296" s="94">
        <f>SUM(BM296:BN296,W296,Sheet1!DX294)</f>
        <v>0</v>
      </c>
      <c r="BR296" s="94">
        <f>Sheet1!AA294</f>
        <v>28.13</v>
      </c>
      <c r="BS296" s="94">
        <f>Sheet1!AB294</f>
        <v>34.4</v>
      </c>
      <c r="BT296" s="94">
        <f t="shared" ca="1" si="60"/>
        <v>-3.0366242561592243</v>
      </c>
      <c r="BU296" s="94">
        <f>Sheet1!AT294</f>
        <v>0</v>
      </c>
      <c r="BV296" s="89">
        <f>Sheet1!BB294</f>
        <v>0</v>
      </c>
      <c r="BW296" s="94">
        <f>Calculation!ED296</f>
        <v>13.336738247243179</v>
      </c>
      <c r="BX296" s="94">
        <f>(Sheet1!CS294*1440)/1000000</f>
        <v>1.2684960000000001</v>
      </c>
      <c r="CA296" s="94">
        <f ca="1">Sheet1!AC294-Sheet1!BK294-Sheet1!BL294-Sheet1!BM294-Sheet1!BC294-Sheet1!BD294-Sheet1!BE294-Sheet1!BF294-Sheet1!BG294-Sheet1!BH294-Sheet1!BI294+BC296+P296</f>
        <v>47.401871743840779</v>
      </c>
      <c r="CB296" s="93">
        <f t="shared" si="61"/>
        <v>76.101975931514801</v>
      </c>
      <c r="CC296" s="94">
        <f t="shared" si="62"/>
        <v>0</v>
      </c>
      <c r="CD296" s="94">
        <f t="shared" ca="1" si="63"/>
        <v>60.738609991083962</v>
      </c>
      <c r="CE296" s="1077">
        <f t="shared" ca="1" si="64"/>
        <v>93.962629656206886</v>
      </c>
      <c r="CG296" s="1077">
        <f t="shared" ca="1" si="65"/>
        <v>47.401871743840779</v>
      </c>
    </row>
    <row r="297" spans="1:85" s="89" customFormat="1" x14ac:dyDescent="0.25">
      <c r="A297" s="616" t="s">
        <v>8</v>
      </c>
      <c r="B297" s="91">
        <v>43021</v>
      </c>
      <c r="C297" s="92">
        <v>0</v>
      </c>
      <c r="D297" s="94">
        <f>(Sheet1!BQ295-Sheet1!BQ294)*1.385</f>
        <v>0.34625</v>
      </c>
      <c r="E297" s="30">
        <f>(Sheet1!BR295-Sheet1!BR294)*1.385</f>
        <v>0.29085000000000116</v>
      </c>
      <c r="F297" s="30">
        <f ca="1">IF(B297=TODAY(),0,-(VLOOKUP(Sheet1!CD295,Lookup!$I$4:$J$216,2)-VLOOKUP(Sheet1!CD294,Lookup!$I$4:$J$216,2))/1000000)</f>
        <v>0.51818469273899681</v>
      </c>
      <c r="G297" s="94">
        <f ca="1">IF(B297=TODAY(),0,-$G$6*(Sheet1!CF295-Sheet1!CF294)*7.48/1000000)</f>
        <v>0.43684851157815213</v>
      </c>
      <c r="H297" s="94">
        <f ca="1">IF(B297=TODAY(),0,-$H$6*(Sheet1!CE295-Sheet1!CE294)*7.48/1000000)</f>
        <v>0</v>
      </c>
      <c r="I297" s="94">
        <f ca="1">IF(B297=TODAY(),0,-$I$6*(Sheet1!CG295-Sheet1!CG294)*7.48/1000000)</f>
        <v>4.0432391999999977E-2</v>
      </c>
      <c r="J297" s="95" t="s">
        <v>177</v>
      </c>
      <c r="K297" s="94">
        <f ca="1">IF(B297=TODAY(),0,-$K$6*(Sheet1!CH295-Sheet1!CH294)*7.48/1000000)</f>
        <v>5.3306562995667467E-2</v>
      </c>
      <c r="L297" s="95" t="s">
        <v>177</v>
      </c>
      <c r="M297" s="94">
        <f ca="1">IF(B297=TODAY(),0,-$M$6*(Sheet1!CI295-Sheet1!CI294)*7.48/1000000)</f>
        <v>0.2248938553503381</v>
      </c>
      <c r="N297" s="94">
        <f ca="1">IF(B297=TODAY(),0,-$N$6*(Sheet1!CJ295-Sheet1!CJ294)*7.48/1000000)</f>
        <v>0.34749313420989419</v>
      </c>
      <c r="O297" s="94">
        <f t="shared" ca="1" si="66"/>
        <v>1.6211591488730486</v>
      </c>
      <c r="P297" s="94">
        <f ca="1">O297+Calculation!ES297</f>
        <v>1.0667585550572674</v>
      </c>
      <c r="Q297" s="89" t="str">
        <f>IF(Sheet1!BQ295&gt;25.75,"spill elevation","-")</f>
        <v>-</v>
      </c>
      <c r="R297" s="89" t="str">
        <f>IF(Sheet1!BQ295&gt;25.75,"spill elevation","-")</f>
        <v>-</v>
      </c>
      <c r="S297" s="89" t="str">
        <f>IF(Sheet1!BR295&gt;25.75,"spill elevation","-")</f>
        <v>-</v>
      </c>
      <c r="T297" s="93">
        <f>IF(Sheet1!DU295=1,Sheet1!AA295-(SUM(AT297:BA297)+BE297),Sheet1!AA295-SUM(AT297:BA297))</f>
        <v>26.676704000000001</v>
      </c>
      <c r="U297" s="93">
        <f>Sheet1!BV295</f>
        <v>30.8</v>
      </c>
      <c r="V297" s="93">
        <f t="shared" si="67"/>
        <v>-4.1232959999999999</v>
      </c>
      <c r="W297" s="93">
        <f>0</f>
        <v>0</v>
      </c>
      <c r="X297" s="89">
        <f>0</f>
        <v>0</v>
      </c>
      <c r="Y297" s="94">
        <f ca="1">Calculation!EJ298+Calculation!ES297+'Calculations II'!O297-'Calculations II'!W297</f>
        <v>47.793883103294206</v>
      </c>
      <c r="Z297" s="94">
        <f ca="1">Y297-Sheet1!CT296</f>
        <v>31.285883103294207</v>
      </c>
      <c r="AA297" s="94">
        <f ca="1">Y297+Calculation!DJ298+Calculation!AS298</f>
        <v>60.948008216621496</v>
      </c>
      <c r="AC297" s="94">
        <f>Sheet1!AA295+Sheet1!AB295+BC297</f>
        <v>61.686736000000003</v>
      </c>
      <c r="AD297" s="94">
        <f>Sheet1!AA295+Sheet1!BN295+'Calculations II'!BC297-Calculation!AS297-Calculation!DJ297</f>
        <v>34.839434605215288</v>
      </c>
      <c r="AE297" s="94">
        <f>Sheet1!AA295+Sheet1!AB295+'Calculations II'!BC297-Calculation!AS297-Calculation!DJ297</f>
        <v>48.239434605215287</v>
      </c>
      <c r="AF297" s="94">
        <f ca="1">Sheet1!AA295+Sheet1!BN295+P297+'Calculations II'!BC297+Calculation!AS297+Calculation!DJ297</f>
        <v>62.800795949841991</v>
      </c>
      <c r="AG297" s="94">
        <f ca="1">IF(B297=TODAY(),0,Sheet1!AA295+Sheet1!BN295+'Calculations II'!BC297+'Calculations II'!P297-Sheet1!CT295-BP297)</f>
        <v>32.55649455505727</v>
      </c>
      <c r="AH297" s="94">
        <f ca="1">IF(B297=TODAY(),0,Sheet1!AA295+Sheet1!BN295+'Calculations II'!BC297+'Calculations II'!P297-BP297)</f>
        <v>49.353494555057274</v>
      </c>
      <c r="AI297" s="94">
        <f ca="1">IF(B297=TODAY(),0,BC297+Sheet1!AA295+Calculation!ES297+O297+W297+Sheet1!BN295+Calculation!AS297+Calculation!DJ297-BP297)</f>
        <v>62.800795949841984</v>
      </c>
      <c r="AJ297" s="94"/>
      <c r="AM297" s="90">
        <f t="shared" si="68"/>
        <v>43021</v>
      </c>
      <c r="AN297" s="94">
        <f>Sheet1!BU295</f>
        <v>26.6</v>
      </c>
      <c r="AO297" s="94">
        <f>Sheet1!AA295</f>
        <v>28.1</v>
      </c>
      <c r="AP297" s="94">
        <f t="shared" si="57"/>
        <v>0.63710000000000111</v>
      </c>
      <c r="AQ297" s="1087">
        <f>((Sheet1!BV295-(Sheet1!BU295-AP297))/(Sheet1!BU295-AP297))</f>
        <v>0.18630815509823631</v>
      </c>
      <c r="AR297" s="94">
        <f t="shared" si="58"/>
        <v>27.462900000000001</v>
      </c>
      <c r="AS297" s="94">
        <f t="shared" si="59"/>
        <v>25.962900000000001</v>
      </c>
      <c r="AT297" s="89">
        <f>Sheet1!BB295</f>
        <v>0</v>
      </c>
      <c r="AU297" s="89">
        <f>Sheet1!AS295*GPMtoMGD</f>
        <v>3.5279999999999999E-2</v>
      </c>
      <c r="AV297" s="94">
        <f>Sheet1!AT295</f>
        <v>0</v>
      </c>
      <c r="AW297" s="89">
        <f>Sheet1!AV295*GPMtoMGD</f>
        <v>0.791856</v>
      </c>
      <c r="AX297" s="89">
        <f>Sheet1!AW295*GPMtoMGD</f>
        <v>0.59616000000000002</v>
      </c>
      <c r="AY297" s="89">
        <f>Sheet1!AX295*GPMtoMGD</f>
        <v>0</v>
      </c>
      <c r="AZ297" s="89">
        <f>Sheet1!AY295*GPMtoMGD</f>
        <v>0</v>
      </c>
      <c r="BA297" s="89">
        <f>Sheet1!AZ295*GPMtoMGD</f>
        <v>0</v>
      </c>
      <c r="BB297" s="89">
        <f>Sheet1!BP295*GPMtoMGD</f>
        <v>4.7520000000000001E-3</v>
      </c>
      <c r="BC297" s="89">
        <f>Sheet1!CS295*GPMtoMGD</f>
        <v>0.68673600000000001</v>
      </c>
      <c r="BD297" s="89">
        <f>Sheet1!BO295*GPMtoMGD</f>
        <v>1.446912</v>
      </c>
      <c r="BE297" s="89">
        <f>Sheet1!BW295*GPMtoMGD</f>
        <v>1.152576</v>
      </c>
      <c r="BF297" s="89">
        <f>Sheet1!CN295*GPMtoMGD</f>
        <v>0.23256000000000002</v>
      </c>
      <c r="BG297" s="89">
        <f>Sheet1!CO295*GPMtoMGD</f>
        <v>0.63691200000000003</v>
      </c>
      <c r="BH297" s="89">
        <f>Sheet1!CP295*GPMtoMGD</f>
        <v>0</v>
      </c>
      <c r="BI297" s="89">
        <f t="shared" si="69"/>
        <v>1.4516640000000001</v>
      </c>
      <c r="BK297" s="94">
        <f>SUM(AT297:BA297,AS297,BC297,Calculation!AQ297)</f>
        <v>47.525630605215284</v>
      </c>
      <c r="BM297" s="358">
        <f>0</f>
        <v>0</v>
      </c>
      <c r="BN297" s="358">
        <f>0</f>
        <v>0</v>
      </c>
      <c r="BP297" s="94">
        <f>SUM(BM297:BN297,W297,Sheet1!DX295)</f>
        <v>0</v>
      </c>
      <c r="BR297" s="94">
        <f>Sheet1!AA295</f>
        <v>28.1</v>
      </c>
      <c r="BS297" s="94">
        <f>Sheet1!AB295</f>
        <v>32.9</v>
      </c>
      <c r="BT297" s="94">
        <f t="shared" ca="1" si="60"/>
        <v>1.0667585550572674</v>
      </c>
      <c r="BU297" s="94">
        <f>Sheet1!AT295</f>
        <v>0</v>
      </c>
      <c r="BV297" s="89">
        <f>Sheet1!BB295</f>
        <v>0</v>
      </c>
      <c r="BW297" s="94">
        <f>Calculation!ED297</f>
        <v>13.447301394784716</v>
      </c>
      <c r="BX297" s="94">
        <f>(Sheet1!CS295*1440)/1000000</f>
        <v>0.68673600000000001</v>
      </c>
      <c r="CA297" s="94">
        <f ca="1">Sheet1!AC295-Sheet1!BK295-Sheet1!BL295-Sheet1!BM295-Sheet1!BC295-Sheet1!BD295-Sheet1!BE295-Sheet1!BF295-Sheet1!BG295-Sheet1!BH295-Sheet1!BI295+BC297+P297</f>
        <v>49.273494555057269</v>
      </c>
      <c r="CB297" s="93">
        <f t="shared" si="61"/>
        <v>73.564024742268046</v>
      </c>
      <c r="CC297" s="94">
        <f t="shared" si="62"/>
        <v>0</v>
      </c>
      <c r="CD297" s="94">
        <f t="shared" ca="1" si="63"/>
        <v>62.720795949841985</v>
      </c>
      <c r="CE297" s="1077">
        <f t="shared" ca="1" si="64"/>
        <v>97.029071334405543</v>
      </c>
      <c r="CG297" s="1077">
        <f t="shared" ca="1" si="65"/>
        <v>49.273494555057269</v>
      </c>
    </row>
    <row r="298" spans="1:85" s="89" customFormat="1" x14ac:dyDescent="0.25">
      <c r="A298" s="616" t="s">
        <v>9</v>
      </c>
      <c r="B298" s="91">
        <v>43022</v>
      </c>
      <c r="C298" s="92">
        <v>0</v>
      </c>
      <c r="D298" s="94">
        <f>(Sheet1!BQ296-Sheet1!BQ295)*1.385</f>
        <v>-0.6925</v>
      </c>
      <c r="E298" s="30">
        <f>(Sheet1!BR296-Sheet1!BR295)*1.385</f>
        <v>-0.6925</v>
      </c>
      <c r="F298" s="30">
        <f ca="1">IF(B298=TODAY(),0,-(VLOOKUP(Sheet1!CD296,Lookup!$I$4:$J$216,2)-VLOOKUP(Sheet1!CD295,Lookup!$I$4:$J$216,2))/1000000)</f>
        <v>-0.51818469273899681</v>
      </c>
      <c r="G298" s="94">
        <f ca="1">IF(B298=TODAY(),0,-$G$6*(Sheet1!CF296-Sheet1!CF295)*7.48/1000000)</f>
        <v>0.47656201263071196</v>
      </c>
      <c r="H298" s="94">
        <f ca="1">IF(B298=TODAY(),0,-$H$6*(Sheet1!CE296-Sheet1!CE295)*7.48/1000000)</f>
        <v>0</v>
      </c>
      <c r="I298" s="94">
        <f ca="1">IF(B298=TODAY(),0,-$I$6*(Sheet1!CG296-Sheet1!CG295)*7.48/1000000)</f>
        <v>-7.1879808000000031E-2</v>
      </c>
      <c r="J298" s="95" t="s">
        <v>177</v>
      </c>
      <c r="K298" s="94">
        <f ca="1">IF(B298=TODAY(),0,-$K$6*(Sheet1!CH296-Sheet1!CH295)*7.48/1000000)</f>
        <v>-0.11327644636579347</v>
      </c>
      <c r="L298" s="95" t="s">
        <v>177</v>
      </c>
      <c r="M298" s="94">
        <f ca="1">IF(B298=TODAY(),0,-$M$6*(Sheet1!CI296-Sheet1!CI295)*7.48/1000000)</f>
        <v>-0.37782167698856822</v>
      </c>
      <c r="N298" s="94">
        <f ca="1">IF(B298=TODAY(),0,-$N$6*(Sheet1!CJ296-Sheet1!CJ295)*7.48/1000000)</f>
        <v>-0.31026172697311949</v>
      </c>
      <c r="O298" s="94">
        <f t="shared" ca="1" si="66"/>
        <v>-0.91486233843576603</v>
      </c>
      <c r="P298" s="94">
        <f ca="1">O298+Calculation!ES298</f>
        <v>0.47104298519907439</v>
      </c>
      <c r="Q298" s="89" t="str">
        <f>IF(Sheet1!BQ296&gt;25.75,"spill elevation","-")</f>
        <v>-</v>
      </c>
      <c r="R298" s="89" t="str">
        <f>IF(Sheet1!BQ296&gt;25.75,"spill elevation","-")</f>
        <v>-</v>
      </c>
      <c r="S298" s="89" t="str">
        <f>IF(Sheet1!BR296&gt;25.75,"spill elevation","-")</f>
        <v>-</v>
      </c>
      <c r="T298" s="93">
        <f>IF(Sheet1!DU296=1,Sheet1!AA296-(SUM(AT298:BA298)+BE298),Sheet1!AA296-SUM(AT298:BA298))</f>
        <v>27.203888000000003</v>
      </c>
      <c r="U298" s="93">
        <f>Sheet1!BV296</f>
        <v>33.5</v>
      </c>
      <c r="V298" s="93">
        <f t="shared" si="67"/>
        <v>-6.2961119999999973</v>
      </c>
      <c r="W298" s="93">
        <f>0</f>
        <v>0</v>
      </c>
      <c r="X298" s="89">
        <f>0</f>
        <v>0</v>
      </c>
      <c r="Y298" s="94">
        <f ca="1">Calculation!EJ299+Calculation!ES298+'Calculations II'!O298-'Calculations II'!W298</f>
        <v>49.634458323499764</v>
      </c>
      <c r="Z298" s="94">
        <f ca="1">Y298-Sheet1!CT297</f>
        <v>32.832458323499765</v>
      </c>
      <c r="AA298" s="94">
        <f ca="1">Y298+Calculation!DJ299+Calculation!AS299</f>
        <v>62.642884473620832</v>
      </c>
      <c r="AC298" s="94">
        <f>Sheet1!AA296+Sheet1!AB296+BC298</f>
        <v>61.1</v>
      </c>
      <c r="AD298" s="94">
        <f>Sheet1!AA296+Sheet1!BN296+'Calculations II'!BC298-Calculation!AS298-Calculation!DJ298</f>
        <v>34.845874886672711</v>
      </c>
      <c r="AE298" s="94">
        <f>Sheet1!AA296+Sheet1!AB296+'Calculations II'!BC298-Calculation!AS298-Calculation!DJ298</f>
        <v>47.945874886672712</v>
      </c>
      <c r="AF298" s="94">
        <f ca="1">Sheet1!AA296+Sheet1!BN296+P298+'Calculations II'!BC298+Calculation!AS298+Calculation!DJ298</f>
        <v>61.625168098526366</v>
      </c>
      <c r="AG298" s="94">
        <f ca="1">IF(B298=TODAY(),0,Sheet1!AA296+Sheet1!BN296+'Calculations II'!BC298+'Calculations II'!P298-Sheet1!CT296-BP298)</f>
        <v>31.963042985199078</v>
      </c>
      <c r="AH298" s="94">
        <f ca="1">IF(B298=TODAY(),0,Sheet1!AA296+Sheet1!BN296+'Calculations II'!BC298+'Calculations II'!P298-BP298)</f>
        <v>48.471042985199077</v>
      </c>
      <c r="AI298" s="94">
        <f ca="1">IF(B298=TODAY(),0,BC298+Sheet1!AA296+Calculation!ES298+O298+W298+Sheet1!BN296+Calculation!AS298+Calculation!DJ298-BP298)</f>
        <v>61.625168098526366</v>
      </c>
      <c r="AJ298" s="94"/>
      <c r="AM298" s="90">
        <f t="shared" si="68"/>
        <v>43022</v>
      </c>
      <c r="AN298" s="94">
        <f>Sheet1!BU296</f>
        <v>26.9</v>
      </c>
      <c r="AO298" s="94">
        <f>Sheet1!AA296</f>
        <v>28.1</v>
      </c>
      <c r="AP298" s="94">
        <f t="shared" si="57"/>
        <v>-1.385</v>
      </c>
      <c r="AQ298" s="1087">
        <f>((Sheet1!BV296-(Sheet1!BU296-AP298))/(Sheet1!BU296-AP298))</f>
        <v>0.18437334276118084</v>
      </c>
      <c r="AR298" s="94">
        <f t="shared" si="58"/>
        <v>29.485000000000003</v>
      </c>
      <c r="AS298" s="94">
        <f t="shared" si="59"/>
        <v>28.285</v>
      </c>
      <c r="AT298" s="89">
        <f>Sheet1!BB296</f>
        <v>0</v>
      </c>
      <c r="AU298" s="89">
        <f>Sheet1!AS296*GPMtoMGD</f>
        <v>3.5712000000000001E-2</v>
      </c>
      <c r="AV298" s="94">
        <f>Sheet1!AT296</f>
        <v>0</v>
      </c>
      <c r="AW298" s="89">
        <f>Sheet1!AV296*GPMtoMGD</f>
        <v>0.42436800000000002</v>
      </c>
      <c r="AX298" s="89">
        <f>Sheet1!AW296*GPMtoMGD</f>
        <v>0.43603200000000003</v>
      </c>
      <c r="AY298" s="89">
        <f>Sheet1!AX296*GPMtoMGD</f>
        <v>0</v>
      </c>
      <c r="AZ298" s="89">
        <f>Sheet1!AY296*GPMtoMGD</f>
        <v>0</v>
      </c>
      <c r="BA298" s="89">
        <f>Sheet1!AZ296*GPMtoMGD</f>
        <v>0</v>
      </c>
      <c r="BB298" s="89">
        <f>Sheet1!BP296*GPMtoMGD</f>
        <v>3.1680000000000002E-3</v>
      </c>
      <c r="BC298" s="89">
        <f>Sheet1!CS296*GPMtoMGD</f>
        <v>0</v>
      </c>
      <c r="BD298" s="89">
        <f>Sheet1!BO296*GPMtoMGD</f>
        <v>2.2343039999999998</v>
      </c>
      <c r="BE298" s="89">
        <f>Sheet1!BW296*GPMtoMGD</f>
        <v>1.1861280000000001</v>
      </c>
      <c r="BF298" s="89">
        <f>Sheet1!CN296*GPMtoMGD</f>
        <v>0.38059200000000004</v>
      </c>
      <c r="BG298" s="89">
        <f>Sheet1!CO296*GPMtoMGD</f>
        <v>0.67032000000000003</v>
      </c>
      <c r="BH298" s="89">
        <f>Sheet1!CP296*GPMtoMGD</f>
        <v>0</v>
      </c>
      <c r="BI298" s="89">
        <f t="shared" si="69"/>
        <v>2.2374719999999999</v>
      </c>
      <c r="BK298" s="94">
        <f>SUM(AT298:BA298,AS298,BC298,Calculation!AQ298)</f>
        <v>49.026986886672709</v>
      </c>
      <c r="BM298" s="358">
        <f>0</f>
        <v>0</v>
      </c>
      <c r="BN298" s="358">
        <f>0</f>
        <v>0</v>
      </c>
      <c r="BP298" s="94">
        <f>SUM(BM298:BN298,W298,Sheet1!DX296)</f>
        <v>0</v>
      </c>
      <c r="BR298" s="94">
        <f>Sheet1!AA296</f>
        <v>28.1</v>
      </c>
      <c r="BS298" s="94">
        <f>Sheet1!AB296</f>
        <v>33</v>
      </c>
      <c r="BT298" s="94">
        <f t="shared" ca="1" si="60"/>
        <v>0.47104298519907439</v>
      </c>
      <c r="BU298" s="94">
        <f>Sheet1!AT296</f>
        <v>0</v>
      </c>
      <c r="BV298" s="89">
        <f>Sheet1!BB296</f>
        <v>0</v>
      </c>
      <c r="BW298" s="94">
        <f>Calculation!ED298</f>
        <v>13.154125113327289</v>
      </c>
      <c r="BX298" s="94">
        <f>(Sheet1!CS296*1440)/1000000</f>
        <v>0</v>
      </c>
      <c r="CA298" s="94">
        <f ca="1">Sheet1!AC296-Sheet1!BK296-Sheet1!BL296-Sheet1!BM296-Sheet1!BC296-Sheet1!BD296-Sheet1!BE296-Sheet1!BF296-Sheet1!BG296-Sheet1!BH296-Sheet1!BI296+BC298+P298</f>
        <v>48.381042985199073</v>
      </c>
      <c r="CB298" s="93">
        <f t="shared" si="61"/>
        <v>74.172268449682676</v>
      </c>
      <c r="CC298" s="94">
        <f t="shared" si="62"/>
        <v>0</v>
      </c>
      <c r="CD298" s="94">
        <f t="shared" ca="1" si="63"/>
        <v>61.535168098526363</v>
      </c>
      <c r="CE298" s="1077">
        <f t="shared" ca="1" si="64"/>
        <v>95.194905048420281</v>
      </c>
      <c r="CG298" s="1077">
        <f t="shared" ca="1" si="65"/>
        <v>48.381042985199073</v>
      </c>
    </row>
    <row r="299" spans="1:85" s="89" customFormat="1" x14ac:dyDescent="0.25">
      <c r="A299" s="616" t="s">
        <v>3</v>
      </c>
      <c r="B299" s="91">
        <v>43023</v>
      </c>
      <c r="C299" s="92">
        <v>0</v>
      </c>
      <c r="D299" s="94">
        <f>(Sheet1!BQ297-Sheet1!BQ296)*1.385</f>
        <v>-0.6925</v>
      </c>
      <c r="E299" s="30">
        <f>(Sheet1!BR297-Sheet1!BR296)*1.385</f>
        <v>-0.55399999999999805</v>
      </c>
      <c r="F299" s="30">
        <f ca="1">IF(B299=TODAY(),0,-(VLOOKUP(Sheet1!CD297,Lookup!$I$4:$J$216,2)-VLOOKUP(Sheet1!CD296,Lookup!$I$4:$J$216,2))/1000000)</f>
        <v>0.31091081564339806</v>
      </c>
      <c r="G299" s="94">
        <f ca="1">IF(B299=TODAY(),0,-$G$6*(Sheet1!CF297-Sheet1!CF296)*7.48/1000000)</f>
        <v>0.43684851157815213</v>
      </c>
      <c r="H299" s="94">
        <f ca="1">IF(B299=TODAY(),0,-$H$6*(Sheet1!CE297-Sheet1!CE296)*7.48/1000000)</f>
        <v>-1.5039432351264204E-2</v>
      </c>
      <c r="I299" s="94">
        <f ca="1">IF(B299=TODAY(),0,-$I$6*(Sheet1!CG297-Sheet1!CG296)*7.48/1000000)</f>
        <v>7.637229600000002E-2</v>
      </c>
      <c r="J299" s="95" t="s">
        <v>177</v>
      </c>
      <c r="K299" s="94">
        <f ca="1">IF(B299=TODAY(),0,-$K$6*(Sheet1!CH297-Sheet1!CH296)*7.48/1000000)</f>
        <v>0.1199397667402519</v>
      </c>
      <c r="L299" s="95" t="s">
        <v>177</v>
      </c>
      <c r="M299" s="94">
        <f ca="1">IF(B299=TODAY(),0,-$M$6*(Sheet1!CI297-Sheet1!CI296)*7.48/1000000)</f>
        <v>0.39581318541659494</v>
      </c>
      <c r="N299" s="94">
        <f ca="1">IF(B299=TODAY(),0,-$N$6*(Sheet1!CJ297-Sheet1!CJ296)*7.48/1000000)</f>
        <v>6.2052345394623676E-2</v>
      </c>
      <c r="O299" s="94">
        <f t="shared" ca="1" si="66"/>
        <v>1.3868974884217566</v>
      </c>
      <c r="P299" s="94">
        <f ca="1">O299+Calculation!ES299</f>
        <v>2.6339142006570246</v>
      </c>
      <c r="Q299" s="89" t="str">
        <f>IF(Sheet1!BQ297&gt;25.75,"spill elevation","-")</f>
        <v>-</v>
      </c>
      <c r="R299" s="89" t="str">
        <f>IF(Sheet1!BQ297&gt;25.75,"spill elevation","-")</f>
        <v>-</v>
      </c>
      <c r="S299" s="89" t="str">
        <f>IF(Sheet1!BR297&gt;25.75,"spill elevation","-")</f>
        <v>-</v>
      </c>
      <c r="T299" s="93">
        <f>IF(Sheet1!DU297=1,Sheet1!AA297-(SUM(AT299:BA299)+BE299),Sheet1!AA297-SUM(AT299:BA299))</f>
        <v>26.775056000000003</v>
      </c>
      <c r="U299" s="93">
        <f>Sheet1!BV297</f>
        <v>32.799999999999997</v>
      </c>
      <c r="V299" s="93">
        <f t="shared" si="67"/>
        <v>-6.0249439999999943</v>
      </c>
      <c r="W299" s="93">
        <f>0</f>
        <v>0</v>
      </c>
      <c r="X299" s="89">
        <f>0</f>
        <v>0</v>
      </c>
      <c r="Y299" s="94">
        <f ca="1">Calculation!EJ300+Calculation!ES299+'Calculations II'!O299-'Calculations II'!W299</f>
        <v>48.754637134896498</v>
      </c>
      <c r="Z299" s="94">
        <f ca="1">Y299-Sheet1!CT298</f>
        <v>32.698637134896501</v>
      </c>
      <c r="AA299" s="94">
        <f ca="1">Y299+Calculation!DJ300+Calculation!AS300</f>
        <v>62.058299362499405</v>
      </c>
      <c r="AC299" s="94">
        <f>Sheet1!AA297+Sheet1!AB297+BC299</f>
        <v>61.06</v>
      </c>
      <c r="AD299" s="94">
        <f>Sheet1!AA297+Sheet1!BN297+'Calculations II'!BC299-Calculation!AS299-Calculation!DJ299</f>
        <v>35.091573849878934</v>
      </c>
      <c r="AE299" s="94">
        <f>Sheet1!AA297+Sheet1!AB297+'Calculations II'!BC299-Calculation!AS299-Calculation!DJ299</f>
        <v>48.051573849878935</v>
      </c>
      <c r="AF299" s="94">
        <f ca="1">Sheet1!AA297+Sheet1!BN297+P299+'Calculations II'!BC299+Calculation!AS299+Calculation!DJ299</f>
        <v>63.742340350778093</v>
      </c>
      <c r="AG299" s="94">
        <f ca="1">IF(B299=TODAY(),0,Sheet1!AA297+Sheet1!BN297+'Calculations II'!BC299+'Calculations II'!P299-Sheet1!CT297-BP299)</f>
        <v>33.931914200657026</v>
      </c>
      <c r="AH299" s="94">
        <f ca="1">IF(B299=TODAY(),0,Sheet1!AA297+Sheet1!BN297+'Calculations II'!BC299+'Calculations II'!P299-BP299)</f>
        <v>50.733914200657026</v>
      </c>
      <c r="AI299" s="94">
        <f ca="1">IF(B299=TODAY(),0,BC299+Sheet1!AA297+Calculation!ES299+O299+W299+Sheet1!BN297+Calculation!AS299+Calculation!DJ299-BP299)</f>
        <v>63.742340350778093</v>
      </c>
      <c r="AJ299" s="94"/>
      <c r="AM299" s="90">
        <f t="shared" si="68"/>
        <v>43023</v>
      </c>
      <c r="AN299" s="94">
        <f>Sheet1!BU297</f>
        <v>26.5</v>
      </c>
      <c r="AO299" s="94">
        <f>Sheet1!AA297</f>
        <v>28.1</v>
      </c>
      <c r="AP299" s="94">
        <f t="shared" si="57"/>
        <v>-1.2464999999999979</v>
      </c>
      <c r="AQ299" s="1087">
        <f>((Sheet1!BV297-(Sheet1!BU297-AP299))/(Sheet1!BU297-AP299))</f>
        <v>0.18213107959562469</v>
      </c>
      <c r="AR299" s="94">
        <f t="shared" si="58"/>
        <v>29.346499999999999</v>
      </c>
      <c r="AS299" s="94">
        <f t="shared" si="59"/>
        <v>27.746499999999997</v>
      </c>
      <c r="AT299" s="89">
        <f>Sheet1!BB297</f>
        <v>0</v>
      </c>
      <c r="AU299" s="89">
        <f>Sheet1!AS297*GPMtoMGD</f>
        <v>3.5424000000000004E-2</v>
      </c>
      <c r="AV299" s="94">
        <f>Sheet1!AT297</f>
        <v>0</v>
      </c>
      <c r="AW299" s="89">
        <f>Sheet1!AV297*GPMtoMGD</f>
        <v>0.70704</v>
      </c>
      <c r="AX299" s="89">
        <f>Sheet1!AW297*GPMtoMGD</f>
        <v>0.58248</v>
      </c>
      <c r="AY299" s="89">
        <f>Sheet1!AX297*GPMtoMGD</f>
        <v>0</v>
      </c>
      <c r="AZ299" s="89">
        <f>Sheet1!AY297*GPMtoMGD</f>
        <v>0</v>
      </c>
      <c r="BA299" s="89">
        <f>Sheet1!AZ297*GPMtoMGD</f>
        <v>0</v>
      </c>
      <c r="BB299" s="89">
        <f>Sheet1!BP297*GPMtoMGD</f>
        <v>2.8800000000000002E-3</v>
      </c>
      <c r="BC299" s="89">
        <f>Sheet1!CS297*GPMtoMGD</f>
        <v>0</v>
      </c>
      <c r="BD299" s="89">
        <f>Sheet1!BO297*GPMtoMGD</f>
        <v>1.36656</v>
      </c>
      <c r="BE299" s="89">
        <f>Sheet1!BW297*GPMtoMGD</f>
        <v>1.2097440000000002</v>
      </c>
      <c r="BF299" s="89">
        <f>Sheet1!CN297*GPMtoMGD</f>
        <v>0.40867200000000004</v>
      </c>
      <c r="BG299" s="89">
        <f>Sheet1!CO297*GPMtoMGD</f>
        <v>0.68068800000000007</v>
      </c>
      <c r="BH299" s="89">
        <f>Sheet1!CP297*GPMtoMGD</f>
        <v>0</v>
      </c>
      <c r="BI299" s="89">
        <f t="shared" si="69"/>
        <v>1.36944</v>
      </c>
      <c r="BK299" s="94">
        <f>SUM(AT299:BA299,AS299,BC299,Calculation!AQ299)</f>
        <v>49.023017849878933</v>
      </c>
      <c r="BM299" s="358">
        <f>0</f>
        <v>0</v>
      </c>
      <c r="BN299" s="358">
        <f>0</f>
        <v>0</v>
      </c>
      <c r="BP299" s="94">
        <f>SUM(BM299:BN299,W299,Sheet1!DX297)</f>
        <v>0</v>
      </c>
      <c r="BR299" s="94">
        <f>Sheet1!AA297</f>
        <v>28.1</v>
      </c>
      <c r="BS299" s="94">
        <f>Sheet1!AB297</f>
        <v>32.96</v>
      </c>
      <c r="BT299" s="94">
        <f t="shared" ca="1" si="60"/>
        <v>2.6339142006570246</v>
      </c>
      <c r="BU299" s="94">
        <f>Sheet1!AT297</f>
        <v>0</v>
      </c>
      <c r="BV299" s="89">
        <f>Sheet1!BB297</f>
        <v>0</v>
      </c>
      <c r="BW299" s="94">
        <f>Calculation!ED299</f>
        <v>13.008426150121064</v>
      </c>
      <c r="BX299" s="94">
        <f>(Sheet1!CS297*1440)/1000000</f>
        <v>0</v>
      </c>
      <c r="CA299" s="94">
        <f ca="1">Sheet1!AC297-Sheet1!BK297-Sheet1!BL297-Sheet1!BM297-Sheet1!BC297-Sheet1!BD297-Sheet1!BE297-Sheet1!BF297-Sheet1!BG297-Sheet1!BH297-Sheet1!BI297+BC299+P299</f>
        <v>50.65391420065702</v>
      </c>
      <c r="CB299" s="93">
        <f t="shared" si="61"/>
        <v>74.335784745762709</v>
      </c>
      <c r="CC299" s="94">
        <f t="shared" si="62"/>
        <v>0</v>
      </c>
      <c r="CD299" s="94">
        <f t="shared" ca="1" si="63"/>
        <v>63.662340350778081</v>
      </c>
      <c r="CE299" s="1077">
        <f t="shared" ca="1" si="64"/>
        <v>98.485640522653682</v>
      </c>
      <c r="CG299" s="1077">
        <f t="shared" ca="1" si="65"/>
        <v>50.65391420065702</v>
      </c>
    </row>
    <row r="300" spans="1:85" s="89" customFormat="1" x14ac:dyDescent="0.25">
      <c r="A300" s="616" t="s">
        <v>4</v>
      </c>
      <c r="B300" s="91">
        <v>43024</v>
      </c>
      <c r="C300" s="92">
        <v>0</v>
      </c>
      <c r="D300" s="94">
        <f>(Sheet1!BQ298-Sheet1!BQ297)*1.385</f>
        <v>-1.5235000000000021</v>
      </c>
      <c r="E300" s="30">
        <f>(Sheet1!BR298-Sheet1!BR297)*1.385</f>
        <v>-1.6620000000000039</v>
      </c>
      <c r="F300" s="30">
        <f ca="1">IF(B300=TODAY(),0,-(VLOOKUP(Sheet1!CD298,Lookup!$I$4:$J$216,2)-VLOOKUP(Sheet1!CD297,Lookup!$I$4:$J$216,2))/1000000)</f>
        <v>-0.20727387709559872</v>
      </c>
      <c r="G300" s="94">
        <f ca="1">IF(B300=TODAY(),0,-$G$6*(Sheet1!CF298-Sheet1!CF297)*7.48/1000000)</f>
        <v>-0.79427002105118594</v>
      </c>
      <c r="H300" s="94">
        <f ca="1">IF(B300=TODAY(),0,-$H$6*(Sheet1!CE298-Sheet1!CE297)*7.48/1000000)</f>
        <v>1.5039432351264204E-2</v>
      </c>
      <c r="I300" s="94">
        <f ca="1">IF(B300=TODAY(),0,-$I$6*(Sheet1!CG298-Sheet1!CG297)*7.48/1000000)</f>
        <v>-4.9417368000000024E-2</v>
      </c>
      <c r="J300" s="95" t="s">
        <v>177</v>
      </c>
      <c r="K300" s="94">
        <f ca="1">IF(B300=TODAY(),0,-$K$6*(Sheet1!CH298-Sheet1!CH297)*7.48/1000000)</f>
        <v>-7.3296524119042847E-2</v>
      </c>
      <c r="L300" s="95" t="s">
        <v>177</v>
      </c>
      <c r="M300" s="94">
        <f ca="1">IF(B300=TODAY(),0,-$M$6*(Sheet1!CI298-Sheet1!CI297)*7.48/1000000)</f>
        <v>-0.28786413484843237</v>
      </c>
      <c r="N300" s="94">
        <f ca="1">IF(B300=TODAY(),0,-$N$6*(Sheet1!CJ298-Sheet1!CJ297)*7.48/1000000)</f>
        <v>-6.2052345394623676E-2</v>
      </c>
      <c r="O300" s="94">
        <f t="shared" ca="1" si="66"/>
        <v>-1.4591348381576195</v>
      </c>
      <c r="P300" s="94">
        <f ca="1">O300+Calculation!ES300</f>
        <v>1.7265917954934249</v>
      </c>
      <c r="Q300" s="89" t="str">
        <f>IF(Sheet1!BQ298&gt;25.75,"spill elevation","-")</f>
        <v>-</v>
      </c>
      <c r="R300" s="89" t="str">
        <f>IF(Sheet1!BQ298&gt;25.75,"spill elevation","-")</f>
        <v>-</v>
      </c>
      <c r="S300" s="89" t="str">
        <f>IF(Sheet1!BR298&gt;25.75,"spill elevation","-")</f>
        <v>-</v>
      </c>
      <c r="T300" s="93">
        <f>IF(Sheet1!DU298=1,Sheet1!AA298-(SUM(AT300:BA300)+BE300),Sheet1!AA298-SUM(AT300:BA300))</f>
        <v>26.73648</v>
      </c>
      <c r="U300" s="93">
        <f>Sheet1!BV298</f>
        <v>35</v>
      </c>
      <c r="V300" s="93">
        <f t="shared" si="67"/>
        <v>-8.2635199999999998</v>
      </c>
      <c r="W300" s="93">
        <f>0</f>
        <v>0</v>
      </c>
      <c r="X300" s="89">
        <f>0</f>
        <v>0</v>
      </c>
      <c r="Y300" s="94">
        <f ca="1">Calculation!EJ301+Calculation!ES300+'Calculations II'!O300-'Calculations II'!W300</f>
        <v>50.450865650617359</v>
      </c>
      <c r="Z300" s="94">
        <f ca="1">Y300-Sheet1!CT299</f>
        <v>34.684865650617361</v>
      </c>
      <c r="AA300" s="94">
        <f ca="1">Y300+Calculation!DJ301+Calculation!AS301</f>
        <v>63.853441224982532</v>
      </c>
      <c r="AC300" s="94">
        <f>Sheet1!AA298+Sheet1!AB298+BC300</f>
        <v>61.120000000000005</v>
      </c>
      <c r="AD300" s="94">
        <f>Sheet1!AA298+Sheet1!BN298+'Calculations II'!BC300-Calculation!AS300-Calculation!DJ300</f>
        <v>34.566337772397098</v>
      </c>
      <c r="AE300" s="94">
        <f>Sheet1!AA298+Sheet1!AB298+'Calculations II'!BC300-Calculation!AS300-Calculation!DJ300</f>
        <v>47.816337772397098</v>
      </c>
      <c r="AF300" s="94">
        <f ca="1">Sheet1!AA298+Sheet1!BN298+P300+'Calculations II'!BC300+Calculation!AS300+Calculation!DJ300</f>
        <v>62.900254023096338</v>
      </c>
      <c r="AG300" s="94">
        <f ca="1">IF(B300=TODAY(),0,Sheet1!AA298+Sheet1!BN298+'Calculations II'!BC300+'Calculations II'!P300-Sheet1!CT298-BP300)</f>
        <v>33.540591795493427</v>
      </c>
      <c r="AH300" s="94">
        <f ca="1">IF(B300=TODAY(),0,Sheet1!AA298+Sheet1!BN298+'Calculations II'!BC300+'Calculations II'!P300-BP300)</f>
        <v>49.596591795493431</v>
      </c>
      <c r="AI300" s="94">
        <f ca="1">IF(B300=TODAY(),0,BC300+Sheet1!AA298+Calculation!ES300+O300+W300+Sheet1!BN298+Calculation!AS300+Calculation!DJ300-BP300)</f>
        <v>62.900254023096331</v>
      </c>
      <c r="AJ300" s="94"/>
      <c r="AM300" s="90">
        <f t="shared" si="68"/>
        <v>43024</v>
      </c>
      <c r="AN300" s="94">
        <f>Sheet1!BU298</f>
        <v>26.5</v>
      </c>
      <c r="AO300" s="94">
        <f>Sheet1!AA298</f>
        <v>28.17</v>
      </c>
      <c r="AP300" s="94">
        <f t="shared" si="57"/>
        <v>-3.185500000000006</v>
      </c>
      <c r="AQ300" s="1087">
        <f>((Sheet1!BV298-(Sheet1!BU298-AP300))/(Sheet1!BU298-AP300))</f>
        <v>0.17902679759478515</v>
      </c>
      <c r="AR300" s="94">
        <f t="shared" si="58"/>
        <v>31.355500000000006</v>
      </c>
      <c r="AS300" s="94">
        <f t="shared" si="59"/>
        <v>29.685500000000005</v>
      </c>
      <c r="AT300" s="89">
        <f>Sheet1!BB298</f>
        <v>0</v>
      </c>
      <c r="AU300" s="89">
        <f>Sheet1!AS298*GPMtoMGD</f>
        <v>3.1104000000000003E-2</v>
      </c>
      <c r="AV300" s="94">
        <f>Sheet1!AT298</f>
        <v>0</v>
      </c>
      <c r="AW300" s="89">
        <f>Sheet1!AV298*GPMtoMGD</f>
        <v>0.81014400000000009</v>
      </c>
      <c r="AX300" s="89">
        <f>Sheet1!AW298*GPMtoMGD</f>
        <v>0.59227200000000002</v>
      </c>
      <c r="AY300" s="89">
        <f>Sheet1!AX298*GPMtoMGD</f>
        <v>0</v>
      </c>
      <c r="AZ300" s="89">
        <f>Sheet1!AY298*GPMtoMGD</f>
        <v>0</v>
      </c>
      <c r="BA300" s="89">
        <f>Sheet1!AZ298*GPMtoMGD</f>
        <v>0</v>
      </c>
      <c r="BB300" s="89">
        <f>Sheet1!BP298*GPMtoMGD</f>
        <v>2.8800000000000002E-3</v>
      </c>
      <c r="BC300" s="89">
        <f>Sheet1!CS298*GPMtoMGD</f>
        <v>0</v>
      </c>
      <c r="BD300" s="89">
        <f>Sheet1!BO298*GPMtoMGD</f>
        <v>2.0558880000000004</v>
      </c>
      <c r="BE300" s="89">
        <f>Sheet1!BW298*GPMtoMGD</f>
        <v>0.94363200000000003</v>
      </c>
      <c r="BF300" s="89">
        <f>Sheet1!CN298*GPMtoMGD</f>
        <v>0.27403200000000005</v>
      </c>
      <c r="BG300" s="89">
        <f>Sheet1!CO298*GPMtoMGD</f>
        <v>0.64915200000000006</v>
      </c>
      <c r="BH300" s="89">
        <f>Sheet1!CP298*GPMtoMGD</f>
        <v>0</v>
      </c>
      <c r="BI300" s="89">
        <f t="shared" si="69"/>
        <v>2.0587680000000006</v>
      </c>
      <c r="BK300" s="94">
        <f>SUM(AT300:BA300,AS300,BC300,Calculation!AQ300)</f>
        <v>50.765357772397103</v>
      </c>
      <c r="BM300" s="358">
        <f>0</f>
        <v>0</v>
      </c>
      <c r="BN300" s="358">
        <f>0</f>
        <v>0</v>
      </c>
      <c r="BP300" s="94">
        <f>SUM(BM300:BN300,W300,Sheet1!DX298)</f>
        <v>0</v>
      </c>
      <c r="BR300" s="94">
        <f>Sheet1!AA298</f>
        <v>28.17</v>
      </c>
      <c r="BS300" s="94">
        <f>Sheet1!AB298</f>
        <v>32.950000000000003</v>
      </c>
      <c r="BT300" s="94">
        <f t="shared" ca="1" si="60"/>
        <v>1.7265917954934249</v>
      </c>
      <c r="BU300" s="94">
        <f>Sheet1!AT298</f>
        <v>0</v>
      </c>
      <c r="BV300" s="89">
        <f>Sheet1!BB298</f>
        <v>0</v>
      </c>
      <c r="BW300" s="94">
        <f>Calculation!ED300</f>
        <v>13.303662227602906</v>
      </c>
      <c r="BX300" s="94">
        <f>(Sheet1!CS298*1440)/1000000</f>
        <v>0</v>
      </c>
      <c r="CA300" s="94">
        <f ca="1">Sheet1!AC298-Sheet1!BK298-Sheet1!BL298-Sheet1!BM298-Sheet1!BC298-Sheet1!BD298-Sheet1!BE298-Sheet1!BF298-Sheet1!BG298-Sheet1!BH298-Sheet1!BI298+BC300+P300</f>
        <v>49.506591795493428</v>
      </c>
      <c r="CB300" s="93">
        <f t="shared" si="61"/>
        <v>73.971874533898301</v>
      </c>
      <c r="CC300" s="94">
        <f t="shared" si="62"/>
        <v>0</v>
      </c>
      <c r="CD300" s="94">
        <f t="shared" ca="1" si="63"/>
        <v>62.810254023096334</v>
      </c>
      <c r="CE300" s="1077">
        <f t="shared" ca="1" si="64"/>
        <v>97.167462973730025</v>
      </c>
      <c r="CG300" s="1077">
        <f t="shared" ca="1" si="65"/>
        <v>49.506591795493428</v>
      </c>
    </row>
    <row r="301" spans="1:85" s="89" customFormat="1" x14ac:dyDescent="0.25">
      <c r="A301" s="616" t="s">
        <v>5</v>
      </c>
      <c r="B301" s="91">
        <v>43025</v>
      </c>
      <c r="C301" s="92">
        <v>0</v>
      </c>
      <c r="D301" s="94">
        <f>(Sheet1!BQ299-Sheet1!BQ298)*1.385</f>
        <v>0.96949999999999903</v>
      </c>
      <c r="E301" s="30">
        <f>(Sheet1!BR299-Sheet1!BR298)*1.385</f>
        <v>1.108000000000001</v>
      </c>
      <c r="F301" s="30">
        <f ca="1">IF(B301=TODAY(),0,-(VLOOKUP(Sheet1!CD299,Lookup!$I$4:$J$216,2)-VLOOKUP(Sheet1!CD298,Lookup!$I$4:$J$216,2))/1000000)</f>
        <v>0.725458569834603</v>
      </c>
      <c r="G301" s="94">
        <f ca="1">IF(B301=TODAY(),0,-$G$6*(Sheet1!CF299-Sheet1!CF298)*7.48/1000000)</f>
        <v>0.3574215094730338</v>
      </c>
      <c r="H301" s="94">
        <f ca="1">IF(B301=TODAY(),0,-$H$6*(Sheet1!CE299-Sheet1!CE298)*7.48/1000000)</f>
        <v>-1.5039432351264204E-2</v>
      </c>
      <c r="I301" s="94">
        <f ca="1">IF(B301=TODAY(),0,-$I$6*(Sheet1!CG299-Sheet1!CG298)*7.48/1000000)</f>
        <v>4.4924880000000042E-2</v>
      </c>
      <c r="J301" s="95" t="s">
        <v>177</v>
      </c>
      <c r="K301" s="94">
        <f ca="1">IF(B301=TODAY(),0,-$K$6*(Sheet1!CH299-Sheet1!CH298)*7.48/1000000)</f>
        <v>6.6633203744584424E-2</v>
      </c>
      <c r="L301" s="95" t="s">
        <v>177</v>
      </c>
      <c r="M301" s="94">
        <f ca="1">IF(B301=TODAY(),0,-$M$6*(Sheet1!CI299-Sheet1!CI298)*7.48/1000000)</f>
        <v>0.26987262642040577</v>
      </c>
      <c r="N301" s="94">
        <f ca="1">IF(B301=TODAY(),0,-$N$6*(Sheet1!CJ299-Sheet1!CJ298)*7.48/1000000)</f>
        <v>0.37231407236774317</v>
      </c>
      <c r="O301" s="94">
        <f t="shared" ca="1" si="66"/>
        <v>1.8215854294891058</v>
      </c>
      <c r="P301" s="94">
        <f ca="1">O301+Calculation!ES301</f>
        <v>-0.2558784661618585</v>
      </c>
      <c r="Q301" s="89" t="str">
        <f>IF(Sheet1!BQ299&gt;25.75,"spill elevation","-")</f>
        <v>-</v>
      </c>
      <c r="R301" s="89" t="str">
        <f>IF(Sheet1!BQ299&gt;25.75,"spill elevation","-")</f>
        <v>-</v>
      </c>
      <c r="S301" s="89" t="str">
        <f>IF(Sheet1!BR299&gt;25.75,"spill elevation","-")</f>
        <v>-</v>
      </c>
      <c r="T301" s="93">
        <f>IF(Sheet1!DU299=1,Sheet1!AA299-(SUM(AT301:BA301)+BE301),Sheet1!AA299-SUM(AT301:BA301))</f>
        <v>27.214735999999998</v>
      </c>
      <c r="U301" s="93">
        <f>Sheet1!BV299</f>
        <v>29</v>
      </c>
      <c r="V301" s="93">
        <f t="shared" si="67"/>
        <v>-1.7852640000000015</v>
      </c>
      <c r="W301" s="93">
        <f>0</f>
        <v>0</v>
      </c>
      <c r="X301" s="89">
        <f>0</f>
        <v>0</v>
      </c>
      <c r="Y301" s="94">
        <f ca="1">Calculation!EJ302+Calculation!ES301+'Calculations II'!O301-'Calculations II'!W301</f>
        <v>47.426442722494166</v>
      </c>
      <c r="Z301" s="94">
        <f ca="1">Y301-Sheet1!CT300</f>
        <v>31.329442722494164</v>
      </c>
      <c r="AA301" s="94">
        <f ca="1">Y301+Calculation!DJ302+Calculation!AS302</f>
        <v>60.95588126574151</v>
      </c>
      <c r="AC301" s="94">
        <f>Sheet1!AA299+Sheet1!AB299+BC301</f>
        <v>61.019999999999996</v>
      </c>
      <c r="AD301" s="94">
        <f>Sheet1!AA299+Sheet1!BN299+'Calculations II'!BC301-Calculation!AS301-Calculation!DJ301</f>
        <v>34.327424425634831</v>
      </c>
      <c r="AE301" s="94">
        <f>Sheet1!AA299+Sheet1!AB299+'Calculations II'!BC301-Calculation!AS301-Calculation!DJ301</f>
        <v>47.617424425634823</v>
      </c>
      <c r="AF301" s="94">
        <f ca="1">Sheet1!AA299+Sheet1!BN299+P301+'Calculations II'!BC301+Calculation!AS301+Calculation!DJ301</f>
        <v>60.876697108203317</v>
      </c>
      <c r="AG301" s="94">
        <f ca="1">IF(B301=TODAY(),0,Sheet1!AA299+Sheet1!BN299+'Calculations II'!BC301+'Calculations II'!P301-Sheet1!CT299-BP301)</f>
        <v>31.708121533838145</v>
      </c>
      <c r="AH301" s="94">
        <f ca="1">IF(B301=TODAY(),0,Sheet1!AA299+Sheet1!BN299+'Calculations II'!BC301+'Calculations II'!P301-BP301)</f>
        <v>47.474121533838144</v>
      </c>
      <c r="AI301" s="94">
        <f ca="1">IF(B301=TODAY(),0,BC301+Sheet1!AA299+Calculation!ES301+O301+W301+Sheet1!BN299+Calculation!AS301+Calculation!DJ301-BP301)</f>
        <v>60.876697108203317</v>
      </c>
      <c r="AJ301" s="94"/>
      <c r="AM301" s="90">
        <f t="shared" si="68"/>
        <v>43025</v>
      </c>
      <c r="AN301" s="94">
        <f>Sheet1!BU299</f>
        <v>26.5</v>
      </c>
      <c r="AO301" s="94">
        <f>Sheet1!AA299</f>
        <v>28.13</v>
      </c>
      <c r="AP301" s="94">
        <f t="shared" si="57"/>
        <v>2.0775000000000001</v>
      </c>
      <c r="AQ301" s="1087">
        <f>((Sheet1!BV299-(Sheet1!BU299-AP301))/(Sheet1!BU299-AP301))</f>
        <v>0.18742962432183441</v>
      </c>
      <c r="AR301" s="94">
        <f t="shared" si="58"/>
        <v>26.052499999999998</v>
      </c>
      <c r="AS301" s="94">
        <f t="shared" si="59"/>
        <v>24.422499999999999</v>
      </c>
      <c r="AT301" s="89">
        <f>Sheet1!BB299</f>
        <v>0</v>
      </c>
      <c r="AU301" s="89">
        <f>Sheet1!AS299*GPMtoMGD</f>
        <v>1.9008000000000001E-2</v>
      </c>
      <c r="AV301" s="94">
        <f>Sheet1!AT299</f>
        <v>0</v>
      </c>
      <c r="AW301" s="89">
        <f>Sheet1!AV299*GPMtoMGD</f>
        <v>0.55123200000000006</v>
      </c>
      <c r="AX301" s="89">
        <f>Sheet1!AW299*GPMtoMGD</f>
        <v>0.345024</v>
      </c>
      <c r="AY301" s="89">
        <f>Sheet1!AX299*GPMtoMGD</f>
        <v>0</v>
      </c>
      <c r="AZ301" s="89">
        <f>Sheet1!AY299*GPMtoMGD</f>
        <v>0</v>
      </c>
      <c r="BA301" s="89">
        <f>Sheet1!AZ299*GPMtoMGD</f>
        <v>0</v>
      </c>
      <c r="BB301" s="89">
        <f>Sheet1!BP299*GPMtoMGD</f>
        <v>3.2544000000000003E-2</v>
      </c>
      <c r="BC301" s="89">
        <f>Sheet1!CS299*GPMtoMGD</f>
        <v>0</v>
      </c>
      <c r="BD301" s="89">
        <f>Sheet1!BO299*GPMtoMGD</f>
        <v>1.2974400000000001</v>
      </c>
      <c r="BE301" s="89">
        <f>Sheet1!BW299*GPMtoMGD</f>
        <v>1.1337120000000001</v>
      </c>
      <c r="BF301" s="89">
        <f>Sheet1!CN299*GPMtoMGD</f>
        <v>0.27432000000000001</v>
      </c>
      <c r="BG301" s="89">
        <f>Sheet1!CO299*GPMtoMGD</f>
        <v>0.60249600000000003</v>
      </c>
      <c r="BH301" s="89">
        <f>Sheet1!CP299*GPMtoMGD</f>
        <v>0</v>
      </c>
      <c r="BI301" s="89">
        <f t="shared" si="69"/>
        <v>1.3299840000000001</v>
      </c>
      <c r="BK301" s="94">
        <f>SUM(AT301:BA301,AS301,BC301,Calculation!AQ301)</f>
        <v>44.825188425634828</v>
      </c>
      <c r="BM301" s="358">
        <f>0</f>
        <v>0</v>
      </c>
      <c r="BN301" s="358">
        <f>0</f>
        <v>0</v>
      </c>
      <c r="BP301" s="94">
        <f>SUM(BM301:BN301,W301,Sheet1!DX299)</f>
        <v>0</v>
      </c>
      <c r="BR301" s="94">
        <f>Sheet1!AA299</f>
        <v>28.13</v>
      </c>
      <c r="BS301" s="94">
        <f>Sheet1!AB299</f>
        <v>32.89</v>
      </c>
      <c r="BT301" s="94">
        <f t="shared" ca="1" si="60"/>
        <v>-0.2558784661618585</v>
      </c>
      <c r="BU301" s="94">
        <f>Sheet1!AT299</f>
        <v>0</v>
      </c>
      <c r="BV301" s="89">
        <f>Sheet1!BB299</f>
        <v>0</v>
      </c>
      <c r="BW301" s="94">
        <f>Calculation!ED301</f>
        <v>13.402575574365175</v>
      </c>
      <c r="BX301" s="94">
        <f>(Sheet1!CS299*1440)/1000000</f>
        <v>0</v>
      </c>
      <c r="CA301" s="94">
        <f ca="1">Sheet1!AC299-Sheet1!BK299-Sheet1!BL299-Sheet1!BM299-Sheet1!BC299-Sheet1!BD299-Sheet1!BE299-Sheet1!BF299-Sheet1!BG299-Sheet1!BH299-Sheet1!BI299+BC301+P301</f>
        <v>47.284121533838132</v>
      </c>
      <c r="CB301" s="93">
        <f t="shared" si="61"/>
        <v>73.664155586457071</v>
      </c>
      <c r="CC301" s="94">
        <f t="shared" si="62"/>
        <v>0</v>
      </c>
      <c r="CD301" s="94">
        <f t="shared" ca="1" si="63"/>
        <v>60.686697108203305</v>
      </c>
      <c r="CE301" s="1077">
        <f t="shared" ca="1" si="64"/>
        <v>93.882320426390507</v>
      </c>
      <c r="CG301" s="1077">
        <f t="shared" ca="1" si="65"/>
        <v>47.284121533838132</v>
      </c>
    </row>
    <row r="302" spans="1:85" s="89" customFormat="1" x14ac:dyDescent="0.25">
      <c r="A302" s="616" t="s">
        <v>6</v>
      </c>
      <c r="B302" s="91">
        <v>43026</v>
      </c>
      <c r="C302" s="92">
        <v>0</v>
      </c>
      <c r="D302" s="94">
        <f>(Sheet1!BQ300-Sheet1!BQ299)*1.385</f>
        <v>0.13850000000000198</v>
      </c>
      <c r="E302" s="30">
        <f>(Sheet1!BR300-Sheet1!BR299)*1.385</f>
        <v>0.13850000000000198</v>
      </c>
      <c r="F302" s="30">
        <f ca="1">IF(B302=TODAY(),0,-(VLOOKUP(Sheet1!CD300,Lookup!$I$4:$J$216,2)-VLOOKUP(Sheet1!CD299,Lookup!$I$4:$J$216,2))/1000000)</f>
        <v>0.82909550838239487</v>
      </c>
      <c r="G302" s="94">
        <f ca="1">IF(B302=TODAY(),0,-$G$6*(Sheet1!CF300-Sheet1!CF299)*7.48/1000000)</f>
        <v>0.23828100631535562</v>
      </c>
      <c r="H302" s="94">
        <f ca="1">IF(B302=TODAY(),0,-$H$6*(Sheet1!CE300-Sheet1!CE299)*7.48/1000000)</f>
        <v>1.5039432351264204E-2</v>
      </c>
      <c r="I302" s="94">
        <f ca="1">IF(B302=TODAY(),0,-$I$6*(Sheet1!CG300-Sheet1!CG299)*7.48/1000000)</f>
        <v>-3.1447416000000006E-2</v>
      </c>
      <c r="J302" s="95" t="s">
        <v>177</v>
      </c>
      <c r="K302" s="94">
        <f ca="1">IF(B302=TODAY(),0,-$K$6*(Sheet1!CH300-Sheet1!CH299)*7.48/1000000)</f>
        <v>-4.6643242621209044E-2</v>
      </c>
      <c r="L302" s="95" t="s">
        <v>177</v>
      </c>
      <c r="M302" s="94">
        <f ca="1">IF(B302=TODAY(),0,-$M$6*(Sheet1!CI300-Sheet1!CI299)*7.48/1000000)</f>
        <v>-0.19790659270829777</v>
      </c>
      <c r="N302" s="94">
        <f ca="1">IF(B302=TODAY(),0,-$N$6*(Sheet1!CJ300-Sheet1!CJ299)*7.48/1000000)</f>
        <v>0.18615703618387214</v>
      </c>
      <c r="O302" s="94">
        <f t="shared" ca="1" si="66"/>
        <v>0.99257573190337989</v>
      </c>
      <c r="P302" s="94">
        <f ca="1">O302+Calculation!ES302</f>
        <v>0.71552927537198197</v>
      </c>
      <c r="Q302" s="89" t="str">
        <f>IF(Sheet1!BQ300&gt;25.75,"spill elevation","-")</f>
        <v>-</v>
      </c>
      <c r="R302" s="89" t="str">
        <f>IF(Sheet1!BQ300&gt;25.75,"spill elevation","-")</f>
        <v>-</v>
      </c>
      <c r="S302" s="89" t="str">
        <f>IF(Sheet1!BR300&gt;25.75,"spill elevation","-")</f>
        <v>-</v>
      </c>
      <c r="T302" s="93">
        <f>IF(Sheet1!DU300=1,Sheet1!AA300-(SUM(AT302:BA302)+BE302),Sheet1!AA300-SUM(AT302:BA302))</f>
        <v>26.960816000000001</v>
      </c>
      <c r="U302" s="93">
        <f>Sheet1!BV300</f>
        <v>30.4</v>
      </c>
      <c r="V302" s="93">
        <f t="shared" si="67"/>
        <v>-3.4391839999999974</v>
      </c>
      <c r="W302" s="93">
        <f>0</f>
        <v>0</v>
      </c>
      <c r="X302" s="89">
        <f>0</f>
        <v>0</v>
      </c>
      <c r="Y302" s="94">
        <f ca="1">Calculation!EJ303+Calculation!ES302+'Calculations II'!O302-'Calculations II'!W302</f>
        <v>46.016892870816946</v>
      </c>
      <c r="Z302" s="94">
        <f ca="1">Y302-Sheet1!CT301</f>
        <v>31.405892870816945</v>
      </c>
      <c r="AA302" s="94">
        <f ca="1">Y302+Calculation!DJ303+Calculation!AS303</f>
        <v>59.264679408112272</v>
      </c>
      <c r="AC302" s="94">
        <f>Sheet1!AA300+Sheet1!AB300+BC302</f>
        <v>61.18</v>
      </c>
      <c r="AD302" s="94">
        <f>Sheet1!AA300+Sheet1!BN300+'Calculations II'!BC302-Calculation!AS302-Calculation!DJ302</f>
        <v>34.150561456752655</v>
      </c>
      <c r="AE302" s="94">
        <f>Sheet1!AA300+Sheet1!AB300+'Calculations II'!BC302-Calculation!AS302-Calculation!DJ302</f>
        <v>47.650561456752655</v>
      </c>
      <c r="AF302" s="94">
        <f ca="1">Sheet1!AA300+Sheet1!BN300+P302+'Calculations II'!BC302+Calculation!AS302+Calculation!DJ302</f>
        <v>61.924967818619329</v>
      </c>
      <c r="AG302" s="94">
        <f ca="1">IF(B302=TODAY(),0,Sheet1!AA300+Sheet1!BN300+'Calculations II'!BC302+'Calculations II'!P302-Sheet1!CT300-BP302)</f>
        <v>32.298529275371983</v>
      </c>
      <c r="AH302" s="94">
        <f ca="1">IF(B302=TODAY(),0,Sheet1!AA300+Sheet1!BN300+'Calculations II'!BC302+'Calculations II'!P302-BP302)</f>
        <v>48.395529275371985</v>
      </c>
      <c r="AI302" s="94">
        <f ca="1">IF(B302=TODAY(),0,BC302+Sheet1!AA300+Calculation!ES302+O302+W302+Sheet1!BN300+Calculation!AS302+Calculation!DJ302-BP302)</f>
        <v>61.924967818619329</v>
      </c>
      <c r="AJ302" s="94"/>
      <c r="AM302" s="90">
        <f t="shared" si="68"/>
        <v>43026</v>
      </c>
      <c r="AN302" s="94">
        <f>Sheet1!BU300</f>
        <v>26</v>
      </c>
      <c r="AO302" s="94">
        <f>Sheet1!AA300</f>
        <v>28.28</v>
      </c>
      <c r="AP302" s="94">
        <f t="shared" si="57"/>
        <v>0.27700000000000397</v>
      </c>
      <c r="AQ302" s="1087">
        <f>((Sheet1!BV300-(Sheet1!BU300-AP302))/(Sheet1!BU300-AP302))</f>
        <v>0.18182171597403118</v>
      </c>
      <c r="AR302" s="94">
        <f t="shared" si="58"/>
        <v>28.002999999999997</v>
      </c>
      <c r="AS302" s="94">
        <f t="shared" si="59"/>
        <v>25.722999999999995</v>
      </c>
      <c r="AT302" s="89">
        <f>Sheet1!BB300</f>
        <v>0</v>
      </c>
      <c r="AU302" s="89">
        <f>Sheet1!AS300*GPMtoMGD</f>
        <v>3.3552000000000005E-2</v>
      </c>
      <c r="AV302" s="94">
        <f>Sheet1!AT300</f>
        <v>0</v>
      </c>
      <c r="AW302" s="89">
        <f>Sheet1!AV300*GPMtoMGD</f>
        <v>0.70200000000000007</v>
      </c>
      <c r="AX302" s="89">
        <f>Sheet1!AW300*GPMtoMGD</f>
        <v>0.58363200000000004</v>
      </c>
      <c r="AY302" s="89">
        <f>Sheet1!AX300*GPMtoMGD</f>
        <v>0</v>
      </c>
      <c r="AZ302" s="89">
        <f>Sheet1!AY300*GPMtoMGD</f>
        <v>0</v>
      </c>
      <c r="BA302" s="89">
        <f>Sheet1!AZ300*GPMtoMGD</f>
        <v>0</v>
      </c>
      <c r="BB302" s="89">
        <f>Sheet1!BP300*GPMtoMGD</f>
        <v>2.8800000000000002E-3</v>
      </c>
      <c r="BC302" s="89">
        <f>Sheet1!CS300*GPMtoMGD</f>
        <v>0</v>
      </c>
      <c r="BD302" s="89">
        <f>Sheet1!BO300*GPMtoMGD</f>
        <v>1.8734400000000002</v>
      </c>
      <c r="BE302" s="89">
        <f>Sheet1!BW300*GPMtoMGD</f>
        <v>1.1093760000000001</v>
      </c>
      <c r="BF302" s="89">
        <f>Sheet1!CN300*GPMtoMGD</f>
        <v>0.29548800000000003</v>
      </c>
      <c r="BG302" s="89">
        <f>Sheet1!CO300*GPMtoMGD</f>
        <v>0.6304320000000001</v>
      </c>
      <c r="BH302" s="89">
        <f>Sheet1!CP300*GPMtoMGD</f>
        <v>0</v>
      </c>
      <c r="BI302" s="89">
        <f t="shared" si="69"/>
        <v>1.8763200000000002</v>
      </c>
      <c r="BK302" s="94">
        <f>SUM(AT302:BA302,AS302,BC302,Calculation!AQ302)</f>
        <v>46.412745456752646</v>
      </c>
      <c r="BM302" s="358">
        <f>0</f>
        <v>0</v>
      </c>
      <c r="BN302" s="358">
        <f>0</f>
        <v>0</v>
      </c>
      <c r="BP302" s="94">
        <f>SUM(BM302:BN302,W302,Sheet1!DX300)</f>
        <v>0</v>
      </c>
      <c r="BR302" s="94">
        <f>Sheet1!AA300</f>
        <v>28.28</v>
      </c>
      <c r="BS302" s="94">
        <f>Sheet1!AB300</f>
        <v>32.9</v>
      </c>
      <c r="BT302" s="94">
        <f t="shared" ca="1" si="60"/>
        <v>0.71552927537198197</v>
      </c>
      <c r="BU302" s="94">
        <f>Sheet1!AT300</f>
        <v>0</v>
      </c>
      <c r="BV302" s="89">
        <f>Sheet1!BB300</f>
        <v>0</v>
      </c>
      <c r="BW302" s="94">
        <f>Calculation!ED302</f>
        <v>13.529438543247343</v>
      </c>
      <c r="BX302" s="94">
        <f>(Sheet1!CS300*1440)/1000000</f>
        <v>0</v>
      </c>
      <c r="CA302" s="94">
        <f ca="1">Sheet1!AC300-Sheet1!BK300-Sheet1!BL300-Sheet1!BM300-Sheet1!BC300-Sheet1!BD300-Sheet1!BE300-Sheet1!BF300-Sheet1!BG300-Sheet1!BH300-Sheet1!BI300+BC302+P302</f>
        <v>48.34552927537198</v>
      </c>
      <c r="CB302" s="93">
        <f t="shared" si="61"/>
        <v>73.715418573596352</v>
      </c>
      <c r="CC302" s="94">
        <f t="shared" si="62"/>
        <v>0</v>
      </c>
      <c r="CD302" s="94">
        <f t="shared" ca="1" si="63"/>
        <v>61.874967818619325</v>
      </c>
      <c r="CE302" s="1077">
        <f t="shared" ca="1" si="64"/>
        <v>95.720575215404097</v>
      </c>
      <c r="CG302" s="1077">
        <f t="shared" ca="1" si="65"/>
        <v>48.34552927537198</v>
      </c>
    </row>
    <row r="303" spans="1:85" s="89" customFormat="1" x14ac:dyDescent="0.25">
      <c r="A303" s="616" t="s">
        <v>7</v>
      </c>
      <c r="B303" s="91">
        <v>43027</v>
      </c>
      <c r="C303" s="92">
        <v>0</v>
      </c>
      <c r="D303" s="94">
        <f>(Sheet1!BQ301-Sheet1!BQ300)*1.385</f>
        <v>-0.27699999999999902</v>
      </c>
      <c r="E303" s="30">
        <f>(Sheet1!BR301-Sheet1!BR300)*1.385</f>
        <v>-0.27699999999999902</v>
      </c>
      <c r="F303" s="30">
        <f ca="1">IF(B303=TODAY(),0,-(VLOOKUP(Sheet1!CD301,Lookup!$I$4:$J$216,2)-VLOOKUP(Sheet1!CD300,Lookup!$I$4:$J$216,2))/1000000)</f>
        <v>-1.9691018324081953</v>
      </c>
      <c r="G303" s="94">
        <f ca="1">IF(B303=TODAY(),0,-$G$6*(Sheet1!CF301-Sheet1!CF300)*7.48/1000000)</f>
        <v>-0.63541601684094862</v>
      </c>
      <c r="H303" s="94">
        <f ca="1">IF(B303=TODAY(),0,-$H$6*(Sheet1!CE301-Sheet1!CE300)*7.48/1000000)</f>
        <v>0</v>
      </c>
      <c r="I303" s="94">
        <f ca="1">IF(B303=TODAY(),0,-$I$6*(Sheet1!CG301-Sheet1!CG300)*7.48/1000000)</f>
        <v>1.7969952000000015E-2</v>
      </c>
      <c r="J303" s="95" t="s">
        <v>177</v>
      </c>
      <c r="K303" s="94">
        <f ca="1">IF(B303=TODAY(),0,-$K$6*(Sheet1!CH301-Sheet1!CH300)*7.48/1000000)</f>
        <v>1.9989961123375255E-2</v>
      </c>
      <c r="L303" s="95" t="s">
        <v>177</v>
      </c>
      <c r="M303" s="94">
        <f ca="1">IF(B303=TODAY(),0,-$M$6*(Sheet1!CI301-Sheet1!CI300)*7.48/1000000)</f>
        <v>0.12594055899618922</v>
      </c>
      <c r="N303" s="94">
        <f ca="1">IF(B303=TODAY(),0,-$N$6*(Sheet1!CJ301-Sheet1!CJ300)*7.48/1000000)</f>
        <v>-0.80668049013011112</v>
      </c>
      <c r="O303" s="94">
        <f t="shared" ca="1" si="66"/>
        <v>-3.2472978672596904</v>
      </c>
      <c r="P303" s="94">
        <f ca="1">O303+Calculation!ES303</f>
        <v>-2.6932177723499775</v>
      </c>
      <c r="Q303" s="89" t="str">
        <f>IF(Sheet1!BQ301&gt;25.75,"spill elevation","-")</f>
        <v>-</v>
      </c>
      <c r="R303" s="89" t="str">
        <f>IF(Sheet1!BQ301&gt;25.75,"spill elevation","-")</f>
        <v>-</v>
      </c>
      <c r="S303" s="89" t="str">
        <f>IF(Sheet1!BR301&gt;25.75,"spill elevation","-")</f>
        <v>-</v>
      </c>
      <c r="T303" s="93">
        <f>IF(Sheet1!DU301=1,Sheet1!AA301-(SUM(AT303:BA303)+BE303),Sheet1!AA301-SUM(AT303:BA303))</f>
        <v>26.313552000000001</v>
      </c>
      <c r="U303" s="93">
        <f>Sheet1!BV301</f>
        <v>32.799999999999997</v>
      </c>
      <c r="V303" s="93">
        <f t="shared" si="67"/>
        <v>-6.4864479999999958</v>
      </c>
      <c r="W303" s="93">
        <f>0</f>
        <v>0</v>
      </c>
      <c r="X303" s="89">
        <f>0</f>
        <v>0</v>
      </c>
      <c r="Y303" s="94">
        <f ca="1">Calculation!EJ304+Calculation!ES303+'Calculations II'!O303-'Calculations II'!W303</f>
        <v>47.354856820200226</v>
      </c>
      <c r="Z303" s="94">
        <f ca="1">Y303-Sheet1!CT302</f>
        <v>30.530856820200224</v>
      </c>
      <c r="AA303" s="94">
        <f ca="1">Y303+Calculation!DJ304+Calculation!AS304</f>
        <v>60.50887318879677</v>
      </c>
      <c r="AC303" s="94">
        <f>Sheet1!AA301+Sheet1!AB301+BC303</f>
        <v>61.11</v>
      </c>
      <c r="AD303" s="94">
        <f>Sheet1!AA301+Sheet1!BN301+'Calculations II'!BC303-Calculation!AS303-Calculation!DJ303</f>
        <v>34.662213462704671</v>
      </c>
      <c r="AE303" s="94">
        <f>Sheet1!AA301+Sheet1!AB301+'Calculations II'!BC303-Calculation!AS303-Calculation!DJ303</f>
        <v>47.862213462704673</v>
      </c>
      <c r="AF303" s="94">
        <f ca="1">Sheet1!AA301+Sheet1!BN301+P303+'Calculations II'!BC303+Calculation!AS303+Calculation!DJ303</f>
        <v>58.464568764945348</v>
      </c>
      <c r="AG303" s="94">
        <f ca="1">IF(B303=TODAY(),0,Sheet1!AA301+Sheet1!BN301+'Calculations II'!BC303+'Calculations II'!P303-Sheet1!CT301-BP303)</f>
        <v>30.605782227650021</v>
      </c>
      <c r="AH303" s="94">
        <f ca="1">IF(B303=TODAY(),0,Sheet1!AA301+Sheet1!BN301+'Calculations II'!BC303+'Calculations II'!P303-BP303)</f>
        <v>45.216782227650022</v>
      </c>
      <c r="AI303" s="94">
        <f ca="1">IF(B303=TODAY(),0,BC303+Sheet1!AA301+Calculation!ES303+O303+W303+Sheet1!BN301+Calculation!AS303+Calculation!DJ303-BP303)</f>
        <v>58.464568764945348</v>
      </c>
      <c r="AJ303" s="94"/>
      <c r="AM303" s="90">
        <f t="shared" si="68"/>
        <v>43027</v>
      </c>
      <c r="AN303" s="94">
        <f>Sheet1!BU301</f>
        <v>27</v>
      </c>
      <c r="AO303" s="94">
        <f>Sheet1!AA301</f>
        <v>28.21</v>
      </c>
      <c r="AP303" s="94">
        <f t="shared" si="57"/>
        <v>-0.55399999999999805</v>
      </c>
      <c r="AQ303" s="1087">
        <f>((Sheet1!BV301-(Sheet1!BU301-AP303))/(Sheet1!BU301-AP303))</f>
        <v>0.19038978006822962</v>
      </c>
      <c r="AR303" s="94">
        <f t="shared" si="58"/>
        <v>28.763999999999999</v>
      </c>
      <c r="AS303" s="94">
        <f t="shared" si="59"/>
        <v>27.553999999999998</v>
      </c>
      <c r="AT303" s="89">
        <f>Sheet1!BB301</f>
        <v>0</v>
      </c>
      <c r="AU303" s="89">
        <f>Sheet1!AS301*GPMtoMGD</f>
        <v>3.7872000000000003E-2</v>
      </c>
      <c r="AV303" s="94">
        <f>Sheet1!AT301</f>
        <v>1.1200000000000001</v>
      </c>
      <c r="AW303" s="89">
        <f>Sheet1!AV301*GPMtoMGD</f>
        <v>0.37944</v>
      </c>
      <c r="AX303" s="89">
        <f>Sheet1!AW301*GPMtoMGD</f>
        <v>0.35913600000000001</v>
      </c>
      <c r="AY303" s="89">
        <f>Sheet1!AX301*GPMtoMGD</f>
        <v>0</v>
      </c>
      <c r="AZ303" s="89">
        <f>Sheet1!AY301*GPMtoMGD</f>
        <v>0</v>
      </c>
      <c r="BA303" s="89">
        <f>Sheet1!AZ301*GPMtoMGD</f>
        <v>0</v>
      </c>
      <c r="BB303" s="89">
        <f>Sheet1!BP301*GPMtoMGD</f>
        <v>2.8800000000000002E-3</v>
      </c>
      <c r="BC303" s="89">
        <f>Sheet1!CS301*GPMtoMGD</f>
        <v>0</v>
      </c>
      <c r="BD303" s="89">
        <f>Sheet1!BO301*GPMtoMGD</f>
        <v>1.4721120000000001</v>
      </c>
      <c r="BE303" s="89">
        <f>Sheet1!BW301*GPMtoMGD</f>
        <v>1.0471680000000001</v>
      </c>
      <c r="BF303" s="89">
        <f>Sheet1!CN301*GPMtoMGD</f>
        <v>0.25775999999999999</v>
      </c>
      <c r="BG303" s="89">
        <f>Sheet1!CO301*GPMtoMGD</f>
        <v>0.59486400000000006</v>
      </c>
      <c r="BH303" s="89">
        <f>Sheet1!CP301*GPMtoMGD</f>
        <v>0</v>
      </c>
      <c r="BI303" s="89">
        <f t="shared" si="69"/>
        <v>1.4749920000000001</v>
      </c>
      <c r="BK303" s="94">
        <f>SUM(AT303:BA303,AS303,BC303,Calculation!AQ303)</f>
        <v>49.10266146270466</v>
      </c>
      <c r="BM303" s="358">
        <f>0</f>
        <v>0</v>
      </c>
      <c r="BN303" s="358">
        <f>0</f>
        <v>0</v>
      </c>
      <c r="BP303" s="94">
        <f>SUM(BM303:BN303,W303,Sheet1!DX301)</f>
        <v>0</v>
      </c>
      <c r="BR303" s="94">
        <f>Sheet1!AA301</f>
        <v>28.21</v>
      </c>
      <c r="BS303" s="94">
        <f>Sheet1!AB301</f>
        <v>32.9</v>
      </c>
      <c r="BT303" s="94">
        <f t="shared" ca="1" si="60"/>
        <v>-2.6932177723499775</v>
      </c>
      <c r="BU303" s="94">
        <f>Sheet1!AT301</f>
        <v>1.1200000000000001</v>
      </c>
      <c r="BV303" s="89">
        <f>Sheet1!BB301</f>
        <v>0</v>
      </c>
      <c r="BW303" s="94">
        <f>Calculation!ED303</f>
        <v>13.247786537295328</v>
      </c>
      <c r="BX303" s="94">
        <f>(Sheet1!CS301*1440)/1000000</f>
        <v>0</v>
      </c>
      <c r="CA303" s="1080">
        <f ca="1">Sheet1!AC301-Sheet1!BK301-Sheet1!BL301-Sheet1!BM301-Sheet1!BC301-Sheet1!BD301-Sheet1!BE301-Sheet1!BF301-Sheet1!BG301-Sheet1!BH301-Sheet1!BI301+BC303+P303</f>
        <v>45.136782227650031</v>
      </c>
      <c r="CB303" s="93">
        <f t="shared" si="61"/>
        <v>74.042844226804121</v>
      </c>
      <c r="CC303" s="94">
        <f t="shared" si="62"/>
        <v>1.1200000000000001</v>
      </c>
      <c r="CD303" s="94">
        <f t="shared" ca="1" si="63"/>
        <v>58.384568764945357</v>
      </c>
      <c r="CE303" s="1077">
        <f t="shared" ca="1" si="64"/>
        <v>90.320927879370458</v>
      </c>
      <c r="CG303" s="1077">
        <f t="shared" ca="1" si="65"/>
        <v>44.016782227650033</v>
      </c>
    </row>
    <row r="304" spans="1:85" s="89" customFormat="1" x14ac:dyDescent="0.25">
      <c r="A304" s="616" t="s">
        <v>8</v>
      </c>
      <c r="B304" s="91">
        <v>43028</v>
      </c>
      <c r="C304" s="92">
        <v>0</v>
      </c>
      <c r="D304" s="94">
        <f>(Sheet1!BQ302-Sheet1!BQ301)*1.385</f>
        <v>1.4126999999999994</v>
      </c>
      <c r="E304" s="30">
        <f>(Sheet1!BR302-Sheet1!BR301)*1.385</f>
        <v>1.3988499999999973</v>
      </c>
      <c r="F304" s="30">
        <f ca="1">IF(B304=TODAY(),0,-(VLOOKUP(Sheet1!CD302,Lookup!$I$4:$J$216,2)-VLOOKUP(Sheet1!CD301,Lookup!$I$4:$J$216,2))/1000000)</f>
        <v>1.1400063240258005</v>
      </c>
      <c r="G304" s="94">
        <f ca="1">IF(B304=TODAY(),0,-$G$6*(Sheet1!CF302-Sheet1!CF301)*7.48/1000000)</f>
        <v>0.59570251578838951</v>
      </c>
      <c r="H304" s="94">
        <f ca="1">IF(B304=TODAY(),0,-$H$6*(Sheet1!CE302-Sheet1!CE301)*7.48/1000000)</f>
        <v>0</v>
      </c>
      <c r="I304" s="94">
        <f ca="1">IF(B304=TODAY(),0,-$I$6*(Sheet1!CG302-Sheet1!CG301)*7.48/1000000)</f>
        <v>-8.9849760000000074E-3</v>
      </c>
      <c r="J304" s="95" t="s">
        <v>177</v>
      </c>
      <c r="K304" s="94">
        <f ca="1">IF(B304=TODAY(),0,-$K$6*(Sheet1!CH302-Sheet1!CH301)*7.48/1000000)</f>
        <v>0</v>
      </c>
      <c r="L304" s="95" t="s">
        <v>177</v>
      </c>
      <c r="M304" s="94">
        <f ca="1">IF(B304=TODAY(),0,-$M$6*(Sheet1!CI302-Sheet1!CI301)*7.48/1000000)</f>
        <v>-8.9957542140135238E-2</v>
      </c>
      <c r="N304" s="94">
        <f ca="1">IF(B304=TODAY(),0,-$N$6*(Sheet1!CJ302-Sheet1!CJ301)*7.48/1000000)</f>
        <v>0.54606063947269079</v>
      </c>
      <c r="O304" s="94">
        <f t="shared" ca="1" si="66"/>
        <v>2.1828269611467457</v>
      </c>
      <c r="P304" s="94">
        <f ca="1">O304+Calculation!ES304</f>
        <v>-0.86524810820825415</v>
      </c>
      <c r="Q304" s="89" t="str">
        <f>IF(Sheet1!BQ302&gt;25.75,"spill elevation","-")</f>
        <v>-</v>
      </c>
      <c r="R304" s="89" t="str">
        <f>IF(Sheet1!BQ302&gt;25.75,"spill elevation","-")</f>
        <v>-</v>
      </c>
      <c r="S304" s="89" t="str">
        <f>IF(Sheet1!BR302&gt;25.75,"spill elevation","-")</f>
        <v>-</v>
      </c>
      <c r="T304" s="93">
        <f>IF(Sheet1!DU302=1,Sheet1!AA302-(SUM(AT304:BA304)+BE304),Sheet1!AA302-SUM(AT304:BA304))</f>
        <v>26.790736000000003</v>
      </c>
      <c r="U304" s="93">
        <f>Sheet1!BV302</f>
        <v>28.6</v>
      </c>
      <c r="V304" s="93">
        <f t="shared" si="67"/>
        <v>-1.8092639999999989</v>
      </c>
      <c r="W304" s="93">
        <f>0</f>
        <v>0</v>
      </c>
      <c r="X304" s="89">
        <f>0</f>
        <v>0</v>
      </c>
      <c r="Y304" s="94">
        <f ca="1">Calculation!EJ305+Calculation!ES304+'Calculations II'!O304-'Calculations II'!W304</f>
        <v>45.319762935936822</v>
      </c>
      <c r="Z304" s="94">
        <f ca="1">Y304-Sheet1!CT303</f>
        <v>29.328762935936822</v>
      </c>
      <c r="AA304" s="94">
        <f ca="1">Y304+Calculation!DJ305+Calculation!AS305</f>
        <v>57.999961551645519</v>
      </c>
      <c r="AC304" s="94">
        <f>Sheet1!AA302+Sheet1!AB302+BC304</f>
        <v>61.11</v>
      </c>
      <c r="AD304" s="94">
        <f>Sheet1!AA302+Sheet1!BN302+'Calculations II'!BC304-Calculation!AS304-Calculation!DJ304</f>
        <v>34.855983631403461</v>
      </c>
      <c r="AE304" s="94">
        <f>Sheet1!AA302+Sheet1!AB302+'Calculations II'!BC304-Calculation!AS304-Calculation!DJ304</f>
        <v>47.955983631403456</v>
      </c>
      <c r="AF304" s="94">
        <f ca="1">Sheet1!AA302+Sheet1!BN302+P304+'Calculations II'!BC304+Calculation!AS304+Calculation!DJ304</f>
        <v>60.298768260388293</v>
      </c>
      <c r="AG304" s="94">
        <f ca="1">IF(B304=TODAY(),0,Sheet1!AA302+Sheet1!BN302+'Calculations II'!BC304+'Calculations II'!P304-Sheet1!CT302-BP304)</f>
        <v>30.320751891791748</v>
      </c>
      <c r="AH304" s="94">
        <f ca="1">IF(B304=TODAY(),0,Sheet1!AA302+Sheet1!BN302+'Calculations II'!BC304+'Calculations II'!P304-BP304)</f>
        <v>47.144751891791749</v>
      </c>
      <c r="AI304" s="94">
        <f ca="1">IF(B304=TODAY(),0,BC304+Sheet1!AA302+Calculation!ES304+O304+W304+Sheet1!BN302+Calculation!AS304+Calculation!DJ304-BP304)</f>
        <v>60.298768260388286</v>
      </c>
      <c r="AJ304" s="94"/>
      <c r="AM304" s="90">
        <f t="shared" si="68"/>
        <v>43028</v>
      </c>
      <c r="AN304" s="94">
        <f>Sheet1!BU302</f>
        <v>26.7</v>
      </c>
      <c r="AO304" s="94">
        <f>Sheet1!AA302</f>
        <v>28.21</v>
      </c>
      <c r="AP304" s="94">
        <f t="shared" si="57"/>
        <v>2.8115499999999969</v>
      </c>
      <c r="AQ304" s="1087">
        <f>((Sheet1!BV302-(Sheet1!BU302-AP304))/(Sheet1!BU302-AP304))</f>
        <v>0.19723129797035799</v>
      </c>
      <c r="AR304" s="94">
        <f t="shared" si="58"/>
        <v>25.398450000000004</v>
      </c>
      <c r="AS304" s="94">
        <f t="shared" si="59"/>
        <v>23.888450000000002</v>
      </c>
      <c r="AT304" s="89">
        <f>Sheet1!BB302</f>
        <v>0</v>
      </c>
      <c r="AU304" s="89">
        <f>Sheet1!AS302*GPMtoMGD</f>
        <v>3.7007999999999999E-2</v>
      </c>
      <c r="AV304" s="94">
        <f>Sheet1!AT302</f>
        <v>0</v>
      </c>
      <c r="AW304" s="89">
        <f>Sheet1!AV302*GPMtoMGD</f>
        <v>0.84686400000000006</v>
      </c>
      <c r="AX304" s="89">
        <f>Sheet1!AW302*GPMtoMGD</f>
        <v>0.53539200000000009</v>
      </c>
      <c r="AY304" s="89">
        <f>Sheet1!AX302*GPMtoMGD</f>
        <v>0</v>
      </c>
      <c r="AZ304" s="89">
        <f>Sheet1!AY302*GPMtoMGD</f>
        <v>0</v>
      </c>
      <c r="BA304" s="89">
        <f>Sheet1!AZ302*GPMtoMGD</f>
        <v>0</v>
      </c>
      <c r="BB304" s="89">
        <f>Sheet1!BP302*GPMtoMGD</f>
        <v>2.8800000000000002E-3</v>
      </c>
      <c r="BC304" s="89">
        <f>Sheet1!CS302*GPMtoMGD</f>
        <v>0</v>
      </c>
      <c r="BD304" s="89">
        <f>Sheet1!BO302*GPMtoMGD</f>
        <v>1.7245440000000001</v>
      </c>
      <c r="BE304" s="89">
        <f>Sheet1!BW302*GPMtoMGD</f>
        <v>0.96638400000000013</v>
      </c>
      <c r="BF304" s="89">
        <f>Sheet1!CN302*GPMtoMGD</f>
        <v>0.27489600000000003</v>
      </c>
      <c r="BG304" s="89">
        <f>Sheet1!CO302*GPMtoMGD</f>
        <v>0.791856</v>
      </c>
      <c r="BH304" s="89">
        <f>Sheet1!CP302*GPMtoMGD</f>
        <v>0</v>
      </c>
      <c r="BI304" s="89">
        <f t="shared" si="69"/>
        <v>1.7274240000000001</v>
      </c>
      <c r="BK304" s="94">
        <f>SUM(AT304:BA304,AS304,BC304,Calculation!AQ304)</f>
        <v>45.053697631403459</v>
      </c>
      <c r="BM304" s="358">
        <f>0</f>
        <v>0</v>
      </c>
      <c r="BN304" s="358">
        <f>0</f>
        <v>0</v>
      </c>
      <c r="BP304" s="94">
        <f>SUM(BM304:BN304,W304,Sheet1!DX302)</f>
        <v>0</v>
      </c>
      <c r="BR304" s="94">
        <f>Sheet1!AA302</f>
        <v>28.21</v>
      </c>
      <c r="BS304" s="94">
        <f>Sheet1!AB302</f>
        <v>32.9</v>
      </c>
      <c r="BT304" s="94">
        <f t="shared" ca="1" si="60"/>
        <v>-0.86524810820825415</v>
      </c>
      <c r="BU304" s="94">
        <f>Sheet1!AT302</f>
        <v>0</v>
      </c>
      <c r="BV304" s="89">
        <f>Sheet1!BB302</f>
        <v>0</v>
      </c>
      <c r="BW304" s="94">
        <f>Calculation!ED304</f>
        <v>13.154016368596544</v>
      </c>
      <c r="BX304" s="94">
        <f>(Sheet1!CS302*1440)/1000000</f>
        <v>0</v>
      </c>
      <c r="CA304" s="1080">
        <f ca="1">Sheet1!AC302-Sheet1!BK302-Sheet1!BL302-Sheet1!BM302-Sheet1!BC302-Sheet1!BD302-Sheet1!BE302-Sheet1!BF302-Sheet1!BG302-Sheet1!BH302-Sheet1!BI302+BC304+P304</f>
        <v>47.054751891791739</v>
      </c>
      <c r="CB304" s="93">
        <f t="shared" si="61"/>
        <v>74.187906677781143</v>
      </c>
      <c r="CC304" s="94">
        <f t="shared" si="62"/>
        <v>0</v>
      </c>
      <c r="CD304" s="94">
        <f t="shared" ca="1" si="63"/>
        <v>60.208768260388283</v>
      </c>
      <c r="CE304" s="1077">
        <f t="shared" ca="1" si="64"/>
        <v>93.142964498820675</v>
      </c>
      <c r="CG304" s="1077">
        <f t="shared" ca="1" si="65"/>
        <v>47.054751891791739</v>
      </c>
    </row>
    <row r="305" spans="1:85" s="89" customFormat="1" x14ac:dyDescent="0.25">
      <c r="A305" s="616" t="s">
        <v>9</v>
      </c>
      <c r="B305" s="91">
        <v>43029</v>
      </c>
      <c r="C305" s="92">
        <v>0</v>
      </c>
      <c r="D305" s="94">
        <f>(Sheet1!BQ303-Sheet1!BQ302)*1.385</f>
        <v>-1.3850000000002164E-2</v>
      </c>
      <c r="E305" s="30">
        <f>(Sheet1!BR303-Sheet1!BR302)*1.385</f>
        <v>2.7699999999999409E-2</v>
      </c>
      <c r="F305" s="30">
        <f ca="1">IF(B305=TODAY(),0,-(VLOOKUP(Sheet1!CD303,Lookup!$I$4:$J$216,2)-VLOOKUP(Sheet1!CD302,Lookup!$I$4:$J$216,2))/1000000)</f>
        <v>-0.725458569834603</v>
      </c>
      <c r="G305" s="94">
        <f ca="1">IF(B305=TODAY(),0,-$G$6*(Sheet1!CF303-Sheet1!CF302)*7.48/1000000)</f>
        <v>-0.91341052420886415</v>
      </c>
      <c r="H305" s="94">
        <f ca="1">IF(B305=TODAY(),0,-$H$6*(Sheet1!CE303-Sheet1!CE302)*7.48/1000000)</f>
        <v>0</v>
      </c>
      <c r="I305" s="94">
        <f ca="1">IF(B305=TODAY(),0,-$I$6*(Sheet1!CG303-Sheet1!CG302)*7.48/1000000)</f>
        <v>-4.4924880000000236E-3</v>
      </c>
      <c r="J305" s="95" t="s">
        <v>177</v>
      </c>
      <c r="K305" s="94">
        <f ca="1">IF(B305=TODAY(),0,-$K$6*(Sheet1!CH303-Sheet1!CH302)*7.48/1000000)</f>
        <v>-1.3326640748916837E-2</v>
      </c>
      <c r="L305" s="95" t="s">
        <v>177</v>
      </c>
      <c r="M305" s="94">
        <f ca="1">IF(B305=TODAY(),0,-$M$6*(Sheet1!CI303-Sheet1!CI302)*7.48/1000000)</f>
        <v>3.598301685605397E-2</v>
      </c>
      <c r="N305" s="94">
        <f ca="1">IF(B305=TODAY(),0,-$N$6*(Sheet1!CJ303-Sheet1!CJ302)*7.48/1000000)</f>
        <v>-0.34749313420989419</v>
      </c>
      <c r="O305" s="94">
        <f t="shared" ca="1" si="66"/>
        <v>-1.9681983401462242</v>
      </c>
      <c r="P305" s="94">
        <f ca="1">O305+Calculation!ES305</f>
        <v>-1.9681983401462242</v>
      </c>
      <c r="Q305" s="89" t="str">
        <f>IF(Sheet1!BQ303&gt;25.75,"spill elevation","-")</f>
        <v>-</v>
      </c>
      <c r="R305" s="89" t="str">
        <f>IF(Sheet1!BQ303&gt;25.75,"spill elevation","-")</f>
        <v>-</v>
      </c>
      <c r="S305" s="89" t="str">
        <f>IF(Sheet1!BR303&gt;25.75,"spill elevation","-")</f>
        <v>-</v>
      </c>
      <c r="T305" s="93">
        <f>IF(Sheet1!DU303=1,Sheet1!AA303-(SUM(AT305:BA305)+BE305),Sheet1!AA303-SUM(AT305:BA305))</f>
        <v>27.176591999999999</v>
      </c>
      <c r="U305" s="93">
        <f>Sheet1!BV303</f>
        <v>31.8</v>
      </c>
      <c r="V305" s="93">
        <f t="shared" si="67"/>
        <v>-4.6234080000000013</v>
      </c>
      <c r="W305" s="93">
        <f>0</f>
        <v>0</v>
      </c>
      <c r="X305" s="89">
        <f>0</f>
        <v>0</v>
      </c>
      <c r="Y305" s="94">
        <f ca="1">Calculation!EJ306+Calculation!ES305+'Calculations II'!O305-'Calculations II'!W305</f>
        <v>44.958724406333303</v>
      </c>
      <c r="Z305" s="94">
        <f ca="1">Y305-Sheet1!CT304</f>
        <v>29.038724406333301</v>
      </c>
      <c r="AA305" s="94">
        <f ca="1">Y305+Calculation!DJ306+Calculation!AS306</f>
        <v>57.857276863172615</v>
      </c>
      <c r="AC305" s="94">
        <f>Sheet1!AA303+Sheet1!AB303+BC305</f>
        <v>61.21</v>
      </c>
      <c r="AD305" s="94">
        <f>Sheet1!AA303+Sheet1!BN303+'Calculations II'!BC305-Calculation!AS305-Calculation!DJ305</f>
        <v>35.929801384291302</v>
      </c>
      <c r="AE305" s="94">
        <f>Sheet1!AA303+Sheet1!AB303+'Calculations II'!BC305-Calculation!AS305-Calculation!DJ305</f>
        <v>48.529801384291304</v>
      </c>
      <c r="AF305" s="94">
        <f ca="1">Sheet1!AA303+Sheet1!BN303+P305+'Calculations II'!BC305+Calculation!AS305+Calculation!DJ305</f>
        <v>59.322000275562473</v>
      </c>
      <c r="AG305" s="94">
        <f ca="1">IF(B305=TODAY(),0,Sheet1!AA303+Sheet1!BN303+'Calculations II'!BC305+'Calculations II'!P305-Sheet1!CT303-BP305)</f>
        <v>30.650801659853776</v>
      </c>
      <c r="AH305" s="94">
        <f ca="1">IF(B305=TODAY(),0,Sheet1!AA303+Sheet1!BN303+'Calculations II'!BC305+'Calculations II'!P305-BP305)</f>
        <v>46.641801659853776</v>
      </c>
      <c r="AI305" s="94">
        <f ca="1">IF(B305=TODAY(),0,BC305+Sheet1!AA303+Calculation!ES305+O305+W305+Sheet1!BN303+Calculation!AS305+Calculation!DJ305-BP305)</f>
        <v>59.322000275562473</v>
      </c>
      <c r="AJ305" s="94"/>
      <c r="AM305" s="90">
        <f t="shared" si="68"/>
        <v>43029</v>
      </c>
      <c r="AN305" s="94">
        <f>Sheet1!BU303</f>
        <v>26.8</v>
      </c>
      <c r="AO305" s="94">
        <f>Sheet1!AA303</f>
        <v>28.11</v>
      </c>
      <c r="AP305" s="94">
        <f t="shared" si="57"/>
        <v>1.3849999999997245E-2</v>
      </c>
      <c r="AQ305" s="1087">
        <f>((Sheet1!BV303-(Sheet1!BU303-AP305))/(Sheet1!BU303-AP305))</f>
        <v>0.18718068852746653</v>
      </c>
      <c r="AR305" s="94">
        <f t="shared" si="58"/>
        <v>28.096150000000002</v>
      </c>
      <c r="AS305" s="94">
        <f t="shared" si="59"/>
        <v>26.786150000000003</v>
      </c>
      <c r="AT305" s="89">
        <f>Sheet1!BB303</f>
        <v>0</v>
      </c>
      <c r="AU305" s="89">
        <f>Sheet1!AS303*GPMtoMGD</f>
        <v>4.1472000000000002E-2</v>
      </c>
      <c r="AV305" s="94">
        <f>Sheet1!AT303</f>
        <v>0</v>
      </c>
      <c r="AW305" s="89">
        <f>Sheet1!AV303*GPMtoMGD</f>
        <v>0.47721599999999997</v>
      </c>
      <c r="AX305" s="89">
        <f>Sheet1!AW303*GPMtoMGD</f>
        <v>0.41472000000000003</v>
      </c>
      <c r="AY305" s="89">
        <f>Sheet1!AX303*GPMtoMGD</f>
        <v>0</v>
      </c>
      <c r="AZ305" s="89">
        <f>Sheet1!AY303*GPMtoMGD</f>
        <v>0</v>
      </c>
      <c r="BA305" s="89">
        <f>Sheet1!AZ303*GPMtoMGD</f>
        <v>0</v>
      </c>
      <c r="BB305" s="89">
        <f>Sheet1!BP303*GPMtoMGD</f>
        <v>3.0240000000000002E-3</v>
      </c>
      <c r="BC305" s="89">
        <f>Sheet1!CS303*GPMtoMGD</f>
        <v>0</v>
      </c>
      <c r="BD305" s="89">
        <f>Sheet1!BO303*GPMtoMGD</f>
        <v>1.6528320000000001</v>
      </c>
      <c r="BE305" s="89">
        <f>Sheet1!BW303*GPMtoMGD</f>
        <v>1.1462400000000001</v>
      </c>
      <c r="BF305" s="89">
        <f>Sheet1!CN303*GPMtoMGD</f>
        <v>0.33552000000000004</v>
      </c>
      <c r="BG305" s="89">
        <f>Sheet1!CO303*GPMtoMGD</f>
        <v>0.63201600000000002</v>
      </c>
      <c r="BH305" s="89">
        <f>Sheet1!CP303*GPMtoMGD</f>
        <v>0</v>
      </c>
      <c r="BI305" s="89">
        <f t="shared" si="69"/>
        <v>1.655856</v>
      </c>
      <c r="BK305" s="94">
        <f>SUM(AT305:BA305,AS305,BC305,Calculation!AQ305)</f>
        <v>48.139359384291303</v>
      </c>
      <c r="BM305" s="358">
        <f>0</f>
        <v>0</v>
      </c>
      <c r="BN305" s="358">
        <f>0</f>
        <v>0</v>
      </c>
      <c r="BP305" s="94">
        <f>SUM(BM305:BN305,W305,Sheet1!DX303)</f>
        <v>0</v>
      </c>
      <c r="BR305" s="94">
        <f>Sheet1!AA303</f>
        <v>28.11</v>
      </c>
      <c r="BS305" s="94">
        <f>Sheet1!AB303</f>
        <v>33.1</v>
      </c>
      <c r="BT305" s="94">
        <f t="shared" ca="1" si="60"/>
        <v>-1.9681983401462242</v>
      </c>
      <c r="BU305" s="94">
        <f>Sheet1!AT303</f>
        <v>0</v>
      </c>
      <c r="BV305" s="89">
        <f>Sheet1!BB303</f>
        <v>0</v>
      </c>
      <c r="BW305" s="94">
        <f>Calculation!ED305</f>
        <v>12.680198615708697</v>
      </c>
      <c r="BX305" s="94">
        <f>(Sheet1!CS303*1440)/1000000</f>
        <v>0</v>
      </c>
      <c r="CA305" s="1080">
        <f ca="1">Sheet1!AC303-Sheet1!BK303-Sheet1!BL303-Sheet1!BM303-Sheet1!BC303-Sheet1!BD303-Sheet1!BE303-Sheet1!BF303-Sheet1!BG303-Sheet1!BH303-Sheet1!BI303+BC305+P305</f>
        <v>46.511801659853774</v>
      </c>
      <c r="CB305" s="93">
        <f t="shared" si="61"/>
        <v>75.075602741498642</v>
      </c>
      <c r="CC305" s="94">
        <f t="shared" si="62"/>
        <v>0</v>
      </c>
      <c r="CD305" s="94">
        <f t="shared" ca="1" si="63"/>
        <v>59.192000275562471</v>
      </c>
      <c r="CE305" s="1077">
        <f t="shared" ca="1" si="64"/>
        <v>91.570024426295134</v>
      </c>
      <c r="CG305" s="1077">
        <f t="shared" ca="1" si="65"/>
        <v>46.511801659853774</v>
      </c>
    </row>
    <row r="306" spans="1:85" s="89" customFormat="1" x14ac:dyDescent="0.25">
      <c r="A306" s="616" t="s">
        <v>3</v>
      </c>
      <c r="B306" s="91">
        <v>43030</v>
      </c>
      <c r="C306" s="92">
        <v>0</v>
      </c>
      <c r="D306" s="94">
        <f>(Sheet1!BQ304-Sheet1!BQ303)*1.385</f>
        <v>5.5400000000003738E-2</v>
      </c>
      <c r="E306" s="30">
        <f>(Sheet1!BR304-Sheet1!BR303)*1.385</f>
        <v>-1.3849999999997245E-2</v>
      </c>
      <c r="F306" s="30">
        <f ca="1">IF(B306=TODAY(),0,-(VLOOKUP(Sheet1!CD304,Lookup!$I$4:$J$216,2)-VLOOKUP(Sheet1!CD303,Lookup!$I$4:$J$216,2))/1000000)</f>
        <v>1.1400063240258005</v>
      </c>
      <c r="G306" s="94">
        <f ca="1">IF(B306=TODAY(),0,-$G$6*(Sheet1!CF304-Sheet1!CF303)*7.48/1000000)</f>
        <v>0.43684851157815213</v>
      </c>
      <c r="H306" s="94">
        <f ca="1">IF(B306=TODAY(),0,-$H$6*(Sheet1!CE304-Sheet1!CE303)*7.48/1000000)</f>
        <v>0</v>
      </c>
      <c r="I306" s="94">
        <f ca="1">IF(B306=TODAY(),0,-$I$6*(Sheet1!CG304-Sheet1!CG303)*7.48/1000000)</f>
        <v>8.9849760000000074E-3</v>
      </c>
      <c r="J306" s="95" t="s">
        <v>177</v>
      </c>
      <c r="K306" s="94">
        <f ca="1">IF(B306=TODAY(),0,-$K$6*(Sheet1!CH304-Sheet1!CH303)*7.48/1000000)</f>
        <v>1.9989961123375376E-2</v>
      </c>
      <c r="L306" s="95" t="s">
        <v>177</v>
      </c>
      <c r="M306" s="94">
        <f ca="1">IF(B306=TODAY(),0,-$M$6*(Sheet1!CI304-Sheet1!CI303)*7.48/1000000)</f>
        <v>0</v>
      </c>
      <c r="N306" s="94">
        <f ca="1">IF(B306=TODAY(),0,-$N$6*(Sheet1!CJ304-Sheet1!CJ303)*7.48/1000000)</f>
        <v>0.32887743059150737</v>
      </c>
      <c r="O306" s="94">
        <f t="shared" ca="1" si="66"/>
        <v>1.9347072033188355</v>
      </c>
      <c r="P306" s="94">
        <f ca="1">O306+Calculation!ES306</f>
        <v>1.9347072033188355</v>
      </c>
      <c r="Q306" s="89" t="str">
        <f>IF(Sheet1!BQ304&gt;25.75,"spill elevation","-")</f>
        <v>-</v>
      </c>
      <c r="R306" s="89" t="str">
        <f>IF(Sheet1!BQ304&gt;25.75,"spill elevation","-")</f>
        <v>-</v>
      </c>
      <c r="S306" s="89" t="str">
        <f>IF(Sheet1!BR304&gt;25.75,"spill elevation","-")</f>
        <v>-</v>
      </c>
      <c r="T306" s="93">
        <f>IF(Sheet1!DU304=1,Sheet1!AA304-(SUM(AT306:BA306)+BE306),Sheet1!AA304-SUM(AT306:BA306))</f>
        <v>26.679231999999999</v>
      </c>
      <c r="U306" s="93">
        <f>Sheet1!BV304</f>
        <v>31.7</v>
      </c>
      <c r="V306" s="93">
        <f t="shared" si="67"/>
        <v>-5.0207680000000003</v>
      </c>
      <c r="W306" s="93">
        <f>0</f>
        <v>0</v>
      </c>
      <c r="X306" s="89">
        <f>0</f>
        <v>0</v>
      </c>
      <c r="Y306" s="94">
        <f ca="1">Calculation!EJ307+Calculation!ES306+'Calculations II'!O306-'Calculations II'!W306</f>
        <v>43.281269649929357</v>
      </c>
      <c r="Z306" s="94">
        <f ca="1">Y306-Sheet1!CT305</f>
        <v>28.396269649929359</v>
      </c>
      <c r="AA306" s="94">
        <f ca="1">Y306+Calculation!DJ307+Calculation!AS307</f>
        <v>56.038760424837108</v>
      </c>
      <c r="AC306" s="94">
        <f>Sheet1!AA304+Sheet1!AB304+BC306</f>
        <v>58.07</v>
      </c>
      <c r="AD306" s="94">
        <f>Sheet1!AA304+Sheet1!BN304+'Calculations II'!BC306-Calculation!AS306-Calculation!DJ306</f>
        <v>32.301447543160691</v>
      </c>
      <c r="AE306" s="94">
        <f>Sheet1!AA304+Sheet1!AB304+'Calculations II'!BC306-Calculation!AS306-Calculation!DJ306</f>
        <v>45.171447543160696</v>
      </c>
      <c r="AF306" s="94">
        <f ca="1">Sheet1!AA304+Sheet1!BN304+P306+'Calculations II'!BC306+Calculation!AS306+Calculation!DJ306</f>
        <v>60.033259660158151</v>
      </c>
      <c r="AG306" s="94">
        <f ca="1">IF(B306=TODAY(),0,Sheet1!AA304+Sheet1!BN304+'Calculations II'!BC306+'Calculations II'!P306-Sheet1!CT304-BP306)</f>
        <v>31.214707203318838</v>
      </c>
      <c r="AH306" s="94">
        <f ca="1">IF(B306=TODAY(),0,Sheet1!AA304+Sheet1!BN304+'Calculations II'!BC306+'Calculations II'!P306-BP306)</f>
        <v>47.13470720331884</v>
      </c>
      <c r="AI306" s="94">
        <f ca="1">IF(B306=TODAY(),0,BC306+Sheet1!AA304+Calculation!ES306+O306+W306+Sheet1!BN304+Calculation!AS306+Calculation!DJ306-BP306)</f>
        <v>60.033259660158151</v>
      </c>
      <c r="AJ306" s="94"/>
      <c r="AM306" s="90">
        <f t="shared" si="68"/>
        <v>43030</v>
      </c>
      <c r="AN306" s="94">
        <f>Sheet1!BU304</f>
        <v>26.5</v>
      </c>
      <c r="AO306" s="94">
        <f>Sheet1!AA304</f>
        <v>28</v>
      </c>
      <c r="AP306" s="94">
        <f t="shared" si="57"/>
        <v>4.1550000000006491E-2</v>
      </c>
      <c r="AQ306" s="1087">
        <f>((Sheet1!BV304-(Sheet1!BU304-AP306))/(Sheet1!BU304-AP306))</f>
        <v>0.19810495323800181</v>
      </c>
      <c r="AR306" s="94">
        <f t="shared" si="58"/>
        <v>27.958449999999992</v>
      </c>
      <c r="AS306" s="94">
        <f t="shared" si="59"/>
        <v>26.458449999999992</v>
      </c>
      <c r="AT306" s="89">
        <f>Sheet1!BB304</f>
        <v>0</v>
      </c>
      <c r="AU306" s="89">
        <f>Sheet1!AS304*GPMtoMGD</f>
        <v>4.0607999999999998E-2</v>
      </c>
      <c r="AV306" s="94">
        <f>Sheet1!AT304</f>
        <v>0</v>
      </c>
      <c r="AW306" s="89">
        <f>Sheet1!AV304*GPMtoMGD</f>
        <v>0.72979200000000011</v>
      </c>
      <c r="AX306" s="89">
        <f>Sheet1!AW304*GPMtoMGD</f>
        <v>0.55036799999999997</v>
      </c>
      <c r="AY306" s="89">
        <f>Sheet1!AX304*GPMtoMGD</f>
        <v>0</v>
      </c>
      <c r="AZ306" s="89">
        <f>Sheet1!AY304*GPMtoMGD</f>
        <v>0</v>
      </c>
      <c r="BA306" s="89">
        <f>Sheet1!AZ304*GPMtoMGD</f>
        <v>0</v>
      </c>
      <c r="BB306" s="89">
        <f>Sheet1!BP304*GPMtoMGD</f>
        <v>2.8800000000000002E-3</v>
      </c>
      <c r="BC306" s="89">
        <f>Sheet1!CS304*GPMtoMGD</f>
        <v>0</v>
      </c>
      <c r="BD306" s="89">
        <f>Sheet1!BO304*GPMtoMGD</f>
        <v>1.7501760000000002</v>
      </c>
      <c r="BE306" s="89">
        <f>Sheet1!BW304*GPMtoMGD</f>
        <v>0.89841599999999999</v>
      </c>
      <c r="BF306" s="89">
        <f>Sheet1!CN304*GPMtoMGD</f>
        <v>0.39196799999999998</v>
      </c>
      <c r="BG306" s="89">
        <f>Sheet1!CO304*GPMtoMGD</f>
        <v>0.65649599999999997</v>
      </c>
      <c r="BH306" s="89">
        <f>Sheet1!CP304*GPMtoMGD</f>
        <v>0</v>
      </c>
      <c r="BI306" s="89">
        <f t="shared" si="69"/>
        <v>1.7530560000000002</v>
      </c>
      <c r="BK306" s="94">
        <f>SUM(AT306:BA306,AS306,BC306,Calculation!AQ306)</f>
        <v>44.950665543160682</v>
      </c>
      <c r="BM306" s="358">
        <f>0</f>
        <v>0</v>
      </c>
      <c r="BN306" s="358">
        <f>0</f>
        <v>0</v>
      </c>
      <c r="BP306" s="94">
        <f>SUM(BM306:BN306,W306,Sheet1!DX304)</f>
        <v>0</v>
      </c>
      <c r="BR306" s="94">
        <f>Sheet1!AA304</f>
        <v>28</v>
      </c>
      <c r="BS306" s="94">
        <f>Sheet1!AB304</f>
        <v>30.07</v>
      </c>
      <c r="BT306" s="94">
        <f t="shared" ca="1" si="60"/>
        <v>1.9347072033188355</v>
      </c>
      <c r="BU306" s="94">
        <f>Sheet1!AT304</f>
        <v>0</v>
      </c>
      <c r="BV306" s="89">
        <f>Sheet1!BB304</f>
        <v>0</v>
      </c>
      <c r="BW306" s="94">
        <f>Calculation!ED306</f>
        <v>12.89855245683931</v>
      </c>
      <c r="BX306" s="94">
        <f>(Sheet1!CS304*1440)/1000000</f>
        <v>0</v>
      </c>
      <c r="CA306" s="1080">
        <f ca="1">Sheet1!AC304-Sheet1!BK304-Sheet1!BL304-Sheet1!BM304-Sheet1!BC304-Sheet1!BD304-Sheet1!BE304-Sheet1!BF304-Sheet1!BG304-Sheet1!BH304-Sheet1!BI304+BC306+P306</f>
        <v>47.084707203318828</v>
      </c>
      <c r="CB306" s="93">
        <f t="shared" si="61"/>
        <v>69.880229349269584</v>
      </c>
      <c r="CC306" s="94">
        <f t="shared" si="62"/>
        <v>0</v>
      </c>
      <c r="CD306" s="94">
        <f t="shared" ca="1" si="63"/>
        <v>59.98325966015814</v>
      </c>
      <c r="CE306" s="1077">
        <f t="shared" ca="1" si="64"/>
        <v>92.794102694264637</v>
      </c>
      <c r="CG306" s="1077">
        <f t="shared" ca="1" si="65"/>
        <v>47.084707203318828</v>
      </c>
    </row>
    <row r="307" spans="1:85" s="89" customFormat="1" x14ac:dyDescent="0.25">
      <c r="A307" s="616" t="s">
        <v>4</v>
      </c>
      <c r="B307" s="91">
        <v>43031</v>
      </c>
      <c r="C307" s="92">
        <v>0</v>
      </c>
      <c r="D307" s="94">
        <f>(Sheet1!BQ305-Sheet1!BQ304)*1.385</f>
        <v>-2.4930000000000012</v>
      </c>
      <c r="E307" s="30">
        <f>(Sheet1!BR305-Sheet1!BR304)*1.385</f>
        <v>-2.4514499999999995</v>
      </c>
      <c r="F307" s="30">
        <f ca="1">IF(B307=TODAY(),0,-(VLOOKUP(Sheet1!CD305,Lookup!$I$4:$J$216,2)-VLOOKUP(Sheet1!CD304,Lookup!$I$4:$J$216,2))/1000000)</f>
        <v>-0.41454775419119744</v>
      </c>
      <c r="G307" s="94">
        <f ca="1">IF(B307=TODAY(),0,-$G$6*(Sheet1!CF305-Sheet1!CF304)*7.48/1000000)</f>
        <v>0.3574215094730338</v>
      </c>
      <c r="H307" s="94">
        <f ca="1">IF(B307=TODAY(),0,-$H$6*(Sheet1!CE305-Sheet1!CE304)*7.48/1000000)</f>
        <v>1.5039432351265274E-2</v>
      </c>
      <c r="I307" s="94">
        <f ca="1">IF(B307=TODAY(),0,-$I$6*(Sheet1!CG305-Sheet1!CG304)*7.48/1000000)</f>
        <v>-4.4924879999999959E-2</v>
      </c>
      <c r="J307" s="95" t="s">
        <v>177</v>
      </c>
      <c r="K307" s="94">
        <f ca="1">IF(B307=TODAY(),0,-$K$6*(Sheet1!CH305-Sheet1!CH304)*7.48/1000000)</f>
        <v>-8.6623164867959804E-2</v>
      </c>
      <c r="L307" s="95" t="s">
        <v>177</v>
      </c>
      <c r="M307" s="94">
        <f ca="1">IF(B307=TODAY(),0,-$M$6*(Sheet1!CI305-Sheet1!CI304)*7.48/1000000)</f>
        <v>-0.16192357585224318</v>
      </c>
      <c r="N307" s="94">
        <f ca="1">IF(B307=TODAY(),0,-$N$6*(Sheet1!CJ305-Sheet1!CJ304)*7.48/1000000)</f>
        <v>-6.2052345394624786E-2</v>
      </c>
      <c r="O307" s="94">
        <f t="shared" ca="1" si="66"/>
        <v>-0.3976107784817261</v>
      </c>
      <c r="P307" s="94">
        <f ca="1">O307+Calculation!ES307</f>
        <v>4.5893408760655179</v>
      </c>
      <c r="Q307" s="89" t="str">
        <f>IF(Sheet1!BQ305&gt;25.75,"spill elevation","-")</f>
        <v>-</v>
      </c>
      <c r="R307" s="89" t="str">
        <f>IF(Sheet1!BQ305&gt;25.75,"spill elevation","-")</f>
        <v>-</v>
      </c>
      <c r="S307" s="89" t="str">
        <f>IF(Sheet1!BR305&gt;25.75,"spill elevation","-")</f>
        <v>-</v>
      </c>
      <c r="T307" s="93">
        <f>IF(Sheet1!DU305=1,Sheet1!AA305-(SUM(AT307:BA307)+BE307),Sheet1!AA305-SUM(AT307:BA307))</f>
        <v>26.908335999999998</v>
      </c>
      <c r="U307" s="93">
        <f>Sheet1!BV305</f>
        <v>37.1</v>
      </c>
      <c r="V307" s="93">
        <f t="shared" si="67"/>
        <v>-10.191664000000003</v>
      </c>
      <c r="W307" s="93">
        <f>0</f>
        <v>0</v>
      </c>
      <c r="X307" s="89">
        <f>0</f>
        <v>0</v>
      </c>
      <c r="Y307" s="94">
        <f ca="1">Calculation!EJ308+Calculation!ES307+'Calculations II'!O307-'Calculations II'!W307</f>
        <v>48.219000438096195</v>
      </c>
      <c r="Z307" s="94">
        <f ca="1">Y307-Sheet1!CT306</f>
        <v>33.770000438096197</v>
      </c>
      <c r="AA307" s="94">
        <f ca="1">Y307+Calculation!DJ308+Calculation!AS308</f>
        <v>61.102370726344532</v>
      </c>
      <c r="AC307" s="94">
        <f>Sheet1!AA305+Sheet1!AB305+BC307</f>
        <v>55.010000000000005</v>
      </c>
      <c r="AD307" s="94">
        <f>Sheet1!AA305+Sheet1!BN305+'Calculations II'!BC307-Calculation!AS307-Calculation!DJ307</f>
        <v>29.542509225092246</v>
      </c>
      <c r="AE307" s="94">
        <f>Sheet1!AA305+Sheet1!AB305+'Calculations II'!BC307-Calculation!AS307-Calculation!DJ307</f>
        <v>42.252509225092254</v>
      </c>
      <c r="AF307" s="94">
        <f ca="1">Sheet1!AA305+Sheet1!BN305+P307+'Calculations II'!BC307+Calculation!AS307+Calculation!DJ307</f>
        <v>59.646831650973269</v>
      </c>
      <c r="AG307" s="94">
        <f ca="1">IF(B307=TODAY(),0,Sheet1!AA305+Sheet1!BN305+'Calculations II'!BC307+'Calculations II'!P307-Sheet1!CT305-BP307)</f>
        <v>32.00434087606552</v>
      </c>
      <c r="AH307" s="94">
        <f ca="1">IF(B307=TODAY(),0,Sheet1!AA305+Sheet1!BN305+'Calculations II'!BC307+'Calculations II'!P307-BP307)</f>
        <v>46.889340876065518</v>
      </c>
      <c r="AI307" s="94">
        <f ca="1">IF(B307=TODAY(),0,BC307+Sheet1!AA305+Calculation!ES307+O307+W307+Sheet1!BN305+Calculation!AS307+Calculation!DJ307-BP307)</f>
        <v>59.646831650973269</v>
      </c>
      <c r="AJ307" s="94"/>
      <c r="AM307" s="90">
        <f t="shared" si="68"/>
        <v>43031</v>
      </c>
      <c r="AN307" s="94">
        <f>Sheet1!BU305</f>
        <v>26.4</v>
      </c>
      <c r="AO307" s="94">
        <f>Sheet1!AA305</f>
        <v>28</v>
      </c>
      <c r="AP307" s="94">
        <f t="shared" si="57"/>
        <v>-4.9444500000000007</v>
      </c>
      <c r="AQ307" s="1087">
        <f>((Sheet1!BV305-(Sheet1!BU305-AP307))/(Sheet1!BU305-AP307))</f>
        <v>0.18362261899634555</v>
      </c>
      <c r="AR307" s="94">
        <f t="shared" si="58"/>
        <v>32.944450000000003</v>
      </c>
      <c r="AS307" s="94">
        <f t="shared" si="59"/>
        <v>31.344449999999998</v>
      </c>
      <c r="AT307" s="89">
        <f>Sheet1!BB305</f>
        <v>0</v>
      </c>
      <c r="AU307" s="89">
        <f>Sheet1!AS305*GPMtoMGD</f>
        <v>1.6560000000000002E-2</v>
      </c>
      <c r="AV307" s="94">
        <f>Sheet1!AT305</f>
        <v>0</v>
      </c>
      <c r="AW307" s="89">
        <f>Sheet1!AV305*GPMtoMGD</f>
        <v>0.61128000000000005</v>
      </c>
      <c r="AX307" s="89">
        <f>Sheet1!AW305*GPMtoMGD</f>
        <v>0.46382400000000007</v>
      </c>
      <c r="AY307" s="89">
        <f>Sheet1!AX305*GPMtoMGD</f>
        <v>0</v>
      </c>
      <c r="AZ307" s="89">
        <f>Sheet1!AY305*GPMtoMGD</f>
        <v>0</v>
      </c>
      <c r="BA307" s="89">
        <f>Sheet1!AZ305*GPMtoMGD</f>
        <v>0</v>
      </c>
      <c r="BB307" s="89">
        <f>Sheet1!BP305*GPMtoMGD</f>
        <v>2.8800000000000002E-3</v>
      </c>
      <c r="BC307" s="89">
        <f>Sheet1!CS305*GPMtoMGD</f>
        <v>0</v>
      </c>
      <c r="BD307" s="89">
        <f>Sheet1!BO305*GPMtoMGD</f>
        <v>1.868112</v>
      </c>
      <c r="BE307" s="89">
        <f>Sheet1!BW305*GPMtoMGD</f>
        <v>1.1201760000000001</v>
      </c>
      <c r="BF307" s="89">
        <f>Sheet1!CN305*GPMtoMGD</f>
        <v>0.30297600000000002</v>
      </c>
      <c r="BG307" s="89">
        <f>Sheet1!CO305*GPMtoMGD</f>
        <v>0.616896</v>
      </c>
      <c r="BH307" s="89">
        <f>Sheet1!CP305*GPMtoMGD</f>
        <v>0</v>
      </c>
      <c r="BI307" s="89">
        <f t="shared" si="69"/>
        <v>1.870992</v>
      </c>
      <c r="BK307" s="94">
        <f>SUM(AT307:BA307,AS307,BC307,Calculation!AQ307)</f>
        <v>46.68862322509225</v>
      </c>
      <c r="BM307" s="358">
        <f>0</f>
        <v>0</v>
      </c>
      <c r="BN307" s="358">
        <f>0</f>
        <v>0</v>
      </c>
      <c r="BP307" s="94">
        <f>SUM(BM307:BN307,W307,Sheet1!DX305)</f>
        <v>0</v>
      </c>
      <c r="BR307" s="94">
        <f>Sheet1!AA305</f>
        <v>28</v>
      </c>
      <c r="BS307" s="94">
        <f>Sheet1!AB305</f>
        <v>27.01</v>
      </c>
      <c r="BT307" s="94">
        <f t="shared" ca="1" si="60"/>
        <v>4.5893408760655179</v>
      </c>
      <c r="BU307" s="94">
        <f>Sheet1!AT305</f>
        <v>0</v>
      </c>
      <c r="BV307" s="89">
        <f>Sheet1!BB305</f>
        <v>0</v>
      </c>
      <c r="BW307" s="94">
        <f>Calculation!ED307</f>
        <v>12.757490774907751</v>
      </c>
      <c r="BX307" s="94">
        <f>(Sheet1!CS305*1440)/1000000</f>
        <v>0</v>
      </c>
      <c r="CA307" s="1080">
        <f ca="1">Sheet1!AC305-Sheet1!BK305-Sheet1!BL305-Sheet1!BM305-Sheet1!BC305-Sheet1!BD305-Sheet1!BE305-Sheet1!BF305-Sheet1!BG305-Sheet1!BH305-Sheet1!BI305+BC307+P307</f>
        <v>46.799340876065529</v>
      </c>
      <c r="CB307" s="93">
        <f t="shared" si="61"/>
        <v>65.364631771217717</v>
      </c>
      <c r="CC307" s="94">
        <f t="shared" si="62"/>
        <v>0</v>
      </c>
      <c r="CD307" s="94">
        <f t="shared" ca="1" si="63"/>
        <v>59.55683165097328</v>
      </c>
      <c r="CE307" s="1077">
        <f t="shared" ca="1" si="64"/>
        <v>92.134418564055665</v>
      </c>
      <c r="CG307" s="1077">
        <f t="shared" ca="1" si="65"/>
        <v>46.799340876065529</v>
      </c>
    </row>
    <row r="308" spans="1:85" s="89" customFormat="1" x14ac:dyDescent="0.25">
      <c r="A308" s="616" t="s">
        <v>5</v>
      </c>
      <c r="B308" s="91">
        <v>43032</v>
      </c>
      <c r="C308" s="92">
        <v>0</v>
      </c>
      <c r="D308" s="94">
        <f>(Sheet1!BQ306-Sheet1!BQ305)*1.385</f>
        <v>-1.4126999999999994</v>
      </c>
      <c r="E308" s="30">
        <f>(Sheet1!BR306-Sheet1!BR305)*1.385</f>
        <v>-1.3019000000000018</v>
      </c>
      <c r="F308" s="30">
        <f ca="1">IF(B308=TODAY(),0,-(VLOOKUP(Sheet1!CD306,Lookup!$I$4:$J$216,2)-VLOOKUP(Sheet1!CD305,Lookup!$I$4:$J$216,2))/1000000)</f>
        <v>-0.20727387709560618</v>
      </c>
      <c r="G308" s="94">
        <f ca="1">IF(B308=TODAY(),0,-$G$6*(Sheet1!CF306-Sheet1!CF305)*7.48/1000000)</f>
        <v>-0.83398352210374516</v>
      </c>
      <c r="H308" s="94">
        <f ca="1">IF(B308=TODAY(),0,-$H$6*(Sheet1!CE306-Sheet1!CE305)*7.48/1000000)</f>
        <v>-3.0078864702529479E-2</v>
      </c>
      <c r="I308" s="94">
        <f ca="1">IF(B308=TODAY(),0,-$I$6*(Sheet1!CG306-Sheet1!CG305)*7.48/1000000)</f>
        <v>8.0864783999999953E-2</v>
      </c>
      <c r="J308" s="95" t="s">
        <v>177</v>
      </c>
      <c r="K308" s="94">
        <f ca="1">IF(B308=TODAY(),0,-$K$6*(Sheet1!CH306-Sheet1!CH305)*7.48/1000000)</f>
        <v>0.13992972786362726</v>
      </c>
      <c r="L308" s="95" t="s">
        <v>177</v>
      </c>
      <c r="M308" s="94">
        <f ca="1">IF(B308=TODAY(),0,-$M$6*(Sheet1!CI306-Sheet1!CI305)*7.48/1000000)</f>
        <v>0.37782167698856822</v>
      </c>
      <c r="N308" s="94">
        <f ca="1">IF(B308=TODAY(),0,-$N$6*(Sheet1!CJ306-Sheet1!CJ305)*7.48/1000000)</f>
        <v>0.13030992532871072</v>
      </c>
      <c r="O308" s="94">
        <f t="shared" ca="1" si="66"/>
        <v>-0.3424101497209745</v>
      </c>
      <c r="P308" s="94">
        <f ca="1">O308+Calculation!ES308</f>
        <v>2.2878907130712527</v>
      </c>
      <c r="Q308" s="89" t="str">
        <f>IF(Sheet1!BQ306&gt;25.75,"spill elevation","-")</f>
        <v>-</v>
      </c>
      <c r="R308" s="89" t="str">
        <f>IF(Sheet1!BQ306&gt;25.75,"spill elevation","-")</f>
        <v>-</v>
      </c>
      <c r="S308" s="89" t="str">
        <f>IF(Sheet1!BR306&gt;25.75,"spill elevation","-")</f>
        <v>-</v>
      </c>
      <c r="T308" s="93">
        <f>IF(Sheet1!DU306=1,Sheet1!AA306-(SUM(AT308:BA308)+BE308),Sheet1!AA306-SUM(AT308:BA308))</f>
        <v>26.838272</v>
      </c>
      <c r="U308" s="93">
        <f>Sheet1!BV306</f>
        <v>34.4</v>
      </c>
      <c r="V308" s="93">
        <f t="shared" si="67"/>
        <v>-7.5617279999999987</v>
      </c>
      <c r="W308" s="93">
        <f>0</f>
        <v>0</v>
      </c>
      <c r="X308" s="89">
        <f>0</f>
        <v>0</v>
      </c>
      <c r="Y308" s="94">
        <f ca="1">Calculation!EJ309+Calculation!ES308+'Calculations II'!O308-'Calculations II'!W308</f>
        <v>49.406728993849896</v>
      </c>
      <c r="Z308" s="94">
        <f ca="1">Y308-Sheet1!CT307</f>
        <v>33.573728993849898</v>
      </c>
      <c r="AA308" s="94">
        <f ca="1">Y308+Calculation!DJ309+Calculation!AS309</f>
        <v>62.327586982015575</v>
      </c>
      <c r="AC308" s="94">
        <f>Sheet1!AA306+Sheet1!AB306+BC308</f>
        <v>57.393712000000001</v>
      </c>
      <c r="AD308" s="94">
        <f>Sheet1!AA306+Sheet1!BN306+'Calculations II'!BC308-Calculation!AS308-Calculation!DJ308</f>
        <v>31.710341711751667</v>
      </c>
      <c r="AE308" s="94">
        <f>Sheet1!AA306+Sheet1!AB306+'Calculations II'!BC308-Calculation!AS308-Calculation!DJ308</f>
        <v>44.510341711751664</v>
      </c>
      <c r="AF308" s="94">
        <f ca="1">Sheet1!AA306+Sheet1!BN306+P308+'Calculations II'!BC308+Calculation!AS308+Calculation!DJ308</f>
        <v>59.764973001319589</v>
      </c>
      <c r="AG308" s="94">
        <f ca="1">IF(B308=TODAY(),0,Sheet1!AA306+Sheet1!BN306+'Calculations II'!BC308+'Calculations II'!P308-Sheet1!CT306-BP308)</f>
        <v>32.432602713071262</v>
      </c>
      <c r="AH308" s="94">
        <f ca="1">IF(B308=TODAY(),0,Sheet1!AA306+Sheet1!BN306+'Calculations II'!BC308+'Calculations II'!P308-BP308)</f>
        <v>46.88160271307126</v>
      </c>
      <c r="AI308" s="94">
        <f ca="1">IF(B308=TODAY(),0,BC308+Sheet1!AA306+Calculation!ES308+O308+W308+Sheet1!BN306+Calculation!AS308+Calculation!DJ308-BP308)</f>
        <v>59.764973001319589</v>
      </c>
      <c r="AJ308" s="94"/>
      <c r="AM308" s="90">
        <f t="shared" si="68"/>
        <v>43032</v>
      </c>
      <c r="AN308" s="94">
        <f>Sheet1!BU306</f>
        <v>26.3</v>
      </c>
      <c r="AO308" s="94">
        <f>Sheet1!AA306</f>
        <v>28.1</v>
      </c>
      <c r="AP308" s="94">
        <f t="shared" si="57"/>
        <v>-2.7146000000000012</v>
      </c>
      <c r="AQ308" s="1087">
        <f>((Sheet1!BV306-(Sheet1!BU306-AP308))/(Sheet1!BU306-AP308))</f>
        <v>0.18561000323974816</v>
      </c>
      <c r="AR308" s="94">
        <f t="shared" si="58"/>
        <v>30.814600000000002</v>
      </c>
      <c r="AS308" s="94">
        <f t="shared" si="59"/>
        <v>29.014600000000002</v>
      </c>
      <c r="AT308" s="89">
        <f>Sheet1!BB306</f>
        <v>0</v>
      </c>
      <c r="AU308" s="89">
        <f>Sheet1!AS306*GPMtoMGD</f>
        <v>3.168E-2</v>
      </c>
      <c r="AV308" s="94">
        <f>Sheet1!AT306</f>
        <v>0</v>
      </c>
      <c r="AW308" s="89">
        <f>Sheet1!AV306*GPMtoMGD</f>
        <v>0.64526400000000006</v>
      </c>
      <c r="AX308" s="89">
        <f>Sheet1!AW306*GPMtoMGD</f>
        <v>0.58478400000000008</v>
      </c>
      <c r="AY308" s="89">
        <f>Sheet1!AX306*GPMtoMGD</f>
        <v>0</v>
      </c>
      <c r="AZ308" s="89">
        <f>Sheet1!AY306*GPMtoMGD</f>
        <v>0</v>
      </c>
      <c r="BA308" s="89">
        <f>Sheet1!AZ306*GPMtoMGD</f>
        <v>0</v>
      </c>
      <c r="BB308" s="89">
        <f>Sheet1!BP306*GPMtoMGD</f>
        <v>2.8800000000000002E-3</v>
      </c>
      <c r="BC308" s="89">
        <f>Sheet1!CS306*GPMtoMGD</f>
        <v>2.3937120000000003</v>
      </c>
      <c r="BD308" s="89">
        <f>Sheet1!BO306*GPMtoMGD</f>
        <v>1.0751040000000001</v>
      </c>
      <c r="BE308" s="89">
        <f>Sheet1!BW306*GPMtoMGD</f>
        <v>1.1131200000000001</v>
      </c>
      <c r="BF308" s="89">
        <f>Sheet1!CN306*GPMtoMGD</f>
        <v>0.37382400000000005</v>
      </c>
      <c r="BG308" s="89">
        <f>Sheet1!CO306*GPMtoMGD</f>
        <v>0.643536</v>
      </c>
      <c r="BH308" s="89">
        <f>Sheet1!CP306*GPMtoMGD</f>
        <v>0</v>
      </c>
      <c r="BI308" s="89">
        <f t="shared" si="69"/>
        <v>1.0779840000000001</v>
      </c>
      <c r="BK308" s="94">
        <f>SUM(AT308:BA308,AS308,BC308,Calculation!AQ308)</f>
        <v>46.686669711751662</v>
      </c>
      <c r="BM308" s="358">
        <f>0</f>
        <v>0</v>
      </c>
      <c r="BN308" s="358">
        <f>0</f>
        <v>0</v>
      </c>
      <c r="BP308" s="94">
        <f>SUM(BM308:BN308,W308,Sheet1!DX306)</f>
        <v>0</v>
      </c>
      <c r="BR308" s="94">
        <f>Sheet1!AA306</f>
        <v>28.1</v>
      </c>
      <c r="BS308" s="94">
        <f>Sheet1!AB306</f>
        <v>26.9</v>
      </c>
      <c r="BT308" s="94">
        <f t="shared" ca="1" si="60"/>
        <v>2.2878907130712527</v>
      </c>
      <c r="BU308" s="94">
        <f>Sheet1!AT306</f>
        <v>0</v>
      </c>
      <c r="BV308" s="89">
        <f>Sheet1!BB306</f>
        <v>0</v>
      </c>
      <c r="BW308" s="94">
        <f>Calculation!ED308</f>
        <v>12.883370288248337</v>
      </c>
      <c r="BX308" s="94">
        <f>(Sheet1!CS306*1440)/1000000</f>
        <v>2.3937119999999998</v>
      </c>
      <c r="CA308" s="1080">
        <f ca="1">Sheet1!AC306-Sheet1!BK306-Sheet1!BL306-Sheet1!BM306-Sheet1!BC306-Sheet1!BD306-Sheet1!BE306-Sheet1!BF306-Sheet1!BG306-Sheet1!BH306-Sheet1!BI306+BC308+P308</f>
        <v>46.721602713071249</v>
      </c>
      <c r="CB308" s="93">
        <f t="shared" si="61"/>
        <v>65.154426164079823</v>
      </c>
      <c r="CC308" s="94">
        <f t="shared" si="62"/>
        <v>0</v>
      </c>
      <c r="CD308" s="94">
        <f t="shared" ca="1" si="63"/>
        <v>59.604973001319586</v>
      </c>
      <c r="CE308" s="1077">
        <f t="shared" ca="1" si="64"/>
        <v>92.208893233041394</v>
      </c>
      <c r="CG308" s="1077">
        <f t="shared" ca="1" si="65"/>
        <v>46.721602713071249</v>
      </c>
    </row>
    <row r="309" spans="1:85" s="89" customFormat="1" x14ac:dyDescent="0.25">
      <c r="A309" s="616" t="s">
        <v>6</v>
      </c>
      <c r="B309" s="91">
        <v>43033</v>
      </c>
      <c r="C309" s="92">
        <v>0</v>
      </c>
      <c r="D309" s="94">
        <f>(Sheet1!BQ307-Sheet1!BQ306)*1.385</f>
        <v>0.27699999999999902</v>
      </c>
      <c r="E309" s="30">
        <f>(Sheet1!BR307-Sheet1!BR306)*1.385</f>
        <v>0.19390000000000079</v>
      </c>
      <c r="F309" s="30">
        <f ca="1">IF(B309=TODAY(),0,-(VLOOKUP(Sheet1!CD307,Lookup!$I$4:$J$216,2)-VLOOKUP(Sheet1!CD306,Lookup!$I$4:$J$216,2))/1000000)</f>
        <v>0.93273244693020174</v>
      </c>
      <c r="G309" s="94">
        <f ca="1">IF(B309=TODAY(),0,-$G$6*(Sheet1!CF307-Sheet1!CF306)*7.48/1000000)</f>
        <v>0.39713501052559297</v>
      </c>
      <c r="H309" s="94">
        <f ca="1">IF(B309=TODAY(),0,-$H$6*(Sheet1!CE307-Sheet1!CE306)*7.48/1000000)</f>
        <v>0</v>
      </c>
      <c r="I309" s="94">
        <f ca="1">IF(B309=TODAY(),0,-$I$6*(Sheet1!CG307-Sheet1!CG306)*7.48/1000000)</f>
        <v>-5.3909855999999978E-2</v>
      </c>
      <c r="J309" s="95" t="s">
        <v>177</v>
      </c>
      <c r="K309" s="94">
        <f ca="1">IF(B309=TODAY(),0,-$K$6*(Sheet1!CH307-Sheet1!CH306)*7.48/1000000)</f>
        <v>-9.3286485242418213E-2</v>
      </c>
      <c r="L309" s="95" t="s">
        <v>177</v>
      </c>
      <c r="M309" s="94">
        <f ca="1">IF(B309=TODAY(),0,-$M$6*(Sheet1!CI307-Sheet1!CI306)*7.48/1000000)</f>
        <v>-0.25188111799237906</v>
      </c>
      <c r="N309" s="94">
        <f ca="1">IF(B309=TODAY(),0,-$N$6*(Sheet1!CJ307-Sheet1!CJ306)*7.48/1000000)</f>
        <v>0.19236227072333439</v>
      </c>
      <c r="O309" s="94">
        <f t="shared" ca="1" si="66"/>
        <v>1.1231522689443318</v>
      </c>
      <c r="P309" s="94">
        <f ca="1">O309+Calculation!ES309</f>
        <v>0.70794141927255816</v>
      </c>
      <c r="Q309" s="89" t="str">
        <f>IF(Sheet1!BQ307&gt;25.75,"spill elevation","-")</f>
        <v>-</v>
      </c>
      <c r="R309" s="89" t="str">
        <f>IF(Sheet1!BQ307&gt;25.75,"spill elevation","-")</f>
        <v>-</v>
      </c>
      <c r="S309" s="89" t="str">
        <f>IF(Sheet1!BR307&gt;25.75,"spill elevation","-")</f>
        <v>-</v>
      </c>
      <c r="T309" s="93">
        <f>IF(Sheet1!DU307=1,Sheet1!AA307-(SUM(AT309:BA309)+BE309),Sheet1!AA307-SUM(AT309:BA309))</f>
        <v>27.282656000000003</v>
      </c>
      <c r="U309" s="93">
        <f>Sheet1!BV307</f>
        <v>31.4</v>
      </c>
      <c r="V309" s="93">
        <f t="shared" si="67"/>
        <v>-4.1173439999999957</v>
      </c>
      <c r="W309" s="93">
        <f>0</f>
        <v>0</v>
      </c>
      <c r="X309" s="89">
        <f>0</f>
        <v>0</v>
      </c>
      <c r="Y309" s="94">
        <f ca="1">Calculation!EJ310+Calculation!ES309+'Calculations II'!O309-'Calculations II'!W309</f>
        <v>43.660194125270245</v>
      </c>
      <c r="Z309" s="94">
        <f ca="1">Y309-Sheet1!CT308</f>
        <v>27.080194125270246</v>
      </c>
      <c r="AA309" s="94">
        <f ca="1">Y309+Calculation!DJ310+Calculation!AS310</f>
        <v>56.401889729259906</v>
      </c>
      <c r="AC309" s="94">
        <f>Sheet1!AA307+Sheet1!AB307+BC309</f>
        <v>59.499200000000002</v>
      </c>
      <c r="AD309" s="94">
        <f>Sheet1!AA307+Sheet1!BN307+'Calculations II'!BC309-Calculation!AS309-Calculation!DJ309</f>
        <v>33.678342011834317</v>
      </c>
      <c r="AE309" s="94">
        <f>Sheet1!AA307+Sheet1!AB307+'Calculations II'!BC309-Calculation!AS309-Calculation!DJ309</f>
        <v>46.578342011834323</v>
      </c>
      <c r="AF309" s="94">
        <f ca="1">Sheet1!AA307+Sheet1!BN307+P309+'Calculations II'!BC309+Calculation!AS309+Calculation!DJ309</f>
        <v>60.227999407438247</v>
      </c>
      <c r="AG309" s="94">
        <f ca="1">IF(B309=TODAY(),0,Sheet1!AA307+Sheet1!BN307+'Calculations II'!BC309+'Calculations II'!P309-Sheet1!CT307-BP309)</f>
        <v>31.474141419272563</v>
      </c>
      <c r="AH309" s="94">
        <f ca="1">IF(B309=TODAY(),0,Sheet1!AA307+Sheet1!BN307+'Calculations II'!BC309+'Calculations II'!P309-BP309)</f>
        <v>47.307141419272561</v>
      </c>
      <c r="AI309" s="94">
        <f ca="1">IF(B309=TODAY(),0,BC309+Sheet1!AA307+Calculation!ES309+O309+W309+Sheet1!BN307+Calculation!AS309+Calculation!DJ309-BP309)</f>
        <v>60.227999407438247</v>
      </c>
      <c r="AJ309" s="94"/>
      <c r="AM309" s="90">
        <f t="shared" si="68"/>
        <v>43033</v>
      </c>
      <c r="AN309" s="94">
        <f>Sheet1!BU307</f>
        <v>26.7</v>
      </c>
      <c r="AO309" s="94">
        <f>Sheet1!AA307</f>
        <v>28.1</v>
      </c>
      <c r="AP309" s="94">
        <f t="shared" si="57"/>
        <v>0.47089999999999982</v>
      </c>
      <c r="AQ309" s="1087">
        <f>((Sheet1!BV307-(Sheet1!BU307-AP309))/(Sheet1!BU307-AP309))</f>
        <v>0.19714363054775039</v>
      </c>
      <c r="AR309" s="94">
        <f t="shared" si="58"/>
        <v>27.629100000000001</v>
      </c>
      <c r="AS309" s="94">
        <f t="shared" si="59"/>
        <v>26.229099999999999</v>
      </c>
      <c r="AT309" s="89">
        <f>Sheet1!BB307</f>
        <v>0</v>
      </c>
      <c r="AU309" s="89">
        <f>Sheet1!AS307*GPMtoMGD</f>
        <v>2.5488E-2</v>
      </c>
      <c r="AV309" s="94">
        <f>Sheet1!AT307</f>
        <v>0</v>
      </c>
      <c r="AW309" s="89">
        <f>Sheet1!AV307*GPMtoMGD</f>
        <v>0.37900800000000001</v>
      </c>
      <c r="AX309" s="89">
        <f>Sheet1!AW307*GPMtoMGD</f>
        <v>0.41284799999999999</v>
      </c>
      <c r="AY309" s="89">
        <f>Sheet1!AX307*GPMtoMGD</f>
        <v>0</v>
      </c>
      <c r="AZ309" s="89">
        <f>Sheet1!AY307*GPMtoMGD</f>
        <v>0</v>
      </c>
      <c r="BA309" s="89">
        <f>Sheet1!AZ307*GPMtoMGD</f>
        <v>0</v>
      </c>
      <c r="BB309" s="89">
        <f>Sheet1!BP307*GPMtoMGD</f>
        <v>2.8800000000000002E-3</v>
      </c>
      <c r="BC309" s="89">
        <f>Sheet1!CS307*GPMtoMGD</f>
        <v>4.3992000000000004</v>
      </c>
      <c r="BD309" s="89">
        <f>Sheet1!BO307*GPMtoMGD</f>
        <v>1.9052640000000001</v>
      </c>
      <c r="BE309" s="89">
        <f>Sheet1!BW307*GPMtoMGD</f>
        <v>0.91195199999999998</v>
      </c>
      <c r="BF309" s="89">
        <f>Sheet1!CN307*GPMtoMGD</f>
        <v>0.33119999999999999</v>
      </c>
      <c r="BG309" s="89">
        <f>Sheet1!CO307*GPMtoMGD</f>
        <v>0.62193600000000004</v>
      </c>
      <c r="BH309" s="89">
        <f>Sheet1!CP307*GPMtoMGD</f>
        <v>0</v>
      </c>
      <c r="BI309" s="89">
        <f t="shared" si="69"/>
        <v>1.9081440000000001</v>
      </c>
      <c r="BK309" s="94">
        <f>SUM(AT309:BA309,AS309,BC309,Calculation!AQ309)</f>
        <v>45.524786011834316</v>
      </c>
      <c r="BM309" s="358">
        <f>0</f>
        <v>0</v>
      </c>
      <c r="BN309" s="358">
        <f>0</f>
        <v>0</v>
      </c>
      <c r="BP309" s="94">
        <f>SUM(BM309:BN309,W309,Sheet1!DX307)</f>
        <v>0</v>
      </c>
      <c r="BR309" s="94">
        <f>Sheet1!AA307</f>
        <v>28.1</v>
      </c>
      <c r="BS309" s="94">
        <f>Sheet1!AB307</f>
        <v>27</v>
      </c>
      <c r="BT309" s="94">
        <f t="shared" ca="1" si="60"/>
        <v>0.70794141927255816</v>
      </c>
      <c r="BU309" s="94">
        <f>Sheet1!AT307</f>
        <v>0</v>
      </c>
      <c r="BV309" s="89">
        <f>Sheet1!BB307</f>
        <v>0</v>
      </c>
      <c r="BW309" s="94">
        <f>Calculation!ED309</f>
        <v>12.920857988165682</v>
      </c>
      <c r="BX309" s="94">
        <f>(Sheet1!CS307*1440)/1000000</f>
        <v>4.3992000000000004</v>
      </c>
      <c r="CA309" s="1080">
        <f ca="1">Sheet1!AC307-Sheet1!BK307-Sheet1!BL307-Sheet1!BM307-Sheet1!BC307-Sheet1!BD307-Sheet1!BE307-Sheet1!BF307-Sheet1!BG307-Sheet1!BH307-Sheet1!BI307+BC309+P309</f>
        <v>47.267141419272562</v>
      </c>
      <c r="CB309" s="93">
        <f t="shared" si="61"/>
        <v>65.251132692307678</v>
      </c>
      <c r="CC309" s="94">
        <f t="shared" si="62"/>
        <v>0</v>
      </c>
      <c r="CD309" s="94">
        <f t="shared" ca="1" si="63"/>
        <v>60.187999407438241</v>
      </c>
      <c r="CE309" s="1077">
        <f t="shared" ca="1" si="64"/>
        <v>93.110835083306952</v>
      </c>
      <c r="CG309" s="1077">
        <f t="shared" ca="1" si="65"/>
        <v>47.267141419272562</v>
      </c>
    </row>
    <row r="310" spans="1:85" s="89" customFormat="1" x14ac:dyDescent="0.25">
      <c r="A310" s="616" t="s">
        <v>7</v>
      </c>
      <c r="B310" s="91">
        <v>43034</v>
      </c>
      <c r="C310" s="92">
        <v>0</v>
      </c>
      <c r="D310" s="94">
        <f>(Sheet1!BQ308-Sheet1!BQ307)*1.385</f>
        <v>-0.94179999999999964</v>
      </c>
      <c r="E310" s="30">
        <f>(Sheet1!BR308-Sheet1!BR307)*1.385</f>
        <v>-0.94179999999999964</v>
      </c>
      <c r="F310" s="30">
        <f ca="1">IF(B310=TODAY(),0,-(VLOOKUP(Sheet1!CD308,Lookup!$I$4:$J$216,2)-VLOOKUP(Sheet1!CD307,Lookup!$I$4:$J$216,2))/1000000)</f>
        <v>-1.0363693854780012</v>
      </c>
      <c r="G310" s="94">
        <f ca="1">IF(B310=TODAY(),0,-$G$6*(Sheet1!CF308-Sheet1!CF307)*7.48/1000000)</f>
        <v>-2.5416640673637945</v>
      </c>
      <c r="H310" s="94">
        <f ca="1">IF(B310=TODAY(),0,-$H$6*(Sheet1!CE308-Sheet1!CE307)*7.48/1000000)</f>
        <v>9.0236594107589496E-2</v>
      </c>
      <c r="I310" s="94">
        <f ca="1">IF(B310=TODAY(),0,-$I$6*(Sheet1!CG308-Sheet1!CG307)*7.48/1000000)</f>
        <v>5.8402343999999995E-2</v>
      </c>
      <c r="J310" s="95" t="s">
        <v>177</v>
      </c>
      <c r="K310" s="94">
        <f ca="1">IF(B310=TODAY(),0,-$K$6*(Sheet1!CH308-Sheet1!CH307)*7.48/1000000)</f>
        <v>9.9949805616876636E-2</v>
      </c>
      <c r="L310" s="95" t="s">
        <v>177</v>
      </c>
      <c r="M310" s="94">
        <f ca="1">IF(B310=TODAY(),0,-$M$6*(Sheet1!CI308-Sheet1!CI307)*7.48/1000000)</f>
        <v>0.23388960956435173</v>
      </c>
      <c r="N310" s="94">
        <f ca="1">IF(B310=TODAY(),0,-$N$6*(Sheet1!CJ308-Sheet1!CJ307)*7.48/1000000)</f>
        <v>-0.46539259045967929</v>
      </c>
      <c r="O310" s="94">
        <f t="shared" ca="1" si="66"/>
        <v>-3.5609476900126569</v>
      </c>
      <c r="P310" s="94">
        <f ca="1">O310+Calculation!ES310</f>
        <v>-1.6234166384380988</v>
      </c>
      <c r="Q310" s="89" t="str">
        <f>IF(Sheet1!BQ308&gt;25.75,"spill elevation","-")</f>
        <v>-</v>
      </c>
      <c r="R310" s="89" t="str">
        <f>IF(Sheet1!BQ308&gt;25.75,"spill elevation","-")</f>
        <v>-</v>
      </c>
      <c r="S310" s="89" t="str">
        <f>IF(Sheet1!BR308&gt;25.75,"spill elevation","-")</f>
        <v>-</v>
      </c>
      <c r="T310" s="93">
        <f>IF(Sheet1!DU308=1,Sheet1!AA308-(SUM(AT310:BA310)+BE310),Sheet1!AA308-SUM(AT310:BA310))</f>
        <v>26.480656</v>
      </c>
      <c r="U310" s="93">
        <f>Sheet1!BV308</f>
        <v>33.4</v>
      </c>
      <c r="V310" s="93">
        <f t="shared" si="67"/>
        <v>-6.9193439999999988</v>
      </c>
      <c r="W310" s="93">
        <f>0</f>
        <v>0</v>
      </c>
      <c r="X310" s="89">
        <f>0</f>
        <v>0</v>
      </c>
      <c r="Y310" s="94">
        <f ca="1">Calculation!EJ311+Calculation!ES310+'Calculations II'!O310-'Calculations II'!W310</f>
        <v>47.41763595141142</v>
      </c>
      <c r="Z310" s="94">
        <f ca="1">Y310-Sheet1!CT309</f>
        <v>31.427635951411418</v>
      </c>
      <c r="AA310" s="94">
        <f ca="1">Y310+Calculation!DJ311+Calculation!AS311</f>
        <v>60.173800334973066</v>
      </c>
      <c r="AC310" s="94">
        <f>Sheet1!AA308+Sheet1!AB308+BC310</f>
        <v>59.435552000000008</v>
      </c>
      <c r="AD310" s="94">
        <f>Sheet1!AA308+Sheet1!BN308+'Calculations II'!BC310-Calculation!AS310-Calculation!DJ310</f>
        <v>33.983856396010339</v>
      </c>
      <c r="AE310" s="94">
        <f>Sheet1!AA308+Sheet1!AB308+'Calculations II'!BC310-Calculation!AS310-Calculation!DJ310</f>
        <v>46.693856396010347</v>
      </c>
      <c r="AF310" s="94">
        <f ca="1">Sheet1!AA308+Sheet1!BN308+P310+'Calculations II'!BC310+Calculation!AS310+Calculation!DJ310</f>
        <v>57.843830965551561</v>
      </c>
      <c r="AG310" s="94">
        <f ca="1">IF(B310=TODAY(),0,Sheet1!AA308+Sheet1!BN308+'Calculations II'!BC310+'Calculations II'!P310-Sheet1!CT308-BP310)</f>
        <v>28.522135361561901</v>
      </c>
      <c r="AH310" s="94">
        <f ca="1">IF(B310=TODAY(),0,Sheet1!AA308+Sheet1!BN308+'Calculations II'!BC310+'Calculations II'!P310-BP310)</f>
        <v>45.102135361561899</v>
      </c>
      <c r="AI310" s="94">
        <f ca="1">IF(B310=TODAY(),0,BC310+Sheet1!AA308+Calculation!ES310+O310+W310+Sheet1!BN308+Calculation!AS310+Calculation!DJ310-BP310)</f>
        <v>57.843830965551561</v>
      </c>
      <c r="AJ310" s="94"/>
      <c r="AM310" s="90">
        <f t="shared" si="68"/>
        <v>43034</v>
      </c>
      <c r="AN310" s="94">
        <f>Sheet1!BU308</f>
        <v>26.3</v>
      </c>
      <c r="AO310" s="94">
        <f>Sheet1!AA308</f>
        <v>28</v>
      </c>
      <c r="AP310" s="94">
        <f t="shared" si="57"/>
        <v>-1.8835999999999993</v>
      </c>
      <c r="AQ310" s="1087">
        <f>((Sheet1!BV308-(Sheet1!BU308-AP310))/(Sheet1!BU308-AP310))</f>
        <v>0.1850863622816106</v>
      </c>
      <c r="AR310" s="94">
        <f t="shared" si="58"/>
        <v>29.883599999999998</v>
      </c>
      <c r="AS310" s="94">
        <f t="shared" si="59"/>
        <v>28.183599999999998</v>
      </c>
      <c r="AT310" s="89">
        <f>Sheet1!BB308</f>
        <v>0</v>
      </c>
      <c r="AU310" s="89">
        <f>Sheet1!AS308*GPMtoMGD</f>
        <v>2.3040000000000001E-2</v>
      </c>
      <c r="AV310" s="94">
        <f>Sheet1!AT308</f>
        <v>0</v>
      </c>
      <c r="AW310" s="89">
        <f>Sheet1!AV308*GPMtoMGD</f>
        <v>0.86270400000000014</v>
      </c>
      <c r="AX310" s="89">
        <f>Sheet1!AW308*GPMtoMGD</f>
        <v>0.63360000000000005</v>
      </c>
      <c r="AY310" s="89">
        <f>Sheet1!AX308*GPMtoMGD</f>
        <v>0</v>
      </c>
      <c r="AZ310" s="89">
        <f>Sheet1!AY308*GPMtoMGD</f>
        <v>0</v>
      </c>
      <c r="BA310" s="89">
        <f>Sheet1!AZ308*GPMtoMGD</f>
        <v>0</v>
      </c>
      <c r="BB310" s="89">
        <f>Sheet1!BP308*GPMtoMGD</f>
        <v>2.8800000000000002E-3</v>
      </c>
      <c r="BC310" s="89">
        <f>Sheet1!CS308*GPMtoMGD</f>
        <v>4.4255520000000006</v>
      </c>
      <c r="BD310" s="89">
        <f>Sheet1!BO308*GPMtoMGD</f>
        <v>1.1851200000000002</v>
      </c>
      <c r="BE310" s="89">
        <f>Sheet1!BW308*GPMtoMGD</f>
        <v>1.1213280000000001</v>
      </c>
      <c r="BF310" s="89">
        <f>Sheet1!CN308*GPMtoMGD</f>
        <v>0.28612799999999999</v>
      </c>
      <c r="BG310" s="89">
        <f>Sheet1!CO308*GPMtoMGD</f>
        <v>0.62812800000000002</v>
      </c>
      <c r="BH310" s="89">
        <f>Sheet1!CP308*GPMtoMGD</f>
        <v>0</v>
      </c>
      <c r="BI310" s="89">
        <f t="shared" si="69"/>
        <v>1.1880000000000002</v>
      </c>
      <c r="BK310" s="94">
        <f>SUM(AT310:BA310,AS310,BC310,Calculation!AQ310)</f>
        <v>48.396800396010342</v>
      </c>
      <c r="BM310" s="358">
        <f>0</f>
        <v>0</v>
      </c>
      <c r="BN310" s="358">
        <f>0</f>
        <v>0</v>
      </c>
      <c r="BP310" s="94">
        <f>SUM(BM310:BN310,W310,Sheet1!DX308)</f>
        <v>0</v>
      </c>
      <c r="BR310" s="94">
        <f>Sheet1!AA308</f>
        <v>28</v>
      </c>
      <c r="BS310" s="94">
        <f>Sheet1!AB308</f>
        <v>27.01</v>
      </c>
      <c r="BT310" s="94">
        <f t="shared" ca="1" si="60"/>
        <v>-1.6234166384380988</v>
      </c>
      <c r="BU310" s="94">
        <f>Sheet1!AT308</f>
        <v>0</v>
      </c>
      <c r="BV310" s="89">
        <f>Sheet1!BB308</f>
        <v>0</v>
      </c>
      <c r="BW310" s="94">
        <f>Calculation!ED310</f>
        <v>12.741695603989658</v>
      </c>
      <c r="BX310" s="94">
        <f>(Sheet1!CS308*1440)/1000000</f>
        <v>4.4255519999999997</v>
      </c>
      <c r="CA310" s="94">
        <f ca="1">Sheet1!AC308-Sheet1!BK308-Sheet1!BL308-Sheet1!BM308-Sheet1!BC308-Sheet1!BD308-Sheet1!BE308-Sheet1!BF308-Sheet1!BG308-Sheet1!BH308-Sheet1!BI308+BC310+P310</f>
        <v>45.042135361561904</v>
      </c>
      <c r="CB310" s="93">
        <f t="shared" si="61"/>
        <v>65.389066900628009</v>
      </c>
      <c r="CC310" s="94">
        <f t="shared" si="62"/>
        <v>0</v>
      </c>
      <c r="CD310" s="94">
        <f t="shared" ca="1" si="63"/>
        <v>57.783830965551559</v>
      </c>
      <c r="CE310" s="1077">
        <f t="shared" ca="1" si="64"/>
        <v>89.391586503708254</v>
      </c>
      <c r="CG310" s="1077">
        <f t="shared" ca="1" si="65"/>
        <v>45.042135361561904</v>
      </c>
    </row>
    <row r="311" spans="1:85" s="89" customFormat="1" x14ac:dyDescent="0.25">
      <c r="A311" s="616" t="s">
        <v>8</v>
      </c>
      <c r="B311" s="91">
        <v>43035</v>
      </c>
      <c r="C311" s="92">
        <v>0</v>
      </c>
      <c r="D311" s="94">
        <f>(Sheet1!BQ309-Sheet1!BQ308)*1.385</f>
        <v>-0.45705000000000257</v>
      </c>
      <c r="E311" s="30">
        <f>(Sheet1!BR309-Sheet1!BR308)*1.385</f>
        <v>-0.41550000000000098</v>
      </c>
      <c r="F311" s="30">
        <f ca="1">IF(B311=TODAY(),0,-(VLOOKUP(Sheet1!CD309,Lookup!$I$4:$J$216,2)-VLOOKUP(Sheet1!CD308,Lookup!$I$4:$J$216,2))/1000000)</f>
        <v>0.31091081564340556</v>
      </c>
      <c r="G311" s="94">
        <f ca="1">IF(B311=TODAY(),0,-$G$6*(Sheet1!CF309-Sheet1!CF308)*7.48/1000000)</f>
        <v>2.6210910694689127</v>
      </c>
      <c r="H311" s="94">
        <f ca="1">IF(B311=TODAY(),0,-$H$6*(Sheet1!CE309-Sheet1!CE308)*7.48/1000000)</f>
        <v>-8.8732650872463306E-2</v>
      </c>
      <c r="I311" s="94">
        <f ca="1">IF(B311=TODAY(),0,-$I$6*(Sheet1!CG309-Sheet1!CG308)*7.48/1000000)</f>
        <v>-8.9849760000000074E-3</v>
      </c>
      <c r="J311" s="95" t="s">
        <v>177</v>
      </c>
      <c r="K311" s="94">
        <f ca="1">IF(B311=TODAY(),0,-$K$6*(Sheet1!CH309-Sheet1!CH308)*7.48/1000000)</f>
        <v>-1.3326640748916837E-2</v>
      </c>
      <c r="L311" s="95" t="s">
        <v>177</v>
      </c>
      <c r="M311" s="94">
        <f ca="1">IF(B311=TODAY(),0,-$M$6*(Sheet1!CI309-Sheet1!CI308)*7.48/1000000)</f>
        <v>0</v>
      </c>
      <c r="N311" s="94">
        <f ca="1">IF(B311=TODAY(),0,-$N$6*(Sheet1!CJ309-Sheet1!CJ308)*7.48/1000000)</f>
        <v>0.45918735592021698</v>
      </c>
      <c r="O311" s="94">
        <f t="shared" ca="1" si="66"/>
        <v>3.2801449734111552</v>
      </c>
      <c r="P311" s="94">
        <f ca="1">O311+Calculation!ES311</f>
        <v>4.1103232478597214</v>
      </c>
      <c r="Q311" s="89" t="str">
        <f>IF(Sheet1!BQ309&gt;25.75,"spill elevation","-")</f>
        <v>-</v>
      </c>
      <c r="R311" s="89" t="str">
        <f>IF(Sheet1!BQ309&gt;25.75,"spill elevation","-")</f>
        <v>-</v>
      </c>
      <c r="S311" s="89" t="str">
        <f>IF(Sheet1!BR309&gt;25.75,"spill elevation","-")</f>
        <v>-</v>
      </c>
      <c r="T311" s="93">
        <f>IF(Sheet1!DU309=1,Sheet1!AA309-(SUM(AT311:BA311)+BE311),Sheet1!AA309-SUM(AT311:BA311))</f>
        <v>27.228368</v>
      </c>
      <c r="U311" s="93">
        <f>Sheet1!BV309</f>
        <v>32.700000000000003</v>
      </c>
      <c r="V311" s="93">
        <f t="shared" si="67"/>
        <v>-5.4716320000000032</v>
      </c>
      <c r="W311" s="93">
        <f>0</f>
        <v>0</v>
      </c>
      <c r="X311" s="89">
        <f>0</f>
        <v>0</v>
      </c>
      <c r="Y311" s="94">
        <f ca="1">Calculation!EJ312+Calculation!ES311+'Calculations II'!O311-'Calculations II'!W311</f>
        <v>50.485481087446836</v>
      </c>
      <c r="Z311" s="94">
        <f ca="1">Y311-Sheet1!CT310</f>
        <v>35.106481087446838</v>
      </c>
      <c r="AA311" s="94">
        <f ca="1">Y311+Calculation!DJ312+Calculation!AS312</f>
        <v>63.464197405945171</v>
      </c>
      <c r="AC311" s="94">
        <f>Sheet1!AA309+Sheet1!AB309+BC311</f>
        <v>59.145440000000001</v>
      </c>
      <c r="AD311" s="94">
        <f>Sheet1!AA309+Sheet1!BN309+'Calculations II'!BC311-Calculation!AS311-Calculation!DJ311</f>
        <v>33.689275616438351</v>
      </c>
      <c r="AE311" s="94">
        <f>Sheet1!AA309+Sheet1!AB309+'Calculations II'!BC311-Calculation!AS311-Calculation!DJ311</f>
        <v>46.389275616438354</v>
      </c>
      <c r="AF311" s="94">
        <f ca="1">Sheet1!AA309+Sheet1!BN309+P311+'Calculations II'!BC311+Calculation!AS311+Calculation!DJ311</f>
        <v>63.311927631421369</v>
      </c>
      <c r="AG311" s="94">
        <f ca="1">IF(B311=TODAY(),0,Sheet1!AA309+Sheet1!BN309+'Calculations II'!BC311+'Calculations II'!P311-Sheet1!CT309-BP311)</f>
        <v>34.565763247859714</v>
      </c>
      <c r="AH311" s="94">
        <f ca="1">IF(B311=TODAY(),0,Sheet1!AA309+Sheet1!BN309+'Calculations II'!BC311+'Calculations II'!P311-BP311)</f>
        <v>50.555763247859716</v>
      </c>
      <c r="AI311" s="94">
        <f ca="1">IF(B311=TODAY(),0,BC311+Sheet1!AA309+Calculation!ES311+O311+W311+Sheet1!BN309+Calculation!AS311+Calculation!DJ311-BP311)</f>
        <v>63.311927631421369</v>
      </c>
      <c r="AJ311" s="94"/>
      <c r="AM311" s="90">
        <f t="shared" si="68"/>
        <v>43035</v>
      </c>
      <c r="AN311" s="94">
        <f>Sheet1!BU309</f>
        <v>26.6</v>
      </c>
      <c r="AO311" s="94">
        <f>Sheet1!AA309</f>
        <v>28.1</v>
      </c>
      <c r="AP311" s="94">
        <f t="shared" si="57"/>
        <v>-0.87255000000000349</v>
      </c>
      <c r="AQ311" s="1087">
        <f>((Sheet1!BV309-(Sheet1!BU309-AP311))/(Sheet1!BU309-AP311))</f>
        <v>0.19027902397120022</v>
      </c>
      <c r="AR311" s="94">
        <f t="shared" si="58"/>
        <v>28.972550000000005</v>
      </c>
      <c r="AS311" s="94">
        <f t="shared" si="59"/>
        <v>27.472550000000005</v>
      </c>
      <c r="AT311" s="89">
        <f>Sheet1!BB309</f>
        <v>0</v>
      </c>
      <c r="AU311" s="89">
        <f>Sheet1!AS309*GPMtoMGD</f>
        <v>3.2256E-2</v>
      </c>
      <c r="AV311" s="94">
        <f>Sheet1!AT309</f>
        <v>0</v>
      </c>
      <c r="AW311" s="89">
        <f>Sheet1!AV309*GPMtoMGD</f>
        <v>0.44395200000000007</v>
      </c>
      <c r="AX311" s="89">
        <f>Sheet1!AW309*GPMtoMGD</f>
        <v>0.39542400000000005</v>
      </c>
      <c r="AY311" s="89">
        <f>Sheet1!AX309*GPMtoMGD</f>
        <v>0</v>
      </c>
      <c r="AZ311" s="89">
        <f>Sheet1!AY309*GPMtoMGD</f>
        <v>0</v>
      </c>
      <c r="BA311" s="89">
        <f>Sheet1!AZ309*GPMtoMGD</f>
        <v>0</v>
      </c>
      <c r="BB311" s="89">
        <f>Sheet1!BP309*GPMtoMGD</f>
        <v>2.8800000000000002E-3</v>
      </c>
      <c r="BC311" s="89">
        <f>Sheet1!CS309*GPMtoMGD</f>
        <v>1.9454400000000001</v>
      </c>
      <c r="BD311" s="89">
        <f>Sheet1!BO309*GPMtoMGD</f>
        <v>1.6364160000000003</v>
      </c>
      <c r="BE311" s="89">
        <f>Sheet1!BW309*GPMtoMGD</f>
        <v>0.88041599999999998</v>
      </c>
      <c r="BF311" s="89">
        <f>Sheet1!CN309*GPMtoMGD</f>
        <v>0.293184</v>
      </c>
      <c r="BG311" s="89">
        <f>Sheet1!CO309*GPMtoMGD</f>
        <v>0.61776000000000009</v>
      </c>
      <c r="BH311" s="89">
        <f>Sheet1!CP309*GPMtoMGD</f>
        <v>0</v>
      </c>
      <c r="BI311" s="89">
        <f t="shared" si="69"/>
        <v>1.6392960000000003</v>
      </c>
      <c r="BK311" s="94">
        <f>SUM(AT311:BA311,AS311,BC311,Calculation!AQ311)</f>
        <v>46.633457616438363</v>
      </c>
      <c r="BM311" s="358">
        <f>0</f>
        <v>0</v>
      </c>
      <c r="BN311" s="358">
        <f>0</f>
        <v>0</v>
      </c>
      <c r="BP311" s="94">
        <f>SUM(BM311:BN311,W311,Sheet1!DX309)</f>
        <v>0</v>
      </c>
      <c r="BR311" s="94">
        <f>Sheet1!AA309</f>
        <v>28.1</v>
      </c>
      <c r="BS311" s="94">
        <f>Sheet1!AB309</f>
        <v>29.1</v>
      </c>
      <c r="BT311" s="94">
        <f t="shared" ca="1" si="60"/>
        <v>4.1103232478597214</v>
      </c>
      <c r="BU311" s="94">
        <f>Sheet1!AT309</f>
        <v>0</v>
      </c>
      <c r="BV311" s="89">
        <f>Sheet1!BB309</f>
        <v>0</v>
      </c>
      <c r="BW311" s="94">
        <f>Calculation!ED311</f>
        <v>12.756164383561647</v>
      </c>
      <c r="BX311" s="94">
        <f>(Sheet1!CS309*1440)/1000000</f>
        <v>1.9454400000000001</v>
      </c>
      <c r="CA311" s="94">
        <f ca="1">Sheet1!AC309-Sheet1!BK309-Sheet1!BL309-Sheet1!BM309-Sheet1!BC309-Sheet1!BD309-Sheet1!BE309-Sheet1!BF309-Sheet1!BG309-Sheet1!BH309-Sheet1!BI309+BC311+P311</f>
        <v>50.455763247859721</v>
      </c>
      <c r="CB311" s="93">
        <f t="shared" si="61"/>
        <v>68.754613698630138</v>
      </c>
      <c r="CC311" s="94">
        <f t="shared" si="62"/>
        <v>0</v>
      </c>
      <c r="CD311" s="94">
        <f t="shared" ca="1" si="63"/>
        <v>63.211927631421368</v>
      </c>
      <c r="CE311" s="1077">
        <f t="shared" ca="1" si="64"/>
        <v>97.788852045808852</v>
      </c>
      <c r="CG311" s="1077">
        <f t="shared" ca="1" si="65"/>
        <v>50.455763247859721</v>
      </c>
    </row>
    <row r="312" spans="1:85" s="89" customFormat="1" x14ac:dyDescent="0.25">
      <c r="A312" s="616" t="s">
        <v>9</v>
      </c>
      <c r="B312" s="91">
        <v>43036</v>
      </c>
      <c r="C312" s="92">
        <v>0</v>
      </c>
      <c r="D312" s="94">
        <f>(Sheet1!BQ310-Sheet1!BQ309)*1.385</f>
        <v>-0.15234999999999921</v>
      </c>
      <c r="E312" s="30">
        <f>(Sheet1!BR310-Sheet1!BR309)*1.385</f>
        <v>-0.16620000000000137</v>
      </c>
      <c r="F312" s="30">
        <f ca="1">IF(B312=TODAY(),0,-(VLOOKUP(Sheet1!CD310,Lookup!$I$4:$J$216,2)-VLOOKUP(Sheet1!CD309,Lookup!$I$4:$J$216,2))/1000000)</f>
        <v>-0.31091081564340556</v>
      </c>
      <c r="G312" s="94">
        <f ca="1">IF(B312=TODAY(),0,-$G$6*(Sheet1!CF310-Sheet1!CF309)*7.48/1000000)</f>
        <v>-7.9427002105118313E-2</v>
      </c>
      <c r="H312" s="94">
        <f ca="1">IF(B312=TODAY(),0,-$H$6*(Sheet1!CE310-Sheet1!CE309)*7.48/1000000)</f>
        <v>-1.5039432351262067E-3</v>
      </c>
      <c r="I312" s="94">
        <f ca="1">IF(B312=TODAY(),0,-$I$6*(Sheet1!CG310-Sheet1!CG309)*7.48/1000000)</f>
        <v>-7.6372295999999978E-2</v>
      </c>
      <c r="J312" s="95" t="s">
        <v>177</v>
      </c>
      <c r="K312" s="94">
        <f ca="1">IF(B312=TODAY(),0,-$K$6*(Sheet1!CH310-Sheet1!CH309)*7.48/1000000)</f>
        <v>-0.13326640748916885</v>
      </c>
      <c r="L312" s="95" t="s">
        <v>177</v>
      </c>
      <c r="M312" s="94">
        <f ca="1">IF(B312=TODAY(),0,-$M$6*(Sheet1!CI310-Sheet1!CI309)*7.48/1000000)</f>
        <v>-0.35983016856054095</v>
      </c>
      <c r="N312" s="94">
        <f ca="1">IF(B312=TODAY(),0,-$N$6*(Sheet1!CJ310-Sheet1!CJ309)*7.48/1000000)</f>
        <v>-0.21718320888118456</v>
      </c>
      <c r="O312" s="94">
        <f t="shared" ca="1" si="66"/>
        <v>-1.1784938419145443</v>
      </c>
      <c r="P312" s="94">
        <f ca="1">O312+Calculation!ES312</f>
        <v>-0.90179337176080276</v>
      </c>
      <c r="Q312" s="89" t="str">
        <f>IF(Sheet1!BQ310&gt;25.75,"spill elevation","-")</f>
        <v>-</v>
      </c>
      <c r="R312" s="89" t="str">
        <f>IF(Sheet1!BQ310&gt;25.75,"spill elevation","-")</f>
        <v>-</v>
      </c>
      <c r="S312" s="89" t="str">
        <f>IF(Sheet1!BR310&gt;25.75,"spill elevation","-")</f>
        <v>-</v>
      </c>
      <c r="T312" s="93">
        <f>IF(Sheet1!DU310=1,Sheet1!AA310-(SUM(AT312:BA312)+BE312),Sheet1!AA310-SUM(AT312:BA312))</f>
        <v>26.667632000000001</v>
      </c>
      <c r="U312" s="93">
        <f>Sheet1!BV310</f>
        <v>31.5</v>
      </c>
      <c r="V312" s="93">
        <f t="shared" si="67"/>
        <v>-4.8323679999999989</v>
      </c>
      <c r="W312" s="93">
        <f>0</f>
        <v>0</v>
      </c>
      <c r="X312" s="89">
        <f>0</f>
        <v>0</v>
      </c>
      <c r="Y312" s="94">
        <f ca="1">Calculation!EJ313+Calculation!ES312+'Calculations II'!O312-'Calculations II'!W312</f>
        <v>48.431611661536159</v>
      </c>
      <c r="Z312" s="94">
        <f ca="1">Y312-Sheet1!CT311</f>
        <v>32.814611661536162</v>
      </c>
      <c r="AA312" s="94">
        <f ca="1">Y312+Calculation!DJ313+Calculation!AS313</f>
        <v>61.576015993666118</v>
      </c>
      <c r="AC312" s="94">
        <f>Sheet1!AA310+Sheet1!AB310+BC312</f>
        <v>61</v>
      </c>
      <c r="AD312" s="94">
        <f>Sheet1!AA310+Sheet1!BN310+'Calculations II'!BC312-Calculation!AS312-Calculation!DJ312</f>
        <v>35.121283681501666</v>
      </c>
      <c r="AE312" s="94">
        <f>Sheet1!AA310+Sheet1!AB310+'Calculations II'!BC312-Calculation!AS312-Calculation!DJ312</f>
        <v>48.021283681501664</v>
      </c>
      <c r="AF312" s="94">
        <f ca="1">Sheet1!AA310+Sheet1!BN310+P312+'Calculations II'!BC312+Calculation!AS312+Calculation!DJ312</f>
        <v>60.176922946737534</v>
      </c>
      <c r="AG312" s="94">
        <f ca="1">IF(B312=TODAY(),0,Sheet1!AA310+Sheet1!BN310+'Calculations II'!BC312+'Calculations II'!P312-Sheet1!CT310-BP312)</f>
        <v>31.819206628239201</v>
      </c>
      <c r="AH312" s="94">
        <f ca="1">IF(B312=TODAY(),0,Sheet1!AA310+Sheet1!BN310+'Calculations II'!BC312+'Calculations II'!P312-BP312)</f>
        <v>47.198206628239198</v>
      </c>
      <c r="AI312" s="94">
        <f ca="1">IF(B312=TODAY(),0,BC312+Sheet1!AA310+Calculation!ES312+O312+W312+Sheet1!BN310+Calculation!AS312+Calculation!DJ312-BP312)</f>
        <v>60.176922946737534</v>
      </c>
      <c r="AJ312" s="94"/>
      <c r="AM312" s="90">
        <f t="shared" si="68"/>
        <v>43036</v>
      </c>
      <c r="AN312" s="94">
        <f>Sheet1!BU310</f>
        <v>26.2</v>
      </c>
      <c r="AO312" s="94">
        <f>Sheet1!AA310</f>
        <v>28.1</v>
      </c>
      <c r="AP312" s="94">
        <f t="shared" si="57"/>
        <v>-0.31855000000000055</v>
      </c>
      <c r="AQ312" s="1087">
        <f>((Sheet1!BV310-(Sheet1!BU310-AP312))/(Sheet1!BU310-AP312))</f>
        <v>0.18784775185671912</v>
      </c>
      <c r="AR312" s="94">
        <f t="shared" si="58"/>
        <v>28.418550000000003</v>
      </c>
      <c r="AS312" s="94">
        <f t="shared" si="59"/>
        <v>26.518550000000001</v>
      </c>
      <c r="AT312" s="89">
        <f>Sheet1!BB310</f>
        <v>0</v>
      </c>
      <c r="AU312" s="89">
        <f>Sheet1!AS310*GPMtoMGD</f>
        <v>1.6992000000000004E-2</v>
      </c>
      <c r="AV312" s="94">
        <f>Sheet1!AT310</f>
        <v>0</v>
      </c>
      <c r="AW312" s="89">
        <f>Sheet1!AV310*GPMtoMGD</f>
        <v>0.78955200000000003</v>
      </c>
      <c r="AX312" s="89">
        <f>Sheet1!AW310*GPMtoMGD</f>
        <v>0.62582400000000005</v>
      </c>
      <c r="AY312" s="89">
        <f>Sheet1!AX310*GPMtoMGD</f>
        <v>0</v>
      </c>
      <c r="AZ312" s="89">
        <f>Sheet1!AY310*GPMtoMGD</f>
        <v>0</v>
      </c>
      <c r="BA312" s="89">
        <f>Sheet1!AZ310*GPMtoMGD</f>
        <v>0</v>
      </c>
      <c r="BB312" s="89">
        <f>Sheet1!BP310*GPMtoMGD</f>
        <v>0</v>
      </c>
      <c r="BC312" s="89">
        <f>Sheet1!CS310*GPMtoMGD</f>
        <v>0</v>
      </c>
      <c r="BD312" s="89">
        <f>Sheet1!BO310*GPMtoMGD</f>
        <v>2.1720960000000002</v>
      </c>
      <c r="BE312" s="89">
        <f>Sheet1!BW310*GPMtoMGD</f>
        <v>1.1577600000000001</v>
      </c>
      <c r="BF312" s="89">
        <f>Sheet1!CN310*GPMtoMGD</f>
        <v>0.43084800000000001</v>
      </c>
      <c r="BG312" s="89">
        <f>Sheet1!CO310*GPMtoMGD</f>
        <v>0.63691200000000003</v>
      </c>
      <c r="BH312" s="89">
        <f>Sheet1!CP310*GPMtoMGD</f>
        <v>0</v>
      </c>
      <c r="BI312" s="89">
        <f t="shared" si="69"/>
        <v>2.1720960000000002</v>
      </c>
      <c r="BK312" s="94">
        <f>SUM(AT312:BA312,AS312,BC312,Calculation!AQ312)</f>
        <v>47.872201681501664</v>
      </c>
      <c r="BM312" s="358">
        <f>0</f>
        <v>0</v>
      </c>
      <c r="BN312" s="358">
        <f>0</f>
        <v>0</v>
      </c>
      <c r="BP312" s="94">
        <f>SUM(BM312:BN312,W312,Sheet1!DX310)</f>
        <v>0</v>
      </c>
      <c r="BR312" s="94">
        <f>Sheet1!AA310</f>
        <v>28.1</v>
      </c>
      <c r="BS312" s="94">
        <f>Sheet1!AB310</f>
        <v>32.9</v>
      </c>
      <c r="BT312" s="94">
        <f t="shared" ca="1" si="60"/>
        <v>-0.90179337176080276</v>
      </c>
      <c r="BU312" s="94">
        <f>Sheet1!AT310</f>
        <v>0</v>
      </c>
      <c r="BV312" s="89">
        <f>Sheet1!BB310</f>
        <v>0</v>
      </c>
      <c r="BW312" s="94">
        <f>Calculation!ED312</f>
        <v>12.978716318498334</v>
      </c>
      <c r="BX312" s="94">
        <f>(Sheet1!CS310*1440)/1000000</f>
        <v>0</v>
      </c>
      <c r="CA312" s="94">
        <f ca="1">Sheet1!AC310-Sheet1!BK310-Sheet1!BL310-Sheet1!BM310-Sheet1!BC310-Sheet1!BD310-Sheet1!BE310-Sheet1!BF310-Sheet1!BG310-Sheet1!BH310-Sheet1!BI310+BC312+P312</f>
        <v>47.068206628239196</v>
      </c>
      <c r="CB312" s="93">
        <f t="shared" si="61"/>
        <v>74.288925855283068</v>
      </c>
      <c r="CC312" s="94">
        <f t="shared" si="62"/>
        <v>0</v>
      </c>
      <c r="CD312" s="94">
        <f t="shared" ca="1" si="63"/>
        <v>60.046922946737531</v>
      </c>
      <c r="CE312" s="1077">
        <f t="shared" ca="1" si="64"/>
        <v>92.892589798602955</v>
      </c>
      <c r="CG312" s="1077">
        <f t="shared" ca="1" si="65"/>
        <v>47.068206628239196</v>
      </c>
    </row>
    <row r="313" spans="1:85" s="89" customFormat="1" x14ac:dyDescent="0.25">
      <c r="A313" s="616" t="s">
        <v>3</v>
      </c>
      <c r="B313" s="91">
        <v>43037</v>
      </c>
      <c r="C313" s="92">
        <v>0</v>
      </c>
      <c r="D313" s="94">
        <f>(Sheet1!BQ311-Sheet1!BQ310)*1.385</f>
        <v>1.385</v>
      </c>
      <c r="E313" s="30">
        <f>(Sheet1!BR311-Sheet1!BR310)*1.385</f>
        <v>1.385</v>
      </c>
      <c r="F313" s="30">
        <f ca="1">IF(B313=TODAY(),0,-(VLOOKUP(Sheet1!CD311,Lookup!$I$4:$J$216,2)-VLOOKUP(Sheet1!CD310,Lookup!$I$4:$J$216,2))/1000000)</f>
        <v>0.725458569834603</v>
      </c>
      <c r="G313" s="94">
        <f ca="1">IF(B313=TODAY(),0,-$G$6*(Sheet1!CF311-Sheet1!CF310)*7.48/1000000)</f>
        <v>0.39713501052559297</v>
      </c>
      <c r="H313" s="94">
        <f ca="1">IF(B313=TODAY(),0,-$H$6*(Sheet1!CE311-Sheet1!CE310)*7.48/1000000)</f>
        <v>0</v>
      </c>
      <c r="I313" s="94">
        <f ca="1">IF(B313=TODAY(),0,-$I$6*(Sheet1!CG311-Sheet1!CG310)*7.48/1000000)</f>
        <v>7.1879807999999989E-2</v>
      </c>
      <c r="J313" s="95" t="s">
        <v>177</v>
      </c>
      <c r="K313" s="94">
        <f ca="1">IF(B313=TODAY(),0,-$K$6*(Sheet1!CH311-Sheet1!CH310)*7.48/1000000)</f>
        <v>0.119939766740252</v>
      </c>
      <c r="L313" s="95" t="s">
        <v>177</v>
      </c>
      <c r="M313" s="94">
        <f ca="1">IF(B313=TODAY(),0,-$M$6*(Sheet1!CI311-Sheet1!CI310)*7.48/1000000)</f>
        <v>0.50376223598475744</v>
      </c>
      <c r="N313" s="94">
        <f ca="1">IF(B313=TODAY(),0,-$N$6*(Sheet1!CJ311-Sheet1!CJ310)*7.48/1000000)</f>
        <v>0.21097797434172119</v>
      </c>
      <c r="O313" s="94">
        <f t="shared" ca="1" si="66"/>
        <v>2.0291533654269269</v>
      </c>
      <c r="P313" s="94">
        <f ca="1">O313+Calculation!ES313</f>
        <v>-0.73842784261935313</v>
      </c>
      <c r="Q313" s="89" t="str">
        <f>IF(Sheet1!BQ311&gt;25.75,"spill elevation","-")</f>
        <v>-</v>
      </c>
      <c r="R313" s="89" t="str">
        <f>IF(Sheet1!BQ311&gt;25.75,"spill elevation","-")</f>
        <v>-</v>
      </c>
      <c r="S313" s="89" t="str">
        <f>IF(Sheet1!BR311&gt;25.75,"spill elevation","-")</f>
        <v>-</v>
      </c>
      <c r="T313" s="93">
        <f>IF(Sheet1!DU311=1,Sheet1!AA311-(SUM(AT313:BA313)+BE313),Sheet1!AA311-SUM(AT313:BA313))</f>
        <v>27.301344</v>
      </c>
      <c r="U313" s="93">
        <f>Sheet1!BV311</f>
        <v>28.7</v>
      </c>
      <c r="V313" s="93">
        <f t="shared" si="67"/>
        <v>-1.398655999999999</v>
      </c>
      <c r="W313" s="93">
        <f>0</f>
        <v>0</v>
      </c>
      <c r="X313" s="89">
        <f>0</f>
        <v>0</v>
      </c>
      <c r="Y313" s="94">
        <f ca="1">Calculation!EJ314+Calculation!ES313+'Calculations II'!O313-'Calculations II'!W313</f>
        <v>46.443971095316833</v>
      </c>
      <c r="Z313" s="94">
        <f ca="1">Y313-Sheet1!CT312</f>
        <v>29.096971095316832</v>
      </c>
      <c r="AA313" s="94">
        <f ca="1">Y313+Calculation!DJ314+Calculation!AS314</f>
        <v>59.596081131592527</v>
      </c>
      <c r="AC313" s="94">
        <f>Sheet1!AA311+Sheet1!AB311+BC313</f>
        <v>61.05</v>
      </c>
      <c r="AD313" s="94">
        <f>Sheet1!AA311+Sheet1!BN311+'Calculations II'!BC313-Calculation!AS313-Calculation!DJ313</f>
        <v>34.905595667870031</v>
      </c>
      <c r="AE313" s="94">
        <f>Sheet1!AA311+Sheet1!AB311+'Calculations II'!BC313-Calculation!AS313-Calculation!DJ313</f>
        <v>47.905595667870031</v>
      </c>
      <c r="AF313" s="94">
        <f ca="1">Sheet1!AA311+Sheet1!BN311+P313+'Calculations II'!BC313+Calculation!AS313+Calculation!DJ313</f>
        <v>60.455976489510604</v>
      </c>
      <c r="AG313" s="94">
        <f ca="1">IF(B313=TODAY(),0,Sheet1!AA311+Sheet1!BN311+'Calculations II'!BC313+'Calculations II'!P313-Sheet1!CT311-BP313)</f>
        <v>31.694572157380644</v>
      </c>
      <c r="AH313" s="94">
        <f ca="1">IF(B313=TODAY(),0,Sheet1!AA311+Sheet1!BN311+'Calculations II'!BC313+'Calculations II'!P313-BP313)</f>
        <v>47.311572157380645</v>
      </c>
      <c r="AI313" s="94">
        <f ca="1">IF(B313=TODAY(),0,BC313+Sheet1!AA311+Calculation!ES313+O313+W313+Sheet1!BN311+Calculation!AS313+Calculation!DJ313-BP313)</f>
        <v>60.455976489510604</v>
      </c>
      <c r="AJ313" s="94"/>
      <c r="AM313" s="90">
        <f t="shared" si="68"/>
        <v>43037</v>
      </c>
      <c r="AN313" s="94">
        <f>Sheet1!BU311</f>
        <v>26.7</v>
      </c>
      <c r="AO313" s="94">
        <f>Sheet1!AA311</f>
        <v>28.05</v>
      </c>
      <c r="AP313" s="94">
        <f t="shared" si="57"/>
        <v>2.77</v>
      </c>
      <c r="AQ313" s="1087">
        <f>((Sheet1!BV311-(Sheet1!BU311-AP313))/(Sheet1!BU311-AP313))</f>
        <v>0.19933138320100291</v>
      </c>
      <c r="AR313" s="94">
        <f t="shared" si="58"/>
        <v>25.28</v>
      </c>
      <c r="AS313" s="94">
        <f t="shared" si="59"/>
        <v>23.93</v>
      </c>
      <c r="AT313" s="89">
        <f>Sheet1!BB311</f>
        <v>0</v>
      </c>
      <c r="AU313" s="89">
        <f>Sheet1!AS311*GPMtoMGD</f>
        <v>3.2400000000000005E-2</v>
      </c>
      <c r="AV313" s="94">
        <f>Sheet1!AT311</f>
        <v>0</v>
      </c>
      <c r="AW313" s="89">
        <f>Sheet1!AV311*GPMtoMGD</f>
        <v>0.36072000000000004</v>
      </c>
      <c r="AX313" s="89">
        <f>Sheet1!AW311*GPMtoMGD</f>
        <v>0.35553600000000002</v>
      </c>
      <c r="AY313" s="89">
        <f>Sheet1!AX311*GPMtoMGD</f>
        <v>0</v>
      </c>
      <c r="AZ313" s="89">
        <f>Sheet1!AY311*GPMtoMGD</f>
        <v>0</v>
      </c>
      <c r="BA313" s="89">
        <f>Sheet1!AZ311*GPMtoMGD</f>
        <v>0</v>
      </c>
      <c r="BB313" s="89">
        <f>Sheet1!BP311*GPMtoMGD</f>
        <v>4.7520000000000001E-3</v>
      </c>
      <c r="BC313" s="89">
        <f>Sheet1!CS311*GPMtoMGD</f>
        <v>0</v>
      </c>
      <c r="BD313" s="89">
        <f>Sheet1!BO311*GPMtoMGD</f>
        <v>1.320336</v>
      </c>
      <c r="BE313" s="89">
        <f>Sheet1!BW311*GPMtoMGD</f>
        <v>1.036224</v>
      </c>
      <c r="BF313" s="89">
        <f>Sheet1!CN311*GPMtoMGD</f>
        <v>0.47390400000000005</v>
      </c>
      <c r="BG313" s="89">
        <f>Sheet1!CO311*GPMtoMGD</f>
        <v>0.64987200000000001</v>
      </c>
      <c r="BH313" s="89">
        <f>Sheet1!CP311*GPMtoMGD</f>
        <v>0</v>
      </c>
      <c r="BI313" s="89">
        <f t="shared" si="69"/>
        <v>1.325088</v>
      </c>
      <c r="BK313" s="94">
        <f>SUM(AT313:BA313,AS313,BC313,Calculation!AQ313)</f>
        <v>44.534251667870038</v>
      </c>
      <c r="BM313" s="358">
        <f>0</f>
        <v>0</v>
      </c>
      <c r="BN313" s="358">
        <f>0</f>
        <v>0</v>
      </c>
      <c r="BP313" s="94">
        <f>SUM(BM313:BN313,W313,Sheet1!DX311)</f>
        <v>0</v>
      </c>
      <c r="BR313" s="94">
        <f>Sheet1!AA311</f>
        <v>28.05</v>
      </c>
      <c r="BS313" s="94">
        <f>Sheet1!AB311</f>
        <v>33</v>
      </c>
      <c r="BT313" s="94">
        <f t="shared" ca="1" si="60"/>
        <v>-0.73842784261935313</v>
      </c>
      <c r="BU313" s="94">
        <f>Sheet1!AT311</f>
        <v>0</v>
      </c>
      <c r="BV313" s="89">
        <f>Sheet1!BB311</f>
        <v>0</v>
      </c>
      <c r="BW313" s="94">
        <f>Calculation!ED313</f>
        <v>13.144404332129962</v>
      </c>
      <c r="BX313" s="94">
        <f>(Sheet1!CS311*1440)/1000000</f>
        <v>0</v>
      </c>
      <c r="CA313" s="94">
        <f ca="1">Sheet1!AC311-Sheet1!BK311-Sheet1!BL311-Sheet1!BM311-Sheet1!BC311-Sheet1!BD311-Sheet1!BE311-Sheet1!BF311-Sheet1!BG311-Sheet1!BH311-Sheet1!BI311+BC313+P313</f>
        <v>47.07157215738065</v>
      </c>
      <c r="CB313" s="93">
        <f t="shared" si="61"/>
        <v>74.109956498194933</v>
      </c>
      <c r="CC313" s="94">
        <f t="shared" si="62"/>
        <v>0</v>
      </c>
      <c r="CD313" s="94">
        <f t="shared" ca="1" si="63"/>
        <v>60.215976489510609</v>
      </c>
      <c r="CE313" s="1077">
        <f t="shared" ca="1" si="64"/>
        <v>93.154115629272908</v>
      </c>
      <c r="CG313" s="1077">
        <f t="shared" ca="1" si="65"/>
        <v>47.07157215738065</v>
      </c>
    </row>
    <row r="314" spans="1:85" s="89" customFormat="1" x14ac:dyDescent="0.25">
      <c r="A314" s="616" t="s">
        <v>4</v>
      </c>
      <c r="B314" s="91">
        <v>43038</v>
      </c>
      <c r="C314" s="92">
        <v>0</v>
      </c>
      <c r="D314" s="94">
        <f>(Sheet1!BQ312-Sheet1!BQ311)*1.385</f>
        <v>-0.80329999999999768</v>
      </c>
      <c r="E314" s="30">
        <f>(Sheet1!BR312-Sheet1!BR311)*1.385</f>
        <v>-0.76175000000000104</v>
      </c>
      <c r="F314" s="30">
        <f ca="1">IF(B314=TODAY(),0,-(VLOOKUP(Sheet1!CD312,Lookup!$I$4:$J$216,2)-VLOOKUP(Sheet1!CD311,Lookup!$I$4:$J$216,2))/1000000)</f>
        <v>0.31091081564339806</v>
      </c>
      <c r="G314" s="94">
        <f ca="1">IF(B314=TODAY(),0,-$G$6*(Sheet1!CF312-Sheet1!CF311)*7.48/1000000)</f>
        <v>-0.83398352210374516</v>
      </c>
      <c r="H314" s="94">
        <f ca="1">IF(B314=TODAY(),0,-$H$6*(Sheet1!CE312-Sheet1!CE311)*7.48/1000000)</f>
        <v>3.0078864702529479E-2</v>
      </c>
      <c r="I314" s="94">
        <f ca="1">IF(B314=TODAY(),0,-$I$6*(Sheet1!CG312-Sheet1!CG311)*7.48/1000000)</f>
        <v>-1.3477464000000033E-2</v>
      </c>
      <c r="J314" s="95" t="s">
        <v>177</v>
      </c>
      <c r="K314" s="94">
        <f ca="1">IF(B314=TODAY(),0,-$K$6*(Sheet1!CH312-Sheet1!CH311)*7.48/1000000)</f>
        <v>-1.9989961123375376E-2</v>
      </c>
      <c r="L314" s="95" t="s">
        <v>177</v>
      </c>
      <c r="M314" s="94">
        <f ca="1">IF(B314=TODAY(),0,-$M$6*(Sheet1!CI312-Sheet1!CI311)*7.48/1000000)</f>
        <v>-0.23388960956435173</v>
      </c>
      <c r="N314" s="94">
        <f ca="1">IF(B314=TODAY(),0,-$N$6*(Sheet1!CJ312-Sheet1!CJ311)*7.48/1000000)</f>
        <v>0.26061985065742033</v>
      </c>
      <c r="O314" s="94">
        <f t="shared" ca="1" si="66"/>
        <v>-0.49973102578812439</v>
      </c>
      <c r="P314" s="94">
        <f ca="1">O314+Calculation!ES314</f>
        <v>1.1609714376558478</v>
      </c>
      <c r="Q314" s="89" t="str">
        <f>IF(Sheet1!BQ312&gt;25.75,"spill elevation","-")</f>
        <v>-</v>
      </c>
      <c r="R314" s="89" t="str">
        <f>IF(Sheet1!BQ312&gt;25.75,"spill elevation","-")</f>
        <v>-</v>
      </c>
      <c r="S314" s="89" t="str">
        <f>IF(Sheet1!BR312&gt;25.75,"spill elevation","-")</f>
        <v>-</v>
      </c>
      <c r="T314" s="93">
        <f>IF(Sheet1!DU312=1,Sheet1!AA312-(SUM(AT314:BA314)+BE314),Sheet1!AA312-SUM(AT314:BA314))</f>
        <v>26.525760000000002</v>
      </c>
      <c r="U314" s="93">
        <f>Sheet1!BV312</f>
        <v>33.1</v>
      </c>
      <c r="V314" s="93">
        <f t="shared" si="67"/>
        <v>-6.5742399999999996</v>
      </c>
      <c r="W314" s="93">
        <f>0</f>
        <v>0</v>
      </c>
      <c r="X314" s="89">
        <f>0</f>
        <v>0</v>
      </c>
      <c r="Y314" s="94">
        <f ca="1">Calculation!EJ315+Calculation!ES314+'Calculations II'!O314-'Calculations II'!W314</f>
        <v>48.627851381293368</v>
      </c>
      <c r="Z314" s="94">
        <f ca="1">Y314-Sheet1!CT313</f>
        <v>31.397851381293368</v>
      </c>
      <c r="AA314" s="94">
        <f ca="1">Y314+Calculation!DJ315+Calculation!AS315</f>
        <v>61.625955646696212</v>
      </c>
      <c r="AC314" s="94">
        <f>Sheet1!AA312+Sheet1!AB312+BC314</f>
        <v>61.06</v>
      </c>
      <c r="AD314" s="94">
        <f>Sheet1!AA312+Sheet1!BN312+'Calculations II'!BC314-Calculation!AS314-Calculation!DJ314</f>
        <v>34.797889963724309</v>
      </c>
      <c r="AE314" s="94">
        <f>Sheet1!AA312+Sheet1!AB312+'Calculations II'!BC314-Calculation!AS314-Calculation!DJ314</f>
        <v>47.907889963724308</v>
      </c>
      <c r="AF314" s="94">
        <f ca="1">Sheet1!AA312+Sheet1!BN312+P314+'Calculations II'!BC314+Calculation!AS314+Calculation!DJ314</f>
        <v>62.263081473931543</v>
      </c>
      <c r="AG314" s="94">
        <f ca="1">IF(B314=TODAY(),0,Sheet1!AA312+Sheet1!BN312+'Calculations II'!BC314+'Calculations II'!P314-Sheet1!CT312-BP314)</f>
        <v>31.763971437655847</v>
      </c>
      <c r="AH314" s="94">
        <f ca="1">IF(B314=TODAY(),0,Sheet1!AA312+Sheet1!BN312+'Calculations II'!BC314+'Calculations II'!P314-BP314)</f>
        <v>49.110971437655849</v>
      </c>
      <c r="AI314" s="94">
        <f ca="1">IF(B314=TODAY(),0,BC314+Sheet1!AA312+Calculation!ES314+O314+W314+Sheet1!BN312+Calculation!AS314+Calculation!DJ314-BP314)</f>
        <v>62.263081473931543</v>
      </c>
      <c r="AJ314" s="94"/>
      <c r="AM314" s="90">
        <f t="shared" si="68"/>
        <v>43038</v>
      </c>
      <c r="AN314" s="94">
        <f>Sheet1!BU312</f>
        <v>26.3</v>
      </c>
      <c r="AO314" s="94">
        <f>Sheet1!AA312</f>
        <v>28.05</v>
      </c>
      <c r="AP314" s="94">
        <f t="shared" si="57"/>
        <v>-1.5650499999999987</v>
      </c>
      <c r="AQ314" s="1087">
        <f>((Sheet1!BV312-(Sheet1!BU312-AP314))/(Sheet1!BU312-AP314))</f>
        <v>0.18786795645441157</v>
      </c>
      <c r="AR314" s="94">
        <f t="shared" si="58"/>
        <v>29.61505</v>
      </c>
      <c r="AS314" s="94">
        <f t="shared" si="59"/>
        <v>27.86505</v>
      </c>
      <c r="AT314" s="89">
        <f>Sheet1!BB312</f>
        <v>0</v>
      </c>
      <c r="AU314" s="89">
        <f>Sheet1!AS312*GPMtoMGD</f>
        <v>3.2832E-2</v>
      </c>
      <c r="AV314" s="94">
        <f>Sheet1!AT312</f>
        <v>0</v>
      </c>
      <c r="AW314" s="89">
        <f>Sheet1!AV312*GPMtoMGD</f>
        <v>0.88761600000000007</v>
      </c>
      <c r="AX314" s="89">
        <f>Sheet1!AW312*GPMtoMGD</f>
        <v>0.60379200000000011</v>
      </c>
      <c r="AY314" s="89">
        <f>Sheet1!AX312*GPMtoMGD</f>
        <v>0</v>
      </c>
      <c r="AZ314" s="89">
        <f>Sheet1!AY312*GPMtoMGD</f>
        <v>0</v>
      </c>
      <c r="BA314" s="89">
        <f>Sheet1!AZ312*GPMtoMGD</f>
        <v>0</v>
      </c>
      <c r="BB314" s="89">
        <f>Sheet1!BP312*GPMtoMGD</f>
        <v>2.9375999999999999E-2</v>
      </c>
      <c r="BC314" s="89">
        <f>Sheet1!CS312*GPMtoMGD</f>
        <v>0</v>
      </c>
      <c r="BD314" s="89">
        <f>Sheet1!BO312*GPMtoMGD</f>
        <v>1.7157600000000002</v>
      </c>
      <c r="BE314" s="89">
        <f>Sheet1!BW312*GPMtoMGD</f>
        <v>1.0365120000000001</v>
      </c>
      <c r="BF314" s="89">
        <f>Sheet1!CN312*GPMtoMGD</f>
        <v>0.33638400000000002</v>
      </c>
      <c r="BG314" s="89">
        <f>Sheet1!CO312*GPMtoMGD</f>
        <v>0.635328</v>
      </c>
      <c r="BH314" s="89">
        <f>Sheet1!CP312*GPMtoMGD</f>
        <v>0</v>
      </c>
      <c r="BI314" s="89">
        <f t="shared" si="69"/>
        <v>1.7451360000000002</v>
      </c>
      <c r="BK314" s="94">
        <f>SUM(AT314:BA314,AS314,BC314,Calculation!AQ314)</f>
        <v>49.247179963724307</v>
      </c>
      <c r="BM314" s="358">
        <f>0</f>
        <v>0</v>
      </c>
      <c r="BN314" s="358">
        <f>0</f>
        <v>0</v>
      </c>
      <c r="BP314" s="94">
        <f>SUM(BM314:BN314,W314,Sheet1!DX312)</f>
        <v>0</v>
      </c>
      <c r="BR314" s="94">
        <f>Sheet1!AA312</f>
        <v>28.05</v>
      </c>
      <c r="BS314" s="94">
        <f>Sheet1!AB312</f>
        <v>33.01</v>
      </c>
      <c r="BT314" s="94">
        <f t="shared" ca="1" si="60"/>
        <v>1.1609714376558478</v>
      </c>
      <c r="BU314" s="94">
        <f>Sheet1!AT312</f>
        <v>0</v>
      </c>
      <c r="BV314" s="89">
        <f>Sheet1!BB312</f>
        <v>0</v>
      </c>
      <c r="BW314" s="94">
        <f>Calculation!ED314</f>
        <v>13.152110036275696</v>
      </c>
      <c r="BX314" s="94">
        <f>(Sheet1!CS312*1440)/1000000</f>
        <v>0</v>
      </c>
      <c r="CA314" s="94">
        <f ca="1">Sheet1!AC312-Sheet1!BK312-Sheet1!BL312-Sheet1!BM312-Sheet1!BC312-Sheet1!BD312-Sheet1!BE312-Sheet1!BF312-Sheet1!BG312-Sheet1!BH312-Sheet1!BI312+BC314+P314</f>
        <v>49.040971437655848</v>
      </c>
      <c r="CB314" s="93">
        <f t="shared" si="61"/>
        <v>74.113505773881499</v>
      </c>
      <c r="CC314" s="94">
        <f t="shared" si="62"/>
        <v>0</v>
      </c>
      <c r="CD314" s="94">
        <f t="shared" ca="1" si="63"/>
        <v>62.193081473931542</v>
      </c>
      <c r="CE314" s="1077">
        <f t="shared" ca="1" si="64"/>
        <v>96.212697040172088</v>
      </c>
      <c r="CG314" s="1077">
        <f t="shared" ca="1" si="65"/>
        <v>49.040971437655848</v>
      </c>
    </row>
    <row r="315" spans="1:85" s="89" customFormat="1" x14ac:dyDescent="0.25">
      <c r="A315" s="616" t="s">
        <v>5</v>
      </c>
      <c r="B315" s="91">
        <v>43039</v>
      </c>
      <c r="C315" s="92">
        <v>0</v>
      </c>
      <c r="D315" s="94">
        <f>(Sheet1!BQ313-Sheet1!BQ312)*1.385</f>
        <v>0.19390000000000079</v>
      </c>
      <c r="E315" s="30">
        <f>(Sheet1!BR313-Sheet1!BR312)*1.385</f>
        <v>0.18005000000000354</v>
      </c>
      <c r="F315" s="30">
        <f ca="1">IF(B315=TODAY(),0,-(VLOOKUP(Sheet1!CD313,Lookup!$I$4:$J$216,2)-VLOOKUP(Sheet1!CD312,Lookup!$I$4:$J$216,2))/1000000)</f>
        <v>-0.41454775419119744</v>
      </c>
      <c r="G315" s="94">
        <f ca="1">IF(B315=TODAY(),0,-$G$6*(Sheet1!CF313-Sheet1!CF312)*7.48/1000000)</f>
        <v>0.39713501052559297</v>
      </c>
      <c r="H315" s="94">
        <f ca="1">IF(B315=TODAY(),0,-$H$6*(Sheet1!CE313-Sheet1!CE312)*7.48/1000000)</f>
        <v>-4.5118297053794748E-2</v>
      </c>
      <c r="I315" s="94">
        <f ca="1">IF(B315=TODAY(),0,-$I$6*(Sheet1!CG313-Sheet1!CG312)*7.48/1000000)</f>
        <v>-2.2462440000000004E-2</v>
      </c>
      <c r="J315" s="95" t="s">
        <v>177</v>
      </c>
      <c r="K315" s="94">
        <f ca="1">IF(B315=TODAY(),0,-$K$6*(Sheet1!CH313-Sheet1!CH312)*7.48/1000000)</f>
        <v>-2.7985945572725452E-2</v>
      </c>
      <c r="L315" s="95" t="s">
        <v>177</v>
      </c>
      <c r="M315" s="94">
        <f ca="1">IF(B315=TODAY(),0,-$M$6*(Sheet1!CI313-Sheet1!CI312)*7.48/1000000)</f>
        <v>-0.16192357585224318</v>
      </c>
      <c r="N315" s="94">
        <f ca="1">IF(B315=TODAY(),0,-$N$6*(Sheet1!CJ313-Sheet1!CJ312)*7.48/1000000)</f>
        <v>-0.28544078881526935</v>
      </c>
      <c r="O315" s="94">
        <f t="shared" ca="1" si="66"/>
        <v>-0.56034379095963716</v>
      </c>
      <c r="P315" s="94">
        <f ca="1">O315+Calculation!ES315</f>
        <v>-0.9755033910758788</v>
      </c>
      <c r="Q315" s="89" t="str">
        <f>IF(Sheet1!BQ313&gt;25.75,"spill elevation","-")</f>
        <v>-</v>
      </c>
      <c r="R315" s="89" t="str">
        <f>IF(Sheet1!BQ313&gt;25.75,"spill elevation","-")</f>
        <v>-</v>
      </c>
      <c r="S315" s="89" t="str">
        <f>IF(Sheet1!BR313&gt;25.75,"spill elevation","-")</f>
        <v>-</v>
      </c>
      <c r="T315" s="93">
        <f>IF(Sheet1!DU313=1,Sheet1!AA313-(SUM(AT315:BA315)+BE315),Sheet1!AA313-SUM(AT315:BA315))</f>
        <v>27.374672</v>
      </c>
      <c r="U315" s="93">
        <f>Sheet1!BV313</f>
        <v>31.4</v>
      </c>
      <c r="V315" s="93">
        <f t="shared" si="67"/>
        <v>-4.0253279999999982</v>
      </c>
      <c r="W315" s="93">
        <f>0</f>
        <v>0</v>
      </c>
      <c r="X315" s="89">
        <f>0</f>
        <v>0</v>
      </c>
      <c r="Y315" s="94">
        <f ca="1">Calculation!EJ316+Calculation!ES315+'Calculations II'!O315-'Calculations II'!W315</f>
        <v>49.732069836017523</v>
      </c>
      <c r="Z315" s="94">
        <f ca="1">Y315-Sheet1!CT314</f>
        <v>33.408069836017518</v>
      </c>
      <c r="AA315" s="94">
        <f ca="1">Y315+Calculation!DJ316+Calculation!AS316</f>
        <v>62.626649008628078</v>
      </c>
      <c r="AC315" s="94">
        <f>Sheet1!AA313+Sheet1!AB313+BC315</f>
        <v>61.7</v>
      </c>
      <c r="AD315" s="94">
        <f>Sheet1!AA313+Sheet1!BN313+'Calculations II'!BC315-Calculation!AS315-Calculation!DJ315</f>
        <v>35.801895734597153</v>
      </c>
      <c r="AE315" s="94">
        <f>Sheet1!AA313+Sheet1!AB313+'Calculations II'!BC315-Calculation!AS315-Calculation!DJ315</f>
        <v>48.701895734597159</v>
      </c>
      <c r="AF315" s="94">
        <f ca="1">Sheet1!AA313+Sheet1!BN313+P315+'Calculations II'!BC315+Calculation!AS315+Calculation!DJ315</f>
        <v>60.822600874326966</v>
      </c>
      <c r="AG315" s="94">
        <f ca="1">IF(B315=TODAY(),0,Sheet1!AA313+Sheet1!BN313+'Calculations II'!BC315+'Calculations II'!P315-Sheet1!CT313-BP315)</f>
        <v>30.594496608924121</v>
      </c>
      <c r="AH315" s="94">
        <f ca="1">IF(B315=TODAY(),0,Sheet1!AA313+Sheet1!BN313+'Calculations II'!BC315+'Calculations II'!P315-BP315)</f>
        <v>47.824496608924122</v>
      </c>
      <c r="AI315" s="94">
        <f ca="1">IF(B315=TODAY(),0,BC315+Sheet1!AA313+Calculation!ES315+O315+W315+Sheet1!BN313+Calculation!AS315+Calculation!DJ315-BP315)</f>
        <v>60.822600874326966</v>
      </c>
      <c r="AJ315" s="94"/>
      <c r="AM315" s="90">
        <f t="shared" si="68"/>
        <v>43039</v>
      </c>
      <c r="AN315" s="94">
        <f>Sheet1!BU313</f>
        <v>26.7</v>
      </c>
      <c r="AO315" s="94">
        <f>Sheet1!AA313</f>
        <v>28.1</v>
      </c>
      <c r="AP315" s="94">
        <f t="shared" si="57"/>
        <v>0.37395000000000433</v>
      </c>
      <c r="AQ315" s="1087">
        <f>((Sheet1!BV313-(Sheet1!BU313-AP315))/(Sheet1!BU313-AP315))</f>
        <v>0.19273495264196508</v>
      </c>
      <c r="AR315" s="94">
        <f t="shared" si="58"/>
        <v>27.726049999999997</v>
      </c>
      <c r="AS315" s="94">
        <f t="shared" si="59"/>
        <v>26.326049999999995</v>
      </c>
      <c r="AT315" s="89">
        <f>Sheet1!BB313</f>
        <v>0</v>
      </c>
      <c r="AU315" s="89">
        <f>Sheet1!AS313*GPMtoMGD</f>
        <v>1.6560000000000002E-2</v>
      </c>
      <c r="AV315" s="94">
        <f>Sheet1!AT313</f>
        <v>0</v>
      </c>
      <c r="AW315" s="89">
        <f>Sheet1!AV313*GPMtoMGD</f>
        <v>0.35164800000000002</v>
      </c>
      <c r="AX315" s="89">
        <f>Sheet1!AW313*GPMtoMGD</f>
        <v>0.35712000000000005</v>
      </c>
      <c r="AY315" s="89">
        <f>Sheet1!AX313*GPMtoMGD</f>
        <v>0</v>
      </c>
      <c r="AZ315" s="89">
        <f>Sheet1!AY313*GPMtoMGD</f>
        <v>0</v>
      </c>
      <c r="BA315" s="89">
        <f>Sheet1!AZ313*GPMtoMGD</f>
        <v>0</v>
      </c>
      <c r="BB315" s="89">
        <f>Sheet1!BP313*GPMtoMGD</f>
        <v>2.8800000000000002E-3</v>
      </c>
      <c r="BC315" s="89">
        <f>Sheet1!CS313*GPMtoMGD</f>
        <v>0</v>
      </c>
      <c r="BD315" s="89">
        <f>Sheet1!BO313*GPMtoMGD</f>
        <v>1.8449280000000001</v>
      </c>
      <c r="BE315" s="89">
        <f>Sheet1!BW313*GPMtoMGD</f>
        <v>0.94852800000000015</v>
      </c>
      <c r="BF315" s="89">
        <f>Sheet1!CN313*GPMtoMGD</f>
        <v>0.30830400000000002</v>
      </c>
      <c r="BG315" s="89">
        <f>Sheet1!CO313*GPMtoMGD</f>
        <v>0.60451200000000005</v>
      </c>
      <c r="BH315" s="89">
        <f>Sheet1!CP313*GPMtoMGD</f>
        <v>0</v>
      </c>
      <c r="BI315" s="89">
        <f t="shared" si="69"/>
        <v>1.8478080000000001</v>
      </c>
      <c r="BK315" s="94">
        <f>SUM(AT315:BA315,AS315,BC315,Calculation!AQ315)</f>
        <v>47.65327373459715</v>
      </c>
      <c r="BM315" s="358">
        <f>0</f>
        <v>0</v>
      </c>
      <c r="BN315" s="358">
        <f>0</f>
        <v>0</v>
      </c>
      <c r="BP315" s="94">
        <f>SUM(BM315:BN315,W315,Sheet1!DX313)</f>
        <v>0</v>
      </c>
      <c r="BR315" s="94">
        <f>Sheet1!AA313</f>
        <v>28.1</v>
      </c>
      <c r="BS315" s="94">
        <f>Sheet1!AB313</f>
        <v>33.6</v>
      </c>
      <c r="BT315" s="94">
        <f t="shared" ca="1" si="60"/>
        <v>-0.9755033910758788</v>
      </c>
      <c r="BU315" s="94">
        <f>Sheet1!AT313</f>
        <v>0</v>
      </c>
      <c r="BV315" s="89">
        <f>Sheet1!BB313</f>
        <v>0</v>
      </c>
      <c r="BW315" s="94">
        <f>Calculation!ED315</f>
        <v>12.998104265402844</v>
      </c>
      <c r="BX315" s="94">
        <f>(Sheet1!CS313*1440)/1000000</f>
        <v>0</v>
      </c>
      <c r="CA315" s="94">
        <f ca="1">Sheet1!AC313-Sheet1!BK313-Sheet1!BL313-Sheet1!BM313-Sheet1!BC313-Sheet1!BD313-Sheet1!BE313-Sheet1!BF313-Sheet1!BG313-Sheet1!BH313-Sheet1!BI313+BC315+P315</f>
        <v>47.664496608924125</v>
      </c>
      <c r="CB315" s="93">
        <f t="shared" si="61"/>
        <v>75.341832701421808</v>
      </c>
      <c r="CC315" s="94">
        <f t="shared" si="62"/>
        <v>0</v>
      </c>
      <c r="CD315" s="94">
        <f t="shared" ca="1" si="63"/>
        <v>60.662600874326969</v>
      </c>
      <c r="CE315" s="1077">
        <f t="shared" ca="1" si="64"/>
        <v>93.845043552583817</v>
      </c>
      <c r="CG315" s="1077">
        <f t="shared" ca="1" si="65"/>
        <v>47.664496608924125</v>
      </c>
    </row>
    <row r="316" spans="1:85" s="89" customFormat="1" x14ac:dyDescent="0.25">
      <c r="A316" s="616" t="s">
        <v>6</v>
      </c>
      <c r="B316" s="91">
        <v>43040</v>
      </c>
      <c r="C316" s="92">
        <v>0</v>
      </c>
      <c r="D316" s="94">
        <f>(Sheet1!BQ314-Sheet1!BQ313)*1.385</f>
        <v>1.9112999999999987</v>
      </c>
      <c r="E316" s="30">
        <f>(Sheet1!BR314-Sheet1!BR313)*1.385</f>
        <v>1.9251500000000008</v>
      </c>
      <c r="F316" s="30">
        <f ca="1">IF(B316=TODAY(),0,-(VLOOKUP(Sheet1!CD314,Lookup!$I$4:$J$216,2)-VLOOKUP(Sheet1!CD313,Lookup!$I$4:$J$216,2))/1000000)</f>
        <v>0.41454775419119744</v>
      </c>
      <c r="G316" s="94">
        <f ca="1">IF(B316=TODAY(),0,-$G$6*(Sheet1!CF314-Sheet1!CF313)*7.48/1000000)</f>
        <v>0.39713501052559297</v>
      </c>
      <c r="H316" s="94">
        <f ca="1">IF(B316=TODAY(),0,-$H$6*(Sheet1!CE314-Sheet1!CE313)*7.48/1000000)</f>
        <v>1.5039432351265274E-2</v>
      </c>
      <c r="I316" s="94">
        <f ca="1">IF(B316=TODAY(),0,-$I$6*(Sheet1!CG314-Sheet1!CG313)*7.48/1000000)</f>
        <v>1.3477464000000033E-2</v>
      </c>
      <c r="J316" s="95" t="s">
        <v>177</v>
      </c>
      <c r="K316" s="94">
        <f ca="1">IF(B316=TODAY(),0,-$K$6*(Sheet1!CH314-Sheet1!CH313)*7.48/1000000)</f>
        <v>7.9959844493500774E-3</v>
      </c>
      <c r="L316" s="95" t="s">
        <v>177</v>
      </c>
      <c r="M316" s="94">
        <f ca="1">IF(B316=TODAY(),0,-$M$6*(Sheet1!CI314-Sheet1!CI313)*7.48/1000000)</f>
        <v>0.10794905056816191</v>
      </c>
      <c r="N316" s="94">
        <f ca="1">IF(B316=TODAY(),0,-$N$6*(Sheet1!CJ314-Sheet1!CJ313)*7.48/1000000)</f>
        <v>1.861570361838677E-2</v>
      </c>
      <c r="O316" s="94">
        <f t="shared" ca="1" si="66"/>
        <v>0.97476039970395445</v>
      </c>
      <c r="P316" s="94">
        <f ca="1">O316+Calculation!ES316</f>
        <v>-2.901198656538746</v>
      </c>
      <c r="Q316" s="89" t="str">
        <f>IF(Sheet1!BQ314&gt;25.75,"spill elevation","-")</f>
        <v>-</v>
      </c>
      <c r="R316" s="89" t="str">
        <f>IF(Sheet1!BQ314&gt;25.75,"spill elevation","-")</f>
        <v>-</v>
      </c>
      <c r="S316" s="89" t="str">
        <f>IF(Sheet1!BR314&gt;25.75,"spill elevation","-")</f>
        <v>-</v>
      </c>
      <c r="T316" s="93">
        <f>IF(Sheet1!DU314=1,Sheet1!AA314-(SUM(AT316:BA316)+BE316),Sheet1!AA314-SUM(AT316:BA316))</f>
        <v>26.772608000000002</v>
      </c>
      <c r="U316" s="93">
        <f>Sheet1!BV314</f>
        <v>27.1</v>
      </c>
      <c r="V316" s="93">
        <f t="shared" si="67"/>
        <v>-0.32739199999999968</v>
      </c>
      <c r="W316" s="93">
        <f>0</f>
        <v>0</v>
      </c>
      <c r="X316" s="89">
        <f>0</f>
        <v>0</v>
      </c>
      <c r="Y316" s="94">
        <f ca="1">Calculation!EJ317+Calculation!ES316+'Calculations II'!O316-'Calculations II'!W316</f>
        <v>45.118644669606844</v>
      </c>
      <c r="Z316" s="94">
        <f ca="1">Y316-Sheet1!CT315</f>
        <v>29.098644669606845</v>
      </c>
      <c r="AA316" s="94">
        <f ca="1">Y316+Calculation!DJ317+Calculation!AS317</f>
        <v>58.043527847176939</v>
      </c>
      <c r="AC316" s="94">
        <f>Sheet1!AA314+Sheet1!AB314+BC316</f>
        <v>63</v>
      </c>
      <c r="AD316" s="94">
        <f>Sheet1!AA314+Sheet1!BN314+'Calculations II'!BC316-Calculation!AS316-Calculation!DJ316</f>
        <v>37.305420827389447</v>
      </c>
      <c r="AE316" s="94">
        <f>Sheet1!AA314+Sheet1!AB314+'Calculations II'!BC316-Calculation!AS316-Calculation!DJ316</f>
        <v>50.105420827389445</v>
      </c>
      <c r="AF316" s="94">
        <f ca="1">Sheet1!AA314+Sheet1!BN314+P316+'Calculations II'!BC316+Calculation!AS316+Calculation!DJ316</f>
        <v>60.193380516071812</v>
      </c>
      <c r="AG316" s="94">
        <f ca="1">IF(B316=TODAY(),0,Sheet1!AA314+Sheet1!BN314+'Calculations II'!BC316+'Calculations II'!P316-Sheet1!CT314-BP316)</f>
        <v>30.974801343461255</v>
      </c>
      <c r="AH316" s="94">
        <f ca="1">IF(B316=TODAY(),0,Sheet1!AA314+Sheet1!BN314+'Calculations II'!BC316+'Calculations II'!P316-BP316)</f>
        <v>47.298801343461257</v>
      </c>
      <c r="AI316" s="94">
        <f ca="1">IF(B316=TODAY(),0,BC316+Sheet1!AA314+Calculation!ES316+O316+W316+Sheet1!BN314+Calculation!AS316+Calculation!DJ316-BP316)</f>
        <v>60.193380516071812</v>
      </c>
      <c r="AJ316" s="94"/>
      <c r="AM316" s="90">
        <f t="shared" si="68"/>
        <v>43040</v>
      </c>
      <c r="AN316" s="94">
        <f>Sheet1!BU314</f>
        <v>26.4</v>
      </c>
      <c r="AO316" s="94">
        <f>Sheet1!AA314</f>
        <v>28.1</v>
      </c>
      <c r="AP316" s="94">
        <f t="shared" si="57"/>
        <v>3.8364499999999992</v>
      </c>
      <c r="AQ316" s="1087">
        <f>((Sheet1!BV314-(Sheet1!BU314-AP316))/(Sheet1!BU314-AP316))</f>
        <v>0.20105213940182295</v>
      </c>
      <c r="AR316" s="94">
        <f t="shared" si="58"/>
        <v>24.263550000000002</v>
      </c>
      <c r="AS316" s="94">
        <f>AN316-AP316</f>
        <v>22.563549999999999</v>
      </c>
      <c r="AT316" s="89">
        <f>Sheet1!BB314</f>
        <v>0</v>
      </c>
      <c r="AU316" s="89">
        <f>Sheet1!AS314*GPMtoMGD</f>
        <v>3.2832E-2</v>
      </c>
      <c r="AV316" s="94">
        <f>Sheet1!AT314</f>
        <v>0</v>
      </c>
      <c r="AW316" s="89">
        <f>Sheet1!AV314*GPMtoMGD</f>
        <v>0.75902400000000003</v>
      </c>
      <c r="AX316" s="89">
        <f>Sheet1!AW314*GPMtoMGD</f>
        <v>0.53553600000000001</v>
      </c>
      <c r="AY316" s="89">
        <f>Sheet1!AX314*GPMtoMGD</f>
        <v>0</v>
      </c>
      <c r="AZ316" s="89">
        <f>Sheet1!AY314*GPMtoMGD</f>
        <v>0</v>
      </c>
      <c r="BA316" s="89">
        <f>Sheet1!AZ314*GPMtoMGD</f>
        <v>0</v>
      </c>
      <c r="BB316" s="89">
        <f>Sheet1!BP314*GPMtoMGD</f>
        <v>2.8800000000000002E-3</v>
      </c>
      <c r="BC316" s="89">
        <f>Sheet1!CS314*GPMtoMGD</f>
        <v>0</v>
      </c>
      <c r="BD316" s="89">
        <f>Sheet1!BO314*GPMtoMGD</f>
        <v>1.4772960000000002</v>
      </c>
      <c r="BE316" s="89">
        <f>Sheet1!BW314*GPMtoMGD</f>
        <v>1.0172160000000001</v>
      </c>
      <c r="BF316" s="89">
        <f>Sheet1!CN314*GPMtoMGD</f>
        <v>0.31795200000000001</v>
      </c>
      <c r="BG316" s="89">
        <f>Sheet1!CO314*GPMtoMGD</f>
        <v>0.60408000000000006</v>
      </c>
      <c r="BH316" s="89">
        <f>Sheet1!CP314*GPMtoMGD</f>
        <v>0</v>
      </c>
      <c r="BI316" s="89">
        <f t="shared" si="69"/>
        <v>1.4801760000000002</v>
      </c>
      <c r="BK316" s="94">
        <f>SUM(AT316:BA316,AS316,BC316,Calculation!AQ316)</f>
        <v>45.896362827389446</v>
      </c>
      <c r="BM316" s="358">
        <f>0</f>
        <v>0</v>
      </c>
      <c r="BN316" s="358">
        <f>0</f>
        <v>0</v>
      </c>
      <c r="BP316" s="94">
        <f>SUM(BM316:BN316,W316,Sheet1!DX314)</f>
        <v>0</v>
      </c>
      <c r="BR316" s="94">
        <f>Sheet1!AA314</f>
        <v>28.1</v>
      </c>
      <c r="BS316" s="94">
        <f>Sheet1!AB314</f>
        <v>34.9</v>
      </c>
      <c r="BT316" s="94">
        <f t="shared" ca="1" si="60"/>
        <v>-2.901198656538746</v>
      </c>
      <c r="BU316" s="94">
        <f>Sheet1!AT314</f>
        <v>0</v>
      </c>
      <c r="BV316" s="89">
        <f>Sheet1!BB314</f>
        <v>0</v>
      </c>
      <c r="BW316" s="94">
        <f>Calculation!ED316</f>
        <v>12.894579172610557</v>
      </c>
      <c r="BX316" s="94">
        <f>(Sheet1!CS314*1440)/1000000</f>
        <v>0</v>
      </c>
      <c r="CA316" s="94">
        <f ca="1">Sheet1!AC314-Sheet1!BK314-Sheet1!BL314-Sheet1!BM314-Sheet1!BC314-Sheet1!BD314-Sheet1!BE314-Sheet1!BF314-Sheet1!BG314-Sheet1!BH314-Sheet1!BI314+BC316+P316</f>
        <v>47.148801343461265</v>
      </c>
      <c r="CB316" s="93">
        <f t="shared" si="61"/>
        <v>77.513086019971468</v>
      </c>
      <c r="CC316" s="94">
        <f t="shared" si="62"/>
        <v>0</v>
      </c>
      <c r="CD316" s="94">
        <f t="shared" ca="1" si="63"/>
        <v>60.043380516071821</v>
      </c>
      <c r="CE316" s="1077">
        <f t="shared" ca="1" si="64"/>
        <v>92.887109658363102</v>
      </c>
      <c r="CG316" s="1077">
        <f t="shared" ca="1" si="65"/>
        <v>47.148801343461265</v>
      </c>
    </row>
    <row r="317" spans="1:85" s="89" customFormat="1" x14ac:dyDescent="0.25">
      <c r="A317" s="616" t="s">
        <v>7</v>
      </c>
      <c r="B317" s="91">
        <v>43041</v>
      </c>
      <c r="C317" s="92">
        <v>0</v>
      </c>
      <c r="D317" s="94">
        <f>(Sheet1!BQ315-Sheet1!BQ314)*1.385</f>
        <v>0.98335000000000117</v>
      </c>
      <c r="E317" s="30">
        <f>(Sheet1!BR315-Sheet1!BR314)*1.385</f>
        <v>0.900249999999998</v>
      </c>
      <c r="F317" s="30">
        <f ca="1">IF(B317=TODAY(),0,-(VLOOKUP(Sheet1!CD315,Lookup!$I$4:$J$216,2)-VLOOKUP(Sheet1!CD314,Lookup!$I$4:$J$216,2))/1000000)</f>
        <v>-0.93273244693020174</v>
      </c>
      <c r="G317" s="94">
        <f ca="1">IF(B317=TODAY(),0,-$G$6*(Sheet1!CF315-Sheet1!CF314)*7.48/1000000)</f>
        <v>0.31770800842047398</v>
      </c>
      <c r="H317" s="94">
        <f ca="1">IF(B317=TODAY(),0,-$H$6*(Sheet1!CE315-Sheet1!CE314)*7.48/1000000)</f>
        <v>-1.5039432351265274E-2</v>
      </c>
      <c r="I317" s="94">
        <f ca="1">IF(B317=TODAY(),0,-$I$6*(Sheet1!CG315-Sheet1!CG314)*7.48/1000000)</f>
        <v>-1.3477464000000033E-2</v>
      </c>
      <c r="J317" s="95" t="s">
        <v>177</v>
      </c>
      <c r="K317" s="94">
        <f ca="1">IF(B317=TODAY(),0,-$K$6*(Sheet1!CH315-Sheet1!CH314)*7.48/1000000)</f>
        <v>0</v>
      </c>
      <c r="L317" s="95" t="s">
        <v>177</v>
      </c>
      <c r="M317" s="94">
        <f ca="1">IF(B317=TODAY(),0,-$M$6*(Sheet1!CI315-Sheet1!CI314)*7.48/1000000)</f>
        <v>-0.10794905056816191</v>
      </c>
      <c r="N317" s="94">
        <f ca="1">IF(B317=TODAY(),0,-$N$6*(Sheet1!CJ315-Sheet1!CJ314)*7.48/1000000)</f>
        <v>-5.5847110855161426E-2</v>
      </c>
      <c r="O317" s="94">
        <f t="shared" ca="1" si="66"/>
        <v>-0.80733749628431639</v>
      </c>
      <c r="P317" s="94">
        <f ca="1">O317+Calculation!ES317</f>
        <v>-2.6077164898126304</v>
      </c>
      <c r="Q317" s="89" t="str">
        <f>IF(Sheet1!BQ315&gt;25.75,"spill elevation","-")</f>
        <v>-</v>
      </c>
      <c r="R317" s="89" t="str">
        <f>IF(Sheet1!BQ315&gt;25.75,"spill elevation","-")</f>
        <v>-</v>
      </c>
      <c r="S317" s="89" t="str">
        <f>IF(Sheet1!BR315&gt;25.75,"spill elevation","-")</f>
        <v>-</v>
      </c>
      <c r="T317" s="93">
        <f>IF(Sheet1!DU315=1,Sheet1!AA315-(SUM(AT317:BA317)+BE317),Sheet1!AA315-SUM(AT317:BA317))</f>
        <v>27.047936</v>
      </c>
      <c r="U317" s="93">
        <f>Sheet1!BV315</f>
        <v>29.5</v>
      </c>
      <c r="V317" s="93">
        <f t="shared" si="67"/>
        <v>-2.452064</v>
      </c>
      <c r="W317" s="93">
        <f>0</f>
        <v>0</v>
      </c>
      <c r="X317" s="89">
        <f>0</f>
        <v>0</v>
      </c>
      <c r="Y317" s="94">
        <f ca="1">Calculation!EJ318+Calculation!ES317+'Calculations II'!O317-'Calculations II'!W317</f>
        <v>44.759334080993632</v>
      </c>
      <c r="Z317" s="94">
        <f ca="1">Y317-Sheet1!CT316</f>
        <v>28.362334080993634</v>
      </c>
      <c r="AA317" s="94">
        <f ca="1">Y317+Calculation!DJ318+Calculation!AS318</f>
        <v>57.352607623594523</v>
      </c>
      <c r="AC317" s="94">
        <f>Sheet1!AA315+Sheet1!AB315+BC317</f>
        <v>62.300000000000004</v>
      </c>
      <c r="AD317" s="94">
        <f>Sheet1!AA315+Sheet1!BN315+'Calculations II'!BC317-Calculation!AS317-Calculation!DJ317</f>
        <v>36.475116822429911</v>
      </c>
      <c r="AE317" s="94">
        <f>Sheet1!AA315+Sheet1!AB315+'Calculations II'!BC317-Calculation!AS317-Calculation!DJ317</f>
        <v>49.375116822429909</v>
      </c>
      <c r="AF317" s="94">
        <f ca="1">Sheet1!AA315+Sheet1!BN315+P317+'Calculations II'!BC317+Calculation!AS317+Calculation!DJ317</f>
        <v>59.717166687757469</v>
      </c>
      <c r="AG317" s="94">
        <f ca="1">IF(B317=TODAY(),0,Sheet1!AA315+Sheet1!BN315+'Calculations II'!BC317+'Calculations II'!P317-Sheet1!CT315-BP317)</f>
        <v>30.772283510187375</v>
      </c>
      <c r="AH317" s="94">
        <f ca="1">IF(B317=TODAY(),0,Sheet1!AA315+Sheet1!BN315+'Calculations II'!BC317+'Calculations II'!P317-BP317)</f>
        <v>46.792283510187374</v>
      </c>
      <c r="AI317" s="94">
        <f ca="1">IF(B317=TODAY(),0,BC317+Sheet1!AA315+Calculation!ES317+O317+W317+Sheet1!BN315+Calculation!AS317+Calculation!DJ317-BP317)</f>
        <v>59.717166687757469</v>
      </c>
      <c r="AJ317" s="94"/>
      <c r="AM317" s="90">
        <f t="shared" si="68"/>
        <v>43041</v>
      </c>
      <c r="AN317" s="94">
        <f>Sheet1!BU315</f>
        <v>26.5</v>
      </c>
      <c r="AO317" s="94">
        <f>Sheet1!AA315</f>
        <v>28.1</v>
      </c>
      <c r="AP317" s="94">
        <f t="shared" si="57"/>
        <v>1.8835999999999991</v>
      </c>
      <c r="AQ317" s="1087">
        <f>((Sheet1!BV315-(Sheet1!BU315-AP317))/(Sheet1!BU315-AP317))</f>
        <v>0.19838806649225707</v>
      </c>
      <c r="AR317" s="94">
        <f t="shared" si="58"/>
        <v>26.216400000000004</v>
      </c>
      <c r="AS317" s="94">
        <f t="shared" si="59"/>
        <v>24.616400000000002</v>
      </c>
      <c r="AT317" s="89">
        <f>Sheet1!BB315</f>
        <v>0</v>
      </c>
      <c r="AU317" s="89">
        <f>Sheet1!AS315*GPMtoMGD</f>
        <v>3.3120000000000004E-2</v>
      </c>
      <c r="AV317" s="94">
        <f>Sheet1!AT315</f>
        <v>0</v>
      </c>
      <c r="AW317" s="89">
        <f>Sheet1!AV315*GPMtoMGD</f>
        <v>0.62352000000000007</v>
      </c>
      <c r="AX317" s="89">
        <f>Sheet1!AW315*GPMtoMGD</f>
        <v>0.39542400000000005</v>
      </c>
      <c r="AY317" s="89">
        <f>Sheet1!AX315*GPMtoMGD</f>
        <v>0</v>
      </c>
      <c r="AZ317" s="89">
        <f>Sheet1!AY315*GPMtoMGD</f>
        <v>0</v>
      </c>
      <c r="BA317" s="89">
        <f>Sheet1!AZ315*GPMtoMGD</f>
        <v>0</v>
      </c>
      <c r="BB317" s="89">
        <f>Sheet1!BP315*GPMtoMGD</f>
        <v>2.8800000000000002E-3</v>
      </c>
      <c r="BC317" s="89">
        <f>Sheet1!CS315*GPMtoMGD</f>
        <v>0</v>
      </c>
      <c r="BD317" s="89">
        <f>Sheet1!BO315*GPMtoMGD</f>
        <v>1.7003520000000001</v>
      </c>
      <c r="BE317" s="89">
        <f>Sheet1!BW315*GPMtoMGD</f>
        <v>1.0729440000000001</v>
      </c>
      <c r="BF317" s="89">
        <f>Sheet1!CN315*GPMtoMGD</f>
        <v>0.29088000000000003</v>
      </c>
      <c r="BG317" s="89">
        <f>Sheet1!CO315*GPMtoMGD</f>
        <v>0.59155200000000008</v>
      </c>
      <c r="BH317" s="89">
        <f>Sheet1!CP315*GPMtoMGD</f>
        <v>0</v>
      </c>
      <c r="BI317" s="89">
        <f t="shared" si="69"/>
        <v>1.7032320000000001</v>
      </c>
      <c r="BK317" s="94">
        <f>SUM(AT317:BA317,AS317,BC317,Calculation!AQ317)</f>
        <v>46.943580822429908</v>
      </c>
      <c r="BM317" s="358">
        <f>0</f>
        <v>0</v>
      </c>
      <c r="BN317" s="358">
        <f>0</f>
        <v>0</v>
      </c>
      <c r="BP317" s="94">
        <f>SUM(BM317:BN317,W317,Sheet1!DX315)</f>
        <v>0</v>
      </c>
      <c r="BR317" s="94">
        <f>Sheet1!AA315</f>
        <v>28.1</v>
      </c>
      <c r="BS317" s="94">
        <f>Sheet1!AB315</f>
        <v>34.200000000000003</v>
      </c>
      <c r="BT317" s="94">
        <f t="shared" ca="1" si="60"/>
        <v>-2.6077164898126304</v>
      </c>
      <c r="BU317" s="94">
        <f>Sheet1!AT315</f>
        <v>0</v>
      </c>
      <c r="BV317" s="89">
        <f>Sheet1!BB315</f>
        <v>0</v>
      </c>
      <c r="BW317" s="94">
        <f>Calculation!ED317</f>
        <v>12.924883177570093</v>
      </c>
      <c r="BX317" s="94">
        <f>(Sheet1!CS315*1440)/1000000</f>
        <v>0</v>
      </c>
      <c r="CA317" s="94">
        <f ca="1">Sheet1!AC315-Sheet1!BK315-Sheet1!BL315-Sheet1!BM315-Sheet1!BC315-Sheet1!BD315-Sheet1!BE315-Sheet1!BF315-Sheet1!BG315-Sheet1!BH315-Sheet1!BI315+BC317+P317</f>
        <v>46.752283510187382</v>
      </c>
      <c r="CB317" s="93">
        <f t="shared" si="61"/>
        <v>76.383305724299063</v>
      </c>
      <c r="CC317" s="94">
        <f t="shared" si="62"/>
        <v>0</v>
      </c>
      <c r="CD317" s="94">
        <f t="shared" ca="1" si="63"/>
        <v>59.677166687757477</v>
      </c>
      <c r="CE317" s="1077">
        <f t="shared" ca="1" si="64"/>
        <v>92.320576865960817</v>
      </c>
      <c r="CG317" s="1077">
        <f t="shared" ca="1" si="65"/>
        <v>46.752283510187382</v>
      </c>
    </row>
    <row r="318" spans="1:85" s="89" customFormat="1" x14ac:dyDescent="0.25">
      <c r="A318" s="616" t="s">
        <v>8</v>
      </c>
      <c r="B318" s="91">
        <v>43042</v>
      </c>
      <c r="C318" s="92">
        <v>0</v>
      </c>
      <c r="D318" s="94">
        <f>(Sheet1!BQ316-Sheet1!BQ315)*1.385</f>
        <v>0.62324999999999897</v>
      </c>
      <c r="E318" s="30">
        <f>(Sheet1!BR316-Sheet1!BR315)*1.385</f>
        <v>0.65094999999999847</v>
      </c>
      <c r="F318" s="30">
        <f ca="1">IF(B318=TODAY(),0,-(VLOOKUP(Sheet1!CD316,Lookup!$I$4:$J$216,2)-VLOOKUP(Sheet1!CD315,Lookup!$I$4:$J$216,2))/1000000)</f>
        <v>0</v>
      </c>
      <c r="G318" s="94">
        <f ca="1">IF(B318=TODAY(),0,-$G$6*(Sheet1!CF316-Sheet1!CF315)*7.48/1000000)</f>
        <v>-0.71484301894606683</v>
      </c>
      <c r="H318" s="94">
        <f ca="1">IF(B318=TODAY(),0,-$H$6*(Sheet1!CE316-Sheet1!CE315)*7.48/1000000)</f>
        <v>-3.0078864702530548E-2</v>
      </c>
      <c r="I318" s="94">
        <f ca="1">IF(B318=TODAY(),0,-$I$6*(Sheet1!CG316-Sheet1!CG315)*7.48/1000000)</f>
        <v>0</v>
      </c>
      <c r="J318" s="95" t="s">
        <v>177</v>
      </c>
      <c r="K318" s="94">
        <f ca="1">IF(B318=TODAY(),0,-$K$6*(Sheet1!CH316-Sheet1!CH315)*7.48/1000000)</f>
        <v>-1.9989961123375255E-2</v>
      </c>
      <c r="L318" s="95" t="s">
        <v>177</v>
      </c>
      <c r="M318" s="94">
        <f ca="1">IF(B318=TODAY(),0,-$M$6*(Sheet1!CI316-Sheet1!CI315)*7.48/1000000)</f>
        <v>5.3974525284080636E-2</v>
      </c>
      <c r="N318" s="94">
        <f ca="1">IF(B318=TODAY(),0,-$N$6*(Sheet1!CJ316-Sheet1!CJ315)*7.48/1000000)</f>
        <v>-0.17374656710494654</v>
      </c>
      <c r="O318" s="94">
        <f t="shared" ca="1" si="66"/>
        <v>-0.88468388659283848</v>
      </c>
      <c r="P318" s="94">
        <f ca="1">O318+Calculation!ES318</f>
        <v>-2.2699802629712331</v>
      </c>
      <c r="Q318" s="89" t="str">
        <f>IF(Sheet1!BQ316&gt;25.75,"spill elevation","-")</f>
        <v>-</v>
      </c>
      <c r="R318" s="89" t="str">
        <f>IF(Sheet1!BQ316&gt;25.75,"spill elevation","-")</f>
        <v>-</v>
      </c>
      <c r="S318" s="89" t="str">
        <f>IF(Sheet1!BR316&gt;25.75,"spill elevation","-")</f>
        <v>-</v>
      </c>
      <c r="T318" s="93">
        <f>IF(Sheet1!DU316=1,Sheet1!AA316-(SUM(AT318:BA318)+BE318),Sheet1!AA316-SUM(AT318:BA318))</f>
        <v>26.954992000000001</v>
      </c>
      <c r="U318" s="93">
        <f>Sheet1!BV316</f>
        <v>30.1</v>
      </c>
      <c r="V318" s="93">
        <f t="shared" si="67"/>
        <v>-3.1450080000000007</v>
      </c>
      <c r="W318" s="93">
        <f>0</f>
        <v>0</v>
      </c>
      <c r="X318" s="89">
        <f>0</f>
        <v>0</v>
      </c>
      <c r="Y318" s="94">
        <f ca="1">Calculation!EJ319+Calculation!ES318+'Calculations II'!O318-'Calculations II'!W318</f>
        <v>46.900041167819154</v>
      </c>
      <c r="Z318" s="94">
        <f ca="1">Y318-Sheet1!CT317</f>
        <v>30.934041167819153</v>
      </c>
      <c r="AA318" s="94">
        <f ca="1">Y318+Calculation!DJ319+Calculation!AS319</f>
        <v>59.198853648885496</v>
      </c>
      <c r="AC318" s="94">
        <f>Sheet1!AA316+Sheet1!AB316+BC318</f>
        <v>61.3</v>
      </c>
      <c r="AD318" s="94">
        <f>Sheet1!AA316+Sheet1!BN316+'Calculations II'!BC318-Calculation!AS318-Calculation!DJ318</f>
        <v>36.2067264573991</v>
      </c>
      <c r="AE318" s="94">
        <f>Sheet1!AA316+Sheet1!AB316+'Calculations II'!BC318-Calculation!AS318-Calculation!DJ318</f>
        <v>48.7067264573991</v>
      </c>
      <c r="AF318" s="94">
        <f ca="1">Sheet1!AA316+Sheet1!BN316+P318+'Calculations II'!BC318+Calculation!AS318+Calculation!DJ318</f>
        <v>59.123293279629664</v>
      </c>
      <c r="AG318" s="94">
        <f ca="1">IF(B318=TODAY(),0,Sheet1!AA316+Sheet1!BN316+'Calculations II'!BC318+'Calculations II'!P318-Sheet1!CT316-BP318)</f>
        <v>30.133019737028768</v>
      </c>
      <c r="AH318" s="94">
        <f ca="1">IF(B318=TODAY(),0,Sheet1!AA316+Sheet1!BN316+'Calculations II'!BC318+'Calculations II'!P318-BP318)</f>
        <v>46.530019737028766</v>
      </c>
      <c r="AI318" s="94">
        <f ca="1">IF(B318=TODAY(),0,BC318+Sheet1!AA316+Calculation!ES318+O318+W318+Sheet1!BN316+Calculation!AS318+Calculation!DJ318-BP318)</f>
        <v>59.123293279629664</v>
      </c>
      <c r="AJ318" s="94"/>
      <c r="AM318" s="90">
        <f t="shared" si="68"/>
        <v>43042</v>
      </c>
      <c r="AN318" s="94">
        <f>Sheet1!BU316</f>
        <v>26.5</v>
      </c>
      <c r="AO318" s="94">
        <f>Sheet1!AA316</f>
        <v>28</v>
      </c>
      <c r="AP318" s="94">
        <f t="shared" si="57"/>
        <v>1.2741999999999973</v>
      </c>
      <c r="AQ318" s="1087">
        <f>((Sheet1!BV316-(Sheet1!BU316-AP318))/(Sheet1!BU316-AP318))</f>
        <v>0.19322281156593638</v>
      </c>
      <c r="AR318" s="94">
        <f t="shared" si="58"/>
        <v>26.725800000000003</v>
      </c>
      <c r="AS318" s="94">
        <f t="shared" si="59"/>
        <v>25.225800000000003</v>
      </c>
      <c r="AT318" s="89">
        <f>Sheet1!BB316</f>
        <v>0</v>
      </c>
      <c r="AU318" s="89">
        <f>Sheet1!AS316*GPMtoMGD</f>
        <v>2.376E-2</v>
      </c>
      <c r="AV318" s="94">
        <f>Sheet1!AT316</f>
        <v>0</v>
      </c>
      <c r="AW318" s="89">
        <f>Sheet1!AV316*GPMtoMGD</f>
        <v>0.55008000000000001</v>
      </c>
      <c r="AX318" s="89">
        <f>Sheet1!AW316*GPMtoMGD</f>
        <v>0.47116800000000003</v>
      </c>
      <c r="AY318" s="89">
        <f>Sheet1!AX316*GPMtoMGD</f>
        <v>0</v>
      </c>
      <c r="AZ318" s="89">
        <f>Sheet1!AY316*GPMtoMGD</f>
        <v>0</v>
      </c>
      <c r="BA318" s="89">
        <f>Sheet1!AZ316*GPMtoMGD</f>
        <v>0</v>
      </c>
      <c r="BB318" s="89">
        <f>Sheet1!BP316*GPMtoMGD</f>
        <v>3.8880000000000004E-3</v>
      </c>
      <c r="BC318" s="89">
        <f>Sheet1!CS316*GPMtoMGD</f>
        <v>0</v>
      </c>
      <c r="BD318" s="89">
        <f>Sheet1!BO316*GPMtoMGD</f>
        <v>1.4626080000000001</v>
      </c>
      <c r="BE318" s="89">
        <f>Sheet1!BW316*GPMtoMGD</f>
        <v>0.86299199999999998</v>
      </c>
      <c r="BF318" s="89">
        <f>Sheet1!CN316*GPMtoMGD</f>
        <v>0.30556800000000001</v>
      </c>
      <c r="BG318" s="89">
        <f>Sheet1!CO316*GPMtoMGD</f>
        <v>0.61804800000000004</v>
      </c>
      <c r="BH318" s="89">
        <f>Sheet1!CP316*GPMtoMGD</f>
        <v>0</v>
      </c>
      <c r="BI318" s="89">
        <f t="shared" si="69"/>
        <v>1.466496</v>
      </c>
      <c r="BK318" s="94">
        <f>SUM(AT318:BA318,AS318,BC318,Calculation!AQ318)</f>
        <v>46.977534457399102</v>
      </c>
      <c r="BM318" s="358">
        <f>0</f>
        <v>0</v>
      </c>
      <c r="BN318" s="358">
        <f>0</f>
        <v>0</v>
      </c>
      <c r="BP318" s="94">
        <f>SUM(BM318:BN318,W318,Sheet1!DX316)</f>
        <v>0</v>
      </c>
      <c r="BR318" s="94">
        <f>Sheet1!AA316</f>
        <v>28</v>
      </c>
      <c r="BS318" s="94">
        <f>Sheet1!AB316</f>
        <v>33.299999999999997</v>
      </c>
      <c r="BT318" s="94">
        <f t="shared" ca="1" si="60"/>
        <v>-2.2699802629712331</v>
      </c>
      <c r="BU318" s="94">
        <f>Sheet1!AT316</f>
        <v>0</v>
      </c>
      <c r="BV318" s="89">
        <f>Sheet1!BB316</f>
        <v>0</v>
      </c>
      <c r="BW318" s="94">
        <f>Calculation!ED318</f>
        <v>12.593273542600894</v>
      </c>
      <c r="BX318" s="94">
        <f>(Sheet1!CS316*1440)/1000000</f>
        <v>0</v>
      </c>
      <c r="CA318" s="94">
        <f ca="1">Sheet1!AC316-Sheet1!BK316-Sheet1!BL316-Sheet1!BM316-Sheet1!BC316-Sheet1!BD316-Sheet1!BE316-Sheet1!BF316-Sheet1!BG316-Sheet1!BH316-Sheet1!BI316+BC318+P318</f>
        <v>46.380019737028753</v>
      </c>
      <c r="CB318" s="93">
        <f t="shared" si="61"/>
        <v>75.349305829596403</v>
      </c>
      <c r="CC318" s="94">
        <f t="shared" si="62"/>
        <v>0</v>
      </c>
      <c r="CD318" s="94">
        <f t="shared" ca="1" si="63"/>
        <v>58.973293279629644</v>
      </c>
      <c r="CE318" s="1077">
        <f t="shared" ca="1" si="64"/>
        <v>91.23168470358705</v>
      </c>
      <c r="CG318" s="1077">
        <f t="shared" ca="1" si="65"/>
        <v>46.380019737028753</v>
      </c>
    </row>
    <row r="319" spans="1:85" s="89" customFormat="1" x14ac:dyDescent="0.25">
      <c r="A319" s="616" t="s">
        <v>9</v>
      </c>
      <c r="B319" s="91">
        <v>43043</v>
      </c>
      <c r="C319" s="92">
        <v>0</v>
      </c>
      <c r="D319" s="94">
        <f>(Sheet1!BQ317-Sheet1!BQ316)*1.385</f>
        <v>1.1357000000000004</v>
      </c>
      <c r="E319" s="30">
        <f>(Sheet1!BR317-Sheet1!BR316)*1.385</f>
        <v>1.2188000000000037</v>
      </c>
      <c r="F319" s="30">
        <f ca="1">IF(B319=TODAY(),0,-(VLOOKUP(Sheet1!CD317,Lookup!$I$4:$J$216,2)-VLOOKUP(Sheet1!CD316,Lookup!$I$4:$J$216,2))/1000000)</f>
        <v>0.20727387709560618</v>
      </c>
      <c r="G319" s="94">
        <f ca="1">IF(B319=TODAY(),0,-$G$6*(Sheet1!CF317-Sheet1!CF316)*7.48/1000000)</f>
        <v>0.39713501052559297</v>
      </c>
      <c r="H319" s="94">
        <f ca="1">IF(B319=TODAY(),0,-$H$6*(Sheet1!CE317-Sheet1!CE316)*7.48/1000000)</f>
        <v>-1.5039432351265274E-2</v>
      </c>
      <c r="I319" s="94">
        <f ca="1">IF(B319=TODAY(),0,-$I$6*(Sheet1!CG317-Sheet1!CG316)*7.48/1000000)</f>
        <v>4.9417368000000024E-2</v>
      </c>
      <c r="J319" s="95" t="s">
        <v>177</v>
      </c>
      <c r="K319" s="94">
        <f ca="1">IF(B319=TODAY(),0,-$K$6*(Sheet1!CH317-Sheet1!CH316)*7.48/1000000)</f>
        <v>8.329150468073053E-2</v>
      </c>
      <c r="L319" s="95" t="s">
        <v>177</v>
      </c>
      <c r="M319" s="94">
        <f ca="1">IF(B319=TODAY(),0,-$M$6*(Sheet1!CI317-Sheet1!CI316)*7.48/1000000)</f>
        <v>0.23388960956435173</v>
      </c>
      <c r="N319" s="94">
        <f ca="1">IF(B319=TODAY(),0,-$N$6*(Sheet1!CJ317-Sheet1!CJ316)*7.48/1000000)</f>
        <v>0.21097797434172119</v>
      </c>
      <c r="O319" s="94">
        <f t="shared" ca="1" si="66"/>
        <v>1.1669459118567374</v>
      </c>
      <c r="P319" s="94">
        <f ca="1">O319+Calculation!ES319</f>
        <v>-1.1888207035737701</v>
      </c>
      <c r="Q319" s="89" t="str">
        <f>IF(Sheet1!BQ317&gt;25.75,"spill elevation","-")</f>
        <v>-</v>
      </c>
      <c r="R319" s="89" t="str">
        <f>IF(Sheet1!BQ317&gt;25.75,"spill elevation","-")</f>
        <v>-</v>
      </c>
      <c r="S319" s="89" t="str">
        <f>IF(Sheet1!BR317&gt;25.75,"spill elevation","-")</f>
        <v>-</v>
      </c>
      <c r="T319" s="93">
        <f>IF(Sheet1!DU317=1,Sheet1!AA317-(SUM(AT319:BA319)+BE319),Sheet1!AA317-SUM(AT319:BA319))</f>
        <v>27.178112000000002</v>
      </c>
      <c r="U319" s="93">
        <f>Sheet1!BV317</f>
        <v>28.8</v>
      </c>
      <c r="V319" s="93">
        <f t="shared" si="67"/>
        <v>-1.6218879999999984</v>
      </c>
      <c r="W319" s="93">
        <f>0</f>
        <v>0</v>
      </c>
      <c r="X319" s="89">
        <f>0</f>
        <v>0</v>
      </c>
      <c r="Y319" s="94">
        <f ca="1">Calculation!EJ320+Calculation!ES319+'Calculations II'!O319-'Calculations II'!W319</f>
        <v>45.494077716092555</v>
      </c>
      <c r="Z319" s="94">
        <f ca="1">Y319-Sheet1!CT318</f>
        <v>29.585077716092556</v>
      </c>
      <c r="AA319" s="94">
        <f ca="1">Y319+Calculation!DJ320+Calculation!AS320</f>
        <v>57.777951731840588</v>
      </c>
      <c r="AC319" s="94">
        <f>Sheet1!AA317+Sheet1!AB317+BC319</f>
        <v>61.08</v>
      </c>
      <c r="AD319" s="94">
        <f>Sheet1!AA317+Sheet1!BN317+'Calculations II'!BC319-Calculation!AS319-Calculation!DJ319</f>
        <v>36.501187518933655</v>
      </c>
      <c r="AE319" s="94">
        <f>Sheet1!AA317+Sheet1!AB317+'Calculations II'!BC319-Calculation!AS319-Calculation!DJ319</f>
        <v>48.781187518933656</v>
      </c>
      <c r="AF319" s="94">
        <f ca="1">Sheet1!AA317+Sheet1!BN317+P319+'Calculations II'!BC319+Calculation!AS319+Calculation!DJ319</f>
        <v>59.909991777492571</v>
      </c>
      <c r="AG319" s="94">
        <f ca="1">IF(B319=TODAY(),0,Sheet1!AA317+Sheet1!BN317+'Calculations II'!BC319+'Calculations II'!P319-Sheet1!CT317-BP319)</f>
        <v>31.645179296426228</v>
      </c>
      <c r="AH319" s="94">
        <f ca="1">IF(B319=TODAY(),0,Sheet1!AA317+Sheet1!BN317+'Calculations II'!BC319+'Calculations II'!P319-BP319)</f>
        <v>47.611179296426229</v>
      </c>
      <c r="AI319" s="94">
        <f ca="1">IF(B319=TODAY(),0,BC319+Sheet1!AA317+Calculation!ES319+O319+W319+Sheet1!BN317+Calculation!AS319+Calculation!DJ319-BP319)</f>
        <v>59.909991777492571</v>
      </c>
      <c r="AJ319" s="94"/>
      <c r="AM319" s="90">
        <f t="shared" si="68"/>
        <v>43043</v>
      </c>
      <c r="AN319" s="94">
        <f>Sheet1!BU317</f>
        <v>26.4</v>
      </c>
      <c r="AO319" s="94">
        <f>Sheet1!AA317</f>
        <v>28.1</v>
      </c>
      <c r="AP319" s="94">
        <f t="shared" si="57"/>
        <v>2.3545000000000043</v>
      </c>
      <c r="AQ319" s="1087">
        <f>((Sheet1!BV317-(Sheet1!BU317-AP319))/(Sheet1!BU317-AP319))</f>
        <v>0.19772930485953749</v>
      </c>
      <c r="AR319" s="94">
        <f t="shared" si="58"/>
        <v>25.745499999999996</v>
      </c>
      <c r="AS319" s="94">
        <f t="shared" si="59"/>
        <v>24.045499999999993</v>
      </c>
      <c r="AT319" s="89">
        <f>Sheet1!BB317</f>
        <v>0</v>
      </c>
      <c r="AU319" s="89">
        <f>Sheet1!AS317*GPMtoMGD</f>
        <v>2.5055999999999998E-2</v>
      </c>
      <c r="AV319" s="94">
        <f>Sheet1!AT317</f>
        <v>0</v>
      </c>
      <c r="AW319" s="89">
        <f>Sheet1!AV317*GPMtoMGD</f>
        <v>0.47145599999999999</v>
      </c>
      <c r="AX319" s="89">
        <f>Sheet1!AW317*GPMtoMGD</f>
        <v>0.42537599999999998</v>
      </c>
      <c r="AY319" s="89">
        <f>Sheet1!AX317*GPMtoMGD</f>
        <v>0</v>
      </c>
      <c r="AZ319" s="89">
        <f>Sheet1!AY317*GPMtoMGD</f>
        <v>0</v>
      </c>
      <c r="BA319" s="89">
        <f>Sheet1!AZ317*GPMtoMGD</f>
        <v>0</v>
      </c>
      <c r="BB319" s="89">
        <f>Sheet1!BP317*GPMtoMGD</f>
        <v>3.8880000000000004E-3</v>
      </c>
      <c r="BC319" s="89">
        <f>Sheet1!CS317*GPMtoMGD</f>
        <v>0</v>
      </c>
      <c r="BD319" s="89">
        <f>Sheet1!BO317*GPMtoMGD</f>
        <v>1.3855680000000001</v>
      </c>
      <c r="BE319" s="89">
        <f>Sheet1!BW317*GPMtoMGD</f>
        <v>1.1175840000000001</v>
      </c>
      <c r="BF319" s="89">
        <f>Sheet1!CN317*GPMtoMGD</f>
        <v>0.41083200000000003</v>
      </c>
      <c r="BG319" s="89">
        <f>Sheet1!CO317*GPMtoMGD</f>
        <v>0.61761600000000005</v>
      </c>
      <c r="BH319" s="89">
        <f>Sheet1!CP317*GPMtoMGD</f>
        <v>0</v>
      </c>
      <c r="BI319" s="89">
        <f t="shared" si="69"/>
        <v>1.389456</v>
      </c>
      <c r="BK319" s="94">
        <f>SUM(AT319:BA319,AS319,BC319,Calculation!AQ319)</f>
        <v>45.648575518933647</v>
      </c>
      <c r="BM319" s="358">
        <f>0</f>
        <v>0</v>
      </c>
      <c r="BN319" s="358">
        <f>0</f>
        <v>0</v>
      </c>
      <c r="BP319" s="94">
        <f>SUM(BM319:BN319,W319,Sheet1!DX317)</f>
        <v>0</v>
      </c>
      <c r="BR319" s="94">
        <f>Sheet1!AA317</f>
        <v>28.1</v>
      </c>
      <c r="BS319" s="94">
        <f>Sheet1!AB317</f>
        <v>32.979999999999997</v>
      </c>
      <c r="BT319" s="94">
        <f t="shared" ca="1" si="60"/>
        <v>-1.1888207035737701</v>
      </c>
      <c r="BU319" s="94">
        <f>Sheet1!AT317</f>
        <v>0</v>
      </c>
      <c r="BV319" s="89">
        <f>Sheet1!BB317</f>
        <v>0</v>
      </c>
      <c r="BW319" s="94">
        <f>Calculation!ED319</f>
        <v>12.298812481066342</v>
      </c>
      <c r="BX319" s="94">
        <f>(Sheet1!CS317*1440)/1000000</f>
        <v>0</v>
      </c>
      <c r="CA319" s="94">
        <f ca="1">Sheet1!AC317-Sheet1!BK317-Sheet1!BL317-Sheet1!BM317-Sheet1!BC317-Sheet1!BD317-Sheet1!BE317-Sheet1!BF317-Sheet1!BG317-Sheet1!BH317-Sheet1!BI317+BC319+P319</f>
        <v>47.581179296426235</v>
      </c>
      <c r="CB319" s="93">
        <f t="shared" si="61"/>
        <v>75.464497091790363</v>
      </c>
      <c r="CC319" s="94">
        <f t="shared" si="62"/>
        <v>0</v>
      </c>
      <c r="CD319" s="94">
        <f t="shared" ca="1" si="63"/>
        <v>59.879991777492577</v>
      </c>
      <c r="CE319" s="1077">
        <f t="shared" ca="1" si="64"/>
        <v>92.634347279781011</v>
      </c>
      <c r="CG319" s="1077">
        <f t="shared" ca="1" si="65"/>
        <v>47.581179296426235</v>
      </c>
    </row>
    <row r="320" spans="1:85" s="89" customFormat="1" x14ac:dyDescent="0.25">
      <c r="A320" s="616" t="s">
        <v>3</v>
      </c>
      <c r="B320" s="91">
        <v>43044</v>
      </c>
      <c r="C320" s="92">
        <v>0</v>
      </c>
      <c r="D320" s="94">
        <f>(Sheet1!BQ318-Sheet1!BQ317)*1.385</f>
        <v>0.27699999999999902</v>
      </c>
      <c r="E320" s="30">
        <f>(Sheet1!BR318-Sheet1!BR317)*1.385</f>
        <v>0.16619999999999646</v>
      </c>
      <c r="F320" s="30">
        <f ca="1">IF(B320=TODAY(),0,-(VLOOKUP(Sheet1!CD318,Lookup!$I$4:$J$216,2)-VLOOKUP(Sheet1!CD317,Lookup!$I$4:$J$216,2))/1000000)</f>
        <v>-0.10363693854779936</v>
      </c>
      <c r="G320" s="94">
        <f ca="1">IF(B320=TODAY(),0,-$G$6*(Sheet1!CF318-Sheet1!CF317)*7.48/1000000)</f>
        <v>0.39713501052559297</v>
      </c>
      <c r="H320" s="94">
        <f ca="1">IF(B320=TODAY(),0,-$H$6*(Sheet1!CE318-Sheet1!CE317)*7.48/1000000)</f>
        <v>-1.5039432351264204E-2</v>
      </c>
      <c r="I320" s="94">
        <f ca="1">IF(B320=TODAY(),0,-$I$6*(Sheet1!CG318-Sheet1!CG317)*7.48/1000000)</f>
        <v>-5.8402343999999995E-2</v>
      </c>
      <c r="J320" s="95" t="s">
        <v>177</v>
      </c>
      <c r="K320" s="94">
        <f ca="1">IF(B320=TODAY(),0,-$K$6*(Sheet1!CH318-Sheet1!CH317)*7.48/1000000)</f>
        <v>-9.6618145429647487E-2</v>
      </c>
      <c r="L320" s="95" t="s">
        <v>177</v>
      </c>
      <c r="M320" s="94">
        <f ca="1">IF(B320=TODAY(),0,-$M$6*(Sheet1!CI318-Sheet1!CI317)*7.48/1000000)</f>
        <v>-0.28786413484843237</v>
      </c>
      <c r="N320" s="94">
        <f ca="1">IF(B320=TODAY(),0,-$N$6*(Sheet1!CJ318-Sheet1!CJ317)*7.48/1000000)</f>
        <v>-6.8257579934085932E-2</v>
      </c>
      <c r="O320" s="94">
        <f t="shared" ca="1" si="66"/>
        <v>-0.23268356458563638</v>
      </c>
      <c r="P320" s="94">
        <f ca="1">O320+Calculation!ES320</f>
        <v>-0.64847118902315115</v>
      </c>
      <c r="Q320" s="89" t="str">
        <f>IF(Sheet1!BQ318&gt;25.75,"spill elevation","-")</f>
        <v>-</v>
      </c>
      <c r="R320" s="89" t="str">
        <f>IF(Sheet1!BQ318&gt;25.75,"spill elevation","-")</f>
        <v>-</v>
      </c>
      <c r="S320" s="89" t="str">
        <f>IF(Sheet1!BR318&gt;25.75,"spill elevation","-")</f>
        <v>-</v>
      </c>
      <c r="T320" s="93">
        <f>IF(Sheet1!DU318=1,Sheet1!AA318-(SUM(AT320:BA320)+BE320),Sheet1!AA318-SUM(AT320:BA320))</f>
        <v>26.480544000000002</v>
      </c>
      <c r="U320" s="93">
        <f>Sheet1!BV318</f>
        <v>31.2</v>
      </c>
      <c r="V320" s="93">
        <f t="shared" si="67"/>
        <v>-4.7194559999999974</v>
      </c>
      <c r="W320" s="93">
        <f>0</f>
        <v>0</v>
      </c>
      <c r="X320" s="89">
        <f>0</f>
        <v>0</v>
      </c>
      <c r="Y320" s="94">
        <f ca="1">Calculation!EJ321+Calculation!ES320+'Calculations II'!O320-'Calculations II'!W320</f>
        <v>42.76877025138441</v>
      </c>
      <c r="Z320" s="94">
        <f ca="1">Y320-Sheet1!CT319</f>
        <v>26.586770251384412</v>
      </c>
      <c r="AA320" s="94">
        <f ca="1">Y320+Calculation!DJ321+Calculation!AS321</f>
        <v>55.280429145455031</v>
      </c>
      <c r="AC320" s="94">
        <f>Sheet1!AA318+Sheet1!AB318+BC320</f>
        <v>59.18</v>
      </c>
      <c r="AD320" s="94">
        <f>Sheet1!AA318+Sheet1!BN318+'Calculations II'!BC320-Calculation!AS320-Calculation!DJ320</f>
        <v>34.716125984251974</v>
      </c>
      <c r="AE320" s="94">
        <f>Sheet1!AA318+Sheet1!AB318+'Calculations II'!BC320-Calculation!AS320-Calculation!DJ320</f>
        <v>46.896125984251967</v>
      </c>
      <c r="AF320" s="94">
        <f ca="1">Sheet1!AA318+Sheet1!BN318+P320+'Calculations II'!BC320+Calculation!AS320+Calculation!DJ320</f>
        <v>58.635402826724885</v>
      </c>
      <c r="AG320" s="94">
        <f ca="1">IF(B320=TODAY(),0,Sheet1!AA318+Sheet1!BN318+'Calculations II'!BC320+'Calculations II'!P320-Sheet1!CT318-BP320)</f>
        <v>30.442528810976853</v>
      </c>
      <c r="AH320" s="94">
        <f ca="1">IF(B320=TODAY(),0,Sheet1!AA318+Sheet1!BN318+'Calculations II'!BC320+'Calculations II'!P320-BP320)</f>
        <v>46.351528810976852</v>
      </c>
      <c r="AI320" s="94">
        <f ca="1">IF(B320=TODAY(),0,BC320+Sheet1!AA318+Calculation!ES320+O320+W320+Sheet1!BN318+Calculation!AS320+Calculation!DJ320-BP320)</f>
        <v>58.635402826724885</v>
      </c>
      <c r="AJ320" s="94"/>
      <c r="AM320" s="90">
        <f t="shared" si="68"/>
        <v>43044</v>
      </c>
      <c r="AN320" s="94">
        <f>Sheet1!BU318</f>
        <v>26.5</v>
      </c>
      <c r="AO320" s="94">
        <f>Sheet1!AA318</f>
        <v>27.6</v>
      </c>
      <c r="AP320" s="94">
        <f t="shared" si="57"/>
        <v>0.44319999999999549</v>
      </c>
      <c r="AQ320" s="1087">
        <f>((Sheet1!BV318-(Sheet1!BU318-AP320))/(Sheet1!BU318-AP320))</f>
        <v>0.19738417610758005</v>
      </c>
      <c r="AR320" s="94">
        <f t="shared" si="58"/>
        <v>27.156800000000008</v>
      </c>
      <c r="AS320" s="94">
        <f t="shared" si="59"/>
        <v>26.056800000000006</v>
      </c>
      <c r="AT320" s="89">
        <f>Sheet1!BB318</f>
        <v>0</v>
      </c>
      <c r="AU320" s="89">
        <f>Sheet1!AS318*GPMtoMGD</f>
        <v>2.5055999999999998E-2</v>
      </c>
      <c r="AV320" s="94">
        <f>Sheet1!AT318</f>
        <v>0</v>
      </c>
      <c r="AW320" s="89">
        <f>Sheet1!AV318*GPMtoMGD</f>
        <v>0.68472</v>
      </c>
      <c r="AX320" s="89">
        <f>Sheet1!AW318*GPMtoMGD</f>
        <v>0.40968000000000004</v>
      </c>
      <c r="AY320" s="89">
        <f>Sheet1!AX318*GPMtoMGD</f>
        <v>0</v>
      </c>
      <c r="AZ320" s="89">
        <f>Sheet1!AY318*GPMtoMGD</f>
        <v>0</v>
      </c>
      <c r="BA320" s="89">
        <f>Sheet1!AZ318*GPMtoMGD</f>
        <v>0</v>
      </c>
      <c r="BB320" s="89">
        <f>Sheet1!BP318*GPMtoMGD</f>
        <v>4.176E-3</v>
      </c>
      <c r="BC320" s="89">
        <f>Sheet1!CS318*GPMtoMGD</f>
        <v>0</v>
      </c>
      <c r="BD320" s="89">
        <f>Sheet1!BO318*GPMtoMGD</f>
        <v>2.0024639999999998</v>
      </c>
      <c r="BE320" s="89">
        <f>Sheet1!BW318*GPMtoMGD</f>
        <v>1.0664640000000001</v>
      </c>
      <c r="BF320" s="89">
        <f>Sheet1!CN318*GPMtoMGD</f>
        <v>0.40867200000000004</v>
      </c>
      <c r="BG320" s="89">
        <f>Sheet1!CO318*GPMtoMGD</f>
        <v>0.61718400000000007</v>
      </c>
      <c r="BH320" s="89">
        <f>Sheet1!CP318*GPMtoMGD</f>
        <v>0</v>
      </c>
      <c r="BI320" s="89">
        <f t="shared" si="69"/>
        <v>2.00664</v>
      </c>
      <c r="BK320" s="94">
        <f>SUM(AT320:BA320,AS320,BC320,Calculation!AQ320)</f>
        <v>46.472381984251967</v>
      </c>
      <c r="BM320" s="358">
        <f>0</f>
        <v>0</v>
      </c>
      <c r="BN320" s="358">
        <f>0</f>
        <v>0</v>
      </c>
      <c r="BP320" s="94">
        <f>SUM(BM320:BN320,W320,Sheet1!DX318)</f>
        <v>0</v>
      </c>
      <c r="BR320" s="94">
        <f>Sheet1!AA318</f>
        <v>27.6</v>
      </c>
      <c r="BS320" s="94">
        <f>Sheet1!AB318</f>
        <v>31.58</v>
      </c>
      <c r="BT320" s="94">
        <f t="shared" ca="1" si="60"/>
        <v>-0.64847118902315115</v>
      </c>
      <c r="BU320" s="94">
        <f>Sheet1!AT318</f>
        <v>0</v>
      </c>
      <c r="BV320" s="89">
        <f>Sheet1!BB318</f>
        <v>0</v>
      </c>
      <c r="BW320" s="94">
        <f>Calculation!ED320</f>
        <v>12.28387401574803</v>
      </c>
      <c r="BX320" s="94">
        <f>(Sheet1!CS318*1440)/1000000</f>
        <v>0</v>
      </c>
      <c r="CA320" s="94">
        <f ca="1">Sheet1!AC318-Sheet1!BK318-Sheet1!BL318-Sheet1!BM318-Sheet1!BC318-Sheet1!BD318-Sheet1!BE318-Sheet1!BF318-Sheet1!BG318-Sheet1!BH318-Sheet1!BI318+BC320+P320</f>
        <v>46.181528810976843</v>
      </c>
      <c r="CB320" s="93">
        <f t="shared" si="61"/>
        <v>72.548306897637787</v>
      </c>
      <c r="CC320" s="94">
        <f t="shared" si="62"/>
        <v>0</v>
      </c>
      <c r="CD320" s="94">
        <f t="shared" ca="1" si="63"/>
        <v>58.465402826724869</v>
      </c>
      <c r="CE320" s="1077">
        <f t="shared" ca="1" si="64"/>
        <v>90.44597817294337</v>
      </c>
      <c r="CG320" s="1077">
        <f t="shared" ca="1" si="65"/>
        <v>46.181528810976843</v>
      </c>
    </row>
    <row r="321" spans="1:85" s="89" customFormat="1" x14ac:dyDescent="0.25">
      <c r="A321" s="616" t="s">
        <v>4</v>
      </c>
      <c r="B321" s="91">
        <v>43045</v>
      </c>
      <c r="C321" s="92">
        <v>0</v>
      </c>
      <c r="D321" s="94">
        <f>(Sheet1!BQ319-Sheet1!BQ318)*1.385</f>
        <v>-1.661999999999999</v>
      </c>
      <c r="E321" s="30">
        <f>(Sheet1!BR319-Sheet1!BR318)*1.385</f>
        <v>-1.6481499999999969</v>
      </c>
      <c r="F321" s="30">
        <f ca="1">IF(B321=TODAY(),0,-(VLOOKUP(Sheet1!CD319,Lookup!$I$4:$J$216,2)-VLOOKUP(Sheet1!CD318,Lookup!$I$4:$J$216,2))/1000000)</f>
        <v>-0.51818469273900425</v>
      </c>
      <c r="G321" s="94">
        <f ca="1">IF(B321=TODAY(),0,-$G$6*(Sheet1!CF319-Sheet1!CF318)*7.48/1000000)</f>
        <v>-0.83398352210374516</v>
      </c>
      <c r="H321" s="94">
        <f ca="1">IF(B321=TODAY(),0,-$H$6*(Sheet1!CE319-Sheet1!CE318)*7.48/1000000)</f>
        <v>0</v>
      </c>
      <c r="I321" s="94">
        <f ca="1">IF(B321=TODAY(),0,-$I$6*(Sheet1!CG319-Sheet1!CG318)*7.48/1000000)</f>
        <v>6.7387320000000001E-2</v>
      </c>
      <c r="J321" s="95" t="s">
        <v>177</v>
      </c>
      <c r="K321" s="94">
        <f ca="1">IF(B321=TODAY(),0,-$K$6*(Sheet1!CH319-Sheet1!CH318)*7.48/1000000)</f>
        <v>0.11327644636579358</v>
      </c>
      <c r="L321" s="95" t="s">
        <v>177</v>
      </c>
      <c r="M321" s="94">
        <f ca="1">IF(B321=TODAY(),0,-$M$6*(Sheet1!CI319-Sheet1!CI318)*7.48/1000000)</f>
        <v>0.32384715170448636</v>
      </c>
      <c r="N321" s="94">
        <f ca="1">IF(B321=TODAY(),0,-$N$6*(Sheet1!CJ319-Sheet1!CJ318)*7.48/1000000)</f>
        <v>-0.3536983687493564</v>
      </c>
      <c r="O321" s="94">
        <f t="shared" ca="1" si="66"/>
        <v>-1.201355665521826</v>
      </c>
      <c r="P321" s="94">
        <f ca="1">O321+Calculation!ES321</f>
        <v>2.1243555808348069</v>
      </c>
      <c r="Q321" s="89" t="str">
        <f>IF(Sheet1!BQ319&gt;25.75,"spill elevation","-")</f>
        <v>-</v>
      </c>
      <c r="R321" s="89" t="str">
        <f>IF(Sheet1!BQ319&gt;25.75,"spill elevation","-")</f>
        <v>-</v>
      </c>
      <c r="S321" s="89" t="str">
        <f>IF(Sheet1!BR319&gt;25.75,"spill elevation","-")</f>
        <v>-</v>
      </c>
      <c r="T321" s="93">
        <f>IF(Sheet1!DU319=1,Sheet1!AA319-(SUM(AT321:BA321)+BE321),Sheet1!AA319-SUM(AT321:BA321))</f>
        <v>26.929743999999999</v>
      </c>
      <c r="U321" s="93">
        <f>Sheet1!BV319</f>
        <v>34.700000000000003</v>
      </c>
      <c r="V321" s="93">
        <f t="shared" si="67"/>
        <v>-7.7702560000000034</v>
      </c>
      <c r="W321" s="93">
        <f>0</f>
        <v>0</v>
      </c>
      <c r="X321" s="89">
        <f>0</f>
        <v>0</v>
      </c>
      <c r="Y321" s="94">
        <f ca="1">Calculation!EJ322+Calculation!ES321+'Calculations II'!O321-'Calculations II'!W321</f>
        <v>48.937314151270115</v>
      </c>
      <c r="Z321" s="94">
        <f ca="1">Y321-Sheet1!CT320</f>
        <v>34.186314151270118</v>
      </c>
      <c r="AA321" s="94">
        <f ca="1">Y321+Calculation!DJ322+Calculation!AS322</f>
        <v>61.633404376834022</v>
      </c>
      <c r="AC321" s="94">
        <f>Sheet1!AA319+Sheet1!AB319+BC321</f>
        <v>58.06</v>
      </c>
      <c r="AD321" s="94">
        <f>Sheet1!AA319+Sheet1!BN319+'Calculations II'!BC321-Calculation!AS321-Calculation!DJ321</f>
        <v>33.048341105929381</v>
      </c>
      <c r="AE321" s="94">
        <f>Sheet1!AA319+Sheet1!AB319+'Calculations II'!BC321-Calculation!AS321-Calculation!DJ321</f>
        <v>45.548341105929381</v>
      </c>
      <c r="AF321" s="94">
        <f ca="1">Sheet1!AA319+Sheet1!BN319+P321+'Calculations II'!BC321+Calculation!AS321+Calculation!DJ321</f>
        <v>60.196014474905432</v>
      </c>
      <c r="AG321" s="94">
        <f ca="1">IF(B321=TODAY(),0,Sheet1!AA319+Sheet1!BN319+'Calculations II'!BC321+'Calculations II'!P321-Sheet1!CT319-BP321)</f>
        <v>31.502355580834813</v>
      </c>
      <c r="AH321" s="94">
        <f ca="1">IF(B321=TODAY(),0,Sheet1!AA319+Sheet1!BN319+'Calculations II'!BC321+'Calculations II'!P321-BP321)</f>
        <v>47.684355580834811</v>
      </c>
      <c r="AI321" s="94">
        <f ca="1">IF(B321=TODAY(),0,BC321+Sheet1!AA319+Calculation!ES321+O321+W321+Sheet1!BN319+Calculation!AS321+Calculation!DJ321-BP321)</f>
        <v>60.196014474905425</v>
      </c>
      <c r="AJ321" s="94"/>
      <c r="AM321" s="90">
        <f t="shared" si="68"/>
        <v>43045</v>
      </c>
      <c r="AN321" s="94">
        <f>Sheet1!BU319</f>
        <v>26</v>
      </c>
      <c r="AO321" s="94">
        <f>Sheet1!AA319</f>
        <v>28.06</v>
      </c>
      <c r="AP321" s="94">
        <f t="shared" si="57"/>
        <v>-3.3101499999999957</v>
      </c>
      <c r="AQ321" s="1087">
        <f>((Sheet1!BV319-(Sheet1!BU319-AP321))/(Sheet1!BU319-AP321))</f>
        <v>0.18389022232912514</v>
      </c>
      <c r="AR321" s="94">
        <f t="shared" si="58"/>
        <v>31.370149999999995</v>
      </c>
      <c r="AS321" s="94">
        <f t="shared" si="59"/>
        <v>29.310149999999997</v>
      </c>
      <c r="AT321" s="89">
        <f>Sheet1!BB319</f>
        <v>0</v>
      </c>
      <c r="AU321" s="89">
        <f>Sheet1!AS319*GPMtoMGD</f>
        <v>3.0240000000000003E-2</v>
      </c>
      <c r="AV321" s="94">
        <f>Sheet1!AT319</f>
        <v>0</v>
      </c>
      <c r="AW321" s="89">
        <f>Sheet1!AV319*GPMtoMGD</f>
        <v>0.5796</v>
      </c>
      <c r="AX321" s="89">
        <f>Sheet1!AW319*GPMtoMGD</f>
        <v>0.52041599999999999</v>
      </c>
      <c r="AY321" s="89">
        <f>Sheet1!AX319*GPMtoMGD</f>
        <v>0</v>
      </c>
      <c r="AZ321" s="89">
        <f>Sheet1!AY319*GPMtoMGD</f>
        <v>0</v>
      </c>
      <c r="BA321" s="89">
        <f>Sheet1!AZ319*GPMtoMGD</f>
        <v>0</v>
      </c>
      <c r="BB321" s="89">
        <f>Sheet1!BP319*GPMtoMGD</f>
        <v>3.7440000000000004E-3</v>
      </c>
      <c r="BC321" s="89">
        <f>Sheet1!CS319*GPMtoMGD</f>
        <v>0</v>
      </c>
      <c r="BD321" s="89">
        <f>Sheet1!BO319*GPMtoMGD</f>
        <v>1.14696</v>
      </c>
      <c r="BE321" s="89">
        <f>Sheet1!BW319*GPMtoMGD</f>
        <v>0.85737600000000003</v>
      </c>
      <c r="BF321" s="89">
        <f>Sheet1!CN319*GPMtoMGD</f>
        <v>0.34545600000000004</v>
      </c>
      <c r="BG321" s="89">
        <f>Sheet1!CO319*GPMtoMGD</f>
        <v>0.64483200000000007</v>
      </c>
      <c r="BH321" s="89">
        <f>Sheet1!CP319*GPMtoMGD</f>
        <v>0</v>
      </c>
      <c r="BI321" s="89">
        <f t="shared" si="69"/>
        <v>1.1507039999999999</v>
      </c>
      <c r="BK321" s="94">
        <f>SUM(AT321:BA321,AS321,BC321,Calculation!AQ321)</f>
        <v>47.928747105929375</v>
      </c>
      <c r="BM321" s="358">
        <f>0</f>
        <v>0</v>
      </c>
      <c r="BN321" s="358">
        <f>0</f>
        <v>0</v>
      </c>
      <c r="BP321" s="94">
        <f>SUM(BM321:BN321,W321,Sheet1!DX319)</f>
        <v>0</v>
      </c>
      <c r="BR321" s="94">
        <f>Sheet1!AA319</f>
        <v>28.06</v>
      </c>
      <c r="BS321" s="94">
        <f>Sheet1!AB319</f>
        <v>30</v>
      </c>
      <c r="BT321" s="94">
        <f t="shared" ca="1" si="60"/>
        <v>2.1243555808348069</v>
      </c>
      <c r="BU321" s="94">
        <f>Sheet1!AT319</f>
        <v>0</v>
      </c>
      <c r="BV321" s="89">
        <f>Sheet1!BB319</f>
        <v>0</v>
      </c>
      <c r="BW321" s="94">
        <f>Calculation!ED321</f>
        <v>12.511658894070621</v>
      </c>
      <c r="BX321" s="94">
        <f>(Sheet1!CS319*1440)/1000000</f>
        <v>0</v>
      </c>
      <c r="CA321" s="94">
        <f ca="1">Sheet1!AC319-Sheet1!BK319-Sheet1!BL319-Sheet1!BM319-Sheet1!BC319-Sheet1!BD319-Sheet1!BE319-Sheet1!BF319-Sheet1!BG319-Sheet1!BH319-Sheet1!BI319+BC321+P321</f>
        <v>47.664355580834808</v>
      </c>
      <c r="CB321" s="93">
        <f t="shared" si="61"/>
        <v>70.463283690872757</v>
      </c>
      <c r="CC321" s="94">
        <f t="shared" si="62"/>
        <v>0</v>
      </c>
      <c r="CD321" s="94">
        <f t="shared" ca="1" si="63"/>
        <v>60.176014474905429</v>
      </c>
      <c r="CE321" s="1077">
        <f t="shared" ca="1" si="64"/>
        <v>93.092294392678696</v>
      </c>
      <c r="CG321" s="1077">
        <f t="shared" ca="1" si="65"/>
        <v>47.664355580834808</v>
      </c>
    </row>
    <row r="322" spans="1:85" s="89" customFormat="1" x14ac:dyDescent="0.25">
      <c r="A322" s="616" t="s">
        <v>5</v>
      </c>
      <c r="B322" s="91">
        <v>43046</v>
      </c>
      <c r="C322" s="92">
        <v>0</v>
      </c>
      <c r="D322" s="94">
        <f>(Sheet1!BQ320-Sheet1!BQ319)*1.385</f>
        <v>0.47089999999999982</v>
      </c>
      <c r="E322" s="30">
        <f>(Sheet1!BR320-Sheet1!BR319)*1.385</f>
        <v>0.58169999999999744</v>
      </c>
      <c r="F322" s="30">
        <f ca="1">IF(B322=TODAY(),0,-(VLOOKUP(Sheet1!CD320,Lookup!$I$4:$J$216,2)-VLOOKUP(Sheet1!CD319,Lookup!$I$4:$J$216,2))/1000000)</f>
        <v>0.20727387709559872</v>
      </c>
      <c r="G322" s="94">
        <f ca="1">IF(B322=TODAY(),0,-$G$6*(Sheet1!CF320-Sheet1!CF319)*7.48/1000000)</f>
        <v>0.35742150947303314</v>
      </c>
      <c r="H322" s="94">
        <f ca="1">IF(B322=TODAY(),0,-$H$6*(Sheet1!CE320-Sheet1!CE319)*7.48/1000000)</f>
        <v>0</v>
      </c>
      <c r="I322" s="94">
        <f ca="1">IF(B322=TODAY(),0,-$I$6*(Sheet1!CG320-Sheet1!CG319)*7.48/1000000)</f>
        <v>-7.1879807999999989E-2</v>
      </c>
      <c r="J322" s="95" t="s">
        <v>177</v>
      </c>
      <c r="K322" s="94">
        <f ca="1">IF(B322=TODAY(),0,-$K$6*(Sheet1!CH320-Sheet1!CH319)*7.48/1000000)</f>
        <v>-0.12660308711471041</v>
      </c>
      <c r="L322" s="95" t="s">
        <v>177</v>
      </c>
      <c r="M322" s="94">
        <f ca="1">IF(B322=TODAY(),0,-$M$6*(Sheet1!CI320-Sheet1!CI319)*7.48/1000000)</f>
        <v>-0.32384715170448636</v>
      </c>
      <c r="N322" s="94">
        <f ca="1">IF(B322=TODAY(),0,-$N$6*(Sheet1!CJ320-Sheet1!CJ319)*7.48/1000000)</f>
        <v>0.1178994562497851</v>
      </c>
      <c r="O322" s="94">
        <f t="shared" ca="1" si="66"/>
        <v>0.16026479599922017</v>
      </c>
      <c r="P322" s="94">
        <f ca="1">O322+Calculation!ES322</f>
        <v>-0.80957085801229012</v>
      </c>
      <c r="Q322" s="89" t="str">
        <f>IF(Sheet1!BQ320&gt;25.75,"spill elevation","-")</f>
        <v>-</v>
      </c>
      <c r="R322" s="89" t="str">
        <f>IF(Sheet1!BQ320&gt;25.75,"spill elevation","-")</f>
        <v>-</v>
      </c>
      <c r="S322" s="89" t="str">
        <f>IF(Sheet1!BR320&gt;25.75,"spill elevation","-")</f>
        <v>-</v>
      </c>
      <c r="T322" s="93">
        <f>IF(Sheet1!DU320=1,Sheet1!AA320-(SUM(AT322:BA322)+BE322),Sheet1!AA320-SUM(AT322:BA322))</f>
        <v>26.931215999999999</v>
      </c>
      <c r="U322" s="93">
        <f>Sheet1!BV320</f>
        <v>30</v>
      </c>
      <c r="V322" s="93">
        <f t="shared" si="67"/>
        <v>-3.0687840000000008</v>
      </c>
      <c r="W322" s="93">
        <f>0</f>
        <v>0</v>
      </c>
      <c r="X322" s="89">
        <f>0</f>
        <v>0</v>
      </c>
      <c r="Y322" s="94">
        <f ca="1">Calculation!EJ323+Calculation!ES322+'Calculations II'!O322-'Calculations II'!W322</f>
        <v>47.52733041572499</v>
      </c>
      <c r="Z322" s="94">
        <f ca="1">Y322-Sheet1!CT321</f>
        <v>32.025330415724987</v>
      </c>
      <c r="AA322" s="94">
        <f ca="1">Y322+Calculation!DJ323+Calculation!AS323</f>
        <v>60.054089786946271</v>
      </c>
      <c r="AC322" s="94">
        <f>Sheet1!AA320+Sheet1!AB320+BC322</f>
        <v>59.879999999999995</v>
      </c>
      <c r="AD322" s="94">
        <f>Sheet1!AA320+Sheet1!BN320+'Calculations II'!BC322-Calculation!AS322-Calculation!DJ322</f>
        <v>34.523909774436092</v>
      </c>
      <c r="AE322" s="94">
        <f>Sheet1!AA320+Sheet1!AB320+'Calculations II'!BC322-Calculation!AS322-Calculation!DJ322</f>
        <v>47.183909774436088</v>
      </c>
      <c r="AF322" s="94">
        <f ca="1">Sheet1!AA320+Sheet1!BN320+P322+'Calculations II'!BC322+Calculation!AS322+Calculation!DJ322</f>
        <v>59.106519367551613</v>
      </c>
      <c r="AG322" s="94">
        <f ca="1">IF(B322=TODAY(),0,Sheet1!AA320+Sheet1!BN320+'Calculations II'!BC322+'Calculations II'!P322-Sheet1!CT320-BP322)</f>
        <v>31.659429141987708</v>
      </c>
      <c r="AH322" s="94">
        <f ca="1">IF(B322=TODAY(),0,Sheet1!AA320+Sheet1!BN320+'Calculations II'!BC322+'Calculations II'!P322-BP322)</f>
        <v>46.410429141987706</v>
      </c>
      <c r="AI322" s="94">
        <f ca="1">IF(B322=TODAY(),0,BC322+Sheet1!AA320+Calculation!ES322+O322+W322+Sheet1!BN320+Calculation!AS322+Calculation!DJ322-BP322)</f>
        <v>59.106519367551613</v>
      </c>
      <c r="AJ322" s="94"/>
      <c r="AM322" s="90">
        <f t="shared" si="68"/>
        <v>43046</v>
      </c>
      <c r="AN322" s="94">
        <f>Sheet1!BU320</f>
        <v>26.4</v>
      </c>
      <c r="AO322" s="94">
        <f>Sheet1!AA320</f>
        <v>28.02</v>
      </c>
      <c r="AP322" s="94">
        <f t="shared" si="57"/>
        <v>1.0525999999999973</v>
      </c>
      <c r="AQ322" s="1087">
        <f>((Sheet1!BV320-(Sheet1!BU320-AP322))/(Sheet1!BU320-AP322))</f>
        <v>0.18355334274915769</v>
      </c>
      <c r="AR322" s="94">
        <f t="shared" si="58"/>
        <v>26.967400000000001</v>
      </c>
      <c r="AS322" s="94">
        <f t="shared" si="59"/>
        <v>25.3474</v>
      </c>
      <c r="AT322" s="89">
        <f>Sheet1!BB320</f>
        <v>0</v>
      </c>
      <c r="AU322" s="89">
        <f>Sheet1!AS320*GPMtoMGD</f>
        <v>3.2544000000000003E-2</v>
      </c>
      <c r="AV322" s="94">
        <f>Sheet1!AT320</f>
        <v>0</v>
      </c>
      <c r="AW322" s="89">
        <f>Sheet1!AV320*GPMtoMGD</f>
        <v>0.64411200000000002</v>
      </c>
      <c r="AX322" s="89">
        <f>Sheet1!AW320*GPMtoMGD</f>
        <v>0.41212799999999999</v>
      </c>
      <c r="AY322" s="89">
        <f>Sheet1!AX320*GPMtoMGD</f>
        <v>0</v>
      </c>
      <c r="AZ322" s="89">
        <f>Sheet1!AY320*GPMtoMGD</f>
        <v>0</v>
      </c>
      <c r="BA322" s="89">
        <f>Sheet1!AZ320*GPMtoMGD</f>
        <v>0</v>
      </c>
      <c r="BB322" s="89">
        <f>Sheet1!BP320*GPMtoMGD</f>
        <v>3.7440000000000004E-3</v>
      </c>
      <c r="BC322" s="89">
        <f>Sheet1!CS320*GPMtoMGD</f>
        <v>0</v>
      </c>
      <c r="BD322" s="89">
        <f>Sheet1!BO320*GPMtoMGD</f>
        <v>1.9896480000000001</v>
      </c>
      <c r="BE322" s="89">
        <f>Sheet1!BW320*GPMtoMGD</f>
        <v>1.0689120000000001</v>
      </c>
      <c r="BF322" s="89">
        <f>Sheet1!CN320*GPMtoMGD</f>
        <v>0.30211200000000005</v>
      </c>
      <c r="BG322" s="89">
        <f>Sheet1!CO320*GPMtoMGD</f>
        <v>0.55425599999999997</v>
      </c>
      <c r="BH322" s="89">
        <f>Sheet1!CP320*GPMtoMGD</f>
        <v>0</v>
      </c>
      <c r="BI322" s="89">
        <f t="shared" si="69"/>
        <v>1.9933920000000001</v>
      </c>
      <c r="BK322" s="94">
        <f>SUM(AT322:BA322,AS322,BC322,Calculation!AQ322)</f>
        <v>45.60009377443609</v>
      </c>
      <c r="BM322" s="358">
        <f>0</f>
        <v>0</v>
      </c>
      <c r="BN322" s="358">
        <f>0</f>
        <v>0</v>
      </c>
      <c r="BP322" s="94">
        <f>SUM(BM322:BN322,W322,Sheet1!DX320)</f>
        <v>0</v>
      </c>
      <c r="BR322" s="94">
        <f>Sheet1!AA320</f>
        <v>28.02</v>
      </c>
      <c r="BS322" s="94">
        <f>Sheet1!AB320</f>
        <v>31.86</v>
      </c>
      <c r="BT322" s="94">
        <f t="shared" ca="1" si="60"/>
        <v>-0.80957085801229012</v>
      </c>
      <c r="BU322" s="94">
        <f>Sheet1!AT320</f>
        <v>0</v>
      </c>
      <c r="BV322" s="89">
        <f>Sheet1!BB320</f>
        <v>0</v>
      </c>
      <c r="BW322" s="94">
        <f>Calculation!ED322</f>
        <v>12.696090225563911</v>
      </c>
      <c r="BX322" s="94">
        <f>(Sheet1!CS320*1440)/1000000</f>
        <v>0</v>
      </c>
      <c r="CA322" s="94">
        <f ca="1">Sheet1!AC320-Sheet1!BK320-Sheet1!BL320-Sheet1!BM320-Sheet1!BC320-Sheet1!BD320-Sheet1!BE320-Sheet1!BF320-Sheet1!BG320-Sheet1!BH320-Sheet1!BI320+BC322+P322</f>
        <v>46.350429141987711</v>
      </c>
      <c r="CB322" s="93">
        <f t="shared" si="61"/>
        <v>72.993508421052624</v>
      </c>
      <c r="CC322" s="94">
        <f t="shared" si="62"/>
        <v>0</v>
      </c>
      <c r="CD322" s="94">
        <f t="shared" ca="1" si="63"/>
        <v>59.046519367551625</v>
      </c>
      <c r="CE322" s="1077">
        <f t="shared" ca="1" si="64"/>
        <v>91.344965461602357</v>
      </c>
      <c r="CG322" s="1077">
        <f t="shared" ca="1" si="65"/>
        <v>46.350429141987711</v>
      </c>
    </row>
    <row r="323" spans="1:85" s="89" customFormat="1" x14ac:dyDescent="0.25">
      <c r="A323" s="616" t="s">
        <v>6</v>
      </c>
      <c r="B323" s="91">
        <v>43047</v>
      </c>
      <c r="C323" s="92">
        <v>0</v>
      </c>
      <c r="D323" s="94">
        <f>(Sheet1!BQ321-Sheet1!BQ320)*1.385</f>
        <v>1.108000000000001</v>
      </c>
      <c r="E323" s="30">
        <f>(Sheet1!BR321-Sheet1!BR320)*1.385</f>
        <v>1.108000000000001</v>
      </c>
      <c r="F323" s="30">
        <f ca="1">IF(B323=TODAY(),0,-(VLOOKUP(Sheet1!CD321,Lookup!$I$4:$J$216,2)-VLOOKUP(Sheet1!CD320,Lookup!$I$4:$J$216,2))/1000000)</f>
        <v>-0.10363693854779936</v>
      </c>
      <c r="G323" s="94">
        <f ca="1">IF(B323=TODAY(),0,-$G$6*(Sheet1!CF321-Sheet1!CF320)*7.48/1000000)</f>
        <v>0.43684851157815285</v>
      </c>
      <c r="H323" s="94">
        <f ca="1">IF(B323=TODAY(),0,-$H$6*(Sheet1!CE321-Sheet1!CE320)*7.48/1000000)</f>
        <v>-1.5039432351265274E-2</v>
      </c>
      <c r="I323" s="94">
        <f ca="1">IF(B323=TODAY(),0,-$I$6*(Sheet1!CG321-Sheet1!CG320)*7.48/1000000)</f>
        <v>6.7387319999999959E-2</v>
      </c>
      <c r="J323" s="95" t="s">
        <v>177</v>
      </c>
      <c r="K323" s="94">
        <f ca="1">IF(B323=TODAY(),0,-$K$6*(Sheet1!CH321-Sheet1!CH320)*7.48/1000000)</f>
        <v>0.119939766740252</v>
      </c>
      <c r="L323" s="95" t="s">
        <v>177</v>
      </c>
      <c r="M323" s="94">
        <f ca="1">IF(B323=TODAY(),0,-$M$6*(Sheet1!CI321-Sheet1!CI320)*7.48/1000000)</f>
        <v>0.26987262642040577</v>
      </c>
      <c r="N323" s="94">
        <f ca="1">IF(B323=TODAY(),0,-$N$6*(Sheet1!CJ321-Sheet1!CJ320)*7.48/1000000)</f>
        <v>-0.21718320888118345</v>
      </c>
      <c r="O323" s="94">
        <f t="shared" ca="1" si="66"/>
        <v>0.55818864495856246</v>
      </c>
      <c r="P323" s="94">
        <f ca="1">O323+Calculation!ES323</f>
        <v>-1.6591060319633861</v>
      </c>
      <c r="Q323" s="89" t="str">
        <f>IF(Sheet1!BQ321&gt;25.75,"spill elevation","-")</f>
        <v>-</v>
      </c>
      <c r="R323" s="89" t="str">
        <f>IF(Sheet1!BQ321&gt;25.75,"spill elevation","-")</f>
        <v>-</v>
      </c>
      <c r="S323" s="89" t="str">
        <f>IF(Sheet1!BR321&gt;25.75,"spill elevation","-")</f>
        <v>-</v>
      </c>
      <c r="T323" s="93">
        <f>IF(Sheet1!DU321=1,Sheet1!AA321-(SUM(AT323:BA323)+BE323),Sheet1!AA321-SUM(AT323:BA323))</f>
        <v>26.914528000000001</v>
      </c>
      <c r="U323" s="93">
        <f>Sheet1!BV321</f>
        <v>28.4</v>
      </c>
      <c r="V323" s="93">
        <f t="shared" si="67"/>
        <v>-1.4854719999999979</v>
      </c>
      <c r="W323" s="93">
        <f>0</f>
        <v>0</v>
      </c>
      <c r="X323" s="89">
        <f>0</f>
        <v>0</v>
      </c>
      <c r="Y323" s="94">
        <f ca="1">Calculation!EJ324+Calculation!ES323+'Calculations II'!O323-'Calculations II'!W323</f>
        <v>44.748328243527723</v>
      </c>
      <c r="Z323" s="94">
        <f ca="1">Y323-Sheet1!CT322</f>
        <v>28.117328243527723</v>
      </c>
      <c r="AA323" s="94">
        <f ca="1">Y323+Calculation!DJ324+Calculation!AS324</f>
        <v>57.440635935835417</v>
      </c>
      <c r="AC323" s="94">
        <f>Sheet1!AA321+Sheet1!AB321+BC323</f>
        <v>61.12</v>
      </c>
      <c r="AD323" s="94">
        <f>Sheet1!AA321+Sheet1!BN321+'Calculations II'!BC323-Calculation!AS323-Calculation!DJ323</f>
        <v>36.153240628778718</v>
      </c>
      <c r="AE323" s="94">
        <f>Sheet1!AA321+Sheet1!AB321+'Calculations II'!BC323-Calculation!AS323-Calculation!DJ323</f>
        <v>48.593240628778716</v>
      </c>
      <c r="AF323" s="94">
        <f ca="1">Sheet1!AA321+Sheet1!BN321+P323+'Calculations II'!BC323+Calculation!AS323+Calculation!DJ323</f>
        <v>59.547653339257899</v>
      </c>
      <c r="AG323" s="94">
        <f ca="1">IF(B323=TODAY(),0,Sheet1!AA321+Sheet1!BN321+'Calculations II'!BC323+'Calculations II'!P323-Sheet1!CT321-BP323)</f>
        <v>31.518893968036615</v>
      </c>
      <c r="AH323" s="94">
        <f ca="1">IF(B323=TODAY(),0,Sheet1!AA321+Sheet1!BN321+'Calculations II'!BC323+'Calculations II'!P323-BP323)</f>
        <v>47.020893968036617</v>
      </c>
      <c r="AI323" s="94">
        <f ca="1">IF(B323=TODAY(),0,BC323+Sheet1!AA321+Calculation!ES323+O323+W323+Sheet1!BN321+Calculation!AS323+Calculation!DJ323-BP323)</f>
        <v>59.547653339257899</v>
      </c>
      <c r="AJ323" s="94"/>
      <c r="AM323" s="90">
        <f t="shared" si="68"/>
        <v>43047</v>
      </c>
      <c r="AN323" s="94">
        <f>Sheet1!BU321</f>
        <v>26.1</v>
      </c>
      <c r="AO323" s="94">
        <f>Sheet1!AA321</f>
        <v>28.18</v>
      </c>
      <c r="AP323" s="94">
        <f t="shared" si="57"/>
        <v>2.216000000000002</v>
      </c>
      <c r="AQ323" s="1087">
        <f>((Sheet1!BV321-(Sheet1!BU321-AP323))/(Sheet1!BU321-AP323))</f>
        <v>0.18908055602076695</v>
      </c>
      <c r="AR323" s="94">
        <f t="shared" si="58"/>
        <v>25.963999999999999</v>
      </c>
      <c r="AS323" s="94">
        <f t="shared" si="59"/>
        <v>23.884</v>
      </c>
      <c r="AT323" s="89">
        <f>Sheet1!BB321</f>
        <v>0</v>
      </c>
      <c r="AU323" s="89">
        <f>Sheet1!AS321*GPMtoMGD</f>
        <v>3.1392000000000003E-2</v>
      </c>
      <c r="AV323" s="94">
        <f>Sheet1!AT321</f>
        <v>0</v>
      </c>
      <c r="AW323" s="89">
        <f>Sheet1!AV321*GPMtoMGD</f>
        <v>0.72403200000000001</v>
      </c>
      <c r="AX323" s="89">
        <f>Sheet1!AW321*GPMtoMGD</f>
        <v>0.51004800000000006</v>
      </c>
      <c r="AY323" s="89">
        <f>Sheet1!AX321*GPMtoMGD</f>
        <v>0</v>
      </c>
      <c r="AZ323" s="89">
        <f>Sheet1!AY321*GPMtoMGD</f>
        <v>0</v>
      </c>
      <c r="BA323" s="89">
        <f>Sheet1!AZ321*GPMtoMGD</f>
        <v>0</v>
      </c>
      <c r="BB323" s="89">
        <f>Sheet1!BP321*GPMtoMGD</f>
        <v>3.3119999999999998E-3</v>
      </c>
      <c r="BC323" s="89">
        <f>Sheet1!CS321*GPMtoMGD</f>
        <v>0</v>
      </c>
      <c r="BD323" s="89">
        <f>Sheet1!BO321*GPMtoMGD</f>
        <v>1.1486880000000002</v>
      </c>
      <c r="BE323" s="89">
        <f>Sheet1!BW321*GPMtoMGD</f>
        <v>0.85003200000000001</v>
      </c>
      <c r="BF323" s="89">
        <f>Sheet1!CN321*GPMtoMGD</f>
        <v>0.31665600000000005</v>
      </c>
      <c r="BG323" s="89">
        <f>Sheet1!CO321*GPMtoMGD</f>
        <v>0.66326400000000008</v>
      </c>
      <c r="BH323" s="89">
        <f>Sheet1!CP321*GPMtoMGD</f>
        <v>0</v>
      </c>
      <c r="BI323" s="89">
        <f t="shared" si="69"/>
        <v>1.1520000000000001</v>
      </c>
      <c r="BK323" s="94">
        <f>SUM(AT323:BA323,AS323,BC323,Calculation!AQ323)</f>
        <v>45.562712628778712</v>
      </c>
      <c r="BM323" s="358">
        <f>0</f>
        <v>0</v>
      </c>
      <c r="BN323" s="358">
        <f>0</f>
        <v>0</v>
      </c>
      <c r="BP323" s="94">
        <f>SUM(BM323:BN323,W323,Sheet1!DX321)</f>
        <v>0</v>
      </c>
      <c r="BR323" s="94">
        <f>Sheet1!AA321</f>
        <v>28.18</v>
      </c>
      <c r="BS323" s="94">
        <f>Sheet1!AB321</f>
        <v>32.94</v>
      </c>
      <c r="BT323" s="94">
        <f t="shared" ca="1" si="60"/>
        <v>-1.6591060319633861</v>
      </c>
      <c r="BU323" s="94">
        <f>Sheet1!AT321</f>
        <v>0</v>
      </c>
      <c r="BV323" s="89">
        <f>Sheet1!BB321</f>
        <v>0</v>
      </c>
      <c r="BW323" s="94">
        <f>Calculation!ED323</f>
        <v>12.526759371221281</v>
      </c>
      <c r="BX323" s="94">
        <f>(Sheet1!CS321*1440)/1000000</f>
        <v>0</v>
      </c>
      <c r="CA323" s="94">
        <f ca="1">Sheet1!AC321-Sheet1!BK321-Sheet1!BL321-Sheet1!BM321-Sheet1!BC321-Sheet1!BD321-Sheet1!BE321-Sheet1!BF321-Sheet1!BG321-Sheet1!BH321-Sheet1!BI321+BC323+P323</f>
        <v>46.880893968036617</v>
      </c>
      <c r="CB323" s="93">
        <f t="shared" si="61"/>
        <v>75.173743252720669</v>
      </c>
      <c r="CC323" s="94">
        <f t="shared" si="62"/>
        <v>0</v>
      </c>
      <c r="CD323" s="94">
        <f t="shared" ca="1" si="63"/>
        <v>59.407653339257898</v>
      </c>
      <c r="CE323" s="1077">
        <f t="shared" ca="1" si="64"/>
        <v>91.903639715831957</v>
      </c>
      <c r="CG323" s="1077">
        <f t="shared" ca="1" si="65"/>
        <v>46.880893968036617</v>
      </c>
    </row>
    <row r="324" spans="1:85" s="89" customFormat="1" x14ac:dyDescent="0.25">
      <c r="A324" s="616" t="s">
        <v>7</v>
      </c>
      <c r="B324" s="91">
        <v>43048</v>
      </c>
      <c r="C324" s="92">
        <v>0</v>
      </c>
      <c r="D324" s="94">
        <f>(Sheet1!BQ322-Sheet1!BQ321)*1.385</f>
        <v>-0.33240000000000275</v>
      </c>
      <c r="E324" s="30">
        <f>(Sheet1!BR322-Sheet1!BR321)*1.385</f>
        <v>-0.33240000000000275</v>
      </c>
      <c r="F324" s="30">
        <f ca="1">IF(B324=TODAY(),0,-(VLOOKUP(Sheet1!CD322,Lookup!$I$4:$J$216,2)-VLOOKUP(Sheet1!CD321,Lookup!$I$4:$J$216,2))/1000000)</f>
        <v>-0.10363693854779936</v>
      </c>
      <c r="G324" s="94">
        <f ca="1">IF(B324=TODAY(),0,-$G$6*(Sheet1!CF322-Sheet1!CF321)*7.48/1000000)</f>
        <v>-0.95312402526142337</v>
      </c>
      <c r="H324" s="94">
        <f ca="1">IF(B324=TODAY(),0,-$H$6*(Sheet1!CE322-Sheet1!CE321)*7.48/1000000)</f>
        <v>0</v>
      </c>
      <c r="I324" s="94">
        <f ca="1">IF(B324=TODAY(),0,-$I$6*(Sheet1!CG322-Sheet1!CG321)*7.48/1000000)</f>
        <v>-5.8402343999999995E-2</v>
      </c>
      <c r="J324" s="95" t="s">
        <v>177</v>
      </c>
      <c r="K324" s="94">
        <f ca="1">IF(B324=TODAY(),0,-$K$6*(Sheet1!CH322-Sheet1!CH321)*7.48/1000000)</f>
        <v>-9.9949805616876636E-2</v>
      </c>
      <c r="L324" s="95" t="s">
        <v>177</v>
      </c>
      <c r="M324" s="94">
        <f ca="1">IF(B324=TODAY(),0,-$M$6*(Sheet1!CI322-Sheet1!CI321)*7.48/1000000)</f>
        <v>-0.23388960956435173</v>
      </c>
      <c r="N324" s="94">
        <f ca="1">IF(B324=TODAY(),0,-$N$6*(Sheet1!CJ322-Sheet1!CJ321)*7.48/1000000)</f>
        <v>0.12410469078924735</v>
      </c>
      <c r="O324" s="94">
        <f t="shared" ca="1" si="66"/>
        <v>-1.3248980322012038</v>
      </c>
      <c r="P324" s="94">
        <f ca="1">O324+Calculation!ES324</f>
        <v>-0.7704974360206196</v>
      </c>
      <c r="Q324" s="89" t="str">
        <f>IF(Sheet1!BQ322&gt;25.75,"spill elevation","-")</f>
        <v>-</v>
      </c>
      <c r="R324" s="89" t="str">
        <f>IF(Sheet1!BQ322&gt;25.75,"spill elevation","-")</f>
        <v>-</v>
      </c>
      <c r="S324" s="89" t="str">
        <f>IF(Sheet1!BR322&gt;25.75,"spill elevation","-")</f>
        <v>-</v>
      </c>
      <c r="T324" s="93">
        <f>IF(Sheet1!DU322=1,Sheet1!AA322-(SUM(AT324:BA324)+BE324),Sheet1!AA322-SUM(AT324:BA324))</f>
        <v>26.975360000000002</v>
      </c>
      <c r="U324" s="93">
        <f>Sheet1!BV322</f>
        <v>32</v>
      </c>
      <c r="V324" s="93">
        <f t="shared" si="67"/>
        <v>-5.024639999999998</v>
      </c>
      <c r="W324" s="93">
        <f>0</f>
        <v>0</v>
      </c>
      <c r="X324" s="89">
        <f>0</f>
        <v>0</v>
      </c>
      <c r="Y324" s="94">
        <f ca="1">Calculation!EJ325+Calculation!ES324+'Calculations II'!O324-'Calculations II'!W324</f>
        <v>46.417792586783918</v>
      </c>
      <c r="Z324" s="94">
        <f ca="1">Y324-Sheet1!CT323</f>
        <v>31.451792586783917</v>
      </c>
      <c r="AA324" s="94">
        <f ca="1">Y324+Calculation!DJ325+Calculation!AS325</f>
        <v>58.550025041531455</v>
      </c>
      <c r="AC324" s="94">
        <f>Sheet1!AA322+Sheet1!AB322+BC324</f>
        <v>61.1</v>
      </c>
      <c r="AD324" s="94">
        <f>Sheet1!AA322+Sheet1!BN322+'Calculations II'!BC324-Calculation!AS324-Calculation!DJ324</f>
        <v>35.807692307692307</v>
      </c>
      <c r="AE324" s="94">
        <f>Sheet1!AA322+Sheet1!AB322+'Calculations II'!BC324-Calculation!AS324-Calculation!DJ324</f>
        <v>48.407692307692308</v>
      </c>
      <c r="AF324" s="94">
        <f ca="1">Sheet1!AA322+Sheet1!BN322+P324+'Calculations II'!BC324+Calculation!AS324+Calculation!DJ324</f>
        <v>60.421810256287074</v>
      </c>
      <c r="AG324" s="94">
        <f ca="1">IF(B324=TODAY(),0,Sheet1!AA322+Sheet1!BN322+'Calculations II'!BC324+'Calculations II'!P324-Sheet1!CT322-BP324)</f>
        <v>31.09850256397938</v>
      </c>
      <c r="AH324" s="94">
        <f ca="1">IF(B324=TODAY(),0,Sheet1!AA322+Sheet1!BN322+'Calculations II'!BC324+'Calculations II'!P324-BP324)</f>
        <v>47.729502563979381</v>
      </c>
      <c r="AI324" s="94">
        <f ca="1">IF(B324=TODAY(),0,BC324+Sheet1!AA322+Calculation!ES324+O324+W324+Sheet1!BN322+Calculation!AS324+Calculation!DJ324-BP324)</f>
        <v>60.421810256287074</v>
      </c>
      <c r="AJ324" s="94"/>
      <c r="AM324" s="90">
        <f t="shared" si="68"/>
        <v>43048</v>
      </c>
      <c r="AN324" s="94">
        <f>Sheet1!BU322</f>
        <v>26.3</v>
      </c>
      <c r="AO324" s="94">
        <f>Sheet1!AA322</f>
        <v>28.1</v>
      </c>
      <c r="AP324" s="94">
        <f t="shared" si="57"/>
        <v>-0.6648000000000055</v>
      </c>
      <c r="AQ324" s="1087">
        <f>((Sheet1!BV322-(Sheet1!BU322-AP324))/(Sheet1!BU322-AP324))</f>
        <v>0.18673233252239924</v>
      </c>
      <c r="AR324" s="94">
        <f t="shared" si="58"/>
        <v>28.764800000000008</v>
      </c>
      <c r="AS324" s="94">
        <f t="shared" si="59"/>
        <v>26.964800000000007</v>
      </c>
      <c r="AT324" s="89">
        <f>Sheet1!BB322</f>
        <v>0</v>
      </c>
      <c r="AU324" s="89">
        <f>Sheet1!AS322*GPMtoMGD</f>
        <v>1.6128E-2</v>
      </c>
      <c r="AV324" s="94">
        <f>Sheet1!AT322</f>
        <v>0</v>
      </c>
      <c r="AW324" s="89">
        <f>Sheet1!AV322*GPMtoMGD</f>
        <v>0.59140800000000004</v>
      </c>
      <c r="AX324" s="89">
        <f>Sheet1!AW322*GPMtoMGD</f>
        <v>0.51710400000000012</v>
      </c>
      <c r="AY324" s="89">
        <f>Sheet1!AX322*GPMtoMGD</f>
        <v>0</v>
      </c>
      <c r="AZ324" s="89">
        <f>Sheet1!AY322*GPMtoMGD</f>
        <v>0</v>
      </c>
      <c r="BA324" s="89">
        <f>Sheet1!AZ322*GPMtoMGD</f>
        <v>0</v>
      </c>
      <c r="BB324" s="89">
        <f>Sheet1!BP322*GPMtoMGD</f>
        <v>3.0240000000000002E-3</v>
      </c>
      <c r="BC324" s="89">
        <f>Sheet1!CS322*GPMtoMGD</f>
        <v>0</v>
      </c>
      <c r="BD324" s="89">
        <f>Sheet1!BO322*GPMtoMGD</f>
        <v>1.8617760000000003</v>
      </c>
      <c r="BE324" s="89">
        <f>Sheet1!BW322*GPMtoMGD</f>
        <v>1.054656</v>
      </c>
      <c r="BF324" s="89">
        <f>Sheet1!CN322*GPMtoMGD</f>
        <v>0.34401600000000004</v>
      </c>
      <c r="BG324" s="89">
        <f>Sheet1!CO322*GPMtoMGD</f>
        <v>0.59745599999999999</v>
      </c>
      <c r="BH324" s="89">
        <f>Sheet1!CP322*GPMtoMGD</f>
        <v>0</v>
      </c>
      <c r="BI324" s="89">
        <f t="shared" si="69"/>
        <v>1.8648000000000002</v>
      </c>
      <c r="BK324" s="94">
        <f>SUM(AT324:BA324,AS324,BC324,Calculation!AQ324)</f>
        <v>48.397132307692317</v>
      </c>
      <c r="BM324" s="358">
        <f>0</f>
        <v>0</v>
      </c>
      <c r="BN324" s="358">
        <f>0</f>
        <v>0</v>
      </c>
      <c r="BP324" s="94">
        <f>SUM(BM324:BN324,W324,Sheet1!DX322)</f>
        <v>0</v>
      </c>
      <c r="BR324" s="94">
        <f>Sheet1!AA322</f>
        <v>28.1</v>
      </c>
      <c r="BS324" s="94">
        <f>Sheet1!AB322</f>
        <v>33</v>
      </c>
      <c r="BT324" s="94">
        <f t="shared" ca="1" si="60"/>
        <v>-0.7704974360206196</v>
      </c>
      <c r="BU324" s="94">
        <f>Sheet1!AT322</f>
        <v>0</v>
      </c>
      <c r="BV324" s="89">
        <f>Sheet1!BB322</f>
        <v>0</v>
      </c>
      <c r="BW324" s="94">
        <f>Calculation!ED324</f>
        <v>12.692307692307693</v>
      </c>
      <c r="BX324" s="94">
        <f>(Sheet1!CS322*1440)/1000000</f>
        <v>0</v>
      </c>
      <c r="CA324" s="94">
        <f ca="1">Sheet1!AC322-Sheet1!BK322-Sheet1!BL322-Sheet1!BM322-Sheet1!BC322-Sheet1!BD322-Sheet1!BE322-Sheet1!BF322-Sheet1!BG322-Sheet1!BH322-Sheet1!BI322+BC324+P324</f>
        <v>47.579502563979389</v>
      </c>
      <c r="CB324" s="93">
        <f t="shared" si="61"/>
        <v>74.88669999999999</v>
      </c>
      <c r="CC324" s="94">
        <f t="shared" si="62"/>
        <v>0</v>
      </c>
      <c r="CD324" s="94">
        <f t="shared" ca="1" si="63"/>
        <v>60.271810256287083</v>
      </c>
      <c r="CE324" s="1077">
        <f t="shared" ca="1" si="64"/>
        <v>93.240490466476118</v>
      </c>
      <c r="CG324" s="1077">
        <f t="shared" ca="1" si="65"/>
        <v>47.579502563979389</v>
      </c>
    </row>
    <row r="325" spans="1:85" s="89" customFormat="1" x14ac:dyDescent="0.25">
      <c r="A325" s="616" t="s">
        <v>8</v>
      </c>
      <c r="B325" s="91">
        <v>43049</v>
      </c>
      <c r="C325" s="92">
        <v>0</v>
      </c>
      <c r="D325" s="94">
        <f>(Sheet1!BQ323-Sheet1!BQ322)*1.385</f>
        <v>1.3434499999999985</v>
      </c>
      <c r="E325" s="30">
        <f>(Sheet1!BR323-Sheet1!BR322)*1.385</f>
        <v>1.2049500000000013</v>
      </c>
      <c r="F325" s="30">
        <f ca="1">IF(B325=TODAY(),0,-(VLOOKUP(Sheet1!CD323,Lookup!$I$4:$J$216,2)-VLOOKUP(Sheet1!CD322,Lookup!$I$4:$J$216,2))/1000000)</f>
        <v>-0.41454775419119744</v>
      </c>
      <c r="G325" s="94">
        <f ca="1">IF(B325=TODAY(),0,-$G$6*(Sheet1!CF323-Sheet1!CF322)*7.48/1000000)</f>
        <v>0.39713501052559297</v>
      </c>
      <c r="H325" s="94">
        <f ca="1">IF(B325=TODAY(),0,-$H$6*(Sheet1!CE323-Sheet1!CE322)*7.48/1000000)</f>
        <v>1.5039432351265274E-2</v>
      </c>
      <c r="I325" s="94">
        <f ca="1">IF(B325=TODAY(),0,-$I$6*(Sheet1!CG323-Sheet1!CG322)*7.48/1000000)</f>
        <v>5.8402343999999995E-2</v>
      </c>
      <c r="J325" s="95" t="s">
        <v>177</v>
      </c>
      <c r="K325" s="94">
        <f ca="1">IF(B325=TODAY(),0,-$K$6*(Sheet1!CH323-Sheet1!CH322)*7.48/1000000)</f>
        <v>9.9949805616876636E-2</v>
      </c>
      <c r="L325" s="95" t="s">
        <v>177</v>
      </c>
      <c r="M325" s="94">
        <f ca="1">IF(B325=TODAY(),0,-$M$6*(Sheet1!CI323-Sheet1!CI322)*7.48/1000000)</f>
        <v>0.26987262642040577</v>
      </c>
      <c r="N325" s="94">
        <f ca="1">IF(B325=TODAY(),0,-$N$6*(Sheet1!CJ323-Sheet1!CJ322)*7.48/1000000)</f>
        <v>-0.1054889871708606</v>
      </c>
      <c r="O325" s="94">
        <f t="shared" ca="1" si="66"/>
        <v>0.32036247755208264</v>
      </c>
      <c r="P325" s="94">
        <f ca="1">O325+Calculation!ES325</f>
        <v>-2.0361670290452913</v>
      </c>
      <c r="Q325" s="89" t="str">
        <f>IF(Sheet1!BQ323&gt;25.75,"spill elevation","-")</f>
        <v>-</v>
      </c>
      <c r="R325" s="89" t="str">
        <f>IF(Sheet1!BQ323&gt;25.75,"spill elevation","-")</f>
        <v>-</v>
      </c>
      <c r="S325" s="89" t="str">
        <f>IF(Sheet1!BR323&gt;25.75,"spill elevation","-")</f>
        <v>-</v>
      </c>
      <c r="T325" s="93">
        <f>IF(Sheet1!DU323=1,Sheet1!AA323-(SUM(AT325:BA325)+BE325),Sheet1!AA323-SUM(AT325:BA325))</f>
        <v>26.899840000000001</v>
      </c>
      <c r="U325" s="93">
        <f>Sheet1!BV323</f>
        <v>28.1</v>
      </c>
      <c r="V325" s="93">
        <f t="shared" si="67"/>
        <v>-1.2001600000000003</v>
      </c>
      <c r="W325" s="93">
        <f>0</f>
        <v>0</v>
      </c>
      <c r="X325" s="89">
        <f>0</f>
        <v>0</v>
      </c>
      <c r="Y325" s="94">
        <f ca="1">Calculation!EJ326+Calculation!ES325+'Calculations II'!O325-'Calculations II'!W325</f>
        <v>42.539851209223727</v>
      </c>
      <c r="Z325" s="94">
        <f ca="1">Y325-Sheet1!CT324</f>
        <v>25.230851209223726</v>
      </c>
      <c r="AA325" s="94">
        <f ca="1">Y325+Calculation!DJ326+Calculation!AS326</f>
        <v>54.873515981951002</v>
      </c>
      <c r="AC325" s="94">
        <f>Sheet1!AA323+Sheet1!AB323+BC325</f>
        <v>59.6</v>
      </c>
      <c r="AD325" s="94">
        <f>Sheet1!AA323+Sheet1!BN323+'Calculations II'!BC325-Calculation!AS325-Calculation!DJ325</f>
        <v>35.267767545252454</v>
      </c>
      <c r="AE325" s="94">
        <f>Sheet1!AA323+Sheet1!AB323+'Calculations II'!BC325-Calculation!AS325-Calculation!DJ325</f>
        <v>47.467767545252457</v>
      </c>
      <c r="AF325" s="94">
        <f ca="1">Sheet1!AA323+Sheet1!BN323+P325+'Calculations II'!BC325+Calculation!AS325+Calculation!DJ325</f>
        <v>57.496065425702241</v>
      </c>
      <c r="AG325" s="94">
        <f ca="1">IF(B325=TODAY(),0,Sheet1!AA323+Sheet1!BN323+'Calculations II'!BC325+'Calculations II'!P325-Sheet1!CT323-BP325)</f>
        <v>30.397832970954703</v>
      </c>
      <c r="AH325" s="94">
        <f ca="1">IF(B325=TODAY(),0,Sheet1!AA323+Sheet1!BN323+'Calculations II'!BC325+'Calculations II'!P325-BP325)</f>
        <v>45.363832970954704</v>
      </c>
      <c r="AI325" s="94">
        <f ca="1">IF(B325=TODAY(),0,BC325+Sheet1!AA323+Calculation!ES325+O325+W325+Sheet1!BN323+Calculation!AS325+Calculation!DJ325-BP325)</f>
        <v>57.496065425702241</v>
      </c>
      <c r="AJ325" s="94"/>
      <c r="AM325" s="90">
        <f t="shared" si="68"/>
        <v>43049</v>
      </c>
      <c r="AN325" s="94">
        <f>Sheet1!BU323</f>
        <v>26.3</v>
      </c>
      <c r="AO325" s="94">
        <f>Sheet1!AA323</f>
        <v>28</v>
      </c>
      <c r="AP325" s="94">
        <f t="shared" si="57"/>
        <v>2.5484</v>
      </c>
      <c r="AQ325" s="1087">
        <f>((Sheet1!BV323-(Sheet1!BU323-AP325))/(Sheet1!BU323-AP325))</f>
        <v>0.1830781926270231</v>
      </c>
      <c r="AR325" s="94">
        <f t="shared" si="58"/>
        <v>25.451599999999999</v>
      </c>
      <c r="AS325" s="94">
        <f t="shared" si="59"/>
        <v>23.7516</v>
      </c>
      <c r="AT325" s="89">
        <f>Sheet1!BB323</f>
        <v>0</v>
      </c>
      <c r="AU325" s="89">
        <f>Sheet1!AS323*GPMtoMGD</f>
        <v>3.168E-2</v>
      </c>
      <c r="AV325" s="94">
        <f>Sheet1!AT323</f>
        <v>0</v>
      </c>
      <c r="AW325" s="89">
        <f>Sheet1!AV323*GPMtoMGD</f>
        <v>0.65476800000000002</v>
      </c>
      <c r="AX325" s="89">
        <f>Sheet1!AW323*GPMtoMGD</f>
        <v>0.41371200000000002</v>
      </c>
      <c r="AY325" s="89">
        <f>Sheet1!AX323*GPMtoMGD</f>
        <v>0</v>
      </c>
      <c r="AZ325" s="89">
        <f>Sheet1!AY323*GPMtoMGD</f>
        <v>0</v>
      </c>
      <c r="BA325" s="89">
        <f>Sheet1!AZ323*GPMtoMGD</f>
        <v>0</v>
      </c>
      <c r="BB325" s="89">
        <f>Sheet1!BP323*GPMtoMGD</f>
        <v>3.0240000000000002E-3</v>
      </c>
      <c r="BC325" s="89">
        <f>Sheet1!CS323*GPMtoMGD</f>
        <v>0</v>
      </c>
      <c r="BD325" s="89">
        <f>Sheet1!BO323*GPMtoMGD</f>
        <v>1.219824</v>
      </c>
      <c r="BE325" s="89">
        <f>Sheet1!BW323*GPMtoMGD</f>
        <v>0.9914400000000001</v>
      </c>
      <c r="BF325" s="89">
        <f>Sheet1!CN323*GPMtoMGD</f>
        <v>0.31032000000000004</v>
      </c>
      <c r="BG325" s="89">
        <f>Sheet1!CO323*GPMtoMGD</f>
        <v>0.63302400000000003</v>
      </c>
      <c r="BH325" s="89">
        <f>Sheet1!CP323*GPMtoMGD</f>
        <v>0</v>
      </c>
      <c r="BI325" s="89">
        <f t="shared" si="69"/>
        <v>1.2228479999999999</v>
      </c>
      <c r="BK325" s="94">
        <f>SUM(AT325:BA325,AS325,BC325,Calculation!AQ325)</f>
        <v>44.319527545252456</v>
      </c>
      <c r="BM325" s="358">
        <f>0</f>
        <v>0</v>
      </c>
      <c r="BN325" s="358">
        <f>0</f>
        <v>0</v>
      </c>
      <c r="BP325" s="94">
        <f>SUM(BM325:BN325,W325,Sheet1!DX323)</f>
        <v>0</v>
      </c>
      <c r="BR325" s="94">
        <f>Sheet1!AA323</f>
        <v>28</v>
      </c>
      <c r="BS325" s="94">
        <f>Sheet1!AB323</f>
        <v>31.6</v>
      </c>
      <c r="BT325" s="94">
        <f t="shared" ca="1" si="60"/>
        <v>-2.0361670290452913</v>
      </c>
      <c r="BU325" s="94">
        <f>Sheet1!AT323</f>
        <v>0</v>
      </c>
      <c r="BV325" s="89">
        <f>Sheet1!BB323</f>
        <v>0</v>
      </c>
      <c r="BW325" s="94">
        <f>Calculation!ED325</f>
        <v>12.132232454747539</v>
      </c>
      <c r="BX325" s="94">
        <f>(Sheet1!CS323*1440)/1000000</f>
        <v>0</v>
      </c>
      <c r="CA325" s="94">
        <f ca="1">Sheet1!AC323-Sheet1!BK323-Sheet1!BL323-Sheet1!BM323-Sheet1!BC323-Sheet1!BD323-Sheet1!BE323-Sheet1!BF323-Sheet1!BG323-Sheet1!BH323-Sheet1!BI323+BC325+P325</f>
        <v>45.473832970954717</v>
      </c>
      <c r="CB325" s="93">
        <f t="shared" si="61"/>
        <v>73.432636392505557</v>
      </c>
      <c r="CC325" s="94">
        <f t="shared" si="62"/>
        <v>0</v>
      </c>
      <c r="CD325" s="94">
        <f t="shared" ca="1" si="63"/>
        <v>57.606065425702255</v>
      </c>
      <c r="CE325" s="1077">
        <f t="shared" ca="1" si="64"/>
        <v>89.116583213561384</v>
      </c>
      <c r="CG325" s="1077">
        <f t="shared" ca="1" si="65"/>
        <v>45.473832970954717</v>
      </c>
    </row>
    <row r="326" spans="1:85" s="89" customFormat="1" x14ac:dyDescent="0.25">
      <c r="A326" s="616" t="s">
        <v>9</v>
      </c>
      <c r="B326" s="91">
        <v>43050</v>
      </c>
      <c r="C326" s="92">
        <v>0</v>
      </c>
      <c r="D326" s="94">
        <f>(Sheet1!BQ324-Sheet1!BQ323)*1.385</f>
        <v>-0.6925</v>
      </c>
      <c r="E326" s="30">
        <f>(Sheet1!BR324-Sheet1!BR323)*1.385</f>
        <v>-0.55399999999999805</v>
      </c>
      <c r="F326" s="30">
        <f ca="1">IF(B326=TODAY(),0,-(VLOOKUP(Sheet1!CD324,Lookup!$I$4:$J$216,2)-VLOOKUP(Sheet1!CD323,Lookup!$I$4:$J$216,2))/1000000)</f>
        <v>1.1400063240258005</v>
      </c>
      <c r="G326" s="94">
        <f ca="1">IF(B326=TODAY(),0,-$G$6*(Sheet1!CF324-Sheet1!CF323)*7.48/1000000)</f>
        <v>0.39713501052559297</v>
      </c>
      <c r="H326" s="94">
        <f ca="1">IF(B326=TODAY(),0,-$H$6*(Sheet1!CE324-Sheet1!CE323)*7.48/1000000)</f>
        <v>1.5039432351264204E-2</v>
      </c>
      <c r="I326" s="94">
        <f ca="1">IF(B326=TODAY(),0,-$I$6*(Sheet1!CG324-Sheet1!CG323)*7.48/1000000)</f>
        <v>-7.1879808000000031E-2</v>
      </c>
      <c r="J326" s="95" t="s">
        <v>177</v>
      </c>
      <c r="K326" s="94">
        <f ca="1">IF(B326=TODAY(),0,-$K$6*(Sheet1!CH324-Sheet1!CH323)*7.48/1000000)</f>
        <v>-0.12660308711471041</v>
      </c>
      <c r="L326" s="95" t="s">
        <v>177</v>
      </c>
      <c r="M326" s="94">
        <f ca="1">IF(B326=TODAY(),0,-$M$6*(Sheet1!CI324-Sheet1!CI323)*7.48/1000000)</f>
        <v>-0.34183866013251429</v>
      </c>
      <c r="N326" s="94">
        <f ca="1">IF(B326=TODAY(),0,-$N$6*(Sheet1!CJ324-Sheet1!CJ323)*7.48/1000000)</f>
        <v>0.68257579934086265</v>
      </c>
      <c r="O326" s="94">
        <f t="shared" ca="1" si="66"/>
        <v>1.6944350109962953</v>
      </c>
      <c r="P326" s="94">
        <f ca="1">O326+Calculation!ES326</f>
        <v>2.9421120366577638</v>
      </c>
      <c r="Q326" s="89" t="str">
        <f>IF(Sheet1!BQ324&gt;25.75,"spill elevation","-")</f>
        <v>-</v>
      </c>
      <c r="R326" s="89" t="str">
        <f>IF(Sheet1!BQ324&gt;25.75,"spill elevation","-")</f>
        <v>-</v>
      </c>
      <c r="S326" s="89" t="str">
        <f>IF(Sheet1!BR324&gt;25.75,"spill elevation","-")</f>
        <v>-</v>
      </c>
      <c r="T326" s="93">
        <f>IF(Sheet1!DU324=1,Sheet1!AA324-(SUM(AT326:BA326)+BE326),Sheet1!AA324-SUM(AT326:BA326))</f>
        <v>27.284752000000001</v>
      </c>
      <c r="U326" s="93">
        <f>Sheet1!BV324</f>
        <v>32.9</v>
      </c>
      <c r="V326" s="93">
        <f t="shared" si="67"/>
        <v>-5.6152479999999976</v>
      </c>
      <c r="W326" s="93">
        <f>0</f>
        <v>0</v>
      </c>
      <c r="X326" s="89">
        <f>0</f>
        <v>0</v>
      </c>
      <c r="Y326" s="94">
        <f ca="1">Calculation!EJ327+Calculation!ES326+'Calculations II'!O326-'Calculations II'!W326</f>
        <v>45.138225361048235</v>
      </c>
      <c r="Z326" s="94">
        <f ca="1">Y326-Sheet1!CT325</f>
        <v>27.090225361048237</v>
      </c>
      <c r="AA326" s="94">
        <f ca="1">Y326+Calculation!DJ327+Calculation!AS327</f>
        <v>57.200152463177432</v>
      </c>
      <c r="AC326" s="94">
        <f>Sheet1!AA324+Sheet1!AB324+BC326</f>
        <v>56.1</v>
      </c>
      <c r="AD326" s="94">
        <f>Sheet1!AA324+Sheet1!BN324+'Calculations II'!BC326-Calculation!AS326-Calculation!DJ326</f>
        <v>31.466335227272722</v>
      </c>
      <c r="AE326" s="94">
        <f>Sheet1!AA324+Sheet1!AB324+'Calculations II'!BC326-Calculation!AS326-Calculation!DJ326</f>
        <v>43.766335227272727</v>
      </c>
      <c r="AF326" s="94">
        <f ca="1">Sheet1!AA324+Sheet1!BN324+P326+'Calculations II'!BC326+Calculation!AS326+Calculation!DJ326</f>
        <v>59.075776809385033</v>
      </c>
      <c r="AG326" s="94">
        <f ca="1">IF(B326=TODAY(),0,Sheet1!AA324+Sheet1!BN324+'Calculations II'!BC326+'Calculations II'!P326-Sheet1!CT324-BP326)</f>
        <v>29.433112036657757</v>
      </c>
      <c r="AH326" s="94">
        <f ca="1">IF(B326=TODAY(),0,Sheet1!AA324+Sheet1!BN324+'Calculations II'!BC326+'Calculations II'!P326-BP326)</f>
        <v>46.742112036657758</v>
      </c>
      <c r="AI326" s="94">
        <f ca="1">IF(B326=TODAY(),0,BC326+Sheet1!AA324+Calculation!ES326+O326+W326+Sheet1!BN324+Calculation!AS326+Calculation!DJ326-BP326)</f>
        <v>59.075776809385033</v>
      </c>
      <c r="AJ326" s="94"/>
      <c r="AM326" s="90">
        <f t="shared" si="68"/>
        <v>43050</v>
      </c>
      <c r="AN326" s="94">
        <f>Sheet1!BU324</f>
        <v>26.4</v>
      </c>
      <c r="AO326" s="94">
        <f>Sheet1!AA324</f>
        <v>28</v>
      </c>
      <c r="AP326" s="94">
        <f t="shared" si="57"/>
        <v>-1.2464999999999979</v>
      </c>
      <c r="AQ326" s="1087">
        <f>((Sheet1!BV324-(Sheet1!BU324-AP326))/(Sheet1!BU324-AP326))</f>
        <v>0.19002405367768083</v>
      </c>
      <c r="AR326" s="94">
        <f t="shared" si="58"/>
        <v>29.246499999999997</v>
      </c>
      <c r="AS326" s="94">
        <f t="shared" si="59"/>
        <v>27.646499999999996</v>
      </c>
      <c r="AT326" s="89">
        <f>Sheet1!BB324</f>
        <v>0</v>
      </c>
      <c r="AU326" s="89">
        <f>Sheet1!AS324*GPMtoMGD</f>
        <v>1.9152000000000002E-2</v>
      </c>
      <c r="AV326" s="94">
        <f>Sheet1!AT324</f>
        <v>0</v>
      </c>
      <c r="AW326" s="89">
        <f>Sheet1!AV324*GPMtoMGD</f>
        <v>0.34704000000000002</v>
      </c>
      <c r="AX326" s="89">
        <f>Sheet1!AW324*GPMtoMGD</f>
        <v>0.34905600000000003</v>
      </c>
      <c r="AY326" s="89">
        <f>Sheet1!AX324*GPMtoMGD</f>
        <v>0</v>
      </c>
      <c r="AZ326" s="89">
        <f>Sheet1!AY324*GPMtoMGD</f>
        <v>0</v>
      </c>
      <c r="BA326" s="89">
        <f>Sheet1!AZ324*GPMtoMGD</f>
        <v>0</v>
      </c>
      <c r="BB326" s="89">
        <f>Sheet1!BP324*GPMtoMGD</f>
        <v>2.8800000000000002E-3</v>
      </c>
      <c r="BC326" s="89">
        <f>Sheet1!CS324*GPMtoMGD</f>
        <v>0</v>
      </c>
      <c r="BD326" s="89">
        <f>Sheet1!BO324*GPMtoMGD</f>
        <v>2.0648160000000004</v>
      </c>
      <c r="BE326" s="89">
        <f>Sheet1!BW324*GPMtoMGD</f>
        <v>0.95745599999999997</v>
      </c>
      <c r="BF326" s="89">
        <f>Sheet1!CN324*GPMtoMGD</f>
        <v>0.37468800000000002</v>
      </c>
      <c r="BG326" s="89">
        <f>Sheet1!CO324*GPMtoMGD</f>
        <v>0.62164799999999998</v>
      </c>
      <c r="BH326" s="89">
        <f>Sheet1!CP324*GPMtoMGD</f>
        <v>0</v>
      </c>
      <c r="BI326" s="89">
        <f t="shared" si="69"/>
        <v>2.0676960000000006</v>
      </c>
      <c r="BK326" s="94">
        <f>SUM(AT326:BA326,AS326,BC326,Calculation!AQ326)</f>
        <v>44.128083227272725</v>
      </c>
      <c r="BM326" s="358">
        <f>0</f>
        <v>0</v>
      </c>
      <c r="BN326" s="358">
        <f>0</f>
        <v>0</v>
      </c>
      <c r="BP326" s="94">
        <f>SUM(BM326:BN326,W326,Sheet1!DX324)</f>
        <v>0</v>
      </c>
      <c r="BR326" s="94">
        <f>Sheet1!AA324</f>
        <v>28</v>
      </c>
      <c r="BS326" s="94">
        <f>Sheet1!AB324</f>
        <v>28.1</v>
      </c>
      <c r="BT326" s="94">
        <f t="shared" ca="1" si="60"/>
        <v>2.9421120366577638</v>
      </c>
      <c r="BU326" s="94">
        <f>Sheet1!AT324</f>
        <v>0</v>
      </c>
      <c r="BV326" s="89">
        <f>Sheet1!BB324</f>
        <v>0</v>
      </c>
      <c r="BW326" s="94">
        <f>Calculation!ED326</f>
        <v>12.333664772727273</v>
      </c>
      <c r="BX326" s="94">
        <f>(Sheet1!CS324*1440)/1000000</f>
        <v>0</v>
      </c>
      <c r="CA326" s="94">
        <f ca="1">Sheet1!AC324-Sheet1!BK324-Sheet1!BL324-Sheet1!BM324-Sheet1!BC324-Sheet1!BD324-Sheet1!BE324-Sheet1!BF324-Sheet1!BG324-Sheet1!BH324-Sheet1!BI324+BC326+P326</f>
        <v>46.682112036657756</v>
      </c>
      <c r="CB326" s="93">
        <f t="shared" si="61"/>
        <v>67.706520596590906</v>
      </c>
      <c r="CC326" s="94">
        <f t="shared" si="62"/>
        <v>0</v>
      </c>
      <c r="CD326" s="94">
        <f t="shared" ca="1" si="63"/>
        <v>59.015776809385031</v>
      </c>
      <c r="CE326" s="1077">
        <f t="shared" ca="1" si="64"/>
        <v>91.297406724118645</v>
      </c>
      <c r="CG326" s="1077">
        <f t="shared" ca="1" si="65"/>
        <v>46.682112036657756</v>
      </c>
    </row>
    <row r="327" spans="1:85" s="89" customFormat="1" x14ac:dyDescent="0.25">
      <c r="A327" s="616" t="s">
        <v>3</v>
      </c>
      <c r="B327" s="91">
        <v>43051</v>
      </c>
      <c r="C327" s="92">
        <v>0</v>
      </c>
      <c r="D327" s="94">
        <f>(Sheet1!BQ325-Sheet1!BQ324)*1.385</f>
        <v>-3.1854999999999962</v>
      </c>
      <c r="E327" s="30">
        <f>(Sheet1!BR325-Sheet1!BR324)*1.385</f>
        <v>-3.0469999999999988</v>
      </c>
      <c r="F327" s="30">
        <f ca="1">IF(B327=TODAY(),0,-(VLOOKUP(Sheet1!CD325,Lookup!$I$4:$J$216,2)-VLOOKUP(Sheet1!CD324,Lookup!$I$4:$J$216,2))/1000000)</f>
        <v>0.31091081564339806</v>
      </c>
      <c r="G327" s="94">
        <f ca="1">IF(B327=TODAY(),0,-$G$6*(Sheet1!CF325-Sheet1!CF324)*7.48/1000000)</f>
        <v>-0.91341052420886415</v>
      </c>
      <c r="H327" s="94">
        <f ca="1">IF(B327=TODAY(),0,-$H$6*(Sheet1!CE325-Sheet1!CE324)*7.48/1000000)</f>
        <v>3.0078864702530548E-2</v>
      </c>
      <c r="I327" s="94">
        <f ca="1">IF(B327=TODAY(),0,-$I$6*(Sheet1!CG325-Sheet1!CG324)*7.48/1000000)</f>
        <v>-2.6954927999999989E-2</v>
      </c>
      <c r="J327" s="95" t="s">
        <v>177</v>
      </c>
      <c r="K327" s="94">
        <f ca="1">IF(B327=TODAY(),0,-$K$6*(Sheet1!CH325-Sheet1!CH324)*7.48/1000000)</f>
        <v>-4.6643242621209169E-2</v>
      </c>
      <c r="L327" s="95" t="s">
        <v>177</v>
      </c>
      <c r="M327" s="94">
        <f ca="1">IF(B327=TODAY(),0,-$M$6*(Sheet1!CI325-Sheet1!CI324)*7.48/1000000)</f>
        <v>-0.12594055899618922</v>
      </c>
      <c r="N327" s="94">
        <f ca="1">IF(B327=TODAY(),0,-$N$6*(Sheet1!CJ325-Sheet1!CJ324)*7.48/1000000)</f>
        <v>0</v>
      </c>
      <c r="O327" s="94">
        <f t="shared" ca="1" si="66"/>
        <v>-0.77195957348033395</v>
      </c>
      <c r="P327" s="94">
        <f ca="1">O327+Calculation!ES327</f>
        <v>5.4626370053294746</v>
      </c>
      <c r="Q327" s="89" t="str">
        <f>IF(Sheet1!BQ325&gt;25.75,"spill elevation","-")</f>
        <v>-</v>
      </c>
      <c r="R327" s="89" t="str">
        <f>IF(Sheet1!BQ325&gt;25.75,"spill elevation","-")</f>
        <v>-</v>
      </c>
      <c r="S327" s="89" t="str">
        <f>IF(Sheet1!BR325&gt;25.75,"spill elevation","-")</f>
        <v>-</v>
      </c>
      <c r="T327" s="93">
        <f>IF(Sheet1!DU325=1,Sheet1!AA325-(SUM(AT327:BA327)+BE327),Sheet1!AA325-SUM(AT327:BA327))</f>
        <v>26.57</v>
      </c>
      <c r="U327" s="93">
        <f>Sheet1!BV325</f>
        <v>37.700000000000003</v>
      </c>
      <c r="V327" s="93">
        <f t="shared" si="67"/>
        <v>-11.130000000000003</v>
      </c>
      <c r="W327" s="93">
        <f>0</f>
        <v>0</v>
      </c>
      <c r="X327" s="89">
        <f>0</f>
        <v>0</v>
      </c>
      <c r="Y327" s="94">
        <f ca="1">Calculation!EJ328+Calculation!ES327+'Calculations II'!O327-'Calculations II'!W327</f>
        <v>51.207800781528498</v>
      </c>
      <c r="Z327" s="94">
        <f ca="1">Y327-Sheet1!CT326</f>
        <v>32.702800781528495</v>
      </c>
      <c r="AA327" s="94">
        <f ca="1">Y327+Calculation!DJ328+Calculation!AS328</f>
        <v>63.331689301767383</v>
      </c>
      <c r="AC327" s="94">
        <f>Sheet1!AA325+Sheet1!AB325+BC327</f>
        <v>55.7</v>
      </c>
      <c r="AD327" s="94">
        <f>Sheet1!AA325+Sheet1!BN325+'Calculations II'!BC327-Calculation!AS327-Calculation!DJ327</f>
        <v>31.638072897870806</v>
      </c>
      <c r="AE327" s="94">
        <f>Sheet1!AA325+Sheet1!AB325+'Calculations II'!BC327-Calculation!AS327-Calculation!DJ327</f>
        <v>43.638072897870806</v>
      </c>
      <c r="AF327" s="94">
        <f ca="1">Sheet1!AA325+Sheet1!BN325+P327+'Calculations II'!BC327+Calculation!AS327+Calculation!DJ327</f>
        <v>61.224564107458676</v>
      </c>
      <c r="AG327" s="94">
        <f ca="1">IF(B327=TODAY(),0,Sheet1!AA325+Sheet1!BN325+'Calculations II'!BC327+'Calculations II'!P327-Sheet1!CT325-BP327)</f>
        <v>31.114637005329481</v>
      </c>
      <c r="AH327" s="94">
        <f ca="1">IF(B327=TODAY(),0,Sheet1!AA325+Sheet1!BN325+'Calculations II'!BC327+'Calculations II'!P327-BP327)</f>
        <v>49.162637005329479</v>
      </c>
      <c r="AI327" s="94">
        <f ca="1">IF(B327=TODAY(),0,BC327+Sheet1!AA325+Calculation!ES327+O327+W327+Sheet1!BN325+Calculation!AS327+Calculation!DJ327-BP327)</f>
        <v>61.224564107458676</v>
      </c>
      <c r="AJ327" s="94"/>
      <c r="AM327" s="90">
        <f t="shared" si="68"/>
        <v>43051</v>
      </c>
      <c r="AN327" s="94">
        <f>Sheet1!BU325</f>
        <v>25.9</v>
      </c>
      <c r="AO327" s="94">
        <f>Sheet1!AA325</f>
        <v>28.1</v>
      </c>
      <c r="AP327" s="94">
        <f t="shared" si="57"/>
        <v>-6.2324999999999946</v>
      </c>
      <c r="AQ327" s="1087">
        <f>((Sheet1!BV325-(Sheet1!BU325-AP327))/(Sheet1!BU325-AP327))</f>
        <v>0.17326694157006181</v>
      </c>
      <c r="AR327" s="94">
        <f t="shared" si="58"/>
        <v>34.332499999999996</v>
      </c>
      <c r="AS327" s="94">
        <f t="shared" si="59"/>
        <v>32.132499999999993</v>
      </c>
      <c r="AT327" s="89">
        <f>Sheet1!BB325</f>
        <v>0</v>
      </c>
      <c r="AU327" s="89">
        <f>Sheet1!AS325*GPMtoMGD</f>
        <v>3.0096000000000001E-2</v>
      </c>
      <c r="AV327" s="94">
        <f>Sheet1!AT325</f>
        <v>0</v>
      </c>
      <c r="AW327" s="89">
        <f>Sheet1!AV325*GPMtoMGD</f>
        <v>0.89539199999999997</v>
      </c>
      <c r="AX327" s="89">
        <f>Sheet1!AW325*GPMtoMGD</f>
        <v>0.60451200000000005</v>
      </c>
      <c r="AY327" s="89">
        <f>Sheet1!AX325*GPMtoMGD</f>
        <v>0</v>
      </c>
      <c r="AZ327" s="89">
        <f>Sheet1!AY325*GPMtoMGD</f>
        <v>0</v>
      </c>
      <c r="BA327" s="89">
        <f>Sheet1!AZ325*GPMtoMGD</f>
        <v>0</v>
      </c>
      <c r="BB327" s="89">
        <f>Sheet1!BP325*GPMtoMGD</f>
        <v>2.8800000000000002E-3</v>
      </c>
      <c r="BC327" s="89">
        <f>Sheet1!CS325*GPMtoMGD</f>
        <v>0</v>
      </c>
      <c r="BD327" s="89">
        <f>Sheet1!BO325*GPMtoMGD</f>
        <v>1.8747360000000002</v>
      </c>
      <c r="BE327" s="89">
        <f>Sheet1!BW325*GPMtoMGD</f>
        <v>1.134144</v>
      </c>
      <c r="BF327" s="89">
        <f>Sheet1!CN325*GPMtoMGD</f>
        <v>0.43560000000000004</v>
      </c>
      <c r="BG327" s="89">
        <f>Sheet1!CO325*GPMtoMGD</f>
        <v>0.64987200000000001</v>
      </c>
      <c r="BH327" s="89">
        <f>Sheet1!CP325*GPMtoMGD</f>
        <v>0</v>
      </c>
      <c r="BI327" s="89">
        <f t="shared" si="69"/>
        <v>1.8776160000000002</v>
      </c>
      <c r="BK327" s="94">
        <f>SUM(AT327:BA327,AS327,BC327,Calculation!AQ327)</f>
        <v>49.200572897870799</v>
      </c>
      <c r="BM327" s="358">
        <f>0</f>
        <v>0</v>
      </c>
      <c r="BN327" s="358">
        <f>0</f>
        <v>0</v>
      </c>
      <c r="BP327" s="94">
        <f>SUM(BM327:BN327,W327,Sheet1!DX325)</f>
        <v>0</v>
      </c>
      <c r="BR327" s="94">
        <f>Sheet1!AA325</f>
        <v>28.1</v>
      </c>
      <c r="BS327" s="94">
        <f>Sheet1!AB325</f>
        <v>27.6</v>
      </c>
      <c r="BT327" s="94">
        <f t="shared" ca="1" si="60"/>
        <v>5.4626370053294746</v>
      </c>
      <c r="BU327" s="94">
        <f>Sheet1!AT325</f>
        <v>0</v>
      </c>
      <c r="BV327" s="89">
        <f>Sheet1!BB325</f>
        <v>0</v>
      </c>
      <c r="BW327" s="94">
        <f>Calculation!ED327</f>
        <v>12.061927102129196</v>
      </c>
      <c r="BX327" s="94">
        <f>(Sheet1!CS325*1440)/1000000</f>
        <v>0</v>
      </c>
      <c r="CA327" s="94">
        <f ca="1">Sheet1!AC325-Sheet1!BK325-Sheet1!BL325-Sheet1!BM325-Sheet1!BC325-Sheet1!BD325-Sheet1!BE325-Sheet1!BF325-Sheet1!BG325-Sheet1!BH325-Sheet1!BI325+BC327+P327</f>
        <v>49.052637005329473</v>
      </c>
      <c r="CB327" s="93">
        <f t="shared" si="61"/>
        <v>67.508098773006139</v>
      </c>
      <c r="CC327" s="94">
        <f t="shared" si="62"/>
        <v>0</v>
      </c>
      <c r="CD327" s="94">
        <f t="shared" ca="1" si="63"/>
        <v>61.114564107458669</v>
      </c>
      <c r="CE327" s="1077">
        <f t="shared" ca="1" si="64"/>
        <v>94.544230674238563</v>
      </c>
      <c r="CG327" s="1077">
        <f t="shared" ca="1" si="65"/>
        <v>49.052637005329473</v>
      </c>
    </row>
    <row r="328" spans="1:85" s="89" customFormat="1" x14ac:dyDescent="0.25">
      <c r="A328" s="616" t="s">
        <v>4</v>
      </c>
      <c r="B328" s="91">
        <v>43052</v>
      </c>
      <c r="C328" s="92">
        <v>0</v>
      </c>
      <c r="D328" s="94">
        <f>(Sheet1!BQ326-Sheet1!BQ325)*1.385</f>
        <v>-0.6925</v>
      </c>
      <c r="E328" s="30">
        <f>(Sheet1!BR326-Sheet1!BR325)*1.385</f>
        <v>-0.83100000000000196</v>
      </c>
      <c r="F328" s="30">
        <f ca="1">IF(B328=TODAY(),0,-(VLOOKUP(Sheet1!CD326,Lookup!$I$4:$J$216,2)-VLOOKUP(Sheet1!CD325,Lookup!$I$4:$J$216,2))/1000000)</f>
        <v>-0.20727387709559872</v>
      </c>
      <c r="G328" s="94">
        <f ca="1">IF(B328=TODAY(),0,-$G$6*(Sheet1!CF326-Sheet1!CF325)*7.48/1000000)</f>
        <v>0.3574215094730338</v>
      </c>
      <c r="H328" s="94">
        <f ca="1">IF(B328=TODAY(),0,-$H$6*(Sheet1!CE326-Sheet1!CE325)*7.48/1000000)</f>
        <v>-1.5039432351265274E-2</v>
      </c>
      <c r="I328" s="94">
        <f ca="1">IF(B328=TODAY(),0,-$I$6*(Sheet1!CG326-Sheet1!CG325)*7.48/1000000)</f>
        <v>5.8402344000000037E-2</v>
      </c>
      <c r="J328" s="95" t="s">
        <v>177</v>
      </c>
      <c r="K328" s="94">
        <f ca="1">IF(B328=TODAY(),0,-$K$6*(Sheet1!CH326-Sheet1!CH325)*7.48/1000000)</f>
        <v>0.10661312599133518</v>
      </c>
      <c r="L328" s="95" t="s">
        <v>177</v>
      </c>
      <c r="M328" s="94">
        <f ca="1">IF(B328=TODAY(),0,-$M$6*(Sheet1!CI326-Sheet1!CI325)*7.48/1000000)</f>
        <v>0.26987262642040577</v>
      </c>
      <c r="N328" s="94">
        <f ca="1">IF(B328=TODAY(),0,-$N$6*(Sheet1!CJ326-Sheet1!CJ325)*7.48/1000000)</f>
        <v>0</v>
      </c>
      <c r="O328" s="94">
        <f t="shared" ca="1" si="66"/>
        <v>0.56999629643791083</v>
      </c>
      <c r="P328" s="94">
        <f ca="1">O328+Calculation!ES328</f>
        <v>2.0930597046890957</v>
      </c>
      <c r="Q328" s="89" t="str">
        <f>IF(Sheet1!BQ326&gt;25.75,"spill elevation","-")</f>
        <v>-</v>
      </c>
      <c r="R328" s="89" t="str">
        <f>IF(Sheet1!BQ326&gt;25.75,"spill elevation","-")</f>
        <v>-</v>
      </c>
      <c r="S328" s="89" t="str">
        <f>IF(Sheet1!BR326&gt;25.75,"spill elevation","-")</f>
        <v>-</v>
      </c>
      <c r="T328" s="93">
        <f>IF(Sheet1!DU326=1,Sheet1!AA326-(SUM(AT328:BA328)+BE328),Sheet1!AA326-SUM(AT328:BA328))</f>
        <v>27.200944</v>
      </c>
      <c r="U328" s="93">
        <f>Sheet1!BV326</f>
        <v>33.4</v>
      </c>
      <c r="V328" s="93">
        <f t="shared" si="67"/>
        <v>-6.1990559999999988</v>
      </c>
      <c r="W328" s="93">
        <f>0</f>
        <v>0</v>
      </c>
      <c r="X328" s="89">
        <f>0</f>
        <v>0</v>
      </c>
      <c r="Y328" s="94">
        <f ca="1">Calculation!EJ329+Calculation!ES328+'Calculations II'!O328-'Calculations II'!W328</f>
        <v>48.682878161839675</v>
      </c>
      <c r="Z328" s="94">
        <f ca="1">Y328-Sheet1!CT327</f>
        <v>30.138878161839674</v>
      </c>
      <c r="AA328" s="94">
        <f ca="1">Y328+Calculation!DJ329+Calculation!AS329</f>
        <v>60.89000077428576</v>
      </c>
      <c r="AC328" s="94">
        <f>Sheet1!AA326+Sheet1!AB326+BC328</f>
        <v>58.1</v>
      </c>
      <c r="AD328" s="94">
        <f>Sheet1!AA326+Sheet1!BN326+'Calculations II'!BC328-Calculation!AS328-Calculation!DJ328</f>
        <v>33.876111479761114</v>
      </c>
      <c r="AE328" s="94">
        <f>Sheet1!AA326+Sheet1!AB326+'Calculations II'!BC328-Calculation!AS328-Calculation!DJ328</f>
        <v>45.976111479761116</v>
      </c>
      <c r="AF328" s="94">
        <f ca="1">Sheet1!AA326+Sheet1!BN326+P328+'Calculations II'!BC328+Calculation!AS328+Calculation!DJ328</f>
        <v>60.216948224927982</v>
      </c>
      <c r="AG328" s="94">
        <f ca="1">IF(B328=TODAY(),0,Sheet1!AA326+Sheet1!BN326+'Calculations II'!BC328+'Calculations II'!P328-Sheet1!CT326-BP328)</f>
        <v>29.588059704689098</v>
      </c>
      <c r="AH328" s="94">
        <f ca="1">IF(B328=TODAY(),0,Sheet1!AA326+Sheet1!BN326+'Calculations II'!BC328+'Calculations II'!P328-BP328)</f>
        <v>48.093059704689097</v>
      </c>
      <c r="AI328" s="94">
        <f ca="1">IF(B328=TODAY(),0,BC328+Sheet1!AA326+Calculation!ES328+O328+W328+Sheet1!BN326+Calculation!AS328+Calculation!DJ328-BP328)</f>
        <v>60.216948224927982</v>
      </c>
      <c r="AJ328" s="94"/>
      <c r="AM328" s="90">
        <f t="shared" si="68"/>
        <v>43052</v>
      </c>
      <c r="AN328" s="94">
        <f>Sheet1!BU326</f>
        <v>26.4</v>
      </c>
      <c r="AO328" s="94">
        <f>Sheet1!AA326</f>
        <v>28</v>
      </c>
      <c r="AP328" s="94">
        <f t="shared" si="57"/>
        <v>-1.5235000000000021</v>
      </c>
      <c r="AQ328" s="1087">
        <f>((Sheet1!BV326-(Sheet1!BU326-AP328))/(Sheet1!BU326-AP328))</f>
        <v>0.19612512758071152</v>
      </c>
      <c r="AR328" s="94">
        <f t="shared" si="58"/>
        <v>29.523500000000002</v>
      </c>
      <c r="AS328" s="94">
        <f t="shared" si="59"/>
        <v>27.923500000000001</v>
      </c>
      <c r="AT328" s="89">
        <f>Sheet1!BB326</f>
        <v>0</v>
      </c>
      <c r="AU328" s="89">
        <f>Sheet1!AS326*GPMtoMGD</f>
        <v>3.3408E-2</v>
      </c>
      <c r="AV328" s="94">
        <f>Sheet1!AT326</f>
        <v>0</v>
      </c>
      <c r="AW328" s="89">
        <f>Sheet1!AV326*GPMtoMGD</f>
        <v>0.34387200000000001</v>
      </c>
      <c r="AX328" s="89">
        <f>Sheet1!AW326*GPMtoMGD</f>
        <v>0.42177599999999998</v>
      </c>
      <c r="AY328" s="89">
        <f>Sheet1!AX326*GPMtoMGD</f>
        <v>0</v>
      </c>
      <c r="AZ328" s="89">
        <f>Sheet1!AY326*GPMtoMGD</f>
        <v>0</v>
      </c>
      <c r="BA328" s="89">
        <f>Sheet1!AZ326*GPMtoMGD</f>
        <v>0</v>
      </c>
      <c r="BB328" s="89">
        <f>Sheet1!BP326*GPMtoMGD</f>
        <v>4.0464000000000007E-2</v>
      </c>
      <c r="BC328" s="89">
        <f>Sheet1!CS326*GPMtoMGD</f>
        <v>0</v>
      </c>
      <c r="BD328" s="89">
        <f>Sheet1!BO326*GPMtoMGD</f>
        <v>1.1270880000000001</v>
      </c>
      <c r="BE328" s="89">
        <f>Sheet1!BW326*GPMtoMGD</f>
        <v>0.98740800000000017</v>
      </c>
      <c r="BF328" s="89">
        <f>Sheet1!CN326*GPMtoMGD</f>
        <v>0.33235200000000004</v>
      </c>
      <c r="BG328" s="89">
        <f>Sheet1!CO326*GPMtoMGD</f>
        <v>0.61761600000000005</v>
      </c>
      <c r="BH328" s="89">
        <f>Sheet1!CP326*GPMtoMGD</f>
        <v>0</v>
      </c>
      <c r="BI328" s="89">
        <f t="shared" si="69"/>
        <v>1.1675520000000001</v>
      </c>
      <c r="BK328" s="94">
        <f>SUM(AT328:BA328,AS328,BC328,Calculation!AQ328)</f>
        <v>46.698667479761113</v>
      </c>
      <c r="BM328" s="358">
        <f>0</f>
        <v>0</v>
      </c>
      <c r="BN328" s="358">
        <f>0</f>
        <v>0</v>
      </c>
      <c r="BP328" s="94">
        <f>SUM(BM328:BN328,W328,Sheet1!DX326)</f>
        <v>0</v>
      </c>
      <c r="BR328" s="94">
        <f>Sheet1!AA326</f>
        <v>28</v>
      </c>
      <c r="BS328" s="94">
        <f>Sheet1!AB326</f>
        <v>30.1</v>
      </c>
      <c r="BT328" s="94">
        <f t="shared" ca="1" si="60"/>
        <v>2.0930597046890957</v>
      </c>
      <c r="BU328" s="94">
        <f>Sheet1!AT326</f>
        <v>0</v>
      </c>
      <c r="BV328" s="89">
        <f>Sheet1!BB326</f>
        <v>0</v>
      </c>
      <c r="BW328" s="94">
        <f>Calculation!ED328</f>
        <v>12.123888520238886</v>
      </c>
      <c r="BX328" s="94">
        <f>(Sheet1!CS326*1440)/1000000</f>
        <v>0</v>
      </c>
      <c r="CA328" s="94">
        <f ca="1">Sheet1!AC326-Sheet1!BK326-Sheet1!BL326-Sheet1!BM326-Sheet1!BC326-Sheet1!BD326-Sheet1!BE326-Sheet1!BF326-Sheet1!BG326-Sheet1!BH326-Sheet1!BI326+BC328+P328</f>
        <v>48.053059704689097</v>
      </c>
      <c r="CB328" s="93">
        <f t="shared" si="61"/>
        <v>71.125044459190448</v>
      </c>
      <c r="CC328" s="94">
        <f t="shared" si="62"/>
        <v>0</v>
      </c>
      <c r="CD328" s="94">
        <f t="shared" ca="1" si="63"/>
        <v>60.176948224927983</v>
      </c>
      <c r="CE328" s="1077">
        <f t="shared" ca="1" si="64"/>
        <v>93.093738903963583</v>
      </c>
      <c r="CG328" s="1077">
        <f t="shared" ca="1" si="65"/>
        <v>48.053059704689097</v>
      </c>
    </row>
    <row r="329" spans="1:85" s="89" customFormat="1" x14ac:dyDescent="0.25">
      <c r="A329" s="616" t="s">
        <v>5</v>
      </c>
      <c r="B329" s="91">
        <v>43053</v>
      </c>
      <c r="C329" s="92">
        <v>0</v>
      </c>
      <c r="D329" s="94">
        <f>(Sheet1!BQ327-Sheet1!BQ326)*1.385</f>
        <v>-1.108000000000001</v>
      </c>
      <c r="E329" s="30">
        <f>(Sheet1!BR327-Sheet1!BR326)*1.385</f>
        <v>-0.96949999999999903</v>
      </c>
      <c r="F329" s="30">
        <f ca="1">IF(B329=TODAY(),0,-(VLOOKUP(Sheet1!CD327,Lookup!$I$4:$J$216,2)-VLOOKUP(Sheet1!CD326,Lookup!$I$4:$J$216,2))/1000000)</f>
        <v>-0.82909550838240231</v>
      </c>
      <c r="G329" s="94">
        <f ca="1">IF(B329=TODAY(),0,-$G$6*(Sheet1!CF327-Sheet1!CF326)*7.48/1000000)</f>
        <v>0.39713501052559297</v>
      </c>
      <c r="H329" s="94">
        <f ca="1">IF(B329=TODAY(),0,-$H$6*(Sheet1!CE327-Sheet1!CE326)*7.48/1000000)</f>
        <v>0</v>
      </c>
      <c r="I329" s="94">
        <f ca="1">IF(B329=TODAY(),0,-$I$6*(Sheet1!CG327-Sheet1!CG326)*7.48/1000000)</f>
        <v>3.1447415999999971E-2</v>
      </c>
      <c r="J329" s="95" t="s">
        <v>177</v>
      </c>
      <c r="K329" s="94">
        <f ca="1">IF(B329=TODAY(),0,-$K$6*(Sheet1!CH327-Sheet1!CH326)*7.48/1000000)</f>
        <v>5.9969883370125883E-2</v>
      </c>
      <c r="L329" s="95" t="s">
        <v>177</v>
      </c>
      <c r="M329" s="94">
        <f ca="1">IF(B329=TODAY(),0,-$M$6*(Sheet1!CI327-Sheet1!CI326)*7.48/1000000)</f>
        <v>0.14393206742421652</v>
      </c>
      <c r="N329" s="94">
        <f ca="1">IF(B329=TODAY(),0,-$N$6*(Sheet1!CJ327-Sheet1!CJ326)*7.48/1000000)</f>
        <v>-0.68257579934086265</v>
      </c>
      <c r="O329" s="94">
        <f t="shared" ca="1" si="66"/>
        <v>-0.87918693040332974</v>
      </c>
      <c r="P329" s="94">
        <f ca="1">O329+Calculation!ES329</f>
        <v>1.1970210862795034</v>
      </c>
      <c r="Q329" s="89" t="str">
        <f>IF(Sheet1!BQ327&gt;25.75,"spill elevation","-")</f>
        <v>-</v>
      </c>
      <c r="R329" s="89" t="str">
        <f>IF(Sheet1!BQ327&gt;25.75,"spill elevation","-")</f>
        <v>-</v>
      </c>
      <c r="S329" s="89" t="str">
        <f>IF(Sheet1!BR327&gt;25.75,"spill elevation","-")</f>
        <v>-</v>
      </c>
      <c r="T329" s="93">
        <f>IF(Sheet1!DU327=1,Sheet1!AA327-(SUM(AT329:BA329)+BE329),Sheet1!AA327-SUM(AT329:BA329))</f>
        <v>26.643872000000002</v>
      </c>
      <c r="U329" s="93">
        <f>Sheet1!BV327</f>
        <v>33.1</v>
      </c>
      <c r="V329" s="93">
        <f t="shared" si="67"/>
        <v>-6.4561279999999996</v>
      </c>
      <c r="W329" s="93">
        <f>0</f>
        <v>0</v>
      </c>
      <c r="X329" s="89">
        <f>0</f>
        <v>0</v>
      </c>
      <c r="Y329" s="94">
        <f ca="1">Calculation!EJ330+Calculation!ES329+'Calculations II'!O329-'Calculations II'!W329</f>
        <v>49.630410959774473</v>
      </c>
      <c r="Z329" s="94">
        <f ca="1">Y329-Sheet1!CT328</f>
        <v>31.922410959774474</v>
      </c>
      <c r="AA329" s="94">
        <f ca="1">Y329+Calculation!DJ330+Calculation!AS330</f>
        <v>61.898333665088479</v>
      </c>
      <c r="AC329" s="94">
        <f>Sheet1!AA327+Sheet1!AB327+BC329</f>
        <v>60.42</v>
      </c>
      <c r="AD329" s="94">
        <f>Sheet1!AA327+Sheet1!BN327+'Calculations II'!BC329-Calculation!AS329-Calculation!DJ329</f>
        <v>36.092877387553912</v>
      </c>
      <c r="AE329" s="94">
        <f>Sheet1!AA327+Sheet1!AB327+'Calculations II'!BC329-Calculation!AS329-Calculation!DJ329</f>
        <v>48.212877387553917</v>
      </c>
      <c r="AF329" s="94">
        <f ca="1">Sheet1!AA327+Sheet1!BN327+P329+'Calculations II'!BC329+Calculation!AS329+Calculation!DJ329</f>
        <v>61.704143698725588</v>
      </c>
      <c r="AG329" s="94">
        <f ca="1">IF(B329=TODAY(),0,Sheet1!AA327+Sheet1!BN327+'Calculations II'!BC329+'Calculations II'!P329-Sheet1!CT327-BP329)</f>
        <v>30.953021086279502</v>
      </c>
      <c r="AH329" s="94">
        <f ca="1">IF(B329=TODAY(),0,Sheet1!AA327+Sheet1!BN327+'Calculations II'!BC329+'Calculations II'!P329-BP329)</f>
        <v>49.497021086279503</v>
      </c>
      <c r="AI329" s="94">
        <f ca="1">IF(B329=TODAY(),0,BC329+Sheet1!AA327+Calculation!ES329+O329+W329+Sheet1!BN327+Calculation!AS329+Calculation!DJ329-BP329)</f>
        <v>61.704143698725588</v>
      </c>
      <c r="AJ329" s="94"/>
      <c r="AM329" s="90">
        <f t="shared" si="68"/>
        <v>43053</v>
      </c>
      <c r="AN329" s="94">
        <f>Sheet1!BU327</f>
        <v>25.9</v>
      </c>
      <c r="AO329" s="94">
        <f>Sheet1!AA327</f>
        <v>28.1</v>
      </c>
      <c r="AP329" s="94">
        <f t="shared" si="57"/>
        <v>-2.0775000000000001</v>
      </c>
      <c r="AQ329" s="1087">
        <f>((Sheet1!BV327-(Sheet1!BU327-AP329))/(Sheet1!BU327-AP329))</f>
        <v>0.18309355732284879</v>
      </c>
      <c r="AR329" s="94">
        <f t="shared" si="58"/>
        <v>30.177500000000002</v>
      </c>
      <c r="AS329" s="94">
        <f t="shared" si="59"/>
        <v>27.977499999999999</v>
      </c>
      <c r="AT329" s="89">
        <f>Sheet1!BB327</f>
        <v>0</v>
      </c>
      <c r="AU329" s="89">
        <f>Sheet1!AS327*GPMtoMGD</f>
        <v>3.5279999999999999E-2</v>
      </c>
      <c r="AV329" s="94">
        <f>Sheet1!AT327</f>
        <v>0</v>
      </c>
      <c r="AW329" s="89">
        <f>Sheet1!AV327*GPMtoMGD</f>
        <v>0.79358400000000007</v>
      </c>
      <c r="AX329" s="89">
        <f>Sheet1!AW327*GPMtoMGD</f>
        <v>0.62726400000000004</v>
      </c>
      <c r="AY329" s="89">
        <f>Sheet1!AX327*GPMtoMGD</f>
        <v>0</v>
      </c>
      <c r="AZ329" s="89">
        <f>Sheet1!AY327*GPMtoMGD</f>
        <v>0</v>
      </c>
      <c r="BA329" s="89">
        <f>Sheet1!AZ327*GPMtoMGD</f>
        <v>0</v>
      </c>
      <c r="BB329" s="89">
        <f>Sheet1!BP327*GPMtoMGD</f>
        <v>2.8800000000000002E-3</v>
      </c>
      <c r="BC329" s="89">
        <f>Sheet1!CS327*GPMtoMGD</f>
        <v>0</v>
      </c>
      <c r="BD329" s="89">
        <f>Sheet1!BO327*GPMtoMGD</f>
        <v>1.3720319999999999</v>
      </c>
      <c r="BE329" s="89">
        <f>Sheet1!BW327*GPMtoMGD</f>
        <v>1.0830240000000002</v>
      </c>
      <c r="BF329" s="89">
        <f>Sheet1!CN327*GPMtoMGD</f>
        <v>0.33667200000000003</v>
      </c>
      <c r="BG329" s="89">
        <f>Sheet1!CO327*GPMtoMGD</f>
        <v>0.60004800000000003</v>
      </c>
      <c r="BH329" s="89">
        <f>Sheet1!CP327*GPMtoMGD</f>
        <v>0</v>
      </c>
      <c r="BI329" s="89">
        <f t="shared" si="69"/>
        <v>1.3749119999999999</v>
      </c>
      <c r="BK329" s="94">
        <f>SUM(AT329:BA329,AS329,BC329,Calculation!AQ329)</f>
        <v>49.546505387553907</v>
      </c>
      <c r="BM329" s="358">
        <f>0</f>
        <v>0</v>
      </c>
      <c r="BN329" s="358">
        <f>0</f>
        <v>0</v>
      </c>
      <c r="BP329" s="94">
        <f>SUM(BM329:BN329,W329,Sheet1!DX327)</f>
        <v>0</v>
      </c>
      <c r="BR329" s="94">
        <f>Sheet1!AA327</f>
        <v>28.1</v>
      </c>
      <c r="BS329" s="94">
        <f>Sheet1!AB327</f>
        <v>32.32</v>
      </c>
      <c r="BT329" s="94">
        <f t="shared" ca="1" si="60"/>
        <v>1.1970210862795034</v>
      </c>
      <c r="BU329" s="94">
        <f>Sheet1!AT327</f>
        <v>0</v>
      </c>
      <c r="BV329" s="89">
        <f>Sheet1!BB327</f>
        <v>0</v>
      </c>
      <c r="BW329" s="94">
        <f>Calculation!ED329</f>
        <v>12.207122612446087</v>
      </c>
      <c r="BX329" s="94">
        <f>(Sheet1!CS327*1440)/1000000</f>
        <v>0</v>
      </c>
      <c r="CA329" s="94">
        <f ca="1">Sheet1!AC327-Sheet1!BK327-Sheet1!BL327-Sheet1!BM327-Sheet1!BC327-Sheet1!BD327-Sheet1!BE327-Sheet1!BF327-Sheet1!BG327-Sheet1!BH327-Sheet1!BI327+BC329+P329</f>
        <v>49.357021086279509</v>
      </c>
      <c r="CB329" s="93">
        <f t="shared" si="61"/>
        <v>74.585321318545908</v>
      </c>
      <c r="CC329" s="94">
        <f t="shared" si="62"/>
        <v>0</v>
      </c>
      <c r="CD329" s="94">
        <f t="shared" ca="1" si="63"/>
        <v>61.564143698725594</v>
      </c>
      <c r="CE329" s="1077">
        <f t="shared" ca="1" si="64"/>
        <v>95.239730301928489</v>
      </c>
      <c r="CG329" s="1077">
        <f t="shared" ca="1" si="65"/>
        <v>49.357021086279509</v>
      </c>
    </row>
    <row r="330" spans="1:85" s="89" customFormat="1" x14ac:dyDescent="0.25">
      <c r="A330" s="616" t="s">
        <v>6</v>
      </c>
      <c r="B330" s="91">
        <v>43054</v>
      </c>
      <c r="C330" s="92">
        <v>0</v>
      </c>
      <c r="D330" s="94">
        <f>(Sheet1!BQ328-Sheet1!BQ327)*1.385</f>
        <v>1.1910999999999992</v>
      </c>
      <c r="E330" s="30">
        <f>(Sheet1!BR328-Sheet1!BR327)*1.385</f>
        <v>1.385</v>
      </c>
      <c r="F330" s="30">
        <f ca="1">IF(B330=TODAY(),0,-(VLOOKUP(Sheet1!CD328,Lookup!$I$4:$J$216,2)-VLOOKUP(Sheet1!CD327,Lookup!$I$4:$J$216,2))/1000000)</f>
        <v>0.10363693854779936</v>
      </c>
      <c r="G330" s="94">
        <f ca="1">IF(B330=TODAY(),0,-$G$6*(Sheet1!CF328-Sheet1!CF327)*7.48/1000000)</f>
        <v>0.27799450736791476</v>
      </c>
      <c r="H330" s="94">
        <f ca="1">IF(B330=TODAY(),0,-$H$6*(Sheet1!CE328-Sheet1!CE327)*7.48/1000000)</f>
        <v>0</v>
      </c>
      <c r="I330" s="94">
        <f ca="1">IF(B330=TODAY(),0,-$I$6*(Sheet1!CG328-Sheet1!CG327)*7.48/1000000)</f>
        <v>-4.4924879999999837E-3</v>
      </c>
      <c r="J330" s="95" t="s">
        <v>177</v>
      </c>
      <c r="K330" s="94">
        <f ca="1">IF(B330=TODAY(),0,-$K$6*(Sheet1!CH328-Sheet1!CH327)*7.48/1000000)</f>
        <v>0</v>
      </c>
      <c r="L330" s="95" t="s">
        <v>177</v>
      </c>
      <c r="M330" s="94">
        <f ca="1">IF(B330=TODAY(),0,-$M$6*(Sheet1!CI328-Sheet1!CI327)*7.48/1000000)</f>
        <v>-7.1966033712107941E-2</v>
      </c>
      <c r="N330" s="94">
        <f ca="1">IF(B330=TODAY(),0,-$N$6*(Sheet1!CJ328-Sheet1!CJ327)*7.48/1000000)</f>
        <v>-6.2052345394623676E-2</v>
      </c>
      <c r="O330" s="94">
        <f t="shared" ca="1" si="66"/>
        <v>0.24312057880898255</v>
      </c>
      <c r="P330" s="94">
        <f ca="1">O330+Calculation!ES330</f>
        <v>-2.3869368308584606</v>
      </c>
      <c r="Q330" s="89" t="str">
        <f>IF(Sheet1!BQ328&gt;25.75,"spill elevation","-")</f>
        <v>-</v>
      </c>
      <c r="R330" s="89" t="str">
        <f>IF(Sheet1!BQ328&gt;25.75,"spill elevation","-")</f>
        <v>-</v>
      </c>
      <c r="S330" s="89" t="str">
        <f>IF(Sheet1!BR328&gt;25.75,"spill elevation","-")</f>
        <v>-</v>
      </c>
      <c r="T330" s="93">
        <f>IF(Sheet1!DU328=1,Sheet1!AA328-(SUM(AT330:BA330)+BE330),Sheet1!AA328-SUM(AT330:BA330))</f>
        <v>27.121808000000001</v>
      </c>
      <c r="U330" s="93">
        <f>Sheet1!BV328</f>
        <v>29.3</v>
      </c>
      <c r="V330" s="93">
        <f t="shared" si="67"/>
        <v>-2.1781919999999992</v>
      </c>
      <c r="W330" s="93">
        <f>0</f>
        <v>0</v>
      </c>
      <c r="X330" s="89">
        <f>0</f>
        <v>0</v>
      </c>
      <c r="Y330" s="94">
        <f ca="1">Calculation!EJ331+Calculation!ES330+'Calculations II'!O330-'Calculations II'!W330</f>
        <v>43.774640575524131</v>
      </c>
      <c r="Z330" s="94">
        <f ca="1">Y330-Sheet1!CT329</f>
        <v>28.606640575524132</v>
      </c>
      <c r="AA330" s="94">
        <f ca="1">Y330+Calculation!DJ331+Calculation!AS331</f>
        <v>56.222620049545938</v>
      </c>
      <c r="AC330" s="94">
        <f>Sheet1!AA328+Sheet1!AB328+BC330</f>
        <v>61.08</v>
      </c>
      <c r="AD330" s="94">
        <f>Sheet1!AA328+Sheet1!BN328+'Calculations II'!BC330-Calculation!AS330-Calculation!DJ330</f>
        <v>36.632077294685999</v>
      </c>
      <c r="AE330" s="94">
        <f>Sheet1!AA328+Sheet1!AB328+'Calculations II'!BC330-Calculation!AS330-Calculation!DJ330</f>
        <v>48.812077294685992</v>
      </c>
      <c r="AF330" s="94">
        <f ca="1">Sheet1!AA328+Sheet1!BN328+P330+'Calculations II'!BC330+Calculation!AS330+Calculation!DJ330</f>
        <v>58.780985874455553</v>
      </c>
      <c r="AG330" s="94">
        <f ca="1">IF(B330=TODAY(),0,Sheet1!AA328+Sheet1!BN328+'Calculations II'!BC330+'Calculations II'!P330-Sheet1!CT328-BP330)</f>
        <v>28.805063169141548</v>
      </c>
      <c r="AH330" s="94">
        <f ca="1">IF(B330=TODAY(),0,Sheet1!AA328+Sheet1!BN328+'Calculations II'!BC330+'Calculations II'!P330-BP330)</f>
        <v>46.513063169141546</v>
      </c>
      <c r="AI330" s="94">
        <f ca="1">IF(B330=TODAY(),0,BC330+Sheet1!AA328+Calculation!ES330+O330+W330+Sheet1!BN328+Calculation!AS330+Calculation!DJ330-BP330)</f>
        <v>58.780985874455553</v>
      </c>
      <c r="AJ330" s="94"/>
      <c r="AM330" s="90">
        <f t="shared" si="68"/>
        <v>43054</v>
      </c>
      <c r="AN330" s="94">
        <f>Sheet1!BU328</f>
        <v>26.5</v>
      </c>
      <c r="AO330" s="94">
        <f>Sheet1!AA328</f>
        <v>28.1</v>
      </c>
      <c r="AP330" s="94">
        <f t="shared" ref="AP330:AP381" si="70">D330+E330</f>
        <v>2.5760999999999994</v>
      </c>
      <c r="AQ330" s="1087">
        <f>((Sheet1!BV328-(Sheet1!BU328-AP330))/(Sheet1!BU328-AP330))</f>
        <v>0.22471670588825404</v>
      </c>
      <c r="AR330" s="94">
        <f t="shared" ref="AR330:AR381" si="71">AO330-AP330</f>
        <v>25.523900000000001</v>
      </c>
      <c r="AS330" s="94">
        <f t="shared" ref="AS330:AS381" si="72">AN330-AP330</f>
        <v>23.9239</v>
      </c>
      <c r="AT330" s="89">
        <f>Sheet1!BB328</f>
        <v>0</v>
      </c>
      <c r="AU330" s="89">
        <f>Sheet1!AS328*GPMtoMGD</f>
        <v>3.4704000000000006E-2</v>
      </c>
      <c r="AV330" s="94">
        <f>Sheet1!AT328</f>
        <v>0</v>
      </c>
      <c r="AW330" s="89">
        <f>Sheet1!AV328*GPMtoMGD</f>
        <v>0.59414400000000012</v>
      </c>
      <c r="AX330" s="89">
        <f>Sheet1!AW328*GPMtoMGD</f>
        <v>0.34934399999999999</v>
      </c>
      <c r="AY330" s="89">
        <f>Sheet1!AX328*GPMtoMGD</f>
        <v>0</v>
      </c>
      <c r="AZ330" s="89">
        <f>Sheet1!AY328*GPMtoMGD</f>
        <v>0</v>
      </c>
      <c r="BA330" s="89">
        <f>Sheet1!AZ328*GPMtoMGD</f>
        <v>0</v>
      </c>
      <c r="BB330" s="89">
        <f>Sheet1!BP328*GPMtoMGD</f>
        <v>2.8800000000000002E-3</v>
      </c>
      <c r="BC330" s="89">
        <f>Sheet1!CS328*GPMtoMGD</f>
        <v>0</v>
      </c>
      <c r="BD330" s="89">
        <f>Sheet1!BO328*GPMtoMGD</f>
        <v>1.5383519999999999</v>
      </c>
      <c r="BE330" s="89">
        <f>Sheet1!BW328*GPMtoMGD</f>
        <v>1.009152</v>
      </c>
      <c r="BF330" s="89">
        <f>Sheet1!CN328*GPMtoMGD</f>
        <v>0.30355200000000004</v>
      </c>
      <c r="BG330" s="89">
        <f>Sheet1!CO328*GPMtoMGD</f>
        <v>0.586368</v>
      </c>
      <c r="BH330" s="89">
        <f>Sheet1!CP328*GPMtoMGD</f>
        <v>0</v>
      </c>
      <c r="BI330" s="89">
        <f t="shared" si="69"/>
        <v>1.5412319999999999</v>
      </c>
      <c r="BK330" s="94">
        <f>SUM(AT330:BA330,AS330,BC330,Calculation!AQ330)</f>
        <v>45.614169294685986</v>
      </c>
      <c r="BM330" s="358">
        <f>0</f>
        <v>0</v>
      </c>
      <c r="BN330" s="358">
        <f>0</f>
        <v>0</v>
      </c>
      <c r="BP330" s="94">
        <f>SUM(BM330:BN330,W330,Sheet1!DX328)</f>
        <v>0</v>
      </c>
      <c r="BR330" s="94">
        <f>Sheet1!AA328</f>
        <v>28.1</v>
      </c>
      <c r="BS330" s="94">
        <f>Sheet1!AB328</f>
        <v>32.979999999999997</v>
      </c>
      <c r="BT330" s="94">
        <f t="shared" ca="1" si="60"/>
        <v>-2.3869368308584606</v>
      </c>
      <c r="BU330" s="94">
        <f>Sheet1!AT328</f>
        <v>0</v>
      </c>
      <c r="BV330" s="89">
        <f>Sheet1!BB328</f>
        <v>0</v>
      </c>
      <c r="BW330" s="94">
        <f>Calculation!ED330</f>
        <v>12.267922705314007</v>
      </c>
      <c r="BX330" s="94">
        <f>(Sheet1!CS328*1440)/1000000</f>
        <v>0</v>
      </c>
      <c r="CA330" s="94">
        <f ca="1">Sheet1!AC328-Sheet1!BK328-Sheet1!BL328-Sheet1!BM328-Sheet1!BC328-Sheet1!BD328-Sheet1!BE328-Sheet1!BF328-Sheet1!BG328-Sheet1!BH328-Sheet1!BI328+BC330+P330</f>
        <v>46.373063169141531</v>
      </c>
      <c r="CB330" s="93">
        <f t="shared" si="61"/>
        <v>75.51228357487922</v>
      </c>
      <c r="CC330" s="94">
        <f t="shared" si="62"/>
        <v>0</v>
      </c>
      <c r="CD330" s="94">
        <f t="shared" ca="1" si="63"/>
        <v>58.640985874455538</v>
      </c>
      <c r="CE330" s="1077">
        <f t="shared" ca="1" si="64"/>
        <v>90.71760514778272</v>
      </c>
      <c r="CG330" s="1077">
        <f t="shared" ca="1" si="65"/>
        <v>46.373063169141531</v>
      </c>
    </row>
    <row r="331" spans="1:85" s="89" customFormat="1" x14ac:dyDescent="0.25">
      <c r="A331" s="616" t="s">
        <v>7</v>
      </c>
      <c r="B331" s="91">
        <v>43055</v>
      </c>
      <c r="C331" s="92">
        <v>0</v>
      </c>
      <c r="D331" s="94">
        <f>(Sheet1!BQ329-Sheet1!BQ328)*1.385</f>
        <v>0.78945000000000043</v>
      </c>
      <c r="E331" s="30">
        <f>(Sheet1!BR329-Sheet1!BR328)*1.385</f>
        <v>0.37394999999999939</v>
      </c>
      <c r="F331" s="30">
        <f ca="1">IF(B331=TODAY(),0,-(VLOOKUP(Sheet1!CD329,Lookup!$I$4:$J$216,2)-VLOOKUP(Sheet1!CD328,Lookup!$I$4:$J$216,2))/1000000)</f>
        <v>0</v>
      </c>
      <c r="G331" s="94">
        <f ca="1">IF(B331=TODAY(),0,-$G$6*(Sheet1!CF329-Sheet1!CF328)*7.48/1000000)</f>
        <v>-0.75455651999862605</v>
      </c>
      <c r="H331" s="94">
        <f ca="1">IF(B331=TODAY(),0,-$H$6*(Sheet1!CE329-Sheet1!CE328)*7.48/1000000)</f>
        <v>1.5039432351265274E-2</v>
      </c>
      <c r="I331" s="94">
        <f ca="1">IF(B331=TODAY(),0,-$I$6*(Sheet1!CG329-Sheet1!CG328)*7.48/1000000)</f>
        <v>8.9849760000000015E-2</v>
      </c>
      <c r="J331" s="95" t="s">
        <v>177</v>
      </c>
      <c r="K331" s="94">
        <f ca="1">IF(B331=TODAY(),0,-$K$6*(Sheet1!CH329-Sheet1!CH328)*7.48/1000000)</f>
        <v>0.13992972786362737</v>
      </c>
      <c r="L331" s="95" t="s">
        <v>177</v>
      </c>
      <c r="M331" s="94">
        <f ca="1">IF(B331=TODAY(),0,-$M$6*(Sheet1!CI329-Sheet1!CI328)*7.48/1000000)</f>
        <v>0.48577072755673018</v>
      </c>
      <c r="N331" s="94">
        <f ca="1">IF(B331=TODAY(),0,-$N$6*(Sheet1!CJ329-Sheet1!CJ328)*7.48/1000000)</f>
        <v>9.9283752631398325E-2</v>
      </c>
      <c r="O331" s="94">
        <f t="shared" ca="1" si="66"/>
        <v>7.5316880404395103E-2</v>
      </c>
      <c r="P331" s="94">
        <f ca="1">O331+Calculation!ES331</f>
        <v>-1.1707961981521127</v>
      </c>
      <c r="Q331" s="89" t="str">
        <f>IF(Sheet1!BQ329&gt;25.75,"spill elevation","-")</f>
        <v>-</v>
      </c>
      <c r="R331" s="89" t="str">
        <f>IF(Sheet1!BQ329&gt;25.75,"spill elevation","-")</f>
        <v>-</v>
      </c>
      <c r="S331" s="89" t="str">
        <f>IF(Sheet1!BR329&gt;25.75,"spill elevation","-")</f>
        <v>-</v>
      </c>
      <c r="T331" s="93">
        <f>IF(Sheet1!DU329=1,Sheet1!AA329-(SUM(AT331:BA331)+BE331),Sheet1!AA329-SUM(AT331:BA331))</f>
        <v>26.655760000000001</v>
      </c>
      <c r="U331" s="93">
        <f>Sheet1!BV329</f>
        <v>29.2</v>
      </c>
      <c r="V331" s="93">
        <f t="shared" si="67"/>
        <v>-2.5442399999999985</v>
      </c>
      <c r="W331" s="93">
        <f>0</f>
        <v>0</v>
      </c>
      <c r="X331" s="89">
        <f>0</f>
        <v>0</v>
      </c>
      <c r="Y331" s="94">
        <f ca="1">Calculation!EJ332+Calculation!ES331+'Calculations II'!O331-'Calculations II'!W331</f>
        <v>44.066771277504834</v>
      </c>
      <c r="Z331" s="94">
        <f ca="1">Y331-Sheet1!CT330</f>
        <v>28.933771277504835</v>
      </c>
      <c r="AA331" s="94">
        <f ca="1">Y331+Calculation!DJ332+Calculation!AS332</f>
        <v>56.324095970093737</v>
      </c>
      <c r="AC331" s="94">
        <f>Sheet1!AA329+Sheet1!AB329+BC331</f>
        <v>59.19</v>
      </c>
      <c r="AD331" s="94">
        <f>Sheet1!AA329+Sheet1!BN329+'Calculations II'!BC331-Calculation!AS331-Calculation!DJ331</f>
        <v>34.342020525978185</v>
      </c>
      <c r="AE331" s="94">
        <f>Sheet1!AA329+Sheet1!AB329+'Calculations II'!BC331-Calculation!AS331-Calculation!DJ331</f>
        <v>46.742020525978191</v>
      </c>
      <c r="AF331" s="94">
        <f ca="1">Sheet1!AA329+Sheet1!BN329+P331+'Calculations II'!BC331+Calculation!AS331+Calculation!DJ331</f>
        <v>58.067183275869695</v>
      </c>
      <c r="AG331" s="94">
        <f ca="1">IF(B331=TODAY(),0,Sheet1!AA329+Sheet1!BN329+'Calculations II'!BC331+'Calculations II'!P331-Sheet1!CT329-BP331)</f>
        <v>30.451203801847889</v>
      </c>
      <c r="AH331" s="94">
        <f ca="1">IF(B331=TODAY(),0,Sheet1!AA329+Sheet1!BN329+'Calculations II'!BC331+'Calculations II'!P331-BP331)</f>
        <v>45.619203801847888</v>
      </c>
      <c r="AI331" s="94">
        <f ca="1">IF(B331=TODAY(),0,BC331+Sheet1!AA329+Calculation!ES331+O331+W331+Sheet1!BN329+Calculation!AS331+Calculation!DJ331-BP331)</f>
        <v>58.067183275869695</v>
      </c>
      <c r="AJ331" s="94"/>
      <c r="AM331" s="90">
        <f t="shared" si="68"/>
        <v>43055</v>
      </c>
      <c r="AN331" s="94">
        <f>Sheet1!BU329</f>
        <v>26</v>
      </c>
      <c r="AO331" s="94">
        <f>Sheet1!AA329</f>
        <v>28.09</v>
      </c>
      <c r="AP331" s="94">
        <f t="shared" si="70"/>
        <v>1.1633999999999998</v>
      </c>
      <c r="AQ331" s="1086">
        <f>((Sheet1!BV329-(Sheet1!BU329-AP331))/(Sheet1!BU329-AP331))</f>
        <v>0.17568427240443532</v>
      </c>
      <c r="AR331" s="94">
        <f t="shared" si="71"/>
        <v>26.926600000000001</v>
      </c>
      <c r="AS331" s="94">
        <f t="shared" si="72"/>
        <v>24.836600000000001</v>
      </c>
      <c r="AT331" s="89">
        <f>Sheet1!BB329</f>
        <v>0</v>
      </c>
      <c r="AU331" s="89">
        <f>Sheet1!AS329*GPMtoMGD</f>
        <v>3.4848000000000004E-2</v>
      </c>
      <c r="AV331" s="94">
        <f>Sheet1!AT329</f>
        <v>0</v>
      </c>
      <c r="AW331" s="89">
        <f>Sheet1!AV329*GPMtoMGD</f>
        <v>0.78249599999999997</v>
      </c>
      <c r="AX331" s="89">
        <f>Sheet1!AW329*GPMtoMGD</f>
        <v>0.616896</v>
      </c>
      <c r="AY331" s="89">
        <f>Sheet1!AX329*GPMtoMGD</f>
        <v>0</v>
      </c>
      <c r="AZ331" s="89">
        <f>Sheet1!AY329*GPMtoMGD</f>
        <v>0</v>
      </c>
      <c r="BA331" s="89">
        <f>Sheet1!AZ329*GPMtoMGD</f>
        <v>0</v>
      </c>
      <c r="BB331" s="89">
        <f>Sheet1!BP329*GPMtoMGD</f>
        <v>3.1680000000000002E-3</v>
      </c>
      <c r="BC331" s="89">
        <f>Sheet1!CS329*GPMtoMGD</f>
        <v>0</v>
      </c>
      <c r="BD331" s="89">
        <f>Sheet1!BO329*GPMtoMGD</f>
        <v>0.86688000000000009</v>
      </c>
      <c r="BE331" s="89">
        <f>Sheet1!BW329*GPMtoMGD</f>
        <v>0.93528000000000011</v>
      </c>
      <c r="BF331" s="89">
        <f>Sheet1!CN329*GPMtoMGD</f>
        <v>0.32630400000000004</v>
      </c>
      <c r="BG331" s="89">
        <f>Sheet1!CO329*GPMtoMGD</f>
        <v>0.58320000000000005</v>
      </c>
      <c r="BH331" s="89">
        <f>Sheet1!CP329*GPMtoMGD</f>
        <v>0</v>
      </c>
      <c r="BI331" s="89">
        <f t="shared" si="69"/>
        <v>0.87004800000000004</v>
      </c>
      <c r="BK331" s="94">
        <f>SUM(AT331:BA331,AS331,BC331,Calculation!AQ331)</f>
        <v>44.922860525978194</v>
      </c>
      <c r="BM331" s="358">
        <f>0</f>
        <v>0</v>
      </c>
      <c r="BN331" s="358">
        <f>0</f>
        <v>0</v>
      </c>
      <c r="BP331" s="94">
        <f>SUM(BM331:BN331,W331,Sheet1!DX329)</f>
        <v>0</v>
      </c>
      <c r="BR331" s="94">
        <f>Sheet1!AA329</f>
        <v>28.09</v>
      </c>
      <c r="BS331" s="94">
        <f>Sheet1!AB329</f>
        <v>31.1</v>
      </c>
      <c r="BT331" s="94">
        <f t="shared" ca="1" si="60"/>
        <v>-1.1707961981521127</v>
      </c>
      <c r="BU331" s="94">
        <f>Sheet1!AT329</f>
        <v>0</v>
      </c>
      <c r="BV331" s="89">
        <f>Sheet1!BB329</f>
        <v>0</v>
      </c>
      <c r="BW331" s="94">
        <f>Calculation!ED331</f>
        <v>12.44797947402181</v>
      </c>
      <c r="BX331" s="94">
        <f>(Sheet1!CS329*1440)/1000000</f>
        <v>0</v>
      </c>
      <c r="CA331" s="94">
        <f ca="1">Sheet1!AC329-Sheet1!BK329-Sheet1!BL329-Sheet1!BM329-Sheet1!BC329-Sheet1!BD329-Sheet1!BE329-Sheet1!BF329-Sheet1!BG329-Sheet1!BH329-Sheet1!BI329+BC331+P331</f>
        <v>45.539203801847883</v>
      </c>
      <c r="CB331" s="93">
        <f t="shared" si="61"/>
        <v>72.309905753688255</v>
      </c>
      <c r="CC331" s="94">
        <f t="shared" si="62"/>
        <v>0</v>
      </c>
      <c r="CD331" s="94">
        <f t="shared" ca="1" si="63"/>
        <v>57.987183275869697</v>
      </c>
      <c r="CE331" s="1077">
        <f t="shared" ca="1" si="64"/>
        <v>89.70617252777042</v>
      </c>
      <c r="CG331" s="1077">
        <f t="shared" ca="1" si="65"/>
        <v>45.539203801847883</v>
      </c>
    </row>
    <row r="332" spans="1:85" s="89" customFormat="1" x14ac:dyDescent="0.25">
      <c r="A332" s="616" t="s">
        <v>8</v>
      </c>
      <c r="B332" s="91">
        <v>43056</v>
      </c>
      <c r="C332" s="92">
        <v>0</v>
      </c>
      <c r="D332" s="94">
        <f>(Sheet1!BQ330-Sheet1!BQ329)*1.385</f>
        <v>0.70634999999999726</v>
      </c>
      <c r="E332" s="30">
        <f>(Sheet1!BR330-Sheet1!BR329)*1.385</f>
        <v>0.67864999999999787</v>
      </c>
      <c r="F332" s="30">
        <f ca="1">IF(B332=TODAY(),0,-(VLOOKUP(Sheet1!CD330,Lookup!$I$4:$J$216,2)-VLOOKUP(Sheet1!CD329,Lookup!$I$4:$J$216,2))/1000000)</f>
        <v>0.51818469273900425</v>
      </c>
      <c r="G332" s="94">
        <f ca="1">IF(B332=TODAY(),0,-$G$6*(Sheet1!CF330-Sheet1!CF329)*7.48/1000000)</f>
        <v>0.5281895639990386</v>
      </c>
      <c r="H332" s="94">
        <f ca="1">IF(B332=TODAY(),0,-$H$6*(Sheet1!CE330-Sheet1!CE329)*7.48/1000000)</f>
        <v>0</v>
      </c>
      <c r="I332" s="94">
        <f ca="1">IF(B332=TODAY(),0,-$I$6*(Sheet1!CG330-Sheet1!CG329)*7.48/1000000)</f>
        <v>-0.11006595600000001</v>
      </c>
      <c r="J332" s="95" t="s">
        <v>177</v>
      </c>
      <c r="K332" s="94">
        <f ca="1">IF(B332=TODAY(),0,-$K$6*(Sheet1!CH330-Sheet1!CH329)*7.48/1000000)</f>
        <v>-0.17990965011037802</v>
      </c>
      <c r="L332" s="95" t="s">
        <v>177</v>
      </c>
      <c r="M332" s="94">
        <f ca="1">IF(B332=TODAY(),0,-$M$6*(Sheet1!CI330-Sheet1!CI329)*7.48/1000000)</f>
        <v>-0.57752742053966843</v>
      </c>
      <c r="N332" s="94">
        <f ca="1">IF(B332=TODAY(),0,-$N$6*(Sheet1!CJ330-Sheet1!CJ329)*7.48/1000000)</f>
        <v>2.4820938157849033E-2</v>
      </c>
      <c r="O332" s="94">
        <f t="shared" ca="1" si="66"/>
        <v>0.20369216824584557</v>
      </c>
      <c r="P332" s="94">
        <f ca="1">O332+Calculation!ES332</f>
        <v>-1.1812837616954659</v>
      </c>
      <c r="Q332" s="89" t="str">
        <f>IF(Sheet1!BQ330&gt;25.75,"spill elevation","-")</f>
        <v>-</v>
      </c>
      <c r="R332" s="89" t="str">
        <f>IF(Sheet1!BQ330&gt;25.75,"spill elevation","-")</f>
        <v>-</v>
      </c>
      <c r="S332" s="89" t="str">
        <f>IF(Sheet1!BR330&gt;25.75,"spill elevation","-")</f>
        <v>-</v>
      </c>
      <c r="T332" s="93">
        <f>IF(Sheet1!DU330=1,Sheet1!AA330-(SUM(AT332:BA332)+BE332),Sheet1!AA330-SUM(AT332:BA332))</f>
        <v>27.308800000000002</v>
      </c>
      <c r="U332" s="93">
        <f>Sheet1!BV330</f>
        <v>29.8</v>
      </c>
      <c r="V332" s="93">
        <f t="shared" si="67"/>
        <v>-2.4911999999999992</v>
      </c>
      <c r="W332" s="93">
        <f>0</f>
        <v>0</v>
      </c>
      <c r="X332" s="89">
        <f>0</f>
        <v>0</v>
      </c>
      <c r="Y332" s="94">
        <f ca="1">Calculation!EJ333+Calculation!ES332+'Calculations II'!O332-'Calculations II'!W332</f>
        <v>45.259202799135061</v>
      </c>
      <c r="Z332" s="94">
        <f ca="1">Y332-Sheet1!CT331</f>
        <v>28.871202799135059</v>
      </c>
      <c r="AA332" s="94">
        <f ca="1">Y332+Calculation!DJ333+Calculation!AS333</f>
        <v>57.513757912016871</v>
      </c>
      <c r="AC332" s="94">
        <f>Sheet1!AA330+Sheet1!AB330+BC332</f>
        <v>58.1</v>
      </c>
      <c r="AD332" s="94">
        <f>Sheet1!AA330+Sheet1!BN330+'Calculations II'!BC332-Calculation!AS332-Calculation!DJ332</f>
        <v>33.632675307411098</v>
      </c>
      <c r="AE332" s="94">
        <f>Sheet1!AA330+Sheet1!AB330+'Calculations II'!BC332-Calculation!AS332-Calculation!DJ332</f>
        <v>45.842675307411099</v>
      </c>
      <c r="AF332" s="94">
        <f ca="1">Sheet1!AA330+Sheet1!BN330+P332+'Calculations II'!BC332+Calculation!AS332+Calculation!DJ332</f>
        <v>56.966040930893435</v>
      </c>
      <c r="AG332" s="94">
        <f ca="1">IF(B332=TODAY(),0,Sheet1!AA330+Sheet1!BN330+'Calculations II'!BC332+'Calculations II'!P332-Sheet1!CT330-BP332)</f>
        <v>29.575716238304533</v>
      </c>
      <c r="AH332" s="94">
        <f ca="1">IF(B332=TODAY(),0,Sheet1!AA330+Sheet1!BN330+'Calculations II'!BC332+'Calculations II'!P332-BP332)</f>
        <v>44.708716238304532</v>
      </c>
      <c r="AI332" s="94">
        <f ca="1">IF(B332=TODAY(),0,BC332+Sheet1!AA330+Calculation!ES332+O332+W332+Sheet1!BN330+Calculation!AS332+Calculation!DJ332-BP332)</f>
        <v>56.966040930893435</v>
      </c>
      <c r="AJ332" s="94"/>
      <c r="AM332" s="90">
        <f t="shared" si="68"/>
        <v>43056</v>
      </c>
      <c r="AN332" s="94">
        <f>Sheet1!BU330</f>
        <v>26.5</v>
      </c>
      <c r="AO332" s="94">
        <f>Sheet1!AA330</f>
        <v>28.09</v>
      </c>
      <c r="AP332" s="94">
        <f t="shared" si="70"/>
        <v>1.3849999999999951</v>
      </c>
      <c r="AQ332" s="1086">
        <f>((Sheet1!BV330-(Sheet1!BU330-AP332))/(Sheet1!BU330-AP332))</f>
        <v>0.18654190722675668</v>
      </c>
      <c r="AR332" s="94">
        <f t="shared" si="71"/>
        <v>26.705000000000005</v>
      </c>
      <c r="AS332" s="94">
        <f t="shared" si="72"/>
        <v>25.115000000000006</v>
      </c>
      <c r="AT332" s="89">
        <f>Sheet1!BB330</f>
        <v>0</v>
      </c>
      <c r="AU332" s="89">
        <f>Sheet1!AS330*GPMtoMGD</f>
        <v>3.3695999999999997E-2</v>
      </c>
      <c r="AV332" s="94">
        <f>Sheet1!AT330</f>
        <v>0</v>
      </c>
      <c r="AW332" s="89">
        <f>Sheet1!AV330*GPMtoMGD</f>
        <v>0.42264000000000002</v>
      </c>
      <c r="AX332" s="89">
        <f>Sheet1!AW330*GPMtoMGD</f>
        <v>0.32486399999999999</v>
      </c>
      <c r="AY332" s="89">
        <f>Sheet1!AX330*GPMtoMGD</f>
        <v>0</v>
      </c>
      <c r="AZ332" s="89">
        <f>Sheet1!AY330*GPMtoMGD</f>
        <v>0</v>
      </c>
      <c r="BA332" s="89">
        <f>Sheet1!AZ330*GPMtoMGD</f>
        <v>0</v>
      </c>
      <c r="BB332" s="89">
        <f>Sheet1!BP330*GPMtoMGD</f>
        <v>3.0240000000000002E-3</v>
      </c>
      <c r="BC332" s="89">
        <f>Sheet1!CS330*GPMtoMGD</f>
        <v>0</v>
      </c>
      <c r="BD332" s="89">
        <f>Sheet1!BO330*GPMtoMGD</f>
        <v>2.217168</v>
      </c>
      <c r="BE332" s="89">
        <f>Sheet1!BW330*GPMtoMGD</f>
        <v>1.0640160000000001</v>
      </c>
      <c r="BF332" s="89">
        <f>Sheet1!CN330*GPMtoMGD</f>
        <v>0.27316800000000002</v>
      </c>
      <c r="BG332" s="89">
        <f>Sheet1!CO330*GPMtoMGD</f>
        <v>0.584928</v>
      </c>
      <c r="BH332" s="89">
        <f>Sheet1!CP330*GPMtoMGD</f>
        <v>0</v>
      </c>
      <c r="BI332" s="89">
        <f t="shared" si="69"/>
        <v>2.2201919999999999</v>
      </c>
      <c r="BK332" s="94">
        <f>SUM(AT332:BA332,AS332,BC332,Calculation!AQ332)</f>
        <v>43.648875307411103</v>
      </c>
      <c r="BM332" s="358">
        <f>0</f>
        <v>0</v>
      </c>
      <c r="BN332" s="358">
        <f>0</f>
        <v>0</v>
      </c>
      <c r="BP332" s="94">
        <f>SUM(BM332:BN332,W332,Sheet1!DX330)</f>
        <v>0</v>
      </c>
      <c r="BR332" s="94">
        <f>Sheet1!AA330</f>
        <v>28.09</v>
      </c>
      <c r="BS332" s="94">
        <f>Sheet1!AB330</f>
        <v>30.01</v>
      </c>
      <c r="BT332" s="94">
        <f t="shared" ca="1" si="60"/>
        <v>-1.1812837616954659</v>
      </c>
      <c r="BU332" s="94">
        <f>Sheet1!AT330</f>
        <v>0</v>
      </c>
      <c r="BV332" s="89">
        <f>Sheet1!BB330</f>
        <v>0</v>
      </c>
      <c r="BW332" s="94">
        <f>Calculation!ED332</f>
        <v>12.257324692588901</v>
      </c>
      <c r="BX332" s="94">
        <f>(Sheet1!CS330*1440)/1000000</f>
        <v>0</v>
      </c>
      <c r="CA332" s="94">
        <f ca="1">Sheet1!AC330-Sheet1!BK330-Sheet1!BL330-Sheet1!BM330-Sheet1!BC330-Sheet1!BD330-Sheet1!BE330-Sheet1!BF330-Sheet1!BG330-Sheet1!BH330-Sheet1!BI330+BC332+P332</f>
        <v>44.628716238304541</v>
      </c>
      <c r="CB332" s="93">
        <f t="shared" si="61"/>
        <v>70.918618700564963</v>
      </c>
      <c r="CC332" s="94">
        <f t="shared" si="62"/>
        <v>0</v>
      </c>
      <c r="CD332" s="94">
        <f t="shared" ca="1" si="63"/>
        <v>56.886040930893444</v>
      </c>
      <c r="CE332" s="1077">
        <f t="shared" ca="1" si="64"/>
        <v>88.002705320092147</v>
      </c>
      <c r="CG332" s="1077">
        <f t="shared" ca="1" si="65"/>
        <v>44.628716238304541</v>
      </c>
    </row>
    <row r="333" spans="1:85" s="89" customFormat="1" x14ac:dyDescent="0.25">
      <c r="A333" s="616" t="s">
        <v>9</v>
      </c>
      <c r="B333" s="91">
        <v>43057</v>
      </c>
      <c r="C333" s="92">
        <v>0</v>
      </c>
      <c r="D333" s="94">
        <f>(Sheet1!BQ331-Sheet1!BQ330)*1.385</f>
        <v>0.37395000000000433</v>
      </c>
      <c r="E333" s="30">
        <f>(Sheet1!BR331-Sheet1!BR330)*1.385</f>
        <v>0.47089999999999982</v>
      </c>
      <c r="F333" s="30">
        <f ca="1">IF(B333=TODAY(),0,-(VLOOKUP(Sheet1!CD331,Lookup!$I$4:$J$216,2)-VLOOKUP(Sheet1!CD330,Lookup!$I$4:$J$216,2))/1000000)</f>
        <v>0.72545856983459556</v>
      </c>
      <c r="G333" s="94">
        <f ca="1">IF(B333=TODAY(),0,-$G$6*(Sheet1!CF331-Sheet1!CF330)*7.48/1000000)</f>
        <v>0.22636695599958739</v>
      </c>
      <c r="H333" s="94">
        <f ca="1">IF(B333=TODAY(),0,-$H$6*(Sheet1!CE331-Sheet1!CE330)*7.48/1000000)</f>
        <v>0</v>
      </c>
      <c r="I333" s="94">
        <f ca="1">IF(B333=TODAY(),0,-$I$6*(Sheet1!CG331-Sheet1!CG330)*7.48/1000000)</f>
        <v>-1.5723707999999986E-2</v>
      </c>
      <c r="J333" s="95" t="s">
        <v>177</v>
      </c>
      <c r="K333" s="94">
        <f ca="1">IF(B333=TODAY(),0,-$K$6*(Sheet1!CH331-Sheet1!CH330)*7.48/1000000)</f>
        <v>-3.9979922246750635E-2</v>
      </c>
      <c r="L333" s="95" t="s">
        <v>177</v>
      </c>
      <c r="M333" s="94">
        <f ca="1">IF(B333=TODAY(),0,-$M$6*(Sheet1!CI331-Sheet1!CI330)*7.48/1000000)</f>
        <v>-1.4393206742421333E-2</v>
      </c>
      <c r="N333" s="94">
        <f ca="1">IF(B333=TODAY(),0,-$N$6*(Sheet1!CJ331-Sheet1!CJ330)*7.48/1000000)</f>
        <v>0.60811298486731447</v>
      </c>
      <c r="O333" s="94">
        <f t="shared" ca="1" si="66"/>
        <v>1.4898416737123257</v>
      </c>
      <c r="P333" s="94">
        <f ca="1">O333+Calculation!ES333</f>
        <v>0.65870230382254102</v>
      </c>
      <c r="Q333" s="89" t="str">
        <f>IF(Sheet1!BQ331&gt;25.75,"spill elevation","-")</f>
        <v>-</v>
      </c>
      <c r="R333" s="89" t="str">
        <f>IF(Sheet1!BQ331&gt;25.75,"spill elevation","-")</f>
        <v>-</v>
      </c>
      <c r="S333" s="89" t="str">
        <f>IF(Sheet1!BR331&gt;25.75,"spill elevation","-")</f>
        <v>-</v>
      </c>
      <c r="T333" s="93">
        <f>IF(Sheet1!DU331=1,Sheet1!AA331-(SUM(AT333:BA333)+BE333),Sheet1!AA331-SUM(AT333:BA333))</f>
        <v>27.3248</v>
      </c>
      <c r="U333" s="93">
        <f>Sheet1!BV331</f>
        <v>30.6</v>
      </c>
      <c r="V333" s="93">
        <f t="shared" si="67"/>
        <v>-3.2752000000000017</v>
      </c>
      <c r="W333" s="93">
        <f>0</f>
        <v>0</v>
      </c>
      <c r="X333" s="89">
        <f>0</f>
        <v>0</v>
      </c>
      <c r="Y333" s="94">
        <f ca="1">Calculation!EJ334+Calculation!ES333+'Calculations II'!O333-'Calculations II'!W333</f>
        <v>44.605763588861258</v>
      </c>
      <c r="Z333" s="94">
        <f ca="1">Y333-Sheet1!CT332</f>
        <v>29.10176358886126</v>
      </c>
      <c r="AA333" s="94">
        <f ca="1">Y333+Calculation!DJ334+Calculation!AS334</f>
        <v>56.153382636480302</v>
      </c>
      <c r="AC333" s="94">
        <f>Sheet1!AA331+Sheet1!AB331+BC333</f>
        <v>58.03</v>
      </c>
      <c r="AD333" s="94">
        <f>Sheet1!AA331+Sheet1!BN331+'Calculations II'!BC333-Calculation!AS333-Calculation!DJ333</f>
        <v>33.615444887118201</v>
      </c>
      <c r="AE333" s="94">
        <f>Sheet1!AA331+Sheet1!AB331+'Calculations II'!BC333-Calculation!AS333-Calculation!DJ333</f>
        <v>45.775444887118198</v>
      </c>
      <c r="AF333" s="94">
        <f ca="1">Sheet1!AA331+Sheet1!BN331+P333+'Calculations II'!BC333+Calculation!AS333+Calculation!DJ333</f>
        <v>58.783257416704359</v>
      </c>
      <c r="AG333" s="94">
        <f ca="1">IF(B333=TODAY(),0,Sheet1!AA331+Sheet1!BN331+'Calculations II'!BC333+'Calculations II'!P333-Sheet1!CT331-BP333)</f>
        <v>30.140702303822547</v>
      </c>
      <c r="AH333" s="94">
        <f ca="1">IF(B333=TODAY(),0,Sheet1!AA331+Sheet1!BN331+'Calculations II'!BC333+'Calculations II'!P333-BP333)</f>
        <v>46.528702303822548</v>
      </c>
      <c r="AI333" s="94">
        <f ca="1">IF(B333=TODAY(),0,BC333+Sheet1!AA331+Calculation!ES333+O333+W333+Sheet1!BN331+Calculation!AS333+Calculation!DJ333-BP333)</f>
        <v>58.783257416704345</v>
      </c>
      <c r="AJ333" s="94"/>
      <c r="AM333" s="90">
        <f t="shared" si="68"/>
        <v>43057</v>
      </c>
      <c r="AN333" s="94">
        <f>Sheet1!BU331</f>
        <v>26.5</v>
      </c>
      <c r="AO333" s="94">
        <f>Sheet1!AA331</f>
        <v>28.07</v>
      </c>
      <c r="AP333" s="94">
        <f t="shared" si="70"/>
        <v>0.8448500000000041</v>
      </c>
      <c r="AQ333" s="1086">
        <f>((Sheet1!BV331-(Sheet1!BU331-AP333))/(Sheet1!BU331-AP333))</f>
        <v>0.19274297753082742</v>
      </c>
      <c r="AR333" s="94">
        <f t="shared" si="71"/>
        <v>27.225149999999996</v>
      </c>
      <c r="AS333" s="94">
        <f t="shared" si="72"/>
        <v>25.655149999999995</v>
      </c>
      <c r="AT333" s="89">
        <f>Sheet1!BB331</f>
        <v>0</v>
      </c>
      <c r="AU333" s="89">
        <f>Sheet1!AS331*GPMtoMGD</f>
        <v>2.1456000000000003E-2</v>
      </c>
      <c r="AV333" s="94">
        <f>Sheet1!AT331</f>
        <v>0</v>
      </c>
      <c r="AW333" s="89">
        <f>Sheet1!AV331*GPMtoMGD</f>
        <v>0.35971200000000003</v>
      </c>
      <c r="AX333" s="89">
        <f>Sheet1!AW331*GPMtoMGD</f>
        <v>0.36403200000000002</v>
      </c>
      <c r="AY333" s="89">
        <f>Sheet1!AX331*GPMtoMGD</f>
        <v>0</v>
      </c>
      <c r="AZ333" s="89">
        <f>Sheet1!AY331*GPMtoMGD</f>
        <v>0</v>
      </c>
      <c r="BA333" s="89">
        <f>Sheet1!AZ331*GPMtoMGD</f>
        <v>0</v>
      </c>
      <c r="BB333" s="89">
        <f>Sheet1!BP331*GPMtoMGD</f>
        <v>2.8800000000000002E-3</v>
      </c>
      <c r="BC333" s="89">
        <f>Sheet1!CS331*GPMtoMGD</f>
        <v>0</v>
      </c>
      <c r="BD333" s="89">
        <f>Sheet1!BO331*GPMtoMGD</f>
        <v>1.6668000000000001</v>
      </c>
      <c r="BE333" s="89">
        <f>Sheet1!BW331*GPMtoMGD</f>
        <v>0.86716800000000016</v>
      </c>
      <c r="BF333" s="89">
        <f>Sheet1!CN331*GPMtoMGD</f>
        <v>0.37872</v>
      </c>
      <c r="BG333" s="89">
        <f>Sheet1!CO331*GPMtoMGD</f>
        <v>0.62121599999999999</v>
      </c>
      <c r="BH333" s="89">
        <f>Sheet1!CP331*GPMtoMGD</f>
        <v>0</v>
      </c>
      <c r="BI333" s="89">
        <f t="shared" si="69"/>
        <v>1.6696800000000001</v>
      </c>
      <c r="BK333" s="94">
        <f>SUM(AT333:BA333,AS333,BC333,Calculation!AQ333)</f>
        <v>44.105794887118194</v>
      </c>
      <c r="BM333" s="358">
        <f>0</f>
        <v>0</v>
      </c>
      <c r="BN333" s="358">
        <f>0</f>
        <v>0</v>
      </c>
      <c r="BP333" s="94">
        <f>SUM(BM333:BN333,W333,Sheet1!DX331)</f>
        <v>0</v>
      </c>
      <c r="BR333" s="94">
        <f>Sheet1!AA331</f>
        <v>28.07</v>
      </c>
      <c r="BS333" s="94">
        <f>Sheet1!AB331</f>
        <v>29.96</v>
      </c>
      <c r="BT333" s="94">
        <f t="shared" ref="BT333:BT377" ca="1" si="73">P333</f>
        <v>0.65870230382254102</v>
      </c>
      <c r="BU333" s="94">
        <f>Sheet1!AT331</f>
        <v>0</v>
      </c>
      <c r="BV333" s="89">
        <f>Sheet1!BB331</f>
        <v>0</v>
      </c>
      <c r="BW333" s="94">
        <f>Calculation!ED333</f>
        <v>12.254555112881807</v>
      </c>
      <c r="BX333" s="94">
        <f>(Sheet1!CS331*1440)/1000000</f>
        <v>0</v>
      </c>
      <c r="CA333" s="94">
        <f ca="1">Sheet1!AC331-Sheet1!BK331-Sheet1!BL331-Sheet1!BM331-Sheet1!BC331-Sheet1!BD331-Sheet1!BE331-Sheet1!BF331-Sheet1!BG331-Sheet1!BH331-Sheet1!BI331+BC333+P333</f>
        <v>46.368702303822538</v>
      </c>
      <c r="CB333" s="93">
        <f t="shared" ref="CB333:CB378" si="74">(BR333+BS333-BW333)*1.547</f>
        <v>70.814613240371855</v>
      </c>
      <c r="CC333" s="94">
        <f t="shared" ref="CC333:CC378" si="75">BU333+BV333</f>
        <v>0</v>
      </c>
      <c r="CD333" s="94">
        <f t="shared" ref="CD333:CD378" ca="1" si="76">CA333+BW333</f>
        <v>58.623257416704348</v>
      </c>
      <c r="CE333" s="1077">
        <f t="shared" ref="CE333:CE378" ca="1" si="77">CD333*1.547</f>
        <v>90.690179223641621</v>
      </c>
      <c r="CG333" s="1077">
        <f t="shared" ref="CG333:CG376" ca="1" si="78">CA333-BU333-BV333-BP333</f>
        <v>46.368702303822538</v>
      </c>
    </row>
    <row r="334" spans="1:85" s="89" customFormat="1" x14ac:dyDescent="0.25">
      <c r="A334" s="616" t="s">
        <v>3</v>
      </c>
      <c r="B334" s="91">
        <v>43058</v>
      </c>
      <c r="C334" s="92">
        <v>0</v>
      </c>
      <c r="D334" s="94">
        <f>(Sheet1!BQ332-Sheet1!BQ331)*1.385</f>
        <v>-1.5789000000000009</v>
      </c>
      <c r="E334" s="30">
        <f>(Sheet1!BR332-Sheet1!BR331)*1.385</f>
        <v>-1.5927499999999981</v>
      </c>
      <c r="F334" s="30">
        <f ca="1">IF(B334=TODAY(),0,-(VLOOKUP(Sheet1!CD332,Lookup!$I$4:$J$216,2)-VLOOKUP(Sheet1!CD331,Lookup!$I$4:$J$216,2))/1000000)</f>
        <v>-0.72545856983459556</v>
      </c>
      <c r="G334" s="94">
        <f ca="1">IF(B334=TODAY(),0,-$G$6*(Sheet1!CF332-Sheet1!CF331)*7.48/1000000)</f>
        <v>-0.91341052420886337</v>
      </c>
      <c r="H334" s="94">
        <f ca="1">IF(B334=TODAY(),0,-$H$6*(Sheet1!CE332-Sheet1!CE331)*7.48/1000000)</f>
        <v>-1.5039432351265274E-2</v>
      </c>
      <c r="I334" s="94">
        <f ca="1">IF(B334=TODAY(),0,-$I$6*(Sheet1!CG332-Sheet1!CG331)*7.48/1000000)</f>
        <v>4.4924879999999837E-3</v>
      </c>
      <c r="J334" s="95" t="s">
        <v>177</v>
      </c>
      <c r="K334" s="94">
        <f ca="1">IF(B334=TODAY(),0,-$K$6*(Sheet1!CH332-Sheet1!CH331)*7.48/1000000)</f>
        <v>6.6633203744584186E-3</v>
      </c>
      <c r="L334" s="95" t="s">
        <v>177</v>
      </c>
      <c r="M334" s="94">
        <f ca="1">IF(B334=TODAY(),0,-$M$6*(Sheet1!CI332-Sheet1!CI331)*7.48/1000000)</f>
        <v>1.6192357585224318E-2</v>
      </c>
      <c r="N334" s="94">
        <f ca="1">IF(B334=TODAY(),0,-$N$6*(Sheet1!CJ332-Sheet1!CJ331)*7.48/1000000)</f>
        <v>-0.37851930690720542</v>
      </c>
      <c r="O334" s="94">
        <f t="shared" ca="1" si="66"/>
        <v>-2.0050796673422471</v>
      </c>
      <c r="P334" s="94">
        <f ca="1">O334+Calculation!ES334</f>
        <v>1.1803009049965429</v>
      </c>
      <c r="Q334" s="89" t="str">
        <f>IF(Sheet1!BQ332&gt;25.75,"spill elevation","-")</f>
        <v>-</v>
      </c>
      <c r="R334" s="89" t="str">
        <f>IF(Sheet1!BQ332&gt;25.75,"spill elevation","-")</f>
        <v>-</v>
      </c>
      <c r="S334" s="89" t="str">
        <f>IF(Sheet1!BR332&gt;25.75,"spill elevation","-")</f>
        <v>-</v>
      </c>
      <c r="T334" s="93">
        <f>IF(Sheet1!DU332=1,Sheet1!AA332-(SUM(AT334:BA334)+BE334),Sheet1!AA332-SUM(AT334:BA334))</f>
        <v>26.600239999999999</v>
      </c>
      <c r="U334" s="93">
        <f>Sheet1!BV332</f>
        <v>34.700000000000003</v>
      </c>
      <c r="V334" s="93">
        <f t="shared" si="67"/>
        <v>-8.0997600000000034</v>
      </c>
      <c r="W334" s="93">
        <f>0</f>
        <v>0</v>
      </c>
      <c r="X334" s="89">
        <f>0</f>
        <v>0</v>
      </c>
      <c r="Y334" s="94">
        <f ca="1">Calculation!EJ335+Calculation!ES334+'Calculations II'!O334-'Calculations II'!W334</f>
        <v>46.968640369079424</v>
      </c>
      <c r="Z334" s="94">
        <f ca="1">Y334-Sheet1!CT333</f>
        <v>31.675640369079424</v>
      </c>
      <c r="AA334" s="94">
        <f ca="1">Y334+Calculation!DJ335+Calculation!AS335</f>
        <v>58.601488007136638</v>
      </c>
      <c r="AC334" s="94">
        <f>Sheet1!AA332+Sheet1!AB332+BC334</f>
        <v>58.1</v>
      </c>
      <c r="AD334" s="94">
        <f>Sheet1!AA332+Sheet1!BN332+'Calculations II'!BC334-Calculation!AS334-Calculation!DJ334</f>
        <v>35.152380952380952</v>
      </c>
      <c r="AE334" s="94">
        <f>Sheet1!AA332+Sheet1!AB332+'Calculations II'!BC334-Calculation!AS334-Calculation!DJ334</f>
        <v>46.552380952380958</v>
      </c>
      <c r="AF334" s="94">
        <f ca="1">Sheet1!AA332+Sheet1!BN332+P334+'Calculations II'!BC334+Calculation!AS334+Calculation!DJ334</f>
        <v>59.427919952615596</v>
      </c>
      <c r="AG334" s="94">
        <f ca="1">IF(B334=TODAY(),0,Sheet1!AA332+Sheet1!BN332+'Calculations II'!BC334+'Calculations II'!P334-Sheet1!CT332-BP334)</f>
        <v>32.376300904996548</v>
      </c>
      <c r="AH334" s="94">
        <f ca="1">IF(B334=TODAY(),0,Sheet1!AA332+Sheet1!BN332+'Calculations II'!BC334+'Calculations II'!P334-BP334)</f>
        <v>47.880300904996545</v>
      </c>
      <c r="AI334" s="94">
        <f ca="1">IF(B334=TODAY(),0,BC334+Sheet1!AA332+Calculation!ES334+O334+W334+Sheet1!BN332+Calculation!AS334+Calculation!DJ334-BP334)</f>
        <v>59.427919952615596</v>
      </c>
      <c r="AJ334" s="94"/>
      <c r="AM334" s="90">
        <f t="shared" si="68"/>
        <v>43058</v>
      </c>
      <c r="AN334" s="94">
        <f>Sheet1!BU332</f>
        <v>26</v>
      </c>
      <c r="AO334" s="94">
        <f>Sheet1!AA332</f>
        <v>28.1</v>
      </c>
      <c r="AP334" s="94">
        <f t="shared" si="70"/>
        <v>-3.1716499999999987</v>
      </c>
      <c r="AQ334" s="1086">
        <f>((Sheet1!BV332-(Sheet1!BU332-AP334))/(Sheet1!BU332-AP334))</f>
        <v>0.18951104925501311</v>
      </c>
      <c r="AR334" s="94">
        <f t="shared" si="71"/>
        <v>31.271650000000001</v>
      </c>
      <c r="AS334" s="94">
        <f t="shared" si="72"/>
        <v>29.17165</v>
      </c>
      <c r="AT334" s="89">
        <f>Sheet1!BB332</f>
        <v>0</v>
      </c>
      <c r="AU334" s="89">
        <f>Sheet1!AS332*GPMtoMGD</f>
        <v>2.8656000000000001E-2</v>
      </c>
      <c r="AV334" s="94">
        <f>Sheet1!AT332</f>
        <v>0</v>
      </c>
      <c r="AW334" s="89">
        <f>Sheet1!AV332*GPMtoMGD</f>
        <v>0.87652800000000008</v>
      </c>
      <c r="AX334" s="89">
        <f>Sheet1!AW332*GPMtoMGD</f>
        <v>0.59457599999999999</v>
      </c>
      <c r="AY334" s="89">
        <f>Sheet1!AX332*GPMtoMGD</f>
        <v>0</v>
      </c>
      <c r="AZ334" s="89">
        <f>Sheet1!AY332*GPMtoMGD</f>
        <v>0</v>
      </c>
      <c r="BA334" s="89">
        <f>Sheet1!AZ332*GPMtoMGD</f>
        <v>0</v>
      </c>
      <c r="BB334" s="89">
        <f>Sheet1!BP332*GPMtoMGD</f>
        <v>2.8800000000000002E-3</v>
      </c>
      <c r="BC334" s="89">
        <f>Sheet1!CS332*GPMtoMGD</f>
        <v>0</v>
      </c>
      <c r="BD334" s="89">
        <f>Sheet1!BO332*GPMtoMGD</f>
        <v>1.6761600000000001</v>
      </c>
      <c r="BE334" s="89">
        <f>Sheet1!BW332*GPMtoMGD</f>
        <v>1.1571840000000002</v>
      </c>
      <c r="BF334" s="89">
        <f>Sheet1!CN332*GPMtoMGD</f>
        <v>0.50788800000000001</v>
      </c>
      <c r="BG334" s="89">
        <f>Sheet1!CO332*GPMtoMGD</f>
        <v>0.64108799999999999</v>
      </c>
      <c r="BH334" s="89">
        <f>Sheet1!CP332*GPMtoMGD</f>
        <v>0</v>
      </c>
      <c r="BI334" s="89">
        <f t="shared" si="69"/>
        <v>1.6790400000000001</v>
      </c>
      <c r="BK334" s="94">
        <f>SUM(AT334:BA334,AS334,BC334,Calculation!AQ334)</f>
        <v>49.123790952380958</v>
      </c>
      <c r="BM334" s="358">
        <f>0</f>
        <v>0</v>
      </c>
      <c r="BN334" s="358">
        <f>0</f>
        <v>0</v>
      </c>
      <c r="BP334" s="94">
        <f>SUM(BM334:BN334,W334,Sheet1!DX332)</f>
        <v>0</v>
      </c>
      <c r="BR334" s="94">
        <f>Sheet1!AA332</f>
        <v>28.1</v>
      </c>
      <c r="BS334" s="94">
        <f>Sheet1!AB332</f>
        <v>30</v>
      </c>
      <c r="BT334" s="94">
        <f t="shared" ca="1" si="73"/>
        <v>1.1803009049965429</v>
      </c>
      <c r="BU334" s="94">
        <f>Sheet1!AT332</f>
        <v>0</v>
      </c>
      <c r="BV334" s="89">
        <f>Sheet1!BB332</f>
        <v>0</v>
      </c>
      <c r="BW334" s="94">
        <f>Calculation!ED334</f>
        <v>11.547619047619047</v>
      </c>
      <c r="BX334" s="94">
        <f>(Sheet1!CS332*1440)/1000000</f>
        <v>0</v>
      </c>
      <c r="CA334" s="94">
        <f ca="1">Sheet1!AC332-Sheet1!BK332-Sheet1!BL332-Sheet1!BM332-Sheet1!BC332-Sheet1!BD332-Sheet1!BE332-Sheet1!BF332-Sheet1!BG332-Sheet1!BH332-Sheet1!BI332+BC334+P334</f>
        <v>47.640300904996543</v>
      </c>
      <c r="CB334" s="93">
        <f t="shared" si="74"/>
        <v>72.016533333333342</v>
      </c>
      <c r="CC334" s="94">
        <f t="shared" si="75"/>
        <v>0</v>
      </c>
      <c r="CD334" s="94">
        <f t="shared" ca="1" si="76"/>
        <v>59.187919952615587</v>
      </c>
      <c r="CE334" s="1077">
        <f t="shared" ca="1" si="77"/>
        <v>91.563712166696305</v>
      </c>
      <c r="CG334" s="1077">
        <f t="shared" ca="1" si="78"/>
        <v>47.640300904996543</v>
      </c>
    </row>
    <row r="335" spans="1:85" s="89" customFormat="1" x14ac:dyDescent="0.25">
      <c r="A335" s="616" t="s">
        <v>4</v>
      </c>
      <c r="B335" s="91">
        <v>43059</v>
      </c>
      <c r="C335" s="92">
        <v>0</v>
      </c>
      <c r="D335" s="94">
        <f>(Sheet1!BQ333-Sheet1!BQ332)*1.385</f>
        <v>0.34625</v>
      </c>
      <c r="E335" s="30">
        <f>(Sheet1!BR333-Sheet1!BR332)*1.385</f>
        <v>0.24929999999999961</v>
      </c>
      <c r="F335" s="30">
        <v>0</v>
      </c>
      <c r="G335" s="94">
        <f ca="1">IF(B335=TODAY(),0,-$G$6*(Sheet1!CF333-Sheet1!CF332)*7.48/1000000)</f>
        <v>0.39713501052559297</v>
      </c>
      <c r="H335" s="94">
        <f ca="1">IF(B335=TODAY(),0,-$H$6*(Sheet1!CE333-Sheet1!CE332)*7.48/1000000)</f>
        <v>1.5039432351265274E-2</v>
      </c>
      <c r="I335" s="94">
        <f ca="1">IF(B335=TODAY(),0,-$I$6*(Sheet1!CG333-Sheet1!CG332)*7.48/1000000)</f>
        <v>8.9849760000000074E-3</v>
      </c>
      <c r="J335" s="95" t="s">
        <v>177</v>
      </c>
      <c r="K335" s="94">
        <f ca="1">IF(B335=TODAY(),0,-$K$6*(Sheet1!CH333-Sheet1!CH332)*7.48/1000000)</f>
        <v>1.3326640748916953E-2</v>
      </c>
      <c r="L335" s="95" t="s">
        <v>177</v>
      </c>
      <c r="M335" s="94">
        <f ca="1">IF(B335=TODAY(),0,-$M$6*(Sheet1!CI333-Sheet1!CI332)*7.48/1000000)</f>
        <v>3.598301685605397E-2</v>
      </c>
      <c r="N335" s="94">
        <f ca="1">IF(B335=TODAY(),0,-$N$6*(Sheet1!CJ333-Sheet1!CJ332)*7.48/1000000)</f>
        <v>-0.21097797434172119</v>
      </c>
      <c r="O335" s="94">
        <f ca="1">SUM(F335:I335)+K335+SUM(M335:N335)</f>
        <v>0.25949110214010795</v>
      </c>
      <c r="P335" s="94">
        <f ca="1">O335+Calculation!ES335</f>
        <v>-0.43281743470017819</v>
      </c>
      <c r="Q335" s="89" t="str">
        <f>IF(Sheet1!BQ333&gt;25.75,"spill elevation","-")</f>
        <v>-</v>
      </c>
      <c r="R335" s="89" t="str">
        <f>IF(Sheet1!BQ333&gt;25.75,"spill elevation","-")</f>
        <v>-</v>
      </c>
      <c r="S335" s="89" t="str">
        <f>IF(Sheet1!BR333&gt;25.75,"spill elevation","-")</f>
        <v>-</v>
      </c>
      <c r="T335" s="93">
        <f>IF(Sheet1!DU333=1,Sheet1!AA333-(SUM(AT335:BA335)+BE335),Sheet1!AA333-SUM(AT335:BA335))</f>
        <v>27.248304000000001</v>
      </c>
      <c r="U335" s="93">
        <f>Sheet1!BV333</f>
        <v>32.5</v>
      </c>
      <c r="V335" s="93">
        <f t="shared" si="67"/>
        <v>-5.251695999999999</v>
      </c>
      <c r="W335" s="93">
        <f>0</f>
        <v>0</v>
      </c>
      <c r="X335" s="89">
        <f>0</f>
        <v>0</v>
      </c>
      <c r="Y335" s="94">
        <f ca="1">Calculation!EJ336+Calculation!ES335+'Calculations II'!O335-'Calculations II'!W335</f>
        <v>45.234196790225639</v>
      </c>
      <c r="Z335" s="94">
        <f ca="1">Y335-Sheet1!CT334</f>
        <v>31.117196790225638</v>
      </c>
      <c r="AA335" s="94">
        <f ca="1">Y335+Calculation!DJ336+Calculation!AS336</f>
        <v>56.829920583902847</v>
      </c>
      <c r="AC335" s="94">
        <f>Sheet1!AA333+Sheet1!AB333+BC335</f>
        <v>58.01</v>
      </c>
      <c r="AD335" s="94">
        <f>Sheet1!AA333+Sheet1!BN333+'Calculations II'!BC335-Calculation!AS335-Calculation!DJ335</f>
        <v>34.787152361942788</v>
      </c>
      <c r="AE335" s="94">
        <f>Sheet1!AA333+Sheet1!AB333+'Calculations II'!BC335-Calculation!AS335-Calculation!DJ335</f>
        <v>46.377152361942777</v>
      </c>
      <c r="AF335" s="94">
        <f ca="1">Sheet1!AA333+Sheet1!BN333+P335+'Calculations II'!BC335+Calculation!AS335+Calculation!DJ335</f>
        <v>57.620030203357047</v>
      </c>
      <c r="AG335" s="94">
        <f ca="1">IF(B335=TODAY(),0,Sheet1!AA333+Sheet1!BN333+'Calculations II'!BC335+'Calculations II'!P335-Sheet1!CT333-BP335)</f>
        <v>30.694182565299826</v>
      </c>
      <c r="AH335" s="94">
        <f ca="1">IF(B335=TODAY(),0,Sheet1!AA333+Sheet1!BN333+'Calculations II'!BC335+'Calculations II'!P335-BP335)</f>
        <v>45.987182565299825</v>
      </c>
      <c r="AI335" s="94">
        <f ca="1">IF(B335=TODAY(),0,BC335+Sheet1!AA333+Calculation!ES335+O335+W335+Sheet1!BN333+Calculation!AS335+Calculation!DJ335-BP335)</f>
        <v>57.620030203357032</v>
      </c>
      <c r="AJ335" s="94"/>
      <c r="AM335" s="90">
        <f t="shared" si="68"/>
        <v>43059</v>
      </c>
      <c r="AN335" s="94">
        <f>Sheet1!BU333</f>
        <v>26.4</v>
      </c>
      <c r="AO335" s="94">
        <f>Sheet1!AA333</f>
        <v>28.02</v>
      </c>
      <c r="AP335" s="94">
        <f t="shared" si="70"/>
        <v>0.59554999999999958</v>
      </c>
      <c r="AQ335" s="1086">
        <f>((Sheet1!BV333-(Sheet1!BU333-AP335))/(Sheet1!BU333-AP335))</f>
        <v>0.25947268785035144</v>
      </c>
      <c r="AR335" s="94">
        <f t="shared" si="71"/>
        <v>27.42445</v>
      </c>
      <c r="AS335" s="94">
        <f t="shared" si="72"/>
        <v>25.804449999999999</v>
      </c>
      <c r="AT335" s="89">
        <f>Sheet1!BB333</f>
        <v>0</v>
      </c>
      <c r="AU335" s="89">
        <f>Sheet1!AS333*GPMtoMGD</f>
        <v>3.2256E-2</v>
      </c>
      <c r="AV335" s="94">
        <f>Sheet1!AT333</f>
        <v>0</v>
      </c>
      <c r="AW335" s="89">
        <f>Sheet1!AV333*GPMtoMGD</f>
        <v>0.34344000000000002</v>
      </c>
      <c r="AX335" s="89">
        <f>Sheet1!AW333*GPMtoMGD</f>
        <v>0.39600000000000002</v>
      </c>
      <c r="AY335" s="89">
        <f>Sheet1!AX333*GPMtoMGD</f>
        <v>0</v>
      </c>
      <c r="AZ335" s="89">
        <f>Sheet1!AY333*GPMtoMGD</f>
        <v>0</v>
      </c>
      <c r="BA335" s="89">
        <f>Sheet1!AZ333*GPMtoMGD</f>
        <v>0</v>
      </c>
      <c r="BB335" s="89">
        <f>Sheet1!BP333*GPMtoMGD</f>
        <v>2.8800000000000002E-3</v>
      </c>
      <c r="BC335" s="89">
        <f>Sheet1!CS333*GPMtoMGD</f>
        <v>0</v>
      </c>
      <c r="BD335" s="89">
        <f>Sheet1!BO333*GPMtoMGD</f>
        <v>1.471824</v>
      </c>
      <c r="BE335" s="89">
        <f>Sheet1!BW333*GPMtoMGD</f>
        <v>0.903312</v>
      </c>
      <c r="BF335" s="89">
        <f>Sheet1!CN333*GPMtoMGD</f>
        <v>0.29620800000000003</v>
      </c>
      <c r="BG335" s="89">
        <f>Sheet1!CO333*GPMtoMGD</f>
        <v>0.61243200000000009</v>
      </c>
      <c r="BH335" s="89">
        <f>Sheet1!CP333*GPMtoMGD</f>
        <v>0</v>
      </c>
      <c r="BI335" s="89">
        <f t="shared" si="69"/>
        <v>1.474704</v>
      </c>
      <c r="BK335" s="94">
        <f>SUM(AT335:BA335,AS335,BC335,Calculation!AQ335)</f>
        <v>44.933298361942775</v>
      </c>
      <c r="BM335" s="358">
        <f>0</f>
        <v>0</v>
      </c>
      <c r="BN335" s="358">
        <f>0</f>
        <v>0</v>
      </c>
      <c r="BP335" s="94">
        <f>SUM(BM335:BN335,W335,Sheet1!DX333)</f>
        <v>0</v>
      </c>
      <c r="BR335" s="94">
        <f>Sheet1!AA333</f>
        <v>28.02</v>
      </c>
      <c r="BS335" s="94">
        <f>Sheet1!AB333</f>
        <v>29.99</v>
      </c>
      <c r="BT335" s="94">
        <f t="shared" ca="1" si="73"/>
        <v>-0.43281743470017819</v>
      </c>
      <c r="BU335" s="94">
        <f>Sheet1!AT333</f>
        <v>0</v>
      </c>
      <c r="BV335" s="89">
        <f>Sheet1!BB333</f>
        <v>0</v>
      </c>
      <c r="BW335" s="94">
        <f>Calculation!ED335</f>
        <v>11.632847638057219</v>
      </c>
      <c r="BX335" s="94">
        <f>(Sheet1!CS333*1440)/1000000</f>
        <v>0</v>
      </c>
      <c r="CA335" s="94">
        <f ca="1">Sheet1!AC333-Sheet1!BK333-Sheet1!BL333-Sheet1!BM333-Sheet1!BC333-Sheet1!BD333-Sheet1!BE333-Sheet1!BF333-Sheet1!BG333-Sheet1!BH333-Sheet1!BI333+BC335+P335</f>
        <v>45.917182565299818</v>
      </c>
      <c r="CB335" s="93">
        <f t="shared" si="74"/>
        <v>71.745454703925475</v>
      </c>
      <c r="CC335" s="94">
        <f t="shared" si="75"/>
        <v>0</v>
      </c>
      <c r="CD335" s="94">
        <f t="shared" ca="1" si="76"/>
        <v>57.550030203357039</v>
      </c>
      <c r="CE335" s="1077">
        <f t="shared" ca="1" si="77"/>
        <v>89.029896724593343</v>
      </c>
      <c r="CG335" s="1077">
        <f t="shared" ca="1" si="78"/>
        <v>45.917182565299818</v>
      </c>
    </row>
    <row r="336" spans="1:85" s="89" customFormat="1" x14ac:dyDescent="0.25">
      <c r="A336" s="616" t="s">
        <v>5</v>
      </c>
      <c r="B336" s="91">
        <v>43060</v>
      </c>
      <c r="C336" s="92">
        <v>0</v>
      </c>
      <c r="D336" s="94">
        <f>(Sheet1!BQ334-Sheet1!BQ333)*1.385</f>
        <v>0</v>
      </c>
      <c r="E336" s="30">
        <f>(Sheet1!BR334-Sheet1!BR333)*1.385</f>
        <v>0</v>
      </c>
      <c r="F336" s="30">
        <f ca="1">IF(B336=TODAY(),0,-(VLOOKUP(Sheet1!CD334,Lookup!$I$4:$J$216,2)-VLOOKUP(Sheet1!CD333,Lookup!$I$4:$J$216,2))/1000000)</f>
        <v>-0.51818469273899681</v>
      </c>
      <c r="G336" s="94">
        <f ca="1">IF(B336=TODAY(),0,-$G$6*(Sheet1!CF334-Sheet1!CF333)*7.48/1000000)</f>
        <v>0.3574215094730338</v>
      </c>
      <c r="H336" s="94">
        <f ca="1">IF(B336=TODAY(),0,-$H$6*(Sheet1!CE334-Sheet1!CE333)*7.48/1000000)</f>
        <v>0</v>
      </c>
      <c r="I336" s="94">
        <f ca="1">IF(B336=TODAY(),0,-$I$6*(Sheet1!CG334-Sheet1!CG333)*7.48/1000000)</f>
        <v>-1.7969952000000015E-2</v>
      </c>
      <c r="J336" s="95" t="s">
        <v>177</v>
      </c>
      <c r="K336" s="94">
        <f ca="1">IF(B336=TODAY(),0,-$K$6*(Sheet1!CH334-Sheet1!CH333)*7.48/1000000)</f>
        <v>-2.6653281497833796E-2</v>
      </c>
      <c r="L336" s="95" t="s">
        <v>177</v>
      </c>
      <c r="M336" s="94">
        <f ca="1">IF(B336=TODAY(),0,-$M$6*(Sheet1!CI334-Sheet1!CI333)*7.48/1000000)</f>
        <v>-7.1966033712108565E-2</v>
      </c>
      <c r="N336" s="94">
        <f ca="1">IF(B336=TODAY(),0,-$N$6*(Sheet1!CJ334-Sheet1!CJ333)*7.48/1000000)</f>
        <v>1.2410469078924517E-2</v>
      </c>
      <c r="O336" s="94">
        <f t="shared" ca="1" si="66"/>
        <v>-0.26494198139698089</v>
      </c>
      <c r="P336" s="94">
        <f ca="1">O336+Calculation!ES336</f>
        <v>-0.26494198139698089</v>
      </c>
      <c r="Q336" s="89" t="str">
        <f>IF(Sheet1!BQ334&gt;25.75,"spill elevation","-")</f>
        <v>-</v>
      </c>
      <c r="R336" s="89" t="str">
        <f>IF(Sheet1!BQ334&gt;25.75,"spill elevation","-")</f>
        <v>-</v>
      </c>
      <c r="S336" s="89" t="str">
        <f>IF(Sheet1!BR334&gt;25.75,"spill elevation","-")</f>
        <v>-</v>
      </c>
      <c r="T336" s="93">
        <f>IF(Sheet1!DU334=1,Sheet1!AA334-(SUM(AT336:BA336)+BE336),Sheet1!AA334-SUM(AT336:BA336))</f>
        <v>26.662319999999998</v>
      </c>
      <c r="U336" s="93">
        <f>Sheet1!BV334</f>
        <v>30.4</v>
      </c>
      <c r="V336" s="93">
        <f t="shared" si="67"/>
        <v>-3.737680000000001</v>
      </c>
      <c r="W336" s="93">
        <f>0</f>
        <v>0</v>
      </c>
      <c r="X336" s="89">
        <f>0</f>
        <v>0</v>
      </c>
      <c r="Y336" s="94">
        <f ca="1">Calculation!EJ337+Calculation!ES336+'Calculations II'!O336-'Calculations II'!W336</f>
        <v>46.526843565752756</v>
      </c>
      <c r="Z336" s="94">
        <f ca="1">Y336-Sheet1!CT335</f>
        <v>31.538843565752757</v>
      </c>
      <c r="AA336" s="94">
        <f ca="1">Y336+Calculation!DJ337+Calculation!AS337</f>
        <v>58.299751932286625</v>
      </c>
      <c r="AC336" s="94">
        <f>Sheet1!AA334+Sheet1!AB334+BC336</f>
        <v>57.989999999999995</v>
      </c>
      <c r="AD336" s="94">
        <f>Sheet1!AA334+Sheet1!BN334+'Calculations II'!BC336-Calculation!AS336-Calculation!DJ336</f>
        <v>34.884276206322795</v>
      </c>
      <c r="AE336" s="94">
        <f>Sheet1!AA334+Sheet1!AB334+'Calculations II'!BC336-Calculation!AS336-Calculation!DJ336</f>
        <v>46.394276206322786</v>
      </c>
      <c r="AF336" s="94">
        <f ca="1">Sheet1!AA334+Sheet1!BN334+P336+'Calculations II'!BC336+Calculation!AS336+Calculation!DJ336</f>
        <v>57.810781812280226</v>
      </c>
      <c r="AG336" s="94">
        <f ca="1">IF(B336=TODAY(),0,Sheet1!AA334+Sheet1!BN334+'Calculations II'!BC336+'Calculations II'!P336-Sheet1!CT334-BP336)</f>
        <v>32.098058018603012</v>
      </c>
      <c r="AH336" s="94">
        <f ca="1">IF(B336=TODAY(),0,Sheet1!AA334+Sheet1!BN334+'Calculations II'!BC336+'Calculations II'!P336-BP336)</f>
        <v>46.215058018603017</v>
      </c>
      <c r="AI336" s="94">
        <f ca="1">IF(B336=TODAY(),0,BC336+Sheet1!AA334+Calculation!ES336+O336+W336+Sheet1!BN334+Calculation!AS336+Calculation!DJ336-BP336)</f>
        <v>57.810781812280226</v>
      </c>
      <c r="AJ336" s="94"/>
      <c r="AM336" s="90">
        <f t="shared" si="68"/>
        <v>43060</v>
      </c>
      <c r="AN336" s="94">
        <f>Sheet1!BU334</f>
        <v>26.2</v>
      </c>
      <c r="AO336" s="94">
        <f>Sheet1!AA334</f>
        <v>28.08</v>
      </c>
      <c r="AP336" s="94">
        <f t="shared" si="70"/>
        <v>0</v>
      </c>
      <c r="AQ336" s="1086">
        <f>((Sheet1!BV334-(Sheet1!BU334-AP336))/(Sheet1!BU334-AP336))</f>
        <v>0.16030534351145037</v>
      </c>
      <c r="AR336" s="94">
        <f t="shared" si="71"/>
        <v>28.08</v>
      </c>
      <c r="AS336" s="94">
        <f t="shared" si="72"/>
        <v>26.2</v>
      </c>
      <c r="AT336" s="89">
        <f>Sheet1!BB334</f>
        <v>0</v>
      </c>
      <c r="AU336" s="89">
        <f>Sheet1!AS334*GPMtoMGD</f>
        <v>2.2176000000000001E-2</v>
      </c>
      <c r="AV336" s="94">
        <f>Sheet1!AT334</f>
        <v>0</v>
      </c>
      <c r="AW336" s="89">
        <f>Sheet1!AV334*GPMtoMGD</f>
        <v>0.83160000000000001</v>
      </c>
      <c r="AX336" s="89">
        <f>Sheet1!AW334*GPMtoMGD</f>
        <v>0.56390400000000007</v>
      </c>
      <c r="AY336" s="89">
        <f>Sheet1!AX334*GPMtoMGD</f>
        <v>0</v>
      </c>
      <c r="AZ336" s="89">
        <f>Sheet1!AY334*GPMtoMGD</f>
        <v>0</v>
      </c>
      <c r="BA336" s="89">
        <f>Sheet1!AZ334*GPMtoMGD</f>
        <v>0</v>
      </c>
      <c r="BB336" s="89">
        <f>Sheet1!BP334*GPMtoMGD</f>
        <v>2.8800000000000002E-3</v>
      </c>
      <c r="BC336" s="89">
        <f>Sheet1!CS334*GPMtoMGD</f>
        <v>0</v>
      </c>
      <c r="BD336" s="89">
        <f>Sheet1!BO334*GPMtoMGD</f>
        <v>1.705824</v>
      </c>
      <c r="BE336" s="89">
        <f>Sheet1!BW334*GPMtoMGD</f>
        <v>1.0532159999999999</v>
      </c>
      <c r="BF336" s="89">
        <f>Sheet1!CN334*GPMtoMGD</f>
        <v>0.32587200000000005</v>
      </c>
      <c r="BG336" s="89">
        <f>Sheet1!CO334*GPMtoMGD</f>
        <v>0.61992000000000003</v>
      </c>
      <c r="BH336" s="89">
        <f>Sheet1!CP334*GPMtoMGD</f>
        <v>0</v>
      </c>
      <c r="BI336" s="89">
        <f t="shared" si="69"/>
        <v>1.708704</v>
      </c>
      <c r="BK336" s="94">
        <f>SUM(AT336:BA336,AS336,BC336,Calculation!AQ336)</f>
        <v>45.931956206322795</v>
      </c>
      <c r="BM336" s="358">
        <f>0</f>
        <v>0</v>
      </c>
      <c r="BN336" s="358">
        <f>0</f>
        <v>0</v>
      </c>
      <c r="BP336" s="94">
        <f>SUM(BM336:BN336,W336,Sheet1!DX334)</f>
        <v>0</v>
      </c>
      <c r="BR336" s="94">
        <f>Sheet1!AA334</f>
        <v>28.08</v>
      </c>
      <c r="BS336" s="94">
        <f>Sheet1!AB334</f>
        <v>29.91</v>
      </c>
      <c r="BT336" s="94">
        <f t="shared" ca="1" si="73"/>
        <v>-0.26494198139698089</v>
      </c>
      <c r="BU336" s="94">
        <f>Sheet1!AT334</f>
        <v>0</v>
      </c>
      <c r="BV336" s="89">
        <f>Sheet1!BB334</f>
        <v>0</v>
      </c>
      <c r="BW336" s="94">
        <f>Calculation!ED336</f>
        <v>11.595723793677205</v>
      </c>
      <c r="BX336" s="94">
        <f>(Sheet1!CS334*1440)/1000000</f>
        <v>0</v>
      </c>
      <c r="CA336" s="94">
        <f ca="1">Sheet1!AC334-Sheet1!BK334-Sheet1!BL334-Sheet1!BM334-Sheet1!BC334-Sheet1!BD334-Sheet1!BE334-Sheet1!BF334-Sheet1!BG334-Sheet1!BH334-Sheet1!BI334+BC336+P336</f>
        <v>46.075058018603002</v>
      </c>
      <c r="CB336" s="93">
        <f t="shared" si="74"/>
        <v>71.771945291181353</v>
      </c>
      <c r="CC336" s="94">
        <f t="shared" si="75"/>
        <v>0</v>
      </c>
      <c r="CD336" s="94">
        <f t="shared" ca="1" si="76"/>
        <v>57.670781812280211</v>
      </c>
      <c r="CE336" s="1077">
        <f t="shared" ca="1" si="77"/>
        <v>89.216699463597479</v>
      </c>
      <c r="CG336" s="1077">
        <f t="shared" ca="1" si="78"/>
        <v>46.075058018603002</v>
      </c>
    </row>
    <row r="337" spans="1:85" s="89" customFormat="1" x14ac:dyDescent="0.25">
      <c r="A337" s="616" t="s">
        <v>6</v>
      </c>
      <c r="B337" s="91">
        <v>43061</v>
      </c>
      <c r="C337" s="92">
        <v>0</v>
      </c>
      <c r="D337" s="94">
        <f>(Sheet1!BQ335-Sheet1!BQ334)*1.385</f>
        <v>-0.23545000000000235</v>
      </c>
      <c r="E337" s="30">
        <f>(Sheet1!BR335-Sheet1!BR334)*1.385</f>
        <v>-8.3099999999998231E-2</v>
      </c>
      <c r="F337" s="30">
        <f ca="1">IF(B337=TODAY(),0,-(VLOOKUP(Sheet1!CD335,Lookup!$I$4:$J$216,2)-VLOOKUP(Sheet1!CD334,Lookup!$I$4:$J$216,2))/1000000)</f>
        <v>1.4509171396691984</v>
      </c>
      <c r="G337" s="94">
        <f ca="1">IF(B337=TODAY(),0,-$G$6*(Sheet1!CF335-Sheet1!CF334)*7.48/1000000)</f>
        <v>-0.99283752631398237</v>
      </c>
      <c r="H337" s="94">
        <f ca="1">IF(B337=TODAY(),0,-$H$6*(Sheet1!CE335-Sheet1!CE334)*7.48/1000000)</f>
        <v>4.5118297053794748E-2</v>
      </c>
      <c r="I337" s="94">
        <f ca="1">IF(B337=TODAY(),0,-$I$6*(Sheet1!CG335-Sheet1!CG334)*7.48/1000000)</f>
        <v>2.2462440000000004E-2</v>
      </c>
      <c r="J337" s="95" t="s">
        <v>177</v>
      </c>
      <c r="K337" s="94">
        <f ca="1">IF(B337=TODAY(),0,-$K$6*(Sheet1!CH335-Sheet1!CH334)*7.48/1000000)</f>
        <v>3.9979922246750635E-2</v>
      </c>
      <c r="L337" s="95" t="s">
        <v>177</v>
      </c>
      <c r="M337" s="94">
        <f ca="1">IF(B337=TODAY(),0,-$M$6*(Sheet1!CI335-Sheet1!CI334)*7.48/1000000)</f>
        <v>0.10794905056816255</v>
      </c>
      <c r="N337" s="94">
        <f ca="1">IF(B337=TODAY(),0,-$N$6*(Sheet1!CJ335-Sheet1!CJ334)*7.48/1000000)</f>
        <v>0.46539259045967929</v>
      </c>
      <c r="O337" s="94">
        <f t="shared" ca="1" si="66"/>
        <v>1.1389819136836032</v>
      </c>
      <c r="P337" s="94">
        <f ca="1">O337+Calculation!ES337</f>
        <v>1.5543657538837889</v>
      </c>
      <c r="Q337" s="89" t="str">
        <f>IF(Sheet1!BQ335&gt;25.75,"spill elevation","-")</f>
        <v>-</v>
      </c>
      <c r="R337" s="89" t="str">
        <f>IF(Sheet1!BQ335&gt;25.75,"spill elevation","-")</f>
        <v>-</v>
      </c>
      <c r="S337" s="89" t="str">
        <f>IF(Sheet1!BR335&gt;25.75,"spill elevation","-")</f>
        <v>-</v>
      </c>
      <c r="T337" s="93">
        <f>IF(Sheet1!DU335=1,Sheet1!AA335-(SUM(AT337:BA337)+BE337),Sheet1!AA335-SUM(AT337:BA337))</f>
        <v>27.074288000000003</v>
      </c>
      <c r="U337" s="93">
        <f>Sheet1!BV335</f>
        <v>31</v>
      </c>
      <c r="V337" s="93">
        <f t="shared" si="67"/>
        <v>-3.9257119999999972</v>
      </c>
      <c r="W337" s="93">
        <f>0</f>
        <v>0</v>
      </c>
      <c r="X337" s="89">
        <f>0</f>
        <v>0</v>
      </c>
      <c r="Y337" s="94">
        <f ca="1">Calculation!EJ338+Calculation!ES337+'Calculations II'!O337-'Calculations II'!W337</f>
        <v>47.377481801245963</v>
      </c>
      <c r="Z337" s="94">
        <f ca="1">Y337-Sheet1!CT336</f>
        <v>32.457481801245962</v>
      </c>
      <c r="AA337" s="94">
        <f ca="1">Y337+Calculation!DJ338+Calculation!AS338</f>
        <v>58.546623332568473</v>
      </c>
      <c r="AC337" s="94">
        <f>Sheet1!AA335+Sheet1!AB335+BC337</f>
        <v>58.1</v>
      </c>
      <c r="AD337" s="94">
        <f>Sheet1!AA335+Sheet1!BN335+'Calculations II'!BC337-Calculation!AS337-Calculation!DJ337</f>
        <v>34.627091633466136</v>
      </c>
      <c r="AE337" s="94">
        <f>Sheet1!AA335+Sheet1!AB335+'Calculations II'!BC337-Calculation!AS337-Calculation!DJ337</f>
        <v>46.327091633466139</v>
      </c>
      <c r="AF337" s="94">
        <f ca="1">Sheet1!AA335+Sheet1!BN335+P337+'Calculations II'!BC337+Calculation!AS337+Calculation!DJ337</f>
        <v>59.727274120417661</v>
      </c>
      <c r="AG337" s="94">
        <f ca="1">IF(B337=TODAY(),0,Sheet1!AA335+Sheet1!BN335+'Calculations II'!BC337+'Calculations II'!P337-Sheet1!CT335-BP337)</f>
        <v>32.966365753883792</v>
      </c>
      <c r="AH337" s="94">
        <f ca="1">IF(B337=TODAY(),0,Sheet1!AA335+Sheet1!BN335+'Calculations II'!BC337+'Calculations II'!P337-BP337)</f>
        <v>47.954365753883792</v>
      </c>
      <c r="AI337" s="94">
        <f ca="1">IF(B337=TODAY(),0,BC337+Sheet1!AA335+Calculation!ES337+O337+W337+Sheet1!BN335+Calculation!AS337+Calculation!DJ337-BP337)</f>
        <v>59.727274120417661</v>
      </c>
      <c r="AJ337" s="94"/>
      <c r="AM337" s="90">
        <f t="shared" si="68"/>
        <v>43061</v>
      </c>
      <c r="AN337" s="94">
        <f>Sheet1!BU335</f>
        <v>26.4</v>
      </c>
      <c r="AO337" s="94">
        <f>Sheet1!AA335</f>
        <v>28.1</v>
      </c>
      <c r="AP337" s="94">
        <f t="shared" si="70"/>
        <v>-0.31855000000000055</v>
      </c>
      <c r="AQ337" s="1086">
        <f>((Sheet1!BV335-(Sheet1!BU335-AP337))/(Sheet1!BU335-AP337))</f>
        <v>0.1602426029855662</v>
      </c>
      <c r="AR337" s="94">
        <f t="shared" si="71"/>
        <v>28.418550000000003</v>
      </c>
      <c r="AS337" s="94">
        <f t="shared" si="72"/>
        <v>26.71855</v>
      </c>
      <c r="AT337" s="89">
        <f>Sheet1!BB335</f>
        <v>0</v>
      </c>
      <c r="AU337" s="89">
        <f>Sheet1!AS335*GPMtoMGD</f>
        <v>2.6352000000000004E-2</v>
      </c>
      <c r="AV337" s="94">
        <f>Sheet1!AT335</f>
        <v>0</v>
      </c>
      <c r="AW337" s="89">
        <f>Sheet1!AV335*GPMtoMGD</f>
        <v>0.53064</v>
      </c>
      <c r="AX337" s="89">
        <f>Sheet1!AW335*GPMtoMGD</f>
        <v>0.46872000000000003</v>
      </c>
      <c r="AY337" s="89">
        <f>Sheet1!AX335*GPMtoMGD</f>
        <v>0</v>
      </c>
      <c r="AZ337" s="89">
        <f>Sheet1!AY335*GPMtoMGD</f>
        <v>0</v>
      </c>
      <c r="BA337" s="89">
        <f>Sheet1!AZ335*GPMtoMGD</f>
        <v>0</v>
      </c>
      <c r="BB337" s="89">
        <f>Sheet1!BP335*GPMtoMGD</f>
        <v>0</v>
      </c>
      <c r="BC337" s="89">
        <f>Sheet1!CS335*GPMtoMGD</f>
        <v>0</v>
      </c>
      <c r="BD337" s="89">
        <f>Sheet1!BO335*GPMtoMGD</f>
        <v>1.6030080000000002</v>
      </c>
      <c r="BE337" s="89">
        <f>Sheet1!BW335*GPMtoMGD</f>
        <v>1.0802880000000001</v>
      </c>
      <c r="BF337" s="89">
        <f>Sheet1!CN335*GPMtoMGD</f>
        <v>0.37396800000000002</v>
      </c>
      <c r="BG337" s="89">
        <f>Sheet1!CO335*GPMtoMGD</f>
        <v>0.69206400000000012</v>
      </c>
      <c r="BH337" s="89">
        <f>Sheet1!CP335*GPMtoMGD</f>
        <v>0</v>
      </c>
      <c r="BI337" s="89">
        <f t="shared" si="69"/>
        <v>1.6030080000000002</v>
      </c>
      <c r="BK337" s="94">
        <f>SUM(AT337:BA337,AS337,BC337,Calculation!AQ337)</f>
        <v>45.971353633466137</v>
      </c>
      <c r="BM337" s="358">
        <f>0</f>
        <v>0</v>
      </c>
      <c r="BN337" s="358">
        <f>0</f>
        <v>0</v>
      </c>
      <c r="BP337" s="94">
        <f>SUM(BM337:BN337,W337,Sheet1!DX335)</f>
        <v>0</v>
      </c>
      <c r="BR337" s="94">
        <f>Sheet1!AA335</f>
        <v>28.1</v>
      </c>
      <c r="BS337" s="94">
        <f>Sheet1!AB335</f>
        <v>30</v>
      </c>
      <c r="BT337" s="94">
        <f t="shared" ca="1" si="73"/>
        <v>1.5543657538837889</v>
      </c>
      <c r="BU337" s="94">
        <f>Sheet1!AT335</f>
        <v>0</v>
      </c>
      <c r="BV337" s="89">
        <f>Sheet1!BB335</f>
        <v>0</v>
      </c>
      <c r="BW337" s="94">
        <f>Calculation!ED337</f>
        <v>11.772908366533866</v>
      </c>
      <c r="BX337" s="94">
        <f>(Sheet1!CS335*1440)/1000000</f>
        <v>0</v>
      </c>
      <c r="CA337" s="94">
        <f ca="1">Sheet1!AC335-Sheet1!BK335-Sheet1!BL335-Sheet1!BM335-Sheet1!BC335-Sheet1!BD335-Sheet1!BE335-Sheet1!BF335-Sheet1!BG335-Sheet1!BH335-Sheet1!BI335+BC337+P337</f>
        <v>47.834365753883787</v>
      </c>
      <c r="CB337" s="93">
        <f t="shared" si="74"/>
        <v>71.668010756972109</v>
      </c>
      <c r="CC337" s="94">
        <f t="shared" si="75"/>
        <v>0</v>
      </c>
      <c r="CD337" s="94">
        <f t="shared" ca="1" si="76"/>
        <v>59.607274120417657</v>
      </c>
      <c r="CE337" s="1077">
        <f t="shared" ca="1" si="77"/>
        <v>92.212453064286109</v>
      </c>
      <c r="CG337" s="1077">
        <f t="shared" ca="1" si="78"/>
        <v>47.834365753883787</v>
      </c>
    </row>
    <row r="338" spans="1:85" s="89" customFormat="1" x14ac:dyDescent="0.25">
      <c r="A338" s="616" t="s">
        <v>7</v>
      </c>
      <c r="B338" s="91">
        <v>43062</v>
      </c>
      <c r="C338" s="92">
        <v>0</v>
      </c>
      <c r="D338" s="94">
        <f>(Sheet1!BQ336-Sheet1!BQ335)*1.385</f>
        <v>0.7201999999999994</v>
      </c>
      <c r="E338" s="30">
        <f>(Sheet1!BR336-Sheet1!BR335)*1.385</f>
        <v>0.62324999999999897</v>
      </c>
      <c r="F338" s="30">
        <f ca="1">IF(B338=TODAY(),0,-(VLOOKUP(Sheet1!CD336,Lookup!$I$4:$J$216,2)-VLOOKUP(Sheet1!CD335,Lookup!$I$4:$J$216,2))/1000000)</f>
        <v>-0.51818469273899681</v>
      </c>
      <c r="G338" s="94">
        <f ca="1">IF(B338=TODAY(),0,-$G$6*(Sheet1!CF336-Sheet1!CF335)*7.48/1000000)</f>
        <v>0.5162755136832704</v>
      </c>
      <c r="H338" s="94">
        <f ca="1">IF(B338=TODAY(),0,-$H$6*(Sheet1!CE336-Sheet1!CE335)*7.48/1000000)</f>
        <v>-6.0157729405060027E-2</v>
      </c>
      <c r="I338" s="94">
        <f ca="1">IF(B338=TODAY(),0,-$I$6*(Sheet1!CG336-Sheet1!CG335)*7.48/1000000)</f>
        <v>-4.4924879999999837E-3</v>
      </c>
      <c r="J338" s="95" t="s">
        <v>177</v>
      </c>
      <c r="K338" s="94">
        <f ca="1">IF(B338=TODAY(),0,-$K$6*(Sheet1!CH336-Sheet1!CH335)*7.48/1000000)</f>
        <v>-6.6633203744584186E-3</v>
      </c>
      <c r="L338" s="95" t="s">
        <v>177</v>
      </c>
      <c r="M338" s="94">
        <f ca="1">IF(B338=TODAY(),0,-$M$6*(Sheet1!CI336-Sheet1!CI335)*7.48/1000000)</f>
        <v>-1.7991508428027301E-2</v>
      </c>
      <c r="N338" s="94">
        <f ca="1">IF(B338=TODAY(),0,-$N$6*(Sheet1!CJ336-Sheet1!CJ335)*7.48/1000000)</f>
        <v>-0.322672196052044</v>
      </c>
      <c r="O338" s="94">
        <f t="shared" ref="O338:O381" ca="1" si="79">SUM(F338:I338)+K338+SUM(M338:N338)</f>
        <v>-0.41388642131531617</v>
      </c>
      <c r="P338" s="94">
        <f ca="1">O338+Calculation!ES338</f>
        <v>-1.798702145035092</v>
      </c>
      <c r="Q338" s="89" t="str">
        <f>IF(Sheet1!BQ336&gt;25.75,"spill elevation","-")</f>
        <v>-</v>
      </c>
      <c r="R338" s="89" t="str">
        <f>IF(Sheet1!BQ336&gt;25.75,"spill elevation","-")</f>
        <v>-</v>
      </c>
      <c r="S338" s="89" t="str">
        <f>IF(Sheet1!BR336&gt;25.75,"spill elevation","-")</f>
        <v>-</v>
      </c>
      <c r="T338" s="93">
        <f>IF(Sheet1!DU336=1,Sheet1!AA336-(SUM(AT338:BA338)+BE338),Sheet1!AA336-SUM(AT338:BA338))</f>
        <v>26.863855999999998</v>
      </c>
      <c r="U338" s="93">
        <f>Sheet1!BV336</f>
        <v>30</v>
      </c>
      <c r="V338" s="93">
        <f t="shared" ref="V338:V381" si="80">T338-U338</f>
        <v>-3.1361440000000016</v>
      </c>
      <c r="W338" s="93">
        <f>0</f>
        <v>0</v>
      </c>
      <c r="X338" s="89">
        <f>0</f>
        <v>0</v>
      </c>
      <c r="Y338" s="94">
        <f ca="1">Calculation!EJ339+Calculation!ES338+'Calculations II'!O338-'Calculations II'!W338</f>
        <v>44.67895098607741</v>
      </c>
      <c r="Z338" s="94">
        <f ca="1">Y338-Sheet1!CT337</f>
        <v>29.245950986077411</v>
      </c>
      <c r="AA338" s="94">
        <f ca="1">Y338+Calculation!DJ339+Calculation!AS339</f>
        <v>55.240222603574864</v>
      </c>
      <c r="AC338" s="94">
        <f>Sheet1!AA336+Sheet1!AB336+BC338</f>
        <v>57.97</v>
      </c>
      <c r="AD338" s="94">
        <f>Sheet1!AA336+Sheet1!BN336+'Calculations II'!BC338-Calculation!AS338-Calculation!DJ338</f>
        <v>35.80085846867749</v>
      </c>
      <c r="AE338" s="94">
        <f>Sheet1!AA336+Sheet1!AB336+'Calculations II'!BC338-Calculation!AS338-Calculation!DJ338</f>
        <v>46.80085846867749</v>
      </c>
      <c r="AF338" s="94">
        <f ca="1">Sheet1!AA336+Sheet1!BN336+P338+'Calculations II'!BC338+Calculation!AS338+Calculation!DJ338</f>
        <v>56.340439386287414</v>
      </c>
      <c r="AG338" s="94">
        <f ca="1">IF(B338=TODAY(),0,Sheet1!AA336+Sheet1!BN336+'Calculations II'!BC338+'Calculations II'!P338-Sheet1!CT336-BP338)</f>
        <v>30.251297854964903</v>
      </c>
      <c r="AH338" s="94">
        <f ca="1">IF(B338=TODAY(),0,Sheet1!AA336+Sheet1!BN336+'Calculations II'!BC338+'Calculations II'!P338-BP338)</f>
        <v>45.171297854964905</v>
      </c>
      <c r="AI338" s="94">
        <f ca="1">IF(B338=TODAY(),0,BC338+Sheet1!AA336+Calculation!ES338+O338+W338+Sheet1!BN336+Calculation!AS338+Calculation!DJ338-BP338)</f>
        <v>56.340439386287414</v>
      </c>
      <c r="AJ338" s="94"/>
      <c r="AM338" s="90">
        <f t="shared" ref="AM338:AM381" si="81">B338</f>
        <v>43062</v>
      </c>
      <c r="AN338" s="94">
        <f>Sheet1!BU336</f>
        <v>26.3</v>
      </c>
      <c r="AO338" s="94">
        <f>Sheet1!AA336</f>
        <v>28.07</v>
      </c>
      <c r="AP338" s="94">
        <f t="shared" si="70"/>
        <v>1.3434499999999985</v>
      </c>
      <c r="AQ338" s="1086">
        <f>((Sheet1!BV336-(Sheet1!BU336-AP338))/(Sheet1!BU336-AP338))</f>
        <v>0.20208923108362317</v>
      </c>
      <c r="AR338" s="94">
        <f t="shared" si="71"/>
        <v>26.726550000000003</v>
      </c>
      <c r="AS338" s="94">
        <f t="shared" si="72"/>
        <v>24.956550000000004</v>
      </c>
      <c r="AT338" s="89">
        <f>Sheet1!BB336</f>
        <v>0</v>
      </c>
      <c r="AU338" s="89">
        <f>Sheet1!AS336*GPMtoMGD</f>
        <v>3.2112000000000002E-2</v>
      </c>
      <c r="AV338" s="94">
        <f>Sheet1!AT336</f>
        <v>0</v>
      </c>
      <c r="AW338" s="89">
        <f>Sheet1!AV336*GPMtoMGD</f>
        <v>0.70084800000000003</v>
      </c>
      <c r="AX338" s="89">
        <f>Sheet1!AW336*GPMtoMGD</f>
        <v>0.47318400000000005</v>
      </c>
      <c r="AY338" s="89">
        <f>Sheet1!AX336*GPMtoMGD</f>
        <v>0</v>
      </c>
      <c r="AZ338" s="89">
        <f>Sheet1!AY336*GPMtoMGD</f>
        <v>0</v>
      </c>
      <c r="BA338" s="89">
        <f>Sheet1!AZ336*GPMtoMGD</f>
        <v>0</v>
      </c>
      <c r="BB338" s="89">
        <f>Sheet1!BP336*GPMtoMGD</f>
        <v>2.8800000000000002E-3</v>
      </c>
      <c r="BC338" s="89">
        <f>Sheet1!CS336*GPMtoMGD</f>
        <v>0</v>
      </c>
      <c r="BD338" s="89">
        <f>Sheet1!BO336*GPMtoMGD</f>
        <v>1.7985600000000002</v>
      </c>
      <c r="BE338" s="89">
        <f>Sheet1!BW336*GPMtoMGD</f>
        <v>1.061712</v>
      </c>
      <c r="BF338" s="89">
        <f>Sheet1!CN336*GPMtoMGD</f>
        <v>0.61488000000000009</v>
      </c>
      <c r="BG338" s="89">
        <f>Sheet1!CO336*GPMtoMGD</f>
        <v>0.73655999999999999</v>
      </c>
      <c r="BH338" s="89">
        <f>Sheet1!CP336*GPMtoMGD</f>
        <v>0</v>
      </c>
      <c r="BI338" s="89">
        <f t="shared" ref="BI338:BI381" si="82">BD338+BB338</f>
        <v>1.8014400000000002</v>
      </c>
      <c r="BK338" s="94">
        <f>SUM(AT338:BA338,AS338,BC338,Calculation!AQ338)</f>
        <v>44.893552468677498</v>
      </c>
      <c r="BM338" s="358">
        <f>0</f>
        <v>0</v>
      </c>
      <c r="BN338" s="358">
        <f>0</f>
        <v>0</v>
      </c>
      <c r="BP338" s="94">
        <f>SUM(BM338:BN338,W338,Sheet1!DX336)</f>
        <v>0</v>
      </c>
      <c r="BR338" s="94">
        <f>Sheet1!AA336</f>
        <v>28.07</v>
      </c>
      <c r="BS338" s="94">
        <f>Sheet1!AB336</f>
        <v>29.9</v>
      </c>
      <c r="BT338" s="94">
        <f t="shared" ca="1" si="73"/>
        <v>-1.798702145035092</v>
      </c>
      <c r="BU338" s="94">
        <f>Sheet1!AT336</f>
        <v>0</v>
      </c>
      <c r="BV338" s="89">
        <f>Sheet1!BB336</f>
        <v>0</v>
      </c>
      <c r="BW338" s="94">
        <f>Calculation!ED338</f>
        <v>11.169141531322506</v>
      </c>
      <c r="BX338" s="94">
        <f>(Sheet1!CS336*1440)/1000000</f>
        <v>0</v>
      </c>
      <c r="CA338" s="94">
        <f ca="1">Sheet1!AC336-Sheet1!BK336-Sheet1!BL336-Sheet1!BM336-Sheet1!BC336-Sheet1!BD336-Sheet1!BE336-Sheet1!BF336-Sheet1!BG336-Sheet1!BH336-Sheet1!BI336+BC338+P338</f>
        <v>44.901297854964902</v>
      </c>
      <c r="CB338" s="93">
        <f t="shared" si="74"/>
        <v>72.400928051044076</v>
      </c>
      <c r="CC338" s="94">
        <f t="shared" si="75"/>
        <v>0</v>
      </c>
      <c r="CD338" s="94">
        <f t="shared" ca="1" si="76"/>
        <v>56.070439386287404</v>
      </c>
      <c r="CE338" s="1077">
        <f t="shared" ca="1" si="77"/>
        <v>86.740969730586613</v>
      </c>
      <c r="CG338" s="1077">
        <f t="shared" ca="1" si="78"/>
        <v>44.901297854964902</v>
      </c>
    </row>
    <row r="339" spans="1:85" s="89" customFormat="1" x14ac:dyDescent="0.25">
      <c r="A339" s="616" t="s">
        <v>8</v>
      </c>
      <c r="B339" s="91">
        <v>43063</v>
      </c>
      <c r="C339" s="92">
        <v>0</v>
      </c>
      <c r="D339" s="94">
        <f>(Sheet1!BQ337-Sheet1!BQ336)*1.385</f>
        <v>1.4126999999999994</v>
      </c>
      <c r="E339" s="30">
        <f>(Sheet1!BR337-Sheet1!BR336)*1.385</f>
        <v>1.4680999999999982</v>
      </c>
      <c r="F339" s="30">
        <f ca="1">IF(B339=TODAY(),0,-(VLOOKUP(Sheet1!CD337,Lookup!$I$4:$J$216,2)-VLOOKUP(Sheet1!CD336,Lookup!$I$4:$J$216,2))/1000000)</f>
        <v>0</v>
      </c>
      <c r="G339" s="94">
        <f ca="1">IF(B339=TODAY(),0,-$G$6*(Sheet1!CF337-Sheet1!CF336)*7.48/1000000)</f>
        <v>0.39713501052559297</v>
      </c>
      <c r="H339" s="94">
        <f ca="1">IF(B339=TODAY(),0,-$H$6*(Sheet1!CE337-Sheet1!CE336)*7.48/1000000)</f>
        <v>3.0078864702530548E-2</v>
      </c>
      <c r="I339" s="94">
        <f ca="1">IF(B339=TODAY(),0,-$I$6*(Sheet1!CG337-Sheet1!CG336)*7.48/1000000)</f>
        <v>4.4924879999999837E-3</v>
      </c>
      <c r="J339" s="95" t="s">
        <v>177</v>
      </c>
      <c r="K339" s="94">
        <f ca="1">IF(B339=TODAY(),0,-$K$6*(Sheet1!CH337-Sheet1!CH336)*7.48/1000000)</f>
        <v>6.6633203744584186E-3</v>
      </c>
      <c r="L339" s="95" t="s">
        <v>177</v>
      </c>
      <c r="M339" s="94">
        <f ca="1">IF(B339=TODAY(),0,-$M$6*(Sheet1!CI337-Sheet1!CI336)*7.48/1000000)</f>
        <v>1.7991508428027301E-2</v>
      </c>
      <c r="N339" s="94">
        <f ca="1">IF(B339=TODAY(),0,-$N$6*(Sheet1!CJ337-Sheet1!CJ336)*7.48/1000000)</f>
        <v>-0.22338844342064679</v>
      </c>
      <c r="O339" s="94">
        <f t="shared" ca="1" si="79"/>
        <v>0.23297274860996245</v>
      </c>
      <c r="P339" s="94">
        <f ca="1">O339+Calculation!ES339</f>
        <v>-2.5376200196658125</v>
      </c>
      <c r="Q339" s="89" t="str">
        <f>IF(Sheet1!BQ337&gt;25.75,"spill elevation","-")</f>
        <v>-</v>
      </c>
      <c r="R339" s="89" t="str">
        <f>IF(Sheet1!BQ337&gt;25.75,"spill elevation","-")</f>
        <v>-</v>
      </c>
      <c r="S339" s="89" t="str">
        <f>IF(Sheet1!BR337&gt;25.75,"spill elevation","-")</f>
        <v>-</v>
      </c>
      <c r="T339" s="93">
        <f>IF(Sheet1!DU337=1,Sheet1!AA337-(SUM(AT339:BA339)+BE339),Sheet1!AA337-SUM(AT339:BA339))</f>
        <v>27.334048000000003</v>
      </c>
      <c r="U339" s="93">
        <f>Sheet1!BV337</f>
        <v>28.5</v>
      </c>
      <c r="V339" s="93">
        <f t="shared" si="80"/>
        <v>-1.1659519999999972</v>
      </c>
      <c r="W339" s="93">
        <f>0</f>
        <v>0</v>
      </c>
      <c r="X339" s="89">
        <f>0</f>
        <v>0</v>
      </c>
      <c r="Y339" s="94">
        <f ca="1">Calculation!EJ340+Calculation!ES339+'Calculations II'!O339-'Calculations II'!W339</f>
        <v>41.915729008309107</v>
      </c>
      <c r="Z339" s="94">
        <f ca="1">Y339-Sheet1!CT338</f>
        <v>25.524729008309109</v>
      </c>
      <c r="AA339" s="94">
        <f ca="1">Y339+Calculation!DJ340+Calculation!AS340</f>
        <v>53.36073434828775</v>
      </c>
      <c r="AC339" s="94">
        <f>Sheet1!AA337+Sheet1!AB337+BC339</f>
        <v>57.44</v>
      </c>
      <c r="AD339" s="94">
        <f>Sheet1!AA337+Sheet1!BN337+'Calculations II'!BC339-Calculation!AS339-Calculation!DJ339</f>
        <v>36.368728382502539</v>
      </c>
      <c r="AE339" s="94">
        <f>Sheet1!AA337+Sheet1!AB337+'Calculations II'!BC339-Calculation!AS339-Calculation!DJ339</f>
        <v>46.878728382502544</v>
      </c>
      <c r="AF339" s="94">
        <f ca="1">Sheet1!AA337+Sheet1!BN337+P339+'Calculations II'!BC339+Calculation!AS339+Calculation!DJ339</f>
        <v>54.953651597831637</v>
      </c>
      <c r="AG339" s="94">
        <f ca="1">IF(B339=TODAY(),0,Sheet1!AA337+Sheet1!BN337+'Calculations II'!BC339+'Calculations II'!P339-Sheet1!CT337-BP339)</f>
        <v>28.959379980334184</v>
      </c>
      <c r="AH339" s="94">
        <f ca="1">IF(B339=TODAY(),0,Sheet1!AA337+Sheet1!BN337+'Calculations II'!BC339+'Calculations II'!P339-BP339)</f>
        <v>44.392379980334184</v>
      </c>
      <c r="AI339" s="94">
        <f ca="1">IF(B339=TODAY(),0,BC339+Sheet1!AA337+Calculation!ES339+O339+W339+Sheet1!BN337+Calculation!AS339+Calculation!DJ339-BP339)</f>
        <v>54.953651597831637</v>
      </c>
      <c r="AJ339" s="94"/>
      <c r="AM339" s="90">
        <f t="shared" si="81"/>
        <v>43063</v>
      </c>
      <c r="AN339" s="94">
        <f>Sheet1!BU337</f>
        <v>26.7</v>
      </c>
      <c r="AO339" s="94">
        <f>Sheet1!AA337</f>
        <v>28.03</v>
      </c>
      <c r="AP339" s="94">
        <f t="shared" si="70"/>
        <v>2.8807999999999976</v>
      </c>
      <c r="AQ339" s="1086">
        <f>((Sheet1!BV337-(Sheet1!BU337-AP339))/(Sheet1!BU337-AP339))</f>
        <v>0.19651373681735732</v>
      </c>
      <c r="AR339" s="94">
        <f t="shared" si="71"/>
        <v>25.149200000000004</v>
      </c>
      <c r="AS339" s="94">
        <f t="shared" si="72"/>
        <v>23.819200000000002</v>
      </c>
      <c r="AT339" s="89">
        <f>Sheet1!BB337</f>
        <v>0</v>
      </c>
      <c r="AU339" s="89">
        <f>Sheet1!AS337*GPMtoMGD</f>
        <v>2.3040000000000001E-2</v>
      </c>
      <c r="AV339" s="94">
        <f>Sheet1!AT337</f>
        <v>0</v>
      </c>
      <c r="AW339" s="89">
        <f>Sheet1!AV337*GPMtoMGD</f>
        <v>0.31363200000000002</v>
      </c>
      <c r="AX339" s="89">
        <f>Sheet1!AW337*GPMtoMGD</f>
        <v>0.35928000000000004</v>
      </c>
      <c r="AY339" s="89">
        <f>Sheet1!AX337*GPMtoMGD</f>
        <v>0</v>
      </c>
      <c r="AZ339" s="89">
        <f>Sheet1!AY337*GPMtoMGD</f>
        <v>0</v>
      </c>
      <c r="BA339" s="89">
        <f>Sheet1!AZ337*GPMtoMGD</f>
        <v>0</v>
      </c>
      <c r="BB339" s="89">
        <f>Sheet1!BP337*GPMtoMGD</f>
        <v>2.8800000000000002E-3</v>
      </c>
      <c r="BC339" s="89">
        <f>Sheet1!CS337*GPMtoMGD</f>
        <v>0</v>
      </c>
      <c r="BD339" s="89">
        <f>Sheet1!BO337*GPMtoMGD</f>
        <v>1.548144</v>
      </c>
      <c r="BE339" s="89">
        <f>Sheet1!BW337*GPMtoMGD</f>
        <v>0.94896000000000003</v>
      </c>
      <c r="BF339" s="89">
        <f>Sheet1!CN337*GPMtoMGD</f>
        <v>0.36403200000000002</v>
      </c>
      <c r="BG339" s="89">
        <f>Sheet1!CO337*GPMtoMGD</f>
        <v>0.59356799999999998</v>
      </c>
      <c r="BH339" s="89">
        <f>Sheet1!CP337*GPMtoMGD</f>
        <v>0</v>
      </c>
      <c r="BI339" s="89">
        <f t="shared" si="82"/>
        <v>1.551024</v>
      </c>
      <c r="BK339" s="94">
        <f>SUM(AT339:BA339,AS339,BC339,Calculation!AQ339)</f>
        <v>43.363880382502543</v>
      </c>
      <c r="BM339" s="358">
        <f>0</f>
        <v>0</v>
      </c>
      <c r="BN339" s="358">
        <f>0</f>
        <v>0</v>
      </c>
      <c r="BP339" s="94">
        <f>SUM(BM339:BN339,W339,Sheet1!DX337)</f>
        <v>0</v>
      </c>
      <c r="BR339" s="94">
        <f>Sheet1!AA337</f>
        <v>28.03</v>
      </c>
      <c r="BS339" s="94">
        <f>Sheet1!AB337</f>
        <v>29.41</v>
      </c>
      <c r="BT339" s="94">
        <f t="shared" ca="1" si="73"/>
        <v>-2.5376200196658125</v>
      </c>
      <c r="BU339" s="94">
        <f>Sheet1!AT337</f>
        <v>0</v>
      </c>
      <c r="BV339" s="89">
        <f>Sheet1!BB337</f>
        <v>0</v>
      </c>
      <c r="BW339" s="94">
        <f>Calculation!ED339</f>
        <v>10.561271617497457</v>
      </c>
      <c r="BX339" s="94">
        <f>(Sheet1!CS337*1440)/1000000</f>
        <v>0</v>
      </c>
      <c r="CA339" s="94">
        <f ca="1">Sheet1!AC337-Sheet1!BK337-Sheet1!BL337-Sheet1!BM337-Sheet1!BC337-Sheet1!BD337-Sheet1!BE337-Sheet1!BF337-Sheet1!BG337-Sheet1!BH337-Sheet1!BI337+BC339+P339</f>
        <v>44.312379980334185</v>
      </c>
      <c r="CB339" s="93">
        <f t="shared" si="74"/>
        <v>72.521392807731431</v>
      </c>
      <c r="CC339" s="94">
        <f t="shared" si="75"/>
        <v>0</v>
      </c>
      <c r="CD339" s="94">
        <f t="shared" ca="1" si="76"/>
        <v>54.873651597831639</v>
      </c>
      <c r="CE339" s="1077">
        <f t="shared" ca="1" si="77"/>
        <v>84.889539021845536</v>
      </c>
      <c r="CG339" s="1077">
        <f t="shared" ca="1" si="78"/>
        <v>44.312379980334185</v>
      </c>
    </row>
    <row r="340" spans="1:85" s="89" customFormat="1" x14ac:dyDescent="0.25">
      <c r="A340" s="616" t="s">
        <v>9</v>
      </c>
      <c r="B340" s="91">
        <v>43064</v>
      </c>
      <c r="C340" s="92">
        <v>0</v>
      </c>
      <c r="D340" s="94">
        <f>(Sheet1!BQ338-Sheet1!BQ337)*1.385</f>
        <v>-0.99719999999999842</v>
      </c>
      <c r="E340" s="30">
        <f>(Sheet1!BR338-Sheet1!BR337)*1.385</f>
        <v>-0.91410000000000025</v>
      </c>
      <c r="F340" s="30">
        <f ca="1">IF(B340=TODAY(),0,-(VLOOKUP(Sheet1!CD338,Lookup!$I$4:$J$216,2)-VLOOKUP(Sheet1!CD337,Lookup!$I$4:$J$216,2))/1000000)</f>
        <v>0</v>
      </c>
      <c r="G340" s="94">
        <f ca="1">IF(B340=TODAY(),0,-$G$6*(Sheet1!CF338-Sheet1!CF337)*7.48/1000000)</f>
        <v>0.3574215094730338</v>
      </c>
      <c r="H340" s="94">
        <f ca="1">IF(B340=TODAY(),0,-$H$6*(Sheet1!CE338-Sheet1!CE337)*7.48/1000000)</f>
        <v>0</v>
      </c>
      <c r="I340" s="94">
        <f ca="1">IF(B340=TODAY(),0,-$I$6*(Sheet1!CG338-Sheet1!CG337)*7.48/1000000)</f>
        <v>8.9849760000000074E-3</v>
      </c>
      <c r="J340" s="95" t="s">
        <v>177</v>
      </c>
      <c r="K340" s="94">
        <f ca="1">IF(B340=TODAY(),0,-$K$6*(Sheet1!CH338-Sheet1!CH337)*7.48/1000000)</f>
        <v>1.3326640748916837E-2</v>
      </c>
      <c r="L340" s="95" t="s">
        <v>177</v>
      </c>
      <c r="M340" s="94">
        <f ca="1">IF(B340=TODAY(),0,-$M$6*(Sheet1!CI338-Sheet1!CI337)*7.48/1000000)</f>
        <v>5.3974525284081275E-2</v>
      </c>
      <c r="N340" s="94">
        <f ca="1">IF(B340=TODAY(),0,-$N$6*(Sheet1!CJ338-Sheet1!CJ337)*7.48/1000000)</f>
        <v>-8.6873283552472716E-2</v>
      </c>
      <c r="O340" s="94">
        <f t="shared" ca="1" si="79"/>
        <v>0.34683436795355921</v>
      </c>
      <c r="P340" s="94">
        <f ca="1">O340+Calculation!ES340</f>
        <v>2.1478350340730117</v>
      </c>
      <c r="Q340" s="89" t="str">
        <f>IF(Sheet1!BQ338&gt;25.75,"spill elevation","-")</f>
        <v>-</v>
      </c>
      <c r="R340" s="89" t="str">
        <f>IF(Sheet1!BQ338&gt;25.75,"spill elevation","-")</f>
        <v>-</v>
      </c>
      <c r="S340" s="89" t="str">
        <f>IF(Sheet1!BR338&gt;25.75,"spill elevation","-")</f>
        <v>-</v>
      </c>
      <c r="T340" s="93">
        <f>IF(Sheet1!DU338=1,Sheet1!AA338-(SUM(AT340:BA340)+BE340),Sheet1!AA338-SUM(AT340:BA340))</f>
        <v>26.828480000000003</v>
      </c>
      <c r="U340" s="93">
        <f>Sheet1!BV338</f>
        <v>33.4</v>
      </c>
      <c r="V340" s="93">
        <f t="shared" si="80"/>
        <v>-6.571519999999996</v>
      </c>
      <c r="W340" s="93">
        <f>0</f>
        <v>0</v>
      </c>
      <c r="X340" s="89">
        <f>0</f>
        <v>0</v>
      </c>
      <c r="Y340" s="94">
        <f ca="1">Calculation!EJ341+Calculation!ES340+'Calculations II'!O340-'Calculations II'!W340</f>
        <v>44.689512075323378</v>
      </c>
      <c r="Z340" s="94">
        <f ca="1">Y340-Sheet1!CT339</f>
        <v>28.660512075323378</v>
      </c>
      <c r="AA340" s="94">
        <f ca="1">Y340+Calculation!DJ341+Calculation!AS341</f>
        <v>56.044885740803807</v>
      </c>
      <c r="AC340" s="94">
        <f>Sheet1!AA338+Sheet1!AB338+BC340</f>
        <v>56.08</v>
      </c>
      <c r="AD340" s="94">
        <f>Sheet1!AA338+Sheet1!BN338+'Calculations II'!BC340-Calculation!AS340-Calculation!DJ340</f>
        <v>33.25499466002136</v>
      </c>
      <c r="AE340" s="94">
        <f>Sheet1!AA338+Sheet1!AB338+'Calculations II'!BC340-Calculation!AS340-Calculation!DJ340</f>
        <v>44.634994660021356</v>
      </c>
      <c r="AF340" s="94">
        <f ca="1">Sheet1!AA338+Sheet1!BN338+P340+'Calculations II'!BC340+Calculation!AS340+Calculation!DJ340</f>
        <v>58.292840374051657</v>
      </c>
      <c r="AG340" s="94">
        <f ca="1">IF(B340=TODAY(),0,Sheet1!AA338+Sheet1!BN338+'Calculations II'!BC340+'Calculations II'!P340-Sheet1!CT338-BP340)</f>
        <v>30.456835034073016</v>
      </c>
      <c r="AH340" s="94">
        <f ca="1">IF(B340=TODAY(),0,Sheet1!AA338+Sheet1!BN338+'Calculations II'!BC340+'Calculations II'!P340-BP340)</f>
        <v>46.847835034073015</v>
      </c>
      <c r="AI340" s="94">
        <f ca="1">IF(B340=TODAY(),0,BC340+Sheet1!AA338+Calculation!ES340+O340+W340+Sheet1!BN338+Calculation!AS340+Calculation!DJ340-BP340)</f>
        <v>58.292840374051657</v>
      </c>
      <c r="AJ340" s="94"/>
      <c r="AM340" s="90">
        <f t="shared" si="81"/>
        <v>43064</v>
      </c>
      <c r="AN340" s="94">
        <f>Sheet1!BU338</f>
        <v>26.3</v>
      </c>
      <c r="AO340" s="94">
        <f>Sheet1!AA338</f>
        <v>28.1</v>
      </c>
      <c r="AP340" s="94">
        <f t="shared" si="70"/>
        <v>-1.9112999999999987</v>
      </c>
      <c r="AQ340" s="1086">
        <f>((Sheet1!BV338-(Sheet1!BU338-AP340))/(Sheet1!BU338-AP340))</f>
        <v>0.18392275435729658</v>
      </c>
      <c r="AR340" s="94">
        <f t="shared" si="71"/>
        <v>30.011299999999999</v>
      </c>
      <c r="AS340" s="94">
        <f t="shared" si="72"/>
        <v>28.211299999999998</v>
      </c>
      <c r="AT340" s="89">
        <f>Sheet1!BB338</f>
        <v>0</v>
      </c>
      <c r="AU340" s="89">
        <f>Sheet1!AS338*GPMtoMGD</f>
        <v>2.664E-2</v>
      </c>
      <c r="AV340" s="94">
        <f>Sheet1!AT338</f>
        <v>0</v>
      </c>
      <c r="AW340" s="89">
        <f>Sheet1!AV338*GPMtoMGD</f>
        <v>0.68918400000000013</v>
      </c>
      <c r="AX340" s="89">
        <f>Sheet1!AW338*GPMtoMGD</f>
        <v>0.55569599999999997</v>
      </c>
      <c r="AY340" s="89">
        <f>Sheet1!AX338*GPMtoMGD</f>
        <v>0</v>
      </c>
      <c r="AZ340" s="89">
        <f>Sheet1!AY338*GPMtoMGD</f>
        <v>0</v>
      </c>
      <c r="BA340" s="89">
        <f>Sheet1!AZ338*GPMtoMGD</f>
        <v>0</v>
      </c>
      <c r="BB340" s="89">
        <f>Sheet1!BP338*GPMtoMGD</f>
        <v>2.8800000000000002E-3</v>
      </c>
      <c r="BC340" s="89">
        <f>Sheet1!CS338*GPMtoMGD</f>
        <v>0</v>
      </c>
      <c r="BD340" s="89">
        <f>Sheet1!BO338*GPMtoMGD</f>
        <v>1.5384960000000003</v>
      </c>
      <c r="BE340" s="89">
        <f>Sheet1!BW338*GPMtoMGD</f>
        <v>1.123488</v>
      </c>
      <c r="BF340" s="89">
        <f>Sheet1!CN338*GPMtoMGD</f>
        <v>0.378</v>
      </c>
      <c r="BG340" s="89">
        <f>Sheet1!CO338*GPMtoMGD</f>
        <v>0.58939200000000003</v>
      </c>
      <c r="BH340" s="89">
        <f>Sheet1!CP338*GPMtoMGD</f>
        <v>0</v>
      </c>
      <c r="BI340" s="89">
        <f t="shared" si="82"/>
        <v>1.5413760000000003</v>
      </c>
      <c r="BK340" s="94">
        <f>SUM(AT340:BA340,AS340,BC340,Calculation!AQ340)</f>
        <v>46.017814660021358</v>
      </c>
      <c r="BM340" s="358">
        <f>0</f>
        <v>0</v>
      </c>
      <c r="BN340" s="358">
        <f>0</f>
        <v>0</v>
      </c>
      <c r="BP340" s="94">
        <f>SUM(BM340:BN340,W340,Sheet1!DX338)</f>
        <v>0</v>
      </c>
      <c r="BR340" s="94">
        <f>Sheet1!AA338</f>
        <v>28.1</v>
      </c>
      <c r="BS340" s="94">
        <f>Sheet1!AB338</f>
        <v>27.98</v>
      </c>
      <c r="BT340" s="94">
        <f t="shared" ca="1" si="73"/>
        <v>2.1478350340730117</v>
      </c>
      <c r="BU340" s="94">
        <f>Sheet1!AT338</f>
        <v>0</v>
      </c>
      <c r="BV340" s="89">
        <f>Sheet1!BB338</f>
        <v>0</v>
      </c>
      <c r="BW340" s="94">
        <f>Calculation!ED340</f>
        <v>11.445005339978641</v>
      </c>
      <c r="BX340" s="94">
        <f>(Sheet1!CS338*1440)/1000000</f>
        <v>0</v>
      </c>
      <c r="CA340" s="94">
        <f ca="1">Sheet1!AC338-Sheet1!BK338-Sheet1!BL338-Sheet1!BM338-Sheet1!BC338-Sheet1!BD338-Sheet1!BE338-Sheet1!BF338-Sheet1!BG338-Sheet1!BH338-Sheet1!BI338+BC340+P340</f>
        <v>46.737835034073001</v>
      </c>
      <c r="CB340" s="93">
        <f t="shared" si="74"/>
        <v>69.050336739053037</v>
      </c>
      <c r="CC340" s="94">
        <f t="shared" si="75"/>
        <v>0</v>
      </c>
      <c r="CD340" s="94">
        <f t="shared" ca="1" si="76"/>
        <v>58.182840374051644</v>
      </c>
      <c r="CE340" s="1077">
        <f t="shared" ca="1" si="77"/>
        <v>90.008854058657889</v>
      </c>
      <c r="CG340" s="1077">
        <f t="shared" ca="1" si="78"/>
        <v>46.737835034073001</v>
      </c>
    </row>
    <row r="341" spans="1:85" s="89" customFormat="1" x14ac:dyDescent="0.25">
      <c r="A341" s="616" t="s">
        <v>3</v>
      </c>
      <c r="B341" s="91">
        <v>43065</v>
      </c>
      <c r="C341" s="92">
        <v>0</v>
      </c>
      <c r="D341" s="94">
        <f>(Sheet1!BQ339-Sheet1!BQ338)*1.385</f>
        <v>-1.5096499999999997</v>
      </c>
      <c r="E341" s="30">
        <f>(Sheet1!BR339-Sheet1!BR338)*1.385</f>
        <v>-1.6342999999999996</v>
      </c>
      <c r="F341" s="30">
        <f ca="1">IF(B341=TODAY(),0,-(VLOOKUP(Sheet1!CD339,Lookup!$I$4:$J$216,2)-VLOOKUP(Sheet1!CD338,Lookup!$I$4:$J$216,2))/1000000)</f>
        <v>-0.51818469273900425</v>
      </c>
      <c r="G341" s="94">
        <f ca="1">IF(B341=TODAY(),0,-$G$6*(Sheet1!CF339-Sheet1!CF338)*7.48/1000000)</f>
        <v>-0.75455651999862683</v>
      </c>
      <c r="H341" s="94">
        <f ca="1">IF(B341=TODAY(),0,-$H$6*(Sheet1!CE339-Sheet1!CE338)*7.48/1000000)</f>
        <v>0</v>
      </c>
      <c r="I341" s="94">
        <f ca="1">IF(B341=TODAY(),0,-$I$6*(Sheet1!CG339-Sheet1!CG338)*7.48/1000000)</f>
        <v>-3.5939903999999995E-2</v>
      </c>
      <c r="J341" s="95" t="s">
        <v>177</v>
      </c>
      <c r="K341" s="94">
        <f ca="1">IF(B341=TODAY(),0,-$K$6*(Sheet1!CH339-Sheet1!CH338)*7.48/1000000)</f>
        <v>-5.9969883370125883E-2</v>
      </c>
      <c r="L341" s="95" t="s">
        <v>177</v>
      </c>
      <c r="M341" s="94">
        <f ca="1">IF(B341=TODAY(),0,-$M$6*(Sheet1!CI339-Sheet1!CI338)*7.48/1000000)</f>
        <v>-0.17991508428027048</v>
      </c>
      <c r="N341" s="94">
        <f ca="1">IF(B341=TODAY(),0,-$N$6*(Sheet1!CJ339-Sheet1!CJ338)*7.48/1000000)</f>
        <v>-0.21718320888118345</v>
      </c>
      <c r="O341" s="94">
        <f t="shared" ca="1" si="79"/>
        <v>-1.7657492932692107</v>
      </c>
      <c r="P341" s="94">
        <f ca="1">O341+Calculation!ES341</f>
        <v>1.4193941767881539</v>
      </c>
      <c r="Q341" s="89" t="str">
        <f>IF(Sheet1!BQ339&gt;25.75,"spill elevation","-")</f>
        <v>-</v>
      </c>
      <c r="R341" s="89" t="str">
        <f>IF(Sheet1!BQ339&gt;25.75,"spill elevation","-")</f>
        <v>-</v>
      </c>
      <c r="S341" s="89" t="str">
        <f>IF(Sheet1!BR339&gt;25.75,"spill elevation","-")</f>
        <v>-</v>
      </c>
      <c r="T341" s="93">
        <f>IF(Sheet1!DU339=1,Sheet1!AA339-(SUM(AT341:BA341)+BE341),Sheet1!AA339-SUM(AT341:BA341))</f>
        <v>26.997199999999999</v>
      </c>
      <c r="U341" s="93">
        <f>Sheet1!BV339</f>
        <v>35.4</v>
      </c>
      <c r="V341" s="93">
        <f t="shared" si="80"/>
        <v>-8.4027999999999992</v>
      </c>
      <c r="W341" s="93">
        <f>0</f>
        <v>0</v>
      </c>
      <c r="X341" s="89">
        <f>0</f>
        <v>0</v>
      </c>
      <c r="Y341" s="94">
        <f ca="1">Calculation!EJ342+Calculation!ES341+'Calculations II'!O341-'Calculations II'!W341</f>
        <v>48.553338447878907</v>
      </c>
      <c r="Z341" s="94">
        <f ca="1">Y341-Sheet1!CT340</f>
        <v>32.882338447878908</v>
      </c>
      <c r="AA341" s="94">
        <f ca="1">Y341+Calculation!DJ342+Calculation!AS342</f>
        <v>58.904985506702438</v>
      </c>
      <c r="AC341" s="94">
        <f>Sheet1!AA339+Sheet1!AB339+BC341</f>
        <v>56.06</v>
      </c>
      <c r="AD341" s="94">
        <f>Sheet1!AA339+Sheet1!BN339+'Calculations II'!BC341-Calculation!AS341-Calculation!DJ341</f>
        <v>33.414626334519568</v>
      </c>
      <c r="AE341" s="94">
        <f>Sheet1!AA339+Sheet1!AB339+'Calculations II'!BC341-Calculation!AS341-Calculation!DJ341</f>
        <v>44.704626334519574</v>
      </c>
      <c r="AF341" s="94">
        <f ca="1">Sheet1!AA339+Sheet1!BN339+P341+'Calculations II'!BC341+Calculation!AS341+Calculation!DJ341</f>
        <v>57.544767842268577</v>
      </c>
      <c r="AG341" s="94">
        <f ca="1">IF(B341=TODAY(),0,Sheet1!AA339+Sheet1!BN339+'Calculations II'!BC341+'Calculations II'!P341-Sheet1!CT339-BP341)</f>
        <v>30.160394176788149</v>
      </c>
      <c r="AH341" s="94">
        <f ca="1">IF(B341=TODAY(),0,Sheet1!AA339+Sheet1!BN339+'Calculations II'!BC341+'Calculations II'!P341-BP341)</f>
        <v>46.189394176788149</v>
      </c>
      <c r="AI341" s="94">
        <f ca="1">IF(B341=TODAY(),0,BC341+Sheet1!AA339+Calculation!ES341+O341+W341+Sheet1!BN339+Calculation!AS341+Calculation!DJ341-BP341)</f>
        <v>57.544767842268584</v>
      </c>
      <c r="AJ341" s="94"/>
      <c r="AM341" s="90">
        <f t="shared" si="81"/>
        <v>43065</v>
      </c>
      <c r="AN341" s="94">
        <f>Sheet1!BU339</f>
        <v>26.6</v>
      </c>
      <c r="AO341" s="94">
        <f>Sheet1!AA339</f>
        <v>28.07</v>
      </c>
      <c r="AP341" s="94">
        <f t="shared" si="70"/>
        <v>-3.1439499999999994</v>
      </c>
      <c r="AQ341" s="1086">
        <f>((Sheet1!BV339-(Sheet1!BU339-AP341))/(Sheet1!BU339-AP341))</f>
        <v>0.19015799851734544</v>
      </c>
      <c r="AR341" s="94">
        <f t="shared" si="71"/>
        <v>31.213950000000001</v>
      </c>
      <c r="AS341" s="94">
        <f t="shared" si="72"/>
        <v>29.743950000000002</v>
      </c>
      <c r="AT341" s="89">
        <f>Sheet1!BB339</f>
        <v>0</v>
      </c>
      <c r="AU341" s="89">
        <f>Sheet1!AS339*GPMtoMGD</f>
        <v>3.3695999999999997E-2</v>
      </c>
      <c r="AV341" s="94">
        <f>Sheet1!AT339</f>
        <v>0</v>
      </c>
      <c r="AW341" s="89">
        <f>Sheet1!AV339*GPMtoMGD</f>
        <v>0.651312</v>
      </c>
      <c r="AX341" s="89">
        <f>Sheet1!AW339*GPMtoMGD</f>
        <v>0.38779200000000003</v>
      </c>
      <c r="AY341" s="89">
        <f>Sheet1!AX339*GPMtoMGD</f>
        <v>0</v>
      </c>
      <c r="AZ341" s="89">
        <f>Sheet1!AY339*GPMtoMGD</f>
        <v>0</v>
      </c>
      <c r="BA341" s="89">
        <f>Sheet1!AZ339*GPMtoMGD</f>
        <v>0</v>
      </c>
      <c r="BB341" s="89">
        <f>Sheet1!BP339*GPMtoMGD</f>
        <v>2.8800000000000002E-3</v>
      </c>
      <c r="BC341" s="89">
        <f>Sheet1!CS339*GPMtoMGD</f>
        <v>0</v>
      </c>
      <c r="BD341" s="89">
        <f>Sheet1!BO339*GPMtoMGD</f>
        <v>1.9183680000000003</v>
      </c>
      <c r="BE341" s="89">
        <f>Sheet1!BW339*GPMtoMGD</f>
        <v>0.90633600000000003</v>
      </c>
      <c r="BF341" s="89">
        <f>Sheet1!CN339*GPMtoMGD</f>
        <v>0.45115200000000005</v>
      </c>
      <c r="BG341" s="89">
        <f>Sheet1!CO339*GPMtoMGD</f>
        <v>0.63489600000000002</v>
      </c>
      <c r="BH341" s="89">
        <f>Sheet1!CP339*GPMtoMGD</f>
        <v>0</v>
      </c>
      <c r="BI341" s="89">
        <f t="shared" si="82"/>
        <v>1.9212480000000003</v>
      </c>
      <c r="BK341" s="94">
        <f>SUM(AT341:BA341,AS341,BC341,Calculation!AQ341)</f>
        <v>47.451376334519573</v>
      </c>
      <c r="BM341" s="358">
        <f>0</f>
        <v>0</v>
      </c>
      <c r="BN341" s="358">
        <f>0</f>
        <v>0</v>
      </c>
      <c r="BP341" s="94">
        <f>SUM(BM341:BN341,W341,Sheet1!DX339)</f>
        <v>0</v>
      </c>
      <c r="BR341" s="94">
        <f>Sheet1!AA339</f>
        <v>28.07</v>
      </c>
      <c r="BS341" s="94">
        <f>Sheet1!AB339</f>
        <v>27.99</v>
      </c>
      <c r="BT341" s="94">
        <f t="shared" ca="1" si="73"/>
        <v>1.4193941767881539</v>
      </c>
      <c r="BU341" s="94">
        <f>Sheet1!AT339</f>
        <v>0</v>
      </c>
      <c r="BV341" s="89">
        <f>Sheet1!BB339</f>
        <v>0</v>
      </c>
      <c r="BW341" s="94">
        <f>Calculation!ED341</f>
        <v>11.355373665480426</v>
      </c>
      <c r="BX341" s="94">
        <f>(Sheet1!CS339*1440)/1000000</f>
        <v>0</v>
      </c>
      <c r="CA341" s="94">
        <f ca="1">Sheet1!AC339-Sheet1!BK339-Sheet1!BL339-Sheet1!BM339-Sheet1!BC339-Sheet1!BD339-Sheet1!BE339-Sheet1!BF339-Sheet1!BG339-Sheet1!BH339-Sheet1!BI339+BC341+P341</f>
        <v>46.079394176788156</v>
      </c>
      <c r="CB341" s="93">
        <f t="shared" si="74"/>
        <v>69.158056939501776</v>
      </c>
      <c r="CC341" s="94">
        <f t="shared" si="75"/>
        <v>0</v>
      </c>
      <c r="CD341" s="94">
        <f t="shared" ca="1" si="76"/>
        <v>57.434767842268585</v>
      </c>
      <c r="CE341" s="1077">
        <f t="shared" ca="1" si="77"/>
        <v>88.851585851989498</v>
      </c>
      <c r="CG341" s="1077">
        <f t="shared" ca="1" si="78"/>
        <v>46.079394176788156</v>
      </c>
    </row>
    <row r="342" spans="1:85" s="89" customFormat="1" x14ac:dyDescent="0.25">
      <c r="A342" s="616" t="s">
        <v>4</v>
      </c>
      <c r="B342" s="91">
        <v>43066</v>
      </c>
      <c r="C342" s="92">
        <v>0</v>
      </c>
      <c r="D342" s="94">
        <f>(Sheet1!BQ340-Sheet1!BQ339)*1.385</f>
        <v>0.19390000000000079</v>
      </c>
      <c r="E342" s="30">
        <f>(Sheet1!BR340-Sheet1!BR339)*1.385</f>
        <v>0.22160000000000019</v>
      </c>
      <c r="F342" s="30">
        <f ca="1">IF(B342=TODAY(),0,-(VLOOKUP(Sheet1!CD340,Lookup!$I$4:$J$216,2)-VLOOKUP(Sheet1!CD339,Lookup!$I$4:$J$216,2))/1000000)</f>
        <v>0.10363693854779936</v>
      </c>
      <c r="G342" s="94">
        <f ca="1">IF(B342=TODAY(),0,-$G$6*(Sheet1!CF340-Sheet1!CF339)*7.48/1000000)</f>
        <v>0.43287716147289629</v>
      </c>
      <c r="H342" s="94">
        <f ca="1">IF(B342=TODAY(),0,-$H$6*(Sheet1!CE340-Sheet1!CE339)*7.48/1000000)</f>
        <v>0</v>
      </c>
      <c r="I342" s="94">
        <f ca="1">IF(B342=TODAY(),0,-$I$6*(Sheet1!CG340-Sheet1!CG339)*7.48/1000000)</f>
        <v>8.0864783999999874E-3</v>
      </c>
      <c r="J342" s="95" t="s">
        <v>177</v>
      </c>
      <c r="K342" s="94">
        <f ca="1">IF(B342=TODAY(),0,-$K$6*(Sheet1!CH340-Sheet1!CH339)*7.48/1000000)</f>
        <v>2.3321621310604522E-2</v>
      </c>
      <c r="L342" s="95" t="s">
        <v>177</v>
      </c>
      <c r="M342" s="94">
        <f ca="1">IF(B342=TODAY(),0,-$M$6*(Sheet1!CI340-Sheet1!CI339)*7.48/1000000)</f>
        <v>-3.598301685605397E-2</v>
      </c>
      <c r="N342" s="94">
        <f ca="1">IF(B342=TODAY(),0,-$N$6*(Sheet1!CJ340-Sheet1!CJ339)*7.48/1000000)</f>
        <v>0.24200414703903245</v>
      </c>
      <c r="O342" s="94">
        <f t="shared" ca="1" si="79"/>
        <v>0.77394332991427861</v>
      </c>
      <c r="P342" s="94">
        <f ca="1">O342+Calculation!ES342</f>
        <v>0.3586171572141566</v>
      </c>
      <c r="Q342" s="89" t="str">
        <f>IF(Sheet1!BQ340&gt;25.75,"spill elevation","-")</f>
        <v>-</v>
      </c>
      <c r="R342" s="89" t="str">
        <f>IF(Sheet1!BQ340&gt;25.75,"spill elevation","-")</f>
        <v>-</v>
      </c>
      <c r="S342" s="89" t="str">
        <f>IF(Sheet1!BR340&gt;25.75,"spill elevation","-")</f>
        <v>-</v>
      </c>
      <c r="T342" s="93">
        <f>IF(Sheet1!DU340=1,Sheet1!AA340-(SUM(AT342:BA342)+BE342),Sheet1!AA340-SUM(AT342:BA342))</f>
        <v>26.588352</v>
      </c>
      <c r="U342" s="93">
        <f>Sheet1!BV340</f>
        <v>30.1</v>
      </c>
      <c r="V342" s="93">
        <f t="shared" si="80"/>
        <v>-3.511648000000001</v>
      </c>
      <c r="W342" s="93">
        <f>0</f>
        <v>0</v>
      </c>
      <c r="X342" s="89">
        <f>0</f>
        <v>0</v>
      </c>
      <c r="Y342" s="94">
        <f ca="1">Calculation!EJ343+Calculation!ES342+'Calculations II'!O342-'Calculations II'!W342</f>
        <v>48.499999212710115</v>
      </c>
      <c r="Z342" s="94">
        <f ca="1">Y342-Sheet1!CT341</f>
        <v>33.539999212710114</v>
      </c>
      <c r="AA342" s="94">
        <f ca="1">Y342+Calculation!DJ343+Calculation!AS343</f>
        <v>58.243710828197429</v>
      </c>
      <c r="AC342" s="94">
        <f>Sheet1!AA340+Sheet1!AB340+BC342</f>
        <v>57.4</v>
      </c>
      <c r="AD342" s="94">
        <f>Sheet1!AA340+Sheet1!BN340+'Calculations II'!BC342-Calculation!AS342-Calculation!DJ342</f>
        <v>36.878352941176473</v>
      </c>
      <c r="AE342" s="94">
        <f>Sheet1!AA340+Sheet1!AB340+'Calculations II'!BC342-Calculation!AS342-Calculation!DJ342</f>
        <v>47.048352941176468</v>
      </c>
      <c r="AF342" s="94">
        <f ca="1">Sheet1!AA340+Sheet1!BN340+P342+'Calculations II'!BC342+Calculation!AS342+Calculation!DJ342</f>
        <v>57.94026421603769</v>
      </c>
      <c r="AG342" s="94">
        <f ca="1">IF(B342=TODAY(),0,Sheet1!AA340+Sheet1!BN340+'Calculations II'!BC342+'Calculations II'!P342-Sheet1!CT340-BP342)</f>
        <v>31.91761715721416</v>
      </c>
      <c r="AH342" s="94">
        <f ca="1">IF(B342=TODAY(),0,Sheet1!AA340+Sheet1!BN340+'Calculations II'!BC342+'Calculations II'!P342-BP342)</f>
        <v>47.588617157214159</v>
      </c>
      <c r="AI342" s="94">
        <f ca="1">IF(B342=TODAY(),0,BC342+Sheet1!AA340+Calculation!ES342+O342+W342+Sheet1!BN340+Calculation!AS342+Calculation!DJ342-BP342)</f>
        <v>57.94026421603769</v>
      </c>
      <c r="AJ342" s="94"/>
      <c r="AM342" s="90">
        <f t="shared" si="81"/>
        <v>43066</v>
      </c>
      <c r="AN342" s="94">
        <f>Sheet1!BU340</f>
        <v>25.9</v>
      </c>
      <c r="AO342" s="94">
        <f>Sheet1!AA340</f>
        <v>27.93</v>
      </c>
      <c r="AP342" s="94">
        <f t="shared" si="70"/>
        <v>0.41550000000000098</v>
      </c>
      <c r="AQ342" s="1086">
        <f>((Sheet1!BV340-(Sheet1!BU340-AP342))/(Sheet1!BU340-AP342))</f>
        <v>0.18111008652318095</v>
      </c>
      <c r="AR342" s="94">
        <f t="shared" si="71"/>
        <v>27.514499999999998</v>
      </c>
      <c r="AS342" s="94">
        <f t="shared" si="72"/>
        <v>25.484499999999997</v>
      </c>
      <c r="AT342" s="89">
        <f>Sheet1!BB340</f>
        <v>0</v>
      </c>
      <c r="AU342" s="89">
        <f>Sheet1!AS340*GPMtoMGD</f>
        <v>3.3984000000000007E-2</v>
      </c>
      <c r="AV342" s="94">
        <f>Sheet1!AT340</f>
        <v>0</v>
      </c>
      <c r="AW342" s="89">
        <f>Sheet1!AV340*GPMtoMGD</f>
        <v>0.69494400000000012</v>
      </c>
      <c r="AX342" s="89">
        <f>Sheet1!AW340*GPMtoMGD</f>
        <v>0.61272000000000004</v>
      </c>
      <c r="AY342" s="89">
        <f>Sheet1!AX340*GPMtoMGD</f>
        <v>0</v>
      </c>
      <c r="AZ342" s="89">
        <f>Sheet1!AY340*GPMtoMGD</f>
        <v>0</v>
      </c>
      <c r="BA342" s="89">
        <f>Sheet1!AZ340*GPMtoMGD</f>
        <v>0</v>
      </c>
      <c r="BB342" s="89">
        <f>Sheet1!BP340*GPMtoMGD</f>
        <v>0.27648</v>
      </c>
      <c r="BC342" s="89">
        <f>Sheet1!CS340*GPMtoMGD</f>
        <v>0</v>
      </c>
      <c r="BD342" s="89">
        <f>Sheet1!BO340*GPMtoMGD</f>
        <v>1.24272</v>
      </c>
      <c r="BE342" s="89">
        <f>Sheet1!BW340*GPMtoMGD</f>
        <v>1.08504</v>
      </c>
      <c r="BF342" s="89">
        <f>Sheet1!CN340*GPMtoMGD</f>
        <v>0.31219200000000003</v>
      </c>
      <c r="BG342" s="89">
        <f>Sheet1!CO340*GPMtoMGD</f>
        <v>0.64598400000000011</v>
      </c>
      <c r="BH342" s="89">
        <f>Sheet1!CP340*GPMtoMGD</f>
        <v>0</v>
      </c>
      <c r="BI342" s="89">
        <f t="shared" si="82"/>
        <v>1.5192000000000001</v>
      </c>
      <c r="BK342" s="94">
        <f>SUM(AT342:BA342,AS342,BC342,Calculation!AQ342)</f>
        <v>45.944500941176472</v>
      </c>
      <c r="BM342" s="358">
        <f>0</f>
        <v>0</v>
      </c>
      <c r="BN342" s="358">
        <f>0</f>
        <v>0</v>
      </c>
      <c r="BP342" s="94">
        <f>SUM(BM342:BN342,W342,Sheet1!DX340)</f>
        <v>0</v>
      </c>
      <c r="BR342" s="94">
        <f>Sheet1!AA340</f>
        <v>27.93</v>
      </c>
      <c r="BS342" s="94">
        <f>Sheet1!AB340</f>
        <v>29.47</v>
      </c>
      <c r="BT342" s="94">
        <f t="shared" ca="1" si="73"/>
        <v>0.3586171572141566</v>
      </c>
      <c r="BU342" s="94">
        <f>Sheet1!AT340</f>
        <v>0</v>
      </c>
      <c r="BV342" s="89">
        <f>Sheet1!BB340</f>
        <v>0</v>
      </c>
      <c r="BW342" s="94">
        <f>Calculation!ED342</f>
        <v>10.351647058823529</v>
      </c>
      <c r="BX342" s="94">
        <f>(Sheet1!CS340*1440)/1000000</f>
        <v>0</v>
      </c>
      <c r="CA342" s="94">
        <f ca="1">Sheet1!AC340-Sheet1!BK340-Sheet1!BL340-Sheet1!BM340-Sheet1!BC340-Sheet1!BD340-Sheet1!BE340-Sheet1!BF340-Sheet1!BG340-Sheet1!BH340-Sheet1!BI340+BC342+P342</f>
        <v>47.308617157214158</v>
      </c>
      <c r="CB342" s="93">
        <f t="shared" si="74"/>
        <v>72.783801999999994</v>
      </c>
      <c r="CC342" s="94">
        <f t="shared" si="75"/>
        <v>0</v>
      </c>
      <c r="CD342" s="94">
        <f t="shared" ca="1" si="76"/>
        <v>57.660264216037689</v>
      </c>
      <c r="CE342" s="1077">
        <f t="shared" ca="1" si="77"/>
        <v>89.200428742210306</v>
      </c>
      <c r="CG342" s="1077">
        <f t="shared" ca="1" si="78"/>
        <v>47.308617157214158</v>
      </c>
    </row>
    <row r="343" spans="1:85" s="89" customFormat="1" x14ac:dyDescent="0.25">
      <c r="A343" s="616" t="s">
        <v>5</v>
      </c>
      <c r="B343" s="91">
        <v>43067</v>
      </c>
      <c r="C343" s="92">
        <v>0</v>
      </c>
      <c r="D343" s="94">
        <f>(Sheet1!BQ341-Sheet1!BQ340)*1.385</f>
        <v>1.6758500000000012</v>
      </c>
      <c r="E343" s="30">
        <f>(Sheet1!BR341-Sheet1!BR340)*1.385</f>
        <v>1.5512000000000015</v>
      </c>
      <c r="F343" s="30">
        <f ca="1">IF(B343=TODAY(),0,-(VLOOKUP(Sheet1!CD341,Lookup!$I$4:$J$216,2)-VLOOKUP(Sheet1!CD340,Lookup!$I$4:$J$216,2))/1000000)</f>
        <v>0.10363693854779936</v>
      </c>
      <c r="G343" s="94">
        <f ca="1">IF(B343=TODAY(),0,-$G$6*(Sheet1!CF341-Sheet1!CF340)*7.48/1000000)</f>
        <v>-0.31373665831521813</v>
      </c>
      <c r="H343" s="94">
        <f ca="1">IF(B343=TODAY(),0,-$H$6*(Sheet1!CE341-Sheet1!CE340)*7.48/1000000)</f>
        <v>4.5118297053794748E-2</v>
      </c>
      <c r="I343" s="94">
        <f ca="1">IF(B343=TODAY(),0,-$I$6*(Sheet1!CG341-Sheet1!CG340)*7.48/1000000)</f>
        <v>8.9849760000002086E-4</v>
      </c>
      <c r="J343" s="95" t="s">
        <v>177</v>
      </c>
      <c r="K343" s="94">
        <f ca="1">IF(B343=TODAY(),0,-$K$6*(Sheet1!CH341-Sheet1!CH340)*7.48/1000000)</f>
        <v>-3.3316601872292687E-3</v>
      </c>
      <c r="L343" s="95" t="s">
        <v>177</v>
      </c>
      <c r="M343" s="94">
        <f ca="1">IF(B343=TODAY(),0,-$M$6*(Sheet1!CI341-Sheet1!CI340)*7.48/1000000)</f>
        <v>8.9957542140135238E-2</v>
      </c>
      <c r="N343" s="94">
        <f ca="1">IF(B343=TODAY(),0,-$N$6*(Sheet1!CJ341-Sheet1!CJ340)*7.48/1000000)</f>
        <v>0.41575071414398007</v>
      </c>
      <c r="O343" s="94">
        <f t="shared" ca="1" si="79"/>
        <v>0.33829367098326202</v>
      </c>
      <c r="P343" s="94">
        <f ca="1">O343+Calculation!ES343</f>
        <v>-2.9855716761965718</v>
      </c>
      <c r="Q343" s="89" t="str">
        <f>IF(Sheet1!BQ341&gt;25.75,"spill elevation","-")</f>
        <v>-</v>
      </c>
      <c r="R343" s="89" t="str">
        <f>IF(Sheet1!BQ341&gt;25.75,"spill elevation","-")</f>
        <v>-</v>
      </c>
      <c r="S343" s="89" t="str">
        <f>IF(Sheet1!BR341&gt;25.75,"spill elevation","-")</f>
        <v>-</v>
      </c>
      <c r="T343" s="93">
        <f>IF(Sheet1!DU341=1,Sheet1!AA341-(SUM(AT343:BA343)+BE343),Sheet1!AA341-SUM(AT343:BA343))</f>
        <v>26.563199999999998</v>
      </c>
      <c r="U343" s="93">
        <f>Sheet1!BV341</f>
        <v>27.4</v>
      </c>
      <c r="V343" s="93">
        <f t="shared" si="80"/>
        <v>-0.83680000000000021</v>
      </c>
      <c r="W343" s="93">
        <f>0</f>
        <v>0</v>
      </c>
      <c r="X343" s="89">
        <f>0</f>
        <v>0</v>
      </c>
      <c r="Y343" s="94">
        <f ca="1">Calculation!EJ344+Calculation!ES343+'Calculations II'!O343-'Calculations II'!W343</f>
        <v>45.2118963719969</v>
      </c>
      <c r="Z343" s="94">
        <f ca="1">Y343-Sheet1!CT342</f>
        <v>29.849896371996898</v>
      </c>
      <c r="AA343" s="94">
        <f ca="1">Y343+Calculation!DJ344+Calculation!AS344</f>
        <v>54.862933606039455</v>
      </c>
      <c r="AC343" s="94">
        <f>Sheet1!AA341+Sheet1!AB341+BC343</f>
        <v>57.91</v>
      </c>
      <c r="AD343" s="94">
        <f>Sheet1!AA341+Sheet1!BN341+'Calculations II'!BC343-Calculation!AS343-Calculation!DJ343</f>
        <v>38.456288384512689</v>
      </c>
      <c r="AE343" s="94">
        <f>Sheet1!AA341+Sheet1!AB341+'Calculations II'!BC343-Calculation!AS343-Calculation!DJ343</f>
        <v>48.166288384512683</v>
      </c>
      <c r="AF343" s="94">
        <f ca="1">Sheet1!AA341+Sheet1!BN341+P343+'Calculations II'!BC343+Calculation!AS343+Calculation!DJ343</f>
        <v>54.958139939290746</v>
      </c>
      <c r="AG343" s="94">
        <f ca="1">IF(B343=TODAY(),0,Sheet1!AA341+Sheet1!BN341+'Calculations II'!BC343+'Calculations II'!P343-Sheet1!CT341-BP343)</f>
        <v>30.254428323803431</v>
      </c>
      <c r="AH343" s="94">
        <f ca="1">IF(B343=TODAY(),0,Sheet1!AA341+Sheet1!BN341+'Calculations II'!BC343+'Calculations II'!P343-BP343)</f>
        <v>45.214428323803432</v>
      </c>
      <c r="AI343" s="94">
        <f ca="1">IF(B343=TODAY(),0,BC343+Sheet1!AA341+Calculation!ES343+O343+W343+Sheet1!BN341+Calculation!AS343+Calculation!DJ343-BP343)</f>
        <v>54.958139939290746</v>
      </c>
      <c r="AJ343" s="94"/>
      <c r="AM343" s="90">
        <f t="shared" si="81"/>
        <v>43067</v>
      </c>
      <c r="AN343" s="94">
        <f>Sheet1!BU341</f>
        <v>26.2</v>
      </c>
      <c r="AO343" s="94">
        <f>Sheet1!AA341</f>
        <v>28</v>
      </c>
      <c r="AP343" s="94">
        <f t="shared" si="70"/>
        <v>3.2270500000000029</v>
      </c>
      <c r="AQ343" s="1086">
        <f>((Sheet1!BV341-(Sheet1!BU341-AP343))/(Sheet1!BU341-AP343))</f>
        <v>0.1927070750600163</v>
      </c>
      <c r="AR343" s="94">
        <f t="shared" si="71"/>
        <v>24.772949999999998</v>
      </c>
      <c r="AS343" s="94">
        <f t="shared" si="72"/>
        <v>22.972949999999997</v>
      </c>
      <c r="AT343" s="89">
        <f>Sheet1!BB341</f>
        <v>0</v>
      </c>
      <c r="AU343" s="89">
        <f>Sheet1!AS341*GPMtoMGD</f>
        <v>2.8224000000000003E-2</v>
      </c>
      <c r="AV343" s="94">
        <f>Sheet1!AT341</f>
        <v>0.57999999999999996</v>
      </c>
      <c r="AW343" s="89">
        <f>Sheet1!AV341*GPMtoMGD</f>
        <v>0.49363200000000007</v>
      </c>
      <c r="AX343" s="89">
        <f>Sheet1!AW341*GPMtoMGD</f>
        <v>0.33494400000000002</v>
      </c>
      <c r="AY343" s="89">
        <f>Sheet1!AX341*GPMtoMGD</f>
        <v>0</v>
      </c>
      <c r="AZ343" s="89">
        <f>Sheet1!AY341*GPMtoMGD</f>
        <v>0</v>
      </c>
      <c r="BA343" s="89">
        <f>Sheet1!AZ341*GPMtoMGD</f>
        <v>0</v>
      </c>
      <c r="BB343" s="89">
        <f>Sheet1!BP341*GPMtoMGD</f>
        <v>3.0240000000000002E-3</v>
      </c>
      <c r="BC343" s="89">
        <f>Sheet1!CS341*GPMtoMGD</f>
        <v>0</v>
      </c>
      <c r="BD343" s="89">
        <f>Sheet1!BO341*GPMtoMGD</f>
        <v>1.566864</v>
      </c>
      <c r="BE343" s="89">
        <f>Sheet1!BW341*GPMtoMGD</f>
        <v>0.95860800000000013</v>
      </c>
      <c r="BF343" s="89">
        <f>Sheet1!CN341*GPMtoMGD</f>
        <v>0.29865600000000003</v>
      </c>
      <c r="BG343" s="89">
        <f>Sheet1!CO341*GPMtoMGD</f>
        <v>0.56548799999999999</v>
      </c>
      <c r="BH343" s="89">
        <f>Sheet1!CP341*GPMtoMGD</f>
        <v>0</v>
      </c>
      <c r="BI343" s="89">
        <f t="shared" si="82"/>
        <v>1.569888</v>
      </c>
      <c r="BK343" s="94">
        <f>SUM(AT343:BA343,AS343,BC343,Calculation!AQ343)</f>
        <v>44.576038384512685</v>
      </c>
      <c r="BM343" s="358">
        <f>0</f>
        <v>0</v>
      </c>
      <c r="BN343" s="358">
        <f>0</f>
        <v>0</v>
      </c>
      <c r="BP343" s="94">
        <f>SUM(BM343:BN343,W343,Sheet1!DX341)</f>
        <v>0</v>
      </c>
      <c r="BR343" s="94">
        <f>Sheet1!AA341</f>
        <v>28</v>
      </c>
      <c r="BS343" s="94">
        <f>Sheet1!AB341</f>
        <v>29.91</v>
      </c>
      <c r="BT343" s="94">
        <f t="shared" ca="1" si="73"/>
        <v>-2.9855716761965718</v>
      </c>
      <c r="BU343" s="94">
        <f>Sheet1!AT341</f>
        <v>0.57999999999999996</v>
      </c>
      <c r="BV343" s="89">
        <f>Sheet1!BB341</f>
        <v>0</v>
      </c>
      <c r="BW343" s="94">
        <f>Calculation!ED343</f>
        <v>9.7437116154873156</v>
      </c>
      <c r="BX343" s="94">
        <f>(Sheet1!CS341*1440)/1000000</f>
        <v>0</v>
      </c>
      <c r="CA343" s="94">
        <f ca="1">Sheet1!AC341-Sheet1!BK341-Sheet1!BL341-Sheet1!BM341-Sheet1!BC341-Sheet1!BD341-Sheet1!BE341-Sheet1!BF341-Sheet1!BG341-Sheet1!BH341-Sheet1!BI341+BC343+P343</f>
        <v>45.164428323803435</v>
      </c>
      <c r="CB343" s="93">
        <f t="shared" si="74"/>
        <v>74.51324813084112</v>
      </c>
      <c r="CC343" s="94">
        <f t="shared" si="75"/>
        <v>0.57999999999999996</v>
      </c>
      <c r="CD343" s="94">
        <f t="shared" ca="1" si="76"/>
        <v>54.908139939290749</v>
      </c>
      <c r="CE343" s="1077">
        <f t="shared" ca="1" si="77"/>
        <v>84.942892486082783</v>
      </c>
      <c r="CG343" s="1077">
        <f t="shared" ca="1" si="78"/>
        <v>44.584428323803436</v>
      </c>
    </row>
    <row r="344" spans="1:85" s="89" customFormat="1" x14ac:dyDescent="0.25">
      <c r="A344" s="616" t="s">
        <v>6</v>
      </c>
      <c r="B344" s="91">
        <v>43068</v>
      </c>
      <c r="C344" s="92">
        <v>0</v>
      </c>
      <c r="D344" s="94">
        <f>(Sheet1!BQ342-Sheet1!BQ341)*1.385</f>
        <v>0.24929999999999961</v>
      </c>
      <c r="E344" s="30">
        <f>(Sheet1!BR342-Sheet1!BR341)*1.385</f>
        <v>0.40164999999999884</v>
      </c>
      <c r="F344" s="30">
        <f ca="1">IF(B344=TODAY(),0,-(VLOOKUP(Sheet1!CD342,Lookup!$I$4:$J$216,2)-VLOOKUP(Sheet1!CD341,Lookup!$I$4:$J$216,2))/1000000)</f>
        <v>0.41454775419120493</v>
      </c>
      <c r="G344" s="94">
        <f ca="1">IF(B344=TODAY(),0,-$G$6*(Sheet1!CF342-Sheet1!CF341)*7.48/1000000)</f>
        <v>-0.15885400421023735</v>
      </c>
      <c r="H344" s="94">
        <f ca="1">IF(B344=TODAY(),0,-$H$6*(Sheet1!CE342-Sheet1!CE341)*7.48/1000000)</f>
        <v>-4.5118297053794748E-2</v>
      </c>
      <c r="I344" s="94">
        <f ca="1">IF(B344=TODAY(),0,-$I$6*(Sheet1!CG342-Sheet1!CG341)*7.48/1000000)</f>
        <v>2.6954927999999989E-2</v>
      </c>
      <c r="J344" s="95" t="s">
        <v>177</v>
      </c>
      <c r="K344" s="94">
        <f ca="1">IF(B344=TODAY(),0,-$K$6*(Sheet1!CH342-Sheet1!CH341)*7.48/1000000)</f>
        <v>3.9979922246750635E-2</v>
      </c>
      <c r="L344" s="95" t="s">
        <v>177</v>
      </c>
      <c r="M344" s="94">
        <f ca="1">IF(B344=TODAY(),0,-$M$6*(Sheet1!CI342-Sheet1!CI341)*7.48/1000000)</f>
        <v>0.12594055899618922</v>
      </c>
      <c r="N344" s="94">
        <f ca="1">IF(B344=TODAY(),0,-$N$6*(Sheet1!CJ342-Sheet1!CJ341)*7.48/1000000)</f>
        <v>-6.8257579934085932E-2</v>
      </c>
      <c r="O344" s="94">
        <f t="shared" ca="1" si="79"/>
        <v>0.33519328223602679</v>
      </c>
      <c r="P344" s="94">
        <f ca="1">O344+Calculation!ES344</f>
        <v>-0.35753822926901074</v>
      </c>
      <c r="Q344" s="89" t="str">
        <f>IF(Sheet1!BQ342&gt;25.75,"spill elevation","-")</f>
        <v>-</v>
      </c>
      <c r="R344" s="89" t="str">
        <f>IF(Sheet1!BQ342&gt;25.75,"spill elevation","-")</f>
        <v>-</v>
      </c>
      <c r="S344" s="89" t="str">
        <f>IF(Sheet1!BR342&gt;25.75,"spill elevation","-")</f>
        <v>-</v>
      </c>
      <c r="T344" s="93">
        <f>IF(Sheet1!DU342=1,Sheet1!AA342-(SUM(AT344:BA344)+BE344),Sheet1!AA342-SUM(AT344:BA344))</f>
        <v>25.576688000000001</v>
      </c>
      <c r="U344" s="93">
        <f>Sheet1!BV342</f>
        <v>28.7</v>
      </c>
      <c r="V344" s="93">
        <f t="shared" si="80"/>
        <v>-3.1233119999999985</v>
      </c>
      <c r="W344" s="93">
        <f>0</f>
        <v>0</v>
      </c>
      <c r="X344" s="89">
        <f>0</f>
        <v>0</v>
      </c>
      <c r="Y344" s="94">
        <f ca="1">Calculation!EJ345+Calculation!ES344+'Calculations II'!O344-'Calculations II'!W344</f>
        <v>47.457582687829237</v>
      </c>
      <c r="Z344" s="94">
        <f ca="1">Y344-Sheet1!CT343</f>
        <v>32.866582687829236</v>
      </c>
      <c r="AA344" s="94">
        <f ca="1">Y344+Calculation!DJ345+Calculation!AS345</f>
        <v>56.858332855277325</v>
      </c>
      <c r="AC344" s="94">
        <f>Sheet1!AA342+Sheet1!AB342+BC344</f>
        <v>57.989999999999995</v>
      </c>
      <c r="AD344" s="94">
        <f>Sheet1!AA342+Sheet1!BN342+'Calculations II'!BC344-Calculation!AS344-Calculation!DJ344</f>
        <v>38.748962765957444</v>
      </c>
      <c r="AE344" s="94">
        <f>Sheet1!AA342+Sheet1!AB342+'Calculations II'!BC344-Calculation!AS344-Calculation!DJ344</f>
        <v>48.33896276595744</v>
      </c>
      <c r="AF344" s="94">
        <f ca="1">Sheet1!AA342+Sheet1!BN342+P344+'Calculations II'!BC344+Calculation!AS344+Calculation!DJ344</f>
        <v>57.693499004773543</v>
      </c>
      <c r="AG344" s="94">
        <f ca="1">IF(B344=TODAY(),0,Sheet1!AA342+Sheet1!BN342+'Calculations II'!BC344+'Calculations II'!P344-Sheet1!CT342-BP344)</f>
        <v>32.680461770730986</v>
      </c>
      <c r="AH344" s="94">
        <f ca="1">IF(B344=TODAY(),0,Sheet1!AA342+Sheet1!BN342+'Calculations II'!BC344+'Calculations II'!P344-BP344)</f>
        <v>48.042461770730988</v>
      </c>
      <c r="AI344" s="94">
        <f ca="1">IF(B344=TODAY(),0,BC344+Sheet1!AA342+Calculation!ES344+O344+W344+Sheet1!BN342+Calculation!AS344+Calculation!DJ344-BP344)</f>
        <v>57.693499004773543</v>
      </c>
      <c r="AJ344" s="94"/>
      <c r="AM344" s="90">
        <f t="shared" si="81"/>
        <v>43068</v>
      </c>
      <c r="AN344" s="94">
        <f>Sheet1!BU342</f>
        <v>25.1</v>
      </c>
      <c r="AO344" s="94">
        <f>Sheet1!AA342</f>
        <v>28</v>
      </c>
      <c r="AP344" s="94">
        <f t="shared" si="70"/>
        <v>0.65094999999999847</v>
      </c>
      <c r="AQ344" s="1086">
        <f>((Sheet1!BV342-(Sheet1!BU342-AP344))/(Sheet1!BU342-AP344))</f>
        <v>0.17386974136009356</v>
      </c>
      <c r="AR344" s="94">
        <f t="shared" si="71"/>
        <v>27.349050000000002</v>
      </c>
      <c r="AS344" s="94">
        <f t="shared" si="72"/>
        <v>24.449050000000003</v>
      </c>
      <c r="AT344" s="89">
        <f>Sheet1!BB342</f>
        <v>0</v>
      </c>
      <c r="AU344" s="89">
        <f>Sheet1!AS342*GPMtoMGD</f>
        <v>2.6928000000000001E-2</v>
      </c>
      <c r="AV344" s="94">
        <f>Sheet1!AT342</f>
        <v>0.98</v>
      </c>
      <c r="AW344" s="89">
        <f>Sheet1!AV342*GPMtoMGD</f>
        <v>0.7699680000000001</v>
      </c>
      <c r="AX344" s="89">
        <f>Sheet1!AW342*GPMtoMGD</f>
        <v>0.64641599999999999</v>
      </c>
      <c r="AY344" s="89">
        <f>Sheet1!AX342*GPMtoMGD</f>
        <v>0</v>
      </c>
      <c r="AZ344" s="89">
        <f>Sheet1!AY342*GPMtoMGD</f>
        <v>0</v>
      </c>
      <c r="BA344" s="89">
        <f>Sheet1!AZ342*GPMtoMGD</f>
        <v>0</v>
      </c>
      <c r="BB344" s="89">
        <f>Sheet1!BP342*GPMtoMGD</f>
        <v>3.0240000000000002E-3</v>
      </c>
      <c r="BC344" s="89">
        <f>Sheet1!CS342*GPMtoMGD</f>
        <v>0</v>
      </c>
      <c r="BD344" s="89">
        <f>Sheet1!BO342*GPMtoMGD</f>
        <v>1.4300640000000002</v>
      </c>
      <c r="BE344" s="89">
        <f>Sheet1!BW342*GPMtoMGD</f>
        <v>0.95227200000000001</v>
      </c>
      <c r="BF344" s="89">
        <f>Sheet1!CN342*GPMtoMGD</f>
        <v>0.29160000000000003</v>
      </c>
      <c r="BG344" s="89">
        <f>Sheet1!CO342*GPMtoMGD</f>
        <v>0.57974400000000004</v>
      </c>
      <c r="BH344" s="89">
        <f>Sheet1!CP342*GPMtoMGD</f>
        <v>0</v>
      </c>
      <c r="BI344" s="89">
        <f t="shared" si="82"/>
        <v>1.4330880000000001</v>
      </c>
      <c r="BK344" s="94">
        <f>SUM(AT344:BA344,AS344,BC344,Calculation!AQ344)</f>
        <v>47.21132476595745</v>
      </c>
      <c r="BM344" s="358">
        <f>0</f>
        <v>0</v>
      </c>
      <c r="BN344" s="358">
        <f>0</f>
        <v>0</v>
      </c>
      <c r="BP344" s="94">
        <f>SUM(BM344:BN344,W344,Sheet1!DX342)</f>
        <v>0</v>
      </c>
      <c r="BR344" s="94">
        <f>Sheet1!AA342</f>
        <v>28</v>
      </c>
      <c r="BS344" s="94">
        <f>Sheet1!AB342</f>
        <v>29.99</v>
      </c>
      <c r="BT344" s="94">
        <f t="shared" ca="1" si="73"/>
        <v>-0.35753822926901074</v>
      </c>
      <c r="BU344" s="94">
        <f>Sheet1!AT342</f>
        <v>0.98</v>
      </c>
      <c r="BV344" s="89">
        <f>Sheet1!BB342</f>
        <v>0</v>
      </c>
      <c r="BW344" s="94">
        <f>Calculation!ED344</f>
        <v>9.6510372340425548</v>
      </c>
      <c r="BX344" s="94">
        <f>(Sheet1!CS342*1440)/1000000</f>
        <v>0</v>
      </c>
      <c r="CA344" s="94">
        <f ca="1">Sheet1!AC342-Sheet1!BK342-Sheet1!BL342-Sheet1!BM342-Sheet1!BC342-Sheet1!BD342-Sheet1!BE342-Sheet1!BF342-Sheet1!BG342-Sheet1!BH342-Sheet1!BI342+BC344+P344</f>
        <v>47.952461770730984</v>
      </c>
      <c r="CB344" s="93">
        <f t="shared" si="74"/>
        <v>74.780375398936158</v>
      </c>
      <c r="CC344" s="94">
        <f t="shared" si="75"/>
        <v>0.98</v>
      </c>
      <c r="CD344" s="94">
        <f t="shared" ca="1" si="76"/>
        <v>57.603499004773539</v>
      </c>
      <c r="CE344" s="1077">
        <f t="shared" ca="1" si="77"/>
        <v>89.112612960384666</v>
      </c>
      <c r="CG344" s="1077">
        <f t="shared" ca="1" si="78"/>
        <v>46.972461770730987</v>
      </c>
    </row>
    <row r="345" spans="1:85" s="89" customFormat="1" x14ac:dyDescent="0.25">
      <c r="A345" s="616" t="s">
        <v>7</v>
      </c>
      <c r="B345" s="91">
        <v>43069</v>
      </c>
      <c r="C345" s="92">
        <v>0</v>
      </c>
      <c r="D345" s="94">
        <f>(Sheet1!BQ343-Sheet1!BQ342)*1.385</f>
        <v>1.3296000000000012</v>
      </c>
      <c r="E345" s="30">
        <f>(Sheet1!BR343-Sheet1!BR342)*1.385</f>
        <v>1.3019000000000018</v>
      </c>
      <c r="F345" s="30">
        <f ca="1">IF(B345=TODAY(),0,-(VLOOKUP(Sheet1!CD343,Lookup!$I$4:$J$216,2)-VLOOKUP(Sheet1!CD342,Lookup!$I$4:$J$216,2))/1000000)</f>
        <v>-0.51818469273900425</v>
      </c>
      <c r="G345" s="94">
        <f ca="1">IF(B345=TODAY(),0,-$G$6*(Sheet1!CF343-Sheet1!CF342)*7.48/1000000)</f>
        <v>0.3574215094730338</v>
      </c>
      <c r="H345" s="94">
        <f ca="1">IF(B345=TODAY(),0,-$H$6*(Sheet1!CE343-Sheet1!CE342)*7.48/1000000)</f>
        <v>-1.5039432351265274E-2</v>
      </c>
      <c r="I345" s="94">
        <f ca="1">IF(B345=TODAY(),0,-$I$6*(Sheet1!CG343-Sheet1!CG342)*7.48/1000000)</f>
        <v>3.1447416000000006E-2</v>
      </c>
      <c r="J345" s="95" t="s">
        <v>177</v>
      </c>
      <c r="K345" s="94">
        <f ca="1">IF(B345=TODAY(),0,-$K$6*(Sheet1!CH343-Sheet1!CH342)*7.48/1000000)</f>
        <v>5.3306562995667592E-2</v>
      </c>
      <c r="L345" s="95" t="s">
        <v>177</v>
      </c>
      <c r="M345" s="94">
        <f ca="1">IF(B345=TODAY(),0,-$M$6*(Sheet1!CI343-Sheet1!CI342)*7.48/1000000)</f>
        <v>0.12594055899618922</v>
      </c>
      <c r="N345" s="94">
        <f ca="1">IF(B345=TODAY(),0,-$N$6*(Sheet1!CJ343-Sheet1!CJ342)*7.48/1000000)</f>
        <v>-0.36610883782828091</v>
      </c>
      <c r="O345" s="94">
        <f t="shared" ca="1" si="79"/>
        <v>-0.33121691545365983</v>
      </c>
      <c r="P345" s="94">
        <f ca="1">O345+Calculation!ES345</f>
        <v>-2.8256157348820814</v>
      </c>
      <c r="Q345" s="89" t="str">
        <f>IF(Sheet1!BQ343&gt;25.75,"spill elevation","-")</f>
        <v>-</v>
      </c>
      <c r="R345" s="89" t="str">
        <f>IF(Sheet1!BQ343&gt;25.75,"spill elevation","-")</f>
        <v>-</v>
      </c>
      <c r="S345" s="89" t="str">
        <f>IF(Sheet1!BR343&gt;25.75,"spill elevation","-")</f>
        <v>-</v>
      </c>
      <c r="T345" s="93">
        <f>IF(Sheet1!DU343=1,Sheet1!AA343-(SUM(AT345:BA345)+BE345),Sheet1!AA343-SUM(AT345:BA345))</f>
        <v>26.742912</v>
      </c>
      <c r="U345" s="93">
        <f>Sheet1!BV343</f>
        <v>28</v>
      </c>
      <c r="V345" s="93">
        <f t="shared" si="80"/>
        <v>-1.2570879999999995</v>
      </c>
      <c r="W345" s="93">
        <f>0</f>
        <v>0</v>
      </c>
      <c r="X345" s="89">
        <f>0</f>
        <v>0</v>
      </c>
      <c r="Y345" s="94">
        <f ca="1">Calculation!EJ346+Calculation!ES345+'Calculations II'!O345-'Calculations II'!W345</f>
        <v>43.869558665845474</v>
      </c>
      <c r="Z345" s="94">
        <f ca="1">Y345-Sheet1!CT344</f>
        <v>29.083558665845473</v>
      </c>
      <c r="AA345" s="94">
        <f ca="1">Y345+Calculation!DJ346+Calculation!AS346</f>
        <v>54.394734474565588</v>
      </c>
      <c r="AC345" s="94">
        <f>Sheet1!AA343+Sheet1!AB343+BC345</f>
        <v>57.989999999999995</v>
      </c>
      <c r="AD345" s="94">
        <f>Sheet1!AA343+Sheet1!BN343+'Calculations II'!BC345-Calculation!AS345-Calculation!DJ345</f>
        <v>39.099249832551905</v>
      </c>
      <c r="AE345" s="94">
        <f>Sheet1!AA343+Sheet1!AB343+'Calculations II'!BC345-Calculation!AS345-Calculation!DJ345</f>
        <v>48.5892498325519</v>
      </c>
      <c r="AF345" s="94">
        <f ca="1">Sheet1!AA343+Sheet1!BN343+P345+'Calculations II'!BC345+Calculation!AS345+Calculation!DJ345</f>
        <v>55.075134432566017</v>
      </c>
      <c r="AG345" s="94">
        <f ca="1">IF(B345=TODAY(),0,Sheet1!AA343+Sheet1!BN343+'Calculations II'!BC345+'Calculations II'!P345-Sheet1!CT343-BP345)</f>
        <v>31.083384265117921</v>
      </c>
      <c r="AH345" s="94">
        <f ca="1">IF(B345=TODAY(),0,Sheet1!AA343+Sheet1!BN343+'Calculations II'!BC345+'Calculations II'!P345-BP345)</f>
        <v>45.674384265117922</v>
      </c>
      <c r="AI345" s="94">
        <f ca="1">IF(B345=TODAY(),0,BC345+Sheet1!AA343+Calculation!ES345+O345+W345+Sheet1!BN343+Calculation!AS345+Calculation!DJ345-BP345)</f>
        <v>55.075134432566017</v>
      </c>
      <c r="AJ345" s="94"/>
      <c r="AM345" s="90">
        <f t="shared" si="81"/>
        <v>43069</v>
      </c>
      <c r="AN345" s="94">
        <f>Sheet1!BU343</f>
        <v>26.3</v>
      </c>
      <c r="AO345" s="94">
        <f>Sheet1!AA343</f>
        <v>28</v>
      </c>
      <c r="AP345" s="94">
        <f t="shared" si="70"/>
        <v>2.6315000000000031</v>
      </c>
      <c r="AQ345" s="1086">
        <f>((Sheet1!BV343-(Sheet1!BU343-AP345))/(Sheet1!BU343-AP345))</f>
        <v>0.18300695016583232</v>
      </c>
      <c r="AR345" s="94">
        <f t="shared" si="71"/>
        <v>25.368499999999997</v>
      </c>
      <c r="AS345" s="94">
        <f t="shared" si="72"/>
        <v>23.668499999999998</v>
      </c>
      <c r="AT345" s="89">
        <f>Sheet1!BB343</f>
        <v>0</v>
      </c>
      <c r="AU345" s="89">
        <f>Sheet1!AS343*GPMtoMGD</f>
        <v>3.0240000000000003E-2</v>
      </c>
      <c r="AV345" s="94">
        <f>Sheet1!AT343</f>
        <v>0.4</v>
      </c>
      <c r="AW345" s="89">
        <f>Sheet1!AV343*GPMtoMGD</f>
        <v>0.51825600000000005</v>
      </c>
      <c r="AX345" s="89">
        <f>Sheet1!AW343*GPMtoMGD</f>
        <v>0.30859200000000003</v>
      </c>
      <c r="AY345" s="89">
        <f>Sheet1!AX343*GPMtoMGD</f>
        <v>0</v>
      </c>
      <c r="AZ345" s="89">
        <f>Sheet1!AY343*GPMtoMGD</f>
        <v>0</v>
      </c>
      <c r="BA345" s="89">
        <f>Sheet1!AZ343*GPMtoMGD</f>
        <v>0</v>
      </c>
      <c r="BB345" s="89">
        <f>Sheet1!BP343*GPMtoMGD</f>
        <v>3.0240000000000002E-3</v>
      </c>
      <c r="BC345" s="89">
        <f>Sheet1!CS343*GPMtoMGD</f>
        <v>0</v>
      </c>
      <c r="BD345" s="89">
        <f>Sheet1!BO343*GPMtoMGD</f>
        <v>2.503152</v>
      </c>
      <c r="BE345" s="89">
        <f>Sheet1!BW343*GPMtoMGD</f>
        <v>1.0569600000000001</v>
      </c>
      <c r="BF345" s="89">
        <f>Sheet1!CN343*GPMtoMGD</f>
        <v>0.29995200000000005</v>
      </c>
      <c r="BG345" s="89">
        <f>Sheet1!CO343*GPMtoMGD</f>
        <v>0.57600000000000007</v>
      </c>
      <c r="BH345" s="89">
        <f>Sheet1!CP343*GPMtoMGD</f>
        <v>0</v>
      </c>
      <c r="BI345" s="89">
        <f t="shared" si="82"/>
        <v>2.506176</v>
      </c>
      <c r="BK345" s="94">
        <f>SUM(AT345:BA345,AS345,BC345,Calculation!AQ345)</f>
        <v>45.514837832551905</v>
      </c>
      <c r="BM345" s="358">
        <f>0</f>
        <v>0</v>
      </c>
      <c r="BN345" s="358">
        <f>0</f>
        <v>0</v>
      </c>
      <c r="BP345" s="94">
        <f>SUM(BM345:BN345,W345,Sheet1!DX343)</f>
        <v>0</v>
      </c>
      <c r="BR345" s="94">
        <f>Sheet1!AA343</f>
        <v>28</v>
      </c>
      <c r="BS345" s="94">
        <f>Sheet1!AB343</f>
        <v>29.99</v>
      </c>
      <c r="BT345" s="94">
        <f t="shared" ca="1" si="73"/>
        <v>-2.8256157348820814</v>
      </c>
      <c r="BU345" s="94">
        <f>Sheet1!AT343</f>
        <v>0.4</v>
      </c>
      <c r="BV345" s="89">
        <f>Sheet1!BB343</f>
        <v>0</v>
      </c>
      <c r="BW345" s="94">
        <f>Calculation!ED345</f>
        <v>9.4007501674480913</v>
      </c>
      <c r="BX345" s="94">
        <f>(Sheet1!CS343*1440)/1000000</f>
        <v>0</v>
      </c>
      <c r="CA345" s="94">
        <f ca="1">Sheet1!AC343-Sheet1!BK343-Sheet1!BL343-Sheet1!BM343-Sheet1!BC343-Sheet1!BD343-Sheet1!BE343-Sheet1!BF343-Sheet1!BG343-Sheet1!BH343-Sheet1!BI343+BC345+P345</f>
        <v>45.804384265117918</v>
      </c>
      <c r="CB345" s="93">
        <f t="shared" si="74"/>
        <v>75.167569490957789</v>
      </c>
      <c r="CC345" s="94">
        <f t="shared" si="75"/>
        <v>0.4</v>
      </c>
      <c r="CD345" s="94">
        <f t="shared" ca="1" si="76"/>
        <v>55.205134432566012</v>
      </c>
      <c r="CE345" s="1077">
        <f t="shared" ca="1" si="77"/>
        <v>85.402342967179621</v>
      </c>
      <c r="CG345" s="1077">
        <f t="shared" ca="1" si="78"/>
        <v>45.404384265117919</v>
      </c>
    </row>
    <row r="346" spans="1:85" s="89" customFormat="1" x14ac:dyDescent="0.25">
      <c r="A346" s="616" t="s">
        <v>8</v>
      </c>
      <c r="B346" s="91">
        <v>43070</v>
      </c>
      <c r="C346" s="92">
        <v>0</v>
      </c>
      <c r="D346" s="94">
        <f>(Sheet1!BQ344-Sheet1!BQ343)*1.385</f>
        <v>1.5511999999999964</v>
      </c>
      <c r="E346" s="30">
        <f>(Sheet1!BR344-Sheet1!BR343)*1.385</f>
        <v>1.5789000000000009</v>
      </c>
      <c r="F346" s="30">
        <f ca="1">IF(B346=TODAY(),0,-(VLOOKUP(Sheet1!CD344,Lookup!$I$4:$J$216,2)-VLOOKUP(Sheet1!CD343,Lookup!$I$4:$J$216,2))/1000000)</f>
        <v>0.51818469273900425</v>
      </c>
      <c r="G346" s="94">
        <f ca="1">IF(B346=TODAY(),0,-$G$6*(Sheet1!CF344-Sheet1!CF343)*7.48/1000000)</f>
        <v>0.39713501052559297</v>
      </c>
      <c r="H346" s="94">
        <f ca="1">IF(B346=TODAY(),0,-$H$6*(Sheet1!CE344-Sheet1!CE343)*7.48/1000000)</f>
        <v>0</v>
      </c>
      <c r="I346" s="94">
        <f ca="1">IF(B346=TODAY(),0,-$I$6*(Sheet1!CG344-Sheet1!CG343)*7.48/1000000)</f>
        <v>1.3477463999999995E-2</v>
      </c>
      <c r="J346" s="95" t="s">
        <v>177</v>
      </c>
      <c r="K346" s="94">
        <f ca="1">IF(B346=TODAY(),0,-$K$6*(Sheet1!CH344-Sheet1!CH343)*7.48/1000000)</f>
        <v>2.6653281497833796E-2</v>
      </c>
      <c r="L346" s="95" t="s">
        <v>177</v>
      </c>
      <c r="M346" s="94">
        <f ca="1">IF(B346=TODAY(),0,-$M$6*(Sheet1!CI344-Sheet1!CI343)*7.48/1000000)</f>
        <v>7.196603371210826E-2</v>
      </c>
      <c r="N346" s="94">
        <f ca="1">IF(B346=TODAY(),0,-$N$6*(Sheet1!CJ344-Sheet1!CJ343)*7.48/1000000)</f>
        <v>0.31026172697311949</v>
      </c>
      <c r="O346" s="94">
        <f t="shared" ca="1" si="79"/>
        <v>1.3376782094476587</v>
      </c>
      <c r="P346" s="94">
        <f ca="1">O346+Calculation!ES346</f>
        <v>-1.7124419162251474</v>
      </c>
      <c r="Q346" s="89" t="str">
        <f>IF(Sheet1!BQ344&gt;25.75,"spill elevation","-")</f>
        <v>-</v>
      </c>
      <c r="R346" s="89" t="str">
        <f>IF(Sheet1!BQ344&gt;25.75,"spill elevation","-")</f>
        <v>-</v>
      </c>
      <c r="S346" s="89" t="str">
        <f>IF(Sheet1!BR344&gt;25.75,"spill elevation","-")</f>
        <v>-</v>
      </c>
      <c r="T346" s="93">
        <f>IF(Sheet1!DU344=1,Sheet1!AA344-(SUM(AT346:BA346)+BE346),Sheet1!AA344-SUM(AT346:BA346))</f>
        <v>26.817328</v>
      </c>
      <c r="U346" s="93">
        <f>Sheet1!BV344</f>
        <v>27.6</v>
      </c>
      <c r="V346" s="93">
        <f t="shared" si="80"/>
        <v>-0.78267200000000159</v>
      </c>
      <c r="W346" s="93">
        <f>0</f>
        <v>0</v>
      </c>
      <c r="X346" s="89">
        <f>0</f>
        <v>0</v>
      </c>
      <c r="Y346" s="94">
        <f ca="1">Calculation!EJ347+Calculation!ES346+'Calculations II'!O346-'Calculations II'!W346</f>
        <v>40.575881106023189</v>
      </c>
      <c r="Z346" s="94">
        <f ca="1">Y346-Sheet1!CT345</f>
        <v>24.562881106023188</v>
      </c>
      <c r="AA346" s="94">
        <f ca="1">Y346+Calculation!DJ347+Calculation!AS347</f>
        <v>51.076665886046975</v>
      </c>
      <c r="AC346" s="94">
        <f>Sheet1!AA344+Sheet1!AB344+BC346</f>
        <v>56.4</v>
      </c>
      <c r="AD346" s="94">
        <f>Sheet1!AA344+Sheet1!BN344+'Calculations II'!BC346-Calculation!AS346-Calculation!DJ346</f>
        <v>35.374824191279885</v>
      </c>
      <c r="AE346" s="94">
        <f>Sheet1!AA344+Sheet1!AB344+'Calculations II'!BC346-Calculation!AS346-Calculation!DJ346</f>
        <v>45.874824191279885</v>
      </c>
      <c r="AF346" s="94">
        <f ca="1">Sheet1!AA344+Sheet1!BN344+P346+'Calculations II'!BC346+Calculation!AS346+Calculation!DJ346</f>
        <v>54.712733892494967</v>
      </c>
      <c r="AG346" s="94">
        <f ca="1">IF(B346=TODAY(),0,Sheet1!AA344+Sheet1!BN344+'Calculations II'!BC346+'Calculations II'!P346-Sheet1!CT344-BP346)</f>
        <v>29.401558083774852</v>
      </c>
      <c r="AH346" s="94">
        <f ca="1">IF(B346=TODAY(),0,Sheet1!AA344+Sheet1!BN344+'Calculations II'!BC346+'Calculations II'!P346-BP346)</f>
        <v>44.187558083774853</v>
      </c>
      <c r="AI346" s="94">
        <f ca="1">IF(B346=TODAY(),0,BC346+Sheet1!AA344+Calculation!ES346+O346+W346+Sheet1!BN344+Calculation!AS346+Calculation!DJ346-BP346)</f>
        <v>54.712733892494967</v>
      </c>
      <c r="AJ346" s="94"/>
      <c r="AM346" s="90">
        <f t="shared" si="81"/>
        <v>43070</v>
      </c>
      <c r="AN346" s="94">
        <f>Sheet1!BU344</f>
        <v>26.3</v>
      </c>
      <c r="AO346" s="94">
        <f>Sheet1!AA344</f>
        <v>28</v>
      </c>
      <c r="AP346" s="94">
        <f t="shared" si="70"/>
        <v>3.130099999999997</v>
      </c>
      <c r="AQ346" s="1086">
        <f>((Sheet1!BV344-(Sheet1!BU344-AP346))/(Sheet1!BU344-AP346))</f>
        <v>0.19120065257079205</v>
      </c>
      <c r="AR346" s="94">
        <f t="shared" si="71"/>
        <v>24.869900000000001</v>
      </c>
      <c r="AS346" s="94">
        <f t="shared" si="72"/>
        <v>23.169900000000005</v>
      </c>
      <c r="AT346" s="89">
        <f>Sheet1!BB344</f>
        <v>0</v>
      </c>
      <c r="AU346" s="89">
        <f>Sheet1!AS344*GPMtoMGD</f>
        <v>2.8944000000000004E-2</v>
      </c>
      <c r="AV346" s="94">
        <f>Sheet1!AT344</f>
        <v>0</v>
      </c>
      <c r="AW346" s="89">
        <f>Sheet1!AV344*GPMtoMGD</f>
        <v>0.69825599999999999</v>
      </c>
      <c r="AX346" s="89">
        <f>Sheet1!AW344*GPMtoMGD</f>
        <v>0.45547200000000004</v>
      </c>
      <c r="AY346" s="89">
        <f>Sheet1!AX344*GPMtoMGD</f>
        <v>0</v>
      </c>
      <c r="AZ346" s="89">
        <f>Sheet1!AY344*GPMtoMGD</f>
        <v>0</v>
      </c>
      <c r="BA346" s="89">
        <f>Sheet1!AZ344*GPMtoMGD</f>
        <v>0</v>
      </c>
      <c r="BB346" s="89">
        <f>Sheet1!BP344*GPMtoMGD</f>
        <v>3.0240000000000002E-3</v>
      </c>
      <c r="BC346" s="89">
        <f>Sheet1!CS344*GPMtoMGD</f>
        <v>0</v>
      </c>
      <c r="BD346" s="89">
        <f>Sheet1!BO344*GPMtoMGD</f>
        <v>1.512432</v>
      </c>
      <c r="BE346" s="89">
        <f>Sheet1!BW344*GPMtoMGD</f>
        <v>0.82497600000000004</v>
      </c>
      <c r="BF346" s="89">
        <f>Sheet1!CN344*GPMtoMGD</f>
        <v>0.287136</v>
      </c>
      <c r="BG346" s="89">
        <f>Sheet1!CO344*GPMtoMGD</f>
        <v>0.62136000000000002</v>
      </c>
      <c r="BH346" s="89">
        <f>Sheet1!CP344*GPMtoMGD</f>
        <v>0</v>
      </c>
      <c r="BI346" s="89">
        <f t="shared" si="82"/>
        <v>1.5154559999999999</v>
      </c>
      <c r="BK346" s="94">
        <f>SUM(AT346:BA346,AS346,BC346,Calculation!AQ346)</f>
        <v>42.227396191279894</v>
      </c>
      <c r="BM346" s="358">
        <f>0</f>
        <v>0</v>
      </c>
      <c r="BN346" s="358">
        <f>0</f>
        <v>0</v>
      </c>
      <c r="BP346" s="94">
        <f>SUM(BM346:BN346,W346,Sheet1!DX344)</f>
        <v>0</v>
      </c>
      <c r="BR346" s="94">
        <f>Sheet1!AA344</f>
        <v>28</v>
      </c>
      <c r="BS346" s="94">
        <f>Sheet1!AB344</f>
        <v>28.4</v>
      </c>
      <c r="BT346" s="94">
        <f t="shared" ca="1" si="73"/>
        <v>-1.7124419162251474</v>
      </c>
      <c r="BU346" s="94">
        <f>Sheet1!AT344</f>
        <v>0</v>
      </c>
      <c r="BV346" s="89">
        <f>Sheet1!BB344</f>
        <v>0</v>
      </c>
      <c r="BW346" s="94">
        <f>Calculation!ED346</f>
        <v>10.525175808720114</v>
      </c>
      <c r="BX346" s="94">
        <f>(Sheet1!CS344*1440)/1000000</f>
        <v>0</v>
      </c>
      <c r="CA346" s="94">
        <f ca="1">Sheet1!AC344-Sheet1!BK344-Sheet1!BL344-Sheet1!BM344-Sheet1!BC344-Sheet1!BD344-Sheet1!BE344-Sheet1!BF344-Sheet1!BG344-Sheet1!BH344-Sheet1!BI344+BC346+P346</f>
        <v>44.147558083774847</v>
      </c>
      <c r="CB346" s="93">
        <f t="shared" si="74"/>
        <v>70.968353023909984</v>
      </c>
      <c r="CC346" s="94">
        <f t="shared" si="75"/>
        <v>0</v>
      </c>
      <c r="CD346" s="94">
        <f t="shared" ca="1" si="76"/>
        <v>54.672733892494961</v>
      </c>
      <c r="CE346" s="1077">
        <f t="shared" ca="1" si="77"/>
        <v>84.578719331689697</v>
      </c>
      <c r="CG346" s="1077">
        <f t="shared" ca="1" si="78"/>
        <v>44.147558083774847</v>
      </c>
    </row>
    <row r="347" spans="1:85" s="89" customFormat="1" x14ac:dyDescent="0.25">
      <c r="A347" s="616" t="s">
        <v>9</v>
      </c>
      <c r="B347" s="91">
        <v>43071</v>
      </c>
      <c r="C347" s="92">
        <v>0</v>
      </c>
      <c r="D347" s="94">
        <f>(Sheet1!BQ345-Sheet1!BQ344)*1.385</f>
        <v>-0.98335000000000117</v>
      </c>
      <c r="E347" s="30">
        <f>(Sheet1!BR345-Sheet1!BR344)*1.385</f>
        <v>-1.0526000000000022</v>
      </c>
      <c r="F347" s="30">
        <f ca="1">IF(B347=TODAY(),0,-(VLOOKUP(Sheet1!CD345,Lookup!$I$4:$J$216,2)-VLOOKUP(Sheet1!CD344,Lookup!$I$4:$J$216,2))/1000000)</f>
        <v>1.0363693854779992</v>
      </c>
      <c r="G347" s="94">
        <f ca="1">IF(B347=TODAY(),0,-$G$6*(Sheet1!CF345-Sheet1!CF344)*7.48/1000000)</f>
        <v>-0.87369702315630493</v>
      </c>
      <c r="H347" s="94">
        <f ca="1">IF(B347=TODAY(),0,-$H$6*(Sheet1!CE345-Sheet1!CE344)*7.48/1000000)</f>
        <v>1.5039432351265274E-2</v>
      </c>
      <c r="I347" s="94">
        <f ca="1">IF(B347=TODAY(),0,-$I$6*(Sheet1!CG345-Sheet1!CG344)*7.48/1000000)</f>
        <v>-4.0432391999999977E-2</v>
      </c>
      <c r="J347" s="95" t="s">
        <v>177</v>
      </c>
      <c r="K347" s="94">
        <f ca="1">IF(B347=TODAY(),0,-$K$6*(Sheet1!CH345-Sheet1!CH344)*7.48/1000000)</f>
        <v>-6.6633203744584424E-2</v>
      </c>
      <c r="L347" s="95" t="s">
        <v>177</v>
      </c>
      <c r="M347" s="94">
        <f ca="1">IF(B347=TODAY(),0,-$M$6*(Sheet1!CI345-Sheet1!CI344)*7.48/1000000)</f>
        <v>-0.19790659270829747</v>
      </c>
      <c r="N347" s="94">
        <f ca="1">IF(B347=TODAY(),0,-$N$6*(Sheet1!CJ345-Sheet1!CJ344)*7.48/1000000)</f>
        <v>0.322672196052044</v>
      </c>
      <c r="O347" s="94">
        <f t="shared" ca="1" si="79"/>
        <v>0.19541180227212165</v>
      </c>
      <c r="P347" s="94">
        <f ca="1">O347+Calculation!ES347</f>
        <v>2.1365768674947576</v>
      </c>
      <c r="Q347" s="89" t="str">
        <f>IF(Sheet1!BQ345&gt;25.75,"spill elevation","-")</f>
        <v>-</v>
      </c>
      <c r="R347" s="89" t="str">
        <f>IF(Sheet1!BQ345&gt;25.75,"spill elevation","-")</f>
        <v>-</v>
      </c>
      <c r="S347" s="89" t="str">
        <f>IF(Sheet1!BR345&gt;25.75,"spill elevation","-")</f>
        <v>-</v>
      </c>
      <c r="T347" s="93">
        <f>IF(Sheet1!DU345=1,Sheet1!AA345-(SUM(AT347:BA347)+BE347),Sheet1!AA345-SUM(AT347:BA347))</f>
        <v>27.166304</v>
      </c>
      <c r="U347" s="93">
        <f>Sheet1!BV345</f>
        <v>33.799999999999997</v>
      </c>
      <c r="V347" s="93">
        <f t="shared" si="80"/>
        <v>-6.6336959999999969</v>
      </c>
      <c r="W347" s="93">
        <f>0</f>
        <v>0</v>
      </c>
      <c r="X347" s="89">
        <f>0</f>
        <v>0</v>
      </c>
      <c r="Y347" s="94">
        <f ca="1">Calculation!EJ348+Calculation!ES347+'Calculations II'!O347-'Calculations II'!W347</f>
        <v>43.561228342524359</v>
      </c>
      <c r="Z347" s="94">
        <f ca="1">Y347-Sheet1!CT346</f>
        <v>26.857228342524358</v>
      </c>
      <c r="AA347" s="94">
        <f ca="1">Y347+Calculation!DJ348+Calculation!AS348</f>
        <v>54.007932075645883</v>
      </c>
      <c r="AC347" s="94">
        <f>Sheet1!AA345+Sheet1!AB345+BC347</f>
        <v>53.260000000000005</v>
      </c>
      <c r="AD347" s="94">
        <f>Sheet1!AA345+Sheet1!BN345+'Calculations II'!BC347-Calculation!AS347-Calculation!DJ347</f>
        <v>32.299215219976212</v>
      </c>
      <c r="AE347" s="94">
        <f>Sheet1!AA345+Sheet1!AB345+'Calculations II'!BC347-Calculation!AS347-Calculation!DJ347</f>
        <v>42.75921521997622</v>
      </c>
      <c r="AF347" s="94">
        <f ca="1">Sheet1!AA345+Sheet1!BN345+P347+'Calculations II'!BC347+Calculation!AS347+Calculation!DJ347</f>
        <v>55.437361647518543</v>
      </c>
      <c r="AG347" s="94">
        <f ca="1">IF(B347=TODAY(),0,Sheet1!AA345+Sheet1!BN345+'Calculations II'!BC347+'Calculations II'!P347-Sheet1!CT345-BP347)</f>
        <v>28.923576867494756</v>
      </c>
      <c r="AH347" s="94">
        <f ca="1">IF(B347=TODAY(),0,Sheet1!AA345+Sheet1!BN345+'Calculations II'!BC347+'Calculations II'!P347-BP347)</f>
        <v>44.936576867494757</v>
      </c>
      <c r="AI347" s="94">
        <f ca="1">IF(B347=TODAY(),0,BC347+Sheet1!AA345+Calculation!ES347+O347+W347+Sheet1!BN345+Calculation!AS347+Calculation!DJ347-BP347)</f>
        <v>55.437361647518543</v>
      </c>
      <c r="AJ347" s="94"/>
      <c r="AM347" s="90">
        <f t="shared" si="81"/>
        <v>43071</v>
      </c>
      <c r="AN347" s="94">
        <f>Sheet1!BU345</f>
        <v>26.5</v>
      </c>
      <c r="AO347" s="94">
        <f>Sheet1!AA345</f>
        <v>28.1</v>
      </c>
      <c r="AP347" s="94">
        <f t="shared" si="70"/>
        <v>-2.0359500000000033</v>
      </c>
      <c r="AQ347" s="1086">
        <f>((Sheet1!BV345-(Sheet1!BU345-AP347))/(Sheet1!BU345-AP347))</f>
        <v>0.1844708166365582</v>
      </c>
      <c r="AR347" s="94">
        <f t="shared" si="71"/>
        <v>30.135950000000005</v>
      </c>
      <c r="AS347" s="94">
        <f t="shared" si="72"/>
        <v>28.535950000000003</v>
      </c>
      <c r="AT347" s="89">
        <f>Sheet1!BB345</f>
        <v>0</v>
      </c>
      <c r="AU347" s="89">
        <f>Sheet1!AS345*GPMtoMGD</f>
        <v>3.1248000000000001E-2</v>
      </c>
      <c r="AV347" s="94">
        <f>Sheet1!AT345</f>
        <v>0</v>
      </c>
      <c r="AW347" s="89">
        <f>Sheet1!AV345*GPMtoMGD</f>
        <v>0.50385599999999997</v>
      </c>
      <c r="AX347" s="89">
        <f>Sheet1!AW345*GPMtoMGD</f>
        <v>0.39859200000000006</v>
      </c>
      <c r="AY347" s="89">
        <f>Sheet1!AX345*GPMtoMGD</f>
        <v>0</v>
      </c>
      <c r="AZ347" s="89">
        <f>Sheet1!AY345*GPMtoMGD</f>
        <v>0</v>
      </c>
      <c r="BA347" s="89">
        <f>Sheet1!AZ345*GPMtoMGD</f>
        <v>0</v>
      </c>
      <c r="BB347" s="89">
        <f>Sheet1!BP345*GPMtoMGD</f>
        <v>3.0240000000000002E-3</v>
      </c>
      <c r="BC347" s="89">
        <f>Sheet1!CS345*GPMtoMGD</f>
        <v>0</v>
      </c>
      <c r="BD347" s="89">
        <f>Sheet1!BO345*GPMtoMGD</f>
        <v>1.8610560000000003</v>
      </c>
      <c r="BE347" s="89">
        <f>Sheet1!BW345*GPMtoMGD</f>
        <v>1.09944</v>
      </c>
      <c r="BF347" s="89">
        <f>Sheet1!CN345*GPMtoMGD</f>
        <v>0.37857599999999997</v>
      </c>
      <c r="BG347" s="89">
        <f>Sheet1!CO345*GPMtoMGD</f>
        <v>0.72100799999999998</v>
      </c>
      <c r="BH347" s="89">
        <f>Sheet1!CP345*GPMtoMGD</f>
        <v>0</v>
      </c>
      <c r="BI347" s="89">
        <f t="shared" si="82"/>
        <v>1.8640800000000002</v>
      </c>
      <c r="BK347" s="94">
        <f>SUM(AT347:BA347,AS347,BC347,Calculation!AQ347)</f>
        <v>44.128861219976223</v>
      </c>
      <c r="BM347" s="358">
        <f>0</f>
        <v>0</v>
      </c>
      <c r="BN347" s="358">
        <f>0</f>
        <v>0</v>
      </c>
      <c r="BP347" s="94">
        <f>SUM(BM347:BN347,W347,Sheet1!DX345)</f>
        <v>0</v>
      </c>
      <c r="BR347" s="94">
        <f>Sheet1!AA345</f>
        <v>28.1</v>
      </c>
      <c r="BS347" s="94">
        <f>Sheet1!AB345</f>
        <v>25.16</v>
      </c>
      <c r="BT347" s="94">
        <f t="shared" ca="1" si="73"/>
        <v>2.1365768674947576</v>
      </c>
      <c r="BU347" s="94">
        <f>Sheet1!AT345</f>
        <v>0</v>
      </c>
      <c r="BV347" s="89">
        <f>Sheet1!BB345</f>
        <v>0</v>
      </c>
      <c r="BW347" s="94">
        <f>Calculation!ED347</f>
        <v>10.500784780023782</v>
      </c>
      <c r="BX347" s="94">
        <f>(Sheet1!CS345*1440)/1000000</f>
        <v>0</v>
      </c>
      <c r="CA347" s="94">
        <f ca="1">Sheet1!AC345-Sheet1!BK345-Sheet1!BL345-Sheet1!BM345-Sheet1!BC345-Sheet1!BD345-Sheet1!BE345-Sheet1!BF345-Sheet1!BG345-Sheet1!BH345-Sheet1!BI345+BC347+P347</f>
        <v>44.866576867494764</v>
      </c>
      <c r="CB347" s="93">
        <f t="shared" si="74"/>
        <v>66.148505945303214</v>
      </c>
      <c r="CC347" s="94">
        <f t="shared" si="75"/>
        <v>0</v>
      </c>
      <c r="CD347" s="94">
        <f t="shared" ca="1" si="76"/>
        <v>55.36736164751855</v>
      </c>
      <c r="CE347" s="1077">
        <f t="shared" ca="1" si="77"/>
        <v>85.653308468711188</v>
      </c>
      <c r="CG347" s="1077">
        <f t="shared" ca="1" si="78"/>
        <v>44.866576867494764</v>
      </c>
    </row>
    <row r="348" spans="1:85" s="89" customFormat="1" x14ac:dyDescent="0.25">
      <c r="A348" s="616" t="s">
        <v>3</v>
      </c>
      <c r="B348" s="91">
        <v>43072</v>
      </c>
      <c r="C348" s="92">
        <v>0</v>
      </c>
      <c r="D348" s="94">
        <f>(Sheet1!BQ346-Sheet1!BQ345)*1.385</f>
        <v>-2.5206999999999953</v>
      </c>
      <c r="E348" s="30">
        <f>(Sheet1!BR346-Sheet1!BR345)*1.385</f>
        <v>-2.5207000000000006</v>
      </c>
      <c r="F348" s="30">
        <f ca="1">IF(B348=TODAY(),0,-(VLOOKUP(Sheet1!CD346,Lookup!$I$4:$J$216,2)-VLOOKUP(Sheet1!CD345,Lookup!$I$4:$J$216,2))/1000000)</f>
        <v>-0.62182163128680179</v>
      </c>
      <c r="G348" s="94">
        <f ca="1">IF(B348=TODAY(),0,-$G$6*(Sheet1!CF346-Sheet1!CF345)*7.48/1000000)</f>
        <v>0.41699176105187291</v>
      </c>
      <c r="H348" s="94">
        <f ca="1">IF(B348=TODAY(),0,-$H$6*(Sheet1!CE346-Sheet1!CE345)*7.48/1000000)</f>
        <v>1.5039432351265274E-2</v>
      </c>
      <c r="I348" s="94">
        <f ca="1">IF(B348=TODAY(),0,-$I$6*(Sheet1!CG346-Sheet1!CG345)*7.48/1000000)</f>
        <v>-3.1447416000000006E-2</v>
      </c>
      <c r="J348" s="95" t="s">
        <v>177</v>
      </c>
      <c r="K348" s="94">
        <f ca="1">IF(B348=TODAY(),0,-$K$6*(Sheet1!CH346-Sheet1!CH345)*7.48/1000000)</f>
        <v>-5.9969883370126001E-2</v>
      </c>
      <c r="L348" s="95" t="s">
        <v>177</v>
      </c>
      <c r="M348" s="94">
        <f ca="1">IF(B348=TODAY(),0,-$M$6*(Sheet1!CI346-Sheet1!CI345)*7.48/1000000)</f>
        <v>-0.14393206742421652</v>
      </c>
      <c r="N348" s="94">
        <f ca="1">IF(B348=TODAY(),0,-$N$6*(Sheet1!CJ346-Sheet1!CJ345)*7.48/1000000)</f>
        <v>-0.1054889871708606</v>
      </c>
      <c r="O348" s="94">
        <f t="shared" ca="1" si="79"/>
        <v>-0.5306287918488668</v>
      </c>
      <c r="P348" s="94">
        <f ca="1">O348+Calculation!ES348</f>
        <v>4.4580535142248214</v>
      </c>
      <c r="Q348" s="89" t="str">
        <f>IF(Sheet1!BQ346&gt;25.75,"spill elevation","-")</f>
        <v>-</v>
      </c>
      <c r="R348" s="89" t="str">
        <f>IF(Sheet1!BQ346&gt;25.75,"spill elevation","-")</f>
        <v>-</v>
      </c>
      <c r="S348" s="89" t="str">
        <f>IF(Sheet1!BR346&gt;25.75,"spill elevation","-")</f>
        <v>-</v>
      </c>
      <c r="T348" s="93">
        <f>IF(Sheet1!DU346=1,Sheet1!AA346-(SUM(AT348:BA348)+BE348),Sheet1!AA346-SUM(AT348:BA348))</f>
        <v>26.498016</v>
      </c>
      <c r="U348" s="93">
        <f>Sheet1!BV346</f>
        <v>36.5</v>
      </c>
      <c r="V348" s="93">
        <f t="shared" si="80"/>
        <v>-10.001984</v>
      </c>
      <c r="W348" s="93">
        <f>0</f>
        <v>0</v>
      </c>
      <c r="X348" s="89">
        <f>0</f>
        <v>0</v>
      </c>
      <c r="Y348" s="94">
        <f ca="1">Calculation!EJ349+Calculation!ES348+'Calculations II'!O348-'Calculations II'!W348</f>
        <v>47.875175914276298</v>
      </c>
      <c r="Z348" s="94">
        <f ca="1">Y348-Sheet1!CT347</f>
        <v>32.985175914276297</v>
      </c>
      <c r="AA348" s="94">
        <f ca="1">Y348+Calculation!DJ349+Calculation!AS349</f>
        <v>58.119071155884562</v>
      </c>
      <c r="AC348" s="94">
        <f>Sheet1!AA346+Sheet1!AB346+BC348</f>
        <v>53</v>
      </c>
      <c r="AD348" s="94">
        <f>Sheet1!AA346+Sheet1!BN346+'Calculations II'!BC348-Calculation!AS348-Calculation!DJ348</f>
        <v>32.153296266878471</v>
      </c>
      <c r="AE348" s="94">
        <f>Sheet1!AA346+Sheet1!AB346+'Calculations II'!BC348-Calculation!AS348-Calculation!DJ348</f>
        <v>42.553296266878476</v>
      </c>
      <c r="AF348" s="94">
        <f ca="1">Sheet1!AA346+Sheet1!BN346+P348+'Calculations II'!BC348+Calculation!AS348+Calculation!DJ348</f>
        <v>57.504757247346348</v>
      </c>
      <c r="AG348" s="94">
        <f ca="1">IF(B348=TODAY(),0,Sheet1!AA346+Sheet1!BN346+'Calculations II'!BC348+'Calculations II'!P348-Sheet1!CT346-BP348)</f>
        <v>30.354053514224816</v>
      </c>
      <c r="AH348" s="94">
        <f ca="1">IF(B348=TODAY(),0,Sheet1!AA346+Sheet1!BN346+'Calculations II'!BC348+'Calculations II'!P348-BP348)</f>
        <v>47.058053514224817</v>
      </c>
      <c r="AI348" s="94">
        <f ca="1">IF(B348=TODAY(),0,BC348+Sheet1!AA346+Calculation!ES348+O348+W348+Sheet1!BN346+Calculation!AS348+Calculation!DJ348-BP348)</f>
        <v>57.504757247346348</v>
      </c>
      <c r="AJ348" s="94"/>
      <c r="AM348" s="90">
        <f t="shared" si="81"/>
        <v>43072</v>
      </c>
      <c r="AN348" s="94">
        <f>Sheet1!BU346</f>
        <v>25.9</v>
      </c>
      <c r="AO348" s="94">
        <f>Sheet1!AA346</f>
        <v>27.9</v>
      </c>
      <c r="AP348" s="94">
        <f t="shared" si="70"/>
        <v>-5.0413999999999959</v>
      </c>
      <c r="AQ348" s="1086">
        <f>((Sheet1!BV346-(Sheet1!BU346-AP348))/(Sheet1!BU346-AP348))</f>
        <v>0.17964927249575025</v>
      </c>
      <c r="AR348" s="94">
        <f t="shared" si="71"/>
        <v>32.941399999999994</v>
      </c>
      <c r="AS348" s="94">
        <f t="shared" si="72"/>
        <v>30.941399999999994</v>
      </c>
      <c r="AT348" s="89">
        <f>Sheet1!BB346</f>
        <v>0</v>
      </c>
      <c r="AU348" s="89">
        <f>Sheet1!AS346*GPMtoMGD</f>
        <v>2.9087999999999999E-2</v>
      </c>
      <c r="AV348" s="94">
        <f>Sheet1!AT346</f>
        <v>0</v>
      </c>
      <c r="AW348" s="89">
        <f>Sheet1!AV346*GPMtoMGD</f>
        <v>0.77400000000000002</v>
      </c>
      <c r="AX348" s="89">
        <f>Sheet1!AW346*GPMtoMGD</f>
        <v>0.59889599999999998</v>
      </c>
      <c r="AY348" s="89">
        <f>Sheet1!AX346*GPMtoMGD</f>
        <v>0</v>
      </c>
      <c r="AZ348" s="89">
        <f>Sheet1!AY346*GPMtoMGD</f>
        <v>0</v>
      </c>
      <c r="BA348" s="89">
        <f>Sheet1!AZ346*GPMtoMGD</f>
        <v>0</v>
      </c>
      <c r="BB348" s="89">
        <f>Sheet1!BP346*GPMtoMGD</f>
        <v>3.0240000000000002E-3</v>
      </c>
      <c r="BC348" s="89">
        <f>Sheet1!CS346*GPMtoMGD</f>
        <v>0</v>
      </c>
      <c r="BD348" s="89">
        <f>Sheet1!BO346*GPMtoMGD</f>
        <v>1.9203840000000001</v>
      </c>
      <c r="BE348" s="89">
        <f>Sheet1!BW346*GPMtoMGD</f>
        <v>1.0926720000000001</v>
      </c>
      <c r="BF348" s="89">
        <f>Sheet1!CN346*GPMtoMGD</f>
        <v>0.43459200000000003</v>
      </c>
      <c r="BG348" s="89">
        <f>Sheet1!CO346*GPMtoMGD</f>
        <v>0.63892800000000005</v>
      </c>
      <c r="BH348" s="89">
        <f>Sheet1!CP346*GPMtoMGD</f>
        <v>0</v>
      </c>
      <c r="BI348" s="89">
        <f t="shared" si="82"/>
        <v>1.923408</v>
      </c>
      <c r="BK348" s="94">
        <f>SUM(AT348:BA348,AS348,BC348,Calculation!AQ348)</f>
        <v>46.996680266878471</v>
      </c>
      <c r="BM348" s="358">
        <f>0</f>
        <v>0</v>
      </c>
      <c r="BN348" s="358">
        <f>0</f>
        <v>0</v>
      </c>
      <c r="BP348" s="94">
        <f>SUM(BM348:BN348,W348,Sheet1!DX346)</f>
        <v>0</v>
      </c>
      <c r="BR348" s="94">
        <f>Sheet1!AA346</f>
        <v>27.9</v>
      </c>
      <c r="BS348" s="94">
        <f>Sheet1!AB346</f>
        <v>25.1</v>
      </c>
      <c r="BT348" s="94">
        <f t="shared" ca="1" si="73"/>
        <v>4.4580535142248214</v>
      </c>
      <c r="BU348" s="94">
        <f>Sheet1!AT346</f>
        <v>0</v>
      </c>
      <c r="BV348" s="89">
        <f>Sheet1!BB346</f>
        <v>0</v>
      </c>
      <c r="BW348" s="94">
        <f>Calculation!ED348</f>
        <v>10.446703733121527</v>
      </c>
      <c r="BX348" s="94">
        <f>(Sheet1!CS346*1440)/1000000</f>
        <v>0</v>
      </c>
      <c r="CA348" s="94">
        <f ca="1">Sheet1!AC346-Sheet1!BK346-Sheet1!BL346-Sheet1!BM346-Sheet1!BC346-Sheet1!BD346-Sheet1!BE346-Sheet1!BF346-Sheet1!BG346-Sheet1!BH346-Sheet1!BI346+BC348+P348</f>
        <v>46.978053514224825</v>
      </c>
      <c r="CB348" s="93">
        <f t="shared" si="74"/>
        <v>65.829949324861005</v>
      </c>
      <c r="CC348" s="94">
        <f t="shared" si="75"/>
        <v>0</v>
      </c>
      <c r="CD348" s="94">
        <f t="shared" ca="1" si="76"/>
        <v>57.424757247346349</v>
      </c>
      <c r="CE348" s="1077">
        <f t="shared" ca="1" si="77"/>
        <v>88.836099461644793</v>
      </c>
      <c r="CG348" s="1077">
        <f t="shared" ca="1" si="78"/>
        <v>46.978053514224825</v>
      </c>
    </row>
    <row r="349" spans="1:85" s="89" customFormat="1" x14ac:dyDescent="0.25">
      <c r="A349" s="616" t="s">
        <v>4</v>
      </c>
      <c r="B349" s="91">
        <v>43073</v>
      </c>
      <c r="C349" s="92">
        <v>0</v>
      </c>
      <c r="D349" s="94">
        <f>(Sheet1!BQ347-Sheet1!BQ346)*1.385</f>
        <v>0.11079999999999764</v>
      </c>
      <c r="E349" s="30">
        <f>(Sheet1!BR347-Sheet1!BR346)*1.385</f>
        <v>0.11080000000000256</v>
      </c>
      <c r="F349" s="30">
        <f ca="1">IF(B349=TODAY(),0,-(VLOOKUP(Sheet1!CD347,Lookup!$I$4:$J$216,2)-VLOOKUP(Sheet1!CD346,Lookup!$I$4:$J$216,2))/1000000)</f>
        <v>-0.725458569834603</v>
      </c>
      <c r="G349" s="94">
        <f ca="1">IF(B349=TODAY(),0,-$G$6*(Sheet1!CF347-Sheet1!CF346)*7.48/1000000)</f>
        <v>0.37727825999931303</v>
      </c>
      <c r="H349" s="94">
        <f ca="1">IF(B349=TODAY(),0,-$H$6*(Sheet1!CE347-Sheet1!CE346)*7.48/1000000)</f>
        <v>-3.0078864702530548E-2</v>
      </c>
      <c r="I349" s="94">
        <f ca="1">IF(B349=TODAY(),0,-$I$6*(Sheet1!CG347-Sheet1!CG346)*7.48/1000000)</f>
        <v>1.3477463999999995E-2</v>
      </c>
      <c r="J349" s="95" t="s">
        <v>177</v>
      </c>
      <c r="K349" s="94">
        <f ca="1">IF(B349=TODAY(),0,-$K$6*(Sheet1!CH347-Sheet1!CH346)*7.48/1000000)</f>
        <v>1.9989961123375376E-2</v>
      </c>
      <c r="L349" s="95" t="s">
        <v>177</v>
      </c>
      <c r="M349" s="94">
        <f ca="1">IF(B349=TODAY(),0,-$M$6*(Sheet1!CI347-Sheet1!CI346)*7.48/1000000)</f>
        <v>5.3974525284081275E-2</v>
      </c>
      <c r="N349" s="94">
        <f ca="1">IF(B349=TODAY(),0,-$N$6*(Sheet1!CJ347-Sheet1!CJ346)*7.48/1000000)</f>
        <v>-0.34749313420989419</v>
      </c>
      <c r="O349" s="94">
        <f t="shared" ca="1" si="79"/>
        <v>-0.63831035834025807</v>
      </c>
      <c r="P349" s="94">
        <f ca="1">O349+Calculation!ES349</f>
        <v>-0.77680154151884684</v>
      </c>
      <c r="Q349" s="89" t="str">
        <f>IF(Sheet1!BQ347&gt;25.75,"spill elevation","-")</f>
        <v>-</v>
      </c>
      <c r="R349" s="89" t="str">
        <f>IF(Sheet1!BQ347&gt;25.75,"spill elevation","-")</f>
        <v>-</v>
      </c>
      <c r="S349" s="89" t="str">
        <f>IF(Sheet1!BR347&gt;25.75,"spill elevation","-")</f>
        <v>-</v>
      </c>
      <c r="T349" s="93">
        <f>IF(Sheet1!DU347=1,Sheet1!AA347-(SUM(AT349:BA349)+BE349),Sheet1!AA347-SUM(AT349:BA349))</f>
        <v>26.900672</v>
      </c>
      <c r="U349" s="93">
        <f>Sheet1!BV347</f>
        <v>31.4</v>
      </c>
      <c r="V349" s="93">
        <f t="shared" si="80"/>
        <v>-4.4993279999999984</v>
      </c>
      <c r="W349" s="93">
        <f>0</f>
        <v>0</v>
      </c>
      <c r="X349" s="89">
        <f>0</f>
        <v>0</v>
      </c>
      <c r="Y349" s="94">
        <f ca="1">Calculation!EJ350+Calculation!ES349+'Calculations II'!O349-'Calculations II'!W349</f>
        <v>43.537702384599378</v>
      </c>
      <c r="Z349" s="94">
        <f ca="1">Y349-Sheet1!CT348</f>
        <v>28.569702384599378</v>
      </c>
      <c r="AA349" s="94">
        <f ca="1">Y349+Calculation!DJ350+Calculation!AS350</f>
        <v>54.189298129280232</v>
      </c>
      <c r="AC349" s="94">
        <f>Sheet1!AA347+Sheet1!AB347+BC349</f>
        <v>54.7</v>
      </c>
      <c r="AD349" s="94">
        <f>Sheet1!AA347+Sheet1!BN347+'Calculations II'!BC349-Calculation!AS349-Calculation!DJ349</f>
        <v>34.156104758391734</v>
      </c>
      <c r="AE349" s="94">
        <f>Sheet1!AA347+Sheet1!AB347+'Calculations II'!BC349-Calculation!AS349-Calculation!DJ349</f>
        <v>44.456104758391739</v>
      </c>
      <c r="AF349" s="94">
        <f ca="1">Sheet1!AA347+Sheet1!BN347+P349+'Calculations II'!BC349+Calculation!AS349+Calculation!DJ349</f>
        <v>53.867093700089413</v>
      </c>
      <c r="AG349" s="94">
        <f ca="1">IF(B349=TODAY(),0,Sheet1!AA347+Sheet1!BN347+'Calculations II'!BC349+'Calculations II'!P349-Sheet1!CT347-BP349)</f>
        <v>28.733198458481148</v>
      </c>
      <c r="AH349" s="94">
        <f ca="1">IF(B349=TODAY(),0,Sheet1!AA347+Sheet1!BN347+'Calculations II'!BC349+'Calculations II'!P349-BP349)</f>
        <v>43.623198458481149</v>
      </c>
      <c r="AI349" s="94">
        <f ca="1">IF(B349=TODAY(),0,BC349+Sheet1!AA347+Calculation!ES349+O349+W349+Sheet1!BN347+Calculation!AS349+Calculation!DJ349-BP349)</f>
        <v>53.86709370008942</v>
      </c>
      <c r="AJ349" s="94"/>
      <c r="AM349" s="90">
        <f t="shared" si="81"/>
        <v>43073</v>
      </c>
      <c r="AN349" s="94">
        <f>Sheet1!BU347</f>
        <v>26.5</v>
      </c>
      <c r="AO349" s="94">
        <f>Sheet1!AA347</f>
        <v>27.5</v>
      </c>
      <c r="AP349" s="94">
        <f t="shared" si="70"/>
        <v>0.22160000000000019</v>
      </c>
      <c r="AQ349" s="1086">
        <f>((Sheet1!BV347-(Sheet1!BU347-AP349))/(Sheet1!BU347-AP349))</f>
        <v>0.19489771066731601</v>
      </c>
      <c r="AR349" s="94">
        <f t="shared" si="71"/>
        <v>27.278400000000001</v>
      </c>
      <c r="AS349" s="94">
        <f t="shared" si="72"/>
        <v>26.278400000000001</v>
      </c>
      <c r="AT349" s="89">
        <f>Sheet1!BB347</f>
        <v>0</v>
      </c>
      <c r="AU349" s="89">
        <f>Sheet1!AS347*GPMtoMGD</f>
        <v>1.9727999999999999E-2</v>
      </c>
      <c r="AV349" s="94">
        <f>Sheet1!AT347</f>
        <v>0</v>
      </c>
      <c r="AW349" s="89">
        <f>Sheet1!AV347*GPMtoMGD</f>
        <v>0.28742400000000001</v>
      </c>
      <c r="AX349" s="89">
        <f>Sheet1!AW347*GPMtoMGD</f>
        <v>0.29217600000000005</v>
      </c>
      <c r="AY349" s="89">
        <f>Sheet1!AX347*GPMtoMGD</f>
        <v>0</v>
      </c>
      <c r="AZ349" s="89">
        <f>Sheet1!AY347*GPMtoMGD</f>
        <v>0</v>
      </c>
      <c r="BA349" s="89">
        <f>Sheet1!AZ347*GPMtoMGD</f>
        <v>0</v>
      </c>
      <c r="BB349" s="89">
        <f>Sheet1!BP347*GPMtoMGD</f>
        <v>3.1680000000000002E-3</v>
      </c>
      <c r="BC349" s="89">
        <f>Sheet1!CS347*GPMtoMGD</f>
        <v>0</v>
      </c>
      <c r="BD349" s="89">
        <f>Sheet1!BO347*GPMtoMGD</f>
        <v>1.5670080000000002</v>
      </c>
      <c r="BE349" s="89">
        <f>Sheet1!BW347*GPMtoMGD</f>
        <v>0.85924800000000012</v>
      </c>
      <c r="BF349" s="89">
        <f>Sheet1!CN347*GPMtoMGD</f>
        <v>0.31204799999999999</v>
      </c>
      <c r="BG349" s="89">
        <f>Sheet1!CO347*GPMtoMGD</f>
        <v>0.593136</v>
      </c>
      <c r="BH349" s="89">
        <f>Sheet1!CP347*GPMtoMGD</f>
        <v>0</v>
      </c>
      <c r="BI349" s="89">
        <f t="shared" si="82"/>
        <v>1.5701760000000002</v>
      </c>
      <c r="BK349" s="94">
        <f>SUM(AT349:BA349,AS349,BC349,Calculation!AQ349)</f>
        <v>43.833832758391736</v>
      </c>
      <c r="BM349" s="358">
        <f>0</f>
        <v>0</v>
      </c>
      <c r="BN349" s="358">
        <f>0</f>
        <v>0</v>
      </c>
      <c r="BP349" s="94">
        <f>SUM(BM349:BN349,W349,Sheet1!DX347)</f>
        <v>0</v>
      </c>
      <c r="BR349" s="94">
        <f>Sheet1!AA347</f>
        <v>27.5</v>
      </c>
      <c r="BS349" s="94">
        <f>Sheet1!AB347</f>
        <v>27.2</v>
      </c>
      <c r="BT349" s="94">
        <f t="shared" ca="1" si="73"/>
        <v>-0.77680154151884684</v>
      </c>
      <c r="BU349" s="94">
        <f>Sheet1!AT347</f>
        <v>0</v>
      </c>
      <c r="BV349" s="89">
        <f>Sheet1!BB347</f>
        <v>0</v>
      </c>
      <c r="BW349" s="94">
        <f>Calculation!ED349</f>
        <v>10.243895241608262</v>
      </c>
      <c r="BX349" s="94">
        <f>(Sheet1!CS347*1440)/1000000</f>
        <v>0</v>
      </c>
      <c r="CA349" s="94">
        <f ca="1">Sheet1!AC347-Sheet1!BK347-Sheet1!BL347-Sheet1!BM347-Sheet1!BC347-Sheet1!BD347-Sheet1!BE347-Sheet1!BF347-Sheet1!BG347-Sheet1!BH347-Sheet1!BI347+BC349+P349</f>
        <v>43.713198458481152</v>
      </c>
      <c r="CB349" s="93">
        <f t="shared" si="74"/>
        <v>68.773594061232018</v>
      </c>
      <c r="CC349" s="94">
        <f t="shared" si="75"/>
        <v>0</v>
      </c>
      <c r="CD349" s="94">
        <f t="shared" ca="1" si="76"/>
        <v>53.957093700089416</v>
      </c>
      <c r="CE349" s="1077">
        <f t="shared" ca="1" si="77"/>
        <v>83.471623954038321</v>
      </c>
      <c r="CG349" s="1077">
        <f t="shared" ca="1" si="78"/>
        <v>43.713198458481152</v>
      </c>
    </row>
    <row r="350" spans="1:85" s="89" customFormat="1" x14ac:dyDescent="0.25">
      <c r="A350" s="616" t="s">
        <v>5</v>
      </c>
      <c r="B350" s="91">
        <v>43074</v>
      </c>
      <c r="C350" s="92">
        <v>0</v>
      </c>
      <c r="D350" s="94">
        <f>(Sheet1!BQ348-Sheet1!BQ347)*1.385</f>
        <v>-0.900249999999998</v>
      </c>
      <c r="E350" s="30">
        <f>(Sheet1!BR348-Sheet1!BR347)*1.385</f>
        <v>-0.91410000000000025</v>
      </c>
      <c r="F350" s="30">
        <f ca="1">IF(B350=TODAY(),0,-(VLOOKUP(Sheet1!CD348,Lookup!$I$4:$J$216,2)-VLOOKUP(Sheet1!CD347,Lookup!$I$4:$J$216,2))/1000000)</f>
        <v>0.10363693854780681</v>
      </c>
      <c r="G350" s="94">
        <f ca="1">IF(B350=TODAY(),0,-$G$6*(Sheet1!CF348-Sheet1!CF347)*7.48/1000000)</f>
        <v>-0.91341052420886337</v>
      </c>
      <c r="H350" s="94">
        <f ca="1">IF(B350=TODAY(),0,-$H$6*(Sheet1!CE348-Sheet1!CE347)*7.48/1000000)</f>
        <v>0</v>
      </c>
      <c r="I350" s="94">
        <f ca="1">IF(B350=TODAY(),0,-$I$6*(Sheet1!CG348-Sheet1!CG347)*7.48/1000000)</f>
        <v>4.4924879999999837E-3</v>
      </c>
      <c r="J350" s="95" t="s">
        <v>177</v>
      </c>
      <c r="K350" s="94">
        <f ca="1">IF(B350=TODAY(),0,-$K$6*(Sheet1!CH348-Sheet1!CH347)*7.48/1000000)</f>
        <v>1.3326640748916837E-2</v>
      </c>
      <c r="L350" s="95" t="s">
        <v>177</v>
      </c>
      <c r="M350" s="94">
        <f ca="1">IF(B350=TODAY(),0,-$M$6*(Sheet1!CI348-Sheet1!CI347)*7.48/1000000)</f>
        <v>3.598301685605397E-2</v>
      </c>
      <c r="N350" s="94">
        <f ca="1">IF(B350=TODAY(),0,-$N$6*(Sheet1!CJ348-Sheet1!CJ347)*7.48/1000000)</f>
        <v>5.5847110855161426E-2</v>
      </c>
      <c r="O350" s="94">
        <f t="shared" ca="1" si="79"/>
        <v>-0.70012432920092427</v>
      </c>
      <c r="P350" s="94">
        <f ca="1">O350+Calculation!ES350</f>
        <v>1.1003379744890398</v>
      </c>
      <c r="Q350" s="89" t="str">
        <f>IF(Sheet1!BQ348&gt;25.75,"spill elevation","-")</f>
        <v>-</v>
      </c>
      <c r="R350" s="89" t="str">
        <f>IF(Sheet1!BQ348&gt;25.75,"spill elevation","-")</f>
        <v>-</v>
      </c>
      <c r="S350" s="89" t="str">
        <f>IF(Sheet1!BR348&gt;25.75,"spill elevation","-")</f>
        <v>-</v>
      </c>
      <c r="T350" s="93">
        <f>IF(Sheet1!DU348=1,Sheet1!AA348-(SUM(AT350:BA350)+BE350),Sheet1!AA348-SUM(AT350:BA350))</f>
        <v>24.023776000000002</v>
      </c>
      <c r="U350" s="93">
        <f>Sheet1!BV348</f>
        <v>30.4</v>
      </c>
      <c r="V350" s="93">
        <f t="shared" si="80"/>
        <v>-6.376223999999997</v>
      </c>
      <c r="W350" s="93">
        <f>0</f>
        <v>0</v>
      </c>
      <c r="X350" s="89">
        <f>0</f>
        <v>0</v>
      </c>
      <c r="Y350" s="94">
        <f ca="1">Calculation!EJ351+Calculation!ES350+'Calculations II'!O350-'Calculations II'!W350</f>
        <v>45.738901821209062</v>
      </c>
      <c r="Z350" s="94">
        <f ca="1">Y350-Sheet1!CT349</f>
        <v>31.18790182120906</v>
      </c>
      <c r="AA350" s="94">
        <f ca="1">Y350+Calculation!DJ351+Calculation!AS351</f>
        <v>56.365765358666323</v>
      </c>
      <c r="AC350" s="94">
        <f>Sheet1!AA348+Sheet1!AB348+BC350</f>
        <v>55.69</v>
      </c>
      <c r="AD350" s="94">
        <f>Sheet1!AA348+Sheet1!BN348+'Calculations II'!BC350-Calculation!AS350-Calculation!DJ350</f>
        <v>34.438404255319156</v>
      </c>
      <c r="AE350" s="94">
        <f>Sheet1!AA348+Sheet1!AB348+'Calculations II'!BC350-Calculation!AS350-Calculation!DJ350</f>
        <v>45.038404255319151</v>
      </c>
      <c r="AF350" s="94">
        <f ca="1">Sheet1!AA348+Sheet1!BN348+P350+'Calculations II'!BC350+Calculation!AS350+Calculation!DJ350</f>
        <v>56.841933719169887</v>
      </c>
      <c r="AG350" s="94">
        <f ca="1">IF(B350=TODAY(),0,Sheet1!AA348+Sheet1!BN348+'Calculations II'!BC350+'Calculations II'!P350-Sheet1!CT348-BP350)</f>
        <v>31.22233797448904</v>
      </c>
      <c r="AH350" s="94">
        <f ca="1">IF(B350=TODAY(),0,Sheet1!AA348+Sheet1!BN348+'Calculations II'!BC350+'Calculations II'!P350-BP350)</f>
        <v>46.19033797448904</v>
      </c>
      <c r="AI350" s="94">
        <f ca="1">IF(B350=TODAY(),0,BC350+Sheet1!AA348+Calculation!ES350+O350+W350+Sheet1!BN348+Calculation!AS350+Calculation!DJ350-BP350)</f>
        <v>56.841933719169887</v>
      </c>
      <c r="AJ350" s="94"/>
      <c r="AM350" s="90">
        <f t="shared" si="81"/>
        <v>43074</v>
      </c>
      <c r="AN350" s="94">
        <f>Sheet1!BU348</f>
        <v>24</v>
      </c>
      <c r="AO350" s="94">
        <f>Sheet1!AA348</f>
        <v>25.69</v>
      </c>
      <c r="AP350" s="94">
        <f t="shared" si="70"/>
        <v>-1.8143499999999984</v>
      </c>
      <c r="AQ350" s="1086">
        <f>((Sheet1!BV348-(Sheet1!BU348-AP350))/(Sheet1!BU348-AP350))</f>
        <v>0.17763956868950803</v>
      </c>
      <c r="AR350" s="94">
        <f t="shared" si="71"/>
        <v>27.504349999999999</v>
      </c>
      <c r="AS350" s="94">
        <f t="shared" si="72"/>
        <v>25.814349999999997</v>
      </c>
      <c r="AT350" s="89">
        <f>Sheet1!BB348</f>
        <v>0</v>
      </c>
      <c r="AU350" s="89">
        <f>Sheet1!AS348*GPMtoMGD</f>
        <v>3.2544000000000003E-2</v>
      </c>
      <c r="AV350" s="94">
        <f>Sheet1!AT348</f>
        <v>0</v>
      </c>
      <c r="AW350" s="89">
        <f>Sheet1!AV348*GPMtoMGD</f>
        <v>0.43747200000000003</v>
      </c>
      <c r="AX350" s="89">
        <f>Sheet1!AW348*GPMtoMGD</f>
        <v>1.1556000000000002</v>
      </c>
      <c r="AY350" s="89">
        <f>Sheet1!AX348*GPMtoMGD</f>
        <v>4.0607999999999998E-2</v>
      </c>
      <c r="AZ350" s="89">
        <f>Sheet1!AY348*GPMtoMGD</f>
        <v>0</v>
      </c>
      <c r="BA350" s="89">
        <f>Sheet1!AZ348*GPMtoMGD</f>
        <v>0</v>
      </c>
      <c r="BB350" s="89">
        <f>Sheet1!BP348*GPMtoMGD</f>
        <v>3.7440000000000004E-3</v>
      </c>
      <c r="BC350" s="89">
        <f>Sheet1!CS348*GPMtoMGD</f>
        <v>0</v>
      </c>
      <c r="BD350" s="89">
        <f>Sheet1!BO348*GPMtoMGD</f>
        <v>1.5374880000000002</v>
      </c>
      <c r="BE350" s="89">
        <f>Sheet1!BW348*GPMtoMGD</f>
        <v>1.0751040000000001</v>
      </c>
      <c r="BF350" s="89">
        <f>Sheet1!CN348*GPMtoMGD</f>
        <v>0.33480000000000004</v>
      </c>
      <c r="BG350" s="89">
        <f>Sheet1!CO348*GPMtoMGD</f>
        <v>0.59760000000000002</v>
      </c>
      <c r="BH350" s="89">
        <f>Sheet1!CP348*GPMtoMGD</f>
        <v>0</v>
      </c>
      <c r="BI350" s="89">
        <f t="shared" si="82"/>
        <v>1.5412320000000002</v>
      </c>
      <c r="BK350" s="94">
        <f>SUM(AT350:BA350,AS350,BC350,Calculation!AQ350)</f>
        <v>46.828978255319143</v>
      </c>
      <c r="BM350" s="358">
        <f>0</f>
        <v>0</v>
      </c>
      <c r="BN350" s="358">
        <f>0</f>
        <v>0</v>
      </c>
      <c r="BP350" s="94">
        <f>SUM(BM350:BN350,W350,Sheet1!DX348)</f>
        <v>0</v>
      </c>
      <c r="BR350" s="94">
        <f>Sheet1!AA348</f>
        <v>25.69</v>
      </c>
      <c r="BS350" s="94">
        <f>Sheet1!AB348</f>
        <v>30</v>
      </c>
      <c r="BT350" s="94">
        <f t="shared" ca="1" si="73"/>
        <v>1.1003379744890398</v>
      </c>
      <c r="BU350" s="94">
        <f>Sheet1!AT348</f>
        <v>0</v>
      </c>
      <c r="BV350" s="89">
        <f>Sheet1!BB348</f>
        <v>0</v>
      </c>
      <c r="BW350" s="94">
        <f>Calculation!ED350</f>
        <v>10.651595744680852</v>
      </c>
      <c r="BX350" s="94">
        <f>(Sheet1!CS348*1440)/1000000</f>
        <v>0</v>
      </c>
      <c r="CA350" s="94">
        <f ca="1">Sheet1!AC348-Sheet1!BK348-Sheet1!BL348-Sheet1!BM348-Sheet1!BC348-Sheet1!BD348-Sheet1!BE348-Sheet1!BF348-Sheet1!BG348-Sheet1!BH348-Sheet1!BI348+BC350+P350</f>
        <v>46.110337974489035</v>
      </c>
      <c r="CB350" s="93">
        <f t="shared" si="74"/>
        <v>69.674411382978718</v>
      </c>
      <c r="CC350" s="94">
        <f t="shared" si="75"/>
        <v>0</v>
      </c>
      <c r="CD350" s="94">
        <f t="shared" ca="1" si="76"/>
        <v>56.761933719169889</v>
      </c>
      <c r="CE350" s="1077">
        <f t="shared" ca="1" si="77"/>
        <v>87.810711463555819</v>
      </c>
      <c r="CG350" s="1077">
        <f t="shared" ca="1" si="78"/>
        <v>46.110337974489035</v>
      </c>
    </row>
    <row r="351" spans="1:85" s="89" customFormat="1" x14ac:dyDescent="0.25">
      <c r="A351" s="616" t="s">
        <v>6</v>
      </c>
      <c r="B351" s="91">
        <v>43075</v>
      </c>
      <c r="C351" s="92">
        <v>0</v>
      </c>
      <c r="D351" s="94">
        <f>(Sheet1!BQ349-Sheet1!BQ348)*1.385</f>
        <v>-0.60940000000000183</v>
      </c>
      <c r="E351" s="30">
        <f>(Sheet1!BR349-Sheet1!BR348)*1.385</f>
        <v>-0.52630000000000354</v>
      </c>
      <c r="F351" s="30">
        <f ca="1">IF(B351=TODAY(),0,-(VLOOKUP(Sheet1!CD349,Lookup!$I$4:$J$216,2)-VLOOKUP(Sheet1!CD348,Lookup!$I$4:$J$216,2))/1000000)</f>
        <v>-0.20727387709560618</v>
      </c>
      <c r="G351" s="94">
        <f ca="1">IF(B351=TODAY(),0,-$G$6*(Sheet1!CF349-Sheet1!CF348)*7.48/1000000)</f>
        <v>0.31770800842047398</v>
      </c>
      <c r="H351" s="94">
        <f ca="1">IF(B351=TODAY(),0,-$H$6*(Sheet1!CE349-Sheet1!CE348)*7.48/1000000)</f>
        <v>-1.5039432351265274E-2</v>
      </c>
      <c r="I351" s="94">
        <f ca="1">IF(B351=TODAY(),0,-$I$6*(Sheet1!CG349-Sheet1!CG348)*7.48/1000000)</f>
        <v>2.2462440000000004E-2</v>
      </c>
      <c r="J351" s="95" t="s">
        <v>177</v>
      </c>
      <c r="K351" s="94">
        <f ca="1">IF(B351=TODAY(),0,-$K$6*(Sheet1!CH349-Sheet1!CH348)*7.48/1000000)</f>
        <v>3.3316601872292212E-2</v>
      </c>
      <c r="L351" s="95" t="s">
        <v>177</v>
      </c>
      <c r="M351" s="94">
        <f ca="1">IF(B351=TODAY(),0,-$M$6*(Sheet1!CI349-Sheet1!CI348)*7.48/1000000)</f>
        <v>0.10794905056816255</v>
      </c>
      <c r="N351" s="94">
        <f ca="1">IF(B351=TODAY(),0,-$N$6*(Sheet1!CJ349-Sheet1!CJ348)*7.48/1000000)</f>
        <v>-3.7231407236773539E-2</v>
      </c>
      <c r="O351" s="94">
        <f t="shared" ca="1" si="79"/>
        <v>0.22189138417728377</v>
      </c>
      <c r="P351" s="94">
        <f ca="1">O351+Calculation!ES351</f>
        <v>1.3296158026098586</v>
      </c>
      <c r="Q351" s="89" t="str">
        <f>IF(Sheet1!BQ349&gt;25.75,"spill elevation","-")</f>
        <v>-</v>
      </c>
      <c r="R351" s="89" t="str">
        <f>IF(Sheet1!BQ349&gt;25.75,"spill elevation","-")</f>
        <v>-</v>
      </c>
      <c r="S351" s="89" t="str">
        <f>IF(Sheet1!BR349&gt;25.75,"spill elevation","-")</f>
        <v>-</v>
      </c>
      <c r="T351" s="93">
        <f>IF(Sheet1!DU349=1,Sheet1!AA349-(SUM(AT351:BA351)+BE351),Sheet1!AA349-SUM(AT351:BA351))</f>
        <v>22.026464000000001</v>
      </c>
      <c r="U351" s="93">
        <f>Sheet1!BV349</f>
        <v>26.7</v>
      </c>
      <c r="V351" s="93">
        <f t="shared" si="80"/>
        <v>-4.6735359999999986</v>
      </c>
      <c r="W351" s="93">
        <f>0</f>
        <v>0</v>
      </c>
      <c r="X351" s="89">
        <f>0</f>
        <v>0</v>
      </c>
      <c r="Y351" s="94">
        <f ca="1">Calculation!EJ352+Calculation!ES351+'Calculations II'!O351-'Calculations II'!W351</f>
        <v>48.878989714641691</v>
      </c>
      <c r="Z351" s="94">
        <f ca="1">Y351-Sheet1!CT350</f>
        <v>32.567989714641691</v>
      </c>
      <c r="AA351" s="94">
        <f ca="1">Y351+Calculation!DJ352+Calculation!AS352</f>
        <v>59.320006048579984</v>
      </c>
      <c r="AC351" s="94">
        <f>Sheet1!AA349+Sheet1!AB349+BC351</f>
        <v>55.370000000000005</v>
      </c>
      <c r="AD351" s="94">
        <f>Sheet1!AA349+Sheet1!BN349+'Calculations II'!BC351-Calculation!AS351-Calculation!DJ351</f>
        <v>34.183136462542748</v>
      </c>
      <c r="AE351" s="94">
        <f>Sheet1!AA349+Sheet1!AB349+'Calculations II'!BC351-Calculation!AS351-Calculation!DJ351</f>
        <v>44.743136462542751</v>
      </c>
      <c r="AF351" s="94">
        <f ca="1">Sheet1!AA349+Sheet1!BN349+P351+'Calculations II'!BC351+Calculation!AS351+Calculation!DJ351</f>
        <v>56.766479340067121</v>
      </c>
      <c r="AG351" s="94">
        <f ca="1">IF(B351=TODAY(),0,Sheet1!AA349+Sheet1!BN349+'Calculations II'!BC351+'Calculations II'!P351-Sheet1!CT349-BP351)</f>
        <v>31.588615802609858</v>
      </c>
      <c r="AH351" s="94">
        <f ca="1">IF(B351=TODAY(),0,Sheet1!AA349+Sheet1!BN349+'Calculations II'!BC351+'Calculations II'!P351-BP351)</f>
        <v>46.13961580260986</v>
      </c>
      <c r="AI351" s="94">
        <f ca="1">IF(B351=TODAY(),0,BC351+Sheet1!AA349+Calculation!ES351+O351+W351+Sheet1!BN349+Calculation!AS351+Calculation!DJ351-BP351)</f>
        <v>56.766479340067121</v>
      </c>
      <c r="AJ351" s="94"/>
      <c r="AM351" s="90">
        <f t="shared" si="81"/>
        <v>43075</v>
      </c>
      <c r="AN351" s="94">
        <f>Sheet1!BU349</f>
        <v>21.7</v>
      </c>
      <c r="AO351" s="94">
        <f>Sheet1!AA349</f>
        <v>23.3</v>
      </c>
      <c r="AP351" s="94">
        <f t="shared" si="70"/>
        <v>-1.1357000000000053</v>
      </c>
      <c r="AQ351" s="1086">
        <f>((Sheet1!BV349-(Sheet1!BU349-AP351))/(Sheet1!BU349-AP351))</f>
        <v>0.16922187627267812</v>
      </c>
      <c r="AR351" s="94">
        <f t="shared" si="71"/>
        <v>24.435700000000004</v>
      </c>
      <c r="AS351" s="94">
        <f t="shared" si="72"/>
        <v>22.835700000000003</v>
      </c>
      <c r="AT351" s="89">
        <f>Sheet1!BB349</f>
        <v>0</v>
      </c>
      <c r="AU351" s="89">
        <f>Sheet1!AS349*GPMtoMGD</f>
        <v>2.0016000000000003E-2</v>
      </c>
      <c r="AV351" s="94">
        <f>Sheet1!AT349</f>
        <v>0</v>
      </c>
      <c r="AW351" s="89">
        <f>Sheet1!AV349*GPMtoMGD</f>
        <v>1.1088000000000001E-2</v>
      </c>
      <c r="AX351" s="89">
        <f>Sheet1!AW349*GPMtoMGD</f>
        <v>1.1613600000000002</v>
      </c>
      <c r="AY351" s="89">
        <f>Sheet1!AX349*GPMtoMGD</f>
        <v>8.1072000000000005E-2</v>
      </c>
      <c r="AZ351" s="89">
        <f>Sheet1!AY349*GPMtoMGD</f>
        <v>0</v>
      </c>
      <c r="BA351" s="89">
        <f>Sheet1!AZ349*GPMtoMGD</f>
        <v>0</v>
      </c>
      <c r="BB351" s="89">
        <f>Sheet1!BP349*GPMtoMGD</f>
        <v>3.6000000000000003E-3</v>
      </c>
      <c r="BC351" s="89">
        <f>Sheet1!CS349*GPMtoMGD</f>
        <v>0</v>
      </c>
      <c r="BD351" s="89">
        <f>Sheet1!BO349*GPMtoMGD</f>
        <v>1.49472</v>
      </c>
      <c r="BE351" s="89">
        <f>Sheet1!BW349*GPMtoMGD</f>
        <v>0.85651199999999994</v>
      </c>
      <c r="BF351" s="89">
        <f>Sheet1!CN349*GPMtoMGD</f>
        <v>0.31867200000000001</v>
      </c>
      <c r="BG351" s="89">
        <f>Sheet1!CO349*GPMtoMGD</f>
        <v>0.57081599999999999</v>
      </c>
      <c r="BH351" s="89">
        <f>Sheet1!CP349*GPMtoMGD</f>
        <v>0</v>
      </c>
      <c r="BI351" s="89">
        <f t="shared" si="82"/>
        <v>1.4983200000000001</v>
      </c>
      <c r="BK351" s="94">
        <f>SUM(AT351:BA351,AS351,BC351,Calculation!AQ351)</f>
        <v>45.552372462542749</v>
      </c>
      <c r="BM351" s="358">
        <f>0</f>
        <v>0</v>
      </c>
      <c r="BN351" s="358">
        <f>0</f>
        <v>0</v>
      </c>
      <c r="BP351" s="94">
        <f>SUM(BM351:BN351,W351,Sheet1!DX349)</f>
        <v>0</v>
      </c>
      <c r="BR351" s="94">
        <f>Sheet1!AA349</f>
        <v>23.3</v>
      </c>
      <c r="BS351" s="94">
        <f>Sheet1!AB349</f>
        <v>32.07</v>
      </c>
      <c r="BT351" s="94">
        <f t="shared" ca="1" si="73"/>
        <v>1.3296158026098586</v>
      </c>
      <c r="BU351" s="94">
        <f>Sheet1!AT349</f>
        <v>0</v>
      </c>
      <c r="BV351" s="89">
        <f>Sheet1!BB349</f>
        <v>0</v>
      </c>
      <c r="BW351" s="94">
        <f>Calculation!ED351</f>
        <v>10.626863537457258</v>
      </c>
      <c r="BX351" s="94">
        <f>(Sheet1!CS349*1440)/1000000</f>
        <v>0</v>
      </c>
      <c r="CA351" s="94">
        <f ca="1">Sheet1!AC349-Sheet1!BK349-Sheet1!BL349-Sheet1!BM349-Sheet1!BC349-Sheet1!BD349-Sheet1!BE349-Sheet1!BF349-Sheet1!BG349-Sheet1!BH349-Sheet1!BI349+BC351+P351</f>
        <v>46.039615802609866</v>
      </c>
      <c r="CB351" s="93">
        <f t="shared" si="74"/>
        <v>69.217632107553626</v>
      </c>
      <c r="CC351" s="94">
        <f t="shared" si="75"/>
        <v>0</v>
      </c>
      <c r="CD351" s="94">
        <f t="shared" ca="1" si="76"/>
        <v>56.666479340067127</v>
      </c>
      <c r="CE351" s="1077">
        <f t="shared" ca="1" si="77"/>
        <v>87.663043539083844</v>
      </c>
      <c r="CG351" s="1077">
        <f t="shared" ca="1" si="78"/>
        <v>46.039615802609866</v>
      </c>
    </row>
    <row r="352" spans="1:85" s="89" customFormat="1" x14ac:dyDescent="0.25">
      <c r="A352" s="616" t="s">
        <v>7</v>
      </c>
      <c r="B352" s="91">
        <v>43076</v>
      </c>
      <c r="C352" s="92">
        <v>0</v>
      </c>
      <c r="D352" s="94">
        <f>(Sheet1!BQ350-Sheet1!BQ349)*1.385</f>
        <v>0.38780000000000159</v>
      </c>
      <c r="E352" s="30">
        <f>(Sheet1!BR350-Sheet1!BR349)*1.385</f>
        <v>0.34625</v>
      </c>
      <c r="F352" s="30">
        <f ca="1">IF(B352=TODAY(),0,-(VLOOKUP(Sheet1!CD350,Lookup!$I$4:$J$216,2)-VLOOKUP(Sheet1!CD349,Lookup!$I$4:$J$216,2))/1000000)</f>
        <v>0.20727387709560618</v>
      </c>
      <c r="G352" s="94">
        <f ca="1">IF(B352=TODAY(),0,-$G$6*(Sheet1!CF350-Sheet1!CF349)*7.48/1000000)</f>
        <v>0.39713501052559297</v>
      </c>
      <c r="H352" s="94">
        <f ca="1">IF(B352=TODAY(),0,-$H$6*(Sheet1!CE350-Sheet1!CE349)*7.48/1000000)</f>
        <v>0</v>
      </c>
      <c r="I352" s="94">
        <f ca="1">IF(B352=TODAY(),0,-$I$6*(Sheet1!CG350-Sheet1!CG349)*7.48/1000000)</f>
        <v>1.7969952000000015E-2</v>
      </c>
      <c r="J352" s="95" t="s">
        <v>177</v>
      </c>
      <c r="K352" s="94">
        <f ca="1">IF(B352=TODAY(),0,-$K$6*(Sheet1!CH350-Sheet1!CH349)*7.48/1000000)</f>
        <v>3.3316601872292212E-2</v>
      </c>
      <c r="L352" s="95" t="s">
        <v>177</v>
      </c>
      <c r="M352" s="94">
        <f ca="1">IF(B352=TODAY(),0,-$M$6*(Sheet1!CI350-Sheet1!CI349)*7.48/1000000)</f>
        <v>7.5564335397713261E-2</v>
      </c>
      <c r="N352" s="94">
        <f ca="1">IF(B352=TODAY(),0,-$N$6*(Sheet1!CJ350-Sheet1!CJ349)*7.48/1000000)</f>
        <v>1.2410469078924517E-2</v>
      </c>
      <c r="O352" s="94">
        <f t="shared" ca="1" si="79"/>
        <v>0.74367024597012921</v>
      </c>
      <c r="P352" s="94">
        <f ca="1">O352+Calculation!ES352</f>
        <v>5.1393747418149505E-2</v>
      </c>
      <c r="Q352" s="89" t="str">
        <f>IF(Sheet1!BQ350&gt;25.75,"spill elevation","-")</f>
        <v>-</v>
      </c>
      <c r="R352" s="89" t="str">
        <f>IF(Sheet1!BQ350&gt;25.75,"spill elevation","-")</f>
        <v>-</v>
      </c>
      <c r="S352" s="89" t="str">
        <f>IF(Sheet1!BR350&gt;25.75,"spill elevation","-")</f>
        <v>-</v>
      </c>
      <c r="T352" s="93">
        <f>IF(Sheet1!DU350=1,Sheet1!AA350-(SUM(AT352:BA352)+BE352),Sheet1!AA350-SUM(AT352:BA352))</f>
        <v>24.353279999999998</v>
      </c>
      <c r="U352" s="93">
        <f>Sheet1!BV350</f>
        <v>26.8</v>
      </c>
      <c r="V352" s="93">
        <f t="shared" si="80"/>
        <v>-2.4467200000000027</v>
      </c>
      <c r="W352" s="93">
        <f>0</f>
        <v>0</v>
      </c>
      <c r="X352" s="89">
        <f>0</f>
        <v>0</v>
      </c>
      <c r="Y352" s="94">
        <f ca="1">Calculation!EJ353+Calculation!ES352+'Calculations II'!O352-'Calculations II'!W352</f>
        <v>48.389213728118044</v>
      </c>
      <c r="Z352" s="94">
        <f ca="1">Y352-Sheet1!CT351</f>
        <v>32.032213728118045</v>
      </c>
      <c r="AA352" s="94">
        <f ca="1">Y352+Calculation!DJ353+Calculation!AS353</f>
        <v>58.902841832297327</v>
      </c>
      <c r="AC352" s="94">
        <f>Sheet1!AA350+Sheet1!AB350+BC352</f>
        <v>58.2</v>
      </c>
      <c r="AD352" s="94">
        <f>Sheet1!AA350+Sheet1!BN350+'Calculations II'!BC352-Calculation!AS352-Calculation!DJ352</f>
        <v>37.358983666061704</v>
      </c>
      <c r="AE352" s="94">
        <f>Sheet1!AA350+Sheet1!AB350+'Calculations II'!BC352-Calculation!AS352-Calculation!DJ352</f>
        <v>47.75898366606171</v>
      </c>
      <c r="AF352" s="94">
        <f ca="1">Sheet1!AA350+Sheet1!BN350+P352+'Calculations II'!BC352+Calculation!AS352+Calculation!DJ352</f>
        <v>58.292410081356437</v>
      </c>
      <c r="AG352" s="94">
        <f ca="1">IF(B352=TODAY(),0,Sheet1!AA350+Sheet1!BN350+'Calculations II'!BC352+'Calculations II'!P352-Sheet1!CT350-BP352)</f>
        <v>31.540393747418143</v>
      </c>
      <c r="AH352" s="94">
        <f ca="1">IF(B352=TODAY(),0,Sheet1!AA350+Sheet1!BN350+'Calculations II'!BC352+'Calculations II'!P352-BP352)</f>
        <v>47.851393747418143</v>
      </c>
      <c r="AI352" s="94">
        <f ca="1">IF(B352=TODAY(),0,BC352+Sheet1!AA350+Calculation!ES352+O352+W352+Sheet1!BN350+Calculation!AS352+Calculation!DJ352-BP352)</f>
        <v>58.292410081356444</v>
      </c>
      <c r="AJ352" s="94"/>
      <c r="AM352" s="90">
        <f t="shared" si="81"/>
        <v>43076</v>
      </c>
      <c r="AN352" s="94">
        <f>Sheet1!BU350</f>
        <v>23.4</v>
      </c>
      <c r="AO352" s="94">
        <f>Sheet1!AA350</f>
        <v>25.2</v>
      </c>
      <c r="AP352" s="94">
        <f t="shared" si="70"/>
        <v>0.73405000000000165</v>
      </c>
      <c r="AQ352" s="1086">
        <f>((Sheet1!BV350-(Sheet1!BU350-AP352))/(Sheet1!BU350-AP352))</f>
        <v>0.18239032557647072</v>
      </c>
      <c r="AR352" s="94">
        <f t="shared" si="71"/>
        <v>24.465949999999999</v>
      </c>
      <c r="AS352" s="94">
        <f t="shared" si="72"/>
        <v>22.665949999999995</v>
      </c>
      <c r="AT352" s="89">
        <f>Sheet1!BB350</f>
        <v>0</v>
      </c>
      <c r="AU352" s="89">
        <f>Sheet1!AS350*GPMtoMGD</f>
        <v>0</v>
      </c>
      <c r="AV352" s="94">
        <f>Sheet1!AT350</f>
        <v>0</v>
      </c>
      <c r="AW352" s="89">
        <f>Sheet1!AV350*GPMtoMGD</f>
        <v>0.39024000000000003</v>
      </c>
      <c r="AX352" s="89">
        <f>Sheet1!AW350*GPMtoMGD</f>
        <v>0.39528000000000002</v>
      </c>
      <c r="AY352" s="89">
        <f>Sheet1!AX350*GPMtoMGD</f>
        <v>6.1200000000000004E-2</v>
      </c>
      <c r="AZ352" s="89">
        <f>Sheet1!AY350*GPMtoMGD</f>
        <v>0</v>
      </c>
      <c r="BA352" s="89">
        <f>Sheet1!AZ350*GPMtoMGD</f>
        <v>0</v>
      </c>
      <c r="BB352" s="89">
        <f>Sheet1!BP350*GPMtoMGD</f>
        <v>3.8880000000000004E-3</v>
      </c>
      <c r="BC352" s="89">
        <f>Sheet1!CS350*GPMtoMGD</f>
        <v>0</v>
      </c>
      <c r="BD352" s="89">
        <f>Sheet1!BO350*GPMtoMGD</f>
        <v>1.5173280000000002</v>
      </c>
      <c r="BE352" s="89">
        <f>Sheet1!BW350*GPMtoMGD</f>
        <v>1.081296</v>
      </c>
      <c r="BF352" s="89">
        <f>Sheet1!CN350*GPMtoMGD</f>
        <v>0.165744</v>
      </c>
      <c r="BG352" s="89">
        <f>Sheet1!CO350*GPMtoMGD</f>
        <v>0.58305600000000002</v>
      </c>
      <c r="BH352" s="89">
        <f>Sheet1!CP350*GPMtoMGD</f>
        <v>0</v>
      </c>
      <c r="BI352" s="89">
        <f t="shared" si="82"/>
        <v>1.5212160000000001</v>
      </c>
      <c r="BK352" s="94">
        <f>SUM(AT352:BA352,AS352,BC352,Calculation!AQ352)</f>
        <v>46.071653666061707</v>
      </c>
      <c r="BM352" s="358">
        <f>0</f>
        <v>0</v>
      </c>
      <c r="BN352" s="358">
        <f>0</f>
        <v>0</v>
      </c>
      <c r="BP352" s="94">
        <f>SUM(BM352:BN352,W352,Sheet1!DX350)</f>
        <v>0</v>
      </c>
      <c r="BR352" s="94">
        <f>Sheet1!AA350</f>
        <v>25.2</v>
      </c>
      <c r="BS352" s="94">
        <f>Sheet1!AB350</f>
        <v>33</v>
      </c>
      <c r="BT352" s="94">
        <f t="shared" ca="1" si="73"/>
        <v>5.1393747418149505E-2</v>
      </c>
      <c r="BU352" s="94">
        <f>Sheet1!AT350</f>
        <v>0</v>
      </c>
      <c r="BV352" s="89">
        <f>Sheet1!BB350</f>
        <v>0</v>
      </c>
      <c r="BW352" s="94">
        <f>Calculation!ED352</f>
        <v>10.441016333938293</v>
      </c>
      <c r="BX352" s="94">
        <f>(Sheet1!CS350*1440)/1000000</f>
        <v>0</v>
      </c>
      <c r="CA352" s="94">
        <f ca="1">Sheet1!AC350-Sheet1!BK350-Sheet1!BL350-Sheet1!BM350-Sheet1!BC350-Sheet1!BD350-Sheet1!BE350-Sheet1!BF350-Sheet1!BG350-Sheet1!BH350-Sheet1!BI350+BC352+P352</f>
        <v>47.791393747418155</v>
      </c>
      <c r="CB352" s="93">
        <f t="shared" si="74"/>
        <v>73.883147731397457</v>
      </c>
      <c r="CC352" s="94">
        <f t="shared" si="75"/>
        <v>0</v>
      </c>
      <c r="CD352" s="94">
        <f t="shared" ca="1" si="76"/>
        <v>58.232410081356448</v>
      </c>
      <c r="CE352" s="1077">
        <f t="shared" ca="1" si="77"/>
        <v>90.085538395858421</v>
      </c>
      <c r="CG352" s="1077">
        <f t="shared" ca="1" si="78"/>
        <v>47.791393747418155</v>
      </c>
    </row>
    <row r="353" spans="1:85" s="89" customFormat="1" x14ac:dyDescent="0.25">
      <c r="A353" s="616" t="s">
        <v>8</v>
      </c>
      <c r="B353" s="91">
        <v>43077</v>
      </c>
      <c r="C353" s="92">
        <v>0</v>
      </c>
      <c r="D353" s="94">
        <f>(Sheet1!BQ351-Sheet1!BQ350)*1.385</f>
        <v>0.9279499999999975</v>
      </c>
      <c r="E353" s="30">
        <f>(Sheet1!BR351-Sheet1!BR350)*1.385</f>
        <v>0.91410000000000025</v>
      </c>
      <c r="F353" s="30">
        <f ca="1">IF(B353=TODAY(),0,-(VLOOKUP(Sheet1!CD351,Lookup!$I$4:$J$216,2)-VLOOKUP(Sheet1!CD350,Lookup!$I$4:$J$216,2))/1000000)</f>
        <v>0.10363693854779936</v>
      </c>
      <c r="G353" s="94">
        <f ca="1">IF(B353=TODAY(),0,-$G$6*(Sheet1!CF351-Sheet1!CF350)*7.48/1000000)</f>
        <v>-0.27799450736791476</v>
      </c>
      <c r="H353" s="94">
        <f ca="1">IF(B353=TODAY(),0,-$H$6*(Sheet1!CE351-Sheet1!CE350)*7.48/1000000)</f>
        <v>-1.5039432351265274E-2</v>
      </c>
      <c r="I353" s="94">
        <f ca="1">IF(B353=TODAY(),0,-$I$6*(Sheet1!CG351-Sheet1!CG350)*7.48/1000000)</f>
        <v>8.9849760000000074E-3</v>
      </c>
      <c r="J353" s="95" t="s">
        <v>177</v>
      </c>
      <c r="K353" s="94">
        <f ca="1">IF(B353=TODAY(),0,-$K$6*(Sheet1!CH351-Sheet1!CH350)*7.48/1000000)</f>
        <v>1.9989961123375376E-2</v>
      </c>
      <c r="L353" s="95" t="s">
        <v>177</v>
      </c>
      <c r="M353" s="94">
        <f ca="1">IF(B353=TODAY(),0,-$M$6*(Sheet1!CI351-Sheet1!CI350)*7.48/1000000)</f>
        <v>5.037622359847594E-2</v>
      </c>
      <c r="N353" s="94">
        <f ca="1">IF(B353=TODAY(),0,-$N$6*(Sheet1!CJ351-Sheet1!CJ350)*7.48/1000000)</f>
        <v>0.13030992532870961</v>
      </c>
      <c r="O353" s="94">
        <f t="shared" ca="1" si="79"/>
        <v>2.0264084879180244E-2</v>
      </c>
      <c r="P353" s="94">
        <f ca="1">O353+Calculation!ES353</f>
        <v>-1.7801277254720203</v>
      </c>
      <c r="Q353" s="89" t="str">
        <f>IF(Sheet1!BQ351&gt;25.75,"spill elevation","-")</f>
        <v>-</v>
      </c>
      <c r="R353" s="89" t="str">
        <f>IF(Sheet1!BQ351&gt;25.75,"spill elevation","-")</f>
        <v>-</v>
      </c>
      <c r="S353" s="89" t="str">
        <f>IF(Sheet1!BR351&gt;25.75,"spill elevation","-")</f>
        <v>-</v>
      </c>
      <c r="T353" s="93">
        <f>IF(Sheet1!DU351=1,Sheet1!AA351-(SUM(AT353:BA353)+BE353),Sheet1!AA351-SUM(AT353:BA353))</f>
        <v>25.568816000000002</v>
      </c>
      <c r="U353" s="93">
        <f>Sheet1!BV351</f>
        <v>27.1</v>
      </c>
      <c r="V353" s="93">
        <f t="shared" si="80"/>
        <v>-1.5311839999999997</v>
      </c>
      <c r="W353" s="93">
        <f>0</f>
        <v>0</v>
      </c>
      <c r="X353" s="89">
        <f>0</f>
        <v>0</v>
      </c>
      <c r="Y353" s="94">
        <f ca="1">Calculation!EJ354+Calculation!ES353+'Calculations II'!O353-'Calculations II'!W353</f>
        <v>44.320496082416227</v>
      </c>
      <c r="Z353" s="94">
        <f ca="1">Y353-Sheet1!CT352</f>
        <v>27.302496082416226</v>
      </c>
      <c r="AA353" s="94">
        <f ca="1">Y353+Calculation!DJ354+Calculation!AS354</f>
        <v>54.720496082416226</v>
      </c>
      <c r="AC353" s="94">
        <f>Sheet1!AA351+Sheet1!AB351+BC353</f>
        <v>59.6</v>
      </c>
      <c r="AD353" s="94">
        <f>Sheet1!AA351+Sheet1!BN351+'Calculations II'!BC353-Calculation!AS353-Calculation!DJ353</f>
        <v>38.586371895820719</v>
      </c>
      <c r="AE353" s="94">
        <f>Sheet1!AA351+Sheet1!AB351+'Calculations II'!BC353-Calculation!AS353-Calculation!DJ353</f>
        <v>49.086371895820719</v>
      </c>
      <c r="AF353" s="94">
        <f ca="1">Sheet1!AA351+Sheet1!BN351+P353+'Calculations II'!BC353+Calculation!AS353+Calculation!DJ353</f>
        <v>57.833500378707271</v>
      </c>
      <c r="AG353" s="94">
        <f ca="1">IF(B353=TODAY(),0,Sheet1!AA351+Sheet1!BN351+'Calculations II'!BC353+'Calculations II'!P353-Sheet1!CT351-BP353)</f>
        <v>30.962872274527982</v>
      </c>
      <c r="AH353" s="94">
        <f ca="1">IF(B353=TODAY(),0,Sheet1!AA351+Sheet1!BN351+'Calculations II'!BC353+'Calculations II'!P353-BP353)</f>
        <v>47.319872274527981</v>
      </c>
      <c r="AI353" s="94">
        <f ca="1">IF(B353=TODAY(),0,BC353+Sheet1!AA351+Calculation!ES353+O353+W353+Sheet1!BN351+Calculation!AS353+Calculation!DJ353-BP353)</f>
        <v>57.833500378707271</v>
      </c>
      <c r="AJ353" s="94"/>
      <c r="AM353" s="90">
        <f t="shared" si="81"/>
        <v>43077</v>
      </c>
      <c r="AN353" s="94">
        <f>Sheet1!BU351</f>
        <v>24.8</v>
      </c>
      <c r="AO353" s="94">
        <f>Sheet1!AA351</f>
        <v>26.6</v>
      </c>
      <c r="AP353" s="94">
        <f t="shared" si="70"/>
        <v>1.8420499999999977</v>
      </c>
      <c r="AQ353" s="1086">
        <f>((Sheet1!BV351-(Sheet1!BU351-AP353))/(Sheet1!BU351-AP353))</f>
        <v>0.18041898340226356</v>
      </c>
      <c r="AR353" s="94">
        <f t="shared" si="71"/>
        <v>24.757950000000005</v>
      </c>
      <c r="AS353" s="94">
        <f t="shared" si="72"/>
        <v>22.957950000000004</v>
      </c>
      <c r="AT353" s="89">
        <f>Sheet1!BB351</f>
        <v>0</v>
      </c>
      <c r="AU353" s="89">
        <f>Sheet1!AS351*GPMtoMGD</f>
        <v>3.2688000000000002E-2</v>
      </c>
      <c r="AV353" s="94">
        <f>Sheet1!AT351</f>
        <v>0</v>
      </c>
      <c r="AW353" s="89">
        <f>Sheet1!AV351*GPMtoMGD</f>
        <v>0.27734400000000003</v>
      </c>
      <c r="AX353" s="89">
        <f>Sheet1!AW351*GPMtoMGD</f>
        <v>0.691056</v>
      </c>
      <c r="AY353" s="89">
        <f>Sheet1!AX351*GPMtoMGD</f>
        <v>3.0096000000000001E-2</v>
      </c>
      <c r="AZ353" s="89">
        <f>Sheet1!AY351*GPMtoMGD</f>
        <v>0</v>
      </c>
      <c r="BA353" s="89">
        <f>Sheet1!AZ351*GPMtoMGD</f>
        <v>0</v>
      </c>
      <c r="BB353" s="89">
        <f>Sheet1!BP351*GPMtoMGD</f>
        <v>4.032E-3</v>
      </c>
      <c r="BC353" s="89">
        <f>Sheet1!CS351*GPMtoMGD</f>
        <v>0</v>
      </c>
      <c r="BD353" s="89">
        <f>Sheet1!BO351*GPMtoMGD</f>
        <v>1.5389280000000001</v>
      </c>
      <c r="BE353" s="89">
        <f>Sheet1!BW351*GPMtoMGD</f>
        <v>1.05264</v>
      </c>
      <c r="BF353" s="89">
        <f>Sheet1!CN351*GPMtoMGD</f>
        <v>0.168624</v>
      </c>
      <c r="BG353" s="89">
        <f>Sheet1!CO351*GPMtoMGD</f>
        <v>0.59659200000000001</v>
      </c>
      <c r="BH353" s="89">
        <f>Sheet1!CP351*GPMtoMGD</f>
        <v>0</v>
      </c>
      <c r="BI353" s="89">
        <f t="shared" si="82"/>
        <v>1.5429600000000001</v>
      </c>
      <c r="BK353" s="94">
        <f>SUM(AT353:BA353,AS353,BC353,Calculation!AQ353)</f>
        <v>46.475505895820717</v>
      </c>
      <c r="BM353" s="358">
        <f>0</f>
        <v>0</v>
      </c>
      <c r="BN353" s="358">
        <f>0</f>
        <v>0</v>
      </c>
      <c r="BP353" s="94">
        <f>SUM(BM353:BN353,W353,Sheet1!DX351)</f>
        <v>0</v>
      </c>
      <c r="BR353" s="94">
        <f>Sheet1!AA351</f>
        <v>26.6</v>
      </c>
      <c r="BS353" s="94">
        <f>Sheet1!AB351</f>
        <v>33</v>
      </c>
      <c r="BT353" s="94">
        <f t="shared" ca="1" si="73"/>
        <v>-1.7801277254720203</v>
      </c>
      <c r="BU353" s="94">
        <f>Sheet1!AT351</f>
        <v>0</v>
      </c>
      <c r="BV353" s="89">
        <f>Sheet1!BB351</f>
        <v>0</v>
      </c>
      <c r="BW353" s="94">
        <f>Calculation!ED353</f>
        <v>10.513628104179286</v>
      </c>
      <c r="BX353" s="94">
        <f>(Sheet1!CS351*1440)/1000000</f>
        <v>0</v>
      </c>
      <c r="CA353" s="94">
        <f ca="1">Sheet1!AC351-Sheet1!BK351-Sheet1!BL351-Sheet1!BM351-Sheet1!BC351-Sheet1!BD351-Sheet1!BE351-Sheet1!BF351-Sheet1!BG351-Sheet1!BH351-Sheet1!BI351+BC353+P353</f>
        <v>47.299872274527985</v>
      </c>
      <c r="CB353" s="93">
        <f t="shared" si="74"/>
        <v>75.93661732283465</v>
      </c>
      <c r="CC353" s="94">
        <f t="shared" si="75"/>
        <v>0</v>
      </c>
      <c r="CD353" s="94">
        <f t="shared" ca="1" si="76"/>
        <v>57.813500378707275</v>
      </c>
      <c r="CE353" s="1077">
        <f t="shared" ca="1" si="77"/>
        <v>89.437485085860146</v>
      </c>
      <c r="CG353" s="1077">
        <f t="shared" ca="1" si="78"/>
        <v>47.299872274527985</v>
      </c>
    </row>
    <row r="354" spans="1:85" s="89" customFormat="1" x14ac:dyDescent="0.25">
      <c r="A354" s="616" t="s">
        <v>9</v>
      </c>
      <c r="B354" s="91">
        <v>43078</v>
      </c>
      <c r="C354" s="92">
        <v>0</v>
      </c>
      <c r="D354" s="94">
        <f>(Sheet1!BQ352-Sheet1!BQ351)*1.385</f>
        <v>-0.55399999999999805</v>
      </c>
      <c r="E354" s="30">
        <f>(Sheet1!BR352-Sheet1!BR351)*1.385</f>
        <v>-0.49859999999999921</v>
      </c>
      <c r="F354" s="30">
        <f ca="1">IF(B354=TODAY(),0,-(VLOOKUP(Sheet1!CD352,Lookup!$I$4:$J$216,2)-VLOOKUP(Sheet1!CD351,Lookup!$I$4:$J$216,2))/1000000)</f>
        <v>-0.31091081564340556</v>
      </c>
      <c r="G354" s="94">
        <f ca="1">IF(B354=TODAY(),0,-$G$6*(Sheet1!CF352-Sheet1!CF351)*7.48/1000000)</f>
        <v>-0.27799450736791476</v>
      </c>
      <c r="H354" s="94">
        <f ca="1">IF(B354=TODAY(),0,-$H$6*(Sheet1!CE352-Sheet1!CE351)*7.48/1000000)</f>
        <v>-1.5039432351264204E-2</v>
      </c>
      <c r="I354" s="94">
        <f ca="1">IF(B354=TODAY(),0,-$I$6*(Sheet1!CG352-Sheet1!CG351)*7.48/1000000)</f>
        <v>-8.9849760000000074E-3</v>
      </c>
      <c r="J354" s="95" t="s">
        <v>177</v>
      </c>
      <c r="K354" s="94">
        <f ca="1">IF(B354=TODAY(),0,-$K$6*(Sheet1!CH352-Sheet1!CH351)*7.48/1000000)</f>
        <v>-1.9989961123375376E-2</v>
      </c>
      <c r="L354" s="95" t="s">
        <v>177</v>
      </c>
      <c r="M354" s="94">
        <f ca="1">IF(B354=TODAY(),0,-$M$6*(Sheet1!CI352-Sheet1!CI351)*7.48/1000000)</f>
        <v>-5.3974525284081275E-2</v>
      </c>
      <c r="N354" s="94">
        <f ca="1">IF(B354=TODAY(),0,-$N$6*(Sheet1!CJ352-Sheet1!CJ351)*7.48/1000000)</f>
        <v>-0.21097797434172119</v>
      </c>
      <c r="O354" s="94">
        <f t="shared" ca="1" si="79"/>
        <v>-0.89787219211176239</v>
      </c>
      <c r="P354" s="94">
        <f ca="1">O354+Calculation!ES354</f>
        <v>0.21010855391049177</v>
      </c>
      <c r="Q354" s="89" t="str">
        <f>IF(Sheet1!BQ352&gt;25.75,"spill elevation","-")</f>
        <v>-</v>
      </c>
      <c r="R354" s="89" t="str">
        <f>IF(Sheet1!BQ352&gt;25.75,"spill elevation","-")</f>
        <v>-</v>
      </c>
      <c r="S354" s="89" t="str">
        <f>IF(Sheet1!BR352&gt;25.75,"spill elevation","-")</f>
        <v>-</v>
      </c>
      <c r="T354" s="93">
        <f>IF(Sheet1!DU352=1,Sheet1!AA352-(SUM(AT354:BA354)+BE354),Sheet1!AA352-SUM(AT354:BA354))</f>
        <v>24.101504000000002</v>
      </c>
      <c r="U354" s="93">
        <f>Sheet1!BV352</f>
        <v>28.8</v>
      </c>
      <c r="V354" s="93">
        <f t="shared" si="80"/>
        <v>-4.6984959999999987</v>
      </c>
      <c r="W354" s="93">
        <f>0</f>
        <v>0</v>
      </c>
      <c r="X354" s="89">
        <f>0</f>
        <v>0</v>
      </c>
      <c r="Y354" s="94">
        <f ca="1">Calculation!EJ355+Calculation!ES354+'Calculations II'!O354-'Calculations II'!W354</f>
        <v>45.657766659842629</v>
      </c>
      <c r="Z354" s="94">
        <f ca="1">Y354-Sheet1!CT353</f>
        <v>28.70476665984263</v>
      </c>
      <c r="AA354" s="94">
        <f ca="1">Y354+Calculation!DJ355+Calculation!AS355</f>
        <v>56.18968155345965</v>
      </c>
      <c r="AC354" s="94">
        <f>Sheet1!AA352+Sheet1!AB352+BC354</f>
        <v>58</v>
      </c>
      <c r="AD354" s="94">
        <f>Sheet1!AA352+Sheet1!BN352+'Calculations II'!BC354-Calculation!AS354-Calculation!DJ354</f>
        <v>37.200000000000003</v>
      </c>
      <c r="AE354" s="94">
        <f>Sheet1!AA352+Sheet1!AB352+'Calculations II'!BC354-Calculation!AS354-Calculation!DJ354</f>
        <v>47.6</v>
      </c>
      <c r="AF354" s="94">
        <f ca="1">Sheet1!AA352+Sheet1!BN352+P354+'Calculations II'!BC354+Calculation!AS354+Calculation!DJ354</f>
        <v>58.210108553910494</v>
      </c>
      <c r="AG354" s="94">
        <f ca="1">IF(B354=TODAY(),0,Sheet1!AA352+Sheet1!BN352+'Calculations II'!BC354+'Calculations II'!P354-Sheet1!CT352-BP354)</f>
        <v>30.792108553910495</v>
      </c>
      <c r="AH354" s="94">
        <f ca="1">IF(B354=TODAY(),0,Sheet1!AA352+Sheet1!BN352+'Calculations II'!BC354+'Calculations II'!P354-BP354)</f>
        <v>47.810108553910496</v>
      </c>
      <c r="AI354" s="94">
        <f ca="1">IF(B354=TODAY(),0,BC354+Sheet1!AA352+Calculation!ES354+O354+W354+Sheet1!BN352+Calculation!AS354+Calculation!DJ354-BP354)</f>
        <v>58.210108553910494</v>
      </c>
      <c r="AJ354" s="94"/>
      <c r="AM354" s="90">
        <f t="shared" si="81"/>
        <v>43078</v>
      </c>
      <c r="AN354" s="94">
        <f>Sheet1!BU352</f>
        <v>23.5</v>
      </c>
      <c r="AO354" s="94">
        <f>Sheet1!AA352</f>
        <v>25.1</v>
      </c>
      <c r="AP354" s="94">
        <f t="shared" si="70"/>
        <v>-1.0525999999999973</v>
      </c>
      <c r="AQ354" s="1086">
        <f>((Sheet1!BV352-(Sheet1!BU352-AP354))/(Sheet1!BU352-AP354))</f>
        <v>0.17299186236895492</v>
      </c>
      <c r="AR354" s="94">
        <f t="shared" si="71"/>
        <v>26.1526</v>
      </c>
      <c r="AS354" s="94">
        <f t="shared" si="72"/>
        <v>24.552599999999998</v>
      </c>
      <c r="AT354" s="89">
        <f>Sheet1!BB352</f>
        <v>0</v>
      </c>
      <c r="AU354" s="89">
        <f>Sheet1!AS352*GPMtoMGD</f>
        <v>2.5488E-2</v>
      </c>
      <c r="AV354" s="94">
        <f>Sheet1!AT352</f>
        <v>0</v>
      </c>
      <c r="AW354" s="89">
        <f>Sheet1!AV352*GPMtoMGD</f>
        <v>0.26438400000000001</v>
      </c>
      <c r="AX354" s="89">
        <f>Sheet1!AW352*GPMtoMGD</f>
        <v>0.70862400000000003</v>
      </c>
      <c r="AY354" s="89">
        <f>Sheet1!AX352*GPMtoMGD</f>
        <v>0</v>
      </c>
      <c r="AZ354" s="89">
        <f>Sheet1!AY352*GPMtoMGD</f>
        <v>0</v>
      </c>
      <c r="BA354" s="89">
        <f>Sheet1!AZ352*GPMtoMGD</f>
        <v>0</v>
      </c>
      <c r="BB354" s="89">
        <f>Sheet1!BP352*GPMtoMGD</f>
        <v>4.032E-3</v>
      </c>
      <c r="BC354" s="89">
        <f>Sheet1!CS352*GPMtoMGD</f>
        <v>0</v>
      </c>
      <c r="BD354" s="89">
        <f>Sheet1!BO352*GPMtoMGD</f>
        <v>1.723824</v>
      </c>
      <c r="BE354" s="89">
        <f>Sheet1!BW352*GPMtoMGD</f>
        <v>0.89625600000000005</v>
      </c>
      <c r="BF354" s="89">
        <f>Sheet1!CN352*GPMtoMGD</f>
        <v>0.265824</v>
      </c>
      <c r="BG354" s="89">
        <f>Sheet1!CO352*GPMtoMGD</f>
        <v>0.61416000000000004</v>
      </c>
      <c r="BH354" s="89">
        <f>Sheet1!CP352*GPMtoMGD</f>
        <v>0</v>
      </c>
      <c r="BI354" s="89">
        <f t="shared" si="82"/>
        <v>1.7278560000000001</v>
      </c>
      <c r="BK354" s="94">
        <f>SUM(AT354:BA354,AS354,BC354,Calculation!AQ354)</f>
        <v>48.051096000000001</v>
      </c>
      <c r="BM354" s="358">
        <f>0</f>
        <v>0</v>
      </c>
      <c r="BN354" s="358">
        <f>0</f>
        <v>0</v>
      </c>
      <c r="BP354" s="94">
        <f>SUM(BM354:BN354,W354,Sheet1!DX352)</f>
        <v>0</v>
      </c>
      <c r="BR354" s="94">
        <f>Sheet1!AA352</f>
        <v>25.1</v>
      </c>
      <c r="BS354" s="94">
        <f>Sheet1!AB352</f>
        <v>32.9</v>
      </c>
      <c r="BT354" s="94">
        <f t="shared" ca="1" si="73"/>
        <v>0.21010855391049177</v>
      </c>
      <c r="BU354" s="94">
        <f>Sheet1!AT352</f>
        <v>0</v>
      </c>
      <c r="BV354" s="89">
        <f>Sheet1!BB352</f>
        <v>0</v>
      </c>
      <c r="BW354" s="94">
        <f>Calculation!ED354</f>
        <v>10.399999999999999</v>
      </c>
      <c r="BX354" s="94">
        <f>(Sheet1!CS352*1440)/1000000</f>
        <v>0</v>
      </c>
      <c r="CA354" s="94">
        <f ca="1">Sheet1!AC352-Sheet1!BK352-Sheet1!BL352-Sheet1!BM352-Sheet1!BC352-Sheet1!BD352-Sheet1!BE352-Sheet1!BF352-Sheet1!BG352-Sheet1!BH352-Sheet1!BI352+BC354+P354</f>
        <v>47.810108553910496</v>
      </c>
      <c r="CB354" s="93">
        <f t="shared" si="74"/>
        <v>73.637199999999993</v>
      </c>
      <c r="CC354" s="94">
        <f t="shared" si="75"/>
        <v>0</v>
      </c>
      <c r="CD354" s="94">
        <f t="shared" ca="1" si="76"/>
        <v>58.210108553910494</v>
      </c>
      <c r="CE354" s="1077">
        <f t="shared" ca="1" si="77"/>
        <v>90.051037932899533</v>
      </c>
      <c r="CG354" s="1077">
        <f t="shared" ca="1" si="78"/>
        <v>47.810108553910496</v>
      </c>
    </row>
    <row r="355" spans="1:85" s="89" customFormat="1" x14ac:dyDescent="0.25">
      <c r="A355" s="616" t="s">
        <v>3</v>
      </c>
      <c r="B355" s="91">
        <v>43079</v>
      </c>
      <c r="C355" s="92">
        <v>0</v>
      </c>
      <c r="D355" s="94">
        <f>(Sheet1!BQ353-Sheet1!BQ352)*1.385</f>
        <v>-0.96949999999999903</v>
      </c>
      <c r="E355" s="30">
        <f>(Sheet1!BR353-Sheet1!BR352)*1.385</f>
        <v>-0.96949999999999903</v>
      </c>
      <c r="F355" s="30">
        <f ca="1">IF(B355=TODAY(),0,-(VLOOKUP(Sheet1!CD353,Lookup!$I$4:$J$216,2)-VLOOKUP(Sheet1!CD352,Lookup!$I$4:$J$216,2))/1000000)</f>
        <v>-0.62182163128679613</v>
      </c>
      <c r="G355" s="94">
        <f ca="1">IF(B355=TODAY(),0,-$G$6*(Sheet1!CF353-Sheet1!CF352)*7.48/1000000)</f>
        <v>0.43684851157815213</v>
      </c>
      <c r="H355" s="94">
        <f ca="1">IF(B355=TODAY(),0,-$H$6*(Sheet1!CE353-Sheet1!CE352)*7.48/1000000)</f>
        <v>0</v>
      </c>
      <c r="I355" s="94">
        <f ca="1">IF(B355=TODAY(),0,-$I$6*(Sheet1!CG353-Sheet1!CG352)*7.48/1000000)</f>
        <v>-4.4924879999999837E-3</v>
      </c>
      <c r="J355" s="95" t="s">
        <v>177</v>
      </c>
      <c r="K355" s="94">
        <f ca="1">IF(B355=TODAY(),0,-$K$6*(Sheet1!CH353-Sheet1!CH352)*7.48/1000000)</f>
        <v>-6.6633203744584186E-3</v>
      </c>
      <c r="L355" s="95" t="s">
        <v>177</v>
      </c>
      <c r="M355" s="94">
        <f ca="1">IF(B355=TODAY(),0,-$M$6*(Sheet1!CI353-Sheet1!CI352)*7.48/1000000)</f>
        <v>0</v>
      </c>
      <c r="N355" s="94">
        <f ca="1">IF(B355=TODAY(),0,-$N$6*(Sheet1!CJ353-Sheet1!CJ352)*7.48/1000000)</f>
        <v>-0.37231407236774317</v>
      </c>
      <c r="O355" s="94">
        <f t="shared" ca="1" si="79"/>
        <v>-0.56844300045084561</v>
      </c>
      <c r="P355" s="94">
        <f ca="1">O355+Calculation!ES355</f>
        <v>1.3700298801682853</v>
      </c>
      <c r="Q355" s="89" t="str">
        <f>IF(Sheet1!BQ353&gt;25.75,"spill elevation","-")</f>
        <v>-</v>
      </c>
      <c r="R355" s="89" t="str">
        <f>IF(Sheet1!BQ353&gt;25.75,"spill elevation","-")</f>
        <v>-</v>
      </c>
      <c r="S355" s="89" t="str">
        <f>IF(Sheet1!BR353&gt;25.75,"spill elevation","-")</f>
        <v>-</v>
      </c>
      <c r="T355" s="93">
        <f>IF(Sheet1!DU353=1,Sheet1!AA353-(SUM(AT355:BA355)+BE355),Sheet1!AA353-SUM(AT355:BA355))</f>
        <v>23.651983999999999</v>
      </c>
      <c r="U355" s="93">
        <f>Sheet1!BV353</f>
        <v>29.3</v>
      </c>
      <c r="V355" s="93">
        <f t="shared" si="80"/>
        <v>-5.6480160000000019</v>
      </c>
      <c r="W355" s="93">
        <f>0</f>
        <v>0</v>
      </c>
      <c r="X355" s="89">
        <f>0</f>
        <v>0</v>
      </c>
      <c r="Y355" s="94">
        <f ca="1">Calculation!EJ356+Calculation!ES355+'Calculations II'!O355-'Calculations II'!W355</f>
        <v>51.235980904226693</v>
      </c>
      <c r="Z355" s="94">
        <f ca="1">Y355-Sheet1!CT354</f>
        <v>35.172980904226691</v>
      </c>
      <c r="AA355" s="94">
        <f ca="1">Y355+Calculation!DJ356+Calculation!AS356</f>
        <v>61.735980904226693</v>
      </c>
      <c r="AC355" s="94">
        <f>Sheet1!AA353+Sheet1!AB353+BC355</f>
        <v>57.5</v>
      </c>
      <c r="AD355" s="94">
        <f>Sheet1!AA353+Sheet1!BN353+'Calculations II'!BC355-Calculation!AS355-Calculation!DJ355</f>
        <v>36.368085106382978</v>
      </c>
      <c r="AE355" s="94">
        <f>Sheet1!AA353+Sheet1!AB353+'Calculations II'!BC355-Calculation!AS355-Calculation!DJ355</f>
        <v>46.968085106382979</v>
      </c>
      <c r="AF355" s="94">
        <f ca="1">Sheet1!AA353+Sheet1!BN353+P355+'Calculations II'!BC355+Calculation!AS355+Calculation!DJ355</f>
        <v>58.801944773785301</v>
      </c>
      <c r="AG355" s="94">
        <f ca="1">IF(B355=TODAY(),0,Sheet1!AA353+Sheet1!BN353+'Calculations II'!BC355+'Calculations II'!P355-Sheet1!CT353-BP355)</f>
        <v>31.317029880168281</v>
      </c>
      <c r="AH355" s="94">
        <f ca="1">IF(B355=TODAY(),0,Sheet1!AA353+Sheet1!BN353+'Calculations II'!BC355+'Calculations II'!P355-BP355)</f>
        <v>48.270029880168281</v>
      </c>
      <c r="AI355" s="94">
        <f ca="1">IF(B355=TODAY(),0,BC355+Sheet1!AA353+Calculation!ES355+O355+W355+Sheet1!BN353+Calculation!AS355+Calculation!DJ355-BP355)</f>
        <v>58.801944773785301</v>
      </c>
      <c r="AJ355" s="94"/>
      <c r="AM355" s="90">
        <f t="shared" si="81"/>
        <v>43079</v>
      </c>
      <c r="AN355" s="94">
        <f>Sheet1!BU353</f>
        <v>22.7</v>
      </c>
      <c r="AO355" s="94">
        <f>Sheet1!AA353</f>
        <v>24.5</v>
      </c>
      <c r="AP355" s="94">
        <f t="shared" si="70"/>
        <v>-1.9389999999999981</v>
      </c>
      <c r="AQ355" s="1086">
        <f>((Sheet1!BV353-(Sheet1!BU353-AP355))/(Sheet1!BU353-AP355))</f>
        <v>0.18917163845935328</v>
      </c>
      <c r="AR355" s="94">
        <f t="shared" si="71"/>
        <v>26.438999999999997</v>
      </c>
      <c r="AS355" s="94">
        <f t="shared" si="72"/>
        <v>24.638999999999996</v>
      </c>
      <c r="AT355" s="89">
        <f>Sheet1!BB353</f>
        <v>0</v>
      </c>
      <c r="AU355" s="89">
        <f>Sheet1!AS353*GPMtoMGD</f>
        <v>2.376E-2</v>
      </c>
      <c r="AV355" s="94">
        <f>Sheet1!AT353</f>
        <v>0</v>
      </c>
      <c r="AW355" s="89">
        <f>Sheet1!AV353*GPMtoMGD</f>
        <v>0.34761600000000004</v>
      </c>
      <c r="AX355" s="89">
        <f>Sheet1!AW353*GPMtoMGD</f>
        <v>0.47664000000000001</v>
      </c>
      <c r="AY355" s="89">
        <f>Sheet1!AX353*GPMtoMGD</f>
        <v>0</v>
      </c>
      <c r="AZ355" s="89">
        <f>Sheet1!AY353*GPMtoMGD</f>
        <v>0</v>
      </c>
      <c r="BA355" s="89">
        <f>Sheet1!AZ353*GPMtoMGD</f>
        <v>0</v>
      </c>
      <c r="BB355" s="89">
        <f>Sheet1!BP353*GPMtoMGD</f>
        <v>3.8880000000000004E-3</v>
      </c>
      <c r="BC355" s="89">
        <f>Sheet1!CS353*GPMtoMGD</f>
        <v>0</v>
      </c>
      <c r="BD355" s="89">
        <f>Sheet1!BO353*GPMtoMGD</f>
        <v>1.7321760000000002</v>
      </c>
      <c r="BE355" s="89">
        <f>Sheet1!BW353*GPMtoMGD</f>
        <v>1.1076480000000002</v>
      </c>
      <c r="BF355" s="89">
        <f>Sheet1!CN353*GPMtoMGD</f>
        <v>0.28886400000000001</v>
      </c>
      <c r="BG355" s="89">
        <f>Sheet1!CO353*GPMtoMGD</f>
        <v>0.635328</v>
      </c>
      <c r="BH355" s="89">
        <f>Sheet1!CP353*GPMtoMGD</f>
        <v>0</v>
      </c>
      <c r="BI355" s="89">
        <f t="shared" si="82"/>
        <v>1.7360640000000001</v>
      </c>
      <c r="BK355" s="94">
        <f>SUM(AT355:BA355,AS355,BC355,Calculation!AQ355)</f>
        <v>47.955101106382976</v>
      </c>
      <c r="BM355" s="358">
        <f>0</f>
        <v>0</v>
      </c>
      <c r="BN355" s="358">
        <f>0</f>
        <v>0</v>
      </c>
      <c r="BP355" s="94">
        <f>SUM(BM355:BN355,W355,Sheet1!DX353)</f>
        <v>0</v>
      </c>
      <c r="BR355" s="94">
        <f>Sheet1!AA353</f>
        <v>24.5</v>
      </c>
      <c r="BS355" s="94">
        <f>Sheet1!AB353</f>
        <v>33</v>
      </c>
      <c r="BT355" s="94">
        <f t="shared" ca="1" si="73"/>
        <v>1.3700298801682853</v>
      </c>
      <c r="BU355" s="94">
        <f>Sheet1!AT353</f>
        <v>0</v>
      </c>
      <c r="BV355" s="89">
        <f>Sheet1!BB353</f>
        <v>0</v>
      </c>
      <c r="BW355" s="94">
        <f>Calculation!ED355</f>
        <v>10.531914893617021</v>
      </c>
      <c r="BX355" s="94">
        <f>(Sheet1!CS353*1440)/1000000</f>
        <v>0</v>
      </c>
      <c r="CA355" s="94">
        <f ca="1">Sheet1!AC353-Sheet1!BK353-Sheet1!BL353-Sheet1!BM353-Sheet1!BC353-Sheet1!BD353-Sheet1!BE353-Sheet1!BF353-Sheet1!BG353-Sheet1!BH353-Sheet1!BI353+BC355+P355</f>
        <v>48.370029880168282</v>
      </c>
      <c r="CB355" s="93">
        <f t="shared" si="74"/>
        <v>72.659627659574468</v>
      </c>
      <c r="CC355" s="94">
        <f t="shared" si="75"/>
        <v>0</v>
      </c>
      <c r="CD355" s="94">
        <f t="shared" ca="1" si="76"/>
        <v>58.901944773785303</v>
      </c>
      <c r="CE355" s="1077">
        <f t="shared" ca="1" si="77"/>
        <v>91.121308565045865</v>
      </c>
      <c r="CG355" s="1077">
        <f t="shared" ca="1" si="78"/>
        <v>48.370029880168282</v>
      </c>
    </row>
    <row r="356" spans="1:85" s="89" customFormat="1" x14ac:dyDescent="0.25">
      <c r="A356" s="616" t="s">
        <v>4</v>
      </c>
      <c r="B356" s="91">
        <v>43080</v>
      </c>
      <c r="C356" s="92">
        <v>0</v>
      </c>
      <c r="D356" s="94">
        <f>(Sheet1!BQ354-Sheet1!BQ353)*1.385</f>
        <v>1.385</v>
      </c>
      <c r="E356" s="30">
        <f>(Sheet1!BR354-Sheet1!BR353)*1.385</f>
        <v>1.385</v>
      </c>
      <c r="F356" s="30">
        <f ca="1">IF(B356=TODAY(),0,-(VLOOKUP(Sheet1!CD354,Lookup!$I$4:$J$216,2)-VLOOKUP(Sheet1!CD353,Lookup!$I$4:$J$216,2))/1000000)</f>
        <v>0.82909550838240231</v>
      </c>
      <c r="G356" s="94">
        <f ca="1">IF(B356=TODAY(),0,-$G$6*(Sheet1!CF354-Sheet1!CF353)*7.48/1000000)</f>
        <v>0.3574215094730338</v>
      </c>
      <c r="H356" s="94">
        <f ca="1">IF(B356=TODAY(),0,-$H$6*(Sheet1!CE354-Sheet1!CE353)*7.48/1000000)</f>
        <v>-3.0078864702530548E-2</v>
      </c>
      <c r="I356" s="94">
        <f ca="1">IF(B356=TODAY(),0,-$I$6*(Sheet1!CG354-Sheet1!CG353)*7.48/1000000)</f>
        <v>1.3477463999999995E-2</v>
      </c>
      <c r="J356" s="95" t="s">
        <v>177</v>
      </c>
      <c r="K356" s="94">
        <f ca="1">IF(B356=TODAY(),0,-$K$6*(Sheet1!CH354-Sheet1!CH353)*7.48/1000000)</f>
        <v>2.6653281497833796E-2</v>
      </c>
      <c r="L356" s="95" t="s">
        <v>177</v>
      </c>
      <c r="M356" s="94">
        <f ca="1">IF(B356=TODAY(),0,-$M$6*(Sheet1!CI354-Sheet1!CI353)*7.48/1000000)</f>
        <v>3.598301685605397E-2</v>
      </c>
      <c r="N356" s="94">
        <f ca="1">IF(B356=TODAY(),0,-$N$6*(Sheet1!CJ354-Sheet1!CJ353)*7.48/1000000)</f>
        <v>0.55847110855161541</v>
      </c>
      <c r="O356" s="94">
        <f t="shared" ca="1" si="79"/>
        <v>1.7910230240584086</v>
      </c>
      <c r="P356" s="94">
        <f ca="1">O356+Calculation!ES356</f>
        <v>-0.97841619025189441</v>
      </c>
      <c r="Q356" s="89" t="str">
        <f>IF(Sheet1!BQ354&gt;25.75,"spill elevation","-")</f>
        <v>-</v>
      </c>
      <c r="R356" s="89" t="str">
        <f>IF(Sheet1!BQ354&gt;25.75,"spill elevation","-")</f>
        <v>-</v>
      </c>
      <c r="S356" s="89" t="str">
        <f>IF(Sheet1!BR354&gt;25.75,"spill elevation","-")</f>
        <v>-</v>
      </c>
      <c r="T356" s="93">
        <f>IF(Sheet1!DU354=1,Sheet1!AA354-(SUM(AT356:BA356)+BE356),Sheet1!AA354-SUM(AT356:BA356))</f>
        <v>23.625071999999999</v>
      </c>
      <c r="U356" s="93">
        <f>Sheet1!BV354</f>
        <v>23.6</v>
      </c>
      <c r="V356" s="93">
        <f t="shared" si="80"/>
        <v>2.5071999999997985E-2</v>
      </c>
      <c r="W356" s="93">
        <f>0</f>
        <v>0</v>
      </c>
      <c r="X356" s="89">
        <f>0</f>
        <v>0</v>
      </c>
      <c r="Y356" s="94">
        <f ca="1">Calculation!EJ357+Calculation!ES356+'Calculations II'!O356-'Calculations II'!W356</f>
        <v>48.654539074667383</v>
      </c>
      <c r="Z356" s="94">
        <f ca="1">Y356-Sheet1!CT355</f>
        <v>31.698539074667384</v>
      </c>
      <c r="AA356" s="94">
        <f ca="1">Y356+Calculation!DJ357+Calculation!AS357</f>
        <v>59.097182879977119</v>
      </c>
      <c r="AC356" s="94">
        <f>Sheet1!AA354+Sheet1!AB354+BC356</f>
        <v>59.3</v>
      </c>
      <c r="AD356" s="94">
        <f>Sheet1!AA354+Sheet1!BN354+'Calculations II'!BC356-Calculation!AS356-Calculation!DJ356</f>
        <v>38.299999999999997</v>
      </c>
      <c r="AE356" s="94">
        <f>Sheet1!AA354+Sheet1!AB354+'Calculations II'!BC356-Calculation!AS356-Calculation!DJ356</f>
        <v>48.8</v>
      </c>
      <c r="AF356" s="94">
        <f ca="1">Sheet1!AA354+Sheet1!BN354+P356+'Calculations II'!BC356+Calculation!AS356+Calculation!DJ356</f>
        <v>58.321583809748105</v>
      </c>
      <c r="AG356" s="94">
        <f ca="1">IF(B356=TODAY(),0,Sheet1!AA354+Sheet1!BN354+'Calculations II'!BC356+'Calculations II'!P356-Sheet1!CT354-BP356)</f>
        <v>31.758583809748107</v>
      </c>
      <c r="AH356" s="94">
        <f ca="1">IF(B356=TODAY(),0,Sheet1!AA354+Sheet1!BN354+'Calculations II'!BC356+'Calculations II'!P356-BP356)</f>
        <v>47.821583809748105</v>
      </c>
      <c r="AI356" s="94">
        <f ca="1">IF(B356=TODAY(),0,BC356+Sheet1!AA354+Calculation!ES356+O356+W356+Sheet1!BN354+Calculation!AS356+Calculation!DJ356-BP356)</f>
        <v>58.321583809748105</v>
      </c>
      <c r="AJ356" s="94"/>
      <c r="AM356" s="90">
        <f t="shared" si="81"/>
        <v>43080</v>
      </c>
      <c r="AN356" s="94">
        <f>Sheet1!BU354</f>
        <v>22.9</v>
      </c>
      <c r="AO356" s="94">
        <f>Sheet1!AA354</f>
        <v>24.3</v>
      </c>
      <c r="AP356" s="94">
        <f t="shared" si="70"/>
        <v>2.77</v>
      </c>
      <c r="AQ356" s="1086">
        <f>((Sheet1!BV354-(Sheet1!BU354-AP356))/(Sheet1!BU354-AP356))</f>
        <v>0.17237953303527087</v>
      </c>
      <c r="AR356" s="94">
        <f t="shared" si="71"/>
        <v>21.53</v>
      </c>
      <c r="AS356" s="94">
        <f t="shared" si="72"/>
        <v>20.13</v>
      </c>
      <c r="AT356" s="89">
        <f>Sheet1!BB354</f>
        <v>0</v>
      </c>
      <c r="AU356" s="89">
        <f>Sheet1!AS354*GPMtoMGD</f>
        <v>3.1968000000000003E-2</v>
      </c>
      <c r="AV356" s="94">
        <f>Sheet1!AT354</f>
        <v>0</v>
      </c>
      <c r="AW356" s="89">
        <f>Sheet1!AV354*GPMtoMGD</f>
        <v>0.26827200000000001</v>
      </c>
      <c r="AX356" s="89">
        <f>Sheet1!AW354*GPMtoMGD</f>
        <v>0.37468800000000002</v>
      </c>
      <c r="AY356" s="89">
        <f>Sheet1!AX354*GPMtoMGD</f>
        <v>0</v>
      </c>
      <c r="AZ356" s="89">
        <f>Sheet1!AY354*GPMtoMGD</f>
        <v>0</v>
      </c>
      <c r="BA356" s="89">
        <f>Sheet1!AZ354*GPMtoMGD</f>
        <v>0</v>
      </c>
      <c r="BB356" s="89">
        <f>Sheet1!BP354*GPMtoMGD</f>
        <v>6.9839999999999999E-2</v>
      </c>
      <c r="BC356" s="89">
        <f>Sheet1!CS354*GPMtoMGD</f>
        <v>0</v>
      </c>
      <c r="BD356" s="89">
        <f>Sheet1!BO354*GPMtoMGD</f>
        <v>1.5311520000000001</v>
      </c>
      <c r="BE356" s="89">
        <f>Sheet1!BW354*GPMtoMGD</f>
        <v>1.053936</v>
      </c>
      <c r="BF356" s="89">
        <f>Sheet1!CN354*GPMtoMGD</f>
        <v>0.181008</v>
      </c>
      <c r="BG356" s="89">
        <f>Sheet1!CO354*GPMtoMGD</f>
        <v>0.58708800000000005</v>
      </c>
      <c r="BH356" s="89">
        <f>Sheet1!CP354*GPMtoMGD</f>
        <v>0</v>
      </c>
      <c r="BI356" s="89">
        <f t="shared" si="82"/>
        <v>1.600992</v>
      </c>
      <c r="BK356" s="94">
        <f>SUM(AT356:BA356,AS356,BC356,Calculation!AQ356)</f>
        <v>45.304928000000004</v>
      </c>
      <c r="BM356" s="358">
        <f>0</f>
        <v>0</v>
      </c>
      <c r="BN356" s="358">
        <f>0</f>
        <v>0</v>
      </c>
      <c r="BP356" s="94">
        <f>SUM(BM356:BN356,W356,Sheet1!DX354)</f>
        <v>0</v>
      </c>
      <c r="BR356" s="94">
        <f>Sheet1!AA354</f>
        <v>24.3</v>
      </c>
      <c r="BS356" s="94">
        <f>Sheet1!AB354</f>
        <v>35</v>
      </c>
      <c r="BT356" s="94">
        <f t="shared" ca="1" si="73"/>
        <v>-0.97841619025189441</v>
      </c>
      <c r="BU356" s="94">
        <f>Sheet1!AT354</f>
        <v>0</v>
      </c>
      <c r="BV356" s="89">
        <f>Sheet1!BB354</f>
        <v>0</v>
      </c>
      <c r="BW356" s="94">
        <f>Calculation!ED356</f>
        <v>10.5</v>
      </c>
      <c r="BX356" s="94">
        <f>(Sheet1!CS354*1440)/1000000</f>
        <v>0</v>
      </c>
      <c r="CA356" s="94">
        <f ca="1">Sheet1!AC354-Sheet1!BK354-Sheet1!BL354-Sheet1!BM354-Sheet1!BC354-Sheet1!BD354-Sheet1!BE354-Sheet1!BF354-Sheet1!BG354-Sheet1!BH354-Sheet1!BI354+BC356+P356</f>
        <v>47.821583809748105</v>
      </c>
      <c r="CB356" s="93">
        <f t="shared" si="74"/>
        <v>75.493599999999986</v>
      </c>
      <c r="CC356" s="94">
        <f t="shared" si="75"/>
        <v>0</v>
      </c>
      <c r="CD356" s="94">
        <f t="shared" ca="1" si="76"/>
        <v>58.321583809748105</v>
      </c>
      <c r="CE356" s="1077">
        <f t="shared" ca="1" si="77"/>
        <v>90.223490153680316</v>
      </c>
      <c r="CG356" s="1077">
        <f t="shared" ca="1" si="78"/>
        <v>47.821583809748105</v>
      </c>
    </row>
    <row r="357" spans="1:85" s="89" customFormat="1" x14ac:dyDescent="0.25">
      <c r="A357" s="616" t="s">
        <v>5</v>
      </c>
      <c r="B357" s="91">
        <v>43081</v>
      </c>
      <c r="C357" s="92">
        <v>0</v>
      </c>
      <c r="D357" s="94">
        <f>(Sheet1!BQ355-Sheet1!BQ354)*1.385</f>
        <v>0.6925</v>
      </c>
      <c r="E357" s="30">
        <f>(Sheet1!BR355-Sheet1!BR354)*1.385</f>
        <v>0.6925</v>
      </c>
      <c r="F357" s="30">
        <f ca="1">IF(B357=TODAY(),0,-(VLOOKUP(Sheet1!CD355,Lookup!$I$4:$J$216,2)-VLOOKUP(Sheet1!CD354,Lookup!$I$4:$J$216,2))/1000000)</f>
        <v>0.41454775419119744</v>
      </c>
      <c r="G357" s="94">
        <f ca="1">IF(B357=TODAY(),0,-$G$6*(Sheet1!CF355-Sheet1!CF354)*7.48/1000000)</f>
        <v>-0.51627551368327118</v>
      </c>
      <c r="H357" s="94">
        <f ca="1">IF(B357=TODAY(),0,-$H$6*(Sheet1!CE355-Sheet1!CE354)*7.48/1000000)</f>
        <v>3.0078864702530548E-2</v>
      </c>
      <c r="I357" s="94">
        <f ca="1">IF(B357=TODAY(),0,-$I$6*(Sheet1!CG355-Sheet1!CG354)*7.48/1000000)</f>
        <v>2.6954927999999989E-2</v>
      </c>
      <c r="J357" s="95" t="s">
        <v>177</v>
      </c>
      <c r="K357" s="94">
        <f ca="1">IF(B357=TODAY(),0,-$K$6*(Sheet1!CH355-Sheet1!CH354)*7.48/1000000)</f>
        <v>4.6643242621209044E-2</v>
      </c>
      <c r="L357" s="95" t="s">
        <v>177</v>
      </c>
      <c r="M357" s="94">
        <f ca="1">IF(B357=TODAY(),0,-$M$6*(Sheet1!CI355-Sheet1!CI354)*7.48/1000000)</f>
        <v>0.14393206742421652</v>
      </c>
      <c r="N357" s="94">
        <f ca="1">IF(B357=TODAY(),0,-$N$6*(Sheet1!CJ355-Sheet1!CJ354)*7.48/1000000)</f>
        <v>0.31026172697311949</v>
      </c>
      <c r="O357" s="94">
        <f t="shared" ca="1" si="79"/>
        <v>0.4561430702290018</v>
      </c>
      <c r="P357" s="94">
        <f ca="1">O357+Calculation!ES357</f>
        <v>-0.92905717147925804</v>
      </c>
      <c r="Q357" s="89" t="str">
        <f>IF(Sheet1!BQ355&gt;25.75,"spill elevation","-")</f>
        <v>-</v>
      </c>
      <c r="R357" s="89" t="str">
        <f>IF(Sheet1!BQ355&gt;25.75,"spill elevation","-")</f>
        <v>-</v>
      </c>
      <c r="S357" s="89" t="str">
        <f>IF(Sheet1!BR355&gt;25.75,"spill elevation","-")</f>
        <v>-</v>
      </c>
      <c r="T357" s="93">
        <f>IF(Sheet1!DU355=1,Sheet1!AA355-(SUM(AT357:BA357)+BE357),Sheet1!AA355-SUM(AT357:BA357))</f>
        <v>23.380544</v>
      </c>
      <c r="U357" s="93">
        <f>Sheet1!BV355</f>
        <v>24.3</v>
      </c>
      <c r="V357" s="93">
        <f t="shared" si="80"/>
        <v>-0.91945600000000027</v>
      </c>
      <c r="W357" s="93">
        <f>0</f>
        <v>0</v>
      </c>
      <c r="X357" s="89">
        <f>0</f>
        <v>0</v>
      </c>
      <c r="Y357" s="94">
        <f ca="1">Calculation!EJ358+Calculation!ES357+'Calculations II'!O357-'Calculations II'!W357</f>
        <v>40.510069568234485</v>
      </c>
      <c r="Z357" s="94">
        <f ca="1">Y357-Sheet1!CT356</f>
        <v>24.480069568234484</v>
      </c>
      <c r="AA357" s="94">
        <f ca="1">Y357+Calculation!DJ358+Calculation!AS358</f>
        <v>50.889056658601916</v>
      </c>
      <c r="AC357" s="94">
        <f>Sheet1!AA355+Sheet1!AB355+BC357</f>
        <v>60.6</v>
      </c>
      <c r="AD357" s="94">
        <f>Sheet1!AA355+Sheet1!BN355+'Calculations II'!BC357-Calculation!AS357-Calculation!DJ357</f>
        <v>39.757356194690267</v>
      </c>
      <c r="AE357" s="94">
        <f>Sheet1!AA355+Sheet1!AB355+'Calculations II'!BC357-Calculation!AS357-Calculation!DJ357</f>
        <v>50.157356194690266</v>
      </c>
      <c r="AF357" s="94">
        <f ca="1">Sheet1!AA355+Sheet1!BN355+P357+'Calculations II'!BC357+Calculation!AS357+Calculation!DJ357</f>
        <v>59.713586633830481</v>
      </c>
      <c r="AG357" s="94">
        <f ca="1">IF(B357=TODAY(),0,Sheet1!AA355+Sheet1!BN355+'Calculations II'!BC357+'Calculations II'!P357-Sheet1!CT355-BP357)</f>
        <v>32.314942828520742</v>
      </c>
      <c r="AH357" s="94">
        <f ca="1">IF(B357=TODAY(),0,Sheet1!AA355+Sheet1!BN355+'Calculations II'!BC357+'Calculations II'!P357-BP357)</f>
        <v>49.270942828520745</v>
      </c>
      <c r="AI357" s="94">
        <f ca="1">IF(B357=TODAY(),0,BC357+Sheet1!AA355+Calculation!ES357+O357+W357+Sheet1!BN355+Calculation!AS357+Calculation!DJ357-BP357)</f>
        <v>59.713586633830474</v>
      </c>
      <c r="AJ357" s="94"/>
      <c r="AM357" s="90">
        <f t="shared" si="81"/>
        <v>43081</v>
      </c>
      <c r="AN357" s="94">
        <f>Sheet1!BU355</f>
        <v>22.4</v>
      </c>
      <c r="AO357" s="94">
        <f>Sheet1!AA355</f>
        <v>24.5</v>
      </c>
      <c r="AP357" s="94">
        <f t="shared" si="70"/>
        <v>1.385</v>
      </c>
      <c r="AQ357" s="1086">
        <f>((Sheet1!BV355-(Sheet1!BU355-AP357))/(Sheet1!BU355-AP357))</f>
        <v>0.15631691648822291</v>
      </c>
      <c r="AR357" s="94">
        <f t="shared" si="71"/>
        <v>23.114999999999998</v>
      </c>
      <c r="AS357" s="94">
        <f t="shared" si="72"/>
        <v>21.014999999999997</v>
      </c>
      <c r="AT357" s="89">
        <f>Sheet1!BB355</f>
        <v>0</v>
      </c>
      <c r="AU357" s="89">
        <f>Sheet1!AS355*GPMtoMGD</f>
        <v>3.2112000000000002E-2</v>
      </c>
      <c r="AV357" s="94">
        <f>Sheet1!AT355</f>
        <v>0</v>
      </c>
      <c r="AW357" s="89">
        <f>Sheet1!AV355*GPMtoMGD</f>
        <v>0.504</v>
      </c>
      <c r="AX357" s="89">
        <f>Sheet1!AW355*GPMtoMGD</f>
        <v>0.58334400000000008</v>
      </c>
      <c r="AY357" s="89">
        <f>Sheet1!AX355*GPMtoMGD</f>
        <v>0</v>
      </c>
      <c r="AZ357" s="89">
        <f>Sheet1!AY355*GPMtoMGD</f>
        <v>0</v>
      </c>
      <c r="BA357" s="89">
        <f>Sheet1!AZ355*GPMtoMGD</f>
        <v>0</v>
      </c>
      <c r="BB357" s="89">
        <f>Sheet1!BP355*GPMtoMGD</f>
        <v>4.176E-3</v>
      </c>
      <c r="BC357" s="89">
        <f>Sheet1!CS355*GPMtoMGD</f>
        <v>0</v>
      </c>
      <c r="BD357" s="89">
        <f>Sheet1!BO355*GPMtoMGD</f>
        <v>1.4274720000000001</v>
      </c>
      <c r="BE357" s="89">
        <f>Sheet1!BW355*GPMtoMGD</f>
        <v>0.81172800000000012</v>
      </c>
      <c r="BF357" s="89">
        <f>Sheet1!CN355*GPMtoMGD</f>
        <v>0.24048000000000003</v>
      </c>
      <c r="BG357" s="89">
        <f>Sheet1!CO355*GPMtoMGD</f>
        <v>0.60897599999999996</v>
      </c>
      <c r="BH357" s="89">
        <f>Sheet1!CP355*GPMtoMGD</f>
        <v>0</v>
      </c>
      <c r="BI357" s="89">
        <f t="shared" si="82"/>
        <v>1.431648</v>
      </c>
      <c r="BK357" s="94">
        <f>SUM(AT357:BA357,AS357,BC357,Calculation!AQ357)</f>
        <v>47.791812194690266</v>
      </c>
      <c r="BM357" s="358">
        <f>0</f>
        <v>0</v>
      </c>
      <c r="BN357" s="358">
        <f>0</f>
        <v>0</v>
      </c>
      <c r="BP357" s="94">
        <f>SUM(BM357:BN357,W357,Sheet1!DX355)</f>
        <v>0</v>
      </c>
      <c r="BR357" s="94">
        <f>Sheet1!AA355</f>
        <v>24.5</v>
      </c>
      <c r="BS357" s="94">
        <f>Sheet1!AB355</f>
        <v>36.1</v>
      </c>
      <c r="BT357" s="94">
        <f t="shared" ca="1" si="73"/>
        <v>-0.92905717147925804</v>
      </c>
      <c r="BU357" s="94">
        <f>Sheet1!AT355</f>
        <v>0</v>
      </c>
      <c r="BV357" s="89">
        <f>Sheet1!BB355</f>
        <v>0</v>
      </c>
      <c r="BW357" s="94">
        <f>Calculation!ED357</f>
        <v>10.442643805309737</v>
      </c>
      <c r="BX357" s="94">
        <f>(Sheet1!CS355*1440)/1000000</f>
        <v>0</v>
      </c>
      <c r="CA357" s="94">
        <f ca="1">Sheet1!AC355-Sheet1!BK355-Sheet1!BL355-Sheet1!BM355-Sheet1!BC355-Sheet1!BD355-Sheet1!BE355-Sheet1!BF355-Sheet1!BG355-Sheet1!BH355-Sheet1!BI355+BC357+P357</f>
        <v>49.21094282852075</v>
      </c>
      <c r="CB357" s="93">
        <f t="shared" si="74"/>
        <v>77.59343003318584</v>
      </c>
      <c r="CC357" s="94">
        <f t="shared" si="75"/>
        <v>0</v>
      </c>
      <c r="CD357" s="94">
        <f t="shared" ca="1" si="76"/>
        <v>59.653586633830486</v>
      </c>
      <c r="CE357" s="1077">
        <f t="shared" ca="1" si="77"/>
        <v>92.284098522535757</v>
      </c>
      <c r="CG357" s="1077">
        <f t="shared" ca="1" si="78"/>
        <v>49.21094282852075</v>
      </c>
    </row>
    <row r="358" spans="1:85" s="89" customFormat="1" x14ac:dyDescent="0.25">
      <c r="A358" s="616" t="s">
        <v>6</v>
      </c>
      <c r="B358" s="91">
        <v>43082</v>
      </c>
      <c r="C358" s="92">
        <v>0</v>
      </c>
      <c r="D358" s="94">
        <f>(Sheet1!BQ356-Sheet1!BQ355)*1.385</f>
        <v>-2.9085000000000019</v>
      </c>
      <c r="E358" s="30">
        <f>(Sheet1!BR356-Sheet1!BR355)*1.385</f>
        <v>-2.77</v>
      </c>
      <c r="F358" s="30">
        <f ca="1">IF(B358=TODAY(),0,-(VLOOKUP(Sheet1!CD356,Lookup!$I$4:$J$216,2)-VLOOKUP(Sheet1!CD355,Lookup!$I$4:$J$216,2))/1000000)</f>
        <v>-1.4509171396691984</v>
      </c>
      <c r="G358" s="94">
        <f ca="1">IF(B358=TODAY(),0,-$G$6*(Sheet1!CF356-Sheet1!CF355)*7.48/1000000)</f>
        <v>0.3574215094730338</v>
      </c>
      <c r="H358" s="94">
        <f ca="1">IF(B358=TODAY(),0,-$H$6*(Sheet1!CE356-Sheet1!CE355)*7.48/1000000)</f>
        <v>0</v>
      </c>
      <c r="I358" s="94">
        <f ca="1">IF(B358=TODAY(),0,-$I$6*(Sheet1!CG356-Sheet1!CG355)*7.48/1000000)</f>
        <v>1.3477463999999995E-2</v>
      </c>
      <c r="J358" s="95" t="s">
        <v>177</v>
      </c>
      <c r="K358" s="94">
        <f ca="1">IF(B358=TODAY(),0,-$K$6*(Sheet1!CH356-Sheet1!CH355)*7.48/1000000)</f>
        <v>1.9989961123375376E-2</v>
      </c>
      <c r="L358" s="95" t="s">
        <v>177</v>
      </c>
      <c r="M358" s="94">
        <f ca="1">IF(B358=TODAY(),0,-$M$6*(Sheet1!CI356-Sheet1!CI355)*7.48/1000000)</f>
        <v>5.3974525284081275E-2</v>
      </c>
      <c r="N358" s="94">
        <f ca="1">IF(B358=TODAY(),0,-$N$6*(Sheet1!CJ356-Sheet1!CJ355)*7.48/1000000)</f>
        <v>-0.80668049013011112</v>
      </c>
      <c r="O358" s="94">
        <f t="shared" ca="1" si="79"/>
        <v>-1.8127341699188193</v>
      </c>
      <c r="P358" s="94">
        <f ca="1">O358+Calculation!ES358</f>
        <v>3.8645201883180267</v>
      </c>
      <c r="Q358" s="89" t="str">
        <f>IF(Sheet1!BQ356&gt;25.75,"spill elevation","-")</f>
        <v>-</v>
      </c>
      <c r="R358" s="89" t="str">
        <f>IF(Sheet1!BQ356&gt;25.75,"spill elevation","-")</f>
        <v>-</v>
      </c>
      <c r="S358" s="89" t="str">
        <f>IF(Sheet1!BR356&gt;25.75,"spill elevation","-")</f>
        <v>-</v>
      </c>
      <c r="T358" s="93">
        <f>IF(Sheet1!DU356=1,Sheet1!AA356-(SUM(AT358:BA358)+BE358),Sheet1!AA356-SUM(AT358:BA358))</f>
        <v>23.789151999999998</v>
      </c>
      <c r="U358" s="93">
        <f>Sheet1!BV356</f>
        <v>33.200000000000003</v>
      </c>
      <c r="V358" s="93">
        <f t="shared" si="80"/>
        <v>-9.410848000000005</v>
      </c>
      <c r="W358" s="93">
        <f>0</f>
        <v>0</v>
      </c>
      <c r="X358" s="89">
        <f>0</f>
        <v>0</v>
      </c>
      <c r="Y358" s="94">
        <f ca="1">Calculation!EJ359+Calculation!ES358+'Calculations II'!O358-'Calculations II'!W358</f>
        <v>44.22202331345639</v>
      </c>
      <c r="Z358" s="94">
        <f ca="1">Y358-Sheet1!CT357</f>
        <v>28.00102331345639</v>
      </c>
      <c r="AA358" s="94">
        <f ca="1">Y358+Calculation!DJ359+Calculation!AS359</f>
        <v>54.659731142350658</v>
      </c>
      <c r="AC358" s="94">
        <f>Sheet1!AA356+Sheet1!AB356+BC358</f>
        <v>54.519999999999996</v>
      </c>
      <c r="AD358" s="94">
        <f>Sheet1!AA356+Sheet1!BN356+'Calculations II'!BC358-Calculation!AS358-Calculation!DJ358</f>
        <v>33.821012909632572</v>
      </c>
      <c r="AE358" s="94">
        <f>Sheet1!AA356+Sheet1!AB356+'Calculations II'!BC358-Calculation!AS358-Calculation!DJ358</f>
        <v>44.141012909632565</v>
      </c>
      <c r="AF358" s="94">
        <f ca="1">Sheet1!AA356+Sheet1!BN356+P358+'Calculations II'!BC358+Calculation!AS358+Calculation!DJ358</f>
        <v>58.443507278685459</v>
      </c>
      <c r="AG358" s="94">
        <f ca="1">IF(B358=TODAY(),0,Sheet1!AA356+Sheet1!BN356+'Calculations II'!BC358+'Calculations II'!P358-Sheet1!CT356-BP358)</f>
        <v>32.034520188318027</v>
      </c>
      <c r="AH358" s="94">
        <f ca="1">IF(B358=TODAY(),0,Sheet1!AA356+Sheet1!BN356+'Calculations II'!BC358+'Calculations II'!P358-BP358)</f>
        <v>48.064520188318028</v>
      </c>
      <c r="AI358" s="94">
        <f ca="1">IF(B358=TODAY(),0,BC358+Sheet1!AA356+Calculation!ES358+O358+W358+Sheet1!BN356+Calculation!AS358+Calculation!DJ358-BP358)</f>
        <v>58.443507278685459</v>
      </c>
      <c r="AJ358" s="94"/>
      <c r="AM358" s="90">
        <f t="shared" si="81"/>
        <v>43082</v>
      </c>
      <c r="AN358" s="94">
        <f>Sheet1!BU356</f>
        <v>22.9</v>
      </c>
      <c r="AO358" s="94">
        <f>Sheet1!AA356</f>
        <v>24.4</v>
      </c>
      <c r="AP358" s="94">
        <f t="shared" si="70"/>
        <v>-5.6785000000000014</v>
      </c>
      <c r="AQ358" s="1086">
        <f>((Sheet1!BV356-(Sheet1!BU356-AP358))/(Sheet1!BU356-AP358))</f>
        <v>0.16171247616215004</v>
      </c>
      <c r="AR358" s="94">
        <f t="shared" si="71"/>
        <v>30.078499999999998</v>
      </c>
      <c r="AS358" s="94">
        <f t="shared" si="72"/>
        <v>28.578499999999998</v>
      </c>
      <c r="AT358" s="89">
        <f>Sheet1!BB356</f>
        <v>0</v>
      </c>
      <c r="AU358" s="89">
        <f>Sheet1!AS356*GPMtoMGD</f>
        <v>1.8432E-2</v>
      </c>
      <c r="AV358" s="94">
        <f>Sheet1!AT356</f>
        <v>0</v>
      </c>
      <c r="AW358" s="89">
        <f>Sheet1!AV356*GPMtoMGD</f>
        <v>0.28972799999999999</v>
      </c>
      <c r="AX358" s="89">
        <f>Sheet1!AW356*GPMtoMGD</f>
        <v>0.30268800000000001</v>
      </c>
      <c r="AY358" s="89">
        <f>Sheet1!AX356*GPMtoMGD</f>
        <v>0</v>
      </c>
      <c r="AZ358" s="89">
        <f>Sheet1!AY356*GPMtoMGD</f>
        <v>0</v>
      </c>
      <c r="BA358" s="89">
        <f>Sheet1!AZ356*GPMtoMGD</f>
        <v>0</v>
      </c>
      <c r="BB358" s="89">
        <f>Sheet1!BP356*GPMtoMGD</f>
        <v>3.8880000000000004E-3</v>
      </c>
      <c r="BC358" s="89">
        <f>Sheet1!CS356*GPMtoMGD</f>
        <v>0</v>
      </c>
      <c r="BD358" s="89">
        <f>Sheet1!BO356*GPMtoMGD</f>
        <v>1.4601600000000001</v>
      </c>
      <c r="BE358" s="89">
        <f>Sheet1!BW356*GPMtoMGD</f>
        <v>1.0696319999999999</v>
      </c>
      <c r="BF358" s="89">
        <f>Sheet1!CN356*GPMtoMGD</f>
        <v>0.18043200000000001</v>
      </c>
      <c r="BG358" s="89">
        <f>Sheet1!CO356*GPMtoMGD</f>
        <v>0.61776000000000009</v>
      </c>
      <c r="BH358" s="89">
        <f>Sheet1!CP356*GPMtoMGD</f>
        <v>0</v>
      </c>
      <c r="BI358" s="89">
        <f t="shared" si="82"/>
        <v>1.464048</v>
      </c>
      <c r="BK358" s="94">
        <f>SUM(AT358:BA358,AS358,BC358,Calculation!AQ358)</f>
        <v>48.930360909632569</v>
      </c>
      <c r="BM358" s="358">
        <f>0</f>
        <v>0</v>
      </c>
      <c r="BN358" s="358">
        <f>0</f>
        <v>0</v>
      </c>
      <c r="BP358" s="94">
        <f>SUM(BM358:BN358,W358,Sheet1!DX356)</f>
        <v>0</v>
      </c>
      <c r="BR358" s="94">
        <f>Sheet1!AA356</f>
        <v>24.4</v>
      </c>
      <c r="BS358" s="94">
        <f>Sheet1!AB356</f>
        <v>30.12</v>
      </c>
      <c r="BT358" s="94">
        <f t="shared" ca="1" si="73"/>
        <v>3.8645201883180267</v>
      </c>
      <c r="BU358" s="94">
        <f>Sheet1!AT356</f>
        <v>0</v>
      </c>
      <c r="BV358" s="89">
        <f>Sheet1!BB356</f>
        <v>0</v>
      </c>
      <c r="BW358" s="94">
        <f>Calculation!ED358</f>
        <v>10.378987090367428</v>
      </c>
      <c r="BX358" s="94">
        <f>(Sheet1!CS356*1440)/1000000</f>
        <v>0</v>
      </c>
      <c r="CA358" s="94">
        <f ca="1">Sheet1!AC356-Sheet1!BK356-Sheet1!BL356-Sheet1!BM356-Sheet1!BC356-Sheet1!BD356-Sheet1!BE356-Sheet1!BF356-Sheet1!BG356-Sheet1!BH356-Sheet1!BI356+BC358+P358</f>
        <v>47.974520188318017</v>
      </c>
      <c r="CB358" s="93">
        <f t="shared" si="74"/>
        <v>68.286146971201575</v>
      </c>
      <c r="CC358" s="94">
        <f t="shared" si="75"/>
        <v>0</v>
      </c>
      <c r="CD358" s="94">
        <f t="shared" ca="1" si="76"/>
        <v>58.353507278685441</v>
      </c>
      <c r="CE358" s="1077">
        <f t="shared" ca="1" si="77"/>
        <v>90.272875760126368</v>
      </c>
      <c r="CG358" s="1077">
        <f t="shared" ca="1" si="78"/>
        <v>47.974520188318017</v>
      </c>
    </row>
    <row r="359" spans="1:85" s="89" customFormat="1" x14ac:dyDescent="0.25">
      <c r="A359" s="616" t="s">
        <v>7</v>
      </c>
      <c r="B359" s="91">
        <v>43083</v>
      </c>
      <c r="C359" s="92">
        <v>0</v>
      </c>
      <c r="D359" s="94">
        <f>(Sheet1!BQ357-Sheet1!BQ356)*1.385</f>
        <v>-3.7394999999999992</v>
      </c>
      <c r="E359" s="30">
        <f>(Sheet1!BR357-Sheet1!BR356)*1.385</f>
        <v>-3.7394999999999992</v>
      </c>
      <c r="F359" s="30">
        <f ca="1">IF(B359=TODAY(),0,-(VLOOKUP(Sheet1!CD357,Lookup!$I$4:$J$216,2)-VLOOKUP(Sheet1!CD356,Lookup!$I$4:$J$216,2))/1000000)</f>
        <v>1.1400063240258005</v>
      </c>
      <c r="G359" s="94">
        <f ca="1">IF(B359=TODAY(),0,-$G$6*(Sheet1!CF357-Sheet1!CF356)*7.48/1000000)</f>
        <v>0.11914050315767746</v>
      </c>
      <c r="H359" s="94">
        <f ca="1">IF(B359=TODAY(),0,-$H$6*(Sheet1!CE357-Sheet1!CE356)*7.48/1000000)</f>
        <v>0</v>
      </c>
      <c r="I359" s="94">
        <f ca="1">IF(B359=TODAY(),0,-$I$6*(Sheet1!CG357-Sheet1!CG356)*7.48/1000000)</f>
        <v>-4.9417367999999989E-2</v>
      </c>
      <c r="J359" s="95" t="s">
        <v>177</v>
      </c>
      <c r="K359" s="94">
        <f ca="1">IF(B359=TODAY(),0,-$K$6*(Sheet1!CH357-Sheet1!CH356)*7.48/1000000)</f>
        <v>-8.6623164867959804E-2</v>
      </c>
      <c r="L359" s="95" t="s">
        <v>177</v>
      </c>
      <c r="M359" s="94">
        <f ca="1">IF(B359=TODAY(),0,-$M$6*(Sheet1!CI357-Sheet1!CI356)*7.48/1000000)</f>
        <v>-0.21589810113632477</v>
      </c>
      <c r="N359" s="94">
        <f ca="1">IF(B359=TODAY(),0,-$N$6*(Sheet1!CJ357-Sheet1!CJ356)*7.48/1000000)</f>
        <v>0.99904276085344568</v>
      </c>
      <c r="O359" s="94">
        <f t="shared" ca="1" si="79"/>
        <v>1.9062509540326391</v>
      </c>
      <c r="P359" s="94">
        <f ca="1">O359+Calculation!ES359</f>
        <v>9.3754346328037705</v>
      </c>
      <c r="Q359" s="89" t="str">
        <f>IF(Sheet1!BQ357&gt;25.75,"spill elevation","-")</f>
        <v>-</v>
      </c>
      <c r="R359" s="89" t="str">
        <f>IF(Sheet1!BQ357&gt;25.75,"spill elevation","-")</f>
        <v>-</v>
      </c>
      <c r="S359" s="89" t="str">
        <f>IF(Sheet1!BR357&gt;25.75,"spill elevation","-")</f>
        <v>-</v>
      </c>
      <c r="T359" s="93">
        <f>IF(Sheet1!DU357=1,Sheet1!AA357-(SUM(AT359:BA359)+BE359),Sheet1!AA357-SUM(AT359:BA359))</f>
        <v>23.59104</v>
      </c>
      <c r="U359" s="93">
        <f>Sheet1!BV357</f>
        <v>34.9</v>
      </c>
      <c r="V359" s="93">
        <f t="shared" si="80"/>
        <v>-11.308959999999999</v>
      </c>
      <c r="W359" s="93">
        <f>0</f>
        <v>0</v>
      </c>
      <c r="X359" s="89">
        <f>0</f>
        <v>0</v>
      </c>
      <c r="Y359" s="94">
        <f ca="1">Calculation!EJ360+Calculation!ES359+'Calculations II'!O359-'Calculations II'!W359</f>
        <v>56.585022226972804</v>
      </c>
      <c r="Z359" s="94">
        <f ca="1">Y359-Sheet1!CT358</f>
        <v>40.744022226972803</v>
      </c>
      <c r="AA359" s="94">
        <f ca="1">Y359+Calculation!DJ360+Calculation!AS360</f>
        <v>67.063902634097488</v>
      </c>
      <c r="AC359" s="94">
        <f>Sheet1!AA357+Sheet1!AB357+BC359</f>
        <v>49.58</v>
      </c>
      <c r="AD359" s="94">
        <f>Sheet1!AA357+Sheet1!BN357+'Calculations II'!BC359-Calculation!AS359-Calculation!DJ359</f>
        <v>28.762292171105734</v>
      </c>
      <c r="AE359" s="94">
        <f>Sheet1!AA357+Sheet1!AB357+'Calculations II'!BC359-Calculation!AS359-Calculation!DJ359</f>
        <v>39.14229217110573</v>
      </c>
      <c r="AF359" s="94">
        <f ca="1">Sheet1!AA357+Sheet1!BN357+P359+'Calculations II'!BC359+Calculation!AS359+Calculation!DJ359</f>
        <v>59.013142461698045</v>
      </c>
      <c r="AG359" s="94">
        <f ca="1">IF(B359=TODAY(),0,Sheet1!AA357+Sheet1!BN357+'Calculations II'!BC359+'Calculations II'!P359-Sheet1!CT357-BP359)</f>
        <v>32.354434632803773</v>
      </c>
      <c r="AH359" s="94">
        <f ca="1">IF(B359=TODAY(),0,Sheet1!AA357+Sheet1!BN357+'Calculations II'!BC359+'Calculations II'!P359-BP359)</f>
        <v>48.575434632803777</v>
      </c>
      <c r="AI359" s="94">
        <f ca="1">IF(B359=TODAY(),0,BC359+Sheet1!AA357+Calculation!ES359+O359+W359+Sheet1!BN357+Calculation!AS359+Calculation!DJ359-BP359)</f>
        <v>59.013142461698031</v>
      </c>
      <c r="AJ359" s="94"/>
      <c r="AM359" s="90">
        <f t="shared" si="81"/>
        <v>43083</v>
      </c>
      <c r="AN359" s="94">
        <f>Sheet1!BU357</f>
        <v>22.9</v>
      </c>
      <c r="AO359" s="94">
        <f>Sheet1!AA357</f>
        <v>24.9</v>
      </c>
      <c r="AP359" s="94">
        <f t="shared" si="70"/>
        <v>-7.4789999999999983</v>
      </c>
      <c r="AQ359" s="1086">
        <f>((Sheet1!BV357-(Sheet1!BU357-AP359))/(Sheet1!BU357-AP359))</f>
        <v>0.14881990848941706</v>
      </c>
      <c r="AR359" s="94">
        <f t="shared" si="71"/>
        <v>32.378999999999998</v>
      </c>
      <c r="AS359" s="94">
        <f t="shared" si="72"/>
        <v>30.378999999999998</v>
      </c>
      <c r="AT359" s="89">
        <f>Sheet1!BB357</f>
        <v>0</v>
      </c>
      <c r="AU359" s="89">
        <f>Sheet1!AS357*GPMtoMGD</f>
        <v>2.9808000000000001E-2</v>
      </c>
      <c r="AV359" s="94">
        <f>Sheet1!AT357</f>
        <v>0</v>
      </c>
      <c r="AW359" s="89">
        <f>Sheet1!AV357*GPMtoMGD</f>
        <v>0</v>
      </c>
      <c r="AX359" s="89">
        <f>Sheet1!AW357*GPMtoMGD</f>
        <v>1.2791520000000001</v>
      </c>
      <c r="AY359" s="89">
        <f>Sheet1!AX357*GPMtoMGD</f>
        <v>0</v>
      </c>
      <c r="AZ359" s="89">
        <f>Sheet1!AY357*GPMtoMGD</f>
        <v>0</v>
      </c>
      <c r="BA359" s="89">
        <f>Sheet1!AZ357*GPMtoMGD</f>
        <v>0</v>
      </c>
      <c r="BB359" s="89">
        <f>Sheet1!BP357*GPMtoMGD</f>
        <v>4.032E-3</v>
      </c>
      <c r="BC359" s="89">
        <f>Sheet1!CS357*GPMtoMGD</f>
        <v>0</v>
      </c>
      <c r="BD359" s="89">
        <f>Sheet1!BO357*GPMtoMGD</f>
        <v>1.702944</v>
      </c>
      <c r="BE359" s="89">
        <f>Sheet1!BW357*GPMtoMGD</f>
        <v>1.080144</v>
      </c>
      <c r="BF359" s="89">
        <f>Sheet1!CN357*GPMtoMGD</f>
        <v>0.22723200000000002</v>
      </c>
      <c r="BG359" s="89">
        <f>Sheet1!CO357*GPMtoMGD</f>
        <v>0.62683200000000006</v>
      </c>
      <c r="BH359" s="89">
        <f>Sheet1!CP357*GPMtoMGD</f>
        <v>0</v>
      </c>
      <c r="BI359" s="89">
        <f t="shared" si="82"/>
        <v>1.706976</v>
      </c>
      <c r="BK359" s="94">
        <f>SUM(AT359:BA359,AS359,BC359,Calculation!AQ359)</f>
        <v>45.930252171105728</v>
      </c>
      <c r="BM359" s="358">
        <f>0</f>
        <v>0</v>
      </c>
      <c r="BN359" s="358">
        <f>0</f>
        <v>0</v>
      </c>
      <c r="BP359" s="94">
        <f>SUM(BM359:BN359,W359,Sheet1!DX357)</f>
        <v>0</v>
      </c>
      <c r="BR359" s="94">
        <f>Sheet1!AA357</f>
        <v>24.9</v>
      </c>
      <c r="BS359" s="94">
        <f>Sheet1!AB357</f>
        <v>24.68</v>
      </c>
      <c r="BT359" s="94">
        <f t="shared" ca="1" si="73"/>
        <v>9.3754346328037705</v>
      </c>
      <c r="BU359" s="94">
        <f>Sheet1!AT357</f>
        <v>0</v>
      </c>
      <c r="BV359" s="89">
        <f>Sheet1!BB357</f>
        <v>0</v>
      </c>
      <c r="BW359" s="94">
        <f>Calculation!ED359</f>
        <v>10.437707828894268</v>
      </c>
      <c r="BX359" s="94">
        <f>(Sheet1!CS357*1440)/1000000</f>
        <v>0</v>
      </c>
      <c r="CA359" s="94">
        <f ca="1">Sheet1!AC357-Sheet1!BK357-Sheet1!BL357-Sheet1!BM357-Sheet1!BC357-Sheet1!BD357-Sheet1!BE357-Sheet1!BF357-Sheet1!BG357-Sheet1!BH357-Sheet1!BI357+BC359+P359</f>
        <v>48.475434632803768</v>
      </c>
      <c r="CB359" s="93">
        <f t="shared" si="74"/>
        <v>60.553125988700565</v>
      </c>
      <c r="CC359" s="94">
        <f t="shared" si="75"/>
        <v>0</v>
      </c>
      <c r="CD359" s="94">
        <f t="shared" ca="1" si="76"/>
        <v>58.913142461698037</v>
      </c>
      <c r="CE359" s="1077">
        <f t="shared" ca="1" si="77"/>
        <v>91.138631388246864</v>
      </c>
      <c r="CG359" s="1077">
        <f t="shared" ca="1" si="78"/>
        <v>48.475434632803768</v>
      </c>
    </row>
    <row r="360" spans="1:85" s="89" customFormat="1" x14ac:dyDescent="0.25">
      <c r="A360" s="616" t="s">
        <v>8</v>
      </c>
      <c r="B360" s="91">
        <v>43084</v>
      </c>
      <c r="C360" s="92">
        <v>0</v>
      </c>
      <c r="D360" s="94">
        <f>(Sheet1!BQ358-Sheet1!BQ357)*1.385</f>
        <v>0.6925</v>
      </c>
      <c r="E360" s="30">
        <f>(Sheet1!BR358-Sheet1!BR357)*1.385</f>
        <v>0.58169999999999744</v>
      </c>
      <c r="F360" s="30">
        <f ca="1">IF(B360=TODAY(),0,-(VLOOKUP(Sheet1!CD358,Lookup!$I$4:$J$216,2)-VLOOKUP(Sheet1!CD357,Lookup!$I$4:$J$216,2))/1000000)</f>
        <v>-0.31091081564340556</v>
      </c>
      <c r="G360" s="94">
        <f ca="1">IF(B360=TODAY(),0,-$G$6*(Sheet1!CF358-Sheet1!CF357)*7.48/1000000)</f>
        <v>-0.87369702315630426</v>
      </c>
      <c r="H360" s="94">
        <f ca="1">IF(B360=TODAY(),0,-$H$6*(Sheet1!CE358-Sheet1!CE357)*7.48/1000000)</f>
        <v>-1.5039432351265274E-2</v>
      </c>
      <c r="I360" s="94">
        <f ca="1">IF(B360=TODAY(),0,-$I$6*(Sheet1!CG358-Sheet1!CG357)*7.48/1000000)</f>
        <v>1.8419200800000011E-2</v>
      </c>
      <c r="J360" s="95" t="s">
        <v>177</v>
      </c>
      <c r="K360" s="94">
        <f ca="1">IF(B360=TODAY(),0,-$K$6*(Sheet1!CH358-Sheet1!CH357)*7.48/1000000)</f>
        <v>3.3316601872292212E-2</v>
      </c>
      <c r="L360" s="95" t="s">
        <v>177</v>
      </c>
      <c r="M360" s="94">
        <f ca="1">IF(B360=TODAY(),0,-$M$6*(Sheet1!CI358-Sheet1!CI357)*7.48/1000000)</f>
        <v>8.9957542140135238E-2</v>
      </c>
      <c r="N360" s="94">
        <f ca="1">IF(B360=TODAY(),0,-$N$6*(Sheet1!CJ358-Sheet1!CJ357)*7.48/1000000)</f>
        <v>-0.37231407236774317</v>
      </c>
      <c r="O360" s="94">
        <f t="shared" ca="1" si="79"/>
        <v>-1.430267998706291</v>
      </c>
      <c r="P360" s="94">
        <f ca="1">O360+Calculation!ES360</f>
        <v>-2.812745721213477</v>
      </c>
      <c r="Q360" s="89" t="str">
        <f>IF(Sheet1!BQ358&gt;25.75,"spill elevation","-")</f>
        <v>-</v>
      </c>
      <c r="R360" s="89" t="str">
        <f>IF(Sheet1!BQ358&gt;25.75,"spill elevation","-")</f>
        <v>-</v>
      </c>
      <c r="S360" s="89" t="str">
        <f>IF(Sheet1!BR358&gt;25.75,"spill elevation","-")</f>
        <v>-</v>
      </c>
      <c r="T360" s="93">
        <f>IF(Sheet1!DU358=1,Sheet1!AA358-(SUM(AT360:BA360)+BE360),Sheet1!AA358-SUM(AT360:BA360))</f>
        <v>23.101264</v>
      </c>
      <c r="U360" s="93">
        <f>Sheet1!BV358</f>
        <v>25.2</v>
      </c>
      <c r="V360" s="93">
        <f t="shared" si="80"/>
        <v>-2.0987359999999988</v>
      </c>
      <c r="W360" s="93">
        <f>0</f>
        <v>0</v>
      </c>
      <c r="X360" s="89">
        <f>0</f>
        <v>0</v>
      </c>
      <c r="Y360" s="94">
        <f ca="1">Calculation!EJ361+Calculation!ES360+'Calculations II'!O360-'Calculations II'!W360</f>
        <v>47.54792310830539</v>
      </c>
      <c r="Z360" s="94">
        <f ca="1">Y360-Sheet1!CT359</f>
        <v>31.25992310830539</v>
      </c>
      <c r="AA360" s="94">
        <f ca="1">Y360+Calculation!DJ361+Calculation!AS361</f>
        <v>57.997547795544762</v>
      </c>
      <c r="AC360" s="94">
        <f>Sheet1!AA358+Sheet1!AB358+BC360</f>
        <v>59.62</v>
      </c>
      <c r="AD360" s="94">
        <f>Sheet1!AA358+Sheet1!BN358+'Calculations II'!BC360-Calculation!AS360-Calculation!DJ360</f>
        <v>38.641119592875313</v>
      </c>
      <c r="AE360" s="94">
        <f>Sheet1!AA358+Sheet1!AB358+'Calculations II'!BC360-Calculation!AS360-Calculation!DJ360</f>
        <v>49.141119592875313</v>
      </c>
      <c r="AF360" s="94">
        <f ca="1">Sheet1!AA358+Sheet1!BN358+P360+'Calculations II'!BC360+Calculation!AS360+Calculation!DJ360</f>
        <v>56.786134685911207</v>
      </c>
      <c r="AG360" s="94">
        <f ca="1">IF(B360=TODAY(),0,Sheet1!AA358+Sheet1!BN358+'Calculations II'!BC360+'Calculations II'!P360-Sheet1!CT358-BP360)</f>
        <v>30.466254278786522</v>
      </c>
      <c r="AH360" s="94">
        <f ca="1">IF(B360=TODAY(),0,Sheet1!AA358+Sheet1!BN358+'Calculations II'!BC360+'Calculations II'!P360-BP360)</f>
        <v>46.307254278786523</v>
      </c>
      <c r="AI360" s="94">
        <f ca="1">IF(B360=TODAY(),0,BC360+Sheet1!AA358+Calculation!ES360+O360+W360+Sheet1!BN358+Calculation!AS360+Calculation!DJ360-BP360)</f>
        <v>56.7861346859112</v>
      </c>
      <c r="AJ360" s="94"/>
      <c r="AM360" s="90">
        <f t="shared" si="81"/>
        <v>43084</v>
      </c>
      <c r="AN360" s="94">
        <f>Sheet1!BU358</f>
        <v>22.6</v>
      </c>
      <c r="AO360" s="94">
        <f>Sheet1!AA358</f>
        <v>24.22</v>
      </c>
      <c r="AP360" s="94">
        <f t="shared" si="70"/>
        <v>1.2741999999999973</v>
      </c>
      <c r="AQ360" s="1086">
        <f>((Sheet1!BV358-(Sheet1!BU358-AP360))/(Sheet1!BU358-AP360))</f>
        <v>0.18166727625692794</v>
      </c>
      <c r="AR360" s="94">
        <f t="shared" si="71"/>
        <v>22.945800000000002</v>
      </c>
      <c r="AS360" s="94">
        <f t="shared" si="72"/>
        <v>21.325800000000005</v>
      </c>
      <c r="AT360" s="89">
        <f>Sheet1!BB358</f>
        <v>0</v>
      </c>
      <c r="AU360" s="89">
        <f>Sheet1!AS358*GPMtoMGD</f>
        <v>3.2112000000000002E-2</v>
      </c>
      <c r="AV360" s="94">
        <f>Sheet1!AT358</f>
        <v>0</v>
      </c>
      <c r="AW360" s="89">
        <f>Sheet1!AV358*GPMtoMGD</f>
        <v>3.3695999999999997E-2</v>
      </c>
      <c r="AX360" s="89">
        <f>Sheet1!AW358*GPMtoMGD</f>
        <v>1.0529280000000001</v>
      </c>
      <c r="AY360" s="89">
        <f>Sheet1!AX358*GPMtoMGD</f>
        <v>0</v>
      </c>
      <c r="AZ360" s="89">
        <f>Sheet1!AY358*GPMtoMGD</f>
        <v>0</v>
      </c>
      <c r="BA360" s="89">
        <f>Sheet1!AZ358*GPMtoMGD</f>
        <v>0</v>
      </c>
      <c r="BB360" s="89">
        <f>Sheet1!BP358*GPMtoMGD</f>
        <v>4.176E-3</v>
      </c>
      <c r="BC360" s="89">
        <f>Sheet1!CS358*GPMtoMGD</f>
        <v>0</v>
      </c>
      <c r="BD360" s="89">
        <f>Sheet1!BO358*GPMtoMGD</f>
        <v>1.3000320000000001</v>
      </c>
      <c r="BE360" s="89">
        <f>Sheet1!BW358*GPMtoMGD</f>
        <v>0.855792</v>
      </c>
      <c r="BF360" s="89">
        <f>Sheet1!CN358*GPMtoMGD</f>
        <v>0.16142400000000001</v>
      </c>
      <c r="BG360" s="89">
        <f>Sheet1!CO358*GPMtoMGD</f>
        <v>0.63403200000000004</v>
      </c>
      <c r="BH360" s="89">
        <f>Sheet1!CP358*GPMtoMGD</f>
        <v>0</v>
      </c>
      <c r="BI360" s="89">
        <f t="shared" si="82"/>
        <v>1.304208</v>
      </c>
      <c r="BK360" s="94">
        <f>SUM(AT360:BA360,AS360,BC360,Calculation!AQ360)</f>
        <v>47.365655592875328</v>
      </c>
      <c r="BM360" s="358">
        <f>0</f>
        <v>0</v>
      </c>
      <c r="BN360" s="358">
        <f>0</f>
        <v>0</v>
      </c>
      <c r="BP360" s="94">
        <f>SUM(BM360:BN360,W360,Sheet1!DX358)</f>
        <v>0</v>
      </c>
      <c r="BR360" s="94">
        <f>Sheet1!AA358</f>
        <v>24.22</v>
      </c>
      <c r="BS360" s="94">
        <f>Sheet1!AB358</f>
        <v>35.4</v>
      </c>
      <c r="BT360" s="94">
        <f t="shared" ca="1" si="73"/>
        <v>-2.812745721213477</v>
      </c>
      <c r="BU360" s="94">
        <f>Sheet1!AT358</f>
        <v>0</v>
      </c>
      <c r="BV360" s="89">
        <f>Sheet1!BB358</f>
        <v>0</v>
      </c>
      <c r="BW360" s="94">
        <f>Calculation!ED360</f>
        <v>10.478880407124683</v>
      </c>
      <c r="BX360" s="94">
        <f>(Sheet1!CS358*1440)/1000000</f>
        <v>0</v>
      </c>
      <c r="CA360" s="94">
        <f ca="1">Sheet1!AC358-Sheet1!BK358-Sheet1!BL358-Sheet1!BM358-Sheet1!BC358-Sheet1!BD358-Sheet1!BE358-Sheet1!BF358-Sheet1!BG358-Sheet1!BH358-Sheet1!BI358+BC360+P360</f>
        <v>46.337254278786524</v>
      </c>
      <c r="CB360" s="93">
        <f t="shared" si="74"/>
        <v>76.021312010178107</v>
      </c>
      <c r="CC360" s="94">
        <f t="shared" si="75"/>
        <v>0</v>
      </c>
      <c r="CD360" s="94">
        <f t="shared" ca="1" si="76"/>
        <v>56.816134685911209</v>
      </c>
      <c r="CE360" s="1077">
        <f t="shared" ca="1" si="77"/>
        <v>87.894560359104631</v>
      </c>
      <c r="CG360" s="1077">
        <f t="shared" ca="1" si="78"/>
        <v>46.337254278786524</v>
      </c>
    </row>
    <row r="361" spans="1:85" s="89" customFormat="1" x14ac:dyDescent="0.25">
      <c r="A361" s="616" t="s">
        <v>9</v>
      </c>
      <c r="B361" s="91">
        <v>43085</v>
      </c>
      <c r="C361" s="92">
        <v>0</v>
      </c>
      <c r="D361" s="94">
        <f>(Sheet1!BQ359-Sheet1!BQ358)*1.385</f>
        <v>1.5927499999999981</v>
      </c>
      <c r="E361" s="30">
        <f>(Sheet1!BR359-Sheet1!BR358)*1.385</f>
        <v>1.6342999999999996</v>
      </c>
      <c r="F361" s="30">
        <f ca="1">IF(B361=TODAY(),0,-(VLOOKUP(Sheet1!CD359,Lookup!$I$4:$J$216,2)-VLOOKUP(Sheet1!CD358,Lookup!$I$4:$J$216,2))/1000000)</f>
        <v>0.62182163128680368</v>
      </c>
      <c r="G361" s="94">
        <f ca="1">IF(B361=TODAY(),0,-$G$6*(Sheet1!CF359-Sheet1!CF358)*7.48/1000000)</f>
        <v>0.47656201263071124</v>
      </c>
      <c r="H361" s="94">
        <f ca="1">IF(B361=TODAY(),0,-$H$6*(Sheet1!CE359-Sheet1!CE358)*7.48/1000000)</f>
        <v>1.5039432351265274E-2</v>
      </c>
      <c r="I361" s="94">
        <f ca="1">IF(B361=TODAY(),0,-$I$6*(Sheet1!CG359-Sheet1!CG358)*7.48/1000000)</f>
        <v>-4.4924879999999048E-4</v>
      </c>
      <c r="J361" s="95" t="s">
        <v>177</v>
      </c>
      <c r="K361" s="94">
        <f ca="1">IF(B361=TODAY(),0,-$K$6*(Sheet1!CH359-Sheet1!CH358)*7.48/1000000)</f>
        <v>-6.6633203744584186E-3</v>
      </c>
      <c r="L361" s="95" t="s">
        <v>177</v>
      </c>
      <c r="M361" s="94">
        <f ca="1">IF(B361=TODAY(),0,-$M$6*(Sheet1!CI359-Sheet1!CI358)*7.48/1000000)</f>
        <v>-1.7991508428026985E-2</v>
      </c>
      <c r="N361" s="94">
        <f ca="1">IF(B361=TODAY(),0,-$N$6*(Sheet1!CJ359-Sheet1!CJ358)*7.48/1000000)</f>
        <v>9.3078518091934973E-2</v>
      </c>
      <c r="O361" s="94">
        <f t="shared" ca="1" si="79"/>
        <v>1.1813975167582298</v>
      </c>
      <c r="P361" s="94">
        <f ca="1">O361+Calculation!ES361</f>
        <v>-1.9994858831391482</v>
      </c>
      <c r="Q361" s="89" t="str">
        <f>IF(Sheet1!BQ359&gt;25.75,"spill elevation","-")</f>
        <v>-</v>
      </c>
      <c r="R361" s="89" t="str">
        <f>IF(Sheet1!BQ359&gt;25.75,"spill elevation","-")</f>
        <v>-</v>
      </c>
      <c r="S361" s="89" t="str">
        <f>IF(Sheet1!BR359&gt;25.75,"spill elevation","-")</f>
        <v>-</v>
      </c>
      <c r="T361" s="93">
        <f>IF(Sheet1!DU359=1,Sheet1!AA359-(SUM(AT361:BA361)+BE361),Sheet1!AA359-SUM(AT361:BA361))</f>
        <v>22.951104000000001</v>
      </c>
      <c r="U361" s="93">
        <f>Sheet1!BV359</f>
        <v>22.5</v>
      </c>
      <c r="V361" s="93">
        <f t="shared" si="80"/>
        <v>0.45110400000000084</v>
      </c>
      <c r="W361" s="93">
        <f>0</f>
        <v>0</v>
      </c>
      <c r="X361" s="89">
        <f>0</f>
        <v>0</v>
      </c>
      <c r="Y361" s="94">
        <f ca="1">Calculation!EJ362+Calculation!ES361+'Calculations II'!O361-'Calculations II'!W361</f>
        <v>46.556594476653757</v>
      </c>
      <c r="Z361" s="94">
        <f ca="1">Y361-Sheet1!CT360</f>
        <v>30.864594476653757</v>
      </c>
      <c r="AA361" s="94">
        <f ca="1">Y361+Calculation!DJ362+Calculation!AS362</f>
        <v>56.992060401549445</v>
      </c>
      <c r="AC361" s="94">
        <f>Sheet1!AA359+Sheet1!AB359+BC361</f>
        <v>60.08</v>
      </c>
      <c r="AD361" s="94">
        <f>Sheet1!AA359+Sheet1!BN359+'Calculations II'!BC361-Calculation!AS361-Calculation!DJ361</f>
        <v>39.230375312760629</v>
      </c>
      <c r="AE361" s="94">
        <f>Sheet1!AA359+Sheet1!AB359+'Calculations II'!BC361-Calculation!AS361-Calculation!DJ361</f>
        <v>49.630375312760634</v>
      </c>
      <c r="AF361" s="94">
        <f ca="1">Sheet1!AA359+Sheet1!BN359+P361+'Calculations II'!BC361+Calculation!AS361+Calculation!DJ361</f>
        <v>58.130138804100213</v>
      </c>
      <c r="AG361" s="94">
        <f ca="1">IF(B361=TODAY(),0,Sheet1!AA359+Sheet1!BN359+'Calculations II'!BC361+'Calculations II'!P361-Sheet1!CT359-BP361)</f>
        <v>31.392514116860848</v>
      </c>
      <c r="AH361" s="94">
        <f ca="1">IF(B361=TODAY(),0,Sheet1!AA359+Sheet1!BN359+'Calculations II'!BC361+'Calculations II'!P361-BP361)</f>
        <v>47.680514116860849</v>
      </c>
      <c r="AI361" s="94">
        <f ca="1">IF(B361=TODAY(),0,BC361+Sheet1!AA359+Calculation!ES361+O361+W361+Sheet1!BN359+Calculation!AS361+Calculation!DJ361-BP361)</f>
        <v>58.130138804100213</v>
      </c>
      <c r="AJ361" s="94"/>
      <c r="AM361" s="90">
        <f t="shared" si="81"/>
        <v>43085</v>
      </c>
      <c r="AN361" s="94">
        <f>Sheet1!BU359</f>
        <v>22.5</v>
      </c>
      <c r="AO361" s="94">
        <f>Sheet1!AA359</f>
        <v>24.18</v>
      </c>
      <c r="AP361" s="94">
        <f t="shared" si="70"/>
        <v>3.2270499999999975</v>
      </c>
      <c r="AQ361" s="1086">
        <f>((Sheet1!BV359-(Sheet1!BU359-AP361))/(Sheet1!BU359-AP361))</f>
        <v>0.16743933855481377</v>
      </c>
      <c r="AR361" s="94">
        <f t="shared" si="71"/>
        <v>20.952950000000001</v>
      </c>
      <c r="AS361" s="94">
        <f t="shared" si="72"/>
        <v>19.272950000000002</v>
      </c>
      <c r="AT361" s="89">
        <f>Sheet1!BB359</f>
        <v>0</v>
      </c>
      <c r="AU361" s="89">
        <f>Sheet1!AS359*GPMtoMGD</f>
        <v>3.3264000000000002E-2</v>
      </c>
      <c r="AV361" s="94">
        <f>Sheet1!AT359</f>
        <v>0</v>
      </c>
      <c r="AW361" s="89">
        <f>Sheet1!AV359*GPMtoMGD</f>
        <v>0</v>
      </c>
      <c r="AX361" s="89">
        <f>Sheet1!AW359*GPMtoMGD</f>
        <v>1.195632</v>
      </c>
      <c r="AY361" s="89">
        <f>Sheet1!AX359*GPMtoMGD</f>
        <v>0</v>
      </c>
      <c r="AZ361" s="89">
        <f>Sheet1!AY359*GPMtoMGD</f>
        <v>0</v>
      </c>
      <c r="BA361" s="89">
        <f>Sheet1!AZ359*GPMtoMGD</f>
        <v>0</v>
      </c>
      <c r="BB361" s="89">
        <f>Sheet1!BP359*GPMtoMGD</f>
        <v>4.032E-3</v>
      </c>
      <c r="BC361" s="89">
        <f>Sheet1!CS359*GPMtoMGD</f>
        <v>0</v>
      </c>
      <c r="BD361" s="89">
        <f>Sheet1!BO359*GPMtoMGD</f>
        <v>1.5579360000000002</v>
      </c>
      <c r="BE361" s="89">
        <f>Sheet1!BW359*GPMtoMGD</f>
        <v>1.1342880000000002</v>
      </c>
      <c r="BF361" s="89">
        <f>Sheet1!CN359*GPMtoMGD</f>
        <v>0.25070399999999998</v>
      </c>
      <c r="BG361" s="89">
        <f>Sheet1!CO359*GPMtoMGD</f>
        <v>0.66974400000000012</v>
      </c>
      <c r="BH361" s="89">
        <f>Sheet1!CP359*GPMtoMGD</f>
        <v>0</v>
      </c>
      <c r="BI361" s="89">
        <f t="shared" si="82"/>
        <v>1.5619680000000002</v>
      </c>
      <c r="BK361" s="94">
        <f>SUM(AT361:BA361,AS361,BC361,Calculation!AQ361)</f>
        <v>45.952221312760635</v>
      </c>
      <c r="BM361" s="358">
        <f>0</f>
        <v>0</v>
      </c>
      <c r="BN361" s="358">
        <f>0</f>
        <v>0</v>
      </c>
      <c r="BP361" s="94">
        <f>SUM(BM361:BN361,W361,Sheet1!DX359)</f>
        <v>0</v>
      </c>
      <c r="BR361" s="94">
        <f>Sheet1!AA359</f>
        <v>24.18</v>
      </c>
      <c r="BS361" s="94">
        <f>Sheet1!AB359</f>
        <v>35.9</v>
      </c>
      <c r="BT361" s="94">
        <f t="shared" ca="1" si="73"/>
        <v>-1.9994858831391482</v>
      </c>
      <c r="BU361" s="94">
        <f>Sheet1!AT359</f>
        <v>0</v>
      </c>
      <c r="BV361" s="89">
        <f>Sheet1!BB359</f>
        <v>0</v>
      </c>
      <c r="BW361" s="94">
        <f>Calculation!ED361</f>
        <v>10.449624687239366</v>
      </c>
      <c r="BX361" s="94">
        <f>(Sheet1!CS359*1440)/1000000</f>
        <v>0</v>
      </c>
      <c r="CA361" s="94">
        <f ca="1">Sheet1!AC359-Sheet1!BK359-Sheet1!BL359-Sheet1!BM359-Sheet1!BC359-Sheet1!BD359-Sheet1!BE359-Sheet1!BF359-Sheet1!BG359-Sheet1!BH359-Sheet1!BI359+BC361+P361</f>
        <v>47.610514116860848</v>
      </c>
      <c r="CB361" s="93">
        <f t="shared" si="74"/>
        <v>76.778190608840703</v>
      </c>
      <c r="CC361" s="94">
        <f t="shared" si="75"/>
        <v>0</v>
      </c>
      <c r="CD361" s="94">
        <f t="shared" ca="1" si="76"/>
        <v>58.060138804100212</v>
      </c>
      <c r="CE361" s="1077">
        <f t="shared" ca="1" si="77"/>
        <v>89.819034729943027</v>
      </c>
      <c r="CG361" s="1077">
        <f t="shared" ca="1" si="78"/>
        <v>47.610514116860848</v>
      </c>
    </row>
    <row r="362" spans="1:85" s="89" customFormat="1" x14ac:dyDescent="0.25">
      <c r="A362" s="616" t="s">
        <v>3</v>
      </c>
      <c r="B362" s="91">
        <v>43086</v>
      </c>
      <c r="C362" s="92">
        <v>0</v>
      </c>
      <c r="D362" s="94">
        <f>(Sheet1!BQ360-Sheet1!BQ359)*1.385</f>
        <v>1.2187999999999986</v>
      </c>
      <c r="E362" s="30">
        <f>(Sheet1!BR360-Sheet1!BR359)*1.385</f>
        <v>1.315750000000004</v>
      </c>
      <c r="F362" s="30">
        <f ca="1">IF(B362=TODAY(),0,-(VLOOKUP(Sheet1!CD360,Lookup!$I$4:$J$216,2)-VLOOKUP(Sheet1!CD359,Lookup!$I$4:$J$216,2))/1000000)</f>
        <v>-0.62182163128680368</v>
      </c>
      <c r="G362" s="94">
        <f ca="1">IF(B362=TODAY(),0,-$G$6*(Sheet1!CF360-Sheet1!CF359)*7.48/1000000)</f>
        <v>0.43684851157815285</v>
      </c>
      <c r="H362" s="94">
        <f ca="1">IF(B362=TODAY(),0,-$H$6*(Sheet1!CE360-Sheet1!CE359)*7.48/1000000)</f>
        <v>1.5039432351264204E-2</v>
      </c>
      <c r="I362" s="94">
        <f ca="1">IF(B362=TODAY(),0,-$I$6*(Sheet1!CG360-Sheet1!CG359)*7.48/1000000)</f>
        <v>4.4924879999999837E-3</v>
      </c>
      <c r="J362" s="95" t="s">
        <v>177</v>
      </c>
      <c r="K362" s="94">
        <f ca="1">IF(B362=TODAY(),0,-$K$6*(Sheet1!CH360-Sheet1!CH359)*7.48/1000000)</f>
        <v>1.3326640748916837E-2</v>
      </c>
      <c r="L362" s="95" t="s">
        <v>177</v>
      </c>
      <c r="M362" s="94">
        <f ca="1">IF(B362=TODAY(),0,-$M$6*(Sheet1!CI360-Sheet1!CI359)*7.48/1000000)</f>
        <v>1.7991508428026985E-2</v>
      </c>
      <c r="N362" s="94">
        <f ca="1">IF(B362=TODAY(),0,-$N$6*(Sheet1!CJ360-Sheet1!CJ359)*7.48/1000000)</f>
        <v>-0.33508266513096857</v>
      </c>
      <c r="O362" s="94">
        <f t="shared" ca="1" si="79"/>
        <v>-0.46920571531141136</v>
      </c>
      <c r="P362" s="94">
        <f ca="1">O362+Calculation!ES362</f>
        <v>-3.098225308177363</v>
      </c>
      <c r="Q362" s="89" t="str">
        <f>IF(Sheet1!BQ360&gt;25.75,"spill elevation","-")</f>
        <v>-</v>
      </c>
      <c r="R362" s="89" t="str">
        <f>IF(Sheet1!BQ360&gt;25.75,"spill elevation","-")</f>
        <v>-</v>
      </c>
      <c r="S362" s="89" t="str">
        <f>IF(Sheet1!BR360&gt;25.75,"spill elevation","-")</f>
        <v>-</v>
      </c>
      <c r="T362" s="93">
        <f>IF(Sheet1!DU360=1,Sheet1!AA360-(SUM(AT362:BA362)+BE362),Sheet1!AA360-SUM(AT362:BA362))</f>
        <v>23.539248000000001</v>
      </c>
      <c r="U362" s="93">
        <f>Sheet1!BV360</f>
        <v>23.6</v>
      </c>
      <c r="V362" s="93">
        <f t="shared" si="80"/>
        <v>-6.0752000000000805E-2</v>
      </c>
      <c r="W362" s="93">
        <f>0</f>
        <v>0</v>
      </c>
      <c r="X362" s="89">
        <f>0</f>
        <v>0</v>
      </c>
      <c r="Y362" s="94">
        <f ca="1">Calculation!EJ363+Calculation!ES362+'Calculations II'!O362-'Calculations II'!W362</f>
        <v>45.310119246178928</v>
      </c>
      <c r="Z362" s="94">
        <f ca="1">Y362-Sheet1!CT361</f>
        <v>29.956119246178929</v>
      </c>
      <c r="AA362" s="94">
        <f ca="1">Y362+Calculation!DJ363+Calculation!AS363</f>
        <v>55.80316070747206</v>
      </c>
      <c r="AC362" s="94">
        <f>Sheet1!AA360+Sheet1!AB360+BC362</f>
        <v>60.2</v>
      </c>
      <c r="AD362" s="94">
        <f>Sheet1!AA360+Sheet1!BN360+'Calculations II'!BC362-Calculation!AS362-Calculation!DJ362</f>
        <v>39.364534075104309</v>
      </c>
      <c r="AE362" s="94">
        <f>Sheet1!AA360+Sheet1!AB360+'Calculations II'!BC362-Calculation!AS362-Calculation!DJ362</f>
        <v>49.764534075104315</v>
      </c>
      <c r="AF362" s="94">
        <f ca="1">Sheet1!AA360+Sheet1!BN360+P362+'Calculations II'!BC362+Calculation!AS362+Calculation!DJ362</f>
        <v>57.137240616718323</v>
      </c>
      <c r="AG362" s="94">
        <f ca="1">IF(B362=TODAY(),0,Sheet1!AA360+Sheet1!BN360+'Calculations II'!BC362+'Calculations II'!P362-Sheet1!CT360-BP362)</f>
        <v>31.009774691822635</v>
      </c>
      <c r="AH362" s="94">
        <f ca="1">IF(B362=TODAY(),0,Sheet1!AA360+Sheet1!BN360+'Calculations II'!BC362+'Calculations II'!P362-BP362)</f>
        <v>46.701774691822635</v>
      </c>
      <c r="AI362" s="94">
        <f ca="1">IF(B362=TODAY(),0,BC362+Sheet1!AA360+Calculation!ES362+O362+W362+Sheet1!BN360+Calculation!AS362+Calculation!DJ362-BP362)</f>
        <v>57.137240616718323</v>
      </c>
      <c r="AJ362" s="94"/>
      <c r="AM362" s="90">
        <f t="shared" si="81"/>
        <v>43086</v>
      </c>
      <c r="AN362" s="94">
        <f>Sheet1!BU360</f>
        <v>22.8</v>
      </c>
      <c r="AO362" s="94">
        <f>Sheet1!AA360</f>
        <v>24.3</v>
      </c>
      <c r="AP362" s="94">
        <f t="shared" si="70"/>
        <v>2.5345500000000025</v>
      </c>
      <c r="AQ362" s="1086">
        <f>((Sheet1!BV360-(Sheet1!BU360-AP362))/(Sheet1!BU360-AP362))</f>
        <v>0.16454359513358963</v>
      </c>
      <c r="AR362" s="94">
        <f t="shared" si="71"/>
        <v>21.765449999999998</v>
      </c>
      <c r="AS362" s="94">
        <f t="shared" si="72"/>
        <v>20.265449999999998</v>
      </c>
      <c r="AT362" s="89">
        <f>Sheet1!BB360</f>
        <v>0</v>
      </c>
      <c r="AU362" s="89">
        <f>Sheet1!AS360*GPMtoMGD</f>
        <v>2.7360000000000002E-2</v>
      </c>
      <c r="AV362" s="94">
        <f>Sheet1!AT360</f>
        <v>0</v>
      </c>
      <c r="AW362" s="89">
        <f>Sheet1!AV360*GPMtoMGD</f>
        <v>0.36446400000000001</v>
      </c>
      <c r="AX362" s="89">
        <f>Sheet1!AW360*GPMtoMGD</f>
        <v>0.36892800000000003</v>
      </c>
      <c r="AY362" s="89">
        <f>Sheet1!AX360*GPMtoMGD</f>
        <v>0</v>
      </c>
      <c r="AZ362" s="89">
        <f>Sheet1!AY360*GPMtoMGD</f>
        <v>0</v>
      </c>
      <c r="BA362" s="89">
        <f>Sheet1!AZ360*GPMtoMGD</f>
        <v>0</v>
      </c>
      <c r="BB362" s="89">
        <f>Sheet1!BP360*GPMtoMGD</f>
        <v>3.4560000000000003E-3</v>
      </c>
      <c r="BC362" s="89">
        <f>Sheet1!CS360*GPMtoMGD</f>
        <v>0</v>
      </c>
      <c r="BD362" s="89">
        <f>Sheet1!BO360*GPMtoMGD</f>
        <v>1.523952</v>
      </c>
      <c r="BE362" s="89">
        <f>Sheet1!BW360*GPMtoMGD</f>
        <v>1.031328</v>
      </c>
      <c r="BF362" s="89">
        <f>Sheet1!CN360*GPMtoMGD</f>
        <v>0.319104</v>
      </c>
      <c r="BG362" s="89">
        <f>Sheet1!CO360*GPMtoMGD</f>
        <v>0.67348799999999998</v>
      </c>
      <c r="BH362" s="89">
        <f>Sheet1!CP360*GPMtoMGD</f>
        <v>0</v>
      </c>
      <c r="BI362" s="89">
        <f t="shared" si="82"/>
        <v>1.5274079999999999</v>
      </c>
      <c r="BK362" s="94">
        <f>SUM(AT362:BA362,AS362,BC362,Calculation!AQ362)</f>
        <v>46.490736075104309</v>
      </c>
      <c r="BM362" s="358">
        <f>0</f>
        <v>0</v>
      </c>
      <c r="BN362" s="358">
        <f>0</f>
        <v>0</v>
      </c>
      <c r="BP362" s="94">
        <f>SUM(BM362:BN362,W362,Sheet1!DX360)</f>
        <v>0</v>
      </c>
      <c r="BR362" s="94">
        <f>Sheet1!AA360</f>
        <v>24.3</v>
      </c>
      <c r="BS362" s="94">
        <f>Sheet1!AB360</f>
        <v>35.9</v>
      </c>
      <c r="BT362" s="94">
        <f t="shared" ca="1" si="73"/>
        <v>-3.098225308177363</v>
      </c>
      <c r="BU362" s="94">
        <f>Sheet1!AT360</f>
        <v>0</v>
      </c>
      <c r="BV362" s="89">
        <f>Sheet1!BB360</f>
        <v>0</v>
      </c>
      <c r="BW362" s="94">
        <f>Calculation!ED362</f>
        <v>10.435465924895688</v>
      </c>
      <c r="BX362" s="94">
        <f>(Sheet1!CS360*1440)/1000000</f>
        <v>0</v>
      </c>
      <c r="CA362" s="94">
        <f ca="1">Sheet1!AC360-Sheet1!BK360-Sheet1!BL360-Sheet1!BM360-Sheet1!BC360-Sheet1!BD360-Sheet1!BE360-Sheet1!BF360-Sheet1!BG360-Sheet1!BH360-Sheet1!BI360+BC362+P362</f>
        <v>46.651774691822645</v>
      </c>
      <c r="CB362" s="93">
        <f t="shared" si="74"/>
        <v>76.985734214186365</v>
      </c>
      <c r="CC362" s="94">
        <f t="shared" si="75"/>
        <v>0</v>
      </c>
      <c r="CD362" s="94">
        <f t="shared" ca="1" si="76"/>
        <v>57.087240616718333</v>
      </c>
      <c r="CE362" s="1077">
        <f t="shared" ca="1" si="77"/>
        <v>88.313961234063257</v>
      </c>
      <c r="CG362" s="1077">
        <f t="shared" ca="1" si="78"/>
        <v>46.651774691822645</v>
      </c>
    </row>
    <row r="363" spans="1:85" s="89" customFormat="1" x14ac:dyDescent="0.25">
      <c r="A363" s="616" t="s">
        <v>4</v>
      </c>
      <c r="B363" s="91">
        <v>43087</v>
      </c>
      <c r="C363" s="92">
        <v>0</v>
      </c>
      <c r="D363" s="94">
        <f>(Sheet1!BQ361-Sheet1!BQ360)*1.385</f>
        <v>1.0387500000000001</v>
      </c>
      <c r="E363" s="30">
        <f>(Sheet1!BR361-Sheet1!BR360)*1.385</f>
        <v>1.0941499999999988</v>
      </c>
      <c r="F363" s="30">
        <f ca="1">IF(B363=TODAY(),0,-(VLOOKUP(Sheet1!CD361,Lookup!$I$4:$J$216,2)-VLOOKUP(Sheet1!CD360,Lookup!$I$4:$J$216,2))/1000000)</f>
        <v>0.62182163128680368</v>
      </c>
      <c r="G363" s="94">
        <f ca="1">IF(B363=TODAY(),0,-$G$6*(Sheet1!CF361-Sheet1!CF360)*7.48/1000000)</f>
        <v>-0.87369702315630493</v>
      </c>
      <c r="H363" s="94">
        <f ca="1">IF(B363=TODAY(),0,-$H$6*(Sheet1!CE361-Sheet1!CE360)*7.48/1000000)</f>
        <v>0</v>
      </c>
      <c r="I363" s="94">
        <f ca="1">IF(B363=TODAY(),0,-$I$6*(Sheet1!CG361-Sheet1!CG360)*7.48/1000000)</f>
        <v>1.3477463999999995E-2</v>
      </c>
      <c r="J363" s="95" t="s">
        <v>177</v>
      </c>
      <c r="K363" s="94">
        <f ca="1">IF(B363=TODAY(),0,-$K$6*(Sheet1!CH361-Sheet1!CH360)*7.48/1000000)</f>
        <v>1.9989961123375376E-2</v>
      </c>
      <c r="L363" s="95" t="s">
        <v>177</v>
      </c>
      <c r="M363" s="94">
        <f ca="1">IF(B363=TODAY(),0,-$M$6*(Sheet1!CI361-Sheet1!CI360)*7.48/1000000)</f>
        <v>7.196603371210826E-2</v>
      </c>
      <c r="N363" s="94">
        <f ca="1">IF(B363=TODAY(),0,-$N$6*(Sheet1!CJ361-Sheet1!CJ360)*7.48/1000000)</f>
        <v>0.42195594868344238</v>
      </c>
      <c r="O363" s="94">
        <f t="shared" ca="1" si="79"/>
        <v>0.27551401564942474</v>
      </c>
      <c r="P363" s="94">
        <f ca="1">O363+Calculation!ES363</f>
        <v>-1.8008541753301492</v>
      </c>
      <c r="Q363" s="89" t="str">
        <f>IF(Sheet1!BQ361&gt;25.75,"spill elevation","-")</f>
        <v>-</v>
      </c>
      <c r="R363" s="89" t="str">
        <f>IF(Sheet1!BQ361&gt;25.75,"spill elevation","-")</f>
        <v>-</v>
      </c>
      <c r="S363" s="89" t="str">
        <f>IF(Sheet1!BR361&gt;25.75,"spill elevation","-")</f>
        <v>-</v>
      </c>
      <c r="T363" s="93">
        <f>IF(Sheet1!DU361=1,Sheet1!AA361-(SUM(AT363:BA363)+BE363),Sheet1!AA361-SUM(AT363:BA363))</f>
        <v>23.574128000000002</v>
      </c>
      <c r="U363" s="93">
        <f>Sheet1!BV361</f>
        <v>24.4</v>
      </c>
      <c r="V363" s="93">
        <f t="shared" si="80"/>
        <v>-0.82587199999999683</v>
      </c>
      <c r="W363" s="93">
        <f>0</f>
        <v>0</v>
      </c>
      <c r="X363" s="89">
        <f>0</f>
        <v>0</v>
      </c>
      <c r="Y363" s="94">
        <f ca="1">Calculation!EJ364+Calculation!ES363+'Calculations II'!O363-'Calculations II'!W363</f>
        <v>47.361330454116917</v>
      </c>
      <c r="Z363" s="94">
        <f ca="1">Y363-Sheet1!CT362</f>
        <v>31.175330454116917</v>
      </c>
      <c r="AA363" s="94">
        <f ca="1">Y363+Calculation!DJ364+Calculation!AS364</f>
        <v>57.802904147599008</v>
      </c>
      <c r="AC363" s="94">
        <f>Sheet1!AA361+Sheet1!AB361+BC363</f>
        <v>59.3</v>
      </c>
      <c r="AD363" s="94">
        <f>Sheet1!AA361+Sheet1!BN361+'Calculations II'!BC363-Calculation!AS363-Calculation!DJ363</f>
        <v>38.306958538706866</v>
      </c>
      <c r="AE363" s="94">
        <f>Sheet1!AA361+Sheet1!AB361+'Calculations II'!BC363-Calculation!AS363-Calculation!DJ363</f>
        <v>48.806958538706866</v>
      </c>
      <c r="AF363" s="94">
        <f ca="1">Sheet1!AA361+Sheet1!BN361+P363+'Calculations II'!BC363+Calculation!AS363+Calculation!DJ363</f>
        <v>57.49218728596297</v>
      </c>
      <c r="AG363" s="94">
        <f ca="1">IF(B363=TODAY(),0,Sheet1!AA361+Sheet1!BN361+'Calculations II'!BC363+'Calculations II'!P363-Sheet1!CT361-BP363)</f>
        <v>31.645145824669846</v>
      </c>
      <c r="AH363" s="94">
        <f ca="1">IF(B363=TODAY(),0,Sheet1!AA361+Sheet1!BN361+'Calculations II'!BC363+'Calculations II'!P363-BP363)</f>
        <v>46.999145824669846</v>
      </c>
      <c r="AI363" s="94">
        <f ca="1">IF(B363=TODAY(),0,BC363+Sheet1!AA361+Calculation!ES363+O363+W363+Sheet1!BN361+Calculation!AS363+Calculation!DJ363-BP363)</f>
        <v>57.492187285962984</v>
      </c>
      <c r="AJ363" s="94"/>
      <c r="AM363" s="90">
        <f t="shared" si="81"/>
        <v>43087</v>
      </c>
      <c r="AN363" s="94">
        <f>Sheet1!BU361</f>
        <v>22.9</v>
      </c>
      <c r="AO363" s="94">
        <f>Sheet1!AA361</f>
        <v>24.8</v>
      </c>
      <c r="AP363" s="94">
        <f t="shared" si="70"/>
        <v>2.1328999999999989</v>
      </c>
      <c r="AQ363" s="1086">
        <f>((Sheet1!BV361-(Sheet1!BU361-AP363))/(Sheet1!BU361-AP363))</f>
        <v>0.17493535447895947</v>
      </c>
      <c r="AR363" s="94">
        <f t="shared" si="71"/>
        <v>22.667100000000001</v>
      </c>
      <c r="AS363" s="94">
        <f t="shared" si="72"/>
        <v>20.767099999999999</v>
      </c>
      <c r="AT363" s="89">
        <f>Sheet1!BB361</f>
        <v>0</v>
      </c>
      <c r="AU363" s="89">
        <f>Sheet1!AS361*GPMtoMGD</f>
        <v>2.1456000000000003E-2</v>
      </c>
      <c r="AV363" s="94">
        <f>Sheet1!AT361</f>
        <v>0</v>
      </c>
      <c r="AW363" s="89">
        <f>Sheet1!AV361*GPMtoMGD</f>
        <v>0</v>
      </c>
      <c r="AX363" s="89">
        <f>Sheet1!AW361*GPMtoMGD</f>
        <v>1.2044160000000002</v>
      </c>
      <c r="AY363" s="89">
        <f>Sheet1!AX361*GPMtoMGD</f>
        <v>0</v>
      </c>
      <c r="AZ363" s="89">
        <f>Sheet1!AY361*GPMtoMGD</f>
        <v>0</v>
      </c>
      <c r="BA363" s="89">
        <f>Sheet1!AZ361*GPMtoMGD</f>
        <v>0</v>
      </c>
      <c r="BB363" s="89">
        <f>Sheet1!BP361*GPMtoMGD</f>
        <v>3.0240000000000002E-3</v>
      </c>
      <c r="BC363" s="89">
        <f>Sheet1!CS361*GPMtoMGD</f>
        <v>0</v>
      </c>
      <c r="BD363" s="89">
        <f>Sheet1!BO361*GPMtoMGD</f>
        <v>1.5458400000000001</v>
      </c>
      <c r="BE363" s="89">
        <f>Sheet1!BW361*GPMtoMGD</f>
        <v>0.95169599999999999</v>
      </c>
      <c r="BF363" s="89">
        <f>Sheet1!CN361*GPMtoMGD</f>
        <v>0.19857600000000003</v>
      </c>
      <c r="BG363" s="89">
        <f>Sheet1!CO361*GPMtoMGD</f>
        <v>0.63863999999999999</v>
      </c>
      <c r="BH363" s="89">
        <f>Sheet1!CP361*GPMtoMGD</f>
        <v>0</v>
      </c>
      <c r="BI363" s="89">
        <f t="shared" si="82"/>
        <v>1.548864</v>
      </c>
      <c r="BK363" s="94">
        <f>SUM(AT363:BA363,AS363,BC363,Calculation!AQ363)</f>
        <v>45.999930538706863</v>
      </c>
      <c r="BM363" s="358">
        <f>0</f>
        <v>0</v>
      </c>
      <c r="BN363" s="358">
        <f>0</f>
        <v>0</v>
      </c>
      <c r="BP363" s="94">
        <f>SUM(BM363:BN363,W363,Sheet1!DX361)</f>
        <v>0</v>
      </c>
      <c r="BR363" s="94">
        <f>Sheet1!AA361</f>
        <v>24.8</v>
      </c>
      <c r="BS363" s="94">
        <f>Sheet1!AB361</f>
        <v>34.5</v>
      </c>
      <c r="BT363" s="94">
        <f t="shared" ca="1" si="73"/>
        <v>-1.8008541753301492</v>
      </c>
      <c r="BU363" s="94">
        <f>Sheet1!AT361</f>
        <v>0</v>
      </c>
      <c r="BV363" s="89">
        <f>Sheet1!BB361</f>
        <v>0</v>
      </c>
      <c r="BW363" s="94">
        <f>Calculation!ED363</f>
        <v>10.493041461293128</v>
      </c>
      <c r="BX363" s="94">
        <f>(Sheet1!CS361*1440)/1000000</f>
        <v>0</v>
      </c>
      <c r="CA363" s="94">
        <f ca="1">Sheet1!AC361-Sheet1!BK361-Sheet1!BL361-Sheet1!BM361-Sheet1!BC361-Sheet1!BD361-Sheet1!BE361-Sheet1!BF361-Sheet1!BG361-Sheet1!BH361-Sheet1!BI361+BC363+P363</f>
        <v>47.009145824669844</v>
      </c>
      <c r="CB363" s="93">
        <f t="shared" si="74"/>
        <v>75.504364859379521</v>
      </c>
      <c r="CC363" s="94">
        <f t="shared" si="75"/>
        <v>0</v>
      </c>
      <c r="CD363" s="94">
        <f t="shared" ca="1" si="76"/>
        <v>57.502187285962975</v>
      </c>
      <c r="CE363" s="1077">
        <f t="shared" ca="1" si="77"/>
        <v>88.955883731384716</v>
      </c>
      <c r="CG363" s="1077">
        <f t="shared" ca="1" si="78"/>
        <v>47.009145824669844</v>
      </c>
    </row>
    <row r="364" spans="1:85" s="89" customFormat="1" x14ac:dyDescent="0.25">
      <c r="A364" s="616" t="s">
        <v>5</v>
      </c>
      <c r="B364" s="91">
        <v>43088</v>
      </c>
      <c r="C364" s="92">
        <v>0</v>
      </c>
      <c r="D364" s="94">
        <f>(Sheet1!BQ362-Sheet1!BQ361)*1.385</f>
        <v>1.3573000000000006</v>
      </c>
      <c r="E364" s="30">
        <f>(Sheet1!BR362-Sheet1!BR361)*1.385</f>
        <v>1.1495499999999976</v>
      </c>
      <c r="F364" s="30">
        <f ca="1">IF(B364=TODAY(),0,-(VLOOKUP(Sheet1!CD362,Lookup!$I$4:$J$216,2)-VLOOKUP(Sheet1!CD361,Lookup!$I$4:$J$216,2))/1000000)</f>
        <v>0.20727387709559872</v>
      </c>
      <c r="G364" s="94">
        <f ca="1">IF(B364=TODAY(),0,-$G$6*(Sheet1!CF362-Sheet1!CF361)*7.48/1000000)</f>
        <v>0.39713501052559297</v>
      </c>
      <c r="H364" s="94">
        <f ca="1">IF(B364=TODAY(),0,-$H$6*(Sheet1!CE362-Sheet1!CE361)*7.48/1000000)</f>
        <v>0</v>
      </c>
      <c r="I364" s="94">
        <f ca="1">IF(B364=TODAY(),0,-$I$6*(Sheet1!CG362-Sheet1!CG361)*7.48/1000000)</f>
        <v>2.2462440000000004E-2</v>
      </c>
      <c r="J364" s="95" t="s">
        <v>177</v>
      </c>
      <c r="K364" s="94">
        <f ca="1">IF(B364=TODAY(),0,-$K$6*(Sheet1!CH362-Sheet1!CH361)*7.48/1000000)</f>
        <v>3.9979922246750635E-2</v>
      </c>
      <c r="L364" s="95" t="s">
        <v>177</v>
      </c>
      <c r="M364" s="94">
        <f ca="1">IF(B364=TODAY(),0,-$M$6*(Sheet1!CI362-Sheet1!CI361)*7.48/1000000)</f>
        <v>8.9957542140135238E-2</v>
      </c>
      <c r="N364" s="94">
        <f ca="1">IF(B364=TODAY(),0,-$N$6*(Sheet1!CJ362-Sheet1!CJ361)*7.48/1000000)</f>
        <v>-1.2410469078924517E-2</v>
      </c>
      <c r="O364" s="94">
        <f t="shared" ca="1" si="79"/>
        <v>0.74439832292915309</v>
      </c>
      <c r="P364" s="94">
        <f ca="1">O364+Calculation!ES364</f>
        <v>-1.7480905661204735</v>
      </c>
      <c r="Q364" s="89" t="str">
        <f>IF(Sheet1!BQ362&gt;25.75,"spill elevation","-")</f>
        <v>-</v>
      </c>
      <c r="R364" s="89" t="str">
        <f>IF(Sheet1!BQ362&gt;25.75,"spill elevation","-")</f>
        <v>-</v>
      </c>
      <c r="S364" s="89" t="str">
        <f>IF(Sheet1!BR362&gt;25.75,"spill elevation","-")</f>
        <v>-</v>
      </c>
      <c r="T364" s="93">
        <f>IF(Sheet1!DU362=1,Sheet1!AA362-(SUM(AT364:BA364)+BE364),Sheet1!AA362-SUM(AT364:BA364))</f>
        <v>23.54064</v>
      </c>
      <c r="U364" s="93">
        <f>Sheet1!BV362</f>
        <v>24.3</v>
      </c>
      <c r="V364" s="93">
        <f t="shared" si="80"/>
        <v>-0.75936000000000092</v>
      </c>
      <c r="W364" s="93">
        <f>0</f>
        <v>0</v>
      </c>
      <c r="X364" s="89">
        <f>0</f>
        <v>0</v>
      </c>
      <c r="Y364" s="94">
        <f ca="1">Calculation!EJ365+Calculation!ES364+'Calculations II'!O364-'Calculations II'!W364</f>
        <v>44.261919878568072</v>
      </c>
      <c r="Z364" s="94">
        <f ca="1">Y364-Sheet1!CT363</f>
        <v>28.671919878568072</v>
      </c>
      <c r="AA364" s="94">
        <f ca="1">Y364+Calculation!DJ365+Calculation!AS365</f>
        <v>54.694207614417124</v>
      </c>
      <c r="AC364" s="94">
        <f>Sheet1!AA362+Sheet1!AB362+BC364</f>
        <v>59.3</v>
      </c>
      <c r="AD364" s="94">
        <f>Sheet1!AA362+Sheet1!BN362+'Calculations II'!BC364-Calculation!AS364-Calculation!DJ364</f>
        <v>38.458426306517914</v>
      </c>
      <c r="AE364" s="94">
        <f>Sheet1!AA362+Sheet1!AB362+'Calculations II'!BC364-Calculation!AS364-Calculation!DJ364</f>
        <v>48.858426306517906</v>
      </c>
      <c r="AF364" s="94">
        <f ca="1">Sheet1!AA362+Sheet1!BN362+P364+'Calculations II'!BC364+Calculation!AS364+Calculation!DJ364</f>
        <v>57.593483127361623</v>
      </c>
      <c r="AG364" s="94">
        <f ca="1">IF(B364=TODAY(),0,Sheet1!AA362+Sheet1!BN362+'Calculations II'!BC364+'Calculations II'!P364-Sheet1!CT362-BP364)</f>
        <v>30.965909433879531</v>
      </c>
      <c r="AH364" s="94">
        <f ca="1">IF(B364=TODAY(),0,Sheet1!AA362+Sheet1!BN362+'Calculations II'!BC364+'Calculations II'!P364-BP364)</f>
        <v>47.151909433879531</v>
      </c>
      <c r="AI364" s="94">
        <f ca="1">IF(B364=TODAY(),0,BC364+Sheet1!AA362+Calculation!ES364+O364+W364+Sheet1!BN362+Calculation!AS364+Calculation!DJ364-BP364)</f>
        <v>57.593483127361615</v>
      </c>
      <c r="AJ364" s="94"/>
      <c r="AM364" s="90">
        <f t="shared" si="81"/>
        <v>43088</v>
      </c>
      <c r="AN364" s="94">
        <f>Sheet1!BU362</f>
        <v>23.1</v>
      </c>
      <c r="AO364" s="94">
        <f>Sheet1!AA362</f>
        <v>25.3</v>
      </c>
      <c r="AP364" s="94">
        <f t="shared" si="70"/>
        <v>2.5068499999999982</v>
      </c>
      <c r="AQ364" s="1086">
        <f>((Sheet1!BV362-(Sheet1!BU362-AP364))/(Sheet1!BU362-AP364))</f>
        <v>0.18000403046644148</v>
      </c>
      <c r="AR364" s="94">
        <f t="shared" si="71"/>
        <v>22.793150000000004</v>
      </c>
      <c r="AS364" s="94">
        <f t="shared" si="72"/>
        <v>20.593150000000001</v>
      </c>
      <c r="AT364" s="89">
        <f>Sheet1!BB362</f>
        <v>0</v>
      </c>
      <c r="AU364" s="89">
        <f>Sheet1!AS362*GPMtoMGD</f>
        <v>3.2544000000000003E-2</v>
      </c>
      <c r="AV364" s="94">
        <f>Sheet1!AT362</f>
        <v>0.67</v>
      </c>
      <c r="AW364" s="89">
        <f>Sheet1!AV362*GPMtoMGD</f>
        <v>0</v>
      </c>
      <c r="AX364" s="89">
        <f>Sheet1!AW362*GPMtoMGD</f>
        <v>1.056816</v>
      </c>
      <c r="AY364" s="89">
        <f>Sheet1!AX362*GPMtoMGD</f>
        <v>0</v>
      </c>
      <c r="AZ364" s="89">
        <f>Sheet1!AY362*GPMtoMGD</f>
        <v>0</v>
      </c>
      <c r="BA364" s="89">
        <f>Sheet1!AZ362*GPMtoMGD</f>
        <v>0</v>
      </c>
      <c r="BB364" s="89">
        <f>Sheet1!BP362*GPMtoMGD</f>
        <v>3.6000000000000003E-3</v>
      </c>
      <c r="BC364" s="89">
        <f>Sheet1!CS362*GPMtoMGD</f>
        <v>0</v>
      </c>
      <c r="BD364" s="89">
        <f>Sheet1!BO362*GPMtoMGD</f>
        <v>1.415376</v>
      </c>
      <c r="BE364" s="89">
        <f>Sheet1!BW362*GPMtoMGD</f>
        <v>1.086192</v>
      </c>
      <c r="BF364" s="89">
        <f>Sheet1!CN362*GPMtoMGD</f>
        <v>0.13694400000000001</v>
      </c>
      <c r="BG364" s="89">
        <f>Sheet1!CO362*GPMtoMGD</f>
        <v>0.64483200000000007</v>
      </c>
      <c r="BH364" s="89">
        <f>Sheet1!CP362*GPMtoMGD</f>
        <v>0</v>
      </c>
      <c r="BI364" s="89">
        <f t="shared" si="82"/>
        <v>1.418976</v>
      </c>
      <c r="BK364" s="94">
        <f>SUM(AT364:BA364,AS364,BC364,Calculation!AQ364)</f>
        <v>45.910936306517911</v>
      </c>
      <c r="BM364" s="358">
        <f>0</f>
        <v>0</v>
      </c>
      <c r="BN364" s="358">
        <f>0</f>
        <v>0</v>
      </c>
      <c r="BP364" s="94">
        <f>SUM(BM364:BN364,W364,Sheet1!DX362)</f>
        <v>0</v>
      </c>
      <c r="BR364" s="94">
        <f>Sheet1!AA362</f>
        <v>25.3</v>
      </c>
      <c r="BS364" s="94">
        <f>Sheet1!AB362</f>
        <v>34</v>
      </c>
      <c r="BT364" s="94">
        <f t="shared" ca="1" si="73"/>
        <v>-1.7480905661204735</v>
      </c>
      <c r="BU364" s="94">
        <f>Sheet1!AT362</f>
        <v>0.67</v>
      </c>
      <c r="BV364" s="89">
        <f>Sheet1!BB362</f>
        <v>0</v>
      </c>
      <c r="BW364" s="94">
        <f>Calculation!ED364</f>
        <v>10.441573693482091</v>
      </c>
      <c r="BX364" s="94">
        <f>(Sheet1!CS362*1440)/1000000</f>
        <v>0</v>
      </c>
      <c r="CA364" s="94">
        <f ca="1">Sheet1!AC362-Sheet1!BK362-Sheet1!BL362-Sheet1!BM362-Sheet1!BC362-Sheet1!BD362-Sheet1!BE362-Sheet1!BF362-Sheet1!BG362-Sheet1!BH362-Sheet1!BI362+BC364+P364</f>
        <v>47.091909433879522</v>
      </c>
      <c r="CB364" s="93">
        <f t="shared" si="74"/>
        <v>75.583985496183203</v>
      </c>
      <c r="CC364" s="94">
        <f t="shared" si="75"/>
        <v>0.67</v>
      </c>
      <c r="CD364" s="94">
        <f t="shared" ca="1" si="76"/>
        <v>57.533483127361613</v>
      </c>
      <c r="CE364" s="1077">
        <f t="shared" ca="1" si="77"/>
        <v>89.004298398028411</v>
      </c>
      <c r="CG364" s="1077">
        <f t="shared" ca="1" si="78"/>
        <v>46.42190943387952</v>
      </c>
    </row>
    <row r="365" spans="1:85" s="89" customFormat="1" x14ac:dyDescent="0.25">
      <c r="A365" s="616" t="s">
        <v>6</v>
      </c>
      <c r="B365" s="91">
        <v>43089</v>
      </c>
      <c r="C365" s="92">
        <v>0</v>
      </c>
      <c r="D365" s="94">
        <f>(Sheet1!BQ363-Sheet1!BQ362)*1.385</f>
        <v>-0.66480000000000061</v>
      </c>
      <c r="E365" s="30">
        <f>(Sheet1!BR363-Sheet1!BR362)*1.385</f>
        <v>-0.81714999999999982</v>
      </c>
      <c r="F365" s="30">
        <f ca="1">IF(B365=TODAY(),0,-(VLOOKUP(Sheet1!CD363,Lookup!$I$4:$J$216,2)-VLOOKUP(Sheet1!CD362,Lookup!$I$4:$J$216,2))/1000000)</f>
        <v>-1.1400063240258005</v>
      </c>
      <c r="G365" s="94">
        <f ca="1">IF(B365=TODAY(),0,-$G$6*(Sheet1!CF363-Sheet1!CF362)*7.48/1000000)</f>
        <v>0.39713501052559297</v>
      </c>
      <c r="H365" s="94">
        <f ca="1">IF(B365=TODAY(),0,-$H$6*(Sheet1!CE363-Sheet1!CE362)*7.48/1000000)</f>
        <v>-1.5039432351264204E-2</v>
      </c>
      <c r="I365" s="94">
        <f ca="1">IF(B365=TODAY(),0,-$I$6*(Sheet1!CG363-Sheet1!CG362)*7.48/1000000)</f>
        <v>-8.0864783999999995E-2</v>
      </c>
      <c r="J365" s="95" t="s">
        <v>177</v>
      </c>
      <c r="K365" s="94">
        <f ca="1">IF(B365=TODAY(),0,-$K$6*(Sheet1!CH363-Sheet1!CH362)*7.48/1000000)</f>
        <v>-0.119939766740252</v>
      </c>
      <c r="L365" s="95" t="s">
        <v>177</v>
      </c>
      <c r="M365" s="94">
        <f ca="1">IF(B365=TODAY(),0,-$M$6*(Sheet1!CI363-Sheet1!CI362)*7.48/1000000)</f>
        <v>-0.44978771070067619</v>
      </c>
      <c r="N365" s="94">
        <f ca="1">IF(B365=TODAY(),0,-$N$6*(Sheet1!CJ363-Sheet1!CJ362)*7.48/1000000)</f>
        <v>-0.57708681217000213</v>
      </c>
      <c r="O365" s="94">
        <f t="shared" ca="1" si="79"/>
        <v>-1.985589819462402</v>
      </c>
      <c r="P365" s="94">
        <f ca="1">O365+Calculation!ES365</f>
        <v>-0.46221242144228358</v>
      </c>
      <c r="Q365" s="89" t="str">
        <f>IF(Sheet1!BQ363&gt;25.75,"spill elevation","-")</f>
        <v>-</v>
      </c>
      <c r="R365" s="89" t="str">
        <f>IF(Sheet1!BQ363&gt;25.75,"spill elevation","-")</f>
        <v>-</v>
      </c>
      <c r="S365" s="89" t="str">
        <f>IF(Sheet1!BR363&gt;25.75,"spill elevation","-")</f>
        <v>-</v>
      </c>
      <c r="T365" s="93">
        <f>IF(Sheet1!DU363=1,Sheet1!AA363-(SUM(AT365:BA365)+BE365),Sheet1!AA363-SUM(AT365:BA365))</f>
        <v>23.332111999999999</v>
      </c>
      <c r="U365" s="93">
        <f>Sheet1!BV363</f>
        <v>27.9</v>
      </c>
      <c r="V365" s="93">
        <f t="shared" si="80"/>
        <v>-4.5678879999999999</v>
      </c>
      <c r="W365" s="93">
        <f>0</f>
        <v>0</v>
      </c>
      <c r="X365" s="89">
        <f>0</f>
        <v>0</v>
      </c>
      <c r="Y365" s="94">
        <f ca="1">Calculation!EJ366+Calculation!ES365+'Calculations II'!O365-'Calculations II'!W365</f>
        <v>47.235802844349962</v>
      </c>
      <c r="Z365" s="94">
        <f ca="1">Y365-Sheet1!CT364</f>
        <v>31.761802844349962</v>
      </c>
      <c r="AA365" s="94">
        <f ca="1">Y365+Calculation!DJ366+Calculation!AS366</f>
        <v>57.67580284434996</v>
      </c>
      <c r="AC365" s="94">
        <f>Sheet1!AA363+Sheet1!AB363+BC365</f>
        <v>59.16</v>
      </c>
      <c r="AD365" s="94">
        <f>Sheet1!AA363+Sheet1!BN363+'Calculations II'!BC365-Calculation!AS365-Calculation!DJ365</f>
        <v>38.267712264150944</v>
      </c>
      <c r="AE365" s="94">
        <f>Sheet1!AA363+Sheet1!AB363+'Calculations II'!BC365-Calculation!AS365-Calculation!DJ365</f>
        <v>48.727712264150938</v>
      </c>
      <c r="AF365" s="94">
        <f ca="1">Sheet1!AA363+Sheet1!BN363+P365+'Calculations II'!BC365+Calculation!AS365+Calculation!DJ365</f>
        <v>58.670075314406773</v>
      </c>
      <c r="AG365" s="94">
        <f ca="1">IF(B365=TODAY(),0,Sheet1!AA363+Sheet1!BN363+'Calculations II'!BC365+'Calculations II'!P365-Sheet1!CT363-BP365)</f>
        <v>32.647787578557725</v>
      </c>
      <c r="AH365" s="94">
        <f ca="1">IF(B365=TODAY(),0,Sheet1!AA363+Sheet1!BN363+'Calculations II'!BC365+'Calculations II'!P365-BP365)</f>
        <v>48.237787578557722</v>
      </c>
      <c r="AI365" s="94">
        <f ca="1">IF(B365=TODAY(),0,BC365+Sheet1!AA363+Calculation!ES365+O365+W365+Sheet1!BN363+Calculation!AS365+Calculation!DJ365-BP365)</f>
        <v>58.670075314406773</v>
      </c>
      <c r="AJ365" s="94"/>
      <c r="AM365" s="90">
        <f t="shared" si="81"/>
        <v>43089</v>
      </c>
      <c r="AN365" s="94">
        <f>Sheet1!BU363</f>
        <v>22.6</v>
      </c>
      <c r="AO365" s="94">
        <f>Sheet1!AA363</f>
        <v>25.2</v>
      </c>
      <c r="AP365" s="94">
        <f t="shared" si="70"/>
        <v>-1.4819500000000003</v>
      </c>
      <c r="AQ365" s="1086">
        <f>((Sheet1!BV363-(Sheet1!BU363-AP365))/(Sheet1!BU363-AP365))</f>
        <v>0.15854405477961692</v>
      </c>
      <c r="AR365" s="94">
        <f t="shared" si="71"/>
        <v>26.681950000000001</v>
      </c>
      <c r="AS365" s="94">
        <f t="shared" si="72"/>
        <v>24.081950000000003</v>
      </c>
      <c r="AT365" s="89">
        <f>Sheet1!BB363</f>
        <v>0</v>
      </c>
      <c r="AU365" s="89">
        <f>Sheet1!AS363*GPMtoMGD</f>
        <v>3.1968000000000003E-2</v>
      </c>
      <c r="AV365" s="94">
        <f>Sheet1!AT363</f>
        <v>1</v>
      </c>
      <c r="AW365" s="89">
        <f>Sheet1!AV363*GPMtoMGD</f>
        <v>0.32860800000000001</v>
      </c>
      <c r="AX365" s="89">
        <f>Sheet1!AW363*GPMtoMGD</f>
        <v>0.5073120000000001</v>
      </c>
      <c r="AY365" s="89">
        <f>Sheet1!AX363*GPMtoMGD</f>
        <v>0</v>
      </c>
      <c r="AZ365" s="89">
        <f>Sheet1!AY363*GPMtoMGD</f>
        <v>0</v>
      </c>
      <c r="BA365" s="89">
        <f>Sheet1!AZ363*GPMtoMGD</f>
        <v>0</v>
      </c>
      <c r="BB365" s="89">
        <f>Sheet1!BP363*GPMtoMGD</f>
        <v>3.8880000000000004E-3</v>
      </c>
      <c r="BC365" s="89">
        <f>Sheet1!CS363*GPMtoMGD</f>
        <v>0</v>
      </c>
      <c r="BD365" s="89">
        <f>Sheet1!BO363*GPMtoMGD</f>
        <v>2.1369600000000002</v>
      </c>
      <c r="BE365" s="89">
        <f>Sheet1!BW363*GPMtoMGD</f>
        <v>0.99086400000000008</v>
      </c>
      <c r="BF365" s="89">
        <f>Sheet1!CN363*GPMtoMGD</f>
        <v>0.17712</v>
      </c>
      <c r="BG365" s="89">
        <f>Sheet1!CO363*GPMtoMGD</f>
        <v>0.63792000000000004</v>
      </c>
      <c r="BH365" s="89">
        <f>Sheet1!CP363*GPMtoMGD</f>
        <v>0</v>
      </c>
      <c r="BI365" s="89">
        <f t="shared" si="82"/>
        <v>2.1408480000000001</v>
      </c>
      <c r="BK365" s="94">
        <f>SUM(AT365:BA365,AS365,BC365,Calculation!AQ365)</f>
        <v>49.477550264150949</v>
      </c>
      <c r="BM365" s="358">
        <f>0</f>
        <v>0</v>
      </c>
      <c r="BN365" s="358">
        <f>0</f>
        <v>0</v>
      </c>
      <c r="BP365" s="94">
        <f>SUM(BM365:BN365,W365,Sheet1!DX363)</f>
        <v>0</v>
      </c>
      <c r="BR365" s="94">
        <f>Sheet1!AA363</f>
        <v>25.2</v>
      </c>
      <c r="BS365" s="94">
        <f>Sheet1!AB363</f>
        <v>33.96</v>
      </c>
      <c r="BT365" s="94">
        <f t="shared" ca="1" si="73"/>
        <v>-0.46221242144228358</v>
      </c>
      <c r="BU365" s="94">
        <f>Sheet1!AT363</f>
        <v>1</v>
      </c>
      <c r="BV365" s="89">
        <f>Sheet1!BB363</f>
        <v>0</v>
      </c>
      <c r="BW365" s="94">
        <f>Calculation!ED365</f>
        <v>10.432287735849057</v>
      </c>
      <c r="BX365" s="94">
        <f>(Sheet1!CS363*1440)/1000000</f>
        <v>0</v>
      </c>
      <c r="CA365" s="94">
        <f ca="1">Sheet1!AC363-Sheet1!BK363-Sheet1!BL363-Sheet1!BM363-Sheet1!BC363-Sheet1!BD363-Sheet1!BE363-Sheet1!BF363-Sheet1!BG363-Sheet1!BH363-Sheet1!BI363+BC365+P365</f>
        <v>48.277787578557721</v>
      </c>
      <c r="CB365" s="93">
        <f t="shared" si="74"/>
        <v>75.381770872641496</v>
      </c>
      <c r="CC365" s="94">
        <f t="shared" si="75"/>
        <v>1</v>
      </c>
      <c r="CD365" s="94">
        <f t="shared" ca="1" si="76"/>
        <v>58.71007531440678</v>
      </c>
      <c r="CE365" s="1077">
        <f t="shared" ca="1" si="77"/>
        <v>90.824486511387278</v>
      </c>
      <c r="CG365" s="1077">
        <f t="shared" ca="1" si="78"/>
        <v>47.277787578557721</v>
      </c>
    </row>
    <row r="366" spans="1:85" s="89" customFormat="1" x14ac:dyDescent="0.25">
      <c r="A366" s="616" t="s">
        <v>7</v>
      </c>
      <c r="B366" s="91">
        <v>43090</v>
      </c>
      <c r="C366" s="92">
        <v>0</v>
      </c>
      <c r="D366" s="94">
        <f>(Sheet1!BQ364-Sheet1!BQ363)*1.385</f>
        <v>0.12465000000000473</v>
      </c>
      <c r="E366" s="30">
        <f>(Sheet1!BR364-Sheet1!BR363)*1.385</f>
        <v>0.34625</v>
      </c>
      <c r="F366" s="30">
        <f ca="1">IF(B366=TODAY(),0,-(VLOOKUP(Sheet1!CD364,Lookup!$I$4:$J$216,2)-VLOOKUP(Sheet1!CD363,Lookup!$I$4:$J$216,2))/1000000)</f>
        <v>0.41454775419119744</v>
      </c>
      <c r="G366" s="94">
        <f ca="1">IF(B366=TODAY(),0,-$G$6*(Sheet1!CF364-Sheet1!CF363)*7.48/1000000)</f>
        <v>-0.91341052420886337</v>
      </c>
      <c r="H366" s="94">
        <f ca="1">IF(B366=TODAY(),0,-$H$6*(Sheet1!CE364-Sheet1!CE363)*7.48/1000000)</f>
        <v>1.5039432351264204E-2</v>
      </c>
      <c r="I366" s="94">
        <f ca="1">IF(B366=TODAY(),0,-$I$6*(Sheet1!CG364-Sheet1!CG363)*7.48/1000000)</f>
        <v>-5.8402344000000037E-2</v>
      </c>
      <c r="J366" s="95" t="s">
        <v>177</v>
      </c>
      <c r="K366" s="94">
        <f ca="1">IF(B366=TODAY(),0,-$K$6*(Sheet1!CH364-Sheet1!CH363)*7.48/1000000)</f>
        <v>-0.1199397667402519</v>
      </c>
      <c r="L366" s="95" t="s">
        <v>177</v>
      </c>
      <c r="M366" s="94">
        <f ca="1">IF(B366=TODAY(),0,-$M$6*(Sheet1!CI364-Sheet1!CI363)*7.48/1000000)</f>
        <v>-0.19790659270829777</v>
      </c>
      <c r="N366" s="94">
        <f ca="1">IF(B366=TODAY(),0,-$N$6*(Sheet1!CJ364-Sheet1!CJ363)*7.48/1000000)</f>
        <v>0.37851930690720542</v>
      </c>
      <c r="O366" s="94">
        <f t="shared" ca="1" si="79"/>
        <v>-0.48155273420774591</v>
      </c>
      <c r="P366" s="94">
        <f ca="1">O366+Calculation!ES366</f>
        <v>-1.035511063166354</v>
      </c>
      <c r="Q366" s="89" t="str">
        <f>IF(Sheet1!BQ364&gt;25.75,"spill elevation","-")</f>
        <v>-</v>
      </c>
      <c r="R366" s="89" t="str">
        <f>IF(Sheet1!BQ364&gt;25.75,"spill elevation","-")</f>
        <v>-</v>
      </c>
      <c r="S366" s="89" t="str">
        <f>IF(Sheet1!BR364&gt;25.75,"spill elevation","-")</f>
        <v>-</v>
      </c>
      <c r="T366" s="93">
        <f>IF(Sheet1!DU364=1,Sheet1!AA364-(SUM(AT366:BA366)+BE366),Sheet1!AA364-SUM(AT366:BA366))</f>
        <v>23.320432</v>
      </c>
      <c r="U366" s="93">
        <f>Sheet1!BV364</f>
        <v>25.8</v>
      </c>
      <c r="V366" s="93">
        <f t="shared" si="80"/>
        <v>-2.4795680000000004</v>
      </c>
      <c r="W366" s="93">
        <f>0</f>
        <v>0</v>
      </c>
      <c r="X366" s="89">
        <f>0</f>
        <v>0</v>
      </c>
      <c r="Y366" s="94">
        <f ca="1">Calculation!EJ367+Calculation!ES366+'Calculations II'!O366-'Calculations II'!W366</f>
        <v>46.846362175295482</v>
      </c>
      <c r="Z366" s="94">
        <f ca="1">Y366-Sheet1!CT365</f>
        <v>31.73736217529548</v>
      </c>
      <c r="AA366" s="94">
        <f ca="1">Y366+Calculation!DJ367+Calculation!AS367</f>
        <v>57.322369232043499</v>
      </c>
      <c r="AC366" s="94">
        <f>Sheet1!AA364+Sheet1!AB364+BC366</f>
        <v>59.14</v>
      </c>
      <c r="AD366" s="94">
        <f>Sheet1!AA364+Sheet1!BN364+'Calculations II'!BC366-Calculation!AS366-Calculation!DJ366</f>
        <v>38.260000000000005</v>
      </c>
      <c r="AE366" s="94">
        <f>Sheet1!AA364+Sheet1!AB364+'Calculations II'!BC366-Calculation!AS366-Calculation!DJ366</f>
        <v>48.7</v>
      </c>
      <c r="AF366" s="94">
        <f ca="1">Sheet1!AA364+Sheet1!BN364+P366+'Calculations II'!BC366+Calculation!AS366+Calculation!DJ366</f>
        <v>58.104488936833647</v>
      </c>
      <c r="AG366" s="94">
        <f ca="1">IF(B366=TODAY(),0,Sheet1!AA364+Sheet1!BN364+'Calculations II'!BC366+'Calculations II'!P366-Sheet1!CT364-BP366)</f>
        <v>32.190488936833646</v>
      </c>
      <c r="AH366" s="94">
        <f ca="1">IF(B366=TODAY(),0,Sheet1!AA364+Sheet1!BN364+'Calculations II'!BC366+'Calculations II'!P366-BP366)</f>
        <v>47.664488936833649</v>
      </c>
      <c r="AI366" s="94">
        <f ca="1">IF(B366=TODAY(),0,BC366+Sheet1!AA364+Calculation!ES366+O366+W366+Sheet1!BN364+Calculation!AS366+Calculation!DJ366-BP366)</f>
        <v>58.104488936833647</v>
      </c>
      <c r="AJ366" s="94"/>
      <c r="AM366" s="90">
        <f t="shared" si="81"/>
        <v>43090</v>
      </c>
      <c r="AN366" s="94">
        <f>Sheet1!BU364</f>
        <v>22.8</v>
      </c>
      <c r="AO366" s="94">
        <f>Sheet1!AA364</f>
        <v>25.2</v>
      </c>
      <c r="AP366" s="94">
        <f t="shared" si="70"/>
        <v>0.47090000000000476</v>
      </c>
      <c r="AQ366" s="1086">
        <f>((Sheet1!BV364-(Sheet1!BU364-AP366))/(Sheet1!BU364-AP366))</f>
        <v>0.1554428973850269</v>
      </c>
      <c r="AR366" s="94">
        <f t="shared" si="71"/>
        <v>24.729099999999995</v>
      </c>
      <c r="AS366" s="94">
        <f t="shared" si="72"/>
        <v>22.329099999999997</v>
      </c>
      <c r="AT366" s="89">
        <f>Sheet1!BB364</f>
        <v>0</v>
      </c>
      <c r="AU366" s="89">
        <f>Sheet1!AS364*GPMtoMGD</f>
        <v>1.6416E-2</v>
      </c>
      <c r="AV366" s="94">
        <f>Sheet1!AT364</f>
        <v>0.35</v>
      </c>
      <c r="AW366" s="89">
        <f>Sheet1!AV364*GPMtoMGD</f>
        <v>0</v>
      </c>
      <c r="AX366" s="89">
        <f>Sheet1!AW364*GPMtoMGD</f>
        <v>1.5131520000000001</v>
      </c>
      <c r="AY366" s="89">
        <f>Sheet1!AX364*GPMtoMGD</f>
        <v>0</v>
      </c>
      <c r="AZ366" s="89">
        <f>Sheet1!AY364*GPMtoMGD</f>
        <v>0</v>
      </c>
      <c r="BA366" s="89">
        <f>Sheet1!AZ364*GPMtoMGD</f>
        <v>0</v>
      </c>
      <c r="BB366" s="89">
        <f>Sheet1!BP364*GPMtoMGD</f>
        <v>4.032E-3</v>
      </c>
      <c r="BC366" s="89">
        <f>Sheet1!CS364*GPMtoMGD</f>
        <v>0</v>
      </c>
      <c r="BD366" s="89">
        <f>Sheet1!BO364*GPMtoMGD</f>
        <v>1.782</v>
      </c>
      <c r="BE366" s="89">
        <f>Sheet1!BW364*GPMtoMGD</f>
        <v>0.96494400000000013</v>
      </c>
      <c r="BF366" s="89">
        <f>Sheet1!CN364*GPMtoMGD</f>
        <v>0.12369600000000001</v>
      </c>
      <c r="BG366" s="89">
        <f>Sheet1!CO364*GPMtoMGD</f>
        <v>0.63964799999999999</v>
      </c>
      <c r="BH366" s="89">
        <f>Sheet1!CP364*GPMtoMGD</f>
        <v>0</v>
      </c>
      <c r="BI366" s="89">
        <f t="shared" si="82"/>
        <v>1.7860320000000001</v>
      </c>
      <c r="BK366" s="94">
        <f>SUM(AT366:BA366,AS366,BC366,Calculation!AQ366)</f>
        <v>47.708667999999996</v>
      </c>
      <c r="BM366" s="358">
        <f>0</f>
        <v>0</v>
      </c>
      <c r="BN366" s="358">
        <f>0</f>
        <v>0</v>
      </c>
      <c r="BP366" s="94">
        <f>SUM(BM366:BN366,W366,Sheet1!DX364)</f>
        <v>0</v>
      </c>
      <c r="BR366" s="94">
        <f>Sheet1!AA364</f>
        <v>25.2</v>
      </c>
      <c r="BS366" s="94">
        <f>Sheet1!AB364</f>
        <v>33.94</v>
      </c>
      <c r="BT366" s="94">
        <f t="shared" ca="1" si="73"/>
        <v>-1.035511063166354</v>
      </c>
      <c r="BU366" s="94">
        <f>Sheet1!AT364</f>
        <v>0.35</v>
      </c>
      <c r="BV366" s="89">
        <f>Sheet1!BB364</f>
        <v>0</v>
      </c>
      <c r="BW366" s="94">
        <f>Calculation!ED366</f>
        <v>10.44</v>
      </c>
      <c r="BX366" s="94">
        <f>(Sheet1!CS364*1440)/1000000</f>
        <v>0</v>
      </c>
      <c r="CA366" s="94">
        <f ca="1">Sheet1!AC364-Sheet1!BK364-Sheet1!BL364-Sheet1!BM364-Sheet1!BC364-Sheet1!BD364-Sheet1!BE364-Sheet1!BF364-Sheet1!BG364-Sheet1!BH364-Sheet1!BI364+BC366+P366</f>
        <v>47.664488936833642</v>
      </c>
      <c r="CB366" s="93">
        <f t="shared" si="74"/>
        <v>75.338899999999995</v>
      </c>
      <c r="CC366" s="94">
        <f t="shared" si="75"/>
        <v>0.35</v>
      </c>
      <c r="CD366" s="94">
        <f t="shared" ca="1" si="76"/>
        <v>58.10448893683364</v>
      </c>
      <c r="CE366" s="1077">
        <f t="shared" ca="1" si="77"/>
        <v>89.887644385281632</v>
      </c>
      <c r="CG366" s="1077">
        <f t="shared" ca="1" si="78"/>
        <v>47.314488936833641</v>
      </c>
    </row>
    <row r="367" spans="1:85" s="89" customFormat="1" x14ac:dyDescent="0.25">
      <c r="A367" s="616" t="s">
        <v>8</v>
      </c>
      <c r="B367" s="91">
        <v>43091</v>
      </c>
      <c r="C367" s="92">
        <v>0</v>
      </c>
      <c r="D367" s="94">
        <f>(Sheet1!BQ365-Sheet1!BQ364)*1.385</f>
        <v>1.5650499999999987</v>
      </c>
      <c r="E367" s="30">
        <f>(Sheet1!BR365-Sheet1!BR364)*1.385</f>
        <v>1.3711500000000028</v>
      </c>
      <c r="F367" s="30">
        <f ca="1">IF(B367=TODAY(),0,-(VLOOKUP(Sheet1!CD365,Lookup!$I$4:$J$216,2)-VLOOKUP(Sheet1!CD364,Lookup!$I$4:$J$216,2))/1000000)</f>
        <v>-0.20727387709559872</v>
      </c>
      <c r="G367" s="94">
        <f ca="1">IF(B367=TODAY(),0,-$G$6*(Sheet1!CF365-Sheet1!CF364)*7.48/1000000)</f>
        <v>0.43684851157815213</v>
      </c>
      <c r="H367" s="94">
        <f ca="1">IF(B367=TODAY(),0,-$H$6*(Sheet1!CE365-Sheet1!CE364)*7.48/1000000)</f>
        <v>-1.5039432351264204E-2</v>
      </c>
      <c r="I367" s="94">
        <f ca="1">IF(B367=TODAY(),0,-$I$6*(Sheet1!CG365-Sheet1!CG364)*7.48/1000000)</f>
        <v>2.2462440000000042E-2</v>
      </c>
      <c r="J367" s="95" t="s">
        <v>177</v>
      </c>
      <c r="K367" s="94">
        <f ca="1">IF(B367=TODAY(),0,-$K$6*(Sheet1!CH365-Sheet1!CH364)*7.48/1000000)</f>
        <v>3.9979922246750635E-2</v>
      </c>
      <c r="L367" s="95" t="s">
        <v>177</v>
      </c>
      <c r="M367" s="94">
        <f ca="1">IF(B367=TODAY(),0,-$M$6*(Sheet1!CI365-Sheet1!CI364)*7.48/1000000)</f>
        <v>0.10794905056816255</v>
      </c>
      <c r="N367" s="94">
        <f ca="1">IF(B367=TODAY(),0,-$N$6*(Sheet1!CJ365-Sheet1!CJ364)*7.48/1000000)</f>
        <v>-0.27303031973634484</v>
      </c>
      <c r="O367" s="94">
        <f t="shared" ca="1" si="79"/>
        <v>0.11189629520985761</v>
      </c>
      <c r="P367" s="94">
        <f ca="1">O367+Calculation!ES367</f>
        <v>-2.7968928424186008</v>
      </c>
      <c r="Q367" s="89" t="str">
        <f>IF(Sheet1!BQ365&gt;25.75,"spill elevation","-")</f>
        <v>-</v>
      </c>
      <c r="R367" s="89" t="str">
        <f>IF(Sheet1!BQ365&gt;25.75,"spill elevation","-")</f>
        <v>-</v>
      </c>
      <c r="S367" s="89" t="str">
        <f>IF(Sheet1!BR365&gt;25.75,"spill elevation","-")</f>
        <v>-</v>
      </c>
      <c r="T367" s="93">
        <f>IF(Sheet1!DU365=1,Sheet1!AA365-(SUM(AT367:BA367)+BE367),Sheet1!AA365-SUM(AT367:BA367))</f>
        <v>24.554016000000001</v>
      </c>
      <c r="U367" s="93">
        <f>Sheet1!BV365</f>
        <v>24.6</v>
      </c>
      <c r="V367" s="93">
        <f t="shared" si="80"/>
        <v>-4.5984000000000691E-2</v>
      </c>
      <c r="W367" s="93">
        <f>0</f>
        <v>0</v>
      </c>
      <c r="X367" s="89">
        <f>0</f>
        <v>0</v>
      </c>
      <c r="Y367" s="94">
        <f ca="1">Calculation!EJ368+Calculation!ES367+'Calculations II'!O367-'Calculations II'!W367</f>
        <v>41.931843436923877</v>
      </c>
      <c r="Z367" s="94">
        <f ca="1">Y367-Sheet1!CT366</f>
        <v>26.669843436923877</v>
      </c>
      <c r="AA367" s="94">
        <f ca="1">Y367+Calculation!DJ368+Calculation!AS368</f>
        <v>52.497507210630083</v>
      </c>
      <c r="AC367" s="94">
        <f>Sheet1!AA365+Sheet1!AB365+BC367</f>
        <v>59.099999999999994</v>
      </c>
      <c r="AD367" s="94">
        <f>Sheet1!AA365+Sheet1!BN365+'Calculations II'!BC367-Calculation!AS367-Calculation!DJ367</f>
        <v>38.223992943251986</v>
      </c>
      <c r="AE367" s="94">
        <f>Sheet1!AA365+Sheet1!AB365+'Calculations II'!BC367-Calculation!AS367-Calculation!DJ367</f>
        <v>48.623992943251977</v>
      </c>
      <c r="AF367" s="94">
        <f ca="1">Sheet1!AA365+Sheet1!BN365+P367+'Calculations II'!BC367+Calculation!AS367+Calculation!DJ367</f>
        <v>56.379114214329419</v>
      </c>
      <c r="AG367" s="94">
        <f ca="1">IF(B367=TODAY(),0,Sheet1!AA365+Sheet1!BN365+'Calculations II'!BC367+'Calculations II'!P367-Sheet1!CT365-BP367)</f>
        <v>30.794107157581401</v>
      </c>
      <c r="AH367" s="94">
        <f ca="1">IF(B367=TODAY(),0,Sheet1!AA365+Sheet1!BN365+'Calculations II'!BC367+'Calculations II'!P367-BP367)</f>
        <v>45.903107157581402</v>
      </c>
      <c r="AI367" s="94">
        <f ca="1">IF(B367=TODAY(),0,BC367+Sheet1!AA365+Calculation!ES367+O367+W367+Sheet1!BN365+Calculation!AS367+Calculation!DJ367-BP367)</f>
        <v>56.379114214329419</v>
      </c>
      <c r="AJ367" s="94"/>
      <c r="AM367" s="90">
        <f t="shared" si="81"/>
        <v>43091</v>
      </c>
      <c r="AN367" s="94">
        <f>Sheet1!BU365</f>
        <v>23.7</v>
      </c>
      <c r="AO367" s="94">
        <f>Sheet1!AA365</f>
        <v>25.2</v>
      </c>
      <c r="AP367" s="94">
        <f t="shared" si="70"/>
        <v>2.9362000000000013</v>
      </c>
      <c r="AQ367" s="1086">
        <f>((Sheet1!BV365-(Sheet1!BU365-AP367))/(Sheet1!BU365-AP367))</f>
        <v>0.18475423573719674</v>
      </c>
      <c r="AR367" s="94">
        <f t="shared" si="71"/>
        <v>22.263799999999996</v>
      </c>
      <c r="AS367" s="94">
        <f t="shared" si="72"/>
        <v>20.763799999999996</v>
      </c>
      <c r="AT367" s="89">
        <f>Sheet1!BB365</f>
        <v>0</v>
      </c>
      <c r="AU367" s="89">
        <f>Sheet1!AS365*GPMtoMGD</f>
        <v>3.168E-2</v>
      </c>
      <c r="AV367" s="94">
        <f>Sheet1!AT365</f>
        <v>0</v>
      </c>
      <c r="AW367" s="89">
        <f>Sheet1!AV365*GPMtoMGD</f>
        <v>0.30168</v>
      </c>
      <c r="AX367" s="89">
        <f>Sheet1!AW365*GPMtoMGD</f>
        <v>0.31262400000000001</v>
      </c>
      <c r="AY367" s="89">
        <f>Sheet1!AX365*GPMtoMGD</f>
        <v>0</v>
      </c>
      <c r="AZ367" s="89">
        <f>Sheet1!AY365*GPMtoMGD</f>
        <v>0</v>
      </c>
      <c r="BA367" s="89">
        <f>Sheet1!AZ365*GPMtoMGD</f>
        <v>0</v>
      </c>
      <c r="BB367" s="89">
        <f>Sheet1!BP365*GPMtoMGD</f>
        <v>4.3200000000000001E-3</v>
      </c>
      <c r="BC367" s="89">
        <f>Sheet1!CS365*GPMtoMGD</f>
        <v>0</v>
      </c>
      <c r="BD367" s="89">
        <f>Sheet1!BO365*GPMtoMGD</f>
        <v>1.4286240000000001</v>
      </c>
      <c r="BE367" s="89">
        <f>Sheet1!BW365*GPMtoMGD</f>
        <v>1.0962719999999999</v>
      </c>
      <c r="BF367" s="89">
        <f>Sheet1!CN365*GPMtoMGD</f>
        <v>0.18547200000000003</v>
      </c>
      <c r="BG367" s="89">
        <f>Sheet1!CO365*GPMtoMGD</f>
        <v>0.64252799999999999</v>
      </c>
      <c r="BH367" s="89">
        <f>Sheet1!CP365*GPMtoMGD</f>
        <v>0</v>
      </c>
      <c r="BI367" s="89">
        <f t="shared" si="82"/>
        <v>1.4329440000000002</v>
      </c>
      <c r="BK367" s="94">
        <f>SUM(AT367:BA367,AS367,BC367,Calculation!AQ367)</f>
        <v>44.833776943251976</v>
      </c>
      <c r="BM367" s="358">
        <f>0</f>
        <v>0</v>
      </c>
      <c r="BN367" s="358">
        <f>0</f>
        <v>0</v>
      </c>
      <c r="BP367" s="94">
        <f>SUM(BM367:BN367,W367,Sheet1!DX365)</f>
        <v>0</v>
      </c>
      <c r="BR367" s="94">
        <f>Sheet1!AA365</f>
        <v>25.2</v>
      </c>
      <c r="BS367" s="94">
        <f>Sheet1!AB365</f>
        <v>33.9</v>
      </c>
      <c r="BT367" s="94">
        <f t="shared" ca="1" si="73"/>
        <v>-2.7968928424186008</v>
      </c>
      <c r="BU367" s="94">
        <f>Sheet1!AT365</f>
        <v>0</v>
      </c>
      <c r="BV367" s="89">
        <f>Sheet1!BB365</f>
        <v>0</v>
      </c>
      <c r="BW367" s="94">
        <f>Calculation!ED367</f>
        <v>10.476007056748015</v>
      </c>
      <c r="BX367" s="94">
        <f>(Sheet1!CS365*1440)/1000000</f>
        <v>0</v>
      </c>
      <c r="CA367" s="94">
        <f ca="1">Sheet1!AC365-Sheet1!BK365-Sheet1!BL365-Sheet1!BM365-Sheet1!BC365-Sheet1!BD365-Sheet1!BE365-Sheet1!BF365-Sheet1!BG365-Sheet1!BH365-Sheet1!BI365+BC367+P367</f>
        <v>45.793107157581396</v>
      </c>
      <c r="CB367" s="93">
        <f t="shared" si="74"/>
        <v>75.221317083210806</v>
      </c>
      <c r="CC367" s="94">
        <f t="shared" si="75"/>
        <v>0</v>
      </c>
      <c r="CD367" s="94">
        <f t="shared" ca="1" si="76"/>
        <v>56.269114214329413</v>
      </c>
      <c r="CE367" s="1077">
        <f t="shared" ca="1" si="77"/>
        <v>87.048319689567592</v>
      </c>
      <c r="CG367" s="1077">
        <f t="shared" ca="1" si="78"/>
        <v>45.793107157581396</v>
      </c>
    </row>
    <row r="368" spans="1:85" s="89" customFormat="1" x14ac:dyDescent="0.25">
      <c r="A368" s="616" t="s">
        <v>9</v>
      </c>
      <c r="B368" s="91">
        <v>43092</v>
      </c>
      <c r="C368" s="92">
        <v>0</v>
      </c>
      <c r="D368" s="94">
        <f>(Sheet1!BQ366-Sheet1!BQ365)*1.385</f>
        <v>-0.66480000000000061</v>
      </c>
      <c r="E368" s="30">
        <f>(Sheet1!BR366-Sheet1!BR365)*1.385</f>
        <v>-0.62324999999999897</v>
      </c>
      <c r="F368" s="30">
        <f ca="1">IF(B368=TODAY(),0,-(VLOOKUP(Sheet1!CD366,Lookup!$I$4:$J$216,2)-VLOOKUP(Sheet1!CD365,Lookup!$I$4:$J$216,2))/1000000)</f>
        <v>-0.41454775419119744</v>
      </c>
      <c r="G368" s="94">
        <f ca="1">IF(B368=TODAY(),0,-$G$6*(Sheet1!CF366-Sheet1!CF365)*7.48/1000000)</f>
        <v>0.43684851157815213</v>
      </c>
      <c r="H368" s="94">
        <f ca="1">IF(B368=TODAY(),0,-$H$6*(Sheet1!CE366-Sheet1!CE365)*7.48/1000000)</f>
        <v>-9.0236594107593777E-3</v>
      </c>
      <c r="I368" s="94">
        <f ca="1">IF(B368=TODAY(),0,-$I$6*(Sheet1!CG366-Sheet1!CG365)*7.48/1000000)</f>
        <v>1.3477463999999995E-2</v>
      </c>
      <c r="J368" s="95" t="s">
        <v>177</v>
      </c>
      <c r="K368" s="94">
        <f ca="1">IF(B368=TODAY(),0,-$K$6*(Sheet1!CH366-Sheet1!CH365)*7.48/1000000)</f>
        <v>2.6653281497833796E-2</v>
      </c>
      <c r="L368" s="95" t="s">
        <v>177</v>
      </c>
      <c r="M368" s="94">
        <f ca="1">IF(B368=TODAY(),0,-$M$6*(Sheet1!CI366-Sheet1!CI365)*7.48/1000000)</f>
        <v>8.9957542140135238E-2</v>
      </c>
      <c r="N368" s="94">
        <f ca="1">IF(B368=TODAY(),0,-$N$6*(Sheet1!CJ366-Sheet1!CJ365)*7.48/1000000)</f>
        <v>-0.1675413325654854</v>
      </c>
      <c r="O368" s="94">
        <f t="shared" ca="1" si="79"/>
        <v>-2.4175946951321053E-2</v>
      </c>
      <c r="P368" s="94">
        <f ca="1">O368+Calculation!ES368</f>
        <v>1.2226612960651866</v>
      </c>
      <c r="Q368" s="89" t="str">
        <f>IF(Sheet1!BQ366&gt;25.75,"spill elevation","-")</f>
        <v>-</v>
      </c>
      <c r="R368" s="89" t="str">
        <f>IF(Sheet1!BQ366&gt;25.75,"spill elevation","-")</f>
        <v>-</v>
      </c>
      <c r="S368" s="89" t="str">
        <f>IF(Sheet1!BR366&gt;25.75,"spill elevation","-")</f>
        <v>-</v>
      </c>
      <c r="T368" s="93">
        <f>IF(Sheet1!DU366=1,Sheet1!AA366-(SUM(AT368:BA368)+BE368),Sheet1!AA366-SUM(AT368:BA368))</f>
        <v>24.461424000000001</v>
      </c>
      <c r="U368" s="93">
        <f>Sheet1!BV366</f>
        <v>29.1</v>
      </c>
      <c r="V368" s="93">
        <f t="shared" si="80"/>
        <v>-4.6385760000000005</v>
      </c>
      <c r="W368" s="93">
        <f>0</f>
        <v>0</v>
      </c>
      <c r="X368" s="89">
        <f>0</f>
        <v>0</v>
      </c>
      <c r="Y368" s="94">
        <f ca="1">Calculation!EJ369+Calculation!ES368+'Calculations II'!O368-'Calculations II'!W368</f>
        <v>45.094517566581906</v>
      </c>
      <c r="Z368" s="94">
        <f ca="1">Y368-Sheet1!CT367</f>
        <v>29.803517566581906</v>
      </c>
      <c r="AA368" s="94">
        <f ca="1">Y368+Calculation!DJ369+Calculation!AS369</f>
        <v>55.784795344359679</v>
      </c>
      <c r="AC368" s="94">
        <f>Sheet1!AA366+Sheet1!AB366+BC368</f>
        <v>56.18</v>
      </c>
      <c r="AD368" s="94">
        <f>Sheet1!AA366+Sheet1!BN366+'Calculations II'!BC368-Calculation!AS368-Calculation!DJ368</f>
        <v>35.134336226293797</v>
      </c>
      <c r="AE368" s="94">
        <f>Sheet1!AA366+Sheet1!AB366+'Calculations II'!BC368-Calculation!AS368-Calculation!DJ368</f>
        <v>45.614336226293794</v>
      </c>
      <c r="AF368" s="94">
        <f ca="1">Sheet1!AA366+Sheet1!BN366+P368+'Calculations II'!BC368+Calculation!AS368+Calculation!DJ368</f>
        <v>57.488325069771392</v>
      </c>
      <c r="AG368" s="94">
        <f ca="1">IF(B368=TODAY(),0,Sheet1!AA366+Sheet1!BN366+'Calculations II'!BC368+'Calculations II'!P368-Sheet1!CT366-BP368)</f>
        <v>31.660661296065186</v>
      </c>
      <c r="AH368" s="94">
        <f ca="1">IF(B368=TODAY(),0,Sheet1!AA366+Sheet1!BN366+'Calculations II'!BC368+'Calculations II'!P368-BP368)</f>
        <v>46.922661296065186</v>
      </c>
      <c r="AI368" s="94">
        <f ca="1">IF(B368=TODAY(),0,BC368+Sheet1!AA366+Calculation!ES368+O368+W368+Sheet1!BN366+Calculation!AS368+Calculation!DJ368-BP368)</f>
        <v>57.488325069771392</v>
      </c>
      <c r="AJ368" s="94"/>
      <c r="AM368" s="90">
        <f t="shared" si="81"/>
        <v>43092</v>
      </c>
      <c r="AN368" s="94">
        <f>Sheet1!BU366</f>
        <v>23.6</v>
      </c>
      <c r="AO368" s="94">
        <f>Sheet1!AA366</f>
        <v>25.2</v>
      </c>
      <c r="AP368" s="94">
        <f t="shared" si="70"/>
        <v>-1.2880499999999997</v>
      </c>
      <c r="AQ368" s="1086">
        <f>((Sheet1!BV366-(Sheet1!BU366-AP368))/(Sheet1!BU366-AP368))</f>
        <v>0.16923583808293546</v>
      </c>
      <c r="AR368" s="94">
        <f t="shared" si="71"/>
        <v>26.488049999999998</v>
      </c>
      <c r="AS368" s="94">
        <f t="shared" si="72"/>
        <v>24.88805</v>
      </c>
      <c r="AT368" s="89">
        <f>Sheet1!BB366</f>
        <v>0</v>
      </c>
      <c r="AU368" s="89">
        <f>Sheet1!AS366*GPMtoMGD</f>
        <v>3.1824000000000005E-2</v>
      </c>
      <c r="AV368" s="94">
        <f>Sheet1!AT366</f>
        <v>0</v>
      </c>
      <c r="AW368" s="89">
        <f>Sheet1!AV366*GPMtoMGD</f>
        <v>0.31132799999999999</v>
      </c>
      <c r="AX368" s="89">
        <f>Sheet1!AW366*GPMtoMGD</f>
        <v>0.39542400000000005</v>
      </c>
      <c r="AY368" s="89">
        <f>Sheet1!AX366*GPMtoMGD</f>
        <v>0</v>
      </c>
      <c r="AZ368" s="89">
        <f>Sheet1!AY366*GPMtoMGD</f>
        <v>0</v>
      </c>
      <c r="BA368" s="89">
        <f>Sheet1!AZ366*GPMtoMGD</f>
        <v>0</v>
      </c>
      <c r="BB368" s="89">
        <f>Sheet1!BP366*GPMtoMGD</f>
        <v>4.032E-3</v>
      </c>
      <c r="BC368" s="89">
        <f>Sheet1!CS366*GPMtoMGD</f>
        <v>0</v>
      </c>
      <c r="BD368" s="89">
        <f>Sheet1!BO366*GPMtoMGD</f>
        <v>1.6181280000000002</v>
      </c>
      <c r="BE368" s="89">
        <f>Sheet1!BW366*GPMtoMGD</f>
        <v>1.1216159999999999</v>
      </c>
      <c r="BF368" s="89">
        <f>Sheet1!CN366*GPMtoMGD</f>
        <v>0.27950400000000003</v>
      </c>
      <c r="BG368" s="89">
        <f>Sheet1!CO366*GPMtoMGD</f>
        <v>0.67824000000000007</v>
      </c>
      <c r="BH368" s="89">
        <f>Sheet1!CP366*GPMtoMGD</f>
        <v>0</v>
      </c>
      <c r="BI368" s="89">
        <f t="shared" si="82"/>
        <v>1.6221600000000003</v>
      </c>
      <c r="BK368" s="94">
        <f>SUM(AT368:BA368,AS368,BC368,Calculation!AQ368)</f>
        <v>46.0409622262938</v>
      </c>
      <c r="BM368" s="358">
        <f>0</f>
        <v>0</v>
      </c>
      <c r="BN368" s="358">
        <f>0</f>
        <v>0</v>
      </c>
      <c r="BP368" s="94">
        <f>SUM(BM368:BN368,W368,Sheet1!DX366)</f>
        <v>0</v>
      </c>
      <c r="BR368" s="94">
        <f>Sheet1!AA366</f>
        <v>25.2</v>
      </c>
      <c r="BS368" s="94">
        <f>Sheet1!AB366</f>
        <v>30.98</v>
      </c>
      <c r="BT368" s="94">
        <f t="shared" ca="1" si="73"/>
        <v>1.2226612960651866</v>
      </c>
      <c r="BU368" s="94">
        <f>Sheet1!AT366</f>
        <v>0</v>
      </c>
      <c r="BV368" s="89">
        <f>Sheet1!BB366</f>
        <v>0</v>
      </c>
      <c r="BW368" s="94">
        <f>Calculation!ED368</f>
        <v>10.565663773706204</v>
      </c>
      <c r="BX368" s="94">
        <f>(Sheet1!CS366*1440)/1000000</f>
        <v>0</v>
      </c>
      <c r="CA368" s="94">
        <f ca="1">Sheet1!AC366-Sheet1!BK366-Sheet1!BL366-Sheet1!BM366-Sheet1!BC366-Sheet1!BD366-Sheet1!BE366-Sheet1!BF366-Sheet1!BG366-Sheet1!BH366-Sheet1!BI366+BC368+P368</f>
        <v>46.792661296065177</v>
      </c>
      <c r="CB368" s="93">
        <f t="shared" si="74"/>
        <v>70.565378142076497</v>
      </c>
      <c r="CC368" s="94">
        <f t="shared" si="75"/>
        <v>0</v>
      </c>
      <c r="CD368" s="94">
        <f t="shared" ca="1" si="76"/>
        <v>57.358325069771382</v>
      </c>
      <c r="CE368" s="1077">
        <f t="shared" ca="1" si="77"/>
        <v>88.73332888293632</v>
      </c>
      <c r="CG368" s="1077">
        <f t="shared" ca="1" si="78"/>
        <v>46.792661296065177</v>
      </c>
    </row>
    <row r="369" spans="1:85" s="89" customFormat="1" x14ac:dyDescent="0.25">
      <c r="A369" s="616" t="s">
        <v>3</v>
      </c>
      <c r="B369" s="91">
        <v>43093</v>
      </c>
      <c r="C369" s="92">
        <v>0</v>
      </c>
      <c r="D369" s="94">
        <f>(Sheet1!BQ367-Sheet1!BQ366)*1.385</f>
        <v>-0.84484999999999921</v>
      </c>
      <c r="E369" s="30">
        <f>(Sheet1!BR367-Sheet1!BR366)*1.385</f>
        <v>-0.72020000000000428</v>
      </c>
      <c r="F369" s="30">
        <f ca="1">IF(B369=TODAY(),0,-(VLOOKUP(Sheet1!CD367,Lookup!$I$4:$J$216,2)-VLOOKUP(Sheet1!CD366,Lookup!$I$4:$J$216,2))/1000000)</f>
        <v>0.41454775419119744</v>
      </c>
      <c r="G369" s="94">
        <f ca="1">IF(B369=TODAY(),0,-$G$6*(Sheet1!CF367-Sheet1!CF366)*7.48/1000000)</f>
        <v>-0.99283752631398237</v>
      </c>
      <c r="H369" s="94">
        <f ca="1">IF(B369=TODAY(),0,-$H$6*(Sheet1!CE367-Sheet1!CE366)*7.48/1000000)</f>
        <v>-2.1055205291771167E-2</v>
      </c>
      <c r="I369" s="94">
        <f ca="1">IF(B369=TODAY(),0,-$I$6*(Sheet1!CG367-Sheet1!CG366)*7.48/1000000)</f>
        <v>8.9849760000000074E-3</v>
      </c>
      <c r="J369" s="95" t="s">
        <v>177</v>
      </c>
      <c r="K369" s="94">
        <f ca="1">IF(B369=TODAY(),0,-$K$6*(Sheet1!CH367-Sheet1!CH366)*7.48/1000000)</f>
        <v>1.3326640748916837E-2</v>
      </c>
      <c r="L369" s="95" t="s">
        <v>177</v>
      </c>
      <c r="M369" s="94">
        <f ca="1">IF(B369=TODAY(),0,-$M$6*(Sheet1!CI367-Sheet1!CI366)*7.48/1000000)</f>
        <v>3.598301685605397E-2</v>
      </c>
      <c r="N369" s="94">
        <f ca="1">IF(B369=TODAY(),0,-$N$6*(Sheet1!CJ367-Sheet1!CJ366)*7.48/1000000)</f>
        <v>0.64534439210408912</v>
      </c>
      <c r="O369" s="94">
        <f t="shared" ca="1" si="79"/>
        <v>0.10429404829450395</v>
      </c>
      <c r="P369" s="94">
        <f ca="1">O369+Calculation!ES369</f>
        <v>1.6277932075361168</v>
      </c>
      <c r="Q369" s="89" t="str">
        <f>IF(Sheet1!BQ367&gt;25.75,"spill elevation","-")</f>
        <v>-</v>
      </c>
      <c r="R369" s="89" t="str">
        <f>IF(Sheet1!BQ367&gt;25.75,"spill elevation","-")</f>
        <v>-</v>
      </c>
      <c r="S369" s="89" t="str">
        <f>IF(Sheet1!BR367&gt;25.75,"spill elevation","-")</f>
        <v>-</v>
      </c>
      <c r="T369" s="93">
        <f>IF(Sheet1!DU367=1,Sheet1!AA367-(SUM(AT369:BA369)+BE369),Sheet1!AA367-SUM(AT369:BA369))</f>
        <v>23.942159999999998</v>
      </c>
      <c r="U369" s="93">
        <f>Sheet1!BV367</f>
        <v>28.7</v>
      </c>
      <c r="V369" s="93">
        <f t="shared" si="80"/>
        <v>-4.7578400000000016</v>
      </c>
      <c r="W369" s="93">
        <f>0</f>
        <v>0</v>
      </c>
      <c r="X369" s="89">
        <f>0</f>
        <v>0</v>
      </c>
      <c r="Y369" s="94">
        <f ca="1">Calculation!EJ370+Calculation!ES369+'Calculations II'!O369-'Calculations II'!W369</f>
        <v>48.006367663367001</v>
      </c>
      <c r="Z369" s="94">
        <f ca="1">Y369-Sheet1!CT368</f>
        <v>31.939367663367001</v>
      </c>
      <c r="AA369" s="94">
        <f ca="1">Y369+Calculation!DJ370+Calculation!AS370</f>
        <v>58.469640504418315</v>
      </c>
      <c r="AC369" s="94">
        <f>Sheet1!AA367+Sheet1!AB367+BC369</f>
        <v>55.3</v>
      </c>
      <c r="AD369" s="94">
        <f>Sheet1!AA367+Sheet1!BN367+'Calculations II'!BC369-Calculation!AS369-Calculation!DJ369</f>
        <v>34.009722222222223</v>
      </c>
      <c r="AE369" s="94">
        <f>Sheet1!AA367+Sheet1!AB367+'Calculations II'!BC369-Calculation!AS369-Calculation!DJ369</f>
        <v>44.609722222222217</v>
      </c>
      <c r="AF369" s="94">
        <f ca="1">Sheet1!AA367+Sheet1!BN367+P369+'Calculations II'!BC369+Calculation!AS369+Calculation!DJ369</f>
        <v>57.018070985313898</v>
      </c>
      <c r="AG369" s="94">
        <f ca="1">IF(B369=TODAY(),0,Sheet1!AA367+Sheet1!BN367+'Calculations II'!BC369+'Calculations II'!P369-Sheet1!CT367-BP369)</f>
        <v>31.036793207536117</v>
      </c>
      <c r="AH369" s="94">
        <f ca="1">IF(B369=TODAY(),0,Sheet1!AA367+Sheet1!BN367+'Calculations II'!BC369+'Calculations II'!P369-BP369)</f>
        <v>46.327793207536118</v>
      </c>
      <c r="AI369" s="94">
        <f ca="1">IF(B369=TODAY(),0,BC369+Sheet1!AA367+Calculation!ES369+O369+W369+Sheet1!BN367+Calculation!AS369+Calculation!DJ369-BP369)</f>
        <v>57.018070985313898</v>
      </c>
      <c r="AJ369" s="94"/>
      <c r="AM369" s="90">
        <f t="shared" si="81"/>
        <v>43093</v>
      </c>
      <c r="AN369" s="94">
        <f>Sheet1!BU367</f>
        <v>23.1</v>
      </c>
      <c r="AO369" s="94">
        <f>Sheet1!AA367</f>
        <v>25.2</v>
      </c>
      <c r="AP369" s="94">
        <f t="shared" si="70"/>
        <v>-1.5650500000000034</v>
      </c>
      <c r="AQ369" s="1086">
        <f>((Sheet1!BV367-(Sheet1!BU367-AP369))/(Sheet1!BU367-AP369))</f>
        <v>0.16358977581638773</v>
      </c>
      <c r="AR369" s="94">
        <f t="shared" si="71"/>
        <v>26.765050000000002</v>
      </c>
      <c r="AS369" s="94">
        <f t="shared" si="72"/>
        <v>24.665050000000004</v>
      </c>
      <c r="AT369" s="89">
        <f>Sheet1!BB367</f>
        <v>0</v>
      </c>
      <c r="AU369" s="89">
        <f>Sheet1!AS367*GPMtoMGD</f>
        <v>1.6847999999999998E-2</v>
      </c>
      <c r="AV369" s="94">
        <f>Sheet1!AT367</f>
        <v>0</v>
      </c>
      <c r="AW369" s="89">
        <f>Sheet1!AV367*GPMtoMGD</f>
        <v>0.483408</v>
      </c>
      <c r="AX369" s="89">
        <f>Sheet1!AW367*GPMtoMGD</f>
        <v>0.75758400000000004</v>
      </c>
      <c r="AY369" s="89">
        <f>Sheet1!AX367*GPMtoMGD</f>
        <v>0</v>
      </c>
      <c r="AZ369" s="89">
        <f>Sheet1!AY367*GPMtoMGD</f>
        <v>0</v>
      </c>
      <c r="BA369" s="89">
        <f>Sheet1!AZ367*GPMtoMGD</f>
        <v>0</v>
      </c>
      <c r="BB369" s="89">
        <f>Sheet1!BP367*GPMtoMGD</f>
        <v>4.3200000000000001E-3</v>
      </c>
      <c r="BC369" s="89">
        <f>Sheet1!CS367*GPMtoMGD</f>
        <v>0</v>
      </c>
      <c r="BD369" s="89">
        <f>Sheet1!BO367*GPMtoMGD</f>
        <v>1.6714080000000002</v>
      </c>
      <c r="BE369" s="89">
        <f>Sheet1!BW367*GPMtoMGD</f>
        <v>1.0846080000000002</v>
      </c>
      <c r="BF369" s="89">
        <f>Sheet1!CN367*GPMtoMGD</f>
        <v>0.333648</v>
      </c>
      <c r="BG369" s="89">
        <f>Sheet1!CO367*GPMtoMGD</f>
        <v>0.668736</v>
      </c>
      <c r="BH369" s="89">
        <f>Sheet1!CP367*GPMtoMGD</f>
        <v>0</v>
      </c>
      <c r="BI369" s="89">
        <f t="shared" si="82"/>
        <v>1.6757280000000003</v>
      </c>
      <c r="BK369" s="94">
        <f>SUM(AT369:BA369,AS369,BC369,Calculation!AQ369)</f>
        <v>45.332612222222224</v>
      </c>
      <c r="BM369" s="358">
        <f>0</f>
        <v>0</v>
      </c>
      <c r="BN369" s="358">
        <f>0</f>
        <v>0</v>
      </c>
      <c r="BP369" s="94">
        <f>SUM(BM369:BN369,W369,Sheet1!DX367)</f>
        <v>0</v>
      </c>
      <c r="BR369" s="94">
        <f>Sheet1!AA367</f>
        <v>25.2</v>
      </c>
      <c r="BS369" s="94">
        <f>Sheet1!AB367</f>
        <v>30.1</v>
      </c>
      <c r="BT369" s="94">
        <f t="shared" ca="1" si="73"/>
        <v>1.6277932075361168</v>
      </c>
      <c r="BU369" s="94">
        <f>Sheet1!AT367</f>
        <v>0</v>
      </c>
      <c r="BV369" s="89">
        <f>Sheet1!BB367</f>
        <v>0</v>
      </c>
      <c r="BW369" s="94">
        <f>Calculation!ED369</f>
        <v>10.690277777777776</v>
      </c>
      <c r="BX369" s="94">
        <f>(Sheet1!CS367*1440)/1000000</f>
        <v>0</v>
      </c>
      <c r="CA369" s="94">
        <f ca="1">Sheet1!AC367-Sheet1!BK367-Sheet1!BL367-Sheet1!BM367-Sheet1!BC367-Sheet1!BD367-Sheet1!BE367-Sheet1!BF367-Sheet1!BG367-Sheet1!BH367-Sheet1!BI367+BC369+P369</f>
        <v>46.187793207536103</v>
      </c>
      <c r="CB369" s="93">
        <f t="shared" si="74"/>
        <v>69.011240277777773</v>
      </c>
      <c r="CC369" s="94">
        <f t="shared" si="75"/>
        <v>0</v>
      </c>
      <c r="CD369" s="94">
        <f t="shared" ca="1" si="76"/>
        <v>56.878070985313883</v>
      </c>
      <c r="CE369" s="1077">
        <f t="shared" ca="1" si="77"/>
        <v>87.990375814280569</v>
      </c>
      <c r="CG369" s="1077">
        <f t="shared" ca="1" si="78"/>
        <v>46.187793207536103</v>
      </c>
    </row>
    <row r="370" spans="1:85" s="89" customFormat="1" x14ac:dyDescent="0.25">
      <c r="A370" s="616" t="s">
        <v>4</v>
      </c>
      <c r="B370" s="91">
        <v>43094</v>
      </c>
      <c r="C370" s="92">
        <v>0</v>
      </c>
      <c r="D370" s="94">
        <f>(Sheet1!BQ368-Sheet1!BQ367)*1.385</f>
        <v>1.4957999999999976</v>
      </c>
      <c r="E370" s="30">
        <f>(Sheet1!BR368-Sheet1!BR367)*1.385</f>
        <v>1.2603500000000003</v>
      </c>
      <c r="F370" s="30">
        <f ca="1">IF(B370=TODAY(),0,-(VLOOKUP(Sheet1!CD368,Lookup!$I$4:$J$216,2)-VLOOKUP(Sheet1!CD367,Lookup!$I$4:$J$216,2))/1000000)</f>
        <v>0.51818469273900425</v>
      </c>
      <c r="G370" s="94">
        <f ca="1">IF(B370=TODAY(),0,-$G$6*(Sheet1!CF368-Sheet1!CF367)*7.48/1000000)</f>
        <v>0.43684851157815213</v>
      </c>
      <c r="H370" s="94">
        <f ca="1">IF(B370=TODAY(),0,-$H$6*(Sheet1!CE368-Sheet1!CE367)*7.48/1000000)</f>
        <v>0</v>
      </c>
      <c r="I370" s="94">
        <f ca="1">IF(B370=TODAY(),0,-$I$6*(Sheet1!CG368-Sheet1!CG367)*7.48/1000000)</f>
        <v>4.4924879999999837E-3</v>
      </c>
      <c r="J370" s="95" t="s">
        <v>177</v>
      </c>
      <c r="K370" s="94">
        <f ca="1">IF(B370=TODAY(),0,-$K$6*(Sheet1!CH368-Sheet1!CH367)*7.48/1000000)</f>
        <v>1.3326640748916953E-2</v>
      </c>
      <c r="L370" s="95" t="s">
        <v>177</v>
      </c>
      <c r="M370" s="94">
        <f ca="1">IF(B370=TODAY(),0,-$M$6*(Sheet1!CI368-Sheet1!CI367)*7.48/1000000)</f>
        <v>0</v>
      </c>
      <c r="N370" s="94">
        <f ca="1">IF(B370=TODAY(),0,-$N$6*(Sheet1!CJ368-Sheet1!CJ367)*7.48/1000000)</f>
        <v>-0.18615703618387214</v>
      </c>
      <c r="O370" s="94">
        <f t="shared" ca="1" si="79"/>
        <v>0.78669529688220119</v>
      </c>
      <c r="P370" s="94">
        <f ca="1">O370+Calculation!ES370</f>
        <v>-1.8450666003594918</v>
      </c>
      <c r="Q370" s="89" t="str">
        <f>IF(Sheet1!BQ368&gt;25.75,"spill elevation","-")</f>
        <v>-</v>
      </c>
      <c r="R370" s="89" t="str">
        <f>IF(Sheet1!BQ368&gt;25.75,"spill elevation","-")</f>
        <v>-</v>
      </c>
      <c r="S370" s="89" t="str">
        <f>IF(Sheet1!BR368&gt;25.75,"spill elevation","-")</f>
        <v>-</v>
      </c>
      <c r="T370" s="93">
        <f>IF(Sheet1!DU368=1,Sheet1!AA368-(SUM(AT370:BA370)+BE370),Sheet1!AA368-SUM(AT370:BA370))</f>
        <v>24.514848000000001</v>
      </c>
      <c r="U370" s="93">
        <f>Sheet1!BV368</f>
        <v>24.6</v>
      </c>
      <c r="V370" s="93">
        <f t="shared" si="80"/>
        <v>-8.5152000000000783E-2</v>
      </c>
      <c r="W370" s="93">
        <f>0</f>
        <v>0</v>
      </c>
      <c r="X370" s="89">
        <f>0</f>
        <v>0</v>
      </c>
      <c r="Y370" s="94">
        <f ca="1">Calculation!EJ371+Calculation!ES370+'Calculations II'!O370-'Calculations II'!W370</f>
        <v>44.355499388409854</v>
      </c>
      <c r="Z370" s="94">
        <f ca="1">Y370-Sheet1!CT369</f>
        <v>28.985499388409856</v>
      </c>
      <c r="AA370" s="94">
        <f ca="1">Y370+Calculation!DJ371+Calculation!AS371</f>
        <v>54.79628322184525</v>
      </c>
      <c r="AC370" s="94">
        <f>Sheet1!AA368+Sheet1!AB368+BC370</f>
        <v>57.17</v>
      </c>
      <c r="AD370" s="94">
        <f>Sheet1!AA368+Sheet1!BN368+'Calculations II'!BC370-Calculation!AS370-Calculation!DJ370</f>
        <v>36.236727158948689</v>
      </c>
      <c r="AE370" s="94">
        <f>Sheet1!AA368+Sheet1!AB368+'Calculations II'!BC370-Calculation!AS370-Calculation!DJ370</f>
        <v>46.706727158948688</v>
      </c>
      <c r="AF370" s="94">
        <f ca="1">Sheet1!AA368+Sheet1!BN368+P370+'Calculations II'!BC370+Calculation!AS370+Calculation!DJ370</f>
        <v>55.318206240691822</v>
      </c>
      <c r="AG370" s="94">
        <f ca="1">IF(B370=TODAY(),0,Sheet1!AA368+Sheet1!BN368+'Calculations II'!BC370+'Calculations II'!P370-Sheet1!CT368-BP370)</f>
        <v>28.787933399640508</v>
      </c>
      <c r="AH370" s="94">
        <f ca="1">IF(B370=TODAY(),0,Sheet1!AA368+Sheet1!BN368+'Calculations II'!BC370+'Calculations II'!P370-BP370)</f>
        <v>44.854933399640508</v>
      </c>
      <c r="AI370" s="94">
        <f ca="1">IF(B370=TODAY(),0,BC370+Sheet1!AA368+Calculation!ES370+O370+W370+Sheet1!BN368+Calculation!AS370+Calculation!DJ370-BP370)</f>
        <v>55.318206240691822</v>
      </c>
      <c r="AJ370" s="94"/>
      <c r="AM370" s="90">
        <f t="shared" si="81"/>
        <v>43094</v>
      </c>
      <c r="AN370" s="94">
        <f>Sheet1!BU368</f>
        <v>23.4</v>
      </c>
      <c r="AO370" s="94">
        <f>Sheet1!AA368</f>
        <v>25.2</v>
      </c>
      <c r="AP370" s="94">
        <f t="shared" si="70"/>
        <v>2.7561499999999981</v>
      </c>
      <c r="AQ370" s="1086">
        <f>((Sheet1!BV368-(Sheet1!BU368-AP370))/(Sheet1!BU368-AP370))</f>
        <v>0.19163818764426213</v>
      </c>
      <c r="AR370" s="94">
        <f t="shared" si="71"/>
        <v>22.443850000000001</v>
      </c>
      <c r="AS370" s="94">
        <f t="shared" si="72"/>
        <v>20.64385</v>
      </c>
      <c r="AT370" s="89">
        <f>Sheet1!BB368</f>
        <v>0</v>
      </c>
      <c r="AU370" s="89">
        <f>Sheet1!AS368*GPMtoMGD</f>
        <v>3.0528E-2</v>
      </c>
      <c r="AV370" s="94">
        <f>Sheet1!AT368</f>
        <v>0</v>
      </c>
      <c r="AW370" s="89">
        <f>Sheet1!AV368*GPMtoMGD</f>
        <v>0.29851200000000006</v>
      </c>
      <c r="AX370" s="89">
        <f>Sheet1!AW368*GPMtoMGD</f>
        <v>0.35611200000000004</v>
      </c>
      <c r="AY370" s="89">
        <f>Sheet1!AX368*GPMtoMGD</f>
        <v>0</v>
      </c>
      <c r="AZ370" s="89">
        <f>Sheet1!AY368*GPMtoMGD</f>
        <v>0</v>
      </c>
      <c r="BA370" s="89">
        <f>Sheet1!AZ368*GPMtoMGD</f>
        <v>0</v>
      </c>
      <c r="BB370" s="89">
        <f>Sheet1!BP368*GPMtoMGD</f>
        <v>3.1824000000000005E-2</v>
      </c>
      <c r="BC370" s="89">
        <f>Sheet1!CS368*GPMtoMGD</f>
        <v>0</v>
      </c>
      <c r="BD370" s="89">
        <f>Sheet1!BO368*GPMtoMGD</f>
        <v>1.6084800000000001</v>
      </c>
      <c r="BE370" s="89">
        <f>Sheet1!BW368*GPMtoMGD</f>
        <v>0.92880000000000007</v>
      </c>
      <c r="BF370" s="89">
        <f>Sheet1!CN368*GPMtoMGD</f>
        <v>0.20174400000000001</v>
      </c>
      <c r="BG370" s="89">
        <f>Sheet1!CO368*GPMtoMGD</f>
        <v>0.64656000000000002</v>
      </c>
      <c r="BH370" s="89">
        <f>Sheet1!CP368*GPMtoMGD</f>
        <v>0</v>
      </c>
      <c r="BI370" s="89">
        <f t="shared" si="82"/>
        <v>1.6403040000000002</v>
      </c>
      <c r="BK370" s="94">
        <f>SUM(AT370:BA370,AS370,BC370,Calculation!AQ370)</f>
        <v>42.835729158948681</v>
      </c>
      <c r="BM370" s="358">
        <f>0</f>
        <v>0</v>
      </c>
      <c r="BN370" s="358">
        <f>0</f>
        <v>0</v>
      </c>
      <c r="BP370" s="94">
        <f>SUM(BM370:BN370,W370,Sheet1!DX368)</f>
        <v>0</v>
      </c>
      <c r="BR370" s="94">
        <f>Sheet1!AA368</f>
        <v>25.2</v>
      </c>
      <c r="BS370" s="94">
        <f>Sheet1!AB368</f>
        <v>31.97</v>
      </c>
      <c r="BT370" s="94">
        <f t="shared" ca="1" si="73"/>
        <v>-1.8450666003594918</v>
      </c>
      <c r="BU370" s="94">
        <f>Sheet1!AT368</f>
        <v>0</v>
      </c>
      <c r="BV370" s="89">
        <f>Sheet1!BB368</f>
        <v>0</v>
      </c>
      <c r="BW370" s="94">
        <f>Calculation!ED370</f>
        <v>10.463272841051314</v>
      </c>
      <c r="BX370" s="94">
        <f>(Sheet1!CS368*1440)/1000000</f>
        <v>0</v>
      </c>
      <c r="CA370" s="94">
        <f ca="1">Sheet1!AC368-Sheet1!BK368-Sheet1!BL368-Sheet1!BM368-Sheet1!BC368-Sheet1!BD368-Sheet1!BE368-Sheet1!BF368-Sheet1!BG368-Sheet1!BH368-Sheet1!BI368+BC370+P370</f>
        <v>44.864933399640506</v>
      </c>
      <c r="CB370" s="93">
        <f t="shared" si="74"/>
        <v>72.255306914893623</v>
      </c>
      <c r="CC370" s="94">
        <f t="shared" si="75"/>
        <v>0</v>
      </c>
      <c r="CD370" s="94">
        <f t="shared" ca="1" si="76"/>
        <v>55.32820624069182</v>
      </c>
      <c r="CE370" s="1077">
        <f t="shared" ca="1" si="77"/>
        <v>85.592735054350243</v>
      </c>
      <c r="CG370" s="1077">
        <f t="shared" ca="1" si="78"/>
        <v>44.864933399640506</v>
      </c>
    </row>
    <row r="371" spans="1:85" s="89" customFormat="1" x14ac:dyDescent="0.25">
      <c r="A371" s="616" t="s">
        <v>5</v>
      </c>
      <c r="B371" s="91">
        <v>43095</v>
      </c>
      <c r="C371" s="92">
        <v>0</v>
      </c>
      <c r="D371" s="94">
        <f>(Sheet1!BQ369-Sheet1!BQ368)*1.385</f>
        <v>5.5399999999998818E-2</v>
      </c>
      <c r="E371" s="30">
        <f>(Sheet1!BR369-Sheet1!BR368)*1.385</f>
        <v>0.18005000000000354</v>
      </c>
      <c r="F371" s="30">
        <f ca="1">IF(B371=TODAY(),0,-(VLOOKUP(Sheet1!CD369,Lookup!$I$4:$J$216,2)-VLOOKUP(Sheet1!CD368,Lookup!$I$4:$J$216,2))/1000000)</f>
        <v>-0.31091081564340556</v>
      </c>
      <c r="G371" s="94">
        <f ca="1">IF(B371=TODAY(),0,-$G$6*(Sheet1!CF369-Sheet1!CF368)*7.48/1000000)</f>
        <v>0.43684851157815213</v>
      </c>
      <c r="H371" s="94">
        <f ca="1">IF(B371=TODAY(),0,-$H$6*(Sheet1!CE369-Sheet1!CE368)*7.48/1000000)</f>
        <v>0</v>
      </c>
      <c r="I371" s="94">
        <f ca="1">IF(B371=TODAY(),0,-$I$6*(Sheet1!CG369-Sheet1!CG368)*7.48/1000000)</f>
        <v>1.3477463999999995E-2</v>
      </c>
      <c r="J371" s="95" t="s">
        <v>177</v>
      </c>
      <c r="K371" s="94">
        <f ca="1">IF(B371=TODAY(),0,-$K$6*(Sheet1!CH369-Sheet1!CH368)*7.48/1000000)</f>
        <v>1.9989961123375255E-2</v>
      </c>
      <c r="L371" s="95" t="s">
        <v>177</v>
      </c>
      <c r="M371" s="94">
        <f ca="1">IF(B371=TODAY(),0,-$M$6*(Sheet1!CI369-Sheet1!CI368)*7.48/1000000)</f>
        <v>7.1966033712108565E-2</v>
      </c>
      <c r="N371" s="94">
        <f ca="1">IF(B371=TODAY(),0,-$N$6*(Sheet1!CJ369-Sheet1!CJ368)*7.48/1000000)</f>
        <v>-0.16754133256548429</v>
      </c>
      <c r="O371" s="94">
        <f t="shared" ca="1" si="79"/>
        <v>6.3829822204746103E-2</v>
      </c>
      <c r="P371" s="94">
        <f ca="1">O371+Calculation!ES371</f>
        <v>-0.21326790989498068</v>
      </c>
      <c r="Q371" s="89" t="str">
        <f>IF(Sheet1!BQ369&gt;25.75,"spill elevation","-")</f>
        <v>-</v>
      </c>
      <c r="R371" s="89" t="str">
        <f>IF(Sheet1!BQ369&gt;25.75,"spill elevation","-")</f>
        <v>-</v>
      </c>
      <c r="S371" s="89" t="str">
        <f>IF(Sheet1!BR369&gt;25.75,"spill elevation","-")</f>
        <v>-</v>
      </c>
      <c r="T371" s="93">
        <f>IF(Sheet1!DU369=1,Sheet1!AA369-(SUM(AT371:BA371)+BE371),Sheet1!AA369-SUM(AT371:BA371))</f>
        <v>24.522479999999998</v>
      </c>
      <c r="U371" s="93">
        <f>Sheet1!BV369</f>
        <v>26.8</v>
      </c>
      <c r="V371" s="93">
        <f t="shared" si="80"/>
        <v>-2.2775200000000027</v>
      </c>
      <c r="W371" s="93">
        <f>0</f>
        <v>0</v>
      </c>
      <c r="X371" s="89">
        <f>0</f>
        <v>0</v>
      </c>
      <c r="Y371" s="94">
        <f ca="1">Calculation!EJ372+Calculation!ES371+'Calculations II'!O371-'Calculations II'!W371</f>
        <v>47.861922469699365</v>
      </c>
      <c r="Z371" s="94">
        <f ca="1">Y371-Sheet1!CT370</f>
        <v>32.131922469699361</v>
      </c>
      <c r="AA371" s="94">
        <f ca="1">Y371+Calculation!DJ372+Calculation!AS372</f>
        <v>58.324146653282767</v>
      </c>
      <c r="AC371" s="94">
        <f>Sheet1!AA369+Sheet1!AB369+BC371</f>
        <v>57.8</v>
      </c>
      <c r="AD371" s="94">
        <f>Sheet1!AA369+Sheet1!BN369+'Calculations II'!BC371-Calculation!AS371-Calculation!DJ371</f>
        <v>36.959216166564602</v>
      </c>
      <c r="AE371" s="94">
        <f>Sheet1!AA369+Sheet1!AB369+'Calculations II'!BC371-Calculation!AS371-Calculation!DJ371</f>
        <v>47.3592161665646</v>
      </c>
      <c r="AF371" s="94">
        <f ca="1">Sheet1!AA369+Sheet1!BN369+P371+'Calculations II'!BC371+Calculation!AS371+Calculation!DJ371</f>
        <v>57.627515923540415</v>
      </c>
      <c r="AG371" s="94">
        <f ca="1">IF(B371=TODAY(),0,Sheet1!AA369+Sheet1!BN369+'Calculations II'!BC371+'Calculations II'!P371-Sheet1!CT369-BP371)</f>
        <v>31.81673209010502</v>
      </c>
      <c r="AH371" s="94">
        <f ca="1">IF(B371=TODAY(),0,Sheet1!AA369+Sheet1!BN369+'Calculations II'!BC371+'Calculations II'!P371-BP371)</f>
        <v>47.186732090105018</v>
      </c>
      <c r="AI371" s="94">
        <f ca="1">IF(B371=TODAY(),0,BC371+Sheet1!AA369+Calculation!ES371+O371+W371+Sheet1!BN369+Calculation!AS371+Calculation!DJ371-BP371)</f>
        <v>57.627515923540415</v>
      </c>
      <c r="AJ371" s="94"/>
      <c r="AM371" s="90">
        <f t="shared" si="81"/>
        <v>43095</v>
      </c>
      <c r="AN371" s="94">
        <f>Sheet1!BU369</f>
        <v>23.3</v>
      </c>
      <c r="AO371" s="94">
        <f>Sheet1!AA369</f>
        <v>25.2</v>
      </c>
      <c r="AP371" s="94">
        <f t="shared" si="70"/>
        <v>0.23545000000000235</v>
      </c>
      <c r="AQ371" s="1086">
        <f>((Sheet1!BV369-(Sheet1!BU369-AP371))/(Sheet1!BU369-AP371))</f>
        <v>0.16195633558859826</v>
      </c>
      <c r="AR371" s="94">
        <f t="shared" si="71"/>
        <v>24.964549999999996</v>
      </c>
      <c r="AS371" s="94">
        <f t="shared" si="72"/>
        <v>23.064549999999997</v>
      </c>
      <c r="AT371" s="89">
        <f>Sheet1!BB369</f>
        <v>0</v>
      </c>
      <c r="AU371" s="89">
        <f>Sheet1!AS369*GPMtoMGD</f>
        <v>2.6352000000000004E-2</v>
      </c>
      <c r="AV371" s="94">
        <f>Sheet1!AT369</f>
        <v>0</v>
      </c>
      <c r="AW371" s="89">
        <f>Sheet1!AV369*GPMtoMGD</f>
        <v>0.29865600000000003</v>
      </c>
      <c r="AX371" s="89">
        <f>Sheet1!AW369*GPMtoMGD</f>
        <v>0.35251200000000005</v>
      </c>
      <c r="AY371" s="89">
        <f>Sheet1!AX369*GPMtoMGD</f>
        <v>0</v>
      </c>
      <c r="AZ371" s="89">
        <f>Sheet1!AY369*GPMtoMGD</f>
        <v>0</v>
      </c>
      <c r="BA371" s="89">
        <f>Sheet1!AZ369*GPMtoMGD</f>
        <v>0</v>
      </c>
      <c r="BB371" s="89">
        <f>Sheet1!BP369*GPMtoMGD</f>
        <v>1.0224E-2</v>
      </c>
      <c r="BC371" s="89">
        <f>Sheet1!CS369*GPMtoMGD</f>
        <v>0</v>
      </c>
      <c r="BD371" s="89">
        <f>Sheet1!BO369*GPMtoMGD</f>
        <v>1.545264</v>
      </c>
      <c r="BE371" s="89">
        <f>Sheet1!BW369*GPMtoMGD</f>
        <v>1.1118240000000001</v>
      </c>
      <c r="BF371" s="89">
        <f>Sheet1!CN369*GPMtoMGD</f>
        <v>0.21024000000000001</v>
      </c>
      <c r="BG371" s="89">
        <f>Sheet1!CO369*GPMtoMGD</f>
        <v>0.66888000000000003</v>
      </c>
      <c r="BH371" s="89">
        <f>Sheet1!CP369*GPMtoMGD</f>
        <v>0</v>
      </c>
      <c r="BI371" s="89">
        <f t="shared" si="82"/>
        <v>1.555488</v>
      </c>
      <c r="BK371" s="94">
        <f>SUM(AT371:BA371,AS371,BC371,Calculation!AQ371)</f>
        <v>45.901286166564603</v>
      </c>
      <c r="BM371" s="358">
        <f>0</f>
        <v>0</v>
      </c>
      <c r="BN371" s="358">
        <f>0</f>
        <v>0</v>
      </c>
      <c r="BP371" s="94">
        <f>SUM(BM371:BN371,W371,Sheet1!DX369)</f>
        <v>0</v>
      </c>
      <c r="BR371" s="94">
        <f>Sheet1!AA369</f>
        <v>25.2</v>
      </c>
      <c r="BS371" s="94">
        <f>Sheet1!AB369</f>
        <v>32.6</v>
      </c>
      <c r="BT371" s="94">
        <f t="shared" ca="1" si="73"/>
        <v>-0.21326790989498068</v>
      </c>
      <c r="BU371" s="94">
        <f>Sheet1!AT369</f>
        <v>0</v>
      </c>
      <c r="BV371" s="89">
        <f>Sheet1!BB369</f>
        <v>0</v>
      </c>
      <c r="BW371" s="94">
        <f>Calculation!ED371</f>
        <v>10.440783833435397</v>
      </c>
      <c r="BX371" s="94">
        <f>(Sheet1!CS369*1440)/1000000</f>
        <v>0</v>
      </c>
      <c r="CA371" s="94">
        <f ca="1">Sheet1!AC369-Sheet1!BK369-Sheet1!BL369-Sheet1!BM369-Sheet1!BC369-Sheet1!BD369-Sheet1!BE369-Sheet1!BF369-Sheet1!BG369-Sheet1!BH369-Sheet1!BI369+BC371+P371</f>
        <v>47.126732090105016</v>
      </c>
      <c r="CB371" s="93">
        <f t="shared" si="74"/>
        <v>73.264707409675438</v>
      </c>
      <c r="CC371" s="94">
        <f t="shared" si="75"/>
        <v>0</v>
      </c>
      <c r="CD371" s="94">
        <f t="shared" ca="1" si="76"/>
        <v>57.567515923540412</v>
      </c>
      <c r="CE371" s="1077">
        <f t="shared" ca="1" si="77"/>
        <v>89.056947133717017</v>
      </c>
      <c r="CG371" s="1077">
        <f t="shared" ca="1" si="78"/>
        <v>47.126732090105016</v>
      </c>
    </row>
    <row r="372" spans="1:85" s="89" customFormat="1" x14ac:dyDescent="0.25">
      <c r="A372" s="616" t="s">
        <v>6</v>
      </c>
      <c r="B372" s="91">
        <v>43096</v>
      </c>
      <c r="C372" s="92">
        <v>0</v>
      </c>
      <c r="D372" s="94">
        <f>(Sheet1!BQ370-Sheet1!BQ369)*1.385</f>
        <v>0.45705000000000257</v>
      </c>
      <c r="E372" s="30">
        <f>(Sheet1!BR370-Sheet1!BR369)*1.385</f>
        <v>0.98334999999999628</v>
      </c>
      <c r="F372" s="30">
        <f ca="1">IF(B372=TODAY(),0,-(VLOOKUP(Sheet1!CD370,Lookup!$I$4:$J$216,2)-VLOOKUP(Sheet1!CD369,Lookup!$I$4:$J$216,2))/1000000)</f>
        <v>0.10363693854780681</v>
      </c>
      <c r="G372" s="94">
        <f ca="1">IF(B372=TODAY(),0,-$G$6*(Sheet1!CF370-Sheet1!CF369)*7.48/1000000)</f>
        <v>0.39713501052559297</v>
      </c>
      <c r="H372" s="94">
        <f ca="1">IF(B372=TODAY(),0,-$H$6*(Sheet1!CE370-Sheet1!CE369)*7.48/1000000)</f>
        <v>0</v>
      </c>
      <c r="I372" s="94">
        <f ca="1">IF(B372=TODAY(),0,-$I$6*(Sheet1!CG370-Sheet1!CG369)*7.48/1000000)</f>
        <v>1.7969952000000015E-2</v>
      </c>
      <c r="J372" s="95" t="s">
        <v>177</v>
      </c>
      <c r="K372" s="94">
        <f ca="1">IF(B372=TODAY(),0,-$K$6*(Sheet1!CH370-Sheet1!CH369)*7.48/1000000)</f>
        <v>3.3316601872292212E-2</v>
      </c>
      <c r="L372" s="95" t="s">
        <v>177</v>
      </c>
      <c r="M372" s="94">
        <f ca="1">IF(B372=TODAY(),0,-$M$6*(Sheet1!CI370-Sheet1!CI369)*7.48/1000000)</f>
        <v>8.9957542140134933E-2</v>
      </c>
      <c r="N372" s="94">
        <f ca="1">IF(B372=TODAY(),0,-$N$6*(Sheet1!CJ370-Sheet1!CJ369)*7.48/1000000)</f>
        <v>9.3078518091936069E-2</v>
      </c>
      <c r="O372" s="94">
        <f t="shared" ca="1" si="79"/>
        <v>0.73509456317776301</v>
      </c>
      <c r="P372" s="94">
        <f ca="1">O372+Calculation!ES372</f>
        <v>-0.6507146087899558</v>
      </c>
      <c r="Q372" s="89" t="str">
        <f>IF(Sheet1!BQ370&gt;25.75,"spill elevation","-")</f>
        <v>-</v>
      </c>
      <c r="R372" s="89" t="str">
        <f>IF(Sheet1!BQ370&gt;25.75,"spill elevation","-")</f>
        <v>-</v>
      </c>
      <c r="S372" s="89" t="str">
        <f>IF(Sheet1!BR370&gt;25.75,"spill elevation","-")</f>
        <v>-</v>
      </c>
      <c r="T372" s="93">
        <f>IF(Sheet1!DU370=1,Sheet1!AA370-(SUM(AT372:BA372)+BE372),Sheet1!AA370-SUM(AT372:BA372))</f>
        <v>24.09768</v>
      </c>
      <c r="U372" s="93">
        <f>Sheet1!BV370</f>
        <v>25.4</v>
      </c>
      <c r="V372" s="93">
        <f t="shared" si="80"/>
        <v>-1.3023199999999981</v>
      </c>
      <c r="W372" s="93">
        <f>0</f>
        <v>0</v>
      </c>
      <c r="X372" s="89">
        <f>0</f>
        <v>0</v>
      </c>
      <c r="Y372" s="94">
        <f ca="1">Calculation!EJ373+Calculation!ES372+'Calculations II'!O372-'Calculations II'!W372</f>
        <v>45.051835113241232</v>
      </c>
      <c r="Z372" s="94">
        <f ca="1">Y372-Sheet1!CT371</f>
        <v>29.136835113241233</v>
      </c>
      <c r="AA372" s="94">
        <f ca="1">Y372+Calculation!DJ373+Calculation!AS373</f>
        <v>55.522034614488113</v>
      </c>
      <c r="AC372" s="94">
        <f>Sheet1!AA370+Sheet1!AB370+BC372</f>
        <v>59.099999999999994</v>
      </c>
      <c r="AD372" s="94">
        <f>Sheet1!AA370+Sheet1!BN370+'Calculations II'!BC372-Calculation!AS372-Calculation!DJ372</f>
        <v>38.237775816416601</v>
      </c>
      <c r="AE372" s="94">
        <f>Sheet1!AA370+Sheet1!AB370+'Calculations II'!BC372-Calculation!AS372-Calculation!DJ372</f>
        <v>48.637775816416593</v>
      </c>
      <c r="AF372" s="94">
        <f ca="1">Sheet1!AA370+Sheet1!BN370+P372+'Calculations II'!BC372+Calculation!AS372+Calculation!DJ372</f>
        <v>58.51150957479345</v>
      </c>
      <c r="AG372" s="94">
        <f ca="1">IF(B372=TODAY(),0,Sheet1!AA370+Sheet1!BN370+'Calculations II'!BC372+'Calculations II'!P372-Sheet1!CT370-BP372)</f>
        <v>32.319285391210045</v>
      </c>
      <c r="AH372" s="94">
        <f ca="1">IF(B372=TODAY(),0,Sheet1!AA370+Sheet1!BN370+'Calculations II'!BC372+'Calculations II'!P372-BP372)</f>
        <v>48.049285391210049</v>
      </c>
      <c r="AI372" s="94">
        <f ca="1">IF(B372=TODAY(),0,BC372+Sheet1!AA370+Calculation!ES372+O372+W372+Sheet1!BN370+Calculation!AS372+Calculation!DJ372-BP372)</f>
        <v>58.51150957479345</v>
      </c>
      <c r="AJ372" s="94"/>
      <c r="AM372" s="90">
        <f t="shared" si="81"/>
        <v>43096</v>
      </c>
      <c r="AN372" s="94">
        <f>Sheet1!BU370</f>
        <v>22.8</v>
      </c>
      <c r="AO372" s="94">
        <f>Sheet1!AA370</f>
        <v>25.2</v>
      </c>
      <c r="AP372" s="94">
        <f t="shared" si="70"/>
        <v>1.4403999999999988</v>
      </c>
      <c r="AQ372" s="1086">
        <f>((Sheet1!BV370-(Sheet1!BU370-AP372))/(Sheet1!BU370-AP372))</f>
        <v>0.18916084570872105</v>
      </c>
      <c r="AR372" s="94">
        <f t="shared" si="71"/>
        <v>23.759599999999999</v>
      </c>
      <c r="AS372" s="94">
        <f t="shared" si="72"/>
        <v>21.3596</v>
      </c>
      <c r="AT372" s="89">
        <f>Sheet1!BB370</f>
        <v>0</v>
      </c>
      <c r="AU372" s="89">
        <f>Sheet1!AS370*GPMtoMGD</f>
        <v>2.2032000000000003E-2</v>
      </c>
      <c r="AV372" s="94">
        <f>Sheet1!AT370</f>
        <v>0</v>
      </c>
      <c r="AW372" s="89">
        <f>Sheet1!AV370*GPMtoMGD</f>
        <v>0.49982400000000005</v>
      </c>
      <c r="AX372" s="89">
        <f>Sheet1!AW370*GPMtoMGD</f>
        <v>0.58046400000000009</v>
      </c>
      <c r="AY372" s="89">
        <f>Sheet1!AX370*GPMtoMGD</f>
        <v>0</v>
      </c>
      <c r="AZ372" s="89">
        <f>Sheet1!AY370*GPMtoMGD</f>
        <v>0</v>
      </c>
      <c r="BA372" s="89">
        <f>Sheet1!AZ370*GPMtoMGD</f>
        <v>0</v>
      </c>
      <c r="BB372" s="89">
        <f>Sheet1!BP370*GPMtoMGD</f>
        <v>4.3200000000000001E-3</v>
      </c>
      <c r="BC372" s="89">
        <f>Sheet1!CS370*GPMtoMGD</f>
        <v>0</v>
      </c>
      <c r="BD372" s="89">
        <f>Sheet1!BO370*GPMtoMGD</f>
        <v>1.4906880000000002</v>
      </c>
      <c r="BE372" s="89">
        <f>Sheet1!BW370*GPMtoMGD</f>
        <v>1.081296</v>
      </c>
      <c r="BF372" s="89">
        <f>Sheet1!CN370*GPMtoMGD</f>
        <v>0.13723199999999999</v>
      </c>
      <c r="BG372" s="89">
        <f>Sheet1!CO370*GPMtoMGD</f>
        <v>0.64324800000000004</v>
      </c>
      <c r="BH372" s="89">
        <f>Sheet1!CP370*GPMtoMGD</f>
        <v>0</v>
      </c>
      <c r="BI372" s="89">
        <f t="shared" si="82"/>
        <v>1.4950080000000003</v>
      </c>
      <c r="BK372" s="94">
        <f>SUM(AT372:BA372,AS372,BC372,Calculation!AQ372)</f>
        <v>45.899695816416589</v>
      </c>
      <c r="BM372" s="358">
        <f>0</f>
        <v>0</v>
      </c>
      <c r="BN372" s="358">
        <f>0</f>
        <v>0</v>
      </c>
      <c r="BP372" s="94">
        <f>SUM(BM372:BN372,W372,Sheet1!DX370)</f>
        <v>0</v>
      </c>
      <c r="BR372" s="94">
        <f>Sheet1!AA370</f>
        <v>25.2</v>
      </c>
      <c r="BS372" s="94">
        <f>Sheet1!AB370</f>
        <v>33.9</v>
      </c>
      <c r="BT372" s="94">
        <f t="shared" ca="1" si="73"/>
        <v>-0.6507146087899558</v>
      </c>
      <c r="BU372" s="94">
        <f>Sheet1!AT370</f>
        <v>0</v>
      </c>
      <c r="BV372" s="89">
        <f>Sheet1!BB370</f>
        <v>0</v>
      </c>
      <c r="BW372" s="94">
        <f>Calculation!ED372</f>
        <v>10.462224183583405</v>
      </c>
      <c r="BX372" s="94">
        <f>(Sheet1!CS370*1440)/1000000</f>
        <v>0</v>
      </c>
      <c r="CA372" s="94">
        <f ca="1">Sheet1!AC370-Sheet1!BK370-Sheet1!BL370-Sheet1!BM370-Sheet1!BC370-Sheet1!BD370-Sheet1!BE370-Sheet1!BF370-Sheet1!BG370-Sheet1!BH370-Sheet1!BI370+BC372+P372</f>
        <v>47.959285391210038</v>
      </c>
      <c r="CB372" s="93">
        <f t="shared" si="74"/>
        <v>75.24263918799646</v>
      </c>
      <c r="CC372" s="94">
        <f t="shared" si="75"/>
        <v>0</v>
      </c>
      <c r="CD372" s="94">
        <f t="shared" ca="1" si="76"/>
        <v>58.421509574793447</v>
      </c>
      <c r="CE372" s="1077">
        <f t="shared" ca="1" si="77"/>
        <v>90.378075312205453</v>
      </c>
      <c r="CG372" s="1077">
        <f t="shared" ca="1" si="78"/>
        <v>47.959285391210038</v>
      </c>
    </row>
    <row r="373" spans="1:85" s="89" customFormat="1" x14ac:dyDescent="0.25">
      <c r="A373" s="616" t="s">
        <v>7</v>
      </c>
      <c r="B373" s="91">
        <v>43097</v>
      </c>
      <c r="C373" s="92">
        <v>0</v>
      </c>
      <c r="D373" s="94">
        <f>(Sheet1!BQ371-Sheet1!BQ370)*1.385</f>
        <v>-0.22160000000000019</v>
      </c>
      <c r="E373" s="30">
        <f>(Sheet1!BR371-Sheet1!BR370)*1.385</f>
        <v>0</v>
      </c>
      <c r="F373" s="30">
        <f ca="1">IF(B373=TODAY(),0,-(VLOOKUP(Sheet1!CD371,Lookup!$I$4:$J$216,2)-VLOOKUP(Sheet1!CD370,Lookup!$I$4:$J$216,2))/1000000)</f>
        <v>0.41454775419119744</v>
      </c>
      <c r="G373" s="94">
        <f ca="1">IF(B373=TODAY(),0,-$G$6*(Sheet1!CF371-Sheet1!CF370)*7.48/1000000)</f>
        <v>-0.83398352210374516</v>
      </c>
      <c r="H373" s="94">
        <f ca="1">IF(B373=TODAY(),0,-$H$6*(Sheet1!CE371-Sheet1!CE370)*7.48/1000000)</f>
        <v>0</v>
      </c>
      <c r="I373" s="94">
        <f ca="1">IF(B373=TODAY(),0,-$I$6*(Sheet1!CG371-Sheet1!CG370)*7.48/1000000)</f>
        <v>8.9849760000000074E-3</v>
      </c>
      <c r="J373" s="95" t="s">
        <v>177</v>
      </c>
      <c r="K373" s="94">
        <f ca="1">IF(B373=TODAY(),0,-$K$6*(Sheet1!CH371-Sheet1!CH370)*7.48/1000000)</f>
        <v>6.6633203744584186E-3</v>
      </c>
      <c r="L373" s="95" t="s">
        <v>177</v>
      </c>
      <c r="M373" s="94">
        <f ca="1">IF(B373=TODAY(),0,-$M$6*(Sheet1!CI371-Sheet1!CI370)*7.48/1000000)</f>
        <v>3.5983016856054283E-2</v>
      </c>
      <c r="N373" s="94">
        <f ca="1">IF(B373=TODAY(),0,-$N$6*(Sheet1!CJ371-Sheet1!CJ370)*7.48/1000000)</f>
        <v>0.22959367796010793</v>
      </c>
      <c r="O373" s="94">
        <f t="shared" ca="1" si="79"/>
        <v>-0.13821077672192705</v>
      </c>
      <c r="P373" s="94">
        <f ca="1">O373+Calculation!ES373</f>
        <v>0.13886772415757298</v>
      </c>
      <c r="Q373" s="89" t="str">
        <f>IF(Sheet1!BQ371&gt;25.75,"spill elevation","-")</f>
        <v>-</v>
      </c>
      <c r="R373" s="89" t="str">
        <f>IF(Sheet1!BQ371&gt;25.75,"spill elevation","-")</f>
        <v>-</v>
      </c>
      <c r="S373" s="89" t="str">
        <f>IF(Sheet1!BR371&gt;25.75,"spill elevation","-")</f>
        <v>-</v>
      </c>
      <c r="T373" s="93">
        <f>IF(Sheet1!DU371=1,Sheet1!AA371-(SUM(AT373:BA373)+BE373),Sheet1!AA371-SUM(AT373:BA373))</f>
        <v>24.639040000000001</v>
      </c>
      <c r="U373" s="93">
        <f>Sheet1!BV371</f>
        <v>27.3</v>
      </c>
      <c r="V373" s="93">
        <f t="shared" si="80"/>
        <v>-2.6609599999999993</v>
      </c>
      <c r="W373" s="93">
        <f>0</f>
        <v>0</v>
      </c>
      <c r="X373" s="89">
        <f>0</f>
        <v>0</v>
      </c>
      <c r="Y373" s="94">
        <f ca="1">Calculation!EJ374+Calculation!ES373+'Calculations II'!O373-'Calculations II'!W373</f>
        <v>46.347239985560194</v>
      </c>
      <c r="Z373" s="94">
        <f ca="1">Y373-Sheet1!CT372</f>
        <v>29.851239985560195</v>
      </c>
      <c r="AA373" s="94">
        <f ca="1">Y373+Calculation!DJ374+Calculation!AS374</f>
        <v>56.801023600319418</v>
      </c>
      <c r="AC373" s="94">
        <f>Sheet1!AA371+Sheet1!AB371+BC373</f>
        <v>57.349999999999994</v>
      </c>
      <c r="AD373" s="94">
        <f>Sheet1!AA371+Sheet1!BN371+'Calculations II'!BC373-Calculation!AS373-Calculation!DJ373</f>
        <v>36.429800498753124</v>
      </c>
      <c r="AE373" s="94">
        <f>Sheet1!AA371+Sheet1!AB371+'Calculations II'!BC373-Calculation!AS373-Calculation!DJ373</f>
        <v>46.879800498753113</v>
      </c>
      <c r="AF373" s="94">
        <f ca="1">Sheet1!AA371+Sheet1!BN371+P373+'Calculations II'!BC373+Calculation!AS373+Calculation!DJ373</f>
        <v>57.509067225404458</v>
      </c>
      <c r="AG373" s="94">
        <f ca="1">IF(B373=TODAY(),0,Sheet1!AA371+Sheet1!BN371+'Calculations II'!BC373+'Calculations II'!P373-Sheet1!CT371-BP373)</f>
        <v>31.123867724157577</v>
      </c>
      <c r="AH373" s="94">
        <f ca="1">IF(B373=TODAY(),0,Sheet1!AA371+Sheet1!BN371+'Calculations II'!BC373+'Calculations II'!P373-BP373)</f>
        <v>47.038867724157576</v>
      </c>
      <c r="AI373" s="94">
        <f ca="1">IF(B373=TODAY(),0,BC373+Sheet1!AA371+Calculation!ES373+O373+W373+Sheet1!BN371+Calculation!AS373+Calculation!DJ373-BP373)</f>
        <v>57.509067225404458</v>
      </c>
      <c r="AJ373" s="94"/>
      <c r="AM373" s="90">
        <f t="shared" si="81"/>
        <v>43097</v>
      </c>
      <c r="AN373" s="94">
        <f>Sheet1!BU371</f>
        <v>23.6</v>
      </c>
      <c r="AO373" s="94">
        <f>Sheet1!AA371</f>
        <v>25.3</v>
      </c>
      <c r="AP373" s="94">
        <f t="shared" si="70"/>
        <v>-0.22160000000000019</v>
      </c>
      <c r="AQ373" s="1086">
        <f>((Sheet1!BV371-(Sheet1!BU371-AP373))/(Sheet1!BU371-AP373))</f>
        <v>0.14601873929542938</v>
      </c>
      <c r="AR373" s="94">
        <f t="shared" si="71"/>
        <v>25.521599999999999</v>
      </c>
      <c r="AS373" s="94">
        <f t="shared" si="72"/>
        <v>23.8216</v>
      </c>
      <c r="AT373" s="89">
        <f>Sheet1!BB371</f>
        <v>0</v>
      </c>
      <c r="AU373" s="89">
        <f>Sheet1!AS371*GPMtoMGD</f>
        <v>3.1968000000000003E-2</v>
      </c>
      <c r="AV373" s="94">
        <f>Sheet1!AT371</f>
        <v>0</v>
      </c>
      <c r="AW373" s="89">
        <f>Sheet1!AV371*GPMtoMGD</f>
        <v>0.29073600000000005</v>
      </c>
      <c r="AX373" s="89">
        <f>Sheet1!AW371*GPMtoMGD</f>
        <v>0.33825600000000006</v>
      </c>
      <c r="AY373" s="89">
        <f>Sheet1!AX371*GPMtoMGD</f>
        <v>0</v>
      </c>
      <c r="AZ373" s="89">
        <f>Sheet1!AY371*GPMtoMGD</f>
        <v>0</v>
      </c>
      <c r="BA373" s="89">
        <f>Sheet1!AZ371*GPMtoMGD</f>
        <v>0</v>
      </c>
      <c r="BB373" s="89">
        <f>Sheet1!BP371*GPMtoMGD</f>
        <v>4.3200000000000001E-3</v>
      </c>
      <c r="BC373" s="89">
        <f>Sheet1!CS371*GPMtoMGD</f>
        <v>0</v>
      </c>
      <c r="BD373" s="89">
        <f>Sheet1!BO371*GPMtoMGD</f>
        <v>1.5196320000000001</v>
      </c>
      <c r="BE373" s="89">
        <f>Sheet1!BW371*GPMtoMGD</f>
        <v>0.88632000000000011</v>
      </c>
      <c r="BF373" s="89">
        <f>Sheet1!CN371*GPMtoMGD</f>
        <v>0.13564800000000002</v>
      </c>
      <c r="BG373" s="89">
        <f>Sheet1!CO371*GPMtoMGD</f>
        <v>0.63446400000000003</v>
      </c>
      <c r="BH373" s="89">
        <f>Sheet1!CP371*GPMtoMGD</f>
        <v>0</v>
      </c>
      <c r="BI373" s="89">
        <f t="shared" si="82"/>
        <v>1.5239520000000002</v>
      </c>
      <c r="BK373" s="94">
        <f>SUM(AT373:BA373,AS373,BC373,Calculation!AQ373)</f>
        <v>46.062360498753122</v>
      </c>
      <c r="BM373" s="358">
        <f>0</f>
        <v>0</v>
      </c>
      <c r="BN373" s="358">
        <f>0</f>
        <v>0</v>
      </c>
      <c r="BP373" s="94">
        <f>SUM(BM373:BN373,W373,Sheet1!DX371)</f>
        <v>0</v>
      </c>
      <c r="BR373" s="94">
        <f>Sheet1!AA371</f>
        <v>25.3</v>
      </c>
      <c r="BS373" s="94">
        <f>Sheet1!AB371</f>
        <v>32.049999999999997</v>
      </c>
      <c r="BT373" s="94">
        <f t="shared" ca="1" si="73"/>
        <v>0.13886772415757298</v>
      </c>
      <c r="BU373" s="94">
        <f>Sheet1!AT371</f>
        <v>0</v>
      </c>
      <c r="BV373" s="89">
        <f>Sheet1!BB371</f>
        <v>0</v>
      </c>
      <c r="BW373" s="94">
        <f>Calculation!ED373</f>
        <v>10.470199501246883</v>
      </c>
      <c r="BX373" s="94">
        <f>(Sheet1!CS371*1440)/1000000</f>
        <v>0</v>
      </c>
      <c r="CA373" s="94">
        <f ca="1">Sheet1!AC371-Sheet1!BK371-Sheet1!BL371-Sheet1!BM371-Sheet1!BC371-Sheet1!BD371-Sheet1!BE371-Sheet1!BF371-Sheet1!BG371-Sheet1!BH371-Sheet1!BI371+BC373+P373</f>
        <v>47.008867724157561</v>
      </c>
      <c r="CB373" s="93">
        <f t="shared" si="74"/>
        <v>72.523051371571057</v>
      </c>
      <c r="CC373" s="94">
        <f t="shared" si="75"/>
        <v>0</v>
      </c>
      <c r="CD373" s="94">
        <f t="shared" ca="1" si="76"/>
        <v>57.479067225404442</v>
      </c>
      <c r="CE373" s="1077">
        <f t="shared" ca="1" si="77"/>
        <v>88.920116997700674</v>
      </c>
      <c r="CG373" s="1077">
        <f t="shared" ca="1" si="78"/>
        <v>47.008867724157561</v>
      </c>
    </row>
    <row r="374" spans="1:85" s="89" customFormat="1" x14ac:dyDescent="0.25">
      <c r="A374" s="616" t="s">
        <v>8</v>
      </c>
      <c r="B374" s="91">
        <v>43098</v>
      </c>
      <c r="C374" s="92">
        <v>0</v>
      </c>
      <c r="D374" s="94">
        <f>(Sheet1!BQ372-Sheet1!BQ371)*1.385</f>
        <v>-1.3850000000002164E-2</v>
      </c>
      <c r="E374" s="30">
        <f>(Sheet1!BR372-Sheet1!BR371)*1.385</f>
        <v>-0.70634999999999726</v>
      </c>
      <c r="F374" s="30">
        <f ca="1">IF(B374=TODAY(),0,-(VLOOKUP(Sheet1!CD372,Lookup!$I$4:$J$216,2)-VLOOKUP(Sheet1!CD371,Lookup!$I$4:$J$216,2))/1000000)</f>
        <v>0.10363693854779936</v>
      </c>
      <c r="G374" s="94">
        <f ca="1">IF(B374=TODAY(),0,-$G$6*(Sheet1!CF372-Sheet1!CF371)*7.48/1000000)</f>
        <v>0.39713501052559297</v>
      </c>
      <c r="H374" s="94">
        <f ca="1">IF(B374=TODAY(),0,-$H$6*(Sheet1!CE372-Sheet1!CE371)*7.48/1000000)</f>
        <v>1.5039432351265274E-2</v>
      </c>
      <c r="I374" s="94">
        <f ca="1">IF(B374=TODAY(),0,-$I$6*(Sheet1!CG372-Sheet1!CG371)*7.48/1000000)</f>
        <v>0</v>
      </c>
      <c r="J374" s="95" t="s">
        <v>177</v>
      </c>
      <c r="K374" s="94">
        <f ca="1">IF(B374=TODAY(),0,-$K$6*(Sheet1!CH372-Sheet1!CH371)*7.48/1000000)</f>
        <v>0</v>
      </c>
      <c r="L374" s="95" t="s">
        <v>177</v>
      </c>
      <c r="M374" s="94">
        <f ca="1">IF(B374=TODAY(),0,-$M$6*(Sheet1!CI372-Sheet1!CI371)*7.48/1000000)</f>
        <v>0</v>
      </c>
      <c r="N374" s="94">
        <f ca="1">IF(B374=TODAY(),0,-$N$6*(Sheet1!CJ372-Sheet1!CJ371)*7.48/1000000)</f>
        <v>-0.19856750526279665</v>
      </c>
      <c r="O374" s="94">
        <f t="shared" ca="1" si="79"/>
        <v>0.31724387616186089</v>
      </c>
      <c r="P374" s="94">
        <f ca="1">O374+Calculation!ES374</f>
        <v>1.0102766695415553</v>
      </c>
      <c r="Q374" s="89" t="str">
        <f>IF(Sheet1!BQ372&gt;25.75,"spill elevation","-")</f>
        <v>-</v>
      </c>
      <c r="R374" s="89" t="str">
        <f>IF(Sheet1!BQ372&gt;25.75,"spill elevation","-")</f>
        <v>-</v>
      </c>
      <c r="S374" s="89" t="str">
        <f>IF(Sheet1!BR372&gt;25.75,"spill elevation","-")</f>
        <v>-</v>
      </c>
      <c r="T374" s="93">
        <f>IF(Sheet1!DU372=1,Sheet1!AA372-(SUM(AT374:BA374)+BE374),Sheet1!AA372-SUM(AT374:BA374))</f>
        <v>24.555088000000001</v>
      </c>
      <c r="U374" s="93">
        <f>Sheet1!BV372</f>
        <v>28</v>
      </c>
      <c r="V374" s="93">
        <f t="shared" si="80"/>
        <v>-3.4449119999999986</v>
      </c>
      <c r="W374" s="93">
        <f>0</f>
        <v>0</v>
      </c>
      <c r="X374" s="89">
        <f>0</f>
        <v>0</v>
      </c>
      <c r="Y374" s="94">
        <f ca="1">Calculation!EJ375+Calculation!ES374+'Calculations II'!O374-'Calculations II'!W374</f>
        <v>46.896076603448975</v>
      </c>
      <c r="Z374" s="94">
        <f ca="1">Y374-Sheet1!CT373</f>
        <v>30.889076603448974</v>
      </c>
      <c r="AA374" s="94">
        <f ca="1">Y374+Calculation!DJ375+Calculation!AS375</f>
        <v>57.369167967654235</v>
      </c>
      <c r="AC374" s="94">
        <f>Sheet1!AA372+Sheet1!AB372+BC374</f>
        <v>57.2</v>
      </c>
      <c r="AD374" s="94">
        <f>Sheet1!AA372+Sheet1!BN372+'Calculations II'!BC374-Calculation!AS374-Calculation!DJ374</f>
        <v>36.346216385240773</v>
      </c>
      <c r="AE374" s="94">
        <f>Sheet1!AA372+Sheet1!AB372+'Calculations II'!BC374-Calculation!AS374-Calculation!DJ374</f>
        <v>46.746216385240778</v>
      </c>
      <c r="AF374" s="94">
        <f ca="1">Sheet1!AA372+Sheet1!BN372+P374+'Calculations II'!BC374+Calculation!AS374+Calculation!DJ374</f>
        <v>58.264060284300776</v>
      </c>
      <c r="AG374" s="94">
        <f ca="1">IF(B374=TODAY(),0,Sheet1!AA372+Sheet1!BN372+'Calculations II'!BC374+'Calculations II'!P374-Sheet1!CT372-BP374)</f>
        <v>31.314276669541552</v>
      </c>
      <c r="AH374" s="94">
        <f ca="1">IF(B374=TODAY(),0,Sheet1!AA372+Sheet1!BN372+'Calculations II'!BC374+'Calculations II'!P374-BP374)</f>
        <v>47.810276669541551</v>
      </c>
      <c r="AI374" s="94">
        <f ca="1">IF(B374=TODAY(),0,BC374+Sheet1!AA372+Calculation!ES374+O374+W374+Sheet1!BN372+Calculation!AS374+Calculation!DJ374-BP374)</f>
        <v>58.264060284300776</v>
      </c>
      <c r="AJ374" s="94"/>
      <c r="AM374" s="90">
        <f t="shared" si="81"/>
        <v>43098</v>
      </c>
      <c r="AN374" s="94">
        <f>Sheet1!BU372</f>
        <v>23.7</v>
      </c>
      <c r="AO374" s="94">
        <f>Sheet1!AA372</f>
        <v>25.3</v>
      </c>
      <c r="AP374" s="94">
        <f t="shared" si="70"/>
        <v>-0.7201999999999994</v>
      </c>
      <c r="AQ374" s="1086">
        <f>((Sheet1!BV372-(Sheet1!BU372-AP374))/(Sheet1!BU372-AP374))</f>
        <v>0.14659175600527444</v>
      </c>
      <c r="AR374" s="94">
        <f t="shared" si="71"/>
        <v>26.020199999999999</v>
      </c>
      <c r="AS374" s="94">
        <f t="shared" si="72"/>
        <v>24.420199999999998</v>
      </c>
      <c r="AT374" s="89">
        <f>Sheet1!BB372</f>
        <v>0</v>
      </c>
      <c r="AU374" s="89">
        <f>Sheet1!AS372*GPMtoMGD</f>
        <v>3.2688000000000002E-2</v>
      </c>
      <c r="AV374" s="94">
        <f>Sheet1!AT372</f>
        <v>0</v>
      </c>
      <c r="AW374" s="89">
        <f>Sheet1!AV372*GPMtoMGD</f>
        <v>0.25416</v>
      </c>
      <c r="AX374" s="89">
        <f>Sheet1!AW372*GPMtoMGD</f>
        <v>0.45806400000000008</v>
      </c>
      <c r="AY374" s="89">
        <f>Sheet1!AX372*GPMtoMGD</f>
        <v>0</v>
      </c>
      <c r="AZ374" s="89">
        <f>Sheet1!AY372*GPMtoMGD</f>
        <v>0</v>
      </c>
      <c r="BA374" s="89">
        <f>Sheet1!AZ372*GPMtoMGD</f>
        <v>0</v>
      </c>
      <c r="BB374" s="89">
        <f>Sheet1!BP372*GPMtoMGD</f>
        <v>3.4560000000000003E-3</v>
      </c>
      <c r="BC374" s="89">
        <f>Sheet1!CS372*GPMtoMGD</f>
        <v>0</v>
      </c>
      <c r="BD374" s="89">
        <f>Sheet1!BO372*GPMtoMGD</f>
        <v>1.5683039999999999</v>
      </c>
      <c r="BE374" s="89">
        <f>Sheet1!BW372*GPMtoMGD</f>
        <v>1.0033920000000001</v>
      </c>
      <c r="BF374" s="89">
        <f>Sheet1!CN372*GPMtoMGD</f>
        <v>0.14630399999999999</v>
      </c>
      <c r="BG374" s="89">
        <f>Sheet1!CO372*GPMtoMGD</f>
        <v>0.62308799999999998</v>
      </c>
      <c r="BH374" s="89">
        <f>Sheet1!CP372*GPMtoMGD</f>
        <v>0</v>
      </c>
      <c r="BI374" s="89">
        <f t="shared" si="82"/>
        <v>1.5717599999999998</v>
      </c>
      <c r="BK374" s="94">
        <f>SUM(AT374:BA374,AS374,BC374,Calculation!AQ374)</f>
        <v>46.611328385240768</v>
      </c>
      <c r="BM374" s="358">
        <f>0</f>
        <v>0</v>
      </c>
      <c r="BN374" s="358">
        <f>0</f>
        <v>0</v>
      </c>
      <c r="BP374" s="94">
        <f>SUM(BM374:BN374,W374,Sheet1!DX372)</f>
        <v>0</v>
      </c>
      <c r="BR374" s="94">
        <f>Sheet1!AA372</f>
        <v>25.3</v>
      </c>
      <c r="BS374" s="94">
        <f>Sheet1!AB372</f>
        <v>31.9</v>
      </c>
      <c r="BT374" s="94">
        <f t="shared" ca="1" si="73"/>
        <v>1.0102766695415553</v>
      </c>
      <c r="BU374" s="94">
        <f>Sheet1!AT372</f>
        <v>0</v>
      </c>
      <c r="BV374" s="89">
        <f>Sheet1!BB372</f>
        <v>0</v>
      </c>
      <c r="BW374" s="94">
        <f>Calculation!ED374</f>
        <v>10.453783614759224</v>
      </c>
      <c r="BX374" s="94">
        <f>(Sheet1!CS372*1440)/1000000</f>
        <v>0</v>
      </c>
      <c r="CA374" s="94">
        <f ca="1">Sheet1!AC372-Sheet1!BK372-Sheet1!BL372-Sheet1!BM372-Sheet1!BC372-Sheet1!BD372-Sheet1!BE372-Sheet1!BF372-Sheet1!BG372-Sheet1!BH372-Sheet1!BI372+BC374+P374</f>
        <v>47.730276669541553</v>
      </c>
      <c r="CB374" s="93">
        <f t="shared" si="74"/>
        <v>72.316396747967474</v>
      </c>
      <c r="CC374" s="94">
        <f t="shared" si="75"/>
        <v>0</v>
      </c>
      <c r="CD374" s="94">
        <f t="shared" ca="1" si="76"/>
        <v>58.184060284300777</v>
      </c>
      <c r="CE374" s="1077">
        <f t="shared" ca="1" si="77"/>
        <v>90.010741259813301</v>
      </c>
      <c r="CG374" s="1077">
        <f t="shared" ca="1" si="78"/>
        <v>47.730276669541553</v>
      </c>
    </row>
    <row r="375" spans="1:85" s="89" customFormat="1" x14ac:dyDescent="0.25">
      <c r="A375" s="616" t="s">
        <v>9</v>
      </c>
      <c r="B375" s="91">
        <v>43099</v>
      </c>
      <c r="C375" s="92">
        <v>0</v>
      </c>
      <c r="D375" s="94">
        <f>(Sheet1!BQ373-Sheet1!BQ372)*1.385</f>
        <v>-0.23544999999999744</v>
      </c>
      <c r="E375" s="30">
        <f>(Sheet1!BR373-Sheet1!BR372)*1.385</f>
        <v>-0.24929999999999961</v>
      </c>
      <c r="F375" s="30">
        <f ca="1">IF(B375=TODAY(),0,-(VLOOKUP(Sheet1!CD373,Lookup!$I$4:$J$216,2)-VLOOKUP(Sheet1!CD372,Lookup!$I$4:$J$216,2))/1000000)</f>
        <v>-0.31091081564339806</v>
      </c>
      <c r="G375" s="94">
        <f ca="1">IF(B375=TODAY(),0,-$G$6*(Sheet1!CF373-Sheet1!CF372)*7.48/1000000)</f>
        <v>0.3177080084204747</v>
      </c>
      <c r="H375" s="94">
        <f ca="1">IF(B375=TODAY(),0,-$H$6*(Sheet1!CE373-Sheet1!CE372)*7.48/1000000)</f>
        <v>0</v>
      </c>
      <c r="I375" s="94">
        <f ca="1">IF(B375=TODAY(),0,-$I$6*(Sheet1!CG373-Sheet1!CG372)*7.48/1000000)</f>
        <v>-8.9849760000000074E-3</v>
      </c>
      <c r="J375" s="95" t="s">
        <v>177</v>
      </c>
      <c r="K375" s="94">
        <f ca="1">IF(B375=TODAY(),0,-$K$6*(Sheet1!CH373-Sheet1!CH372)*7.48/1000000)</f>
        <v>-1.3326640748916837E-2</v>
      </c>
      <c r="L375" s="95" t="s">
        <v>177</v>
      </c>
      <c r="M375" s="94">
        <f ca="1">IF(B375=TODAY(),0,-$M$6*(Sheet1!CI373-Sheet1!CI372)*7.48/1000000)</f>
        <v>-5.3974525284081275E-2</v>
      </c>
      <c r="N375" s="94">
        <f ca="1">IF(B375=TODAY(),0,-$N$6*(Sheet1!CJ373-Sheet1!CJ372)*7.48/1000000)</f>
        <v>-9.9283752631397215E-2</v>
      </c>
      <c r="O375" s="94">
        <f t="shared" ca="1" si="79"/>
        <v>-0.16877270188731872</v>
      </c>
      <c r="P375" s="94">
        <f ca="1">O375+Calculation!ES375</f>
        <v>0.10834426039803227</v>
      </c>
      <c r="Q375" s="89" t="str">
        <f>IF(Sheet1!BQ373&gt;25.75,"spill elevation","-")</f>
        <v>-</v>
      </c>
      <c r="R375" s="89" t="str">
        <f>IF(Sheet1!BQ373&gt;25.75,"spill elevation","-")</f>
        <v>-</v>
      </c>
      <c r="S375" s="89" t="str">
        <f>IF(Sheet1!BR373&gt;25.75,"spill elevation","-")</f>
        <v>-</v>
      </c>
      <c r="T375" s="93">
        <f>IF(Sheet1!DU373=1,Sheet1!AA373-(SUM(AT375:BA375)+BE375),Sheet1!AA373-SUM(AT375:BA375))</f>
        <v>24.072336</v>
      </c>
      <c r="U375" s="93">
        <f>Sheet1!BV373</f>
        <v>27.8</v>
      </c>
      <c r="V375" s="93">
        <f t="shared" si="80"/>
        <v>-3.7276640000000008</v>
      </c>
      <c r="W375" s="93">
        <f>0</f>
        <v>0</v>
      </c>
      <c r="X375" s="89">
        <f>0</f>
        <v>0</v>
      </c>
      <c r="Y375" s="94">
        <f ca="1">Calculation!EJ376+Calculation!ES375+'Calculations II'!O375-'Calculations II'!W375</f>
        <v>44.897635339904511</v>
      </c>
      <c r="Z375" s="94">
        <f ca="1">Y375-Sheet1!CT374</f>
        <v>28.805635339904512</v>
      </c>
      <c r="AA375" s="94">
        <f ca="1">Y375+Calculation!DJ376+Calculation!AS376</f>
        <v>55.431125167760541</v>
      </c>
      <c r="AC375" s="94">
        <f>Sheet1!AA373+Sheet1!AB373+BC375</f>
        <v>57.2</v>
      </c>
      <c r="AD375" s="94">
        <f>Sheet1!AA373+Sheet1!BN373+'Calculations II'!BC375-Calculation!AS375-Calculation!DJ375</f>
        <v>36.226908635794743</v>
      </c>
      <c r="AE375" s="94">
        <f>Sheet1!AA373+Sheet1!AB373+'Calculations II'!BC375-Calculation!AS375-Calculation!DJ375</f>
        <v>46.726908635794743</v>
      </c>
      <c r="AF375" s="94">
        <f ca="1">Sheet1!AA373+Sheet1!BN373+P375+'Calculations II'!BC375+Calculation!AS375+Calculation!DJ375</f>
        <v>57.28143562460329</v>
      </c>
      <c r="AG375" s="94">
        <f ca="1">IF(B375=TODAY(),0,Sheet1!AA373+Sheet1!BN373+'Calculations II'!BC375+'Calculations II'!P375-Sheet1!CT373-BP375)</f>
        <v>30.801344260398036</v>
      </c>
      <c r="AH375" s="94">
        <f ca="1">IF(B375=TODAY(),0,Sheet1!AA373+Sheet1!BN373+'Calculations II'!BC375+'Calculations II'!P375-BP375)</f>
        <v>46.808344260398037</v>
      </c>
      <c r="AI375" s="94">
        <f ca="1">IF(B375=TODAY(),0,BC375+Sheet1!AA373+Calculation!ES375+O375+W375+Sheet1!BN373+Calculation!AS375+Calculation!DJ375-BP375)</f>
        <v>57.28143562460329</v>
      </c>
      <c r="AJ375" s="94"/>
      <c r="AM375" s="90">
        <f t="shared" si="81"/>
        <v>43099</v>
      </c>
      <c r="AN375" s="94">
        <f>Sheet1!BU373</f>
        <v>23.4</v>
      </c>
      <c r="AO375" s="94">
        <f>Sheet1!AA373</f>
        <v>25.2</v>
      </c>
      <c r="AP375" s="94">
        <f t="shared" si="70"/>
        <v>-0.48474999999999702</v>
      </c>
      <c r="AQ375" s="1086">
        <f>((Sheet1!BV373-(Sheet1!BU373-AP375))/(Sheet1!BU373-AP375))</f>
        <v>0.16392258658767642</v>
      </c>
      <c r="AR375" s="94">
        <f t="shared" si="71"/>
        <v>25.684749999999998</v>
      </c>
      <c r="AS375" s="94">
        <f t="shared" si="72"/>
        <v>23.884749999999997</v>
      </c>
      <c r="AT375" s="89">
        <f>Sheet1!BB373</f>
        <v>0</v>
      </c>
      <c r="AU375" s="89">
        <f>Sheet1!AS373*GPMtoMGD</f>
        <v>1.728E-2</v>
      </c>
      <c r="AV375" s="94">
        <f>Sheet1!AT373</f>
        <v>0</v>
      </c>
      <c r="AW375" s="89">
        <f>Sheet1!AV373*GPMtoMGD</f>
        <v>0.22104000000000001</v>
      </c>
      <c r="AX375" s="89">
        <f>Sheet1!AW373*GPMtoMGD</f>
        <v>0.88934400000000013</v>
      </c>
      <c r="AY375" s="89">
        <f>Sheet1!AX373*GPMtoMGD</f>
        <v>0</v>
      </c>
      <c r="AZ375" s="89">
        <f>Sheet1!AY373*GPMtoMGD</f>
        <v>0</v>
      </c>
      <c r="BA375" s="89">
        <f>Sheet1!AZ373*GPMtoMGD</f>
        <v>0</v>
      </c>
      <c r="BB375" s="89">
        <f>Sheet1!BP373*GPMtoMGD</f>
        <v>3.8880000000000004E-3</v>
      </c>
      <c r="BC375" s="89">
        <f>Sheet1!CS373*GPMtoMGD</f>
        <v>0</v>
      </c>
      <c r="BD375" s="89">
        <f>Sheet1!BO373*GPMtoMGD</f>
        <v>1.7114400000000001</v>
      </c>
      <c r="BE375" s="89">
        <f>Sheet1!BW373*GPMtoMGD</f>
        <v>1.13544</v>
      </c>
      <c r="BF375" s="89">
        <f>Sheet1!CN373*GPMtoMGD</f>
        <v>0.33163200000000004</v>
      </c>
      <c r="BG375" s="89">
        <f>Sheet1!CO373*GPMtoMGD</f>
        <v>0.65822400000000003</v>
      </c>
      <c r="BH375" s="89">
        <f>Sheet1!CP373*GPMtoMGD</f>
        <v>0</v>
      </c>
      <c r="BI375" s="89">
        <f t="shared" si="82"/>
        <v>1.715328</v>
      </c>
      <c r="BK375" s="94">
        <f>SUM(AT375:BA375,AS375,BC375,Calculation!AQ375)</f>
        <v>46.53932263579474</v>
      </c>
      <c r="BM375" s="358">
        <f>0</f>
        <v>0</v>
      </c>
      <c r="BN375" s="358">
        <f>0</f>
        <v>0</v>
      </c>
      <c r="BP375" s="94">
        <f>SUM(BM375:BN375,W375,Sheet1!DX373)</f>
        <v>0</v>
      </c>
      <c r="BR375" s="94">
        <f>Sheet1!AA373</f>
        <v>25.2</v>
      </c>
      <c r="BS375" s="94">
        <f>Sheet1!AB373</f>
        <v>32</v>
      </c>
      <c r="BT375" s="94">
        <f t="shared" ca="1" si="73"/>
        <v>0.10834426039803227</v>
      </c>
      <c r="BU375" s="94">
        <f>Sheet1!AT373</f>
        <v>0</v>
      </c>
      <c r="BV375" s="89">
        <f>Sheet1!BB373</f>
        <v>0</v>
      </c>
      <c r="BW375" s="94">
        <f>Calculation!ED375</f>
        <v>10.473091364205256</v>
      </c>
      <c r="BX375" s="94">
        <f>(Sheet1!CS373*1440)/1000000</f>
        <v>0</v>
      </c>
      <c r="CA375" s="94">
        <f ca="1">Sheet1!AC373-Sheet1!BK373-Sheet1!BL373-Sheet1!BM373-Sheet1!BC373-Sheet1!BD373-Sheet1!BE373-Sheet1!BF373-Sheet1!BG373-Sheet1!BH373-Sheet1!BI373+BC375+P375</f>
        <v>46.848344260398036</v>
      </c>
      <c r="CB375" s="93">
        <f t="shared" si="74"/>
        <v>72.28652765957446</v>
      </c>
      <c r="CC375" s="94">
        <f t="shared" si="75"/>
        <v>0</v>
      </c>
      <c r="CD375" s="94">
        <f t="shared" ca="1" si="76"/>
        <v>57.321435624603296</v>
      </c>
      <c r="CE375" s="1077">
        <f t="shared" ca="1" si="77"/>
        <v>88.676260911261295</v>
      </c>
      <c r="CG375" s="1077">
        <f t="shared" ca="1" si="78"/>
        <v>46.848344260398036</v>
      </c>
    </row>
    <row r="376" spans="1:85" s="89" customFormat="1" x14ac:dyDescent="0.25">
      <c r="A376" s="616" t="s">
        <v>3</v>
      </c>
      <c r="B376" s="91">
        <v>43100</v>
      </c>
      <c r="C376" s="92">
        <v>0</v>
      </c>
      <c r="D376" s="94">
        <f>(Sheet1!BQ374-Sheet1!BQ373)*1.385</f>
        <v>-0.40164999999999884</v>
      </c>
      <c r="E376" s="30">
        <f>(Sheet1!BR374-Sheet1!BR373)*1.385</f>
        <v>-0.44320000000000037</v>
      </c>
      <c r="F376" s="30">
        <f ca="1">IF(B376=TODAY(),0,-(VLOOKUP(Sheet1!CD374,Lookup!$I$4:$J$216,2)-VLOOKUP(Sheet1!CD373,Lookup!$I$4:$J$216,2))/1000000)</f>
        <v>-0.20727387709559872</v>
      </c>
      <c r="G376" s="94">
        <f ca="1">IF(B376=TODAY(),0,-$G$6*(Sheet1!CF374-Sheet1!CF373)*7.48/1000000)</f>
        <v>-0.71484301894606761</v>
      </c>
      <c r="H376" s="94">
        <f ca="1">IF(B376=TODAY(),0,-$H$6*(Sheet1!CE374-Sheet1!CE373)*7.48/1000000)</f>
        <v>1.5039432351265274E-2</v>
      </c>
      <c r="I376" s="94">
        <f ca="1">IF(B376=TODAY(),0,-$I$6*(Sheet1!CG374-Sheet1!CG373)*7.48/1000000)</f>
        <v>0</v>
      </c>
      <c r="J376" s="95" t="s">
        <v>177</v>
      </c>
      <c r="K376" s="94">
        <f ca="1">IF(B376=TODAY(),0,-$K$6*(Sheet1!CH374-Sheet1!CH373)*7.48/1000000)</f>
        <v>0</v>
      </c>
      <c r="L376" s="95" t="s">
        <v>177</v>
      </c>
      <c r="M376" s="94">
        <f ca="1">IF(B376=TODAY(),0,-$M$6*(Sheet1!CI374-Sheet1!CI373)*7.48/1000000)</f>
        <v>0</v>
      </c>
      <c r="N376" s="94">
        <f ca="1">IF(B376=TODAY(),0,-$N$6*(Sheet1!CJ374-Sheet1!CJ373)*7.48/1000000)</f>
        <v>-0.14892562894709749</v>
      </c>
      <c r="O376" s="94">
        <f t="shared" ca="1" si="79"/>
        <v>-1.0560030926374986</v>
      </c>
      <c r="P376" s="94">
        <f ca="1">O376+Calculation!ES376</f>
        <v>-8.6167438625988302E-2</v>
      </c>
      <c r="Q376" s="89" t="str">
        <f>IF(Sheet1!BQ374&gt;25.75,"spill elevation","-")</f>
        <v>-</v>
      </c>
      <c r="R376" s="89" t="str">
        <f>IF(Sheet1!BQ374&gt;25.75,"spill elevation","-")</f>
        <v>-</v>
      </c>
      <c r="S376" s="89" t="str">
        <f>IF(Sheet1!BR374&gt;25.75,"spill elevation","-")</f>
        <v>-</v>
      </c>
      <c r="T376" s="93">
        <f>IF(Sheet1!DU374=1,Sheet1!AA374-(SUM(AT376:BA376)+BE376),Sheet1!AA374-SUM(AT376:BA376))</f>
        <v>24.021215999999999</v>
      </c>
      <c r="U376" s="93">
        <f>Sheet1!BV374</f>
        <v>28.2</v>
      </c>
      <c r="V376" s="93">
        <f t="shared" si="80"/>
        <v>-4.1787840000000003</v>
      </c>
      <c r="W376" s="93">
        <f>0</f>
        <v>0</v>
      </c>
      <c r="X376" s="89">
        <f>0</f>
        <v>0</v>
      </c>
      <c r="Y376" s="94">
        <f ca="1">Calculation!EJ377+Calculation!ES376+'Calculations II'!O376-'Calculations II'!W376</f>
        <v>46.56936387874002</v>
      </c>
      <c r="Z376" s="94">
        <f ca="1">Y376-Sheet1!CT375</f>
        <v>29.706363878740021</v>
      </c>
      <c r="AA376" s="94">
        <f ca="1">Y376+Calculation!DJ377+Calculation!AS377</f>
        <v>57.189376406143715</v>
      </c>
      <c r="AC376" s="94">
        <f>Sheet1!AA374+Sheet1!AB374+BC376</f>
        <v>57.099999999999994</v>
      </c>
      <c r="AD376" s="94">
        <f>Sheet1!AA374+Sheet1!BN374+'Calculations II'!BC376-Calculation!AS376-Calculation!DJ376</f>
        <v>36.066510172143964</v>
      </c>
      <c r="AE376" s="94">
        <f>Sheet1!AA374+Sheet1!AB374+'Calculations II'!BC376-Calculation!AS376-Calculation!DJ376</f>
        <v>46.566510172143964</v>
      </c>
      <c r="AF376" s="94">
        <f ca="1">Sheet1!AA374+Sheet1!BN374+P376+'Calculations II'!BC376+Calculation!AS376+Calculation!DJ376</f>
        <v>57.047322389230033</v>
      </c>
      <c r="AG376" s="94">
        <f ca="1">IF(B376=TODAY(),0,Sheet1!AA374+Sheet1!BN374+'Calculations II'!BC376+'Calculations II'!P376-Sheet1!CT374-BP376)</f>
        <v>30.421832561374011</v>
      </c>
      <c r="AH376" s="94">
        <f ca="1">IF(B376=TODAY(),0,Sheet1!AA374+Sheet1!BN374+'Calculations II'!BC376+'Calculations II'!P376-BP376)</f>
        <v>46.513832561374009</v>
      </c>
      <c r="AI376" s="94">
        <f ca="1">IF(B376=TODAY(),0,BC376+Sheet1!AA374+Calculation!ES376+O376+W376+Sheet1!BN374+Calculation!AS376+Calculation!DJ376-BP376)</f>
        <v>57.047322389230033</v>
      </c>
      <c r="AJ376" s="94"/>
      <c r="AM376" s="90">
        <f t="shared" si="81"/>
        <v>43100</v>
      </c>
      <c r="AN376" s="94">
        <f>Sheet1!BU374</f>
        <v>23.3</v>
      </c>
      <c r="AO376" s="94">
        <f>Sheet1!AA374</f>
        <v>25.2</v>
      </c>
      <c r="AP376" s="94">
        <f t="shared" si="70"/>
        <v>-0.84484999999999921</v>
      </c>
      <c r="AQ376" s="1086">
        <f>((Sheet1!BV374-(Sheet1!BU374-AP376))/(Sheet1!BU374-AP376))</f>
        <v>0.16795092949428145</v>
      </c>
      <c r="AR376" s="94">
        <f t="shared" si="71"/>
        <v>26.044849999999997</v>
      </c>
      <c r="AS376" s="94">
        <f t="shared" si="72"/>
        <v>24.144849999999998</v>
      </c>
      <c r="AT376" s="89">
        <f>Sheet1!BB374</f>
        <v>0</v>
      </c>
      <c r="AU376" s="89">
        <f>Sheet1!AS374*GPMtoMGD</f>
        <v>3.1248000000000001E-2</v>
      </c>
      <c r="AV376" s="94">
        <f>Sheet1!AT374</f>
        <v>0</v>
      </c>
      <c r="AW376" s="89">
        <f>Sheet1!AV374*GPMtoMGD</f>
        <v>0.34012799999999999</v>
      </c>
      <c r="AX376" s="89">
        <f>Sheet1!AW374*GPMtoMGD</f>
        <v>0.80740800000000013</v>
      </c>
      <c r="AY376" s="89">
        <f>Sheet1!AX374*GPMtoMGD</f>
        <v>0</v>
      </c>
      <c r="AZ376" s="89">
        <f>Sheet1!AY374*GPMtoMGD</f>
        <v>0</v>
      </c>
      <c r="BA376" s="89">
        <f>Sheet1!AZ374*GPMtoMGD</f>
        <v>0</v>
      </c>
      <c r="BB376" s="89">
        <f>Sheet1!BP374*GPMtoMGD</f>
        <v>4.032E-3</v>
      </c>
      <c r="BC376" s="89">
        <f>Sheet1!CS374*GPMtoMGD</f>
        <v>0</v>
      </c>
      <c r="BD376" s="89">
        <f>Sheet1!BO374*GPMtoMGD</f>
        <v>1.545264</v>
      </c>
      <c r="BE376" s="89">
        <f>Sheet1!BW374*GPMtoMGD</f>
        <v>1.0520640000000001</v>
      </c>
      <c r="BF376" s="89">
        <f>Sheet1!CN374*GPMtoMGD</f>
        <v>0.33926400000000001</v>
      </c>
      <c r="BG376" s="89">
        <f>Sheet1!CO374*GPMtoMGD</f>
        <v>0.66312000000000004</v>
      </c>
      <c r="BH376" s="89">
        <f>Sheet1!CP374*GPMtoMGD</f>
        <v>0</v>
      </c>
      <c r="BI376" s="89">
        <f t="shared" si="82"/>
        <v>1.549296</v>
      </c>
      <c r="BK376" s="94">
        <f>SUM(AT376:BA376,AS376,BC376,Calculation!AQ376)</f>
        <v>46.690144172143974</v>
      </c>
      <c r="BM376" s="358">
        <f>0</f>
        <v>0</v>
      </c>
      <c r="BN376" s="358">
        <f>0</f>
        <v>0</v>
      </c>
      <c r="BP376" s="94">
        <f>SUM(BM376:BN376,W376,Sheet1!DX374)</f>
        <v>0</v>
      </c>
      <c r="BR376" s="94">
        <f>Sheet1!AA374</f>
        <v>25.2</v>
      </c>
      <c r="BS376" s="94">
        <f>Sheet1!AB374</f>
        <v>31.9</v>
      </c>
      <c r="BT376" s="94">
        <f t="shared" ca="1" si="73"/>
        <v>-8.6167438625988302E-2</v>
      </c>
      <c r="BU376" s="94">
        <f>Sheet1!AT374</f>
        <v>0</v>
      </c>
      <c r="BV376" s="89">
        <f>Sheet1!BB374</f>
        <v>0</v>
      </c>
      <c r="BW376" s="94">
        <f>Calculation!ED376</f>
        <v>10.533489827856027</v>
      </c>
      <c r="BX376" s="94">
        <f>(Sheet1!CS374*1440)/1000000</f>
        <v>0</v>
      </c>
      <c r="CA376" s="94">
        <f ca="1">Sheet1!AC374-Sheet1!BK374-Sheet1!BL374-Sheet1!BM374-Sheet1!BC374-Sheet1!BD374-Sheet1!BE374-Sheet1!BF374-Sheet1!BG374-Sheet1!BH374-Sheet1!BI374+BC376+P376</f>
        <v>46.463832561374012</v>
      </c>
      <c r="CB376" s="93">
        <f t="shared" si="74"/>
        <v>72.038391236306708</v>
      </c>
      <c r="CC376" s="94">
        <f t="shared" si="75"/>
        <v>0</v>
      </c>
      <c r="CD376" s="94">
        <f t="shared" ca="1" si="76"/>
        <v>56.997322389230035</v>
      </c>
      <c r="CE376" s="1077">
        <f t="shared" ca="1" si="77"/>
        <v>88.174857736138861</v>
      </c>
      <c r="CG376" s="1077">
        <f t="shared" ca="1" si="78"/>
        <v>46.463832561374012</v>
      </c>
    </row>
    <row r="377" spans="1:85" s="89" customFormat="1" x14ac:dyDescent="0.25">
      <c r="A377" s="616" t="s">
        <v>4</v>
      </c>
      <c r="B377" s="91">
        <v>43101</v>
      </c>
      <c r="C377" s="92">
        <v>0</v>
      </c>
      <c r="D377" s="94">
        <f>(Sheet1!BQ375-Sheet1!BQ374)*1.385</f>
        <v>-0.23545000000000235</v>
      </c>
      <c r="E377" s="30">
        <f>(Sheet1!BR375-Sheet1!BR374)*1.385</f>
        <v>-0.23545000000000235</v>
      </c>
      <c r="F377" s="30">
        <f ca="1">IF(B377=TODAY(),0,-(VLOOKUP(Sheet1!CD375,Lookup!$I$4:$J$216,2)-VLOOKUP(Sheet1!CD374,Lookup!$I$4:$J$216,2))/1000000)</f>
        <v>0.31091081564339806</v>
      </c>
      <c r="G377" s="94">
        <f ca="1">IF(B377=TODAY(),0,-$G$6*(Sheet1!CF375-Sheet1!CF374)*7.48/1000000)</f>
        <v>0.43684851157815213</v>
      </c>
      <c r="H377" s="94">
        <f ca="1">IF(B377=TODAY(),0,-$H$6*(Sheet1!CE375-Sheet1!CE374)*7.48/1000000)</f>
        <v>1.5039432351264204E-2</v>
      </c>
      <c r="I377" s="94">
        <f ca="1">IF(B377=TODAY(),0,-$I$6*(Sheet1!CG375-Sheet1!CG374)*7.48/1000000)</f>
        <v>0</v>
      </c>
      <c r="J377" s="95" t="s">
        <v>177</v>
      </c>
      <c r="K377" s="94">
        <f ca="1">IF(B377=TODAY(),0,-$K$6*(Sheet1!CH375-Sheet1!CH374)*7.48/1000000)</f>
        <v>0</v>
      </c>
      <c r="L377" s="95" t="s">
        <v>177</v>
      </c>
      <c r="M377" s="94">
        <f ca="1">IF(B377=TODAY(),0,-$M$6*(Sheet1!CI375-Sheet1!CI374)*7.48/1000000)</f>
        <v>0</v>
      </c>
      <c r="N377" s="94">
        <f ca="1">IF(B377=TODAY(),0,-$N$6*(Sheet1!CJ375-Sheet1!CJ374)*7.48/1000000)</f>
        <v>0.26682508519688258</v>
      </c>
      <c r="O377" s="94">
        <f t="shared" ca="1" si="79"/>
        <v>1.0296238447696968</v>
      </c>
      <c r="P377" s="94">
        <f ca="1">O377+Calculation!ES377</f>
        <v>1.4451807114136992</v>
      </c>
      <c r="Q377" s="89" t="str">
        <f>IF(Sheet1!BQ375&gt;25.75,"spill elevation","-")</f>
        <v>-</v>
      </c>
      <c r="R377" s="89" t="str">
        <f>IF(Sheet1!BQ375&gt;25.75,"spill elevation","-")</f>
        <v>-</v>
      </c>
      <c r="S377" s="89" t="str">
        <f>IF(Sheet1!BR375&gt;25.75,"spill elevation","-")</f>
        <v>-</v>
      </c>
      <c r="T377" s="93">
        <f>IF(Sheet1!DU375=1,Sheet1!AA375-(SUM(AT377:BA377)+BE377),Sheet1!AA375-SUM(AT377:BA377))</f>
        <v>24.35408</v>
      </c>
      <c r="U377" s="93">
        <f>Sheet1!BV375</f>
        <v>28.1</v>
      </c>
      <c r="V377" s="93">
        <f t="shared" si="80"/>
        <v>-3.7459200000000017</v>
      </c>
      <c r="W377" s="93">
        <f>0</f>
        <v>0</v>
      </c>
      <c r="X377" s="89">
        <f>0</f>
        <v>0</v>
      </c>
      <c r="Y377" s="94">
        <f ca="1">Calculation!EJ378+Calculation!ES377+'Calculations II'!O377-'Calculations II'!W377</f>
        <v>45.887194363938178</v>
      </c>
      <c r="Z377" s="94">
        <f ca="1">Y377-Sheet1!CT376</f>
        <v>30.175194363938179</v>
      </c>
      <c r="AA377" s="94">
        <f ca="1">Y377+Calculation!DJ378+Calculation!AS378</f>
        <v>56.59725705986294</v>
      </c>
      <c r="AC377" s="94">
        <f>Sheet1!AA375+Sheet1!AB375+BC377</f>
        <v>57</v>
      </c>
      <c r="AD377" s="94">
        <f>Sheet1!AA375+Sheet1!BN375+'Calculations II'!BC377-Calculation!AS377-Calculation!DJ377</f>
        <v>35.779987472596311</v>
      </c>
      <c r="AE377" s="94">
        <f>Sheet1!AA375+Sheet1!AB375+'Calculations II'!BC377-Calculation!AS377-Calculation!DJ377</f>
        <v>46.379987472596305</v>
      </c>
      <c r="AF377" s="94">
        <f ca="1">Sheet1!AA375+Sheet1!BN375+P377+'Calculations II'!BC377+Calculation!AS377+Calculation!DJ377</f>
        <v>58.465193238817399</v>
      </c>
      <c r="AG377" s="94">
        <f ca="1">IF(B377=TODAY(),0,Sheet1!AA375+Sheet1!BN375+'Calculations II'!BC377+'Calculations II'!P377-Sheet1!CT375-BP377)</f>
        <v>30.982180711413704</v>
      </c>
      <c r="AH377" s="94">
        <f ca="1">IF(B377=TODAY(),0,Sheet1!AA375+Sheet1!BN375+'Calculations II'!BC377+'Calculations II'!P377-BP377)</f>
        <v>47.845180711413704</v>
      </c>
      <c r="AI377" s="94">
        <f ca="1">IF(B377=TODAY(),0,BC377+Sheet1!AA375+Calculation!ES377+O377+W377+Sheet1!BN375+Calculation!AS377+Calculation!DJ377-BP377)</f>
        <v>58.465193238817399</v>
      </c>
      <c r="AJ377" s="94"/>
      <c r="AM377" s="90">
        <f t="shared" si="81"/>
        <v>43101</v>
      </c>
      <c r="AN377" s="94">
        <f>Sheet1!BU375</f>
        <v>23.6</v>
      </c>
      <c r="AO377" s="94">
        <f>Sheet1!AA375</f>
        <v>25.1</v>
      </c>
      <c r="AP377" s="94">
        <f t="shared" si="70"/>
        <v>-0.4709000000000047</v>
      </c>
      <c r="AQ377" s="1086">
        <f>((Sheet1!BV375-(Sheet1!BU375-AP377))/(Sheet1!BU375-AP377))</f>
        <v>0.16738468441146759</v>
      </c>
      <c r="AR377" s="94">
        <f t="shared" si="71"/>
        <v>25.570900000000005</v>
      </c>
      <c r="AS377" s="94">
        <f t="shared" si="72"/>
        <v>24.070900000000005</v>
      </c>
      <c r="AT377" s="89">
        <f>Sheet1!BB375</f>
        <v>0</v>
      </c>
      <c r="AU377" s="89">
        <f>Sheet1!AS375*GPMtoMGD</f>
        <v>2.7216000000000001E-2</v>
      </c>
      <c r="AV377" s="94">
        <f>Sheet1!AT375</f>
        <v>0</v>
      </c>
      <c r="AW377" s="89">
        <f>Sheet1!AV375*GPMtoMGD</f>
        <v>0.319104</v>
      </c>
      <c r="AX377" s="89">
        <f>Sheet1!AW375*GPMtoMGD</f>
        <v>0.39960000000000001</v>
      </c>
      <c r="AY377" s="89">
        <f>Sheet1!AX375*GPMtoMGD</f>
        <v>0</v>
      </c>
      <c r="AZ377" s="89">
        <f>Sheet1!AY375*GPMtoMGD</f>
        <v>0</v>
      </c>
      <c r="BA377" s="89">
        <f>Sheet1!AZ375*GPMtoMGD</f>
        <v>0</v>
      </c>
      <c r="BB377" s="89">
        <f>Sheet1!BP375*GPMtoMGD</f>
        <v>3.2688000000000002E-2</v>
      </c>
      <c r="BC377" s="89">
        <f>Sheet1!CS375*GPMtoMGD</f>
        <v>0</v>
      </c>
      <c r="BD377" s="89">
        <f>Sheet1!BO375*GPMtoMGD</f>
        <v>1.5852960000000003</v>
      </c>
      <c r="BE377" s="89">
        <f>Sheet1!BW375*GPMtoMGD</f>
        <v>0.99028800000000017</v>
      </c>
      <c r="BF377" s="89">
        <f>Sheet1!CN375*GPMtoMGD</f>
        <v>0.33379200000000003</v>
      </c>
      <c r="BG377" s="89">
        <f>Sheet1!CO375*GPMtoMGD</f>
        <v>0.68472</v>
      </c>
      <c r="BH377" s="89">
        <f>Sheet1!CP375*GPMtoMGD</f>
        <v>0</v>
      </c>
      <c r="BI377" s="89">
        <f t="shared" si="82"/>
        <v>1.6179840000000003</v>
      </c>
      <c r="BK377" s="94">
        <f>SUM(AT377:BA377,AS377,BC377,Calculation!AQ377)</f>
        <v>46.096807472596311</v>
      </c>
      <c r="BM377" s="358">
        <f>0</f>
        <v>0</v>
      </c>
      <c r="BN377" s="358">
        <f>0</f>
        <v>0</v>
      </c>
      <c r="BP377" s="94">
        <f>SUM(BM377:BN377,W377,Sheet1!DX375)</f>
        <v>0</v>
      </c>
      <c r="BR377" s="94">
        <f>Sheet1!AA375</f>
        <v>25.1</v>
      </c>
      <c r="BS377" s="94">
        <f>Sheet1!AB375</f>
        <v>31.9</v>
      </c>
      <c r="BT377" s="94">
        <f t="shared" ca="1" si="73"/>
        <v>1.4451807114136992</v>
      </c>
      <c r="BU377" s="94">
        <f>Sheet1!AT375</f>
        <v>0</v>
      </c>
      <c r="BV377" s="89">
        <f>Sheet1!BB375</f>
        <v>0</v>
      </c>
      <c r="BW377" s="94">
        <f>Calculation!ED377</f>
        <v>10.620012527403695</v>
      </c>
      <c r="BX377" s="94">
        <f>(Sheet1!CS375*1440)/1000000</f>
        <v>0</v>
      </c>
      <c r="CA377" s="94">
        <f ca="1">Sheet1!AC375-Sheet1!BK375-Sheet1!BL375-Sheet1!BM375-Sheet1!BC375-Sheet1!BD375-Sheet1!BE375-Sheet1!BF375-Sheet1!BG375-Sheet1!BH375-Sheet1!BI375+BC377+P377</f>
        <v>47.815180711413703</v>
      </c>
      <c r="CB377" s="93">
        <f t="shared" si="74"/>
        <v>71.749840620106482</v>
      </c>
      <c r="CC377" s="94">
        <f t="shared" si="75"/>
        <v>0</v>
      </c>
      <c r="CD377" s="94">
        <f t="shared" ca="1" si="76"/>
        <v>58.435193238817398</v>
      </c>
      <c r="CE377" s="1077">
        <f t="shared" ca="1" si="77"/>
        <v>90.399243940450503</v>
      </c>
    </row>
    <row r="378" spans="1:85" s="89" customFormat="1" x14ac:dyDescent="0.25">
      <c r="A378" s="616" t="s">
        <v>5</v>
      </c>
      <c r="B378" s="91">
        <v>43102</v>
      </c>
      <c r="C378" s="92">
        <v>0</v>
      </c>
      <c r="D378" s="94">
        <f>(Sheet1!BQ376-Sheet1!BQ375)*1.385</f>
        <v>-1.4680999999999982</v>
      </c>
      <c r="E378" s="30">
        <f>(Sheet1!BR376-Sheet1!BR375)*1.385</f>
        <v>-1.3711499999999979</v>
      </c>
      <c r="F378" s="30">
        <f ca="1">IF(B378=TODAY(),0,-(VLOOKUP(Sheet1!CD376,Lookup!$I$4:$J$216,2)-VLOOKUP(Sheet1!CD375,Lookup!$I$4:$J$216,2))/1000000)</f>
        <v>-0.31091081564339806</v>
      </c>
      <c r="G378" s="94">
        <f ca="1">IF(B378=TODAY(),0,-$G$6*(Sheet1!CF376-Sheet1!CF375)*7.48/1000000)</f>
        <v>-0.67512951789350772</v>
      </c>
      <c r="H378" s="94">
        <f ca="1">IF(B378=TODAY(),0,-$H$6*(Sheet1!CE376-Sheet1!CE375)*7.48/1000000)</f>
        <v>1.5039432351265274E-2</v>
      </c>
      <c r="I378" s="94">
        <f ca="1">IF(B378=TODAY(),0,-$I$6*(Sheet1!CG376-Sheet1!CG375)*7.48/1000000)</f>
        <v>3.1447416000000006E-2</v>
      </c>
      <c r="J378" s="95" t="s">
        <v>177</v>
      </c>
      <c r="K378" s="94">
        <f ca="1">IF(B378=TODAY(),0,-$K$6*(Sheet1!CH376-Sheet1!CH375)*7.48/1000000)</f>
        <v>5.8637219295234341E-2</v>
      </c>
      <c r="L378" s="95" t="s">
        <v>177</v>
      </c>
      <c r="M378" s="94">
        <f ca="1">IF(B378=TODAY(),0,-$M$6*(Sheet1!CI376-Sheet1!CI375)*7.48/1000000)</f>
        <v>0.16192357585224348</v>
      </c>
      <c r="N378" s="94">
        <f ca="1">IF(B378=TODAY(),0,-$N$6*(Sheet1!CJ376-Sheet1!CJ375)*7.48/1000000)</f>
        <v>-0.3164669615125818</v>
      </c>
      <c r="O378" s="94">
        <f t="shared" ca="1" si="79"/>
        <v>-1.0354596515507444</v>
      </c>
      <c r="P378" s="94">
        <f ca="1">O378+Calculation!ES378</f>
        <v>1.8727911605982177</v>
      </c>
      <c r="Q378" s="89" t="str">
        <f>IF(Sheet1!BQ376&gt;25.75,"spill elevation","-")</f>
        <v>-</v>
      </c>
      <c r="R378" s="89" t="str">
        <f>IF(Sheet1!BQ376&gt;25.75,"spill elevation","-")</f>
        <v>-</v>
      </c>
      <c r="S378" s="89" t="str">
        <f>IF(Sheet1!BR376&gt;25.75,"spill elevation","-")</f>
        <v>-</v>
      </c>
      <c r="T378" s="93">
        <f>IF(Sheet1!DU376=1,Sheet1!AA376-(SUM(AT378:BA378)+BE378),Sheet1!AA376-SUM(AT378:BA378))</f>
        <v>24.142464</v>
      </c>
      <c r="U378" s="93">
        <f>Sheet1!BV376</f>
        <v>30.1</v>
      </c>
      <c r="V378" s="93">
        <f t="shared" si="80"/>
        <v>-5.9575360000000011</v>
      </c>
      <c r="W378" s="93">
        <f>0</f>
        <v>0</v>
      </c>
      <c r="X378" s="89">
        <f>0</f>
        <v>0</v>
      </c>
      <c r="Y378" s="94">
        <f ca="1">Calculation!EJ379+Calculation!ES378+'Calculations II'!O378-'Calculations II'!W378</f>
        <v>47.481163023331113</v>
      </c>
      <c r="Z378" s="94">
        <f ca="1">Y378-Sheet1!CT377</f>
        <v>31.710163023331113</v>
      </c>
      <c r="AA378" s="94">
        <f ca="1">Y378+Calculation!DJ379+Calculation!AS379</f>
        <v>58.380390225804064</v>
      </c>
      <c r="AC378" s="94">
        <f>Sheet1!AA376+Sheet1!AB376+BC378</f>
        <v>57.129999999999995</v>
      </c>
      <c r="AD378" s="94">
        <f>Sheet1!AA376+Sheet1!BN376+'Calculations II'!BC378-Calculation!AS378-Calculation!DJ378</f>
        <v>35.689937304075229</v>
      </c>
      <c r="AE378" s="94">
        <f>Sheet1!AA376+Sheet1!AB376+'Calculations II'!BC378-Calculation!AS378-Calculation!DJ378</f>
        <v>46.419937304075233</v>
      </c>
      <c r="AF378" s="94">
        <f ca="1">Sheet1!AA376+Sheet1!BN376+P378+'Calculations II'!BC378+Calculation!AS378+Calculation!DJ378</f>
        <v>58.982853856522979</v>
      </c>
      <c r="AG378" s="94">
        <f ca="1">IF(B378=TODAY(),0,Sheet1!AA376+Sheet1!BN376+'Calculations II'!BC378+'Calculations II'!P378-Sheet1!CT376-BP378)</f>
        <v>32.560791160598214</v>
      </c>
      <c r="AH378" s="94">
        <f ca="1">IF(B378=TODAY(),0,Sheet1!AA376+Sheet1!BN376+'Calculations II'!BC378+'Calculations II'!P378-BP378)</f>
        <v>48.272791160598217</v>
      </c>
      <c r="AI378" s="94">
        <f ca="1">IF(B378=TODAY(),0,BC378+Sheet1!AA376+Calculation!ES378+O378+W378+Sheet1!BN376+Calculation!AS378+Calculation!DJ378-BP378)</f>
        <v>58.982853856522979</v>
      </c>
      <c r="AJ378" s="94"/>
      <c r="AM378" s="90">
        <f t="shared" si="81"/>
        <v>43102</v>
      </c>
      <c r="AN378" s="94">
        <f>Sheet1!BU376</f>
        <v>23.2</v>
      </c>
      <c r="AO378" s="94">
        <f>Sheet1!AA376</f>
        <v>25.2</v>
      </c>
      <c r="AP378" s="94">
        <f t="shared" si="70"/>
        <v>-2.8392499999999963</v>
      </c>
      <c r="AQ378" s="1086">
        <f>((Sheet1!BV376-(Sheet1!BU376-AP378))/(Sheet1!BU376-AP378))</f>
        <v>0.15594727190683322</v>
      </c>
      <c r="AR378" s="94">
        <f t="shared" si="71"/>
        <v>28.039249999999996</v>
      </c>
      <c r="AS378" s="94">
        <f t="shared" si="72"/>
        <v>26.039249999999996</v>
      </c>
      <c r="AT378" s="89">
        <f>Sheet1!BB376</f>
        <v>0</v>
      </c>
      <c r="AU378" s="89">
        <f>Sheet1!AS376*GPMtoMGD</f>
        <v>2.1600000000000001E-2</v>
      </c>
      <c r="AV378" s="94">
        <f>Sheet1!AT376</f>
        <v>0</v>
      </c>
      <c r="AW378" s="89">
        <f>Sheet1!AV376*GPMtoMGD</f>
        <v>0.49032000000000003</v>
      </c>
      <c r="AX378" s="89">
        <f>Sheet1!AW376*GPMtoMGD</f>
        <v>0.54561599999999999</v>
      </c>
      <c r="AY378" s="89">
        <f>Sheet1!AX376*GPMtoMGD</f>
        <v>0</v>
      </c>
      <c r="AZ378" s="89">
        <f>Sheet1!AY376*GPMtoMGD</f>
        <v>0</v>
      </c>
      <c r="BA378" s="89">
        <f>Sheet1!AZ376*GPMtoMGD</f>
        <v>0</v>
      </c>
      <c r="BB378" s="89">
        <f>Sheet1!BP376*GPMtoMGD</f>
        <v>4.176E-3</v>
      </c>
      <c r="BC378" s="89">
        <f>Sheet1!CS376*GPMtoMGD</f>
        <v>0</v>
      </c>
      <c r="BD378" s="89">
        <f>Sheet1!BO376*GPMtoMGD</f>
        <v>1.307952</v>
      </c>
      <c r="BE378" s="89">
        <f>Sheet1!BW376*GPMtoMGD</f>
        <v>1.0697760000000001</v>
      </c>
      <c r="BF378" s="89">
        <f>Sheet1!CN376*GPMtoMGD</f>
        <v>0.17956800000000001</v>
      </c>
      <c r="BG378" s="89">
        <f>Sheet1!CO376*GPMtoMGD</f>
        <v>0.64440000000000008</v>
      </c>
      <c r="BH378" s="89">
        <f>Sheet1!CP376*GPMtoMGD</f>
        <v>0</v>
      </c>
      <c r="BI378" s="89">
        <f t="shared" si="82"/>
        <v>1.312128</v>
      </c>
      <c r="BK378" s="94">
        <f>SUM(AT378:BA378,AS378,BC378,Calculation!AQ378)</f>
        <v>48.316723304075225</v>
      </c>
      <c r="BM378" s="358">
        <f>0</f>
        <v>0</v>
      </c>
      <c r="BN378" s="358">
        <f>0</f>
        <v>0</v>
      </c>
      <c r="BP378" s="94">
        <f>SUM(BM378:BN378,W378,Sheet1!DX376)</f>
        <v>0</v>
      </c>
      <c r="CB378" s="93">
        <f t="shared" si="74"/>
        <v>0</v>
      </c>
      <c r="CC378" s="94">
        <f t="shared" si="75"/>
        <v>0</v>
      </c>
      <c r="CD378" s="94">
        <f t="shared" si="76"/>
        <v>0</v>
      </c>
      <c r="CE378" s="1077">
        <f t="shared" si="77"/>
        <v>0</v>
      </c>
    </row>
    <row r="379" spans="1:85" s="89" customFormat="1" x14ac:dyDescent="0.25">
      <c r="A379" s="616" t="s">
        <v>6</v>
      </c>
      <c r="B379" s="91">
        <v>43103</v>
      </c>
      <c r="C379" s="92">
        <v>0</v>
      </c>
      <c r="D379" s="94">
        <f>(Sheet1!BQ377-Sheet1!BQ376)*1.385</f>
        <v>-0.74789999999999879</v>
      </c>
      <c r="E379" s="30">
        <f>(Sheet1!BR377-Sheet1!BR376)*1.385</f>
        <v>-0.63710000000000122</v>
      </c>
      <c r="F379" s="30">
        <f ca="1">IF(B379=TODAY(),0,-(VLOOKUP(Sheet1!CD377,Lookup!$I$4:$J$216,2)-VLOOKUP(Sheet1!CD376,Lookup!$I$4:$J$216,2))/1000000)</f>
        <v>-0.20727387709560618</v>
      </c>
      <c r="G379" s="94">
        <f ca="1">IF(B379=TODAY(),0,-$G$6*(Sheet1!CF377-Sheet1!CF376)*7.48/1000000)</f>
        <v>0.19459615515754064</v>
      </c>
      <c r="H379" s="94">
        <f ca="1">IF(B379=TODAY(),0,-$H$6*(Sheet1!CE377-Sheet1!CE376)*7.48/1000000)</f>
        <v>-1.5039432351265274E-2</v>
      </c>
      <c r="I379" s="94">
        <f ca="1">IF(B379=TODAY(),0,-$I$6*(Sheet1!CG377-Sheet1!CG376)*7.48/1000000)</f>
        <v>2.6954927999999989E-2</v>
      </c>
      <c r="J379" s="95" t="s">
        <v>177</v>
      </c>
      <c r="K379" s="94">
        <f ca="1">IF(B379=TODAY(),0,-$K$6*(Sheet1!CH377-Sheet1!CH376)*7.48/1000000)</f>
        <v>4.1312586321642294E-2</v>
      </c>
      <c r="L379" s="95" t="s">
        <v>177</v>
      </c>
      <c r="M379" s="94">
        <f ca="1">IF(B379=TODAY(),0,-$M$6*(Sheet1!CI377-Sheet1!CI376)*7.48/1000000)</f>
        <v>0.10794905056816222</v>
      </c>
      <c r="N379" s="94">
        <f ca="1">IF(B379=TODAY(),0,-$N$6*(Sheet1!CJ377-Sheet1!CJ376)*7.48/1000000)</f>
        <v>-6.2052345394624786E-2</v>
      </c>
      <c r="O379" s="94">
        <f t="shared" ca="1" si="79"/>
        <v>8.6447065205848897E-2</v>
      </c>
      <c r="P379" s="94">
        <f ca="1">O379+Calculation!ES379</f>
        <v>1.4708462913254343</v>
      </c>
      <c r="Q379" s="89" t="str">
        <f>IF(Sheet1!BQ377&gt;25.75,"spill elevation","-")</f>
        <v>-</v>
      </c>
      <c r="R379" s="89" t="str">
        <f>IF(Sheet1!BQ377&gt;25.75,"spill elevation","-")</f>
        <v>-</v>
      </c>
      <c r="S379" s="89" t="str">
        <f>IF(Sheet1!BR377&gt;25.75,"spill elevation","-")</f>
        <v>-</v>
      </c>
      <c r="T379" s="93">
        <f>IF(Sheet1!DU377=1,Sheet1!AA377-(SUM(AT379:BA379)+BE379),Sheet1!AA377-SUM(AT379:BA379))</f>
        <v>24.478847999999999</v>
      </c>
      <c r="U379" s="93">
        <f>Sheet1!BV377</f>
        <v>28.8</v>
      </c>
      <c r="V379" s="93">
        <f t="shared" si="80"/>
        <v>-4.3211520000000014</v>
      </c>
      <c r="W379" s="93">
        <f>0</f>
        <v>0</v>
      </c>
      <c r="X379" s="89">
        <f>0</f>
        <v>0</v>
      </c>
      <c r="Y379" s="94">
        <f ca="1">Calculation!EJ380+Calculation!ES379+'Calculations II'!O379-'Calculations II'!W379</f>
        <v>50.153680337969519</v>
      </c>
      <c r="Z379" s="94">
        <f ca="1">Y379-Sheet1!CT378</f>
        <v>33.38768033796952</v>
      </c>
      <c r="AA379" s="94">
        <f ca="1">Y379+Calculation!DJ380+Calculation!AS380</f>
        <v>60.635150926204815</v>
      </c>
      <c r="AC379" s="94">
        <f>Sheet1!AA377+Sheet1!AB377+BC379</f>
        <v>57.400000000000006</v>
      </c>
      <c r="AD379" s="94">
        <f>Sheet1!AA377+Sheet1!BN377+'Calculations II'!BC379-Calculation!AS379-Calculation!DJ379</f>
        <v>35.700772797527037</v>
      </c>
      <c r="AE379" s="94">
        <f>Sheet1!AA377+Sheet1!AB377+'Calculations II'!BC379-Calculation!AS379-Calculation!DJ379</f>
        <v>46.500772797527048</v>
      </c>
      <c r="AF379" s="94">
        <f ca="1">Sheet1!AA377+Sheet1!BN377+P379+'Calculations II'!BC379+Calculation!AS379+Calculation!DJ379</f>
        <v>58.970073493798381</v>
      </c>
      <c r="AG379" s="94">
        <f ca="1">IF(B379=TODAY(),0,Sheet1!AA377+Sheet1!BN377+'Calculations II'!BC379+'Calculations II'!P379-Sheet1!CT377-BP379)</f>
        <v>32.29984629132543</v>
      </c>
      <c r="AH379" s="94">
        <f ca="1">IF(B379=TODAY(),0,Sheet1!AA377+Sheet1!BN377+'Calculations II'!BC379+'Calculations II'!P379-BP379)</f>
        <v>48.070846291325431</v>
      </c>
      <c r="AI379" s="94">
        <f ca="1">IF(B379=TODAY(),0,BC379+Sheet1!AA377+Calculation!ES379+O379+W379+Sheet1!BN377+Calculation!AS379+Calculation!DJ379-BP379)</f>
        <v>58.970073493798395</v>
      </c>
      <c r="AJ379" s="94"/>
      <c r="AM379" s="90">
        <f t="shared" si="81"/>
        <v>43103</v>
      </c>
      <c r="AN379" s="94">
        <f>Sheet1!BU377</f>
        <v>23.5</v>
      </c>
      <c r="AO379" s="94">
        <f>Sheet1!AA377</f>
        <v>25.2</v>
      </c>
      <c r="AP379" s="94">
        <f t="shared" si="70"/>
        <v>-1.385</v>
      </c>
      <c r="AQ379" s="1086">
        <f>((Sheet1!BV377-(Sheet1!BU377-AP379))/(Sheet1!BU377-AP379))</f>
        <v>0.15732368896925855</v>
      </c>
      <c r="AR379" s="94">
        <f t="shared" si="71"/>
        <v>26.585000000000001</v>
      </c>
      <c r="AS379" s="94">
        <f t="shared" si="72"/>
        <v>24.885000000000002</v>
      </c>
      <c r="AT379" s="89">
        <f>Sheet1!BB377</f>
        <v>0</v>
      </c>
      <c r="AU379" s="89">
        <f>Sheet1!AS377*GPMtoMGD</f>
        <v>3.168E-2</v>
      </c>
      <c r="AV379" s="94">
        <f>Sheet1!AT377</f>
        <v>0</v>
      </c>
      <c r="AW379" s="89">
        <f>Sheet1!AV377*GPMtoMGD</f>
        <v>0.34142400000000001</v>
      </c>
      <c r="AX379" s="89">
        <f>Sheet1!AW377*GPMtoMGD</f>
        <v>0.34804800000000002</v>
      </c>
      <c r="AY379" s="89">
        <f>Sheet1!AX377*GPMtoMGD</f>
        <v>0</v>
      </c>
      <c r="AZ379" s="89">
        <f>Sheet1!AY377*GPMtoMGD</f>
        <v>0</v>
      </c>
      <c r="BA379" s="89">
        <f>Sheet1!AZ377*GPMtoMGD</f>
        <v>0</v>
      </c>
      <c r="BB379" s="89">
        <f>Sheet1!BP377*GPMtoMGD</f>
        <v>3.8880000000000004E-3</v>
      </c>
      <c r="BC379" s="89">
        <f>Sheet1!CS377*GPMtoMGD</f>
        <v>0</v>
      </c>
      <c r="BD379" s="89">
        <f>Sheet1!BO377*GPMtoMGD</f>
        <v>1.309104</v>
      </c>
      <c r="BE379" s="89">
        <f>Sheet1!BW377*GPMtoMGD</f>
        <v>1.0620000000000001</v>
      </c>
      <c r="BF379" s="89">
        <f>Sheet1!CN377*GPMtoMGD</f>
        <v>0.20793600000000001</v>
      </c>
      <c r="BG379" s="89">
        <f>Sheet1!CO377*GPMtoMGD</f>
        <v>0.64368000000000003</v>
      </c>
      <c r="BH379" s="89">
        <f>Sheet1!CP377*GPMtoMGD</f>
        <v>0</v>
      </c>
      <c r="BI379" s="89">
        <f t="shared" si="82"/>
        <v>1.3129919999999999</v>
      </c>
      <c r="BK379" s="94">
        <f>SUM(AT379:BA379,AS379,BC379,Calculation!AQ379)</f>
        <v>46.906924797527054</v>
      </c>
      <c r="BM379" s="358">
        <f>0</f>
        <v>0</v>
      </c>
      <c r="BN379" s="358">
        <f>0</f>
        <v>0</v>
      </c>
      <c r="BP379" s="94">
        <f>SUM(BM379:BN379,W379,Sheet1!DX377)</f>
        <v>0</v>
      </c>
      <c r="CC379" s="94"/>
    </row>
    <row r="380" spans="1:85" s="89" customFormat="1" x14ac:dyDescent="0.25">
      <c r="A380" s="616" t="s">
        <v>7</v>
      </c>
      <c r="B380" s="91">
        <v>43104</v>
      </c>
      <c r="C380" s="92">
        <v>0</v>
      </c>
      <c r="D380" s="94">
        <f>(Sheet1!BQ378-Sheet1!BQ377)*1.385</f>
        <v>0.60939999999999683</v>
      </c>
      <c r="E380" s="30">
        <f>(Sheet1!BR378-Sheet1!BR377)*1.385</f>
        <v>0.45705000000000257</v>
      </c>
      <c r="F380" s="30">
        <f ca="1">IF(B380=TODAY(),0,-(VLOOKUP(Sheet1!CD378,Lookup!$I$4:$J$216,2)-VLOOKUP(Sheet1!CD377,Lookup!$I$4:$J$216,2))/1000000)</f>
        <v>0.41454775419120493</v>
      </c>
      <c r="G380" s="94">
        <f ca="1">IF(B380=TODAY(),0,-$G$6*(Sheet1!CF378-Sheet1!CF377)*7.48/1000000)</f>
        <v>0.40110636063084887</v>
      </c>
      <c r="H380" s="94">
        <f ca="1">IF(B380=TODAY(),0,-$H$6*(Sheet1!CE378-Sheet1!CE377)*7.48/1000000)</f>
        <v>0</v>
      </c>
      <c r="I380" s="94">
        <f ca="1">IF(B380=TODAY(),0,-$I$6*(Sheet1!CG378-Sheet1!CG377)*7.48/1000000)</f>
        <v>-2.6954927999999989E-2</v>
      </c>
      <c r="J380" s="95" t="s">
        <v>177</v>
      </c>
      <c r="K380" s="94">
        <f ca="1">IF(B380=TODAY(),0,-$K$6*(Sheet1!CH378-Sheet1!CH377)*7.48/1000000)</f>
        <v>-3.3316601872292212E-2</v>
      </c>
      <c r="L380" s="95" t="s">
        <v>177</v>
      </c>
      <c r="M380" s="94">
        <f ca="1">IF(B380=TODAY(),0,-$M$6*(Sheet1!CI378-Sheet1!CI377)*7.48/1000000)</f>
        <v>-0.17991508428027048</v>
      </c>
      <c r="N380" s="94">
        <f ca="1">IF(B380=TODAY(),0,-$N$6*(Sheet1!CJ378-Sheet1!CJ377)*7.48/1000000)</f>
        <v>0.34749313420989419</v>
      </c>
      <c r="O380" s="94">
        <f t="shared" ca="1" si="79"/>
        <v>0.92296063487938529</v>
      </c>
      <c r="P380" s="94">
        <f ca="1">O380+Calculation!ES380</f>
        <v>-4.6054750153208923E-2</v>
      </c>
      <c r="Q380" s="89" t="str">
        <f>IF(Sheet1!BQ378&gt;25.75,"spill elevation","-")</f>
        <v>-</v>
      </c>
      <c r="R380" s="89" t="str">
        <f>IF(Sheet1!BQ378&gt;25.75,"spill elevation","-")</f>
        <v>-</v>
      </c>
      <c r="S380" s="89" t="str">
        <f>IF(Sheet1!BR378&gt;25.75,"spill elevation","-")</f>
        <v>-</v>
      </c>
      <c r="T380" s="93">
        <f>IF(Sheet1!DU378=1,Sheet1!AA378-(SUM(AT380:BA380)+BE380),Sheet1!AA378-SUM(AT380:BA380))</f>
        <v>24.598655999999998</v>
      </c>
      <c r="U380" s="93">
        <f>Sheet1!BV378</f>
        <v>26.1</v>
      </c>
      <c r="V380" s="93">
        <f t="shared" si="80"/>
        <v>-1.5013440000000031</v>
      </c>
      <c r="W380" s="93">
        <f>0</f>
        <v>0</v>
      </c>
      <c r="X380" s="89">
        <f>0</f>
        <v>0</v>
      </c>
      <c r="Y380" s="94">
        <f ca="1">Calculation!EJ381+Calculation!ES380+'Calculations II'!O380-'Calculations II'!W380</f>
        <v>37.377281797804081</v>
      </c>
      <c r="Z380" s="94">
        <f ca="1">Y380-Sheet1!CT379</f>
        <v>37.377281797804081</v>
      </c>
      <c r="AA380" s="94">
        <f ca="1">Y380+Calculation!DJ381+Calculation!AS381</f>
        <v>37.377281797804081</v>
      </c>
      <c r="AC380" s="94">
        <f>Sheet1!AA378+Sheet1!AB378+BC380</f>
        <v>59.14</v>
      </c>
      <c r="AD380" s="94">
        <f>Sheet1!AA378+Sheet1!BN378+'Calculations II'!BC380-Calculation!AS380-Calculation!DJ380</f>
        <v>38.218529411764706</v>
      </c>
      <c r="AE380" s="94">
        <f>Sheet1!AA378+Sheet1!AB378+'Calculations II'!BC380-Calculation!AS380-Calculation!DJ380</f>
        <v>48.658529411764704</v>
      </c>
      <c r="AF380" s="94">
        <f ca="1">Sheet1!AA378+Sheet1!BN378+P380+'Calculations II'!BC380+Calculation!AS380+Calculation!DJ380</f>
        <v>59.135415838082082</v>
      </c>
      <c r="AG380" s="94">
        <f ca="1">IF(B380=TODAY(),0,Sheet1!AA378+Sheet1!BN378+'Calculations II'!BC380+'Calculations II'!P380-Sheet1!CT378-BP380)</f>
        <v>31.887945249846794</v>
      </c>
      <c r="AH380" s="94">
        <f ca="1">IF(B380=TODAY(),0,Sheet1!AA378+Sheet1!BN378+'Calculations II'!BC380+'Calculations II'!P380-BP380)</f>
        <v>48.653945249846792</v>
      </c>
      <c r="AI380" s="94">
        <f ca="1">IF(B380=TODAY(),0,BC380+Sheet1!AA378+Calculation!ES380+O380+W380+Sheet1!BN378+Calculation!AS380+Calculation!DJ380-BP380)</f>
        <v>59.135415838082082</v>
      </c>
      <c r="AJ380" s="94"/>
      <c r="AM380" s="90">
        <f t="shared" si="81"/>
        <v>43104</v>
      </c>
      <c r="AN380" s="94">
        <f>Sheet1!BU378</f>
        <v>23.7</v>
      </c>
      <c r="AO380" s="94">
        <f>Sheet1!AA378</f>
        <v>25.2</v>
      </c>
      <c r="AP380" s="94">
        <f t="shared" si="70"/>
        <v>1.0664499999999995</v>
      </c>
      <c r="AQ380" s="1086">
        <f>((Sheet1!BV378-(Sheet1!BU378-AP380))/(Sheet1!BU378-AP380))</f>
        <v>0.15315538216497199</v>
      </c>
      <c r="AR380" s="94">
        <f t="shared" si="71"/>
        <v>24.13355</v>
      </c>
      <c r="AS380" s="94">
        <f t="shared" si="72"/>
        <v>22.63355</v>
      </c>
      <c r="AT380" s="89">
        <f>Sheet1!BB378</f>
        <v>0</v>
      </c>
      <c r="AU380" s="89">
        <f>Sheet1!AS378*GPMtoMGD</f>
        <v>1.5552000000000002E-2</v>
      </c>
      <c r="AV380" s="94">
        <f>Sheet1!AT378</f>
        <v>0</v>
      </c>
      <c r="AW380" s="89">
        <f>Sheet1!AV378*GPMtoMGD</f>
        <v>0.24220800000000001</v>
      </c>
      <c r="AX380" s="89">
        <f>Sheet1!AW378*GPMtoMGD</f>
        <v>0.343584</v>
      </c>
      <c r="AY380" s="89">
        <f>Sheet1!AX378*GPMtoMGD</f>
        <v>0</v>
      </c>
      <c r="AZ380" s="89">
        <f>Sheet1!AY378*GPMtoMGD</f>
        <v>0</v>
      </c>
      <c r="BA380" s="89">
        <f>Sheet1!AZ378*GPMtoMGD</f>
        <v>0</v>
      </c>
      <c r="BB380" s="89">
        <f>Sheet1!BP378*GPMtoMGD</f>
        <v>3.6000000000000003E-3</v>
      </c>
      <c r="BC380" s="89">
        <f>Sheet1!CS378*GPMtoMGD</f>
        <v>0</v>
      </c>
      <c r="BD380" s="89">
        <f>Sheet1!BO378*GPMtoMGD</f>
        <v>1.6175520000000001</v>
      </c>
      <c r="BE380" s="89">
        <f>Sheet1!BW378*GPMtoMGD</f>
        <v>1.0634400000000002</v>
      </c>
      <c r="BF380" s="89">
        <f>Sheet1!CN378*GPMtoMGD</f>
        <v>0.18806400000000001</v>
      </c>
      <c r="BG380" s="89">
        <f>Sheet1!CO378*GPMtoMGD</f>
        <v>0.64540799999999998</v>
      </c>
      <c r="BH380" s="89">
        <f>Sheet1!CP378*GPMtoMGD</f>
        <v>0</v>
      </c>
      <c r="BI380" s="89">
        <f t="shared" si="82"/>
        <v>1.6211520000000001</v>
      </c>
      <c r="BK380" s="94">
        <f>SUM(AT380:BA380,AS380,BC380,Calculation!AQ380)</f>
        <v>46.693423411764705</v>
      </c>
      <c r="BM380" s="358">
        <f>0</f>
        <v>0</v>
      </c>
      <c r="BN380" s="358">
        <f>0</f>
        <v>0</v>
      </c>
      <c r="BP380" s="94">
        <f>SUM(BM380:BN380,W380,Sheet1!DX378)</f>
        <v>0</v>
      </c>
      <c r="CC380" s="94"/>
    </row>
    <row r="381" spans="1:85" s="89" customFormat="1" x14ac:dyDescent="0.25">
      <c r="A381" s="616" t="s">
        <v>8</v>
      </c>
      <c r="B381" s="91">
        <v>43105</v>
      </c>
      <c r="C381" s="92">
        <v>0</v>
      </c>
      <c r="D381" s="94">
        <f>(Sheet1!BQ379-Sheet1!BQ378)*1.385</f>
        <v>-26.591999999999999</v>
      </c>
      <c r="E381" s="30">
        <f>(Sheet1!BR379-Sheet1!BR378)*1.385</f>
        <v>-27.838500000000003</v>
      </c>
      <c r="F381" s="30">
        <f ca="1">IF(B381=TODAY(),0,-(VLOOKUP(Sheet1!CD379,Lookup!$I$4:$J$216,2)-VLOOKUP(Sheet1!CD378,Lookup!$I$4:$J$216,2))/1000000)</f>
        <v>15.179735316038171</v>
      </c>
      <c r="G381" s="94">
        <f ca="1">IF(B381=TODAY(),0,-$G$6*(Sheet1!CF379-Sheet1!CF378)*7.48/1000000)</f>
        <v>5.1627551368327085</v>
      </c>
      <c r="H381" s="94">
        <f ca="1">IF(B381=TODAY(),0,-$H$6*(Sheet1!CE379-Sheet1!CE378)*7.48/1000000)</f>
        <v>5.2938801876453017</v>
      </c>
      <c r="I381" s="94">
        <f ca="1">IF(B381=TODAY(),0,-$I$6*(Sheet1!CG379-Sheet1!CG378)*7.48/1000000)</f>
        <v>0.26056430399999997</v>
      </c>
      <c r="J381" s="95" t="s">
        <v>177</v>
      </c>
      <c r="K381" s="94">
        <f ca="1">IF(B381=TODAY(),0,-$K$6*(Sheet1!CH379-Sheet1!CH378)*7.48/1000000)</f>
        <v>0.73296524119042861</v>
      </c>
      <c r="L381" s="95" t="s">
        <v>177</v>
      </c>
      <c r="M381" s="94">
        <f ca="1">IF(B381=TODAY(),0,-$M$6*(Sheet1!CI379-Sheet1!CI378)*7.48/1000000)</f>
        <v>2.7886838063441926</v>
      </c>
      <c r="N381" s="94">
        <f ca="1">IF(B381=TODAY(),0,-$N$6*(Sheet1!CJ379-Sheet1!CJ378)*7.48/1000000)</f>
        <v>8.0047525559064834</v>
      </c>
      <c r="O381" s="94">
        <f t="shared" ca="1" si="79"/>
        <v>37.423336547957284</v>
      </c>
      <c r="P381" s="94">
        <f ca="1">O381+Calculation!ES381</f>
        <v>87.733589788432937</v>
      </c>
      <c r="Q381" s="89" t="str">
        <f>IF(Sheet1!BQ379&gt;25.75,"spill elevation","-")</f>
        <v>-</v>
      </c>
      <c r="R381" s="89" t="str">
        <f>IF(Sheet1!BQ379&gt;25.75,"spill elevation","-")</f>
        <v>-</v>
      </c>
      <c r="S381" s="89" t="str">
        <f>IF(Sheet1!BR379&gt;25.75,"spill elevation","-")</f>
        <v>-</v>
      </c>
      <c r="T381" s="93">
        <f>IF(Sheet1!DU379=1,Sheet1!AA379-(SUM(AT381:BA381)+BE381),Sheet1!AA379-SUM(AT381:BA381))</f>
        <v>0</v>
      </c>
      <c r="U381" s="93">
        <f>Sheet1!BV379</f>
        <v>0</v>
      </c>
      <c r="V381" s="93">
        <f t="shared" si="80"/>
        <v>0</v>
      </c>
      <c r="W381" s="93">
        <f>0</f>
        <v>0</v>
      </c>
      <c r="X381" s="89">
        <f>0</f>
        <v>0</v>
      </c>
      <c r="Y381" s="94" t="e">
        <f ca="1">Calculation!#REF!+Calculation!ES381+'Calculations II'!O381-'Calculations II'!W381</f>
        <v>#REF!</v>
      </c>
      <c r="Z381" s="94" t="e">
        <f ca="1">Y381-Sheet1!#REF!</f>
        <v>#REF!</v>
      </c>
      <c r="AA381" s="94" t="e">
        <f ca="1">Y381+Calculation!#REF!+Calculation!#REF!</f>
        <v>#REF!</v>
      </c>
      <c r="AC381" s="94">
        <f>Sheet1!AA379+Sheet1!AB379+BC381</f>
        <v>0</v>
      </c>
      <c r="AD381" s="94">
        <f>Sheet1!AA379+Sheet1!BN379+'Calculations II'!BC381-Calculation!AS381-Calculation!DJ381</f>
        <v>0</v>
      </c>
      <c r="AE381" s="94">
        <f>Sheet1!AA379+Sheet1!AB379+'Calculations II'!BC381-Calculation!AS381-Calculation!DJ381</f>
        <v>0</v>
      </c>
      <c r="AF381" s="94">
        <f ca="1">Sheet1!AA379+Sheet1!BN379+P381+'Calculations II'!BC381+Calculation!AS381+Calculation!DJ381</f>
        <v>87.733589788432937</v>
      </c>
      <c r="AG381" s="94">
        <f ca="1">IF(B381=TODAY(),0,Sheet1!AA379+Sheet1!BN379+'Calculations II'!BC381+'Calculations II'!P381-Sheet1!CT379-BP381)</f>
        <v>87.733589788432937</v>
      </c>
      <c r="AH381" s="94">
        <f ca="1">IF(B381=TODAY(),0,Sheet1!AA379+Sheet1!BN379+'Calculations II'!BC381+'Calculations II'!P381-BP381)</f>
        <v>87.733589788432937</v>
      </c>
      <c r="AI381" s="94">
        <f ca="1">IF(B381=TODAY(),0,BC381+Sheet1!AA379+Calculation!ES381+O381+W381+Sheet1!BN379+Calculation!AS381+Calculation!DJ381-BP381)</f>
        <v>87.733589788432937</v>
      </c>
      <c r="AJ381" s="94"/>
      <c r="AM381" s="90">
        <f t="shared" si="81"/>
        <v>43105</v>
      </c>
      <c r="AN381" s="94">
        <f>Sheet1!BU379</f>
        <v>0</v>
      </c>
      <c r="AO381" s="94">
        <f>Sheet1!AA379</f>
        <v>0</v>
      </c>
      <c r="AP381" s="94">
        <f t="shared" si="70"/>
        <v>-54.430500000000002</v>
      </c>
      <c r="AQ381" s="1086">
        <f>((Sheet1!BV379-(Sheet1!BU379-AP381))/(Sheet1!BU379-AP381))</f>
        <v>-1</v>
      </c>
      <c r="AR381" s="94">
        <f t="shared" si="71"/>
        <v>54.430500000000002</v>
      </c>
      <c r="AS381" s="94">
        <f t="shared" si="72"/>
        <v>54.430500000000002</v>
      </c>
      <c r="AT381" s="89">
        <f>Sheet1!BB379</f>
        <v>0</v>
      </c>
      <c r="AU381" s="89">
        <f>Sheet1!AS379*GPMtoMGD</f>
        <v>0</v>
      </c>
      <c r="AV381" s="94">
        <f>Sheet1!AT379</f>
        <v>0</v>
      </c>
      <c r="AW381" s="89">
        <f>Sheet1!AV379*GPMtoMGD</f>
        <v>0</v>
      </c>
      <c r="AX381" s="89">
        <f>Sheet1!AW379*GPMtoMGD</f>
        <v>0</v>
      </c>
      <c r="AY381" s="89">
        <f>Sheet1!AX379*GPMtoMGD</f>
        <v>0</v>
      </c>
      <c r="AZ381" s="89">
        <f>Sheet1!AY379*GPMtoMGD</f>
        <v>0</v>
      </c>
      <c r="BA381" s="89">
        <f>Sheet1!AZ379*GPMtoMGD</f>
        <v>0</v>
      </c>
      <c r="BB381" s="89">
        <f>Sheet1!BP379*GPMtoMGD</f>
        <v>0</v>
      </c>
      <c r="BC381" s="89">
        <f>Sheet1!CS379*GPMtoMGD</f>
        <v>0</v>
      </c>
      <c r="BD381" s="89">
        <f>Sheet1!BO379*GPMtoMGD</f>
        <v>0</v>
      </c>
      <c r="BE381" s="89">
        <f>Sheet1!BW379*GPMtoMGD</f>
        <v>0</v>
      </c>
      <c r="BF381" s="89">
        <f>Sheet1!CN379*GPMtoMGD</f>
        <v>0</v>
      </c>
      <c r="BG381" s="89">
        <f>Sheet1!CO379*GPMtoMGD</f>
        <v>0</v>
      </c>
      <c r="BH381" s="89">
        <f>Sheet1!CP379*GPMtoMGD</f>
        <v>0</v>
      </c>
      <c r="BI381" s="89">
        <f t="shared" si="82"/>
        <v>0</v>
      </c>
      <c r="BK381" s="94">
        <f>SUM(AT381:BA381,AS381,BC381,Calculation!AQ381)</f>
        <v>54.430500000000002</v>
      </c>
      <c r="BM381" s="358">
        <f>0</f>
        <v>0</v>
      </c>
      <c r="BN381" s="358">
        <f>0</f>
        <v>0</v>
      </c>
      <c r="BP381" s="94">
        <f>SUM(BM381:BN381,W381,Sheet1!DX379)</f>
        <v>0</v>
      </c>
      <c r="CC381" s="94"/>
    </row>
    <row r="382" spans="1:85" s="89" customFormat="1" x14ac:dyDescent="0.25">
      <c r="AQ382" s="1085"/>
      <c r="BP382" s="94"/>
      <c r="CC382" s="94"/>
    </row>
    <row r="383" spans="1:85" s="89" customFormat="1" x14ac:dyDescent="0.25">
      <c r="AQ383" s="1085"/>
      <c r="BP383" s="94"/>
      <c r="CC383" s="94"/>
    </row>
    <row r="384" spans="1:85" s="89" customFormat="1" x14ac:dyDescent="0.25">
      <c r="AQ384" s="1085"/>
      <c r="BP384" s="94"/>
      <c r="CC384" s="94"/>
    </row>
    <row r="385" spans="43:81" s="89" customFormat="1" x14ac:dyDescent="0.25">
      <c r="AQ385" s="1085"/>
      <c r="BP385" s="94"/>
      <c r="CC385" s="94"/>
    </row>
    <row r="386" spans="43:81" s="89" customFormat="1" x14ac:dyDescent="0.25">
      <c r="AQ386" s="1085"/>
      <c r="BP386" s="94"/>
      <c r="CC386" s="94"/>
    </row>
    <row r="387" spans="43:81" s="89" customFormat="1" x14ac:dyDescent="0.25">
      <c r="AQ387" s="1085"/>
      <c r="BP387" s="94"/>
      <c r="CC387" s="94"/>
    </row>
    <row r="388" spans="43:81" s="89" customFormat="1" x14ac:dyDescent="0.25">
      <c r="AQ388" s="1085"/>
      <c r="BP388" s="94"/>
      <c r="CC388" s="94"/>
    </row>
    <row r="389" spans="43:81" s="89" customFormat="1" x14ac:dyDescent="0.25">
      <c r="AQ389" s="1085"/>
      <c r="BP389" s="94"/>
      <c r="CC389" s="94"/>
    </row>
    <row r="390" spans="43:81" s="89" customFormat="1" x14ac:dyDescent="0.25">
      <c r="AQ390" s="1085"/>
      <c r="BP390" s="94"/>
      <c r="CC390" s="94"/>
    </row>
    <row r="391" spans="43:81" s="89" customFormat="1" x14ac:dyDescent="0.25">
      <c r="AQ391" s="1085"/>
      <c r="BP391" s="94"/>
      <c r="CC391" s="94"/>
    </row>
    <row r="392" spans="43:81" s="89" customFormat="1" x14ac:dyDescent="0.25">
      <c r="AQ392" s="1085"/>
      <c r="BP392" s="94"/>
      <c r="CC392" s="94"/>
    </row>
    <row r="393" spans="43:81" s="89" customFormat="1" x14ac:dyDescent="0.25">
      <c r="AQ393" s="1085"/>
      <c r="BP393" s="94"/>
      <c r="CC393" s="94"/>
    </row>
    <row r="394" spans="43:81" s="89" customFormat="1" x14ac:dyDescent="0.25">
      <c r="AQ394" s="1085"/>
      <c r="BP394" s="94"/>
      <c r="CC394" s="94"/>
    </row>
    <row r="395" spans="43:81" s="89" customFormat="1" x14ac:dyDescent="0.25">
      <c r="AQ395" s="1085"/>
      <c r="BP395" s="94"/>
      <c r="CC395" s="94"/>
    </row>
    <row r="396" spans="43:81" s="89" customFormat="1" x14ac:dyDescent="0.25">
      <c r="AQ396" s="1085"/>
      <c r="BP396" s="94"/>
      <c r="CC396" s="94"/>
    </row>
    <row r="397" spans="43:81" s="89" customFormat="1" x14ac:dyDescent="0.25">
      <c r="AQ397" s="1085"/>
      <c r="BP397" s="94"/>
      <c r="CC397" s="94"/>
    </row>
    <row r="398" spans="43:81" s="89" customFormat="1" x14ac:dyDescent="0.25">
      <c r="AQ398" s="1085"/>
      <c r="BP398" s="94"/>
      <c r="CC398" s="94"/>
    </row>
    <row r="399" spans="43:81" s="89" customFormat="1" x14ac:dyDescent="0.25">
      <c r="AQ399" s="1085"/>
      <c r="BP399" s="94"/>
      <c r="CC399" s="94"/>
    </row>
    <row r="400" spans="43:81" s="89" customFormat="1" x14ac:dyDescent="0.25">
      <c r="AQ400" s="1085"/>
      <c r="BP400" s="94"/>
      <c r="CC400" s="94"/>
    </row>
    <row r="401" spans="43:81" s="89" customFormat="1" x14ac:dyDescent="0.25">
      <c r="AQ401" s="1085"/>
      <c r="BP401" s="94"/>
      <c r="CC401" s="94"/>
    </row>
    <row r="402" spans="43:81" s="89" customFormat="1" x14ac:dyDescent="0.25">
      <c r="AQ402" s="1085"/>
      <c r="BP402" s="94"/>
      <c r="CC402" s="94"/>
    </row>
    <row r="403" spans="43:81" s="89" customFormat="1" x14ac:dyDescent="0.25">
      <c r="AQ403" s="1085"/>
      <c r="BP403" s="94"/>
      <c r="CC403" s="94"/>
    </row>
    <row r="404" spans="43:81" s="89" customFormat="1" x14ac:dyDescent="0.25">
      <c r="AQ404" s="1085"/>
      <c r="BP404" s="94"/>
      <c r="CC404" s="94"/>
    </row>
    <row r="405" spans="43:81" s="89" customFormat="1" x14ac:dyDescent="0.25">
      <c r="AQ405" s="1085"/>
      <c r="BP405" s="94"/>
      <c r="CC405" s="94"/>
    </row>
    <row r="406" spans="43:81" s="89" customFormat="1" x14ac:dyDescent="0.25">
      <c r="AQ406" s="1085"/>
      <c r="BP406" s="94"/>
      <c r="CC406" s="94"/>
    </row>
    <row r="407" spans="43:81" s="89" customFormat="1" x14ac:dyDescent="0.25">
      <c r="AQ407" s="1085"/>
      <c r="BP407" s="94"/>
      <c r="CC407" s="94"/>
    </row>
    <row r="408" spans="43:81" s="89" customFormat="1" x14ac:dyDescent="0.25">
      <c r="AQ408" s="1085"/>
      <c r="BP408" s="94"/>
      <c r="CC408" s="94"/>
    </row>
    <row r="409" spans="43:81" s="89" customFormat="1" x14ac:dyDescent="0.25">
      <c r="AQ409" s="1085"/>
      <c r="BP409" s="94"/>
      <c r="CC409" s="94"/>
    </row>
    <row r="410" spans="43:81" s="89" customFormat="1" x14ac:dyDescent="0.25">
      <c r="AQ410" s="1085"/>
      <c r="BP410" s="94"/>
      <c r="CC410" s="94"/>
    </row>
    <row r="411" spans="43:81" s="89" customFormat="1" x14ac:dyDescent="0.25">
      <c r="AQ411" s="1085"/>
      <c r="BP411" s="94"/>
      <c r="CC411" s="94"/>
    </row>
    <row r="412" spans="43:81" s="89" customFormat="1" x14ac:dyDescent="0.25">
      <c r="AQ412" s="1085"/>
      <c r="BP412" s="94"/>
      <c r="CC412" s="94"/>
    </row>
    <row r="413" spans="43:81" s="89" customFormat="1" x14ac:dyDescent="0.25">
      <c r="AQ413" s="1085"/>
      <c r="BP413" s="94"/>
      <c r="CC413" s="94"/>
    </row>
    <row r="414" spans="43:81" s="89" customFormat="1" x14ac:dyDescent="0.25">
      <c r="AQ414" s="1085"/>
      <c r="BP414" s="94"/>
      <c r="CC414" s="94"/>
    </row>
    <row r="415" spans="43:81" s="89" customFormat="1" x14ac:dyDescent="0.25">
      <c r="AQ415" s="1085"/>
      <c r="BP415" s="94"/>
      <c r="CC415" s="94"/>
    </row>
    <row r="416" spans="43:81" s="89" customFormat="1" x14ac:dyDescent="0.25">
      <c r="AQ416" s="1085"/>
      <c r="BP416" s="94"/>
      <c r="CC416" s="94"/>
    </row>
    <row r="417" spans="43:81" s="89" customFormat="1" x14ac:dyDescent="0.25">
      <c r="AQ417" s="1085"/>
      <c r="BP417" s="94"/>
      <c r="CC417" s="94"/>
    </row>
    <row r="418" spans="43:81" s="89" customFormat="1" x14ac:dyDescent="0.25">
      <c r="AQ418" s="1085"/>
      <c r="BP418" s="94"/>
      <c r="CC418" s="94"/>
    </row>
    <row r="419" spans="43:81" s="89" customFormat="1" x14ac:dyDescent="0.25">
      <c r="AQ419" s="1085"/>
      <c r="BP419" s="94"/>
      <c r="CC419" s="94"/>
    </row>
    <row r="420" spans="43:81" s="89" customFormat="1" x14ac:dyDescent="0.25">
      <c r="AQ420" s="1085"/>
      <c r="BP420" s="94"/>
      <c r="CC420" s="94"/>
    </row>
    <row r="421" spans="43:81" s="89" customFormat="1" x14ac:dyDescent="0.25">
      <c r="AQ421" s="1085"/>
      <c r="BP421" s="94"/>
      <c r="CC421" s="94"/>
    </row>
    <row r="422" spans="43:81" s="89" customFormat="1" x14ac:dyDescent="0.25">
      <c r="AQ422" s="1085"/>
      <c r="BP422" s="94"/>
      <c r="CC422" s="94"/>
    </row>
    <row r="423" spans="43:81" s="89" customFormat="1" x14ac:dyDescent="0.25">
      <c r="AQ423" s="1085"/>
      <c r="BP423" s="94"/>
      <c r="CC423" s="94"/>
    </row>
    <row r="424" spans="43:81" s="89" customFormat="1" x14ac:dyDescent="0.25">
      <c r="AQ424" s="1085"/>
      <c r="BP424" s="94"/>
      <c r="CC424" s="94"/>
    </row>
    <row r="425" spans="43:81" s="89" customFormat="1" x14ac:dyDescent="0.25">
      <c r="AQ425" s="1085"/>
      <c r="BP425" s="94"/>
      <c r="CC425" s="94"/>
    </row>
    <row r="426" spans="43:81" s="89" customFormat="1" x14ac:dyDescent="0.25">
      <c r="AQ426" s="1085"/>
      <c r="BP426" s="94"/>
      <c r="CC426" s="94"/>
    </row>
    <row r="427" spans="43:81" s="89" customFormat="1" x14ac:dyDescent="0.25">
      <c r="AQ427" s="1085"/>
      <c r="BP427" s="94"/>
      <c r="CC427" s="94"/>
    </row>
    <row r="428" spans="43:81" s="89" customFormat="1" x14ac:dyDescent="0.25">
      <c r="AQ428" s="1085"/>
      <c r="BP428" s="94"/>
      <c r="CC428" s="94"/>
    </row>
    <row r="429" spans="43:81" s="89" customFormat="1" x14ac:dyDescent="0.25">
      <c r="AQ429" s="1085"/>
      <c r="BP429" s="94"/>
    </row>
    <row r="430" spans="43:81" s="89" customFormat="1" x14ac:dyDescent="0.25">
      <c r="AQ430" s="1085"/>
      <c r="BP430" s="94"/>
    </row>
    <row r="431" spans="43:81" s="89" customFormat="1" x14ac:dyDescent="0.25">
      <c r="AQ431" s="1085"/>
      <c r="BP431" s="94"/>
    </row>
    <row r="432" spans="43:81" s="89" customFormat="1" x14ac:dyDescent="0.25">
      <c r="AQ432" s="1085"/>
      <c r="BP432" s="94"/>
    </row>
    <row r="433" spans="1:68" s="89" customFormat="1" x14ac:dyDescent="0.25">
      <c r="AQ433" s="1085"/>
      <c r="BP433" s="94"/>
    </row>
    <row r="434" spans="1:68" s="89" customFormat="1" x14ac:dyDescent="0.25">
      <c r="A434"/>
      <c r="AQ434" s="1085"/>
      <c r="BP434" s="94"/>
    </row>
  </sheetData>
  <mergeCells count="2">
    <mergeCell ref="B5:C5"/>
    <mergeCell ref="B6:C6"/>
  </mergeCells>
  <phoneticPr fontId="20" type="noConversion"/>
  <pageMargins left="0.75" right="0.75" top="1" bottom="1" header="0.5" footer="0.5"/>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3</vt:i4>
      </vt:variant>
      <vt:variant>
        <vt:lpstr>Named Ranges</vt:lpstr>
      </vt:variant>
      <vt:variant>
        <vt:i4>17</vt:i4>
      </vt:variant>
    </vt:vector>
  </HeadingPairs>
  <TitlesOfParts>
    <vt:vector size="35" baseType="lpstr">
      <vt:lpstr>File LOG</vt:lpstr>
      <vt:lpstr>Summary</vt:lpstr>
      <vt:lpstr>Tacoma-Report Page</vt:lpstr>
      <vt:lpstr>RWS-Report Page </vt:lpstr>
      <vt:lpstr>Annual Consumption Report</vt:lpstr>
      <vt:lpstr>Sheet1</vt:lpstr>
      <vt:lpstr>Monthly Consumption Report</vt:lpstr>
      <vt:lpstr>Calculation</vt:lpstr>
      <vt:lpstr>Calculations II</vt:lpstr>
      <vt:lpstr>HH Capacity Table</vt:lpstr>
      <vt:lpstr>Accounting-Delivery</vt:lpstr>
      <vt:lpstr>Diversion Rights</vt:lpstr>
      <vt:lpstr>Lookup</vt:lpstr>
      <vt:lpstr>Conversions</vt:lpstr>
      <vt:lpstr>System Flows</vt:lpstr>
      <vt:lpstr>Chart4</vt:lpstr>
      <vt:lpstr>Chart5</vt:lpstr>
      <vt:lpstr>Chart6</vt:lpstr>
      <vt:lpstr>AFtoCFS</vt:lpstr>
      <vt:lpstr>AFtoMG</vt:lpstr>
      <vt:lpstr>CFStoMGD</vt:lpstr>
      <vt:lpstr>GPMtoMGD</vt:lpstr>
      <vt:lpstr>hhdcap_wcm</vt:lpstr>
      <vt:lpstr>hhdelev_wcm</vt:lpstr>
      <vt:lpstr>MGDtoCFS</vt:lpstr>
      <vt:lpstr>MGtoAF</vt:lpstr>
      <vt:lpstr>'Annual Consumption Report'!Print_Area</vt:lpstr>
      <vt:lpstr>'Monthly Consumption Report'!Print_Area</vt:lpstr>
      <vt:lpstr>'RWS-Report Page '!Print_Area</vt:lpstr>
      <vt:lpstr>Sheet1!Print_Area</vt:lpstr>
      <vt:lpstr>'Tacoma-Report Page'!Print_Area</vt:lpstr>
      <vt:lpstr>'Accounting-Delivery'!Print_Titles</vt:lpstr>
      <vt:lpstr>'RWS-Report Page '!Print_Titles</vt:lpstr>
      <vt:lpstr>Summary!Print_Titles</vt:lpstr>
      <vt:lpstr>'Tacoma-Report Page'!Print_Titles</vt:lpstr>
    </vt:vector>
  </TitlesOfParts>
  <Company>City of Tacoma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"Washington, Michael" &lt;MWashing@ci.tacoma.wa.us&gt;</dc:creator>
  <cp:lastModifiedBy>Moline, Jason</cp:lastModifiedBy>
  <cp:lastPrinted>2018-01-02T17:43:21Z</cp:lastPrinted>
  <dcterms:created xsi:type="dcterms:W3CDTF">2005-08-18T17:00:01Z</dcterms:created>
  <dcterms:modified xsi:type="dcterms:W3CDTF">2018-01-17T21:44:43Z</dcterms:modified>
</cp:coreProperties>
</file>